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83.xml"/>
  <Override ContentType="application/vnd.openxmlformats-officedocument.spreadsheetml.worksheet+xml" PartName="/xl/worksheets/sheet91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75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81.xml"/>
  <Override ContentType="application/vnd.openxmlformats-officedocument.spreadsheetml.worksheet+xml" PartName="/xl/worksheets/sheet93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85.xml"/>
  <Override ContentType="application/vnd.openxmlformats-officedocument.spreadsheetml.worksheet+xml" PartName="/xl/worksheets/sheet105.xml"/>
  <Override ContentType="application/vnd.openxmlformats-officedocument.spreadsheetml.worksheet+xml" PartName="/xl/worksheets/sheet39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73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2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87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02.xml"/>
  <Override ContentType="application/vnd.openxmlformats-officedocument.spreadsheetml.worksheet+xml" PartName="/xl/worksheets/sheet89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97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104.xml"/>
  <Override ContentType="application/vnd.openxmlformats-officedocument.spreadsheetml.worksheet+xml" PartName="/xl/worksheets/sheet65.xml"/>
  <Override ContentType="application/vnd.openxmlformats-officedocument.spreadsheetml.worksheet+xml" PartName="/xl/worksheets/sheet78.xml"/>
  <Override ContentType="application/vnd.openxmlformats-officedocument.spreadsheetml.worksheet+xml" PartName="/xl/worksheets/sheet52.xml"/>
  <Override ContentType="application/vnd.openxmlformats-officedocument.spreadsheetml.worksheet+xml" PartName="/xl/worksheets/sheet82.xml"/>
  <Override ContentType="application/vnd.openxmlformats-officedocument.spreadsheetml.worksheet+xml" PartName="/xl/worksheets/sheet95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41.xml"/>
  <Override ContentType="application/vnd.openxmlformats-officedocument.spreadsheetml.worksheet+xml" PartName="/xl/worksheets/sheet90.xml"/>
  <Override ContentType="application/vnd.openxmlformats-officedocument.spreadsheetml.worksheet+xml" PartName="/xl/worksheets/sheet5.xml"/>
  <Override ContentType="application/vnd.openxmlformats-officedocument.spreadsheetml.worksheet+xml" PartName="/xl/worksheets/sheet84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72.xml"/>
  <Override ContentType="application/vnd.openxmlformats-officedocument.spreadsheetml.worksheet+xml" PartName="/xl/worksheets/sheet80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38.xml"/>
  <Override ContentType="application/vnd.openxmlformats-officedocument.spreadsheetml.worksheet+xml" PartName="/xl/worksheets/sheet99.xml"/>
  <Override ContentType="application/vnd.openxmlformats-officedocument.spreadsheetml.worksheet+xml" PartName="/xl/worksheets/sheet25.xml"/>
  <Override ContentType="application/vnd.openxmlformats-officedocument.spreadsheetml.worksheet+xml" PartName="/xl/worksheets/sheet108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9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12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96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79.xml"/>
  <Override ContentType="application/vnd.openxmlformats-officedocument.spreadsheetml.worksheet+xml" PartName="/xl/worksheets/sheet36.xml"/>
  <Override ContentType="application/vnd.openxmlformats-officedocument.spreadsheetml.worksheet+xml" PartName="/xl/worksheets/sheet88.xml"/>
  <Override ContentType="application/vnd.openxmlformats-officedocument.spreadsheetml.worksheet+xml" PartName="/xl/worksheets/sheet101.xml"/>
  <Override ContentType="application/vnd.openxmlformats-officedocument.spreadsheetml.worksheet+xml" PartName="/xl/worksheets/sheet98.xml"/>
  <Override ContentType="application/vnd.openxmlformats-officedocument.spreadsheetml.worksheet+xml" PartName="/xl/worksheets/sheet9.xml"/>
  <Override ContentType="application/vnd.openxmlformats-officedocument.spreadsheetml.worksheet+xml" PartName="/xl/worksheets/sheet77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94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03.xml"/>
  <Override ContentType="application/vnd.openxmlformats-officedocument.spreadsheetml.worksheet+xml" PartName="/xl/worksheets/sheet70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0.xml"/>
  <Override ContentType="application/vnd.openxmlformats-officedocument.drawing+xml" PartName="/xl/drawings/drawing9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21.xml"/>
  <Override ContentType="application/vnd.openxmlformats-officedocument.drawing+xml" PartName="/xl/drawings/drawing82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74.xml"/>
  <Override ContentType="application/vnd.openxmlformats-officedocument.drawing+xml" PartName="/xl/drawings/drawing70.xml"/>
  <Override ContentType="application/vnd.openxmlformats-officedocument.drawing+xml" PartName="/xl/drawings/drawing6.xml"/>
  <Override ContentType="application/vnd.openxmlformats-officedocument.drawing+xml" PartName="/xl/drawings/drawing36.xml"/>
  <Override ContentType="application/vnd.openxmlformats-officedocument.drawing+xml" PartName="/xl/drawings/drawing97.xml"/>
  <Override ContentType="application/vnd.openxmlformats-officedocument.drawing+xml" PartName="/xl/drawings/drawing66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23.xml"/>
  <Override ContentType="application/vnd.openxmlformats-officedocument.drawing+xml" PartName="/xl/drawings/drawing102.xml"/>
  <Override ContentType="application/vnd.openxmlformats-officedocument.drawing+xml" PartName="/xl/drawings/drawing38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90.xml"/>
  <Override ContentType="application/vnd.openxmlformats-officedocument.drawing+xml" PartName="/xl/drawings/drawing109.xml"/>
  <Override ContentType="application/vnd.openxmlformats-officedocument.drawing+xml" PartName="/xl/drawings/drawing54.xml"/>
  <Override ContentType="application/vnd.openxmlformats-officedocument.drawing+xml" PartName="/xl/drawings/drawing11.xml"/>
  <Override ContentType="application/vnd.openxmlformats-officedocument.drawing+xml" PartName="/xl/drawings/drawing72.xml"/>
  <Override ContentType="application/vnd.openxmlformats-officedocument.drawing+xml" PartName="/xl/drawings/drawing9.xml"/>
  <Override ContentType="application/vnd.openxmlformats-officedocument.drawing+xml" PartName="/xl/drawings/drawing25.xml"/>
  <Override ContentType="application/vnd.openxmlformats-officedocument.drawing+xml" PartName="/xl/drawings/drawing10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112.xml"/>
  <Override ContentType="application/vnd.openxmlformats-officedocument.drawing+xml" PartName="/xl/drawings/drawing44.xml"/>
  <Override ContentType="application/vnd.openxmlformats-officedocument.drawing+xml" PartName="/xl/drawings/drawing95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87.xml"/>
  <Override ContentType="application/vnd.openxmlformats-officedocument.drawing+xml" PartName="/xl/drawings/drawing35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106.xml"/>
  <Override ContentType="application/vnd.openxmlformats-officedocument.drawing+xml" PartName="/xl/drawings/drawing16.xml"/>
  <Override ContentType="application/vnd.openxmlformats-officedocument.drawing+xml" PartName="/xl/drawings/drawing93.xml"/>
  <Override ContentType="application/vnd.openxmlformats-officedocument.drawing+xml" PartName="/xl/drawings/drawing110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officedocument.drawing+xml" PartName="/xl/drawings/drawing89.xml"/>
  <Override ContentType="application/vnd.openxmlformats-officedocument.drawing+xml" PartName="/xl/drawings/drawing39.xml"/>
  <Override ContentType="application/vnd.openxmlformats-officedocument.drawing+xml" PartName="/xl/drawings/drawing81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9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83.xml"/>
  <Override ContentType="application/vnd.openxmlformats-officedocument.drawing+xml" PartName="/xl/drawings/drawing53.xml"/>
  <Override ContentType="application/vnd.openxmlformats-officedocument.drawing+xml" PartName="/xl/drawings/drawing96.xml"/>
  <Override ContentType="application/vnd.openxmlformats-officedocument.drawing+xml" PartName="/xl/drawings/drawing40.xml"/>
  <Override ContentType="application/vnd.openxmlformats-officedocument.drawing+xml" PartName="/xl/drawings/drawing108.xml"/>
  <Override ContentType="application/vnd.openxmlformats-officedocument.drawing+xml" PartName="/xl/drawings/drawing49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85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98.xml"/>
  <Override ContentType="application/vnd.openxmlformats-officedocument.drawing+xml" PartName="/xl/drawings/drawing101.xml"/>
  <Override ContentType="application/vnd.openxmlformats-officedocument.drawing+xml" PartName="/xl/drawings/drawing37.xml"/>
  <Override ContentType="application/vnd.openxmlformats-officedocument.drawing+xml" PartName="/xl/drawings/drawing105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69.xml"/>
  <Override ContentType="application/vnd.openxmlformats-officedocument.drawing+xml" PartName="/xl/drawings/drawing94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77.xml"/>
  <Override ContentType="application/vnd.openxmlformats-officedocument.drawing+xml" PartName="/xl/drawings/drawing86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107.xml"/>
  <Override ContentType="application/vnd.openxmlformats-officedocument.drawing+xml" PartName="/xl/drawings/drawing103.xml"/>
  <Override ContentType="application/vnd.openxmlformats-officedocument.drawing+xml" PartName="/xl/drawings/drawing58.xml"/>
  <Override ContentType="application/vnd.openxmlformats-officedocument.drawing+xml" PartName="/xl/drawings/drawing111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92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75.xml"/>
  <Override ContentType="application/vnd.openxmlformats-officedocument.drawing+xml" PartName="/xl/drawings/drawing88.xml"/>
  <Override ContentType="application/vnd.openxmlformats-officedocument.drawing+xml" PartName="/xl/drawings/drawing8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Data Connect" sheetId="1" r:id="rId5"/>
    <sheet state="hidden" name="Sheet75" sheetId="2" r:id="rId6"/>
    <sheet state="visible" name="Metrics Check" sheetId="3" r:id="rId7"/>
    <sheet state="visible" name="State Overview" sheetId="4" r:id="rId8"/>
    <sheet state="hidden" name="Top 50%" sheetId="5" r:id="rId9"/>
    <sheet state="visible" name="Alabama" sheetId="6" r:id="rId10"/>
    <sheet state="visible" name="AL Data" sheetId="7" r:id="rId11"/>
    <sheet state="visible" name="Alaska" sheetId="8" r:id="rId12"/>
    <sheet state="visible" name="AK Data" sheetId="9" r:id="rId13"/>
    <sheet state="visible" name="Arizona" sheetId="10" r:id="rId14"/>
    <sheet state="visible" name="AZ Data" sheetId="11" r:id="rId15"/>
    <sheet state="visible" name="Arkansas" sheetId="12" r:id="rId16"/>
    <sheet state="visible" name="AR Data" sheetId="13" r:id="rId17"/>
    <sheet state="visible" name="California" sheetId="14" r:id="rId18"/>
    <sheet state="visible" name="CA Data" sheetId="15" r:id="rId19"/>
    <sheet state="visible" name="Colorado" sheetId="16" r:id="rId20"/>
    <sheet state="visible" name="CO Data" sheetId="17" r:id="rId21"/>
    <sheet state="visible" name="Connecticut" sheetId="18" r:id="rId22"/>
    <sheet state="visible" name="CT Data" sheetId="19" r:id="rId23"/>
    <sheet state="visible" name="Delaware" sheetId="20" r:id="rId24"/>
    <sheet state="visible" name="DE Data" sheetId="21" r:id="rId25"/>
    <sheet state="visible" name="District of Columbia" sheetId="22" r:id="rId26"/>
    <sheet state="visible" name="DC Data" sheetId="23" r:id="rId27"/>
    <sheet state="visible" name="Florida" sheetId="24" r:id="rId28"/>
    <sheet state="visible" name="FL Data" sheetId="25" r:id="rId29"/>
    <sheet state="visible" name="Georgia" sheetId="26" r:id="rId30"/>
    <sheet state="visible" name="GA Data" sheetId="27" r:id="rId31"/>
    <sheet state="visible" name="Hawaii" sheetId="28" r:id="rId32"/>
    <sheet state="visible" name="HI Data" sheetId="29" r:id="rId33"/>
    <sheet state="visible" name="Idaho" sheetId="30" r:id="rId34"/>
    <sheet state="visible" name="ID Data" sheetId="31" r:id="rId35"/>
    <sheet state="visible" name="Illinois" sheetId="32" r:id="rId36"/>
    <sheet state="visible" name="IL Data" sheetId="33" r:id="rId37"/>
    <sheet state="visible" name="Sheet77" sheetId="34" r:id="rId38"/>
    <sheet state="visible" name="Indiana" sheetId="35" r:id="rId39"/>
    <sheet state="visible" name="IN Data" sheetId="36" r:id="rId40"/>
    <sheet state="visible" name="Iowa" sheetId="37" r:id="rId41"/>
    <sheet state="visible" name="IA Data" sheetId="38" r:id="rId42"/>
    <sheet state="visible" name="Kansas" sheetId="39" r:id="rId43"/>
    <sheet state="visible" name="KS Data" sheetId="40" r:id="rId44"/>
    <sheet state="visible" name="Kentucky" sheetId="41" r:id="rId45"/>
    <sheet state="visible" name="KY Data" sheetId="42" r:id="rId46"/>
    <sheet state="visible" name="Louisiana" sheetId="43" r:id="rId47"/>
    <sheet state="visible" name="LA Data" sheetId="44" r:id="rId48"/>
    <sheet state="visible" name="Maine" sheetId="45" r:id="rId49"/>
    <sheet state="visible" name="ME Data" sheetId="46" r:id="rId50"/>
    <sheet state="visible" name="Maryland" sheetId="47" r:id="rId51"/>
    <sheet state="visible" name="MD Data" sheetId="48" r:id="rId52"/>
    <sheet state="visible" name="Massachusetts" sheetId="49" r:id="rId53"/>
    <sheet state="visible" name="MA Data" sheetId="50" r:id="rId54"/>
    <sheet state="visible" name="Michigan" sheetId="51" r:id="rId55"/>
    <sheet state="visible" name="MI Data" sheetId="52" r:id="rId56"/>
    <sheet state="visible" name="Minnesota" sheetId="53" r:id="rId57"/>
    <sheet state="visible" name="MN Data" sheetId="54" r:id="rId58"/>
    <sheet state="visible" name="Mississippi" sheetId="55" r:id="rId59"/>
    <sheet state="visible" name="MS Data" sheetId="56" r:id="rId60"/>
    <sheet state="visible" name="Missouri" sheetId="57" r:id="rId61"/>
    <sheet state="visible" name="MO Data" sheetId="58" r:id="rId62"/>
    <sheet state="visible" name="Montana" sheetId="59" r:id="rId63"/>
    <sheet state="visible" name="MT Data" sheetId="60" r:id="rId64"/>
    <sheet state="visible" name="Nebraska" sheetId="61" r:id="rId65"/>
    <sheet state="visible" name="NE Data" sheetId="62" r:id="rId66"/>
    <sheet state="visible" name="Nevada" sheetId="63" r:id="rId67"/>
    <sheet state="visible" name="NV Data" sheetId="64" r:id="rId68"/>
    <sheet state="visible" name="New Hampshire" sheetId="65" r:id="rId69"/>
    <sheet state="visible" name="NH Data" sheetId="66" r:id="rId70"/>
    <sheet state="visible" name="New Jersey" sheetId="67" r:id="rId71"/>
    <sheet state="visible" name="NJ Data" sheetId="68" r:id="rId72"/>
    <sheet state="visible" name="New Mexico" sheetId="69" r:id="rId73"/>
    <sheet state="visible" name="NM Data" sheetId="70" r:id="rId74"/>
    <sheet state="visible" name="New York" sheetId="71" r:id="rId75"/>
    <sheet state="visible" name="NY Data" sheetId="72" r:id="rId76"/>
    <sheet state="visible" name="North Carolina" sheetId="73" r:id="rId77"/>
    <sheet state="hidden" name="NC Data" sheetId="74" r:id="rId78"/>
    <sheet state="visible" name="NC Data 2" sheetId="75" r:id="rId79"/>
    <sheet state="visible" name="North Dakota" sheetId="76" r:id="rId80"/>
    <sheet state="visible" name="ND Data" sheetId="77" r:id="rId81"/>
    <sheet state="visible" name="Ohio" sheetId="78" r:id="rId82"/>
    <sheet state="visible" name="OH Data" sheetId="79" r:id="rId83"/>
    <sheet state="visible" name="Oklahoma" sheetId="80" r:id="rId84"/>
    <sheet state="visible" name="OK Data" sheetId="81" r:id="rId85"/>
    <sheet state="visible" name="Oregon" sheetId="82" r:id="rId86"/>
    <sheet state="visible" name="OR Data" sheetId="83" r:id="rId87"/>
    <sheet state="visible" name="Pennsylvania" sheetId="84" r:id="rId88"/>
    <sheet state="visible" name="PA Data" sheetId="85" r:id="rId89"/>
    <sheet state="visible" name="Rhode Island" sheetId="86" r:id="rId90"/>
    <sheet state="visible" name="RI Data" sheetId="87" r:id="rId91"/>
    <sheet state="visible" name="South Carolina" sheetId="88" r:id="rId92"/>
    <sheet state="visible" name="SC Data" sheetId="89" r:id="rId93"/>
    <sheet state="visible" name="South Dakota" sheetId="90" r:id="rId94"/>
    <sheet state="visible" name="SD Data" sheetId="91" r:id="rId95"/>
    <sheet state="visible" name="Tennessee" sheetId="92" r:id="rId96"/>
    <sheet state="visible" name="TN Data" sheetId="93" r:id="rId97"/>
    <sheet state="visible" name="Texas" sheetId="94" r:id="rId98"/>
    <sheet state="visible" name="TX Data" sheetId="95" r:id="rId99"/>
    <sheet state="visible" name="Utah" sheetId="96" r:id="rId100"/>
    <sheet state="visible" name="UT Data" sheetId="97" r:id="rId101"/>
    <sheet state="visible" name="Vermont" sheetId="98" r:id="rId102"/>
    <sheet state="visible" name="VT Data" sheetId="99" r:id="rId103"/>
    <sheet state="visible" name="Virginia" sheetId="100" r:id="rId104"/>
    <sheet state="visible" name="VA Data" sheetId="101" r:id="rId105"/>
    <sheet state="visible" name="Washington" sheetId="102" r:id="rId106"/>
    <sheet state="visible" name="WA Data" sheetId="103" r:id="rId107"/>
    <sheet state="visible" name="West Virginia" sheetId="104" r:id="rId108"/>
    <sheet state="visible" name="WV Data" sheetId="105" r:id="rId109"/>
    <sheet state="visible" name="Wisconsin" sheetId="106" r:id="rId110"/>
    <sheet state="visible" name="WI Data" sheetId="107" r:id="rId111"/>
    <sheet state="visible" name="Wyoming" sheetId="108" r:id="rId112"/>
    <sheet state="visible" name="WY Data" sheetId="109" r:id="rId113"/>
    <sheet state="visible" name="AFCARSCSC" sheetId="110" r:id="rId114"/>
    <sheet state="visible" name="Population &amp; Church Numbers" sheetId="111" r:id="rId115"/>
    <sheet state="visible" name="County PopulationPovertyRacial " sheetId="112" r:id="rId116"/>
  </sheets>
  <definedNames>
    <definedName name="CT_RACEINCOME">#REF!</definedName>
    <definedName name="LA_DEMO">'County PopulationPovertyRacial '!$A$1138:$L$1202</definedName>
    <definedName name="MD_KIN">'MD Data'!$A$118:$D$143</definedName>
    <definedName name="MI_RACEINCOME">#REF!</definedName>
    <definedName name="CA_DEMO">'County PopulationPovertyRacial '!$A$198:$L$256</definedName>
    <definedName name="AZ_RACEINCOME">#REF!</definedName>
    <definedName name="MD_FOSTER">'MD Data'!$A$89:$D$114</definedName>
    <definedName name="PA_DEMO">'County PopulationPovertyRacial '!$A$2289:$L$2356</definedName>
    <definedName name="MO_RACEINCOME">#REF!</definedName>
    <definedName name="TN_RACEINCOME">#REF!</definedName>
    <definedName name="VA_DEMO">'County PopulationPovertyRacial '!$A$2873:$L$3006</definedName>
    <definedName name="CA_RACEINCOME">#REF!</definedName>
    <definedName name="MS_RACEINCOME">#REF!</definedName>
    <definedName name="MD_INHOME">'MD Data'!$A$61:$D$87</definedName>
    <definedName name="CT_DEMO">'County PopulationPovertyRacial '!$A$322:$L$330</definedName>
    <definedName name="NM_DEMO">'County PopulationPovertyRacial '!$A$1833:$L$1866</definedName>
    <definedName name="OK_DEMO">'County PopulationPovertyRacial '!$A$2174:$L$2251</definedName>
    <definedName name="RI_RACEINCOME">#REF!</definedName>
    <definedName name="AR_DEMO">'County PopulationPovertyRacial '!$A$122:$L$197</definedName>
    <definedName name="MD_INCARE">'MD Data'!$A$2:$D$27</definedName>
    <definedName name="ID_DEMO">'County PopulationPovertyRacial '!$A$570:$L$614</definedName>
    <definedName name="MT_DEMO">'County PopulationPovertyRacial '!$A$1631:$L$1687</definedName>
    <definedName name="IA_RACEINCOME">#REF!</definedName>
    <definedName name="TX_DEMO">'County PopulationPovertyRacial '!$A$2573:$L$2827</definedName>
    <definedName name="AL_DEMO">'County PopulationPovertyRacial '!$A$7:$L$74</definedName>
    <definedName name="TN_DEMO">'County PopulationPovertyRacial '!$A$2477:$L$2572</definedName>
    <definedName name="MN_RACEINCOME">#REF!</definedName>
    <definedName name="MI_DEMO">'County PopulationPovertyRacial '!$A$1260:$L$1343</definedName>
    <definedName name="MD_DEMO">'County PopulationPovertyRacial '!$A$1220:$L$1244</definedName>
    <definedName name="MT_RACEINCOME">#REF!</definedName>
    <definedName name="OK_RACEINCOME">#REF!</definedName>
    <definedName name="ND_DEMO">'County PopulationPovertyRacial '!$A$2031:$L$2084</definedName>
    <definedName name="IA_DEMO">'County PopulationPovertyRacial '!$A$811:$L$910</definedName>
    <definedName name="VT_RACEINCOME">#REF!</definedName>
    <definedName name="WA_DEMO">'County PopulationPovertyRacial '!$A$3007:$L$3046</definedName>
    <definedName name="TX_RACEINCOME">#REF!</definedName>
    <definedName name="LA_RACEINCOME">#REF!</definedName>
    <definedName name="AK_RACEINCOME">#REF!</definedName>
    <definedName name="GA_DEMO">'County PopulationPovertyRacial '!$A$404:$L$563</definedName>
    <definedName name="MS_DEMO">'County PopulationPovertyRacial '!$A$1432:$L$1514</definedName>
    <definedName name="AK_DEMO">'County PopulationPovertyRacial '!$A$75:$L$105</definedName>
    <definedName name="AL_RACEINCOME">#REF!</definedName>
    <definedName name="NH_RACEINCOME">#REF!</definedName>
    <definedName name="FL_RACEINCOME">#REF!</definedName>
    <definedName name="CO_DEMO">'County PopulationPovertyRacial '!$A$257:$L$321</definedName>
    <definedName name="OH_DEMO">'County PopulationPovertyRacial '!$A$2085:$L$2173</definedName>
    <definedName name="SC_RACEINCOME">#REF!</definedName>
    <definedName name="NE_RACEINCOME">#REF!</definedName>
    <definedName name="NJ_DEMO">'County PopulationPovertyRacial '!$A$1811:$L$1832</definedName>
    <definedName name="ME_RACEINCOME">#REF!</definedName>
    <definedName name="VT_DEMO">'County PopulationPovertyRacial '!$A$2858:$L$2872</definedName>
    <definedName name="IN_RACEINCOME">#REF!</definedName>
    <definedName name="WV_DEMO">'County PopulationPovertyRacial '!$A$3047:$L$3102</definedName>
    <definedName name="PA_RACEINCOME">#REF!</definedName>
    <definedName name="NJ_RACEINCOME">#REF!</definedName>
    <definedName name="NV_RACEINCOME">#REF!</definedName>
    <definedName name="WY_RACEINCOME">#REF!</definedName>
    <definedName name="NM_RACEINCOME">#REF!</definedName>
    <definedName name="SD_RACEINCOME">#REF!</definedName>
    <definedName name="HI_RACEINCOME">#REF!</definedName>
    <definedName name="UT_RACEINCOME">#REF!</definedName>
    <definedName name="NE_DEMO">'County PopulationPovertyRacial '!$A$1688:$L$1781</definedName>
    <definedName name="NY_RACEINCOME">#REF!</definedName>
    <definedName name="AZ_DEMO">'County PopulationPovertyRacial '!$A$106:$L$121</definedName>
    <definedName name="NamedRange1">'County PopulationPovertyRacial '!$A$6:$L$6</definedName>
    <definedName name="MA_DEMO">'County PopulationPovertyRacial '!$A$1245:$L$1259</definedName>
    <definedName name="WY_DEMO">'County PopulationPovertyRacial '!$A$3176:$L$3199</definedName>
    <definedName name="GA_RACEINCOME">#REF!</definedName>
    <definedName name="UT_DEMO">'County PopulationPovertyRacial '!$A$2828:$L$2857</definedName>
    <definedName name="OR_DEMO">'County PopulationPovertyRacial '!$A$2252:$L$2288</definedName>
    <definedName name="SD_DEMO">'County PopulationPovertyRacial '!$A$2410:$L$2476</definedName>
    <definedName name="MD_ADOPT">'MD Data'!$A$31:$D$57</definedName>
    <definedName name="WV_RACEINCOME">#REF!</definedName>
    <definedName name="MA_RACEINCOME">#REF!</definedName>
    <definedName name="ME_DEMO">'County PopulationPovertyRacial '!$A$1203:$L$1219</definedName>
    <definedName name="NY_DEMO">'County PopulationPovertyRacial '!$A$1867:$L$1929</definedName>
    <definedName name="NC_RACEINCOME">#REF!</definedName>
    <definedName name="NV_DEMO">'County PopulationPovertyRacial '!$A$1782:$L$1799</definedName>
    <definedName name="CO_RACEINCOME">#REF!</definedName>
    <definedName name="HI_DEMO">'County PopulationPovertyRacial '!$A$564:$L$569</definedName>
    <definedName name="DC_RACEINCOME">#REF!</definedName>
    <definedName name="DE_RACEINCOME">#REF!</definedName>
    <definedName name="KY_RACEINCOME">#REF!</definedName>
    <definedName name="IN_DEMO">'County PopulationPovertyRacial '!$A$718:$L$810</definedName>
    <definedName name="SC_DEMO">'County PopulationPovertyRacial '!$A$2363:$L$2409</definedName>
    <definedName name="KY_DEMO">'County PopulationPovertyRacial '!$A$1017:$L$1137</definedName>
    <definedName name="MD_RACEINCOME">#REF!</definedName>
    <definedName name="RI_DEMO">'County PopulationPovertyRacial '!$A$2357:$L$2362</definedName>
    <definedName name="IL_RACEINCOME">#REF!</definedName>
    <definedName name="KS_RACEINCOME">#REF!</definedName>
    <definedName name="ND_RACEINCOME">#REF!</definedName>
    <definedName name="WI_DEMO">'County PopulationPovertyRacial '!$A$3103:$L$3175</definedName>
    <definedName name="ID_RACEINCOME">#REF!</definedName>
    <definedName name="DC_DEMO">'County PopulationPovertyRacial '!$A$335:$L$335</definedName>
    <definedName name="VA_RACEINCOME">#REF!</definedName>
    <definedName name="OH_RACEINCOME">#REF!</definedName>
    <definedName name="FL_DEMO">'County PopulationPovertyRacial '!$A$336:$L$403</definedName>
    <definedName name="MN_DEMO">'County PopulationPovertyRacial '!$A$1344:$L$1431</definedName>
    <definedName name="WI_RACEINCOME">#REF!</definedName>
    <definedName name="IL_DEMO">'County PopulationPovertyRacial '!$A$615:$L$717</definedName>
    <definedName name="NC_DEMO">'County PopulationPovertyRacial '!$A$1930:$L$2030</definedName>
    <definedName name="WA_RACEINCOME">#REF!</definedName>
    <definedName name="MO_DEMO">'County PopulationPovertyRacial '!$A$1515:$L$1630</definedName>
    <definedName name="DE_DEMO">'County PopulationPovertyRacial '!$A$331:$L$334</definedName>
    <definedName name="NH_DEMO">'County PopulationPovertyRacial '!$A$1800:$L$1810</definedName>
    <definedName name="AR_RACEINCOME">#REF!</definedName>
    <definedName name="KS_DEMO">'County PopulationPovertyRacial '!$A$911:$L$1016</definedName>
    <definedName name="OR_RACEINCOME">#REF!</definedName>
    <definedName name="US_DEMO">'County PopulationPovertyRacial '!$A$6:$L$6</definedName>
    <definedName hidden="1" localSheetId="5" name="_xlnm._FilterDatabase">Alabama!$A$2:$Q$69</definedName>
    <definedName hidden="1" localSheetId="7" name="_xlnm._FilterDatabase">Alaska!$A$2:$Q$7</definedName>
    <definedName hidden="1" localSheetId="9" name="_xlnm._FilterDatabase">Arizona!$A$2:$Q$17</definedName>
    <definedName hidden="1" localSheetId="11" name="_xlnm._FilterDatabase">Arkansas!$A$2:$Q$79</definedName>
    <definedName hidden="1" localSheetId="13" name="_xlnm._FilterDatabase">California!$A$2:$Q$60</definedName>
    <definedName hidden="1" localSheetId="15" name="_xlnm._FilterDatabase">Colorado!$A$2:$Q$66</definedName>
    <definedName hidden="1" localSheetId="17" name="_xlnm._FilterDatabase">Connecticut!$A$2:$Q$10</definedName>
    <definedName hidden="1" localSheetId="19" name="_xlnm._FilterDatabase">Delaware!$A$2:$Q$5</definedName>
    <definedName hidden="1" localSheetId="23" name="_xlnm._FilterDatabase">Florida!$A$2:$Q$69</definedName>
    <definedName hidden="1" localSheetId="27" name="_xlnm._FilterDatabase">Hawaii!$A$2:$Q$7</definedName>
    <definedName hidden="1" localSheetId="36" name="_xlnm._FilterDatabase">Iowa!$A$1:$Q$101</definedName>
    <definedName hidden="1" localSheetId="44" name="_xlnm._FilterDatabase">Maine!$A$2:$Q$18</definedName>
    <definedName hidden="1" localSheetId="46" name="_xlnm._FilterDatabase">Maryland!$A$2:$Q$26</definedName>
    <definedName hidden="1" localSheetId="48" name="_xlnm._FilterDatabase">Massachusetts!$A$2:$Q$4</definedName>
    <definedName hidden="1" localSheetId="58" name="_xlnm._FilterDatabase">Montana!$A$2:$Q$58</definedName>
    <definedName hidden="1" localSheetId="62" name="_xlnm._FilterDatabase">Nevada!$A$2:$Q$20</definedName>
    <definedName hidden="1" localSheetId="64" name="_xlnm._FilterDatabase">'New Hampshire'!$A$2:$Q$12</definedName>
    <definedName hidden="1" localSheetId="66" name="_xlnm._FilterDatabase">'New Jersey'!$A$2:$Q$24</definedName>
    <definedName hidden="1" localSheetId="68" name="_xlnm._FilterDatabase">'New Mexico'!$A$2:$Q$35</definedName>
    <definedName hidden="1" localSheetId="70" name="_xlnm._FilterDatabase">'New York'!$A$2:$Q$64</definedName>
    <definedName hidden="1" localSheetId="75" name="_xlnm._FilterDatabase">'North Dakota'!$A$2:$Q$55</definedName>
    <definedName hidden="1" localSheetId="81" name="_xlnm._FilterDatabase">Oregon!$A$2:$Q$38</definedName>
    <definedName hidden="1" localSheetId="83" name="_xlnm._FilterDatabase">Pennsylvania!$A$2:$Q$69</definedName>
    <definedName hidden="1" localSheetId="85" name="_xlnm._FilterDatabase">'Rhode Island'!$A$2:$Q$7</definedName>
    <definedName hidden="1" localSheetId="87" name="_xlnm._FilterDatabase">'South Carolina'!$A$2:$Q$48</definedName>
    <definedName hidden="1" localSheetId="89" name="_xlnm._FilterDatabase">'South Dakota'!$A$2:$Q$21</definedName>
    <definedName hidden="1" localSheetId="95" name="_xlnm._FilterDatabase">Utah!$A$2:$Q$31</definedName>
    <definedName hidden="1" localSheetId="97" name="_xlnm._FilterDatabase">Vermont!$A$2:$Q$14</definedName>
    <definedName hidden="1" localSheetId="101" name="_xlnm._FilterDatabase">Washington!$A$2:$Q$41</definedName>
    <definedName hidden="1" localSheetId="103" name="_xlnm._FilterDatabase">'West Virginia'!$A$2:$Q$57</definedName>
    <definedName hidden="1" localSheetId="107" name="_xlnm._FilterDatabase">Wyoming!$A$2:$Q$25</definedName>
    <definedName hidden="1" localSheetId="5" name="Z_5D3793E4_3EFC_44E9_9B71_9456C4158874_.wvu.FilterData">Alabama!$A$2:$P$71</definedName>
  </definedNames>
  <calcPr/>
  <customWorkbookViews>
    <customWorkbookView activeSheetId="0" maximized="1" windowHeight="0" windowWidth="0" guid="{5D3793E4-3EFC-44E9-9B71-9456C4158874}" name="Filter 1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52">
      <text>
        <t xml:space="preserve">*Use 'Region 10' total line for Marion County Total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Family Foster Home + PreAdoptive
</t>
      </text>
    </comment>
    <comment authorId="0" ref="D3">
      <text>
        <t xml:space="preserve">Relative</t>
      </text>
    </comment>
    <comment authorId="0" ref="E3">
      <text>
        <t xml:space="preserve">GroupResidential</t>
      </text>
    </comment>
    <comment authorId="0" ref="F3">
      <text>
        <t xml:space="preserve">Independent Living + Runaway + Maternity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Basic Child Care, CPA Non-Relative, DFPS Non-Relative</t>
      </text>
    </comment>
  </commentList>
</comments>
</file>

<file path=xl/sharedStrings.xml><?xml version="1.0" encoding="utf-8"?>
<sst xmlns="http://schemas.openxmlformats.org/spreadsheetml/2006/main" count="125672" uniqueCount="4297">
  <si>
    <t>Alabama</t>
  </si>
  <si>
    <t>id</t>
  </si>
  <si>
    <t>TOTAL</t>
  </si>
  <si>
    <t>is_national</t>
  </si>
  <si>
    <t>is_state</t>
  </si>
  <si>
    <t>is_county</t>
  </si>
  <si>
    <t>state_code</t>
  </si>
  <si>
    <t>county_code</t>
  </si>
  <si>
    <t>county_state_code</t>
  </si>
  <si>
    <t>county_name</t>
  </si>
  <si>
    <t>state_name_full</t>
  </si>
  <si>
    <t>state_name_abv</t>
  </si>
  <si>
    <t>county_state</t>
  </si>
  <si>
    <t>number of children in care</t>
  </si>
  <si>
    <t>Number of Foster &amp; Kinship Families Needed</t>
  </si>
  <si>
    <t>average beds per family</t>
  </si>
  <si>
    <t>number of children in foster care</t>
  </si>
  <si>
    <t>number of children in kinship care</t>
  </si>
  <si>
    <t>MTE Index</t>
  </si>
  <si>
    <t>number of children placed out-of-county</t>
  </si>
  <si>
    <t>number of foster and kinship homes</t>
  </si>
  <si>
    <t>number of children waiting for adoption</t>
  </si>
  <si>
    <t>number of children with 80+ connections made</t>
  </si>
  <si>
    <t>Alaska</t>
  </si>
  <si>
    <t>biological family reunification rate</t>
  </si>
  <si>
    <t>1</t>
  </si>
  <si>
    <t>State Overview</t>
  </si>
  <si>
    <t>number of family preservation cases</t>
  </si>
  <si>
    <t>number of adoptive families</t>
  </si>
  <si>
    <t>number of biological families</t>
  </si>
  <si>
    <t>number of wraparound supporters</t>
  </si>
  <si>
    <t>number of churches</t>
  </si>
  <si>
    <t>foster family retention rate</t>
  </si>
  <si>
    <t>Arizona</t>
  </si>
  <si>
    <t>Arkansas</t>
  </si>
  <si>
    <t>California</t>
  </si>
  <si>
    <t>Colorado</t>
  </si>
  <si>
    <t>Connecticut</t>
  </si>
  <si>
    <t>State Demographics</t>
  </si>
  <si>
    <t>District of Columbia</t>
  </si>
  <si>
    <t>Delaware</t>
  </si>
  <si>
    <t>AL</t>
  </si>
  <si>
    <t>Florida</t>
  </si>
  <si>
    <t>State-level Foster Care Data</t>
  </si>
  <si>
    <t>Georgia</t>
  </si>
  <si>
    <t>Hawaii</t>
  </si>
  <si>
    <t>Church Data</t>
  </si>
  <si>
    <t>Idaho</t>
  </si>
  <si>
    <t>Illinois</t>
  </si>
  <si>
    <t>Indiana</t>
  </si>
  <si>
    <t>Iowa</t>
  </si>
  <si>
    <t>Population by Race</t>
  </si>
  <si>
    <t>Autauga</t>
  </si>
  <si>
    <t>Kansas</t>
  </si>
  <si>
    <t>Kentucky</t>
  </si>
  <si>
    <t>Louisiana</t>
  </si>
  <si>
    <t>Maine</t>
  </si>
  <si>
    <t>Maryland</t>
  </si>
  <si>
    <t>Baldwin</t>
  </si>
  <si>
    <t>Massachusetts</t>
  </si>
  <si>
    <t>Michigan</t>
  </si>
  <si>
    <t>State</t>
  </si>
  <si>
    <t>Barbour</t>
  </si>
  <si>
    <t>NULL</t>
  </si>
  <si>
    <t>Population</t>
  </si>
  <si>
    <t>Minnesota</t>
  </si>
  <si>
    <t>White</t>
  </si>
  <si>
    <t>Mississippi</t>
  </si>
  <si>
    <t>Bibb</t>
  </si>
  <si>
    <t>Black or African American</t>
  </si>
  <si>
    <t>American Indian and Alaska Native</t>
  </si>
  <si>
    <t>Asian</t>
  </si>
  <si>
    <t>Native Hawaiian and Other Pacific Islander</t>
  </si>
  <si>
    <t>Missouri</t>
  </si>
  <si>
    <t xml:space="preserve">Other race </t>
  </si>
  <si>
    <t>Two or more races</t>
  </si>
  <si>
    <t>Montana</t>
  </si>
  <si>
    <t>Blount</t>
  </si>
  <si>
    <t>Median Household Income</t>
  </si>
  <si>
    <t>Nebraska</t>
  </si>
  <si>
    <t>Child Poverty Rate (%)</t>
  </si>
  <si>
    <t>Bullock</t>
  </si>
  <si>
    <t>Nevada</t>
  </si>
  <si>
    <t>Number of Children in Out-of-Home Placement</t>
  </si>
  <si>
    <t>Number of Children Waiting for Adoption</t>
  </si>
  <si>
    <t>New Hampshire</t>
  </si>
  <si>
    <t>Number of Licensed Foster Homes</t>
  </si>
  <si>
    <t>Butler</t>
  </si>
  <si>
    <t>New Jersey</t>
  </si>
  <si>
    <t>Number of Family Preservation Cases</t>
  </si>
  <si>
    <t>Number of Churches</t>
  </si>
  <si>
    <t>New Mexico</t>
  </si>
  <si>
    <t>Number of Actively Engaged Churches Needed</t>
  </si>
  <si>
    <t>Calhoun</t>
  </si>
  <si>
    <t>New York</t>
  </si>
  <si>
    <t>Number of Church Assessments Taken</t>
  </si>
  <si>
    <t>North Carolina</t>
  </si>
  <si>
    <t>Churches per 1,000 People</t>
  </si>
  <si>
    <t>Chambers</t>
  </si>
  <si>
    <t>North Dakota</t>
  </si>
  <si>
    <t>Ohio</t>
  </si>
  <si>
    <t>Cherokee</t>
  </si>
  <si>
    <t>Oklahoma</t>
  </si>
  <si>
    <t>Oregon</t>
  </si>
  <si>
    <t>Chilton</t>
  </si>
  <si>
    <t>Pennsylvania</t>
  </si>
  <si>
    <t>Rhode Island</t>
  </si>
  <si>
    <t>Choctaw</t>
  </si>
  <si>
    <t>South Carolina</t>
  </si>
  <si>
    <t>South Dakota</t>
  </si>
  <si>
    <t>Clarke</t>
  </si>
  <si>
    <t>Tennessee</t>
  </si>
  <si>
    <t>Clay</t>
  </si>
  <si>
    <t>Texas</t>
  </si>
  <si>
    <t>Utah</t>
  </si>
  <si>
    <t>Cleburne</t>
  </si>
  <si>
    <t>Vermont</t>
  </si>
  <si>
    <t>Virginia</t>
  </si>
  <si>
    <t>Coffee</t>
  </si>
  <si>
    <t>Washington</t>
  </si>
  <si>
    <t>West Virginia</t>
  </si>
  <si>
    <t>Colbert</t>
  </si>
  <si>
    <t>Wisconsin</t>
  </si>
  <si>
    <t>Wyoming</t>
  </si>
  <si>
    <t>Conecuh</t>
  </si>
  <si>
    <t>Coosa</t>
  </si>
  <si>
    <t>Covington</t>
  </si>
  <si>
    <t>Crenshaw</t>
  </si>
  <si>
    <t>Cullman</t>
  </si>
  <si>
    <t>Dale</t>
  </si>
  <si>
    <t>Dallas</t>
  </si>
  <si>
    <t>De Kalb</t>
  </si>
  <si>
    <t>Elmore</t>
  </si>
  <si>
    <t>Escambia</t>
  </si>
  <si>
    <t>Etowah</t>
  </si>
  <si>
    <t>Fayette</t>
  </si>
  <si>
    <t>Franklin</t>
  </si>
  <si>
    <t>Geneva</t>
  </si>
  <si>
    <t>Greene</t>
  </si>
  <si>
    <t>Hale</t>
  </si>
  <si>
    <t>Henry</t>
  </si>
  <si>
    <t>Houston</t>
  </si>
  <si>
    <t>Jackson</t>
  </si>
  <si>
    <t>Jefferson</t>
  </si>
  <si>
    <t>Lamar</t>
  </si>
  <si>
    <t>Lauderdale</t>
  </si>
  <si>
    <t>Lawrence</t>
  </si>
  <si>
    <t>Lee</t>
  </si>
  <si>
    <t>Limestone</t>
  </si>
  <si>
    <t>Lowndes</t>
  </si>
  <si>
    <t>Macon</t>
  </si>
  <si>
    <t>Madison</t>
  </si>
  <si>
    <t>Marengo</t>
  </si>
  <si>
    <t>Marion</t>
  </si>
  <si>
    <t>Marshall</t>
  </si>
  <si>
    <t>Mobile</t>
  </si>
  <si>
    <t>Monroe</t>
  </si>
  <si>
    <t>Montgomery</t>
  </si>
  <si>
    <t>Morgan</t>
  </si>
  <si>
    <t>Perry</t>
  </si>
  <si>
    <t>Pickens</t>
  </si>
  <si>
    <t>Top 130 Counties- 50% of Children in Care</t>
  </si>
  <si>
    <t>Pike</t>
  </si>
  <si>
    <t>Randolph</t>
  </si>
  <si>
    <t>County Demographics</t>
  </si>
  <si>
    <t>Russell</t>
  </si>
  <si>
    <t>Foster Care Data</t>
  </si>
  <si>
    <t>St Clair</t>
  </si>
  <si>
    <t>Shelby</t>
  </si>
  <si>
    <t>Sumter</t>
  </si>
  <si>
    <t>Talladega</t>
  </si>
  <si>
    <t>Tallapoosa</t>
  </si>
  <si>
    <t>County</t>
  </si>
  <si>
    <t>Tuscaloosa</t>
  </si>
  <si>
    <t>County Population</t>
  </si>
  <si>
    <t>Walker</t>
  </si>
  <si>
    <t>Wilcox</t>
  </si>
  <si>
    <t>Poverty Rate</t>
  </si>
  <si>
    <t>Winston</t>
  </si>
  <si>
    <t>Number of Children in Kinship Care</t>
  </si>
  <si>
    <t>Children in Care per Church</t>
  </si>
  <si>
    <t>Churches per Children in Care</t>
  </si>
  <si>
    <t>AK</t>
  </si>
  <si>
    <t>Los Angeles</t>
  </si>
  <si>
    <t>CA</t>
  </si>
  <si>
    <t>Aleutians East</t>
  </si>
  <si>
    <t>Aleutians West</t>
  </si>
  <si>
    <t>Anchorage</t>
  </si>
  <si>
    <t>Bethel</t>
  </si>
  <si>
    <t>Bristol Bay</t>
  </si>
  <si>
    <t>Chugach</t>
  </si>
  <si>
    <t>Copper River</t>
  </si>
  <si>
    <t>Denali</t>
  </si>
  <si>
    <t>Dillingham</t>
  </si>
  <si>
    <t>Fairbanks North Star</t>
  </si>
  <si>
    <t>Haines</t>
  </si>
  <si>
    <t>Hoonah-Angoon</t>
  </si>
  <si>
    <t>Juneau</t>
  </si>
  <si>
    <t>Kenai Peninsula</t>
  </si>
  <si>
    <t>Ketchikan Gateway</t>
  </si>
  <si>
    <t>Kodiak Island</t>
  </si>
  <si>
    <t>Kusilvak</t>
  </si>
  <si>
    <t>Cook</t>
  </si>
  <si>
    <t>IL</t>
  </si>
  <si>
    <t>Lake and Peninsula</t>
  </si>
  <si>
    <t>Matanuska-Susitna</t>
  </si>
  <si>
    <t>Nome</t>
  </si>
  <si>
    <t>North Slope</t>
  </si>
  <si>
    <t>Northwest Arctic</t>
  </si>
  <si>
    <t>Petersburg</t>
  </si>
  <si>
    <t>Prince Wales Ketchikan</t>
  </si>
  <si>
    <t>Sitka</t>
  </si>
  <si>
    <t>Skagway</t>
  </si>
  <si>
    <t>Southeast Fairbanks</t>
  </si>
  <si>
    <t>Wrangell</t>
  </si>
  <si>
    <t>Yakutat</t>
  </si>
  <si>
    <t>Yukon-Koyukuk</t>
  </si>
  <si>
    <t>AZ</t>
  </si>
  <si>
    <t>Harris</t>
  </si>
  <si>
    <t>TX</t>
  </si>
  <si>
    <t>Apache</t>
  </si>
  <si>
    <t>Cochise</t>
  </si>
  <si>
    <t>Coconino</t>
  </si>
  <si>
    <t>Gila</t>
  </si>
  <si>
    <t>Graham</t>
  </si>
  <si>
    <t>Maricopa</t>
  </si>
  <si>
    <t>Greenlee</t>
  </si>
  <si>
    <t>La Paz</t>
  </si>
  <si>
    <t>Mohave</t>
  </si>
  <si>
    <t>Navajo</t>
  </si>
  <si>
    <t>Pima</t>
  </si>
  <si>
    <t>Pinal</t>
  </si>
  <si>
    <t>Santa Cruz</t>
  </si>
  <si>
    <t>[(Number of Children in Kinship Care + (Number of Children in Care - Number of Children Placed Out-of-County)) / Average Beds per Family] + (Number of Children Placed Out of County)</t>
  </si>
  <si>
    <t>Yavapai</t>
  </si>
  <si>
    <t>[(Number of Children in Care - Number of Children Out-of-County) / Average Beds] + Number of Children Placed out-of-county</t>
  </si>
  <si>
    <t>Yuma</t>
  </si>
  <si>
    <t>AR</t>
  </si>
  <si>
    <t>*Tested with 2.00 multiplier</t>
  </si>
  <si>
    <t>San Diego</t>
  </si>
  <si>
    <t>Ashley</t>
  </si>
  <si>
    <t>Orange</t>
  </si>
  <si>
    <t>Baxter</t>
  </si>
  <si>
    <t>Benton</t>
  </si>
  <si>
    <t>Miami-Dade</t>
  </si>
  <si>
    <t>FL</t>
  </si>
  <si>
    <t>Boone</t>
  </si>
  <si>
    <t>Bradley</t>
  </si>
  <si>
    <t>Carroll</t>
  </si>
  <si>
    <t>Kings</t>
  </si>
  <si>
    <t>NY</t>
  </si>
  <si>
    <t>Chicot</t>
  </si>
  <si>
    <t>Riverside</t>
  </si>
  <si>
    <t>Clark</t>
  </si>
  <si>
    <t>Queens</t>
  </si>
  <si>
    <t>King</t>
  </si>
  <si>
    <t>WA</t>
  </si>
  <si>
    <t>Cleveland</t>
  </si>
  <si>
    <t>Columbia</t>
  </si>
  <si>
    <t>NV</t>
  </si>
  <si>
    <t>Conway</t>
  </si>
  <si>
    <t>San Bernardino</t>
  </si>
  <si>
    <t>Craighead</t>
  </si>
  <si>
    <t>Crawford</t>
  </si>
  <si>
    <t>Crittenden</t>
  </si>
  <si>
    <t>Tarrant</t>
  </si>
  <si>
    <t>Cross</t>
  </si>
  <si>
    <t>Bexar</t>
  </si>
  <si>
    <t>Desha</t>
  </si>
  <si>
    <t>Broward</t>
  </si>
  <si>
    <t>Drew</t>
  </si>
  <si>
    <t>Faulkner</t>
  </si>
  <si>
    <t>Santa Clara</t>
  </si>
  <si>
    <t>Wayne</t>
  </si>
  <si>
    <t>MI</t>
  </si>
  <si>
    <t>Fulton</t>
  </si>
  <si>
    <t>Alameda</t>
  </si>
  <si>
    <t>Garland</t>
  </si>
  <si>
    <t>Grant</t>
  </si>
  <si>
    <t>Hempstead</t>
  </si>
  <si>
    <t>Hot Spring</t>
  </si>
  <si>
    <t>Middlesex</t>
  </si>
  <si>
    <t>MA</t>
  </si>
  <si>
    <t>Howard</t>
  </si>
  <si>
    <t>Independence</t>
  </si>
  <si>
    <t>Izard</t>
  </si>
  <si>
    <t>Philadelphia</t>
  </si>
  <si>
    <t>PA</t>
  </si>
  <si>
    <t>Johnson</t>
  </si>
  <si>
    <t>Lafayette</t>
  </si>
  <si>
    <t>Lincoln</t>
  </si>
  <si>
    <t>Little River</t>
  </si>
  <si>
    <t>Sacramento</t>
  </si>
  <si>
    <t>Logan</t>
  </si>
  <si>
    <t>Lonoke</t>
  </si>
  <si>
    <t>Miller</t>
  </si>
  <si>
    <t>Palm Beach</t>
  </si>
  <si>
    <t>Newton</t>
  </si>
  <si>
    <t>Ouachita</t>
  </si>
  <si>
    <t>Suffolk</t>
  </si>
  <si>
    <t>Phillips</t>
  </si>
  <si>
    <t>Poinsett</t>
  </si>
  <si>
    <t>Polk</t>
  </si>
  <si>
    <t>Pope</t>
  </si>
  <si>
    <t>Prairie</t>
  </si>
  <si>
    <t>Pulaski</t>
  </si>
  <si>
    <t>Hillsborough</t>
  </si>
  <si>
    <t>St Francis</t>
  </si>
  <si>
    <t>Saline</t>
  </si>
  <si>
    <t>Scott</t>
  </si>
  <si>
    <t>Searcy</t>
  </si>
  <si>
    <t>Sebastian</t>
  </si>
  <si>
    <t>Sevier</t>
  </si>
  <si>
    <t>Sharp</t>
  </si>
  <si>
    <t>Bronx</t>
  </si>
  <si>
    <t>Stone</t>
  </si>
  <si>
    <t>Union</t>
  </si>
  <si>
    <t>Van Buren</t>
  </si>
  <si>
    <t>Woodruff</t>
  </si>
  <si>
    <t>Yell</t>
  </si>
  <si>
    <t>Alpine</t>
  </si>
  <si>
    <t>N/A</t>
  </si>
  <si>
    <t>Amador</t>
  </si>
  <si>
    <t>*</t>
  </si>
  <si>
    <t>Butte</t>
  </si>
  <si>
    <t>Calaveras</t>
  </si>
  <si>
    <t>Colusa</t>
  </si>
  <si>
    <t>Contra Costa</t>
  </si>
  <si>
    <t>Del Norte</t>
  </si>
  <si>
    <t>El Dorado</t>
  </si>
  <si>
    <t>Nassau</t>
  </si>
  <si>
    <t>Fresno</t>
  </si>
  <si>
    <t>Glenn</t>
  </si>
  <si>
    <t>Humboldt</t>
  </si>
  <si>
    <t>Imperial</t>
  </si>
  <si>
    <t>Inyo</t>
  </si>
  <si>
    <t>Kern</t>
  </si>
  <si>
    <t>Lake</t>
  </si>
  <si>
    <t>Lassen</t>
  </si>
  <si>
    <t>OH</t>
  </si>
  <si>
    <t>Madera</t>
  </si>
  <si>
    <t>Marin</t>
  </si>
  <si>
    <t>Mariposa</t>
  </si>
  <si>
    <t>Mendocino</t>
  </si>
  <si>
    <t>Merced</t>
  </si>
  <si>
    <t>Modoc</t>
  </si>
  <si>
    <t>Mono</t>
  </si>
  <si>
    <t>M</t>
  </si>
  <si>
    <t>Monterey</t>
  </si>
  <si>
    <t>Napa</t>
  </si>
  <si>
    <t>Hennepin</t>
  </si>
  <si>
    <t>MN</t>
  </si>
  <si>
    <t>Placer</t>
  </si>
  <si>
    <t>Oakland</t>
  </si>
  <si>
    <t>Plumas</t>
  </si>
  <si>
    <t>Travis</t>
  </si>
  <si>
    <t>San Benito</t>
  </si>
  <si>
    <t>San Francisco</t>
  </si>
  <si>
    <t>San Joaquin</t>
  </si>
  <si>
    <t>Cuyahoga</t>
  </si>
  <si>
    <t>San Luis Obispo</t>
  </si>
  <si>
    <t>San Mateo</t>
  </si>
  <si>
    <t>Santa Barbara</t>
  </si>
  <si>
    <t>Allegheny</t>
  </si>
  <si>
    <t>Shasta</t>
  </si>
  <si>
    <t>Sierra</t>
  </si>
  <si>
    <t>Siskiyou</t>
  </si>
  <si>
    <t>Salt Lake</t>
  </si>
  <si>
    <t>UT</t>
  </si>
  <si>
    <t>Solano</t>
  </si>
  <si>
    <t>Sonoma</t>
  </si>
  <si>
    <t>Stanislaus</t>
  </si>
  <si>
    <t>Sutter</t>
  </si>
  <si>
    <t>Tehama</t>
  </si>
  <si>
    <t>Fairfax County</t>
  </si>
  <si>
    <t>VA</t>
  </si>
  <si>
    <t>Trinity</t>
  </si>
  <si>
    <t>Tulare</t>
  </si>
  <si>
    <t>Tuolumne</t>
  </si>
  <si>
    <t>Ventura</t>
  </si>
  <si>
    <t>Yolo</t>
  </si>
  <si>
    <t>Mecklenburg</t>
  </si>
  <si>
    <t>NC</t>
  </si>
  <si>
    <t>Yuba</t>
  </si>
  <si>
    <t>CO</t>
  </si>
  <si>
    <t>Wake</t>
  </si>
  <si>
    <t>Adams</t>
  </si>
  <si>
    <t>MD</t>
  </si>
  <si>
    <t>Alamosa</t>
  </si>
  <si>
    <t>Arapahoe</t>
  </si>
  <si>
    <t>Archuleta</t>
  </si>
  <si>
    <t>2</t>
  </si>
  <si>
    <t>Baca</t>
  </si>
  <si>
    <t>GA</t>
  </si>
  <si>
    <t>Bent</t>
  </si>
  <si>
    <t>Boulder</t>
  </si>
  <si>
    <t>Broomfield</t>
  </si>
  <si>
    <t>Chaffee</t>
  </si>
  <si>
    <t xml:space="preserve"> </t>
  </si>
  <si>
    <t>Cheyenne</t>
  </si>
  <si>
    <t>Clear Creek</t>
  </si>
  <si>
    <t>United States</t>
  </si>
  <si>
    <t>Conejos</t>
  </si>
  <si>
    <t>Costilla</t>
  </si>
  <si>
    <t>Crowley</t>
  </si>
  <si>
    <t>Collin</t>
  </si>
  <si>
    <t>Custer</t>
  </si>
  <si>
    <t>Delta</t>
  </si>
  <si>
    <t>Denver</t>
  </si>
  <si>
    <t>St. Louis</t>
  </si>
  <si>
    <t>MO</t>
  </si>
  <si>
    <t>Dolores</t>
  </si>
  <si>
    <t>Douglas</t>
  </si>
  <si>
    <t>Eagle</t>
  </si>
  <si>
    <t>Elbert</t>
  </si>
  <si>
    <t>El Paso</t>
  </si>
  <si>
    <t>Fremont</t>
  </si>
  <si>
    <t>Garfield</t>
  </si>
  <si>
    <t>Gilpin</t>
  </si>
  <si>
    <t>Honolulu</t>
  </si>
  <si>
    <t>HI</t>
  </si>
  <si>
    <t>Grand</t>
  </si>
  <si>
    <t>Gunnison</t>
  </si>
  <si>
    <t>Pinellas</t>
  </si>
  <si>
    <t>Hinsdale</t>
  </si>
  <si>
    <t>Huerfano</t>
  </si>
  <si>
    <t>Westchester</t>
  </si>
  <si>
    <t>Kiowa</t>
  </si>
  <si>
    <t>Kit Carson</t>
  </si>
  <si>
    <t>La Plata</t>
  </si>
  <si>
    <t>IN</t>
  </si>
  <si>
    <t>Larimer</t>
  </si>
  <si>
    <t>Las Animas</t>
  </si>
  <si>
    <t>Duval</t>
  </si>
  <si>
    <t>Mesa</t>
  </si>
  <si>
    <t>Mineral</t>
  </si>
  <si>
    <t>Moffat</t>
  </si>
  <si>
    <t>Milwaukee</t>
  </si>
  <si>
    <t>WI</t>
  </si>
  <si>
    <t>Montezuma</t>
  </si>
  <si>
    <t>Montrose</t>
  </si>
  <si>
    <t>Otero</t>
  </si>
  <si>
    <t>Fairfield</t>
  </si>
  <si>
    <t>CT</t>
  </si>
  <si>
    <t>Ouray</t>
  </si>
  <si>
    <t>Park</t>
  </si>
  <si>
    <t>Pitkin</t>
  </si>
  <si>
    <t>Bergen</t>
  </si>
  <si>
    <t>NJ</t>
  </si>
  <si>
    <t>Prowers</t>
  </si>
  <si>
    <t>Pueblo</t>
  </si>
  <si>
    <t>Rio Blanco</t>
  </si>
  <si>
    <t>TN</t>
  </si>
  <si>
    <t>Rio Grande</t>
  </si>
  <si>
    <t>Routt</t>
  </si>
  <si>
    <t>Saguache</t>
  </si>
  <si>
    <t>DuPage</t>
  </si>
  <si>
    <t>San Juan</t>
  </si>
  <si>
    <t>San Miguel</t>
  </si>
  <si>
    <t>Sedgwick</t>
  </si>
  <si>
    <t>Gwinnett</t>
  </si>
  <si>
    <t>Summit</t>
  </si>
  <si>
    <t>Teller</t>
  </si>
  <si>
    <t>Weld</t>
  </si>
  <si>
    <t>Erie</t>
  </si>
  <si>
    <t>Prince George's</t>
  </si>
  <si>
    <t>Hartford</t>
  </si>
  <si>
    <t>Litchfield</t>
  </si>
  <si>
    <t>New Haven</t>
  </si>
  <si>
    <t>New London</t>
  </si>
  <si>
    <t>Tolland</t>
  </si>
  <si>
    <t>Windham</t>
  </si>
  <si>
    <t>DE</t>
  </si>
  <si>
    <t>Pierce</t>
  </si>
  <si>
    <t>Kent</t>
  </si>
  <si>
    <t>New Castle</t>
  </si>
  <si>
    <t>Sussex</t>
  </si>
  <si>
    <t>DC</t>
  </si>
  <si>
    <t>Macomb</t>
  </si>
  <si>
    <t>Alachua</t>
  </si>
  <si>
    <t>Hidalgo</t>
  </si>
  <si>
    <t>Baker</t>
  </si>
  <si>
    <t>Bay</t>
  </si>
  <si>
    <t>Bradford</t>
  </si>
  <si>
    <t>Brevard</t>
  </si>
  <si>
    <t>Denton</t>
  </si>
  <si>
    <t>Charlotte</t>
  </si>
  <si>
    <t>Citrus</t>
  </si>
  <si>
    <t>Collier</t>
  </si>
  <si>
    <t>De Soto</t>
  </si>
  <si>
    <t>Dixie</t>
  </si>
  <si>
    <t>Flagler</t>
  </si>
  <si>
    <t>Worcester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</si>
  <si>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</si>
  <si>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</si>
  <si>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</si>
  <si>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</si>
  <si>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</si>
  <si>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</si>
  <si>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</si>
  <si>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</si>
  <si>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</si>
  <si>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Holmes</t>
  </si>
  <si>
    <t>Baltimore County</t>
  </si>
  <si>
    <t>Indian River</t>
  </si>
  <si>
    <t>Leon</t>
  </si>
  <si>
    <t>Levy</t>
  </si>
  <si>
    <t>Snohomish</t>
  </si>
  <si>
    <t>Liberty</t>
  </si>
  <si>
    <t>Manatee</t>
  </si>
  <si>
    <t>Martin</t>
  </si>
  <si>
    <t>Multnomah</t>
  </si>
  <si>
    <t>OR</t>
  </si>
  <si>
    <t>Okaloosa</t>
  </si>
  <si>
    <t>Okeechobee</t>
  </si>
  <si>
    <t>Osceola</t>
  </si>
  <si>
    <t>Essex</t>
  </si>
  <si>
    <t>Pasco</t>
  </si>
  <si>
    <t>Putnam</t>
  </si>
  <si>
    <t>OK</t>
  </si>
  <si>
    <t>St Johns</t>
  </si>
  <si>
    <t>St Lucie</t>
  </si>
  <si>
    <t>Santa Rosa</t>
  </si>
  <si>
    <t>Sarasota</t>
  </si>
  <si>
    <t>Seminole</t>
  </si>
  <si>
    <t>Suwannee</t>
  </si>
  <si>
    <t>Taylor</t>
  </si>
  <si>
    <t>Fort Bend</t>
  </si>
  <si>
    <t>Volusia</t>
  </si>
  <si>
    <t>Wakulla</t>
  </si>
  <si>
    <t>Walton</t>
  </si>
  <si>
    <t>KY</t>
  </si>
  <si>
    <t>Appling</t>
  </si>
  <si>
    <t>Atkinson</t>
  </si>
  <si>
    <t>Bacon</t>
  </si>
  <si>
    <t>Banks</t>
  </si>
  <si>
    <t>Cobb</t>
  </si>
  <si>
    <t>Barrow</t>
  </si>
  <si>
    <t>Bartow</t>
  </si>
  <si>
    <t>Ben Hill</t>
  </si>
  <si>
    <t>Berrien</t>
  </si>
  <si>
    <t>Bleckley</t>
  </si>
  <si>
    <t>Brantley</t>
  </si>
  <si>
    <t>Brooks</t>
  </si>
  <si>
    <t>Bryan</t>
  </si>
  <si>
    <t>Bulloch</t>
  </si>
  <si>
    <t>Burke</t>
  </si>
  <si>
    <t>Butts</t>
  </si>
  <si>
    <t>Camden</t>
  </si>
  <si>
    <t>Candler</t>
  </si>
  <si>
    <t>Catoosa</t>
  </si>
  <si>
    <t>Charlton</t>
  </si>
  <si>
    <t>Chatham</t>
  </si>
  <si>
    <t>Chattahoochee</t>
  </si>
  <si>
    <t>Chattooga</t>
  </si>
  <si>
    <t>Clayton</t>
  </si>
  <si>
    <t>Clinch</t>
  </si>
  <si>
    <t>Colquitt</t>
  </si>
  <si>
    <t>Norfolk</t>
  </si>
  <si>
    <t>Coweta</t>
  </si>
  <si>
    <t>Crisp</t>
  </si>
  <si>
    <t>Dade</t>
  </si>
  <si>
    <t>Dawson</t>
  </si>
  <si>
    <t>Decatur</t>
  </si>
  <si>
    <t>Dodge</t>
  </si>
  <si>
    <t>Dooly</t>
  </si>
  <si>
    <t>Dougherty</t>
  </si>
  <si>
    <t>Early</t>
  </si>
  <si>
    <t>Echols</t>
  </si>
  <si>
    <t>Effingham</t>
  </si>
  <si>
    <t>Davidson</t>
  </si>
  <si>
    <t>Emanuel</t>
  </si>
  <si>
    <t>Evans</t>
  </si>
  <si>
    <t>Will</t>
  </si>
  <si>
    <t>Fannin</t>
  </si>
  <si>
    <t>Floyd</t>
  </si>
  <si>
    <t>Forsyth</t>
  </si>
  <si>
    <t>Bernalillo</t>
  </si>
  <si>
    <t>NM</t>
  </si>
  <si>
    <t>Gilmer</t>
  </si>
  <si>
    <t>Hudson</t>
  </si>
  <si>
    <t>Glascock</t>
  </si>
  <si>
    <t>Glynn</t>
  </si>
  <si>
    <t>Gordon</t>
  </si>
  <si>
    <t>Grady</t>
  </si>
  <si>
    <t>Habersham</t>
  </si>
  <si>
    <t>Hall</t>
  </si>
  <si>
    <t>Hancock</t>
  </si>
  <si>
    <t>Haralson</t>
  </si>
  <si>
    <t>Hart</t>
  </si>
  <si>
    <t>Heard</t>
  </si>
  <si>
    <t>Irwin</t>
  </si>
  <si>
    <t>Tulsa</t>
  </si>
  <si>
    <t>Jasper</t>
  </si>
  <si>
    <t>Jeff Davis</t>
  </si>
  <si>
    <t>Providence</t>
  </si>
  <si>
    <t>RI</t>
  </si>
  <si>
    <t>Jenkins</t>
  </si>
  <si>
    <t>Jones</t>
  </si>
  <si>
    <t>Bucks</t>
  </si>
  <si>
    <t>Lanier</t>
  </si>
  <si>
    <t>Laurens</t>
  </si>
  <si>
    <t>Long</t>
  </si>
  <si>
    <t>Monmouth</t>
  </si>
  <si>
    <t>Lumpkin</t>
  </si>
  <si>
    <t>McDuffie</t>
  </si>
  <si>
    <t>McIntosh</t>
  </si>
  <si>
    <t>Baltimore City</t>
  </si>
  <si>
    <t>Ocean</t>
  </si>
  <si>
    <t>Meriwether</t>
  </si>
  <si>
    <t>Mitchell</t>
  </si>
  <si>
    <t>Murray</t>
  </si>
  <si>
    <t>KS</t>
  </si>
  <si>
    <t>Muscogee</t>
  </si>
  <si>
    <t>Oconee</t>
  </si>
  <si>
    <t>Oglethorpe</t>
  </si>
  <si>
    <t>Paulding</t>
  </si>
  <si>
    <t>Peach</t>
  </si>
  <si>
    <t>Quitman</t>
  </si>
  <si>
    <t>Rabun</t>
  </si>
  <si>
    <t>Anne Arundel</t>
  </si>
  <si>
    <t>Richmond</t>
  </si>
  <si>
    <t>Rockdale</t>
  </si>
  <si>
    <t>Schley</t>
  </si>
  <si>
    <t>NE</t>
  </si>
  <si>
    <t>Screven</t>
  </si>
  <si>
    <t>Spalding</t>
  </si>
  <si>
    <t>Williamson</t>
  </si>
  <si>
    <t>Stephens</t>
  </si>
  <si>
    <t>Stewart</t>
  </si>
  <si>
    <t>Talbot</t>
  </si>
  <si>
    <t>Taliaferro</t>
  </si>
  <si>
    <t>Tattnall</t>
  </si>
  <si>
    <t>Telfair</t>
  </si>
  <si>
    <t>Bristol</t>
  </si>
  <si>
    <t>Terrell</t>
  </si>
  <si>
    <t>Thomas</t>
  </si>
  <si>
    <t>Tift</t>
  </si>
  <si>
    <t>Toombs</t>
  </si>
  <si>
    <t>Towns</t>
  </si>
  <si>
    <t>Treutlen</t>
  </si>
  <si>
    <t>Troup</t>
  </si>
  <si>
    <t>Turner</t>
  </si>
  <si>
    <t>Twiggs</t>
  </si>
  <si>
    <t>Upson</t>
  </si>
  <si>
    <t>Ramsey</t>
  </si>
  <si>
    <t>Ware</t>
  </si>
  <si>
    <t>Warren</t>
  </si>
  <si>
    <t>Webster</t>
  </si>
  <si>
    <t>Wheeler</t>
  </si>
  <si>
    <t>Lancaster</t>
  </si>
  <si>
    <t>Whitfield</t>
  </si>
  <si>
    <t>Dane</t>
  </si>
  <si>
    <t>Wilkes</t>
  </si>
  <si>
    <t>Wilkinson</t>
  </si>
  <si>
    <t>Worth</t>
  </si>
  <si>
    <t>Kane</t>
  </si>
  <si>
    <t>Kalawao</t>
  </si>
  <si>
    <t>Kauai</t>
  </si>
  <si>
    <t>Maui</t>
  </si>
  <si>
    <t>ID</t>
  </si>
  <si>
    <t>Ada</t>
  </si>
  <si>
    <t>Bannock</t>
  </si>
  <si>
    <t>Bear Lake</t>
  </si>
  <si>
    <t>Benewah</t>
  </si>
  <si>
    <t>Bingham</t>
  </si>
  <si>
    <t>Blaine</t>
  </si>
  <si>
    <t>Boise</t>
  </si>
  <si>
    <t>Bonner</t>
  </si>
  <si>
    <t>Bonneville</t>
  </si>
  <si>
    <t>Boundary</t>
  </si>
  <si>
    <t>Camas</t>
  </si>
  <si>
    <t>Canyon</t>
  </si>
  <si>
    <t>Caribou</t>
  </si>
  <si>
    <t>Cassia</t>
  </si>
  <si>
    <t>Clearwater</t>
  </si>
  <si>
    <t>Gem</t>
  </si>
  <si>
    <t>Gooding</t>
  </si>
  <si>
    <t>Jerome</t>
  </si>
  <si>
    <t>Kootenai</t>
  </si>
  <si>
    <t>Latah</t>
  </si>
  <si>
    <t>Lemhi</t>
  </si>
  <si>
    <t>Lewis</t>
  </si>
  <si>
    <t>Minidoka</t>
  </si>
  <si>
    <t>Nez Perce</t>
  </si>
  <si>
    <t>Oneida</t>
  </si>
  <si>
    <t>Owyhee</t>
  </si>
  <si>
    <t>Payette</t>
  </si>
  <si>
    <t>Power</t>
  </si>
  <si>
    <t>Shoshone</t>
  </si>
  <si>
    <t>Teton</t>
  </si>
  <si>
    <t>Twin Falls</t>
  </si>
  <si>
    <t>Valley</t>
  </si>
  <si>
    <t>Number of Children in Care</t>
  </si>
  <si>
    <t>Average Beds per Family</t>
  </si>
  <si>
    <t>Number of Children in Foster Care</t>
  </si>
  <si>
    <t>Number of Children Placed Out-of-County</t>
  </si>
  <si>
    <t>Number of Foster and Kinship Homes</t>
  </si>
  <si>
    <t>Number of Children with 80+ Connections Made</t>
  </si>
  <si>
    <t>Biological Family Reunification Rate</t>
  </si>
  <si>
    <t>Number of Adoptive Families</t>
  </si>
  <si>
    <t>Number of Biological Families</t>
  </si>
  <si>
    <t>Number of Wraparound Supporters</t>
  </si>
  <si>
    <t>Foster Family Retention Rate</t>
  </si>
  <si>
    <t>Alexander</t>
  </si>
  <si>
    <t>Bond</t>
  </si>
  <si>
    <t>Brown</t>
  </si>
  <si>
    <t>Bureau</t>
  </si>
  <si>
    <t>Cass</t>
  </si>
  <si>
    <t>Champaign</t>
  </si>
  <si>
    <t>Christian</t>
  </si>
  <si>
    <t>Clinton</t>
  </si>
  <si>
    <t>Coles</t>
  </si>
  <si>
    <t>Cumberland</t>
  </si>
  <si>
    <t>Dewitt</t>
  </si>
  <si>
    <t>Du Page</t>
  </si>
  <si>
    <t>Edgar</t>
  </si>
  <si>
    <t>Edwards</t>
  </si>
  <si>
    <t>Ford</t>
  </si>
  <si>
    <t>Gallatin</t>
  </si>
  <si>
    <t>Grundy</t>
  </si>
  <si>
    <t>Hardin</t>
  </si>
  <si>
    <t>Henderson</t>
  </si>
  <si>
    <t>Iroquois</t>
  </si>
  <si>
    <t>Jersey</t>
  </si>
  <si>
    <t>Jo Daviess</t>
  </si>
  <si>
    <t>Kankakee</t>
  </si>
  <si>
    <t>Kendall</t>
  </si>
  <si>
    <t>Knox</t>
  </si>
  <si>
    <t>La Salle</t>
  </si>
  <si>
    <t>Livingston</t>
  </si>
  <si>
    <t>McDonough</t>
  </si>
  <si>
    <t>McHenry</t>
  </si>
  <si>
    <t>Mclean</t>
  </si>
  <si>
    <t>Macoupin</t>
  </si>
  <si>
    <t>Mason</t>
  </si>
  <si>
    <t>Massac</t>
  </si>
  <si>
    <t>Menard</t>
  </si>
  <si>
    <t>Mercer</t>
  </si>
  <si>
    <t>Moultrie</t>
  </si>
  <si>
    <t>Ogle</t>
  </si>
  <si>
    <t>Peoria</t>
  </si>
  <si>
    <t>Piatt</t>
  </si>
  <si>
    <t>Richland</t>
  </si>
  <si>
    <t>Rock Island</t>
  </si>
  <si>
    <t>Sangamon</t>
  </si>
  <si>
    <t>Schuyler</t>
  </si>
  <si>
    <t>Stark</t>
  </si>
  <si>
    <t>Stephenson</t>
  </si>
  <si>
    <t>Tazewell</t>
  </si>
  <si>
    <t>Vermilion</t>
  </si>
  <si>
    <t>Wabash</t>
  </si>
  <si>
    <t>Whiteside</t>
  </si>
  <si>
    <t>Winnebago</t>
  </si>
  <si>
    <t>Woodford</t>
  </si>
  <si>
    <t>Allen</t>
  </si>
  <si>
    <t>Bartholomew</t>
  </si>
  <si>
    <t>Blackford</t>
  </si>
  <si>
    <t>Daviess</t>
  </si>
  <si>
    <t>Dearborn</t>
  </si>
  <si>
    <t>Dubois</t>
  </si>
  <si>
    <t>Elkhart</t>
  </si>
  <si>
    <t>Fountain</t>
  </si>
  <si>
    <t>Gibson</t>
  </si>
  <si>
    <t>NUMBER OF CHILDREN IN OUT-OF-HOME PLACEMENT</t>
  </si>
  <si>
    <t xml:space="preserve">SOURCE: </t>
  </si>
  <si>
    <t>Department of Human Resources</t>
  </si>
  <si>
    <t xml:space="preserve">DATE UPDATED: </t>
  </si>
  <si>
    <t>St. Clair</t>
  </si>
  <si>
    <t xml:space="preserve">DATE COLLECTED: </t>
  </si>
  <si>
    <t># In Care</t>
  </si>
  <si>
    <t>Placement Type</t>
  </si>
  <si>
    <t># in each placement</t>
  </si>
  <si>
    <t>Blank</t>
  </si>
  <si>
    <t>Foster Family Home (Non-Relative)</t>
  </si>
  <si>
    <t>Harrison</t>
  </si>
  <si>
    <t>Foster Family Home (Relative)</t>
  </si>
  <si>
    <t>Group Home</t>
  </si>
  <si>
    <t>Hendricks</t>
  </si>
  <si>
    <t>Institution</t>
  </si>
  <si>
    <t>Pre-Adoptive Home</t>
  </si>
  <si>
    <t>Runaway</t>
  </si>
  <si>
    <t>Supervised Independent Living</t>
  </si>
  <si>
    <t>Trial Home Viisit</t>
  </si>
  <si>
    <t>Statewide Total</t>
  </si>
  <si>
    <t>Huntington</t>
  </si>
  <si>
    <t>Jay</t>
  </si>
  <si>
    <t>Jennings</t>
  </si>
  <si>
    <t>Kosciusko</t>
  </si>
  <si>
    <t>Lagrange</t>
  </si>
  <si>
    <t>La Porte</t>
  </si>
  <si>
    <t>Miami</t>
  </si>
  <si>
    <t>NUMBER OF CHILDREN WAITING FOR ADOPTION</t>
  </si>
  <si>
    <t>Noble</t>
  </si>
  <si>
    <t># Waiting</t>
  </si>
  <si>
    <t>AUTAUGA</t>
  </si>
  <si>
    <t>BALDWIN</t>
  </si>
  <si>
    <t>BARBOUR</t>
  </si>
  <si>
    <t>BLOUNT</t>
  </si>
  <si>
    <t>CALHOUN</t>
  </si>
  <si>
    <t>CHAMBERS</t>
  </si>
  <si>
    <t>CHEROKEE</t>
  </si>
  <si>
    <t>Owen</t>
  </si>
  <si>
    <t>CHILTON</t>
  </si>
  <si>
    <t>CLAY</t>
  </si>
  <si>
    <t>CLEBURNE</t>
  </si>
  <si>
    <t>COFFEE</t>
  </si>
  <si>
    <t>Parke</t>
  </si>
  <si>
    <t>COLBERT</t>
  </si>
  <si>
    <t>CONECUH</t>
  </si>
  <si>
    <t>COVINGTON</t>
  </si>
  <si>
    <t>CRENSHAW</t>
  </si>
  <si>
    <t>CULLMAN</t>
  </si>
  <si>
    <t>DALLAS</t>
  </si>
  <si>
    <t>DALE</t>
  </si>
  <si>
    <t>DE KALB</t>
  </si>
  <si>
    <t>ELMORE</t>
  </si>
  <si>
    <t>ESCAMBIA</t>
  </si>
  <si>
    <t>ETOWAH</t>
  </si>
  <si>
    <t>Porter</t>
  </si>
  <si>
    <t>FRANKLIN</t>
  </si>
  <si>
    <t>GENEVA</t>
  </si>
  <si>
    <t>GREENE</t>
  </si>
  <si>
    <t>Posey</t>
  </si>
  <si>
    <t>HENRY</t>
  </si>
  <si>
    <t>HOUSTON</t>
  </si>
  <si>
    <t>JACKSON</t>
  </si>
  <si>
    <t>JEFFERSON</t>
  </si>
  <si>
    <t>LAUDERDALE</t>
  </si>
  <si>
    <t>LAWRENCE</t>
  </si>
  <si>
    <t>LEE</t>
  </si>
  <si>
    <t>LIMESTONE</t>
  </si>
  <si>
    <t>LOWNDES</t>
  </si>
  <si>
    <t>MADISON</t>
  </si>
  <si>
    <t>MARENGO</t>
  </si>
  <si>
    <t>MARSHALL</t>
  </si>
  <si>
    <t>MOBILE</t>
  </si>
  <si>
    <t>MONTGOMERY</t>
  </si>
  <si>
    <t>MORGAN</t>
  </si>
  <si>
    <t>Ripley</t>
  </si>
  <si>
    <t>PIKE</t>
  </si>
  <si>
    <t>RANDOLPH</t>
  </si>
  <si>
    <t>Rush</t>
  </si>
  <si>
    <t>RUSSELL</t>
  </si>
  <si>
    <t>ST. CLAIR</t>
  </si>
  <si>
    <t>SHELBY</t>
  </si>
  <si>
    <t>TALLADEGA</t>
  </si>
  <si>
    <t>St Joseph</t>
  </si>
  <si>
    <t>TALLAPOOSA</t>
  </si>
  <si>
    <t>TUSCALOOSA</t>
  </si>
  <si>
    <t>WALKER</t>
  </si>
  <si>
    <t>WINSTON</t>
  </si>
  <si>
    <t>NUMBER OF LICENSED FOSTER HOMES</t>
  </si>
  <si>
    <t># Foster Homes</t>
  </si>
  <si>
    <t>Spencer</t>
  </si>
  <si>
    <t>BIBB</t>
  </si>
  <si>
    <t>Starke</t>
  </si>
  <si>
    <t>BULLOCK</t>
  </si>
  <si>
    <t>BUTLER</t>
  </si>
  <si>
    <t>Steuben</t>
  </si>
  <si>
    <t>Sullivan</t>
  </si>
  <si>
    <t>CLARKE</t>
  </si>
  <si>
    <t>Switzerland</t>
  </si>
  <si>
    <t>COOSA</t>
  </si>
  <si>
    <t>Tippecanoe</t>
  </si>
  <si>
    <t>Tipton</t>
  </si>
  <si>
    <t>Vanderburgh</t>
  </si>
  <si>
    <t>FAYETTE</t>
  </si>
  <si>
    <t>Vermillion</t>
  </si>
  <si>
    <t>HALE</t>
  </si>
  <si>
    <t>Vigo</t>
  </si>
  <si>
    <t>LAMAR</t>
  </si>
  <si>
    <t>Warrick</t>
  </si>
  <si>
    <t>MACON</t>
  </si>
  <si>
    <t>MARION</t>
  </si>
  <si>
    <t>MONROE</t>
  </si>
  <si>
    <t>Wells</t>
  </si>
  <si>
    <t>PERRY</t>
  </si>
  <si>
    <t>PICKENS</t>
  </si>
  <si>
    <t>Whitley</t>
  </si>
  <si>
    <t>SUMTER</t>
  </si>
  <si>
    <t>IA</t>
  </si>
  <si>
    <t>Adair</t>
  </si>
  <si>
    <t>WASHINGTON</t>
  </si>
  <si>
    <t>NUMBER OF IN-HOME CASES</t>
  </si>
  <si>
    <t># In Home Cases</t>
  </si>
  <si>
    <t>Allamakee</t>
  </si>
  <si>
    <t>Appanoose</t>
  </si>
  <si>
    <t>Audubon</t>
  </si>
  <si>
    <t>CHOCTAW</t>
  </si>
  <si>
    <t>Black Hawk</t>
  </si>
  <si>
    <t>Bremer</t>
  </si>
  <si>
    <t>Buchanan</t>
  </si>
  <si>
    <t>Buena Vista</t>
  </si>
  <si>
    <t>Cedar</t>
  </si>
  <si>
    <t>Cerro Gordo</t>
  </si>
  <si>
    <t>Chickasaw</t>
  </si>
  <si>
    <t>Davis</t>
  </si>
  <si>
    <t>Des Moines</t>
  </si>
  <si>
    <t>Dickinson</t>
  </si>
  <si>
    <t>Dubuque</t>
  </si>
  <si>
    <t>Emmet</t>
  </si>
  <si>
    <t>Guthrie</t>
  </si>
  <si>
    <t>Ida</t>
  </si>
  <si>
    <t>Northern</t>
  </si>
  <si>
    <t>Keokuk</t>
  </si>
  <si>
    <t>Kossuth</t>
  </si>
  <si>
    <t>Linn</t>
  </si>
  <si>
    <t>Louisa</t>
  </si>
  <si>
    <t>Lucas</t>
  </si>
  <si>
    <t>Lyon</t>
  </si>
  <si>
    <t>Southcentral</t>
  </si>
  <si>
    <t>Mahaska</t>
  </si>
  <si>
    <t>Mills</t>
  </si>
  <si>
    <t>¿¿¿</t>
  </si>
  <si>
    <t>Monona</t>
  </si>
  <si>
    <t>SHARED DATA</t>
  </si>
  <si>
    <t>Muscatine</t>
  </si>
  <si>
    <t>ARO</t>
  </si>
  <si>
    <t>SCRO</t>
  </si>
  <si>
    <t>NRO</t>
  </si>
  <si>
    <t>WRO</t>
  </si>
  <si>
    <t>SERO</t>
  </si>
  <si>
    <t>Total</t>
  </si>
  <si>
    <t>*there were 32 children at the time the data was pulled that were in a status (like runaway or placed in an adult assisted living facility, etc.) These children are not accounted for here.</t>
  </si>
  <si>
    <t>Obrien</t>
  </si>
  <si>
    <t>Southeast</t>
  </si>
  <si>
    <t>Page</t>
  </si>
  <si>
    <t>Palo Alto</t>
  </si>
  <si>
    <t>Plymouth</t>
  </si>
  <si>
    <t>Pocahontas</t>
  </si>
  <si>
    <t>Pottawattamie</t>
  </si>
  <si>
    <t>Poweshiek</t>
  </si>
  <si>
    <t>We don't have a reliable way of identifying children placed outside of their home region. This is something we are working on.</t>
  </si>
  <si>
    <t>Western</t>
  </si>
  <si>
    <t>Ringgold</t>
  </si>
  <si>
    <t>Sac</t>
  </si>
  <si>
    <t>Sioux</t>
  </si>
  <si>
    <t>Number of Children Legally Free for Adoption</t>
  </si>
  <si>
    <t>Story</t>
  </si>
  <si>
    <t>Tama</t>
  </si>
  <si>
    <t>We don't have a designation of "family preservation." We do in-home cases but we don't have a reliable way of identifying these due to a number of reasons stemming from how things are documented in our database. This number would be very small though.</t>
  </si>
  <si>
    <t>Wapello</t>
  </si>
  <si>
    <t>Dept. of Heath and Social Services, Office of Children's Services</t>
  </si>
  <si>
    <t>Foster Home</t>
  </si>
  <si>
    <t>Winneshiek</t>
  </si>
  <si>
    <t>Woodbury</t>
  </si>
  <si>
    <t>ARO Foster Home</t>
  </si>
  <si>
    <t>NRO Foster Home</t>
  </si>
  <si>
    <t>Wright</t>
  </si>
  <si>
    <t>SCRO Foster Home</t>
  </si>
  <si>
    <t>SERO Foster Home</t>
  </si>
  <si>
    <t>WRO Foster Home</t>
  </si>
  <si>
    <t>OOS Foster Home</t>
  </si>
  <si>
    <t>Anderson</t>
  </si>
  <si>
    <t>Atchison</t>
  </si>
  <si>
    <t>0-5</t>
  </si>
  <si>
    <t>Barber</t>
  </si>
  <si>
    <t>Barton</t>
  </si>
  <si>
    <t>Bourbon</t>
  </si>
  <si>
    <t>Chase</t>
  </si>
  <si>
    <t>Chautauqua</t>
  </si>
  <si>
    <t>Cloud</t>
  </si>
  <si>
    <t>Coffey</t>
  </si>
  <si>
    <t>Comanche</t>
  </si>
  <si>
    <t>Cowley</t>
  </si>
  <si>
    <t>Lake And Peninsula</t>
  </si>
  <si>
    <t>Doniphan</t>
  </si>
  <si>
    <t>Elk</t>
  </si>
  <si>
    <t>Ellis</t>
  </si>
  <si>
    <t>Ellsworth</t>
  </si>
  <si>
    <t>Finney</t>
  </si>
  <si>
    <t>Prince of Wales Hyder</t>
  </si>
  <si>
    <t>Geary</t>
  </si>
  <si>
    <t>Gove</t>
  </si>
  <si>
    <t>Gray</t>
  </si>
  <si>
    <t>Greeley</t>
  </si>
  <si>
    <t>Greenwood</t>
  </si>
  <si>
    <t>Harper</t>
  </si>
  <si>
    <t>Harvey</t>
  </si>
  <si>
    <t>Haskell</t>
  </si>
  <si>
    <t>Hodgeman</t>
  </si>
  <si>
    <t>Jewell</t>
  </si>
  <si>
    <t>Kearny</t>
  </si>
  <si>
    <t>Kingman</t>
  </si>
  <si>
    <t>Labette</t>
  </si>
  <si>
    <t>Lane</t>
  </si>
  <si>
    <t>Leavenworth</t>
  </si>
  <si>
    <t>McPherson</t>
  </si>
  <si>
    <t>Meade</t>
  </si>
  <si>
    <t>Morris</t>
  </si>
  <si>
    <t>Morton</t>
  </si>
  <si>
    <t>Nemaha</t>
  </si>
  <si>
    <t>Neosho</t>
  </si>
  <si>
    <t>Ness</t>
  </si>
  <si>
    <t>Norton</t>
  </si>
  <si>
    <t>Osage</t>
  </si>
  <si>
    <t>Osborne</t>
  </si>
  <si>
    <t>Ottawa</t>
  </si>
  <si>
    <t>Pawnee</t>
  </si>
  <si>
    <t>Pottawatomie</t>
  </si>
  <si>
    <t>Pratt</t>
  </si>
  <si>
    <t>Rawlins</t>
  </si>
  <si>
    <t>Reno</t>
  </si>
  <si>
    <t>Republic</t>
  </si>
  <si>
    <t>Rice</t>
  </si>
  <si>
    <t>Riley</t>
  </si>
  <si>
    <t>Rooks</t>
  </si>
  <si>
    <t>Seward</t>
  </si>
  <si>
    <t>Shawnee</t>
  </si>
  <si>
    <t>Sheridan</t>
  </si>
  <si>
    <t>Sherman</t>
  </si>
  <si>
    <t>Smith</t>
  </si>
  <si>
    <t>Stafford</t>
  </si>
  <si>
    <t>Stanton</t>
  </si>
  <si>
    <t>Stevens</t>
  </si>
  <si>
    <t>Sumner</t>
  </si>
  <si>
    <t>Trego</t>
  </si>
  <si>
    <t>Wabaunsee</t>
  </si>
  <si>
    <t>Wallace</t>
  </si>
  <si>
    <t>Wichita</t>
  </si>
  <si>
    <t>Wilson</t>
  </si>
  <si>
    <t>Woodson</t>
  </si>
  <si>
    <t>Wyandotte</t>
  </si>
  <si>
    <t>Ballard</t>
  </si>
  <si>
    <t>Barren</t>
  </si>
  <si>
    <t>Bath</t>
  </si>
  <si>
    <t>Bell</t>
  </si>
  <si>
    <t>Boyd</t>
  </si>
  <si>
    <t>Boyle</t>
  </si>
  <si>
    <t>Bracken</t>
  </si>
  <si>
    <t>Breathitt</t>
  </si>
  <si>
    <t>Breckinridge</t>
  </si>
  <si>
    <t>Bullitt</t>
  </si>
  <si>
    <t>Caldwell</t>
  </si>
  <si>
    <t>Calloway</t>
  </si>
  <si>
    <t>Campbell</t>
  </si>
  <si>
    <t>Carlisle</t>
  </si>
  <si>
    <t>Carter</t>
  </si>
  <si>
    <t>Casey</t>
  </si>
  <si>
    <t>NUMBER OF CHILDREN IN CARE</t>
  </si>
  <si>
    <t>Edmonson</t>
  </si>
  <si>
    <t>Arizona Dept. of Child Safety</t>
  </si>
  <si>
    <t>DATE UPDATED:</t>
  </si>
  <si>
    <t>DATE COLLECTED:</t>
  </si>
  <si>
    <t>Elliott</t>
  </si>
  <si>
    <t>Estill</t>
  </si>
  <si>
    <t>Out-Of-Home Population (by Child)</t>
  </si>
  <si>
    <t>0-17 Years Old</t>
  </si>
  <si>
    <t>Fleming</t>
  </si>
  <si>
    <t>18+ Years Old</t>
  </si>
  <si>
    <t>0-17</t>
  </si>
  <si>
    <t>18+</t>
  </si>
  <si>
    <t>Total in Out-of-Home Care</t>
  </si>
  <si>
    <t>Unlicensed (Primarily Kinship)</t>
  </si>
  <si>
    <t>Kinship Care</t>
  </si>
  <si>
    <t>AGE RANGE</t>
  </si>
  <si>
    <t>Family Foster Home</t>
  </si>
  <si>
    <t>Foster Care</t>
  </si>
  <si>
    <t>0-12 months</t>
  </si>
  <si>
    <t>Garrard</t>
  </si>
  <si>
    <t>1 years</t>
  </si>
  <si>
    <t>Family Foster Home - DDD</t>
  </si>
  <si>
    <t>2-3 years</t>
  </si>
  <si>
    <t>Family Foster Home - Out of State</t>
  </si>
  <si>
    <t>4-5 years</t>
  </si>
  <si>
    <t>Family Foster Home - Medically Fragile</t>
  </si>
  <si>
    <t>6-8 years</t>
  </si>
  <si>
    <t>Graves</t>
  </si>
  <si>
    <t>Family Foster Home - Specialized</t>
  </si>
  <si>
    <t>9-12 years</t>
  </si>
  <si>
    <t>Family Foster Home - Therapeutic Foster Care</t>
  </si>
  <si>
    <t>Grayson</t>
  </si>
  <si>
    <t>13-17 years</t>
  </si>
  <si>
    <t>Family Foster Home &amp; Unlicensed (Non-Kinship) 4</t>
  </si>
  <si>
    <t>Green</t>
  </si>
  <si>
    <t>Unavailable</t>
  </si>
  <si>
    <t>Family Foster Home &amp; Unlicensed (Kinship) 4</t>
  </si>
  <si>
    <t>Greenup</t>
  </si>
  <si>
    <t>ETHNICITY</t>
  </si>
  <si>
    <t>Congregate Care - Shelter Care</t>
  </si>
  <si>
    <t>African-American</t>
  </si>
  <si>
    <t>Congregate Care - Group Home</t>
  </si>
  <si>
    <t>American Indian</t>
  </si>
  <si>
    <t>Standard GH</t>
  </si>
  <si>
    <t>Medical GH</t>
  </si>
  <si>
    <t>Hispanic</t>
  </si>
  <si>
    <t>Mother/Infant/House/Teen Parent GH</t>
  </si>
  <si>
    <t>Harlan</t>
  </si>
  <si>
    <t>Other / Unknown</t>
  </si>
  <si>
    <t>DDD GH</t>
  </si>
  <si>
    <t>Caucasian</t>
  </si>
  <si>
    <t>Congregate Care - QRTP Group Home</t>
  </si>
  <si>
    <t>SUM 0-18+ YEARS OLD</t>
  </si>
  <si>
    <t>Sexually Maladaptive GH</t>
  </si>
  <si>
    <t>COUNTY OF ENTRY</t>
  </si>
  <si>
    <t>Significant Trauma GH</t>
  </si>
  <si>
    <t>Hickman</t>
  </si>
  <si>
    <t>Structured GH</t>
  </si>
  <si>
    <t>Hopkins</t>
  </si>
  <si>
    <t>Congregate Care - Residential Treatment</t>
  </si>
  <si>
    <t>BHRF</t>
  </si>
  <si>
    <t>Jessamine</t>
  </si>
  <si>
    <t>BHIF</t>
  </si>
  <si>
    <t>Welcome Centers</t>
  </si>
  <si>
    <t>Kenton</t>
  </si>
  <si>
    <t>Detention</t>
  </si>
  <si>
    <t>Knott</t>
  </si>
  <si>
    <t>Hospital &amp; Other</t>
  </si>
  <si>
    <t>Independent Living</t>
  </si>
  <si>
    <t>Larue</t>
  </si>
  <si>
    <t>Laurel</t>
  </si>
  <si>
    <t>Missing/Abducted</t>
  </si>
  <si>
    <t>Service Authorization Pending</t>
  </si>
  <si>
    <t>Other Facility / Parent Guardian (Trial Home Visit)</t>
  </si>
  <si>
    <t>Leslie</t>
  </si>
  <si>
    <t>Letcher</t>
  </si>
  <si>
    <t>McCracken</t>
  </si>
  <si>
    <t>McCreary</t>
  </si>
  <si>
    <t>Magoffin</t>
  </si>
  <si>
    <t># of Licensed Foster Homes</t>
  </si>
  <si>
    <t>Menifee</t>
  </si>
  <si>
    <t>Metcalfe</t>
  </si>
  <si>
    <t># of Children Legally Free with a case plan goal of Adoption</t>
  </si>
  <si>
    <t>Muhlenberg</t>
  </si>
  <si>
    <t>Nelson</t>
  </si>
  <si>
    <t>Nicholas</t>
  </si>
  <si>
    <t>Oldham</t>
  </si>
  <si>
    <t>Owsley</t>
  </si>
  <si>
    <t>Pendleton</t>
  </si>
  <si>
    <t>Powell</t>
  </si>
  <si>
    <t>Robertson</t>
  </si>
  <si>
    <t>Rockcastle</t>
  </si>
  <si>
    <t>Rowan</t>
  </si>
  <si>
    <t>Simpson</t>
  </si>
  <si>
    <t>Todd</t>
  </si>
  <si>
    <t>Trigg</t>
  </si>
  <si>
    <t>Trimble</t>
  </si>
  <si>
    <t>Wolfe</t>
  </si>
  <si>
    <t>LA</t>
  </si>
  <si>
    <t>Acadia</t>
  </si>
  <si>
    <t>Ascension</t>
  </si>
  <si>
    <t>Assumption</t>
  </si>
  <si>
    <t>Avoyelles</t>
  </si>
  <si>
    <t>Beauregard</t>
  </si>
  <si>
    <t>Bienville</t>
  </si>
  <si>
    <t>Bossier</t>
  </si>
  <si>
    <t>Caddo</t>
  </si>
  <si>
    <t>Calcasieu</t>
  </si>
  <si>
    <t>Cameron</t>
  </si>
  <si>
    <t>Catahoula</t>
  </si>
  <si>
    <t>Claiborne</t>
  </si>
  <si>
    <t>Concordia</t>
  </si>
  <si>
    <t>East Baton Rouge</t>
  </si>
  <si>
    <t>East Carroll</t>
  </si>
  <si>
    <t>East Feliciana</t>
  </si>
  <si>
    <t>Evangeline</t>
  </si>
  <si>
    <t>Iberia</t>
  </si>
  <si>
    <t>Iberville</t>
  </si>
  <si>
    <t>Jefferson Davis</t>
  </si>
  <si>
    <t>Lafourche</t>
  </si>
  <si>
    <t>Morehouse</t>
  </si>
  <si>
    <t>Natchitoches</t>
  </si>
  <si>
    <t>Orleans</t>
  </si>
  <si>
    <t>Plaquemines</t>
  </si>
  <si>
    <t>Pointe Coupee</t>
  </si>
  <si>
    <t>Rapides</t>
  </si>
  <si>
    <t>Red River</t>
  </si>
  <si>
    <t>Sabine</t>
  </si>
  <si>
    <t>St Bernard</t>
  </si>
  <si>
    <t>St Charles</t>
  </si>
  <si>
    <t>St Helena</t>
  </si>
  <si>
    <t>St James</t>
  </si>
  <si>
    <t>St John The Baptist</t>
  </si>
  <si>
    <t>St Landry</t>
  </si>
  <si>
    <t>St Martin</t>
  </si>
  <si>
    <t>St Mary</t>
  </si>
  <si>
    <t>St Tammany</t>
  </si>
  <si>
    <t>Tangipahoa</t>
  </si>
  <si>
    <t>Tensas</t>
  </si>
  <si>
    <t>Terrebonne</t>
  </si>
  <si>
    <t>Vernon</t>
  </si>
  <si>
    <t>West Baton Rouge</t>
  </si>
  <si>
    <t>West Carroll</t>
  </si>
  <si>
    <t>West Feliciana</t>
  </si>
  <si>
    <t>Winn</t>
  </si>
  <si>
    <t>ME</t>
  </si>
  <si>
    <t>Androscoggin</t>
  </si>
  <si>
    <t>Aroostook</t>
  </si>
  <si>
    <t>Kennebec</t>
  </si>
  <si>
    <t>Oxford</t>
  </si>
  <si>
    <t>Penobscot</t>
  </si>
  <si>
    <t>Piscataquis</t>
  </si>
  <si>
    <t>Sagadahoc</t>
  </si>
  <si>
    <t>Somerset</t>
  </si>
  <si>
    <t>Waldo</t>
  </si>
  <si>
    <t>York</t>
  </si>
  <si>
    <t>Allegany</t>
  </si>
  <si>
    <t>Baltimore</t>
  </si>
  <si>
    <t>Calvert</t>
  </si>
  <si>
    <t>Caroline</t>
  </si>
  <si>
    <t>Cecil</t>
  </si>
  <si>
    <t>ALL DATAPOINTS</t>
  </si>
  <si>
    <t>Charles</t>
  </si>
  <si>
    <t>Dorchester</t>
  </si>
  <si>
    <t>Arkansas Dept. of Human Services</t>
  </si>
  <si>
    <t>Frederick</t>
  </si>
  <si>
    <t>Garrett</t>
  </si>
  <si>
    <t>Harford</t>
  </si>
  <si>
    <t>Number of Children Available for Adoption</t>
  </si>
  <si>
    <t>Number of In-Home Protective Services Cases</t>
  </si>
  <si>
    <t>Number of Foster Family Homes</t>
  </si>
  <si>
    <t>Total Foster Family Home Beds</t>
  </si>
  <si>
    <t>Relative/ Fictive Kin Foster Family Homes</t>
  </si>
  <si>
    <t>Relative/ Fictive Kin Foster Home Beds</t>
  </si>
  <si>
    <t>Number of Applicable Children (Placed with Relatives)</t>
  </si>
  <si>
    <t>Number of Children Placed with Relatives</t>
  </si>
  <si>
    <t>Percentage (%) of Applicable Children Placed with Relatives</t>
  </si>
  <si>
    <t>Number of Applicable Children (Home County)</t>
  </si>
  <si>
    <t>Number of Children Placed in Home County</t>
  </si>
  <si>
    <t>Percentage (%) of Applicable Children Placed in Home County</t>
  </si>
  <si>
    <t>"ideal placement"</t>
  </si>
  <si>
    <t>Prince Georges</t>
  </si>
  <si>
    <t>out of county</t>
  </si>
  <si>
    <t>Queen Annes</t>
  </si>
  <si>
    <t>St Marys</t>
  </si>
  <si>
    <t>Wicomico</t>
  </si>
  <si>
    <t>Barnstable</t>
  </si>
  <si>
    <t>Berkshire</t>
  </si>
  <si>
    <t>Dukes</t>
  </si>
  <si>
    <t>Hampden</t>
  </si>
  <si>
    <t>Hampshire</t>
  </si>
  <si>
    <t>Nantucket</t>
  </si>
  <si>
    <t>Alcona</t>
  </si>
  <si>
    <t>Alger</t>
  </si>
  <si>
    <t>Allegan</t>
  </si>
  <si>
    <t>Alpena</t>
  </si>
  <si>
    <t>Antrim</t>
  </si>
  <si>
    <t>Arenac</t>
  </si>
  <si>
    <t>Baraga</t>
  </si>
  <si>
    <t>Barry</t>
  </si>
  <si>
    <t>Benzie</t>
  </si>
  <si>
    <t>Branch</t>
  </si>
  <si>
    <t>Charlevoix</t>
  </si>
  <si>
    <t>Cheboygan</t>
  </si>
  <si>
    <t>Chippewa</t>
  </si>
  <si>
    <t>Clare</t>
  </si>
  <si>
    <t>Eaton</t>
  </si>
  <si>
    <t>Genesee</t>
  </si>
  <si>
    <t>Gladwin</t>
  </si>
  <si>
    <t>Gogebic</t>
  </si>
  <si>
    <t>Grand Traverse</t>
  </si>
  <si>
    <t>Gratiot</t>
  </si>
  <si>
    <t>Hillsdale</t>
  </si>
  <si>
    <t>Houghton</t>
  </si>
  <si>
    <t>Huron</t>
  </si>
  <si>
    <t>Ingham</t>
  </si>
  <si>
    <t>Ionia</t>
  </si>
  <si>
    <t>Iosco</t>
  </si>
  <si>
    <t>Iron</t>
  </si>
  <si>
    <t>Isabella</t>
  </si>
  <si>
    <t>Kalamazoo</t>
  </si>
  <si>
    <t>Kalkaska</t>
  </si>
  <si>
    <t>Keweenaw</t>
  </si>
  <si>
    <t>Lapeer</t>
  </si>
  <si>
    <t>Leelanau</t>
  </si>
  <si>
    <t>Lenawee</t>
  </si>
  <si>
    <t>Luce</t>
  </si>
  <si>
    <t>Mackinac</t>
  </si>
  <si>
    <t>Manistee</t>
  </si>
  <si>
    <t>Marquette</t>
  </si>
  <si>
    <t>Mecosta</t>
  </si>
  <si>
    <t>Menominee</t>
  </si>
  <si>
    <t>Midland</t>
  </si>
  <si>
    <t>Missaukee</t>
  </si>
  <si>
    <t>Montcalm</t>
  </si>
  <si>
    <t>Montmorency</t>
  </si>
  <si>
    <t>Muskegon</t>
  </si>
  <si>
    <t>Newaygo</t>
  </si>
  <si>
    <t>Pulaski (Jacksonville)</t>
  </si>
  <si>
    <t>Oceana</t>
  </si>
  <si>
    <t>Ogemaw</t>
  </si>
  <si>
    <t>Ontonagon</t>
  </si>
  <si>
    <t>Pulaski (North)</t>
  </si>
  <si>
    <t>Oscoda</t>
  </si>
  <si>
    <t>Pulaski (South)</t>
  </si>
  <si>
    <t>Otsego</t>
  </si>
  <si>
    <t>Pulaski (Southwest)</t>
  </si>
  <si>
    <t>Presque Isle</t>
  </si>
  <si>
    <t>Roscommon</t>
  </si>
  <si>
    <t>Saginaw</t>
  </si>
  <si>
    <t>Sanilac</t>
  </si>
  <si>
    <t>Schoolcraft</t>
  </si>
  <si>
    <t>Shiawassee</t>
  </si>
  <si>
    <t>Tuscola</t>
  </si>
  <si>
    <t>Washtenaw</t>
  </si>
  <si>
    <t>Wexford</t>
  </si>
  <si>
    <t>Aitkin</t>
  </si>
  <si>
    <t>Anoka</t>
  </si>
  <si>
    <t>Becker</t>
  </si>
  <si>
    <t>Beltrami</t>
  </si>
  <si>
    <t>Big Stone</t>
  </si>
  <si>
    <t>Blue Earth</t>
  </si>
  <si>
    <t>Carlton</t>
  </si>
  <si>
    <t>Carver</t>
  </si>
  <si>
    <t>Chisago</t>
  </si>
  <si>
    <t>Cottonwood</t>
  </si>
  <si>
    <t>Crow Wing</t>
  </si>
  <si>
    <t>Dakota</t>
  </si>
  <si>
    <t>Faribault</t>
  </si>
  <si>
    <t>Fillmore</t>
  </si>
  <si>
    <t>Freeborn</t>
  </si>
  <si>
    <t>Goodhue</t>
  </si>
  <si>
    <t>Hubbard</t>
  </si>
  <si>
    <t>Isanti</t>
  </si>
  <si>
    <t>Itasca</t>
  </si>
  <si>
    <t>Kanabec</t>
  </si>
  <si>
    <t>Kandiyohi</t>
  </si>
  <si>
    <t>Kittson</t>
  </si>
  <si>
    <t>Koochiching</t>
  </si>
  <si>
    <t>Lac Qui Parle</t>
  </si>
  <si>
    <t>Lake of The Woods</t>
  </si>
  <si>
    <t>Le Sueur</t>
  </si>
  <si>
    <t>McLeod</t>
  </si>
  <si>
    <t>Mahnomen</t>
  </si>
  <si>
    <t>Meeker</t>
  </si>
  <si>
    <t>Mille Lacs</t>
  </si>
  <si>
    <t>Morrison</t>
  </si>
  <si>
    <t>Mower</t>
  </si>
  <si>
    <t>Nicollet</t>
  </si>
  <si>
    <t>Nobles</t>
  </si>
  <si>
    <t>Norman</t>
  </si>
  <si>
    <t>Olmsted</t>
  </si>
  <si>
    <t>Otter Tail</t>
  </si>
  <si>
    <t>Pennington</t>
  </si>
  <si>
    <t>St. Francis</t>
  </si>
  <si>
    <t>Pine</t>
  </si>
  <si>
    <t>Pipestone</t>
  </si>
  <si>
    <t>Red Lake</t>
  </si>
  <si>
    <t>Redwood</t>
  </si>
  <si>
    <t>Renville</t>
  </si>
  <si>
    <t>Rock</t>
  </si>
  <si>
    <t>Roseau</t>
  </si>
  <si>
    <t>St Louis</t>
  </si>
  <si>
    <t>Sherburne</t>
  </si>
  <si>
    <t>Sibley</t>
  </si>
  <si>
    <t>Stearns</t>
  </si>
  <si>
    <t>Steele</t>
  </si>
  <si>
    <t>Swift</t>
  </si>
  <si>
    <t>Traverse</t>
  </si>
  <si>
    <t>Wabasha</t>
  </si>
  <si>
    <t>Wadena</t>
  </si>
  <si>
    <t>Waseca</t>
  </si>
  <si>
    <t>Watonwan</t>
  </si>
  <si>
    <t>Wilkin</t>
  </si>
  <si>
    <t>Winona</t>
  </si>
  <si>
    <t>Yellow Medicine</t>
  </si>
  <si>
    <t>MS</t>
  </si>
  <si>
    <t>Alcorn</t>
  </si>
  <si>
    <t>Amite</t>
  </si>
  <si>
    <t>Attala</t>
  </si>
  <si>
    <t>Bolivar</t>
  </si>
  <si>
    <t>Coahoma</t>
  </si>
  <si>
    <t>Copiah</t>
  </si>
  <si>
    <t>Forrest</t>
  </si>
  <si>
    <t>George</t>
  </si>
  <si>
    <t>Grenada</t>
  </si>
  <si>
    <t>Hinds</t>
  </si>
  <si>
    <t>Humphreys</t>
  </si>
  <si>
    <t>Issaquena</t>
  </si>
  <si>
    <t>Itawamba</t>
  </si>
  <si>
    <t>Kemper</t>
  </si>
  <si>
    <t>Leake</t>
  </si>
  <si>
    <t>Leflore</t>
  </si>
  <si>
    <t>Neshoba</t>
  </si>
  <si>
    <t>Noxubee</t>
  </si>
  <si>
    <t>Oktibbeha</t>
  </si>
  <si>
    <t>Panola</t>
  </si>
  <si>
    <t>Pearl River</t>
  </si>
  <si>
    <t>Pontotoc</t>
  </si>
  <si>
    <t>Prentiss</t>
  </si>
  <si>
    <t>Rankin</t>
  </si>
  <si>
    <t>Sharkey</t>
  </si>
  <si>
    <t>Sunflower</t>
  </si>
  <si>
    <t>Tallahatchie</t>
  </si>
  <si>
    <t>Tate</t>
  </si>
  <si>
    <t>Tippah</t>
  </si>
  <si>
    <t>Tishomingo</t>
  </si>
  <si>
    <t>Tunica</t>
  </si>
  <si>
    <t>Walthall</t>
  </si>
  <si>
    <t>Yalobusha</t>
  </si>
  <si>
    <t>Yazoo</t>
  </si>
  <si>
    <t>Andrew</t>
  </si>
  <si>
    <t>Audrain</t>
  </si>
  <si>
    <t>Bates</t>
  </si>
  <si>
    <t>Bollinger</t>
  </si>
  <si>
    <t>Callaway</t>
  </si>
  <si>
    <t>Cape Girardeau</t>
  </si>
  <si>
    <t>Chariton</t>
  </si>
  <si>
    <t>Cole</t>
  </si>
  <si>
    <t>Cooper</t>
  </si>
  <si>
    <t>Dekalb</t>
  </si>
  <si>
    <t>Dent</t>
  </si>
  <si>
    <t>Dunklin</t>
  </si>
  <si>
    <t>Gasconade</t>
  </si>
  <si>
    <t>Gentry</t>
  </si>
  <si>
    <t>Hickory</t>
  </si>
  <si>
    <t>Holt</t>
  </si>
  <si>
    <t>Howell</t>
  </si>
  <si>
    <t>Laclede</t>
  </si>
  <si>
    <t>Mcdonald</t>
  </si>
  <si>
    <t>Maries</t>
  </si>
  <si>
    <t>Moniteau</t>
  </si>
  <si>
    <t>New Madrid</t>
  </si>
  <si>
    <t>Nodaway</t>
  </si>
  <si>
    <t>Ozark</t>
  </si>
  <si>
    <t>Pemiscot</t>
  </si>
  <si>
    <t>Pettis</t>
  </si>
  <si>
    <t>Phelps</t>
  </si>
  <si>
    <t>Platte</t>
  </si>
  <si>
    <t>Ralls</t>
  </si>
  <si>
    <t>Ray</t>
  </si>
  <si>
    <t>Reynolds</t>
  </si>
  <si>
    <t>Ste Genevieve</t>
  </si>
  <si>
    <t>St Francois</t>
  </si>
  <si>
    <t>Scotland</t>
  </si>
  <si>
    <t>Shannon</t>
  </si>
  <si>
    <t>Stoddard</t>
  </si>
  <si>
    <t>Taney</t>
  </si>
  <si>
    <t>St Louis City</t>
  </si>
  <si>
    <t>MT</t>
  </si>
  <si>
    <t>Beaverhead</t>
  </si>
  <si>
    <t>Big Horn</t>
  </si>
  <si>
    <t>Broadwater</t>
  </si>
  <si>
    <t>Carbon</t>
  </si>
  <si>
    <t>Cascade</t>
  </si>
  <si>
    <t>Chouteau</t>
  </si>
  <si>
    <t>Daniels</t>
  </si>
  <si>
    <t>Deer Lodge</t>
  </si>
  <si>
    <t>Fallon</t>
  </si>
  <si>
    <t>Fergus</t>
  </si>
  <si>
    <t>Flathead</t>
  </si>
  <si>
    <t>Glacier</t>
  </si>
  <si>
    <t>Golden Valley</t>
  </si>
  <si>
    <t>Granite</t>
  </si>
  <si>
    <t>Hill</t>
  </si>
  <si>
    <t>Judith Basin</t>
  </si>
  <si>
    <t>Lewis and Clark</t>
  </si>
  <si>
    <t>McCone</t>
  </si>
  <si>
    <t>Meagher</t>
  </si>
  <si>
    <t>Missoula</t>
  </si>
  <si>
    <t>Musselshell</t>
  </si>
  <si>
    <t>Petroleum</t>
  </si>
  <si>
    <t>Pondera</t>
  </si>
  <si>
    <t>Powder River</t>
  </si>
  <si>
    <t>Ravalli</t>
  </si>
  <si>
    <t>Roosevelt</t>
  </si>
  <si>
    <t>Rosebud</t>
  </si>
  <si>
    <t>Sanders</t>
  </si>
  <si>
    <t>Silver Bow</t>
  </si>
  <si>
    <t>Stillwater</t>
  </si>
  <si>
    <t>Sweet Grass</t>
  </si>
  <si>
    <t>Toole</t>
  </si>
  <si>
    <t>Treasure</t>
  </si>
  <si>
    <t>Wheatland</t>
  </si>
  <si>
    <t>Wibaux</t>
  </si>
  <si>
    <t>Yellowstone</t>
  </si>
  <si>
    <t>Antelope</t>
  </si>
  <si>
    <t>Arthur</t>
  </si>
  <si>
    <t>Banner</t>
  </si>
  <si>
    <t>Box Butte</t>
  </si>
  <si>
    <t>Buffalo</t>
  </si>
  <si>
    <t>Burt</t>
  </si>
  <si>
    <t>Cherry</t>
  </si>
  <si>
    <t>Colfax</t>
  </si>
  <si>
    <t>Cuming</t>
  </si>
  <si>
    <t>Dawes</t>
  </si>
  <si>
    <t>Deuel</t>
  </si>
  <si>
    <t>Dixon</t>
  </si>
  <si>
    <t>Dundy</t>
  </si>
  <si>
    <t>Frontier</t>
  </si>
  <si>
    <t>Furnas</t>
  </si>
  <si>
    <t>Gage</t>
  </si>
  <si>
    <t>Garden</t>
  </si>
  <si>
    <t>Gosper</t>
  </si>
  <si>
    <t>Hayes</t>
  </si>
  <si>
    <t>Hitchcock</t>
  </si>
  <si>
    <t>Hooker</t>
  </si>
  <si>
    <t>Kearney</t>
  </si>
  <si>
    <t>Keith</t>
  </si>
  <si>
    <t>Keya Paha</t>
  </si>
  <si>
    <t>Kimball</t>
  </si>
  <si>
    <t>Loup</t>
  </si>
  <si>
    <t>Merrick</t>
  </si>
  <si>
    <t>Morrill</t>
  </si>
  <si>
    <t>Nance</t>
  </si>
  <si>
    <t>Nuckolls</t>
  </si>
  <si>
    <t>Otoe</t>
  </si>
  <si>
    <t>Perkins</t>
  </si>
  <si>
    <t>Red Willow</t>
  </si>
  <si>
    <t>Richardson</t>
  </si>
  <si>
    <t>Sarpy</t>
  </si>
  <si>
    <t>Saunders</t>
  </si>
  <si>
    <t>Scotts Bluff</t>
  </si>
  <si>
    <t>Thayer</t>
  </si>
  <si>
    <t>Thurston</t>
  </si>
  <si>
    <t>Churchill</t>
  </si>
  <si>
    <t>Elko</t>
  </si>
  <si>
    <t>Esmeralda</t>
  </si>
  <si>
    <t>Eureka</t>
  </si>
  <si>
    <t>Lander</t>
  </si>
  <si>
    <t>Nye</t>
  </si>
  <si>
    <t>Pershing</t>
  </si>
  <si>
    <t>Storey</t>
  </si>
  <si>
    <t>Washoe</t>
  </si>
  <si>
    <t>White Pine</t>
  </si>
  <si>
    <t>Carson City</t>
  </si>
  <si>
    <t>NH</t>
  </si>
  <si>
    <t>Belknap</t>
  </si>
  <si>
    <t>Cheshire</t>
  </si>
  <si>
    <t>Coos</t>
  </si>
  <si>
    <t>Grafton</t>
  </si>
  <si>
    <t>Merrimack</t>
  </si>
  <si>
    <t>Rockingham</t>
  </si>
  <si>
    <t>Strafford</t>
  </si>
  <si>
    <t>Atlantic</t>
  </si>
  <si>
    <t>Burlington</t>
  </si>
  <si>
    <t>Cape May</t>
  </si>
  <si>
    <t>Gloucester</t>
  </si>
  <si>
    <t>Hunterdon</t>
  </si>
  <si>
    <t>Passaic</t>
  </si>
  <si>
    <t>Salem</t>
  </si>
  <si>
    <t>Catron</t>
  </si>
  <si>
    <t>Chaves</t>
  </si>
  <si>
    <t>Cibola</t>
  </si>
  <si>
    <t>Curry</t>
  </si>
  <si>
    <t>De Baca</t>
  </si>
  <si>
    <t>Dona Ana</t>
  </si>
  <si>
    <t>Eddy</t>
  </si>
  <si>
    <t>Guadalupe</t>
  </si>
  <si>
    <t>Harding</t>
  </si>
  <si>
    <t>Lea</t>
  </si>
  <si>
    <t>Los Alamos</t>
  </si>
  <si>
    <t>Luna</t>
  </si>
  <si>
    <t>Mckinley</t>
  </si>
  <si>
    <t>Mora</t>
  </si>
  <si>
    <t>Quay</t>
  </si>
  <si>
    <t>Rio Arriba</t>
  </si>
  <si>
    <t>Sandoval</t>
  </si>
  <si>
    <t>Santa Fe</t>
  </si>
  <si>
    <t>Socorro</t>
  </si>
  <si>
    <t>Taos</t>
  </si>
  <si>
    <t>Torrance</t>
  </si>
  <si>
    <t>Valencia</t>
  </si>
  <si>
    <t>Albany</t>
  </si>
  <si>
    <t>Broome</t>
  </si>
  <si>
    <t>Cattaraugus</t>
  </si>
  <si>
    <t>Cayuga</t>
  </si>
  <si>
    <t>Chemung</t>
  </si>
  <si>
    <t>Chenango</t>
  </si>
  <si>
    <t>Cortland</t>
  </si>
  <si>
    <t>Dutchess</t>
  </si>
  <si>
    <t>Herkimer</t>
  </si>
  <si>
    <t>Niagara</t>
  </si>
  <si>
    <t>Onondaga</t>
  </si>
  <si>
    <t>Ontario</t>
  </si>
  <si>
    <t>Oswego</t>
  </si>
  <si>
    <t>Rensselaer</t>
  </si>
  <si>
    <t>Rockland</t>
  </si>
  <si>
    <t>St Lawrence</t>
  </si>
  <si>
    <t>Saratoga</t>
  </si>
  <si>
    <t>Schenectady</t>
  </si>
  <si>
    <t>Schoharie</t>
  </si>
  <si>
    <t>Seneca</t>
  </si>
  <si>
    <t>Tioga</t>
  </si>
  <si>
    <t>Tompkins</t>
  </si>
  <si>
    <t>Ulster</t>
  </si>
  <si>
    <t>Yates</t>
  </si>
  <si>
    <t>Alamance</t>
  </si>
  <si>
    <t>Alleghany</t>
  </si>
  <si>
    <t>Anson</t>
  </si>
  <si>
    <t>Ashe</t>
  </si>
  <si>
    <t>Avery</t>
  </si>
  <si>
    <t>Beaufort</t>
  </si>
  <si>
    <t>Bertie</t>
  </si>
  <si>
    <t>Bladen</t>
  </si>
  <si>
    <t>Brunswick</t>
  </si>
  <si>
    <t>Buncombe</t>
  </si>
  <si>
    <t>Cabarrus</t>
  </si>
  <si>
    <t>Carteret</t>
  </si>
  <si>
    <t>Caswell</t>
  </si>
  <si>
    <t>Catawba</t>
  </si>
  <si>
    <t>Chowan</t>
  </si>
  <si>
    <t>Columbus</t>
  </si>
  <si>
    <t>Craven</t>
  </si>
  <si>
    <t>Currituck</t>
  </si>
  <si>
    <t>Dare</t>
  </si>
  <si>
    <t>Davie</t>
  </si>
  <si>
    <t>Duplin</t>
  </si>
  <si>
    <t>Durham</t>
  </si>
  <si>
    <t>Edgecombe</t>
  </si>
  <si>
    <t>Gaston</t>
  </si>
  <si>
    <t>Gates</t>
  </si>
  <si>
    <t>Granville</t>
  </si>
  <si>
    <t>Guilford</t>
  </si>
  <si>
    <t>Halifax</t>
  </si>
  <si>
    <t>Harnett</t>
  </si>
  <si>
    <t>Haywood</t>
  </si>
  <si>
    <t>Hertford</t>
  </si>
  <si>
    <t>Hoke</t>
  </si>
  <si>
    <t>Hyde</t>
  </si>
  <si>
    <t>Iredell</t>
  </si>
  <si>
    <t>Johnston</t>
  </si>
  <si>
    <t>Lenoir</t>
  </si>
  <si>
    <t>McDowell</t>
  </si>
  <si>
    <t>Moore</t>
  </si>
  <si>
    <t>Nash</t>
  </si>
  <si>
    <t>New Hanover</t>
  </si>
  <si>
    <t>Northampton</t>
  </si>
  <si>
    <t>Onslow</t>
  </si>
  <si>
    <t>Pamlico</t>
  </si>
  <si>
    <t>Pasquotank</t>
  </si>
  <si>
    <t>Pender</t>
  </si>
  <si>
    <t>Perquimans</t>
  </si>
  <si>
    <t>Person</t>
  </si>
  <si>
    <t>Pitt</t>
  </si>
  <si>
    <t>Robeson</t>
  </si>
  <si>
    <t>Rutherford</t>
  </si>
  <si>
    <t>Sampson</t>
  </si>
  <si>
    <t>Stanly</t>
  </si>
  <si>
    <t>Stokes</t>
  </si>
  <si>
    <t>Surry</t>
  </si>
  <si>
    <t>Swain</t>
  </si>
  <si>
    <t>Transylvania</t>
  </si>
  <si>
    <t>Tyrrell</t>
  </si>
  <si>
    <t>Vance</t>
  </si>
  <si>
    <t>Watauga</t>
  </si>
  <si>
    <t>Yadkin</t>
  </si>
  <si>
    <t>Yancey</t>
  </si>
  <si>
    <t>ND</t>
  </si>
  <si>
    <t>Barnes</t>
  </si>
  <si>
    <t>Benson</t>
  </si>
  <si>
    <t>Billings</t>
  </si>
  <si>
    <t>Bottineau</t>
  </si>
  <si>
    <t>Bowman</t>
  </si>
  <si>
    <t>Burleigh</t>
  </si>
  <si>
    <t>Cavalier</t>
  </si>
  <si>
    <t>Dickey</t>
  </si>
  <si>
    <t>Divide</t>
  </si>
  <si>
    <t>Dunn</t>
  </si>
  <si>
    <t>Emmons</t>
  </si>
  <si>
    <t>Foster</t>
  </si>
  <si>
    <t>Grand Forks</t>
  </si>
  <si>
    <t>Griggs</t>
  </si>
  <si>
    <t>Hettinger</t>
  </si>
  <si>
    <t>Kidder</t>
  </si>
  <si>
    <t>Lamoure</t>
  </si>
  <si>
    <t>Mckenzie</t>
  </si>
  <si>
    <t>Mountrail</t>
  </si>
  <si>
    <t>Oliver</t>
  </si>
  <si>
    <t>Pembina</t>
  </si>
  <si>
    <t>Ransom</t>
  </si>
  <si>
    <t>Rolette</t>
  </si>
  <si>
    <t>Sargent</t>
  </si>
  <si>
    <t>Slope</t>
  </si>
  <si>
    <t>Stutsman</t>
  </si>
  <si>
    <t>Towner</t>
  </si>
  <si>
    <t>Traill</t>
  </si>
  <si>
    <t>Walsh</t>
  </si>
  <si>
    <t>Ward</t>
  </si>
  <si>
    <t>Williams</t>
  </si>
  <si>
    <t>Ashland</t>
  </si>
  <si>
    <t>Ashtabula</t>
  </si>
  <si>
    <t>Athens</t>
  </si>
  <si>
    <t>Auglaize</t>
  </si>
  <si>
    <t>Belmont</t>
  </si>
  <si>
    <t>Clermont</t>
  </si>
  <si>
    <t>Columbiana</t>
  </si>
  <si>
    <t>Coshocton</t>
  </si>
  <si>
    <t>Darke</t>
  </si>
  <si>
    <t>Defiance</t>
  </si>
  <si>
    <t>Gallia</t>
  </si>
  <si>
    <t>Geauga</t>
  </si>
  <si>
    <t>Guernsey</t>
  </si>
  <si>
    <t>Highland</t>
  </si>
  <si>
    <t>Hocking</t>
  </si>
  <si>
    <t>Licking</t>
  </si>
  <si>
    <t>Lorain</t>
  </si>
  <si>
    <t>Mahoning</t>
  </si>
  <si>
    <t>Medina</t>
  </si>
  <si>
    <t>Meigs</t>
  </si>
  <si>
    <t>Morrow</t>
  </si>
  <si>
    <t>Muskingum</t>
  </si>
  <si>
    <t>Pickaway</t>
  </si>
  <si>
    <t>Portage</t>
  </si>
  <si>
    <t>Preble</t>
  </si>
  <si>
    <t>Ross</t>
  </si>
  <si>
    <t>Sandusky</t>
  </si>
  <si>
    <t>Scioto</t>
  </si>
  <si>
    <t>Trumbull</t>
  </si>
  <si>
    <t>Tuscarawas</t>
  </si>
  <si>
    <t>Van Wert</t>
  </si>
  <si>
    <t>Vinton</t>
  </si>
  <si>
    <t>Wood</t>
  </si>
  <si>
    <t>Wyandot</t>
  </si>
  <si>
    <t>Alfalfa</t>
  </si>
  <si>
    <t xml:space="preserve">California Child Welfare Indicators Project </t>
  </si>
  <si>
    <t>Date Collected:</t>
  </si>
  <si>
    <t>Atoka</t>
  </si>
  <si>
    <t xml:space="preserve">Date Updated: </t>
  </si>
  <si>
    <t>Beaver</t>
  </si>
  <si>
    <t>Beckham</t>
  </si>
  <si>
    <t>All OOHP</t>
  </si>
  <si>
    <t>Relative or Kinship Care</t>
  </si>
  <si>
    <t>Congregate Care</t>
  </si>
  <si>
    <t>Other</t>
  </si>
  <si>
    <t>Canadian</t>
  </si>
  <si>
    <t>Cimarron</t>
  </si>
  <si>
    <t>Coal</t>
  </si>
  <si>
    <t>Pre-Adopt</t>
  </si>
  <si>
    <t>Cotton</t>
  </si>
  <si>
    <t>Craig</t>
  </si>
  <si>
    <t>Creek</t>
  </si>
  <si>
    <t>Dewey</t>
  </si>
  <si>
    <t>Relative</t>
  </si>
  <si>
    <t>Relative/NREFM</t>
  </si>
  <si>
    <t>Garvin</t>
  </si>
  <si>
    <t>Greer</t>
  </si>
  <si>
    <t>FFA</t>
  </si>
  <si>
    <t>Harmon</t>
  </si>
  <si>
    <t>Hughes</t>
  </si>
  <si>
    <t>Court Specified Home</t>
  </si>
  <si>
    <t>Kay</t>
  </si>
  <si>
    <t>Kingfisher</t>
  </si>
  <si>
    <t>Tribally Approved Home</t>
  </si>
  <si>
    <t>Latimer</t>
  </si>
  <si>
    <t>Le Flore</t>
  </si>
  <si>
    <t>Cong. Care</t>
  </si>
  <si>
    <t>Group</t>
  </si>
  <si>
    <t>Love</t>
  </si>
  <si>
    <t>Shelter</t>
  </si>
  <si>
    <t>Mcclain</t>
  </si>
  <si>
    <t>McCurtain</t>
  </si>
  <si>
    <t>Non-FC</t>
  </si>
  <si>
    <t>Major</t>
  </si>
  <si>
    <t>Guardian - Dependent</t>
  </si>
  <si>
    <t>Mayes</t>
  </si>
  <si>
    <t>Muskogee</t>
  </si>
  <si>
    <t>Guardian - Non-Dependent</t>
  </si>
  <si>
    <t>Nowata</t>
  </si>
  <si>
    <t>Okfuskee</t>
  </si>
  <si>
    <t>Okmulgee</t>
  </si>
  <si>
    <t>Payne</t>
  </si>
  <si>
    <t>REMOVE</t>
  </si>
  <si>
    <t>Trial Home Visit</t>
  </si>
  <si>
    <t>Pittsburg</t>
  </si>
  <si>
    <t>SILP</t>
  </si>
  <si>
    <t>Pushmataha</t>
  </si>
  <si>
    <t>Roger Mills</t>
  </si>
  <si>
    <t>Rogers</t>
  </si>
  <si>
    <t>Transitional Housing</t>
  </si>
  <si>
    <t>Sequoyah</t>
  </si>
  <si>
    <t>Tillman</t>
  </si>
  <si>
    <t>Wagoner</t>
  </si>
  <si>
    <t>Missing</t>
  </si>
  <si>
    <t>Washita</t>
  </si>
  <si>
    <t>Woods</t>
  </si>
  <si>
    <t>Woodward</t>
  </si>
  <si>
    <t>Clackamas</t>
  </si>
  <si>
    <t>Clatsop</t>
  </si>
  <si>
    <t>Crook</t>
  </si>
  <si>
    <t>Deschutes</t>
  </si>
  <si>
    <t>Gilliam</t>
  </si>
  <si>
    <t>Harney</t>
  </si>
  <si>
    <t>Hood River</t>
  </si>
  <si>
    <t>Josephine</t>
  </si>
  <si>
    <t>Klamath</t>
  </si>
  <si>
    <t>Malheur</t>
  </si>
  <si>
    <t>Tillamook</t>
  </si>
  <si>
    <t>Umatilla</t>
  </si>
  <si>
    <t>Wallowa</t>
  </si>
  <si>
    <t>Wasco</t>
  </si>
  <si>
    <t>Yamhill</t>
  </si>
  <si>
    <t>Armstrong</t>
  </si>
  <si>
    <t>Bedford</t>
  </si>
  <si>
    <t>Berks</t>
  </si>
  <si>
    <t>Blair</t>
  </si>
  <si>
    <t>Cambria</t>
  </si>
  <si>
    <t>Centre</t>
  </si>
  <si>
    <t>Chester</t>
  </si>
  <si>
    <t>Clarion</t>
  </si>
  <si>
    <t>Clearfield</t>
  </si>
  <si>
    <t>Dauphin</t>
  </si>
  <si>
    <t>Forest</t>
  </si>
  <si>
    <t>Huntingdon</t>
  </si>
  <si>
    <t>Juniata</t>
  </si>
  <si>
    <t>Lackawanna</t>
  </si>
  <si>
    <t>Lebanon</t>
  </si>
  <si>
    <t>Lehigh</t>
  </si>
  <si>
    <t>Luzerne</t>
  </si>
  <si>
    <t>Lycoming</t>
  </si>
  <si>
    <t>McKean</t>
  </si>
  <si>
    <t>Mifflin</t>
  </si>
  <si>
    <t>Montour</t>
  </si>
  <si>
    <t>Northumberland</t>
  </si>
  <si>
    <t>Potter</t>
  </si>
  <si>
    <t>Schuylkill</t>
  </si>
  <si>
    <t>Snyder</t>
  </si>
  <si>
    <t>Susquehanna</t>
  </si>
  <si>
    <t>Venango</t>
  </si>
  <si>
    <t>Westmoreland</t>
  </si>
  <si>
    <t>Newport</t>
  </si>
  <si>
    <t>SC</t>
  </si>
  <si>
    <t>Abbeville</t>
  </si>
  <si>
    <t>Aiken</t>
  </si>
  <si>
    <t>Allendale</t>
  </si>
  <si>
    <t>Bamberg</t>
  </si>
  <si>
    <t>Barnwell</t>
  </si>
  <si>
    <t>Berkeley</t>
  </si>
  <si>
    <t>Charleston</t>
  </si>
  <si>
    <t>Chesterfield</t>
  </si>
  <si>
    <t>Clarendon</t>
  </si>
  <si>
    <t>Colleton</t>
  </si>
  <si>
    <t>Darlington</t>
  </si>
  <si>
    <t>Dillon</t>
  </si>
  <si>
    <t>Edgefield</t>
  </si>
  <si>
    <t>Florence</t>
  </si>
  <si>
    <t>Georgetown</t>
  </si>
  <si>
    <t>Greenville</t>
  </si>
  <si>
    <t>Hampton</t>
  </si>
  <si>
    <t>Horry</t>
  </si>
  <si>
    <t>Kershaw</t>
  </si>
  <si>
    <t>Lexington</t>
  </si>
  <si>
    <t>McCormick</t>
  </si>
  <si>
    <t>Marlboro</t>
  </si>
  <si>
    <t>Newberry</t>
  </si>
  <si>
    <t>Orangeburg</t>
  </si>
  <si>
    <t>Saluda</t>
  </si>
  <si>
    <t>Spartanburg</t>
  </si>
  <si>
    <t>Williamsburg</t>
  </si>
  <si>
    <t>SD</t>
  </si>
  <si>
    <t>Aurora</t>
  </si>
  <si>
    <t>Beadle</t>
  </si>
  <si>
    <t>Bennett</t>
  </si>
  <si>
    <t>Bon Homme</t>
  </si>
  <si>
    <t>Brookings</t>
  </si>
  <si>
    <t>Brule</t>
  </si>
  <si>
    <t>Charles Mix</t>
  </si>
  <si>
    <t>Codington</t>
  </si>
  <si>
    <t>Corson</t>
  </si>
  <si>
    <t>Davison</t>
  </si>
  <si>
    <t>Day</t>
  </si>
  <si>
    <t>Edmunds</t>
  </si>
  <si>
    <t>Fall River</t>
  </si>
  <si>
    <t>Faulk</t>
  </si>
  <si>
    <t>Gregory</t>
  </si>
  <si>
    <t>Haakon</t>
  </si>
  <si>
    <t>Hamlin</t>
  </si>
  <si>
    <t>Hand</t>
  </si>
  <si>
    <t>Hanson</t>
  </si>
  <si>
    <t>Hutchinson</t>
  </si>
  <si>
    <t>Jerauld</t>
  </si>
  <si>
    <t>Kingsbury</t>
  </si>
  <si>
    <t>Lyman</t>
  </si>
  <si>
    <t>McCook</t>
  </si>
  <si>
    <t>1.
In force
(beginning of month)</t>
  </si>
  <si>
    <t>1a.
In force
(5 last month)</t>
  </si>
  <si>
    <t>1b.
Adjustment</t>
  </si>
  <si>
    <t>2.
New</t>
  </si>
  <si>
    <t>3.
Total
(Item1 + Item2)</t>
  </si>
  <si>
    <t>Statewide</t>
  </si>
  <si>
    <t>2019-20</t>
  </si>
  <si>
    <t>Mellette</t>
  </si>
  <si>
    <t>b/</t>
  </si>
  <si>
    <t>Miner</t>
  </si>
  <si>
    <t>Minnehaha</t>
  </si>
  <si>
    <t>Moody</t>
  </si>
  <si>
    <t>Oglala Lakota</t>
  </si>
  <si>
    <t>43%</t>
  </si>
  <si>
    <t>Roberts</t>
  </si>
  <si>
    <t>Sanborn</t>
  </si>
  <si>
    <t>Spink</t>
  </si>
  <si>
    <t>Stanley</t>
  </si>
  <si>
    <t>62%</t>
  </si>
  <si>
    <t>Sully</t>
  </si>
  <si>
    <t>Tripp</t>
  </si>
  <si>
    <t>36%</t>
  </si>
  <si>
    <t>Walworth</t>
  </si>
  <si>
    <t>25%</t>
  </si>
  <si>
    <t>Yankton</t>
  </si>
  <si>
    <t>Ziebach</t>
  </si>
  <si>
    <t>71%</t>
  </si>
  <si>
    <t>67%</t>
  </si>
  <si>
    <t>Bledsoe</t>
  </si>
  <si>
    <t>29%</t>
  </si>
  <si>
    <t>56%</t>
  </si>
  <si>
    <t>Cannon</t>
  </si>
  <si>
    <t>100%</t>
  </si>
  <si>
    <t>Cheatham</t>
  </si>
  <si>
    <t>Cocke</t>
  </si>
  <si>
    <t>Crockett</t>
  </si>
  <si>
    <t>44%</t>
  </si>
  <si>
    <t>Dickson</t>
  </si>
  <si>
    <t>Dyer</t>
  </si>
  <si>
    <t>39%</t>
  </si>
  <si>
    <t>Fentress</t>
  </si>
  <si>
    <t>33%</t>
  </si>
  <si>
    <t>Giles</t>
  </si>
  <si>
    <t>Grainger</t>
  </si>
  <si>
    <t>57%</t>
  </si>
  <si>
    <t>Number of Children Waiting For Adoption</t>
  </si>
  <si>
    <t>Hamblen</t>
  </si>
  <si>
    <t>50%</t>
  </si>
  <si>
    <t>California Department of Social Services</t>
  </si>
  <si>
    <t>52%</t>
  </si>
  <si>
    <t>Hardeman</t>
  </si>
  <si>
    <t>STATEWIDE</t>
  </si>
  <si>
    <t>Hawkins</t>
  </si>
  <si>
    <t>ALAMEDA</t>
  </si>
  <si>
    <t>ALPINE</t>
  </si>
  <si>
    <t>75%</t>
  </si>
  <si>
    <t>AMADOR</t>
  </si>
  <si>
    <t>BUTTE</t>
  </si>
  <si>
    <t>CALAVERAS</t>
  </si>
  <si>
    <t>COLUSA</t>
  </si>
  <si>
    <t>54%</t>
  </si>
  <si>
    <t>CONTRA COSTA</t>
  </si>
  <si>
    <t>DEL NORTE</t>
  </si>
  <si>
    <t>EL DORADO</t>
  </si>
  <si>
    <t>FRESNO</t>
  </si>
  <si>
    <t>Loudon</t>
  </si>
  <si>
    <t>GLENN</t>
  </si>
  <si>
    <t>46%</t>
  </si>
  <si>
    <t>McMinn</t>
  </si>
  <si>
    <t>HUMBOLDT</t>
  </si>
  <si>
    <t>McNairy</t>
  </si>
  <si>
    <t>IMPERIAL</t>
  </si>
  <si>
    <t>INYO</t>
  </si>
  <si>
    <t>KERN</t>
  </si>
  <si>
    <t>KINGS</t>
  </si>
  <si>
    <t>LAKE</t>
  </si>
  <si>
    <t>LASSEN</t>
  </si>
  <si>
    <t>Maury</t>
  </si>
  <si>
    <t>LOS ANGELES</t>
  </si>
  <si>
    <t>MADERA</t>
  </si>
  <si>
    <t>MARIN</t>
  </si>
  <si>
    <t>MARIPOSA</t>
  </si>
  <si>
    <t>MENDOCINO</t>
  </si>
  <si>
    <t>22%</t>
  </si>
  <si>
    <t>MERCED</t>
  </si>
  <si>
    <t>MODOC</t>
  </si>
  <si>
    <t>MONO</t>
  </si>
  <si>
    <t>MONTEREY</t>
  </si>
  <si>
    <t>NAPA</t>
  </si>
  <si>
    <t>NEVADA</t>
  </si>
  <si>
    <t>ORANGE</t>
  </si>
  <si>
    <t>PLACER</t>
  </si>
  <si>
    <t>Obion</t>
  </si>
  <si>
    <t>PLUMAS</t>
  </si>
  <si>
    <t>RIVERSIDE</t>
  </si>
  <si>
    <t>Overton</t>
  </si>
  <si>
    <t>SACRAMENTO</t>
  </si>
  <si>
    <t>SAN BENITO</t>
  </si>
  <si>
    <t>SAN BERNARDINO</t>
  </si>
  <si>
    <t>SAN DIEGO</t>
  </si>
  <si>
    <t>Pickett</t>
  </si>
  <si>
    <t>SAN FRANCISCO</t>
  </si>
  <si>
    <t>na%</t>
  </si>
  <si>
    <t>SAN JOAQUIN</t>
  </si>
  <si>
    <t>SAN LUIS OBISPO</t>
  </si>
  <si>
    <t>SAN MATEO</t>
  </si>
  <si>
    <t>SANTA BARBARA</t>
  </si>
  <si>
    <t>SANTA CLARA</t>
  </si>
  <si>
    <t>Rhea</t>
  </si>
  <si>
    <t>SANTA CRUZ</t>
  </si>
  <si>
    <t>SHASTA</t>
  </si>
  <si>
    <t>Roane</t>
  </si>
  <si>
    <t>SIERRA</t>
  </si>
  <si>
    <t>SISKIYOU</t>
  </si>
  <si>
    <t>SOLANO</t>
  </si>
  <si>
    <t>SONOMA</t>
  </si>
  <si>
    <t>STANISLAUS</t>
  </si>
  <si>
    <t>SUTTER</t>
  </si>
  <si>
    <t>TEHAMA</t>
  </si>
  <si>
    <t>6%</t>
  </si>
  <si>
    <t>Sequatchie</t>
  </si>
  <si>
    <t>TRINITY</t>
  </si>
  <si>
    <t>TULARE</t>
  </si>
  <si>
    <t>TUOLUMNE</t>
  </si>
  <si>
    <t>VENTURA</t>
  </si>
  <si>
    <t>47%</t>
  </si>
  <si>
    <t>YOLO</t>
  </si>
  <si>
    <t>YUBA</t>
  </si>
  <si>
    <t>Number of Family Maintenance Cases</t>
  </si>
  <si>
    <t>Trousdale</t>
  </si>
  <si>
    <t>Unicoi</t>
  </si>
  <si>
    <t>10%</t>
  </si>
  <si>
    <t>28%</t>
  </si>
  <si>
    <t>Service Component</t>
  </si>
  <si>
    <t>Weakley</t>
  </si>
  <si>
    <t>No Placement FM</t>
  </si>
  <si>
    <t>Post-Placement FM</t>
  </si>
  <si>
    <t>42%</t>
  </si>
  <si>
    <t>n</t>
  </si>
  <si>
    <t>53%</t>
  </si>
  <si>
    <t>Andrews</t>
  </si>
  <si>
    <t>Angelina</t>
  </si>
  <si>
    <t>Aransas</t>
  </si>
  <si>
    <t>Archer</t>
  </si>
  <si>
    <t>20%</t>
  </si>
  <si>
    <t>Atascosa</t>
  </si>
  <si>
    <t>Austin</t>
  </si>
  <si>
    <t>Bailey</t>
  </si>
  <si>
    <t>Bandera</t>
  </si>
  <si>
    <t>Bastrop</t>
  </si>
  <si>
    <t>Baylor</t>
  </si>
  <si>
    <t>Bee</t>
  </si>
  <si>
    <t>Blanco</t>
  </si>
  <si>
    <t>Borden</t>
  </si>
  <si>
    <t>Bosque</t>
  </si>
  <si>
    <t>Bowie</t>
  </si>
  <si>
    <t>Brazoria</t>
  </si>
  <si>
    <t>Brazos</t>
  </si>
  <si>
    <t>Brewster</t>
  </si>
  <si>
    <t>0%</t>
  </si>
  <si>
    <t>Briscoe</t>
  </si>
  <si>
    <t>68%</t>
  </si>
  <si>
    <t>Burleson</t>
  </si>
  <si>
    <t>Burnet</t>
  </si>
  <si>
    <t>Callahan</t>
  </si>
  <si>
    <t>34%</t>
  </si>
  <si>
    <t>Camp</t>
  </si>
  <si>
    <t>Carson</t>
  </si>
  <si>
    <t>Castro</t>
  </si>
  <si>
    <t>Childress</t>
  </si>
  <si>
    <t>Cochran</t>
  </si>
  <si>
    <t>Coke</t>
  </si>
  <si>
    <t>Coleman</t>
  </si>
  <si>
    <t>Collingsworth</t>
  </si>
  <si>
    <t>Comal</t>
  </si>
  <si>
    <t>38%</t>
  </si>
  <si>
    <t>Concho</t>
  </si>
  <si>
    <t>Cooke</t>
  </si>
  <si>
    <t>Coryell</t>
  </si>
  <si>
    <t>Cottle</t>
  </si>
  <si>
    <t>15%</t>
  </si>
  <si>
    <t>Crane</t>
  </si>
  <si>
    <t>Crosby</t>
  </si>
  <si>
    <t>58%</t>
  </si>
  <si>
    <t>Culberson</t>
  </si>
  <si>
    <t>Dallam</t>
  </si>
  <si>
    <t>41%</t>
  </si>
  <si>
    <t>Deaf Smith</t>
  </si>
  <si>
    <t>California Reunification Date</t>
  </si>
  <si>
    <t>July 2023-June 2024</t>
  </si>
  <si>
    <t>De Witt</t>
  </si>
  <si>
    <t>Dickens</t>
  </si>
  <si>
    <t>Dimmit</t>
  </si>
  <si>
    <t>Exits</t>
  </si>
  <si>
    <t>Donley</t>
  </si>
  <si>
    <t>Exits that Ended in Reunification</t>
  </si>
  <si>
    <t>Eastland</t>
  </si>
  <si>
    <t>Ector</t>
  </si>
  <si>
    <t>14%</t>
  </si>
  <si>
    <t>Erath</t>
  </si>
  <si>
    <t>Falls</t>
  </si>
  <si>
    <t>Fisher</t>
  </si>
  <si>
    <t>Foard</t>
  </si>
  <si>
    <t>Freestone</t>
  </si>
  <si>
    <t>Frio</t>
  </si>
  <si>
    <t>Gaines</t>
  </si>
  <si>
    <t>Galveston</t>
  </si>
  <si>
    <t>Garza</t>
  </si>
  <si>
    <t>Gillespie</t>
  </si>
  <si>
    <t>Glasscock</t>
  </si>
  <si>
    <t>Goliad</t>
  </si>
  <si>
    <t>Gonzales</t>
  </si>
  <si>
    <t>64%</t>
  </si>
  <si>
    <t>Gregg</t>
  </si>
  <si>
    <t>Grimes</t>
  </si>
  <si>
    <t>Hansford</t>
  </si>
  <si>
    <t>23%</t>
  </si>
  <si>
    <t>Hartley</t>
  </si>
  <si>
    <t>Hays</t>
  </si>
  <si>
    <t>Hemphill</t>
  </si>
  <si>
    <t>59%</t>
  </si>
  <si>
    <t>55%</t>
  </si>
  <si>
    <t>Hockley</t>
  </si>
  <si>
    <t>Hood</t>
  </si>
  <si>
    <t>Hudspeth</t>
  </si>
  <si>
    <t>Hunt</t>
  </si>
  <si>
    <t>N</t>
  </si>
  <si>
    <t>60%</t>
  </si>
  <si>
    <t>Irion</t>
  </si>
  <si>
    <t>Jack</t>
  </si>
  <si>
    <t>Jim Hogg</t>
  </si>
  <si>
    <t>Jim Wells</t>
  </si>
  <si>
    <t>Karnes</t>
  </si>
  <si>
    <t>Kaufman</t>
  </si>
  <si>
    <t>Kenedy</t>
  </si>
  <si>
    <t>Kerr</t>
  </si>
  <si>
    <t>Kimble</t>
  </si>
  <si>
    <t>Kinney</t>
  </si>
  <si>
    <t>Kleberg</t>
  </si>
  <si>
    <t>Lamb</t>
  </si>
  <si>
    <t>Lampasas</t>
  </si>
  <si>
    <t>Lavaca</t>
  </si>
  <si>
    <t>Lipscomb</t>
  </si>
  <si>
    <t>Live Oak</t>
  </si>
  <si>
    <t>Llano</t>
  </si>
  <si>
    <t>Loving</t>
  </si>
  <si>
    <t>Lubbock</t>
  </si>
  <si>
    <t>Lynn</t>
  </si>
  <si>
    <t>McCulloch</t>
  </si>
  <si>
    <t>McLennan</t>
  </si>
  <si>
    <t>McMullen</t>
  </si>
  <si>
    <t>Matagorda</t>
  </si>
  <si>
    <t>Maverick</t>
  </si>
  <si>
    <t>Milam</t>
  </si>
  <si>
    <t>Montague</t>
  </si>
  <si>
    <t>Motley</t>
  </si>
  <si>
    <t>Nacogdoches</t>
  </si>
  <si>
    <t>Navarro</t>
  </si>
  <si>
    <t>Nolan</t>
  </si>
  <si>
    <t>Nueces</t>
  </si>
  <si>
    <t>Ochiltree</t>
  </si>
  <si>
    <t>Palo Pinto</t>
  </si>
  <si>
    <t>Parker</t>
  </si>
  <si>
    <t>Parmer</t>
  </si>
  <si>
    <t>Pecos</t>
  </si>
  <si>
    <t>Presidio</t>
  </si>
  <si>
    <t>Rains</t>
  </si>
  <si>
    <t>Randall</t>
  </si>
  <si>
    <t>Reagan</t>
  </si>
  <si>
    <t>Real</t>
  </si>
  <si>
    <t>Reeves</t>
  </si>
  <si>
    <t>Refugio</t>
  </si>
  <si>
    <t>Rockwall</t>
  </si>
  <si>
    <t>Runnels</t>
  </si>
  <si>
    <t>Rusk</t>
  </si>
  <si>
    <t>San Augustine</t>
  </si>
  <si>
    <t>Colorado Dept. of Human Services Division of Child Welfare and KU School of Social Work</t>
  </si>
  <si>
    <t>San Jacinto</t>
  </si>
  <si>
    <t>San Patricio</t>
  </si>
  <si>
    <t>San Saba</t>
  </si>
  <si>
    <t>Schleicher</t>
  </si>
  <si>
    <t>Scurry</t>
  </si>
  <si>
    <t>Children in Out-of-home care</t>
  </si>
  <si>
    <t>Shackelford</t>
  </si>
  <si>
    <t>Somervell</t>
  </si>
  <si>
    <t>Starr</t>
  </si>
  <si>
    <t>Sterling</t>
  </si>
  <si>
    <t>Stonewall</t>
  </si>
  <si>
    <t>Sutton</t>
  </si>
  <si>
    <t>Swisher</t>
  </si>
  <si>
    <t>Unit Level</t>
  </si>
  <si>
    <t>Terry</t>
  </si>
  <si>
    <t>Throckmorton</t>
  </si>
  <si>
    <t>Division of Youth Services</t>
  </si>
  <si>
    <t>Titus</t>
  </si>
  <si>
    <t>Tom Green</t>
  </si>
  <si>
    <t>Tyler</t>
  </si>
  <si>
    <t>Upshur</t>
  </si>
  <si>
    <t>Count</t>
  </si>
  <si>
    <t>Upton</t>
  </si>
  <si>
    <t>%</t>
  </si>
  <si>
    <t>Uvalde</t>
  </si>
  <si>
    <t>Val Verde</t>
  </si>
  <si>
    <t>Van Zandt</t>
  </si>
  <si>
    <t>Victoria</t>
  </si>
  <si>
    <t>Waller</t>
  </si>
  <si>
    <t>Children in Out-of-Home Placement</t>
  </si>
  <si>
    <t>Webb</t>
  </si>
  <si>
    <t>Wharton</t>
  </si>
  <si>
    <t>Wilbarger</t>
  </si>
  <si>
    <t>Children in a Congregate Care Placement</t>
  </si>
  <si>
    <t>Willacy</t>
  </si>
  <si>
    <t>Winkler</t>
  </si>
  <si>
    <t>Wise</t>
  </si>
  <si>
    <t>Yoakum</t>
  </si>
  <si>
    <t>Group Homes</t>
  </si>
  <si>
    <t>Young</t>
  </si>
  <si>
    <t>Zapata</t>
  </si>
  <si>
    <t>Zavala</t>
  </si>
  <si>
    <t>Hospital/Psychiatric</t>
  </si>
  <si>
    <t>Box Elder</t>
  </si>
  <si>
    <t>Cache</t>
  </si>
  <si>
    <t>Daggett</t>
  </si>
  <si>
    <t>Duchesne</t>
  </si>
  <si>
    <t>PRTF</t>
  </si>
  <si>
    <t>Emery</t>
  </si>
  <si>
    <t>Juab</t>
  </si>
  <si>
    <t>Other Hospital/Psychiatric</t>
  </si>
  <si>
    <t>Millard</t>
  </si>
  <si>
    <t>Piute</t>
  </si>
  <si>
    <t>Rich</t>
  </si>
  <si>
    <t>Residential Treatment</t>
  </si>
  <si>
    <t>Sanpete</t>
  </si>
  <si>
    <t>Tooele</t>
  </si>
  <si>
    <t>Uintah</t>
  </si>
  <si>
    <t>Wasatch</t>
  </si>
  <si>
    <t>QRTP</t>
  </si>
  <si>
    <t>Weber</t>
  </si>
  <si>
    <t>VT</t>
  </si>
  <si>
    <t>Addison</t>
  </si>
  <si>
    <t>Bennington</t>
  </si>
  <si>
    <t>Caledonia</t>
  </si>
  <si>
    <t>Chittenden</t>
  </si>
  <si>
    <t>Other Residential</t>
  </si>
  <si>
    <t>Grand Isle</t>
  </si>
  <si>
    <t>Lamoille</t>
  </si>
  <si>
    <t>Rutland</t>
  </si>
  <si>
    <t>Windsor</t>
  </si>
  <si>
    <t>Accomack</t>
  </si>
  <si>
    <t>Albemarle</t>
  </si>
  <si>
    <t>Youth Corrections Secure Placement</t>
  </si>
  <si>
    <t>Amelia</t>
  </si>
  <si>
    <t>Amherst</t>
  </si>
  <si>
    <t>Appomattox</t>
  </si>
  <si>
    <t>Arlington</t>
  </si>
  <si>
    <t>Augusta</t>
  </si>
  <si>
    <t>Children in a Family-Like Setting</t>
  </si>
  <si>
    <t>Bland</t>
  </si>
  <si>
    <t>Botetourt</t>
  </si>
  <si>
    <t>Buckingham</t>
  </si>
  <si>
    <t>Foster Homes</t>
  </si>
  <si>
    <t>Charles City</t>
  </si>
  <si>
    <t>Kinship - Paid</t>
  </si>
  <si>
    <t>Culpeper</t>
  </si>
  <si>
    <t>Dickenson</t>
  </si>
  <si>
    <t>Dinwiddie</t>
  </si>
  <si>
    <t>Fairfax</t>
  </si>
  <si>
    <t>Fauquier</t>
  </si>
  <si>
    <t>Kinship - Non-paid</t>
  </si>
  <si>
    <t>Fluvanna</t>
  </si>
  <si>
    <t>County Foster Placement</t>
  </si>
  <si>
    <t>Goochland</t>
  </si>
  <si>
    <t>Greensville</t>
  </si>
  <si>
    <t>Hanover</t>
  </si>
  <si>
    <t>Henrico</t>
  </si>
  <si>
    <t>Child Placement Agency Foster Placement</t>
  </si>
  <si>
    <t>Isle of Wight</t>
  </si>
  <si>
    <t>James City</t>
  </si>
  <si>
    <t>King and Queen</t>
  </si>
  <si>
    <t>King George</t>
  </si>
  <si>
    <t>King William</t>
  </si>
  <si>
    <t>Youth Services Foster Placement</t>
  </si>
  <si>
    <t>Loudoun</t>
  </si>
  <si>
    <t>Lunenburg</t>
  </si>
  <si>
    <t>Mathews</t>
  </si>
  <si>
    <t>New Kent</t>
  </si>
  <si>
    <t>Nottoway</t>
  </si>
  <si>
    <t>Patrick</t>
  </si>
  <si>
    <t>Independent Living Arrangement</t>
  </si>
  <si>
    <t>Pittsylvania</t>
  </si>
  <si>
    <t>Powhatan</t>
  </si>
  <si>
    <t>Prince Edward</t>
  </si>
  <si>
    <t>Prince George</t>
  </si>
  <si>
    <t>Prince William</t>
  </si>
  <si>
    <t>Rappahannock</t>
  </si>
  <si>
    <t>Roanoke</t>
  </si>
  <si>
    <t>Rockbridge</t>
  </si>
  <si>
    <t>Runaway/Walkaway</t>
  </si>
  <si>
    <t>Shenandoah</t>
  </si>
  <si>
    <t>Smyth</t>
  </si>
  <si>
    <t>Southampton</t>
  </si>
  <si>
    <t>Spotsylvania</t>
  </si>
  <si>
    <t>Wythe</t>
  </si>
  <si>
    <t>Unknown/Missing</t>
  </si>
  <si>
    <t>Alexandria City</t>
  </si>
  <si>
    <t>Bristol City</t>
  </si>
  <si>
    <t>Buena Vista City</t>
  </si>
  <si>
    <t>Charlottesville City</t>
  </si>
  <si>
    <t>Chesapeake City</t>
  </si>
  <si>
    <t>Colonial Heights City</t>
  </si>
  <si>
    <t>Covington City</t>
  </si>
  <si>
    <t>Danville City</t>
  </si>
  <si>
    <t>Emporia City</t>
  </si>
  <si>
    <t>Date of Analysis</t>
  </si>
  <si>
    <t>Fairfax City</t>
  </si>
  <si>
    <t>Falls Church City</t>
  </si>
  <si>
    <t>Franklin City</t>
  </si>
  <si>
    <t>Fredericksburg City</t>
  </si>
  <si>
    <t>Galax City</t>
  </si>
  <si>
    <t>Hampton City</t>
  </si>
  <si>
    <t>Harrisonburg City</t>
  </si>
  <si>
    <t>Hopewell City</t>
  </si>
  <si>
    <t>Lexington City</t>
  </si>
  <si>
    <t>Lynchburg City</t>
  </si>
  <si>
    <t>Manassas City</t>
  </si>
  <si>
    <t>Manassas Park City</t>
  </si>
  <si>
    <t>Martinsville City</t>
  </si>
  <si>
    <t>Newport News City</t>
  </si>
  <si>
    <t>Norfolk City</t>
  </si>
  <si>
    <t>Norton City</t>
  </si>
  <si>
    <t>Petersburg City</t>
  </si>
  <si>
    <t>Poquoson City</t>
  </si>
  <si>
    <t>Portsmouth City</t>
  </si>
  <si>
    <t>Radford</t>
  </si>
  <si>
    <t>Richmond City</t>
  </si>
  <si>
    <t>Roanoke City</t>
  </si>
  <si>
    <t>Salem City</t>
  </si>
  <si>
    <t>Staunton City</t>
  </si>
  <si>
    <t>Suffolk City</t>
  </si>
  <si>
    <t>Virginia Beach City</t>
  </si>
  <si>
    <t>Waynesboro City</t>
  </si>
  <si>
    <t>Williamsburg City</t>
  </si>
  <si>
    <t>Winchester City</t>
  </si>
  <si>
    <t>Asotin</t>
  </si>
  <si>
    <t>Chelan</t>
  </si>
  <si>
    <t>Clallam</t>
  </si>
  <si>
    <t>Cowlitz</t>
  </si>
  <si>
    <t>Ferry</t>
  </si>
  <si>
    <t>Grays Harbor</t>
  </si>
  <si>
    <t>Island</t>
  </si>
  <si>
    <t>Kitsap</t>
  </si>
  <si>
    <t>Kittitas</t>
  </si>
  <si>
    <t>Klickitat</t>
  </si>
  <si>
    <t>Okanogan</t>
  </si>
  <si>
    <t>Pacific</t>
  </si>
  <si>
    <t>Pend Oreille</t>
  </si>
  <si>
    <t>Skagit</t>
  </si>
  <si>
    <t>Skamania</t>
  </si>
  <si>
    <t>Spokane</t>
  </si>
  <si>
    <t>Wahkiakum</t>
  </si>
  <si>
    <t>Walla Walla</t>
  </si>
  <si>
    <t>Whatcom</t>
  </si>
  <si>
    <t>Whitman</t>
  </si>
  <si>
    <t>Yakima</t>
  </si>
  <si>
    <t>WV</t>
  </si>
  <si>
    <t>Braxton</t>
  </si>
  <si>
    <t>Brooke</t>
  </si>
  <si>
    <t>Cabell</t>
  </si>
  <si>
    <t>Doddridge</t>
  </si>
  <si>
    <t>Greenbrier</t>
  </si>
  <si>
    <t>Hardy</t>
  </si>
  <si>
    <t>Kanawha</t>
  </si>
  <si>
    <t>Mingo</t>
  </si>
  <si>
    <t>Monongalia</t>
  </si>
  <si>
    <t>Pleasants</t>
  </si>
  <si>
    <t>Preston</t>
  </si>
  <si>
    <t>Raleigh</t>
  </si>
  <si>
    <t>Ritchie</t>
  </si>
  <si>
    <t>Summers</t>
  </si>
  <si>
    <t>Tucker</t>
  </si>
  <si>
    <t>Wetzel</t>
  </si>
  <si>
    <t>Wirt</t>
  </si>
  <si>
    <t>Barron</t>
  </si>
  <si>
    <t>Bayfield</t>
  </si>
  <si>
    <t>Burnett</t>
  </si>
  <si>
    <t>Calumet</t>
  </si>
  <si>
    <t>Door</t>
  </si>
  <si>
    <t>Eau Claire</t>
  </si>
  <si>
    <t>Fond Du Lac</t>
  </si>
  <si>
    <t>Green Lake</t>
  </si>
  <si>
    <t>Kenosha</t>
  </si>
  <si>
    <t>Kewaunee</t>
  </si>
  <si>
    <t>La Crosse</t>
  </si>
  <si>
    <t>Langlade</t>
  </si>
  <si>
    <t>Manitowoc</t>
  </si>
  <si>
    <t>Marathon</t>
  </si>
  <si>
    <t>Marinette</t>
  </si>
  <si>
    <t>Oconto</t>
  </si>
  <si>
    <t>Outagamie</t>
  </si>
  <si>
    <t>Ozaukee</t>
  </si>
  <si>
    <t>Pepin</t>
  </si>
  <si>
    <t>Price</t>
  </si>
  <si>
    <t>Racine</t>
  </si>
  <si>
    <t>St Croix</t>
  </si>
  <si>
    <t>Sauk</t>
  </si>
  <si>
    <t>Sawyer</t>
  </si>
  <si>
    <t>Shawano</t>
  </si>
  <si>
    <t>Sheboygan</t>
  </si>
  <si>
    <t>Trempealeau</t>
  </si>
  <si>
    <t>Vilas</t>
  </si>
  <si>
    <t>Washburn</t>
  </si>
  <si>
    <t>Waukesha</t>
  </si>
  <si>
    <t>Waupaca</t>
  </si>
  <si>
    <t>Waushara</t>
  </si>
  <si>
    <t>WY</t>
  </si>
  <si>
    <t>Converse</t>
  </si>
  <si>
    <t>Goshen</t>
  </si>
  <si>
    <t>Hot Springs</t>
  </si>
  <si>
    <t>Laramie</t>
  </si>
  <si>
    <t>Natrona</t>
  </si>
  <si>
    <t>Niobrara</t>
  </si>
  <si>
    <t>Sublette</t>
  </si>
  <si>
    <t>Sweetwater</t>
  </si>
  <si>
    <t>Uinta</t>
  </si>
  <si>
    <t>Washakie</t>
  </si>
  <si>
    <t>Weston</t>
  </si>
  <si>
    <t>Shared</t>
  </si>
  <si>
    <t>Children Waiting for Adoption</t>
  </si>
  <si>
    <t>Number of Clients</t>
  </si>
  <si>
    <t>&lt;11</t>
  </si>
  <si>
    <t>Grand Total</t>
  </si>
  <si>
    <t>NUMBER OF CHILDREN PLACED OUT-OF-COUNTY</t>
  </si>
  <si>
    <t>Placing County</t>
  </si>
  <si>
    <t>Department of Children and Families</t>
  </si>
  <si>
    <t>Total CIP</t>
  </si>
  <si>
    <t>Relative Care</t>
  </si>
  <si>
    <t>Special Study</t>
  </si>
  <si>
    <t>AFCARS State-by-State Adoption and Foster Care Statistics</t>
  </si>
  <si>
    <t>FY 2010</t>
  </si>
  <si>
    <t>FY 2011</t>
  </si>
  <si>
    <t>FY 2012</t>
  </si>
  <si>
    <t>FY 2013</t>
  </si>
  <si>
    <t>FY 2014</t>
  </si>
  <si>
    <t>FY 2015</t>
  </si>
  <si>
    <t>FY 2016</t>
  </si>
  <si>
    <t>FY 2017</t>
  </si>
  <si>
    <t>FY 2018</t>
  </si>
  <si>
    <t>FY 2019</t>
  </si>
  <si>
    <t>NUMBER OF HOMES</t>
  </si>
  <si>
    <t>Number of Family-Like homes</t>
  </si>
  <si>
    <t>Includes foster homes, treatment and therapeutic foster homes, and kinship homes (certified and non-certified)</t>
  </si>
  <si>
    <t>AVERAGE BEDS</t>
  </si>
  <si>
    <t>AVG_BED_CAPACITY</t>
  </si>
  <si>
    <t>&lt;11 foster homes</t>
  </si>
  <si>
    <t>Delaware Kids Count</t>
  </si>
  <si>
    <t>Children</t>
  </si>
  <si>
    <t>Number</t>
  </si>
  <si>
    <t>Homes</t>
  </si>
  <si>
    <t>AFCARS</t>
  </si>
  <si>
    <t>FAMILY PRESERVATION CASES</t>
  </si>
  <si>
    <t>Number of Cases</t>
  </si>
  <si>
    <t>Unknown</t>
  </si>
  <si>
    <t>Therapeutic</t>
  </si>
  <si>
    <t>BIO FAMILY REUNIFICATION RATE</t>
  </si>
  <si>
    <t>Specialized Group Home (Non-Paid)</t>
  </si>
  <si>
    <t>Out of Town Placement</t>
  </si>
  <si>
    <t>Rate</t>
  </si>
  <si>
    <t>Other Settings</t>
  </si>
  <si>
    <t>Kinship</t>
  </si>
  <si>
    <t>Group Settings</t>
  </si>
  <si>
    <t>Developmentally Disabled/Family Based</t>
  </si>
  <si>
    <t>Developmentally Disabled/Congregate Care</t>
  </si>
  <si>
    <t>&lt;11 clients</t>
  </si>
  <si>
    <t>NUMBER OF FAMILY PRES/IN-HOME CASES</t>
  </si>
  <si>
    <t xml:space="preserve">Number of In-Home Cases </t>
  </si>
  <si>
    <t>Families</t>
  </si>
  <si>
    <t>NUMBER OF CHILDREN PLACED OUT OF COUNTY</t>
  </si>
  <si>
    <t>CFSA Dashboard</t>
  </si>
  <si>
    <t>Q4 2024</t>
  </si>
  <si>
    <t>BIOLOGICAL FAMILY REUNIFICATION RATE</t>
  </si>
  <si>
    <t>FY2024</t>
  </si>
  <si>
    <t>DeSoto</t>
  </si>
  <si>
    <t>Florida Dept. of Children and Families</t>
  </si>
  <si>
    <t>OOHP</t>
  </si>
  <si>
    <t>In-Home Care</t>
  </si>
  <si>
    <t>Approved Non-Relative</t>
  </si>
  <si>
    <t>Approved Relative</t>
  </si>
  <si>
    <t>Group Care</t>
  </si>
  <si>
    <t>Licensed Foster Care</t>
  </si>
  <si>
    <t>Black/African American</t>
  </si>
  <si>
    <t>Other/Multiracial</t>
  </si>
  <si>
    <t>Desoto</t>
  </si>
  <si>
    <t>St. Johns</t>
  </si>
  <si>
    <t>St. Lucie</t>
  </si>
  <si>
    <t>NUMBER OF FOSTER HOMES</t>
  </si>
  <si>
    <t>Georgia Department of Human Services</t>
  </si>
  <si>
    <t>REGION</t>
  </si>
  <si>
    <t>COUNTY</t>
  </si>
  <si>
    <t>No. of Children</t>
  </si>
  <si>
    <t>Kinship - Fictive Kin</t>
  </si>
  <si>
    <t>Kinship - Relative</t>
  </si>
  <si>
    <t>Kinship Partnership Parent home</t>
  </si>
  <si>
    <t>Relative - Paid</t>
  </si>
  <si>
    <t>TOTAL KINSHIP/REL</t>
  </si>
  <si>
    <t>CPA Family Foster Home</t>
  </si>
  <si>
    <t>DFCS Family Foster Home</t>
  </si>
  <si>
    <t>TOTAL FOSTER</t>
  </si>
  <si>
    <t>De kalb</t>
  </si>
  <si>
    <t>NUMBER OF FOSTER &amp; KINSHIP HOMES</t>
  </si>
  <si>
    <t>Region</t>
  </si>
  <si>
    <t>Beds</t>
  </si>
  <si>
    <t>Filled</t>
  </si>
  <si>
    <t>Waiting for Adoption</t>
  </si>
  <si>
    <t>Hawaii DHS</t>
  </si>
  <si>
    <t>All OOH</t>
  </si>
  <si>
    <t>Non-Relative</t>
  </si>
  <si>
    <t>Out-of-County*</t>
  </si>
  <si>
    <t>Awaiting Adoption</t>
  </si>
  <si>
    <t>Reunification Rate</t>
  </si>
  <si>
    <t>NUMBER OF FAMILY PRESERVATION CASES</t>
  </si>
  <si>
    <t>Family Support</t>
  </si>
  <si>
    <t>Family Pres</t>
  </si>
  <si>
    <t>**Not currently loaded - need to decide if want to use this data - Counted by children, not by family</t>
  </si>
  <si>
    <t>Average Beds</t>
  </si>
  <si>
    <t>10</t>
  </si>
  <si>
    <t>42</t>
  </si>
  <si>
    <t>7</t>
  </si>
  <si>
    <t>22</t>
  </si>
  <si>
    <t>Masked</t>
  </si>
  <si>
    <t>39</t>
  </si>
  <si>
    <t>62</t>
  </si>
  <si>
    <t>100</t>
  </si>
  <si>
    <t>9</t>
  </si>
  <si>
    <t>25</t>
  </si>
  <si>
    <t>44</t>
  </si>
  <si>
    <t>216</t>
  </si>
  <si>
    <t>23</t>
  </si>
  <si>
    <t>54</t>
  </si>
  <si>
    <t>76</t>
  </si>
  <si>
    <t>225</t>
  </si>
  <si>
    <t>27</t>
  </si>
  <si>
    <t>50</t>
  </si>
  <si>
    <t>64</t>
  </si>
  <si>
    <t>40</t>
  </si>
  <si>
    <t>S</t>
  </si>
  <si>
    <t>\</t>
  </si>
  <si>
    <t>\\</t>
  </si>
  <si>
    <t>Illinois Dept. of Children &amp; Family Services</t>
  </si>
  <si>
    <t>I/GH</t>
  </si>
  <si>
    <t>City of Chicago</t>
  </si>
  <si>
    <t>McLean</t>
  </si>
  <si>
    <t>*Skip Out of State</t>
  </si>
  <si>
    <t>CITY OF CHICAGO</t>
  </si>
  <si>
    <t>SUBURBAN COOK</t>
  </si>
  <si>
    <t>COOK COUNTY TOTAL</t>
  </si>
  <si>
    <t>IN STATE</t>
  </si>
  <si>
    <t>Number of Homes</t>
  </si>
  <si>
    <t>Out of State</t>
  </si>
  <si>
    <t>" Grand Total "</t>
  </si>
  <si>
    <t>Row Labels</t>
  </si>
  <si>
    <t># of Foster Homes</t>
  </si>
  <si>
    <t>Daytime Capacity</t>
  </si>
  <si>
    <t>Currently Available beds</t>
  </si>
  <si>
    <t>Average of Currently Available</t>
  </si>
  <si>
    <t>Average of Daytime Capacity</t>
  </si>
  <si>
    <t>DeKalb</t>
  </si>
  <si>
    <t>DeWitt</t>
  </si>
  <si>
    <t>LaSalle</t>
  </si>
  <si>
    <t>ADAMS</t>
  </si>
  <si>
    <t>ALEXANDER</t>
  </si>
  <si>
    <t>BOND</t>
  </si>
  <si>
    <t/>
  </si>
  <si>
    <t>BOONE</t>
  </si>
  <si>
    <t>BUREAU</t>
  </si>
  <si>
    <t>CARROLL</t>
  </si>
  <si>
    <t>CASS</t>
  </si>
  <si>
    <t>CHAMPAIGN</t>
  </si>
  <si>
    <t>CHRISTIAN</t>
  </si>
  <si>
    <t>CLARK</t>
  </si>
  <si>
    <t>CLINTON</t>
  </si>
  <si>
    <t>COLES</t>
  </si>
  <si>
    <t>COOK</t>
  </si>
  <si>
    <t>CRAWFORD</t>
  </si>
  <si>
    <t>CUMBERLAND</t>
  </si>
  <si>
    <t>DEKALB</t>
  </si>
  <si>
    <t>DEWITT</t>
  </si>
  <si>
    <t>DOUGLAS</t>
  </si>
  <si>
    <t>DUPAGE</t>
  </si>
  <si>
    <t>EDGAR</t>
  </si>
  <si>
    <t>EFFINGHAM</t>
  </si>
  <si>
    <t>FORD</t>
  </si>
  <si>
    <t>FULTON</t>
  </si>
  <si>
    <t>GALLATIN</t>
  </si>
  <si>
    <t>GRUNDY</t>
  </si>
  <si>
    <t>HAMILTON</t>
  </si>
  <si>
    <t>HANCOCK</t>
  </si>
  <si>
    <t>HENDERSON</t>
  </si>
  <si>
    <t>IROQUOIS</t>
  </si>
  <si>
    <t>JASPER</t>
  </si>
  <si>
    <t>JERSEY</t>
  </si>
  <si>
    <t>JOHNSON</t>
  </si>
  <si>
    <t>KANE</t>
  </si>
  <si>
    <t>KANKAKEE</t>
  </si>
  <si>
    <t>KENDALL</t>
  </si>
  <si>
    <t>KNOX</t>
  </si>
  <si>
    <t>LASALLE</t>
  </si>
  <si>
    <t>LIVINGSTON</t>
  </si>
  <si>
    <t>LOGAN</t>
  </si>
  <si>
    <t>MACOUPIN</t>
  </si>
  <si>
    <t>MASON</t>
  </si>
  <si>
    <t>MASSAC</t>
  </si>
  <si>
    <t>MCDONOUGH</t>
  </si>
  <si>
    <t>MCLEAN</t>
  </si>
  <si>
    <t>MENARD</t>
  </si>
  <si>
    <t>MERCER</t>
  </si>
  <si>
    <t>MOULTRIE</t>
  </si>
  <si>
    <t>OGLE</t>
  </si>
  <si>
    <t>OUT OF STATE</t>
  </si>
  <si>
    <t>PEORIA</t>
  </si>
  <si>
    <t>PIATT</t>
  </si>
  <si>
    <t>RICHLAND</t>
  </si>
  <si>
    <t>ROCK ISLAND</t>
  </si>
  <si>
    <t>SALINE</t>
  </si>
  <si>
    <t>SANGAMON</t>
  </si>
  <si>
    <t>SCHUYLER</t>
  </si>
  <si>
    <t>SCOTT</t>
  </si>
  <si>
    <t>STARK</t>
  </si>
  <si>
    <t>STEPHENSON</t>
  </si>
  <si>
    <t>TAZEWELL</t>
  </si>
  <si>
    <t>UNION</t>
  </si>
  <si>
    <t>VERMILION</t>
  </si>
  <si>
    <t>WABASH</t>
  </si>
  <si>
    <t>WARREN</t>
  </si>
  <si>
    <t>WAYNE</t>
  </si>
  <si>
    <t>WHITE</t>
  </si>
  <si>
    <t>WHITESIDE</t>
  </si>
  <si>
    <t>WILL</t>
  </si>
  <si>
    <t>WILLIAMSON</t>
  </si>
  <si>
    <t>WINNEBAGO</t>
  </si>
  <si>
    <t>WOODFORD</t>
  </si>
  <si>
    <t>LaGrange</t>
  </si>
  <si>
    <t>Management Gateway for Indiana’s Kids via the Indiana Department of Child Services</t>
  </si>
  <si>
    <t>CHINS</t>
  </si>
  <si>
    <t>Out of Home Placements</t>
  </si>
  <si>
    <t>In Home</t>
  </si>
  <si>
    <t>Out Of Home Placement</t>
  </si>
  <si>
    <t>Relative Home</t>
  </si>
  <si>
    <t>Non-Relative Foster Home</t>
  </si>
  <si>
    <t>Residential</t>
  </si>
  <si>
    <t>St. Joseph</t>
  </si>
  <si>
    <t>Department of Human Services, Family and Children Services System</t>
  </si>
  <si>
    <t>State of Iowa</t>
  </si>
  <si>
    <t>Relative/Kinship Care</t>
  </si>
  <si>
    <t>O'Brien</t>
  </si>
  <si>
    <t>NUMBER OF LICENSED HOMES</t>
  </si>
  <si>
    <t>ADAIR</t>
  </si>
  <si>
    <t>ALLAMAKEE</t>
  </si>
  <si>
    <t>APPANOOSE</t>
  </si>
  <si>
    <t>AUDUBON</t>
  </si>
  <si>
    <t>BENTON</t>
  </si>
  <si>
    <t>BLACK HAWK</t>
  </si>
  <si>
    <t>BREMER</t>
  </si>
  <si>
    <t>BUCHANAN</t>
  </si>
  <si>
    <t>BUENA VISTA</t>
  </si>
  <si>
    <t>CEDAR</t>
  </si>
  <si>
    <t>CERRO GORDO</t>
  </si>
  <si>
    <t>CHICKASAW</t>
  </si>
  <si>
    <t>CLAYTON</t>
  </si>
  <si>
    <t>DAVIS</t>
  </si>
  <si>
    <t>DECATUR</t>
  </si>
  <si>
    <t>DELAWARE</t>
  </si>
  <si>
    <t>DES MOINES</t>
  </si>
  <si>
    <t>DICKINSON</t>
  </si>
  <si>
    <t>DUBUQUE</t>
  </si>
  <si>
    <t>EMMET</t>
  </si>
  <si>
    <t>FLOYD</t>
  </si>
  <si>
    <t>FREMONT</t>
  </si>
  <si>
    <t>GUTHRIE</t>
  </si>
  <si>
    <t>HARDIN</t>
  </si>
  <si>
    <t>HARRISON</t>
  </si>
  <si>
    <t>HOWARD</t>
  </si>
  <si>
    <t>IDA</t>
  </si>
  <si>
    <t>IOWA</t>
  </si>
  <si>
    <t>JONES</t>
  </si>
  <si>
    <t>KEOKUK</t>
  </si>
  <si>
    <t>KOSSUTH</t>
  </si>
  <si>
    <t>LINN</t>
  </si>
  <si>
    <t>LOUISA</t>
  </si>
  <si>
    <t>LUCAS</t>
  </si>
  <si>
    <t>LYON</t>
  </si>
  <si>
    <t>MAHASKA</t>
  </si>
  <si>
    <t>MILLS</t>
  </si>
  <si>
    <t>MITCHELL</t>
  </si>
  <si>
    <t>MONONA</t>
  </si>
  <si>
    <t>MUSCATINE</t>
  </si>
  <si>
    <t>OBRIEN</t>
  </si>
  <si>
    <t>OSCEOLA</t>
  </si>
  <si>
    <t>PAGE</t>
  </si>
  <si>
    <t>PALO ALTO</t>
  </si>
  <si>
    <t>PLYMOUTH</t>
  </si>
  <si>
    <t>POCAHONTAS</t>
  </si>
  <si>
    <t>POLK</t>
  </si>
  <si>
    <t>POTTAWATTAMIE</t>
  </si>
  <si>
    <t>POWESHIEK</t>
  </si>
  <si>
    <t>RINGGOLD</t>
  </si>
  <si>
    <t>SAC</t>
  </si>
  <si>
    <t>SIOUX</t>
  </si>
  <si>
    <t>STORY</t>
  </si>
  <si>
    <t>TAMA</t>
  </si>
  <si>
    <t>TAYLOR</t>
  </si>
  <si>
    <t>VAN BUREN</t>
  </si>
  <si>
    <t>WAPELLO</t>
  </si>
  <si>
    <t>WEBSTER</t>
  </si>
  <si>
    <t>WINNESHIEK</t>
  </si>
  <si>
    <t>WOODBURY</t>
  </si>
  <si>
    <t>WORTH</t>
  </si>
  <si>
    <t>WRIGHT</t>
  </si>
  <si>
    <t>Reunifications</t>
  </si>
  <si>
    <t>Total Exits</t>
  </si>
  <si>
    <t>Zero to 5</t>
  </si>
  <si>
    <t>Kansas Department for Children and Families</t>
  </si>
  <si>
    <t>PreAdoptive</t>
  </si>
  <si>
    <t>GroupResidential</t>
  </si>
  <si>
    <t>Maternity</t>
  </si>
  <si>
    <t>14</t>
  </si>
  <si>
    <t>20</t>
  </si>
  <si>
    <t>8</t>
  </si>
  <si>
    <t>116</t>
  </si>
  <si>
    <t>19</t>
  </si>
  <si>
    <t>12</t>
  </si>
  <si>
    <t>18</t>
  </si>
  <si>
    <t>67</t>
  </si>
  <si>
    <t>21</t>
  </si>
  <si>
    <t>37</t>
  </si>
  <si>
    <t>3</t>
  </si>
  <si>
    <t>65</t>
  </si>
  <si>
    <t>0</t>
  </si>
  <si>
    <t>28</t>
  </si>
  <si>
    <t>186</t>
  </si>
  <si>
    <t>26</t>
  </si>
  <si>
    <t>34</t>
  </si>
  <si>
    <t>68</t>
  </si>
  <si>
    <t>13</t>
  </si>
  <si>
    <t>684</t>
  </si>
  <si>
    <t>15</t>
  </si>
  <si>
    <t>105</t>
  </si>
  <si>
    <t>17</t>
  </si>
  <si>
    <t>16</t>
  </si>
  <si>
    <t>4</t>
  </si>
  <si>
    <t>6</t>
  </si>
  <si>
    <t>31</t>
  </si>
  <si>
    <t>35</t>
  </si>
  <si>
    <t>60</t>
  </si>
  <si>
    <t>Northwest Region</t>
  </si>
  <si>
    <t>Northeast Region</t>
  </si>
  <si>
    <t>Kansas City Region</t>
  </si>
  <si>
    <t>Southeast Region</t>
  </si>
  <si>
    <t>Wichita Region</t>
  </si>
  <si>
    <t>Southwest Region</t>
  </si>
  <si>
    <t>Kentucky Cabinet For Health and Family Services</t>
  </si>
  <si>
    <t>Total # of Children in OOHC With Active Placement</t>
  </si>
  <si>
    <t>Placed in Relative or Fictive Fin Placement (non-foster home)</t>
  </si>
  <si>
    <t>Total # Placed in DCBS Foster Homes All Types</t>
  </si>
  <si>
    <t># of Children in DCBS Care Plus or Medically Complex Foster Homes</t>
  </si>
  <si>
    <t># of Children Placed in DCBS Apotive Home</t>
  </si>
  <si>
    <t># of Children Placed in Detention Center or DJJ</t>
  </si>
  <si>
    <t># of Children Placed in Independent Living or Education Setting</t>
  </si>
  <si>
    <t># of Children in Psychiatric Hospitals</t>
  </si>
  <si>
    <t># of Children Placed Out of State</t>
  </si>
  <si>
    <t>AWOL</t>
  </si>
  <si>
    <t>Home Placement</t>
  </si>
  <si>
    <t>Children with a Goal of Adoption</t>
  </si>
  <si>
    <t># of Children In Care</t>
  </si>
  <si>
    <t>Court</t>
  </si>
  <si>
    <t># of Children</t>
  </si>
  <si>
    <t>(blank)</t>
  </si>
  <si>
    <t>ACADIA</t>
  </si>
  <si>
    <t>ALLEN</t>
  </si>
  <si>
    <t>ASCENSION</t>
  </si>
  <si>
    <t>ASSUMPTION</t>
  </si>
  <si>
    <t>AVOYELLES</t>
  </si>
  <si>
    <t>BEAUREGARD</t>
  </si>
  <si>
    <t>BIENVILLE</t>
  </si>
  <si>
    <t>BOSSIER</t>
  </si>
  <si>
    <t>CADDO</t>
  </si>
  <si>
    <t>CALCASIEU</t>
  </si>
  <si>
    <t>CALDWELL</t>
  </si>
  <si>
    <t>CAMERON</t>
  </si>
  <si>
    <t>CATAHOULA</t>
  </si>
  <si>
    <t>CLAIBORNE</t>
  </si>
  <si>
    <t>CONCORDIA</t>
  </si>
  <si>
    <t>DESOTO</t>
  </si>
  <si>
    <t>EAST BATON ROUGE</t>
  </si>
  <si>
    <t>EAST CARROLL</t>
  </si>
  <si>
    <t>EAST FELICIANA</t>
  </si>
  <si>
    <t>EVANGELINE</t>
  </si>
  <si>
    <t>GRANT</t>
  </si>
  <si>
    <t>IBERIA</t>
  </si>
  <si>
    <t>IBERVILLE</t>
  </si>
  <si>
    <t>JEFFERSON DAVIS</t>
  </si>
  <si>
    <t>LAFAYETTE</t>
  </si>
  <si>
    <t>LAFOURCHE</t>
  </si>
  <si>
    <t>LA SALLE</t>
  </si>
  <si>
    <t>LINCOLN</t>
  </si>
  <si>
    <t>MOREHOUSE</t>
  </si>
  <si>
    <t>NATCHITOCHES</t>
  </si>
  <si>
    <t>ORLEANS</t>
  </si>
  <si>
    <t>OUACHITA</t>
  </si>
  <si>
    <t>PLAQUEMINES</t>
  </si>
  <si>
    <t>POINTE COUPEE</t>
  </si>
  <si>
    <t>RAPIDES</t>
  </si>
  <si>
    <t>RED RIVER</t>
  </si>
  <si>
    <t>SABINE</t>
  </si>
  <si>
    <t>ST. BERNARD</t>
  </si>
  <si>
    <t>ST. CHARLES</t>
  </si>
  <si>
    <t>ST. HELENA</t>
  </si>
  <si>
    <t>ST. JAMES</t>
  </si>
  <si>
    <t>ST. JOHN The Baptist</t>
  </si>
  <si>
    <t>ST. LANDRY</t>
  </si>
  <si>
    <t>ST. MARTIN</t>
  </si>
  <si>
    <t>ST. MARY</t>
  </si>
  <si>
    <t>ST. TAMMANY</t>
  </si>
  <si>
    <t>TANGIPAHOA</t>
  </si>
  <si>
    <t>TENSAS</t>
  </si>
  <si>
    <t>TERREBONNE</t>
  </si>
  <si>
    <t>VERNON</t>
  </si>
  <si>
    <t>WEST BATON ROUGE</t>
  </si>
  <si>
    <t>WEST CARROLL</t>
  </si>
  <si>
    <t>WEST FELICIANA</t>
  </si>
  <si>
    <t>WINN</t>
  </si>
  <si>
    <t># of Children Waiting for Adoption</t>
  </si>
  <si>
    <t># of Children in Kinship Care</t>
  </si>
  <si>
    <t># of Children Placed with Kin</t>
  </si>
  <si>
    <t>% Children Reunified with Biological Family</t>
  </si>
  <si>
    <t>Rate of Reunification-CY 2023</t>
  </si>
  <si>
    <t>ST. JOHN</t>
  </si>
  <si>
    <t># of Family Perservation Cases</t>
  </si>
  <si>
    <t>Parish</t>
  </si>
  <si>
    <t>FS Cases</t>
  </si>
  <si>
    <t># of Certified Providers &amp; Capacity</t>
  </si>
  <si>
    <t>Certified Providers</t>
  </si>
  <si>
    <t>Average of Capacity</t>
  </si>
  <si>
    <t>OUT-OF-STATE</t>
  </si>
  <si>
    <t>Department of Health and Human Services</t>
  </si>
  <si>
    <t>Maryland Children's Electronic Social Services Information Exchange/University of Maryland School of Social Work</t>
  </si>
  <si>
    <t>Formal Kinship Care</t>
  </si>
  <si>
    <t>Restricted (Relative) Foster Care</t>
  </si>
  <si>
    <t>Regular Foster Care</t>
  </si>
  <si>
    <t>Treatment Foster Care - Private</t>
  </si>
  <si>
    <t>Treatment Foster Care - Public</t>
  </si>
  <si>
    <t>Adoptive/Pre-Finalized Adoptive</t>
  </si>
  <si>
    <t>Residential Treatment Centers</t>
  </si>
  <si>
    <t>Queen Anne's</t>
  </si>
  <si>
    <t>St. Mary's</t>
  </si>
  <si>
    <t>Maryland DHS</t>
  </si>
  <si>
    <t>Maryland Department of Social Services</t>
  </si>
  <si>
    <t>Kinship Homes</t>
  </si>
  <si>
    <t>AVERAGE BEDS PER FAMILY</t>
  </si>
  <si>
    <t>FY 2023</t>
  </si>
  <si>
    <t>St. Bernard</t>
  </si>
  <si>
    <t>St. Charles</t>
  </si>
  <si>
    <t>St. Helena</t>
  </si>
  <si>
    <t>St. James</t>
  </si>
  <si>
    <t>St. John The Baptist</t>
  </si>
  <si>
    <t>REGION_NAME</t>
  </si>
  <si>
    <t>AREA_NAME</t>
  </si>
  <si>
    <t>St. Landry</t>
  </si>
  <si>
    <t>Number of Children in Family-Like Foster Care</t>
  </si>
  <si>
    <t>Number of Adoptions</t>
  </si>
  <si>
    <t>Time Elapsed TPR to Adoption</t>
  </si>
  <si>
    <t>Boston Region</t>
  </si>
  <si>
    <t>Central MA Region</t>
  </si>
  <si>
    <t>St. Martin</t>
  </si>
  <si>
    <t>Nothern Region</t>
  </si>
  <si>
    <t>Southern Region</t>
  </si>
  <si>
    <t>Western Region</t>
  </si>
  <si>
    <t>St. Mary</t>
  </si>
  <si>
    <t>Town</t>
  </si>
  <si>
    <t>DCF Region</t>
  </si>
  <si>
    <t>ABINGTON</t>
  </si>
  <si>
    <t>Southern</t>
  </si>
  <si>
    <t>Abington</t>
  </si>
  <si>
    <t>ACTON</t>
  </si>
  <si>
    <t>Acton</t>
  </si>
  <si>
    <t>ACUSHNET</t>
  </si>
  <si>
    <t>Acushnet</t>
  </si>
  <si>
    <t>AGAWAM</t>
  </si>
  <si>
    <t>Agawam</t>
  </si>
  <si>
    <t>ALFORD</t>
  </si>
  <si>
    <t>St. Tammany</t>
  </si>
  <si>
    <t>Alford</t>
  </si>
  <si>
    <t>ALLSTON</t>
  </si>
  <si>
    <t>Boston</t>
  </si>
  <si>
    <t>Amesbury</t>
  </si>
  <si>
    <t>AMESBURY</t>
  </si>
  <si>
    <t>AMHERST</t>
  </si>
  <si>
    <t>Andover</t>
  </si>
  <si>
    <t>ANDOVER</t>
  </si>
  <si>
    <t>AQUINNAH</t>
  </si>
  <si>
    <t>Ashburnham</t>
  </si>
  <si>
    <t>ARLINGTON</t>
  </si>
  <si>
    <t>Ashby</t>
  </si>
  <si>
    <t>ASHBURNHAM</t>
  </si>
  <si>
    <t>Central</t>
  </si>
  <si>
    <t>Ashfield</t>
  </si>
  <si>
    <t>ASHBY</t>
  </si>
  <si>
    <t>ASHFIELD</t>
  </si>
  <si>
    <t>Athol</t>
  </si>
  <si>
    <t>ASHLAND</t>
  </si>
  <si>
    <t>Attleboro</t>
  </si>
  <si>
    <t>ATHOL</t>
  </si>
  <si>
    <t>Auburn</t>
  </si>
  <si>
    <t>ATTLEBORO</t>
  </si>
  <si>
    <t>Avon</t>
  </si>
  <si>
    <t>AUBURN</t>
  </si>
  <si>
    <t>Ayer</t>
  </si>
  <si>
    <t>AVON</t>
  </si>
  <si>
    <t>AYER</t>
  </si>
  <si>
    <t>Barre</t>
  </si>
  <si>
    <t>BARNSTABLE</t>
  </si>
  <si>
    <t>Becket</t>
  </si>
  <si>
    <t>BARRE</t>
  </si>
  <si>
    <t>BECKET</t>
  </si>
  <si>
    <t>Belchertown</t>
  </si>
  <si>
    <t>BEDFORD</t>
  </si>
  <si>
    <t>Bellingham</t>
  </si>
  <si>
    <t>BELCHERTOWN</t>
  </si>
  <si>
    <t>BELLINGHAM</t>
  </si>
  <si>
    <t>Berkley</t>
  </si>
  <si>
    <t>BELMONT</t>
  </si>
  <si>
    <t>Berlin</t>
  </si>
  <si>
    <t>BERKLEY</t>
  </si>
  <si>
    <t>Bernardston</t>
  </si>
  <si>
    <t>BERLIN</t>
  </si>
  <si>
    <t>Beverly</t>
  </si>
  <si>
    <t>BERNARDSTON</t>
  </si>
  <si>
    <t>Billerica</t>
  </si>
  <si>
    <t>BEVERLY</t>
  </si>
  <si>
    <t>Blackstone</t>
  </si>
  <si>
    <t>BILLERICA</t>
  </si>
  <si>
    <t>Blandford</t>
  </si>
  <si>
    <t>BLACKSTONE</t>
  </si>
  <si>
    <t>Bolton</t>
  </si>
  <si>
    <t>BLANDFORD</t>
  </si>
  <si>
    <t>BOLTON</t>
  </si>
  <si>
    <t>Bourne</t>
  </si>
  <si>
    <t>BOSTON - Beacon Hill / West End</t>
  </si>
  <si>
    <t>Boxborough</t>
  </si>
  <si>
    <t>BOSTON - North End, 02109, 02210, 02111, 02113, 02114</t>
  </si>
  <si>
    <t>Boxford</t>
  </si>
  <si>
    <t>BOSTON - South End, Back Bay, Fenway, Kenmore, West End</t>
  </si>
  <si>
    <t>Boylston</t>
  </si>
  <si>
    <t>BOURNE</t>
  </si>
  <si>
    <t>Braintree</t>
  </si>
  <si>
    <t>BOURNEDALE</t>
  </si>
  <si>
    <t>BOXBOROUGH</t>
  </si>
  <si>
    <t>Bridgewater</t>
  </si>
  <si>
    <t>BOXFORD</t>
  </si>
  <si>
    <t>Brimfield</t>
  </si>
  <si>
    <t>BOYLSTON</t>
  </si>
  <si>
    <t>Brockton</t>
  </si>
  <si>
    <t>BRAINTREE</t>
  </si>
  <si>
    <t>Brookfield</t>
  </si>
  <si>
    <t>BREWSTER</t>
  </si>
  <si>
    <t>Brookline</t>
  </si>
  <si>
    <t>BRIDGEWATER</t>
  </si>
  <si>
    <t>Buckland</t>
  </si>
  <si>
    <t>BRIGHTON</t>
  </si>
  <si>
    <t>BRIMFIELD</t>
  </si>
  <si>
    <t>Cambridge</t>
  </si>
  <si>
    <t>BROCKTON</t>
  </si>
  <si>
    <t>Canton</t>
  </si>
  <si>
    <t>BROOKFIELD</t>
  </si>
  <si>
    <t>BROOKLINE</t>
  </si>
  <si>
    <t>BUCKLAND</t>
  </si>
  <si>
    <t>Charlemont</t>
  </si>
  <si>
    <t>BURLINGTON</t>
  </si>
  <si>
    <t>CAMBRIDGE</t>
  </si>
  <si>
    <t>CANTON</t>
  </si>
  <si>
    <t>Chelmsford</t>
  </si>
  <si>
    <t>CARLISLE</t>
  </si>
  <si>
    <t>Chelsea</t>
  </si>
  <si>
    <t>CARVER</t>
  </si>
  <si>
    <t>CHARLEMONT</t>
  </si>
  <si>
    <t>CHARLESTOWN</t>
  </si>
  <si>
    <t>CHARLTON</t>
  </si>
  <si>
    <t>Chicopee</t>
  </si>
  <si>
    <t>CHATHAM</t>
  </si>
  <si>
    <t>Chilmark</t>
  </si>
  <si>
    <t>CHELMSFORD</t>
  </si>
  <si>
    <t>Clarksburg</t>
  </si>
  <si>
    <t>CHELSEA</t>
  </si>
  <si>
    <t>CHESHIRE</t>
  </si>
  <si>
    <t>Cohasset</t>
  </si>
  <si>
    <t>CHESTER</t>
  </si>
  <si>
    <t>Colrain</t>
  </si>
  <si>
    <t>CHESTERFIELD</t>
  </si>
  <si>
    <t>Concord</t>
  </si>
  <si>
    <t>CHICOPEE</t>
  </si>
  <si>
    <t>CHILMARK</t>
  </si>
  <si>
    <t>Cummington</t>
  </si>
  <si>
    <t>CLARKSBURG</t>
  </si>
  <si>
    <t>Dalton</t>
  </si>
  <si>
    <t>Danvers</t>
  </si>
  <si>
    <t>COHASSET</t>
  </si>
  <si>
    <t>Dartmouth</t>
  </si>
  <si>
    <t>COLRAIN</t>
  </si>
  <si>
    <t>Dedham</t>
  </si>
  <si>
    <t>CONCORD</t>
  </si>
  <si>
    <t>Deerfield</t>
  </si>
  <si>
    <t>CONWAY</t>
  </si>
  <si>
    <t>Dennis</t>
  </si>
  <si>
    <t>CUMMINGTON</t>
  </si>
  <si>
    <t>Dighton</t>
  </si>
  <si>
    <t>DALTON</t>
  </si>
  <si>
    <t>DANVERS</t>
  </si>
  <si>
    <t>Dover</t>
  </si>
  <si>
    <t>DARTMOUTH</t>
  </si>
  <si>
    <t>Dracut</t>
  </si>
  <si>
    <t>DEDHAM</t>
  </si>
  <si>
    <t>Dudley</t>
  </si>
  <si>
    <t>DEERFIELD</t>
  </si>
  <si>
    <t>Dunstable</t>
  </si>
  <si>
    <t>DENNIS</t>
  </si>
  <si>
    <t>Duxbury</t>
  </si>
  <si>
    <t>DIGHTON</t>
  </si>
  <si>
    <t>East Bridgewater</t>
  </si>
  <si>
    <t>DORCHESTER – Grove Hall, Uphams Corner, 02122, 02210</t>
  </si>
  <si>
    <t>East Brookfield</t>
  </si>
  <si>
    <t>DORCHESTER Center</t>
  </si>
  <si>
    <t>East Longmeadow</t>
  </si>
  <si>
    <t>DORCHESTER Four Corners</t>
  </si>
  <si>
    <t>Eastham</t>
  </si>
  <si>
    <t>Easthampton</t>
  </si>
  <si>
    <t>DOVER</t>
  </si>
  <si>
    <t>Easton</t>
  </si>
  <si>
    <t>DRACUT</t>
  </si>
  <si>
    <t>Edgartown</t>
  </si>
  <si>
    <t>DUDLEY</t>
  </si>
  <si>
    <t>Egremont</t>
  </si>
  <si>
    <t>DUNSTABLE</t>
  </si>
  <si>
    <t>Erving</t>
  </si>
  <si>
    <t>DUXBURY</t>
  </si>
  <si>
    <t>EAST BOSTON</t>
  </si>
  <si>
    <t>Everett</t>
  </si>
  <si>
    <t>EAST BRIDGEWATER</t>
  </si>
  <si>
    <t>Fairhaven</t>
  </si>
  <si>
    <t>EAST BROOKFIELD</t>
  </si>
  <si>
    <t>EAST LONGMEADOW</t>
  </si>
  <si>
    <t>Falmouth</t>
  </si>
  <si>
    <t>EAST SPRINGFIELD</t>
  </si>
  <si>
    <t>Fitchburg</t>
  </si>
  <si>
    <t>EASTHAM</t>
  </si>
  <si>
    <t>EASTHAMPTON</t>
  </si>
  <si>
    <t>Foxborough</t>
  </si>
  <si>
    <t>EASTON</t>
  </si>
  <si>
    <t>Framingham</t>
  </si>
  <si>
    <t>EDGARTOWN</t>
  </si>
  <si>
    <t>EGREMONT</t>
  </si>
  <si>
    <t>Freetown</t>
  </si>
  <si>
    <t>ERVING</t>
  </si>
  <si>
    <t>Gardner</t>
  </si>
  <si>
    <t>ESSEX</t>
  </si>
  <si>
    <t>Gay Head</t>
  </si>
  <si>
    <t>EVERETT</t>
  </si>
  <si>
    <t>FAIRHAVEN</t>
  </si>
  <si>
    <t>Gill</t>
  </si>
  <si>
    <t>FALL RIVER</t>
  </si>
  <si>
    <t>FALMOUTH</t>
  </si>
  <si>
    <t>FITCHBURG</t>
  </si>
  <si>
    <t>Gosnold</t>
  </si>
  <si>
    <t>FLORIDA</t>
  </si>
  <si>
    <t>FOXBOROUGH</t>
  </si>
  <si>
    <t>Granby</t>
  </si>
  <si>
    <t>FRAMINGHAM</t>
  </si>
  <si>
    <t>Great Barrington</t>
  </si>
  <si>
    <t>FREETOWN</t>
  </si>
  <si>
    <t>Greenfield</t>
  </si>
  <si>
    <t>GARDNER</t>
  </si>
  <si>
    <t>Groton</t>
  </si>
  <si>
    <t>GAY HEAD</t>
  </si>
  <si>
    <t>Groveland</t>
  </si>
  <si>
    <t>GEORGETOWN</t>
  </si>
  <si>
    <t>Hadley</t>
  </si>
  <si>
    <t>GILL</t>
  </si>
  <si>
    <t>GLOUCESTER</t>
  </si>
  <si>
    <t>GOSHEN</t>
  </si>
  <si>
    <t>GOSNOLD</t>
  </si>
  <si>
    <t>GRAFTON</t>
  </si>
  <si>
    <t>GRANBY</t>
  </si>
  <si>
    <t>GRANVILLE</t>
  </si>
  <si>
    <t>Hardwick</t>
  </si>
  <si>
    <t>GREAT BARRINGTON</t>
  </si>
  <si>
    <t>Harvard</t>
  </si>
  <si>
    <t>GREENFIELD</t>
  </si>
  <si>
    <t>Harwich</t>
  </si>
  <si>
    <t>GROTON</t>
  </si>
  <si>
    <t>Hatfield</t>
  </si>
  <si>
    <t>GROVELAND</t>
  </si>
  <si>
    <t>Haverhill</t>
  </si>
  <si>
    <t>HADLEY</t>
  </si>
  <si>
    <t>Hawley</t>
  </si>
  <si>
    <t>HALIFAX</t>
  </si>
  <si>
    <t>Heath</t>
  </si>
  <si>
    <t>Hingham</t>
  </si>
  <si>
    <t>HAMPDEN</t>
  </si>
  <si>
    <t>Holbrook</t>
  </si>
  <si>
    <t>HANOVER</t>
  </si>
  <si>
    <t>Holden</t>
  </si>
  <si>
    <t>HANSON</t>
  </si>
  <si>
    <t>Holland</t>
  </si>
  <si>
    <t>HARDWICK</t>
  </si>
  <si>
    <t>Holliston</t>
  </si>
  <si>
    <t>HARVARD</t>
  </si>
  <si>
    <t>Holyoke</t>
  </si>
  <si>
    <t>HARWICH</t>
  </si>
  <si>
    <t>Hopedale</t>
  </si>
  <si>
    <t>HATFIELD</t>
  </si>
  <si>
    <t>Hopkinton</t>
  </si>
  <si>
    <t>HAVERHILL</t>
  </si>
  <si>
    <t>Hubbardston</t>
  </si>
  <si>
    <t>HAWLEY</t>
  </si>
  <si>
    <t>HEATH</t>
  </si>
  <si>
    <t>Hull</t>
  </si>
  <si>
    <t>HINGHAM</t>
  </si>
  <si>
    <t>HINSDALE</t>
  </si>
  <si>
    <t>Ipswich</t>
  </si>
  <si>
    <t>HOLBROOK</t>
  </si>
  <si>
    <t>Kingston</t>
  </si>
  <si>
    <t>HOLDEN</t>
  </si>
  <si>
    <t>Lakeville</t>
  </si>
  <si>
    <t>HOLLAND</t>
  </si>
  <si>
    <t>HOLLISTON</t>
  </si>
  <si>
    <t>Lanesborough</t>
  </si>
  <si>
    <t>HOLYOKE</t>
  </si>
  <si>
    <t>HOPEDALE</t>
  </si>
  <si>
    <t>HOPKINTON</t>
  </si>
  <si>
    <t>Leicester</t>
  </si>
  <si>
    <t>HUBBARDSTON</t>
  </si>
  <si>
    <t>Lenox</t>
  </si>
  <si>
    <t>HUDSON</t>
  </si>
  <si>
    <t>Leominster</t>
  </si>
  <si>
    <t>HULL</t>
  </si>
  <si>
    <t>Leverett</t>
  </si>
  <si>
    <t>HUNTINGTON</t>
  </si>
  <si>
    <t>IPSWICH</t>
  </si>
  <si>
    <t>Leyden</t>
  </si>
  <si>
    <t>JAMAICA PLAIN</t>
  </si>
  <si>
    <t>KINGSTON</t>
  </si>
  <si>
    <t>Littleton</t>
  </si>
  <si>
    <t>LAKEVILLE</t>
  </si>
  <si>
    <t>Longmeadow</t>
  </si>
  <si>
    <t>LANCASTER</t>
  </si>
  <si>
    <t>Lowell</t>
  </si>
  <si>
    <t>LANESBOROUGH</t>
  </si>
  <si>
    <t>Ludlow</t>
  </si>
  <si>
    <t>LEICESTER</t>
  </si>
  <si>
    <t>Lynnfield</t>
  </si>
  <si>
    <t>LENOX</t>
  </si>
  <si>
    <t>Malden</t>
  </si>
  <si>
    <t>LEOMINSTER</t>
  </si>
  <si>
    <t>Manchester-By-The-Sea</t>
  </si>
  <si>
    <t>LEVERETT</t>
  </si>
  <si>
    <t>Mansfield</t>
  </si>
  <si>
    <t>LEXINGTON</t>
  </si>
  <si>
    <t>Marblehead</t>
  </si>
  <si>
    <t>LEYDEN</t>
  </si>
  <si>
    <t>Marlborough</t>
  </si>
  <si>
    <t>LITTLETON</t>
  </si>
  <si>
    <t>Marshfield</t>
  </si>
  <si>
    <t>LONGMEADOW</t>
  </si>
  <si>
    <t>Mashpee</t>
  </si>
  <si>
    <t>LOWELL</t>
  </si>
  <si>
    <t>Mattapoisett</t>
  </si>
  <si>
    <t>LUDLOW</t>
  </si>
  <si>
    <t>Maynard</t>
  </si>
  <si>
    <t>LUNENBURG</t>
  </si>
  <si>
    <t>Medfield</t>
  </si>
  <si>
    <t>LYNN</t>
  </si>
  <si>
    <t>Medford</t>
  </si>
  <si>
    <t>LYNNFIELD</t>
  </si>
  <si>
    <t>Medway</t>
  </si>
  <si>
    <t>MALDEN</t>
  </si>
  <si>
    <t>Melrose</t>
  </si>
  <si>
    <t>MANCHESTER</t>
  </si>
  <si>
    <t>Mendon</t>
  </si>
  <si>
    <t>MANSFIELD</t>
  </si>
  <si>
    <t>Merrimac</t>
  </si>
  <si>
    <t>MARBLEHEAD</t>
  </si>
  <si>
    <t>Methuen</t>
  </si>
  <si>
    <t>Middleborough</t>
  </si>
  <si>
    <t>MARLBOROUGH</t>
  </si>
  <si>
    <t>Middlefield</t>
  </si>
  <si>
    <t>MARSHFIELD</t>
  </si>
  <si>
    <t>Middleton</t>
  </si>
  <si>
    <t>MASHPEE</t>
  </si>
  <si>
    <t>Milford</t>
  </si>
  <si>
    <t>MATTAPOISETT</t>
  </si>
  <si>
    <t>Millbury</t>
  </si>
  <si>
    <t>MAYNARD</t>
  </si>
  <si>
    <t>Millis</t>
  </si>
  <si>
    <t>MEDFIELD</t>
  </si>
  <si>
    <t>Millville</t>
  </si>
  <si>
    <t>MEDFORD</t>
  </si>
  <si>
    <t>Milton</t>
  </si>
  <si>
    <t>MEDWAY</t>
  </si>
  <si>
    <t>MELROSE</t>
  </si>
  <si>
    <t>Monson</t>
  </si>
  <si>
    <t>MENDON</t>
  </si>
  <si>
    <t>MERRIMAC</t>
  </si>
  <si>
    <t>METHUEN</t>
  </si>
  <si>
    <t>MIDDLEBOROUGH</t>
  </si>
  <si>
    <t>Mount Washington</t>
  </si>
  <si>
    <t>MIDDLEFIELD</t>
  </si>
  <si>
    <t>Nahant</t>
  </si>
  <si>
    <t>MIDDLETON</t>
  </si>
  <si>
    <t>MILFORD</t>
  </si>
  <si>
    <t>Natick</t>
  </si>
  <si>
    <t>MILLBURY</t>
  </si>
  <si>
    <t>Needham</t>
  </si>
  <si>
    <t>MILLIS</t>
  </si>
  <si>
    <t>New Ashford</t>
  </si>
  <si>
    <t>MILLVILLE</t>
  </si>
  <si>
    <t>New Bedford</t>
  </si>
  <si>
    <t>MILTON</t>
  </si>
  <si>
    <t>New Braintree</t>
  </si>
  <si>
    <t>MISSION HILL / ROXBURY</t>
  </si>
  <si>
    <t>New Marlborough</t>
  </si>
  <si>
    <t>New Salem</t>
  </si>
  <si>
    <t>MONSON</t>
  </si>
  <si>
    <t>Newbury</t>
  </si>
  <si>
    <t>MONTAGUE</t>
  </si>
  <si>
    <t>Newburyport</t>
  </si>
  <si>
    <t>MOUNT WASHINGTON</t>
  </si>
  <si>
    <t>North Adams</t>
  </si>
  <si>
    <t>NAHANT</t>
  </si>
  <si>
    <t>North Andover</t>
  </si>
  <si>
    <t>NANTUCKET</t>
  </si>
  <si>
    <t>North Attleborough</t>
  </si>
  <si>
    <t>NATICK</t>
  </si>
  <si>
    <t>North Brookfield</t>
  </si>
  <si>
    <t>NEEDHAM</t>
  </si>
  <si>
    <t>North Reading</t>
  </si>
  <si>
    <t>NEW ASHFORD</t>
  </si>
  <si>
    <t>NEW BEDFORD</t>
  </si>
  <si>
    <t>Northborough</t>
  </si>
  <si>
    <t>NEW BRAINTREE</t>
  </si>
  <si>
    <t>Northbridge</t>
  </si>
  <si>
    <t>NEW MARLBOROUGH</t>
  </si>
  <si>
    <t>Northfield</t>
  </si>
  <si>
    <t>NEW SALEM</t>
  </si>
  <si>
    <t>NEWBURY</t>
  </si>
  <si>
    <t>Norwell</t>
  </si>
  <si>
    <t>NEWBURYPORT</t>
  </si>
  <si>
    <t>Norwood</t>
  </si>
  <si>
    <t>NEWTON</t>
  </si>
  <si>
    <t>Oak Bluffs</t>
  </si>
  <si>
    <t>NORFOLK</t>
  </si>
  <si>
    <t>Oakham</t>
  </si>
  <si>
    <t>NORTH ADAMS</t>
  </si>
  <si>
    <t>NORTH ANDOVER</t>
  </si>
  <si>
    <t>NORTH ATTLEBOROUGH</t>
  </si>
  <si>
    <t>Otis</t>
  </si>
  <si>
    <t>NORTH BROOKFIELD</t>
  </si>
  <si>
    <t>NORTH EASTON</t>
  </si>
  <si>
    <t>Palmer</t>
  </si>
  <si>
    <t>NORTH READING</t>
  </si>
  <si>
    <t>Paxton</t>
  </si>
  <si>
    <t>NORTHAMPTON</t>
  </si>
  <si>
    <t>Peabody</t>
  </si>
  <si>
    <t>NORTHBOROUGH</t>
  </si>
  <si>
    <t>Pelham</t>
  </si>
  <si>
    <t>NORTHBRIDGE</t>
  </si>
  <si>
    <t>Pembroke</t>
  </si>
  <si>
    <t>NORTHFIELD</t>
  </si>
  <si>
    <t>Pepperell</t>
  </si>
  <si>
    <t>NORTON</t>
  </si>
  <si>
    <t>Peru</t>
  </si>
  <si>
    <t>NORWELL</t>
  </si>
  <si>
    <t>Petersham</t>
  </si>
  <si>
    <t>NORWOOD</t>
  </si>
  <si>
    <t>Phillipston</t>
  </si>
  <si>
    <t>OAK BLUFFS</t>
  </si>
  <si>
    <t>Pittsfield</t>
  </si>
  <si>
    <t>OAKHAM</t>
  </si>
  <si>
    <t>Plainfield</t>
  </si>
  <si>
    <t>Plainville</t>
  </si>
  <si>
    <t>OTIS</t>
  </si>
  <si>
    <t>Plympton</t>
  </si>
  <si>
    <t>OXFORD</t>
  </si>
  <si>
    <t>Princeton</t>
  </si>
  <si>
    <t>PALMER</t>
  </si>
  <si>
    <t>Provincetown</t>
  </si>
  <si>
    <t>PAXTON</t>
  </si>
  <si>
    <t>Quincy</t>
  </si>
  <si>
    <t>PEABODY</t>
  </si>
  <si>
    <t>PELHAM</t>
  </si>
  <si>
    <t>Raynham</t>
  </si>
  <si>
    <t>PEMBROKE</t>
  </si>
  <si>
    <t>Reading</t>
  </si>
  <si>
    <t>PEPPERELL</t>
  </si>
  <si>
    <t>Rehoboth</t>
  </si>
  <si>
    <t>PERU</t>
  </si>
  <si>
    <t>Revere</t>
  </si>
  <si>
    <t>PETERSHAM</t>
  </si>
  <si>
    <t>PHILLIPSTON</t>
  </si>
  <si>
    <t>Rochester</t>
  </si>
  <si>
    <t>PITTSFIELD</t>
  </si>
  <si>
    <t>PLAINFIELD</t>
  </si>
  <si>
    <t>Rockport</t>
  </si>
  <si>
    <t>PLAINVILLE</t>
  </si>
  <si>
    <t>Rowe</t>
  </si>
  <si>
    <t>Rowley</t>
  </si>
  <si>
    <t>PLYMPTON</t>
  </si>
  <si>
    <t>Royalston</t>
  </si>
  <si>
    <t>PRINCETON</t>
  </si>
  <si>
    <t>PROVINCETOWN</t>
  </si>
  <si>
    <t>QUINCY</t>
  </si>
  <si>
    <t>Salisbury</t>
  </si>
  <si>
    <t>RAYNHAM</t>
  </si>
  <si>
    <t>Sandisfield</t>
  </si>
  <si>
    <t>READING</t>
  </si>
  <si>
    <t>Sandwich</t>
  </si>
  <si>
    <t>REHOBOTH</t>
  </si>
  <si>
    <t>Saugus</t>
  </si>
  <si>
    <t>REVERE</t>
  </si>
  <si>
    <t>Savoy</t>
  </si>
  <si>
    <t>RICHMOND</t>
  </si>
  <si>
    <t>Scituate</t>
  </si>
  <si>
    <t>ROCHESTER</t>
  </si>
  <si>
    <t>Seekonk</t>
  </si>
  <si>
    <t>ROCKLAND</t>
  </si>
  <si>
    <t>Sharon</t>
  </si>
  <si>
    <t>ROCKPORT</t>
  </si>
  <si>
    <t>Sheffield</t>
  </si>
  <si>
    <t>ROWE</t>
  </si>
  <si>
    <t>Shelburne</t>
  </si>
  <si>
    <t>ROWLEY</t>
  </si>
  <si>
    <t>Sherborn</t>
  </si>
  <si>
    <t>ROXBURY / MISSION HILL</t>
  </si>
  <si>
    <t>Shirley</t>
  </si>
  <si>
    <t>ROYALSTON</t>
  </si>
  <si>
    <t>Shrewsbury</t>
  </si>
  <si>
    <t>Data Point</t>
  </si>
  <si>
    <t>Shutesbury</t>
  </si>
  <si>
    <t>RUTLAND</t>
  </si>
  <si>
    <t>SAGAMORE</t>
  </si>
  <si>
    <t>Somerville</t>
  </si>
  <si>
    <t>SALEM</t>
  </si>
  <si>
    <t>South Hadley</t>
  </si>
  <si>
    <t>SALISBURY</t>
  </si>
  <si>
    <t>SANDISFIELD</t>
  </si>
  <si>
    <t>Average Beds in a Foster Home</t>
  </si>
  <si>
    <t>Southborough</t>
  </si>
  <si>
    <t>SANDWICH</t>
  </si>
  <si>
    <t>Southbridge</t>
  </si>
  <si>
    <t>SAUGUS</t>
  </si>
  <si>
    <t>Southwick</t>
  </si>
  <si>
    <t>SAVOY</t>
  </si>
  <si>
    <t>SCITUATE</t>
  </si>
  <si>
    <t>Source</t>
  </si>
  <si>
    <t>Springfield</t>
  </si>
  <si>
    <t>SEEKONK</t>
  </si>
  <si>
    <t>Department of Health and Human Services via Kids Count</t>
  </si>
  <si>
    <t>SHARON</t>
  </si>
  <si>
    <t>Stockbridge</t>
  </si>
  <si>
    <t>SHEFFIELD</t>
  </si>
  <si>
    <t>Stoneham</t>
  </si>
  <si>
    <t>SHELBURNE</t>
  </si>
  <si>
    <t>Stoughton</t>
  </si>
  <si>
    <t>SHERBORN</t>
  </si>
  <si>
    <t>Stow</t>
  </si>
  <si>
    <t>Date Collected</t>
  </si>
  <si>
    <t>SHIRLEY</t>
  </si>
  <si>
    <t>Sturbridge</t>
  </si>
  <si>
    <t>SHREWSBURY</t>
  </si>
  <si>
    <t>Sudbury</t>
  </si>
  <si>
    <t>SHUTESBURY</t>
  </si>
  <si>
    <t>Sunderland</t>
  </si>
  <si>
    <t>SOMERSET</t>
  </si>
  <si>
    <t>SOMERVILLE</t>
  </si>
  <si>
    <t>Swampscott</t>
  </si>
  <si>
    <t>Date Updated</t>
  </si>
  <si>
    <t>SOUTH EASTON</t>
  </si>
  <si>
    <t>Swansea</t>
  </si>
  <si>
    <t>SOUTH HADLEY</t>
  </si>
  <si>
    <t>Taunton</t>
  </si>
  <si>
    <t>SOUTHAMPTON</t>
  </si>
  <si>
    <t>Templeton</t>
  </si>
  <si>
    <t>SOUTHBOROUGH</t>
  </si>
  <si>
    <t>Tewksbury</t>
  </si>
  <si>
    <t>SOUTHBRIDGE</t>
  </si>
  <si>
    <t>Tisbury</t>
  </si>
  <si>
    <t>SOUTHWICK</t>
  </si>
  <si>
    <t>SPENCER</t>
  </si>
  <si>
    <t>Topsfield</t>
  </si>
  <si>
    <t>SPRINGFIELD</t>
  </si>
  <si>
    <t>Townsend</t>
  </si>
  <si>
    <t>Truro</t>
  </si>
  <si>
    <t>SPRINGFIELD, EAST</t>
  </si>
  <si>
    <t>Tyngsborough</t>
  </si>
  <si>
    <t>SPRINGFIELD, WEST</t>
  </si>
  <si>
    <t>Tyringham</t>
  </si>
  <si>
    <t>STERLING</t>
  </si>
  <si>
    <t>STOCKBRIDGE</t>
  </si>
  <si>
    <t>Uxbridge</t>
  </si>
  <si>
    <t>STONEHAM</t>
  </si>
  <si>
    <t>Wakefield</t>
  </si>
  <si>
    <t>STOUGHTON</t>
  </si>
  <si>
    <t>Wales</t>
  </si>
  <si>
    <t>STOW</t>
  </si>
  <si>
    <t>Walpole</t>
  </si>
  <si>
    <t>STURBRIDGE</t>
  </si>
  <si>
    <t>Waltham</t>
  </si>
  <si>
    <t>SUDBURY</t>
  </si>
  <si>
    <t>SUNDERLAND</t>
  </si>
  <si>
    <t>Wareham</t>
  </si>
  <si>
    <t>SUTTON</t>
  </si>
  <si>
    <t>SWAMPSCOTT</t>
  </si>
  <si>
    <t>Warwick</t>
  </si>
  <si>
    <t>SWANSEA</t>
  </si>
  <si>
    <t>TAUNTON</t>
  </si>
  <si>
    <t>Watertown</t>
  </si>
  <si>
    <t>TEMPLETON</t>
  </si>
  <si>
    <t>Wayland</t>
  </si>
  <si>
    <t>TEWKSBURY</t>
  </si>
  <si>
    <t>TISBURY</t>
  </si>
  <si>
    <t>Wellesley</t>
  </si>
  <si>
    <t>TOLLAND</t>
  </si>
  <si>
    <t>Wellfleet</t>
  </si>
  <si>
    <t>TOPSFIELD</t>
  </si>
  <si>
    <t>Wendell</t>
  </si>
  <si>
    <t>TOWNSEND</t>
  </si>
  <si>
    <t>Wenham</t>
  </si>
  <si>
    <t>TRURO</t>
  </si>
  <si>
    <t>West Boylston</t>
  </si>
  <si>
    <t>TYNGSBOROUGH</t>
  </si>
  <si>
    <t>West Bridgewater</t>
  </si>
  <si>
    <t>TYRINGHAM</t>
  </si>
  <si>
    <t>West Brookfield</t>
  </si>
  <si>
    <t>UPTON</t>
  </si>
  <si>
    <t>West Newbury</t>
  </si>
  <si>
    <t>UXBRIDGE</t>
  </si>
  <si>
    <t>West Springfield</t>
  </si>
  <si>
    <t>WAKEFIELD</t>
  </si>
  <si>
    <t>West Stockbridge</t>
  </si>
  <si>
    <t>WALES</t>
  </si>
  <si>
    <t>West Tisbury</t>
  </si>
  <si>
    <t>WALPOLE</t>
  </si>
  <si>
    <t>Westborough</t>
  </si>
  <si>
    <t>WALTHAM</t>
  </si>
  <si>
    <t>Westfield</t>
  </si>
  <si>
    <t>WARE</t>
  </si>
  <si>
    <t>Westford</t>
  </si>
  <si>
    <t>WAREHAM</t>
  </si>
  <si>
    <t>Westhampton</t>
  </si>
  <si>
    <t>Westminster</t>
  </si>
  <si>
    <t>WARWICK</t>
  </si>
  <si>
    <t>Westport</t>
  </si>
  <si>
    <t>WATERTOWN</t>
  </si>
  <si>
    <t>Westwood</t>
  </si>
  <si>
    <t>WAYLAND</t>
  </si>
  <si>
    <t>Weymouth</t>
  </si>
  <si>
    <t>Whately</t>
  </si>
  <si>
    <t>WELLESLEY</t>
  </si>
  <si>
    <t>WELLFLEET</t>
  </si>
  <si>
    <t>Wilbraham</t>
  </si>
  <si>
    <t>WENDELL</t>
  </si>
  <si>
    <t>WENHAM</t>
  </si>
  <si>
    <t>Williamstown</t>
  </si>
  <si>
    <t>WEST BOYLSTON</t>
  </si>
  <si>
    <t>Wilmington</t>
  </si>
  <si>
    <t>WEST BRIDGEWATER</t>
  </si>
  <si>
    <t>Winchendon</t>
  </si>
  <si>
    <t>WEST BROOKFIELD</t>
  </si>
  <si>
    <t>Winchester</t>
  </si>
  <si>
    <t>WEST NEWBURY</t>
  </si>
  <si>
    <t>WEST SPRINGFIELD</t>
  </si>
  <si>
    <t>Winthrop</t>
  </si>
  <si>
    <t>WEST STOCKBRIDGE</t>
  </si>
  <si>
    <t>Woburn</t>
  </si>
  <si>
    <t>WEST TISBURY</t>
  </si>
  <si>
    <t>WESTBOROUGH</t>
  </si>
  <si>
    <t>Worthington</t>
  </si>
  <si>
    <t>WESTFIELD</t>
  </si>
  <si>
    <t>Wrentham</t>
  </si>
  <si>
    <t>WESTFORD</t>
  </si>
  <si>
    <t>WESTHAMPTON</t>
  </si>
  <si>
    <t>WESTMINSTER</t>
  </si>
  <si>
    <t>WESTON</t>
  </si>
  <si>
    <t>WESTPORT</t>
  </si>
  <si>
    <t>WESTWOOD</t>
  </si>
  <si>
    <t>WEYMOUTH</t>
  </si>
  <si>
    <t>WHATELY</t>
  </si>
  <si>
    <t>WHITMAN</t>
  </si>
  <si>
    <t>WILBRAHAM</t>
  </si>
  <si>
    <t>WILLIAMSBURG</t>
  </si>
  <si>
    <t>WILLIAMSTOWN</t>
  </si>
  <si>
    <t>WILMINGTON</t>
  </si>
  <si>
    <t>WINCHENDON</t>
  </si>
  <si>
    <t>WINCHESTER</t>
  </si>
  <si>
    <t>WINDSOR</t>
  </si>
  <si>
    <t>WINTHROP</t>
  </si>
  <si>
    <t>WOBURN</t>
  </si>
  <si>
    <t>WORONOCO</t>
  </si>
  <si>
    <t>WORTHINGTON</t>
  </si>
  <si>
    <t>WRENTHAM</t>
  </si>
  <si>
    <t>YARMOUTH</t>
  </si>
  <si>
    <t>Agency</t>
  </si>
  <si>
    <t>Total children in all OOHP settings</t>
  </si>
  <si>
    <t>Faribault-Martin</t>
  </si>
  <si>
    <t>Lac qui Parle</t>
  </si>
  <si>
    <t>Lake of the Woods</t>
  </si>
  <si>
    <t>Southwest HHS</t>
  </si>
  <si>
    <t>Des Moines Valley HHS</t>
  </si>
  <si>
    <t>Leech Lake Band of Ojibwe</t>
  </si>
  <si>
    <t>White Earth Nation</t>
  </si>
  <si>
    <t>MN Prairie</t>
  </si>
  <si>
    <t>Lake Of The Wood</t>
  </si>
  <si>
    <t xml:space="preserve">Fostering Court Improvement </t>
  </si>
  <si>
    <t>Children in Non-Relative Foster Care on Last Day</t>
  </si>
  <si>
    <t>Children in Relative Foster Care on Last Day</t>
  </si>
  <si>
    <t xml:space="preserve">Children Discharged for Reunification </t>
  </si>
  <si>
    <t>Percent</t>
  </si>
  <si>
    <t>26/45</t>
  </si>
  <si>
    <t>12/45</t>
  </si>
  <si>
    <t>14/42</t>
  </si>
  <si>
    <t>Missouri Dept. of Social Services Children's Division</t>
  </si>
  <si>
    <t>24/42</t>
  </si>
  <si>
    <t>1/5</t>
  </si>
  <si>
    <t>4/5</t>
  </si>
  <si>
    <t>ADOPTIVE</t>
  </si>
  <si>
    <t>FOSTER</t>
  </si>
  <si>
    <t>RELATIVE</t>
  </si>
  <si>
    <t>RESIDENTIAL</t>
  </si>
  <si>
    <t>3/8</t>
  </si>
  <si>
    <t>4/8</t>
  </si>
  <si>
    <t>HOME</t>
  </si>
  <si>
    <t>CARE</t>
  </si>
  <si>
    <t>OTHER</t>
  </si>
  <si>
    <t>CHILDREN</t>
  </si>
  <si>
    <t>3/6</t>
  </si>
  <si>
    <t>ANDREW</t>
  </si>
  <si>
    <t>2/6</t>
  </si>
  <si>
    <t>ATCHISON</t>
  </si>
  <si>
    <t>7/16</t>
  </si>
  <si>
    <t>1/16</t>
  </si>
  <si>
    <t>6/23</t>
  </si>
  <si>
    <t>CHARITON</t>
  </si>
  <si>
    <t>9/23</t>
  </si>
  <si>
    <t>1/2</t>
  </si>
  <si>
    <t>COOPER</t>
  </si>
  <si>
    <t>DAVIESS</t>
  </si>
  <si>
    <t>0/2</t>
  </si>
  <si>
    <t>GENTRY</t>
  </si>
  <si>
    <t>5/16</t>
  </si>
  <si>
    <t>HOLT</t>
  </si>
  <si>
    <t>11/16</t>
  </si>
  <si>
    <t>4/10</t>
  </si>
  <si>
    <t>3/10</t>
  </si>
  <si>
    <t>NODAWAY</t>
  </si>
  <si>
    <t>2/5</t>
  </si>
  <si>
    <t>PETTIS</t>
  </si>
  <si>
    <t>PLATTE</t>
  </si>
  <si>
    <t>PUTNAM</t>
  </si>
  <si>
    <t>RAY</t>
  </si>
  <si>
    <t>2/10</t>
  </si>
  <si>
    <t>SULLIVAN</t>
  </si>
  <si>
    <t>18/44</t>
  </si>
  <si>
    <t>REGION TOTAL</t>
  </si>
  <si>
    <t>AUDRAIN</t>
  </si>
  <si>
    <t>11/28</t>
  </si>
  <si>
    <t>5/28</t>
  </si>
  <si>
    <t>CALLAWAY</t>
  </si>
  <si>
    <t>23/30</t>
  </si>
  <si>
    <t>COLE</t>
  </si>
  <si>
    <t>0/30</t>
  </si>
  <si>
    <t>GASCONADE</t>
  </si>
  <si>
    <t>7/20</t>
  </si>
  <si>
    <t>LEWIS</t>
  </si>
  <si>
    <t>8/20</t>
  </si>
  <si>
    <t>De soto</t>
  </si>
  <si>
    <t>26/81</t>
  </si>
  <si>
    <t>34/81</t>
  </si>
  <si>
    <t>OSAGE</t>
  </si>
  <si>
    <t>59/137</t>
  </si>
  <si>
    <t>RALLS</t>
  </si>
  <si>
    <t>36/137</t>
  </si>
  <si>
    <t>1/9</t>
  </si>
  <si>
    <t>SCOTLAND</t>
  </si>
  <si>
    <t>6/9</t>
  </si>
  <si>
    <t>34/68</t>
  </si>
  <si>
    <t>16/68</t>
  </si>
  <si>
    <t>8/21</t>
  </si>
  <si>
    <t>BOLLINGER</t>
  </si>
  <si>
    <t>9/21</t>
  </si>
  <si>
    <t>CAPE GIRARDEAU</t>
  </si>
  <si>
    <t>CARTER</t>
  </si>
  <si>
    <t>10/20</t>
  </si>
  <si>
    <t>3/20</t>
  </si>
  <si>
    <t>DENT</t>
  </si>
  <si>
    <t>DUNKLIN</t>
  </si>
  <si>
    <t>31/85</t>
  </si>
  <si>
    <t>27/85</t>
  </si>
  <si>
    <t>HOWELL</t>
  </si>
  <si>
    <t>IRON</t>
  </si>
  <si>
    <t>98/229</t>
  </si>
  <si>
    <t>86/229</t>
  </si>
  <si>
    <t>MARIES</t>
  </si>
  <si>
    <t>MISSISSIPPI</t>
  </si>
  <si>
    <t>103/182</t>
  </si>
  <si>
    <t>NEW MADRID</t>
  </si>
  <si>
    <t>10/182</t>
  </si>
  <si>
    <t>OREGON</t>
  </si>
  <si>
    <t>PEMISCOT</t>
  </si>
  <si>
    <t>7/14</t>
  </si>
  <si>
    <t>PHELPS</t>
  </si>
  <si>
    <t>3/14</t>
  </si>
  <si>
    <t>PULASKI</t>
  </si>
  <si>
    <t>REYNOLDS</t>
  </si>
  <si>
    <t>RIPLEY</t>
  </si>
  <si>
    <t>8/15</t>
  </si>
  <si>
    <t>2/15</t>
  </si>
  <si>
    <t>SHANNON</t>
  </si>
  <si>
    <t>ST. FRANCOIS</t>
  </si>
  <si>
    <t>na</t>
  </si>
  <si>
    <t>0/0</t>
  </si>
  <si>
    <t>STE. GENEVIEVE</t>
  </si>
  <si>
    <t>STODDARD</t>
  </si>
  <si>
    <t>TEXAS</t>
  </si>
  <si>
    <t>18/48</t>
  </si>
  <si>
    <t>15/48</t>
  </si>
  <si>
    <t>BARRY</t>
  </si>
  <si>
    <t>110/232</t>
  </si>
  <si>
    <t>BARTON</t>
  </si>
  <si>
    <t>86/232</t>
  </si>
  <si>
    <t>BATES</t>
  </si>
  <si>
    <t>7/21</t>
  </si>
  <si>
    <t>CAMDEN</t>
  </si>
  <si>
    <t>DADE</t>
  </si>
  <si>
    <t>1/1</t>
  </si>
  <si>
    <t>0/1</t>
  </si>
  <si>
    <t>15/20</t>
  </si>
  <si>
    <t>HICKORY</t>
  </si>
  <si>
    <t>0/20</t>
  </si>
  <si>
    <t>LACLEDE</t>
  </si>
  <si>
    <t>32/111</t>
  </si>
  <si>
    <t>MCDONALD</t>
  </si>
  <si>
    <t>60/111</t>
  </si>
  <si>
    <t>MILLER</t>
  </si>
  <si>
    <t>MONITEAU</t>
  </si>
  <si>
    <t>2/12</t>
  </si>
  <si>
    <t>5/12</t>
  </si>
  <si>
    <t>OZARK</t>
  </si>
  <si>
    <t>23/41</t>
  </si>
  <si>
    <t>13/41</t>
  </si>
  <si>
    <t>STONE</t>
  </si>
  <si>
    <t>TANEY</t>
  </si>
  <si>
    <t>16/48</t>
  </si>
  <si>
    <t>26/48</t>
  </si>
  <si>
    <t>53/123</t>
  </si>
  <si>
    <t>49/123</t>
  </si>
  <si>
    <t>ST. LOUIS CITY</t>
  </si>
  <si>
    <t>ST. LOUIS</t>
  </si>
  <si>
    <t>*REGION TOTAL*</t>
  </si>
  <si>
    <t>7/12</t>
  </si>
  <si>
    <t>0/12</t>
  </si>
  <si>
    <t>ICAMA</t>
  </si>
  <si>
    <t>STATE</t>
  </si>
  <si>
    <t>8/22</t>
  </si>
  <si>
    <t>90/218</t>
  </si>
  <si>
    <t>83/218</t>
  </si>
  <si>
    <t>10/14</t>
  </si>
  <si>
    <t>0/14</t>
  </si>
  <si>
    <t>24/51</t>
  </si>
  <si>
    <t>9/51</t>
  </si>
  <si>
    <t>44/189</t>
  </si>
  <si>
    <t>98/189</t>
  </si>
  <si>
    <t>23/34</t>
  </si>
  <si>
    <t>2/34</t>
  </si>
  <si>
    <t>12/25</t>
  </si>
  <si>
    <t>9/25</t>
  </si>
  <si>
    <t>12/42</t>
  </si>
  <si>
    <t>20/42</t>
  </si>
  <si>
    <t>28/72</t>
  </si>
  <si>
    <t>17/56</t>
  </si>
  <si>
    <t>26/56</t>
  </si>
  <si>
    <t>6/14</t>
  </si>
  <si>
    <t>7/39</t>
  </si>
  <si>
    <t>22/39</t>
  </si>
  <si>
    <t>17/42</t>
  </si>
  <si>
    <t>18/42</t>
  </si>
  <si>
    <t>18/29</t>
  </si>
  <si>
    <t>1/29</t>
  </si>
  <si>
    <t>48/109</t>
  </si>
  <si>
    <t>46/109</t>
  </si>
  <si>
    <t>6/21</t>
  </si>
  <si>
    <t>49/111</t>
  </si>
  <si>
    <t>29/111</t>
  </si>
  <si>
    <t>25/60</t>
  </si>
  <si>
    <t>21/60</t>
  </si>
  <si>
    <t>21/57</t>
  </si>
  <si>
    <t>26/57</t>
  </si>
  <si>
    <t>21/38</t>
  </si>
  <si>
    <t>2/38</t>
  </si>
  <si>
    <t>31/63</t>
  </si>
  <si>
    <t>STATE TOTAL</t>
  </si>
  <si>
    <t>20/63</t>
  </si>
  <si>
    <t>9/19</t>
  </si>
  <si>
    <t>2/19</t>
  </si>
  <si>
    <t>1/4</t>
  </si>
  <si>
    <t>15/44</t>
  </si>
  <si>
    <t>26/44</t>
  </si>
  <si>
    <t>4/44</t>
  </si>
  <si>
    <t>10/11</t>
  </si>
  <si>
    <t>0/11</t>
  </si>
  <si>
    <t>8/25</t>
  </si>
  <si>
    <t>15/57</t>
  </si>
  <si>
    <t>33/57</t>
  </si>
  <si>
    <t>1/3</t>
  </si>
  <si>
    <t>2/3</t>
  </si>
  <si>
    <t>9/29</t>
  </si>
  <si>
    <t>16/29</t>
  </si>
  <si>
    <t>11/24</t>
  </si>
  <si>
    <t>9/24</t>
  </si>
  <si>
    <t>30/117</t>
  </si>
  <si>
    <t>36/117</t>
  </si>
  <si>
    <t>39/62</t>
  </si>
  <si>
    <t>4/62</t>
  </si>
  <si>
    <t>4/21</t>
  </si>
  <si>
    <t>9/15</t>
  </si>
  <si>
    <t>4/15</t>
  </si>
  <si>
    <t>6/17</t>
  </si>
  <si>
    <t>9/17</t>
  </si>
  <si>
    <t>5/8</t>
  </si>
  <si>
    <t>10/24</t>
  </si>
  <si>
    <t>6/24</t>
  </si>
  <si>
    <t>1,535/3,678</t>
  </si>
  <si>
    <t>1,246/3,678</t>
  </si>
  <si>
    <t>Montana DPHHS via Kids Count</t>
  </si>
  <si>
    <t>Adoption</t>
  </si>
  <si>
    <t>Guardianship</t>
  </si>
  <si>
    <t>Lewis &amp; Clark</t>
  </si>
  <si>
    <t>Nebraska Foster Care Review Office</t>
  </si>
  <si>
    <t>In OOH Care</t>
  </si>
  <si>
    <t>Non-relative</t>
  </si>
  <si>
    <t>Kinship/Relative</t>
  </si>
  <si>
    <t>Out-of County</t>
  </si>
  <si>
    <t>CY Reunifications</t>
  </si>
  <si>
    <t>CY Total Cases Closed</t>
  </si>
  <si>
    <t>--</t>
  </si>
  <si>
    <t>Nebraska FCRO</t>
  </si>
  <si>
    <t>Number of Foster Homes and Beds by County1
April 1, 2024</t>
  </si>
  <si>
    <t>Number of Foster Homes</t>
  </si>
  <si>
    <t>Average Number of Beds Per Foster Home</t>
  </si>
  <si>
    <t>1 Includes licensed, approved, relative, kinship, non-relative/kinship, state manage and agency managed foster homes.</t>
  </si>
  <si>
    <t>Number of Children Waiting for Adoption1 by County on April 1, 20224</t>
  </si>
  <si>
    <t>Free for Adoption</t>
  </si>
  <si>
    <t>Total Range</t>
  </si>
  <si>
    <t>667-787</t>
  </si>
  <si>
    <t>1 Number of children waiting for adoption, as defined by the requestor.</t>
  </si>
  <si>
    <t>* Cell counts of 1-5 are suppressed to protect privacy</t>
  </si>
  <si>
    <t>Number of Family Preservation Cases by County1
April 1, 2024</t>
  </si>
  <si>
    <t>Prevention Cases</t>
  </si>
  <si>
    <t>McDonald</t>
  </si>
  <si>
    <t>Total -Range</t>
  </si>
  <si>
    <t>1013-1205</t>
  </si>
  <si>
    <t>1 Number of family preservation cases, as defined by the requestor.</t>
  </si>
  <si>
    <t>* Cell counts between 1-5 are suppressed to protect privacy.</t>
  </si>
  <si>
    <t>FOSTER FAMILY RETENTION RATE</t>
  </si>
  <si>
    <t>4/1/23-4/1/24</t>
  </si>
  <si>
    <t>Licensed Foster Home Retention Rates by County1
Comparing 4/1/2023 and 4/1/2024</t>
  </si>
  <si>
    <t>Licensed Foster Home Retention Rate</t>
  </si>
  <si>
    <t>Nevada Department of Child and Family Services</t>
  </si>
  <si>
    <t>All OOH Placements</t>
  </si>
  <si>
    <t>Family FC</t>
  </si>
  <si>
    <t>State-Range</t>
  </si>
  <si>
    <t>1The licensed foster homes on 4/1/2023 and the percent of those same foster homes that were licensed as of 4/1/2024.</t>
  </si>
  <si>
    <t>2 Not applicable or (na) means the county had no licensed foster homes on 4/1/2023.</t>
  </si>
  <si>
    <t>Rural</t>
  </si>
  <si>
    <t xml:space="preserve">Clark </t>
  </si>
  <si>
    <t>Rural Region</t>
  </si>
  <si>
    <t>New Jersey Child Welfare Data Hub</t>
  </si>
  <si>
    <t>Reunification</t>
  </si>
  <si>
    <t>Ste. Genevieve</t>
  </si>
  <si>
    <t>St. Francois</t>
  </si>
  <si>
    <t>St. Louis City</t>
  </si>
  <si>
    <t>Shared Data</t>
  </si>
  <si>
    <t>New Mexico CFYD</t>
  </si>
  <si>
    <t>Number of children in Kinship Care (Point-in-time, DEC. 2023)</t>
  </si>
  <si>
    <t>Number of children placed out of County (Point-in time, DEC. 2023)</t>
  </si>
  <si>
    <t>Average beds per Resource/Foster Family (Point-in-time, DEC.2023)</t>
  </si>
  <si>
    <t>Number of Licensed Foster Homes(Point-in-time, DEC. 2023)</t>
  </si>
  <si>
    <t>Number of License Kinship/Relative Homes (Point-in-time, DEC. 2023)</t>
  </si>
  <si>
    <t>Number of Children waiting for adoption (Point-in-time, DEC. 2023)</t>
  </si>
  <si>
    <t>Number of approved adoptive families with adoption placement (Point-in-time, DEC. 2023)</t>
  </si>
  <si>
    <t>Number of reunifications from children discharged in the last year (CY 2023)</t>
  </si>
  <si>
    <t>Number of unique Family Preservation Cases - In Home Services (CY 2023)</t>
  </si>
  <si>
    <t>Number of unique Family Preservation Cases - Contracted (CY 2023)</t>
  </si>
  <si>
    <t>HOMES SUMMED</t>
  </si>
  <si>
    <t>McKinley</t>
  </si>
  <si>
    <t>Total in Placement</t>
  </si>
  <si>
    <t>Region 1</t>
  </si>
  <si>
    <t>Colfax/Union</t>
  </si>
  <si>
    <t>San Miguel/Guad./Mora</t>
  </si>
  <si>
    <t>Rio Arriba/Los Alamos</t>
  </si>
  <si>
    <t>Region 2</t>
  </si>
  <si>
    <t>Bernalillo East</t>
  </si>
  <si>
    <t>Bernalillo West</t>
  </si>
  <si>
    <t>Bernalillo Placement</t>
  </si>
  <si>
    <t>Region 3</t>
  </si>
  <si>
    <t>Quay/Harding/De Baca</t>
  </si>
  <si>
    <t>Region 4</t>
  </si>
  <si>
    <t>Doña Ana</t>
  </si>
  <si>
    <t>Grant/Catron</t>
  </si>
  <si>
    <t>Luna/Hidalgo</t>
  </si>
  <si>
    <t>Region 5</t>
  </si>
  <si>
    <t>NEW MEXICO</t>
  </si>
  <si>
    <t>NY Office of Children and Family Services</t>
  </si>
  <si>
    <t>Total1</t>
  </si>
  <si>
    <t>Non-Kinship Foster Home2</t>
  </si>
  <si>
    <t>Kinship Foster Home3</t>
  </si>
  <si>
    <t>QRTP4</t>
  </si>
  <si>
    <t>PPP4</t>
  </si>
  <si>
    <t>EMPOWER4</t>
  </si>
  <si>
    <t>Supervised Setting4</t>
  </si>
  <si>
    <t>Non Specified4</t>
  </si>
  <si>
    <t>Other5</t>
  </si>
  <si>
    <t>Trial Discharge</t>
  </si>
  <si>
    <t>#</t>
  </si>
  <si>
    <t>New York State</t>
  </si>
  <si>
    <t>New York City</t>
  </si>
  <si>
    <t>Rest of State</t>
  </si>
  <si>
    <t>ALBANY</t>
  </si>
  <si>
    <t>ALLEGANY</t>
  </si>
  <si>
    <t>BROOME</t>
  </si>
  <si>
    <t>CATTARAUGUS</t>
  </si>
  <si>
    <t>CAYUGA</t>
  </si>
  <si>
    <t>CHAUTAUQUA</t>
  </si>
  <si>
    <t>CHEMUNG</t>
  </si>
  <si>
    <t>CHENANGO</t>
  </si>
  <si>
    <t>COLUMBIA</t>
  </si>
  <si>
    <t>CORTLAND</t>
  </si>
  <si>
    <t>DUTCHESS</t>
  </si>
  <si>
    <t>ERIE</t>
  </si>
  <si>
    <t>GENESEE</t>
  </si>
  <si>
    <t>HERKIMER</t>
  </si>
  <si>
    <t>NASSAU</t>
  </si>
  <si>
    <t>NIAGARA</t>
  </si>
  <si>
    <t>ONEIDA</t>
  </si>
  <si>
    <t>ONONDAGA</t>
  </si>
  <si>
    <t>ONTARIO</t>
  </si>
  <si>
    <t>OSWEGO</t>
  </si>
  <si>
    <t>OTSEGO</t>
  </si>
  <si>
    <t>RENSSELAER</t>
  </si>
  <si>
    <t>SARATOGA</t>
  </si>
  <si>
    <t>SCHENECTADY</t>
  </si>
  <si>
    <t>SCHOHARIE</t>
  </si>
  <si>
    <t>SENECA</t>
  </si>
  <si>
    <t>ST. LAWRENCE</t>
  </si>
  <si>
    <t>ST. REGIS</t>
  </si>
  <si>
    <t>STEUBEN</t>
  </si>
  <si>
    <t>SUFFOLK</t>
  </si>
  <si>
    <t>TIOGA</t>
  </si>
  <si>
    <t>TOMPKINS</t>
  </si>
  <si>
    <t>ULSTER</t>
  </si>
  <si>
    <t>WESTCHESTER</t>
  </si>
  <si>
    <t>WYOMING</t>
  </si>
  <si>
    <t>YATES</t>
  </si>
  <si>
    <t>NUMBER OF CHILDREN WAITING FOR ADOPTION &amp; BIO REUNIFICATION RATE</t>
  </si>
  <si>
    <t>ADOPTION</t>
  </si>
  <si>
    <t>BIO REUNIFICATION</t>
  </si>
  <si>
    <t>HOMES</t>
  </si>
  <si>
    <t>AVG BEDS</t>
  </si>
  <si>
    <t>Unique Homes</t>
  </si>
  <si>
    <t>Capacity</t>
  </si>
  <si>
    <t>Avg Beds</t>
  </si>
  <si>
    <t>Approved Relative Foster Home</t>
  </si>
  <si>
    <t>Certified Foster Home</t>
  </si>
  <si>
    <t>Foster/Adoptive Home</t>
  </si>
  <si>
    <t>St. Lawrence</t>
  </si>
  <si>
    <t>St. Regis</t>
  </si>
  <si>
    <t>.</t>
  </si>
  <si>
    <t>Child Welfare in NC</t>
  </si>
  <si>
    <t>IN CUSTODY</t>
  </si>
  <si>
    <t>FOSTER HOME</t>
  </si>
  <si>
    <t>datefrom</t>
  </si>
  <si>
    <t>cntyname</t>
  </si>
  <si>
    <t>ncase</t>
  </si>
  <si>
    <t>Adoptive Home</t>
  </si>
  <si>
    <t>Emergy Shelter</t>
  </si>
  <si>
    <t>Therapeutic Home</t>
  </si>
  <si>
    <t>Group Residential</t>
  </si>
  <si>
    <t>Group Therapeutic</t>
  </si>
  <si>
    <t>Hospital</t>
  </si>
  <si>
    <t>Jail Detention</t>
  </si>
  <si>
    <t>Non-Relative Court Approved</t>
  </si>
  <si>
    <t>Parent</t>
  </si>
  <si>
    <t>Count of Adoptions (2023)</t>
  </si>
  <si>
    <t>ND Kids Count</t>
  </si>
  <si>
    <t>*NA - Data is suppressed where the number is five or less, or could be used to identify another geography with five or less.</t>
  </si>
  <si>
    <t>*Changed to NULL</t>
  </si>
  <si>
    <t>LaMoure</t>
  </si>
  <si>
    <t>McKenzie</t>
  </si>
  <si>
    <t>Planning Region 1</t>
  </si>
  <si>
    <t>235</t>
  </si>
  <si>
    <t>Planning Region 2</t>
  </si>
  <si>
    <t>281</t>
  </si>
  <si>
    <t>Planning Region 3</t>
  </si>
  <si>
    <t>427</t>
  </si>
  <si>
    <t>Planning Region 4</t>
  </si>
  <si>
    <t>430</t>
  </si>
  <si>
    <t>Planning Region 5</t>
  </si>
  <si>
    <t>465</t>
  </si>
  <si>
    <t>Planning Region 6</t>
  </si>
  <si>
    <t>159</t>
  </si>
  <si>
    <t>Planning Region 7</t>
  </si>
  <si>
    <t>402</t>
  </si>
  <si>
    <t>Planning Region 8</t>
  </si>
  <si>
    <t>139</t>
  </si>
  <si>
    <t>OHIO DJFS DASHBOARDS</t>
  </si>
  <si>
    <t>Department of Job and Family Services</t>
  </si>
  <si>
    <t>Children in Care</t>
  </si>
  <si>
    <t>Children in Foster Care</t>
  </si>
  <si>
    <t>Children in Kinship Care</t>
  </si>
  <si>
    <t>Biological Family Reunifications</t>
  </si>
  <si>
    <t>FY 2024</t>
  </si>
  <si>
    <t>Oklahoma Department of Human Services</t>
  </si>
  <si>
    <t>County Name</t>
  </si>
  <si>
    <t>In Out of Home Care</t>
  </si>
  <si>
    <t>Case Plan Goal Adoption</t>
  </si>
  <si>
    <t>Legally Free for Adoption</t>
  </si>
  <si>
    <t>Quad 2 Rate</t>
  </si>
  <si>
    <t>Age 17</t>
  </si>
  <si>
    <t>Risk of Aging Out Rate</t>
  </si>
  <si>
    <t>FC/TFC/Shelter Children</t>
  </si>
  <si>
    <t>Placed Outside County</t>
  </si>
  <si>
    <t>Outside County Rate</t>
  </si>
  <si>
    <t>Placed in Shelter</t>
  </si>
  <si>
    <t>Shelter Rate</t>
  </si>
  <si>
    <t>FCS Families for Month</t>
  </si>
  <si>
    <t>FCS Children for Month</t>
  </si>
  <si>
    <t>Traditional Foster Homes</t>
  </si>
  <si>
    <t>Kinship Foster Homes</t>
  </si>
  <si>
    <t>All Foster Homes</t>
  </si>
  <si>
    <t>REGION 1</t>
  </si>
  <si>
    <t>ALFALFA</t>
  </si>
  <si>
    <t>BEAVER</t>
  </si>
  <si>
    <t>BECKHAM</t>
  </si>
  <si>
    <t>BLAINE</t>
  </si>
  <si>
    <t>CANADIAN</t>
  </si>
  <si>
    <t>CIMARRON</t>
  </si>
  <si>
    <t>CUSTER</t>
  </si>
  <si>
    <t>DEWEY</t>
  </si>
  <si>
    <t>ELLIS</t>
  </si>
  <si>
    <t>GARFIELD</t>
  </si>
  <si>
    <t>HARPER</t>
  </si>
  <si>
    <t>KAY</t>
  </si>
  <si>
    <t>KINGFISHER</t>
  </si>
  <si>
    <t>MAJOR</t>
  </si>
  <si>
    <t>NOBLE</t>
  </si>
  <si>
    <t>PAYNE</t>
  </si>
  <si>
    <t>ROGER MILLS</t>
  </si>
  <si>
    <t>WASHITA</t>
  </si>
  <si>
    <t>WOODS</t>
  </si>
  <si>
    <t>WOODWARD</t>
  </si>
  <si>
    <t>REGION 2</t>
  </si>
  <si>
    <t>CLEVELAND</t>
  </si>
  <si>
    <t>COMANCHE</t>
  </si>
  <si>
    <t>COTTON</t>
  </si>
  <si>
    <t>GARVIN</t>
  </si>
  <si>
    <t>GRADY</t>
  </si>
  <si>
    <t>GREER</t>
  </si>
  <si>
    <t>HARMON</t>
  </si>
  <si>
    <t>JOHNSTON</t>
  </si>
  <si>
    <t>KIOWA</t>
  </si>
  <si>
    <t>LOVE</t>
  </si>
  <si>
    <t>MCCLAIN</t>
  </si>
  <si>
    <t>MURRAY</t>
  </si>
  <si>
    <t>POTTAWATOMIE</t>
  </si>
  <si>
    <t>STEPHENS</t>
  </si>
  <si>
    <t>TILLMAN</t>
  </si>
  <si>
    <t>REGION 3</t>
  </si>
  <si>
    <t>OKLAHOMA</t>
  </si>
  <si>
    <t>REGION 4</t>
  </si>
  <si>
    <t>ATOKA</t>
  </si>
  <si>
    <t>BRYAN</t>
  </si>
  <si>
    <t>COAL</t>
  </si>
  <si>
    <t>CREEK</t>
  </si>
  <si>
    <t>HASKELL</t>
  </si>
  <si>
    <t>HUGHES</t>
  </si>
  <si>
    <t>LATIMER</t>
  </si>
  <si>
    <t>LE FLORE</t>
  </si>
  <si>
    <t>MCCURTAIN</t>
  </si>
  <si>
    <t>MCINTOSH</t>
  </si>
  <si>
    <t>MUSKOGEE</t>
  </si>
  <si>
    <t>OKFUSKEE</t>
  </si>
  <si>
    <t>OKMULGEE</t>
  </si>
  <si>
    <t>PITTSBURG</t>
  </si>
  <si>
    <t>PONTOTOC</t>
  </si>
  <si>
    <t>PUSHMATAHA</t>
  </si>
  <si>
    <t>SEMINOLE</t>
  </si>
  <si>
    <t>SEQUOYAH</t>
  </si>
  <si>
    <t>WAGONER</t>
  </si>
  <si>
    <t>REGION 5</t>
  </si>
  <si>
    <t>CRAIG</t>
  </si>
  <si>
    <t>MAYES</t>
  </si>
  <si>
    <t>NOWATA</t>
  </si>
  <si>
    <t>OTTAWA</t>
  </si>
  <si>
    <t>PAWNEE</t>
  </si>
  <si>
    <t>ROGERS</t>
  </si>
  <si>
    <t>TULSA</t>
  </si>
  <si>
    <t>McClain</t>
  </si>
  <si>
    <t>Dept. of Human Services - Office of Reporting, Research, Analytics and Implementation</t>
  </si>
  <si>
    <t>ALL OOHP</t>
  </si>
  <si>
    <t>KINSHIP/RELATIVE</t>
  </si>
  <si>
    <t>CONG.</t>
  </si>
  <si>
    <t>IN HOME</t>
  </si>
  <si>
    <t>Number of Certified Foster Homes</t>
  </si>
  <si>
    <t>by Certification Type</t>
  </si>
  <si>
    <t>Regular</t>
  </si>
  <si>
    <t>Special</t>
  </si>
  <si>
    <t>Certification</t>
  </si>
  <si>
    <t>Total Homes</t>
  </si>
  <si>
    <t>* County is not identified</t>
  </si>
  <si>
    <t>In the counties where “-“ is reported, certified homes may be captured in the data for another</t>
  </si>
  <si>
    <t>county within that same District, as Certified Foster Homes are counted by primary assigned</t>
  </si>
  <si>
    <t>certifier.</t>
  </si>
  <si>
    <t>-- Values masked to ensure confidentiality</t>
  </si>
  <si>
    <t>Total (Known Placement)</t>
  </si>
  <si>
    <t>Foster Family Home - Non-Relative</t>
  </si>
  <si>
    <t>Foster Family Home - Relative</t>
  </si>
  <si>
    <t>DSS</t>
  </si>
  <si>
    <t>All Children</t>
  </si>
  <si>
    <t>Kinship Placement</t>
  </si>
  <si>
    <t>Non-Therapeutic Foster Home</t>
  </si>
  <si>
    <t>Therapeutic Foster Home</t>
  </si>
  <si>
    <t>County of Case Management</t>
  </si>
  <si>
    <t>Office Name</t>
  </si>
  <si>
    <t>All Children in Foster Care</t>
  </si>
  <si>
    <t>Total Kinship</t>
  </si>
  <si>
    <t>Pct Kinship</t>
  </si>
  <si>
    <t>Total Family-Like (non-TFH)</t>
  </si>
  <si>
    <t>Pct Family-Like (non-TFH)</t>
  </si>
  <si>
    <t>Total Family-Like (TFH)</t>
  </si>
  <si>
    <t>Pct Family-Like (TFH)</t>
  </si>
  <si>
    <t>Total Congregate Care</t>
  </si>
  <si>
    <t>Pct Congregate Care</t>
  </si>
  <si>
    <t>Total Other</t>
  </si>
  <si>
    <t>Pct Other</t>
  </si>
  <si>
    <t>Adoptions - Lowcountry (Charleston)</t>
  </si>
  <si>
    <t>ADOPTION SERVICES LOWCOUNTRY CHARLESTON</t>
  </si>
  <si>
    <t>ALLENDALE COUNTY DSS</t>
  </si>
  <si>
    <t>BEAUFORT COUNTY DSS</t>
  </si>
  <si>
    <t>BERKELEY COUNTY DSS</t>
  </si>
  <si>
    <t>CALHOUN COUNTY DSS</t>
  </si>
  <si>
    <t>CHARLESTON COUNTY DSS</t>
  </si>
  <si>
    <t>COLLETON COUNTY DSS</t>
  </si>
  <si>
    <t>DORCHESTER COUNTY DSS</t>
  </si>
  <si>
    <t>HAMPTON COUNTY DSS</t>
  </si>
  <si>
    <t>JASPER COUNTY DSS</t>
  </si>
  <si>
    <t>ORANGEBURG COUNTY DSS</t>
  </si>
  <si>
    <t>Adoptions - Midlands (Columbia)</t>
  </si>
  <si>
    <t>ADOPTION SERVICES MIDLANDS COLUMBIA</t>
  </si>
  <si>
    <t>Adoptions - Midlands (Orangeburg)</t>
  </si>
  <si>
    <t>ADOPTION SERVICES MIDLANDS ORANGEBURG</t>
  </si>
  <si>
    <t>Adoptions - Midlands (Rock Hill)</t>
  </si>
  <si>
    <t>ADOPTION SERVICES MIDLANDS ROCK HILL</t>
  </si>
  <si>
    <t>AIKEN COUNTY DSS</t>
  </si>
  <si>
    <t>BAMBERG COUNTY DSS</t>
  </si>
  <si>
    <t>BARNWELL COUNTY DSS</t>
  </si>
  <si>
    <t>CHESTER COUNTY DSS</t>
  </si>
  <si>
    <t>EDGEFIELD COUNTY DSS</t>
  </si>
  <si>
    <t>FAIRFIELD COUNTY DSS</t>
  </si>
  <si>
    <t>KERSHAW COUNTY DSS</t>
  </si>
  <si>
    <t>LANCASTER COUNTY DSS</t>
  </si>
  <si>
    <t>LEXINGTON COUNTY DSS</t>
  </si>
  <si>
    <t>MCCORMICK COUNTY DSS</t>
  </si>
  <si>
    <t>RICHLAND COUNTY DSS</t>
  </si>
  <si>
    <t>SALUDA COUNTY DSS</t>
  </si>
  <si>
    <t>YORK COUNTY DSS</t>
  </si>
  <si>
    <t>Adoptions - Pee Dee (Florence)</t>
  </si>
  <si>
    <t>ADOPTION SERVICES PEE DEE FLORENCE</t>
  </si>
  <si>
    <t>CHESTERFIELD COUNTY DSS</t>
  </si>
  <si>
    <t>CLARENDON COUNTY DSS</t>
  </si>
  <si>
    <t>DARLINGTON COUNTY DSS</t>
  </si>
  <si>
    <t>DILLON COUNTY DSS</t>
  </si>
  <si>
    <t>FLORENCE COUNTY DSS</t>
  </si>
  <si>
    <t>GEORGETOWN COUNTY DSS</t>
  </si>
  <si>
    <t>HORRY COUNTY DSS</t>
  </si>
  <si>
    <t>LEE COUNTY DSS</t>
  </si>
  <si>
    <t>MARION COUNTY DSS</t>
  </si>
  <si>
    <t>MARLBORO COUNTY DSS</t>
  </si>
  <si>
    <t>SUMTER COUNTY DSS</t>
  </si>
  <si>
    <t>WILLIAMSBURG COUNTY DSS</t>
  </si>
  <si>
    <t>ABBEVILLE COUNTY DSS</t>
  </si>
  <si>
    <t>Adoptions - Upstate (Greenville)</t>
  </si>
  <si>
    <t>ADOPTION SERVICES UPSTATE GREENVILLE</t>
  </si>
  <si>
    <t>Adoptions - Upstate (Laurens)</t>
  </si>
  <si>
    <t>ADOPTION SERVICES UPSTATE LAURENS</t>
  </si>
  <si>
    <t>ANDERSON COUNTY DSS</t>
  </si>
  <si>
    <t>CHEROKEE COUNTY DSS</t>
  </si>
  <si>
    <t>GREENVILLE COUNTY DSS</t>
  </si>
  <si>
    <t>GREENWOOD COUNTY DSS</t>
  </si>
  <si>
    <t>LAURENS COUNTY DSS</t>
  </si>
  <si>
    <t>NEWBERRY COUNTY DSS</t>
  </si>
  <si>
    <t>OCONEE COUNTY DSS</t>
  </si>
  <si>
    <t>PICKENS COUNTY DSS</t>
  </si>
  <si>
    <t>SPARTANBURG COUNTY DSS</t>
  </si>
  <si>
    <t>UNION COUNTY DSS</t>
  </si>
  <si>
    <t>SC DSS via A Home for Me</t>
  </si>
  <si>
    <t># cases with at least one child &lt;18 yrs</t>
  </si>
  <si>
    <t>Low Country</t>
  </si>
  <si>
    <t>ALLENDALE</t>
  </si>
  <si>
    <t>BEAUFORT</t>
  </si>
  <si>
    <t>BERKELEY</t>
  </si>
  <si>
    <t>CHARLESTON</t>
  </si>
  <si>
    <t>COLLETON</t>
  </si>
  <si>
    <t>DORCHESTER</t>
  </si>
  <si>
    <t>HAMPTON</t>
  </si>
  <si>
    <t>ORANGEBURG</t>
  </si>
  <si>
    <t>Midlands</t>
  </si>
  <si>
    <t>AIKEN</t>
  </si>
  <si>
    <t>BAMBERG</t>
  </si>
  <si>
    <t>BARNWELL</t>
  </si>
  <si>
    <t>EDGEFIELD</t>
  </si>
  <si>
    <t>FAIRFIELD</t>
  </si>
  <si>
    <t>KERSHAW</t>
  </si>
  <si>
    <t>MCCORMICK</t>
  </si>
  <si>
    <t>SALUDA</t>
  </si>
  <si>
    <t>YORK</t>
  </si>
  <si>
    <t>Pee Dee</t>
  </si>
  <si>
    <t>CLARENDON</t>
  </si>
  <si>
    <t>DARLINGTON</t>
  </si>
  <si>
    <t>DILLON</t>
  </si>
  <si>
    <t>FLORENCE</t>
  </si>
  <si>
    <t>HORRY</t>
  </si>
  <si>
    <t>MARLBORO</t>
  </si>
  <si>
    <t>Upstate</t>
  </si>
  <si>
    <t>ABBEVILLE</t>
  </si>
  <si>
    <t>ANDERSON</t>
  </si>
  <si>
    <t>GREENVILLE</t>
  </si>
  <si>
    <t>GREENWOOD</t>
  </si>
  <si>
    <t>LAURENS</t>
  </si>
  <si>
    <t>NEWBERRY</t>
  </si>
  <si>
    <t>OCONEE</t>
  </si>
  <si>
    <t>SPARTANBURG</t>
  </si>
  <si>
    <t>Provider County</t>
  </si>
  <si>
    <t>Standard</t>
  </si>
  <si>
    <t>Standard w/ Temporary Waiver</t>
  </si>
  <si>
    <t>Region/Office</t>
  </si>
  <si>
    <t># of Children/Youth</t>
  </si>
  <si>
    <t># with C-O PP of TPR</t>
  </si>
  <si>
    <t>Rapid City</t>
  </si>
  <si>
    <t>Deadwood*</t>
  </si>
  <si>
    <t>Eagle Butte</t>
  </si>
  <si>
    <t>Pierre</t>
  </si>
  <si>
    <t>Mobridge</t>
  </si>
  <si>
    <t>Sturgis</t>
  </si>
  <si>
    <t>Chamberlain</t>
  </si>
  <si>
    <t>Region / County</t>
  </si>
  <si>
    <t>Count of Foster Care Children &amp; Youth who are placed outside of their county of origin, not including children in kinship care. Also excludes children served by Adoptions.</t>
  </si>
  <si>
    <t>Mission</t>
  </si>
  <si>
    <t>Winner</t>
  </si>
  <si>
    <t>Aberdeen</t>
  </si>
  <si>
    <t>Lake Andes</t>
  </si>
  <si>
    <t>Sioux Falls</t>
  </si>
  <si>
    <t>3/1/23-2/29/24</t>
  </si>
  <si>
    <t>Total Number of Children Reunified with Parents(s)/ Caretakers(s) or Relatives</t>
  </si>
  <si>
    <t>Number Children Reunified in &lt; 12 Months</t>
  </si>
  <si>
    <t>% Children Reunified in &lt; 12 Months</t>
  </si>
  <si>
    <t>OBJECTIVE</t>
  </si>
  <si>
    <t>Office</t>
  </si>
  <si>
    <t>Total Number of Children Served in Custody SFY 2023 (7/1/2022 to 6/30/2023)</t>
  </si>
  <si>
    <t>Number of Foster Homes by Office as of 06/30/2023</t>
  </si>
  <si>
    <t>Number of Kinship Homes by Office as of 06/30/2023</t>
  </si>
  <si>
    <t>Number of Family Preservation (In-Home) Cases by Office as of 06/30/2023</t>
  </si>
  <si>
    <t>Number of Children Reunified by Office SFY 2023 (07/01/2022 – 06/30/2023)</t>
  </si>
  <si>
    <t>Number of Children in Kinship Care by Office as of 06/30/2023</t>
  </si>
  <si>
    <t>Number of Children in Foster Care by Office as of 06/30/2023</t>
  </si>
  <si>
    <t>Number of Children Waiting for Adoption by Office as of 06/30/2023</t>
  </si>
  <si>
    <t>Total for Upstate</t>
  </si>
  <si>
    <t>Total for Midlands</t>
  </si>
  <si>
    <t>Total for Lowcountry</t>
  </si>
  <si>
    <t>Total for Pee Dee</t>
  </si>
  <si>
    <t>NUMBER OF CHILDREN IN FOSTER CARE</t>
  </si>
  <si>
    <t>TN Department of Children's Services</t>
  </si>
  <si>
    <t>Number of Children in Family Like Setting</t>
  </si>
  <si>
    <t xml:space="preserve">Number of Children in Full Guardianship </t>
  </si>
  <si>
    <t>Texas Dept. of Family and Protective Services</t>
  </si>
  <si>
    <t>4-Tyler</t>
  </si>
  <si>
    <t>CPA Non-Relative Foster Home</t>
  </si>
  <si>
    <t>CPA Relative Foster Home</t>
  </si>
  <si>
    <t>DFPS Non-Relative Foster Home</t>
  </si>
  <si>
    <t>DFPS Relative Foster Home</t>
  </si>
  <si>
    <t>Residential Treatment Center</t>
  </si>
  <si>
    <t>Other Substitute Care</t>
  </si>
  <si>
    <t>9-Midland</t>
  </si>
  <si>
    <t>Basic Child Care</t>
  </si>
  <si>
    <t>5-Beaumont</t>
  </si>
  <si>
    <t>Emergency Shelter</t>
  </si>
  <si>
    <t>Other Foster Care</t>
  </si>
  <si>
    <t>CPA Adoptive Home</t>
  </si>
  <si>
    <t>11-Edinburg</t>
  </si>
  <si>
    <t>2-Abilene</t>
  </si>
  <si>
    <t>1-Lubbock</t>
  </si>
  <si>
    <t>8-San Antonio</t>
  </si>
  <si>
    <t>6-Houston</t>
  </si>
  <si>
    <t>7-Austin</t>
  </si>
  <si>
    <t>DFPS Adoptive Home</t>
  </si>
  <si>
    <t>10-El Paso</t>
  </si>
  <si>
    <t>3-Arlington</t>
  </si>
  <si>
    <t>Division of Child and Family Services</t>
  </si>
  <si>
    <t>Salt Lake Valley</t>
  </si>
  <si>
    <t>Eastern</t>
  </si>
  <si>
    <t>Southwest</t>
  </si>
  <si>
    <t>St. Albans</t>
  </si>
  <si>
    <t>St. Johnsbury</t>
  </si>
  <si>
    <t>Brattleboro</t>
  </si>
  <si>
    <t>Morrisville</t>
  </si>
  <si>
    <t>Middlebury</t>
  </si>
  <si>
    <t>Virginia DSS Reports</t>
  </si>
  <si>
    <t>2/1/23 - 1/31/24</t>
  </si>
  <si>
    <t>Current Placement Non-Relative Foster Family</t>
  </si>
  <si>
    <t>Current Placement Relative Foster Family</t>
  </si>
  <si>
    <t>Placement Goal - Adoption</t>
  </si>
  <si>
    <t>Percent of Exits to Reuni-fication</t>
  </si>
  <si>
    <t>Alexandria</t>
  </si>
  <si>
    <t>Bedford City</t>
  </si>
  <si>
    <t>Bedford County</t>
  </si>
  <si>
    <t>Charlottesville</t>
  </si>
  <si>
    <t>Chesapeake</t>
  </si>
  <si>
    <t>Colonial Heights</t>
  </si>
  <si>
    <t>Clifton Forge</t>
  </si>
  <si>
    <t>Danville</t>
  </si>
  <si>
    <t>Emporia</t>
  </si>
  <si>
    <t>Falls Church</t>
  </si>
  <si>
    <t>Franklin County</t>
  </si>
  <si>
    <t>Fredericksburg</t>
  </si>
  <si>
    <t>Galax</t>
  </si>
  <si>
    <t>Harrisonburg</t>
  </si>
  <si>
    <t>Hopewell</t>
  </si>
  <si>
    <t>Isle Of Wight</t>
  </si>
  <si>
    <t>King And Queen</t>
  </si>
  <si>
    <t>Lynchburg</t>
  </si>
  <si>
    <t>Manassas</t>
  </si>
  <si>
    <t>Manassas Park</t>
  </si>
  <si>
    <t>Martinsville</t>
  </si>
  <si>
    <t>Newport News</t>
  </si>
  <si>
    <t>Poquoson</t>
  </si>
  <si>
    <t>Portsmouth</t>
  </si>
  <si>
    <t>Richmond County</t>
  </si>
  <si>
    <t>Roanoke County</t>
  </si>
  <si>
    <t>Staunton</t>
  </si>
  <si>
    <t>Virginia Beach</t>
  </si>
  <si>
    <t>Waynesboro</t>
  </si>
  <si>
    <t>Statewide Totals</t>
  </si>
  <si>
    <t>Piedmont</t>
  </si>
  <si>
    <t>Center for Social Sector Analytics &amp; Technology/Partners for Our Children</t>
  </si>
  <si>
    <t>** October 1, 2020</t>
  </si>
  <si>
    <t xml:space="preserve">NUMBER OF FAMILY PRES CASES </t>
  </si>
  <si>
    <t>Fiscal Year</t>
  </si>
  <si>
    <t>Race/Ethnicity</t>
  </si>
  <si>
    <t>Children served in FBSS Family Preservation Services</t>
  </si>
  <si>
    <t>Children served with duplications by stage</t>
  </si>
  <si>
    <t>African American</t>
  </si>
  <si>
    <t>Anglo</t>
  </si>
  <si>
    <t>Native American</t>
  </si>
  <si>
    <t>Placement Not Intended to be Permanent</t>
  </si>
  <si>
    <t>Placement Intended to be Permanent</t>
  </si>
  <si>
    <t>Department of Health and Human Resources</t>
  </si>
  <si>
    <t>Total Number of CPA Homes</t>
  </si>
  <si>
    <t xml:space="preserve">Grand Total            </t>
  </si>
  <si>
    <t>Operation Type</t>
  </si>
  <si>
    <t>Operation Care Type1</t>
  </si>
  <si>
    <t>Number of Operations</t>
  </si>
  <si>
    <t>Homes Verified by CPAs</t>
  </si>
  <si>
    <t>Agency Foster Homes</t>
  </si>
  <si>
    <t>CPS Foster Family Homes</t>
  </si>
  <si>
    <t>St. Croix</t>
  </si>
  <si>
    <t>None Specified</t>
  </si>
  <si>
    <t>Wisconsin Department of Children and Families, Division of Safety and Permanence</t>
  </si>
  <si>
    <t>Non-Relative FC</t>
  </si>
  <si>
    <t>Relative FC/Kinship</t>
  </si>
  <si>
    <t>Hawaiian/ Pacific Islander</t>
  </si>
  <si>
    <t>Unable to Determine</t>
  </si>
  <si>
    <t>Not Specified</t>
  </si>
  <si>
    <t>Unknown Totaled</t>
  </si>
  <si>
    <t>State Total</t>
  </si>
  <si>
    <t>State Adoptions</t>
  </si>
  <si>
    <t>Congregate</t>
  </si>
  <si>
    <t>Wyoming Department of Family Services</t>
  </si>
  <si>
    <t>*Use Number of Children in Foster Care from WY data -- meets out of home placement definition</t>
  </si>
  <si>
    <t>Child Count</t>
  </si>
  <si>
    <t>&lt;5</t>
  </si>
  <si>
    <t>NUMBER OF CHILDREN IN KINSHIP CARE</t>
  </si>
  <si>
    <t>Children in Relative
Placement Setting</t>
  </si>
  <si>
    <t>TPR: Free for
Adoption</t>
  </si>
  <si>
    <t>Case Plan Goal Code</t>
  </si>
  <si>
    <t>No</t>
  </si>
  <si>
    <t>Yes</t>
  </si>
  <si>
    <t>ADOPTION Total</t>
  </si>
  <si>
    <t>In Home Child Count</t>
  </si>
  <si>
    <t>In Home Case Count</t>
  </si>
  <si>
    <t>AFCARS State-by-State Adoption and Foster Care Statistics 2022</t>
  </si>
  <si>
    <t>Chronicle for Social Change - Total Number of Licensed Foster Homes 2022</t>
  </si>
  <si>
    <t>In Care on 9/30/22</t>
  </si>
  <si>
    <t>Waiting for Adoption - TPR</t>
  </si>
  <si>
    <t>Relative/Kin</t>
  </si>
  <si>
    <t>*N/A</t>
  </si>
  <si>
    <t>Puerto Rico*</t>
  </si>
  <si>
    <t>2018 Pop. Est.</t>
  </si>
  <si>
    <t># of Churches</t>
  </si>
  <si>
    <t>Valdez-Cordova</t>
  </si>
  <si>
    <t>2018 Estimates</t>
  </si>
  <si>
    <t>Population by Race - 2020</t>
  </si>
  <si>
    <t>2018 Estimate</t>
  </si>
  <si>
    <t>Name</t>
  </si>
  <si>
    <t>Poverty Estimate, Age 0-17</t>
  </si>
  <si>
    <t>Poverty Percent, Age 0-17</t>
  </si>
  <si>
    <t>White alone</t>
  </si>
  <si>
    <t>Black or African American alone</t>
  </si>
  <si>
    <t>American Indian and Alaska Native alone</t>
  </si>
  <si>
    <t>Asian alone</t>
  </si>
  <si>
    <t>Native Hawaiian and Other Pacific Islander alone</t>
  </si>
  <si>
    <t>Some other race alone</t>
  </si>
  <si>
    <t>St. John the Baptist</t>
  </si>
  <si>
    <t>Lake Of the Wood</t>
  </si>
  <si>
    <t>Mccone</t>
  </si>
  <si>
    <t>Lake of the Wood</t>
  </si>
  <si>
    <t>Mcintosh</t>
  </si>
  <si>
    <t>Fond du Lac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</si>
</sst>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2">
    <numFmt numFmtId="164" formatCode="00"/>
    <numFmt numFmtId="165" formatCode="000"/>
    <numFmt numFmtId="166" formatCode="0.0"/>
    <numFmt numFmtId="167" formatCode="#,##0.0"/>
    <numFmt numFmtId="168" formatCode="&quot;$&quot;#,##0"/>
    <numFmt numFmtId="169" formatCode="_(* #,##0_);_(* \(#,##0\);_(* &quot;-&quot;??_);_(@_)"/>
    <numFmt numFmtId="170" formatCode="0.0%"/>
    <numFmt numFmtId="171" formatCode="m/d/yy"/>
    <numFmt numFmtId="172" formatCode="###0"/>
    <numFmt numFmtId="173" formatCode="mmm yyyy"/>
    <numFmt numFmtId="174" formatCode="mmmm yyyy"/>
    <numFmt numFmtId="175" formatCode="m/d/yyyy"/>
    <numFmt numFmtId="176" formatCode="mmm. d, yyyy"/>
    <numFmt numFmtId="177" formatCode="mmm d, yyyy"/>
    <numFmt numFmtId="178" formatCode="mmmm d, yyyy"/>
    <numFmt numFmtId="179" formatCode="M/d/yyyy"/>
    <numFmt numFmtId="180" formatCode="mmmm-d"/>
    <numFmt numFmtId="181" formatCode="mmm-d"/>
    <numFmt numFmtId="182" formatCode="mmmm d"/>
    <numFmt numFmtId="183" formatCode="mmmd"/>
    <numFmt numFmtId="184" formatCode="m/yyyy"/>
    <numFmt numFmtId="185" formatCode="yyyy-mm-dd"/>
  </numFmts>
  <fonts count="86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Arial"/>
    </font>
    <font>
      <b/>
      <color theme="1"/>
      <name val="Arial"/>
    </font>
    <font>
      <b/>
      <color theme="1"/>
      <name val="Arial"/>
      <scheme val="minor"/>
    </font>
    <font>
      <sz val="11.0"/>
      <color theme="1"/>
      <name val="Arial"/>
      <scheme val="minor"/>
    </font>
    <font>
      <sz val="11.0"/>
      <color theme="1"/>
      <name val="Arial"/>
    </font>
    <font>
      <color theme="1"/>
      <name val="Arial"/>
    </font>
    <font>
      <b/>
      <color theme="1"/>
      <name val="Roboto"/>
    </font>
    <font>
      <b/>
      <sz val="18.0"/>
      <color theme="1"/>
      <name val="Lato"/>
    </font>
    <font/>
    <font>
      <color theme="1"/>
      <name val="Lato"/>
    </font>
    <font>
      <b/>
      <i/>
      <sz val="11.0"/>
      <color theme="1"/>
      <name val="Lato"/>
    </font>
    <font>
      <b/>
      <i/>
      <color theme="1"/>
      <name val="Lato"/>
    </font>
    <font>
      <b/>
      <sz val="11.0"/>
      <color theme="1"/>
      <name val="Lato"/>
    </font>
    <font>
      <b/>
      <sz val="9.0"/>
      <color theme="1"/>
      <name val="Lato"/>
    </font>
    <font>
      <i/>
      <sz val="9.0"/>
      <color theme="1"/>
      <name val="Lato"/>
    </font>
    <font>
      <b/>
      <i/>
      <sz val="9.0"/>
      <color theme="1"/>
      <name val="Lato"/>
    </font>
    <font>
      <sz val="9.0"/>
      <color theme="1"/>
      <name val="Lato"/>
    </font>
    <font>
      <sz val="11.0"/>
      <color theme="1"/>
      <name val="Lato"/>
    </font>
    <font>
      <b/>
      <sz val="14.0"/>
      <color theme="1"/>
      <name val="Lato"/>
    </font>
    <font>
      <b/>
      <color theme="1"/>
      <name val="Lato"/>
    </font>
    <font>
      <b/>
      <color rgb="FF000000"/>
      <name val="Lato"/>
    </font>
    <font>
      <color rgb="FF666666"/>
      <name val="Arial"/>
      <scheme val="minor"/>
    </font>
    <font>
      <b/>
      <sz val="18.0"/>
      <color theme="1"/>
      <name val="Arial"/>
    </font>
    <font>
      <b/>
      <sz val="9.0"/>
      <color theme="1"/>
      <name val="Arial"/>
    </font>
    <font>
      <sz val="9.0"/>
      <color theme="1"/>
      <name val="Arial"/>
    </font>
    <font>
      <b/>
      <sz val="8.0"/>
      <color theme="1"/>
      <name val="Arial"/>
      <scheme val="minor"/>
    </font>
    <font>
      <b/>
      <color rgb="FF231F20"/>
      <name val="Arial"/>
      <scheme val="minor"/>
    </font>
    <font>
      <color rgb="FF231F20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  <font>
      <b/>
      <sz val="8.0"/>
      <color theme="1"/>
      <name val="Arial"/>
    </font>
    <font>
      <sz val="8.0"/>
      <color theme="1"/>
      <name val="Arial"/>
    </font>
    <font>
      <color rgb="FF000000"/>
      <name val="Arial"/>
    </font>
    <font>
      <sz val="11.0"/>
      <color rgb="FF000000"/>
      <name val="Arial"/>
      <scheme val="minor"/>
    </font>
    <font>
      <b/>
      <sz val="10.0"/>
      <color theme="1"/>
      <name val="Arial"/>
      <scheme val="minor"/>
    </font>
    <font>
      <sz val="11.0"/>
      <color theme="1"/>
      <name val="Aptos Narrow"/>
    </font>
    <font>
      <sz val="10.0"/>
      <color theme="1"/>
      <name val="Calibri"/>
    </font>
    <font>
      <sz val="10.0"/>
      <color theme="1"/>
      <name val="Arial"/>
      <scheme val="minor"/>
    </font>
    <font>
      <b/>
      <color rgb="FF000000"/>
      <name val="Arial"/>
    </font>
    <font>
      <u/>
      <color rgb="FF000000"/>
      <name val="Arial"/>
    </font>
    <font>
      <u/>
      <color rgb="FF1155CC"/>
      <name val="Arial"/>
    </font>
    <font>
      <b/>
      <sz val="11.0"/>
      <color rgb="FF112277"/>
      <name val="Calibri"/>
    </font>
    <font>
      <sz val="12.0"/>
      <color rgb="FF000000"/>
      <name val="Arial"/>
    </font>
    <font>
      <b/>
      <sz val="11.0"/>
      <color rgb="FFFFFFFF"/>
      <name val="Calibri"/>
    </font>
    <font>
      <b/>
      <sz val="11.0"/>
      <color rgb="FFFFFFFF"/>
      <name val="Times New Roman"/>
    </font>
    <font>
      <sz val="11.0"/>
      <color theme="1"/>
      <name val="Times New Roman"/>
    </font>
    <font>
      <sz val="8.0"/>
      <color theme="1"/>
      <name val="Arial"/>
      <scheme val="minor"/>
    </font>
    <font>
      <b/>
      <i/>
      <color theme="1"/>
      <name val="Arial"/>
      <scheme val="minor"/>
    </font>
    <font>
      <sz val="10.0"/>
      <color rgb="FF222222"/>
      <name val="Arial"/>
    </font>
    <font>
      <b/>
      <sz val="11.0"/>
      <color rgb="FF000000"/>
      <name val="Calibri"/>
    </font>
    <font>
      <sz val="11.0"/>
      <color rgb="FF000000"/>
      <name val="Calibri"/>
    </font>
    <font>
      <b/>
      <u/>
      <sz val="11.0"/>
      <color rgb="FF000000"/>
      <name val="Calibri"/>
    </font>
    <font>
      <sz val="10.0"/>
      <color theme="1"/>
      <name val="Arial"/>
    </font>
    <font>
      <sz val="9.0"/>
      <color rgb="FF666666"/>
      <name val="Arial"/>
    </font>
    <font>
      <sz val="10.0"/>
      <color rgb="FF000000"/>
      <name val="Arial"/>
    </font>
    <font>
      <sz val="9.0"/>
      <color rgb="FF333333"/>
      <name val="Arial"/>
    </font>
    <font>
      <sz val="9.0"/>
      <color rgb="FF000000"/>
      <name val="Arial"/>
    </font>
    <font>
      <b/>
      <sz val="10.0"/>
      <color theme="1"/>
      <name val="Arial"/>
    </font>
    <font>
      <sz val="10.0"/>
      <color theme="1"/>
      <name val="&quot;Tableau Bold&quot;"/>
    </font>
    <font>
      <b/>
      <u/>
      <color theme="1"/>
      <name val="Arial"/>
      <scheme val="minor"/>
    </font>
    <font>
      <b/>
      <u/>
      <color theme="1"/>
      <name val="Arial"/>
      <scheme val="minor"/>
    </font>
    <font>
      <b/>
      <u/>
      <color theme="1"/>
      <name val="Arial"/>
      <scheme val="minor"/>
    </font>
    <font>
      <i/>
      <color theme="1"/>
      <name val="Arial"/>
    </font>
    <font>
      <b/>
      <sz val="10.0"/>
      <color rgb="FF000000"/>
      <name val="Arial"/>
      <scheme val="minor"/>
    </font>
    <font>
      <b/>
      <sz val="9.0"/>
      <color theme="1"/>
      <name val="Aptos Narrow"/>
    </font>
    <font>
      <sz val="9.0"/>
      <color theme="1"/>
      <name val="Aptos Narrow"/>
    </font>
    <font>
      <b/>
      <sz val="6.0"/>
      <color rgb="FF2D2D2D"/>
      <name val="Arial"/>
    </font>
    <font>
      <sz val="6.0"/>
      <color rgb="FF2D2D2D"/>
      <name val="Arial"/>
    </font>
    <font>
      <color rgb="FF000000"/>
      <name val="Arial"/>
      <scheme val="minor"/>
    </font>
    <font>
      <u/>
      <color rgb="FF0000FF"/>
    </font>
    <font>
      <b/>
      <color rgb="FF000000"/>
      <name val="Arial"/>
      <scheme val="minor"/>
    </font>
    <font>
      <color theme="1"/>
      <name val="Google Sans Text"/>
    </font>
    <font>
      <b/>
      <sz val="12.0"/>
      <color theme="1"/>
      <name val="Arial"/>
    </font>
    <font>
      <b/>
      <sz val="12.0"/>
      <color rgb="FFF56600"/>
      <name val="Roboto"/>
    </font>
    <font>
      <sz val="12.0"/>
      <color theme="1"/>
      <name val="Arial"/>
    </font>
    <font>
      <b/>
      <sz val="9.0"/>
      <color rgb="FF000000"/>
      <name val="Arial"/>
    </font>
    <font>
      <b/>
      <sz val="9.0"/>
      <color theme="1"/>
      <name val="Arial"/>
      <scheme val="minor"/>
    </font>
    <font>
      <b/>
      <color rgb="FF333333"/>
      <name val="Arial"/>
      <scheme val="minor"/>
    </font>
    <font>
      <color rgb="FF333333"/>
      <name val="Arial"/>
      <scheme val="minor"/>
    </font>
    <font>
      <sz val="10.0"/>
      <color rgb="FFFFFFFF"/>
      <name val="Calibri"/>
    </font>
    <font>
      <b/>
      <sz val="11.0"/>
      <color theme="1"/>
      <name val="Arial"/>
      <scheme val="minor"/>
    </font>
    <font>
      <b/>
      <sz val="10.0"/>
      <color rgb="FF000000"/>
      <name val="Calibri"/>
    </font>
    <font>
      <sz val="10.0"/>
      <color rgb="FF000000"/>
      <name val="Calibri"/>
    </font>
    <font>
      <b/>
      <sz val="10.0"/>
      <color rgb="FF000000"/>
      <name val="Arial"/>
    </font>
  </fonts>
  <fills count="2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F4CCCC"/>
        <bgColor rgb="FFF4CCCC"/>
      </patternFill>
    </fill>
    <fill>
      <patternFill patternType="solid">
        <fgColor rgb="FFF3F3F3"/>
        <bgColor rgb="FFF3F3F3"/>
      </patternFill>
    </fill>
    <fill>
      <patternFill patternType="solid">
        <fgColor rgb="FFCCCCCC"/>
        <bgColor rgb="FFCCCCCC"/>
      </patternFill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EDF2F9"/>
        <bgColor rgb="FFEDF2F9"/>
      </patternFill>
    </fill>
    <fill>
      <patternFill patternType="solid">
        <fgColor rgb="FF6599B4"/>
        <bgColor rgb="FF6599B4"/>
      </patternFill>
    </fill>
    <fill>
      <patternFill patternType="solid">
        <fgColor rgb="FF40809F"/>
        <bgColor rgb="FF40809F"/>
      </patternFill>
    </fill>
    <fill>
      <patternFill patternType="solid">
        <fgColor rgb="FFFFFFF0"/>
        <bgColor rgb="FFFFFFF0"/>
      </patternFill>
    </fill>
    <fill>
      <patternFill patternType="solid">
        <fgColor rgb="FFD2D2D2"/>
        <bgColor rgb="FFD2D2D2"/>
      </patternFill>
    </fill>
    <fill>
      <patternFill patternType="solid">
        <fgColor rgb="FFBFBFBF"/>
        <bgColor rgb="FFBFBFBF"/>
      </patternFill>
    </fill>
    <fill>
      <patternFill patternType="solid">
        <fgColor rgb="FF99CCFF"/>
        <bgColor rgb="FF99CC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C6C2C6"/>
        <bgColor rgb="FFC6C2C6"/>
      </patternFill>
    </fill>
  </fills>
  <borders count="13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</border>
    <border>
      <right style="thick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ck">
        <color rgb="FF000000"/>
      </lef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left style="thin">
        <color rgb="FF000000"/>
      </left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/>
      <bottom/>
    </border>
    <border>
      <left style="medium">
        <color rgb="FF000000"/>
      </left>
      <right/>
      <top style="medium">
        <color rgb="FF000000"/>
      </top>
    </border>
    <border>
      <left/>
      <top style="medium">
        <color rgb="FF000000"/>
      </top>
      <bottom/>
    </border>
    <border>
      <right/>
      <top style="medium">
        <color rgb="FF000000"/>
      </top>
      <bottom/>
    </border>
    <border>
      <left style="medium">
        <color rgb="FF000000"/>
      </left>
      <right/>
    </border>
    <border>
      <left style="medium">
        <color rgb="FF000000"/>
      </left>
      <right/>
      <bottom/>
    </border>
    <border>
      <left style="medium">
        <color rgb="FF000000"/>
      </left>
      <right/>
      <top/>
      <bottom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</border>
    <border>
      <left style="medium">
        <color rgb="FF000000"/>
      </left>
      <right/>
      <top/>
      <bottom style="medium">
        <color rgb="FF000000"/>
      </bottom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000000"/>
      </bottom>
    </border>
    <border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right style="thin">
        <color rgb="FF696969"/>
      </right>
      <top style="thin">
        <color rgb="FF696969"/>
      </top>
      <bottom style="thin">
        <color rgb="FF696969"/>
      </bottom>
    </border>
    <border>
      <left style="thin">
        <color rgb="FF696969"/>
      </left>
      <top style="thin">
        <color rgb="FF696969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</border>
    <border>
      <right style="thin">
        <color rgb="FF696969"/>
      </right>
      <top style="thin">
        <color rgb="FF696969"/>
      </top>
      <bottom style="thin">
        <color rgb="FF000000"/>
      </bottom>
    </border>
    <border>
      <left style="thin">
        <color rgb="FF000000"/>
      </left>
      <right style="thin">
        <color rgb="FF696969"/>
      </right>
      <bottom style="thin">
        <color rgb="FF696969"/>
      </bottom>
    </border>
    <border>
      <right style="thin">
        <color rgb="FF696969"/>
      </right>
      <bottom style="thin">
        <color rgb="FF696969"/>
      </bottom>
    </border>
    <border>
      <right style="thin">
        <color rgb="FF000000"/>
      </right>
      <bottom style="thin">
        <color rgb="FF696969"/>
      </bottom>
    </border>
    <border>
      <left style="thin">
        <color rgb="FF000000"/>
      </left>
      <right style="thin">
        <color rgb="FF696969"/>
      </right>
      <bottom style="thin">
        <color rgb="FF000000"/>
      </bottom>
    </border>
    <border>
      <right style="thin">
        <color rgb="FF696969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696969"/>
      </top>
      <bottom style="thin">
        <color rgb="FF696969"/>
      </bottom>
    </border>
    <border>
      <left style="thin">
        <color rgb="FF000000"/>
      </left>
      <right style="thin">
        <color rgb="FF000000"/>
      </right>
      <top style="thin">
        <color rgb="FF696969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right style="thin">
        <color rgb="FFBFBFBF"/>
      </right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top style="thin">
        <color rgb="FF45B0E1"/>
      </top>
      <bottom style="thin">
        <color rgb="FF45B0E1"/>
      </bottom>
    </border>
    <border>
      <bottom style="thin">
        <color rgb="FF156082"/>
      </bottom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BFBFBF"/>
      </left>
      <right style="thin">
        <color rgb="FFBFBFBF"/>
      </right>
      <top style="thin">
        <color rgb="FFBFBFBF"/>
      </top>
    </border>
    <border>
      <right style="medium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right style="thin">
        <color rgb="FFD2D2D2"/>
      </right>
      <top style="thin">
        <color rgb="FFD2D2D2"/>
      </top>
      <bottom style="thin">
        <color rgb="FFD2D2D2"/>
      </bottom>
    </border>
    <border>
      <left style="thin">
        <color rgb="FFD2D2D2"/>
      </left>
      <right style="thin">
        <color rgb="FFD2D2D2"/>
      </right>
      <top style="thin">
        <color rgb="FFD2D2D2"/>
      </top>
      <bottom style="thin">
        <color rgb="FFD2D2D2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bottom style="thick">
        <color rgb="FF000000"/>
      </bottom>
    </border>
    <border>
      <top style="thick">
        <color rgb="FF000000"/>
      </top>
    </border>
    <border>
      <left style="thick">
        <color rgb="FF000000"/>
      </left>
      <bottom style="thin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shrinkToFit="0" vertical="bottom" wrapText="1"/>
    </xf>
    <xf borderId="2" fillId="0" fontId="3" numFmtId="49" xfId="0" applyAlignment="1" applyBorder="1" applyFont="1" applyNumberFormat="1">
      <alignment shrinkToFit="0" vertical="bottom" wrapText="1"/>
    </xf>
    <xf borderId="2" fillId="0" fontId="3" numFmtId="1" xfId="0" applyAlignment="1" applyBorder="1" applyFont="1" applyNumberFormat="1">
      <alignment shrinkToFit="0" vertical="bottom" wrapText="1"/>
    </xf>
    <xf borderId="2" fillId="0" fontId="3" numFmtId="164" xfId="0" applyAlignment="1" applyBorder="1" applyFont="1" applyNumberFormat="1">
      <alignment shrinkToFit="0" vertical="bottom" wrapText="1"/>
    </xf>
    <xf borderId="2" fillId="0" fontId="3" numFmtId="165" xfId="0" applyAlignment="1" applyBorder="1" applyFont="1" applyNumberFormat="1">
      <alignment shrinkToFit="0" vertical="bottom" wrapText="1"/>
    </xf>
    <xf borderId="2" fillId="0" fontId="3" numFmtId="0" xfId="0" applyAlignment="1" applyBorder="1" applyFont="1">
      <alignment shrinkToFit="0" vertical="bottom" wrapText="1"/>
    </xf>
    <xf borderId="0" fillId="0" fontId="1" numFmtId="0" xfId="0" applyFont="1"/>
    <xf borderId="0" fillId="0" fontId="4" numFmtId="1" xfId="0" applyAlignment="1" applyFont="1" applyNumberFormat="1">
      <alignment readingOrder="0" shrinkToFit="0" wrapText="1"/>
    </xf>
    <xf borderId="0" fillId="0" fontId="4" numFmtId="0" xfId="0" applyAlignment="1" applyFont="1">
      <alignment readingOrder="0"/>
    </xf>
    <xf borderId="0" fillId="0" fontId="5" numFmtId="0" xfId="0" applyFont="1"/>
    <xf borderId="3" fillId="0" fontId="6" numFmtId="0" xfId="0" applyAlignment="1" applyBorder="1" applyFont="1">
      <alignment horizontal="right" vertical="bottom"/>
    </xf>
    <xf borderId="2" fillId="0" fontId="3" numFmtId="166" xfId="0" applyAlignment="1" applyBorder="1" applyFont="1" applyNumberFormat="1">
      <alignment shrinkToFit="0" vertical="bottom" wrapText="1"/>
    </xf>
    <xf borderId="4" fillId="0" fontId="6" numFmtId="49" xfId="0" applyAlignment="1" applyBorder="1" applyFont="1" applyNumberFormat="1">
      <alignment horizontal="right" vertical="bottom"/>
    </xf>
    <xf borderId="4" fillId="0" fontId="7" numFmtId="49" xfId="0" applyAlignment="1" applyBorder="1" applyFont="1" applyNumberFormat="1">
      <alignment vertical="bottom"/>
    </xf>
    <xf borderId="4" fillId="0" fontId="7" numFmtId="1" xfId="0" applyAlignment="1" applyBorder="1" applyFont="1" applyNumberFormat="1">
      <alignment vertical="bottom"/>
    </xf>
    <xf borderId="4" fillId="0" fontId="7" numFmtId="164" xfId="0" applyAlignment="1" applyBorder="1" applyFont="1" applyNumberFormat="1">
      <alignment vertical="bottom"/>
    </xf>
    <xf borderId="2" fillId="2" fontId="8" numFmtId="0" xfId="0" applyAlignment="1" applyBorder="1" applyFill="1" applyFont="1">
      <alignment shrinkToFit="0" vertical="bottom" wrapText="1"/>
    </xf>
    <xf borderId="5" fillId="3" fontId="9" numFmtId="0" xfId="0" applyAlignment="1" applyBorder="1" applyFill="1" applyFont="1">
      <alignment horizontal="center" readingOrder="0" vertical="bottom"/>
    </xf>
    <xf borderId="4" fillId="0" fontId="7" numFmtId="165" xfId="0" applyAlignment="1" applyBorder="1" applyFont="1" applyNumberFormat="1">
      <alignment vertical="bottom"/>
    </xf>
    <xf borderId="6" fillId="0" fontId="10" numFmtId="0" xfId="0" applyBorder="1" applyFont="1"/>
    <xf borderId="0" fillId="0" fontId="3" numFmtId="166" xfId="0" applyAlignment="1" applyFont="1" applyNumberFormat="1">
      <alignment shrinkToFit="0" vertical="bottom" wrapText="1"/>
    </xf>
    <xf borderId="4" fillId="0" fontId="7" numFmtId="0" xfId="0" applyAlignment="1" applyBorder="1" applyFont="1">
      <alignment vertical="bottom"/>
    </xf>
    <xf borderId="0" fillId="0" fontId="1" numFmtId="1" xfId="0" applyFont="1" applyNumberFormat="1"/>
    <xf borderId="7" fillId="0" fontId="10" numFmtId="0" xfId="0" applyBorder="1" applyFont="1"/>
    <xf borderId="0" fillId="2" fontId="11" numFmtId="0" xfId="0" applyFill="1" applyFont="1"/>
    <xf borderId="0" fillId="0" fontId="11" numFmtId="0" xfId="0" applyFont="1"/>
    <xf borderId="3" fillId="4" fontId="6" numFmtId="0" xfId="0" applyAlignment="1" applyBorder="1" applyFill="1" applyFont="1">
      <alignment horizontal="right" vertical="bottom"/>
    </xf>
    <xf borderId="4" fillId="4" fontId="7" numFmtId="49" xfId="0" applyAlignment="1" applyBorder="1" applyFill="1" applyFont="1" applyNumberFormat="1">
      <alignment vertical="bottom"/>
    </xf>
    <xf borderId="4" fillId="4" fontId="7" numFmtId="1" xfId="0" applyAlignment="1" applyBorder="1" applyFill="1" applyFont="1" applyNumberFormat="1">
      <alignment vertical="bottom"/>
    </xf>
    <xf borderId="4" fillId="4" fontId="6" numFmtId="164" xfId="0" applyAlignment="1" applyBorder="1" applyFill="1" applyFont="1" applyNumberFormat="1">
      <alignment horizontal="right" vertical="bottom"/>
    </xf>
    <xf borderId="4" fillId="0" fontId="7" numFmtId="166" xfId="0" applyAlignment="1" applyBorder="1" applyFont="1" applyNumberFormat="1">
      <alignment vertical="bottom"/>
    </xf>
    <xf borderId="4" fillId="4" fontId="7" numFmtId="165" xfId="0" applyAlignment="1" applyBorder="1" applyFill="1" applyFont="1" applyNumberFormat="1">
      <alignment vertical="bottom"/>
    </xf>
    <xf borderId="8" fillId="4" fontId="12" numFmtId="0" xfId="0" applyAlignment="1" applyBorder="1" applyFill="1" applyFont="1">
      <alignment horizontal="center" readingOrder="0" shrinkToFit="0" vertical="bottom" wrapText="1"/>
    </xf>
    <xf borderId="4" fillId="0" fontId="7" numFmtId="3" xfId="0" applyAlignment="1" applyBorder="1" applyFont="1" applyNumberFormat="1">
      <alignment vertical="bottom"/>
    </xf>
    <xf borderId="9" fillId="0" fontId="10" numFmtId="0" xfId="0" applyBorder="1" applyFont="1"/>
    <xf borderId="4" fillId="4" fontId="7" numFmtId="0" xfId="0" applyAlignment="1" applyBorder="1" applyFill="1" applyFont="1">
      <alignment vertical="bottom"/>
    </xf>
    <xf borderId="0" fillId="0" fontId="7" numFmtId="166" xfId="0" applyAlignment="1" applyFont="1" applyNumberFormat="1">
      <alignment vertical="bottom"/>
    </xf>
    <xf borderId="10" fillId="0" fontId="10" numFmtId="0" xfId="0" applyBorder="1" applyFont="1"/>
    <xf borderId="4" fillId="4" fontId="7" numFmtId="1" xfId="0" applyAlignment="1" applyBorder="1" applyFill="1" applyFont="1" applyNumberFormat="1">
      <alignment horizontal="right" vertical="bottom"/>
    </xf>
    <xf borderId="11" fillId="4" fontId="12" numFmtId="0" xfId="0" applyAlignment="1" applyBorder="1" applyFill="1" applyFont="1">
      <alignment horizontal="center" readingOrder="0" shrinkToFit="0" vertical="center" wrapText="1"/>
    </xf>
    <xf borderId="4" fillId="4" fontId="7" numFmtId="165" xfId="0" applyAlignment="1" applyBorder="1" applyFill="1" applyFont="1" applyNumberFormat="1">
      <alignment horizontal="right" vertical="bottom"/>
    </xf>
    <xf borderId="11" fillId="0" fontId="10" numFmtId="0" xfId="0" applyBorder="1" applyFont="1"/>
    <xf borderId="12" fillId="0" fontId="10" numFmtId="0" xfId="0" applyBorder="1" applyFont="1"/>
    <xf borderId="0" fillId="0" fontId="12" numFmtId="0" xfId="0" applyAlignment="1" applyFont="1">
      <alignment horizontal="center" readingOrder="0" shrinkToFit="0" vertical="bottom" wrapText="1"/>
    </xf>
    <xf borderId="13" fillId="4" fontId="13" numFmtId="0" xfId="0" applyAlignment="1" applyBorder="1" applyFill="1" applyFont="1">
      <alignment horizontal="center" readingOrder="0" shrinkToFit="0" vertical="bottom" wrapText="1"/>
    </xf>
    <xf borderId="14" fillId="5" fontId="13" numFmtId="0" xfId="0" applyAlignment="1" applyBorder="1" applyFill="1" applyFont="1">
      <alignment horizontal="center" readingOrder="0" shrinkToFit="0" vertical="bottom" wrapText="1"/>
    </xf>
    <xf borderId="2" fillId="0" fontId="10" numFmtId="0" xfId="0" applyBorder="1" applyFont="1"/>
    <xf borderId="14" fillId="4" fontId="13" numFmtId="0" xfId="0" applyAlignment="1" applyBorder="1" applyFill="1" applyFont="1">
      <alignment horizontal="center" readingOrder="0" shrinkToFit="0" vertical="bottom" wrapText="1"/>
    </xf>
    <xf borderId="15" fillId="4" fontId="13" numFmtId="0" xfId="0" applyAlignment="1" applyBorder="1" applyFill="1" applyFont="1">
      <alignment horizontal="center" readingOrder="0" shrinkToFit="0" vertical="bottom" wrapText="1"/>
    </xf>
    <xf borderId="16" fillId="0" fontId="10" numFmtId="0" xfId="0" applyBorder="1" applyFont="1"/>
    <xf borderId="17" fillId="0" fontId="10" numFmtId="0" xfId="0" applyBorder="1" applyFont="1"/>
    <xf borderId="4" fillId="4" fontId="7" numFmtId="3" xfId="0" applyAlignment="1" applyBorder="1" applyFill="1" applyFont="1" applyNumberFormat="1">
      <alignment vertical="bottom"/>
    </xf>
    <xf borderId="5" fillId="2" fontId="14" numFmtId="0" xfId="0" applyAlignment="1" applyBorder="1" applyFill="1" applyFont="1">
      <alignment readingOrder="0" shrinkToFit="0" vertical="bottom" wrapText="1"/>
    </xf>
    <xf borderId="13" fillId="2" fontId="15" numFmtId="0" xfId="0" applyAlignment="1" applyBorder="1" applyFill="1" applyFont="1">
      <alignment readingOrder="0" shrinkToFit="0" vertical="bottom" wrapText="1"/>
    </xf>
    <xf borderId="1" fillId="2" fontId="16" numFmtId="0" xfId="0" applyAlignment="1" applyBorder="1" applyFill="1" applyFont="1">
      <alignment readingOrder="0" shrinkToFit="0" vertical="bottom" wrapText="1"/>
    </xf>
    <xf borderId="1" fillId="2" fontId="16" numFmtId="0" xfId="0" applyAlignment="1" applyBorder="1" applyFill="1" applyFont="1">
      <alignment shrinkToFit="0" vertical="bottom" wrapText="1"/>
    </xf>
    <xf borderId="14" fillId="2" fontId="15" numFmtId="0" xfId="0" applyAlignment="1" applyBorder="1" applyFill="1" applyFont="1">
      <alignment readingOrder="0" shrinkToFit="0" vertical="bottom" wrapText="1"/>
    </xf>
    <xf borderId="15" fillId="2" fontId="15" numFmtId="0" xfId="0" applyAlignment="1" applyBorder="1" applyFill="1" applyFont="1">
      <alignment readingOrder="0" shrinkToFit="0" vertical="bottom" wrapText="1"/>
    </xf>
    <xf borderId="0" fillId="4" fontId="7" numFmtId="3" xfId="0" applyAlignment="1" applyFill="1" applyFont="1" applyNumberFormat="1">
      <alignment vertical="bottom"/>
    </xf>
    <xf borderId="1" fillId="2" fontId="15" numFmtId="0" xfId="0" applyAlignment="1" applyBorder="1" applyFill="1" applyFont="1">
      <alignment readingOrder="0" shrinkToFit="0" vertical="bottom" wrapText="1"/>
    </xf>
    <xf borderId="1" fillId="2" fontId="15" numFmtId="0" xfId="0" applyAlignment="1" applyBorder="1" applyFill="1" applyFont="1">
      <alignment readingOrder="0" shrinkToFit="0" wrapText="1"/>
    </xf>
    <xf borderId="2" fillId="2" fontId="15" numFmtId="0" xfId="0" applyAlignment="1" applyBorder="1" applyFill="1" applyFont="1">
      <alignment shrinkToFit="0" vertical="bottom" wrapText="1"/>
    </xf>
    <xf borderId="14" fillId="2" fontId="15" numFmtId="4" xfId="0" applyAlignment="1" applyBorder="1" applyFill="1" applyFont="1" applyNumberFormat="1">
      <alignment readingOrder="0" shrinkToFit="0" wrapText="1"/>
    </xf>
    <xf borderId="15" fillId="2" fontId="17" numFmtId="4" xfId="0" applyAlignment="1" applyBorder="1" applyFill="1" applyFont="1" applyNumberFormat="1">
      <alignment readingOrder="0" shrinkToFit="0" wrapText="1"/>
    </xf>
    <xf borderId="0" fillId="2" fontId="18" numFmtId="0" xfId="0" applyFill="1" applyFont="1"/>
    <xf borderId="0" fillId="0" fontId="18" numFmtId="0" xfId="0" applyFont="1"/>
    <xf borderId="18" fillId="0" fontId="14" numFmtId="0" xfId="0" applyAlignment="1" applyBorder="1" applyFont="1">
      <alignment readingOrder="0"/>
    </xf>
    <xf borderId="4" fillId="4" fontId="7" numFmtId="166" xfId="0" applyAlignment="1" applyBorder="1" applyFill="1" applyFont="1" applyNumberFormat="1">
      <alignment vertical="bottom"/>
    </xf>
    <xf borderId="4" fillId="4" fontId="7" numFmtId="3" xfId="0" applyAlignment="1" applyBorder="1" applyFill="1" applyFont="1" applyNumberFormat="1">
      <alignment vertical="bottom"/>
    </xf>
    <xf borderId="4" fillId="4" fontId="7" numFmtId="4" xfId="0" applyAlignment="1" applyBorder="1" applyFill="1" applyFont="1" applyNumberFormat="1">
      <alignment vertical="bottom"/>
    </xf>
    <xf borderId="4" fillId="4" fontId="7" numFmtId="167" xfId="0" applyAlignment="1" applyBorder="1" applyFill="1" applyFont="1" applyNumberFormat="1">
      <alignment vertical="bottom"/>
    </xf>
    <xf borderId="0" fillId="4" fontId="7" numFmtId="166" xfId="0" applyAlignment="1" applyFill="1" applyFont="1" applyNumberFormat="1">
      <alignment vertical="bottom"/>
    </xf>
    <xf borderId="19" fillId="0" fontId="11" numFmtId="3" xfId="0" applyAlignment="1" applyBorder="1" applyFont="1" applyNumberFormat="1">
      <alignment horizontal="center"/>
    </xf>
    <xf borderId="0" fillId="0" fontId="11" numFmtId="3" xfId="0" applyAlignment="1" applyFont="1" applyNumberFormat="1">
      <alignment horizontal="center"/>
    </xf>
    <xf borderId="0" fillId="0" fontId="11" numFmtId="168" xfId="0" applyAlignment="1" applyFont="1" applyNumberFormat="1">
      <alignment horizontal="center"/>
    </xf>
    <xf borderId="20" fillId="0" fontId="11" numFmtId="167" xfId="0" applyAlignment="1" applyBorder="1" applyFont="1" applyNumberFormat="1">
      <alignment horizontal="center"/>
    </xf>
    <xf borderId="21" fillId="0" fontId="11" numFmtId="3" xfId="0" applyAlignment="1" applyBorder="1" applyFont="1" applyNumberFormat="1">
      <alignment horizontal="center" readingOrder="0"/>
    </xf>
    <xf borderId="0" fillId="0" fontId="19" numFmtId="3" xfId="0" applyAlignment="1" applyFont="1" applyNumberFormat="1">
      <alignment horizontal="center" readingOrder="0"/>
    </xf>
    <xf borderId="21" fillId="0" fontId="11" numFmtId="4" xfId="0" applyAlignment="1" applyBorder="1" applyFont="1" applyNumberFormat="1">
      <alignment horizontal="center" readingOrder="0"/>
    </xf>
    <xf borderId="0" fillId="0" fontId="20" numFmtId="0" xfId="0" applyAlignment="1" applyFont="1">
      <alignment horizontal="center" readingOrder="0"/>
    </xf>
    <xf borderId="22" fillId="0" fontId="20" numFmtId="0" xfId="0" applyAlignment="1" applyBorder="1" applyFont="1">
      <alignment horizontal="center" readingOrder="0"/>
    </xf>
    <xf borderId="9" fillId="3" fontId="20" numFmtId="0" xfId="0" applyAlignment="1" applyBorder="1" applyFill="1" applyFont="1">
      <alignment horizontal="center" readingOrder="0"/>
    </xf>
    <xf borderId="0" fillId="0" fontId="21" numFmtId="0" xfId="0" applyAlignment="1" applyFont="1">
      <alignment readingOrder="0"/>
    </xf>
    <xf borderId="22" fillId="0" fontId="21" numFmtId="0" xfId="0" applyAlignment="1" applyBorder="1" applyFont="1">
      <alignment readingOrder="0"/>
    </xf>
    <xf borderId="9" fillId="4" fontId="12" numFmtId="0" xfId="0" applyAlignment="1" applyBorder="1" applyFill="1" applyFont="1">
      <alignment horizontal="center" readingOrder="0" shrinkToFit="0" vertical="bottom" wrapText="1"/>
    </xf>
    <xf borderId="23" fillId="0" fontId="10" numFmtId="0" xfId="0" applyBorder="1" applyFont="1"/>
    <xf borderId="16" fillId="0" fontId="21" numFmtId="0" xfId="0" applyAlignment="1" applyBorder="1" applyFont="1">
      <alignment readingOrder="0"/>
    </xf>
    <xf borderId="4" fillId="0" fontId="21" numFmtId="0" xfId="0" applyAlignment="1" applyBorder="1" applyFont="1">
      <alignment readingOrder="0"/>
    </xf>
    <xf borderId="2" fillId="4" fontId="13" numFmtId="0" xfId="0" applyAlignment="1" applyBorder="1" applyFill="1" applyFont="1">
      <alignment horizontal="center" readingOrder="0" shrinkToFit="0" vertical="bottom" wrapText="1"/>
    </xf>
    <xf borderId="14" fillId="4" fontId="13" numFmtId="168" xfId="0" applyAlignment="1" applyBorder="1" applyFill="1" applyFont="1" applyNumberFormat="1">
      <alignment horizontal="center" readingOrder="0" shrinkToFit="0" vertical="bottom" wrapText="1"/>
    </xf>
    <xf borderId="4" fillId="0" fontId="10" numFmtId="0" xfId="0" applyBorder="1" applyFont="1"/>
    <xf borderId="1" fillId="0" fontId="21" numFmtId="0" xfId="0" applyAlignment="1" applyBorder="1" applyFont="1">
      <alignment readingOrder="0"/>
    </xf>
    <xf borderId="19" fillId="0" fontId="11" numFmtId="3" xfId="0" applyAlignment="1" applyBorder="1" applyFont="1" applyNumberFormat="1">
      <alignment horizontal="center"/>
    </xf>
    <xf borderId="0" fillId="0" fontId="11" numFmtId="3" xfId="0" applyAlignment="1" applyFont="1" applyNumberFormat="1">
      <alignment horizontal="center"/>
    </xf>
    <xf borderId="14" fillId="2" fontId="15" numFmtId="168" xfId="0" applyAlignment="1" applyBorder="1" applyFill="1" applyFont="1" applyNumberFormat="1">
      <alignment readingOrder="0" shrinkToFit="0" vertical="bottom" wrapText="1"/>
    </xf>
    <xf borderId="2" fillId="2" fontId="15" numFmtId="0" xfId="0" applyAlignment="1" applyBorder="1" applyFill="1" applyFont="1">
      <alignment readingOrder="0" shrinkToFit="0" vertical="bottom" wrapText="1"/>
    </xf>
    <xf borderId="1" fillId="2" fontId="15" numFmtId="0" xfId="0" applyAlignment="1" applyBorder="1" applyFill="1" applyFont="1">
      <alignment shrinkToFit="0" vertical="bottom" wrapText="1"/>
    </xf>
    <xf borderId="3" fillId="2" fontId="6" numFmtId="0" xfId="0" applyAlignment="1" applyBorder="1" applyFill="1" applyFont="1">
      <alignment horizontal="right" vertical="bottom"/>
    </xf>
    <xf borderId="1" fillId="2" fontId="17" numFmtId="4" xfId="0" applyAlignment="1" applyBorder="1" applyFill="1" applyFont="1" applyNumberFormat="1">
      <alignment readingOrder="0" shrinkToFit="0" wrapText="1"/>
    </xf>
    <xf borderId="1" fillId="2" fontId="17" numFmtId="0" xfId="0" applyAlignment="1" applyBorder="1" applyFill="1" applyFont="1">
      <alignment readingOrder="0" shrinkToFit="0" wrapText="1"/>
    </xf>
    <xf borderId="4" fillId="0" fontId="7" numFmtId="164" xfId="0" applyAlignment="1" applyBorder="1" applyFont="1" applyNumberFormat="1">
      <alignment horizontal="right" vertical="bottom"/>
    </xf>
    <xf borderId="0" fillId="0" fontId="11" numFmtId="0" xfId="0" applyAlignment="1" applyFont="1">
      <alignment readingOrder="0"/>
    </xf>
    <xf borderId="24" fillId="0" fontId="21" numFmtId="0" xfId="0" applyAlignment="1" applyBorder="1" applyFont="1">
      <alignment readingOrder="0"/>
    </xf>
    <xf borderId="4" fillId="0" fontId="7" numFmtId="1" xfId="0" applyAlignment="1" applyBorder="1" applyFont="1" applyNumberFormat="1">
      <alignment horizontal="right" vertical="bottom"/>
    </xf>
    <xf borderId="22" fillId="0" fontId="22" numFmtId="0" xfId="0" applyAlignment="1" applyBorder="1" applyFont="1">
      <alignment readingOrder="0"/>
    </xf>
    <xf borderId="4" fillId="0" fontId="7" numFmtId="165" xfId="0" applyAlignment="1" applyBorder="1" applyFont="1" applyNumberFormat="1">
      <alignment horizontal="right" vertical="bottom"/>
    </xf>
    <xf borderId="0" fillId="0" fontId="11" numFmtId="168" xfId="0" applyAlignment="1" applyFont="1" applyNumberFormat="1">
      <alignment horizontal="center"/>
    </xf>
    <xf borderId="0" fillId="0" fontId="11" numFmtId="3" xfId="0" applyFont="1" applyNumberFormat="1"/>
    <xf borderId="0" fillId="0" fontId="11" numFmtId="3" xfId="0" applyFont="1" applyNumberFormat="1"/>
    <xf borderId="20" fillId="0" fontId="11" numFmtId="167" xfId="0" applyAlignment="1" applyBorder="1" applyFont="1" applyNumberFormat="1">
      <alignment horizontal="center"/>
    </xf>
    <xf borderId="16" fillId="0" fontId="7" numFmtId="0" xfId="0" applyAlignment="1" applyBorder="1" applyFont="1">
      <alignment shrinkToFit="0" vertical="bottom" wrapText="0"/>
    </xf>
    <xf borderId="0" fillId="0" fontId="11" numFmtId="169" xfId="0" applyFont="1" applyNumberFormat="1"/>
    <xf borderId="21" fillId="0" fontId="11" numFmtId="170" xfId="0" applyBorder="1" applyFont="1" applyNumberFormat="1"/>
    <xf borderId="21" fillId="0" fontId="11" numFmtId="0" xfId="0" applyBorder="1" applyFont="1"/>
    <xf borderId="22" fillId="0" fontId="11" numFmtId="0" xfId="0" applyBorder="1" applyFont="1"/>
    <xf borderId="0" fillId="0" fontId="23" numFmtId="0" xfId="0" applyAlignment="1" applyFont="1">
      <alignment readingOrder="0"/>
    </xf>
    <xf borderId="0" fillId="0" fontId="23" numFmtId="0" xfId="0" applyFont="1"/>
    <xf borderId="0" fillId="0" fontId="1" numFmtId="9" xfId="0" applyFont="1" applyNumberFormat="1"/>
    <xf borderId="0" fillId="0" fontId="23" numFmtId="1" xfId="0" applyFont="1" applyNumberFormat="1"/>
    <xf borderId="0" fillId="0" fontId="23" numFmtId="10" xfId="0" applyFont="1" applyNumberFormat="1"/>
    <xf borderId="0" fillId="6" fontId="1" numFmtId="9" xfId="0" applyFill="1" applyFont="1" applyNumberFormat="1"/>
    <xf borderId="4" fillId="0" fontId="7" numFmtId="3" xfId="0" applyAlignment="1" applyBorder="1" applyFont="1" applyNumberFormat="1">
      <alignment vertical="bottom"/>
    </xf>
    <xf borderId="4" fillId="0" fontId="7" numFmtId="10" xfId="0" applyAlignment="1" applyBorder="1" applyFont="1" applyNumberFormat="1">
      <alignment vertical="bottom"/>
    </xf>
    <xf borderId="4" fillId="0" fontId="7" numFmtId="167" xfId="0" applyAlignment="1" applyBorder="1" applyFont="1" applyNumberFormat="1">
      <alignment vertical="bottom"/>
    </xf>
    <xf borderId="0" fillId="0" fontId="11" numFmtId="167" xfId="0" applyFont="1" applyNumberFormat="1"/>
    <xf borderId="4" fillId="0" fontId="7" numFmtId="4" xfId="0" applyAlignment="1" applyBorder="1" applyFont="1" applyNumberFormat="1">
      <alignment vertical="bottom"/>
    </xf>
    <xf borderId="4" fillId="2" fontId="7" numFmtId="0" xfId="0" applyAlignment="1" applyBorder="1" applyFill="1" applyFont="1">
      <alignment vertical="bottom"/>
    </xf>
    <xf borderId="4" fillId="2" fontId="7" numFmtId="166" xfId="0" applyAlignment="1" applyBorder="1" applyFill="1" applyFont="1" applyNumberFormat="1">
      <alignment vertical="bottom"/>
    </xf>
    <xf borderId="4" fillId="2" fontId="7" numFmtId="4" xfId="0" applyAlignment="1" applyBorder="1" applyFill="1" applyFont="1" applyNumberFormat="1">
      <alignment vertical="bottom"/>
    </xf>
    <xf borderId="4" fillId="2" fontId="7" numFmtId="3" xfId="0" applyAlignment="1" applyBorder="1" applyFill="1" applyFont="1" applyNumberFormat="1">
      <alignment vertical="bottom"/>
    </xf>
    <xf borderId="0" fillId="2" fontId="7" numFmtId="166" xfId="0" applyAlignment="1" applyFill="1" applyFont="1" applyNumberFormat="1">
      <alignment vertical="bottom"/>
    </xf>
    <xf borderId="0" fillId="0" fontId="11" numFmtId="2" xfId="0" applyFont="1" applyNumberFormat="1"/>
    <xf borderId="21" fillId="0" fontId="11" numFmtId="10" xfId="0" applyBorder="1" applyFont="1" applyNumberFormat="1"/>
    <xf borderId="4" fillId="4" fontId="7" numFmtId="169" xfId="0" applyAlignment="1" applyBorder="1" applyFill="1" applyFont="1" applyNumberFormat="1">
      <alignment vertical="bottom"/>
    </xf>
    <xf borderId="16" fillId="4" fontId="7" numFmtId="0" xfId="0" applyAlignment="1" applyBorder="1" applyFill="1" applyFont="1">
      <alignment shrinkToFit="0" vertical="bottom" wrapText="0"/>
    </xf>
    <xf borderId="0" fillId="0" fontId="1" numFmtId="3" xfId="0" applyFont="1" applyNumberFormat="1"/>
    <xf borderId="21" fillId="0" fontId="1" numFmtId="170" xfId="0" applyBorder="1" applyFont="1" applyNumberFormat="1"/>
    <xf borderId="21" fillId="0" fontId="1" numFmtId="0" xfId="0" applyBorder="1" applyFont="1"/>
    <xf borderId="22" fillId="0" fontId="1" numFmtId="0" xfId="0" applyBorder="1" applyFont="1"/>
    <xf borderId="0" fillId="0" fontId="22" numFmtId="0" xfId="0" applyAlignment="1" applyFont="1">
      <alignment readingOrder="0"/>
    </xf>
    <xf borderId="19" fillId="0" fontId="21" numFmtId="0" xfId="0" applyAlignment="1" applyBorder="1" applyFont="1">
      <alignment horizontal="center"/>
    </xf>
    <xf borderId="0" fillId="0" fontId="21" numFmtId="0" xfId="0" applyAlignment="1" applyFont="1">
      <alignment horizontal="center"/>
    </xf>
    <xf borderId="20" fillId="0" fontId="21" numFmtId="0" xfId="0" applyAlignment="1" applyBorder="1" applyFont="1">
      <alignment horizontal="center"/>
    </xf>
    <xf borderId="21" fillId="0" fontId="21" numFmtId="0" xfId="0" applyAlignment="1" applyBorder="1" applyFont="1">
      <alignment horizontal="center"/>
    </xf>
    <xf borderId="0" fillId="0" fontId="11" numFmtId="3" xfId="0" applyAlignment="1" applyFont="1" applyNumberFormat="1">
      <alignment horizontal="center" readingOrder="0"/>
    </xf>
    <xf borderId="25" fillId="5" fontId="14" numFmtId="0" xfId="0" applyAlignment="1" applyBorder="1" applyFill="1" applyFont="1">
      <alignment readingOrder="0"/>
    </xf>
    <xf borderId="26" fillId="5" fontId="21" numFmtId="3" xfId="0" applyAlignment="1" applyBorder="1" applyFill="1" applyFont="1" applyNumberFormat="1">
      <alignment horizontal="center"/>
    </xf>
    <xf borderId="26" fillId="5" fontId="21" numFmtId="168" xfId="0" applyAlignment="1" applyBorder="1" applyFill="1" applyFont="1" applyNumberFormat="1">
      <alignment horizontal="center"/>
    </xf>
    <xf borderId="27" fillId="5" fontId="21" numFmtId="166" xfId="0" applyAlignment="1" applyBorder="1" applyFill="1" applyFont="1" applyNumberFormat="1">
      <alignment horizontal="center"/>
    </xf>
    <xf borderId="28" fillId="5" fontId="21" numFmtId="3" xfId="0" applyAlignment="1" applyBorder="1" applyFill="1" applyFont="1" applyNumberFormat="1">
      <alignment horizontal="center"/>
    </xf>
    <xf borderId="26" fillId="5" fontId="21" numFmtId="3" xfId="0" applyAlignment="1" applyBorder="1" applyFill="1" applyFont="1" applyNumberFormat="1">
      <alignment horizontal="center"/>
    </xf>
    <xf borderId="27" fillId="5" fontId="21" numFmtId="0" xfId="0" applyAlignment="1" applyBorder="1" applyFill="1" applyFont="1">
      <alignment horizontal="center" readingOrder="0"/>
    </xf>
    <xf borderId="29" fillId="5" fontId="21" numFmtId="3" xfId="0" applyAlignment="1" applyBorder="1" applyFill="1" applyFont="1" applyNumberFormat="1">
      <alignment horizontal="center" readingOrder="0"/>
    </xf>
    <xf borderId="30" fillId="5" fontId="21" numFmtId="0" xfId="0" applyAlignment="1" applyBorder="1" applyFill="1" applyFont="1">
      <alignment horizontal="center"/>
    </xf>
    <xf borderId="31" fillId="5" fontId="14" numFmtId="3" xfId="0" applyAlignment="1" applyBorder="1" applyFill="1" applyFont="1" applyNumberFormat="1">
      <alignment horizontal="center" readingOrder="0"/>
    </xf>
    <xf borderId="32" fillId="5" fontId="21" numFmtId="4" xfId="0" applyAlignment="1" applyBorder="1" applyFill="1" applyFont="1" applyNumberFormat="1">
      <alignment horizontal="center" readingOrder="0"/>
    </xf>
    <xf borderId="0" fillId="0" fontId="21" numFmtId="0" xfId="0" applyFont="1"/>
    <xf borderId="0" fillId="0" fontId="19" numFmtId="0" xfId="0" applyFont="1"/>
    <xf borderId="0" fillId="0" fontId="11" numFmtId="4" xfId="0" applyFont="1" applyNumberFormat="1"/>
    <xf borderId="0" fillId="0" fontId="1" numFmtId="10" xfId="0" applyFont="1" applyNumberFormat="1"/>
    <xf borderId="33" fillId="0" fontId="21" numFmtId="0" xfId="0" applyAlignment="1" applyBorder="1" applyFont="1">
      <alignment readingOrder="0"/>
    </xf>
    <xf borderId="16" fillId="0" fontId="1" numFmtId="0" xfId="0" applyBorder="1" applyFont="1"/>
    <xf borderId="17" fillId="0" fontId="1" numFmtId="0" xfId="0" applyBorder="1" applyFont="1"/>
    <xf borderId="16" fillId="0" fontId="11" numFmtId="0" xfId="0" applyBorder="1" applyFont="1"/>
    <xf borderId="4" fillId="0" fontId="1" numFmtId="0" xfId="0" applyBorder="1" applyFont="1"/>
    <xf borderId="0" fillId="3" fontId="6" numFmtId="0" xfId="0" applyFill="1" applyFont="1"/>
    <xf borderId="14" fillId="3" fontId="24" numFmtId="0" xfId="0" applyAlignment="1" applyBorder="1" applyFill="1" applyFont="1">
      <alignment horizontal="center" readingOrder="0" vertical="bottom"/>
    </xf>
    <xf borderId="34" fillId="2" fontId="2" numFmtId="0" xfId="0" applyAlignment="1" applyBorder="1" applyFill="1" applyFont="1">
      <alignment shrinkToFit="0" vertical="bottom" wrapText="1"/>
    </xf>
    <xf borderId="14" fillId="2" fontId="25" numFmtId="0" xfId="0" applyAlignment="1" applyBorder="1" applyFill="1" applyFont="1">
      <alignment readingOrder="0" shrinkToFit="0" vertical="bottom" wrapText="1"/>
    </xf>
    <xf borderId="35" fillId="2" fontId="25" numFmtId="0" xfId="0" applyAlignment="1" applyBorder="1" applyFill="1" applyFont="1">
      <alignment readingOrder="0" shrinkToFit="0" vertical="bottom" wrapText="1"/>
    </xf>
    <xf borderId="1" fillId="2" fontId="26" numFmtId="0" xfId="0" applyAlignment="1" applyBorder="1" applyFill="1" applyFont="1">
      <alignment readingOrder="0" shrinkToFit="0" vertical="bottom" wrapText="1"/>
    </xf>
    <xf borderId="36" fillId="2" fontId="25" numFmtId="0" xfId="0" applyAlignment="1" applyBorder="1" applyFill="1" applyFont="1">
      <alignment readingOrder="0" shrinkToFit="0" vertical="bottom" wrapText="1"/>
    </xf>
    <xf borderId="2" fillId="2" fontId="25" numFmtId="0" xfId="0" applyAlignment="1" applyBorder="1" applyFill="1" applyFont="1">
      <alignment readingOrder="0" shrinkToFit="0" vertical="bottom" wrapText="1"/>
    </xf>
    <xf borderId="35" fillId="2" fontId="25" numFmtId="166" xfId="0" applyAlignment="1" applyBorder="1" applyFill="1" applyFont="1" applyNumberFormat="1">
      <alignment readingOrder="0" shrinkToFit="0" vertical="bottom" wrapText="1"/>
    </xf>
    <xf borderId="23" fillId="2" fontId="25" numFmtId="0" xfId="0" applyAlignment="1" applyBorder="1" applyFill="1" applyFont="1">
      <alignment readingOrder="0" shrinkToFit="0" wrapText="1"/>
    </xf>
    <xf borderId="1" fillId="2" fontId="25" numFmtId="0" xfId="0" applyAlignment="1" applyBorder="1" applyFill="1" applyFont="1">
      <alignment readingOrder="0" shrinkToFit="0" wrapText="1"/>
    </xf>
    <xf borderId="36" fillId="2" fontId="25" numFmtId="0" xfId="0" applyAlignment="1" applyBorder="1" applyFill="1" applyFont="1">
      <alignment readingOrder="0" shrinkToFit="0" wrapText="1"/>
    </xf>
    <xf borderId="37" fillId="2" fontId="25" numFmtId="166" xfId="0" applyAlignment="1" applyBorder="1" applyFill="1" applyFont="1" applyNumberFormat="1">
      <alignment horizontal="left" readingOrder="0" shrinkToFit="0" wrapText="1"/>
    </xf>
    <xf borderId="18" fillId="7" fontId="2" numFmtId="0" xfId="0" applyAlignment="1" applyBorder="1" applyFill="1" applyFont="1">
      <alignment readingOrder="0"/>
    </xf>
    <xf borderId="0" fillId="7" fontId="7" numFmtId="3" xfId="0" applyAlignment="1" applyFill="1" applyFont="1" applyNumberFormat="1">
      <alignment horizontal="center"/>
    </xf>
    <xf borderId="38" fillId="7" fontId="7" numFmtId="0" xfId="0" applyAlignment="1" applyBorder="1" applyFill="1" applyFont="1">
      <alignment horizontal="center" vertical="bottom"/>
    </xf>
    <xf borderId="38" fillId="7" fontId="7" numFmtId="0" xfId="0" applyAlignment="1" applyBorder="1" applyFill="1" applyFont="1">
      <alignment horizontal="center" vertical="bottom"/>
    </xf>
    <xf borderId="38" fillId="7" fontId="7" numFmtId="3" xfId="0" applyAlignment="1" applyBorder="1" applyFill="1" applyFont="1" applyNumberFormat="1">
      <alignment horizontal="center" vertical="bottom"/>
    </xf>
    <xf borderId="38" fillId="7" fontId="7" numFmtId="4" xfId="0" applyAlignment="1" applyBorder="1" applyFill="1" applyFont="1" applyNumberFormat="1">
      <alignment horizontal="center" vertical="bottom"/>
    </xf>
    <xf borderId="38" fillId="7" fontId="7" numFmtId="167" xfId="0" applyAlignment="1" applyBorder="1" applyFill="1" applyFont="1" applyNumberFormat="1">
      <alignment horizontal="center" vertical="bottom"/>
    </xf>
    <xf borderId="38" fillId="7" fontId="7" numFmtId="3" xfId="0" applyAlignment="1" applyBorder="1" applyFill="1" applyFont="1" applyNumberFormat="1">
      <alignment horizontal="center" vertical="bottom"/>
    </xf>
    <xf borderId="18" fillId="2" fontId="2" numFmtId="0" xfId="0" applyAlignment="1" applyBorder="1" applyFill="1" applyFont="1">
      <alignment readingOrder="0"/>
    </xf>
    <xf borderId="0" fillId="2" fontId="7" numFmtId="3" xfId="0" applyAlignment="1" applyFill="1" applyFont="1" applyNumberFormat="1">
      <alignment horizontal="center"/>
    </xf>
    <xf borderId="38" fillId="2" fontId="7" numFmtId="0" xfId="0" applyAlignment="1" applyBorder="1" applyFill="1" applyFont="1">
      <alignment horizontal="center" vertical="bottom"/>
    </xf>
    <xf borderId="38" fillId="2" fontId="7" numFmtId="0" xfId="0" applyAlignment="1" applyBorder="1" applyFill="1" applyFont="1">
      <alignment horizontal="center" vertical="bottom"/>
    </xf>
    <xf borderId="38" fillId="2" fontId="7" numFmtId="3" xfId="0" applyAlignment="1" applyBorder="1" applyFill="1" applyFont="1" applyNumberFormat="1">
      <alignment horizontal="center" vertical="bottom"/>
    </xf>
    <xf borderId="38" fillId="2" fontId="7" numFmtId="4" xfId="0" applyAlignment="1" applyBorder="1" applyFill="1" applyFont="1" applyNumberFormat="1">
      <alignment horizontal="center" vertical="bottom"/>
    </xf>
    <xf borderId="38" fillId="2" fontId="7" numFmtId="167" xfId="0" applyAlignment="1" applyBorder="1" applyFill="1" applyFont="1" applyNumberFormat="1">
      <alignment horizontal="center" vertical="bottom"/>
    </xf>
    <xf borderId="38" fillId="2" fontId="7" numFmtId="3" xfId="0" applyAlignment="1" applyBorder="1" applyFill="1" applyFont="1" applyNumberFormat="1">
      <alignment horizontal="center" vertical="bottom"/>
    </xf>
    <xf borderId="14" fillId="3" fontId="27" numFmtId="0" xfId="0" applyAlignment="1" applyBorder="1" applyFill="1" applyFont="1">
      <alignment readingOrder="0"/>
    </xf>
    <xf borderId="9" fillId="3" fontId="27" numFmtId="0" xfId="0" applyBorder="1" applyFill="1" applyFont="1"/>
    <xf borderId="9" fillId="3" fontId="27" numFmtId="0" xfId="0" applyAlignment="1" applyBorder="1" applyFill="1" applyFont="1">
      <alignment readingOrder="0"/>
    </xf>
    <xf borderId="16" fillId="3" fontId="27" numFmtId="171" xfId="0" applyAlignment="1" applyBorder="1" applyFill="1" applyFont="1" applyNumberFormat="1">
      <alignment readingOrder="0"/>
    </xf>
    <xf borderId="16" fillId="3" fontId="27" numFmtId="0" xfId="0" applyAlignment="1" applyBorder="1" applyFill="1" applyFont="1">
      <alignment readingOrder="0"/>
    </xf>
    <xf borderId="4" fillId="3" fontId="1" numFmtId="0" xfId="0" applyBorder="1" applyFill="1" applyFont="1"/>
    <xf borderId="1" fillId="8" fontId="4" numFmtId="0" xfId="0" applyAlignment="1" applyBorder="1" applyFill="1" applyFont="1">
      <alignment readingOrder="0" shrinkToFit="0" wrapText="1"/>
    </xf>
    <xf borderId="1" fillId="8" fontId="4" numFmtId="0" xfId="0" applyAlignment="1" applyBorder="1" applyFill="1" applyFont="1">
      <alignment readingOrder="0" vertical="center"/>
    </xf>
    <xf borderId="1" fillId="8" fontId="4" numFmtId="0" xfId="0" applyAlignment="1" applyBorder="1" applyFill="1" applyFont="1">
      <alignment readingOrder="0"/>
    </xf>
    <xf borderId="1" fillId="9" fontId="1" numFmtId="0" xfId="0" applyAlignment="1" applyBorder="1" applyFill="1" applyFont="1">
      <alignment readingOrder="0" vertical="bottom"/>
    </xf>
    <xf borderId="1" fillId="9" fontId="1" numFmtId="0" xfId="0" applyAlignment="1" applyBorder="1" applyFill="1" applyFont="1">
      <alignment readingOrder="0"/>
    </xf>
    <xf borderId="1" fillId="8" fontId="28" numFmtId="0" xfId="0" applyAlignment="1" applyBorder="1" applyFill="1" applyFont="1">
      <alignment readingOrder="0" vertical="top"/>
    </xf>
    <xf borderId="1" fillId="9" fontId="1" numFmtId="3" xfId="0" applyAlignment="1" applyBorder="1" applyFill="1" applyFont="1" applyNumberFormat="1">
      <alignment readingOrder="0"/>
    </xf>
    <xf borderId="1" fillId="9" fontId="4" numFmtId="3" xfId="0" applyAlignment="1" applyBorder="1" applyFill="1" applyFont="1" applyNumberFormat="1">
      <alignment readingOrder="0"/>
    </xf>
    <xf borderId="0" fillId="0" fontId="28" numFmtId="0" xfId="0" applyFont="1"/>
    <xf borderId="0" fillId="0" fontId="29" numFmtId="0" xfId="0" applyAlignment="1" applyFont="1">
      <alignment horizontal="center" vertical="bottom"/>
    </xf>
    <xf borderId="0" fillId="0" fontId="28" numFmtId="0" xfId="0" applyAlignment="1" applyFont="1">
      <alignment readingOrder="0"/>
    </xf>
    <xf borderId="0" fillId="0" fontId="4" numFmtId="3" xfId="0" applyAlignment="1" applyFont="1" applyNumberFormat="1">
      <alignment readingOrder="0"/>
    </xf>
    <xf borderId="9" fillId="3" fontId="27" numFmtId="171" xfId="0" applyAlignment="1" applyBorder="1" applyFill="1" applyFont="1" applyNumberFormat="1">
      <alignment readingOrder="0"/>
    </xf>
    <xf borderId="2" fillId="3" fontId="1" numFmtId="0" xfId="0" applyBorder="1" applyFill="1" applyFont="1"/>
    <xf borderId="0" fillId="0" fontId="30" numFmtId="0" xfId="0" applyAlignment="1" applyFont="1">
      <alignment horizontal="center" vertical="bottom"/>
    </xf>
    <xf borderId="18" fillId="0" fontId="6" numFmtId="0" xfId="0" applyBorder="1" applyFont="1"/>
    <xf borderId="0" fillId="0" fontId="7" numFmtId="0" xfId="0" applyAlignment="1" applyFont="1">
      <alignment horizontal="center"/>
    </xf>
    <xf borderId="39" fillId="0" fontId="7" numFmtId="0" xfId="0" applyAlignment="1" applyBorder="1" applyFont="1">
      <alignment horizontal="center"/>
    </xf>
    <xf borderId="38" fillId="0" fontId="7" numFmtId="0" xfId="0" applyAlignment="1" applyBorder="1" applyFont="1">
      <alignment horizontal="center"/>
    </xf>
    <xf borderId="40" fillId="0" fontId="7" numFmtId="0" xfId="0" applyAlignment="1" applyBorder="1" applyFont="1">
      <alignment horizontal="center"/>
    </xf>
    <xf borderId="22" fillId="0" fontId="7" numFmtId="0" xfId="0" applyAlignment="1" applyBorder="1" applyFont="1">
      <alignment horizontal="center"/>
    </xf>
    <xf borderId="24" fillId="0" fontId="7" numFmtId="0" xfId="0" applyAlignment="1" applyBorder="1" applyFont="1">
      <alignment horizontal="center"/>
    </xf>
    <xf borderId="40" fillId="0" fontId="7" numFmtId="3" xfId="0" applyAlignment="1" applyBorder="1" applyFont="1" applyNumberFormat="1">
      <alignment horizontal="center"/>
    </xf>
    <xf borderId="22" fillId="0" fontId="7" numFmtId="4" xfId="0" applyAlignment="1" applyBorder="1" applyFont="1" applyNumberFormat="1">
      <alignment horizontal="center"/>
    </xf>
    <xf borderId="38" fillId="0" fontId="7" numFmtId="4" xfId="0" applyAlignment="1" applyBorder="1" applyFont="1" applyNumberFormat="1">
      <alignment horizontal="center"/>
    </xf>
    <xf borderId="37" fillId="2" fontId="7" numFmtId="0" xfId="0" applyAlignment="1" applyBorder="1" applyFill="1" applyFont="1">
      <alignment horizontal="center"/>
    </xf>
    <xf borderId="41" fillId="5" fontId="2" numFmtId="3" xfId="0" applyAlignment="1" applyBorder="1" applyFill="1" applyFont="1" applyNumberFormat="1">
      <alignment readingOrder="0"/>
    </xf>
    <xf borderId="42" fillId="5" fontId="3" numFmtId="3" xfId="0" applyAlignment="1" applyBorder="1" applyFill="1" applyFont="1" applyNumberFormat="1">
      <alignment horizontal="center"/>
    </xf>
    <xf borderId="43" fillId="5" fontId="3" numFmtId="3" xfId="0" applyAlignment="1" applyBorder="1" applyFill="1" applyFont="1" applyNumberFormat="1">
      <alignment horizontal="center"/>
    </xf>
    <xf borderId="26" fillId="5" fontId="3" numFmtId="3" xfId="0" applyAlignment="1" applyBorder="1" applyFill="1" applyFont="1" applyNumberFormat="1">
      <alignment horizontal="center" readingOrder="0"/>
    </xf>
    <xf borderId="0" fillId="0" fontId="31" numFmtId="3" xfId="0" applyAlignment="1" applyFont="1" applyNumberFormat="1">
      <alignment vertical="bottom"/>
    </xf>
    <xf borderId="44" fillId="5" fontId="3" numFmtId="3" xfId="0" applyAlignment="1" applyBorder="1" applyFill="1" applyFont="1" applyNumberFormat="1">
      <alignment horizontal="center"/>
    </xf>
    <xf borderId="28" fillId="5" fontId="3" numFmtId="3" xfId="0" applyAlignment="1" applyBorder="1" applyFill="1" applyFont="1" applyNumberFormat="1">
      <alignment horizontal="center"/>
    </xf>
    <xf borderId="45" fillId="5" fontId="3" numFmtId="3" xfId="0" applyAlignment="1" applyBorder="1" applyFill="1" applyFont="1" applyNumberFormat="1">
      <alignment horizontal="center" readingOrder="0"/>
    </xf>
    <xf borderId="43" fillId="5" fontId="3" numFmtId="3" xfId="0" applyAlignment="1" applyBorder="1" applyFill="1" applyFont="1" applyNumberFormat="1">
      <alignment horizontal="center" readingOrder="0"/>
    </xf>
    <xf borderId="28" fillId="5" fontId="3" numFmtId="3" xfId="0" applyAlignment="1" applyBorder="1" applyFill="1" applyFont="1" applyNumberFormat="1">
      <alignment horizontal="center" readingOrder="0"/>
    </xf>
    <xf borderId="26" fillId="5" fontId="3" numFmtId="4" xfId="0" applyAlignment="1" applyBorder="1" applyFill="1" applyFont="1" applyNumberFormat="1">
      <alignment horizontal="center" readingOrder="0"/>
    </xf>
    <xf borderId="46" fillId="5" fontId="3" numFmtId="3" xfId="0" applyAlignment="1" applyBorder="1" applyFill="1" applyFont="1" applyNumberFormat="1">
      <alignment horizontal="center" readingOrder="0"/>
    </xf>
    <xf borderId="14" fillId="2" fontId="32" numFmtId="0" xfId="0" applyAlignment="1" applyBorder="1" applyFill="1" applyFont="1">
      <alignment readingOrder="0" shrinkToFit="0" vertical="bottom" wrapText="1"/>
    </xf>
    <xf borderId="35" fillId="2" fontId="32" numFmtId="0" xfId="0" applyAlignment="1" applyBorder="1" applyFill="1" applyFont="1">
      <alignment readingOrder="0" shrinkToFit="0" vertical="bottom" wrapText="1"/>
    </xf>
    <xf borderId="1" fillId="2" fontId="33" numFmtId="0" xfId="0" applyAlignment="1" applyBorder="1" applyFill="1" applyFont="1">
      <alignment readingOrder="0" shrinkToFit="0" vertical="bottom" wrapText="1"/>
    </xf>
    <xf borderId="36" fillId="2" fontId="32" numFmtId="0" xfId="0" applyAlignment="1" applyBorder="1" applyFill="1" applyFont="1">
      <alignment readingOrder="0" shrinkToFit="0" vertical="bottom" wrapText="1"/>
    </xf>
    <xf borderId="2" fillId="2" fontId="32" numFmtId="0" xfId="0" applyAlignment="1" applyBorder="1" applyFill="1" applyFont="1">
      <alignment readingOrder="0" shrinkToFit="0" vertical="bottom" wrapText="1"/>
    </xf>
    <xf borderId="35" fillId="2" fontId="32" numFmtId="166" xfId="0" applyAlignment="1" applyBorder="1" applyFill="1" applyFont="1" applyNumberFormat="1">
      <alignment readingOrder="0" shrinkToFit="0" vertical="bottom" wrapText="1"/>
    </xf>
    <xf borderId="23" fillId="2" fontId="32" numFmtId="0" xfId="0" applyAlignment="1" applyBorder="1" applyFill="1" applyFont="1">
      <alignment readingOrder="0" shrinkToFit="0" wrapText="1"/>
    </xf>
    <xf borderId="1" fillId="2" fontId="32" numFmtId="0" xfId="0" applyAlignment="1" applyBorder="1" applyFill="1" applyFont="1">
      <alignment readingOrder="0" shrinkToFit="0" wrapText="1"/>
    </xf>
    <xf borderId="36" fillId="2" fontId="32" numFmtId="0" xfId="0" applyAlignment="1" applyBorder="1" applyFill="1" applyFont="1">
      <alignment readingOrder="0" shrinkToFit="0" wrapText="1"/>
    </xf>
    <xf borderId="37" fillId="2" fontId="32" numFmtId="166" xfId="0" applyAlignment="1" applyBorder="1" applyFill="1" applyFont="1" applyNumberFormat="1">
      <alignment readingOrder="0" shrinkToFit="0" wrapText="1"/>
    </xf>
    <xf borderId="18" fillId="10" fontId="2" numFmtId="0" xfId="0" applyAlignment="1" applyBorder="1" applyFill="1" applyFont="1">
      <alignment vertical="bottom"/>
    </xf>
    <xf borderId="0" fillId="10" fontId="7" numFmtId="3" xfId="0" applyAlignment="1" applyFill="1" applyFont="1" applyNumberFormat="1">
      <alignment horizontal="center"/>
    </xf>
    <xf borderId="39" fillId="10" fontId="7" numFmtId="0" xfId="0" applyAlignment="1" applyBorder="1" applyFill="1" applyFont="1">
      <alignment horizontal="center" readingOrder="0"/>
    </xf>
    <xf borderId="38" fillId="10" fontId="7" numFmtId="0" xfId="0" applyAlignment="1" applyBorder="1" applyFill="1" applyFont="1">
      <alignment horizontal="center" readingOrder="0"/>
    </xf>
    <xf borderId="40" fillId="10" fontId="7" numFmtId="0" xfId="0" applyAlignment="1" applyBorder="1" applyFill="1" applyFont="1">
      <alignment horizontal="center" readingOrder="0"/>
    </xf>
    <xf borderId="22" fillId="10" fontId="7" numFmtId="0" xfId="0" applyAlignment="1" applyBorder="1" applyFill="1" applyFont="1">
      <alignment horizontal="center" readingOrder="0"/>
    </xf>
    <xf borderId="24" fillId="10" fontId="7" numFmtId="0" xfId="0" applyAlignment="1" applyBorder="1" applyFill="1" applyFont="1">
      <alignment horizontal="center" readingOrder="0"/>
    </xf>
    <xf borderId="24" fillId="10" fontId="7" numFmtId="10" xfId="0" applyAlignment="1" applyBorder="1" applyFill="1" applyFont="1" applyNumberFormat="1">
      <alignment horizontal="center" readingOrder="0"/>
    </xf>
    <xf borderId="23" fillId="10" fontId="7" numFmtId="0" xfId="0" applyAlignment="1" applyBorder="1" applyFill="1" applyFont="1">
      <alignment horizontal="center" readingOrder="0"/>
    </xf>
    <xf borderId="38" fillId="10" fontId="7" numFmtId="10" xfId="0" applyAlignment="1" applyBorder="1" applyFill="1" applyFont="1" applyNumberFormat="1">
      <alignment horizontal="center" readingOrder="0"/>
    </xf>
    <xf borderId="38" fillId="10" fontId="7" numFmtId="167" xfId="0" applyAlignment="1" applyBorder="1" applyFill="1" applyFont="1" applyNumberFormat="1">
      <alignment horizontal="center" readingOrder="0"/>
    </xf>
    <xf borderId="40" fillId="10" fontId="7" numFmtId="3" xfId="0" applyAlignment="1" applyBorder="1" applyFill="1" applyFont="1" applyNumberFormat="1">
      <alignment horizontal="center"/>
    </xf>
    <xf borderId="47" fillId="10" fontId="7" numFmtId="0" xfId="0" applyAlignment="1" applyBorder="1" applyFill="1" applyFont="1">
      <alignment readingOrder="0"/>
    </xf>
    <xf borderId="18" fillId="2" fontId="2" numFmtId="0" xfId="0" applyAlignment="1" applyBorder="1" applyFill="1" applyFont="1">
      <alignment vertical="bottom"/>
    </xf>
    <xf borderId="39" fillId="2" fontId="7" numFmtId="0" xfId="0" applyAlignment="1" applyBorder="1" applyFill="1" applyFont="1">
      <alignment horizontal="center" readingOrder="0"/>
    </xf>
    <xf borderId="38" fillId="2" fontId="7" numFmtId="0" xfId="0" applyAlignment="1" applyBorder="1" applyFill="1" applyFont="1">
      <alignment horizontal="center" readingOrder="0"/>
    </xf>
    <xf borderId="40" fillId="2" fontId="7" numFmtId="0" xfId="0" applyAlignment="1" applyBorder="1" applyFill="1" applyFont="1">
      <alignment horizontal="center" readingOrder="0"/>
    </xf>
    <xf borderId="22" fillId="2" fontId="7" numFmtId="0" xfId="0" applyAlignment="1" applyBorder="1" applyFill="1" applyFont="1">
      <alignment horizontal="center" readingOrder="0"/>
    </xf>
    <xf borderId="24" fillId="2" fontId="7" numFmtId="0" xfId="0" applyAlignment="1" applyBorder="1" applyFill="1" applyFont="1">
      <alignment horizontal="center" readingOrder="0"/>
    </xf>
    <xf borderId="39" fillId="2" fontId="34" numFmtId="10" xfId="0" applyAlignment="1" applyBorder="1" applyFill="1" applyFont="1" applyNumberFormat="1">
      <alignment horizontal="center" readingOrder="0"/>
    </xf>
    <xf borderId="38" fillId="2" fontId="7" numFmtId="10" xfId="0" applyAlignment="1" applyBorder="1" applyFill="1" applyFont="1" applyNumberFormat="1">
      <alignment horizontal="center" readingOrder="0"/>
    </xf>
    <xf borderId="38" fillId="2" fontId="7" numFmtId="167" xfId="0" applyAlignment="1" applyBorder="1" applyFill="1" applyFont="1" applyNumberFormat="1">
      <alignment horizontal="center" readingOrder="0"/>
    </xf>
    <xf borderId="40" fillId="2" fontId="7" numFmtId="3" xfId="0" applyAlignment="1" applyBorder="1" applyFill="1" applyFont="1" applyNumberFormat="1">
      <alignment horizontal="center"/>
    </xf>
    <xf borderId="47" fillId="2" fontId="7" numFmtId="0" xfId="0" applyAlignment="1" applyBorder="1" applyFill="1" applyFont="1">
      <alignment readingOrder="0"/>
    </xf>
    <xf borderId="39" fillId="10" fontId="34" numFmtId="0" xfId="0" applyAlignment="1" applyBorder="1" applyFill="1" applyFont="1">
      <alignment horizontal="center" readingOrder="0"/>
    </xf>
    <xf borderId="0" fillId="3" fontId="1" numFmtId="0" xfId="0" applyAlignment="1" applyFill="1" applyFont="1">
      <alignment readingOrder="0"/>
    </xf>
    <xf borderId="0" fillId="3" fontId="1" numFmtId="0" xfId="0" applyFill="1" applyFont="1"/>
    <xf borderId="0" fillId="3" fontId="1" numFmtId="171" xfId="0" applyAlignment="1" applyFill="1" applyFont="1" applyNumberFormat="1">
      <alignment readingOrder="0"/>
    </xf>
    <xf borderId="0" fillId="0" fontId="30" numFmtId="0" xfId="0" applyAlignment="1" applyFont="1">
      <alignment vertical="bottom"/>
    </xf>
    <xf borderId="0" fillId="0" fontId="30" numFmtId="0" xfId="0" applyAlignment="1" applyFont="1">
      <alignment shrinkToFit="0" vertical="bottom" wrapText="0"/>
    </xf>
    <xf borderId="0" fillId="0" fontId="31" numFmtId="0" xfId="0" applyFont="1"/>
    <xf borderId="0" fillId="0" fontId="30" numFmtId="0" xfId="0" applyAlignment="1" applyFont="1">
      <alignment horizontal="right" vertical="bottom"/>
    </xf>
    <xf borderId="0" fillId="0" fontId="30" numFmtId="3" xfId="0" applyAlignment="1" applyFont="1" applyNumberFormat="1">
      <alignment horizontal="right" vertical="bottom"/>
    </xf>
    <xf borderId="0" fillId="0" fontId="30" numFmtId="0" xfId="0" applyFont="1"/>
    <xf borderId="39" fillId="2" fontId="34" numFmtId="0" xfId="0" applyAlignment="1" applyBorder="1" applyFill="1" applyFont="1">
      <alignment horizontal="center" readingOrder="0"/>
    </xf>
    <xf borderId="0" fillId="0" fontId="30" numFmtId="0" xfId="0" applyAlignment="1" applyFont="1">
      <alignment horizontal="right" vertical="bottom"/>
    </xf>
    <xf borderId="0" fillId="0" fontId="30" numFmtId="0" xfId="0" applyAlignment="1" applyFont="1">
      <alignment vertical="bottom"/>
    </xf>
    <xf borderId="0" fillId="0" fontId="30" numFmtId="0" xfId="0" applyFont="1"/>
    <xf borderId="0" fillId="0" fontId="30" numFmtId="0" xfId="0" applyAlignment="1" applyFont="1">
      <alignment shrinkToFit="0" vertical="bottom" wrapText="0"/>
    </xf>
    <xf borderId="0" fillId="0" fontId="30" numFmtId="3" xfId="0" applyAlignment="1" applyFont="1" applyNumberFormat="1">
      <alignment vertical="bottom"/>
    </xf>
    <xf borderId="0" fillId="0" fontId="30" numFmtId="10" xfId="0" applyAlignment="1" applyFont="1" applyNumberFormat="1">
      <alignment horizontal="right" vertical="bottom"/>
    </xf>
    <xf borderId="0" fillId="9" fontId="30" numFmtId="10" xfId="0" applyAlignment="1" applyFill="1" applyFont="1" applyNumberFormat="1">
      <alignment vertical="bottom"/>
    </xf>
    <xf borderId="0" fillId="0" fontId="35" numFmtId="0" xfId="0" applyAlignment="1" applyFont="1">
      <alignment readingOrder="0" shrinkToFit="0" vertical="bottom" wrapText="0"/>
    </xf>
    <xf borderId="48" fillId="3" fontId="4" numFmtId="0" xfId="0" applyAlignment="1" applyBorder="1" applyFill="1" applyFont="1">
      <alignment readingOrder="0"/>
    </xf>
    <xf borderId="49" fillId="3" fontId="4" numFmtId="0" xfId="0" applyBorder="1" applyFill="1" applyFont="1"/>
    <xf borderId="37" fillId="2" fontId="7" numFmtId="0" xfId="0" applyBorder="1" applyFill="1" applyFont="1"/>
    <xf borderId="49" fillId="3" fontId="4" numFmtId="0" xfId="0" applyAlignment="1" applyBorder="1" applyFill="1" applyFont="1">
      <alignment readingOrder="0"/>
    </xf>
    <xf borderId="49" fillId="3" fontId="4" numFmtId="0" xfId="0" applyAlignment="1" applyBorder="1" applyFill="1" applyFont="1">
      <alignment readingOrder="0" shrinkToFit="0" wrapText="1"/>
    </xf>
    <xf borderId="49" fillId="0" fontId="10" numFmtId="0" xfId="0" applyBorder="1" applyFont="1"/>
    <xf borderId="49" fillId="3" fontId="4" numFmtId="171" xfId="0" applyAlignment="1" applyBorder="1" applyFill="1" applyFont="1" applyNumberFormat="1">
      <alignment readingOrder="0"/>
    </xf>
    <xf borderId="50" fillId="3" fontId="4" numFmtId="0" xfId="0" applyBorder="1" applyFill="1" applyFont="1"/>
    <xf borderId="51" fillId="8" fontId="1" numFmtId="0" xfId="0" applyAlignment="1" applyBorder="1" applyFill="1" applyFont="1">
      <alignment readingOrder="0"/>
    </xf>
    <xf borderId="51" fillId="9" fontId="1" numFmtId="3" xfId="0" applyAlignment="1" applyBorder="1" applyFill="1" applyFont="1" applyNumberFormat="1">
      <alignment readingOrder="0"/>
    </xf>
    <xf borderId="0" fillId="0" fontId="1" numFmtId="3" xfId="0" applyAlignment="1" applyFont="1" applyNumberFormat="1">
      <alignment readingOrder="0"/>
    </xf>
    <xf borderId="51" fillId="9" fontId="1" numFmtId="0" xfId="0" applyAlignment="1" applyBorder="1" applyFill="1" applyFont="1">
      <alignment readingOrder="0"/>
    </xf>
    <xf borderId="45" fillId="5" fontId="3" numFmtId="0" xfId="0" applyAlignment="1" applyBorder="1" applyFill="1" applyFont="1">
      <alignment horizontal="center" readingOrder="0"/>
    </xf>
    <xf borderId="52" fillId="8" fontId="1" numFmtId="0" xfId="0" applyAlignment="1" applyBorder="1" applyFill="1" applyFont="1">
      <alignment readingOrder="0"/>
    </xf>
    <xf borderId="53" fillId="8" fontId="1" numFmtId="0" xfId="0" applyAlignment="1" applyBorder="1" applyFill="1" applyFont="1">
      <alignment readingOrder="0"/>
    </xf>
    <xf borderId="43" fillId="5" fontId="3" numFmtId="10" xfId="0" applyAlignment="1" applyBorder="1" applyFill="1" applyFont="1" applyNumberFormat="1">
      <alignment horizontal="center" readingOrder="0"/>
    </xf>
    <xf borderId="44" fillId="5" fontId="3" numFmtId="0" xfId="0" applyAlignment="1" applyBorder="1" applyFill="1" applyFont="1">
      <alignment horizontal="center" readingOrder="0"/>
    </xf>
    <xf borderId="52" fillId="8" fontId="4" numFmtId="0" xfId="0" applyBorder="1" applyFill="1" applyFont="1"/>
    <xf borderId="26" fillId="5" fontId="3" numFmtId="0" xfId="0" applyAlignment="1" applyBorder="1" applyFill="1" applyFont="1">
      <alignment horizontal="center" readingOrder="0"/>
    </xf>
    <xf borderId="52" fillId="8" fontId="1" numFmtId="0" xfId="0" applyBorder="1" applyFill="1" applyFont="1"/>
    <xf borderId="46" fillId="5" fontId="3" numFmtId="3" xfId="0" applyAlignment="1" applyBorder="1" applyFill="1" applyFont="1" applyNumberFormat="1">
      <alignment readingOrder="0"/>
    </xf>
    <xf borderId="4" fillId="0" fontId="7" numFmtId="172" xfId="0" applyAlignment="1" applyBorder="1" applyFont="1" applyNumberFormat="1">
      <alignment vertical="bottom"/>
    </xf>
    <xf borderId="3" fillId="8" fontId="1" numFmtId="0" xfId="0" applyAlignment="1" applyBorder="1" applyFill="1" applyFont="1">
      <alignment readingOrder="0"/>
    </xf>
    <xf borderId="33" fillId="8" fontId="1" numFmtId="0" xfId="0" applyAlignment="1" applyBorder="1" applyFill="1" applyFont="1">
      <alignment readingOrder="0"/>
    </xf>
    <xf borderId="3" fillId="8" fontId="4" numFmtId="0" xfId="0" applyBorder="1" applyFill="1" applyFont="1"/>
    <xf borderId="3" fillId="8" fontId="1" numFmtId="0" xfId="0" applyAlignment="1" applyBorder="1" applyFill="1" applyFont="1">
      <alignment readingOrder="0"/>
    </xf>
    <xf borderId="3" fillId="8" fontId="1" numFmtId="0" xfId="0" applyBorder="1" applyFill="1" applyFont="1"/>
    <xf borderId="1" fillId="8" fontId="1" numFmtId="0" xfId="0" applyAlignment="1" applyBorder="1" applyFill="1" applyFont="1">
      <alignment readingOrder="0"/>
    </xf>
    <xf borderId="14" fillId="8" fontId="1" numFmtId="0" xfId="0" applyAlignment="1" applyBorder="1" applyFill="1" applyFont="1">
      <alignment readingOrder="0"/>
    </xf>
    <xf borderId="1" fillId="8" fontId="1" numFmtId="0" xfId="0" applyBorder="1" applyFill="1" applyFont="1"/>
    <xf borderId="1" fillId="8" fontId="1" numFmtId="0" xfId="0" applyAlignment="1" applyBorder="1" applyFill="1" applyFont="1">
      <alignment readingOrder="0"/>
    </xf>
    <xf borderId="52" fillId="8" fontId="1" numFmtId="0" xfId="0" applyAlignment="1" applyBorder="1" applyFill="1" applyFont="1">
      <alignment readingOrder="0"/>
    </xf>
    <xf borderId="37" fillId="2" fontId="25" numFmtId="166" xfId="0" applyAlignment="1" applyBorder="1" applyFill="1" applyFont="1" applyNumberFormat="1">
      <alignment readingOrder="0" shrinkToFit="0" wrapText="1"/>
    </xf>
    <xf borderId="18" fillId="10" fontId="2" numFmtId="0" xfId="0" applyAlignment="1" applyBorder="1" applyFill="1" applyFont="1">
      <alignment readingOrder="0"/>
    </xf>
    <xf borderId="39" fillId="10" fontId="7" numFmtId="0" xfId="0" applyAlignment="1" applyBorder="1" applyFill="1" applyFont="1">
      <alignment horizontal="center"/>
    </xf>
    <xf borderId="51" fillId="8" fontId="4" numFmtId="0" xfId="0" applyAlignment="1" applyBorder="1" applyFill="1" applyFont="1">
      <alignment readingOrder="0"/>
    </xf>
    <xf borderId="47" fillId="10" fontId="7" numFmtId="0" xfId="0" applyAlignment="1" applyBorder="1" applyFill="1" applyFont="1">
      <alignment horizontal="center" readingOrder="0"/>
    </xf>
    <xf borderId="48" fillId="8" fontId="1" numFmtId="0" xfId="0" applyBorder="1" applyFill="1" applyFont="1"/>
    <xf borderId="54" fillId="8" fontId="4" numFmtId="3" xfId="0" applyBorder="1" applyFill="1" applyFont="1" applyNumberFormat="1"/>
    <xf borderId="54" fillId="8" fontId="1" numFmtId="0" xfId="0" applyBorder="1" applyFill="1" applyFont="1"/>
    <xf borderId="39" fillId="2" fontId="7" numFmtId="0" xfId="0" applyAlignment="1" applyBorder="1" applyFill="1" applyFont="1">
      <alignment horizontal="center"/>
    </xf>
    <xf borderId="47" fillId="2" fontId="7" numFmtId="0" xfId="0" applyAlignment="1" applyBorder="1" applyFill="1" applyFont="1">
      <alignment horizontal="center" readingOrder="0"/>
    </xf>
    <xf borderId="39" fillId="2" fontId="7" numFmtId="3" xfId="0" applyAlignment="1" applyBorder="1" applyFill="1" applyFont="1" applyNumberFormat="1">
      <alignment horizontal="center"/>
    </xf>
    <xf borderId="39" fillId="10" fontId="7" numFmtId="3" xfId="0" applyAlignment="1" applyBorder="1" applyFill="1" applyFont="1" applyNumberFormat="1">
      <alignment horizontal="center"/>
    </xf>
    <xf borderId="16" fillId="3" fontId="4" numFmtId="0" xfId="0" applyAlignment="1" applyBorder="1" applyFill="1" applyFont="1">
      <alignment readingOrder="0"/>
    </xf>
    <xf borderId="16" fillId="3" fontId="4" numFmtId="0" xfId="0" applyBorder="1" applyFill="1" applyFont="1"/>
    <xf borderId="16" fillId="3" fontId="4" numFmtId="171" xfId="0" applyAlignment="1" applyBorder="1" applyFill="1" applyFont="1" applyNumberFormat="1">
      <alignment readingOrder="0"/>
    </xf>
    <xf borderId="0" fillId="0" fontId="1" numFmtId="173" xfId="0" applyAlignment="1" applyFont="1" applyNumberFormat="1">
      <alignment readingOrder="0"/>
    </xf>
    <xf borderId="0" fillId="0" fontId="1" numFmtId="174" xfId="0" applyAlignment="1" applyFont="1" applyNumberFormat="1">
      <alignment readingOrder="0"/>
    </xf>
    <xf borderId="55" fillId="8" fontId="4" numFmtId="0" xfId="0" applyAlignment="1" applyBorder="1" applyFill="1" applyFont="1">
      <alignment readingOrder="0" shrinkToFit="0" wrapText="1"/>
    </xf>
    <xf borderId="2" fillId="0" fontId="4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56" fillId="8" fontId="4" numFmtId="0" xfId="0" applyAlignment="1" applyBorder="1" applyFill="1" applyFont="1">
      <alignment readingOrder="0"/>
    </xf>
    <xf borderId="0" fillId="9" fontId="1" numFmtId="3" xfId="0" applyAlignment="1" applyFill="1" applyFont="1" applyNumberFormat="1">
      <alignment readingOrder="0"/>
    </xf>
    <xf borderId="1" fillId="11" fontId="1" numFmtId="0" xfId="0" applyAlignment="1" applyBorder="1" applyFill="1" applyFont="1">
      <alignment readingOrder="0"/>
    </xf>
    <xf borderId="0" fillId="8" fontId="4" numFmtId="0" xfId="0" applyAlignment="1" applyFill="1" applyFont="1">
      <alignment readingOrder="0"/>
    </xf>
    <xf borderId="0" fillId="8" fontId="1" numFmtId="0" xfId="0" applyFill="1" applyFont="1"/>
    <xf borderId="0" fillId="5" fontId="1" numFmtId="0" xfId="0" applyFill="1" applyFont="1"/>
    <xf borderId="1" fillId="0" fontId="1" numFmtId="0" xfId="0" applyAlignment="1" applyBorder="1" applyFont="1">
      <alignment readingOrder="0"/>
    </xf>
    <xf borderId="0" fillId="5" fontId="1" numFmtId="0" xfId="0" applyAlignment="1" applyFill="1" applyFont="1">
      <alignment readingOrder="0"/>
    </xf>
    <xf borderId="0" fillId="5" fontId="1" numFmtId="3" xfId="0" applyAlignment="1" applyFill="1" applyFont="1" applyNumberFormat="1">
      <alignment readingOrder="0"/>
    </xf>
    <xf borderId="0" fillId="9" fontId="1" numFmtId="0" xfId="0" applyAlignment="1" applyFill="1" applyFont="1">
      <alignment readingOrder="0"/>
    </xf>
    <xf borderId="0" fillId="8" fontId="1" numFmtId="0" xfId="0" applyAlignment="1" applyFill="1" applyFont="1">
      <alignment readingOrder="0"/>
    </xf>
    <xf borderId="0" fillId="8" fontId="4" numFmtId="0" xfId="0" applyFill="1" applyFont="1"/>
    <xf borderId="57" fillId="8" fontId="4" numFmtId="0" xfId="0" applyBorder="1" applyFill="1" applyFont="1"/>
    <xf borderId="1" fillId="9" fontId="1" numFmtId="0" xfId="0" applyBorder="1" applyFill="1" applyFont="1"/>
    <xf borderId="44" fillId="5" fontId="3" numFmtId="3" xfId="0" applyAlignment="1" applyBorder="1" applyFill="1" applyFont="1" applyNumberFormat="1">
      <alignment horizontal="center" readingOrder="0"/>
    </xf>
    <xf borderId="28" fillId="5" fontId="3" numFmtId="0" xfId="0" applyAlignment="1" applyBorder="1" applyFill="1" applyFont="1">
      <alignment horizontal="center" readingOrder="0"/>
    </xf>
    <xf borderId="46" fillId="5" fontId="3" numFmtId="0" xfId="0" applyAlignment="1" applyBorder="1" applyFill="1" applyFont="1">
      <alignment readingOrder="0"/>
    </xf>
    <xf borderId="57" fillId="8" fontId="4" numFmtId="3" xfId="0" applyBorder="1" applyFill="1" applyFont="1" applyNumberFormat="1"/>
    <xf borderId="0" fillId="4" fontId="1" numFmtId="3" xfId="0" applyAlignment="1" applyFill="1" applyFont="1" applyNumberFormat="1">
      <alignment readingOrder="0"/>
    </xf>
    <xf borderId="0" fillId="8" fontId="1" numFmtId="3" xfId="0" applyAlignment="1" applyFill="1" applyFont="1" applyNumberFormat="1">
      <alignment readingOrder="0"/>
    </xf>
    <xf borderId="58" fillId="8" fontId="4" numFmtId="0" xfId="0" applyAlignment="1" applyBorder="1" applyFill="1" applyFont="1">
      <alignment readingOrder="0"/>
    </xf>
    <xf borderId="0" fillId="2" fontId="4" numFmtId="0" xfId="0" applyAlignment="1" applyFill="1" applyFont="1">
      <alignment readingOrder="0"/>
    </xf>
    <xf borderId="0" fillId="2" fontId="1" numFmtId="0" xfId="0" applyFill="1" applyFont="1"/>
    <xf borderId="14" fillId="3" fontId="4" numFmtId="0" xfId="0" applyAlignment="1" applyBorder="1" applyFill="1" applyFont="1">
      <alignment readingOrder="0"/>
    </xf>
    <xf borderId="9" fillId="3" fontId="4" numFmtId="0" xfId="0" applyBorder="1" applyFill="1" applyFont="1"/>
    <xf borderId="9" fillId="3" fontId="4" numFmtId="0" xfId="0" applyAlignment="1" applyBorder="1" applyFill="1" applyFont="1">
      <alignment readingOrder="0"/>
    </xf>
    <xf borderId="9" fillId="3" fontId="3" numFmtId="0" xfId="0" applyAlignment="1" applyBorder="1" applyFill="1" applyFont="1">
      <alignment vertical="bottom"/>
    </xf>
    <xf borderId="16" fillId="3" fontId="3" numFmtId="171" xfId="0" applyAlignment="1" applyBorder="1" applyFill="1" applyFont="1" applyNumberFormat="1">
      <alignment horizontal="right" readingOrder="0" vertical="bottom"/>
    </xf>
    <xf borderId="2" fillId="3" fontId="4" numFmtId="0" xfId="0" applyBorder="1" applyFill="1" applyFont="1"/>
    <xf borderId="14" fillId="4" fontId="4" numFmtId="0" xfId="0" applyAlignment="1" applyBorder="1" applyFill="1" applyFont="1">
      <alignment readingOrder="0"/>
    </xf>
    <xf borderId="2" fillId="4" fontId="4" numFmtId="0" xfId="0" applyBorder="1" applyFill="1" applyFont="1"/>
    <xf borderId="38" fillId="10" fontId="7" numFmtId="166" xfId="0" applyAlignment="1" applyBorder="1" applyFill="1" applyFont="1" applyNumberFormat="1">
      <alignment horizontal="center" readingOrder="0"/>
    </xf>
    <xf borderId="38" fillId="10" fontId="7" numFmtId="4" xfId="0" applyAlignment="1" applyBorder="1" applyFill="1" applyFont="1" applyNumberFormat="1">
      <alignment horizontal="center" readingOrder="0"/>
    </xf>
    <xf borderId="14" fillId="4" fontId="4" numFmtId="0" xfId="0" applyAlignment="1" applyBorder="1" applyFill="1" applyFont="1">
      <alignment readingOrder="0"/>
    </xf>
    <xf borderId="9" fillId="4" fontId="4" numFmtId="0" xfId="0" applyBorder="1" applyFill="1" applyFont="1"/>
    <xf borderId="1" fillId="9" fontId="35" numFmtId="3" xfId="0" applyAlignment="1" applyBorder="1" applyFill="1" applyFont="1" applyNumberFormat="1">
      <alignment horizontal="right" readingOrder="0" shrinkToFit="0" vertical="bottom" wrapText="0"/>
    </xf>
    <xf borderId="0" fillId="2" fontId="1" numFmtId="3" xfId="0" applyAlignment="1" applyFill="1" applyFont="1" applyNumberFormat="1">
      <alignment readingOrder="0"/>
    </xf>
    <xf borderId="38" fillId="10" fontId="7" numFmtId="3" xfId="0" applyAlignment="1" applyBorder="1" applyFill="1" applyFont="1" applyNumberFormat="1">
      <alignment horizontal="center" readingOrder="0"/>
    </xf>
    <xf borderId="24" fillId="10" fontId="7" numFmtId="4" xfId="0" applyAlignment="1" applyBorder="1" applyFill="1" applyFont="1" applyNumberFormat="1">
      <alignment horizontal="center" readingOrder="0"/>
    </xf>
    <xf borderId="39" fillId="10" fontId="34" numFmtId="4" xfId="0" applyAlignment="1" applyBorder="1" applyFill="1" applyFont="1" applyNumberFormat="1">
      <alignment horizontal="center" readingOrder="0"/>
    </xf>
    <xf borderId="40" fillId="10" fontId="7" numFmtId="3" xfId="0" applyAlignment="1" applyBorder="1" applyFill="1" applyFont="1" applyNumberFormat="1">
      <alignment horizontal="center"/>
    </xf>
    <xf borderId="23" fillId="10" fontId="7" numFmtId="4" xfId="0" applyAlignment="1" applyBorder="1" applyFill="1" applyFont="1" applyNumberFormat="1">
      <alignment horizontal="center" readingOrder="0"/>
    </xf>
    <xf borderId="47" fillId="10" fontId="7" numFmtId="4" xfId="0" applyAlignment="1" applyBorder="1" applyFill="1" applyFont="1" applyNumberFormat="1">
      <alignment horizontal="center" readingOrder="0"/>
    </xf>
    <xf borderId="38" fillId="2" fontId="7" numFmtId="166" xfId="0" applyAlignment="1" applyBorder="1" applyFill="1" applyFont="1" applyNumberFormat="1">
      <alignment horizontal="center" readingOrder="0"/>
    </xf>
    <xf borderId="38" fillId="2" fontId="7" numFmtId="4" xfId="0" applyAlignment="1" applyBorder="1" applyFill="1" applyFont="1" applyNumberFormat="1">
      <alignment horizontal="center" readingOrder="0"/>
    </xf>
    <xf borderId="0" fillId="2" fontId="1" numFmtId="0" xfId="0" applyAlignment="1" applyFill="1" applyFont="1">
      <alignment readingOrder="0"/>
    </xf>
    <xf borderId="38" fillId="2" fontId="7" numFmtId="3" xfId="0" applyAlignment="1" applyBorder="1" applyFill="1" applyFont="1" applyNumberFormat="1">
      <alignment horizontal="center" readingOrder="0"/>
    </xf>
    <xf borderId="24" fillId="2" fontId="7" numFmtId="4" xfId="0" applyAlignment="1" applyBorder="1" applyFill="1" applyFont="1" applyNumberFormat="1">
      <alignment horizontal="center" readingOrder="0"/>
    </xf>
    <xf borderId="39" fillId="2" fontId="34" numFmtId="4" xfId="0" applyAlignment="1" applyBorder="1" applyFill="1" applyFont="1" applyNumberFormat="1">
      <alignment horizontal="center" readingOrder="0"/>
    </xf>
    <xf borderId="40" fillId="2" fontId="7" numFmtId="3" xfId="0" applyAlignment="1" applyBorder="1" applyFill="1" applyFont="1" applyNumberFormat="1">
      <alignment horizontal="center"/>
    </xf>
    <xf borderId="22" fillId="2" fontId="7" numFmtId="4" xfId="0" applyAlignment="1" applyBorder="1" applyFill="1" applyFont="1" applyNumberFormat="1">
      <alignment horizontal="center" readingOrder="0"/>
    </xf>
    <xf borderId="47" fillId="2" fontId="7" numFmtId="4" xfId="0" applyAlignment="1" applyBorder="1" applyFill="1" applyFont="1" applyNumberFormat="1">
      <alignment horizontal="center" readingOrder="0"/>
    </xf>
    <xf borderId="22" fillId="10" fontId="7" numFmtId="4" xfId="0" applyAlignment="1" applyBorder="1" applyFill="1" applyFont="1" applyNumberFormat="1">
      <alignment horizontal="center" readingOrder="0"/>
    </xf>
    <xf borderId="48" fillId="3" fontId="27" numFmtId="0" xfId="0" applyAlignment="1" applyBorder="1" applyFill="1" applyFont="1">
      <alignment readingOrder="0"/>
    </xf>
    <xf borderId="49" fillId="3" fontId="27" numFmtId="0" xfId="0" applyBorder="1" applyFill="1" applyFont="1"/>
    <xf borderId="49" fillId="3" fontId="27" numFmtId="0" xfId="0" applyAlignment="1" applyBorder="1" applyFill="1" applyFont="1">
      <alignment readingOrder="0"/>
    </xf>
    <xf borderId="49" fillId="3" fontId="27" numFmtId="171" xfId="0" applyAlignment="1" applyBorder="1" applyFill="1" applyFont="1" applyNumberFormat="1">
      <alignment readingOrder="0"/>
    </xf>
    <xf borderId="50" fillId="3" fontId="27" numFmtId="0" xfId="0" applyBorder="1" applyFill="1" applyFont="1"/>
    <xf borderId="59" fillId="5" fontId="36" numFmtId="0" xfId="0" applyAlignment="1" applyBorder="1" applyFill="1" applyFont="1">
      <alignment horizontal="center" readingOrder="0" shrinkToFit="0" wrapText="1"/>
    </xf>
    <xf borderId="60" fillId="5" fontId="36" numFmtId="0" xfId="0" applyAlignment="1" applyBorder="1" applyFill="1" applyFont="1">
      <alignment horizontal="center" readingOrder="0" shrinkToFit="0" wrapText="1"/>
    </xf>
    <xf borderId="61" fillId="5" fontId="36" numFmtId="0" xfId="0" applyAlignment="1" applyBorder="1" applyFill="1" applyFont="1">
      <alignment horizontal="center" readingOrder="0" shrinkToFit="0" wrapText="1"/>
    </xf>
    <xf borderId="1" fillId="5" fontId="4" numFmtId="0" xfId="0" applyAlignment="1" applyBorder="1" applyFill="1" applyFont="1">
      <alignment readingOrder="0" shrinkToFit="0" wrapText="1"/>
    </xf>
    <xf borderId="62" fillId="5" fontId="4" numFmtId="0" xfId="0" applyAlignment="1" applyBorder="1" applyFill="1" applyFont="1">
      <alignment horizontal="left" readingOrder="0" vertical="top"/>
    </xf>
    <xf borderId="1" fillId="9" fontId="1" numFmtId="0" xfId="0" applyAlignment="1" applyBorder="1" applyFill="1" applyFont="1">
      <alignment readingOrder="0" vertical="top"/>
    </xf>
    <xf borderId="14" fillId="9" fontId="1" numFmtId="0" xfId="0" applyAlignment="1" applyBorder="1" applyFill="1" applyFont="1">
      <alignment readingOrder="0" vertical="top"/>
    </xf>
    <xf borderId="1" fillId="9" fontId="4" numFmtId="0" xfId="0" applyAlignment="1" applyBorder="1" applyFill="1" applyFont="1">
      <alignment horizontal="right" readingOrder="0" vertical="top"/>
    </xf>
    <xf borderId="1" fillId="9" fontId="4" numFmtId="0" xfId="0" applyAlignment="1" applyBorder="1" applyFill="1" applyFont="1">
      <alignment readingOrder="0" vertical="top"/>
    </xf>
    <xf borderId="35" fillId="5" fontId="4" numFmtId="0" xfId="0" applyAlignment="1" applyBorder="1" applyFill="1" applyFont="1">
      <alignment horizontal="left" readingOrder="0" vertical="top"/>
    </xf>
    <xf borderId="1" fillId="9" fontId="1" numFmtId="0" xfId="0" applyAlignment="1" applyBorder="1" applyFill="1" applyFont="1">
      <alignment horizontal="right" readingOrder="0" vertical="top"/>
    </xf>
    <xf borderId="14" fillId="9" fontId="1" numFmtId="0" xfId="0" applyAlignment="1" applyBorder="1" applyFill="1" applyFont="1">
      <alignment horizontal="right" readingOrder="0" vertical="top"/>
    </xf>
    <xf borderId="14" fillId="9" fontId="4" numFmtId="0" xfId="0" applyAlignment="1" applyBorder="1" applyFill="1" applyFont="1">
      <alignment horizontal="right" readingOrder="0" vertical="top"/>
    </xf>
    <xf borderId="1" fillId="9" fontId="1" numFmtId="3" xfId="0" applyAlignment="1" applyBorder="1" applyFill="1" applyFont="1" applyNumberFormat="1">
      <alignment horizontal="right" readingOrder="0" vertical="top"/>
    </xf>
    <xf borderId="14" fillId="9" fontId="1" numFmtId="3" xfId="0" applyAlignment="1" applyBorder="1" applyFill="1" applyFont="1" applyNumberFormat="1">
      <alignment horizontal="right" readingOrder="0" vertical="top"/>
    </xf>
    <xf borderId="0" fillId="0" fontId="1" numFmtId="3" xfId="0" applyFont="1" applyNumberFormat="1"/>
    <xf borderId="0" fillId="0" fontId="1" numFmtId="0" xfId="0" applyAlignment="1" applyFont="1">
      <alignment horizontal="right" readingOrder="0" vertical="top"/>
    </xf>
    <xf borderId="48" fillId="8" fontId="4" numFmtId="0" xfId="0" applyBorder="1" applyFill="1" applyFont="1"/>
    <xf borderId="0" fillId="0" fontId="4" numFmtId="0" xfId="0" applyAlignment="1" applyFont="1">
      <alignment horizontal="left" readingOrder="0" vertical="top"/>
    </xf>
    <xf borderId="36" fillId="2" fontId="25" numFmtId="3" xfId="0" applyAlignment="1" applyBorder="1" applyFill="1" applyFont="1" applyNumberFormat="1">
      <alignment readingOrder="0" shrinkToFit="0" wrapText="1"/>
    </xf>
    <xf borderId="22" fillId="10" fontId="7" numFmtId="169" xfId="0" applyAlignment="1" applyBorder="1" applyFill="1" applyFont="1" applyNumberFormat="1">
      <alignment horizontal="center" readingOrder="0"/>
    </xf>
    <xf borderId="0" fillId="10" fontId="37" numFmtId="170" xfId="0" applyAlignment="1" applyFill="1" applyFont="1" applyNumberFormat="1">
      <alignment horizontal="right" vertical="bottom"/>
    </xf>
    <xf borderId="40" fillId="10" fontId="7" numFmtId="169" xfId="0" applyAlignment="1" applyBorder="1" applyFill="1" applyFont="1" applyNumberFormat="1">
      <alignment horizontal="center" readingOrder="0"/>
    </xf>
    <xf borderId="22" fillId="2" fontId="7" numFmtId="169" xfId="0" applyAlignment="1" applyBorder="1" applyFill="1" applyFont="1" applyNumberFormat="1">
      <alignment horizontal="center" readingOrder="0"/>
    </xf>
    <xf borderId="0" fillId="2" fontId="37" numFmtId="0" xfId="0" applyAlignment="1" applyFill="1" applyFont="1">
      <alignment vertical="bottom"/>
    </xf>
    <xf borderId="40" fillId="2" fontId="7" numFmtId="169" xfId="0" applyAlignment="1" applyBorder="1" applyFill="1" applyFont="1" applyNumberFormat="1">
      <alignment horizontal="center" readingOrder="0"/>
    </xf>
    <xf borderId="0" fillId="10" fontId="37" numFmtId="0" xfId="0" applyAlignment="1" applyFill="1" applyFont="1">
      <alignment vertical="bottom"/>
    </xf>
    <xf borderId="0" fillId="2" fontId="37" numFmtId="170" xfId="0" applyAlignment="1" applyFill="1" applyFont="1" applyNumberFormat="1">
      <alignment horizontal="right" vertical="bottom"/>
    </xf>
    <xf borderId="40" fillId="10" fontId="7" numFmtId="3" xfId="0" applyAlignment="1" applyBorder="1" applyFill="1" applyFont="1" applyNumberFormat="1">
      <alignment horizontal="center" readingOrder="0"/>
    </xf>
    <xf borderId="40" fillId="0" fontId="7" numFmtId="3" xfId="0" applyAlignment="1" applyBorder="1" applyFont="1" applyNumberFormat="1">
      <alignment horizontal="center"/>
    </xf>
    <xf borderId="28" fillId="5" fontId="3" numFmtId="3" xfId="0" applyAlignment="1" applyBorder="1" applyFill="1" applyFont="1" applyNumberFormat="1">
      <alignment horizontal="center" readingOrder="0"/>
    </xf>
    <xf borderId="49" fillId="3" fontId="27" numFmtId="175" xfId="0" applyAlignment="1" applyBorder="1" applyFill="1" applyFont="1" applyNumberFormat="1">
      <alignment readingOrder="0"/>
    </xf>
    <xf borderId="48" fillId="0" fontId="4" numFmtId="0" xfId="0" applyAlignment="1" applyBorder="1" applyFont="1">
      <alignment readingOrder="0"/>
    </xf>
    <xf borderId="0" fillId="0" fontId="38" numFmtId="3" xfId="0" applyAlignment="1" applyFont="1" applyNumberFormat="1">
      <alignment horizontal="right" readingOrder="0" shrinkToFit="0" vertical="bottom" wrapText="0"/>
    </xf>
    <xf borderId="49" fillId="8" fontId="3" numFmtId="0" xfId="0" applyAlignment="1" applyBorder="1" applyFill="1" applyFont="1">
      <alignment readingOrder="0" vertical="bottom"/>
    </xf>
    <xf borderId="51" fillId="8" fontId="4" numFmtId="0" xfId="0" applyAlignment="1" applyBorder="1" applyFill="1" applyFont="1">
      <alignment readingOrder="0" shrinkToFit="0" wrapText="1"/>
    </xf>
    <xf borderId="51" fillId="8" fontId="4" numFmtId="0" xfId="0" applyAlignment="1" applyBorder="1" applyFill="1" applyFont="1">
      <alignment readingOrder="0" shrinkToFit="0" wrapText="1"/>
    </xf>
    <xf borderId="4" fillId="9" fontId="39" numFmtId="3" xfId="0" applyAlignment="1" applyBorder="1" applyFill="1" applyFont="1" applyNumberFormat="1">
      <alignment horizontal="right" readingOrder="0" shrinkToFit="0" vertical="bottom" wrapText="0"/>
    </xf>
    <xf borderId="3" fillId="8" fontId="1" numFmtId="3" xfId="0" applyBorder="1" applyFill="1" applyFont="1" applyNumberFormat="1"/>
    <xf borderId="58" fillId="8" fontId="4" numFmtId="0" xfId="0" applyAlignment="1" applyBorder="1" applyFill="1" applyFont="1">
      <alignment readingOrder="0" shrinkToFit="0" wrapText="1"/>
    </xf>
    <xf borderId="4" fillId="9" fontId="1" numFmtId="3" xfId="0" applyAlignment="1" applyBorder="1" applyFill="1" applyFont="1" applyNumberFormat="1">
      <alignment readingOrder="0" shrinkToFit="0" wrapText="1"/>
    </xf>
    <xf borderId="3" fillId="9" fontId="1" numFmtId="0" xfId="0" applyAlignment="1" applyBorder="1" applyFill="1" applyFont="1">
      <alignment readingOrder="0"/>
    </xf>
    <xf borderId="4" fillId="9" fontId="1" numFmtId="0" xfId="0" applyAlignment="1" applyBorder="1" applyFill="1" applyFont="1">
      <alignment readingOrder="0"/>
    </xf>
    <xf borderId="51" fillId="8" fontId="4" numFmtId="0" xfId="0" applyBorder="1" applyFill="1" applyFont="1"/>
    <xf borderId="2" fillId="9" fontId="1" numFmtId="3" xfId="0" applyAlignment="1" applyBorder="1" applyFill="1" applyFont="1" applyNumberFormat="1">
      <alignment readingOrder="0"/>
    </xf>
    <xf borderId="2" fillId="9" fontId="1" numFmtId="3" xfId="0" applyAlignment="1" applyBorder="1" applyFill="1" applyFont="1" applyNumberFormat="1">
      <alignment readingOrder="0" shrinkToFit="0" wrapText="1"/>
    </xf>
    <xf borderId="2" fillId="9" fontId="1" numFmtId="0" xfId="0" applyAlignment="1" applyBorder="1" applyFill="1" applyFont="1">
      <alignment readingOrder="0"/>
    </xf>
    <xf borderId="2" fillId="9" fontId="1" numFmtId="0" xfId="0" applyAlignment="1" applyBorder="1" applyFill="1" applyFont="1">
      <alignment readingOrder="0" shrinkToFit="0" wrapText="1"/>
    </xf>
    <xf borderId="1" fillId="8" fontId="1" numFmtId="3" xfId="0" applyBorder="1" applyFill="1" applyFont="1" applyNumberFormat="1"/>
    <xf borderId="4" fillId="9" fontId="1" numFmtId="3" xfId="0" applyAlignment="1" applyBorder="1" applyFill="1" applyFont="1" applyNumberFormat="1">
      <alignment readingOrder="0"/>
    </xf>
    <xf borderId="51" fillId="8" fontId="4" numFmtId="0" xfId="0" applyBorder="1" applyFill="1" applyFont="1"/>
    <xf borderId="55" fillId="8" fontId="4" numFmtId="0" xfId="0" applyAlignment="1" applyBorder="1" applyFill="1" applyFont="1">
      <alignment readingOrder="0"/>
    </xf>
    <xf borderId="63" fillId="8" fontId="4" numFmtId="0" xfId="0" applyAlignment="1" applyBorder="1" applyFill="1" applyFont="1">
      <alignment readingOrder="0" shrinkToFit="0" wrapText="1"/>
    </xf>
    <xf borderId="48" fillId="8" fontId="4" numFmtId="0" xfId="0" applyAlignment="1" applyBorder="1" applyFill="1" applyFont="1">
      <alignment readingOrder="0" shrinkToFit="0" wrapText="1"/>
    </xf>
    <xf borderId="18" fillId="2" fontId="6" numFmtId="0" xfId="0" applyBorder="1" applyFill="1" applyFont="1"/>
    <xf borderId="0" fillId="2" fontId="7" numFmtId="0" xfId="0" applyAlignment="1" applyFill="1" applyFont="1">
      <alignment horizontal="center"/>
    </xf>
    <xf borderId="38" fillId="2" fontId="7" numFmtId="0" xfId="0" applyAlignment="1" applyBorder="1" applyFill="1" applyFont="1">
      <alignment horizontal="center"/>
    </xf>
    <xf borderId="40" fillId="2" fontId="7" numFmtId="0" xfId="0" applyAlignment="1" applyBorder="1" applyFill="1" applyFont="1">
      <alignment horizontal="center"/>
    </xf>
    <xf borderId="22" fillId="2" fontId="7" numFmtId="0" xfId="0" applyAlignment="1" applyBorder="1" applyFill="1" applyFont="1">
      <alignment horizontal="center"/>
    </xf>
    <xf borderId="24" fillId="2" fontId="7" numFmtId="0" xfId="0" applyAlignment="1" applyBorder="1" applyFill="1" applyFont="1">
      <alignment horizontal="center"/>
    </xf>
    <xf borderId="22" fillId="2" fontId="7" numFmtId="4" xfId="0" applyAlignment="1" applyBorder="1" applyFill="1" applyFont="1" applyNumberFormat="1">
      <alignment horizontal="center"/>
    </xf>
    <xf borderId="38" fillId="2" fontId="7" numFmtId="4" xfId="0" applyAlignment="1" applyBorder="1" applyFill="1" applyFont="1" applyNumberFormat="1">
      <alignment horizontal="center"/>
    </xf>
    <xf borderId="26" fillId="5" fontId="3" numFmtId="3" xfId="0" applyAlignment="1" applyBorder="1" applyFill="1" applyFont="1" applyNumberFormat="1">
      <alignment horizontal="center"/>
    </xf>
    <xf borderId="45" fillId="5" fontId="3" numFmtId="4" xfId="0" applyAlignment="1" applyBorder="1" applyFill="1" applyFont="1" applyNumberFormat="1">
      <alignment horizontal="center" readingOrder="0"/>
    </xf>
    <xf borderId="43" fillId="5" fontId="3" numFmtId="4" xfId="0" applyAlignment="1" applyBorder="1" applyFill="1" applyFont="1" applyNumberFormat="1">
      <alignment horizontal="center" readingOrder="0"/>
    </xf>
    <xf borderId="28" fillId="5" fontId="3" numFmtId="4" xfId="0" applyAlignment="1" applyBorder="1" applyFill="1" applyFont="1" applyNumberFormat="1">
      <alignment horizontal="center" readingOrder="0"/>
    </xf>
    <xf borderId="46" fillId="5" fontId="3" numFmtId="4" xfId="0" applyAlignment="1" applyBorder="1" applyFill="1" applyFont="1" applyNumberFormat="1">
      <alignment horizontal="center" readingOrder="0"/>
    </xf>
    <xf borderId="48" fillId="8" fontId="4" numFmtId="0" xfId="0" applyAlignment="1" applyBorder="1" applyFill="1" applyFont="1">
      <alignment readingOrder="0"/>
    </xf>
    <xf borderId="24" fillId="0" fontId="4" numFmtId="0" xfId="0" applyAlignment="1" applyBorder="1" applyFont="1">
      <alignment readingOrder="0"/>
    </xf>
    <xf borderId="33" fillId="9" fontId="1" numFmtId="0" xfId="0" applyAlignment="1" applyBorder="1" applyFill="1" applyFont="1">
      <alignment readingOrder="0"/>
    </xf>
    <xf borderId="24" fillId="0" fontId="1" numFmtId="0" xfId="0" applyAlignment="1" applyBorder="1" applyFont="1">
      <alignment readingOrder="0"/>
    </xf>
    <xf borderId="14" fillId="9" fontId="1" numFmtId="0" xfId="0" applyAlignment="1" applyBorder="1" applyFill="1" applyFont="1">
      <alignment readingOrder="0"/>
    </xf>
    <xf borderId="0" fillId="2" fontId="1" numFmtId="174" xfId="0" applyAlignment="1" applyFill="1" applyFont="1" applyNumberFormat="1">
      <alignment readingOrder="0"/>
    </xf>
    <xf borderId="0" fillId="3" fontId="1" numFmtId="174" xfId="0" applyAlignment="1" applyFill="1" applyFont="1" applyNumberFormat="1">
      <alignment readingOrder="0"/>
    </xf>
    <xf borderId="0" fillId="9" fontId="1" numFmtId="0" xfId="0" applyFill="1" applyFont="1"/>
    <xf borderId="24" fillId="10" fontId="7" numFmtId="167" xfId="0" applyAlignment="1" applyBorder="1" applyFill="1" applyFont="1" applyNumberFormat="1">
      <alignment horizontal="center" readingOrder="0"/>
    </xf>
    <xf borderId="39" fillId="10" fontId="34" numFmtId="9" xfId="0" applyAlignment="1" applyBorder="1" applyFill="1" applyFont="1" applyNumberFormat="1">
      <alignment horizontal="center" readingOrder="0"/>
    </xf>
    <xf borderId="23" fillId="10" fontId="7" numFmtId="167" xfId="0" applyAlignment="1" applyBorder="1" applyFill="1" applyFont="1" applyNumberFormat="1">
      <alignment horizontal="center" readingOrder="0"/>
    </xf>
    <xf borderId="0" fillId="0" fontId="40" numFmtId="0" xfId="0" applyAlignment="1" applyFont="1">
      <alignment vertical="bottom"/>
    </xf>
    <xf borderId="0" fillId="0" fontId="34" numFmtId="0" xfId="0" applyAlignment="1" applyFont="1">
      <alignment vertical="bottom"/>
    </xf>
    <xf borderId="0" fillId="0" fontId="41" numFmtId="0" xfId="0" applyAlignment="1" applyFont="1">
      <alignment readingOrder="0" vertical="bottom"/>
    </xf>
    <xf borderId="0" fillId="0" fontId="42" numFmtId="0" xfId="0" applyAlignment="1" applyFont="1">
      <alignment readingOrder="0" shrinkToFit="0" vertical="bottom" wrapText="0"/>
    </xf>
    <xf borderId="0" fillId="0" fontId="7" numFmtId="0" xfId="0" applyAlignment="1" applyFont="1">
      <alignment vertical="bottom"/>
    </xf>
    <xf borderId="0" fillId="0" fontId="7" numFmtId="0" xfId="0" applyAlignment="1" applyFont="1">
      <alignment shrinkToFit="0" vertical="bottom" wrapText="0"/>
    </xf>
    <xf borderId="0" fillId="9" fontId="4" numFmtId="0" xfId="0" applyAlignment="1" applyFill="1" applyFont="1">
      <alignment readingOrder="0"/>
    </xf>
    <xf borderId="0" fillId="9" fontId="4" numFmtId="0" xfId="0" applyFill="1" applyFont="1"/>
    <xf borderId="49" fillId="3" fontId="32" numFmtId="0" xfId="0" applyAlignment="1" applyBorder="1" applyFill="1" applyFont="1">
      <alignment vertical="bottom"/>
    </xf>
    <xf borderId="49" fillId="3" fontId="7" numFmtId="0" xfId="0" applyAlignment="1" applyBorder="1" applyFill="1" applyFont="1">
      <alignment vertical="bottom"/>
    </xf>
    <xf borderId="24" fillId="2" fontId="7" numFmtId="167" xfId="0" applyAlignment="1" applyBorder="1" applyFill="1" applyFont="1" applyNumberFormat="1">
      <alignment horizontal="center" readingOrder="0"/>
    </xf>
    <xf borderId="49" fillId="3" fontId="32" numFmtId="0" xfId="0" applyAlignment="1" applyBorder="1" applyFill="1" applyFont="1">
      <alignment vertical="bottom"/>
    </xf>
    <xf borderId="49" fillId="3" fontId="32" numFmtId="175" xfId="0" applyAlignment="1" applyBorder="1" applyFill="1" applyFont="1" applyNumberFormat="1">
      <alignment horizontal="right" vertical="bottom"/>
    </xf>
    <xf borderId="49" fillId="3" fontId="32" numFmtId="171" xfId="0" applyAlignment="1" applyBorder="1" applyFill="1" applyFont="1" applyNumberFormat="1">
      <alignment horizontal="right" vertical="bottom"/>
    </xf>
    <xf borderId="50" fillId="3" fontId="7" numFmtId="0" xfId="0" applyAlignment="1" applyBorder="1" applyFill="1" applyFont="1">
      <alignment vertical="bottom"/>
    </xf>
    <xf borderId="0" fillId="3" fontId="7" numFmtId="0" xfId="0" applyAlignment="1" applyFill="1" applyFont="1">
      <alignment vertical="bottom"/>
    </xf>
    <xf borderId="64" fillId="12" fontId="43" numFmtId="0" xfId="0" applyAlignment="1" applyBorder="1" applyFill="1" applyFont="1">
      <alignment vertical="bottom"/>
    </xf>
    <xf borderId="39" fillId="2" fontId="34" numFmtId="9" xfId="0" applyAlignment="1" applyBorder="1" applyFill="1" applyFont="1" applyNumberFormat="1">
      <alignment horizontal="center" readingOrder="0"/>
    </xf>
    <xf borderId="65" fillId="0" fontId="31" numFmtId="169" xfId="0" applyAlignment="1" applyBorder="1" applyFont="1" applyNumberFormat="1">
      <alignment horizontal="right" vertical="bottom"/>
    </xf>
    <xf borderId="0" fillId="0" fontId="40" numFmtId="0" xfId="0" applyAlignment="1" applyFont="1">
      <alignment shrinkToFit="0" vertical="bottom" wrapText="1"/>
    </xf>
    <xf borderId="0" fillId="0" fontId="34" numFmtId="0" xfId="0" applyAlignment="1" applyFont="1">
      <alignment horizontal="right" vertical="bottom"/>
    </xf>
    <xf borderId="0" fillId="0" fontId="34" numFmtId="3" xfId="0" applyAlignment="1" applyFont="1" applyNumberFormat="1">
      <alignment horizontal="right" vertical="bottom"/>
    </xf>
    <xf borderId="0" fillId="0" fontId="7" numFmtId="176" xfId="0" applyAlignment="1" applyFont="1" applyNumberFormat="1">
      <alignment vertical="bottom"/>
    </xf>
    <xf borderId="0" fillId="0" fontId="34" numFmtId="176" xfId="0" applyAlignment="1" applyFont="1" applyNumberFormat="1">
      <alignment horizontal="right" vertical="bottom"/>
    </xf>
    <xf borderId="66" fillId="12" fontId="43" numFmtId="0" xfId="0" applyAlignment="1" applyBorder="1" applyFill="1" applyFont="1">
      <alignment vertical="bottom"/>
    </xf>
    <xf borderId="67" fillId="2" fontId="30" numFmtId="169" xfId="0" applyAlignment="1" applyBorder="1" applyFill="1" applyFont="1" applyNumberFormat="1">
      <alignment horizontal="right" vertical="bottom"/>
    </xf>
    <xf borderId="0" fillId="0" fontId="44" numFmtId="3" xfId="0" applyAlignment="1" applyFont="1" applyNumberFormat="1">
      <alignment horizontal="right" vertical="bottom"/>
    </xf>
    <xf borderId="35" fillId="12" fontId="43" numFmtId="0" xfId="0" applyAlignment="1" applyBorder="1" applyFill="1" applyFont="1">
      <alignment vertical="bottom"/>
    </xf>
    <xf borderId="36" fillId="2" fontId="30" numFmtId="169" xfId="0" applyAlignment="1" applyBorder="1" applyFill="1" applyFont="1" applyNumberFormat="1">
      <alignment horizontal="right" vertical="bottom"/>
    </xf>
    <xf borderId="0" fillId="0" fontId="44" numFmtId="0" xfId="0" applyAlignment="1" applyFont="1">
      <alignment horizontal="right" vertical="bottom"/>
    </xf>
    <xf borderId="68" fillId="12" fontId="43" numFmtId="0" xfId="0" applyAlignment="1" applyBorder="1" applyFill="1" applyFont="1">
      <alignment vertical="bottom"/>
    </xf>
    <xf borderId="69" fillId="2" fontId="30" numFmtId="169" xfId="0" applyAlignment="1" applyBorder="1" applyFill="1" applyFont="1" applyNumberFormat="1">
      <alignment horizontal="right" vertical="bottom"/>
    </xf>
    <xf borderId="70" fillId="2" fontId="30" numFmtId="169" xfId="0" applyAlignment="1" applyBorder="1" applyFill="1" applyFont="1" applyNumberFormat="1">
      <alignment vertical="bottom"/>
    </xf>
    <xf borderId="49" fillId="3" fontId="32" numFmtId="0" xfId="0" applyAlignment="1" applyBorder="1" applyFill="1" applyFont="1">
      <alignment readingOrder="0" vertical="bottom"/>
    </xf>
    <xf borderId="49" fillId="3" fontId="32" numFmtId="175" xfId="0" applyAlignment="1" applyBorder="1" applyFill="1" applyFont="1" applyNumberFormat="1">
      <alignment horizontal="right" readingOrder="0" vertical="bottom"/>
    </xf>
    <xf borderId="71" fillId="13" fontId="45" numFmtId="0" xfId="0" applyAlignment="1" applyBorder="1" applyFill="1" applyFont="1">
      <alignment horizontal="center" shrinkToFit="0" wrapText="1"/>
    </xf>
    <xf borderId="72" fillId="13" fontId="45" numFmtId="169" xfId="0" applyAlignment="1" applyBorder="1" applyFill="1" applyFont="1" applyNumberFormat="1">
      <alignment horizontal="center" shrinkToFit="0" wrapText="1"/>
    </xf>
    <xf borderId="73" fillId="0" fontId="10" numFmtId="0" xfId="0" applyBorder="1" applyFont="1"/>
    <xf borderId="74" fillId="0" fontId="10" numFmtId="0" xfId="0" applyBorder="1" applyFont="1"/>
    <xf borderId="70" fillId="13" fontId="45" numFmtId="169" xfId="0" applyAlignment="1" applyBorder="1" applyFill="1" applyFont="1" applyNumberFormat="1">
      <alignment horizontal="center" shrinkToFit="0" wrapText="1"/>
    </xf>
    <xf borderId="70" fillId="13" fontId="45" numFmtId="0" xfId="0" applyAlignment="1" applyBorder="1" applyFill="1" applyFont="1">
      <alignment horizontal="center" shrinkToFit="0" wrapText="1"/>
    </xf>
    <xf borderId="75" fillId="0" fontId="10" numFmtId="0" xfId="0" applyBorder="1" applyFont="1"/>
    <xf borderId="76" fillId="14" fontId="46" numFmtId="0" xfId="0" applyAlignment="1" applyBorder="1" applyFill="1" applyFont="1">
      <alignment horizontal="center"/>
    </xf>
    <xf borderId="77" fillId="15" fontId="47" numFmtId="3" xfId="0" applyAlignment="1" applyBorder="1" applyFill="1" applyFont="1" applyNumberFormat="1">
      <alignment horizontal="center" shrinkToFit="0" vertical="bottom" wrapText="1"/>
    </xf>
    <xf borderId="77" fillId="15" fontId="47" numFmtId="169" xfId="0" applyAlignment="1" applyBorder="1" applyFill="1" applyFont="1" applyNumberFormat="1">
      <alignment horizontal="center" shrinkToFit="0" vertical="bottom" wrapText="1"/>
    </xf>
    <xf borderId="77" fillId="15" fontId="47" numFmtId="0" xfId="0" applyAlignment="1" applyBorder="1" applyFill="1" applyFont="1">
      <alignment horizontal="center" shrinkToFit="0" vertical="bottom" wrapText="1"/>
    </xf>
    <xf borderId="0" fillId="0" fontId="1" numFmtId="169" xfId="0" applyFont="1" applyNumberFormat="1"/>
    <xf borderId="78" fillId="14" fontId="46" numFmtId="0" xfId="0" applyAlignment="1" applyBorder="1" applyFill="1" applyFont="1">
      <alignment horizontal="center"/>
    </xf>
    <xf borderId="79" fillId="15" fontId="47" numFmtId="0" xfId="0" applyAlignment="1" applyBorder="1" applyFill="1" applyFont="1">
      <alignment horizontal="center" shrinkToFit="0" vertical="bottom" wrapText="1"/>
    </xf>
    <xf borderId="72" fillId="2" fontId="30" numFmtId="0" xfId="0" applyAlignment="1" applyBorder="1" applyFill="1" applyFont="1">
      <alignment vertical="bottom"/>
    </xf>
    <xf borderId="80" fillId="0" fontId="10" numFmtId="0" xfId="0" applyBorder="1" applyFont="1"/>
    <xf borderId="49" fillId="3" fontId="32" numFmtId="0" xfId="0" applyAlignment="1" applyBorder="1" applyFill="1" applyFont="1">
      <alignment horizontal="right" readingOrder="0" vertical="bottom"/>
    </xf>
    <xf borderId="70" fillId="13" fontId="45" numFmtId="169" xfId="0" applyAlignment="1" applyBorder="1" applyFill="1" applyFont="1" applyNumberFormat="1">
      <alignment horizontal="center" readingOrder="0" shrinkToFit="0" wrapText="1"/>
    </xf>
    <xf borderId="70" fillId="13" fontId="45" numFmtId="0" xfId="0" applyAlignment="1" applyBorder="1" applyFill="1" applyFont="1">
      <alignment horizontal="center" readingOrder="0" shrinkToFit="0" wrapText="1"/>
    </xf>
    <xf borderId="77" fillId="15" fontId="47" numFmtId="169" xfId="0" applyAlignment="1" applyBorder="1" applyFill="1" applyFont="1" applyNumberFormat="1">
      <alignment horizontal="center" readingOrder="0" shrinkToFit="0" vertical="bottom" wrapText="1"/>
    </xf>
    <xf borderId="77" fillId="15" fontId="47" numFmtId="0" xfId="0" applyAlignment="1" applyBorder="1" applyFill="1" applyFont="1">
      <alignment horizontal="center" readingOrder="0" shrinkToFit="0" vertical="bottom" wrapText="1"/>
    </xf>
    <xf borderId="0" fillId="0" fontId="1" numFmtId="170" xfId="0" applyFont="1" applyNumberFormat="1"/>
    <xf borderId="0" fillId="0" fontId="1" numFmtId="169" xfId="0" applyAlignment="1" applyFont="1" applyNumberFormat="1">
      <alignment readingOrder="0"/>
    </xf>
    <xf borderId="77" fillId="15" fontId="47" numFmtId="3" xfId="0" applyAlignment="1" applyBorder="1" applyFill="1" applyFont="1" applyNumberFormat="1">
      <alignment horizontal="center" readingOrder="0" shrinkToFit="0" vertical="bottom" wrapText="1"/>
    </xf>
    <xf borderId="0" fillId="3" fontId="48" numFmtId="0" xfId="0" applyAlignment="1" applyFill="1" applyFont="1">
      <alignment readingOrder="0" shrinkToFit="0" vertical="top" wrapText="1"/>
    </xf>
    <xf borderId="0" fillId="0" fontId="3" numFmtId="0" xfId="0" applyAlignment="1" applyFont="1">
      <alignment vertical="bottom"/>
    </xf>
    <xf borderId="1" fillId="0" fontId="3" numFmtId="0" xfId="0" applyAlignment="1" applyBorder="1" applyFont="1">
      <alignment readingOrder="0" shrinkToFit="0" vertical="bottom" wrapText="0"/>
    </xf>
    <xf borderId="1" fillId="0" fontId="7" numFmtId="0" xfId="0" applyAlignment="1" applyBorder="1" applyFont="1">
      <alignment vertical="bottom"/>
    </xf>
    <xf borderId="0" fillId="0" fontId="4" numFmtId="0" xfId="0" applyAlignment="1" applyFont="1">
      <alignment horizontal="left"/>
    </xf>
    <xf borderId="0" fillId="0" fontId="1" numFmtId="0" xfId="0" applyAlignment="1" applyFont="1">
      <alignment horizontal="left"/>
    </xf>
    <xf borderId="1" fillId="8" fontId="4" numFmtId="0" xfId="0" applyAlignment="1" applyBorder="1" applyFill="1" applyFont="1">
      <alignment horizontal="left" readingOrder="0" vertical="top"/>
    </xf>
    <xf borderId="1" fillId="0" fontId="4" numFmtId="0" xfId="0" applyAlignment="1" applyBorder="1" applyFont="1">
      <alignment horizontal="left" readingOrder="0" vertical="top"/>
    </xf>
    <xf borderId="1" fillId="0" fontId="1" numFmtId="0" xfId="0" applyBorder="1" applyFont="1"/>
    <xf borderId="1" fillId="8" fontId="4" numFmtId="0" xfId="0" applyAlignment="1" applyBorder="1" applyFill="1" applyFont="1">
      <alignment horizontal="left" readingOrder="0" shrinkToFit="0" vertical="top" wrapText="1"/>
    </xf>
    <xf borderId="1" fillId="0" fontId="1" numFmtId="0" xfId="0" applyAlignment="1" applyBorder="1" applyFont="1">
      <alignment horizontal="left" readingOrder="0" vertical="top"/>
    </xf>
    <xf borderId="1" fillId="9" fontId="1" numFmtId="0" xfId="0" applyAlignment="1" applyBorder="1" applyFill="1" applyFont="1">
      <alignment horizontal="left" readingOrder="0" vertical="top"/>
    </xf>
    <xf borderId="1" fillId="9" fontId="1" numFmtId="10" xfId="0" applyAlignment="1" applyBorder="1" applyFill="1" applyFont="1" applyNumberFormat="1">
      <alignment horizontal="left" readingOrder="0" vertical="top"/>
    </xf>
    <xf borderId="1" fillId="9" fontId="1" numFmtId="10" xfId="0" applyAlignment="1" applyBorder="1" applyFill="1" applyFont="1" applyNumberFormat="1">
      <alignment readingOrder="0"/>
    </xf>
    <xf borderId="1" fillId="9" fontId="4" numFmtId="0" xfId="0" applyAlignment="1" applyBorder="1" applyFill="1" applyFont="1">
      <alignment horizontal="left" readingOrder="0" vertical="top"/>
    </xf>
    <xf borderId="1" fillId="9" fontId="4" numFmtId="10" xfId="0" applyAlignment="1" applyBorder="1" applyFill="1" applyFont="1" applyNumberFormat="1">
      <alignment horizontal="left" readingOrder="0" vertical="top"/>
    </xf>
    <xf borderId="1" fillId="9" fontId="4" numFmtId="10" xfId="0" applyAlignment="1" applyBorder="1" applyFill="1" applyFont="1" applyNumberFormat="1">
      <alignment horizontal="left" readingOrder="0"/>
    </xf>
    <xf borderId="1" fillId="9" fontId="1" numFmtId="0" xfId="0" applyAlignment="1" applyBorder="1" applyFill="1" applyFont="1">
      <alignment horizontal="left" readingOrder="0"/>
    </xf>
    <xf borderId="1" fillId="9" fontId="1" numFmtId="10" xfId="0" applyAlignment="1" applyBorder="1" applyFill="1" applyFont="1" applyNumberFormat="1">
      <alignment horizontal="left" readingOrder="0"/>
    </xf>
    <xf borderId="1" fillId="0" fontId="1" numFmtId="177" xfId="0" applyAlignment="1" applyBorder="1" applyFont="1" applyNumberFormat="1">
      <alignment horizontal="left" readingOrder="0" vertical="top"/>
    </xf>
    <xf borderId="1" fillId="0" fontId="1" numFmtId="177" xfId="0" applyAlignment="1" applyBorder="1" applyFont="1" applyNumberFormat="1">
      <alignment readingOrder="0"/>
    </xf>
    <xf borderId="0" fillId="0" fontId="4" numFmtId="0" xfId="0" applyAlignment="1" applyFont="1">
      <alignment horizontal="left" readingOrder="0" shrinkToFit="0" vertical="top" wrapText="1"/>
    </xf>
    <xf borderId="0" fillId="0" fontId="1" numFmtId="0" xfId="0" applyAlignment="1" applyFont="1">
      <alignment horizontal="left" readingOrder="0" vertical="top"/>
    </xf>
    <xf borderId="0" fillId="0" fontId="4" numFmtId="0" xfId="0" applyAlignment="1" applyFont="1">
      <alignment horizontal="left" shrinkToFit="0" vertical="top" wrapText="1"/>
    </xf>
    <xf borderId="0" fillId="0" fontId="1" numFmtId="1" xfId="0" applyAlignment="1" applyFont="1" applyNumberFormat="1">
      <alignment readingOrder="0"/>
    </xf>
    <xf borderId="0" fillId="0" fontId="4" numFmtId="0" xfId="0" applyAlignment="1" applyFont="1">
      <alignment readingOrder="0" vertical="top"/>
    </xf>
    <xf borderId="0" fillId="0" fontId="4" numFmtId="0" xfId="0" applyAlignment="1" applyFont="1">
      <alignment horizontal="center" readingOrder="0" vertical="top"/>
    </xf>
    <xf borderId="0" fillId="0" fontId="4" numFmtId="0" xfId="0" applyFont="1"/>
    <xf borderId="0" fillId="0" fontId="49" numFmtId="0" xfId="0" applyAlignment="1" applyFont="1">
      <alignment readingOrder="0"/>
    </xf>
    <xf borderId="0" fillId="0" fontId="4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4" numFmtId="0" xfId="0" applyAlignment="1" applyFont="1">
      <alignment readingOrder="0" shrinkToFit="0" wrapText="1"/>
    </xf>
    <xf borderId="0" fillId="0" fontId="1" numFmtId="175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4" fillId="0" fontId="7" numFmtId="2" xfId="0" applyAlignment="1" applyBorder="1" applyFont="1" applyNumberFormat="1">
      <alignment vertical="bottom"/>
    </xf>
    <xf borderId="39" fillId="10" fontId="34" numFmtId="167" xfId="0" applyAlignment="1" applyBorder="1" applyFill="1" applyFont="1" applyNumberFormat="1">
      <alignment horizontal="center" readingOrder="0"/>
    </xf>
    <xf borderId="40" fillId="10" fontId="7" numFmtId="167" xfId="0" applyAlignment="1" applyBorder="1" applyFill="1" applyFont="1" applyNumberFormat="1">
      <alignment horizontal="center" readingOrder="0"/>
    </xf>
    <xf borderId="1" fillId="0" fontId="39" numFmtId="0" xfId="0" applyAlignment="1" applyBorder="1" applyFont="1">
      <alignment readingOrder="0"/>
    </xf>
    <xf borderId="39" fillId="2" fontId="34" numFmtId="167" xfId="0" applyAlignment="1" applyBorder="1" applyFill="1" applyFont="1" applyNumberFormat="1">
      <alignment horizontal="center" readingOrder="0"/>
    </xf>
    <xf borderId="40" fillId="2" fontId="7" numFmtId="167" xfId="0" applyAlignment="1" applyBorder="1" applyFill="1" applyFont="1" applyNumberFormat="1">
      <alignment horizontal="center" readingOrder="0"/>
    </xf>
    <xf borderId="22" fillId="2" fontId="7" numFmtId="167" xfId="0" applyAlignment="1" applyBorder="1" applyFill="1" applyFont="1" applyNumberFormat="1">
      <alignment horizontal="center" readingOrder="0"/>
    </xf>
    <xf borderId="1" fillId="2" fontId="50" numFmtId="0" xfId="0" applyAlignment="1" applyBorder="1" applyFill="1" applyFont="1">
      <alignment readingOrder="0"/>
    </xf>
    <xf borderId="22" fillId="10" fontId="7" numFmtId="167" xfId="0" applyAlignment="1" applyBorder="1" applyFill="1" applyFont="1" applyNumberFormat="1">
      <alignment horizontal="center" readingOrder="0"/>
    </xf>
    <xf borderId="45" fillId="5" fontId="3" numFmtId="167" xfId="0" applyAlignment="1" applyBorder="1" applyFill="1" applyFont="1" applyNumberFormat="1">
      <alignment horizontal="center" readingOrder="0"/>
    </xf>
    <xf borderId="43" fillId="5" fontId="3" numFmtId="167" xfId="0" applyAlignment="1" applyBorder="1" applyFill="1" applyFont="1" applyNumberFormat="1">
      <alignment horizontal="center" readingOrder="0"/>
    </xf>
    <xf borderId="44" fillId="5" fontId="3" numFmtId="167" xfId="0" applyAlignment="1" applyBorder="1" applyFill="1" applyFont="1" applyNumberFormat="1">
      <alignment horizontal="center" readingOrder="0"/>
    </xf>
    <xf borderId="28" fillId="5" fontId="3" numFmtId="167" xfId="0" applyAlignment="1" applyBorder="1" applyFill="1" applyFont="1" applyNumberFormat="1">
      <alignment horizontal="center" readingOrder="0"/>
    </xf>
    <xf borderId="26" fillId="5" fontId="3" numFmtId="167" xfId="0" applyAlignment="1" applyBorder="1" applyFill="1" applyFont="1" applyNumberFormat="1">
      <alignment horizontal="center" readingOrder="0"/>
    </xf>
    <xf borderId="2" fillId="3" fontId="27" numFmtId="0" xfId="0" applyBorder="1" applyFill="1" applyFont="1"/>
    <xf borderId="1" fillId="0" fontId="4" numFmtId="0" xfId="0" applyBorder="1" applyFont="1"/>
    <xf borderId="0" fillId="0" fontId="51" numFmtId="0" xfId="0" applyAlignment="1" applyFont="1">
      <alignment horizontal="center" readingOrder="0" shrinkToFit="0" vertical="bottom" wrapText="0"/>
    </xf>
    <xf borderId="0" fillId="0" fontId="52" numFmtId="0" xfId="0" applyAlignment="1" applyFont="1">
      <alignment readingOrder="0" shrinkToFit="0" vertical="bottom" wrapText="0"/>
    </xf>
    <xf borderId="0" fillId="0" fontId="52" numFmtId="3" xfId="0" applyAlignment="1" applyFont="1" applyNumberFormat="1">
      <alignment horizontal="center" readingOrder="0" shrinkToFit="0" vertical="bottom" wrapText="0"/>
    </xf>
    <xf borderId="9" fillId="0" fontId="53" numFmtId="0" xfId="0" applyAlignment="1" applyBorder="1" applyFont="1">
      <alignment horizontal="center" readingOrder="0" shrinkToFit="0" vertical="bottom" wrapText="0"/>
    </xf>
    <xf borderId="0" fillId="4" fontId="52" numFmtId="0" xfId="0" applyAlignment="1" applyFill="1" applyFont="1">
      <alignment readingOrder="0" shrinkToFit="0" vertical="bottom" wrapText="0"/>
    </xf>
    <xf borderId="0" fillId="4" fontId="52" numFmtId="3" xfId="0" applyAlignment="1" applyFill="1" applyFont="1" applyNumberFormat="1">
      <alignment horizontal="center" readingOrder="0" shrinkToFit="0" wrapText="0"/>
    </xf>
    <xf borderId="47" fillId="10" fontId="7" numFmtId="167" xfId="0" applyAlignment="1" applyBorder="1" applyFill="1" applyFont="1" applyNumberFormat="1">
      <alignment horizontal="center" readingOrder="0"/>
    </xf>
    <xf borderId="1" fillId="0" fontId="1" numFmtId="3" xfId="0" applyAlignment="1" applyBorder="1" applyFont="1" applyNumberFormat="1">
      <alignment readingOrder="0"/>
    </xf>
    <xf borderId="47" fillId="2" fontId="7" numFmtId="167" xfId="0" applyAlignment="1" applyBorder="1" applyFill="1" applyFont="1" applyNumberFormat="1">
      <alignment horizontal="center" readingOrder="0"/>
    </xf>
    <xf borderId="46" fillId="5" fontId="3" numFmtId="167" xfId="0" applyAlignment="1" applyBorder="1" applyFill="1" applyFont="1" applyNumberFormat="1">
      <alignment horizontal="center" readingOrder="0"/>
    </xf>
    <xf borderId="9" fillId="3" fontId="4" numFmtId="0" xfId="0" applyAlignment="1" applyBorder="1" applyFill="1" applyFont="1">
      <alignment readingOrder="0"/>
    </xf>
    <xf borderId="9" fillId="3" fontId="4" numFmtId="171" xfId="0" applyAlignment="1" applyBorder="1" applyFill="1" applyFont="1" applyNumberFormat="1">
      <alignment readingOrder="0"/>
    </xf>
    <xf borderId="1" fillId="8" fontId="4" numFmtId="0" xfId="0" applyAlignment="1" applyBorder="1" applyFill="1" applyFont="1">
      <alignment horizontal="left" readingOrder="0"/>
    </xf>
    <xf borderId="1" fillId="8" fontId="51" numFmtId="0" xfId="0" applyAlignment="1" applyBorder="1" applyFill="1" applyFont="1">
      <alignment horizontal="left" readingOrder="0" shrinkToFit="0" vertical="bottom" wrapText="0"/>
    </xf>
    <xf borderId="1" fillId="9" fontId="52" numFmtId="0" xfId="0" applyAlignment="1" applyBorder="1" applyFill="1" applyFont="1">
      <alignment horizontal="left" readingOrder="0" shrinkToFit="0" vertical="bottom" wrapText="0"/>
    </xf>
    <xf borderId="0" fillId="0" fontId="52" numFmtId="0" xfId="0" applyAlignment="1" applyFont="1">
      <alignment horizontal="center" readingOrder="0" shrinkToFit="0" vertical="bottom" wrapText="0"/>
    </xf>
    <xf borderId="0" fillId="9" fontId="52" numFmtId="0" xfId="0" applyAlignment="1" applyFill="1" applyFont="1">
      <alignment horizontal="center" readingOrder="0" shrinkToFit="0" wrapText="0"/>
    </xf>
    <xf borderId="1" fillId="2" fontId="25" numFmtId="0" xfId="0" applyAlignment="1" applyBorder="1" applyFill="1" applyFont="1">
      <alignment readingOrder="0" shrinkToFit="0" vertical="bottom" wrapText="1"/>
    </xf>
    <xf borderId="18" fillId="0" fontId="2" numFmtId="0" xfId="0" applyAlignment="1" applyBorder="1" applyFont="1">
      <alignment readingOrder="0"/>
    </xf>
    <xf borderId="0" fillId="0" fontId="7" numFmtId="3" xfId="0" applyAlignment="1" applyFont="1" applyNumberFormat="1">
      <alignment horizontal="center"/>
    </xf>
    <xf borderId="39" fillId="0" fontId="7" numFmtId="0" xfId="0" applyAlignment="1" applyBorder="1" applyFont="1">
      <alignment horizontal="center"/>
    </xf>
    <xf borderId="38" fillId="0" fontId="7" numFmtId="0" xfId="0" applyAlignment="1" applyBorder="1" applyFont="1">
      <alignment horizontal="center" readingOrder="0"/>
    </xf>
    <xf borderId="38" fillId="0" fontId="7" numFmtId="3" xfId="0" applyAlignment="1" applyBorder="1" applyFont="1" applyNumberFormat="1">
      <alignment horizontal="center"/>
    </xf>
    <xf borderId="22" fillId="0" fontId="7" numFmtId="0" xfId="0" applyAlignment="1" applyBorder="1" applyFont="1">
      <alignment horizontal="center" readingOrder="0"/>
    </xf>
    <xf borderId="24" fillId="0" fontId="7" numFmtId="0" xfId="0" applyAlignment="1" applyBorder="1" applyFont="1">
      <alignment horizontal="center" readingOrder="0"/>
    </xf>
    <xf borderId="39" fillId="0" fontId="34" numFmtId="167" xfId="0" applyAlignment="1" applyBorder="1" applyFont="1" applyNumberFormat="1">
      <alignment horizontal="center" readingOrder="0"/>
    </xf>
    <xf borderId="40" fillId="0" fontId="7" numFmtId="49" xfId="0" applyAlignment="1" applyBorder="1" applyFont="1" applyNumberFormat="1">
      <alignment horizontal="center" readingOrder="0"/>
    </xf>
    <xf borderId="23" fillId="0" fontId="7" numFmtId="167" xfId="0" applyAlignment="1" applyBorder="1" applyFont="1" applyNumberFormat="1">
      <alignment horizontal="center" readingOrder="0"/>
    </xf>
    <xf borderId="38" fillId="0" fontId="7" numFmtId="167" xfId="0" applyAlignment="1" applyBorder="1" applyFont="1" applyNumberFormat="1">
      <alignment horizontal="center" readingOrder="0"/>
    </xf>
    <xf borderId="40" fillId="0" fontId="7" numFmtId="3" xfId="0" applyAlignment="1" applyBorder="1" applyFont="1" applyNumberFormat="1">
      <alignment horizontal="center"/>
    </xf>
    <xf borderId="47" fillId="2" fontId="7" numFmtId="167" xfId="0" applyAlignment="1" applyBorder="1" applyFill="1" applyFont="1" applyNumberFormat="1">
      <alignment horizontal="center" readingOrder="0"/>
    </xf>
    <xf borderId="45" fillId="5" fontId="3" numFmtId="3" xfId="0" applyAlignment="1" applyBorder="1" applyFill="1" applyFont="1" applyNumberFormat="1">
      <alignment horizontal="center"/>
    </xf>
    <xf borderId="44" fillId="5" fontId="3" numFmtId="49" xfId="0" applyAlignment="1" applyBorder="1" applyFill="1" applyFont="1" applyNumberFormat="1">
      <alignment horizontal="center" readingOrder="0"/>
    </xf>
    <xf borderId="44" fillId="5" fontId="3" numFmtId="3" xfId="0" applyAlignment="1" applyBorder="1" applyFill="1" applyFont="1" applyNumberFormat="1">
      <alignment horizontal="center"/>
    </xf>
    <xf borderId="9" fillId="3" fontId="27" numFmtId="175" xfId="0" applyAlignment="1" applyBorder="1" applyFill="1" applyFont="1" applyNumberFormat="1">
      <alignment readingOrder="0"/>
    </xf>
    <xf borderId="0" fillId="0" fontId="54" numFmtId="0" xfId="0" applyAlignment="1" applyFont="1">
      <alignment readingOrder="0" vertical="bottom"/>
    </xf>
    <xf borderId="0" fillId="9" fontId="38" numFmtId="9" xfId="0" applyAlignment="1" applyFill="1" applyFont="1" applyNumberFormat="1">
      <alignment horizontal="left" readingOrder="0" vertical="bottom"/>
    </xf>
    <xf borderId="0" fillId="0" fontId="55" numFmtId="0" xfId="0" applyAlignment="1" applyFont="1">
      <alignment horizontal="center" vertical="bottom"/>
    </xf>
    <xf borderId="0" fillId="9" fontId="38" numFmtId="0" xfId="0" applyAlignment="1" applyFill="1" applyFont="1">
      <alignment horizontal="left" readingOrder="0" vertical="bottom"/>
    </xf>
    <xf borderId="0" fillId="0" fontId="56" numFmtId="0" xfId="0" applyAlignment="1" applyFont="1">
      <alignment readingOrder="0" shrinkToFit="0" vertical="top" wrapText="1"/>
    </xf>
    <xf borderId="0" fillId="9" fontId="56" numFmtId="0" xfId="0" applyAlignment="1" applyFill="1" applyFont="1">
      <alignment horizontal="left" shrinkToFit="0" vertical="top" wrapText="1"/>
    </xf>
    <xf borderId="0" fillId="0" fontId="57" numFmtId="0" xfId="0" applyAlignment="1" applyFont="1">
      <alignment horizontal="right" readingOrder="0"/>
    </xf>
    <xf borderId="0" fillId="0" fontId="58" numFmtId="0" xfId="0" applyAlignment="1" applyFont="1">
      <alignment shrinkToFit="0" vertical="bottom" wrapText="0"/>
    </xf>
    <xf borderId="0" fillId="0" fontId="58" numFmtId="0" xfId="0" applyAlignment="1" applyFont="1">
      <alignment shrinkToFit="0" vertical="top" wrapText="1"/>
    </xf>
    <xf borderId="0" fillId="0" fontId="58" numFmtId="9" xfId="0" applyAlignment="1" applyFont="1" applyNumberFormat="1">
      <alignment horizontal="right"/>
    </xf>
    <xf borderId="0" fillId="9" fontId="56" numFmtId="9" xfId="0" applyAlignment="1" applyFill="1" applyFont="1" applyNumberFormat="1">
      <alignment horizontal="left" readingOrder="0" shrinkToFit="0" vertical="top" wrapText="1"/>
    </xf>
    <xf borderId="0" fillId="0" fontId="57" numFmtId="9" xfId="0" applyAlignment="1" applyFont="1" applyNumberFormat="1">
      <alignment horizontal="right" readingOrder="0"/>
    </xf>
    <xf borderId="0" fillId="0" fontId="58" numFmtId="167" xfId="0" applyAlignment="1" applyFont="1" applyNumberFormat="1">
      <alignment horizontal="right"/>
    </xf>
    <xf borderId="0" fillId="9" fontId="56" numFmtId="0" xfId="0" applyAlignment="1" applyFill="1" applyFont="1">
      <alignment horizontal="left" readingOrder="0" shrinkToFit="0" vertical="top" wrapText="1"/>
    </xf>
    <xf borderId="1" fillId="0" fontId="1" numFmtId="10" xfId="0" applyAlignment="1" applyBorder="1" applyFont="1" applyNumberFormat="1">
      <alignment readingOrder="0"/>
    </xf>
    <xf borderId="0" fillId="0" fontId="54" numFmtId="0" xfId="0" applyAlignment="1" applyFont="1">
      <alignment readingOrder="0"/>
    </xf>
    <xf borderId="0" fillId="9" fontId="39" numFmtId="9" xfId="0" applyAlignment="1" applyFill="1" applyFont="1" applyNumberFormat="1">
      <alignment horizontal="left" readingOrder="0"/>
    </xf>
    <xf borderId="0" fillId="0" fontId="59" numFmtId="0" xfId="0" applyAlignment="1" applyFont="1">
      <alignment readingOrder="0"/>
    </xf>
    <xf borderId="0" fillId="9" fontId="36" numFmtId="0" xfId="0" applyAlignment="1" applyFill="1" applyFont="1">
      <alignment horizontal="left" readingOrder="0"/>
    </xf>
    <xf borderId="51" fillId="4" fontId="1" numFmtId="0" xfId="0" applyAlignment="1" applyBorder="1" applyFill="1" applyFont="1">
      <alignment readingOrder="0" shrinkToFit="0" wrapText="1"/>
    </xf>
    <xf borderId="51" fillId="4" fontId="1" numFmtId="0" xfId="0" applyAlignment="1" applyBorder="1" applyFill="1" applyFont="1">
      <alignment readingOrder="0"/>
    </xf>
    <xf borderId="3" fillId="9" fontId="1" numFmtId="3" xfId="0" applyAlignment="1" applyBorder="1" applyFill="1" applyFont="1" applyNumberFormat="1">
      <alignment readingOrder="0"/>
    </xf>
    <xf borderId="0" fillId="3" fontId="1" numFmtId="175" xfId="0" applyAlignment="1" applyFill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10" fontId="7" numFmtId="170" xfId="0" applyAlignment="1" applyFill="1" applyFont="1" applyNumberFormat="1">
      <alignment horizontal="right" vertical="bottom"/>
    </xf>
    <xf borderId="0" fillId="2" fontId="7" numFmtId="170" xfId="0" applyAlignment="1" applyFill="1" applyFont="1" applyNumberFormat="1">
      <alignment horizontal="right" vertical="bottom"/>
    </xf>
    <xf borderId="4" fillId="4" fontId="7" numFmtId="2" xfId="0" applyAlignment="1" applyBorder="1" applyFill="1" applyFont="1" applyNumberFormat="1">
      <alignment vertical="bottom"/>
    </xf>
    <xf borderId="81" fillId="3" fontId="27" numFmtId="175" xfId="0" applyAlignment="1" applyBorder="1" applyFill="1" applyFont="1" applyNumberFormat="1">
      <alignment readingOrder="0"/>
    </xf>
    <xf borderId="82" fillId="8" fontId="3" numFmtId="0" xfId="0" applyAlignment="1" applyBorder="1" applyFill="1" applyFont="1">
      <alignment vertical="bottom"/>
    </xf>
    <xf borderId="16" fillId="9" fontId="7" numFmtId="3" xfId="0" applyAlignment="1" applyBorder="1" applyFill="1" applyFont="1" applyNumberFormat="1">
      <alignment horizontal="right" readingOrder="0" vertical="bottom"/>
    </xf>
    <xf borderId="62" fillId="8" fontId="1" numFmtId="3" xfId="0" applyAlignment="1" applyBorder="1" applyFill="1" applyFont="1" applyNumberFormat="1">
      <alignment readingOrder="0"/>
    </xf>
    <xf borderId="4" fillId="8" fontId="1" numFmtId="3" xfId="0" applyAlignment="1" applyBorder="1" applyFill="1" applyFont="1" applyNumberFormat="1">
      <alignment readingOrder="0"/>
    </xf>
    <xf borderId="37" fillId="8" fontId="1" numFmtId="3" xfId="0" applyAlignment="1" applyBorder="1" applyFill="1" applyFont="1" applyNumberFormat="1">
      <alignment readingOrder="0"/>
    </xf>
    <xf borderId="83" fillId="8" fontId="3" numFmtId="0" xfId="0" applyAlignment="1" applyBorder="1" applyFill="1" applyFont="1">
      <alignment vertical="bottom"/>
    </xf>
    <xf borderId="9" fillId="9" fontId="7" numFmtId="0" xfId="0" applyAlignment="1" applyBorder="1" applyFill="1" applyFont="1">
      <alignment horizontal="right" readingOrder="0" vertical="bottom"/>
    </xf>
    <xf borderId="1" fillId="9" fontId="60" numFmtId="0" xfId="0" applyAlignment="1" applyBorder="1" applyFill="1" applyFont="1">
      <alignment horizontal="right" readingOrder="0"/>
    </xf>
    <xf borderId="9" fillId="9" fontId="7" numFmtId="3" xfId="0" applyAlignment="1" applyBorder="1" applyFill="1" applyFont="1" applyNumberFormat="1">
      <alignment horizontal="right" readingOrder="0" vertical="bottom"/>
    </xf>
    <xf borderId="0" fillId="10" fontId="7" numFmtId="0" xfId="0" applyAlignment="1" applyFill="1" applyFont="1">
      <alignment horizontal="center" readingOrder="0" vertical="bottom"/>
    </xf>
    <xf borderId="83" fillId="8" fontId="3" numFmtId="0" xfId="0" applyAlignment="1" applyBorder="1" applyFill="1" applyFont="1">
      <alignment vertical="bottom"/>
    </xf>
    <xf borderId="84" fillId="8" fontId="3" numFmtId="0" xfId="0" applyAlignment="1" applyBorder="1" applyFill="1" applyFont="1">
      <alignment vertical="bottom"/>
    </xf>
    <xf borderId="85" fillId="8" fontId="1" numFmtId="3" xfId="0" applyAlignment="1" applyBorder="1" applyFill="1" applyFont="1" applyNumberFormat="1">
      <alignment readingOrder="0"/>
    </xf>
    <xf borderId="86" fillId="8" fontId="1" numFmtId="3" xfId="0" applyAlignment="1" applyBorder="1" applyFill="1" applyFont="1" applyNumberFormat="1">
      <alignment readingOrder="0"/>
    </xf>
    <xf borderId="46" fillId="8" fontId="1" numFmtId="3" xfId="0" applyAlignment="1" applyBorder="1" applyFill="1" applyFont="1" applyNumberFormat="1">
      <alignment readingOrder="0"/>
    </xf>
    <xf borderId="4" fillId="2" fontId="7" numFmtId="3" xfId="0" applyAlignment="1" applyBorder="1" applyFill="1" applyFont="1" applyNumberFormat="1">
      <alignment vertical="bottom"/>
    </xf>
    <xf borderId="0" fillId="0" fontId="1" numFmtId="178" xfId="0" applyAlignment="1" applyFont="1" applyNumberFormat="1">
      <alignment readingOrder="0"/>
    </xf>
    <xf borderId="40" fillId="0" fontId="7" numFmtId="0" xfId="0" applyAlignment="1" applyBorder="1" applyFont="1">
      <alignment horizontal="center" readingOrder="0"/>
    </xf>
    <xf borderId="39" fillId="0" fontId="34" numFmtId="0" xfId="0" applyAlignment="1" applyBorder="1" applyFont="1">
      <alignment horizontal="center" readingOrder="0"/>
    </xf>
    <xf borderId="23" fillId="0" fontId="7" numFmtId="0" xfId="0" applyAlignment="1" applyBorder="1" applyFont="1">
      <alignment horizontal="center" readingOrder="0"/>
    </xf>
    <xf borderId="47" fillId="2" fontId="7" numFmtId="0" xfId="0" applyAlignment="1" applyBorder="1" applyFill="1" applyFont="1">
      <alignment horizontal="center" readingOrder="0"/>
    </xf>
    <xf borderId="87" fillId="3" fontId="4" numFmtId="0" xfId="0" applyAlignment="1" applyBorder="1" applyFill="1" applyFont="1">
      <alignment readingOrder="0"/>
    </xf>
    <xf borderId="11" fillId="3" fontId="4" numFmtId="0" xfId="0" applyBorder="1" applyFill="1" applyFont="1"/>
    <xf borderId="11" fillId="3" fontId="4" numFmtId="0" xfId="0" applyAlignment="1" applyBorder="1" applyFill="1" applyFont="1">
      <alignment readingOrder="0"/>
    </xf>
    <xf borderId="11" fillId="3" fontId="4" numFmtId="171" xfId="0" applyAlignment="1" applyBorder="1" applyFill="1" applyFont="1" applyNumberFormat="1">
      <alignment readingOrder="0"/>
    </xf>
    <xf borderId="23" fillId="3" fontId="4" numFmtId="0" xfId="0" applyBorder="1" applyFill="1" applyFont="1"/>
    <xf borderId="0" fillId="0" fontId="4" numFmtId="171" xfId="0" applyAlignment="1" applyFont="1" applyNumberFormat="1">
      <alignment readingOrder="0"/>
    </xf>
    <xf borderId="14" fillId="0" fontId="1" numFmtId="0" xfId="0" applyAlignment="1" applyBorder="1" applyFont="1">
      <alignment readingOrder="0"/>
    </xf>
    <xf borderId="14" fillId="0" fontId="1" numFmtId="0" xfId="0" applyBorder="1" applyFont="1"/>
    <xf borderId="0" fillId="0" fontId="4" numFmtId="0" xfId="0" applyAlignment="1" applyFont="1">
      <alignment readingOrder="0"/>
    </xf>
    <xf borderId="43" fillId="5" fontId="3" numFmtId="9" xfId="0" applyAlignment="1" applyBorder="1" applyFill="1" applyFont="1" applyNumberFormat="1">
      <alignment horizontal="center" readingOrder="0"/>
    </xf>
    <xf borderId="39" fillId="10" fontId="7" numFmtId="3" xfId="0" applyAlignment="1" applyBorder="1" applyFill="1" applyFont="1" applyNumberFormat="1">
      <alignment horizontal="center" readingOrder="0"/>
    </xf>
    <xf borderId="22" fillId="10" fontId="7" numFmtId="3" xfId="0" applyAlignment="1" applyBorder="1" applyFill="1" applyFont="1" applyNumberFormat="1">
      <alignment horizontal="center" readingOrder="0"/>
    </xf>
    <xf borderId="3" fillId="8" fontId="7" numFmtId="0" xfId="0" applyAlignment="1" applyBorder="1" applyFill="1" applyFont="1">
      <alignment vertical="bottom"/>
    </xf>
    <xf borderId="4" fillId="8" fontId="3" numFmtId="0" xfId="0" applyAlignment="1" applyBorder="1" applyFill="1" applyFont="1">
      <alignment shrinkToFit="0" vertical="bottom" wrapText="1"/>
    </xf>
    <xf borderId="3" fillId="8" fontId="3" numFmtId="0" xfId="0" applyAlignment="1" applyBorder="1" applyFill="1" applyFont="1">
      <alignment vertical="bottom"/>
    </xf>
    <xf borderId="4" fillId="9" fontId="7" numFmtId="0" xfId="0" applyAlignment="1" applyBorder="1" applyFill="1" applyFont="1">
      <alignment horizontal="right" vertical="bottom"/>
    </xf>
    <xf borderId="46" fillId="5" fontId="3" numFmtId="0" xfId="0" applyAlignment="1" applyBorder="1" applyFill="1" applyFont="1">
      <alignment horizontal="center" readingOrder="0"/>
    </xf>
    <xf borderId="0" fillId="0" fontId="39" numFmtId="0" xfId="0" applyAlignment="1" applyFont="1">
      <alignment horizontal="left"/>
    </xf>
    <xf borderId="0" fillId="0" fontId="39" numFmtId="0" xfId="0" applyAlignment="1" applyFont="1">
      <alignment horizontal="right"/>
    </xf>
    <xf borderId="0" fillId="0" fontId="39" numFmtId="0" xfId="0" applyAlignment="1" applyFont="1">
      <alignment horizontal="right" readingOrder="0"/>
    </xf>
    <xf borderId="0" fillId="0" fontId="0" numFmtId="0" xfId="0" applyAlignment="1" applyFont="1">
      <alignment horizontal="right" readingOrder="0" shrinkToFit="0" vertical="bottom" wrapText="0"/>
    </xf>
    <xf borderId="0" fillId="0" fontId="0" numFmtId="9" xfId="0" applyAlignment="1" applyFont="1" applyNumberFormat="1">
      <alignment horizontal="right" readingOrder="0" shrinkToFit="0" vertical="bottom" wrapText="0"/>
    </xf>
    <xf borderId="4" fillId="9" fontId="7" numFmtId="3" xfId="0" applyAlignment="1" applyBorder="1" applyFill="1" applyFont="1" applyNumberFormat="1">
      <alignment horizontal="right" vertical="bottom"/>
    </xf>
    <xf borderId="0" fillId="0" fontId="0" numFmtId="3" xfId="0" applyAlignment="1" applyFont="1" applyNumberFormat="1">
      <alignment horizontal="right" readingOrder="0" shrinkToFit="0" vertical="bottom" wrapText="0"/>
    </xf>
    <xf borderId="0" fillId="0" fontId="39" numFmtId="9" xfId="0" applyAlignment="1" applyFont="1" applyNumberFormat="1">
      <alignment horizontal="right" readingOrder="0"/>
    </xf>
    <xf borderId="4" fillId="8" fontId="3" numFmtId="0" xfId="0" applyAlignment="1" applyBorder="1" applyFill="1" applyFont="1">
      <alignment readingOrder="0" shrinkToFit="0" vertical="bottom" wrapText="1"/>
    </xf>
    <xf borderId="4" fillId="9" fontId="7" numFmtId="0" xfId="0" applyAlignment="1" applyBorder="1" applyFill="1" applyFont="1">
      <alignment horizontal="right" readingOrder="0" vertical="bottom"/>
    </xf>
    <xf borderId="0" fillId="0" fontId="39" numFmtId="0" xfId="0" applyAlignment="1" applyFont="1">
      <alignment horizontal="left" readingOrder="0"/>
    </xf>
    <xf borderId="0" fillId="0" fontId="39" numFmtId="0" xfId="0" applyFont="1"/>
    <xf borderId="39" fillId="0" fontId="7" numFmtId="0" xfId="0" applyAlignment="1" applyBorder="1" applyFont="1">
      <alignment horizontal="center" readingOrder="0"/>
    </xf>
    <xf borderId="0" fillId="9" fontId="52" numFmtId="3" xfId="0" applyAlignment="1" applyFill="1" applyFont="1" applyNumberFormat="1">
      <alignment horizontal="center" readingOrder="0" shrinkToFit="0" vertical="bottom" wrapText="0"/>
    </xf>
    <xf borderId="0" fillId="4" fontId="52" numFmtId="0" xfId="0" applyAlignment="1" applyFill="1" applyFont="1">
      <alignment horizontal="center" readingOrder="0" shrinkToFit="0" wrapText="0"/>
    </xf>
    <xf borderId="47" fillId="2" fontId="7" numFmtId="0" xfId="0" applyAlignment="1" applyBorder="1" applyFill="1" applyFont="1">
      <alignment readingOrder="0"/>
    </xf>
    <xf borderId="43" fillId="5" fontId="3" numFmtId="0" xfId="0" applyAlignment="1" applyBorder="1" applyFill="1" applyFont="1">
      <alignment horizontal="center" readingOrder="0"/>
    </xf>
    <xf borderId="0" fillId="0" fontId="1" numFmtId="0" xfId="0" applyFont="1"/>
    <xf borderId="88" fillId="8" fontId="61" numFmtId="0" xfId="0" applyAlignment="1" applyBorder="1" applyFill="1" applyFont="1">
      <alignment readingOrder="0" vertical="top"/>
    </xf>
    <xf borderId="88" fillId="8" fontId="62" numFmtId="0" xfId="0" applyAlignment="1" applyBorder="1" applyFill="1" applyFont="1">
      <alignment horizontal="right" readingOrder="0" vertical="top"/>
    </xf>
    <xf borderId="88" fillId="8" fontId="63" numFmtId="0" xfId="0" applyAlignment="1" applyBorder="1" applyFill="1" applyFont="1">
      <alignment horizontal="center" readingOrder="0" vertical="top"/>
    </xf>
    <xf borderId="88" fillId="8" fontId="4" numFmtId="0" xfId="0" applyAlignment="1" applyBorder="1" applyFill="1" applyFont="1">
      <alignment readingOrder="0" vertical="top"/>
    </xf>
    <xf borderId="88" fillId="9" fontId="1" numFmtId="0" xfId="0" applyAlignment="1" applyBorder="1" applyFill="1" applyFont="1">
      <alignment horizontal="right" readingOrder="0" vertical="top"/>
    </xf>
    <xf borderId="88" fillId="9" fontId="1" numFmtId="3" xfId="0" applyAlignment="1" applyBorder="1" applyFill="1" applyFont="1" applyNumberFormat="1">
      <alignment horizontal="right" readingOrder="0" vertical="top"/>
    </xf>
    <xf borderId="0" fillId="9" fontId="1" numFmtId="3" xfId="0" applyAlignment="1" applyFill="1" applyFont="1" applyNumberFormat="1">
      <alignment horizontal="right" readingOrder="0"/>
    </xf>
    <xf borderId="0" fillId="9" fontId="1" numFmtId="0" xfId="0" applyAlignment="1" applyFill="1" applyFont="1">
      <alignment horizontal="right" readingOrder="0"/>
    </xf>
    <xf borderId="39" fillId="0" fontId="7" numFmtId="3" xfId="0" applyAlignment="1" applyBorder="1" applyFont="1" applyNumberFormat="1">
      <alignment horizontal="center"/>
    </xf>
    <xf borderId="0" fillId="9" fontId="49" numFmtId="3" xfId="0" applyAlignment="1" applyFill="1" applyFont="1" applyNumberFormat="1">
      <alignment horizontal="right" readingOrder="0" vertical="top"/>
    </xf>
    <xf borderId="0" fillId="9" fontId="1" numFmtId="0" xfId="0" applyAlignment="1" applyFill="1" applyFont="1">
      <alignment horizontal="right"/>
    </xf>
    <xf borderId="88" fillId="8" fontId="49" numFmtId="0" xfId="0" applyAlignment="1" applyBorder="1" applyFill="1" applyFont="1">
      <alignment readingOrder="0" vertical="top"/>
    </xf>
    <xf borderId="88" fillId="9" fontId="49" numFmtId="3" xfId="0" applyAlignment="1" applyBorder="1" applyFill="1" applyFont="1" applyNumberFormat="1">
      <alignment horizontal="right" readingOrder="0" vertical="top"/>
    </xf>
    <xf borderId="0" fillId="9" fontId="49" numFmtId="0" xfId="0" applyAlignment="1" applyFill="1" applyFont="1">
      <alignment readingOrder="0"/>
    </xf>
    <xf borderId="0" fillId="8" fontId="49" numFmtId="0" xfId="0" applyAlignment="1" applyFill="1" applyFont="1">
      <alignment readingOrder="0"/>
    </xf>
    <xf borderId="0" fillId="9" fontId="49" numFmtId="3" xfId="0" applyAlignment="1" applyFill="1" applyFont="1" applyNumberFormat="1">
      <alignment readingOrder="0"/>
    </xf>
    <xf borderId="38" fillId="0" fontId="7" numFmtId="3" xfId="0" applyAlignment="1" applyBorder="1" applyFont="1" applyNumberFormat="1">
      <alignment horizontal="center" readingOrder="0"/>
    </xf>
    <xf borderId="0" fillId="0" fontId="1" numFmtId="3" xfId="0" applyAlignment="1" applyFont="1" applyNumberFormat="1">
      <alignment readingOrder="0"/>
    </xf>
    <xf borderId="24" fillId="0" fontId="7" numFmtId="3" xfId="0" applyAlignment="1" applyBorder="1" applyFont="1" applyNumberFormat="1">
      <alignment horizontal="center"/>
    </xf>
    <xf borderId="22" fillId="0" fontId="7" numFmtId="4" xfId="0" applyAlignment="1" applyBorder="1" applyFont="1" applyNumberFormat="1">
      <alignment horizontal="center" readingOrder="0"/>
    </xf>
    <xf borderId="39" fillId="0" fontId="34" numFmtId="0" xfId="0" applyAlignment="1" applyBorder="1" applyFont="1">
      <alignment horizontal="center"/>
    </xf>
    <xf borderId="38" fillId="0" fontId="7" numFmtId="167" xfId="0" applyAlignment="1" applyBorder="1" applyFont="1" applyNumberFormat="1">
      <alignment horizontal="center"/>
    </xf>
    <xf borderId="40" fillId="0" fontId="7" numFmtId="167" xfId="0" applyAlignment="1" applyBorder="1" applyFont="1" applyNumberFormat="1">
      <alignment horizontal="center"/>
    </xf>
    <xf borderId="47" fillId="2" fontId="7" numFmtId="0" xfId="0" applyBorder="1" applyFill="1" applyFont="1"/>
    <xf borderId="9" fillId="3" fontId="27" numFmtId="0" xfId="0" applyAlignment="1" applyBorder="1" applyFill="1" applyFont="1">
      <alignment readingOrder="0" shrinkToFit="0" wrapText="1"/>
    </xf>
    <xf borderId="9" fillId="3" fontId="32" numFmtId="0" xfId="0" applyAlignment="1" applyBorder="1" applyFill="1" applyFont="1">
      <alignment vertical="bottom"/>
    </xf>
    <xf borderId="9" fillId="3" fontId="32" numFmtId="179" xfId="0" applyAlignment="1" applyBorder="1" applyFill="1" applyFont="1" applyNumberFormat="1">
      <alignment horizontal="right" readingOrder="0" vertical="bottom"/>
    </xf>
    <xf borderId="9" fillId="3" fontId="32" numFmtId="175" xfId="0" applyAlignment="1" applyBorder="1" applyFill="1" applyFont="1" applyNumberFormat="1">
      <alignment horizontal="right" readingOrder="0" vertical="bottom"/>
    </xf>
    <xf borderId="14" fillId="16" fontId="4" numFmtId="0" xfId="0" applyAlignment="1" applyBorder="1" applyFill="1" applyFont="1">
      <alignment horizontal="center" readingOrder="0" vertical="top"/>
    </xf>
    <xf borderId="38" fillId="8" fontId="4" numFmtId="0" xfId="0" applyBorder="1" applyFill="1" applyFont="1"/>
    <xf borderId="89" fillId="16" fontId="4" numFmtId="0" xfId="0" applyAlignment="1" applyBorder="1" applyFill="1" applyFont="1">
      <alignment readingOrder="0" vertical="top"/>
    </xf>
    <xf borderId="90" fillId="16" fontId="4" numFmtId="0" xfId="0" applyAlignment="1" applyBorder="1" applyFill="1" applyFont="1">
      <alignment readingOrder="0" vertical="top"/>
    </xf>
    <xf borderId="1" fillId="8" fontId="4" numFmtId="0" xfId="0" applyAlignment="1" applyBorder="1" applyFill="1" applyFont="1">
      <alignment readingOrder="0" vertical="top"/>
    </xf>
    <xf borderId="9" fillId="8" fontId="1" numFmtId="0" xfId="0" applyBorder="1" applyFill="1" applyFont="1"/>
    <xf borderId="2" fillId="8" fontId="1" numFmtId="0" xfId="0" applyBorder="1" applyFill="1" applyFont="1"/>
    <xf borderId="14" fillId="16" fontId="4" numFmtId="0" xfId="0" applyAlignment="1" applyBorder="1" applyFill="1" applyFont="1">
      <alignment readingOrder="0" vertical="top"/>
    </xf>
    <xf borderId="91" fillId="16" fontId="4" numFmtId="0" xfId="0" applyAlignment="1" applyBorder="1" applyFill="1" applyFont="1">
      <alignment readingOrder="0" vertical="top"/>
    </xf>
    <xf borderId="89" fillId="0" fontId="10" numFmtId="0" xfId="0" applyBorder="1" applyFont="1"/>
    <xf borderId="1" fillId="16" fontId="4" numFmtId="0" xfId="0" applyAlignment="1" applyBorder="1" applyFill="1" applyFont="1">
      <alignment readingOrder="0" vertical="top"/>
    </xf>
    <xf borderId="1" fillId="16" fontId="1" numFmtId="0" xfId="0" applyAlignment="1" applyBorder="1" applyFill="1" applyFont="1">
      <alignment readingOrder="0" vertical="top"/>
    </xf>
    <xf borderId="1" fillId="16" fontId="1" numFmtId="0" xfId="0" applyAlignment="1" applyBorder="1" applyFill="1" applyFont="1">
      <alignment horizontal="center" readingOrder="0" vertical="top"/>
    </xf>
    <xf borderId="91" fillId="16" fontId="1" numFmtId="0" xfId="0" applyAlignment="1" applyBorder="1" applyFill="1" applyFont="1">
      <alignment horizontal="center" readingOrder="0" vertical="top"/>
    </xf>
    <xf borderId="91" fillId="16" fontId="1" numFmtId="0" xfId="0" applyAlignment="1" applyBorder="1" applyFill="1" applyFont="1">
      <alignment readingOrder="0" vertical="top"/>
    </xf>
    <xf borderId="91" fillId="16" fontId="1" numFmtId="0" xfId="0" applyAlignment="1" applyBorder="1" applyFill="1" applyFont="1">
      <alignment horizontal="right" readingOrder="0" vertical="top"/>
    </xf>
    <xf borderId="1" fillId="9" fontId="7" numFmtId="0" xfId="0" applyAlignment="1" applyBorder="1" applyFill="1" applyFont="1">
      <alignment readingOrder="0" vertical="top"/>
    </xf>
    <xf borderId="2" fillId="9" fontId="7" numFmtId="0" xfId="0" applyAlignment="1" applyBorder="1" applyFill="1" applyFont="1">
      <alignment readingOrder="0" vertical="top"/>
    </xf>
    <xf borderId="92" fillId="9" fontId="7" numFmtId="0" xfId="0" applyAlignment="1" applyBorder="1" applyFill="1" applyFont="1">
      <alignment readingOrder="0" vertical="top"/>
    </xf>
    <xf borderId="3" fillId="9" fontId="7" numFmtId="0" xfId="0" applyAlignment="1" applyBorder="1" applyFill="1" applyFont="1">
      <alignment readingOrder="0" vertical="top"/>
    </xf>
    <xf borderId="4" fillId="9" fontId="7" numFmtId="0" xfId="0" applyAlignment="1" applyBorder="1" applyFill="1" applyFont="1">
      <alignment readingOrder="0" vertical="top"/>
    </xf>
    <xf borderId="93" fillId="9" fontId="7" numFmtId="0" xfId="0" applyAlignment="1" applyBorder="1" applyFill="1" applyFont="1">
      <alignment readingOrder="0" vertical="top"/>
    </xf>
    <xf borderId="94" fillId="9" fontId="7" numFmtId="0" xfId="0" applyAlignment="1" applyBorder="1" applyFill="1" applyFont="1">
      <alignment readingOrder="0" vertical="top"/>
    </xf>
    <xf borderId="95" fillId="9" fontId="7" numFmtId="0" xfId="0" applyAlignment="1" applyBorder="1" applyFill="1" applyFont="1">
      <alignment readingOrder="0" vertical="top"/>
    </xf>
    <xf borderId="96" fillId="9" fontId="7" numFmtId="0" xfId="0" applyAlignment="1" applyBorder="1" applyFill="1" applyFont="1">
      <alignment readingOrder="0" vertical="top"/>
    </xf>
    <xf borderId="97" fillId="9" fontId="7" numFmtId="0" xfId="0" applyAlignment="1" applyBorder="1" applyFill="1" applyFont="1">
      <alignment readingOrder="0" vertical="top"/>
    </xf>
    <xf borderId="98" fillId="8" fontId="4" numFmtId="0" xfId="0" applyAlignment="1" applyBorder="1" applyFill="1" applyFont="1">
      <alignment horizontal="left" readingOrder="0" vertical="top"/>
    </xf>
    <xf borderId="1" fillId="8" fontId="49" numFmtId="0" xfId="0" applyAlignment="1" applyBorder="1" applyFill="1" applyFont="1">
      <alignment horizontal="left" readingOrder="0" vertical="top"/>
    </xf>
    <xf borderId="96" fillId="9" fontId="7" numFmtId="0" xfId="0" applyAlignment="1" applyBorder="1" applyFill="1" applyFont="1">
      <alignment horizontal="right" readingOrder="0" vertical="top"/>
    </xf>
    <xf borderId="97" fillId="9" fontId="7" numFmtId="0" xfId="0" applyAlignment="1" applyBorder="1" applyFill="1" applyFont="1">
      <alignment horizontal="right" readingOrder="0" vertical="top"/>
    </xf>
    <xf borderId="4" fillId="9" fontId="7" numFmtId="0" xfId="0" applyAlignment="1" applyBorder="1" applyFill="1" applyFont="1">
      <alignment horizontal="right" readingOrder="0" vertical="top"/>
    </xf>
    <xf borderId="4" fillId="9" fontId="7" numFmtId="0" xfId="0" applyAlignment="1" applyBorder="1" applyFill="1" applyFont="1">
      <alignment horizontal="center" readingOrder="0" vertical="top"/>
    </xf>
    <xf borderId="99" fillId="8" fontId="4" numFmtId="0" xfId="0" applyAlignment="1" applyBorder="1" applyFill="1" applyFont="1">
      <alignment horizontal="left" readingOrder="0" vertical="top"/>
    </xf>
    <xf borderId="16" fillId="0" fontId="7" numFmtId="0" xfId="0" applyAlignment="1" applyBorder="1" applyFont="1">
      <alignment vertical="bottom"/>
    </xf>
    <xf borderId="1" fillId="17" fontId="4" numFmtId="0" xfId="0" applyAlignment="1" applyBorder="1" applyFill="1" applyFont="1">
      <alignment readingOrder="0"/>
    </xf>
    <xf borderId="3" fillId="9" fontId="3" numFmtId="0" xfId="0" applyAlignment="1" applyBorder="1" applyFill="1" applyFont="1">
      <alignment horizontal="right" readingOrder="0" vertical="bottom"/>
    </xf>
    <xf borderId="4" fillId="9" fontId="3" numFmtId="0" xfId="0" applyAlignment="1" applyBorder="1" applyFill="1" applyFont="1">
      <alignment horizontal="right" readingOrder="0" vertical="bottom"/>
    </xf>
    <xf borderId="100" fillId="10" fontId="26" numFmtId="172" xfId="0" applyAlignment="1" applyBorder="1" applyFill="1" applyFont="1" applyNumberFormat="1">
      <alignment horizontal="center"/>
    </xf>
    <xf borderId="39" fillId="10" fontId="34" numFmtId="10" xfId="0" applyAlignment="1" applyBorder="1" applyFill="1" applyFont="1" applyNumberFormat="1">
      <alignment horizontal="center" readingOrder="0"/>
    </xf>
    <xf borderId="24" fillId="10" fontId="7" numFmtId="3" xfId="0" applyAlignment="1" applyBorder="1" applyFill="1" applyFont="1" applyNumberFormat="1">
      <alignment horizontal="center" readingOrder="0"/>
    </xf>
    <xf borderId="100" fillId="2" fontId="26" numFmtId="172" xfId="0" applyAlignment="1" applyBorder="1" applyFill="1" applyFont="1" applyNumberFormat="1">
      <alignment horizontal="center"/>
    </xf>
    <xf borderId="24" fillId="2" fontId="7" numFmtId="3" xfId="0" applyAlignment="1" applyBorder="1" applyFill="1" applyFont="1" applyNumberFormat="1">
      <alignment horizontal="center" readingOrder="0"/>
    </xf>
    <xf borderId="100" fillId="10" fontId="26" numFmtId="172" xfId="0" applyAlignment="1" applyBorder="1" applyFill="1" applyFont="1" applyNumberFormat="1">
      <alignment horizontal="center" readingOrder="0"/>
    </xf>
    <xf borderId="46" fillId="5" fontId="7" numFmtId="3" xfId="0" applyAlignment="1" applyBorder="1" applyFill="1" applyFont="1" applyNumberFormat="1">
      <alignment horizontal="center" readingOrder="0"/>
    </xf>
    <xf borderId="1" fillId="8" fontId="4" numFmtId="3" xfId="0" applyAlignment="1" applyBorder="1" applyFill="1" applyFont="1" applyNumberFormat="1">
      <alignment readingOrder="0" shrinkToFit="0" wrapText="1"/>
    </xf>
    <xf borderId="2" fillId="2" fontId="25" numFmtId="0" xfId="0" applyAlignment="1" applyBorder="1" applyFill="1" applyFont="1">
      <alignment readingOrder="0" shrinkToFit="0" wrapText="1"/>
    </xf>
    <xf borderId="1" fillId="5" fontId="4" numFmtId="0" xfId="0" applyAlignment="1" applyBorder="1" applyFill="1" applyFont="1">
      <alignment readingOrder="0"/>
    </xf>
    <xf borderId="24" fillId="0" fontId="7" numFmtId="3" xfId="0" applyAlignment="1" applyBorder="1" applyFont="1" applyNumberFormat="1">
      <alignment horizontal="center" readingOrder="0"/>
    </xf>
    <xf borderId="101" fillId="0" fontId="26" numFmtId="0" xfId="0" applyAlignment="1" applyBorder="1" applyFont="1">
      <alignment horizontal="center" shrinkToFit="0" wrapText="1"/>
    </xf>
    <xf borderId="100" fillId="0" fontId="26" numFmtId="172" xfId="0" applyAlignment="1" applyBorder="1" applyFont="1" applyNumberFormat="1">
      <alignment horizontal="center"/>
    </xf>
    <xf borderId="102" fillId="0" fontId="26" numFmtId="0" xfId="0" applyAlignment="1" applyBorder="1" applyFont="1">
      <alignment horizontal="center" shrinkToFit="0" wrapText="1"/>
    </xf>
    <xf borderId="20" fillId="0" fontId="26" numFmtId="172" xfId="0" applyAlignment="1" applyBorder="1" applyFont="1" applyNumberFormat="1">
      <alignment horizontal="center"/>
    </xf>
    <xf borderId="101" fillId="0" fontId="26" numFmtId="0" xfId="0" applyAlignment="1" applyBorder="1" applyFont="1">
      <alignment horizontal="center" shrinkToFit="0" vertical="bottom" wrapText="1"/>
    </xf>
    <xf borderId="100" fillId="0" fontId="26" numFmtId="172" xfId="0" applyAlignment="1" applyBorder="1" applyFont="1" applyNumberFormat="1">
      <alignment horizontal="center" vertical="bottom"/>
    </xf>
    <xf borderId="0" fillId="0" fontId="7" numFmtId="10" xfId="0" applyAlignment="1" applyFont="1" applyNumberFormat="1">
      <alignment horizontal="right" vertical="bottom"/>
    </xf>
    <xf borderId="102" fillId="0" fontId="26" numFmtId="0" xfId="0" applyAlignment="1" applyBorder="1" applyFont="1">
      <alignment horizontal="center" shrinkToFit="0" vertical="bottom" wrapText="1"/>
    </xf>
    <xf borderId="20" fillId="0" fontId="26" numFmtId="172" xfId="0" applyAlignment="1" applyBorder="1" applyFont="1" applyNumberFormat="1">
      <alignment horizontal="center" vertical="bottom"/>
    </xf>
    <xf borderId="0" fillId="0" fontId="7" numFmtId="0" xfId="0" applyAlignment="1" applyFont="1">
      <alignment horizontal="center" readingOrder="0" vertical="bottom"/>
    </xf>
    <xf borderId="103" fillId="0" fontId="26" numFmtId="0" xfId="0" applyAlignment="1" applyBorder="1" applyFont="1">
      <alignment horizontal="center" shrinkToFit="0" wrapText="1"/>
    </xf>
    <xf borderId="32" fillId="0" fontId="26" numFmtId="172" xfId="0" applyAlignment="1" applyBorder="1" applyFont="1" applyNumberFormat="1">
      <alignment horizontal="center"/>
    </xf>
    <xf borderId="0" fillId="0" fontId="1" numFmtId="172" xfId="0" applyFont="1" applyNumberFormat="1"/>
    <xf borderId="9" fillId="3" fontId="27" numFmtId="0" xfId="0" applyAlignment="1" applyBorder="1" applyFill="1" applyFont="1">
      <alignment readingOrder="0"/>
    </xf>
    <xf borderId="0" fillId="2" fontId="7" numFmtId="0" xfId="0" applyAlignment="1" applyFill="1" applyFont="1">
      <alignment shrinkToFit="0" vertical="bottom" wrapText="0"/>
    </xf>
    <xf borderId="0" fillId="2" fontId="7" numFmtId="0" xfId="0" applyAlignment="1" applyFill="1" applyFont="1">
      <alignment vertical="bottom"/>
    </xf>
    <xf borderId="57" fillId="8" fontId="7" numFmtId="0" xfId="0" applyAlignment="1" applyBorder="1" applyFill="1" applyFont="1">
      <alignment shrinkToFit="0" vertical="bottom" wrapText="0"/>
    </xf>
    <xf borderId="14" fillId="8" fontId="3" numFmtId="0" xfId="0" applyAlignment="1" applyBorder="1" applyFill="1" applyFont="1">
      <alignment readingOrder="0" shrinkToFit="0" vertical="bottom" wrapText="1"/>
    </xf>
    <xf borderId="9" fillId="8" fontId="4" numFmtId="0" xfId="0" applyAlignment="1" applyBorder="1" applyFill="1" applyFont="1">
      <alignment readingOrder="0" shrinkToFit="0" wrapText="1"/>
    </xf>
    <xf borderId="2" fillId="8" fontId="4" numFmtId="0" xfId="0" applyAlignment="1" applyBorder="1" applyFill="1" applyFont="1">
      <alignment readingOrder="0" shrinkToFit="0" wrapText="1"/>
    </xf>
    <xf borderId="1" fillId="8" fontId="4" numFmtId="0" xfId="0" applyBorder="1" applyFill="1" applyFont="1"/>
    <xf borderId="9" fillId="8" fontId="4" numFmtId="0" xfId="0" applyAlignment="1" applyBorder="1" applyFill="1" applyFont="1">
      <alignment readingOrder="0"/>
    </xf>
    <xf borderId="2" fillId="8" fontId="4" numFmtId="0" xfId="0" applyAlignment="1" applyBorder="1" applyFill="1" applyFont="1">
      <alignment readingOrder="0"/>
    </xf>
    <xf borderId="38" fillId="8" fontId="3" numFmtId="0" xfId="0" applyAlignment="1" applyBorder="1" applyFill="1" applyFont="1">
      <alignment readingOrder="0" vertical="bottom"/>
    </xf>
    <xf borderId="1" fillId="8" fontId="7" numFmtId="0" xfId="0" applyAlignment="1" applyBorder="1" applyFill="1" applyFont="1">
      <alignment vertical="bottom"/>
    </xf>
    <xf borderId="38" fillId="8" fontId="4" numFmtId="0" xfId="0" applyAlignment="1" applyBorder="1" applyFill="1" applyFont="1">
      <alignment readingOrder="0" shrinkToFit="0" wrapText="1"/>
    </xf>
    <xf borderId="38" fillId="8" fontId="3" numFmtId="0" xfId="0" applyAlignment="1" applyBorder="1" applyFill="1" applyFont="1">
      <alignment readingOrder="0" vertical="bottom"/>
    </xf>
    <xf borderId="1" fillId="8" fontId="7" numFmtId="0" xfId="0" applyAlignment="1" applyBorder="1" applyFill="1" applyFont="1">
      <alignment shrinkToFit="0" vertical="bottom" wrapText="0"/>
    </xf>
    <xf borderId="1" fillId="8" fontId="1" numFmtId="0" xfId="0" applyAlignment="1" applyBorder="1" applyFill="1" applyFont="1">
      <alignment horizontal="right" readingOrder="0" vertical="top"/>
    </xf>
    <xf borderId="3" fillId="8" fontId="4" numFmtId="0" xfId="0" applyAlignment="1" applyBorder="1" applyFill="1" applyFont="1">
      <alignment readingOrder="0" shrinkToFit="0" wrapText="1"/>
    </xf>
    <xf borderId="100" fillId="2" fontId="26" numFmtId="172" xfId="0" applyAlignment="1" applyBorder="1" applyFill="1" applyFont="1" applyNumberFormat="1">
      <alignment horizontal="center" readingOrder="0"/>
    </xf>
    <xf borderId="1" fillId="8" fontId="1" numFmtId="3" xfId="0" applyAlignment="1" applyBorder="1" applyFill="1" applyFont="1" applyNumberFormat="1">
      <alignment horizontal="right" readingOrder="0" vertical="top"/>
    </xf>
    <xf borderId="3" fillId="8" fontId="3" numFmtId="0" xfId="0" applyAlignment="1" applyBorder="1" applyFill="1" applyFont="1">
      <alignment readingOrder="0" vertical="bottom"/>
    </xf>
    <xf borderId="0" fillId="0" fontId="4" numFmtId="3" xfId="0" applyAlignment="1" applyFont="1" applyNumberFormat="1">
      <alignment horizontal="right" readingOrder="0" vertical="top"/>
    </xf>
    <xf borderId="0" fillId="0" fontId="64" numFmtId="0" xfId="0" applyAlignment="1" applyFont="1">
      <alignment vertical="bottom"/>
    </xf>
    <xf borderId="9" fillId="3" fontId="32" numFmtId="175" xfId="0" applyAlignment="1" applyBorder="1" applyFill="1" applyFont="1" applyNumberFormat="1">
      <alignment horizontal="right" vertical="bottom"/>
    </xf>
    <xf borderId="82" fillId="8" fontId="4" numFmtId="0" xfId="0" applyAlignment="1" applyBorder="1" applyFill="1" applyFont="1">
      <alignment horizontal="center" readingOrder="0" vertical="top"/>
    </xf>
    <xf borderId="35" fillId="9" fontId="7" numFmtId="0" xfId="0" applyAlignment="1" applyBorder="1" applyFill="1" applyFont="1">
      <alignment horizontal="right" vertical="top"/>
    </xf>
    <xf borderId="83" fillId="8" fontId="4" numFmtId="0" xfId="0" applyAlignment="1" applyBorder="1" applyFill="1" applyFont="1">
      <alignment horizontal="center" readingOrder="0" vertical="top"/>
    </xf>
    <xf borderId="62" fillId="9" fontId="7" numFmtId="0" xfId="0" applyAlignment="1" applyBorder="1" applyFill="1" applyFont="1">
      <alignment horizontal="center" vertical="top"/>
    </xf>
    <xf borderId="40" fillId="0" fontId="7" numFmtId="3" xfId="0" applyAlignment="1" applyBorder="1" applyFont="1" applyNumberFormat="1">
      <alignment horizontal="center" readingOrder="0"/>
    </xf>
    <xf borderId="83" fillId="8" fontId="4" numFmtId="0" xfId="0" applyAlignment="1" applyBorder="1" applyFill="1" applyFont="1">
      <alignment readingOrder="0" vertical="top"/>
    </xf>
    <xf borderId="62" fillId="9" fontId="7" numFmtId="0" xfId="0" applyAlignment="1" applyBorder="1" applyFill="1" applyFont="1">
      <alignment horizontal="right" vertical="top"/>
    </xf>
    <xf borderId="83" fillId="8" fontId="4" numFmtId="0" xfId="0" applyAlignment="1" applyBorder="1" applyFill="1" applyFont="1">
      <alignment horizontal="right" readingOrder="0" vertical="top"/>
    </xf>
    <xf borderId="84" fillId="8" fontId="4" numFmtId="0" xfId="0" applyAlignment="1" applyBorder="1" applyFill="1" applyFont="1">
      <alignment horizontal="center" readingOrder="0" vertical="top"/>
    </xf>
    <xf borderId="62" fillId="9" fontId="7" numFmtId="3" xfId="0" applyAlignment="1" applyBorder="1" applyFill="1" applyFont="1" applyNumberFormat="1">
      <alignment horizontal="center" vertical="top"/>
    </xf>
    <xf borderId="1" fillId="8" fontId="49" numFmtId="0" xfId="0" applyAlignment="1" applyBorder="1" applyFill="1" applyFont="1">
      <alignment readingOrder="0"/>
    </xf>
    <xf borderId="1" fillId="9" fontId="4" numFmtId="0" xfId="0" applyAlignment="1" applyBorder="1" applyFill="1" applyFont="1">
      <alignment readingOrder="0"/>
    </xf>
    <xf borderId="1" fillId="8" fontId="49" numFmtId="0" xfId="0" applyAlignment="1" applyBorder="1" applyFill="1" applyFont="1">
      <alignment horizontal="left" readingOrder="0"/>
    </xf>
    <xf borderId="1" fillId="0" fontId="39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readingOrder="0" shrinkToFit="0" wrapText="1"/>
    </xf>
    <xf borderId="18" fillId="0" fontId="2" numFmtId="0" xfId="0" applyBorder="1" applyFont="1"/>
    <xf borderId="47" fillId="0" fontId="7" numFmtId="0" xfId="0" applyAlignment="1" applyBorder="1" applyFont="1">
      <alignment horizontal="center" readingOrder="0"/>
    </xf>
    <xf borderId="1" fillId="8" fontId="36" numFmtId="0" xfId="0" applyAlignment="1" applyBorder="1" applyFill="1" applyFont="1">
      <alignment readingOrder="0"/>
    </xf>
    <xf borderId="1" fillId="8" fontId="36" numFmtId="0" xfId="0" applyBorder="1" applyFill="1" applyFont="1"/>
    <xf borderId="1" fillId="8" fontId="65" numFmtId="0" xfId="0" applyAlignment="1" applyBorder="1" applyFill="1" applyFont="1">
      <alignment horizontal="center" readingOrder="0" shrinkToFit="0" vertical="bottom" wrapText="0"/>
    </xf>
    <xf borderId="1" fillId="8" fontId="65" numFmtId="0" xfId="0" applyAlignment="1" applyBorder="1" applyFill="1" applyFont="1">
      <alignment readingOrder="0" shrinkToFit="0" vertical="bottom" wrapText="0"/>
    </xf>
    <xf borderId="1" fillId="9" fontId="0" numFmtId="3" xfId="0" applyAlignment="1" applyBorder="1" applyFill="1" applyFont="1" applyNumberFormat="1">
      <alignment horizontal="center" readingOrder="0" shrinkToFit="0" vertical="bottom" wrapText="0"/>
    </xf>
    <xf borderId="1" fillId="9" fontId="39" numFmtId="0" xfId="0" applyAlignment="1" applyBorder="1" applyFill="1" applyFont="1">
      <alignment readingOrder="0"/>
    </xf>
    <xf borderId="1" fillId="9" fontId="0" numFmtId="0" xfId="0" applyAlignment="1" applyBorder="1" applyFill="1" applyFont="1">
      <alignment horizontal="center" readingOrder="0" shrinkToFit="0" vertical="bottom" wrapText="0"/>
    </xf>
    <xf borderId="1" fillId="9" fontId="0" numFmtId="3" xfId="0" applyAlignment="1" applyBorder="1" applyFill="1" applyFont="1" applyNumberFormat="1">
      <alignment horizontal="center" readingOrder="0" shrinkToFit="0" wrapText="0"/>
    </xf>
    <xf borderId="0" fillId="0" fontId="52" numFmtId="3" xfId="0" applyAlignment="1" applyFont="1" applyNumberFormat="1">
      <alignment horizontal="center" readingOrder="0" shrinkToFit="0" wrapText="0"/>
    </xf>
    <xf borderId="0" fillId="0" fontId="52" numFmtId="0" xfId="0" applyAlignment="1" applyFont="1">
      <alignment horizontal="center" readingOrder="0" shrinkToFit="0" wrapText="0"/>
    </xf>
    <xf borderId="1" fillId="9" fontId="39" numFmtId="3" xfId="0" applyAlignment="1" applyBorder="1" applyFill="1" applyFont="1" applyNumberFormat="1">
      <alignment readingOrder="0"/>
    </xf>
    <xf borderId="1" fillId="0" fontId="1" numFmtId="9" xfId="0" applyAlignment="1" applyBorder="1" applyFont="1" applyNumberFormat="1">
      <alignment readingOrder="0"/>
    </xf>
    <xf borderId="1" fillId="0" fontId="1" numFmtId="3" xfId="0" applyAlignment="1" applyBorder="1" applyFont="1" applyNumberFormat="1">
      <alignment readingOrder="0"/>
    </xf>
    <xf borderId="0" fillId="10" fontId="7" numFmtId="0" xfId="0" applyAlignment="1" applyFill="1" applyFont="1">
      <alignment horizontal="center" readingOrder="0"/>
    </xf>
    <xf borderId="0" fillId="2" fontId="7" numFmtId="0" xfId="0" applyAlignment="1" applyFill="1" applyFont="1">
      <alignment horizontal="center" readingOrder="0"/>
    </xf>
    <xf borderId="26" fillId="5" fontId="3" numFmtId="3" xfId="0" applyAlignment="1" applyBorder="1" applyFill="1" applyFont="1" applyNumberFormat="1">
      <alignment horizontal="center" readingOrder="0"/>
    </xf>
    <xf borderId="11" fillId="8" fontId="31" numFmtId="49" xfId="0" applyAlignment="1" applyBorder="1" applyFill="1" applyFont="1" applyNumberFormat="1">
      <alignment vertical="bottom"/>
    </xf>
    <xf borderId="23" fillId="8" fontId="31" numFmtId="0" xfId="0" applyAlignment="1" applyBorder="1" applyFill="1" applyFont="1">
      <alignment vertical="bottom"/>
    </xf>
    <xf borderId="57" fillId="9" fontId="30" numFmtId="3" xfId="0" applyAlignment="1" applyBorder="1" applyFill="1" applyFont="1" applyNumberFormat="1">
      <alignment readingOrder="0" vertical="bottom"/>
    </xf>
    <xf borderId="0" fillId="8" fontId="31" numFmtId="49" xfId="0" applyAlignment="1" applyFill="1" applyFont="1" applyNumberFormat="1">
      <alignment vertical="bottom"/>
    </xf>
    <xf borderId="22" fillId="8" fontId="31" numFmtId="0" xfId="0" applyAlignment="1" applyBorder="1" applyFill="1" applyFont="1">
      <alignment vertical="bottom"/>
    </xf>
    <xf borderId="38" fillId="9" fontId="30" numFmtId="0" xfId="0" applyAlignment="1" applyBorder="1" applyFill="1" applyFont="1">
      <alignment readingOrder="0" vertical="bottom"/>
    </xf>
    <xf borderId="16" fillId="8" fontId="31" numFmtId="49" xfId="0" applyAlignment="1" applyBorder="1" applyFill="1" applyFont="1" applyNumberFormat="1">
      <alignment vertical="bottom"/>
    </xf>
    <xf borderId="4" fillId="8" fontId="31" numFmtId="0" xfId="0" applyAlignment="1" applyBorder="1" applyFill="1" applyFont="1">
      <alignment vertical="bottom"/>
    </xf>
    <xf borderId="3" fillId="9" fontId="30" numFmtId="0" xfId="0" applyAlignment="1" applyBorder="1" applyFill="1" applyFont="1">
      <alignment readingOrder="0" vertical="bottom"/>
    </xf>
    <xf borderId="0" fillId="3" fontId="48" numFmtId="0" xfId="0" applyAlignment="1" applyFill="1" applyFont="1">
      <alignment readingOrder="0" shrinkToFit="0" wrapText="1"/>
    </xf>
    <xf borderId="51" fillId="8" fontId="1" numFmtId="180" xfId="0" applyAlignment="1" applyBorder="1" applyFill="1" applyFont="1" applyNumberFormat="1">
      <alignment readingOrder="0"/>
    </xf>
    <xf borderId="48" fillId="8" fontId="4" numFmtId="0" xfId="0" applyAlignment="1" applyBorder="1" applyFill="1" applyFont="1">
      <alignment horizontal="center" readingOrder="0" shrinkToFit="0" vertical="top" wrapText="1"/>
    </xf>
    <xf borderId="51" fillId="8" fontId="4" numFmtId="0" xfId="0" applyAlignment="1" applyBorder="1" applyFill="1" applyFont="1">
      <alignment horizontal="center" readingOrder="0" shrinkToFit="0" vertical="top" wrapText="1"/>
    </xf>
    <xf borderId="50" fillId="2" fontId="4" numFmtId="0" xfId="0" applyAlignment="1" applyBorder="1" applyFill="1" applyFont="1">
      <alignment readingOrder="0" shrinkToFit="0" wrapText="1"/>
    </xf>
    <xf borderId="50" fillId="8" fontId="4" numFmtId="0" xfId="0" applyAlignment="1" applyBorder="1" applyFill="1" applyFont="1">
      <alignment readingOrder="0" shrinkToFit="0" wrapText="1"/>
    </xf>
    <xf borderId="57" fillId="2" fontId="25" numFmtId="0" xfId="0" applyAlignment="1" applyBorder="1" applyFill="1" applyFont="1">
      <alignment readingOrder="0" shrinkToFit="0" wrapText="1"/>
    </xf>
    <xf borderId="16" fillId="9" fontId="1" numFmtId="0" xfId="0" applyAlignment="1" applyBorder="1" applyFill="1" applyFont="1">
      <alignment horizontal="center" readingOrder="0" vertical="top"/>
    </xf>
    <xf borderId="62" fillId="8" fontId="1" numFmtId="0" xfId="0" applyAlignment="1" applyBorder="1" applyFill="1" applyFont="1">
      <alignment horizontal="center" readingOrder="0" vertical="top"/>
    </xf>
    <xf borderId="3" fillId="8" fontId="1" numFmtId="0" xfId="0" applyAlignment="1" applyBorder="1" applyFill="1" applyFont="1">
      <alignment horizontal="center" readingOrder="0" vertical="top"/>
    </xf>
    <xf borderId="104" fillId="8" fontId="1" numFmtId="0" xfId="0" applyAlignment="1" applyBorder="1" applyFill="1" applyFont="1">
      <alignment horizontal="center" readingOrder="0" vertical="top"/>
    </xf>
    <xf borderId="9" fillId="9" fontId="1" numFmtId="0" xfId="0" applyAlignment="1" applyBorder="1" applyFill="1" applyFont="1">
      <alignment horizontal="center" readingOrder="0" vertical="top"/>
    </xf>
    <xf borderId="39" fillId="10" fontId="34" numFmtId="170" xfId="0" applyAlignment="1" applyBorder="1" applyFill="1" applyFont="1" applyNumberFormat="1">
      <alignment horizontal="center" readingOrder="0"/>
    </xf>
    <xf borderId="24" fillId="10" fontId="7" numFmtId="3" xfId="0" applyAlignment="1" applyBorder="1" applyFill="1" applyFont="1" applyNumberFormat="1">
      <alignment horizontal="center"/>
    </xf>
    <xf borderId="47" fillId="10" fontId="7" numFmtId="3" xfId="0" applyAlignment="1" applyBorder="1" applyFill="1" applyFont="1" applyNumberFormat="1">
      <alignment horizontal="center"/>
    </xf>
    <xf borderId="39" fillId="2" fontId="34" numFmtId="170" xfId="0" applyAlignment="1" applyBorder="1" applyFill="1" applyFont="1" applyNumberFormat="1">
      <alignment horizontal="center" readingOrder="0"/>
    </xf>
    <xf borderId="24" fillId="2" fontId="7" numFmtId="3" xfId="0" applyAlignment="1" applyBorder="1" applyFill="1" applyFont="1" applyNumberFormat="1">
      <alignment horizontal="center"/>
    </xf>
    <xf borderId="47" fillId="2" fontId="7" numFmtId="3" xfId="0" applyAlignment="1" applyBorder="1" applyFill="1" applyFont="1" applyNumberFormat="1">
      <alignment horizontal="center"/>
    </xf>
    <xf borderId="9" fillId="9" fontId="1" numFmtId="3" xfId="0" applyAlignment="1" applyBorder="1" applyFill="1" applyFont="1" applyNumberFormat="1">
      <alignment horizontal="center" readingOrder="0" vertical="top"/>
    </xf>
    <xf borderId="9" fillId="9" fontId="4" numFmtId="3" xfId="0" applyAlignment="1" applyBorder="1" applyFill="1" applyFont="1" applyNumberFormat="1">
      <alignment horizontal="center" readingOrder="0" vertical="top"/>
    </xf>
    <xf borderId="105" fillId="0" fontId="4" numFmtId="9" xfId="0" applyAlignment="1" applyBorder="1" applyFont="1" applyNumberFormat="1">
      <alignment horizontal="center" readingOrder="0" vertical="top"/>
    </xf>
    <xf borderId="105" fillId="0" fontId="1" numFmtId="0" xfId="0" applyAlignment="1" applyBorder="1" applyFont="1">
      <alignment vertical="top"/>
    </xf>
    <xf borderId="105" fillId="0" fontId="4" numFmtId="3" xfId="0" applyAlignment="1" applyBorder="1" applyFont="1" applyNumberFormat="1">
      <alignment horizontal="center" readingOrder="0" vertical="top"/>
    </xf>
    <xf borderId="0" fillId="3" fontId="48" numFmtId="0" xfId="0" applyAlignment="1" applyFill="1" applyFont="1">
      <alignment readingOrder="0" shrinkToFit="0" wrapText="1"/>
    </xf>
    <xf borderId="51" fillId="8" fontId="1" numFmtId="0" xfId="0" applyBorder="1" applyFill="1" applyFont="1"/>
    <xf borderId="4" fillId="9" fontId="1" numFmtId="0" xfId="0" applyAlignment="1" applyBorder="1" applyFill="1" applyFont="1">
      <alignment horizontal="center" readingOrder="0" vertical="top"/>
    </xf>
    <xf borderId="51" fillId="8" fontId="4" numFmtId="181" xfId="0" applyAlignment="1" applyBorder="1" applyFill="1" applyFont="1" applyNumberFormat="1">
      <alignment horizontal="center" readingOrder="0" vertical="top"/>
    </xf>
    <xf borderId="106" fillId="9" fontId="1" numFmtId="0" xfId="0" applyAlignment="1" applyBorder="1" applyFill="1" applyFont="1">
      <alignment horizontal="center" readingOrder="0" vertical="top"/>
    </xf>
    <xf borderId="107" fillId="9" fontId="1" numFmtId="0" xfId="0" applyAlignment="1" applyBorder="1" applyFill="1" applyFont="1">
      <alignment horizontal="center" readingOrder="0" vertical="top"/>
    </xf>
    <xf borderId="107" fillId="9" fontId="4" numFmtId="3" xfId="0" applyAlignment="1" applyBorder="1" applyFill="1" applyFont="1" applyNumberFormat="1">
      <alignment horizontal="center" readingOrder="0" vertical="top"/>
    </xf>
    <xf borderId="51" fillId="8" fontId="1" numFmtId="182" xfId="0" applyAlignment="1" applyBorder="1" applyFill="1" applyFont="1" applyNumberFormat="1">
      <alignment readingOrder="0"/>
    </xf>
    <xf borderId="0" fillId="0" fontId="1" numFmtId="183" xfId="0" applyAlignment="1" applyFont="1" applyNumberFormat="1">
      <alignment readingOrder="0"/>
    </xf>
    <xf borderId="0" fillId="0" fontId="48" numFmtId="0" xfId="0" applyAlignment="1" applyFont="1">
      <alignment readingOrder="0" shrinkToFit="0" wrapText="1"/>
    </xf>
    <xf borderId="51" fillId="8" fontId="1" numFmtId="170" xfId="0" applyAlignment="1" applyBorder="1" applyFill="1" applyFont="1" applyNumberFormat="1">
      <alignment readingOrder="0"/>
    </xf>
    <xf borderId="4" fillId="9" fontId="1" numFmtId="170" xfId="0" applyAlignment="1" applyBorder="1" applyFill="1" applyFont="1" applyNumberFormat="1">
      <alignment readingOrder="0"/>
    </xf>
    <xf borderId="0" fillId="3" fontId="24" numFmtId="0" xfId="0" applyAlignment="1" applyFill="1" applyFont="1">
      <alignment horizontal="center" readingOrder="0" vertical="bottom"/>
    </xf>
    <xf borderId="108" fillId="0" fontId="66" numFmtId="0" xfId="0" applyAlignment="1" applyBorder="1" applyFont="1">
      <alignment horizontal="center" readingOrder="0" shrinkToFit="0" vertical="bottom" wrapText="1"/>
    </xf>
    <xf borderId="1" fillId="0" fontId="26" numFmtId="0" xfId="0" applyAlignment="1" applyBorder="1" applyFont="1">
      <alignment readingOrder="0" shrinkToFit="0" vertical="bottom" wrapText="1"/>
    </xf>
    <xf borderId="14" fillId="0" fontId="25" numFmtId="0" xfId="0" applyAlignment="1" applyBorder="1" applyFont="1">
      <alignment readingOrder="0" shrinkToFit="0" vertical="bottom" wrapText="1"/>
    </xf>
    <xf borderId="0" fillId="0" fontId="26" numFmtId="170" xfId="0" applyAlignment="1" applyFont="1" applyNumberFormat="1">
      <alignment readingOrder="0" shrinkToFit="0" vertical="bottom" wrapText="1"/>
    </xf>
    <xf borderId="23" fillId="0" fontId="25" numFmtId="0" xfId="0" applyAlignment="1" applyBorder="1" applyFont="1">
      <alignment readingOrder="0" shrinkToFit="0" wrapText="1"/>
    </xf>
    <xf borderId="57" fillId="0" fontId="25" numFmtId="0" xfId="0" applyAlignment="1" applyBorder="1" applyFont="1">
      <alignment readingOrder="0" shrinkToFit="0" wrapText="1"/>
    </xf>
    <xf borderId="36" fillId="0" fontId="25" numFmtId="0" xfId="0" applyAlignment="1" applyBorder="1" applyFont="1">
      <alignment readingOrder="0" shrinkToFit="0" wrapText="1"/>
    </xf>
    <xf borderId="39" fillId="0" fontId="7" numFmtId="3" xfId="0" applyAlignment="1" applyBorder="1" applyFont="1" applyNumberFormat="1">
      <alignment horizontal="center" readingOrder="0"/>
    </xf>
    <xf borderId="37" fillId="0" fontId="25" numFmtId="166" xfId="0" applyAlignment="1" applyBorder="1" applyFont="1" applyNumberFormat="1">
      <alignment readingOrder="0" shrinkToFit="0" wrapText="1"/>
    </xf>
    <xf borderId="0" fillId="0" fontId="25" numFmtId="166" xfId="0" applyAlignment="1" applyFont="1" applyNumberFormat="1">
      <alignment shrinkToFit="0" vertical="bottom" wrapText="1"/>
    </xf>
    <xf borderId="109" fillId="10" fontId="25" numFmtId="0" xfId="0" applyAlignment="1" applyBorder="1" applyFill="1" applyFont="1">
      <alignment readingOrder="0" vertical="bottom"/>
    </xf>
    <xf borderId="109" fillId="10" fontId="67" numFmtId="3" xfId="0" applyAlignment="1" applyBorder="1" applyFill="1" applyFont="1" applyNumberFormat="1">
      <alignment vertical="bottom"/>
    </xf>
    <xf borderId="109" fillId="10" fontId="66" numFmtId="0" xfId="0" applyAlignment="1" applyBorder="1" applyFill="1" applyFont="1">
      <alignment horizontal="center" readingOrder="0" vertical="bottom"/>
    </xf>
    <xf borderId="38" fillId="10" fontId="26" numFmtId="0" xfId="0" applyAlignment="1" applyBorder="1" applyFill="1" applyFont="1">
      <alignment horizontal="center" readingOrder="0"/>
    </xf>
    <xf borderId="24" fillId="10" fontId="26" numFmtId="0" xfId="0" applyAlignment="1" applyBorder="1" applyFill="1" applyFont="1">
      <alignment horizontal="center" readingOrder="0"/>
    </xf>
    <xf borderId="0" fillId="10" fontId="67" numFmtId="170" xfId="0" applyAlignment="1" applyFill="1" applyFont="1" applyNumberFormat="1">
      <alignment horizontal="right" readingOrder="0" shrinkToFit="0" vertical="bottom" wrapText="1"/>
    </xf>
    <xf borderId="110" fillId="10" fontId="26" numFmtId="0" xfId="0" applyAlignment="1" applyBorder="1" applyFill="1" applyFont="1">
      <alignment horizontal="center" readingOrder="0"/>
    </xf>
    <xf borderId="22" fillId="10" fontId="26" numFmtId="0" xfId="0" applyAlignment="1" applyBorder="1" applyFill="1" applyFont="1">
      <alignment horizontal="center" readingOrder="0"/>
    </xf>
    <xf borderId="47" fillId="10" fontId="26" numFmtId="3" xfId="0" applyAlignment="1" applyBorder="1" applyFill="1" applyFont="1" applyNumberFormat="1">
      <alignment horizontal="center"/>
    </xf>
    <xf borderId="47" fillId="10" fontId="26" numFmtId="0" xfId="0" applyAlignment="1" applyBorder="1" applyFill="1" applyFont="1">
      <alignment horizontal="center" readingOrder="0"/>
    </xf>
    <xf borderId="109" fillId="2" fontId="25" numFmtId="0" xfId="0" applyAlignment="1" applyBorder="1" applyFill="1" applyFont="1">
      <alignment readingOrder="0" vertical="bottom"/>
    </xf>
    <xf borderId="109" fillId="2" fontId="67" numFmtId="3" xfId="0" applyAlignment="1" applyBorder="1" applyFill="1" applyFont="1" applyNumberFormat="1">
      <alignment vertical="bottom"/>
    </xf>
    <xf borderId="109" fillId="2" fontId="66" numFmtId="0" xfId="0" applyAlignment="1" applyBorder="1" applyFill="1" applyFont="1">
      <alignment horizontal="center" readingOrder="0" vertical="bottom"/>
    </xf>
    <xf borderId="38" fillId="2" fontId="26" numFmtId="0" xfId="0" applyAlignment="1" applyBorder="1" applyFill="1" applyFont="1">
      <alignment horizontal="center" readingOrder="0"/>
    </xf>
    <xf borderId="24" fillId="2" fontId="26" numFmtId="0" xfId="0" applyAlignment="1" applyBorder="1" applyFill="1" applyFont="1">
      <alignment horizontal="center" readingOrder="0"/>
    </xf>
    <xf borderId="0" fillId="2" fontId="67" numFmtId="170" xfId="0" applyAlignment="1" applyFill="1" applyFont="1" applyNumberFormat="1">
      <alignment horizontal="right" readingOrder="0" shrinkToFit="0" vertical="bottom" wrapText="1"/>
    </xf>
    <xf borderId="110" fillId="2" fontId="26" numFmtId="0" xfId="0" applyAlignment="1" applyBorder="1" applyFill="1" applyFont="1">
      <alignment horizontal="center" readingOrder="0"/>
    </xf>
    <xf borderId="22" fillId="2" fontId="26" numFmtId="0" xfId="0" applyAlignment="1" applyBorder="1" applyFill="1" applyFont="1">
      <alignment horizontal="center" readingOrder="0"/>
    </xf>
    <xf borderId="47" fillId="2" fontId="26" numFmtId="3" xfId="0" applyAlignment="1" applyBorder="1" applyFill="1" applyFont="1" applyNumberFormat="1">
      <alignment horizontal="center"/>
    </xf>
    <xf borderId="47" fillId="2" fontId="26" numFmtId="0" xfId="0" applyAlignment="1" applyBorder="1" applyFill="1" applyFont="1">
      <alignment horizontal="center" readingOrder="0"/>
    </xf>
    <xf borderId="109" fillId="0" fontId="25" numFmtId="3" xfId="0" applyAlignment="1" applyBorder="1" applyFont="1" applyNumberFormat="1">
      <alignment readingOrder="0" vertical="bottom"/>
    </xf>
    <xf borderId="109" fillId="0" fontId="67" numFmtId="3" xfId="0" applyAlignment="1" applyBorder="1" applyFont="1" applyNumberFormat="1">
      <alignment vertical="bottom"/>
    </xf>
    <xf borderId="109" fillId="0" fontId="66" numFmtId="3" xfId="0" applyAlignment="1" applyBorder="1" applyFont="1" applyNumberFormat="1">
      <alignment horizontal="center" readingOrder="0" vertical="bottom"/>
    </xf>
    <xf borderId="0" fillId="0" fontId="25" numFmtId="3" xfId="0" applyAlignment="1" applyFont="1" applyNumberFormat="1">
      <alignment horizontal="center" readingOrder="0"/>
    </xf>
    <xf borderId="0" fillId="0" fontId="67" numFmtId="170" xfId="0" applyAlignment="1" applyFont="1" applyNumberFormat="1">
      <alignment horizontal="right" readingOrder="0" shrinkToFit="0" vertical="bottom" wrapText="1"/>
    </xf>
    <xf borderId="0" fillId="0" fontId="25" numFmtId="3" xfId="0" applyAlignment="1" applyFont="1" applyNumberFormat="1">
      <alignment horizontal="center" readingOrder="0"/>
    </xf>
    <xf borderId="0" fillId="0" fontId="25" numFmtId="3" xfId="0" applyAlignment="1" applyFont="1" applyNumberFormat="1">
      <alignment horizontal="center"/>
    </xf>
    <xf borderId="16" fillId="0" fontId="66" numFmtId="3" xfId="0" applyAlignment="1" applyBorder="1" applyFont="1" applyNumberFormat="1">
      <alignment horizontal="center" readingOrder="0" vertical="bottom"/>
    </xf>
    <xf borderId="0" fillId="0" fontId="66" numFmtId="3" xfId="0" applyAlignment="1" applyFont="1" applyNumberFormat="1">
      <alignment readingOrder="0" vertical="bottom"/>
    </xf>
    <xf borderId="0" fillId="0" fontId="67" numFmtId="3" xfId="0" applyAlignment="1" applyFont="1" applyNumberFormat="1">
      <alignment vertical="bottom"/>
    </xf>
    <xf borderId="0" fillId="0" fontId="66" numFmtId="3" xfId="0" applyAlignment="1" applyFont="1" applyNumberFormat="1">
      <alignment horizontal="center" readingOrder="0" vertical="bottom"/>
    </xf>
    <xf borderId="0" fillId="0" fontId="25" numFmtId="170" xfId="0" applyAlignment="1" applyFont="1" applyNumberFormat="1">
      <alignment horizontal="center" readingOrder="0"/>
    </xf>
    <xf borderId="0" fillId="18" fontId="68" numFmtId="0" xfId="0" applyAlignment="1" applyFill="1" applyFont="1">
      <alignment horizontal="left" readingOrder="0" vertical="top"/>
    </xf>
    <xf borderId="0" fillId="2" fontId="4" numFmtId="0" xfId="0" applyAlignment="1" applyFill="1" applyFont="1">
      <alignment readingOrder="0" shrinkToFit="0" vertical="bottom" wrapText="1"/>
    </xf>
    <xf borderId="0" fillId="0" fontId="69" numFmtId="0" xfId="0" applyAlignment="1" applyFont="1">
      <alignment horizontal="left" readingOrder="0" vertical="top"/>
    </xf>
    <xf borderId="0" fillId="2" fontId="70" numFmtId="0" xfId="0" applyAlignment="1" applyFill="1" applyFont="1">
      <alignment readingOrder="0"/>
    </xf>
    <xf borderId="0" fillId="0" fontId="70" numFmtId="0" xfId="0" applyAlignment="1" applyFont="1">
      <alignment readingOrder="0"/>
    </xf>
    <xf borderId="0" fillId="0" fontId="70" numFmtId="0" xfId="0" applyAlignment="1" applyFont="1">
      <alignment readingOrder="0"/>
    </xf>
    <xf borderId="39" fillId="0" fontId="7" numFmtId="3" xfId="0" applyAlignment="1" applyBorder="1" applyFont="1" applyNumberFormat="1">
      <alignment horizontal="center"/>
    </xf>
    <xf borderId="111" fillId="0" fontId="7" numFmtId="0" xfId="0" applyAlignment="1" applyBorder="1" applyFont="1">
      <alignment horizontal="center" readingOrder="0"/>
    </xf>
    <xf borderId="57" fillId="0" fontId="7" numFmtId="4" xfId="0" applyAlignment="1" applyBorder="1" applyFont="1" applyNumberFormat="1">
      <alignment horizontal="center" readingOrder="0"/>
    </xf>
    <xf borderId="57" fillId="0" fontId="7" numFmtId="167" xfId="0" applyAlignment="1" applyBorder="1" applyFont="1" applyNumberFormat="1">
      <alignment horizontal="center" readingOrder="0"/>
    </xf>
    <xf borderId="47" fillId="0" fontId="7" numFmtId="3" xfId="0" applyAlignment="1" applyBorder="1" applyFont="1" applyNumberFormat="1">
      <alignment horizontal="center"/>
    </xf>
    <xf borderId="38" fillId="0" fontId="7" numFmtId="4" xfId="0" applyAlignment="1" applyBorder="1" applyFont="1" applyNumberFormat="1">
      <alignment horizontal="center" readingOrder="0"/>
    </xf>
    <xf borderId="112" fillId="5" fontId="36" numFmtId="49" xfId="0" applyAlignment="1" applyBorder="1" applyFill="1" applyFont="1" applyNumberFormat="1">
      <alignment readingOrder="0" shrinkToFit="0" vertical="bottom" wrapText="1"/>
    </xf>
    <xf borderId="60" fillId="9" fontId="36" numFmtId="3" xfId="0" applyAlignment="1" applyBorder="1" applyFill="1" applyFont="1" applyNumberFormat="1">
      <alignment readingOrder="0" shrinkToFit="0" vertical="bottom" wrapText="1"/>
    </xf>
    <xf borderId="60" fillId="9" fontId="36" numFmtId="0" xfId="0" applyAlignment="1" applyBorder="1" applyFill="1" applyFont="1">
      <alignment readingOrder="0" shrinkToFit="0" wrapText="1"/>
    </xf>
    <xf borderId="113" fillId="9" fontId="36" numFmtId="0" xfId="0" applyAlignment="1" applyBorder="1" applyFill="1" applyFont="1">
      <alignment readingOrder="0" shrinkToFit="0" wrapText="1"/>
    </xf>
    <xf borderId="0" fillId="0" fontId="39" numFmtId="0" xfId="0" applyAlignment="1" applyFont="1">
      <alignment shrinkToFit="0" wrapText="1"/>
    </xf>
    <xf borderId="114" fillId="5" fontId="36" numFmtId="49" xfId="0" applyAlignment="1" applyBorder="1" applyFill="1" applyFont="1" applyNumberFormat="1">
      <alignment readingOrder="0" shrinkToFit="0" vertical="bottom" wrapText="1"/>
    </xf>
    <xf borderId="1" fillId="9" fontId="39" numFmtId="0" xfId="0" applyAlignment="1" applyBorder="1" applyFill="1" applyFont="1">
      <alignment readingOrder="0" shrinkToFit="0" vertical="bottom" wrapText="1"/>
    </xf>
    <xf borderId="1" fillId="9" fontId="39" numFmtId="0" xfId="0" applyAlignment="1" applyBorder="1" applyFill="1" applyFont="1">
      <alignment readingOrder="0" shrinkToFit="0" wrapText="1"/>
    </xf>
    <xf borderId="36" fillId="9" fontId="39" numFmtId="0" xfId="0" applyAlignment="1" applyBorder="1" applyFill="1" applyFont="1">
      <alignment readingOrder="0" shrinkToFit="0" wrapText="1"/>
    </xf>
    <xf borderId="114" fillId="5" fontId="36" numFmtId="49" xfId="0" applyAlignment="1" applyBorder="1" applyFill="1" applyFont="1" applyNumberFormat="1">
      <alignment readingOrder="0" vertical="bottom"/>
    </xf>
    <xf borderId="1" fillId="9" fontId="39" numFmtId="171" xfId="0" applyAlignment="1" applyBorder="1" applyFill="1" applyFont="1" applyNumberFormat="1">
      <alignment readingOrder="0" vertical="bottom"/>
    </xf>
    <xf borderId="1" fillId="9" fontId="39" numFmtId="171" xfId="0" applyAlignment="1" applyBorder="1" applyFill="1" applyFont="1" applyNumberFormat="1">
      <alignment readingOrder="0"/>
    </xf>
    <xf borderId="36" fillId="9" fontId="39" numFmtId="171" xfId="0" applyAlignment="1" applyBorder="1" applyFill="1" applyFont="1" applyNumberFormat="1">
      <alignment readingOrder="0"/>
    </xf>
    <xf borderId="110" fillId="5" fontId="36" numFmtId="49" xfId="0" applyAlignment="1" applyBorder="1" applyFill="1" applyFont="1" applyNumberFormat="1">
      <alignment readingOrder="0" vertical="bottom"/>
    </xf>
    <xf borderId="57" fillId="9" fontId="39" numFmtId="171" xfId="0" applyAlignment="1" applyBorder="1" applyFill="1" applyFont="1" applyNumberFormat="1">
      <alignment readingOrder="0" vertical="bottom"/>
    </xf>
    <xf borderId="57" fillId="9" fontId="39" numFmtId="171" xfId="0" applyAlignment="1" applyBorder="1" applyFill="1" applyFont="1" applyNumberFormat="1">
      <alignment readingOrder="0"/>
    </xf>
    <xf borderId="115" fillId="9" fontId="39" numFmtId="171" xfId="0" applyAlignment="1" applyBorder="1" applyFill="1" applyFont="1" applyNumberFormat="1">
      <alignment readingOrder="0"/>
    </xf>
    <xf borderId="60" fillId="5" fontId="36" numFmtId="49" xfId="0" applyAlignment="1" applyBorder="1" applyFill="1" applyFont="1" applyNumberFormat="1">
      <alignment vertical="bottom"/>
    </xf>
    <xf borderId="60" fillId="9" fontId="39" numFmtId="3" xfId="0" applyAlignment="1" applyBorder="1" applyFill="1" applyFont="1" applyNumberFormat="1">
      <alignment readingOrder="0" vertical="bottom"/>
    </xf>
    <xf borderId="60" fillId="9" fontId="39" numFmtId="3" xfId="0" applyAlignment="1" applyBorder="1" applyFill="1" applyFont="1" applyNumberFormat="1">
      <alignment readingOrder="0"/>
    </xf>
    <xf borderId="60" fillId="9" fontId="39" numFmtId="0" xfId="0" applyAlignment="1" applyBorder="1" applyFill="1" applyFont="1">
      <alignment readingOrder="0"/>
    </xf>
    <xf borderId="1" fillId="5" fontId="36" numFmtId="49" xfId="0" applyAlignment="1" applyBorder="1" applyFill="1" applyFont="1" applyNumberFormat="1">
      <alignment vertical="bottom"/>
    </xf>
    <xf borderId="1" fillId="9" fontId="39" numFmtId="3" xfId="0" applyAlignment="1" applyBorder="1" applyFill="1" applyFont="1" applyNumberFormat="1">
      <alignment readingOrder="0" vertical="bottom"/>
    </xf>
    <xf borderId="44" fillId="5" fontId="3" numFmtId="3" xfId="0" applyAlignment="1" applyBorder="1" applyFill="1" applyFont="1" applyNumberFormat="1">
      <alignment horizontal="center" readingOrder="0"/>
    </xf>
    <xf borderId="14" fillId="2" fontId="25" numFmtId="0" xfId="0" applyAlignment="1" applyBorder="1" applyFill="1" applyFont="1">
      <alignment shrinkToFit="0" vertical="bottom" wrapText="1"/>
    </xf>
    <xf borderId="14" fillId="2" fontId="25" numFmtId="0" xfId="0" applyAlignment="1" applyBorder="1" applyFill="1" applyFont="1">
      <alignment shrinkToFit="0" vertical="bottom" wrapText="1"/>
    </xf>
    <xf borderId="35" fillId="2" fontId="25" numFmtId="166" xfId="0" applyAlignment="1" applyBorder="1" applyFill="1" applyFont="1" applyNumberFormat="1">
      <alignment shrinkToFit="0" vertical="bottom" wrapText="1"/>
    </xf>
    <xf borderId="36" fillId="2" fontId="25" numFmtId="0" xfId="0" applyAlignment="1" applyBorder="1" applyFill="1" applyFont="1">
      <alignment shrinkToFit="0" vertical="bottom" wrapText="1"/>
    </xf>
    <xf borderId="23" fillId="2" fontId="25" numFmtId="0" xfId="0" applyAlignment="1" applyBorder="1" applyFill="1" applyFont="1">
      <alignment shrinkToFit="0" vertical="bottom" wrapText="1"/>
    </xf>
    <xf borderId="57" fillId="2" fontId="25" numFmtId="0" xfId="0" applyAlignment="1" applyBorder="1" applyFill="1" applyFont="1">
      <alignment shrinkToFit="0" vertical="bottom" wrapText="1"/>
    </xf>
    <xf borderId="37" fillId="2" fontId="25" numFmtId="166" xfId="0" applyAlignment="1" applyBorder="1" applyFill="1" applyFont="1" applyNumberFormat="1">
      <alignment shrinkToFit="0" vertical="bottom" wrapText="1"/>
    </xf>
    <xf borderId="1" fillId="5" fontId="36" numFmtId="49" xfId="0" applyAlignment="1" applyBorder="1" applyFill="1" applyFont="1" applyNumberFormat="1">
      <alignment readingOrder="0" vertical="bottom"/>
    </xf>
    <xf borderId="11" fillId="0" fontId="39" numFmtId="0" xfId="0" applyBorder="1" applyFont="1"/>
    <xf borderId="0" fillId="3" fontId="1" numFmtId="184" xfId="0" applyAlignment="1" applyFill="1" applyFont="1" applyNumberFormat="1">
      <alignment readingOrder="0"/>
    </xf>
    <xf borderId="1" fillId="8" fontId="3" numFmtId="0" xfId="0" applyAlignment="1" applyBorder="1" applyFill="1" applyFont="1">
      <alignment vertical="bottom"/>
    </xf>
    <xf borderId="0" fillId="8" fontId="3" numFmtId="0" xfId="0" applyAlignment="1" applyFill="1" applyFont="1">
      <alignment shrinkToFit="0" vertical="bottom" wrapText="1"/>
    </xf>
    <xf borderId="1" fillId="2" fontId="4" numFmtId="0" xfId="0" applyAlignment="1" applyBorder="1" applyFill="1" applyFont="1">
      <alignment readingOrder="0" shrinkToFit="0" vertical="top" wrapText="1"/>
    </xf>
    <xf borderId="0" fillId="2" fontId="4" numFmtId="0" xfId="0" applyAlignment="1" applyFill="1" applyFont="1">
      <alignment readingOrder="0" shrinkToFit="0" wrapText="1"/>
    </xf>
    <xf borderId="1" fillId="2" fontId="1" numFmtId="0" xfId="0" applyAlignment="1" applyBorder="1" applyFill="1" applyFont="1">
      <alignment horizontal="right" readingOrder="0" vertical="top"/>
    </xf>
    <xf borderId="0" fillId="3" fontId="39" numFmtId="0" xfId="0" applyAlignment="1" applyFill="1" applyFont="1">
      <alignment readingOrder="0"/>
    </xf>
    <xf borderId="0" fillId="3" fontId="39" numFmtId="0" xfId="0" applyFill="1" applyFont="1"/>
    <xf borderId="0" fillId="3" fontId="39" numFmtId="171" xfId="0" applyAlignment="1" applyFill="1" applyFont="1" applyNumberFormat="1">
      <alignment readingOrder="0"/>
    </xf>
    <xf borderId="1" fillId="2" fontId="1" numFmtId="3" xfId="0" applyAlignment="1" applyBorder="1" applyFill="1" applyFont="1" applyNumberFormat="1">
      <alignment horizontal="right" readingOrder="0" vertical="top"/>
    </xf>
    <xf borderId="1" fillId="8" fontId="1" numFmtId="0" xfId="0" applyAlignment="1" applyBorder="1" applyFill="1" applyFont="1">
      <alignment horizontal="left" readingOrder="0" vertical="top"/>
    </xf>
    <xf borderId="1" fillId="8" fontId="7" numFmtId="0" xfId="0" applyAlignment="1" applyBorder="1" applyFill="1" applyFont="1">
      <alignment vertical="bottom"/>
    </xf>
    <xf borderId="1" fillId="8" fontId="7" numFmtId="0" xfId="0" applyAlignment="1" applyBorder="1" applyFill="1" applyFont="1">
      <alignment readingOrder="0" vertical="bottom"/>
    </xf>
    <xf borderId="1" fillId="2" fontId="4" numFmtId="3" xfId="0" applyAlignment="1" applyBorder="1" applyFill="1" applyFont="1" applyNumberFormat="1">
      <alignment horizontal="right" readingOrder="0" vertical="top"/>
    </xf>
    <xf borderId="1" fillId="9" fontId="4" numFmtId="3" xfId="0" applyAlignment="1" applyBorder="1" applyFill="1" applyFont="1" applyNumberFormat="1">
      <alignment horizontal="right" readingOrder="0" vertical="top"/>
    </xf>
    <xf borderId="0" fillId="0" fontId="7" numFmtId="0" xfId="0" applyAlignment="1" applyFont="1">
      <alignment horizontal="center" readingOrder="0"/>
    </xf>
    <xf borderId="0" fillId="3" fontId="1" numFmtId="0" xfId="0" applyAlignment="1" applyFill="1" applyFont="1">
      <alignment horizontal="center"/>
    </xf>
    <xf borderId="0" fillId="3" fontId="71" numFmtId="0" xfId="0" applyAlignment="1" applyFill="1" applyFont="1">
      <alignment readingOrder="0"/>
    </xf>
    <xf borderId="0" fillId="8" fontId="1" numFmtId="0" xfId="0" applyAlignment="1" applyFill="1" applyFont="1">
      <alignment horizontal="center" readingOrder="0" shrinkToFit="0" wrapText="1"/>
    </xf>
    <xf borderId="0" fillId="8" fontId="1" numFmtId="0" xfId="0" applyAlignment="1" applyFill="1" applyFont="1">
      <alignment readingOrder="0" shrinkToFit="0" wrapText="1"/>
    </xf>
    <xf borderId="0" fillId="9" fontId="1" numFmtId="0" xfId="0" applyAlignment="1" applyFill="1" applyFont="1">
      <alignment horizontal="center" readingOrder="0"/>
    </xf>
    <xf quotePrefix="1" borderId="0" fillId="9" fontId="1" numFmtId="0" xfId="0" applyAlignment="1" applyFill="1" applyFont="1">
      <alignment horizontal="center" readingOrder="0"/>
    </xf>
    <xf borderId="0" fillId="8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3" fontId="48" numFmtId="0" xfId="0" applyAlignment="1" applyFill="1" applyFont="1">
      <alignment readingOrder="0"/>
    </xf>
    <xf borderId="0" fillId="3" fontId="48" numFmtId="0" xfId="0" applyFill="1" applyFont="1"/>
    <xf borderId="0" fillId="3" fontId="1" numFmtId="179" xfId="0" applyAlignment="1" applyFill="1" applyFont="1" applyNumberFormat="1">
      <alignment readingOrder="0"/>
    </xf>
    <xf borderId="88" fillId="0" fontId="1" numFmtId="0" xfId="0" applyAlignment="1" applyBorder="1" applyFont="1">
      <alignment horizontal="right" readingOrder="0" vertical="top"/>
    </xf>
    <xf borderId="116" fillId="0" fontId="1" numFmtId="0" xfId="0" applyAlignment="1" applyBorder="1" applyFont="1">
      <alignment vertical="top"/>
    </xf>
    <xf borderId="116" fillId="0" fontId="4" numFmtId="0" xfId="0" applyAlignment="1" applyBorder="1" applyFont="1">
      <alignment readingOrder="0" vertical="top"/>
    </xf>
    <xf borderId="116" fillId="0" fontId="1" numFmtId="0" xfId="0" applyAlignment="1" applyBorder="1" applyFont="1">
      <alignment vertical="top"/>
    </xf>
    <xf borderId="1" fillId="0" fontId="4" numFmtId="0" xfId="0" applyAlignment="1" applyBorder="1" applyFont="1">
      <alignment readingOrder="0" vertical="top"/>
    </xf>
    <xf borderId="1" fillId="0" fontId="4" numFmtId="0" xfId="0" applyAlignment="1" applyBorder="1" applyFont="1">
      <alignment horizontal="center" readingOrder="0" vertical="top"/>
    </xf>
    <xf borderId="1" fillId="5" fontId="1" numFmtId="0" xfId="0" applyAlignment="1" applyBorder="1" applyFill="1" applyFont="1">
      <alignment readingOrder="0" vertical="top"/>
    </xf>
    <xf borderId="1" fillId="9" fontId="1" numFmtId="0" xfId="0" applyAlignment="1" applyBorder="1" applyFill="1" applyFont="1">
      <alignment horizontal="center" readingOrder="0" vertical="top"/>
    </xf>
    <xf borderId="1" fillId="5" fontId="1" numFmtId="0" xfId="0" applyAlignment="1" applyBorder="1" applyFill="1" applyFont="1">
      <alignment readingOrder="0"/>
    </xf>
    <xf borderId="1" fillId="5" fontId="1" numFmtId="0" xfId="0" applyBorder="1" applyFill="1" applyFont="1"/>
    <xf borderId="1" fillId="5" fontId="1" numFmtId="0" xfId="0" applyAlignment="1" applyBorder="1" applyFill="1" applyFont="1">
      <alignment horizontal="right" readingOrder="0" vertical="top"/>
    </xf>
    <xf borderId="1" fillId="5" fontId="1" numFmtId="3" xfId="0" applyAlignment="1" applyBorder="1" applyFill="1" applyFont="1" applyNumberFormat="1">
      <alignment readingOrder="0" vertical="top"/>
    </xf>
    <xf quotePrefix="1" borderId="0" fillId="9" fontId="52" numFmtId="0" xfId="0" applyAlignment="1" applyFill="1" applyFont="1">
      <alignment horizontal="center" readingOrder="0" shrinkToFit="0" vertical="bottom" wrapText="0"/>
    </xf>
    <xf borderId="0" fillId="9" fontId="0" numFmtId="0" xfId="0" applyAlignment="1" applyFill="1" applyFont="1">
      <alignment horizontal="center" readingOrder="0" shrinkToFit="0" vertical="bottom" wrapText="0"/>
    </xf>
    <xf quotePrefix="1" borderId="0" fillId="9" fontId="52" numFmtId="0" xfId="0" applyAlignment="1" applyFill="1" applyFont="1">
      <alignment horizontal="center" readingOrder="0" shrinkToFit="0" wrapText="0"/>
    </xf>
    <xf borderId="0" fillId="9" fontId="52" numFmtId="0" xfId="0" applyAlignment="1" applyFill="1" applyFont="1">
      <alignment horizontal="center" readingOrder="0" shrinkToFit="0" vertical="bottom" wrapText="0"/>
    </xf>
    <xf borderId="0" fillId="8" fontId="52" numFmtId="0" xfId="0" applyAlignment="1" applyFill="1" applyFont="1">
      <alignment readingOrder="0" shrinkToFit="0" vertical="bottom" wrapText="0"/>
    </xf>
    <xf borderId="0" fillId="9" fontId="0" numFmtId="0" xfId="0" applyAlignment="1" applyFill="1" applyFont="1">
      <alignment horizontal="center" readingOrder="0" shrinkToFit="0" wrapText="0"/>
    </xf>
    <xf borderId="1" fillId="5" fontId="4" numFmtId="0" xfId="0" applyAlignment="1" applyBorder="1" applyFill="1" applyFont="1">
      <alignment readingOrder="0" vertical="top"/>
    </xf>
    <xf borderId="1" fillId="9" fontId="1" numFmtId="3" xfId="0" applyAlignment="1" applyBorder="1" applyFill="1" applyFont="1" applyNumberFormat="1">
      <alignment horizontal="center" readingOrder="0" vertical="top"/>
    </xf>
    <xf borderId="1" fillId="9" fontId="1" numFmtId="3" xfId="0" applyAlignment="1" applyBorder="1" applyFill="1" applyFont="1" applyNumberFormat="1">
      <alignment readingOrder="0" vertical="top"/>
    </xf>
    <xf borderId="1" fillId="5" fontId="4" numFmtId="0" xfId="0" applyBorder="1" applyFill="1" applyFont="1"/>
    <xf borderId="0" fillId="9" fontId="1" numFmtId="3" xfId="0" applyAlignment="1" applyFill="1" applyFont="1" applyNumberFormat="1">
      <alignment horizontal="center" readingOrder="0"/>
    </xf>
    <xf borderId="0" fillId="8" fontId="1" numFmtId="3" xfId="0" applyAlignment="1" applyFill="1" applyFont="1" applyNumberFormat="1">
      <alignment horizontal="center" readingOrder="0"/>
    </xf>
    <xf borderId="0" fillId="0" fontId="1" numFmtId="3" xfId="0" applyAlignment="1" applyFont="1" applyNumberFormat="1">
      <alignment horizontal="center" readingOrder="0"/>
    </xf>
    <xf borderId="0" fillId="0" fontId="1" numFmtId="0" xfId="0" applyAlignment="1" applyFont="1">
      <alignment horizontal="center"/>
    </xf>
    <xf borderId="42" fillId="5" fontId="3" numFmtId="0" xfId="0" applyAlignment="1" applyBorder="1" applyFill="1" applyFont="1">
      <alignment horizontal="center" readingOrder="0"/>
    </xf>
    <xf borderId="117" fillId="5" fontId="3" numFmtId="0" xfId="0" applyAlignment="1" applyBorder="1" applyFill="1" applyFont="1">
      <alignment horizontal="center" readingOrder="0"/>
    </xf>
    <xf borderId="14" fillId="3" fontId="4" numFmtId="0" xfId="0" applyAlignment="1" applyBorder="1" applyFill="1" applyFont="1">
      <alignment horizontal="left" readingOrder="0"/>
    </xf>
    <xf borderId="1" fillId="8" fontId="36" numFmtId="0" xfId="0" applyAlignment="1" applyBorder="1" applyFill="1" applyFont="1">
      <alignment horizontal="left" readingOrder="0"/>
    </xf>
    <xf borderId="1" fillId="9" fontId="39" numFmtId="0" xfId="0" applyAlignment="1" applyBorder="1" applyFill="1" applyFont="1">
      <alignment horizontal="right" readingOrder="0"/>
    </xf>
    <xf borderId="0" fillId="19" fontId="1" numFmtId="0" xfId="0" applyFill="1" applyFont="1"/>
    <xf borderId="14" fillId="19" fontId="4" numFmtId="0" xfId="0" applyAlignment="1" applyBorder="1" applyFill="1" applyFont="1">
      <alignment readingOrder="0"/>
    </xf>
    <xf borderId="1" fillId="9" fontId="0" numFmtId="0" xfId="0" applyAlignment="1" applyBorder="1" applyFill="1" applyFont="1">
      <alignment horizontal="right" readingOrder="0" shrinkToFit="0" vertical="bottom" wrapText="0"/>
    </xf>
    <xf borderId="0" fillId="19" fontId="51" numFmtId="0" xfId="0" applyAlignment="1" applyFill="1" applyFont="1">
      <alignment horizontal="center" readingOrder="0" shrinkToFit="0" vertical="bottom" wrapText="0"/>
    </xf>
    <xf borderId="1" fillId="8" fontId="65" numFmtId="0" xfId="0" applyAlignment="1" applyBorder="1" applyFill="1" applyFont="1">
      <alignment horizontal="left" readingOrder="0" shrinkToFit="0" vertical="bottom" wrapText="0"/>
    </xf>
    <xf borderId="1" fillId="19" fontId="0" numFmtId="3" xfId="0" applyAlignment="1" applyBorder="1" applyFill="1" applyFont="1" applyNumberFormat="1">
      <alignment horizontal="left" readingOrder="0" shrinkToFit="0" vertical="bottom" wrapText="0"/>
    </xf>
    <xf borderId="0" fillId="19" fontId="51" numFmtId="0" xfId="0" applyAlignment="1" applyFill="1" applyFont="1">
      <alignment horizontal="left" readingOrder="0" shrinkToFit="0" vertical="bottom" wrapText="0"/>
    </xf>
    <xf borderId="1" fillId="9" fontId="0" numFmtId="3" xfId="0" applyAlignment="1" applyBorder="1" applyFill="1" applyFont="1" applyNumberFormat="1">
      <alignment horizontal="right" readingOrder="0" shrinkToFit="0" vertical="bottom" wrapText="0"/>
    </xf>
    <xf borderId="0" fillId="19" fontId="52" numFmtId="3" xfId="0" applyAlignment="1" applyFill="1" applyFont="1" applyNumberFormat="1">
      <alignment horizontal="center" readingOrder="0" shrinkToFit="0" vertical="bottom" wrapText="0"/>
    </xf>
    <xf borderId="1" fillId="8" fontId="65" numFmtId="3" xfId="0" applyAlignment="1" applyBorder="1" applyFill="1" applyFont="1" applyNumberFormat="1">
      <alignment horizontal="left" readingOrder="0" shrinkToFit="0" vertical="bottom" wrapText="0"/>
    </xf>
    <xf borderId="0" fillId="19" fontId="52" numFmtId="3" xfId="0" applyAlignment="1" applyFill="1" applyFont="1" applyNumberFormat="1">
      <alignment horizontal="left" readingOrder="0" shrinkToFit="0" vertical="bottom" wrapText="0"/>
    </xf>
    <xf borderId="1" fillId="19" fontId="39" numFmtId="3" xfId="0" applyAlignment="1" applyBorder="1" applyFill="1" applyFont="1" applyNumberFormat="1">
      <alignment horizontal="left" readingOrder="0"/>
    </xf>
    <xf borderId="0" fillId="19" fontId="5" numFmtId="0" xfId="0" applyAlignment="1" applyFill="1" applyFont="1">
      <alignment horizontal="left" readingOrder="0"/>
    </xf>
    <xf borderId="0" fillId="19" fontId="39" numFmtId="0" xfId="0" applyAlignment="1" applyFill="1" applyFont="1">
      <alignment horizontal="left"/>
    </xf>
    <xf borderId="0" fillId="19" fontId="1" numFmtId="0" xfId="0" applyAlignment="1" applyFill="1" applyFont="1">
      <alignment readingOrder="0"/>
    </xf>
    <xf borderId="0" fillId="3" fontId="1" numFmtId="0" xfId="0" applyAlignment="1" applyFill="1" applyFont="1">
      <alignment horizontal="left" readingOrder="0"/>
    </xf>
    <xf borderId="39" fillId="0" fontId="34" numFmtId="9" xfId="0" applyAlignment="1" applyBorder="1" applyFont="1" applyNumberFormat="1">
      <alignment horizontal="center" readingOrder="0"/>
    </xf>
    <xf borderId="47" fillId="2" fontId="7" numFmtId="9" xfId="0" applyAlignment="1" applyBorder="1" applyFill="1" applyFont="1" applyNumberFormat="1">
      <alignment readingOrder="0"/>
    </xf>
    <xf borderId="1" fillId="8" fontId="72" numFmtId="0" xfId="0" applyAlignment="1" applyBorder="1" applyFill="1" applyFont="1">
      <alignment readingOrder="0"/>
    </xf>
    <xf borderId="1" fillId="9" fontId="70" numFmtId="0" xfId="0" applyAlignment="1" applyBorder="1" applyFill="1" applyFont="1">
      <alignment readingOrder="0"/>
    </xf>
    <xf borderId="1" fillId="9" fontId="70" numFmtId="3" xfId="0" applyAlignment="1" applyBorder="1" applyFill="1" applyFont="1" applyNumberFormat="1">
      <alignment readingOrder="0"/>
    </xf>
    <xf borderId="38" fillId="10" fontId="7" numFmtId="4" xfId="0" applyAlignment="1" applyBorder="1" applyFill="1" applyFont="1" applyNumberFormat="1">
      <alignment horizontal="center"/>
    </xf>
    <xf borderId="38" fillId="10" fontId="7" numFmtId="167" xfId="0" applyAlignment="1" applyBorder="1" applyFill="1" applyFont="1" applyNumberFormat="1">
      <alignment horizontal="center"/>
    </xf>
    <xf borderId="47" fillId="10" fontId="7" numFmtId="0" xfId="0" applyBorder="1" applyFill="1" applyFont="1"/>
    <xf borderId="0" fillId="0" fontId="4" numFmtId="9" xfId="0" applyFont="1" applyNumberFormat="1"/>
    <xf borderId="38" fillId="2" fontId="7" numFmtId="0" xfId="0" applyAlignment="1" applyBorder="1" applyFill="1" applyFont="1">
      <alignment horizontal="center"/>
    </xf>
    <xf borderId="38" fillId="2" fontId="7" numFmtId="167" xfId="0" applyAlignment="1" applyBorder="1" applyFill="1" applyFont="1" applyNumberFormat="1">
      <alignment horizontal="center"/>
    </xf>
    <xf borderId="47" fillId="2" fontId="7" numFmtId="0" xfId="0" applyBorder="1" applyFill="1" applyFont="1"/>
    <xf borderId="38" fillId="10" fontId="7" numFmtId="0" xfId="0" applyAlignment="1" applyBorder="1" applyFill="1" applyFont="1">
      <alignment horizontal="center"/>
    </xf>
    <xf borderId="47" fillId="10" fontId="7" numFmtId="0" xfId="0" applyBorder="1" applyFill="1" applyFont="1"/>
    <xf borderId="47" fillId="2" fontId="7" numFmtId="0" xfId="0" applyBorder="1" applyFill="1" applyFont="1"/>
    <xf borderId="18" fillId="2" fontId="2" numFmtId="0" xfId="0" applyAlignment="1" applyBorder="1" applyFill="1" applyFont="1">
      <alignment readingOrder="0"/>
    </xf>
    <xf borderId="38" fillId="2" fontId="7" numFmtId="0" xfId="0" applyAlignment="1" applyBorder="1" applyFill="1" applyFont="1">
      <alignment horizontal="center" readingOrder="0"/>
    </xf>
    <xf borderId="40" fillId="2" fontId="7" numFmtId="0" xfId="0" applyAlignment="1" applyBorder="1" applyFill="1" applyFont="1">
      <alignment horizontal="center" readingOrder="0"/>
    </xf>
    <xf borderId="22" fillId="2" fontId="7" numFmtId="0" xfId="0" applyAlignment="1" applyBorder="1" applyFill="1" applyFont="1">
      <alignment horizontal="center" readingOrder="0"/>
    </xf>
    <xf borderId="24" fillId="2" fontId="7" numFmtId="0" xfId="0" applyAlignment="1" applyBorder="1" applyFill="1" applyFont="1">
      <alignment horizontal="center" readingOrder="0"/>
    </xf>
    <xf borderId="39" fillId="2" fontId="34" numFmtId="0" xfId="0" applyAlignment="1" applyBorder="1" applyFill="1" applyFont="1">
      <alignment horizontal="center" readingOrder="0"/>
    </xf>
    <xf borderId="40" fillId="2" fontId="7" numFmtId="3" xfId="0" applyAlignment="1" applyBorder="1" applyFill="1" applyFont="1" applyNumberFormat="1">
      <alignment horizontal="center" readingOrder="0"/>
    </xf>
    <xf borderId="45" fillId="5" fontId="3" numFmtId="0" xfId="0" applyAlignment="1" applyBorder="1" applyFill="1" applyFont="1">
      <alignment horizontal="center"/>
    </xf>
    <xf borderId="43" fillId="5" fontId="3" numFmtId="0" xfId="0" applyAlignment="1" applyBorder="1" applyFill="1" applyFont="1">
      <alignment horizontal="center"/>
    </xf>
    <xf borderId="44" fillId="5" fontId="3" numFmtId="0" xfId="0" applyAlignment="1" applyBorder="1" applyFill="1" applyFont="1">
      <alignment horizontal="center"/>
    </xf>
    <xf borderId="28" fillId="5" fontId="3" numFmtId="0" xfId="0" applyAlignment="1" applyBorder="1" applyFill="1" applyFont="1">
      <alignment horizontal="center"/>
    </xf>
    <xf borderId="26" fillId="5" fontId="3" numFmtId="0" xfId="0" applyAlignment="1" applyBorder="1" applyFill="1" applyFont="1">
      <alignment horizontal="center"/>
    </xf>
    <xf borderId="26" fillId="5" fontId="3" numFmtId="167" xfId="0" applyAlignment="1" applyBorder="1" applyFill="1" applyFont="1" applyNumberFormat="1">
      <alignment horizontal="center"/>
    </xf>
    <xf borderId="46" fillId="5" fontId="3" numFmtId="167" xfId="0" applyBorder="1" applyFill="1" applyFont="1" applyNumberFormat="1"/>
    <xf borderId="1" fillId="9" fontId="4" numFmtId="0" xfId="0" applyBorder="1" applyFill="1" applyFont="1"/>
    <xf borderId="26" fillId="5" fontId="7" numFmtId="0" xfId="0" applyAlignment="1" applyBorder="1" applyFill="1" applyFont="1">
      <alignment horizontal="center" readingOrder="0"/>
    </xf>
    <xf borderId="46" fillId="5" fontId="7" numFmtId="0" xfId="0" applyAlignment="1" applyBorder="1" applyFill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1" fillId="4" fontId="7" numFmtId="0" xfId="0" applyAlignment="1" applyBorder="1" applyFill="1" applyFont="1">
      <alignment vertical="bottom"/>
    </xf>
    <xf borderId="1" fillId="9" fontId="7" numFmtId="0" xfId="0" applyAlignment="1" applyBorder="1" applyFill="1" applyFont="1">
      <alignment horizontal="right" readingOrder="0" vertical="bottom"/>
    </xf>
    <xf borderId="1" fillId="9" fontId="1" numFmtId="9" xfId="0" applyAlignment="1" applyBorder="1" applyFill="1" applyFont="1" applyNumberFormat="1">
      <alignment readingOrder="0"/>
    </xf>
    <xf borderId="1" fillId="4" fontId="4" numFmtId="0" xfId="0" applyAlignment="1" applyBorder="1" applyFill="1" applyFont="1">
      <alignment readingOrder="0"/>
    </xf>
    <xf borderId="1" fillId="9" fontId="4" numFmtId="9" xfId="0" applyAlignment="1" applyBorder="1" applyFill="1" applyFont="1" applyNumberFormat="1">
      <alignment readingOrder="0"/>
    </xf>
    <xf borderId="45" fillId="5" fontId="3" numFmtId="0" xfId="0" applyAlignment="1" applyBorder="1" applyFill="1" applyFont="1">
      <alignment horizontal="center"/>
    </xf>
    <xf borderId="43" fillId="5" fontId="3" numFmtId="9" xfId="0" applyAlignment="1" applyBorder="1" applyFill="1" applyFont="1" applyNumberFormat="1">
      <alignment horizontal="center"/>
    </xf>
    <xf borderId="44" fillId="5" fontId="3" numFmtId="0" xfId="0" applyAlignment="1" applyBorder="1" applyFill="1" applyFont="1">
      <alignment horizontal="center"/>
    </xf>
    <xf borderId="28" fillId="5" fontId="3" numFmtId="0" xfId="0" applyAlignment="1" applyBorder="1" applyFill="1" applyFont="1">
      <alignment horizontal="center"/>
    </xf>
    <xf borderId="26" fillId="5" fontId="3" numFmtId="0" xfId="0" applyAlignment="1" applyBorder="1" applyFill="1" applyFont="1">
      <alignment horizontal="center"/>
    </xf>
    <xf borderId="46" fillId="5" fontId="7" numFmtId="0" xfId="0" applyBorder="1" applyFill="1" applyFont="1"/>
    <xf borderId="1" fillId="8" fontId="72" numFmtId="0" xfId="0" applyAlignment="1" applyBorder="1" applyFill="1" applyFont="1">
      <alignment readingOrder="0" shrinkToFit="0" wrapText="1"/>
    </xf>
    <xf borderId="1" fillId="8" fontId="70" numFmtId="0" xfId="0" applyAlignment="1" applyBorder="1" applyFill="1" applyFont="1">
      <alignment readingOrder="0" shrinkToFit="0" wrapText="1"/>
    </xf>
    <xf borderId="1" fillId="8" fontId="1" numFmtId="0" xfId="0" applyAlignment="1" applyBorder="1" applyFill="1" applyFont="1">
      <alignment readingOrder="0" shrinkToFit="0" wrapText="1"/>
    </xf>
    <xf borderId="0" fillId="0" fontId="72" numFmtId="0" xfId="0" applyAlignment="1" applyFont="1">
      <alignment readingOrder="0"/>
    </xf>
    <xf borderId="1" fillId="8" fontId="70" numFmtId="0" xfId="0" applyAlignment="1" applyBorder="1" applyFill="1" applyFont="1">
      <alignment readingOrder="0"/>
    </xf>
    <xf borderId="1" fillId="8" fontId="4" numFmtId="0" xfId="0" applyAlignment="1" applyBorder="1" applyFill="1" applyFont="1">
      <alignment shrinkToFit="0" wrapText="1"/>
    </xf>
    <xf borderId="1" fillId="8" fontId="4" numFmtId="0" xfId="0" applyAlignment="1" applyBorder="1" applyFill="1" applyFont="1">
      <alignment readingOrder="0"/>
    </xf>
    <xf borderId="38" fillId="10" fontId="7" numFmtId="2" xfId="0" applyAlignment="1" applyBorder="1" applyFill="1" applyFont="1" applyNumberFormat="1">
      <alignment horizontal="center" readingOrder="0"/>
    </xf>
    <xf borderId="38" fillId="2" fontId="7" numFmtId="2" xfId="0" applyAlignment="1" applyBorder="1" applyFill="1" applyFont="1" applyNumberFormat="1">
      <alignment horizontal="center" readingOrder="0"/>
    </xf>
    <xf borderId="1" fillId="4" fontId="1" numFmtId="2" xfId="0" applyBorder="1" applyFill="1" applyFont="1" applyNumberFormat="1"/>
    <xf borderId="1" fillId="8" fontId="1" numFmtId="0" xfId="0" applyAlignment="1" applyBorder="1" applyFill="1" applyFont="1">
      <alignment readingOrder="0" vertical="top"/>
    </xf>
    <xf borderId="1" fillId="8" fontId="1" numFmtId="2" xfId="0" applyBorder="1" applyFill="1" applyFont="1" applyNumberFormat="1"/>
    <xf borderId="1" fillId="4" fontId="1" numFmtId="0" xfId="0" applyAlignment="1" applyBorder="1" applyFill="1" applyFont="1">
      <alignment readingOrder="0"/>
    </xf>
    <xf borderId="0" fillId="0" fontId="7" numFmtId="0" xfId="0" applyAlignment="1" applyFont="1">
      <alignment horizontal="right" vertical="bottom"/>
    </xf>
    <xf borderId="0" fillId="0" fontId="7" numFmtId="170" xfId="0" applyAlignment="1" applyFont="1" applyNumberFormat="1">
      <alignment horizontal="right" vertical="bottom"/>
    </xf>
    <xf borderId="0" fillId="0" fontId="7" numFmtId="170" xfId="0" applyAlignment="1" applyFont="1" applyNumberFormat="1">
      <alignment vertical="bottom"/>
    </xf>
    <xf borderId="0" fillId="3" fontId="1" numFmtId="3" xfId="0" applyFill="1" applyFont="1" applyNumberFormat="1"/>
    <xf borderId="0" fillId="0" fontId="30" numFmtId="49" xfId="0" applyAlignment="1" applyFont="1" applyNumberFormat="1">
      <alignment vertical="bottom"/>
    </xf>
    <xf borderId="0" fillId="9" fontId="30" numFmtId="3" xfId="0" applyAlignment="1" applyFill="1" applyFont="1" applyNumberFormat="1">
      <alignment readingOrder="0" vertical="bottom"/>
    </xf>
    <xf borderId="0" fillId="9" fontId="1" numFmtId="3" xfId="0" applyAlignment="1" applyFill="1" applyFont="1" applyNumberFormat="1">
      <alignment readingOrder="0"/>
    </xf>
    <xf borderId="9" fillId="3" fontId="4" numFmtId="3" xfId="0" applyBorder="1" applyFill="1" applyFont="1" applyNumberFormat="1"/>
    <xf borderId="9" fillId="3" fontId="4" numFmtId="179" xfId="0" applyAlignment="1" applyBorder="1" applyFill="1" applyFont="1" applyNumberFormat="1">
      <alignment readingOrder="0"/>
    </xf>
    <xf borderId="1" fillId="8" fontId="4" numFmtId="3" xfId="0" applyAlignment="1" applyBorder="1" applyFill="1" applyFont="1" applyNumberFormat="1">
      <alignment readingOrder="0" shrinkToFit="0" wrapText="1"/>
    </xf>
    <xf borderId="1" fillId="9" fontId="1" numFmtId="3" xfId="0" applyAlignment="1" applyBorder="1" applyFill="1" applyFont="1" applyNumberFormat="1">
      <alignment readingOrder="0"/>
    </xf>
    <xf borderId="0" fillId="0" fontId="7" numFmtId="185" xfId="0" applyAlignment="1" applyFont="1" applyNumberFormat="1">
      <alignment horizontal="right" vertical="bottom"/>
    </xf>
    <xf borderId="0" fillId="0" fontId="73" numFmtId="0" xfId="0" applyAlignment="1" applyFont="1">
      <alignment readingOrder="0"/>
    </xf>
    <xf borderId="0" fillId="0" fontId="7" numFmtId="170" xfId="0" applyAlignment="1" applyFont="1" applyNumberFormat="1">
      <alignment horizontal="center" vertical="bottom"/>
    </xf>
    <xf borderId="43" fillId="5" fontId="3" numFmtId="3" xfId="0" applyAlignment="1" applyBorder="1" applyFill="1" applyFont="1" applyNumberFormat="1">
      <alignment horizontal="center" readingOrder="0"/>
    </xf>
    <xf borderId="1" fillId="8" fontId="31" numFmtId="49" xfId="0" applyAlignment="1" applyBorder="1" applyFill="1" applyFont="1" applyNumberFormat="1">
      <alignment vertical="bottom"/>
    </xf>
    <xf borderId="1" fillId="9" fontId="30" numFmtId="3" xfId="0" applyAlignment="1" applyBorder="1" applyFill="1" applyFont="1" applyNumberFormat="1">
      <alignment readingOrder="0" vertical="bottom"/>
    </xf>
    <xf borderId="1" fillId="9" fontId="30" numFmtId="0" xfId="0" applyAlignment="1" applyBorder="1" applyFill="1" applyFont="1">
      <alignment readingOrder="0" vertical="bottom"/>
    </xf>
    <xf borderId="1" fillId="9" fontId="30" numFmtId="0" xfId="0" applyAlignment="1" applyBorder="1" applyFill="1" applyFont="1">
      <alignment vertical="bottom"/>
    </xf>
    <xf borderId="39" fillId="0" fontId="34" numFmtId="170" xfId="0" applyAlignment="1" applyBorder="1" applyFont="1" applyNumberFormat="1">
      <alignment horizontal="center" readingOrder="0"/>
    </xf>
    <xf borderId="26" fillId="5" fontId="3" numFmtId="2" xfId="0" applyAlignment="1" applyBorder="1" applyFill="1" applyFont="1" applyNumberFormat="1">
      <alignment horizontal="center" readingOrder="0"/>
    </xf>
    <xf borderId="14" fillId="3" fontId="36" numFmtId="0" xfId="0" applyAlignment="1" applyBorder="1" applyFill="1" applyFont="1">
      <alignment readingOrder="0"/>
    </xf>
    <xf borderId="9" fillId="3" fontId="36" numFmtId="3" xfId="0" applyBorder="1" applyFill="1" applyFont="1" applyNumberFormat="1"/>
    <xf borderId="9" fillId="3" fontId="36" numFmtId="0" xfId="0" applyBorder="1" applyFill="1" applyFont="1"/>
    <xf borderId="9" fillId="3" fontId="4" numFmtId="175" xfId="0" applyAlignment="1" applyBorder="1" applyFill="1" applyFont="1" applyNumberFormat="1">
      <alignment readingOrder="0"/>
    </xf>
    <xf borderId="0" fillId="3" fontId="4" numFmtId="0" xfId="0" applyFill="1" applyFont="1"/>
    <xf borderId="0" fillId="0" fontId="36" numFmtId="3" xfId="0" applyAlignment="1" applyFont="1" applyNumberFormat="1">
      <alignment readingOrder="0"/>
    </xf>
    <xf borderId="0" fillId="0" fontId="36" numFmtId="0" xfId="0" applyAlignment="1" applyFont="1">
      <alignment readingOrder="0"/>
    </xf>
    <xf borderId="1" fillId="0" fontId="36" numFmtId="49" xfId="0" applyAlignment="1" applyBorder="1" applyFont="1" applyNumberFormat="1">
      <alignment readingOrder="0" vertical="bottom"/>
    </xf>
    <xf borderId="1" fillId="0" fontId="39" numFmtId="171" xfId="0" applyAlignment="1" applyBorder="1" applyFont="1" applyNumberFormat="1">
      <alignment readingOrder="0" vertical="bottom"/>
    </xf>
    <xf borderId="1" fillId="0" fontId="1" numFmtId="171" xfId="0" applyAlignment="1" applyBorder="1" applyFont="1" applyNumberFormat="1">
      <alignment readingOrder="0"/>
    </xf>
    <xf borderId="0" fillId="0" fontId="1" numFmtId="171" xfId="0" applyAlignment="1" applyFont="1" applyNumberFormat="1">
      <alignment readingOrder="0"/>
    </xf>
    <xf borderId="1" fillId="0" fontId="4" numFmtId="3" xfId="0" applyAlignment="1" applyBorder="1" applyFont="1" applyNumberFormat="1">
      <alignment readingOrder="0"/>
    </xf>
    <xf borderId="1" fillId="8" fontId="4" numFmtId="3" xfId="0" applyAlignment="1" applyBorder="1" applyFill="1" applyFont="1" applyNumberFormat="1">
      <alignment readingOrder="0"/>
    </xf>
    <xf borderId="1" fillId="9" fontId="39" numFmtId="3" xfId="0" applyAlignment="1" applyBorder="1" applyFill="1" applyFont="1" applyNumberFormat="1">
      <alignment readingOrder="0"/>
    </xf>
    <xf borderId="0" fillId="0" fontId="39" numFmtId="3" xfId="0" applyAlignment="1" applyFont="1" applyNumberFormat="1">
      <alignment readingOrder="0"/>
    </xf>
    <xf borderId="1" fillId="9" fontId="39" numFmtId="10" xfId="0" applyAlignment="1" applyBorder="1" applyFill="1" applyFont="1" applyNumberFormat="1">
      <alignment readingOrder="0"/>
    </xf>
    <xf borderId="1" fillId="5" fontId="3" numFmtId="3" xfId="0" applyAlignment="1" applyBorder="1" applyFill="1" applyFont="1" applyNumberFormat="1">
      <alignment horizontal="center"/>
    </xf>
    <xf borderId="1" fillId="5" fontId="3" numFmtId="3" xfId="0" applyAlignment="1" applyBorder="1" applyFill="1" applyFont="1" applyNumberFormat="1">
      <alignment horizontal="center" readingOrder="0"/>
    </xf>
    <xf borderId="38" fillId="5" fontId="3" numFmtId="3" xfId="0" applyAlignment="1" applyBorder="1" applyFill="1" applyFont="1" applyNumberFormat="1">
      <alignment horizontal="center" readingOrder="0"/>
    </xf>
    <xf borderId="35" fillId="5" fontId="40" numFmtId="9" xfId="0" applyAlignment="1" applyBorder="1" applyFill="1" applyFont="1" applyNumberFormat="1">
      <alignment horizontal="center" readingOrder="0"/>
    </xf>
    <xf borderId="46" fillId="5" fontId="3" numFmtId="10" xfId="0" applyAlignment="1" applyBorder="1" applyFill="1" applyFont="1" applyNumberFormat="1">
      <alignment readingOrder="0"/>
    </xf>
    <xf borderId="1" fillId="0" fontId="3" numFmtId="0" xfId="0" applyAlignment="1" applyBorder="1" applyFont="1">
      <alignment horizontal="left" readingOrder="0" vertical="bottom"/>
    </xf>
    <xf borderId="1" fillId="8" fontId="3" numFmtId="0" xfId="0" applyAlignment="1" applyBorder="1" applyFill="1" applyFont="1">
      <alignment horizontal="left" readingOrder="0" vertical="bottom"/>
    </xf>
    <xf borderId="40" fillId="0" fontId="7" numFmtId="1" xfId="0" applyAlignment="1" applyBorder="1" applyFont="1" applyNumberFormat="1">
      <alignment horizontal="center" readingOrder="0"/>
    </xf>
    <xf borderId="1" fillId="9" fontId="7" numFmtId="0" xfId="0" applyAlignment="1" applyBorder="1" applyFill="1" applyFont="1">
      <alignment horizontal="right" readingOrder="0" vertical="bottom"/>
    </xf>
    <xf borderId="49" fillId="3" fontId="27" numFmtId="3" xfId="0" applyAlignment="1" applyBorder="1" applyFill="1" applyFont="1" applyNumberFormat="1">
      <alignment readingOrder="0"/>
    </xf>
    <xf borderId="49" fillId="3" fontId="27" numFmtId="0" xfId="0" applyAlignment="1" applyBorder="1" applyFill="1" applyFont="1">
      <alignment readingOrder="0" shrinkToFit="0" wrapText="1"/>
    </xf>
    <xf borderId="0" fillId="0" fontId="31" numFmtId="49" xfId="0" applyAlignment="1" applyFont="1" applyNumberFormat="1">
      <alignment readingOrder="0" vertical="bottom"/>
    </xf>
    <xf borderId="0" fillId="0" fontId="31" numFmtId="49" xfId="0" applyAlignment="1" applyFont="1" applyNumberFormat="1">
      <alignment vertical="bottom"/>
    </xf>
    <xf borderId="0" fillId="0" fontId="31" numFmtId="3" xfId="0" applyAlignment="1" applyFont="1" applyNumberFormat="1">
      <alignment vertical="bottom"/>
    </xf>
    <xf borderId="51" fillId="5" fontId="74" numFmtId="49" xfId="0" applyAlignment="1" applyBorder="1" applyFill="1" applyFont="1" applyNumberFormat="1">
      <alignment shrinkToFit="0" vertical="bottom" wrapText="1"/>
    </xf>
    <xf borderId="118" fillId="5" fontId="74" numFmtId="3" xfId="0" applyAlignment="1" applyBorder="1" applyFill="1" applyFont="1" applyNumberFormat="1">
      <alignment shrinkToFit="0" vertical="bottom" wrapText="1"/>
    </xf>
    <xf borderId="81" fillId="5" fontId="74" numFmtId="0" xfId="0" applyAlignment="1" applyBorder="1" applyFill="1" applyFont="1">
      <alignment shrinkToFit="0" vertical="bottom" wrapText="1"/>
    </xf>
    <xf borderId="65" fillId="5" fontId="74" numFmtId="0" xfId="0" applyAlignment="1" applyBorder="1" applyFill="1" applyFont="1">
      <alignment shrinkToFit="0" vertical="bottom" wrapText="1"/>
    </xf>
    <xf borderId="0" fillId="0" fontId="7" numFmtId="0" xfId="0" applyAlignment="1" applyFont="1">
      <alignment shrinkToFit="0" vertical="bottom" wrapText="1"/>
    </xf>
    <xf borderId="57" fillId="5" fontId="36" numFmtId="49" xfId="0" applyAlignment="1" applyBorder="1" applyFill="1" applyFont="1" applyNumberFormat="1">
      <alignment readingOrder="0" vertical="bottom"/>
    </xf>
    <xf borderId="1" fillId="4" fontId="72" numFmtId="0" xfId="0" applyAlignment="1" applyBorder="1" applyFill="1" applyFont="1">
      <alignment readingOrder="0" shrinkToFit="0" vertical="bottom" wrapText="1"/>
    </xf>
    <xf borderId="57" fillId="9" fontId="39" numFmtId="3" xfId="0" applyAlignment="1" applyBorder="1" applyFill="1" applyFont="1" applyNumberFormat="1">
      <alignment readingOrder="0" vertical="bottom"/>
    </xf>
    <xf borderId="119" fillId="5" fontId="51" numFmtId="49" xfId="0" applyAlignment="1" applyBorder="1" applyFill="1" applyFont="1" applyNumberFormat="1">
      <alignment vertical="bottom"/>
    </xf>
    <xf borderId="4" fillId="9" fontId="52" numFmtId="3" xfId="0" applyAlignment="1" applyBorder="1" applyFill="1" applyFont="1" applyNumberFormat="1">
      <alignment horizontal="center" readingOrder="0" vertical="bottom"/>
    </xf>
    <xf borderId="3" fillId="9" fontId="52" numFmtId="0" xfId="0" applyAlignment="1" applyBorder="1" applyFill="1" applyFont="1">
      <alignment horizontal="center" readingOrder="0" vertical="bottom"/>
    </xf>
    <xf borderId="3" fillId="9" fontId="52" numFmtId="10" xfId="0" applyAlignment="1" applyBorder="1" applyFill="1" applyFont="1" applyNumberFormat="1">
      <alignment horizontal="center" readingOrder="0" vertical="bottom"/>
    </xf>
    <xf borderId="11" fillId="0" fontId="36" numFmtId="49" xfId="0" applyAlignment="1" applyBorder="1" applyFont="1" applyNumberFormat="1">
      <alignment vertical="bottom"/>
    </xf>
    <xf borderId="0" fillId="0" fontId="75" numFmtId="1" xfId="0" applyAlignment="1" applyFont="1" applyNumberFormat="1">
      <alignment horizontal="center" readingOrder="0" vertical="bottom"/>
    </xf>
    <xf borderId="11" fillId="0" fontId="39" numFmtId="3" xfId="0" applyAlignment="1" applyBorder="1" applyFont="1" applyNumberFormat="1">
      <alignment readingOrder="0" vertical="bottom"/>
    </xf>
    <xf borderId="0" fillId="0" fontId="36" numFmtId="49" xfId="0" applyAlignment="1" applyFont="1" applyNumberFormat="1">
      <alignment vertical="bottom"/>
    </xf>
    <xf borderId="0" fillId="0" fontId="39" numFmtId="3" xfId="0" applyAlignment="1" applyFont="1" applyNumberFormat="1">
      <alignment readingOrder="0" vertical="bottom"/>
    </xf>
    <xf borderId="1" fillId="4" fontId="72" numFmtId="1" xfId="0" applyAlignment="1" applyBorder="1" applyFill="1" applyFont="1" applyNumberFormat="1">
      <alignment horizontal="center" vertical="bottom"/>
    </xf>
    <xf borderId="0" fillId="0" fontId="7" numFmtId="0" xfId="0" applyAlignment="1" applyFont="1">
      <alignment vertical="bottom"/>
    </xf>
    <xf borderId="83" fillId="5" fontId="51" numFmtId="49" xfId="0" applyAlignment="1" applyBorder="1" applyFill="1" applyFont="1" applyNumberFormat="1">
      <alignment vertical="bottom"/>
    </xf>
    <xf borderId="2" fillId="9" fontId="52" numFmtId="3" xfId="0" applyAlignment="1" applyBorder="1" applyFill="1" applyFont="1" applyNumberFormat="1">
      <alignment horizontal="center" readingOrder="0" vertical="bottom"/>
    </xf>
    <xf borderId="1" fillId="9" fontId="52" numFmtId="0" xfId="0" applyAlignment="1" applyBorder="1" applyFill="1" applyFont="1">
      <alignment horizontal="center" readingOrder="0" vertical="bottom"/>
    </xf>
    <xf borderId="1" fillId="9" fontId="52" numFmtId="10" xfId="0" applyAlignment="1" applyBorder="1" applyFill="1" applyFont="1" applyNumberFormat="1">
      <alignment horizontal="center" readingOrder="0" vertical="bottom"/>
    </xf>
    <xf borderId="0" fillId="0" fontId="39" numFmtId="3" xfId="0" applyFont="1" applyNumberFormat="1"/>
    <xf borderId="0" fillId="0" fontId="7" numFmtId="0" xfId="0" applyAlignment="1" applyFont="1">
      <alignment readingOrder="0" vertical="bottom"/>
    </xf>
    <xf borderId="83" fillId="5" fontId="51" numFmtId="49" xfId="0" applyAlignment="1" applyBorder="1" applyFill="1" applyFont="1" applyNumberFormat="1">
      <alignment readingOrder="0" vertical="bottom"/>
    </xf>
    <xf borderId="40" fillId="2" fontId="7" numFmtId="49" xfId="0" applyAlignment="1" applyBorder="1" applyFill="1" applyFont="1" applyNumberFormat="1">
      <alignment horizontal="center" readingOrder="0"/>
    </xf>
    <xf borderId="40" fillId="10" fontId="7" numFmtId="49" xfId="0" applyAlignment="1" applyBorder="1" applyFill="1" applyFont="1" applyNumberFormat="1">
      <alignment horizontal="center" readingOrder="0"/>
    </xf>
    <xf borderId="58" fillId="5" fontId="3" numFmtId="49" xfId="0" applyAlignment="1" applyBorder="1" applyFill="1" applyFont="1" applyNumberFormat="1">
      <alignment readingOrder="0" vertical="bottom"/>
    </xf>
    <xf borderId="2" fillId="9" fontId="7" numFmtId="3" xfId="0" applyAlignment="1" applyBorder="1" applyFill="1" applyFont="1" applyNumberFormat="1">
      <alignment horizontal="right" readingOrder="0" vertical="bottom"/>
    </xf>
    <xf borderId="1" fillId="9" fontId="7" numFmtId="10" xfId="0" applyAlignment="1" applyBorder="1" applyFill="1" applyFont="1" applyNumberFormat="1">
      <alignment horizontal="right" readingOrder="0" vertical="bottom"/>
    </xf>
    <xf borderId="0" fillId="0" fontId="7" numFmtId="49" xfId="0" applyAlignment="1" applyFont="1" applyNumberFormat="1">
      <alignment vertical="bottom"/>
    </xf>
    <xf borderId="0" fillId="0" fontId="7" numFmtId="3" xfId="0" applyAlignment="1" applyFont="1" applyNumberFormat="1">
      <alignment vertical="bottom"/>
    </xf>
    <xf borderId="51" fillId="5" fontId="3" numFmtId="49" xfId="0" applyAlignment="1" applyBorder="1" applyFill="1" applyFont="1" applyNumberFormat="1">
      <alignment readingOrder="0" vertical="bottom"/>
    </xf>
    <xf borderId="2" fillId="9" fontId="7" numFmtId="3" xfId="0" applyAlignment="1" applyBorder="1" applyFill="1" applyFont="1" applyNumberFormat="1">
      <alignment readingOrder="0" vertical="bottom"/>
    </xf>
    <xf borderId="1" fillId="9" fontId="7" numFmtId="0" xfId="0" applyAlignment="1" applyBorder="1" applyFill="1" applyFont="1">
      <alignment readingOrder="0" vertical="bottom"/>
    </xf>
    <xf borderId="1" fillId="9" fontId="7" numFmtId="10" xfId="0" applyAlignment="1" applyBorder="1" applyFill="1" applyFont="1" applyNumberFormat="1">
      <alignment readingOrder="0" vertical="bottom"/>
    </xf>
    <xf borderId="51" fillId="8" fontId="3" numFmtId="0" xfId="0" applyAlignment="1" applyBorder="1" applyFill="1" applyFont="1">
      <alignment horizontal="center" vertical="bottom"/>
    </xf>
    <xf borderId="0" fillId="0" fontId="52" numFmtId="3" xfId="0" applyAlignment="1" applyFont="1" applyNumberFormat="1">
      <alignment horizontal="center" readingOrder="0" vertical="bottom"/>
    </xf>
    <xf borderId="0" fillId="0" fontId="7" numFmtId="3" xfId="0" applyAlignment="1" applyFont="1" applyNumberFormat="1">
      <alignment horizontal="right" readingOrder="0" vertical="bottom"/>
    </xf>
    <xf borderId="39" fillId="2" fontId="7" numFmtId="3" xfId="0" applyAlignment="1" applyBorder="1" applyFill="1" applyFont="1" applyNumberFormat="1">
      <alignment horizontal="center" readingOrder="0"/>
    </xf>
    <xf borderId="9" fillId="3" fontId="4" numFmtId="0" xfId="0" applyAlignment="1" applyBorder="1" applyFill="1" applyFont="1">
      <alignment readingOrder="0" shrinkToFit="0" wrapText="1"/>
    </xf>
    <xf borderId="9" fillId="0" fontId="4" numFmtId="0" xfId="0" applyAlignment="1" applyBorder="1" applyFont="1">
      <alignment readingOrder="0"/>
    </xf>
    <xf borderId="1" fillId="5" fontId="4" numFmtId="3" xfId="0" applyAlignment="1" applyBorder="1" applyFill="1" applyFont="1" applyNumberFormat="1">
      <alignment readingOrder="0"/>
    </xf>
    <xf borderId="0" fillId="5" fontId="4" numFmtId="0" xfId="0" applyAlignment="1" applyFill="1" applyFont="1">
      <alignment readingOrder="0"/>
    </xf>
    <xf borderId="1" fillId="9" fontId="1" numFmtId="0" xfId="0" applyBorder="1" applyFill="1" applyFont="1"/>
    <xf borderId="1" fillId="9" fontId="1" numFmtId="3" xfId="0" applyBorder="1" applyFill="1" applyFont="1" applyNumberFormat="1"/>
    <xf borderId="1" fillId="9" fontId="1" numFmtId="49" xfId="0" applyBorder="1" applyFill="1" applyFont="1" applyNumberFormat="1"/>
    <xf borderId="1" fillId="9" fontId="1" numFmtId="10" xfId="0" applyAlignment="1" applyBorder="1" applyFill="1" applyFont="1" applyNumberFormat="1">
      <alignment readingOrder="0" vertical="top"/>
    </xf>
    <xf borderId="1" fillId="9" fontId="1" numFmtId="49" xfId="0" applyAlignment="1" applyBorder="1" applyFill="1" applyFont="1" applyNumberFormat="1">
      <alignment readingOrder="0" vertical="top"/>
    </xf>
    <xf borderId="0" fillId="0" fontId="4" numFmtId="0" xfId="0" applyAlignment="1" applyFont="1">
      <alignment readingOrder="0" shrinkToFit="0" vertical="top" wrapText="1"/>
    </xf>
    <xf borderId="0" fillId="0" fontId="1" numFmtId="0" xfId="0" applyAlignment="1" applyFont="1">
      <alignment readingOrder="0" vertical="top"/>
    </xf>
    <xf borderId="0" fillId="0" fontId="1" numFmtId="0" xfId="0" applyAlignment="1" applyFont="1">
      <alignment horizontal="center" readingOrder="0" vertical="top"/>
    </xf>
    <xf borderId="0" fillId="0" fontId="1" numFmtId="10" xfId="0" applyAlignment="1" applyFont="1" applyNumberFormat="1">
      <alignment readingOrder="0" vertical="top"/>
    </xf>
    <xf borderId="120" fillId="0" fontId="1" numFmtId="10" xfId="0" applyAlignment="1" applyBorder="1" applyFont="1" applyNumberFormat="1">
      <alignment readingOrder="0" vertical="top"/>
    </xf>
    <xf borderId="1" fillId="0" fontId="1" numFmtId="0" xfId="0" applyAlignment="1" applyBorder="1" applyFont="1">
      <alignment readingOrder="0" vertical="top"/>
    </xf>
    <xf borderId="121" fillId="0" fontId="1" numFmtId="10" xfId="0" applyAlignment="1" applyBorder="1" applyFont="1" applyNumberFormat="1">
      <alignment readingOrder="0" vertical="top"/>
    </xf>
    <xf borderId="121" fillId="0" fontId="1" numFmtId="0" xfId="0" applyAlignment="1" applyBorder="1" applyFont="1">
      <alignment readingOrder="0" vertical="top"/>
    </xf>
    <xf borderId="121" fillId="0" fontId="1" numFmtId="0" xfId="0" applyAlignment="1" applyBorder="1" applyFont="1">
      <alignment horizontal="center" readingOrder="0" vertical="top"/>
    </xf>
    <xf borderId="1" fillId="9" fontId="1" numFmtId="49" xfId="0" applyAlignment="1" applyBorder="1" applyFill="1" applyFont="1" applyNumberFormat="1">
      <alignment readingOrder="0"/>
    </xf>
    <xf borderId="1" fillId="5" fontId="4" numFmtId="0" xfId="0" applyAlignment="1" applyBorder="1" applyFill="1" applyFont="1">
      <alignment readingOrder="0"/>
    </xf>
    <xf borderId="0" fillId="0" fontId="1" numFmtId="177" xfId="0" applyAlignment="1" applyFont="1" applyNumberFormat="1">
      <alignment readingOrder="0" shrinkToFit="0" wrapText="1"/>
    </xf>
    <xf borderId="0" fillId="0" fontId="1" numFmtId="3" xfId="0" applyAlignment="1" applyFont="1" applyNumberFormat="1">
      <alignment readingOrder="0" shrinkToFit="0" wrapText="1"/>
    </xf>
    <xf borderId="0" fillId="0" fontId="1" numFmtId="4" xfId="0" applyFont="1" applyNumberFormat="1"/>
    <xf borderId="87" fillId="5" fontId="72" numFmtId="0" xfId="0" applyBorder="1" applyFill="1" applyFont="1"/>
    <xf borderId="87" fillId="5" fontId="72" numFmtId="0" xfId="0" applyAlignment="1" applyBorder="1" applyFill="1" applyFont="1">
      <alignment readingOrder="0"/>
    </xf>
    <xf borderId="57" fillId="5" fontId="72" numFmtId="0" xfId="0" applyBorder="1" applyFill="1" applyFont="1"/>
    <xf borderId="23" fillId="5" fontId="72" numFmtId="0" xfId="0" applyBorder="1" applyFill="1" applyFont="1"/>
    <xf borderId="33" fillId="5" fontId="72" numFmtId="0" xfId="0" applyAlignment="1" applyBorder="1" applyFill="1" applyFont="1">
      <alignment readingOrder="0"/>
    </xf>
    <xf borderId="3" fillId="5" fontId="72" numFmtId="0" xfId="0" applyAlignment="1" applyBorder="1" applyFill="1" applyFont="1">
      <alignment readingOrder="0"/>
    </xf>
    <xf borderId="4" fillId="5" fontId="72" numFmtId="0" xfId="0" applyAlignment="1" applyBorder="1" applyFill="1" applyFont="1">
      <alignment readingOrder="0"/>
    </xf>
    <xf borderId="0" fillId="0" fontId="7" numFmtId="0" xfId="0" applyAlignment="1" applyFont="1">
      <alignment vertical="bottom"/>
    </xf>
    <xf borderId="0" fillId="0" fontId="7" numFmtId="0" xfId="0" applyAlignment="1" applyFont="1">
      <alignment horizontal="right" vertical="bottom"/>
    </xf>
    <xf borderId="43" fillId="5" fontId="3" numFmtId="170" xfId="0" applyAlignment="1" applyBorder="1" applyFill="1" applyFont="1" applyNumberFormat="1">
      <alignment horizontal="center" readingOrder="0"/>
    </xf>
    <xf borderId="87" fillId="3" fontId="27" numFmtId="0" xfId="0" applyAlignment="1" applyBorder="1" applyFill="1" applyFont="1">
      <alignment readingOrder="0"/>
    </xf>
    <xf borderId="11" fillId="3" fontId="27" numFmtId="0" xfId="0" applyBorder="1" applyFill="1" applyFont="1"/>
    <xf borderId="11" fillId="3" fontId="27" numFmtId="0" xfId="0" applyAlignment="1" applyBorder="1" applyFill="1" applyFont="1">
      <alignment readingOrder="0"/>
    </xf>
    <xf borderId="57" fillId="3" fontId="27" numFmtId="175" xfId="0" applyAlignment="1" applyBorder="1" applyFill="1" applyFont="1" applyNumberFormat="1">
      <alignment readingOrder="0"/>
    </xf>
    <xf borderId="23" fillId="3" fontId="27" numFmtId="0" xfId="0" applyBorder="1" applyFill="1" applyFont="1"/>
    <xf borderId="1" fillId="0" fontId="36" numFmtId="0" xfId="0" applyAlignment="1" applyBorder="1" applyFont="1">
      <alignment horizontal="left" readingOrder="0" shrinkToFit="0" vertical="top" wrapText="1"/>
    </xf>
    <xf borderId="1" fillId="0" fontId="4" numFmtId="0" xfId="0" applyAlignment="1" applyBorder="1" applyFont="1">
      <alignment horizontal="left" readingOrder="0" shrinkToFit="0" vertical="bottom" wrapText="1"/>
    </xf>
    <xf borderId="1" fillId="0" fontId="4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horizontal="right" readingOrder="0" vertical="top"/>
    </xf>
    <xf borderId="1" fillId="0" fontId="1" numFmtId="9" xfId="0" applyAlignment="1" applyBorder="1" applyFont="1" applyNumberFormat="1">
      <alignment horizontal="right" readingOrder="0" vertical="top"/>
    </xf>
    <xf borderId="1" fillId="0" fontId="1" numFmtId="3" xfId="0" applyAlignment="1" applyBorder="1" applyFont="1" applyNumberFormat="1">
      <alignment readingOrder="0" vertical="top"/>
    </xf>
    <xf borderId="105" fillId="0" fontId="1" numFmtId="0" xfId="0" applyAlignment="1" applyBorder="1" applyFont="1">
      <alignment readingOrder="0"/>
    </xf>
    <xf borderId="88" fillId="0" fontId="1" numFmtId="0" xfId="0" applyAlignment="1" applyBorder="1" applyFont="1">
      <alignment readingOrder="0"/>
    </xf>
    <xf borderId="1" fillId="0" fontId="4" numFmtId="9" xfId="0" applyAlignment="1" applyBorder="1" applyFont="1" applyNumberFormat="1">
      <alignment readingOrder="0"/>
    </xf>
    <xf borderId="1" fillId="3" fontId="27" numFmtId="175" xfId="0" applyAlignment="1" applyBorder="1" applyFill="1" applyFont="1" applyNumberFormat="1">
      <alignment readingOrder="0"/>
    </xf>
    <xf borderId="1" fillId="0" fontId="4" numFmtId="0" xfId="0" applyAlignment="1" applyBorder="1" applyFont="1">
      <alignment horizontal="left" readingOrder="0" shrinkToFit="0" vertical="top" wrapText="1"/>
    </xf>
    <xf borderId="1" fillId="0" fontId="1" numFmtId="0" xfId="0" applyAlignment="1" applyBorder="1" applyFont="1">
      <alignment horizontal="left" readingOrder="0" shrinkToFit="0" vertical="top" wrapText="1"/>
    </xf>
    <xf borderId="1" fillId="0" fontId="4" numFmtId="0" xfId="0" applyAlignment="1" applyBorder="1" applyFont="1">
      <alignment horizontal="right" readingOrder="0" vertical="top"/>
    </xf>
    <xf borderId="1" fillId="0" fontId="4" numFmtId="0" xfId="0" applyAlignment="1" applyBorder="1" applyFont="1">
      <alignment horizontal="left" readingOrder="0" shrinkToFit="0" vertical="center" wrapText="1"/>
    </xf>
    <xf borderId="1" fillId="0" fontId="39" numFmtId="0" xfId="0" applyAlignment="1" applyBorder="1" applyFont="1">
      <alignment horizontal="right" readingOrder="0"/>
    </xf>
    <xf borderId="1" fillId="0" fontId="27" numFmtId="0" xfId="0" applyAlignment="1" applyBorder="1" applyFont="1">
      <alignment readingOrder="0"/>
    </xf>
    <xf borderId="0" fillId="0" fontId="27" numFmtId="0" xfId="0" applyAlignment="1" applyFont="1">
      <alignment readingOrder="0"/>
    </xf>
    <xf borderId="0" fillId="0" fontId="27" numFmtId="0" xfId="0" applyFont="1"/>
    <xf borderId="0" fillId="0" fontId="27" numFmtId="175" xfId="0" applyAlignment="1" applyFont="1" applyNumberFormat="1">
      <alignment readingOrder="0"/>
    </xf>
    <xf borderId="1" fillId="0" fontId="39" numFmtId="0" xfId="0" applyAlignment="1" applyBorder="1" applyFont="1">
      <alignment horizontal="left" readingOrder="0" shrinkToFit="0" vertical="top" wrapText="1"/>
    </xf>
    <xf borderId="1" fillId="0" fontId="39" numFmtId="0" xfId="0" applyAlignment="1" applyBorder="1" applyFont="1">
      <alignment readingOrder="0" vertical="top"/>
    </xf>
    <xf borderId="1" fillId="0" fontId="39" numFmtId="0" xfId="0" applyAlignment="1" applyBorder="1" applyFont="1">
      <alignment horizontal="right" readingOrder="0" shrinkToFit="0" vertical="top" wrapText="1"/>
    </xf>
    <xf borderId="0" fillId="0" fontId="1" numFmtId="0" xfId="0" applyAlignment="1" applyFont="1">
      <alignment horizontal="left" readingOrder="0" shrinkToFit="0" vertical="top" wrapText="1"/>
    </xf>
    <xf borderId="1" fillId="0" fontId="39" numFmtId="0" xfId="0" applyAlignment="1" applyBorder="1" applyFont="1">
      <alignment horizontal="right" readingOrder="0" vertical="top"/>
    </xf>
    <xf borderId="0" fillId="10" fontId="7" numFmtId="0" xfId="0" applyAlignment="1" applyFill="1" applyFont="1">
      <alignment vertical="bottom"/>
    </xf>
    <xf borderId="0" fillId="10" fontId="7" numFmtId="0" xfId="0" applyAlignment="1" applyFill="1" applyFont="1">
      <alignment horizontal="right" vertical="bottom"/>
    </xf>
    <xf borderId="0" fillId="10" fontId="1" numFmtId="0" xfId="0" applyFill="1" applyFont="1"/>
    <xf borderId="0" fillId="2" fontId="7" numFmtId="0" xfId="0" applyAlignment="1" applyFill="1" applyFont="1">
      <alignment horizontal="right" vertical="bottom"/>
    </xf>
    <xf borderId="1" fillId="0" fontId="1" numFmtId="0" xfId="0" applyAlignment="1" applyBorder="1" applyFont="1">
      <alignment shrinkToFit="0" wrapText="1"/>
    </xf>
    <xf borderId="46" fillId="5" fontId="7" numFmtId="0" xfId="0" applyAlignment="1" applyBorder="1" applyFill="1" applyFont="1">
      <alignment horizontal="center" readingOrder="0"/>
    </xf>
    <xf borderId="1" fillId="3" fontId="27" numFmtId="0" xfId="0" applyAlignment="1" applyBorder="1" applyFill="1" applyFont="1">
      <alignment readingOrder="0"/>
    </xf>
    <xf borderId="0" fillId="0" fontId="31" numFmtId="0" xfId="0" applyAlignment="1" applyFont="1">
      <alignment vertical="bottom"/>
    </xf>
    <xf borderId="9" fillId="3" fontId="4" numFmtId="0" xfId="0" applyAlignment="1" applyBorder="1" applyFill="1" applyFont="1">
      <alignment horizontal="left"/>
    </xf>
    <xf borderId="9" fillId="3" fontId="4" numFmtId="0" xfId="0" applyAlignment="1" applyBorder="1" applyFill="1" applyFont="1">
      <alignment horizontal="left" readingOrder="0"/>
    </xf>
    <xf borderId="0" fillId="0" fontId="30" numFmtId="0" xfId="0" applyAlignment="1" applyFont="1">
      <alignment horizontal="left" vertical="bottom"/>
    </xf>
    <xf borderId="0" fillId="8" fontId="36" numFmtId="0" xfId="0" applyAlignment="1" applyFill="1" applyFont="1">
      <alignment horizontal="left" readingOrder="0" vertical="bottom"/>
    </xf>
    <xf borderId="0" fillId="8" fontId="36" numFmtId="0" xfId="0" applyAlignment="1" applyFill="1" applyFont="1">
      <alignment horizontal="left" readingOrder="0" shrinkToFit="0" vertical="bottom" wrapText="1"/>
    </xf>
    <xf borderId="0" fillId="9" fontId="39" numFmtId="0" xfId="0" applyAlignment="1" applyFill="1" applyFont="1">
      <alignment horizontal="center" readingOrder="0" vertical="bottom"/>
    </xf>
    <xf borderId="0" fillId="8" fontId="36" numFmtId="0" xfId="0" applyAlignment="1" applyFill="1" applyFont="1">
      <alignment horizontal="left" readingOrder="0" shrinkToFit="0" vertical="bottom" wrapText="0"/>
    </xf>
    <xf borderId="22" fillId="8" fontId="36" numFmtId="0" xfId="0" applyAlignment="1" applyBorder="1" applyFill="1" applyFont="1">
      <alignment horizontal="left" readingOrder="0" vertical="bottom"/>
    </xf>
    <xf borderId="2" fillId="9" fontId="39" numFmtId="0" xfId="0" applyAlignment="1" applyBorder="1" applyFill="1" applyFont="1">
      <alignment horizontal="center" readingOrder="0" vertical="bottom"/>
    </xf>
    <xf borderId="0" fillId="0" fontId="7" numFmtId="0" xfId="0" applyAlignment="1" applyFont="1">
      <alignment horizontal="right" readingOrder="0" vertical="bottom"/>
    </xf>
    <xf borderId="0" fillId="8" fontId="36" numFmtId="0" xfId="0" applyAlignment="1" applyFill="1" applyFont="1">
      <alignment horizontal="left" readingOrder="0" shrinkToFit="0" wrapText="1"/>
    </xf>
    <xf borderId="0" fillId="0" fontId="76" numFmtId="0" xfId="0" applyAlignment="1" applyFont="1">
      <alignment vertical="bottom"/>
    </xf>
    <xf borderId="22" fillId="8" fontId="36" numFmtId="0" xfId="0" applyAlignment="1" applyBorder="1" applyFill="1" applyFont="1">
      <alignment horizontal="left" readingOrder="0" shrinkToFit="0" wrapText="1"/>
    </xf>
    <xf borderId="2" fillId="9" fontId="39" numFmtId="0" xfId="0" applyAlignment="1" applyBorder="1" applyFill="1" applyFont="1">
      <alignment horizontal="center" readingOrder="0" shrinkToFit="0" wrapText="1"/>
    </xf>
    <xf borderId="0" fillId="0" fontId="76" numFmtId="0" xfId="0" applyAlignment="1" applyFont="1">
      <alignment horizontal="center" shrinkToFit="0" wrapText="1"/>
    </xf>
    <xf borderId="0" fillId="0" fontId="76" numFmtId="0" xfId="0" applyAlignment="1" applyFont="1">
      <alignment horizontal="right" vertical="bottom"/>
    </xf>
    <xf borderId="0" fillId="20" fontId="36" numFmtId="0" xfId="0" applyAlignment="1" applyFill="1" applyFont="1">
      <alignment horizontal="left" readingOrder="0" shrinkToFit="0" vertical="bottom" wrapText="0"/>
    </xf>
    <xf borderId="0" fillId="0" fontId="76" numFmtId="0" xfId="0" applyAlignment="1" applyFont="1">
      <alignment horizontal="right" vertical="bottom"/>
    </xf>
    <xf borderId="23" fillId="9" fontId="39" numFmtId="0" xfId="0" applyAlignment="1" applyBorder="1" applyFill="1" applyFont="1">
      <alignment horizontal="center" readingOrder="0" vertical="bottom"/>
    </xf>
    <xf borderId="4" fillId="9" fontId="39" numFmtId="0" xfId="0" applyAlignment="1" applyBorder="1" applyFill="1" applyFont="1">
      <alignment horizontal="center" readingOrder="0" vertical="bottom"/>
    </xf>
    <xf borderId="2" fillId="9" fontId="39" numFmtId="3" xfId="0" applyAlignment="1" applyBorder="1" applyFill="1" applyFont="1" applyNumberFormat="1">
      <alignment horizontal="center" readingOrder="0" vertical="bottom"/>
    </xf>
    <xf borderId="1" fillId="8" fontId="36" numFmtId="0" xfId="0" applyAlignment="1" applyBorder="1" applyFill="1" applyFont="1">
      <alignment horizontal="left" readingOrder="0" shrinkToFit="0" vertical="bottom" wrapText="0"/>
    </xf>
    <xf borderId="1" fillId="8" fontId="36" numFmtId="3" xfId="0" applyAlignment="1" applyBorder="1" applyFill="1" applyFont="1" applyNumberFormat="1">
      <alignment horizontal="left" readingOrder="0" shrinkToFit="0" vertical="bottom" wrapText="0"/>
    </xf>
    <xf borderId="0" fillId="8" fontId="36" numFmtId="3" xfId="0" applyAlignment="1" applyFill="1" applyFont="1" applyNumberFormat="1">
      <alignment horizontal="left" readingOrder="0" shrinkToFit="0" vertical="bottom" wrapText="0"/>
    </xf>
    <xf borderId="0" fillId="8" fontId="36" numFmtId="3" xfId="0" applyAlignment="1" applyFill="1" applyFont="1" applyNumberFormat="1">
      <alignment horizontal="left" readingOrder="0" shrinkToFit="0" vertical="bottom" wrapText="0"/>
    </xf>
    <xf borderId="0" fillId="8" fontId="36" numFmtId="0" xfId="0" applyAlignment="1" applyFill="1" applyFont="1">
      <alignment horizontal="left" readingOrder="0"/>
    </xf>
    <xf borderId="22" fillId="8" fontId="36" numFmtId="0" xfId="0" applyAlignment="1" applyBorder="1" applyFill="1" applyFont="1">
      <alignment horizontal="left" readingOrder="0"/>
    </xf>
    <xf borderId="2" fillId="9" fontId="39" numFmtId="0" xfId="0" applyAlignment="1" applyBorder="1" applyFill="1" applyFont="1">
      <alignment horizontal="center" readingOrder="0"/>
    </xf>
    <xf borderId="0" fillId="0" fontId="7" numFmtId="178" xfId="0" applyAlignment="1" applyFont="1" applyNumberFormat="1">
      <alignment vertical="bottom"/>
    </xf>
    <xf borderId="0" fillId="0" fontId="34" numFmtId="178" xfId="0" applyAlignment="1" applyFont="1" applyNumberFormat="1">
      <alignment horizontal="right" vertical="bottom"/>
    </xf>
    <xf borderId="0" fillId="8" fontId="65" numFmtId="3" xfId="0" applyAlignment="1" applyFill="1" applyFont="1" applyNumberFormat="1">
      <alignment horizontal="left" readingOrder="0" vertical="bottom"/>
    </xf>
    <xf borderId="0" fillId="8" fontId="65" numFmtId="0" xfId="0" applyAlignment="1" applyFill="1" applyFont="1">
      <alignment horizontal="left" readingOrder="0" shrinkToFit="0" vertical="bottom" wrapText="1"/>
    </xf>
    <xf borderId="22" fillId="8" fontId="65" numFmtId="0" xfId="0" applyAlignment="1" applyBorder="1" applyFill="1" applyFont="1">
      <alignment horizontal="left" readingOrder="0" shrinkToFit="0" vertical="bottom" wrapText="1"/>
    </xf>
    <xf borderId="2" fillId="9" fontId="0" numFmtId="0" xfId="0" applyAlignment="1" applyBorder="1" applyFill="1" applyFont="1">
      <alignment horizontal="center" readingOrder="0" shrinkToFit="0" vertical="bottom" wrapText="1"/>
    </xf>
    <xf borderId="0" fillId="8" fontId="65" numFmtId="0" xfId="0" applyAlignment="1" applyFill="1" applyFont="1">
      <alignment horizontal="left" readingOrder="0" vertical="bottom"/>
    </xf>
    <xf borderId="2" fillId="9" fontId="0" numFmtId="0" xfId="0" applyAlignment="1" applyBorder="1" applyFill="1" applyFont="1">
      <alignment horizontal="center" readingOrder="0" vertical="bottom"/>
    </xf>
    <xf borderId="1" fillId="4" fontId="1" numFmtId="0" xfId="0" applyBorder="1" applyFill="1" applyFont="1"/>
    <xf borderId="1" fillId="4" fontId="1" numFmtId="3" xfId="0" applyBorder="1" applyFill="1" applyFont="1" applyNumberFormat="1"/>
    <xf borderId="1" fillId="9" fontId="39" numFmtId="0" xfId="0" applyAlignment="1" applyBorder="1" applyFill="1" applyFont="1">
      <alignment horizontal="center" readingOrder="0"/>
    </xf>
    <xf borderId="0" fillId="2" fontId="25" numFmtId="166" xfId="0" applyAlignment="1" applyFill="1" applyFont="1" applyNumberFormat="1">
      <alignment readingOrder="0" shrinkToFit="0" wrapText="1"/>
    </xf>
    <xf borderId="0" fillId="10" fontId="73" numFmtId="0" xfId="0" applyAlignment="1" applyFill="1" applyFont="1">
      <alignment vertical="bottom"/>
    </xf>
    <xf borderId="0" fillId="10" fontId="73" numFmtId="0" xfId="0" applyAlignment="1" applyFill="1" applyFont="1">
      <alignment horizontal="right" vertical="bottom"/>
    </xf>
    <xf borderId="0" fillId="2" fontId="73" numFmtId="0" xfId="0" applyAlignment="1" applyFill="1" applyFont="1">
      <alignment vertical="bottom"/>
    </xf>
    <xf borderId="0" fillId="2" fontId="73" numFmtId="0" xfId="0" applyAlignment="1" applyFill="1" applyFont="1">
      <alignment horizontal="right" vertical="bottom"/>
    </xf>
    <xf borderId="1" fillId="9" fontId="39" numFmtId="3" xfId="0" applyAlignment="1" applyBorder="1" applyFill="1" applyFont="1" applyNumberFormat="1">
      <alignment horizontal="center" readingOrder="0"/>
    </xf>
    <xf borderId="0" fillId="2" fontId="7" numFmtId="0" xfId="0" applyFill="1" applyFont="1"/>
    <xf borderId="0" fillId="5" fontId="3" numFmtId="0" xfId="0" applyAlignment="1" applyFill="1" applyFont="1">
      <alignment horizontal="center" readingOrder="0"/>
    </xf>
    <xf borderId="16" fillId="3" fontId="1" numFmtId="0" xfId="0" applyBorder="1" applyFill="1" applyFont="1"/>
    <xf borderId="48" fillId="8" fontId="77" numFmtId="0" xfId="0" applyAlignment="1" applyBorder="1" applyFill="1" applyFont="1">
      <alignment horizontal="center" readingOrder="0" shrinkToFit="0" wrapText="1"/>
    </xf>
    <xf borderId="118" fillId="0" fontId="10" numFmtId="0" xfId="0" applyBorder="1" applyFont="1"/>
    <xf borderId="122" fillId="8" fontId="77" numFmtId="0" xfId="0" applyAlignment="1" applyBorder="1" applyFill="1" applyFont="1">
      <alignment horizontal="center" readingOrder="0" shrinkToFit="0" wrapText="1"/>
    </xf>
    <xf borderId="0" fillId="8" fontId="4" numFmtId="0" xfId="0" applyAlignment="1" applyFill="1" applyFont="1">
      <alignment horizontal="left" readingOrder="0"/>
    </xf>
    <xf borderId="122" fillId="8" fontId="78" numFmtId="0" xfId="0" applyAlignment="1" applyBorder="1" applyFill="1" applyFont="1">
      <alignment horizontal="center" readingOrder="0" shrinkToFit="0" wrapText="1"/>
    </xf>
    <xf borderId="1" fillId="9" fontId="1" numFmtId="0" xfId="0" applyAlignment="1" applyBorder="1" applyFill="1" applyFont="1">
      <alignment horizontal="center" readingOrder="0"/>
    </xf>
    <xf borderId="48" fillId="8" fontId="77" numFmtId="0" xfId="0" applyAlignment="1" applyBorder="1" applyFill="1" applyFont="1">
      <alignment horizontal="center" readingOrder="0" shrinkToFit="0" wrapText="1"/>
    </xf>
    <xf borderId="50" fillId="0" fontId="10" numFmtId="0" xfId="0" applyBorder="1" applyFont="1"/>
    <xf borderId="48" fillId="8" fontId="78" numFmtId="0" xfId="0" applyAlignment="1" applyBorder="1" applyFill="1" applyFont="1">
      <alignment readingOrder="0" shrinkToFit="0" wrapText="1"/>
    </xf>
    <xf borderId="62" fillId="8" fontId="40" numFmtId="0" xfId="0" applyAlignment="1" applyBorder="1" applyFill="1" applyFont="1">
      <alignment horizontal="right" shrinkToFit="0" vertical="bottom" wrapText="1"/>
    </xf>
    <xf borderId="4" fillId="9" fontId="34" numFmtId="0" xfId="0" applyAlignment="1" applyBorder="1" applyFill="1" applyFont="1">
      <alignment horizontal="right" readingOrder="0" shrinkToFit="0" vertical="bottom" wrapText="1"/>
    </xf>
    <xf borderId="4" fillId="8" fontId="40" numFmtId="0" xfId="0" applyAlignment="1" applyBorder="1" applyFill="1" applyFont="1">
      <alignment horizontal="right" readingOrder="0" shrinkToFit="0" vertical="bottom" wrapText="1"/>
    </xf>
    <xf borderId="3" fillId="9" fontId="34" numFmtId="0" xfId="0" applyAlignment="1" applyBorder="1" applyFill="1" applyFont="1">
      <alignment horizontal="right" readingOrder="0" shrinkToFit="0" vertical="bottom" wrapText="1"/>
    </xf>
    <xf borderId="3" fillId="8" fontId="4" numFmtId="0" xfId="0" applyAlignment="1" applyBorder="1" applyFill="1" applyFont="1">
      <alignment horizontal="right" readingOrder="0"/>
    </xf>
    <xf borderId="3" fillId="8" fontId="40" numFmtId="0" xfId="0" applyAlignment="1" applyBorder="1" applyFill="1" applyFont="1">
      <alignment horizontal="right" vertical="bottom"/>
    </xf>
    <xf borderId="3" fillId="9" fontId="34" numFmtId="0" xfId="0" applyAlignment="1" applyBorder="1" applyFill="1" applyFont="1">
      <alignment horizontal="right" readingOrder="0" vertical="bottom"/>
    </xf>
    <xf borderId="4" fillId="8" fontId="4" numFmtId="0" xfId="0" applyBorder="1" applyFill="1" applyFont="1"/>
    <xf borderId="3" fillId="9" fontId="1" numFmtId="10" xfId="0" applyAlignment="1" applyBorder="1" applyFill="1" applyFont="1" applyNumberFormat="1">
      <alignment readingOrder="0"/>
    </xf>
    <xf borderId="35" fillId="8" fontId="40" numFmtId="0" xfId="0" applyAlignment="1" applyBorder="1" applyFill="1" applyFont="1">
      <alignment horizontal="right" shrinkToFit="0" vertical="bottom" wrapText="1"/>
    </xf>
    <xf borderId="2" fillId="9" fontId="34" numFmtId="0" xfId="0" applyAlignment="1" applyBorder="1" applyFill="1" applyFont="1">
      <alignment horizontal="right" readingOrder="0" shrinkToFit="0" vertical="bottom" wrapText="1"/>
    </xf>
    <xf borderId="2" fillId="8" fontId="40" numFmtId="0" xfId="0" applyAlignment="1" applyBorder="1" applyFill="1" applyFont="1">
      <alignment horizontal="right" readingOrder="0" shrinkToFit="0" vertical="bottom" wrapText="1"/>
    </xf>
    <xf borderId="1" fillId="9" fontId="34" numFmtId="0" xfId="0" applyAlignment="1" applyBorder="1" applyFill="1" applyFont="1">
      <alignment horizontal="right" readingOrder="0" shrinkToFit="0" vertical="bottom" wrapText="1"/>
    </xf>
    <xf borderId="1" fillId="8" fontId="4" numFmtId="0" xfId="0" applyAlignment="1" applyBorder="1" applyFill="1" applyFont="1">
      <alignment horizontal="right" readingOrder="0"/>
    </xf>
    <xf borderId="1" fillId="8" fontId="40" numFmtId="0" xfId="0" applyAlignment="1" applyBorder="1" applyFill="1" applyFont="1">
      <alignment horizontal="right" vertical="bottom"/>
    </xf>
    <xf borderId="1" fillId="9" fontId="34" numFmtId="0" xfId="0" applyAlignment="1" applyBorder="1" applyFill="1" applyFont="1">
      <alignment horizontal="right" readingOrder="0" vertical="bottom"/>
    </xf>
    <xf borderId="2" fillId="8" fontId="4" numFmtId="0" xfId="0" applyBorder="1" applyFill="1" applyFont="1"/>
    <xf borderId="1" fillId="9" fontId="34" numFmtId="0" xfId="0" applyAlignment="1" applyBorder="1" applyFill="1" applyFont="1">
      <alignment horizontal="right" shrinkToFit="0" vertical="bottom" wrapText="1"/>
    </xf>
    <xf borderId="1" fillId="9" fontId="34" numFmtId="170" xfId="0" applyAlignment="1" applyBorder="1" applyFill="1" applyFont="1" applyNumberFormat="1">
      <alignment horizontal="right" shrinkToFit="0" vertical="bottom" wrapText="1"/>
    </xf>
    <xf borderId="35" fillId="8" fontId="40" numFmtId="0" xfId="0" applyAlignment="1" applyBorder="1" applyFill="1" applyFont="1">
      <alignment horizontal="right" shrinkToFit="0" vertical="bottom" wrapText="1"/>
    </xf>
    <xf borderId="1" fillId="8" fontId="40" numFmtId="0" xfId="0" applyAlignment="1" applyBorder="1" applyFill="1" applyFont="1">
      <alignment horizontal="right" vertical="bottom"/>
    </xf>
    <xf borderId="1" fillId="8" fontId="4" numFmtId="0" xfId="0" applyAlignment="1" applyBorder="1" applyFill="1" applyFont="1">
      <alignment horizontal="right" readingOrder="0" shrinkToFit="0" wrapText="1"/>
    </xf>
    <xf borderId="2" fillId="8" fontId="34" numFmtId="170" xfId="0" applyAlignment="1" applyBorder="1" applyFill="1" applyFont="1" applyNumberFormat="1">
      <alignment horizontal="right" shrinkToFit="0" vertical="bottom" wrapText="1"/>
    </xf>
    <xf borderId="1" fillId="8" fontId="34" numFmtId="170" xfId="0" applyAlignment="1" applyBorder="1" applyFill="1" applyFont="1" applyNumberFormat="1">
      <alignment horizontal="right" shrinkToFit="0" vertical="bottom" wrapText="1"/>
    </xf>
    <xf borderId="1" fillId="8" fontId="34" numFmtId="0" xfId="0" applyAlignment="1" applyBorder="1" applyFill="1" applyFont="1">
      <alignment horizontal="right" shrinkToFit="0" vertical="bottom" wrapText="1"/>
    </xf>
    <xf borderId="68" fillId="8" fontId="40" numFmtId="0" xfId="0" applyAlignment="1" applyBorder="1" applyFill="1" applyFont="1">
      <alignment horizontal="right" shrinkToFit="0" vertical="bottom" wrapText="1"/>
    </xf>
    <xf borderId="2" fillId="9" fontId="34" numFmtId="3" xfId="0" applyAlignment="1" applyBorder="1" applyFill="1" applyFont="1" applyNumberFormat="1">
      <alignment horizontal="right" readingOrder="0" shrinkToFit="0" vertical="bottom" wrapText="1"/>
    </xf>
    <xf borderId="0" fillId="3" fontId="1" numFmtId="0" xfId="0" applyAlignment="1" applyFill="1" applyFont="1">
      <alignment readingOrder="0" shrinkToFit="0" wrapText="1"/>
    </xf>
    <xf borderId="0" fillId="0" fontId="4" numFmtId="0" xfId="0" applyAlignment="1" applyFont="1">
      <alignment horizontal="left" readingOrder="0"/>
    </xf>
    <xf borderId="0" fillId="8" fontId="27" numFmtId="0" xfId="0" applyAlignment="1" applyFill="1" applyFont="1">
      <alignment horizontal="left" readingOrder="0"/>
    </xf>
    <xf borderId="0" fillId="3" fontId="27" numFmtId="0" xfId="0" applyAlignment="1" applyFill="1" applyFont="1">
      <alignment horizontal="left" readingOrder="0"/>
    </xf>
    <xf borderId="0" fillId="3" fontId="4" numFmtId="0" xfId="0" applyAlignment="1" applyFill="1" applyFont="1">
      <alignment horizontal="left" readingOrder="0"/>
    </xf>
    <xf borderId="0" fillId="3" fontId="4" numFmtId="171" xfId="0" applyAlignment="1" applyFill="1" applyFont="1" applyNumberFormat="1">
      <alignment horizontal="left" readingOrder="0"/>
    </xf>
    <xf borderId="0" fillId="3" fontId="1" numFmtId="0" xfId="0" applyAlignment="1" applyFill="1" applyFont="1">
      <alignment horizontal="center" readingOrder="0"/>
    </xf>
    <xf borderId="55" fillId="8" fontId="4" numFmtId="0" xfId="0" applyAlignment="1" applyBorder="1" applyFill="1" applyFont="1">
      <alignment horizontal="left" readingOrder="0"/>
    </xf>
    <xf borderId="2" fillId="9" fontId="1" numFmtId="0" xfId="0" applyAlignment="1" applyBorder="1" applyFill="1" applyFont="1">
      <alignment horizontal="left" readingOrder="0"/>
    </xf>
    <xf borderId="56" fillId="8" fontId="4" numFmtId="0" xfId="0" applyAlignment="1" applyBorder="1" applyFill="1" applyFont="1">
      <alignment horizontal="left" readingOrder="0"/>
    </xf>
    <xf borderId="63" fillId="8" fontId="4" numFmtId="0" xfId="0" applyAlignment="1" applyBorder="1" applyFill="1" applyFont="1">
      <alignment horizontal="left" readingOrder="0"/>
    </xf>
    <xf borderId="1" fillId="0" fontId="4" numFmtId="3" xfId="0" applyAlignment="1" applyBorder="1" applyFont="1" applyNumberFormat="1">
      <alignment horizontal="left" readingOrder="0"/>
    </xf>
    <xf borderId="0" fillId="3" fontId="27" numFmtId="171" xfId="0" applyAlignment="1" applyFill="1" applyFont="1" applyNumberFormat="1">
      <alignment horizontal="left" readingOrder="0"/>
    </xf>
    <xf borderId="0" fillId="2" fontId="1" numFmtId="0" xfId="0" applyAlignment="1" applyFill="1" applyFont="1">
      <alignment horizontal="left" readingOrder="0"/>
    </xf>
    <xf borderId="2" fillId="8" fontId="1" numFmtId="0" xfId="0" applyAlignment="1" applyBorder="1" applyFill="1" applyFont="1">
      <alignment horizontal="left" readingOrder="0"/>
    </xf>
    <xf borderId="1" fillId="8" fontId="7" numFmtId="0" xfId="0" applyAlignment="1" applyBorder="1" applyFill="1" applyFont="1">
      <alignment readingOrder="0" vertical="bottom"/>
    </xf>
    <xf borderId="18" fillId="10" fontId="2" numFmtId="0" xfId="0" applyAlignment="1" applyBorder="1" applyFill="1" applyFont="1">
      <alignment readingOrder="0"/>
    </xf>
    <xf borderId="0" fillId="19" fontId="4" numFmtId="0" xfId="0" applyAlignment="1" applyFill="1" applyFont="1">
      <alignment readingOrder="0"/>
    </xf>
    <xf borderId="0" fillId="19" fontId="4" numFmtId="0" xfId="0" applyAlignment="1" applyFill="1" applyFont="1">
      <alignment readingOrder="0" shrinkToFit="0" wrapText="1"/>
    </xf>
    <xf borderId="0" fillId="3" fontId="1" numFmtId="173" xfId="0" applyAlignment="1" applyFill="1" applyFont="1" applyNumberFormat="1">
      <alignment readingOrder="0"/>
    </xf>
    <xf borderId="35" fillId="2" fontId="25" numFmtId="0" xfId="0" applyAlignment="1" applyBorder="1" applyFill="1" applyFont="1">
      <alignment shrinkToFit="0" vertical="bottom" wrapText="1"/>
    </xf>
    <xf borderId="1" fillId="2" fontId="25" numFmtId="0" xfId="0" applyAlignment="1" applyBorder="1" applyFill="1" applyFont="1">
      <alignment shrinkToFit="0" vertical="bottom" wrapText="1"/>
    </xf>
    <xf borderId="2" fillId="2" fontId="25" numFmtId="0" xfId="0" applyAlignment="1" applyBorder="1" applyFill="1" applyFont="1">
      <alignment shrinkToFit="0" vertical="bottom" wrapText="1"/>
    </xf>
    <xf borderId="18" fillId="10" fontId="2" numFmtId="0" xfId="0" applyAlignment="1" applyBorder="1" applyFill="1" applyFont="1">
      <alignment vertical="bottom"/>
    </xf>
    <xf borderId="0" fillId="10" fontId="7" numFmtId="3" xfId="0" applyAlignment="1" applyFill="1" applyFont="1" applyNumberFormat="1">
      <alignment horizontal="center" vertical="bottom"/>
    </xf>
    <xf borderId="0" fillId="10" fontId="7" numFmtId="0" xfId="0" applyAlignment="1" applyFill="1" applyFont="1">
      <alignment horizontal="right" vertical="bottom"/>
    </xf>
    <xf borderId="38" fillId="10" fontId="7" numFmtId="0" xfId="0" applyAlignment="1" applyBorder="1" applyFill="1" applyFont="1">
      <alignment horizontal="center" vertical="bottom"/>
    </xf>
    <xf borderId="40" fillId="10" fontId="7" numFmtId="0" xfId="0" applyAlignment="1" applyBorder="1" applyFill="1" applyFont="1">
      <alignment horizontal="center" vertical="bottom"/>
    </xf>
    <xf borderId="22" fillId="10" fontId="7" numFmtId="0" xfId="0" applyAlignment="1" applyBorder="1" applyFill="1" applyFont="1">
      <alignment horizontal="center" vertical="bottom"/>
    </xf>
    <xf borderId="24" fillId="10" fontId="7" numFmtId="0" xfId="0" applyAlignment="1" applyBorder="1" applyFill="1" applyFont="1">
      <alignment horizontal="center" vertical="bottom"/>
    </xf>
    <xf borderId="39" fillId="10" fontId="7" numFmtId="0" xfId="0" applyAlignment="1" applyBorder="1" applyFill="1" applyFont="1">
      <alignment horizontal="center" vertical="bottom"/>
    </xf>
    <xf borderId="23" fillId="10" fontId="7" numFmtId="0" xfId="0" applyAlignment="1" applyBorder="1" applyFill="1" applyFont="1">
      <alignment horizontal="center" vertical="bottom"/>
    </xf>
    <xf borderId="40" fillId="10" fontId="7" numFmtId="3" xfId="0" applyAlignment="1" applyBorder="1" applyFill="1" applyFont="1" applyNumberFormat="1">
      <alignment horizontal="center" vertical="bottom"/>
    </xf>
    <xf borderId="47" fillId="10" fontId="7" numFmtId="0" xfId="0" applyAlignment="1" applyBorder="1" applyFill="1" applyFont="1">
      <alignment horizontal="center" vertical="bottom"/>
    </xf>
    <xf borderId="18" fillId="2" fontId="2" numFmtId="0" xfId="0" applyAlignment="1" applyBorder="1" applyFill="1" applyFont="1">
      <alignment vertical="bottom"/>
    </xf>
    <xf borderId="0" fillId="2" fontId="7" numFmtId="3" xfId="0" applyAlignment="1" applyFill="1" applyFont="1" applyNumberFormat="1">
      <alignment horizontal="center" vertical="bottom"/>
    </xf>
    <xf borderId="0" fillId="2" fontId="7" numFmtId="0" xfId="0" applyAlignment="1" applyFill="1" applyFont="1">
      <alignment horizontal="right" vertical="bottom"/>
    </xf>
    <xf borderId="38" fillId="2" fontId="7" numFmtId="0" xfId="0" applyAlignment="1" applyBorder="1" applyFill="1" applyFont="1">
      <alignment horizontal="center" vertical="bottom"/>
    </xf>
    <xf borderId="0" fillId="2" fontId="30" numFmtId="0" xfId="0" applyAlignment="1" applyFill="1" applyFont="1">
      <alignment horizontal="right" vertical="bottom"/>
    </xf>
    <xf borderId="0" fillId="2" fontId="7" numFmtId="49" xfId="0" applyAlignment="1" applyFill="1" applyFont="1" applyNumberFormat="1">
      <alignment vertical="bottom"/>
    </xf>
    <xf borderId="40" fillId="2" fontId="7" numFmtId="0" xfId="0" applyAlignment="1" applyBorder="1" applyFill="1" applyFont="1">
      <alignment horizontal="center" vertical="bottom"/>
    </xf>
    <xf borderId="22" fillId="2" fontId="7" numFmtId="0" xfId="0" applyAlignment="1" applyBorder="1" applyFill="1" applyFont="1">
      <alignment horizontal="center" vertical="bottom"/>
    </xf>
    <xf borderId="24" fillId="2" fontId="7" numFmtId="0" xfId="0" applyAlignment="1" applyBorder="1" applyFill="1" applyFont="1">
      <alignment horizontal="center" vertical="bottom"/>
    </xf>
    <xf borderId="39" fillId="2" fontId="7" numFmtId="0" xfId="0" applyAlignment="1" applyBorder="1" applyFill="1" applyFont="1">
      <alignment horizontal="center" vertical="bottom"/>
    </xf>
    <xf borderId="58" fillId="8" fontId="4" numFmtId="0" xfId="0" applyAlignment="1" applyBorder="1" applyFill="1" applyFont="1">
      <alignment horizontal="left" readingOrder="0"/>
    </xf>
    <xf borderId="40" fillId="2" fontId="7" numFmtId="3" xfId="0" applyAlignment="1" applyBorder="1" applyFill="1" applyFont="1" applyNumberFormat="1">
      <alignment horizontal="center" vertical="bottom"/>
    </xf>
    <xf borderId="47" fillId="2" fontId="7" numFmtId="0" xfId="0" applyAlignment="1" applyBorder="1" applyFill="1" applyFont="1">
      <alignment horizontal="center" vertical="bottom"/>
    </xf>
    <xf borderId="2" fillId="8" fontId="1" numFmtId="3" xfId="0" applyAlignment="1" applyBorder="1" applyFill="1" applyFont="1" applyNumberFormat="1">
      <alignment horizontal="left" readingOrder="0"/>
    </xf>
    <xf borderId="0" fillId="10" fontId="30" numFmtId="0" xfId="0" applyAlignment="1" applyFill="1" applyFont="1">
      <alignment horizontal="right" vertical="bottom"/>
    </xf>
    <xf borderId="0" fillId="10" fontId="7" numFmtId="49" xfId="0" applyAlignment="1" applyFill="1" applyFont="1" applyNumberFormat="1">
      <alignment vertical="bottom"/>
    </xf>
    <xf borderId="1" fillId="9" fontId="7" numFmtId="0" xfId="0" applyAlignment="1" applyBorder="1" applyFill="1" applyFont="1">
      <alignment horizontal="right" vertical="bottom"/>
    </xf>
    <xf borderId="1" fillId="0" fontId="4" numFmtId="0" xfId="0" applyAlignment="1" applyBorder="1" applyFont="1">
      <alignment horizontal="left" readingOrder="0"/>
    </xf>
    <xf borderId="1" fillId="0" fontId="7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right" readingOrder="0" vertical="bottom"/>
    </xf>
    <xf borderId="1" fillId="0" fontId="7" numFmtId="0" xfId="0" applyAlignment="1" applyBorder="1" applyFont="1">
      <alignment horizontal="right" readingOrder="0" vertical="bottom"/>
    </xf>
    <xf borderId="59" fillId="8" fontId="4" numFmtId="0" xfId="0" applyAlignment="1" applyBorder="1" applyFill="1" applyFont="1">
      <alignment horizontal="left" readingOrder="0"/>
    </xf>
    <xf borderId="113" fillId="8" fontId="1" numFmtId="0" xfId="0" applyAlignment="1" applyBorder="1" applyFill="1" applyFont="1">
      <alignment horizontal="left" readingOrder="0"/>
    </xf>
    <xf borderId="0" fillId="0" fontId="4" numFmtId="0" xfId="0" applyAlignment="1" applyFont="1">
      <alignment horizontal="left" readingOrder="0" shrinkToFit="0" wrapText="1"/>
    </xf>
    <xf borderId="35" fillId="8" fontId="4" numFmtId="0" xfId="0" applyAlignment="1" applyBorder="1" applyFill="1" applyFont="1">
      <alignment horizontal="left" readingOrder="0"/>
    </xf>
    <xf borderId="36" fillId="8" fontId="1" numFmtId="0" xfId="0" applyAlignment="1" applyBorder="1" applyFill="1" applyFont="1">
      <alignment horizontal="left" readingOrder="0"/>
    </xf>
    <xf borderId="1" fillId="0" fontId="7" numFmtId="3" xfId="0" applyAlignment="1" applyBorder="1" applyFont="1" applyNumberFormat="1">
      <alignment horizontal="right" readingOrder="0" vertical="bottom"/>
    </xf>
    <xf borderId="1" fillId="0" fontId="7" numFmtId="3" xfId="0" applyAlignment="1" applyBorder="1" applyFont="1" applyNumberFormat="1">
      <alignment horizontal="right" readingOrder="0" vertical="bottom"/>
    </xf>
    <xf borderId="1" fillId="0" fontId="7" numFmtId="0" xfId="0" applyAlignment="1" applyBorder="1" applyFont="1">
      <alignment readingOrder="0" vertical="bottom"/>
    </xf>
    <xf borderId="1" fillId="0" fontId="1" numFmtId="0" xfId="0" applyAlignment="1" applyBorder="1" applyFont="1">
      <alignment horizontal="left" readingOrder="0"/>
    </xf>
    <xf borderId="1" fillId="0" fontId="1" numFmtId="3" xfId="0" applyAlignment="1" applyBorder="1" applyFont="1" applyNumberFormat="1">
      <alignment horizontal="left" readingOrder="0"/>
    </xf>
    <xf borderId="68" fillId="8" fontId="4" numFmtId="0" xfId="0" applyAlignment="1" applyBorder="1" applyFill="1" applyFont="1">
      <alignment horizontal="left" readingOrder="0"/>
    </xf>
    <xf borderId="69" fillId="8" fontId="1" numFmtId="0" xfId="0" applyAlignment="1" applyBorder="1" applyFill="1" applyFont="1">
      <alignment horizontal="left" readingOrder="0"/>
    </xf>
    <xf borderId="9" fillId="3" fontId="27" numFmtId="10" xfId="0" applyBorder="1" applyFill="1" applyFont="1" applyNumberFormat="1"/>
    <xf borderId="9" fillId="3" fontId="27" numFmtId="0" xfId="0" applyAlignment="1" applyBorder="1" applyFill="1" applyFont="1">
      <alignment readingOrder="0" shrinkToFit="0" wrapText="1"/>
    </xf>
    <xf borderId="9" fillId="3" fontId="27" numFmtId="179" xfId="0" applyAlignment="1" applyBorder="1" applyFill="1" applyFont="1" applyNumberFormat="1">
      <alignment readingOrder="0"/>
    </xf>
    <xf borderId="1" fillId="21" fontId="1" numFmtId="0" xfId="0" applyAlignment="1" applyBorder="1" applyFill="1" applyFont="1">
      <alignment readingOrder="0" vertical="top"/>
    </xf>
    <xf borderId="14" fillId="21" fontId="1" numFmtId="0" xfId="0" applyAlignment="1" applyBorder="1" applyFill="1" applyFont="1">
      <alignment readingOrder="0" vertical="top"/>
    </xf>
    <xf borderId="1" fillId="21" fontId="1" numFmtId="0" xfId="0" applyAlignment="1" applyBorder="1" applyFill="1" applyFont="1">
      <alignment horizontal="center" readingOrder="0" vertical="top"/>
    </xf>
    <xf borderId="14" fillId="21" fontId="1" numFmtId="0" xfId="0" applyAlignment="1" applyBorder="1" applyFill="1" applyFont="1">
      <alignment horizontal="center" readingOrder="0" vertical="top"/>
    </xf>
    <xf borderId="14" fillId="21" fontId="4" numFmtId="0" xfId="0" applyAlignment="1" applyBorder="1" applyFill="1" applyFont="1">
      <alignment readingOrder="0" vertical="top"/>
    </xf>
    <xf borderId="1" fillId="21" fontId="1" numFmtId="0" xfId="0" applyAlignment="1" applyBorder="1" applyFill="1" applyFont="1">
      <alignment vertical="top"/>
    </xf>
    <xf borderId="1" fillId="21" fontId="4" numFmtId="0" xfId="0" applyAlignment="1" applyBorder="1" applyFill="1" applyFont="1">
      <alignment horizontal="center" readingOrder="0" vertical="top"/>
    </xf>
    <xf borderId="1" fillId="21" fontId="4" numFmtId="10" xfId="0" applyAlignment="1" applyBorder="1" applyFill="1" applyFont="1" applyNumberFormat="1">
      <alignment horizontal="center" readingOrder="0" vertical="top"/>
    </xf>
    <xf borderId="1" fillId="2" fontId="4" numFmtId="0" xfId="0" applyAlignment="1" applyBorder="1" applyFill="1" applyFont="1">
      <alignment readingOrder="0"/>
    </xf>
    <xf borderId="1" fillId="21" fontId="79" numFmtId="0" xfId="0" applyAlignment="1" applyBorder="1" applyFill="1" applyFont="1">
      <alignment readingOrder="0" vertical="top"/>
    </xf>
    <xf borderId="1" fillId="9" fontId="4" numFmtId="3" xfId="0" applyAlignment="1" applyBorder="1" applyFill="1" applyFont="1" applyNumberFormat="1">
      <alignment horizontal="center" readingOrder="0" vertical="top"/>
    </xf>
    <xf borderId="1" fillId="9" fontId="4" numFmtId="0" xfId="0" applyAlignment="1" applyBorder="1" applyFill="1" applyFont="1">
      <alignment horizontal="center" readingOrder="0" vertical="top"/>
    </xf>
    <xf borderId="1" fillId="2" fontId="1" numFmtId="0" xfId="0" applyBorder="1" applyFill="1" applyFont="1"/>
    <xf borderId="1" fillId="9" fontId="80" numFmtId="0" xfId="0" applyAlignment="1" applyBorder="1" applyFill="1" applyFont="1">
      <alignment horizontal="center" readingOrder="0" vertical="top"/>
    </xf>
    <xf borderId="1" fillId="9" fontId="80" numFmtId="0" xfId="0" applyAlignment="1" applyBorder="1" applyFill="1" applyFont="1">
      <alignment horizontal="right" readingOrder="0" vertical="top"/>
    </xf>
    <xf borderId="1" fillId="9" fontId="80" numFmtId="0" xfId="0" applyAlignment="1" applyBorder="1" applyFill="1" applyFont="1">
      <alignment readingOrder="0" vertical="top"/>
    </xf>
    <xf borderId="1" fillId="9" fontId="80" numFmtId="3" xfId="0" applyAlignment="1" applyBorder="1" applyFill="1" applyFont="1" applyNumberFormat="1">
      <alignment horizontal="center" readingOrder="0" vertical="top"/>
    </xf>
    <xf borderId="1" fillId="8" fontId="1" numFmtId="3" xfId="0" applyBorder="1" applyFill="1" applyFont="1" applyNumberFormat="1"/>
    <xf borderId="1" fillId="8" fontId="4" numFmtId="3" xfId="0" applyBorder="1" applyFill="1" applyFont="1" applyNumberFormat="1"/>
    <xf borderId="1" fillId="8" fontId="4" numFmtId="3" xfId="0" applyBorder="1" applyFill="1" applyFont="1" applyNumberFormat="1"/>
    <xf borderId="40" fillId="0" fontId="7" numFmtId="4" xfId="0" applyAlignment="1" applyBorder="1" applyFont="1" applyNumberFormat="1">
      <alignment horizontal="center"/>
    </xf>
    <xf borderId="0" fillId="0" fontId="39" numFmtId="0" xfId="0" applyAlignment="1" applyFont="1">
      <alignment readingOrder="0" shrinkToFit="0" wrapText="1"/>
    </xf>
    <xf borderId="21" fillId="0" fontId="10" numFmtId="0" xfId="0" applyBorder="1" applyFont="1"/>
    <xf borderId="1" fillId="0" fontId="65" numFmtId="0" xfId="0" applyAlignment="1" applyBorder="1" applyFont="1">
      <alignment readingOrder="0" shrinkToFit="0" vertical="bottom" wrapText="0"/>
    </xf>
    <xf borderId="1" fillId="0" fontId="65" numFmtId="0" xfId="0" applyAlignment="1" applyBorder="1" applyFont="1">
      <alignment horizontal="center" readingOrder="0" shrinkToFit="0" vertical="bottom" wrapText="1"/>
    </xf>
    <xf borderId="14" fillId="0" fontId="65" numFmtId="0" xfId="0" applyAlignment="1" applyBorder="1" applyFont="1">
      <alignment horizontal="center" readingOrder="0" shrinkToFit="0" vertical="bottom" wrapText="1"/>
    </xf>
    <xf borderId="13" fillId="0" fontId="36" numFmtId="0" xfId="0" applyAlignment="1" applyBorder="1" applyFont="1">
      <alignment readingOrder="0" shrinkToFit="0" wrapText="1"/>
    </xf>
    <xf borderId="0" fillId="0" fontId="39" numFmtId="0" xfId="0" applyAlignment="1" applyFont="1">
      <alignment horizontal="right" vertical="bottom"/>
    </xf>
    <xf borderId="1" fillId="4" fontId="0" numFmtId="0" xfId="0" applyAlignment="1" applyBorder="1" applyFill="1" applyFont="1">
      <alignment readingOrder="0" shrinkToFit="0" vertical="bottom" wrapText="0"/>
    </xf>
    <xf borderId="14" fillId="9" fontId="0" numFmtId="3" xfId="0" applyAlignment="1" applyBorder="1" applyFill="1" applyFont="1" applyNumberFormat="1">
      <alignment horizontal="center" readingOrder="0" shrinkToFit="0" wrapText="0"/>
    </xf>
    <xf borderId="13" fillId="9" fontId="39" numFmtId="3" xfId="0" applyAlignment="1" applyBorder="1" applyFill="1" applyFont="1" applyNumberFormat="1">
      <alignment horizontal="right" readingOrder="0" vertical="bottom"/>
    </xf>
    <xf borderId="0" fillId="0" fontId="39" numFmtId="3" xfId="0" applyAlignment="1" applyFont="1" applyNumberFormat="1">
      <alignment readingOrder="0"/>
    </xf>
    <xf borderId="0" fillId="0" fontId="39" numFmtId="3" xfId="0" applyAlignment="1" applyFont="1" applyNumberFormat="1">
      <alignment horizontal="right" vertical="bottom"/>
    </xf>
    <xf borderId="1" fillId="0" fontId="0" numFmtId="0" xfId="0" applyAlignment="1" applyBorder="1" applyFont="1">
      <alignment readingOrder="0" shrinkToFit="0" vertical="bottom" wrapText="0"/>
    </xf>
    <xf borderId="14" fillId="9" fontId="0" numFmtId="0" xfId="0" applyAlignment="1" applyBorder="1" applyFill="1" applyFont="1">
      <alignment horizontal="center" readingOrder="0" shrinkToFit="0" wrapText="0"/>
    </xf>
    <xf borderId="0" fillId="0" fontId="39" numFmtId="3" xfId="0" applyAlignment="1" applyFont="1" applyNumberFormat="1">
      <alignment horizontal="right" readingOrder="0" vertical="bottom"/>
    </xf>
    <xf borderId="13" fillId="9" fontId="39" numFmtId="0" xfId="0" applyAlignment="1" applyBorder="1" applyFill="1" applyFont="1">
      <alignment horizontal="right" readingOrder="0" vertical="bottom"/>
    </xf>
    <xf borderId="13" fillId="9" fontId="39" numFmtId="3" xfId="0" applyAlignment="1" applyBorder="1" applyFill="1" applyFont="1" applyNumberFormat="1">
      <alignment readingOrder="0"/>
    </xf>
    <xf borderId="0" fillId="0" fontId="39" numFmtId="0" xfId="0" applyAlignment="1" applyFont="1">
      <alignment vertical="bottom"/>
    </xf>
    <xf borderId="13" fillId="9" fontId="39" numFmtId="0" xfId="0" applyAlignment="1" applyBorder="1" applyFill="1" applyFont="1">
      <alignment readingOrder="0"/>
    </xf>
    <xf borderId="13" fillId="9" fontId="39" numFmtId="0" xfId="0" applyBorder="1" applyFill="1" applyFont="1"/>
    <xf borderId="1" fillId="4" fontId="65" numFmtId="0" xfId="0" applyAlignment="1" applyBorder="1" applyFill="1" applyFont="1">
      <alignment readingOrder="0" shrinkToFit="0" vertical="bottom" wrapText="0"/>
    </xf>
    <xf borderId="1" fillId="9" fontId="65" numFmtId="3" xfId="0" applyAlignment="1" applyBorder="1" applyFill="1" applyFont="1" applyNumberFormat="1">
      <alignment horizontal="center" readingOrder="0" shrinkToFit="0" vertical="bottom" wrapText="0"/>
    </xf>
    <xf borderId="14" fillId="9" fontId="65" numFmtId="3" xfId="0" applyAlignment="1" applyBorder="1" applyFill="1" applyFont="1" applyNumberFormat="1">
      <alignment horizontal="center" readingOrder="0" shrinkToFit="0" wrapText="0"/>
    </xf>
    <xf borderId="13" fillId="9" fontId="36" numFmtId="3" xfId="0" applyAlignment="1" applyBorder="1" applyFill="1" applyFont="1" applyNumberFormat="1">
      <alignment readingOrder="0"/>
    </xf>
    <xf borderId="1" fillId="0" fontId="36" numFmtId="0" xfId="0" applyAlignment="1" applyBorder="1" applyFont="1">
      <alignment readingOrder="0"/>
    </xf>
    <xf borderId="1" fillId="0" fontId="39" numFmtId="171" xfId="0" applyAlignment="1" applyBorder="1" applyFont="1" applyNumberFormat="1">
      <alignment readingOrder="0"/>
    </xf>
    <xf borderId="0" fillId="8" fontId="4" numFmtId="3" xfId="0" applyAlignment="1" applyFill="1" applyFont="1" applyNumberFormat="1">
      <alignment readingOrder="0"/>
    </xf>
    <xf borderId="0" fillId="8" fontId="3" numFmtId="0" xfId="0" applyAlignment="1" applyFill="1" applyFont="1">
      <alignment horizontal="center" readingOrder="0" shrinkToFit="0" vertical="bottom" wrapText="1"/>
    </xf>
    <xf borderId="0" fillId="8" fontId="3" numFmtId="0" xfId="0" applyAlignment="1" applyFill="1" applyFont="1">
      <alignment horizontal="center" shrinkToFit="0" vertical="bottom" wrapText="1"/>
    </xf>
    <xf borderId="123" fillId="0" fontId="4" numFmtId="0" xfId="0" applyAlignment="1" applyBorder="1" applyFont="1">
      <alignment readingOrder="0"/>
    </xf>
    <xf borderId="123" fillId="0" fontId="4" numFmtId="3" xfId="0" applyAlignment="1" applyBorder="1" applyFont="1" applyNumberFormat="1">
      <alignment readingOrder="0"/>
    </xf>
    <xf borderId="123" fillId="0" fontId="4" numFmtId="3" xfId="0" applyAlignment="1" applyBorder="1" applyFont="1" applyNumberFormat="1">
      <alignment readingOrder="0"/>
    </xf>
    <xf borderId="123" fillId="0" fontId="1" numFmtId="0" xfId="0" applyBorder="1" applyFont="1"/>
    <xf borderId="0" fillId="7" fontId="1" numFmtId="0" xfId="0" applyAlignment="1" applyFill="1" applyFont="1">
      <alignment readingOrder="0"/>
    </xf>
    <xf borderId="124" fillId="7" fontId="7" numFmtId="3" xfId="0" applyAlignment="1" applyBorder="1" applyFill="1" applyFont="1" applyNumberFormat="1">
      <alignment horizontal="right" vertical="bottom"/>
    </xf>
    <xf borderId="0" fillId="0" fontId="7" numFmtId="3" xfId="0" applyAlignment="1" applyFont="1" applyNumberFormat="1">
      <alignment horizontal="right" vertical="bottom"/>
    </xf>
    <xf borderId="0" fillId="7" fontId="7" numFmtId="3" xfId="0" applyAlignment="1" applyFill="1" applyFont="1" applyNumberFormat="1">
      <alignment horizontal="right" vertical="bottom"/>
    </xf>
    <xf borderId="0" fillId="2" fontId="34" numFmtId="0" xfId="0" applyAlignment="1" applyFill="1" applyFont="1">
      <alignment readingOrder="0"/>
    </xf>
    <xf borderId="0" fillId="7" fontId="34" numFmtId="0" xfId="0" applyAlignment="1" applyFill="1" applyFont="1">
      <alignment readingOrder="0"/>
    </xf>
    <xf borderId="123" fillId="7" fontId="1" numFmtId="0" xfId="0" applyAlignment="1" applyBorder="1" applyFill="1" applyFont="1">
      <alignment readingOrder="0"/>
    </xf>
    <xf borderId="123" fillId="7" fontId="7" numFmtId="3" xfId="0" applyAlignment="1" applyBorder="1" applyFill="1" applyFont="1" applyNumberFormat="1">
      <alignment horizontal="right" vertical="bottom"/>
    </xf>
    <xf borderId="123" fillId="7" fontId="34" numFmtId="0" xfId="0" applyAlignment="1" applyBorder="1" applyFill="1" applyFont="1">
      <alignment readingOrder="0"/>
    </xf>
    <xf borderId="123" fillId="2" fontId="34" numFmtId="0" xfId="0" applyAlignment="1" applyBorder="1" applyFill="1" applyFont="1">
      <alignment readingOrder="0"/>
    </xf>
    <xf borderId="0" fillId="8" fontId="7" numFmtId="3" xfId="0" applyAlignment="1" applyFill="1" applyFont="1" applyNumberFormat="1">
      <alignment horizontal="right" vertical="bottom"/>
    </xf>
    <xf borderId="123" fillId="8" fontId="1" numFmtId="0" xfId="0" applyAlignment="1" applyBorder="1" applyFill="1" applyFont="1">
      <alignment readingOrder="0"/>
    </xf>
    <xf borderId="0" fillId="7" fontId="34" numFmtId="3" xfId="0" applyAlignment="1" applyFill="1" applyFont="1" applyNumberFormat="1">
      <alignment readingOrder="0"/>
    </xf>
    <xf borderId="0" fillId="8" fontId="34" numFmtId="0" xfId="0" applyAlignment="1" applyFill="1" applyFont="1">
      <alignment readingOrder="0"/>
    </xf>
    <xf borderId="0" fillId="8" fontId="34" numFmtId="3" xfId="0" applyAlignment="1" applyFill="1" applyFont="1" applyNumberFormat="1">
      <alignment readingOrder="0"/>
    </xf>
    <xf borderId="0" fillId="0" fontId="4" numFmtId="3" xfId="0" applyAlignment="1" applyFont="1" applyNumberFormat="1">
      <alignment readingOrder="0" shrinkToFit="0" wrapText="1"/>
    </xf>
    <xf borderId="0" fillId="0" fontId="7" numFmtId="0" xfId="0" applyAlignment="1" applyFont="1">
      <alignment horizontal="left" shrinkToFit="0" vertical="bottom" wrapText="0"/>
    </xf>
    <xf borderId="0" fillId="2" fontId="81" numFmtId="0" xfId="0" applyAlignment="1" applyFill="1" applyFont="1">
      <alignment horizontal="left" shrinkToFit="0" wrapText="0"/>
    </xf>
    <xf borderId="0" fillId="0" fontId="7" numFmtId="0" xfId="0" applyAlignment="1" applyFont="1">
      <alignment horizontal="right" shrinkToFit="0" vertical="bottom" wrapText="0"/>
    </xf>
    <xf borderId="14" fillId="0" fontId="82" numFmtId="0" xfId="0" applyAlignment="1" applyBorder="1" applyFont="1">
      <alignment horizontal="center" readingOrder="0"/>
    </xf>
    <xf borderId="9" fillId="0" fontId="82" numFmtId="0" xfId="0" applyAlignment="1" applyBorder="1" applyFont="1">
      <alignment horizontal="center" readingOrder="0"/>
    </xf>
    <xf borderId="2" fillId="0" fontId="82" numFmtId="0" xfId="0" applyAlignment="1" applyBorder="1" applyFont="1">
      <alignment horizontal="center" readingOrder="0"/>
    </xf>
    <xf borderId="33" fillId="0" fontId="83" numFmtId="0" xfId="0" applyAlignment="1" applyBorder="1" applyFont="1">
      <alignment horizontal="center" readingOrder="0"/>
    </xf>
    <xf borderId="125" fillId="0" fontId="3" numFmtId="0" xfId="0" applyAlignment="1" applyBorder="1" applyFont="1">
      <alignment horizontal="center" readingOrder="0" vertical="bottom"/>
    </xf>
    <xf borderId="16" fillId="0" fontId="4" numFmtId="3" xfId="0" applyAlignment="1" applyBorder="1" applyFont="1" applyNumberFormat="1">
      <alignment horizontal="center" readingOrder="0"/>
    </xf>
    <xf borderId="10" fillId="0" fontId="4" numFmtId="3" xfId="0" applyAlignment="1" applyBorder="1" applyFont="1" applyNumberFormat="1">
      <alignment readingOrder="0" shrinkToFit="0" wrapText="1"/>
    </xf>
    <xf borderId="123" fillId="8" fontId="34" numFmtId="0" xfId="0" applyAlignment="1" applyBorder="1" applyFill="1" applyFont="1">
      <alignment readingOrder="0"/>
    </xf>
    <xf borderId="4" fillId="0" fontId="3" numFmtId="0" xfId="0" applyAlignment="1" applyBorder="1" applyFont="1">
      <alignment horizontal="left" readingOrder="0" vertical="bottom"/>
    </xf>
    <xf borderId="123" fillId="8" fontId="34" numFmtId="3" xfId="0" applyAlignment="1" applyBorder="1" applyFill="1" applyFont="1" applyNumberFormat="1">
      <alignment readingOrder="0"/>
    </xf>
    <xf borderId="14" fillId="0" fontId="83" numFmtId="0" xfId="0" applyAlignment="1" applyBorder="1" applyFont="1">
      <alignment horizontal="center" readingOrder="0"/>
    </xf>
    <xf borderId="13" fillId="0" fontId="3" numFmtId="0" xfId="0" applyAlignment="1" applyBorder="1" applyFont="1">
      <alignment horizontal="left" readingOrder="0" shrinkToFit="0" vertical="bottom" wrapText="1"/>
    </xf>
    <xf borderId="0" fillId="10" fontId="1" numFmtId="0" xfId="0" applyAlignment="1" applyFill="1" applyFont="1">
      <alignment readingOrder="0"/>
    </xf>
    <xf borderId="0" fillId="10" fontId="34" numFmtId="0" xfId="0" applyAlignment="1" applyFill="1" applyFont="1">
      <alignment readingOrder="0"/>
    </xf>
    <xf borderId="0" fillId="10" fontId="34" numFmtId="3" xfId="0" applyAlignment="1" applyFill="1" applyFont="1" applyNumberFormat="1">
      <alignment readingOrder="0"/>
    </xf>
    <xf borderId="15" fillId="0" fontId="3" numFmtId="0" xfId="0" applyAlignment="1" applyBorder="1" applyFont="1">
      <alignment horizontal="left" readingOrder="0" shrinkToFit="0" vertical="bottom" wrapText="1"/>
    </xf>
    <xf borderId="2" fillId="0" fontId="4" numFmtId="3" xfId="0" applyAlignment="1" applyBorder="1" applyFont="1" applyNumberFormat="1">
      <alignment shrinkToFit="0" wrapText="1"/>
    </xf>
    <xf borderId="1" fillId="0" fontId="4" numFmtId="3" xfId="0" applyAlignment="1" applyBorder="1" applyFont="1" applyNumberFormat="1">
      <alignment shrinkToFit="0" wrapText="1"/>
    </xf>
    <xf borderId="15" fillId="0" fontId="4" numFmtId="3" xfId="0" applyAlignment="1" applyBorder="1" applyFont="1" applyNumberFormat="1">
      <alignment shrinkToFit="0" wrapText="1"/>
    </xf>
    <xf borderId="29" fillId="0" fontId="7" numFmtId="0" xfId="0" applyAlignment="1" applyBorder="1" applyFont="1">
      <alignment horizontal="left" readingOrder="0" vertical="bottom"/>
    </xf>
    <xf borderId="26" fillId="0" fontId="0" numFmtId="3" xfId="0" applyAlignment="1" applyBorder="1" applyFont="1" applyNumberFormat="1">
      <alignment horizontal="right" readingOrder="0" shrinkToFit="0" vertical="bottom" wrapText="0"/>
    </xf>
    <xf borderId="126" fillId="0" fontId="7" numFmtId="3" xfId="0" applyAlignment="1" applyBorder="1" applyFont="1" applyNumberFormat="1">
      <alignment horizontal="right" readingOrder="0" vertical="bottom"/>
    </xf>
    <xf borderId="32" fillId="0" fontId="7" numFmtId="166" xfId="0" applyAlignment="1" applyBorder="1" applyFont="1" applyNumberFormat="1">
      <alignment horizontal="right" readingOrder="0" vertical="bottom"/>
    </xf>
    <xf borderId="28" fillId="0" fontId="1" numFmtId="3" xfId="0" applyAlignment="1" applyBorder="1" applyFont="1" applyNumberFormat="1">
      <alignment readingOrder="0"/>
    </xf>
    <xf borderId="26" fillId="0" fontId="1" numFmtId="3" xfId="0" applyAlignment="1" applyBorder="1" applyFont="1" applyNumberFormat="1">
      <alignment readingOrder="0"/>
    </xf>
    <xf borderId="29" fillId="0" fontId="1" numFmtId="3" xfId="0" applyAlignment="1" applyBorder="1" applyFont="1" applyNumberFormat="1">
      <alignment readingOrder="0"/>
    </xf>
    <xf borderId="27" fillId="0" fontId="1" numFmtId="3" xfId="0" applyAlignment="1" applyBorder="1" applyFont="1" applyNumberFormat="1">
      <alignment readingOrder="0"/>
    </xf>
    <xf borderId="0" fillId="10" fontId="34" numFmtId="3" xfId="0" applyAlignment="1" applyFill="1" applyFont="1" applyNumberFormat="1">
      <alignment readingOrder="0"/>
    </xf>
    <xf borderId="127" fillId="2" fontId="7" numFmtId="3" xfId="0" applyAlignment="1" applyBorder="1" applyFill="1" applyFont="1" applyNumberFormat="1">
      <alignment horizontal="right" vertical="bottom"/>
    </xf>
    <xf borderId="4" fillId="10" fontId="7" numFmtId="0" xfId="0" applyAlignment="1" applyBorder="1" applyFill="1" applyFont="1">
      <alignment horizontal="left" readingOrder="0" vertical="bottom"/>
    </xf>
    <xf borderId="0" fillId="10" fontId="1" numFmtId="3" xfId="0" applyAlignment="1" applyFill="1" applyFont="1" applyNumberFormat="1">
      <alignment readingOrder="0"/>
    </xf>
    <xf borderId="34" fillId="10" fontId="7" numFmtId="3" xfId="0" applyAlignment="1" applyBorder="1" applyFill="1" applyFont="1" applyNumberFormat="1">
      <alignment horizontal="right" readingOrder="0" vertical="bottom"/>
    </xf>
    <xf borderId="33" fillId="10" fontId="7" numFmtId="0" xfId="0" applyAlignment="1" applyBorder="1" applyFill="1" applyFont="1">
      <alignment horizontal="right" readingOrder="0" vertical="bottom"/>
    </xf>
    <xf borderId="3" fillId="10" fontId="1" numFmtId="3" xfId="0" applyAlignment="1" applyBorder="1" applyFill="1" applyFont="1" applyNumberFormat="1">
      <alignment readingOrder="0"/>
    </xf>
    <xf borderId="128" fillId="10" fontId="1" numFmtId="3" xfId="0" applyAlignment="1" applyBorder="1" applyFill="1" applyFont="1" applyNumberFormat="1">
      <alignment readingOrder="0"/>
    </xf>
    <xf borderId="17" fillId="10" fontId="1" numFmtId="3" xfId="0" applyBorder="1" applyFill="1" applyFont="1" applyNumberFormat="1"/>
    <xf borderId="4" fillId="0" fontId="7" numFmtId="0" xfId="0" applyAlignment="1" applyBorder="1" applyFont="1">
      <alignment horizontal="left" readingOrder="0" vertical="bottom"/>
    </xf>
    <xf borderId="14" fillId="0" fontId="56" numFmtId="3" xfId="0" applyAlignment="1" applyBorder="1" applyFont="1" applyNumberFormat="1">
      <alignment horizontal="right" readingOrder="0" shrinkToFit="0" vertical="bottom" wrapText="0"/>
    </xf>
    <xf borderId="34" fillId="0" fontId="7" numFmtId="3" xfId="0" applyAlignment="1" applyBorder="1" applyFont="1" applyNumberFormat="1">
      <alignment horizontal="right" readingOrder="0" vertical="bottom"/>
    </xf>
    <xf borderId="128" fillId="0" fontId="7" numFmtId="0" xfId="0" applyAlignment="1" applyBorder="1" applyFont="1">
      <alignment horizontal="right" readingOrder="0" vertical="bottom"/>
    </xf>
    <xf borderId="4" fillId="0" fontId="1" numFmtId="3" xfId="0" applyAlignment="1" applyBorder="1" applyFont="1" applyNumberFormat="1">
      <alignment readingOrder="0"/>
    </xf>
    <xf borderId="17" fillId="0" fontId="1" numFmtId="3" xfId="0" applyAlignment="1" applyBorder="1" applyFont="1" applyNumberFormat="1">
      <alignment readingOrder="0"/>
    </xf>
    <xf borderId="17" fillId="0" fontId="1" numFmtId="3" xfId="0" applyBorder="1" applyFont="1" applyNumberFormat="1"/>
    <xf borderId="2" fillId="0" fontId="7" numFmtId="3" xfId="0" applyAlignment="1" applyBorder="1" applyFont="1" applyNumberFormat="1">
      <alignment horizontal="right" readingOrder="0" vertical="bottom"/>
    </xf>
    <xf borderId="1" fillId="0" fontId="7" numFmtId="3" xfId="0" applyAlignment="1" applyBorder="1" applyFont="1" applyNumberFormat="1">
      <alignment horizontal="right" readingOrder="0" vertical="bottom"/>
    </xf>
    <xf borderId="15" fillId="0" fontId="7" numFmtId="3" xfId="0" applyAlignment="1" applyBorder="1" applyFont="1" applyNumberFormat="1">
      <alignment horizontal="right" readingOrder="0" vertical="bottom"/>
    </xf>
    <xf borderId="10" fillId="2" fontId="7" numFmtId="3" xfId="0" applyAlignment="1" applyBorder="1" applyFill="1" applyFont="1" applyNumberFormat="1">
      <alignment horizontal="right" vertical="bottom"/>
    </xf>
    <xf borderId="128" fillId="0" fontId="7" numFmtId="166" xfId="0" applyAlignment="1" applyBorder="1" applyFont="1" applyNumberFormat="1">
      <alignment horizontal="right" readingOrder="0" vertical="bottom"/>
    </xf>
    <xf borderId="2" fillId="0" fontId="1" numFmtId="3" xfId="0" applyAlignment="1" applyBorder="1" applyFont="1" applyNumberFormat="1">
      <alignment readingOrder="0"/>
    </xf>
    <xf borderId="123" fillId="10" fontId="1" numFmtId="0" xfId="0" applyAlignment="1" applyBorder="1" applyFill="1" applyFont="1">
      <alignment readingOrder="0"/>
    </xf>
    <xf borderId="123" fillId="10" fontId="34" numFmtId="0" xfId="0" applyAlignment="1" applyBorder="1" applyFill="1" applyFont="1">
      <alignment readingOrder="0"/>
    </xf>
    <xf borderId="123" fillId="10" fontId="34" numFmtId="3" xfId="0" applyAlignment="1" applyBorder="1" applyFill="1" applyFont="1" applyNumberFormat="1">
      <alignment readingOrder="0"/>
    </xf>
    <xf borderId="15" fillId="0" fontId="1" numFmtId="3" xfId="0" applyAlignment="1" applyBorder="1" applyFont="1" applyNumberFormat="1">
      <alignment readingOrder="0"/>
    </xf>
    <xf borderId="0" fillId="8" fontId="1" numFmtId="3" xfId="0" applyAlignment="1" applyFill="1" applyFont="1" applyNumberFormat="1">
      <alignment readingOrder="0"/>
    </xf>
    <xf borderId="34" fillId="0" fontId="7" numFmtId="0" xfId="0" applyAlignment="1" applyBorder="1" applyFont="1">
      <alignment horizontal="right" readingOrder="0" vertical="bottom"/>
    </xf>
    <xf borderId="123" fillId="8" fontId="1" numFmtId="3" xfId="0" applyAlignment="1" applyBorder="1" applyFill="1" applyFont="1" applyNumberFormat="1">
      <alignment readingOrder="0"/>
    </xf>
    <xf borderId="123" fillId="10" fontId="1" numFmtId="3" xfId="0" applyAlignment="1" applyBorder="1" applyFill="1" applyFont="1" applyNumberFormat="1">
      <alignment readingOrder="0"/>
    </xf>
    <xf borderId="45" fillId="0" fontId="56" numFmtId="3" xfId="0" applyAlignment="1" applyBorder="1" applyFont="1" applyNumberFormat="1">
      <alignment horizontal="right" readingOrder="0" shrinkToFit="0" vertical="bottom" wrapText="0"/>
    </xf>
    <xf borderId="32" fillId="0" fontId="7" numFmtId="0" xfId="0" applyAlignment="1" applyBorder="1" applyFont="1">
      <alignment horizontal="right" readingOrder="0" vertical="bottom"/>
    </xf>
    <xf borderId="129" fillId="0" fontId="1" numFmtId="3" xfId="0" applyAlignment="1" applyBorder="1" applyFont="1" applyNumberFormat="1">
      <alignment readingOrder="0"/>
    </xf>
    <xf borderId="129" fillId="0" fontId="1" numFmtId="3" xfId="0" applyBorder="1" applyFont="1" applyNumberFormat="1"/>
    <xf borderId="16" fillId="10" fontId="1" numFmtId="3" xfId="0" applyAlignment="1" applyBorder="1" applyFill="1" applyFont="1" applyNumberFormat="1">
      <alignment readingOrder="0"/>
    </xf>
    <xf borderId="128" fillId="10" fontId="7" numFmtId="0" xfId="0" applyAlignment="1" applyBorder="1" applyFill="1" applyFont="1">
      <alignment horizontal="right" readingOrder="0" vertical="bottom"/>
    </xf>
    <xf borderId="4" fillId="10" fontId="1" numFmtId="3" xfId="0" applyAlignment="1" applyBorder="1" applyFill="1" applyFont="1" applyNumberFormat="1">
      <alignment readingOrder="0"/>
    </xf>
    <xf borderId="17" fillId="10" fontId="1" numFmtId="3" xfId="0" applyAlignment="1" applyBorder="1" applyFill="1" applyFont="1" applyNumberFormat="1">
      <alignment readingOrder="0"/>
    </xf>
    <xf borderId="33" fillId="0" fontId="56" numFmtId="3" xfId="0" applyAlignment="1" applyBorder="1" applyFont="1" applyNumberFormat="1">
      <alignment horizontal="right" readingOrder="0" shrinkToFit="0" vertical="bottom" wrapText="0"/>
    </xf>
    <xf borderId="14" fillId="0" fontId="56" numFmtId="3" xfId="0" applyAlignment="1" applyBorder="1" applyFont="1" applyNumberFormat="1">
      <alignment horizontal="right" readingOrder="0" shrinkToFit="0" vertical="bottom" wrapText="0"/>
    </xf>
    <xf borderId="22" fillId="0" fontId="7" numFmtId="0" xfId="0" applyAlignment="1" applyBorder="1" applyFont="1">
      <alignment horizontal="left" readingOrder="0" vertical="bottom"/>
    </xf>
    <xf borderId="87" fillId="0" fontId="56" numFmtId="3" xfId="0" applyAlignment="1" applyBorder="1" applyFont="1" applyNumberFormat="1">
      <alignment horizontal="right" readingOrder="0" shrinkToFit="0" vertical="bottom" wrapText="0"/>
    </xf>
    <xf borderId="22" fillId="0" fontId="1" numFmtId="3" xfId="0" applyAlignment="1" applyBorder="1" applyFont="1" applyNumberFormat="1">
      <alignment readingOrder="0"/>
    </xf>
    <xf borderId="21" fillId="0" fontId="1" numFmtId="3" xfId="0" applyAlignment="1" applyBorder="1" applyFont="1" applyNumberFormat="1">
      <alignment readingOrder="0"/>
    </xf>
    <xf borderId="28" fillId="0" fontId="7" numFmtId="0" xfId="0" applyAlignment="1" applyBorder="1" applyFont="1">
      <alignment horizontal="left" readingOrder="0" vertical="bottom"/>
    </xf>
    <xf borderId="27" fillId="0" fontId="56" numFmtId="3" xfId="0" applyAlignment="1" applyBorder="1" applyFont="1" applyNumberFormat="1">
      <alignment horizontal="right" readingOrder="0" shrinkToFit="0" vertical="bottom" wrapText="0"/>
    </xf>
    <xf borderId="126" fillId="0" fontId="7" numFmtId="0" xfId="0" applyAlignment="1" applyBorder="1" applyFont="1">
      <alignment horizontal="right" readingOrder="0" vertical="bottom"/>
    </xf>
    <xf borderId="21" fillId="0" fontId="1" numFmtId="3" xfId="0" applyBorder="1" applyFont="1" applyNumberFormat="1"/>
    <xf borderId="16" fillId="10" fontId="7" numFmtId="3" xfId="0" applyAlignment="1" applyBorder="1" applyFill="1" applyFont="1" applyNumberFormat="1">
      <alignment readingOrder="0"/>
    </xf>
    <xf borderId="7" fillId="10" fontId="1" numFmtId="3" xfId="0" applyBorder="1" applyFill="1" applyFont="1" applyNumberFormat="1"/>
    <xf borderId="33" fillId="0" fontId="0" numFmtId="3" xfId="0" applyAlignment="1" applyBorder="1" applyFont="1" applyNumberFormat="1">
      <alignment horizontal="right" readingOrder="0" shrinkToFit="0" vertical="bottom" wrapText="0"/>
    </xf>
    <xf borderId="14" fillId="0" fontId="0" numFmtId="3" xfId="0" applyAlignment="1" applyBorder="1" applyFont="1" applyNumberFormat="1">
      <alignment horizontal="right" readingOrder="0" shrinkToFit="0" vertical="bottom" wrapText="0"/>
    </xf>
    <xf borderId="23" fillId="0" fontId="1" numFmtId="3" xfId="0" applyAlignment="1" applyBorder="1" applyFont="1" applyNumberFormat="1">
      <alignment readingOrder="0"/>
    </xf>
    <xf borderId="57" fillId="0" fontId="1" numFmtId="3" xfId="0" applyAlignment="1" applyBorder="1" applyFont="1" applyNumberFormat="1">
      <alignment readingOrder="0"/>
    </xf>
    <xf borderId="130" fillId="0" fontId="1" numFmtId="3" xfId="0" applyAlignment="1" applyBorder="1" applyFont="1" applyNumberFormat="1">
      <alignment readingOrder="0"/>
    </xf>
    <xf borderId="33" fillId="0" fontId="7" numFmtId="0" xfId="0" applyAlignment="1" applyBorder="1" applyFont="1">
      <alignment horizontal="right" readingOrder="0" vertical="bottom"/>
    </xf>
    <xf borderId="13" fillId="0" fontId="7" numFmtId="3" xfId="0" applyAlignment="1" applyBorder="1" applyFont="1" applyNumberFormat="1">
      <alignment horizontal="right" readingOrder="0" vertical="bottom"/>
    </xf>
    <xf borderId="3" fillId="0" fontId="1" numFmtId="3" xfId="0" applyAlignment="1" applyBorder="1" applyFont="1" applyNumberFormat="1">
      <alignment readingOrder="0"/>
    </xf>
    <xf borderId="128" fillId="0" fontId="1" numFmtId="3" xfId="0" applyAlignment="1" applyBorder="1" applyFont="1" applyNumberFormat="1">
      <alignment readingOrder="0"/>
    </xf>
    <xf borderId="45" fillId="0" fontId="0" numFmtId="3" xfId="0" applyAlignment="1" applyBorder="1" applyFont="1" applyNumberFormat="1">
      <alignment horizontal="right" readingOrder="0" shrinkToFit="0" vertical="bottom" wrapText="0"/>
    </xf>
    <xf borderId="33" fillId="10" fontId="0" numFmtId="3" xfId="0" applyAlignment="1" applyBorder="1" applyFill="1" applyFont="1" applyNumberFormat="1">
      <alignment horizontal="right" readingOrder="0" shrinkToFit="0" vertical="bottom" wrapText="0"/>
    </xf>
    <xf borderId="0" fillId="7" fontId="1" numFmtId="3" xfId="0" applyAlignment="1" applyFill="1" applyFont="1" applyNumberFormat="1">
      <alignment readingOrder="0"/>
    </xf>
    <xf borderId="123" fillId="7" fontId="1" numFmtId="3" xfId="0" applyAlignment="1" applyBorder="1" applyFill="1" applyFont="1" applyNumberFormat="1">
      <alignment readingOrder="0"/>
    </xf>
    <xf borderId="22" fillId="10" fontId="7" numFmtId="0" xfId="0" applyAlignment="1" applyBorder="1" applyFill="1" applyFont="1">
      <alignment horizontal="left" readingOrder="0" vertical="bottom"/>
    </xf>
    <xf borderId="24" fillId="10" fontId="0" numFmtId="3" xfId="0" applyAlignment="1" applyBorder="1" applyFill="1" applyFont="1" applyNumberFormat="1">
      <alignment horizontal="right" readingOrder="0" shrinkToFit="0" vertical="bottom" wrapText="0"/>
    </xf>
    <xf borderId="19" fillId="10" fontId="7" numFmtId="3" xfId="0" applyAlignment="1" applyBorder="1" applyFill="1" applyFont="1" applyNumberFormat="1">
      <alignment horizontal="right" readingOrder="0" vertical="bottom"/>
    </xf>
    <xf borderId="20" fillId="10" fontId="7" numFmtId="0" xfId="0" applyAlignment="1" applyBorder="1" applyFill="1" applyFont="1">
      <alignment horizontal="right" readingOrder="0" vertical="bottom"/>
    </xf>
    <xf borderId="22" fillId="10" fontId="1" numFmtId="3" xfId="0" applyAlignment="1" applyBorder="1" applyFill="1" applyFont="1" applyNumberFormat="1">
      <alignment readingOrder="0"/>
    </xf>
    <xf borderId="38" fillId="10" fontId="1" numFmtId="3" xfId="0" applyAlignment="1" applyBorder="1" applyFill="1" applyFont="1" applyNumberFormat="1">
      <alignment readingOrder="0"/>
    </xf>
    <xf borderId="20" fillId="10" fontId="1" numFmtId="3" xfId="0" applyAlignment="1" applyBorder="1" applyFill="1" applyFont="1" applyNumberFormat="1">
      <alignment readingOrder="0"/>
    </xf>
    <xf borderId="129" fillId="10" fontId="7" numFmtId="3" xfId="0" applyAlignment="1" applyBorder="1" applyFill="1" applyFont="1" applyNumberFormat="1">
      <alignment horizontal="right" vertical="bottom"/>
    </xf>
    <xf borderId="131" fillId="10" fontId="7" numFmtId="0" xfId="0" applyAlignment="1" applyBorder="1" applyFill="1" applyFont="1">
      <alignment horizontal="left" readingOrder="0" vertical="bottom"/>
    </xf>
    <xf borderId="132" fillId="10" fontId="0" numFmtId="3" xfId="0" applyAlignment="1" applyBorder="1" applyFill="1" applyFont="1" applyNumberFormat="1">
      <alignment horizontal="right" readingOrder="0" shrinkToFit="0" vertical="bottom" wrapText="0"/>
    </xf>
    <xf borderId="133" fillId="10" fontId="7" numFmtId="3" xfId="0" applyAlignment="1" applyBorder="1" applyFill="1" applyFont="1" applyNumberFormat="1">
      <alignment horizontal="right" readingOrder="0" vertical="bottom"/>
    </xf>
    <xf borderId="134" fillId="10" fontId="7" numFmtId="0" xfId="0" applyAlignment="1" applyBorder="1" applyFill="1" applyFont="1">
      <alignment horizontal="right" readingOrder="0" vertical="bottom"/>
    </xf>
    <xf borderId="131" fillId="10" fontId="1" numFmtId="3" xfId="0" applyAlignment="1" applyBorder="1" applyFill="1" applyFont="1" applyNumberFormat="1">
      <alignment readingOrder="0"/>
    </xf>
    <xf borderId="135" fillId="10" fontId="1" numFmtId="3" xfId="0" applyAlignment="1" applyBorder="1" applyFill="1" applyFont="1" applyNumberFormat="1">
      <alignment readingOrder="0"/>
    </xf>
    <xf borderId="134" fillId="10" fontId="1" numFmtId="3" xfId="0" applyAlignment="1" applyBorder="1" applyFill="1" applyFont="1" applyNumberFormat="1">
      <alignment readingOrder="0"/>
    </xf>
    <xf borderId="17" fillId="7" fontId="7" numFmtId="3" xfId="0" applyAlignment="1" applyBorder="1" applyFill="1" applyFont="1" applyNumberFormat="1">
      <alignment horizontal="right" vertical="bottom"/>
    </xf>
    <xf borderId="12" fillId="2" fontId="7" numFmtId="3" xfId="0" applyAlignment="1" applyBorder="1" applyFill="1" applyFont="1" applyNumberFormat="1">
      <alignment horizontal="right" vertical="bottom"/>
    </xf>
    <xf borderId="45" fillId="0" fontId="1" numFmtId="3" xfId="0" applyAlignment="1" applyBorder="1" applyFont="1" applyNumberFormat="1">
      <alignment readingOrder="0"/>
    </xf>
    <xf borderId="103" fillId="2" fontId="1" numFmtId="3" xfId="0" applyBorder="1" applyFill="1" applyFont="1" applyNumberFormat="1"/>
    <xf borderId="133" fillId="10" fontId="1" numFmtId="3" xfId="0" applyAlignment="1" applyBorder="1" applyFill="1" applyFont="1" applyNumberFormat="1">
      <alignment readingOrder="0"/>
    </xf>
    <xf borderId="17" fillId="7" fontId="1" numFmtId="3" xfId="0" applyBorder="1" applyFill="1" applyFont="1" applyNumberFormat="1"/>
    <xf borderId="13" fillId="0" fontId="1" numFmtId="3" xfId="0" applyAlignment="1" applyBorder="1" applyFont="1" applyNumberFormat="1">
      <alignment readingOrder="0"/>
    </xf>
    <xf borderId="14" fillId="0" fontId="0" numFmtId="0" xfId="0" applyAlignment="1" applyBorder="1" applyFont="1">
      <alignment horizontal="right" readingOrder="0" shrinkToFit="0" vertical="bottom" wrapText="0"/>
    </xf>
    <xf borderId="10" fillId="2" fontId="7" numFmtId="3" xfId="0" applyAlignment="1" applyBorder="1" applyFill="1" applyFont="1" applyNumberFormat="1">
      <alignment horizontal="right" readingOrder="0" vertical="bottom"/>
    </xf>
    <xf borderId="103" fillId="2" fontId="7" numFmtId="3" xfId="0" applyAlignment="1" applyBorder="1" applyFill="1" applyFont="1" applyNumberFormat="1">
      <alignment horizontal="right" vertical="bottom"/>
    </xf>
    <xf borderId="123" fillId="0" fontId="1" numFmtId="0" xfId="0" applyAlignment="1" applyBorder="1" applyFont="1">
      <alignment readingOrder="0"/>
    </xf>
    <xf borderId="17" fillId="10" fontId="7" numFmtId="3" xfId="0" applyAlignment="1" applyBorder="1" applyFill="1" applyFont="1" applyNumberFormat="1">
      <alignment horizontal="right" vertical="bottom"/>
    </xf>
    <xf borderId="33" fillId="10" fontId="84" numFmtId="3" xfId="0" applyAlignment="1" applyBorder="1" applyFill="1" applyFont="1" applyNumberFormat="1">
      <alignment horizontal="right" shrinkToFit="0" vertical="bottom" wrapText="0"/>
    </xf>
    <xf borderId="33" fillId="0" fontId="84" numFmtId="3" xfId="0" applyAlignment="1" applyBorder="1" applyFont="1" applyNumberFormat="1">
      <alignment horizontal="right" readingOrder="0" shrinkToFit="0" vertical="bottom" wrapText="0"/>
    </xf>
    <xf borderId="14" fillId="0" fontId="84" numFmtId="3" xfId="0" applyAlignment="1" applyBorder="1" applyFont="1" applyNumberFormat="1">
      <alignment horizontal="right" readingOrder="0" shrinkToFit="0" vertical="bottom" wrapText="0"/>
    </xf>
    <xf borderId="14" fillId="0" fontId="1" numFmtId="3" xfId="0" applyAlignment="1" applyBorder="1" applyFont="1" applyNumberFormat="1">
      <alignment readingOrder="0"/>
    </xf>
    <xf borderId="102" fillId="2" fontId="7" numFmtId="3" xfId="0" applyAlignment="1" applyBorder="1" applyFill="1" applyFont="1" applyNumberFormat="1">
      <alignment horizontal="right" vertical="bottom"/>
    </xf>
    <xf borderId="45" fillId="0" fontId="84" numFmtId="3" xfId="0" applyAlignment="1" applyBorder="1" applyFont="1" applyNumberFormat="1">
      <alignment horizontal="right" readingOrder="0" shrinkToFit="0" vertical="bottom" wrapText="0"/>
    </xf>
    <xf borderId="124" fillId="7" fontId="1" numFmtId="0" xfId="0" applyAlignment="1" applyBorder="1" applyFill="1" applyFont="1">
      <alignment readingOrder="0"/>
    </xf>
    <xf borderId="124" fillId="7" fontId="1" numFmtId="3" xfId="0" applyAlignment="1" applyBorder="1" applyFill="1" applyFont="1" applyNumberFormat="1">
      <alignment readingOrder="0"/>
    </xf>
    <xf borderId="38" fillId="0" fontId="1" numFmtId="3" xfId="0" applyAlignment="1" applyBorder="1" applyFont="1" applyNumberFormat="1">
      <alignment readingOrder="0"/>
    </xf>
    <xf borderId="20" fillId="0" fontId="1" numFmtId="3" xfId="0" applyAlignment="1" applyBorder="1" applyFont="1" applyNumberFormat="1">
      <alignment readingOrder="0"/>
    </xf>
    <xf borderId="129" fillId="2" fontId="7" numFmtId="3" xfId="0" applyAlignment="1" applyBorder="1" applyFill="1" applyFont="1" applyNumberFormat="1">
      <alignment horizontal="right" vertical="bottom"/>
    </xf>
    <xf borderId="12" fillId="0" fontId="7" numFmtId="3" xfId="0" applyAlignment="1" applyBorder="1" applyFont="1" applyNumberFormat="1">
      <alignment horizontal="right" vertical="bottom"/>
    </xf>
    <xf borderId="10" fillId="0" fontId="7" numFmtId="3" xfId="0" applyAlignment="1" applyBorder="1" applyFont="1" applyNumberFormat="1">
      <alignment horizontal="right" vertical="bottom"/>
    </xf>
    <xf borderId="102" fillId="0" fontId="1" numFmtId="3" xfId="0" applyBorder="1" applyFont="1" applyNumberFormat="1"/>
    <xf borderId="129" fillId="2" fontId="1" numFmtId="3" xfId="0" applyBorder="1" applyFill="1" applyFont="1" applyNumberFormat="1"/>
    <xf borderId="0" fillId="0" fontId="7" numFmtId="0" xfId="0" applyAlignment="1" applyFont="1">
      <alignment horizontal="left" readingOrder="0" vertical="bottom"/>
    </xf>
    <xf borderId="0" fillId="0" fontId="54" numFmtId="0" xfId="0" applyAlignment="1" applyFont="1">
      <alignment vertical="bottom"/>
    </xf>
    <xf borderId="18" fillId="0" fontId="7" numFmtId="0" xfId="0" applyAlignment="1" applyBorder="1" applyFont="1">
      <alignment horizontal="right" readingOrder="0" vertical="bottom"/>
    </xf>
    <xf borderId="0" fillId="0" fontId="7" numFmtId="0" xfId="0" applyAlignment="1" applyFont="1">
      <alignment horizontal="right" readingOrder="0" vertical="bottom"/>
    </xf>
    <xf borderId="0" fillId="2" fontId="1" numFmtId="3" xfId="0" applyFill="1" applyFont="1" applyNumberFormat="1"/>
    <xf borderId="0" fillId="0" fontId="85" numFmtId="3" xfId="0" applyAlignment="1" applyFont="1" applyNumberFormat="1">
      <alignment shrinkToFit="0" vertical="bottom" wrapText="0"/>
    </xf>
    <xf borderId="0" fillId="0" fontId="85" numFmtId="0" xfId="0" applyAlignment="1" applyFont="1">
      <alignment shrinkToFit="0" vertical="bottom" wrapText="0"/>
    </xf>
    <xf borderId="0" fillId="0" fontId="54" numFmtId="0" xfId="0" applyAlignment="1" applyFont="1">
      <alignment horizontal="right" readingOrder="0" vertical="bottom"/>
    </xf>
    <xf borderId="0" fillId="0" fontId="54" numFmtId="3" xfId="0" applyAlignment="1" applyFont="1" applyNumberFormat="1">
      <alignment horizontal="right" readingOrder="0" vertical="bottom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</dxfs>
  <tableStyles count="22">
    <tableStyle count="2" pivot="0" name="State Overview-style">
      <tableStyleElement dxfId="1" type="firstRowStripe"/>
      <tableStyleElement dxfId="2" type="secondRowStripe"/>
    </tableStyle>
    <tableStyle count="2" pivot="0" name="District of Columbia-style">
      <tableStyleElement dxfId="6" type="firstRowStripe"/>
      <tableStyleElement dxfId="2" type="secondRowStripe"/>
    </tableStyle>
    <tableStyle count="2" pivot="0" name="Georgia-style">
      <tableStyleElement dxfId="7" type="firstRowStripe"/>
      <tableStyleElement dxfId="2" type="secondRowStripe"/>
    </tableStyle>
    <tableStyle count="2" pivot="0" name="Idaho-style">
      <tableStyleElement dxfId="7" type="firstRowStripe"/>
      <tableStyleElement dxfId="2" type="secondRowStripe"/>
    </tableStyle>
    <tableStyle count="2" pivot="0" name="Illinois-style">
      <tableStyleElement dxfId="7" type="firstRowStripe"/>
      <tableStyleElement dxfId="2" type="secondRowStripe"/>
    </tableStyle>
    <tableStyle count="2" pivot="0" name="Indiana-style">
      <tableStyleElement dxfId="7" type="firstRowStripe"/>
      <tableStyleElement dxfId="2" type="secondRowStripe"/>
    </tableStyle>
    <tableStyle count="2" pivot="0" name="IA Data-style">
      <tableStyleElement dxfId="7" type="firstRowStripe"/>
      <tableStyleElement dxfId="2" type="secondRowStripe"/>
    </tableStyle>
    <tableStyle count="2" pivot="0" name="Kansas-style">
      <tableStyleElement dxfId="7" type="firstRowStripe"/>
      <tableStyleElement dxfId="2" type="secondRowStripe"/>
    </tableStyle>
    <tableStyle count="2" pivot="0" name="Kentucky-style">
      <tableStyleElement dxfId="7" type="firstRowStripe"/>
      <tableStyleElement dxfId="2" type="secondRowStripe"/>
    </tableStyle>
    <tableStyle count="2" pivot="0" name="Louisiana-style">
      <tableStyleElement dxfId="7" type="firstRowStripe"/>
      <tableStyleElement dxfId="2" type="secondRowStripe"/>
    </tableStyle>
    <tableStyle count="2" pivot="0" name="Michigan-style">
      <tableStyleElement dxfId="7" type="firstRowStripe"/>
      <tableStyleElement dxfId="2" type="secondRowStripe"/>
    </tableStyle>
    <tableStyle count="2" pivot="0" name="Minnesota-style">
      <tableStyleElement dxfId="7" type="firstRowStripe"/>
      <tableStyleElement dxfId="2" type="secondRowStripe"/>
    </tableStyle>
    <tableStyle count="2" pivot="0" name="Mississippi-style">
      <tableStyleElement dxfId="7" type="firstRowStripe"/>
      <tableStyleElement dxfId="2" type="secondRowStripe"/>
    </tableStyle>
    <tableStyle count="2" pivot="0" name="Missouri-style">
      <tableStyleElement dxfId="7" type="firstRowStripe"/>
      <tableStyleElement dxfId="2" type="secondRowStripe"/>
    </tableStyle>
    <tableStyle count="2" pivot="0" name="Nebraska-style">
      <tableStyleElement dxfId="7" type="firstRowStripe"/>
      <tableStyleElement dxfId="2" type="secondRowStripe"/>
    </tableStyle>
    <tableStyle count="2" pivot="0" name="North Carolina-style">
      <tableStyleElement dxfId="7" type="firstRowStripe"/>
      <tableStyleElement dxfId="2" type="secondRowStripe"/>
    </tableStyle>
    <tableStyle count="2" pivot="0" name="Ohio-style">
      <tableStyleElement dxfId="7" type="firstRowStripe"/>
      <tableStyleElement dxfId="2" type="secondRowStripe"/>
    </tableStyle>
    <tableStyle count="2" pivot="0" name="Oklahoma-style">
      <tableStyleElement dxfId="7" type="firstRowStripe"/>
      <tableStyleElement dxfId="2" type="secondRowStripe"/>
    </tableStyle>
    <tableStyle count="2" pivot="0" name="Tennessee-style">
      <tableStyleElement dxfId="7" type="firstRowStripe"/>
      <tableStyleElement dxfId="2" type="secondRowStripe"/>
    </tableStyle>
    <tableStyle count="2" pivot="0" name="Texas-style">
      <tableStyleElement dxfId="7" type="firstRowStripe"/>
      <tableStyleElement dxfId="2" type="secondRowStripe"/>
    </tableStyle>
    <tableStyle count="2" pivot="0" name="Virginia-style">
      <tableStyleElement dxfId="7" type="firstRowStripe"/>
      <tableStyleElement dxfId="2" type="secondRowStripe"/>
    </tableStyle>
    <tableStyle count="2" pivot="0" name="Wisconsin-style">
      <tableStyleElement dxfId="7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07" Type="http://schemas.openxmlformats.org/officeDocument/2006/relationships/worksheet" Target="worksheets/sheet103.xml"/><Relationship Id="rId106" Type="http://schemas.openxmlformats.org/officeDocument/2006/relationships/worksheet" Target="worksheets/sheet102.xml"/><Relationship Id="rId105" Type="http://schemas.openxmlformats.org/officeDocument/2006/relationships/worksheet" Target="worksheets/sheet101.xml"/><Relationship Id="rId104" Type="http://schemas.openxmlformats.org/officeDocument/2006/relationships/worksheet" Target="worksheets/sheet100.xml"/><Relationship Id="rId109" Type="http://schemas.openxmlformats.org/officeDocument/2006/relationships/worksheet" Target="worksheets/sheet105.xml"/><Relationship Id="rId108" Type="http://schemas.openxmlformats.org/officeDocument/2006/relationships/worksheet" Target="worksheets/sheet104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103" Type="http://schemas.openxmlformats.org/officeDocument/2006/relationships/worksheet" Target="worksheets/sheet99.xml"/><Relationship Id="rId102" Type="http://schemas.openxmlformats.org/officeDocument/2006/relationships/worksheet" Target="worksheets/sheet98.xml"/><Relationship Id="rId101" Type="http://schemas.openxmlformats.org/officeDocument/2006/relationships/worksheet" Target="worksheets/sheet97.xml"/><Relationship Id="rId100" Type="http://schemas.openxmlformats.org/officeDocument/2006/relationships/worksheet" Target="worksheets/sheet96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95" Type="http://schemas.openxmlformats.org/officeDocument/2006/relationships/worksheet" Target="worksheets/sheet91.xml"/><Relationship Id="rId94" Type="http://schemas.openxmlformats.org/officeDocument/2006/relationships/worksheet" Target="worksheets/sheet90.xml"/><Relationship Id="rId97" Type="http://schemas.openxmlformats.org/officeDocument/2006/relationships/worksheet" Target="worksheets/sheet93.xml"/><Relationship Id="rId96" Type="http://schemas.openxmlformats.org/officeDocument/2006/relationships/worksheet" Target="worksheets/sheet92.xml"/><Relationship Id="rId11" Type="http://schemas.openxmlformats.org/officeDocument/2006/relationships/worksheet" Target="worksheets/sheet7.xml"/><Relationship Id="rId99" Type="http://schemas.openxmlformats.org/officeDocument/2006/relationships/worksheet" Target="worksheets/sheet95.xml"/><Relationship Id="rId10" Type="http://schemas.openxmlformats.org/officeDocument/2006/relationships/worksheet" Target="worksheets/sheet6.xml"/><Relationship Id="rId98" Type="http://schemas.openxmlformats.org/officeDocument/2006/relationships/worksheet" Target="worksheets/sheet94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91" Type="http://schemas.openxmlformats.org/officeDocument/2006/relationships/worksheet" Target="worksheets/sheet87.xml"/><Relationship Id="rId90" Type="http://schemas.openxmlformats.org/officeDocument/2006/relationships/worksheet" Target="worksheets/sheet86.xml"/><Relationship Id="rId93" Type="http://schemas.openxmlformats.org/officeDocument/2006/relationships/worksheet" Target="worksheets/sheet89.xml"/><Relationship Id="rId92" Type="http://schemas.openxmlformats.org/officeDocument/2006/relationships/worksheet" Target="worksheets/sheet88.xml"/><Relationship Id="rId116" Type="http://schemas.openxmlformats.org/officeDocument/2006/relationships/worksheet" Target="worksheets/sheet112.xml"/><Relationship Id="rId115" Type="http://schemas.openxmlformats.org/officeDocument/2006/relationships/worksheet" Target="worksheets/sheet111.xml"/><Relationship Id="rId15" Type="http://schemas.openxmlformats.org/officeDocument/2006/relationships/worksheet" Target="worksheets/sheet11.xml"/><Relationship Id="rId110" Type="http://schemas.openxmlformats.org/officeDocument/2006/relationships/worksheet" Target="worksheets/sheet106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14" Type="http://schemas.openxmlformats.org/officeDocument/2006/relationships/worksheet" Target="worksheets/sheet110.xml"/><Relationship Id="rId18" Type="http://schemas.openxmlformats.org/officeDocument/2006/relationships/worksheet" Target="worksheets/sheet14.xml"/><Relationship Id="rId113" Type="http://schemas.openxmlformats.org/officeDocument/2006/relationships/worksheet" Target="worksheets/sheet109.xml"/><Relationship Id="rId112" Type="http://schemas.openxmlformats.org/officeDocument/2006/relationships/worksheet" Target="worksheets/sheet108.xml"/><Relationship Id="rId111" Type="http://schemas.openxmlformats.org/officeDocument/2006/relationships/worksheet" Target="worksheets/sheet107.xml"/><Relationship Id="rId84" Type="http://schemas.openxmlformats.org/officeDocument/2006/relationships/worksheet" Target="worksheets/sheet80.xml"/><Relationship Id="rId83" Type="http://schemas.openxmlformats.org/officeDocument/2006/relationships/worksheet" Target="worksheets/sheet79.xml"/><Relationship Id="rId86" Type="http://schemas.openxmlformats.org/officeDocument/2006/relationships/worksheet" Target="worksheets/sheet82.xml"/><Relationship Id="rId85" Type="http://schemas.openxmlformats.org/officeDocument/2006/relationships/worksheet" Target="worksheets/sheet81.xml"/><Relationship Id="rId88" Type="http://schemas.openxmlformats.org/officeDocument/2006/relationships/worksheet" Target="worksheets/sheet84.xml"/><Relationship Id="rId87" Type="http://schemas.openxmlformats.org/officeDocument/2006/relationships/worksheet" Target="worksheets/sheet83.xml"/><Relationship Id="rId89" Type="http://schemas.openxmlformats.org/officeDocument/2006/relationships/worksheet" Target="worksheets/sheet85.xml"/><Relationship Id="rId80" Type="http://schemas.openxmlformats.org/officeDocument/2006/relationships/worksheet" Target="worksheets/sheet76.xml"/><Relationship Id="rId82" Type="http://schemas.openxmlformats.org/officeDocument/2006/relationships/worksheet" Target="worksheets/sheet78.xml"/><Relationship Id="rId81" Type="http://schemas.openxmlformats.org/officeDocument/2006/relationships/worksheet" Target="worksheets/sheet7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73" Type="http://schemas.openxmlformats.org/officeDocument/2006/relationships/worksheet" Target="worksheets/sheet69.xml"/><Relationship Id="rId72" Type="http://schemas.openxmlformats.org/officeDocument/2006/relationships/worksheet" Target="worksheets/sheet68.xml"/><Relationship Id="rId75" Type="http://schemas.openxmlformats.org/officeDocument/2006/relationships/worksheet" Target="worksheets/sheet71.xml"/><Relationship Id="rId74" Type="http://schemas.openxmlformats.org/officeDocument/2006/relationships/worksheet" Target="worksheets/sheet70.xml"/><Relationship Id="rId77" Type="http://schemas.openxmlformats.org/officeDocument/2006/relationships/worksheet" Target="worksheets/sheet73.xml"/><Relationship Id="rId76" Type="http://schemas.openxmlformats.org/officeDocument/2006/relationships/worksheet" Target="worksheets/sheet72.xml"/><Relationship Id="rId79" Type="http://schemas.openxmlformats.org/officeDocument/2006/relationships/worksheet" Target="worksheets/sheet75.xml"/><Relationship Id="rId78" Type="http://schemas.openxmlformats.org/officeDocument/2006/relationships/worksheet" Target="worksheets/sheet74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66" Type="http://schemas.openxmlformats.org/officeDocument/2006/relationships/worksheet" Target="worksheets/sheet62.xml"/><Relationship Id="rId65" Type="http://schemas.openxmlformats.org/officeDocument/2006/relationships/worksheet" Target="worksheets/sheet61.xml"/><Relationship Id="rId68" Type="http://schemas.openxmlformats.org/officeDocument/2006/relationships/worksheet" Target="worksheets/sheet64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69" Type="http://schemas.openxmlformats.org/officeDocument/2006/relationships/worksheet" Target="worksheets/sheet6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55" Type="http://schemas.openxmlformats.org/officeDocument/2006/relationships/worksheet" Target="worksheets/sheet51.xml"/><Relationship Id="rId54" Type="http://schemas.openxmlformats.org/officeDocument/2006/relationships/worksheet" Target="worksheets/sheet50.xml"/><Relationship Id="rId57" Type="http://schemas.openxmlformats.org/officeDocument/2006/relationships/worksheet" Target="worksheets/sheet53.xml"/><Relationship Id="rId56" Type="http://schemas.openxmlformats.org/officeDocument/2006/relationships/worksheet" Target="worksheets/sheet52.xml"/><Relationship Id="rId59" Type="http://schemas.openxmlformats.org/officeDocument/2006/relationships/worksheet" Target="worksheets/sheet55.xml"/><Relationship Id="rId58" Type="http://schemas.openxmlformats.org/officeDocument/2006/relationships/worksheet" Target="worksheets/sheet5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5:S57" displayName="Table_1" name="Table_1" id="1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State Overview-style" showColumnStripes="0" showFirstColumn="1" showLastColumn="1" showRowStripes="1"/>
</table>
</file>

<file path=xl/tables/table2.xml><?xml version="1.0" encoding="utf-8"?>
<table xmlns="http://schemas.openxmlformats.org/spreadsheetml/2006/main" headerRowCount="0" ref="A3:Q3" displayName="Table_2" name="Table_2" id="2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District of Columbia-style" showColumnStripes="0" showFirstColumn="1" showLastColumn="1" showRowStripes="1"/>
</table>
</file>

<file path=xl/tables/table3.xml><?xml version="1.0" encoding="utf-8"?>
<table xmlns="http://schemas.openxmlformats.org/spreadsheetml/2006/main" headerRowCount="0" ref="A3:Q163" displayName="Table_3" name="Table_3" id="3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Georgia-style" showColumnStripes="0" showFirstColumn="1" showLastColumn="1" showRowStripes="1"/>
</table>
</file>

<file path=xl/tables/table4.xml><?xml version="1.0" encoding="utf-8"?>
<table xmlns="http://schemas.openxmlformats.org/spreadsheetml/2006/main" headerRowCount="0" ref="A3:Q46" displayName="Table_4" name="Table_4" id="4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Idaho-style" showColumnStripes="0" showFirstColumn="1" showLastColumn="1" showRowStripes="1"/>
</table>
</file>

<file path=xl/tables/table5.xml><?xml version="1.0" encoding="utf-8"?>
<table xmlns="http://schemas.openxmlformats.org/spreadsheetml/2006/main" headerRowCount="0" ref="A3:Q106" displayName="Table_5" name="Table_5" id="5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Illinois-style" showColumnStripes="0" showFirstColumn="1" showLastColumn="1" showRowStripes="1"/>
</table>
</file>

<file path=xl/tables/table6.xml><?xml version="1.0" encoding="utf-8"?>
<table xmlns="http://schemas.openxmlformats.org/spreadsheetml/2006/main" headerRowCount="0" ref="A3:Q96" displayName="Table_6" name="Table_6" id="6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Indiana-style" showColumnStripes="0" showFirstColumn="1" showLastColumn="1" showRowStripes="1"/>
</table>
</file>

<file path=xl/tables/table7.xml><?xml version="1.0" encoding="utf-8"?>
<table xmlns="http://schemas.openxmlformats.org/spreadsheetml/2006/main" headerRowCount="0" ref="B219:B296" displayName="Table_7" name="Table_7" id="7">
  <tableColumns count="1">
    <tableColumn name="Column1" id="1"/>
  </tableColumns>
  <tableStyleInfo name="IA Data-style" showColumnStripes="0" showFirstColumn="1" showLastColumn="1" showRowStripes="1"/>
</table>
</file>

<file path=xl/tables/table8.xml><?xml version="1.0" encoding="utf-8"?>
<table xmlns="http://schemas.openxmlformats.org/spreadsheetml/2006/main" headerRowCount="0" ref="A3:Q109" displayName="Table_8" name="Table_8" id="8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Kansas-style" showColumnStripes="0" showFirstColumn="1" showLastColumn="1" showRowStripes="1"/>
</table>
</file>

<file path=xl/tables/table9.xml><?xml version="1.0" encoding="utf-8"?>
<table xmlns="http://schemas.openxmlformats.org/spreadsheetml/2006/main" headerRowCount="0" ref="A3:Q124" displayName="Table_9" name="Table_9" id="9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Kentucky-style" showColumnStripes="0" showFirstColumn="1" showLastColumn="1" showRowStripes="1"/>
</table>
</file>

<file path=xl/tables/table10.xml><?xml version="1.0" encoding="utf-8"?>
<table xmlns="http://schemas.openxmlformats.org/spreadsheetml/2006/main" headerRowCount="0" ref="A3:Q66" displayName="Table_10" name="Table_10" id="10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Louisiana-style" showColumnStripes="0" showFirstColumn="1" showLastColumn="1" showRowStripes="1"/>
</table>
</file>

<file path=xl/tables/table11.xml><?xml version="1.0" encoding="utf-8"?>
<table xmlns="http://schemas.openxmlformats.org/spreadsheetml/2006/main" headerRowCount="0" ref="A3:Q87" displayName="Table_11" name="Table_11" id="11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Michigan-style" showColumnStripes="0" showFirstColumn="1" showLastColumn="1" showRowStripes="1"/>
</table>
</file>

<file path=xl/tables/table12.xml><?xml version="1.0" encoding="utf-8"?>
<table xmlns="http://schemas.openxmlformats.org/spreadsheetml/2006/main" headerRowCount="0" ref="A3:Q91" displayName="Table_12" name="Table_12" id="12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Minnesota-style" showColumnStripes="0" showFirstColumn="1" showLastColumn="1" showRowStripes="1"/>
</table>
</file>

<file path=xl/tables/table13.xml><?xml version="1.0" encoding="utf-8"?>
<table xmlns="http://schemas.openxmlformats.org/spreadsheetml/2006/main" headerRowCount="0" ref="A3:Q86" displayName="Table_13" name="Table_13" id="13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Mississippi-style" showColumnStripes="0" showFirstColumn="1" showLastColumn="1" showRowStripes="1"/>
</table>
</file>

<file path=xl/tables/table14.xml><?xml version="1.0" encoding="utf-8"?>
<table xmlns="http://schemas.openxmlformats.org/spreadsheetml/2006/main" headerRowCount="0" ref="A3:Q119" displayName="Table_14" name="Table_14" id="14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Missouri-style" showColumnStripes="0" showFirstColumn="1" showLastColumn="1" showRowStripes="1"/>
</table>
</file>

<file path=xl/tables/table15.xml><?xml version="1.0" encoding="utf-8"?>
<table xmlns="http://schemas.openxmlformats.org/spreadsheetml/2006/main" headerRowCount="0" ref="A3:Q97" displayName="Table_15" name="Table_15" id="15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Nebraska-style" showColumnStripes="0" showFirstColumn="1" showLastColumn="1" showRowStripes="1"/>
</table>
</file>

<file path=xl/tables/table16.xml><?xml version="1.0" encoding="utf-8"?>
<table xmlns="http://schemas.openxmlformats.org/spreadsheetml/2006/main" headerRowCount="0" ref="A3:Q104" displayName="Table_16" name="Table_16" id="16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North Carolina-style" showColumnStripes="0" showFirstColumn="1" showLastColumn="1" showRowStripes="1"/>
</table>
</file>

<file path=xl/tables/table17.xml><?xml version="1.0" encoding="utf-8"?>
<table xmlns="http://schemas.openxmlformats.org/spreadsheetml/2006/main" headerRowCount="0" ref="A3:Q92" displayName="Table_17" name="Table_17" id="17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Ohio-style" showColumnStripes="0" showFirstColumn="1" showLastColumn="1" showRowStripes="1"/>
</table>
</file>

<file path=xl/tables/table18.xml><?xml version="1.0" encoding="utf-8"?>
<table xmlns="http://schemas.openxmlformats.org/spreadsheetml/2006/main" headerRowCount="0" ref="A3:Q81" displayName="Table_18" name="Table_18" id="18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Oklahoma-style" showColumnStripes="0" showFirstColumn="1" showLastColumn="1" showRowStripes="1"/>
</table>
</file>

<file path=xl/tables/table19.xml><?xml version="1.0" encoding="utf-8"?>
<table xmlns="http://schemas.openxmlformats.org/spreadsheetml/2006/main" headerRowCount="0" ref="A3:Q99" displayName="Table_19" name="Table_19" id="19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Tennessee-style" showColumnStripes="0" showFirstColumn="1" showLastColumn="1" showRowStripes="1"/>
</table>
</file>

<file path=xl/tables/table20.xml><?xml version="1.0" encoding="utf-8"?>
<table xmlns="http://schemas.openxmlformats.org/spreadsheetml/2006/main" headerRowCount="0" ref="A3:Q258" displayName="Table_20" name="Table_20" id="20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Texas-style" showColumnStripes="0" showFirstColumn="1" showLastColumn="1" showRowStripes="1"/>
</table>
</file>

<file path=xl/tables/table21.xml><?xml version="1.0" encoding="utf-8"?>
<table xmlns="http://schemas.openxmlformats.org/spreadsheetml/2006/main" headerRowCount="0" ref="A3:Q137" displayName="Table_21" name="Table_21" id="21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Virginia-style" showColumnStripes="0" showFirstColumn="1" showLastColumn="1" showRowStripes="1"/>
</table>
</file>

<file path=xl/tables/table22.xml><?xml version="1.0" encoding="utf-8"?>
<table xmlns="http://schemas.openxmlformats.org/spreadsheetml/2006/main" headerRowCount="0" ref="A3:Q76" displayName="Table_22" name="Table_22" id="22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Wisconsi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1" Type="http://schemas.openxmlformats.org/officeDocument/2006/relationships/drawing" Target="../drawings/drawing19.xml"/><Relationship Id="rId10" Type="http://schemas.openxmlformats.org/officeDocument/2006/relationships/hyperlink" Target="about:blank" TargetMode="Externa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1" Type="http://schemas.openxmlformats.org/officeDocument/2006/relationships/drawing" Target="../drawings/drawing21.xml"/><Relationship Id="rId10" Type="http://schemas.openxmlformats.org/officeDocument/2006/relationships/hyperlink" Target="about:blank" TargetMode="Externa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Relationship Id="rId3" Type="http://schemas.openxmlformats.org/officeDocument/2006/relationships/table" Target="../tables/table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Relationship Id="rId3" Type="http://schemas.openxmlformats.org/officeDocument/2006/relationships/table" Target="../tables/table3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1" Type="http://schemas.openxmlformats.org/officeDocument/2006/relationships/drawing" Target="../drawings/drawing29.xml"/><Relationship Id="rId10" Type="http://schemas.openxmlformats.org/officeDocument/2006/relationships/hyperlink" Target="about:blank" TargetMode="Externa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Relationship Id="rId3" Type="http://schemas.openxmlformats.org/officeDocument/2006/relationships/table" Target="../tables/table4.xml"/></Relationships>
</file>

<file path=xl/worksheets/_rels/sheet31.xml.rels><?xml version="1.0" encoding="UTF-8" standalone="yes"?><Relationships xmlns="http://schemas.openxmlformats.org/package/2006/relationships"><Relationship Id="rId20" Type="http://schemas.openxmlformats.org/officeDocument/2006/relationships/hyperlink" Target="about:blank" TargetMode="External"/><Relationship Id="rId11" Type="http://schemas.openxmlformats.org/officeDocument/2006/relationships/hyperlink" Target="about:blank" TargetMode="External"/><Relationship Id="rId10" Type="http://schemas.openxmlformats.org/officeDocument/2006/relationships/hyperlink" Target="about:blank" TargetMode="External"/><Relationship Id="rId21" Type="http://schemas.openxmlformats.org/officeDocument/2006/relationships/drawing" Target="../drawings/drawing31.xml"/><Relationship Id="rId13" Type="http://schemas.openxmlformats.org/officeDocument/2006/relationships/hyperlink" Target="about:blank" TargetMode="External"/><Relationship Id="rId12" Type="http://schemas.openxmlformats.org/officeDocument/2006/relationships/hyperlink" Target="about:blank" TargetMode="External"/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9" Type="http://schemas.openxmlformats.org/officeDocument/2006/relationships/hyperlink" Target="about:blank" TargetMode="External"/><Relationship Id="rId15" Type="http://schemas.openxmlformats.org/officeDocument/2006/relationships/hyperlink" Target="about:blank" TargetMode="External"/><Relationship Id="rId14" Type="http://schemas.openxmlformats.org/officeDocument/2006/relationships/hyperlink" Target="about:blank" TargetMode="External"/><Relationship Id="rId17" Type="http://schemas.openxmlformats.org/officeDocument/2006/relationships/hyperlink" Target="about:blank" TargetMode="External"/><Relationship Id="rId16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19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18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Relationship Id="rId3" Type="http://schemas.openxmlformats.org/officeDocument/2006/relationships/table" Target="../tables/table5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Relationship Id="rId3" Type="http://schemas.openxmlformats.org/officeDocument/2006/relationships/table" Target="../tables/table6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6.xml"/><Relationship Id="rId3" Type="http://schemas.openxmlformats.org/officeDocument/2006/relationships/vmlDrawing" Target="../drawings/vmlDrawing1.v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Relationship Id="rId3" Type="http://schemas.openxmlformats.org/officeDocument/2006/relationships/table" Target="../tables/table7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Relationship Id="rId3" Type="http://schemas.openxmlformats.org/officeDocument/2006/relationships/table" Target="../tables/table8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0.xml"/><Relationship Id="rId3" Type="http://schemas.openxmlformats.org/officeDocument/2006/relationships/vmlDrawing" Target="../drawings/vmlDrawing2.v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Relationship Id="rId3" Type="http://schemas.openxmlformats.org/officeDocument/2006/relationships/table" Target="../tables/table9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Relationship Id="rId3" Type="http://schemas.openxmlformats.org/officeDocument/2006/relationships/table" Target="../tables/table10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Relationship Id="rId3" Type="http://schemas.openxmlformats.org/officeDocument/2006/relationships/table" Target="../tables/table1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Relationship Id="rId3" Type="http://schemas.openxmlformats.org/officeDocument/2006/relationships/table" Target="../tables/table12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Relationship Id="rId3" Type="http://schemas.openxmlformats.org/officeDocument/2006/relationships/table" Target="../tables/table13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hyperlink" Target="https://fosteringcourtimprovement.org/ms/" TargetMode="External"/><Relationship Id="rId2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Relationship Id="rId3" Type="http://schemas.openxmlformats.org/officeDocument/2006/relationships/table" Target="../tables/table14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Relationship Id="rId3" Type="http://schemas.openxmlformats.org/officeDocument/2006/relationships/table" Target="../tables/table15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3.xml"/><Relationship Id="rId3" Type="http://schemas.openxmlformats.org/officeDocument/2006/relationships/table" Target="../tables/table16.xml"/></Relationships>
</file>

<file path=xl/worksheets/_rels/sheet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8.xml"/><Relationship Id="rId3" Type="http://schemas.openxmlformats.org/officeDocument/2006/relationships/table" Target="../tables/table17.xml"/></Relationships>
</file>

<file path=xl/worksheets/_rels/sheet7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0.xml"/><Relationship Id="rId3" Type="http://schemas.openxmlformats.org/officeDocument/2006/relationships/table" Target="../tables/table18.xml"/></Relationships>
</file>

<file path=xl/worksheets/_rels/sheet8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2.xml"/><Relationship Id="rId3" Type="http://schemas.openxmlformats.org/officeDocument/2006/relationships/table" Target="../tables/table19.xml"/></Relationships>
</file>

<file path=xl/worksheets/_rels/sheet9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4.xml"/><Relationship Id="rId3" Type="http://schemas.openxmlformats.org/officeDocument/2006/relationships/table" Target="../tables/table20.xml"/></Relationships>
</file>

<file path=xl/worksheets/_rels/sheet9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95.xml"/><Relationship Id="rId3" Type="http://schemas.openxmlformats.org/officeDocument/2006/relationships/vmlDrawing" Target="../drawings/vmlDrawing3.vml"/></Relationships>
</file>

<file path=xl/worksheets/_rels/sheet9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9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9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9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10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0.xml"/><Relationship Id="rId3" Type="http://schemas.openxmlformats.org/officeDocument/2006/relationships/table" Target="../tables/table21.xml"/></Relationships>
</file>

<file path=xl/worksheets/_rels/sheet10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1.xml"/></Relationships>
</file>

<file path=xl/worksheets/_rels/sheet10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2.xml"/></Relationships>
</file>

<file path=xl/worksheets/_rels/sheet10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3.xml"/></Relationships>
</file>

<file path=xl/worksheets/_rels/sheet10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4.xml"/></Relationships>
</file>

<file path=xl/worksheets/_rels/sheet10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5.xml"/></Relationships>
</file>

<file path=xl/worksheets/_rels/sheet10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6.xml"/><Relationship Id="rId3" Type="http://schemas.openxmlformats.org/officeDocument/2006/relationships/table" Target="../tables/table22.xml"/></Relationships>
</file>

<file path=xl/worksheets/_rels/sheet10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7.xml"/></Relationships>
</file>

<file path=xl/worksheets/_rels/sheet10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8.xml"/></Relationships>
</file>

<file path=xl/worksheets/_rels/sheet10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9.xml"/></Relationships>
</file>

<file path=xl/worksheets/_rels/sheet1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0.xml"/></Relationships>
</file>

<file path=xl/worksheets/_rels/sheet1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1.xml"/></Relationships>
</file>

<file path=xl/worksheets/_rels/sheet1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1.0" ySplit="1.0" topLeftCell="L2" activePane="bottomRight" state="frozen"/>
      <selection activeCell="L1" sqref="L1" pane="topRight"/>
      <selection activeCell="A2" sqref="A2" pane="bottomLeft"/>
      <selection activeCell="L2" sqref="L2" pane="bottomRight"/>
    </sheetView>
  </sheetViews>
  <sheetFormatPr customHeight="1" defaultColWidth="12.63" defaultRowHeight="15.75"/>
  <cols>
    <col hidden="1" min="2" max="10" width="12.63"/>
  </cols>
  <sheetData>
    <row r="1">
      <c r="A1" s="2" t="s">
        <v>1</v>
      </c>
      <c r="B1" s="3" t="s">
        <v>3</v>
      </c>
      <c r="C1" s="3" t="s">
        <v>4</v>
      </c>
      <c r="D1" s="4" t="s">
        <v>5</v>
      </c>
      <c r="E1" s="5" t="s">
        <v>6</v>
      </c>
      <c r="F1" s="6" t="s">
        <v>7</v>
      </c>
      <c r="G1" s="3" t="s">
        <v>8</v>
      </c>
      <c r="H1" s="7" t="s">
        <v>9</v>
      </c>
      <c r="I1" s="7" t="s">
        <v>10</v>
      </c>
      <c r="J1" s="7" t="s">
        <v>11</v>
      </c>
      <c r="K1" s="7" t="s">
        <v>12</v>
      </c>
      <c r="L1" s="7" t="s">
        <v>13</v>
      </c>
      <c r="M1" s="7" t="s">
        <v>15</v>
      </c>
      <c r="N1" s="7" t="s">
        <v>16</v>
      </c>
      <c r="O1" s="7" t="s">
        <v>17</v>
      </c>
      <c r="P1" s="7" t="s">
        <v>19</v>
      </c>
      <c r="Q1" s="7" t="s">
        <v>20</v>
      </c>
      <c r="R1" s="7" t="s">
        <v>21</v>
      </c>
      <c r="S1" s="7" t="s">
        <v>22</v>
      </c>
      <c r="T1" s="13" t="s">
        <v>24</v>
      </c>
      <c r="U1" s="7" t="s">
        <v>27</v>
      </c>
      <c r="V1" s="7" t="s">
        <v>28</v>
      </c>
      <c r="W1" s="18" t="s">
        <v>29</v>
      </c>
      <c r="X1" s="7" t="s">
        <v>30</v>
      </c>
      <c r="Y1" s="7" t="s">
        <v>31</v>
      </c>
      <c r="Z1" s="13" t="s">
        <v>32</v>
      </c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</row>
    <row r="2">
      <c r="A2" s="12">
        <v>1.0</v>
      </c>
      <c r="B2" s="14" t="s">
        <v>25</v>
      </c>
      <c r="C2" s="15"/>
      <c r="D2" s="16"/>
      <c r="E2" s="17"/>
      <c r="F2" s="20"/>
      <c r="G2" s="15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32"/>
      <c r="U2" s="23"/>
      <c r="V2" s="23"/>
      <c r="W2" s="23"/>
      <c r="X2" s="23"/>
      <c r="Y2" s="35"/>
      <c r="Z2" s="32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</row>
    <row r="3">
      <c r="A3" s="28">
        <v>2.0</v>
      </c>
      <c r="B3" s="29"/>
      <c r="C3" s="29" t="s">
        <v>25</v>
      </c>
      <c r="D3" s="30"/>
      <c r="E3" s="31">
        <v>1.0</v>
      </c>
      <c r="F3" s="33"/>
      <c r="G3" s="29"/>
      <c r="H3" s="37"/>
      <c r="I3" s="37" t="s">
        <v>0</v>
      </c>
      <c r="J3" s="37" t="s">
        <v>41</v>
      </c>
      <c r="K3" s="37"/>
      <c r="L3" s="53">
        <f t="array" ref="L3:Z3">Alabama!C71:Q71</f>
        <v>5844</v>
      </c>
      <c r="M3" s="53" t="s">
        <v>63</v>
      </c>
      <c r="N3" s="53" t="s">
        <v>63</v>
      </c>
      <c r="O3" s="53" t="s">
        <v>63</v>
      </c>
      <c r="P3" s="53" t="s">
        <v>63</v>
      </c>
      <c r="Q3" s="53">
        <v>1989.0</v>
      </c>
      <c r="R3" s="53">
        <v>399.0</v>
      </c>
      <c r="S3" s="53" t="s">
        <v>63</v>
      </c>
      <c r="T3" s="53" t="s">
        <v>63</v>
      </c>
      <c r="U3" s="53">
        <v>4558.0</v>
      </c>
      <c r="V3" s="53" t="s">
        <v>63</v>
      </c>
      <c r="W3" s="53" t="s">
        <v>63</v>
      </c>
      <c r="X3" s="53" t="s">
        <v>63</v>
      </c>
      <c r="Y3" s="53">
        <v>0.0</v>
      </c>
      <c r="Z3" s="53" t="s">
        <v>63</v>
      </c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</row>
    <row r="4">
      <c r="A4" s="28">
        <v>3.0</v>
      </c>
      <c r="B4" s="29"/>
      <c r="C4" s="29"/>
      <c r="D4" s="40">
        <v>1.0</v>
      </c>
      <c r="E4" s="31">
        <v>1.0</v>
      </c>
      <c r="F4" s="42">
        <v>1.0</v>
      </c>
      <c r="G4" s="29" t="str">
        <f t="shared" ref="G4:G3195" si="1">CONCATENATE(TEXT($E4,"00"),TEXT($F4,"000"))</f>
        <v>01001</v>
      </c>
      <c r="H4" s="37" t="s">
        <v>52</v>
      </c>
      <c r="I4" s="37" t="s">
        <v>0</v>
      </c>
      <c r="J4" s="37" t="s">
        <v>41</v>
      </c>
      <c r="K4" s="37" t="str">
        <f t="shared" ref="K4:K70" si="2">CONCATENATE(H4,", ",J4)</f>
        <v>Autauga, AL</v>
      </c>
      <c r="L4" s="37" t="str">
        <f t="array" ref="L4:Z70">Alabama!C3:Q69</f>
        <v>NULL</v>
      </c>
      <c r="M4" s="37" t="s">
        <v>63</v>
      </c>
      <c r="N4" s="37" t="s">
        <v>63</v>
      </c>
      <c r="O4" s="37" t="s">
        <v>63</v>
      </c>
      <c r="P4" s="37" t="s">
        <v>63</v>
      </c>
      <c r="Q4" s="37" t="s">
        <v>63</v>
      </c>
      <c r="R4" s="37" t="s">
        <v>63</v>
      </c>
      <c r="S4" s="37" t="s">
        <v>63</v>
      </c>
      <c r="T4" s="69" t="s">
        <v>63</v>
      </c>
      <c r="U4" s="70" t="s">
        <v>63</v>
      </c>
      <c r="V4" s="37" t="s">
        <v>63</v>
      </c>
      <c r="W4" s="71" t="s">
        <v>63</v>
      </c>
      <c r="X4" s="72" t="s">
        <v>63</v>
      </c>
      <c r="Y4" s="53" t="s">
        <v>63</v>
      </c>
      <c r="Z4" s="69" t="s">
        <v>63</v>
      </c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</row>
    <row r="5">
      <c r="A5" s="28">
        <v>4.0</v>
      </c>
      <c r="B5" s="29"/>
      <c r="C5" s="29"/>
      <c r="D5" s="40">
        <v>1.0</v>
      </c>
      <c r="E5" s="31">
        <v>1.0</v>
      </c>
      <c r="F5" s="42">
        <v>3.0</v>
      </c>
      <c r="G5" s="29" t="str">
        <f t="shared" si="1"/>
        <v>01003</v>
      </c>
      <c r="H5" s="37" t="s">
        <v>58</v>
      </c>
      <c r="I5" s="37" t="s">
        <v>0</v>
      </c>
      <c r="J5" s="37" t="s">
        <v>41</v>
      </c>
      <c r="K5" s="37" t="str">
        <f t="shared" si="2"/>
        <v>Baldwin, AL</v>
      </c>
      <c r="L5" s="37"/>
      <c r="M5" s="37" t="s">
        <v>63</v>
      </c>
      <c r="N5" s="37" t="s">
        <v>63</v>
      </c>
      <c r="O5" s="37" t="s">
        <v>63</v>
      </c>
      <c r="P5" s="37" t="s">
        <v>63</v>
      </c>
      <c r="Q5" s="37" t="s">
        <v>63</v>
      </c>
      <c r="R5" s="37" t="s">
        <v>63</v>
      </c>
      <c r="S5" s="37" t="s">
        <v>63</v>
      </c>
      <c r="T5" s="69" t="s">
        <v>63</v>
      </c>
      <c r="U5" s="70" t="s">
        <v>63</v>
      </c>
      <c r="V5" s="37" t="s">
        <v>63</v>
      </c>
      <c r="W5" s="71" t="s">
        <v>63</v>
      </c>
      <c r="X5" s="72" t="s">
        <v>63</v>
      </c>
      <c r="Y5" s="53" t="s">
        <v>63</v>
      </c>
      <c r="Z5" s="69" t="s">
        <v>63</v>
      </c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</row>
    <row r="6">
      <c r="A6" s="28">
        <v>5.0</v>
      </c>
      <c r="B6" s="29"/>
      <c r="C6" s="29"/>
      <c r="D6" s="40">
        <v>1.0</v>
      </c>
      <c r="E6" s="31">
        <v>1.0</v>
      </c>
      <c r="F6" s="42">
        <v>5.0</v>
      </c>
      <c r="G6" s="29" t="str">
        <f t="shared" si="1"/>
        <v>01005</v>
      </c>
      <c r="H6" s="37" t="s">
        <v>62</v>
      </c>
      <c r="I6" s="37" t="s">
        <v>0</v>
      </c>
      <c r="J6" s="37" t="s">
        <v>41</v>
      </c>
      <c r="K6" s="37" t="str">
        <f t="shared" si="2"/>
        <v>Barbour, AL</v>
      </c>
      <c r="L6" s="37"/>
      <c r="M6" s="37" t="s">
        <v>63</v>
      </c>
      <c r="N6" s="37" t="s">
        <v>63</v>
      </c>
      <c r="O6" s="37" t="s">
        <v>63</v>
      </c>
      <c r="P6" s="37" t="s">
        <v>63</v>
      </c>
      <c r="Q6" s="37" t="s">
        <v>63</v>
      </c>
      <c r="R6" s="37" t="s">
        <v>63</v>
      </c>
      <c r="S6" s="37" t="s">
        <v>63</v>
      </c>
      <c r="T6" s="69" t="s">
        <v>63</v>
      </c>
      <c r="U6" s="70" t="s">
        <v>63</v>
      </c>
      <c r="V6" s="37" t="s">
        <v>63</v>
      </c>
      <c r="W6" s="71" t="s">
        <v>63</v>
      </c>
      <c r="X6" s="72" t="s">
        <v>63</v>
      </c>
      <c r="Y6" s="53" t="s">
        <v>63</v>
      </c>
      <c r="Z6" s="69" t="s">
        <v>63</v>
      </c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</row>
    <row r="7">
      <c r="A7" s="28">
        <v>6.0</v>
      </c>
      <c r="B7" s="29"/>
      <c r="C7" s="29"/>
      <c r="D7" s="40">
        <v>1.0</v>
      </c>
      <c r="E7" s="31">
        <v>1.0</v>
      </c>
      <c r="F7" s="42">
        <v>7.0</v>
      </c>
      <c r="G7" s="29" t="str">
        <f t="shared" si="1"/>
        <v>01007</v>
      </c>
      <c r="H7" s="37" t="s">
        <v>68</v>
      </c>
      <c r="I7" s="37" t="s">
        <v>0</v>
      </c>
      <c r="J7" s="37" t="s">
        <v>41</v>
      </c>
      <c r="K7" s="37" t="str">
        <f t="shared" si="2"/>
        <v>Bibb, AL</v>
      </c>
      <c r="L7" s="37"/>
      <c r="M7" s="37" t="s">
        <v>63</v>
      </c>
      <c r="N7" s="37" t="s">
        <v>63</v>
      </c>
      <c r="O7" s="37" t="s">
        <v>63</v>
      </c>
      <c r="P7" s="37" t="s">
        <v>63</v>
      </c>
      <c r="Q7" s="37" t="s">
        <v>63</v>
      </c>
      <c r="R7" s="37" t="s">
        <v>63</v>
      </c>
      <c r="S7" s="37" t="s">
        <v>63</v>
      </c>
      <c r="T7" s="69" t="s">
        <v>63</v>
      </c>
      <c r="U7" s="70" t="s">
        <v>63</v>
      </c>
      <c r="V7" s="37" t="s">
        <v>63</v>
      </c>
      <c r="W7" s="71" t="s">
        <v>63</v>
      </c>
      <c r="X7" s="72" t="s">
        <v>63</v>
      </c>
      <c r="Y7" s="53" t="s">
        <v>63</v>
      </c>
      <c r="Z7" s="69" t="s">
        <v>63</v>
      </c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</row>
    <row r="8">
      <c r="A8" s="28">
        <v>7.0</v>
      </c>
      <c r="B8" s="29"/>
      <c r="C8" s="29"/>
      <c r="D8" s="40">
        <v>1.0</v>
      </c>
      <c r="E8" s="31">
        <v>1.0</v>
      </c>
      <c r="F8" s="42">
        <v>9.0</v>
      </c>
      <c r="G8" s="29" t="str">
        <f t="shared" si="1"/>
        <v>01009</v>
      </c>
      <c r="H8" s="37" t="s">
        <v>77</v>
      </c>
      <c r="I8" s="37" t="s">
        <v>0</v>
      </c>
      <c r="J8" s="37" t="s">
        <v>41</v>
      </c>
      <c r="K8" s="37" t="str">
        <f t="shared" si="2"/>
        <v>Blount, AL</v>
      </c>
      <c r="L8" s="37"/>
      <c r="M8" s="37" t="s">
        <v>63</v>
      </c>
      <c r="N8" s="37" t="s">
        <v>63</v>
      </c>
      <c r="O8" s="37" t="s">
        <v>63</v>
      </c>
      <c r="P8" s="37" t="s">
        <v>63</v>
      </c>
      <c r="Q8" s="37" t="s">
        <v>63</v>
      </c>
      <c r="R8" s="37" t="s">
        <v>63</v>
      </c>
      <c r="S8" s="37" t="s">
        <v>63</v>
      </c>
      <c r="T8" s="69" t="s">
        <v>63</v>
      </c>
      <c r="U8" s="70" t="s">
        <v>63</v>
      </c>
      <c r="V8" s="37" t="s">
        <v>63</v>
      </c>
      <c r="W8" s="71" t="s">
        <v>63</v>
      </c>
      <c r="X8" s="72" t="s">
        <v>63</v>
      </c>
      <c r="Y8" s="53" t="s">
        <v>63</v>
      </c>
      <c r="Z8" s="69" t="s">
        <v>63</v>
      </c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</row>
    <row r="9">
      <c r="A9" s="28">
        <v>8.0</v>
      </c>
      <c r="B9" s="29"/>
      <c r="C9" s="29"/>
      <c r="D9" s="40">
        <v>1.0</v>
      </c>
      <c r="E9" s="31">
        <v>1.0</v>
      </c>
      <c r="F9" s="42">
        <v>11.0</v>
      </c>
      <c r="G9" s="29" t="str">
        <f t="shared" si="1"/>
        <v>01011</v>
      </c>
      <c r="H9" s="37" t="s">
        <v>81</v>
      </c>
      <c r="I9" s="37" t="s">
        <v>0</v>
      </c>
      <c r="J9" s="37" t="s">
        <v>41</v>
      </c>
      <c r="K9" s="37" t="str">
        <f t="shared" si="2"/>
        <v>Bullock, AL</v>
      </c>
      <c r="L9" s="37"/>
      <c r="M9" s="37" t="s">
        <v>63</v>
      </c>
      <c r="N9" s="37" t="s">
        <v>63</v>
      </c>
      <c r="O9" s="37" t="s">
        <v>63</v>
      </c>
      <c r="P9" s="37" t="s">
        <v>63</v>
      </c>
      <c r="Q9" s="37" t="s">
        <v>63</v>
      </c>
      <c r="R9" s="37" t="s">
        <v>63</v>
      </c>
      <c r="S9" s="37" t="s">
        <v>63</v>
      </c>
      <c r="T9" s="69" t="s">
        <v>63</v>
      </c>
      <c r="U9" s="70" t="s">
        <v>63</v>
      </c>
      <c r="V9" s="37" t="s">
        <v>63</v>
      </c>
      <c r="W9" s="71" t="s">
        <v>63</v>
      </c>
      <c r="X9" s="72" t="s">
        <v>63</v>
      </c>
      <c r="Y9" s="53" t="s">
        <v>63</v>
      </c>
      <c r="Z9" s="69" t="s">
        <v>63</v>
      </c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</row>
    <row r="10">
      <c r="A10" s="28">
        <v>9.0</v>
      </c>
      <c r="B10" s="29"/>
      <c r="C10" s="29"/>
      <c r="D10" s="40">
        <v>1.0</v>
      </c>
      <c r="E10" s="31">
        <v>1.0</v>
      </c>
      <c r="F10" s="42">
        <v>13.0</v>
      </c>
      <c r="G10" s="29" t="str">
        <f t="shared" si="1"/>
        <v>01013</v>
      </c>
      <c r="H10" s="37" t="s">
        <v>87</v>
      </c>
      <c r="I10" s="37" t="s">
        <v>0</v>
      </c>
      <c r="J10" s="37" t="s">
        <v>41</v>
      </c>
      <c r="K10" s="37" t="str">
        <f t="shared" si="2"/>
        <v>Butler, AL</v>
      </c>
      <c r="L10" s="37"/>
      <c r="M10" s="37" t="s">
        <v>63</v>
      </c>
      <c r="N10" s="37" t="s">
        <v>63</v>
      </c>
      <c r="O10" s="37" t="s">
        <v>63</v>
      </c>
      <c r="P10" s="37" t="s">
        <v>63</v>
      </c>
      <c r="Q10" s="37" t="s">
        <v>63</v>
      </c>
      <c r="R10" s="37" t="s">
        <v>63</v>
      </c>
      <c r="S10" s="37" t="s">
        <v>63</v>
      </c>
      <c r="T10" s="69" t="s">
        <v>63</v>
      </c>
      <c r="U10" s="70" t="s">
        <v>63</v>
      </c>
      <c r="V10" s="37" t="s">
        <v>63</v>
      </c>
      <c r="W10" s="71" t="s">
        <v>63</v>
      </c>
      <c r="X10" s="72" t="s">
        <v>63</v>
      </c>
      <c r="Y10" s="53" t="s">
        <v>63</v>
      </c>
      <c r="Z10" s="69" t="s">
        <v>63</v>
      </c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</row>
    <row r="11">
      <c r="A11" s="28">
        <v>10.0</v>
      </c>
      <c r="B11" s="29"/>
      <c r="C11" s="29"/>
      <c r="D11" s="40">
        <v>1.0</v>
      </c>
      <c r="E11" s="31">
        <v>1.0</v>
      </c>
      <c r="F11" s="42">
        <v>15.0</v>
      </c>
      <c r="G11" s="29" t="str">
        <f t="shared" si="1"/>
        <v>01015</v>
      </c>
      <c r="H11" s="37" t="s">
        <v>93</v>
      </c>
      <c r="I11" s="37" t="s">
        <v>0</v>
      </c>
      <c r="J11" s="37" t="s">
        <v>41</v>
      </c>
      <c r="K11" s="37" t="str">
        <f t="shared" si="2"/>
        <v>Calhoun, AL</v>
      </c>
      <c r="L11" s="37"/>
      <c r="M11" s="37" t="s">
        <v>63</v>
      </c>
      <c r="N11" s="37" t="s">
        <v>63</v>
      </c>
      <c r="O11" s="37" t="s">
        <v>63</v>
      </c>
      <c r="P11" s="37" t="s">
        <v>63</v>
      </c>
      <c r="Q11" s="37" t="s">
        <v>63</v>
      </c>
      <c r="R11" s="37" t="s">
        <v>63</v>
      </c>
      <c r="S11" s="37" t="s">
        <v>63</v>
      </c>
      <c r="T11" s="69" t="s">
        <v>63</v>
      </c>
      <c r="U11" s="70" t="s">
        <v>63</v>
      </c>
      <c r="V11" s="37" t="s">
        <v>63</v>
      </c>
      <c r="W11" s="71" t="s">
        <v>63</v>
      </c>
      <c r="X11" s="72" t="s">
        <v>63</v>
      </c>
      <c r="Y11" s="53" t="s">
        <v>63</v>
      </c>
      <c r="Z11" s="69" t="s">
        <v>63</v>
      </c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</row>
    <row r="12">
      <c r="A12" s="28">
        <v>11.0</v>
      </c>
      <c r="B12" s="29"/>
      <c r="C12" s="29"/>
      <c r="D12" s="40">
        <v>1.0</v>
      </c>
      <c r="E12" s="31">
        <v>1.0</v>
      </c>
      <c r="F12" s="42">
        <v>17.0</v>
      </c>
      <c r="G12" s="29" t="str">
        <f t="shared" si="1"/>
        <v>01017</v>
      </c>
      <c r="H12" s="37" t="s">
        <v>98</v>
      </c>
      <c r="I12" s="37" t="s">
        <v>0</v>
      </c>
      <c r="J12" s="37" t="s">
        <v>41</v>
      </c>
      <c r="K12" s="37" t="str">
        <f t="shared" si="2"/>
        <v>Chambers, AL</v>
      </c>
      <c r="L12" s="37"/>
      <c r="M12" s="37" t="s">
        <v>63</v>
      </c>
      <c r="N12" s="37" t="s">
        <v>63</v>
      </c>
      <c r="O12" s="37" t="s">
        <v>63</v>
      </c>
      <c r="P12" s="37" t="s">
        <v>63</v>
      </c>
      <c r="Q12" s="37" t="s">
        <v>63</v>
      </c>
      <c r="R12" s="37" t="s">
        <v>63</v>
      </c>
      <c r="S12" s="37" t="s">
        <v>63</v>
      </c>
      <c r="T12" s="69" t="s">
        <v>63</v>
      </c>
      <c r="U12" s="70" t="s">
        <v>63</v>
      </c>
      <c r="V12" s="37" t="s">
        <v>63</v>
      </c>
      <c r="W12" s="71" t="s">
        <v>63</v>
      </c>
      <c r="X12" s="72" t="s">
        <v>63</v>
      </c>
      <c r="Y12" s="53" t="s">
        <v>63</v>
      </c>
      <c r="Z12" s="69" t="s">
        <v>63</v>
      </c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</row>
    <row r="13">
      <c r="A13" s="28">
        <v>12.0</v>
      </c>
      <c r="B13" s="29"/>
      <c r="C13" s="29"/>
      <c r="D13" s="40">
        <v>1.0</v>
      </c>
      <c r="E13" s="31">
        <v>1.0</v>
      </c>
      <c r="F13" s="42">
        <v>19.0</v>
      </c>
      <c r="G13" s="29" t="str">
        <f t="shared" si="1"/>
        <v>01019</v>
      </c>
      <c r="H13" s="37" t="s">
        <v>101</v>
      </c>
      <c r="I13" s="37" t="s">
        <v>0</v>
      </c>
      <c r="J13" s="37" t="s">
        <v>41</v>
      </c>
      <c r="K13" s="37" t="str">
        <f t="shared" si="2"/>
        <v>Cherokee, AL</v>
      </c>
      <c r="L13" s="37"/>
      <c r="M13" s="37" t="s">
        <v>63</v>
      </c>
      <c r="N13" s="37" t="s">
        <v>63</v>
      </c>
      <c r="O13" s="37" t="s">
        <v>63</v>
      </c>
      <c r="P13" s="37" t="s">
        <v>63</v>
      </c>
      <c r="Q13" s="37" t="s">
        <v>63</v>
      </c>
      <c r="R13" s="37" t="s">
        <v>63</v>
      </c>
      <c r="S13" s="37" t="s">
        <v>63</v>
      </c>
      <c r="T13" s="69" t="s">
        <v>63</v>
      </c>
      <c r="U13" s="70" t="s">
        <v>63</v>
      </c>
      <c r="V13" s="37" t="s">
        <v>63</v>
      </c>
      <c r="W13" s="71" t="s">
        <v>63</v>
      </c>
      <c r="X13" s="72" t="s">
        <v>63</v>
      </c>
      <c r="Y13" s="53" t="s">
        <v>63</v>
      </c>
      <c r="Z13" s="69" t="s">
        <v>63</v>
      </c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</row>
    <row r="14">
      <c r="A14" s="28">
        <v>13.0</v>
      </c>
      <c r="B14" s="29"/>
      <c r="C14" s="29"/>
      <c r="D14" s="40">
        <v>1.0</v>
      </c>
      <c r="E14" s="31">
        <v>1.0</v>
      </c>
      <c r="F14" s="42">
        <v>21.0</v>
      </c>
      <c r="G14" s="29" t="str">
        <f t="shared" si="1"/>
        <v>01021</v>
      </c>
      <c r="H14" s="37" t="s">
        <v>104</v>
      </c>
      <c r="I14" s="37" t="s">
        <v>0</v>
      </c>
      <c r="J14" s="37" t="s">
        <v>41</v>
      </c>
      <c r="K14" s="37" t="str">
        <f t="shared" si="2"/>
        <v>Chilton, AL</v>
      </c>
      <c r="L14" s="37"/>
      <c r="M14" s="37" t="s">
        <v>63</v>
      </c>
      <c r="N14" s="37" t="s">
        <v>63</v>
      </c>
      <c r="O14" s="37" t="s">
        <v>63</v>
      </c>
      <c r="P14" s="37" t="s">
        <v>63</v>
      </c>
      <c r="Q14" s="37" t="s">
        <v>63</v>
      </c>
      <c r="R14" s="37" t="s">
        <v>63</v>
      </c>
      <c r="S14" s="37" t="s">
        <v>63</v>
      </c>
      <c r="T14" s="69" t="s">
        <v>63</v>
      </c>
      <c r="U14" s="70" t="s">
        <v>63</v>
      </c>
      <c r="V14" s="37" t="s">
        <v>63</v>
      </c>
      <c r="W14" s="71" t="s">
        <v>63</v>
      </c>
      <c r="X14" s="72" t="s">
        <v>63</v>
      </c>
      <c r="Y14" s="53" t="s">
        <v>63</v>
      </c>
      <c r="Z14" s="69" t="s">
        <v>63</v>
      </c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</row>
    <row r="15">
      <c r="A15" s="28">
        <v>14.0</v>
      </c>
      <c r="B15" s="29"/>
      <c r="C15" s="29"/>
      <c r="D15" s="40">
        <v>1.0</v>
      </c>
      <c r="E15" s="31">
        <v>1.0</v>
      </c>
      <c r="F15" s="42">
        <v>23.0</v>
      </c>
      <c r="G15" s="29" t="str">
        <f t="shared" si="1"/>
        <v>01023</v>
      </c>
      <c r="H15" s="37" t="s">
        <v>107</v>
      </c>
      <c r="I15" s="37" t="s">
        <v>0</v>
      </c>
      <c r="J15" s="37" t="s">
        <v>41</v>
      </c>
      <c r="K15" s="37" t="str">
        <f t="shared" si="2"/>
        <v>Choctaw, AL</v>
      </c>
      <c r="L15" s="37"/>
      <c r="M15" s="37" t="s">
        <v>63</v>
      </c>
      <c r="N15" s="37" t="s">
        <v>63</v>
      </c>
      <c r="O15" s="37" t="s">
        <v>63</v>
      </c>
      <c r="P15" s="37" t="s">
        <v>63</v>
      </c>
      <c r="Q15" s="37" t="s">
        <v>63</v>
      </c>
      <c r="R15" s="37" t="s">
        <v>63</v>
      </c>
      <c r="S15" s="37" t="s">
        <v>63</v>
      </c>
      <c r="T15" s="69" t="s">
        <v>63</v>
      </c>
      <c r="U15" s="70" t="s">
        <v>63</v>
      </c>
      <c r="V15" s="37" t="s">
        <v>63</v>
      </c>
      <c r="W15" s="71" t="s">
        <v>63</v>
      </c>
      <c r="X15" s="72" t="s">
        <v>63</v>
      </c>
      <c r="Y15" s="53" t="s">
        <v>63</v>
      </c>
      <c r="Z15" s="69" t="s">
        <v>63</v>
      </c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</row>
    <row r="16">
      <c r="A16" s="28">
        <v>15.0</v>
      </c>
      <c r="B16" s="29"/>
      <c r="C16" s="29"/>
      <c r="D16" s="40">
        <v>1.0</v>
      </c>
      <c r="E16" s="31">
        <v>1.0</v>
      </c>
      <c r="F16" s="42">
        <v>25.0</v>
      </c>
      <c r="G16" s="29" t="str">
        <f t="shared" si="1"/>
        <v>01025</v>
      </c>
      <c r="H16" s="37" t="s">
        <v>110</v>
      </c>
      <c r="I16" s="37" t="s">
        <v>0</v>
      </c>
      <c r="J16" s="37" t="s">
        <v>41</v>
      </c>
      <c r="K16" s="37" t="str">
        <f t="shared" si="2"/>
        <v>Clarke, AL</v>
      </c>
      <c r="L16" s="37"/>
      <c r="M16" s="37" t="s">
        <v>63</v>
      </c>
      <c r="N16" s="37" t="s">
        <v>63</v>
      </c>
      <c r="O16" s="37" t="s">
        <v>63</v>
      </c>
      <c r="P16" s="37" t="s">
        <v>63</v>
      </c>
      <c r="Q16" s="37" t="s">
        <v>63</v>
      </c>
      <c r="R16" s="37" t="s">
        <v>63</v>
      </c>
      <c r="S16" s="37" t="s">
        <v>63</v>
      </c>
      <c r="T16" s="69" t="s">
        <v>63</v>
      </c>
      <c r="U16" s="70" t="s">
        <v>63</v>
      </c>
      <c r="V16" s="37" t="s">
        <v>63</v>
      </c>
      <c r="W16" s="71" t="s">
        <v>63</v>
      </c>
      <c r="X16" s="72" t="s">
        <v>63</v>
      </c>
      <c r="Y16" s="53" t="s">
        <v>63</v>
      </c>
      <c r="Z16" s="69" t="s">
        <v>63</v>
      </c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</row>
    <row r="17">
      <c r="A17" s="28">
        <v>16.0</v>
      </c>
      <c r="B17" s="29"/>
      <c r="C17" s="29"/>
      <c r="D17" s="40">
        <v>1.0</v>
      </c>
      <c r="E17" s="31">
        <v>1.0</v>
      </c>
      <c r="F17" s="42">
        <v>27.0</v>
      </c>
      <c r="G17" s="29" t="str">
        <f t="shared" si="1"/>
        <v>01027</v>
      </c>
      <c r="H17" s="37" t="s">
        <v>112</v>
      </c>
      <c r="I17" s="37" t="s">
        <v>0</v>
      </c>
      <c r="J17" s="37" t="s">
        <v>41</v>
      </c>
      <c r="K17" s="37" t="str">
        <f t="shared" si="2"/>
        <v>Clay, AL</v>
      </c>
      <c r="L17" s="37"/>
      <c r="M17" s="37" t="s">
        <v>63</v>
      </c>
      <c r="N17" s="37" t="s">
        <v>63</v>
      </c>
      <c r="O17" s="37" t="s">
        <v>63</v>
      </c>
      <c r="P17" s="37" t="s">
        <v>63</v>
      </c>
      <c r="Q17" s="37" t="s">
        <v>63</v>
      </c>
      <c r="R17" s="37" t="s">
        <v>63</v>
      </c>
      <c r="S17" s="37" t="s">
        <v>63</v>
      </c>
      <c r="T17" s="69" t="s">
        <v>63</v>
      </c>
      <c r="U17" s="70" t="s">
        <v>63</v>
      </c>
      <c r="V17" s="37" t="s">
        <v>63</v>
      </c>
      <c r="W17" s="71" t="s">
        <v>63</v>
      </c>
      <c r="X17" s="72" t="s">
        <v>63</v>
      </c>
      <c r="Y17" s="53" t="s">
        <v>63</v>
      </c>
      <c r="Z17" s="69" t="s">
        <v>63</v>
      </c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</row>
    <row r="18">
      <c r="A18" s="28">
        <v>17.0</v>
      </c>
      <c r="B18" s="29"/>
      <c r="C18" s="29"/>
      <c r="D18" s="40">
        <v>1.0</v>
      </c>
      <c r="E18" s="31">
        <v>1.0</v>
      </c>
      <c r="F18" s="42">
        <v>29.0</v>
      </c>
      <c r="G18" s="29" t="str">
        <f t="shared" si="1"/>
        <v>01029</v>
      </c>
      <c r="H18" s="37" t="s">
        <v>115</v>
      </c>
      <c r="I18" s="37" t="s">
        <v>0</v>
      </c>
      <c r="J18" s="37" t="s">
        <v>41</v>
      </c>
      <c r="K18" s="37" t="str">
        <f t="shared" si="2"/>
        <v>Cleburne, AL</v>
      </c>
      <c r="L18" s="37"/>
      <c r="M18" s="37" t="s">
        <v>63</v>
      </c>
      <c r="N18" s="37" t="s">
        <v>63</v>
      </c>
      <c r="O18" s="37" t="s">
        <v>63</v>
      </c>
      <c r="P18" s="37" t="s">
        <v>63</v>
      </c>
      <c r="Q18" s="37" t="s">
        <v>63</v>
      </c>
      <c r="R18" s="37" t="s">
        <v>63</v>
      </c>
      <c r="S18" s="37" t="s">
        <v>63</v>
      </c>
      <c r="T18" s="69" t="s">
        <v>63</v>
      </c>
      <c r="U18" s="70" t="s">
        <v>63</v>
      </c>
      <c r="V18" s="37" t="s">
        <v>63</v>
      </c>
      <c r="W18" s="71" t="s">
        <v>63</v>
      </c>
      <c r="X18" s="72" t="s">
        <v>63</v>
      </c>
      <c r="Y18" s="53" t="s">
        <v>63</v>
      </c>
      <c r="Z18" s="69" t="s">
        <v>63</v>
      </c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</row>
    <row r="19">
      <c r="A19" s="28">
        <v>18.0</v>
      </c>
      <c r="B19" s="29"/>
      <c r="C19" s="29"/>
      <c r="D19" s="40">
        <v>1.0</v>
      </c>
      <c r="E19" s="31">
        <v>1.0</v>
      </c>
      <c r="F19" s="42">
        <v>31.0</v>
      </c>
      <c r="G19" s="29" t="str">
        <f t="shared" si="1"/>
        <v>01031</v>
      </c>
      <c r="H19" s="37" t="s">
        <v>118</v>
      </c>
      <c r="I19" s="37" t="s">
        <v>0</v>
      </c>
      <c r="J19" s="37" t="s">
        <v>41</v>
      </c>
      <c r="K19" s="37" t="str">
        <f t="shared" si="2"/>
        <v>Coffee, AL</v>
      </c>
      <c r="L19" s="37"/>
      <c r="M19" s="37" t="s">
        <v>63</v>
      </c>
      <c r="N19" s="37" t="s">
        <v>63</v>
      </c>
      <c r="O19" s="37" t="s">
        <v>63</v>
      </c>
      <c r="P19" s="37" t="s">
        <v>63</v>
      </c>
      <c r="Q19" s="37" t="s">
        <v>63</v>
      </c>
      <c r="R19" s="37" t="s">
        <v>63</v>
      </c>
      <c r="S19" s="37" t="s">
        <v>63</v>
      </c>
      <c r="T19" s="69" t="s">
        <v>63</v>
      </c>
      <c r="U19" s="70" t="s">
        <v>63</v>
      </c>
      <c r="V19" s="37" t="s">
        <v>63</v>
      </c>
      <c r="W19" s="71" t="s">
        <v>63</v>
      </c>
      <c r="X19" s="72" t="s">
        <v>63</v>
      </c>
      <c r="Y19" s="53" t="s">
        <v>63</v>
      </c>
      <c r="Z19" s="69" t="s">
        <v>63</v>
      </c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</row>
    <row r="20">
      <c r="A20" s="28">
        <v>19.0</v>
      </c>
      <c r="B20" s="29"/>
      <c r="C20" s="29"/>
      <c r="D20" s="40">
        <v>1.0</v>
      </c>
      <c r="E20" s="31">
        <v>1.0</v>
      </c>
      <c r="F20" s="42">
        <v>33.0</v>
      </c>
      <c r="G20" s="29" t="str">
        <f t="shared" si="1"/>
        <v>01033</v>
      </c>
      <c r="H20" s="37" t="s">
        <v>121</v>
      </c>
      <c r="I20" s="37" t="s">
        <v>0</v>
      </c>
      <c r="J20" s="37" t="s">
        <v>41</v>
      </c>
      <c r="K20" s="37" t="str">
        <f t="shared" si="2"/>
        <v>Colbert, AL</v>
      </c>
      <c r="L20" s="37"/>
      <c r="M20" s="37" t="s">
        <v>63</v>
      </c>
      <c r="N20" s="37" t="s">
        <v>63</v>
      </c>
      <c r="O20" s="37" t="s">
        <v>63</v>
      </c>
      <c r="P20" s="37" t="s">
        <v>63</v>
      </c>
      <c r="Q20" s="37" t="s">
        <v>63</v>
      </c>
      <c r="R20" s="37" t="s">
        <v>63</v>
      </c>
      <c r="S20" s="37" t="s">
        <v>63</v>
      </c>
      <c r="T20" s="69" t="s">
        <v>63</v>
      </c>
      <c r="U20" s="70" t="s">
        <v>63</v>
      </c>
      <c r="V20" s="37" t="s">
        <v>63</v>
      </c>
      <c r="W20" s="71" t="s">
        <v>63</v>
      </c>
      <c r="X20" s="72" t="s">
        <v>63</v>
      </c>
      <c r="Y20" s="53" t="s">
        <v>63</v>
      </c>
      <c r="Z20" s="69" t="s">
        <v>63</v>
      </c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</row>
    <row r="21">
      <c r="A21" s="28">
        <v>20.0</v>
      </c>
      <c r="B21" s="29"/>
      <c r="C21" s="29"/>
      <c r="D21" s="40">
        <v>1.0</v>
      </c>
      <c r="E21" s="31">
        <v>1.0</v>
      </c>
      <c r="F21" s="42">
        <v>35.0</v>
      </c>
      <c r="G21" s="29" t="str">
        <f t="shared" si="1"/>
        <v>01035</v>
      </c>
      <c r="H21" s="37" t="s">
        <v>124</v>
      </c>
      <c r="I21" s="37" t="s">
        <v>0</v>
      </c>
      <c r="J21" s="37" t="s">
        <v>41</v>
      </c>
      <c r="K21" s="37" t="str">
        <f t="shared" si="2"/>
        <v>Conecuh, AL</v>
      </c>
      <c r="L21" s="37"/>
      <c r="M21" s="37" t="s">
        <v>63</v>
      </c>
      <c r="N21" s="37" t="s">
        <v>63</v>
      </c>
      <c r="O21" s="37" t="s">
        <v>63</v>
      </c>
      <c r="P21" s="37" t="s">
        <v>63</v>
      </c>
      <c r="Q21" s="37" t="s">
        <v>63</v>
      </c>
      <c r="R21" s="37" t="s">
        <v>63</v>
      </c>
      <c r="S21" s="37" t="s">
        <v>63</v>
      </c>
      <c r="T21" s="69" t="s">
        <v>63</v>
      </c>
      <c r="U21" s="70" t="s">
        <v>63</v>
      </c>
      <c r="V21" s="37" t="s">
        <v>63</v>
      </c>
      <c r="W21" s="71" t="s">
        <v>63</v>
      </c>
      <c r="X21" s="72" t="s">
        <v>63</v>
      </c>
      <c r="Y21" s="53" t="s">
        <v>63</v>
      </c>
      <c r="Z21" s="69" t="s">
        <v>63</v>
      </c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</row>
    <row r="22">
      <c r="A22" s="28">
        <v>21.0</v>
      </c>
      <c r="B22" s="29"/>
      <c r="C22" s="29"/>
      <c r="D22" s="40">
        <v>1.0</v>
      </c>
      <c r="E22" s="31">
        <v>1.0</v>
      </c>
      <c r="F22" s="42">
        <v>37.0</v>
      </c>
      <c r="G22" s="29" t="str">
        <f t="shared" si="1"/>
        <v>01037</v>
      </c>
      <c r="H22" s="37" t="s">
        <v>125</v>
      </c>
      <c r="I22" s="37" t="s">
        <v>0</v>
      </c>
      <c r="J22" s="37" t="s">
        <v>41</v>
      </c>
      <c r="K22" s="37" t="str">
        <f t="shared" si="2"/>
        <v>Coosa, AL</v>
      </c>
      <c r="L22" s="37"/>
      <c r="M22" s="37" t="s">
        <v>63</v>
      </c>
      <c r="N22" s="37" t="s">
        <v>63</v>
      </c>
      <c r="O22" s="37" t="s">
        <v>63</v>
      </c>
      <c r="P22" s="37" t="s">
        <v>63</v>
      </c>
      <c r="Q22" s="37" t="s">
        <v>63</v>
      </c>
      <c r="R22" s="37" t="s">
        <v>63</v>
      </c>
      <c r="S22" s="37" t="s">
        <v>63</v>
      </c>
      <c r="T22" s="69" t="s">
        <v>63</v>
      </c>
      <c r="U22" s="70" t="s">
        <v>63</v>
      </c>
      <c r="V22" s="37" t="s">
        <v>63</v>
      </c>
      <c r="W22" s="71" t="s">
        <v>63</v>
      </c>
      <c r="X22" s="72" t="s">
        <v>63</v>
      </c>
      <c r="Y22" s="53" t="s">
        <v>63</v>
      </c>
      <c r="Z22" s="69" t="s">
        <v>63</v>
      </c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</row>
    <row r="23">
      <c r="A23" s="28">
        <v>22.0</v>
      </c>
      <c r="B23" s="29"/>
      <c r="C23" s="29"/>
      <c r="D23" s="40">
        <v>1.0</v>
      </c>
      <c r="E23" s="31">
        <v>1.0</v>
      </c>
      <c r="F23" s="42">
        <v>39.0</v>
      </c>
      <c r="G23" s="29" t="str">
        <f t="shared" si="1"/>
        <v>01039</v>
      </c>
      <c r="H23" s="37" t="s">
        <v>126</v>
      </c>
      <c r="I23" s="37" t="s">
        <v>0</v>
      </c>
      <c r="J23" s="37" t="s">
        <v>41</v>
      </c>
      <c r="K23" s="37" t="str">
        <f t="shared" si="2"/>
        <v>Covington, AL</v>
      </c>
      <c r="L23" s="37"/>
      <c r="M23" s="37" t="s">
        <v>63</v>
      </c>
      <c r="N23" s="37" t="s">
        <v>63</v>
      </c>
      <c r="O23" s="37" t="s">
        <v>63</v>
      </c>
      <c r="P23" s="37" t="s">
        <v>63</v>
      </c>
      <c r="Q23" s="37" t="s">
        <v>63</v>
      </c>
      <c r="R23" s="37" t="s">
        <v>63</v>
      </c>
      <c r="S23" s="37" t="s">
        <v>63</v>
      </c>
      <c r="T23" s="69" t="s">
        <v>63</v>
      </c>
      <c r="U23" s="70" t="s">
        <v>63</v>
      </c>
      <c r="V23" s="37" t="s">
        <v>63</v>
      </c>
      <c r="W23" s="71" t="s">
        <v>63</v>
      </c>
      <c r="X23" s="72" t="s">
        <v>63</v>
      </c>
      <c r="Y23" s="53" t="s">
        <v>63</v>
      </c>
      <c r="Z23" s="69" t="s">
        <v>63</v>
      </c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</row>
    <row r="24">
      <c r="A24" s="28">
        <v>23.0</v>
      </c>
      <c r="B24" s="29"/>
      <c r="C24" s="29"/>
      <c r="D24" s="40">
        <v>1.0</v>
      </c>
      <c r="E24" s="31">
        <v>1.0</v>
      </c>
      <c r="F24" s="42">
        <v>41.0</v>
      </c>
      <c r="G24" s="29" t="str">
        <f t="shared" si="1"/>
        <v>01041</v>
      </c>
      <c r="H24" s="37" t="s">
        <v>127</v>
      </c>
      <c r="I24" s="37" t="s">
        <v>0</v>
      </c>
      <c r="J24" s="37" t="s">
        <v>41</v>
      </c>
      <c r="K24" s="37" t="str">
        <f t="shared" si="2"/>
        <v>Crenshaw, AL</v>
      </c>
      <c r="L24" s="37"/>
      <c r="M24" s="37" t="s">
        <v>63</v>
      </c>
      <c r="N24" s="37" t="s">
        <v>63</v>
      </c>
      <c r="O24" s="37" t="s">
        <v>63</v>
      </c>
      <c r="P24" s="37" t="s">
        <v>63</v>
      </c>
      <c r="Q24" s="37" t="s">
        <v>63</v>
      </c>
      <c r="R24" s="37" t="s">
        <v>63</v>
      </c>
      <c r="S24" s="37" t="s">
        <v>63</v>
      </c>
      <c r="T24" s="69" t="s">
        <v>63</v>
      </c>
      <c r="U24" s="70" t="s">
        <v>63</v>
      </c>
      <c r="V24" s="37" t="s">
        <v>63</v>
      </c>
      <c r="W24" s="71" t="s">
        <v>63</v>
      </c>
      <c r="X24" s="72" t="s">
        <v>63</v>
      </c>
      <c r="Y24" s="53" t="s">
        <v>63</v>
      </c>
      <c r="Z24" s="69" t="s">
        <v>63</v>
      </c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</row>
    <row r="25">
      <c r="A25" s="28">
        <v>24.0</v>
      </c>
      <c r="B25" s="29"/>
      <c r="C25" s="29"/>
      <c r="D25" s="40">
        <v>1.0</v>
      </c>
      <c r="E25" s="31">
        <v>1.0</v>
      </c>
      <c r="F25" s="42">
        <v>43.0</v>
      </c>
      <c r="G25" s="29" t="str">
        <f t="shared" si="1"/>
        <v>01043</v>
      </c>
      <c r="H25" s="37" t="s">
        <v>128</v>
      </c>
      <c r="I25" s="37" t="s">
        <v>0</v>
      </c>
      <c r="J25" s="37" t="s">
        <v>41</v>
      </c>
      <c r="K25" s="37" t="str">
        <f t="shared" si="2"/>
        <v>Cullman, AL</v>
      </c>
      <c r="L25" s="37"/>
      <c r="M25" s="37" t="s">
        <v>63</v>
      </c>
      <c r="N25" s="37" t="s">
        <v>63</v>
      </c>
      <c r="O25" s="37" t="s">
        <v>63</v>
      </c>
      <c r="P25" s="37" t="s">
        <v>63</v>
      </c>
      <c r="Q25" s="37" t="s">
        <v>63</v>
      </c>
      <c r="R25" s="37" t="s">
        <v>63</v>
      </c>
      <c r="S25" s="37" t="s">
        <v>63</v>
      </c>
      <c r="T25" s="69" t="s">
        <v>63</v>
      </c>
      <c r="U25" s="70" t="s">
        <v>63</v>
      </c>
      <c r="V25" s="37" t="s">
        <v>63</v>
      </c>
      <c r="W25" s="71" t="s">
        <v>63</v>
      </c>
      <c r="X25" s="72" t="s">
        <v>63</v>
      </c>
      <c r="Y25" s="53" t="s">
        <v>63</v>
      </c>
      <c r="Z25" s="69" t="s">
        <v>63</v>
      </c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</row>
    <row r="26">
      <c r="A26" s="28">
        <v>25.0</v>
      </c>
      <c r="B26" s="29"/>
      <c r="C26" s="29"/>
      <c r="D26" s="40">
        <v>1.0</v>
      </c>
      <c r="E26" s="31">
        <v>1.0</v>
      </c>
      <c r="F26" s="42">
        <v>45.0</v>
      </c>
      <c r="G26" s="29" t="str">
        <f t="shared" si="1"/>
        <v>01045</v>
      </c>
      <c r="H26" s="37" t="s">
        <v>129</v>
      </c>
      <c r="I26" s="37" t="s">
        <v>0</v>
      </c>
      <c r="J26" s="37" t="s">
        <v>41</v>
      </c>
      <c r="K26" s="37" t="str">
        <f t="shared" si="2"/>
        <v>Dale, AL</v>
      </c>
      <c r="L26" s="37"/>
      <c r="M26" s="37" t="s">
        <v>63</v>
      </c>
      <c r="N26" s="37" t="s">
        <v>63</v>
      </c>
      <c r="O26" s="37" t="s">
        <v>63</v>
      </c>
      <c r="P26" s="37" t="s">
        <v>63</v>
      </c>
      <c r="Q26" s="37" t="s">
        <v>63</v>
      </c>
      <c r="R26" s="37" t="s">
        <v>63</v>
      </c>
      <c r="S26" s="37" t="s">
        <v>63</v>
      </c>
      <c r="T26" s="69" t="s">
        <v>63</v>
      </c>
      <c r="U26" s="70" t="s">
        <v>63</v>
      </c>
      <c r="V26" s="37" t="s">
        <v>63</v>
      </c>
      <c r="W26" s="71" t="s">
        <v>63</v>
      </c>
      <c r="X26" s="72" t="s">
        <v>63</v>
      </c>
      <c r="Y26" s="53" t="s">
        <v>63</v>
      </c>
      <c r="Z26" s="69" t="s">
        <v>63</v>
      </c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</row>
    <row r="27">
      <c r="A27" s="28">
        <v>26.0</v>
      </c>
      <c r="B27" s="29"/>
      <c r="C27" s="29"/>
      <c r="D27" s="40">
        <v>1.0</v>
      </c>
      <c r="E27" s="31">
        <v>1.0</v>
      </c>
      <c r="F27" s="42">
        <v>47.0</v>
      </c>
      <c r="G27" s="29" t="str">
        <f t="shared" si="1"/>
        <v>01047</v>
      </c>
      <c r="H27" s="37" t="s">
        <v>130</v>
      </c>
      <c r="I27" s="37" t="s">
        <v>0</v>
      </c>
      <c r="J27" s="37" t="s">
        <v>41</v>
      </c>
      <c r="K27" s="37" t="str">
        <f t="shared" si="2"/>
        <v>Dallas, AL</v>
      </c>
      <c r="L27" s="37"/>
      <c r="M27" s="37" t="s">
        <v>63</v>
      </c>
      <c r="N27" s="37" t="s">
        <v>63</v>
      </c>
      <c r="O27" s="37" t="s">
        <v>63</v>
      </c>
      <c r="P27" s="37" t="s">
        <v>63</v>
      </c>
      <c r="Q27" s="37" t="s">
        <v>63</v>
      </c>
      <c r="R27" s="37" t="s">
        <v>63</v>
      </c>
      <c r="S27" s="37" t="s">
        <v>63</v>
      </c>
      <c r="T27" s="69" t="s">
        <v>63</v>
      </c>
      <c r="U27" s="70" t="s">
        <v>63</v>
      </c>
      <c r="V27" s="37" t="s">
        <v>63</v>
      </c>
      <c r="W27" s="71" t="s">
        <v>63</v>
      </c>
      <c r="X27" s="72" t="s">
        <v>63</v>
      </c>
      <c r="Y27" s="53" t="s">
        <v>63</v>
      </c>
      <c r="Z27" s="69" t="s">
        <v>63</v>
      </c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</row>
    <row r="28">
      <c r="A28" s="28">
        <v>27.0</v>
      </c>
      <c r="B28" s="29"/>
      <c r="C28" s="29"/>
      <c r="D28" s="40">
        <v>1.0</v>
      </c>
      <c r="E28" s="31">
        <v>1.0</v>
      </c>
      <c r="F28" s="42">
        <v>49.0</v>
      </c>
      <c r="G28" s="29" t="str">
        <f t="shared" si="1"/>
        <v>01049</v>
      </c>
      <c r="H28" s="37" t="s">
        <v>131</v>
      </c>
      <c r="I28" s="37" t="s">
        <v>0</v>
      </c>
      <c r="J28" s="37" t="s">
        <v>41</v>
      </c>
      <c r="K28" s="37" t="str">
        <f t="shared" si="2"/>
        <v>De Kalb, AL</v>
      </c>
      <c r="L28" s="37"/>
      <c r="M28" s="37" t="s">
        <v>63</v>
      </c>
      <c r="N28" s="37" t="s">
        <v>63</v>
      </c>
      <c r="O28" s="37" t="s">
        <v>63</v>
      </c>
      <c r="P28" s="37" t="s">
        <v>63</v>
      </c>
      <c r="Q28" s="37" t="s">
        <v>63</v>
      </c>
      <c r="R28" s="37" t="s">
        <v>63</v>
      </c>
      <c r="S28" s="37" t="s">
        <v>63</v>
      </c>
      <c r="T28" s="69" t="s">
        <v>63</v>
      </c>
      <c r="U28" s="70" t="s">
        <v>63</v>
      </c>
      <c r="V28" s="37" t="s">
        <v>63</v>
      </c>
      <c r="W28" s="71" t="s">
        <v>63</v>
      </c>
      <c r="X28" s="72" t="s">
        <v>63</v>
      </c>
      <c r="Y28" s="53" t="s">
        <v>63</v>
      </c>
      <c r="Z28" s="69" t="s">
        <v>63</v>
      </c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</row>
    <row r="29">
      <c r="A29" s="28">
        <v>28.0</v>
      </c>
      <c r="B29" s="29"/>
      <c r="C29" s="29"/>
      <c r="D29" s="40">
        <v>1.0</v>
      </c>
      <c r="E29" s="31">
        <v>1.0</v>
      </c>
      <c r="F29" s="42">
        <v>51.0</v>
      </c>
      <c r="G29" s="29" t="str">
        <f t="shared" si="1"/>
        <v>01051</v>
      </c>
      <c r="H29" s="37" t="s">
        <v>132</v>
      </c>
      <c r="I29" s="37" t="s">
        <v>0</v>
      </c>
      <c r="J29" s="37" t="s">
        <v>41</v>
      </c>
      <c r="K29" s="37" t="str">
        <f t="shared" si="2"/>
        <v>Elmore, AL</v>
      </c>
      <c r="L29" s="37"/>
      <c r="M29" s="37" t="s">
        <v>63</v>
      </c>
      <c r="N29" s="37" t="s">
        <v>63</v>
      </c>
      <c r="O29" s="37" t="s">
        <v>63</v>
      </c>
      <c r="P29" s="37" t="s">
        <v>63</v>
      </c>
      <c r="Q29" s="37" t="s">
        <v>63</v>
      </c>
      <c r="R29" s="37" t="s">
        <v>63</v>
      </c>
      <c r="S29" s="37" t="s">
        <v>63</v>
      </c>
      <c r="T29" s="69" t="s">
        <v>63</v>
      </c>
      <c r="U29" s="70" t="s">
        <v>63</v>
      </c>
      <c r="V29" s="37" t="s">
        <v>63</v>
      </c>
      <c r="W29" s="71" t="s">
        <v>63</v>
      </c>
      <c r="X29" s="72" t="s">
        <v>63</v>
      </c>
      <c r="Y29" s="53" t="s">
        <v>63</v>
      </c>
      <c r="Z29" s="69" t="s">
        <v>63</v>
      </c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</row>
    <row r="30">
      <c r="A30" s="28">
        <v>29.0</v>
      </c>
      <c r="B30" s="29"/>
      <c r="C30" s="29"/>
      <c r="D30" s="40">
        <v>1.0</v>
      </c>
      <c r="E30" s="31">
        <v>1.0</v>
      </c>
      <c r="F30" s="42">
        <v>53.0</v>
      </c>
      <c r="G30" s="29" t="str">
        <f t="shared" si="1"/>
        <v>01053</v>
      </c>
      <c r="H30" s="37" t="s">
        <v>133</v>
      </c>
      <c r="I30" s="37" t="s">
        <v>0</v>
      </c>
      <c r="J30" s="37" t="s">
        <v>41</v>
      </c>
      <c r="K30" s="37" t="str">
        <f t="shared" si="2"/>
        <v>Escambia, AL</v>
      </c>
      <c r="L30" s="37"/>
      <c r="M30" s="37" t="s">
        <v>63</v>
      </c>
      <c r="N30" s="37" t="s">
        <v>63</v>
      </c>
      <c r="O30" s="37" t="s">
        <v>63</v>
      </c>
      <c r="P30" s="37" t="s">
        <v>63</v>
      </c>
      <c r="Q30" s="37" t="s">
        <v>63</v>
      </c>
      <c r="R30" s="37" t="s">
        <v>63</v>
      </c>
      <c r="S30" s="37" t="s">
        <v>63</v>
      </c>
      <c r="T30" s="69" t="s">
        <v>63</v>
      </c>
      <c r="U30" s="70" t="s">
        <v>63</v>
      </c>
      <c r="V30" s="37" t="s">
        <v>63</v>
      </c>
      <c r="W30" s="71" t="s">
        <v>63</v>
      </c>
      <c r="X30" s="72" t="s">
        <v>63</v>
      </c>
      <c r="Y30" s="53" t="s">
        <v>63</v>
      </c>
      <c r="Z30" s="69" t="s">
        <v>63</v>
      </c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</row>
    <row r="31">
      <c r="A31" s="28">
        <v>30.0</v>
      </c>
      <c r="B31" s="29"/>
      <c r="C31" s="29"/>
      <c r="D31" s="40">
        <v>1.0</v>
      </c>
      <c r="E31" s="31">
        <v>1.0</v>
      </c>
      <c r="F31" s="42">
        <v>55.0</v>
      </c>
      <c r="G31" s="29" t="str">
        <f t="shared" si="1"/>
        <v>01055</v>
      </c>
      <c r="H31" s="37" t="s">
        <v>134</v>
      </c>
      <c r="I31" s="37" t="s">
        <v>0</v>
      </c>
      <c r="J31" s="37" t="s">
        <v>41</v>
      </c>
      <c r="K31" s="37" t="str">
        <f t="shared" si="2"/>
        <v>Etowah, AL</v>
      </c>
      <c r="L31" s="37"/>
      <c r="M31" s="37" t="s">
        <v>63</v>
      </c>
      <c r="N31" s="37" t="s">
        <v>63</v>
      </c>
      <c r="O31" s="37" t="s">
        <v>63</v>
      </c>
      <c r="P31" s="37" t="s">
        <v>63</v>
      </c>
      <c r="Q31" s="37" t="s">
        <v>63</v>
      </c>
      <c r="R31" s="37" t="s">
        <v>63</v>
      </c>
      <c r="S31" s="37" t="s">
        <v>63</v>
      </c>
      <c r="T31" s="69" t="s">
        <v>63</v>
      </c>
      <c r="U31" s="70" t="s">
        <v>63</v>
      </c>
      <c r="V31" s="37" t="s">
        <v>63</v>
      </c>
      <c r="W31" s="71" t="s">
        <v>63</v>
      </c>
      <c r="X31" s="72" t="s">
        <v>63</v>
      </c>
      <c r="Y31" s="53" t="s">
        <v>63</v>
      </c>
      <c r="Z31" s="69" t="s">
        <v>63</v>
      </c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</row>
    <row r="32">
      <c r="A32" s="28">
        <v>31.0</v>
      </c>
      <c r="B32" s="29"/>
      <c r="C32" s="29"/>
      <c r="D32" s="40">
        <v>1.0</v>
      </c>
      <c r="E32" s="31">
        <v>1.0</v>
      </c>
      <c r="F32" s="42">
        <v>57.0</v>
      </c>
      <c r="G32" s="29" t="str">
        <f t="shared" si="1"/>
        <v>01057</v>
      </c>
      <c r="H32" s="37" t="s">
        <v>135</v>
      </c>
      <c r="I32" s="37" t="s">
        <v>0</v>
      </c>
      <c r="J32" s="37" t="s">
        <v>41</v>
      </c>
      <c r="K32" s="37" t="str">
        <f t="shared" si="2"/>
        <v>Fayette, AL</v>
      </c>
      <c r="L32" s="37"/>
      <c r="M32" s="37" t="s">
        <v>63</v>
      </c>
      <c r="N32" s="37" t="s">
        <v>63</v>
      </c>
      <c r="O32" s="37" t="s">
        <v>63</v>
      </c>
      <c r="P32" s="37" t="s">
        <v>63</v>
      </c>
      <c r="Q32" s="37" t="s">
        <v>63</v>
      </c>
      <c r="R32" s="37" t="s">
        <v>63</v>
      </c>
      <c r="S32" s="37" t="s">
        <v>63</v>
      </c>
      <c r="T32" s="69" t="s">
        <v>63</v>
      </c>
      <c r="U32" s="70" t="s">
        <v>63</v>
      </c>
      <c r="V32" s="37" t="s">
        <v>63</v>
      </c>
      <c r="W32" s="71" t="s">
        <v>63</v>
      </c>
      <c r="X32" s="72" t="s">
        <v>63</v>
      </c>
      <c r="Y32" s="53" t="s">
        <v>63</v>
      </c>
      <c r="Z32" s="69" t="s">
        <v>63</v>
      </c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</row>
    <row r="33">
      <c r="A33" s="28">
        <v>32.0</v>
      </c>
      <c r="B33" s="29"/>
      <c r="C33" s="29"/>
      <c r="D33" s="40">
        <v>1.0</v>
      </c>
      <c r="E33" s="31">
        <v>1.0</v>
      </c>
      <c r="F33" s="42">
        <v>59.0</v>
      </c>
      <c r="G33" s="29" t="str">
        <f t="shared" si="1"/>
        <v>01059</v>
      </c>
      <c r="H33" s="37" t="s">
        <v>136</v>
      </c>
      <c r="I33" s="37" t="s">
        <v>0</v>
      </c>
      <c r="J33" s="37" t="s">
        <v>41</v>
      </c>
      <c r="K33" s="37" t="str">
        <f t="shared" si="2"/>
        <v>Franklin, AL</v>
      </c>
      <c r="L33" s="37"/>
      <c r="M33" s="37" t="s">
        <v>63</v>
      </c>
      <c r="N33" s="37" t="s">
        <v>63</v>
      </c>
      <c r="O33" s="37" t="s">
        <v>63</v>
      </c>
      <c r="P33" s="37" t="s">
        <v>63</v>
      </c>
      <c r="Q33" s="37" t="s">
        <v>63</v>
      </c>
      <c r="R33" s="37" t="s">
        <v>63</v>
      </c>
      <c r="S33" s="37" t="s">
        <v>63</v>
      </c>
      <c r="T33" s="69" t="s">
        <v>63</v>
      </c>
      <c r="U33" s="70" t="s">
        <v>63</v>
      </c>
      <c r="V33" s="37" t="s">
        <v>63</v>
      </c>
      <c r="W33" s="71" t="s">
        <v>63</v>
      </c>
      <c r="X33" s="72" t="s">
        <v>63</v>
      </c>
      <c r="Y33" s="53" t="s">
        <v>63</v>
      </c>
      <c r="Z33" s="69" t="s">
        <v>63</v>
      </c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</row>
    <row r="34">
      <c r="A34" s="28">
        <v>33.0</v>
      </c>
      <c r="B34" s="29"/>
      <c r="C34" s="29"/>
      <c r="D34" s="40">
        <v>1.0</v>
      </c>
      <c r="E34" s="31">
        <v>1.0</v>
      </c>
      <c r="F34" s="42">
        <v>61.0</v>
      </c>
      <c r="G34" s="29" t="str">
        <f t="shared" si="1"/>
        <v>01061</v>
      </c>
      <c r="H34" s="37" t="s">
        <v>137</v>
      </c>
      <c r="I34" s="37" t="s">
        <v>0</v>
      </c>
      <c r="J34" s="37" t="s">
        <v>41</v>
      </c>
      <c r="K34" s="37" t="str">
        <f t="shared" si="2"/>
        <v>Geneva, AL</v>
      </c>
      <c r="L34" s="37"/>
      <c r="M34" s="37" t="s">
        <v>63</v>
      </c>
      <c r="N34" s="37" t="s">
        <v>63</v>
      </c>
      <c r="O34" s="37" t="s">
        <v>63</v>
      </c>
      <c r="P34" s="37" t="s">
        <v>63</v>
      </c>
      <c r="Q34" s="37" t="s">
        <v>63</v>
      </c>
      <c r="R34" s="37" t="s">
        <v>63</v>
      </c>
      <c r="S34" s="37" t="s">
        <v>63</v>
      </c>
      <c r="T34" s="69" t="s">
        <v>63</v>
      </c>
      <c r="U34" s="70" t="s">
        <v>63</v>
      </c>
      <c r="V34" s="37" t="s">
        <v>63</v>
      </c>
      <c r="W34" s="71" t="s">
        <v>63</v>
      </c>
      <c r="X34" s="72" t="s">
        <v>63</v>
      </c>
      <c r="Y34" s="53" t="s">
        <v>63</v>
      </c>
      <c r="Z34" s="69" t="s">
        <v>63</v>
      </c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</row>
    <row r="35">
      <c r="A35" s="28">
        <v>34.0</v>
      </c>
      <c r="B35" s="29"/>
      <c r="C35" s="29"/>
      <c r="D35" s="40">
        <v>1.0</v>
      </c>
      <c r="E35" s="31">
        <v>1.0</v>
      </c>
      <c r="F35" s="42">
        <v>63.0</v>
      </c>
      <c r="G35" s="29" t="str">
        <f t="shared" si="1"/>
        <v>01063</v>
      </c>
      <c r="H35" s="37" t="s">
        <v>138</v>
      </c>
      <c r="I35" s="37" t="s">
        <v>0</v>
      </c>
      <c r="J35" s="37" t="s">
        <v>41</v>
      </c>
      <c r="K35" s="37" t="str">
        <f t="shared" si="2"/>
        <v>Greene, AL</v>
      </c>
      <c r="L35" s="37"/>
      <c r="M35" s="37" t="s">
        <v>63</v>
      </c>
      <c r="N35" s="37" t="s">
        <v>63</v>
      </c>
      <c r="O35" s="37" t="s">
        <v>63</v>
      </c>
      <c r="P35" s="37" t="s">
        <v>63</v>
      </c>
      <c r="Q35" s="37" t="s">
        <v>63</v>
      </c>
      <c r="R35" s="37" t="s">
        <v>63</v>
      </c>
      <c r="S35" s="37" t="s">
        <v>63</v>
      </c>
      <c r="T35" s="69" t="s">
        <v>63</v>
      </c>
      <c r="U35" s="70" t="s">
        <v>63</v>
      </c>
      <c r="V35" s="37" t="s">
        <v>63</v>
      </c>
      <c r="W35" s="71" t="s">
        <v>63</v>
      </c>
      <c r="X35" s="72" t="s">
        <v>63</v>
      </c>
      <c r="Y35" s="53" t="s">
        <v>63</v>
      </c>
      <c r="Z35" s="69" t="s">
        <v>63</v>
      </c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</row>
    <row r="36">
      <c r="A36" s="28">
        <v>35.0</v>
      </c>
      <c r="B36" s="29"/>
      <c r="C36" s="29"/>
      <c r="D36" s="40">
        <v>1.0</v>
      </c>
      <c r="E36" s="31">
        <v>1.0</v>
      </c>
      <c r="F36" s="42">
        <v>65.0</v>
      </c>
      <c r="G36" s="29" t="str">
        <f t="shared" si="1"/>
        <v>01065</v>
      </c>
      <c r="H36" s="37" t="s">
        <v>139</v>
      </c>
      <c r="I36" s="37" t="s">
        <v>0</v>
      </c>
      <c r="J36" s="37" t="s">
        <v>41</v>
      </c>
      <c r="K36" s="37" t="str">
        <f t="shared" si="2"/>
        <v>Hale, AL</v>
      </c>
      <c r="L36" s="37"/>
      <c r="M36" s="37" t="s">
        <v>63</v>
      </c>
      <c r="N36" s="37" t="s">
        <v>63</v>
      </c>
      <c r="O36" s="37" t="s">
        <v>63</v>
      </c>
      <c r="P36" s="37" t="s">
        <v>63</v>
      </c>
      <c r="Q36" s="37" t="s">
        <v>63</v>
      </c>
      <c r="R36" s="37" t="s">
        <v>63</v>
      </c>
      <c r="S36" s="37" t="s">
        <v>63</v>
      </c>
      <c r="T36" s="69" t="s">
        <v>63</v>
      </c>
      <c r="U36" s="70" t="s">
        <v>63</v>
      </c>
      <c r="V36" s="37" t="s">
        <v>63</v>
      </c>
      <c r="W36" s="71" t="s">
        <v>63</v>
      </c>
      <c r="X36" s="72" t="s">
        <v>63</v>
      </c>
      <c r="Y36" s="53" t="s">
        <v>63</v>
      </c>
      <c r="Z36" s="69" t="s">
        <v>63</v>
      </c>
      <c r="AA36" s="73"/>
      <c r="AB36" s="73"/>
      <c r="AC36" s="73"/>
      <c r="AD36" s="73"/>
      <c r="AE36" s="73"/>
      <c r="AF36" s="73"/>
      <c r="AG36" s="73"/>
      <c r="AH36" s="73"/>
      <c r="AI36" s="73"/>
      <c r="AJ36" s="73"/>
      <c r="AK36" s="73"/>
    </row>
    <row r="37">
      <c r="A37" s="28">
        <v>36.0</v>
      </c>
      <c r="B37" s="29"/>
      <c r="C37" s="29"/>
      <c r="D37" s="40">
        <v>1.0</v>
      </c>
      <c r="E37" s="31">
        <v>1.0</v>
      </c>
      <c r="F37" s="42">
        <v>67.0</v>
      </c>
      <c r="G37" s="29" t="str">
        <f t="shared" si="1"/>
        <v>01067</v>
      </c>
      <c r="H37" s="37" t="s">
        <v>140</v>
      </c>
      <c r="I37" s="37" t="s">
        <v>0</v>
      </c>
      <c r="J37" s="37" t="s">
        <v>41</v>
      </c>
      <c r="K37" s="37" t="str">
        <f t="shared" si="2"/>
        <v>Henry, AL</v>
      </c>
      <c r="L37" s="37"/>
      <c r="M37" s="37" t="s">
        <v>63</v>
      </c>
      <c r="N37" s="37" t="s">
        <v>63</v>
      </c>
      <c r="O37" s="37" t="s">
        <v>63</v>
      </c>
      <c r="P37" s="37" t="s">
        <v>63</v>
      </c>
      <c r="Q37" s="37" t="s">
        <v>63</v>
      </c>
      <c r="R37" s="37" t="s">
        <v>63</v>
      </c>
      <c r="S37" s="37" t="s">
        <v>63</v>
      </c>
      <c r="T37" s="69" t="s">
        <v>63</v>
      </c>
      <c r="U37" s="70" t="s">
        <v>63</v>
      </c>
      <c r="V37" s="37" t="s">
        <v>63</v>
      </c>
      <c r="W37" s="71" t="s">
        <v>63</v>
      </c>
      <c r="X37" s="72" t="s">
        <v>63</v>
      </c>
      <c r="Y37" s="53" t="s">
        <v>63</v>
      </c>
      <c r="Z37" s="69" t="s">
        <v>63</v>
      </c>
      <c r="AA37" s="73"/>
      <c r="AB37" s="73"/>
      <c r="AC37" s="73"/>
      <c r="AD37" s="73"/>
      <c r="AE37" s="73"/>
      <c r="AF37" s="73"/>
      <c r="AG37" s="73"/>
      <c r="AH37" s="73"/>
      <c r="AI37" s="73"/>
      <c r="AJ37" s="73"/>
      <c r="AK37" s="73"/>
    </row>
    <row r="38">
      <c r="A38" s="28">
        <v>37.0</v>
      </c>
      <c r="B38" s="29"/>
      <c r="C38" s="29"/>
      <c r="D38" s="40">
        <v>1.0</v>
      </c>
      <c r="E38" s="31">
        <v>1.0</v>
      </c>
      <c r="F38" s="42">
        <v>69.0</v>
      </c>
      <c r="G38" s="29" t="str">
        <f t="shared" si="1"/>
        <v>01069</v>
      </c>
      <c r="H38" s="37" t="s">
        <v>141</v>
      </c>
      <c r="I38" s="37" t="s">
        <v>0</v>
      </c>
      <c r="J38" s="37" t="s">
        <v>41</v>
      </c>
      <c r="K38" s="37" t="str">
        <f t="shared" si="2"/>
        <v>Houston, AL</v>
      </c>
      <c r="L38" s="37"/>
      <c r="M38" s="37" t="s">
        <v>63</v>
      </c>
      <c r="N38" s="37" t="s">
        <v>63</v>
      </c>
      <c r="O38" s="37" t="s">
        <v>63</v>
      </c>
      <c r="P38" s="37" t="s">
        <v>63</v>
      </c>
      <c r="Q38" s="37" t="s">
        <v>63</v>
      </c>
      <c r="R38" s="37" t="s">
        <v>63</v>
      </c>
      <c r="S38" s="37" t="s">
        <v>63</v>
      </c>
      <c r="T38" s="69" t="s">
        <v>63</v>
      </c>
      <c r="U38" s="70" t="s">
        <v>63</v>
      </c>
      <c r="V38" s="37" t="s">
        <v>63</v>
      </c>
      <c r="W38" s="71" t="s">
        <v>63</v>
      </c>
      <c r="X38" s="72" t="s">
        <v>63</v>
      </c>
      <c r="Y38" s="53" t="s">
        <v>63</v>
      </c>
      <c r="Z38" s="69" t="s">
        <v>63</v>
      </c>
      <c r="AA38" s="73"/>
      <c r="AB38" s="73"/>
      <c r="AC38" s="73"/>
      <c r="AD38" s="73"/>
      <c r="AE38" s="73"/>
      <c r="AF38" s="73"/>
      <c r="AG38" s="73"/>
      <c r="AH38" s="73"/>
      <c r="AI38" s="73"/>
      <c r="AJ38" s="73"/>
      <c r="AK38" s="73"/>
    </row>
    <row r="39">
      <c r="A39" s="28">
        <v>38.0</v>
      </c>
      <c r="B39" s="29"/>
      <c r="C39" s="29"/>
      <c r="D39" s="40">
        <v>1.0</v>
      </c>
      <c r="E39" s="31">
        <v>1.0</v>
      </c>
      <c r="F39" s="42">
        <v>71.0</v>
      </c>
      <c r="G39" s="29" t="str">
        <f t="shared" si="1"/>
        <v>01071</v>
      </c>
      <c r="H39" s="37" t="s">
        <v>142</v>
      </c>
      <c r="I39" s="37" t="s">
        <v>0</v>
      </c>
      <c r="J39" s="37" t="s">
        <v>41</v>
      </c>
      <c r="K39" s="37" t="str">
        <f t="shared" si="2"/>
        <v>Jackson, AL</v>
      </c>
      <c r="L39" s="37"/>
      <c r="M39" s="37" t="s">
        <v>63</v>
      </c>
      <c r="N39" s="37" t="s">
        <v>63</v>
      </c>
      <c r="O39" s="37" t="s">
        <v>63</v>
      </c>
      <c r="P39" s="37" t="s">
        <v>63</v>
      </c>
      <c r="Q39" s="37" t="s">
        <v>63</v>
      </c>
      <c r="R39" s="37" t="s">
        <v>63</v>
      </c>
      <c r="S39" s="37" t="s">
        <v>63</v>
      </c>
      <c r="T39" s="69" t="s">
        <v>63</v>
      </c>
      <c r="U39" s="70" t="s">
        <v>63</v>
      </c>
      <c r="V39" s="37" t="s">
        <v>63</v>
      </c>
      <c r="W39" s="71" t="s">
        <v>63</v>
      </c>
      <c r="X39" s="72" t="s">
        <v>63</v>
      </c>
      <c r="Y39" s="53" t="s">
        <v>63</v>
      </c>
      <c r="Z39" s="69" t="s">
        <v>63</v>
      </c>
      <c r="AA39" s="73"/>
      <c r="AB39" s="73"/>
      <c r="AC39" s="73"/>
      <c r="AD39" s="73"/>
      <c r="AE39" s="73"/>
      <c r="AF39" s="73"/>
      <c r="AG39" s="73"/>
      <c r="AH39" s="73"/>
      <c r="AI39" s="73"/>
      <c r="AJ39" s="73"/>
      <c r="AK39" s="73"/>
    </row>
    <row r="40">
      <c r="A40" s="28">
        <v>39.0</v>
      </c>
      <c r="B40" s="29"/>
      <c r="C40" s="29"/>
      <c r="D40" s="40">
        <v>1.0</v>
      </c>
      <c r="E40" s="31">
        <v>1.0</v>
      </c>
      <c r="F40" s="42">
        <v>73.0</v>
      </c>
      <c r="G40" s="29" t="str">
        <f t="shared" si="1"/>
        <v>01073</v>
      </c>
      <c r="H40" s="37" t="s">
        <v>143</v>
      </c>
      <c r="I40" s="37" t="s">
        <v>0</v>
      </c>
      <c r="J40" s="37" t="s">
        <v>41</v>
      </c>
      <c r="K40" s="37" t="str">
        <f t="shared" si="2"/>
        <v>Jefferson, AL</v>
      </c>
      <c r="L40" s="37"/>
      <c r="M40" s="37" t="s">
        <v>63</v>
      </c>
      <c r="N40" s="37" t="s">
        <v>63</v>
      </c>
      <c r="O40" s="37" t="s">
        <v>63</v>
      </c>
      <c r="P40" s="37" t="s">
        <v>63</v>
      </c>
      <c r="Q40" s="37" t="s">
        <v>63</v>
      </c>
      <c r="R40" s="37" t="s">
        <v>63</v>
      </c>
      <c r="S40" s="37" t="s">
        <v>63</v>
      </c>
      <c r="T40" s="69" t="s">
        <v>63</v>
      </c>
      <c r="U40" s="70" t="s">
        <v>63</v>
      </c>
      <c r="V40" s="37" t="s">
        <v>63</v>
      </c>
      <c r="W40" s="71" t="s">
        <v>63</v>
      </c>
      <c r="X40" s="72" t="s">
        <v>63</v>
      </c>
      <c r="Y40" s="53" t="s">
        <v>63</v>
      </c>
      <c r="Z40" s="69" t="s">
        <v>63</v>
      </c>
      <c r="AA40" s="73"/>
      <c r="AB40" s="73"/>
      <c r="AC40" s="73"/>
      <c r="AD40" s="73"/>
      <c r="AE40" s="73"/>
      <c r="AF40" s="73"/>
      <c r="AG40" s="73"/>
      <c r="AH40" s="73"/>
      <c r="AI40" s="73"/>
      <c r="AJ40" s="73"/>
      <c r="AK40" s="73"/>
    </row>
    <row r="41">
      <c r="A41" s="28">
        <v>40.0</v>
      </c>
      <c r="B41" s="29"/>
      <c r="C41" s="29"/>
      <c r="D41" s="40">
        <v>1.0</v>
      </c>
      <c r="E41" s="31">
        <v>1.0</v>
      </c>
      <c r="F41" s="42">
        <v>75.0</v>
      </c>
      <c r="G41" s="29" t="str">
        <f t="shared" si="1"/>
        <v>01075</v>
      </c>
      <c r="H41" s="37" t="s">
        <v>144</v>
      </c>
      <c r="I41" s="37" t="s">
        <v>0</v>
      </c>
      <c r="J41" s="37" t="s">
        <v>41</v>
      </c>
      <c r="K41" s="37" t="str">
        <f t="shared" si="2"/>
        <v>Lamar, AL</v>
      </c>
      <c r="L41" s="37"/>
      <c r="M41" s="37" t="s">
        <v>63</v>
      </c>
      <c r="N41" s="37" t="s">
        <v>63</v>
      </c>
      <c r="O41" s="37" t="s">
        <v>63</v>
      </c>
      <c r="P41" s="37" t="s">
        <v>63</v>
      </c>
      <c r="Q41" s="37" t="s">
        <v>63</v>
      </c>
      <c r="R41" s="37" t="s">
        <v>63</v>
      </c>
      <c r="S41" s="37" t="s">
        <v>63</v>
      </c>
      <c r="T41" s="69" t="s">
        <v>63</v>
      </c>
      <c r="U41" s="70" t="s">
        <v>63</v>
      </c>
      <c r="V41" s="37" t="s">
        <v>63</v>
      </c>
      <c r="W41" s="71" t="s">
        <v>63</v>
      </c>
      <c r="X41" s="72" t="s">
        <v>63</v>
      </c>
      <c r="Y41" s="53" t="s">
        <v>63</v>
      </c>
      <c r="Z41" s="69" t="s">
        <v>63</v>
      </c>
      <c r="AA41" s="73"/>
      <c r="AB41" s="73"/>
      <c r="AC41" s="73"/>
      <c r="AD41" s="73"/>
      <c r="AE41" s="73"/>
      <c r="AF41" s="73"/>
      <c r="AG41" s="73"/>
      <c r="AH41" s="73"/>
      <c r="AI41" s="73"/>
      <c r="AJ41" s="73"/>
      <c r="AK41" s="73"/>
    </row>
    <row r="42">
      <c r="A42" s="28">
        <v>41.0</v>
      </c>
      <c r="B42" s="29"/>
      <c r="C42" s="29"/>
      <c r="D42" s="40">
        <v>1.0</v>
      </c>
      <c r="E42" s="31">
        <v>1.0</v>
      </c>
      <c r="F42" s="42">
        <v>77.0</v>
      </c>
      <c r="G42" s="29" t="str">
        <f t="shared" si="1"/>
        <v>01077</v>
      </c>
      <c r="H42" s="37" t="s">
        <v>145</v>
      </c>
      <c r="I42" s="37" t="s">
        <v>0</v>
      </c>
      <c r="J42" s="37" t="s">
        <v>41</v>
      </c>
      <c r="K42" s="37" t="str">
        <f t="shared" si="2"/>
        <v>Lauderdale, AL</v>
      </c>
      <c r="L42" s="37"/>
      <c r="M42" s="37" t="s">
        <v>63</v>
      </c>
      <c r="N42" s="37" t="s">
        <v>63</v>
      </c>
      <c r="O42" s="37" t="s">
        <v>63</v>
      </c>
      <c r="P42" s="37" t="s">
        <v>63</v>
      </c>
      <c r="Q42" s="37" t="s">
        <v>63</v>
      </c>
      <c r="R42" s="37" t="s">
        <v>63</v>
      </c>
      <c r="S42" s="37" t="s">
        <v>63</v>
      </c>
      <c r="T42" s="69" t="s">
        <v>63</v>
      </c>
      <c r="U42" s="70" t="s">
        <v>63</v>
      </c>
      <c r="V42" s="37" t="s">
        <v>63</v>
      </c>
      <c r="W42" s="71" t="s">
        <v>63</v>
      </c>
      <c r="X42" s="72" t="s">
        <v>63</v>
      </c>
      <c r="Y42" s="53" t="s">
        <v>63</v>
      </c>
      <c r="Z42" s="69" t="s">
        <v>63</v>
      </c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</row>
    <row r="43">
      <c r="A43" s="28">
        <v>42.0</v>
      </c>
      <c r="B43" s="29"/>
      <c r="C43" s="29"/>
      <c r="D43" s="40">
        <v>1.0</v>
      </c>
      <c r="E43" s="31">
        <v>1.0</v>
      </c>
      <c r="F43" s="42">
        <v>79.0</v>
      </c>
      <c r="G43" s="29" t="str">
        <f t="shared" si="1"/>
        <v>01079</v>
      </c>
      <c r="H43" s="37" t="s">
        <v>146</v>
      </c>
      <c r="I43" s="37" t="s">
        <v>0</v>
      </c>
      <c r="J43" s="37" t="s">
        <v>41</v>
      </c>
      <c r="K43" s="37" t="str">
        <f t="shared" si="2"/>
        <v>Lawrence, AL</v>
      </c>
      <c r="L43" s="37"/>
      <c r="M43" s="37" t="s">
        <v>63</v>
      </c>
      <c r="N43" s="37" t="s">
        <v>63</v>
      </c>
      <c r="O43" s="37" t="s">
        <v>63</v>
      </c>
      <c r="P43" s="37" t="s">
        <v>63</v>
      </c>
      <c r="Q43" s="37" t="s">
        <v>63</v>
      </c>
      <c r="R43" s="37" t="s">
        <v>63</v>
      </c>
      <c r="S43" s="37" t="s">
        <v>63</v>
      </c>
      <c r="T43" s="69" t="s">
        <v>63</v>
      </c>
      <c r="U43" s="70" t="s">
        <v>63</v>
      </c>
      <c r="V43" s="37" t="s">
        <v>63</v>
      </c>
      <c r="W43" s="71" t="s">
        <v>63</v>
      </c>
      <c r="X43" s="72" t="s">
        <v>63</v>
      </c>
      <c r="Y43" s="53" t="s">
        <v>63</v>
      </c>
      <c r="Z43" s="69" t="s">
        <v>63</v>
      </c>
      <c r="AA43" s="73"/>
      <c r="AB43" s="73"/>
      <c r="AC43" s="73"/>
      <c r="AD43" s="73"/>
      <c r="AE43" s="73"/>
      <c r="AF43" s="73"/>
      <c r="AG43" s="73"/>
      <c r="AH43" s="73"/>
      <c r="AI43" s="73"/>
      <c r="AJ43" s="73"/>
      <c r="AK43" s="73"/>
    </row>
    <row r="44">
      <c r="A44" s="28">
        <v>43.0</v>
      </c>
      <c r="B44" s="29"/>
      <c r="C44" s="29"/>
      <c r="D44" s="40">
        <v>1.0</v>
      </c>
      <c r="E44" s="31">
        <v>1.0</v>
      </c>
      <c r="F44" s="42">
        <v>81.0</v>
      </c>
      <c r="G44" s="29" t="str">
        <f t="shared" si="1"/>
        <v>01081</v>
      </c>
      <c r="H44" s="37" t="s">
        <v>147</v>
      </c>
      <c r="I44" s="37" t="s">
        <v>0</v>
      </c>
      <c r="J44" s="37" t="s">
        <v>41</v>
      </c>
      <c r="K44" s="37" t="str">
        <f t="shared" si="2"/>
        <v>Lee, AL</v>
      </c>
      <c r="L44" s="37"/>
      <c r="M44" s="37" t="s">
        <v>63</v>
      </c>
      <c r="N44" s="37" t="s">
        <v>63</v>
      </c>
      <c r="O44" s="37" t="s">
        <v>63</v>
      </c>
      <c r="P44" s="37" t="s">
        <v>63</v>
      </c>
      <c r="Q44" s="37" t="s">
        <v>63</v>
      </c>
      <c r="R44" s="37" t="s">
        <v>63</v>
      </c>
      <c r="S44" s="37" t="s">
        <v>63</v>
      </c>
      <c r="T44" s="69" t="s">
        <v>63</v>
      </c>
      <c r="U44" s="70" t="s">
        <v>63</v>
      </c>
      <c r="V44" s="37" t="s">
        <v>63</v>
      </c>
      <c r="W44" s="71" t="s">
        <v>63</v>
      </c>
      <c r="X44" s="72" t="s">
        <v>63</v>
      </c>
      <c r="Y44" s="53" t="s">
        <v>63</v>
      </c>
      <c r="Z44" s="69" t="s">
        <v>63</v>
      </c>
      <c r="AA44" s="73"/>
      <c r="AB44" s="73"/>
      <c r="AC44" s="73"/>
      <c r="AD44" s="73"/>
      <c r="AE44" s="73"/>
      <c r="AF44" s="73"/>
      <c r="AG44" s="73"/>
      <c r="AH44" s="73"/>
      <c r="AI44" s="73"/>
      <c r="AJ44" s="73"/>
      <c r="AK44" s="73"/>
    </row>
    <row r="45">
      <c r="A45" s="28">
        <v>44.0</v>
      </c>
      <c r="B45" s="29"/>
      <c r="C45" s="29"/>
      <c r="D45" s="40">
        <v>1.0</v>
      </c>
      <c r="E45" s="31">
        <v>1.0</v>
      </c>
      <c r="F45" s="42">
        <v>83.0</v>
      </c>
      <c r="G45" s="29" t="str">
        <f t="shared" si="1"/>
        <v>01083</v>
      </c>
      <c r="H45" s="37" t="s">
        <v>148</v>
      </c>
      <c r="I45" s="37" t="s">
        <v>0</v>
      </c>
      <c r="J45" s="37" t="s">
        <v>41</v>
      </c>
      <c r="K45" s="37" t="str">
        <f t="shared" si="2"/>
        <v>Limestone, AL</v>
      </c>
      <c r="L45" s="37"/>
      <c r="M45" s="37" t="s">
        <v>63</v>
      </c>
      <c r="N45" s="37" t="s">
        <v>63</v>
      </c>
      <c r="O45" s="37" t="s">
        <v>63</v>
      </c>
      <c r="P45" s="37" t="s">
        <v>63</v>
      </c>
      <c r="Q45" s="37" t="s">
        <v>63</v>
      </c>
      <c r="R45" s="37" t="s">
        <v>63</v>
      </c>
      <c r="S45" s="37" t="s">
        <v>63</v>
      </c>
      <c r="T45" s="69" t="s">
        <v>63</v>
      </c>
      <c r="U45" s="70" t="s">
        <v>63</v>
      </c>
      <c r="V45" s="37" t="s">
        <v>63</v>
      </c>
      <c r="W45" s="71" t="s">
        <v>63</v>
      </c>
      <c r="X45" s="72" t="s">
        <v>63</v>
      </c>
      <c r="Y45" s="53" t="s">
        <v>63</v>
      </c>
      <c r="Z45" s="69" t="s">
        <v>63</v>
      </c>
      <c r="AA45" s="73"/>
      <c r="AB45" s="73"/>
      <c r="AC45" s="73"/>
      <c r="AD45" s="73"/>
      <c r="AE45" s="73"/>
      <c r="AF45" s="73"/>
      <c r="AG45" s="73"/>
      <c r="AH45" s="73"/>
      <c r="AI45" s="73"/>
      <c r="AJ45" s="73"/>
      <c r="AK45" s="73"/>
    </row>
    <row r="46">
      <c r="A46" s="28">
        <v>45.0</v>
      </c>
      <c r="B46" s="29"/>
      <c r="C46" s="29"/>
      <c r="D46" s="40">
        <v>1.0</v>
      </c>
      <c r="E46" s="31">
        <v>1.0</v>
      </c>
      <c r="F46" s="42">
        <v>85.0</v>
      </c>
      <c r="G46" s="29" t="str">
        <f t="shared" si="1"/>
        <v>01085</v>
      </c>
      <c r="H46" s="37" t="s">
        <v>149</v>
      </c>
      <c r="I46" s="37" t="s">
        <v>0</v>
      </c>
      <c r="J46" s="37" t="s">
        <v>41</v>
      </c>
      <c r="K46" s="37" t="str">
        <f t="shared" si="2"/>
        <v>Lowndes, AL</v>
      </c>
      <c r="L46" s="37"/>
      <c r="M46" s="37" t="s">
        <v>63</v>
      </c>
      <c r="N46" s="37" t="s">
        <v>63</v>
      </c>
      <c r="O46" s="37" t="s">
        <v>63</v>
      </c>
      <c r="P46" s="37" t="s">
        <v>63</v>
      </c>
      <c r="Q46" s="37" t="s">
        <v>63</v>
      </c>
      <c r="R46" s="37" t="s">
        <v>63</v>
      </c>
      <c r="S46" s="37" t="s">
        <v>63</v>
      </c>
      <c r="T46" s="69" t="s">
        <v>63</v>
      </c>
      <c r="U46" s="70" t="s">
        <v>63</v>
      </c>
      <c r="V46" s="37" t="s">
        <v>63</v>
      </c>
      <c r="W46" s="71" t="s">
        <v>63</v>
      </c>
      <c r="X46" s="72" t="s">
        <v>63</v>
      </c>
      <c r="Y46" s="53" t="s">
        <v>63</v>
      </c>
      <c r="Z46" s="69" t="s">
        <v>63</v>
      </c>
      <c r="AA46" s="73"/>
      <c r="AB46" s="73"/>
      <c r="AC46" s="73"/>
      <c r="AD46" s="73"/>
      <c r="AE46" s="73"/>
      <c r="AF46" s="73"/>
      <c r="AG46" s="73"/>
      <c r="AH46" s="73"/>
      <c r="AI46" s="73"/>
      <c r="AJ46" s="73"/>
      <c r="AK46" s="73"/>
    </row>
    <row r="47">
      <c r="A47" s="28">
        <v>46.0</v>
      </c>
      <c r="B47" s="29"/>
      <c r="C47" s="29"/>
      <c r="D47" s="40">
        <v>1.0</v>
      </c>
      <c r="E47" s="31">
        <v>1.0</v>
      </c>
      <c r="F47" s="42">
        <v>87.0</v>
      </c>
      <c r="G47" s="29" t="str">
        <f t="shared" si="1"/>
        <v>01087</v>
      </c>
      <c r="H47" s="37" t="s">
        <v>150</v>
      </c>
      <c r="I47" s="37" t="s">
        <v>0</v>
      </c>
      <c r="J47" s="37" t="s">
        <v>41</v>
      </c>
      <c r="K47" s="37" t="str">
        <f t="shared" si="2"/>
        <v>Macon, AL</v>
      </c>
      <c r="L47" s="37"/>
      <c r="M47" s="37" t="s">
        <v>63</v>
      </c>
      <c r="N47" s="37" t="s">
        <v>63</v>
      </c>
      <c r="O47" s="37" t="s">
        <v>63</v>
      </c>
      <c r="P47" s="37" t="s">
        <v>63</v>
      </c>
      <c r="Q47" s="37" t="s">
        <v>63</v>
      </c>
      <c r="R47" s="37" t="s">
        <v>63</v>
      </c>
      <c r="S47" s="37" t="s">
        <v>63</v>
      </c>
      <c r="T47" s="69" t="s">
        <v>63</v>
      </c>
      <c r="U47" s="70" t="s">
        <v>63</v>
      </c>
      <c r="V47" s="37" t="s">
        <v>63</v>
      </c>
      <c r="W47" s="71" t="s">
        <v>63</v>
      </c>
      <c r="X47" s="72" t="s">
        <v>63</v>
      </c>
      <c r="Y47" s="53" t="s">
        <v>63</v>
      </c>
      <c r="Z47" s="69" t="s">
        <v>63</v>
      </c>
      <c r="AA47" s="73"/>
      <c r="AB47" s="73"/>
      <c r="AC47" s="73"/>
      <c r="AD47" s="73"/>
      <c r="AE47" s="73"/>
      <c r="AF47" s="73"/>
      <c r="AG47" s="73"/>
      <c r="AH47" s="73"/>
      <c r="AI47" s="73"/>
      <c r="AJ47" s="73"/>
      <c r="AK47" s="73"/>
    </row>
    <row r="48">
      <c r="A48" s="28">
        <v>47.0</v>
      </c>
      <c r="B48" s="29"/>
      <c r="C48" s="29"/>
      <c r="D48" s="40">
        <v>1.0</v>
      </c>
      <c r="E48" s="31">
        <v>1.0</v>
      </c>
      <c r="F48" s="42">
        <v>89.0</v>
      </c>
      <c r="G48" s="29" t="str">
        <f t="shared" si="1"/>
        <v>01089</v>
      </c>
      <c r="H48" s="37" t="s">
        <v>151</v>
      </c>
      <c r="I48" s="37" t="s">
        <v>0</v>
      </c>
      <c r="J48" s="37" t="s">
        <v>41</v>
      </c>
      <c r="K48" s="37" t="str">
        <f t="shared" si="2"/>
        <v>Madison, AL</v>
      </c>
      <c r="L48" s="37"/>
      <c r="M48" s="37" t="s">
        <v>63</v>
      </c>
      <c r="N48" s="37" t="s">
        <v>63</v>
      </c>
      <c r="O48" s="37" t="s">
        <v>63</v>
      </c>
      <c r="P48" s="37" t="s">
        <v>63</v>
      </c>
      <c r="Q48" s="37" t="s">
        <v>63</v>
      </c>
      <c r="R48" s="37" t="s">
        <v>63</v>
      </c>
      <c r="S48" s="37" t="s">
        <v>63</v>
      </c>
      <c r="T48" s="69" t="s">
        <v>63</v>
      </c>
      <c r="U48" s="70" t="s">
        <v>63</v>
      </c>
      <c r="V48" s="37" t="s">
        <v>63</v>
      </c>
      <c r="W48" s="71" t="s">
        <v>63</v>
      </c>
      <c r="X48" s="72" t="s">
        <v>63</v>
      </c>
      <c r="Y48" s="53" t="s">
        <v>63</v>
      </c>
      <c r="Z48" s="69" t="s">
        <v>63</v>
      </c>
      <c r="AA48" s="73"/>
      <c r="AB48" s="73"/>
      <c r="AC48" s="73"/>
      <c r="AD48" s="73"/>
      <c r="AE48" s="73"/>
      <c r="AF48" s="73"/>
      <c r="AG48" s="73"/>
      <c r="AH48" s="73"/>
      <c r="AI48" s="73"/>
      <c r="AJ48" s="73"/>
      <c r="AK48" s="73"/>
    </row>
    <row r="49">
      <c r="A49" s="28">
        <v>48.0</v>
      </c>
      <c r="B49" s="29"/>
      <c r="C49" s="29"/>
      <c r="D49" s="40">
        <v>1.0</v>
      </c>
      <c r="E49" s="31">
        <v>1.0</v>
      </c>
      <c r="F49" s="42">
        <v>91.0</v>
      </c>
      <c r="G49" s="29" t="str">
        <f t="shared" si="1"/>
        <v>01091</v>
      </c>
      <c r="H49" s="37" t="s">
        <v>152</v>
      </c>
      <c r="I49" s="37" t="s">
        <v>0</v>
      </c>
      <c r="J49" s="37" t="s">
        <v>41</v>
      </c>
      <c r="K49" s="37" t="str">
        <f t="shared" si="2"/>
        <v>Marengo, AL</v>
      </c>
      <c r="L49" s="37"/>
      <c r="M49" s="37" t="s">
        <v>63</v>
      </c>
      <c r="N49" s="37" t="s">
        <v>63</v>
      </c>
      <c r="O49" s="37" t="s">
        <v>63</v>
      </c>
      <c r="P49" s="37" t="s">
        <v>63</v>
      </c>
      <c r="Q49" s="37" t="s">
        <v>63</v>
      </c>
      <c r="R49" s="37" t="s">
        <v>63</v>
      </c>
      <c r="S49" s="37" t="s">
        <v>63</v>
      </c>
      <c r="T49" s="69" t="s">
        <v>63</v>
      </c>
      <c r="U49" s="70" t="s">
        <v>63</v>
      </c>
      <c r="V49" s="37" t="s">
        <v>63</v>
      </c>
      <c r="W49" s="71" t="s">
        <v>63</v>
      </c>
      <c r="X49" s="72" t="s">
        <v>63</v>
      </c>
      <c r="Y49" s="53" t="s">
        <v>63</v>
      </c>
      <c r="Z49" s="69" t="s">
        <v>63</v>
      </c>
      <c r="AA49" s="73"/>
      <c r="AB49" s="73"/>
      <c r="AC49" s="73"/>
      <c r="AD49" s="73"/>
      <c r="AE49" s="73"/>
      <c r="AF49" s="73"/>
      <c r="AG49" s="73"/>
      <c r="AH49" s="73"/>
      <c r="AI49" s="73"/>
      <c r="AJ49" s="73"/>
      <c r="AK49" s="73"/>
    </row>
    <row r="50">
      <c r="A50" s="28">
        <v>49.0</v>
      </c>
      <c r="B50" s="29"/>
      <c r="C50" s="29"/>
      <c r="D50" s="40">
        <v>1.0</v>
      </c>
      <c r="E50" s="31">
        <v>1.0</v>
      </c>
      <c r="F50" s="42">
        <v>93.0</v>
      </c>
      <c r="G50" s="29" t="str">
        <f t="shared" si="1"/>
        <v>01093</v>
      </c>
      <c r="H50" s="37" t="s">
        <v>153</v>
      </c>
      <c r="I50" s="37" t="s">
        <v>0</v>
      </c>
      <c r="J50" s="37" t="s">
        <v>41</v>
      </c>
      <c r="K50" s="37" t="str">
        <f t="shared" si="2"/>
        <v>Marion, AL</v>
      </c>
      <c r="L50" s="37"/>
      <c r="M50" s="37" t="s">
        <v>63</v>
      </c>
      <c r="N50" s="37" t="s">
        <v>63</v>
      </c>
      <c r="O50" s="37" t="s">
        <v>63</v>
      </c>
      <c r="P50" s="37" t="s">
        <v>63</v>
      </c>
      <c r="Q50" s="37" t="s">
        <v>63</v>
      </c>
      <c r="R50" s="37" t="s">
        <v>63</v>
      </c>
      <c r="S50" s="37" t="s">
        <v>63</v>
      </c>
      <c r="T50" s="69" t="s">
        <v>63</v>
      </c>
      <c r="U50" s="70" t="s">
        <v>63</v>
      </c>
      <c r="V50" s="37" t="s">
        <v>63</v>
      </c>
      <c r="W50" s="71" t="s">
        <v>63</v>
      </c>
      <c r="X50" s="72" t="s">
        <v>63</v>
      </c>
      <c r="Y50" s="53" t="s">
        <v>63</v>
      </c>
      <c r="Z50" s="69" t="s">
        <v>63</v>
      </c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</row>
    <row r="51">
      <c r="A51" s="28">
        <v>50.0</v>
      </c>
      <c r="B51" s="29"/>
      <c r="C51" s="29"/>
      <c r="D51" s="40">
        <v>1.0</v>
      </c>
      <c r="E51" s="31">
        <v>1.0</v>
      </c>
      <c r="F51" s="42">
        <v>95.0</v>
      </c>
      <c r="G51" s="29" t="str">
        <f t="shared" si="1"/>
        <v>01095</v>
      </c>
      <c r="H51" s="37" t="s">
        <v>154</v>
      </c>
      <c r="I51" s="37" t="s">
        <v>0</v>
      </c>
      <c r="J51" s="37" t="s">
        <v>41</v>
      </c>
      <c r="K51" s="37" t="str">
        <f t="shared" si="2"/>
        <v>Marshall, AL</v>
      </c>
      <c r="L51" s="37"/>
      <c r="M51" s="37" t="s">
        <v>63</v>
      </c>
      <c r="N51" s="37" t="s">
        <v>63</v>
      </c>
      <c r="O51" s="37" t="s">
        <v>63</v>
      </c>
      <c r="P51" s="37" t="s">
        <v>63</v>
      </c>
      <c r="Q51" s="37" t="s">
        <v>63</v>
      </c>
      <c r="R51" s="37" t="s">
        <v>63</v>
      </c>
      <c r="S51" s="37" t="s">
        <v>63</v>
      </c>
      <c r="T51" s="69" t="s">
        <v>63</v>
      </c>
      <c r="U51" s="70" t="s">
        <v>63</v>
      </c>
      <c r="V51" s="37" t="s">
        <v>63</v>
      </c>
      <c r="W51" s="71" t="s">
        <v>63</v>
      </c>
      <c r="X51" s="72" t="s">
        <v>63</v>
      </c>
      <c r="Y51" s="53" t="s">
        <v>63</v>
      </c>
      <c r="Z51" s="69" t="s">
        <v>63</v>
      </c>
      <c r="AA51" s="73"/>
      <c r="AB51" s="73"/>
      <c r="AC51" s="73"/>
      <c r="AD51" s="73"/>
      <c r="AE51" s="73"/>
      <c r="AF51" s="73"/>
      <c r="AG51" s="73"/>
      <c r="AH51" s="73"/>
      <c r="AI51" s="73"/>
      <c r="AJ51" s="73"/>
      <c r="AK51" s="73"/>
    </row>
    <row r="52">
      <c r="A52" s="28">
        <v>51.0</v>
      </c>
      <c r="B52" s="29"/>
      <c r="C52" s="29"/>
      <c r="D52" s="40">
        <v>1.0</v>
      </c>
      <c r="E52" s="31">
        <v>1.0</v>
      </c>
      <c r="F52" s="42">
        <v>97.0</v>
      </c>
      <c r="G52" s="29" t="str">
        <f t="shared" si="1"/>
        <v>01097</v>
      </c>
      <c r="H52" s="37" t="s">
        <v>155</v>
      </c>
      <c r="I52" s="37" t="s">
        <v>0</v>
      </c>
      <c r="J52" s="37" t="s">
        <v>41</v>
      </c>
      <c r="K52" s="37" t="str">
        <f t="shared" si="2"/>
        <v>Mobile, AL</v>
      </c>
      <c r="L52" s="37"/>
      <c r="M52" s="37" t="s">
        <v>63</v>
      </c>
      <c r="N52" s="37" t="s">
        <v>63</v>
      </c>
      <c r="O52" s="37" t="s">
        <v>63</v>
      </c>
      <c r="P52" s="37" t="s">
        <v>63</v>
      </c>
      <c r="Q52" s="37" t="s">
        <v>63</v>
      </c>
      <c r="R52" s="37" t="s">
        <v>63</v>
      </c>
      <c r="S52" s="37" t="s">
        <v>63</v>
      </c>
      <c r="T52" s="69" t="s">
        <v>63</v>
      </c>
      <c r="U52" s="70" t="s">
        <v>63</v>
      </c>
      <c r="V52" s="37" t="s">
        <v>63</v>
      </c>
      <c r="W52" s="71" t="s">
        <v>63</v>
      </c>
      <c r="X52" s="72" t="s">
        <v>63</v>
      </c>
      <c r="Y52" s="53" t="s">
        <v>63</v>
      </c>
      <c r="Z52" s="69" t="s">
        <v>63</v>
      </c>
      <c r="AA52" s="73"/>
      <c r="AB52" s="73"/>
      <c r="AC52" s="73"/>
      <c r="AD52" s="73"/>
      <c r="AE52" s="73"/>
      <c r="AF52" s="73"/>
      <c r="AG52" s="73"/>
      <c r="AH52" s="73"/>
      <c r="AI52" s="73"/>
      <c r="AJ52" s="73"/>
      <c r="AK52" s="73"/>
    </row>
    <row r="53">
      <c r="A53" s="28">
        <v>52.0</v>
      </c>
      <c r="B53" s="29"/>
      <c r="C53" s="29"/>
      <c r="D53" s="40">
        <v>1.0</v>
      </c>
      <c r="E53" s="31">
        <v>1.0</v>
      </c>
      <c r="F53" s="42">
        <v>99.0</v>
      </c>
      <c r="G53" s="29" t="str">
        <f t="shared" si="1"/>
        <v>01099</v>
      </c>
      <c r="H53" s="37" t="s">
        <v>156</v>
      </c>
      <c r="I53" s="37" t="s">
        <v>0</v>
      </c>
      <c r="J53" s="37" t="s">
        <v>41</v>
      </c>
      <c r="K53" s="37" t="str">
        <f t="shared" si="2"/>
        <v>Monroe, AL</v>
      </c>
      <c r="L53" s="37"/>
      <c r="M53" s="37" t="s">
        <v>63</v>
      </c>
      <c r="N53" s="37" t="s">
        <v>63</v>
      </c>
      <c r="O53" s="37" t="s">
        <v>63</v>
      </c>
      <c r="P53" s="37" t="s">
        <v>63</v>
      </c>
      <c r="Q53" s="37" t="s">
        <v>63</v>
      </c>
      <c r="R53" s="37" t="s">
        <v>63</v>
      </c>
      <c r="S53" s="37" t="s">
        <v>63</v>
      </c>
      <c r="T53" s="69" t="s">
        <v>63</v>
      </c>
      <c r="U53" s="70" t="s">
        <v>63</v>
      </c>
      <c r="V53" s="37" t="s">
        <v>63</v>
      </c>
      <c r="W53" s="71" t="s">
        <v>63</v>
      </c>
      <c r="X53" s="72" t="s">
        <v>63</v>
      </c>
      <c r="Y53" s="53" t="s">
        <v>63</v>
      </c>
      <c r="Z53" s="69" t="s">
        <v>63</v>
      </c>
      <c r="AA53" s="73"/>
      <c r="AB53" s="73"/>
      <c r="AC53" s="73"/>
      <c r="AD53" s="73"/>
      <c r="AE53" s="73"/>
      <c r="AF53" s="73"/>
      <c r="AG53" s="73"/>
      <c r="AH53" s="73"/>
      <c r="AI53" s="73"/>
      <c r="AJ53" s="73"/>
      <c r="AK53" s="73"/>
    </row>
    <row r="54">
      <c r="A54" s="28">
        <v>53.0</v>
      </c>
      <c r="B54" s="29"/>
      <c r="C54" s="29"/>
      <c r="D54" s="40">
        <v>1.0</v>
      </c>
      <c r="E54" s="31">
        <v>1.0</v>
      </c>
      <c r="F54" s="42">
        <v>101.0</v>
      </c>
      <c r="G54" s="29" t="str">
        <f t="shared" si="1"/>
        <v>01101</v>
      </c>
      <c r="H54" s="37" t="s">
        <v>157</v>
      </c>
      <c r="I54" s="37" t="s">
        <v>0</v>
      </c>
      <c r="J54" s="37" t="s">
        <v>41</v>
      </c>
      <c r="K54" s="37" t="str">
        <f t="shared" si="2"/>
        <v>Montgomery, AL</v>
      </c>
      <c r="L54" s="37"/>
      <c r="M54" s="37" t="s">
        <v>63</v>
      </c>
      <c r="N54" s="37" t="s">
        <v>63</v>
      </c>
      <c r="O54" s="37" t="s">
        <v>63</v>
      </c>
      <c r="P54" s="37" t="s">
        <v>63</v>
      </c>
      <c r="Q54" s="37" t="s">
        <v>63</v>
      </c>
      <c r="R54" s="37" t="s">
        <v>63</v>
      </c>
      <c r="S54" s="37" t="s">
        <v>63</v>
      </c>
      <c r="T54" s="69" t="s">
        <v>63</v>
      </c>
      <c r="U54" s="70" t="s">
        <v>63</v>
      </c>
      <c r="V54" s="37" t="s">
        <v>63</v>
      </c>
      <c r="W54" s="71" t="s">
        <v>63</v>
      </c>
      <c r="X54" s="72" t="s">
        <v>63</v>
      </c>
      <c r="Y54" s="53" t="s">
        <v>63</v>
      </c>
      <c r="Z54" s="69" t="s">
        <v>63</v>
      </c>
      <c r="AA54" s="73"/>
      <c r="AB54" s="73"/>
      <c r="AC54" s="73"/>
      <c r="AD54" s="73"/>
      <c r="AE54" s="73"/>
      <c r="AF54" s="73"/>
      <c r="AG54" s="73"/>
      <c r="AH54" s="73"/>
      <c r="AI54" s="73"/>
      <c r="AJ54" s="73"/>
      <c r="AK54" s="73"/>
    </row>
    <row r="55">
      <c r="A55" s="28">
        <v>54.0</v>
      </c>
      <c r="B55" s="29"/>
      <c r="C55" s="29"/>
      <c r="D55" s="40">
        <v>1.0</v>
      </c>
      <c r="E55" s="31">
        <v>1.0</v>
      </c>
      <c r="F55" s="42">
        <v>103.0</v>
      </c>
      <c r="G55" s="29" t="str">
        <f t="shared" si="1"/>
        <v>01103</v>
      </c>
      <c r="H55" s="37" t="s">
        <v>158</v>
      </c>
      <c r="I55" s="37" t="s">
        <v>0</v>
      </c>
      <c r="J55" s="37" t="s">
        <v>41</v>
      </c>
      <c r="K55" s="37" t="str">
        <f t="shared" si="2"/>
        <v>Morgan, AL</v>
      </c>
      <c r="L55" s="37"/>
      <c r="M55" s="37" t="s">
        <v>63</v>
      </c>
      <c r="N55" s="37" t="s">
        <v>63</v>
      </c>
      <c r="O55" s="37" t="s">
        <v>63</v>
      </c>
      <c r="P55" s="37" t="s">
        <v>63</v>
      </c>
      <c r="Q55" s="37" t="s">
        <v>63</v>
      </c>
      <c r="R55" s="37" t="s">
        <v>63</v>
      </c>
      <c r="S55" s="37" t="s">
        <v>63</v>
      </c>
      <c r="T55" s="69" t="s">
        <v>63</v>
      </c>
      <c r="U55" s="70" t="s">
        <v>63</v>
      </c>
      <c r="V55" s="37" t="s">
        <v>63</v>
      </c>
      <c r="W55" s="71" t="s">
        <v>63</v>
      </c>
      <c r="X55" s="72" t="s">
        <v>63</v>
      </c>
      <c r="Y55" s="53" t="s">
        <v>63</v>
      </c>
      <c r="Z55" s="69" t="s">
        <v>63</v>
      </c>
      <c r="AA55" s="73"/>
      <c r="AB55" s="73"/>
      <c r="AC55" s="73"/>
      <c r="AD55" s="73"/>
      <c r="AE55" s="73"/>
      <c r="AF55" s="73"/>
      <c r="AG55" s="73"/>
      <c r="AH55" s="73"/>
      <c r="AI55" s="73"/>
      <c r="AJ55" s="73"/>
      <c r="AK55" s="73"/>
    </row>
    <row r="56">
      <c r="A56" s="28">
        <v>55.0</v>
      </c>
      <c r="B56" s="29"/>
      <c r="C56" s="29"/>
      <c r="D56" s="40">
        <v>1.0</v>
      </c>
      <c r="E56" s="31">
        <v>1.0</v>
      </c>
      <c r="F56" s="42">
        <v>105.0</v>
      </c>
      <c r="G56" s="29" t="str">
        <f t="shared" si="1"/>
        <v>01105</v>
      </c>
      <c r="H56" s="37" t="s">
        <v>159</v>
      </c>
      <c r="I56" s="37" t="s">
        <v>0</v>
      </c>
      <c r="J56" s="37" t="s">
        <v>41</v>
      </c>
      <c r="K56" s="37" t="str">
        <f t="shared" si="2"/>
        <v>Perry, AL</v>
      </c>
      <c r="L56" s="37"/>
      <c r="M56" s="37" t="s">
        <v>63</v>
      </c>
      <c r="N56" s="37" t="s">
        <v>63</v>
      </c>
      <c r="O56" s="37" t="s">
        <v>63</v>
      </c>
      <c r="P56" s="37" t="s">
        <v>63</v>
      </c>
      <c r="Q56" s="37" t="s">
        <v>63</v>
      </c>
      <c r="R56" s="37" t="s">
        <v>63</v>
      </c>
      <c r="S56" s="37" t="s">
        <v>63</v>
      </c>
      <c r="T56" s="69" t="s">
        <v>63</v>
      </c>
      <c r="U56" s="70" t="s">
        <v>63</v>
      </c>
      <c r="V56" s="37" t="s">
        <v>63</v>
      </c>
      <c r="W56" s="71" t="s">
        <v>63</v>
      </c>
      <c r="X56" s="72" t="s">
        <v>63</v>
      </c>
      <c r="Y56" s="53" t="s">
        <v>63</v>
      </c>
      <c r="Z56" s="69" t="s">
        <v>63</v>
      </c>
      <c r="AA56" s="73"/>
      <c r="AB56" s="73"/>
      <c r="AC56" s="73"/>
      <c r="AD56" s="73"/>
      <c r="AE56" s="73"/>
      <c r="AF56" s="73"/>
      <c r="AG56" s="73"/>
      <c r="AH56" s="73"/>
      <c r="AI56" s="73"/>
      <c r="AJ56" s="73"/>
      <c r="AK56" s="73"/>
    </row>
    <row r="57">
      <c r="A57" s="28">
        <v>56.0</v>
      </c>
      <c r="B57" s="29"/>
      <c r="C57" s="29"/>
      <c r="D57" s="40">
        <v>1.0</v>
      </c>
      <c r="E57" s="31">
        <v>1.0</v>
      </c>
      <c r="F57" s="42">
        <v>107.0</v>
      </c>
      <c r="G57" s="29" t="str">
        <f t="shared" si="1"/>
        <v>01107</v>
      </c>
      <c r="H57" s="37" t="s">
        <v>160</v>
      </c>
      <c r="I57" s="37" t="s">
        <v>0</v>
      </c>
      <c r="J57" s="37" t="s">
        <v>41</v>
      </c>
      <c r="K57" s="37" t="str">
        <f t="shared" si="2"/>
        <v>Pickens, AL</v>
      </c>
      <c r="L57" s="37"/>
      <c r="M57" s="37" t="s">
        <v>63</v>
      </c>
      <c r="N57" s="37" t="s">
        <v>63</v>
      </c>
      <c r="O57" s="37" t="s">
        <v>63</v>
      </c>
      <c r="P57" s="37" t="s">
        <v>63</v>
      </c>
      <c r="Q57" s="37" t="s">
        <v>63</v>
      </c>
      <c r="R57" s="37" t="s">
        <v>63</v>
      </c>
      <c r="S57" s="37" t="s">
        <v>63</v>
      </c>
      <c r="T57" s="69" t="s">
        <v>63</v>
      </c>
      <c r="U57" s="70" t="s">
        <v>63</v>
      </c>
      <c r="V57" s="37" t="s">
        <v>63</v>
      </c>
      <c r="W57" s="71" t="s">
        <v>63</v>
      </c>
      <c r="X57" s="72" t="s">
        <v>63</v>
      </c>
      <c r="Y57" s="53" t="s">
        <v>63</v>
      </c>
      <c r="Z57" s="69" t="s">
        <v>63</v>
      </c>
      <c r="AA57" s="73"/>
      <c r="AB57" s="73"/>
      <c r="AC57" s="73"/>
      <c r="AD57" s="73"/>
      <c r="AE57" s="73"/>
      <c r="AF57" s="73"/>
      <c r="AG57" s="73"/>
      <c r="AH57" s="73"/>
      <c r="AI57" s="73"/>
      <c r="AJ57" s="73"/>
      <c r="AK57" s="73"/>
    </row>
    <row r="58">
      <c r="A58" s="28">
        <v>57.0</v>
      </c>
      <c r="B58" s="29"/>
      <c r="C58" s="29"/>
      <c r="D58" s="40">
        <v>1.0</v>
      </c>
      <c r="E58" s="31">
        <v>1.0</v>
      </c>
      <c r="F58" s="42">
        <v>109.0</v>
      </c>
      <c r="G58" s="29" t="str">
        <f t="shared" si="1"/>
        <v>01109</v>
      </c>
      <c r="H58" s="37" t="s">
        <v>162</v>
      </c>
      <c r="I58" s="37" t="s">
        <v>0</v>
      </c>
      <c r="J58" s="37" t="s">
        <v>41</v>
      </c>
      <c r="K58" s="37" t="str">
        <f t="shared" si="2"/>
        <v>Pike, AL</v>
      </c>
      <c r="L58" s="37"/>
      <c r="M58" s="37" t="s">
        <v>63</v>
      </c>
      <c r="N58" s="37" t="s">
        <v>63</v>
      </c>
      <c r="O58" s="37" t="s">
        <v>63</v>
      </c>
      <c r="P58" s="37" t="s">
        <v>63</v>
      </c>
      <c r="Q58" s="37" t="s">
        <v>63</v>
      </c>
      <c r="R58" s="37" t="s">
        <v>63</v>
      </c>
      <c r="S58" s="37" t="s">
        <v>63</v>
      </c>
      <c r="T58" s="69" t="s">
        <v>63</v>
      </c>
      <c r="U58" s="70" t="s">
        <v>63</v>
      </c>
      <c r="V58" s="37" t="s">
        <v>63</v>
      </c>
      <c r="W58" s="71" t="s">
        <v>63</v>
      </c>
      <c r="X58" s="72" t="s">
        <v>63</v>
      </c>
      <c r="Y58" s="53" t="s">
        <v>63</v>
      </c>
      <c r="Z58" s="69" t="s">
        <v>63</v>
      </c>
      <c r="AA58" s="73"/>
      <c r="AB58" s="73"/>
      <c r="AC58" s="73"/>
      <c r="AD58" s="73"/>
      <c r="AE58" s="73"/>
      <c r="AF58" s="73"/>
      <c r="AG58" s="73"/>
      <c r="AH58" s="73"/>
      <c r="AI58" s="73"/>
      <c r="AJ58" s="73"/>
      <c r="AK58" s="73"/>
    </row>
    <row r="59">
      <c r="A59" s="28">
        <v>58.0</v>
      </c>
      <c r="B59" s="29"/>
      <c r="C59" s="29"/>
      <c r="D59" s="40">
        <v>1.0</v>
      </c>
      <c r="E59" s="31">
        <v>1.0</v>
      </c>
      <c r="F59" s="42">
        <v>111.0</v>
      </c>
      <c r="G59" s="29" t="str">
        <f t="shared" si="1"/>
        <v>01111</v>
      </c>
      <c r="H59" s="37" t="s">
        <v>163</v>
      </c>
      <c r="I59" s="37" t="s">
        <v>0</v>
      </c>
      <c r="J59" s="37" t="s">
        <v>41</v>
      </c>
      <c r="K59" s="37" t="str">
        <f t="shared" si="2"/>
        <v>Randolph, AL</v>
      </c>
      <c r="L59" s="37"/>
      <c r="M59" s="37" t="s">
        <v>63</v>
      </c>
      <c r="N59" s="37" t="s">
        <v>63</v>
      </c>
      <c r="O59" s="37" t="s">
        <v>63</v>
      </c>
      <c r="P59" s="37" t="s">
        <v>63</v>
      </c>
      <c r="Q59" s="37" t="s">
        <v>63</v>
      </c>
      <c r="R59" s="37" t="s">
        <v>63</v>
      </c>
      <c r="S59" s="37" t="s">
        <v>63</v>
      </c>
      <c r="T59" s="69" t="s">
        <v>63</v>
      </c>
      <c r="U59" s="70" t="s">
        <v>63</v>
      </c>
      <c r="V59" s="37" t="s">
        <v>63</v>
      </c>
      <c r="W59" s="71" t="s">
        <v>63</v>
      </c>
      <c r="X59" s="72" t="s">
        <v>63</v>
      </c>
      <c r="Y59" s="53" t="s">
        <v>63</v>
      </c>
      <c r="Z59" s="69" t="s">
        <v>63</v>
      </c>
      <c r="AA59" s="73"/>
      <c r="AB59" s="73"/>
      <c r="AC59" s="73"/>
      <c r="AD59" s="73"/>
      <c r="AE59" s="73"/>
      <c r="AF59" s="73"/>
      <c r="AG59" s="73"/>
      <c r="AH59" s="73"/>
      <c r="AI59" s="73"/>
      <c r="AJ59" s="73"/>
      <c r="AK59" s="73"/>
    </row>
    <row r="60">
      <c r="A60" s="28">
        <v>59.0</v>
      </c>
      <c r="B60" s="29"/>
      <c r="C60" s="29"/>
      <c r="D60" s="40">
        <v>1.0</v>
      </c>
      <c r="E60" s="31">
        <v>1.0</v>
      </c>
      <c r="F60" s="42">
        <v>113.0</v>
      </c>
      <c r="G60" s="29" t="str">
        <f t="shared" si="1"/>
        <v>01113</v>
      </c>
      <c r="H60" s="37" t="s">
        <v>165</v>
      </c>
      <c r="I60" s="37" t="s">
        <v>0</v>
      </c>
      <c r="J60" s="37" t="s">
        <v>41</v>
      </c>
      <c r="K60" s="37" t="str">
        <f t="shared" si="2"/>
        <v>Russell, AL</v>
      </c>
      <c r="L60" s="37"/>
      <c r="M60" s="37" t="s">
        <v>63</v>
      </c>
      <c r="N60" s="37" t="s">
        <v>63</v>
      </c>
      <c r="O60" s="37" t="s">
        <v>63</v>
      </c>
      <c r="P60" s="37" t="s">
        <v>63</v>
      </c>
      <c r="Q60" s="37" t="s">
        <v>63</v>
      </c>
      <c r="R60" s="37" t="s">
        <v>63</v>
      </c>
      <c r="S60" s="37" t="s">
        <v>63</v>
      </c>
      <c r="T60" s="69" t="s">
        <v>63</v>
      </c>
      <c r="U60" s="70" t="s">
        <v>63</v>
      </c>
      <c r="V60" s="37" t="s">
        <v>63</v>
      </c>
      <c r="W60" s="71" t="s">
        <v>63</v>
      </c>
      <c r="X60" s="72" t="s">
        <v>63</v>
      </c>
      <c r="Y60" s="53" t="s">
        <v>63</v>
      </c>
      <c r="Z60" s="69" t="s">
        <v>63</v>
      </c>
      <c r="AA60" s="73"/>
      <c r="AB60" s="73"/>
      <c r="AC60" s="73"/>
      <c r="AD60" s="73"/>
      <c r="AE60" s="73"/>
      <c r="AF60" s="73"/>
      <c r="AG60" s="73"/>
      <c r="AH60" s="73"/>
      <c r="AI60" s="73"/>
      <c r="AJ60" s="73"/>
      <c r="AK60" s="73"/>
    </row>
    <row r="61">
      <c r="A61" s="28">
        <v>60.0</v>
      </c>
      <c r="B61" s="29"/>
      <c r="C61" s="29"/>
      <c r="D61" s="40">
        <v>1.0</v>
      </c>
      <c r="E61" s="31">
        <v>1.0</v>
      </c>
      <c r="F61" s="42">
        <v>115.0</v>
      </c>
      <c r="G61" s="29" t="str">
        <f t="shared" si="1"/>
        <v>01115</v>
      </c>
      <c r="H61" s="37" t="s">
        <v>167</v>
      </c>
      <c r="I61" s="37" t="s">
        <v>0</v>
      </c>
      <c r="J61" s="37" t="s">
        <v>41</v>
      </c>
      <c r="K61" s="37" t="str">
        <f t="shared" si="2"/>
        <v>St Clair, AL</v>
      </c>
      <c r="L61" s="37"/>
      <c r="M61" s="37" t="s">
        <v>63</v>
      </c>
      <c r="N61" s="37" t="s">
        <v>63</v>
      </c>
      <c r="O61" s="37" t="s">
        <v>63</v>
      </c>
      <c r="P61" s="37" t="s">
        <v>63</v>
      </c>
      <c r="Q61" s="37" t="s">
        <v>63</v>
      </c>
      <c r="R61" s="37" t="s">
        <v>63</v>
      </c>
      <c r="S61" s="37" t="s">
        <v>63</v>
      </c>
      <c r="T61" s="69" t="s">
        <v>63</v>
      </c>
      <c r="U61" s="70" t="s">
        <v>63</v>
      </c>
      <c r="V61" s="37" t="s">
        <v>63</v>
      </c>
      <c r="W61" s="71" t="s">
        <v>63</v>
      </c>
      <c r="X61" s="72" t="s">
        <v>63</v>
      </c>
      <c r="Y61" s="53" t="s">
        <v>63</v>
      </c>
      <c r="Z61" s="69" t="s">
        <v>63</v>
      </c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</row>
    <row r="62">
      <c r="A62" s="28">
        <v>61.0</v>
      </c>
      <c r="B62" s="29"/>
      <c r="C62" s="29"/>
      <c r="D62" s="40">
        <v>1.0</v>
      </c>
      <c r="E62" s="31">
        <v>1.0</v>
      </c>
      <c r="F62" s="42">
        <v>117.0</v>
      </c>
      <c r="G62" s="29" t="str">
        <f t="shared" si="1"/>
        <v>01117</v>
      </c>
      <c r="H62" s="37" t="s">
        <v>168</v>
      </c>
      <c r="I62" s="37" t="s">
        <v>0</v>
      </c>
      <c r="J62" s="37" t="s">
        <v>41</v>
      </c>
      <c r="K62" s="37" t="str">
        <f t="shared" si="2"/>
        <v>Shelby, AL</v>
      </c>
      <c r="L62" s="37"/>
      <c r="M62" s="37" t="s">
        <v>63</v>
      </c>
      <c r="N62" s="37" t="s">
        <v>63</v>
      </c>
      <c r="O62" s="37" t="s">
        <v>63</v>
      </c>
      <c r="P62" s="37" t="s">
        <v>63</v>
      </c>
      <c r="Q62" s="37" t="s">
        <v>63</v>
      </c>
      <c r="R62" s="37" t="s">
        <v>63</v>
      </c>
      <c r="S62" s="37" t="s">
        <v>63</v>
      </c>
      <c r="T62" s="69" t="s">
        <v>63</v>
      </c>
      <c r="U62" s="70" t="s">
        <v>63</v>
      </c>
      <c r="V62" s="37" t="s">
        <v>63</v>
      </c>
      <c r="W62" s="71" t="s">
        <v>63</v>
      </c>
      <c r="X62" s="72" t="s">
        <v>63</v>
      </c>
      <c r="Y62" s="53" t="s">
        <v>63</v>
      </c>
      <c r="Z62" s="69" t="s">
        <v>63</v>
      </c>
      <c r="AA62" s="73"/>
      <c r="AB62" s="73"/>
      <c r="AC62" s="73"/>
      <c r="AD62" s="73"/>
      <c r="AE62" s="73"/>
      <c r="AF62" s="73"/>
      <c r="AG62" s="73"/>
      <c r="AH62" s="73"/>
      <c r="AI62" s="73"/>
      <c r="AJ62" s="73"/>
      <c r="AK62" s="73"/>
    </row>
    <row r="63">
      <c r="A63" s="28">
        <v>62.0</v>
      </c>
      <c r="B63" s="29"/>
      <c r="C63" s="29"/>
      <c r="D63" s="40">
        <v>1.0</v>
      </c>
      <c r="E63" s="31">
        <v>1.0</v>
      </c>
      <c r="F63" s="42">
        <v>119.0</v>
      </c>
      <c r="G63" s="29" t="str">
        <f t="shared" si="1"/>
        <v>01119</v>
      </c>
      <c r="H63" s="37" t="s">
        <v>169</v>
      </c>
      <c r="I63" s="37" t="s">
        <v>0</v>
      </c>
      <c r="J63" s="37" t="s">
        <v>41</v>
      </c>
      <c r="K63" s="37" t="str">
        <f t="shared" si="2"/>
        <v>Sumter, AL</v>
      </c>
      <c r="L63" s="37"/>
      <c r="M63" s="37" t="s">
        <v>63</v>
      </c>
      <c r="N63" s="37" t="s">
        <v>63</v>
      </c>
      <c r="O63" s="37" t="s">
        <v>63</v>
      </c>
      <c r="P63" s="37" t="s">
        <v>63</v>
      </c>
      <c r="Q63" s="37" t="s">
        <v>63</v>
      </c>
      <c r="R63" s="37" t="s">
        <v>63</v>
      </c>
      <c r="S63" s="37" t="s">
        <v>63</v>
      </c>
      <c r="T63" s="69" t="s">
        <v>63</v>
      </c>
      <c r="U63" s="70" t="s">
        <v>63</v>
      </c>
      <c r="V63" s="37" t="s">
        <v>63</v>
      </c>
      <c r="W63" s="71" t="s">
        <v>63</v>
      </c>
      <c r="X63" s="72" t="s">
        <v>63</v>
      </c>
      <c r="Y63" s="53" t="s">
        <v>63</v>
      </c>
      <c r="Z63" s="69" t="s">
        <v>63</v>
      </c>
      <c r="AA63" s="73"/>
      <c r="AB63" s="73"/>
      <c r="AC63" s="73"/>
      <c r="AD63" s="73"/>
      <c r="AE63" s="73"/>
      <c r="AF63" s="73"/>
      <c r="AG63" s="73"/>
      <c r="AH63" s="73"/>
      <c r="AI63" s="73"/>
      <c r="AJ63" s="73"/>
      <c r="AK63" s="73"/>
    </row>
    <row r="64">
      <c r="A64" s="28">
        <v>63.0</v>
      </c>
      <c r="B64" s="29"/>
      <c r="C64" s="29"/>
      <c r="D64" s="40">
        <v>1.0</v>
      </c>
      <c r="E64" s="31">
        <v>1.0</v>
      </c>
      <c r="F64" s="42">
        <v>121.0</v>
      </c>
      <c r="G64" s="29" t="str">
        <f t="shared" si="1"/>
        <v>01121</v>
      </c>
      <c r="H64" s="37" t="s">
        <v>170</v>
      </c>
      <c r="I64" s="37" t="s">
        <v>0</v>
      </c>
      <c r="J64" s="37" t="s">
        <v>41</v>
      </c>
      <c r="K64" s="37" t="str">
        <f t="shared" si="2"/>
        <v>Talladega, AL</v>
      </c>
      <c r="L64" s="37"/>
      <c r="M64" s="37" t="s">
        <v>63</v>
      </c>
      <c r="N64" s="37" t="s">
        <v>63</v>
      </c>
      <c r="O64" s="37" t="s">
        <v>63</v>
      </c>
      <c r="P64" s="37" t="s">
        <v>63</v>
      </c>
      <c r="Q64" s="37" t="s">
        <v>63</v>
      </c>
      <c r="R64" s="37" t="s">
        <v>63</v>
      </c>
      <c r="S64" s="37" t="s">
        <v>63</v>
      </c>
      <c r="T64" s="69" t="s">
        <v>63</v>
      </c>
      <c r="U64" s="70" t="s">
        <v>63</v>
      </c>
      <c r="V64" s="37" t="s">
        <v>63</v>
      </c>
      <c r="W64" s="71" t="s">
        <v>63</v>
      </c>
      <c r="X64" s="72" t="s">
        <v>63</v>
      </c>
      <c r="Y64" s="53" t="s">
        <v>63</v>
      </c>
      <c r="Z64" s="69" t="s">
        <v>63</v>
      </c>
      <c r="AA64" s="73"/>
      <c r="AB64" s="73"/>
      <c r="AC64" s="73"/>
      <c r="AD64" s="73"/>
      <c r="AE64" s="73"/>
      <c r="AF64" s="73"/>
      <c r="AG64" s="73"/>
      <c r="AH64" s="73"/>
      <c r="AI64" s="73"/>
      <c r="AJ64" s="73"/>
      <c r="AK64" s="73"/>
    </row>
    <row r="65">
      <c r="A65" s="28">
        <v>64.0</v>
      </c>
      <c r="B65" s="29"/>
      <c r="C65" s="29"/>
      <c r="D65" s="40">
        <v>1.0</v>
      </c>
      <c r="E65" s="31">
        <v>1.0</v>
      </c>
      <c r="F65" s="42">
        <v>123.0</v>
      </c>
      <c r="G65" s="29" t="str">
        <f t="shared" si="1"/>
        <v>01123</v>
      </c>
      <c r="H65" s="37" t="s">
        <v>171</v>
      </c>
      <c r="I65" s="37" t="s">
        <v>0</v>
      </c>
      <c r="J65" s="37" t="s">
        <v>41</v>
      </c>
      <c r="K65" s="37" t="str">
        <f t="shared" si="2"/>
        <v>Tallapoosa, AL</v>
      </c>
      <c r="L65" s="37"/>
      <c r="M65" s="37" t="s">
        <v>63</v>
      </c>
      <c r="N65" s="37" t="s">
        <v>63</v>
      </c>
      <c r="O65" s="37" t="s">
        <v>63</v>
      </c>
      <c r="P65" s="37" t="s">
        <v>63</v>
      </c>
      <c r="Q65" s="37" t="s">
        <v>63</v>
      </c>
      <c r="R65" s="37" t="s">
        <v>63</v>
      </c>
      <c r="S65" s="37" t="s">
        <v>63</v>
      </c>
      <c r="T65" s="69" t="s">
        <v>63</v>
      </c>
      <c r="U65" s="70" t="s">
        <v>63</v>
      </c>
      <c r="V65" s="37" t="s">
        <v>63</v>
      </c>
      <c r="W65" s="71" t="s">
        <v>63</v>
      </c>
      <c r="X65" s="72" t="s">
        <v>63</v>
      </c>
      <c r="Y65" s="53" t="s">
        <v>63</v>
      </c>
      <c r="Z65" s="69" t="s">
        <v>63</v>
      </c>
      <c r="AA65" s="73"/>
      <c r="AB65" s="73"/>
      <c r="AC65" s="73"/>
      <c r="AD65" s="73"/>
      <c r="AE65" s="73"/>
      <c r="AF65" s="73"/>
      <c r="AG65" s="73"/>
      <c r="AH65" s="73"/>
      <c r="AI65" s="73"/>
      <c r="AJ65" s="73"/>
      <c r="AK65" s="73"/>
    </row>
    <row r="66">
      <c r="A66" s="28">
        <v>65.0</v>
      </c>
      <c r="B66" s="29"/>
      <c r="C66" s="29"/>
      <c r="D66" s="40">
        <v>1.0</v>
      </c>
      <c r="E66" s="31">
        <v>1.0</v>
      </c>
      <c r="F66" s="42">
        <v>125.0</v>
      </c>
      <c r="G66" s="29" t="str">
        <f t="shared" si="1"/>
        <v>01125</v>
      </c>
      <c r="H66" s="37" t="s">
        <v>173</v>
      </c>
      <c r="I66" s="37" t="s">
        <v>0</v>
      </c>
      <c r="J66" s="37" t="s">
        <v>41</v>
      </c>
      <c r="K66" s="37" t="str">
        <f t="shared" si="2"/>
        <v>Tuscaloosa, AL</v>
      </c>
      <c r="L66" s="37"/>
      <c r="M66" s="37" t="s">
        <v>63</v>
      </c>
      <c r="N66" s="37" t="s">
        <v>63</v>
      </c>
      <c r="O66" s="37" t="s">
        <v>63</v>
      </c>
      <c r="P66" s="37" t="s">
        <v>63</v>
      </c>
      <c r="Q66" s="37" t="s">
        <v>63</v>
      </c>
      <c r="R66" s="37" t="s">
        <v>63</v>
      </c>
      <c r="S66" s="37" t="s">
        <v>63</v>
      </c>
      <c r="T66" s="69" t="s">
        <v>63</v>
      </c>
      <c r="U66" s="70" t="s">
        <v>63</v>
      </c>
      <c r="V66" s="37" t="s">
        <v>63</v>
      </c>
      <c r="W66" s="71" t="s">
        <v>63</v>
      </c>
      <c r="X66" s="72" t="s">
        <v>63</v>
      </c>
      <c r="Y66" s="53" t="s">
        <v>63</v>
      </c>
      <c r="Z66" s="69" t="s">
        <v>63</v>
      </c>
      <c r="AA66" s="73"/>
      <c r="AB66" s="73"/>
      <c r="AC66" s="73"/>
      <c r="AD66" s="73"/>
      <c r="AE66" s="73"/>
      <c r="AF66" s="73"/>
      <c r="AG66" s="73"/>
      <c r="AH66" s="73"/>
      <c r="AI66" s="73"/>
      <c r="AJ66" s="73"/>
      <c r="AK66" s="73"/>
    </row>
    <row r="67">
      <c r="A67" s="28">
        <v>66.0</v>
      </c>
      <c r="B67" s="29"/>
      <c r="C67" s="29"/>
      <c r="D67" s="40">
        <v>1.0</v>
      </c>
      <c r="E67" s="31">
        <v>1.0</v>
      </c>
      <c r="F67" s="42">
        <v>127.0</v>
      </c>
      <c r="G67" s="29" t="str">
        <f t="shared" si="1"/>
        <v>01127</v>
      </c>
      <c r="H67" s="37" t="s">
        <v>175</v>
      </c>
      <c r="I67" s="37" t="s">
        <v>0</v>
      </c>
      <c r="J67" s="37" t="s">
        <v>41</v>
      </c>
      <c r="K67" s="37" t="str">
        <f t="shared" si="2"/>
        <v>Walker, AL</v>
      </c>
      <c r="L67" s="37"/>
      <c r="M67" s="37" t="s">
        <v>63</v>
      </c>
      <c r="N67" s="37" t="s">
        <v>63</v>
      </c>
      <c r="O67" s="37" t="s">
        <v>63</v>
      </c>
      <c r="P67" s="37" t="s">
        <v>63</v>
      </c>
      <c r="Q67" s="37" t="s">
        <v>63</v>
      </c>
      <c r="R67" s="37" t="s">
        <v>63</v>
      </c>
      <c r="S67" s="37" t="s">
        <v>63</v>
      </c>
      <c r="T67" s="69" t="s">
        <v>63</v>
      </c>
      <c r="U67" s="70" t="s">
        <v>63</v>
      </c>
      <c r="V67" s="37" t="s">
        <v>63</v>
      </c>
      <c r="W67" s="71" t="s">
        <v>63</v>
      </c>
      <c r="X67" s="72" t="s">
        <v>63</v>
      </c>
      <c r="Y67" s="53" t="s">
        <v>63</v>
      </c>
      <c r="Z67" s="69" t="s">
        <v>63</v>
      </c>
      <c r="AA67" s="73"/>
      <c r="AB67" s="73"/>
      <c r="AC67" s="73"/>
      <c r="AD67" s="73"/>
      <c r="AE67" s="73"/>
      <c r="AF67" s="73"/>
      <c r="AG67" s="73"/>
      <c r="AH67" s="73"/>
      <c r="AI67" s="73"/>
      <c r="AJ67" s="73"/>
      <c r="AK67" s="73"/>
    </row>
    <row r="68">
      <c r="A68" s="28">
        <v>67.0</v>
      </c>
      <c r="B68" s="29"/>
      <c r="C68" s="29"/>
      <c r="D68" s="40">
        <v>1.0</v>
      </c>
      <c r="E68" s="31">
        <v>1.0</v>
      </c>
      <c r="F68" s="42">
        <v>129.0</v>
      </c>
      <c r="G68" s="29" t="str">
        <f t="shared" si="1"/>
        <v>01129</v>
      </c>
      <c r="H68" s="37" t="s">
        <v>119</v>
      </c>
      <c r="I68" s="37" t="s">
        <v>0</v>
      </c>
      <c r="J68" s="37" t="s">
        <v>41</v>
      </c>
      <c r="K68" s="37" t="str">
        <f t="shared" si="2"/>
        <v>Washington, AL</v>
      </c>
      <c r="L68" s="37"/>
      <c r="M68" s="37" t="s">
        <v>63</v>
      </c>
      <c r="N68" s="37" t="s">
        <v>63</v>
      </c>
      <c r="O68" s="37" t="s">
        <v>63</v>
      </c>
      <c r="P68" s="37" t="s">
        <v>63</v>
      </c>
      <c r="Q68" s="37" t="s">
        <v>63</v>
      </c>
      <c r="R68" s="37" t="s">
        <v>63</v>
      </c>
      <c r="S68" s="37" t="s">
        <v>63</v>
      </c>
      <c r="T68" s="69" t="s">
        <v>63</v>
      </c>
      <c r="U68" s="70" t="s">
        <v>63</v>
      </c>
      <c r="V68" s="37" t="s">
        <v>63</v>
      </c>
      <c r="W68" s="71" t="s">
        <v>63</v>
      </c>
      <c r="X68" s="72" t="s">
        <v>63</v>
      </c>
      <c r="Y68" s="53" t="s">
        <v>63</v>
      </c>
      <c r="Z68" s="69" t="s">
        <v>63</v>
      </c>
      <c r="AA68" s="73"/>
      <c r="AB68" s="73"/>
      <c r="AC68" s="73"/>
      <c r="AD68" s="73"/>
      <c r="AE68" s="73"/>
      <c r="AF68" s="73"/>
      <c r="AG68" s="73"/>
      <c r="AH68" s="73"/>
      <c r="AI68" s="73"/>
      <c r="AJ68" s="73"/>
      <c r="AK68" s="73"/>
    </row>
    <row r="69">
      <c r="A69" s="28">
        <v>68.0</v>
      </c>
      <c r="B69" s="29"/>
      <c r="C69" s="29"/>
      <c r="D69" s="40">
        <v>1.0</v>
      </c>
      <c r="E69" s="31">
        <v>1.0</v>
      </c>
      <c r="F69" s="42">
        <v>131.0</v>
      </c>
      <c r="G69" s="29" t="str">
        <f t="shared" si="1"/>
        <v>01131</v>
      </c>
      <c r="H69" s="37" t="s">
        <v>176</v>
      </c>
      <c r="I69" s="37" t="s">
        <v>0</v>
      </c>
      <c r="J69" s="37" t="s">
        <v>41</v>
      </c>
      <c r="K69" s="37" t="str">
        <f t="shared" si="2"/>
        <v>Wilcox, AL</v>
      </c>
      <c r="L69" s="37"/>
      <c r="M69" s="37" t="s">
        <v>63</v>
      </c>
      <c r="N69" s="37" t="s">
        <v>63</v>
      </c>
      <c r="O69" s="37" t="s">
        <v>63</v>
      </c>
      <c r="P69" s="37" t="s">
        <v>63</v>
      </c>
      <c r="Q69" s="37" t="s">
        <v>63</v>
      </c>
      <c r="R69" s="37" t="s">
        <v>63</v>
      </c>
      <c r="S69" s="37" t="s">
        <v>63</v>
      </c>
      <c r="T69" s="69" t="s">
        <v>63</v>
      </c>
      <c r="U69" s="70" t="s">
        <v>63</v>
      </c>
      <c r="V69" s="37" t="s">
        <v>63</v>
      </c>
      <c r="W69" s="71" t="s">
        <v>63</v>
      </c>
      <c r="X69" s="72" t="s">
        <v>63</v>
      </c>
      <c r="Y69" s="53" t="s">
        <v>63</v>
      </c>
      <c r="Z69" s="69" t="s">
        <v>63</v>
      </c>
      <c r="AA69" s="73"/>
      <c r="AB69" s="73"/>
      <c r="AC69" s="73"/>
      <c r="AD69" s="73"/>
      <c r="AE69" s="73"/>
      <c r="AF69" s="73"/>
      <c r="AG69" s="73"/>
      <c r="AH69" s="73"/>
      <c r="AI69" s="73"/>
      <c r="AJ69" s="73"/>
      <c r="AK69" s="73"/>
    </row>
    <row r="70">
      <c r="A70" s="28">
        <v>69.0</v>
      </c>
      <c r="B70" s="29"/>
      <c r="C70" s="29"/>
      <c r="D70" s="40">
        <v>1.0</v>
      </c>
      <c r="E70" s="31">
        <v>1.0</v>
      </c>
      <c r="F70" s="42">
        <v>133.0</v>
      </c>
      <c r="G70" s="29" t="str">
        <f t="shared" si="1"/>
        <v>01133</v>
      </c>
      <c r="H70" s="37" t="s">
        <v>178</v>
      </c>
      <c r="I70" s="37" t="s">
        <v>0</v>
      </c>
      <c r="J70" s="37" t="s">
        <v>41</v>
      </c>
      <c r="K70" s="37" t="str">
        <f t="shared" si="2"/>
        <v>Winston, AL</v>
      </c>
      <c r="L70" s="37"/>
      <c r="M70" s="37" t="s">
        <v>63</v>
      </c>
      <c r="N70" s="37" t="s">
        <v>63</v>
      </c>
      <c r="O70" s="37" t="s">
        <v>63</v>
      </c>
      <c r="P70" s="37" t="s">
        <v>63</v>
      </c>
      <c r="Q70" s="37" t="s">
        <v>63</v>
      </c>
      <c r="R70" s="37" t="s">
        <v>63</v>
      </c>
      <c r="S70" s="37" t="s">
        <v>63</v>
      </c>
      <c r="T70" s="69" t="s">
        <v>63</v>
      </c>
      <c r="U70" s="70" t="s">
        <v>63</v>
      </c>
      <c r="V70" s="37" t="s">
        <v>63</v>
      </c>
      <c r="W70" s="71" t="s">
        <v>63</v>
      </c>
      <c r="X70" s="72" t="s">
        <v>63</v>
      </c>
      <c r="Y70" s="53" t="s">
        <v>63</v>
      </c>
      <c r="Z70" s="69" t="s">
        <v>63</v>
      </c>
      <c r="AA70" s="73"/>
      <c r="AB70" s="73"/>
      <c r="AC70" s="73"/>
      <c r="AD70" s="73"/>
      <c r="AE70" s="73"/>
      <c r="AF70" s="73"/>
      <c r="AG70" s="73"/>
      <c r="AH70" s="73"/>
      <c r="AI70" s="73"/>
      <c r="AJ70" s="73"/>
      <c r="AK70" s="73"/>
    </row>
    <row r="71">
      <c r="A71" s="99">
        <v>70.0</v>
      </c>
      <c r="B71" s="15"/>
      <c r="C71" s="14" t="s">
        <v>25</v>
      </c>
      <c r="D71" s="16"/>
      <c r="E71" s="102">
        <v>2.0</v>
      </c>
      <c r="F71" s="20"/>
      <c r="G71" s="15" t="str">
        <f t="shared" si="1"/>
        <v>02000</v>
      </c>
      <c r="H71" s="23"/>
      <c r="I71" s="23" t="s">
        <v>23</v>
      </c>
      <c r="J71" s="23" t="s">
        <v>182</v>
      </c>
      <c r="K71" s="23"/>
      <c r="L71" s="123">
        <f t="array" ref="L71:Z71">Alaska!C9:Q9</f>
        <v>2261</v>
      </c>
      <c r="M71" s="123">
        <v>2.08</v>
      </c>
      <c r="N71" s="123">
        <v>1112.0</v>
      </c>
      <c r="O71" s="123">
        <v>1117.0</v>
      </c>
      <c r="P71" s="123" t="s">
        <v>63</v>
      </c>
      <c r="Q71" s="123">
        <v>1486.0</v>
      </c>
      <c r="R71" s="123">
        <v>853.0</v>
      </c>
      <c r="S71" s="23" t="s">
        <v>63</v>
      </c>
      <c r="T71" s="32">
        <v>0.4878</v>
      </c>
      <c r="U71" s="23" t="s">
        <v>63</v>
      </c>
      <c r="V71" s="35" t="s">
        <v>63</v>
      </c>
      <c r="W71" s="23" t="s">
        <v>63</v>
      </c>
      <c r="X71" s="123" t="s">
        <v>63</v>
      </c>
      <c r="Y71" s="123">
        <v>210.0</v>
      </c>
      <c r="Z71" s="32" t="s">
        <v>63</v>
      </c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</row>
    <row r="72">
      <c r="A72" s="99">
        <v>71.0</v>
      </c>
      <c r="B72" s="15"/>
      <c r="C72" s="15"/>
      <c r="D72" s="105">
        <v>1.0</v>
      </c>
      <c r="E72" s="102">
        <v>2.0</v>
      </c>
      <c r="F72" s="107">
        <v>13.0</v>
      </c>
      <c r="G72" s="15" t="str">
        <f t="shared" si="1"/>
        <v>02013</v>
      </c>
      <c r="H72" s="23" t="s">
        <v>185</v>
      </c>
      <c r="I72" s="23" t="s">
        <v>23</v>
      </c>
      <c r="J72" s="23" t="s">
        <v>182</v>
      </c>
      <c r="K72" s="112" t="str">
        <f t="shared" ref="K72:K101" si="3">CONCATENATE(H72,", ",J72)</f>
        <v>Aleutians East, AK</v>
      </c>
      <c r="L72" s="23">
        <f t="array" ref="L72:Z76">Alaska!C3:Q7</f>
        <v>858</v>
      </c>
      <c r="M72" s="23" t="s">
        <v>63</v>
      </c>
      <c r="N72" s="23">
        <v>431.0</v>
      </c>
      <c r="O72" s="23">
        <v>418.0</v>
      </c>
      <c r="P72" s="23" t="s">
        <v>63</v>
      </c>
      <c r="Q72" s="23" t="s">
        <v>63</v>
      </c>
      <c r="R72" s="23">
        <v>280.0</v>
      </c>
      <c r="S72" s="23" t="s">
        <v>63</v>
      </c>
      <c r="T72" s="32">
        <v>0.524</v>
      </c>
      <c r="U72" s="23" t="s">
        <v>63</v>
      </c>
      <c r="V72" s="23" t="s">
        <v>63</v>
      </c>
      <c r="W72" s="124">
        <v>0.524</v>
      </c>
      <c r="X72" s="125" t="s">
        <v>63</v>
      </c>
      <c r="Y72" s="35">
        <v>210.0</v>
      </c>
      <c r="Z72" s="32" t="s">
        <v>63</v>
      </c>
      <c r="AA72" s="38"/>
      <c r="AB72" s="38"/>
      <c r="AC72" s="38"/>
      <c r="AD72" s="38"/>
      <c r="AE72" s="38"/>
      <c r="AF72" s="38"/>
      <c r="AG72" s="38"/>
      <c r="AH72" s="38"/>
      <c r="AI72" s="38"/>
      <c r="AJ72" s="38"/>
      <c r="AK72" s="38"/>
    </row>
    <row r="73">
      <c r="A73" s="99">
        <v>72.0</v>
      </c>
      <c r="B73" s="15"/>
      <c r="C73" s="15"/>
      <c r="D73" s="105">
        <v>1.0</v>
      </c>
      <c r="E73" s="102">
        <v>2.0</v>
      </c>
      <c r="F73" s="107">
        <v>16.0</v>
      </c>
      <c r="G73" s="15" t="str">
        <f t="shared" si="1"/>
        <v>02016</v>
      </c>
      <c r="H73" s="23" t="s">
        <v>186</v>
      </c>
      <c r="I73" s="23" t="s">
        <v>23</v>
      </c>
      <c r="J73" s="23" t="s">
        <v>182</v>
      </c>
      <c r="K73" s="112" t="str">
        <f t="shared" si="3"/>
        <v>Aleutians West, AK</v>
      </c>
      <c r="L73" s="23">
        <v>440.0</v>
      </c>
      <c r="M73" s="23" t="s">
        <v>63</v>
      </c>
      <c r="N73" s="23">
        <v>242.0</v>
      </c>
      <c r="O73" s="23">
        <v>193.0</v>
      </c>
      <c r="P73" s="23" t="s">
        <v>63</v>
      </c>
      <c r="Q73" s="23" t="s">
        <v>63</v>
      </c>
      <c r="R73" s="23">
        <v>174.0</v>
      </c>
      <c r="S73" s="23" t="s">
        <v>63</v>
      </c>
      <c r="T73" s="32">
        <v>0.534</v>
      </c>
      <c r="U73" s="23" t="s">
        <v>63</v>
      </c>
      <c r="V73" s="23" t="s">
        <v>63</v>
      </c>
      <c r="W73" s="124">
        <v>0.534</v>
      </c>
      <c r="X73" s="125" t="s">
        <v>63</v>
      </c>
      <c r="Y73" s="35" t="s">
        <v>63</v>
      </c>
      <c r="Z73" s="32" t="s">
        <v>63</v>
      </c>
      <c r="AA73" s="38"/>
      <c r="AB73" s="38"/>
      <c r="AC73" s="38"/>
      <c r="AD73" s="38"/>
      <c r="AE73" s="38"/>
      <c r="AF73" s="38"/>
      <c r="AG73" s="38"/>
      <c r="AH73" s="38"/>
      <c r="AI73" s="38"/>
      <c r="AJ73" s="38"/>
      <c r="AK73" s="38"/>
    </row>
    <row r="74">
      <c r="A74" s="99">
        <v>73.0</v>
      </c>
      <c r="B74" s="15"/>
      <c r="C74" s="15"/>
      <c r="D74" s="105">
        <v>1.0</v>
      </c>
      <c r="E74" s="102">
        <v>2.0</v>
      </c>
      <c r="F74" s="107">
        <v>20.0</v>
      </c>
      <c r="G74" s="15" t="str">
        <f t="shared" si="1"/>
        <v>02020</v>
      </c>
      <c r="H74" s="23" t="s">
        <v>187</v>
      </c>
      <c r="I74" s="23" t="s">
        <v>23</v>
      </c>
      <c r="J74" s="23" t="s">
        <v>182</v>
      </c>
      <c r="K74" s="23" t="str">
        <f t="shared" si="3"/>
        <v>Anchorage, AK</v>
      </c>
      <c r="L74" s="23">
        <v>562.0</v>
      </c>
      <c r="M74" s="23" t="s">
        <v>63</v>
      </c>
      <c r="N74" s="23">
        <v>261.0</v>
      </c>
      <c r="O74" s="23">
        <v>290.0</v>
      </c>
      <c r="P74" s="23" t="s">
        <v>63</v>
      </c>
      <c r="Q74" s="23" t="s">
        <v>63</v>
      </c>
      <c r="R74" s="23">
        <v>277.0</v>
      </c>
      <c r="S74" s="23" t="s">
        <v>63</v>
      </c>
      <c r="T74" s="32" t="s">
        <v>63</v>
      </c>
      <c r="U74" s="23" t="s">
        <v>63</v>
      </c>
      <c r="V74" s="23" t="s">
        <v>63</v>
      </c>
      <c r="W74" s="124">
        <v>0.498</v>
      </c>
      <c r="X74" s="125" t="s">
        <v>63</v>
      </c>
      <c r="Y74" s="35" t="s">
        <v>63</v>
      </c>
      <c r="Z74" s="32" t="s">
        <v>63</v>
      </c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38"/>
    </row>
    <row r="75">
      <c r="A75" s="99">
        <v>74.0</v>
      </c>
      <c r="B75" s="15"/>
      <c r="C75" s="15"/>
      <c r="D75" s="105">
        <v>1.0</v>
      </c>
      <c r="E75" s="102">
        <v>2.0</v>
      </c>
      <c r="F75" s="107">
        <v>50.0</v>
      </c>
      <c r="G75" s="15" t="str">
        <f t="shared" si="1"/>
        <v>02050</v>
      </c>
      <c r="H75" s="23" t="s">
        <v>188</v>
      </c>
      <c r="I75" s="23" t="s">
        <v>23</v>
      </c>
      <c r="J75" s="23" t="s">
        <v>182</v>
      </c>
      <c r="K75" s="23" t="str">
        <f t="shared" si="3"/>
        <v>Bethel, AK</v>
      </c>
      <c r="L75" s="23">
        <v>146.0</v>
      </c>
      <c r="M75" s="23" t="s">
        <v>63</v>
      </c>
      <c r="N75" s="23">
        <v>76.0</v>
      </c>
      <c r="O75" s="23">
        <v>68.0</v>
      </c>
      <c r="P75" s="23" t="s">
        <v>63</v>
      </c>
      <c r="Q75" s="23" t="s">
        <v>63</v>
      </c>
      <c r="R75" s="23">
        <v>42.0</v>
      </c>
      <c r="S75" s="23" t="s">
        <v>63</v>
      </c>
      <c r="T75" s="32" t="s">
        <v>63</v>
      </c>
      <c r="U75" s="23" t="s">
        <v>63</v>
      </c>
      <c r="V75" s="23" t="s">
        <v>63</v>
      </c>
      <c r="W75" s="124">
        <v>0.397</v>
      </c>
      <c r="X75" s="125" t="s">
        <v>63</v>
      </c>
      <c r="Y75" s="35" t="s">
        <v>63</v>
      </c>
      <c r="Z75" s="32" t="s">
        <v>63</v>
      </c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</row>
    <row r="76">
      <c r="A76" s="99">
        <v>75.0</v>
      </c>
      <c r="B76" s="15"/>
      <c r="C76" s="15"/>
      <c r="D76" s="105">
        <v>1.0</v>
      </c>
      <c r="E76" s="102">
        <v>2.0</v>
      </c>
      <c r="F76" s="107">
        <v>60.0</v>
      </c>
      <c r="G76" s="15" t="str">
        <f t="shared" si="1"/>
        <v>02060</v>
      </c>
      <c r="H76" s="23" t="s">
        <v>189</v>
      </c>
      <c r="I76" s="23" t="s">
        <v>23</v>
      </c>
      <c r="J76" s="23" t="s">
        <v>182</v>
      </c>
      <c r="K76" s="23" t="str">
        <f t="shared" si="3"/>
        <v>Bristol Bay, AK</v>
      </c>
      <c r="L76" s="23">
        <v>255.0</v>
      </c>
      <c r="M76" s="23" t="s">
        <v>63</v>
      </c>
      <c r="N76" s="23">
        <v>102.0</v>
      </c>
      <c r="O76" s="23">
        <v>148.0</v>
      </c>
      <c r="P76" s="23" t="s">
        <v>63</v>
      </c>
      <c r="Q76" s="23" t="s">
        <v>63</v>
      </c>
      <c r="R76" s="23">
        <v>80.0</v>
      </c>
      <c r="S76" s="23" t="s">
        <v>63</v>
      </c>
      <c r="T76" s="32" t="s">
        <v>63</v>
      </c>
      <c r="U76" s="23" t="s">
        <v>63</v>
      </c>
      <c r="V76" s="23" t="s">
        <v>63</v>
      </c>
      <c r="W76" s="124">
        <v>0.486</v>
      </c>
      <c r="X76" s="125" t="s">
        <v>63</v>
      </c>
      <c r="Y76" s="35" t="s">
        <v>63</v>
      </c>
      <c r="Z76" s="32" t="s">
        <v>63</v>
      </c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</row>
    <row r="77">
      <c r="A77" s="99">
        <v>76.0</v>
      </c>
      <c r="B77" s="15"/>
      <c r="C77" s="15"/>
      <c r="D77" s="105">
        <v>1.0</v>
      </c>
      <c r="E77" s="102">
        <v>2.0</v>
      </c>
      <c r="F77" s="107">
        <v>63.0</v>
      </c>
      <c r="G77" s="15" t="str">
        <f t="shared" si="1"/>
        <v>02063</v>
      </c>
      <c r="H77" s="23" t="s">
        <v>190</v>
      </c>
      <c r="I77" s="23" t="s">
        <v>23</v>
      </c>
      <c r="J77" s="23" t="s">
        <v>182</v>
      </c>
      <c r="K77" s="23" t="str">
        <f t="shared" si="3"/>
        <v>Chugach, AK</v>
      </c>
      <c r="L77" s="23"/>
      <c r="M77" s="23"/>
      <c r="N77" s="23"/>
      <c r="O77" s="23"/>
      <c r="P77" s="23"/>
      <c r="Q77" s="23"/>
      <c r="R77" s="23"/>
      <c r="S77" s="23"/>
      <c r="T77" s="32"/>
      <c r="U77" s="23"/>
      <c r="V77" s="23"/>
      <c r="W77" s="23"/>
      <c r="X77" s="23"/>
      <c r="Y77" s="23"/>
      <c r="Z77" s="32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</row>
    <row r="78">
      <c r="A78" s="99">
        <v>77.0</v>
      </c>
      <c r="B78" s="15"/>
      <c r="C78" s="15"/>
      <c r="D78" s="105">
        <v>1.0</v>
      </c>
      <c r="E78" s="102">
        <v>2.0</v>
      </c>
      <c r="F78" s="107">
        <v>66.0</v>
      </c>
      <c r="G78" s="15" t="str">
        <f t="shared" si="1"/>
        <v>02066</v>
      </c>
      <c r="H78" s="23" t="s">
        <v>191</v>
      </c>
      <c r="I78" s="23" t="s">
        <v>23</v>
      </c>
      <c r="J78" s="23" t="s">
        <v>182</v>
      </c>
      <c r="K78" s="112" t="str">
        <f t="shared" si="3"/>
        <v>Copper River, AK</v>
      </c>
      <c r="L78" s="23"/>
      <c r="M78" s="23"/>
      <c r="N78" s="23"/>
      <c r="O78" s="23"/>
      <c r="P78" s="23"/>
      <c r="Q78" s="23"/>
      <c r="R78" s="23"/>
      <c r="S78" s="23"/>
      <c r="T78" s="32"/>
      <c r="U78" s="23"/>
      <c r="V78" s="23"/>
      <c r="W78" s="23"/>
      <c r="X78" s="23"/>
      <c r="Y78" s="23"/>
      <c r="Z78" s="32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</row>
    <row r="79">
      <c r="A79" s="99">
        <v>78.0</v>
      </c>
      <c r="B79" s="15"/>
      <c r="C79" s="15"/>
      <c r="D79" s="105">
        <v>1.0</v>
      </c>
      <c r="E79" s="102">
        <v>2.0</v>
      </c>
      <c r="F79" s="107">
        <v>68.0</v>
      </c>
      <c r="G79" s="15" t="str">
        <f t="shared" si="1"/>
        <v>02068</v>
      </c>
      <c r="H79" s="23" t="s">
        <v>192</v>
      </c>
      <c r="I79" s="23" t="s">
        <v>23</v>
      </c>
      <c r="J79" s="23" t="s">
        <v>182</v>
      </c>
      <c r="K79" s="23" t="str">
        <f t="shared" si="3"/>
        <v>Denali, AK</v>
      </c>
      <c r="L79" s="23"/>
      <c r="M79" s="23"/>
      <c r="N79" s="23"/>
      <c r="O79" s="23"/>
      <c r="P79" s="23"/>
      <c r="Q79" s="23"/>
      <c r="R79" s="23"/>
      <c r="S79" s="23"/>
      <c r="T79" s="32"/>
      <c r="U79" s="23"/>
      <c r="V79" s="23"/>
      <c r="W79" s="23"/>
      <c r="X79" s="23"/>
      <c r="Y79" s="23"/>
      <c r="Z79" s="32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</row>
    <row r="80">
      <c r="A80" s="99">
        <v>79.0</v>
      </c>
      <c r="B80" s="15"/>
      <c r="C80" s="15"/>
      <c r="D80" s="105">
        <v>1.0</v>
      </c>
      <c r="E80" s="102">
        <v>2.0</v>
      </c>
      <c r="F80" s="107">
        <v>70.0</v>
      </c>
      <c r="G80" s="15" t="str">
        <f t="shared" si="1"/>
        <v>02070</v>
      </c>
      <c r="H80" s="23" t="s">
        <v>193</v>
      </c>
      <c r="I80" s="23" t="s">
        <v>23</v>
      </c>
      <c r="J80" s="23" t="s">
        <v>182</v>
      </c>
      <c r="K80" s="23" t="str">
        <f t="shared" si="3"/>
        <v>Dillingham, AK</v>
      </c>
      <c r="L80" s="23"/>
      <c r="M80" s="23"/>
      <c r="N80" s="23"/>
      <c r="O80" s="23"/>
      <c r="P80" s="23"/>
      <c r="Q80" s="23"/>
      <c r="R80" s="23"/>
      <c r="S80" s="23"/>
      <c r="T80" s="32"/>
      <c r="U80" s="23"/>
      <c r="V80" s="23"/>
      <c r="W80" s="23"/>
      <c r="X80" s="23"/>
      <c r="Y80" s="23"/>
      <c r="Z80" s="32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</row>
    <row r="81">
      <c r="A81" s="99">
        <v>80.0</v>
      </c>
      <c r="B81" s="15"/>
      <c r="C81" s="15"/>
      <c r="D81" s="105">
        <v>1.0</v>
      </c>
      <c r="E81" s="102">
        <v>2.0</v>
      </c>
      <c r="F81" s="107">
        <v>90.0</v>
      </c>
      <c r="G81" s="15" t="str">
        <f t="shared" si="1"/>
        <v>02090</v>
      </c>
      <c r="H81" s="23" t="s">
        <v>194</v>
      </c>
      <c r="I81" s="23" t="s">
        <v>23</v>
      </c>
      <c r="J81" s="23" t="s">
        <v>182</v>
      </c>
      <c r="K81" s="112" t="str">
        <f t="shared" si="3"/>
        <v>Fairbanks North Star, AK</v>
      </c>
      <c r="L81" s="23"/>
      <c r="M81" s="23"/>
      <c r="N81" s="23"/>
      <c r="O81" s="23"/>
      <c r="P81" s="23"/>
      <c r="Q81" s="23"/>
      <c r="R81" s="23"/>
      <c r="S81" s="23"/>
      <c r="T81" s="32"/>
      <c r="U81" s="23"/>
      <c r="V81" s="23"/>
      <c r="W81" s="23"/>
      <c r="X81" s="23"/>
      <c r="Y81" s="23"/>
      <c r="Z81" s="32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</row>
    <row r="82">
      <c r="A82" s="99">
        <v>81.0</v>
      </c>
      <c r="B82" s="15"/>
      <c r="C82" s="15"/>
      <c r="D82" s="105">
        <v>1.0</v>
      </c>
      <c r="E82" s="102">
        <v>2.0</v>
      </c>
      <c r="F82" s="107">
        <v>100.0</v>
      </c>
      <c r="G82" s="15" t="str">
        <f t="shared" si="1"/>
        <v>02100</v>
      </c>
      <c r="H82" s="23" t="s">
        <v>195</v>
      </c>
      <c r="I82" s="23" t="s">
        <v>23</v>
      </c>
      <c r="J82" s="23" t="s">
        <v>182</v>
      </c>
      <c r="K82" s="23" t="str">
        <f t="shared" si="3"/>
        <v>Haines, AK</v>
      </c>
      <c r="L82" s="23"/>
      <c r="M82" s="23"/>
      <c r="N82" s="23"/>
      <c r="O82" s="23"/>
      <c r="P82" s="23"/>
      <c r="Q82" s="23"/>
      <c r="R82" s="23"/>
      <c r="S82" s="23"/>
      <c r="T82" s="32"/>
      <c r="U82" s="23"/>
      <c r="V82" s="23"/>
      <c r="W82" s="23"/>
      <c r="X82" s="23"/>
      <c r="Y82" s="23"/>
      <c r="Z82" s="32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</row>
    <row r="83">
      <c r="A83" s="99">
        <v>82.0</v>
      </c>
      <c r="B83" s="15"/>
      <c r="C83" s="15"/>
      <c r="D83" s="105">
        <v>1.0</v>
      </c>
      <c r="E83" s="102">
        <v>2.0</v>
      </c>
      <c r="F83" s="107">
        <v>105.0</v>
      </c>
      <c r="G83" s="15" t="str">
        <f t="shared" si="1"/>
        <v>02105</v>
      </c>
      <c r="H83" s="23" t="s">
        <v>196</v>
      </c>
      <c r="I83" s="23" t="s">
        <v>23</v>
      </c>
      <c r="J83" s="23" t="s">
        <v>182</v>
      </c>
      <c r="K83" s="112" t="str">
        <f t="shared" si="3"/>
        <v>Hoonah-Angoon, AK</v>
      </c>
      <c r="L83" s="23"/>
      <c r="M83" s="23"/>
      <c r="N83" s="23"/>
      <c r="O83" s="23"/>
      <c r="P83" s="23"/>
      <c r="Q83" s="23"/>
      <c r="R83" s="23"/>
      <c r="S83" s="23"/>
      <c r="T83" s="32"/>
      <c r="U83" s="23"/>
      <c r="V83" s="23"/>
      <c r="W83" s="23"/>
      <c r="X83" s="23"/>
      <c r="Y83" s="23"/>
      <c r="Z83" s="32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38"/>
    </row>
    <row r="84">
      <c r="A84" s="99">
        <v>83.0</v>
      </c>
      <c r="B84" s="15"/>
      <c r="C84" s="15"/>
      <c r="D84" s="105">
        <v>1.0</v>
      </c>
      <c r="E84" s="102">
        <v>2.0</v>
      </c>
      <c r="F84" s="107">
        <v>110.0</v>
      </c>
      <c r="G84" s="15" t="str">
        <f t="shared" si="1"/>
        <v>02110</v>
      </c>
      <c r="H84" s="23" t="s">
        <v>197</v>
      </c>
      <c r="I84" s="23" t="s">
        <v>23</v>
      </c>
      <c r="J84" s="23" t="s">
        <v>182</v>
      </c>
      <c r="K84" s="23" t="str">
        <f t="shared" si="3"/>
        <v>Juneau, AK</v>
      </c>
      <c r="L84" s="23"/>
      <c r="M84" s="23"/>
      <c r="N84" s="23"/>
      <c r="O84" s="23"/>
      <c r="P84" s="23"/>
      <c r="Q84" s="23"/>
      <c r="R84" s="23"/>
      <c r="S84" s="23"/>
      <c r="T84" s="32"/>
      <c r="U84" s="23"/>
      <c r="V84" s="23"/>
      <c r="W84" s="23"/>
      <c r="X84" s="23"/>
      <c r="Y84" s="23"/>
      <c r="Z84" s="32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8"/>
    </row>
    <row r="85">
      <c r="A85" s="99">
        <v>84.0</v>
      </c>
      <c r="B85" s="15"/>
      <c r="C85" s="15"/>
      <c r="D85" s="105">
        <v>1.0</v>
      </c>
      <c r="E85" s="102">
        <v>2.0</v>
      </c>
      <c r="F85" s="107">
        <v>122.0</v>
      </c>
      <c r="G85" s="15" t="str">
        <f t="shared" si="1"/>
        <v>02122</v>
      </c>
      <c r="H85" s="23" t="s">
        <v>198</v>
      </c>
      <c r="I85" s="23" t="s">
        <v>23</v>
      </c>
      <c r="J85" s="23" t="s">
        <v>182</v>
      </c>
      <c r="K85" s="112" t="str">
        <f t="shared" si="3"/>
        <v>Kenai Peninsula, AK</v>
      </c>
      <c r="L85" s="23"/>
      <c r="M85" s="23"/>
      <c r="N85" s="23"/>
      <c r="O85" s="23"/>
      <c r="P85" s="23"/>
      <c r="Q85" s="23"/>
      <c r="R85" s="23"/>
      <c r="S85" s="23"/>
      <c r="T85" s="32"/>
      <c r="U85" s="23"/>
      <c r="V85" s="23"/>
      <c r="W85" s="23"/>
      <c r="X85" s="23"/>
      <c r="Y85" s="23"/>
      <c r="Z85" s="32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</row>
    <row r="86">
      <c r="A86" s="99">
        <v>85.0</v>
      </c>
      <c r="B86" s="15"/>
      <c r="C86" s="15"/>
      <c r="D86" s="105">
        <v>1.0</v>
      </c>
      <c r="E86" s="102">
        <v>2.0</v>
      </c>
      <c r="F86" s="107">
        <v>130.0</v>
      </c>
      <c r="G86" s="15" t="str">
        <f t="shared" si="1"/>
        <v>02130</v>
      </c>
      <c r="H86" s="23" t="s">
        <v>199</v>
      </c>
      <c r="I86" s="23" t="s">
        <v>23</v>
      </c>
      <c r="J86" s="23" t="s">
        <v>182</v>
      </c>
      <c r="K86" s="112" t="str">
        <f t="shared" si="3"/>
        <v>Ketchikan Gateway, AK</v>
      </c>
      <c r="L86" s="23"/>
      <c r="M86" s="23"/>
      <c r="N86" s="23"/>
      <c r="O86" s="23"/>
      <c r="P86" s="23"/>
      <c r="Q86" s="23"/>
      <c r="R86" s="23"/>
      <c r="S86" s="23"/>
      <c r="T86" s="32"/>
      <c r="U86" s="23"/>
      <c r="V86" s="23"/>
      <c r="W86" s="23"/>
      <c r="X86" s="23"/>
      <c r="Y86" s="23"/>
      <c r="Z86" s="32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</row>
    <row r="87">
      <c r="A87" s="99">
        <v>86.0</v>
      </c>
      <c r="B87" s="15"/>
      <c r="C87" s="15"/>
      <c r="D87" s="105">
        <v>1.0</v>
      </c>
      <c r="E87" s="102">
        <v>2.0</v>
      </c>
      <c r="F87" s="107">
        <v>150.0</v>
      </c>
      <c r="G87" s="15" t="str">
        <f t="shared" si="1"/>
        <v>02150</v>
      </c>
      <c r="H87" s="23" t="s">
        <v>200</v>
      </c>
      <c r="I87" s="23" t="s">
        <v>23</v>
      </c>
      <c r="J87" s="23" t="s">
        <v>182</v>
      </c>
      <c r="K87" s="112" t="str">
        <f t="shared" si="3"/>
        <v>Kodiak Island, AK</v>
      </c>
      <c r="L87" s="23"/>
      <c r="M87" s="23"/>
      <c r="N87" s="23"/>
      <c r="O87" s="23"/>
      <c r="P87" s="23"/>
      <c r="Q87" s="23"/>
      <c r="R87" s="23"/>
      <c r="S87" s="23"/>
      <c r="T87" s="32"/>
      <c r="U87" s="23"/>
      <c r="V87" s="23"/>
      <c r="W87" s="23"/>
      <c r="X87" s="23"/>
      <c r="Y87" s="23"/>
      <c r="Z87" s="32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</row>
    <row r="88">
      <c r="A88" s="99">
        <v>87.0</v>
      </c>
      <c r="B88" s="15"/>
      <c r="C88" s="15"/>
      <c r="D88" s="105">
        <v>1.0</v>
      </c>
      <c r="E88" s="102">
        <v>2.0</v>
      </c>
      <c r="F88" s="107">
        <v>158.0</v>
      </c>
      <c r="G88" s="15" t="str">
        <f t="shared" si="1"/>
        <v>02158</v>
      </c>
      <c r="H88" s="23" t="s">
        <v>201</v>
      </c>
      <c r="I88" s="23" t="s">
        <v>23</v>
      </c>
      <c r="J88" s="23" t="s">
        <v>182</v>
      </c>
      <c r="K88" s="23" t="str">
        <f t="shared" si="3"/>
        <v>Kusilvak, AK</v>
      </c>
      <c r="L88" s="23"/>
      <c r="M88" s="23"/>
      <c r="N88" s="23"/>
      <c r="O88" s="23"/>
      <c r="P88" s="23"/>
      <c r="Q88" s="23"/>
      <c r="R88" s="23"/>
      <c r="S88" s="23"/>
      <c r="T88" s="32"/>
      <c r="U88" s="23"/>
      <c r="V88" s="23"/>
      <c r="W88" s="23"/>
      <c r="X88" s="23"/>
      <c r="Y88" s="23"/>
      <c r="Z88" s="32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</row>
    <row r="89">
      <c r="A89" s="99">
        <v>88.0</v>
      </c>
      <c r="B89" s="15"/>
      <c r="C89" s="15"/>
      <c r="D89" s="105">
        <v>1.0</v>
      </c>
      <c r="E89" s="102">
        <v>2.0</v>
      </c>
      <c r="F89" s="107">
        <v>164.0</v>
      </c>
      <c r="G89" s="15" t="str">
        <f t="shared" si="1"/>
        <v>02164</v>
      </c>
      <c r="H89" s="23" t="s">
        <v>204</v>
      </c>
      <c r="I89" s="23" t="s">
        <v>23</v>
      </c>
      <c r="J89" s="23" t="s">
        <v>182</v>
      </c>
      <c r="K89" s="112" t="str">
        <f t="shared" si="3"/>
        <v>Lake and Peninsula, AK</v>
      </c>
      <c r="L89" s="23"/>
      <c r="M89" s="23"/>
      <c r="N89" s="23"/>
      <c r="O89" s="23"/>
      <c r="P89" s="23"/>
      <c r="Q89" s="23"/>
      <c r="R89" s="23"/>
      <c r="S89" s="23"/>
      <c r="T89" s="32"/>
      <c r="U89" s="23"/>
      <c r="V89" s="23"/>
      <c r="W89" s="23"/>
      <c r="X89" s="23"/>
      <c r="Y89" s="23"/>
      <c r="Z89" s="32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8"/>
    </row>
    <row r="90">
      <c r="A90" s="99">
        <v>89.0</v>
      </c>
      <c r="B90" s="15"/>
      <c r="C90" s="15"/>
      <c r="D90" s="105">
        <v>1.0</v>
      </c>
      <c r="E90" s="102">
        <v>2.0</v>
      </c>
      <c r="F90" s="107">
        <v>170.0</v>
      </c>
      <c r="G90" s="15" t="str">
        <f t="shared" si="1"/>
        <v>02170</v>
      </c>
      <c r="H90" s="23" t="s">
        <v>205</v>
      </c>
      <c r="I90" s="23" t="s">
        <v>23</v>
      </c>
      <c r="J90" s="23" t="s">
        <v>182</v>
      </c>
      <c r="K90" s="112" t="str">
        <f t="shared" si="3"/>
        <v>Matanuska-Susitna, AK</v>
      </c>
      <c r="L90" s="23"/>
      <c r="M90" s="23"/>
      <c r="N90" s="23"/>
      <c r="O90" s="23"/>
      <c r="P90" s="23"/>
      <c r="Q90" s="23"/>
      <c r="R90" s="23"/>
      <c r="S90" s="23"/>
      <c r="T90" s="32"/>
      <c r="U90" s="23"/>
      <c r="V90" s="23"/>
      <c r="W90" s="23"/>
      <c r="X90" s="23"/>
      <c r="Y90" s="23"/>
      <c r="Z90" s="32"/>
      <c r="AA90" s="38"/>
      <c r="AB90" s="38"/>
      <c r="AC90" s="38"/>
      <c r="AD90" s="38"/>
      <c r="AE90" s="38"/>
      <c r="AF90" s="38"/>
      <c r="AG90" s="38"/>
      <c r="AH90" s="38"/>
      <c r="AI90" s="38"/>
      <c r="AJ90" s="38"/>
      <c r="AK90" s="38"/>
    </row>
    <row r="91">
      <c r="A91" s="99">
        <v>90.0</v>
      </c>
      <c r="B91" s="15"/>
      <c r="C91" s="15"/>
      <c r="D91" s="105">
        <v>1.0</v>
      </c>
      <c r="E91" s="102">
        <v>2.0</v>
      </c>
      <c r="F91" s="107">
        <v>180.0</v>
      </c>
      <c r="G91" s="15" t="str">
        <f t="shared" si="1"/>
        <v>02180</v>
      </c>
      <c r="H91" s="23" t="s">
        <v>206</v>
      </c>
      <c r="I91" s="23" t="s">
        <v>23</v>
      </c>
      <c r="J91" s="23" t="s">
        <v>182</v>
      </c>
      <c r="K91" s="23" t="str">
        <f t="shared" si="3"/>
        <v>Nome, AK</v>
      </c>
      <c r="L91" s="23"/>
      <c r="M91" s="23"/>
      <c r="N91" s="23"/>
      <c r="O91" s="23"/>
      <c r="P91" s="23"/>
      <c r="Q91" s="23"/>
      <c r="R91" s="23"/>
      <c r="S91" s="23"/>
      <c r="T91" s="32"/>
      <c r="U91" s="23"/>
      <c r="V91" s="23"/>
      <c r="W91" s="23"/>
      <c r="X91" s="23"/>
      <c r="Y91" s="23"/>
      <c r="Z91" s="32"/>
      <c r="AA91" s="38"/>
      <c r="AB91" s="38"/>
      <c r="AC91" s="38"/>
      <c r="AD91" s="38"/>
      <c r="AE91" s="38"/>
      <c r="AF91" s="38"/>
      <c r="AG91" s="38"/>
      <c r="AH91" s="38"/>
      <c r="AI91" s="38"/>
      <c r="AJ91" s="38"/>
      <c r="AK91" s="38"/>
    </row>
    <row r="92">
      <c r="A92" s="99">
        <v>91.0</v>
      </c>
      <c r="B92" s="15"/>
      <c r="C92" s="15"/>
      <c r="D92" s="105">
        <v>1.0</v>
      </c>
      <c r="E92" s="102">
        <v>2.0</v>
      </c>
      <c r="F92" s="107">
        <v>185.0</v>
      </c>
      <c r="G92" s="15" t="str">
        <f t="shared" si="1"/>
        <v>02185</v>
      </c>
      <c r="H92" s="23" t="s">
        <v>207</v>
      </c>
      <c r="I92" s="23" t="s">
        <v>23</v>
      </c>
      <c r="J92" s="23" t="s">
        <v>182</v>
      </c>
      <c r="K92" s="23" t="str">
        <f t="shared" si="3"/>
        <v>North Slope, AK</v>
      </c>
      <c r="L92" s="23"/>
      <c r="M92" s="23"/>
      <c r="N92" s="23"/>
      <c r="O92" s="23"/>
      <c r="P92" s="23"/>
      <c r="Q92" s="23"/>
      <c r="R92" s="23"/>
      <c r="S92" s="23"/>
      <c r="T92" s="32"/>
      <c r="U92" s="23"/>
      <c r="V92" s="23"/>
      <c r="W92" s="23"/>
      <c r="X92" s="23"/>
      <c r="Y92" s="23"/>
      <c r="Z92" s="32"/>
      <c r="AA92" s="38"/>
      <c r="AB92" s="38"/>
      <c r="AC92" s="38"/>
      <c r="AD92" s="38"/>
      <c r="AE92" s="38"/>
      <c r="AF92" s="38"/>
      <c r="AG92" s="38"/>
      <c r="AH92" s="38"/>
      <c r="AI92" s="38"/>
      <c r="AJ92" s="38"/>
      <c r="AK92" s="38"/>
    </row>
    <row r="93">
      <c r="A93" s="99">
        <v>92.0</v>
      </c>
      <c r="B93" s="15"/>
      <c r="C93" s="15"/>
      <c r="D93" s="105">
        <v>1.0</v>
      </c>
      <c r="E93" s="102">
        <v>2.0</v>
      </c>
      <c r="F93" s="107">
        <v>188.0</v>
      </c>
      <c r="G93" s="15" t="str">
        <f t="shared" si="1"/>
        <v>02188</v>
      </c>
      <c r="H93" s="23" t="s">
        <v>208</v>
      </c>
      <c r="I93" s="23" t="s">
        <v>23</v>
      </c>
      <c r="J93" s="23" t="s">
        <v>182</v>
      </c>
      <c r="K93" s="112" t="str">
        <f t="shared" si="3"/>
        <v>Northwest Arctic, AK</v>
      </c>
      <c r="L93" s="23"/>
      <c r="M93" s="23"/>
      <c r="N93" s="23"/>
      <c r="O93" s="23"/>
      <c r="P93" s="23"/>
      <c r="Q93" s="23"/>
      <c r="R93" s="23"/>
      <c r="S93" s="23"/>
      <c r="T93" s="32"/>
      <c r="U93" s="23"/>
      <c r="V93" s="23"/>
      <c r="W93" s="23"/>
      <c r="X93" s="23"/>
      <c r="Y93" s="23"/>
      <c r="Z93" s="32"/>
      <c r="AA93" s="38"/>
      <c r="AB93" s="38"/>
      <c r="AC93" s="38"/>
      <c r="AD93" s="38"/>
      <c r="AE93" s="38"/>
      <c r="AF93" s="38"/>
      <c r="AG93" s="38"/>
      <c r="AH93" s="38"/>
      <c r="AI93" s="38"/>
      <c r="AJ93" s="38"/>
      <c r="AK93" s="38"/>
    </row>
    <row r="94">
      <c r="A94" s="99">
        <v>93.0</v>
      </c>
      <c r="B94" s="15"/>
      <c r="C94" s="15"/>
      <c r="D94" s="105">
        <v>1.0</v>
      </c>
      <c r="E94" s="102">
        <v>2.0</v>
      </c>
      <c r="F94" s="107">
        <v>195.0</v>
      </c>
      <c r="G94" s="15" t="str">
        <f t="shared" si="1"/>
        <v>02195</v>
      </c>
      <c r="H94" s="23" t="s">
        <v>209</v>
      </c>
      <c r="I94" s="23" t="s">
        <v>23</v>
      </c>
      <c r="J94" s="23" t="s">
        <v>182</v>
      </c>
      <c r="K94" s="23" t="str">
        <f t="shared" si="3"/>
        <v>Petersburg, AK</v>
      </c>
      <c r="L94" s="23"/>
      <c r="M94" s="23"/>
      <c r="N94" s="23"/>
      <c r="O94" s="23"/>
      <c r="P94" s="23"/>
      <c r="Q94" s="23"/>
      <c r="R94" s="23"/>
      <c r="S94" s="23"/>
      <c r="T94" s="32"/>
      <c r="U94" s="23"/>
      <c r="V94" s="23"/>
      <c r="W94" s="23"/>
      <c r="X94" s="23"/>
      <c r="Y94" s="23"/>
      <c r="Z94" s="32"/>
      <c r="AA94" s="38"/>
      <c r="AB94" s="38"/>
      <c r="AC94" s="38"/>
      <c r="AD94" s="38"/>
      <c r="AE94" s="38"/>
      <c r="AF94" s="38"/>
      <c r="AG94" s="38"/>
      <c r="AH94" s="38"/>
      <c r="AI94" s="38"/>
      <c r="AJ94" s="38"/>
      <c r="AK94" s="38"/>
    </row>
    <row r="95">
      <c r="A95" s="99">
        <v>94.0</v>
      </c>
      <c r="B95" s="15"/>
      <c r="C95" s="15"/>
      <c r="D95" s="105">
        <v>1.0</v>
      </c>
      <c r="E95" s="102">
        <v>2.0</v>
      </c>
      <c r="F95" s="107">
        <v>201.0</v>
      </c>
      <c r="G95" s="15" t="str">
        <f t="shared" si="1"/>
        <v>02201</v>
      </c>
      <c r="H95" s="23" t="s">
        <v>210</v>
      </c>
      <c r="I95" s="23" t="s">
        <v>23</v>
      </c>
      <c r="J95" s="23" t="s">
        <v>182</v>
      </c>
      <c r="K95" s="112" t="str">
        <f t="shared" si="3"/>
        <v>Prince Wales Ketchikan, AK</v>
      </c>
      <c r="L95" s="23"/>
      <c r="M95" s="23"/>
      <c r="N95" s="23"/>
      <c r="O95" s="23"/>
      <c r="P95" s="23"/>
      <c r="Q95" s="23"/>
      <c r="R95" s="23"/>
      <c r="S95" s="23"/>
      <c r="T95" s="32"/>
      <c r="U95" s="23"/>
      <c r="V95" s="23"/>
      <c r="W95" s="23"/>
      <c r="X95" s="23"/>
      <c r="Y95" s="23"/>
      <c r="Z95" s="32"/>
      <c r="AA95" s="38"/>
      <c r="AB95" s="38"/>
      <c r="AC95" s="38"/>
      <c r="AD95" s="38"/>
      <c r="AE95" s="38"/>
      <c r="AF95" s="38"/>
      <c r="AG95" s="38"/>
      <c r="AH95" s="38"/>
      <c r="AI95" s="38"/>
      <c r="AJ95" s="38"/>
      <c r="AK95" s="38"/>
    </row>
    <row r="96">
      <c r="A96" s="99">
        <v>95.0</v>
      </c>
      <c r="B96" s="15"/>
      <c r="C96" s="15"/>
      <c r="D96" s="105">
        <v>1.0</v>
      </c>
      <c r="E96" s="102">
        <v>2.0</v>
      </c>
      <c r="F96" s="107">
        <v>220.0</v>
      </c>
      <c r="G96" s="15" t="str">
        <f t="shared" si="1"/>
        <v>02220</v>
      </c>
      <c r="H96" s="23" t="s">
        <v>211</v>
      </c>
      <c r="I96" s="23" t="s">
        <v>23</v>
      </c>
      <c r="J96" s="23" t="s">
        <v>182</v>
      </c>
      <c r="K96" s="23" t="str">
        <f t="shared" si="3"/>
        <v>Sitka, AK</v>
      </c>
      <c r="L96" s="23"/>
      <c r="M96" s="23"/>
      <c r="N96" s="23"/>
      <c r="O96" s="23"/>
      <c r="P96" s="23"/>
      <c r="Q96" s="23"/>
      <c r="R96" s="23"/>
      <c r="S96" s="23"/>
      <c r="T96" s="32"/>
      <c r="U96" s="23"/>
      <c r="V96" s="23"/>
      <c r="W96" s="23"/>
      <c r="X96" s="23"/>
      <c r="Y96" s="23"/>
      <c r="Z96" s="32"/>
      <c r="AA96" s="38"/>
      <c r="AB96" s="38"/>
      <c r="AC96" s="38"/>
      <c r="AD96" s="38"/>
      <c r="AE96" s="38"/>
      <c r="AF96" s="38"/>
      <c r="AG96" s="38"/>
      <c r="AH96" s="38"/>
      <c r="AI96" s="38"/>
      <c r="AJ96" s="38"/>
      <c r="AK96" s="38"/>
    </row>
    <row r="97">
      <c r="A97" s="99">
        <v>96.0</v>
      </c>
      <c r="B97" s="15"/>
      <c r="C97" s="15"/>
      <c r="D97" s="105">
        <v>1.0</v>
      </c>
      <c r="E97" s="102">
        <v>2.0</v>
      </c>
      <c r="F97" s="107">
        <v>232.0</v>
      </c>
      <c r="G97" s="15" t="str">
        <f t="shared" si="1"/>
        <v>02232</v>
      </c>
      <c r="H97" s="23" t="s">
        <v>212</v>
      </c>
      <c r="I97" s="23" t="s">
        <v>23</v>
      </c>
      <c r="J97" s="23" t="s">
        <v>182</v>
      </c>
      <c r="K97" s="23" t="str">
        <f t="shared" si="3"/>
        <v>Skagway, AK</v>
      </c>
      <c r="L97" s="23"/>
      <c r="M97" s="23"/>
      <c r="N97" s="23"/>
      <c r="O97" s="23"/>
      <c r="P97" s="23"/>
      <c r="Q97" s="23"/>
      <c r="R97" s="23"/>
      <c r="S97" s="23"/>
      <c r="T97" s="32"/>
      <c r="U97" s="23"/>
      <c r="V97" s="23"/>
      <c r="W97" s="23"/>
      <c r="X97" s="23"/>
      <c r="Y97" s="23"/>
      <c r="Z97" s="32"/>
      <c r="AA97" s="38"/>
      <c r="AB97" s="38"/>
      <c r="AC97" s="38"/>
      <c r="AD97" s="38"/>
      <c r="AE97" s="38"/>
      <c r="AF97" s="38"/>
      <c r="AG97" s="38"/>
      <c r="AH97" s="38"/>
      <c r="AI97" s="38"/>
      <c r="AJ97" s="38"/>
      <c r="AK97" s="38"/>
    </row>
    <row r="98">
      <c r="A98" s="99">
        <v>97.0</v>
      </c>
      <c r="B98" s="15"/>
      <c r="C98" s="15"/>
      <c r="D98" s="105">
        <v>1.0</v>
      </c>
      <c r="E98" s="102">
        <v>2.0</v>
      </c>
      <c r="F98" s="107">
        <v>240.0</v>
      </c>
      <c r="G98" s="15" t="str">
        <f t="shared" si="1"/>
        <v>02240</v>
      </c>
      <c r="H98" s="23" t="s">
        <v>213</v>
      </c>
      <c r="I98" s="23" t="s">
        <v>23</v>
      </c>
      <c r="J98" s="23" t="s">
        <v>182</v>
      </c>
      <c r="K98" s="112" t="str">
        <f t="shared" si="3"/>
        <v>Southeast Fairbanks, AK</v>
      </c>
      <c r="L98" s="23"/>
      <c r="M98" s="23"/>
      <c r="N98" s="23"/>
      <c r="O98" s="23"/>
      <c r="P98" s="23"/>
      <c r="Q98" s="23"/>
      <c r="R98" s="23"/>
      <c r="S98" s="23"/>
      <c r="T98" s="32"/>
      <c r="U98" s="23"/>
      <c r="V98" s="23"/>
      <c r="W98" s="23"/>
      <c r="X98" s="23"/>
      <c r="Y98" s="23"/>
      <c r="Z98" s="32"/>
      <c r="AA98" s="38"/>
      <c r="AB98" s="38"/>
      <c r="AC98" s="38"/>
      <c r="AD98" s="38"/>
      <c r="AE98" s="38"/>
      <c r="AF98" s="38"/>
      <c r="AG98" s="38"/>
      <c r="AH98" s="38"/>
      <c r="AI98" s="38"/>
      <c r="AJ98" s="38"/>
      <c r="AK98" s="38"/>
    </row>
    <row r="99">
      <c r="A99" s="99">
        <v>98.0</v>
      </c>
      <c r="B99" s="15"/>
      <c r="C99" s="15"/>
      <c r="D99" s="105">
        <v>1.0</v>
      </c>
      <c r="E99" s="102">
        <v>2.0</v>
      </c>
      <c r="F99" s="107">
        <v>280.0</v>
      </c>
      <c r="G99" s="15" t="str">
        <f t="shared" si="1"/>
        <v>02280</v>
      </c>
      <c r="H99" s="23" t="s">
        <v>214</v>
      </c>
      <c r="I99" s="23" t="s">
        <v>23</v>
      </c>
      <c r="J99" s="23" t="s">
        <v>182</v>
      </c>
      <c r="K99" s="23" t="str">
        <f t="shared" si="3"/>
        <v>Wrangell, AK</v>
      </c>
      <c r="L99" s="23"/>
      <c r="M99" s="23"/>
      <c r="N99" s="23"/>
      <c r="O99" s="23"/>
      <c r="P99" s="23"/>
      <c r="Q99" s="23"/>
      <c r="R99" s="23"/>
      <c r="S99" s="23"/>
      <c r="T99" s="32"/>
      <c r="U99" s="23"/>
      <c r="V99" s="23"/>
      <c r="W99" s="23"/>
      <c r="X99" s="23"/>
      <c r="Y99" s="23"/>
      <c r="Z99" s="32"/>
      <c r="AA99" s="38"/>
      <c r="AB99" s="38"/>
      <c r="AC99" s="38"/>
      <c r="AD99" s="38"/>
      <c r="AE99" s="38"/>
      <c r="AF99" s="38"/>
      <c r="AG99" s="38"/>
      <c r="AH99" s="38"/>
      <c r="AI99" s="38"/>
      <c r="AJ99" s="38"/>
      <c r="AK99" s="38"/>
    </row>
    <row r="100">
      <c r="A100" s="99">
        <v>99.0</v>
      </c>
      <c r="B100" s="15"/>
      <c r="C100" s="15"/>
      <c r="D100" s="105">
        <v>1.0</v>
      </c>
      <c r="E100" s="102">
        <v>2.0</v>
      </c>
      <c r="F100" s="107">
        <v>282.0</v>
      </c>
      <c r="G100" s="15" t="str">
        <f t="shared" si="1"/>
        <v>02282</v>
      </c>
      <c r="H100" s="23" t="s">
        <v>215</v>
      </c>
      <c r="I100" s="23" t="s">
        <v>23</v>
      </c>
      <c r="J100" s="23" t="s">
        <v>182</v>
      </c>
      <c r="K100" s="23" t="str">
        <f t="shared" si="3"/>
        <v>Yakutat, AK</v>
      </c>
      <c r="L100" s="23"/>
      <c r="M100" s="23"/>
      <c r="N100" s="23"/>
      <c r="O100" s="23"/>
      <c r="P100" s="23"/>
      <c r="Q100" s="23"/>
      <c r="R100" s="23"/>
      <c r="S100" s="23"/>
      <c r="T100" s="32"/>
      <c r="U100" s="23"/>
      <c r="V100" s="23"/>
      <c r="W100" s="23"/>
      <c r="X100" s="23"/>
      <c r="Y100" s="23"/>
      <c r="Z100" s="32"/>
      <c r="AA100" s="38"/>
      <c r="AB100" s="38"/>
      <c r="AC100" s="38"/>
      <c r="AD100" s="38"/>
      <c r="AE100" s="38"/>
      <c r="AF100" s="38"/>
      <c r="AG100" s="38"/>
      <c r="AH100" s="38"/>
      <c r="AI100" s="38"/>
      <c r="AJ100" s="38"/>
      <c r="AK100" s="38"/>
    </row>
    <row r="101">
      <c r="A101" s="99">
        <v>100.0</v>
      </c>
      <c r="B101" s="15"/>
      <c r="C101" s="15"/>
      <c r="D101" s="105">
        <v>1.0</v>
      </c>
      <c r="E101" s="102">
        <v>2.0</v>
      </c>
      <c r="F101" s="107">
        <v>290.0</v>
      </c>
      <c r="G101" s="15" t="str">
        <f t="shared" si="1"/>
        <v>02290</v>
      </c>
      <c r="H101" s="23" t="s">
        <v>216</v>
      </c>
      <c r="I101" s="23" t="s">
        <v>23</v>
      </c>
      <c r="J101" s="23" t="s">
        <v>182</v>
      </c>
      <c r="K101" s="112" t="str">
        <f t="shared" si="3"/>
        <v>Yukon-Koyukuk, AK</v>
      </c>
      <c r="L101" s="23"/>
      <c r="M101" s="23"/>
      <c r="N101" s="23"/>
      <c r="O101" s="23"/>
      <c r="P101" s="23"/>
      <c r="Q101" s="23"/>
      <c r="R101" s="23"/>
      <c r="S101" s="23"/>
      <c r="T101" s="32"/>
      <c r="U101" s="23"/>
      <c r="V101" s="23"/>
      <c r="W101" s="23"/>
      <c r="X101" s="23"/>
      <c r="Y101" s="23"/>
      <c r="Z101" s="32"/>
      <c r="AA101" s="38"/>
      <c r="AB101" s="38"/>
      <c r="AC101" s="38"/>
      <c r="AD101" s="38"/>
      <c r="AE101" s="38"/>
      <c r="AF101" s="38"/>
      <c r="AG101" s="38"/>
      <c r="AH101" s="38"/>
      <c r="AI101" s="38"/>
      <c r="AJ101" s="38"/>
      <c r="AK101" s="38"/>
    </row>
    <row r="102">
      <c r="A102" s="28">
        <v>101.0</v>
      </c>
      <c r="B102" s="29"/>
      <c r="C102" s="29" t="s">
        <v>25</v>
      </c>
      <c r="D102" s="30"/>
      <c r="E102" s="31">
        <v>4.0</v>
      </c>
      <c r="F102" s="33"/>
      <c r="G102" s="29" t="str">
        <f t="shared" si="1"/>
        <v>04000</v>
      </c>
      <c r="H102" s="37"/>
      <c r="I102" s="37" t="s">
        <v>33</v>
      </c>
      <c r="J102" s="37" t="s">
        <v>217</v>
      </c>
      <c r="K102" s="37"/>
      <c r="L102" s="70">
        <f t="array" ref="L102:Z102">Arizona!C19:Q19</f>
        <v>8839</v>
      </c>
      <c r="M102" s="37" t="s">
        <v>63</v>
      </c>
      <c r="N102" s="37" t="s">
        <v>63</v>
      </c>
      <c r="O102" s="37" t="s">
        <v>63</v>
      </c>
      <c r="P102" s="37" t="s">
        <v>63</v>
      </c>
      <c r="Q102" s="70">
        <v>2170.0</v>
      </c>
      <c r="R102" s="70">
        <v>1606.0</v>
      </c>
      <c r="S102" s="70" t="s">
        <v>63</v>
      </c>
      <c r="T102" s="69" t="s">
        <v>63</v>
      </c>
      <c r="U102" s="70" t="s">
        <v>63</v>
      </c>
      <c r="V102" s="37" t="s">
        <v>63</v>
      </c>
      <c r="W102" s="37" t="s">
        <v>63</v>
      </c>
      <c r="X102" s="37" t="s">
        <v>63</v>
      </c>
      <c r="Y102" s="53">
        <v>2507.0</v>
      </c>
      <c r="Z102" s="69" t="s">
        <v>63</v>
      </c>
      <c r="AA102" s="73"/>
      <c r="AB102" s="73"/>
      <c r="AC102" s="73"/>
      <c r="AD102" s="73"/>
      <c r="AE102" s="73"/>
      <c r="AF102" s="73"/>
      <c r="AG102" s="73"/>
      <c r="AH102" s="73"/>
      <c r="AI102" s="73"/>
      <c r="AJ102" s="73"/>
      <c r="AK102" s="73"/>
    </row>
    <row r="103">
      <c r="A103" s="28">
        <v>102.0</v>
      </c>
      <c r="B103" s="29"/>
      <c r="C103" s="29"/>
      <c r="D103" s="40">
        <v>1.0</v>
      </c>
      <c r="E103" s="31">
        <v>4.0</v>
      </c>
      <c r="F103" s="42">
        <v>1.0</v>
      </c>
      <c r="G103" s="29" t="str">
        <f t="shared" si="1"/>
        <v>04001</v>
      </c>
      <c r="H103" s="37" t="s">
        <v>220</v>
      </c>
      <c r="I103" s="37" t="s">
        <v>33</v>
      </c>
      <c r="J103" s="37" t="s">
        <v>217</v>
      </c>
      <c r="K103" s="37" t="str">
        <f t="shared" ref="K103:K117" si="4">CONCATENATE(H103,", ",J103)</f>
        <v>Apache, AZ</v>
      </c>
      <c r="L103" s="37">
        <f t="array" ref="L103:Z117">Arizona!C3:Q17</f>
        <v>26</v>
      </c>
      <c r="M103" s="37" t="s">
        <v>63</v>
      </c>
      <c r="N103" s="37" t="s">
        <v>63</v>
      </c>
      <c r="O103" s="37" t="s">
        <v>63</v>
      </c>
      <c r="P103" s="37" t="s">
        <v>63</v>
      </c>
      <c r="Q103" s="37" t="s">
        <v>63</v>
      </c>
      <c r="R103" s="37" t="s">
        <v>63</v>
      </c>
      <c r="S103" s="37" t="s">
        <v>63</v>
      </c>
      <c r="T103" s="69" t="s">
        <v>63</v>
      </c>
      <c r="U103" s="37" t="s">
        <v>63</v>
      </c>
      <c r="V103" s="37" t="s">
        <v>63</v>
      </c>
      <c r="W103" s="37" t="s">
        <v>63</v>
      </c>
      <c r="X103" s="37" t="s">
        <v>63</v>
      </c>
      <c r="Y103" s="53">
        <v>48.0</v>
      </c>
      <c r="Z103" s="69" t="s">
        <v>63</v>
      </c>
      <c r="AA103" s="73"/>
      <c r="AB103" s="73"/>
      <c r="AC103" s="73"/>
      <c r="AD103" s="73"/>
      <c r="AE103" s="73"/>
      <c r="AF103" s="73"/>
      <c r="AG103" s="73"/>
      <c r="AH103" s="73"/>
      <c r="AI103" s="73"/>
      <c r="AJ103" s="73"/>
      <c r="AK103" s="73"/>
    </row>
    <row r="104">
      <c r="A104" s="28">
        <v>103.0</v>
      </c>
      <c r="B104" s="29"/>
      <c r="C104" s="29"/>
      <c r="D104" s="40">
        <v>1.0</v>
      </c>
      <c r="E104" s="31">
        <v>4.0</v>
      </c>
      <c r="F104" s="42">
        <v>3.0</v>
      </c>
      <c r="G104" s="29" t="str">
        <f t="shared" si="1"/>
        <v>04003</v>
      </c>
      <c r="H104" s="37" t="s">
        <v>221</v>
      </c>
      <c r="I104" s="37" t="s">
        <v>33</v>
      </c>
      <c r="J104" s="37" t="s">
        <v>217</v>
      </c>
      <c r="K104" s="37" t="str">
        <f t="shared" si="4"/>
        <v>Cochise, AZ</v>
      </c>
      <c r="L104" s="37">
        <v>215.0</v>
      </c>
      <c r="M104" s="37" t="s">
        <v>63</v>
      </c>
      <c r="N104" s="37" t="s">
        <v>63</v>
      </c>
      <c r="O104" s="37" t="s">
        <v>63</v>
      </c>
      <c r="P104" s="37" t="s">
        <v>63</v>
      </c>
      <c r="Q104" s="37" t="s">
        <v>63</v>
      </c>
      <c r="R104" s="37" t="s">
        <v>63</v>
      </c>
      <c r="S104" s="37" t="s">
        <v>63</v>
      </c>
      <c r="T104" s="69" t="s">
        <v>63</v>
      </c>
      <c r="U104" s="37" t="s">
        <v>63</v>
      </c>
      <c r="V104" s="37" t="s">
        <v>63</v>
      </c>
      <c r="W104" s="37" t="s">
        <v>63</v>
      </c>
      <c r="X104" s="37" t="s">
        <v>63</v>
      </c>
      <c r="Y104" s="53">
        <v>129.0</v>
      </c>
      <c r="Z104" s="69" t="s">
        <v>63</v>
      </c>
      <c r="AA104" s="73"/>
      <c r="AB104" s="73"/>
      <c r="AC104" s="73"/>
      <c r="AD104" s="73"/>
      <c r="AE104" s="73"/>
      <c r="AF104" s="73"/>
      <c r="AG104" s="73"/>
      <c r="AH104" s="73"/>
      <c r="AI104" s="73"/>
      <c r="AJ104" s="73"/>
      <c r="AK104" s="73"/>
    </row>
    <row r="105">
      <c r="A105" s="28">
        <v>104.0</v>
      </c>
      <c r="B105" s="29"/>
      <c r="C105" s="29"/>
      <c r="D105" s="40">
        <v>1.0</v>
      </c>
      <c r="E105" s="31">
        <v>4.0</v>
      </c>
      <c r="F105" s="42">
        <v>5.0</v>
      </c>
      <c r="G105" s="29" t="str">
        <f t="shared" si="1"/>
        <v>04005</v>
      </c>
      <c r="H105" s="37" t="s">
        <v>222</v>
      </c>
      <c r="I105" s="37" t="s">
        <v>33</v>
      </c>
      <c r="J105" s="37" t="s">
        <v>217</v>
      </c>
      <c r="K105" s="37" t="str">
        <f t="shared" si="4"/>
        <v>Coconino, AZ</v>
      </c>
      <c r="L105" s="37">
        <v>120.0</v>
      </c>
      <c r="M105" s="37" t="s">
        <v>63</v>
      </c>
      <c r="N105" s="37" t="s">
        <v>63</v>
      </c>
      <c r="O105" s="37" t="s">
        <v>63</v>
      </c>
      <c r="P105" s="37" t="s">
        <v>63</v>
      </c>
      <c r="Q105" s="37" t="s">
        <v>63</v>
      </c>
      <c r="R105" s="37" t="s">
        <v>63</v>
      </c>
      <c r="S105" s="37" t="s">
        <v>63</v>
      </c>
      <c r="T105" s="69" t="s">
        <v>63</v>
      </c>
      <c r="U105" s="37" t="s">
        <v>63</v>
      </c>
      <c r="V105" s="37" t="s">
        <v>63</v>
      </c>
      <c r="W105" s="37" t="s">
        <v>63</v>
      </c>
      <c r="X105" s="37" t="s">
        <v>63</v>
      </c>
      <c r="Y105" s="53">
        <v>76.0</v>
      </c>
      <c r="Z105" s="69" t="s">
        <v>63</v>
      </c>
      <c r="AA105" s="73"/>
      <c r="AB105" s="73"/>
      <c r="AC105" s="73"/>
      <c r="AD105" s="73"/>
      <c r="AE105" s="73"/>
      <c r="AF105" s="73"/>
      <c r="AG105" s="73"/>
      <c r="AH105" s="73"/>
      <c r="AI105" s="73"/>
      <c r="AJ105" s="73"/>
      <c r="AK105" s="73"/>
    </row>
    <row r="106">
      <c r="A106" s="28">
        <v>105.0</v>
      </c>
      <c r="B106" s="29"/>
      <c r="C106" s="29"/>
      <c r="D106" s="40">
        <v>1.0</v>
      </c>
      <c r="E106" s="31">
        <v>4.0</v>
      </c>
      <c r="F106" s="42">
        <v>7.0</v>
      </c>
      <c r="G106" s="29" t="str">
        <f t="shared" si="1"/>
        <v>04007</v>
      </c>
      <c r="H106" s="37" t="s">
        <v>223</v>
      </c>
      <c r="I106" s="37" t="s">
        <v>33</v>
      </c>
      <c r="J106" s="37" t="s">
        <v>217</v>
      </c>
      <c r="K106" s="37" t="str">
        <f t="shared" si="4"/>
        <v>Gila, AZ</v>
      </c>
      <c r="L106" s="37">
        <v>99.0</v>
      </c>
      <c r="M106" s="37" t="s">
        <v>63</v>
      </c>
      <c r="N106" s="37" t="s">
        <v>63</v>
      </c>
      <c r="O106" s="37" t="s">
        <v>63</v>
      </c>
      <c r="P106" s="37" t="s">
        <v>63</v>
      </c>
      <c r="Q106" s="37" t="s">
        <v>63</v>
      </c>
      <c r="R106" s="37" t="s">
        <v>63</v>
      </c>
      <c r="S106" s="37" t="s">
        <v>63</v>
      </c>
      <c r="T106" s="69" t="s">
        <v>63</v>
      </c>
      <c r="U106" s="37" t="s">
        <v>63</v>
      </c>
      <c r="V106" s="37" t="s">
        <v>63</v>
      </c>
      <c r="W106" s="37" t="s">
        <v>63</v>
      </c>
      <c r="X106" s="37" t="s">
        <v>63</v>
      </c>
      <c r="Y106" s="53">
        <v>62.0</v>
      </c>
      <c r="Z106" s="69" t="s">
        <v>63</v>
      </c>
      <c r="AA106" s="73"/>
      <c r="AB106" s="73"/>
      <c r="AC106" s="73"/>
      <c r="AD106" s="73"/>
      <c r="AE106" s="73"/>
      <c r="AF106" s="73"/>
      <c r="AG106" s="73"/>
      <c r="AH106" s="73"/>
      <c r="AI106" s="73"/>
      <c r="AJ106" s="73"/>
      <c r="AK106" s="73"/>
    </row>
    <row r="107">
      <c r="A107" s="28">
        <v>106.0</v>
      </c>
      <c r="B107" s="29"/>
      <c r="C107" s="29"/>
      <c r="D107" s="40">
        <v>1.0</v>
      </c>
      <c r="E107" s="31">
        <v>4.0</v>
      </c>
      <c r="F107" s="42">
        <v>9.0</v>
      </c>
      <c r="G107" s="29" t="str">
        <f t="shared" si="1"/>
        <v>04009</v>
      </c>
      <c r="H107" s="37" t="s">
        <v>224</v>
      </c>
      <c r="I107" s="37" t="s">
        <v>33</v>
      </c>
      <c r="J107" s="37" t="s">
        <v>217</v>
      </c>
      <c r="K107" s="37" t="str">
        <f t="shared" si="4"/>
        <v>Graham, AZ</v>
      </c>
      <c r="L107" s="37">
        <v>43.0</v>
      </c>
      <c r="M107" s="37" t="s">
        <v>63</v>
      </c>
      <c r="N107" s="37" t="s">
        <v>63</v>
      </c>
      <c r="O107" s="37" t="s">
        <v>63</v>
      </c>
      <c r="P107" s="37" t="s">
        <v>63</v>
      </c>
      <c r="Q107" s="37" t="s">
        <v>63</v>
      </c>
      <c r="R107" s="37" t="s">
        <v>63</v>
      </c>
      <c r="S107" s="37" t="s">
        <v>63</v>
      </c>
      <c r="T107" s="69" t="s">
        <v>63</v>
      </c>
      <c r="U107" s="37" t="s">
        <v>63</v>
      </c>
      <c r="V107" s="37" t="s">
        <v>63</v>
      </c>
      <c r="W107" s="37" t="s">
        <v>63</v>
      </c>
      <c r="X107" s="37" t="s">
        <v>63</v>
      </c>
      <c r="Y107" s="53">
        <v>24.0</v>
      </c>
      <c r="Z107" s="69" t="s">
        <v>63</v>
      </c>
      <c r="AA107" s="73"/>
      <c r="AB107" s="73"/>
      <c r="AC107" s="73"/>
      <c r="AD107" s="73"/>
      <c r="AE107" s="73"/>
      <c r="AF107" s="73"/>
      <c r="AG107" s="73"/>
      <c r="AH107" s="73"/>
      <c r="AI107" s="73"/>
      <c r="AJ107" s="73"/>
      <c r="AK107" s="73"/>
    </row>
    <row r="108">
      <c r="A108" s="28">
        <v>107.0</v>
      </c>
      <c r="B108" s="29"/>
      <c r="C108" s="29"/>
      <c r="D108" s="40">
        <v>1.0</v>
      </c>
      <c r="E108" s="31">
        <v>4.0</v>
      </c>
      <c r="F108" s="42">
        <v>11.0</v>
      </c>
      <c r="G108" s="29" t="str">
        <f t="shared" si="1"/>
        <v>04011</v>
      </c>
      <c r="H108" s="37" t="s">
        <v>226</v>
      </c>
      <c r="I108" s="37" t="s">
        <v>33</v>
      </c>
      <c r="J108" s="37" t="s">
        <v>217</v>
      </c>
      <c r="K108" s="37" t="str">
        <f t="shared" si="4"/>
        <v>Greenlee, AZ</v>
      </c>
      <c r="L108" s="37">
        <v>7.0</v>
      </c>
      <c r="M108" s="37" t="s">
        <v>63</v>
      </c>
      <c r="N108" s="37" t="s">
        <v>63</v>
      </c>
      <c r="O108" s="37" t="s">
        <v>63</v>
      </c>
      <c r="P108" s="37" t="s">
        <v>63</v>
      </c>
      <c r="Q108" s="37" t="s">
        <v>63</v>
      </c>
      <c r="R108" s="37" t="s">
        <v>63</v>
      </c>
      <c r="S108" s="37" t="s">
        <v>63</v>
      </c>
      <c r="T108" s="69" t="s">
        <v>63</v>
      </c>
      <c r="U108" s="37" t="s">
        <v>63</v>
      </c>
      <c r="V108" s="37" t="s">
        <v>63</v>
      </c>
      <c r="W108" s="37" t="s">
        <v>63</v>
      </c>
      <c r="X108" s="37" t="s">
        <v>63</v>
      </c>
      <c r="Y108" s="53">
        <v>7.0</v>
      </c>
      <c r="Z108" s="69" t="s">
        <v>63</v>
      </c>
      <c r="AA108" s="73"/>
      <c r="AB108" s="73"/>
      <c r="AC108" s="73"/>
      <c r="AD108" s="73"/>
      <c r="AE108" s="73"/>
      <c r="AF108" s="73"/>
      <c r="AG108" s="73"/>
      <c r="AH108" s="73"/>
      <c r="AI108" s="73"/>
      <c r="AJ108" s="73"/>
      <c r="AK108" s="73"/>
    </row>
    <row r="109">
      <c r="A109" s="28">
        <v>108.0</v>
      </c>
      <c r="B109" s="29"/>
      <c r="C109" s="29"/>
      <c r="D109" s="40">
        <v>1.0</v>
      </c>
      <c r="E109" s="31">
        <v>4.0</v>
      </c>
      <c r="F109" s="42">
        <v>12.0</v>
      </c>
      <c r="G109" s="29" t="str">
        <f t="shared" si="1"/>
        <v>04012</v>
      </c>
      <c r="H109" s="37" t="s">
        <v>227</v>
      </c>
      <c r="I109" s="37" t="s">
        <v>33</v>
      </c>
      <c r="J109" s="37" t="s">
        <v>217</v>
      </c>
      <c r="K109" s="37" t="str">
        <f t="shared" si="4"/>
        <v>La Paz, AZ</v>
      </c>
      <c r="L109" s="37">
        <v>18.0</v>
      </c>
      <c r="M109" s="37" t="s">
        <v>63</v>
      </c>
      <c r="N109" s="37" t="s">
        <v>63</v>
      </c>
      <c r="O109" s="37" t="s">
        <v>63</v>
      </c>
      <c r="P109" s="37" t="s">
        <v>63</v>
      </c>
      <c r="Q109" s="37" t="s">
        <v>63</v>
      </c>
      <c r="R109" s="37" t="s">
        <v>63</v>
      </c>
      <c r="S109" s="37" t="s">
        <v>63</v>
      </c>
      <c r="T109" s="69" t="s">
        <v>63</v>
      </c>
      <c r="U109" s="37" t="s">
        <v>63</v>
      </c>
      <c r="V109" s="37" t="s">
        <v>63</v>
      </c>
      <c r="W109" s="37" t="s">
        <v>63</v>
      </c>
      <c r="X109" s="37" t="s">
        <v>63</v>
      </c>
      <c r="Y109" s="53">
        <v>25.0</v>
      </c>
      <c r="Z109" s="69" t="s">
        <v>63</v>
      </c>
      <c r="AA109" s="73"/>
      <c r="AB109" s="73"/>
      <c r="AC109" s="73"/>
      <c r="AD109" s="73"/>
      <c r="AE109" s="73"/>
      <c r="AF109" s="73"/>
      <c r="AG109" s="73"/>
      <c r="AH109" s="73"/>
      <c r="AI109" s="73"/>
      <c r="AJ109" s="73"/>
      <c r="AK109" s="73"/>
    </row>
    <row r="110">
      <c r="A110" s="28">
        <v>109.0</v>
      </c>
      <c r="B110" s="29"/>
      <c r="C110" s="29"/>
      <c r="D110" s="40">
        <v>1.0</v>
      </c>
      <c r="E110" s="31">
        <v>4.0</v>
      </c>
      <c r="F110" s="42">
        <v>13.0</v>
      </c>
      <c r="G110" s="29" t="str">
        <f t="shared" si="1"/>
        <v>04013</v>
      </c>
      <c r="H110" s="37" t="s">
        <v>225</v>
      </c>
      <c r="I110" s="37" t="s">
        <v>33</v>
      </c>
      <c r="J110" s="37" t="s">
        <v>217</v>
      </c>
      <c r="K110" s="37" t="str">
        <f t="shared" si="4"/>
        <v>Maricopa, AZ</v>
      </c>
      <c r="L110" s="53">
        <v>5184.0</v>
      </c>
      <c r="M110" s="37" t="s">
        <v>63</v>
      </c>
      <c r="N110" s="37" t="s">
        <v>63</v>
      </c>
      <c r="O110" s="37" t="s">
        <v>63</v>
      </c>
      <c r="P110" s="37" t="s">
        <v>63</v>
      </c>
      <c r="Q110" s="37" t="s">
        <v>63</v>
      </c>
      <c r="R110" s="37" t="s">
        <v>63</v>
      </c>
      <c r="S110" s="37" t="s">
        <v>63</v>
      </c>
      <c r="T110" s="69" t="s">
        <v>63</v>
      </c>
      <c r="U110" s="37" t="s">
        <v>63</v>
      </c>
      <c r="V110" s="37" t="s">
        <v>63</v>
      </c>
      <c r="W110" s="37" t="s">
        <v>63</v>
      </c>
      <c r="X110" s="37" t="s">
        <v>63</v>
      </c>
      <c r="Y110" s="53">
        <v>1166.0</v>
      </c>
      <c r="Z110" s="69" t="s">
        <v>63</v>
      </c>
      <c r="AA110" s="73"/>
      <c r="AB110" s="73"/>
      <c r="AC110" s="73"/>
      <c r="AD110" s="73"/>
      <c r="AE110" s="73"/>
      <c r="AF110" s="73"/>
      <c r="AG110" s="73"/>
      <c r="AH110" s="73"/>
      <c r="AI110" s="73"/>
      <c r="AJ110" s="73"/>
      <c r="AK110" s="73"/>
    </row>
    <row r="111">
      <c r="A111" s="28">
        <v>110.0</v>
      </c>
      <c r="B111" s="29"/>
      <c r="C111" s="29"/>
      <c r="D111" s="40">
        <v>1.0</v>
      </c>
      <c r="E111" s="31">
        <v>4.0</v>
      </c>
      <c r="F111" s="42">
        <v>15.0</v>
      </c>
      <c r="G111" s="29" t="str">
        <f t="shared" si="1"/>
        <v>04015</v>
      </c>
      <c r="H111" s="37" t="s">
        <v>228</v>
      </c>
      <c r="I111" s="37" t="s">
        <v>33</v>
      </c>
      <c r="J111" s="37" t="s">
        <v>217</v>
      </c>
      <c r="K111" s="37" t="str">
        <f t="shared" si="4"/>
        <v>Mohave, AZ</v>
      </c>
      <c r="L111" s="53">
        <v>305.0</v>
      </c>
      <c r="M111" s="37" t="s">
        <v>63</v>
      </c>
      <c r="N111" s="37" t="s">
        <v>63</v>
      </c>
      <c r="O111" s="37" t="s">
        <v>63</v>
      </c>
      <c r="P111" s="37" t="s">
        <v>63</v>
      </c>
      <c r="Q111" s="37" t="s">
        <v>63</v>
      </c>
      <c r="R111" s="37" t="s">
        <v>63</v>
      </c>
      <c r="S111" s="37" t="s">
        <v>63</v>
      </c>
      <c r="T111" s="69" t="s">
        <v>63</v>
      </c>
      <c r="U111" s="37" t="s">
        <v>63</v>
      </c>
      <c r="V111" s="37" t="s">
        <v>63</v>
      </c>
      <c r="W111" s="37" t="s">
        <v>63</v>
      </c>
      <c r="X111" s="37" t="s">
        <v>63</v>
      </c>
      <c r="Y111" s="53">
        <v>104.0</v>
      </c>
      <c r="Z111" s="69" t="s">
        <v>63</v>
      </c>
      <c r="AA111" s="73"/>
      <c r="AB111" s="73"/>
      <c r="AC111" s="73"/>
      <c r="AD111" s="73"/>
      <c r="AE111" s="73"/>
      <c r="AF111" s="73"/>
      <c r="AG111" s="73"/>
      <c r="AH111" s="73"/>
      <c r="AI111" s="73"/>
      <c r="AJ111" s="73"/>
      <c r="AK111" s="73"/>
    </row>
    <row r="112">
      <c r="A112" s="28">
        <v>111.0</v>
      </c>
      <c r="B112" s="29"/>
      <c r="C112" s="29"/>
      <c r="D112" s="40">
        <v>1.0</v>
      </c>
      <c r="E112" s="31">
        <v>4.0</v>
      </c>
      <c r="F112" s="42">
        <v>17.0</v>
      </c>
      <c r="G112" s="29" t="str">
        <f t="shared" si="1"/>
        <v>04017</v>
      </c>
      <c r="H112" s="37" t="s">
        <v>229</v>
      </c>
      <c r="I112" s="37" t="s">
        <v>33</v>
      </c>
      <c r="J112" s="37" t="s">
        <v>217</v>
      </c>
      <c r="K112" s="37" t="str">
        <f t="shared" si="4"/>
        <v>Navajo, AZ</v>
      </c>
      <c r="L112" s="53">
        <v>101.0</v>
      </c>
      <c r="M112" s="37" t="s">
        <v>63</v>
      </c>
      <c r="N112" s="37" t="s">
        <v>63</v>
      </c>
      <c r="O112" s="37" t="s">
        <v>63</v>
      </c>
      <c r="P112" s="37" t="s">
        <v>63</v>
      </c>
      <c r="Q112" s="37" t="s">
        <v>63</v>
      </c>
      <c r="R112" s="37" t="s">
        <v>63</v>
      </c>
      <c r="S112" s="37" t="s">
        <v>63</v>
      </c>
      <c r="T112" s="69" t="s">
        <v>63</v>
      </c>
      <c r="U112" s="37" t="s">
        <v>63</v>
      </c>
      <c r="V112" s="37" t="s">
        <v>63</v>
      </c>
      <c r="W112" s="37" t="s">
        <v>63</v>
      </c>
      <c r="X112" s="37" t="s">
        <v>63</v>
      </c>
      <c r="Y112" s="53">
        <v>81.0</v>
      </c>
      <c r="Z112" s="69" t="s">
        <v>63</v>
      </c>
      <c r="AA112" s="73"/>
      <c r="AB112" s="73"/>
      <c r="AC112" s="73"/>
      <c r="AD112" s="73"/>
      <c r="AE112" s="73"/>
      <c r="AF112" s="73"/>
      <c r="AG112" s="73"/>
      <c r="AH112" s="73"/>
      <c r="AI112" s="73"/>
      <c r="AJ112" s="73"/>
      <c r="AK112" s="73"/>
    </row>
    <row r="113">
      <c r="A113" s="28">
        <v>112.0</v>
      </c>
      <c r="B113" s="29"/>
      <c r="C113" s="29"/>
      <c r="D113" s="40">
        <v>1.0</v>
      </c>
      <c r="E113" s="31">
        <v>4.0</v>
      </c>
      <c r="F113" s="42">
        <v>19.0</v>
      </c>
      <c r="G113" s="29" t="str">
        <f t="shared" si="1"/>
        <v>04019</v>
      </c>
      <c r="H113" s="37" t="s">
        <v>230</v>
      </c>
      <c r="I113" s="37" t="s">
        <v>33</v>
      </c>
      <c r="J113" s="37" t="s">
        <v>217</v>
      </c>
      <c r="K113" s="37" t="str">
        <f t="shared" si="4"/>
        <v>Pima, AZ</v>
      </c>
      <c r="L113" s="53">
        <v>1744.0</v>
      </c>
      <c r="M113" s="37" t="s">
        <v>63</v>
      </c>
      <c r="N113" s="37" t="s">
        <v>63</v>
      </c>
      <c r="O113" s="37" t="s">
        <v>63</v>
      </c>
      <c r="P113" s="37" t="s">
        <v>63</v>
      </c>
      <c r="Q113" s="37" t="s">
        <v>63</v>
      </c>
      <c r="R113" s="37" t="s">
        <v>63</v>
      </c>
      <c r="S113" s="37" t="s">
        <v>63</v>
      </c>
      <c r="T113" s="69" t="s">
        <v>63</v>
      </c>
      <c r="U113" s="37" t="s">
        <v>63</v>
      </c>
      <c r="V113" s="37" t="s">
        <v>63</v>
      </c>
      <c r="W113" s="37" t="s">
        <v>63</v>
      </c>
      <c r="X113" s="37" t="s">
        <v>63</v>
      </c>
      <c r="Y113" s="53">
        <v>404.0</v>
      </c>
      <c r="Z113" s="69" t="s">
        <v>63</v>
      </c>
      <c r="AA113" s="73"/>
      <c r="AB113" s="73"/>
      <c r="AC113" s="73"/>
      <c r="AD113" s="73"/>
      <c r="AE113" s="73"/>
      <c r="AF113" s="73"/>
      <c r="AG113" s="73"/>
      <c r="AH113" s="73"/>
      <c r="AI113" s="73"/>
      <c r="AJ113" s="73"/>
      <c r="AK113" s="73"/>
    </row>
    <row r="114">
      <c r="A114" s="28">
        <v>113.0</v>
      </c>
      <c r="B114" s="29"/>
      <c r="C114" s="29"/>
      <c r="D114" s="40">
        <v>1.0</v>
      </c>
      <c r="E114" s="31">
        <v>4.0</v>
      </c>
      <c r="F114" s="42">
        <v>21.0</v>
      </c>
      <c r="G114" s="29" t="str">
        <f t="shared" si="1"/>
        <v>04021</v>
      </c>
      <c r="H114" s="37" t="s">
        <v>231</v>
      </c>
      <c r="I114" s="37" t="s">
        <v>33</v>
      </c>
      <c r="J114" s="37" t="s">
        <v>217</v>
      </c>
      <c r="K114" s="37" t="str">
        <f t="shared" si="4"/>
        <v>Pinal, AZ</v>
      </c>
      <c r="L114" s="53">
        <v>501.0</v>
      </c>
      <c r="M114" s="37" t="s">
        <v>63</v>
      </c>
      <c r="N114" s="37" t="s">
        <v>63</v>
      </c>
      <c r="O114" s="37" t="s">
        <v>63</v>
      </c>
      <c r="P114" s="37" t="s">
        <v>63</v>
      </c>
      <c r="Q114" s="37" t="s">
        <v>63</v>
      </c>
      <c r="R114" s="37" t="s">
        <v>63</v>
      </c>
      <c r="S114" s="37" t="s">
        <v>63</v>
      </c>
      <c r="T114" s="69" t="s">
        <v>63</v>
      </c>
      <c r="U114" s="37" t="s">
        <v>63</v>
      </c>
      <c r="V114" s="37" t="s">
        <v>63</v>
      </c>
      <c r="W114" s="37" t="s">
        <v>63</v>
      </c>
      <c r="X114" s="37" t="s">
        <v>63</v>
      </c>
      <c r="Y114" s="53">
        <v>131.0</v>
      </c>
      <c r="Z114" s="69" t="s">
        <v>63</v>
      </c>
      <c r="AA114" s="73"/>
      <c r="AB114" s="73"/>
      <c r="AC114" s="73"/>
      <c r="AD114" s="73"/>
      <c r="AE114" s="73"/>
      <c r="AF114" s="73"/>
      <c r="AG114" s="73"/>
      <c r="AH114" s="73"/>
      <c r="AI114" s="73"/>
      <c r="AJ114" s="73"/>
      <c r="AK114" s="73"/>
    </row>
    <row r="115">
      <c r="A115" s="28">
        <v>114.0</v>
      </c>
      <c r="B115" s="29"/>
      <c r="C115" s="29"/>
      <c r="D115" s="40">
        <v>1.0</v>
      </c>
      <c r="E115" s="31">
        <v>4.0</v>
      </c>
      <c r="F115" s="42">
        <v>23.0</v>
      </c>
      <c r="G115" s="29" t="str">
        <f t="shared" si="1"/>
        <v>04023</v>
      </c>
      <c r="H115" s="37" t="s">
        <v>232</v>
      </c>
      <c r="I115" s="37" t="s">
        <v>33</v>
      </c>
      <c r="J115" s="37" t="s">
        <v>217</v>
      </c>
      <c r="K115" s="37" t="str">
        <f t="shared" si="4"/>
        <v>Santa Cruz, AZ</v>
      </c>
      <c r="L115" s="53">
        <v>73.0</v>
      </c>
      <c r="M115" s="37" t="s">
        <v>63</v>
      </c>
      <c r="N115" s="37" t="s">
        <v>63</v>
      </c>
      <c r="O115" s="37" t="s">
        <v>63</v>
      </c>
      <c r="P115" s="37" t="s">
        <v>63</v>
      </c>
      <c r="Q115" s="37" t="s">
        <v>63</v>
      </c>
      <c r="R115" s="37" t="s">
        <v>63</v>
      </c>
      <c r="S115" s="37" t="s">
        <v>63</v>
      </c>
      <c r="T115" s="69" t="s">
        <v>63</v>
      </c>
      <c r="U115" s="37" t="s">
        <v>63</v>
      </c>
      <c r="V115" s="37" t="s">
        <v>63</v>
      </c>
      <c r="W115" s="37" t="s">
        <v>63</v>
      </c>
      <c r="X115" s="37" t="s">
        <v>63</v>
      </c>
      <c r="Y115" s="53">
        <v>19.0</v>
      </c>
      <c r="Z115" s="69" t="s">
        <v>63</v>
      </c>
      <c r="AA115" s="73"/>
      <c r="AB115" s="73"/>
      <c r="AC115" s="73"/>
      <c r="AD115" s="73"/>
      <c r="AE115" s="73"/>
      <c r="AF115" s="73"/>
      <c r="AG115" s="73"/>
      <c r="AH115" s="73"/>
      <c r="AI115" s="73"/>
      <c r="AJ115" s="73"/>
      <c r="AK115" s="73"/>
    </row>
    <row r="116">
      <c r="A116" s="28">
        <v>115.0</v>
      </c>
      <c r="B116" s="29"/>
      <c r="C116" s="29"/>
      <c r="D116" s="40">
        <v>1.0</v>
      </c>
      <c r="E116" s="31">
        <v>4.0</v>
      </c>
      <c r="F116" s="42">
        <v>25.0</v>
      </c>
      <c r="G116" s="29" t="str">
        <f t="shared" si="1"/>
        <v>04025</v>
      </c>
      <c r="H116" s="37" t="s">
        <v>234</v>
      </c>
      <c r="I116" s="37" t="s">
        <v>33</v>
      </c>
      <c r="J116" s="37" t="s">
        <v>217</v>
      </c>
      <c r="K116" s="37" t="str">
        <f t="shared" si="4"/>
        <v>Yavapai, AZ</v>
      </c>
      <c r="L116" s="37">
        <v>231.0</v>
      </c>
      <c r="M116" s="37" t="s">
        <v>63</v>
      </c>
      <c r="N116" s="37" t="s">
        <v>63</v>
      </c>
      <c r="O116" s="37" t="s">
        <v>63</v>
      </c>
      <c r="P116" s="37" t="s">
        <v>63</v>
      </c>
      <c r="Q116" s="37" t="s">
        <v>63</v>
      </c>
      <c r="R116" s="37" t="s">
        <v>63</v>
      </c>
      <c r="S116" s="37" t="s">
        <v>63</v>
      </c>
      <c r="T116" s="69" t="s">
        <v>63</v>
      </c>
      <c r="U116" s="37" t="s">
        <v>63</v>
      </c>
      <c r="V116" s="37" t="s">
        <v>63</v>
      </c>
      <c r="W116" s="37" t="s">
        <v>63</v>
      </c>
      <c r="X116" s="37" t="s">
        <v>63</v>
      </c>
      <c r="Y116" s="53">
        <v>161.0</v>
      </c>
      <c r="Z116" s="69" t="s">
        <v>63</v>
      </c>
      <c r="AA116" s="73"/>
      <c r="AB116" s="73"/>
      <c r="AC116" s="73"/>
      <c r="AD116" s="73"/>
      <c r="AE116" s="73"/>
      <c r="AF116" s="73"/>
      <c r="AG116" s="73"/>
      <c r="AH116" s="73"/>
      <c r="AI116" s="73"/>
      <c r="AJ116" s="73"/>
      <c r="AK116" s="73"/>
    </row>
    <row r="117">
      <c r="A117" s="28">
        <v>116.0</v>
      </c>
      <c r="B117" s="29"/>
      <c r="C117" s="29"/>
      <c r="D117" s="40">
        <v>1.0</v>
      </c>
      <c r="E117" s="31">
        <v>4.0</v>
      </c>
      <c r="F117" s="42">
        <v>27.0</v>
      </c>
      <c r="G117" s="29" t="str">
        <f t="shared" si="1"/>
        <v>04027</v>
      </c>
      <c r="H117" s="37" t="s">
        <v>236</v>
      </c>
      <c r="I117" s="37" t="s">
        <v>33</v>
      </c>
      <c r="J117" s="37" t="s">
        <v>217</v>
      </c>
      <c r="K117" s="37" t="str">
        <f t="shared" si="4"/>
        <v>Yuma, AZ</v>
      </c>
      <c r="L117" s="37">
        <v>169.0</v>
      </c>
      <c r="M117" s="37" t="s">
        <v>63</v>
      </c>
      <c r="N117" s="37" t="s">
        <v>63</v>
      </c>
      <c r="O117" s="37" t="s">
        <v>63</v>
      </c>
      <c r="P117" s="37" t="s">
        <v>63</v>
      </c>
      <c r="Q117" s="37" t="s">
        <v>63</v>
      </c>
      <c r="R117" s="37" t="s">
        <v>63</v>
      </c>
      <c r="S117" s="37" t="s">
        <v>63</v>
      </c>
      <c r="T117" s="69" t="s">
        <v>63</v>
      </c>
      <c r="U117" s="37" t="s">
        <v>63</v>
      </c>
      <c r="V117" s="37" t="s">
        <v>63</v>
      </c>
      <c r="W117" s="37" t="s">
        <v>63</v>
      </c>
      <c r="X117" s="37" t="s">
        <v>63</v>
      </c>
      <c r="Y117" s="53">
        <v>70.0</v>
      </c>
      <c r="Z117" s="69" t="s">
        <v>63</v>
      </c>
      <c r="AA117" s="73"/>
      <c r="AB117" s="73"/>
      <c r="AC117" s="73"/>
      <c r="AD117" s="73"/>
      <c r="AE117" s="73"/>
      <c r="AF117" s="73"/>
      <c r="AG117" s="73"/>
      <c r="AH117" s="73"/>
      <c r="AI117" s="73"/>
      <c r="AJ117" s="73"/>
      <c r="AK117" s="73"/>
    </row>
    <row r="118">
      <c r="A118" s="99">
        <v>117.0</v>
      </c>
      <c r="B118" s="15"/>
      <c r="C118" s="14" t="s">
        <v>25</v>
      </c>
      <c r="D118" s="16"/>
      <c r="E118" s="102">
        <v>5.0</v>
      </c>
      <c r="F118" s="107">
        <v>0.0</v>
      </c>
      <c r="G118" s="15" t="str">
        <f t="shared" si="1"/>
        <v>05000</v>
      </c>
      <c r="H118" s="23"/>
      <c r="I118" s="23" t="s">
        <v>34</v>
      </c>
      <c r="J118" s="23" t="s">
        <v>237</v>
      </c>
      <c r="K118" s="23"/>
      <c r="L118" s="123">
        <f t="array" ref="L118:Z118">Arkansas!C79:Q79</f>
        <v>3604</v>
      </c>
      <c r="M118" s="123">
        <v>1.9804630969609263</v>
      </c>
      <c r="N118" s="127" t="s">
        <v>63</v>
      </c>
      <c r="O118" s="127" t="s">
        <v>63</v>
      </c>
      <c r="P118" s="127" t="s">
        <v>63</v>
      </c>
      <c r="Q118" s="123">
        <v>1835.0</v>
      </c>
      <c r="R118" s="123">
        <v>299.0</v>
      </c>
      <c r="S118" s="127" t="s">
        <v>63</v>
      </c>
      <c r="T118" s="32" t="s">
        <v>63</v>
      </c>
      <c r="U118" s="123">
        <v>1436.0</v>
      </c>
      <c r="V118" s="127" t="s">
        <v>63</v>
      </c>
      <c r="W118" s="127" t="s">
        <v>63</v>
      </c>
      <c r="X118" s="127" t="s">
        <v>63</v>
      </c>
      <c r="Y118" s="35">
        <v>3846.0</v>
      </c>
      <c r="Z118" s="32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</row>
    <row r="119">
      <c r="A119" s="99">
        <v>118.0</v>
      </c>
      <c r="B119" s="15"/>
      <c r="C119" s="15"/>
      <c r="D119" s="105">
        <v>1.0</v>
      </c>
      <c r="E119" s="102">
        <v>5.0</v>
      </c>
      <c r="F119" s="107">
        <v>1.0</v>
      </c>
      <c r="G119" s="15" t="str">
        <f t="shared" si="1"/>
        <v>05001</v>
      </c>
      <c r="H119" s="23" t="s">
        <v>34</v>
      </c>
      <c r="I119" s="23" t="s">
        <v>34</v>
      </c>
      <c r="J119" s="23" t="s">
        <v>237</v>
      </c>
      <c r="K119" s="23" t="str">
        <f t="shared" ref="K119:K193" si="5">CONCATENATE(H119,", ",J119)</f>
        <v>Arkansas, AR</v>
      </c>
      <c r="L119" s="128">
        <f t="array" ref="L119:Z193">Arkansas!C3:Q77</f>
        <v>15</v>
      </c>
      <c r="M119" s="32">
        <v>1.8</v>
      </c>
      <c r="N119" s="127" t="s">
        <v>63</v>
      </c>
      <c r="O119" s="35">
        <v>6.0</v>
      </c>
      <c r="P119" s="35" t="s">
        <v>63</v>
      </c>
      <c r="Q119" s="23">
        <v>5.0</v>
      </c>
      <c r="R119" s="23">
        <v>3.0</v>
      </c>
      <c r="S119" s="127" t="s">
        <v>63</v>
      </c>
      <c r="T119" s="129" t="s">
        <v>63</v>
      </c>
      <c r="U119" s="123">
        <v>9.0</v>
      </c>
      <c r="V119" s="130" t="s">
        <v>63</v>
      </c>
      <c r="W119" s="130" t="s">
        <v>63</v>
      </c>
      <c r="X119" s="130" t="s">
        <v>63</v>
      </c>
      <c r="Y119" s="131">
        <v>33.0</v>
      </c>
      <c r="Z119" s="129" t="s">
        <v>63</v>
      </c>
      <c r="AA119" s="132"/>
      <c r="AB119" s="132"/>
      <c r="AC119" s="132"/>
      <c r="AD119" s="132"/>
      <c r="AE119" s="132"/>
      <c r="AF119" s="132"/>
      <c r="AG119" s="132"/>
      <c r="AH119" s="132"/>
      <c r="AI119" s="132"/>
      <c r="AJ119" s="132"/>
      <c r="AK119" s="132"/>
    </row>
    <row r="120">
      <c r="A120" s="99">
        <v>119.0</v>
      </c>
      <c r="B120" s="15"/>
      <c r="C120" s="15"/>
      <c r="D120" s="105">
        <v>1.0</v>
      </c>
      <c r="E120" s="102">
        <v>5.0</v>
      </c>
      <c r="F120" s="107">
        <v>3.0</v>
      </c>
      <c r="G120" s="15" t="str">
        <f t="shared" si="1"/>
        <v>05003</v>
      </c>
      <c r="H120" s="23" t="s">
        <v>240</v>
      </c>
      <c r="I120" s="23" t="s">
        <v>34</v>
      </c>
      <c r="J120" s="23" t="s">
        <v>237</v>
      </c>
      <c r="K120" s="23" t="str">
        <f t="shared" si="5"/>
        <v>Ashley, AR</v>
      </c>
      <c r="L120" s="23">
        <v>10.0</v>
      </c>
      <c r="M120" s="32">
        <v>1.7777777777777777</v>
      </c>
      <c r="N120" s="127" t="s">
        <v>63</v>
      </c>
      <c r="O120" s="35">
        <v>7.0</v>
      </c>
      <c r="P120" s="35" t="s">
        <v>63</v>
      </c>
      <c r="Q120" s="23">
        <v>15.0</v>
      </c>
      <c r="R120" s="23">
        <v>0.0</v>
      </c>
      <c r="S120" s="127" t="s">
        <v>63</v>
      </c>
      <c r="T120" s="32" t="s">
        <v>63</v>
      </c>
      <c r="U120" s="123">
        <v>4.0</v>
      </c>
      <c r="V120" s="127" t="s">
        <v>63</v>
      </c>
      <c r="W120" s="127" t="s">
        <v>63</v>
      </c>
      <c r="X120" s="127" t="s">
        <v>63</v>
      </c>
      <c r="Y120" s="35">
        <v>52.0</v>
      </c>
      <c r="Z120" s="32"/>
      <c r="AA120" s="38"/>
      <c r="AB120" s="38"/>
      <c r="AC120" s="38"/>
      <c r="AD120" s="38"/>
      <c r="AE120" s="38"/>
      <c r="AF120" s="38"/>
      <c r="AG120" s="38"/>
      <c r="AH120" s="38"/>
      <c r="AI120" s="38"/>
      <c r="AJ120" s="38"/>
      <c r="AK120" s="38"/>
    </row>
    <row r="121">
      <c r="A121" s="99">
        <v>120.0</v>
      </c>
      <c r="B121" s="15"/>
      <c r="C121" s="15"/>
      <c r="D121" s="105">
        <v>1.0</v>
      </c>
      <c r="E121" s="102">
        <v>5.0</v>
      </c>
      <c r="F121" s="107">
        <v>5.0</v>
      </c>
      <c r="G121" s="15" t="str">
        <f t="shared" si="1"/>
        <v>05005</v>
      </c>
      <c r="H121" s="23" t="s">
        <v>242</v>
      </c>
      <c r="I121" s="23" t="s">
        <v>34</v>
      </c>
      <c r="J121" s="23" t="s">
        <v>237</v>
      </c>
      <c r="K121" s="23" t="str">
        <f t="shared" si="5"/>
        <v>Baxter, AR</v>
      </c>
      <c r="L121" s="23">
        <v>29.0</v>
      </c>
      <c r="M121" s="32">
        <v>1.619047619047619</v>
      </c>
      <c r="N121" s="127" t="s">
        <v>63</v>
      </c>
      <c r="O121" s="35">
        <v>5.0</v>
      </c>
      <c r="P121" s="35" t="s">
        <v>63</v>
      </c>
      <c r="Q121" s="23">
        <v>27.0</v>
      </c>
      <c r="R121" s="23">
        <v>4.0</v>
      </c>
      <c r="S121" s="127" t="s">
        <v>63</v>
      </c>
      <c r="T121" s="32" t="s">
        <v>63</v>
      </c>
      <c r="U121" s="123">
        <v>13.0</v>
      </c>
      <c r="V121" s="127" t="s">
        <v>63</v>
      </c>
      <c r="W121" s="127" t="s">
        <v>63</v>
      </c>
      <c r="X121" s="127" t="s">
        <v>63</v>
      </c>
      <c r="Y121" s="35">
        <v>52.0</v>
      </c>
      <c r="Z121" s="32" t="s">
        <v>63</v>
      </c>
      <c r="AA121" s="38"/>
      <c r="AB121" s="38"/>
      <c r="AC121" s="38"/>
      <c r="AD121" s="38"/>
      <c r="AE121" s="38"/>
      <c r="AF121" s="38"/>
      <c r="AG121" s="38"/>
      <c r="AH121" s="38"/>
      <c r="AI121" s="38"/>
      <c r="AJ121" s="38"/>
      <c r="AK121" s="38"/>
    </row>
    <row r="122">
      <c r="A122" s="99">
        <v>121.0</v>
      </c>
      <c r="B122" s="15"/>
      <c r="C122" s="15"/>
      <c r="D122" s="105">
        <v>1.0</v>
      </c>
      <c r="E122" s="102">
        <v>5.0</v>
      </c>
      <c r="F122" s="107">
        <v>7.0</v>
      </c>
      <c r="G122" s="15" t="str">
        <f t="shared" si="1"/>
        <v>05007</v>
      </c>
      <c r="H122" s="23" t="s">
        <v>243</v>
      </c>
      <c r="I122" s="23" t="s">
        <v>34</v>
      </c>
      <c r="J122" s="23" t="s">
        <v>237</v>
      </c>
      <c r="K122" s="23" t="str">
        <f t="shared" si="5"/>
        <v>Benton, AR</v>
      </c>
      <c r="L122" s="23">
        <v>129.0</v>
      </c>
      <c r="M122" s="32">
        <v>1.9659090909090908</v>
      </c>
      <c r="N122" s="127" t="s">
        <v>63</v>
      </c>
      <c r="O122" s="35">
        <v>33.0</v>
      </c>
      <c r="P122" s="35" t="s">
        <v>63</v>
      </c>
      <c r="Q122" s="23">
        <v>113.0</v>
      </c>
      <c r="R122" s="23">
        <v>7.0</v>
      </c>
      <c r="S122" s="127" t="s">
        <v>63</v>
      </c>
      <c r="T122" s="32" t="s">
        <v>63</v>
      </c>
      <c r="U122" s="123">
        <v>65.0</v>
      </c>
      <c r="V122" s="127" t="s">
        <v>63</v>
      </c>
      <c r="W122" s="127" t="s">
        <v>63</v>
      </c>
      <c r="X122" s="127" t="s">
        <v>63</v>
      </c>
      <c r="Y122" s="35">
        <v>197.0</v>
      </c>
      <c r="Z122" s="32" t="s">
        <v>63</v>
      </c>
      <c r="AA122" s="38"/>
      <c r="AB122" s="38"/>
      <c r="AC122" s="38"/>
      <c r="AD122" s="38"/>
      <c r="AE122" s="38"/>
      <c r="AF122" s="38"/>
      <c r="AG122" s="38"/>
      <c r="AH122" s="38"/>
      <c r="AI122" s="38"/>
      <c r="AJ122" s="38"/>
      <c r="AK122" s="38"/>
    </row>
    <row r="123">
      <c r="A123" s="99">
        <v>122.0</v>
      </c>
      <c r="B123" s="15"/>
      <c r="C123" s="15"/>
      <c r="D123" s="105">
        <v>1.0</v>
      </c>
      <c r="E123" s="102">
        <v>5.0</v>
      </c>
      <c r="F123" s="107">
        <v>9.0</v>
      </c>
      <c r="G123" s="15" t="str">
        <f t="shared" si="1"/>
        <v>05009</v>
      </c>
      <c r="H123" s="23" t="s">
        <v>246</v>
      </c>
      <c r="I123" s="23" t="s">
        <v>34</v>
      </c>
      <c r="J123" s="23" t="s">
        <v>237</v>
      </c>
      <c r="K123" s="23" t="str">
        <f t="shared" si="5"/>
        <v>Boone, AR</v>
      </c>
      <c r="L123" s="23">
        <v>40.0</v>
      </c>
      <c r="M123" s="32">
        <v>2.238095238095238</v>
      </c>
      <c r="N123" s="127" t="s">
        <v>63</v>
      </c>
      <c r="O123" s="35">
        <v>18.0</v>
      </c>
      <c r="P123" s="35" t="s">
        <v>63</v>
      </c>
      <c r="Q123" s="23">
        <v>27.0</v>
      </c>
      <c r="R123" s="23">
        <v>5.0</v>
      </c>
      <c r="S123" s="127" t="s">
        <v>63</v>
      </c>
      <c r="T123" s="32" t="s">
        <v>63</v>
      </c>
      <c r="U123" s="123">
        <v>30.0</v>
      </c>
      <c r="V123" s="127" t="s">
        <v>63</v>
      </c>
      <c r="W123" s="127" t="s">
        <v>63</v>
      </c>
      <c r="X123" s="127" t="s">
        <v>63</v>
      </c>
      <c r="Y123" s="35">
        <v>67.0</v>
      </c>
      <c r="Z123" s="32" t="s">
        <v>63</v>
      </c>
      <c r="AA123" s="38"/>
      <c r="AB123" s="38"/>
      <c r="AC123" s="38"/>
      <c r="AD123" s="38"/>
      <c r="AE123" s="38"/>
      <c r="AF123" s="38"/>
      <c r="AG123" s="38"/>
      <c r="AH123" s="38"/>
      <c r="AI123" s="38"/>
      <c r="AJ123" s="38"/>
      <c r="AK123" s="38"/>
    </row>
    <row r="124">
      <c r="A124" s="99">
        <v>123.0</v>
      </c>
      <c r="B124" s="15"/>
      <c r="C124" s="15"/>
      <c r="D124" s="105">
        <v>1.0</v>
      </c>
      <c r="E124" s="102">
        <v>5.0</v>
      </c>
      <c r="F124" s="107">
        <v>11.0</v>
      </c>
      <c r="G124" s="15" t="str">
        <f t="shared" si="1"/>
        <v>05011</v>
      </c>
      <c r="H124" s="23" t="s">
        <v>247</v>
      </c>
      <c r="I124" s="23" t="s">
        <v>34</v>
      </c>
      <c r="J124" s="23" t="s">
        <v>237</v>
      </c>
      <c r="K124" s="23" t="str">
        <f t="shared" si="5"/>
        <v>Bradley, AR</v>
      </c>
      <c r="L124" s="23">
        <v>7.0</v>
      </c>
      <c r="M124" s="32">
        <v>2.25</v>
      </c>
      <c r="N124" s="127" t="s">
        <v>63</v>
      </c>
      <c r="O124" s="35">
        <v>5.0</v>
      </c>
      <c r="P124" s="35" t="s">
        <v>63</v>
      </c>
      <c r="Q124" s="23">
        <v>7.0</v>
      </c>
      <c r="R124" s="23">
        <v>0.0</v>
      </c>
      <c r="S124" s="127" t="s">
        <v>63</v>
      </c>
      <c r="T124" s="32" t="s">
        <v>63</v>
      </c>
      <c r="U124" s="123">
        <v>5.0</v>
      </c>
      <c r="V124" s="127" t="s">
        <v>63</v>
      </c>
      <c r="W124" s="127" t="s">
        <v>63</v>
      </c>
      <c r="X124" s="127" t="s">
        <v>63</v>
      </c>
      <c r="Y124" s="35">
        <v>18.0</v>
      </c>
      <c r="Z124" s="32" t="s">
        <v>63</v>
      </c>
      <c r="AA124" s="38"/>
      <c r="AB124" s="38"/>
      <c r="AC124" s="38"/>
      <c r="AD124" s="38"/>
      <c r="AE124" s="38"/>
      <c r="AF124" s="38"/>
      <c r="AG124" s="38"/>
      <c r="AH124" s="38"/>
      <c r="AI124" s="38"/>
      <c r="AJ124" s="38"/>
      <c r="AK124" s="38"/>
    </row>
    <row r="125">
      <c r="A125" s="99">
        <v>124.0</v>
      </c>
      <c r="B125" s="15"/>
      <c r="C125" s="15"/>
      <c r="D125" s="105">
        <v>1.0</v>
      </c>
      <c r="E125" s="102">
        <v>5.0</v>
      </c>
      <c r="F125" s="107">
        <v>13.0</v>
      </c>
      <c r="G125" s="15" t="str">
        <f t="shared" si="1"/>
        <v>05013</v>
      </c>
      <c r="H125" s="23" t="s">
        <v>93</v>
      </c>
      <c r="I125" s="23" t="s">
        <v>34</v>
      </c>
      <c r="J125" s="23" t="s">
        <v>237</v>
      </c>
      <c r="K125" s="23" t="str">
        <f t="shared" si="5"/>
        <v>Calhoun, AR</v>
      </c>
      <c r="L125" s="23">
        <v>1.0</v>
      </c>
      <c r="M125" s="32">
        <v>1.3333333333333333</v>
      </c>
      <c r="N125" s="127" t="s">
        <v>63</v>
      </c>
      <c r="O125" s="35">
        <v>1.0</v>
      </c>
      <c r="P125" s="35" t="s">
        <v>63</v>
      </c>
      <c r="Q125" s="23">
        <v>5.0</v>
      </c>
      <c r="R125" s="23">
        <v>0.0</v>
      </c>
      <c r="S125" s="127" t="s">
        <v>63</v>
      </c>
      <c r="T125" s="32" t="s">
        <v>63</v>
      </c>
      <c r="U125" s="123">
        <v>1.0</v>
      </c>
      <c r="V125" s="127" t="s">
        <v>63</v>
      </c>
      <c r="W125" s="127" t="s">
        <v>63</v>
      </c>
      <c r="X125" s="127" t="s">
        <v>63</v>
      </c>
      <c r="Y125" s="35">
        <v>16.0</v>
      </c>
      <c r="Z125" s="32" t="s">
        <v>63</v>
      </c>
      <c r="AA125" s="38"/>
      <c r="AB125" s="38"/>
      <c r="AC125" s="38"/>
      <c r="AD125" s="38"/>
      <c r="AE125" s="38"/>
      <c r="AF125" s="38"/>
      <c r="AG125" s="38"/>
      <c r="AH125" s="38"/>
      <c r="AI125" s="38"/>
      <c r="AJ125" s="38"/>
      <c r="AK125" s="38"/>
    </row>
    <row r="126">
      <c r="A126" s="99">
        <v>125.0</v>
      </c>
      <c r="B126" s="15"/>
      <c r="C126" s="15"/>
      <c r="D126" s="105">
        <v>1.0</v>
      </c>
      <c r="E126" s="102">
        <v>5.0</v>
      </c>
      <c r="F126" s="107">
        <v>15.0</v>
      </c>
      <c r="G126" s="15" t="str">
        <f t="shared" si="1"/>
        <v>05015</v>
      </c>
      <c r="H126" s="23" t="s">
        <v>248</v>
      </c>
      <c r="I126" s="23" t="s">
        <v>34</v>
      </c>
      <c r="J126" s="23" t="s">
        <v>237</v>
      </c>
      <c r="K126" s="23" t="str">
        <f t="shared" si="5"/>
        <v>Carroll, AR</v>
      </c>
      <c r="L126" s="23">
        <v>30.0</v>
      </c>
      <c r="M126" s="32">
        <v>2.0</v>
      </c>
      <c r="N126" s="127" t="s">
        <v>63</v>
      </c>
      <c r="O126" s="35">
        <v>10.0</v>
      </c>
      <c r="P126" s="35" t="s">
        <v>63</v>
      </c>
      <c r="Q126" s="23">
        <v>9.0</v>
      </c>
      <c r="R126" s="23">
        <v>1.0</v>
      </c>
      <c r="S126" s="127" t="s">
        <v>63</v>
      </c>
      <c r="T126" s="32" t="s">
        <v>63</v>
      </c>
      <c r="U126" s="123">
        <v>16.0</v>
      </c>
      <c r="V126" s="127" t="s">
        <v>63</v>
      </c>
      <c r="W126" s="127" t="s">
        <v>63</v>
      </c>
      <c r="X126" s="127" t="s">
        <v>63</v>
      </c>
      <c r="Y126" s="35">
        <v>35.0</v>
      </c>
      <c r="Z126" s="32" t="s">
        <v>63</v>
      </c>
      <c r="AA126" s="38"/>
      <c r="AB126" s="38"/>
      <c r="AC126" s="38"/>
      <c r="AD126" s="38"/>
      <c r="AE126" s="38"/>
      <c r="AF126" s="38"/>
      <c r="AG126" s="38"/>
      <c r="AH126" s="38"/>
      <c r="AI126" s="38"/>
      <c r="AJ126" s="38"/>
      <c r="AK126" s="38"/>
    </row>
    <row r="127">
      <c r="A127" s="99">
        <v>126.0</v>
      </c>
      <c r="B127" s="15"/>
      <c r="C127" s="15"/>
      <c r="D127" s="105">
        <v>1.0</v>
      </c>
      <c r="E127" s="102">
        <v>5.0</v>
      </c>
      <c r="F127" s="107">
        <v>17.0</v>
      </c>
      <c r="G127" s="15" t="str">
        <f t="shared" si="1"/>
        <v>05017</v>
      </c>
      <c r="H127" s="23" t="s">
        <v>251</v>
      </c>
      <c r="I127" s="23" t="s">
        <v>34</v>
      </c>
      <c r="J127" s="23" t="s">
        <v>237</v>
      </c>
      <c r="K127" s="23" t="str">
        <f t="shared" si="5"/>
        <v>Chicot, AR</v>
      </c>
      <c r="L127" s="23">
        <v>7.0</v>
      </c>
      <c r="M127" s="32">
        <v>2.0</v>
      </c>
      <c r="N127" s="127" t="s">
        <v>63</v>
      </c>
      <c r="O127" s="35">
        <v>2.0</v>
      </c>
      <c r="P127" s="35" t="s">
        <v>63</v>
      </c>
      <c r="Q127" s="23">
        <v>5.0</v>
      </c>
      <c r="R127" s="23">
        <v>0.0</v>
      </c>
      <c r="S127" s="127" t="s">
        <v>63</v>
      </c>
      <c r="T127" s="32" t="s">
        <v>63</v>
      </c>
      <c r="U127" s="123">
        <v>5.0</v>
      </c>
      <c r="V127" s="127" t="s">
        <v>63</v>
      </c>
      <c r="W127" s="127" t="s">
        <v>63</v>
      </c>
      <c r="X127" s="127" t="s">
        <v>63</v>
      </c>
      <c r="Y127" s="35">
        <v>24.0</v>
      </c>
      <c r="Z127" s="32" t="s">
        <v>63</v>
      </c>
      <c r="AA127" s="38"/>
      <c r="AB127" s="38"/>
      <c r="AC127" s="38"/>
      <c r="AD127" s="38"/>
      <c r="AE127" s="38"/>
      <c r="AF127" s="38"/>
      <c r="AG127" s="38"/>
      <c r="AH127" s="38"/>
      <c r="AI127" s="38"/>
      <c r="AJ127" s="38"/>
      <c r="AK127" s="38"/>
    </row>
    <row r="128">
      <c r="A128" s="99">
        <v>127.0</v>
      </c>
      <c r="B128" s="15"/>
      <c r="C128" s="15"/>
      <c r="D128" s="105">
        <v>1.0</v>
      </c>
      <c r="E128" s="102">
        <v>5.0</v>
      </c>
      <c r="F128" s="107">
        <v>19.0</v>
      </c>
      <c r="G128" s="15" t="str">
        <f t="shared" si="1"/>
        <v>05019</v>
      </c>
      <c r="H128" s="23" t="s">
        <v>253</v>
      </c>
      <c r="I128" s="23" t="s">
        <v>34</v>
      </c>
      <c r="J128" s="23" t="s">
        <v>237</v>
      </c>
      <c r="K128" s="23" t="str">
        <f t="shared" si="5"/>
        <v>Clark, AR</v>
      </c>
      <c r="L128" s="23">
        <v>12.0</v>
      </c>
      <c r="M128" s="32">
        <v>1.9411764705882353</v>
      </c>
      <c r="N128" s="127" t="s">
        <v>63</v>
      </c>
      <c r="O128" s="35">
        <v>4.0</v>
      </c>
      <c r="P128" s="35" t="s">
        <v>63</v>
      </c>
      <c r="Q128" s="23">
        <v>19.0</v>
      </c>
      <c r="R128" s="23">
        <v>1.0</v>
      </c>
      <c r="S128" s="127" t="s">
        <v>63</v>
      </c>
      <c r="T128" s="32" t="s">
        <v>63</v>
      </c>
      <c r="U128" s="123">
        <v>9.0</v>
      </c>
      <c r="V128" s="127" t="s">
        <v>63</v>
      </c>
      <c r="W128" s="127" t="s">
        <v>63</v>
      </c>
      <c r="X128" s="127" t="s">
        <v>63</v>
      </c>
      <c r="Y128" s="35">
        <v>48.0</v>
      </c>
      <c r="Z128" s="32" t="s">
        <v>63</v>
      </c>
      <c r="AA128" s="38"/>
      <c r="AB128" s="38"/>
      <c r="AC128" s="38"/>
      <c r="AD128" s="38"/>
      <c r="AE128" s="38"/>
      <c r="AF128" s="38"/>
      <c r="AG128" s="38"/>
      <c r="AH128" s="38"/>
      <c r="AI128" s="38"/>
      <c r="AJ128" s="38"/>
      <c r="AK128" s="38"/>
    </row>
    <row r="129">
      <c r="A129" s="99">
        <v>128.0</v>
      </c>
      <c r="B129" s="15"/>
      <c r="C129" s="15"/>
      <c r="D129" s="105">
        <v>1.0</v>
      </c>
      <c r="E129" s="102">
        <v>5.0</v>
      </c>
      <c r="F129" s="107">
        <v>21.0</v>
      </c>
      <c r="G129" s="15" t="str">
        <f t="shared" si="1"/>
        <v>05021</v>
      </c>
      <c r="H129" s="23" t="s">
        <v>112</v>
      </c>
      <c r="I129" s="23" t="s">
        <v>34</v>
      </c>
      <c r="J129" s="23" t="s">
        <v>237</v>
      </c>
      <c r="K129" s="23" t="str">
        <f t="shared" si="5"/>
        <v>Clay, AR</v>
      </c>
      <c r="L129" s="23">
        <v>14.0</v>
      </c>
      <c r="M129" s="32">
        <v>2.25</v>
      </c>
      <c r="N129" s="127" t="s">
        <v>63</v>
      </c>
      <c r="O129" s="35">
        <v>5.0</v>
      </c>
      <c r="P129" s="35" t="s">
        <v>63</v>
      </c>
      <c r="Q129" s="23">
        <v>10.0</v>
      </c>
      <c r="R129" s="23">
        <v>3.0</v>
      </c>
      <c r="S129" s="127" t="s">
        <v>63</v>
      </c>
      <c r="T129" s="32" t="s">
        <v>63</v>
      </c>
      <c r="U129" s="123">
        <v>12.0</v>
      </c>
      <c r="V129" s="127" t="s">
        <v>63</v>
      </c>
      <c r="W129" s="127" t="s">
        <v>63</v>
      </c>
      <c r="X129" s="127" t="s">
        <v>63</v>
      </c>
      <c r="Y129" s="35">
        <v>21.0</v>
      </c>
      <c r="Z129" s="32" t="s">
        <v>63</v>
      </c>
      <c r="AA129" s="38"/>
      <c r="AB129" s="38"/>
      <c r="AC129" s="38"/>
      <c r="AD129" s="38"/>
      <c r="AE129" s="38"/>
      <c r="AF129" s="38"/>
      <c r="AG129" s="38"/>
      <c r="AH129" s="38"/>
      <c r="AI129" s="38"/>
      <c r="AJ129" s="38"/>
      <c r="AK129" s="38"/>
    </row>
    <row r="130">
      <c r="A130" s="99">
        <v>129.0</v>
      </c>
      <c r="B130" s="15"/>
      <c r="C130" s="15"/>
      <c r="D130" s="105">
        <v>1.0</v>
      </c>
      <c r="E130" s="102">
        <v>5.0</v>
      </c>
      <c r="F130" s="107">
        <v>23.0</v>
      </c>
      <c r="G130" s="15" t="str">
        <f t="shared" si="1"/>
        <v>05023</v>
      </c>
      <c r="H130" s="23" t="s">
        <v>115</v>
      </c>
      <c r="I130" s="23" t="s">
        <v>34</v>
      </c>
      <c r="J130" s="23" t="s">
        <v>237</v>
      </c>
      <c r="K130" s="23" t="str">
        <f t="shared" si="5"/>
        <v>Cleburne, AR</v>
      </c>
      <c r="L130" s="23">
        <v>38.0</v>
      </c>
      <c r="M130" s="32">
        <v>1.9166666666666667</v>
      </c>
      <c r="N130" s="127" t="s">
        <v>63</v>
      </c>
      <c r="O130" s="35">
        <v>14.0</v>
      </c>
      <c r="P130" s="35" t="s">
        <v>63</v>
      </c>
      <c r="Q130" s="23">
        <v>15.0</v>
      </c>
      <c r="R130" s="23">
        <v>1.0</v>
      </c>
      <c r="S130" s="127" t="s">
        <v>63</v>
      </c>
      <c r="T130" s="32" t="s">
        <v>63</v>
      </c>
      <c r="U130" s="123">
        <v>16.0</v>
      </c>
      <c r="V130" s="127" t="s">
        <v>63</v>
      </c>
      <c r="W130" s="127" t="s">
        <v>63</v>
      </c>
      <c r="X130" s="127" t="s">
        <v>63</v>
      </c>
      <c r="Y130" s="35">
        <v>47.0</v>
      </c>
      <c r="Z130" s="32" t="s">
        <v>63</v>
      </c>
      <c r="AA130" s="38"/>
      <c r="AB130" s="38"/>
      <c r="AC130" s="38"/>
      <c r="AD130" s="38"/>
      <c r="AE130" s="38"/>
      <c r="AF130" s="38"/>
      <c r="AG130" s="38"/>
      <c r="AH130" s="38"/>
      <c r="AI130" s="38"/>
      <c r="AJ130" s="38"/>
      <c r="AK130" s="38"/>
    </row>
    <row r="131">
      <c r="A131" s="99">
        <v>130.0</v>
      </c>
      <c r="B131" s="15"/>
      <c r="C131" s="15"/>
      <c r="D131" s="105">
        <v>1.0</v>
      </c>
      <c r="E131" s="102">
        <v>5.0</v>
      </c>
      <c r="F131" s="107">
        <v>25.0</v>
      </c>
      <c r="G131" s="15" t="str">
        <f t="shared" si="1"/>
        <v>05025</v>
      </c>
      <c r="H131" s="23" t="s">
        <v>257</v>
      </c>
      <c r="I131" s="23" t="s">
        <v>34</v>
      </c>
      <c r="J131" s="23" t="s">
        <v>237</v>
      </c>
      <c r="K131" s="23" t="str">
        <f t="shared" si="5"/>
        <v>Cleveland, AR</v>
      </c>
      <c r="L131" s="23">
        <v>2.0</v>
      </c>
      <c r="M131" s="32">
        <v>2.6666666666666665</v>
      </c>
      <c r="N131" s="127" t="s">
        <v>63</v>
      </c>
      <c r="O131" s="35">
        <v>2.0</v>
      </c>
      <c r="P131" s="35" t="s">
        <v>63</v>
      </c>
      <c r="Q131" s="23">
        <v>3.0</v>
      </c>
      <c r="R131" s="23">
        <v>0.0</v>
      </c>
      <c r="S131" s="127" t="s">
        <v>63</v>
      </c>
      <c r="T131" s="32" t="s">
        <v>63</v>
      </c>
      <c r="U131" s="123">
        <v>2.0</v>
      </c>
      <c r="V131" s="127" t="s">
        <v>63</v>
      </c>
      <c r="W131" s="127" t="s">
        <v>63</v>
      </c>
      <c r="X131" s="127" t="s">
        <v>63</v>
      </c>
      <c r="Y131" s="35">
        <v>18.0</v>
      </c>
      <c r="Z131" s="32" t="s">
        <v>63</v>
      </c>
      <c r="AA131" s="38"/>
      <c r="AB131" s="38"/>
      <c r="AC131" s="38"/>
      <c r="AD131" s="38"/>
      <c r="AE131" s="38"/>
      <c r="AF131" s="38"/>
      <c r="AG131" s="38"/>
      <c r="AH131" s="38"/>
      <c r="AI131" s="38"/>
      <c r="AJ131" s="38"/>
      <c r="AK131" s="38"/>
    </row>
    <row r="132">
      <c r="A132" s="99">
        <v>131.0</v>
      </c>
      <c r="B132" s="15"/>
      <c r="C132" s="15"/>
      <c r="D132" s="105">
        <v>1.0</v>
      </c>
      <c r="E132" s="102">
        <v>5.0</v>
      </c>
      <c r="F132" s="107">
        <v>27.0</v>
      </c>
      <c r="G132" s="15" t="str">
        <f t="shared" si="1"/>
        <v>05027</v>
      </c>
      <c r="H132" s="23" t="s">
        <v>258</v>
      </c>
      <c r="I132" s="23" t="s">
        <v>34</v>
      </c>
      <c r="J132" s="23" t="s">
        <v>237</v>
      </c>
      <c r="K132" s="23" t="str">
        <f t="shared" si="5"/>
        <v>Columbia, AR</v>
      </c>
      <c r="L132" s="23">
        <v>14.0</v>
      </c>
      <c r="M132" s="32">
        <v>1.8461538461538463</v>
      </c>
      <c r="N132" s="127" t="s">
        <v>63</v>
      </c>
      <c r="O132" s="35">
        <v>7.0</v>
      </c>
      <c r="P132" s="35" t="s">
        <v>63</v>
      </c>
      <c r="Q132" s="23">
        <v>17.0</v>
      </c>
      <c r="R132" s="23">
        <v>0.0</v>
      </c>
      <c r="S132" s="127" t="s">
        <v>63</v>
      </c>
      <c r="T132" s="32" t="s">
        <v>63</v>
      </c>
      <c r="U132" s="123">
        <v>13.0</v>
      </c>
      <c r="V132" s="127" t="s">
        <v>63</v>
      </c>
      <c r="W132" s="127" t="s">
        <v>63</v>
      </c>
      <c r="X132" s="127" t="s">
        <v>63</v>
      </c>
      <c r="Y132" s="35">
        <v>36.0</v>
      </c>
      <c r="Z132" s="32" t="s">
        <v>63</v>
      </c>
      <c r="AA132" s="38"/>
      <c r="AB132" s="38"/>
      <c r="AC132" s="38"/>
      <c r="AD132" s="38"/>
      <c r="AE132" s="38"/>
      <c r="AF132" s="38"/>
      <c r="AG132" s="38"/>
      <c r="AH132" s="38"/>
      <c r="AI132" s="38"/>
      <c r="AJ132" s="38"/>
      <c r="AK132" s="38"/>
    </row>
    <row r="133">
      <c r="A133" s="99">
        <v>132.0</v>
      </c>
      <c r="B133" s="15"/>
      <c r="C133" s="15"/>
      <c r="D133" s="105">
        <v>1.0</v>
      </c>
      <c r="E133" s="102">
        <v>5.0</v>
      </c>
      <c r="F133" s="107">
        <v>29.0</v>
      </c>
      <c r="G133" s="15" t="str">
        <f t="shared" si="1"/>
        <v>05029</v>
      </c>
      <c r="H133" s="23" t="s">
        <v>260</v>
      </c>
      <c r="I133" s="23" t="s">
        <v>34</v>
      </c>
      <c r="J133" s="23" t="s">
        <v>237</v>
      </c>
      <c r="K133" s="23" t="str">
        <f t="shared" si="5"/>
        <v>Conway, AR</v>
      </c>
      <c r="L133" s="23">
        <v>32.0</v>
      </c>
      <c r="M133" s="32">
        <v>5.0</v>
      </c>
      <c r="N133" s="127" t="s">
        <v>63</v>
      </c>
      <c r="O133" s="35">
        <v>13.0</v>
      </c>
      <c r="P133" s="35" t="s">
        <v>63</v>
      </c>
      <c r="Q133" s="23">
        <v>2.0</v>
      </c>
      <c r="R133" s="23">
        <v>0.0</v>
      </c>
      <c r="S133" s="127" t="s">
        <v>63</v>
      </c>
      <c r="T133" s="32" t="s">
        <v>63</v>
      </c>
      <c r="U133" s="123">
        <v>10.0</v>
      </c>
      <c r="V133" s="127" t="s">
        <v>63</v>
      </c>
      <c r="W133" s="127" t="s">
        <v>63</v>
      </c>
      <c r="X133" s="127" t="s">
        <v>63</v>
      </c>
      <c r="Y133" s="35">
        <v>32.0</v>
      </c>
      <c r="Z133" s="32" t="s">
        <v>63</v>
      </c>
      <c r="AA133" s="38"/>
      <c r="AB133" s="38"/>
      <c r="AC133" s="38"/>
      <c r="AD133" s="38"/>
      <c r="AE133" s="38"/>
      <c r="AF133" s="38"/>
      <c r="AG133" s="38"/>
      <c r="AH133" s="38"/>
      <c r="AI133" s="38"/>
      <c r="AJ133" s="38"/>
      <c r="AK133" s="38"/>
    </row>
    <row r="134">
      <c r="A134" s="99">
        <v>133.0</v>
      </c>
      <c r="B134" s="15"/>
      <c r="C134" s="15"/>
      <c r="D134" s="105">
        <v>1.0</v>
      </c>
      <c r="E134" s="102">
        <v>5.0</v>
      </c>
      <c r="F134" s="107">
        <v>31.0</v>
      </c>
      <c r="G134" s="15" t="str">
        <f t="shared" si="1"/>
        <v>05031</v>
      </c>
      <c r="H134" s="23" t="s">
        <v>262</v>
      </c>
      <c r="I134" s="23" t="s">
        <v>34</v>
      </c>
      <c r="J134" s="23" t="s">
        <v>237</v>
      </c>
      <c r="K134" s="23" t="str">
        <f t="shared" si="5"/>
        <v>Craighead, AR</v>
      </c>
      <c r="L134" s="23">
        <v>95.0</v>
      </c>
      <c r="M134" s="32">
        <v>1.945945945945946</v>
      </c>
      <c r="N134" s="127" t="s">
        <v>63</v>
      </c>
      <c r="O134" s="35">
        <v>29.0</v>
      </c>
      <c r="P134" s="35" t="s">
        <v>63</v>
      </c>
      <c r="Q134" s="23">
        <v>44.0</v>
      </c>
      <c r="R134" s="23">
        <v>4.0</v>
      </c>
      <c r="S134" s="127" t="s">
        <v>63</v>
      </c>
      <c r="T134" s="32" t="s">
        <v>63</v>
      </c>
      <c r="U134" s="123">
        <v>68.0</v>
      </c>
      <c r="V134" s="127" t="s">
        <v>63</v>
      </c>
      <c r="W134" s="127" t="s">
        <v>63</v>
      </c>
      <c r="X134" s="127" t="s">
        <v>63</v>
      </c>
      <c r="Y134" s="35">
        <v>114.0</v>
      </c>
      <c r="Z134" s="32" t="s">
        <v>63</v>
      </c>
      <c r="AA134" s="38"/>
      <c r="AB134" s="38"/>
      <c r="AC134" s="38"/>
      <c r="AD134" s="38"/>
      <c r="AE134" s="38"/>
      <c r="AF134" s="38"/>
      <c r="AG134" s="38"/>
      <c r="AH134" s="38"/>
      <c r="AI134" s="38"/>
      <c r="AJ134" s="38"/>
      <c r="AK134" s="38"/>
    </row>
    <row r="135">
      <c r="A135" s="99">
        <v>134.0</v>
      </c>
      <c r="B135" s="15"/>
      <c r="C135" s="15"/>
      <c r="D135" s="105">
        <v>1.0</v>
      </c>
      <c r="E135" s="102">
        <v>5.0</v>
      </c>
      <c r="F135" s="107">
        <v>33.0</v>
      </c>
      <c r="G135" s="15" t="str">
        <f t="shared" si="1"/>
        <v>05033</v>
      </c>
      <c r="H135" s="23" t="s">
        <v>263</v>
      </c>
      <c r="I135" s="23" t="s">
        <v>34</v>
      </c>
      <c r="J135" s="23" t="s">
        <v>237</v>
      </c>
      <c r="K135" s="23" t="str">
        <f t="shared" si="5"/>
        <v>Crawford, AR</v>
      </c>
      <c r="L135" s="23">
        <v>66.0</v>
      </c>
      <c r="M135" s="32">
        <v>1.813953488372093</v>
      </c>
      <c r="N135" s="127" t="s">
        <v>63</v>
      </c>
      <c r="O135" s="35">
        <v>23.0</v>
      </c>
      <c r="P135" s="35" t="s">
        <v>63</v>
      </c>
      <c r="Q135" s="23">
        <v>63.0</v>
      </c>
      <c r="R135" s="23">
        <v>0.0</v>
      </c>
      <c r="S135" s="127" t="s">
        <v>63</v>
      </c>
      <c r="T135" s="32" t="s">
        <v>63</v>
      </c>
      <c r="U135" s="123">
        <v>53.0</v>
      </c>
      <c r="V135" s="127" t="s">
        <v>63</v>
      </c>
      <c r="W135" s="127" t="s">
        <v>63</v>
      </c>
      <c r="X135" s="127" t="s">
        <v>63</v>
      </c>
      <c r="Y135" s="35">
        <v>63.0</v>
      </c>
      <c r="Z135" s="32" t="s">
        <v>63</v>
      </c>
      <c r="AA135" s="38"/>
      <c r="AB135" s="38"/>
      <c r="AC135" s="38"/>
      <c r="AD135" s="38"/>
      <c r="AE135" s="38"/>
      <c r="AF135" s="38"/>
      <c r="AG135" s="38"/>
      <c r="AH135" s="38"/>
      <c r="AI135" s="38"/>
      <c r="AJ135" s="38"/>
      <c r="AK135" s="38"/>
    </row>
    <row r="136">
      <c r="A136" s="99">
        <v>135.0</v>
      </c>
      <c r="B136" s="15"/>
      <c r="C136" s="15"/>
      <c r="D136" s="105">
        <v>1.0</v>
      </c>
      <c r="E136" s="102">
        <v>5.0</v>
      </c>
      <c r="F136" s="107">
        <v>35.0</v>
      </c>
      <c r="G136" s="15" t="str">
        <f t="shared" si="1"/>
        <v>05035</v>
      </c>
      <c r="H136" s="23" t="s">
        <v>264</v>
      </c>
      <c r="I136" s="23" t="s">
        <v>34</v>
      </c>
      <c r="J136" s="23" t="s">
        <v>237</v>
      </c>
      <c r="K136" s="23" t="str">
        <f t="shared" si="5"/>
        <v>Crittenden, AR</v>
      </c>
      <c r="L136" s="23">
        <v>67.0</v>
      </c>
      <c r="M136" s="32">
        <v>1.75</v>
      </c>
      <c r="N136" s="127" t="s">
        <v>63</v>
      </c>
      <c r="O136" s="35">
        <v>17.0</v>
      </c>
      <c r="P136" s="35" t="s">
        <v>63</v>
      </c>
      <c r="Q136" s="23">
        <v>18.0</v>
      </c>
      <c r="R136" s="23">
        <v>0.0</v>
      </c>
      <c r="S136" s="127" t="s">
        <v>63</v>
      </c>
      <c r="T136" s="32" t="s">
        <v>63</v>
      </c>
      <c r="U136" s="123">
        <v>35.0</v>
      </c>
      <c r="V136" s="127" t="s">
        <v>63</v>
      </c>
      <c r="W136" s="127" t="s">
        <v>63</v>
      </c>
      <c r="X136" s="127" t="s">
        <v>63</v>
      </c>
      <c r="Y136" s="35">
        <v>64.0</v>
      </c>
      <c r="Z136" s="32" t="s">
        <v>63</v>
      </c>
      <c r="AA136" s="38"/>
      <c r="AB136" s="38"/>
      <c r="AC136" s="38"/>
      <c r="AD136" s="38"/>
      <c r="AE136" s="38"/>
      <c r="AF136" s="38"/>
      <c r="AG136" s="38"/>
      <c r="AH136" s="38"/>
      <c r="AI136" s="38"/>
      <c r="AJ136" s="38"/>
      <c r="AK136" s="38"/>
    </row>
    <row r="137">
      <c r="A137" s="99">
        <v>136.0</v>
      </c>
      <c r="B137" s="15"/>
      <c r="C137" s="15"/>
      <c r="D137" s="105">
        <v>1.0</v>
      </c>
      <c r="E137" s="102">
        <v>5.0</v>
      </c>
      <c r="F137" s="107">
        <v>37.0</v>
      </c>
      <c r="G137" s="15" t="str">
        <f t="shared" si="1"/>
        <v>05037</v>
      </c>
      <c r="H137" s="23" t="s">
        <v>266</v>
      </c>
      <c r="I137" s="23" t="s">
        <v>34</v>
      </c>
      <c r="J137" s="23" t="s">
        <v>237</v>
      </c>
      <c r="K137" s="23" t="str">
        <f t="shared" si="5"/>
        <v>Cross, AR</v>
      </c>
      <c r="L137" s="23">
        <v>23.0</v>
      </c>
      <c r="M137" s="32">
        <v>2.206896551724138</v>
      </c>
      <c r="N137" s="127" t="s">
        <v>63</v>
      </c>
      <c r="O137" s="35">
        <v>5.0</v>
      </c>
      <c r="P137" s="35" t="s">
        <v>63</v>
      </c>
      <c r="Q137" s="23">
        <v>33.0</v>
      </c>
      <c r="R137" s="23">
        <v>1.0</v>
      </c>
      <c r="S137" s="127" t="s">
        <v>63</v>
      </c>
      <c r="T137" s="32" t="s">
        <v>63</v>
      </c>
      <c r="U137" s="123">
        <v>13.0</v>
      </c>
      <c r="V137" s="127" t="s">
        <v>63</v>
      </c>
      <c r="W137" s="127" t="s">
        <v>63</v>
      </c>
      <c r="X137" s="127" t="s">
        <v>63</v>
      </c>
      <c r="Y137" s="35">
        <v>29.0</v>
      </c>
      <c r="Z137" s="32" t="s">
        <v>63</v>
      </c>
      <c r="AA137" s="38"/>
      <c r="AB137" s="38"/>
      <c r="AC137" s="38"/>
      <c r="AD137" s="38"/>
      <c r="AE137" s="38"/>
      <c r="AF137" s="38"/>
      <c r="AG137" s="38"/>
      <c r="AH137" s="38"/>
      <c r="AI137" s="38"/>
      <c r="AJ137" s="38"/>
      <c r="AK137" s="38"/>
    </row>
    <row r="138">
      <c r="A138" s="99">
        <v>137.0</v>
      </c>
      <c r="B138" s="15"/>
      <c r="C138" s="15"/>
      <c r="D138" s="105">
        <v>1.0</v>
      </c>
      <c r="E138" s="102">
        <v>5.0</v>
      </c>
      <c r="F138" s="107">
        <v>39.0</v>
      </c>
      <c r="G138" s="15" t="str">
        <f t="shared" si="1"/>
        <v>05039</v>
      </c>
      <c r="H138" s="23" t="s">
        <v>130</v>
      </c>
      <c r="I138" s="23" t="s">
        <v>34</v>
      </c>
      <c r="J138" s="23" t="s">
        <v>237</v>
      </c>
      <c r="K138" s="23" t="str">
        <f t="shared" si="5"/>
        <v>Dallas, AR</v>
      </c>
      <c r="L138" s="23">
        <v>15.0</v>
      </c>
      <c r="M138" s="32">
        <v>2.0</v>
      </c>
      <c r="N138" s="127" t="s">
        <v>63</v>
      </c>
      <c r="O138" s="35">
        <v>3.0</v>
      </c>
      <c r="P138" s="35" t="s">
        <v>63</v>
      </c>
      <c r="Q138" s="23">
        <v>1.0</v>
      </c>
      <c r="R138" s="23">
        <v>4.0</v>
      </c>
      <c r="S138" s="127" t="s">
        <v>63</v>
      </c>
      <c r="T138" s="32" t="s">
        <v>63</v>
      </c>
      <c r="U138" s="123">
        <v>2.0</v>
      </c>
      <c r="V138" s="127" t="s">
        <v>63</v>
      </c>
      <c r="W138" s="127" t="s">
        <v>63</v>
      </c>
      <c r="X138" s="127" t="s">
        <v>63</v>
      </c>
      <c r="Y138" s="35">
        <v>30.0</v>
      </c>
      <c r="Z138" s="32" t="s">
        <v>63</v>
      </c>
      <c r="AA138" s="38"/>
      <c r="AB138" s="38"/>
      <c r="AC138" s="38"/>
      <c r="AD138" s="38"/>
      <c r="AE138" s="38"/>
      <c r="AF138" s="38"/>
      <c r="AG138" s="38"/>
      <c r="AH138" s="38"/>
      <c r="AI138" s="38"/>
      <c r="AJ138" s="38"/>
      <c r="AK138" s="38"/>
    </row>
    <row r="139">
      <c r="A139" s="99">
        <v>138.0</v>
      </c>
      <c r="B139" s="15"/>
      <c r="C139" s="15"/>
      <c r="D139" s="105">
        <v>1.0</v>
      </c>
      <c r="E139" s="102">
        <v>5.0</v>
      </c>
      <c r="F139" s="107">
        <v>41.0</v>
      </c>
      <c r="G139" s="15" t="str">
        <f t="shared" si="1"/>
        <v>05041</v>
      </c>
      <c r="H139" s="23" t="s">
        <v>268</v>
      </c>
      <c r="I139" s="23" t="s">
        <v>34</v>
      </c>
      <c r="J139" s="23" t="s">
        <v>237</v>
      </c>
      <c r="K139" s="23" t="str">
        <f t="shared" si="5"/>
        <v>Desha, AR</v>
      </c>
      <c r="L139" s="23">
        <v>1.0</v>
      </c>
      <c r="M139" s="32">
        <v>1.6666666666666667</v>
      </c>
      <c r="N139" s="127" t="s">
        <v>63</v>
      </c>
      <c r="O139" s="35">
        <v>1.0</v>
      </c>
      <c r="P139" s="35" t="s">
        <v>63</v>
      </c>
      <c r="Q139" s="23">
        <v>5.0</v>
      </c>
      <c r="R139" s="23">
        <v>0.0</v>
      </c>
      <c r="S139" s="127" t="s">
        <v>63</v>
      </c>
      <c r="T139" s="32" t="s">
        <v>63</v>
      </c>
      <c r="U139" s="123">
        <v>1.0</v>
      </c>
      <c r="V139" s="127" t="s">
        <v>63</v>
      </c>
      <c r="W139" s="127" t="s">
        <v>63</v>
      </c>
      <c r="X139" s="127" t="s">
        <v>63</v>
      </c>
      <c r="Y139" s="35">
        <v>24.0</v>
      </c>
      <c r="Z139" s="32" t="s">
        <v>63</v>
      </c>
      <c r="AA139" s="38"/>
      <c r="AB139" s="38"/>
      <c r="AC139" s="38"/>
      <c r="AD139" s="38"/>
      <c r="AE139" s="38"/>
      <c r="AF139" s="38"/>
      <c r="AG139" s="38"/>
      <c r="AH139" s="38"/>
      <c r="AI139" s="38"/>
      <c r="AJ139" s="38"/>
      <c r="AK139" s="38"/>
    </row>
    <row r="140">
      <c r="A140" s="99">
        <v>139.0</v>
      </c>
      <c r="B140" s="15"/>
      <c r="C140" s="15"/>
      <c r="D140" s="105">
        <v>1.0</v>
      </c>
      <c r="E140" s="102">
        <v>5.0</v>
      </c>
      <c r="F140" s="107">
        <v>43.0</v>
      </c>
      <c r="G140" s="15" t="str">
        <f t="shared" si="1"/>
        <v>05043</v>
      </c>
      <c r="H140" s="23" t="s">
        <v>270</v>
      </c>
      <c r="I140" s="23" t="s">
        <v>34</v>
      </c>
      <c r="J140" s="23" t="s">
        <v>237</v>
      </c>
      <c r="K140" s="23" t="str">
        <f t="shared" si="5"/>
        <v>Drew, AR</v>
      </c>
      <c r="L140" s="23">
        <v>12.0</v>
      </c>
      <c r="M140" s="32">
        <v>2.5</v>
      </c>
      <c r="N140" s="127" t="s">
        <v>63</v>
      </c>
      <c r="O140" s="35">
        <v>7.0</v>
      </c>
      <c r="P140" s="35" t="s">
        <v>63</v>
      </c>
      <c r="Q140" s="23">
        <v>24.0</v>
      </c>
      <c r="R140" s="23">
        <v>1.0</v>
      </c>
      <c r="S140" s="127" t="s">
        <v>63</v>
      </c>
      <c r="T140" s="32" t="s">
        <v>63</v>
      </c>
      <c r="U140" s="123">
        <v>6.0</v>
      </c>
      <c r="V140" s="127" t="s">
        <v>63</v>
      </c>
      <c r="W140" s="127" t="s">
        <v>63</v>
      </c>
      <c r="X140" s="127" t="s">
        <v>63</v>
      </c>
      <c r="Y140" s="35">
        <v>28.0</v>
      </c>
      <c r="Z140" s="32" t="s">
        <v>63</v>
      </c>
      <c r="AA140" s="38"/>
      <c r="AB140" s="38"/>
      <c r="AC140" s="38"/>
      <c r="AD140" s="38"/>
      <c r="AE140" s="38"/>
      <c r="AF140" s="38"/>
      <c r="AG140" s="38"/>
      <c r="AH140" s="38"/>
      <c r="AI140" s="38"/>
      <c r="AJ140" s="38"/>
      <c r="AK140" s="38"/>
    </row>
    <row r="141">
      <c r="A141" s="99">
        <v>140.0</v>
      </c>
      <c r="B141" s="15"/>
      <c r="C141" s="15"/>
      <c r="D141" s="105">
        <v>1.0</v>
      </c>
      <c r="E141" s="102">
        <v>5.0</v>
      </c>
      <c r="F141" s="107">
        <v>45.0</v>
      </c>
      <c r="G141" s="15" t="str">
        <f t="shared" si="1"/>
        <v>05045</v>
      </c>
      <c r="H141" s="23" t="s">
        <v>271</v>
      </c>
      <c r="I141" s="23" t="s">
        <v>34</v>
      </c>
      <c r="J141" s="23" t="s">
        <v>237</v>
      </c>
      <c r="K141" s="23" t="str">
        <f t="shared" si="5"/>
        <v>Faulkner, AR</v>
      </c>
      <c r="L141" s="23">
        <v>91.0</v>
      </c>
      <c r="M141" s="32">
        <v>1.7307692307692308</v>
      </c>
      <c r="N141" s="127" t="s">
        <v>63</v>
      </c>
      <c r="O141" s="35">
        <v>25.0</v>
      </c>
      <c r="P141" s="35" t="s">
        <v>63</v>
      </c>
      <c r="Q141" s="23">
        <v>62.0</v>
      </c>
      <c r="R141" s="23">
        <v>10.0</v>
      </c>
      <c r="S141" s="127" t="s">
        <v>63</v>
      </c>
      <c r="T141" s="32" t="s">
        <v>63</v>
      </c>
      <c r="U141" s="123">
        <v>56.0</v>
      </c>
      <c r="V141" s="127" t="s">
        <v>63</v>
      </c>
      <c r="W141" s="127" t="s">
        <v>63</v>
      </c>
      <c r="X141" s="127" t="s">
        <v>63</v>
      </c>
      <c r="Y141" s="35">
        <v>114.0</v>
      </c>
      <c r="Z141" s="32" t="s">
        <v>63</v>
      </c>
      <c r="AA141" s="38"/>
      <c r="AB141" s="38"/>
      <c r="AC141" s="38"/>
      <c r="AD141" s="38"/>
      <c r="AE141" s="38"/>
      <c r="AF141" s="38"/>
      <c r="AG141" s="38"/>
      <c r="AH141" s="38"/>
      <c r="AI141" s="38"/>
      <c r="AJ141" s="38"/>
      <c r="AK141" s="38"/>
    </row>
    <row r="142">
      <c r="A142" s="99">
        <v>141.0</v>
      </c>
      <c r="B142" s="15"/>
      <c r="C142" s="15"/>
      <c r="D142" s="105">
        <v>1.0</v>
      </c>
      <c r="E142" s="102">
        <v>5.0</v>
      </c>
      <c r="F142" s="107">
        <v>47.0</v>
      </c>
      <c r="G142" s="15" t="str">
        <f t="shared" si="1"/>
        <v>05047</v>
      </c>
      <c r="H142" s="23" t="s">
        <v>136</v>
      </c>
      <c r="I142" s="23" t="s">
        <v>34</v>
      </c>
      <c r="J142" s="23" t="s">
        <v>237</v>
      </c>
      <c r="K142" s="23" t="str">
        <f t="shared" si="5"/>
        <v>Franklin, AR</v>
      </c>
      <c r="L142" s="23">
        <v>42.0</v>
      </c>
      <c r="M142" s="32">
        <v>1.7142857142857142</v>
      </c>
      <c r="N142" s="127" t="s">
        <v>63</v>
      </c>
      <c r="O142" s="35">
        <v>19.0</v>
      </c>
      <c r="P142" s="35" t="s">
        <v>63</v>
      </c>
      <c r="Q142" s="23">
        <v>12.0</v>
      </c>
      <c r="R142" s="23">
        <v>3.0</v>
      </c>
      <c r="S142" s="127" t="s">
        <v>63</v>
      </c>
      <c r="T142" s="32" t="s">
        <v>63</v>
      </c>
      <c r="U142" s="123">
        <v>9.0</v>
      </c>
      <c r="V142" s="127" t="s">
        <v>63</v>
      </c>
      <c r="W142" s="127" t="s">
        <v>63</v>
      </c>
      <c r="X142" s="127" t="s">
        <v>63</v>
      </c>
      <c r="Y142" s="35">
        <v>22.0</v>
      </c>
      <c r="Z142" s="32" t="s">
        <v>63</v>
      </c>
      <c r="AA142" s="38"/>
      <c r="AB142" s="38"/>
      <c r="AC142" s="38"/>
      <c r="AD142" s="38"/>
      <c r="AE142" s="38"/>
      <c r="AF142" s="38"/>
      <c r="AG142" s="38"/>
      <c r="AH142" s="38"/>
      <c r="AI142" s="38"/>
      <c r="AJ142" s="38"/>
      <c r="AK142" s="38"/>
    </row>
    <row r="143">
      <c r="A143" s="99">
        <v>142.0</v>
      </c>
      <c r="B143" s="15"/>
      <c r="C143" s="15"/>
      <c r="D143" s="105">
        <v>1.0</v>
      </c>
      <c r="E143" s="102">
        <v>5.0</v>
      </c>
      <c r="F143" s="107">
        <v>49.0</v>
      </c>
      <c r="G143" s="15" t="str">
        <f t="shared" si="1"/>
        <v>05049</v>
      </c>
      <c r="H143" s="23" t="s">
        <v>275</v>
      </c>
      <c r="I143" s="23" t="s">
        <v>34</v>
      </c>
      <c r="J143" s="23" t="s">
        <v>237</v>
      </c>
      <c r="K143" s="23" t="str">
        <f t="shared" si="5"/>
        <v>Fulton, AR</v>
      </c>
      <c r="L143" s="23">
        <v>8.0</v>
      </c>
      <c r="M143" s="32">
        <v>2.5</v>
      </c>
      <c r="N143" s="127" t="s">
        <v>63</v>
      </c>
      <c r="O143" s="35">
        <v>2.0</v>
      </c>
      <c r="P143" s="35" t="s">
        <v>63</v>
      </c>
      <c r="Q143" s="23">
        <v>4.0</v>
      </c>
      <c r="R143" s="23">
        <v>0.0</v>
      </c>
      <c r="S143" s="127" t="s">
        <v>63</v>
      </c>
      <c r="T143" s="32" t="s">
        <v>63</v>
      </c>
      <c r="U143" s="123">
        <v>10.0</v>
      </c>
      <c r="V143" s="127" t="s">
        <v>63</v>
      </c>
      <c r="W143" s="127" t="s">
        <v>63</v>
      </c>
      <c r="X143" s="127" t="s">
        <v>63</v>
      </c>
      <c r="Y143" s="35">
        <v>19.0</v>
      </c>
      <c r="Z143" s="32" t="s">
        <v>63</v>
      </c>
      <c r="AA143" s="38"/>
      <c r="AB143" s="38"/>
      <c r="AC143" s="38"/>
      <c r="AD143" s="38"/>
      <c r="AE143" s="38"/>
      <c r="AF143" s="38"/>
      <c r="AG143" s="38"/>
      <c r="AH143" s="38"/>
      <c r="AI143" s="38"/>
      <c r="AJ143" s="38"/>
      <c r="AK143" s="38"/>
    </row>
    <row r="144">
      <c r="A144" s="99">
        <v>143.0</v>
      </c>
      <c r="B144" s="15"/>
      <c r="C144" s="15"/>
      <c r="D144" s="105">
        <v>1.0</v>
      </c>
      <c r="E144" s="102">
        <v>5.0</v>
      </c>
      <c r="F144" s="107">
        <v>51.0</v>
      </c>
      <c r="G144" s="15" t="str">
        <f t="shared" si="1"/>
        <v>05051</v>
      </c>
      <c r="H144" s="23" t="s">
        <v>277</v>
      </c>
      <c r="I144" s="23" t="s">
        <v>34</v>
      </c>
      <c r="J144" s="23" t="s">
        <v>237</v>
      </c>
      <c r="K144" s="23" t="str">
        <f t="shared" si="5"/>
        <v>Garland, AR</v>
      </c>
      <c r="L144" s="23">
        <v>170.0</v>
      </c>
      <c r="M144" s="32">
        <v>1.8644067796610169</v>
      </c>
      <c r="N144" s="127" t="s">
        <v>63</v>
      </c>
      <c r="O144" s="35">
        <v>32.0</v>
      </c>
      <c r="P144" s="35" t="s">
        <v>63</v>
      </c>
      <c r="Q144" s="23">
        <v>69.0</v>
      </c>
      <c r="R144" s="23">
        <v>23.0</v>
      </c>
      <c r="S144" s="127" t="s">
        <v>63</v>
      </c>
      <c r="T144" s="32" t="s">
        <v>63</v>
      </c>
      <c r="U144" s="123">
        <v>41.0</v>
      </c>
      <c r="V144" s="127" t="s">
        <v>63</v>
      </c>
      <c r="W144" s="127" t="s">
        <v>63</v>
      </c>
      <c r="X144" s="127" t="s">
        <v>63</v>
      </c>
      <c r="Y144" s="35">
        <v>107.0</v>
      </c>
      <c r="Z144" s="32" t="s">
        <v>63</v>
      </c>
      <c r="AA144" s="38"/>
      <c r="AB144" s="38"/>
      <c r="AC144" s="38"/>
      <c r="AD144" s="38"/>
      <c r="AE144" s="38"/>
      <c r="AF144" s="38"/>
      <c r="AG144" s="38"/>
      <c r="AH144" s="38"/>
      <c r="AI144" s="38"/>
      <c r="AJ144" s="38"/>
      <c r="AK144" s="38"/>
    </row>
    <row r="145">
      <c r="A145" s="99">
        <v>144.0</v>
      </c>
      <c r="B145" s="15"/>
      <c r="C145" s="15"/>
      <c r="D145" s="105">
        <v>1.0</v>
      </c>
      <c r="E145" s="102">
        <v>5.0</v>
      </c>
      <c r="F145" s="107">
        <v>53.0</v>
      </c>
      <c r="G145" s="15" t="str">
        <f t="shared" si="1"/>
        <v>05053</v>
      </c>
      <c r="H145" s="23" t="s">
        <v>278</v>
      </c>
      <c r="I145" s="23" t="s">
        <v>34</v>
      </c>
      <c r="J145" s="23" t="s">
        <v>237</v>
      </c>
      <c r="K145" s="23" t="str">
        <f t="shared" si="5"/>
        <v>Grant, AR</v>
      </c>
      <c r="L145" s="23">
        <v>27.0</v>
      </c>
      <c r="M145" s="32">
        <v>2.5</v>
      </c>
      <c r="N145" s="127" t="s">
        <v>63</v>
      </c>
      <c r="O145" s="35">
        <v>13.0</v>
      </c>
      <c r="P145" s="35" t="s">
        <v>63</v>
      </c>
      <c r="Q145" s="23">
        <v>15.0</v>
      </c>
      <c r="R145" s="23">
        <v>0.0</v>
      </c>
      <c r="S145" s="127" t="s">
        <v>63</v>
      </c>
      <c r="T145" s="32" t="s">
        <v>63</v>
      </c>
      <c r="U145" s="123">
        <v>9.0</v>
      </c>
      <c r="V145" s="127" t="s">
        <v>63</v>
      </c>
      <c r="W145" s="127" t="s">
        <v>63</v>
      </c>
      <c r="X145" s="127" t="s">
        <v>63</v>
      </c>
      <c r="Y145" s="35">
        <v>31.0</v>
      </c>
      <c r="Z145" s="32" t="s">
        <v>63</v>
      </c>
      <c r="AA145" s="38"/>
      <c r="AB145" s="38"/>
      <c r="AC145" s="38"/>
      <c r="AD145" s="38"/>
      <c r="AE145" s="38"/>
      <c r="AF145" s="38"/>
      <c r="AG145" s="38"/>
      <c r="AH145" s="38"/>
      <c r="AI145" s="38"/>
      <c r="AJ145" s="38"/>
      <c r="AK145" s="38"/>
    </row>
    <row r="146">
      <c r="A146" s="99">
        <v>145.0</v>
      </c>
      <c r="B146" s="15"/>
      <c r="C146" s="15"/>
      <c r="D146" s="105">
        <v>1.0</v>
      </c>
      <c r="E146" s="102">
        <v>5.0</v>
      </c>
      <c r="F146" s="107">
        <v>55.0</v>
      </c>
      <c r="G146" s="15" t="str">
        <f t="shared" si="1"/>
        <v>05055</v>
      </c>
      <c r="H146" s="23" t="s">
        <v>138</v>
      </c>
      <c r="I146" s="23" t="s">
        <v>34</v>
      </c>
      <c r="J146" s="23" t="s">
        <v>237</v>
      </c>
      <c r="K146" s="23" t="str">
        <f t="shared" si="5"/>
        <v>Greene, AR</v>
      </c>
      <c r="L146" s="23">
        <v>102.0</v>
      </c>
      <c r="M146" s="32">
        <v>2.235294117647059</v>
      </c>
      <c r="N146" s="127" t="s">
        <v>63</v>
      </c>
      <c r="O146" s="35">
        <v>24.0</v>
      </c>
      <c r="P146" s="35" t="s">
        <v>63</v>
      </c>
      <c r="Q146" s="23">
        <v>23.0</v>
      </c>
      <c r="R146" s="23">
        <v>10.0</v>
      </c>
      <c r="S146" s="127" t="s">
        <v>63</v>
      </c>
      <c r="T146" s="32" t="s">
        <v>63</v>
      </c>
      <c r="U146" s="123">
        <v>38.0</v>
      </c>
      <c r="V146" s="127" t="s">
        <v>63</v>
      </c>
      <c r="W146" s="127" t="s">
        <v>63</v>
      </c>
      <c r="X146" s="127" t="s">
        <v>63</v>
      </c>
      <c r="Y146" s="35">
        <v>45.0</v>
      </c>
      <c r="Z146" s="32" t="s">
        <v>63</v>
      </c>
      <c r="AA146" s="38"/>
      <c r="AB146" s="38"/>
      <c r="AC146" s="38"/>
      <c r="AD146" s="38"/>
      <c r="AE146" s="38"/>
      <c r="AF146" s="38"/>
      <c r="AG146" s="38"/>
      <c r="AH146" s="38"/>
      <c r="AI146" s="38"/>
      <c r="AJ146" s="38"/>
      <c r="AK146" s="38"/>
    </row>
    <row r="147">
      <c r="A147" s="99">
        <v>146.0</v>
      </c>
      <c r="B147" s="15"/>
      <c r="C147" s="15"/>
      <c r="D147" s="105">
        <v>1.0</v>
      </c>
      <c r="E147" s="102">
        <v>5.0</v>
      </c>
      <c r="F147" s="107">
        <v>57.0</v>
      </c>
      <c r="G147" s="15" t="str">
        <f t="shared" si="1"/>
        <v>05057</v>
      </c>
      <c r="H147" s="23" t="s">
        <v>279</v>
      </c>
      <c r="I147" s="23" t="s">
        <v>34</v>
      </c>
      <c r="J147" s="23" t="s">
        <v>237</v>
      </c>
      <c r="K147" s="23" t="str">
        <f t="shared" si="5"/>
        <v>Hempstead, AR</v>
      </c>
      <c r="L147" s="23">
        <v>29.0</v>
      </c>
      <c r="M147" s="32">
        <v>2.25</v>
      </c>
      <c r="N147" s="127" t="s">
        <v>63</v>
      </c>
      <c r="O147" s="35">
        <v>5.0</v>
      </c>
      <c r="P147" s="35" t="s">
        <v>63</v>
      </c>
      <c r="Q147" s="23">
        <v>10.0</v>
      </c>
      <c r="R147" s="23">
        <v>0.0</v>
      </c>
      <c r="S147" s="127" t="s">
        <v>63</v>
      </c>
      <c r="T147" s="32" t="s">
        <v>63</v>
      </c>
      <c r="U147" s="123">
        <v>8.0</v>
      </c>
      <c r="V147" s="127" t="s">
        <v>63</v>
      </c>
      <c r="W147" s="127" t="s">
        <v>63</v>
      </c>
      <c r="X147" s="127" t="s">
        <v>63</v>
      </c>
      <c r="Y147" s="35">
        <v>36.0</v>
      </c>
      <c r="Z147" s="32" t="s">
        <v>63</v>
      </c>
      <c r="AA147" s="38"/>
      <c r="AB147" s="38"/>
      <c r="AC147" s="38"/>
      <c r="AD147" s="38"/>
      <c r="AE147" s="38"/>
      <c r="AF147" s="38"/>
      <c r="AG147" s="38"/>
      <c r="AH147" s="38"/>
      <c r="AI147" s="38"/>
      <c r="AJ147" s="38"/>
      <c r="AK147" s="38"/>
    </row>
    <row r="148">
      <c r="A148" s="99">
        <v>147.0</v>
      </c>
      <c r="B148" s="15"/>
      <c r="C148" s="15"/>
      <c r="D148" s="105">
        <v>1.0</v>
      </c>
      <c r="E148" s="102">
        <v>5.0</v>
      </c>
      <c r="F148" s="107">
        <v>59.0</v>
      </c>
      <c r="G148" s="15" t="str">
        <f t="shared" si="1"/>
        <v>05059</v>
      </c>
      <c r="H148" s="23" t="s">
        <v>280</v>
      </c>
      <c r="I148" s="23" t="s">
        <v>34</v>
      </c>
      <c r="J148" s="23" t="s">
        <v>237</v>
      </c>
      <c r="K148" s="23" t="str">
        <f t="shared" si="5"/>
        <v>Hot Spring, AR</v>
      </c>
      <c r="L148" s="23">
        <v>39.0</v>
      </c>
      <c r="M148" s="32">
        <v>2.090909090909091</v>
      </c>
      <c r="N148" s="127" t="s">
        <v>63</v>
      </c>
      <c r="O148" s="35">
        <v>19.0</v>
      </c>
      <c r="P148" s="35" t="s">
        <v>63</v>
      </c>
      <c r="Q148" s="23">
        <v>16.0</v>
      </c>
      <c r="R148" s="23">
        <v>4.0</v>
      </c>
      <c r="S148" s="127" t="s">
        <v>63</v>
      </c>
      <c r="T148" s="32" t="s">
        <v>63</v>
      </c>
      <c r="U148" s="123">
        <v>19.0</v>
      </c>
      <c r="V148" s="127" t="s">
        <v>63</v>
      </c>
      <c r="W148" s="127" t="s">
        <v>63</v>
      </c>
      <c r="X148" s="127" t="s">
        <v>63</v>
      </c>
      <c r="Y148" s="35">
        <v>54.0</v>
      </c>
      <c r="Z148" s="32" t="s">
        <v>63</v>
      </c>
      <c r="AA148" s="38"/>
      <c r="AB148" s="38"/>
      <c r="AC148" s="38"/>
      <c r="AD148" s="38"/>
      <c r="AE148" s="38"/>
      <c r="AF148" s="38"/>
      <c r="AG148" s="38"/>
      <c r="AH148" s="38"/>
      <c r="AI148" s="38"/>
      <c r="AJ148" s="38"/>
      <c r="AK148" s="38"/>
    </row>
    <row r="149">
      <c r="A149" s="99">
        <v>148.0</v>
      </c>
      <c r="B149" s="15"/>
      <c r="C149" s="15"/>
      <c r="D149" s="105">
        <v>1.0</v>
      </c>
      <c r="E149" s="102">
        <v>5.0</v>
      </c>
      <c r="F149" s="107">
        <v>61.0</v>
      </c>
      <c r="G149" s="15" t="str">
        <f t="shared" si="1"/>
        <v>05061</v>
      </c>
      <c r="H149" s="23" t="s">
        <v>283</v>
      </c>
      <c r="I149" s="23" t="s">
        <v>34</v>
      </c>
      <c r="J149" s="23" t="s">
        <v>237</v>
      </c>
      <c r="K149" s="23" t="str">
        <f t="shared" si="5"/>
        <v>Howard, AR</v>
      </c>
      <c r="L149" s="23">
        <v>13.0</v>
      </c>
      <c r="M149" s="32">
        <v>1.625</v>
      </c>
      <c r="N149" s="127" t="s">
        <v>63</v>
      </c>
      <c r="O149" s="35">
        <v>6.0</v>
      </c>
      <c r="P149" s="35" t="s">
        <v>63</v>
      </c>
      <c r="Q149" s="23">
        <v>10.0</v>
      </c>
      <c r="R149" s="23">
        <v>1.0</v>
      </c>
      <c r="S149" s="127" t="s">
        <v>63</v>
      </c>
      <c r="T149" s="32" t="s">
        <v>63</v>
      </c>
      <c r="U149" s="123">
        <v>4.0</v>
      </c>
      <c r="V149" s="127" t="s">
        <v>63</v>
      </c>
      <c r="W149" s="127" t="s">
        <v>63</v>
      </c>
      <c r="X149" s="127" t="s">
        <v>63</v>
      </c>
      <c r="Y149" s="35">
        <v>26.0</v>
      </c>
      <c r="Z149" s="32" t="s">
        <v>63</v>
      </c>
      <c r="AA149" s="38"/>
      <c r="AB149" s="38"/>
      <c r="AC149" s="38"/>
      <c r="AD149" s="38"/>
      <c r="AE149" s="38"/>
      <c r="AF149" s="38"/>
      <c r="AG149" s="38"/>
      <c r="AH149" s="38"/>
      <c r="AI149" s="38"/>
      <c r="AJ149" s="38"/>
      <c r="AK149" s="38"/>
    </row>
    <row r="150">
      <c r="A150" s="99">
        <v>149.0</v>
      </c>
      <c r="B150" s="15"/>
      <c r="C150" s="15"/>
      <c r="D150" s="105">
        <v>1.0</v>
      </c>
      <c r="E150" s="102">
        <v>5.0</v>
      </c>
      <c r="F150" s="107">
        <v>63.0</v>
      </c>
      <c r="G150" s="15" t="str">
        <f t="shared" si="1"/>
        <v>05063</v>
      </c>
      <c r="H150" s="23" t="s">
        <v>284</v>
      </c>
      <c r="I150" s="23" t="s">
        <v>34</v>
      </c>
      <c r="J150" s="23" t="s">
        <v>237</v>
      </c>
      <c r="K150" s="112" t="str">
        <f t="shared" si="5"/>
        <v>Independence, AR</v>
      </c>
      <c r="L150" s="23">
        <v>52.0</v>
      </c>
      <c r="M150" s="32">
        <v>2.3636363636363638</v>
      </c>
      <c r="N150" s="127" t="s">
        <v>63</v>
      </c>
      <c r="O150" s="35">
        <v>14.0</v>
      </c>
      <c r="P150" s="35" t="s">
        <v>63</v>
      </c>
      <c r="Q150" s="23">
        <v>15.0</v>
      </c>
      <c r="R150" s="23">
        <v>3.0</v>
      </c>
      <c r="S150" s="127" t="s">
        <v>63</v>
      </c>
      <c r="T150" s="32" t="s">
        <v>63</v>
      </c>
      <c r="U150" s="123">
        <v>18.0</v>
      </c>
      <c r="V150" s="127" t="s">
        <v>63</v>
      </c>
      <c r="W150" s="127" t="s">
        <v>63</v>
      </c>
      <c r="X150" s="127" t="s">
        <v>63</v>
      </c>
      <c r="Y150" s="35">
        <v>45.0</v>
      </c>
      <c r="Z150" s="32" t="s">
        <v>63</v>
      </c>
      <c r="AA150" s="38"/>
      <c r="AB150" s="38"/>
      <c r="AC150" s="38"/>
      <c r="AD150" s="38"/>
      <c r="AE150" s="38"/>
      <c r="AF150" s="38"/>
      <c r="AG150" s="38"/>
      <c r="AH150" s="38"/>
      <c r="AI150" s="38"/>
      <c r="AJ150" s="38"/>
      <c r="AK150" s="38"/>
    </row>
    <row r="151">
      <c r="A151" s="99">
        <v>150.0</v>
      </c>
      <c r="B151" s="15"/>
      <c r="C151" s="15"/>
      <c r="D151" s="105">
        <v>1.0</v>
      </c>
      <c r="E151" s="102">
        <v>5.0</v>
      </c>
      <c r="F151" s="107">
        <v>65.0</v>
      </c>
      <c r="G151" s="15" t="str">
        <f t="shared" si="1"/>
        <v>05065</v>
      </c>
      <c r="H151" s="23" t="s">
        <v>285</v>
      </c>
      <c r="I151" s="23" t="s">
        <v>34</v>
      </c>
      <c r="J151" s="23" t="s">
        <v>237</v>
      </c>
      <c r="K151" s="23" t="str">
        <f t="shared" si="5"/>
        <v>Izard, AR</v>
      </c>
      <c r="L151" s="23">
        <v>21.0</v>
      </c>
      <c r="M151" s="32">
        <v>3.5</v>
      </c>
      <c r="N151" s="127" t="s">
        <v>63</v>
      </c>
      <c r="O151" s="35">
        <v>9.0</v>
      </c>
      <c r="P151" s="35" t="s">
        <v>63</v>
      </c>
      <c r="Q151" s="23">
        <v>2.0</v>
      </c>
      <c r="R151" s="23">
        <v>2.0</v>
      </c>
      <c r="S151" s="127" t="s">
        <v>63</v>
      </c>
      <c r="T151" s="32" t="s">
        <v>63</v>
      </c>
      <c r="U151" s="123">
        <v>3.0</v>
      </c>
      <c r="V151" s="127" t="s">
        <v>63</v>
      </c>
      <c r="W151" s="127" t="s">
        <v>63</v>
      </c>
      <c r="X151" s="127" t="s">
        <v>63</v>
      </c>
      <c r="Y151" s="35">
        <v>32.0</v>
      </c>
      <c r="Z151" s="32" t="s">
        <v>63</v>
      </c>
      <c r="AA151" s="38"/>
      <c r="AB151" s="38"/>
      <c r="AC151" s="38"/>
      <c r="AD151" s="38"/>
      <c r="AE151" s="38"/>
      <c r="AF151" s="38"/>
      <c r="AG151" s="38"/>
      <c r="AH151" s="38"/>
      <c r="AI151" s="38"/>
      <c r="AJ151" s="38"/>
      <c r="AK151" s="38"/>
    </row>
    <row r="152">
      <c r="A152" s="99">
        <v>151.0</v>
      </c>
      <c r="B152" s="15"/>
      <c r="C152" s="15"/>
      <c r="D152" s="105">
        <v>1.0</v>
      </c>
      <c r="E152" s="102">
        <v>5.0</v>
      </c>
      <c r="F152" s="107">
        <v>67.0</v>
      </c>
      <c r="G152" s="15" t="str">
        <f t="shared" si="1"/>
        <v>05067</v>
      </c>
      <c r="H152" s="23" t="s">
        <v>142</v>
      </c>
      <c r="I152" s="23" t="s">
        <v>34</v>
      </c>
      <c r="J152" s="23" t="s">
        <v>237</v>
      </c>
      <c r="K152" s="23" t="str">
        <f t="shared" si="5"/>
        <v>Jackson, AR</v>
      </c>
      <c r="L152" s="23">
        <v>28.0</v>
      </c>
      <c r="M152" s="32">
        <v>2.6</v>
      </c>
      <c r="N152" s="127" t="s">
        <v>63</v>
      </c>
      <c r="O152" s="35">
        <v>7.0</v>
      </c>
      <c r="P152" s="35" t="s">
        <v>63</v>
      </c>
      <c r="Q152" s="23">
        <v>7.0</v>
      </c>
      <c r="R152" s="23">
        <v>1.0</v>
      </c>
      <c r="S152" s="127" t="s">
        <v>63</v>
      </c>
      <c r="T152" s="32" t="s">
        <v>63</v>
      </c>
      <c r="U152" s="123">
        <v>14.0</v>
      </c>
      <c r="V152" s="127" t="s">
        <v>63</v>
      </c>
      <c r="W152" s="127" t="s">
        <v>63</v>
      </c>
      <c r="X152" s="127" t="s">
        <v>63</v>
      </c>
      <c r="Y152" s="35">
        <v>26.0</v>
      </c>
      <c r="Z152" s="32" t="s">
        <v>63</v>
      </c>
      <c r="AA152" s="38"/>
      <c r="AB152" s="38"/>
      <c r="AC152" s="38"/>
      <c r="AD152" s="38"/>
      <c r="AE152" s="38"/>
      <c r="AF152" s="38"/>
      <c r="AG152" s="38"/>
      <c r="AH152" s="38"/>
      <c r="AI152" s="38"/>
      <c r="AJ152" s="38"/>
      <c r="AK152" s="38"/>
    </row>
    <row r="153">
      <c r="A153" s="99">
        <v>152.0</v>
      </c>
      <c r="B153" s="15"/>
      <c r="C153" s="15"/>
      <c r="D153" s="105">
        <v>1.0</v>
      </c>
      <c r="E153" s="102">
        <v>5.0</v>
      </c>
      <c r="F153" s="107">
        <v>69.0</v>
      </c>
      <c r="G153" s="15" t="str">
        <f t="shared" si="1"/>
        <v>05069</v>
      </c>
      <c r="H153" s="23" t="s">
        <v>143</v>
      </c>
      <c r="I153" s="23" t="s">
        <v>34</v>
      </c>
      <c r="J153" s="23" t="s">
        <v>237</v>
      </c>
      <c r="K153" s="23" t="str">
        <f t="shared" si="5"/>
        <v>Jefferson, AR</v>
      </c>
      <c r="L153" s="23">
        <v>83.0</v>
      </c>
      <c r="M153" s="32">
        <v>2.5357142857142856</v>
      </c>
      <c r="N153" s="127" t="s">
        <v>63</v>
      </c>
      <c r="O153" s="35">
        <v>30.0</v>
      </c>
      <c r="P153" s="35" t="s">
        <v>63</v>
      </c>
      <c r="Q153" s="23">
        <v>35.0</v>
      </c>
      <c r="R153" s="23">
        <v>2.0</v>
      </c>
      <c r="S153" s="127" t="s">
        <v>63</v>
      </c>
      <c r="T153" s="32" t="s">
        <v>63</v>
      </c>
      <c r="U153" s="123">
        <v>52.0</v>
      </c>
      <c r="V153" s="127" t="s">
        <v>63</v>
      </c>
      <c r="W153" s="127" t="s">
        <v>63</v>
      </c>
      <c r="X153" s="127" t="s">
        <v>63</v>
      </c>
      <c r="Y153" s="35">
        <v>125.0</v>
      </c>
      <c r="Z153" s="32" t="s">
        <v>63</v>
      </c>
      <c r="AA153" s="38"/>
      <c r="AB153" s="38"/>
      <c r="AC153" s="38"/>
      <c r="AD153" s="38"/>
      <c r="AE153" s="38"/>
      <c r="AF153" s="38"/>
      <c r="AG153" s="38"/>
      <c r="AH153" s="38"/>
      <c r="AI153" s="38"/>
      <c r="AJ153" s="38"/>
      <c r="AK153" s="38"/>
    </row>
    <row r="154">
      <c r="A154" s="99">
        <v>153.0</v>
      </c>
      <c r="B154" s="15"/>
      <c r="C154" s="15"/>
      <c r="D154" s="105">
        <v>1.0</v>
      </c>
      <c r="E154" s="102">
        <v>5.0</v>
      </c>
      <c r="F154" s="107">
        <v>71.0</v>
      </c>
      <c r="G154" s="15" t="str">
        <f t="shared" si="1"/>
        <v>05071</v>
      </c>
      <c r="H154" s="23" t="s">
        <v>288</v>
      </c>
      <c r="I154" s="23" t="s">
        <v>34</v>
      </c>
      <c r="J154" s="23" t="s">
        <v>237</v>
      </c>
      <c r="K154" s="23" t="str">
        <f t="shared" si="5"/>
        <v>Johnson, AR</v>
      </c>
      <c r="L154" s="23">
        <v>32.0</v>
      </c>
      <c r="M154" s="32">
        <v>1.6363636363636365</v>
      </c>
      <c r="N154" s="127" t="s">
        <v>63</v>
      </c>
      <c r="O154" s="35">
        <v>22.0</v>
      </c>
      <c r="P154" s="35" t="s">
        <v>63</v>
      </c>
      <c r="Q154" s="23">
        <v>17.0</v>
      </c>
      <c r="R154" s="23">
        <v>1.0</v>
      </c>
      <c r="S154" s="127" t="s">
        <v>63</v>
      </c>
      <c r="T154" s="32" t="s">
        <v>63</v>
      </c>
      <c r="U154" s="123">
        <v>17.0</v>
      </c>
      <c r="V154" s="127" t="s">
        <v>63</v>
      </c>
      <c r="W154" s="127" t="s">
        <v>63</v>
      </c>
      <c r="X154" s="127" t="s">
        <v>63</v>
      </c>
      <c r="Y154" s="35">
        <v>39.0</v>
      </c>
      <c r="Z154" s="32" t="s">
        <v>63</v>
      </c>
      <c r="AA154" s="38"/>
      <c r="AB154" s="38"/>
      <c r="AC154" s="38"/>
      <c r="AD154" s="38"/>
      <c r="AE154" s="38"/>
      <c r="AF154" s="38"/>
      <c r="AG154" s="38"/>
      <c r="AH154" s="38"/>
      <c r="AI154" s="38"/>
      <c r="AJ154" s="38"/>
      <c r="AK154" s="38"/>
    </row>
    <row r="155">
      <c r="A155" s="99">
        <v>154.0</v>
      </c>
      <c r="B155" s="15"/>
      <c r="C155" s="15"/>
      <c r="D155" s="105">
        <v>1.0</v>
      </c>
      <c r="E155" s="102">
        <v>5.0</v>
      </c>
      <c r="F155" s="107">
        <v>73.0</v>
      </c>
      <c r="G155" s="15" t="str">
        <f t="shared" si="1"/>
        <v>05073</v>
      </c>
      <c r="H155" s="23" t="s">
        <v>289</v>
      </c>
      <c r="I155" s="23" t="s">
        <v>34</v>
      </c>
      <c r="J155" s="23" t="s">
        <v>237</v>
      </c>
      <c r="K155" s="23" t="str">
        <f t="shared" si="5"/>
        <v>Lafayette, AR</v>
      </c>
      <c r="L155" s="23">
        <v>4.0</v>
      </c>
      <c r="M155" s="32">
        <v>1.5</v>
      </c>
      <c r="N155" s="127" t="s">
        <v>63</v>
      </c>
      <c r="O155" s="35">
        <v>0.0</v>
      </c>
      <c r="P155" s="35" t="s">
        <v>63</v>
      </c>
      <c r="Q155" s="23">
        <v>3.0</v>
      </c>
      <c r="R155" s="23">
        <v>0.0</v>
      </c>
      <c r="S155" s="127" t="s">
        <v>63</v>
      </c>
      <c r="T155" s="32" t="s">
        <v>63</v>
      </c>
      <c r="U155" s="123">
        <v>4.0</v>
      </c>
      <c r="V155" s="127" t="s">
        <v>63</v>
      </c>
      <c r="W155" s="127" t="s">
        <v>63</v>
      </c>
      <c r="X155" s="127" t="s">
        <v>63</v>
      </c>
      <c r="Y155" s="35">
        <v>23.0</v>
      </c>
      <c r="Z155" s="32" t="s">
        <v>63</v>
      </c>
      <c r="AA155" s="38"/>
      <c r="AB155" s="38"/>
      <c r="AC155" s="38"/>
      <c r="AD155" s="38"/>
      <c r="AE155" s="38"/>
      <c r="AF155" s="38"/>
      <c r="AG155" s="38"/>
      <c r="AH155" s="38"/>
      <c r="AI155" s="38"/>
      <c r="AJ155" s="38"/>
      <c r="AK155" s="38"/>
    </row>
    <row r="156">
      <c r="A156" s="99">
        <v>155.0</v>
      </c>
      <c r="B156" s="15"/>
      <c r="C156" s="15"/>
      <c r="D156" s="105">
        <v>1.0</v>
      </c>
      <c r="E156" s="102">
        <v>5.0</v>
      </c>
      <c r="F156" s="107">
        <v>75.0</v>
      </c>
      <c r="G156" s="15" t="str">
        <f t="shared" si="1"/>
        <v>05075</v>
      </c>
      <c r="H156" s="23" t="s">
        <v>146</v>
      </c>
      <c r="I156" s="23" t="s">
        <v>34</v>
      </c>
      <c r="J156" s="23" t="s">
        <v>237</v>
      </c>
      <c r="K156" s="23" t="str">
        <f t="shared" si="5"/>
        <v>Lawrence, AR</v>
      </c>
      <c r="L156" s="23">
        <v>26.0</v>
      </c>
      <c r="M156" s="32">
        <v>2.625</v>
      </c>
      <c r="N156" s="127" t="s">
        <v>63</v>
      </c>
      <c r="O156" s="35">
        <v>9.0</v>
      </c>
      <c r="P156" s="35" t="s">
        <v>63</v>
      </c>
      <c r="Q156" s="23">
        <v>10.0</v>
      </c>
      <c r="R156" s="23">
        <v>1.0</v>
      </c>
      <c r="S156" s="127" t="s">
        <v>63</v>
      </c>
      <c r="T156" s="32" t="s">
        <v>63</v>
      </c>
      <c r="U156" s="123">
        <v>16.0</v>
      </c>
      <c r="V156" s="127" t="s">
        <v>63</v>
      </c>
      <c r="W156" s="127" t="s">
        <v>63</v>
      </c>
      <c r="X156" s="127" t="s">
        <v>63</v>
      </c>
      <c r="Y156" s="35">
        <v>28.0</v>
      </c>
      <c r="Z156" s="32" t="s">
        <v>63</v>
      </c>
      <c r="AA156" s="38"/>
      <c r="AB156" s="38"/>
      <c r="AC156" s="38"/>
      <c r="AD156" s="38"/>
      <c r="AE156" s="38"/>
      <c r="AF156" s="38"/>
      <c r="AG156" s="38"/>
      <c r="AH156" s="38"/>
      <c r="AI156" s="38"/>
      <c r="AJ156" s="38"/>
      <c r="AK156" s="38"/>
    </row>
    <row r="157">
      <c r="A157" s="99">
        <v>156.0</v>
      </c>
      <c r="B157" s="15"/>
      <c r="C157" s="15"/>
      <c r="D157" s="105">
        <v>1.0</v>
      </c>
      <c r="E157" s="102">
        <v>5.0</v>
      </c>
      <c r="F157" s="107">
        <v>77.0</v>
      </c>
      <c r="G157" s="15" t="str">
        <f t="shared" si="1"/>
        <v>05077</v>
      </c>
      <c r="H157" s="23" t="s">
        <v>147</v>
      </c>
      <c r="I157" s="23" t="s">
        <v>34</v>
      </c>
      <c r="J157" s="23" t="s">
        <v>237</v>
      </c>
      <c r="K157" s="23" t="str">
        <f t="shared" si="5"/>
        <v>Lee, AR</v>
      </c>
      <c r="L157" s="23">
        <v>10.0</v>
      </c>
      <c r="M157" s="32">
        <v>2.0</v>
      </c>
      <c r="N157" s="127" t="s">
        <v>63</v>
      </c>
      <c r="O157" s="35">
        <v>10.0</v>
      </c>
      <c r="P157" s="35" t="s">
        <v>63</v>
      </c>
      <c r="Q157" s="23">
        <v>7.0</v>
      </c>
      <c r="R157" s="23">
        <v>0.0</v>
      </c>
      <c r="S157" s="127" t="s">
        <v>63</v>
      </c>
      <c r="T157" s="32" t="s">
        <v>63</v>
      </c>
      <c r="U157" s="123">
        <v>5.0</v>
      </c>
      <c r="V157" s="127" t="s">
        <v>63</v>
      </c>
      <c r="W157" s="127" t="s">
        <v>63</v>
      </c>
      <c r="X157" s="127" t="s">
        <v>63</v>
      </c>
      <c r="Y157" s="35">
        <v>20.0</v>
      </c>
      <c r="Z157" s="32" t="s">
        <v>63</v>
      </c>
      <c r="AA157" s="38"/>
      <c r="AB157" s="38"/>
      <c r="AC157" s="38"/>
      <c r="AD157" s="38"/>
      <c r="AE157" s="38"/>
      <c r="AF157" s="38"/>
      <c r="AG157" s="38"/>
      <c r="AH157" s="38"/>
      <c r="AI157" s="38"/>
      <c r="AJ157" s="38"/>
      <c r="AK157" s="38"/>
    </row>
    <row r="158">
      <c r="A158" s="99">
        <v>157.0</v>
      </c>
      <c r="B158" s="15"/>
      <c r="C158" s="15"/>
      <c r="D158" s="105">
        <v>1.0</v>
      </c>
      <c r="E158" s="102">
        <v>5.0</v>
      </c>
      <c r="F158" s="107">
        <v>79.0</v>
      </c>
      <c r="G158" s="15" t="str">
        <f t="shared" si="1"/>
        <v>05079</v>
      </c>
      <c r="H158" s="23" t="s">
        <v>290</v>
      </c>
      <c r="I158" s="23" t="s">
        <v>34</v>
      </c>
      <c r="J158" s="23" t="s">
        <v>237</v>
      </c>
      <c r="K158" s="23" t="str">
        <f t="shared" si="5"/>
        <v>Lincoln, AR</v>
      </c>
      <c r="L158" s="23">
        <v>13.0</v>
      </c>
      <c r="M158" s="32">
        <v>2.6</v>
      </c>
      <c r="N158" s="127" t="s">
        <v>63</v>
      </c>
      <c r="O158" s="35">
        <v>9.0</v>
      </c>
      <c r="P158" s="35" t="s">
        <v>63</v>
      </c>
      <c r="Q158" s="23">
        <v>7.0</v>
      </c>
      <c r="R158" s="23">
        <v>0.0</v>
      </c>
      <c r="S158" s="127" t="s">
        <v>63</v>
      </c>
      <c r="T158" s="32" t="s">
        <v>63</v>
      </c>
      <c r="U158" s="123">
        <v>7.0</v>
      </c>
      <c r="V158" s="127" t="s">
        <v>63</v>
      </c>
      <c r="W158" s="127" t="s">
        <v>63</v>
      </c>
      <c r="X158" s="127" t="s">
        <v>63</v>
      </c>
      <c r="Y158" s="35">
        <v>14.0</v>
      </c>
      <c r="Z158" s="32" t="s">
        <v>63</v>
      </c>
      <c r="AA158" s="38"/>
      <c r="AB158" s="38"/>
      <c r="AC158" s="38"/>
      <c r="AD158" s="38"/>
      <c r="AE158" s="38"/>
      <c r="AF158" s="38"/>
      <c r="AG158" s="38"/>
      <c r="AH158" s="38"/>
      <c r="AI158" s="38"/>
      <c r="AJ158" s="38"/>
      <c r="AK158" s="38"/>
    </row>
    <row r="159">
      <c r="A159" s="99">
        <v>158.0</v>
      </c>
      <c r="B159" s="15"/>
      <c r="C159" s="15"/>
      <c r="D159" s="105">
        <v>1.0</v>
      </c>
      <c r="E159" s="102">
        <v>5.0</v>
      </c>
      <c r="F159" s="107">
        <v>81.0</v>
      </c>
      <c r="G159" s="15" t="str">
        <f t="shared" si="1"/>
        <v>05081</v>
      </c>
      <c r="H159" s="23" t="s">
        <v>291</v>
      </c>
      <c r="I159" s="23" t="s">
        <v>34</v>
      </c>
      <c r="J159" s="23" t="s">
        <v>237</v>
      </c>
      <c r="K159" s="23" t="str">
        <f t="shared" si="5"/>
        <v>Little River, AR</v>
      </c>
      <c r="L159" s="23">
        <v>40.0</v>
      </c>
      <c r="M159" s="32">
        <v>1.7777777777777777</v>
      </c>
      <c r="N159" s="127" t="s">
        <v>63</v>
      </c>
      <c r="O159" s="35">
        <v>14.0</v>
      </c>
      <c r="P159" s="35" t="s">
        <v>63</v>
      </c>
      <c r="Q159" s="23">
        <v>15.0</v>
      </c>
      <c r="R159" s="23">
        <v>7.0</v>
      </c>
      <c r="S159" s="127" t="s">
        <v>63</v>
      </c>
      <c r="T159" s="32" t="s">
        <v>63</v>
      </c>
      <c r="U159" s="123">
        <v>5.0</v>
      </c>
      <c r="V159" s="127" t="s">
        <v>63</v>
      </c>
      <c r="W159" s="127" t="s">
        <v>63</v>
      </c>
      <c r="X159" s="127" t="s">
        <v>63</v>
      </c>
      <c r="Y159" s="35">
        <v>27.0</v>
      </c>
      <c r="Z159" s="32" t="s">
        <v>63</v>
      </c>
      <c r="AA159" s="38"/>
      <c r="AB159" s="38"/>
      <c r="AC159" s="38"/>
      <c r="AD159" s="38"/>
      <c r="AE159" s="38"/>
      <c r="AF159" s="38"/>
      <c r="AG159" s="38"/>
      <c r="AH159" s="38"/>
      <c r="AI159" s="38"/>
      <c r="AJ159" s="38"/>
      <c r="AK159" s="38"/>
    </row>
    <row r="160">
      <c r="A160" s="99">
        <v>159.0</v>
      </c>
      <c r="B160" s="15"/>
      <c r="C160" s="15"/>
      <c r="D160" s="105">
        <v>1.0</v>
      </c>
      <c r="E160" s="102">
        <v>5.0</v>
      </c>
      <c r="F160" s="107">
        <v>83.0</v>
      </c>
      <c r="G160" s="15" t="str">
        <f t="shared" si="1"/>
        <v>05083</v>
      </c>
      <c r="H160" s="23" t="s">
        <v>293</v>
      </c>
      <c r="I160" s="23" t="s">
        <v>34</v>
      </c>
      <c r="J160" s="23" t="s">
        <v>237</v>
      </c>
      <c r="K160" s="23" t="str">
        <f t="shared" si="5"/>
        <v>Logan, AR</v>
      </c>
      <c r="L160" s="23">
        <v>60.0</v>
      </c>
      <c r="M160" s="32">
        <v>2.1</v>
      </c>
      <c r="N160" s="127" t="s">
        <v>63</v>
      </c>
      <c r="O160" s="35">
        <v>21.0</v>
      </c>
      <c r="P160" s="35" t="s">
        <v>63</v>
      </c>
      <c r="Q160" s="23">
        <v>15.0</v>
      </c>
      <c r="R160" s="23">
        <v>11.0</v>
      </c>
      <c r="S160" s="127" t="s">
        <v>63</v>
      </c>
      <c r="T160" s="32" t="s">
        <v>63</v>
      </c>
      <c r="U160" s="123">
        <v>33.0</v>
      </c>
      <c r="V160" s="127" t="s">
        <v>63</v>
      </c>
      <c r="W160" s="127" t="s">
        <v>63</v>
      </c>
      <c r="X160" s="127" t="s">
        <v>63</v>
      </c>
      <c r="Y160" s="35">
        <v>46.0</v>
      </c>
      <c r="Z160" s="32" t="s">
        <v>63</v>
      </c>
      <c r="AA160" s="38"/>
      <c r="AB160" s="38"/>
      <c r="AC160" s="38"/>
      <c r="AD160" s="38"/>
      <c r="AE160" s="38"/>
      <c r="AF160" s="38"/>
      <c r="AG160" s="38"/>
      <c r="AH160" s="38"/>
      <c r="AI160" s="38"/>
      <c r="AJ160" s="38"/>
      <c r="AK160" s="38"/>
    </row>
    <row r="161">
      <c r="A161" s="99">
        <v>160.0</v>
      </c>
      <c r="B161" s="15"/>
      <c r="C161" s="15"/>
      <c r="D161" s="105">
        <v>1.0</v>
      </c>
      <c r="E161" s="102">
        <v>5.0</v>
      </c>
      <c r="F161" s="107">
        <v>85.0</v>
      </c>
      <c r="G161" s="15" t="str">
        <f t="shared" si="1"/>
        <v>05085</v>
      </c>
      <c r="H161" s="23" t="s">
        <v>294</v>
      </c>
      <c r="I161" s="23" t="s">
        <v>34</v>
      </c>
      <c r="J161" s="23" t="s">
        <v>237</v>
      </c>
      <c r="K161" s="23" t="str">
        <f t="shared" si="5"/>
        <v>Lonoke, AR</v>
      </c>
      <c r="L161" s="23">
        <v>68.0</v>
      </c>
      <c r="M161" s="32">
        <v>1.826086956521739</v>
      </c>
      <c r="N161" s="127" t="s">
        <v>63</v>
      </c>
      <c r="O161" s="35">
        <v>11.0</v>
      </c>
      <c r="P161" s="35" t="s">
        <v>63</v>
      </c>
      <c r="Q161" s="23">
        <v>59.0</v>
      </c>
      <c r="R161" s="23">
        <v>14.0</v>
      </c>
      <c r="S161" s="127" t="s">
        <v>63</v>
      </c>
      <c r="T161" s="32" t="s">
        <v>63</v>
      </c>
      <c r="U161" s="123">
        <v>25.0</v>
      </c>
      <c r="V161" s="127" t="s">
        <v>63</v>
      </c>
      <c r="W161" s="127" t="s">
        <v>63</v>
      </c>
      <c r="X161" s="127" t="s">
        <v>63</v>
      </c>
      <c r="Y161" s="35">
        <v>60.0</v>
      </c>
      <c r="Z161" s="32" t="s">
        <v>63</v>
      </c>
      <c r="AA161" s="38"/>
      <c r="AB161" s="38"/>
      <c r="AC161" s="38"/>
      <c r="AD161" s="38"/>
      <c r="AE161" s="38"/>
      <c r="AF161" s="38"/>
      <c r="AG161" s="38"/>
      <c r="AH161" s="38"/>
      <c r="AI161" s="38"/>
      <c r="AJ161" s="38"/>
      <c r="AK161" s="38"/>
    </row>
    <row r="162">
      <c r="A162" s="99">
        <v>161.0</v>
      </c>
      <c r="B162" s="15"/>
      <c r="C162" s="15"/>
      <c r="D162" s="105">
        <v>1.0</v>
      </c>
      <c r="E162" s="102">
        <v>5.0</v>
      </c>
      <c r="F162" s="107">
        <v>87.0</v>
      </c>
      <c r="G162" s="15" t="str">
        <f t="shared" si="1"/>
        <v>05087</v>
      </c>
      <c r="H162" s="23" t="s">
        <v>151</v>
      </c>
      <c r="I162" s="23" t="s">
        <v>34</v>
      </c>
      <c r="J162" s="23" t="s">
        <v>237</v>
      </c>
      <c r="K162" s="23" t="str">
        <f t="shared" si="5"/>
        <v>Madison, AR</v>
      </c>
      <c r="L162" s="23">
        <v>33.0</v>
      </c>
      <c r="M162" s="32">
        <v>1.6666666666666667</v>
      </c>
      <c r="N162" s="127" t="s">
        <v>63</v>
      </c>
      <c r="O162" s="35">
        <v>19.0</v>
      </c>
      <c r="P162" s="35" t="s">
        <v>63</v>
      </c>
      <c r="Q162" s="23">
        <v>14.0</v>
      </c>
      <c r="R162" s="23">
        <v>1.0</v>
      </c>
      <c r="S162" s="127" t="s">
        <v>63</v>
      </c>
      <c r="T162" s="32" t="s">
        <v>63</v>
      </c>
      <c r="U162" s="123">
        <v>1.0</v>
      </c>
      <c r="V162" s="127" t="s">
        <v>63</v>
      </c>
      <c r="W162" s="127" t="s">
        <v>63</v>
      </c>
      <c r="X162" s="127" t="s">
        <v>63</v>
      </c>
      <c r="Y162" s="35">
        <v>19.0</v>
      </c>
      <c r="Z162" s="32" t="s">
        <v>63</v>
      </c>
      <c r="AA162" s="38"/>
      <c r="AB162" s="38"/>
      <c r="AC162" s="38"/>
      <c r="AD162" s="38"/>
      <c r="AE162" s="38"/>
      <c r="AF162" s="38"/>
      <c r="AG162" s="38"/>
      <c r="AH162" s="38"/>
      <c r="AI162" s="38"/>
      <c r="AJ162" s="38"/>
      <c r="AK162" s="38"/>
    </row>
    <row r="163">
      <c r="A163" s="99">
        <v>162.0</v>
      </c>
      <c r="B163" s="15"/>
      <c r="C163" s="15"/>
      <c r="D163" s="105">
        <v>1.0</v>
      </c>
      <c r="E163" s="102">
        <v>5.0</v>
      </c>
      <c r="F163" s="107">
        <v>89.0</v>
      </c>
      <c r="G163" s="15" t="str">
        <f t="shared" si="1"/>
        <v>05089</v>
      </c>
      <c r="H163" s="23" t="s">
        <v>153</v>
      </c>
      <c r="I163" s="23" t="s">
        <v>34</v>
      </c>
      <c r="J163" s="23" t="s">
        <v>237</v>
      </c>
      <c r="K163" s="23" t="str">
        <f t="shared" si="5"/>
        <v>Marion, AR</v>
      </c>
      <c r="L163" s="23">
        <v>20.0</v>
      </c>
      <c r="M163" s="32">
        <v>2.0</v>
      </c>
      <c r="N163" s="127" t="s">
        <v>63</v>
      </c>
      <c r="O163" s="35">
        <v>10.0</v>
      </c>
      <c r="P163" s="35" t="s">
        <v>63</v>
      </c>
      <c r="Q163" s="23">
        <v>10.0</v>
      </c>
      <c r="R163" s="23">
        <v>0.0</v>
      </c>
      <c r="S163" s="127" t="s">
        <v>63</v>
      </c>
      <c r="T163" s="32" t="s">
        <v>63</v>
      </c>
      <c r="U163" s="123">
        <v>3.0</v>
      </c>
      <c r="V163" s="127" t="s">
        <v>63</v>
      </c>
      <c r="W163" s="127" t="s">
        <v>63</v>
      </c>
      <c r="X163" s="127" t="s">
        <v>63</v>
      </c>
      <c r="Y163" s="35">
        <v>27.0</v>
      </c>
      <c r="Z163" s="32" t="s">
        <v>63</v>
      </c>
      <c r="AA163" s="38"/>
      <c r="AB163" s="38"/>
      <c r="AC163" s="38"/>
      <c r="AD163" s="38"/>
      <c r="AE163" s="38"/>
      <c r="AF163" s="38"/>
      <c r="AG163" s="38"/>
      <c r="AH163" s="38"/>
      <c r="AI163" s="38"/>
      <c r="AJ163" s="38"/>
      <c r="AK163" s="38"/>
    </row>
    <row r="164">
      <c r="A164" s="99">
        <v>163.0</v>
      </c>
      <c r="B164" s="15"/>
      <c r="C164" s="15"/>
      <c r="D164" s="105">
        <v>1.0</v>
      </c>
      <c r="E164" s="102">
        <v>5.0</v>
      </c>
      <c r="F164" s="107">
        <v>91.0</v>
      </c>
      <c r="G164" s="15" t="str">
        <f t="shared" si="1"/>
        <v>05091</v>
      </c>
      <c r="H164" s="23" t="s">
        <v>295</v>
      </c>
      <c r="I164" s="23" t="s">
        <v>34</v>
      </c>
      <c r="J164" s="23" t="s">
        <v>237</v>
      </c>
      <c r="K164" s="23" t="str">
        <f t="shared" si="5"/>
        <v>Miller, AR</v>
      </c>
      <c r="L164" s="23">
        <v>114.0</v>
      </c>
      <c r="M164" s="32">
        <v>1.8636363636363635</v>
      </c>
      <c r="N164" s="127" t="s">
        <v>63</v>
      </c>
      <c r="O164" s="35">
        <v>36.0</v>
      </c>
      <c r="P164" s="35" t="s">
        <v>63</v>
      </c>
      <c r="Q164" s="23">
        <v>31.0</v>
      </c>
      <c r="R164" s="23">
        <v>5.0</v>
      </c>
      <c r="S164" s="127" t="s">
        <v>63</v>
      </c>
      <c r="T164" s="32" t="s">
        <v>63</v>
      </c>
      <c r="U164" s="123">
        <v>25.0</v>
      </c>
      <c r="V164" s="127" t="s">
        <v>63</v>
      </c>
      <c r="W164" s="127" t="s">
        <v>63</v>
      </c>
      <c r="X164" s="127" t="s">
        <v>63</v>
      </c>
      <c r="Y164" s="35">
        <v>75.0</v>
      </c>
      <c r="Z164" s="32" t="s">
        <v>63</v>
      </c>
      <c r="AA164" s="38"/>
      <c r="AB164" s="38"/>
      <c r="AC164" s="38"/>
      <c r="AD164" s="38"/>
      <c r="AE164" s="38"/>
      <c r="AF164" s="38"/>
      <c r="AG164" s="38"/>
      <c r="AH164" s="38"/>
      <c r="AI164" s="38"/>
      <c r="AJ164" s="38"/>
      <c r="AK164" s="38"/>
    </row>
    <row r="165">
      <c r="A165" s="99">
        <v>164.0</v>
      </c>
      <c r="B165" s="15"/>
      <c r="C165" s="15"/>
      <c r="D165" s="105">
        <v>1.0</v>
      </c>
      <c r="E165" s="102">
        <v>5.0</v>
      </c>
      <c r="F165" s="107">
        <v>93.0</v>
      </c>
      <c r="G165" s="15" t="str">
        <f t="shared" si="1"/>
        <v>05093</v>
      </c>
      <c r="H165" s="23" t="s">
        <v>67</v>
      </c>
      <c r="I165" s="23" t="s">
        <v>34</v>
      </c>
      <c r="J165" s="23" t="s">
        <v>237</v>
      </c>
      <c r="K165" s="23" t="str">
        <f t="shared" si="5"/>
        <v>Mississippi, AR</v>
      </c>
      <c r="L165" s="23">
        <v>27.0</v>
      </c>
      <c r="M165" s="32">
        <v>1.5454545454545454</v>
      </c>
      <c r="N165" s="127" t="s">
        <v>63</v>
      </c>
      <c r="O165" s="35">
        <v>8.0</v>
      </c>
      <c r="P165" s="35" t="s">
        <v>63</v>
      </c>
      <c r="Q165" s="23">
        <v>16.0</v>
      </c>
      <c r="R165" s="23">
        <v>1.0</v>
      </c>
      <c r="S165" s="127" t="s">
        <v>63</v>
      </c>
      <c r="T165" s="32" t="s">
        <v>63</v>
      </c>
      <c r="U165" s="123">
        <v>7.0</v>
      </c>
      <c r="V165" s="127" t="s">
        <v>63</v>
      </c>
      <c r="W165" s="127" t="s">
        <v>63</v>
      </c>
      <c r="X165" s="127" t="s">
        <v>63</v>
      </c>
      <c r="Y165" s="35">
        <v>78.0</v>
      </c>
      <c r="Z165" s="32" t="s">
        <v>63</v>
      </c>
      <c r="AA165" s="38"/>
      <c r="AB165" s="38"/>
      <c r="AC165" s="38"/>
      <c r="AD165" s="38"/>
      <c r="AE165" s="38"/>
      <c r="AF165" s="38"/>
      <c r="AG165" s="38"/>
      <c r="AH165" s="38"/>
      <c r="AI165" s="38"/>
      <c r="AJ165" s="38"/>
      <c r="AK165" s="38"/>
    </row>
    <row r="166">
      <c r="A166" s="99">
        <v>165.0</v>
      </c>
      <c r="B166" s="15"/>
      <c r="C166" s="15"/>
      <c r="D166" s="105">
        <v>1.0</v>
      </c>
      <c r="E166" s="102">
        <v>5.0</v>
      </c>
      <c r="F166" s="107">
        <v>95.0</v>
      </c>
      <c r="G166" s="15" t="str">
        <f t="shared" si="1"/>
        <v>05095</v>
      </c>
      <c r="H166" s="23" t="s">
        <v>156</v>
      </c>
      <c r="I166" s="23" t="s">
        <v>34</v>
      </c>
      <c r="J166" s="23" t="s">
        <v>237</v>
      </c>
      <c r="K166" s="23" t="str">
        <f t="shared" si="5"/>
        <v>Monroe, AR</v>
      </c>
      <c r="L166" s="23">
        <v>12.0</v>
      </c>
      <c r="M166" s="32">
        <v>2.25</v>
      </c>
      <c r="N166" s="127" t="s">
        <v>63</v>
      </c>
      <c r="O166" s="35">
        <v>7.0</v>
      </c>
      <c r="P166" s="35" t="s">
        <v>63</v>
      </c>
      <c r="Q166" s="23">
        <v>9.0</v>
      </c>
      <c r="R166" s="23">
        <v>1.0</v>
      </c>
      <c r="S166" s="127" t="s">
        <v>63</v>
      </c>
      <c r="T166" s="32" t="s">
        <v>63</v>
      </c>
      <c r="U166" s="123">
        <v>5.0</v>
      </c>
      <c r="V166" s="127" t="s">
        <v>63</v>
      </c>
      <c r="W166" s="127" t="s">
        <v>63</v>
      </c>
      <c r="X166" s="127" t="s">
        <v>63</v>
      </c>
      <c r="Y166" s="35">
        <v>15.0</v>
      </c>
      <c r="Z166" s="32" t="s">
        <v>63</v>
      </c>
      <c r="AA166" s="38"/>
      <c r="AB166" s="38"/>
      <c r="AC166" s="38"/>
      <c r="AD166" s="38"/>
      <c r="AE166" s="38"/>
      <c r="AF166" s="38"/>
      <c r="AG166" s="38"/>
      <c r="AH166" s="38"/>
      <c r="AI166" s="38"/>
      <c r="AJ166" s="38"/>
      <c r="AK166" s="38"/>
    </row>
    <row r="167">
      <c r="A167" s="99">
        <v>166.0</v>
      </c>
      <c r="B167" s="15"/>
      <c r="C167" s="15"/>
      <c r="D167" s="105">
        <v>1.0</v>
      </c>
      <c r="E167" s="102">
        <v>5.0</v>
      </c>
      <c r="F167" s="107">
        <v>97.0</v>
      </c>
      <c r="G167" s="15" t="str">
        <f t="shared" si="1"/>
        <v>05097</v>
      </c>
      <c r="H167" s="23" t="s">
        <v>157</v>
      </c>
      <c r="I167" s="23" t="s">
        <v>34</v>
      </c>
      <c r="J167" s="23" t="s">
        <v>237</v>
      </c>
      <c r="K167" s="112" t="str">
        <f t="shared" si="5"/>
        <v>Montgomery, AR</v>
      </c>
      <c r="L167" s="23">
        <v>8.0</v>
      </c>
      <c r="M167" s="32">
        <v>1.3333333333333333</v>
      </c>
      <c r="N167" s="127" t="s">
        <v>63</v>
      </c>
      <c r="O167" s="35">
        <v>4.0</v>
      </c>
      <c r="P167" s="35" t="s">
        <v>63</v>
      </c>
      <c r="Q167" s="23">
        <v>4.0</v>
      </c>
      <c r="R167" s="23">
        <v>0.0</v>
      </c>
      <c r="S167" s="127" t="s">
        <v>63</v>
      </c>
      <c r="T167" s="32" t="s">
        <v>63</v>
      </c>
      <c r="U167" s="123">
        <v>3.0</v>
      </c>
      <c r="V167" s="127" t="s">
        <v>63</v>
      </c>
      <c r="W167" s="127" t="s">
        <v>63</v>
      </c>
      <c r="X167" s="127" t="s">
        <v>63</v>
      </c>
      <c r="Y167" s="35">
        <v>17.0</v>
      </c>
      <c r="Z167" s="32" t="s">
        <v>63</v>
      </c>
      <c r="AA167" s="38"/>
      <c r="AB167" s="38"/>
      <c r="AC167" s="38"/>
      <c r="AD167" s="38"/>
      <c r="AE167" s="38"/>
      <c r="AF167" s="38"/>
      <c r="AG167" s="38"/>
      <c r="AH167" s="38"/>
      <c r="AI167" s="38"/>
      <c r="AJ167" s="38"/>
      <c r="AK167" s="38"/>
    </row>
    <row r="168">
      <c r="A168" s="99">
        <v>167.0</v>
      </c>
      <c r="B168" s="15"/>
      <c r="C168" s="15"/>
      <c r="D168" s="105">
        <v>1.0</v>
      </c>
      <c r="E168" s="102">
        <v>5.0</v>
      </c>
      <c r="F168" s="107">
        <v>99.0</v>
      </c>
      <c r="G168" s="15" t="str">
        <f t="shared" si="1"/>
        <v>05099</v>
      </c>
      <c r="H168" s="23" t="s">
        <v>82</v>
      </c>
      <c r="I168" s="23" t="s">
        <v>34</v>
      </c>
      <c r="J168" s="23" t="s">
        <v>237</v>
      </c>
      <c r="K168" s="23" t="str">
        <f t="shared" si="5"/>
        <v>Nevada, AR</v>
      </c>
      <c r="L168" s="23">
        <v>2.0</v>
      </c>
      <c r="M168" s="32">
        <v>1.0</v>
      </c>
      <c r="N168" s="127" t="s">
        <v>63</v>
      </c>
      <c r="O168" s="35">
        <v>1.0</v>
      </c>
      <c r="P168" s="35" t="s">
        <v>63</v>
      </c>
      <c r="Q168" s="23">
        <v>3.0</v>
      </c>
      <c r="R168" s="23">
        <v>0.0</v>
      </c>
      <c r="S168" s="127" t="s">
        <v>63</v>
      </c>
      <c r="T168" s="32" t="s">
        <v>63</v>
      </c>
      <c r="U168" s="123">
        <v>2.0</v>
      </c>
      <c r="V168" s="127" t="s">
        <v>63</v>
      </c>
      <c r="W168" s="127" t="s">
        <v>63</v>
      </c>
      <c r="X168" s="127" t="s">
        <v>63</v>
      </c>
      <c r="Y168" s="35">
        <v>14.0</v>
      </c>
      <c r="Z168" s="32" t="s">
        <v>63</v>
      </c>
      <c r="AA168" s="38"/>
      <c r="AB168" s="38"/>
      <c r="AC168" s="38"/>
      <c r="AD168" s="38"/>
      <c r="AE168" s="38"/>
      <c r="AF168" s="38"/>
      <c r="AG168" s="38"/>
      <c r="AH168" s="38"/>
      <c r="AI168" s="38"/>
      <c r="AJ168" s="38"/>
      <c r="AK168" s="38"/>
    </row>
    <row r="169">
      <c r="A169" s="99">
        <v>168.0</v>
      </c>
      <c r="B169" s="15"/>
      <c r="C169" s="15"/>
      <c r="D169" s="105">
        <v>1.0</v>
      </c>
      <c r="E169" s="102">
        <v>5.0</v>
      </c>
      <c r="F169" s="107">
        <v>101.0</v>
      </c>
      <c r="G169" s="15" t="str">
        <f t="shared" si="1"/>
        <v>05101</v>
      </c>
      <c r="H169" s="23" t="s">
        <v>297</v>
      </c>
      <c r="I169" s="23" t="s">
        <v>34</v>
      </c>
      <c r="J169" s="23" t="s">
        <v>237</v>
      </c>
      <c r="K169" s="23" t="str">
        <f t="shared" si="5"/>
        <v>Newton, AR</v>
      </c>
      <c r="L169" s="23">
        <v>8.0</v>
      </c>
      <c r="M169" s="32">
        <v>1.0</v>
      </c>
      <c r="N169" s="127" t="s">
        <v>63</v>
      </c>
      <c r="O169" s="35">
        <v>1.0</v>
      </c>
      <c r="P169" s="35" t="s">
        <v>63</v>
      </c>
      <c r="Q169" s="23">
        <v>6.0</v>
      </c>
      <c r="R169" s="23">
        <v>0.0</v>
      </c>
      <c r="S169" s="127" t="s">
        <v>63</v>
      </c>
      <c r="T169" s="32" t="s">
        <v>63</v>
      </c>
      <c r="U169" s="123">
        <v>5.0</v>
      </c>
      <c r="V169" s="127" t="s">
        <v>63</v>
      </c>
      <c r="W169" s="127" t="s">
        <v>63</v>
      </c>
      <c r="X169" s="127" t="s">
        <v>63</v>
      </c>
      <c r="Y169" s="35">
        <v>18.0</v>
      </c>
      <c r="Z169" s="32" t="s">
        <v>63</v>
      </c>
      <c r="AA169" s="38"/>
      <c r="AB169" s="38"/>
      <c r="AC169" s="38"/>
      <c r="AD169" s="38"/>
      <c r="AE169" s="38"/>
      <c r="AF169" s="38"/>
      <c r="AG169" s="38"/>
      <c r="AH169" s="38"/>
      <c r="AI169" s="38"/>
      <c r="AJ169" s="38"/>
      <c r="AK169" s="38"/>
    </row>
    <row r="170">
      <c r="A170" s="99">
        <v>169.0</v>
      </c>
      <c r="B170" s="15"/>
      <c r="C170" s="15"/>
      <c r="D170" s="105">
        <v>1.0</v>
      </c>
      <c r="E170" s="102">
        <v>5.0</v>
      </c>
      <c r="F170" s="107">
        <v>103.0</v>
      </c>
      <c r="G170" s="15" t="str">
        <f t="shared" si="1"/>
        <v>05103</v>
      </c>
      <c r="H170" s="23" t="s">
        <v>298</v>
      </c>
      <c r="I170" s="23" t="s">
        <v>34</v>
      </c>
      <c r="J170" s="23" t="s">
        <v>237</v>
      </c>
      <c r="K170" s="23" t="str">
        <f t="shared" si="5"/>
        <v>Ouachita, AR</v>
      </c>
      <c r="L170" s="23">
        <v>21.0</v>
      </c>
      <c r="M170" s="32">
        <v>1.5</v>
      </c>
      <c r="N170" s="127" t="s">
        <v>63</v>
      </c>
      <c r="O170" s="35">
        <v>8.0</v>
      </c>
      <c r="P170" s="35" t="s">
        <v>63</v>
      </c>
      <c r="Q170" s="23">
        <v>15.0</v>
      </c>
      <c r="R170" s="23">
        <v>0.0</v>
      </c>
      <c r="S170" s="127" t="s">
        <v>63</v>
      </c>
      <c r="T170" s="32" t="s">
        <v>63</v>
      </c>
      <c r="U170" s="123">
        <v>10.0</v>
      </c>
      <c r="V170" s="127" t="s">
        <v>63</v>
      </c>
      <c r="W170" s="127" t="s">
        <v>63</v>
      </c>
      <c r="X170" s="127" t="s">
        <v>63</v>
      </c>
      <c r="Y170" s="35">
        <v>68.0</v>
      </c>
      <c r="Z170" s="32" t="s">
        <v>63</v>
      </c>
      <c r="AA170" s="38"/>
      <c r="AB170" s="38"/>
      <c r="AC170" s="38"/>
      <c r="AD170" s="38"/>
      <c r="AE170" s="38"/>
      <c r="AF170" s="38"/>
      <c r="AG170" s="38"/>
      <c r="AH170" s="38"/>
      <c r="AI170" s="38"/>
      <c r="AJ170" s="38"/>
      <c r="AK170" s="38"/>
    </row>
    <row r="171">
      <c r="A171" s="99">
        <v>170.0</v>
      </c>
      <c r="B171" s="15"/>
      <c r="C171" s="15"/>
      <c r="D171" s="105">
        <v>1.0</v>
      </c>
      <c r="E171" s="102">
        <v>5.0</v>
      </c>
      <c r="F171" s="107">
        <v>105.0</v>
      </c>
      <c r="G171" s="15" t="str">
        <f t="shared" si="1"/>
        <v>05105</v>
      </c>
      <c r="H171" s="23" t="s">
        <v>159</v>
      </c>
      <c r="I171" s="23" t="s">
        <v>34</v>
      </c>
      <c r="J171" s="23" t="s">
        <v>237</v>
      </c>
      <c r="K171" s="23" t="str">
        <f t="shared" si="5"/>
        <v>Perry, AR</v>
      </c>
      <c r="L171" s="23">
        <v>15.0</v>
      </c>
      <c r="M171" s="32">
        <v>1.0</v>
      </c>
      <c r="N171" s="127" t="s">
        <v>63</v>
      </c>
      <c r="O171" s="35">
        <v>7.0</v>
      </c>
      <c r="P171" s="35" t="s">
        <v>63</v>
      </c>
      <c r="Q171" s="23">
        <v>2.0</v>
      </c>
      <c r="R171" s="23">
        <v>0.0</v>
      </c>
      <c r="S171" s="127" t="s">
        <v>63</v>
      </c>
      <c r="T171" s="32" t="s">
        <v>63</v>
      </c>
      <c r="U171" s="123">
        <v>5.0</v>
      </c>
      <c r="V171" s="127" t="s">
        <v>63</v>
      </c>
      <c r="W171" s="127" t="s">
        <v>63</v>
      </c>
      <c r="X171" s="127" t="s">
        <v>63</v>
      </c>
      <c r="Y171" s="35">
        <v>20.0</v>
      </c>
      <c r="Z171" s="32" t="s">
        <v>63</v>
      </c>
      <c r="AA171" s="38"/>
      <c r="AB171" s="38"/>
      <c r="AC171" s="38"/>
      <c r="AD171" s="38"/>
      <c r="AE171" s="38"/>
      <c r="AF171" s="38"/>
      <c r="AG171" s="38"/>
      <c r="AH171" s="38"/>
      <c r="AI171" s="38"/>
      <c r="AJ171" s="38"/>
      <c r="AK171" s="38"/>
    </row>
    <row r="172">
      <c r="A172" s="99">
        <v>171.0</v>
      </c>
      <c r="B172" s="15"/>
      <c r="C172" s="15"/>
      <c r="D172" s="105">
        <v>1.0</v>
      </c>
      <c r="E172" s="102">
        <v>5.0</v>
      </c>
      <c r="F172" s="107">
        <v>107.0</v>
      </c>
      <c r="G172" s="15" t="str">
        <f t="shared" si="1"/>
        <v>05107</v>
      </c>
      <c r="H172" s="23" t="s">
        <v>300</v>
      </c>
      <c r="I172" s="23" t="s">
        <v>34</v>
      </c>
      <c r="J172" s="23" t="s">
        <v>237</v>
      </c>
      <c r="K172" s="23" t="str">
        <f t="shared" si="5"/>
        <v>Phillips, AR</v>
      </c>
      <c r="L172" s="23">
        <v>17.0</v>
      </c>
      <c r="M172" s="32">
        <v>1.6666666666666667</v>
      </c>
      <c r="N172" s="127" t="s">
        <v>63</v>
      </c>
      <c r="O172" s="35">
        <v>16.0</v>
      </c>
      <c r="P172" s="35" t="s">
        <v>63</v>
      </c>
      <c r="Q172" s="23">
        <v>5.0</v>
      </c>
      <c r="R172" s="23">
        <v>1.0</v>
      </c>
      <c r="S172" s="127" t="s">
        <v>63</v>
      </c>
      <c r="T172" s="32" t="s">
        <v>63</v>
      </c>
      <c r="U172" s="123">
        <v>9.0</v>
      </c>
      <c r="V172" s="127" t="s">
        <v>63</v>
      </c>
      <c r="W172" s="127" t="s">
        <v>63</v>
      </c>
      <c r="X172" s="127" t="s">
        <v>63</v>
      </c>
      <c r="Y172" s="35">
        <v>30.0</v>
      </c>
      <c r="Z172" s="32" t="s">
        <v>63</v>
      </c>
      <c r="AA172" s="38"/>
      <c r="AB172" s="38"/>
      <c r="AC172" s="38"/>
      <c r="AD172" s="38"/>
      <c r="AE172" s="38"/>
      <c r="AF172" s="38"/>
      <c r="AG172" s="38"/>
      <c r="AH172" s="38"/>
      <c r="AI172" s="38"/>
      <c r="AJ172" s="38"/>
      <c r="AK172" s="38"/>
    </row>
    <row r="173">
      <c r="A173" s="99">
        <v>172.0</v>
      </c>
      <c r="B173" s="15"/>
      <c r="C173" s="15"/>
      <c r="D173" s="105">
        <v>1.0</v>
      </c>
      <c r="E173" s="102">
        <v>5.0</v>
      </c>
      <c r="F173" s="107">
        <v>109.0</v>
      </c>
      <c r="G173" s="15" t="str">
        <f t="shared" si="1"/>
        <v>05109</v>
      </c>
      <c r="H173" s="23" t="s">
        <v>162</v>
      </c>
      <c r="I173" s="23" t="s">
        <v>34</v>
      </c>
      <c r="J173" s="23" t="s">
        <v>237</v>
      </c>
      <c r="K173" s="23" t="str">
        <f t="shared" si="5"/>
        <v>Pike, AR</v>
      </c>
      <c r="L173" s="23">
        <v>9.0</v>
      </c>
      <c r="M173" s="32">
        <v>1.75</v>
      </c>
      <c r="N173" s="127" t="s">
        <v>63</v>
      </c>
      <c r="O173" s="35">
        <v>1.0</v>
      </c>
      <c r="P173" s="35" t="s">
        <v>63</v>
      </c>
      <c r="Q173" s="23">
        <v>5.0</v>
      </c>
      <c r="R173" s="23">
        <v>1.0</v>
      </c>
      <c r="S173" s="127" t="s">
        <v>63</v>
      </c>
      <c r="T173" s="32" t="s">
        <v>63</v>
      </c>
      <c r="U173" s="123">
        <v>3.0</v>
      </c>
      <c r="V173" s="127" t="s">
        <v>63</v>
      </c>
      <c r="W173" s="127" t="s">
        <v>63</v>
      </c>
      <c r="X173" s="127" t="s">
        <v>63</v>
      </c>
      <c r="Y173" s="35">
        <v>26.0</v>
      </c>
      <c r="Z173" s="32" t="s">
        <v>63</v>
      </c>
      <c r="AA173" s="38"/>
      <c r="AB173" s="38"/>
      <c r="AC173" s="38"/>
      <c r="AD173" s="38"/>
      <c r="AE173" s="38"/>
      <c r="AF173" s="38"/>
      <c r="AG173" s="38"/>
      <c r="AH173" s="38"/>
      <c r="AI173" s="38"/>
      <c r="AJ173" s="38"/>
      <c r="AK173" s="38"/>
    </row>
    <row r="174">
      <c r="A174" s="99">
        <v>173.0</v>
      </c>
      <c r="B174" s="15"/>
      <c r="C174" s="15"/>
      <c r="D174" s="105">
        <v>1.0</v>
      </c>
      <c r="E174" s="102">
        <v>5.0</v>
      </c>
      <c r="F174" s="107">
        <v>111.0</v>
      </c>
      <c r="G174" s="15" t="str">
        <f t="shared" si="1"/>
        <v>05111</v>
      </c>
      <c r="H174" s="23" t="s">
        <v>301</v>
      </c>
      <c r="I174" s="23" t="s">
        <v>34</v>
      </c>
      <c r="J174" s="23" t="s">
        <v>237</v>
      </c>
      <c r="K174" s="23" t="str">
        <f t="shared" si="5"/>
        <v>Poinsett, AR</v>
      </c>
      <c r="L174" s="23">
        <v>96.0</v>
      </c>
      <c r="M174" s="32">
        <v>2.25</v>
      </c>
      <c r="N174" s="127" t="s">
        <v>63</v>
      </c>
      <c r="O174" s="35">
        <v>24.0</v>
      </c>
      <c r="P174" s="35" t="s">
        <v>63</v>
      </c>
      <c r="Q174" s="23">
        <v>18.0</v>
      </c>
      <c r="R174" s="23">
        <v>9.0</v>
      </c>
      <c r="S174" s="127" t="s">
        <v>63</v>
      </c>
      <c r="T174" s="32" t="s">
        <v>63</v>
      </c>
      <c r="U174" s="123">
        <v>29.0</v>
      </c>
      <c r="V174" s="127" t="s">
        <v>63</v>
      </c>
      <c r="W174" s="127" t="s">
        <v>63</v>
      </c>
      <c r="X174" s="127" t="s">
        <v>63</v>
      </c>
      <c r="Y174" s="35">
        <v>39.0</v>
      </c>
      <c r="Z174" s="32" t="s">
        <v>63</v>
      </c>
      <c r="AA174" s="38"/>
      <c r="AB174" s="38"/>
      <c r="AC174" s="38"/>
      <c r="AD174" s="38"/>
      <c r="AE174" s="38"/>
      <c r="AF174" s="38"/>
      <c r="AG174" s="38"/>
      <c r="AH174" s="38"/>
      <c r="AI174" s="38"/>
      <c r="AJ174" s="38"/>
      <c r="AK174" s="38"/>
    </row>
    <row r="175">
      <c r="A175" s="99">
        <v>174.0</v>
      </c>
      <c r="B175" s="15"/>
      <c r="C175" s="15"/>
      <c r="D175" s="105">
        <v>1.0</v>
      </c>
      <c r="E175" s="102">
        <v>5.0</v>
      </c>
      <c r="F175" s="107">
        <v>113.0</v>
      </c>
      <c r="G175" s="15" t="str">
        <f t="shared" si="1"/>
        <v>05113</v>
      </c>
      <c r="H175" s="23" t="s">
        <v>302</v>
      </c>
      <c r="I175" s="23" t="s">
        <v>34</v>
      </c>
      <c r="J175" s="23" t="s">
        <v>237</v>
      </c>
      <c r="K175" s="23" t="str">
        <f t="shared" si="5"/>
        <v>Polk, AR</v>
      </c>
      <c r="L175" s="23">
        <v>16.0</v>
      </c>
      <c r="M175" s="32">
        <v>2.2</v>
      </c>
      <c r="N175" s="127" t="s">
        <v>63</v>
      </c>
      <c r="O175" s="35">
        <v>7.0</v>
      </c>
      <c r="P175" s="35" t="s">
        <v>63</v>
      </c>
      <c r="Q175" s="23">
        <v>15.0</v>
      </c>
      <c r="R175" s="23">
        <v>2.0</v>
      </c>
      <c r="S175" s="127" t="s">
        <v>63</v>
      </c>
      <c r="T175" s="32" t="s">
        <v>63</v>
      </c>
      <c r="U175" s="123">
        <v>11.0</v>
      </c>
      <c r="V175" s="127" t="s">
        <v>63</v>
      </c>
      <c r="W175" s="127" t="s">
        <v>63</v>
      </c>
      <c r="X175" s="127" t="s">
        <v>63</v>
      </c>
      <c r="Y175" s="35">
        <v>30.0</v>
      </c>
      <c r="Z175" s="32" t="s">
        <v>63</v>
      </c>
      <c r="AA175" s="38"/>
      <c r="AB175" s="38"/>
      <c r="AC175" s="38"/>
      <c r="AD175" s="38"/>
      <c r="AE175" s="38"/>
      <c r="AF175" s="38"/>
      <c r="AG175" s="38"/>
      <c r="AH175" s="38"/>
      <c r="AI175" s="38"/>
      <c r="AJ175" s="38"/>
      <c r="AK175" s="38"/>
    </row>
    <row r="176">
      <c r="A176" s="99">
        <v>175.0</v>
      </c>
      <c r="B176" s="15"/>
      <c r="C176" s="15"/>
      <c r="D176" s="105">
        <v>1.0</v>
      </c>
      <c r="E176" s="102">
        <v>5.0</v>
      </c>
      <c r="F176" s="107">
        <v>115.0</v>
      </c>
      <c r="G176" s="15" t="str">
        <f t="shared" si="1"/>
        <v>05115</v>
      </c>
      <c r="H176" s="23" t="s">
        <v>303</v>
      </c>
      <c r="I176" s="23" t="s">
        <v>34</v>
      </c>
      <c r="J176" s="23" t="s">
        <v>237</v>
      </c>
      <c r="K176" s="23" t="str">
        <f t="shared" si="5"/>
        <v>Pope, AR</v>
      </c>
      <c r="L176" s="23">
        <v>48.0</v>
      </c>
      <c r="M176" s="32">
        <v>2.032258064516129</v>
      </c>
      <c r="N176" s="127" t="s">
        <v>63</v>
      </c>
      <c r="O176" s="35">
        <v>19.0</v>
      </c>
      <c r="P176" s="35" t="s">
        <v>63</v>
      </c>
      <c r="Q176" s="23">
        <v>40.0</v>
      </c>
      <c r="R176" s="23">
        <v>2.0</v>
      </c>
      <c r="S176" s="127" t="s">
        <v>63</v>
      </c>
      <c r="T176" s="32" t="s">
        <v>63</v>
      </c>
      <c r="U176" s="123">
        <v>36.0</v>
      </c>
      <c r="V176" s="127" t="s">
        <v>63</v>
      </c>
      <c r="W176" s="127" t="s">
        <v>63</v>
      </c>
      <c r="X176" s="127" t="s">
        <v>63</v>
      </c>
      <c r="Y176" s="35">
        <v>87.0</v>
      </c>
      <c r="Z176" s="32" t="s">
        <v>63</v>
      </c>
      <c r="AA176" s="38"/>
      <c r="AB176" s="38"/>
      <c r="AC176" s="38"/>
      <c r="AD176" s="38"/>
      <c r="AE176" s="38"/>
      <c r="AF176" s="38"/>
      <c r="AG176" s="38"/>
      <c r="AH176" s="38"/>
      <c r="AI176" s="38"/>
      <c r="AJ176" s="38"/>
      <c r="AK176" s="38"/>
    </row>
    <row r="177">
      <c r="A177" s="99">
        <v>176.0</v>
      </c>
      <c r="B177" s="15"/>
      <c r="C177" s="15"/>
      <c r="D177" s="105">
        <v>1.0</v>
      </c>
      <c r="E177" s="102">
        <v>5.0</v>
      </c>
      <c r="F177" s="107">
        <v>117.0</v>
      </c>
      <c r="G177" s="15" t="str">
        <f t="shared" si="1"/>
        <v>05117</v>
      </c>
      <c r="H177" s="23" t="s">
        <v>304</v>
      </c>
      <c r="I177" s="23" t="s">
        <v>34</v>
      </c>
      <c r="J177" s="23" t="s">
        <v>237</v>
      </c>
      <c r="K177" s="23" t="str">
        <f t="shared" si="5"/>
        <v>Prairie, AR</v>
      </c>
      <c r="L177" s="23">
        <v>2.0</v>
      </c>
      <c r="M177" s="32">
        <v>4.0</v>
      </c>
      <c r="N177" s="127" t="s">
        <v>63</v>
      </c>
      <c r="O177" s="35">
        <v>2.0</v>
      </c>
      <c r="P177" s="35" t="s">
        <v>63</v>
      </c>
      <c r="Q177" s="23">
        <v>3.0</v>
      </c>
      <c r="R177" s="23">
        <v>0.0</v>
      </c>
      <c r="S177" s="127" t="s">
        <v>63</v>
      </c>
      <c r="T177" s="32" t="s">
        <v>63</v>
      </c>
      <c r="U177" s="123">
        <v>6.0</v>
      </c>
      <c r="V177" s="127" t="s">
        <v>63</v>
      </c>
      <c r="W177" s="127" t="s">
        <v>63</v>
      </c>
      <c r="X177" s="127" t="s">
        <v>63</v>
      </c>
      <c r="Y177" s="35">
        <v>17.0</v>
      </c>
      <c r="Z177" s="32" t="s">
        <v>63</v>
      </c>
      <c r="AA177" s="38"/>
      <c r="AB177" s="38"/>
      <c r="AC177" s="38"/>
      <c r="AD177" s="38"/>
      <c r="AE177" s="38"/>
      <c r="AF177" s="38"/>
      <c r="AG177" s="38"/>
      <c r="AH177" s="38"/>
      <c r="AI177" s="38"/>
      <c r="AJ177" s="38"/>
      <c r="AK177" s="38"/>
    </row>
    <row r="178">
      <c r="A178" s="99">
        <v>177.0</v>
      </c>
      <c r="B178" s="15"/>
      <c r="C178" s="15"/>
      <c r="D178" s="105">
        <v>1.0</v>
      </c>
      <c r="E178" s="102">
        <v>5.0</v>
      </c>
      <c r="F178" s="107">
        <v>119.0</v>
      </c>
      <c r="G178" s="15" t="str">
        <f t="shared" si="1"/>
        <v>05119</v>
      </c>
      <c r="H178" s="23" t="s">
        <v>305</v>
      </c>
      <c r="I178" s="23" t="s">
        <v>34</v>
      </c>
      <c r="J178" s="23" t="s">
        <v>237</v>
      </c>
      <c r="K178" s="23" t="str">
        <f t="shared" si="5"/>
        <v>Pulaski, AR</v>
      </c>
      <c r="L178" s="23">
        <v>480.0</v>
      </c>
      <c r="M178" s="32">
        <v>1.7037037037037037</v>
      </c>
      <c r="N178" s="127" t="s">
        <v>63</v>
      </c>
      <c r="O178" s="35">
        <v>129.0</v>
      </c>
      <c r="P178" s="35" t="s">
        <v>63</v>
      </c>
      <c r="Q178" s="23">
        <v>195.0</v>
      </c>
      <c r="R178" s="23">
        <v>32.0</v>
      </c>
      <c r="S178" s="127" t="s">
        <v>63</v>
      </c>
      <c r="T178" s="32" t="s">
        <v>63</v>
      </c>
      <c r="U178" s="123">
        <v>137.0</v>
      </c>
      <c r="V178" s="127" t="s">
        <v>63</v>
      </c>
      <c r="W178" s="127" t="s">
        <v>63</v>
      </c>
      <c r="X178" s="127" t="s">
        <v>63</v>
      </c>
      <c r="Y178" s="35">
        <v>458.0</v>
      </c>
      <c r="Z178" s="32" t="s">
        <v>63</v>
      </c>
      <c r="AA178" s="38"/>
      <c r="AB178" s="38"/>
      <c r="AC178" s="38"/>
      <c r="AD178" s="38"/>
      <c r="AE178" s="38"/>
      <c r="AF178" s="38"/>
      <c r="AG178" s="38"/>
      <c r="AH178" s="38"/>
      <c r="AI178" s="38"/>
      <c r="AJ178" s="38"/>
      <c r="AK178" s="38"/>
    </row>
    <row r="179">
      <c r="A179" s="99">
        <v>178.0</v>
      </c>
      <c r="B179" s="15"/>
      <c r="C179" s="15"/>
      <c r="D179" s="105">
        <v>1.0</v>
      </c>
      <c r="E179" s="102">
        <v>5.0</v>
      </c>
      <c r="F179" s="107">
        <v>121.0</v>
      </c>
      <c r="G179" s="15" t="str">
        <f t="shared" si="1"/>
        <v>05121</v>
      </c>
      <c r="H179" s="23" t="s">
        <v>163</v>
      </c>
      <c r="I179" s="23" t="s">
        <v>34</v>
      </c>
      <c r="J179" s="23" t="s">
        <v>237</v>
      </c>
      <c r="K179" s="23" t="str">
        <f t="shared" si="5"/>
        <v>Randolph, AR</v>
      </c>
      <c r="L179" s="23">
        <v>42.0</v>
      </c>
      <c r="M179" s="32">
        <v>3.2</v>
      </c>
      <c r="N179" s="127" t="s">
        <v>63</v>
      </c>
      <c r="O179" s="35">
        <v>16.0</v>
      </c>
      <c r="P179" s="35" t="s">
        <v>63</v>
      </c>
      <c r="Q179" s="23">
        <v>7.0</v>
      </c>
      <c r="R179" s="23">
        <v>2.0</v>
      </c>
      <c r="S179" s="127" t="s">
        <v>63</v>
      </c>
      <c r="T179" s="32" t="s">
        <v>63</v>
      </c>
      <c r="U179" s="123">
        <v>13.0</v>
      </c>
      <c r="V179" s="127" t="s">
        <v>63</v>
      </c>
      <c r="W179" s="127" t="s">
        <v>63</v>
      </c>
      <c r="X179" s="127" t="s">
        <v>63</v>
      </c>
      <c r="Y179" s="35">
        <v>23.0</v>
      </c>
      <c r="Z179" s="32" t="s">
        <v>63</v>
      </c>
      <c r="AA179" s="38"/>
      <c r="AB179" s="38"/>
      <c r="AC179" s="38"/>
      <c r="AD179" s="38"/>
      <c r="AE179" s="38"/>
      <c r="AF179" s="38"/>
      <c r="AG179" s="38"/>
      <c r="AH179" s="38"/>
      <c r="AI179" s="38"/>
      <c r="AJ179" s="38"/>
      <c r="AK179" s="38"/>
    </row>
    <row r="180">
      <c r="A180" s="99">
        <v>179.0</v>
      </c>
      <c r="B180" s="15"/>
      <c r="C180" s="15"/>
      <c r="D180" s="105">
        <v>1.0</v>
      </c>
      <c r="E180" s="102">
        <v>5.0</v>
      </c>
      <c r="F180" s="107">
        <v>123.0</v>
      </c>
      <c r="G180" s="15" t="str">
        <f t="shared" si="1"/>
        <v>05123</v>
      </c>
      <c r="H180" s="23" t="s">
        <v>307</v>
      </c>
      <c r="I180" s="23" t="s">
        <v>34</v>
      </c>
      <c r="J180" s="23" t="s">
        <v>237</v>
      </c>
      <c r="K180" s="23" t="str">
        <f t="shared" si="5"/>
        <v>St Francis, AR</v>
      </c>
      <c r="L180" s="23">
        <v>21.0</v>
      </c>
      <c r="M180" s="32">
        <v>2.0</v>
      </c>
      <c r="N180" s="127" t="s">
        <v>63</v>
      </c>
      <c r="O180" s="35">
        <v>13.0</v>
      </c>
      <c r="P180" s="35" t="s">
        <v>63</v>
      </c>
      <c r="Q180" s="23">
        <v>12.0</v>
      </c>
      <c r="R180" s="23">
        <v>0.0</v>
      </c>
      <c r="S180" s="127" t="s">
        <v>63</v>
      </c>
      <c r="T180" s="32" t="s">
        <v>63</v>
      </c>
      <c r="U180" s="123">
        <v>26.0</v>
      </c>
      <c r="V180" s="127" t="s">
        <v>63</v>
      </c>
      <c r="W180" s="127" t="s">
        <v>63</v>
      </c>
      <c r="X180" s="127" t="s">
        <v>63</v>
      </c>
      <c r="Y180" s="35">
        <v>44.0</v>
      </c>
      <c r="Z180" s="32" t="s">
        <v>63</v>
      </c>
      <c r="AA180" s="38"/>
      <c r="AB180" s="38"/>
      <c r="AC180" s="38"/>
      <c r="AD180" s="38"/>
      <c r="AE180" s="38"/>
      <c r="AF180" s="38"/>
      <c r="AG180" s="38"/>
      <c r="AH180" s="38"/>
      <c r="AI180" s="38"/>
      <c r="AJ180" s="38"/>
      <c r="AK180" s="38"/>
    </row>
    <row r="181">
      <c r="A181" s="99">
        <v>180.0</v>
      </c>
      <c r="B181" s="15"/>
      <c r="C181" s="15"/>
      <c r="D181" s="105">
        <v>1.0</v>
      </c>
      <c r="E181" s="102">
        <v>5.0</v>
      </c>
      <c r="F181" s="107">
        <v>125.0</v>
      </c>
      <c r="G181" s="15" t="str">
        <f t="shared" si="1"/>
        <v>05125</v>
      </c>
      <c r="H181" s="23" t="s">
        <v>308</v>
      </c>
      <c r="I181" s="23" t="s">
        <v>34</v>
      </c>
      <c r="J181" s="23" t="s">
        <v>237</v>
      </c>
      <c r="K181" s="23" t="str">
        <f t="shared" si="5"/>
        <v>Saline, AR</v>
      </c>
      <c r="L181" s="23">
        <v>52.0</v>
      </c>
      <c r="M181" s="32">
        <v>2.4941176470588236</v>
      </c>
      <c r="N181" s="127" t="s">
        <v>63</v>
      </c>
      <c r="O181" s="35">
        <v>17.0</v>
      </c>
      <c r="P181" s="35" t="s">
        <v>63</v>
      </c>
      <c r="Q181" s="23">
        <v>98.0</v>
      </c>
      <c r="R181" s="23">
        <v>4.0</v>
      </c>
      <c r="S181" s="127" t="s">
        <v>63</v>
      </c>
      <c r="T181" s="32" t="s">
        <v>63</v>
      </c>
      <c r="U181" s="123">
        <v>30.0</v>
      </c>
      <c r="V181" s="127" t="s">
        <v>63</v>
      </c>
      <c r="W181" s="127" t="s">
        <v>63</v>
      </c>
      <c r="X181" s="127" t="s">
        <v>63</v>
      </c>
      <c r="Y181" s="35">
        <v>93.0</v>
      </c>
      <c r="Z181" s="32" t="s">
        <v>63</v>
      </c>
      <c r="AA181" s="38"/>
      <c r="AB181" s="38"/>
      <c r="AC181" s="38"/>
      <c r="AD181" s="38"/>
      <c r="AE181" s="38"/>
      <c r="AF181" s="38"/>
      <c r="AG181" s="38"/>
      <c r="AH181" s="38"/>
      <c r="AI181" s="38"/>
      <c r="AJ181" s="38"/>
      <c r="AK181" s="38"/>
    </row>
    <row r="182">
      <c r="A182" s="99">
        <v>181.0</v>
      </c>
      <c r="B182" s="15"/>
      <c r="C182" s="15"/>
      <c r="D182" s="105">
        <v>1.0</v>
      </c>
      <c r="E182" s="102">
        <v>5.0</v>
      </c>
      <c r="F182" s="107">
        <v>127.0</v>
      </c>
      <c r="G182" s="15" t="str">
        <f t="shared" si="1"/>
        <v>05127</v>
      </c>
      <c r="H182" s="23" t="s">
        <v>309</v>
      </c>
      <c r="I182" s="23" t="s">
        <v>34</v>
      </c>
      <c r="J182" s="23" t="s">
        <v>237</v>
      </c>
      <c r="K182" s="23" t="str">
        <f t="shared" si="5"/>
        <v>Scott, AR</v>
      </c>
      <c r="L182" s="23">
        <v>21.0</v>
      </c>
      <c r="M182" s="32">
        <v>2.5</v>
      </c>
      <c r="N182" s="127" t="s">
        <v>63</v>
      </c>
      <c r="O182" s="35">
        <v>6.0</v>
      </c>
      <c r="P182" s="35" t="s">
        <v>63</v>
      </c>
      <c r="Q182" s="23">
        <v>8.0</v>
      </c>
      <c r="R182" s="23">
        <v>4.0</v>
      </c>
      <c r="S182" s="127" t="s">
        <v>63</v>
      </c>
      <c r="T182" s="32" t="s">
        <v>63</v>
      </c>
      <c r="U182" s="123">
        <v>3.0</v>
      </c>
      <c r="V182" s="127" t="s">
        <v>63</v>
      </c>
      <c r="W182" s="127" t="s">
        <v>63</v>
      </c>
      <c r="X182" s="127" t="s">
        <v>63</v>
      </c>
      <c r="Y182" s="35">
        <v>24.0</v>
      </c>
      <c r="Z182" s="32" t="s">
        <v>63</v>
      </c>
      <c r="AA182" s="38"/>
      <c r="AB182" s="38"/>
      <c r="AC182" s="38"/>
      <c r="AD182" s="38"/>
      <c r="AE182" s="38"/>
      <c r="AF182" s="38"/>
      <c r="AG182" s="38"/>
      <c r="AH182" s="38"/>
      <c r="AI182" s="38"/>
      <c r="AJ182" s="38"/>
      <c r="AK182" s="38"/>
    </row>
    <row r="183">
      <c r="A183" s="99">
        <v>182.0</v>
      </c>
      <c r="B183" s="15"/>
      <c r="C183" s="15"/>
      <c r="D183" s="105">
        <v>1.0</v>
      </c>
      <c r="E183" s="102">
        <v>5.0</v>
      </c>
      <c r="F183" s="107">
        <v>129.0</v>
      </c>
      <c r="G183" s="15" t="str">
        <f t="shared" si="1"/>
        <v>05129</v>
      </c>
      <c r="H183" s="23" t="s">
        <v>310</v>
      </c>
      <c r="I183" s="23" t="s">
        <v>34</v>
      </c>
      <c r="J183" s="23" t="s">
        <v>237</v>
      </c>
      <c r="K183" s="23" t="str">
        <f t="shared" si="5"/>
        <v>Searcy, AR</v>
      </c>
      <c r="L183" s="23">
        <v>11.0</v>
      </c>
      <c r="M183" s="32">
        <v>2.5</v>
      </c>
      <c r="N183" s="127" t="s">
        <v>63</v>
      </c>
      <c r="O183" s="35">
        <v>4.0</v>
      </c>
      <c r="P183" s="35" t="s">
        <v>63</v>
      </c>
      <c r="Q183" s="23">
        <v>5.0</v>
      </c>
      <c r="R183" s="23">
        <v>0.0</v>
      </c>
      <c r="S183" s="127" t="s">
        <v>63</v>
      </c>
      <c r="T183" s="32" t="s">
        <v>63</v>
      </c>
      <c r="U183" s="123">
        <v>4.0</v>
      </c>
      <c r="V183" s="127" t="s">
        <v>63</v>
      </c>
      <c r="W183" s="127" t="s">
        <v>63</v>
      </c>
      <c r="X183" s="127" t="s">
        <v>63</v>
      </c>
      <c r="Y183" s="35">
        <v>14.0</v>
      </c>
      <c r="Z183" s="32" t="s">
        <v>63</v>
      </c>
      <c r="AA183" s="38"/>
      <c r="AB183" s="38"/>
      <c r="AC183" s="38"/>
      <c r="AD183" s="38"/>
      <c r="AE183" s="38"/>
      <c r="AF183" s="38"/>
      <c r="AG183" s="38"/>
      <c r="AH183" s="38"/>
      <c r="AI183" s="38"/>
      <c r="AJ183" s="38"/>
      <c r="AK183" s="38"/>
    </row>
    <row r="184">
      <c r="A184" s="99">
        <v>183.0</v>
      </c>
      <c r="B184" s="15"/>
      <c r="C184" s="15"/>
      <c r="D184" s="105">
        <v>1.0</v>
      </c>
      <c r="E184" s="102">
        <v>5.0</v>
      </c>
      <c r="F184" s="107">
        <v>131.0</v>
      </c>
      <c r="G184" s="15" t="str">
        <f t="shared" si="1"/>
        <v>05131</v>
      </c>
      <c r="H184" s="23" t="s">
        <v>311</v>
      </c>
      <c r="I184" s="23" t="s">
        <v>34</v>
      </c>
      <c r="J184" s="23" t="s">
        <v>237</v>
      </c>
      <c r="K184" s="23" t="str">
        <f t="shared" si="5"/>
        <v>Sebastian, AR</v>
      </c>
      <c r="L184" s="23">
        <v>387.0</v>
      </c>
      <c r="M184" s="32">
        <v>1.8837209302325582</v>
      </c>
      <c r="N184" s="127" t="s">
        <v>63</v>
      </c>
      <c r="O184" s="35">
        <v>127.0</v>
      </c>
      <c r="P184" s="35" t="s">
        <v>63</v>
      </c>
      <c r="Q184" s="23">
        <v>137.0</v>
      </c>
      <c r="R184" s="23">
        <v>36.0</v>
      </c>
      <c r="S184" s="127" t="s">
        <v>63</v>
      </c>
      <c r="T184" s="32" t="s">
        <v>63</v>
      </c>
      <c r="U184" s="123">
        <v>75.0</v>
      </c>
      <c r="V184" s="127" t="s">
        <v>63</v>
      </c>
      <c r="W184" s="127" t="s">
        <v>63</v>
      </c>
      <c r="X184" s="127" t="s">
        <v>63</v>
      </c>
      <c r="Y184" s="35">
        <v>127.0</v>
      </c>
      <c r="Z184" s="32" t="s">
        <v>63</v>
      </c>
      <c r="AA184" s="38"/>
      <c r="AB184" s="38"/>
      <c r="AC184" s="38"/>
      <c r="AD184" s="38"/>
      <c r="AE184" s="38"/>
      <c r="AF184" s="38"/>
      <c r="AG184" s="38"/>
      <c r="AH184" s="38"/>
      <c r="AI184" s="38"/>
      <c r="AJ184" s="38"/>
      <c r="AK184" s="38"/>
    </row>
    <row r="185">
      <c r="A185" s="99">
        <v>184.0</v>
      </c>
      <c r="B185" s="15"/>
      <c r="C185" s="15"/>
      <c r="D185" s="105">
        <v>1.0</v>
      </c>
      <c r="E185" s="102">
        <v>5.0</v>
      </c>
      <c r="F185" s="107">
        <v>133.0</v>
      </c>
      <c r="G185" s="15" t="str">
        <f t="shared" si="1"/>
        <v>05133</v>
      </c>
      <c r="H185" s="23" t="s">
        <v>312</v>
      </c>
      <c r="I185" s="23" t="s">
        <v>34</v>
      </c>
      <c r="J185" s="23" t="s">
        <v>237</v>
      </c>
      <c r="K185" s="23" t="str">
        <f t="shared" si="5"/>
        <v>Sevier, AR</v>
      </c>
      <c r="L185" s="23">
        <v>25.0</v>
      </c>
      <c r="M185" s="32">
        <v>1.5</v>
      </c>
      <c r="N185" s="127" t="s">
        <v>63</v>
      </c>
      <c r="O185" s="35">
        <v>12.0</v>
      </c>
      <c r="P185" s="35" t="s">
        <v>63</v>
      </c>
      <c r="Q185" s="23">
        <v>13.0</v>
      </c>
      <c r="R185" s="23">
        <v>3.0</v>
      </c>
      <c r="S185" s="127" t="s">
        <v>63</v>
      </c>
      <c r="T185" s="32" t="s">
        <v>63</v>
      </c>
      <c r="U185" s="123">
        <v>8.0</v>
      </c>
      <c r="V185" s="127" t="s">
        <v>63</v>
      </c>
      <c r="W185" s="127" t="s">
        <v>63</v>
      </c>
      <c r="X185" s="127" t="s">
        <v>63</v>
      </c>
      <c r="Y185" s="35">
        <v>24.0</v>
      </c>
      <c r="Z185" s="32" t="s">
        <v>63</v>
      </c>
      <c r="AA185" s="38"/>
      <c r="AB185" s="38"/>
      <c r="AC185" s="38"/>
      <c r="AD185" s="38"/>
      <c r="AE185" s="38"/>
      <c r="AF185" s="38"/>
      <c r="AG185" s="38"/>
      <c r="AH185" s="38"/>
      <c r="AI185" s="38"/>
      <c r="AJ185" s="38"/>
      <c r="AK185" s="38"/>
    </row>
    <row r="186">
      <c r="A186" s="99">
        <v>185.0</v>
      </c>
      <c r="B186" s="15"/>
      <c r="C186" s="15"/>
      <c r="D186" s="105">
        <v>1.0</v>
      </c>
      <c r="E186" s="102">
        <v>5.0</v>
      </c>
      <c r="F186" s="107">
        <v>135.0</v>
      </c>
      <c r="G186" s="15" t="str">
        <f t="shared" si="1"/>
        <v>05135</v>
      </c>
      <c r="H186" s="23" t="s">
        <v>313</v>
      </c>
      <c r="I186" s="23" t="s">
        <v>34</v>
      </c>
      <c r="J186" s="23" t="s">
        <v>237</v>
      </c>
      <c r="K186" s="23" t="str">
        <f t="shared" si="5"/>
        <v>Sharp, AR</v>
      </c>
      <c r="L186" s="23">
        <v>31.0</v>
      </c>
      <c r="M186" s="32">
        <v>1.9166666666666667</v>
      </c>
      <c r="N186" s="127" t="s">
        <v>63</v>
      </c>
      <c r="O186" s="35">
        <v>8.0</v>
      </c>
      <c r="P186" s="35" t="s">
        <v>63</v>
      </c>
      <c r="Q186" s="23">
        <v>19.0</v>
      </c>
      <c r="R186" s="23">
        <v>6.0</v>
      </c>
      <c r="S186" s="127" t="s">
        <v>63</v>
      </c>
      <c r="T186" s="32" t="s">
        <v>63</v>
      </c>
      <c r="U186" s="123">
        <v>17.0</v>
      </c>
      <c r="V186" s="127" t="s">
        <v>63</v>
      </c>
      <c r="W186" s="127" t="s">
        <v>63</v>
      </c>
      <c r="X186" s="127" t="s">
        <v>63</v>
      </c>
      <c r="Y186" s="35">
        <v>37.0</v>
      </c>
      <c r="Z186" s="32" t="s">
        <v>63</v>
      </c>
      <c r="AA186" s="38"/>
      <c r="AB186" s="38"/>
      <c r="AC186" s="38"/>
      <c r="AD186" s="38"/>
      <c r="AE186" s="38"/>
      <c r="AF186" s="38"/>
      <c r="AG186" s="38"/>
      <c r="AH186" s="38"/>
      <c r="AI186" s="38"/>
      <c r="AJ186" s="38"/>
      <c r="AK186" s="38"/>
    </row>
    <row r="187">
      <c r="A187" s="99">
        <v>186.0</v>
      </c>
      <c r="B187" s="15"/>
      <c r="C187" s="15"/>
      <c r="D187" s="105">
        <v>1.0</v>
      </c>
      <c r="E187" s="102">
        <v>5.0</v>
      </c>
      <c r="F187" s="107">
        <v>137.0</v>
      </c>
      <c r="G187" s="15" t="str">
        <f t="shared" si="1"/>
        <v>05137</v>
      </c>
      <c r="H187" s="23" t="s">
        <v>315</v>
      </c>
      <c r="I187" s="23" t="s">
        <v>34</v>
      </c>
      <c r="J187" s="23" t="s">
        <v>237</v>
      </c>
      <c r="K187" s="23" t="str">
        <f t="shared" si="5"/>
        <v>Stone, AR</v>
      </c>
      <c r="L187" s="23">
        <v>3.0</v>
      </c>
      <c r="M187" s="32">
        <v>1.8888888888888888</v>
      </c>
      <c r="N187" s="127" t="s">
        <v>63</v>
      </c>
      <c r="O187" s="35">
        <v>0.0</v>
      </c>
      <c r="P187" s="35" t="s">
        <v>63</v>
      </c>
      <c r="Q187" s="23">
        <v>11.0</v>
      </c>
      <c r="R187" s="23">
        <v>1.0</v>
      </c>
      <c r="S187" s="127" t="s">
        <v>63</v>
      </c>
      <c r="T187" s="32" t="s">
        <v>63</v>
      </c>
      <c r="U187" s="123">
        <v>10.0</v>
      </c>
      <c r="V187" s="127" t="s">
        <v>63</v>
      </c>
      <c r="W187" s="127" t="s">
        <v>63</v>
      </c>
      <c r="X187" s="127" t="s">
        <v>63</v>
      </c>
      <c r="Y187" s="35">
        <v>28.0</v>
      </c>
      <c r="Z187" s="32" t="s">
        <v>63</v>
      </c>
      <c r="AA187" s="38"/>
      <c r="AB187" s="38"/>
      <c r="AC187" s="38"/>
      <c r="AD187" s="38"/>
      <c r="AE187" s="38"/>
      <c r="AF187" s="38"/>
      <c r="AG187" s="38"/>
      <c r="AH187" s="38"/>
      <c r="AI187" s="38"/>
      <c r="AJ187" s="38"/>
      <c r="AK187" s="38"/>
    </row>
    <row r="188">
      <c r="A188" s="99">
        <v>187.0</v>
      </c>
      <c r="B188" s="15"/>
      <c r="C188" s="15"/>
      <c r="D188" s="105">
        <v>1.0</v>
      </c>
      <c r="E188" s="102">
        <v>5.0</v>
      </c>
      <c r="F188" s="107">
        <v>139.0</v>
      </c>
      <c r="G188" s="15" t="str">
        <f t="shared" si="1"/>
        <v>05139</v>
      </c>
      <c r="H188" s="23" t="s">
        <v>316</v>
      </c>
      <c r="I188" s="23" t="s">
        <v>34</v>
      </c>
      <c r="J188" s="23" t="s">
        <v>237</v>
      </c>
      <c r="K188" s="23" t="str">
        <f t="shared" si="5"/>
        <v>Union, AR</v>
      </c>
      <c r="L188" s="23">
        <v>31.0</v>
      </c>
      <c r="M188" s="32">
        <v>1.7777777777777777</v>
      </c>
      <c r="N188" s="127" t="s">
        <v>63</v>
      </c>
      <c r="O188" s="35">
        <v>13.0</v>
      </c>
      <c r="P188" s="35" t="s">
        <v>63</v>
      </c>
      <c r="Q188" s="23">
        <v>15.0</v>
      </c>
      <c r="R188" s="23">
        <v>2.0</v>
      </c>
      <c r="S188" s="127" t="s">
        <v>63</v>
      </c>
      <c r="T188" s="32" t="s">
        <v>63</v>
      </c>
      <c r="U188" s="123">
        <v>18.0</v>
      </c>
      <c r="V188" s="127" t="s">
        <v>63</v>
      </c>
      <c r="W188" s="127" t="s">
        <v>63</v>
      </c>
      <c r="X188" s="127" t="s">
        <v>63</v>
      </c>
      <c r="Y188" s="35">
        <v>91.0</v>
      </c>
      <c r="Z188" s="32" t="s">
        <v>63</v>
      </c>
      <c r="AA188" s="38"/>
      <c r="AB188" s="38"/>
      <c r="AC188" s="38"/>
      <c r="AD188" s="38"/>
      <c r="AE188" s="38"/>
      <c r="AF188" s="38"/>
      <c r="AG188" s="38"/>
      <c r="AH188" s="38"/>
      <c r="AI188" s="38"/>
      <c r="AJ188" s="38"/>
      <c r="AK188" s="38"/>
    </row>
    <row r="189">
      <c r="A189" s="99">
        <v>188.0</v>
      </c>
      <c r="B189" s="15"/>
      <c r="C189" s="15"/>
      <c r="D189" s="105">
        <v>1.0</v>
      </c>
      <c r="E189" s="102">
        <v>5.0</v>
      </c>
      <c r="F189" s="107">
        <v>141.0</v>
      </c>
      <c r="G189" s="15" t="str">
        <f t="shared" si="1"/>
        <v>05141</v>
      </c>
      <c r="H189" s="23" t="s">
        <v>317</v>
      </c>
      <c r="I189" s="23" t="s">
        <v>34</v>
      </c>
      <c r="J189" s="23" t="s">
        <v>237</v>
      </c>
      <c r="K189" s="23" t="str">
        <f t="shared" si="5"/>
        <v>Van Buren, AR</v>
      </c>
      <c r="L189" s="23">
        <v>20.0</v>
      </c>
      <c r="M189" s="32">
        <v>2.875</v>
      </c>
      <c r="N189" s="127" t="s">
        <v>63</v>
      </c>
      <c r="O189" s="35">
        <v>13.0</v>
      </c>
      <c r="P189" s="35" t="s">
        <v>63</v>
      </c>
      <c r="Q189" s="23">
        <v>12.0</v>
      </c>
      <c r="R189" s="23">
        <v>3.0</v>
      </c>
      <c r="S189" s="127" t="s">
        <v>63</v>
      </c>
      <c r="T189" s="32" t="s">
        <v>63</v>
      </c>
      <c r="U189" s="123">
        <v>7.0</v>
      </c>
      <c r="V189" s="127" t="s">
        <v>63</v>
      </c>
      <c r="W189" s="127" t="s">
        <v>63</v>
      </c>
      <c r="X189" s="127" t="s">
        <v>63</v>
      </c>
      <c r="Y189" s="35">
        <v>26.0</v>
      </c>
      <c r="Z189" s="32" t="s">
        <v>63</v>
      </c>
      <c r="AA189" s="38"/>
      <c r="AB189" s="38"/>
      <c r="AC189" s="38"/>
      <c r="AD189" s="38"/>
      <c r="AE189" s="38"/>
      <c r="AF189" s="38"/>
      <c r="AG189" s="38"/>
      <c r="AH189" s="38"/>
      <c r="AI189" s="38"/>
      <c r="AJ189" s="38"/>
      <c r="AK189" s="38"/>
    </row>
    <row r="190">
      <c r="A190" s="99">
        <v>189.0</v>
      </c>
      <c r="B190" s="15"/>
      <c r="C190" s="15"/>
      <c r="D190" s="105">
        <v>1.0</v>
      </c>
      <c r="E190" s="102">
        <v>5.0</v>
      </c>
      <c r="F190" s="107">
        <v>143.0</v>
      </c>
      <c r="G190" s="15" t="str">
        <f t="shared" si="1"/>
        <v>05143</v>
      </c>
      <c r="H190" s="23" t="s">
        <v>119</v>
      </c>
      <c r="I190" s="23" t="s">
        <v>34</v>
      </c>
      <c r="J190" s="23" t="s">
        <v>237</v>
      </c>
      <c r="K190" s="23" t="str">
        <f t="shared" si="5"/>
        <v>Washington, AR</v>
      </c>
      <c r="L190" s="23">
        <v>253.0</v>
      </c>
      <c r="M190" s="32">
        <v>1.9659090909090908</v>
      </c>
      <c r="N190" s="127" t="s">
        <v>63</v>
      </c>
      <c r="O190" s="35">
        <v>88.0</v>
      </c>
      <c r="P190" s="35" t="s">
        <v>63</v>
      </c>
      <c r="Q190" s="23">
        <v>118.0</v>
      </c>
      <c r="R190" s="23">
        <v>36.0</v>
      </c>
      <c r="S190" s="127" t="s">
        <v>63</v>
      </c>
      <c r="T190" s="32" t="s">
        <v>63</v>
      </c>
      <c r="U190" s="123">
        <v>64.0</v>
      </c>
      <c r="V190" s="127" t="s">
        <v>63</v>
      </c>
      <c r="W190" s="127" t="s">
        <v>63</v>
      </c>
      <c r="X190" s="127" t="s">
        <v>63</v>
      </c>
      <c r="Y190" s="35">
        <v>155.0</v>
      </c>
      <c r="Z190" s="32" t="s">
        <v>63</v>
      </c>
      <c r="AA190" s="38"/>
      <c r="AB190" s="38"/>
      <c r="AC190" s="38"/>
      <c r="AD190" s="38"/>
      <c r="AE190" s="38"/>
      <c r="AF190" s="38"/>
      <c r="AG190" s="38"/>
      <c r="AH190" s="38"/>
      <c r="AI190" s="38"/>
      <c r="AJ190" s="38"/>
      <c r="AK190" s="38"/>
    </row>
    <row r="191">
      <c r="A191" s="99">
        <v>190.0</v>
      </c>
      <c r="B191" s="15"/>
      <c r="C191" s="15"/>
      <c r="D191" s="105">
        <v>1.0</v>
      </c>
      <c r="E191" s="102">
        <v>5.0</v>
      </c>
      <c r="F191" s="107">
        <v>145.0</v>
      </c>
      <c r="G191" s="15" t="str">
        <f t="shared" si="1"/>
        <v>05145</v>
      </c>
      <c r="H191" s="23" t="s">
        <v>66</v>
      </c>
      <c r="I191" s="23" t="s">
        <v>34</v>
      </c>
      <c r="J191" s="23" t="s">
        <v>237</v>
      </c>
      <c r="K191" s="23" t="str">
        <f t="shared" si="5"/>
        <v>White, AR</v>
      </c>
      <c r="L191" s="23">
        <v>90.0</v>
      </c>
      <c r="M191" s="32">
        <v>1.967741935483871</v>
      </c>
      <c r="N191" s="127" t="s">
        <v>63</v>
      </c>
      <c r="O191" s="35">
        <v>24.0</v>
      </c>
      <c r="P191" s="35" t="s">
        <v>63</v>
      </c>
      <c r="Q191" s="23">
        <v>80.0</v>
      </c>
      <c r="R191" s="23">
        <v>12.0</v>
      </c>
      <c r="S191" s="127" t="s">
        <v>63</v>
      </c>
      <c r="T191" s="32" t="s">
        <v>63</v>
      </c>
      <c r="U191" s="123">
        <v>54.0</v>
      </c>
      <c r="V191" s="127" t="s">
        <v>63</v>
      </c>
      <c r="W191" s="127" t="s">
        <v>63</v>
      </c>
      <c r="X191" s="127" t="s">
        <v>63</v>
      </c>
      <c r="Y191" s="35">
        <v>94.0</v>
      </c>
      <c r="Z191" s="32" t="s">
        <v>63</v>
      </c>
      <c r="AA191" s="38"/>
      <c r="AB191" s="38"/>
      <c r="AC191" s="38"/>
      <c r="AD191" s="38"/>
      <c r="AE191" s="38"/>
      <c r="AF191" s="38"/>
      <c r="AG191" s="38"/>
      <c r="AH191" s="38"/>
      <c r="AI191" s="38"/>
      <c r="AJ191" s="38"/>
      <c r="AK191" s="38"/>
    </row>
    <row r="192">
      <c r="A192" s="99">
        <v>191.0</v>
      </c>
      <c r="B192" s="15"/>
      <c r="C192" s="15"/>
      <c r="D192" s="105">
        <v>1.0</v>
      </c>
      <c r="E192" s="102">
        <v>5.0</v>
      </c>
      <c r="F192" s="107">
        <v>147.0</v>
      </c>
      <c r="G192" s="15" t="str">
        <f t="shared" si="1"/>
        <v>05147</v>
      </c>
      <c r="H192" s="23" t="s">
        <v>318</v>
      </c>
      <c r="I192" s="23" t="s">
        <v>34</v>
      </c>
      <c r="J192" s="23" t="s">
        <v>237</v>
      </c>
      <c r="K192" s="23" t="str">
        <f t="shared" si="5"/>
        <v>Woodruff, AR</v>
      </c>
      <c r="L192" s="23">
        <v>44.0</v>
      </c>
      <c r="M192" s="32">
        <v>2.2</v>
      </c>
      <c r="N192" s="127" t="s">
        <v>63</v>
      </c>
      <c r="O192" s="35">
        <v>15.0</v>
      </c>
      <c r="P192" s="35" t="s">
        <v>63</v>
      </c>
      <c r="Q192" s="23">
        <v>10.0</v>
      </c>
      <c r="R192" s="23">
        <v>5.0</v>
      </c>
      <c r="S192" s="127" t="s">
        <v>63</v>
      </c>
      <c r="T192" s="32" t="s">
        <v>63</v>
      </c>
      <c r="U192" s="123">
        <v>10.0</v>
      </c>
      <c r="V192" s="127" t="s">
        <v>63</v>
      </c>
      <c r="W192" s="127" t="s">
        <v>63</v>
      </c>
      <c r="X192" s="127" t="s">
        <v>63</v>
      </c>
      <c r="Y192" s="35">
        <v>9.0</v>
      </c>
      <c r="Z192" s="32" t="s">
        <v>63</v>
      </c>
      <c r="AA192" s="38"/>
      <c r="AB192" s="38"/>
      <c r="AC192" s="38"/>
      <c r="AD192" s="38"/>
      <c r="AE192" s="38"/>
      <c r="AF192" s="38"/>
      <c r="AG192" s="38"/>
      <c r="AH192" s="38"/>
      <c r="AI192" s="38"/>
      <c r="AJ192" s="38"/>
      <c r="AK192" s="38"/>
    </row>
    <row r="193">
      <c r="A193" s="99">
        <v>192.0</v>
      </c>
      <c r="B193" s="15"/>
      <c r="C193" s="15"/>
      <c r="D193" s="105">
        <v>1.0</v>
      </c>
      <c r="E193" s="102">
        <v>5.0</v>
      </c>
      <c r="F193" s="107">
        <v>149.0</v>
      </c>
      <c r="G193" s="15" t="str">
        <f t="shared" si="1"/>
        <v>05149</v>
      </c>
      <c r="H193" s="23" t="s">
        <v>319</v>
      </c>
      <c r="I193" s="23" t="s">
        <v>34</v>
      </c>
      <c r="J193" s="23" t="s">
        <v>237</v>
      </c>
      <c r="K193" s="23" t="str">
        <f t="shared" si="5"/>
        <v>Yell, AR</v>
      </c>
      <c r="L193" s="23">
        <v>28.0</v>
      </c>
      <c r="M193" s="32">
        <v>1.4545454545454546</v>
      </c>
      <c r="N193" s="127" t="s">
        <v>63</v>
      </c>
      <c r="O193" s="35">
        <v>13.0</v>
      </c>
      <c r="P193" s="35" t="s">
        <v>63</v>
      </c>
      <c r="Q193" s="23">
        <v>19.0</v>
      </c>
      <c r="R193" s="23">
        <v>2.0</v>
      </c>
      <c r="S193" s="127" t="s">
        <v>63</v>
      </c>
      <c r="T193" s="32" t="s">
        <v>63</v>
      </c>
      <c r="U193" s="123">
        <v>19.0</v>
      </c>
      <c r="V193" s="127" t="s">
        <v>63</v>
      </c>
      <c r="W193" s="127" t="s">
        <v>63</v>
      </c>
      <c r="X193" s="127" t="s">
        <v>63</v>
      </c>
      <c r="Y193" s="35">
        <v>32.0</v>
      </c>
      <c r="Z193" s="32" t="s">
        <v>63</v>
      </c>
      <c r="AA193" s="38"/>
      <c r="AB193" s="38"/>
      <c r="AC193" s="38"/>
      <c r="AD193" s="38"/>
      <c r="AE193" s="38"/>
      <c r="AF193" s="38"/>
      <c r="AG193" s="38"/>
      <c r="AH193" s="38"/>
      <c r="AI193" s="38"/>
      <c r="AJ193" s="38"/>
      <c r="AK193" s="38"/>
    </row>
    <row r="194">
      <c r="A194" s="28">
        <v>193.0</v>
      </c>
      <c r="B194" s="29"/>
      <c r="C194" s="29" t="s">
        <v>25</v>
      </c>
      <c r="D194" s="30"/>
      <c r="E194" s="31">
        <v>6.0</v>
      </c>
      <c r="F194" s="42">
        <v>0.0</v>
      </c>
      <c r="G194" s="29" t="str">
        <f t="shared" si="1"/>
        <v>06000</v>
      </c>
      <c r="H194" s="37"/>
      <c r="I194" s="37" t="s">
        <v>35</v>
      </c>
      <c r="J194" s="37" t="s">
        <v>184</v>
      </c>
      <c r="K194" s="37"/>
      <c r="L194" s="70">
        <f t="array" ref="L194:Z194">California!C62:Q62</f>
        <v>43633</v>
      </c>
      <c r="M194" s="70" t="s">
        <v>63</v>
      </c>
      <c r="N194" s="70">
        <v>18246.0</v>
      </c>
      <c r="O194" s="70">
        <v>15332.0</v>
      </c>
      <c r="P194" s="70" t="s">
        <v>63</v>
      </c>
      <c r="Q194" s="70">
        <v>34924.0</v>
      </c>
      <c r="R194" s="70">
        <v>8180.0</v>
      </c>
      <c r="S194" s="70" t="s">
        <v>63</v>
      </c>
      <c r="T194" s="69" t="s">
        <v>63</v>
      </c>
      <c r="U194" s="70" t="s">
        <v>63</v>
      </c>
      <c r="V194" s="70" t="s">
        <v>63</v>
      </c>
      <c r="W194" s="70" t="s">
        <v>63</v>
      </c>
      <c r="X194" s="70" t="s">
        <v>63</v>
      </c>
      <c r="Y194" s="53" t="s">
        <v>63</v>
      </c>
      <c r="Z194" s="69" t="s">
        <v>63</v>
      </c>
      <c r="AA194" s="73"/>
      <c r="AB194" s="73"/>
      <c r="AC194" s="73"/>
      <c r="AD194" s="73"/>
      <c r="AE194" s="73"/>
      <c r="AF194" s="73"/>
      <c r="AG194" s="73"/>
      <c r="AH194" s="73"/>
      <c r="AI194" s="73"/>
      <c r="AJ194" s="73"/>
      <c r="AK194" s="73"/>
    </row>
    <row r="195">
      <c r="A195" s="28">
        <v>194.0</v>
      </c>
      <c r="B195" s="29"/>
      <c r="C195" s="29"/>
      <c r="D195" s="40">
        <v>1.0</v>
      </c>
      <c r="E195" s="31">
        <v>6.0</v>
      </c>
      <c r="F195" s="42">
        <v>1.0</v>
      </c>
      <c r="G195" s="29" t="str">
        <f t="shared" si="1"/>
        <v>06001</v>
      </c>
      <c r="H195" s="37" t="s">
        <v>276</v>
      </c>
      <c r="I195" s="37" t="s">
        <v>35</v>
      </c>
      <c r="J195" s="37" t="s">
        <v>184</v>
      </c>
      <c r="K195" s="37" t="str">
        <f t="shared" ref="K195:K252" si="6">CONCATENATE(H195,", ",J195)</f>
        <v>Alameda, CA</v>
      </c>
      <c r="L195" s="53">
        <f t="array" ref="L195:Z252">California!C3:Q60</f>
        <v>916</v>
      </c>
      <c r="M195" s="37" t="s">
        <v>63</v>
      </c>
      <c r="N195" s="37">
        <v>294.0</v>
      </c>
      <c r="O195" s="37">
        <v>336.0</v>
      </c>
      <c r="P195" s="37" t="s">
        <v>63</v>
      </c>
      <c r="Q195" s="37" t="s">
        <v>63</v>
      </c>
      <c r="R195" s="135">
        <v>86.0</v>
      </c>
      <c r="S195" s="37" t="s">
        <v>63</v>
      </c>
      <c r="T195" s="69">
        <v>0.40648379052369077</v>
      </c>
      <c r="U195" s="135">
        <v>295.0</v>
      </c>
      <c r="V195" s="37" t="s">
        <v>63</v>
      </c>
      <c r="W195" s="37" t="s">
        <v>63</v>
      </c>
      <c r="X195" s="37" t="s">
        <v>63</v>
      </c>
      <c r="Y195" s="53">
        <v>647.0</v>
      </c>
      <c r="Z195" s="69" t="s">
        <v>63</v>
      </c>
      <c r="AA195" s="73"/>
      <c r="AB195" s="73"/>
      <c r="AC195" s="73"/>
      <c r="AD195" s="73"/>
      <c r="AE195" s="73"/>
      <c r="AF195" s="73"/>
      <c r="AG195" s="73"/>
      <c r="AH195" s="73"/>
      <c r="AI195" s="73"/>
      <c r="AJ195" s="73"/>
      <c r="AK195" s="73"/>
    </row>
    <row r="196">
      <c r="A196" s="28">
        <v>195.0</v>
      </c>
      <c r="B196" s="29"/>
      <c r="C196" s="29"/>
      <c r="D196" s="40">
        <v>1.0</v>
      </c>
      <c r="E196" s="31">
        <v>6.0</v>
      </c>
      <c r="F196" s="42">
        <v>3.0</v>
      </c>
      <c r="G196" s="29" t="str">
        <f t="shared" si="1"/>
        <v>06003</v>
      </c>
      <c r="H196" s="37" t="s">
        <v>320</v>
      </c>
      <c r="I196" s="37" t="s">
        <v>35</v>
      </c>
      <c r="J196" s="37" t="s">
        <v>184</v>
      </c>
      <c r="K196" s="37" t="str">
        <f t="shared" si="6"/>
        <v>Alpine, CA</v>
      </c>
      <c r="L196" s="37">
        <v>0.0</v>
      </c>
      <c r="M196" s="37" t="s">
        <v>63</v>
      </c>
      <c r="N196" s="37">
        <v>0.0</v>
      </c>
      <c r="O196" s="37">
        <v>0.0</v>
      </c>
      <c r="P196" s="37" t="s">
        <v>63</v>
      </c>
      <c r="Q196" s="37" t="s">
        <v>63</v>
      </c>
      <c r="R196" s="135">
        <v>0.0</v>
      </c>
      <c r="S196" s="37" t="s">
        <v>63</v>
      </c>
      <c r="T196" s="69" t="s">
        <v>321</v>
      </c>
      <c r="U196" s="135">
        <v>0.0</v>
      </c>
      <c r="V196" s="37" t="s">
        <v>63</v>
      </c>
      <c r="W196" s="37" t="s">
        <v>63</v>
      </c>
      <c r="X196" s="37" t="s">
        <v>63</v>
      </c>
      <c r="Y196" s="53" t="s">
        <v>63</v>
      </c>
      <c r="Z196" s="69" t="s">
        <v>63</v>
      </c>
      <c r="AA196" s="73"/>
      <c r="AB196" s="73"/>
      <c r="AC196" s="73"/>
      <c r="AD196" s="73"/>
      <c r="AE196" s="73"/>
      <c r="AF196" s="73"/>
      <c r="AG196" s="73"/>
      <c r="AH196" s="73"/>
      <c r="AI196" s="73"/>
      <c r="AJ196" s="73"/>
      <c r="AK196" s="73"/>
    </row>
    <row r="197">
      <c r="A197" s="28">
        <v>196.0</v>
      </c>
      <c r="B197" s="29"/>
      <c r="C197" s="29"/>
      <c r="D197" s="40">
        <v>1.0</v>
      </c>
      <c r="E197" s="31">
        <v>6.0</v>
      </c>
      <c r="F197" s="42">
        <v>5.0</v>
      </c>
      <c r="G197" s="29" t="str">
        <f t="shared" si="1"/>
        <v>06005</v>
      </c>
      <c r="H197" s="37" t="s">
        <v>322</v>
      </c>
      <c r="I197" s="37" t="s">
        <v>35</v>
      </c>
      <c r="J197" s="37" t="s">
        <v>184</v>
      </c>
      <c r="K197" s="37" t="str">
        <f t="shared" si="6"/>
        <v>Amador, CA</v>
      </c>
      <c r="L197" s="37">
        <v>54.0</v>
      </c>
      <c r="M197" s="37" t="s">
        <v>63</v>
      </c>
      <c r="N197" s="37">
        <v>22.0</v>
      </c>
      <c r="O197" s="37">
        <v>18.0</v>
      </c>
      <c r="P197" s="37" t="s">
        <v>63</v>
      </c>
      <c r="Q197" s="37" t="s">
        <v>63</v>
      </c>
      <c r="R197" s="135" t="s">
        <v>323</v>
      </c>
      <c r="S197" s="37" t="s">
        <v>63</v>
      </c>
      <c r="T197" s="69" t="s">
        <v>321</v>
      </c>
      <c r="U197" s="135">
        <v>0.0</v>
      </c>
      <c r="V197" s="37" t="s">
        <v>63</v>
      </c>
      <c r="W197" s="37" t="s">
        <v>63</v>
      </c>
      <c r="X197" s="37" t="s">
        <v>63</v>
      </c>
      <c r="Y197" s="53">
        <v>25.0</v>
      </c>
      <c r="Z197" s="69" t="s">
        <v>63</v>
      </c>
      <c r="AA197" s="73"/>
      <c r="AB197" s="73"/>
      <c r="AC197" s="73"/>
      <c r="AD197" s="73"/>
      <c r="AE197" s="73"/>
      <c r="AF197" s="73"/>
      <c r="AG197" s="73"/>
      <c r="AH197" s="73"/>
      <c r="AI197" s="73"/>
      <c r="AJ197" s="73"/>
      <c r="AK197" s="73"/>
    </row>
    <row r="198">
      <c r="A198" s="28">
        <v>197.0</v>
      </c>
      <c r="B198" s="29"/>
      <c r="C198" s="29"/>
      <c r="D198" s="40">
        <v>1.0</v>
      </c>
      <c r="E198" s="31">
        <v>6.0</v>
      </c>
      <c r="F198" s="42">
        <v>7.0</v>
      </c>
      <c r="G198" s="29" t="str">
        <f t="shared" si="1"/>
        <v>06007</v>
      </c>
      <c r="H198" s="37" t="s">
        <v>324</v>
      </c>
      <c r="I198" s="37" t="s">
        <v>35</v>
      </c>
      <c r="J198" s="37" t="s">
        <v>184</v>
      </c>
      <c r="K198" s="37" t="str">
        <f t="shared" si="6"/>
        <v>Butte, CA</v>
      </c>
      <c r="L198" s="37">
        <v>347.0</v>
      </c>
      <c r="M198" s="37" t="s">
        <v>63</v>
      </c>
      <c r="N198" s="37">
        <v>147.0</v>
      </c>
      <c r="O198" s="37">
        <v>92.0</v>
      </c>
      <c r="P198" s="37" t="s">
        <v>63</v>
      </c>
      <c r="Q198" s="37" t="s">
        <v>63</v>
      </c>
      <c r="R198" s="135">
        <v>104.0</v>
      </c>
      <c r="S198" s="37" t="s">
        <v>63</v>
      </c>
      <c r="T198" s="69">
        <v>0.48148148148148145</v>
      </c>
      <c r="U198" s="135">
        <v>43.0</v>
      </c>
      <c r="V198" s="37" t="s">
        <v>63</v>
      </c>
      <c r="W198" s="37" t="s">
        <v>63</v>
      </c>
      <c r="X198" s="37" t="s">
        <v>63</v>
      </c>
      <c r="Y198" s="53">
        <v>118.0</v>
      </c>
      <c r="Z198" s="69" t="s">
        <v>63</v>
      </c>
      <c r="AA198" s="73"/>
      <c r="AB198" s="73"/>
      <c r="AC198" s="73"/>
      <c r="AD198" s="73"/>
      <c r="AE198" s="73"/>
      <c r="AF198" s="73"/>
      <c r="AG198" s="73"/>
      <c r="AH198" s="73"/>
      <c r="AI198" s="73"/>
      <c r="AJ198" s="73"/>
      <c r="AK198" s="73"/>
    </row>
    <row r="199">
      <c r="A199" s="28">
        <v>198.0</v>
      </c>
      <c r="B199" s="29"/>
      <c r="C199" s="29"/>
      <c r="D199" s="40">
        <v>1.0</v>
      </c>
      <c r="E199" s="31">
        <v>6.0</v>
      </c>
      <c r="F199" s="42">
        <v>9.0</v>
      </c>
      <c r="G199" s="29" t="str">
        <f t="shared" si="1"/>
        <v>06009</v>
      </c>
      <c r="H199" s="37" t="s">
        <v>325</v>
      </c>
      <c r="I199" s="37" t="s">
        <v>35</v>
      </c>
      <c r="J199" s="37" t="s">
        <v>184</v>
      </c>
      <c r="K199" s="37" t="str">
        <f t="shared" si="6"/>
        <v>Calaveras, CA</v>
      </c>
      <c r="L199" s="37">
        <v>53.0</v>
      </c>
      <c r="M199" s="37" t="s">
        <v>63</v>
      </c>
      <c r="N199" s="37">
        <v>26.0</v>
      </c>
      <c r="O199" s="37">
        <v>15.0</v>
      </c>
      <c r="P199" s="37" t="s">
        <v>63</v>
      </c>
      <c r="Q199" s="37" t="s">
        <v>63</v>
      </c>
      <c r="R199" s="135" t="s">
        <v>323</v>
      </c>
      <c r="S199" s="37" t="s">
        <v>63</v>
      </c>
      <c r="T199" s="69">
        <v>0.5769230769230769</v>
      </c>
      <c r="U199" s="135">
        <v>25.0</v>
      </c>
      <c r="V199" s="37" t="s">
        <v>63</v>
      </c>
      <c r="W199" s="37" t="s">
        <v>63</v>
      </c>
      <c r="X199" s="37" t="s">
        <v>63</v>
      </c>
      <c r="Y199" s="53">
        <v>40.0</v>
      </c>
      <c r="Z199" s="69" t="s">
        <v>63</v>
      </c>
      <c r="AA199" s="73"/>
      <c r="AB199" s="73"/>
      <c r="AC199" s="73"/>
      <c r="AD199" s="73"/>
      <c r="AE199" s="73"/>
      <c r="AF199" s="73"/>
      <c r="AG199" s="73"/>
      <c r="AH199" s="73"/>
      <c r="AI199" s="73"/>
      <c r="AJ199" s="73"/>
      <c r="AK199" s="73"/>
    </row>
    <row r="200">
      <c r="A200" s="28">
        <v>199.0</v>
      </c>
      <c r="B200" s="29"/>
      <c r="C200" s="29"/>
      <c r="D200" s="40">
        <v>1.0</v>
      </c>
      <c r="E200" s="31">
        <v>6.0</v>
      </c>
      <c r="F200" s="42">
        <v>11.0</v>
      </c>
      <c r="G200" s="29" t="str">
        <f t="shared" si="1"/>
        <v>06011</v>
      </c>
      <c r="H200" s="37" t="s">
        <v>326</v>
      </c>
      <c r="I200" s="37" t="s">
        <v>35</v>
      </c>
      <c r="J200" s="37" t="s">
        <v>184</v>
      </c>
      <c r="K200" s="37" t="str">
        <f t="shared" si="6"/>
        <v>Colusa, CA</v>
      </c>
      <c r="L200" s="37">
        <v>35.0</v>
      </c>
      <c r="M200" s="37" t="s">
        <v>63</v>
      </c>
      <c r="N200" s="37">
        <v>22.0</v>
      </c>
      <c r="O200" s="37" t="s">
        <v>63</v>
      </c>
      <c r="P200" s="37" t="s">
        <v>63</v>
      </c>
      <c r="Q200" s="37" t="s">
        <v>63</v>
      </c>
      <c r="R200" s="135" t="s">
        <v>323</v>
      </c>
      <c r="S200" s="37" t="s">
        <v>63</v>
      </c>
      <c r="T200" s="69" t="s">
        <v>321</v>
      </c>
      <c r="U200" s="135">
        <v>0.0</v>
      </c>
      <c r="V200" s="37" t="s">
        <v>63</v>
      </c>
      <c r="W200" s="37" t="s">
        <v>63</v>
      </c>
      <c r="X200" s="37" t="s">
        <v>63</v>
      </c>
      <c r="Y200" s="53">
        <v>20.0</v>
      </c>
      <c r="Z200" s="69" t="s">
        <v>63</v>
      </c>
      <c r="AA200" s="73"/>
      <c r="AB200" s="73"/>
      <c r="AC200" s="73"/>
      <c r="AD200" s="73"/>
      <c r="AE200" s="73"/>
      <c r="AF200" s="73"/>
      <c r="AG200" s="73"/>
      <c r="AH200" s="73"/>
      <c r="AI200" s="73"/>
      <c r="AJ200" s="73"/>
      <c r="AK200" s="73"/>
    </row>
    <row r="201">
      <c r="A201" s="28">
        <v>200.0</v>
      </c>
      <c r="B201" s="29"/>
      <c r="C201" s="29"/>
      <c r="D201" s="40">
        <v>1.0</v>
      </c>
      <c r="E201" s="31">
        <v>6.0</v>
      </c>
      <c r="F201" s="42">
        <v>13.0</v>
      </c>
      <c r="G201" s="29" t="str">
        <f t="shared" si="1"/>
        <v>06013</v>
      </c>
      <c r="H201" s="37" t="s">
        <v>327</v>
      </c>
      <c r="I201" s="37" t="s">
        <v>35</v>
      </c>
      <c r="J201" s="37" t="s">
        <v>184</v>
      </c>
      <c r="K201" s="136" t="str">
        <f t="shared" si="6"/>
        <v>Contra Costa, CA</v>
      </c>
      <c r="L201" s="37">
        <v>513.0</v>
      </c>
      <c r="M201" s="37" t="s">
        <v>63</v>
      </c>
      <c r="N201" s="37">
        <v>219.0</v>
      </c>
      <c r="O201" s="37">
        <v>122.0</v>
      </c>
      <c r="P201" s="37" t="s">
        <v>63</v>
      </c>
      <c r="Q201" s="37" t="s">
        <v>63</v>
      </c>
      <c r="R201" s="135">
        <v>28.0</v>
      </c>
      <c r="S201" s="37" t="s">
        <v>63</v>
      </c>
      <c r="T201" s="69">
        <v>0.45353159851301117</v>
      </c>
      <c r="U201" s="135">
        <v>188.0</v>
      </c>
      <c r="V201" s="37" t="s">
        <v>63</v>
      </c>
      <c r="W201" s="37" t="s">
        <v>63</v>
      </c>
      <c r="X201" s="37" t="s">
        <v>63</v>
      </c>
      <c r="Y201" s="53">
        <v>405.0</v>
      </c>
      <c r="Z201" s="69" t="s">
        <v>63</v>
      </c>
      <c r="AA201" s="73"/>
      <c r="AB201" s="73"/>
      <c r="AC201" s="73"/>
      <c r="AD201" s="73"/>
      <c r="AE201" s="73"/>
      <c r="AF201" s="73"/>
      <c r="AG201" s="73"/>
      <c r="AH201" s="73"/>
      <c r="AI201" s="73"/>
      <c r="AJ201" s="73"/>
      <c r="AK201" s="73"/>
    </row>
    <row r="202">
      <c r="A202" s="28">
        <v>201.0</v>
      </c>
      <c r="B202" s="29"/>
      <c r="C202" s="29"/>
      <c r="D202" s="40">
        <v>1.0</v>
      </c>
      <c r="E202" s="31">
        <v>6.0</v>
      </c>
      <c r="F202" s="42">
        <v>15.0</v>
      </c>
      <c r="G202" s="29" t="str">
        <f t="shared" si="1"/>
        <v>06015</v>
      </c>
      <c r="H202" s="37" t="s">
        <v>328</v>
      </c>
      <c r="I202" s="37" t="s">
        <v>35</v>
      </c>
      <c r="J202" s="37" t="s">
        <v>184</v>
      </c>
      <c r="K202" s="37" t="str">
        <f t="shared" si="6"/>
        <v>Del Norte, CA</v>
      </c>
      <c r="L202" s="37">
        <v>86.0</v>
      </c>
      <c r="M202" s="37" t="s">
        <v>63</v>
      </c>
      <c r="N202" s="37">
        <v>38.0</v>
      </c>
      <c r="O202" s="37">
        <v>17.0</v>
      </c>
      <c r="P202" s="37" t="s">
        <v>63</v>
      </c>
      <c r="Q202" s="37" t="s">
        <v>63</v>
      </c>
      <c r="R202" s="135">
        <v>11.0</v>
      </c>
      <c r="S202" s="37" t="s">
        <v>63</v>
      </c>
      <c r="T202" s="69">
        <v>0.6470588235294118</v>
      </c>
      <c r="U202" s="135">
        <v>0.0</v>
      </c>
      <c r="V202" s="37" t="s">
        <v>63</v>
      </c>
      <c r="W202" s="37" t="s">
        <v>63</v>
      </c>
      <c r="X202" s="37" t="s">
        <v>63</v>
      </c>
      <c r="Y202" s="53">
        <v>23.0</v>
      </c>
      <c r="Z202" s="69" t="s">
        <v>63</v>
      </c>
      <c r="AA202" s="73"/>
      <c r="AB202" s="73"/>
      <c r="AC202" s="73"/>
      <c r="AD202" s="73"/>
      <c r="AE202" s="73"/>
      <c r="AF202" s="73"/>
      <c r="AG202" s="73"/>
      <c r="AH202" s="73"/>
      <c r="AI202" s="73"/>
      <c r="AJ202" s="73"/>
      <c r="AK202" s="73"/>
    </row>
    <row r="203">
      <c r="A203" s="28">
        <v>202.0</v>
      </c>
      <c r="B203" s="29"/>
      <c r="C203" s="29"/>
      <c r="D203" s="40">
        <v>1.0</v>
      </c>
      <c r="E203" s="31">
        <v>6.0</v>
      </c>
      <c r="F203" s="42">
        <v>17.0</v>
      </c>
      <c r="G203" s="29" t="str">
        <f t="shared" si="1"/>
        <v>06017</v>
      </c>
      <c r="H203" s="37" t="s">
        <v>329</v>
      </c>
      <c r="I203" s="37" t="s">
        <v>35</v>
      </c>
      <c r="J203" s="37" t="s">
        <v>184</v>
      </c>
      <c r="K203" s="37" t="str">
        <f t="shared" si="6"/>
        <v>El Dorado, CA</v>
      </c>
      <c r="L203" s="37">
        <v>99.0</v>
      </c>
      <c r="M203" s="37" t="s">
        <v>63</v>
      </c>
      <c r="N203" s="37">
        <v>32.0</v>
      </c>
      <c r="O203" s="37">
        <v>39.0</v>
      </c>
      <c r="P203" s="37" t="s">
        <v>63</v>
      </c>
      <c r="Q203" s="37" t="s">
        <v>63</v>
      </c>
      <c r="R203" s="135" t="s">
        <v>323</v>
      </c>
      <c r="S203" s="37" t="s">
        <v>63</v>
      </c>
      <c r="T203" s="69">
        <v>0.3924050632911392</v>
      </c>
      <c r="U203" s="135">
        <v>85.0</v>
      </c>
      <c r="V203" s="37" t="s">
        <v>63</v>
      </c>
      <c r="W203" s="37" t="s">
        <v>63</v>
      </c>
      <c r="X203" s="37" t="s">
        <v>63</v>
      </c>
      <c r="Y203" s="53">
        <v>69.0</v>
      </c>
      <c r="Z203" s="69" t="s">
        <v>63</v>
      </c>
      <c r="AA203" s="73"/>
      <c r="AB203" s="73"/>
      <c r="AC203" s="73"/>
      <c r="AD203" s="73"/>
      <c r="AE203" s="73"/>
      <c r="AF203" s="73"/>
      <c r="AG203" s="73"/>
      <c r="AH203" s="73"/>
      <c r="AI203" s="73"/>
      <c r="AJ203" s="73"/>
      <c r="AK203" s="73"/>
    </row>
    <row r="204">
      <c r="A204" s="28">
        <v>203.0</v>
      </c>
      <c r="B204" s="29"/>
      <c r="C204" s="29"/>
      <c r="D204" s="40">
        <v>1.0</v>
      </c>
      <c r="E204" s="31">
        <v>6.0</v>
      </c>
      <c r="F204" s="42">
        <v>19.0</v>
      </c>
      <c r="G204" s="29" t="str">
        <f t="shared" si="1"/>
        <v>06019</v>
      </c>
      <c r="H204" s="37" t="s">
        <v>331</v>
      </c>
      <c r="I204" s="37" t="s">
        <v>35</v>
      </c>
      <c r="J204" s="37" t="s">
        <v>184</v>
      </c>
      <c r="K204" s="37" t="str">
        <f t="shared" si="6"/>
        <v>Fresno, CA</v>
      </c>
      <c r="L204" s="53">
        <v>2093.0</v>
      </c>
      <c r="M204" s="37" t="s">
        <v>63</v>
      </c>
      <c r="N204" s="37">
        <v>979.0</v>
      </c>
      <c r="O204" s="37">
        <v>541.0</v>
      </c>
      <c r="P204" s="37" t="s">
        <v>63</v>
      </c>
      <c r="Q204" s="37" t="s">
        <v>63</v>
      </c>
      <c r="R204" s="135">
        <v>258.0</v>
      </c>
      <c r="S204" s="37" t="s">
        <v>63</v>
      </c>
      <c r="T204" s="69">
        <v>0.5034722222222222</v>
      </c>
      <c r="U204" s="135">
        <v>207.0</v>
      </c>
      <c r="V204" s="37" t="s">
        <v>63</v>
      </c>
      <c r="W204" s="37" t="s">
        <v>63</v>
      </c>
      <c r="X204" s="37" t="s">
        <v>63</v>
      </c>
      <c r="Y204" s="53">
        <v>423.0</v>
      </c>
      <c r="Z204" s="69" t="s">
        <v>63</v>
      </c>
      <c r="AA204" s="73"/>
      <c r="AB204" s="73"/>
      <c r="AC204" s="73"/>
      <c r="AD204" s="73"/>
      <c r="AE204" s="73"/>
      <c r="AF204" s="73"/>
      <c r="AG204" s="73"/>
      <c r="AH204" s="73"/>
      <c r="AI204" s="73"/>
      <c r="AJ204" s="73"/>
      <c r="AK204" s="73"/>
    </row>
    <row r="205">
      <c r="A205" s="28">
        <v>204.0</v>
      </c>
      <c r="B205" s="29"/>
      <c r="C205" s="29"/>
      <c r="D205" s="40">
        <v>1.0</v>
      </c>
      <c r="E205" s="31">
        <v>6.0</v>
      </c>
      <c r="F205" s="42">
        <v>21.0</v>
      </c>
      <c r="G205" s="29" t="str">
        <f t="shared" si="1"/>
        <v>06021</v>
      </c>
      <c r="H205" s="37" t="s">
        <v>332</v>
      </c>
      <c r="I205" s="37" t="s">
        <v>35</v>
      </c>
      <c r="J205" s="37" t="s">
        <v>184</v>
      </c>
      <c r="K205" s="37" t="str">
        <f t="shared" si="6"/>
        <v>Glenn, CA</v>
      </c>
      <c r="L205" s="37">
        <v>46.0</v>
      </c>
      <c r="M205" s="37" t="s">
        <v>63</v>
      </c>
      <c r="N205" s="37" t="s">
        <v>63</v>
      </c>
      <c r="O205" s="37">
        <v>14.0</v>
      </c>
      <c r="P205" s="37" t="s">
        <v>63</v>
      </c>
      <c r="Q205" s="37" t="s">
        <v>63</v>
      </c>
      <c r="R205" s="135" t="s">
        <v>323</v>
      </c>
      <c r="S205" s="37" t="s">
        <v>63</v>
      </c>
      <c r="T205" s="69" t="s">
        <v>321</v>
      </c>
      <c r="U205" s="135">
        <v>30.0</v>
      </c>
      <c r="V205" s="37" t="s">
        <v>63</v>
      </c>
      <c r="W205" s="37" t="s">
        <v>63</v>
      </c>
      <c r="X205" s="37" t="s">
        <v>63</v>
      </c>
      <c r="Y205" s="53">
        <v>27.0</v>
      </c>
      <c r="Z205" s="69" t="s">
        <v>63</v>
      </c>
      <c r="AA205" s="73"/>
      <c r="AB205" s="73"/>
      <c r="AC205" s="73"/>
      <c r="AD205" s="73"/>
      <c r="AE205" s="73"/>
      <c r="AF205" s="73"/>
      <c r="AG205" s="73"/>
      <c r="AH205" s="73"/>
      <c r="AI205" s="73"/>
      <c r="AJ205" s="73"/>
      <c r="AK205" s="73"/>
    </row>
    <row r="206">
      <c r="A206" s="28">
        <v>205.0</v>
      </c>
      <c r="B206" s="29"/>
      <c r="C206" s="29"/>
      <c r="D206" s="40">
        <v>1.0</v>
      </c>
      <c r="E206" s="31">
        <v>6.0</v>
      </c>
      <c r="F206" s="42">
        <v>23.0</v>
      </c>
      <c r="G206" s="29" t="str">
        <f t="shared" si="1"/>
        <v>06023</v>
      </c>
      <c r="H206" s="37" t="s">
        <v>333</v>
      </c>
      <c r="I206" s="37" t="s">
        <v>35</v>
      </c>
      <c r="J206" s="37" t="s">
        <v>184</v>
      </c>
      <c r="K206" s="37" t="str">
        <f t="shared" si="6"/>
        <v>Humboldt, CA</v>
      </c>
      <c r="L206" s="37">
        <v>281.0</v>
      </c>
      <c r="M206" s="37" t="s">
        <v>63</v>
      </c>
      <c r="N206" s="37">
        <v>78.0</v>
      </c>
      <c r="O206" s="37">
        <v>93.0</v>
      </c>
      <c r="P206" s="37" t="s">
        <v>63</v>
      </c>
      <c r="Q206" s="37" t="s">
        <v>63</v>
      </c>
      <c r="R206" s="135">
        <v>18.0</v>
      </c>
      <c r="S206" s="37" t="s">
        <v>63</v>
      </c>
      <c r="T206" s="69">
        <v>0.3333333333333333</v>
      </c>
      <c r="U206" s="135">
        <v>135.0</v>
      </c>
      <c r="V206" s="37" t="s">
        <v>63</v>
      </c>
      <c r="W206" s="37" t="s">
        <v>63</v>
      </c>
      <c r="X206" s="37" t="s">
        <v>63</v>
      </c>
      <c r="Y206" s="53">
        <v>100.0</v>
      </c>
      <c r="Z206" s="69" t="s">
        <v>63</v>
      </c>
      <c r="AA206" s="73"/>
      <c r="AB206" s="73"/>
      <c r="AC206" s="73"/>
      <c r="AD206" s="73"/>
      <c r="AE206" s="73"/>
      <c r="AF206" s="73"/>
      <c r="AG206" s="73"/>
      <c r="AH206" s="73"/>
      <c r="AI206" s="73"/>
      <c r="AJ206" s="73"/>
      <c r="AK206" s="73"/>
    </row>
    <row r="207">
      <c r="A207" s="28">
        <v>206.0</v>
      </c>
      <c r="B207" s="29"/>
      <c r="C207" s="29"/>
      <c r="D207" s="40">
        <v>1.0</v>
      </c>
      <c r="E207" s="31">
        <v>6.0</v>
      </c>
      <c r="F207" s="42">
        <v>25.0</v>
      </c>
      <c r="G207" s="29" t="str">
        <f t="shared" si="1"/>
        <v>06025</v>
      </c>
      <c r="H207" s="37" t="s">
        <v>334</v>
      </c>
      <c r="I207" s="37" t="s">
        <v>35</v>
      </c>
      <c r="J207" s="37" t="s">
        <v>184</v>
      </c>
      <c r="K207" s="37" t="str">
        <f t="shared" si="6"/>
        <v>Imperial, CA</v>
      </c>
      <c r="L207" s="37">
        <v>270.0</v>
      </c>
      <c r="M207" s="37" t="s">
        <v>63</v>
      </c>
      <c r="N207" s="37">
        <v>102.0</v>
      </c>
      <c r="O207" s="37">
        <v>102.0</v>
      </c>
      <c r="P207" s="37" t="s">
        <v>63</v>
      </c>
      <c r="Q207" s="37" t="s">
        <v>63</v>
      </c>
      <c r="R207" s="135">
        <v>56.0</v>
      </c>
      <c r="S207" s="37" t="s">
        <v>63</v>
      </c>
      <c r="T207" s="69">
        <v>0.5317919075144508</v>
      </c>
      <c r="U207" s="135">
        <v>57.0</v>
      </c>
      <c r="V207" s="37" t="s">
        <v>63</v>
      </c>
      <c r="W207" s="37" t="s">
        <v>63</v>
      </c>
      <c r="X207" s="37" t="s">
        <v>63</v>
      </c>
      <c r="Y207" s="53">
        <v>72.0</v>
      </c>
      <c r="Z207" s="69" t="s">
        <v>63</v>
      </c>
      <c r="AA207" s="73"/>
      <c r="AB207" s="73"/>
      <c r="AC207" s="73"/>
      <c r="AD207" s="73"/>
      <c r="AE207" s="73"/>
      <c r="AF207" s="73"/>
      <c r="AG207" s="73"/>
      <c r="AH207" s="73"/>
      <c r="AI207" s="73"/>
      <c r="AJ207" s="73"/>
      <c r="AK207" s="73"/>
    </row>
    <row r="208">
      <c r="A208" s="28">
        <v>207.0</v>
      </c>
      <c r="B208" s="29"/>
      <c r="C208" s="29"/>
      <c r="D208" s="40">
        <v>1.0</v>
      </c>
      <c r="E208" s="31">
        <v>6.0</v>
      </c>
      <c r="F208" s="42">
        <v>27.0</v>
      </c>
      <c r="G208" s="29" t="str">
        <f t="shared" si="1"/>
        <v>06027</v>
      </c>
      <c r="H208" s="37" t="s">
        <v>335</v>
      </c>
      <c r="I208" s="37" t="s">
        <v>35</v>
      </c>
      <c r="J208" s="37" t="s">
        <v>184</v>
      </c>
      <c r="K208" s="37" t="str">
        <f t="shared" si="6"/>
        <v>Inyo, CA</v>
      </c>
      <c r="L208" s="37">
        <v>33.0</v>
      </c>
      <c r="M208" s="37" t="s">
        <v>63</v>
      </c>
      <c r="N208" s="37">
        <v>12.0</v>
      </c>
      <c r="O208" s="37">
        <v>15.0</v>
      </c>
      <c r="P208" s="37" t="s">
        <v>63</v>
      </c>
      <c r="Q208" s="37" t="s">
        <v>63</v>
      </c>
      <c r="R208" s="135">
        <v>0.0</v>
      </c>
      <c r="S208" s="37" t="s">
        <v>63</v>
      </c>
      <c r="T208" s="69" t="s">
        <v>321</v>
      </c>
      <c r="U208" s="135">
        <v>0.0</v>
      </c>
      <c r="V208" s="37" t="s">
        <v>63</v>
      </c>
      <c r="W208" s="37" t="s">
        <v>63</v>
      </c>
      <c r="X208" s="37" t="s">
        <v>63</v>
      </c>
      <c r="Y208" s="53">
        <v>24.0</v>
      </c>
      <c r="Z208" s="69" t="s">
        <v>63</v>
      </c>
      <c r="AA208" s="73"/>
      <c r="AB208" s="73"/>
      <c r="AC208" s="73"/>
      <c r="AD208" s="73"/>
      <c r="AE208" s="73"/>
      <c r="AF208" s="73"/>
      <c r="AG208" s="73"/>
      <c r="AH208" s="73"/>
      <c r="AI208" s="73"/>
      <c r="AJ208" s="73"/>
      <c r="AK208" s="73"/>
    </row>
    <row r="209">
      <c r="A209" s="28">
        <v>208.0</v>
      </c>
      <c r="B209" s="29"/>
      <c r="C209" s="29"/>
      <c r="D209" s="40">
        <v>1.0</v>
      </c>
      <c r="E209" s="31">
        <v>6.0</v>
      </c>
      <c r="F209" s="42">
        <v>29.0</v>
      </c>
      <c r="G209" s="29" t="str">
        <f t="shared" si="1"/>
        <v>06029</v>
      </c>
      <c r="H209" s="37" t="s">
        <v>336</v>
      </c>
      <c r="I209" s="37" t="s">
        <v>35</v>
      </c>
      <c r="J209" s="37" t="s">
        <v>184</v>
      </c>
      <c r="K209" s="37" t="str">
        <f t="shared" si="6"/>
        <v>Kern, CA</v>
      </c>
      <c r="L209" s="53">
        <v>1728.0</v>
      </c>
      <c r="M209" s="37" t="s">
        <v>63</v>
      </c>
      <c r="N209" s="37">
        <v>881.0</v>
      </c>
      <c r="O209" s="37">
        <v>512.0</v>
      </c>
      <c r="P209" s="37" t="s">
        <v>63</v>
      </c>
      <c r="Q209" s="37" t="s">
        <v>63</v>
      </c>
      <c r="R209" s="135">
        <v>150.0</v>
      </c>
      <c r="S209" s="37" t="s">
        <v>63</v>
      </c>
      <c r="T209" s="69">
        <v>0.4900105152471083</v>
      </c>
      <c r="U209" s="135">
        <v>307.0</v>
      </c>
      <c r="V209" s="37" t="s">
        <v>63</v>
      </c>
      <c r="W209" s="37" t="s">
        <v>63</v>
      </c>
      <c r="X209" s="37" t="s">
        <v>63</v>
      </c>
      <c r="Y209" s="53">
        <v>381.0</v>
      </c>
      <c r="Z209" s="69" t="s">
        <v>63</v>
      </c>
      <c r="AA209" s="73"/>
      <c r="AB209" s="73"/>
      <c r="AC209" s="73"/>
      <c r="AD209" s="73"/>
      <c r="AE209" s="73"/>
      <c r="AF209" s="73"/>
      <c r="AG209" s="73"/>
      <c r="AH209" s="73"/>
      <c r="AI209" s="73"/>
      <c r="AJ209" s="73"/>
      <c r="AK209" s="73"/>
    </row>
    <row r="210">
      <c r="A210" s="28">
        <v>209.0</v>
      </c>
      <c r="B210" s="29"/>
      <c r="C210" s="29"/>
      <c r="D210" s="40">
        <v>1.0</v>
      </c>
      <c r="E210" s="31">
        <v>6.0</v>
      </c>
      <c r="F210" s="42">
        <v>31.0</v>
      </c>
      <c r="G210" s="29" t="str">
        <f t="shared" si="1"/>
        <v>06031</v>
      </c>
      <c r="H210" s="37" t="s">
        <v>249</v>
      </c>
      <c r="I210" s="37" t="s">
        <v>35</v>
      </c>
      <c r="J210" s="37" t="s">
        <v>184</v>
      </c>
      <c r="K210" s="37" t="str">
        <f t="shared" si="6"/>
        <v>Kings, CA</v>
      </c>
      <c r="L210" s="37">
        <v>298.0</v>
      </c>
      <c r="M210" s="37" t="s">
        <v>63</v>
      </c>
      <c r="N210" s="37">
        <v>121.0</v>
      </c>
      <c r="O210" s="37">
        <v>124.0</v>
      </c>
      <c r="P210" s="37" t="s">
        <v>63</v>
      </c>
      <c r="Q210" s="37" t="s">
        <v>63</v>
      </c>
      <c r="R210" s="135">
        <v>12.0</v>
      </c>
      <c r="S210" s="37" t="s">
        <v>63</v>
      </c>
      <c r="T210" s="69">
        <v>0.4174757281553398</v>
      </c>
      <c r="U210" s="135">
        <v>74.0</v>
      </c>
      <c r="V210" s="37" t="s">
        <v>63</v>
      </c>
      <c r="W210" s="37" t="s">
        <v>63</v>
      </c>
      <c r="X210" s="37" t="s">
        <v>63</v>
      </c>
      <c r="Y210" s="53">
        <v>60.0</v>
      </c>
      <c r="Z210" s="69" t="s">
        <v>63</v>
      </c>
      <c r="AA210" s="73"/>
      <c r="AB210" s="73"/>
      <c r="AC210" s="73"/>
      <c r="AD210" s="73"/>
      <c r="AE210" s="73"/>
      <c r="AF210" s="73"/>
      <c r="AG210" s="73"/>
      <c r="AH210" s="73"/>
      <c r="AI210" s="73"/>
      <c r="AJ210" s="73"/>
      <c r="AK210" s="73"/>
    </row>
    <row r="211">
      <c r="A211" s="28">
        <v>210.0</v>
      </c>
      <c r="B211" s="29"/>
      <c r="C211" s="29"/>
      <c r="D211" s="40">
        <v>1.0</v>
      </c>
      <c r="E211" s="31">
        <v>6.0</v>
      </c>
      <c r="F211" s="42">
        <v>33.0</v>
      </c>
      <c r="G211" s="29" t="str">
        <f t="shared" si="1"/>
        <v>06033</v>
      </c>
      <c r="H211" s="37" t="s">
        <v>337</v>
      </c>
      <c r="I211" s="37" t="s">
        <v>35</v>
      </c>
      <c r="J211" s="37" t="s">
        <v>184</v>
      </c>
      <c r="K211" s="37" t="str">
        <f t="shared" si="6"/>
        <v>Lake, CA</v>
      </c>
      <c r="L211" s="37">
        <v>69.0</v>
      </c>
      <c r="M211" s="37" t="s">
        <v>63</v>
      </c>
      <c r="N211" s="37">
        <v>17.0</v>
      </c>
      <c r="O211" s="37">
        <v>23.0</v>
      </c>
      <c r="P211" s="37" t="s">
        <v>63</v>
      </c>
      <c r="Q211" s="37" t="s">
        <v>63</v>
      </c>
      <c r="R211" s="135" t="s">
        <v>323</v>
      </c>
      <c r="S211" s="37" t="s">
        <v>63</v>
      </c>
      <c r="T211" s="69" t="s">
        <v>321</v>
      </c>
      <c r="U211" s="135">
        <v>0.0</v>
      </c>
      <c r="V211" s="37" t="s">
        <v>63</v>
      </c>
      <c r="W211" s="37" t="s">
        <v>63</v>
      </c>
      <c r="X211" s="37" t="s">
        <v>63</v>
      </c>
      <c r="Y211" s="53">
        <v>43.0</v>
      </c>
      <c r="Z211" s="69" t="s">
        <v>63</v>
      </c>
      <c r="AA211" s="73"/>
      <c r="AB211" s="73"/>
      <c r="AC211" s="73"/>
      <c r="AD211" s="73"/>
      <c r="AE211" s="73"/>
      <c r="AF211" s="73"/>
      <c r="AG211" s="73"/>
      <c r="AH211" s="73"/>
      <c r="AI211" s="73"/>
      <c r="AJ211" s="73"/>
      <c r="AK211" s="73"/>
    </row>
    <row r="212">
      <c r="A212" s="28">
        <v>211.0</v>
      </c>
      <c r="B212" s="29"/>
      <c r="C212" s="29"/>
      <c r="D212" s="40">
        <v>1.0</v>
      </c>
      <c r="E212" s="31">
        <v>6.0</v>
      </c>
      <c r="F212" s="42">
        <v>35.0</v>
      </c>
      <c r="G212" s="29" t="str">
        <f t="shared" si="1"/>
        <v>06035</v>
      </c>
      <c r="H212" s="37" t="s">
        <v>338</v>
      </c>
      <c r="I212" s="37" t="s">
        <v>35</v>
      </c>
      <c r="J212" s="37" t="s">
        <v>184</v>
      </c>
      <c r="K212" s="37" t="str">
        <f t="shared" si="6"/>
        <v>Lassen, CA</v>
      </c>
      <c r="L212" s="37">
        <v>52.0</v>
      </c>
      <c r="M212" s="37" t="s">
        <v>63</v>
      </c>
      <c r="N212" s="37">
        <v>35.0</v>
      </c>
      <c r="O212" s="37" t="s">
        <v>63</v>
      </c>
      <c r="P212" s="37" t="s">
        <v>63</v>
      </c>
      <c r="Q212" s="37" t="s">
        <v>63</v>
      </c>
      <c r="R212" s="135" t="s">
        <v>323</v>
      </c>
      <c r="S212" s="37" t="s">
        <v>63</v>
      </c>
      <c r="T212" s="69">
        <v>0.6296296296296297</v>
      </c>
      <c r="U212" s="135">
        <v>0.0</v>
      </c>
      <c r="V212" s="37" t="s">
        <v>63</v>
      </c>
      <c r="W212" s="37" t="s">
        <v>63</v>
      </c>
      <c r="X212" s="37" t="s">
        <v>63</v>
      </c>
      <c r="Y212" s="53">
        <v>29.0</v>
      </c>
      <c r="Z212" s="69" t="s">
        <v>63</v>
      </c>
      <c r="AA212" s="73"/>
      <c r="AB212" s="73"/>
      <c r="AC212" s="73"/>
      <c r="AD212" s="73"/>
      <c r="AE212" s="73"/>
      <c r="AF212" s="73"/>
      <c r="AG212" s="73"/>
      <c r="AH212" s="73"/>
      <c r="AI212" s="73"/>
      <c r="AJ212" s="73"/>
      <c r="AK212" s="73"/>
    </row>
    <row r="213">
      <c r="A213" s="28">
        <v>212.0</v>
      </c>
      <c r="B213" s="29"/>
      <c r="C213" s="29"/>
      <c r="D213" s="40">
        <v>1.0</v>
      </c>
      <c r="E213" s="31">
        <v>6.0</v>
      </c>
      <c r="F213" s="42">
        <v>37.0</v>
      </c>
      <c r="G213" s="29" t="str">
        <f t="shared" si="1"/>
        <v>06037</v>
      </c>
      <c r="H213" s="37" t="s">
        <v>183</v>
      </c>
      <c r="I213" s="37" t="s">
        <v>35</v>
      </c>
      <c r="J213" s="37" t="s">
        <v>184</v>
      </c>
      <c r="K213" s="136" t="str">
        <f t="shared" si="6"/>
        <v>Los Angeles, CA</v>
      </c>
      <c r="L213" s="53">
        <v>15018.0</v>
      </c>
      <c r="M213" s="37" t="s">
        <v>63</v>
      </c>
      <c r="N213" s="53">
        <v>6150.0</v>
      </c>
      <c r="O213" s="53">
        <v>6029.0</v>
      </c>
      <c r="P213" s="37" t="s">
        <v>63</v>
      </c>
      <c r="Q213" s="37" t="s">
        <v>63</v>
      </c>
      <c r="R213" s="135">
        <v>3563.0</v>
      </c>
      <c r="S213" s="37" t="s">
        <v>63</v>
      </c>
      <c r="T213" s="69">
        <v>0.4816819317235637</v>
      </c>
      <c r="U213" s="53">
        <v>6395.0</v>
      </c>
      <c r="V213" s="37" t="s">
        <v>63</v>
      </c>
      <c r="W213" s="37" t="s">
        <v>63</v>
      </c>
      <c r="X213" s="37" t="s">
        <v>63</v>
      </c>
      <c r="Y213" s="53">
        <v>3447.0</v>
      </c>
      <c r="Z213" s="69" t="s">
        <v>63</v>
      </c>
      <c r="AA213" s="73"/>
      <c r="AB213" s="73"/>
      <c r="AC213" s="73"/>
      <c r="AD213" s="73"/>
      <c r="AE213" s="73"/>
      <c r="AF213" s="73"/>
      <c r="AG213" s="73"/>
      <c r="AH213" s="73"/>
      <c r="AI213" s="73"/>
      <c r="AJ213" s="73"/>
      <c r="AK213" s="73"/>
    </row>
    <row r="214">
      <c r="A214" s="28">
        <v>213.0</v>
      </c>
      <c r="B214" s="29"/>
      <c r="C214" s="29"/>
      <c r="D214" s="40">
        <v>1.0</v>
      </c>
      <c r="E214" s="31">
        <v>6.0</v>
      </c>
      <c r="F214" s="42">
        <v>39.0</v>
      </c>
      <c r="G214" s="29" t="str">
        <f t="shared" si="1"/>
        <v>06039</v>
      </c>
      <c r="H214" s="37" t="s">
        <v>340</v>
      </c>
      <c r="I214" s="37" t="s">
        <v>35</v>
      </c>
      <c r="J214" s="37" t="s">
        <v>184</v>
      </c>
      <c r="K214" s="37" t="str">
        <f t="shared" si="6"/>
        <v>Madera, CA</v>
      </c>
      <c r="L214" s="37">
        <v>210.0</v>
      </c>
      <c r="M214" s="37" t="s">
        <v>63</v>
      </c>
      <c r="N214" s="37">
        <v>95.0</v>
      </c>
      <c r="O214" s="37">
        <v>57.0</v>
      </c>
      <c r="P214" s="37" t="s">
        <v>63</v>
      </c>
      <c r="Q214" s="37" t="s">
        <v>63</v>
      </c>
      <c r="R214" s="135" t="s">
        <v>323</v>
      </c>
      <c r="S214" s="37" t="s">
        <v>63</v>
      </c>
      <c r="T214" s="69">
        <v>0.5081967213114754</v>
      </c>
      <c r="U214" s="135">
        <v>93.0</v>
      </c>
      <c r="V214" s="37" t="s">
        <v>63</v>
      </c>
      <c r="W214" s="37" t="s">
        <v>63</v>
      </c>
      <c r="X214" s="37" t="s">
        <v>63</v>
      </c>
      <c r="Y214" s="53">
        <v>67.0</v>
      </c>
      <c r="Z214" s="69" t="s">
        <v>63</v>
      </c>
      <c r="AA214" s="73"/>
      <c r="AB214" s="73"/>
      <c r="AC214" s="73"/>
      <c r="AD214" s="73"/>
      <c r="AE214" s="73"/>
      <c r="AF214" s="73"/>
      <c r="AG214" s="73"/>
      <c r="AH214" s="73"/>
      <c r="AI214" s="73"/>
      <c r="AJ214" s="73"/>
      <c r="AK214" s="73"/>
    </row>
    <row r="215">
      <c r="A215" s="28">
        <v>214.0</v>
      </c>
      <c r="B215" s="29"/>
      <c r="C215" s="29"/>
      <c r="D215" s="40">
        <v>1.0</v>
      </c>
      <c r="E215" s="31">
        <v>6.0</v>
      </c>
      <c r="F215" s="42">
        <v>41.0</v>
      </c>
      <c r="G215" s="29" t="str">
        <f t="shared" si="1"/>
        <v>06041</v>
      </c>
      <c r="H215" s="37" t="s">
        <v>341</v>
      </c>
      <c r="I215" s="37" t="s">
        <v>35</v>
      </c>
      <c r="J215" s="37" t="s">
        <v>184</v>
      </c>
      <c r="K215" s="37" t="str">
        <f t="shared" si="6"/>
        <v>Marin, CA</v>
      </c>
      <c r="L215" s="37">
        <v>69.0</v>
      </c>
      <c r="M215" s="37" t="s">
        <v>63</v>
      </c>
      <c r="N215" s="37" t="s">
        <v>63</v>
      </c>
      <c r="O215" s="37">
        <v>26.0</v>
      </c>
      <c r="P215" s="37" t="s">
        <v>63</v>
      </c>
      <c r="Q215" s="37" t="s">
        <v>63</v>
      </c>
      <c r="R215" s="135" t="s">
        <v>323</v>
      </c>
      <c r="S215" s="37" t="s">
        <v>63</v>
      </c>
      <c r="T215" s="69">
        <v>0.36585365853658536</v>
      </c>
      <c r="U215" s="135">
        <v>31.0</v>
      </c>
      <c r="V215" s="37" t="s">
        <v>63</v>
      </c>
      <c r="W215" s="37" t="s">
        <v>63</v>
      </c>
      <c r="X215" s="37" t="s">
        <v>63</v>
      </c>
      <c r="Y215" s="53">
        <v>92.0</v>
      </c>
      <c r="Z215" s="69" t="s">
        <v>63</v>
      </c>
      <c r="AA215" s="73"/>
      <c r="AB215" s="73"/>
      <c r="AC215" s="73"/>
      <c r="AD215" s="73"/>
      <c r="AE215" s="73"/>
      <c r="AF215" s="73"/>
      <c r="AG215" s="73"/>
      <c r="AH215" s="73"/>
      <c r="AI215" s="73"/>
      <c r="AJ215" s="73"/>
      <c r="AK215" s="73"/>
    </row>
    <row r="216">
      <c r="A216" s="28">
        <v>215.0</v>
      </c>
      <c r="B216" s="29"/>
      <c r="C216" s="29"/>
      <c r="D216" s="40">
        <v>1.0</v>
      </c>
      <c r="E216" s="31">
        <v>6.0</v>
      </c>
      <c r="F216" s="42">
        <v>43.0</v>
      </c>
      <c r="G216" s="29" t="str">
        <f t="shared" si="1"/>
        <v>06043</v>
      </c>
      <c r="H216" s="37" t="s">
        <v>342</v>
      </c>
      <c r="I216" s="37" t="s">
        <v>35</v>
      </c>
      <c r="J216" s="37" t="s">
        <v>184</v>
      </c>
      <c r="K216" s="37" t="str">
        <f t="shared" si="6"/>
        <v>Mariposa, CA</v>
      </c>
      <c r="L216" s="37">
        <v>35.0</v>
      </c>
      <c r="M216" s="37" t="s">
        <v>63</v>
      </c>
      <c r="N216" s="37">
        <v>14.0</v>
      </c>
      <c r="O216" s="37" t="s">
        <v>63</v>
      </c>
      <c r="P216" s="37" t="s">
        <v>63</v>
      </c>
      <c r="Q216" s="37" t="s">
        <v>63</v>
      </c>
      <c r="R216" s="135">
        <v>0.0</v>
      </c>
      <c r="S216" s="37" t="s">
        <v>63</v>
      </c>
      <c r="T216" s="69" t="s">
        <v>321</v>
      </c>
      <c r="U216" s="135">
        <v>0.0</v>
      </c>
      <c r="V216" s="37" t="s">
        <v>63</v>
      </c>
      <c r="W216" s="37" t="s">
        <v>63</v>
      </c>
      <c r="X216" s="37" t="s">
        <v>63</v>
      </c>
      <c r="Y216" s="53">
        <v>20.0</v>
      </c>
      <c r="Z216" s="69" t="s">
        <v>63</v>
      </c>
      <c r="AA216" s="73"/>
      <c r="AB216" s="73"/>
      <c r="AC216" s="73"/>
      <c r="AD216" s="73"/>
      <c r="AE216" s="73"/>
      <c r="AF216" s="73"/>
      <c r="AG216" s="73"/>
      <c r="AH216" s="73"/>
      <c r="AI216" s="73"/>
      <c r="AJ216" s="73"/>
      <c r="AK216" s="73"/>
    </row>
    <row r="217">
      <c r="A217" s="28">
        <v>216.0</v>
      </c>
      <c r="B217" s="29"/>
      <c r="C217" s="29"/>
      <c r="D217" s="40">
        <v>1.0</v>
      </c>
      <c r="E217" s="31">
        <v>6.0</v>
      </c>
      <c r="F217" s="42">
        <v>45.0</v>
      </c>
      <c r="G217" s="29" t="str">
        <f t="shared" si="1"/>
        <v>06045</v>
      </c>
      <c r="H217" s="37" t="s">
        <v>343</v>
      </c>
      <c r="I217" s="37" t="s">
        <v>35</v>
      </c>
      <c r="J217" s="37" t="s">
        <v>184</v>
      </c>
      <c r="K217" s="37" t="str">
        <f t="shared" si="6"/>
        <v>Mendocino, CA</v>
      </c>
      <c r="L217" s="37">
        <v>205.0</v>
      </c>
      <c r="M217" s="37" t="s">
        <v>63</v>
      </c>
      <c r="N217" s="37">
        <v>94.0</v>
      </c>
      <c r="O217" s="37">
        <v>36.0</v>
      </c>
      <c r="P217" s="37" t="s">
        <v>63</v>
      </c>
      <c r="Q217" s="37" t="s">
        <v>63</v>
      </c>
      <c r="R217" s="135" t="s">
        <v>323</v>
      </c>
      <c r="S217" s="37" t="s">
        <v>63</v>
      </c>
      <c r="T217" s="69">
        <v>0.5472972972972973</v>
      </c>
      <c r="U217" s="135">
        <v>60.0</v>
      </c>
      <c r="V217" s="37" t="s">
        <v>63</v>
      </c>
      <c r="W217" s="37" t="s">
        <v>63</v>
      </c>
      <c r="X217" s="37" t="s">
        <v>63</v>
      </c>
      <c r="Y217" s="53">
        <v>53.0</v>
      </c>
      <c r="Z217" s="69" t="s">
        <v>63</v>
      </c>
      <c r="AA217" s="73"/>
      <c r="AB217" s="73"/>
      <c r="AC217" s="73"/>
      <c r="AD217" s="73"/>
      <c r="AE217" s="73"/>
      <c r="AF217" s="73"/>
      <c r="AG217" s="73"/>
      <c r="AH217" s="73"/>
      <c r="AI217" s="73"/>
      <c r="AJ217" s="73"/>
      <c r="AK217" s="73"/>
    </row>
    <row r="218">
      <c r="A218" s="28">
        <v>217.0</v>
      </c>
      <c r="B218" s="29"/>
      <c r="C218" s="29"/>
      <c r="D218" s="40">
        <v>1.0</v>
      </c>
      <c r="E218" s="31">
        <v>6.0</v>
      </c>
      <c r="F218" s="42">
        <v>47.0</v>
      </c>
      <c r="G218" s="29" t="str">
        <f t="shared" si="1"/>
        <v>06047</v>
      </c>
      <c r="H218" s="37" t="s">
        <v>344</v>
      </c>
      <c r="I218" s="37" t="s">
        <v>35</v>
      </c>
      <c r="J218" s="37" t="s">
        <v>184</v>
      </c>
      <c r="K218" s="37" t="str">
        <f t="shared" si="6"/>
        <v>Merced, CA</v>
      </c>
      <c r="L218" s="37">
        <v>615.0</v>
      </c>
      <c r="M218" s="37" t="s">
        <v>63</v>
      </c>
      <c r="N218" s="37">
        <v>285.0</v>
      </c>
      <c r="O218" s="37">
        <v>224.0</v>
      </c>
      <c r="P218" s="37" t="s">
        <v>63</v>
      </c>
      <c r="Q218" s="37" t="s">
        <v>63</v>
      </c>
      <c r="R218" s="135">
        <v>81.0</v>
      </c>
      <c r="S218" s="37" t="s">
        <v>63</v>
      </c>
      <c r="T218" s="69">
        <v>0.5874439461883408</v>
      </c>
      <c r="U218" s="135">
        <v>76.0</v>
      </c>
      <c r="V218" s="37" t="s">
        <v>63</v>
      </c>
      <c r="W218" s="37" t="s">
        <v>63</v>
      </c>
      <c r="X218" s="37" t="s">
        <v>63</v>
      </c>
      <c r="Y218" s="53">
        <v>111.0</v>
      </c>
      <c r="Z218" s="69" t="s">
        <v>63</v>
      </c>
      <c r="AA218" s="73"/>
      <c r="AB218" s="73"/>
      <c r="AC218" s="73"/>
      <c r="AD218" s="73"/>
      <c r="AE218" s="73"/>
      <c r="AF218" s="73"/>
      <c r="AG218" s="73"/>
      <c r="AH218" s="73"/>
      <c r="AI218" s="73"/>
      <c r="AJ218" s="73"/>
      <c r="AK218" s="73"/>
    </row>
    <row r="219">
      <c r="A219" s="28">
        <v>218.0</v>
      </c>
      <c r="B219" s="29"/>
      <c r="C219" s="29"/>
      <c r="D219" s="40">
        <v>1.0</v>
      </c>
      <c r="E219" s="31">
        <v>6.0</v>
      </c>
      <c r="F219" s="42">
        <v>49.0</v>
      </c>
      <c r="G219" s="29" t="str">
        <f t="shared" si="1"/>
        <v>06049</v>
      </c>
      <c r="H219" s="37" t="s">
        <v>345</v>
      </c>
      <c r="I219" s="37" t="s">
        <v>35</v>
      </c>
      <c r="J219" s="37" t="s">
        <v>184</v>
      </c>
      <c r="K219" s="37" t="str">
        <f t="shared" si="6"/>
        <v>Modoc, CA</v>
      </c>
      <c r="L219" s="37">
        <v>18.0</v>
      </c>
      <c r="M219" s="37" t="s">
        <v>63</v>
      </c>
      <c r="N219" s="37" t="s">
        <v>63</v>
      </c>
      <c r="O219" s="37" t="s">
        <v>63</v>
      </c>
      <c r="P219" s="37" t="s">
        <v>63</v>
      </c>
      <c r="Q219" s="37" t="s">
        <v>63</v>
      </c>
      <c r="R219" s="135" t="s">
        <v>323</v>
      </c>
      <c r="S219" s="37" t="s">
        <v>63</v>
      </c>
      <c r="T219" s="69">
        <v>0.9</v>
      </c>
      <c r="U219" s="135">
        <v>12.0</v>
      </c>
      <c r="V219" s="37" t="s">
        <v>63</v>
      </c>
      <c r="W219" s="37" t="s">
        <v>63</v>
      </c>
      <c r="X219" s="37" t="s">
        <v>63</v>
      </c>
      <c r="Y219" s="53">
        <v>12.0</v>
      </c>
      <c r="Z219" s="69" t="s">
        <v>63</v>
      </c>
      <c r="AA219" s="73"/>
      <c r="AB219" s="73"/>
      <c r="AC219" s="73"/>
      <c r="AD219" s="73"/>
      <c r="AE219" s="73"/>
      <c r="AF219" s="73"/>
      <c r="AG219" s="73"/>
      <c r="AH219" s="73"/>
      <c r="AI219" s="73"/>
      <c r="AJ219" s="73"/>
      <c r="AK219" s="73"/>
    </row>
    <row r="220">
      <c r="A220" s="28">
        <v>219.0</v>
      </c>
      <c r="B220" s="29"/>
      <c r="C220" s="29"/>
      <c r="D220" s="40">
        <v>1.0</v>
      </c>
      <c r="E220" s="31">
        <v>6.0</v>
      </c>
      <c r="F220" s="42">
        <v>51.0</v>
      </c>
      <c r="G220" s="29" t="str">
        <f t="shared" si="1"/>
        <v>06051</v>
      </c>
      <c r="H220" s="37" t="s">
        <v>346</v>
      </c>
      <c r="I220" s="37" t="s">
        <v>35</v>
      </c>
      <c r="J220" s="37" t="s">
        <v>184</v>
      </c>
      <c r="K220" s="37" t="str">
        <f t="shared" si="6"/>
        <v>Mono, CA</v>
      </c>
      <c r="L220" s="37" t="s">
        <v>347</v>
      </c>
      <c r="M220" s="37" t="s">
        <v>63</v>
      </c>
      <c r="N220" s="37" t="s">
        <v>63</v>
      </c>
      <c r="O220" s="37" t="s">
        <v>63</v>
      </c>
      <c r="P220" s="37" t="s">
        <v>63</v>
      </c>
      <c r="Q220" s="37" t="s">
        <v>63</v>
      </c>
      <c r="R220" s="135">
        <v>0.0</v>
      </c>
      <c r="S220" s="37" t="s">
        <v>63</v>
      </c>
      <c r="T220" s="69" t="s">
        <v>321</v>
      </c>
      <c r="U220" s="135">
        <v>0.0</v>
      </c>
      <c r="V220" s="37" t="s">
        <v>63</v>
      </c>
      <c r="W220" s="37" t="s">
        <v>63</v>
      </c>
      <c r="X220" s="37" t="s">
        <v>63</v>
      </c>
      <c r="Y220" s="53">
        <v>12.0</v>
      </c>
      <c r="Z220" s="69" t="s">
        <v>63</v>
      </c>
      <c r="AA220" s="73"/>
      <c r="AB220" s="73"/>
      <c r="AC220" s="73"/>
      <c r="AD220" s="73"/>
      <c r="AE220" s="73"/>
      <c r="AF220" s="73"/>
      <c r="AG220" s="73"/>
      <c r="AH220" s="73"/>
      <c r="AI220" s="73"/>
      <c r="AJ220" s="73"/>
      <c r="AK220" s="73"/>
    </row>
    <row r="221">
      <c r="A221" s="28">
        <v>220.0</v>
      </c>
      <c r="B221" s="29"/>
      <c r="C221" s="29"/>
      <c r="D221" s="40">
        <v>1.0</v>
      </c>
      <c r="E221" s="31">
        <v>6.0</v>
      </c>
      <c r="F221" s="42">
        <v>53.0</v>
      </c>
      <c r="G221" s="29" t="str">
        <f t="shared" si="1"/>
        <v>06053</v>
      </c>
      <c r="H221" s="37" t="s">
        <v>348</v>
      </c>
      <c r="I221" s="37" t="s">
        <v>35</v>
      </c>
      <c r="J221" s="37" t="s">
        <v>184</v>
      </c>
      <c r="K221" s="37" t="str">
        <f t="shared" si="6"/>
        <v>Monterey, CA</v>
      </c>
      <c r="L221" s="37">
        <v>161.0</v>
      </c>
      <c r="M221" s="37" t="s">
        <v>63</v>
      </c>
      <c r="N221" s="37">
        <v>84.0</v>
      </c>
      <c r="O221" s="37">
        <v>32.0</v>
      </c>
      <c r="P221" s="37" t="s">
        <v>63</v>
      </c>
      <c r="Q221" s="37" t="s">
        <v>63</v>
      </c>
      <c r="R221" s="135" t="s">
        <v>323</v>
      </c>
      <c r="S221" s="37" t="s">
        <v>63</v>
      </c>
      <c r="T221" s="69">
        <v>0.33766233766233766</v>
      </c>
      <c r="U221" s="135">
        <v>57.0</v>
      </c>
      <c r="V221" s="37" t="s">
        <v>63</v>
      </c>
      <c r="W221" s="37" t="s">
        <v>63</v>
      </c>
      <c r="X221" s="37" t="s">
        <v>63</v>
      </c>
      <c r="Y221" s="53">
        <v>173.0</v>
      </c>
      <c r="Z221" s="69" t="s">
        <v>63</v>
      </c>
      <c r="AA221" s="73"/>
      <c r="AB221" s="73"/>
      <c r="AC221" s="73"/>
      <c r="AD221" s="73"/>
      <c r="AE221" s="73"/>
      <c r="AF221" s="73"/>
      <c r="AG221" s="73"/>
      <c r="AH221" s="73"/>
      <c r="AI221" s="73"/>
      <c r="AJ221" s="73"/>
      <c r="AK221" s="73"/>
    </row>
    <row r="222">
      <c r="A222" s="28">
        <v>221.0</v>
      </c>
      <c r="B222" s="29"/>
      <c r="C222" s="29"/>
      <c r="D222" s="40">
        <v>1.0</v>
      </c>
      <c r="E222" s="31">
        <v>6.0</v>
      </c>
      <c r="F222" s="42">
        <v>55.0</v>
      </c>
      <c r="G222" s="29" t="str">
        <f t="shared" si="1"/>
        <v>06055</v>
      </c>
      <c r="H222" s="37" t="s">
        <v>349</v>
      </c>
      <c r="I222" s="37" t="s">
        <v>35</v>
      </c>
      <c r="J222" s="37" t="s">
        <v>184</v>
      </c>
      <c r="K222" s="37" t="str">
        <f t="shared" si="6"/>
        <v>Napa, CA</v>
      </c>
      <c r="L222" s="37">
        <v>61.0</v>
      </c>
      <c r="M222" s="37" t="s">
        <v>63</v>
      </c>
      <c r="N222" s="37">
        <v>15.0</v>
      </c>
      <c r="O222" s="37">
        <v>19.0</v>
      </c>
      <c r="P222" s="37" t="s">
        <v>63</v>
      </c>
      <c r="Q222" s="37" t="s">
        <v>63</v>
      </c>
      <c r="R222" s="135">
        <v>16.0</v>
      </c>
      <c r="S222" s="37" t="s">
        <v>63</v>
      </c>
      <c r="T222" s="69">
        <v>0.4827586206896552</v>
      </c>
      <c r="U222" s="135">
        <v>32.0</v>
      </c>
      <c r="V222" s="37" t="s">
        <v>63</v>
      </c>
      <c r="W222" s="37" t="s">
        <v>63</v>
      </c>
      <c r="X222" s="37" t="s">
        <v>63</v>
      </c>
      <c r="Y222" s="53">
        <v>50.0</v>
      </c>
      <c r="Z222" s="69" t="s">
        <v>63</v>
      </c>
      <c r="AA222" s="73"/>
      <c r="AB222" s="73"/>
      <c r="AC222" s="73"/>
      <c r="AD222" s="73"/>
      <c r="AE222" s="73"/>
      <c r="AF222" s="73"/>
      <c r="AG222" s="73"/>
      <c r="AH222" s="73"/>
      <c r="AI222" s="73"/>
      <c r="AJ222" s="73"/>
      <c r="AK222" s="73"/>
    </row>
    <row r="223">
      <c r="A223" s="28">
        <v>222.0</v>
      </c>
      <c r="B223" s="29"/>
      <c r="C223" s="29"/>
      <c r="D223" s="40">
        <v>1.0</v>
      </c>
      <c r="E223" s="31">
        <v>6.0</v>
      </c>
      <c r="F223" s="42">
        <v>57.0</v>
      </c>
      <c r="G223" s="29" t="str">
        <f t="shared" si="1"/>
        <v>06057</v>
      </c>
      <c r="H223" s="37" t="s">
        <v>82</v>
      </c>
      <c r="I223" s="37" t="s">
        <v>35</v>
      </c>
      <c r="J223" s="37" t="s">
        <v>184</v>
      </c>
      <c r="K223" s="37" t="str">
        <f t="shared" si="6"/>
        <v>Nevada, CA</v>
      </c>
      <c r="L223" s="37">
        <v>36.0</v>
      </c>
      <c r="M223" s="37" t="s">
        <v>63</v>
      </c>
      <c r="N223" s="37">
        <v>11.0</v>
      </c>
      <c r="O223" s="37">
        <v>13.0</v>
      </c>
      <c r="P223" s="37" t="s">
        <v>63</v>
      </c>
      <c r="Q223" s="37" t="s">
        <v>63</v>
      </c>
      <c r="R223" s="135" t="s">
        <v>323</v>
      </c>
      <c r="S223" s="37" t="s">
        <v>63</v>
      </c>
      <c r="T223" s="69" t="s">
        <v>321</v>
      </c>
      <c r="U223" s="135">
        <v>0.0</v>
      </c>
      <c r="V223" s="37" t="s">
        <v>63</v>
      </c>
      <c r="W223" s="37" t="s">
        <v>63</v>
      </c>
      <c r="X223" s="37" t="s">
        <v>63</v>
      </c>
      <c r="Y223" s="53">
        <v>44.0</v>
      </c>
      <c r="Z223" s="69" t="s">
        <v>63</v>
      </c>
      <c r="AA223" s="73"/>
      <c r="AB223" s="73"/>
      <c r="AC223" s="73"/>
      <c r="AD223" s="73"/>
      <c r="AE223" s="73"/>
      <c r="AF223" s="73"/>
      <c r="AG223" s="73"/>
      <c r="AH223" s="73"/>
      <c r="AI223" s="73"/>
      <c r="AJ223" s="73"/>
      <c r="AK223" s="73"/>
    </row>
    <row r="224">
      <c r="A224" s="28">
        <v>223.0</v>
      </c>
      <c r="B224" s="29"/>
      <c r="C224" s="29"/>
      <c r="D224" s="40">
        <v>1.0</v>
      </c>
      <c r="E224" s="31">
        <v>6.0</v>
      </c>
      <c r="F224" s="42">
        <v>59.0</v>
      </c>
      <c r="G224" s="29" t="str">
        <f t="shared" si="1"/>
        <v>06059</v>
      </c>
      <c r="H224" s="37" t="s">
        <v>241</v>
      </c>
      <c r="I224" s="37" t="s">
        <v>35</v>
      </c>
      <c r="J224" s="37" t="s">
        <v>184</v>
      </c>
      <c r="K224" s="37" t="str">
        <f t="shared" si="6"/>
        <v>Orange, CA</v>
      </c>
      <c r="L224" s="53">
        <v>2205.0</v>
      </c>
      <c r="M224" s="37" t="s">
        <v>63</v>
      </c>
      <c r="N224" s="37">
        <v>543.0</v>
      </c>
      <c r="O224" s="53">
        <v>1107.0</v>
      </c>
      <c r="P224" s="37" t="s">
        <v>63</v>
      </c>
      <c r="Q224" s="37" t="s">
        <v>63</v>
      </c>
      <c r="R224" s="135">
        <v>344.0</v>
      </c>
      <c r="S224" s="37" t="s">
        <v>63</v>
      </c>
      <c r="T224" s="69">
        <v>0.5245769540692989</v>
      </c>
      <c r="U224" s="135">
        <v>1069.0</v>
      </c>
      <c r="V224" s="37" t="s">
        <v>63</v>
      </c>
      <c r="W224" s="37" t="s">
        <v>63</v>
      </c>
      <c r="X224" s="37" t="s">
        <v>63</v>
      </c>
      <c r="Y224" s="53">
        <v>856.0</v>
      </c>
      <c r="Z224" s="69" t="s">
        <v>63</v>
      </c>
      <c r="AA224" s="73"/>
      <c r="AB224" s="73"/>
      <c r="AC224" s="73"/>
      <c r="AD224" s="73"/>
      <c r="AE224" s="73"/>
      <c r="AF224" s="73"/>
      <c r="AG224" s="73"/>
      <c r="AH224" s="73"/>
      <c r="AI224" s="73"/>
      <c r="AJ224" s="73"/>
      <c r="AK224" s="73"/>
    </row>
    <row r="225">
      <c r="A225" s="28">
        <v>224.0</v>
      </c>
      <c r="B225" s="29"/>
      <c r="C225" s="29"/>
      <c r="D225" s="40">
        <v>1.0</v>
      </c>
      <c r="E225" s="31">
        <v>6.0</v>
      </c>
      <c r="F225" s="42">
        <v>61.0</v>
      </c>
      <c r="G225" s="29" t="str">
        <f t="shared" si="1"/>
        <v>06061</v>
      </c>
      <c r="H225" s="37" t="s">
        <v>352</v>
      </c>
      <c r="I225" s="37" t="s">
        <v>35</v>
      </c>
      <c r="J225" s="37" t="s">
        <v>184</v>
      </c>
      <c r="K225" s="37" t="str">
        <f t="shared" si="6"/>
        <v>Placer, CA</v>
      </c>
      <c r="L225" s="37">
        <v>153.0</v>
      </c>
      <c r="M225" s="37" t="s">
        <v>63</v>
      </c>
      <c r="N225" s="37">
        <v>51.0</v>
      </c>
      <c r="O225" s="37">
        <v>56.0</v>
      </c>
      <c r="P225" s="37" t="s">
        <v>63</v>
      </c>
      <c r="Q225" s="37" t="s">
        <v>63</v>
      </c>
      <c r="R225" s="135" t="s">
        <v>323</v>
      </c>
      <c r="S225" s="37" t="s">
        <v>63</v>
      </c>
      <c r="T225" s="69">
        <v>0.5544554455445545</v>
      </c>
      <c r="U225" s="135">
        <v>58.0</v>
      </c>
      <c r="V225" s="37" t="s">
        <v>63</v>
      </c>
      <c r="W225" s="37" t="s">
        <v>63</v>
      </c>
      <c r="X225" s="37" t="s">
        <v>63</v>
      </c>
      <c r="Y225" s="53">
        <v>142.0</v>
      </c>
      <c r="Z225" s="69" t="s">
        <v>63</v>
      </c>
      <c r="AA225" s="73"/>
      <c r="AB225" s="73"/>
      <c r="AC225" s="73"/>
      <c r="AD225" s="73"/>
      <c r="AE225" s="73"/>
      <c r="AF225" s="73"/>
      <c r="AG225" s="73"/>
      <c r="AH225" s="73"/>
      <c r="AI225" s="73"/>
      <c r="AJ225" s="73"/>
      <c r="AK225" s="73"/>
    </row>
    <row r="226">
      <c r="A226" s="28">
        <v>225.0</v>
      </c>
      <c r="B226" s="29"/>
      <c r="C226" s="29"/>
      <c r="D226" s="40">
        <v>1.0</v>
      </c>
      <c r="E226" s="31">
        <v>6.0</v>
      </c>
      <c r="F226" s="42">
        <v>63.0</v>
      </c>
      <c r="G226" s="29" t="str">
        <f t="shared" si="1"/>
        <v>06063</v>
      </c>
      <c r="H226" s="37" t="s">
        <v>354</v>
      </c>
      <c r="I226" s="37" t="s">
        <v>35</v>
      </c>
      <c r="J226" s="37" t="s">
        <v>184</v>
      </c>
      <c r="K226" s="37" t="str">
        <f t="shared" si="6"/>
        <v>Plumas, CA</v>
      </c>
      <c r="L226" s="37">
        <v>22.0</v>
      </c>
      <c r="M226" s="37" t="s">
        <v>63</v>
      </c>
      <c r="N226" s="37" t="s">
        <v>63</v>
      </c>
      <c r="O226" s="37" t="s">
        <v>63</v>
      </c>
      <c r="P226" s="37" t="s">
        <v>63</v>
      </c>
      <c r="Q226" s="37" t="s">
        <v>63</v>
      </c>
      <c r="R226" s="135" t="s">
        <v>323</v>
      </c>
      <c r="S226" s="37" t="s">
        <v>63</v>
      </c>
      <c r="T226" s="69">
        <v>0.7272727272727273</v>
      </c>
      <c r="U226" s="135">
        <v>14.0</v>
      </c>
      <c r="V226" s="37" t="s">
        <v>63</v>
      </c>
      <c r="W226" s="37" t="s">
        <v>63</v>
      </c>
      <c r="X226" s="37" t="s">
        <v>63</v>
      </c>
      <c r="Y226" s="53">
        <v>28.0</v>
      </c>
      <c r="Z226" s="69" t="s">
        <v>63</v>
      </c>
      <c r="AA226" s="73"/>
      <c r="AB226" s="73"/>
      <c r="AC226" s="73"/>
      <c r="AD226" s="73"/>
      <c r="AE226" s="73"/>
      <c r="AF226" s="73"/>
      <c r="AG226" s="73"/>
      <c r="AH226" s="73"/>
      <c r="AI226" s="73"/>
      <c r="AJ226" s="73"/>
      <c r="AK226" s="73"/>
    </row>
    <row r="227">
      <c r="A227" s="28">
        <v>226.0</v>
      </c>
      <c r="B227" s="29"/>
      <c r="C227" s="29"/>
      <c r="D227" s="40">
        <v>1.0</v>
      </c>
      <c r="E227" s="31">
        <v>6.0</v>
      </c>
      <c r="F227" s="42">
        <v>65.0</v>
      </c>
      <c r="G227" s="29" t="str">
        <f t="shared" si="1"/>
        <v>06065</v>
      </c>
      <c r="H227" s="37" t="s">
        <v>252</v>
      </c>
      <c r="I227" s="37" t="s">
        <v>35</v>
      </c>
      <c r="J227" s="37" t="s">
        <v>184</v>
      </c>
      <c r="K227" s="37" t="str">
        <f t="shared" si="6"/>
        <v>Riverside, CA</v>
      </c>
      <c r="L227" s="53">
        <v>3119.0</v>
      </c>
      <c r="M227" s="37" t="s">
        <v>63</v>
      </c>
      <c r="N227" s="53">
        <v>1320.0</v>
      </c>
      <c r="O227" s="53">
        <v>1177.0</v>
      </c>
      <c r="P227" s="37" t="s">
        <v>63</v>
      </c>
      <c r="Q227" s="37" t="s">
        <v>63</v>
      </c>
      <c r="R227" s="135">
        <v>357.0</v>
      </c>
      <c r="S227" s="37" t="s">
        <v>63</v>
      </c>
      <c r="T227" s="69">
        <v>0.5260347129506008</v>
      </c>
      <c r="U227" s="53">
        <v>1706.0</v>
      </c>
      <c r="V227" s="37" t="s">
        <v>63</v>
      </c>
      <c r="W227" s="37" t="s">
        <v>63</v>
      </c>
      <c r="X227" s="37" t="s">
        <v>63</v>
      </c>
      <c r="Y227" s="53">
        <v>656.0</v>
      </c>
      <c r="Z227" s="69" t="s">
        <v>63</v>
      </c>
      <c r="AA227" s="73"/>
      <c r="AB227" s="73"/>
      <c r="AC227" s="73"/>
      <c r="AD227" s="73"/>
      <c r="AE227" s="73"/>
      <c r="AF227" s="73"/>
      <c r="AG227" s="73"/>
      <c r="AH227" s="73"/>
      <c r="AI227" s="73"/>
      <c r="AJ227" s="73"/>
      <c r="AK227" s="73"/>
    </row>
    <row r="228">
      <c r="A228" s="28">
        <v>227.0</v>
      </c>
      <c r="B228" s="29"/>
      <c r="C228" s="29"/>
      <c r="D228" s="40">
        <v>1.0</v>
      </c>
      <c r="E228" s="31">
        <v>6.0</v>
      </c>
      <c r="F228" s="42">
        <v>67.0</v>
      </c>
      <c r="G228" s="29" t="str">
        <f t="shared" si="1"/>
        <v>06067</v>
      </c>
      <c r="H228" s="37" t="s">
        <v>292</v>
      </c>
      <c r="I228" s="37" t="s">
        <v>35</v>
      </c>
      <c r="J228" s="37" t="s">
        <v>184</v>
      </c>
      <c r="K228" s="37" t="str">
        <f t="shared" si="6"/>
        <v>Sacramento, CA</v>
      </c>
      <c r="L228" s="53">
        <v>1176.0</v>
      </c>
      <c r="M228" s="37" t="s">
        <v>63</v>
      </c>
      <c r="N228" s="37">
        <v>457.0</v>
      </c>
      <c r="O228" s="37">
        <v>277.0</v>
      </c>
      <c r="P228" s="37" t="s">
        <v>63</v>
      </c>
      <c r="Q228" s="37" t="s">
        <v>63</v>
      </c>
      <c r="R228" s="135">
        <v>166.0</v>
      </c>
      <c r="S228" s="37" t="s">
        <v>63</v>
      </c>
      <c r="T228" s="69">
        <v>0.4616306954436451</v>
      </c>
      <c r="U228" s="135">
        <v>469.0</v>
      </c>
      <c r="V228" s="37" t="s">
        <v>63</v>
      </c>
      <c r="W228" s="37" t="s">
        <v>63</v>
      </c>
      <c r="X228" s="37" t="s">
        <v>63</v>
      </c>
      <c r="Y228" s="53">
        <v>538.0</v>
      </c>
      <c r="Z228" s="69" t="s">
        <v>63</v>
      </c>
      <c r="AA228" s="73"/>
      <c r="AB228" s="73"/>
      <c r="AC228" s="73"/>
      <c r="AD228" s="73"/>
      <c r="AE228" s="73"/>
      <c r="AF228" s="73"/>
      <c r="AG228" s="73"/>
      <c r="AH228" s="73"/>
      <c r="AI228" s="73"/>
      <c r="AJ228" s="73"/>
      <c r="AK228" s="73"/>
    </row>
    <row r="229">
      <c r="A229" s="28">
        <v>228.0</v>
      </c>
      <c r="B229" s="29"/>
      <c r="C229" s="29"/>
      <c r="D229" s="40">
        <v>1.0</v>
      </c>
      <c r="E229" s="31">
        <v>6.0</v>
      </c>
      <c r="F229" s="42">
        <v>69.0</v>
      </c>
      <c r="G229" s="29" t="str">
        <f t="shared" si="1"/>
        <v>06069</v>
      </c>
      <c r="H229" s="37" t="s">
        <v>356</v>
      </c>
      <c r="I229" s="37" t="s">
        <v>35</v>
      </c>
      <c r="J229" s="37" t="s">
        <v>184</v>
      </c>
      <c r="K229" s="37" t="str">
        <f t="shared" si="6"/>
        <v>San Benito, CA</v>
      </c>
      <c r="L229" s="37">
        <v>26.0</v>
      </c>
      <c r="M229" s="37" t="s">
        <v>63</v>
      </c>
      <c r="N229" s="37" t="s">
        <v>63</v>
      </c>
      <c r="O229" s="37">
        <v>13.0</v>
      </c>
      <c r="P229" s="37" t="s">
        <v>63</v>
      </c>
      <c r="Q229" s="37" t="s">
        <v>63</v>
      </c>
      <c r="R229" s="135">
        <v>0.0</v>
      </c>
      <c r="S229" s="37" t="s">
        <v>63</v>
      </c>
      <c r="T229" s="69">
        <v>0.7083333333333334</v>
      </c>
      <c r="U229" s="135">
        <v>12.0</v>
      </c>
      <c r="V229" s="37" t="s">
        <v>63</v>
      </c>
      <c r="W229" s="37" t="s">
        <v>63</v>
      </c>
      <c r="X229" s="37" t="s">
        <v>63</v>
      </c>
      <c r="Y229" s="53">
        <v>23.0</v>
      </c>
      <c r="Z229" s="69" t="s">
        <v>63</v>
      </c>
      <c r="AA229" s="73"/>
      <c r="AB229" s="73"/>
      <c r="AC229" s="73"/>
      <c r="AD229" s="73"/>
      <c r="AE229" s="73"/>
      <c r="AF229" s="73"/>
      <c r="AG229" s="73"/>
      <c r="AH229" s="73"/>
      <c r="AI229" s="73"/>
      <c r="AJ229" s="73"/>
      <c r="AK229" s="73"/>
    </row>
    <row r="230">
      <c r="A230" s="28">
        <v>229.0</v>
      </c>
      <c r="B230" s="29"/>
      <c r="C230" s="29"/>
      <c r="D230" s="40">
        <v>1.0</v>
      </c>
      <c r="E230" s="31">
        <v>6.0</v>
      </c>
      <c r="F230" s="42">
        <v>71.0</v>
      </c>
      <c r="G230" s="29" t="str">
        <f t="shared" si="1"/>
        <v>06071</v>
      </c>
      <c r="H230" s="37" t="s">
        <v>261</v>
      </c>
      <c r="I230" s="37" t="s">
        <v>35</v>
      </c>
      <c r="J230" s="37" t="s">
        <v>184</v>
      </c>
      <c r="K230" s="136" t="str">
        <f t="shared" si="6"/>
        <v>San Bernardino, CA</v>
      </c>
      <c r="L230" s="53">
        <v>4996.0</v>
      </c>
      <c r="M230" s="37" t="s">
        <v>63</v>
      </c>
      <c r="N230" s="53">
        <v>2220.0</v>
      </c>
      <c r="O230" s="53">
        <v>1544.0</v>
      </c>
      <c r="P230" s="37" t="s">
        <v>63</v>
      </c>
      <c r="Q230" s="37" t="s">
        <v>63</v>
      </c>
      <c r="R230" s="135">
        <v>643.0</v>
      </c>
      <c r="S230" s="37" t="s">
        <v>63</v>
      </c>
      <c r="T230" s="69">
        <v>0.45051635111876076</v>
      </c>
      <c r="U230" s="135">
        <v>795.0</v>
      </c>
      <c r="V230" s="37" t="s">
        <v>63</v>
      </c>
      <c r="W230" s="37" t="s">
        <v>63</v>
      </c>
      <c r="X230" s="37" t="s">
        <v>63</v>
      </c>
      <c r="Y230" s="53">
        <v>703.0</v>
      </c>
      <c r="Z230" s="69" t="s">
        <v>63</v>
      </c>
      <c r="AA230" s="73"/>
      <c r="AB230" s="73"/>
      <c r="AC230" s="73"/>
      <c r="AD230" s="73"/>
      <c r="AE230" s="73"/>
      <c r="AF230" s="73"/>
      <c r="AG230" s="73"/>
      <c r="AH230" s="73"/>
      <c r="AI230" s="73"/>
      <c r="AJ230" s="73"/>
      <c r="AK230" s="73"/>
    </row>
    <row r="231">
      <c r="A231" s="28">
        <v>230.0</v>
      </c>
      <c r="B231" s="29"/>
      <c r="C231" s="29"/>
      <c r="D231" s="40">
        <v>1.0</v>
      </c>
      <c r="E231" s="31">
        <v>6.0</v>
      </c>
      <c r="F231" s="42">
        <v>73.0</v>
      </c>
      <c r="G231" s="29" t="str">
        <f t="shared" si="1"/>
        <v>06073</v>
      </c>
      <c r="H231" s="37" t="s">
        <v>239</v>
      </c>
      <c r="I231" s="37" t="s">
        <v>35</v>
      </c>
      <c r="J231" s="37" t="s">
        <v>184</v>
      </c>
      <c r="K231" s="37" t="str">
        <f t="shared" si="6"/>
        <v>San Diego, CA</v>
      </c>
      <c r="L231" s="53">
        <v>1655.0</v>
      </c>
      <c r="M231" s="37" t="s">
        <v>63</v>
      </c>
      <c r="N231" s="37">
        <v>636.0</v>
      </c>
      <c r="O231" s="37">
        <v>587.0</v>
      </c>
      <c r="P231" s="37" t="s">
        <v>63</v>
      </c>
      <c r="Q231" s="37" t="s">
        <v>63</v>
      </c>
      <c r="R231" s="135">
        <v>192.0</v>
      </c>
      <c r="S231" s="37" t="s">
        <v>63</v>
      </c>
      <c r="T231" s="69">
        <v>0.4560546875</v>
      </c>
      <c r="U231" s="135">
        <v>416.0</v>
      </c>
      <c r="V231" s="37" t="s">
        <v>63</v>
      </c>
      <c r="W231" s="37" t="s">
        <v>63</v>
      </c>
      <c r="X231" s="37" t="s">
        <v>63</v>
      </c>
      <c r="Y231" s="53">
        <v>991.0</v>
      </c>
      <c r="Z231" s="69" t="s">
        <v>63</v>
      </c>
      <c r="AA231" s="73"/>
      <c r="AB231" s="73"/>
      <c r="AC231" s="73"/>
      <c r="AD231" s="73"/>
      <c r="AE231" s="73"/>
      <c r="AF231" s="73"/>
      <c r="AG231" s="73"/>
      <c r="AH231" s="73"/>
      <c r="AI231" s="73"/>
      <c r="AJ231" s="73"/>
      <c r="AK231" s="73"/>
    </row>
    <row r="232">
      <c r="A232" s="28">
        <v>231.0</v>
      </c>
      <c r="B232" s="29"/>
      <c r="C232" s="29"/>
      <c r="D232" s="40">
        <v>1.0</v>
      </c>
      <c r="E232" s="31">
        <v>6.0</v>
      </c>
      <c r="F232" s="42">
        <v>75.0</v>
      </c>
      <c r="G232" s="29" t="str">
        <f t="shared" si="1"/>
        <v>06075</v>
      </c>
      <c r="H232" s="37" t="s">
        <v>357</v>
      </c>
      <c r="I232" s="37" t="s">
        <v>35</v>
      </c>
      <c r="J232" s="37" t="s">
        <v>184</v>
      </c>
      <c r="K232" s="136" t="str">
        <f t="shared" si="6"/>
        <v>San Francisco, CA</v>
      </c>
      <c r="L232" s="37">
        <v>620.0</v>
      </c>
      <c r="M232" s="37" t="s">
        <v>63</v>
      </c>
      <c r="N232" s="37">
        <v>274.0</v>
      </c>
      <c r="O232" s="37">
        <v>195.0</v>
      </c>
      <c r="P232" s="37" t="s">
        <v>63</v>
      </c>
      <c r="Q232" s="37" t="s">
        <v>63</v>
      </c>
      <c r="R232" s="135">
        <v>12.0</v>
      </c>
      <c r="S232" s="37" t="s">
        <v>63</v>
      </c>
      <c r="T232" s="69">
        <v>0.4493927125506073</v>
      </c>
      <c r="U232" s="135">
        <v>266.0</v>
      </c>
      <c r="V232" s="37" t="s">
        <v>63</v>
      </c>
      <c r="W232" s="37" t="s">
        <v>63</v>
      </c>
      <c r="X232" s="37" t="s">
        <v>63</v>
      </c>
      <c r="Y232" s="53">
        <v>276.0</v>
      </c>
      <c r="Z232" s="69" t="s">
        <v>63</v>
      </c>
      <c r="AA232" s="73"/>
      <c r="AB232" s="73"/>
      <c r="AC232" s="73"/>
      <c r="AD232" s="73"/>
      <c r="AE232" s="73"/>
      <c r="AF232" s="73"/>
      <c r="AG232" s="73"/>
      <c r="AH232" s="73"/>
      <c r="AI232" s="73"/>
      <c r="AJ232" s="73"/>
      <c r="AK232" s="73"/>
    </row>
    <row r="233">
      <c r="A233" s="28">
        <v>232.0</v>
      </c>
      <c r="B233" s="29"/>
      <c r="C233" s="29"/>
      <c r="D233" s="40">
        <v>1.0</v>
      </c>
      <c r="E233" s="31">
        <v>6.0</v>
      </c>
      <c r="F233" s="42">
        <v>77.0</v>
      </c>
      <c r="G233" s="29" t="str">
        <f t="shared" si="1"/>
        <v>06077</v>
      </c>
      <c r="H233" s="37" t="s">
        <v>358</v>
      </c>
      <c r="I233" s="37" t="s">
        <v>35</v>
      </c>
      <c r="J233" s="37" t="s">
        <v>184</v>
      </c>
      <c r="K233" s="136" t="str">
        <f t="shared" si="6"/>
        <v>San Joaquin, CA</v>
      </c>
      <c r="L233" s="53">
        <v>1170.0</v>
      </c>
      <c r="M233" s="37" t="s">
        <v>63</v>
      </c>
      <c r="N233" s="37">
        <v>485.0</v>
      </c>
      <c r="O233" s="37">
        <v>429.0</v>
      </c>
      <c r="P233" s="37" t="s">
        <v>63</v>
      </c>
      <c r="Q233" s="37" t="s">
        <v>63</v>
      </c>
      <c r="R233" s="135">
        <v>152.0</v>
      </c>
      <c r="S233" s="37" t="s">
        <v>63</v>
      </c>
      <c r="T233" s="69">
        <v>0.44889779559118237</v>
      </c>
      <c r="U233" s="135">
        <v>200.0</v>
      </c>
      <c r="V233" s="37" t="s">
        <v>63</v>
      </c>
      <c r="W233" s="37" t="s">
        <v>63</v>
      </c>
      <c r="X233" s="37" t="s">
        <v>63</v>
      </c>
      <c r="Y233" s="53">
        <v>271.0</v>
      </c>
      <c r="Z233" s="69" t="s">
        <v>63</v>
      </c>
      <c r="AA233" s="73"/>
      <c r="AB233" s="73"/>
      <c r="AC233" s="73"/>
      <c r="AD233" s="73"/>
      <c r="AE233" s="73"/>
      <c r="AF233" s="73"/>
      <c r="AG233" s="73"/>
      <c r="AH233" s="73"/>
      <c r="AI233" s="73"/>
      <c r="AJ233" s="73"/>
      <c r="AK233" s="73"/>
    </row>
    <row r="234">
      <c r="A234" s="28">
        <v>233.0</v>
      </c>
      <c r="B234" s="29"/>
      <c r="C234" s="29"/>
      <c r="D234" s="40">
        <v>1.0</v>
      </c>
      <c r="E234" s="31">
        <v>6.0</v>
      </c>
      <c r="F234" s="42">
        <v>79.0</v>
      </c>
      <c r="G234" s="29" t="str">
        <f t="shared" si="1"/>
        <v>06079</v>
      </c>
      <c r="H234" s="37" t="s">
        <v>360</v>
      </c>
      <c r="I234" s="37" t="s">
        <v>35</v>
      </c>
      <c r="J234" s="37" t="s">
        <v>184</v>
      </c>
      <c r="K234" s="136" t="str">
        <f t="shared" si="6"/>
        <v>San Luis Obispo, CA</v>
      </c>
      <c r="L234" s="37">
        <v>260.0</v>
      </c>
      <c r="M234" s="37" t="s">
        <v>63</v>
      </c>
      <c r="N234" s="37">
        <v>106.0</v>
      </c>
      <c r="O234" s="37">
        <v>98.0</v>
      </c>
      <c r="P234" s="37" t="s">
        <v>63</v>
      </c>
      <c r="Q234" s="37" t="s">
        <v>63</v>
      </c>
      <c r="R234" s="135">
        <v>33.0</v>
      </c>
      <c r="S234" s="37" t="s">
        <v>63</v>
      </c>
      <c r="T234" s="69">
        <v>0.5585585585585585</v>
      </c>
      <c r="U234" s="135">
        <v>73.0</v>
      </c>
      <c r="V234" s="37" t="s">
        <v>63</v>
      </c>
      <c r="W234" s="37" t="s">
        <v>63</v>
      </c>
      <c r="X234" s="37" t="s">
        <v>63</v>
      </c>
      <c r="Y234" s="53">
        <v>146.0</v>
      </c>
      <c r="Z234" s="69" t="s">
        <v>63</v>
      </c>
      <c r="AA234" s="73"/>
      <c r="AB234" s="73"/>
      <c r="AC234" s="73"/>
      <c r="AD234" s="73"/>
      <c r="AE234" s="73"/>
      <c r="AF234" s="73"/>
      <c r="AG234" s="73"/>
      <c r="AH234" s="73"/>
      <c r="AI234" s="73"/>
      <c r="AJ234" s="73"/>
      <c r="AK234" s="73"/>
    </row>
    <row r="235">
      <c r="A235" s="28">
        <v>234.0</v>
      </c>
      <c r="B235" s="29"/>
      <c r="C235" s="29"/>
      <c r="D235" s="40">
        <v>1.0</v>
      </c>
      <c r="E235" s="31">
        <v>6.0</v>
      </c>
      <c r="F235" s="42">
        <v>81.0</v>
      </c>
      <c r="G235" s="29" t="str">
        <f t="shared" si="1"/>
        <v>06081</v>
      </c>
      <c r="H235" s="37" t="s">
        <v>361</v>
      </c>
      <c r="I235" s="37" t="s">
        <v>35</v>
      </c>
      <c r="J235" s="37" t="s">
        <v>184</v>
      </c>
      <c r="K235" s="37" t="str">
        <f t="shared" si="6"/>
        <v>San Mateo, CA</v>
      </c>
      <c r="L235" s="37">
        <v>115.0</v>
      </c>
      <c r="M235" s="37" t="s">
        <v>63</v>
      </c>
      <c r="N235" s="37">
        <v>45.0</v>
      </c>
      <c r="O235" s="37">
        <v>25.0</v>
      </c>
      <c r="P235" s="37" t="s">
        <v>63</v>
      </c>
      <c r="Q235" s="37" t="s">
        <v>63</v>
      </c>
      <c r="R235" s="135" t="s">
        <v>323</v>
      </c>
      <c r="S235" s="37" t="s">
        <v>63</v>
      </c>
      <c r="T235" s="69">
        <v>0.4482758620689655</v>
      </c>
      <c r="U235" s="135">
        <v>60.0</v>
      </c>
      <c r="V235" s="37" t="s">
        <v>63</v>
      </c>
      <c r="W235" s="37" t="s">
        <v>63</v>
      </c>
      <c r="X235" s="37" t="s">
        <v>63</v>
      </c>
      <c r="Y235" s="53">
        <v>236.0</v>
      </c>
      <c r="Z235" s="69" t="s">
        <v>63</v>
      </c>
      <c r="AA235" s="73"/>
      <c r="AB235" s="73"/>
      <c r="AC235" s="73"/>
      <c r="AD235" s="73"/>
      <c r="AE235" s="73"/>
      <c r="AF235" s="73"/>
      <c r="AG235" s="73"/>
      <c r="AH235" s="73"/>
      <c r="AI235" s="73"/>
      <c r="AJ235" s="73"/>
      <c r="AK235" s="73"/>
    </row>
    <row r="236">
      <c r="A236" s="28">
        <v>235.0</v>
      </c>
      <c r="B236" s="29"/>
      <c r="C236" s="29"/>
      <c r="D236" s="40">
        <v>1.0</v>
      </c>
      <c r="E236" s="31">
        <v>6.0</v>
      </c>
      <c r="F236" s="42">
        <v>83.0</v>
      </c>
      <c r="G236" s="29" t="str">
        <f t="shared" si="1"/>
        <v>06083</v>
      </c>
      <c r="H236" s="37" t="s">
        <v>362</v>
      </c>
      <c r="I236" s="37" t="s">
        <v>35</v>
      </c>
      <c r="J236" s="37" t="s">
        <v>184</v>
      </c>
      <c r="K236" s="136" t="str">
        <f t="shared" si="6"/>
        <v>Santa Barbara, CA</v>
      </c>
      <c r="L236" s="37">
        <v>387.0</v>
      </c>
      <c r="M236" s="37" t="s">
        <v>63</v>
      </c>
      <c r="N236" s="37">
        <v>164.0</v>
      </c>
      <c r="O236" s="37">
        <v>137.0</v>
      </c>
      <c r="P236" s="37" t="s">
        <v>63</v>
      </c>
      <c r="Q236" s="37" t="s">
        <v>63</v>
      </c>
      <c r="R236" s="135" t="s">
        <v>323</v>
      </c>
      <c r="S236" s="37" t="s">
        <v>63</v>
      </c>
      <c r="T236" s="69">
        <v>0.33879781420765026</v>
      </c>
      <c r="U236" s="135">
        <v>88.0</v>
      </c>
      <c r="V236" s="37" t="s">
        <v>63</v>
      </c>
      <c r="W236" s="37" t="s">
        <v>63</v>
      </c>
      <c r="X236" s="37" t="s">
        <v>63</v>
      </c>
      <c r="Y236" s="53">
        <v>193.0</v>
      </c>
      <c r="Z236" s="69" t="s">
        <v>63</v>
      </c>
      <c r="AA236" s="73"/>
      <c r="AB236" s="73"/>
      <c r="AC236" s="73"/>
      <c r="AD236" s="73"/>
      <c r="AE236" s="73"/>
      <c r="AF236" s="73"/>
      <c r="AG236" s="73"/>
      <c r="AH236" s="73"/>
      <c r="AI236" s="73"/>
      <c r="AJ236" s="73"/>
      <c r="AK236" s="73"/>
    </row>
    <row r="237">
      <c r="A237" s="28">
        <v>236.0</v>
      </c>
      <c r="B237" s="29"/>
      <c r="C237" s="29"/>
      <c r="D237" s="40">
        <v>1.0</v>
      </c>
      <c r="E237" s="31">
        <v>6.0</v>
      </c>
      <c r="F237" s="42">
        <v>85.0</v>
      </c>
      <c r="G237" s="29" t="str">
        <f t="shared" si="1"/>
        <v>06085</v>
      </c>
      <c r="H237" s="37" t="s">
        <v>272</v>
      </c>
      <c r="I237" s="37" t="s">
        <v>35</v>
      </c>
      <c r="J237" s="37" t="s">
        <v>184</v>
      </c>
      <c r="K237" s="37" t="str">
        <f t="shared" si="6"/>
        <v>Santa Clara, CA</v>
      </c>
      <c r="L237" s="53">
        <v>494.0</v>
      </c>
      <c r="M237" s="37" t="s">
        <v>63</v>
      </c>
      <c r="N237" s="37">
        <v>234.0</v>
      </c>
      <c r="O237" s="37">
        <v>111.0</v>
      </c>
      <c r="P237" s="37" t="s">
        <v>63</v>
      </c>
      <c r="Q237" s="37" t="s">
        <v>63</v>
      </c>
      <c r="R237" s="135">
        <v>85.0</v>
      </c>
      <c r="S237" s="37" t="s">
        <v>63</v>
      </c>
      <c r="T237" s="69">
        <v>0.22772277227722773</v>
      </c>
      <c r="U237" s="135">
        <v>293.0</v>
      </c>
      <c r="V237" s="37" t="s">
        <v>63</v>
      </c>
      <c r="W237" s="37" t="s">
        <v>63</v>
      </c>
      <c r="X237" s="37" t="s">
        <v>63</v>
      </c>
      <c r="Y237" s="53">
        <v>516.0</v>
      </c>
      <c r="Z237" s="69" t="s">
        <v>63</v>
      </c>
      <c r="AA237" s="73"/>
      <c r="AB237" s="73"/>
      <c r="AC237" s="73"/>
      <c r="AD237" s="73"/>
      <c r="AE237" s="73"/>
      <c r="AF237" s="73"/>
      <c r="AG237" s="73"/>
      <c r="AH237" s="73"/>
      <c r="AI237" s="73"/>
      <c r="AJ237" s="73"/>
      <c r="AK237" s="73"/>
    </row>
    <row r="238">
      <c r="A238" s="28">
        <v>237.0</v>
      </c>
      <c r="B238" s="29"/>
      <c r="C238" s="29"/>
      <c r="D238" s="40">
        <v>1.0</v>
      </c>
      <c r="E238" s="31">
        <v>6.0</v>
      </c>
      <c r="F238" s="42">
        <v>87.0</v>
      </c>
      <c r="G238" s="29" t="str">
        <f t="shared" si="1"/>
        <v>06087</v>
      </c>
      <c r="H238" s="37" t="s">
        <v>232</v>
      </c>
      <c r="I238" s="37" t="s">
        <v>35</v>
      </c>
      <c r="J238" s="37" t="s">
        <v>184</v>
      </c>
      <c r="K238" s="37" t="str">
        <f t="shared" si="6"/>
        <v>Santa Cruz, CA</v>
      </c>
      <c r="L238" s="37">
        <v>116.0</v>
      </c>
      <c r="M238" s="37" t="s">
        <v>63</v>
      </c>
      <c r="N238" s="37">
        <v>34.0</v>
      </c>
      <c r="O238" s="37">
        <v>46.0</v>
      </c>
      <c r="P238" s="37" t="s">
        <v>63</v>
      </c>
      <c r="Q238" s="37" t="s">
        <v>63</v>
      </c>
      <c r="R238" s="135">
        <v>11.0</v>
      </c>
      <c r="S238" s="37" t="s">
        <v>63</v>
      </c>
      <c r="T238" s="69">
        <v>0.4675324675324675</v>
      </c>
      <c r="U238" s="135">
        <v>40.0</v>
      </c>
      <c r="V238" s="37" t="s">
        <v>63</v>
      </c>
      <c r="W238" s="37" t="s">
        <v>63</v>
      </c>
      <c r="X238" s="37" t="s">
        <v>63</v>
      </c>
      <c r="Y238" s="53">
        <v>78.0</v>
      </c>
      <c r="Z238" s="69" t="s">
        <v>63</v>
      </c>
      <c r="AA238" s="73"/>
      <c r="AB238" s="73"/>
      <c r="AC238" s="73"/>
      <c r="AD238" s="73"/>
      <c r="AE238" s="73"/>
      <c r="AF238" s="73"/>
      <c r="AG238" s="73"/>
      <c r="AH238" s="73"/>
      <c r="AI238" s="73"/>
      <c r="AJ238" s="73"/>
      <c r="AK238" s="73"/>
    </row>
    <row r="239">
      <c r="A239" s="28">
        <v>238.0</v>
      </c>
      <c r="B239" s="29"/>
      <c r="C239" s="29"/>
      <c r="D239" s="40">
        <v>1.0</v>
      </c>
      <c r="E239" s="31">
        <v>6.0</v>
      </c>
      <c r="F239" s="42">
        <v>89.0</v>
      </c>
      <c r="G239" s="29" t="str">
        <f t="shared" si="1"/>
        <v>06089</v>
      </c>
      <c r="H239" s="37" t="s">
        <v>364</v>
      </c>
      <c r="I239" s="37" t="s">
        <v>35</v>
      </c>
      <c r="J239" s="37" t="s">
        <v>184</v>
      </c>
      <c r="K239" s="37" t="str">
        <f t="shared" si="6"/>
        <v>Shasta, CA</v>
      </c>
      <c r="L239" s="37">
        <v>376.0</v>
      </c>
      <c r="M239" s="37" t="s">
        <v>63</v>
      </c>
      <c r="N239" s="37">
        <v>179.0</v>
      </c>
      <c r="O239" s="37">
        <v>127.0</v>
      </c>
      <c r="P239" s="37" t="s">
        <v>63</v>
      </c>
      <c r="Q239" s="37" t="s">
        <v>63</v>
      </c>
      <c r="R239" s="135">
        <v>43.0</v>
      </c>
      <c r="S239" s="37" t="s">
        <v>63</v>
      </c>
      <c r="T239" s="69">
        <v>0.5118483412322274</v>
      </c>
      <c r="U239" s="135">
        <v>39.0</v>
      </c>
      <c r="V239" s="37" t="s">
        <v>63</v>
      </c>
      <c r="W239" s="37" t="s">
        <v>63</v>
      </c>
      <c r="X239" s="37" t="s">
        <v>63</v>
      </c>
      <c r="Y239" s="53">
        <v>95.0</v>
      </c>
      <c r="Z239" s="69" t="s">
        <v>63</v>
      </c>
      <c r="AA239" s="73"/>
      <c r="AB239" s="73"/>
      <c r="AC239" s="73"/>
      <c r="AD239" s="73"/>
      <c r="AE239" s="73"/>
      <c r="AF239" s="73"/>
      <c r="AG239" s="73"/>
      <c r="AH239" s="73"/>
      <c r="AI239" s="73"/>
      <c r="AJ239" s="73"/>
      <c r="AK239" s="73"/>
    </row>
    <row r="240">
      <c r="A240" s="28">
        <v>239.0</v>
      </c>
      <c r="B240" s="29"/>
      <c r="C240" s="29"/>
      <c r="D240" s="40">
        <v>1.0</v>
      </c>
      <c r="E240" s="31">
        <v>6.0</v>
      </c>
      <c r="F240" s="42">
        <v>91.0</v>
      </c>
      <c r="G240" s="29" t="str">
        <f t="shared" si="1"/>
        <v>06091</v>
      </c>
      <c r="H240" s="37" t="s">
        <v>365</v>
      </c>
      <c r="I240" s="37" t="s">
        <v>35</v>
      </c>
      <c r="J240" s="37" t="s">
        <v>184</v>
      </c>
      <c r="K240" s="37" t="str">
        <f t="shared" si="6"/>
        <v>Sierra, CA</v>
      </c>
      <c r="L240" s="37">
        <v>11.0</v>
      </c>
      <c r="M240" s="37" t="s">
        <v>63</v>
      </c>
      <c r="N240" s="37" t="s">
        <v>63</v>
      </c>
      <c r="O240" s="37" t="s">
        <v>63</v>
      </c>
      <c r="P240" s="37" t="s">
        <v>63</v>
      </c>
      <c r="Q240" s="37" t="s">
        <v>63</v>
      </c>
      <c r="R240" s="135">
        <v>0.0</v>
      </c>
      <c r="S240" s="37" t="s">
        <v>63</v>
      </c>
      <c r="T240" s="69" t="s">
        <v>321</v>
      </c>
      <c r="U240" s="135">
        <v>0.0</v>
      </c>
      <c r="V240" s="37" t="s">
        <v>63</v>
      </c>
      <c r="W240" s="37" t="s">
        <v>63</v>
      </c>
      <c r="X240" s="37" t="s">
        <v>63</v>
      </c>
      <c r="Y240" s="53">
        <v>4.0</v>
      </c>
      <c r="Z240" s="69" t="s">
        <v>63</v>
      </c>
      <c r="AA240" s="73"/>
      <c r="AB240" s="73"/>
      <c r="AC240" s="73"/>
      <c r="AD240" s="73"/>
      <c r="AE240" s="73"/>
      <c r="AF240" s="73"/>
      <c r="AG240" s="73"/>
      <c r="AH240" s="73"/>
      <c r="AI240" s="73"/>
      <c r="AJ240" s="73"/>
      <c r="AK240" s="73"/>
    </row>
    <row r="241">
      <c r="A241" s="28">
        <v>240.0</v>
      </c>
      <c r="B241" s="29"/>
      <c r="C241" s="29"/>
      <c r="D241" s="40">
        <v>1.0</v>
      </c>
      <c r="E241" s="31">
        <v>6.0</v>
      </c>
      <c r="F241" s="42">
        <v>93.0</v>
      </c>
      <c r="G241" s="29" t="str">
        <f t="shared" si="1"/>
        <v>06093</v>
      </c>
      <c r="H241" s="37" t="s">
        <v>366</v>
      </c>
      <c r="I241" s="37" t="s">
        <v>35</v>
      </c>
      <c r="J241" s="37" t="s">
        <v>184</v>
      </c>
      <c r="K241" s="37" t="str">
        <f t="shared" si="6"/>
        <v>Siskiyou, CA</v>
      </c>
      <c r="L241" s="37">
        <v>85.0</v>
      </c>
      <c r="M241" s="37" t="s">
        <v>63</v>
      </c>
      <c r="N241" s="37">
        <v>49.0</v>
      </c>
      <c r="O241" s="37">
        <v>18.0</v>
      </c>
      <c r="P241" s="37" t="s">
        <v>63</v>
      </c>
      <c r="Q241" s="37" t="s">
        <v>63</v>
      </c>
      <c r="R241" s="135" t="s">
        <v>323</v>
      </c>
      <c r="S241" s="37" t="s">
        <v>63</v>
      </c>
      <c r="T241" s="69">
        <v>0.6666666666666666</v>
      </c>
      <c r="U241" s="135">
        <v>0.0</v>
      </c>
      <c r="V241" s="37" t="s">
        <v>63</v>
      </c>
      <c r="W241" s="37" t="s">
        <v>63</v>
      </c>
      <c r="X241" s="37" t="s">
        <v>63</v>
      </c>
      <c r="Y241" s="53">
        <v>51.0</v>
      </c>
      <c r="Z241" s="69" t="s">
        <v>63</v>
      </c>
      <c r="AA241" s="73"/>
      <c r="AB241" s="73"/>
      <c r="AC241" s="73"/>
      <c r="AD241" s="73"/>
      <c r="AE241" s="73"/>
      <c r="AF241" s="73"/>
      <c r="AG241" s="73"/>
      <c r="AH241" s="73"/>
      <c r="AI241" s="73"/>
      <c r="AJ241" s="73"/>
      <c r="AK241" s="73"/>
    </row>
    <row r="242">
      <c r="A242" s="28">
        <v>241.0</v>
      </c>
      <c r="B242" s="29"/>
      <c r="C242" s="29"/>
      <c r="D242" s="40">
        <v>1.0</v>
      </c>
      <c r="E242" s="31">
        <v>6.0</v>
      </c>
      <c r="F242" s="42">
        <v>95.0</v>
      </c>
      <c r="G242" s="29" t="str">
        <f t="shared" si="1"/>
        <v>06095</v>
      </c>
      <c r="H242" s="37" t="s">
        <v>369</v>
      </c>
      <c r="I242" s="37" t="s">
        <v>35</v>
      </c>
      <c r="J242" s="37" t="s">
        <v>184</v>
      </c>
      <c r="K242" s="37" t="str">
        <f t="shared" si="6"/>
        <v>Solano, CA</v>
      </c>
      <c r="L242" s="37">
        <v>305.0</v>
      </c>
      <c r="M242" s="37" t="s">
        <v>63</v>
      </c>
      <c r="N242" s="37">
        <v>133.0</v>
      </c>
      <c r="O242" s="37">
        <v>95.0</v>
      </c>
      <c r="P242" s="37" t="s">
        <v>63</v>
      </c>
      <c r="Q242" s="37" t="s">
        <v>63</v>
      </c>
      <c r="R242" s="135">
        <v>60.0</v>
      </c>
      <c r="S242" s="37" t="s">
        <v>63</v>
      </c>
      <c r="T242" s="69">
        <v>0.2846715328467153</v>
      </c>
      <c r="U242" s="135">
        <v>55.0</v>
      </c>
      <c r="V242" s="37" t="s">
        <v>63</v>
      </c>
      <c r="W242" s="37" t="s">
        <v>63</v>
      </c>
      <c r="X242" s="37" t="s">
        <v>63</v>
      </c>
      <c r="Y242" s="53">
        <v>188.0</v>
      </c>
      <c r="Z242" s="69" t="s">
        <v>63</v>
      </c>
      <c r="AA242" s="73"/>
      <c r="AB242" s="73"/>
      <c r="AC242" s="73"/>
      <c r="AD242" s="73"/>
      <c r="AE242" s="73"/>
      <c r="AF242" s="73"/>
      <c r="AG242" s="73"/>
      <c r="AH242" s="73"/>
      <c r="AI242" s="73"/>
      <c r="AJ242" s="73"/>
      <c r="AK242" s="73"/>
    </row>
    <row r="243">
      <c r="A243" s="28">
        <v>242.0</v>
      </c>
      <c r="B243" s="29"/>
      <c r="C243" s="29"/>
      <c r="D243" s="40">
        <v>1.0</v>
      </c>
      <c r="E243" s="31">
        <v>6.0</v>
      </c>
      <c r="F243" s="42">
        <v>97.0</v>
      </c>
      <c r="G243" s="29" t="str">
        <f t="shared" si="1"/>
        <v>06097</v>
      </c>
      <c r="H243" s="37" t="s">
        <v>370</v>
      </c>
      <c r="I243" s="37" t="s">
        <v>35</v>
      </c>
      <c r="J243" s="37" t="s">
        <v>184</v>
      </c>
      <c r="K243" s="37" t="str">
        <f t="shared" si="6"/>
        <v>Sonoma, CA</v>
      </c>
      <c r="L243" s="37">
        <v>446.0</v>
      </c>
      <c r="M243" s="37" t="s">
        <v>63</v>
      </c>
      <c r="N243" s="37">
        <v>167.0</v>
      </c>
      <c r="O243" s="37">
        <v>122.0</v>
      </c>
      <c r="P243" s="37" t="s">
        <v>63</v>
      </c>
      <c r="Q243" s="37" t="s">
        <v>63</v>
      </c>
      <c r="R243" s="135">
        <v>132.0</v>
      </c>
      <c r="S243" s="37" t="s">
        <v>63</v>
      </c>
      <c r="T243" s="69">
        <v>0.484375</v>
      </c>
      <c r="U243" s="135">
        <v>177.0</v>
      </c>
      <c r="V243" s="37" t="s">
        <v>63</v>
      </c>
      <c r="W243" s="37" t="s">
        <v>63</v>
      </c>
      <c r="X243" s="37" t="s">
        <v>63</v>
      </c>
      <c r="Y243" s="53">
        <v>155.0</v>
      </c>
      <c r="Z243" s="69" t="s">
        <v>63</v>
      </c>
      <c r="AA243" s="73"/>
      <c r="AB243" s="73"/>
      <c r="AC243" s="73"/>
      <c r="AD243" s="73"/>
      <c r="AE243" s="73"/>
      <c r="AF243" s="73"/>
      <c r="AG243" s="73"/>
      <c r="AH243" s="73"/>
      <c r="AI243" s="73"/>
      <c r="AJ243" s="73"/>
      <c r="AK243" s="73"/>
    </row>
    <row r="244">
      <c r="A244" s="28">
        <v>243.0</v>
      </c>
      <c r="B244" s="29"/>
      <c r="C244" s="29"/>
      <c r="D244" s="40">
        <v>1.0</v>
      </c>
      <c r="E244" s="31">
        <v>6.0</v>
      </c>
      <c r="F244" s="42">
        <v>99.0</v>
      </c>
      <c r="G244" s="29" t="str">
        <f t="shared" si="1"/>
        <v>06099</v>
      </c>
      <c r="H244" s="37" t="s">
        <v>371</v>
      </c>
      <c r="I244" s="37" t="s">
        <v>35</v>
      </c>
      <c r="J244" s="37" t="s">
        <v>184</v>
      </c>
      <c r="K244" s="37" t="str">
        <f t="shared" si="6"/>
        <v>Stanislaus, CA</v>
      </c>
      <c r="L244" s="37">
        <v>514.0</v>
      </c>
      <c r="M244" s="37" t="s">
        <v>63</v>
      </c>
      <c r="N244" s="37">
        <v>252.0</v>
      </c>
      <c r="O244" s="37">
        <v>65.0</v>
      </c>
      <c r="P244" s="37" t="s">
        <v>63</v>
      </c>
      <c r="Q244" s="37" t="s">
        <v>63</v>
      </c>
      <c r="R244" s="135" t="s">
        <v>323</v>
      </c>
      <c r="S244" s="37" t="s">
        <v>63</v>
      </c>
      <c r="T244" s="69">
        <v>0.45739910313901344</v>
      </c>
      <c r="U244" s="135">
        <v>114.0</v>
      </c>
      <c r="V244" s="37" t="s">
        <v>63</v>
      </c>
      <c r="W244" s="37" t="s">
        <v>63</v>
      </c>
      <c r="X244" s="37" t="s">
        <v>63</v>
      </c>
      <c r="Y244" s="53">
        <v>231.0</v>
      </c>
      <c r="Z244" s="69" t="s">
        <v>63</v>
      </c>
      <c r="AA244" s="73"/>
      <c r="AB244" s="73"/>
      <c r="AC244" s="73"/>
      <c r="AD244" s="73"/>
      <c r="AE244" s="73"/>
      <c r="AF244" s="73"/>
      <c r="AG244" s="73"/>
      <c r="AH244" s="73"/>
      <c r="AI244" s="73"/>
      <c r="AJ244" s="73"/>
      <c r="AK244" s="73"/>
    </row>
    <row r="245">
      <c r="A245" s="28">
        <v>244.0</v>
      </c>
      <c r="B245" s="29"/>
      <c r="C245" s="29"/>
      <c r="D245" s="40">
        <v>1.0</v>
      </c>
      <c r="E245" s="31">
        <v>6.0</v>
      </c>
      <c r="F245" s="42">
        <v>101.0</v>
      </c>
      <c r="G245" s="29" t="str">
        <f t="shared" si="1"/>
        <v>06101</v>
      </c>
      <c r="H245" s="37" t="s">
        <v>372</v>
      </c>
      <c r="I245" s="37" t="s">
        <v>35</v>
      </c>
      <c r="J245" s="37" t="s">
        <v>184</v>
      </c>
      <c r="K245" s="37" t="str">
        <f t="shared" si="6"/>
        <v>Sutter, CA</v>
      </c>
      <c r="L245" s="37">
        <v>96.0</v>
      </c>
      <c r="M245" s="37" t="s">
        <v>63</v>
      </c>
      <c r="N245" s="37">
        <v>45.0</v>
      </c>
      <c r="O245" s="37">
        <v>21.0</v>
      </c>
      <c r="P245" s="37" t="s">
        <v>63</v>
      </c>
      <c r="Q245" s="37" t="s">
        <v>63</v>
      </c>
      <c r="R245" s="135" t="s">
        <v>323</v>
      </c>
      <c r="S245" s="37" t="s">
        <v>63</v>
      </c>
      <c r="T245" s="69">
        <v>0.4791666666666667</v>
      </c>
      <c r="U245" s="135">
        <v>0.0</v>
      </c>
      <c r="V245" s="37" t="s">
        <v>63</v>
      </c>
      <c r="W245" s="37" t="s">
        <v>63</v>
      </c>
      <c r="X245" s="37" t="s">
        <v>63</v>
      </c>
      <c r="Y245" s="53">
        <v>37.0</v>
      </c>
      <c r="Z245" s="69" t="s">
        <v>63</v>
      </c>
      <c r="AA245" s="73"/>
      <c r="AB245" s="73"/>
      <c r="AC245" s="73"/>
      <c r="AD245" s="73"/>
      <c r="AE245" s="73"/>
      <c r="AF245" s="73"/>
      <c r="AG245" s="73"/>
      <c r="AH245" s="73"/>
      <c r="AI245" s="73"/>
      <c r="AJ245" s="73"/>
      <c r="AK245" s="73"/>
    </row>
    <row r="246">
      <c r="A246" s="28">
        <v>245.0</v>
      </c>
      <c r="B246" s="29"/>
      <c r="C246" s="29"/>
      <c r="D246" s="40">
        <v>1.0</v>
      </c>
      <c r="E246" s="31">
        <v>6.0</v>
      </c>
      <c r="F246" s="42">
        <v>103.0</v>
      </c>
      <c r="G246" s="29" t="str">
        <f t="shared" si="1"/>
        <v>06103</v>
      </c>
      <c r="H246" s="37" t="s">
        <v>373</v>
      </c>
      <c r="I246" s="37" t="s">
        <v>35</v>
      </c>
      <c r="J246" s="37" t="s">
        <v>184</v>
      </c>
      <c r="K246" s="37" t="str">
        <f t="shared" si="6"/>
        <v>Tehama, CA</v>
      </c>
      <c r="L246" s="37">
        <v>120.0</v>
      </c>
      <c r="M246" s="37" t="s">
        <v>63</v>
      </c>
      <c r="N246" s="37">
        <v>59.0</v>
      </c>
      <c r="O246" s="37">
        <v>16.0</v>
      </c>
      <c r="P246" s="37" t="s">
        <v>63</v>
      </c>
      <c r="Q246" s="37" t="s">
        <v>63</v>
      </c>
      <c r="R246" s="135">
        <v>15.0</v>
      </c>
      <c r="S246" s="37" t="s">
        <v>63</v>
      </c>
      <c r="T246" s="69">
        <v>0.6285714285714286</v>
      </c>
      <c r="U246" s="135">
        <v>13.0</v>
      </c>
      <c r="V246" s="37" t="s">
        <v>63</v>
      </c>
      <c r="W246" s="37" t="s">
        <v>63</v>
      </c>
      <c r="X246" s="37" t="s">
        <v>63</v>
      </c>
      <c r="Y246" s="53">
        <v>46.0</v>
      </c>
      <c r="Z246" s="69" t="s">
        <v>63</v>
      </c>
      <c r="AA246" s="73"/>
      <c r="AB246" s="73"/>
      <c r="AC246" s="73"/>
      <c r="AD246" s="73"/>
      <c r="AE246" s="73"/>
      <c r="AF246" s="73"/>
      <c r="AG246" s="73"/>
      <c r="AH246" s="73"/>
      <c r="AI246" s="73"/>
      <c r="AJ246" s="73"/>
      <c r="AK246" s="73"/>
    </row>
    <row r="247">
      <c r="A247" s="28">
        <v>246.0</v>
      </c>
      <c r="B247" s="29"/>
      <c r="C247" s="29"/>
      <c r="D247" s="40">
        <v>1.0</v>
      </c>
      <c r="E247" s="31">
        <v>6.0</v>
      </c>
      <c r="F247" s="42">
        <v>105.0</v>
      </c>
      <c r="G247" s="29" t="str">
        <f t="shared" si="1"/>
        <v>06105</v>
      </c>
      <c r="H247" s="37" t="s">
        <v>376</v>
      </c>
      <c r="I247" s="37" t="s">
        <v>35</v>
      </c>
      <c r="J247" s="37" t="s">
        <v>184</v>
      </c>
      <c r="K247" s="37" t="str">
        <f t="shared" si="6"/>
        <v>Trinity, CA</v>
      </c>
      <c r="L247" s="37">
        <v>26.0</v>
      </c>
      <c r="M247" s="37" t="s">
        <v>63</v>
      </c>
      <c r="N247" s="37" t="s">
        <v>63</v>
      </c>
      <c r="O247" s="37" t="s">
        <v>63</v>
      </c>
      <c r="P247" s="37" t="s">
        <v>63</v>
      </c>
      <c r="Q247" s="37" t="s">
        <v>63</v>
      </c>
      <c r="R247" s="135" t="s">
        <v>323</v>
      </c>
      <c r="S247" s="37" t="s">
        <v>63</v>
      </c>
      <c r="T247" s="69" t="s">
        <v>321</v>
      </c>
      <c r="U247" s="135">
        <v>0.0</v>
      </c>
      <c r="V247" s="37" t="s">
        <v>63</v>
      </c>
      <c r="W247" s="37" t="s">
        <v>63</v>
      </c>
      <c r="X247" s="37" t="s">
        <v>63</v>
      </c>
      <c r="Y247" s="53">
        <v>13.0</v>
      </c>
      <c r="Z247" s="69" t="s">
        <v>63</v>
      </c>
      <c r="AA247" s="73"/>
      <c r="AB247" s="73"/>
      <c r="AC247" s="73"/>
      <c r="AD247" s="73"/>
      <c r="AE247" s="73"/>
      <c r="AF247" s="73"/>
      <c r="AG247" s="73"/>
      <c r="AH247" s="73"/>
      <c r="AI247" s="73"/>
      <c r="AJ247" s="73"/>
      <c r="AK247" s="73"/>
    </row>
    <row r="248">
      <c r="A248" s="28">
        <v>247.0</v>
      </c>
      <c r="B248" s="29"/>
      <c r="C248" s="29"/>
      <c r="D248" s="40">
        <v>1.0</v>
      </c>
      <c r="E248" s="31">
        <v>6.0</v>
      </c>
      <c r="F248" s="42">
        <v>107.0</v>
      </c>
      <c r="G248" s="29" t="str">
        <f t="shared" si="1"/>
        <v>06107</v>
      </c>
      <c r="H248" s="37" t="s">
        <v>377</v>
      </c>
      <c r="I248" s="37" t="s">
        <v>35</v>
      </c>
      <c r="J248" s="37" t="s">
        <v>184</v>
      </c>
      <c r="K248" s="37" t="str">
        <f t="shared" si="6"/>
        <v>Tulare, CA</v>
      </c>
      <c r="L248" s="53">
        <v>837.0</v>
      </c>
      <c r="M248" s="37" t="s">
        <v>63</v>
      </c>
      <c r="N248" s="37">
        <v>416.0</v>
      </c>
      <c r="O248" s="37">
        <v>239.0</v>
      </c>
      <c r="P248" s="37" t="s">
        <v>63</v>
      </c>
      <c r="Q248" s="37" t="s">
        <v>63</v>
      </c>
      <c r="R248" s="135">
        <v>126.0</v>
      </c>
      <c r="S248" s="37" t="s">
        <v>63</v>
      </c>
      <c r="T248" s="69">
        <v>0.3795454545454545</v>
      </c>
      <c r="U248" s="135">
        <v>278.0</v>
      </c>
      <c r="V248" s="37" t="s">
        <v>63</v>
      </c>
      <c r="W248" s="37" t="s">
        <v>63</v>
      </c>
      <c r="X248" s="37" t="s">
        <v>63</v>
      </c>
      <c r="Y248" s="53">
        <v>250.0</v>
      </c>
      <c r="Z248" s="69" t="s">
        <v>63</v>
      </c>
      <c r="AA248" s="73"/>
      <c r="AB248" s="73"/>
      <c r="AC248" s="73"/>
      <c r="AD248" s="73"/>
      <c r="AE248" s="73"/>
      <c r="AF248" s="73"/>
      <c r="AG248" s="73"/>
      <c r="AH248" s="73"/>
      <c r="AI248" s="73"/>
      <c r="AJ248" s="73"/>
      <c r="AK248" s="73"/>
    </row>
    <row r="249">
      <c r="A249" s="28">
        <v>248.0</v>
      </c>
      <c r="B249" s="29"/>
      <c r="C249" s="29"/>
      <c r="D249" s="40">
        <v>1.0</v>
      </c>
      <c r="E249" s="31">
        <v>6.0</v>
      </c>
      <c r="F249" s="42">
        <v>109.0</v>
      </c>
      <c r="G249" s="29" t="str">
        <f t="shared" si="1"/>
        <v>06109</v>
      </c>
      <c r="H249" s="37" t="s">
        <v>378</v>
      </c>
      <c r="I249" s="37" t="s">
        <v>35</v>
      </c>
      <c r="J249" s="37" t="s">
        <v>184</v>
      </c>
      <c r="K249" s="37" t="str">
        <f t="shared" si="6"/>
        <v>Tuolumne, CA</v>
      </c>
      <c r="L249" s="37">
        <v>63.0</v>
      </c>
      <c r="M249" s="37" t="s">
        <v>63</v>
      </c>
      <c r="N249" s="37">
        <v>24.0</v>
      </c>
      <c r="O249" s="37">
        <v>18.0</v>
      </c>
      <c r="P249" s="37" t="s">
        <v>63</v>
      </c>
      <c r="Q249" s="37" t="s">
        <v>63</v>
      </c>
      <c r="R249" s="135" t="s">
        <v>323</v>
      </c>
      <c r="S249" s="37" t="s">
        <v>63</v>
      </c>
      <c r="T249" s="69" t="s">
        <v>321</v>
      </c>
      <c r="U249" s="135">
        <v>16.0</v>
      </c>
      <c r="V249" s="37" t="s">
        <v>63</v>
      </c>
      <c r="W249" s="37" t="s">
        <v>63</v>
      </c>
      <c r="X249" s="37" t="s">
        <v>63</v>
      </c>
      <c r="Y249" s="53">
        <v>41.0</v>
      </c>
      <c r="Z249" s="69" t="s">
        <v>63</v>
      </c>
      <c r="AA249" s="73"/>
      <c r="AB249" s="73"/>
      <c r="AC249" s="73"/>
      <c r="AD249" s="73"/>
      <c r="AE249" s="73"/>
      <c r="AF249" s="73"/>
      <c r="AG249" s="73"/>
      <c r="AH249" s="73"/>
      <c r="AI249" s="73"/>
      <c r="AJ249" s="73"/>
      <c r="AK249" s="73"/>
    </row>
    <row r="250">
      <c r="A250" s="28">
        <v>249.0</v>
      </c>
      <c r="B250" s="29"/>
      <c r="C250" s="29"/>
      <c r="D250" s="40">
        <v>1.0</v>
      </c>
      <c r="E250" s="31">
        <v>6.0</v>
      </c>
      <c r="F250" s="42">
        <v>111.0</v>
      </c>
      <c r="G250" s="29" t="str">
        <f t="shared" si="1"/>
        <v>06111</v>
      </c>
      <c r="H250" s="37" t="s">
        <v>379</v>
      </c>
      <c r="I250" s="37" t="s">
        <v>35</v>
      </c>
      <c r="J250" s="37" t="s">
        <v>184</v>
      </c>
      <c r="K250" s="37" t="str">
        <f t="shared" si="6"/>
        <v>Ventura, CA</v>
      </c>
      <c r="L250" s="37">
        <v>435.0</v>
      </c>
      <c r="M250" s="37" t="s">
        <v>63</v>
      </c>
      <c r="N250" s="37">
        <v>107.0</v>
      </c>
      <c r="O250" s="37">
        <v>193.0</v>
      </c>
      <c r="P250" s="37" t="s">
        <v>63</v>
      </c>
      <c r="Q250" s="37" t="s">
        <v>63</v>
      </c>
      <c r="R250" s="135">
        <v>58.0</v>
      </c>
      <c r="S250" s="37" t="s">
        <v>63</v>
      </c>
      <c r="T250" s="69">
        <v>0.2988929889298893</v>
      </c>
      <c r="U250" s="37">
        <v>164.0</v>
      </c>
      <c r="V250" s="37" t="s">
        <v>63</v>
      </c>
      <c r="W250" s="37" t="s">
        <v>63</v>
      </c>
      <c r="X250" s="37" t="s">
        <v>63</v>
      </c>
      <c r="Y250" s="53">
        <v>269.0</v>
      </c>
      <c r="Z250" s="69" t="s">
        <v>63</v>
      </c>
      <c r="AA250" s="73"/>
      <c r="AB250" s="73"/>
      <c r="AC250" s="73"/>
      <c r="AD250" s="73"/>
      <c r="AE250" s="73"/>
      <c r="AF250" s="73"/>
      <c r="AG250" s="73"/>
      <c r="AH250" s="73"/>
      <c r="AI250" s="73"/>
      <c r="AJ250" s="73"/>
      <c r="AK250" s="73"/>
    </row>
    <row r="251">
      <c r="A251" s="28">
        <v>250.0</v>
      </c>
      <c r="B251" s="29"/>
      <c r="C251" s="29"/>
      <c r="D251" s="40">
        <v>1.0</v>
      </c>
      <c r="E251" s="31">
        <v>6.0</v>
      </c>
      <c r="F251" s="42">
        <v>113.0</v>
      </c>
      <c r="G251" s="29" t="str">
        <f t="shared" si="1"/>
        <v>06113</v>
      </c>
      <c r="H251" s="37" t="s">
        <v>380</v>
      </c>
      <c r="I251" s="37" t="s">
        <v>35</v>
      </c>
      <c r="J251" s="37" t="s">
        <v>184</v>
      </c>
      <c r="K251" s="37" t="str">
        <f t="shared" si="6"/>
        <v>Yolo, CA</v>
      </c>
      <c r="L251" s="37">
        <v>244.0</v>
      </c>
      <c r="M251" s="37" t="s">
        <v>63</v>
      </c>
      <c r="N251" s="37">
        <v>152.0</v>
      </c>
      <c r="O251" s="37">
        <v>64.0</v>
      </c>
      <c r="P251" s="37" t="s">
        <v>63</v>
      </c>
      <c r="Q251" s="37" t="s">
        <v>63</v>
      </c>
      <c r="R251" s="135">
        <v>48.0</v>
      </c>
      <c r="S251" s="37" t="s">
        <v>63</v>
      </c>
      <c r="T251" s="69">
        <v>0.4911242603550296</v>
      </c>
      <c r="U251" s="37">
        <v>73.0</v>
      </c>
      <c r="V251" s="37" t="s">
        <v>63</v>
      </c>
      <c r="W251" s="37" t="s">
        <v>63</v>
      </c>
      <c r="X251" s="37" t="s">
        <v>63</v>
      </c>
      <c r="Y251" s="53">
        <v>87.0</v>
      </c>
      <c r="Z251" s="69" t="s">
        <v>63</v>
      </c>
      <c r="AA251" s="73"/>
      <c r="AB251" s="73"/>
      <c r="AC251" s="73"/>
      <c r="AD251" s="73"/>
      <c r="AE251" s="73"/>
      <c r="AF251" s="73"/>
      <c r="AG251" s="73"/>
      <c r="AH251" s="73"/>
      <c r="AI251" s="73"/>
      <c r="AJ251" s="73"/>
      <c r="AK251" s="73"/>
    </row>
    <row r="252">
      <c r="A252" s="28">
        <v>251.0</v>
      </c>
      <c r="B252" s="29"/>
      <c r="C252" s="29"/>
      <c r="D252" s="40">
        <v>1.0</v>
      </c>
      <c r="E252" s="31">
        <v>6.0</v>
      </c>
      <c r="F252" s="42">
        <v>115.0</v>
      </c>
      <c r="G252" s="29" t="str">
        <f t="shared" si="1"/>
        <v>06115</v>
      </c>
      <c r="H252" s="37" t="s">
        <v>383</v>
      </c>
      <c r="I252" s="37" t="s">
        <v>35</v>
      </c>
      <c r="J252" s="37" t="s">
        <v>184</v>
      </c>
      <c r="K252" s="37" t="str">
        <f t="shared" si="6"/>
        <v>Yuba, CA</v>
      </c>
      <c r="L252" s="37">
        <v>152.0</v>
      </c>
      <c r="M252" s="37" t="s">
        <v>63</v>
      </c>
      <c r="N252" s="37">
        <v>87.0</v>
      </c>
      <c r="O252" s="37">
        <v>21.0</v>
      </c>
      <c r="P252" s="37" t="s">
        <v>63</v>
      </c>
      <c r="Q252" s="37" t="s">
        <v>63</v>
      </c>
      <c r="R252" s="135" t="s">
        <v>323</v>
      </c>
      <c r="S252" s="37" t="s">
        <v>63</v>
      </c>
      <c r="T252" s="69">
        <v>0.5675675675675675</v>
      </c>
      <c r="U252" s="37"/>
      <c r="V252" s="37" t="s">
        <v>63</v>
      </c>
      <c r="W252" s="37" t="s">
        <v>63</v>
      </c>
      <c r="X252" s="37" t="s">
        <v>63</v>
      </c>
      <c r="Y252" s="53">
        <v>39.0</v>
      </c>
      <c r="Z252" s="69" t="s">
        <v>63</v>
      </c>
      <c r="AA252" s="73"/>
      <c r="AB252" s="73"/>
      <c r="AC252" s="73"/>
      <c r="AD252" s="73"/>
      <c r="AE252" s="73"/>
      <c r="AF252" s="73"/>
      <c r="AG252" s="73"/>
      <c r="AH252" s="73"/>
      <c r="AI252" s="73"/>
      <c r="AJ252" s="73"/>
      <c r="AK252" s="73"/>
    </row>
    <row r="253">
      <c r="A253" s="99">
        <v>252.0</v>
      </c>
      <c r="B253" s="15"/>
      <c r="C253" s="14" t="s">
        <v>25</v>
      </c>
      <c r="D253" s="16"/>
      <c r="E253" s="102">
        <v>8.0</v>
      </c>
      <c r="F253" s="107">
        <v>0.0</v>
      </c>
      <c r="G253" s="15" t="str">
        <f t="shared" si="1"/>
        <v>08000</v>
      </c>
      <c r="H253" s="23"/>
      <c r="I253" s="23" t="s">
        <v>36</v>
      </c>
      <c r="J253" s="23" t="s">
        <v>384</v>
      </c>
      <c r="K253" s="23"/>
      <c r="L253" s="123">
        <f t="array" ref="L253:Z253">Colorado!C68:Q68</f>
        <v>3538</v>
      </c>
      <c r="M253" s="123">
        <v>2.0</v>
      </c>
      <c r="N253" s="123">
        <v>1626.0</v>
      </c>
      <c r="O253" s="123">
        <v>1353.0</v>
      </c>
      <c r="P253" s="123">
        <v>759.0</v>
      </c>
      <c r="Q253" s="123">
        <v>3585.0</v>
      </c>
      <c r="R253" s="123">
        <v>393.0</v>
      </c>
      <c r="S253" s="125" t="s">
        <v>63</v>
      </c>
      <c r="T253" s="32">
        <v>0.655</v>
      </c>
      <c r="U253" s="123">
        <v>6431.0</v>
      </c>
      <c r="V253" s="125" t="s">
        <v>63</v>
      </c>
      <c r="W253" s="125" t="s">
        <v>63</v>
      </c>
      <c r="X253" s="125" t="s">
        <v>63</v>
      </c>
      <c r="Y253" s="35">
        <v>2824.0</v>
      </c>
      <c r="Z253" s="32" t="s">
        <v>63</v>
      </c>
      <c r="AA253" s="38"/>
      <c r="AB253" s="38"/>
      <c r="AC253" s="38"/>
      <c r="AD253" s="38"/>
      <c r="AE253" s="38"/>
      <c r="AF253" s="38"/>
      <c r="AG253" s="38"/>
      <c r="AH253" s="38"/>
      <c r="AI253" s="38"/>
      <c r="AJ253" s="38"/>
      <c r="AK253" s="38"/>
    </row>
    <row r="254">
      <c r="A254" s="99">
        <v>253.0</v>
      </c>
      <c r="B254" s="15"/>
      <c r="C254" s="15"/>
      <c r="D254" s="105">
        <v>1.0</v>
      </c>
      <c r="E254" s="102">
        <v>8.0</v>
      </c>
      <c r="F254" s="107">
        <v>1.0</v>
      </c>
      <c r="G254" s="15" t="str">
        <f t="shared" si="1"/>
        <v>08001</v>
      </c>
      <c r="H254" s="23" t="s">
        <v>386</v>
      </c>
      <c r="I254" s="23" t="s">
        <v>36</v>
      </c>
      <c r="J254" s="23" t="s">
        <v>384</v>
      </c>
      <c r="K254" s="23" t="str">
        <f t="shared" ref="K254:K317" si="7">CONCATENATE(H254,", ",J254)</f>
        <v>Adams, CO</v>
      </c>
      <c r="L254" s="23">
        <f t="array" ref="L254:Z317">Colorado!C3:Q66</f>
        <v>263</v>
      </c>
      <c r="M254" s="23">
        <v>3.0</v>
      </c>
      <c r="N254" s="23">
        <v>117.0</v>
      </c>
      <c r="O254" s="23">
        <v>123.0</v>
      </c>
      <c r="P254" s="23" t="s">
        <v>63</v>
      </c>
      <c r="Q254" s="23">
        <v>337.0</v>
      </c>
      <c r="R254" s="23">
        <v>45.0</v>
      </c>
      <c r="S254" s="125" t="s">
        <v>63</v>
      </c>
      <c r="T254" s="32">
        <v>0.489</v>
      </c>
      <c r="U254" s="23">
        <v>507.0</v>
      </c>
      <c r="V254" s="125" t="s">
        <v>63</v>
      </c>
      <c r="W254" s="125" t="s">
        <v>63</v>
      </c>
      <c r="X254" s="125" t="s">
        <v>63</v>
      </c>
      <c r="Y254" s="35">
        <v>142.0</v>
      </c>
      <c r="Z254" s="32" t="s">
        <v>63</v>
      </c>
      <c r="AA254" s="38"/>
      <c r="AB254" s="38"/>
      <c r="AC254" s="38"/>
      <c r="AD254" s="38"/>
      <c r="AE254" s="38"/>
      <c r="AF254" s="38"/>
      <c r="AG254" s="38"/>
      <c r="AH254" s="38"/>
      <c r="AI254" s="38"/>
      <c r="AJ254" s="38"/>
      <c r="AK254" s="38"/>
    </row>
    <row r="255">
      <c r="A255" s="99">
        <v>254.0</v>
      </c>
      <c r="B255" s="15"/>
      <c r="C255" s="15"/>
      <c r="D255" s="105">
        <v>1.0</v>
      </c>
      <c r="E255" s="102">
        <v>8.0</v>
      </c>
      <c r="F255" s="107">
        <v>3.0</v>
      </c>
      <c r="G255" s="15" t="str">
        <f t="shared" si="1"/>
        <v>08003</v>
      </c>
      <c r="H255" s="23" t="s">
        <v>388</v>
      </c>
      <c r="I255" s="23" t="s">
        <v>36</v>
      </c>
      <c r="J255" s="23" t="s">
        <v>384</v>
      </c>
      <c r="K255" s="23" t="str">
        <f t="shared" si="7"/>
        <v>Alamosa, CO</v>
      </c>
      <c r="L255" s="23">
        <v>19.0</v>
      </c>
      <c r="M255" s="23">
        <v>3.0</v>
      </c>
      <c r="N255" s="23">
        <v>7.0</v>
      </c>
      <c r="O255" s="23">
        <v>9.0</v>
      </c>
      <c r="P255" s="23" t="s">
        <v>63</v>
      </c>
      <c r="Q255" s="23">
        <v>25.0</v>
      </c>
      <c r="R255" s="23" t="s">
        <v>63</v>
      </c>
      <c r="S255" s="125" t="s">
        <v>63</v>
      </c>
      <c r="T255" s="32">
        <v>0.762</v>
      </c>
      <c r="U255" s="23">
        <v>30.0</v>
      </c>
      <c r="V255" s="125" t="s">
        <v>63</v>
      </c>
      <c r="W255" s="125" t="s">
        <v>63</v>
      </c>
      <c r="X255" s="125" t="s">
        <v>63</v>
      </c>
      <c r="Y255" s="35">
        <v>16.0</v>
      </c>
      <c r="Z255" s="32" t="s">
        <v>63</v>
      </c>
      <c r="AA255" s="38"/>
      <c r="AB255" s="38"/>
      <c r="AC255" s="38"/>
      <c r="AD255" s="38"/>
      <c r="AE255" s="38"/>
      <c r="AF255" s="38"/>
      <c r="AG255" s="38"/>
      <c r="AH255" s="38"/>
      <c r="AI255" s="38"/>
      <c r="AJ255" s="38"/>
      <c r="AK255" s="38"/>
    </row>
    <row r="256">
      <c r="A256" s="99">
        <v>255.0</v>
      </c>
      <c r="B256" s="15"/>
      <c r="C256" s="15"/>
      <c r="D256" s="105">
        <v>1.0</v>
      </c>
      <c r="E256" s="102">
        <v>8.0</v>
      </c>
      <c r="F256" s="107">
        <v>5.0</v>
      </c>
      <c r="G256" s="15" t="str">
        <f t="shared" si="1"/>
        <v>08005</v>
      </c>
      <c r="H256" s="23" t="s">
        <v>389</v>
      </c>
      <c r="I256" s="23" t="s">
        <v>36</v>
      </c>
      <c r="J256" s="23" t="s">
        <v>384</v>
      </c>
      <c r="K256" s="23" t="str">
        <f t="shared" si="7"/>
        <v>Arapahoe, CO</v>
      </c>
      <c r="L256" s="23">
        <v>371.0</v>
      </c>
      <c r="M256" s="23">
        <v>3.0</v>
      </c>
      <c r="N256" s="23">
        <v>199.0</v>
      </c>
      <c r="O256" s="23">
        <v>138.0</v>
      </c>
      <c r="P256" s="23" t="s">
        <v>63</v>
      </c>
      <c r="Q256" s="23">
        <v>482.0</v>
      </c>
      <c r="R256" s="23">
        <v>32.0</v>
      </c>
      <c r="S256" s="125" t="s">
        <v>63</v>
      </c>
      <c r="T256" s="32">
        <v>0.705</v>
      </c>
      <c r="U256" s="23">
        <v>809.0</v>
      </c>
      <c r="V256" s="125" t="s">
        <v>63</v>
      </c>
      <c r="W256" s="125" t="s">
        <v>63</v>
      </c>
      <c r="X256" s="125" t="s">
        <v>63</v>
      </c>
      <c r="Y256" s="35">
        <v>215.0</v>
      </c>
      <c r="Z256" s="32" t="s">
        <v>63</v>
      </c>
      <c r="AA256" s="38"/>
      <c r="AB256" s="38"/>
      <c r="AC256" s="38"/>
      <c r="AD256" s="38"/>
      <c r="AE256" s="38"/>
      <c r="AF256" s="38"/>
      <c r="AG256" s="38"/>
      <c r="AH256" s="38"/>
      <c r="AI256" s="38"/>
      <c r="AJ256" s="38"/>
      <c r="AK256" s="38"/>
    </row>
    <row r="257">
      <c r="A257" s="99">
        <v>256.0</v>
      </c>
      <c r="B257" s="15"/>
      <c r="C257" s="15"/>
      <c r="D257" s="105">
        <v>1.0</v>
      </c>
      <c r="E257" s="102">
        <v>8.0</v>
      </c>
      <c r="F257" s="107">
        <v>7.0</v>
      </c>
      <c r="G257" s="15" t="str">
        <f t="shared" si="1"/>
        <v>08007</v>
      </c>
      <c r="H257" s="23" t="s">
        <v>390</v>
      </c>
      <c r="I257" s="23" t="s">
        <v>36</v>
      </c>
      <c r="J257" s="23" t="s">
        <v>384</v>
      </c>
      <c r="K257" s="23" t="str">
        <f t="shared" si="7"/>
        <v>Archuleta, CO</v>
      </c>
      <c r="L257" s="23">
        <v>14.0</v>
      </c>
      <c r="M257" s="23" t="s">
        <v>391</v>
      </c>
      <c r="N257" s="23">
        <v>1.0</v>
      </c>
      <c r="O257" s="23">
        <v>8.0</v>
      </c>
      <c r="P257" s="23" t="s">
        <v>63</v>
      </c>
      <c r="Q257" s="23" t="s">
        <v>63</v>
      </c>
      <c r="R257" s="23" t="s">
        <v>63</v>
      </c>
      <c r="S257" s="125" t="s">
        <v>63</v>
      </c>
      <c r="T257" s="32" t="s">
        <v>63</v>
      </c>
      <c r="U257" s="23">
        <v>19.0</v>
      </c>
      <c r="V257" s="125" t="s">
        <v>63</v>
      </c>
      <c r="W257" s="125" t="s">
        <v>63</v>
      </c>
      <c r="X257" s="125" t="s">
        <v>63</v>
      </c>
      <c r="Y257" s="35">
        <v>20.0</v>
      </c>
      <c r="Z257" s="32" t="s">
        <v>63</v>
      </c>
      <c r="AA257" s="38"/>
      <c r="AB257" s="38"/>
      <c r="AC257" s="38"/>
      <c r="AD257" s="38"/>
      <c r="AE257" s="38"/>
      <c r="AF257" s="38"/>
      <c r="AG257" s="38"/>
      <c r="AH257" s="38"/>
      <c r="AI257" s="38"/>
      <c r="AJ257" s="38"/>
      <c r="AK257" s="38"/>
    </row>
    <row r="258">
      <c r="A258" s="99">
        <v>257.0</v>
      </c>
      <c r="B258" s="15"/>
      <c r="C258" s="15"/>
      <c r="D258" s="105">
        <v>1.0</v>
      </c>
      <c r="E258" s="102">
        <v>8.0</v>
      </c>
      <c r="F258" s="107">
        <v>9.0</v>
      </c>
      <c r="G258" s="15" t="str">
        <f t="shared" si="1"/>
        <v>08009</v>
      </c>
      <c r="H258" s="23" t="s">
        <v>392</v>
      </c>
      <c r="I258" s="23" t="s">
        <v>36</v>
      </c>
      <c r="J258" s="23" t="s">
        <v>384</v>
      </c>
      <c r="K258" s="23" t="str">
        <f t="shared" si="7"/>
        <v>Baca, CO</v>
      </c>
      <c r="L258" s="23">
        <v>2.0</v>
      </c>
      <c r="M258" s="23" t="s">
        <v>391</v>
      </c>
      <c r="N258" s="23">
        <v>1.0</v>
      </c>
      <c r="O258" s="23">
        <v>1.0</v>
      </c>
      <c r="P258" s="23" t="s">
        <v>63</v>
      </c>
      <c r="Q258" s="23" t="s">
        <v>63</v>
      </c>
      <c r="R258" s="23" t="s">
        <v>63</v>
      </c>
      <c r="S258" s="125" t="s">
        <v>63</v>
      </c>
      <c r="T258" s="32" t="s">
        <v>63</v>
      </c>
      <c r="U258" s="23" t="s">
        <v>63</v>
      </c>
      <c r="V258" s="125" t="s">
        <v>63</v>
      </c>
      <c r="W258" s="125" t="s">
        <v>63</v>
      </c>
      <c r="X258" s="125" t="s">
        <v>63</v>
      </c>
      <c r="Y258" s="35">
        <v>8.0</v>
      </c>
      <c r="Z258" s="32" t="s">
        <v>63</v>
      </c>
      <c r="AA258" s="38"/>
      <c r="AB258" s="38"/>
      <c r="AC258" s="38"/>
      <c r="AD258" s="38"/>
      <c r="AE258" s="38"/>
      <c r="AF258" s="38"/>
      <c r="AG258" s="38"/>
      <c r="AH258" s="38"/>
      <c r="AI258" s="38"/>
      <c r="AJ258" s="38"/>
      <c r="AK258" s="38"/>
    </row>
    <row r="259">
      <c r="A259" s="99">
        <v>258.0</v>
      </c>
      <c r="B259" s="15"/>
      <c r="C259" s="15"/>
      <c r="D259" s="105">
        <v>1.0</v>
      </c>
      <c r="E259" s="102">
        <v>8.0</v>
      </c>
      <c r="F259" s="107">
        <v>11.0</v>
      </c>
      <c r="G259" s="15" t="str">
        <f t="shared" si="1"/>
        <v>08011</v>
      </c>
      <c r="H259" s="23" t="s">
        <v>394</v>
      </c>
      <c r="I259" s="23" t="s">
        <v>36</v>
      </c>
      <c r="J259" s="23" t="s">
        <v>384</v>
      </c>
      <c r="K259" s="23" t="str">
        <f t="shared" si="7"/>
        <v>Bent, CO</v>
      </c>
      <c r="L259" s="23">
        <v>1.0</v>
      </c>
      <c r="M259" s="23" t="s">
        <v>391</v>
      </c>
      <c r="N259" s="23">
        <v>1.0</v>
      </c>
      <c r="O259" s="23">
        <v>0.0</v>
      </c>
      <c r="P259" s="23" t="s">
        <v>63</v>
      </c>
      <c r="Q259" s="23" t="s">
        <v>63</v>
      </c>
      <c r="R259" s="23" t="s">
        <v>63</v>
      </c>
      <c r="S259" s="125" t="s">
        <v>63</v>
      </c>
      <c r="T259" s="32" t="s">
        <v>63</v>
      </c>
      <c r="U259" s="23">
        <v>13.0</v>
      </c>
      <c r="V259" s="125" t="s">
        <v>63</v>
      </c>
      <c r="W259" s="125" t="s">
        <v>63</v>
      </c>
      <c r="X259" s="125" t="s">
        <v>63</v>
      </c>
      <c r="Y259" s="35">
        <v>4.0</v>
      </c>
      <c r="Z259" s="32" t="s">
        <v>63</v>
      </c>
      <c r="AA259" s="38"/>
      <c r="AB259" s="38"/>
      <c r="AC259" s="38"/>
      <c r="AD259" s="38"/>
      <c r="AE259" s="38"/>
      <c r="AF259" s="38"/>
      <c r="AG259" s="38"/>
      <c r="AH259" s="38"/>
      <c r="AI259" s="38"/>
      <c r="AJ259" s="38"/>
      <c r="AK259" s="38"/>
    </row>
    <row r="260">
      <c r="A260" s="99">
        <v>259.0</v>
      </c>
      <c r="B260" s="15"/>
      <c r="C260" s="15"/>
      <c r="D260" s="105">
        <v>1.0</v>
      </c>
      <c r="E260" s="102">
        <v>8.0</v>
      </c>
      <c r="F260" s="107">
        <v>13.0</v>
      </c>
      <c r="G260" s="15" t="str">
        <f t="shared" si="1"/>
        <v>08013</v>
      </c>
      <c r="H260" s="23" t="s">
        <v>395</v>
      </c>
      <c r="I260" s="23" t="s">
        <v>36</v>
      </c>
      <c r="J260" s="23" t="s">
        <v>384</v>
      </c>
      <c r="K260" s="23" t="str">
        <f t="shared" si="7"/>
        <v>Boulder, CO</v>
      </c>
      <c r="L260" s="23">
        <v>97.0</v>
      </c>
      <c r="M260" s="23">
        <v>2.0</v>
      </c>
      <c r="N260" s="23">
        <v>35.0</v>
      </c>
      <c r="O260" s="23">
        <v>48.0</v>
      </c>
      <c r="P260" s="23" t="s">
        <v>63</v>
      </c>
      <c r="Q260" s="23">
        <v>87.0</v>
      </c>
      <c r="R260" s="23" t="s">
        <v>63</v>
      </c>
      <c r="S260" s="125" t="s">
        <v>63</v>
      </c>
      <c r="T260" s="32">
        <v>0.571</v>
      </c>
      <c r="U260" s="23">
        <v>171.0</v>
      </c>
      <c r="V260" s="125" t="s">
        <v>63</v>
      </c>
      <c r="W260" s="125" t="s">
        <v>63</v>
      </c>
      <c r="X260" s="125" t="s">
        <v>63</v>
      </c>
      <c r="Y260" s="35">
        <v>127.0</v>
      </c>
      <c r="Z260" s="32" t="s">
        <v>63</v>
      </c>
      <c r="AA260" s="38"/>
      <c r="AB260" s="38"/>
      <c r="AC260" s="38"/>
      <c r="AD260" s="38"/>
      <c r="AE260" s="38"/>
      <c r="AF260" s="38"/>
      <c r="AG260" s="38"/>
      <c r="AH260" s="38"/>
      <c r="AI260" s="38"/>
      <c r="AJ260" s="38"/>
      <c r="AK260" s="38"/>
    </row>
    <row r="261">
      <c r="A261" s="99">
        <v>260.0</v>
      </c>
      <c r="B261" s="15"/>
      <c r="C261" s="15"/>
      <c r="D261" s="105">
        <v>1.0</v>
      </c>
      <c r="E261" s="102">
        <v>8.0</v>
      </c>
      <c r="F261" s="107">
        <v>14.0</v>
      </c>
      <c r="G261" s="15" t="str">
        <f t="shared" si="1"/>
        <v>08014</v>
      </c>
      <c r="H261" s="23" t="s">
        <v>396</v>
      </c>
      <c r="I261" s="23" t="s">
        <v>36</v>
      </c>
      <c r="J261" s="23" t="s">
        <v>384</v>
      </c>
      <c r="K261" s="23" t="str">
        <f t="shared" si="7"/>
        <v>Broomfield, CO</v>
      </c>
      <c r="L261" s="23">
        <v>6.0</v>
      </c>
      <c r="M261" s="23">
        <v>2.0</v>
      </c>
      <c r="N261" s="23">
        <v>4.0</v>
      </c>
      <c r="O261" s="23">
        <v>1.0</v>
      </c>
      <c r="P261" s="23" t="s">
        <v>63</v>
      </c>
      <c r="Q261" s="23">
        <v>24.0</v>
      </c>
      <c r="R261" s="23" t="s">
        <v>63</v>
      </c>
      <c r="S261" s="125" t="s">
        <v>63</v>
      </c>
      <c r="T261" s="32" t="s">
        <v>63</v>
      </c>
      <c r="U261" s="23">
        <v>20.0</v>
      </c>
      <c r="V261" s="125" t="s">
        <v>63</v>
      </c>
      <c r="W261" s="125" t="s">
        <v>63</v>
      </c>
      <c r="X261" s="125" t="s">
        <v>63</v>
      </c>
      <c r="Y261" s="35">
        <v>23.0</v>
      </c>
      <c r="Z261" s="32" t="s">
        <v>63</v>
      </c>
      <c r="AA261" s="38"/>
      <c r="AB261" s="38"/>
      <c r="AC261" s="38"/>
      <c r="AD261" s="38"/>
      <c r="AE261" s="38"/>
      <c r="AF261" s="38"/>
      <c r="AG261" s="38"/>
      <c r="AH261" s="38"/>
      <c r="AI261" s="38"/>
      <c r="AJ261" s="38"/>
      <c r="AK261" s="38"/>
    </row>
    <row r="262">
      <c r="A262" s="99">
        <v>261.0</v>
      </c>
      <c r="B262" s="15"/>
      <c r="C262" s="15"/>
      <c r="D262" s="105">
        <v>1.0</v>
      </c>
      <c r="E262" s="102">
        <v>8.0</v>
      </c>
      <c r="F262" s="107">
        <v>15.0</v>
      </c>
      <c r="G262" s="15" t="str">
        <f t="shared" si="1"/>
        <v>08015</v>
      </c>
      <c r="H262" s="23" t="s">
        <v>397</v>
      </c>
      <c r="I262" s="23" t="s">
        <v>36</v>
      </c>
      <c r="J262" s="23" t="s">
        <v>384</v>
      </c>
      <c r="K262" s="23" t="str">
        <f t="shared" si="7"/>
        <v>Chaffee, CO</v>
      </c>
      <c r="L262" s="23">
        <v>10.0</v>
      </c>
      <c r="M262" s="23" t="s">
        <v>391</v>
      </c>
      <c r="N262" s="23">
        <v>8.0</v>
      </c>
      <c r="O262" s="23">
        <v>1.0</v>
      </c>
      <c r="P262" s="23" t="s">
        <v>63</v>
      </c>
      <c r="Q262" s="23">
        <v>13.0</v>
      </c>
      <c r="R262" s="23" t="s">
        <v>63</v>
      </c>
      <c r="S262" s="125" t="s">
        <v>63</v>
      </c>
      <c r="T262" s="32" t="s">
        <v>63</v>
      </c>
      <c r="U262" s="23">
        <v>28.0</v>
      </c>
      <c r="V262" s="125" t="s">
        <v>63</v>
      </c>
      <c r="W262" s="125" t="s">
        <v>63</v>
      </c>
      <c r="X262" s="125" t="s">
        <v>63</v>
      </c>
      <c r="Y262" s="35">
        <v>30.0</v>
      </c>
      <c r="Z262" s="32" t="s">
        <v>63</v>
      </c>
      <c r="AA262" s="38"/>
      <c r="AB262" s="38"/>
      <c r="AC262" s="38"/>
      <c r="AD262" s="38"/>
      <c r="AE262" s="38"/>
      <c r="AF262" s="38"/>
      <c r="AG262" s="38"/>
      <c r="AH262" s="38"/>
      <c r="AI262" s="38"/>
      <c r="AJ262" s="38"/>
      <c r="AK262" s="38"/>
    </row>
    <row r="263">
      <c r="A263" s="99">
        <v>262.0</v>
      </c>
      <c r="B263" s="15"/>
      <c r="C263" s="15"/>
      <c r="D263" s="105">
        <v>1.0</v>
      </c>
      <c r="E263" s="102">
        <v>8.0</v>
      </c>
      <c r="F263" s="107">
        <v>17.0</v>
      </c>
      <c r="G263" s="15" t="str">
        <f t="shared" si="1"/>
        <v>08017</v>
      </c>
      <c r="H263" s="23" t="s">
        <v>399</v>
      </c>
      <c r="I263" s="23" t="s">
        <v>36</v>
      </c>
      <c r="J263" s="23" t="s">
        <v>384</v>
      </c>
      <c r="K263" s="23" t="str">
        <f t="shared" si="7"/>
        <v>Cheyenne, CO</v>
      </c>
      <c r="L263" s="23">
        <v>5.0</v>
      </c>
      <c r="M263" s="23" t="s">
        <v>391</v>
      </c>
      <c r="N263" s="23">
        <v>5.0</v>
      </c>
      <c r="O263" s="23">
        <v>0.0</v>
      </c>
      <c r="P263" s="23" t="s">
        <v>63</v>
      </c>
      <c r="Q263" s="23" t="s">
        <v>63</v>
      </c>
      <c r="R263" s="23" t="s">
        <v>63</v>
      </c>
      <c r="S263" s="125" t="s">
        <v>63</v>
      </c>
      <c r="T263" s="32" t="s">
        <v>63</v>
      </c>
      <c r="U263" s="23" t="s">
        <v>63</v>
      </c>
      <c r="V263" s="125" t="s">
        <v>63</v>
      </c>
      <c r="W263" s="125" t="s">
        <v>63</v>
      </c>
      <c r="X263" s="125" t="s">
        <v>63</v>
      </c>
      <c r="Y263" s="35">
        <v>4.0</v>
      </c>
      <c r="Z263" s="32" t="s">
        <v>63</v>
      </c>
      <c r="AA263" s="38"/>
      <c r="AB263" s="38"/>
      <c r="AC263" s="38"/>
      <c r="AD263" s="38"/>
      <c r="AE263" s="38"/>
      <c r="AF263" s="38"/>
      <c r="AG263" s="38"/>
      <c r="AH263" s="38"/>
      <c r="AI263" s="38"/>
      <c r="AJ263" s="38"/>
      <c r="AK263" s="38"/>
    </row>
    <row r="264">
      <c r="A264" s="99">
        <v>263.0</v>
      </c>
      <c r="B264" s="15"/>
      <c r="C264" s="15"/>
      <c r="D264" s="105">
        <v>1.0</v>
      </c>
      <c r="E264" s="102">
        <v>8.0</v>
      </c>
      <c r="F264" s="107">
        <v>19.0</v>
      </c>
      <c r="G264" s="15" t="str">
        <f t="shared" si="1"/>
        <v>08019</v>
      </c>
      <c r="H264" s="23" t="s">
        <v>400</v>
      </c>
      <c r="I264" s="23" t="s">
        <v>36</v>
      </c>
      <c r="J264" s="23" t="s">
        <v>384</v>
      </c>
      <c r="K264" s="112" t="str">
        <f t="shared" si="7"/>
        <v>Clear Creek, CO</v>
      </c>
      <c r="L264" s="23">
        <v>4.0</v>
      </c>
      <c r="M264" s="23" t="s">
        <v>391</v>
      </c>
      <c r="N264" s="23">
        <v>2.0</v>
      </c>
      <c r="O264" s="23">
        <v>2.0</v>
      </c>
      <c r="P264" s="23" t="s">
        <v>63</v>
      </c>
      <c r="Q264" s="23" t="s">
        <v>63</v>
      </c>
      <c r="R264" s="23" t="s">
        <v>63</v>
      </c>
      <c r="S264" s="125" t="s">
        <v>63</v>
      </c>
      <c r="T264" s="32" t="s">
        <v>63</v>
      </c>
      <c r="U264" s="23">
        <v>16.0</v>
      </c>
      <c r="V264" s="125" t="s">
        <v>63</v>
      </c>
      <c r="W264" s="125" t="s">
        <v>63</v>
      </c>
      <c r="X264" s="125" t="s">
        <v>63</v>
      </c>
      <c r="Y264" s="35">
        <v>7.0</v>
      </c>
      <c r="Z264" s="32" t="s">
        <v>63</v>
      </c>
      <c r="AA264" s="38"/>
      <c r="AB264" s="38"/>
      <c r="AC264" s="38"/>
      <c r="AD264" s="38"/>
      <c r="AE264" s="38"/>
      <c r="AF264" s="38"/>
      <c r="AG264" s="38"/>
      <c r="AH264" s="38"/>
      <c r="AI264" s="38"/>
      <c r="AJ264" s="38"/>
      <c r="AK264" s="38"/>
    </row>
    <row r="265">
      <c r="A265" s="99">
        <v>264.0</v>
      </c>
      <c r="B265" s="15"/>
      <c r="C265" s="15"/>
      <c r="D265" s="105">
        <v>1.0</v>
      </c>
      <c r="E265" s="102">
        <v>8.0</v>
      </c>
      <c r="F265" s="107">
        <v>21.0</v>
      </c>
      <c r="G265" s="15" t="str">
        <f t="shared" si="1"/>
        <v>08021</v>
      </c>
      <c r="H265" s="23" t="s">
        <v>402</v>
      </c>
      <c r="I265" s="23" t="s">
        <v>36</v>
      </c>
      <c r="J265" s="23" t="s">
        <v>384</v>
      </c>
      <c r="K265" s="23" t="str">
        <f t="shared" si="7"/>
        <v>Conejos, CO</v>
      </c>
      <c r="L265" s="23">
        <v>2.0</v>
      </c>
      <c r="M265" s="23" t="s">
        <v>391</v>
      </c>
      <c r="N265" s="23">
        <v>2.0</v>
      </c>
      <c r="O265" s="23">
        <v>0.0</v>
      </c>
      <c r="P265" s="23" t="s">
        <v>63</v>
      </c>
      <c r="Q265" s="23" t="s">
        <v>63</v>
      </c>
      <c r="R265" s="23" t="s">
        <v>63</v>
      </c>
      <c r="S265" s="125" t="s">
        <v>63</v>
      </c>
      <c r="T265" s="32" t="s">
        <v>63</v>
      </c>
      <c r="U265" s="23">
        <v>13.0</v>
      </c>
      <c r="V265" s="125" t="s">
        <v>63</v>
      </c>
      <c r="W265" s="125" t="s">
        <v>63</v>
      </c>
      <c r="X265" s="125" t="s">
        <v>63</v>
      </c>
      <c r="Y265" s="35">
        <v>10.0</v>
      </c>
      <c r="Z265" s="32" t="s">
        <v>63</v>
      </c>
      <c r="AA265" s="38"/>
      <c r="AB265" s="38"/>
      <c r="AC265" s="38"/>
      <c r="AD265" s="38"/>
      <c r="AE265" s="38"/>
      <c r="AF265" s="38"/>
      <c r="AG265" s="38"/>
      <c r="AH265" s="38"/>
      <c r="AI265" s="38"/>
      <c r="AJ265" s="38"/>
      <c r="AK265" s="38"/>
    </row>
    <row r="266">
      <c r="A266" s="99">
        <v>265.0</v>
      </c>
      <c r="B266" s="15"/>
      <c r="C266" s="15"/>
      <c r="D266" s="105">
        <v>1.0</v>
      </c>
      <c r="E266" s="102">
        <v>8.0</v>
      </c>
      <c r="F266" s="107">
        <v>23.0</v>
      </c>
      <c r="G266" s="15" t="str">
        <f t="shared" si="1"/>
        <v>08023</v>
      </c>
      <c r="H266" s="23" t="s">
        <v>403</v>
      </c>
      <c r="I266" s="23" t="s">
        <v>36</v>
      </c>
      <c r="J266" s="23" t="s">
        <v>384</v>
      </c>
      <c r="K266" s="23" t="str">
        <f t="shared" si="7"/>
        <v>Costilla, CO</v>
      </c>
      <c r="L266" s="23">
        <v>14.0</v>
      </c>
      <c r="M266" s="23" t="s">
        <v>391</v>
      </c>
      <c r="N266" s="23">
        <v>8.0</v>
      </c>
      <c r="O266" s="23">
        <v>2.0</v>
      </c>
      <c r="P266" s="23" t="s">
        <v>63</v>
      </c>
      <c r="Q266" s="23">
        <v>12.0</v>
      </c>
      <c r="R266" s="23" t="s">
        <v>63</v>
      </c>
      <c r="S266" s="125" t="s">
        <v>63</v>
      </c>
      <c r="T266" s="32" t="s">
        <v>63</v>
      </c>
      <c r="U266" s="23">
        <v>17.0</v>
      </c>
      <c r="V266" s="125" t="s">
        <v>63</v>
      </c>
      <c r="W266" s="125" t="s">
        <v>63</v>
      </c>
      <c r="X266" s="125" t="s">
        <v>63</v>
      </c>
      <c r="Y266" s="35">
        <v>3.0</v>
      </c>
      <c r="Z266" s="32" t="s">
        <v>63</v>
      </c>
      <c r="AA266" s="38"/>
      <c r="AB266" s="38"/>
      <c r="AC266" s="38"/>
      <c r="AD266" s="38"/>
      <c r="AE266" s="38"/>
      <c r="AF266" s="38"/>
      <c r="AG266" s="38"/>
      <c r="AH266" s="38"/>
      <c r="AI266" s="38"/>
      <c r="AJ266" s="38"/>
      <c r="AK266" s="38"/>
    </row>
    <row r="267">
      <c r="A267" s="99">
        <v>266.0</v>
      </c>
      <c r="B267" s="15"/>
      <c r="C267" s="15"/>
      <c r="D267" s="105">
        <v>1.0</v>
      </c>
      <c r="E267" s="102">
        <v>8.0</v>
      </c>
      <c r="F267" s="107">
        <v>25.0</v>
      </c>
      <c r="G267" s="15" t="str">
        <f t="shared" si="1"/>
        <v>08025</v>
      </c>
      <c r="H267" s="23" t="s">
        <v>404</v>
      </c>
      <c r="I267" s="23" t="s">
        <v>36</v>
      </c>
      <c r="J267" s="23" t="s">
        <v>384</v>
      </c>
      <c r="K267" s="23" t="str">
        <f t="shared" si="7"/>
        <v>Crowley, CO</v>
      </c>
      <c r="L267" s="23">
        <v>10.0</v>
      </c>
      <c r="M267" s="23" t="s">
        <v>391</v>
      </c>
      <c r="N267" s="23">
        <v>10.0</v>
      </c>
      <c r="O267" s="23">
        <v>0.0</v>
      </c>
      <c r="P267" s="23" t="s">
        <v>63</v>
      </c>
      <c r="Q267" s="23" t="s">
        <v>63</v>
      </c>
      <c r="R267" s="23" t="s">
        <v>63</v>
      </c>
      <c r="S267" s="125" t="s">
        <v>63</v>
      </c>
      <c r="T267" s="32" t="s">
        <v>63</v>
      </c>
      <c r="U267" s="23" t="s">
        <v>63</v>
      </c>
      <c r="V267" s="125" t="s">
        <v>63</v>
      </c>
      <c r="W267" s="125" t="s">
        <v>63</v>
      </c>
      <c r="X267" s="125" t="s">
        <v>63</v>
      </c>
      <c r="Y267" s="35">
        <v>5.0</v>
      </c>
      <c r="Z267" s="32" t="s">
        <v>63</v>
      </c>
      <c r="AA267" s="38"/>
      <c r="AB267" s="38"/>
      <c r="AC267" s="38"/>
      <c r="AD267" s="38"/>
      <c r="AE267" s="38"/>
      <c r="AF267" s="38"/>
      <c r="AG267" s="38"/>
      <c r="AH267" s="38"/>
      <c r="AI267" s="38"/>
      <c r="AJ267" s="38"/>
      <c r="AK267" s="38"/>
    </row>
    <row r="268">
      <c r="A268" s="99">
        <v>267.0</v>
      </c>
      <c r="B268" s="15"/>
      <c r="C268" s="15"/>
      <c r="D268" s="105">
        <v>1.0</v>
      </c>
      <c r="E268" s="102">
        <v>8.0</v>
      </c>
      <c r="F268" s="107">
        <v>27.0</v>
      </c>
      <c r="G268" s="15" t="str">
        <f t="shared" si="1"/>
        <v>08027</v>
      </c>
      <c r="H268" s="23" t="s">
        <v>406</v>
      </c>
      <c r="I268" s="23" t="s">
        <v>36</v>
      </c>
      <c r="J268" s="23" t="s">
        <v>384</v>
      </c>
      <c r="K268" s="23" t="str">
        <f t="shared" si="7"/>
        <v>Custer, CO</v>
      </c>
      <c r="L268" s="23">
        <v>4.0</v>
      </c>
      <c r="M268" s="23" t="s">
        <v>391</v>
      </c>
      <c r="N268" s="23">
        <v>3.0</v>
      </c>
      <c r="O268" s="23">
        <v>0.0</v>
      </c>
      <c r="P268" s="23" t="s">
        <v>63</v>
      </c>
      <c r="Q268" s="23" t="s">
        <v>63</v>
      </c>
      <c r="R268" s="23" t="s">
        <v>63</v>
      </c>
      <c r="S268" s="125" t="s">
        <v>63</v>
      </c>
      <c r="T268" s="32" t="s">
        <v>63</v>
      </c>
      <c r="U268" s="23" t="s">
        <v>63</v>
      </c>
      <c r="V268" s="125" t="s">
        <v>63</v>
      </c>
      <c r="W268" s="125" t="s">
        <v>63</v>
      </c>
      <c r="X268" s="125" t="s">
        <v>63</v>
      </c>
      <c r="Y268" s="35">
        <v>11.0</v>
      </c>
      <c r="Z268" s="32" t="s">
        <v>63</v>
      </c>
      <c r="AA268" s="38"/>
      <c r="AB268" s="38"/>
      <c r="AC268" s="38"/>
      <c r="AD268" s="38"/>
      <c r="AE268" s="38"/>
      <c r="AF268" s="38"/>
      <c r="AG268" s="38"/>
      <c r="AH268" s="38"/>
      <c r="AI268" s="38"/>
      <c r="AJ268" s="38"/>
      <c r="AK268" s="38"/>
    </row>
    <row r="269">
      <c r="A269" s="99">
        <v>268.0</v>
      </c>
      <c r="B269" s="15"/>
      <c r="C269" s="15"/>
      <c r="D269" s="105">
        <v>1.0</v>
      </c>
      <c r="E269" s="102">
        <v>8.0</v>
      </c>
      <c r="F269" s="107">
        <v>29.0</v>
      </c>
      <c r="G269" s="15" t="str">
        <f t="shared" si="1"/>
        <v>08029</v>
      </c>
      <c r="H269" s="23" t="s">
        <v>407</v>
      </c>
      <c r="I269" s="23" t="s">
        <v>36</v>
      </c>
      <c r="J269" s="23" t="s">
        <v>384</v>
      </c>
      <c r="K269" s="23" t="str">
        <f t="shared" si="7"/>
        <v>Delta, CO</v>
      </c>
      <c r="L269" s="23">
        <v>74.0</v>
      </c>
      <c r="M269" s="23">
        <v>4.0</v>
      </c>
      <c r="N269" s="23">
        <v>46.0</v>
      </c>
      <c r="O269" s="23">
        <v>9.0</v>
      </c>
      <c r="P269" s="23" t="s">
        <v>63</v>
      </c>
      <c r="Q269" s="23">
        <v>54.0</v>
      </c>
      <c r="R269" s="23" t="s">
        <v>63</v>
      </c>
      <c r="S269" s="125" t="s">
        <v>63</v>
      </c>
      <c r="T269" s="32">
        <v>0.846</v>
      </c>
      <c r="U269" s="23">
        <v>62.0</v>
      </c>
      <c r="V269" s="125" t="s">
        <v>63</v>
      </c>
      <c r="W269" s="125" t="s">
        <v>63</v>
      </c>
      <c r="X269" s="125" t="s">
        <v>63</v>
      </c>
      <c r="Y269" s="35">
        <v>47.0</v>
      </c>
      <c r="Z269" s="32" t="s">
        <v>63</v>
      </c>
      <c r="AA269" s="38"/>
      <c r="AB269" s="38"/>
      <c r="AC269" s="38"/>
      <c r="AD269" s="38"/>
      <c r="AE269" s="38"/>
      <c r="AF269" s="38"/>
      <c r="AG269" s="38"/>
      <c r="AH269" s="38"/>
      <c r="AI269" s="38"/>
      <c r="AJ269" s="38"/>
      <c r="AK269" s="38"/>
    </row>
    <row r="270">
      <c r="A270" s="99">
        <v>269.0</v>
      </c>
      <c r="B270" s="15"/>
      <c r="C270" s="15"/>
      <c r="D270" s="105">
        <v>1.0</v>
      </c>
      <c r="E270" s="102">
        <v>8.0</v>
      </c>
      <c r="F270" s="107">
        <v>31.0</v>
      </c>
      <c r="G270" s="15" t="str">
        <f t="shared" si="1"/>
        <v>08031</v>
      </c>
      <c r="H270" s="23" t="s">
        <v>408</v>
      </c>
      <c r="I270" s="23" t="s">
        <v>36</v>
      </c>
      <c r="J270" s="23" t="s">
        <v>384</v>
      </c>
      <c r="K270" s="23" t="str">
        <f t="shared" si="7"/>
        <v>Denver, CO</v>
      </c>
      <c r="L270" s="23">
        <v>506.0</v>
      </c>
      <c r="M270" s="23">
        <v>3.0</v>
      </c>
      <c r="N270" s="23">
        <v>213.0</v>
      </c>
      <c r="O270" s="23">
        <v>254.0</v>
      </c>
      <c r="P270" s="23" t="s">
        <v>63</v>
      </c>
      <c r="Q270" s="23">
        <v>400.0</v>
      </c>
      <c r="R270" s="23">
        <v>77.0</v>
      </c>
      <c r="S270" s="125" t="s">
        <v>63</v>
      </c>
      <c r="T270" s="32">
        <v>0.567</v>
      </c>
      <c r="U270" s="23">
        <v>734.0</v>
      </c>
      <c r="V270" s="125" t="s">
        <v>63</v>
      </c>
      <c r="W270" s="125" t="s">
        <v>63</v>
      </c>
      <c r="X270" s="125" t="s">
        <v>63</v>
      </c>
      <c r="Y270" s="35">
        <v>292.0</v>
      </c>
      <c r="Z270" s="32" t="s">
        <v>63</v>
      </c>
      <c r="AA270" s="38"/>
      <c r="AB270" s="38"/>
      <c r="AC270" s="38"/>
      <c r="AD270" s="38"/>
      <c r="AE270" s="38"/>
      <c r="AF270" s="38"/>
      <c r="AG270" s="38"/>
      <c r="AH270" s="38"/>
      <c r="AI270" s="38"/>
      <c r="AJ270" s="38"/>
      <c r="AK270" s="38"/>
    </row>
    <row r="271">
      <c r="A271" s="99">
        <v>270.0</v>
      </c>
      <c r="B271" s="15"/>
      <c r="C271" s="15"/>
      <c r="D271" s="105">
        <v>1.0</v>
      </c>
      <c r="E271" s="102">
        <v>8.0</v>
      </c>
      <c r="F271" s="107">
        <v>33.0</v>
      </c>
      <c r="G271" s="15" t="str">
        <f t="shared" si="1"/>
        <v>08033</v>
      </c>
      <c r="H271" s="23" t="s">
        <v>411</v>
      </c>
      <c r="I271" s="23" t="s">
        <v>36</v>
      </c>
      <c r="J271" s="23" t="s">
        <v>384</v>
      </c>
      <c r="K271" s="23" t="str">
        <f t="shared" si="7"/>
        <v>Dolores, CO</v>
      </c>
      <c r="L271" s="23">
        <v>1.0</v>
      </c>
      <c r="M271" s="23" t="s">
        <v>391</v>
      </c>
      <c r="N271" s="23">
        <v>0.0</v>
      </c>
      <c r="O271" s="23">
        <v>1.0</v>
      </c>
      <c r="P271" s="23" t="s">
        <v>63</v>
      </c>
      <c r="Q271" s="23" t="s">
        <v>63</v>
      </c>
      <c r="R271" s="23" t="s">
        <v>63</v>
      </c>
      <c r="S271" s="125" t="s">
        <v>63</v>
      </c>
      <c r="T271" s="32" t="s">
        <v>63</v>
      </c>
      <c r="U271" s="23" t="s">
        <v>63</v>
      </c>
      <c r="V271" s="125" t="s">
        <v>63</v>
      </c>
      <c r="W271" s="125" t="s">
        <v>63</v>
      </c>
      <c r="X271" s="125" t="s">
        <v>63</v>
      </c>
      <c r="Y271" s="35">
        <v>7.0</v>
      </c>
      <c r="Z271" s="32" t="s">
        <v>63</v>
      </c>
      <c r="AA271" s="38"/>
      <c r="AB271" s="38"/>
      <c r="AC271" s="38"/>
      <c r="AD271" s="38"/>
      <c r="AE271" s="38"/>
      <c r="AF271" s="38"/>
      <c r="AG271" s="38"/>
      <c r="AH271" s="38"/>
      <c r="AI271" s="38"/>
      <c r="AJ271" s="38"/>
      <c r="AK271" s="38"/>
    </row>
    <row r="272">
      <c r="A272" s="99">
        <v>271.0</v>
      </c>
      <c r="B272" s="15"/>
      <c r="C272" s="15"/>
      <c r="D272" s="105">
        <v>1.0</v>
      </c>
      <c r="E272" s="102">
        <v>8.0</v>
      </c>
      <c r="F272" s="107">
        <v>35.0</v>
      </c>
      <c r="G272" s="15" t="str">
        <f t="shared" si="1"/>
        <v>08035</v>
      </c>
      <c r="H272" s="23" t="s">
        <v>412</v>
      </c>
      <c r="I272" s="23" t="s">
        <v>36</v>
      </c>
      <c r="J272" s="23" t="s">
        <v>384</v>
      </c>
      <c r="K272" s="23" t="str">
        <f t="shared" si="7"/>
        <v>Douglas, CO</v>
      </c>
      <c r="L272" s="23">
        <v>73.0</v>
      </c>
      <c r="M272" s="23">
        <v>3.0</v>
      </c>
      <c r="N272" s="23">
        <v>31.0</v>
      </c>
      <c r="O272" s="23">
        <v>31.0</v>
      </c>
      <c r="P272" s="23" t="s">
        <v>63</v>
      </c>
      <c r="Q272" s="23">
        <v>172.0</v>
      </c>
      <c r="R272" s="23" t="s">
        <v>63</v>
      </c>
      <c r="S272" s="125" t="s">
        <v>63</v>
      </c>
      <c r="T272" s="32">
        <v>0.773</v>
      </c>
      <c r="U272" s="23">
        <v>236.0</v>
      </c>
      <c r="V272" s="125" t="s">
        <v>63</v>
      </c>
      <c r="W272" s="125" t="s">
        <v>63</v>
      </c>
      <c r="X272" s="125" t="s">
        <v>63</v>
      </c>
      <c r="Y272" s="35">
        <v>76.0</v>
      </c>
      <c r="Z272" s="32" t="s">
        <v>63</v>
      </c>
      <c r="AA272" s="38"/>
      <c r="AB272" s="38"/>
      <c r="AC272" s="38"/>
      <c r="AD272" s="38"/>
      <c r="AE272" s="38"/>
      <c r="AF272" s="38"/>
      <c r="AG272" s="38"/>
      <c r="AH272" s="38"/>
      <c r="AI272" s="38"/>
      <c r="AJ272" s="38"/>
      <c r="AK272" s="38"/>
    </row>
    <row r="273">
      <c r="A273" s="99">
        <v>272.0</v>
      </c>
      <c r="B273" s="15"/>
      <c r="C273" s="15"/>
      <c r="D273" s="105">
        <v>1.0</v>
      </c>
      <c r="E273" s="102">
        <v>8.0</v>
      </c>
      <c r="F273" s="107">
        <v>37.0</v>
      </c>
      <c r="G273" s="15" t="str">
        <f t="shared" si="1"/>
        <v>08037</v>
      </c>
      <c r="H273" s="23" t="s">
        <v>413</v>
      </c>
      <c r="I273" s="23" t="s">
        <v>36</v>
      </c>
      <c r="J273" s="23" t="s">
        <v>384</v>
      </c>
      <c r="K273" s="23" t="str">
        <f t="shared" si="7"/>
        <v>Eagle, CO</v>
      </c>
      <c r="L273" s="23">
        <v>3.0</v>
      </c>
      <c r="M273" s="23" t="s">
        <v>391</v>
      </c>
      <c r="N273" s="23">
        <v>1.0</v>
      </c>
      <c r="O273" s="23">
        <v>2.0</v>
      </c>
      <c r="P273" s="23" t="s">
        <v>63</v>
      </c>
      <c r="Q273" s="23" t="s">
        <v>63</v>
      </c>
      <c r="R273" s="23" t="s">
        <v>63</v>
      </c>
      <c r="S273" s="125" t="s">
        <v>63</v>
      </c>
      <c r="T273" s="32" t="s">
        <v>63</v>
      </c>
      <c r="U273" s="23">
        <v>29.0</v>
      </c>
      <c r="V273" s="125" t="s">
        <v>63</v>
      </c>
      <c r="W273" s="125" t="s">
        <v>63</v>
      </c>
      <c r="X273" s="125" t="s">
        <v>63</v>
      </c>
      <c r="Y273" s="35">
        <v>30.0</v>
      </c>
      <c r="Z273" s="32" t="s">
        <v>63</v>
      </c>
      <c r="AA273" s="38"/>
      <c r="AB273" s="38"/>
      <c r="AC273" s="38"/>
      <c r="AD273" s="38"/>
      <c r="AE273" s="38"/>
      <c r="AF273" s="38"/>
      <c r="AG273" s="38"/>
      <c r="AH273" s="38"/>
      <c r="AI273" s="38"/>
      <c r="AJ273" s="38"/>
      <c r="AK273" s="38"/>
    </row>
    <row r="274">
      <c r="A274" s="99">
        <v>273.0</v>
      </c>
      <c r="B274" s="15"/>
      <c r="C274" s="15"/>
      <c r="D274" s="105">
        <v>1.0</v>
      </c>
      <c r="E274" s="102">
        <v>8.0</v>
      </c>
      <c r="F274" s="107">
        <v>39.0</v>
      </c>
      <c r="G274" s="15" t="str">
        <f t="shared" si="1"/>
        <v>08039</v>
      </c>
      <c r="H274" s="23" t="s">
        <v>414</v>
      </c>
      <c r="I274" s="23" t="s">
        <v>36</v>
      </c>
      <c r="J274" s="23" t="s">
        <v>384</v>
      </c>
      <c r="K274" s="23" t="str">
        <f t="shared" si="7"/>
        <v>Elbert, CO</v>
      </c>
      <c r="L274" s="23">
        <v>614.0</v>
      </c>
      <c r="M274" s="23">
        <v>4.0</v>
      </c>
      <c r="N274" s="23">
        <v>368.0</v>
      </c>
      <c r="O274" s="23">
        <v>175.0</v>
      </c>
      <c r="P274" s="23" t="s">
        <v>63</v>
      </c>
      <c r="Q274" s="23">
        <v>496.0</v>
      </c>
      <c r="R274" s="23">
        <v>63.0</v>
      </c>
      <c r="S274" s="125" t="s">
        <v>63</v>
      </c>
      <c r="T274" s="32">
        <v>0.657</v>
      </c>
      <c r="U274" s="23">
        <v>879.0</v>
      </c>
      <c r="V274" s="125" t="s">
        <v>63</v>
      </c>
      <c r="W274" s="125" t="s">
        <v>63</v>
      </c>
      <c r="X274" s="125" t="s">
        <v>63</v>
      </c>
      <c r="Y274" s="35">
        <v>306.0</v>
      </c>
      <c r="Z274" s="32" t="s">
        <v>63</v>
      </c>
      <c r="AA274" s="38"/>
      <c r="AB274" s="38"/>
      <c r="AC274" s="38"/>
      <c r="AD274" s="38"/>
      <c r="AE274" s="38"/>
      <c r="AF274" s="38"/>
      <c r="AG274" s="38"/>
      <c r="AH274" s="38"/>
      <c r="AI274" s="38"/>
      <c r="AJ274" s="38"/>
      <c r="AK274" s="38"/>
    </row>
    <row r="275">
      <c r="A275" s="99">
        <v>274.0</v>
      </c>
      <c r="B275" s="15"/>
      <c r="C275" s="15"/>
      <c r="D275" s="105">
        <v>1.0</v>
      </c>
      <c r="E275" s="102">
        <v>8.0</v>
      </c>
      <c r="F275" s="107">
        <v>41.0</v>
      </c>
      <c r="G275" s="15" t="str">
        <f t="shared" si="1"/>
        <v>08041</v>
      </c>
      <c r="H275" s="23" t="s">
        <v>415</v>
      </c>
      <c r="I275" s="23" t="s">
        <v>36</v>
      </c>
      <c r="J275" s="23" t="s">
        <v>384</v>
      </c>
      <c r="K275" s="23" t="str">
        <f t="shared" si="7"/>
        <v>El Paso, CO</v>
      </c>
      <c r="L275" s="23">
        <v>11.0</v>
      </c>
      <c r="M275" s="23">
        <v>4.0</v>
      </c>
      <c r="N275" s="23">
        <v>3.0</v>
      </c>
      <c r="O275" s="23">
        <v>3.0</v>
      </c>
      <c r="P275" s="23" t="s">
        <v>63</v>
      </c>
      <c r="Q275" s="23">
        <v>16.0</v>
      </c>
      <c r="R275" s="23" t="s">
        <v>63</v>
      </c>
      <c r="S275" s="125" t="s">
        <v>63</v>
      </c>
      <c r="T275" s="32">
        <v>0.706</v>
      </c>
      <c r="U275" s="23">
        <v>24.0</v>
      </c>
      <c r="V275" s="125" t="s">
        <v>63</v>
      </c>
      <c r="W275" s="125" t="s">
        <v>63</v>
      </c>
      <c r="X275" s="125" t="s">
        <v>63</v>
      </c>
      <c r="Y275" s="35">
        <v>18.0</v>
      </c>
      <c r="Z275" s="32" t="s">
        <v>63</v>
      </c>
      <c r="AA275" s="38"/>
      <c r="AB275" s="38"/>
      <c r="AC275" s="38"/>
      <c r="AD275" s="38"/>
      <c r="AE275" s="38"/>
      <c r="AF275" s="38"/>
      <c r="AG275" s="38"/>
      <c r="AH275" s="38"/>
      <c r="AI275" s="38"/>
      <c r="AJ275" s="38"/>
      <c r="AK275" s="38"/>
    </row>
    <row r="276">
      <c r="A276" s="99">
        <v>275.0</v>
      </c>
      <c r="B276" s="15"/>
      <c r="C276" s="15"/>
      <c r="D276" s="105">
        <v>1.0</v>
      </c>
      <c r="E276" s="102">
        <v>8.0</v>
      </c>
      <c r="F276" s="107">
        <v>43.0</v>
      </c>
      <c r="G276" s="15" t="str">
        <f t="shared" si="1"/>
        <v>08043</v>
      </c>
      <c r="H276" s="23" t="s">
        <v>416</v>
      </c>
      <c r="I276" s="23" t="s">
        <v>36</v>
      </c>
      <c r="J276" s="23" t="s">
        <v>384</v>
      </c>
      <c r="K276" s="23" t="str">
        <f t="shared" si="7"/>
        <v>Fremont, CO</v>
      </c>
      <c r="L276" s="23">
        <v>33.0</v>
      </c>
      <c r="M276" s="23">
        <v>3.0</v>
      </c>
      <c r="N276" s="23">
        <v>19.0</v>
      </c>
      <c r="O276" s="23">
        <v>11.0</v>
      </c>
      <c r="P276" s="23" t="s">
        <v>63</v>
      </c>
      <c r="Q276" s="23">
        <v>34.0</v>
      </c>
      <c r="R276" s="23" t="s">
        <v>63</v>
      </c>
      <c r="S276" s="125" t="s">
        <v>63</v>
      </c>
      <c r="T276" s="32">
        <v>0.714</v>
      </c>
      <c r="U276" s="23">
        <v>100.0</v>
      </c>
      <c r="V276" s="125" t="s">
        <v>63</v>
      </c>
      <c r="W276" s="125" t="s">
        <v>63</v>
      </c>
      <c r="X276" s="125" t="s">
        <v>63</v>
      </c>
      <c r="Y276" s="35">
        <v>39.0</v>
      </c>
      <c r="Z276" s="32" t="s">
        <v>63</v>
      </c>
      <c r="AA276" s="38"/>
      <c r="AB276" s="38"/>
      <c r="AC276" s="38"/>
      <c r="AD276" s="38"/>
      <c r="AE276" s="38"/>
      <c r="AF276" s="38"/>
      <c r="AG276" s="38"/>
      <c r="AH276" s="38"/>
      <c r="AI276" s="38"/>
      <c r="AJ276" s="38"/>
      <c r="AK276" s="38"/>
    </row>
    <row r="277">
      <c r="A277" s="99">
        <v>276.0</v>
      </c>
      <c r="B277" s="15"/>
      <c r="C277" s="15"/>
      <c r="D277" s="105">
        <v>1.0</v>
      </c>
      <c r="E277" s="102">
        <v>8.0</v>
      </c>
      <c r="F277" s="107">
        <v>45.0</v>
      </c>
      <c r="G277" s="15" t="str">
        <f t="shared" si="1"/>
        <v>08045</v>
      </c>
      <c r="H277" s="23" t="s">
        <v>417</v>
      </c>
      <c r="I277" s="23" t="s">
        <v>36</v>
      </c>
      <c r="J277" s="23" t="s">
        <v>384</v>
      </c>
      <c r="K277" s="23" t="str">
        <f t="shared" si="7"/>
        <v>Garfield, CO</v>
      </c>
      <c r="L277" s="23">
        <v>26.0</v>
      </c>
      <c r="M277" s="23" t="s">
        <v>391</v>
      </c>
      <c r="N277" s="23">
        <v>12.0</v>
      </c>
      <c r="O277" s="23">
        <v>11.0</v>
      </c>
      <c r="P277" s="23" t="s">
        <v>63</v>
      </c>
      <c r="Q277" s="23">
        <v>24.0</v>
      </c>
      <c r="R277" s="23" t="s">
        <v>63</v>
      </c>
      <c r="S277" s="125" t="s">
        <v>63</v>
      </c>
      <c r="T277" s="32">
        <v>0.571</v>
      </c>
      <c r="U277" s="23">
        <v>61.0</v>
      </c>
      <c r="V277" s="125" t="s">
        <v>63</v>
      </c>
      <c r="W277" s="125" t="s">
        <v>63</v>
      </c>
      <c r="X277" s="125" t="s">
        <v>63</v>
      </c>
      <c r="Y277" s="35">
        <v>49.0</v>
      </c>
      <c r="Z277" s="32" t="s">
        <v>63</v>
      </c>
      <c r="AA277" s="38"/>
      <c r="AB277" s="38"/>
      <c r="AC277" s="38"/>
      <c r="AD277" s="38"/>
      <c r="AE277" s="38"/>
      <c r="AF277" s="38"/>
      <c r="AG277" s="38"/>
      <c r="AH277" s="38"/>
      <c r="AI277" s="38"/>
      <c r="AJ277" s="38"/>
      <c r="AK277" s="38"/>
    </row>
    <row r="278">
      <c r="A278" s="99">
        <v>277.0</v>
      </c>
      <c r="B278" s="15"/>
      <c r="C278" s="15"/>
      <c r="D278" s="105">
        <v>1.0</v>
      </c>
      <c r="E278" s="102">
        <v>8.0</v>
      </c>
      <c r="F278" s="107">
        <v>47.0</v>
      </c>
      <c r="G278" s="15" t="str">
        <f t="shared" si="1"/>
        <v>08047</v>
      </c>
      <c r="H278" s="23" t="s">
        <v>418</v>
      </c>
      <c r="I278" s="23" t="s">
        <v>36</v>
      </c>
      <c r="J278" s="23" t="s">
        <v>384</v>
      </c>
      <c r="K278" s="23" t="str">
        <f t="shared" si="7"/>
        <v>Gilpin, CO</v>
      </c>
      <c r="L278" s="23">
        <v>1.0</v>
      </c>
      <c r="M278" s="23" t="s">
        <v>391</v>
      </c>
      <c r="N278" s="23">
        <v>0.0</v>
      </c>
      <c r="O278" s="23">
        <v>1.0</v>
      </c>
      <c r="P278" s="23" t="s">
        <v>63</v>
      </c>
      <c r="Q278" s="23" t="s">
        <v>63</v>
      </c>
      <c r="R278" s="23" t="s">
        <v>63</v>
      </c>
      <c r="S278" s="125" t="s">
        <v>63</v>
      </c>
      <c r="T278" s="32" t="s">
        <v>63</v>
      </c>
      <c r="U278" s="23" t="s">
        <v>63</v>
      </c>
      <c r="V278" s="125" t="s">
        <v>63</v>
      </c>
      <c r="W278" s="125" t="s">
        <v>63</v>
      </c>
      <c r="X278" s="125" t="s">
        <v>63</v>
      </c>
      <c r="Y278" s="35">
        <v>3.0</v>
      </c>
      <c r="Z278" s="32" t="s">
        <v>63</v>
      </c>
      <c r="AA278" s="38"/>
      <c r="AB278" s="38"/>
      <c r="AC278" s="38"/>
      <c r="AD278" s="38"/>
      <c r="AE278" s="38"/>
      <c r="AF278" s="38"/>
      <c r="AG278" s="38"/>
      <c r="AH278" s="38"/>
      <c r="AI278" s="38"/>
      <c r="AJ278" s="38"/>
      <c r="AK278" s="38"/>
    </row>
    <row r="279">
      <c r="A279" s="99">
        <v>278.0</v>
      </c>
      <c r="B279" s="15"/>
      <c r="C279" s="15"/>
      <c r="D279" s="105">
        <v>1.0</v>
      </c>
      <c r="E279" s="102">
        <v>8.0</v>
      </c>
      <c r="F279" s="107">
        <v>49.0</v>
      </c>
      <c r="G279" s="15" t="str">
        <f t="shared" si="1"/>
        <v>08049</v>
      </c>
      <c r="H279" s="23" t="s">
        <v>421</v>
      </c>
      <c r="I279" s="23" t="s">
        <v>36</v>
      </c>
      <c r="J279" s="23" t="s">
        <v>384</v>
      </c>
      <c r="K279" s="23" t="str">
        <f t="shared" si="7"/>
        <v>Grand, CO</v>
      </c>
      <c r="L279" s="23">
        <v>4.0</v>
      </c>
      <c r="M279" s="23" t="s">
        <v>391</v>
      </c>
      <c r="N279" s="23">
        <v>1.0</v>
      </c>
      <c r="O279" s="23">
        <v>0.0</v>
      </c>
      <c r="P279" s="23" t="s">
        <v>63</v>
      </c>
      <c r="Q279" s="23" t="s">
        <v>63</v>
      </c>
      <c r="R279" s="23" t="s">
        <v>63</v>
      </c>
      <c r="S279" s="125" t="s">
        <v>63</v>
      </c>
      <c r="T279" s="32" t="s">
        <v>63</v>
      </c>
      <c r="U279" s="23" t="s">
        <v>63</v>
      </c>
      <c r="V279" s="125" t="s">
        <v>63</v>
      </c>
      <c r="W279" s="125" t="s">
        <v>63</v>
      </c>
      <c r="X279" s="125" t="s">
        <v>63</v>
      </c>
      <c r="Y279" s="35">
        <v>15.0</v>
      </c>
      <c r="Z279" s="32" t="s">
        <v>63</v>
      </c>
      <c r="AA279" s="38"/>
      <c r="AB279" s="38"/>
      <c r="AC279" s="38"/>
      <c r="AD279" s="38"/>
      <c r="AE279" s="38"/>
      <c r="AF279" s="38"/>
      <c r="AG279" s="38"/>
      <c r="AH279" s="38"/>
      <c r="AI279" s="38"/>
      <c r="AJ279" s="38"/>
      <c r="AK279" s="38"/>
    </row>
    <row r="280">
      <c r="A280" s="99">
        <v>279.0</v>
      </c>
      <c r="B280" s="15"/>
      <c r="C280" s="15"/>
      <c r="D280" s="105">
        <v>1.0</v>
      </c>
      <c r="E280" s="102">
        <v>8.0</v>
      </c>
      <c r="F280" s="107">
        <v>51.0</v>
      </c>
      <c r="G280" s="15" t="str">
        <f t="shared" si="1"/>
        <v>08051</v>
      </c>
      <c r="H280" s="23" t="s">
        <v>422</v>
      </c>
      <c r="I280" s="23" t="s">
        <v>36</v>
      </c>
      <c r="J280" s="23" t="s">
        <v>384</v>
      </c>
      <c r="K280" s="23" t="str">
        <f t="shared" si="7"/>
        <v>Gunnison, CO</v>
      </c>
      <c r="L280" s="23">
        <v>7.0</v>
      </c>
      <c r="M280" s="23" t="s">
        <v>391</v>
      </c>
      <c r="N280" s="23">
        <v>3.0</v>
      </c>
      <c r="O280" s="23">
        <v>4.0</v>
      </c>
      <c r="P280" s="23" t="s">
        <v>63</v>
      </c>
      <c r="Q280" s="23" t="s">
        <v>63</v>
      </c>
      <c r="R280" s="23" t="s">
        <v>63</v>
      </c>
      <c r="S280" s="125" t="s">
        <v>63</v>
      </c>
      <c r="T280" s="32" t="s">
        <v>63</v>
      </c>
      <c r="U280" s="23">
        <v>13.0</v>
      </c>
      <c r="V280" s="125" t="s">
        <v>63</v>
      </c>
      <c r="W280" s="125" t="s">
        <v>63</v>
      </c>
      <c r="X280" s="125" t="s">
        <v>63</v>
      </c>
      <c r="Y280" s="35">
        <v>15.0</v>
      </c>
      <c r="Z280" s="32" t="s">
        <v>63</v>
      </c>
      <c r="AA280" s="38"/>
      <c r="AB280" s="38"/>
      <c r="AC280" s="38"/>
      <c r="AD280" s="38"/>
      <c r="AE280" s="38"/>
      <c r="AF280" s="38"/>
      <c r="AG280" s="38"/>
      <c r="AH280" s="38"/>
      <c r="AI280" s="38"/>
      <c r="AJ280" s="38"/>
      <c r="AK280" s="38"/>
    </row>
    <row r="281">
      <c r="A281" s="99">
        <v>280.0</v>
      </c>
      <c r="B281" s="15"/>
      <c r="C281" s="15"/>
      <c r="D281" s="105">
        <v>1.0</v>
      </c>
      <c r="E281" s="102">
        <v>8.0</v>
      </c>
      <c r="F281" s="107">
        <v>53.0</v>
      </c>
      <c r="G281" s="15" t="str">
        <f t="shared" si="1"/>
        <v>08053</v>
      </c>
      <c r="H281" s="23" t="s">
        <v>424</v>
      </c>
      <c r="I281" s="23" t="s">
        <v>36</v>
      </c>
      <c r="J281" s="23" t="s">
        <v>384</v>
      </c>
      <c r="K281" s="23" t="str">
        <f t="shared" si="7"/>
        <v>Hinsdale, CO</v>
      </c>
      <c r="L281" s="23" t="s">
        <v>63</v>
      </c>
      <c r="M281" s="23" t="s">
        <v>391</v>
      </c>
      <c r="N281" s="23" t="s">
        <v>63</v>
      </c>
      <c r="O281" s="23" t="s">
        <v>63</v>
      </c>
      <c r="P281" s="23" t="s">
        <v>63</v>
      </c>
      <c r="Q281" s="23" t="s">
        <v>63</v>
      </c>
      <c r="R281" s="23" t="s">
        <v>63</v>
      </c>
      <c r="S281" s="125" t="s">
        <v>63</v>
      </c>
      <c r="T281" s="32" t="s">
        <v>63</v>
      </c>
      <c r="U281" s="23" t="s">
        <v>63</v>
      </c>
      <c r="V281" s="125" t="s">
        <v>63</v>
      </c>
      <c r="W281" s="125" t="s">
        <v>63</v>
      </c>
      <c r="X281" s="125" t="s">
        <v>63</v>
      </c>
      <c r="Y281" s="35" t="s">
        <v>63</v>
      </c>
      <c r="Z281" s="32" t="s">
        <v>63</v>
      </c>
      <c r="AA281" s="38"/>
      <c r="AB281" s="38"/>
      <c r="AC281" s="38"/>
      <c r="AD281" s="38"/>
      <c r="AE281" s="38"/>
      <c r="AF281" s="38"/>
      <c r="AG281" s="38"/>
      <c r="AH281" s="38"/>
      <c r="AI281" s="38"/>
      <c r="AJ281" s="38"/>
      <c r="AK281" s="38"/>
    </row>
    <row r="282">
      <c r="A282" s="99">
        <v>281.0</v>
      </c>
      <c r="B282" s="15"/>
      <c r="C282" s="15"/>
      <c r="D282" s="105">
        <v>1.0</v>
      </c>
      <c r="E282" s="102">
        <v>8.0</v>
      </c>
      <c r="F282" s="107">
        <v>55.0</v>
      </c>
      <c r="G282" s="15" t="str">
        <f t="shared" si="1"/>
        <v>08055</v>
      </c>
      <c r="H282" s="23" t="s">
        <v>425</v>
      </c>
      <c r="I282" s="23" t="s">
        <v>36</v>
      </c>
      <c r="J282" s="23" t="s">
        <v>384</v>
      </c>
      <c r="K282" s="23" t="str">
        <f t="shared" si="7"/>
        <v>Huerfano, CO</v>
      </c>
      <c r="L282" s="23">
        <v>12.0</v>
      </c>
      <c r="M282" s="23" t="s">
        <v>391</v>
      </c>
      <c r="N282" s="23">
        <v>9.0</v>
      </c>
      <c r="O282" s="23">
        <v>1.0</v>
      </c>
      <c r="P282" s="23" t="s">
        <v>63</v>
      </c>
      <c r="Q282" s="23" t="s">
        <v>63</v>
      </c>
      <c r="R282" s="23" t="s">
        <v>63</v>
      </c>
      <c r="S282" s="125" t="s">
        <v>63</v>
      </c>
      <c r="T282" s="32">
        <v>0.923</v>
      </c>
      <c r="U282" s="23">
        <v>31.0</v>
      </c>
      <c r="V282" s="125" t="s">
        <v>63</v>
      </c>
      <c r="W282" s="125" t="s">
        <v>63</v>
      </c>
      <c r="X282" s="125" t="s">
        <v>63</v>
      </c>
      <c r="Y282" s="35">
        <v>16.0</v>
      </c>
      <c r="Z282" s="32" t="s">
        <v>63</v>
      </c>
      <c r="AA282" s="38"/>
      <c r="AB282" s="38"/>
      <c r="AC282" s="38"/>
      <c r="AD282" s="38"/>
      <c r="AE282" s="38"/>
      <c r="AF282" s="38"/>
      <c r="AG282" s="38"/>
      <c r="AH282" s="38"/>
      <c r="AI282" s="38"/>
      <c r="AJ282" s="38"/>
      <c r="AK282" s="38"/>
    </row>
    <row r="283">
      <c r="A283" s="99">
        <v>282.0</v>
      </c>
      <c r="B283" s="15"/>
      <c r="C283" s="15"/>
      <c r="D283" s="105">
        <v>1.0</v>
      </c>
      <c r="E283" s="102">
        <v>8.0</v>
      </c>
      <c r="F283" s="107">
        <v>57.0</v>
      </c>
      <c r="G283" s="15" t="str">
        <f t="shared" si="1"/>
        <v>08057</v>
      </c>
      <c r="H283" s="23" t="s">
        <v>142</v>
      </c>
      <c r="I283" s="23" t="s">
        <v>36</v>
      </c>
      <c r="J283" s="23" t="s">
        <v>384</v>
      </c>
      <c r="K283" s="23" t="str">
        <f t="shared" si="7"/>
        <v>Jackson, CO</v>
      </c>
      <c r="L283" s="23" t="s">
        <v>63</v>
      </c>
      <c r="M283" s="23" t="s">
        <v>391</v>
      </c>
      <c r="N283" s="23" t="s">
        <v>63</v>
      </c>
      <c r="O283" s="23" t="s">
        <v>63</v>
      </c>
      <c r="P283" s="23" t="s">
        <v>63</v>
      </c>
      <c r="Q283" s="23" t="s">
        <v>63</v>
      </c>
      <c r="R283" s="23" t="s">
        <v>63</v>
      </c>
      <c r="S283" s="125" t="s">
        <v>63</v>
      </c>
      <c r="T283" s="32" t="s">
        <v>63</v>
      </c>
      <c r="U283" s="23" t="s">
        <v>63</v>
      </c>
      <c r="V283" s="125" t="s">
        <v>63</v>
      </c>
      <c r="W283" s="125" t="s">
        <v>63</v>
      </c>
      <c r="X283" s="125" t="s">
        <v>63</v>
      </c>
      <c r="Y283" s="35">
        <v>2.0</v>
      </c>
      <c r="Z283" s="32" t="s">
        <v>63</v>
      </c>
      <c r="AA283" s="38"/>
      <c r="AB283" s="38"/>
      <c r="AC283" s="38"/>
      <c r="AD283" s="38"/>
      <c r="AE283" s="38"/>
      <c r="AF283" s="38"/>
      <c r="AG283" s="38"/>
      <c r="AH283" s="38"/>
      <c r="AI283" s="38"/>
      <c r="AJ283" s="38"/>
      <c r="AK283" s="38"/>
    </row>
    <row r="284">
      <c r="A284" s="99">
        <v>283.0</v>
      </c>
      <c r="B284" s="15"/>
      <c r="C284" s="15"/>
      <c r="D284" s="105">
        <v>1.0</v>
      </c>
      <c r="E284" s="102">
        <v>8.0</v>
      </c>
      <c r="F284" s="107">
        <v>59.0</v>
      </c>
      <c r="G284" s="15" t="str">
        <f t="shared" si="1"/>
        <v>08059</v>
      </c>
      <c r="H284" s="23" t="s">
        <v>143</v>
      </c>
      <c r="I284" s="23" t="s">
        <v>36</v>
      </c>
      <c r="J284" s="23" t="s">
        <v>384</v>
      </c>
      <c r="K284" s="23" t="str">
        <f t="shared" si="7"/>
        <v>Jefferson, CO</v>
      </c>
      <c r="L284" s="23">
        <v>223.0</v>
      </c>
      <c r="M284" s="23">
        <v>3.0</v>
      </c>
      <c r="N284" s="23">
        <v>85.0</v>
      </c>
      <c r="O284" s="23">
        <v>105.0</v>
      </c>
      <c r="P284" s="23" t="s">
        <v>63</v>
      </c>
      <c r="Q284" s="23">
        <v>324.0</v>
      </c>
      <c r="R284" s="23">
        <v>32.0</v>
      </c>
      <c r="S284" s="125" t="s">
        <v>63</v>
      </c>
      <c r="T284" s="32">
        <v>0.689</v>
      </c>
      <c r="U284" s="23">
        <v>377.0</v>
      </c>
      <c r="V284" s="125" t="s">
        <v>63</v>
      </c>
      <c r="W284" s="125" t="s">
        <v>63</v>
      </c>
      <c r="X284" s="125" t="s">
        <v>63</v>
      </c>
      <c r="Y284" s="35">
        <v>224.0</v>
      </c>
      <c r="Z284" s="32" t="s">
        <v>63</v>
      </c>
      <c r="AA284" s="38"/>
      <c r="AB284" s="38"/>
      <c r="AC284" s="38"/>
      <c r="AD284" s="38"/>
      <c r="AE284" s="38"/>
      <c r="AF284" s="38"/>
      <c r="AG284" s="38"/>
      <c r="AH284" s="38"/>
      <c r="AI284" s="38"/>
      <c r="AJ284" s="38"/>
      <c r="AK284" s="38"/>
    </row>
    <row r="285">
      <c r="A285" s="99">
        <v>284.0</v>
      </c>
      <c r="B285" s="15"/>
      <c r="C285" s="15"/>
      <c r="D285" s="105">
        <v>1.0</v>
      </c>
      <c r="E285" s="102">
        <v>8.0</v>
      </c>
      <c r="F285" s="107">
        <v>61.0</v>
      </c>
      <c r="G285" s="15" t="str">
        <f t="shared" si="1"/>
        <v>08061</v>
      </c>
      <c r="H285" s="23" t="s">
        <v>427</v>
      </c>
      <c r="I285" s="23" t="s">
        <v>36</v>
      </c>
      <c r="J285" s="23" t="s">
        <v>384</v>
      </c>
      <c r="K285" s="23" t="str">
        <f t="shared" si="7"/>
        <v>Kiowa, CO</v>
      </c>
      <c r="L285" s="23" t="s">
        <v>63</v>
      </c>
      <c r="M285" s="23" t="s">
        <v>391</v>
      </c>
      <c r="N285" s="23" t="s">
        <v>63</v>
      </c>
      <c r="O285" s="23" t="s">
        <v>63</v>
      </c>
      <c r="P285" s="23" t="s">
        <v>63</v>
      </c>
      <c r="Q285" s="23" t="s">
        <v>63</v>
      </c>
      <c r="R285" s="23" t="s">
        <v>63</v>
      </c>
      <c r="S285" s="125" t="s">
        <v>63</v>
      </c>
      <c r="T285" s="32" t="s">
        <v>63</v>
      </c>
      <c r="U285" s="23" t="s">
        <v>63</v>
      </c>
      <c r="V285" s="125" t="s">
        <v>63</v>
      </c>
      <c r="W285" s="125" t="s">
        <v>63</v>
      </c>
      <c r="X285" s="125" t="s">
        <v>63</v>
      </c>
      <c r="Y285" s="35">
        <v>7.0</v>
      </c>
      <c r="Z285" s="32" t="s">
        <v>63</v>
      </c>
      <c r="AA285" s="38"/>
      <c r="AB285" s="38"/>
      <c r="AC285" s="38"/>
      <c r="AD285" s="38"/>
      <c r="AE285" s="38"/>
      <c r="AF285" s="38"/>
      <c r="AG285" s="38"/>
      <c r="AH285" s="38"/>
      <c r="AI285" s="38"/>
      <c r="AJ285" s="38"/>
      <c r="AK285" s="38"/>
    </row>
    <row r="286">
      <c r="A286" s="99">
        <v>285.0</v>
      </c>
      <c r="B286" s="15"/>
      <c r="C286" s="15"/>
      <c r="D286" s="105">
        <v>1.0</v>
      </c>
      <c r="E286" s="102">
        <v>8.0</v>
      </c>
      <c r="F286" s="107">
        <v>63.0</v>
      </c>
      <c r="G286" s="15" t="str">
        <f t="shared" si="1"/>
        <v>08063</v>
      </c>
      <c r="H286" s="23" t="s">
        <v>428</v>
      </c>
      <c r="I286" s="23" t="s">
        <v>36</v>
      </c>
      <c r="J286" s="23" t="s">
        <v>384</v>
      </c>
      <c r="K286" s="23" t="str">
        <f t="shared" si="7"/>
        <v>Kit Carson, CO</v>
      </c>
      <c r="L286" s="23">
        <v>8.0</v>
      </c>
      <c r="M286" s="23" t="s">
        <v>391</v>
      </c>
      <c r="N286" s="23">
        <v>2.0</v>
      </c>
      <c r="O286" s="23">
        <v>3.0</v>
      </c>
      <c r="P286" s="23" t="s">
        <v>63</v>
      </c>
      <c r="Q286" s="23" t="s">
        <v>63</v>
      </c>
      <c r="R286" s="23" t="s">
        <v>63</v>
      </c>
      <c r="S286" s="125" t="s">
        <v>63</v>
      </c>
      <c r="T286" s="32" t="s">
        <v>63</v>
      </c>
      <c r="U286" s="23">
        <v>15.0</v>
      </c>
      <c r="V286" s="125" t="s">
        <v>63</v>
      </c>
      <c r="W286" s="125" t="s">
        <v>63</v>
      </c>
      <c r="X286" s="125" t="s">
        <v>63</v>
      </c>
      <c r="Y286" s="35">
        <v>21.0</v>
      </c>
      <c r="Z286" s="32" t="s">
        <v>63</v>
      </c>
      <c r="AA286" s="38"/>
      <c r="AB286" s="38"/>
      <c r="AC286" s="38"/>
      <c r="AD286" s="38"/>
      <c r="AE286" s="38"/>
      <c r="AF286" s="38"/>
      <c r="AG286" s="38"/>
      <c r="AH286" s="38"/>
      <c r="AI286" s="38"/>
      <c r="AJ286" s="38"/>
      <c r="AK286" s="38"/>
    </row>
    <row r="287">
      <c r="A287" s="99">
        <v>286.0</v>
      </c>
      <c r="B287" s="15"/>
      <c r="C287" s="15"/>
      <c r="D287" s="105">
        <v>1.0</v>
      </c>
      <c r="E287" s="102">
        <v>8.0</v>
      </c>
      <c r="F287" s="107">
        <v>65.0</v>
      </c>
      <c r="G287" s="15" t="str">
        <f t="shared" si="1"/>
        <v>08065</v>
      </c>
      <c r="H287" s="23" t="s">
        <v>337</v>
      </c>
      <c r="I287" s="23" t="s">
        <v>36</v>
      </c>
      <c r="J287" s="23" t="s">
        <v>384</v>
      </c>
      <c r="K287" s="23" t="str">
        <f t="shared" si="7"/>
        <v>Lake, CO</v>
      </c>
      <c r="L287" s="23">
        <v>3.0</v>
      </c>
      <c r="M287" s="23" t="s">
        <v>391</v>
      </c>
      <c r="N287" s="23">
        <v>0.0</v>
      </c>
      <c r="O287" s="23">
        <v>3.0</v>
      </c>
      <c r="P287" s="23" t="s">
        <v>63</v>
      </c>
      <c r="Q287" s="23" t="s">
        <v>63</v>
      </c>
      <c r="R287" s="23" t="s">
        <v>63</v>
      </c>
      <c r="S287" s="125" t="s">
        <v>63</v>
      </c>
      <c r="T287" s="32" t="s">
        <v>63</v>
      </c>
      <c r="U287" s="23" t="s">
        <v>63</v>
      </c>
      <c r="V287" s="125" t="s">
        <v>63</v>
      </c>
      <c r="W287" s="125" t="s">
        <v>63</v>
      </c>
      <c r="X287" s="125" t="s">
        <v>63</v>
      </c>
      <c r="Y287" s="35">
        <v>8.0</v>
      </c>
      <c r="Z287" s="32" t="s">
        <v>63</v>
      </c>
      <c r="AA287" s="38"/>
      <c r="AB287" s="38"/>
      <c r="AC287" s="38"/>
      <c r="AD287" s="38"/>
      <c r="AE287" s="38"/>
      <c r="AF287" s="38"/>
      <c r="AG287" s="38"/>
      <c r="AH287" s="38"/>
      <c r="AI287" s="38"/>
      <c r="AJ287" s="38"/>
      <c r="AK287" s="38"/>
    </row>
    <row r="288">
      <c r="A288" s="99">
        <v>287.0</v>
      </c>
      <c r="B288" s="15"/>
      <c r="C288" s="15"/>
      <c r="D288" s="105">
        <v>1.0</v>
      </c>
      <c r="E288" s="102">
        <v>8.0</v>
      </c>
      <c r="F288" s="107">
        <v>67.0</v>
      </c>
      <c r="G288" s="15" t="str">
        <f t="shared" si="1"/>
        <v>08067</v>
      </c>
      <c r="H288" s="23" t="s">
        <v>429</v>
      </c>
      <c r="I288" s="23" t="s">
        <v>36</v>
      </c>
      <c r="J288" s="23" t="s">
        <v>384</v>
      </c>
      <c r="K288" s="23" t="str">
        <f t="shared" si="7"/>
        <v>La Plata, CO</v>
      </c>
      <c r="L288" s="23">
        <v>10.0</v>
      </c>
      <c r="M288" s="23">
        <v>3.0</v>
      </c>
      <c r="N288" s="23">
        <v>6.0</v>
      </c>
      <c r="O288" s="23">
        <v>3.0</v>
      </c>
      <c r="P288" s="23" t="s">
        <v>63</v>
      </c>
      <c r="Q288" s="23">
        <v>24.0</v>
      </c>
      <c r="R288" s="23" t="s">
        <v>63</v>
      </c>
      <c r="S288" s="125" t="s">
        <v>63</v>
      </c>
      <c r="T288" s="32" t="s">
        <v>63</v>
      </c>
      <c r="U288" s="23">
        <v>65.0</v>
      </c>
      <c r="V288" s="125" t="s">
        <v>63</v>
      </c>
      <c r="W288" s="125" t="s">
        <v>63</v>
      </c>
      <c r="X288" s="125" t="s">
        <v>63</v>
      </c>
      <c r="Y288" s="35">
        <v>45.0</v>
      </c>
      <c r="Z288" s="32" t="s">
        <v>63</v>
      </c>
      <c r="AA288" s="38"/>
      <c r="AB288" s="38"/>
      <c r="AC288" s="38"/>
      <c r="AD288" s="38"/>
      <c r="AE288" s="38"/>
      <c r="AF288" s="38"/>
      <c r="AG288" s="38"/>
      <c r="AH288" s="38"/>
      <c r="AI288" s="38"/>
      <c r="AJ288" s="38"/>
      <c r="AK288" s="38"/>
    </row>
    <row r="289">
      <c r="A289" s="99">
        <v>288.0</v>
      </c>
      <c r="B289" s="15"/>
      <c r="C289" s="15"/>
      <c r="D289" s="105">
        <v>1.0</v>
      </c>
      <c r="E289" s="102">
        <v>8.0</v>
      </c>
      <c r="F289" s="107">
        <v>69.0</v>
      </c>
      <c r="G289" s="15" t="str">
        <f t="shared" si="1"/>
        <v>08069</v>
      </c>
      <c r="H289" s="23" t="s">
        <v>431</v>
      </c>
      <c r="I289" s="23" t="s">
        <v>36</v>
      </c>
      <c r="J289" s="23" t="s">
        <v>384</v>
      </c>
      <c r="K289" s="23" t="str">
        <f t="shared" si="7"/>
        <v>Larimer, CO</v>
      </c>
      <c r="L289" s="23">
        <v>194.0</v>
      </c>
      <c r="M289" s="23">
        <v>2.0</v>
      </c>
      <c r="N289" s="23">
        <v>68.0</v>
      </c>
      <c r="O289" s="23">
        <v>90.0</v>
      </c>
      <c r="P289" s="23" t="s">
        <v>63</v>
      </c>
      <c r="Q289" s="23">
        <v>207.0</v>
      </c>
      <c r="R289" s="23">
        <v>22.0</v>
      </c>
      <c r="S289" s="125" t="s">
        <v>63</v>
      </c>
      <c r="T289" s="32">
        <v>0.672</v>
      </c>
      <c r="U289" s="23">
        <v>693.0</v>
      </c>
      <c r="V289" s="125" t="s">
        <v>63</v>
      </c>
      <c r="W289" s="125" t="s">
        <v>63</v>
      </c>
      <c r="X289" s="125" t="s">
        <v>63</v>
      </c>
      <c r="Y289" s="35">
        <v>167.0</v>
      </c>
      <c r="Z289" s="32" t="s">
        <v>63</v>
      </c>
      <c r="AA289" s="38"/>
      <c r="AB289" s="38"/>
      <c r="AC289" s="38"/>
      <c r="AD289" s="38"/>
      <c r="AE289" s="38"/>
      <c r="AF289" s="38"/>
      <c r="AG289" s="38"/>
      <c r="AH289" s="38"/>
      <c r="AI289" s="38"/>
      <c r="AJ289" s="38"/>
      <c r="AK289" s="38"/>
    </row>
    <row r="290">
      <c r="A290" s="99">
        <v>289.0</v>
      </c>
      <c r="B290" s="15"/>
      <c r="C290" s="15"/>
      <c r="D290" s="105">
        <v>1.0</v>
      </c>
      <c r="E290" s="102">
        <v>8.0</v>
      </c>
      <c r="F290" s="107">
        <v>71.0</v>
      </c>
      <c r="G290" s="15" t="str">
        <f t="shared" si="1"/>
        <v>08071</v>
      </c>
      <c r="H290" s="23" t="s">
        <v>432</v>
      </c>
      <c r="I290" s="23" t="s">
        <v>36</v>
      </c>
      <c r="J290" s="23" t="s">
        <v>384</v>
      </c>
      <c r="K290" s="23" t="str">
        <f t="shared" si="7"/>
        <v>Las Animas, CO</v>
      </c>
      <c r="L290" s="23">
        <v>20.0</v>
      </c>
      <c r="M290" s="23" t="s">
        <v>391</v>
      </c>
      <c r="N290" s="23">
        <v>9.0</v>
      </c>
      <c r="O290" s="23">
        <v>11.0</v>
      </c>
      <c r="P290" s="23" t="s">
        <v>63</v>
      </c>
      <c r="Q290" s="23">
        <v>22.0</v>
      </c>
      <c r="R290" s="23" t="s">
        <v>63</v>
      </c>
      <c r="S290" s="125" t="s">
        <v>63</v>
      </c>
      <c r="T290" s="32" t="s">
        <v>63</v>
      </c>
      <c r="U290" s="23">
        <v>28.0</v>
      </c>
      <c r="V290" s="125" t="s">
        <v>63</v>
      </c>
      <c r="W290" s="125" t="s">
        <v>63</v>
      </c>
      <c r="X290" s="125" t="s">
        <v>63</v>
      </c>
      <c r="Y290" s="35">
        <v>15.0</v>
      </c>
      <c r="Z290" s="32" t="s">
        <v>63</v>
      </c>
      <c r="AA290" s="38"/>
      <c r="AB290" s="38"/>
      <c r="AC290" s="38"/>
      <c r="AD290" s="38"/>
      <c r="AE290" s="38"/>
      <c r="AF290" s="38"/>
      <c r="AG290" s="38"/>
      <c r="AH290" s="38"/>
      <c r="AI290" s="38"/>
      <c r="AJ290" s="38"/>
      <c r="AK290" s="38"/>
    </row>
    <row r="291">
      <c r="A291" s="99">
        <v>290.0</v>
      </c>
      <c r="B291" s="15"/>
      <c r="C291" s="15"/>
      <c r="D291" s="105">
        <v>1.0</v>
      </c>
      <c r="E291" s="102">
        <v>8.0</v>
      </c>
      <c r="F291" s="107">
        <v>73.0</v>
      </c>
      <c r="G291" s="15" t="str">
        <f t="shared" si="1"/>
        <v>08073</v>
      </c>
      <c r="H291" s="23" t="s">
        <v>290</v>
      </c>
      <c r="I291" s="23" t="s">
        <v>36</v>
      </c>
      <c r="J291" s="23" t="s">
        <v>384</v>
      </c>
      <c r="K291" s="23" t="str">
        <f t="shared" si="7"/>
        <v>Lincoln, CO</v>
      </c>
      <c r="L291" s="23">
        <v>7.0</v>
      </c>
      <c r="M291" s="23" t="s">
        <v>391</v>
      </c>
      <c r="N291" s="23">
        <v>4.0</v>
      </c>
      <c r="O291" s="23">
        <v>3.0</v>
      </c>
      <c r="P291" s="23" t="s">
        <v>63</v>
      </c>
      <c r="Q291" s="23" t="s">
        <v>63</v>
      </c>
      <c r="R291" s="23" t="s">
        <v>63</v>
      </c>
      <c r="S291" s="125" t="s">
        <v>63</v>
      </c>
      <c r="T291" s="32" t="s">
        <v>63</v>
      </c>
      <c r="U291" s="23">
        <v>13.0</v>
      </c>
      <c r="V291" s="125" t="s">
        <v>63</v>
      </c>
      <c r="W291" s="125" t="s">
        <v>63</v>
      </c>
      <c r="X291" s="125" t="s">
        <v>63</v>
      </c>
      <c r="Y291" s="35">
        <v>17.0</v>
      </c>
      <c r="Z291" s="32" t="s">
        <v>63</v>
      </c>
      <c r="AA291" s="38"/>
      <c r="AB291" s="38"/>
      <c r="AC291" s="38"/>
      <c r="AD291" s="38"/>
      <c r="AE291" s="38"/>
      <c r="AF291" s="38"/>
      <c r="AG291" s="38"/>
      <c r="AH291" s="38"/>
      <c r="AI291" s="38"/>
      <c r="AJ291" s="38"/>
      <c r="AK291" s="38"/>
    </row>
    <row r="292">
      <c r="A292" s="99">
        <v>291.0</v>
      </c>
      <c r="B292" s="15"/>
      <c r="C292" s="15"/>
      <c r="D292" s="105">
        <v>1.0</v>
      </c>
      <c r="E292" s="102">
        <v>8.0</v>
      </c>
      <c r="F292" s="107">
        <v>75.0</v>
      </c>
      <c r="G292" s="15" t="str">
        <f t="shared" si="1"/>
        <v>08075</v>
      </c>
      <c r="H292" s="23" t="s">
        <v>293</v>
      </c>
      <c r="I292" s="23" t="s">
        <v>36</v>
      </c>
      <c r="J292" s="23" t="s">
        <v>384</v>
      </c>
      <c r="K292" s="23" t="str">
        <f t="shared" si="7"/>
        <v>Logan, CO</v>
      </c>
      <c r="L292" s="23">
        <v>43.0</v>
      </c>
      <c r="M292" s="23">
        <v>3.0</v>
      </c>
      <c r="N292" s="23">
        <v>11.0</v>
      </c>
      <c r="O292" s="23">
        <v>26.0</v>
      </c>
      <c r="P292" s="23" t="s">
        <v>63</v>
      </c>
      <c r="Q292" s="23">
        <v>25.0</v>
      </c>
      <c r="R292" s="23" t="s">
        <v>63</v>
      </c>
      <c r="S292" s="125" t="s">
        <v>63</v>
      </c>
      <c r="T292" s="32" t="s">
        <v>63</v>
      </c>
      <c r="U292" s="23">
        <v>33.0</v>
      </c>
      <c r="V292" s="125" t="s">
        <v>63</v>
      </c>
      <c r="W292" s="125" t="s">
        <v>63</v>
      </c>
      <c r="X292" s="125" t="s">
        <v>63</v>
      </c>
      <c r="Y292" s="35">
        <v>33.0</v>
      </c>
      <c r="Z292" s="32" t="s">
        <v>63</v>
      </c>
      <c r="AA292" s="38"/>
      <c r="AB292" s="38"/>
      <c r="AC292" s="38"/>
      <c r="AD292" s="38"/>
      <c r="AE292" s="38"/>
      <c r="AF292" s="38"/>
      <c r="AG292" s="38"/>
      <c r="AH292" s="38"/>
      <c r="AI292" s="38"/>
      <c r="AJ292" s="38"/>
      <c r="AK292" s="38"/>
    </row>
    <row r="293">
      <c r="A293" s="99">
        <v>292.0</v>
      </c>
      <c r="B293" s="15"/>
      <c r="C293" s="15"/>
      <c r="D293" s="105">
        <v>1.0</v>
      </c>
      <c r="E293" s="102">
        <v>8.0</v>
      </c>
      <c r="F293" s="107">
        <v>77.0</v>
      </c>
      <c r="G293" s="15" t="str">
        <f t="shared" si="1"/>
        <v>08077</v>
      </c>
      <c r="H293" s="23" t="s">
        <v>434</v>
      </c>
      <c r="I293" s="23" t="s">
        <v>36</v>
      </c>
      <c r="J293" s="23" t="s">
        <v>384</v>
      </c>
      <c r="K293" s="23" t="str">
        <f t="shared" si="7"/>
        <v>Mesa, CO</v>
      </c>
      <c r="L293" s="23">
        <v>173.0</v>
      </c>
      <c r="M293" s="23">
        <v>3.0</v>
      </c>
      <c r="N293" s="23">
        <v>92.0</v>
      </c>
      <c r="O293" s="23">
        <v>47.0</v>
      </c>
      <c r="P293" s="23" t="s">
        <v>63</v>
      </c>
      <c r="Q293" s="23">
        <v>130.0</v>
      </c>
      <c r="R293" s="23">
        <v>27.0</v>
      </c>
      <c r="S293" s="125" t="s">
        <v>63</v>
      </c>
      <c r="T293" s="32">
        <v>0.675</v>
      </c>
      <c r="U293" s="23">
        <v>200.0</v>
      </c>
      <c r="V293" s="125" t="s">
        <v>63</v>
      </c>
      <c r="W293" s="125" t="s">
        <v>63</v>
      </c>
      <c r="X293" s="125" t="s">
        <v>63</v>
      </c>
      <c r="Y293" s="35">
        <v>109.0</v>
      </c>
      <c r="Z293" s="32" t="s">
        <v>63</v>
      </c>
      <c r="AA293" s="38"/>
      <c r="AB293" s="38"/>
      <c r="AC293" s="38"/>
      <c r="AD293" s="38"/>
      <c r="AE293" s="38"/>
      <c r="AF293" s="38"/>
      <c r="AG293" s="38"/>
      <c r="AH293" s="38"/>
      <c r="AI293" s="38"/>
      <c r="AJ293" s="38"/>
      <c r="AK293" s="38"/>
    </row>
    <row r="294">
      <c r="A294" s="99">
        <v>293.0</v>
      </c>
      <c r="B294" s="15"/>
      <c r="C294" s="15"/>
      <c r="D294" s="105">
        <v>1.0</v>
      </c>
      <c r="E294" s="102">
        <v>8.0</v>
      </c>
      <c r="F294" s="107">
        <v>79.0</v>
      </c>
      <c r="G294" s="15" t="str">
        <f t="shared" si="1"/>
        <v>08079</v>
      </c>
      <c r="H294" s="23" t="s">
        <v>435</v>
      </c>
      <c r="I294" s="23" t="s">
        <v>36</v>
      </c>
      <c r="J294" s="23" t="s">
        <v>384</v>
      </c>
      <c r="K294" s="23" t="str">
        <f t="shared" si="7"/>
        <v>Mineral, CO</v>
      </c>
      <c r="L294" s="23" t="s">
        <v>63</v>
      </c>
      <c r="M294" s="23" t="s">
        <v>391</v>
      </c>
      <c r="N294" s="23" t="s">
        <v>63</v>
      </c>
      <c r="O294" s="23" t="s">
        <v>63</v>
      </c>
      <c r="P294" s="23" t="s">
        <v>63</v>
      </c>
      <c r="Q294" s="23" t="s">
        <v>63</v>
      </c>
      <c r="R294" s="23" t="s">
        <v>63</v>
      </c>
      <c r="S294" s="125" t="s">
        <v>63</v>
      </c>
      <c r="T294" s="32" t="s">
        <v>63</v>
      </c>
      <c r="U294" s="23" t="s">
        <v>63</v>
      </c>
      <c r="V294" s="125" t="s">
        <v>63</v>
      </c>
      <c r="W294" s="125" t="s">
        <v>63</v>
      </c>
      <c r="X294" s="125" t="s">
        <v>63</v>
      </c>
      <c r="Y294" s="35">
        <v>2.0</v>
      </c>
      <c r="Z294" s="32" t="s">
        <v>63</v>
      </c>
      <c r="AA294" s="38"/>
      <c r="AB294" s="38"/>
      <c r="AC294" s="38"/>
      <c r="AD294" s="38"/>
      <c r="AE294" s="38"/>
      <c r="AF294" s="38"/>
      <c r="AG294" s="38"/>
      <c r="AH294" s="38"/>
      <c r="AI294" s="38"/>
      <c r="AJ294" s="38"/>
      <c r="AK294" s="38"/>
    </row>
    <row r="295">
      <c r="A295" s="99">
        <v>294.0</v>
      </c>
      <c r="B295" s="15"/>
      <c r="C295" s="15"/>
      <c r="D295" s="105">
        <v>1.0</v>
      </c>
      <c r="E295" s="102">
        <v>8.0</v>
      </c>
      <c r="F295" s="107">
        <v>81.0</v>
      </c>
      <c r="G295" s="15" t="str">
        <f t="shared" si="1"/>
        <v>08081</v>
      </c>
      <c r="H295" s="23" t="s">
        <v>436</v>
      </c>
      <c r="I295" s="23" t="s">
        <v>36</v>
      </c>
      <c r="J295" s="23" t="s">
        <v>384</v>
      </c>
      <c r="K295" s="23" t="str">
        <f t="shared" si="7"/>
        <v>Moffat, CO</v>
      </c>
      <c r="L295" s="23">
        <v>2.0</v>
      </c>
      <c r="M295" s="23" t="s">
        <v>391</v>
      </c>
      <c r="N295" s="23">
        <v>0.0</v>
      </c>
      <c r="O295" s="23">
        <v>1.0</v>
      </c>
      <c r="P295" s="23" t="s">
        <v>63</v>
      </c>
      <c r="Q295" s="23">
        <v>13.0</v>
      </c>
      <c r="R295" s="23" t="s">
        <v>63</v>
      </c>
      <c r="S295" s="125" t="s">
        <v>63</v>
      </c>
      <c r="T295" s="32" t="s">
        <v>63</v>
      </c>
      <c r="U295" s="23">
        <v>18.0</v>
      </c>
      <c r="V295" s="125" t="s">
        <v>63</v>
      </c>
      <c r="W295" s="125" t="s">
        <v>63</v>
      </c>
      <c r="X295" s="125" t="s">
        <v>63</v>
      </c>
      <c r="Y295" s="35">
        <v>16.0</v>
      </c>
      <c r="Z295" s="32" t="s">
        <v>63</v>
      </c>
      <c r="AA295" s="38"/>
      <c r="AB295" s="38"/>
      <c r="AC295" s="38"/>
      <c r="AD295" s="38"/>
      <c r="AE295" s="38"/>
      <c r="AF295" s="38"/>
      <c r="AG295" s="38"/>
      <c r="AH295" s="38"/>
      <c r="AI295" s="38"/>
      <c r="AJ295" s="38"/>
      <c r="AK295" s="38"/>
    </row>
    <row r="296">
      <c r="A296" s="99">
        <v>295.0</v>
      </c>
      <c r="B296" s="15"/>
      <c r="C296" s="15"/>
      <c r="D296" s="105">
        <v>1.0</v>
      </c>
      <c r="E296" s="102">
        <v>8.0</v>
      </c>
      <c r="F296" s="107">
        <v>83.0</v>
      </c>
      <c r="G296" s="15" t="str">
        <f t="shared" si="1"/>
        <v>08083</v>
      </c>
      <c r="H296" s="23" t="s">
        <v>439</v>
      </c>
      <c r="I296" s="23" t="s">
        <v>36</v>
      </c>
      <c r="J296" s="23" t="s">
        <v>384</v>
      </c>
      <c r="K296" s="23" t="str">
        <f t="shared" si="7"/>
        <v>Montezuma, CO</v>
      </c>
      <c r="L296" s="23">
        <v>14.0</v>
      </c>
      <c r="M296" s="23" t="s">
        <v>391</v>
      </c>
      <c r="N296" s="23">
        <v>4.0</v>
      </c>
      <c r="O296" s="23">
        <v>9.0</v>
      </c>
      <c r="P296" s="23" t="s">
        <v>63</v>
      </c>
      <c r="Q296" s="23">
        <v>19.0</v>
      </c>
      <c r="R296" s="23" t="s">
        <v>63</v>
      </c>
      <c r="S296" s="125" t="s">
        <v>63</v>
      </c>
      <c r="T296" s="32" t="s">
        <v>63</v>
      </c>
      <c r="U296" s="23">
        <v>33.0</v>
      </c>
      <c r="V296" s="125" t="s">
        <v>63</v>
      </c>
      <c r="W296" s="125" t="s">
        <v>63</v>
      </c>
      <c r="X296" s="125" t="s">
        <v>63</v>
      </c>
      <c r="Y296" s="35">
        <v>31.0</v>
      </c>
      <c r="Z296" s="32" t="s">
        <v>63</v>
      </c>
      <c r="AA296" s="38"/>
      <c r="AB296" s="38"/>
      <c r="AC296" s="38"/>
      <c r="AD296" s="38"/>
      <c r="AE296" s="38"/>
      <c r="AF296" s="38"/>
      <c r="AG296" s="38"/>
      <c r="AH296" s="38"/>
      <c r="AI296" s="38"/>
      <c r="AJ296" s="38"/>
      <c r="AK296" s="38"/>
    </row>
    <row r="297">
      <c r="A297" s="99">
        <v>296.0</v>
      </c>
      <c r="B297" s="15"/>
      <c r="C297" s="15"/>
      <c r="D297" s="105">
        <v>1.0</v>
      </c>
      <c r="E297" s="102">
        <v>8.0</v>
      </c>
      <c r="F297" s="107">
        <v>85.0</v>
      </c>
      <c r="G297" s="15" t="str">
        <f t="shared" si="1"/>
        <v>08085</v>
      </c>
      <c r="H297" s="23" t="s">
        <v>440</v>
      </c>
      <c r="I297" s="23" t="s">
        <v>36</v>
      </c>
      <c r="J297" s="23" t="s">
        <v>384</v>
      </c>
      <c r="K297" s="23" t="str">
        <f t="shared" si="7"/>
        <v>Montrose, CO</v>
      </c>
      <c r="L297" s="23">
        <v>65.0</v>
      </c>
      <c r="M297" s="23">
        <v>4.0</v>
      </c>
      <c r="N297" s="23">
        <v>48.0</v>
      </c>
      <c r="O297" s="23">
        <v>12.0</v>
      </c>
      <c r="P297" s="23" t="s">
        <v>63</v>
      </c>
      <c r="Q297" s="23">
        <v>89.0</v>
      </c>
      <c r="R297" s="23" t="s">
        <v>63</v>
      </c>
      <c r="S297" s="125" t="s">
        <v>63</v>
      </c>
      <c r="T297" s="32">
        <v>0.678</v>
      </c>
      <c r="U297" s="23">
        <v>73.0</v>
      </c>
      <c r="V297" s="125" t="s">
        <v>63</v>
      </c>
      <c r="W297" s="125" t="s">
        <v>63</v>
      </c>
      <c r="X297" s="125" t="s">
        <v>63</v>
      </c>
      <c r="Y297" s="35">
        <v>42.0</v>
      </c>
      <c r="Z297" s="32" t="s">
        <v>63</v>
      </c>
      <c r="AA297" s="38"/>
      <c r="AB297" s="38"/>
      <c r="AC297" s="38"/>
      <c r="AD297" s="38"/>
      <c r="AE297" s="38"/>
      <c r="AF297" s="38"/>
      <c r="AG297" s="38"/>
      <c r="AH297" s="38"/>
      <c r="AI297" s="38"/>
      <c r="AJ297" s="38"/>
      <c r="AK297" s="38"/>
    </row>
    <row r="298">
      <c r="A298" s="99">
        <v>297.0</v>
      </c>
      <c r="B298" s="15"/>
      <c r="C298" s="15"/>
      <c r="D298" s="105">
        <v>1.0</v>
      </c>
      <c r="E298" s="102">
        <v>8.0</v>
      </c>
      <c r="F298" s="107">
        <v>87.0</v>
      </c>
      <c r="G298" s="15" t="str">
        <f t="shared" si="1"/>
        <v>08087</v>
      </c>
      <c r="H298" s="23" t="s">
        <v>158</v>
      </c>
      <c r="I298" s="23" t="s">
        <v>36</v>
      </c>
      <c r="J298" s="23" t="s">
        <v>384</v>
      </c>
      <c r="K298" s="23" t="str">
        <f t="shared" si="7"/>
        <v>Morgan, CO</v>
      </c>
      <c r="L298" s="23">
        <v>26.0</v>
      </c>
      <c r="M298" s="23" t="s">
        <v>391</v>
      </c>
      <c r="N298" s="23">
        <v>4.0</v>
      </c>
      <c r="O298" s="23">
        <v>20.0</v>
      </c>
      <c r="P298" s="23" t="s">
        <v>63</v>
      </c>
      <c r="Q298" s="23">
        <v>28.0</v>
      </c>
      <c r="R298" s="23" t="s">
        <v>63</v>
      </c>
      <c r="S298" s="125" t="s">
        <v>63</v>
      </c>
      <c r="T298" s="32">
        <v>0.808</v>
      </c>
      <c r="U298" s="23">
        <v>69.0</v>
      </c>
      <c r="V298" s="125" t="s">
        <v>63</v>
      </c>
      <c r="W298" s="125" t="s">
        <v>63</v>
      </c>
      <c r="X298" s="125" t="s">
        <v>63</v>
      </c>
      <c r="Y298" s="35">
        <v>37.0</v>
      </c>
      <c r="Z298" s="32" t="s">
        <v>63</v>
      </c>
      <c r="AA298" s="38"/>
      <c r="AB298" s="38"/>
      <c r="AC298" s="38"/>
      <c r="AD298" s="38"/>
      <c r="AE298" s="38"/>
      <c r="AF298" s="38"/>
      <c r="AG298" s="38"/>
      <c r="AH298" s="38"/>
      <c r="AI298" s="38"/>
      <c r="AJ298" s="38"/>
      <c r="AK298" s="38"/>
    </row>
    <row r="299">
      <c r="A299" s="99">
        <v>298.0</v>
      </c>
      <c r="B299" s="15"/>
      <c r="C299" s="15"/>
      <c r="D299" s="105">
        <v>1.0</v>
      </c>
      <c r="E299" s="102">
        <v>8.0</v>
      </c>
      <c r="F299" s="107">
        <v>89.0</v>
      </c>
      <c r="G299" s="15" t="str">
        <f t="shared" si="1"/>
        <v>08089</v>
      </c>
      <c r="H299" s="23" t="s">
        <v>441</v>
      </c>
      <c r="I299" s="23" t="s">
        <v>36</v>
      </c>
      <c r="J299" s="23" t="s">
        <v>384</v>
      </c>
      <c r="K299" s="23" t="str">
        <f t="shared" si="7"/>
        <v>Otero, CO</v>
      </c>
      <c r="L299" s="23">
        <v>17.0</v>
      </c>
      <c r="M299" s="23" t="s">
        <v>391</v>
      </c>
      <c r="N299" s="23">
        <v>10.0</v>
      </c>
      <c r="O299" s="23">
        <v>5.0</v>
      </c>
      <c r="P299" s="23" t="s">
        <v>63</v>
      </c>
      <c r="Q299" s="23">
        <v>15.0</v>
      </c>
      <c r="R299" s="23" t="s">
        <v>63</v>
      </c>
      <c r="S299" s="125" t="s">
        <v>63</v>
      </c>
      <c r="T299" s="32">
        <v>0.6</v>
      </c>
      <c r="U299" s="23">
        <v>24.0</v>
      </c>
      <c r="V299" s="125" t="s">
        <v>63</v>
      </c>
      <c r="W299" s="125" t="s">
        <v>63</v>
      </c>
      <c r="X299" s="125" t="s">
        <v>63</v>
      </c>
      <c r="Y299" s="35">
        <v>33.0</v>
      </c>
      <c r="Z299" s="32" t="s">
        <v>63</v>
      </c>
      <c r="AA299" s="38"/>
      <c r="AB299" s="38"/>
      <c r="AC299" s="38"/>
      <c r="AD299" s="38"/>
      <c r="AE299" s="38"/>
      <c r="AF299" s="38"/>
      <c r="AG299" s="38"/>
      <c r="AH299" s="38"/>
      <c r="AI299" s="38"/>
      <c r="AJ299" s="38"/>
      <c r="AK299" s="38"/>
    </row>
    <row r="300">
      <c r="A300" s="99">
        <v>299.0</v>
      </c>
      <c r="B300" s="15"/>
      <c r="C300" s="15"/>
      <c r="D300" s="105">
        <v>1.0</v>
      </c>
      <c r="E300" s="102">
        <v>8.0</v>
      </c>
      <c r="F300" s="107">
        <v>91.0</v>
      </c>
      <c r="G300" s="15" t="str">
        <f t="shared" si="1"/>
        <v>08091</v>
      </c>
      <c r="H300" s="23" t="s">
        <v>444</v>
      </c>
      <c r="I300" s="23" t="s">
        <v>36</v>
      </c>
      <c r="J300" s="23" t="s">
        <v>384</v>
      </c>
      <c r="K300" s="23" t="str">
        <f t="shared" si="7"/>
        <v>Ouray, CO</v>
      </c>
      <c r="L300" s="23" t="s">
        <v>63</v>
      </c>
      <c r="M300" s="23" t="s">
        <v>391</v>
      </c>
      <c r="N300" s="23" t="s">
        <v>63</v>
      </c>
      <c r="O300" s="23" t="s">
        <v>63</v>
      </c>
      <c r="P300" s="23" t="s">
        <v>63</v>
      </c>
      <c r="Q300" s="23" t="s">
        <v>63</v>
      </c>
      <c r="R300" s="23" t="s">
        <v>63</v>
      </c>
      <c r="S300" s="125" t="s">
        <v>63</v>
      </c>
      <c r="T300" s="32" t="s">
        <v>63</v>
      </c>
      <c r="U300" s="23" t="s">
        <v>63</v>
      </c>
      <c r="V300" s="125" t="s">
        <v>63</v>
      </c>
      <c r="W300" s="125" t="s">
        <v>63</v>
      </c>
      <c r="X300" s="125" t="s">
        <v>63</v>
      </c>
      <c r="Y300" s="35">
        <v>6.0</v>
      </c>
      <c r="Z300" s="32" t="s">
        <v>63</v>
      </c>
      <c r="AA300" s="38"/>
      <c r="AB300" s="38"/>
      <c r="AC300" s="38"/>
      <c r="AD300" s="38"/>
      <c r="AE300" s="38"/>
      <c r="AF300" s="38"/>
      <c r="AG300" s="38"/>
      <c r="AH300" s="38"/>
      <c r="AI300" s="38"/>
      <c r="AJ300" s="38"/>
      <c r="AK300" s="38"/>
    </row>
    <row r="301">
      <c r="A301" s="99">
        <v>300.0</v>
      </c>
      <c r="B301" s="15"/>
      <c r="C301" s="15"/>
      <c r="D301" s="105">
        <v>1.0</v>
      </c>
      <c r="E301" s="102">
        <v>8.0</v>
      </c>
      <c r="F301" s="107">
        <v>93.0</v>
      </c>
      <c r="G301" s="15" t="str">
        <f t="shared" si="1"/>
        <v>08093</v>
      </c>
      <c r="H301" s="23" t="s">
        <v>445</v>
      </c>
      <c r="I301" s="23" t="s">
        <v>36</v>
      </c>
      <c r="J301" s="23" t="s">
        <v>384</v>
      </c>
      <c r="K301" s="23" t="str">
        <f t="shared" si="7"/>
        <v>Park, CO</v>
      </c>
      <c r="L301" s="23">
        <v>14.0</v>
      </c>
      <c r="M301" s="23" t="s">
        <v>391</v>
      </c>
      <c r="N301" s="23">
        <v>4.0</v>
      </c>
      <c r="O301" s="23">
        <v>10.0</v>
      </c>
      <c r="P301" s="23" t="s">
        <v>63</v>
      </c>
      <c r="Q301" s="23">
        <v>14.0</v>
      </c>
      <c r="R301" s="23" t="s">
        <v>63</v>
      </c>
      <c r="S301" s="125" t="s">
        <v>63</v>
      </c>
      <c r="T301" s="32" t="s">
        <v>63</v>
      </c>
      <c r="U301" s="23">
        <v>17.0</v>
      </c>
      <c r="V301" s="125" t="s">
        <v>63</v>
      </c>
      <c r="W301" s="125" t="s">
        <v>63</v>
      </c>
      <c r="X301" s="125" t="s">
        <v>63</v>
      </c>
      <c r="Y301" s="35">
        <v>14.0</v>
      </c>
      <c r="Z301" s="32" t="s">
        <v>63</v>
      </c>
      <c r="AA301" s="38"/>
      <c r="AB301" s="38"/>
      <c r="AC301" s="38"/>
      <c r="AD301" s="38"/>
      <c r="AE301" s="38"/>
      <c r="AF301" s="38"/>
      <c r="AG301" s="38"/>
      <c r="AH301" s="38"/>
      <c r="AI301" s="38"/>
      <c r="AJ301" s="38"/>
      <c r="AK301" s="38"/>
    </row>
    <row r="302">
      <c r="A302" s="99">
        <v>301.0</v>
      </c>
      <c r="B302" s="15"/>
      <c r="C302" s="15"/>
      <c r="D302" s="105">
        <v>1.0</v>
      </c>
      <c r="E302" s="102">
        <v>8.0</v>
      </c>
      <c r="F302" s="107">
        <v>95.0</v>
      </c>
      <c r="G302" s="15" t="str">
        <f t="shared" si="1"/>
        <v>08095</v>
      </c>
      <c r="H302" s="23" t="s">
        <v>300</v>
      </c>
      <c r="I302" s="23" t="s">
        <v>36</v>
      </c>
      <c r="J302" s="23" t="s">
        <v>384</v>
      </c>
      <c r="K302" s="23" t="str">
        <f t="shared" si="7"/>
        <v>Phillips, CO</v>
      </c>
      <c r="L302" s="23" t="s">
        <v>63</v>
      </c>
      <c r="M302" s="23" t="s">
        <v>391</v>
      </c>
      <c r="N302" s="23" t="s">
        <v>63</v>
      </c>
      <c r="O302" s="23" t="s">
        <v>63</v>
      </c>
      <c r="P302" s="23" t="s">
        <v>63</v>
      </c>
      <c r="Q302" s="23" t="s">
        <v>63</v>
      </c>
      <c r="R302" s="23" t="s">
        <v>63</v>
      </c>
      <c r="S302" s="125" t="s">
        <v>63</v>
      </c>
      <c r="T302" s="32" t="s">
        <v>63</v>
      </c>
      <c r="U302" s="23" t="s">
        <v>63</v>
      </c>
      <c r="V302" s="125" t="s">
        <v>63</v>
      </c>
      <c r="W302" s="125" t="s">
        <v>63</v>
      </c>
      <c r="X302" s="125" t="s">
        <v>63</v>
      </c>
      <c r="Y302" s="35">
        <v>12.0</v>
      </c>
      <c r="Z302" s="32" t="s">
        <v>63</v>
      </c>
      <c r="AA302" s="38"/>
      <c r="AB302" s="38"/>
      <c r="AC302" s="38"/>
      <c r="AD302" s="38"/>
      <c r="AE302" s="38"/>
      <c r="AF302" s="38"/>
      <c r="AG302" s="38"/>
      <c r="AH302" s="38"/>
      <c r="AI302" s="38"/>
      <c r="AJ302" s="38"/>
      <c r="AK302" s="38"/>
    </row>
    <row r="303">
      <c r="A303" s="99">
        <v>302.0</v>
      </c>
      <c r="B303" s="15"/>
      <c r="C303" s="15"/>
      <c r="D303" s="105">
        <v>1.0</v>
      </c>
      <c r="E303" s="102">
        <v>8.0</v>
      </c>
      <c r="F303" s="107">
        <v>97.0</v>
      </c>
      <c r="G303" s="15" t="str">
        <f t="shared" si="1"/>
        <v>08097</v>
      </c>
      <c r="H303" s="23" t="s">
        <v>446</v>
      </c>
      <c r="I303" s="23" t="s">
        <v>36</v>
      </c>
      <c r="J303" s="23" t="s">
        <v>384</v>
      </c>
      <c r="K303" s="23" t="str">
        <f t="shared" si="7"/>
        <v>Pitkin, CO</v>
      </c>
      <c r="L303" s="23">
        <v>1.0</v>
      </c>
      <c r="M303" s="23" t="s">
        <v>391</v>
      </c>
      <c r="N303" s="23">
        <v>0.0</v>
      </c>
      <c r="O303" s="23">
        <v>1.0</v>
      </c>
      <c r="P303" s="23" t="s">
        <v>63</v>
      </c>
      <c r="Q303" s="23" t="s">
        <v>63</v>
      </c>
      <c r="R303" s="23" t="s">
        <v>63</v>
      </c>
      <c r="S303" s="125" t="s">
        <v>63</v>
      </c>
      <c r="T303" s="32" t="s">
        <v>63</v>
      </c>
      <c r="U303" s="23" t="s">
        <v>63</v>
      </c>
      <c r="V303" s="125" t="s">
        <v>63</v>
      </c>
      <c r="W303" s="125" t="s">
        <v>63</v>
      </c>
      <c r="X303" s="125" t="s">
        <v>63</v>
      </c>
      <c r="Y303" s="35">
        <v>13.0</v>
      </c>
      <c r="Z303" s="32" t="s">
        <v>63</v>
      </c>
      <c r="AA303" s="38"/>
      <c r="AB303" s="38"/>
      <c r="AC303" s="38"/>
      <c r="AD303" s="38"/>
      <c r="AE303" s="38"/>
      <c r="AF303" s="38"/>
      <c r="AG303" s="38"/>
      <c r="AH303" s="38"/>
      <c r="AI303" s="38"/>
      <c r="AJ303" s="38"/>
      <c r="AK303" s="38"/>
    </row>
    <row r="304">
      <c r="A304" s="99">
        <v>303.0</v>
      </c>
      <c r="B304" s="15"/>
      <c r="C304" s="15"/>
      <c r="D304" s="105">
        <v>1.0</v>
      </c>
      <c r="E304" s="102">
        <v>8.0</v>
      </c>
      <c r="F304" s="107">
        <v>99.0</v>
      </c>
      <c r="G304" s="15" t="str">
        <f t="shared" si="1"/>
        <v>08099</v>
      </c>
      <c r="H304" s="23" t="s">
        <v>449</v>
      </c>
      <c r="I304" s="23" t="s">
        <v>36</v>
      </c>
      <c r="J304" s="23" t="s">
        <v>384</v>
      </c>
      <c r="K304" s="23" t="str">
        <f t="shared" si="7"/>
        <v>Prowers, CO</v>
      </c>
      <c r="L304" s="23">
        <v>5.0</v>
      </c>
      <c r="M304" s="23" t="s">
        <v>391</v>
      </c>
      <c r="N304" s="23">
        <v>2.0</v>
      </c>
      <c r="O304" s="23">
        <v>1.0</v>
      </c>
      <c r="P304" s="23" t="s">
        <v>63</v>
      </c>
      <c r="Q304" s="23" t="s">
        <v>63</v>
      </c>
      <c r="R304" s="23" t="s">
        <v>63</v>
      </c>
      <c r="S304" s="125" t="s">
        <v>63</v>
      </c>
      <c r="T304" s="32" t="s">
        <v>63</v>
      </c>
      <c r="U304" s="23">
        <v>14.0</v>
      </c>
      <c r="V304" s="125" t="s">
        <v>63</v>
      </c>
      <c r="W304" s="125" t="s">
        <v>63</v>
      </c>
      <c r="X304" s="125" t="s">
        <v>63</v>
      </c>
      <c r="Y304" s="35">
        <v>26.0</v>
      </c>
      <c r="Z304" s="32" t="s">
        <v>63</v>
      </c>
      <c r="AA304" s="38"/>
      <c r="AB304" s="38"/>
      <c r="AC304" s="38"/>
      <c r="AD304" s="38"/>
      <c r="AE304" s="38"/>
      <c r="AF304" s="38"/>
      <c r="AG304" s="38"/>
      <c r="AH304" s="38"/>
      <c r="AI304" s="38"/>
      <c r="AJ304" s="38"/>
      <c r="AK304" s="38"/>
    </row>
    <row r="305">
      <c r="A305" s="99">
        <v>304.0</v>
      </c>
      <c r="B305" s="15"/>
      <c r="C305" s="15"/>
      <c r="D305" s="105">
        <v>1.0</v>
      </c>
      <c r="E305" s="102">
        <v>8.0</v>
      </c>
      <c r="F305" s="107">
        <v>101.0</v>
      </c>
      <c r="G305" s="15" t="str">
        <f t="shared" si="1"/>
        <v>08101</v>
      </c>
      <c r="H305" s="23" t="s">
        <v>450</v>
      </c>
      <c r="I305" s="23" t="s">
        <v>36</v>
      </c>
      <c r="J305" s="23" t="s">
        <v>384</v>
      </c>
      <c r="K305" s="23" t="str">
        <f t="shared" si="7"/>
        <v>Pueblo, CO</v>
      </c>
      <c r="L305" s="23">
        <v>162.0</v>
      </c>
      <c r="M305" s="23">
        <v>4.0</v>
      </c>
      <c r="N305" s="23">
        <v>59.0</v>
      </c>
      <c r="O305" s="23">
        <v>63.0</v>
      </c>
      <c r="P305" s="23" t="s">
        <v>63</v>
      </c>
      <c r="Q305" s="23">
        <v>120.0</v>
      </c>
      <c r="R305" s="23">
        <v>18.0</v>
      </c>
      <c r="S305" s="125" t="s">
        <v>63</v>
      </c>
      <c r="T305" s="32">
        <v>0.75</v>
      </c>
      <c r="U305" s="23">
        <v>363.0</v>
      </c>
      <c r="V305" s="125" t="s">
        <v>63</v>
      </c>
      <c r="W305" s="125" t="s">
        <v>63</v>
      </c>
      <c r="X305" s="125" t="s">
        <v>63</v>
      </c>
      <c r="Y305" s="35">
        <v>105.0</v>
      </c>
      <c r="Z305" s="32" t="s">
        <v>63</v>
      </c>
      <c r="AA305" s="38"/>
      <c r="AB305" s="38"/>
      <c r="AC305" s="38"/>
      <c r="AD305" s="38"/>
      <c r="AE305" s="38"/>
      <c r="AF305" s="38"/>
      <c r="AG305" s="38"/>
      <c r="AH305" s="38"/>
      <c r="AI305" s="38"/>
      <c r="AJ305" s="38"/>
      <c r="AK305" s="38"/>
    </row>
    <row r="306">
      <c r="A306" s="99">
        <v>305.0</v>
      </c>
      <c r="B306" s="15"/>
      <c r="C306" s="15"/>
      <c r="D306" s="105">
        <v>1.0</v>
      </c>
      <c r="E306" s="102">
        <v>8.0</v>
      </c>
      <c r="F306" s="107">
        <v>103.0</v>
      </c>
      <c r="G306" s="15" t="str">
        <f t="shared" si="1"/>
        <v>08103</v>
      </c>
      <c r="H306" s="23" t="s">
        <v>451</v>
      </c>
      <c r="I306" s="23" t="s">
        <v>36</v>
      </c>
      <c r="J306" s="23" t="s">
        <v>384</v>
      </c>
      <c r="K306" s="23" t="str">
        <f t="shared" si="7"/>
        <v>Rio Blanco, CO</v>
      </c>
      <c r="L306" s="23">
        <v>13.0</v>
      </c>
      <c r="M306" s="23" t="s">
        <v>391</v>
      </c>
      <c r="N306" s="23">
        <v>5.0</v>
      </c>
      <c r="O306" s="23">
        <v>6.0</v>
      </c>
      <c r="P306" s="23" t="s">
        <v>63</v>
      </c>
      <c r="Q306" s="23" t="s">
        <v>63</v>
      </c>
      <c r="R306" s="23" t="s">
        <v>63</v>
      </c>
      <c r="S306" s="125" t="s">
        <v>63</v>
      </c>
      <c r="T306" s="32" t="s">
        <v>63</v>
      </c>
      <c r="U306" s="23" t="s">
        <v>63</v>
      </c>
      <c r="V306" s="125" t="s">
        <v>63</v>
      </c>
      <c r="W306" s="125" t="s">
        <v>63</v>
      </c>
      <c r="X306" s="125" t="s">
        <v>63</v>
      </c>
      <c r="Y306" s="35">
        <v>12.0</v>
      </c>
      <c r="Z306" s="32" t="s">
        <v>63</v>
      </c>
      <c r="AA306" s="38"/>
      <c r="AB306" s="38"/>
      <c r="AC306" s="38"/>
      <c r="AD306" s="38"/>
      <c r="AE306" s="38"/>
      <c r="AF306" s="38"/>
      <c r="AG306" s="38"/>
      <c r="AH306" s="38"/>
      <c r="AI306" s="38"/>
      <c r="AJ306" s="38"/>
      <c r="AK306" s="38"/>
    </row>
    <row r="307">
      <c r="A307" s="99">
        <v>306.0</v>
      </c>
      <c r="B307" s="15"/>
      <c r="C307" s="15"/>
      <c r="D307" s="105">
        <v>1.0</v>
      </c>
      <c r="E307" s="102">
        <v>8.0</v>
      </c>
      <c r="F307" s="107">
        <v>105.0</v>
      </c>
      <c r="G307" s="15" t="str">
        <f t="shared" si="1"/>
        <v>08105</v>
      </c>
      <c r="H307" s="23" t="s">
        <v>453</v>
      </c>
      <c r="I307" s="23" t="s">
        <v>36</v>
      </c>
      <c r="J307" s="23" t="s">
        <v>384</v>
      </c>
      <c r="K307" s="23" t="str">
        <f t="shared" si="7"/>
        <v>Rio Grande, CO</v>
      </c>
      <c r="L307" s="23">
        <v>12.0</v>
      </c>
      <c r="M307" s="23" t="s">
        <v>391</v>
      </c>
      <c r="N307" s="23">
        <v>5.0</v>
      </c>
      <c r="O307" s="23">
        <v>4.0</v>
      </c>
      <c r="P307" s="23" t="s">
        <v>63</v>
      </c>
      <c r="Q307" s="23">
        <v>13.0</v>
      </c>
      <c r="R307" s="23" t="s">
        <v>63</v>
      </c>
      <c r="S307" s="125" t="s">
        <v>63</v>
      </c>
      <c r="T307" s="32" t="s">
        <v>63</v>
      </c>
      <c r="U307" s="23">
        <v>25.0</v>
      </c>
      <c r="V307" s="125" t="s">
        <v>63</v>
      </c>
      <c r="W307" s="125" t="s">
        <v>63</v>
      </c>
      <c r="X307" s="125" t="s">
        <v>63</v>
      </c>
      <c r="Y307" s="35">
        <v>26.0</v>
      </c>
      <c r="Z307" s="32" t="s">
        <v>63</v>
      </c>
      <c r="AA307" s="38"/>
      <c r="AB307" s="38"/>
      <c r="AC307" s="38"/>
      <c r="AD307" s="38"/>
      <c r="AE307" s="38"/>
      <c r="AF307" s="38"/>
      <c r="AG307" s="38"/>
      <c r="AH307" s="38"/>
      <c r="AI307" s="38"/>
      <c r="AJ307" s="38"/>
      <c r="AK307" s="38"/>
    </row>
    <row r="308">
      <c r="A308" s="99">
        <v>307.0</v>
      </c>
      <c r="B308" s="15"/>
      <c r="C308" s="15"/>
      <c r="D308" s="105">
        <v>1.0</v>
      </c>
      <c r="E308" s="102">
        <v>8.0</v>
      </c>
      <c r="F308" s="107">
        <v>107.0</v>
      </c>
      <c r="G308" s="15" t="str">
        <f t="shared" si="1"/>
        <v>08107</v>
      </c>
      <c r="H308" s="23" t="s">
        <v>454</v>
      </c>
      <c r="I308" s="23" t="s">
        <v>36</v>
      </c>
      <c r="J308" s="23" t="s">
        <v>384</v>
      </c>
      <c r="K308" s="23" t="str">
        <f t="shared" si="7"/>
        <v>Routt, CO</v>
      </c>
      <c r="L308" s="23">
        <v>6.0</v>
      </c>
      <c r="M308" s="23" t="s">
        <v>391</v>
      </c>
      <c r="N308" s="23">
        <v>5.0</v>
      </c>
      <c r="O308" s="23">
        <v>1.0</v>
      </c>
      <c r="P308" s="23" t="s">
        <v>63</v>
      </c>
      <c r="Q308" s="23" t="s">
        <v>63</v>
      </c>
      <c r="R308" s="23" t="s">
        <v>63</v>
      </c>
      <c r="S308" s="125" t="s">
        <v>63</v>
      </c>
      <c r="T308" s="32" t="s">
        <v>63</v>
      </c>
      <c r="U308" s="23">
        <v>13.0</v>
      </c>
      <c r="V308" s="125" t="s">
        <v>63</v>
      </c>
      <c r="W308" s="125" t="s">
        <v>63</v>
      </c>
      <c r="X308" s="125" t="s">
        <v>63</v>
      </c>
      <c r="Y308" s="35">
        <v>14.0</v>
      </c>
      <c r="Z308" s="32" t="s">
        <v>63</v>
      </c>
      <c r="AA308" s="38"/>
      <c r="AB308" s="38"/>
      <c r="AC308" s="38"/>
      <c r="AD308" s="38"/>
      <c r="AE308" s="38"/>
      <c r="AF308" s="38"/>
      <c r="AG308" s="38"/>
      <c r="AH308" s="38"/>
      <c r="AI308" s="38"/>
      <c r="AJ308" s="38"/>
      <c r="AK308" s="38"/>
    </row>
    <row r="309">
      <c r="A309" s="99">
        <v>308.0</v>
      </c>
      <c r="B309" s="15"/>
      <c r="C309" s="15"/>
      <c r="D309" s="105">
        <v>1.0</v>
      </c>
      <c r="E309" s="102">
        <v>8.0</v>
      </c>
      <c r="F309" s="107">
        <v>109.0</v>
      </c>
      <c r="G309" s="15" t="str">
        <f t="shared" si="1"/>
        <v>08109</v>
      </c>
      <c r="H309" s="23" t="s">
        <v>455</v>
      </c>
      <c r="I309" s="23" t="s">
        <v>36</v>
      </c>
      <c r="J309" s="23" t="s">
        <v>384</v>
      </c>
      <c r="K309" s="23" t="str">
        <f t="shared" si="7"/>
        <v>Saguache, CO</v>
      </c>
      <c r="L309" s="23">
        <v>10.0</v>
      </c>
      <c r="M309" s="23" t="s">
        <v>391</v>
      </c>
      <c r="N309" s="23">
        <v>1.0</v>
      </c>
      <c r="O309" s="23">
        <v>5.0</v>
      </c>
      <c r="P309" s="23" t="s">
        <v>63</v>
      </c>
      <c r="Q309" s="23" t="s">
        <v>63</v>
      </c>
      <c r="R309" s="23" t="s">
        <v>63</v>
      </c>
      <c r="S309" s="125" t="s">
        <v>63</v>
      </c>
      <c r="T309" s="32" t="s">
        <v>63</v>
      </c>
      <c r="U309" s="23">
        <v>14.0</v>
      </c>
      <c r="V309" s="125" t="s">
        <v>63</v>
      </c>
      <c r="W309" s="125" t="s">
        <v>63</v>
      </c>
      <c r="X309" s="125" t="s">
        <v>63</v>
      </c>
      <c r="Y309" s="35">
        <v>3.0</v>
      </c>
      <c r="Z309" s="32" t="s">
        <v>63</v>
      </c>
      <c r="AA309" s="38"/>
      <c r="AB309" s="38"/>
      <c r="AC309" s="38"/>
      <c r="AD309" s="38"/>
      <c r="AE309" s="38"/>
      <c r="AF309" s="38"/>
      <c r="AG309" s="38"/>
      <c r="AH309" s="38"/>
      <c r="AI309" s="38"/>
      <c r="AJ309" s="38"/>
      <c r="AK309" s="38"/>
    </row>
    <row r="310">
      <c r="A310" s="99">
        <v>309.0</v>
      </c>
      <c r="B310" s="15"/>
      <c r="C310" s="15"/>
      <c r="D310" s="105">
        <v>1.0</v>
      </c>
      <c r="E310" s="102">
        <v>8.0</v>
      </c>
      <c r="F310" s="107">
        <v>111.0</v>
      </c>
      <c r="G310" s="15" t="str">
        <f t="shared" si="1"/>
        <v>08111</v>
      </c>
      <c r="H310" s="23" t="s">
        <v>457</v>
      </c>
      <c r="I310" s="23" t="s">
        <v>36</v>
      </c>
      <c r="J310" s="23" t="s">
        <v>384</v>
      </c>
      <c r="K310" s="23" t="str">
        <f t="shared" si="7"/>
        <v>San Juan, CO</v>
      </c>
      <c r="L310" s="23" t="s">
        <v>63</v>
      </c>
      <c r="M310" s="23" t="s">
        <v>391</v>
      </c>
      <c r="N310" s="23" t="s">
        <v>63</v>
      </c>
      <c r="O310" s="23" t="s">
        <v>63</v>
      </c>
      <c r="P310" s="23" t="s">
        <v>63</v>
      </c>
      <c r="Q310" s="23" t="s">
        <v>63</v>
      </c>
      <c r="R310" s="23" t="s">
        <v>63</v>
      </c>
      <c r="S310" s="125" t="s">
        <v>63</v>
      </c>
      <c r="T310" s="32" t="s">
        <v>63</v>
      </c>
      <c r="U310" s="23" t="s">
        <v>63</v>
      </c>
      <c r="V310" s="125" t="s">
        <v>63</v>
      </c>
      <c r="W310" s="125" t="s">
        <v>63</v>
      </c>
      <c r="X310" s="125" t="s">
        <v>63</v>
      </c>
      <c r="Y310" s="35">
        <v>3.0</v>
      </c>
      <c r="Z310" s="32" t="s">
        <v>63</v>
      </c>
      <c r="AA310" s="38"/>
      <c r="AB310" s="38"/>
      <c r="AC310" s="38"/>
      <c r="AD310" s="38"/>
      <c r="AE310" s="38"/>
      <c r="AF310" s="38"/>
      <c r="AG310" s="38"/>
      <c r="AH310" s="38"/>
      <c r="AI310" s="38"/>
      <c r="AJ310" s="38"/>
      <c r="AK310" s="38"/>
    </row>
    <row r="311">
      <c r="A311" s="99">
        <v>310.0</v>
      </c>
      <c r="B311" s="15"/>
      <c r="C311" s="15"/>
      <c r="D311" s="105">
        <v>1.0</v>
      </c>
      <c r="E311" s="102">
        <v>8.0</v>
      </c>
      <c r="F311" s="107">
        <v>113.0</v>
      </c>
      <c r="G311" s="15" t="str">
        <f t="shared" si="1"/>
        <v>08113</v>
      </c>
      <c r="H311" s="23" t="s">
        <v>458</v>
      </c>
      <c r="I311" s="23" t="s">
        <v>36</v>
      </c>
      <c r="J311" s="23" t="s">
        <v>384</v>
      </c>
      <c r="K311" s="23" t="str">
        <f t="shared" si="7"/>
        <v>San Miguel, CO</v>
      </c>
      <c r="L311" s="23">
        <v>3.0</v>
      </c>
      <c r="M311" s="23" t="s">
        <v>391</v>
      </c>
      <c r="N311" s="23">
        <v>1.0</v>
      </c>
      <c r="O311" s="23">
        <v>2.0</v>
      </c>
      <c r="P311" s="23" t="s">
        <v>63</v>
      </c>
      <c r="Q311" s="23" t="s">
        <v>63</v>
      </c>
      <c r="R311" s="23" t="s">
        <v>63</v>
      </c>
      <c r="S311" s="125" t="s">
        <v>63</v>
      </c>
      <c r="T311" s="32" t="s">
        <v>63</v>
      </c>
      <c r="U311" s="23" t="s">
        <v>63</v>
      </c>
      <c r="V311" s="125" t="s">
        <v>63</v>
      </c>
      <c r="W311" s="125" t="s">
        <v>63</v>
      </c>
      <c r="X311" s="125" t="s">
        <v>63</v>
      </c>
      <c r="Y311" s="35">
        <v>7.0</v>
      </c>
      <c r="Z311" s="32" t="s">
        <v>63</v>
      </c>
      <c r="AA311" s="38"/>
      <c r="AB311" s="38"/>
      <c r="AC311" s="38"/>
      <c r="AD311" s="38"/>
      <c r="AE311" s="38"/>
      <c r="AF311" s="38"/>
      <c r="AG311" s="38"/>
      <c r="AH311" s="38"/>
      <c r="AI311" s="38"/>
      <c r="AJ311" s="38"/>
      <c r="AK311" s="38"/>
    </row>
    <row r="312">
      <c r="A312" s="99">
        <v>311.0</v>
      </c>
      <c r="B312" s="15"/>
      <c r="C312" s="15"/>
      <c r="D312" s="105">
        <v>1.0</v>
      </c>
      <c r="E312" s="102">
        <v>8.0</v>
      </c>
      <c r="F312" s="107">
        <v>115.0</v>
      </c>
      <c r="G312" s="15" t="str">
        <f t="shared" si="1"/>
        <v>08115</v>
      </c>
      <c r="H312" s="23" t="s">
        <v>459</v>
      </c>
      <c r="I312" s="23" t="s">
        <v>36</v>
      </c>
      <c r="J312" s="23" t="s">
        <v>384</v>
      </c>
      <c r="K312" s="23" t="str">
        <f t="shared" si="7"/>
        <v>Sedgwick, CO</v>
      </c>
      <c r="L312" s="23" t="s">
        <v>63</v>
      </c>
      <c r="M312" s="23" t="s">
        <v>391</v>
      </c>
      <c r="N312" s="23" t="s">
        <v>63</v>
      </c>
      <c r="O312" s="23" t="s">
        <v>63</v>
      </c>
      <c r="P312" s="23" t="s">
        <v>63</v>
      </c>
      <c r="Q312" s="23" t="s">
        <v>63</v>
      </c>
      <c r="R312" s="23" t="s">
        <v>63</v>
      </c>
      <c r="S312" s="125" t="s">
        <v>63</v>
      </c>
      <c r="T312" s="32" t="s">
        <v>63</v>
      </c>
      <c r="U312" s="23" t="s">
        <v>63</v>
      </c>
      <c r="V312" s="125" t="s">
        <v>63</v>
      </c>
      <c r="W312" s="125" t="s">
        <v>63</v>
      </c>
      <c r="X312" s="125" t="s">
        <v>63</v>
      </c>
      <c r="Y312" s="35">
        <v>6.0</v>
      </c>
      <c r="Z312" s="32" t="s">
        <v>63</v>
      </c>
      <c r="AA312" s="38"/>
      <c r="AB312" s="38"/>
      <c r="AC312" s="38"/>
      <c r="AD312" s="38"/>
      <c r="AE312" s="38"/>
      <c r="AF312" s="38"/>
      <c r="AG312" s="38"/>
      <c r="AH312" s="38"/>
      <c r="AI312" s="38"/>
      <c r="AJ312" s="38"/>
      <c r="AK312" s="38"/>
    </row>
    <row r="313">
      <c r="A313" s="99">
        <v>312.0</v>
      </c>
      <c r="B313" s="15"/>
      <c r="C313" s="15"/>
      <c r="D313" s="105">
        <v>1.0</v>
      </c>
      <c r="E313" s="102">
        <v>8.0</v>
      </c>
      <c r="F313" s="107">
        <v>117.0</v>
      </c>
      <c r="G313" s="15" t="str">
        <f t="shared" si="1"/>
        <v>08117</v>
      </c>
      <c r="H313" s="23" t="s">
        <v>461</v>
      </c>
      <c r="I313" s="23" t="s">
        <v>36</v>
      </c>
      <c r="J313" s="23" t="s">
        <v>384</v>
      </c>
      <c r="K313" s="23" t="str">
        <f t="shared" si="7"/>
        <v>Summit, CO</v>
      </c>
      <c r="L313" s="23">
        <v>6.0</v>
      </c>
      <c r="M313" s="23" t="s">
        <v>391</v>
      </c>
      <c r="N313" s="23">
        <v>0.0</v>
      </c>
      <c r="O313" s="23">
        <v>5.0</v>
      </c>
      <c r="P313" s="23" t="s">
        <v>63</v>
      </c>
      <c r="Q313" s="23" t="s">
        <v>63</v>
      </c>
      <c r="R313" s="23" t="s">
        <v>63</v>
      </c>
      <c r="S313" s="125" t="s">
        <v>63</v>
      </c>
      <c r="T313" s="32" t="s">
        <v>63</v>
      </c>
      <c r="U313" s="23" t="s">
        <v>63</v>
      </c>
      <c r="V313" s="125" t="s">
        <v>63</v>
      </c>
      <c r="W313" s="125" t="s">
        <v>63</v>
      </c>
      <c r="X313" s="125" t="s">
        <v>63</v>
      </c>
      <c r="Y313" s="35">
        <v>20.0</v>
      </c>
      <c r="Z313" s="32" t="s">
        <v>63</v>
      </c>
      <c r="AA313" s="38"/>
      <c r="AB313" s="38"/>
      <c r="AC313" s="38"/>
      <c r="AD313" s="38"/>
      <c r="AE313" s="38"/>
      <c r="AF313" s="38"/>
      <c r="AG313" s="38"/>
      <c r="AH313" s="38"/>
      <c r="AI313" s="38"/>
      <c r="AJ313" s="38"/>
      <c r="AK313" s="38"/>
    </row>
    <row r="314">
      <c r="A314" s="99">
        <v>313.0</v>
      </c>
      <c r="B314" s="15"/>
      <c r="C314" s="15"/>
      <c r="D314" s="105">
        <v>1.0</v>
      </c>
      <c r="E314" s="102">
        <v>8.0</v>
      </c>
      <c r="F314" s="107">
        <v>119.0</v>
      </c>
      <c r="G314" s="15" t="str">
        <f t="shared" si="1"/>
        <v>08119</v>
      </c>
      <c r="H314" s="23" t="s">
        <v>462</v>
      </c>
      <c r="I314" s="23" t="s">
        <v>36</v>
      </c>
      <c r="J314" s="23" t="s">
        <v>384</v>
      </c>
      <c r="K314" s="23" t="str">
        <f t="shared" si="7"/>
        <v>Teller, CO</v>
      </c>
      <c r="L314" s="23">
        <v>11.0</v>
      </c>
      <c r="M314" s="23" t="s">
        <v>391</v>
      </c>
      <c r="N314" s="23">
        <v>6.0</v>
      </c>
      <c r="O314" s="23">
        <v>3.0</v>
      </c>
      <c r="P314" s="23" t="s">
        <v>63</v>
      </c>
      <c r="Q314" s="23" t="s">
        <v>63</v>
      </c>
      <c r="R314" s="23" t="s">
        <v>63</v>
      </c>
      <c r="S314" s="125" t="s">
        <v>63</v>
      </c>
      <c r="T314" s="32" t="s">
        <v>63</v>
      </c>
      <c r="U314" s="23">
        <v>29.0</v>
      </c>
      <c r="V314" s="125" t="s">
        <v>63</v>
      </c>
      <c r="W314" s="125" t="s">
        <v>63</v>
      </c>
      <c r="X314" s="125" t="s">
        <v>63</v>
      </c>
      <c r="Y314" s="35">
        <v>21.0</v>
      </c>
      <c r="Z314" s="32" t="s">
        <v>63</v>
      </c>
      <c r="AA314" s="38"/>
      <c r="AB314" s="38"/>
      <c r="AC314" s="38"/>
      <c r="AD314" s="38"/>
      <c r="AE314" s="38"/>
      <c r="AF314" s="38"/>
      <c r="AG314" s="38"/>
      <c r="AH314" s="38"/>
      <c r="AI314" s="38"/>
      <c r="AJ314" s="38"/>
      <c r="AK314" s="38"/>
    </row>
    <row r="315">
      <c r="A315" s="99">
        <v>314.0</v>
      </c>
      <c r="B315" s="15"/>
      <c r="C315" s="15"/>
      <c r="D315" s="105">
        <v>1.0</v>
      </c>
      <c r="E315" s="102">
        <v>8.0</v>
      </c>
      <c r="F315" s="107">
        <v>121.0</v>
      </c>
      <c r="G315" s="15" t="str">
        <f t="shared" si="1"/>
        <v>08121</v>
      </c>
      <c r="H315" s="23" t="s">
        <v>119</v>
      </c>
      <c r="I315" s="23" t="s">
        <v>36</v>
      </c>
      <c r="J315" s="23" t="s">
        <v>384</v>
      </c>
      <c r="K315" s="23" t="str">
        <f t="shared" si="7"/>
        <v>Washington, CO</v>
      </c>
      <c r="L315" s="23">
        <v>3.0</v>
      </c>
      <c r="M315" s="23" t="s">
        <v>391</v>
      </c>
      <c r="N315" s="23">
        <v>0.0</v>
      </c>
      <c r="O315" s="23">
        <v>0.0</v>
      </c>
      <c r="P315" s="23" t="s">
        <v>63</v>
      </c>
      <c r="Q315" s="23" t="s">
        <v>63</v>
      </c>
      <c r="R315" s="23" t="s">
        <v>63</v>
      </c>
      <c r="S315" s="125" t="s">
        <v>63</v>
      </c>
      <c r="T315" s="32" t="s">
        <v>63</v>
      </c>
      <c r="U315" s="23">
        <v>15.0</v>
      </c>
      <c r="V315" s="125" t="s">
        <v>63</v>
      </c>
      <c r="W315" s="125" t="s">
        <v>63</v>
      </c>
      <c r="X315" s="125" t="s">
        <v>63</v>
      </c>
      <c r="Y315" s="35">
        <v>13.0</v>
      </c>
      <c r="Z315" s="32" t="s">
        <v>63</v>
      </c>
      <c r="AA315" s="38"/>
      <c r="AB315" s="38"/>
      <c r="AC315" s="38"/>
      <c r="AD315" s="38"/>
      <c r="AE315" s="38"/>
      <c r="AF315" s="38"/>
      <c r="AG315" s="38"/>
      <c r="AH315" s="38"/>
      <c r="AI315" s="38"/>
      <c r="AJ315" s="38"/>
      <c r="AK315" s="38"/>
    </row>
    <row r="316">
      <c r="A316" s="99">
        <v>315.0</v>
      </c>
      <c r="B316" s="15"/>
      <c r="C316" s="15"/>
      <c r="D316" s="105">
        <v>1.0</v>
      </c>
      <c r="E316" s="102">
        <v>8.0</v>
      </c>
      <c r="F316" s="107">
        <v>123.0</v>
      </c>
      <c r="G316" s="15" t="str">
        <f t="shared" si="1"/>
        <v>08123</v>
      </c>
      <c r="H316" s="23" t="s">
        <v>463</v>
      </c>
      <c r="I316" s="23" t="s">
        <v>36</v>
      </c>
      <c r="J316" s="23" t="s">
        <v>384</v>
      </c>
      <c r="K316" s="23" t="str">
        <f t="shared" si="7"/>
        <v>Weld, CO</v>
      </c>
      <c r="L316" s="23">
        <v>187.0</v>
      </c>
      <c r="M316" s="23">
        <v>3.0</v>
      </c>
      <c r="N316" s="23">
        <v>85.0</v>
      </c>
      <c r="O316" s="23">
        <v>75.0</v>
      </c>
      <c r="P316" s="23" t="s">
        <v>63</v>
      </c>
      <c r="Q316" s="23">
        <v>232.0</v>
      </c>
      <c r="R316" s="23">
        <v>26.0</v>
      </c>
      <c r="S316" s="125" t="s">
        <v>63</v>
      </c>
      <c r="T316" s="32">
        <v>0.745</v>
      </c>
      <c r="U316" s="23">
        <v>426.0</v>
      </c>
      <c r="V316" s="125" t="s">
        <v>63</v>
      </c>
      <c r="W316" s="125" t="s">
        <v>63</v>
      </c>
      <c r="X316" s="125" t="s">
        <v>63</v>
      </c>
      <c r="Y316" s="35">
        <v>151.0</v>
      </c>
      <c r="Z316" s="32" t="s">
        <v>63</v>
      </c>
      <c r="AA316" s="38"/>
      <c r="AB316" s="38"/>
      <c r="AC316" s="38"/>
      <c r="AD316" s="38"/>
      <c r="AE316" s="38"/>
      <c r="AF316" s="38"/>
      <c r="AG316" s="38"/>
      <c r="AH316" s="38"/>
      <c r="AI316" s="38"/>
      <c r="AJ316" s="38"/>
      <c r="AK316" s="38"/>
    </row>
    <row r="317">
      <c r="A317" s="99">
        <v>316.0</v>
      </c>
      <c r="B317" s="15"/>
      <c r="C317" s="15"/>
      <c r="D317" s="105">
        <v>1.0</v>
      </c>
      <c r="E317" s="102">
        <v>8.0</v>
      </c>
      <c r="F317" s="107">
        <v>125.0</v>
      </c>
      <c r="G317" s="15" t="str">
        <f t="shared" si="1"/>
        <v>08125</v>
      </c>
      <c r="H317" s="23" t="s">
        <v>236</v>
      </c>
      <c r="I317" s="23" t="s">
        <v>36</v>
      </c>
      <c r="J317" s="23" t="s">
        <v>384</v>
      </c>
      <c r="K317" s="23" t="str">
        <f t="shared" si="7"/>
        <v>Yuma, CO</v>
      </c>
      <c r="L317" s="23">
        <v>3.0</v>
      </c>
      <c r="M317" s="23" t="s">
        <v>391</v>
      </c>
      <c r="N317" s="23">
        <v>0.0</v>
      </c>
      <c r="O317" s="23">
        <v>3.0</v>
      </c>
      <c r="P317" s="23" t="s">
        <v>63</v>
      </c>
      <c r="Q317" s="23" t="s">
        <v>63</v>
      </c>
      <c r="R317" s="23" t="s">
        <v>63</v>
      </c>
      <c r="S317" s="125" t="s">
        <v>63</v>
      </c>
      <c r="T317" s="32" t="s">
        <v>63</v>
      </c>
      <c r="U317" s="23">
        <v>12.0</v>
      </c>
      <c r="V317" s="125" t="s">
        <v>63</v>
      </c>
      <c r="W317" s="125" t="s">
        <v>63</v>
      </c>
      <c r="X317" s="125" t="s">
        <v>63</v>
      </c>
      <c r="Y317" s="35">
        <v>25.0</v>
      </c>
      <c r="Z317" s="32" t="s">
        <v>63</v>
      </c>
      <c r="AA317" s="38"/>
      <c r="AB317" s="38"/>
      <c r="AC317" s="38"/>
      <c r="AD317" s="38"/>
      <c r="AE317" s="38"/>
      <c r="AF317" s="38"/>
      <c r="AG317" s="38"/>
      <c r="AH317" s="38"/>
      <c r="AI317" s="38"/>
      <c r="AJ317" s="38"/>
      <c r="AK317" s="38"/>
    </row>
    <row r="318">
      <c r="A318" s="28">
        <v>317.0</v>
      </c>
      <c r="B318" s="29"/>
      <c r="C318" s="29" t="s">
        <v>25</v>
      </c>
      <c r="D318" s="30"/>
      <c r="E318" s="31">
        <v>9.0</v>
      </c>
      <c r="F318" s="42">
        <v>0.0</v>
      </c>
      <c r="G318" s="29" t="str">
        <f t="shared" si="1"/>
        <v>09000</v>
      </c>
      <c r="H318" s="37"/>
      <c r="I318" s="37" t="s">
        <v>37</v>
      </c>
      <c r="J318" s="37" t="s">
        <v>443</v>
      </c>
      <c r="K318" s="37"/>
      <c r="L318" s="70">
        <f t="array" ref="L318:Z318">Connecticut!C12:Q12</f>
        <v>3121</v>
      </c>
      <c r="M318" s="70" t="s">
        <v>63</v>
      </c>
      <c r="N318" s="70">
        <v>1232.795</v>
      </c>
      <c r="O318" s="70">
        <v>1104.8339999999998</v>
      </c>
      <c r="P318" s="70" t="s">
        <v>63</v>
      </c>
      <c r="Q318" s="70">
        <v>2363.0</v>
      </c>
      <c r="R318" s="70">
        <v>438.0</v>
      </c>
      <c r="S318" s="72" t="s">
        <v>63</v>
      </c>
      <c r="T318" s="69" t="s">
        <v>63</v>
      </c>
      <c r="U318" s="72" t="s">
        <v>63</v>
      </c>
      <c r="V318" s="72" t="s">
        <v>63</v>
      </c>
      <c r="W318" s="72" t="s">
        <v>63</v>
      </c>
      <c r="X318" s="72" t="s">
        <v>63</v>
      </c>
      <c r="Y318" s="53">
        <v>2069.0</v>
      </c>
      <c r="Z318" s="69" t="s">
        <v>63</v>
      </c>
      <c r="AA318" s="73"/>
      <c r="AB318" s="73"/>
      <c r="AC318" s="73"/>
      <c r="AD318" s="73"/>
      <c r="AE318" s="73"/>
      <c r="AF318" s="73"/>
      <c r="AG318" s="73"/>
      <c r="AH318" s="73"/>
      <c r="AI318" s="73"/>
      <c r="AJ318" s="73"/>
      <c r="AK318" s="73"/>
    </row>
    <row r="319">
      <c r="A319" s="28">
        <v>318.0</v>
      </c>
      <c r="B319" s="29"/>
      <c r="C319" s="29"/>
      <c r="D319" s="40">
        <v>1.0</v>
      </c>
      <c r="E319" s="31">
        <v>9.0</v>
      </c>
      <c r="F319" s="42">
        <v>1.0</v>
      </c>
      <c r="G319" s="29" t="str">
        <f t="shared" si="1"/>
        <v>09001</v>
      </c>
      <c r="H319" s="37" t="s">
        <v>442</v>
      </c>
      <c r="I319" s="37" t="s">
        <v>37</v>
      </c>
      <c r="J319" s="37" t="s">
        <v>443</v>
      </c>
      <c r="K319" s="37" t="str">
        <f t="shared" ref="K319:K326" si="8">CONCATENATE(H319,", ",J319)</f>
        <v>Fairfield, CT</v>
      </c>
      <c r="L319" s="37" t="str">
        <f t="array" ref="L319:Z326">Connecticut!C3:Q10</f>
        <v>NULL</v>
      </c>
      <c r="M319" s="37" t="s">
        <v>63</v>
      </c>
      <c r="N319" s="37" t="s">
        <v>63</v>
      </c>
      <c r="O319" s="37" t="s">
        <v>63</v>
      </c>
      <c r="P319" s="37" t="s">
        <v>63</v>
      </c>
      <c r="Q319" s="37" t="s">
        <v>63</v>
      </c>
      <c r="R319" s="37" t="s">
        <v>63</v>
      </c>
      <c r="S319" s="72" t="s">
        <v>63</v>
      </c>
      <c r="T319" s="69" t="s">
        <v>63</v>
      </c>
      <c r="U319" s="72" t="s">
        <v>63</v>
      </c>
      <c r="V319" s="72" t="s">
        <v>63</v>
      </c>
      <c r="W319" s="72" t="s">
        <v>63</v>
      </c>
      <c r="X319" s="72" t="s">
        <v>63</v>
      </c>
      <c r="Y319" s="53">
        <v>518.0</v>
      </c>
      <c r="Z319" s="69" t="s">
        <v>63</v>
      </c>
      <c r="AA319" s="73"/>
      <c r="AB319" s="73"/>
      <c r="AC319" s="73"/>
      <c r="AD319" s="73"/>
      <c r="AE319" s="73"/>
      <c r="AF319" s="73"/>
      <c r="AG319" s="73"/>
      <c r="AH319" s="73"/>
      <c r="AI319" s="73"/>
      <c r="AJ319" s="73"/>
      <c r="AK319" s="73"/>
    </row>
    <row r="320">
      <c r="A320" s="28">
        <v>319.0</v>
      </c>
      <c r="B320" s="29"/>
      <c r="C320" s="29"/>
      <c r="D320" s="40">
        <v>1.0</v>
      </c>
      <c r="E320" s="31">
        <v>9.0</v>
      </c>
      <c r="F320" s="42">
        <v>3.0</v>
      </c>
      <c r="G320" s="29" t="str">
        <f t="shared" si="1"/>
        <v>09003</v>
      </c>
      <c r="H320" s="37" t="s">
        <v>466</v>
      </c>
      <c r="I320" s="37" t="s">
        <v>37</v>
      </c>
      <c r="J320" s="37" t="s">
        <v>443</v>
      </c>
      <c r="K320" s="37" t="str">
        <f t="shared" si="8"/>
        <v>Hartford, CT</v>
      </c>
      <c r="L320" s="37" t="s">
        <v>63</v>
      </c>
      <c r="M320" s="37" t="s">
        <v>63</v>
      </c>
      <c r="N320" s="37" t="s">
        <v>63</v>
      </c>
      <c r="O320" s="37" t="s">
        <v>63</v>
      </c>
      <c r="P320" s="37" t="s">
        <v>63</v>
      </c>
      <c r="Q320" s="37" t="s">
        <v>63</v>
      </c>
      <c r="R320" s="37" t="s">
        <v>63</v>
      </c>
      <c r="S320" s="72" t="s">
        <v>63</v>
      </c>
      <c r="T320" s="69" t="s">
        <v>63</v>
      </c>
      <c r="U320" s="72" t="s">
        <v>63</v>
      </c>
      <c r="V320" s="72" t="s">
        <v>63</v>
      </c>
      <c r="W320" s="72" t="s">
        <v>63</v>
      </c>
      <c r="X320" s="72" t="s">
        <v>63</v>
      </c>
      <c r="Y320" s="53">
        <v>466.0</v>
      </c>
      <c r="Z320" s="69" t="s">
        <v>63</v>
      </c>
      <c r="AA320" s="73"/>
      <c r="AB320" s="73"/>
      <c r="AC320" s="73"/>
      <c r="AD320" s="73"/>
      <c r="AE320" s="73"/>
      <c r="AF320" s="73"/>
      <c r="AG320" s="73"/>
      <c r="AH320" s="73"/>
      <c r="AI320" s="73"/>
      <c r="AJ320" s="73"/>
      <c r="AK320" s="73"/>
    </row>
    <row r="321">
      <c r="A321" s="28">
        <v>320.0</v>
      </c>
      <c r="B321" s="29"/>
      <c r="C321" s="29"/>
      <c r="D321" s="40">
        <v>1.0</v>
      </c>
      <c r="E321" s="31">
        <v>9.0</v>
      </c>
      <c r="F321" s="42">
        <v>5.0</v>
      </c>
      <c r="G321" s="29" t="str">
        <f t="shared" si="1"/>
        <v>09005</v>
      </c>
      <c r="H321" s="37" t="s">
        <v>467</v>
      </c>
      <c r="I321" s="37" t="s">
        <v>37</v>
      </c>
      <c r="J321" s="37" t="s">
        <v>443</v>
      </c>
      <c r="K321" s="37" t="str">
        <f t="shared" si="8"/>
        <v>Litchfield, CT</v>
      </c>
      <c r="L321" s="37" t="s">
        <v>63</v>
      </c>
      <c r="M321" s="37" t="s">
        <v>63</v>
      </c>
      <c r="N321" s="37" t="s">
        <v>63</v>
      </c>
      <c r="O321" s="37" t="s">
        <v>63</v>
      </c>
      <c r="P321" s="37" t="s">
        <v>63</v>
      </c>
      <c r="Q321" s="37" t="s">
        <v>63</v>
      </c>
      <c r="R321" s="37" t="s">
        <v>63</v>
      </c>
      <c r="S321" s="72" t="s">
        <v>63</v>
      </c>
      <c r="T321" s="69" t="s">
        <v>63</v>
      </c>
      <c r="U321" s="72" t="s">
        <v>63</v>
      </c>
      <c r="V321" s="72" t="s">
        <v>63</v>
      </c>
      <c r="W321" s="72" t="s">
        <v>63</v>
      </c>
      <c r="X321" s="72" t="s">
        <v>63</v>
      </c>
      <c r="Y321" s="53">
        <v>149.0</v>
      </c>
      <c r="Z321" s="69" t="s">
        <v>63</v>
      </c>
      <c r="AA321" s="73"/>
      <c r="AB321" s="73"/>
      <c r="AC321" s="73"/>
      <c r="AD321" s="73"/>
      <c r="AE321" s="73"/>
      <c r="AF321" s="73"/>
      <c r="AG321" s="73"/>
      <c r="AH321" s="73"/>
      <c r="AI321" s="73"/>
      <c r="AJ321" s="73"/>
      <c r="AK321" s="73"/>
    </row>
    <row r="322">
      <c r="A322" s="28">
        <v>321.0</v>
      </c>
      <c r="B322" s="29"/>
      <c r="C322" s="29"/>
      <c r="D322" s="40">
        <v>1.0</v>
      </c>
      <c r="E322" s="31">
        <v>9.0</v>
      </c>
      <c r="F322" s="42">
        <v>7.0</v>
      </c>
      <c r="G322" s="29" t="str">
        <f t="shared" si="1"/>
        <v>09007</v>
      </c>
      <c r="H322" s="37" t="s">
        <v>281</v>
      </c>
      <c r="I322" s="37" t="s">
        <v>37</v>
      </c>
      <c r="J322" s="37" t="s">
        <v>443</v>
      </c>
      <c r="K322" s="37" t="str">
        <f t="shared" si="8"/>
        <v>Middlesex, CT</v>
      </c>
      <c r="L322" s="37" t="s">
        <v>63</v>
      </c>
      <c r="M322" s="37" t="s">
        <v>63</v>
      </c>
      <c r="N322" s="37" t="s">
        <v>63</v>
      </c>
      <c r="O322" s="37" t="s">
        <v>63</v>
      </c>
      <c r="P322" s="37" t="s">
        <v>63</v>
      </c>
      <c r="Q322" s="37" t="s">
        <v>63</v>
      </c>
      <c r="R322" s="37" t="s">
        <v>63</v>
      </c>
      <c r="S322" s="72" t="s">
        <v>63</v>
      </c>
      <c r="T322" s="69" t="s">
        <v>63</v>
      </c>
      <c r="U322" s="72" t="s">
        <v>63</v>
      </c>
      <c r="V322" s="72" t="s">
        <v>63</v>
      </c>
      <c r="W322" s="72" t="s">
        <v>63</v>
      </c>
      <c r="X322" s="72" t="s">
        <v>63</v>
      </c>
      <c r="Y322" s="53">
        <v>98.0</v>
      </c>
      <c r="Z322" s="69" t="s">
        <v>63</v>
      </c>
      <c r="AA322" s="73"/>
      <c r="AB322" s="73"/>
      <c r="AC322" s="73"/>
      <c r="AD322" s="73"/>
      <c r="AE322" s="73"/>
      <c r="AF322" s="73"/>
      <c r="AG322" s="73"/>
      <c r="AH322" s="73"/>
      <c r="AI322" s="73"/>
      <c r="AJ322" s="73"/>
      <c r="AK322" s="73"/>
    </row>
    <row r="323">
      <c r="A323" s="28">
        <v>322.0</v>
      </c>
      <c r="B323" s="29"/>
      <c r="C323" s="29"/>
      <c r="D323" s="40">
        <v>1.0</v>
      </c>
      <c r="E323" s="31">
        <v>9.0</v>
      </c>
      <c r="F323" s="42">
        <v>9.0</v>
      </c>
      <c r="G323" s="29" t="str">
        <f t="shared" si="1"/>
        <v>09009</v>
      </c>
      <c r="H323" s="37" t="s">
        <v>468</v>
      </c>
      <c r="I323" s="37" t="s">
        <v>37</v>
      </c>
      <c r="J323" s="37" t="s">
        <v>443</v>
      </c>
      <c r="K323" s="37" t="str">
        <f t="shared" si="8"/>
        <v>New Haven, CT</v>
      </c>
      <c r="L323" s="37" t="s">
        <v>63</v>
      </c>
      <c r="M323" s="37" t="s">
        <v>63</v>
      </c>
      <c r="N323" s="37" t="s">
        <v>63</v>
      </c>
      <c r="O323" s="37" t="s">
        <v>63</v>
      </c>
      <c r="P323" s="37" t="s">
        <v>63</v>
      </c>
      <c r="Q323" s="37" t="s">
        <v>63</v>
      </c>
      <c r="R323" s="37" t="s">
        <v>63</v>
      </c>
      <c r="S323" s="72" t="s">
        <v>63</v>
      </c>
      <c r="T323" s="69" t="s">
        <v>63</v>
      </c>
      <c r="U323" s="72" t="s">
        <v>63</v>
      </c>
      <c r="V323" s="72" t="s">
        <v>63</v>
      </c>
      <c r="W323" s="72" t="s">
        <v>63</v>
      </c>
      <c r="X323" s="72" t="s">
        <v>63</v>
      </c>
      <c r="Y323" s="53">
        <v>473.0</v>
      </c>
      <c r="Z323" s="69" t="s">
        <v>63</v>
      </c>
      <c r="AA323" s="73"/>
      <c r="AB323" s="73"/>
      <c r="AC323" s="73"/>
      <c r="AD323" s="73"/>
      <c r="AE323" s="73"/>
      <c r="AF323" s="73"/>
      <c r="AG323" s="73"/>
      <c r="AH323" s="73"/>
      <c r="AI323" s="73"/>
      <c r="AJ323" s="73"/>
      <c r="AK323" s="73"/>
    </row>
    <row r="324">
      <c r="A324" s="28">
        <v>323.0</v>
      </c>
      <c r="B324" s="29"/>
      <c r="C324" s="29"/>
      <c r="D324" s="40">
        <v>1.0</v>
      </c>
      <c r="E324" s="31">
        <v>9.0</v>
      </c>
      <c r="F324" s="42">
        <v>11.0</v>
      </c>
      <c r="G324" s="29" t="str">
        <f t="shared" si="1"/>
        <v>09011</v>
      </c>
      <c r="H324" s="37" t="s">
        <v>469</v>
      </c>
      <c r="I324" s="37" t="s">
        <v>37</v>
      </c>
      <c r="J324" s="37" t="s">
        <v>443</v>
      </c>
      <c r="K324" s="136" t="str">
        <f t="shared" si="8"/>
        <v>New London, CT</v>
      </c>
      <c r="L324" s="37" t="s">
        <v>63</v>
      </c>
      <c r="M324" s="37" t="s">
        <v>63</v>
      </c>
      <c r="N324" s="37" t="s">
        <v>63</v>
      </c>
      <c r="O324" s="37" t="s">
        <v>63</v>
      </c>
      <c r="P324" s="37" t="s">
        <v>63</v>
      </c>
      <c r="Q324" s="37" t="s">
        <v>63</v>
      </c>
      <c r="R324" s="37" t="s">
        <v>63</v>
      </c>
      <c r="S324" s="72" t="s">
        <v>63</v>
      </c>
      <c r="T324" s="69" t="s">
        <v>63</v>
      </c>
      <c r="U324" s="72" t="s">
        <v>63</v>
      </c>
      <c r="V324" s="72" t="s">
        <v>63</v>
      </c>
      <c r="W324" s="72" t="s">
        <v>63</v>
      </c>
      <c r="X324" s="72" t="s">
        <v>63</v>
      </c>
      <c r="Y324" s="53">
        <v>188.0</v>
      </c>
      <c r="Z324" s="69" t="s">
        <v>63</v>
      </c>
      <c r="AA324" s="73"/>
      <c r="AB324" s="73"/>
      <c r="AC324" s="73"/>
      <c r="AD324" s="73"/>
      <c r="AE324" s="73"/>
      <c r="AF324" s="73"/>
      <c r="AG324" s="73"/>
      <c r="AH324" s="73"/>
      <c r="AI324" s="73"/>
      <c r="AJ324" s="73"/>
      <c r="AK324" s="73"/>
    </row>
    <row r="325">
      <c r="A325" s="28">
        <v>324.0</v>
      </c>
      <c r="B325" s="29"/>
      <c r="C325" s="29"/>
      <c r="D325" s="40">
        <v>1.0</v>
      </c>
      <c r="E325" s="31">
        <v>9.0</v>
      </c>
      <c r="F325" s="42">
        <v>13.0</v>
      </c>
      <c r="G325" s="29" t="str">
        <f t="shared" si="1"/>
        <v>09013</v>
      </c>
      <c r="H325" s="37" t="s">
        <v>470</v>
      </c>
      <c r="I325" s="37" t="s">
        <v>37</v>
      </c>
      <c r="J325" s="37" t="s">
        <v>443</v>
      </c>
      <c r="K325" s="37" t="str">
        <f t="shared" si="8"/>
        <v>Tolland, CT</v>
      </c>
      <c r="L325" s="37" t="s">
        <v>63</v>
      </c>
      <c r="M325" s="37" t="s">
        <v>63</v>
      </c>
      <c r="N325" s="37" t="s">
        <v>63</v>
      </c>
      <c r="O325" s="37" t="s">
        <v>63</v>
      </c>
      <c r="P325" s="37" t="s">
        <v>63</v>
      </c>
      <c r="Q325" s="37" t="s">
        <v>63</v>
      </c>
      <c r="R325" s="37" t="s">
        <v>63</v>
      </c>
      <c r="S325" s="72" t="s">
        <v>63</v>
      </c>
      <c r="T325" s="69" t="s">
        <v>63</v>
      </c>
      <c r="U325" s="72" t="s">
        <v>63</v>
      </c>
      <c r="V325" s="72" t="s">
        <v>63</v>
      </c>
      <c r="W325" s="72" t="s">
        <v>63</v>
      </c>
      <c r="X325" s="72" t="s">
        <v>63</v>
      </c>
      <c r="Y325" s="53">
        <v>81.0</v>
      </c>
      <c r="Z325" s="69" t="s">
        <v>63</v>
      </c>
      <c r="AA325" s="73"/>
      <c r="AB325" s="73"/>
      <c r="AC325" s="73"/>
      <c r="AD325" s="73"/>
      <c r="AE325" s="73"/>
      <c r="AF325" s="73"/>
      <c r="AG325" s="73"/>
      <c r="AH325" s="73"/>
      <c r="AI325" s="73"/>
      <c r="AJ325" s="73"/>
      <c r="AK325" s="73"/>
    </row>
    <row r="326">
      <c r="A326" s="28">
        <v>325.0</v>
      </c>
      <c r="B326" s="29"/>
      <c r="C326" s="29"/>
      <c r="D326" s="40">
        <v>1.0</v>
      </c>
      <c r="E326" s="31">
        <v>9.0</v>
      </c>
      <c r="F326" s="42">
        <v>15.0</v>
      </c>
      <c r="G326" s="29" t="str">
        <f t="shared" si="1"/>
        <v>09015</v>
      </c>
      <c r="H326" s="37" t="s">
        <v>471</v>
      </c>
      <c r="I326" s="37" t="s">
        <v>37</v>
      </c>
      <c r="J326" s="37" t="s">
        <v>443</v>
      </c>
      <c r="K326" s="37" t="str">
        <f t="shared" si="8"/>
        <v>Windham, CT</v>
      </c>
      <c r="L326" s="37" t="s">
        <v>63</v>
      </c>
      <c r="M326" s="37" t="s">
        <v>63</v>
      </c>
      <c r="N326" s="37" t="s">
        <v>63</v>
      </c>
      <c r="O326" s="37" t="s">
        <v>63</v>
      </c>
      <c r="P326" s="37" t="s">
        <v>63</v>
      </c>
      <c r="Q326" s="37" t="s">
        <v>63</v>
      </c>
      <c r="R326" s="37" t="s">
        <v>63</v>
      </c>
      <c r="S326" s="72" t="s">
        <v>63</v>
      </c>
      <c r="T326" s="69" t="s">
        <v>63</v>
      </c>
      <c r="U326" s="72" t="s">
        <v>63</v>
      </c>
      <c r="V326" s="72" t="s">
        <v>63</v>
      </c>
      <c r="W326" s="72" t="s">
        <v>63</v>
      </c>
      <c r="X326" s="72" t="s">
        <v>63</v>
      </c>
      <c r="Y326" s="53">
        <v>96.0</v>
      </c>
      <c r="Z326" s="69" t="s">
        <v>63</v>
      </c>
      <c r="AA326" s="73"/>
      <c r="AB326" s="73"/>
      <c r="AC326" s="73"/>
      <c r="AD326" s="73"/>
      <c r="AE326" s="73"/>
      <c r="AF326" s="73"/>
      <c r="AG326" s="73"/>
      <c r="AH326" s="73"/>
      <c r="AI326" s="73"/>
      <c r="AJ326" s="73"/>
      <c r="AK326" s="73"/>
    </row>
    <row r="327">
      <c r="A327" s="99">
        <v>326.0</v>
      </c>
      <c r="B327" s="15"/>
      <c r="C327" s="14" t="s">
        <v>25</v>
      </c>
      <c r="D327" s="16"/>
      <c r="E327" s="102">
        <v>10.0</v>
      </c>
      <c r="F327" s="107">
        <v>0.0</v>
      </c>
      <c r="G327" s="15" t="str">
        <f t="shared" si="1"/>
        <v>10000</v>
      </c>
      <c r="H327" s="23"/>
      <c r="I327" s="23" t="s">
        <v>40</v>
      </c>
      <c r="J327" s="23" t="s">
        <v>472</v>
      </c>
      <c r="K327" s="23"/>
      <c r="L327" s="123">
        <f t="array" ref="L327:Z327">Delaware!C7:Q7</f>
        <v>508</v>
      </c>
      <c r="M327" s="23" t="s">
        <v>63</v>
      </c>
      <c r="N327" s="23" t="s">
        <v>63</v>
      </c>
      <c r="O327" s="23" t="s">
        <v>63</v>
      </c>
      <c r="P327" s="23" t="s">
        <v>63</v>
      </c>
      <c r="Q327" s="123">
        <v>207.0</v>
      </c>
      <c r="R327" s="123">
        <v>41.0</v>
      </c>
      <c r="S327" s="123" t="s">
        <v>63</v>
      </c>
      <c r="T327" s="32" t="s">
        <v>63</v>
      </c>
      <c r="U327" s="123" t="s">
        <v>63</v>
      </c>
      <c r="V327" s="125" t="s">
        <v>63</v>
      </c>
      <c r="W327" s="125" t="s">
        <v>63</v>
      </c>
      <c r="X327" s="125" t="s">
        <v>63</v>
      </c>
      <c r="Y327" s="123">
        <v>709.0</v>
      </c>
      <c r="Z327" s="32" t="s">
        <v>63</v>
      </c>
      <c r="AA327" s="38"/>
      <c r="AB327" s="38"/>
      <c r="AC327" s="38"/>
      <c r="AD327" s="38"/>
      <c r="AE327" s="38"/>
      <c r="AF327" s="38"/>
      <c r="AG327" s="38"/>
      <c r="AH327" s="38"/>
      <c r="AI327" s="38"/>
      <c r="AJ327" s="38"/>
      <c r="AK327" s="38"/>
    </row>
    <row r="328">
      <c r="A328" s="99">
        <v>327.0</v>
      </c>
      <c r="B328" s="15"/>
      <c r="C328" s="15"/>
      <c r="D328" s="105">
        <v>1.0</v>
      </c>
      <c r="E328" s="102">
        <v>10.0</v>
      </c>
      <c r="F328" s="107">
        <v>1.0</v>
      </c>
      <c r="G328" s="15" t="str">
        <f t="shared" si="1"/>
        <v>10001</v>
      </c>
      <c r="H328" s="23" t="s">
        <v>474</v>
      </c>
      <c r="I328" s="23" t="s">
        <v>40</v>
      </c>
      <c r="J328" s="23" t="s">
        <v>472</v>
      </c>
      <c r="K328" s="23" t="str">
        <f t="shared" ref="K328:K331" si="9">CONCATENATE(H328,", ",J328)</f>
        <v>Kent, DE</v>
      </c>
      <c r="L328" s="23">
        <f t="array" ref="L328:Z330">Delaware!C3:Q5</f>
        <v>169</v>
      </c>
      <c r="M328" s="23" t="s">
        <v>63</v>
      </c>
      <c r="N328" s="23" t="s">
        <v>63</v>
      </c>
      <c r="O328" s="23" t="s">
        <v>63</v>
      </c>
      <c r="P328" s="23" t="s">
        <v>63</v>
      </c>
      <c r="Q328" s="23">
        <v>54.0</v>
      </c>
      <c r="R328" s="23" t="s">
        <v>63</v>
      </c>
      <c r="S328" s="23" t="s">
        <v>63</v>
      </c>
      <c r="T328" s="32" t="s">
        <v>63</v>
      </c>
      <c r="U328" s="23" t="s">
        <v>63</v>
      </c>
      <c r="V328" s="125" t="s">
        <v>63</v>
      </c>
      <c r="W328" s="125" t="s">
        <v>63</v>
      </c>
      <c r="X328" s="125" t="s">
        <v>63</v>
      </c>
      <c r="Y328" s="35">
        <v>126.0</v>
      </c>
      <c r="Z328" s="32" t="s">
        <v>63</v>
      </c>
      <c r="AA328" s="38"/>
      <c r="AB328" s="38"/>
      <c r="AC328" s="38"/>
      <c r="AD328" s="38"/>
      <c r="AE328" s="38"/>
      <c r="AF328" s="38"/>
      <c r="AG328" s="38"/>
      <c r="AH328" s="38"/>
      <c r="AI328" s="38"/>
      <c r="AJ328" s="38"/>
      <c r="AK328" s="38"/>
    </row>
    <row r="329">
      <c r="A329" s="99">
        <v>328.0</v>
      </c>
      <c r="B329" s="15"/>
      <c r="C329" s="15"/>
      <c r="D329" s="105">
        <v>1.0</v>
      </c>
      <c r="E329" s="102">
        <v>10.0</v>
      </c>
      <c r="F329" s="107">
        <v>3.0</v>
      </c>
      <c r="G329" s="15" t="str">
        <f t="shared" si="1"/>
        <v>10003</v>
      </c>
      <c r="H329" s="23" t="s">
        <v>475</v>
      </c>
      <c r="I329" s="23" t="s">
        <v>40</v>
      </c>
      <c r="J329" s="23" t="s">
        <v>472</v>
      </c>
      <c r="K329" s="23" t="str">
        <f t="shared" si="9"/>
        <v>New Castle, DE</v>
      </c>
      <c r="L329" s="23">
        <v>243.0</v>
      </c>
      <c r="M329" s="23" t="s">
        <v>63</v>
      </c>
      <c r="N329" s="23" t="s">
        <v>63</v>
      </c>
      <c r="O329" s="23" t="s">
        <v>63</v>
      </c>
      <c r="P329" s="23" t="s">
        <v>63</v>
      </c>
      <c r="Q329" s="23">
        <v>104.0</v>
      </c>
      <c r="R329" s="23" t="s">
        <v>63</v>
      </c>
      <c r="S329" s="23" t="s">
        <v>63</v>
      </c>
      <c r="T329" s="32" t="s">
        <v>63</v>
      </c>
      <c r="U329" s="23" t="s">
        <v>63</v>
      </c>
      <c r="V329" s="125" t="s">
        <v>63</v>
      </c>
      <c r="W329" s="125" t="s">
        <v>63</v>
      </c>
      <c r="X329" s="125" t="s">
        <v>63</v>
      </c>
      <c r="Y329" s="35">
        <v>354.0</v>
      </c>
      <c r="Z329" s="32" t="s">
        <v>63</v>
      </c>
      <c r="AA329" s="38"/>
      <c r="AB329" s="38"/>
      <c r="AC329" s="38"/>
      <c r="AD329" s="38"/>
      <c r="AE329" s="38"/>
      <c r="AF329" s="38"/>
      <c r="AG329" s="38"/>
      <c r="AH329" s="38"/>
      <c r="AI329" s="38"/>
      <c r="AJ329" s="38"/>
      <c r="AK329" s="38"/>
    </row>
    <row r="330">
      <c r="A330" s="99">
        <v>329.0</v>
      </c>
      <c r="B330" s="15"/>
      <c r="C330" s="15"/>
      <c r="D330" s="105">
        <v>1.0</v>
      </c>
      <c r="E330" s="102">
        <v>10.0</v>
      </c>
      <c r="F330" s="107">
        <v>5.0</v>
      </c>
      <c r="G330" s="15" t="str">
        <f t="shared" si="1"/>
        <v>10005</v>
      </c>
      <c r="H330" s="23" t="s">
        <v>476</v>
      </c>
      <c r="I330" s="23" t="s">
        <v>40</v>
      </c>
      <c r="J330" s="23" t="s">
        <v>472</v>
      </c>
      <c r="K330" s="23" t="str">
        <f t="shared" si="9"/>
        <v>Sussex, DE</v>
      </c>
      <c r="L330" s="23">
        <v>96.0</v>
      </c>
      <c r="M330" s="23" t="s">
        <v>63</v>
      </c>
      <c r="N330" s="23" t="s">
        <v>63</v>
      </c>
      <c r="O330" s="23" t="s">
        <v>63</v>
      </c>
      <c r="P330" s="23" t="s">
        <v>63</v>
      </c>
      <c r="Q330" s="23">
        <v>49.0</v>
      </c>
      <c r="R330" s="23" t="s">
        <v>63</v>
      </c>
      <c r="S330" s="23" t="s">
        <v>63</v>
      </c>
      <c r="T330" s="32" t="s">
        <v>63</v>
      </c>
      <c r="U330" s="23" t="s">
        <v>63</v>
      </c>
      <c r="V330" s="125" t="s">
        <v>63</v>
      </c>
      <c r="W330" s="125" t="s">
        <v>63</v>
      </c>
      <c r="X330" s="125" t="s">
        <v>63</v>
      </c>
      <c r="Y330" s="35">
        <v>229.0</v>
      </c>
      <c r="Z330" s="32" t="s">
        <v>63</v>
      </c>
      <c r="AA330" s="38"/>
      <c r="AB330" s="38"/>
      <c r="AC330" s="38"/>
      <c r="AD330" s="38"/>
      <c r="AE330" s="38"/>
      <c r="AF330" s="38"/>
      <c r="AG330" s="38"/>
      <c r="AH330" s="38"/>
      <c r="AI330" s="38"/>
      <c r="AJ330" s="38"/>
      <c r="AK330" s="38"/>
    </row>
    <row r="331">
      <c r="A331" s="28">
        <v>330.0</v>
      </c>
      <c r="B331" s="29"/>
      <c r="C331" s="29" t="s">
        <v>25</v>
      </c>
      <c r="D331" s="30"/>
      <c r="E331" s="31">
        <v>11.0</v>
      </c>
      <c r="F331" s="42">
        <v>1.0</v>
      </c>
      <c r="G331" s="29" t="str">
        <f t="shared" si="1"/>
        <v>11001</v>
      </c>
      <c r="H331" s="37" t="s">
        <v>39</v>
      </c>
      <c r="I331" s="37" t="s">
        <v>39</v>
      </c>
      <c r="J331" s="37" t="s">
        <v>477</v>
      </c>
      <c r="K331" s="136" t="str">
        <f t="shared" si="9"/>
        <v>District of Columbia, DC</v>
      </c>
      <c r="L331" s="70">
        <f t="array" ref="L331:Z331">'District of Columbia'!C5:Q5</f>
        <v>503</v>
      </c>
      <c r="M331" s="37" t="s">
        <v>63</v>
      </c>
      <c r="N331" s="37">
        <v>257.0</v>
      </c>
      <c r="O331" s="37">
        <v>111.0</v>
      </c>
      <c r="P331" s="37" t="s">
        <v>63</v>
      </c>
      <c r="Q331" s="70">
        <v>386.0</v>
      </c>
      <c r="R331" s="70">
        <v>0.0</v>
      </c>
      <c r="S331" s="70">
        <v>4558.0</v>
      </c>
      <c r="T331" s="69" t="s">
        <v>63</v>
      </c>
      <c r="U331" s="29">
        <v>346.0</v>
      </c>
      <c r="V331" s="72" t="s">
        <v>63</v>
      </c>
      <c r="W331" s="72" t="s">
        <v>63</v>
      </c>
      <c r="X331" s="72" t="s">
        <v>63</v>
      </c>
      <c r="Y331" s="53">
        <v>480.0</v>
      </c>
      <c r="Z331" s="69" t="s">
        <v>63</v>
      </c>
      <c r="AA331" s="73"/>
      <c r="AB331" s="73"/>
      <c r="AC331" s="73"/>
      <c r="AD331" s="73"/>
      <c r="AE331" s="73"/>
      <c r="AF331" s="73"/>
      <c r="AG331" s="73"/>
      <c r="AH331" s="73"/>
      <c r="AI331" s="73"/>
      <c r="AJ331" s="73"/>
      <c r="AK331" s="73"/>
    </row>
    <row r="332">
      <c r="A332" s="99">
        <v>331.0</v>
      </c>
      <c r="B332" s="15"/>
      <c r="C332" s="14" t="s">
        <v>25</v>
      </c>
      <c r="D332" s="16"/>
      <c r="E332" s="102">
        <v>12.0</v>
      </c>
      <c r="F332" s="107">
        <v>0.0</v>
      </c>
      <c r="G332" s="15" t="str">
        <f t="shared" si="1"/>
        <v>12000</v>
      </c>
      <c r="H332" s="23"/>
      <c r="I332" s="23" t="s">
        <v>42</v>
      </c>
      <c r="J332" s="23" t="s">
        <v>245</v>
      </c>
      <c r="K332" s="23"/>
      <c r="L332" s="123">
        <f t="array" ref="L332:Z332">Florida!C71:Q71</f>
        <v>18430</v>
      </c>
      <c r="M332" s="23" t="s">
        <v>63</v>
      </c>
      <c r="N332" s="123">
        <v>9457.0</v>
      </c>
      <c r="O332" s="123">
        <v>5398.0</v>
      </c>
      <c r="P332" s="23" t="s">
        <v>63</v>
      </c>
      <c r="Q332" s="123">
        <v>7678.0</v>
      </c>
      <c r="R332" s="123">
        <v>5576.0</v>
      </c>
      <c r="S332" s="125" t="s">
        <v>63</v>
      </c>
      <c r="T332" s="32" t="s">
        <v>63</v>
      </c>
      <c r="U332" s="23" t="s">
        <v>63</v>
      </c>
      <c r="V332" s="125" t="s">
        <v>63</v>
      </c>
      <c r="W332" s="125" t="s">
        <v>63</v>
      </c>
      <c r="X332" s="125" t="s">
        <v>63</v>
      </c>
      <c r="Y332" s="35">
        <v>11132.0</v>
      </c>
      <c r="Z332" s="32" t="s">
        <v>63</v>
      </c>
      <c r="AA332" s="38"/>
      <c r="AB332" s="38"/>
      <c r="AC332" s="38"/>
      <c r="AD332" s="38"/>
      <c r="AE332" s="38"/>
      <c r="AF332" s="38"/>
      <c r="AG332" s="38"/>
      <c r="AH332" s="38"/>
      <c r="AI332" s="38"/>
      <c r="AJ332" s="38"/>
      <c r="AK332" s="38"/>
    </row>
    <row r="333">
      <c r="A333" s="99">
        <v>332.0</v>
      </c>
      <c r="B333" s="15"/>
      <c r="C333" s="15"/>
      <c r="D333" s="105">
        <v>1.0</v>
      </c>
      <c r="E333" s="102">
        <v>12.0</v>
      </c>
      <c r="F333" s="107">
        <v>1.0</v>
      </c>
      <c r="G333" s="15" t="str">
        <f t="shared" si="1"/>
        <v>12001</v>
      </c>
      <c r="H333" s="23" t="s">
        <v>479</v>
      </c>
      <c r="I333" s="23" t="s">
        <v>42</v>
      </c>
      <c r="J333" s="23" t="s">
        <v>245</v>
      </c>
      <c r="K333" s="23" t="str">
        <f t="shared" ref="K333:K399" si="10">CONCATENATE(H333,", ",J333)</f>
        <v>Alachua, FL</v>
      </c>
      <c r="L333" s="23">
        <f t="array" ref="L333:Z399">Florida!C3:Q69</f>
        <v>232</v>
      </c>
      <c r="M333" s="23" t="s">
        <v>63</v>
      </c>
      <c r="N333" s="35">
        <v>132.0</v>
      </c>
      <c r="O333" s="35">
        <v>76.0</v>
      </c>
      <c r="P333" s="23" t="s">
        <v>63</v>
      </c>
      <c r="Q333" s="23" t="s">
        <v>63</v>
      </c>
      <c r="R333" s="23" t="s">
        <v>63</v>
      </c>
      <c r="S333" s="125" t="s">
        <v>63</v>
      </c>
      <c r="T333" s="32">
        <v>0.7413793103448276</v>
      </c>
      <c r="U333" s="23" t="s">
        <v>63</v>
      </c>
      <c r="V333" s="125" t="s">
        <v>63</v>
      </c>
      <c r="W333" s="125" t="s">
        <v>63</v>
      </c>
      <c r="X333" s="125" t="s">
        <v>63</v>
      </c>
      <c r="Y333" s="35">
        <v>214.0</v>
      </c>
      <c r="Z333" s="32" t="s">
        <v>63</v>
      </c>
      <c r="AA333" s="38"/>
      <c r="AB333" s="38"/>
      <c r="AC333" s="38"/>
      <c r="AD333" s="38"/>
      <c r="AE333" s="38"/>
      <c r="AF333" s="38"/>
      <c r="AG333" s="38"/>
      <c r="AH333" s="38"/>
      <c r="AI333" s="38"/>
      <c r="AJ333" s="38"/>
      <c r="AK333" s="38"/>
    </row>
    <row r="334">
      <c r="A334" s="99">
        <v>333.0</v>
      </c>
      <c r="B334" s="15"/>
      <c r="C334" s="15"/>
      <c r="D334" s="105">
        <v>1.0</v>
      </c>
      <c r="E334" s="102">
        <v>12.0</v>
      </c>
      <c r="F334" s="107">
        <v>3.0</v>
      </c>
      <c r="G334" s="15" t="str">
        <f t="shared" si="1"/>
        <v>12003</v>
      </c>
      <c r="H334" s="23" t="s">
        <v>481</v>
      </c>
      <c r="I334" s="23" t="s">
        <v>42</v>
      </c>
      <c r="J334" s="23" t="s">
        <v>245</v>
      </c>
      <c r="K334" s="23" t="str">
        <f t="shared" si="10"/>
        <v>Baker, FL</v>
      </c>
      <c r="L334" s="23">
        <v>28.0</v>
      </c>
      <c r="M334" s="23" t="s">
        <v>63</v>
      </c>
      <c r="N334" s="35">
        <v>18.0</v>
      </c>
      <c r="O334" s="35">
        <v>5.0</v>
      </c>
      <c r="P334" s="23" t="s">
        <v>63</v>
      </c>
      <c r="Q334" s="23" t="s">
        <v>63</v>
      </c>
      <c r="R334" s="23" t="s">
        <v>63</v>
      </c>
      <c r="S334" s="125" t="s">
        <v>63</v>
      </c>
      <c r="T334" s="32">
        <v>0.8</v>
      </c>
      <c r="U334" s="23" t="s">
        <v>63</v>
      </c>
      <c r="V334" s="125" t="s">
        <v>63</v>
      </c>
      <c r="W334" s="125" t="s">
        <v>63</v>
      </c>
      <c r="X334" s="125" t="s">
        <v>63</v>
      </c>
      <c r="Y334" s="35">
        <v>38.0</v>
      </c>
      <c r="Z334" s="32" t="s">
        <v>63</v>
      </c>
      <c r="AA334" s="38"/>
      <c r="AB334" s="38"/>
      <c r="AC334" s="38"/>
      <c r="AD334" s="38"/>
      <c r="AE334" s="38"/>
      <c r="AF334" s="38"/>
      <c r="AG334" s="38"/>
      <c r="AH334" s="38"/>
      <c r="AI334" s="38"/>
      <c r="AJ334" s="38"/>
      <c r="AK334" s="38"/>
    </row>
    <row r="335">
      <c r="A335" s="99">
        <v>334.0</v>
      </c>
      <c r="B335" s="15"/>
      <c r="C335" s="15"/>
      <c r="D335" s="105">
        <v>1.0</v>
      </c>
      <c r="E335" s="102">
        <v>12.0</v>
      </c>
      <c r="F335" s="107">
        <v>5.0</v>
      </c>
      <c r="G335" s="15" t="str">
        <f t="shared" si="1"/>
        <v>12005</v>
      </c>
      <c r="H335" s="23" t="s">
        <v>482</v>
      </c>
      <c r="I335" s="23" t="s">
        <v>42</v>
      </c>
      <c r="J335" s="23" t="s">
        <v>245</v>
      </c>
      <c r="K335" s="23" t="str">
        <f t="shared" si="10"/>
        <v>Bay, FL</v>
      </c>
      <c r="L335" s="23">
        <v>244.0</v>
      </c>
      <c r="M335" s="23" t="s">
        <v>63</v>
      </c>
      <c r="N335" s="35">
        <v>141.0</v>
      </c>
      <c r="O335" s="35">
        <v>56.0</v>
      </c>
      <c r="P335" s="23" t="s">
        <v>63</v>
      </c>
      <c r="Q335" s="23" t="s">
        <v>63</v>
      </c>
      <c r="R335" s="23" t="s">
        <v>63</v>
      </c>
      <c r="S335" s="125" t="s">
        <v>63</v>
      </c>
      <c r="T335" s="32">
        <v>0.8657407407407407</v>
      </c>
      <c r="U335" s="23" t="s">
        <v>63</v>
      </c>
      <c r="V335" s="125" t="s">
        <v>63</v>
      </c>
      <c r="W335" s="125" t="s">
        <v>63</v>
      </c>
      <c r="X335" s="125" t="s">
        <v>63</v>
      </c>
      <c r="Y335" s="35">
        <v>144.0</v>
      </c>
      <c r="Z335" s="32" t="s">
        <v>63</v>
      </c>
      <c r="AA335" s="38"/>
      <c r="AB335" s="38"/>
      <c r="AC335" s="38"/>
      <c r="AD335" s="38"/>
      <c r="AE335" s="38"/>
      <c r="AF335" s="38"/>
      <c r="AG335" s="38"/>
      <c r="AH335" s="38"/>
      <c r="AI335" s="38"/>
      <c r="AJ335" s="38"/>
      <c r="AK335" s="38"/>
    </row>
    <row r="336">
      <c r="A336" s="99">
        <v>335.0</v>
      </c>
      <c r="B336" s="15"/>
      <c r="C336" s="15"/>
      <c r="D336" s="105">
        <v>1.0</v>
      </c>
      <c r="E336" s="102">
        <v>12.0</v>
      </c>
      <c r="F336" s="107">
        <v>7.0</v>
      </c>
      <c r="G336" s="15" t="str">
        <f t="shared" si="1"/>
        <v>12007</v>
      </c>
      <c r="H336" s="23" t="s">
        <v>483</v>
      </c>
      <c r="I336" s="23" t="s">
        <v>42</v>
      </c>
      <c r="J336" s="23" t="s">
        <v>245</v>
      </c>
      <c r="K336" s="23" t="str">
        <f t="shared" si="10"/>
        <v>Bradford, FL</v>
      </c>
      <c r="L336" s="23">
        <v>42.0</v>
      </c>
      <c r="M336" s="23" t="s">
        <v>63</v>
      </c>
      <c r="N336" s="35">
        <v>22.0</v>
      </c>
      <c r="O336" s="35">
        <v>8.0</v>
      </c>
      <c r="P336" s="23" t="s">
        <v>63</v>
      </c>
      <c r="Q336" s="23" t="s">
        <v>63</v>
      </c>
      <c r="R336" s="23" t="s">
        <v>63</v>
      </c>
      <c r="S336" s="125" t="s">
        <v>63</v>
      </c>
      <c r="T336" s="32">
        <v>0.48717948717948717</v>
      </c>
      <c r="U336" s="23" t="s">
        <v>63</v>
      </c>
      <c r="V336" s="125" t="s">
        <v>63</v>
      </c>
      <c r="W336" s="125" t="s">
        <v>63</v>
      </c>
      <c r="X336" s="125" t="s">
        <v>63</v>
      </c>
      <c r="Y336" s="35">
        <v>50.0</v>
      </c>
      <c r="Z336" s="32" t="s">
        <v>63</v>
      </c>
      <c r="AA336" s="38"/>
      <c r="AB336" s="38"/>
      <c r="AC336" s="38"/>
      <c r="AD336" s="38"/>
      <c r="AE336" s="38"/>
      <c r="AF336" s="38"/>
      <c r="AG336" s="38"/>
      <c r="AH336" s="38"/>
      <c r="AI336" s="38"/>
      <c r="AJ336" s="38"/>
      <c r="AK336" s="38"/>
    </row>
    <row r="337">
      <c r="A337" s="99">
        <v>336.0</v>
      </c>
      <c r="B337" s="15"/>
      <c r="C337" s="15"/>
      <c r="D337" s="105">
        <v>1.0</v>
      </c>
      <c r="E337" s="102">
        <v>12.0</v>
      </c>
      <c r="F337" s="107">
        <v>9.0</v>
      </c>
      <c r="G337" s="15" t="str">
        <f t="shared" si="1"/>
        <v>12009</v>
      </c>
      <c r="H337" s="23" t="s">
        <v>484</v>
      </c>
      <c r="I337" s="23" t="s">
        <v>42</v>
      </c>
      <c r="J337" s="23" t="s">
        <v>245</v>
      </c>
      <c r="K337" s="23" t="str">
        <f t="shared" si="10"/>
        <v>Brevard, FL</v>
      </c>
      <c r="L337" s="23">
        <v>699.0</v>
      </c>
      <c r="M337" s="23" t="s">
        <v>63</v>
      </c>
      <c r="N337" s="35">
        <v>304.0</v>
      </c>
      <c r="O337" s="35">
        <v>266.0</v>
      </c>
      <c r="P337" s="23" t="s">
        <v>63</v>
      </c>
      <c r="Q337" s="23" t="s">
        <v>63</v>
      </c>
      <c r="R337" s="23" t="s">
        <v>63</v>
      </c>
      <c r="S337" s="125" t="s">
        <v>63</v>
      </c>
      <c r="T337" s="32">
        <v>0.7963709677419355</v>
      </c>
      <c r="U337" s="23" t="s">
        <v>63</v>
      </c>
      <c r="V337" s="125" t="s">
        <v>63</v>
      </c>
      <c r="W337" s="125" t="s">
        <v>63</v>
      </c>
      <c r="X337" s="125" t="s">
        <v>63</v>
      </c>
      <c r="Y337" s="35">
        <v>324.0</v>
      </c>
      <c r="Z337" s="32" t="s">
        <v>63</v>
      </c>
      <c r="AA337" s="38"/>
      <c r="AB337" s="38"/>
      <c r="AC337" s="38"/>
      <c r="AD337" s="38"/>
      <c r="AE337" s="38"/>
      <c r="AF337" s="38"/>
      <c r="AG337" s="38"/>
      <c r="AH337" s="38"/>
      <c r="AI337" s="38"/>
      <c r="AJ337" s="38"/>
      <c r="AK337" s="38"/>
    </row>
    <row r="338">
      <c r="A338" s="99">
        <v>337.0</v>
      </c>
      <c r="B338" s="15"/>
      <c r="C338" s="15"/>
      <c r="D338" s="105">
        <v>1.0</v>
      </c>
      <c r="E338" s="102">
        <v>12.0</v>
      </c>
      <c r="F338" s="107">
        <v>11.0</v>
      </c>
      <c r="G338" s="15" t="str">
        <f t="shared" si="1"/>
        <v>12011</v>
      </c>
      <c r="H338" s="23" t="s">
        <v>269</v>
      </c>
      <c r="I338" s="23" t="s">
        <v>42</v>
      </c>
      <c r="J338" s="23" t="s">
        <v>245</v>
      </c>
      <c r="K338" s="23" t="str">
        <f t="shared" si="10"/>
        <v>Broward, FL</v>
      </c>
      <c r="L338" s="35">
        <v>1067.0</v>
      </c>
      <c r="M338" s="23" t="s">
        <v>63</v>
      </c>
      <c r="N338" s="35">
        <v>456.0</v>
      </c>
      <c r="O338" s="35">
        <v>365.0</v>
      </c>
      <c r="P338" s="23" t="s">
        <v>63</v>
      </c>
      <c r="Q338" s="23" t="s">
        <v>63</v>
      </c>
      <c r="R338" s="23" t="s">
        <v>63</v>
      </c>
      <c r="S338" s="125" t="s">
        <v>63</v>
      </c>
      <c r="T338" s="32">
        <v>0.6872093023255814</v>
      </c>
      <c r="U338" s="23" t="s">
        <v>63</v>
      </c>
      <c r="V338" s="125" t="s">
        <v>63</v>
      </c>
      <c r="W338" s="125" t="s">
        <v>63</v>
      </c>
      <c r="X338" s="125" t="s">
        <v>63</v>
      </c>
      <c r="Y338" s="35">
        <v>702.0</v>
      </c>
      <c r="Z338" s="32" t="s">
        <v>63</v>
      </c>
      <c r="AA338" s="38"/>
      <c r="AB338" s="38"/>
      <c r="AC338" s="38"/>
      <c r="AD338" s="38"/>
      <c r="AE338" s="38"/>
      <c r="AF338" s="38"/>
      <c r="AG338" s="38"/>
      <c r="AH338" s="38"/>
      <c r="AI338" s="38"/>
      <c r="AJ338" s="38"/>
      <c r="AK338" s="38"/>
    </row>
    <row r="339">
      <c r="A339" s="99">
        <v>338.0</v>
      </c>
      <c r="B339" s="15"/>
      <c r="C339" s="15"/>
      <c r="D339" s="105">
        <v>1.0</v>
      </c>
      <c r="E339" s="102">
        <v>12.0</v>
      </c>
      <c r="F339" s="107">
        <v>13.0</v>
      </c>
      <c r="G339" s="15" t="str">
        <f t="shared" si="1"/>
        <v>12013</v>
      </c>
      <c r="H339" s="23" t="s">
        <v>93</v>
      </c>
      <c r="I339" s="23" t="s">
        <v>42</v>
      </c>
      <c r="J339" s="23" t="s">
        <v>245</v>
      </c>
      <c r="K339" s="23" t="str">
        <f t="shared" si="10"/>
        <v>Calhoun, FL</v>
      </c>
      <c r="L339" s="23">
        <v>11.0</v>
      </c>
      <c r="M339" s="23" t="s">
        <v>63</v>
      </c>
      <c r="N339" s="35">
        <v>7.0</v>
      </c>
      <c r="O339" s="35">
        <v>2.0</v>
      </c>
      <c r="P339" s="23" t="s">
        <v>63</v>
      </c>
      <c r="Q339" s="23" t="s">
        <v>63</v>
      </c>
      <c r="R339" s="23" t="s">
        <v>63</v>
      </c>
      <c r="S339" s="125" t="s">
        <v>63</v>
      </c>
      <c r="T339" s="32">
        <v>0.0</v>
      </c>
      <c r="U339" s="23" t="s">
        <v>63</v>
      </c>
      <c r="V339" s="125" t="s">
        <v>63</v>
      </c>
      <c r="W339" s="125" t="s">
        <v>63</v>
      </c>
      <c r="X339" s="125" t="s">
        <v>63</v>
      </c>
      <c r="Y339" s="35">
        <v>27.0</v>
      </c>
      <c r="Z339" s="32" t="s">
        <v>63</v>
      </c>
      <c r="AA339" s="38"/>
      <c r="AB339" s="38"/>
      <c r="AC339" s="38"/>
      <c r="AD339" s="38"/>
      <c r="AE339" s="38"/>
      <c r="AF339" s="38"/>
      <c r="AG339" s="38"/>
      <c r="AH339" s="38"/>
      <c r="AI339" s="38"/>
      <c r="AJ339" s="38"/>
      <c r="AK339" s="38"/>
    </row>
    <row r="340">
      <c r="A340" s="99">
        <v>339.0</v>
      </c>
      <c r="B340" s="15"/>
      <c r="C340" s="15"/>
      <c r="D340" s="105">
        <v>1.0</v>
      </c>
      <c r="E340" s="102">
        <v>12.0</v>
      </c>
      <c r="F340" s="107">
        <v>15.0</v>
      </c>
      <c r="G340" s="15" t="str">
        <f t="shared" si="1"/>
        <v>12015</v>
      </c>
      <c r="H340" s="23" t="s">
        <v>486</v>
      </c>
      <c r="I340" s="23" t="s">
        <v>42</v>
      </c>
      <c r="J340" s="23" t="s">
        <v>245</v>
      </c>
      <c r="K340" s="23" t="str">
        <f t="shared" si="10"/>
        <v>Charlotte, FL</v>
      </c>
      <c r="L340" s="23">
        <v>62.0</v>
      </c>
      <c r="M340" s="23" t="s">
        <v>63</v>
      </c>
      <c r="N340" s="35">
        <v>36.0</v>
      </c>
      <c r="O340" s="35">
        <v>16.0</v>
      </c>
      <c r="P340" s="23" t="s">
        <v>63</v>
      </c>
      <c r="Q340" s="23" t="s">
        <v>63</v>
      </c>
      <c r="R340" s="23" t="s">
        <v>63</v>
      </c>
      <c r="S340" s="125" t="s">
        <v>63</v>
      </c>
      <c r="T340" s="32">
        <v>0.36619718309859156</v>
      </c>
      <c r="U340" s="23" t="s">
        <v>63</v>
      </c>
      <c r="V340" s="125" t="s">
        <v>63</v>
      </c>
      <c r="W340" s="125" t="s">
        <v>63</v>
      </c>
      <c r="X340" s="125" t="s">
        <v>63</v>
      </c>
      <c r="Y340" s="35">
        <v>97.0</v>
      </c>
      <c r="Z340" s="32" t="s">
        <v>63</v>
      </c>
      <c r="AA340" s="38"/>
      <c r="AB340" s="38"/>
      <c r="AC340" s="38"/>
      <c r="AD340" s="38"/>
      <c r="AE340" s="38"/>
      <c r="AF340" s="38"/>
      <c r="AG340" s="38"/>
      <c r="AH340" s="38"/>
      <c r="AI340" s="38"/>
      <c r="AJ340" s="38"/>
      <c r="AK340" s="38"/>
    </row>
    <row r="341">
      <c r="A341" s="99">
        <v>340.0</v>
      </c>
      <c r="B341" s="15"/>
      <c r="C341" s="15"/>
      <c r="D341" s="105">
        <v>1.0</v>
      </c>
      <c r="E341" s="102">
        <v>12.0</v>
      </c>
      <c r="F341" s="107">
        <v>17.0</v>
      </c>
      <c r="G341" s="15" t="str">
        <f t="shared" si="1"/>
        <v>12017</v>
      </c>
      <c r="H341" s="23" t="s">
        <v>487</v>
      </c>
      <c r="I341" s="23" t="s">
        <v>42</v>
      </c>
      <c r="J341" s="23" t="s">
        <v>245</v>
      </c>
      <c r="K341" s="23" t="str">
        <f t="shared" si="10"/>
        <v>Citrus, FL</v>
      </c>
      <c r="L341" s="23">
        <v>248.0</v>
      </c>
      <c r="M341" s="23" t="s">
        <v>63</v>
      </c>
      <c r="N341" s="35">
        <v>108.0</v>
      </c>
      <c r="O341" s="35">
        <v>106.0</v>
      </c>
      <c r="P341" s="23" t="s">
        <v>63</v>
      </c>
      <c r="Q341" s="23" t="s">
        <v>63</v>
      </c>
      <c r="R341" s="23" t="s">
        <v>63</v>
      </c>
      <c r="S341" s="125" t="s">
        <v>63</v>
      </c>
      <c r="T341" s="32">
        <v>0.8524590163934426</v>
      </c>
      <c r="U341" s="23" t="s">
        <v>63</v>
      </c>
      <c r="V341" s="125" t="s">
        <v>63</v>
      </c>
      <c r="W341" s="125" t="s">
        <v>63</v>
      </c>
      <c r="X341" s="125" t="s">
        <v>63</v>
      </c>
      <c r="Y341" s="35">
        <v>105.0</v>
      </c>
      <c r="Z341" s="32" t="s">
        <v>63</v>
      </c>
      <c r="AA341" s="38"/>
      <c r="AB341" s="38"/>
      <c r="AC341" s="38"/>
      <c r="AD341" s="38"/>
      <c r="AE341" s="38"/>
      <c r="AF341" s="38"/>
      <c r="AG341" s="38"/>
      <c r="AH341" s="38"/>
      <c r="AI341" s="38"/>
      <c r="AJ341" s="38"/>
      <c r="AK341" s="38"/>
    </row>
    <row r="342">
      <c r="A342" s="99">
        <v>341.0</v>
      </c>
      <c r="B342" s="15"/>
      <c r="C342" s="15"/>
      <c r="D342" s="105">
        <v>1.0</v>
      </c>
      <c r="E342" s="102">
        <v>12.0</v>
      </c>
      <c r="F342" s="107">
        <v>19.0</v>
      </c>
      <c r="G342" s="15" t="str">
        <f t="shared" si="1"/>
        <v>12019</v>
      </c>
      <c r="H342" s="23" t="s">
        <v>112</v>
      </c>
      <c r="I342" s="23" t="s">
        <v>42</v>
      </c>
      <c r="J342" s="23" t="s">
        <v>245</v>
      </c>
      <c r="K342" s="23" t="str">
        <f t="shared" si="10"/>
        <v>Clay, FL</v>
      </c>
      <c r="L342" s="23">
        <v>179.0</v>
      </c>
      <c r="M342" s="23" t="s">
        <v>63</v>
      </c>
      <c r="N342" s="35">
        <v>119.0</v>
      </c>
      <c r="O342" s="35">
        <v>42.0</v>
      </c>
      <c r="P342" s="23" t="s">
        <v>63</v>
      </c>
      <c r="Q342" s="23" t="s">
        <v>63</v>
      </c>
      <c r="R342" s="23" t="s">
        <v>63</v>
      </c>
      <c r="S342" s="125" t="s">
        <v>63</v>
      </c>
      <c r="T342" s="32">
        <v>0.9150943396226415</v>
      </c>
      <c r="U342" s="23" t="s">
        <v>63</v>
      </c>
      <c r="V342" s="125" t="s">
        <v>63</v>
      </c>
      <c r="W342" s="125" t="s">
        <v>63</v>
      </c>
      <c r="X342" s="125" t="s">
        <v>63</v>
      </c>
      <c r="Y342" s="35">
        <v>120.0</v>
      </c>
      <c r="Z342" s="32" t="s">
        <v>63</v>
      </c>
      <c r="AA342" s="38"/>
      <c r="AB342" s="38"/>
      <c r="AC342" s="38"/>
      <c r="AD342" s="38"/>
      <c r="AE342" s="38"/>
      <c r="AF342" s="38"/>
      <c r="AG342" s="38"/>
      <c r="AH342" s="38"/>
      <c r="AI342" s="38"/>
      <c r="AJ342" s="38"/>
      <c r="AK342" s="38"/>
    </row>
    <row r="343">
      <c r="A343" s="99">
        <v>342.0</v>
      </c>
      <c r="B343" s="15"/>
      <c r="C343" s="15"/>
      <c r="D343" s="105">
        <v>1.0</v>
      </c>
      <c r="E343" s="102">
        <v>12.0</v>
      </c>
      <c r="F343" s="107">
        <v>21.0</v>
      </c>
      <c r="G343" s="15" t="str">
        <f t="shared" si="1"/>
        <v>12021</v>
      </c>
      <c r="H343" s="23" t="s">
        <v>488</v>
      </c>
      <c r="I343" s="23" t="s">
        <v>42</v>
      </c>
      <c r="J343" s="23" t="s">
        <v>245</v>
      </c>
      <c r="K343" s="23" t="str">
        <f t="shared" si="10"/>
        <v>Collier, FL</v>
      </c>
      <c r="L343" s="23">
        <v>176.0</v>
      </c>
      <c r="M343" s="23" t="s">
        <v>63</v>
      </c>
      <c r="N343" s="35">
        <v>105.0</v>
      </c>
      <c r="O343" s="35">
        <v>40.0</v>
      </c>
      <c r="P343" s="23" t="s">
        <v>63</v>
      </c>
      <c r="Q343" s="23" t="s">
        <v>63</v>
      </c>
      <c r="R343" s="23" t="s">
        <v>63</v>
      </c>
      <c r="S343" s="125" t="s">
        <v>63</v>
      </c>
      <c r="T343" s="32">
        <v>0.7574257425742574</v>
      </c>
      <c r="U343" s="23" t="s">
        <v>63</v>
      </c>
      <c r="V343" s="125" t="s">
        <v>63</v>
      </c>
      <c r="W343" s="125" t="s">
        <v>63</v>
      </c>
      <c r="X343" s="125" t="s">
        <v>63</v>
      </c>
      <c r="Y343" s="35">
        <v>139.0</v>
      </c>
      <c r="Z343" s="32" t="s">
        <v>63</v>
      </c>
      <c r="AA343" s="38"/>
      <c r="AB343" s="38"/>
      <c r="AC343" s="38"/>
      <c r="AD343" s="38"/>
      <c r="AE343" s="38"/>
      <c r="AF343" s="38"/>
      <c r="AG343" s="38"/>
      <c r="AH343" s="38"/>
      <c r="AI343" s="38"/>
      <c r="AJ343" s="38"/>
      <c r="AK343" s="38"/>
    </row>
    <row r="344">
      <c r="A344" s="99">
        <v>343.0</v>
      </c>
      <c r="B344" s="15"/>
      <c r="C344" s="15"/>
      <c r="D344" s="105">
        <v>1.0</v>
      </c>
      <c r="E344" s="102">
        <v>12.0</v>
      </c>
      <c r="F344" s="107">
        <v>23.0</v>
      </c>
      <c r="G344" s="15" t="str">
        <f t="shared" si="1"/>
        <v>12023</v>
      </c>
      <c r="H344" s="23" t="s">
        <v>258</v>
      </c>
      <c r="I344" s="23" t="s">
        <v>42</v>
      </c>
      <c r="J344" s="23" t="s">
        <v>245</v>
      </c>
      <c r="K344" s="23" t="str">
        <f t="shared" si="10"/>
        <v>Columbia, FL</v>
      </c>
      <c r="L344" s="23">
        <v>189.0</v>
      </c>
      <c r="M344" s="23" t="s">
        <v>63</v>
      </c>
      <c r="N344" s="35">
        <v>106.0</v>
      </c>
      <c r="O344" s="35">
        <v>54.0</v>
      </c>
      <c r="P344" s="23" t="s">
        <v>63</v>
      </c>
      <c r="Q344" s="23" t="s">
        <v>63</v>
      </c>
      <c r="R344" s="23" t="s">
        <v>63</v>
      </c>
      <c r="S344" s="125" t="s">
        <v>63</v>
      </c>
      <c r="T344" s="32">
        <v>0.6509433962264151</v>
      </c>
      <c r="U344" s="23" t="s">
        <v>63</v>
      </c>
      <c r="V344" s="125" t="s">
        <v>63</v>
      </c>
      <c r="W344" s="125" t="s">
        <v>63</v>
      </c>
      <c r="X344" s="125" t="s">
        <v>63</v>
      </c>
      <c r="Y344" s="35">
        <v>83.0</v>
      </c>
      <c r="Z344" s="32" t="s">
        <v>63</v>
      </c>
      <c r="AA344" s="38"/>
      <c r="AB344" s="38"/>
      <c r="AC344" s="38"/>
      <c r="AD344" s="38"/>
      <c r="AE344" s="38"/>
      <c r="AF344" s="38"/>
      <c r="AG344" s="38"/>
      <c r="AH344" s="38"/>
      <c r="AI344" s="38"/>
      <c r="AJ344" s="38"/>
      <c r="AK344" s="38"/>
    </row>
    <row r="345">
      <c r="A345" s="99">
        <v>344.0</v>
      </c>
      <c r="B345" s="15"/>
      <c r="C345" s="15"/>
      <c r="D345" s="105">
        <v>1.0</v>
      </c>
      <c r="E345" s="102">
        <v>12.0</v>
      </c>
      <c r="F345" s="107">
        <v>27.0</v>
      </c>
      <c r="G345" s="15" t="str">
        <f t="shared" si="1"/>
        <v>12027</v>
      </c>
      <c r="H345" s="23" t="s">
        <v>489</v>
      </c>
      <c r="I345" s="23" t="s">
        <v>42</v>
      </c>
      <c r="J345" s="23" t="s">
        <v>245</v>
      </c>
      <c r="K345" s="23" t="str">
        <f t="shared" si="10"/>
        <v>De Soto, FL</v>
      </c>
      <c r="L345" s="23">
        <v>51.0</v>
      </c>
      <c r="M345" s="23" t="s">
        <v>63</v>
      </c>
      <c r="N345" s="35">
        <v>21.0</v>
      </c>
      <c r="O345" s="35">
        <v>18.0</v>
      </c>
      <c r="P345" s="23" t="s">
        <v>63</v>
      </c>
      <c r="Q345" s="23" t="s">
        <v>63</v>
      </c>
      <c r="R345" s="23" t="s">
        <v>63</v>
      </c>
      <c r="S345" s="125" t="s">
        <v>63</v>
      </c>
      <c r="T345" s="32">
        <v>0.5252525252525253</v>
      </c>
      <c r="U345" s="23" t="s">
        <v>63</v>
      </c>
      <c r="V345" s="125" t="s">
        <v>63</v>
      </c>
      <c r="W345" s="125" t="s">
        <v>63</v>
      </c>
      <c r="X345" s="125" t="s">
        <v>63</v>
      </c>
      <c r="Y345" s="35">
        <v>32.0</v>
      </c>
      <c r="Z345" s="32" t="s">
        <v>63</v>
      </c>
      <c r="AA345" s="38"/>
      <c r="AB345" s="38"/>
      <c r="AC345" s="38"/>
      <c r="AD345" s="38"/>
      <c r="AE345" s="38"/>
      <c r="AF345" s="38"/>
      <c r="AG345" s="38"/>
      <c r="AH345" s="38"/>
      <c r="AI345" s="38"/>
      <c r="AJ345" s="38"/>
      <c r="AK345" s="38"/>
    </row>
    <row r="346">
      <c r="A346" s="99">
        <v>345.0</v>
      </c>
      <c r="B346" s="15"/>
      <c r="C346" s="15"/>
      <c r="D346" s="105">
        <v>1.0</v>
      </c>
      <c r="E346" s="102">
        <v>12.0</v>
      </c>
      <c r="F346" s="107">
        <v>29.0</v>
      </c>
      <c r="G346" s="15" t="str">
        <f t="shared" si="1"/>
        <v>12029</v>
      </c>
      <c r="H346" s="23" t="s">
        <v>490</v>
      </c>
      <c r="I346" s="23" t="s">
        <v>42</v>
      </c>
      <c r="J346" s="23" t="s">
        <v>245</v>
      </c>
      <c r="K346" s="23" t="str">
        <f t="shared" si="10"/>
        <v>Dixie, FL</v>
      </c>
      <c r="L346" s="23">
        <v>42.0</v>
      </c>
      <c r="M346" s="23" t="s">
        <v>63</v>
      </c>
      <c r="N346" s="35">
        <v>29.0</v>
      </c>
      <c r="O346" s="35">
        <v>9.0</v>
      </c>
      <c r="P346" s="23" t="s">
        <v>63</v>
      </c>
      <c r="Q346" s="23" t="s">
        <v>63</v>
      </c>
      <c r="R346" s="23" t="s">
        <v>63</v>
      </c>
      <c r="S346" s="125" t="s">
        <v>63</v>
      </c>
      <c r="T346" s="32">
        <v>0.8181818181818182</v>
      </c>
      <c r="U346" s="23" t="s">
        <v>63</v>
      </c>
      <c r="V346" s="125" t="s">
        <v>63</v>
      </c>
      <c r="W346" s="125" t="s">
        <v>63</v>
      </c>
      <c r="X346" s="125" t="s">
        <v>63</v>
      </c>
      <c r="Y346" s="35">
        <v>22.0</v>
      </c>
      <c r="Z346" s="32" t="s">
        <v>63</v>
      </c>
      <c r="AA346" s="38"/>
      <c r="AB346" s="38"/>
      <c r="AC346" s="38"/>
      <c r="AD346" s="38"/>
      <c r="AE346" s="38"/>
      <c r="AF346" s="38"/>
      <c r="AG346" s="38"/>
      <c r="AH346" s="38"/>
      <c r="AI346" s="38"/>
      <c r="AJ346" s="38"/>
      <c r="AK346" s="38"/>
    </row>
    <row r="347">
      <c r="A347" s="99">
        <v>346.0</v>
      </c>
      <c r="B347" s="15"/>
      <c r="C347" s="15"/>
      <c r="D347" s="105">
        <v>1.0</v>
      </c>
      <c r="E347" s="102">
        <v>12.0</v>
      </c>
      <c r="F347" s="107">
        <v>31.0</v>
      </c>
      <c r="G347" s="15" t="str">
        <f t="shared" si="1"/>
        <v>12031</v>
      </c>
      <c r="H347" s="23" t="s">
        <v>433</v>
      </c>
      <c r="I347" s="23" t="s">
        <v>42</v>
      </c>
      <c r="J347" s="23" t="s">
        <v>245</v>
      </c>
      <c r="K347" s="23" t="str">
        <f t="shared" si="10"/>
        <v>Duval, FL</v>
      </c>
      <c r="L347" s="23">
        <v>1069.0</v>
      </c>
      <c r="M347" s="23" t="s">
        <v>63</v>
      </c>
      <c r="N347" s="35">
        <v>740.0</v>
      </c>
      <c r="O347" s="35">
        <v>184.0</v>
      </c>
      <c r="P347" s="23" t="s">
        <v>63</v>
      </c>
      <c r="Q347" s="23" t="s">
        <v>63</v>
      </c>
      <c r="R347" s="23" t="s">
        <v>63</v>
      </c>
      <c r="S347" s="125" t="s">
        <v>63</v>
      </c>
      <c r="T347" s="32">
        <v>0.6840077071290944</v>
      </c>
      <c r="U347" s="23" t="s">
        <v>63</v>
      </c>
      <c r="V347" s="125" t="s">
        <v>63</v>
      </c>
      <c r="W347" s="125" t="s">
        <v>63</v>
      </c>
      <c r="X347" s="125" t="s">
        <v>63</v>
      </c>
      <c r="Y347" s="35">
        <v>711.0</v>
      </c>
      <c r="Z347" s="32" t="s">
        <v>63</v>
      </c>
      <c r="AA347" s="38"/>
      <c r="AB347" s="38"/>
      <c r="AC347" s="38"/>
      <c r="AD347" s="38"/>
      <c r="AE347" s="38"/>
      <c r="AF347" s="38"/>
      <c r="AG347" s="38"/>
      <c r="AH347" s="38"/>
      <c r="AI347" s="38"/>
      <c r="AJ347" s="38"/>
      <c r="AK347" s="38"/>
    </row>
    <row r="348">
      <c r="A348" s="99">
        <v>347.0</v>
      </c>
      <c r="B348" s="15"/>
      <c r="C348" s="15"/>
      <c r="D348" s="105">
        <v>1.0</v>
      </c>
      <c r="E348" s="102">
        <v>12.0</v>
      </c>
      <c r="F348" s="107">
        <v>33.0</v>
      </c>
      <c r="G348" s="15" t="str">
        <f t="shared" si="1"/>
        <v>12033</v>
      </c>
      <c r="H348" s="23" t="s">
        <v>133</v>
      </c>
      <c r="I348" s="23" t="s">
        <v>42</v>
      </c>
      <c r="J348" s="23" t="s">
        <v>245</v>
      </c>
      <c r="K348" s="23" t="str">
        <f t="shared" si="10"/>
        <v>Escambia, FL</v>
      </c>
      <c r="L348" s="23">
        <v>582.0</v>
      </c>
      <c r="M348" s="23" t="s">
        <v>63</v>
      </c>
      <c r="N348" s="35">
        <v>369.0</v>
      </c>
      <c r="O348" s="35">
        <v>113.0</v>
      </c>
      <c r="P348" s="23" t="s">
        <v>63</v>
      </c>
      <c r="Q348" s="23" t="s">
        <v>63</v>
      </c>
      <c r="R348" s="23" t="s">
        <v>63</v>
      </c>
      <c r="S348" s="125" t="s">
        <v>63</v>
      </c>
      <c r="T348" s="32">
        <v>0.7647058823529411</v>
      </c>
      <c r="U348" s="23" t="s">
        <v>63</v>
      </c>
      <c r="V348" s="125" t="s">
        <v>63</v>
      </c>
      <c r="W348" s="125" t="s">
        <v>63</v>
      </c>
      <c r="X348" s="125" t="s">
        <v>63</v>
      </c>
      <c r="Y348" s="35">
        <v>304.0</v>
      </c>
      <c r="Z348" s="32" t="s">
        <v>63</v>
      </c>
      <c r="AA348" s="38"/>
      <c r="AB348" s="38"/>
      <c r="AC348" s="38"/>
      <c r="AD348" s="38"/>
      <c r="AE348" s="38"/>
      <c r="AF348" s="38"/>
      <c r="AG348" s="38"/>
      <c r="AH348" s="38"/>
      <c r="AI348" s="38"/>
      <c r="AJ348" s="38"/>
      <c r="AK348" s="38"/>
    </row>
    <row r="349">
      <c r="A349" s="99">
        <v>348.0</v>
      </c>
      <c r="B349" s="15"/>
      <c r="C349" s="15"/>
      <c r="D349" s="105">
        <v>1.0</v>
      </c>
      <c r="E349" s="102">
        <v>12.0</v>
      </c>
      <c r="F349" s="107">
        <v>35.0</v>
      </c>
      <c r="G349" s="15" t="str">
        <f t="shared" si="1"/>
        <v>12035</v>
      </c>
      <c r="H349" s="23" t="s">
        <v>491</v>
      </c>
      <c r="I349" s="23" t="s">
        <v>42</v>
      </c>
      <c r="J349" s="23" t="s">
        <v>245</v>
      </c>
      <c r="K349" s="23" t="str">
        <f t="shared" si="10"/>
        <v>Flagler, FL</v>
      </c>
      <c r="L349" s="23">
        <v>47.0</v>
      </c>
      <c r="M349" s="23" t="s">
        <v>63</v>
      </c>
      <c r="N349" s="35">
        <v>23.0</v>
      </c>
      <c r="O349" s="35">
        <v>13.0</v>
      </c>
      <c r="P349" s="23" t="s">
        <v>63</v>
      </c>
      <c r="Q349" s="23" t="s">
        <v>63</v>
      </c>
      <c r="R349" s="23" t="s">
        <v>63</v>
      </c>
      <c r="S349" s="125" t="s">
        <v>63</v>
      </c>
      <c r="T349" s="32">
        <v>0.8</v>
      </c>
      <c r="U349" s="23" t="s">
        <v>63</v>
      </c>
      <c r="V349" s="125" t="s">
        <v>63</v>
      </c>
      <c r="W349" s="125" t="s">
        <v>63</v>
      </c>
      <c r="X349" s="125" t="s">
        <v>63</v>
      </c>
      <c r="Y349" s="35">
        <v>52.0</v>
      </c>
      <c r="Z349" s="32" t="s">
        <v>63</v>
      </c>
      <c r="AA349" s="38"/>
      <c r="AB349" s="38"/>
      <c r="AC349" s="38"/>
      <c r="AD349" s="38"/>
      <c r="AE349" s="38"/>
      <c r="AF349" s="38"/>
      <c r="AG349" s="38"/>
      <c r="AH349" s="38"/>
      <c r="AI349" s="38"/>
      <c r="AJ349" s="38"/>
      <c r="AK349" s="38"/>
    </row>
    <row r="350">
      <c r="A350" s="99">
        <v>349.0</v>
      </c>
      <c r="B350" s="15"/>
      <c r="C350" s="15"/>
      <c r="D350" s="105">
        <v>1.0</v>
      </c>
      <c r="E350" s="102">
        <v>12.0</v>
      </c>
      <c r="F350" s="107">
        <v>37.0</v>
      </c>
      <c r="G350" s="15" t="str">
        <f t="shared" si="1"/>
        <v>12037</v>
      </c>
      <c r="H350" s="23" t="s">
        <v>136</v>
      </c>
      <c r="I350" s="23" t="s">
        <v>42</v>
      </c>
      <c r="J350" s="23" t="s">
        <v>245</v>
      </c>
      <c r="K350" s="23" t="str">
        <f t="shared" si="10"/>
        <v>Franklin, FL</v>
      </c>
      <c r="L350" s="23">
        <v>10.0</v>
      </c>
      <c r="M350" s="23" t="s">
        <v>63</v>
      </c>
      <c r="N350" s="35">
        <v>8.0</v>
      </c>
      <c r="O350" s="35">
        <v>2.0</v>
      </c>
      <c r="P350" s="23" t="s">
        <v>63</v>
      </c>
      <c r="Q350" s="23" t="s">
        <v>63</v>
      </c>
      <c r="R350" s="23" t="s">
        <v>63</v>
      </c>
      <c r="S350" s="125" t="s">
        <v>63</v>
      </c>
      <c r="T350" s="32">
        <v>0.8571428571428571</v>
      </c>
      <c r="U350" s="23" t="s">
        <v>63</v>
      </c>
      <c r="V350" s="125" t="s">
        <v>63</v>
      </c>
      <c r="W350" s="125" t="s">
        <v>63</v>
      </c>
      <c r="X350" s="125" t="s">
        <v>63</v>
      </c>
      <c r="Y350" s="35">
        <v>23.0</v>
      </c>
      <c r="Z350" s="32" t="s">
        <v>63</v>
      </c>
      <c r="AA350" s="38"/>
      <c r="AB350" s="38"/>
      <c r="AC350" s="38"/>
      <c r="AD350" s="38"/>
      <c r="AE350" s="38"/>
      <c r="AF350" s="38"/>
      <c r="AG350" s="38"/>
      <c r="AH350" s="38"/>
      <c r="AI350" s="38"/>
      <c r="AJ350" s="38"/>
      <c r="AK350" s="38"/>
    </row>
    <row r="351">
      <c r="A351" s="99">
        <v>350.0</v>
      </c>
      <c r="B351" s="15"/>
      <c r="C351" s="15"/>
      <c r="D351" s="105">
        <v>1.0</v>
      </c>
      <c r="E351" s="102">
        <v>12.0</v>
      </c>
      <c r="F351" s="107">
        <v>39.0</v>
      </c>
      <c r="G351" s="15" t="str">
        <f t="shared" si="1"/>
        <v>12039</v>
      </c>
      <c r="H351" s="23" t="s">
        <v>493</v>
      </c>
      <c r="I351" s="23" t="s">
        <v>42</v>
      </c>
      <c r="J351" s="23" t="s">
        <v>245</v>
      </c>
      <c r="K351" s="23" t="str">
        <f t="shared" si="10"/>
        <v>Gadsden, FL</v>
      </c>
      <c r="L351" s="23">
        <v>22.0</v>
      </c>
      <c r="M351" s="23" t="s">
        <v>63</v>
      </c>
      <c r="N351" s="35">
        <v>9.0</v>
      </c>
      <c r="O351" s="35">
        <v>5.0</v>
      </c>
      <c r="P351" s="23" t="s">
        <v>63</v>
      </c>
      <c r="Q351" s="23" t="s">
        <v>63</v>
      </c>
      <c r="R351" s="23" t="s">
        <v>63</v>
      </c>
      <c r="S351" s="125" t="s">
        <v>63</v>
      </c>
      <c r="T351" s="32">
        <v>1.0</v>
      </c>
      <c r="U351" s="23" t="s">
        <v>63</v>
      </c>
      <c r="V351" s="125" t="s">
        <v>63</v>
      </c>
      <c r="W351" s="125" t="s">
        <v>63</v>
      </c>
      <c r="X351" s="125" t="s">
        <v>63</v>
      </c>
      <c r="Y351" s="35">
        <v>93.0</v>
      </c>
      <c r="Z351" s="32" t="s">
        <v>63</v>
      </c>
      <c r="AA351" s="38"/>
      <c r="AB351" s="38"/>
      <c r="AC351" s="38"/>
      <c r="AD351" s="38"/>
      <c r="AE351" s="38"/>
      <c r="AF351" s="38"/>
      <c r="AG351" s="38"/>
      <c r="AH351" s="38"/>
      <c r="AI351" s="38"/>
      <c r="AJ351" s="38"/>
      <c r="AK351" s="38"/>
    </row>
    <row r="352">
      <c r="A352" s="99">
        <v>351.0</v>
      </c>
      <c r="B352" s="15"/>
      <c r="C352" s="15"/>
      <c r="D352" s="105">
        <v>1.0</v>
      </c>
      <c r="E352" s="102">
        <v>12.0</v>
      </c>
      <c r="F352" s="107">
        <v>41.0</v>
      </c>
      <c r="G352" s="15" t="str">
        <f t="shared" si="1"/>
        <v>12041</v>
      </c>
      <c r="H352" s="23" t="s">
        <v>494</v>
      </c>
      <c r="I352" s="23" t="s">
        <v>42</v>
      </c>
      <c r="J352" s="23" t="s">
        <v>245</v>
      </c>
      <c r="K352" s="23" t="str">
        <f t="shared" si="10"/>
        <v>Gilchrist, FL</v>
      </c>
      <c r="L352" s="23">
        <v>15.0</v>
      </c>
      <c r="M352" s="23" t="s">
        <v>63</v>
      </c>
      <c r="N352" s="35">
        <v>9.0</v>
      </c>
      <c r="O352" s="35">
        <v>3.0</v>
      </c>
      <c r="P352" s="23" t="s">
        <v>63</v>
      </c>
      <c r="Q352" s="23" t="s">
        <v>63</v>
      </c>
      <c r="R352" s="23" t="s">
        <v>63</v>
      </c>
      <c r="S352" s="125" t="s">
        <v>63</v>
      </c>
      <c r="T352" s="32">
        <v>1.0</v>
      </c>
      <c r="U352" s="23" t="s">
        <v>63</v>
      </c>
      <c r="V352" s="125" t="s">
        <v>63</v>
      </c>
      <c r="W352" s="125" t="s">
        <v>63</v>
      </c>
      <c r="X352" s="125" t="s">
        <v>63</v>
      </c>
      <c r="Y352" s="35">
        <v>16.0</v>
      </c>
      <c r="Z352" s="32" t="s">
        <v>63</v>
      </c>
      <c r="AA352" s="38"/>
      <c r="AB352" s="38"/>
      <c r="AC352" s="38"/>
      <c r="AD352" s="38"/>
      <c r="AE352" s="38"/>
      <c r="AF352" s="38"/>
      <c r="AG352" s="38"/>
      <c r="AH352" s="38"/>
      <c r="AI352" s="38"/>
      <c r="AJ352" s="38"/>
      <c r="AK352" s="38"/>
    </row>
    <row r="353">
      <c r="A353" s="99">
        <v>352.0</v>
      </c>
      <c r="B353" s="15"/>
      <c r="C353" s="15"/>
      <c r="D353" s="105">
        <v>1.0</v>
      </c>
      <c r="E353" s="102">
        <v>12.0</v>
      </c>
      <c r="F353" s="107">
        <v>43.0</v>
      </c>
      <c r="G353" s="15" t="str">
        <f t="shared" si="1"/>
        <v>12043</v>
      </c>
      <c r="H353" s="23" t="s">
        <v>495</v>
      </c>
      <c r="I353" s="23" t="s">
        <v>42</v>
      </c>
      <c r="J353" s="23" t="s">
        <v>245</v>
      </c>
      <c r="K353" s="23" t="str">
        <f t="shared" si="10"/>
        <v>Glades, FL</v>
      </c>
      <c r="L353" s="23">
        <v>12.0</v>
      </c>
      <c r="M353" s="23" t="s">
        <v>63</v>
      </c>
      <c r="N353" s="35">
        <v>2.0</v>
      </c>
      <c r="O353" s="35">
        <v>9.0</v>
      </c>
      <c r="P353" s="23" t="s">
        <v>63</v>
      </c>
      <c r="Q353" s="23" t="s">
        <v>63</v>
      </c>
      <c r="R353" s="23" t="s">
        <v>63</v>
      </c>
      <c r="S353" s="125" t="s">
        <v>63</v>
      </c>
      <c r="T353" s="32" t="s">
        <v>321</v>
      </c>
      <c r="U353" s="23" t="s">
        <v>63</v>
      </c>
      <c r="V353" s="125" t="s">
        <v>63</v>
      </c>
      <c r="W353" s="125" t="s">
        <v>63</v>
      </c>
      <c r="X353" s="125" t="s">
        <v>63</v>
      </c>
      <c r="Y353" s="35">
        <v>12.0</v>
      </c>
      <c r="Z353" s="32" t="s">
        <v>63</v>
      </c>
      <c r="AA353" s="38"/>
      <c r="AB353" s="38"/>
      <c r="AC353" s="38"/>
      <c r="AD353" s="38"/>
      <c r="AE353" s="38"/>
      <c r="AF353" s="38"/>
      <c r="AG353" s="38"/>
      <c r="AH353" s="38"/>
      <c r="AI353" s="38"/>
      <c r="AJ353" s="38"/>
      <c r="AK353" s="38"/>
    </row>
    <row r="354">
      <c r="A354" s="99">
        <v>353.0</v>
      </c>
      <c r="B354" s="15"/>
      <c r="C354" s="15"/>
      <c r="D354" s="105">
        <v>1.0</v>
      </c>
      <c r="E354" s="102">
        <v>12.0</v>
      </c>
      <c r="F354" s="107">
        <v>45.0</v>
      </c>
      <c r="G354" s="15" t="str">
        <f t="shared" si="1"/>
        <v>12045</v>
      </c>
      <c r="H354" s="23" t="s">
        <v>496</v>
      </c>
      <c r="I354" s="23" t="s">
        <v>42</v>
      </c>
      <c r="J354" s="23" t="s">
        <v>245</v>
      </c>
      <c r="K354" s="23" t="str">
        <f t="shared" si="10"/>
        <v>Gulf, FL</v>
      </c>
      <c r="L354" s="23">
        <v>9.0</v>
      </c>
      <c r="M354" s="23" t="s">
        <v>63</v>
      </c>
      <c r="N354" s="35">
        <v>4.0</v>
      </c>
      <c r="O354" s="35">
        <v>4.0</v>
      </c>
      <c r="P354" s="23" t="s">
        <v>63</v>
      </c>
      <c r="Q354" s="23" t="s">
        <v>63</v>
      </c>
      <c r="R354" s="23" t="s">
        <v>63</v>
      </c>
      <c r="S354" s="125" t="s">
        <v>63</v>
      </c>
      <c r="T354" s="32">
        <v>1.0</v>
      </c>
      <c r="U354" s="23" t="s">
        <v>63</v>
      </c>
      <c r="V354" s="125" t="s">
        <v>63</v>
      </c>
      <c r="W354" s="125" t="s">
        <v>63</v>
      </c>
      <c r="X354" s="125" t="s">
        <v>63</v>
      </c>
      <c r="Y354" s="35">
        <v>39.0</v>
      </c>
      <c r="Z354" s="32" t="s">
        <v>63</v>
      </c>
      <c r="AA354" s="38"/>
      <c r="AB354" s="38"/>
      <c r="AC354" s="38"/>
      <c r="AD354" s="38"/>
      <c r="AE354" s="38"/>
      <c r="AF354" s="38"/>
      <c r="AG354" s="38"/>
      <c r="AH354" s="38"/>
      <c r="AI354" s="38"/>
      <c r="AJ354" s="38"/>
      <c r="AK354" s="38"/>
    </row>
    <row r="355">
      <c r="A355" s="99">
        <v>354.0</v>
      </c>
      <c r="B355" s="15"/>
      <c r="C355" s="15"/>
      <c r="D355" s="105">
        <v>1.0</v>
      </c>
      <c r="E355" s="102">
        <v>12.0</v>
      </c>
      <c r="F355" s="107">
        <v>47.0</v>
      </c>
      <c r="G355" s="15" t="str">
        <f t="shared" si="1"/>
        <v>12047</v>
      </c>
      <c r="H355" s="23" t="s">
        <v>497</v>
      </c>
      <c r="I355" s="23" t="s">
        <v>42</v>
      </c>
      <c r="J355" s="23" t="s">
        <v>245</v>
      </c>
      <c r="K355" s="23" t="str">
        <f t="shared" si="10"/>
        <v>Hamilton, FL</v>
      </c>
      <c r="L355" s="23">
        <v>21.0</v>
      </c>
      <c r="M355" s="23" t="s">
        <v>63</v>
      </c>
      <c r="N355" s="35">
        <v>18.0</v>
      </c>
      <c r="O355" s="35">
        <v>3.0</v>
      </c>
      <c r="P355" s="23" t="s">
        <v>63</v>
      </c>
      <c r="Q355" s="23" t="s">
        <v>63</v>
      </c>
      <c r="R355" s="23" t="s">
        <v>63</v>
      </c>
      <c r="S355" s="125" t="s">
        <v>63</v>
      </c>
      <c r="T355" s="32">
        <v>0.5909090909090909</v>
      </c>
      <c r="U355" s="23" t="s">
        <v>63</v>
      </c>
      <c r="V355" s="125" t="s">
        <v>63</v>
      </c>
      <c r="W355" s="125" t="s">
        <v>63</v>
      </c>
      <c r="X355" s="125" t="s">
        <v>63</v>
      </c>
      <c r="Y355" s="35">
        <v>19.0</v>
      </c>
      <c r="Z355" s="32" t="s">
        <v>63</v>
      </c>
      <c r="AA355" s="38"/>
      <c r="AB355" s="38"/>
      <c r="AC355" s="38"/>
      <c r="AD355" s="38"/>
      <c r="AE355" s="38"/>
      <c r="AF355" s="38"/>
      <c r="AG355" s="38"/>
      <c r="AH355" s="38"/>
      <c r="AI355" s="38"/>
      <c r="AJ355" s="38"/>
      <c r="AK355" s="38"/>
    </row>
    <row r="356">
      <c r="A356" s="99">
        <v>355.0</v>
      </c>
      <c r="B356" s="15"/>
      <c r="C356" s="15"/>
      <c r="D356" s="105">
        <v>1.0</v>
      </c>
      <c r="E356" s="102">
        <v>12.0</v>
      </c>
      <c r="F356" s="107">
        <v>49.0</v>
      </c>
      <c r="G356" s="15" t="str">
        <f t="shared" si="1"/>
        <v>12049</v>
      </c>
      <c r="H356" s="23" t="s">
        <v>498</v>
      </c>
      <c r="I356" s="23" t="s">
        <v>42</v>
      </c>
      <c r="J356" s="23" t="s">
        <v>245</v>
      </c>
      <c r="K356" s="23" t="str">
        <f t="shared" si="10"/>
        <v>Hardee, FL</v>
      </c>
      <c r="L356" s="23">
        <v>33.0</v>
      </c>
      <c r="M356" s="23" t="s">
        <v>63</v>
      </c>
      <c r="N356" s="35">
        <v>20.0</v>
      </c>
      <c r="O356" s="35">
        <v>2.0</v>
      </c>
      <c r="P356" s="23" t="s">
        <v>63</v>
      </c>
      <c r="Q356" s="23" t="s">
        <v>63</v>
      </c>
      <c r="R356" s="23" t="s">
        <v>63</v>
      </c>
      <c r="S356" s="125" t="s">
        <v>63</v>
      </c>
      <c r="T356" s="32">
        <v>1.0</v>
      </c>
      <c r="U356" s="23" t="s">
        <v>63</v>
      </c>
      <c r="V356" s="125" t="s">
        <v>63</v>
      </c>
      <c r="W356" s="125" t="s">
        <v>63</v>
      </c>
      <c r="X356" s="125" t="s">
        <v>63</v>
      </c>
      <c r="Y356" s="35">
        <v>38.0</v>
      </c>
      <c r="Z356" s="32" t="s">
        <v>63</v>
      </c>
      <c r="AA356" s="38"/>
      <c r="AB356" s="38"/>
      <c r="AC356" s="38"/>
      <c r="AD356" s="38"/>
      <c r="AE356" s="38"/>
      <c r="AF356" s="38"/>
      <c r="AG356" s="38"/>
      <c r="AH356" s="38"/>
      <c r="AI356" s="38"/>
      <c r="AJ356" s="38"/>
      <c r="AK356" s="38"/>
    </row>
    <row r="357">
      <c r="A357" s="99">
        <v>356.0</v>
      </c>
      <c r="B357" s="15"/>
      <c r="C357" s="15"/>
      <c r="D357" s="105">
        <v>1.0</v>
      </c>
      <c r="E357" s="102">
        <v>12.0</v>
      </c>
      <c r="F357" s="107">
        <v>51.0</v>
      </c>
      <c r="G357" s="15" t="str">
        <f t="shared" si="1"/>
        <v>12051</v>
      </c>
      <c r="H357" s="23" t="s">
        <v>499</v>
      </c>
      <c r="I357" s="23" t="s">
        <v>42</v>
      </c>
      <c r="J357" s="23" t="s">
        <v>245</v>
      </c>
      <c r="K357" s="23" t="str">
        <f t="shared" si="10"/>
        <v>Hendry, FL</v>
      </c>
      <c r="L357" s="23">
        <v>68.0</v>
      </c>
      <c r="M357" s="23" t="s">
        <v>63</v>
      </c>
      <c r="N357" s="35">
        <v>26.0</v>
      </c>
      <c r="O357" s="35">
        <v>29.0</v>
      </c>
      <c r="P357" s="23" t="s">
        <v>63</v>
      </c>
      <c r="Q357" s="23" t="s">
        <v>63</v>
      </c>
      <c r="R357" s="23" t="s">
        <v>63</v>
      </c>
      <c r="S357" s="125" t="s">
        <v>63</v>
      </c>
      <c r="T357" s="32">
        <v>0.6666666666666666</v>
      </c>
      <c r="U357" s="23" t="s">
        <v>63</v>
      </c>
      <c r="V357" s="125" t="s">
        <v>63</v>
      </c>
      <c r="W357" s="125" t="s">
        <v>63</v>
      </c>
      <c r="X357" s="125" t="s">
        <v>63</v>
      </c>
      <c r="Y357" s="35">
        <v>40.0</v>
      </c>
      <c r="Z357" s="32" t="s">
        <v>63</v>
      </c>
      <c r="AA357" s="38"/>
      <c r="AB357" s="38"/>
      <c r="AC357" s="38"/>
      <c r="AD357" s="38"/>
      <c r="AE357" s="38"/>
      <c r="AF357" s="38"/>
      <c r="AG357" s="38"/>
      <c r="AH357" s="38"/>
      <c r="AI357" s="38"/>
      <c r="AJ357" s="38"/>
      <c r="AK357" s="38"/>
    </row>
    <row r="358">
      <c r="A358" s="99">
        <v>357.0</v>
      </c>
      <c r="B358" s="15"/>
      <c r="C358" s="15"/>
      <c r="D358" s="105">
        <v>1.0</v>
      </c>
      <c r="E358" s="102">
        <v>12.0</v>
      </c>
      <c r="F358" s="107">
        <v>53.0</v>
      </c>
      <c r="G358" s="15" t="str">
        <f t="shared" si="1"/>
        <v>12053</v>
      </c>
      <c r="H358" s="23" t="s">
        <v>500</v>
      </c>
      <c r="I358" s="23" t="s">
        <v>42</v>
      </c>
      <c r="J358" s="23" t="s">
        <v>245</v>
      </c>
      <c r="K358" s="23" t="str">
        <f t="shared" si="10"/>
        <v>Hernando, FL</v>
      </c>
      <c r="L358" s="23">
        <v>178.0</v>
      </c>
      <c r="M358" s="23" t="s">
        <v>63</v>
      </c>
      <c r="N358" s="35">
        <v>87.0</v>
      </c>
      <c r="O358" s="35">
        <v>74.0</v>
      </c>
      <c r="P358" s="23" t="s">
        <v>63</v>
      </c>
      <c r="Q358" s="23" t="s">
        <v>63</v>
      </c>
      <c r="R358" s="23" t="s">
        <v>63</v>
      </c>
      <c r="S358" s="125" t="s">
        <v>63</v>
      </c>
      <c r="T358" s="32">
        <v>0.6972477064220184</v>
      </c>
      <c r="U358" s="23" t="s">
        <v>63</v>
      </c>
      <c r="V358" s="125" t="s">
        <v>63</v>
      </c>
      <c r="W358" s="125" t="s">
        <v>63</v>
      </c>
      <c r="X358" s="125" t="s">
        <v>63</v>
      </c>
      <c r="Y358" s="35">
        <v>97.0</v>
      </c>
      <c r="Z358" s="32" t="s">
        <v>63</v>
      </c>
      <c r="AA358" s="38"/>
      <c r="AB358" s="38"/>
      <c r="AC358" s="38"/>
      <c r="AD358" s="38"/>
      <c r="AE358" s="38"/>
      <c r="AF358" s="38"/>
      <c r="AG358" s="38"/>
      <c r="AH358" s="38"/>
      <c r="AI358" s="38"/>
      <c r="AJ358" s="38"/>
      <c r="AK358" s="38"/>
    </row>
    <row r="359">
      <c r="A359" s="99">
        <v>358.0</v>
      </c>
      <c r="B359" s="15"/>
      <c r="C359" s="15"/>
      <c r="D359" s="105">
        <v>1.0</v>
      </c>
      <c r="E359" s="102">
        <v>12.0</v>
      </c>
      <c r="F359" s="107">
        <v>55.0</v>
      </c>
      <c r="G359" s="15" t="str">
        <f t="shared" si="1"/>
        <v>12055</v>
      </c>
      <c r="H359" s="23" t="s">
        <v>501</v>
      </c>
      <c r="I359" s="23" t="s">
        <v>42</v>
      </c>
      <c r="J359" s="23" t="s">
        <v>245</v>
      </c>
      <c r="K359" s="23" t="str">
        <f t="shared" si="10"/>
        <v>Highlands, FL</v>
      </c>
      <c r="L359" s="23">
        <v>291.0</v>
      </c>
      <c r="M359" s="23" t="s">
        <v>63</v>
      </c>
      <c r="N359" s="35">
        <v>153.0</v>
      </c>
      <c r="O359" s="35">
        <v>107.0</v>
      </c>
      <c r="P359" s="23" t="s">
        <v>63</v>
      </c>
      <c r="Q359" s="23" t="s">
        <v>63</v>
      </c>
      <c r="R359" s="23" t="s">
        <v>63</v>
      </c>
      <c r="S359" s="125" t="s">
        <v>63</v>
      </c>
      <c r="T359" s="32">
        <v>0.7840909090909091</v>
      </c>
      <c r="U359" s="23" t="s">
        <v>63</v>
      </c>
      <c r="V359" s="125" t="s">
        <v>63</v>
      </c>
      <c r="W359" s="125" t="s">
        <v>63</v>
      </c>
      <c r="X359" s="125" t="s">
        <v>63</v>
      </c>
      <c r="Y359" s="35">
        <v>110.0</v>
      </c>
      <c r="Z359" s="32" t="s">
        <v>63</v>
      </c>
      <c r="AA359" s="38"/>
      <c r="AB359" s="38"/>
      <c r="AC359" s="38"/>
      <c r="AD359" s="38"/>
      <c r="AE359" s="38"/>
      <c r="AF359" s="38"/>
      <c r="AG359" s="38"/>
      <c r="AH359" s="38"/>
      <c r="AI359" s="38"/>
      <c r="AJ359" s="38"/>
      <c r="AK359" s="38"/>
    </row>
    <row r="360">
      <c r="A360" s="99">
        <v>359.0</v>
      </c>
      <c r="B360" s="15"/>
      <c r="C360" s="15"/>
      <c r="D360" s="105">
        <v>1.0</v>
      </c>
      <c r="E360" s="102">
        <v>12.0</v>
      </c>
      <c r="F360" s="107">
        <v>57.0</v>
      </c>
      <c r="G360" s="15" t="str">
        <f t="shared" si="1"/>
        <v>12057</v>
      </c>
      <c r="H360" s="23" t="s">
        <v>306</v>
      </c>
      <c r="I360" s="23" t="s">
        <v>42</v>
      </c>
      <c r="J360" s="23" t="s">
        <v>245</v>
      </c>
      <c r="K360" s="23" t="str">
        <f t="shared" si="10"/>
        <v>Hillsborough, FL</v>
      </c>
      <c r="L360" s="35">
        <v>1716.0</v>
      </c>
      <c r="M360" s="23" t="s">
        <v>63</v>
      </c>
      <c r="N360" s="35">
        <v>831.0</v>
      </c>
      <c r="O360" s="35">
        <v>510.0</v>
      </c>
      <c r="P360" s="23" t="s">
        <v>63</v>
      </c>
      <c r="Q360" s="23" t="s">
        <v>63</v>
      </c>
      <c r="R360" s="23" t="s">
        <v>63</v>
      </c>
      <c r="S360" s="125" t="s">
        <v>63</v>
      </c>
      <c r="T360" s="32">
        <v>0.9394221808014911</v>
      </c>
      <c r="U360" s="23" t="s">
        <v>63</v>
      </c>
      <c r="V360" s="125" t="s">
        <v>63</v>
      </c>
      <c r="W360" s="125" t="s">
        <v>63</v>
      </c>
      <c r="X360" s="125" t="s">
        <v>63</v>
      </c>
      <c r="Y360" s="35">
        <v>654.0</v>
      </c>
      <c r="Z360" s="32" t="s">
        <v>63</v>
      </c>
      <c r="AA360" s="38"/>
      <c r="AB360" s="38"/>
      <c r="AC360" s="38"/>
      <c r="AD360" s="38"/>
      <c r="AE360" s="38"/>
      <c r="AF360" s="38"/>
      <c r="AG360" s="38"/>
      <c r="AH360" s="38"/>
      <c r="AI360" s="38"/>
      <c r="AJ360" s="38"/>
      <c r="AK360" s="38"/>
    </row>
    <row r="361">
      <c r="A361" s="99">
        <v>360.0</v>
      </c>
      <c r="B361" s="15"/>
      <c r="C361" s="15"/>
      <c r="D361" s="105">
        <v>1.0</v>
      </c>
      <c r="E361" s="102">
        <v>12.0</v>
      </c>
      <c r="F361" s="107">
        <v>59.0</v>
      </c>
      <c r="G361" s="15" t="str">
        <f t="shared" si="1"/>
        <v>12059</v>
      </c>
      <c r="H361" s="23" t="s">
        <v>502</v>
      </c>
      <c r="I361" s="23" t="s">
        <v>42</v>
      </c>
      <c r="J361" s="23" t="s">
        <v>245</v>
      </c>
      <c r="K361" s="23" t="str">
        <f t="shared" si="10"/>
        <v>Holmes, FL</v>
      </c>
      <c r="L361" s="23">
        <v>36.0</v>
      </c>
      <c r="M361" s="23" t="s">
        <v>63</v>
      </c>
      <c r="N361" s="35">
        <v>20.0</v>
      </c>
      <c r="O361" s="35">
        <v>9.0</v>
      </c>
      <c r="P361" s="23" t="s">
        <v>63</v>
      </c>
      <c r="Q361" s="23" t="s">
        <v>63</v>
      </c>
      <c r="R361" s="23" t="s">
        <v>63</v>
      </c>
      <c r="S361" s="125" t="s">
        <v>63</v>
      </c>
      <c r="T361" s="32">
        <v>0.9047619047619048</v>
      </c>
      <c r="U361" s="23" t="s">
        <v>63</v>
      </c>
      <c r="V361" s="125" t="s">
        <v>63</v>
      </c>
      <c r="W361" s="125" t="s">
        <v>63</v>
      </c>
      <c r="X361" s="125" t="s">
        <v>63</v>
      </c>
      <c r="Y361" s="35">
        <v>49.0</v>
      </c>
      <c r="Z361" s="32" t="s">
        <v>63</v>
      </c>
      <c r="AA361" s="38"/>
      <c r="AB361" s="38"/>
      <c r="AC361" s="38"/>
      <c r="AD361" s="38"/>
      <c r="AE361" s="38"/>
      <c r="AF361" s="38"/>
      <c r="AG361" s="38"/>
      <c r="AH361" s="38"/>
      <c r="AI361" s="38"/>
      <c r="AJ361" s="38"/>
      <c r="AK361" s="38"/>
    </row>
    <row r="362">
      <c r="A362" s="99">
        <v>361.0</v>
      </c>
      <c r="B362" s="15"/>
      <c r="C362" s="15"/>
      <c r="D362" s="105">
        <v>1.0</v>
      </c>
      <c r="E362" s="102">
        <v>12.0</v>
      </c>
      <c r="F362" s="107">
        <v>61.0</v>
      </c>
      <c r="G362" s="15" t="str">
        <f t="shared" si="1"/>
        <v>12061</v>
      </c>
      <c r="H362" s="23" t="s">
        <v>504</v>
      </c>
      <c r="I362" s="23" t="s">
        <v>42</v>
      </c>
      <c r="J362" s="23" t="s">
        <v>245</v>
      </c>
      <c r="K362" s="23" t="str">
        <f t="shared" si="10"/>
        <v>Indian River, FL</v>
      </c>
      <c r="L362" s="23">
        <v>107.0</v>
      </c>
      <c r="M362" s="23" t="s">
        <v>63</v>
      </c>
      <c r="N362" s="35">
        <v>47.0</v>
      </c>
      <c r="O362" s="35">
        <v>42.0</v>
      </c>
      <c r="P362" s="23" t="s">
        <v>63</v>
      </c>
      <c r="Q362" s="23" t="s">
        <v>63</v>
      </c>
      <c r="R362" s="23" t="s">
        <v>63</v>
      </c>
      <c r="S362" s="125" t="s">
        <v>63</v>
      </c>
      <c r="T362" s="32">
        <v>0.8205128205128205</v>
      </c>
      <c r="U362" s="23" t="s">
        <v>63</v>
      </c>
      <c r="V362" s="125" t="s">
        <v>63</v>
      </c>
      <c r="W362" s="125" t="s">
        <v>63</v>
      </c>
      <c r="X362" s="125" t="s">
        <v>63</v>
      </c>
      <c r="Y362" s="35">
        <v>101.0</v>
      </c>
      <c r="Z362" s="32" t="s">
        <v>63</v>
      </c>
      <c r="AA362" s="38"/>
      <c r="AB362" s="38"/>
      <c r="AC362" s="38"/>
      <c r="AD362" s="38"/>
      <c r="AE362" s="38"/>
      <c r="AF362" s="38"/>
      <c r="AG362" s="38"/>
      <c r="AH362" s="38"/>
      <c r="AI362" s="38"/>
      <c r="AJ362" s="38"/>
      <c r="AK362" s="38"/>
    </row>
    <row r="363">
      <c r="A363" s="99">
        <v>362.0</v>
      </c>
      <c r="B363" s="15"/>
      <c r="C363" s="15"/>
      <c r="D363" s="105">
        <v>1.0</v>
      </c>
      <c r="E363" s="102">
        <v>12.0</v>
      </c>
      <c r="F363" s="107">
        <v>63.0</v>
      </c>
      <c r="G363" s="15" t="str">
        <f t="shared" si="1"/>
        <v>12063</v>
      </c>
      <c r="H363" s="23" t="s">
        <v>142</v>
      </c>
      <c r="I363" s="23" t="s">
        <v>42</v>
      </c>
      <c r="J363" s="23" t="s">
        <v>245</v>
      </c>
      <c r="K363" s="23" t="str">
        <f t="shared" si="10"/>
        <v>Jackson, FL</v>
      </c>
      <c r="L363" s="23">
        <v>75.0</v>
      </c>
      <c r="M363" s="23" t="s">
        <v>63</v>
      </c>
      <c r="N363" s="35">
        <v>59.0</v>
      </c>
      <c r="O363" s="35">
        <v>11.0</v>
      </c>
      <c r="P363" s="23" t="s">
        <v>63</v>
      </c>
      <c r="Q363" s="23" t="s">
        <v>63</v>
      </c>
      <c r="R363" s="23" t="s">
        <v>63</v>
      </c>
      <c r="S363" s="125" t="s">
        <v>63</v>
      </c>
      <c r="T363" s="32">
        <v>0.8805970149253731</v>
      </c>
      <c r="U363" s="23" t="s">
        <v>63</v>
      </c>
      <c r="V363" s="125" t="s">
        <v>63</v>
      </c>
      <c r="W363" s="125" t="s">
        <v>63</v>
      </c>
      <c r="X363" s="125" t="s">
        <v>63</v>
      </c>
      <c r="Y363" s="35">
        <v>99.0</v>
      </c>
      <c r="Z363" s="32" t="s">
        <v>63</v>
      </c>
      <c r="AA363" s="38"/>
      <c r="AB363" s="38"/>
      <c r="AC363" s="38"/>
      <c r="AD363" s="38"/>
      <c r="AE363" s="38"/>
      <c r="AF363" s="38"/>
      <c r="AG363" s="38"/>
      <c r="AH363" s="38"/>
      <c r="AI363" s="38"/>
      <c r="AJ363" s="38"/>
      <c r="AK363" s="38"/>
    </row>
    <row r="364">
      <c r="A364" s="99">
        <v>363.0</v>
      </c>
      <c r="B364" s="15"/>
      <c r="C364" s="15"/>
      <c r="D364" s="105">
        <v>1.0</v>
      </c>
      <c r="E364" s="102">
        <v>12.0</v>
      </c>
      <c r="F364" s="107">
        <v>65.0</v>
      </c>
      <c r="G364" s="15" t="str">
        <f t="shared" si="1"/>
        <v>12065</v>
      </c>
      <c r="H364" s="23" t="s">
        <v>143</v>
      </c>
      <c r="I364" s="23" t="s">
        <v>42</v>
      </c>
      <c r="J364" s="23" t="s">
        <v>245</v>
      </c>
      <c r="K364" s="23" t="str">
        <f t="shared" si="10"/>
        <v>Jefferson, FL</v>
      </c>
      <c r="L364" s="23">
        <v>9.0</v>
      </c>
      <c r="M364" s="23" t="s">
        <v>63</v>
      </c>
      <c r="N364" s="35">
        <v>8.0</v>
      </c>
      <c r="O364" s="35">
        <v>0.0</v>
      </c>
      <c r="P364" s="23" t="s">
        <v>63</v>
      </c>
      <c r="Q364" s="23" t="s">
        <v>63</v>
      </c>
      <c r="R364" s="23" t="s">
        <v>63</v>
      </c>
      <c r="S364" s="125" t="s">
        <v>63</v>
      </c>
      <c r="T364" s="32">
        <v>1.0</v>
      </c>
      <c r="U364" s="23" t="s">
        <v>63</v>
      </c>
      <c r="V364" s="125" t="s">
        <v>63</v>
      </c>
      <c r="W364" s="125" t="s">
        <v>63</v>
      </c>
      <c r="X364" s="125" t="s">
        <v>63</v>
      </c>
      <c r="Y364" s="35">
        <v>46.0</v>
      </c>
      <c r="Z364" s="32" t="s">
        <v>63</v>
      </c>
      <c r="AA364" s="38"/>
      <c r="AB364" s="38"/>
      <c r="AC364" s="38"/>
      <c r="AD364" s="38"/>
      <c r="AE364" s="38"/>
      <c r="AF364" s="38"/>
      <c r="AG364" s="38"/>
      <c r="AH364" s="38"/>
      <c r="AI364" s="38"/>
      <c r="AJ364" s="38"/>
      <c r="AK364" s="38"/>
    </row>
    <row r="365">
      <c r="A365" s="99">
        <v>364.0</v>
      </c>
      <c r="B365" s="15"/>
      <c r="C365" s="15"/>
      <c r="D365" s="105">
        <v>1.0</v>
      </c>
      <c r="E365" s="102">
        <v>12.0</v>
      </c>
      <c r="F365" s="107">
        <v>67.0</v>
      </c>
      <c r="G365" s="15" t="str">
        <f t="shared" si="1"/>
        <v>12067</v>
      </c>
      <c r="H365" s="23" t="s">
        <v>289</v>
      </c>
      <c r="I365" s="23" t="s">
        <v>42</v>
      </c>
      <c r="J365" s="23" t="s">
        <v>245</v>
      </c>
      <c r="K365" s="23" t="str">
        <f t="shared" si="10"/>
        <v>Lafayette, FL</v>
      </c>
      <c r="L365" s="23">
        <v>7.0</v>
      </c>
      <c r="M365" s="23" t="s">
        <v>63</v>
      </c>
      <c r="N365" s="35">
        <v>3.0</v>
      </c>
      <c r="O365" s="35">
        <v>1.0</v>
      </c>
      <c r="P365" s="23" t="s">
        <v>63</v>
      </c>
      <c r="Q365" s="23" t="s">
        <v>63</v>
      </c>
      <c r="R365" s="23" t="s">
        <v>63</v>
      </c>
      <c r="S365" s="125" t="s">
        <v>63</v>
      </c>
      <c r="T365" s="32" t="s">
        <v>321</v>
      </c>
      <c r="U365" s="23" t="s">
        <v>63</v>
      </c>
      <c r="V365" s="125" t="s">
        <v>63</v>
      </c>
      <c r="W365" s="125" t="s">
        <v>63</v>
      </c>
      <c r="X365" s="125" t="s">
        <v>63</v>
      </c>
      <c r="Y365" s="35">
        <v>21.0</v>
      </c>
      <c r="Z365" s="32" t="s">
        <v>63</v>
      </c>
      <c r="AA365" s="38"/>
      <c r="AB365" s="38"/>
      <c r="AC365" s="38"/>
      <c r="AD365" s="38"/>
      <c r="AE365" s="38"/>
      <c r="AF365" s="38"/>
      <c r="AG365" s="38"/>
      <c r="AH365" s="38"/>
      <c r="AI365" s="38"/>
      <c r="AJ365" s="38"/>
      <c r="AK365" s="38"/>
    </row>
    <row r="366">
      <c r="A366" s="99">
        <v>365.0</v>
      </c>
      <c r="B366" s="15"/>
      <c r="C366" s="15"/>
      <c r="D366" s="105">
        <v>1.0</v>
      </c>
      <c r="E366" s="102">
        <v>12.0</v>
      </c>
      <c r="F366" s="107">
        <v>69.0</v>
      </c>
      <c r="G366" s="15" t="str">
        <f t="shared" si="1"/>
        <v>12069</v>
      </c>
      <c r="H366" s="23" t="s">
        <v>337</v>
      </c>
      <c r="I366" s="23" t="s">
        <v>42</v>
      </c>
      <c r="J366" s="23" t="s">
        <v>245</v>
      </c>
      <c r="K366" s="23" t="str">
        <f t="shared" si="10"/>
        <v>Lake, FL</v>
      </c>
      <c r="L366" s="23">
        <v>298.0</v>
      </c>
      <c r="M366" s="23" t="s">
        <v>63</v>
      </c>
      <c r="N366" s="35">
        <v>160.0</v>
      </c>
      <c r="O366" s="35">
        <v>108.0</v>
      </c>
      <c r="P366" s="23" t="s">
        <v>63</v>
      </c>
      <c r="Q366" s="23" t="s">
        <v>63</v>
      </c>
      <c r="R366" s="23" t="s">
        <v>63</v>
      </c>
      <c r="S366" s="125" t="s">
        <v>63</v>
      </c>
      <c r="T366" s="32">
        <v>0.9067796610169492</v>
      </c>
      <c r="U366" s="23" t="s">
        <v>63</v>
      </c>
      <c r="V366" s="125" t="s">
        <v>63</v>
      </c>
      <c r="W366" s="125" t="s">
        <v>63</v>
      </c>
      <c r="X366" s="125" t="s">
        <v>63</v>
      </c>
      <c r="Y366" s="35">
        <v>231.0</v>
      </c>
      <c r="Z366" s="32" t="s">
        <v>63</v>
      </c>
      <c r="AA366" s="38"/>
      <c r="AB366" s="38"/>
      <c r="AC366" s="38"/>
      <c r="AD366" s="38"/>
      <c r="AE366" s="38"/>
      <c r="AF366" s="38"/>
      <c r="AG366" s="38"/>
      <c r="AH366" s="38"/>
      <c r="AI366" s="38"/>
      <c r="AJ366" s="38"/>
      <c r="AK366" s="38"/>
    </row>
    <row r="367">
      <c r="A367" s="99">
        <v>366.0</v>
      </c>
      <c r="B367" s="15"/>
      <c r="C367" s="15"/>
      <c r="D367" s="105">
        <v>1.0</v>
      </c>
      <c r="E367" s="102">
        <v>12.0</v>
      </c>
      <c r="F367" s="107">
        <v>71.0</v>
      </c>
      <c r="G367" s="15" t="str">
        <f t="shared" si="1"/>
        <v>12071</v>
      </c>
      <c r="H367" s="23" t="s">
        <v>147</v>
      </c>
      <c r="I367" s="23" t="s">
        <v>42</v>
      </c>
      <c r="J367" s="23" t="s">
        <v>245</v>
      </c>
      <c r="K367" s="23" t="str">
        <f t="shared" si="10"/>
        <v>Lee, FL</v>
      </c>
      <c r="L367" s="23">
        <v>584.0</v>
      </c>
      <c r="M367" s="23" t="s">
        <v>63</v>
      </c>
      <c r="N367" s="35">
        <v>302.0</v>
      </c>
      <c r="O367" s="35">
        <v>157.0</v>
      </c>
      <c r="P367" s="23" t="s">
        <v>63</v>
      </c>
      <c r="Q367" s="23" t="s">
        <v>63</v>
      </c>
      <c r="R367" s="23" t="s">
        <v>63</v>
      </c>
      <c r="S367" s="125" t="s">
        <v>63</v>
      </c>
      <c r="T367" s="32">
        <v>0.7406779661016949</v>
      </c>
      <c r="U367" s="23" t="s">
        <v>63</v>
      </c>
      <c r="V367" s="125" t="s">
        <v>63</v>
      </c>
      <c r="W367" s="125" t="s">
        <v>63</v>
      </c>
      <c r="X367" s="125" t="s">
        <v>63</v>
      </c>
      <c r="Y367" s="35">
        <v>293.0</v>
      </c>
      <c r="Z367" s="32" t="s">
        <v>63</v>
      </c>
      <c r="AA367" s="38"/>
      <c r="AB367" s="38"/>
      <c r="AC367" s="38"/>
      <c r="AD367" s="38"/>
      <c r="AE367" s="38"/>
      <c r="AF367" s="38"/>
      <c r="AG367" s="38"/>
      <c r="AH367" s="38"/>
      <c r="AI367" s="38"/>
      <c r="AJ367" s="38"/>
      <c r="AK367" s="38"/>
    </row>
    <row r="368">
      <c r="A368" s="99">
        <v>367.0</v>
      </c>
      <c r="B368" s="15"/>
      <c r="C368" s="15"/>
      <c r="D368" s="105">
        <v>1.0</v>
      </c>
      <c r="E368" s="102">
        <v>12.0</v>
      </c>
      <c r="F368" s="107">
        <v>73.0</v>
      </c>
      <c r="G368" s="15" t="str">
        <f t="shared" si="1"/>
        <v>12073</v>
      </c>
      <c r="H368" s="23" t="s">
        <v>505</v>
      </c>
      <c r="I368" s="23" t="s">
        <v>42</v>
      </c>
      <c r="J368" s="23" t="s">
        <v>245</v>
      </c>
      <c r="K368" s="23" t="str">
        <f t="shared" si="10"/>
        <v>Leon, FL</v>
      </c>
      <c r="L368" s="23">
        <v>305.0</v>
      </c>
      <c r="M368" s="23" t="s">
        <v>63</v>
      </c>
      <c r="N368" s="35">
        <v>202.0</v>
      </c>
      <c r="O368" s="35">
        <v>46.0</v>
      </c>
      <c r="P368" s="23" t="s">
        <v>63</v>
      </c>
      <c r="Q368" s="23" t="s">
        <v>63</v>
      </c>
      <c r="R368" s="23" t="s">
        <v>63</v>
      </c>
      <c r="S368" s="125" t="s">
        <v>63</v>
      </c>
      <c r="T368" s="32">
        <v>0.927461139896373</v>
      </c>
      <c r="U368" s="23" t="s">
        <v>63</v>
      </c>
      <c r="V368" s="125" t="s">
        <v>63</v>
      </c>
      <c r="W368" s="125" t="s">
        <v>63</v>
      </c>
      <c r="X368" s="125" t="s">
        <v>63</v>
      </c>
      <c r="Y368" s="35">
        <v>227.0</v>
      </c>
      <c r="Z368" s="32" t="s">
        <v>63</v>
      </c>
      <c r="AA368" s="38"/>
      <c r="AB368" s="38"/>
      <c r="AC368" s="38"/>
      <c r="AD368" s="38"/>
      <c r="AE368" s="38"/>
      <c r="AF368" s="38"/>
      <c r="AG368" s="38"/>
      <c r="AH368" s="38"/>
      <c r="AI368" s="38"/>
      <c r="AJ368" s="38"/>
      <c r="AK368" s="38"/>
    </row>
    <row r="369">
      <c r="A369" s="99">
        <v>368.0</v>
      </c>
      <c r="B369" s="15"/>
      <c r="C369" s="15"/>
      <c r="D369" s="105">
        <v>1.0</v>
      </c>
      <c r="E369" s="102">
        <v>12.0</v>
      </c>
      <c r="F369" s="107">
        <v>75.0</v>
      </c>
      <c r="G369" s="15" t="str">
        <f t="shared" si="1"/>
        <v>12075</v>
      </c>
      <c r="H369" s="23" t="s">
        <v>506</v>
      </c>
      <c r="I369" s="23" t="s">
        <v>42</v>
      </c>
      <c r="J369" s="23" t="s">
        <v>245</v>
      </c>
      <c r="K369" s="23" t="str">
        <f t="shared" si="10"/>
        <v>Levy, FL</v>
      </c>
      <c r="L369" s="23">
        <v>66.0</v>
      </c>
      <c r="M369" s="23" t="s">
        <v>63</v>
      </c>
      <c r="N369" s="35">
        <v>34.0</v>
      </c>
      <c r="O369" s="35">
        <v>26.0</v>
      </c>
      <c r="P369" s="23" t="s">
        <v>63</v>
      </c>
      <c r="Q369" s="23" t="s">
        <v>63</v>
      </c>
      <c r="R369" s="23" t="s">
        <v>63</v>
      </c>
      <c r="S369" s="125" t="s">
        <v>63</v>
      </c>
      <c r="T369" s="32">
        <v>0.7777777777777778</v>
      </c>
      <c r="U369" s="23" t="s">
        <v>63</v>
      </c>
      <c r="V369" s="125" t="s">
        <v>63</v>
      </c>
      <c r="W369" s="125" t="s">
        <v>63</v>
      </c>
      <c r="X369" s="125" t="s">
        <v>63</v>
      </c>
      <c r="Y369" s="35">
        <v>54.0</v>
      </c>
      <c r="Z369" s="32" t="s">
        <v>63</v>
      </c>
      <c r="AA369" s="38"/>
      <c r="AB369" s="38"/>
      <c r="AC369" s="38"/>
      <c r="AD369" s="38"/>
      <c r="AE369" s="38"/>
      <c r="AF369" s="38"/>
      <c r="AG369" s="38"/>
      <c r="AH369" s="38"/>
      <c r="AI369" s="38"/>
      <c r="AJ369" s="38"/>
      <c r="AK369" s="38"/>
    </row>
    <row r="370">
      <c r="A370" s="99">
        <v>369.0</v>
      </c>
      <c r="B370" s="15"/>
      <c r="C370" s="15"/>
      <c r="D370" s="105">
        <v>1.0</v>
      </c>
      <c r="E370" s="102">
        <v>12.0</v>
      </c>
      <c r="F370" s="107">
        <v>77.0</v>
      </c>
      <c r="G370" s="15" t="str">
        <f t="shared" si="1"/>
        <v>12077</v>
      </c>
      <c r="H370" s="23" t="s">
        <v>508</v>
      </c>
      <c r="I370" s="23" t="s">
        <v>42</v>
      </c>
      <c r="J370" s="23" t="s">
        <v>245</v>
      </c>
      <c r="K370" s="23" t="str">
        <f t="shared" si="10"/>
        <v>Liberty, FL</v>
      </c>
      <c r="L370" s="23">
        <v>0.0</v>
      </c>
      <c r="M370" s="23" t="s">
        <v>63</v>
      </c>
      <c r="N370" s="35">
        <v>0.0</v>
      </c>
      <c r="O370" s="35">
        <v>0.0</v>
      </c>
      <c r="P370" s="23" t="s">
        <v>63</v>
      </c>
      <c r="Q370" s="23" t="s">
        <v>63</v>
      </c>
      <c r="R370" s="23" t="s">
        <v>63</v>
      </c>
      <c r="S370" s="125" t="s">
        <v>63</v>
      </c>
      <c r="T370" s="32">
        <v>1.0</v>
      </c>
      <c r="U370" s="23" t="s">
        <v>63</v>
      </c>
      <c r="V370" s="125" t="s">
        <v>63</v>
      </c>
      <c r="W370" s="125" t="s">
        <v>63</v>
      </c>
      <c r="X370" s="125" t="s">
        <v>63</v>
      </c>
      <c r="Y370" s="35">
        <v>13.0</v>
      </c>
      <c r="Z370" s="32" t="s">
        <v>63</v>
      </c>
      <c r="AA370" s="38"/>
      <c r="AB370" s="38"/>
      <c r="AC370" s="38"/>
      <c r="AD370" s="38"/>
      <c r="AE370" s="38"/>
      <c r="AF370" s="38"/>
      <c r="AG370" s="38"/>
      <c r="AH370" s="38"/>
      <c r="AI370" s="38"/>
      <c r="AJ370" s="38"/>
      <c r="AK370" s="38"/>
    </row>
    <row r="371">
      <c r="A371" s="99">
        <v>370.0</v>
      </c>
      <c r="B371" s="15"/>
      <c r="C371" s="15"/>
      <c r="D371" s="105">
        <v>1.0</v>
      </c>
      <c r="E371" s="102">
        <v>12.0</v>
      </c>
      <c r="F371" s="107">
        <v>79.0</v>
      </c>
      <c r="G371" s="15" t="str">
        <f t="shared" si="1"/>
        <v>12079</v>
      </c>
      <c r="H371" s="23" t="s">
        <v>151</v>
      </c>
      <c r="I371" s="23" t="s">
        <v>42</v>
      </c>
      <c r="J371" s="23" t="s">
        <v>245</v>
      </c>
      <c r="K371" s="23" t="str">
        <f t="shared" si="10"/>
        <v>Madison, FL</v>
      </c>
      <c r="L371" s="23">
        <v>22.0</v>
      </c>
      <c r="M371" s="23" t="s">
        <v>63</v>
      </c>
      <c r="N371" s="35">
        <v>19.0</v>
      </c>
      <c r="O371" s="35">
        <v>2.0</v>
      </c>
      <c r="P371" s="23" t="s">
        <v>63</v>
      </c>
      <c r="Q371" s="23" t="s">
        <v>63</v>
      </c>
      <c r="R371" s="23" t="s">
        <v>63</v>
      </c>
      <c r="S371" s="125" t="s">
        <v>63</v>
      </c>
      <c r="T371" s="32">
        <v>0.5714285714285714</v>
      </c>
      <c r="U371" s="23" t="s">
        <v>63</v>
      </c>
      <c r="V371" s="125" t="s">
        <v>63</v>
      </c>
      <c r="W371" s="125" t="s">
        <v>63</v>
      </c>
      <c r="X371" s="125" t="s">
        <v>63</v>
      </c>
      <c r="Y371" s="35">
        <v>34.0</v>
      </c>
      <c r="Z371" s="32" t="s">
        <v>63</v>
      </c>
      <c r="AA371" s="38"/>
      <c r="AB371" s="38"/>
      <c r="AC371" s="38"/>
      <c r="AD371" s="38"/>
      <c r="AE371" s="38"/>
      <c r="AF371" s="38"/>
      <c r="AG371" s="38"/>
      <c r="AH371" s="38"/>
      <c r="AI371" s="38"/>
      <c r="AJ371" s="38"/>
      <c r="AK371" s="38"/>
    </row>
    <row r="372">
      <c r="A372" s="99">
        <v>371.0</v>
      </c>
      <c r="B372" s="15"/>
      <c r="C372" s="15"/>
      <c r="D372" s="105">
        <v>1.0</v>
      </c>
      <c r="E372" s="102">
        <v>12.0</v>
      </c>
      <c r="F372" s="107">
        <v>81.0</v>
      </c>
      <c r="G372" s="15" t="str">
        <f t="shared" si="1"/>
        <v>12081</v>
      </c>
      <c r="H372" s="23" t="s">
        <v>509</v>
      </c>
      <c r="I372" s="23" t="s">
        <v>42</v>
      </c>
      <c r="J372" s="23" t="s">
        <v>245</v>
      </c>
      <c r="K372" s="23" t="str">
        <f t="shared" si="10"/>
        <v>Manatee, FL</v>
      </c>
      <c r="L372" s="23">
        <v>365.0</v>
      </c>
      <c r="M372" s="23" t="s">
        <v>63</v>
      </c>
      <c r="N372" s="35">
        <v>160.0</v>
      </c>
      <c r="O372" s="35">
        <v>118.0</v>
      </c>
      <c r="P372" s="23" t="s">
        <v>63</v>
      </c>
      <c r="Q372" s="23" t="s">
        <v>63</v>
      </c>
      <c r="R372" s="23" t="s">
        <v>63</v>
      </c>
      <c r="S372" s="125" t="s">
        <v>63</v>
      </c>
      <c r="T372" s="32">
        <v>0.7952380952380952</v>
      </c>
      <c r="U372" s="23" t="s">
        <v>63</v>
      </c>
      <c r="V372" s="125" t="s">
        <v>63</v>
      </c>
      <c r="W372" s="125" t="s">
        <v>63</v>
      </c>
      <c r="X372" s="125" t="s">
        <v>63</v>
      </c>
      <c r="Y372" s="35">
        <v>196.0</v>
      </c>
      <c r="Z372" s="32" t="s">
        <v>63</v>
      </c>
      <c r="AA372" s="38"/>
      <c r="AB372" s="38"/>
      <c r="AC372" s="38"/>
      <c r="AD372" s="38"/>
      <c r="AE372" s="38"/>
      <c r="AF372" s="38"/>
      <c r="AG372" s="38"/>
      <c r="AH372" s="38"/>
      <c r="AI372" s="38"/>
      <c r="AJ372" s="38"/>
      <c r="AK372" s="38"/>
    </row>
    <row r="373">
      <c r="A373" s="99">
        <v>372.0</v>
      </c>
      <c r="B373" s="15"/>
      <c r="C373" s="15"/>
      <c r="D373" s="105">
        <v>1.0</v>
      </c>
      <c r="E373" s="102">
        <v>12.0</v>
      </c>
      <c r="F373" s="107">
        <v>83.0</v>
      </c>
      <c r="G373" s="15" t="str">
        <f t="shared" si="1"/>
        <v>12083</v>
      </c>
      <c r="H373" s="23" t="s">
        <v>153</v>
      </c>
      <c r="I373" s="23" t="s">
        <v>42</v>
      </c>
      <c r="J373" s="23" t="s">
        <v>245</v>
      </c>
      <c r="K373" s="23" t="str">
        <f t="shared" si="10"/>
        <v>Marion, FL</v>
      </c>
      <c r="L373" s="23">
        <v>752.0</v>
      </c>
      <c r="M373" s="23" t="s">
        <v>63</v>
      </c>
      <c r="N373" s="35">
        <v>352.0</v>
      </c>
      <c r="O373" s="35">
        <v>310.0</v>
      </c>
      <c r="P373" s="23" t="s">
        <v>63</v>
      </c>
      <c r="Q373" s="23" t="s">
        <v>63</v>
      </c>
      <c r="R373" s="23" t="s">
        <v>63</v>
      </c>
      <c r="S373" s="125" t="s">
        <v>63</v>
      </c>
      <c r="T373" s="32">
        <v>0.7771929824561403</v>
      </c>
      <c r="U373" s="23" t="s">
        <v>63</v>
      </c>
      <c r="V373" s="125" t="s">
        <v>63</v>
      </c>
      <c r="W373" s="125" t="s">
        <v>63</v>
      </c>
      <c r="X373" s="125" t="s">
        <v>63</v>
      </c>
      <c r="Y373" s="35">
        <v>288.0</v>
      </c>
      <c r="Z373" s="32" t="s">
        <v>63</v>
      </c>
      <c r="AA373" s="38"/>
      <c r="AB373" s="38"/>
      <c r="AC373" s="38"/>
      <c r="AD373" s="38"/>
      <c r="AE373" s="38"/>
      <c r="AF373" s="38"/>
      <c r="AG373" s="38"/>
      <c r="AH373" s="38"/>
      <c r="AI373" s="38"/>
      <c r="AJ373" s="38"/>
      <c r="AK373" s="38"/>
    </row>
    <row r="374">
      <c r="A374" s="99">
        <v>373.0</v>
      </c>
      <c r="B374" s="15"/>
      <c r="C374" s="15"/>
      <c r="D374" s="105">
        <v>1.0</v>
      </c>
      <c r="E374" s="102">
        <v>12.0</v>
      </c>
      <c r="F374" s="107">
        <v>85.0</v>
      </c>
      <c r="G374" s="15" t="str">
        <f t="shared" si="1"/>
        <v>12085</v>
      </c>
      <c r="H374" s="23" t="s">
        <v>510</v>
      </c>
      <c r="I374" s="23" t="s">
        <v>42</v>
      </c>
      <c r="J374" s="23" t="s">
        <v>245</v>
      </c>
      <c r="K374" s="23" t="str">
        <f t="shared" si="10"/>
        <v>Martin, FL</v>
      </c>
      <c r="L374" s="23">
        <v>27.0</v>
      </c>
      <c r="M374" s="23" t="s">
        <v>63</v>
      </c>
      <c r="N374" s="35">
        <v>8.0</v>
      </c>
      <c r="O374" s="35">
        <v>10.0</v>
      </c>
      <c r="P374" s="23" t="s">
        <v>63</v>
      </c>
      <c r="Q374" s="23" t="s">
        <v>63</v>
      </c>
      <c r="R374" s="23" t="s">
        <v>63</v>
      </c>
      <c r="S374" s="125" t="s">
        <v>63</v>
      </c>
      <c r="T374" s="32">
        <v>0.6716417910447762</v>
      </c>
      <c r="U374" s="23" t="s">
        <v>63</v>
      </c>
      <c r="V374" s="125" t="s">
        <v>63</v>
      </c>
      <c r="W374" s="125" t="s">
        <v>63</v>
      </c>
      <c r="X374" s="125" t="s">
        <v>63</v>
      </c>
      <c r="Y374" s="35">
        <v>75.0</v>
      </c>
      <c r="Z374" s="32" t="s">
        <v>63</v>
      </c>
      <c r="AA374" s="38"/>
      <c r="AB374" s="38"/>
      <c r="AC374" s="38"/>
      <c r="AD374" s="38"/>
      <c r="AE374" s="38"/>
      <c r="AF374" s="38"/>
      <c r="AG374" s="38"/>
      <c r="AH374" s="38"/>
      <c r="AI374" s="38"/>
      <c r="AJ374" s="38"/>
      <c r="AK374" s="38"/>
    </row>
    <row r="375">
      <c r="A375" s="99">
        <v>374.0</v>
      </c>
      <c r="B375" s="15"/>
      <c r="C375" s="15"/>
      <c r="D375" s="105">
        <v>1.0</v>
      </c>
      <c r="E375" s="102">
        <v>12.0</v>
      </c>
      <c r="F375" s="107">
        <v>86.0</v>
      </c>
      <c r="G375" s="15" t="str">
        <f t="shared" si="1"/>
        <v>12086</v>
      </c>
      <c r="H375" s="23" t="s">
        <v>244</v>
      </c>
      <c r="I375" s="23" t="s">
        <v>42</v>
      </c>
      <c r="J375" s="23" t="s">
        <v>245</v>
      </c>
      <c r="K375" s="23" t="str">
        <f t="shared" si="10"/>
        <v>Miami-Dade, FL</v>
      </c>
      <c r="L375" s="35">
        <v>1338.0</v>
      </c>
      <c r="M375" s="23" t="s">
        <v>63</v>
      </c>
      <c r="N375" s="35">
        <v>709.0</v>
      </c>
      <c r="O375" s="35">
        <v>348.0</v>
      </c>
      <c r="P375" s="23" t="s">
        <v>63</v>
      </c>
      <c r="Q375" s="23" t="s">
        <v>63</v>
      </c>
      <c r="R375" s="23" t="s">
        <v>63</v>
      </c>
      <c r="S375" s="125" t="s">
        <v>63</v>
      </c>
      <c r="T375" s="32">
        <v>0.6579925650557621</v>
      </c>
      <c r="U375" s="23" t="s">
        <v>63</v>
      </c>
      <c r="V375" s="125" t="s">
        <v>63</v>
      </c>
      <c r="W375" s="125" t="s">
        <v>63</v>
      </c>
      <c r="X375" s="125" t="s">
        <v>63</v>
      </c>
      <c r="Y375" s="35">
        <v>880.0</v>
      </c>
      <c r="Z375" s="32" t="s">
        <v>63</v>
      </c>
      <c r="AA375" s="38"/>
      <c r="AB375" s="38"/>
      <c r="AC375" s="38"/>
      <c r="AD375" s="38"/>
      <c r="AE375" s="38"/>
      <c r="AF375" s="38"/>
      <c r="AG375" s="38"/>
      <c r="AH375" s="38"/>
      <c r="AI375" s="38"/>
      <c r="AJ375" s="38"/>
      <c r="AK375" s="38"/>
    </row>
    <row r="376">
      <c r="A376" s="99">
        <v>375.0</v>
      </c>
      <c r="B376" s="15"/>
      <c r="C376" s="15"/>
      <c r="D376" s="105">
        <v>1.0</v>
      </c>
      <c r="E376" s="102">
        <v>12.0</v>
      </c>
      <c r="F376" s="107">
        <v>87.0</v>
      </c>
      <c r="G376" s="15" t="str">
        <f t="shared" si="1"/>
        <v>12087</v>
      </c>
      <c r="H376" s="23" t="s">
        <v>156</v>
      </c>
      <c r="I376" s="23" t="s">
        <v>42</v>
      </c>
      <c r="J376" s="23" t="s">
        <v>245</v>
      </c>
      <c r="K376" s="23" t="str">
        <f t="shared" si="10"/>
        <v>Monroe, FL</v>
      </c>
      <c r="L376" s="23">
        <v>57.0</v>
      </c>
      <c r="M376" s="23" t="s">
        <v>63</v>
      </c>
      <c r="N376" s="35">
        <v>33.0</v>
      </c>
      <c r="O376" s="35">
        <v>18.0</v>
      </c>
      <c r="P376" s="23" t="s">
        <v>63</v>
      </c>
      <c r="Q376" s="23" t="s">
        <v>63</v>
      </c>
      <c r="R376" s="23" t="s">
        <v>63</v>
      </c>
      <c r="S376" s="125" t="s">
        <v>63</v>
      </c>
      <c r="T376" s="32">
        <v>0.7272727272727273</v>
      </c>
      <c r="U376" s="23" t="s">
        <v>63</v>
      </c>
      <c r="V376" s="125" t="s">
        <v>63</v>
      </c>
      <c r="W376" s="125" t="s">
        <v>63</v>
      </c>
      <c r="X376" s="125" t="s">
        <v>63</v>
      </c>
      <c r="Y376" s="35">
        <v>53.0</v>
      </c>
      <c r="Z376" s="32" t="s">
        <v>63</v>
      </c>
      <c r="AA376" s="38"/>
      <c r="AB376" s="38"/>
      <c r="AC376" s="38"/>
      <c r="AD376" s="38"/>
      <c r="AE376" s="38"/>
      <c r="AF376" s="38"/>
      <c r="AG376" s="38"/>
      <c r="AH376" s="38"/>
      <c r="AI376" s="38"/>
      <c r="AJ376" s="38"/>
      <c r="AK376" s="38"/>
    </row>
    <row r="377">
      <c r="A377" s="99">
        <v>376.0</v>
      </c>
      <c r="B377" s="15"/>
      <c r="C377" s="15"/>
      <c r="D377" s="105">
        <v>1.0</v>
      </c>
      <c r="E377" s="102">
        <v>12.0</v>
      </c>
      <c r="F377" s="107">
        <v>89.0</v>
      </c>
      <c r="G377" s="15" t="str">
        <f t="shared" si="1"/>
        <v>12089</v>
      </c>
      <c r="H377" s="23" t="s">
        <v>330</v>
      </c>
      <c r="I377" s="23" t="s">
        <v>42</v>
      </c>
      <c r="J377" s="23" t="s">
        <v>245</v>
      </c>
      <c r="K377" s="23" t="str">
        <f t="shared" si="10"/>
        <v>Nassau, FL</v>
      </c>
      <c r="L377" s="23">
        <v>31.0</v>
      </c>
      <c r="M377" s="23" t="s">
        <v>63</v>
      </c>
      <c r="N377" s="35">
        <v>21.0</v>
      </c>
      <c r="O377" s="35">
        <v>6.0</v>
      </c>
      <c r="P377" s="23" t="s">
        <v>63</v>
      </c>
      <c r="Q377" s="23" t="s">
        <v>63</v>
      </c>
      <c r="R377" s="23" t="s">
        <v>63</v>
      </c>
      <c r="S377" s="125" t="s">
        <v>63</v>
      </c>
      <c r="T377" s="32">
        <v>0.8529411764705882</v>
      </c>
      <c r="U377" s="23" t="s">
        <v>63</v>
      </c>
      <c r="V377" s="125" t="s">
        <v>63</v>
      </c>
      <c r="W377" s="125" t="s">
        <v>63</v>
      </c>
      <c r="X377" s="125" t="s">
        <v>63</v>
      </c>
      <c r="Y377" s="35">
        <v>81.0</v>
      </c>
      <c r="Z377" s="32" t="s">
        <v>63</v>
      </c>
      <c r="AA377" s="38"/>
      <c r="AB377" s="38"/>
      <c r="AC377" s="38"/>
      <c r="AD377" s="38"/>
      <c r="AE377" s="38"/>
      <c r="AF377" s="38"/>
      <c r="AG377" s="38"/>
      <c r="AH377" s="38"/>
      <c r="AI377" s="38"/>
      <c r="AJ377" s="38"/>
      <c r="AK377" s="38"/>
    </row>
    <row r="378">
      <c r="A378" s="99">
        <v>377.0</v>
      </c>
      <c r="B378" s="15"/>
      <c r="C378" s="15"/>
      <c r="D378" s="105">
        <v>1.0</v>
      </c>
      <c r="E378" s="102">
        <v>12.0</v>
      </c>
      <c r="F378" s="107">
        <v>91.0</v>
      </c>
      <c r="G378" s="15" t="str">
        <f t="shared" si="1"/>
        <v>12091</v>
      </c>
      <c r="H378" s="23" t="s">
        <v>513</v>
      </c>
      <c r="I378" s="23" t="s">
        <v>42</v>
      </c>
      <c r="J378" s="23" t="s">
        <v>245</v>
      </c>
      <c r="K378" s="23" t="str">
        <f t="shared" si="10"/>
        <v>Okaloosa, FL</v>
      </c>
      <c r="L378" s="23">
        <v>191.0</v>
      </c>
      <c r="M378" s="23" t="s">
        <v>63</v>
      </c>
      <c r="N378" s="35">
        <v>129.0</v>
      </c>
      <c r="O378" s="35">
        <v>36.0</v>
      </c>
      <c r="P378" s="23" t="s">
        <v>63</v>
      </c>
      <c r="Q378" s="23" t="s">
        <v>63</v>
      </c>
      <c r="R378" s="23" t="s">
        <v>63</v>
      </c>
      <c r="S378" s="125" t="s">
        <v>63</v>
      </c>
      <c r="T378" s="32">
        <v>0.8496732026143791</v>
      </c>
      <c r="U378" s="23" t="s">
        <v>63</v>
      </c>
      <c r="V378" s="125" t="s">
        <v>63</v>
      </c>
      <c r="W378" s="125" t="s">
        <v>63</v>
      </c>
      <c r="X378" s="125" t="s">
        <v>63</v>
      </c>
      <c r="Y378" s="35">
        <v>184.0</v>
      </c>
      <c r="Z378" s="32" t="s">
        <v>63</v>
      </c>
      <c r="AA378" s="38"/>
      <c r="AB378" s="38"/>
      <c r="AC378" s="38"/>
      <c r="AD378" s="38"/>
      <c r="AE378" s="38"/>
      <c r="AF378" s="38"/>
      <c r="AG378" s="38"/>
      <c r="AH378" s="38"/>
      <c r="AI378" s="38"/>
      <c r="AJ378" s="38"/>
      <c r="AK378" s="38"/>
    </row>
    <row r="379">
      <c r="A379" s="99">
        <v>378.0</v>
      </c>
      <c r="B379" s="15"/>
      <c r="C379" s="15"/>
      <c r="D379" s="105">
        <v>1.0</v>
      </c>
      <c r="E379" s="102">
        <v>12.0</v>
      </c>
      <c r="F379" s="107">
        <v>93.0</v>
      </c>
      <c r="G379" s="15" t="str">
        <f t="shared" si="1"/>
        <v>12093</v>
      </c>
      <c r="H379" s="23" t="s">
        <v>514</v>
      </c>
      <c r="I379" s="23" t="s">
        <v>42</v>
      </c>
      <c r="J379" s="23" t="s">
        <v>245</v>
      </c>
      <c r="K379" s="112" t="str">
        <f t="shared" si="10"/>
        <v>Okeechobee, FL</v>
      </c>
      <c r="L379" s="23">
        <v>61.0</v>
      </c>
      <c r="M379" s="23" t="s">
        <v>63</v>
      </c>
      <c r="N379" s="35">
        <v>25.0</v>
      </c>
      <c r="O379" s="35">
        <v>12.0</v>
      </c>
      <c r="P379" s="23" t="s">
        <v>63</v>
      </c>
      <c r="Q379" s="23" t="s">
        <v>63</v>
      </c>
      <c r="R379" s="23" t="s">
        <v>63</v>
      </c>
      <c r="S379" s="125" t="s">
        <v>63</v>
      </c>
      <c r="T379" s="32">
        <v>0.6666666666666666</v>
      </c>
      <c r="U379" s="23" t="s">
        <v>63</v>
      </c>
      <c r="V379" s="125" t="s">
        <v>63</v>
      </c>
      <c r="W379" s="125" t="s">
        <v>63</v>
      </c>
      <c r="X379" s="125" t="s">
        <v>63</v>
      </c>
      <c r="Y379" s="35">
        <v>40.0</v>
      </c>
      <c r="Z379" s="32" t="s">
        <v>63</v>
      </c>
      <c r="AA379" s="38"/>
      <c r="AB379" s="38"/>
      <c r="AC379" s="38"/>
      <c r="AD379" s="38"/>
      <c r="AE379" s="38"/>
      <c r="AF379" s="38"/>
      <c r="AG379" s="38"/>
      <c r="AH379" s="38"/>
      <c r="AI379" s="38"/>
      <c r="AJ379" s="38"/>
      <c r="AK379" s="38"/>
    </row>
    <row r="380">
      <c r="A380" s="99">
        <v>379.0</v>
      </c>
      <c r="B380" s="15"/>
      <c r="C380" s="15"/>
      <c r="D380" s="105">
        <v>1.0</v>
      </c>
      <c r="E380" s="102">
        <v>12.0</v>
      </c>
      <c r="F380" s="107">
        <v>95.0</v>
      </c>
      <c r="G380" s="15" t="str">
        <f t="shared" si="1"/>
        <v>12095</v>
      </c>
      <c r="H380" s="23" t="s">
        <v>241</v>
      </c>
      <c r="I380" s="23" t="s">
        <v>42</v>
      </c>
      <c r="J380" s="23" t="s">
        <v>245</v>
      </c>
      <c r="K380" s="23" t="str">
        <f t="shared" si="10"/>
        <v>Orange, FL</v>
      </c>
      <c r="L380" s="35">
        <v>943.0</v>
      </c>
      <c r="M380" s="23" t="s">
        <v>63</v>
      </c>
      <c r="N380" s="35">
        <v>434.0</v>
      </c>
      <c r="O380" s="35">
        <v>305.0</v>
      </c>
      <c r="P380" s="23" t="s">
        <v>63</v>
      </c>
      <c r="Q380" s="23" t="s">
        <v>63</v>
      </c>
      <c r="R380" s="23" t="s">
        <v>63</v>
      </c>
      <c r="S380" s="125" t="s">
        <v>63</v>
      </c>
      <c r="T380" s="32">
        <v>0.8375527426160337</v>
      </c>
      <c r="U380" s="23" t="s">
        <v>63</v>
      </c>
      <c r="V380" s="125" t="s">
        <v>63</v>
      </c>
      <c r="W380" s="125" t="s">
        <v>63</v>
      </c>
      <c r="X380" s="125" t="s">
        <v>63</v>
      </c>
      <c r="Y380" s="35">
        <v>598.0</v>
      </c>
      <c r="Z380" s="32" t="s">
        <v>63</v>
      </c>
      <c r="AA380" s="38"/>
      <c r="AB380" s="38"/>
      <c r="AC380" s="38"/>
      <c r="AD380" s="38"/>
      <c r="AE380" s="38"/>
      <c r="AF380" s="38"/>
      <c r="AG380" s="38"/>
      <c r="AH380" s="38"/>
      <c r="AI380" s="38"/>
      <c r="AJ380" s="38"/>
      <c r="AK380" s="38"/>
    </row>
    <row r="381">
      <c r="A381" s="99">
        <v>380.0</v>
      </c>
      <c r="B381" s="15"/>
      <c r="C381" s="15"/>
      <c r="D381" s="105">
        <v>1.0</v>
      </c>
      <c r="E381" s="102">
        <v>12.0</v>
      </c>
      <c r="F381" s="107">
        <v>97.0</v>
      </c>
      <c r="G381" s="15" t="str">
        <f t="shared" si="1"/>
        <v>12097</v>
      </c>
      <c r="H381" s="23" t="s">
        <v>515</v>
      </c>
      <c r="I381" s="23" t="s">
        <v>42</v>
      </c>
      <c r="J381" s="23" t="s">
        <v>245</v>
      </c>
      <c r="K381" s="23" t="str">
        <f t="shared" si="10"/>
        <v>Osceola, FL</v>
      </c>
      <c r="L381" s="23">
        <v>310.0</v>
      </c>
      <c r="M381" s="23" t="s">
        <v>63</v>
      </c>
      <c r="N381" s="35">
        <v>132.0</v>
      </c>
      <c r="O381" s="35">
        <v>76.0</v>
      </c>
      <c r="P381" s="23" t="s">
        <v>63</v>
      </c>
      <c r="Q381" s="23" t="s">
        <v>63</v>
      </c>
      <c r="R381" s="23" t="s">
        <v>63</v>
      </c>
      <c r="S381" s="125" t="s">
        <v>63</v>
      </c>
      <c r="T381" s="32">
        <v>0.9605263157894737</v>
      </c>
      <c r="U381" s="23" t="s">
        <v>63</v>
      </c>
      <c r="V381" s="125" t="s">
        <v>63</v>
      </c>
      <c r="W381" s="125" t="s">
        <v>63</v>
      </c>
      <c r="X381" s="125" t="s">
        <v>63</v>
      </c>
      <c r="Y381" s="35">
        <v>131.0</v>
      </c>
      <c r="Z381" s="32" t="s">
        <v>63</v>
      </c>
      <c r="AA381" s="38"/>
      <c r="AB381" s="38"/>
      <c r="AC381" s="38"/>
      <c r="AD381" s="38"/>
      <c r="AE381" s="38"/>
      <c r="AF381" s="38"/>
      <c r="AG381" s="38"/>
      <c r="AH381" s="38"/>
      <c r="AI381" s="38"/>
      <c r="AJ381" s="38"/>
      <c r="AK381" s="38"/>
    </row>
    <row r="382">
      <c r="A382" s="99">
        <v>381.0</v>
      </c>
      <c r="B382" s="15"/>
      <c r="C382" s="15"/>
      <c r="D382" s="105">
        <v>1.0</v>
      </c>
      <c r="E382" s="102">
        <v>12.0</v>
      </c>
      <c r="F382" s="107">
        <v>99.0</v>
      </c>
      <c r="G382" s="15" t="str">
        <f t="shared" si="1"/>
        <v>12099</v>
      </c>
      <c r="H382" s="23" t="s">
        <v>296</v>
      </c>
      <c r="I382" s="23" t="s">
        <v>42</v>
      </c>
      <c r="J382" s="23" t="s">
        <v>245</v>
      </c>
      <c r="K382" s="23" t="str">
        <f t="shared" si="10"/>
        <v>Palm Beach, FL</v>
      </c>
      <c r="L382" s="23">
        <v>854.0</v>
      </c>
      <c r="M382" s="23" t="s">
        <v>63</v>
      </c>
      <c r="N382" s="35">
        <v>347.0</v>
      </c>
      <c r="O382" s="35">
        <v>289.0</v>
      </c>
      <c r="P382" s="23" t="s">
        <v>63</v>
      </c>
      <c r="Q382" s="23" t="s">
        <v>63</v>
      </c>
      <c r="R382" s="23" t="s">
        <v>63</v>
      </c>
      <c r="S382" s="125" t="s">
        <v>63</v>
      </c>
      <c r="T382" s="32">
        <v>0.7578534031413613</v>
      </c>
      <c r="U382" s="23" t="s">
        <v>63</v>
      </c>
      <c r="V382" s="125" t="s">
        <v>63</v>
      </c>
      <c r="W382" s="125" t="s">
        <v>63</v>
      </c>
      <c r="X382" s="125" t="s">
        <v>63</v>
      </c>
      <c r="Y382" s="35">
        <v>486.0</v>
      </c>
      <c r="Z382" s="32" t="s">
        <v>63</v>
      </c>
      <c r="AA382" s="38"/>
      <c r="AB382" s="38"/>
      <c r="AC382" s="38"/>
      <c r="AD382" s="38"/>
      <c r="AE382" s="38"/>
      <c r="AF382" s="38"/>
      <c r="AG382" s="38"/>
      <c r="AH382" s="38"/>
      <c r="AI382" s="38"/>
      <c r="AJ382" s="38"/>
      <c r="AK382" s="38"/>
    </row>
    <row r="383">
      <c r="A383" s="99">
        <v>382.0</v>
      </c>
      <c r="B383" s="15"/>
      <c r="C383" s="15"/>
      <c r="D383" s="105">
        <v>1.0</v>
      </c>
      <c r="E383" s="102">
        <v>12.0</v>
      </c>
      <c r="F383" s="107">
        <v>101.0</v>
      </c>
      <c r="G383" s="15" t="str">
        <f t="shared" si="1"/>
        <v>12101</v>
      </c>
      <c r="H383" s="23" t="s">
        <v>517</v>
      </c>
      <c r="I383" s="23" t="s">
        <v>42</v>
      </c>
      <c r="J383" s="23" t="s">
        <v>245</v>
      </c>
      <c r="K383" s="23" t="str">
        <f t="shared" si="10"/>
        <v>Pasco, FL</v>
      </c>
      <c r="L383" s="23">
        <v>675.0</v>
      </c>
      <c r="M383" s="23" t="s">
        <v>63</v>
      </c>
      <c r="N383" s="35">
        <v>321.0</v>
      </c>
      <c r="O383" s="35">
        <v>191.0</v>
      </c>
      <c r="P383" s="23" t="s">
        <v>63</v>
      </c>
      <c r="Q383" s="23" t="s">
        <v>63</v>
      </c>
      <c r="R383" s="23" t="s">
        <v>63</v>
      </c>
      <c r="S383" s="125" t="s">
        <v>63</v>
      </c>
      <c r="T383" s="32">
        <v>0.8576214405360134</v>
      </c>
      <c r="U383" s="23" t="s">
        <v>63</v>
      </c>
      <c r="V383" s="125" t="s">
        <v>63</v>
      </c>
      <c r="W383" s="125" t="s">
        <v>63</v>
      </c>
      <c r="X383" s="125" t="s">
        <v>63</v>
      </c>
      <c r="Y383" s="35">
        <v>214.0</v>
      </c>
      <c r="Z383" s="32" t="s">
        <v>63</v>
      </c>
      <c r="AA383" s="38"/>
      <c r="AB383" s="38"/>
      <c r="AC383" s="38"/>
      <c r="AD383" s="38"/>
      <c r="AE383" s="38"/>
      <c r="AF383" s="38"/>
      <c r="AG383" s="38"/>
      <c r="AH383" s="38"/>
      <c r="AI383" s="38"/>
      <c r="AJ383" s="38"/>
      <c r="AK383" s="38"/>
    </row>
    <row r="384">
      <c r="A384" s="99">
        <v>383.0</v>
      </c>
      <c r="B384" s="15"/>
      <c r="C384" s="15"/>
      <c r="D384" s="105">
        <v>1.0</v>
      </c>
      <c r="E384" s="102">
        <v>12.0</v>
      </c>
      <c r="F384" s="107">
        <v>103.0</v>
      </c>
      <c r="G384" s="15" t="str">
        <f t="shared" si="1"/>
        <v>12103</v>
      </c>
      <c r="H384" s="23" t="s">
        <v>423</v>
      </c>
      <c r="I384" s="23" t="s">
        <v>42</v>
      </c>
      <c r="J384" s="23" t="s">
        <v>245</v>
      </c>
      <c r="K384" s="23" t="str">
        <f t="shared" si="10"/>
        <v>Pinellas, FL</v>
      </c>
      <c r="L384" s="35">
        <v>992.0</v>
      </c>
      <c r="M384" s="23" t="s">
        <v>63</v>
      </c>
      <c r="N384" s="35">
        <v>485.0</v>
      </c>
      <c r="O384" s="35">
        <v>282.0</v>
      </c>
      <c r="P384" s="23" t="s">
        <v>63</v>
      </c>
      <c r="Q384" s="23" t="s">
        <v>63</v>
      </c>
      <c r="R384" s="23" t="s">
        <v>63</v>
      </c>
      <c r="S384" s="125" t="s">
        <v>63</v>
      </c>
      <c r="T384" s="32">
        <v>0.8520625889046942</v>
      </c>
      <c r="U384" s="23" t="s">
        <v>63</v>
      </c>
      <c r="V384" s="125" t="s">
        <v>63</v>
      </c>
      <c r="W384" s="125" t="s">
        <v>63</v>
      </c>
      <c r="X384" s="125" t="s">
        <v>63</v>
      </c>
      <c r="Y384" s="35">
        <v>423.0</v>
      </c>
      <c r="Z384" s="32" t="s">
        <v>63</v>
      </c>
      <c r="AA384" s="38"/>
      <c r="AB384" s="38"/>
      <c r="AC384" s="38"/>
      <c r="AD384" s="38"/>
      <c r="AE384" s="38"/>
      <c r="AF384" s="38"/>
      <c r="AG384" s="38"/>
      <c r="AH384" s="38"/>
      <c r="AI384" s="38"/>
      <c r="AJ384" s="38"/>
      <c r="AK384" s="38"/>
    </row>
    <row r="385">
      <c r="A385" s="99">
        <v>384.0</v>
      </c>
      <c r="B385" s="15"/>
      <c r="C385" s="15"/>
      <c r="D385" s="105">
        <v>1.0</v>
      </c>
      <c r="E385" s="102">
        <v>12.0</v>
      </c>
      <c r="F385" s="107">
        <v>105.0</v>
      </c>
      <c r="G385" s="15" t="str">
        <f t="shared" si="1"/>
        <v>12105</v>
      </c>
      <c r="H385" s="23" t="s">
        <v>302</v>
      </c>
      <c r="I385" s="23" t="s">
        <v>42</v>
      </c>
      <c r="J385" s="23" t="s">
        <v>245</v>
      </c>
      <c r="K385" s="23" t="str">
        <f t="shared" si="10"/>
        <v>Polk, FL</v>
      </c>
      <c r="L385" s="23">
        <v>877.0</v>
      </c>
      <c r="M385" s="23" t="s">
        <v>63</v>
      </c>
      <c r="N385" s="35">
        <v>470.0</v>
      </c>
      <c r="O385" s="35">
        <v>269.0</v>
      </c>
      <c r="P385" s="23" t="s">
        <v>63</v>
      </c>
      <c r="Q385" s="23" t="s">
        <v>63</v>
      </c>
      <c r="R385" s="23" t="s">
        <v>63</v>
      </c>
      <c r="S385" s="125" t="s">
        <v>63</v>
      </c>
      <c r="T385" s="32">
        <v>0.7703252032520326</v>
      </c>
      <c r="U385" s="23" t="s">
        <v>63</v>
      </c>
      <c r="V385" s="125" t="s">
        <v>63</v>
      </c>
      <c r="W385" s="125" t="s">
        <v>63</v>
      </c>
      <c r="X385" s="125" t="s">
        <v>63</v>
      </c>
      <c r="Y385" s="35">
        <v>487.0</v>
      </c>
      <c r="Z385" s="32" t="s">
        <v>63</v>
      </c>
      <c r="AA385" s="38"/>
      <c r="AB385" s="38"/>
      <c r="AC385" s="38"/>
      <c r="AD385" s="38"/>
      <c r="AE385" s="38"/>
      <c r="AF385" s="38"/>
      <c r="AG385" s="38"/>
      <c r="AH385" s="38"/>
      <c r="AI385" s="38"/>
      <c r="AJ385" s="38"/>
      <c r="AK385" s="38"/>
    </row>
    <row r="386">
      <c r="A386" s="99">
        <v>385.0</v>
      </c>
      <c r="B386" s="15"/>
      <c r="C386" s="15"/>
      <c r="D386" s="105">
        <v>1.0</v>
      </c>
      <c r="E386" s="102">
        <v>12.0</v>
      </c>
      <c r="F386" s="107">
        <v>107.0</v>
      </c>
      <c r="G386" s="15" t="str">
        <f t="shared" si="1"/>
        <v>12107</v>
      </c>
      <c r="H386" s="23" t="s">
        <v>518</v>
      </c>
      <c r="I386" s="23" t="s">
        <v>42</v>
      </c>
      <c r="J386" s="23" t="s">
        <v>245</v>
      </c>
      <c r="K386" s="23" t="str">
        <f t="shared" si="10"/>
        <v>Putnam, FL</v>
      </c>
      <c r="L386" s="23">
        <v>124.0</v>
      </c>
      <c r="M386" s="23" t="s">
        <v>63</v>
      </c>
      <c r="N386" s="35">
        <v>60.0</v>
      </c>
      <c r="O386" s="35">
        <v>39.0</v>
      </c>
      <c r="P386" s="23" t="s">
        <v>63</v>
      </c>
      <c r="Q386" s="23" t="s">
        <v>63</v>
      </c>
      <c r="R386" s="23" t="s">
        <v>63</v>
      </c>
      <c r="S386" s="125" t="s">
        <v>63</v>
      </c>
      <c r="T386" s="32">
        <v>0.7313432835820896</v>
      </c>
      <c r="U386" s="23" t="s">
        <v>63</v>
      </c>
      <c r="V386" s="125" t="s">
        <v>63</v>
      </c>
      <c r="W386" s="125" t="s">
        <v>63</v>
      </c>
      <c r="X386" s="125" t="s">
        <v>63</v>
      </c>
      <c r="Y386" s="35">
        <v>105.0</v>
      </c>
      <c r="Z386" s="32" t="s">
        <v>63</v>
      </c>
      <c r="AA386" s="38"/>
      <c r="AB386" s="38"/>
      <c r="AC386" s="38"/>
      <c r="AD386" s="38"/>
      <c r="AE386" s="38"/>
      <c r="AF386" s="38"/>
      <c r="AG386" s="38"/>
      <c r="AH386" s="38"/>
      <c r="AI386" s="38"/>
      <c r="AJ386" s="38"/>
      <c r="AK386" s="38"/>
    </row>
    <row r="387">
      <c r="A387" s="99">
        <v>386.0</v>
      </c>
      <c r="B387" s="15"/>
      <c r="C387" s="15"/>
      <c r="D387" s="105">
        <v>1.0</v>
      </c>
      <c r="E387" s="102">
        <v>12.0</v>
      </c>
      <c r="F387" s="107">
        <v>109.0</v>
      </c>
      <c r="G387" s="15" t="str">
        <f t="shared" si="1"/>
        <v>12109</v>
      </c>
      <c r="H387" s="23" t="s">
        <v>520</v>
      </c>
      <c r="I387" s="23" t="s">
        <v>42</v>
      </c>
      <c r="J387" s="23" t="s">
        <v>245</v>
      </c>
      <c r="K387" s="23" t="str">
        <f t="shared" si="10"/>
        <v>St Johns, FL</v>
      </c>
      <c r="L387" s="23">
        <v>55.0</v>
      </c>
      <c r="M387" s="23" t="s">
        <v>63</v>
      </c>
      <c r="N387" s="35">
        <v>22.0</v>
      </c>
      <c r="O387" s="35">
        <v>10.0</v>
      </c>
      <c r="P387" s="23" t="s">
        <v>63</v>
      </c>
      <c r="Q387" s="23" t="s">
        <v>63</v>
      </c>
      <c r="R387" s="23" t="s">
        <v>63</v>
      </c>
      <c r="S387" s="125" t="s">
        <v>63</v>
      </c>
      <c r="T387" s="32">
        <v>0.5846153846153846</v>
      </c>
      <c r="U387" s="23" t="s">
        <v>63</v>
      </c>
      <c r="V387" s="125" t="s">
        <v>63</v>
      </c>
      <c r="W387" s="125" t="s">
        <v>63</v>
      </c>
      <c r="X387" s="125" t="s">
        <v>63</v>
      </c>
      <c r="Y387" s="35">
        <v>103.0</v>
      </c>
      <c r="Z387" s="32" t="s">
        <v>63</v>
      </c>
      <c r="AA387" s="38"/>
      <c r="AB387" s="38"/>
      <c r="AC387" s="38"/>
      <c r="AD387" s="38"/>
      <c r="AE387" s="38"/>
      <c r="AF387" s="38"/>
      <c r="AG387" s="38"/>
      <c r="AH387" s="38"/>
      <c r="AI387" s="38"/>
      <c r="AJ387" s="38"/>
      <c r="AK387" s="38"/>
    </row>
    <row r="388">
      <c r="A388" s="99">
        <v>387.0</v>
      </c>
      <c r="B388" s="15"/>
      <c r="C388" s="15"/>
      <c r="D388" s="105">
        <v>1.0</v>
      </c>
      <c r="E388" s="102">
        <v>12.0</v>
      </c>
      <c r="F388" s="107">
        <v>111.0</v>
      </c>
      <c r="G388" s="15" t="str">
        <f t="shared" si="1"/>
        <v>12111</v>
      </c>
      <c r="H388" s="23" t="s">
        <v>521</v>
      </c>
      <c r="I388" s="23" t="s">
        <v>42</v>
      </c>
      <c r="J388" s="23" t="s">
        <v>245</v>
      </c>
      <c r="K388" s="23" t="str">
        <f t="shared" si="10"/>
        <v>St Lucie, FL</v>
      </c>
      <c r="L388" s="23">
        <v>263.0</v>
      </c>
      <c r="M388" s="23" t="s">
        <v>63</v>
      </c>
      <c r="N388" s="35">
        <v>125.0</v>
      </c>
      <c r="O388" s="35">
        <v>75.0</v>
      </c>
      <c r="P388" s="23" t="s">
        <v>63</v>
      </c>
      <c r="Q388" s="23" t="s">
        <v>63</v>
      </c>
      <c r="R388" s="23" t="s">
        <v>63</v>
      </c>
      <c r="S388" s="125" t="s">
        <v>63</v>
      </c>
      <c r="T388" s="32">
        <v>0.8850574712643678</v>
      </c>
      <c r="U388" s="23" t="s">
        <v>63</v>
      </c>
      <c r="V388" s="125" t="s">
        <v>63</v>
      </c>
      <c r="W388" s="125" t="s">
        <v>63</v>
      </c>
      <c r="X388" s="125" t="s">
        <v>63</v>
      </c>
      <c r="Y388" s="35">
        <v>133.0</v>
      </c>
      <c r="Z388" s="32" t="s">
        <v>63</v>
      </c>
      <c r="AA388" s="38"/>
      <c r="AB388" s="38"/>
      <c r="AC388" s="38"/>
      <c r="AD388" s="38"/>
      <c r="AE388" s="38"/>
      <c r="AF388" s="38"/>
      <c r="AG388" s="38"/>
      <c r="AH388" s="38"/>
      <c r="AI388" s="38"/>
      <c r="AJ388" s="38"/>
      <c r="AK388" s="38"/>
    </row>
    <row r="389">
      <c r="A389" s="99">
        <v>388.0</v>
      </c>
      <c r="B389" s="15"/>
      <c r="C389" s="15"/>
      <c r="D389" s="105">
        <v>1.0</v>
      </c>
      <c r="E389" s="102">
        <v>12.0</v>
      </c>
      <c r="F389" s="107">
        <v>113.0</v>
      </c>
      <c r="G389" s="15" t="str">
        <f t="shared" si="1"/>
        <v>12113</v>
      </c>
      <c r="H389" s="23" t="s">
        <v>522</v>
      </c>
      <c r="I389" s="23" t="s">
        <v>42</v>
      </c>
      <c r="J389" s="23" t="s">
        <v>245</v>
      </c>
      <c r="K389" s="23" t="str">
        <f t="shared" si="10"/>
        <v>Santa Rosa, FL</v>
      </c>
      <c r="L389" s="23">
        <v>232.0</v>
      </c>
      <c r="M389" s="23" t="s">
        <v>63</v>
      </c>
      <c r="N389" s="35">
        <v>141.0</v>
      </c>
      <c r="O389" s="35">
        <v>53.0</v>
      </c>
      <c r="P389" s="23" t="s">
        <v>63</v>
      </c>
      <c r="Q389" s="23" t="s">
        <v>63</v>
      </c>
      <c r="R389" s="23" t="s">
        <v>63</v>
      </c>
      <c r="S389" s="125" t="s">
        <v>63</v>
      </c>
      <c r="T389" s="32">
        <v>0.943089430894309</v>
      </c>
      <c r="U389" s="23" t="s">
        <v>63</v>
      </c>
      <c r="V389" s="125" t="s">
        <v>63</v>
      </c>
      <c r="W389" s="125" t="s">
        <v>63</v>
      </c>
      <c r="X389" s="125" t="s">
        <v>63</v>
      </c>
      <c r="Y389" s="35">
        <v>120.0</v>
      </c>
      <c r="Z389" s="32" t="s">
        <v>63</v>
      </c>
      <c r="AA389" s="38"/>
      <c r="AB389" s="38"/>
      <c r="AC389" s="38"/>
      <c r="AD389" s="38"/>
      <c r="AE389" s="38"/>
      <c r="AF389" s="38"/>
      <c r="AG389" s="38"/>
      <c r="AH389" s="38"/>
      <c r="AI389" s="38"/>
      <c r="AJ389" s="38"/>
      <c r="AK389" s="38"/>
    </row>
    <row r="390">
      <c r="A390" s="99">
        <v>389.0</v>
      </c>
      <c r="B390" s="15"/>
      <c r="C390" s="15"/>
      <c r="D390" s="105">
        <v>1.0</v>
      </c>
      <c r="E390" s="102">
        <v>12.0</v>
      </c>
      <c r="F390" s="107">
        <v>115.0</v>
      </c>
      <c r="G390" s="15" t="str">
        <f t="shared" si="1"/>
        <v>12115</v>
      </c>
      <c r="H390" s="23" t="s">
        <v>523</v>
      </c>
      <c r="I390" s="23" t="s">
        <v>42</v>
      </c>
      <c r="J390" s="23" t="s">
        <v>245</v>
      </c>
      <c r="K390" s="23" t="str">
        <f t="shared" si="10"/>
        <v>Sarasota, FL</v>
      </c>
      <c r="L390" s="23">
        <v>201.0</v>
      </c>
      <c r="M390" s="23" t="s">
        <v>63</v>
      </c>
      <c r="N390" s="35">
        <v>91.0</v>
      </c>
      <c r="O390" s="35">
        <v>70.0</v>
      </c>
      <c r="P390" s="23" t="s">
        <v>63</v>
      </c>
      <c r="Q390" s="23" t="s">
        <v>63</v>
      </c>
      <c r="R390" s="23" t="s">
        <v>63</v>
      </c>
      <c r="S390" s="125" t="s">
        <v>63</v>
      </c>
      <c r="T390" s="32">
        <v>0.6625514403292181</v>
      </c>
      <c r="U390" s="23" t="s">
        <v>63</v>
      </c>
      <c r="V390" s="125" t="s">
        <v>63</v>
      </c>
      <c r="W390" s="125" t="s">
        <v>63</v>
      </c>
      <c r="X390" s="125" t="s">
        <v>63</v>
      </c>
      <c r="Y390" s="35">
        <v>221.0</v>
      </c>
      <c r="Z390" s="32" t="s">
        <v>63</v>
      </c>
      <c r="AA390" s="38"/>
      <c r="AB390" s="38"/>
      <c r="AC390" s="38"/>
      <c r="AD390" s="38"/>
      <c r="AE390" s="38"/>
      <c r="AF390" s="38"/>
      <c r="AG390" s="38"/>
      <c r="AH390" s="38"/>
      <c r="AI390" s="38"/>
      <c r="AJ390" s="38"/>
      <c r="AK390" s="38"/>
    </row>
    <row r="391">
      <c r="A391" s="99">
        <v>390.0</v>
      </c>
      <c r="B391" s="15"/>
      <c r="C391" s="15"/>
      <c r="D391" s="105">
        <v>1.0</v>
      </c>
      <c r="E391" s="102">
        <v>12.0</v>
      </c>
      <c r="F391" s="107">
        <v>117.0</v>
      </c>
      <c r="G391" s="15" t="str">
        <f t="shared" si="1"/>
        <v>12117</v>
      </c>
      <c r="H391" s="23" t="s">
        <v>524</v>
      </c>
      <c r="I391" s="23" t="s">
        <v>42</v>
      </c>
      <c r="J391" s="23" t="s">
        <v>245</v>
      </c>
      <c r="K391" s="23" t="str">
        <f t="shared" si="10"/>
        <v>Seminole, FL</v>
      </c>
      <c r="L391" s="23">
        <v>347.0</v>
      </c>
      <c r="M391" s="23" t="s">
        <v>63</v>
      </c>
      <c r="N391" s="35">
        <v>163.0</v>
      </c>
      <c r="O391" s="35">
        <v>115.0</v>
      </c>
      <c r="P391" s="23" t="s">
        <v>63</v>
      </c>
      <c r="Q391" s="23" t="s">
        <v>63</v>
      </c>
      <c r="R391" s="23" t="s">
        <v>63</v>
      </c>
      <c r="S391" s="125" t="s">
        <v>63</v>
      </c>
      <c r="T391" s="32">
        <v>0.7696476964769647</v>
      </c>
      <c r="U391" s="23" t="s">
        <v>63</v>
      </c>
      <c r="V391" s="125" t="s">
        <v>63</v>
      </c>
      <c r="W391" s="125" t="s">
        <v>63</v>
      </c>
      <c r="X391" s="125" t="s">
        <v>63</v>
      </c>
      <c r="Y391" s="35">
        <v>188.0</v>
      </c>
      <c r="Z391" s="32" t="s">
        <v>63</v>
      </c>
      <c r="AA391" s="38"/>
      <c r="AB391" s="38"/>
      <c r="AC391" s="38"/>
      <c r="AD391" s="38"/>
      <c r="AE391" s="38"/>
      <c r="AF391" s="38"/>
      <c r="AG391" s="38"/>
      <c r="AH391" s="38"/>
      <c r="AI391" s="38"/>
      <c r="AJ391" s="38"/>
      <c r="AK391" s="38"/>
    </row>
    <row r="392">
      <c r="A392" s="99">
        <v>391.0</v>
      </c>
      <c r="B392" s="15"/>
      <c r="C392" s="15"/>
      <c r="D392" s="105">
        <v>1.0</v>
      </c>
      <c r="E392" s="102">
        <v>12.0</v>
      </c>
      <c r="F392" s="107">
        <v>119.0</v>
      </c>
      <c r="G392" s="15" t="str">
        <f t="shared" si="1"/>
        <v>12119</v>
      </c>
      <c r="H392" s="23" t="s">
        <v>169</v>
      </c>
      <c r="I392" s="23" t="s">
        <v>42</v>
      </c>
      <c r="J392" s="23" t="s">
        <v>245</v>
      </c>
      <c r="K392" s="23" t="str">
        <f t="shared" si="10"/>
        <v>Sumter, FL</v>
      </c>
      <c r="L392" s="23">
        <v>117.0</v>
      </c>
      <c r="M392" s="23" t="s">
        <v>63</v>
      </c>
      <c r="N392" s="35">
        <v>65.0</v>
      </c>
      <c r="O392" s="35">
        <v>45.0</v>
      </c>
      <c r="P392" s="23" t="s">
        <v>63</v>
      </c>
      <c r="Q392" s="23" t="s">
        <v>63</v>
      </c>
      <c r="R392" s="23" t="s">
        <v>63</v>
      </c>
      <c r="S392" s="125" t="s">
        <v>63</v>
      </c>
      <c r="T392" s="32">
        <v>0.6774193548387096</v>
      </c>
      <c r="U392" s="23" t="s">
        <v>63</v>
      </c>
      <c r="V392" s="125" t="s">
        <v>63</v>
      </c>
      <c r="W392" s="125" t="s">
        <v>63</v>
      </c>
      <c r="X392" s="125" t="s">
        <v>63</v>
      </c>
      <c r="Y392" s="35">
        <v>73.0</v>
      </c>
      <c r="Z392" s="32" t="s">
        <v>63</v>
      </c>
      <c r="AA392" s="38"/>
      <c r="AB392" s="38"/>
      <c r="AC392" s="38"/>
      <c r="AD392" s="38"/>
      <c r="AE392" s="38"/>
      <c r="AF392" s="38"/>
      <c r="AG392" s="38"/>
      <c r="AH392" s="38"/>
      <c r="AI392" s="38"/>
      <c r="AJ392" s="38"/>
      <c r="AK392" s="38"/>
    </row>
    <row r="393">
      <c r="A393" s="99">
        <v>392.0</v>
      </c>
      <c r="B393" s="15"/>
      <c r="C393" s="15"/>
      <c r="D393" s="105">
        <v>1.0</v>
      </c>
      <c r="E393" s="102">
        <v>12.0</v>
      </c>
      <c r="F393" s="107">
        <v>121.0</v>
      </c>
      <c r="G393" s="15" t="str">
        <f t="shared" si="1"/>
        <v>12121</v>
      </c>
      <c r="H393" s="23" t="s">
        <v>525</v>
      </c>
      <c r="I393" s="23" t="s">
        <v>42</v>
      </c>
      <c r="J393" s="23" t="s">
        <v>245</v>
      </c>
      <c r="K393" s="23" t="str">
        <f t="shared" si="10"/>
        <v>Suwannee, FL</v>
      </c>
      <c r="L393" s="23">
        <v>78.0</v>
      </c>
      <c r="M393" s="23" t="s">
        <v>63</v>
      </c>
      <c r="N393" s="35">
        <v>42.0</v>
      </c>
      <c r="O393" s="35">
        <v>29.0</v>
      </c>
      <c r="P393" s="23" t="s">
        <v>63</v>
      </c>
      <c r="Q393" s="23" t="s">
        <v>63</v>
      </c>
      <c r="R393" s="23" t="s">
        <v>63</v>
      </c>
      <c r="S393" s="125" t="s">
        <v>63</v>
      </c>
      <c r="T393" s="32">
        <v>0.7209302325581395</v>
      </c>
      <c r="U393" s="23" t="s">
        <v>63</v>
      </c>
      <c r="V393" s="125" t="s">
        <v>63</v>
      </c>
      <c r="W393" s="125" t="s">
        <v>63</v>
      </c>
      <c r="X393" s="125" t="s">
        <v>63</v>
      </c>
      <c r="Y393" s="35">
        <v>72.0</v>
      </c>
      <c r="Z393" s="32" t="s">
        <v>63</v>
      </c>
      <c r="AA393" s="38"/>
      <c r="AB393" s="38"/>
      <c r="AC393" s="38"/>
      <c r="AD393" s="38"/>
      <c r="AE393" s="38"/>
      <c r="AF393" s="38"/>
      <c r="AG393" s="38"/>
      <c r="AH393" s="38"/>
      <c r="AI393" s="38"/>
      <c r="AJ393" s="38"/>
      <c r="AK393" s="38"/>
    </row>
    <row r="394">
      <c r="A394" s="99">
        <v>393.0</v>
      </c>
      <c r="B394" s="15"/>
      <c r="C394" s="15"/>
      <c r="D394" s="105">
        <v>1.0</v>
      </c>
      <c r="E394" s="102">
        <v>12.0</v>
      </c>
      <c r="F394" s="107">
        <v>123.0</v>
      </c>
      <c r="G394" s="15" t="str">
        <f t="shared" si="1"/>
        <v>12123</v>
      </c>
      <c r="H394" s="23" t="s">
        <v>526</v>
      </c>
      <c r="I394" s="23" t="s">
        <v>42</v>
      </c>
      <c r="J394" s="23" t="s">
        <v>245</v>
      </c>
      <c r="K394" s="23" t="str">
        <f t="shared" si="10"/>
        <v>Taylor, FL</v>
      </c>
      <c r="L394" s="23">
        <v>42.0</v>
      </c>
      <c r="M394" s="23" t="s">
        <v>63</v>
      </c>
      <c r="N394" s="35">
        <v>21.0</v>
      </c>
      <c r="O394" s="35">
        <v>13.0</v>
      </c>
      <c r="P394" s="23" t="s">
        <v>63</v>
      </c>
      <c r="Q394" s="23" t="s">
        <v>63</v>
      </c>
      <c r="R394" s="23" t="s">
        <v>63</v>
      </c>
      <c r="S394" s="125" t="s">
        <v>63</v>
      </c>
      <c r="T394" s="32">
        <v>1.0</v>
      </c>
      <c r="U394" s="23" t="s">
        <v>63</v>
      </c>
      <c r="V394" s="125" t="s">
        <v>63</v>
      </c>
      <c r="W394" s="125" t="s">
        <v>63</v>
      </c>
      <c r="X394" s="125" t="s">
        <v>63</v>
      </c>
      <c r="Y394" s="35">
        <v>46.0</v>
      </c>
      <c r="Z394" s="32" t="s">
        <v>63</v>
      </c>
      <c r="AA394" s="38"/>
      <c r="AB394" s="38"/>
      <c r="AC394" s="38"/>
      <c r="AD394" s="38"/>
      <c r="AE394" s="38"/>
      <c r="AF394" s="38"/>
      <c r="AG394" s="38"/>
      <c r="AH394" s="38"/>
      <c r="AI394" s="38"/>
      <c r="AJ394" s="38"/>
      <c r="AK394" s="38"/>
    </row>
    <row r="395">
      <c r="A395" s="99">
        <v>394.0</v>
      </c>
      <c r="B395" s="15"/>
      <c r="C395" s="15"/>
      <c r="D395" s="105">
        <v>1.0</v>
      </c>
      <c r="E395" s="102">
        <v>12.0</v>
      </c>
      <c r="F395" s="107">
        <v>125.0</v>
      </c>
      <c r="G395" s="15" t="str">
        <f t="shared" si="1"/>
        <v>12125</v>
      </c>
      <c r="H395" s="23" t="s">
        <v>316</v>
      </c>
      <c r="I395" s="23" t="s">
        <v>42</v>
      </c>
      <c r="J395" s="23" t="s">
        <v>245</v>
      </c>
      <c r="K395" s="23" t="str">
        <f t="shared" si="10"/>
        <v>Union, FL</v>
      </c>
      <c r="L395" s="23">
        <v>16.0</v>
      </c>
      <c r="M395" s="23" t="s">
        <v>63</v>
      </c>
      <c r="N395" s="35">
        <v>5.0</v>
      </c>
      <c r="O395" s="35">
        <v>7.0</v>
      </c>
      <c r="P395" s="23" t="s">
        <v>63</v>
      </c>
      <c r="Q395" s="23" t="s">
        <v>63</v>
      </c>
      <c r="R395" s="23" t="s">
        <v>63</v>
      </c>
      <c r="S395" s="125" t="s">
        <v>63</v>
      </c>
      <c r="T395" s="32">
        <v>0.9</v>
      </c>
      <c r="U395" s="23" t="s">
        <v>63</v>
      </c>
      <c r="V395" s="125" t="s">
        <v>63</v>
      </c>
      <c r="W395" s="125" t="s">
        <v>63</v>
      </c>
      <c r="X395" s="125" t="s">
        <v>63</v>
      </c>
      <c r="Y395" s="35">
        <v>19.0</v>
      </c>
      <c r="Z395" s="32" t="s">
        <v>63</v>
      </c>
      <c r="AA395" s="38"/>
      <c r="AB395" s="38"/>
      <c r="AC395" s="38"/>
      <c r="AD395" s="38"/>
      <c r="AE395" s="38"/>
      <c r="AF395" s="38"/>
      <c r="AG395" s="38"/>
      <c r="AH395" s="38"/>
      <c r="AI395" s="38"/>
      <c r="AJ395" s="38"/>
      <c r="AK395" s="38"/>
    </row>
    <row r="396">
      <c r="A396" s="99">
        <v>395.0</v>
      </c>
      <c r="B396" s="15"/>
      <c r="C396" s="15"/>
      <c r="D396" s="105">
        <v>1.0</v>
      </c>
      <c r="E396" s="102">
        <v>12.0</v>
      </c>
      <c r="F396" s="107">
        <v>127.0</v>
      </c>
      <c r="G396" s="15" t="str">
        <f t="shared" si="1"/>
        <v>12127</v>
      </c>
      <c r="H396" s="23" t="s">
        <v>528</v>
      </c>
      <c r="I396" s="23" t="s">
        <v>42</v>
      </c>
      <c r="J396" s="23" t="s">
        <v>245</v>
      </c>
      <c r="K396" s="23" t="str">
        <f t="shared" si="10"/>
        <v>Volusia, FL</v>
      </c>
      <c r="L396" s="23">
        <v>473.0</v>
      </c>
      <c r="M396" s="23" t="s">
        <v>63</v>
      </c>
      <c r="N396" s="35">
        <v>255.0</v>
      </c>
      <c r="O396" s="35">
        <v>111.0</v>
      </c>
      <c r="P396" s="23" t="s">
        <v>63</v>
      </c>
      <c r="Q396" s="23" t="s">
        <v>63</v>
      </c>
      <c r="R396" s="23" t="s">
        <v>63</v>
      </c>
      <c r="S396" s="125" t="s">
        <v>63</v>
      </c>
      <c r="T396" s="32">
        <v>0.7896253602305475</v>
      </c>
      <c r="U396" s="23" t="s">
        <v>63</v>
      </c>
      <c r="V396" s="125" t="s">
        <v>63</v>
      </c>
      <c r="W396" s="125" t="s">
        <v>63</v>
      </c>
      <c r="X396" s="125" t="s">
        <v>63</v>
      </c>
      <c r="Y396" s="35">
        <v>294.0</v>
      </c>
      <c r="Z396" s="32" t="s">
        <v>63</v>
      </c>
      <c r="AA396" s="38"/>
      <c r="AB396" s="38"/>
      <c r="AC396" s="38"/>
      <c r="AD396" s="38"/>
      <c r="AE396" s="38"/>
      <c r="AF396" s="38"/>
      <c r="AG396" s="38"/>
      <c r="AH396" s="38"/>
      <c r="AI396" s="38"/>
      <c r="AJ396" s="38"/>
      <c r="AK396" s="38"/>
    </row>
    <row r="397">
      <c r="A397" s="99">
        <v>396.0</v>
      </c>
      <c r="B397" s="15"/>
      <c r="C397" s="15"/>
      <c r="D397" s="105">
        <v>1.0</v>
      </c>
      <c r="E397" s="102">
        <v>12.0</v>
      </c>
      <c r="F397" s="107">
        <v>129.0</v>
      </c>
      <c r="G397" s="15" t="str">
        <f t="shared" si="1"/>
        <v>12129</v>
      </c>
      <c r="H397" s="23" t="s">
        <v>529</v>
      </c>
      <c r="I397" s="23" t="s">
        <v>42</v>
      </c>
      <c r="J397" s="23" t="s">
        <v>245</v>
      </c>
      <c r="K397" s="23" t="str">
        <f t="shared" si="10"/>
        <v>Wakulla, FL</v>
      </c>
      <c r="L397" s="23">
        <v>27.0</v>
      </c>
      <c r="M397" s="23" t="s">
        <v>63</v>
      </c>
      <c r="N397" s="35">
        <v>20.0</v>
      </c>
      <c r="O397" s="35">
        <v>0.0</v>
      </c>
      <c r="P397" s="23" t="s">
        <v>63</v>
      </c>
      <c r="Q397" s="23" t="s">
        <v>63</v>
      </c>
      <c r="R397" s="23" t="s">
        <v>63</v>
      </c>
      <c r="S397" s="125" t="s">
        <v>63</v>
      </c>
      <c r="T397" s="32">
        <v>1.0</v>
      </c>
      <c r="U397" s="23" t="s">
        <v>63</v>
      </c>
      <c r="V397" s="125" t="s">
        <v>63</v>
      </c>
      <c r="W397" s="125" t="s">
        <v>63</v>
      </c>
      <c r="X397" s="125" t="s">
        <v>63</v>
      </c>
      <c r="Y397" s="35">
        <v>35.0</v>
      </c>
      <c r="Z397" s="32" t="s">
        <v>63</v>
      </c>
      <c r="AA397" s="38"/>
      <c r="AB397" s="38"/>
      <c r="AC397" s="38"/>
      <c r="AD397" s="38"/>
      <c r="AE397" s="38"/>
      <c r="AF397" s="38"/>
      <c r="AG397" s="38"/>
      <c r="AH397" s="38"/>
      <c r="AI397" s="38"/>
      <c r="AJ397" s="38"/>
      <c r="AK397" s="38"/>
    </row>
    <row r="398">
      <c r="A398" s="99">
        <v>397.0</v>
      </c>
      <c r="B398" s="15"/>
      <c r="C398" s="15"/>
      <c r="D398" s="105">
        <v>1.0</v>
      </c>
      <c r="E398" s="102">
        <v>12.0</v>
      </c>
      <c r="F398" s="107">
        <v>131.0</v>
      </c>
      <c r="G398" s="15" t="str">
        <f t="shared" si="1"/>
        <v>12131</v>
      </c>
      <c r="H398" s="23" t="s">
        <v>530</v>
      </c>
      <c r="I398" s="23" t="s">
        <v>42</v>
      </c>
      <c r="J398" s="23" t="s">
        <v>245</v>
      </c>
      <c r="K398" s="23" t="str">
        <f t="shared" si="10"/>
        <v>Walton, FL</v>
      </c>
      <c r="L398" s="23">
        <v>77.0</v>
      </c>
      <c r="M398" s="23" t="s">
        <v>63</v>
      </c>
      <c r="N398" s="35">
        <v>38.0</v>
      </c>
      <c r="O398" s="35">
        <v>18.0</v>
      </c>
      <c r="P398" s="23" t="s">
        <v>63</v>
      </c>
      <c r="Q398" s="23" t="s">
        <v>63</v>
      </c>
      <c r="R398" s="23" t="s">
        <v>63</v>
      </c>
      <c r="S398" s="125" t="s">
        <v>63</v>
      </c>
      <c r="T398" s="32">
        <v>0.8160919540229885</v>
      </c>
      <c r="U398" s="23" t="s">
        <v>63</v>
      </c>
      <c r="V398" s="125" t="s">
        <v>63</v>
      </c>
      <c r="W398" s="125" t="s">
        <v>63</v>
      </c>
      <c r="X398" s="125" t="s">
        <v>63</v>
      </c>
      <c r="Y398" s="35">
        <v>77.0</v>
      </c>
      <c r="Z398" s="32" t="s">
        <v>63</v>
      </c>
      <c r="AA398" s="38"/>
      <c r="AB398" s="38"/>
      <c r="AC398" s="38"/>
      <c r="AD398" s="38"/>
      <c r="AE398" s="38"/>
      <c r="AF398" s="38"/>
      <c r="AG398" s="38"/>
      <c r="AH398" s="38"/>
      <c r="AI398" s="38"/>
      <c r="AJ398" s="38"/>
      <c r="AK398" s="38"/>
    </row>
    <row r="399">
      <c r="A399" s="99">
        <v>398.0</v>
      </c>
      <c r="B399" s="15"/>
      <c r="C399" s="15"/>
      <c r="D399" s="105">
        <v>1.0</v>
      </c>
      <c r="E399" s="102">
        <v>12.0</v>
      </c>
      <c r="F399" s="107">
        <v>133.0</v>
      </c>
      <c r="G399" s="15" t="str">
        <f t="shared" si="1"/>
        <v>12133</v>
      </c>
      <c r="H399" s="23" t="s">
        <v>119</v>
      </c>
      <c r="I399" s="23" t="s">
        <v>42</v>
      </c>
      <c r="J399" s="23" t="s">
        <v>245</v>
      </c>
      <c r="K399" s="23" t="str">
        <f t="shared" si="10"/>
        <v>Washington, FL</v>
      </c>
      <c r="L399" s="23">
        <v>52.0</v>
      </c>
      <c r="M399" s="23" t="s">
        <v>63</v>
      </c>
      <c r="N399" s="35">
        <v>26.0</v>
      </c>
      <c r="O399" s="35">
        <v>20.0</v>
      </c>
      <c r="P399" s="23" t="s">
        <v>63</v>
      </c>
      <c r="Q399" s="23" t="s">
        <v>63</v>
      </c>
      <c r="R399" s="23" t="s">
        <v>63</v>
      </c>
      <c r="S399" s="125" t="s">
        <v>63</v>
      </c>
      <c r="T399" s="32">
        <v>0.9629629629629629</v>
      </c>
      <c r="U399" s="23" t="s">
        <v>63</v>
      </c>
      <c r="V399" s="125" t="s">
        <v>63</v>
      </c>
      <c r="W399" s="125" t="s">
        <v>63</v>
      </c>
      <c r="X399" s="125" t="s">
        <v>63</v>
      </c>
      <c r="Y399" s="35">
        <v>37.0</v>
      </c>
      <c r="Z399" s="32" t="s">
        <v>63</v>
      </c>
      <c r="AA399" s="38"/>
      <c r="AB399" s="38"/>
      <c r="AC399" s="38"/>
      <c r="AD399" s="38"/>
      <c r="AE399" s="38"/>
      <c r="AF399" s="38"/>
      <c r="AG399" s="38"/>
      <c r="AH399" s="38"/>
      <c r="AI399" s="38"/>
      <c r="AJ399" s="38"/>
      <c r="AK399" s="38"/>
    </row>
    <row r="400">
      <c r="A400" s="28">
        <v>399.0</v>
      </c>
      <c r="B400" s="29"/>
      <c r="C400" s="29" t="s">
        <v>25</v>
      </c>
      <c r="D400" s="30"/>
      <c r="E400" s="31">
        <v>13.0</v>
      </c>
      <c r="F400" s="42">
        <v>0.0</v>
      </c>
      <c r="G400" s="29" t="str">
        <f t="shared" si="1"/>
        <v>13000</v>
      </c>
      <c r="H400" s="37"/>
      <c r="I400" s="37" t="s">
        <v>44</v>
      </c>
      <c r="J400" s="37" t="s">
        <v>393</v>
      </c>
      <c r="K400" s="37"/>
      <c r="L400" s="70">
        <f t="array" ref="L400:Z400">Georgia!C163:Q163</f>
        <v>12264</v>
      </c>
      <c r="M400" s="37" t="s">
        <v>63</v>
      </c>
      <c r="N400" s="70">
        <v>6792.0</v>
      </c>
      <c r="O400" s="70">
        <v>2567.0</v>
      </c>
      <c r="P400" s="37" t="s">
        <v>63</v>
      </c>
      <c r="Q400" s="70">
        <v>5475.0</v>
      </c>
      <c r="R400" s="70">
        <v>1526.0</v>
      </c>
      <c r="S400" s="37" t="s">
        <v>63</v>
      </c>
      <c r="T400" s="69" t="s">
        <v>63</v>
      </c>
      <c r="U400" s="37" t="s">
        <v>63</v>
      </c>
      <c r="V400" s="37" t="s">
        <v>63</v>
      </c>
      <c r="W400" s="37" t="s">
        <v>63</v>
      </c>
      <c r="X400" s="37" t="s">
        <v>63</v>
      </c>
      <c r="Y400" s="53">
        <v>9380.0</v>
      </c>
      <c r="Z400" s="69" t="s">
        <v>63</v>
      </c>
      <c r="AA400" s="73"/>
      <c r="AB400" s="73"/>
      <c r="AC400" s="73"/>
      <c r="AD400" s="73"/>
      <c r="AE400" s="73"/>
      <c r="AF400" s="73"/>
      <c r="AG400" s="73"/>
      <c r="AH400" s="73"/>
      <c r="AI400" s="73"/>
      <c r="AJ400" s="73"/>
      <c r="AK400" s="73"/>
    </row>
    <row r="401">
      <c r="A401" s="28">
        <v>400.0</v>
      </c>
      <c r="B401" s="29"/>
      <c r="C401" s="29"/>
      <c r="D401" s="40">
        <v>1.0</v>
      </c>
      <c r="E401" s="31">
        <v>13.0</v>
      </c>
      <c r="F401" s="42">
        <v>1.0</v>
      </c>
      <c r="G401" s="29" t="str">
        <f t="shared" si="1"/>
        <v>13001</v>
      </c>
      <c r="H401" s="37" t="s">
        <v>532</v>
      </c>
      <c r="I401" s="37" t="s">
        <v>44</v>
      </c>
      <c r="J401" s="37" t="s">
        <v>393</v>
      </c>
      <c r="K401" s="37" t="str">
        <f t="shared" ref="K401:K559" si="11">CONCATENATE(H401,", ",J401)</f>
        <v>Appling, GA</v>
      </c>
      <c r="L401" s="37">
        <f t="array" ref="L401:Z559">Georgia!C3:Q161</f>
        <v>53</v>
      </c>
      <c r="M401" s="37" t="s">
        <v>63</v>
      </c>
      <c r="N401" s="37">
        <v>13.0</v>
      </c>
      <c r="O401" s="37">
        <v>18.0</v>
      </c>
      <c r="P401" s="37" t="s">
        <v>63</v>
      </c>
      <c r="Q401" s="37">
        <v>4.0</v>
      </c>
      <c r="R401" s="37">
        <v>2.0</v>
      </c>
      <c r="S401" s="37" t="s">
        <v>63</v>
      </c>
      <c r="T401" s="69" t="s">
        <v>63</v>
      </c>
      <c r="U401" s="37" t="s">
        <v>63</v>
      </c>
      <c r="V401" s="37" t="s">
        <v>63</v>
      </c>
      <c r="W401" s="37" t="s">
        <v>63</v>
      </c>
      <c r="X401" s="37" t="s">
        <v>63</v>
      </c>
      <c r="Y401" s="53">
        <v>40.0</v>
      </c>
      <c r="Z401" s="69" t="s">
        <v>63</v>
      </c>
      <c r="AA401" s="73"/>
      <c r="AB401" s="73"/>
      <c r="AC401" s="73"/>
      <c r="AD401" s="73"/>
      <c r="AE401" s="73"/>
      <c r="AF401" s="73"/>
      <c r="AG401" s="73"/>
      <c r="AH401" s="73"/>
      <c r="AI401" s="73"/>
      <c r="AJ401" s="73"/>
      <c r="AK401" s="73"/>
    </row>
    <row r="402">
      <c r="A402" s="28">
        <v>401.0</v>
      </c>
      <c r="B402" s="29"/>
      <c r="C402" s="29"/>
      <c r="D402" s="40">
        <v>1.0</v>
      </c>
      <c r="E402" s="31">
        <v>13.0</v>
      </c>
      <c r="F402" s="42">
        <v>3.0</v>
      </c>
      <c r="G402" s="29" t="str">
        <f t="shared" si="1"/>
        <v>13003</v>
      </c>
      <c r="H402" s="37" t="s">
        <v>533</v>
      </c>
      <c r="I402" s="37" t="s">
        <v>44</v>
      </c>
      <c r="J402" s="37" t="s">
        <v>393</v>
      </c>
      <c r="K402" s="37" t="str">
        <f t="shared" si="11"/>
        <v>Atkinson, GA</v>
      </c>
      <c r="L402" s="37">
        <v>10.0</v>
      </c>
      <c r="M402" s="37" t="s">
        <v>63</v>
      </c>
      <c r="N402" s="37">
        <v>3.0</v>
      </c>
      <c r="O402" s="37">
        <v>6.0</v>
      </c>
      <c r="P402" s="37" t="s">
        <v>63</v>
      </c>
      <c r="Q402" s="37">
        <v>1.0</v>
      </c>
      <c r="R402" s="37">
        <v>2.0</v>
      </c>
      <c r="S402" s="37" t="s">
        <v>63</v>
      </c>
      <c r="T402" s="69" t="s">
        <v>63</v>
      </c>
      <c r="U402" s="37" t="s">
        <v>63</v>
      </c>
      <c r="V402" s="37" t="s">
        <v>63</v>
      </c>
      <c r="W402" s="37" t="s">
        <v>63</v>
      </c>
      <c r="X402" s="37" t="s">
        <v>63</v>
      </c>
      <c r="Y402" s="53">
        <v>14.0</v>
      </c>
      <c r="Z402" s="69" t="s">
        <v>63</v>
      </c>
      <c r="AA402" s="73"/>
      <c r="AB402" s="73"/>
      <c r="AC402" s="73"/>
      <c r="AD402" s="73"/>
      <c r="AE402" s="73"/>
      <c r="AF402" s="73"/>
      <c r="AG402" s="73"/>
      <c r="AH402" s="73"/>
      <c r="AI402" s="73"/>
      <c r="AJ402" s="73"/>
      <c r="AK402" s="73"/>
    </row>
    <row r="403">
      <c r="A403" s="28">
        <v>402.0</v>
      </c>
      <c r="B403" s="29"/>
      <c r="C403" s="29"/>
      <c r="D403" s="40">
        <v>1.0</v>
      </c>
      <c r="E403" s="31">
        <v>13.0</v>
      </c>
      <c r="F403" s="42">
        <v>5.0</v>
      </c>
      <c r="G403" s="29" t="str">
        <f t="shared" si="1"/>
        <v>13005</v>
      </c>
      <c r="H403" s="37" t="s">
        <v>534</v>
      </c>
      <c r="I403" s="37" t="s">
        <v>44</v>
      </c>
      <c r="J403" s="37" t="s">
        <v>393</v>
      </c>
      <c r="K403" s="37" t="str">
        <f t="shared" si="11"/>
        <v>Bacon, GA</v>
      </c>
      <c r="L403" s="37">
        <v>45.0</v>
      </c>
      <c r="M403" s="37" t="s">
        <v>63</v>
      </c>
      <c r="N403" s="37">
        <v>25.0</v>
      </c>
      <c r="O403" s="37">
        <v>13.0</v>
      </c>
      <c r="P403" s="37" t="s">
        <v>63</v>
      </c>
      <c r="Q403" s="37">
        <v>8.0</v>
      </c>
      <c r="R403" s="37">
        <v>4.0</v>
      </c>
      <c r="S403" s="37" t="s">
        <v>63</v>
      </c>
      <c r="T403" s="69" t="s">
        <v>63</v>
      </c>
      <c r="U403" s="37" t="s">
        <v>63</v>
      </c>
      <c r="V403" s="37" t="s">
        <v>63</v>
      </c>
      <c r="W403" s="37" t="s">
        <v>63</v>
      </c>
      <c r="X403" s="37" t="s">
        <v>63</v>
      </c>
      <c r="Y403" s="53">
        <v>22.0</v>
      </c>
      <c r="Z403" s="69" t="s">
        <v>63</v>
      </c>
      <c r="AA403" s="73"/>
      <c r="AB403" s="73"/>
      <c r="AC403" s="73"/>
      <c r="AD403" s="73"/>
      <c r="AE403" s="73"/>
      <c r="AF403" s="73"/>
      <c r="AG403" s="73"/>
      <c r="AH403" s="73"/>
      <c r="AI403" s="73"/>
      <c r="AJ403" s="73"/>
      <c r="AK403" s="73"/>
    </row>
    <row r="404">
      <c r="A404" s="28">
        <v>403.0</v>
      </c>
      <c r="B404" s="29"/>
      <c r="C404" s="29"/>
      <c r="D404" s="40">
        <v>1.0</v>
      </c>
      <c r="E404" s="31">
        <v>13.0</v>
      </c>
      <c r="F404" s="42">
        <v>7.0</v>
      </c>
      <c r="G404" s="29" t="str">
        <f t="shared" si="1"/>
        <v>13007</v>
      </c>
      <c r="H404" s="37" t="s">
        <v>481</v>
      </c>
      <c r="I404" s="37" t="s">
        <v>44</v>
      </c>
      <c r="J404" s="37" t="s">
        <v>393</v>
      </c>
      <c r="K404" s="37" t="str">
        <f t="shared" si="11"/>
        <v>Baker, GA</v>
      </c>
      <c r="L404" s="37">
        <v>3.0</v>
      </c>
      <c r="M404" s="37" t="s">
        <v>63</v>
      </c>
      <c r="N404" s="37">
        <v>2.0</v>
      </c>
      <c r="O404" s="37">
        <v>0.0</v>
      </c>
      <c r="P404" s="37" t="s">
        <v>63</v>
      </c>
      <c r="Q404" s="37">
        <v>3.0</v>
      </c>
      <c r="R404" s="37">
        <v>2.0</v>
      </c>
      <c r="S404" s="37" t="s">
        <v>63</v>
      </c>
      <c r="T404" s="69" t="s">
        <v>63</v>
      </c>
      <c r="U404" s="37" t="s">
        <v>63</v>
      </c>
      <c r="V404" s="37" t="s">
        <v>63</v>
      </c>
      <c r="W404" s="37" t="s">
        <v>63</v>
      </c>
      <c r="X404" s="37" t="s">
        <v>63</v>
      </c>
      <c r="Y404" s="53" t="s">
        <v>63</v>
      </c>
      <c r="Z404" s="69" t="s">
        <v>63</v>
      </c>
      <c r="AA404" s="73"/>
      <c r="AB404" s="73"/>
      <c r="AC404" s="73"/>
      <c r="AD404" s="73"/>
      <c r="AE404" s="73"/>
      <c r="AF404" s="73"/>
      <c r="AG404" s="73"/>
      <c r="AH404" s="73"/>
      <c r="AI404" s="73"/>
      <c r="AJ404" s="73"/>
      <c r="AK404" s="73"/>
    </row>
    <row r="405">
      <c r="A405" s="28">
        <v>404.0</v>
      </c>
      <c r="B405" s="29"/>
      <c r="C405" s="29"/>
      <c r="D405" s="40">
        <v>1.0</v>
      </c>
      <c r="E405" s="31">
        <v>13.0</v>
      </c>
      <c r="F405" s="42">
        <v>9.0</v>
      </c>
      <c r="G405" s="29" t="str">
        <f t="shared" si="1"/>
        <v>13009</v>
      </c>
      <c r="H405" s="37" t="s">
        <v>58</v>
      </c>
      <c r="I405" s="37" t="s">
        <v>44</v>
      </c>
      <c r="J405" s="37" t="s">
        <v>393</v>
      </c>
      <c r="K405" s="37" t="str">
        <f t="shared" si="11"/>
        <v>Baldwin, GA</v>
      </c>
      <c r="L405" s="37">
        <v>90.0</v>
      </c>
      <c r="M405" s="37" t="s">
        <v>63</v>
      </c>
      <c r="N405" s="37">
        <v>56.0</v>
      </c>
      <c r="O405" s="37">
        <v>10.0</v>
      </c>
      <c r="P405" s="37" t="s">
        <v>63</v>
      </c>
      <c r="Q405" s="37">
        <v>33.0</v>
      </c>
      <c r="R405" s="37">
        <v>19.0</v>
      </c>
      <c r="S405" s="37" t="s">
        <v>63</v>
      </c>
      <c r="T405" s="69" t="s">
        <v>63</v>
      </c>
      <c r="U405" s="37" t="s">
        <v>63</v>
      </c>
      <c r="V405" s="37" t="s">
        <v>63</v>
      </c>
      <c r="W405" s="37" t="s">
        <v>63</v>
      </c>
      <c r="X405" s="37" t="s">
        <v>63</v>
      </c>
      <c r="Y405" s="53">
        <v>66.0</v>
      </c>
      <c r="Z405" s="69" t="s">
        <v>63</v>
      </c>
      <c r="AA405" s="73"/>
      <c r="AB405" s="73"/>
      <c r="AC405" s="73"/>
      <c r="AD405" s="73"/>
      <c r="AE405" s="73"/>
      <c r="AF405" s="73"/>
      <c r="AG405" s="73"/>
      <c r="AH405" s="73"/>
      <c r="AI405" s="73"/>
      <c r="AJ405" s="73"/>
      <c r="AK405" s="73"/>
    </row>
    <row r="406">
      <c r="A406" s="28">
        <v>405.0</v>
      </c>
      <c r="B406" s="29"/>
      <c r="C406" s="29"/>
      <c r="D406" s="40">
        <v>1.0</v>
      </c>
      <c r="E406" s="31">
        <v>13.0</v>
      </c>
      <c r="F406" s="42">
        <v>11.0</v>
      </c>
      <c r="G406" s="29" t="str">
        <f t="shared" si="1"/>
        <v>13011</v>
      </c>
      <c r="H406" s="37" t="s">
        <v>535</v>
      </c>
      <c r="I406" s="37" t="s">
        <v>44</v>
      </c>
      <c r="J406" s="37" t="s">
        <v>393</v>
      </c>
      <c r="K406" s="37" t="str">
        <f t="shared" si="11"/>
        <v>Banks, GA</v>
      </c>
      <c r="L406" s="37">
        <v>32.0</v>
      </c>
      <c r="M406" s="37" t="s">
        <v>63</v>
      </c>
      <c r="N406" s="37">
        <v>24.0</v>
      </c>
      <c r="O406" s="37">
        <v>4.0</v>
      </c>
      <c r="P406" s="37" t="s">
        <v>63</v>
      </c>
      <c r="Q406" s="37">
        <v>5.0</v>
      </c>
      <c r="R406" s="37">
        <v>9.0</v>
      </c>
      <c r="S406" s="37" t="s">
        <v>63</v>
      </c>
      <c r="T406" s="69" t="s">
        <v>63</v>
      </c>
      <c r="U406" s="37" t="s">
        <v>63</v>
      </c>
      <c r="V406" s="37" t="s">
        <v>63</v>
      </c>
      <c r="W406" s="37" t="s">
        <v>63</v>
      </c>
      <c r="X406" s="37" t="s">
        <v>63</v>
      </c>
      <c r="Y406" s="53">
        <v>22.0</v>
      </c>
      <c r="Z406" s="69" t="s">
        <v>63</v>
      </c>
      <c r="AA406" s="73"/>
      <c r="AB406" s="73"/>
      <c r="AC406" s="73"/>
      <c r="AD406" s="73"/>
      <c r="AE406" s="73"/>
      <c r="AF406" s="73"/>
      <c r="AG406" s="73"/>
      <c r="AH406" s="73"/>
      <c r="AI406" s="73"/>
      <c r="AJ406" s="73"/>
      <c r="AK406" s="73"/>
    </row>
    <row r="407">
      <c r="A407" s="28">
        <v>406.0</v>
      </c>
      <c r="B407" s="29"/>
      <c r="C407" s="29"/>
      <c r="D407" s="40">
        <v>1.0</v>
      </c>
      <c r="E407" s="31">
        <v>13.0</v>
      </c>
      <c r="F407" s="42">
        <v>13.0</v>
      </c>
      <c r="G407" s="29" t="str">
        <f t="shared" si="1"/>
        <v>13013</v>
      </c>
      <c r="H407" s="37" t="s">
        <v>537</v>
      </c>
      <c r="I407" s="37" t="s">
        <v>44</v>
      </c>
      <c r="J407" s="37" t="s">
        <v>393</v>
      </c>
      <c r="K407" s="37" t="str">
        <f t="shared" si="11"/>
        <v>Barrow, GA</v>
      </c>
      <c r="L407" s="37">
        <v>102.0</v>
      </c>
      <c r="M407" s="37" t="s">
        <v>63</v>
      </c>
      <c r="N407" s="37">
        <v>54.0</v>
      </c>
      <c r="O407" s="37">
        <v>18.0</v>
      </c>
      <c r="P407" s="37" t="s">
        <v>63</v>
      </c>
      <c r="Q407" s="37">
        <v>51.0</v>
      </c>
      <c r="R407" s="37">
        <v>31.0</v>
      </c>
      <c r="S407" s="37" t="s">
        <v>63</v>
      </c>
      <c r="T407" s="69" t="s">
        <v>63</v>
      </c>
      <c r="U407" s="37" t="s">
        <v>63</v>
      </c>
      <c r="V407" s="37" t="s">
        <v>63</v>
      </c>
      <c r="W407" s="37" t="s">
        <v>63</v>
      </c>
      <c r="X407" s="37" t="s">
        <v>63</v>
      </c>
      <c r="Y407" s="53">
        <v>71.0</v>
      </c>
      <c r="Z407" s="69" t="s">
        <v>63</v>
      </c>
      <c r="AA407" s="73"/>
      <c r="AB407" s="73"/>
      <c r="AC407" s="73"/>
      <c r="AD407" s="73"/>
      <c r="AE407" s="73"/>
      <c r="AF407" s="73"/>
      <c r="AG407" s="73"/>
      <c r="AH407" s="73"/>
      <c r="AI407" s="73"/>
      <c r="AJ407" s="73"/>
      <c r="AK407" s="73"/>
    </row>
    <row r="408">
      <c r="A408" s="28">
        <v>407.0</v>
      </c>
      <c r="B408" s="29"/>
      <c r="C408" s="29"/>
      <c r="D408" s="40">
        <v>1.0</v>
      </c>
      <c r="E408" s="31">
        <v>13.0</v>
      </c>
      <c r="F408" s="42">
        <v>15.0</v>
      </c>
      <c r="G408" s="29" t="str">
        <f t="shared" si="1"/>
        <v>13015</v>
      </c>
      <c r="H408" s="37" t="s">
        <v>538</v>
      </c>
      <c r="I408" s="37" t="s">
        <v>44</v>
      </c>
      <c r="J408" s="37" t="s">
        <v>393</v>
      </c>
      <c r="K408" s="37" t="str">
        <f t="shared" si="11"/>
        <v>Bartow, GA</v>
      </c>
      <c r="L408" s="37">
        <v>174.0</v>
      </c>
      <c r="M408" s="37" t="s">
        <v>63</v>
      </c>
      <c r="N408" s="37">
        <v>70.0</v>
      </c>
      <c r="O408" s="37">
        <v>58.0</v>
      </c>
      <c r="P408" s="37" t="s">
        <v>63</v>
      </c>
      <c r="Q408" s="37">
        <v>71.0</v>
      </c>
      <c r="R408" s="37">
        <v>9.0</v>
      </c>
      <c r="S408" s="37" t="s">
        <v>63</v>
      </c>
      <c r="T408" s="69" t="s">
        <v>63</v>
      </c>
      <c r="U408" s="37" t="s">
        <v>63</v>
      </c>
      <c r="V408" s="37" t="s">
        <v>63</v>
      </c>
      <c r="W408" s="37" t="s">
        <v>63</v>
      </c>
      <c r="X408" s="37" t="s">
        <v>63</v>
      </c>
      <c r="Y408" s="53">
        <v>107.0</v>
      </c>
      <c r="Z408" s="69" t="s">
        <v>63</v>
      </c>
      <c r="AA408" s="73"/>
      <c r="AB408" s="73"/>
      <c r="AC408" s="73"/>
      <c r="AD408" s="73"/>
      <c r="AE408" s="73"/>
      <c r="AF408" s="73"/>
      <c r="AG408" s="73"/>
      <c r="AH408" s="73"/>
      <c r="AI408" s="73"/>
      <c r="AJ408" s="73"/>
      <c r="AK408" s="73"/>
    </row>
    <row r="409">
      <c r="A409" s="28">
        <v>408.0</v>
      </c>
      <c r="B409" s="29"/>
      <c r="C409" s="29"/>
      <c r="D409" s="40">
        <v>1.0</v>
      </c>
      <c r="E409" s="31">
        <v>13.0</v>
      </c>
      <c r="F409" s="42">
        <v>17.0</v>
      </c>
      <c r="G409" s="29" t="str">
        <f t="shared" si="1"/>
        <v>13017</v>
      </c>
      <c r="H409" s="37" t="s">
        <v>539</v>
      </c>
      <c r="I409" s="37" t="s">
        <v>44</v>
      </c>
      <c r="J409" s="37" t="s">
        <v>393</v>
      </c>
      <c r="K409" s="37" t="str">
        <f t="shared" si="11"/>
        <v>Ben Hill, GA</v>
      </c>
      <c r="L409" s="37">
        <v>118.0</v>
      </c>
      <c r="M409" s="37" t="s">
        <v>63</v>
      </c>
      <c r="N409" s="37">
        <v>63.0</v>
      </c>
      <c r="O409" s="37">
        <v>38.0</v>
      </c>
      <c r="P409" s="37" t="s">
        <v>63</v>
      </c>
      <c r="Q409" s="37">
        <v>11.0</v>
      </c>
      <c r="R409" s="37">
        <v>11.0</v>
      </c>
      <c r="S409" s="37" t="s">
        <v>63</v>
      </c>
      <c r="T409" s="69" t="s">
        <v>63</v>
      </c>
      <c r="U409" s="37" t="s">
        <v>63</v>
      </c>
      <c r="V409" s="37" t="s">
        <v>63</v>
      </c>
      <c r="W409" s="37" t="s">
        <v>63</v>
      </c>
      <c r="X409" s="37" t="s">
        <v>63</v>
      </c>
      <c r="Y409" s="53">
        <v>25.0</v>
      </c>
      <c r="Z409" s="69" t="s">
        <v>63</v>
      </c>
      <c r="AA409" s="73"/>
      <c r="AB409" s="73"/>
      <c r="AC409" s="73"/>
      <c r="AD409" s="73"/>
      <c r="AE409" s="73"/>
      <c r="AF409" s="73"/>
      <c r="AG409" s="73"/>
      <c r="AH409" s="73"/>
      <c r="AI409" s="73"/>
      <c r="AJ409" s="73"/>
      <c r="AK409" s="73"/>
    </row>
    <row r="410">
      <c r="A410" s="28">
        <v>409.0</v>
      </c>
      <c r="B410" s="29"/>
      <c r="C410" s="29"/>
      <c r="D410" s="40">
        <v>1.0</v>
      </c>
      <c r="E410" s="31">
        <v>13.0</v>
      </c>
      <c r="F410" s="42">
        <v>19.0</v>
      </c>
      <c r="G410" s="29" t="str">
        <f t="shared" si="1"/>
        <v>13019</v>
      </c>
      <c r="H410" s="37" t="s">
        <v>540</v>
      </c>
      <c r="I410" s="37" t="s">
        <v>44</v>
      </c>
      <c r="J410" s="37" t="s">
        <v>393</v>
      </c>
      <c r="K410" s="37" t="str">
        <f t="shared" si="11"/>
        <v>Berrien, GA</v>
      </c>
      <c r="L410" s="37">
        <v>48.0</v>
      </c>
      <c r="M410" s="37" t="s">
        <v>63</v>
      </c>
      <c r="N410" s="37">
        <v>32.0</v>
      </c>
      <c r="O410" s="37">
        <v>4.0</v>
      </c>
      <c r="P410" s="37" t="s">
        <v>63</v>
      </c>
      <c r="Q410" s="37">
        <v>10.0</v>
      </c>
      <c r="R410" s="37">
        <v>1.0</v>
      </c>
      <c r="S410" s="37" t="s">
        <v>63</v>
      </c>
      <c r="T410" s="69" t="s">
        <v>63</v>
      </c>
      <c r="U410" s="37" t="s">
        <v>63</v>
      </c>
      <c r="V410" s="37" t="s">
        <v>63</v>
      </c>
      <c r="W410" s="37" t="s">
        <v>63</v>
      </c>
      <c r="X410" s="37" t="s">
        <v>63</v>
      </c>
      <c r="Y410" s="53">
        <v>11.0</v>
      </c>
      <c r="Z410" s="69" t="s">
        <v>63</v>
      </c>
      <c r="AA410" s="73"/>
      <c r="AB410" s="73"/>
      <c r="AC410" s="73"/>
      <c r="AD410" s="73"/>
      <c r="AE410" s="73"/>
      <c r="AF410" s="73"/>
      <c r="AG410" s="73"/>
      <c r="AH410" s="73"/>
      <c r="AI410" s="73"/>
      <c r="AJ410" s="73"/>
      <c r="AK410" s="73"/>
    </row>
    <row r="411">
      <c r="A411" s="28">
        <v>410.0</v>
      </c>
      <c r="B411" s="29"/>
      <c r="C411" s="29"/>
      <c r="D411" s="40">
        <v>1.0</v>
      </c>
      <c r="E411" s="31">
        <v>13.0</v>
      </c>
      <c r="F411" s="42">
        <v>21.0</v>
      </c>
      <c r="G411" s="29" t="str">
        <f t="shared" si="1"/>
        <v>13021</v>
      </c>
      <c r="H411" s="37" t="s">
        <v>68</v>
      </c>
      <c r="I411" s="37" t="s">
        <v>44</v>
      </c>
      <c r="J411" s="37" t="s">
        <v>393</v>
      </c>
      <c r="K411" s="37" t="str">
        <f t="shared" si="11"/>
        <v>Bibb, GA</v>
      </c>
      <c r="L411" s="37">
        <v>217.0</v>
      </c>
      <c r="M411" s="37" t="s">
        <v>63</v>
      </c>
      <c r="N411" s="37">
        <v>135.0</v>
      </c>
      <c r="O411" s="37">
        <v>33.0</v>
      </c>
      <c r="P411" s="37" t="s">
        <v>63</v>
      </c>
      <c r="Q411" s="37">
        <v>134.0</v>
      </c>
      <c r="R411" s="37">
        <v>36.0</v>
      </c>
      <c r="S411" s="37" t="s">
        <v>63</v>
      </c>
      <c r="T411" s="69" t="s">
        <v>63</v>
      </c>
      <c r="U411" s="37" t="s">
        <v>63</v>
      </c>
      <c r="V411" s="37" t="s">
        <v>63</v>
      </c>
      <c r="W411" s="37" t="s">
        <v>63</v>
      </c>
      <c r="X411" s="37" t="s">
        <v>63</v>
      </c>
      <c r="Y411" s="53">
        <v>222.0</v>
      </c>
      <c r="Z411" s="69" t="s">
        <v>63</v>
      </c>
      <c r="AA411" s="73"/>
      <c r="AB411" s="73"/>
      <c r="AC411" s="73"/>
      <c r="AD411" s="73"/>
      <c r="AE411" s="73"/>
      <c r="AF411" s="73"/>
      <c r="AG411" s="73"/>
      <c r="AH411" s="73"/>
      <c r="AI411" s="73"/>
      <c r="AJ411" s="73"/>
      <c r="AK411" s="73"/>
    </row>
    <row r="412">
      <c r="A412" s="28">
        <v>411.0</v>
      </c>
      <c r="B412" s="29"/>
      <c r="C412" s="29"/>
      <c r="D412" s="40">
        <v>1.0</v>
      </c>
      <c r="E412" s="31">
        <v>13.0</v>
      </c>
      <c r="F412" s="42">
        <v>23.0</v>
      </c>
      <c r="G412" s="29" t="str">
        <f t="shared" si="1"/>
        <v>13023</v>
      </c>
      <c r="H412" s="37" t="s">
        <v>541</v>
      </c>
      <c r="I412" s="37" t="s">
        <v>44</v>
      </c>
      <c r="J412" s="37" t="s">
        <v>393</v>
      </c>
      <c r="K412" s="37" t="str">
        <f t="shared" si="11"/>
        <v>Bleckley, GA</v>
      </c>
      <c r="L412" s="37">
        <v>13.0</v>
      </c>
      <c r="M412" s="37" t="s">
        <v>63</v>
      </c>
      <c r="N412" s="37">
        <v>3.0</v>
      </c>
      <c r="O412" s="37">
        <v>6.0</v>
      </c>
      <c r="P412" s="37" t="s">
        <v>63</v>
      </c>
      <c r="Q412" s="37">
        <v>4.0</v>
      </c>
      <c r="R412" s="37">
        <v>1.0</v>
      </c>
      <c r="S412" s="37" t="s">
        <v>63</v>
      </c>
      <c r="T412" s="69" t="s">
        <v>63</v>
      </c>
      <c r="U412" s="37" t="s">
        <v>63</v>
      </c>
      <c r="V412" s="37" t="s">
        <v>63</v>
      </c>
      <c r="W412" s="37" t="s">
        <v>63</v>
      </c>
      <c r="X412" s="37" t="s">
        <v>63</v>
      </c>
      <c r="Y412" s="53">
        <v>24.0</v>
      </c>
      <c r="Z412" s="69" t="s">
        <v>63</v>
      </c>
      <c r="AA412" s="73"/>
      <c r="AB412" s="73"/>
      <c r="AC412" s="73"/>
      <c r="AD412" s="73"/>
      <c r="AE412" s="73"/>
      <c r="AF412" s="73"/>
      <c r="AG412" s="73"/>
      <c r="AH412" s="73"/>
      <c r="AI412" s="73"/>
      <c r="AJ412" s="73"/>
      <c r="AK412" s="73"/>
    </row>
    <row r="413">
      <c r="A413" s="28">
        <v>412.0</v>
      </c>
      <c r="B413" s="29"/>
      <c r="C413" s="29"/>
      <c r="D413" s="40">
        <v>1.0</v>
      </c>
      <c r="E413" s="31">
        <v>13.0</v>
      </c>
      <c r="F413" s="42">
        <v>25.0</v>
      </c>
      <c r="G413" s="29" t="str">
        <f t="shared" si="1"/>
        <v>13025</v>
      </c>
      <c r="H413" s="37" t="s">
        <v>542</v>
      </c>
      <c r="I413" s="37" t="s">
        <v>44</v>
      </c>
      <c r="J413" s="37" t="s">
        <v>393</v>
      </c>
      <c r="K413" s="37" t="str">
        <f t="shared" si="11"/>
        <v>Brantley, GA</v>
      </c>
      <c r="L413" s="37">
        <v>64.0</v>
      </c>
      <c r="M413" s="37" t="s">
        <v>63</v>
      </c>
      <c r="N413" s="37">
        <v>18.0</v>
      </c>
      <c r="O413" s="37">
        <v>21.0</v>
      </c>
      <c r="P413" s="37" t="s">
        <v>63</v>
      </c>
      <c r="Q413" s="37">
        <v>15.0</v>
      </c>
      <c r="R413" s="37">
        <v>9.0</v>
      </c>
      <c r="S413" s="37" t="s">
        <v>63</v>
      </c>
      <c r="T413" s="69" t="s">
        <v>63</v>
      </c>
      <c r="U413" s="37" t="s">
        <v>63</v>
      </c>
      <c r="V413" s="37" t="s">
        <v>63</v>
      </c>
      <c r="W413" s="37" t="s">
        <v>63</v>
      </c>
      <c r="X413" s="37" t="s">
        <v>63</v>
      </c>
      <c r="Y413" s="53">
        <v>27.0</v>
      </c>
      <c r="Z413" s="69" t="s">
        <v>63</v>
      </c>
      <c r="AA413" s="73"/>
      <c r="AB413" s="73"/>
      <c r="AC413" s="73"/>
      <c r="AD413" s="73"/>
      <c r="AE413" s="73"/>
      <c r="AF413" s="73"/>
      <c r="AG413" s="73"/>
      <c r="AH413" s="73"/>
      <c r="AI413" s="73"/>
      <c r="AJ413" s="73"/>
      <c r="AK413" s="73"/>
    </row>
    <row r="414">
      <c r="A414" s="28">
        <v>413.0</v>
      </c>
      <c r="B414" s="29"/>
      <c r="C414" s="29"/>
      <c r="D414" s="40">
        <v>1.0</v>
      </c>
      <c r="E414" s="31">
        <v>13.0</v>
      </c>
      <c r="F414" s="42">
        <v>27.0</v>
      </c>
      <c r="G414" s="29" t="str">
        <f t="shared" si="1"/>
        <v>13027</v>
      </c>
      <c r="H414" s="37" t="s">
        <v>543</v>
      </c>
      <c r="I414" s="37" t="s">
        <v>44</v>
      </c>
      <c r="J414" s="37" t="s">
        <v>393</v>
      </c>
      <c r="K414" s="37" t="str">
        <f t="shared" si="11"/>
        <v>Brooks, GA</v>
      </c>
      <c r="L414" s="37">
        <v>27.0</v>
      </c>
      <c r="M414" s="37" t="s">
        <v>63</v>
      </c>
      <c r="N414" s="37">
        <v>15.0</v>
      </c>
      <c r="O414" s="37">
        <v>10.0</v>
      </c>
      <c r="P414" s="37" t="s">
        <v>63</v>
      </c>
      <c r="Q414" s="37">
        <v>13.0</v>
      </c>
      <c r="R414" s="37">
        <v>1.0</v>
      </c>
      <c r="S414" s="37" t="s">
        <v>63</v>
      </c>
      <c r="T414" s="69" t="s">
        <v>63</v>
      </c>
      <c r="U414" s="37" t="s">
        <v>63</v>
      </c>
      <c r="V414" s="37" t="s">
        <v>63</v>
      </c>
      <c r="W414" s="37" t="s">
        <v>63</v>
      </c>
      <c r="X414" s="37" t="s">
        <v>63</v>
      </c>
      <c r="Y414" s="53">
        <v>30.0</v>
      </c>
      <c r="Z414" s="69" t="s">
        <v>63</v>
      </c>
      <c r="AA414" s="73"/>
      <c r="AB414" s="73"/>
      <c r="AC414" s="73"/>
      <c r="AD414" s="73"/>
      <c r="AE414" s="73"/>
      <c r="AF414" s="73"/>
      <c r="AG414" s="73"/>
      <c r="AH414" s="73"/>
      <c r="AI414" s="73"/>
      <c r="AJ414" s="73"/>
      <c r="AK414" s="73"/>
    </row>
    <row r="415">
      <c r="A415" s="28">
        <v>414.0</v>
      </c>
      <c r="B415" s="29"/>
      <c r="C415" s="29"/>
      <c r="D415" s="40">
        <v>1.0</v>
      </c>
      <c r="E415" s="31">
        <v>13.0</v>
      </c>
      <c r="F415" s="42">
        <v>29.0</v>
      </c>
      <c r="G415" s="29" t="str">
        <f t="shared" si="1"/>
        <v>13029</v>
      </c>
      <c r="H415" s="37" t="s">
        <v>544</v>
      </c>
      <c r="I415" s="37" t="s">
        <v>44</v>
      </c>
      <c r="J415" s="37" t="s">
        <v>393</v>
      </c>
      <c r="K415" s="37" t="str">
        <f t="shared" si="11"/>
        <v>Bryan, GA</v>
      </c>
      <c r="L415" s="37">
        <v>28.0</v>
      </c>
      <c r="M415" s="37" t="s">
        <v>63</v>
      </c>
      <c r="N415" s="37">
        <v>16.0</v>
      </c>
      <c r="O415" s="37">
        <v>3.0</v>
      </c>
      <c r="P415" s="37" t="s">
        <v>63</v>
      </c>
      <c r="Q415" s="37">
        <v>26.0</v>
      </c>
      <c r="R415" s="37">
        <v>7.0</v>
      </c>
      <c r="S415" s="37" t="s">
        <v>63</v>
      </c>
      <c r="T415" s="69" t="s">
        <v>63</v>
      </c>
      <c r="U415" s="37" t="s">
        <v>63</v>
      </c>
      <c r="V415" s="37" t="s">
        <v>63</v>
      </c>
      <c r="W415" s="37" t="s">
        <v>63</v>
      </c>
      <c r="X415" s="37" t="s">
        <v>63</v>
      </c>
      <c r="Y415" s="53">
        <v>39.0</v>
      </c>
      <c r="Z415" s="69" t="s">
        <v>63</v>
      </c>
      <c r="AA415" s="73"/>
      <c r="AB415" s="73"/>
      <c r="AC415" s="73"/>
      <c r="AD415" s="73"/>
      <c r="AE415" s="73"/>
      <c r="AF415" s="73"/>
      <c r="AG415" s="73"/>
      <c r="AH415" s="73"/>
      <c r="AI415" s="73"/>
      <c r="AJ415" s="73"/>
      <c r="AK415" s="73"/>
    </row>
    <row r="416">
      <c r="A416" s="28">
        <v>415.0</v>
      </c>
      <c r="B416" s="29"/>
      <c r="C416" s="29"/>
      <c r="D416" s="40">
        <v>1.0</v>
      </c>
      <c r="E416" s="31">
        <v>13.0</v>
      </c>
      <c r="F416" s="42">
        <v>31.0</v>
      </c>
      <c r="G416" s="29" t="str">
        <f t="shared" si="1"/>
        <v>13031</v>
      </c>
      <c r="H416" s="37" t="s">
        <v>545</v>
      </c>
      <c r="I416" s="37" t="s">
        <v>44</v>
      </c>
      <c r="J416" s="37" t="s">
        <v>393</v>
      </c>
      <c r="K416" s="37" t="str">
        <f t="shared" si="11"/>
        <v>Bulloch, GA</v>
      </c>
      <c r="L416" s="37">
        <v>33.0</v>
      </c>
      <c r="M416" s="37" t="s">
        <v>63</v>
      </c>
      <c r="N416" s="37">
        <v>21.0</v>
      </c>
      <c r="O416" s="37">
        <v>5.0</v>
      </c>
      <c r="P416" s="37" t="s">
        <v>63</v>
      </c>
      <c r="Q416" s="37">
        <v>46.0</v>
      </c>
      <c r="R416" s="37">
        <v>10.0</v>
      </c>
      <c r="S416" s="37" t="s">
        <v>63</v>
      </c>
      <c r="T416" s="69" t="s">
        <v>63</v>
      </c>
      <c r="U416" s="37" t="s">
        <v>63</v>
      </c>
      <c r="V416" s="37" t="s">
        <v>63</v>
      </c>
      <c r="W416" s="37" t="s">
        <v>63</v>
      </c>
      <c r="X416" s="37" t="s">
        <v>63</v>
      </c>
      <c r="Y416" s="53">
        <v>81.0</v>
      </c>
      <c r="Z416" s="69" t="s">
        <v>63</v>
      </c>
      <c r="AA416" s="73"/>
      <c r="AB416" s="73"/>
      <c r="AC416" s="73"/>
      <c r="AD416" s="73"/>
      <c r="AE416" s="73"/>
      <c r="AF416" s="73"/>
      <c r="AG416" s="73"/>
      <c r="AH416" s="73"/>
      <c r="AI416" s="73"/>
      <c r="AJ416" s="73"/>
      <c r="AK416" s="73"/>
    </row>
    <row r="417">
      <c r="A417" s="28">
        <v>416.0</v>
      </c>
      <c r="B417" s="29"/>
      <c r="C417" s="29"/>
      <c r="D417" s="40">
        <v>1.0</v>
      </c>
      <c r="E417" s="31">
        <v>13.0</v>
      </c>
      <c r="F417" s="42">
        <v>33.0</v>
      </c>
      <c r="G417" s="29" t="str">
        <f t="shared" si="1"/>
        <v>13033</v>
      </c>
      <c r="H417" s="37" t="s">
        <v>546</v>
      </c>
      <c r="I417" s="37" t="s">
        <v>44</v>
      </c>
      <c r="J417" s="37" t="s">
        <v>393</v>
      </c>
      <c r="K417" s="37" t="str">
        <f t="shared" si="11"/>
        <v>Burke, GA</v>
      </c>
      <c r="L417" s="37">
        <v>38.0</v>
      </c>
      <c r="M417" s="37" t="s">
        <v>63</v>
      </c>
      <c r="N417" s="37">
        <v>23.0</v>
      </c>
      <c r="O417" s="37">
        <v>4.0</v>
      </c>
      <c r="P417" s="37" t="s">
        <v>63</v>
      </c>
      <c r="Q417" s="37">
        <v>23.0</v>
      </c>
      <c r="R417" s="37">
        <v>8.0</v>
      </c>
      <c r="S417" s="37" t="s">
        <v>63</v>
      </c>
      <c r="T417" s="69" t="s">
        <v>63</v>
      </c>
      <c r="U417" s="37" t="s">
        <v>63</v>
      </c>
      <c r="V417" s="37" t="s">
        <v>63</v>
      </c>
      <c r="W417" s="37" t="s">
        <v>63</v>
      </c>
      <c r="X417" s="37" t="s">
        <v>63</v>
      </c>
      <c r="Y417" s="53">
        <v>53.0</v>
      </c>
      <c r="Z417" s="69" t="s">
        <v>63</v>
      </c>
      <c r="AA417" s="73"/>
      <c r="AB417" s="73"/>
      <c r="AC417" s="73"/>
      <c r="AD417" s="73"/>
      <c r="AE417" s="73"/>
      <c r="AF417" s="73"/>
      <c r="AG417" s="73"/>
      <c r="AH417" s="73"/>
      <c r="AI417" s="73"/>
      <c r="AJ417" s="73"/>
      <c r="AK417" s="73"/>
    </row>
    <row r="418">
      <c r="A418" s="28">
        <v>417.0</v>
      </c>
      <c r="B418" s="29"/>
      <c r="C418" s="29"/>
      <c r="D418" s="40">
        <v>1.0</v>
      </c>
      <c r="E418" s="31">
        <v>13.0</v>
      </c>
      <c r="F418" s="42">
        <v>35.0</v>
      </c>
      <c r="G418" s="29" t="str">
        <f t="shared" si="1"/>
        <v>13035</v>
      </c>
      <c r="H418" s="37" t="s">
        <v>547</v>
      </c>
      <c r="I418" s="37" t="s">
        <v>44</v>
      </c>
      <c r="J418" s="37" t="s">
        <v>393</v>
      </c>
      <c r="K418" s="37" t="str">
        <f t="shared" si="11"/>
        <v>Butts, GA</v>
      </c>
      <c r="L418" s="37">
        <v>47.0</v>
      </c>
      <c r="M418" s="37" t="s">
        <v>63</v>
      </c>
      <c r="N418" s="37">
        <v>19.0</v>
      </c>
      <c r="O418" s="37">
        <v>16.0</v>
      </c>
      <c r="P418" s="37" t="s">
        <v>63</v>
      </c>
      <c r="Q418" s="37">
        <v>12.0</v>
      </c>
      <c r="R418" s="37">
        <v>2.0</v>
      </c>
      <c r="S418" s="37" t="s">
        <v>63</v>
      </c>
      <c r="T418" s="69" t="s">
        <v>63</v>
      </c>
      <c r="U418" s="37" t="s">
        <v>63</v>
      </c>
      <c r="V418" s="37" t="s">
        <v>63</v>
      </c>
      <c r="W418" s="37" t="s">
        <v>63</v>
      </c>
      <c r="X418" s="37" t="s">
        <v>63</v>
      </c>
      <c r="Y418" s="53">
        <v>34.0</v>
      </c>
      <c r="Z418" s="69" t="s">
        <v>63</v>
      </c>
      <c r="AA418" s="73"/>
      <c r="AB418" s="73"/>
      <c r="AC418" s="73"/>
      <c r="AD418" s="73"/>
      <c r="AE418" s="73"/>
      <c r="AF418" s="73"/>
      <c r="AG418" s="73"/>
      <c r="AH418" s="73"/>
      <c r="AI418" s="73"/>
      <c r="AJ418" s="73"/>
      <c r="AK418" s="73"/>
    </row>
    <row r="419">
      <c r="A419" s="28">
        <v>418.0</v>
      </c>
      <c r="B419" s="29"/>
      <c r="C419" s="29"/>
      <c r="D419" s="40">
        <v>1.0</v>
      </c>
      <c r="E419" s="31">
        <v>13.0</v>
      </c>
      <c r="F419" s="42">
        <v>37.0</v>
      </c>
      <c r="G419" s="29" t="str">
        <f t="shared" si="1"/>
        <v>13037</v>
      </c>
      <c r="H419" s="37" t="s">
        <v>93</v>
      </c>
      <c r="I419" s="37" t="s">
        <v>44</v>
      </c>
      <c r="J419" s="37" t="s">
        <v>393</v>
      </c>
      <c r="K419" s="37" t="str">
        <f t="shared" si="11"/>
        <v>Calhoun, GA</v>
      </c>
      <c r="L419" s="37">
        <v>1.0</v>
      </c>
      <c r="M419" s="37" t="s">
        <v>63</v>
      </c>
      <c r="N419" s="37">
        <v>0.0</v>
      </c>
      <c r="O419" s="37">
        <v>0.0</v>
      </c>
      <c r="P419" s="37" t="s">
        <v>63</v>
      </c>
      <c r="Q419" s="37">
        <v>1.0</v>
      </c>
      <c r="R419" s="37">
        <v>0.0</v>
      </c>
      <c r="S419" s="37" t="s">
        <v>63</v>
      </c>
      <c r="T419" s="69" t="s">
        <v>63</v>
      </c>
      <c r="U419" s="37" t="s">
        <v>63</v>
      </c>
      <c r="V419" s="37" t="s">
        <v>63</v>
      </c>
      <c r="W419" s="37" t="s">
        <v>63</v>
      </c>
      <c r="X419" s="37" t="s">
        <v>63</v>
      </c>
      <c r="Y419" s="53">
        <v>12.0</v>
      </c>
      <c r="Z419" s="69" t="s">
        <v>63</v>
      </c>
      <c r="AA419" s="73"/>
      <c r="AB419" s="73"/>
      <c r="AC419" s="73"/>
      <c r="AD419" s="73"/>
      <c r="AE419" s="73"/>
      <c r="AF419" s="73"/>
      <c r="AG419" s="73"/>
      <c r="AH419" s="73"/>
      <c r="AI419" s="73"/>
      <c r="AJ419" s="73"/>
      <c r="AK419" s="73"/>
    </row>
    <row r="420">
      <c r="A420" s="28">
        <v>419.0</v>
      </c>
      <c r="B420" s="29"/>
      <c r="C420" s="29"/>
      <c r="D420" s="40">
        <v>1.0</v>
      </c>
      <c r="E420" s="31">
        <v>13.0</v>
      </c>
      <c r="F420" s="42">
        <v>39.0</v>
      </c>
      <c r="G420" s="29" t="str">
        <f t="shared" si="1"/>
        <v>13039</v>
      </c>
      <c r="H420" s="37" t="s">
        <v>548</v>
      </c>
      <c r="I420" s="37" t="s">
        <v>44</v>
      </c>
      <c r="J420" s="37" t="s">
        <v>393</v>
      </c>
      <c r="K420" s="37" t="str">
        <f t="shared" si="11"/>
        <v>Camden, GA</v>
      </c>
      <c r="L420" s="37">
        <v>120.0</v>
      </c>
      <c r="M420" s="37" t="s">
        <v>63</v>
      </c>
      <c r="N420" s="37">
        <v>67.0</v>
      </c>
      <c r="O420" s="37">
        <v>15.0</v>
      </c>
      <c r="P420" s="37" t="s">
        <v>63</v>
      </c>
      <c r="Q420" s="37">
        <v>40.0</v>
      </c>
      <c r="R420" s="37">
        <v>28.0</v>
      </c>
      <c r="S420" s="37" t="s">
        <v>63</v>
      </c>
      <c r="T420" s="69" t="s">
        <v>63</v>
      </c>
      <c r="U420" s="37" t="s">
        <v>63</v>
      </c>
      <c r="V420" s="37" t="s">
        <v>63</v>
      </c>
      <c r="W420" s="37" t="s">
        <v>63</v>
      </c>
      <c r="X420" s="37" t="s">
        <v>63</v>
      </c>
      <c r="Y420" s="53">
        <v>71.0</v>
      </c>
      <c r="Z420" s="69" t="s">
        <v>63</v>
      </c>
      <c r="AA420" s="73"/>
      <c r="AB420" s="73"/>
      <c r="AC420" s="73"/>
      <c r="AD420" s="73"/>
      <c r="AE420" s="73"/>
      <c r="AF420" s="73"/>
      <c r="AG420" s="73"/>
      <c r="AH420" s="73"/>
      <c r="AI420" s="73"/>
      <c r="AJ420" s="73"/>
      <c r="AK420" s="73"/>
    </row>
    <row r="421">
      <c r="A421" s="28">
        <v>420.0</v>
      </c>
      <c r="B421" s="29"/>
      <c r="C421" s="29"/>
      <c r="D421" s="40">
        <v>1.0</v>
      </c>
      <c r="E421" s="31">
        <v>13.0</v>
      </c>
      <c r="F421" s="42">
        <v>43.0</v>
      </c>
      <c r="G421" s="29" t="str">
        <f t="shared" si="1"/>
        <v>13043</v>
      </c>
      <c r="H421" s="37" t="s">
        <v>549</v>
      </c>
      <c r="I421" s="37" t="s">
        <v>44</v>
      </c>
      <c r="J421" s="37" t="s">
        <v>393</v>
      </c>
      <c r="K421" s="37" t="str">
        <f t="shared" si="11"/>
        <v>Candler, GA</v>
      </c>
      <c r="L421" s="37">
        <v>6.0</v>
      </c>
      <c r="M421" s="37" t="s">
        <v>63</v>
      </c>
      <c r="N421" s="37">
        <v>5.0</v>
      </c>
      <c r="O421" s="37">
        <v>0.0</v>
      </c>
      <c r="P421" s="37" t="s">
        <v>63</v>
      </c>
      <c r="Q421" s="37">
        <v>5.0</v>
      </c>
      <c r="R421" s="37">
        <v>2.0</v>
      </c>
      <c r="S421" s="37" t="s">
        <v>63</v>
      </c>
      <c r="T421" s="69" t="s">
        <v>63</v>
      </c>
      <c r="U421" s="37" t="s">
        <v>63</v>
      </c>
      <c r="V421" s="37" t="s">
        <v>63</v>
      </c>
      <c r="W421" s="37" t="s">
        <v>63</v>
      </c>
      <c r="X421" s="37" t="s">
        <v>63</v>
      </c>
      <c r="Y421" s="53">
        <v>25.0</v>
      </c>
      <c r="Z421" s="69" t="s">
        <v>63</v>
      </c>
      <c r="AA421" s="73"/>
      <c r="AB421" s="73"/>
      <c r="AC421" s="73"/>
      <c r="AD421" s="73"/>
      <c r="AE421" s="73"/>
      <c r="AF421" s="73"/>
      <c r="AG421" s="73"/>
      <c r="AH421" s="73"/>
      <c r="AI421" s="73"/>
      <c r="AJ421" s="73"/>
      <c r="AK421" s="73"/>
    </row>
    <row r="422">
      <c r="A422" s="28">
        <v>421.0</v>
      </c>
      <c r="B422" s="29"/>
      <c r="C422" s="29"/>
      <c r="D422" s="40">
        <v>1.0</v>
      </c>
      <c r="E422" s="31">
        <v>13.0</v>
      </c>
      <c r="F422" s="42">
        <v>45.0</v>
      </c>
      <c r="G422" s="29" t="str">
        <f t="shared" si="1"/>
        <v>13045</v>
      </c>
      <c r="H422" s="37" t="s">
        <v>248</v>
      </c>
      <c r="I422" s="37" t="s">
        <v>44</v>
      </c>
      <c r="J422" s="37" t="s">
        <v>393</v>
      </c>
      <c r="K422" s="37" t="str">
        <f t="shared" si="11"/>
        <v>Carroll, GA</v>
      </c>
      <c r="L422" s="37">
        <v>220.0</v>
      </c>
      <c r="M422" s="37" t="s">
        <v>63</v>
      </c>
      <c r="N422" s="37">
        <v>108.0</v>
      </c>
      <c r="O422" s="37">
        <v>52.0</v>
      </c>
      <c r="P422" s="37" t="s">
        <v>63</v>
      </c>
      <c r="Q422" s="37">
        <v>58.0</v>
      </c>
      <c r="R422" s="37">
        <v>19.0</v>
      </c>
      <c r="S422" s="37" t="s">
        <v>63</v>
      </c>
      <c r="T422" s="69" t="s">
        <v>63</v>
      </c>
      <c r="U422" s="37" t="s">
        <v>63</v>
      </c>
      <c r="V422" s="37" t="s">
        <v>63</v>
      </c>
      <c r="W422" s="37" t="s">
        <v>63</v>
      </c>
      <c r="X422" s="37" t="s">
        <v>63</v>
      </c>
      <c r="Y422" s="53">
        <v>122.0</v>
      </c>
      <c r="Z422" s="69" t="s">
        <v>63</v>
      </c>
      <c r="AA422" s="73"/>
      <c r="AB422" s="73"/>
      <c r="AC422" s="73"/>
      <c r="AD422" s="73"/>
      <c r="AE422" s="73"/>
      <c r="AF422" s="73"/>
      <c r="AG422" s="73"/>
      <c r="AH422" s="73"/>
      <c r="AI422" s="73"/>
      <c r="AJ422" s="73"/>
      <c r="AK422" s="73"/>
    </row>
    <row r="423">
      <c r="A423" s="28">
        <v>422.0</v>
      </c>
      <c r="B423" s="29"/>
      <c r="C423" s="29"/>
      <c r="D423" s="40">
        <v>1.0</v>
      </c>
      <c r="E423" s="31">
        <v>13.0</v>
      </c>
      <c r="F423" s="42">
        <v>47.0</v>
      </c>
      <c r="G423" s="29" t="str">
        <f t="shared" si="1"/>
        <v>13047</v>
      </c>
      <c r="H423" s="37" t="s">
        <v>550</v>
      </c>
      <c r="I423" s="37" t="s">
        <v>44</v>
      </c>
      <c r="J423" s="37" t="s">
        <v>393</v>
      </c>
      <c r="K423" s="37" t="str">
        <f t="shared" si="11"/>
        <v>Catoosa, GA</v>
      </c>
      <c r="L423" s="37">
        <v>93.0</v>
      </c>
      <c r="M423" s="37" t="s">
        <v>63</v>
      </c>
      <c r="N423" s="37">
        <v>61.0</v>
      </c>
      <c r="O423" s="37">
        <v>10.0</v>
      </c>
      <c r="P423" s="37" t="s">
        <v>63</v>
      </c>
      <c r="Q423" s="37">
        <v>44.0</v>
      </c>
      <c r="R423" s="37">
        <v>15.0</v>
      </c>
      <c r="S423" s="37" t="s">
        <v>63</v>
      </c>
      <c r="T423" s="69" t="s">
        <v>63</v>
      </c>
      <c r="U423" s="37" t="s">
        <v>63</v>
      </c>
      <c r="V423" s="37" t="s">
        <v>63</v>
      </c>
      <c r="W423" s="37" t="s">
        <v>63</v>
      </c>
      <c r="X423" s="37" t="s">
        <v>63</v>
      </c>
      <c r="Y423" s="53">
        <v>66.0</v>
      </c>
      <c r="Z423" s="69" t="s">
        <v>63</v>
      </c>
      <c r="AA423" s="73"/>
      <c r="AB423" s="73"/>
      <c r="AC423" s="73"/>
      <c r="AD423" s="73"/>
      <c r="AE423" s="73"/>
      <c r="AF423" s="73"/>
      <c r="AG423" s="73"/>
      <c r="AH423" s="73"/>
      <c r="AI423" s="73"/>
      <c r="AJ423" s="73"/>
      <c r="AK423" s="73"/>
    </row>
    <row r="424">
      <c r="A424" s="28">
        <v>423.0</v>
      </c>
      <c r="B424" s="29"/>
      <c r="C424" s="29"/>
      <c r="D424" s="40">
        <v>1.0</v>
      </c>
      <c r="E424" s="31">
        <v>13.0</v>
      </c>
      <c r="F424" s="42">
        <v>49.0</v>
      </c>
      <c r="G424" s="29" t="str">
        <f t="shared" si="1"/>
        <v>13049</v>
      </c>
      <c r="H424" s="37" t="s">
        <v>551</v>
      </c>
      <c r="I424" s="37" t="s">
        <v>44</v>
      </c>
      <c r="J424" s="37" t="s">
        <v>393</v>
      </c>
      <c r="K424" s="37" t="str">
        <f t="shared" si="11"/>
        <v>Charlton, GA</v>
      </c>
      <c r="L424" s="37">
        <v>36.0</v>
      </c>
      <c r="M424" s="37" t="s">
        <v>63</v>
      </c>
      <c r="N424" s="37">
        <v>16.0</v>
      </c>
      <c r="O424" s="37">
        <v>10.0</v>
      </c>
      <c r="P424" s="37" t="s">
        <v>63</v>
      </c>
      <c r="Q424" s="37">
        <v>10.0</v>
      </c>
      <c r="R424" s="37">
        <v>11.0</v>
      </c>
      <c r="S424" s="37" t="s">
        <v>63</v>
      </c>
      <c r="T424" s="69" t="s">
        <v>63</v>
      </c>
      <c r="U424" s="37" t="s">
        <v>63</v>
      </c>
      <c r="V424" s="37" t="s">
        <v>63</v>
      </c>
      <c r="W424" s="37" t="s">
        <v>63</v>
      </c>
      <c r="X424" s="37" t="s">
        <v>63</v>
      </c>
      <c r="Y424" s="53">
        <v>24.0</v>
      </c>
      <c r="Z424" s="69" t="s">
        <v>63</v>
      </c>
      <c r="AA424" s="73"/>
      <c r="AB424" s="73"/>
      <c r="AC424" s="73"/>
      <c r="AD424" s="73"/>
      <c r="AE424" s="73"/>
      <c r="AF424" s="73"/>
      <c r="AG424" s="73"/>
      <c r="AH424" s="73"/>
      <c r="AI424" s="73"/>
      <c r="AJ424" s="73"/>
      <c r="AK424" s="73"/>
    </row>
    <row r="425">
      <c r="A425" s="28">
        <v>424.0</v>
      </c>
      <c r="B425" s="29"/>
      <c r="C425" s="29"/>
      <c r="D425" s="40">
        <v>1.0</v>
      </c>
      <c r="E425" s="31">
        <v>13.0</v>
      </c>
      <c r="F425" s="42">
        <v>51.0</v>
      </c>
      <c r="G425" s="29" t="str">
        <f t="shared" si="1"/>
        <v>13051</v>
      </c>
      <c r="H425" s="37" t="s">
        <v>552</v>
      </c>
      <c r="I425" s="37" t="s">
        <v>44</v>
      </c>
      <c r="J425" s="37" t="s">
        <v>393</v>
      </c>
      <c r="K425" s="37" t="str">
        <f t="shared" si="11"/>
        <v>Chatham, GA</v>
      </c>
      <c r="L425" s="37">
        <v>304.0</v>
      </c>
      <c r="M425" s="37" t="s">
        <v>63</v>
      </c>
      <c r="N425" s="37">
        <v>208.0</v>
      </c>
      <c r="O425" s="37">
        <v>22.0</v>
      </c>
      <c r="P425" s="37" t="s">
        <v>63</v>
      </c>
      <c r="Q425" s="37">
        <v>141.0</v>
      </c>
      <c r="R425" s="37">
        <v>38.0</v>
      </c>
      <c r="S425" s="37" t="s">
        <v>63</v>
      </c>
      <c r="T425" s="69" t="s">
        <v>63</v>
      </c>
      <c r="U425" s="37" t="s">
        <v>63</v>
      </c>
      <c r="V425" s="37" t="s">
        <v>63</v>
      </c>
      <c r="W425" s="37" t="s">
        <v>63</v>
      </c>
      <c r="X425" s="37" t="s">
        <v>63</v>
      </c>
      <c r="Y425" s="53">
        <v>316.0</v>
      </c>
      <c r="Z425" s="69" t="s">
        <v>63</v>
      </c>
      <c r="AA425" s="73"/>
      <c r="AB425" s="73"/>
      <c r="AC425" s="73"/>
      <c r="AD425" s="73"/>
      <c r="AE425" s="73"/>
      <c r="AF425" s="73"/>
      <c r="AG425" s="73"/>
      <c r="AH425" s="73"/>
      <c r="AI425" s="73"/>
      <c r="AJ425" s="73"/>
      <c r="AK425" s="73"/>
    </row>
    <row r="426">
      <c r="A426" s="28">
        <v>425.0</v>
      </c>
      <c r="B426" s="29"/>
      <c r="C426" s="29"/>
      <c r="D426" s="40">
        <v>1.0</v>
      </c>
      <c r="E426" s="31">
        <v>13.0</v>
      </c>
      <c r="F426" s="42">
        <v>53.0</v>
      </c>
      <c r="G426" s="29" t="str">
        <f t="shared" si="1"/>
        <v>13053</v>
      </c>
      <c r="H426" s="37" t="s">
        <v>553</v>
      </c>
      <c r="I426" s="37" t="s">
        <v>44</v>
      </c>
      <c r="J426" s="37" t="s">
        <v>393</v>
      </c>
      <c r="K426" s="136" t="str">
        <f t="shared" si="11"/>
        <v>Chattahoochee, GA</v>
      </c>
      <c r="L426" s="37">
        <v>11.0</v>
      </c>
      <c r="M426" s="37" t="s">
        <v>63</v>
      </c>
      <c r="N426" s="37">
        <v>4.0</v>
      </c>
      <c r="O426" s="37">
        <v>5.0</v>
      </c>
      <c r="P426" s="37" t="s">
        <v>63</v>
      </c>
      <c r="Q426" s="37">
        <v>4.0</v>
      </c>
      <c r="R426" s="37">
        <v>0.0</v>
      </c>
      <c r="S426" s="37" t="s">
        <v>63</v>
      </c>
      <c r="T426" s="69" t="s">
        <v>63</v>
      </c>
      <c r="U426" s="37" t="s">
        <v>63</v>
      </c>
      <c r="V426" s="37" t="s">
        <v>63</v>
      </c>
      <c r="W426" s="37" t="s">
        <v>63</v>
      </c>
      <c r="X426" s="37" t="s">
        <v>63</v>
      </c>
      <c r="Y426" s="53">
        <v>2.0</v>
      </c>
      <c r="Z426" s="69" t="s">
        <v>63</v>
      </c>
      <c r="AA426" s="73"/>
      <c r="AB426" s="73"/>
      <c r="AC426" s="73"/>
      <c r="AD426" s="73"/>
      <c r="AE426" s="73"/>
      <c r="AF426" s="73"/>
      <c r="AG426" s="73"/>
      <c r="AH426" s="73"/>
      <c r="AI426" s="73"/>
      <c r="AJ426" s="73"/>
      <c r="AK426" s="73"/>
    </row>
    <row r="427">
      <c r="A427" s="28">
        <v>426.0</v>
      </c>
      <c r="B427" s="29"/>
      <c r="C427" s="29"/>
      <c r="D427" s="40">
        <v>1.0</v>
      </c>
      <c r="E427" s="31">
        <v>13.0</v>
      </c>
      <c r="F427" s="42">
        <v>55.0</v>
      </c>
      <c r="G427" s="29" t="str">
        <f t="shared" si="1"/>
        <v>13055</v>
      </c>
      <c r="H427" s="37" t="s">
        <v>554</v>
      </c>
      <c r="I427" s="37" t="s">
        <v>44</v>
      </c>
      <c r="J427" s="37" t="s">
        <v>393</v>
      </c>
      <c r="K427" s="37" t="str">
        <f t="shared" si="11"/>
        <v>Chattooga, GA</v>
      </c>
      <c r="L427" s="37">
        <v>74.0</v>
      </c>
      <c r="M427" s="37" t="s">
        <v>63</v>
      </c>
      <c r="N427" s="37">
        <v>38.0</v>
      </c>
      <c r="O427" s="37">
        <v>21.0</v>
      </c>
      <c r="P427" s="37" t="s">
        <v>63</v>
      </c>
      <c r="Q427" s="37">
        <v>13.0</v>
      </c>
      <c r="R427" s="37">
        <v>5.0</v>
      </c>
      <c r="S427" s="37" t="s">
        <v>63</v>
      </c>
      <c r="T427" s="69" t="s">
        <v>63</v>
      </c>
      <c r="U427" s="37" t="s">
        <v>63</v>
      </c>
      <c r="V427" s="37" t="s">
        <v>63</v>
      </c>
      <c r="W427" s="37" t="s">
        <v>63</v>
      </c>
      <c r="X427" s="37" t="s">
        <v>63</v>
      </c>
      <c r="Y427" s="53">
        <v>38.0</v>
      </c>
      <c r="Z427" s="69" t="s">
        <v>63</v>
      </c>
      <c r="AA427" s="73"/>
      <c r="AB427" s="73"/>
      <c r="AC427" s="73"/>
      <c r="AD427" s="73"/>
      <c r="AE427" s="73"/>
      <c r="AF427" s="73"/>
      <c r="AG427" s="73"/>
      <c r="AH427" s="73"/>
      <c r="AI427" s="73"/>
      <c r="AJ427" s="73"/>
      <c r="AK427" s="73"/>
    </row>
    <row r="428">
      <c r="A428" s="28">
        <v>427.0</v>
      </c>
      <c r="B428" s="29"/>
      <c r="C428" s="29"/>
      <c r="D428" s="40">
        <v>1.0</v>
      </c>
      <c r="E428" s="31">
        <v>13.0</v>
      </c>
      <c r="F428" s="42">
        <v>57.0</v>
      </c>
      <c r="G428" s="29" t="str">
        <f t="shared" si="1"/>
        <v>13057</v>
      </c>
      <c r="H428" s="37" t="s">
        <v>101</v>
      </c>
      <c r="I428" s="37" t="s">
        <v>44</v>
      </c>
      <c r="J428" s="37" t="s">
        <v>393</v>
      </c>
      <c r="K428" s="37" t="str">
        <f t="shared" si="11"/>
        <v>Cherokee, GA</v>
      </c>
      <c r="L428" s="37">
        <v>444.0</v>
      </c>
      <c r="M428" s="37" t="s">
        <v>63</v>
      </c>
      <c r="N428" s="37">
        <v>246.0</v>
      </c>
      <c r="O428" s="37">
        <v>97.0</v>
      </c>
      <c r="P428" s="37" t="s">
        <v>63</v>
      </c>
      <c r="Q428" s="37">
        <v>181.0</v>
      </c>
      <c r="R428" s="37">
        <v>18.0</v>
      </c>
      <c r="S428" s="37" t="s">
        <v>63</v>
      </c>
      <c r="T428" s="69" t="s">
        <v>63</v>
      </c>
      <c r="U428" s="37" t="s">
        <v>63</v>
      </c>
      <c r="V428" s="37" t="s">
        <v>63</v>
      </c>
      <c r="W428" s="37" t="s">
        <v>63</v>
      </c>
      <c r="X428" s="37" t="s">
        <v>63</v>
      </c>
      <c r="Y428" s="53">
        <v>114.0</v>
      </c>
      <c r="Z428" s="69" t="s">
        <v>63</v>
      </c>
      <c r="AA428" s="73"/>
      <c r="AB428" s="73"/>
      <c r="AC428" s="73"/>
      <c r="AD428" s="73"/>
      <c r="AE428" s="73"/>
      <c r="AF428" s="73"/>
      <c r="AG428" s="73"/>
      <c r="AH428" s="73"/>
      <c r="AI428" s="73"/>
      <c r="AJ428" s="73"/>
      <c r="AK428" s="73"/>
    </row>
    <row r="429">
      <c r="A429" s="28">
        <v>428.0</v>
      </c>
      <c r="B429" s="29"/>
      <c r="C429" s="29"/>
      <c r="D429" s="40">
        <v>1.0</v>
      </c>
      <c r="E429" s="31">
        <v>13.0</v>
      </c>
      <c r="F429" s="42">
        <v>59.0</v>
      </c>
      <c r="G429" s="29" t="str">
        <f t="shared" si="1"/>
        <v>13059</v>
      </c>
      <c r="H429" s="37" t="s">
        <v>110</v>
      </c>
      <c r="I429" s="37" t="s">
        <v>44</v>
      </c>
      <c r="J429" s="37" t="s">
        <v>393</v>
      </c>
      <c r="K429" s="37" t="str">
        <f t="shared" si="11"/>
        <v>Clarke, GA</v>
      </c>
      <c r="L429" s="37">
        <v>221.0</v>
      </c>
      <c r="M429" s="37" t="s">
        <v>63</v>
      </c>
      <c r="N429" s="37">
        <v>120.0</v>
      </c>
      <c r="O429" s="37">
        <v>47.0</v>
      </c>
      <c r="P429" s="37" t="s">
        <v>63</v>
      </c>
      <c r="Q429" s="37">
        <v>23.0</v>
      </c>
      <c r="R429" s="37">
        <v>21.0</v>
      </c>
      <c r="S429" s="37" t="s">
        <v>63</v>
      </c>
      <c r="T429" s="69" t="s">
        <v>63</v>
      </c>
      <c r="U429" s="37" t="s">
        <v>63</v>
      </c>
      <c r="V429" s="37" t="s">
        <v>63</v>
      </c>
      <c r="W429" s="37" t="s">
        <v>63</v>
      </c>
      <c r="X429" s="37" t="s">
        <v>63</v>
      </c>
      <c r="Y429" s="53">
        <v>80.0</v>
      </c>
      <c r="Z429" s="69" t="s">
        <v>63</v>
      </c>
      <c r="AA429" s="73"/>
      <c r="AB429" s="73"/>
      <c r="AC429" s="73"/>
      <c r="AD429" s="73"/>
      <c r="AE429" s="73"/>
      <c r="AF429" s="73"/>
      <c r="AG429" s="73"/>
      <c r="AH429" s="73"/>
      <c r="AI429" s="73"/>
      <c r="AJ429" s="73"/>
      <c r="AK429" s="73"/>
    </row>
    <row r="430">
      <c r="A430" s="28">
        <v>429.0</v>
      </c>
      <c r="B430" s="29"/>
      <c r="C430" s="29"/>
      <c r="D430" s="40">
        <v>1.0</v>
      </c>
      <c r="E430" s="31">
        <v>13.0</v>
      </c>
      <c r="F430" s="42">
        <v>61.0</v>
      </c>
      <c r="G430" s="29" t="str">
        <f t="shared" si="1"/>
        <v>13061</v>
      </c>
      <c r="H430" s="37" t="s">
        <v>112</v>
      </c>
      <c r="I430" s="37" t="s">
        <v>44</v>
      </c>
      <c r="J430" s="37" t="s">
        <v>393</v>
      </c>
      <c r="K430" s="37" t="str">
        <f t="shared" si="11"/>
        <v>Clay, GA</v>
      </c>
      <c r="L430" s="37">
        <v>1.0</v>
      </c>
      <c r="M430" s="37" t="s">
        <v>63</v>
      </c>
      <c r="N430" s="37">
        <v>0.0</v>
      </c>
      <c r="O430" s="37">
        <v>0.0</v>
      </c>
      <c r="P430" s="37" t="s">
        <v>63</v>
      </c>
      <c r="Q430" s="37">
        <v>0.0</v>
      </c>
      <c r="R430" s="37">
        <v>0.0</v>
      </c>
      <c r="S430" s="37" t="s">
        <v>63</v>
      </c>
      <c r="T430" s="69" t="s">
        <v>63</v>
      </c>
      <c r="U430" s="37" t="s">
        <v>63</v>
      </c>
      <c r="V430" s="37" t="s">
        <v>63</v>
      </c>
      <c r="W430" s="37" t="s">
        <v>63</v>
      </c>
      <c r="X430" s="37" t="s">
        <v>63</v>
      </c>
      <c r="Y430" s="53">
        <v>8.0</v>
      </c>
      <c r="Z430" s="69" t="s">
        <v>63</v>
      </c>
      <c r="AA430" s="73"/>
      <c r="AB430" s="73"/>
      <c r="AC430" s="73"/>
      <c r="AD430" s="73"/>
      <c r="AE430" s="73"/>
      <c r="AF430" s="73"/>
      <c r="AG430" s="73"/>
      <c r="AH430" s="73"/>
      <c r="AI430" s="73"/>
      <c r="AJ430" s="73"/>
      <c r="AK430" s="73"/>
    </row>
    <row r="431">
      <c r="A431" s="28">
        <v>430.0</v>
      </c>
      <c r="B431" s="29"/>
      <c r="C431" s="29"/>
      <c r="D431" s="40">
        <v>1.0</v>
      </c>
      <c r="E431" s="31">
        <v>13.0</v>
      </c>
      <c r="F431" s="42">
        <v>63.0</v>
      </c>
      <c r="G431" s="29" t="str">
        <f t="shared" si="1"/>
        <v>13063</v>
      </c>
      <c r="H431" s="37" t="s">
        <v>555</v>
      </c>
      <c r="I431" s="37" t="s">
        <v>44</v>
      </c>
      <c r="J431" s="37" t="s">
        <v>393</v>
      </c>
      <c r="K431" s="37" t="str">
        <f t="shared" si="11"/>
        <v>Clayton, GA</v>
      </c>
      <c r="L431" s="37">
        <v>271.0</v>
      </c>
      <c r="M431" s="37" t="s">
        <v>63</v>
      </c>
      <c r="N431" s="37">
        <v>185.0</v>
      </c>
      <c r="O431" s="37">
        <v>35.0</v>
      </c>
      <c r="P431" s="37" t="s">
        <v>63</v>
      </c>
      <c r="Q431" s="37">
        <v>147.0</v>
      </c>
      <c r="R431" s="37">
        <v>20.0</v>
      </c>
      <c r="S431" s="37" t="s">
        <v>63</v>
      </c>
      <c r="T431" s="69" t="s">
        <v>63</v>
      </c>
      <c r="U431" s="37" t="s">
        <v>63</v>
      </c>
      <c r="V431" s="37" t="s">
        <v>63</v>
      </c>
      <c r="W431" s="37" t="s">
        <v>63</v>
      </c>
      <c r="X431" s="37" t="s">
        <v>63</v>
      </c>
      <c r="Y431" s="53">
        <v>128.0</v>
      </c>
      <c r="Z431" s="69" t="s">
        <v>63</v>
      </c>
      <c r="AA431" s="73"/>
      <c r="AB431" s="73"/>
      <c r="AC431" s="73"/>
      <c r="AD431" s="73"/>
      <c r="AE431" s="73"/>
      <c r="AF431" s="73"/>
      <c r="AG431" s="73"/>
      <c r="AH431" s="73"/>
      <c r="AI431" s="73"/>
      <c r="AJ431" s="73"/>
      <c r="AK431" s="73"/>
    </row>
    <row r="432">
      <c r="A432" s="28">
        <v>431.0</v>
      </c>
      <c r="B432" s="29"/>
      <c r="C432" s="29"/>
      <c r="D432" s="40">
        <v>1.0</v>
      </c>
      <c r="E432" s="31">
        <v>13.0</v>
      </c>
      <c r="F432" s="42">
        <v>65.0</v>
      </c>
      <c r="G432" s="29" t="str">
        <f t="shared" si="1"/>
        <v>13065</v>
      </c>
      <c r="H432" s="37" t="s">
        <v>556</v>
      </c>
      <c r="I432" s="37" t="s">
        <v>44</v>
      </c>
      <c r="J432" s="37" t="s">
        <v>393</v>
      </c>
      <c r="K432" s="37" t="str">
        <f t="shared" si="11"/>
        <v>Clinch, GA</v>
      </c>
      <c r="L432" s="37">
        <v>17.0</v>
      </c>
      <c r="M432" s="37" t="s">
        <v>63</v>
      </c>
      <c r="N432" s="37">
        <v>6.0</v>
      </c>
      <c r="O432" s="37">
        <v>5.0</v>
      </c>
      <c r="P432" s="37" t="s">
        <v>63</v>
      </c>
      <c r="Q432" s="37">
        <v>3.0</v>
      </c>
      <c r="R432" s="37">
        <v>0.0</v>
      </c>
      <c r="S432" s="37" t="s">
        <v>63</v>
      </c>
      <c r="T432" s="69" t="s">
        <v>63</v>
      </c>
      <c r="U432" s="37" t="s">
        <v>63</v>
      </c>
      <c r="V432" s="37" t="s">
        <v>63</v>
      </c>
      <c r="W432" s="37" t="s">
        <v>63</v>
      </c>
      <c r="X432" s="37" t="s">
        <v>63</v>
      </c>
      <c r="Y432" s="53">
        <v>18.0</v>
      </c>
      <c r="Z432" s="69" t="s">
        <v>63</v>
      </c>
      <c r="AA432" s="73"/>
      <c r="AB432" s="73"/>
      <c r="AC432" s="73"/>
      <c r="AD432" s="73"/>
      <c r="AE432" s="73"/>
      <c r="AF432" s="73"/>
      <c r="AG432" s="73"/>
      <c r="AH432" s="73"/>
      <c r="AI432" s="73"/>
      <c r="AJ432" s="73"/>
      <c r="AK432" s="73"/>
    </row>
    <row r="433">
      <c r="A433" s="28">
        <v>432.0</v>
      </c>
      <c r="B433" s="29"/>
      <c r="C433" s="29"/>
      <c r="D433" s="40">
        <v>1.0</v>
      </c>
      <c r="E433" s="31">
        <v>13.0</v>
      </c>
      <c r="F433" s="42">
        <v>67.0</v>
      </c>
      <c r="G433" s="29" t="str">
        <f t="shared" si="1"/>
        <v>13067</v>
      </c>
      <c r="H433" s="37" t="s">
        <v>536</v>
      </c>
      <c r="I433" s="37" t="s">
        <v>44</v>
      </c>
      <c r="J433" s="37" t="s">
        <v>393</v>
      </c>
      <c r="K433" s="37" t="str">
        <f t="shared" si="11"/>
        <v>Cobb, GA</v>
      </c>
      <c r="L433" s="37">
        <v>504.0</v>
      </c>
      <c r="M433" s="37" t="s">
        <v>63</v>
      </c>
      <c r="N433" s="37">
        <v>249.0</v>
      </c>
      <c r="O433" s="37">
        <v>121.0</v>
      </c>
      <c r="P433" s="37" t="s">
        <v>63</v>
      </c>
      <c r="Q433" s="37">
        <v>264.0</v>
      </c>
      <c r="R433" s="37">
        <v>54.0</v>
      </c>
      <c r="S433" s="37" t="s">
        <v>63</v>
      </c>
      <c r="T433" s="69" t="s">
        <v>63</v>
      </c>
      <c r="U433" s="37" t="s">
        <v>63</v>
      </c>
      <c r="V433" s="37" t="s">
        <v>63</v>
      </c>
      <c r="W433" s="37" t="s">
        <v>63</v>
      </c>
      <c r="X433" s="37" t="s">
        <v>63</v>
      </c>
      <c r="Y433" s="53">
        <v>338.0</v>
      </c>
      <c r="Z433" s="69" t="s">
        <v>63</v>
      </c>
      <c r="AA433" s="73"/>
      <c r="AB433" s="73"/>
      <c r="AC433" s="73"/>
      <c r="AD433" s="73"/>
      <c r="AE433" s="73"/>
      <c r="AF433" s="73"/>
      <c r="AG433" s="73"/>
      <c r="AH433" s="73"/>
      <c r="AI433" s="73"/>
      <c r="AJ433" s="73"/>
      <c r="AK433" s="73"/>
    </row>
    <row r="434">
      <c r="A434" s="28">
        <v>433.0</v>
      </c>
      <c r="B434" s="29"/>
      <c r="C434" s="29"/>
      <c r="D434" s="40">
        <v>1.0</v>
      </c>
      <c r="E434" s="31">
        <v>13.0</v>
      </c>
      <c r="F434" s="42">
        <v>69.0</v>
      </c>
      <c r="G434" s="29" t="str">
        <f t="shared" si="1"/>
        <v>13069</v>
      </c>
      <c r="H434" s="37" t="s">
        <v>118</v>
      </c>
      <c r="I434" s="37" t="s">
        <v>44</v>
      </c>
      <c r="J434" s="37" t="s">
        <v>393</v>
      </c>
      <c r="K434" s="37" t="str">
        <f t="shared" si="11"/>
        <v>Coffee, GA</v>
      </c>
      <c r="L434" s="37">
        <v>223.0</v>
      </c>
      <c r="M434" s="37" t="s">
        <v>63</v>
      </c>
      <c r="N434" s="37">
        <v>119.0</v>
      </c>
      <c r="O434" s="37">
        <v>56.0</v>
      </c>
      <c r="P434" s="37" t="s">
        <v>63</v>
      </c>
      <c r="Q434" s="37">
        <v>38.0</v>
      </c>
      <c r="R434" s="37">
        <v>4.0</v>
      </c>
      <c r="S434" s="37" t="s">
        <v>63</v>
      </c>
      <c r="T434" s="69" t="s">
        <v>63</v>
      </c>
      <c r="U434" s="37" t="s">
        <v>63</v>
      </c>
      <c r="V434" s="37" t="s">
        <v>63</v>
      </c>
      <c r="W434" s="37" t="s">
        <v>63</v>
      </c>
      <c r="X434" s="37" t="s">
        <v>63</v>
      </c>
      <c r="Y434" s="53">
        <v>77.0</v>
      </c>
      <c r="Z434" s="69" t="s">
        <v>63</v>
      </c>
      <c r="AA434" s="73"/>
      <c r="AB434" s="73"/>
      <c r="AC434" s="73"/>
      <c r="AD434" s="73"/>
      <c r="AE434" s="73"/>
      <c r="AF434" s="73"/>
      <c r="AG434" s="73"/>
      <c r="AH434" s="73"/>
      <c r="AI434" s="73"/>
      <c r="AJ434" s="73"/>
      <c r="AK434" s="73"/>
    </row>
    <row r="435">
      <c r="A435" s="28">
        <v>434.0</v>
      </c>
      <c r="B435" s="29"/>
      <c r="C435" s="29"/>
      <c r="D435" s="40">
        <v>1.0</v>
      </c>
      <c r="E435" s="31">
        <v>13.0</v>
      </c>
      <c r="F435" s="42">
        <v>71.0</v>
      </c>
      <c r="G435" s="29" t="str">
        <f t="shared" si="1"/>
        <v>13071</v>
      </c>
      <c r="H435" s="37" t="s">
        <v>557</v>
      </c>
      <c r="I435" s="37" t="s">
        <v>44</v>
      </c>
      <c r="J435" s="37" t="s">
        <v>393</v>
      </c>
      <c r="K435" s="37" t="str">
        <f t="shared" si="11"/>
        <v>Colquitt, GA</v>
      </c>
      <c r="L435" s="37">
        <v>30.0</v>
      </c>
      <c r="M435" s="37" t="s">
        <v>63</v>
      </c>
      <c r="N435" s="37">
        <v>13.0</v>
      </c>
      <c r="O435" s="37">
        <v>6.0</v>
      </c>
      <c r="P435" s="37" t="s">
        <v>63</v>
      </c>
      <c r="Q435" s="37">
        <v>16.0</v>
      </c>
      <c r="R435" s="37">
        <v>18.0</v>
      </c>
      <c r="S435" s="37" t="s">
        <v>63</v>
      </c>
      <c r="T435" s="69" t="s">
        <v>63</v>
      </c>
      <c r="U435" s="37" t="s">
        <v>63</v>
      </c>
      <c r="V435" s="37" t="s">
        <v>63</v>
      </c>
      <c r="W435" s="37" t="s">
        <v>63</v>
      </c>
      <c r="X435" s="37" t="s">
        <v>63</v>
      </c>
      <c r="Y435" s="53">
        <v>73.0</v>
      </c>
      <c r="Z435" s="69" t="s">
        <v>63</v>
      </c>
      <c r="AA435" s="73"/>
      <c r="AB435" s="73"/>
      <c r="AC435" s="73"/>
      <c r="AD435" s="73"/>
      <c r="AE435" s="73"/>
      <c r="AF435" s="73"/>
      <c r="AG435" s="73"/>
      <c r="AH435" s="73"/>
      <c r="AI435" s="73"/>
      <c r="AJ435" s="73"/>
      <c r="AK435" s="73"/>
    </row>
    <row r="436">
      <c r="A436" s="28">
        <v>435.0</v>
      </c>
      <c r="B436" s="29"/>
      <c r="C436" s="29"/>
      <c r="D436" s="40">
        <v>1.0</v>
      </c>
      <c r="E436" s="31">
        <v>13.0</v>
      </c>
      <c r="F436" s="42">
        <v>73.0</v>
      </c>
      <c r="G436" s="29" t="str">
        <f t="shared" si="1"/>
        <v>13073</v>
      </c>
      <c r="H436" s="37" t="s">
        <v>258</v>
      </c>
      <c r="I436" s="37" t="s">
        <v>44</v>
      </c>
      <c r="J436" s="37" t="s">
        <v>393</v>
      </c>
      <c r="K436" s="37" t="str">
        <f t="shared" si="11"/>
        <v>Columbia, GA</v>
      </c>
      <c r="L436" s="37">
        <v>62.0</v>
      </c>
      <c r="M436" s="37" t="s">
        <v>63</v>
      </c>
      <c r="N436" s="37">
        <v>34.0</v>
      </c>
      <c r="O436" s="37">
        <v>13.0</v>
      </c>
      <c r="P436" s="37" t="s">
        <v>63</v>
      </c>
      <c r="Q436" s="37">
        <v>98.0</v>
      </c>
      <c r="R436" s="37">
        <v>5.0</v>
      </c>
      <c r="S436" s="37" t="s">
        <v>63</v>
      </c>
      <c r="T436" s="69" t="s">
        <v>63</v>
      </c>
      <c r="U436" s="37" t="s">
        <v>63</v>
      </c>
      <c r="V436" s="37" t="s">
        <v>63</v>
      </c>
      <c r="W436" s="37" t="s">
        <v>63</v>
      </c>
      <c r="X436" s="37" t="s">
        <v>63</v>
      </c>
      <c r="Y436" s="53">
        <v>104.0</v>
      </c>
      <c r="Z436" s="69" t="s">
        <v>63</v>
      </c>
      <c r="AA436" s="73"/>
      <c r="AB436" s="73"/>
      <c r="AC436" s="73"/>
      <c r="AD436" s="73"/>
      <c r="AE436" s="73"/>
      <c r="AF436" s="73"/>
      <c r="AG436" s="73"/>
      <c r="AH436" s="73"/>
      <c r="AI436" s="73"/>
      <c r="AJ436" s="73"/>
      <c r="AK436" s="73"/>
    </row>
    <row r="437">
      <c r="A437" s="28">
        <v>436.0</v>
      </c>
      <c r="B437" s="29"/>
      <c r="C437" s="29"/>
      <c r="D437" s="40">
        <v>1.0</v>
      </c>
      <c r="E437" s="31">
        <v>13.0</v>
      </c>
      <c r="F437" s="42">
        <v>75.0</v>
      </c>
      <c r="G437" s="29" t="str">
        <f t="shared" si="1"/>
        <v>13075</v>
      </c>
      <c r="H437" s="37" t="s">
        <v>202</v>
      </c>
      <c r="I437" s="37" t="s">
        <v>44</v>
      </c>
      <c r="J437" s="37" t="s">
        <v>393</v>
      </c>
      <c r="K437" s="37" t="str">
        <f t="shared" si="11"/>
        <v>Cook, GA</v>
      </c>
      <c r="L437" s="37">
        <v>50.0</v>
      </c>
      <c r="M437" s="37" t="s">
        <v>63</v>
      </c>
      <c r="N437" s="37">
        <v>41.0</v>
      </c>
      <c r="O437" s="37">
        <v>5.0</v>
      </c>
      <c r="P437" s="37" t="s">
        <v>63</v>
      </c>
      <c r="Q437" s="37">
        <v>14.0</v>
      </c>
      <c r="R437" s="37">
        <v>2.0</v>
      </c>
      <c r="S437" s="37" t="s">
        <v>63</v>
      </c>
      <c r="T437" s="69" t="s">
        <v>63</v>
      </c>
      <c r="U437" s="37" t="s">
        <v>63</v>
      </c>
      <c r="V437" s="37" t="s">
        <v>63</v>
      </c>
      <c r="W437" s="37" t="s">
        <v>63</v>
      </c>
      <c r="X437" s="37" t="s">
        <v>63</v>
      </c>
      <c r="Y437" s="53">
        <v>30.0</v>
      </c>
      <c r="Z437" s="69" t="s">
        <v>63</v>
      </c>
      <c r="AA437" s="73"/>
      <c r="AB437" s="73"/>
      <c r="AC437" s="73"/>
      <c r="AD437" s="73"/>
      <c r="AE437" s="73"/>
      <c r="AF437" s="73"/>
      <c r="AG437" s="73"/>
      <c r="AH437" s="73"/>
      <c r="AI437" s="73"/>
      <c r="AJ437" s="73"/>
      <c r="AK437" s="73"/>
    </row>
    <row r="438">
      <c r="A438" s="28">
        <v>437.0</v>
      </c>
      <c r="B438" s="29"/>
      <c r="C438" s="29"/>
      <c r="D438" s="40">
        <v>1.0</v>
      </c>
      <c r="E438" s="31">
        <v>13.0</v>
      </c>
      <c r="F438" s="42">
        <v>77.0</v>
      </c>
      <c r="G438" s="29" t="str">
        <f t="shared" si="1"/>
        <v>13077</v>
      </c>
      <c r="H438" s="37" t="s">
        <v>559</v>
      </c>
      <c r="I438" s="37" t="s">
        <v>44</v>
      </c>
      <c r="J438" s="37" t="s">
        <v>393</v>
      </c>
      <c r="K438" s="37" t="str">
        <f t="shared" si="11"/>
        <v>Coweta, GA</v>
      </c>
      <c r="L438" s="37">
        <v>79.0</v>
      </c>
      <c r="M438" s="37" t="s">
        <v>63</v>
      </c>
      <c r="N438" s="37">
        <v>45.0</v>
      </c>
      <c r="O438" s="37">
        <v>13.0</v>
      </c>
      <c r="P438" s="37" t="s">
        <v>63</v>
      </c>
      <c r="Q438" s="37">
        <v>94.0</v>
      </c>
      <c r="R438" s="37">
        <v>20.0</v>
      </c>
      <c r="S438" s="37" t="s">
        <v>63</v>
      </c>
      <c r="T438" s="69" t="s">
        <v>63</v>
      </c>
      <c r="U438" s="37" t="s">
        <v>63</v>
      </c>
      <c r="V438" s="37" t="s">
        <v>63</v>
      </c>
      <c r="W438" s="37" t="s">
        <v>63</v>
      </c>
      <c r="X438" s="37" t="s">
        <v>63</v>
      </c>
      <c r="Y438" s="53">
        <v>108.0</v>
      </c>
      <c r="Z438" s="69" t="s">
        <v>63</v>
      </c>
      <c r="AA438" s="73"/>
      <c r="AB438" s="73"/>
      <c r="AC438" s="73"/>
      <c r="AD438" s="73"/>
      <c r="AE438" s="73"/>
      <c r="AF438" s="73"/>
      <c r="AG438" s="73"/>
      <c r="AH438" s="73"/>
      <c r="AI438" s="73"/>
      <c r="AJ438" s="73"/>
      <c r="AK438" s="73"/>
    </row>
    <row r="439">
      <c r="A439" s="28">
        <v>438.0</v>
      </c>
      <c r="B439" s="29"/>
      <c r="C439" s="29"/>
      <c r="D439" s="40">
        <v>1.0</v>
      </c>
      <c r="E439" s="31">
        <v>13.0</v>
      </c>
      <c r="F439" s="42">
        <v>79.0</v>
      </c>
      <c r="G439" s="29" t="str">
        <f t="shared" si="1"/>
        <v>13079</v>
      </c>
      <c r="H439" s="37" t="s">
        <v>263</v>
      </c>
      <c r="I439" s="37" t="s">
        <v>44</v>
      </c>
      <c r="J439" s="37" t="s">
        <v>393</v>
      </c>
      <c r="K439" s="37" t="str">
        <f t="shared" si="11"/>
        <v>Crawford, GA</v>
      </c>
      <c r="L439" s="37">
        <v>22.0</v>
      </c>
      <c r="M439" s="37" t="s">
        <v>63</v>
      </c>
      <c r="N439" s="37">
        <v>10.0</v>
      </c>
      <c r="O439" s="37">
        <v>5.0</v>
      </c>
      <c r="P439" s="37" t="s">
        <v>63</v>
      </c>
      <c r="Q439" s="37">
        <v>8.0</v>
      </c>
      <c r="R439" s="37">
        <v>2.0</v>
      </c>
      <c r="S439" s="37" t="s">
        <v>63</v>
      </c>
      <c r="T439" s="69" t="s">
        <v>63</v>
      </c>
      <c r="U439" s="37" t="s">
        <v>63</v>
      </c>
      <c r="V439" s="37" t="s">
        <v>63</v>
      </c>
      <c r="W439" s="37" t="s">
        <v>63</v>
      </c>
      <c r="X439" s="37" t="s">
        <v>63</v>
      </c>
      <c r="Y439" s="53">
        <v>19.0</v>
      </c>
      <c r="Z439" s="69" t="s">
        <v>63</v>
      </c>
      <c r="AA439" s="73"/>
      <c r="AB439" s="73"/>
      <c r="AC439" s="73"/>
      <c r="AD439" s="73"/>
      <c r="AE439" s="73"/>
      <c r="AF439" s="73"/>
      <c r="AG439" s="73"/>
      <c r="AH439" s="73"/>
      <c r="AI439" s="73"/>
      <c r="AJ439" s="73"/>
      <c r="AK439" s="73"/>
    </row>
    <row r="440">
      <c r="A440" s="28">
        <v>439.0</v>
      </c>
      <c r="B440" s="29"/>
      <c r="C440" s="29"/>
      <c r="D440" s="40">
        <v>1.0</v>
      </c>
      <c r="E440" s="31">
        <v>13.0</v>
      </c>
      <c r="F440" s="42">
        <v>81.0</v>
      </c>
      <c r="G440" s="29" t="str">
        <f t="shared" si="1"/>
        <v>13081</v>
      </c>
      <c r="H440" s="37" t="s">
        <v>560</v>
      </c>
      <c r="I440" s="37" t="s">
        <v>44</v>
      </c>
      <c r="J440" s="37" t="s">
        <v>393</v>
      </c>
      <c r="K440" s="37" t="str">
        <f t="shared" si="11"/>
        <v>Crisp, GA</v>
      </c>
      <c r="L440" s="37">
        <v>107.0</v>
      </c>
      <c r="M440" s="37" t="s">
        <v>63</v>
      </c>
      <c r="N440" s="37">
        <v>64.0</v>
      </c>
      <c r="O440" s="37">
        <v>32.0</v>
      </c>
      <c r="P440" s="37" t="s">
        <v>63</v>
      </c>
      <c r="Q440" s="37">
        <v>10.0</v>
      </c>
      <c r="R440" s="37">
        <v>1.0</v>
      </c>
      <c r="S440" s="37" t="s">
        <v>63</v>
      </c>
      <c r="T440" s="69" t="s">
        <v>63</v>
      </c>
      <c r="U440" s="37" t="s">
        <v>63</v>
      </c>
      <c r="V440" s="37" t="s">
        <v>63</v>
      </c>
      <c r="W440" s="37" t="s">
        <v>63</v>
      </c>
      <c r="X440" s="37" t="s">
        <v>63</v>
      </c>
      <c r="Y440" s="53">
        <v>32.0</v>
      </c>
      <c r="Z440" s="69" t="s">
        <v>63</v>
      </c>
      <c r="AA440" s="73"/>
      <c r="AB440" s="73"/>
      <c r="AC440" s="73"/>
      <c r="AD440" s="73"/>
      <c r="AE440" s="73"/>
      <c r="AF440" s="73"/>
      <c r="AG440" s="73"/>
      <c r="AH440" s="73"/>
      <c r="AI440" s="73"/>
      <c r="AJ440" s="73"/>
      <c r="AK440" s="73"/>
    </row>
    <row r="441">
      <c r="A441" s="28">
        <v>440.0</v>
      </c>
      <c r="B441" s="29"/>
      <c r="C441" s="29"/>
      <c r="D441" s="40">
        <v>1.0</v>
      </c>
      <c r="E441" s="31">
        <v>13.0</v>
      </c>
      <c r="F441" s="42">
        <v>83.0</v>
      </c>
      <c r="G441" s="29" t="str">
        <f t="shared" si="1"/>
        <v>13083</v>
      </c>
      <c r="H441" s="37" t="s">
        <v>561</v>
      </c>
      <c r="I441" s="37" t="s">
        <v>44</v>
      </c>
      <c r="J441" s="37" t="s">
        <v>393</v>
      </c>
      <c r="K441" s="37" t="str">
        <f t="shared" si="11"/>
        <v>Dade, GA</v>
      </c>
      <c r="L441" s="37">
        <v>24.0</v>
      </c>
      <c r="M441" s="37" t="s">
        <v>63</v>
      </c>
      <c r="N441" s="37">
        <v>13.0</v>
      </c>
      <c r="O441" s="37">
        <v>6.0</v>
      </c>
      <c r="P441" s="37" t="s">
        <v>63</v>
      </c>
      <c r="Q441" s="37">
        <v>11.0</v>
      </c>
      <c r="R441" s="37">
        <v>3.0</v>
      </c>
      <c r="S441" s="37" t="s">
        <v>63</v>
      </c>
      <c r="T441" s="69" t="s">
        <v>63</v>
      </c>
      <c r="U441" s="37" t="s">
        <v>63</v>
      </c>
      <c r="V441" s="37" t="s">
        <v>63</v>
      </c>
      <c r="W441" s="37" t="s">
        <v>63</v>
      </c>
      <c r="X441" s="37" t="s">
        <v>63</v>
      </c>
      <c r="Y441" s="53">
        <v>20.0</v>
      </c>
      <c r="Z441" s="69" t="s">
        <v>63</v>
      </c>
      <c r="AA441" s="73"/>
      <c r="AB441" s="73"/>
      <c r="AC441" s="73"/>
      <c r="AD441" s="73"/>
      <c r="AE441" s="73"/>
      <c r="AF441" s="73"/>
      <c r="AG441" s="73"/>
      <c r="AH441" s="73"/>
      <c r="AI441" s="73"/>
      <c r="AJ441" s="73"/>
      <c r="AK441" s="73"/>
    </row>
    <row r="442">
      <c r="A442" s="28">
        <v>441.0</v>
      </c>
      <c r="B442" s="29"/>
      <c r="C442" s="29"/>
      <c r="D442" s="40">
        <v>1.0</v>
      </c>
      <c r="E442" s="31">
        <v>13.0</v>
      </c>
      <c r="F442" s="42">
        <v>85.0</v>
      </c>
      <c r="G442" s="29" t="str">
        <f t="shared" si="1"/>
        <v>13085</v>
      </c>
      <c r="H442" s="37" t="s">
        <v>562</v>
      </c>
      <c r="I442" s="37" t="s">
        <v>44</v>
      </c>
      <c r="J442" s="37" t="s">
        <v>393</v>
      </c>
      <c r="K442" s="37" t="str">
        <f t="shared" si="11"/>
        <v>Dawson, GA</v>
      </c>
      <c r="L442" s="37">
        <v>40.0</v>
      </c>
      <c r="M442" s="37" t="s">
        <v>63</v>
      </c>
      <c r="N442" s="37">
        <v>24.0</v>
      </c>
      <c r="O442" s="37">
        <v>6.0</v>
      </c>
      <c r="P442" s="37" t="s">
        <v>63</v>
      </c>
      <c r="Q442" s="37">
        <v>11.0</v>
      </c>
      <c r="R442" s="37">
        <v>19.0</v>
      </c>
      <c r="S442" s="37" t="s">
        <v>63</v>
      </c>
      <c r="T442" s="69" t="s">
        <v>63</v>
      </c>
      <c r="U442" s="37" t="s">
        <v>63</v>
      </c>
      <c r="V442" s="37" t="s">
        <v>63</v>
      </c>
      <c r="W442" s="37" t="s">
        <v>63</v>
      </c>
      <c r="X442" s="37" t="s">
        <v>63</v>
      </c>
      <c r="Y442" s="53">
        <v>30.0</v>
      </c>
      <c r="Z442" s="69" t="s">
        <v>63</v>
      </c>
      <c r="AA442" s="73"/>
      <c r="AB442" s="73"/>
      <c r="AC442" s="73"/>
      <c r="AD442" s="73"/>
      <c r="AE442" s="73"/>
      <c r="AF442" s="73"/>
      <c r="AG442" s="73"/>
      <c r="AH442" s="73"/>
      <c r="AI442" s="73"/>
      <c r="AJ442" s="73"/>
      <c r="AK442" s="73"/>
    </row>
    <row r="443">
      <c r="A443" s="28">
        <v>442.0</v>
      </c>
      <c r="B443" s="29"/>
      <c r="C443" s="29"/>
      <c r="D443" s="40">
        <v>1.0</v>
      </c>
      <c r="E443" s="31">
        <v>13.0</v>
      </c>
      <c r="F443" s="42">
        <v>87.0</v>
      </c>
      <c r="G443" s="29" t="str">
        <f t="shared" si="1"/>
        <v>13087</v>
      </c>
      <c r="H443" s="37" t="s">
        <v>563</v>
      </c>
      <c r="I443" s="37" t="s">
        <v>44</v>
      </c>
      <c r="J443" s="37" t="s">
        <v>393</v>
      </c>
      <c r="K443" s="37" t="str">
        <f t="shared" si="11"/>
        <v>Decatur, GA</v>
      </c>
      <c r="L443" s="37">
        <v>38.0</v>
      </c>
      <c r="M443" s="37" t="s">
        <v>63</v>
      </c>
      <c r="N443" s="37">
        <v>11.0</v>
      </c>
      <c r="O443" s="37">
        <v>19.0</v>
      </c>
      <c r="P443" s="37" t="s">
        <v>63</v>
      </c>
      <c r="Q443" s="37">
        <v>14.0</v>
      </c>
      <c r="R443" s="37">
        <v>14.0</v>
      </c>
      <c r="S443" s="37" t="s">
        <v>63</v>
      </c>
      <c r="T443" s="69" t="s">
        <v>63</v>
      </c>
      <c r="U443" s="37" t="s">
        <v>63</v>
      </c>
      <c r="V443" s="37" t="s">
        <v>63</v>
      </c>
      <c r="W443" s="37" t="s">
        <v>63</v>
      </c>
      <c r="X443" s="37" t="s">
        <v>63</v>
      </c>
      <c r="Y443" s="53">
        <v>36.0</v>
      </c>
      <c r="Z443" s="69" t="s">
        <v>63</v>
      </c>
      <c r="AA443" s="73"/>
      <c r="AB443" s="73"/>
      <c r="AC443" s="73"/>
      <c r="AD443" s="73"/>
      <c r="AE443" s="73"/>
      <c r="AF443" s="73"/>
      <c r="AG443" s="73"/>
      <c r="AH443" s="73"/>
      <c r="AI443" s="73"/>
      <c r="AJ443" s="73"/>
      <c r="AK443" s="73"/>
    </row>
    <row r="444">
      <c r="A444" s="28">
        <v>443.0</v>
      </c>
      <c r="B444" s="29"/>
      <c r="C444" s="29"/>
      <c r="D444" s="40">
        <v>1.0</v>
      </c>
      <c r="E444" s="31">
        <v>13.0</v>
      </c>
      <c r="F444" s="42">
        <v>89.0</v>
      </c>
      <c r="G444" s="29" t="str">
        <f t="shared" si="1"/>
        <v>13089</v>
      </c>
      <c r="H444" s="37" t="s">
        <v>131</v>
      </c>
      <c r="I444" s="37" t="s">
        <v>44</v>
      </c>
      <c r="J444" s="37" t="s">
        <v>393</v>
      </c>
      <c r="K444" s="37" t="str">
        <f t="shared" si="11"/>
        <v>De Kalb, GA</v>
      </c>
      <c r="L444" s="37">
        <v>715.0</v>
      </c>
      <c r="M444" s="37" t="s">
        <v>63</v>
      </c>
      <c r="N444" s="37">
        <v>405.0</v>
      </c>
      <c r="O444" s="37">
        <v>149.0</v>
      </c>
      <c r="P444" s="37" t="s">
        <v>63</v>
      </c>
      <c r="Q444" s="37">
        <v>297.0</v>
      </c>
      <c r="R444" s="37">
        <v>73.0</v>
      </c>
      <c r="S444" s="37" t="s">
        <v>63</v>
      </c>
      <c r="T444" s="69" t="s">
        <v>63</v>
      </c>
      <c r="U444" s="37" t="s">
        <v>63</v>
      </c>
      <c r="V444" s="37" t="s">
        <v>63</v>
      </c>
      <c r="W444" s="37" t="s">
        <v>63</v>
      </c>
      <c r="X444" s="37" t="s">
        <v>63</v>
      </c>
      <c r="Y444" s="53">
        <v>383.0</v>
      </c>
      <c r="Z444" s="69" t="s">
        <v>63</v>
      </c>
      <c r="AA444" s="73"/>
      <c r="AB444" s="73"/>
      <c r="AC444" s="73"/>
      <c r="AD444" s="73"/>
      <c r="AE444" s="73"/>
      <c r="AF444" s="73"/>
      <c r="AG444" s="73"/>
      <c r="AH444" s="73"/>
      <c r="AI444" s="73"/>
      <c r="AJ444" s="73"/>
      <c r="AK444" s="73"/>
    </row>
    <row r="445">
      <c r="A445" s="28">
        <v>444.0</v>
      </c>
      <c r="B445" s="29"/>
      <c r="C445" s="29"/>
      <c r="D445" s="40">
        <v>1.0</v>
      </c>
      <c r="E445" s="31">
        <v>13.0</v>
      </c>
      <c r="F445" s="42">
        <v>91.0</v>
      </c>
      <c r="G445" s="29" t="str">
        <f t="shared" si="1"/>
        <v>13091</v>
      </c>
      <c r="H445" s="37" t="s">
        <v>564</v>
      </c>
      <c r="I445" s="37" t="s">
        <v>44</v>
      </c>
      <c r="J445" s="37" t="s">
        <v>393</v>
      </c>
      <c r="K445" s="37" t="str">
        <f t="shared" si="11"/>
        <v>Dodge, GA</v>
      </c>
      <c r="L445" s="37">
        <v>43.0</v>
      </c>
      <c r="M445" s="37" t="s">
        <v>63</v>
      </c>
      <c r="N445" s="37">
        <v>18.0</v>
      </c>
      <c r="O445" s="37">
        <v>17.0</v>
      </c>
      <c r="P445" s="37" t="s">
        <v>63</v>
      </c>
      <c r="Q445" s="37">
        <v>16.0</v>
      </c>
      <c r="R445" s="37">
        <v>0.0</v>
      </c>
      <c r="S445" s="37" t="s">
        <v>63</v>
      </c>
      <c r="T445" s="69" t="s">
        <v>63</v>
      </c>
      <c r="U445" s="37" t="s">
        <v>63</v>
      </c>
      <c r="V445" s="37" t="s">
        <v>63</v>
      </c>
      <c r="W445" s="37" t="s">
        <v>63</v>
      </c>
      <c r="X445" s="37" t="s">
        <v>63</v>
      </c>
      <c r="Y445" s="53">
        <v>35.0</v>
      </c>
      <c r="Z445" s="69" t="s">
        <v>63</v>
      </c>
      <c r="AA445" s="73"/>
      <c r="AB445" s="73"/>
      <c r="AC445" s="73"/>
      <c r="AD445" s="73"/>
      <c r="AE445" s="73"/>
      <c r="AF445" s="73"/>
      <c r="AG445" s="73"/>
      <c r="AH445" s="73"/>
      <c r="AI445" s="73"/>
      <c r="AJ445" s="73"/>
      <c r="AK445" s="73"/>
    </row>
    <row r="446">
      <c r="A446" s="28">
        <v>445.0</v>
      </c>
      <c r="B446" s="29"/>
      <c r="C446" s="29"/>
      <c r="D446" s="40">
        <v>1.0</v>
      </c>
      <c r="E446" s="31">
        <v>13.0</v>
      </c>
      <c r="F446" s="42">
        <v>93.0</v>
      </c>
      <c r="G446" s="29" t="str">
        <f t="shared" si="1"/>
        <v>13093</v>
      </c>
      <c r="H446" s="37" t="s">
        <v>565</v>
      </c>
      <c r="I446" s="37" t="s">
        <v>44</v>
      </c>
      <c r="J446" s="37" t="s">
        <v>393</v>
      </c>
      <c r="K446" s="37" t="str">
        <f t="shared" si="11"/>
        <v>Dooly, GA</v>
      </c>
      <c r="L446" s="37">
        <v>28.0</v>
      </c>
      <c r="M446" s="37" t="s">
        <v>63</v>
      </c>
      <c r="N446" s="37">
        <v>16.0</v>
      </c>
      <c r="O446" s="37">
        <v>10.0</v>
      </c>
      <c r="P446" s="37" t="s">
        <v>63</v>
      </c>
      <c r="Q446" s="37">
        <v>1.0</v>
      </c>
      <c r="R446" s="37">
        <v>0.0</v>
      </c>
      <c r="S446" s="37" t="s">
        <v>63</v>
      </c>
      <c r="T446" s="69" t="s">
        <v>63</v>
      </c>
      <c r="U446" s="37" t="s">
        <v>63</v>
      </c>
      <c r="V446" s="37" t="s">
        <v>63</v>
      </c>
      <c r="W446" s="37" t="s">
        <v>63</v>
      </c>
      <c r="X446" s="37" t="s">
        <v>63</v>
      </c>
      <c r="Y446" s="53">
        <v>24.0</v>
      </c>
      <c r="Z446" s="69" t="s">
        <v>63</v>
      </c>
      <c r="AA446" s="73"/>
      <c r="AB446" s="73"/>
      <c r="AC446" s="73"/>
      <c r="AD446" s="73"/>
      <c r="AE446" s="73"/>
      <c r="AF446" s="73"/>
      <c r="AG446" s="73"/>
      <c r="AH446" s="73"/>
      <c r="AI446" s="73"/>
      <c r="AJ446" s="73"/>
      <c r="AK446" s="73"/>
    </row>
    <row r="447">
      <c r="A447" s="28">
        <v>446.0</v>
      </c>
      <c r="B447" s="29"/>
      <c r="C447" s="29"/>
      <c r="D447" s="40">
        <v>1.0</v>
      </c>
      <c r="E447" s="31">
        <v>13.0</v>
      </c>
      <c r="F447" s="42">
        <v>95.0</v>
      </c>
      <c r="G447" s="29" t="str">
        <f t="shared" si="1"/>
        <v>13095</v>
      </c>
      <c r="H447" s="37" t="s">
        <v>566</v>
      </c>
      <c r="I447" s="37" t="s">
        <v>44</v>
      </c>
      <c r="J447" s="37" t="s">
        <v>393</v>
      </c>
      <c r="K447" s="37" t="str">
        <f t="shared" si="11"/>
        <v>Dougherty, GA</v>
      </c>
      <c r="L447" s="37">
        <v>251.0</v>
      </c>
      <c r="M447" s="37" t="s">
        <v>63</v>
      </c>
      <c r="N447" s="37">
        <v>199.0</v>
      </c>
      <c r="O447" s="37">
        <v>15.0</v>
      </c>
      <c r="P447" s="37" t="s">
        <v>63</v>
      </c>
      <c r="Q447" s="37">
        <v>117.0</v>
      </c>
      <c r="R447" s="37">
        <v>5.0</v>
      </c>
      <c r="S447" s="37" t="s">
        <v>63</v>
      </c>
      <c r="T447" s="69" t="s">
        <v>63</v>
      </c>
      <c r="U447" s="37" t="s">
        <v>63</v>
      </c>
      <c r="V447" s="37" t="s">
        <v>63</v>
      </c>
      <c r="W447" s="37" t="s">
        <v>63</v>
      </c>
      <c r="X447" s="37" t="s">
        <v>63</v>
      </c>
      <c r="Y447" s="53">
        <v>125.0</v>
      </c>
      <c r="Z447" s="69" t="s">
        <v>63</v>
      </c>
      <c r="AA447" s="73"/>
      <c r="AB447" s="73"/>
      <c r="AC447" s="73"/>
      <c r="AD447" s="73"/>
      <c r="AE447" s="73"/>
      <c r="AF447" s="73"/>
      <c r="AG447" s="73"/>
      <c r="AH447" s="73"/>
      <c r="AI447" s="73"/>
      <c r="AJ447" s="73"/>
      <c r="AK447" s="73"/>
    </row>
    <row r="448">
      <c r="A448" s="28">
        <v>447.0</v>
      </c>
      <c r="B448" s="29"/>
      <c r="C448" s="29"/>
      <c r="D448" s="40">
        <v>1.0</v>
      </c>
      <c r="E448" s="31">
        <v>13.0</v>
      </c>
      <c r="F448" s="42">
        <v>97.0</v>
      </c>
      <c r="G448" s="29" t="str">
        <f t="shared" si="1"/>
        <v>13097</v>
      </c>
      <c r="H448" s="37" t="s">
        <v>412</v>
      </c>
      <c r="I448" s="37" t="s">
        <v>44</v>
      </c>
      <c r="J448" s="37" t="s">
        <v>393</v>
      </c>
      <c r="K448" s="37" t="str">
        <f t="shared" si="11"/>
        <v>Douglas, GA</v>
      </c>
      <c r="L448" s="37">
        <v>147.0</v>
      </c>
      <c r="M448" s="37" t="s">
        <v>63</v>
      </c>
      <c r="N448" s="37">
        <v>74.0</v>
      </c>
      <c r="O448" s="37">
        <v>35.0</v>
      </c>
      <c r="P448" s="37" t="s">
        <v>63</v>
      </c>
      <c r="Q448" s="37">
        <v>91.0</v>
      </c>
      <c r="R448" s="37">
        <v>21.0</v>
      </c>
      <c r="S448" s="37" t="s">
        <v>63</v>
      </c>
      <c r="T448" s="69" t="s">
        <v>63</v>
      </c>
      <c r="U448" s="37" t="s">
        <v>63</v>
      </c>
      <c r="V448" s="37" t="s">
        <v>63</v>
      </c>
      <c r="W448" s="37" t="s">
        <v>63</v>
      </c>
      <c r="X448" s="37" t="s">
        <v>63</v>
      </c>
      <c r="Y448" s="53">
        <v>87.0</v>
      </c>
      <c r="Z448" s="69" t="s">
        <v>63</v>
      </c>
      <c r="AA448" s="73"/>
      <c r="AB448" s="73"/>
      <c r="AC448" s="73"/>
      <c r="AD448" s="73"/>
      <c r="AE448" s="73"/>
      <c r="AF448" s="73"/>
      <c r="AG448" s="73"/>
      <c r="AH448" s="73"/>
      <c r="AI448" s="73"/>
      <c r="AJ448" s="73"/>
      <c r="AK448" s="73"/>
    </row>
    <row r="449">
      <c r="A449" s="28">
        <v>448.0</v>
      </c>
      <c r="B449" s="29"/>
      <c r="C449" s="29"/>
      <c r="D449" s="40">
        <v>1.0</v>
      </c>
      <c r="E449" s="31">
        <v>13.0</v>
      </c>
      <c r="F449" s="42">
        <v>99.0</v>
      </c>
      <c r="G449" s="29" t="str">
        <f t="shared" si="1"/>
        <v>13099</v>
      </c>
      <c r="H449" s="37" t="s">
        <v>567</v>
      </c>
      <c r="I449" s="37" t="s">
        <v>44</v>
      </c>
      <c r="J449" s="37" t="s">
        <v>393</v>
      </c>
      <c r="K449" s="37" t="str">
        <f t="shared" si="11"/>
        <v>Early, GA</v>
      </c>
      <c r="L449" s="37">
        <v>4.0</v>
      </c>
      <c r="M449" s="37" t="s">
        <v>63</v>
      </c>
      <c r="N449" s="37">
        <v>2.0</v>
      </c>
      <c r="O449" s="37">
        <v>0.0</v>
      </c>
      <c r="P449" s="37" t="s">
        <v>63</v>
      </c>
      <c r="Q449" s="37">
        <v>4.0</v>
      </c>
      <c r="R449" s="37">
        <v>2.0</v>
      </c>
      <c r="S449" s="37" t="s">
        <v>63</v>
      </c>
      <c r="T449" s="69" t="s">
        <v>63</v>
      </c>
      <c r="U449" s="37" t="s">
        <v>63</v>
      </c>
      <c r="V449" s="37" t="s">
        <v>63</v>
      </c>
      <c r="W449" s="37" t="s">
        <v>63</v>
      </c>
      <c r="X449" s="37" t="s">
        <v>63</v>
      </c>
      <c r="Y449" s="53">
        <v>21.0</v>
      </c>
      <c r="Z449" s="69" t="s">
        <v>63</v>
      </c>
      <c r="AA449" s="73"/>
      <c r="AB449" s="73"/>
      <c r="AC449" s="73"/>
      <c r="AD449" s="73"/>
      <c r="AE449" s="73"/>
      <c r="AF449" s="73"/>
      <c r="AG449" s="73"/>
      <c r="AH449" s="73"/>
      <c r="AI449" s="73"/>
      <c r="AJ449" s="73"/>
      <c r="AK449" s="73"/>
    </row>
    <row r="450">
      <c r="A450" s="28">
        <v>449.0</v>
      </c>
      <c r="B450" s="29"/>
      <c r="C450" s="29"/>
      <c r="D450" s="40">
        <v>1.0</v>
      </c>
      <c r="E450" s="31">
        <v>13.0</v>
      </c>
      <c r="F450" s="42">
        <v>101.0</v>
      </c>
      <c r="G450" s="29" t="str">
        <f t="shared" si="1"/>
        <v>13101</v>
      </c>
      <c r="H450" s="37" t="s">
        <v>568</v>
      </c>
      <c r="I450" s="37" t="s">
        <v>44</v>
      </c>
      <c r="J450" s="37" t="s">
        <v>393</v>
      </c>
      <c r="K450" s="37" t="str">
        <f t="shared" si="11"/>
        <v>Echols, GA</v>
      </c>
      <c r="L450" s="37">
        <v>2.0</v>
      </c>
      <c r="M450" s="37" t="s">
        <v>63</v>
      </c>
      <c r="N450" s="37">
        <v>2.0</v>
      </c>
      <c r="O450" s="37">
        <v>0.0</v>
      </c>
      <c r="P450" s="37" t="s">
        <v>63</v>
      </c>
      <c r="Q450" s="37">
        <v>0.0</v>
      </c>
      <c r="R450" s="37">
        <v>0.0</v>
      </c>
      <c r="S450" s="37" t="s">
        <v>63</v>
      </c>
      <c r="T450" s="69" t="s">
        <v>63</v>
      </c>
      <c r="U450" s="37" t="s">
        <v>63</v>
      </c>
      <c r="V450" s="37" t="s">
        <v>63</v>
      </c>
      <c r="W450" s="37" t="s">
        <v>63</v>
      </c>
      <c r="X450" s="37" t="s">
        <v>63</v>
      </c>
      <c r="Y450" s="53">
        <v>2.0</v>
      </c>
      <c r="Z450" s="69" t="s">
        <v>63</v>
      </c>
      <c r="AA450" s="73"/>
      <c r="AB450" s="73"/>
      <c r="AC450" s="73"/>
      <c r="AD450" s="73"/>
      <c r="AE450" s="73"/>
      <c r="AF450" s="73"/>
      <c r="AG450" s="73"/>
      <c r="AH450" s="73"/>
      <c r="AI450" s="73"/>
      <c r="AJ450" s="73"/>
      <c r="AK450" s="73"/>
    </row>
    <row r="451">
      <c r="A451" s="28">
        <v>450.0</v>
      </c>
      <c r="B451" s="29"/>
      <c r="C451" s="29"/>
      <c r="D451" s="40">
        <v>1.0</v>
      </c>
      <c r="E451" s="31">
        <v>13.0</v>
      </c>
      <c r="F451" s="42">
        <v>103.0</v>
      </c>
      <c r="G451" s="29" t="str">
        <f t="shared" si="1"/>
        <v>13103</v>
      </c>
      <c r="H451" s="37" t="s">
        <v>569</v>
      </c>
      <c r="I451" s="37" t="s">
        <v>44</v>
      </c>
      <c r="J451" s="37" t="s">
        <v>393</v>
      </c>
      <c r="K451" s="37" t="str">
        <f t="shared" si="11"/>
        <v>Effingham, GA</v>
      </c>
      <c r="L451" s="37">
        <v>46.0</v>
      </c>
      <c r="M451" s="37" t="s">
        <v>63</v>
      </c>
      <c r="N451" s="37">
        <v>24.0</v>
      </c>
      <c r="O451" s="37">
        <v>6.0</v>
      </c>
      <c r="P451" s="37" t="s">
        <v>63</v>
      </c>
      <c r="Q451" s="37">
        <v>38.0</v>
      </c>
      <c r="R451" s="37">
        <v>10.0</v>
      </c>
      <c r="S451" s="37" t="s">
        <v>63</v>
      </c>
      <c r="T451" s="69" t="s">
        <v>63</v>
      </c>
      <c r="U451" s="37" t="s">
        <v>63</v>
      </c>
      <c r="V451" s="37" t="s">
        <v>63</v>
      </c>
      <c r="W451" s="37" t="s">
        <v>63</v>
      </c>
      <c r="X451" s="37" t="s">
        <v>63</v>
      </c>
      <c r="Y451" s="53">
        <v>90.0</v>
      </c>
      <c r="Z451" s="69" t="s">
        <v>63</v>
      </c>
      <c r="AA451" s="73"/>
      <c r="AB451" s="73"/>
      <c r="AC451" s="73"/>
      <c r="AD451" s="73"/>
      <c r="AE451" s="73"/>
      <c r="AF451" s="73"/>
      <c r="AG451" s="73"/>
      <c r="AH451" s="73"/>
      <c r="AI451" s="73"/>
      <c r="AJ451" s="73"/>
      <c r="AK451" s="73"/>
    </row>
    <row r="452">
      <c r="A452" s="28">
        <v>451.0</v>
      </c>
      <c r="B452" s="29"/>
      <c r="C452" s="29"/>
      <c r="D452" s="40">
        <v>1.0</v>
      </c>
      <c r="E452" s="31">
        <v>13.0</v>
      </c>
      <c r="F452" s="42">
        <v>105.0</v>
      </c>
      <c r="G452" s="29" t="str">
        <f t="shared" si="1"/>
        <v>13105</v>
      </c>
      <c r="H452" s="37" t="s">
        <v>414</v>
      </c>
      <c r="I452" s="37" t="s">
        <v>44</v>
      </c>
      <c r="J452" s="37" t="s">
        <v>393</v>
      </c>
      <c r="K452" s="37" t="str">
        <f t="shared" si="11"/>
        <v>Elbert, GA</v>
      </c>
      <c r="L452" s="37">
        <v>24.0</v>
      </c>
      <c r="M452" s="37" t="s">
        <v>63</v>
      </c>
      <c r="N452" s="37">
        <v>9.0</v>
      </c>
      <c r="O452" s="37">
        <v>6.0</v>
      </c>
      <c r="P452" s="37" t="s">
        <v>63</v>
      </c>
      <c r="Q452" s="37">
        <v>4.0</v>
      </c>
      <c r="R452" s="37">
        <v>4.0</v>
      </c>
      <c r="S452" s="37" t="s">
        <v>63</v>
      </c>
      <c r="T452" s="69" t="s">
        <v>63</v>
      </c>
      <c r="U452" s="37" t="s">
        <v>63</v>
      </c>
      <c r="V452" s="37" t="s">
        <v>63</v>
      </c>
      <c r="W452" s="37" t="s">
        <v>63</v>
      </c>
      <c r="X452" s="37" t="s">
        <v>63</v>
      </c>
      <c r="Y452" s="53">
        <v>43.0</v>
      </c>
      <c r="Z452" s="69" t="s">
        <v>63</v>
      </c>
      <c r="AA452" s="73"/>
      <c r="AB452" s="73"/>
      <c r="AC452" s="73"/>
      <c r="AD452" s="73"/>
      <c r="AE452" s="73"/>
      <c r="AF452" s="73"/>
      <c r="AG452" s="73"/>
      <c r="AH452" s="73"/>
      <c r="AI452" s="73"/>
      <c r="AJ452" s="73"/>
      <c r="AK452" s="73"/>
    </row>
    <row r="453">
      <c r="A453" s="28">
        <v>452.0</v>
      </c>
      <c r="B453" s="29"/>
      <c r="C453" s="29"/>
      <c r="D453" s="40">
        <v>1.0</v>
      </c>
      <c r="E453" s="31">
        <v>13.0</v>
      </c>
      <c r="F453" s="42">
        <v>107.0</v>
      </c>
      <c r="G453" s="29" t="str">
        <f t="shared" si="1"/>
        <v>13107</v>
      </c>
      <c r="H453" s="37" t="s">
        <v>571</v>
      </c>
      <c r="I453" s="37" t="s">
        <v>44</v>
      </c>
      <c r="J453" s="37" t="s">
        <v>393</v>
      </c>
      <c r="K453" s="37" t="str">
        <f t="shared" si="11"/>
        <v>Emanuel, GA</v>
      </c>
      <c r="L453" s="37">
        <v>18.0</v>
      </c>
      <c r="M453" s="37" t="s">
        <v>63</v>
      </c>
      <c r="N453" s="37">
        <v>7.0</v>
      </c>
      <c r="O453" s="37">
        <v>4.0</v>
      </c>
      <c r="P453" s="37" t="s">
        <v>63</v>
      </c>
      <c r="Q453" s="37">
        <v>5.0</v>
      </c>
      <c r="R453" s="37">
        <v>8.0</v>
      </c>
      <c r="S453" s="37" t="s">
        <v>63</v>
      </c>
      <c r="T453" s="69" t="s">
        <v>63</v>
      </c>
      <c r="U453" s="37" t="s">
        <v>63</v>
      </c>
      <c r="V453" s="37" t="s">
        <v>63</v>
      </c>
      <c r="W453" s="37" t="s">
        <v>63</v>
      </c>
      <c r="X453" s="37" t="s">
        <v>63</v>
      </c>
      <c r="Y453" s="53">
        <v>37.0</v>
      </c>
      <c r="Z453" s="69" t="s">
        <v>63</v>
      </c>
      <c r="AA453" s="73"/>
      <c r="AB453" s="73"/>
      <c r="AC453" s="73"/>
      <c r="AD453" s="73"/>
      <c r="AE453" s="73"/>
      <c r="AF453" s="73"/>
      <c r="AG453" s="73"/>
      <c r="AH453" s="73"/>
      <c r="AI453" s="73"/>
      <c r="AJ453" s="73"/>
      <c r="AK453" s="73"/>
    </row>
    <row r="454">
      <c r="A454" s="28">
        <v>453.0</v>
      </c>
      <c r="B454" s="29"/>
      <c r="C454" s="29"/>
      <c r="D454" s="40">
        <v>1.0</v>
      </c>
      <c r="E454" s="31">
        <v>13.0</v>
      </c>
      <c r="F454" s="42">
        <v>109.0</v>
      </c>
      <c r="G454" s="29" t="str">
        <f t="shared" si="1"/>
        <v>13109</v>
      </c>
      <c r="H454" s="37" t="s">
        <v>572</v>
      </c>
      <c r="I454" s="37" t="s">
        <v>44</v>
      </c>
      <c r="J454" s="37" t="s">
        <v>393</v>
      </c>
      <c r="K454" s="37" t="str">
        <f t="shared" si="11"/>
        <v>Evans, GA</v>
      </c>
      <c r="L454" s="37">
        <v>19.0</v>
      </c>
      <c r="M454" s="37" t="s">
        <v>63</v>
      </c>
      <c r="N454" s="37">
        <v>8.0</v>
      </c>
      <c r="O454" s="37">
        <v>6.0</v>
      </c>
      <c r="P454" s="37" t="s">
        <v>63</v>
      </c>
      <c r="Q454" s="37">
        <v>5.0</v>
      </c>
      <c r="R454" s="37">
        <v>0.0</v>
      </c>
      <c r="S454" s="37" t="s">
        <v>63</v>
      </c>
      <c r="T454" s="69" t="s">
        <v>63</v>
      </c>
      <c r="U454" s="37" t="s">
        <v>63</v>
      </c>
      <c r="V454" s="37" t="s">
        <v>63</v>
      </c>
      <c r="W454" s="37" t="s">
        <v>63</v>
      </c>
      <c r="X454" s="37" t="s">
        <v>63</v>
      </c>
      <c r="Y454" s="53">
        <v>21.0</v>
      </c>
      <c r="Z454" s="69" t="s">
        <v>63</v>
      </c>
      <c r="AA454" s="73"/>
      <c r="AB454" s="73"/>
      <c r="AC454" s="73"/>
      <c r="AD454" s="73"/>
      <c r="AE454" s="73"/>
      <c r="AF454" s="73"/>
      <c r="AG454" s="73"/>
      <c r="AH454" s="73"/>
      <c r="AI454" s="73"/>
      <c r="AJ454" s="73"/>
      <c r="AK454" s="73"/>
    </row>
    <row r="455">
      <c r="A455" s="28">
        <v>454.0</v>
      </c>
      <c r="B455" s="29"/>
      <c r="C455" s="29"/>
      <c r="D455" s="40">
        <v>1.0</v>
      </c>
      <c r="E455" s="31">
        <v>13.0</v>
      </c>
      <c r="F455" s="42">
        <v>111.0</v>
      </c>
      <c r="G455" s="29" t="str">
        <f t="shared" si="1"/>
        <v>13111</v>
      </c>
      <c r="H455" s="37" t="s">
        <v>574</v>
      </c>
      <c r="I455" s="37" t="s">
        <v>44</v>
      </c>
      <c r="J455" s="37" t="s">
        <v>393</v>
      </c>
      <c r="K455" s="37" t="str">
        <f t="shared" si="11"/>
        <v>Fannin, GA</v>
      </c>
      <c r="L455" s="37">
        <v>44.0</v>
      </c>
      <c r="M455" s="37" t="s">
        <v>63</v>
      </c>
      <c r="N455" s="37">
        <v>12.0</v>
      </c>
      <c r="O455" s="37">
        <v>16.0</v>
      </c>
      <c r="P455" s="37" t="s">
        <v>63</v>
      </c>
      <c r="Q455" s="37">
        <v>13.0</v>
      </c>
      <c r="R455" s="37">
        <v>10.0</v>
      </c>
      <c r="S455" s="37" t="s">
        <v>63</v>
      </c>
      <c r="T455" s="69" t="s">
        <v>63</v>
      </c>
      <c r="U455" s="37" t="s">
        <v>63</v>
      </c>
      <c r="V455" s="37" t="s">
        <v>63</v>
      </c>
      <c r="W455" s="37" t="s">
        <v>63</v>
      </c>
      <c r="X455" s="37" t="s">
        <v>63</v>
      </c>
      <c r="Y455" s="53">
        <v>38.0</v>
      </c>
      <c r="Z455" s="69" t="s">
        <v>63</v>
      </c>
      <c r="AA455" s="73"/>
      <c r="AB455" s="73"/>
      <c r="AC455" s="73"/>
      <c r="AD455" s="73"/>
      <c r="AE455" s="73"/>
      <c r="AF455" s="73"/>
      <c r="AG455" s="73"/>
      <c r="AH455" s="73"/>
      <c r="AI455" s="73"/>
      <c r="AJ455" s="73"/>
      <c r="AK455" s="73"/>
    </row>
    <row r="456">
      <c r="A456" s="28">
        <v>455.0</v>
      </c>
      <c r="B456" s="29"/>
      <c r="C456" s="29"/>
      <c r="D456" s="40">
        <v>1.0</v>
      </c>
      <c r="E456" s="31">
        <v>13.0</v>
      </c>
      <c r="F456" s="42">
        <v>113.0</v>
      </c>
      <c r="G456" s="29" t="str">
        <f t="shared" si="1"/>
        <v>13113</v>
      </c>
      <c r="H456" s="37" t="s">
        <v>135</v>
      </c>
      <c r="I456" s="37" t="s">
        <v>44</v>
      </c>
      <c r="J456" s="37" t="s">
        <v>393</v>
      </c>
      <c r="K456" s="37" t="str">
        <f t="shared" si="11"/>
        <v>Fayette, GA</v>
      </c>
      <c r="L456" s="37">
        <v>20.0</v>
      </c>
      <c r="M456" s="37" t="s">
        <v>63</v>
      </c>
      <c r="N456" s="37">
        <v>8.0</v>
      </c>
      <c r="O456" s="37">
        <v>5.0</v>
      </c>
      <c r="P456" s="37" t="s">
        <v>63</v>
      </c>
      <c r="Q456" s="37">
        <v>63.0</v>
      </c>
      <c r="R456" s="37">
        <v>0.0</v>
      </c>
      <c r="S456" s="37" t="s">
        <v>63</v>
      </c>
      <c r="T456" s="69" t="s">
        <v>63</v>
      </c>
      <c r="U456" s="37" t="s">
        <v>63</v>
      </c>
      <c r="V456" s="37" t="s">
        <v>63</v>
      </c>
      <c r="W456" s="37" t="s">
        <v>63</v>
      </c>
      <c r="X456" s="37" t="s">
        <v>63</v>
      </c>
      <c r="Y456" s="53">
        <v>99.0</v>
      </c>
      <c r="Z456" s="69" t="s">
        <v>63</v>
      </c>
      <c r="AA456" s="73"/>
      <c r="AB456" s="73"/>
      <c r="AC456" s="73"/>
      <c r="AD456" s="73"/>
      <c r="AE456" s="73"/>
      <c r="AF456" s="73"/>
      <c r="AG456" s="73"/>
      <c r="AH456" s="73"/>
      <c r="AI456" s="73"/>
      <c r="AJ456" s="73"/>
      <c r="AK456" s="73"/>
    </row>
    <row r="457">
      <c r="A457" s="28">
        <v>456.0</v>
      </c>
      <c r="B457" s="29"/>
      <c r="C457" s="29"/>
      <c r="D457" s="40">
        <v>1.0</v>
      </c>
      <c r="E457" s="31">
        <v>13.0</v>
      </c>
      <c r="F457" s="42">
        <v>115.0</v>
      </c>
      <c r="G457" s="29" t="str">
        <f t="shared" si="1"/>
        <v>13115</v>
      </c>
      <c r="H457" s="37" t="s">
        <v>575</v>
      </c>
      <c r="I457" s="37" t="s">
        <v>44</v>
      </c>
      <c r="J457" s="37" t="s">
        <v>393</v>
      </c>
      <c r="K457" s="37" t="str">
        <f t="shared" si="11"/>
        <v>Floyd, GA</v>
      </c>
      <c r="L457" s="37">
        <v>134.0</v>
      </c>
      <c r="M457" s="37" t="s">
        <v>63</v>
      </c>
      <c r="N457" s="37">
        <v>71.0</v>
      </c>
      <c r="O457" s="37">
        <v>8.0</v>
      </c>
      <c r="P457" s="37" t="s">
        <v>63</v>
      </c>
      <c r="Q457" s="37">
        <v>30.0</v>
      </c>
      <c r="R457" s="37">
        <v>29.0</v>
      </c>
      <c r="S457" s="37" t="s">
        <v>63</v>
      </c>
      <c r="T457" s="69" t="s">
        <v>63</v>
      </c>
      <c r="U457" s="37" t="s">
        <v>63</v>
      </c>
      <c r="V457" s="37" t="s">
        <v>63</v>
      </c>
      <c r="W457" s="37" t="s">
        <v>63</v>
      </c>
      <c r="X457" s="37" t="s">
        <v>63</v>
      </c>
      <c r="Y457" s="53">
        <v>98.0</v>
      </c>
      <c r="Z457" s="69" t="s">
        <v>63</v>
      </c>
      <c r="AA457" s="73"/>
      <c r="AB457" s="73"/>
      <c r="AC457" s="73"/>
      <c r="AD457" s="73"/>
      <c r="AE457" s="73"/>
      <c r="AF457" s="73"/>
      <c r="AG457" s="73"/>
      <c r="AH457" s="73"/>
      <c r="AI457" s="73"/>
      <c r="AJ457" s="73"/>
      <c r="AK457" s="73"/>
    </row>
    <row r="458">
      <c r="A458" s="28">
        <v>457.0</v>
      </c>
      <c r="B458" s="29"/>
      <c r="C458" s="29"/>
      <c r="D458" s="40">
        <v>1.0</v>
      </c>
      <c r="E458" s="31">
        <v>13.0</v>
      </c>
      <c r="F458" s="42">
        <v>117.0</v>
      </c>
      <c r="G458" s="29" t="str">
        <f t="shared" si="1"/>
        <v>13117</v>
      </c>
      <c r="H458" s="37" t="s">
        <v>576</v>
      </c>
      <c r="I458" s="37" t="s">
        <v>44</v>
      </c>
      <c r="J458" s="37" t="s">
        <v>393</v>
      </c>
      <c r="K458" s="37" t="str">
        <f t="shared" si="11"/>
        <v>Forsyth, GA</v>
      </c>
      <c r="L458" s="37">
        <v>101.0</v>
      </c>
      <c r="M458" s="37" t="s">
        <v>63</v>
      </c>
      <c r="N458" s="37">
        <v>56.0</v>
      </c>
      <c r="O458" s="37">
        <v>20.0</v>
      </c>
      <c r="P458" s="37" t="s">
        <v>63</v>
      </c>
      <c r="Q458" s="37">
        <v>93.0</v>
      </c>
      <c r="R458" s="37">
        <v>23.0</v>
      </c>
      <c r="S458" s="37" t="s">
        <v>63</v>
      </c>
      <c r="T458" s="69" t="s">
        <v>63</v>
      </c>
      <c r="U458" s="37" t="s">
        <v>63</v>
      </c>
      <c r="V458" s="37" t="s">
        <v>63</v>
      </c>
      <c r="W458" s="37" t="s">
        <v>63</v>
      </c>
      <c r="X458" s="37" t="s">
        <v>63</v>
      </c>
      <c r="Y458" s="53">
        <v>84.0</v>
      </c>
      <c r="Z458" s="69" t="s">
        <v>63</v>
      </c>
      <c r="AA458" s="73"/>
      <c r="AB458" s="73"/>
      <c r="AC458" s="73"/>
      <c r="AD458" s="73"/>
      <c r="AE458" s="73"/>
      <c r="AF458" s="73"/>
      <c r="AG458" s="73"/>
      <c r="AH458" s="73"/>
      <c r="AI458" s="73"/>
      <c r="AJ458" s="73"/>
      <c r="AK458" s="73"/>
    </row>
    <row r="459">
      <c r="A459" s="28">
        <v>458.0</v>
      </c>
      <c r="B459" s="29"/>
      <c r="C459" s="29"/>
      <c r="D459" s="40">
        <v>1.0</v>
      </c>
      <c r="E459" s="31">
        <v>13.0</v>
      </c>
      <c r="F459" s="42">
        <v>119.0</v>
      </c>
      <c r="G459" s="29" t="str">
        <f t="shared" si="1"/>
        <v>13119</v>
      </c>
      <c r="H459" s="37" t="s">
        <v>136</v>
      </c>
      <c r="I459" s="37" t="s">
        <v>44</v>
      </c>
      <c r="J459" s="37" t="s">
        <v>393</v>
      </c>
      <c r="K459" s="37" t="str">
        <f t="shared" si="11"/>
        <v>Franklin, GA</v>
      </c>
      <c r="L459" s="37">
        <v>38.0</v>
      </c>
      <c r="M459" s="37" t="s">
        <v>63</v>
      </c>
      <c r="N459" s="37">
        <v>22.0</v>
      </c>
      <c r="O459" s="37">
        <v>5.0</v>
      </c>
      <c r="P459" s="37" t="s">
        <v>63</v>
      </c>
      <c r="Q459" s="37">
        <v>15.0</v>
      </c>
      <c r="R459" s="37">
        <v>7.0</v>
      </c>
      <c r="S459" s="37" t="s">
        <v>63</v>
      </c>
      <c r="T459" s="69" t="s">
        <v>63</v>
      </c>
      <c r="U459" s="37" t="s">
        <v>63</v>
      </c>
      <c r="V459" s="37" t="s">
        <v>63</v>
      </c>
      <c r="W459" s="37" t="s">
        <v>63</v>
      </c>
      <c r="X459" s="37" t="s">
        <v>63</v>
      </c>
      <c r="Y459" s="53">
        <v>42.0</v>
      </c>
      <c r="Z459" s="69" t="s">
        <v>63</v>
      </c>
      <c r="AA459" s="73"/>
      <c r="AB459" s="73"/>
      <c r="AC459" s="73"/>
      <c r="AD459" s="73"/>
      <c r="AE459" s="73"/>
      <c r="AF459" s="73"/>
      <c r="AG459" s="73"/>
      <c r="AH459" s="73"/>
      <c r="AI459" s="73"/>
      <c r="AJ459" s="73"/>
      <c r="AK459" s="73"/>
    </row>
    <row r="460">
      <c r="A460" s="28">
        <v>459.0</v>
      </c>
      <c r="B460" s="29"/>
      <c r="C460" s="29"/>
      <c r="D460" s="40">
        <v>1.0</v>
      </c>
      <c r="E460" s="31">
        <v>13.0</v>
      </c>
      <c r="F460" s="42">
        <v>121.0</v>
      </c>
      <c r="G460" s="29" t="str">
        <f t="shared" si="1"/>
        <v>13121</v>
      </c>
      <c r="H460" s="37" t="s">
        <v>275</v>
      </c>
      <c r="I460" s="37" t="s">
        <v>44</v>
      </c>
      <c r="J460" s="37" t="s">
        <v>393</v>
      </c>
      <c r="K460" s="37" t="str">
        <f t="shared" si="11"/>
        <v>Fulton, GA</v>
      </c>
      <c r="L460" s="37">
        <v>494.0</v>
      </c>
      <c r="M460" s="37" t="s">
        <v>63</v>
      </c>
      <c r="N460" s="37">
        <v>219.0</v>
      </c>
      <c r="O460" s="37">
        <v>136.0</v>
      </c>
      <c r="P460" s="37" t="s">
        <v>63</v>
      </c>
      <c r="Q460" s="37">
        <v>284.0</v>
      </c>
      <c r="R460" s="37">
        <v>45.0</v>
      </c>
      <c r="S460" s="37" t="s">
        <v>63</v>
      </c>
      <c r="T460" s="69" t="s">
        <v>63</v>
      </c>
      <c r="U460" s="37" t="s">
        <v>63</v>
      </c>
      <c r="V460" s="37" t="s">
        <v>63</v>
      </c>
      <c r="W460" s="37" t="s">
        <v>63</v>
      </c>
      <c r="X460" s="37" t="s">
        <v>63</v>
      </c>
      <c r="Y460" s="53">
        <v>556.0</v>
      </c>
      <c r="Z460" s="69" t="s">
        <v>63</v>
      </c>
      <c r="AA460" s="73"/>
      <c r="AB460" s="73"/>
      <c r="AC460" s="73"/>
      <c r="AD460" s="73"/>
      <c r="AE460" s="73"/>
      <c r="AF460" s="73"/>
      <c r="AG460" s="73"/>
      <c r="AH460" s="73"/>
      <c r="AI460" s="73"/>
      <c r="AJ460" s="73"/>
      <c r="AK460" s="73"/>
    </row>
    <row r="461">
      <c r="A461" s="28">
        <v>460.0</v>
      </c>
      <c r="B461" s="29"/>
      <c r="C461" s="29"/>
      <c r="D461" s="40">
        <v>1.0</v>
      </c>
      <c r="E461" s="31">
        <v>13.0</v>
      </c>
      <c r="F461" s="42">
        <v>123.0</v>
      </c>
      <c r="G461" s="29" t="str">
        <f t="shared" si="1"/>
        <v>13123</v>
      </c>
      <c r="H461" s="37" t="s">
        <v>579</v>
      </c>
      <c r="I461" s="37" t="s">
        <v>44</v>
      </c>
      <c r="J461" s="37" t="s">
        <v>393</v>
      </c>
      <c r="K461" s="37" t="str">
        <f t="shared" si="11"/>
        <v>Gilmer, GA</v>
      </c>
      <c r="L461" s="37">
        <v>54.0</v>
      </c>
      <c r="M461" s="37" t="s">
        <v>63</v>
      </c>
      <c r="N461" s="37">
        <v>27.0</v>
      </c>
      <c r="O461" s="37">
        <v>17.0</v>
      </c>
      <c r="P461" s="37" t="s">
        <v>63</v>
      </c>
      <c r="Q461" s="37">
        <v>17.0</v>
      </c>
      <c r="R461" s="37">
        <v>2.0</v>
      </c>
      <c r="S461" s="37" t="s">
        <v>63</v>
      </c>
      <c r="T461" s="69" t="s">
        <v>63</v>
      </c>
      <c r="U461" s="37" t="s">
        <v>63</v>
      </c>
      <c r="V461" s="37" t="s">
        <v>63</v>
      </c>
      <c r="W461" s="37" t="s">
        <v>63</v>
      </c>
      <c r="X461" s="37" t="s">
        <v>63</v>
      </c>
      <c r="Y461" s="53">
        <v>37.0</v>
      </c>
      <c r="Z461" s="69" t="s">
        <v>63</v>
      </c>
      <c r="AA461" s="73"/>
      <c r="AB461" s="73"/>
      <c r="AC461" s="73"/>
      <c r="AD461" s="73"/>
      <c r="AE461" s="73"/>
      <c r="AF461" s="73"/>
      <c r="AG461" s="73"/>
      <c r="AH461" s="73"/>
      <c r="AI461" s="73"/>
      <c r="AJ461" s="73"/>
      <c r="AK461" s="73"/>
    </row>
    <row r="462">
      <c r="A462" s="28">
        <v>461.0</v>
      </c>
      <c r="B462" s="29"/>
      <c r="C462" s="29"/>
      <c r="D462" s="40">
        <v>1.0</v>
      </c>
      <c r="E462" s="31">
        <v>13.0</v>
      </c>
      <c r="F462" s="42">
        <v>125.0</v>
      </c>
      <c r="G462" s="29" t="str">
        <f t="shared" si="1"/>
        <v>13125</v>
      </c>
      <c r="H462" s="37" t="s">
        <v>581</v>
      </c>
      <c r="I462" s="37" t="s">
        <v>44</v>
      </c>
      <c r="J462" s="37" t="s">
        <v>393</v>
      </c>
      <c r="K462" s="37" t="str">
        <f t="shared" si="11"/>
        <v>Glascock, GA</v>
      </c>
      <c r="L462" s="37">
        <v>5.0</v>
      </c>
      <c r="M462" s="37" t="s">
        <v>63</v>
      </c>
      <c r="N462" s="37">
        <v>1.0</v>
      </c>
      <c r="O462" s="37">
        <v>3.0</v>
      </c>
      <c r="P462" s="37" t="s">
        <v>63</v>
      </c>
      <c r="Q462" s="37">
        <v>2.0</v>
      </c>
      <c r="R462" s="37">
        <v>0.0</v>
      </c>
      <c r="S462" s="37" t="s">
        <v>63</v>
      </c>
      <c r="T462" s="69" t="s">
        <v>63</v>
      </c>
      <c r="U462" s="37" t="s">
        <v>63</v>
      </c>
      <c r="V462" s="37" t="s">
        <v>63</v>
      </c>
      <c r="W462" s="37" t="s">
        <v>63</v>
      </c>
      <c r="X462" s="37" t="s">
        <v>63</v>
      </c>
      <c r="Y462" s="53">
        <v>7.0</v>
      </c>
      <c r="Z462" s="69" t="s">
        <v>63</v>
      </c>
      <c r="AA462" s="73"/>
      <c r="AB462" s="73"/>
      <c r="AC462" s="73"/>
      <c r="AD462" s="73"/>
      <c r="AE462" s="73"/>
      <c r="AF462" s="73"/>
      <c r="AG462" s="73"/>
      <c r="AH462" s="73"/>
      <c r="AI462" s="73"/>
      <c r="AJ462" s="73"/>
      <c r="AK462" s="73"/>
    </row>
    <row r="463">
      <c r="A463" s="28">
        <v>462.0</v>
      </c>
      <c r="B463" s="29"/>
      <c r="C463" s="29"/>
      <c r="D463" s="40">
        <v>1.0</v>
      </c>
      <c r="E463" s="31">
        <v>13.0</v>
      </c>
      <c r="F463" s="42">
        <v>127.0</v>
      </c>
      <c r="G463" s="29" t="str">
        <f t="shared" si="1"/>
        <v>13127</v>
      </c>
      <c r="H463" s="37" t="s">
        <v>582</v>
      </c>
      <c r="I463" s="37" t="s">
        <v>44</v>
      </c>
      <c r="J463" s="37" t="s">
        <v>393</v>
      </c>
      <c r="K463" s="37" t="str">
        <f t="shared" si="11"/>
        <v>Glynn, GA</v>
      </c>
      <c r="L463" s="37">
        <v>86.0</v>
      </c>
      <c r="M463" s="37" t="s">
        <v>63</v>
      </c>
      <c r="N463" s="37">
        <v>49.0</v>
      </c>
      <c r="O463" s="37">
        <v>16.0</v>
      </c>
      <c r="P463" s="37" t="s">
        <v>63</v>
      </c>
      <c r="Q463" s="37">
        <v>52.0</v>
      </c>
      <c r="R463" s="37">
        <v>23.0</v>
      </c>
      <c r="S463" s="37" t="s">
        <v>63</v>
      </c>
      <c r="T463" s="69" t="s">
        <v>63</v>
      </c>
      <c r="U463" s="37" t="s">
        <v>63</v>
      </c>
      <c r="V463" s="37" t="s">
        <v>63</v>
      </c>
      <c r="W463" s="37" t="s">
        <v>63</v>
      </c>
      <c r="X463" s="37" t="s">
        <v>63</v>
      </c>
      <c r="Y463" s="53">
        <v>104.0</v>
      </c>
      <c r="Z463" s="69" t="s">
        <v>63</v>
      </c>
      <c r="AA463" s="73"/>
      <c r="AB463" s="73"/>
      <c r="AC463" s="73"/>
      <c r="AD463" s="73"/>
      <c r="AE463" s="73"/>
      <c r="AF463" s="73"/>
      <c r="AG463" s="73"/>
      <c r="AH463" s="73"/>
      <c r="AI463" s="73"/>
      <c r="AJ463" s="73"/>
      <c r="AK463" s="73"/>
    </row>
    <row r="464">
      <c r="A464" s="28">
        <v>463.0</v>
      </c>
      <c r="B464" s="29"/>
      <c r="C464" s="29"/>
      <c r="D464" s="40">
        <v>1.0</v>
      </c>
      <c r="E464" s="31">
        <v>13.0</v>
      </c>
      <c r="F464" s="42">
        <v>129.0</v>
      </c>
      <c r="G464" s="29" t="str">
        <f t="shared" si="1"/>
        <v>13129</v>
      </c>
      <c r="H464" s="37" t="s">
        <v>583</v>
      </c>
      <c r="I464" s="37" t="s">
        <v>44</v>
      </c>
      <c r="J464" s="37" t="s">
        <v>393</v>
      </c>
      <c r="K464" s="37" t="str">
        <f t="shared" si="11"/>
        <v>Gordon, GA</v>
      </c>
      <c r="L464" s="37">
        <v>117.0</v>
      </c>
      <c r="M464" s="37" t="s">
        <v>63</v>
      </c>
      <c r="N464" s="37">
        <v>59.0</v>
      </c>
      <c r="O464" s="37">
        <v>33.0</v>
      </c>
      <c r="P464" s="37" t="s">
        <v>63</v>
      </c>
      <c r="Q464" s="37">
        <v>50.0</v>
      </c>
      <c r="R464" s="37">
        <v>19.0</v>
      </c>
      <c r="S464" s="37" t="s">
        <v>63</v>
      </c>
      <c r="T464" s="69" t="s">
        <v>63</v>
      </c>
      <c r="U464" s="37" t="s">
        <v>63</v>
      </c>
      <c r="V464" s="37" t="s">
        <v>63</v>
      </c>
      <c r="W464" s="37" t="s">
        <v>63</v>
      </c>
      <c r="X464" s="37" t="s">
        <v>63</v>
      </c>
      <c r="Y464" s="53">
        <v>54.0</v>
      </c>
      <c r="Z464" s="69" t="s">
        <v>63</v>
      </c>
      <c r="AA464" s="73"/>
      <c r="AB464" s="73"/>
      <c r="AC464" s="73"/>
      <c r="AD464" s="73"/>
      <c r="AE464" s="73"/>
      <c r="AF464" s="73"/>
      <c r="AG464" s="73"/>
      <c r="AH464" s="73"/>
      <c r="AI464" s="73"/>
      <c r="AJ464" s="73"/>
      <c r="AK464" s="73"/>
    </row>
    <row r="465">
      <c r="A465" s="28">
        <v>464.0</v>
      </c>
      <c r="B465" s="29"/>
      <c r="C465" s="29"/>
      <c r="D465" s="40">
        <v>1.0</v>
      </c>
      <c r="E465" s="31">
        <v>13.0</v>
      </c>
      <c r="F465" s="42">
        <v>131.0</v>
      </c>
      <c r="G465" s="29" t="str">
        <f t="shared" si="1"/>
        <v>13131</v>
      </c>
      <c r="H465" s="37" t="s">
        <v>584</v>
      </c>
      <c r="I465" s="37" t="s">
        <v>44</v>
      </c>
      <c r="J465" s="37" t="s">
        <v>393</v>
      </c>
      <c r="K465" s="37" t="str">
        <f t="shared" si="11"/>
        <v>Grady, GA</v>
      </c>
      <c r="L465" s="37">
        <v>20.0</v>
      </c>
      <c r="M465" s="37" t="s">
        <v>63</v>
      </c>
      <c r="N465" s="37">
        <v>6.0</v>
      </c>
      <c r="O465" s="37">
        <v>0.0</v>
      </c>
      <c r="P465" s="37" t="s">
        <v>63</v>
      </c>
      <c r="Q465" s="37">
        <v>15.0</v>
      </c>
      <c r="R465" s="37">
        <v>12.0</v>
      </c>
      <c r="S465" s="37" t="s">
        <v>63</v>
      </c>
      <c r="T465" s="69" t="s">
        <v>63</v>
      </c>
      <c r="U465" s="37" t="s">
        <v>63</v>
      </c>
      <c r="V465" s="37" t="s">
        <v>63</v>
      </c>
      <c r="W465" s="37" t="s">
        <v>63</v>
      </c>
      <c r="X465" s="37" t="s">
        <v>63</v>
      </c>
      <c r="Y465" s="53">
        <v>49.0</v>
      </c>
      <c r="Z465" s="69" t="s">
        <v>63</v>
      </c>
      <c r="AA465" s="73"/>
      <c r="AB465" s="73"/>
      <c r="AC465" s="73"/>
      <c r="AD465" s="73"/>
      <c r="AE465" s="73"/>
      <c r="AF465" s="73"/>
      <c r="AG465" s="73"/>
      <c r="AH465" s="73"/>
      <c r="AI465" s="73"/>
      <c r="AJ465" s="73"/>
      <c r="AK465" s="73"/>
    </row>
    <row r="466">
      <c r="A466" s="28">
        <v>465.0</v>
      </c>
      <c r="B466" s="29"/>
      <c r="C466" s="29"/>
      <c r="D466" s="40">
        <v>1.0</v>
      </c>
      <c r="E466" s="31">
        <v>13.0</v>
      </c>
      <c r="F466" s="42">
        <v>133.0</v>
      </c>
      <c r="G466" s="29" t="str">
        <f t="shared" si="1"/>
        <v>13133</v>
      </c>
      <c r="H466" s="37" t="s">
        <v>138</v>
      </c>
      <c r="I466" s="37" t="s">
        <v>44</v>
      </c>
      <c r="J466" s="37" t="s">
        <v>393</v>
      </c>
      <c r="K466" s="37" t="str">
        <f t="shared" si="11"/>
        <v>Greene, GA</v>
      </c>
      <c r="L466" s="37">
        <v>49.0</v>
      </c>
      <c r="M466" s="37" t="s">
        <v>63</v>
      </c>
      <c r="N466" s="37">
        <v>33.0</v>
      </c>
      <c r="O466" s="37">
        <v>2.0</v>
      </c>
      <c r="P466" s="37" t="s">
        <v>63</v>
      </c>
      <c r="Q466" s="37">
        <v>7.0</v>
      </c>
      <c r="R466" s="37">
        <v>7.0</v>
      </c>
      <c r="S466" s="37" t="s">
        <v>63</v>
      </c>
      <c r="T466" s="69" t="s">
        <v>63</v>
      </c>
      <c r="U466" s="37" t="s">
        <v>63</v>
      </c>
      <c r="V466" s="37" t="s">
        <v>63</v>
      </c>
      <c r="W466" s="37" t="s">
        <v>63</v>
      </c>
      <c r="X466" s="37" t="s">
        <v>63</v>
      </c>
      <c r="Y466" s="53">
        <v>32.0</v>
      </c>
      <c r="Z466" s="69" t="s">
        <v>63</v>
      </c>
      <c r="AA466" s="73"/>
      <c r="AB466" s="73"/>
      <c r="AC466" s="73"/>
      <c r="AD466" s="73"/>
      <c r="AE466" s="73"/>
      <c r="AF466" s="73"/>
      <c r="AG466" s="73"/>
      <c r="AH466" s="73"/>
      <c r="AI466" s="73"/>
      <c r="AJ466" s="73"/>
      <c r="AK466" s="73"/>
    </row>
    <row r="467">
      <c r="A467" s="28">
        <v>466.0</v>
      </c>
      <c r="B467" s="29"/>
      <c r="C467" s="29"/>
      <c r="D467" s="40">
        <v>1.0</v>
      </c>
      <c r="E467" s="31">
        <v>13.0</v>
      </c>
      <c r="F467" s="42">
        <v>135.0</v>
      </c>
      <c r="G467" s="29" t="str">
        <f t="shared" si="1"/>
        <v>13135</v>
      </c>
      <c r="H467" s="37" t="s">
        <v>460</v>
      </c>
      <c r="I467" s="37" t="s">
        <v>44</v>
      </c>
      <c r="J467" s="37" t="s">
        <v>393</v>
      </c>
      <c r="K467" s="37" t="str">
        <f t="shared" si="11"/>
        <v>Gwinnett, GA</v>
      </c>
      <c r="L467" s="37">
        <v>425.0</v>
      </c>
      <c r="M467" s="37" t="s">
        <v>63</v>
      </c>
      <c r="N467" s="37">
        <v>259.0</v>
      </c>
      <c r="O467" s="37">
        <v>77.0</v>
      </c>
      <c r="P467" s="37" t="s">
        <v>63</v>
      </c>
      <c r="Q467" s="37">
        <v>372.0</v>
      </c>
      <c r="R467" s="37">
        <v>44.0</v>
      </c>
      <c r="S467" s="37" t="s">
        <v>63</v>
      </c>
      <c r="T467" s="69" t="s">
        <v>63</v>
      </c>
      <c r="U467" s="37" t="s">
        <v>63</v>
      </c>
      <c r="V467" s="37" t="s">
        <v>63</v>
      </c>
      <c r="W467" s="37" t="s">
        <v>63</v>
      </c>
      <c r="X467" s="37" t="s">
        <v>63</v>
      </c>
      <c r="Y467" s="53">
        <v>341.0</v>
      </c>
      <c r="Z467" s="69" t="s">
        <v>63</v>
      </c>
      <c r="AA467" s="73"/>
      <c r="AB467" s="73"/>
      <c r="AC467" s="73"/>
      <c r="AD467" s="73"/>
      <c r="AE467" s="73"/>
      <c r="AF467" s="73"/>
      <c r="AG467" s="73"/>
      <c r="AH467" s="73"/>
      <c r="AI467" s="73"/>
      <c r="AJ467" s="73"/>
      <c r="AK467" s="73"/>
    </row>
    <row r="468">
      <c r="A468" s="28">
        <v>467.0</v>
      </c>
      <c r="B468" s="29"/>
      <c r="C468" s="29"/>
      <c r="D468" s="40">
        <v>1.0</v>
      </c>
      <c r="E468" s="31">
        <v>13.0</v>
      </c>
      <c r="F468" s="42">
        <v>137.0</v>
      </c>
      <c r="G468" s="29" t="str">
        <f t="shared" si="1"/>
        <v>13137</v>
      </c>
      <c r="H468" s="37" t="s">
        <v>585</v>
      </c>
      <c r="I468" s="37" t="s">
        <v>44</v>
      </c>
      <c r="J468" s="37" t="s">
        <v>393</v>
      </c>
      <c r="K468" s="37" t="str">
        <f t="shared" si="11"/>
        <v>Habersham, GA</v>
      </c>
      <c r="L468" s="37">
        <v>78.0</v>
      </c>
      <c r="M468" s="37" t="s">
        <v>63</v>
      </c>
      <c r="N468" s="37">
        <v>48.0</v>
      </c>
      <c r="O468" s="37">
        <v>14.0</v>
      </c>
      <c r="P468" s="37" t="s">
        <v>63</v>
      </c>
      <c r="Q468" s="37">
        <v>26.0</v>
      </c>
      <c r="R468" s="37">
        <v>24.0</v>
      </c>
      <c r="S468" s="37" t="s">
        <v>63</v>
      </c>
      <c r="T468" s="69" t="s">
        <v>63</v>
      </c>
      <c r="U468" s="37" t="s">
        <v>63</v>
      </c>
      <c r="V468" s="37" t="s">
        <v>63</v>
      </c>
      <c r="W468" s="37" t="s">
        <v>63</v>
      </c>
      <c r="X468" s="37" t="s">
        <v>63</v>
      </c>
      <c r="Y468" s="53">
        <v>64.0</v>
      </c>
      <c r="Z468" s="69" t="s">
        <v>63</v>
      </c>
      <c r="AA468" s="73"/>
      <c r="AB468" s="73"/>
      <c r="AC468" s="73"/>
      <c r="AD468" s="73"/>
      <c r="AE468" s="73"/>
      <c r="AF468" s="73"/>
      <c r="AG468" s="73"/>
      <c r="AH468" s="73"/>
      <c r="AI468" s="73"/>
      <c r="AJ468" s="73"/>
      <c r="AK468" s="73"/>
    </row>
    <row r="469">
      <c r="A469" s="28">
        <v>468.0</v>
      </c>
      <c r="B469" s="29"/>
      <c r="C469" s="29"/>
      <c r="D469" s="40">
        <v>1.0</v>
      </c>
      <c r="E469" s="31">
        <v>13.0</v>
      </c>
      <c r="F469" s="42">
        <v>139.0</v>
      </c>
      <c r="G469" s="29" t="str">
        <f t="shared" si="1"/>
        <v>13139</v>
      </c>
      <c r="H469" s="37" t="s">
        <v>586</v>
      </c>
      <c r="I469" s="37" t="s">
        <v>44</v>
      </c>
      <c r="J469" s="37" t="s">
        <v>393</v>
      </c>
      <c r="K469" s="37" t="str">
        <f t="shared" si="11"/>
        <v>Hall, GA</v>
      </c>
      <c r="L469" s="37">
        <v>311.0</v>
      </c>
      <c r="M469" s="37" t="s">
        <v>63</v>
      </c>
      <c r="N469" s="37">
        <v>178.0</v>
      </c>
      <c r="O469" s="37">
        <v>57.0</v>
      </c>
      <c r="P469" s="37" t="s">
        <v>63</v>
      </c>
      <c r="Q469" s="37">
        <v>91.0</v>
      </c>
      <c r="R469" s="37">
        <v>84.0</v>
      </c>
      <c r="S469" s="37" t="s">
        <v>63</v>
      </c>
      <c r="T469" s="69" t="s">
        <v>63</v>
      </c>
      <c r="U469" s="37" t="s">
        <v>63</v>
      </c>
      <c r="V469" s="37" t="s">
        <v>63</v>
      </c>
      <c r="W469" s="37" t="s">
        <v>63</v>
      </c>
      <c r="X469" s="37" t="s">
        <v>63</v>
      </c>
      <c r="Y469" s="53">
        <v>128.0</v>
      </c>
      <c r="Z469" s="69" t="s">
        <v>63</v>
      </c>
      <c r="AA469" s="73"/>
      <c r="AB469" s="73"/>
      <c r="AC469" s="73"/>
      <c r="AD469" s="73"/>
      <c r="AE469" s="73"/>
      <c r="AF469" s="73"/>
      <c r="AG469" s="73"/>
      <c r="AH469" s="73"/>
      <c r="AI469" s="73"/>
      <c r="AJ469" s="73"/>
      <c r="AK469" s="73"/>
    </row>
    <row r="470">
      <c r="A470" s="28">
        <v>469.0</v>
      </c>
      <c r="B470" s="29"/>
      <c r="C470" s="29"/>
      <c r="D470" s="40">
        <v>1.0</v>
      </c>
      <c r="E470" s="31">
        <v>13.0</v>
      </c>
      <c r="F470" s="42">
        <v>141.0</v>
      </c>
      <c r="G470" s="29" t="str">
        <f t="shared" si="1"/>
        <v>13141</v>
      </c>
      <c r="H470" s="37" t="s">
        <v>587</v>
      </c>
      <c r="I470" s="37" t="s">
        <v>44</v>
      </c>
      <c r="J470" s="37" t="s">
        <v>393</v>
      </c>
      <c r="K470" s="37" t="str">
        <f t="shared" si="11"/>
        <v>Hancock, GA</v>
      </c>
      <c r="L470" s="37">
        <v>25.0</v>
      </c>
      <c r="M470" s="37" t="s">
        <v>63</v>
      </c>
      <c r="N470" s="37">
        <v>20.0</v>
      </c>
      <c r="O470" s="37">
        <v>3.0</v>
      </c>
      <c r="P470" s="37" t="s">
        <v>63</v>
      </c>
      <c r="Q470" s="37">
        <v>2.0</v>
      </c>
      <c r="R470" s="37">
        <v>1.0</v>
      </c>
      <c r="S470" s="37" t="s">
        <v>63</v>
      </c>
      <c r="T470" s="69" t="s">
        <v>63</v>
      </c>
      <c r="U470" s="37" t="s">
        <v>63</v>
      </c>
      <c r="V470" s="37" t="s">
        <v>63</v>
      </c>
      <c r="W470" s="37" t="s">
        <v>63</v>
      </c>
      <c r="X470" s="37" t="s">
        <v>63</v>
      </c>
      <c r="Y470" s="53">
        <v>18.0</v>
      </c>
      <c r="Z470" s="69" t="s">
        <v>63</v>
      </c>
      <c r="AA470" s="73"/>
      <c r="AB470" s="73"/>
      <c r="AC470" s="73"/>
      <c r="AD470" s="73"/>
      <c r="AE470" s="73"/>
      <c r="AF470" s="73"/>
      <c r="AG470" s="73"/>
      <c r="AH470" s="73"/>
      <c r="AI470" s="73"/>
      <c r="AJ470" s="73"/>
      <c r="AK470" s="73"/>
    </row>
    <row r="471">
      <c r="A471" s="28">
        <v>470.0</v>
      </c>
      <c r="B471" s="29"/>
      <c r="C471" s="29"/>
      <c r="D471" s="40">
        <v>1.0</v>
      </c>
      <c r="E471" s="31">
        <v>13.0</v>
      </c>
      <c r="F471" s="42">
        <v>143.0</v>
      </c>
      <c r="G471" s="29" t="str">
        <f t="shared" si="1"/>
        <v>13143</v>
      </c>
      <c r="H471" s="37" t="s">
        <v>588</v>
      </c>
      <c r="I471" s="37" t="s">
        <v>44</v>
      </c>
      <c r="J471" s="37" t="s">
        <v>393</v>
      </c>
      <c r="K471" s="37" t="str">
        <f t="shared" si="11"/>
        <v>Haralson, GA</v>
      </c>
      <c r="L471" s="37">
        <v>51.0</v>
      </c>
      <c r="M471" s="37" t="s">
        <v>63</v>
      </c>
      <c r="N471" s="37">
        <v>25.0</v>
      </c>
      <c r="O471" s="37">
        <v>18.0</v>
      </c>
      <c r="P471" s="37" t="s">
        <v>63</v>
      </c>
      <c r="Q471" s="37">
        <v>11.0</v>
      </c>
      <c r="R471" s="37">
        <v>8.0</v>
      </c>
      <c r="S471" s="37" t="s">
        <v>63</v>
      </c>
      <c r="T471" s="69" t="s">
        <v>63</v>
      </c>
      <c r="U471" s="37" t="s">
        <v>63</v>
      </c>
      <c r="V471" s="37" t="s">
        <v>63</v>
      </c>
      <c r="W471" s="37" t="s">
        <v>63</v>
      </c>
      <c r="X471" s="37" t="s">
        <v>63</v>
      </c>
      <c r="Y471" s="53">
        <v>40.0</v>
      </c>
      <c r="Z471" s="69" t="s">
        <v>63</v>
      </c>
      <c r="AA471" s="73"/>
      <c r="AB471" s="73"/>
      <c r="AC471" s="73"/>
      <c r="AD471" s="73"/>
      <c r="AE471" s="73"/>
      <c r="AF471" s="73"/>
      <c r="AG471" s="73"/>
      <c r="AH471" s="73"/>
      <c r="AI471" s="73"/>
      <c r="AJ471" s="73"/>
      <c r="AK471" s="73"/>
    </row>
    <row r="472">
      <c r="A472" s="28">
        <v>471.0</v>
      </c>
      <c r="B472" s="29"/>
      <c r="C472" s="29"/>
      <c r="D472" s="40">
        <v>1.0</v>
      </c>
      <c r="E472" s="31">
        <v>13.0</v>
      </c>
      <c r="F472" s="42">
        <v>145.0</v>
      </c>
      <c r="G472" s="29" t="str">
        <f t="shared" si="1"/>
        <v>13145</v>
      </c>
      <c r="H472" s="37" t="s">
        <v>218</v>
      </c>
      <c r="I472" s="37" t="s">
        <v>44</v>
      </c>
      <c r="J472" s="37" t="s">
        <v>393</v>
      </c>
      <c r="K472" s="37" t="str">
        <f t="shared" si="11"/>
        <v>Harris, GA</v>
      </c>
      <c r="L472" s="37">
        <v>19.0</v>
      </c>
      <c r="M472" s="37" t="s">
        <v>63</v>
      </c>
      <c r="N472" s="37">
        <v>8.0</v>
      </c>
      <c r="O472" s="37">
        <v>5.0</v>
      </c>
      <c r="P472" s="37" t="s">
        <v>63</v>
      </c>
      <c r="Q472" s="37">
        <v>27.0</v>
      </c>
      <c r="R472" s="37">
        <v>7.0</v>
      </c>
      <c r="S472" s="37" t="s">
        <v>63</v>
      </c>
      <c r="T472" s="69" t="s">
        <v>63</v>
      </c>
      <c r="U472" s="37" t="s">
        <v>63</v>
      </c>
      <c r="V472" s="37" t="s">
        <v>63</v>
      </c>
      <c r="W472" s="37" t="s">
        <v>63</v>
      </c>
      <c r="X472" s="37" t="s">
        <v>63</v>
      </c>
      <c r="Y472" s="53">
        <v>37.0</v>
      </c>
      <c r="Z472" s="69" t="s">
        <v>63</v>
      </c>
      <c r="AA472" s="73"/>
      <c r="AB472" s="73"/>
      <c r="AC472" s="73"/>
      <c r="AD472" s="73"/>
      <c r="AE472" s="73"/>
      <c r="AF472" s="73"/>
      <c r="AG472" s="73"/>
      <c r="AH472" s="73"/>
      <c r="AI472" s="73"/>
      <c r="AJ472" s="73"/>
      <c r="AK472" s="73"/>
    </row>
    <row r="473">
      <c r="A473" s="28">
        <v>472.0</v>
      </c>
      <c r="B473" s="29"/>
      <c r="C473" s="29"/>
      <c r="D473" s="40">
        <v>1.0</v>
      </c>
      <c r="E473" s="31">
        <v>13.0</v>
      </c>
      <c r="F473" s="42">
        <v>147.0</v>
      </c>
      <c r="G473" s="29" t="str">
        <f t="shared" si="1"/>
        <v>13147</v>
      </c>
      <c r="H473" s="37" t="s">
        <v>589</v>
      </c>
      <c r="I473" s="37" t="s">
        <v>44</v>
      </c>
      <c r="J473" s="37" t="s">
        <v>393</v>
      </c>
      <c r="K473" s="37" t="str">
        <f t="shared" si="11"/>
        <v>Hart, GA</v>
      </c>
      <c r="L473" s="37">
        <v>30.0</v>
      </c>
      <c r="M473" s="37" t="s">
        <v>63</v>
      </c>
      <c r="N473" s="37">
        <v>13.0</v>
      </c>
      <c r="O473" s="37">
        <v>1.0</v>
      </c>
      <c r="P473" s="37" t="s">
        <v>63</v>
      </c>
      <c r="Q473" s="37">
        <v>13.0</v>
      </c>
      <c r="R473" s="37">
        <v>10.0</v>
      </c>
      <c r="S473" s="37" t="s">
        <v>63</v>
      </c>
      <c r="T473" s="69" t="s">
        <v>63</v>
      </c>
      <c r="U473" s="37" t="s">
        <v>63</v>
      </c>
      <c r="V473" s="37" t="s">
        <v>63</v>
      </c>
      <c r="W473" s="37" t="s">
        <v>63</v>
      </c>
      <c r="X473" s="37" t="s">
        <v>63</v>
      </c>
      <c r="Y473" s="53">
        <v>40.0</v>
      </c>
      <c r="Z473" s="69" t="s">
        <v>63</v>
      </c>
      <c r="AA473" s="73"/>
      <c r="AB473" s="73"/>
      <c r="AC473" s="73"/>
      <c r="AD473" s="73"/>
      <c r="AE473" s="73"/>
      <c r="AF473" s="73"/>
      <c r="AG473" s="73"/>
      <c r="AH473" s="73"/>
      <c r="AI473" s="73"/>
      <c r="AJ473" s="73"/>
      <c r="AK473" s="73"/>
    </row>
    <row r="474">
      <c r="A474" s="28">
        <v>473.0</v>
      </c>
      <c r="B474" s="29"/>
      <c r="C474" s="29"/>
      <c r="D474" s="40">
        <v>1.0</v>
      </c>
      <c r="E474" s="31">
        <v>13.0</v>
      </c>
      <c r="F474" s="42">
        <v>149.0</v>
      </c>
      <c r="G474" s="29" t="str">
        <f t="shared" si="1"/>
        <v>13149</v>
      </c>
      <c r="H474" s="37" t="s">
        <v>590</v>
      </c>
      <c r="I474" s="37" t="s">
        <v>44</v>
      </c>
      <c r="J474" s="37" t="s">
        <v>393</v>
      </c>
      <c r="K474" s="37" t="str">
        <f t="shared" si="11"/>
        <v>Heard, GA</v>
      </c>
      <c r="L474" s="37">
        <v>13.0</v>
      </c>
      <c r="M474" s="37" t="s">
        <v>63</v>
      </c>
      <c r="N474" s="37">
        <v>4.0</v>
      </c>
      <c r="O474" s="37">
        <v>6.0</v>
      </c>
      <c r="P474" s="37" t="s">
        <v>63</v>
      </c>
      <c r="Q474" s="37">
        <v>7.0</v>
      </c>
      <c r="R474" s="37">
        <v>0.0</v>
      </c>
      <c r="S474" s="37" t="s">
        <v>63</v>
      </c>
      <c r="T474" s="69" t="s">
        <v>63</v>
      </c>
      <c r="U474" s="37" t="s">
        <v>63</v>
      </c>
      <c r="V474" s="37" t="s">
        <v>63</v>
      </c>
      <c r="W474" s="37" t="s">
        <v>63</v>
      </c>
      <c r="X474" s="37" t="s">
        <v>63</v>
      </c>
      <c r="Y474" s="53">
        <v>11.0</v>
      </c>
      <c r="Z474" s="69" t="s">
        <v>63</v>
      </c>
      <c r="AA474" s="73"/>
      <c r="AB474" s="73"/>
      <c r="AC474" s="73"/>
      <c r="AD474" s="73"/>
      <c r="AE474" s="73"/>
      <c r="AF474" s="73"/>
      <c r="AG474" s="73"/>
      <c r="AH474" s="73"/>
      <c r="AI474" s="73"/>
      <c r="AJ474" s="73"/>
      <c r="AK474" s="73"/>
    </row>
    <row r="475">
      <c r="A475" s="28">
        <v>474.0</v>
      </c>
      <c r="B475" s="29"/>
      <c r="C475" s="29"/>
      <c r="D475" s="40">
        <v>1.0</v>
      </c>
      <c r="E475" s="31">
        <v>13.0</v>
      </c>
      <c r="F475" s="42">
        <v>151.0</v>
      </c>
      <c r="G475" s="29" t="str">
        <f t="shared" si="1"/>
        <v>13151</v>
      </c>
      <c r="H475" s="37" t="s">
        <v>140</v>
      </c>
      <c r="I475" s="37" t="s">
        <v>44</v>
      </c>
      <c r="J475" s="37" t="s">
        <v>393</v>
      </c>
      <c r="K475" s="37" t="str">
        <f t="shared" si="11"/>
        <v>Henry, GA</v>
      </c>
      <c r="L475" s="37">
        <v>86.0</v>
      </c>
      <c r="M475" s="37" t="s">
        <v>63</v>
      </c>
      <c r="N475" s="37">
        <v>48.0</v>
      </c>
      <c r="O475" s="37">
        <v>13.0</v>
      </c>
      <c r="P475" s="37" t="s">
        <v>63</v>
      </c>
      <c r="Q475" s="37">
        <v>179.0</v>
      </c>
      <c r="R475" s="37">
        <v>21.0</v>
      </c>
      <c r="S475" s="37" t="s">
        <v>63</v>
      </c>
      <c r="T475" s="69" t="s">
        <v>63</v>
      </c>
      <c r="U475" s="37" t="s">
        <v>63</v>
      </c>
      <c r="V475" s="37" t="s">
        <v>63</v>
      </c>
      <c r="W475" s="37" t="s">
        <v>63</v>
      </c>
      <c r="X475" s="37" t="s">
        <v>63</v>
      </c>
      <c r="Y475" s="53">
        <v>148.0</v>
      </c>
      <c r="Z475" s="69" t="s">
        <v>63</v>
      </c>
      <c r="AA475" s="73"/>
      <c r="AB475" s="73"/>
      <c r="AC475" s="73"/>
      <c r="AD475" s="73"/>
      <c r="AE475" s="73"/>
      <c r="AF475" s="73"/>
      <c r="AG475" s="73"/>
      <c r="AH475" s="73"/>
      <c r="AI475" s="73"/>
      <c r="AJ475" s="73"/>
      <c r="AK475" s="73"/>
    </row>
    <row r="476">
      <c r="A476" s="28">
        <v>475.0</v>
      </c>
      <c r="B476" s="29"/>
      <c r="C476" s="29"/>
      <c r="D476" s="40">
        <v>1.0</v>
      </c>
      <c r="E476" s="31">
        <v>13.0</v>
      </c>
      <c r="F476" s="42">
        <v>153.0</v>
      </c>
      <c r="G476" s="29" t="str">
        <f t="shared" si="1"/>
        <v>13153</v>
      </c>
      <c r="H476" s="37" t="s">
        <v>141</v>
      </c>
      <c r="I476" s="37" t="s">
        <v>44</v>
      </c>
      <c r="J476" s="37" t="s">
        <v>393</v>
      </c>
      <c r="K476" s="37" t="str">
        <f t="shared" si="11"/>
        <v>Houston, GA</v>
      </c>
      <c r="L476" s="37">
        <v>159.0</v>
      </c>
      <c r="M476" s="37" t="s">
        <v>63</v>
      </c>
      <c r="N476" s="37">
        <v>97.0</v>
      </c>
      <c r="O476" s="37">
        <v>29.0</v>
      </c>
      <c r="P476" s="37" t="s">
        <v>63</v>
      </c>
      <c r="Q476" s="37">
        <v>122.0</v>
      </c>
      <c r="R476" s="37">
        <v>10.0</v>
      </c>
      <c r="S476" s="37" t="s">
        <v>63</v>
      </c>
      <c r="T476" s="69" t="s">
        <v>63</v>
      </c>
      <c r="U476" s="37" t="s">
        <v>63</v>
      </c>
      <c r="V476" s="37" t="s">
        <v>63</v>
      </c>
      <c r="W476" s="37" t="s">
        <v>63</v>
      </c>
      <c r="X476" s="37" t="s">
        <v>63</v>
      </c>
      <c r="Y476" s="53">
        <v>137.0</v>
      </c>
      <c r="Z476" s="69" t="s">
        <v>63</v>
      </c>
      <c r="AA476" s="73"/>
      <c r="AB476" s="73"/>
      <c r="AC476" s="73"/>
      <c r="AD476" s="73"/>
      <c r="AE476" s="73"/>
      <c r="AF476" s="73"/>
      <c r="AG476" s="73"/>
      <c r="AH476" s="73"/>
      <c r="AI476" s="73"/>
      <c r="AJ476" s="73"/>
      <c r="AK476" s="73"/>
    </row>
    <row r="477">
      <c r="A477" s="28">
        <v>476.0</v>
      </c>
      <c r="B477" s="29"/>
      <c r="C477" s="29"/>
      <c r="D477" s="40">
        <v>1.0</v>
      </c>
      <c r="E477" s="31">
        <v>13.0</v>
      </c>
      <c r="F477" s="42">
        <v>155.0</v>
      </c>
      <c r="G477" s="29" t="str">
        <f t="shared" si="1"/>
        <v>13155</v>
      </c>
      <c r="H477" s="37" t="s">
        <v>591</v>
      </c>
      <c r="I477" s="37" t="s">
        <v>44</v>
      </c>
      <c r="J477" s="37" t="s">
        <v>393</v>
      </c>
      <c r="K477" s="37" t="str">
        <f t="shared" si="11"/>
        <v>Irwin, GA</v>
      </c>
      <c r="L477" s="37">
        <v>26.0</v>
      </c>
      <c r="M477" s="37" t="s">
        <v>63</v>
      </c>
      <c r="N477" s="37">
        <v>11.0</v>
      </c>
      <c r="O477" s="37">
        <v>4.0</v>
      </c>
      <c r="P477" s="37" t="s">
        <v>63</v>
      </c>
      <c r="Q477" s="37">
        <v>2.0</v>
      </c>
      <c r="R477" s="37">
        <v>1.0</v>
      </c>
      <c r="S477" s="37" t="s">
        <v>63</v>
      </c>
      <c r="T477" s="69" t="s">
        <v>63</v>
      </c>
      <c r="U477" s="37" t="s">
        <v>63</v>
      </c>
      <c r="V477" s="37" t="s">
        <v>63</v>
      </c>
      <c r="W477" s="37" t="s">
        <v>63</v>
      </c>
      <c r="X477" s="37" t="s">
        <v>63</v>
      </c>
      <c r="Y477" s="53">
        <v>13.0</v>
      </c>
      <c r="Z477" s="69" t="s">
        <v>63</v>
      </c>
      <c r="AA477" s="73"/>
      <c r="AB477" s="73"/>
      <c r="AC477" s="73"/>
      <c r="AD477" s="73"/>
      <c r="AE477" s="73"/>
      <c r="AF477" s="73"/>
      <c r="AG477" s="73"/>
      <c r="AH477" s="73"/>
      <c r="AI477" s="73"/>
      <c r="AJ477" s="73"/>
      <c r="AK477" s="73"/>
    </row>
    <row r="478">
      <c r="A478" s="28">
        <v>477.0</v>
      </c>
      <c r="B478" s="29"/>
      <c r="C478" s="29"/>
      <c r="D478" s="40">
        <v>1.0</v>
      </c>
      <c r="E478" s="31">
        <v>13.0</v>
      </c>
      <c r="F478" s="42">
        <v>157.0</v>
      </c>
      <c r="G478" s="29" t="str">
        <f t="shared" si="1"/>
        <v>13157</v>
      </c>
      <c r="H478" s="37" t="s">
        <v>142</v>
      </c>
      <c r="I478" s="37" t="s">
        <v>44</v>
      </c>
      <c r="J478" s="37" t="s">
        <v>393</v>
      </c>
      <c r="K478" s="37" t="str">
        <f t="shared" si="11"/>
        <v>Jackson, GA</v>
      </c>
      <c r="L478" s="37">
        <v>50.0</v>
      </c>
      <c r="M478" s="37" t="s">
        <v>63</v>
      </c>
      <c r="N478" s="37">
        <v>28.0</v>
      </c>
      <c r="O478" s="37">
        <v>3.0</v>
      </c>
      <c r="P478" s="37" t="s">
        <v>63</v>
      </c>
      <c r="Q478" s="37">
        <v>37.0</v>
      </c>
      <c r="R478" s="37">
        <v>21.0</v>
      </c>
      <c r="S478" s="37" t="s">
        <v>63</v>
      </c>
      <c r="T478" s="69" t="s">
        <v>63</v>
      </c>
      <c r="U478" s="37" t="s">
        <v>63</v>
      </c>
      <c r="V478" s="37" t="s">
        <v>63</v>
      </c>
      <c r="W478" s="37" t="s">
        <v>63</v>
      </c>
      <c r="X478" s="37" t="s">
        <v>63</v>
      </c>
      <c r="Y478" s="53">
        <v>72.0</v>
      </c>
      <c r="Z478" s="69" t="s">
        <v>63</v>
      </c>
      <c r="AA478" s="73"/>
      <c r="AB478" s="73"/>
      <c r="AC478" s="73"/>
      <c r="AD478" s="73"/>
      <c r="AE478" s="73"/>
      <c r="AF478" s="73"/>
      <c r="AG478" s="73"/>
      <c r="AH478" s="73"/>
      <c r="AI478" s="73"/>
      <c r="AJ478" s="73"/>
      <c r="AK478" s="73"/>
    </row>
    <row r="479">
      <c r="A479" s="28">
        <v>478.0</v>
      </c>
      <c r="B479" s="29"/>
      <c r="C479" s="29"/>
      <c r="D479" s="40">
        <v>1.0</v>
      </c>
      <c r="E479" s="31">
        <v>13.0</v>
      </c>
      <c r="F479" s="42">
        <v>159.0</v>
      </c>
      <c r="G479" s="29" t="str">
        <f t="shared" si="1"/>
        <v>13159</v>
      </c>
      <c r="H479" s="37" t="s">
        <v>593</v>
      </c>
      <c r="I479" s="37" t="s">
        <v>44</v>
      </c>
      <c r="J479" s="37" t="s">
        <v>393</v>
      </c>
      <c r="K479" s="37" t="str">
        <f t="shared" si="11"/>
        <v>Jasper, GA</v>
      </c>
      <c r="L479" s="37">
        <v>5.0</v>
      </c>
      <c r="M479" s="37" t="s">
        <v>63</v>
      </c>
      <c r="N479" s="37">
        <v>0.0</v>
      </c>
      <c r="O479" s="37">
        <v>1.0</v>
      </c>
      <c r="P479" s="37" t="s">
        <v>63</v>
      </c>
      <c r="Q479" s="37">
        <v>13.0</v>
      </c>
      <c r="R479" s="37">
        <v>0.0</v>
      </c>
      <c r="S479" s="37" t="s">
        <v>63</v>
      </c>
      <c r="T479" s="69" t="s">
        <v>63</v>
      </c>
      <c r="U479" s="37" t="s">
        <v>63</v>
      </c>
      <c r="V479" s="37" t="s">
        <v>63</v>
      </c>
      <c r="W479" s="37" t="s">
        <v>63</v>
      </c>
      <c r="X479" s="37" t="s">
        <v>63</v>
      </c>
      <c r="Y479" s="53">
        <v>18.0</v>
      </c>
      <c r="Z479" s="69" t="s">
        <v>63</v>
      </c>
      <c r="AA479" s="73"/>
      <c r="AB479" s="73"/>
      <c r="AC479" s="73"/>
      <c r="AD479" s="73"/>
      <c r="AE479" s="73"/>
      <c r="AF479" s="73"/>
      <c r="AG479" s="73"/>
      <c r="AH479" s="73"/>
      <c r="AI479" s="73"/>
      <c r="AJ479" s="73"/>
      <c r="AK479" s="73"/>
    </row>
    <row r="480">
      <c r="A480" s="28">
        <v>479.0</v>
      </c>
      <c r="B480" s="29"/>
      <c r="C480" s="29"/>
      <c r="D480" s="40">
        <v>1.0</v>
      </c>
      <c r="E480" s="31">
        <v>13.0</v>
      </c>
      <c r="F480" s="42">
        <v>161.0</v>
      </c>
      <c r="G480" s="29" t="str">
        <f t="shared" si="1"/>
        <v>13161</v>
      </c>
      <c r="H480" s="37" t="s">
        <v>594</v>
      </c>
      <c r="I480" s="37" t="s">
        <v>44</v>
      </c>
      <c r="J480" s="37" t="s">
        <v>393</v>
      </c>
      <c r="K480" s="37" t="str">
        <f t="shared" si="11"/>
        <v>Jeff Davis, GA</v>
      </c>
      <c r="L480" s="37">
        <v>25.0</v>
      </c>
      <c r="M480" s="37" t="s">
        <v>63</v>
      </c>
      <c r="N480" s="37">
        <v>9.0</v>
      </c>
      <c r="O480" s="37">
        <v>1.0</v>
      </c>
      <c r="P480" s="37" t="s">
        <v>63</v>
      </c>
      <c r="Q480" s="37">
        <v>12.0</v>
      </c>
      <c r="R480" s="37">
        <v>5.0</v>
      </c>
      <c r="S480" s="37" t="s">
        <v>63</v>
      </c>
      <c r="T480" s="69" t="s">
        <v>63</v>
      </c>
      <c r="U480" s="37" t="s">
        <v>63</v>
      </c>
      <c r="V480" s="37" t="s">
        <v>63</v>
      </c>
      <c r="W480" s="37" t="s">
        <v>63</v>
      </c>
      <c r="X480" s="37" t="s">
        <v>63</v>
      </c>
      <c r="Y480" s="53">
        <v>23.0</v>
      </c>
      <c r="Z480" s="69" t="s">
        <v>63</v>
      </c>
      <c r="AA480" s="73"/>
      <c r="AB480" s="73"/>
      <c r="AC480" s="73"/>
      <c r="AD480" s="73"/>
      <c r="AE480" s="73"/>
      <c r="AF480" s="73"/>
      <c r="AG480" s="73"/>
      <c r="AH480" s="73"/>
      <c r="AI480" s="73"/>
      <c r="AJ480" s="73"/>
      <c r="AK480" s="73"/>
    </row>
    <row r="481">
      <c r="A481" s="28">
        <v>480.0</v>
      </c>
      <c r="B481" s="29"/>
      <c r="C481" s="29"/>
      <c r="D481" s="40">
        <v>1.0</v>
      </c>
      <c r="E481" s="31">
        <v>13.0</v>
      </c>
      <c r="F481" s="42">
        <v>163.0</v>
      </c>
      <c r="G481" s="29" t="str">
        <f t="shared" si="1"/>
        <v>13163</v>
      </c>
      <c r="H481" s="37" t="s">
        <v>143</v>
      </c>
      <c r="I481" s="37" t="s">
        <v>44</v>
      </c>
      <c r="J481" s="37" t="s">
        <v>393</v>
      </c>
      <c r="K481" s="37" t="str">
        <f t="shared" si="11"/>
        <v>Jefferson, GA</v>
      </c>
      <c r="L481" s="37">
        <v>40.0</v>
      </c>
      <c r="M481" s="37" t="s">
        <v>63</v>
      </c>
      <c r="N481" s="37">
        <v>29.0</v>
      </c>
      <c r="O481" s="37">
        <v>7.0</v>
      </c>
      <c r="P481" s="37" t="s">
        <v>63</v>
      </c>
      <c r="Q481" s="37">
        <v>7.0</v>
      </c>
      <c r="R481" s="37">
        <v>1.0</v>
      </c>
      <c r="S481" s="37" t="s">
        <v>63</v>
      </c>
      <c r="T481" s="69" t="s">
        <v>63</v>
      </c>
      <c r="U481" s="37" t="s">
        <v>63</v>
      </c>
      <c r="V481" s="37" t="s">
        <v>63</v>
      </c>
      <c r="W481" s="37" t="s">
        <v>63</v>
      </c>
      <c r="X481" s="37" t="s">
        <v>63</v>
      </c>
      <c r="Y481" s="53">
        <v>51.0</v>
      </c>
      <c r="Z481" s="69" t="s">
        <v>63</v>
      </c>
      <c r="AA481" s="73"/>
      <c r="AB481" s="73"/>
      <c r="AC481" s="73"/>
      <c r="AD481" s="73"/>
      <c r="AE481" s="73"/>
      <c r="AF481" s="73"/>
      <c r="AG481" s="73"/>
      <c r="AH481" s="73"/>
      <c r="AI481" s="73"/>
      <c r="AJ481" s="73"/>
      <c r="AK481" s="73"/>
    </row>
    <row r="482">
      <c r="A482" s="28">
        <v>481.0</v>
      </c>
      <c r="B482" s="29"/>
      <c r="C482" s="29"/>
      <c r="D482" s="40">
        <v>1.0</v>
      </c>
      <c r="E482" s="31">
        <v>13.0</v>
      </c>
      <c r="F482" s="42">
        <v>165.0</v>
      </c>
      <c r="G482" s="29" t="str">
        <f t="shared" si="1"/>
        <v>13165</v>
      </c>
      <c r="H482" s="37" t="s">
        <v>597</v>
      </c>
      <c r="I482" s="37" t="s">
        <v>44</v>
      </c>
      <c r="J482" s="37" t="s">
        <v>393</v>
      </c>
      <c r="K482" s="37" t="str">
        <f t="shared" si="11"/>
        <v>Jenkins, GA</v>
      </c>
      <c r="L482" s="37">
        <v>8.0</v>
      </c>
      <c r="M482" s="37" t="s">
        <v>63</v>
      </c>
      <c r="N482" s="37">
        <v>6.0</v>
      </c>
      <c r="O482" s="37">
        <v>2.0</v>
      </c>
      <c r="P482" s="37" t="s">
        <v>63</v>
      </c>
      <c r="Q482" s="37">
        <v>3.0</v>
      </c>
      <c r="R482" s="37">
        <v>5.0</v>
      </c>
      <c r="S482" s="37" t="s">
        <v>63</v>
      </c>
      <c r="T482" s="69" t="s">
        <v>63</v>
      </c>
      <c r="U482" s="37" t="s">
        <v>63</v>
      </c>
      <c r="V482" s="37" t="s">
        <v>63</v>
      </c>
      <c r="W482" s="37" t="s">
        <v>63</v>
      </c>
      <c r="X482" s="37" t="s">
        <v>63</v>
      </c>
      <c r="Y482" s="53">
        <v>18.0</v>
      </c>
      <c r="Z482" s="69" t="s">
        <v>63</v>
      </c>
      <c r="AA482" s="73"/>
      <c r="AB482" s="73"/>
      <c r="AC482" s="73"/>
      <c r="AD482" s="73"/>
      <c r="AE482" s="73"/>
      <c r="AF482" s="73"/>
      <c r="AG482" s="73"/>
      <c r="AH482" s="73"/>
      <c r="AI482" s="73"/>
      <c r="AJ482" s="73"/>
      <c r="AK482" s="73"/>
    </row>
    <row r="483">
      <c r="A483" s="28">
        <v>482.0</v>
      </c>
      <c r="B483" s="29"/>
      <c r="C483" s="29"/>
      <c r="D483" s="40">
        <v>1.0</v>
      </c>
      <c r="E483" s="31">
        <v>13.0</v>
      </c>
      <c r="F483" s="42">
        <v>167.0</v>
      </c>
      <c r="G483" s="29" t="str">
        <f t="shared" si="1"/>
        <v>13167</v>
      </c>
      <c r="H483" s="37" t="s">
        <v>288</v>
      </c>
      <c r="I483" s="37" t="s">
        <v>44</v>
      </c>
      <c r="J483" s="37" t="s">
        <v>393</v>
      </c>
      <c r="K483" s="37" t="str">
        <f t="shared" si="11"/>
        <v>Johnson, GA</v>
      </c>
      <c r="L483" s="37">
        <v>6.0</v>
      </c>
      <c r="M483" s="37" t="s">
        <v>63</v>
      </c>
      <c r="N483" s="37">
        <v>4.0</v>
      </c>
      <c r="O483" s="37">
        <v>1.0</v>
      </c>
      <c r="P483" s="37" t="s">
        <v>63</v>
      </c>
      <c r="Q483" s="37">
        <v>2.0</v>
      </c>
      <c r="R483" s="37">
        <v>0.0</v>
      </c>
      <c r="S483" s="37" t="s">
        <v>63</v>
      </c>
      <c r="T483" s="69" t="s">
        <v>63</v>
      </c>
      <c r="U483" s="37" t="s">
        <v>63</v>
      </c>
      <c r="V483" s="37" t="s">
        <v>63</v>
      </c>
      <c r="W483" s="37" t="s">
        <v>63</v>
      </c>
      <c r="X483" s="37" t="s">
        <v>63</v>
      </c>
      <c r="Y483" s="53">
        <v>16.0</v>
      </c>
      <c r="Z483" s="69" t="s">
        <v>63</v>
      </c>
      <c r="AA483" s="73"/>
      <c r="AB483" s="73"/>
      <c r="AC483" s="73"/>
      <c r="AD483" s="73"/>
      <c r="AE483" s="73"/>
      <c r="AF483" s="73"/>
      <c r="AG483" s="73"/>
      <c r="AH483" s="73"/>
      <c r="AI483" s="73"/>
      <c r="AJ483" s="73"/>
      <c r="AK483" s="73"/>
    </row>
    <row r="484">
      <c r="A484" s="28">
        <v>483.0</v>
      </c>
      <c r="B484" s="29"/>
      <c r="C484" s="29"/>
      <c r="D484" s="40">
        <v>1.0</v>
      </c>
      <c r="E484" s="31">
        <v>13.0</v>
      </c>
      <c r="F484" s="42">
        <v>169.0</v>
      </c>
      <c r="G484" s="29" t="str">
        <f t="shared" si="1"/>
        <v>13169</v>
      </c>
      <c r="H484" s="37" t="s">
        <v>598</v>
      </c>
      <c r="I484" s="37" t="s">
        <v>44</v>
      </c>
      <c r="J484" s="37" t="s">
        <v>393</v>
      </c>
      <c r="K484" s="37" t="str">
        <f t="shared" si="11"/>
        <v>Jones, GA</v>
      </c>
      <c r="L484" s="37">
        <v>21.0</v>
      </c>
      <c r="M484" s="37" t="s">
        <v>63</v>
      </c>
      <c r="N484" s="37">
        <v>10.0</v>
      </c>
      <c r="O484" s="37">
        <v>4.0</v>
      </c>
      <c r="P484" s="37" t="s">
        <v>63</v>
      </c>
      <c r="Q484" s="37">
        <v>46.0</v>
      </c>
      <c r="R484" s="37">
        <v>8.0</v>
      </c>
      <c r="S484" s="37" t="s">
        <v>63</v>
      </c>
      <c r="T484" s="69" t="s">
        <v>63</v>
      </c>
      <c r="U484" s="37" t="s">
        <v>63</v>
      </c>
      <c r="V484" s="37" t="s">
        <v>63</v>
      </c>
      <c r="W484" s="37" t="s">
        <v>63</v>
      </c>
      <c r="X484" s="37" t="s">
        <v>63</v>
      </c>
      <c r="Y484" s="53">
        <v>45.0</v>
      </c>
      <c r="Z484" s="69" t="s">
        <v>63</v>
      </c>
      <c r="AA484" s="73"/>
      <c r="AB484" s="73"/>
      <c r="AC484" s="73"/>
      <c r="AD484" s="73"/>
      <c r="AE484" s="73"/>
      <c r="AF484" s="73"/>
      <c r="AG484" s="73"/>
      <c r="AH484" s="73"/>
      <c r="AI484" s="73"/>
      <c r="AJ484" s="73"/>
      <c r="AK484" s="73"/>
    </row>
    <row r="485">
      <c r="A485" s="28">
        <v>484.0</v>
      </c>
      <c r="B485" s="29"/>
      <c r="C485" s="29"/>
      <c r="D485" s="40">
        <v>1.0</v>
      </c>
      <c r="E485" s="31">
        <v>13.0</v>
      </c>
      <c r="F485" s="42">
        <v>171.0</v>
      </c>
      <c r="G485" s="29" t="str">
        <f t="shared" si="1"/>
        <v>13171</v>
      </c>
      <c r="H485" s="37" t="s">
        <v>144</v>
      </c>
      <c r="I485" s="37" t="s">
        <v>44</v>
      </c>
      <c r="J485" s="37" t="s">
        <v>393</v>
      </c>
      <c r="K485" s="37" t="str">
        <f t="shared" si="11"/>
        <v>Lamar, GA</v>
      </c>
      <c r="L485" s="37">
        <v>54.0</v>
      </c>
      <c r="M485" s="37" t="s">
        <v>63</v>
      </c>
      <c r="N485" s="37">
        <v>35.0</v>
      </c>
      <c r="O485" s="37">
        <v>6.0</v>
      </c>
      <c r="P485" s="37" t="s">
        <v>63</v>
      </c>
      <c r="Q485" s="37">
        <v>12.0</v>
      </c>
      <c r="R485" s="37">
        <v>5.0</v>
      </c>
      <c r="S485" s="37" t="s">
        <v>63</v>
      </c>
      <c r="T485" s="69" t="s">
        <v>63</v>
      </c>
      <c r="U485" s="37" t="s">
        <v>63</v>
      </c>
      <c r="V485" s="37" t="s">
        <v>63</v>
      </c>
      <c r="W485" s="37" t="s">
        <v>63</v>
      </c>
      <c r="X485" s="37" t="s">
        <v>63</v>
      </c>
      <c r="Y485" s="53">
        <v>18.0</v>
      </c>
      <c r="Z485" s="69" t="s">
        <v>63</v>
      </c>
      <c r="AA485" s="73"/>
      <c r="AB485" s="73"/>
      <c r="AC485" s="73"/>
      <c r="AD485" s="73"/>
      <c r="AE485" s="73"/>
      <c r="AF485" s="73"/>
      <c r="AG485" s="73"/>
      <c r="AH485" s="73"/>
      <c r="AI485" s="73"/>
      <c r="AJ485" s="73"/>
      <c r="AK485" s="73"/>
    </row>
    <row r="486">
      <c r="A486" s="28">
        <v>485.0</v>
      </c>
      <c r="B486" s="29"/>
      <c r="C486" s="29"/>
      <c r="D486" s="40">
        <v>1.0</v>
      </c>
      <c r="E486" s="31">
        <v>13.0</v>
      </c>
      <c r="F486" s="42">
        <v>173.0</v>
      </c>
      <c r="G486" s="29" t="str">
        <f t="shared" si="1"/>
        <v>13173</v>
      </c>
      <c r="H486" s="37" t="s">
        <v>600</v>
      </c>
      <c r="I486" s="37" t="s">
        <v>44</v>
      </c>
      <c r="J486" s="37" t="s">
        <v>393</v>
      </c>
      <c r="K486" s="37" t="str">
        <f t="shared" si="11"/>
        <v>Lanier, GA</v>
      </c>
      <c r="L486" s="37">
        <v>12.0</v>
      </c>
      <c r="M486" s="37" t="s">
        <v>63</v>
      </c>
      <c r="N486" s="37">
        <v>2.0</v>
      </c>
      <c r="O486" s="37">
        <v>9.0</v>
      </c>
      <c r="P486" s="37" t="s">
        <v>63</v>
      </c>
      <c r="Q486" s="37">
        <v>6.0</v>
      </c>
      <c r="R486" s="37">
        <v>2.0</v>
      </c>
      <c r="S486" s="37" t="s">
        <v>63</v>
      </c>
      <c r="T486" s="69" t="s">
        <v>63</v>
      </c>
      <c r="U486" s="37" t="s">
        <v>63</v>
      </c>
      <c r="V486" s="37" t="s">
        <v>63</v>
      </c>
      <c r="W486" s="37" t="s">
        <v>63</v>
      </c>
      <c r="X486" s="37" t="s">
        <v>63</v>
      </c>
      <c r="Y486" s="53">
        <v>8.0</v>
      </c>
      <c r="Z486" s="69" t="s">
        <v>63</v>
      </c>
      <c r="AA486" s="73"/>
      <c r="AB486" s="73"/>
      <c r="AC486" s="73"/>
      <c r="AD486" s="73"/>
      <c r="AE486" s="73"/>
      <c r="AF486" s="73"/>
      <c r="AG486" s="73"/>
      <c r="AH486" s="73"/>
      <c r="AI486" s="73"/>
      <c r="AJ486" s="73"/>
      <c r="AK486" s="73"/>
    </row>
    <row r="487">
      <c r="A487" s="28">
        <v>486.0</v>
      </c>
      <c r="B487" s="29"/>
      <c r="C487" s="29"/>
      <c r="D487" s="40">
        <v>1.0</v>
      </c>
      <c r="E487" s="31">
        <v>13.0</v>
      </c>
      <c r="F487" s="42">
        <v>175.0</v>
      </c>
      <c r="G487" s="29" t="str">
        <f t="shared" si="1"/>
        <v>13175</v>
      </c>
      <c r="H487" s="37" t="s">
        <v>601</v>
      </c>
      <c r="I487" s="37" t="s">
        <v>44</v>
      </c>
      <c r="J487" s="37" t="s">
        <v>393</v>
      </c>
      <c r="K487" s="37" t="str">
        <f t="shared" si="11"/>
        <v>Laurens, GA</v>
      </c>
      <c r="L487" s="37">
        <v>64.0</v>
      </c>
      <c r="M487" s="37" t="s">
        <v>63</v>
      </c>
      <c r="N487" s="37">
        <v>34.0</v>
      </c>
      <c r="O487" s="37">
        <v>4.0</v>
      </c>
      <c r="P487" s="37" t="s">
        <v>63</v>
      </c>
      <c r="Q487" s="37">
        <v>21.0</v>
      </c>
      <c r="R487" s="37">
        <v>1.0</v>
      </c>
      <c r="S487" s="37" t="s">
        <v>63</v>
      </c>
      <c r="T487" s="69" t="s">
        <v>63</v>
      </c>
      <c r="U487" s="37" t="s">
        <v>63</v>
      </c>
      <c r="V487" s="37" t="s">
        <v>63</v>
      </c>
      <c r="W487" s="37" t="s">
        <v>63</v>
      </c>
      <c r="X487" s="37" t="s">
        <v>63</v>
      </c>
      <c r="Y487" s="53">
        <v>105.0</v>
      </c>
      <c r="Z487" s="69" t="s">
        <v>63</v>
      </c>
      <c r="AA487" s="73"/>
      <c r="AB487" s="73"/>
      <c r="AC487" s="73"/>
      <c r="AD487" s="73"/>
      <c r="AE487" s="73"/>
      <c r="AF487" s="73"/>
      <c r="AG487" s="73"/>
      <c r="AH487" s="73"/>
      <c r="AI487" s="73"/>
      <c r="AJ487" s="73"/>
      <c r="AK487" s="73"/>
    </row>
    <row r="488">
      <c r="A488" s="28">
        <v>487.0</v>
      </c>
      <c r="B488" s="29"/>
      <c r="C488" s="29"/>
      <c r="D488" s="40">
        <v>1.0</v>
      </c>
      <c r="E488" s="31">
        <v>13.0</v>
      </c>
      <c r="F488" s="42">
        <v>177.0</v>
      </c>
      <c r="G488" s="29" t="str">
        <f t="shared" si="1"/>
        <v>13177</v>
      </c>
      <c r="H488" s="37" t="s">
        <v>147</v>
      </c>
      <c r="I488" s="37" t="s">
        <v>44</v>
      </c>
      <c r="J488" s="37" t="s">
        <v>393</v>
      </c>
      <c r="K488" s="37" t="str">
        <f t="shared" si="11"/>
        <v>Lee, GA</v>
      </c>
      <c r="L488" s="37">
        <v>42.0</v>
      </c>
      <c r="M488" s="37" t="s">
        <v>63</v>
      </c>
      <c r="N488" s="37">
        <v>17.0</v>
      </c>
      <c r="O488" s="37">
        <v>10.0</v>
      </c>
      <c r="P488" s="37" t="s">
        <v>63</v>
      </c>
      <c r="Q488" s="37">
        <v>38.0</v>
      </c>
      <c r="R488" s="37">
        <v>9.0</v>
      </c>
      <c r="S488" s="37" t="s">
        <v>63</v>
      </c>
      <c r="T488" s="69" t="s">
        <v>63</v>
      </c>
      <c r="U488" s="37" t="s">
        <v>63</v>
      </c>
      <c r="V488" s="37" t="s">
        <v>63</v>
      </c>
      <c r="W488" s="37" t="s">
        <v>63</v>
      </c>
      <c r="X488" s="37" t="s">
        <v>63</v>
      </c>
      <c r="Y488" s="53">
        <v>21.0</v>
      </c>
      <c r="Z488" s="69" t="s">
        <v>63</v>
      </c>
      <c r="AA488" s="73"/>
      <c r="AB488" s="73"/>
      <c r="AC488" s="73"/>
      <c r="AD488" s="73"/>
      <c r="AE488" s="73"/>
      <c r="AF488" s="73"/>
      <c r="AG488" s="73"/>
      <c r="AH488" s="73"/>
      <c r="AI488" s="73"/>
      <c r="AJ488" s="73"/>
      <c r="AK488" s="73"/>
    </row>
    <row r="489">
      <c r="A489" s="28">
        <v>488.0</v>
      </c>
      <c r="B489" s="29"/>
      <c r="C489" s="29"/>
      <c r="D489" s="40">
        <v>1.0</v>
      </c>
      <c r="E489" s="31">
        <v>13.0</v>
      </c>
      <c r="F489" s="42">
        <v>179.0</v>
      </c>
      <c r="G489" s="29" t="str">
        <f t="shared" si="1"/>
        <v>13179</v>
      </c>
      <c r="H489" s="37" t="s">
        <v>508</v>
      </c>
      <c r="I489" s="37" t="s">
        <v>44</v>
      </c>
      <c r="J489" s="37" t="s">
        <v>393</v>
      </c>
      <c r="K489" s="37" t="str">
        <f t="shared" si="11"/>
        <v>Liberty, GA</v>
      </c>
      <c r="L489" s="37">
        <v>55.0</v>
      </c>
      <c r="M489" s="37" t="s">
        <v>63</v>
      </c>
      <c r="N489" s="37">
        <v>38.0</v>
      </c>
      <c r="O489" s="37">
        <v>4.0</v>
      </c>
      <c r="P489" s="37" t="s">
        <v>63</v>
      </c>
      <c r="Q489" s="37">
        <v>26.0</v>
      </c>
      <c r="R489" s="37">
        <v>4.0</v>
      </c>
      <c r="S489" s="37" t="s">
        <v>63</v>
      </c>
      <c r="T489" s="69" t="s">
        <v>63</v>
      </c>
      <c r="U489" s="37" t="s">
        <v>63</v>
      </c>
      <c r="V489" s="37" t="s">
        <v>63</v>
      </c>
      <c r="W489" s="37" t="s">
        <v>63</v>
      </c>
      <c r="X489" s="37" t="s">
        <v>63</v>
      </c>
      <c r="Y489" s="53">
        <v>75.0</v>
      </c>
      <c r="Z489" s="69" t="s">
        <v>63</v>
      </c>
      <c r="AA489" s="73"/>
      <c r="AB489" s="73"/>
      <c r="AC489" s="73"/>
      <c r="AD489" s="73"/>
      <c r="AE489" s="73"/>
      <c r="AF489" s="73"/>
      <c r="AG489" s="73"/>
      <c r="AH489" s="73"/>
      <c r="AI489" s="73"/>
      <c r="AJ489" s="73"/>
      <c r="AK489" s="73"/>
    </row>
    <row r="490">
      <c r="A490" s="28">
        <v>489.0</v>
      </c>
      <c r="B490" s="29"/>
      <c r="C490" s="29"/>
      <c r="D490" s="40">
        <v>1.0</v>
      </c>
      <c r="E490" s="31">
        <v>13.0</v>
      </c>
      <c r="F490" s="42">
        <v>181.0</v>
      </c>
      <c r="G490" s="29" t="str">
        <f t="shared" si="1"/>
        <v>13181</v>
      </c>
      <c r="H490" s="37" t="s">
        <v>290</v>
      </c>
      <c r="I490" s="37" t="s">
        <v>44</v>
      </c>
      <c r="J490" s="37" t="s">
        <v>393</v>
      </c>
      <c r="K490" s="37" t="str">
        <f t="shared" si="11"/>
        <v>Lincoln, GA</v>
      </c>
      <c r="L490" s="37">
        <v>8.0</v>
      </c>
      <c r="M490" s="37" t="s">
        <v>63</v>
      </c>
      <c r="N490" s="37">
        <v>2.0</v>
      </c>
      <c r="O490" s="37">
        <v>4.0</v>
      </c>
      <c r="P490" s="37" t="s">
        <v>63</v>
      </c>
      <c r="Q490" s="37">
        <v>2.0</v>
      </c>
      <c r="R490" s="37">
        <v>0.0</v>
      </c>
      <c r="S490" s="37" t="s">
        <v>63</v>
      </c>
      <c r="T490" s="69" t="s">
        <v>63</v>
      </c>
      <c r="U490" s="37" t="s">
        <v>63</v>
      </c>
      <c r="V490" s="37" t="s">
        <v>63</v>
      </c>
      <c r="W490" s="37" t="s">
        <v>63</v>
      </c>
      <c r="X490" s="37" t="s">
        <v>63</v>
      </c>
      <c r="Y490" s="53">
        <v>30.0</v>
      </c>
      <c r="Z490" s="69" t="s">
        <v>63</v>
      </c>
      <c r="AA490" s="73"/>
      <c r="AB490" s="73"/>
      <c r="AC490" s="73"/>
      <c r="AD490" s="73"/>
      <c r="AE490" s="73"/>
      <c r="AF490" s="73"/>
      <c r="AG490" s="73"/>
      <c r="AH490" s="73"/>
      <c r="AI490" s="73"/>
      <c r="AJ490" s="73"/>
      <c r="AK490" s="73"/>
    </row>
    <row r="491">
      <c r="A491" s="28">
        <v>490.0</v>
      </c>
      <c r="B491" s="29"/>
      <c r="C491" s="29"/>
      <c r="D491" s="40">
        <v>1.0</v>
      </c>
      <c r="E491" s="31">
        <v>13.0</v>
      </c>
      <c r="F491" s="42">
        <v>183.0</v>
      </c>
      <c r="G491" s="29" t="str">
        <f t="shared" si="1"/>
        <v>13183</v>
      </c>
      <c r="H491" s="37" t="s">
        <v>602</v>
      </c>
      <c r="I491" s="37" t="s">
        <v>44</v>
      </c>
      <c r="J491" s="37" t="s">
        <v>393</v>
      </c>
      <c r="K491" s="37" t="str">
        <f t="shared" si="11"/>
        <v>Long, GA</v>
      </c>
      <c r="L491" s="37">
        <v>18.0</v>
      </c>
      <c r="M491" s="37" t="s">
        <v>63</v>
      </c>
      <c r="N491" s="37">
        <v>13.0</v>
      </c>
      <c r="O491" s="37">
        <v>1.0</v>
      </c>
      <c r="P491" s="37" t="s">
        <v>63</v>
      </c>
      <c r="Q491" s="37">
        <v>7.0</v>
      </c>
      <c r="R491" s="37">
        <v>2.0</v>
      </c>
      <c r="S491" s="37" t="s">
        <v>63</v>
      </c>
      <c r="T491" s="69" t="s">
        <v>63</v>
      </c>
      <c r="U491" s="37" t="s">
        <v>63</v>
      </c>
      <c r="V491" s="37" t="s">
        <v>63</v>
      </c>
      <c r="W491" s="37" t="s">
        <v>63</v>
      </c>
      <c r="X491" s="37" t="s">
        <v>63</v>
      </c>
      <c r="Y491" s="53">
        <v>16.0</v>
      </c>
      <c r="Z491" s="69" t="s">
        <v>63</v>
      </c>
      <c r="AA491" s="73"/>
      <c r="AB491" s="73"/>
      <c r="AC491" s="73"/>
      <c r="AD491" s="73"/>
      <c r="AE491" s="73"/>
      <c r="AF491" s="73"/>
      <c r="AG491" s="73"/>
      <c r="AH491" s="73"/>
      <c r="AI491" s="73"/>
      <c r="AJ491" s="73"/>
      <c r="AK491" s="73"/>
    </row>
    <row r="492">
      <c r="A492" s="28">
        <v>491.0</v>
      </c>
      <c r="B492" s="29"/>
      <c r="C492" s="29"/>
      <c r="D492" s="40">
        <v>1.0</v>
      </c>
      <c r="E492" s="31">
        <v>13.0</v>
      </c>
      <c r="F492" s="42">
        <v>185.0</v>
      </c>
      <c r="G492" s="29" t="str">
        <f t="shared" si="1"/>
        <v>13185</v>
      </c>
      <c r="H492" s="37" t="s">
        <v>149</v>
      </c>
      <c r="I492" s="37" t="s">
        <v>44</v>
      </c>
      <c r="J492" s="37" t="s">
        <v>393</v>
      </c>
      <c r="K492" s="37" t="str">
        <f t="shared" si="11"/>
        <v>Lowndes, GA</v>
      </c>
      <c r="L492" s="37">
        <v>346.0</v>
      </c>
      <c r="M492" s="37" t="s">
        <v>63</v>
      </c>
      <c r="N492" s="37">
        <v>211.0</v>
      </c>
      <c r="O492" s="37">
        <v>109.0</v>
      </c>
      <c r="P492" s="37" t="s">
        <v>63</v>
      </c>
      <c r="Q492" s="37">
        <v>124.0</v>
      </c>
      <c r="R492" s="37">
        <v>7.0</v>
      </c>
      <c r="S492" s="37" t="s">
        <v>63</v>
      </c>
      <c r="T492" s="69" t="s">
        <v>63</v>
      </c>
      <c r="U492" s="37" t="s">
        <v>63</v>
      </c>
      <c r="V492" s="37" t="s">
        <v>63</v>
      </c>
      <c r="W492" s="37" t="s">
        <v>63</v>
      </c>
      <c r="X492" s="37" t="s">
        <v>63</v>
      </c>
      <c r="Y492" s="53">
        <v>133.0</v>
      </c>
      <c r="Z492" s="69" t="s">
        <v>63</v>
      </c>
      <c r="AA492" s="73"/>
      <c r="AB492" s="73"/>
      <c r="AC492" s="73"/>
      <c r="AD492" s="73"/>
      <c r="AE492" s="73"/>
      <c r="AF492" s="73"/>
      <c r="AG492" s="73"/>
      <c r="AH492" s="73"/>
      <c r="AI492" s="73"/>
      <c r="AJ492" s="73"/>
      <c r="AK492" s="73"/>
    </row>
    <row r="493">
      <c r="A493" s="28">
        <v>492.0</v>
      </c>
      <c r="B493" s="29"/>
      <c r="C493" s="29"/>
      <c r="D493" s="40">
        <v>1.0</v>
      </c>
      <c r="E493" s="31">
        <v>13.0</v>
      </c>
      <c r="F493" s="42">
        <v>187.0</v>
      </c>
      <c r="G493" s="29" t="str">
        <f t="shared" si="1"/>
        <v>13187</v>
      </c>
      <c r="H493" s="37" t="s">
        <v>604</v>
      </c>
      <c r="I493" s="37" t="s">
        <v>44</v>
      </c>
      <c r="J493" s="37" t="s">
        <v>393</v>
      </c>
      <c r="K493" s="37" t="str">
        <f t="shared" si="11"/>
        <v>Lumpkin, GA</v>
      </c>
      <c r="L493" s="37">
        <v>48.0</v>
      </c>
      <c r="M493" s="37" t="s">
        <v>63</v>
      </c>
      <c r="N493" s="37">
        <v>38.0</v>
      </c>
      <c r="O493" s="37">
        <v>4.0</v>
      </c>
      <c r="P493" s="37" t="s">
        <v>63</v>
      </c>
      <c r="Q493" s="37">
        <v>19.0</v>
      </c>
      <c r="R493" s="37">
        <v>6.0</v>
      </c>
      <c r="S493" s="37" t="s">
        <v>63</v>
      </c>
      <c r="T493" s="69" t="s">
        <v>63</v>
      </c>
      <c r="U493" s="37" t="s">
        <v>63</v>
      </c>
      <c r="V493" s="37" t="s">
        <v>63</v>
      </c>
      <c r="W493" s="37" t="s">
        <v>63</v>
      </c>
      <c r="X493" s="37" t="s">
        <v>63</v>
      </c>
      <c r="Y493" s="53">
        <v>24.0</v>
      </c>
      <c r="Z493" s="69" t="s">
        <v>63</v>
      </c>
      <c r="AA493" s="73"/>
      <c r="AB493" s="73"/>
      <c r="AC493" s="73"/>
      <c r="AD493" s="73"/>
      <c r="AE493" s="73"/>
      <c r="AF493" s="73"/>
      <c r="AG493" s="73"/>
      <c r="AH493" s="73"/>
      <c r="AI493" s="73"/>
      <c r="AJ493" s="73"/>
      <c r="AK493" s="73"/>
    </row>
    <row r="494">
      <c r="A494" s="28">
        <v>493.0</v>
      </c>
      <c r="B494" s="29"/>
      <c r="C494" s="29"/>
      <c r="D494" s="40">
        <v>1.0</v>
      </c>
      <c r="E494" s="31">
        <v>13.0</v>
      </c>
      <c r="F494" s="42">
        <v>189.0</v>
      </c>
      <c r="G494" s="29" t="str">
        <f t="shared" si="1"/>
        <v>13189</v>
      </c>
      <c r="H494" s="37" t="s">
        <v>605</v>
      </c>
      <c r="I494" s="37" t="s">
        <v>44</v>
      </c>
      <c r="J494" s="37" t="s">
        <v>393</v>
      </c>
      <c r="K494" s="37" t="str">
        <f t="shared" si="11"/>
        <v>McDuffie, GA</v>
      </c>
      <c r="L494" s="37">
        <v>11.0</v>
      </c>
      <c r="M494" s="37" t="s">
        <v>63</v>
      </c>
      <c r="N494" s="37">
        <v>4.0</v>
      </c>
      <c r="O494" s="37">
        <v>6.0</v>
      </c>
      <c r="P494" s="37" t="s">
        <v>63</v>
      </c>
      <c r="Q494" s="37">
        <v>9.0</v>
      </c>
      <c r="R494" s="37">
        <v>4.0</v>
      </c>
      <c r="S494" s="37" t="s">
        <v>63</v>
      </c>
      <c r="T494" s="69" t="s">
        <v>63</v>
      </c>
      <c r="U494" s="37" t="s">
        <v>63</v>
      </c>
      <c r="V494" s="37" t="s">
        <v>63</v>
      </c>
      <c r="W494" s="37" t="s">
        <v>63</v>
      </c>
      <c r="X494" s="37" t="s">
        <v>63</v>
      </c>
      <c r="Y494" s="53">
        <v>21.0</v>
      </c>
      <c r="Z494" s="69" t="s">
        <v>63</v>
      </c>
      <c r="AA494" s="73"/>
      <c r="AB494" s="73"/>
      <c r="AC494" s="73"/>
      <c r="AD494" s="73"/>
      <c r="AE494" s="73"/>
      <c r="AF494" s="73"/>
      <c r="AG494" s="73"/>
      <c r="AH494" s="73"/>
      <c r="AI494" s="73"/>
      <c r="AJ494" s="73"/>
      <c r="AK494" s="73"/>
    </row>
    <row r="495">
      <c r="A495" s="28">
        <v>494.0</v>
      </c>
      <c r="B495" s="29"/>
      <c r="C495" s="29"/>
      <c r="D495" s="40">
        <v>1.0</v>
      </c>
      <c r="E495" s="31">
        <v>13.0</v>
      </c>
      <c r="F495" s="42">
        <v>191.0</v>
      </c>
      <c r="G495" s="29" t="str">
        <f t="shared" si="1"/>
        <v>13191</v>
      </c>
      <c r="H495" s="37" t="s">
        <v>606</v>
      </c>
      <c r="I495" s="37" t="s">
        <v>44</v>
      </c>
      <c r="J495" s="37" t="s">
        <v>393</v>
      </c>
      <c r="K495" s="37" t="str">
        <f t="shared" si="11"/>
        <v>McIntosh, GA</v>
      </c>
      <c r="L495" s="37">
        <v>31.0</v>
      </c>
      <c r="M495" s="37" t="s">
        <v>63</v>
      </c>
      <c r="N495" s="37">
        <v>10.0</v>
      </c>
      <c r="O495" s="37">
        <v>19.0</v>
      </c>
      <c r="P495" s="37" t="s">
        <v>63</v>
      </c>
      <c r="Q495" s="37">
        <v>12.0</v>
      </c>
      <c r="R495" s="37">
        <v>1.0</v>
      </c>
      <c r="S495" s="37" t="s">
        <v>63</v>
      </c>
      <c r="T495" s="69" t="s">
        <v>63</v>
      </c>
      <c r="U495" s="37" t="s">
        <v>63</v>
      </c>
      <c r="V495" s="37" t="s">
        <v>63</v>
      </c>
      <c r="W495" s="37" t="s">
        <v>63</v>
      </c>
      <c r="X495" s="37" t="s">
        <v>63</v>
      </c>
      <c r="Y495" s="53">
        <v>38.0</v>
      </c>
      <c r="Z495" s="69" t="s">
        <v>63</v>
      </c>
      <c r="AA495" s="73"/>
      <c r="AB495" s="73"/>
      <c r="AC495" s="73"/>
      <c r="AD495" s="73"/>
      <c r="AE495" s="73"/>
      <c r="AF495" s="73"/>
      <c r="AG495" s="73"/>
      <c r="AH495" s="73"/>
      <c r="AI495" s="73"/>
      <c r="AJ495" s="73"/>
      <c r="AK495" s="73"/>
    </row>
    <row r="496">
      <c r="A496" s="28">
        <v>495.0</v>
      </c>
      <c r="B496" s="29"/>
      <c r="C496" s="29"/>
      <c r="D496" s="40">
        <v>1.0</v>
      </c>
      <c r="E496" s="31">
        <v>13.0</v>
      </c>
      <c r="F496" s="42">
        <v>193.0</v>
      </c>
      <c r="G496" s="29" t="str">
        <f t="shared" si="1"/>
        <v>13193</v>
      </c>
      <c r="H496" s="37" t="s">
        <v>150</v>
      </c>
      <c r="I496" s="37" t="s">
        <v>44</v>
      </c>
      <c r="J496" s="37" t="s">
        <v>393</v>
      </c>
      <c r="K496" s="37" t="str">
        <f t="shared" si="11"/>
        <v>Macon, GA</v>
      </c>
      <c r="L496" s="37">
        <v>4.0</v>
      </c>
      <c r="M496" s="37" t="s">
        <v>63</v>
      </c>
      <c r="N496" s="37">
        <v>0.0</v>
      </c>
      <c r="O496" s="37">
        <v>4.0</v>
      </c>
      <c r="P496" s="37" t="s">
        <v>63</v>
      </c>
      <c r="Q496" s="37">
        <v>1.0</v>
      </c>
      <c r="R496" s="37">
        <v>0.0</v>
      </c>
      <c r="S496" s="37" t="s">
        <v>63</v>
      </c>
      <c r="T496" s="69" t="s">
        <v>63</v>
      </c>
      <c r="U496" s="37" t="s">
        <v>63</v>
      </c>
      <c r="V496" s="37" t="s">
        <v>63</v>
      </c>
      <c r="W496" s="37" t="s">
        <v>63</v>
      </c>
      <c r="X496" s="37" t="s">
        <v>63</v>
      </c>
      <c r="Y496" s="53">
        <v>8.0</v>
      </c>
      <c r="Z496" s="69" t="s">
        <v>63</v>
      </c>
      <c r="AA496" s="73"/>
      <c r="AB496" s="73"/>
      <c r="AC496" s="73"/>
      <c r="AD496" s="73"/>
      <c r="AE496" s="73"/>
      <c r="AF496" s="73"/>
      <c r="AG496" s="73"/>
      <c r="AH496" s="73"/>
      <c r="AI496" s="73"/>
      <c r="AJ496" s="73"/>
      <c r="AK496" s="73"/>
    </row>
    <row r="497">
      <c r="A497" s="28">
        <v>496.0</v>
      </c>
      <c r="B497" s="29"/>
      <c r="C497" s="29"/>
      <c r="D497" s="40">
        <v>1.0</v>
      </c>
      <c r="E497" s="31">
        <v>13.0</v>
      </c>
      <c r="F497" s="42">
        <v>195.0</v>
      </c>
      <c r="G497" s="29" t="str">
        <f t="shared" si="1"/>
        <v>13195</v>
      </c>
      <c r="H497" s="37" t="s">
        <v>151</v>
      </c>
      <c r="I497" s="37" t="s">
        <v>44</v>
      </c>
      <c r="J497" s="37" t="s">
        <v>393</v>
      </c>
      <c r="K497" s="37" t="str">
        <f t="shared" si="11"/>
        <v>Madison, GA</v>
      </c>
      <c r="L497" s="37">
        <v>40.0</v>
      </c>
      <c r="M497" s="37" t="s">
        <v>63</v>
      </c>
      <c r="N497" s="37">
        <v>18.0</v>
      </c>
      <c r="O497" s="37">
        <v>17.0</v>
      </c>
      <c r="P497" s="37" t="s">
        <v>63</v>
      </c>
      <c r="Q497" s="37">
        <v>11.0</v>
      </c>
      <c r="R497" s="37">
        <v>2.0</v>
      </c>
      <c r="S497" s="37" t="s">
        <v>63</v>
      </c>
      <c r="T497" s="69" t="s">
        <v>63</v>
      </c>
      <c r="U497" s="37" t="s">
        <v>63</v>
      </c>
      <c r="V497" s="37" t="s">
        <v>63</v>
      </c>
      <c r="W497" s="37" t="s">
        <v>63</v>
      </c>
      <c r="X497" s="37" t="s">
        <v>63</v>
      </c>
      <c r="Y497" s="53">
        <v>28.0</v>
      </c>
      <c r="Z497" s="69" t="s">
        <v>63</v>
      </c>
      <c r="AA497" s="73"/>
      <c r="AB497" s="73"/>
      <c r="AC497" s="73"/>
      <c r="AD497" s="73"/>
      <c r="AE497" s="73"/>
      <c r="AF497" s="73"/>
      <c r="AG497" s="73"/>
      <c r="AH497" s="73"/>
      <c r="AI497" s="73"/>
      <c r="AJ497" s="73"/>
      <c r="AK497" s="73"/>
    </row>
    <row r="498">
      <c r="A498" s="28">
        <v>497.0</v>
      </c>
      <c r="B498" s="29"/>
      <c r="C498" s="29"/>
      <c r="D498" s="40">
        <v>1.0</v>
      </c>
      <c r="E498" s="31">
        <v>13.0</v>
      </c>
      <c r="F498" s="42">
        <v>197.0</v>
      </c>
      <c r="G498" s="29" t="str">
        <f t="shared" si="1"/>
        <v>13197</v>
      </c>
      <c r="H498" s="37" t="s">
        <v>153</v>
      </c>
      <c r="I498" s="37" t="s">
        <v>44</v>
      </c>
      <c r="J498" s="37" t="s">
        <v>393</v>
      </c>
      <c r="K498" s="37" t="str">
        <f t="shared" si="11"/>
        <v>Marion, GA</v>
      </c>
      <c r="L498" s="37">
        <v>18.0</v>
      </c>
      <c r="M498" s="37" t="s">
        <v>63</v>
      </c>
      <c r="N498" s="37">
        <v>8.0</v>
      </c>
      <c r="O498" s="37">
        <v>5.0</v>
      </c>
      <c r="P498" s="37" t="s">
        <v>63</v>
      </c>
      <c r="Q498" s="37">
        <v>11.0</v>
      </c>
      <c r="R498" s="37">
        <v>0.0</v>
      </c>
      <c r="S498" s="37" t="s">
        <v>63</v>
      </c>
      <c r="T498" s="69" t="s">
        <v>63</v>
      </c>
      <c r="U498" s="37" t="s">
        <v>63</v>
      </c>
      <c r="V498" s="37" t="s">
        <v>63</v>
      </c>
      <c r="W498" s="37" t="s">
        <v>63</v>
      </c>
      <c r="X498" s="37" t="s">
        <v>63</v>
      </c>
      <c r="Y498" s="53">
        <v>26.0</v>
      </c>
      <c r="Z498" s="69" t="s">
        <v>63</v>
      </c>
      <c r="AA498" s="73"/>
      <c r="AB498" s="73"/>
      <c r="AC498" s="73"/>
      <c r="AD498" s="73"/>
      <c r="AE498" s="73"/>
      <c r="AF498" s="73"/>
      <c r="AG498" s="73"/>
      <c r="AH498" s="73"/>
      <c r="AI498" s="73"/>
      <c r="AJ498" s="73"/>
      <c r="AK498" s="73"/>
    </row>
    <row r="499">
      <c r="A499" s="28">
        <v>498.0</v>
      </c>
      <c r="B499" s="29"/>
      <c r="C499" s="29"/>
      <c r="D499" s="40">
        <v>1.0</v>
      </c>
      <c r="E499" s="31">
        <v>13.0</v>
      </c>
      <c r="F499" s="42">
        <v>199.0</v>
      </c>
      <c r="G499" s="29" t="str">
        <f t="shared" si="1"/>
        <v>13199</v>
      </c>
      <c r="H499" s="37" t="s">
        <v>609</v>
      </c>
      <c r="I499" s="37" t="s">
        <v>44</v>
      </c>
      <c r="J499" s="37" t="s">
        <v>393</v>
      </c>
      <c r="K499" s="37" t="str">
        <f t="shared" si="11"/>
        <v>Meriwether, GA</v>
      </c>
      <c r="L499" s="37">
        <v>32.0</v>
      </c>
      <c r="M499" s="37" t="s">
        <v>63</v>
      </c>
      <c r="N499" s="37">
        <v>9.0</v>
      </c>
      <c r="O499" s="37">
        <v>10.0</v>
      </c>
      <c r="P499" s="37" t="s">
        <v>63</v>
      </c>
      <c r="Q499" s="37">
        <v>7.0</v>
      </c>
      <c r="R499" s="37">
        <v>1.0</v>
      </c>
      <c r="S499" s="37" t="s">
        <v>63</v>
      </c>
      <c r="T499" s="69" t="s">
        <v>63</v>
      </c>
      <c r="U499" s="37" t="s">
        <v>63</v>
      </c>
      <c r="V499" s="37" t="s">
        <v>63</v>
      </c>
      <c r="W499" s="37" t="s">
        <v>63</v>
      </c>
      <c r="X499" s="37" t="s">
        <v>63</v>
      </c>
      <c r="Y499" s="53">
        <v>45.0</v>
      </c>
      <c r="Z499" s="69" t="s">
        <v>63</v>
      </c>
      <c r="AA499" s="73"/>
      <c r="AB499" s="73"/>
      <c r="AC499" s="73"/>
      <c r="AD499" s="73"/>
      <c r="AE499" s="73"/>
      <c r="AF499" s="73"/>
      <c r="AG499" s="73"/>
      <c r="AH499" s="73"/>
      <c r="AI499" s="73"/>
      <c r="AJ499" s="73"/>
      <c r="AK499" s="73"/>
    </row>
    <row r="500">
      <c r="A500" s="28">
        <v>499.0</v>
      </c>
      <c r="B500" s="29"/>
      <c r="C500" s="29"/>
      <c r="D500" s="40">
        <v>1.0</v>
      </c>
      <c r="E500" s="31">
        <v>13.0</v>
      </c>
      <c r="F500" s="42">
        <v>201.0</v>
      </c>
      <c r="G500" s="29" t="str">
        <f t="shared" si="1"/>
        <v>13201</v>
      </c>
      <c r="H500" s="37" t="s">
        <v>295</v>
      </c>
      <c r="I500" s="37" t="s">
        <v>44</v>
      </c>
      <c r="J500" s="37" t="s">
        <v>393</v>
      </c>
      <c r="K500" s="37" t="str">
        <f t="shared" si="11"/>
        <v>Miller, GA</v>
      </c>
      <c r="L500" s="37">
        <v>7.0</v>
      </c>
      <c r="M500" s="37" t="s">
        <v>63</v>
      </c>
      <c r="N500" s="37">
        <v>4.0</v>
      </c>
      <c r="O500" s="37">
        <v>1.0</v>
      </c>
      <c r="P500" s="37" t="s">
        <v>63</v>
      </c>
      <c r="Q500" s="37">
        <v>8.0</v>
      </c>
      <c r="R500" s="37">
        <v>0.0</v>
      </c>
      <c r="S500" s="37" t="s">
        <v>63</v>
      </c>
      <c r="T500" s="69" t="s">
        <v>63</v>
      </c>
      <c r="U500" s="37" t="s">
        <v>63</v>
      </c>
      <c r="V500" s="37" t="s">
        <v>63</v>
      </c>
      <c r="W500" s="37" t="s">
        <v>63</v>
      </c>
      <c r="X500" s="37" t="s">
        <v>63</v>
      </c>
      <c r="Y500" s="53">
        <v>5.0</v>
      </c>
      <c r="Z500" s="69" t="s">
        <v>63</v>
      </c>
      <c r="AA500" s="73"/>
      <c r="AB500" s="73"/>
      <c r="AC500" s="73"/>
      <c r="AD500" s="73"/>
      <c r="AE500" s="73"/>
      <c r="AF500" s="73"/>
      <c r="AG500" s="73"/>
      <c r="AH500" s="73"/>
      <c r="AI500" s="73"/>
      <c r="AJ500" s="73"/>
      <c r="AK500" s="73"/>
    </row>
    <row r="501">
      <c r="A501" s="28">
        <v>500.0</v>
      </c>
      <c r="B501" s="29"/>
      <c r="C501" s="29"/>
      <c r="D501" s="40">
        <v>1.0</v>
      </c>
      <c r="E501" s="31">
        <v>13.0</v>
      </c>
      <c r="F501" s="42">
        <v>205.0</v>
      </c>
      <c r="G501" s="29" t="str">
        <f t="shared" si="1"/>
        <v>13205</v>
      </c>
      <c r="H501" s="37" t="s">
        <v>610</v>
      </c>
      <c r="I501" s="37" t="s">
        <v>44</v>
      </c>
      <c r="J501" s="37" t="s">
        <v>393</v>
      </c>
      <c r="K501" s="37" t="str">
        <f t="shared" si="11"/>
        <v>Mitchell, GA</v>
      </c>
      <c r="L501" s="37">
        <v>21.0</v>
      </c>
      <c r="M501" s="37" t="s">
        <v>63</v>
      </c>
      <c r="N501" s="37">
        <v>15.0</v>
      </c>
      <c r="O501" s="37">
        <v>3.0</v>
      </c>
      <c r="P501" s="37" t="s">
        <v>63</v>
      </c>
      <c r="Q501" s="37">
        <v>20.0</v>
      </c>
      <c r="R501" s="37">
        <v>2.0</v>
      </c>
      <c r="S501" s="37" t="s">
        <v>63</v>
      </c>
      <c r="T501" s="69" t="s">
        <v>63</v>
      </c>
      <c r="U501" s="37" t="s">
        <v>63</v>
      </c>
      <c r="V501" s="37" t="s">
        <v>63</v>
      </c>
      <c r="W501" s="37" t="s">
        <v>63</v>
      </c>
      <c r="X501" s="37" t="s">
        <v>63</v>
      </c>
      <c r="Y501" s="53">
        <v>34.0</v>
      </c>
      <c r="Z501" s="69" t="s">
        <v>63</v>
      </c>
      <c r="AA501" s="73"/>
      <c r="AB501" s="73"/>
      <c r="AC501" s="73"/>
      <c r="AD501" s="73"/>
      <c r="AE501" s="73"/>
      <c r="AF501" s="73"/>
      <c r="AG501" s="73"/>
      <c r="AH501" s="73"/>
      <c r="AI501" s="73"/>
      <c r="AJ501" s="73"/>
      <c r="AK501" s="73"/>
    </row>
    <row r="502">
      <c r="A502" s="28">
        <v>501.0</v>
      </c>
      <c r="B502" s="29"/>
      <c r="C502" s="29"/>
      <c r="D502" s="40">
        <v>1.0</v>
      </c>
      <c r="E502" s="31">
        <v>13.0</v>
      </c>
      <c r="F502" s="42">
        <v>207.0</v>
      </c>
      <c r="G502" s="29" t="str">
        <f t="shared" si="1"/>
        <v>13207</v>
      </c>
      <c r="H502" s="37" t="s">
        <v>156</v>
      </c>
      <c r="I502" s="37" t="s">
        <v>44</v>
      </c>
      <c r="J502" s="37" t="s">
        <v>393</v>
      </c>
      <c r="K502" s="37" t="str">
        <f t="shared" si="11"/>
        <v>Monroe, GA</v>
      </c>
      <c r="L502" s="37">
        <v>29.0</v>
      </c>
      <c r="M502" s="37" t="s">
        <v>63</v>
      </c>
      <c r="N502" s="37">
        <v>12.0</v>
      </c>
      <c r="O502" s="37">
        <v>5.0</v>
      </c>
      <c r="P502" s="37" t="s">
        <v>63</v>
      </c>
      <c r="Q502" s="37">
        <v>19.0</v>
      </c>
      <c r="R502" s="37">
        <v>4.0</v>
      </c>
      <c r="S502" s="37" t="s">
        <v>63</v>
      </c>
      <c r="T502" s="69" t="s">
        <v>63</v>
      </c>
      <c r="U502" s="37" t="s">
        <v>63</v>
      </c>
      <c r="V502" s="37" t="s">
        <v>63</v>
      </c>
      <c r="W502" s="37" t="s">
        <v>63</v>
      </c>
      <c r="X502" s="37" t="s">
        <v>63</v>
      </c>
      <c r="Y502" s="53">
        <v>32.0</v>
      </c>
      <c r="Z502" s="69" t="s">
        <v>63</v>
      </c>
      <c r="AA502" s="73"/>
      <c r="AB502" s="73"/>
      <c r="AC502" s="73"/>
      <c r="AD502" s="73"/>
      <c r="AE502" s="73"/>
      <c r="AF502" s="73"/>
      <c r="AG502" s="73"/>
      <c r="AH502" s="73"/>
      <c r="AI502" s="73"/>
      <c r="AJ502" s="73"/>
      <c r="AK502" s="73"/>
    </row>
    <row r="503">
      <c r="A503" s="28">
        <v>502.0</v>
      </c>
      <c r="B503" s="29"/>
      <c r="C503" s="29"/>
      <c r="D503" s="40">
        <v>1.0</v>
      </c>
      <c r="E503" s="31">
        <v>13.0</v>
      </c>
      <c r="F503" s="42">
        <v>209.0</v>
      </c>
      <c r="G503" s="29" t="str">
        <f t="shared" si="1"/>
        <v>13209</v>
      </c>
      <c r="H503" s="37" t="s">
        <v>157</v>
      </c>
      <c r="I503" s="37" t="s">
        <v>44</v>
      </c>
      <c r="J503" s="37" t="s">
        <v>393</v>
      </c>
      <c r="K503" s="136" t="str">
        <f t="shared" si="11"/>
        <v>Montgomery, GA</v>
      </c>
      <c r="L503" s="37">
        <v>12.0</v>
      </c>
      <c r="M503" s="37" t="s">
        <v>63</v>
      </c>
      <c r="N503" s="37">
        <v>5.0</v>
      </c>
      <c r="O503" s="37">
        <v>1.0</v>
      </c>
      <c r="P503" s="37" t="s">
        <v>63</v>
      </c>
      <c r="Q503" s="37">
        <v>3.0</v>
      </c>
      <c r="R503" s="37">
        <v>0.0</v>
      </c>
      <c r="S503" s="37" t="s">
        <v>63</v>
      </c>
      <c r="T503" s="69" t="s">
        <v>63</v>
      </c>
      <c r="U503" s="37" t="s">
        <v>63</v>
      </c>
      <c r="V503" s="37" t="s">
        <v>63</v>
      </c>
      <c r="W503" s="37" t="s">
        <v>63</v>
      </c>
      <c r="X503" s="37" t="s">
        <v>63</v>
      </c>
      <c r="Y503" s="53">
        <v>16.0</v>
      </c>
      <c r="Z503" s="69" t="s">
        <v>63</v>
      </c>
      <c r="AA503" s="73"/>
      <c r="AB503" s="73"/>
      <c r="AC503" s="73"/>
      <c r="AD503" s="73"/>
      <c r="AE503" s="73"/>
      <c r="AF503" s="73"/>
      <c r="AG503" s="73"/>
      <c r="AH503" s="73"/>
      <c r="AI503" s="73"/>
      <c r="AJ503" s="73"/>
      <c r="AK503" s="73"/>
    </row>
    <row r="504">
      <c r="A504" s="28">
        <v>503.0</v>
      </c>
      <c r="B504" s="29"/>
      <c r="C504" s="29"/>
      <c r="D504" s="40">
        <v>1.0</v>
      </c>
      <c r="E504" s="31">
        <v>13.0</v>
      </c>
      <c r="F504" s="42">
        <v>211.0</v>
      </c>
      <c r="G504" s="29" t="str">
        <f t="shared" si="1"/>
        <v>13211</v>
      </c>
      <c r="H504" s="37" t="s">
        <v>158</v>
      </c>
      <c r="I504" s="37" t="s">
        <v>44</v>
      </c>
      <c r="J504" s="37" t="s">
        <v>393</v>
      </c>
      <c r="K504" s="37" t="str">
        <f t="shared" si="11"/>
        <v>Morgan, GA</v>
      </c>
      <c r="L504" s="37">
        <v>28.0</v>
      </c>
      <c r="M504" s="37" t="s">
        <v>63</v>
      </c>
      <c r="N504" s="37">
        <v>19.0</v>
      </c>
      <c r="O504" s="37">
        <v>4.0</v>
      </c>
      <c r="P504" s="37" t="s">
        <v>63</v>
      </c>
      <c r="Q504" s="37">
        <v>15.0</v>
      </c>
      <c r="R504" s="37">
        <v>7.0</v>
      </c>
      <c r="S504" s="37" t="s">
        <v>63</v>
      </c>
      <c r="T504" s="69" t="s">
        <v>63</v>
      </c>
      <c r="U504" s="37" t="s">
        <v>63</v>
      </c>
      <c r="V504" s="37" t="s">
        <v>63</v>
      </c>
      <c r="W504" s="37" t="s">
        <v>63</v>
      </c>
      <c r="X504" s="37" t="s">
        <v>63</v>
      </c>
      <c r="Y504" s="53">
        <v>38.0</v>
      </c>
      <c r="Z504" s="69" t="s">
        <v>63</v>
      </c>
      <c r="AA504" s="73"/>
      <c r="AB504" s="73"/>
      <c r="AC504" s="73"/>
      <c r="AD504" s="73"/>
      <c r="AE504" s="73"/>
      <c r="AF504" s="73"/>
      <c r="AG504" s="73"/>
      <c r="AH504" s="73"/>
      <c r="AI504" s="73"/>
      <c r="AJ504" s="73"/>
      <c r="AK504" s="73"/>
    </row>
    <row r="505">
      <c r="A505" s="28">
        <v>504.0</v>
      </c>
      <c r="B505" s="29"/>
      <c r="C505" s="29"/>
      <c r="D505" s="40">
        <v>1.0</v>
      </c>
      <c r="E505" s="31">
        <v>13.0</v>
      </c>
      <c r="F505" s="42">
        <v>213.0</v>
      </c>
      <c r="G505" s="29" t="str">
        <f t="shared" si="1"/>
        <v>13213</v>
      </c>
      <c r="H505" s="37" t="s">
        <v>611</v>
      </c>
      <c r="I505" s="37" t="s">
        <v>44</v>
      </c>
      <c r="J505" s="37" t="s">
        <v>393</v>
      </c>
      <c r="K505" s="37" t="str">
        <f t="shared" si="11"/>
        <v>Murray, GA</v>
      </c>
      <c r="L505" s="37">
        <v>100.0</v>
      </c>
      <c r="M505" s="37" t="s">
        <v>63</v>
      </c>
      <c r="N505" s="37">
        <v>47.0</v>
      </c>
      <c r="O505" s="37">
        <v>15.0</v>
      </c>
      <c r="P505" s="37" t="s">
        <v>63</v>
      </c>
      <c r="Q505" s="37">
        <v>13.0</v>
      </c>
      <c r="R505" s="37">
        <v>9.0</v>
      </c>
      <c r="S505" s="37" t="s">
        <v>63</v>
      </c>
      <c r="T505" s="69" t="s">
        <v>63</v>
      </c>
      <c r="U505" s="37" t="s">
        <v>63</v>
      </c>
      <c r="V505" s="37" t="s">
        <v>63</v>
      </c>
      <c r="W505" s="37" t="s">
        <v>63</v>
      </c>
      <c r="X505" s="37" t="s">
        <v>63</v>
      </c>
      <c r="Y505" s="53">
        <v>28.0</v>
      </c>
      <c r="Z505" s="69" t="s">
        <v>63</v>
      </c>
      <c r="AA505" s="73"/>
      <c r="AB505" s="73"/>
      <c r="AC505" s="73"/>
      <c r="AD505" s="73"/>
      <c r="AE505" s="73"/>
      <c r="AF505" s="73"/>
      <c r="AG505" s="73"/>
      <c r="AH505" s="73"/>
      <c r="AI505" s="73"/>
      <c r="AJ505" s="73"/>
      <c r="AK505" s="73"/>
    </row>
    <row r="506">
      <c r="A506" s="28">
        <v>505.0</v>
      </c>
      <c r="B506" s="29"/>
      <c r="C506" s="29"/>
      <c r="D506" s="40">
        <v>1.0</v>
      </c>
      <c r="E506" s="31">
        <v>13.0</v>
      </c>
      <c r="F506" s="42">
        <v>215.0</v>
      </c>
      <c r="G506" s="29" t="str">
        <f t="shared" si="1"/>
        <v>13215</v>
      </c>
      <c r="H506" s="37" t="s">
        <v>613</v>
      </c>
      <c r="I506" s="37" t="s">
        <v>44</v>
      </c>
      <c r="J506" s="37" t="s">
        <v>393</v>
      </c>
      <c r="K506" s="37" t="str">
        <f t="shared" si="11"/>
        <v>Muscogee, GA</v>
      </c>
      <c r="L506" s="37">
        <v>492.0</v>
      </c>
      <c r="M506" s="37" t="s">
        <v>63</v>
      </c>
      <c r="N506" s="37">
        <v>293.0</v>
      </c>
      <c r="O506" s="37">
        <v>129.0</v>
      </c>
      <c r="P506" s="37" t="s">
        <v>63</v>
      </c>
      <c r="Q506" s="37">
        <v>151.0</v>
      </c>
      <c r="R506" s="37">
        <v>52.0</v>
      </c>
      <c r="S506" s="37" t="s">
        <v>63</v>
      </c>
      <c r="T506" s="69" t="s">
        <v>63</v>
      </c>
      <c r="U506" s="37" t="s">
        <v>63</v>
      </c>
      <c r="V506" s="37" t="s">
        <v>63</v>
      </c>
      <c r="W506" s="37" t="s">
        <v>63</v>
      </c>
      <c r="X506" s="37" t="s">
        <v>63</v>
      </c>
      <c r="Y506" s="53">
        <v>215.0</v>
      </c>
      <c r="Z506" s="69" t="s">
        <v>63</v>
      </c>
      <c r="AA506" s="73"/>
      <c r="AB506" s="73"/>
      <c r="AC506" s="73"/>
      <c r="AD506" s="73"/>
      <c r="AE506" s="73"/>
      <c r="AF506" s="73"/>
      <c r="AG506" s="73"/>
      <c r="AH506" s="73"/>
      <c r="AI506" s="73"/>
      <c r="AJ506" s="73"/>
      <c r="AK506" s="73"/>
    </row>
    <row r="507">
      <c r="A507" s="28">
        <v>506.0</v>
      </c>
      <c r="B507" s="29"/>
      <c r="C507" s="29"/>
      <c r="D507" s="40">
        <v>1.0</v>
      </c>
      <c r="E507" s="31">
        <v>13.0</v>
      </c>
      <c r="F507" s="42">
        <v>217.0</v>
      </c>
      <c r="G507" s="29" t="str">
        <f t="shared" si="1"/>
        <v>13217</v>
      </c>
      <c r="H507" s="37" t="s">
        <v>297</v>
      </c>
      <c r="I507" s="37" t="s">
        <v>44</v>
      </c>
      <c r="J507" s="37" t="s">
        <v>393</v>
      </c>
      <c r="K507" s="37" t="str">
        <f t="shared" si="11"/>
        <v>Newton, GA</v>
      </c>
      <c r="L507" s="37">
        <v>82.0</v>
      </c>
      <c r="M507" s="37" t="s">
        <v>63</v>
      </c>
      <c r="N507" s="37">
        <v>41.0</v>
      </c>
      <c r="O507" s="37">
        <v>14.0</v>
      </c>
      <c r="P507" s="37" t="s">
        <v>63</v>
      </c>
      <c r="Q507" s="37">
        <v>91.0</v>
      </c>
      <c r="R507" s="37">
        <v>16.0</v>
      </c>
      <c r="S507" s="37" t="s">
        <v>63</v>
      </c>
      <c r="T507" s="69" t="s">
        <v>63</v>
      </c>
      <c r="U507" s="37" t="s">
        <v>63</v>
      </c>
      <c r="V507" s="37" t="s">
        <v>63</v>
      </c>
      <c r="W507" s="37" t="s">
        <v>63</v>
      </c>
      <c r="X507" s="37" t="s">
        <v>63</v>
      </c>
      <c r="Y507" s="53">
        <v>99.0</v>
      </c>
      <c r="Z507" s="69" t="s">
        <v>63</v>
      </c>
      <c r="AA507" s="73"/>
      <c r="AB507" s="73"/>
      <c r="AC507" s="73"/>
      <c r="AD507" s="73"/>
      <c r="AE507" s="73"/>
      <c r="AF507" s="73"/>
      <c r="AG507" s="73"/>
      <c r="AH507" s="73"/>
      <c r="AI507" s="73"/>
      <c r="AJ507" s="73"/>
      <c r="AK507" s="73"/>
    </row>
    <row r="508">
      <c r="A508" s="28">
        <v>507.0</v>
      </c>
      <c r="B508" s="29"/>
      <c r="C508" s="29"/>
      <c r="D508" s="40">
        <v>1.0</v>
      </c>
      <c r="E508" s="31">
        <v>13.0</v>
      </c>
      <c r="F508" s="42">
        <v>219.0</v>
      </c>
      <c r="G508" s="29" t="str">
        <f t="shared" si="1"/>
        <v>13219</v>
      </c>
      <c r="H508" s="37" t="s">
        <v>614</v>
      </c>
      <c r="I508" s="37" t="s">
        <v>44</v>
      </c>
      <c r="J508" s="37" t="s">
        <v>393</v>
      </c>
      <c r="K508" s="37" t="str">
        <f t="shared" si="11"/>
        <v>Oconee, GA</v>
      </c>
      <c r="L508" s="37">
        <v>22.0</v>
      </c>
      <c r="M508" s="37" t="s">
        <v>63</v>
      </c>
      <c r="N508" s="37">
        <v>5.0</v>
      </c>
      <c r="O508" s="37">
        <v>14.0</v>
      </c>
      <c r="P508" s="37" t="s">
        <v>63</v>
      </c>
      <c r="Q508" s="37">
        <v>19.0</v>
      </c>
      <c r="R508" s="37">
        <v>0.0</v>
      </c>
      <c r="S508" s="37" t="s">
        <v>63</v>
      </c>
      <c r="T508" s="69" t="s">
        <v>63</v>
      </c>
      <c r="U508" s="37" t="s">
        <v>63</v>
      </c>
      <c r="V508" s="37" t="s">
        <v>63</v>
      </c>
      <c r="W508" s="37" t="s">
        <v>63</v>
      </c>
      <c r="X508" s="37" t="s">
        <v>63</v>
      </c>
      <c r="Y508" s="53">
        <v>34.0</v>
      </c>
      <c r="Z508" s="69" t="s">
        <v>63</v>
      </c>
      <c r="AA508" s="73"/>
      <c r="AB508" s="73"/>
      <c r="AC508" s="73"/>
      <c r="AD508" s="73"/>
      <c r="AE508" s="73"/>
      <c r="AF508" s="73"/>
      <c r="AG508" s="73"/>
      <c r="AH508" s="73"/>
      <c r="AI508" s="73"/>
      <c r="AJ508" s="73"/>
      <c r="AK508" s="73"/>
    </row>
    <row r="509">
      <c r="A509" s="28">
        <v>508.0</v>
      </c>
      <c r="B509" s="29"/>
      <c r="C509" s="29"/>
      <c r="D509" s="40">
        <v>1.0</v>
      </c>
      <c r="E509" s="31">
        <v>13.0</v>
      </c>
      <c r="F509" s="42">
        <v>221.0</v>
      </c>
      <c r="G509" s="29" t="str">
        <f t="shared" si="1"/>
        <v>13221</v>
      </c>
      <c r="H509" s="37" t="s">
        <v>615</v>
      </c>
      <c r="I509" s="37" t="s">
        <v>44</v>
      </c>
      <c r="J509" s="37" t="s">
        <v>393</v>
      </c>
      <c r="K509" s="37" t="str">
        <f t="shared" si="11"/>
        <v>Oglethorpe, GA</v>
      </c>
      <c r="L509" s="37">
        <v>10.0</v>
      </c>
      <c r="M509" s="37" t="s">
        <v>63</v>
      </c>
      <c r="N509" s="37">
        <v>6.0</v>
      </c>
      <c r="O509" s="37">
        <v>1.0</v>
      </c>
      <c r="P509" s="37" t="s">
        <v>63</v>
      </c>
      <c r="Q509" s="37">
        <v>5.0</v>
      </c>
      <c r="R509" s="37">
        <v>4.0</v>
      </c>
      <c r="S509" s="37" t="s">
        <v>63</v>
      </c>
      <c r="T509" s="69" t="s">
        <v>63</v>
      </c>
      <c r="U509" s="37" t="s">
        <v>63</v>
      </c>
      <c r="V509" s="37" t="s">
        <v>63</v>
      </c>
      <c r="W509" s="37" t="s">
        <v>63</v>
      </c>
      <c r="X509" s="37" t="s">
        <v>63</v>
      </c>
      <c r="Y509" s="53">
        <v>24.0</v>
      </c>
      <c r="Z509" s="69" t="s">
        <v>63</v>
      </c>
      <c r="AA509" s="73"/>
      <c r="AB509" s="73"/>
      <c r="AC509" s="73"/>
      <c r="AD509" s="73"/>
      <c r="AE509" s="73"/>
      <c r="AF509" s="73"/>
      <c r="AG509" s="73"/>
      <c r="AH509" s="73"/>
      <c r="AI509" s="73"/>
      <c r="AJ509" s="73"/>
      <c r="AK509" s="73"/>
    </row>
    <row r="510">
      <c r="A510" s="28">
        <v>509.0</v>
      </c>
      <c r="B510" s="29"/>
      <c r="C510" s="29"/>
      <c r="D510" s="40">
        <v>1.0</v>
      </c>
      <c r="E510" s="31">
        <v>13.0</v>
      </c>
      <c r="F510" s="42">
        <v>223.0</v>
      </c>
      <c r="G510" s="29" t="str">
        <f t="shared" si="1"/>
        <v>13223</v>
      </c>
      <c r="H510" s="37" t="s">
        <v>616</v>
      </c>
      <c r="I510" s="37" t="s">
        <v>44</v>
      </c>
      <c r="J510" s="37" t="s">
        <v>393</v>
      </c>
      <c r="K510" s="37" t="str">
        <f t="shared" si="11"/>
        <v>Paulding, GA</v>
      </c>
      <c r="L510" s="37">
        <v>121.0</v>
      </c>
      <c r="M510" s="37" t="s">
        <v>63</v>
      </c>
      <c r="N510" s="37">
        <v>51.0</v>
      </c>
      <c r="O510" s="37">
        <v>17.0</v>
      </c>
      <c r="P510" s="37" t="s">
        <v>63</v>
      </c>
      <c r="Q510" s="37">
        <v>105.0</v>
      </c>
      <c r="R510" s="37">
        <v>33.0</v>
      </c>
      <c r="S510" s="37" t="s">
        <v>63</v>
      </c>
      <c r="T510" s="69" t="s">
        <v>63</v>
      </c>
      <c r="U510" s="37" t="s">
        <v>63</v>
      </c>
      <c r="V510" s="37" t="s">
        <v>63</v>
      </c>
      <c r="W510" s="37" t="s">
        <v>63</v>
      </c>
      <c r="X510" s="37" t="s">
        <v>63</v>
      </c>
      <c r="Y510" s="53">
        <v>85.0</v>
      </c>
      <c r="Z510" s="69" t="s">
        <v>63</v>
      </c>
      <c r="AA510" s="73"/>
      <c r="AB510" s="73"/>
      <c r="AC510" s="73"/>
      <c r="AD510" s="73"/>
      <c r="AE510" s="73"/>
      <c r="AF510" s="73"/>
      <c r="AG510" s="73"/>
      <c r="AH510" s="73"/>
      <c r="AI510" s="73"/>
      <c r="AJ510" s="73"/>
      <c r="AK510" s="73"/>
    </row>
    <row r="511">
      <c r="A511" s="28">
        <v>510.0</v>
      </c>
      <c r="B511" s="29"/>
      <c r="C511" s="29"/>
      <c r="D511" s="40">
        <v>1.0</v>
      </c>
      <c r="E511" s="31">
        <v>13.0</v>
      </c>
      <c r="F511" s="42">
        <v>225.0</v>
      </c>
      <c r="G511" s="29" t="str">
        <f t="shared" si="1"/>
        <v>13225</v>
      </c>
      <c r="H511" s="37" t="s">
        <v>617</v>
      </c>
      <c r="I511" s="37" t="s">
        <v>44</v>
      </c>
      <c r="J511" s="37" t="s">
        <v>393</v>
      </c>
      <c r="K511" s="37" t="str">
        <f t="shared" si="11"/>
        <v>Peach, GA</v>
      </c>
      <c r="L511" s="37">
        <v>43.0</v>
      </c>
      <c r="M511" s="37" t="s">
        <v>63</v>
      </c>
      <c r="N511" s="37">
        <v>25.0</v>
      </c>
      <c r="O511" s="37">
        <v>12.0</v>
      </c>
      <c r="P511" s="37" t="s">
        <v>63</v>
      </c>
      <c r="Q511" s="37">
        <v>25.0</v>
      </c>
      <c r="R511" s="37">
        <v>5.0</v>
      </c>
      <c r="S511" s="37" t="s">
        <v>63</v>
      </c>
      <c r="T511" s="69" t="s">
        <v>63</v>
      </c>
      <c r="U511" s="37" t="s">
        <v>63</v>
      </c>
      <c r="V511" s="37" t="s">
        <v>63</v>
      </c>
      <c r="W511" s="37" t="s">
        <v>63</v>
      </c>
      <c r="X511" s="37" t="s">
        <v>63</v>
      </c>
      <c r="Y511" s="53">
        <v>33.0</v>
      </c>
      <c r="Z511" s="69" t="s">
        <v>63</v>
      </c>
      <c r="AA511" s="73"/>
      <c r="AB511" s="73"/>
      <c r="AC511" s="73"/>
      <c r="AD511" s="73"/>
      <c r="AE511" s="73"/>
      <c r="AF511" s="73"/>
      <c r="AG511" s="73"/>
      <c r="AH511" s="73"/>
      <c r="AI511" s="73"/>
      <c r="AJ511" s="73"/>
      <c r="AK511" s="73"/>
    </row>
    <row r="512">
      <c r="A512" s="28">
        <v>511.0</v>
      </c>
      <c r="B512" s="29"/>
      <c r="C512" s="29"/>
      <c r="D512" s="40">
        <v>1.0</v>
      </c>
      <c r="E512" s="31">
        <v>13.0</v>
      </c>
      <c r="F512" s="42">
        <v>227.0</v>
      </c>
      <c r="G512" s="29" t="str">
        <f t="shared" si="1"/>
        <v>13227</v>
      </c>
      <c r="H512" s="37" t="s">
        <v>160</v>
      </c>
      <c r="I512" s="37" t="s">
        <v>44</v>
      </c>
      <c r="J512" s="37" t="s">
        <v>393</v>
      </c>
      <c r="K512" s="37" t="str">
        <f t="shared" si="11"/>
        <v>Pickens, GA</v>
      </c>
      <c r="L512" s="37">
        <v>56.0</v>
      </c>
      <c r="M512" s="37" t="s">
        <v>63</v>
      </c>
      <c r="N512" s="37">
        <v>30.0</v>
      </c>
      <c r="O512" s="37">
        <v>8.0</v>
      </c>
      <c r="P512" s="37" t="s">
        <v>63</v>
      </c>
      <c r="Q512" s="37">
        <v>12.0</v>
      </c>
      <c r="R512" s="37">
        <v>18.0</v>
      </c>
      <c r="S512" s="37" t="s">
        <v>63</v>
      </c>
      <c r="T512" s="69" t="s">
        <v>63</v>
      </c>
      <c r="U512" s="37" t="s">
        <v>63</v>
      </c>
      <c r="V512" s="37" t="s">
        <v>63</v>
      </c>
      <c r="W512" s="37" t="s">
        <v>63</v>
      </c>
      <c r="X512" s="37" t="s">
        <v>63</v>
      </c>
      <c r="Y512" s="53">
        <v>24.0</v>
      </c>
      <c r="Z512" s="69" t="s">
        <v>63</v>
      </c>
      <c r="AA512" s="73"/>
      <c r="AB512" s="73"/>
      <c r="AC512" s="73"/>
      <c r="AD512" s="73"/>
      <c r="AE512" s="73"/>
      <c r="AF512" s="73"/>
      <c r="AG512" s="73"/>
      <c r="AH512" s="73"/>
      <c r="AI512" s="73"/>
      <c r="AJ512" s="73"/>
      <c r="AK512" s="73"/>
    </row>
    <row r="513">
      <c r="A513" s="28">
        <v>512.0</v>
      </c>
      <c r="B513" s="29"/>
      <c r="C513" s="29"/>
      <c r="D513" s="40">
        <v>1.0</v>
      </c>
      <c r="E513" s="31">
        <v>13.0</v>
      </c>
      <c r="F513" s="42">
        <v>229.0</v>
      </c>
      <c r="G513" s="29" t="str">
        <f t="shared" si="1"/>
        <v>13229</v>
      </c>
      <c r="H513" s="37" t="s">
        <v>473</v>
      </c>
      <c r="I513" s="37" t="s">
        <v>44</v>
      </c>
      <c r="J513" s="37" t="s">
        <v>393</v>
      </c>
      <c r="K513" s="37" t="str">
        <f t="shared" si="11"/>
        <v>Pierce, GA</v>
      </c>
      <c r="L513" s="37">
        <v>80.0</v>
      </c>
      <c r="M513" s="37" t="s">
        <v>63</v>
      </c>
      <c r="N513" s="37">
        <v>45.0</v>
      </c>
      <c r="O513" s="37">
        <v>13.0</v>
      </c>
      <c r="P513" s="37" t="s">
        <v>63</v>
      </c>
      <c r="Q513" s="37">
        <v>14.0</v>
      </c>
      <c r="R513" s="37">
        <v>0.0</v>
      </c>
      <c r="S513" s="37" t="s">
        <v>63</v>
      </c>
      <c r="T513" s="69" t="s">
        <v>63</v>
      </c>
      <c r="U513" s="37" t="s">
        <v>63</v>
      </c>
      <c r="V513" s="37" t="s">
        <v>63</v>
      </c>
      <c r="W513" s="37" t="s">
        <v>63</v>
      </c>
      <c r="X513" s="37" t="s">
        <v>63</v>
      </c>
      <c r="Y513" s="53">
        <v>35.0</v>
      </c>
      <c r="Z513" s="69" t="s">
        <v>63</v>
      </c>
      <c r="AA513" s="73"/>
      <c r="AB513" s="73"/>
      <c r="AC513" s="73"/>
      <c r="AD513" s="73"/>
      <c r="AE513" s="73"/>
      <c r="AF513" s="73"/>
      <c r="AG513" s="73"/>
      <c r="AH513" s="73"/>
      <c r="AI513" s="73"/>
      <c r="AJ513" s="73"/>
      <c r="AK513" s="73"/>
    </row>
    <row r="514">
      <c r="A514" s="28">
        <v>513.0</v>
      </c>
      <c r="B514" s="29"/>
      <c r="C514" s="29"/>
      <c r="D514" s="40">
        <v>1.0</v>
      </c>
      <c r="E514" s="31">
        <v>13.0</v>
      </c>
      <c r="F514" s="42">
        <v>231.0</v>
      </c>
      <c r="G514" s="29" t="str">
        <f t="shared" si="1"/>
        <v>13231</v>
      </c>
      <c r="H514" s="37" t="s">
        <v>162</v>
      </c>
      <c r="I514" s="37" t="s">
        <v>44</v>
      </c>
      <c r="J514" s="37" t="s">
        <v>393</v>
      </c>
      <c r="K514" s="37" t="str">
        <f t="shared" si="11"/>
        <v>Pike, GA</v>
      </c>
      <c r="L514" s="37">
        <v>3.0</v>
      </c>
      <c r="M514" s="37" t="s">
        <v>63</v>
      </c>
      <c r="N514" s="37">
        <v>2.0</v>
      </c>
      <c r="O514" s="37">
        <v>0.0</v>
      </c>
      <c r="P514" s="37" t="s">
        <v>63</v>
      </c>
      <c r="Q514" s="37">
        <v>7.0</v>
      </c>
      <c r="R514" s="37">
        <v>0.0</v>
      </c>
      <c r="S514" s="37" t="s">
        <v>63</v>
      </c>
      <c r="T514" s="69" t="s">
        <v>63</v>
      </c>
      <c r="U514" s="37" t="s">
        <v>63</v>
      </c>
      <c r="V514" s="37" t="s">
        <v>63</v>
      </c>
      <c r="W514" s="37" t="s">
        <v>63</v>
      </c>
      <c r="X514" s="37" t="s">
        <v>63</v>
      </c>
      <c r="Y514" s="53">
        <v>27.0</v>
      </c>
      <c r="Z514" s="69" t="s">
        <v>63</v>
      </c>
      <c r="AA514" s="73"/>
      <c r="AB514" s="73"/>
      <c r="AC514" s="73"/>
      <c r="AD514" s="73"/>
      <c r="AE514" s="73"/>
      <c r="AF514" s="73"/>
      <c r="AG514" s="73"/>
      <c r="AH514" s="73"/>
      <c r="AI514" s="73"/>
      <c r="AJ514" s="73"/>
      <c r="AK514" s="73"/>
    </row>
    <row r="515">
      <c r="A515" s="28">
        <v>514.0</v>
      </c>
      <c r="B515" s="29"/>
      <c r="C515" s="29"/>
      <c r="D515" s="40">
        <v>1.0</v>
      </c>
      <c r="E515" s="31">
        <v>13.0</v>
      </c>
      <c r="F515" s="42">
        <v>233.0</v>
      </c>
      <c r="G515" s="29" t="str">
        <f t="shared" si="1"/>
        <v>13233</v>
      </c>
      <c r="H515" s="37" t="s">
        <v>302</v>
      </c>
      <c r="I515" s="37" t="s">
        <v>44</v>
      </c>
      <c r="J515" s="37" t="s">
        <v>393</v>
      </c>
      <c r="K515" s="37" t="str">
        <f t="shared" si="11"/>
        <v>Polk, GA</v>
      </c>
      <c r="L515" s="37">
        <v>86.0</v>
      </c>
      <c r="M515" s="37" t="s">
        <v>63</v>
      </c>
      <c r="N515" s="37">
        <v>54.0</v>
      </c>
      <c r="O515" s="37">
        <v>13.0</v>
      </c>
      <c r="P515" s="37" t="s">
        <v>63</v>
      </c>
      <c r="Q515" s="37">
        <v>19.0</v>
      </c>
      <c r="R515" s="37">
        <v>21.0</v>
      </c>
      <c r="S515" s="37" t="s">
        <v>63</v>
      </c>
      <c r="T515" s="69" t="s">
        <v>63</v>
      </c>
      <c r="U515" s="37" t="s">
        <v>63</v>
      </c>
      <c r="V515" s="37" t="s">
        <v>63</v>
      </c>
      <c r="W515" s="37" t="s">
        <v>63</v>
      </c>
      <c r="X515" s="37" t="s">
        <v>63</v>
      </c>
      <c r="Y515" s="53">
        <v>46.0</v>
      </c>
      <c r="Z515" s="69" t="s">
        <v>63</v>
      </c>
      <c r="AA515" s="73"/>
      <c r="AB515" s="73"/>
      <c r="AC515" s="73"/>
      <c r="AD515" s="73"/>
      <c r="AE515" s="73"/>
      <c r="AF515" s="73"/>
      <c r="AG515" s="73"/>
      <c r="AH515" s="73"/>
      <c r="AI515" s="73"/>
      <c r="AJ515" s="73"/>
      <c r="AK515" s="73"/>
    </row>
    <row r="516">
      <c r="A516" s="28">
        <v>515.0</v>
      </c>
      <c r="B516" s="29"/>
      <c r="C516" s="29"/>
      <c r="D516" s="40">
        <v>1.0</v>
      </c>
      <c r="E516" s="31">
        <v>13.0</v>
      </c>
      <c r="F516" s="42">
        <v>235.0</v>
      </c>
      <c r="G516" s="29" t="str">
        <f t="shared" si="1"/>
        <v>13235</v>
      </c>
      <c r="H516" s="37" t="s">
        <v>305</v>
      </c>
      <c r="I516" s="37" t="s">
        <v>44</v>
      </c>
      <c r="J516" s="37" t="s">
        <v>393</v>
      </c>
      <c r="K516" s="37" t="str">
        <f t="shared" si="11"/>
        <v>Pulaski, GA</v>
      </c>
      <c r="L516" s="37">
        <v>20.0</v>
      </c>
      <c r="M516" s="37" t="s">
        <v>63</v>
      </c>
      <c r="N516" s="37">
        <v>11.0</v>
      </c>
      <c r="O516" s="37">
        <v>7.0</v>
      </c>
      <c r="P516" s="37" t="s">
        <v>63</v>
      </c>
      <c r="Q516" s="37">
        <v>3.0</v>
      </c>
      <c r="R516" s="37">
        <v>1.0</v>
      </c>
      <c r="S516" s="37" t="s">
        <v>63</v>
      </c>
      <c r="T516" s="69" t="s">
        <v>63</v>
      </c>
      <c r="U516" s="37" t="s">
        <v>63</v>
      </c>
      <c r="V516" s="37" t="s">
        <v>63</v>
      </c>
      <c r="W516" s="37" t="s">
        <v>63</v>
      </c>
      <c r="X516" s="37" t="s">
        <v>63</v>
      </c>
      <c r="Y516" s="53">
        <v>11.0</v>
      </c>
      <c r="Z516" s="69" t="s">
        <v>63</v>
      </c>
      <c r="AA516" s="73"/>
      <c r="AB516" s="73"/>
      <c r="AC516" s="73"/>
      <c r="AD516" s="73"/>
      <c r="AE516" s="73"/>
      <c r="AF516" s="73"/>
      <c r="AG516" s="73"/>
      <c r="AH516" s="73"/>
      <c r="AI516" s="73"/>
      <c r="AJ516" s="73"/>
      <c r="AK516" s="73"/>
    </row>
    <row r="517">
      <c r="A517" s="28">
        <v>516.0</v>
      </c>
      <c r="B517" s="29"/>
      <c r="C517" s="29"/>
      <c r="D517" s="40">
        <v>1.0</v>
      </c>
      <c r="E517" s="31">
        <v>13.0</v>
      </c>
      <c r="F517" s="42">
        <v>237.0</v>
      </c>
      <c r="G517" s="29" t="str">
        <f t="shared" si="1"/>
        <v>13237</v>
      </c>
      <c r="H517" s="37" t="s">
        <v>518</v>
      </c>
      <c r="I517" s="37" t="s">
        <v>44</v>
      </c>
      <c r="J517" s="37" t="s">
        <v>393</v>
      </c>
      <c r="K517" s="37" t="str">
        <f t="shared" si="11"/>
        <v>Putnam, GA</v>
      </c>
      <c r="L517" s="37">
        <v>20.0</v>
      </c>
      <c r="M517" s="37" t="s">
        <v>63</v>
      </c>
      <c r="N517" s="37">
        <v>13.0</v>
      </c>
      <c r="O517" s="37">
        <v>1.0</v>
      </c>
      <c r="P517" s="37" t="s">
        <v>63</v>
      </c>
      <c r="Q517" s="37">
        <v>12.0</v>
      </c>
      <c r="R517" s="37">
        <v>6.0</v>
      </c>
      <c r="S517" s="37" t="s">
        <v>63</v>
      </c>
      <c r="T517" s="69" t="s">
        <v>63</v>
      </c>
      <c r="U517" s="37" t="s">
        <v>63</v>
      </c>
      <c r="V517" s="37" t="s">
        <v>63</v>
      </c>
      <c r="W517" s="37" t="s">
        <v>63</v>
      </c>
      <c r="X517" s="37" t="s">
        <v>63</v>
      </c>
      <c r="Y517" s="53">
        <v>28.0</v>
      </c>
      <c r="Z517" s="69" t="s">
        <v>63</v>
      </c>
      <c r="AA517" s="73"/>
      <c r="AB517" s="73"/>
      <c r="AC517" s="73"/>
      <c r="AD517" s="73"/>
      <c r="AE517" s="73"/>
      <c r="AF517" s="73"/>
      <c r="AG517" s="73"/>
      <c r="AH517" s="73"/>
      <c r="AI517" s="73"/>
      <c r="AJ517" s="73"/>
      <c r="AK517" s="73"/>
    </row>
    <row r="518">
      <c r="A518" s="28">
        <v>517.0</v>
      </c>
      <c r="B518" s="29"/>
      <c r="C518" s="29"/>
      <c r="D518" s="40">
        <v>1.0</v>
      </c>
      <c r="E518" s="31">
        <v>13.0</v>
      </c>
      <c r="F518" s="42">
        <v>239.0</v>
      </c>
      <c r="G518" s="29" t="str">
        <f t="shared" si="1"/>
        <v>13239</v>
      </c>
      <c r="H518" s="37" t="s">
        <v>618</v>
      </c>
      <c r="I518" s="37" t="s">
        <v>44</v>
      </c>
      <c r="J518" s="37" t="s">
        <v>393</v>
      </c>
      <c r="K518" s="37" t="str">
        <f t="shared" si="11"/>
        <v>Quitman, GA</v>
      </c>
      <c r="L518" s="37">
        <v>6.0</v>
      </c>
      <c r="M518" s="37" t="s">
        <v>63</v>
      </c>
      <c r="N518" s="37">
        <v>4.0</v>
      </c>
      <c r="O518" s="37">
        <v>2.0</v>
      </c>
      <c r="P518" s="37" t="s">
        <v>63</v>
      </c>
      <c r="Q518" s="37">
        <v>0.0</v>
      </c>
      <c r="R518" s="37">
        <v>0.0</v>
      </c>
      <c r="S518" s="37" t="s">
        <v>63</v>
      </c>
      <c r="T518" s="69" t="s">
        <v>63</v>
      </c>
      <c r="U518" s="37" t="s">
        <v>63</v>
      </c>
      <c r="V518" s="37" t="s">
        <v>63</v>
      </c>
      <c r="W518" s="37" t="s">
        <v>63</v>
      </c>
      <c r="X518" s="37" t="s">
        <v>63</v>
      </c>
      <c r="Y518" s="53">
        <v>6.0</v>
      </c>
      <c r="Z518" s="69" t="s">
        <v>63</v>
      </c>
      <c r="AA518" s="73"/>
      <c r="AB518" s="73"/>
      <c r="AC518" s="73"/>
      <c r="AD518" s="73"/>
      <c r="AE518" s="73"/>
      <c r="AF518" s="73"/>
      <c r="AG518" s="73"/>
      <c r="AH518" s="73"/>
      <c r="AI518" s="73"/>
      <c r="AJ518" s="73"/>
      <c r="AK518" s="73"/>
    </row>
    <row r="519">
      <c r="A519" s="28">
        <v>518.0</v>
      </c>
      <c r="B519" s="29"/>
      <c r="C519" s="29"/>
      <c r="D519" s="40">
        <v>1.0</v>
      </c>
      <c r="E519" s="31">
        <v>13.0</v>
      </c>
      <c r="F519" s="42">
        <v>241.0</v>
      </c>
      <c r="G519" s="29" t="str">
        <f t="shared" si="1"/>
        <v>13241</v>
      </c>
      <c r="H519" s="37" t="s">
        <v>619</v>
      </c>
      <c r="I519" s="37" t="s">
        <v>44</v>
      </c>
      <c r="J519" s="37" t="s">
        <v>393</v>
      </c>
      <c r="K519" s="37" t="str">
        <f t="shared" si="11"/>
        <v>Rabun, GA</v>
      </c>
      <c r="L519" s="37">
        <v>33.0</v>
      </c>
      <c r="M519" s="37" t="s">
        <v>63</v>
      </c>
      <c r="N519" s="37">
        <v>21.0</v>
      </c>
      <c r="O519" s="37">
        <v>1.0</v>
      </c>
      <c r="P519" s="37" t="s">
        <v>63</v>
      </c>
      <c r="Q519" s="37">
        <v>13.0</v>
      </c>
      <c r="R519" s="37">
        <v>11.0</v>
      </c>
      <c r="S519" s="37" t="s">
        <v>63</v>
      </c>
      <c r="T519" s="69" t="s">
        <v>63</v>
      </c>
      <c r="U519" s="37" t="s">
        <v>63</v>
      </c>
      <c r="V519" s="37" t="s">
        <v>63</v>
      </c>
      <c r="W519" s="37" t="s">
        <v>63</v>
      </c>
      <c r="X519" s="37" t="s">
        <v>63</v>
      </c>
      <c r="Y519" s="53">
        <v>30.0</v>
      </c>
      <c r="Z519" s="69" t="s">
        <v>63</v>
      </c>
      <c r="AA519" s="73"/>
      <c r="AB519" s="73"/>
      <c r="AC519" s="73"/>
      <c r="AD519" s="73"/>
      <c r="AE519" s="73"/>
      <c r="AF519" s="73"/>
      <c r="AG519" s="73"/>
      <c r="AH519" s="73"/>
      <c r="AI519" s="73"/>
      <c r="AJ519" s="73"/>
      <c r="AK519" s="73"/>
    </row>
    <row r="520">
      <c r="A520" s="28">
        <v>519.0</v>
      </c>
      <c r="B520" s="29"/>
      <c r="C520" s="29"/>
      <c r="D520" s="40">
        <v>1.0</v>
      </c>
      <c r="E520" s="31">
        <v>13.0</v>
      </c>
      <c r="F520" s="42">
        <v>243.0</v>
      </c>
      <c r="G520" s="29" t="str">
        <f t="shared" si="1"/>
        <v>13243</v>
      </c>
      <c r="H520" s="37" t="s">
        <v>163</v>
      </c>
      <c r="I520" s="37" t="s">
        <v>44</v>
      </c>
      <c r="J520" s="37" t="s">
        <v>393</v>
      </c>
      <c r="K520" s="37" t="str">
        <f t="shared" si="11"/>
        <v>Randolph, GA</v>
      </c>
      <c r="L520" s="37">
        <v>8.0</v>
      </c>
      <c r="M520" s="37" t="s">
        <v>63</v>
      </c>
      <c r="N520" s="37">
        <v>5.0</v>
      </c>
      <c r="O520" s="37">
        <v>2.0</v>
      </c>
      <c r="P520" s="37" t="s">
        <v>63</v>
      </c>
      <c r="Q520" s="37">
        <v>6.0</v>
      </c>
      <c r="R520" s="37">
        <v>5.0</v>
      </c>
      <c r="S520" s="37" t="s">
        <v>63</v>
      </c>
      <c r="T520" s="69" t="s">
        <v>63</v>
      </c>
      <c r="U520" s="37" t="s">
        <v>63</v>
      </c>
      <c r="V520" s="37" t="s">
        <v>63</v>
      </c>
      <c r="W520" s="37" t="s">
        <v>63</v>
      </c>
      <c r="X520" s="37" t="s">
        <v>63</v>
      </c>
      <c r="Y520" s="53">
        <v>19.0</v>
      </c>
      <c r="Z520" s="69" t="s">
        <v>63</v>
      </c>
      <c r="AA520" s="73"/>
      <c r="AB520" s="73"/>
      <c r="AC520" s="73"/>
      <c r="AD520" s="73"/>
      <c r="AE520" s="73"/>
      <c r="AF520" s="73"/>
      <c r="AG520" s="73"/>
      <c r="AH520" s="73"/>
      <c r="AI520" s="73"/>
      <c r="AJ520" s="73"/>
      <c r="AK520" s="73"/>
    </row>
    <row r="521">
      <c r="A521" s="28">
        <v>520.0</v>
      </c>
      <c r="B521" s="29"/>
      <c r="C521" s="29"/>
      <c r="D521" s="40">
        <v>1.0</v>
      </c>
      <c r="E521" s="31">
        <v>13.0</v>
      </c>
      <c r="F521" s="42">
        <v>245.0</v>
      </c>
      <c r="G521" s="29" t="str">
        <f t="shared" si="1"/>
        <v>13245</v>
      </c>
      <c r="H521" s="37" t="s">
        <v>621</v>
      </c>
      <c r="I521" s="37" t="s">
        <v>44</v>
      </c>
      <c r="J521" s="37" t="s">
        <v>393</v>
      </c>
      <c r="K521" s="37" t="str">
        <f t="shared" si="11"/>
        <v>Richmond, GA</v>
      </c>
      <c r="L521" s="37">
        <v>427.0</v>
      </c>
      <c r="M521" s="37" t="s">
        <v>63</v>
      </c>
      <c r="N521" s="37">
        <v>235.0</v>
      </c>
      <c r="O521" s="37">
        <v>105.0</v>
      </c>
      <c r="P521" s="37" t="s">
        <v>63</v>
      </c>
      <c r="Q521" s="37">
        <v>118.0</v>
      </c>
      <c r="R521" s="37">
        <v>45.0</v>
      </c>
      <c r="S521" s="37" t="s">
        <v>63</v>
      </c>
      <c r="T521" s="69" t="s">
        <v>63</v>
      </c>
      <c r="U521" s="37" t="s">
        <v>63</v>
      </c>
      <c r="V521" s="37" t="s">
        <v>63</v>
      </c>
      <c r="W521" s="37" t="s">
        <v>63</v>
      </c>
      <c r="X521" s="37" t="s">
        <v>63</v>
      </c>
      <c r="Y521" s="53">
        <v>239.0</v>
      </c>
      <c r="Z521" s="69" t="s">
        <v>63</v>
      </c>
      <c r="AA521" s="73"/>
      <c r="AB521" s="73"/>
      <c r="AC521" s="73"/>
      <c r="AD521" s="73"/>
      <c r="AE521" s="73"/>
      <c r="AF521" s="73"/>
      <c r="AG521" s="73"/>
      <c r="AH521" s="73"/>
      <c r="AI521" s="73"/>
      <c r="AJ521" s="73"/>
      <c r="AK521" s="73"/>
    </row>
    <row r="522">
      <c r="A522" s="28">
        <v>521.0</v>
      </c>
      <c r="B522" s="29"/>
      <c r="C522" s="29"/>
      <c r="D522" s="40">
        <v>1.0</v>
      </c>
      <c r="E522" s="31">
        <v>13.0</v>
      </c>
      <c r="F522" s="42">
        <v>247.0</v>
      </c>
      <c r="G522" s="29" t="str">
        <f t="shared" si="1"/>
        <v>13247</v>
      </c>
      <c r="H522" s="37" t="s">
        <v>622</v>
      </c>
      <c r="I522" s="37" t="s">
        <v>44</v>
      </c>
      <c r="J522" s="37" t="s">
        <v>393</v>
      </c>
      <c r="K522" s="37" t="str">
        <f t="shared" si="11"/>
        <v>Rockdale, GA</v>
      </c>
      <c r="L522" s="37">
        <v>83.0</v>
      </c>
      <c r="M522" s="37" t="s">
        <v>63</v>
      </c>
      <c r="N522" s="37">
        <v>63.0</v>
      </c>
      <c r="O522" s="37">
        <v>5.0</v>
      </c>
      <c r="P522" s="37" t="s">
        <v>63</v>
      </c>
      <c r="Q522" s="37">
        <v>77.0</v>
      </c>
      <c r="R522" s="37">
        <v>18.0</v>
      </c>
      <c r="S522" s="37" t="s">
        <v>63</v>
      </c>
      <c r="T522" s="69" t="s">
        <v>63</v>
      </c>
      <c r="U522" s="37" t="s">
        <v>63</v>
      </c>
      <c r="V522" s="37" t="s">
        <v>63</v>
      </c>
      <c r="W522" s="37" t="s">
        <v>63</v>
      </c>
      <c r="X522" s="37" t="s">
        <v>63</v>
      </c>
      <c r="Y522" s="53">
        <v>83.0</v>
      </c>
      <c r="Z522" s="69" t="s">
        <v>63</v>
      </c>
      <c r="AA522" s="73"/>
      <c r="AB522" s="73"/>
      <c r="AC522" s="73"/>
      <c r="AD522" s="73"/>
      <c r="AE522" s="73"/>
      <c r="AF522" s="73"/>
      <c r="AG522" s="73"/>
      <c r="AH522" s="73"/>
      <c r="AI522" s="73"/>
      <c r="AJ522" s="73"/>
      <c r="AK522" s="73"/>
    </row>
    <row r="523">
      <c r="A523" s="28">
        <v>522.0</v>
      </c>
      <c r="B523" s="29"/>
      <c r="C523" s="29"/>
      <c r="D523" s="40">
        <v>1.0</v>
      </c>
      <c r="E523" s="31">
        <v>13.0</v>
      </c>
      <c r="F523" s="42">
        <v>249.0</v>
      </c>
      <c r="G523" s="29" t="str">
        <f t="shared" si="1"/>
        <v>13249</v>
      </c>
      <c r="H523" s="37" t="s">
        <v>623</v>
      </c>
      <c r="I523" s="37" t="s">
        <v>44</v>
      </c>
      <c r="J523" s="37" t="s">
        <v>393</v>
      </c>
      <c r="K523" s="37" t="str">
        <f t="shared" si="11"/>
        <v>Schley, GA</v>
      </c>
      <c r="L523" s="37">
        <v>4.0</v>
      </c>
      <c r="M523" s="37" t="s">
        <v>63</v>
      </c>
      <c r="N523" s="37">
        <v>0.0</v>
      </c>
      <c r="O523" s="37">
        <v>4.0</v>
      </c>
      <c r="P523" s="37" t="s">
        <v>63</v>
      </c>
      <c r="Q523" s="37">
        <v>3.0</v>
      </c>
      <c r="R523" s="37">
        <v>0.0</v>
      </c>
      <c r="S523" s="37" t="s">
        <v>63</v>
      </c>
      <c r="T523" s="69" t="s">
        <v>63</v>
      </c>
      <c r="U523" s="37" t="s">
        <v>63</v>
      </c>
      <c r="V523" s="37" t="s">
        <v>63</v>
      </c>
      <c r="W523" s="37" t="s">
        <v>63</v>
      </c>
      <c r="X523" s="37" t="s">
        <v>63</v>
      </c>
      <c r="Y523" s="53">
        <v>8.0</v>
      </c>
      <c r="Z523" s="69" t="s">
        <v>63</v>
      </c>
      <c r="AA523" s="73"/>
      <c r="AB523" s="73"/>
      <c r="AC523" s="73"/>
      <c r="AD523" s="73"/>
      <c r="AE523" s="73"/>
      <c r="AF523" s="73"/>
      <c r="AG523" s="73"/>
      <c r="AH523" s="73"/>
      <c r="AI523" s="73"/>
      <c r="AJ523" s="73"/>
      <c r="AK523" s="73"/>
    </row>
    <row r="524">
      <c r="A524" s="28">
        <v>523.0</v>
      </c>
      <c r="B524" s="29"/>
      <c r="C524" s="29"/>
      <c r="D524" s="40">
        <v>1.0</v>
      </c>
      <c r="E524" s="31">
        <v>13.0</v>
      </c>
      <c r="F524" s="42">
        <v>251.0</v>
      </c>
      <c r="G524" s="29" t="str">
        <f t="shared" si="1"/>
        <v>13251</v>
      </c>
      <c r="H524" s="37" t="s">
        <v>625</v>
      </c>
      <c r="I524" s="37" t="s">
        <v>44</v>
      </c>
      <c r="J524" s="37" t="s">
        <v>393</v>
      </c>
      <c r="K524" s="37" t="str">
        <f t="shared" si="11"/>
        <v>Screven, GA</v>
      </c>
      <c r="L524" s="37">
        <v>39.0</v>
      </c>
      <c r="M524" s="37" t="s">
        <v>63</v>
      </c>
      <c r="N524" s="37">
        <v>27.0</v>
      </c>
      <c r="O524" s="37">
        <v>3.0</v>
      </c>
      <c r="P524" s="37" t="s">
        <v>63</v>
      </c>
      <c r="Q524" s="37">
        <v>16.0</v>
      </c>
      <c r="R524" s="37">
        <v>4.0</v>
      </c>
      <c r="S524" s="37" t="s">
        <v>63</v>
      </c>
      <c r="T524" s="69" t="s">
        <v>63</v>
      </c>
      <c r="U524" s="37" t="s">
        <v>63</v>
      </c>
      <c r="V524" s="37" t="s">
        <v>63</v>
      </c>
      <c r="W524" s="37" t="s">
        <v>63</v>
      </c>
      <c r="X524" s="37" t="s">
        <v>63</v>
      </c>
      <c r="Y524" s="53">
        <v>59.0</v>
      </c>
      <c r="Z524" s="69" t="s">
        <v>63</v>
      </c>
      <c r="AA524" s="73"/>
      <c r="AB524" s="73"/>
      <c r="AC524" s="73"/>
      <c r="AD524" s="73"/>
      <c r="AE524" s="73"/>
      <c r="AF524" s="73"/>
      <c r="AG524" s="73"/>
      <c r="AH524" s="73"/>
      <c r="AI524" s="73"/>
      <c r="AJ524" s="73"/>
      <c r="AK524" s="73"/>
    </row>
    <row r="525">
      <c r="A525" s="28">
        <v>524.0</v>
      </c>
      <c r="B525" s="29"/>
      <c r="C525" s="29"/>
      <c r="D525" s="40">
        <v>1.0</v>
      </c>
      <c r="E525" s="31">
        <v>13.0</v>
      </c>
      <c r="F525" s="42">
        <v>253.0</v>
      </c>
      <c r="G525" s="29" t="str">
        <f t="shared" si="1"/>
        <v>13253</v>
      </c>
      <c r="H525" s="37" t="s">
        <v>524</v>
      </c>
      <c r="I525" s="37" t="s">
        <v>44</v>
      </c>
      <c r="J525" s="37" t="s">
        <v>393</v>
      </c>
      <c r="K525" s="37" t="str">
        <f t="shared" si="11"/>
        <v>Seminole, GA</v>
      </c>
      <c r="L525" s="37">
        <v>6.0</v>
      </c>
      <c r="M525" s="37" t="s">
        <v>63</v>
      </c>
      <c r="N525" s="37">
        <v>5.0</v>
      </c>
      <c r="O525" s="37">
        <v>0.0</v>
      </c>
      <c r="P525" s="37" t="s">
        <v>63</v>
      </c>
      <c r="Q525" s="37">
        <v>3.0</v>
      </c>
      <c r="R525" s="37">
        <v>1.0</v>
      </c>
      <c r="S525" s="37" t="s">
        <v>63</v>
      </c>
      <c r="T525" s="69" t="s">
        <v>63</v>
      </c>
      <c r="U525" s="37" t="s">
        <v>63</v>
      </c>
      <c r="V525" s="37" t="s">
        <v>63</v>
      </c>
      <c r="W525" s="37" t="s">
        <v>63</v>
      </c>
      <c r="X525" s="37" t="s">
        <v>63</v>
      </c>
      <c r="Y525" s="53">
        <v>20.0</v>
      </c>
      <c r="Z525" s="69" t="s">
        <v>63</v>
      </c>
      <c r="AA525" s="73"/>
      <c r="AB525" s="73"/>
      <c r="AC525" s="73"/>
      <c r="AD525" s="73"/>
      <c r="AE525" s="73"/>
      <c r="AF525" s="73"/>
      <c r="AG525" s="73"/>
      <c r="AH525" s="73"/>
      <c r="AI525" s="73"/>
      <c r="AJ525" s="73"/>
      <c r="AK525" s="73"/>
    </row>
    <row r="526">
      <c r="A526" s="28">
        <v>525.0</v>
      </c>
      <c r="B526" s="29"/>
      <c r="C526" s="29"/>
      <c r="D526" s="40">
        <v>1.0</v>
      </c>
      <c r="E526" s="31">
        <v>13.0</v>
      </c>
      <c r="F526" s="42">
        <v>255.0</v>
      </c>
      <c r="G526" s="29" t="str">
        <f t="shared" si="1"/>
        <v>13255</v>
      </c>
      <c r="H526" s="37" t="s">
        <v>626</v>
      </c>
      <c r="I526" s="37" t="s">
        <v>44</v>
      </c>
      <c r="J526" s="37" t="s">
        <v>393</v>
      </c>
      <c r="K526" s="37" t="str">
        <f t="shared" si="11"/>
        <v>Spalding, GA</v>
      </c>
      <c r="L526" s="37">
        <v>78.0</v>
      </c>
      <c r="M526" s="37" t="s">
        <v>63</v>
      </c>
      <c r="N526" s="37">
        <v>51.0</v>
      </c>
      <c r="O526" s="37">
        <v>6.0</v>
      </c>
      <c r="P526" s="37" t="s">
        <v>63</v>
      </c>
      <c r="Q526" s="37">
        <v>47.0</v>
      </c>
      <c r="R526" s="37">
        <v>10.0</v>
      </c>
      <c r="S526" s="37" t="s">
        <v>63</v>
      </c>
      <c r="T526" s="69" t="s">
        <v>63</v>
      </c>
      <c r="U526" s="37" t="s">
        <v>63</v>
      </c>
      <c r="V526" s="37" t="s">
        <v>63</v>
      </c>
      <c r="W526" s="37" t="s">
        <v>63</v>
      </c>
      <c r="X526" s="37" t="s">
        <v>63</v>
      </c>
      <c r="Y526" s="53">
        <v>80.0</v>
      </c>
      <c r="Z526" s="69" t="s">
        <v>63</v>
      </c>
      <c r="AA526" s="73"/>
      <c r="AB526" s="73"/>
      <c r="AC526" s="73"/>
      <c r="AD526" s="73"/>
      <c r="AE526" s="73"/>
      <c r="AF526" s="73"/>
      <c r="AG526" s="73"/>
      <c r="AH526" s="73"/>
      <c r="AI526" s="73"/>
      <c r="AJ526" s="73"/>
      <c r="AK526" s="73"/>
    </row>
    <row r="527">
      <c r="A527" s="28">
        <v>526.0</v>
      </c>
      <c r="B527" s="29"/>
      <c r="C527" s="29"/>
      <c r="D527" s="40">
        <v>1.0</v>
      </c>
      <c r="E527" s="31">
        <v>13.0</v>
      </c>
      <c r="F527" s="42">
        <v>257.0</v>
      </c>
      <c r="G527" s="29" t="str">
        <f t="shared" si="1"/>
        <v>13257</v>
      </c>
      <c r="H527" s="37" t="s">
        <v>628</v>
      </c>
      <c r="I527" s="37" t="s">
        <v>44</v>
      </c>
      <c r="J527" s="37" t="s">
        <v>393</v>
      </c>
      <c r="K527" s="37" t="str">
        <f t="shared" si="11"/>
        <v>Stephens, GA</v>
      </c>
      <c r="L527" s="37">
        <v>70.0</v>
      </c>
      <c r="M527" s="37" t="s">
        <v>63</v>
      </c>
      <c r="N527" s="37">
        <v>45.0</v>
      </c>
      <c r="O527" s="37">
        <v>9.0</v>
      </c>
      <c r="P527" s="37" t="s">
        <v>63</v>
      </c>
      <c r="Q527" s="37">
        <v>16.0</v>
      </c>
      <c r="R527" s="37">
        <v>6.0</v>
      </c>
      <c r="S527" s="37" t="s">
        <v>63</v>
      </c>
      <c r="T527" s="69" t="s">
        <v>63</v>
      </c>
      <c r="U527" s="37" t="s">
        <v>63</v>
      </c>
      <c r="V527" s="37" t="s">
        <v>63</v>
      </c>
      <c r="W527" s="37" t="s">
        <v>63</v>
      </c>
      <c r="X527" s="37" t="s">
        <v>63</v>
      </c>
      <c r="Y527" s="53">
        <v>41.0</v>
      </c>
      <c r="Z527" s="69" t="s">
        <v>63</v>
      </c>
      <c r="AA527" s="73"/>
      <c r="AB527" s="73"/>
      <c r="AC527" s="73"/>
      <c r="AD527" s="73"/>
      <c r="AE527" s="73"/>
      <c r="AF527" s="73"/>
      <c r="AG527" s="73"/>
      <c r="AH527" s="73"/>
      <c r="AI527" s="73"/>
      <c r="AJ527" s="73"/>
      <c r="AK527" s="73"/>
    </row>
    <row r="528">
      <c r="A528" s="28">
        <v>527.0</v>
      </c>
      <c r="B528" s="29"/>
      <c r="C528" s="29"/>
      <c r="D528" s="40">
        <v>1.0</v>
      </c>
      <c r="E528" s="31">
        <v>13.0</v>
      </c>
      <c r="F528" s="42">
        <v>259.0</v>
      </c>
      <c r="G528" s="29" t="str">
        <f t="shared" si="1"/>
        <v>13259</v>
      </c>
      <c r="H528" s="37" t="s">
        <v>629</v>
      </c>
      <c r="I528" s="37" t="s">
        <v>44</v>
      </c>
      <c r="J528" s="37" t="s">
        <v>393</v>
      </c>
      <c r="K528" s="37" t="str">
        <f t="shared" si="11"/>
        <v>Stewart, GA</v>
      </c>
      <c r="L528" s="37">
        <v>7.0</v>
      </c>
      <c r="M528" s="37" t="s">
        <v>63</v>
      </c>
      <c r="N528" s="37">
        <v>4.0</v>
      </c>
      <c r="O528" s="37">
        <v>1.0</v>
      </c>
      <c r="P528" s="37" t="s">
        <v>63</v>
      </c>
      <c r="Q528" s="37">
        <v>1.0</v>
      </c>
      <c r="R528" s="37">
        <v>0.0</v>
      </c>
      <c r="S528" s="37" t="s">
        <v>63</v>
      </c>
      <c r="T528" s="69" t="s">
        <v>63</v>
      </c>
      <c r="U528" s="37" t="s">
        <v>63</v>
      </c>
      <c r="V528" s="37" t="s">
        <v>63</v>
      </c>
      <c r="W528" s="37" t="s">
        <v>63</v>
      </c>
      <c r="X528" s="37" t="s">
        <v>63</v>
      </c>
      <c r="Y528" s="53">
        <v>5.0</v>
      </c>
      <c r="Z528" s="69" t="s">
        <v>63</v>
      </c>
      <c r="AA528" s="73"/>
      <c r="AB528" s="73"/>
      <c r="AC528" s="73"/>
      <c r="AD528" s="73"/>
      <c r="AE528" s="73"/>
      <c r="AF528" s="73"/>
      <c r="AG528" s="73"/>
      <c r="AH528" s="73"/>
      <c r="AI528" s="73"/>
      <c r="AJ528" s="73"/>
      <c r="AK528" s="73"/>
    </row>
    <row r="529">
      <c r="A529" s="28">
        <v>528.0</v>
      </c>
      <c r="B529" s="29"/>
      <c r="C529" s="29"/>
      <c r="D529" s="40">
        <v>1.0</v>
      </c>
      <c r="E529" s="31">
        <v>13.0</v>
      </c>
      <c r="F529" s="42">
        <v>261.0</v>
      </c>
      <c r="G529" s="29" t="str">
        <f t="shared" si="1"/>
        <v>13261</v>
      </c>
      <c r="H529" s="37" t="s">
        <v>169</v>
      </c>
      <c r="I529" s="37" t="s">
        <v>44</v>
      </c>
      <c r="J529" s="37" t="s">
        <v>393</v>
      </c>
      <c r="K529" s="37" t="str">
        <f t="shared" si="11"/>
        <v>Sumter, GA</v>
      </c>
      <c r="L529" s="37">
        <v>104.0</v>
      </c>
      <c r="M529" s="37" t="s">
        <v>63</v>
      </c>
      <c r="N529" s="37">
        <v>42.0</v>
      </c>
      <c r="O529" s="37">
        <v>40.0</v>
      </c>
      <c r="P529" s="37" t="s">
        <v>63</v>
      </c>
      <c r="Q529" s="37">
        <v>22.0</v>
      </c>
      <c r="R529" s="37">
        <v>15.0</v>
      </c>
      <c r="S529" s="37" t="s">
        <v>63</v>
      </c>
      <c r="T529" s="69" t="s">
        <v>63</v>
      </c>
      <c r="U529" s="37" t="s">
        <v>63</v>
      </c>
      <c r="V529" s="37" t="s">
        <v>63</v>
      </c>
      <c r="W529" s="37" t="s">
        <v>63</v>
      </c>
      <c r="X529" s="37" t="s">
        <v>63</v>
      </c>
      <c r="Y529" s="53">
        <v>59.0</v>
      </c>
      <c r="Z529" s="69" t="s">
        <v>63</v>
      </c>
      <c r="AA529" s="73"/>
      <c r="AB529" s="73"/>
      <c r="AC529" s="73"/>
      <c r="AD529" s="73"/>
      <c r="AE529" s="73"/>
      <c r="AF529" s="73"/>
      <c r="AG529" s="73"/>
      <c r="AH529" s="73"/>
      <c r="AI529" s="73"/>
      <c r="AJ529" s="73"/>
      <c r="AK529" s="73"/>
    </row>
    <row r="530">
      <c r="A530" s="28">
        <v>529.0</v>
      </c>
      <c r="B530" s="29"/>
      <c r="C530" s="29"/>
      <c r="D530" s="40">
        <v>1.0</v>
      </c>
      <c r="E530" s="31">
        <v>13.0</v>
      </c>
      <c r="F530" s="42">
        <v>263.0</v>
      </c>
      <c r="G530" s="29" t="str">
        <f t="shared" si="1"/>
        <v>13263</v>
      </c>
      <c r="H530" s="37" t="s">
        <v>630</v>
      </c>
      <c r="I530" s="37" t="s">
        <v>44</v>
      </c>
      <c r="J530" s="37" t="s">
        <v>393</v>
      </c>
      <c r="K530" s="37" t="str">
        <f t="shared" si="11"/>
        <v>Talbot, GA</v>
      </c>
      <c r="L530" s="37">
        <v>7.0</v>
      </c>
      <c r="M530" s="37" t="s">
        <v>63</v>
      </c>
      <c r="N530" s="37">
        <v>3.0</v>
      </c>
      <c r="O530" s="37">
        <v>3.0</v>
      </c>
      <c r="P530" s="37" t="s">
        <v>63</v>
      </c>
      <c r="Q530" s="37">
        <v>1.0</v>
      </c>
      <c r="R530" s="37">
        <v>0.0</v>
      </c>
      <c r="S530" s="37" t="s">
        <v>63</v>
      </c>
      <c r="T530" s="69" t="s">
        <v>63</v>
      </c>
      <c r="U530" s="37" t="s">
        <v>63</v>
      </c>
      <c r="V530" s="37" t="s">
        <v>63</v>
      </c>
      <c r="W530" s="37" t="s">
        <v>63</v>
      </c>
      <c r="X530" s="37" t="s">
        <v>63</v>
      </c>
      <c r="Y530" s="53">
        <v>10.0</v>
      </c>
      <c r="Z530" s="69" t="s">
        <v>63</v>
      </c>
      <c r="AA530" s="73"/>
      <c r="AB530" s="73"/>
      <c r="AC530" s="73"/>
      <c r="AD530" s="73"/>
      <c r="AE530" s="73"/>
      <c r="AF530" s="73"/>
      <c r="AG530" s="73"/>
      <c r="AH530" s="73"/>
      <c r="AI530" s="73"/>
      <c r="AJ530" s="73"/>
      <c r="AK530" s="73"/>
    </row>
    <row r="531">
      <c r="A531" s="28">
        <v>530.0</v>
      </c>
      <c r="B531" s="29"/>
      <c r="C531" s="29"/>
      <c r="D531" s="40">
        <v>1.0</v>
      </c>
      <c r="E531" s="31">
        <v>13.0</v>
      </c>
      <c r="F531" s="42">
        <v>265.0</v>
      </c>
      <c r="G531" s="29" t="str">
        <f t="shared" si="1"/>
        <v>13265</v>
      </c>
      <c r="H531" s="37" t="s">
        <v>631</v>
      </c>
      <c r="I531" s="37" t="s">
        <v>44</v>
      </c>
      <c r="J531" s="37" t="s">
        <v>393</v>
      </c>
      <c r="K531" s="37" t="str">
        <f t="shared" si="11"/>
        <v>Taliaferro, GA</v>
      </c>
      <c r="L531" s="37">
        <v>0.0</v>
      </c>
      <c r="M531" s="37" t="s">
        <v>63</v>
      </c>
      <c r="N531" s="37">
        <v>0.0</v>
      </c>
      <c r="O531" s="37">
        <v>0.0</v>
      </c>
      <c r="P531" s="37" t="s">
        <v>63</v>
      </c>
      <c r="Q531" s="37">
        <v>2.0</v>
      </c>
      <c r="R531" s="37">
        <v>0.0</v>
      </c>
      <c r="S531" s="37" t="s">
        <v>63</v>
      </c>
      <c r="T531" s="69" t="s">
        <v>63</v>
      </c>
      <c r="U531" s="37" t="s">
        <v>63</v>
      </c>
      <c r="V531" s="37" t="s">
        <v>63</v>
      </c>
      <c r="W531" s="37" t="s">
        <v>63</v>
      </c>
      <c r="X531" s="37" t="s">
        <v>63</v>
      </c>
      <c r="Y531" s="53">
        <v>4.0</v>
      </c>
      <c r="Z531" s="69" t="s">
        <v>63</v>
      </c>
      <c r="AA531" s="73"/>
      <c r="AB531" s="73"/>
      <c r="AC531" s="73"/>
      <c r="AD531" s="73"/>
      <c r="AE531" s="73"/>
      <c r="AF531" s="73"/>
      <c r="AG531" s="73"/>
      <c r="AH531" s="73"/>
      <c r="AI531" s="73"/>
      <c r="AJ531" s="73"/>
      <c r="AK531" s="73"/>
    </row>
    <row r="532">
      <c r="A532" s="28">
        <v>531.0</v>
      </c>
      <c r="B532" s="29"/>
      <c r="C532" s="29"/>
      <c r="D532" s="40">
        <v>1.0</v>
      </c>
      <c r="E532" s="31">
        <v>13.0</v>
      </c>
      <c r="F532" s="42">
        <v>267.0</v>
      </c>
      <c r="G532" s="29" t="str">
        <f t="shared" si="1"/>
        <v>13267</v>
      </c>
      <c r="H532" s="37" t="s">
        <v>632</v>
      </c>
      <c r="I532" s="37" t="s">
        <v>44</v>
      </c>
      <c r="J532" s="37" t="s">
        <v>393</v>
      </c>
      <c r="K532" s="37" t="str">
        <f t="shared" si="11"/>
        <v>Tattnall, GA</v>
      </c>
      <c r="L532" s="37">
        <v>31.0</v>
      </c>
      <c r="M532" s="37" t="s">
        <v>63</v>
      </c>
      <c r="N532" s="37">
        <v>9.0</v>
      </c>
      <c r="O532" s="37">
        <v>12.0</v>
      </c>
      <c r="P532" s="37" t="s">
        <v>63</v>
      </c>
      <c r="Q532" s="37">
        <v>7.0</v>
      </c>
      <c r="R532" s="37">
        <v>1.0</v>
      </c>
      <c r="S532" s="37" t="s">
        <v>63</v>
      </c>
      <c r="T532" s="69" t="s">
        <v>63</v>
      </c>
      <c r="U532" s="37" t="s">
        <v>63</v>
      </c>
      <c r="V532" s="37" t="s">
        <v>63</v>
      </c>
      <c r="W532" s="37" t="s">
        <v>63</v>
      </c>
      <c r="X532" s="37" t="s">
        <v>63</v>
      </c>
      <c r="Y532" s="53">
        <v>47.0</v>
      </c>
      <c r="Z532" s="69" t="s">
        <v>63</v>
      </c>
      <c r="AA532" s="73"/>
      <c r="AB532" s="73"/>
      <c r="AC532" s="73"/>
      <c r="AD532" s="73"/>
      <c r="AE532" s="73"/>
      <c r="AF532" s="73"/>
      <c r="AG532" s="73"/>
      <c r="AH532" s="73"/>
      <c r="AI532" s="73"/>
      <c r="AJ532" s="73"/>
      <c r="AK532" s="73"/>
    </row>
    <row r="533">
      <c r="A533" s="28">
        <v>532.0</v>
      </c>
      <c r="B533" s="29"/>
      <c r="C533" s="29"/>
      <c r="D533" s="40">
        <v>1.0</v>
      </c>
      <c r="E533" s="31">
        <v>13.0</v>
      </c>
      <c r="F533" s="42">
        <v>269.0</v>
      </c>
      <c r="G533" s="29" t="str">
        <f t="shared" si="1"/>
        <v>13269</v>
      </c>
      <c r="H533" s="37" t="s">
        <v>526</v>
      </c>
      <c r="I533" s="37" t="s">
        <v>44</v>
      </c>
      <c r="J533" s="37" t="s">
        <v>393</v>
      </c>
      <c r="K533" s="37" t="str">
        <f t="shared" si="11"/>
        <v>Taylor, GA</v>
      </c>
      <c r="L533" s="37">
        <v>19.0</v>
      </c>
      <c r="M533" s="37" t="s">
        <v>63</v>
      </c>
      <c r="N533" s="37">
        <v>5.0</v>
      </c>
      <c r="O533" s="37">
        <v>11.0</v>
      </c>
      <c r="P533" s="37" t="s">
        <v>63</v>
      </c>
      <c r="Q533" s="37">
        <v>8.0</v>
      </c>
      <c r="R533" s="37">
        <v>1.0</v>
      </c>
      <c r="S533" s="37" t="s">
        <v>63</v>
      </c>
      <c r="T533" s="69" t="s">
        <v>63</v>
      </c>
      <c r="U533" s="37" t="s">
        <v>63</v>
      </c>
      <c r="V533" s="37" t="s">
        <v>63</v>
      </c>
      <c r="W533" s="37" t="s">
        <v>63</v>
      </c>
      <c r="X533" s="37" t="s">
        <v>63</v>
      </c>
      <c r="Y533" s="53">
        <v>17.0</v>
      </c>
      <c r="Z533" s="69" t="s">
        <v>63</v>
      </c>
      <c r="AA533" s="73"/>
      <c r="AB533" s="73"/>
      <c r="AC533" s="73"/>
      <c r="AD533" s="73"/>
      <c r="AE533" s="73"/>
      <c r="AF533" s="73"/>
      <c r="AG533" s="73"/>
      <c r="AH533" s="73"/>
      <c r="AI533" s="73"/>
      <c r="AJ533" s="73"/>
      <c r="AK533" s="73"/>
    </row>
    <row r="534">
      <c r="A534" s="28">
        <v>533.0</v>
      </c>
      <c r="B534" s="29"/>
      <c r="C534" s="29"/>
      <c r="D534" s="40">
        <v>1.0</v>
      </c>
      <c r="E534" s="31">
        <v>13.0</v>
      </c>
      <c r="F534" s="42">
        <v>271.0</v>
      </c>
      <c r="G534" s="29" t="str">
        <f t="shared" si="1"/>
        <v>13271</v>
      </c>
      <c r="H534" s="37" t="s">
        <v>633</v>
      </c>
      <c r="I534" s="37" t="s">
        <v>44</v>
      </c>
      <c r="J534" s="37" t="s">
        <v>393</v>
      </c>
      <c r="K534" s="37" t="str">
        <f t="shared" si="11"/>
        <v>Telfair, GA</v>
      </c>
      <c r="L534" s="37">
        <v>26.0</v>
      </c>
      <c r="M534" s="37" t="s">
        <v>63</v>
      </c>
      <c r="N534" s="37">
        <v>13.0</v>
      </c>
      <c r="O534" s="37">
        <v>6.0</v>
      </c>
      <c r="P534" s="37" t="s">
        <v>63</v>
      </c>
      <c r="Q534" s="37">
        <v>3.0</v>
      </c>
      <c r="R534" s="37">
        <v>2.0</v>
      </c>
      <c r="S534" s="37" t="s">
        <v>63</v>
      </c>
      <c r="T534" s="69" t="s">
        <v>63</v>
      </c>
      <c r="U534" s="37" t="s">
        <v>63</v>
      </c>
      <c r="V534" s="37" t="s">
        <v>63</v>
      </c>
      <c r="W534" s="37" t="s">
        <v>63</v>
      </c>
      <c r="X534" s="37" t="s">
        <v>63</v>
      </c>
      <c r="Y534" s="53">
        <v>25.0</v>
      </c>
      <c r="Z534" s="69" t="s">
        <v>63</v>
      </c>
      <c r="AA534" s="73"/>
      <c r="AB534" s="73"/>
      <c r="AC534" s="73"/>
      <c r="AD534" s="73"/>
      <c r="AE534" s="73"/>
      <c r="AF534" s="73"/>
      <c r="AG534" s="73"/>
      <c r="AH534" s="73"/>
      <c r="AI534" s="73"/>
      <c r="AJ534" s="73"/>
      <c r="AK534" s="73"/>
    </row>
    <row r="535">
      <c r="A535" s="28">
        <v>534.0</v>
      </c>
      <c r="B535" s="29"/>
      <c r="C535" s="29"/>
      <c r="D535" s="40">
        <v>1.0</v>
      </c>
      <c r="E535" s="31">
        <v>13.0</v>
      </c>
      <c r="F535" s="42">
        <v>273.0</v>
      </c>
      <c r="G535" s="29" t="str">
        <f t="shared" si="1"/>
        <v>13273</v>
      </c>
      <c r="H535" s="37" t="s">
        <v>635</v>
      </c>
      <c r="I535" s="37" t="s">
        <v>44</v>
      </c>
      <c r="J535" s="37" t="s">
        <v>393</v>
      </c>
      <c r="K535" s="37" t="str">
        <f t="shared" si="11"/>
        <v>Terrell, GA</v>
      </c>
      <c r="L535" s="37">
        <v>15.0</v>
      </c>
      <c r="M535" s="37" t="s">
        <v>63</v>
      </c>
      <c r="N535" s="37">
        <v>12.0</v>
      </c>
      <c r="O535" s="37">
        <v>1.0</v>
      </c>
      <c r="P535" s="37" t="s">
        <v>63</v>
      </c>
      <c r="Q535" s="37">
        <v>11.0</v>
      </c>
      <c r="R535" s="37">
        <v>1.0</v>
      </c>
      <c r="S535" s="37" t="s">
        <v>63</v>
      </c>
      <c r="T535" s="69" t="s">
        <v>63</v>
      </c>
      <c r="U535" s="37" t="s">
        <v>63</v>
      </c>
      <c r="V535" s="37" t="s">
        <v>63</v>
      </c>
      <c r="W535" s="37" t="s">
        <v>63</v>
      </c>
      <c r="X535" s="37" t="s">
        <v>63</v>
      </c>
      <c r="Y535" s="53">
        <v>19.0</v>
      </c>
      <c r="Z535" s="69" t="s">
        <v>63</v>
      </c>
      <c r="AA535" s="73"/>
      <c r="AB535" s="73"/>
      <c r="AC535" s="73"/>
      <c r="AD535" s="73"/>
      <c r="AE535" s="73"/>
      <c r="AF535" s="73"/>
      <c r="AG535" s="73"/>
      <c r="AH535" s="73"/>
      <c r="AI535" s="73"/>
      <c r="AJ535" s="73"/>
      <c r="AK535" s="73"/>
    </row>
    <row r="536">
      <c r="A536" s="28">
        <v>535.0</v>
      </c>
      <c r="B536" s="29"/>
      <c r="C536" s="29"/>
      <c r="D536" s="40">
        <v>1.0</v>
      </c>
      <c r="E536" s="31">
        <v>13.0</v>
      </c>
      <c r="F536" s="42">
        <v>275.0</v>
      </c>
      <c r="G536" s="29" t="str">
        <f t="shared" si="1"/>
        <v>13275</v>
      </c>
      <c r="H536" s="37" t="s">
        <v>636</v>
      </c>
      <c r="I536" s="37" t="s">
        <v>44</v>
      </c>
      <c r="J536" s="37" t="s">
        <v>393</v>
      </c>
      <c r="K536" s="37" t="str">
        <f t="shared" si="11"/>
        <v>Thomas, GA</v>
      </c>
      <c r="L536" s="37">
        <v>55.0</v>
      </c>
      <c r="M536" s="37" t="s">
        <v>63</v>
      </c>
      <c r="N536" s="37">
        <v>29.0</v>
      </c>
      <c r="O536" s="37">
        <v>7.0</v>
      </c>
      <c r="P536" s="37" t="s">
        <v>63</v>
      </c>
      <c r="Q536" s="37">
        <v>25.0</v>
      </c>
      <c r="R536" s="37">
        <v>11.0</v>
      </c>
      <c r="S536" s="37" t="s">
        <v>63</v>
      </c>
      <c r="T536" s="69" t="s">
        <v>63</v>
      </c>
      <c r="U536" s="37" t="s">
        <v>63</v>
      </c>
      <c r="V536" s="37" t="s">
        <v>63</v>
      </c>
      <c r="W536" s="37" t="s">
        <v>63</v>
      </c>
      <c r="X536" s="37" t="s">
        <v>63</v>
      </c>
      <c r="Y536" s="53">
        <v>94.0</v>
      </c>
      <c r="Z536" s="69" t="s">
        <v>63</v>
      </c>
      <c r="AA536" s="73"/>
      <c r="AB536" s="73"/>
      <c r="AC536" s="73"/>
      <c r="AD536" s="73"/>
      <c r="AE536" s="73"/>
      <c r="AF536" s="73"/>
      <c r="AG536" s="73"/>
      <c r="AH536" s="73"/>
      <c r="AI536" s="73"/>
      <c r="AJ536" s="73"/>
      <c r="AK536" s="73"/>
    </row>
    <row r="537">
      <c r="A537" s="28">
        <v>536.0</v>
      </c>
      <c r="B537" s="29"/>
      <c r="C537" s="29"/>
      <c r="D537" s="40">
        <v>1.0</v>
      </c>
      <c r="E537" s="31">
        <v>13.0</v>
      </c>
      <c r="F537" s="42">
        <v>277.0</v>
      </c>
      <c r="G537" s="29" t="str">
        <f t="shared" si="1"/>
        <v>13277</v>
      </c>
      <c r="H537" s="37" t="s">
        <v>637</v>
      </c>
      <c r="I537" s="37" t="s">
        <v>44</v>
      </c>
      <c r="J537" s="37" t="s">
        <v>393</v>
      </c>
      <c r="K537" s="37" t="str">
        <f t="shared" si="11"/>
        <v>Tift, GA</v>
      </c>
      <c r="L537" s="37">
        <v>103.0</v>
      </c>
      <c r="M537" s="37" t="s">
        <v>63</v>
      </c>
      <c r="N537" s="37">
        <v>35.0</v>
      </c>
      <c r="O537" s="37">
        <v>50.0</v>
      </c>
      <c r="P537" s="37" t="s">
        <v>63</v>
      </c>
      <c r="Q537" s="37">
        <v>20.0</v>
      </c>
      <c r="R537" s="37">
        <v>14.0</v>
      </c>
      <c r="S537" s="37" t="s">
        <v>63</v>
      </c>
      <c r="T537" s="69" t="s">
        <v>63</v>
      </c>
      <c r="U537" s="37" t="s">
        <v>63</v>
      </c>
      <c r="V537" s="37" t="s">
        <v>63</v>
      </c>
      <c r="W537" s="37" t="s">
        <v>63</v>
      </c>
      <c r="X537" s="37" t="s">
        <v>63</v>
      </c>
      <c r="Y537" s="53">
        <v>58.0</v>
      </c>
      <c r="Z537" s="69" t="s">
        <v>63</v>
      </c>
      <c r="AA537" s="73"/>
      <c r="AB537" s="73"/>
      <c r="AC537" s="73"/>
      <c r="AD537" s="73"/>
      <c r="AE537" s="73"/>
      <c r="AF537" s="73"/>
      <c r="AG537" s="73"/>
      <c r="AH537" s="73"/>
      <c r="AI537" s="73"/>
      <c r="AJ537" s="73"/>
      <c r="AK537" s="73"/>
    </row>
    <row r="538">
      <c r="A538" s="28">
        <v>537.0</v>
      </c>
      <c r="B538" s="29"/>
      <c r="C538" s="29"/>
      <c r="D538" s="40">
        <v>1.0</v>
      </c>
      <c r="E538" s="31">
        <v>13.0</v>
      </c>
      <c r="F538" s="42">
        <v>279.0</v>
      </c>
      <c r="G538" s="29" t="str">
        <f t="shared" si="1"/>
        <v>13279</v>
      </c>
      <c r="H538" s="37" t="s">
        <v>638</v>
      </c>
      <c r="I538" s="37" t="s">
        <v>44</v>
      </c>
      <c r="J538" s="37" t="s">
        <v>393</v>
      </c>
      <c r="K538" s="37" t="str">
        <f t="shared" si="11"/>
        <v>Toombs, GA</v>
      </c>
      <c r="L538" s="37">
        <v>32.0</v>
      </c>
      <c r="M538" s="37" t="s">
        <v>63</v>
      </c>
      <c r="N538" s="37">
        <v>16.0</v>
      </c>
      <c r="O538" s="37">
        <v>9.0</v>
      </c>
      <c r="P538" s="37" t="s">
        <v>63</v>
      </c>
      <c r="Q538" s="37">
        <v>14.0</v>
      </c>
      <c r="R538" s="37">
        <v>3.0</v>
      </c>
      <c r="S538" s="37" t="s">
        <v>63</v>
      </c>
      <c r="T538" s="69" t="s">
        <v>63</v>
      </c>
      <c r="U538" s="37" t="s">
        <v>63</v>
      </c>
      <c r="V538" s="37" t="s">
        <v>63</v>
      </c>
      <c r="W538" s="37" t="s">
        <v>63</v>
      </c>
      <c r="X538" s="37" t="s">
        <v>63</v>
      </c>
      <c r="Y538" s="53">
        <v>45.0</v>
      </c>
      <c r="Z538" s="69" t="s">
        <v>63</v>
      </c>
      <c r="AA538" s="73"/>
      <c r="AB538" s="73"/>
      <c r="AC538" s="73"/>
      <c r="AD538" s="73"/>
      <c r="AE538" s="73"/>
      <c r="AF538" s="73"/>
      <c r="AG538" s="73"/>
      <c r="AH538" s="73"/>
      <c r="AI538" s="73"/>
      <c r="AJ538" s="73"/>
      <c r="AK538" s="73"/>
    </row>
    <row r="539">
      <c r="A539" s="28">
        <v>538.0</v>
      </c>
      <c r="B539" s="29"/>
      <c r="C539" s="29"/>
      <c r="D539" s="40">
        <v>1.0</v>
      </c>
      <c r="E539" s="31">
        <v>13.0</v>
      </c>
      <c r="F539" s="42">
        <v>281.0</v>
      </c>
      <c r="G539" s="29" t="str">
        <f t="shared" si="1"/>
        <v>13281</v>
      </c>
      <c r="H539" s="37" t="s">
        <v>639</v>
      </c>
      <c r="I539" s="37" t="s">
        <v>44</v>
      </c>
      <c r="J539" s="37" t="s">
        <v>393</v>
      </c>
      <c r="K539" s="37" t="str">
        <f t="shared" si="11"/>
        <v>Towns, GA</v>
      </c>
      <c r="L539" s="37">
        <v>8.0</v>
      </c>
      <c r="M539" s="37" t="s">
        <v>63</v>
      </c>
      <c r="N539" s="37">
        <v>5.0</v>
      </c>
      <c r="O539" s="37">
        <v>1.0</v>
      </c>
      <c r="P539" s="37" t="s">
        <v>63</v>
      </c>
      <c r="Q539" s="37">
        <v>4.0</v>
      </c>
      <c r="R539" s="37">
        <v>4.0</v>
      </c>
      <c r="S539" s="37" t="s">
        <v>63</v>
      </c>
      <c r="T539" s="69" t="s">
        <v>63</v>
      </c>
      <c r="U539" s="37" t="s">
        <v>63</v>
      </c>
      <c r="V539" s="37" t="s">
        <v>63</v>
      </c>
      <c r="W539" s="37" t="s">
        <v>63</v>
      </c>
      <c r="X539" s="37" t="s">
        <v>63</v>
      </c>
      <c r="Y539" s="53">
        <v>20.0</v>
      </c>
      <c r="Z539" s="69" t="s">
        <v>63</v>
      </c>
      <c r="AA539" s="73"/>
      <c r="AB539" s="73"/>
      <c r="AC539" s="73"/>
      <c r="AD539" s="73"/>
      <c r="AE539" s="73"/>
      <c r="AF539" s="73"/>
      <c r="AG539" s="73"/>
      <c r="AH539" s="73"/>
      <c r="AI539" s="73"/>
      <c r="AJ539" s="73"/>
      <c r="AK539" s="73"/>
    </row>
    <row r="540">
      <c r="A540" s="28">
        <v>539.0</v>
      </c>
      <c r="B540" s="29"/>
      <c r="C540" s="29"/>
      <c r="D540" s="40">
        <v>1.0</v>
      </c>
      <c r="E540" s="31">
        <v>13.0</v>
      </c>
      <c r="F540" s="42">
        <v>283.0</v>
      </c>
      <c r="G540" s="29" t="str">
        <f t="shared" si="1"/>
        <v>13283</v>
      </c>
      <c r="H540" s="37" t="s">
        <v>640</v>
      </c>
      <c r="I540" s="37" t="s">
        <v>44</v>
      </c>
      <c r="J540" s="37" t="s">
        <v>393</v>
      </c>
      <c r="K540" s="37" t="str">
        <f t="shared" si="11"/>
        <v>Treutlen, GA</v>
      </c>
      <c r="L540" s="37">
        <v>6.0</v>
      </c>
      <c r="M540" s="37" t="s">
        <v>63</v>
      </c>
      <c r="N540" s="37">
        <v>4.0</v>
      </c>
      <c r="O540" s="37">
        <v>1.0</v>
      </c>
      <c r="P540" s="37" t="s">
        <v>63</v>
      </c>
      <c r="Q540" s="37">
        <v>2.0</v>
      </c>
      <c r="R540" s="37">
        <v>0.0</v>
      </c>
      <c r="S540" s="37" t="s">
        <v>63</v>
      </c>
      <c r="T540" s="69" t="s">
        <v>63</v>
      </c>
      <c r="U540" s="37" t="s">
        <v>63</v>
      </c>
      <c r="V540" s="37" t="s">
        <v>63</v>
      </c>
      <c r="W540" s="37" t="s">
        <v>63</v>
      </c>
      <c r="X540" s="37" t="s">
        <v>63</v>
      </c>
      <c r="Y540" s="53">
        <v>14.0</v>
      </c>
      <c r="Z540" s="69" t="s">
        <v>63</v>
      </c>
      <c r="AA540" s="73"/>
      <c r="AB540" s="73"/>
      <c r="AC540" s="73"/>
      <c r="AD540" s="73"/>
      <c r="AE540" s="73"/>
      <c r="AF540" s="73"/>
      <c r="AG540" s="73"/>
      <c r="AH540" s="73"/>
      <c r="AI540" s="73"/>
      <c r="AJ540" s="73"/>
      <c r="AK540" s="73"/>
    </row>
    <row r="541">
      <c r="A541" s="28">
        <v>540.0</v>
      </c>
      <c r="B541" s="29"/>
      <c r="C541" s="29"/>
      <c r="D541" s="40">
        <v>1.0</v>
      </c>
      <c r="E541" s="31">
        <v>13.0</v>
      </c>
      <c r="F541" s="42">
        <v>285.0</v>
      </c>
      <c r="G541" s="29" t="str">
        <f t="shared" si="1"/>
        <v>13285</v>
      </c>
      <c r="H541" s="37" t="s">
        <v>641</v>
      </c>
      <c r="I541" s="37" t="s">
        <v>44</v>
      </c>
      <c r="J541" s="37" t="s">
        <v>393</v>
      </c>
      <c r="K541" s="37" t="str">
        <f t="shared" si="11"/>
        <v>Troup, GA</v>
      </c>
      <c r="L541" s="37">
        <v>85.0</v>
      </c>
      <c r="M541" s="37" t="s">
        <v>63</v>
      </c>
      <c r="N541" s="37">
        <v>48.0</v>
      </c>
      <c r="O541" s="37">
        <v>8.0</v>
      </c>
      <c r="P541" s="37" t="s">
        <v>63</v>
      </c>
      <c r="Q541" s="37">
        <v>20.0</v>
      </c>
      <c r="R541" s="37">
        <v>11.0</v>
      </c>
      <c r="S541" s="37" t="s">
        <v>63</v>
      </c>
      <c r="T541" s="69" t="s">
        <v>63</v>
      </c>
      <c r="U541" s="37" t="s">
        <v>63</v>
      </c>
      <c r="V541" s="37" t="s">
        <v>63</v>
      </c>
      <c r="W541" s="37" t="s">
        <v>63</v>
      </c>
      <c r="X541" s="37" t="s">
        <v>63</v>
      </c>
      <c r="Y541" s="53">
        <v>105.0</v>
      </c>
      <c r="Z541" s="69" t="s">
        <v>63</v>
      </c>
      <c r="AA541" s="73"/>
      <c r="AB541" s="73"/>
      <c r="AC541" s="73"/>
      <c r="AD541" s="73"/>
      <c r="AE541" s="73"/>
      <c r="AF541" s="73"/>
      <c r="AG541" s="73"/>
      <c r="AH541" s="73"/>
      <c r="AI541" s="73"/>
      <c r="AJ541" s="73"/>
      <c r="AK541" s="73"/>
    </row>
    <row r="542">
      <c r="A542" s="28">
        <v>541.0</v>
      </c>
      <c r="B542" s="29"/>
      <c r="C542" s="29"/>
      <c r="D542" s="40">
        <v>1.0</v>
      </c>
      <c r="E542" s="31">
        <v>13.0</v>
      </c>
      <c r="F542" s="42">
        <v>287.0</v>
      </c>
      <c r="G542" s="29" t="str">
        <f t="shared" si="1"/>
        <v>13287</v>
      </c>
      <c r="H542" s="37" t="s">
        <v>642</v>
      </c>
      <c r="I542" s="37" t="s">
        <v>44</v>
      </c>
      <c r="J542" s="37" t="s">
        <v>393</v>
      </c>
      <c r="K542" s="37" t="str">
        <f t="shared" si="11"/>
        <v>Turner, GA</v>
      </c>
      <c r="L542" s="37">
        <v>15.0</v>
      </c>
      <c r="M542" s="37" t="s">
        <v>63</v>
      </c>
      <c r="N542" s="37">
        <v>10.0</v>
      </c>
      <c r="O542" s="37">
        <v>3.0</v>
      </c>
      <c r="P542" s="37" t="s">
        <v>63</v>
      </c>
      <c r="Q542" s="37">
        <v>11.0</v>
      </c>
      <c r="R542" s="37">
        <v>0.0</v>
      </c>
      <c r="S542" s="37" t="s">
        <v>63</v>
      </c>
      <c r="T542" s="69" t="s">
        <v>63</v>
      </c>
      <c r="U542" s="37" t="s">
        <v>63</v>
      </c>
      <c r="V542" s="37" t="s">
        <v>63</v>
      </c>
      <c r="W542" s="37" t="s">
        <v>63</v>
      </c>
      <c r="X542" s="37" t="s">
        <v>63</v>
      </c>
      <c r="Y542" s="53">
        <v>18.0</v>
      </c>
      <c r="Z542" s="69" t="s">
        <v>63</v>
      </c>
      <c r="AA542" s="73"/>
      <c r="AB542" s="73"/>
      <c r="AC542" s="73"/>
      <c r="AD542" s="73"/>
      <c r="AE542" s="73"/>
      <c r="AF542" s="73"/>
      <c r="AG542" s="73"/>
      <c r="AH542" s="73"/>
      <c r="AI542" s="73"/>
      <c r="AJ542" s="73"/>
      <c r="AK542" s="73"/>
    </row>
    <row r="543">
      <c r="A543" s="28">
        <v>542.0</v>
      </c>
      <c r="B543" s="29"/>
      <c r="C543" s="29"/>
      <c r="D543" s="40">
        <v>1.0</v>
      </c>
      <c r="E543" s="31">
        <v>13.0</v>
      </c>
      <c r="F543" s="42">
        <v>289.0</v>
      </c>
      <c r="G543" s="29" t="str">
        <f t="shared" si="1"/>
        <v>13289</v>
      </c>
      <c r="H543" s="37" t="s">
        <v>643</v>
      </c>
      <c r="I543" s="37" t="s">
        <v>44</v>
      </c>
      <c r="J543" s="37" t="s">
        <v>393</v>
      </c>
      <c r="K543" s="37" t="str">
        <f t="shared" si="11"/>
        <v>Twiggs, GA</v>
      </c>
      <c r="L543" s="37">
        <v>9.0</v>
      </c>
      <c r="M543" s="37" t="s">
        <v>63</v>
      </c>
      <c r="N543" s="37">
        <v>4.0</v>
      </c>
      <c r="O543" s="37">
        <v>0.0</v>
      </c>
      <c r="P543" s="37" t="s">
        <v>63</v>
      </c>
      <c r="Q543" s="37">
        <v>6.0</v>
      </c>
      <c r="R543" s="37">
        <v>6.0</v>
      </c>
      <c r="S543" s="37" t="s">
        <v>63</v>
      </c>
      <c r="T543" s="69" t="s">
        <v>63</v>
      </c>
      <c r="U543" s="37" t="s">
        <v>63</v>
      </c>
      <c r="V543" s="37" t="s">
        <v>63</v>
      </c>
      <c r="W543" s="37" t="s">
        <v>63</v>
      </c>
      <c r="X543" s="37" t="s">
        <v>63</v>
      </c>
      <c r="Y543" s="53">
        <v>28.0</v>
      </c>
      <c r="Z543" s="69" t="s">
        <v>63</v>
      </c>
      <c r="AA543" s="73"/>
      <c r="AB543" s="73"/>
      <c r="AC543" s="73"/>
      <c r="AD543" s="73"/>
      <c r="AE543" s="73"/>
      <c r="AF543" s="73"/>
      <c r="AG543" s="73"/>
      <c r="AH543" s="73"/>
      <c r="AI543" s="73"/>
      <c r="AJ543" s="73"/>
      <c r="AK543" s="73"/>
    </row>
    <row r="544">
      <c r="A544" s="28">
        <v>543.0</v>
      </c>
      <c r="B544" s="29"/>
      <c r="C544" s="29"/>
      <c r="D544" s="40">
        <v>1.0</v>
      </c>
      <c r="E544" s="31">
        <v>13.0</v>
      </c>
      <c r="F544" s="42">
        <v>291.0</v>
      </c>
      <c r="G544" s="29" t="str">
        <f t="shared" si="1"/>
        <v>13291</v>
      </c>
      <c r="H544" s="37" t="s">
        <v>316</v>
      </c>
      <c r="I544" s="37" t="s">
        <v>44</v>
      </c>
      <c r="J544" s="37" t="s">
        <v>393</v>
      </c>
      <c r="K544" s="37" t="str">
        <f t="shared" si="11"/>
        <v>Union, GA</v>
      </c>
      <c r="L544" s="37">
        <v>41.0</v>
      </c>
      <c r="M544" s="37" t="s">
        <v>63</v>
      </c>
      <c r="N544" s="37">
        <v>22.0</v>
      </c>
      <c r="O544" s="37">
        <v>8.0</v>
      </c>
      <c r="P544" s="37" t="s">
        <v>63</v>
      </c>
      <c r="Q544" s="37">
        <v>11.0</v>
      </c>
      <c r="R544" s="37">
        <v>6.0</v>
      </c>
      <c r="S544" s="37" t="s">
        <v>63</v>
      </c>
      <c r="T544" s="69" t="s">
        <v>63</v>
      </c>
      <c r="U544" s="37" t="s">
        <v>63</v>
      </c>
      <c r="V544" s="37" t="s">
        <v>63</v>
      </c>
      <c r="W544" s="37" t="s">
        <v>63</v>
      </c>
      <c r="X544" s="37" t="s">
        <v>63</v>
      </c>
      <c r="Y544" s="53">
        <v>41.0</v>
      </c>
      <c r="Z544" s="69" t="s">
        <v>63</v>
      </c>
      <c r="AA544" s="73"/>
      <c r="AB544" s="73"/>
      <c r="AC544" s="73"/>
      <c r="AD544" s="73"/>
      <c r="AE544" s="73"/>
      <c r="AF544" s="73"/>
      <c r="AG544" s="73"/>
      <c r="AH544" s="73"/>
      <c r="AI544" s="73"/>
      <c r="AJ544" s="73"/>
      <c r="AK544" s="73"/>
    </row>
    <row r="545">
      <c r="A545" s="28">
        <v>544.0</v>
      </c>
      <c r="B545" s="29"/>
      <c r="C545" s="29"/>
      <c r="D545" s="40">
        <v>1.0</v>
      </c>
      <c r="E545" s="31">
        <v>13.0</v>
      </c>
      <c r="F545" s="42">
        <v>293.0</v>
      </c>
      <c r="G545" s="29" t="str">
        <f t="shared" si="1"/>
        <v>13293</v>
      </c>
      <c r="H545" s="37" t="s">
        <v>644</v>
      </c>
      <c r="I545" s="37" t="s">
        <v>44</v>
      </c>
      <c r="J545" s="37" t="s">
        <v>393</v>
      </c>
      <c r="K545" s="37" t="str">
        <f t="shared" si="11"/>
        <v>Upson, GA</v>
      </c>
      <c r="L545" s="37">
        <v>60.0</v>
      </c>
      <c r="M545" s="37" t="s">
        <v>63</v>
      </c>
      <c r="N545" s="37">
        <v>24.0</v>
      </c>
      <c r="O545" s="37">
        <v>17.0</v>
      </c>
      <c r="P545" s="37" t="s">
        <v>63</v>
      </c>
      <c r="Q545" s="37">
        <v>13.0</v>
      </c>
      <c r="R545" s="37">
        <v>4.0</v>
      </c>
      <c r="S545" s="37" t="s">
        <v>63</v>
      </c>
      <c r="T545" s="69" t="s">
        <v>63</v>
      </c>
      <c r="U545" s="37" t="s">
        <v>63</v>
      </c>
      <c r="V545" s="37" t="s">
        <v>63</v>
      </c>
      <c r="W545" s="37" t="s">
        <v>63</v>
      </c>
      <c r="X545" s="37" t="s">
        <v>63</v>
      </c>
      <c r="Y545" s="53">
        <v>44.0</v>
      </c>
      <c r="Z545" s="69" t="s">
        <v>63</v>
      </c>
      <c r="AA545" s="73"/>
      <c r="AB545" s="73"/>
      <c r="AC545" s="73"/>
      <c r="AD545" s="73"/>
      <c r="AE545" s="73"/>
      <c r="AF545" s="73"/>
      <c r="AG545" s="73"/>
      <c r="AH545" s="73"/>
      <c r="AI545" s="73"/>
      <c r="AJ545" s="73"/>
      <c r="AK545" s="73"/>
    </row>
    <row r="546">
      <c r="A546" s="28">
        <v>545.0</v>
      </c>
      <c r="B546" s="29"/>
      <c r="C546" s="29"/>
      <c r="D546" s="40">
        <v>1.0</v>
      </c>
      <c r="E546" s="31">
        <v>13.0</v>
      </c>
      <c r="F546" s="42">
        <v>295.0</v>
      </c>
      <c r="G546" s="29" t="str">
        <f t="shared" si="1"/>
        <v>13295</v>
      </c>
      <c r="H546" s="37" t="s">
        <v>175</v>
      </c>
      <c r="I546" s="37" t="s">
        <v>44</v>
      </c>
      <c r="J546" s="37" t="s">
        <v>393</v>
      </c>
      <c r="K546" s="37" t="str">
        <f t="shared" si="11"/>
        <v>Walker, GA</v>
      </c>
      <c r="L546" s="37">
        <v>166.0</v>
      </c>
      <c r="M546" s="37" t="s">
        <v>63</v>
      </c>
      <c r="N546" s="37">
        <v>122.0</v>
      </c>
      <c r="O546" s="37">
        <v>13.0</v>
      </c>
      <c r="P546" s="37" t="s">
        <v>63</v>
      </c>
      <c r="Q546" s="37">
        <v>42.0</v>
      </c>
      <c r="R546" s="37">
        <v>11.0</v>
      </c>
      <c r="S546" s="37" t="s">
        <v>63</v>
      </c>
      <c r="T546" s="69" t="s">
        <v>63</v>
      </c>
      <c r="U546" s="37" t="s">
        <v>63</v>
      </c>
      <c r="V546" s="37" t="s">
        <v>63</v>
      </c>
      <c r="W546" s="37" t="s">
        <v>63</v>
      </c>
      <c r="X546" s="37" t="s">
        <v>63</v>
      </c>
      <c r="Y546" s="53">
        <v>97.0</v>
      </c>
      <c r="Z546" s="69" t="s">
        <v>63</v>
      </c>
      <c r="AA546" s="73"/>
      <c r="AB546" s="73"/>
      <c r="AC546" s="73"/>
      <c r="AD546" s="73"/>
      <c r="AE546" s="73"/>
      <c r="AF546" s="73"/>
      <c r="AG546" s="73"/>
      <c r="AH546" s="73"/>
      <c r="AI546" s="73"/>
      <c r="AJ546" s="73"/>
      <c r="AK546" s="73"/>
    </row>
    <row r="547">
      <c r="A547" s="28">
        <v>546.0</v>
      </c>
      <c r="B547" s="29"/>
      <c r="C547" s="29"/>
      <c r="D547" s="40">
        <v>1.0</v>
      </c>
      <c r="E547" s="31">
        <v>13.0</v>
      </c>
      <c r="F547" s="42">
        <v>297.0</v>
      </c>
      <c r="G547" s="29" t="str">
        <f t="shared" si="1"/>
        <v>13297</v>
      </c>
      <c r="H547" s="37" t="s">
        <v>530</v>
      </c>
      <c r="I547" s="37" t="s">
        <v>44</v>
      </c>
      <c r="J547" s="37" t="s">
        <v>393</v>
      </c>
      <c r="K547" s="37" t="str">
        <f t="shared" si="11"/>
        <v>Walton, GA</v>
      </c>
      <c r="L547" s="37">
        <v>125.0</v>
      </c>
      <c r="M547" s="37" t="s">
        <v>63</v>
      </c>
      <c r="N547" s="37">
        <v>73.0</v>
      </c>
      <c r="O547" s="37">
        <v>21.0</v>
      </c>
      <c r="P547" s="37" t="s">
        <v>63</v>
      </c>
      <c r="Q547" s="37">
        <v>64.0</v>
      </c>
      <c r="R547" s="37">
        <v>17.0</v>
      </c>
      <c r="S547" s="37" t="s">
        <v>63</v>
      </c>
      <c r="T547" s="69" t="s">
        <v>63</v>
      </c>
      <c r="U547" s="37" t="s">
        <v>63</v>
      </c>
      <c r="V547" s="37" t="s">
        <v>63</v>
      </c>
      <c r="W547" s="37" t="s">
        <v>63</v>
      </c>
      <c r="X547" s="37" t="s">
        <v>63</v>
      </c>
      <c r="Y547" s="53">
        <v>83.0</v>
      </c>
      <c r="Z547" s="69" t="s">
        <v>63</v>
      </c>
      <c r="AA547" s="73"/>
      <c r="AB547" s="73"/>
      <c r="AC547" s="73"/>
      <c r="AD547" s="73"/>
      <c r="AE547" s="73"/>
      <c r="AF547" s="73"/>
      <c r="AG547" s="73"/>
      <c r="AH547" s="73"/>
      <c r="AI547" s="73"/>
      <c r="AJ547" s="73"/>
      <c r="AK547" s="73"/>
    </row>
    <row r="548">
      <c r="A548" s="28">
        <v>547.0</v>
      </c>
      <c r="B548" s="29"/>
      <c r="C548" s="29"/>
      <c r="D548" s="40">
        <v>1.0</v>
      </c>
      <c r="E548" s="31">
        <v>13.0</v>
      </c>
      <c r="F548" s="42">
        <v>299.0</v>
      </c>
      <c r="G548" s="29" t="str">
        <f t="shared" si="1"/>
        <v>13299</v>
      </c>
      <c r="H548" s="37" t="s">
        <v>646</v>
      </c>
      <c r="I548" s="37" t="s">
        <v>44</v>
      </c>
      <c r="J548" s="37" t="s">
        <v>393</v>
      </c>
      <c r="K548" s="37" t="str">
        <f t="shared" si="11"/>
        <v>Ware, GA</v>
      </c>
      <c r="L548" s="37">
        <v>151.0</v>
      </c>
      <c r="M548" s="37" t="s">
        <v>63</v>
      </c>
      <c r="N548" s="37">
        <v>87.0</v>
      </c>
      <c r="O548" s="37">
        <v>24.0</v>
      </c>
      <c r="P548" s="37" t="s">
        <v>63</v>
      </c>
      <c r="Q548" s="37">
        <v>23.0</v>
      </c>
      <c r="R548" s="37">
        <v>3.0</v>
      </c>
      <c r="S548" s="37" t="s">
        <v>63</v>
      </c>
      <c r="T548" s="69" t="s">
        <v>63</v>
      </c>
      <c r="U548" s="37" t="s">
        <v>63</v>
      </c>
      <c r="V548" s="37" t="s">
        <v>63</v>
      </c>
      <c r="W548" s="37" t="s">
        <v>63</v>
      </c>
      <c r="X548" s="37" t="s">
        <v>63</v>
      </c>
      <c r="Y548" s="53">
        <v>79.0</v>
      </c>
      <c r="Z548" s="69" t="s">
        <v>63</v>
      </c>
      <c r="AA548" s="73"/>
      <c r="AB548" s="73"/>
      <c r="AC548" s="73"/>
      <c r="AD548" s="73"/>
      <c r="AE548" s="73"/>
      <c r="AF548" s="73"/>
      <c r="AG548" s="73"/>
      <c r="AH548" s="73"/>
      <c r="AI548" s="73"/>
      <c r="AJ548" s="73"/>
      <c r="AK548" s="73"/>
    </row>
    <row r="549">
      <c r="A549" s="28">
        <v>548.0</v>
      </c>
      <c r="B549" s="29"/>
      <c r="C549" s="29"/>
      <c r="D549" s="40">
        <v>1.0</v>
      </c>
      <c r="E549" s="31">
        <v>13.0</v>
      </c>
      <c r="F549" s="42">
        <v>301.0</v>
      </c>
      <c r="G549" s="29" t="str">
        <f t="shared" si="1"/>
        <v>13301</v>
      </c>
      <c r="H549" s="37" t="s">
        <v>647</v>
      </c>
      <c r="I549" s="37" t="s">
        <v>44</v>
      </c>
      <c r="J549" s="37" t="s">
        <v>393</v>
      </c>
      <c r="K549" s="37" t="str">
        <f t="shared" si="11"/>
        <v>Warren, GA</v>
      </c>
      <c r="L549" s="37">
        <v>8.0</v>
      </c>
      <c r="M549" s="37" t="s">
        <v>63</v>
      </c>
      <c r="N549" s="37">
        <v>3.0</v>
      </c>
      <c r="O549" s="37">
        <v>3.0</v>
      </c>
      <c r="P549" s="37" t="s">
        <v>63</v>
      </c>
      <c r="Q549" s="37">
        <v>0.0</v>
      </c>
      <c r="R549" s="37">
        <v>1.0</v>
      </c>
      <c r="S549" s="37" t="s">
        <v>63</v>
      </c>
      <c r="T549" s="69" t="s">
        <v>63</v>
      </c>
      <c r="U549" s="37" t="s">
        <v>63</v>
      </c>
      <c r="V549" s="37" t="s">
        <v>63</v>
      </c>
      <c r="W549" s="37" t="s">
        <v>63</v>
      </c>
      <c r="X549" s="37" t="s">
        <v>63</v>
      </c>
      <c r="Y549" s="53">
        <v>15.0</v>
      </c>
      <c r="Z549" s="69" t="s">
        <v>63</v>
      </c>
      <c r="AA549" s="73"/>
      <c r="AB549" s="73"/>
      <c r="AC549" s="73"/>
      <c r="AD549" s="73"/>
      <c r="AE549" s="73"/>
      <c r="AF549" s="73"/>
      <c r="AG549" s="73"/>
      <c r="AH549" s="73"/>
      <c r="AI549" s="73"/>
      <c r="AJ549" s="73"/>
      <c r="AK549" s="73"/>
    </row>
    <row r="550">
      <c r="A550" s="28">
        <v>549.0</v>
      </c>
      <c r="B550" s="29"/>
      <c r="C550" s="29"/>
      <c r="D550" s="40">
        <v>1.0</v>
      </c>
      <c r="E550" s="31">
        <v>13.0</v>
      </c>
      <c r="F550" s="42">
        <v>303.0</v>
      </c>
      <c r="G550" s="29" t="str">
        <f t="shared" si="1"/>
        <v>13303</v>
      </c>
      <c r="H550" s="37" t="s">
        <v>119</v>
      </c>
      <c r="I550" s="37" t="s">
        <v>44</v>
      </c>
      <c r="J550" s="37" t="s">
        <v>393</v>
      </c>
      <c r="K550" s="37" t="str">
        <f t="shared" si="11"/>
        <v>Washington, GA</v>
      </c>
      <c r="L550" s="37">
        <v>94.0</v>
      </c>
      <c r="M550" s="37" t="s">
        <v>63</v>
      </c>
      <c r="N550" s="37">
        <v>54.0</v>
      </c>
      <c r="O550" s="37">
        <v>23.0</v>
      </c>
      <c r="P550" s="37" t="s">
        <v>63</v>
      </c>
      <c r="Q550" s="37">
        <v>14.0</v>
      </c>
      <c r="R550" s="37">
        <v>0.0</v>
      </c>
      <c r="S550" s="37" t="s">
        <v>63</v>
      </c>
      <c r="T550" s="69" t="s">
        <v>63</v>
      </c>
      <c r="U550" s="37" t="s">
        <v>63</v>
      </c>
      <c r="V550" s="37" t="s">
        <v>63</v>
      </c>
      <c r="W550" s="37" t="s">
        <v>63</v>
      </c>
      <c r="X550" s="37" t="s">
        <v>63</v>
      </c>
      <c r="Y550" s="53">
        <v>43.0</v>
      </c>
      <c r="Z550" s="69" t="s">
        <v>63</v>
      </c>
      <c r="AA550" s="73"/>
      <c r="AB550" s="73"/>
      <c r="AC550" s="73"/>
      <c r="AD550" s="73"/>
      <c r="AE550" s="73"/>
      <c r="AF550" s="73"/>
      <c r="AG550" s="73"/>
      <c r="AH550" s="73"/>
      <c r="AI550" s="73"/>
      <c r="AJ550" s="73"/>
      <c r="AK550" s="73"/>
    </row>
    <row r="551">
      <c r="A551" s="28">
        <v>550.0</v>
      </c>
      <c r="B551" s="29"/>
      <c r="C551" s="29"/>
      <c r="D551" s="40">
        <v>1.0</v>
      </c>
      <c r="E551" s="31">
        <v>13.0</v>
      </c>
      <c r="F551" s="42">
        <v>305.0</v>
      </c>
      <c r="G551" s="29" t="str">
        <f t="shared" si="1"/>
        <v>13305</v>
      </c>
      <c r="H551" s="37" t="s">
        <v>273</v>
      </c>
      <c r="I551" s="37" t="s">
        <v>44</v>
      </c>
      <c r="J551" s="37" t="s">
        <v>393</v>
      </c>
      <c r="K551" s="37" t="str">
        <f t="shared" si="11"/>
        <v>Wayne, GA</v>
      </c>
      <c r="L551" s="37">
        <v>34.0</v>
      </c>
      <c r="M551" s="37" t="s">
        <v>63</v>
      </c>
      <c r="N551" s="37">
        <v>24.0</v>
      </c>
      <c r="O551" s="37">
        <v>1.0</v>
      </c>
      <c r="P551" s="37" t="s">
        <v>63</v>
      </c>
      <c r="Q551" s="37">
        <v>14.0</v>
      </c>
      <c r="R551" s="37">
        <v>3.0</v>
      </c>
      <c r="S551" s="37" t="s">
        <v>63</v>
      </c>
      <c r="T551" s="69" t="s">
        <v>63</v>
      </c>
      <c r="U551" s="37" t="s">
        <v>63</v>
      </c>
      <c r="V551" s="37" t="s">
        <v>63</v>
      </c>
      <c r="W551" s="37" t="s">
        <v>63</v>
      </c>
      <c r="X551" s="37" t="s">
        <v>63</v>
      </c>
      <c r="Y551" s="53">
        <v>64.0</v>
      </c>
      <c r="Z551" s="69" t="s">
        <v>63</v>
      </c>
      <c r="AA551" s="73"/>
      <c r="AB551" s="73"/>
      <c r="AC551" s="73"/>
      <c r="AD551" s="73"/>
      <c r="AE551" s="73"/>
      <c r="AF551" s="73"/>
      <c r="AG551" s="73"/>
      <c r="AH551" s="73"/>
      <c r="AI551" s="73"/>
      <c r="AJ551" s="73"/>
      <c r="AK551" s="73"/>
    </row>
    <row r="552">
      <c r="A552" s="28">
        <v>551.0</v>
      </c>
      <c r="B552" s="29"/>
      <c r="C552" s="29"/>
      <c r="D552" s="40">
        <v>1.0</v>
      </c>
      <c r="E552" s="31">
        <v>13.0</v>
      </c>
      <c r="F552" s="42">
        <v>307.0</v>
      </c>
      <c r="G552" s="29" t="str">
        <f t="shared" si="1"/>
        <v>13307</v>
      </c>
      <c r="H552" s="37" t="s">
        <v>648</v>
      </c>
      <c r="I552" s="37" t="s">
        <v>44</v>
      </c>
      <c r="J552" s="37" t="s">
        <v>393</v>
      </c>
      <c r="K552" s="37" t="str">
        <f t="shared" si="11"/>
        <v>Webster, GA</v>
      </c>
      <c r="L552" s="37">
        <v>1.0</v>
      </c>
      <c r="M552" s="37" t="s">
        <v>63</v>
      </c>
      <c r="N552" s="37">
        <v>0.0</v>
      </c>
      <c r="O552" s="37">
        <v>1.0</v>
      </c>
      <c r="P552" s="37" t="s">
        <v>63</v>
      </c>
      <c r="Q552" s="37">
        <v>1.0</v>
      </c>
      <c r="R552" s="37">
        <v>1.0</v>
      </c>
      <c r="S552" s="37" t="s">
        <v>63</v>
      </c>
      <c r="T552" s="69" t="s">
        <v>63</v>
      </c>
      <c r="U552" s="37" t="s">
        <v>63</v>
      </c>
      <c r="V552" s="37" t="s">
        <v>63</v>
      </c>
      <c r="W552" s="37" t="s">
        <v>63</v>
      </c>
      <c r="X552" s="37" t="s">
        <v>63</v>
      </c>
      <c r="Y552" s="53">
        <v>7.0</v>
      </c>
      <c r="Z552" s="69" t="s">
        <v>63</v>
      </c>
      <c r="AA552" s="73"/>
      <c r="AB552" s="73"/>
      <c r="AC552" s="73"/>
      <c r="AD552" s="73"/>
      <c r="AE552" s="73"/>
      <c r="AF552" s="73"/>
      <c r="AG552" s="73"/>
      <c r="AH552" s="73"/>
      <c r="AI552" s="73"/>
      <c r="AJ552" s="73"/>
      <c r="AK552" s="73"/>
    </row>
    <row r="553">
      <c r="A553" s="28">
        <v>552.0</v>
      </c>
      <c r="B553" s="29"/>
      <c r="C553" s="29"/>
      <c r="D553" s="40">
        <v>1.0</v>
      </c>
      <c r="E553" s="31">
        <v>13.0</v>
      </c>
      <c r="F553" s="42">
        <v>309.0</v>
      </c>
      <c r="G553" s="29" t="str">
        <f t="shared" si="1"/>
        <v>13309</v>
      </c>
      <c r="H553" s="37" t="s">
        <v>649</v>
      </c>
      <c r="I553" s="37" t="s">
        <v>44</v>
      </c>
      <c r="J553" s="37" t="s">
        <v>393</v>
      </c>
      <c r="K553" s="37" t="str">
        <f t="shared" si="11"/>
        <v>Wheeler, GA</v>
      </c>
      <c r="L553" s="37">
        <v>6.0</v>
      </c>
      <c r="M553" s="37" t="s">
        <v>63</v>
      </c>
      <c r="N553" s="37">
        <v>5.0</v>
      </c>
      <c r="O553" s="37">
        <v>0.0</v>
      </c>
      <c r="P553" s="37" t="s">
        <v>63</v>
      </c>
      <c r="Q553" s="37">
        <v>4.0</v>
      </c>
      <c r="R553" s="37">
        <v>0.0</v>
      </c>
      <c r="S553" s="37" t="s">
        <v>63</v>
      </c>
      <c r="T553" s="69" t="s">
        <v>63</v>
      </c>
      <c r="U553" s="37" t="s">
        <v>63</v>
      </c>
      <c r="V553" s="37" t="s">
        <v>63</v>
      </c>
      <c r="W553" s="37" t="s">
        <v>63</v>
      </c>
      <c r="X553" s="37" t="s">
        <v>63</v>
      </c>
      <c r="Y553" s="53">
        <v>14.0</v>
      </c>
      <c r="Z553" s="69" t="s">
        <v>63</v>
      </c>
      <c r="AA553" s="73"/>
      <c r="AB553" s="73"/>
      <c r="AC553" s="73"/>
      <c r="AD553" s="73"/>
      <c r="AE553" s="73"/>
      <c r="AF553" s="73"/>
      <c r="AG553" s="73"/>
      <c r="AH553" s="73"/>
      <c r="AI553" s="73"/>
      <c r="AJ553" s="73"/>
      <c r="AK553" s="73"/>
    </row>
    <row r="554">
      <c r="A554" s="28">
        <v>553.0</v>
      </c>
      <c r="B554" s="29"/>
      <c r="C554" s="29"/>
      <c r="D554" s="40">
        <v>1.0</v>
      </c>
      <c r="E554" s="31">
        <v>13.0</v>
      </c>
      <c r="F554" s="42">
        <v>311.0</v>
      </c>
      <c r="G554" s="29" t="str">
        <f t="shared" si="1"/>
        <v>13311</v>
      </c>
      <c r="H554" s="37" t="s">
        <v>66</v>
      </c>
      <c r="I554" s="37" t="s">
        <v>44</v>
      </c>
      <c r="J554" s="37" t="s">
        <v>393</v>
      </c>
      <c r="K554" s="37" t="str">
        <f t="shared" si="11"/>
        <v>White, GA</v>
      </c>
      <c r="L554" s="37">
        <v>80.0</v>
      </c>
      <c r="M554" s="37" t="s">
        <v>63</v>
      </c>
      <c r="N554" s="37">
        <v>49.0</v>
      </c>
      <c r="O554" s="37">
        <v>13.0</v>
      </c>
      <c r="P554" s="37" t="s">
        <v>63</v>
      </c>
      <c r="Q554" s="37">
        <v>16.0</v>
      </c>
      <c r="R554" s="37">
        <v>9.0</v>
      </c>
      <c r="S554" s="37" t="s">
        <v>63</v>
      </c>
      <c r="T554" s="69" t="s">
        <v>63</v>
      </c>
      <c r="U554" s="37" t="s">
        <v>63</v>
      </c>
      <c r="V554" s="37" t="s">
        <v>63</v>
      </c>
      <c r="W554" s="37" t="s">
        <v>63</v>
      </c>
      <c r="X554" s="37" t="s">
        <v>63</v>
      </c>
      <c r="Y554" s="53">
        <v>34.0</v>
      </c>
      <c r="Z554" s="69" t="s">
        <v>63</v>
      </c>
      <c r="AA554" s="73"/>
      <c r="AB554" s="73"/>
      <c r="AC554" s="73"/>
      <c r="AD554" s="73"/>
      <c r="AE554" s="73"/>
      <c r="AF554" s="73"/>
      <c r="AG554" s="73"/>
      <c r="AH554" s="73"/>
      <c r="AI554" s="73"/>
      <c r="AJ554" s="73"/>
      <c r="AK554" s="73"/>
    </row>
    <row r="555">
      <c r="A555" s="28">
        <v>554.0</v>
      </c>
      <c r="B555" s="29"/>
      <c r="C555" s="29"/>
      <c r="D555" s="40">
        <v>1.0</v>
      </c>
      <c r="E555" s="31">
        <v>13.0</v>
      </c>
      <c r="F555" s="42">
        <v>313.0</v>
      </c>
      <c r="G555" s="29" t="str">
        <f t="shared" si="1"/>
        <v>13313</v>
      </c>
      <c r="H555" s="37" t="s">
        <v>651</v>
      </c>
      <c r="I555" s="37" t="s">
        <v>44</v>
      </c>
      <c r="J555" s="37" t="s">
        <v>393</v>
      </c>
      <c r="K555" s="37" t="str">
        <f t="shared" si="11"/>
        <v>Whitfield, GA</v>
      </c>
      <c r="L555" s="37">
        <v>156.0</v>
      </c>
      <c r="M555" s="37" t="s">
        <v>63</v>
      </c>
      <c r="N555" s="37">
        <v>76.0</v>
      </c>
      <c r="O555" s="37">
        <v>36.0</v>
      </c>
      <c r="P555" s="37" t="s">
        <v>63</v>
      </c>
      <c r="Q555" s="37">
        <v>38.0</v>
      </c>
      <c r="R555" s="37">
        <v>28.0</v>
      </c>
      <c r="S555" s="37" t="s">
        <v>63</v>
      </c>
      <c r="T555" s="69" t="s">
        <v>63</v>
      </c>
      <c r="U555" s="37" t="s">
        <v>63</v>
      </c>
      <c r="V555" s="37" t="s">
        <v>63</v>
      </c>
      <c r="W555" s="37" t="s">
        <v>63</v>
      </c>
      <c r="X555" s="37" t="s">
        <v>63</v>
      </c>
      <c r="Y555" s="53">
        <v>100.0</v>
      </c>
      <c r="Z555" s="69" t="s">
        <v>63</v>
      </c>
      <c r="AA555" s="73"/>
      <c r="AB555" s="73"/>
      <c r="AC555" s="73"/>
      <c r="AD555" s="73"/>
      <c r="AE555" s="73"/>
      <c r="AF555" s="73"/>
      <c r="AG555" s="73"/>
      <c r="AH555" s="73"/>
      <c r="AI555" s="73"/>
      <c r="AJ555" s="73"/>
      <c r="AK555" s="73"/>
    </row>
    <row r="556">
      <c r="A556" s="28">
        <v>555.0</v>
      </c>
      <c r="B556" s="29"/>
      <c r="C556" s="29"/>
      <c r="D556" s="40">
        <v>1.0</v>
      </c>
      <c r="E556" s="31">
        <v>13.0</v>
      </c>
      <c r="F556" s="42">
        <v>315.0</v>
      </c>
      <c r="G556" s="29" t="str">
        <f t="shared" si="1"/>
        <v>13315</v>
      </c>
      <c r="H556" s="37" t="s">
        <v>176</v>
      </c>
      <c r="I556" s="37" t="s">
        <v>44</v>
      </c>
      <c r="J556" s="37" t="s">
        <v>393</v>
      </c>
      <c r="K556" s="37" t="str">
        <f t="shared" si="11"/>
        <v>Wilcox, GA</v>
      </c>
      <c r="L556" s="37">
        <v>16.0</v>
      </c>
      <c r="M556" s="37" t="s">
        <v>63</v>
      </c>
      <c r="N556" s="37">
        <v>13.0</v>
      </c>
      <c r="O556" s="37">
        <v>3.0</v>
      </c>
      <c r="P556" s="37" t="s">
        <v>63</v>
      </c>
      <c r="Q556" s="37">
        <v>2.0</v>
      </c>
      <c r="R556" s="37">
        <v>2.0</v>
      </c>
      <c r="S556" s="37" t="s">
        <v>63</v>
      </c>
      <c r="T556" s="69" t="s">
        <v>63</v>
      </c>
      <c r="U556" s="37" t="s">
        <v>63</v>
      </c>
      <c r="V556" s="37" t="s">
        <v>63</v>
      </c>
      <c r="W556" s="37" t="s">
        <v>63</v>
      </c>
      <c r="X556" s="37" t="s">
        <v>63</v>
      </c>
      <c r="Y556" s="53">
        <v>17.0</v>
      </c>
      <c r="Z556" s="69" t="s">
        <v>63</v>
      </c>
      <c r="AA556" s="73"/>
      <c r="AB556" s="73"/>
      <c r="AC556" s="73"/>
      <c r="AD556" s="73"/>
      <c r="AE556" s="73"/>
      <c r="AF556" s="73"/>
      <c r="AG556" s="73"/>
      <c r="AH556" s="73"/>
      <c r="AI556" s="73"/>
      <c r="AJ556" s="73"/>
      <c r="AK556" s="73"/>
    </row>
    <row r="557">
      <c r="A557" s="28">
        <v>556.0</v>
      </c>
      <c r="B557" s="29"/>
      <c r="C557" s="29"/>
      <c r="D557" s="40">
        <v>1.0</v>
      </c>
      <c r="E557" s="31">
        <v>13.0</v>
      </c>
      <c r="F557" s="42">
        <v>317.0</v>
      </c>
      <c r="G557" s="29" t="str">
        <f t="shared" si="1"/>
        <v>13317</v>
      </c>
      <c r="H557" s="37" t="s">
        <v>653</v>
      </c>
      <c r="I557" s="37" t="s">
        <v>44</v>
      </c>
      <c r="J557" s="37" t="s">
        <v>393</v>
      </c>
      <c r="K557" s="37" t="str">
        <f t="shared" si="11"/>
        <v>Wilkes, GA</v>
      </c>
      <c r="L557" s="37">
        <v>15.0</v>
      </c>
      <c r="M557" s="37" t="s">
        <v>63</v>
      </c>
      <c r="N557" s="37">
        <v>9.0</v>
      </c>
      <c r="O557" s="37">
        <v>6.0</v>
      </c>
      <c r="P557" s="37" t="s">
        <v>63</v>
      </c>
      <c r="Q557" s="37">
        <v>2.0</v>
      </c>
      <c r="R557" s="37">
        <v>0.0</v>
      </c>
      <c r="S557" s="37" t="s">
        <v>63</v>
      </c>
      <c r="T557" s="69" t="s">
        <v>63</v>
      </c>
      <c r="U557" s="37" t="s">
        <v>63</v>
      </c>
      <c r="V557" s="37" t="s">
        <v>63</v>
      </c>
      <c r="W557" s="37" t="s">
        <v>63</v>
      </c>
      <c r="X557" s="37" t="s">
        <v>63</v>
      </c>
      <c r="Y557" s="53">
        <v>38.0</v>
      </c>
      <c r="Z557" s="69" t="s">
        <v>63</v>
      </c>
      <c r="AA557" s="73"/>
      <c r="AB557" s="73"/>
      <c r="AC557" s="73"/>
      <c r="AD557" s="73"/>
      <c r="AE557" s="73"/>
      <c r="AF557" s="73"/>
      <c r="AG557" s="73"/>
      <c r="AH557" s="73"/>
      <c r="AI557" s="73"/>
      <c r="AJ557" s="73"/>
      <c r="AK557" s="73"/>
    </row>
    <row r="558">
      <c r="A558" s="28">
        <v>557.0</v>
      </c>
      <c r="B558" s="29"/>
      <c r="C558" s="29"/>
      <c r="D558" s="40">
        <v>1.0</v>
      </c>
      <c r="E558" s="31">
        <v>13.0</v>
      </c>
      <c r="F558" s="42">
        <v>319.0</v>
      </c>
      <c r="G558" s="29" t="str">
        <f t="shared" si="1"/>
        <v>13319</v>
      </c>
      <c r="H558" s="37" t="s">
        <v>654</v>
      </c>
      <c r="I558" s="37" t="s">
        <v>44</v>
      </c>
      <c r="J558" s="37" t="s">
        <v>393</v>
      </c>
      <c r="K558" s="37" t="str">
        <f t="shared" si="11"/>
        <v>Wilkinson, GA</v>
      </c>
      <c r="L558" s="37">
        <v>12.0</v>
      </c>
      <c r="M558" s="37" t="s">
        <v>63</v>
      </c>
      <c r="N558" s="37">
        <v>7.0</v>
      </c>
      <c r="O558" s="37">
        <v>1.0</v>
      </c>
      <c r="P558" s="37" t="s">
        <v>63</v>
      </c>
      <c r="Q558" s="37">
        <v>8.0</v>
      </c>
      <c r="R558" s="37">
        <v>10.0</v>
      </c>
      <c r="S558" s="37" t="s">
        <v>63</v>
      </c>
      <c r="T558" s="69" t="s">
        <v>63</v>
      </c>
      <c r="U558" s="37" t="s">
        <v>63</v>
      </c>
      <c r="V558" s="37" t="s">
        <v>63</v>
      </c>
      <c r="W558" s="37" t="s">
        <v>63</v>
      </c>
      <c r="X558" s="37" t="s">
        <v>63</v>
      </c>
      <c r="Y558" s="53">
        <v>39.0</v>
      </c>
      <c r="Z558" s="69" t="s">
        <v>63</v>
      </c>
      <c r="AA558" s="73"/>
      <c r="AB558" s="73"/>
      <c r="AC558" s="73"/>
      <c r="AD558" s="73"/>
      <c r="AE558" s="73"/>
      <c r="AF558" s="73"/>
      <c r="AG558" s="73"/>
      <c r="AH558" s="73"/>
      <c r="AI558" s="73"/>
      <c r="AJ558" s="73"/>
      <c r="AK558" s="73"/>
    </row>
    <row r="559">
      <c r="A559" s="28">
        <v>558.0</v>
      </c>
      <c r="B559" s="29"/>
      <c r="C559" s="29"/>
      <c r="D559" s="40">
        <v>1.0</v>
      </c>
      <c r="E559" s="31">
        <v>13.0</v>
      </c>
      <c r="F559" s="42">
        <v>321.0</v>
      </c>
      <c r="G559" s="29" t="str">
        <f t="shared" si="1"/>
        <v>13321</v>
      </c>
      <c r="H559" s="37" t="s">
        <v>655</v>
      </c>
      <c r="I559" s="37" t="s">
        <v>44</v>
      </c>
      <c r="J559" s="37" t="s">
        <v>393</v>
      </c>
      <c r="K559" s="37" t="str">
        <f t="shared" si="11"/>
        <v>Worth, GA</v>
      </c>
      <c r="L559" s="37">
        <v>31.0</v>
      </c>
      <c r="M559" s="37" t="s">
        <v>63</v>
      </c>
      <c r="N559" s="37">
        <v>9.0</v>
      </c>
      <c r="O559" s="37">
        <v>14.0</v>
      </c>
      <c r="P559" s="37" t="s">
        <v>63</v>
      </c>
      <c r="Q559" s="37">
        <v>11.0</v>
      </c>
      <c r="R559" s="37">
        <v>7.0</v>
      </c>
      <c r="S559" s="37" t="s">
        <v>63</v>
      </c>
      <c r="T559" s="69" t="s">
        <v>63</v>
      </c>
      <c r="U559" s="37" t="s">
        <v>63</v>
      </c>
      <c r="V559" s="37" t="s">
        <v>63</v>
      </c>
      <c r="W559" s="37" t="s">
        <v>63</v>
      </c>
      <c r="X559" s="37" t="s">
        <v>63</v>
      </c>
      <c r="Y559" s="53">
        <v>35.0</v>
      </c>
      <c r="Z559" s="69" t="s">
        <v>63</v>
      </c>
      <c r="AA559" s="73"/>
      <c r="AB559" s="73"/>
      <c r="AC559" s="73"/>
      <c r="AD559" s="73"/>
      <c r="AE559" s="73"/>
      <c r="AF559" s="73"/>
      <c r="AG559" s="73"/>
      <c r="AH559" s="73"/>
      <c r="AI559" s="73"/>
      <c r="AJ559" s="73"/>
      <c r="AK559" s="73"/>
    </row>
    <row r="560">
      <c r="A560" s="99">
        <v>559.0</v>
      </c>
      <c r="B560" s="15"/>
      <c r="C560" s="14" t="s">
        <v>25</v>
      </c>
      <c r="D560" s="16"/>
      <c r="E560" s="102">
        <v>15.0</v>
      </c>
      <c r="F560" s="107">
        <v>0.0</v>
      </c>
      <c r="G560" s="15" t="str">
        <f t="shared" si="1"/>
        <v>15000</v>
      </c>
      <c r="H560" s="23"/>
      <c r="I560" s="23" t="s">
        <v>45</v>
      </c>
      <c r="J560" s="23" t="s">
        <v>420</v>
      </c>
      <c r="K560" s="23"/>
      <c r="L560" s="123">
        <f t="array" ref="L560:Z560">Hawaii!C9:Q9</f>
        <v>860</v>
      </c>
      <c r="M560" s="23">
        <v>1.8</v>
      </c>
      <c r="N560" s="23">
        <v>360.0</v>
      </c>
      <c r="O560" s="23">
        <v>362.0</v>
      </c>
      <c r="P560" s="23" t="s">
        <v>63</v>
      </c>
      <c r="Q560" s="123">
        <v>781.0</v>
      </c>
      <c r="R560" s="123">
        <v>155.0</v>
      </c>
      <c r="S560" s="23" t="s">
        <v>63</v>
      </c>
      <c r="T560" s="32">
        <v>0.54</v>
      </c>
      <c r="U560" s="23" t="s">
        <v>63</v>
      </c>
      <c r="V560" s="23" t="s">
        <v>63</v>
      </c>
      <c r="W560" s="23" t="s">
        <v>63</v>
      </c>
      <c r="X560" s="23" t="s">
        <v>63</v>
      </c>
      <c r="Y560" s="123">
        <v>677.0</v>
      </c>
      <c r="Z560" s="32" t="s">
        <v>63</v>
      </c>
      <c r="AA560" s="38"/>
      <c r="AB560" s="38"/>
      <c r="AC560" s="38"/>
      <c r="AD560" s="38"/>
      <c r="AE560" s="38"/>
      <c r="AF560" s="38"/>
      <c r="AG560" s="38"/>
      <c r="AH560" s="38"/>
      <c r="AI560" s="38"/>
      <c r="AJ560" s="38"/>
      <c r="AK560" s="38"/>
    </row>
    <row r="561">
      <c r="A561" s="99">
        <v>560.0</v>
      </c>
      <c r="B561" s="15"/>
      <c r="C561" s="15"/>
      <c r="D561" s="105">
        <v>1.0</v>
      </c>
      <c r="E561" s="102">
        <v>15.0</v>
      </c>
      <c r="F561" s="107">
        <v>1.0</v>
      </c>
      <c r="G561" s="15" t="str">
        <f t="shared" si="1"/>
        <v>15001</v>
      </c>
      <c r="H561" s="23" t="s">
        <v>45</v>
      </c>
      <c r="I561" s="23" t="s">
        <v>45</v>
      </c>
      <c r="J561" s="23" t="s">
        <v>420</v>
      </c>
      <c r="K561" s="23" t="str">
        <f t="shared" ref="K561:K565" si="12">CONCATENATE(H561,", ",J561)</f>
        <v>Hawaii, HI</v>
      </c>
      <c r="L561" s="35">
        <f t="array" ref="L561:Z565">Hawaii!C3:Q7</f>
        <v>292</v>
      </c>
      <c r="M561" s="23">
        <v>1.8</v>
      </c>
      <c r="N561" s="35">
        <v>156.0</v>
      </c>
      <c r="O561" s="35">
        <v>113.0</v>
      </c>
      <c r="P561" s="23" t="s">
        <v>63</v>
      </c>
      <c r="Q561" s="23" t="s">
        <v>63</v>
      </c>
      <c r="R561" s="35">
        <v>67.0</v>
      </c>
      <c r="S561" s="23" t="s">
        <v>63</v>
      </c>
      <c r="T561" s="32">
        <v>0.62</v>
      </c>
      <c r="U561" s="23" t="s">
        <v>63</v>
      </c>
      <c r="V561" s="23" t="s">
        <v>63</v>
      </c>
      <c r="W561" s="23" t="s">
        <v>63</v>
      </c>
      <c r="X561" s="23" t="s">
        <v>63</v>
      </c>
      <c r="Y561" s="35">
        <v>121.0</v>
      </c>
      <c r="Z561" s="32" t="s">
        <v>63</v>
      </c>
      <c r="AA561" s="38"/>
      <c r="AB561" s="38"/>
      <c r="AC561" s="38"/>
      <c r="AD561" s="38"/>
      <c r="AE561" s="38"/>
      <c r="AF561" s="38"/>
      <c r="AG561" s="38"/>
      <c r="AH561" s="38"/>
      <c r="AI561" s="38"/>
      <c r="AJ561" s="38"/>
      <c r="AK561" s="38"/>
    </row>
    <row r="562">
      <c r="A562" s="99">
        <v>561.0</v>
      </c>
      <c r="B562" s="15"/>
      <c r="C562" s="15"/>
      <c r="D562" s="105">
        <v>1.0</v>
      </c>
      <c r="E562" s="102">
        <v>15.0</v>
      </c>
      <c r="F562" s="107">
        <v>3.0</v>
      </c>
      <c r="G562" s="15" t="str">
        <f t="shared" si="1"/>
        <v>15003</v>
      </c>
      <c r="H562" s="23" t="s">
        <v>419</v>
      </c>
      <c r="I562" s="23" t="s">
        <v>45</v>
      </c>
      <c r="J562" s="23" t="s">
        <v>420</v>
      </c>
      <c r="K562" s="23" t="str">
        <f t="shared" si="12"/>
        <v>Honolulu, HI</v>
      </c>
      <c r="L562" s="23">
        <v>381.0</v>
      </c>
      <c r="M562" s="23">
        <v>1.8</v>
      </c>
      <c r="N562" s="23">
        <v>133.0</v>
      </c>
      <c r="O562" s="23">
        <v>167.0</v>
      </c>
      <c r="P562" s="23" t="s">
        <v>63</v>
      </c>
      <c r="Q562" s="23" t="s">
        <v>63</v>
      </c>
      <c r="R562" s="23">
        <v>50.0</v>
      </c>
      <c r="S562" s="23" t="s">
        <v>63</v>
      </c>
      <c r="T562" s="32">
        <v>0.5</v>
      </c>
      <c r="U562" s="23" t="s">
        <v>63</v>
      </c>
      <c r="V562" s="23" t="s">
        <v>63</v>
      </c>
      <c r="W562" s="23" t="s">
        <v>63</v>
      </c>
      <c r="X562" s="23" t="s">
        <v>63</v>
      </c>
      <c r="Y562" s="35">
        <v>404.0</v>
      </c>
      <c r="Z562" s="32" t="s">
        <v>63</v>
      </c>
      <c r="AA562" s="38"/>
      <c r="AB562" s="38"/>
      <c r="AC562" s="38"/>
      <c r="AD562" s="38"/>
      <c r="AE562" s="38"/>
      <c r="AF562" s="38"/>
      <c r="AG562" s="38"/>
      <c r="AH562" s="38"/>
      <c r="AI562" s="38"/>
      <c r="AJ562" s="38"/>
      <c r="AK562" s="38"/>
    </row>
    <row r="563">
      <c r="A563" s="99">
        <v>562.0</v>
      </c>
      <c r="B563" s="15"/>
      <c r="C563" s="15"/>
      <c r="D563" s="105">
        <v>1.0</v>
      </c>
      <c r="E563" s="102">
        <v>15.0</v>
      </c>
      <c r="F563" s="107">
        <v>5.0</v>
      </c>
      <c r="G563" s="15" t="str">
        <f t="shared" si="1"/>
        <v>15005</v>
      </c>
      <c r="H563" s="23" t="s">
        <v>657</v>
      </c>
      <c r="I563" s="23" t="s">
        <v>45</v>
      </c>
      <c r="J563" s="23" t="s">
        <v>420</v>
      </c>
      <c r="K563" s="23" t="str">
        <f t="shared" si="12"/>
        <v>Kalawao, HI</v>
      </c>
      <c r="L563" s="23" t="s">
        <v>63</v>
      </c>
      <c r="M563" s="23">
        <v>1.8</v>
      </c>
      <c r="N563" s="23" t="s">
        <v>63</v>
      </c>
      <c r="O563" s="23" t="s">
        <v>63</v>
      </c>
      <c r="P563" s="23" t="s">
        <v>63</v>
      </c>
      <c r="Q563" s="23" t="s">
        <v>63</v>
      </c>
      <c r="R563" s="23" t="s">
        <v>63</v>
      </c>
      <c r="S563" s="23" t="s">
        <v>63</v>
      </c>
      <c r="T563" s="32" t="s">
        <v>63</v>
      </c>
      <c r="U563" s="23" t="s">
        <v>63</v>
      </c>
      <c r="V563" s="23" t="s">
        <v>63</v>
      </c>
      <c r="W563" s="23" t="s">
        <v>63</v>
      </c>
      <c r="X563" s="23" t="s">
        <v>63</v>
      </c>
      <c r="Y563" s="35" t="s">
        <v>63</v>
      </c>
      <c r="Z563" s="32" t="s">
        <v>63</v>
      </c>
      <c r="AA563" s="38"/>
      <c r="AB563" s="38"/>
      <c r="AC563" s="38"/>
      <c r="AD563" s="38"/>
      <c r="AE563" s="38"/>
      <c r="AF563" s="38"/>
      <c r="AG563" s="38"/>
      <c r="AH563" s="38"/>
      <c r="AI563" s="38"/>
      <c r="AJ563" s="38"/>
      <c r="AK563" s="38"/>
    </row>
    <row r="564">
      <c r="A564" s="99">
        <v>563.0</v>
      </c>
      <c r="B564" s="15"/>
      <c r="C564" s="15"/>
      <c r="D564" s="105">
        <v>1.0</v>
      </c>
      <c r="E564" s="102">
        <v>15.0</v>
      </c>
      <c r="F564" s="107">
        <v>7.0</v>
      </c>
      <c r="G564" s="15" t="str">
        <f t="shared" si="1"/>
        <v>15007</v>
      </c>
      <c r="H564" s="23" t="s">
        <v>658</v>
      </c>
      <c r="I564" s="23" t="s">
        <v>45</v>
      </c>
      <c r="J564" s="23" t="s">
        <v>420</v>
      </c>
      <c r="K564" s="23" t="str">
        <f t="shared" si="12"/>
        <v>Kauai, HI</v>
      </c>
      <c r="L564" s="23">
        <v>54.0</v>
      </c>
      <c r="M564" s="23">
        <v>1.8</v>
      </c>
      <c r="N564" s="23">
        <v>24.0</v>
      </c>
      <c r="O564" s="23">
        <v>20.0</v>
      </c>
      <c r="P564" s="23" t="s">
        <v>63</v>
      </c>
      <c r="Q564" s="23" t="s">
        <v>63</v>
      </c>
      <c r="R564" s="23">
        <v>12.0</v>
      </c>
      <c r="S564" s="23" t="s">
        <v>63</v>
      </c>
      <c r="T564" s="32">
        <v>0.66</v>
      </c>
      <c r="U564" s="23" t="s">
        <v>63</v>
      </c>
      <c r="V564" s="23" t="s">
        <v>63</v>
      </c>
      <c r="W564" s="23" t="s">
        <v>63</v>
      </c>
      <c r="X564" s="23" t="s">
        <v>63</v>
      </c>
      <c r="Y564" s="35">
        <v>55.0</v>
      </c>
      <c r="Z564" s="32" t="s">
        <v>63</v>
      </c>
      <c r="AA564" s="38"/>
      <c r="AB564" s="38"/>
      <c r="AC564" s="38"/>
      <c r="AD564" s="38"/>
      <c r="AE564" s="38"/>
      <c r="AF564" s="38"/>
      <c r="AG564" s="38"/>
      <c r="AH564" s="38"/>
      <c r="AI564" s="38"/>
      <c r="AJ564" s="38"/>
      <c r="AK564" s="38"/>
    </row>
    <row r="565">
      <c r="A565" s="99">
        <v>564.0</v>
      </c>
      <c r="B565" s="15"/>
      <c r="C565" s="15"/>
      <c r="D565" s="105">
        <v>1.0</v>
      </c>
      <c r="E565" s="102">
        <v>15.0</v>
      </c>
      <c r="F565" s="107">
        <v>9.0</v>
      </c>
      <c r="G565" s="15" t="str">
        <f t="shared" si="1"/>
        <v>15009</v>
      </c>
      <c r="H565" s="23" t="s">
        <v>659</v>
      </c>
      <c r="I565" s="23" t="s">
        <v>45</v>
      </c>
      <c r="J565" s="23" t="s">
        <v>420</v>
      </c>
      <c r="K565" s="23" t="str">
        <f t="shared" si="12"/>
        <v>Maui, HI</v>
      </c>
      <c r="L565" s="23">
        <v>133.0</v>
      </c>
      <c r="M565" s="23">
        <v>1.8</v>
      </c>
      <c r="N565" s="23">
        <v>47.0</v>
      </c>
      <c r="O565" s="23">
        <v>62.0</v>
      </c>
      <c r="P565" s="23" t="s">
        <v>63</v>
      </c>
      <c r="Q565" s="23" t="s">
        <v>63</v>
      </c>
      <c r="R565" s="23">
        <v>26.0</v>
      </c>
      <c r="S565" s="23" t="s">
        <v>63</v>
      </c>
      <c r="T565" s="32">
        <v>0.49</v>
      </c>
      <c r="U565" s="23" t="s">
        <v>63</v>
      </c>
      <c r="V565" s="23" t="s">
        <v>63</v>
      </c>
      <c r="W565" s="23" t="s">
        <v>63</v>
      </c>
      <c r="X565" s="23" t="s">
        <v>63</v>
      </c>
      <c r="Y565" s="35">
        <v>97.0</v>
      </c>
      <c r="Z565" s="32" t="s">
        <v>63</v>
      </c>
      <c r="AA565" s="38"/>
      <c r="AB565" s="38"/>
      <c r="AC565" s="38"/>
      <c r="AD565" s="38"/>
      <c r="AE565" s="38"/>
      <c r="AF565" s="38"/>
      <c r="AG565" s="38"/>
      <c r="AH565" s="38"/>
      <c r="AI565" s="38"/>
      <c r="AJ565" s="38"/>
      <c r="AK565" s="38"/>
    </row>
    <row r="566">
      <c r="A566" s="28">
        <v>565.0</v>
      </c>
      <c r="B566" s="29"/>
      <c r="C566" s="29" t="s">
        <v>25</v>
      </c>
      <c r="D566" s="30"/>
      <c r="E566" s="31">
        <v>16.0</v>
      </c>
      <c r="F566" s="42">
        <v>0.0</v>
      </c>
      <c r="G566" s="29" t="str">
        <f t="shared" si="1"/>
        <v>16000</v>
      </c>
      <c r="H566" s="37"/>
      <c r="I566" s="37" t="s">
        <v>47</v>
      </c>
      <c r="J566" s="37" t="s">
        <v>660</v>
      </c>
      <c r="K566" s="37"/>
      <c r="L566" s="70">
        <f t="array" ref="L566:Z566">Idaho!C48:Q48</f>
        <v>1548</v>
      </c>
      <c r="M566" s="37" t="s">
        <v>63</v>
      </c>
      <c r="N566" s="37" t="s">
        <v>63</v>
      </c>
      <c r="O566" s="37" t="s">
        <v>63</v>
      </c>
      <c r="P566" s="37" t="s">
        <v>63</v>
      </c>
      <c r="Q566" s="70">
        <v>1187.0</v>
      </c>
      <c r="R566" s="70">
        <v>170.0</v>
      </c>
      <c r="S566" s="37" t="s">
        <v>63</v>
      </c>
      <c r="T566" s="69" t="s">
        <v>63</v>
      </c>
      <c r="U566" s="37" t="s">
        <v>63</v>
      </c>
      <c r="V566" s="37" t="s">
        <v>63</v>
      </c>
      <c r="W566" s="37" t="s">
        <v>63</v>
      </c>
      <c r="X566" s="37" t="s">
        <v>63</v>
      </c>
      <c r="Y566" s="53">
        <v>1275.0</v>
      </c>
      <c r="Z566" s="69" t="s">
        <v>63</v>
      </c>
      <c r="AA566" s="73"/>
      <c r="AB566" s="73"/>
      <c r="AC566" s="73"/>
      <c r="AD566" s="73"/>
      <c r="AE566" s="73"/>
      <c r="AF566" s="73"/>
      <c r="AG566" s="73"/>
      <c r="AH566" s="73"/>
      <c r="AI566" s="73"/>
      <c r="AJ566" s="73"/>
      <c r="AK566" s="73"/>
    </row>
    <row r="567">
      <c r="A567" s="28">
        <v>566.0</v>
      </c>
      <c r="B567" s="29"/>
      <c r="C567" s="29"/>
      <c r="D567" s="40">
        <v>1.0</v>
      </c>
      <c r="E567" s="31">
        <v>16.0</v>
      </c>
      <c r="F567" s="42">
        <v>1.0</v>
      </c>
      <c r="G567" s="29" t="str">
        <f t="shared" si="1"/>
        <v>16001</v>
      </c>
      <c r="H567" s="37" t="s">
        <v>661</v>
      </c>
      <c r="I567" s="37" t="s">
        <v>47</v>
      </c>
      <c r="J567" s="37" t="s">
        <v>660</v>
      </c>
      <c r="K567" s="37" t="str">
        <f t="shared" ref="K567:K610" si="13">CONCATENATE(H567,", ",J567)</f>
        <v>Ada, ID</v>
      </c>
      <c r="L567" s="37" t="str">
        <f t="array" ref="L567:Z610">Idaho!C3:Q46</f>
        <v>NULL</v>
      </c>
      <c r="M567" s="37" t="s">
        <v>63</v>
      </c>
      <c r="N567" s="37" t="s">
        <v>63</v>
      </c>
      <c r="O567" s="37" t="s">
        <v>63</v>
      </c>
      <c r="P567" s="37" t="s">
        <v>63</v>
      </c>
      <c r="Q567" s="37" t="s">
        <v>63</v>
      </c>
      <c r="R567" s="37" t="s">
        <v>63</v>
      </c>
      <c r="S567" s="37" t="s">
        <v>63</v>
      </c>
      <c r="T567" s="69" t="s">
        <v>63</v>
      </c>
      <c r="U567" s="37" t="s">
        <v>63</v>
      </c>
      <c r="V567" s="37" t="s">
        <v>63</v>
      </c>
      <c r="W567" s="37" t="s">
        <v>63</v>
      </c>
      <c r="X567" s="37" t="s">
        <v>63</v>
      </c>
      <c r="Y567" s="53">
        <v>203.0</v>
      </c>
      <c r="Z567" s="69" t="s">
        <v>63</v>
      </c>
      <c r="AA567" s="73"/>
      <c r="AB567" s="73"/>
      <c r="AC567" s="73"/>
      <c r="AD567" s="73"/>
      <c r="AE567" s="73"/>
      <c r="AF567" s="73"/>
      <c r="AG567" s="73"/>
      <c r="AH567" s="73"/>
      <c r="AI567" s="73"/>
      <c r="AJ567" s="73"/>
      <c r="AK567" s="73"/>
    </row>
    <row r="568">
      <c r="A568" s="28">
        <v>567.0</v>
      </c>
      <c r="B568" s="29"/>
      <c r="C568" s="29"/>
      <c r="D568" s="40">
        <v>1.0</v>
      </c>
      <c r="E568" s="31">
        <v>16.0</v>
      </c>
      <c r="F568" s="42">
        <v>3.0</v>
      </c>
      <c r="G568" s="29" t="str">
        <f t="shared" si="1"/>
        <v>16003</v>
      </c>
      <c r="H568" s="37" t="s">
        <v>386</v>
      </c>
      <c r="I568" s="37" t="s">
        <v>47</v>
      </c>
      <c r="J568" s="37" t="s">
        <v>660</v>
      </c>
      <c r="K568" s="37" t="str">
        <f t="shared" si="13"/>
        <v>Adams, ID</v>
      </c>
      <c r="L568" s="37" t="s">
        <v>63</v>
      </c>
      <c r="M568" s="37" t="s">
        <v>63</v>
      </c>
      <c r="N568" s="37" t="s">
        <v>63</v>
      </c>
      <c r="O568" s="37" t="s">
        <v>63</v>
      </c>
      <c r="P568" s="37" t="s">
        <v>63</v>
      </c>
      <c r="Q568" s="37" t="s">
        <v>63</v>
      </c>
      <c r="R568" s="37" t="s">
        <v>63</v>
      </c>
      <c r="S568" s="37" t="s">
        <v>63</v>
      </c>
      <c r="T568" s="69" t="s">
        <v>63</v>
      </c>
      <c r="U568" s="37" t="s">
        <v>63</v>
      </c>
      <c r="V568" s="37" t="s">
        <v>63</v>
      </c>
      <c r="W568" s="37" t="s">
        <v>63</v>
      </c>
      <c r="X568" s="37" t="s">
        <v>63</v>
      </c>
      <c r="Y568" s="53">
        <v>6.0</v>
      </c>
      <c r="Z568" s="69" t="s">
        <v>63</v>
      </c>
      <c r="AA568" s="73"/>
      <c r="AB568" s="73"/>
      <c r="AC568" s="73"/>
      <c r="AD568" s="73"/>
      <c r="AE568" s="73"/>
      <c r="AF568" s="73"/>
      <c r="AG568" s="73"/>
      <c r="AH568" s="73"/>
      <c r="AI568" s="73"/>
      <c r="AJ568" s="73"/>
      <c r="AK568" s="73"/>
    </row>
    <row r="569">
      <c r="A569" s="28">
        <v>568.0</v>
      </c>
      <c r="B569" s="29"/>
      <c r="C569" s="29"/>
      <c r="D569" s="40">
        <v>1.0</v>
      </c>
      <c r="E569" s="31">
        <v>16.0</v>
      </c>
      <c r="F569" s="42">
        <v>5.0</v>
      </c>
      <c r="G569" s="29" t="str">
        <f t="shared" si="1"/>
        <v>16005</v>
      </c>
      <c r="H569" s="37" t="s">
        <v>662</v>
      </c>
      <c r="I569" s="37" t="s">
        <v>47</v>
      </c>
      <c r="J569" s="37" t="s">
        <v>660</v>
      </c>
      <c r="K569" s="37" t="str">
        <f t="shared" si="13"/>
        <v>Bannock, ID</v>
      </c>
      <c r="L569" s="37" t="s">
        <v>63</v>
      </c>
      <c r="M569" s="37" t="s">
        <v>63</v>
      </c>
      <c r="N569" s="37" t="s">
        <v>63</v>
      </c>
      <c r="O569" s="37" t="s">
        <v>63</v>
      </c>
      <c r="P569" s="37" t="s">
        <v>63</v>
      </c>
      <c r="Q569" s="37" t="s">
        <v>63</v>
      </c>
      <c r="R569" s="37" t="s">
        <v>63</v>
      </c>
      <c r="S569" s="37" t="s">
        <v>63</v>
      </c>
      <c r="T569" s="69" t="s">
        <v>63</v>
      </c>
      <c r="U569" s="37" t="s">
        <v>63</v>
      </c>
      <c r="V569" s="37" t="s">
        <v>63</v>
      </c>
      <c r="W569" s="37" t="s">
        <v>63</v>
      </c>
      <c r="X569" s="37" t="s">
        <v>63</v>
      </c>
      <c r="Y569" s="53">
        <v>71.0</v>
      </c>
      <c r="Z569" s="69" t="s">
        <v>63</v>
      </c>
      <c r="AA569" s="73"/>
      <c r="AB569" s="73"/>
      <c r="AC569" s="73"/>
      <c r="AD569" s="73"/>
      <c r="AE569" s="73"/>
      <c r="AF569" s="73"/>
      <c r="AG569" s="73"/>
      <c r="AH569" s="73"/>
      <c r="AI569" s="73"/>
      <c r="AJ569" s="73"/>
      <c r="AK569" s="73"/>
    </row>
    <row r="570">
      <c r="A570" s="28">
        <v>569.0</v>
      </c>
      <c r="B570" s="29"/>
      <c r="C570" s="29"/>
      <c r="D570" s="40">
        <v>1.0</v>
      </c>
      <c r="E570" s="31">
        <v>16.0</v>
      </c>
      <c r="F570" s="42">
        <v>7.0</v>
      </c>
      <c r="G570" s="29" t="str">
        <f t="shared" si="1"/>
        <v>16007</v>
      </c>
      <c r="H570" s="37" t="s">
        <v>663</v>
      </c>
      <c r="I570" s="37" t="s">
        <v>47</v>
      </c>
      <c r="J570" s="37" t="s">
        <v>660</v>
      </c>
      <c r="K570" s="37" t="str">
        <f t="shared" si="13"/>
        <v>Bear Lake, ID</v>
      </c>
      <c r="L570" s="37" t="s">
        <v>63</v>
      </c>
      <c r="M570" s="37" t="s">
        <v>63</v>
      </c>
      <c r="N570" s="37" t="s">
        <v>63</v>
      </c>
      <c r="O570" s="37" t="s">
        <v>63</v>
      </c>
      <c r="P570" s="37" t="s">
        <v>63</v>
      </c>
      <c r="Q570" s="37" t="s">
        <v>63</v>
      </c>
      <c r="R570" s="37" t="s">
        <v>63</v>
      </c>
      <c r="S570" s="37" t="s">
        <v>63</v>
      </c>
      <c r="T570" s="69" t="s">
        <v>63</v>
      </c>
      <c r="U570" s="37" t="s">
        <v>63</v>
      </c>
      <c r="V570" s="37" t="s">
        <v>63</v>
      </c>
      <c r="W570" s="37" t="s">
        <v>63</v>
      </c>
      <c r="X570" s="37" t="s">
        <v>63</v>
      </c>
      <c r="Y570" s="53">
        <v>16.0</v>
      </c>
      <c r="Z570" s="69" t="s">
        <v>63</v>
      </c>
      <c r="AA570" s="73"/>
      <c r="AB570" s="73"/>
      <c r="AC570" s="73"/>
      <c r="AD570" s="73"/>
      <c r="AE570" s="73"/>
      <c r="AF570" s="73"/>
      <c r="AG570" s="73"/>
      <c r="AH570" s="73"/>
      <c r="AI570" s="73"/>
      <c r="AJ570" s="73"/>
      <c r="AK570" s="73"/>
    </row>
    <row r="571">
      <c r="A571" s="28">
        <v>570.0</v>
      </c>
      <c r="B571" s="29"/>
      <c r="C571" s="29"/>
      <c r="D571" s="40">
        <v>1.0</v>
      </c>
      <c r="E571" s="31">
        <v>16.0</v>
      </c>
      <c r="F571" s="42">
        <v>9.0</v>
      </c>
      <c r="G571" s="29" t="str">
        <f t="shared" si="1"/>
        <v>16009</v>
      </c>
      <c r="H571" s="37" t="s">
        <v>664</v>
      </c>
      <c r="I571" s="37" t="s">
        <v>47</v>
      </c>
      <c r="J571" s="37" t="s">
        <v>660</v>
      </c>
      <c r="K571" s="37" t="str">
        <f t="shared" si="13"/>
        <v>Benewah, ID</v>
      </c>
      <c r="L571" s="37" t="s">
        <v>63</v>
      </c>
      <c r="M571" s="37" t="s">
        <v>63</v>
      </c>
      <c r="N571" s="37" t="s">
        <v>63</v>
      </c>
      <c r="O571" s="37" t="s">
        <v>63</v>
      </c>
      <c r="P571" s="37" t="s">
        <v>63</v>
      </c>
      <c r="Q571" s="37" t="s">
        <v>63</v>
      </c>
      <c r="R571" s="37" t="s">
        <v>63</v>
      </c>
      <c r="S571" s="37" t="s">
        <v>63</v>
      </c>
      <c r="T571" s="69" t="s">
        <v>63</v>
      </c>
      <c r="U571" s="37" t="s">
        <v>63</v>
      </c>
      <c r="V571" s="37" t="s">
        <v>63</v>
      </c>
      <c r="W571" s="37" t="s">
        <v>63</v>
      </c>
      <c r="X571" s="37" t="s">
        <v>63</v>
      </c>
      <c r="Y571" s="53">
        <v>13.0</v>
      </c>
      <c r="Z571" s="69" t="s">
        <v>63</v>
      </c>
      <c r="AA571" s="73"/>
      <c r="AB571" s="73"/>
      <c r="AC571" s="73"/>
      <c r="AD571" s="73"/>
      <c r="AE571" s="73"/>
      <c r="AF571" s="73"/>
      <c r="AG571" s="73"/>
      <c r="AH571" s="73"/>
      <c r="AI571" s="73"/>
      <c r="AJ571" s="73"/>
      <c r="AK571" s="73"/>
    </row>
    <row r="572">
      <c r="A572" s="28">
        <v>571.0</v>
      </c>
      <c r="B572" s="29"/>
      <c r="C572" s="29"/>
      <c r="D572" s="40">
        <v>1.0</v>
      </c>
      <c r="E572" s="31">
        <v>16.0</v>
      </c>
      <c r="F572" s="42">
        <v>11.0</v>
      </c>
      <c r="G572" s="29" t="str">
        <f t="shared" si="1"/>
        <v>16011</v>
      </c>
      <c r="H572" s="37" t="s">
        <v>665</v>
      </c>
      <c r="I572" s="37" t="s">
        <v>47</v>
      </c>
      <c r="J572" s="37" t="s">
        <v>660</v>
      </c>
      <c r="K572" s="37" t="str">
        <f t="shared" si="13"/>
        <v>Bingham, ID</v>
      </c>
      <c r="L572" s="37" t="s">
        <v>63</v>
      </c>
      <c r="M572" s="37" t="s">
        <v>63</v>
      </c>
      <c r="N572" s="37" t="s">
        <v>63</v>
      </c>
      <c r="O572" s="37" t="s">
        <v>63</v>
      </c>
      <c r="P572" s="37" t="s">
        <v>63</v>
      </c>
      <c r="Q572" s="37" t="s">
        <v>63</v>
      </c>
      <c r="R572" s="37" t="s">
        <v>63</v>
      </c>
      <c r="S572" s="37" t="s">
        <v>63</v>
      </c>
      <c r="T572" s="69" t="s">
        <v>63</v>
      </c>
      <c r="U572" s="37" t="s">
        <v>63</v>
      </c>
      <c r="V572" s="37" t="s">
        <v>63</v>
      </c>
      <c r="W572" s="37" t="s">
        <v>63</v>
      </c>
      <c r="X572" s="37" t="s">
        <v>63</v>
      </c>
      <c r="Y572" s="53">
        <v>35.0</v>
      </c>
      <c r="Z572" s="69" t="s">
        <v>63</v>
      </c>
      <c r="AA572" s="73"/>
      <c r="AB572" s="73"/>
      <c r="AC572" s="73"/>
      <c r="AD572" s="73"/>
      <c r="AE572" s="73"/>
      <c r="AF572" s="73"/>
      <c r="AG572" s="73"/>
      <c r="AH572" s="73"/>
      <c r="AI572" s="73"/>
      <c r="AJ572" s="73"/>
      <c r="AK572" s="73"/>
    </row>
    <row r="573">
      <c r="A573" s="28">
        <v>572.0</v>
      </c>
      <c r="B573" s="29"/>
      <c r="C573" s="29"/>
      <c r="D573" s="40">
        <v>1.0</v>
      </c>
      <c r="E573" s="31">
        <v>16.0</v>
      </c>
      <c r="F573" s="42">
        <v>13.0</v>
      </c>
      <c r="G573" s="29" t="str">
        <f t="shared" si="1"/>
        <v>16013</v>
      </c>
      <c r="H573" s="37" t="s">
        <v>666</v>
      </c>
      <c r="I573" s="37" t="s">
        <v>47</v>
      </c>
      <c r="J573" s="37" t="s">
        <v>660</v>
      </c>
      <c r="K573" s="37" t="str">
        <f t="shared" si="13"/>
        <v>Blaine, ID</v>
      </c>
      <c r="L573" s="37" t="s">
        <v>63</v>
      </c>
      <c r="M573" s="37" t="s">
        <v>63</v>
      </c>
      <c r="N573" s="37" t="s">
        <v>63</v>
      </c>
      <c r="O573" s="37" t="s">
        <v>63</v>
      </c>
      <c r="P573" s="37" t="s">
        <v>63</v>
      </c>
      <c r="Q573" s="37" t="s">
        <v>63</v>
      </c>
      <c r="R573" s="37" t="s">
        <v>63</v>
      </c>
      <c r="S573" s="37" t="s">
        <v>63</v>
      </c>
      <c r="T573" s="69" t="s">
        <v>63</v>
      </c>
      <c r="U573" s="37" t="s">
        <v>63</v>
      </c>
      <c r="V573" s="37" t="s">
        <v>63</v>
      </c>
      <c r="W573" s="37" t="s">
        <v>63</v>
      </c>
      <c r="X573" s="37" t="s">
        <v>63</v>
      </c>
      <c r="Y573" s="53">
        <v>10.0</v>
      </c>
      <c r="Z573" s="69" t="s">
        <v>63</v>
      </c>
      <c r="AA573" s="73"/>
      <c r="AB573" s="73"/>
      <c r="AC573" s="73"/>
      <c r="AD573" s="73"/>
      <c r="AE573" s="73"/>
      <c r="AF573" s="73"/>
      <c r="AG573" s="73"/>
      <c r="AH573" s="73"/>
      <c r="AI573" s="73"/>
      <c r="AJ573" s="73"/>
      <c r="AK573" s="73"/>
    </row>
    <row r="574">
      <c r="A574" s="28">
        <v>573.0</v>
      </c>
      <c r="B574" s="29"/>
      <c r="C574" s="29"/>
      <c r="D574" s="40">
        <v>1.0</v>
      </c>
      <c r="E574" s="31">
        <v>16.0</v>
      </c>
      <c r="F574" s="42">
        <v>15.0</v>
      </c>
      <c r="G574" s="29" t="str">
        <f t="shared" si="1"/>
        <v>16015</v>
      </c>
      <c r="H574" s="37" t="s">
        <v>667</v>
      </c>
      <c r="I574" s="37" t="s">
        <v>47</v>
      </c>
      <c r="J574" s="37" t="s">
        <v>660</v>
      </c>
      <c r="K574" s="37" t="str">
        <f t="shared" si="13"/>
        <v>Boise, ID</v>
      </c>
      <c r="L574" s="37" t="s">
        <v>63</v>
      </c>
      <c r="M574" s="37" t="s">
        <v>63</v>
      </c>
      <c r="N574" s="37" t="s">
        <v>63</v>
      </c>
      <c r="O574" s="37" t="s">
        <v>63</v>
      </c>
      <c r="P574" s="37" t="s">
        <v>63</v>
      </c>
      <c r="Q574" s="37" t="s">
        <v>63</v>
      </c>
      <c r="R574" s="37" t="s">
        <v>63</v>
      </c>
      <c r="S574" s="37" t="s">
        <v>63</v>
      </c>
      <c r="T574" s="69" t="s">
        <v>63</v>
      </c>
      <c r="U574" s="37" t="s">
        <v>63</v>
      </c>
      <c r="V574" s="37" t="s">
        <v>63</v>
      </c>
      <c r="W574" s="37" t="s">
        <v>63</v>
      </c>
      <c r="X574" s="37" t="s">
        <v>63</v>
      </c>
      <c r="Y574" s="53">
        <v>15.0</v>
      </c>
      <c r="Z574" s="69" t="s">
        <v>63</v>
      </c>
      <c r="AA574" s="73"/>
      <c r="AB574" s="73"/>
      <c r="AC574" s="73"/>
      <c r="AD574" s="73"/>
      <c r="AE574" s="73"/>
      <c r="AF574" s="73"/>
      <c r="AG574" s="73"/>
      <c r="AH574" s="73"/>
      <c r="AI574" s="73"/>
      <c r="AJ574" s="73"/>
      <c r="AK574" s="73"/>
    </row>
    <row r="575">
      <c r="A575" s="28">
        <v>574.0</v>
      </c>
      <c r="B575" s="29"/>
      <c r="C575" s="29"/>
      <c r="D575" s="40">
        <v>1.0</v>
      </c>
      <c r="E575" s="31">
        <v>16.0</v>
      </c>
      <c r="F575" s="42">
        <v>17.0</v>
      </c>
      <c r="G575" s="29" t="str">
        <f t="shared" si="1"/>
        <v>16017</v>
      </c>
      <c r="H575" s="37" t="s">
        <v>668</v>
      </c>
      <c r="I575" s="37" t="s">
        <v>47</v>
      </c>
      <c r="J575" s="37" t="s">
        <v>660</v>
      </c>
      <c r="K575" s="37" t="str">
        <f t="shared" si="13"/>
        <v>Bonner, ID</v>
      </c>
      <c r="L575" s="37" t="s">
        <v>63</v>
      </c>
      <c r="M575" s="37" t="s">
        <v>63</v>
      </c>
      <c r="N575" s="37" t="s">
        <v>63</v>
      </c>
      <c r="O575" s="37" t="s">
        <v>63</v>
      </c>
      <c r="P575" s="37" t="s">
        <v>63</v>
      </c>
      <c r="Q575" s="37" t="s">
        <v>63</v>
      </c>
      <c r="R575" s="37" t="s">
        <v>63</v>
      </c>
      <c r="S575" s="37" t="s">
        <v>63</v>
      </c>
      <c r="T575" s="69" t="s">
        <v>63</v>
      </c>
      <c r="U575" s="37" t="s">
        <v>63</v>
      </c>
      <c r="V575" s="37" t="s">
        <v>63</v>
      </c>
      <c r="W575" s="37" t="s">
        <v>63</v>
      </c>
      <c r="X575" s="37" t="s">
        <v>63</v>
      </c>
      <c r="Y575" s="53">
        <v>42.0</v>
      </c>
      <c r="Z575" s="69" t="s">
        <v>63</v>
      </c>
      <c r="AA575" s="73"/>
      <c r="AB575" s="73"/>
      <c r="AC575" s="73"/>
      <c r="AD575" s="73"/>
      <c r="AE575" s="73"/>
      <c r="AF575" s="73"/>
      <c r="AG575" s="73"/>
      <c r="AH575" s="73"/>
      <c r="AI575" s="73"/>
      <c r="AJ575" s="73"/>
      <c r="AK575" s="73"/>
    </row>
    <row r="576">
      <c r="A576" s="28">
        <v>575.0</v>
      </c>
      <c r="B576" s="29"/>
      <c r="C576" s="29"/>
      <c r="D576" s="40">
        <v>1.0</v>
      </c>
      <c r="E576" s="31">
        <v>16.0</v>
      </c>
      <c r="F576" s="42">
        <v>19.0</v>
      </c>
      <c r="G576" s="29" t="str">
        <f t="shared" si="1"/>
        <v>16019</v>
      </c>
      <c r="H576" s="37" t="s">
        <v>669</v>
      </c>
      <c r="I576" s="37" t="s">
        <v>47</v>
      </c>
      <c r="J576" s="37" t="s">
        <v>660</v>
      </c>
      <c r="K576" s="37" t="str">
        <f t="shared" si="13"/>
        <v>Bonneville, ID</v>
      </c>
      <c r="L576" s="37" t="s">
        <v>63</v>
      </c>
      <c r="M576" s="37" t="s">
        <v>63</v>
      </c>
      <c r="N576" s="37" t="s">
        <v>63</v>
      </c>
      <c r="O576" s="37" t="s">
        <v>63</v>
      </c>
      <c r="P576" s="37" t="s">
        <v>63</v>
      </c>
      <c r="Q576" s="37" t="s">
        <v>63</v>
      </c>
      <c r="R576" s="37" t="s">
        <v>63</v>
      </c>
      <c r="S576" s="37" t="s">
        <v>63</v>
      </c>
      <c r="T576" s="69" t="s">
        <v>63</v>
      </c>
      <c r="U576" s="37" t="s">
        <v>63</v>
      </c>
      <c r="V576" s="37" t="s">
        <v>63</v>
      </c>
      <c r="W576" s="37" t="s">
        <v>63</v>
      </c>
      <c r="X576" s="37" t="s">
        <v>63</v>
      </c>
      <c r="Y576" s="53">
        <v>62.0</v>
      </c>
      <c r="Z576" s="69" t="s">
        <v>63</v>
      </c>
      <c r="AA576" s="73"/>
      <c r="AB576" s="73"/>
      <c r="AC576" s="73"/>
      <c r="AD576" s="73"/>
      <c r="AE576" s="73"/>
      <c r="AF576" s="73"/>
      <c r="AG576" s="73"/>
      <c r="AH576" s="73"/>
      <c r="AI576" s="73"/>
      <c r="AJ576" s="73"/>
      <c r="AK576" s="73"/>
    </row>
    <row r="577">
      <c r="A577" s="28">
        <v>576.0</v>
      </c>
      <c r="B577" s="29"/>
      <c r="C577" s="29"/>
      <c r="D577" s="40">
        <v>1.0</v>
      </c>
      <c r="E577" s="31">
        <v>16.0</v>
      </c>
      <c r="F577" s="42">
        <v>21.0</v>
      </c>
      <c r="G577" s="29" t="str">
        <f t="shared" si="1"/>
        <v>16021</v>
      </c>
      <c r="H577" s="37" t="s">
        <v>670</v>
      </c>
      <c r="I577" s="37" t="s">
        <v>47</v>
      </c>
      <c r="J577" s="37" t="s">
        <v>660</v>
      </c>
      <c r="K577" s="37" t="str">
        <f t="shared" si="13"/>
        <v>Boundary, ID</v>
      </c>
      <c r="L577" s="37" t="s">
        <v>63</v>
      </c>
      <c r="M577" s="37" t="s">
        <v>63</v>
      </c>
      <c r="N577" s="37" t="s">
        <v>63</v>
      </c>
      <c r="O577" s="37" t="s">
        <v>63</v>
      </c>
      <c r="P577" s="37" t="s">
        <v>63</v>
      </c>
      <c r="Q577" s="37" t="s">
        <v>63</v>
      </c>
      <c r="R577" s="37" t="s">
        <v>63</v>
      </c>
      <c r="S577" s="37" t="s">
        <v>63</v>
      </c>
      <c r="T577" s="69" t="s">
        <v>63</v>
      </c>
      <c r="U577" s="37" t="s">
        <v>63</v>
      </c>
      <c r="V577" s="37" t="s">
        <v>63</v>
      </c>
      <c r="W577" s="37" t="s">
        <v>63</v>
      </c>
      <c r="X577" s="37" t="s">
        <v>63</v>
      </c>
      <c r="Y577" s="53">
        <v>21.0</v>
      </c>
      <c r="Z577" s="69" t="s">
        <v>63</v>
      </c>
      <c r="AA577" s="73"/>
      <c r="AB577" s="73"/>
      <c r="AC577" s="73"/>
      <c r="AD577" s="73"/>
      <c r="AE577" s="73"/>
      <c r="AF577" s="73"/>
      <c r="AG577" s="73"/>
      <c r="AH577" s="73"/>
      <c r="AI577" s="73"/>
      <c r="AJ577" s="73"/>
      <c r="AK577" s="73"/>
    </row>
    <row r="578">
      <c r="A578" s="28">
        <v>577.0</v>
      </c>
      <c r="B578" s="29"/>
      <c r="C578" s="29"/>
      <c r="D578" s="40">
        <v>1.0</v>
      </c>
      <c r="E578" s="31">
        <v>16.0</v>
      </c>
      <c r="F578" s="42">
        <v>23.0</v>
      </c>
      <c r="G578" s="29" t="str">
        <f t="shared" si="1"/>
        <v>16023</v>
      </c>
      <c r="H578" s="37" t="s">
        <v>324</v>
      </c>
      <c r="I578" s="37" t="s">
        <v>47</v>
      </c>
      <c r="J578" s="37" t="s">
        <v>660</v>
      </c>
      <c r="K578" s="37" t="str">
        <f t="shared" si="13"/>
        <v>Butte, ID</v>
      </c>
      <c r="L578" s="37" t="s">
        <v>63</v>
      </c>
      <c r="M578" s="37" t="s">
        <v>63</v>
      </c>
      <c r="N578" s="37" t="s">
        <v>63</v>
      </c>
      <c r="O578" s="37" t="s">
        <v>63</v>
      </c>
      <c r="P578" s="37" t="s">
        <v>63</v>
      </c>
      <c r="Q578" s="37" t="s">
        <v>63</v>
      </c>
      <c r="R578" s="37" t="s">
        <v>63</v>
      </c>
      <c r="S578" s="37" t="s">
        <v>63</v>
      </c>
      <c r="T578" s="69" t="s">
        <v>63</v>
      </c>
      <c r="U578" s="37" t="s">
        <v>63</v>
      </c>
      <c r="V578" s="37" t="s">
        <v>63</v>
      </c>
      <c r="W578" s="37" t="s">
        <v>63</v>
      </c>
      <c r="X578" s="37" t="s">
        <v>63</v>
      </c>
      <c r="Y578" s="53">
        <v>10.0</v>
      </c>
      <c r="Z578" s="69" t="s">
        <v>63</v>
      </c>
      <c r="AA578" s="73"/>
      <c r="AB578" s="73"/>
      <c r="AC578" s="73"/>
      <c r="AD578" s="73"/>
      <c r="AE578" s="73"/>
      <c r="AF578" s="73"/>
      <c r="AG578" s="73"/>
      <c r="AH578" s="73"/>
      <c r="AI578" s="73"/>
      <c r="AJ578" s="73"/>
      <c r="AK578" s="73"/>
    </row>
    <row r="579">
      <c r="A579" s="28">
        <v>578.0</v>
      </c>
      <c r="B579" s="29"/>
      <c r="C579" s="29"/>
      <c r="D579" s="40">
        <v>1.0</v>
      </c>
      <c r="E579" s="31">
        <v>16.0</v>
      </c>
      <c r="F579" s="42">
        <v>25.0</v>
      </c>
      <c r="G579" s="29" t="str">
        <f t="shared" si="1"/>
        <v>16025</v>
      </c>
      <c r="H579" s="37" t="s">
        <v>671</v>
      </c>
      <c r="I579" s="37" t="s">
        <v>47</v>
      </c>
      <c r="J579" s="37" t="s">
        <v>660</v>
      </c>
      <c r="K579" s="37" t="str">
        <f t="shared" si="13"/>
        <v>Camas, ID</v>
      </c>
      <c r="L579" s="37" t="s">
        <v>63</v>
      </c>
      <c r="M579" s="37" t="s">
        <v>63</v>
      </c>
      <c r="N579" s="37" t="s">
        <v>63</v>
      </c>
      <c r="O579" s="37" t="s">
        <v>63</v>
      </c>
      <c r="P579" s="37" t="s">
        <v>63</v>
      </c>
      <c r="Q579" s="37" t="s">
        <v>63</v>
      </c>
      <c r="R579" s="37" t="s">
        <v>63</v>
      </c>
      <c r="S579" s="37" t="s">
        <v>63</v>
      </c>
      <c r="T579" s="69" t="s">
        <v>63</v>
      </c>
      <c r="U579" s="37" t="s">
        <v>63</v>
      </c>
      <c r="V579" s="37" t="s">
        <v>63</v>
      </c>
      <c r="W579" s="37" t="s">
        <v>63</v>
      </c>
      <c r="X579" s="37" t="s">
        <v>63</v>
      </c>
      <c r="Y579" s="53">
        <v>2.0</v>
      </c>
      <c r="Z579" s="69" t="s">
        <v>63</v>
      </c>
      <c r="AA579" s="73"/>
      <c r="AB579" s="73"/>
      <c r="AC579" s="73"/>
      <c r="AD579" s="73"/>
      <c r="AE579" s="73"/>
      <c r="AF579" s="73"/>
      <c r="AG579" s="73"/>
      <c r="AH579" s="73"/>
      <c r="AI579" s="73"/>
      <c r="AJ579" s="73"/>
      <c r="AK579" s="73"/>
    </row>
    <row r="580">
      <c r="A580" s="28">
        <v>579.0</v>
      </c>
      <c r="B580" s="29"/>
      <c r="C580" s="29"/>
      <c r="D580" s="40">
        <v>1.0</v>
      </c>
      <c r="E580" s="31">
        <v>16.0</v>
      </c>
      <c r="F580" s="42">
        <v>27.0</v>
      </c>
      <c r="G580" s="29" t="str">
        <f t="shared" si="1"/>
        <v>16027</v>
      </c>
      <c r="H580" s="37" t="s">
        <v>672</v>
      </c>
      <c r="I580" s="37" t="s">
        <v>47</v>
      </c>
      <c r="J580" s="37" t="s">
        <v>660</v>
      </c>
      <c r="K580" s="37" t="str">
        <f t="shared" si="13"/>
        <v>Canyon, ID</v>
      </c>
      <c r="L580" s="37" t="s">
        <v>63</v>
      </c>
      <c r="M580" s="37" t="s">
        <v>63</v>
      </c>
      <c r="N580" s="37" t="s">
        <v>63</v>
      </c>
      <c r="O580" s="37" t="s">
        <v>63</v>
      </c>
      <c r="P580" s="37" t="s">
        <v>63</v>
      </c>
      <c r="Q580" s="37" t="s">
        <v>63</v>
      </c>
      <c r="R580" s="37" t="s">
        <v>63</v>
      </c>
      <c r="S580" s="37" t="s">
        <v>63</v>
      </c>
      <c r="T580" s="69" t="s">
        <v>63</v>
      </c>
      <c r="U580" s="37" t="s">
        <v>63</v>
      </c>
      <c r="V580" s="37" t="s">
        <v>63</v>
      </c>
      <c r="W580" s="37" t="s">
        <v>63</v>
      </c>
      <c r="X580" s="37" t="s">
        <v>63</v>
      </c>
      <c r="Y580" s="53">
        <v>120.0</v>
      </c>
      <c r="Z580" s="69" t="s">
        <v>63</v>
      </c>
      <c r="AA580" s="73"/>
      <c r="AB580" s="73"/>
      <c r="AC580" s="73"/>
      <c r="AD580" s="73"/>
      <c r="AE580" s="73"/>
      <c r="AF580" s="73"/>
      <c r="AG580" s="73"/>
      <c r="AH580" s="73"/>
      <c r="AI580" s="73"/>
      <c r="AJ580" s="73"/>
      <c r="AK580" s="73"/>
    </row>
    <row r="581">
      <c r="A581" s="28">
        <v>580.0</v>
      </c>
      <c r="B581" s="29"/>
      <c r="C581" s="29"/>
      <c r="D581" s="40">
        <v>1.0</v>
      </c>
      <c r="E581" s="31">
        <v>16.0</v>
      </c>
      <c r="F581" s="42">
        <v>29.0</v>
      </c>
      <c r="G581" s="29" t="str">
        <f t="shared" si="1"/>
        <v>16029</v>
      </c>
      <c r="H581" s="37" t="s">
        <v>673</v>
      </c>
      <c r="I581" s="37" t="s">
        <v>47</v>
      </c>
      <c r="J581" s="37" t="s">
        <v>660</v>
      </c>
      <c r="K581" s="37" t="str">
        <f t="shared" si="13"/>
        <v>Caribou, ID</v>
      </c>
      <c r="L581" s="37" t="s">
        <v>63</v>
      </c>
      <c r="M581" s="37" t="s">
        <v>63</v>
      </c>
      <c r="N581" s="37" t="s">
        <v>63</v>
      </c>
      <c r="O581" s="37" t="s">
        <v>63</v>
      </c>
      <c r="P581" s="37" t="s">
        <v>63</v>
      </c>
      <c r="Q581" s="37" t="s">
        <v>63</v>
      </c>
      <c r="R581" s="37" t="s">
        <v>63</v>
      </c>
      <c r="S581" s="37" t="s">
        <v>63</v>
      </c>
      <c r="T581" s="69" t="s">
        <v>63</v>
      </c>
      <c r="U581" s="37" t="s">
        <v>63</v>
      </c>
      <c r="V581" s="37" t="s">
        <v>63</v>
      </c>
      <c r="W581" s="37" t="s">
        <v>63</v>
      </c>
      <c r="X581" s="37" t="s">
        <v>63</v>
      </c>
      <c r="Y581" s="53">
        <v>11.0</v>
      </c>
      <c r="Z581" s="69" t="s">
        <v>63</v>
      </c>
      <c r="AA581" s="73"/>
      <c r="AB581" s="73"/>
      <c r="AC581" s="73"/>
      <c r="AD581" s="73"/>
      <c r="AE581" s="73"/>
      <c r="AF581" s="73"/>
      <c r="AG581" s="73"/>
      <c r="AH581" s="73"/>
      <c r="AI581" s="73"/>
      <c r="AJ581" s="73"/>
      <c r="AK581" s="73"/>
    </row>
    <row r="582">
      <c r="A582" s="28">
        <v>581.0</v>
      </c>
      <c r="B582" s="29"/>
      <c r="C582" s="29"/>
      <c r="D582" s="40">
        <v>1.0</v>
      </c>
      <c r="E582" s="31">
        <v>16.0</v>
      </c>
      <c r="F582" s="42">
        <v>31.0</v>
      </c>
      <c r="G582" s="29" t="str">
        <f t="shared" si="1"/>
        <v>16031</v>
      </c>
      <c r="H582" s="37" t="s">
        <v>674</v>
      </c>
      <c r="I582" s="37" t="s">
        <v>47</v>
      </c>
      <c r="J582" s="37" t="s">
        <v>660</v>
      </c>
      <c r="K582" s="37" t="str">
        <f t="shared" si="13"/>
        <v>Cassia, ID</v>
      </c>
      <c r="L582" s="37" t="s">
        <v>63</v>
      </c>
      <c r="M582" s="37" t="s">
        <v>63</v>
      </c>
      <c r="N582" s="37" t="s">
        <v>63</v>
      </c>
      <c r="O582" s="37" t="s">
        <v>63</v>
      </c>
      <c r="P582" s="37" t="s">
        <v>63</v>
      </c>
      <c r="Q582" s="37" t="s">
        <v>63</v>
      </c>
      <c r="R582" s="37" t="s">
        <v>63</v>
      </c>
      <c r="S582" s="37" t="s">
        <v>63</v>
      </c>
      <c r="T582" s="69" t="s">
        <v>63</v>
      </c>
      <c r="U582" s="37" t="s">
        <v>63</v>
      </c>
      <c r="V582" s="37" t="s">
        <v>63</v>
      </c>
      <c r="W582" s="37" t="s">
        <v>63</v>
      </c>
      <c r="X582" s="37" t="s">
        <v>63</v>
      </c>
      <c r="Y582" s="53">
        <v>35.0</v>
      </c>
      <c r="Z582" s="69" t="s">
        <v>63</v>
      </c>
      <c r="AA582" s="73"/>
      <c r="AB582" s="73"/>
      <c r="AC582" s="73"/>
      <c r="AD582" s="73"/>
      <c r="AE582" s="73"/>
      <c r="AF582" s="73"/>
      <c r="AG582" s="73"/>
      <c r="AH582" s="73"/>
      <c r="AI582" s="73"/>
      <c r="AJ582" s="73"/>
      <c r="AK582" s="73"/>
    </row>
    <row r="583">
      <c r="A583" s="28">
        <v>582.0</v>
      </c>
      <c r="B583" s="29"/>
      <c r="C583" s="29"/>
      <c r="D583" s="40">
        <v>1.0</v>
      </c>
      <c r="E583" s="31">
        <v>16.0</v>
      </c>
      <c r="F583" s="42">
        <v>33.0</v>
      </c>
      <c r="G583" s="29" t="str">
        <f t="shared" si="1"/>
        <v>16033</v>
      </c>
      <c r="H583" s="37" t="s">
        <v>253</v>
      </c>
      <c r="I583" s="37" t="s">
        <v>47</v>
      </c>
      <c r="J583" s="37" t="s">
        <v>660</v>
      </c>
      <c r="K583" s="37" t="str">
        <f t="shared" si="13"/>
        <v>Clark, ID</v>
      </c>
      <c r="L583" s="37" t="s">
        <v>63</v>
      </c>
      <c r="M583" s="37" t="s">
        <v>63</v>
      </c>
      <c r="N583" s="37" t="s">
        <v>63</v>
      </c>
      <c r="O583" s="37" t="s">
        <v>63</v>
      </c>
      <c r="P583" s="37" t="s">
        <v>63</v>
      </c>
      <c r="Q583" s="37" t="s">
        <v>63</v>
      </c>
      <c r="R583" s="37" t="s">
        <v>63</v>
      </c>
      <c r="S583" s="37" t="s">
        <v>63</v>
      </c>
      <c r="T583" s="69" t="s">
        <v>63</v>
      </c>
      <c r="U583" s="37" t="s">
        <v>63</v>
      </c>
      <c r="V583" s="37" t="s">
        <v>63</v>
      </c>
      <c r="W583" s="37" t="s">
        <v>63</v>
      </c>
      <c r="X583" s="37" t="s">
        <v>63</v>
      </c>
      <c r="Y583" s="53">
        <v>3.0</v>
      </c>
      <c r="Z583" s="69" t="s">
        <v>63</v>
      </c>
      <c r="AA583" s="73"/>
      <c r="AB583" s="73"/>
      <c r="AC583" s="73"/>
      <c r="AD583" s="73"/>
      <c r="AE583" s="73"/>
      <c r="AF583" s="73"/>
      <c r="AG583" s="73"/>
      <c r="AH583" s="73"/>
      <c r="AI583" s="73"/>
      <c r="AJ583" s="73"/>
      <c r="AK583" s="73"/>
    </row>
    <row r="584">
      <c r="A584" s="28">
        <v>583.0</v>
      </c>
      <c r="B584" s="29"/>
      <c r="C584" s="29"/>
      <c r="D584" s="40">
        <v>1.0</v>
      </c>
      <c r="E584" s="31">
        <v>16.0</v>
      </c>
      <c r="F584" s="42">
        <v>35.0</v>
      </c>
      <c r="G584" s="29" t="str">
        <f t="shared" si="1"/>
        <v>16035</v>
      </c>
      <c r="H584" s="37" t="s">
        <v>675</v>
      </c>
      <c r="I584" s="37" t="s">
        <v>47</v>
      </c>
      <c r="J584" s="37" t="s">
        <v>660</v>
      </c>
      <c r="K584" s="37" t="str">
        <f t="shared" si="13"/>
        <v>Clearwater, ID</v>
      </c>
      <c r="L584" s="37" t="s">
        <v>63</v>
      </c>
      <c r="M584" s="37" t="s">
        <v>63</v>
      </c>
      <c r="N584" s="37" t="s">
        <v>63</v>
      </c>
      <c r="O584" s="37" t="s">
        <v>63</v>
      </c>
      <c r="P584" s="37" t="s">
        <v>63</v>
      </c>
      <c r="Q584" s="37" t="s">
        <v>63</v>
      </c>
      <c r="R584" s="37" t="s">
        <v>63</v>
      </c>
      <c r="S584" s="37" t="s">
        <v>63</v>
      </c>
      <c r="T584" s="69" t="s">
        <v>63</v>
      </c>
      <c r="U584" s="37" t="s">
        <v>63</v>
      </c>
      <c r="V584" s="37" t="s">
        <v>63</v>
      </c>
      <c r="W584" s="37" t="s">
        <v>63</v>
      </c>
      <c r="X584" s="37" t="s">
        <v>63</v>
      </c>
      <c r="Y584" s="53">
        <v>16.0</v>
      </c>
      <c r="Z584" s="69" t="s">
        <v>63</v>
      </c>
      <c r="AA584" s="73"/>
      <c r="AB584" s="73"/>
      <c r="AC584" s="73"/>
      <c r="AD584" s="73"/>
      <c r="AE584" s="73"/>
      <c r="AF584" s="73"/>
      <c r="AG584" s="73"/>
      <c r="AH584" s="73"/>
      <c r="AI584" s="73"/>
      <c r="AJ584" s="73"/>
      <c r="AK584" s="73"/>
    </row>
    <row r="585">
      <c r="A585" s="28">
        <v>584.0</v>
      </c>
      <c r="B585" s="29"/>
      <c r="C585" s="29"/>
      <c r="D585" s="40">
        <v>1.0</v>
      </c>
      <c r="E585" s="31">
        <v>16.0</v>
      </c>
      <c r="F585" s="42">
        <v>37.0</v>
      </c>
      <c r="G585" s="29" t="str">
        <f t="shared" si="1"/>
        <v>16037</v>
      </c>
      <c r="H585" s="37" t="s">
        <v>406</v>
      </c>
      <c r="I585" s="37" t="s">
        <v>47</v>
      </c>
      <c r="J585" s="37" t="s">
        <v>660</v>
      </c>
      <c r="K585" s="37" t="str">
        <f t="shared" si="13"/>
        <v>Custer, ID</v>
      </c>
      <c r="L585" s="37" t="s">
        <v>63</v>
      </c>
      <c r="M585" s="37" t="s">
        <v>63</v>
      </c>
      <c r="N585" s="37" t="s">
        <v>63</v>
      </c>
      <c r="O585" s="37" t="s">
        <v>63</v>
      </c>
      <c r="P585" s="37" t="s">
        <v>63</v>
      </c>
      <c r="Q585" s="37" t="s">
        <v>63</v>
      </c>
      <c r="R585" s="37" t="s">
        <v>63</v>
      </c>
      <c r="S585" s="37" t="s">
        <v>63</v>
      </c>
      <c r="T585" s="69" t="s">
        <v>63</v>
      </c>
      <c r="U585" s="37" t="s">
        <v>63</v>
      </c>
      <c r="V585" s="37" t="s">
        <v>63</v>
      </c>
      <c r="W585" s="37" t="s">
        <v>63</v>
      </c>
      <c r="X585" s="37" t="s">
        <v>63</v>
      </c>
      <c r="Y585" s="53">
        <v>6.0</v>
      </c>
      <c r="Z585" s="69" t="s">
        <v>63</v>
      </c>
      <c r="AA585" s="73"/>
      <c r="AB585" s="73"/>
      <c r="AC585" s="73"/>
      <c r="AD585" s="73"/>
      <c r="AE585" s="73"/>
      <c r="AF585" s="73"/>
      <c r="AG585" s="73"/>
      <c r="AH585" s="73"/>
      <c r="AI585" s="73"/>
      <c r="AJ585" s="73"/>
      <c r="AK585" s="73"/>
    </row>
    <row r="586">
      <c r="A586" s="28">
        <v>585.0</v>
      </c>
      <c r="B586" s="29"/>
      <c r="C586" s="29"/>
      <c r="D586" s="40">
        <v>1.0</v>
      </c>
      <c r="E586" s="31">
        <v>16.0</v>
      </c>
      <c r="F586" s="42">
        <v>39.0</v>
      </c>
      <c r="G586" s="29" t="str">
        <f t="shared" si="1"/>
        <v>16039</v>
      </c>
      <c r="H586" s="37" t="s">
        <v>132</v>
      </c>
      <c r="I586" s="37" t="s">
        <v>47</v>
      </c>
      <c r="J586" s="37" t="s">
        <v>660</v>
      </c>
      <c r="K586" s="37" t="str">
        <f t="shared" si="13"/>
        <v>Elmore, ID</v>
      </c>
      <c r="L586" s="37" t="s">
        <v>63</v>
      </c>
      <c r="M586" s="37" t="s">
        <v>63</v>
      </c>
      <c r="N586" s="37" t="s">
        <v>63</v>
      </c>
      <c r="O586" s="37" t="s">
        <v>63</v>
      </c>
      <c r="P586" s="37" t="s">
        <v>63</v>
      </c>
      <c r="Q586" s="37" t="s">
        <v>63</v>
      </c>
      <c r="R586" s="37" t="s">
        <v>63</v>
      </c>
      <c r="S586" s="37" t="s">
        <v>63</v>
      </c>
      <c r="T586" s="69" t="s">
        <v>63</v>
      </c>
      <c r="U586" s="37" t="s">
        <v>63</v>
      </c>
      <c r="V586" s="37" t="s">
        <v>63</v>
      </c>
      <c r="W586" s="37" t="s">
        <v>63</v>
      </c>
      <c r="X586" s="37" t="s">
        <v>63</v>
      </c>
      <c r="Y586" s="53">
        <v>25.0</v>
      </c>
      <c r="Z586" s="69" t="s">
        <v>63</v>
      </c>
      <c r="AA586" s="73"/>
      <c r="AB586" s="73"/>
      <c r="AC586" s="73"/>
      <c r="AD586" s="73"/>
      <c r="AE586" s="73"/>
      <c r="AF586" s="73"/>
      <c r="AG586" s="73"/>
      <c r="AH586" s="73"/>
      <c r="AI586" s="73"/>
      <c r="AJ586" s="73"/>
      <c r="AK586" s="73"/>
    </row>
    <row r="587">
      <c r="A587" s="28">
        <v>586.0</v>
      </c>
      <c r="B587" s="29"/>
      <c r="C587" s="29"/>
      <c r="D587" s="40">
        <v>1.0</v>
      </c>
      <c r="E587" s="31">
        <v>16.0</v>
      </c>
      <c r="F587" s="42">
        <v>41.0</v>
      </c>
      <c r="G587" s="29" t="str">
        <f t="shared" si="1"/>
        <v>16041</v>
      </c>
      <c r="H587" s="37" t="s">
        <v>136</v>
      </c>
      <c r="I587" s="37" t="s">
        <v>47</v>
      </c>
      <c r="J587" s="37" t="s">
        <v>660</v>
      </c>
      <c r="K587" s="37" t="str">
        <f t="shared" si="13"/>
        <v>Franklin, ID</v>
      </c>
      <c r="L587" s="37" t="s">
        <v>63</v>
      </c>
      <c r="M587" s="37" t="s">
        <v>63</v>
      </c>
      <c r="N587" s="37" t="s">
        <v>63</v>
      </c>
      <c r="O587" s="37" t="s">
        <v>63</v>
      </c>
      <c r="P587" s="37" t="s">
        <v>63</v>
      </c>
      <c r="Q587" s="37" t="s">
        <v>63</v>
      </c>
      <c r="R587" s="37" t="s">
        <v>63</v>
      </c>
      <c r="S587" s="37" t="s">
        <v>63</v>
      </c>
      <c r="T587" s="69" t="s">
        <v>63</v>
      </c>
      <c r="U587" s="37" t="s">
        <v>63</v>
      </c>
      <c r="V587" s="37" t="s">
        <v>63</v>
      </c>
      <c r="W587" s="37" t="s">
        <v>63</v>
      </c>
      <c r="X587" s="37" t="s">
        <v>63</v>
      </c>
      <c r="Y587" s="53">
        <v>8.0</v>
      </c>
      <c r="Z587" s="69" t="s">
        <v>63</v>
      </c>
      <c r="AA587" s="73"/>
      <c r="AB587" s="73"/>
      <c r="AC587" s="73"/>
      <c r="AD587" s="73"/>
      <c r="AE587" s="73"/>
      <c r="AF587" s="73"/>
      <c r="AG587" s="73"/>
      <c r="AH587" s="73"/>
      <c r="AI587" s="73"/>
      <c r="AJ587" s="73"/>
      <c r="AK587" s="73"/>
    </row>
    <row r="588">
      <c r="A588" s="28">
        <v>587.0</v>
      </c>
      <c r="B588" s="29"/>
      <c r="C588" s="29"/>
      <c r="D588" s="40">
        <v>1.0</v>
      </c>
      <c r="E588" s="31">
        <v>16.0</v>
      </c>
      <c r="F588" s="42">
        <v>43.0</v>
      </c>
      <c r="G588" s="29" t="str">
        <f t="shared" si="1"/>
        <v>16043</v>
      </c>
      <c r="H588" s="37" t="s">
        <v>416</v>
      </c>
      <c r="I588" s="37" t="s">
        <v>47</v>
      </c>
      <c r="J588" s="37" t="s">
        <v>660</v>
      </c>
      <c r="K588" s="37" t="str">
        <f t="shared" si="13"/>
        <v>Fremont, ID</v>
      </c>
      <c r="L588" s="37" t="s">
        <v>63</v>
      </c>
      <c r="M588" s="37" t="s">
        <v>63</v>
      </c>
      <c r="N588" s="37" t="s">
        <v>63</v>
      </c>
      <c r="O588" s="37" t="s">
        <v>63</v>
      </c>
      <c r="P588" s="37" t="s">
        <v>63</v>
      </c>
      <c r="Q588" s="37" t="s">
        <v>63</v>
      </c>
      <c r="R588" s="37" t="s">
        <v>63</v>
      </c>
      <c r="S588" s="37" t="s">
        <v>63</v>
      </c>
      <c r="T588" s="69" t="s">
        <v>63</v>
      </c>
      <c r="U588" s="37" t="s">
        <v>63</v>
      </c>
      <c r="V588" s="37" t="s">
        <v>63</v>
      </c>
      <c r="W588" s="37" t="s">
        <v>63</v>
      </c>
      <c r="X588" s="37" t="s">
        <v>63</v>
      </c>
      <c r="Y588" s="53">
        <v>17.0</v>
      </c>
      <c r="Z588" s="69" t="s">
        <v>63</v>
      </c>
      <c r="AA588" s="73"/>
      <c r="AB588" s="73"/>
      <c r="AC588" s="73"/>
      <c r="AD588" s="73"/>
      <c r="AE588" s="73"/>
      <c r="AF588" s="73"/>
      <c r="AG588" s="73"/>
      <c r="AH588" s="73"/>
      <c r="AI588" s="73"/>
      <c r="AJ588" s="73"/>
      <c r="AK588" s="73"/>
    </row>
    <row r="589">
      <c r="A589" s="28">
        <v>588.0</v>
      </c>
      <c r="B589" s="29"/>
      <c r="C589" s="29"/>
      <c r="D589" s="40">
        <v>1.0</v>
      </c>
      <c r="E589" s="31">
        <v>16.0</v>
      </c>
      <c r="F589" s="42">
        <v>45.0</v>
      </c>
      <c r="G589" s="29" t="str">
        <f t="shared" si="1"/>
        <v>16045</v>
      </c>
      <c r="H589" s="37" t="s">
        <v>676</v>
      </c>
      <c r="I589" s="37" t="s">
        <v>47</v>
      </c>
      <c r="J589" s="37" t="s">
        <v>660</v>
      </c>
      <c r="K589" s="37" t="str">
        <f t="shared" si="13"/>
        <v>Gem, ID</v>
      </c>
      <c r="L589" s="37" t="s">
        <v>63</v>
      </c>
      <c r="M589" s="37" t="s">
        <v>63</v>
      </c>
      <c r="N589" s="37" t="s">
        <v>63</v>
      </c>
      <c r="O589" s="37" t="s">
        <v>63</v>
      </c>
      <c r="P589" s="37" t="s">
        <v>63</v>
      </c>
      <c r="Q589" s="37" t="s">
        <v>63</v>
      </c>
      <c r="R589" s="37" t="s">
        <v>63</v>
      </c>
      <c r="S589" s="37" t="s">
        <v>63</v>
      </c>
      <c r="T589" s="69" t="s">
        <v>63</v>
      </c>
      <c r="U589" s="37" t="s">
        <v>63</v>
      </c>
      <c r="V589" s="37" t="s">
        <v>63</v>
      </c>
      <c r="W589" s="37" t="s">
        <v>63</v>
      </c>
      <c r="X589" s="37" t="s">
        <v>63</v>
      </c>
      <c r="Y589" s="53">
        <v>17.0</v>
      </c>
      <c r="Z589" s="69" t="s">
        <v>63</v>
      </c>
      <c r="AA589" s="73"/>
      <c r="AB589" s="73"/>
      <c r="AC589" s="73"/>
      <c r="AD589" s="73"/>
      <c r="AE589" s="73"/>
      <c r="AF589" s="73"/>
      <c r="AG589" s="73"/>
      <c r="AH589" s="73"/>
      <c r="AI589" s="73"/>
      <c r="AJ589" s="73"/>
      <c r="AK589" s="73"/>
    </row>
    <row r="590">
      <c r="A590" s="28">
        <v>589.0</v>
      </c>
      <c r="B590" s="29"/>
      <c r="C590" s="29"/>
      <c r="D590" s="40">
        <v>1.0</v>
      </c>
      <c r="E590" s="31">
        <v>16.0</v>
      </c>
      <c r="F590" s="42">
        <v>47.0</v>
      </c>
      <c r="G590" s="29" t="str">
        <f t="shared" si="1"/>
        <v>16047</v>
      </c>
      <c r="H590" s="37" t="s">
        <v>677</v>
      </c>
      <c r="I590" s="37" t="s">
        <v>47</v>
      </c>
      <c r="J590" s="37" t="s">
        <v>660</v>
      </c>
      <c r="K590" s="37" t="str">
        <f t="shared" si="13"/>
        <v>Gooding, ID</v>
      </c>
      <c r="L590" s="37" t="s">
        <v>63</v>
      </c>
      <c r="M590" s="37" t="s">
        <v>63</v>
      </c>
      <c r="N590" s="37" t="s">
        <v>63</v>
      </c>
      <c r="O590" s="37" t="s">
        <v>63</v>
      </c>
      <c r="P590" s="37" t="s">
        <v>63</v>
      </c>
      <c r="Q590" s="37" t="s">
        <v>63</v>
      </c>
      <c r="R590" s="37" t="s">
        <v>63</v>
      </c>
      <c r="S590" s="37" t="s">
        <v>63</v>
      </c>
      <c r="T590" s="69" t="s">
        <v>63</v>
      </c>
      <c r="U590" s="37" t="s">
        <v>63</v>
      </c>
      <c r="V590" s="37" t="s">
        <v>63</v>
      </c>
      <c r="W590" s="37" t="s">
        <v>63</v>
      </c>
      <c r="X590" s="37" t="s">
        <v>63</v>
      </c>
      <c r="Y590" s="53">
        <v>18.0</v>
      </c>
      <c r="Z590" s="69" t="s">
        <v>63</v>
      </c>
      <c r="AA590" s="73"/>
      <c r="AB590" s="73"/>
      <c r="AC590" s="73"/>
      <c r="AD590" s="73"/>
      <c r="AE590" s="73"/>
      <c r="AF590" s="73"/>
      <c r="AG590" s="73"/>
      <c r="AH590" s="73"/>
      <c r="AI590" s="73"/>
      <c r="AJ590" s="73"/>
      <c r="AK590" s="73"/>
    </row>
    <row r="591">
      <c r="A591" s="28">
        <v>590.0</v>
      </c>
      <c r="B591" s="29"/>
      <c r="C591" s="29"/>
      <c r="D591" s="40">
        <v>1.0</v>
      </c>
      <c r="E591" s="31">
        <v>16.0</v>
      </c>
      <c r="F591" s="42">
        <v>49.0</v>
      </c>
      <c r="G591" s="29" t="str">
        <f t="shared" si="1"/>
        <v>16049</v>
      </c>
      <c r="H591" s="37" t="s">
        <v>47</v>
      </c>
      <c r="I591" s="37" t="s">
        <v>47</v>
      </c>
      <c r="J591" s="37" t="s">
        <v>660</v>
      </c>
      <c r="K591" s="37" t="str">
        <f t="shared" si="13"/>
        <v>Idaho, ID</v>
      </c>
      <c r="L591" s="37" t="s">
        <v>63</v>
      </c>
      <c r="M591" s="37" t="s">
        <v>63</v>
      </c>
      <c r="N591" s="37" t="s">
        <v>63</v>
      </c>
      <c r="O591" s="37" t="s">
        <v>63</v>
      </c>
      <c r="P591" s="37" t="s">
        <v>63</v>
      </c>
      <c r="Q591" s="37" t="s">
        <v>63</v>
      </c>
      <c r="R591" s="37" t="s">
        <v>63</v>
      </c>
      <c r="S591" s="37" t="s">
        <v>63</v>
      </c>
      <c r="T591" s="69" t="s">
        <v>63</v>
      </c>
      <c r="U591" s="37" t="s">
        <v>63</v>
      </c>
      <c r="V591" s="37" t="s">
        <v>63</v>
      </c>
      <c r="W591" s="37" t="s">
        <v>63</v>
      </c>
      <c r="X591" s="37" t="s">
        <v>63</v>
      </c>
      <c r="Y591" s="53">
        <v>27.0</v>
      </c>
      <c r="Z591" s="69" t="s">
        <v>63</v>
      </c>
      <c r="AA591" s="73"/>
      <c r="AB591" s="73"/>
      <c r="AC591" s="73"/>
      <c r="AD591" s="73"/>
      <c r="AE591" s="73"/>
      <c r="AF591" s="73"/>
      <c r="AG591" s="73"/>
      <c r="AH591" s="73"/>
      <c r="AI591" s="73"/>
      <c r="AJ591" s="73"/>
      <c r="AK591" s="73"/>
    </row>
    <row r="592">
      <c r="A592" s="28">
        <v>591.0</v>
      </c>
      <c r="B592" s="29"/>
      <c r="C592" s="29"/>
      <c r="D592" s="40">
        <v>1.0</v>
      </c>
      <c r="E592" s="31">
        <v>16.0</v>
      </c>
      <c r="F592" s="42">
        <v>51.0</v>
      </c>
      <c r="G592" s="29" t="str">
        <f t="shared" si="1"/>
        <v>16051</v>
      </c>
      <c r="H592" s="37" t="s">
        <v>143</v>
      </c>
      <c r="I592" s="37" t="s">
        <v>47</v>
      </c>
      <c r="J592" s="37" t="s">
        <v>660</v>
      </c>
      <c r="K592" s="37" t="str">
        <f t="shared" si="13"/>
        <v>Jefferson, ID</v>
      </c>
      <c r="L592" s="37" t="s">
        <v>63</v>
      </c>
      <c r="M592" s="37" t="s">
        <v>63</v>
      </c>
      <c r="N592" s="37" t="s">
        <v>63</v>
      </c>
      <c r="O592" s="37" t="s">
        <v>63</v>
      </c>
      <c r="P592" s="37" t="s">
        <v>63</v>
      </c>
      <c r="Q592" s="37" t="s">
        <v>63</v>
      </c>
      <c r="R592" s="37" t="s">
        <v>63</v>
      </c>
      <c r="S592" s="37" t="s">
        <v>63</v>
      </c>
      <c r="T592" s="69" t="s">
        <v>63</v>
      </c>
      <c r="U592" s="37" t="s">
        <v>63</v>
      </c>
      <c r="V592" s="37" t="s">
        <v>63</v>
      </c>
      <c r="W592" s="37" t="s">
        <v>63</v>
      </c>
      <c r="X592" s="37" t="s">
        <v>63</v>
      </c>
      <c r="Y592" s="53">
        <v>20.0</v>
      </c>
      <c r="Z592" s="69" t="s">
        <v>63</v>
      </c>
      <c r="AA592" s="73"/>
      <c r="AB592" s="73"/>
      <c r="AC592" s="73"/>
      <c r="AD592" s="73"/>
      <c r="AE592" s="73"/>
      <c r="AF592" s="73"/>
      <c r="AG592" s="73"/>
      <c r="AH592" s="73"/>
      <c r="AI592" s="73"/>
      <c r="AJ592" s="73"/>
      <c r="AK592" s="73"/>
    </row>
    <row r="593">
      <c r="A593" s="28">
        <v>592.0</v>
      </c>
      <c r="B593" s="29"/>
      <c r="C593" s="29"/>
      <c r="D593" s="40">
        <v>1.0</v>
      </c>
      <c r="E593" s="31">
        <v>16.0</v>
      </c>
      <c r="F593" s="42">
        <v>53.0</v>
      </c>
      <c r="G593" s="29" t="str">
        <f t="shared" si="1"/>
        <v>16053</v>
      </c>
      <c r="H593" s="37" t="s">
        <v>678</v>
      </c>
      <c r="I593" s="37" t="s">
        <v>47</v>
      </c>
      <c r="J593" s="37" t="s">
        <v>660</v>
      </c>
      <c r="K593" s="37" t="str">
        <f t="shared" si="13"/>
        <v>Jerome, ID</v>
      </c>
      <c r="L593" s="37" t="s">
        <v>63</v>
      </c>
      <c r="M593" s="37" t="s">
        <v>63</v>
      </c>
      <c r="N593" s="37" t="s">
        <v>63</v>
      </c>
      <c r="O593" s="37" t="s">
        <v>63</v>
      </c>
      <c r="P593" s="37" t="s">
        <v>63</v>
      </c>
      <c r="Q593" s="37" t="s">
        <v>63</v>
      </c>
      <c r="R593" s="37" t="s">
        <v>63</v>
      </c>
      <c r="S593" s="37" t="s">
        <v>63</v>
      </c>
      <c r="T593" s="69" t="s">
        <v>63</v>
      </c>
      <c r="U593" s="37" t="s">
        <v>63</v>
      </c>
      <c r="V593" s="37" t="s">
        <v>63</v>
      </c>
      <c r="W593" s="37" t="s">
        <v>63</v>
      </c>
      <c r="X593" s="37" t="s">
        <v>63</v>
      </c>
      <c r="Y593" s="53">
        <v>18.0</v>
      </c>
      <c r="Z593" s="69" t="s">
        <v>63</v>
      </c>
      <c r="AA593" s="73"/>
      <c r="AB593" s="73"/>
      <c r="AC593" s="73"/>
      <c r="AD593" s="73"/>
      <c r="AE593" s="73"/>
      <c r="AF593" s="73"/>
      <c r="AG593" s="73"/>
      <c r="AH593" s="73"/>
      <c r="AI593" s="73"/>
      <c r="AJ593" s="73"/>
      <c r="AK593" s="73"/>
    </row>
    <row r="594">
      <c r="A594" s="28">
        <v>593.0</v>
      </c>
      <c r="B594" s="29"/>
      <c r="C594" s="29"/>
      <c r="D594" s="40">
        <v>1.0</v>
      </c>
      <c r="E594" s="31">
        <v>16.0</v>
      </c>
      <c r="F594" s="42">
        <v>55.0</v>
      </c>
      <c r="G594" s="29" t="str">
        <f t="shared" si="1"/>
        <v>16055</v>
      </c>
      <c r="H594" s="37" t="s">
        <v>679</v>
      </c>
      <c r="I594" s="37" t="s">
        <v>47</v>
      </c>
      <c r="J594" s="37" t="s">
        <v>660</v>
      </c>
      <c r="K594" s="37" t="str">
        <f t="shared" si="13"/>
        <v>Kootenai, ID</v>
      </c>
      <c r="L594" s="37" t="s">
        <v>63</v>
      </c>
      <c r="M594" s="37" t="s">
        <v>63</v>
      </c>
      <c r="N594" s="37" t="s">
        <v>63</v>
      </c>
      <c r="O594" s="37" t="s">
        <v>63</v>
      </c>
      <c r="P594" s="37" t="s">
        <v>63</v>
      </c>
      <c r="Q594" s="37" t="s">
        <v>63</v>
      </c>
      <c r="R594" s="37" t="s">
        <v>63</v>
      </c>
      <c r="S594" s="37" t="s">
        <v>63</v>
      </c>
      <c r="T594" s="69" t="s">
        <v>63</v>
      </c>
      <c r="U594" s="37" t="s">
        <v>63</v>
      </c>
      <c r="V594" s="37" t="s">
        <v>63</v>
      </c>
      <c r="W594" s="37" t="s">
        <v>63</v>
      </c>
      <c r="X594" s="37" t="s">
        <v>63</v>
      </c>
      <c r="Y594" s="53">
        <v>91.0</v>
      </c>
      <c r="Z594" s="69" t="s">
        <v>63</v>
      </c>
      <c r="AA594" s="73"/>
      <c r="AB594" s="73"/>
      <c r="AC594" s="73"/>
      <c r="AD594" s="73"/>
      <c r="AE594" s="73"/>
      <c r="AF594" s="73"/>
      <c r="AG594" s="73"/>
      <c r="AH594" s="73"/>
      <c r="AI594" s="73"/>
      <c r="AJ594" s="73"/>
      <c r="AK594" s="73"/>
    </row>
    <row r="595">
      <c r="A595" s="28">
        <v>594.0</v>
      </c>
      <c r="B595" s="29"/>
      <c r="C595" s="29"/>
      <c r="D595" s="40">
        <v>1.0</v>
      </c>
      <c r="E595" s="31">
        <v>16.0</v>
      </c>
      <c r="F595" s="42">
        <v>57.0</v>
      </c>
      <c r="G595" s="29" t="str">
        <f t="shared" si="1"/>
        <v>16057</v>
      </c>
      <c r="H595" s="37" t="s">
        <v>680</v>
      </c>
      <c r="I595" s="37" t="s">
        <v>47</v>
      </c>
      <c r="J595" s="37" t="s">
        <v>660</v>
      </c>
      <c r="K595" s="37" t="str">
        <f t="shared" si="13"/>
        <v>Latah, ID</v>
      </c>
      <c r="L595" s="37" t="s">
        <v>63</v>
      </c>
      <c r="M595" s="37" t="s">
        <v>63</v>
      </c>
      <c r="N595" s="37" t="s">
        <v>63</v>
      </c>
      <c r="O595" s="37" t="s">
        <v>63</v>
      </c>
      <c r="P595" s="37" t="s">
        <v>63</v>
      </c>
      <c r="Q595" s="37" t="s">
        <v>63</v>
      </c>
      <c r="R595" s="37" t="s">
        <v>63</v>
      </c>
      <c r="S595" s="37" t="s">
        <v>63</v>
      </c>
      <c r="T595" s="69" t="s">
        <v>63</v>
      </c>
      <c r="U595" s="37" t="s">
        <v>63</v>
      </c>
      <c r="V595" s="37" t="s">
        <v>63</v>
      </c>
      <c r="W595" s="37" t="s">
        <v>63</v>
      </c>
      <c r="X595" s="37" t="s">
        <v>63</v>
      </c>
      <c r="Y595" s="53">
        <v>31.0</v>
      </c>
      <c r="Z595" s="69" t="s">
        <v>63</v>
      </c>
      <c r="AA595" s="73"/>
      <c r="AB595" s="73"/>
      <c r="AC595" s="73"/>
      <c r="AD595" s="73"/>
      <c r="AE595" s="73"/>
      <c r="AF595" s="73"/>
      <c r="AG595" s="73"/>
      <c r="AH595" s="73"/>
      <c r="AI595" s="73"/>
      <c r="AJ595" s="73"/>
      <c r="AK595" s="73"/>
    </row>
    <row r="596">
      <c r="A596" s="28">
        <v>595.0</v>
      </c>
      <c r="B596" s="29"/>
      <c r="C596" s="29"/>
      <c r="D596" s="40">
        <v>1.0</v>
      </c>
      <c r="E596" s="31">
        <v>16.0</v>
      </c>
      <c r="F596" s="42">
        <v>59.0</v>
      </c>
      <c r="G596" s="29" t="str">
        <f t="shared" si="1"/>
        <v>16059</v>
      </c>
      <c r="H596" s="37" t="s">
        <v>681</v>
      </c>
      <c r="I596" s="37" t="s">
        <v>47</v>
      </c>
      <c r="J596" s="37" t="s">
        <v>660</v>
      </c>
      <c r="K596" s="37" t="str">
        <f t="shared" si="13"/>
        <v>Lemhi, ID</v>
      </c>
      <c r="L596" s="37" t="s">
        <v>63</v>
      </c>
      <c r="M596" s="37" t="s">
        <v>63</v>
      </c>
      <c r="N596" s="37" t="s">
        <v>63</v>
      </c>
      <c r="O596" s="37" t="s">
        <v>63</v>
      </c>
      <c r="P596" s="37" t="s">
        <v>63</v>
      </c>
      <c r="Q596" s="37" t="s">
        <v>63</v>
      </c>
      <c r="R596" s="37" t="s">
        <v>63</v>
      </c>
      <c r="S596" s="37" t="s">
        <v>63</v>
      </c>
      <c r="T596" s="69" t="s">
        <v>63</v>
      </c>
      <c r="U596" s="37" t="s">
        <v>63</v>
      </c>
      <c r="V596" s="37" t="s">
        <v>63</v>
      </c>
      <c r="W596" s="37" t="s">
        <v>63</v>
      </c>
      <c r="X596" s="37" t="s">
        <v>63</v>
      </c>
      <c r="Y596" s="53">
        <v>15.0</v>
      </c>
      <c r="Z596" s="69" t="s">
        <v>63</v>
      </c>
      <c r="AA596" s="73"/>
      <c r="AB596" s="73"/>
      <c r="AC596" s="73"/>
      <c r="AD596" s="73"/>
      <c r="AE596" s="73"/>
      <c r="AF596" s="73"/>
      <c r="AG596" s="73"/>
      <c r="AH596" s="73"/>
      <c r="AI596" s="73"/>
      <c r="AJ596" s="73"/>
      <c r="AK596" s="73"/>
    </row>
    <row r="597">
      <c r="A597" s="28">
        <v>596.0</v>
      </c>
      <c r="B597" s="29"/>
      <c r="C597" s="29"/>
      <c r="D597" s="40">
        <v>1.0</v>
      </c>
      <c r="E597" s="31">
        <v>16.0</v>
      </c>
      <c r="F597" s="42">
        <v>61.0</v>
      </c>
      <c r="G597" s="29" t="str">
        <f t="shared" si="1"/>
        <v>16061</v>
      </c>
      <c r="H597" s="37" t="s">
        <v>682</v>
      </c>
      <c r="I597" s="37" t="s">
        <v>47</v>
      </c>
      <c r="J597" s="37" t="s">
        <v>660</v>
      </c>
      <c r="K597" s="37" t="str">
        <f t="shared" si="13"/>
        <v>Lewis, ID</v>
      </c>
      <c r="L597" s="37" t="s">
        <v>63</v>
      </c>
      <c r="M597" s="37" t="s">
        <v>63</v>
      </c>
      <c r="N597" s="37" t="s">
        <v>63</v>
      </c>
      <c r="O597" s="37" t="s">
        <v>63</v>
      </c>
      <c r="P597" s="37" t="s">
        <v>63</v>
      </c>
      <c r="Q597" s="37" t="s">
        <v>63</v>
      </c>
      <c r="R597" s="37" t="s">
        <v>63</v>
      </c>
      <c r="S597" s="37" t="s">
        <v>63</v>
      </c>
      <c r="T597" s="69" t="s">
        <v>63</v>
      </c>
      <c r="U597" s="37" t="s">
        <v>63</v>
      </c>
      <c r="V597" s="37" t="s">
        <v>63</v>
      </c>
      <c r="W597" s="37" t="s">
        <v>63</v>
      </c>
      <c r="X597" s="37" t="s">
        <v>63</v>
      </c>
      <c r="Y597" s="53">
        <v>13.0</v>
      </c>
      <c r="Z597" s="69" t="s">
        <v>63</v>
      </c>
      <c r="AA597" s="73"/>
      <c r="AB597" s="73"/>
      <c r="AC597" s="73"/>
      <c r="AD597" s="73"/>
      <c r="AE597" s="73"/>
      <c r="AF597" s="73"/>
      <c r="AG597" s="73"/>
      <c r="AH597" s="73"/>
      <c r="AI597" s="73"/>
      <c r="AJ597" s="73"/>
      <c r="AK597" s="73"/>
    </row>
    <row r="598">
      <c r="A598" s="28">
        <v>597.0</v>
      </c>
      <c r="B598" s="29"/>
      <c r="C598" s="29"/>
      <c r="D598" s="40">
        <v>1.0</v>
      </c>
      <c r="E598" s="31">
        <v>16.0</v>
      </c>
      <c r="F598" s="42">
        <v>63.0</v>
      </c>
      <c r="G598" s="29" t="str">
        <f t="shared" si="1"/>
        <v>16063</v>
      </c>
      <c r="H598" s="37" t="s">
        <v>290</v>
      </c>
      <c r="I598" s="37" t="s">
        <v>47</v>
      </c>
      <c r="J598" s="37" t="s">
        <v>660</v>
      </c>
      <c r="K598" s="37" t="str">
        <f t="shared" si="13"/>
        <v>Lincoln, ID</v>
      </c>
      <c r="L598" s="37" t="s">
        <v>63</v>
      </c>
      <c r="M598" s="37" t="s">
        <v>63</v>
      </c>
      <c r="N598" s="37" t="s">
        <v>63</v>
      </c>
      <c r="O598" s="37" t="s">
        <v>63</v>
      </c>
      <c r="P598" s="37" t="s">
        <v>63</v>
      </c>
      <c r="Q598" s="37" t="s">
        <v>63</v>
      </c>
      <c r="R598" s="37" t="s">
        <v>63</v>
      </c>
      <c r="S598" s="37" t="s">
        <v>63</v>
      </c>
      <c r="T598" s="69" t="s">
        <v>63</v>
      </c>
      <c r="U598" s="37" t="s">
        <v>63</v>
      </c>
      <c r="V598" s="37" t="s">
        <v>63</v>
      </c>
      <c r="W598" s="37" t="s">
        <v>63</v>
      </c>
      <c r="X598" s="37" t="s">
        <v>63</v>
      </c>
      <c r="Y598" s="53">
        <v>6.0</v>
      </c>
      <c r="Z598" s="69" t="s">
        <v>63</v>
      </c>
      <c r="AA598" s="73"/>
      <c r="AB598" s="73"/>
      <c r="AC598" s="73"/>
      <c r="AD598" s="73"/>
      <c r="AE598" s="73"/>
      <c r="AF598" s="73"/>
      <c r="AG598" s="73"/>
      <c r="AH598" s="73"/>
      <c r="AI598" s="73"/>
      <c r="AJ598" s="73"/>
      <c r="AK598" s="73"/>
    </row>
    <row r="599">
      <c r="A599" s="28">
        <v>598.0</v>
      </c>
      <c r="B599" s="29"/>
      <c r="C599" s="29"/>
      <c r="D599" s="40">
        <v>1.0</v>
      </c>
      <c r="E599" s="31">
        <v>16.0</v>
      </c>
      <c r="F599" s="42">
        <v>65.0</v>
      </c>
      <c r="G599" s="29" t="str">
        <f t="shared" si="1"/>
        <v>16065</v>
      </c>
      <c r="H599" s="37" t="s">
        <v>151</v>
      </c>
      <c r="I599" s="37" t="s">
        <v>47</v>
      </c>
      <c r="J599" s="37" t="s">
        <v>660</v>
      </c>
      <c r="K599" s="37" t="str">
        <f t="shared" si="13"/>
        <v>Madison, ID</v>
      </c>
      <c r="L599" s="37" t="s">
        <v>63</v>
      </c>
      <c r="M599" s="37" t="s">
        <v>63</v>
      </c>
      <c r="N599" s="37" t="s">
        <v>63</v>
      </c>
      <c r="O599" s="37" t="s">
        <v>63</v>
      </c>
      <c r="P599" s="37" t="s">
        <v>63</v>
      </c>
      <c r="Q599" s="37" t="s">
        <v>63</v>
      </c>
      <c r="R599" s="37" t="s">
        <v>63</v>
      </c>
      <c r="S599" s="37" t="s">
        <v>63</v>
      </c>
      <c r="T599" s="69" t="s">
        <v>63</v>
      </c>
      <c r="U599" s="37" t="s">
        <v>63</v>
      </c>
      <c r="V599" s="37" t="s">
        <v>63</v>
      </c>
      <c r="W599" s="37" t="s">
        <v>63</v>
      </c>
      <c r="X599" s="37" t="s">
        <v>63</v>
      </c>
      <c r="Y599" s="53">
        <v>25.0</v>
      </c>
      <c r="Z599" s="69" t="s">
        <v>63</v>
      </c>
      <c r="AA599" s="73"/>
      <c r="AB599" s="73"/>
      <c r="AC599" s="73"/>
      <c r="AD599" s="73"/>
      <c r="AE599" s="73"/>
      <c r="AF599" s="73"/>
      <c r="AG599" s="73"/>
      <c r="AH599" s="73"/>
      <c r="AI599" s="73"/>
      <c r="AJ599" s="73"/>
      <c r="AK599" s="73"/>
    </row>
    <row r="600">
      <c r="A600" s="28">
        <v>599.0</v>
      </c>
      <c r="B600" s="29"/>
      <c r="C600" s="29"/>
      <c r="D600" s="40">
        <v>1.0</v>
      </c>
      <c r="E600" s="31">
        <v>16.0</v>
      </c>
      <c r="F600" s="42">
        <v>67.0</v>
      </c>
      <c r="G600" s="29" t="str">
        <f t="shared" si="1"/>
        <v>16067</v>
      </c>
      <c r="H600" s="37" t="s">
        <v>683</v>
      </c>
      <c r="I600" s="37" t="s">
        <v>47</v>
      </c>
      <c r="J600" s="37" t="s">
        <v>660</v>
      </c>
      <c r="K600" s="37" t="str">
        <f t="shared" si="13"/>
        <v>Minidoka, ID</v>
      </c>
      <c r="L600" s="37" t="s">
        <v>63</v>
      </c>
      <c r="M600" s="37" t="s">
        <v>63</v>
      </c>
      <c r="N600" s="37" t="s">
        <v>63</v>
      </c>
      <c r="O600" s="37" t="s">
        <v>63</v>
      </c>
      <c r="P600" s="37" t="s">
        <v>63</v>
      </c>
      <c r="Q600" s="37" t="s">
        <v>63</v>
      </c>
      <c r="R600" s="37" t="s">
        <v>63</v>
      </c>
      <c r="S600" s="37" t="s">
        <v>63</v>
      </c>
      <c r="T600" s="69" t="s">
        <v>63</v>
      </c>
      <c r="U600" s="37" t="s">
        <v>63</v>
      </c>
      <c r="V600" s="37" t="s">
        <v>63</v>
      </c>
      <c r="W600" s="37" t="s">
        <v>63</v>
      </c>
      <c r="X600" s="37" t="s">
        <v>63</v>
      </c>
      <c r="Y600" s="53">
        <v>27.0</v>
      </c>
      <c r="Z600" s="69" t="s">
        <v>63</v>
      </c>
      <c r="AA600" s="73"/>
      <c r="AB600" s="73"/>
      <c r="AC600" s="73"/>
      <c r="AD600" s="73"/>
      <c r="AE600" s="73"/>
      <c r="AF600" s="73"/>
      <c r="AG600" s="73"/>
      <c r="AH600" s="73"/>
      <c r="AI600" s="73"/>
      <c r="AJ600" s="73"/>
      <c r="AK600" s="73"/>
    </row>
    <row r="601">
      <c r="A601" s="28">
        <v>600.0</v>
      </c>
      <c r="B601" s="29"/>
      <c r="C601" s="29"/>
      <c r="D601" s="40">
        <v>1.0</v>
      </c>
      <c r="E601" s="31">
        <v>16.0</v>
      </c>
      <c r="F601" s="42">
        <v>69.0</v>
      </c>
      <c r="G601" s="29" t="str">
        <f t="shared" si="1"/>
        <v>16069</v>
      </c>
      <c r="H601" s="37" t="s">
        <v>684</v>
      </c>
      <c r="I601" s="37" t="s">
        <v>47</v>
      </c>
      <c r="J601" s="37" t="s">
        <v>660</v>
      </c>
      <c r="K601" s="37" t="str">
        <f t="shared" si="13"/>
        <v>Nez Perce, ID</v>
      </c>
      <c r="L601" s="37" t="s">
        <v>63</v>
      </c>
      <c r="M601" s="37" t="s">
        <v>63</v>
      </c>
      <c r="N601" s="37" t="s">
        <v>63</v>
      </c>
      <c r="O601" s="37" t="s">
        <v>63</v>
      </c>
      <c r="P601" s="37" t="s">
        <v>63</v>
      </c>
      <c r="Q601" s="37" t="s">
        <v>63</v>
      </c>
      <c r="R601" s="37" t="s">
        <v>63</v>
      </c>
      <c r="S601" s="37" t="s">
        <v>63</v>
      </c>
      <c r="T601" s="69" t="s">
        <v>63</v>
      </c>
      <c r="U601" s="37" t="s">
        <v>63</v>
      </c>
      <c r="V601" s="37" t="s">
        <v>63</v>
      </c>
      <c r="W601" s="37" t="s">
        <v>63</v>
      </c>
      <c r="X601" s="37" t="s">
        <v>63</v>
      </c>
      <c r="Y601" s="53">
        <v>35.0</v>
      </c>
      <c r="Z601" s="69" t="s">
        <v>63</v>
      </c>
      <c r="AA601" s="73"/>
      <c r="AB601" s="73"/>
      <c r="AC601" s="73"/>
      <c r="AD601" s="73"/>
      <c r="AE601" s="73"/>
      <c r="AF601" s="73"/>
      <c r="AG601" s="73"/>
      <c r="AH601" s="73"/>
      <c r="AI601" s="73"/>
      <c r="AJ601" s="73"/>
      <c r="AK601" s="73"/>
    </row>
    <row r="602">
      <c r="A602" s="28">
        <v>601.0</v>
      </c>
      <c r="B602" s="29"/>
      <c r="C602" s="29"/>
      <c r="D602" s="40">
        <v>1.0</v>
      </c>
      <c r="E602" s="31">
        <v>16.0</v>
      </c>
      <c r="F602" s="42">
        <v>71.0</v>
      </c>
      <c r="G602" s="29" t="str">
        <f t="shared" si="1"/>
        <v>16071</v>
      </c>
      <c r="H602" s="37" t="s">
        <v>685</v>
      </c>
      <c r="I602" s="37" t="s">
        <v>47</v>
      </c>
      <c r="J602" s="37" t="s">
        <v>660</v>
      </c>
      <c r="K602" s="37" t="str">
        <f t="shared" si="13"/>
        <v>Oneida, ID</v>
      </c>
      <c r="L602" s="37" t="s">
        <v>63</v>
      </c>
      <c r="M602" s="37" t="s">
        <v>63</v>
      </c>
      <c r="N602" s="37" t="s">
        <v>63</v>
      </c>
      <c r="O602" s="37" t="s">
        <v>63</v>
      </c>
      <c r="P602" s="37" t="s">
        <v>63</v>
      </c>
      <c r="Q602" s="37" t="s">
        <v>63</v>
      </c>
      <c r="R602" s="37" t="s">
        <v>63</v>
      </c>
      <c r="S602" s="37" t="s">
        <v>63</v>
      </c>
      <c r="T602" s="69" t="s">
        <v>63</v>
      </c>
      <c r="U602" s="37" t="s">
        <v>63</v>
      </c>
      <c r="V602" s="37" t="s">
        <v>63</v>
      </c>
      <c r="W602" s="37" t="s">
        <v>63</v>
      </c>
      <c r="X602" s="37" t="s">
        <v>63</v>
      </c>
      <c r="Y602" s="53">
        <v>6.0</v>
      </c>
      <c r="Z602" s="69" t="s">
        <v>63</v>
      </c>
      <c r="AA602" s="73"/>
      <c r="AB602" s="73"/>
      <c r="AC602" s="73"/>
      <c r="AD602" s="73"/>
      <c r="AE602" s="73"/>
      <c r="AF602" s="73"/>
      <c r="AG602" s="73"/>
      <c r="AH602" s="73"/>
      <c r="AI602" s="73"/>
      <c r="AJ602" s="73"/>
      <c r="AK602" s="73"/>
    </row>
    <row r="603">
      <c r="A603" s="28">
        <v>602.0</v>
      </c>
      <c r="B603" s="29"/>
      <c r="C603" s="29"/>
      <c r="D603" s="40">
        <v>1.0</v>
      </c>
      <c r="E603" s="31">
        <v>16.0</v>
      </c>
      <c r="F603" s="42">
        <v>73.0</v>
      </c>
      <c r="G603" s="29" t="str">
        <f t="shared" si="1"/>
        <v>16073</v>
      </c>
      <c r="H603" s="37" t="s">
        <v>686</v>
      </c>
      <c r="I603" s="37" t="s">
        <v>47</v>
      </c>
      <c r="J603" s="37" t="s">
        <v>660</v>
      </c>
      <c r="K603" s="37" t="str">
        <f t="shared" si="13"/>
        <v>Owyhee, ID</v>
      </c>
      <c r="L603" s="37" t="s">
        <v>63</v>
      </c>
      <c r="M603" s="37" t="s">
        <v>63</v>
      </c>
      <c r="N603" s="37" t="s">
        <v>63</v>
      </c>
      <c r="O603" s="37" t="s">
        <v>63</v>
      </c>
      <c r="P603" s="37" t="s">
        <v>63</v>
      </c>
      <c r="Q603" s="37" t="s">
        <v>63</v>
      </c>
      <c r="R603" s="37" t="s">
        <v>63</v>
      </c>
      <c r="S603" s="37" t="s">
        <v>63</v>
      </c>
      <c r="T603" s="69" t="s">
        <v>63</v>
      </c>
      <c r="U603" s="37" t="s">
        <v>63</v>
      </c>
      <c r="V603" s="37" t="s">
        <v>63</v>
      </c>
      <c r="W603" s="37" t="s">
        <v>63</v>
      </c>
      <c r="X603" s="37" t="s">
        <v>63</v>
      </c>
      <c r="Y603" s="53">
        <v>12.0</v>
      </c>
      <c r="Z603" s="69" t="s">
        <v>63</v>
      </c>
      <c r="AA603" s="73"/>
      <c r="AB603" s="73"/>
      <c r="AC603" s="73"/>
      <c r="AD603" s="73"/>
      <c r="AE603" s="73"/>
      <c r="AF603" s="73"/>
      <c r="AG603" s="73"/>
      <c r="AH603" s="73"/>
      <c r="AI603" s="73"/>
      <c r="AJ603" s="73"/>
      <c r="AK603" s="73"/>
    </row>
    <row r="604">
      <c r="A604" s="28">
        <v>603.0</v>
      </c>
      <c r="B604" s="29"/>
      <c r="C604" s="29"/>
      <c r="D604" s="40">
        <v>1.0</v>
      </c>
      <c r="E604" s="31">
        <v>16.0</v>
      </c>
      <c r="F604" s="42">
        <v>75.0</v>
      </c>
      <c r="G604" s="29" t="str">
        <f t="shared" si="1"/>
        <v>16075</v>
      </c>
      <c r="H604" s="37" t="s">
        <v>687</v>
      </c>
      <c r="I604" s="37" t="s">
        <v>47</v>
      </c>
      <c r="J604" s="37" t="s">
        <v>660</v>
      </c>
      <c r="K604" s="37" t="str">
        <f t="shared" si="13"/>
        <v>Payette, ID</v>
      </c>
      <c r="L604" s="37" t="s">
        <v>63</v>
      </c>
      <c r="M604" s="37" t="s">
        <v>63</v>
      </c>
      <c r="N604" s="37" t="s">
        <v>63</v>
      </c>
      <c r="O604" s="37" t="s">
        <v>63</v>
      </c>
      <c r="P604" s="37" t="s">
        <v>63</v>
      </c>
      <c r="Q604" s="37" t="s">
        <v>63</v>
      </c>
      <c r="R604" s="37" t="s">
        <v>63</v>
      </c>
      <c r="S604" s="37" t="s">
        <v>63</v>
      </c>
      <c r="T604" s="69" t="s">
        <v>63</v>
      </c>
      <c r="U604" s="37" t="s">
        <v>63</v>
      </c>
      <c r="V604" s="37" t="s">
        <v>63</v>
      </c>
      <c r="W604" s="37" t="s">
        <v>63</v>
      </c>
      <c r="X604" s="37" t="s">
        <v>63</v>
      </c>
      <c r="Y604" s="53">
        <v>32.0</v>
      </c>
      <c r="Z604" s="69" t="s">
        <v>63</v>
      </c>
      <c r="AA604" s="73"/>
      <c r="AB604" s="73"/>
      <c r="AC604" s="73"/>
      <c r="AD604" s="73"/>
      <c r="AE604" s="73"/>
      <c r="AF604" s="73"/>
      <c r="AG604" s="73"/>
      <c r="AH604" s="73"/>
      <c r="AI604" s="73"/>
      <c r="AJ604" s="73"/>
      <c r="AK604" s="73"/>
    </row>
    <row r="605">
      <c r="A605" s="28">
        <v>604.0</v>
      </c>
      <c r="B605" s="29"/>
      <c r="C605" s="29"/>
      <c r="D605" s="40">
        <v>1.0</v>
      </c>
      <c r="E605" s="31">
        <v>16.0</v>
      </c>
      <c r="F605" s="42">
        <v>77.0</v>
      </c>
      <c r="G605" s="29" t="str">
        <f t="shared" si="1"/>
        <v>16077</v>
      </c>
      <c r="H605" s="37" t="s">
        <v>688</v>
      </c>
      <c r="I605" s="37" t="s">
        <v>47</v>
      </c>
      <c r="J605" s="37" t="s">
        <v>660</v>
      </c>
      <c r="K605" s="37" t="str">
        <f t="shared" si="13"/>
        <v>Power, ID</v>
      </c>
      <c r="L605" s="37" t="s">
        <v>63</v>
      </c>
      <c r="M605" s="37" t="s">
        <v>63</v>
      </c>
      <c r="N605" s="37" t="s">
        <v>63</v>
      </c>
      <c r="O605" s="37" t="s">
        <v>63</v>
      </c>
      <c r="P605" s="37" t="s">
        <v>63</v>
      </c>
      <c r="Q605" s="37" t="s">
        <v>63</v>
      </c>
      <c r="R605" s="37" t="s">
        <v>63</v>
      </c>
      <c r="S605" s="37" t="s">
        <v>63</v>
      </c>
      <c r="T605" s="69" t="s">
        <v>63</v>
      </c>
      <c r="U605" s="37" t="s">
        <v>63</v>
      </c>
      <c r="V605" s="37" t="s">
        <v>63</v>
      </c>
      <c r="W605" s="37" t="s">
        <v>63</v>
      </c>
      <c r="X605" s="37" t="s">
        <v>63</v>
      </c>
      <c r="Y605" s="53">
        <v>10.0</v>
      </c>
      <c r="Z605" s="69" t="s">
        <v>63</v>
      </c>
      <c r="AA605" s="73"/>
      <c r="AB605" s="73"/>
      <c r="AC605" s="73"/>
      <c r="AD605" s="73"/>
      <c r="AE605" s="73"/>
      <c r="AF605" s="73"/>
      <c r="AG605" s="73"/>
      <c r="AH605" s="73"/>
      <c r="AI605" s="73"/>
      <c r="AJ605" s="73"/>
      <c r="AK605" s="73"/>
    </row>
    <row r="606">
      <c r="A606" s="28">
        <v>605.0</v>
      </c>
      <c r="B606" s="29"/>
      <c r="C606" s="29"/>
      <c r="D606" s="40">
        <v>1.0</v>
      </c>
      <c r="E606" s="31">
        <v>16.0</v>
      </c>
      <c r="F606" s="42">
        <v>79.0</v>
      </c>
      <c r="G606" s="29" t="str">
        <f t="shared" si="1"/>
        <v>16079</v>
      </c>
      <c r="H606" s="37" t="s">
        <v>689</v>
      </c>
      <c r="I606" s="37" t="s">
        <v>47</v>
      </c>
      <c r="J606" s="37" t="s">
        <v>660</v>
      </c>
      <c r="K606" s="37" t="str">
        <f t="shared" si="13"/>
        <v>Shoshone, ID</v>
      </c>
      <c r="L606" s="37" t="s">
        <v>63</v>
      </c>
      <c r="M606" s="37" t="s">
        <v>63</v>
      </c>
      <c r="N606" s="37" t="s">
        <v>63</v>
      </c>
      <c r="O606" s="37" t="s">
        <v>63</v>
      </c>
      <c r="P606" s="37" t="s">
        <v>63</v>
      </c>
      <c r="Q606" s="37" t="s">
        <v>63</v>
      </c>
      <c r="R606" s="37" t="s">
        <v>63</v>
      </c>
      <c r="S606" s="37" t="s">
        <v>63</v>
      </c>
      <c r="T606" s="69" t="s">
        <v>63</v>
      </c>
      <c r="U606" s="37" t="s">
        <v>63</v>
      </c>
      <c r="V606" s="37" t="s">
        <v>63</v>
      </c>
      <c r="W606" s="37" t="s">
        <v>63</v>
      </c>
      <c r="X606" s="37" t="s">
        <v>63</v>
      </c>
      <c r="Y606" s="53">
        <v>17.0</v>
      </c>
      <c r="Z606" s="69" t="s">
        <v>63</v>
      </c>
      <c r="AA606" s="73"/>
      <c r="AB606" s="73"/>
      <c r="AC606" s="73"/>
      <c r="AD606" s="73"/>
      <c r="AE606" s="73"/>
      <c r="AF606" s="73"/>
      <c r="AG606" s="73"/>
      <c r="AH606" s="73"/>
      <c r="AI606" s="73"/>
      <c r="AJ606" s="73"/>
      <c r="AK606" s="73"/>
    </row>
    <row r="607">
      <c r="A607" s="28">
        <v>606.0</v>
      </c>
      <c r="B607" s="29"/>
      <c r="C607" s="29"/>
      <c r="D607" s="40">
        <v>1.0</v>
      </c>
      <c r="E607" s="31">
        <v>16.0</v>
      </c>
      <c r="F607" s="42">
        <v>81.0</v>
      </c>
      <c r="G607" s="29" t="str">
        <f t="shared" si="1"/>
        <v>16081</v>
      </c>
      <c r="H607" s="37" t="s">
        <v>690</v>
      </c>
      <c r="I607" s="37" t="s">
        <v>47</v>
      </c>
      <c r="J607" s="37" t="s">
        <v>660</v>
      </c>
      <c r="K607" s="37" t="str">
        <f t="shared" si="13"/>
        <v>Teton, ID</v>
      </c>
      <c r="L607" s="37" t="s">
        <v>63</v>
      </c>
      <c r="M607" s="37" t="s">
        <v>63</v>
      </c>
      <c r="N607" s="37" t="s">
        <v>63</v>
      </c>
      <c r="O607" s="37" t="s">
        <v>63</v>
      </c>
      <c r="P607" s="37" t="s">
        <v>63</v>
      </c>
      <c r="Q607" s="37" t="s">
        <v>63</v>
      </c>
      <c r="R607" s="37" t="s">
        <v>63</v>
      </c>
      <c r="S607" s="37" t="s">
        <v>63</v>
      </c>
      <c r="T607" s="69" t="s">
        <v>63</v>
      </c>
      <c r="U607" s="37" t="s">
        <v>63</v>
      </c>
      <c r="V607" s="37" t="s">
        <v>63</v>
      </c>
      <c r="W607" s="37" t="s">
        <v>63</v>
      </c>
      <c r="X607" s="37" t="s">
        <v>63</v>
      </c>
      <c r="Y607" s="53">
        <v>4.0</v>
      </c>
      <c r="Z607" s="69" t="s">
        <v>63</v>
      </c>
      <c r="AA607" s="73"/>
      <c r="AB607" s="73"/>
      <c r="AC607" s="73"/>
      <c r="AD607" s="73"/>
      <c r="AE607" s="73"/>
      <c r="AF607" s="73"/>
      <c r="AG607" s="73"/>
      <c r="AH607" s="73"/>
      <c r="AI607" s="73"/>
      <c r="AJ607" s="73"/>
      <c r="AK607" s="73"/>
    </row>
    <row r="608">
      <c r="A608" s="28">
        <v>607.0</v>
      </c>
      <c r="B608" s="29"/>
      <c r="C608" s="29"/>
      <c r="D608" s="40">
        <v>1.0</v>
      </c>
      <c r="E608" s="31">
        <v>16.0</v>
      </c>
      <c r="F608" s="42">
        <v>83.0</v>
      </c>
      <c r="G608" s="29" t="str">
        <f t="shared" si="1"/>
        <v>16083</v>
      </c>
      <c r="H608" s="37" t="s">
        <v>691</v>
      </c>
      <c r="I608" s="37" t="s">
        <v>47</v>
      </c>
      <c r="J608" s="37" t="s">
        <v>660</v>
      </c>
      <c r="K608" s="37" t="str">
        <f t="shared" si="13"/>
        <v>Twin Falls, ID</v>
      </c>
      <c r="L608" s="37" t="s">
        <v>63</v>
      </c>
      <c r="M608" s="37" t="s">
        <v>63</v>
      </c>
      <c r="N608" s="37" t="s">
        <v>63</v>
      </c>
      <c r="O608" s="37" t="s">
        <v>63</v>
      </c>
      <c r="P608" s="37" t="s">
        <v>63</v>
      </c>
      <c r="Q608" s="37" t="s">
        <v>63</v>
      </c>
      <c r="R608" s="37" t="s">
        <v>63</v>
      </c>
      <c r="S608" s="37" t="s">
        <v>63</v>
      </c>
      <c r="T608" s="69" t="s">
        <v>63</v>
      </c>
      <c r="U608" s="37" t="s">
        <v>63</v>
      </c>
      <c r="V608" s="37" t="s">
        <v>63</v>
      </c>
      <c r="W608" s="37" t="s">
        <v>63</v>
      </c>
      <c r="X608" s="37" t="s">
        <v>63</v>
      </c>
      <c r="Y608" s="53">
        <v>78.0</v>
      </c>
      <c r="Z608" s="69" t="s">
        <v>63</v>
      </c>
      <c r="AA608" s="73"/>
      <c r="AB608" s="73"/>
      <c r="AC608" s="73"/>
      <c r="AD608" s="73"/>
      <c r="AE608" s="73"/>
      <c r="AF608" s="73"/>
      <c r="AG608" s="73"/>
      <c r="AH608" s="73"/>
      <c r="AI608" s="73"/>
      <c r="AJ608" s="73"/>
      <c r="AK608" s="73"/>
    </row>
    <row r="609">
      <c r="A609" s="28">
        <v>608.0</v>
      </c>
      <c r="B609" s="29"/>
      <c r="C609" s="29"/>
      <c r="D609" s="40">
        <v>1.0</v>
      </c>
      <c r="E609" s="31">
        <v>16.0</v>
      </c>
      <c r="F609" s="42">
        <v>85.0</v>
      </c>
      <c r="G609" s="29" t="str">
        <f t="shared" si="1"/>
        <v>16085</v>
      </c>
      <c r="H609" s="37" t="s">
        <v>692</v>
      </c>
      <c r="I609" s="37" t="s">
        <v>47</v>
      </c>
      <c r="J609" s="37" t="s">
        <v>660</v>
      </c>
      <c r="K609" s="37" t="str">
        <f t="shared" si="13"/>
        <v>Valley, ID</v>
      </c>
      <c r="L609" s="37" t="s">
        <v>63</v>
      </c>
      <c r="M609" s="37" t="s">
        <v>63</v>
      </c>
      <c r="N609" s="37" t="s">
        <v>63</v>
      </c>
      <c r="O609" s="37" t="s">
        <v>63</v>
      </c>
      <c r="P609" s="37" t="s">
        <v>63</v>
      </c>
      <c r="Q609" s="37" t="s">
        <v>63</v>
      </c>
      <c r="R609" s="37" t="s">
        <v>63</v>
      </c>
      <c r="S609" s="37" t="s">
        <v>63</v>
      </c>
      <c r="T609" s="69" t="s">
        <v>63</v>
      </c>
      <c r="U609" s="37" t="s">
        <v>63</v>
      </c>
      <c r="V609" s="37" t="s">
        <v>63</v>
      </c>
      <c r="W609" s="37" t="s">
        <v>63</v>
      </c>
      <c r="X609" s="37" t="s">
        <v>63</v>
      </c>
      <c r="Y609" s="53">
        <v>14.0</v>
      </c>
      <c r="Z609" s="69" t="s">
        <v>63</v>
      </c>
      <c r="AA609" s="73"/>
      <c r="AB609" s="73"/>
      <c r="AC609" s="73"/>
      <c r="AD609" s="73"/>
      <c r="AE609" s="73"/>
      <c r="AF609" s="73"/>
      <c r="AG609" s="73"/>
      <c r="AH609" s="73"/>
      <c r="AI609" s="73"/>
      <c r="AJ609" s="73"/>
      <c r="AK609" s="73"/>
    </row>
    <row r="610">
      <c r="A610" s="28">
        <v>609.0</v>
      </c>
      <c r="B610" s="29"/>
      <c r="C610" s="29"/>
      <c r="D610" s="40">
        <v>1.0</v>
      </c>
      <c r="E610" s="31">
        <v>16.0</v>
      </c>
      <c r="F610" s="42">
        <v>87.0</v>
      </c>
      <c r="G610" s="29" t="str">
        <f t="shared" si="1"/>
        <v>16087</v>
      </c>
      <c r="H610" s="37" t="s">
        <v>119</v>
      </c>
      <c r="I610" s="37" t="s">
        <v>47</v>
      </c>
      <c r="J610" s="37" t="s">
        <v>660</v>
      </c>
      <c r="K610" s="37" t="str">
        <f t="shared" si="13"/>
        <v>Washington, ID</v>
      </c>
      <c r="L610" s="37" t="s">
        <v>63</v>
      </c>
      <c r="M610" s="37" t="s">
        <v>63</v>
      </c>
      <c r="N610" s="37" t="s">
        <v>63</v>
      </c>
      <c r="O610" s="37" t="s">
        <v>63</v>
      </c>
      <c r="P610" s="37" t="s">
        <v>63</v>
      </c>
      <c r="Q610" s="37" t="s">
        <v>63</v>
      </c>
      <c r="R610" s="37" t="s">
        <v>63</v>
      </c>
      <c r="S610" s="37" t="s">
        <v>63</v>
      </c>
      <c r="T610" s="69" t="s">
        <v>63</v>
      </c>
      <c r="U610" s="37" t="s">
        <v>63</v>
      </c>
      <c r="V610" s="37" t="s">
        <v>63</v>
      </c>
      <c r="W610" s="37" t="s">
        <v>63</v>
      </c>
      <c r="X610" s="37" t="s">
        <v>63</v>
      </c>
      <c r="Y610" s="53">
        <v>12.0</v>
      </c>
      <c r="Z610" s="69" t="s">
        <v>63</v>
      </c>
      <c r="AA610" s="73"/>
      <c r="AB610" s="73"/>
      <c r="AC610" s="73"/>
      <c r="AD610" s="73"/>
      <c r="AE610" s="73"/>
      <c r="AF610" s="73"/>
      <c r="AG610" s="73"/>
      <c r="AH610" s="73"/>
      <c r="AI610" s="73"/>
      <c r="AJ610" s="73"/>
      <c r="AK610" s="73"/>
    </row>
    <row r="611">
      <c r="A611" s="99">
        <v>610.0</v>
      </c>
      <c r="B611" s="15"/>
      <c r="C611" s="14" t="s">
        <v>25</v>
      </c>
      <c r="D611" s="16"/>
      <c r="E611" s="102">
        <v>17.0</v>
      </c>
      <c r="F611" s="107">
        <v>0.0</v>
      </c>
      <c r="G611" s="15" t="str">
        <f t="shared" si="1"/>
        <v>17000</v>
      </c>
      <c r="H611" s="23"/>
      <c r="I611" s="23" t="s">
        <v>48</v>
      </c>
      <c r="J611" s="23" t="s">
        <v>203</v>
      </c>
      <c r="K611" s="23"/>
      <c r="L611" s="123">
        <f t="array" ref="L611:Z611">Illinois!C106:Q106</f>
        <v>19272</v>
      </c>
      <c r="M611" s="23" t="s">
        <v>63</v>
      </c>
      <c r="N611" s="123">
        <v>7837.0</v>
      </c>
      <c r="O611" s="123">
        <v>10283.0</v>
      </c>
      <c r="P611" s="23" t="s">
        <v>63</v>
      </c>
      <c r="Q611" s="123">
        <v>7880.0</v>
      </c>
      <c r="R611" s="123">
        <v>1666.0</v>
      </c>
      <c r="S611" s="23" t="s">
        <v>63</v>
      </c>
      <c r="T611" s="32" t="s">
        <v>63</v>
      </c>
      <c r="U611" s="123">
        <v>4069.0</v>
      </c>
      <c r="V611" s="35" t="s">
        <v>63</v>
      </c>
      <c r="W611" s="127" t="s">
        <v>63</v>
      </c>
      <c r="X611" s="123" t="s">
        <v>63</v>
      </c>
      <c r="Y611" s="35">
        <v>8878.0</v>
      </c>
      <c r="Z611" s="32" t="s">
        <v>63</v>
      </c>
      <c r="AA611" s="38"/>
      <c r="AB611" s="38"/>
      <c r="AC611" s="38"/>
      <c r="AD611" s="38"/>
      <c r="AE611" s="38"/>
      <c r="AF611" s="38"/>
      <c r="AG611" s="38"/>
      <c r="AH611" s="38"/>
      <c r="AI611" s="38"/>
      <c r="AJ611" s="38"/>
      <c r="AK611" s="38"/>
    </row>
    <row r="612">
      <c r="A612" s="99">
        <v>611.0</v>
      </c>
      <c r="B612" s="15"/>
      <c r="C612" s="15"/>
      <c r="D612" s="105">
        <v>1.0</v>
      </c>
      <c r="E612" s="102">
        <v>17.0</v>
      </c>
      <c r="F612" s="107">
        <v>1.0</v>
      </c>
      <c r="G612" s="15" t="str">
        <f t="shared" si="1"/>
        <v>17001</v>
      </c>
      <c r="H612" s="23" t="s">
        <v>386</v>
      </c>
      <c r="I612" s="23" t="s">
        <v>48</v>
      </c>
      <c r="J612" s="23" t="s">
        <v>203</v>
      </c>
      <c r="K612" s="23" t="str">
        <f t="shared" ref="K612:K713" si="14">CONCATENATE(H612,", ",J612)</f>
        <v>Adams, IL</v>
      </c>
      <c r="L612" s="23">
        <f t="array" ref="L612:Z713">Illinois!C3:Q104</f>
        <v>218</v>
      </c>
      <c r="M612" s="23" t="s">
        <v>63</v>
      </c>
      <c r="N612" s="23">
        <v>78.0</v>
      </c>
      <c r="O612" s="23">
        <v>125.0</v>
      </c>
      <c r="P612" s="23" t="s">
        <v>63</v>
      </c>
      <c r="Q612" s="23">
        <v>82.0</v>
      </c>
      <c r="R612" s="23">
        <v>27.0</v>
      </c>
      <c r="S612" s="23" t="s">
        <v>63</v>
      </c>
      <c r="T612" s="32" t="s">
        <v>63</v>
      </c>
      <c r="U612" s="23">
        <v>40.0</v>
      </c>
      <c r="V612" s="23" t="s">
        <v>63</v>
      </c>
      <c r="W612" s="23" t="s">
        <v>63</v>
      </c>
      <c r="X612" s="23" t="s">
        <v>63</v>
      </c>
      <c r="Y612" s="35">
        <v>75.0</v>
      </c>
      <c r="Z612" s="32" t="s">
        <v>63</v>
      </c>
      <c r="AA612" s="38"/>
      <c r="AB612" s="38"/>
      <c r="AC612" s="38"/>
      <c r="AD612" s="38"/>
      <c r="AE612" s="38"/>
      <c r="AF612" s="38"/>
      <c r="AG612" s="38"/>
      <c r="AH612" s="38"/>
      <c r="AI612" s="38"/>
      <c r="AJ612" s="38"/>
      <c r="AK612" s="38"/>
    </row>
    <row r="613">
      <c r="A613" s="99">
        <v>612.0</v>
      </c>
      <c r="B613" s="15"/>
      <c r="C613" s="15"/>
      <c r="D613" s="105">
        <v>1.0</v>
      </c>
      <c r="E613" s="102">
        <v>17.0</v>
      </c>
      <c r="F613" s="107">
        <v>3.0</v>
      </c>
      <c r="G613" s="15" t="str">
        <f t="shared" si="1"/>
        <v>17003</v>
      </c>
      <c r="H613" s="23" t="s">
        <v>704</v>
      </c>
      <c r="I613" s="23" t="s">
        <v>48</v>
      </c>
      <c r="J613" s="23" t="s">
        <v>203</v>
      </c>
      <c r="K613" s="23" t="str">
        <f t="shared" si="14"/>
        <v>Alexander, IL</v>
      </c>
      <c r="L613" s="23">
        <v>24.0</v>
      </c>
      <c r="M613" s="23" t="s">
        <v>63</v>
      </c>
      <c r="N613" s="23">
        <v>2.0</v>
      </c>
      <c r="O613" s="23">
        <v>22.0</v>
      </c>
      <c r="P613" s="23" t="s">
        <v>63</v>
      </c>
      <c r="Q613" s="23">
        <v>6.0</v>
      </c>
      <c r="R613" s="23" t="s">
        <v>63</v>
      </c>
      <c r="S613" s="23" t="s">
        <v>63</v>
      </c>
      <c r="T613" s="32" t="s">
        <v>63</v>
      </c>
      <c r="U613" s="23">
        <v>2.0</v>
      </c>
      <c r="V613" s="23" t="s">
        <v>63</v>
      </c>
      <c r="W613" s="23" t="s">
        <v>63</v>
      </c>
      <c r="X613" s="23" t="s">
        <v>63</v>
      </c>
      <c r="Y613" s="35">
        <v>6.0</v>
      </c>
      <c r="Z613" s="32" t="s">
        <v>63</v>
      </c>
      <c r="AA613" s="38"/>
      <c r="AB613" s="38"/>
      <c r="AC613" s="38"/>
      <c r="AD613" s="38"/>
      <c r="AE613" s="38"/>
      <c r="AF613" s="38"/>
      <c r="AG613" s="38"/>
      <c r="AH613" s="38"/>
      <c r="AI613" s="38"/>
      <c r="AJ613" s="38"/>
      <c r="AK613" s="38"/>
    </row>
    <row r="614">
      <c r="A614" s="99">
        <v>613.0</v>
      </c>
      <c r="B614" s="15"/>
      <c r="C614" s="15"/>
      <c r="D614" s="105">
        <v>1.0</v>
      </c>
      <c r="E614" s="102">
        <v>17.0</v>
      </c>
      <c r="F614" s="107">
        <v>5.0</v>
      </c>
      <c r="G614" s="15" t="str">
        <f t="shared" si="1"/>
        <v>17005</v>
      </c>
      <c r="H614" s="23" t="s">
        <v>705</v>
      </c>
      <c r="I614" s="23" t="s">
        <v>48</v>
      </c>
      <c r="J614" s="23" t="s">
        <v>203</v>
      </c>
      <c r="K614" s="23" t="str">
        <f t="shared" si="14"/>
        <v>Bond, IL</v>
      </c>
      <c r="L614" s="23">
        <v>57.0</v>
      </c>
      <c r="M614" s="23" t="s">
        <v>63</v>
      </c>
      <c r="N614" s="23">
        <v>25.0</v>
      </c>
      <c r="O614" s="23">
        <v>32.0</v>
      </c>
      <c r="P614" s="23" t="s">
        <v>63</v>
      </c>
      <c r="Q614" s="23">
        <v>16.0</v>
      </c>
      <c r="R614" s="23">
        <v>5.0</v>
      </c>
      <c r="S614" s="23" t="s">
        <v>63</v>
      </c>
      <c r="T614" s="32" t="s">
        <v>63</v>
      </c>
      <c r="U614" s="23">
        <v>16.0</v>
      </c>
      <c r="V614" s="23" t="s">
        <v>63</v>
      </c>
      <c r="W614" s="23" t="s">
        <v>63</v>
      </c>
      <c r="X614" s="23" t="s">
        <v>63</v>
      </c>
      <c r="Y614" s="35">
        <v>24.0</v>
      </c>
      <c r="Z614" s="32" t="s">
        <v>63</v>
      </c>
      <c r="AA614" s="38"/>
      <c r="AB614" s="38"/>
      <c r="AC614" s="38"/>
      <c r="AD614" s="38"/>
      <c r="AE614" s="38"/>
      <c r="AF614" s="38"/>
      <c r="AG614" s="38"/>
      <c r="AH614" s="38"/>
      <c r="AI614" s="38"/>
      <c r="AJ614" s="38"/>
      <c r="AK614" s="38"/>
    </row>
    <row r="615">
      <c r="A615" s="99">
        <v>614.0</v>
      </c>
      <c r="B615" s="15"/>
      <c r="C615" s="15"/>
      <c r="D615" s="105">
        <v>1.0</v>
      </c>
      <c r="E615" s="102">
        <v>17.0</v>
      </c>
      <c r="F615" s="107">
        <v>7.0</v>
      </c>
      <c r="G615" s="15" t="str">
        <f t="shared" si="1"/>
        <v>17007</v>
      </c>
      <c r="H615" s="23" t="s">
        <v>246</v>
      </c>
      <c r="I615" s="23" t="s">
        <v>48</v>
      </c>
      <c r="J615" s="23" t="s">
        <v>203</v>
      </c>
      <c r="K615" s="23" t="str">
        <f t="shared" si="14"/>
        <v>Boone, IL</v>
      </c>
      <c r="L615" s="23">
        <v>51.0</v>
      </c>
      <c r="M615" s="23" t="s">
        <v>63</v>
      </c>
      <c r="N615" s="23">
        <v>20.0</v>
      </c>
      <c r="O615" s="23">
        <v>28.0</v>
      </c>
      <c r="P615" s="23" t="s">
        <v>63</v>
      </c>
      <c r="Q615" s="23">
        <v>33.0</v>
      </c>
      <c r="R615" s="23">
        <v>5.0</v>
      </c>
      <c r="S615" s="23" t="s">
        <v>63</v>
      </c>
      <c r="T615" s="32" t="s">
        <v>63</v>
      </c>
      <c r="U615" s="23">
        <v>15.0</v>
      </c>
      <c r="V615" s="23" t="s">
        <v>63</v>
      </c>
      <c r="W615" s="23" t="s">
        <v>63</v>
      </c>
      <c r="X615" s="23" t="s">
        <v>63</v>
      </c>
      <c r="Y615" s="35">
        <v>27.0</v>
      </c>
      <c r="Z615" s="32" t="s">
        <v>63</v>
      </c>
      <c r="AA615" s="38"/>
      <c r="AB615" s="38"/>
      <c r="AC615" s="38"/>
      <c r="AD615" s="38"/>
      <c r="AE615" s="38"/>
      <c r="AF615" s="38"/>
      <c r="AG615" s="38"/>
      <c r="AH615" s="38"/>
      <c r="AI615" s="38"/>
      <c r="AJ615" s="38"/>
      <c r="AK615" s="38"/>
    </row>
    <row r="616">
      <c r="A616" s="99">
        <v>615.0</v>
      </c>
      <c r="B616" s="15"/>
      <c r="C616" s="15"/>
      <c r="D616" s="105">
        <v>1.0</v>
      </c>
      <c r="E616" s="102">
        <v>17.0</v>
      </c>
      <c r="F616" s="107">
        <v>9.0</v>
      </c>
      <c r="G616" s="15" t="str">
        <f t="shared" si="1"/>
        <v>17009</v>
      </c>
      <c r="H616" s="23" t="s">
        <v>706</v>
      </c>
      <c r="I616" s="23" t="s">
        <v>48</v>
      </c>
      <c r="J616" s="23" t="s">
        <v>203</v>
      </c>
      <c r="K616" s="23" t="str">
        <f t="shared" si="14"/>
        <v>Brown, IL</v>
      </c>
      <c r="L616" s="23">
        <v>18.0</v>
      </c>
      <c r="M616" s="23" t="s">
        <v>63</v>
      </c>
      <c r="N616" s="23">
        <v>12.0</v>
      </c>
      <c r="O616" s="23">
        <v>5.0</v>
      </c>
      <c r="P616" s="23" t="s">
        <v>63</v>
      </c>
      <c r="Q616" s="23">
        <v>7.0</v>
      </c>
      <c r="R616" s="23">
        <v>3.0</v>
      </c>
      <c r="S616" s="23" t="s">
        <v>63</v>
      </c>
      <c r="T616" s="32" t="s">
        <v>63</v>
      </c>
      <c r="U616" s="23" t="s">
        <v>63</v>
      </c>
      <c r="V616" s="23" t="s">
        <v>63</v>
      </c>
      <c r="W616" s="23" t="s">
        <v>63</v>
      </c>
      <c r="X616" s="23" t="s">
        <v>63</v>
      </c>
      <c r="Y616" s="35">
        <v>7.0</v>
      </c>
      <c r="Z616" s="32" t="s">
        <v>63</v>
      </c>
      <c r="AA616" s="38"/>
      <c r="AB616" s="38"/>
      <c r="AC616" s="38"/>
      <c r="AD616" s="38"/>
      <c r="AE616" s="38"/>
      <c r="AF616" s="38"/>
      <c r="AG616" s="38"/>
      <c r="AH616" s="38"/>
      <c r="AI616" s="38"/>
      <c r="AJ616" s="38"/>
      <c r="AK616" s="38"/>
    </row>
    <row r="617">
      <c r="A617" s="99">
        <v>616.0</v>
      </c>
      <c r="B617" s="15"/>
      <c r="C617" s="15"/>
      <c r="D617" s="105">
        <v>1.0</v>
      </c>
      <c r="E617" s="102">
        <v>17.0</v>
      </c>
      <c r="F617" s="107">
        <v>11.0</v>
      </c>
      <c r="G617" s="15" t="str">
        <f t="shared" si="1"/>
        <v>17011</v>
      </c>
      <c r="H617" s="23" t="s">
        <v>707</v>
      </c>
      <c r="I617" s="23" t="s">
        <v>48</v>
      </c>
      <c r="J617" s="23" t="s">
        <v>203</v>
      </c>
      <c r="K617" s="23" t="str">
        <f t="shared" si="14"/>
        <v>Bureau, IL</v>
      </c>
      <c r="L617" s="23">
        <v>59.0</v>
      </c>
      <c r="M617" s="23" t="s">
        <v>63</v>
      </c>
      <c r="N617" s="23">
        <v>22.0</v>
      </c>
      <c r="O617" s="23">
        <v>37.0</v>
      </c>
      <c r="P617" s="23" t="s">
        <v>63</v>
      </c>
      <c r="Q617" s="23">
        <v>31.0</v>
      </c>
      <c r="R617" s="23">
        <v>5.0</v>
      </c>
      <c r="S617" s="23" t="s">
        <v>63</v>
      </c>
      <c r="T617" s="32" t="s">
        <v>63</v>
      </c>
      <c r="U617" s="23">
        <v>22.0</v>
      </c>
      <c r="V617" s="23" t="s">
        <v>63</v>
      </c>
      <c r="W617" s="23" t="s">
        <v>63</v>
      </c>
      <c r="X617" s="23" t="s">
        <v>63</v>
      </c>
      <c r="Y617" s="35">
        <v>65.0</v>
      </c>
      <c r="Z617" s="32" t="s">
        <v>63</v>
      </c>
      <c r="AA617" s="38"/>
      <c r="AB617" s="38"/>
      <c r="AC617" s="38"/>
      <c r="AD617" s="38"/>
      <c r="AE617" s="38"/>
      <c r="AF617" s="38"/>
      <c r="AG617" s="38"/>
      <c r="AH617" s="38"/>
      <c r="AI617" s="38"/>
      <c r="AJ617" s="38"/>
      <c r="AK617" s="38"/>
    </row>
    <row r="618">
      <c r="A618" s="99">
        <v>617.0</v>
      </c>
      <c r="B618" s="15"/>
      <c r="C618" s="15"/>
      <c r="D618" s="105">
        <v>1.0</v>
      </c>
      <c r="E618" s="102">
        <v>17.0</v>
      </c>
      <c r="F618" s="107">
        <v>13.0</v>
      </c>
      <c r="G618" s="15" t="str">
        <f t="shared" si="1"/>
        <v>17013</v>
      </c>
      <c r="H618" s="23" t="s">
        <v>93</v>
      </c>
      <c r="I618" s="23" t="s">
        <v>48</v>
      </c>
      <c r="J618" s="23" t="s">
        <v>203</v>
      </c>
      <c r="K618" s="23" t="str">
        <f t="shared" si="14"/>
        <v>Calhoun, IL</v>
      </c>
      <c r="L618" s="23">
        <v>11.0</v>
      </c>
      <c r="M618" s="23" t="s">
        <v>63</v>
      </c>
      <c r="N618" s="23">
        <v>1.0</v>
      </c>
      <c r="O618" s="23">
        <v>10.0</v>
      </c>
      <c r="P618" s="23" t="s">
        <v>63</v>
      </c>
      <c r="Q618" s="23">
        <v>2.0</v>
      </c>
      <c r="R618" s="23">
        <v>3.0</v>
      </c>
      <c r="S618" s="23" t="s">
        <v>63</v>
      </c>
      <c r="T618" s="32" t="s">
        <v>63</v>
      </c>
      <c r="U618" s="23">
        <v>1.0</v>
      </c>
      <c r="V618" s="23" t="s">
        <v>63</v>
      </c>
      <c r="W618" s="23" t="s">
        <v>63</v>
      </c>
      <c r="X618" s="23" t="s">
        <v>63</v>
      </c>
      <c r="Y618" s="35">
        <v>8.0</v>
      </c>
      <c r="Z618" s="32" t="s">
        <v>63</v>
      </c>
      <c r="AA618" s="38"/>
      <c r="AB618" s="38"/>
      <c r="AC618" s="38"/>
      <c r="AD618" s="38"/>
      <c r="AE618" s="38"/>
      <c r="AF618" s="38"/>
      <c r="AG618" s="38"/>
      <c r="AH618" s="38"/>
      <c r="AI618" s="38"/>
      <c r="AJ618" s="38"/>
      <c r="AK618" s="38"/>
    </row>
    <row r="619">
      <c r="A619" s="99">
        <v>618.0</v>
      </c>
      <c r="B619" s="15"/>
      <c r="C619" s="15"/>
      <c r="D619" s="105">
        <v>1.0</v>
      </c>
      <c r="E619" s="102">
        <v>17.0</v>
      </c>
      <c r="F619" s="107">
        <v>15.0</v>
      </c>
      <c r="G619" s="15" t="str">
        <f t="shared" si="1"/>
        <v>17015</v>
      </c>
      <c r="H619" s="23" t="s">
        <v>248</v>
      </c>
      <c r="I619" s="23" t="s">
        <v>48</v>
      </c>
      <c r="J619" s="23" t="s">
        <v>203</v>
      </c>
      <c r="K619" s="23" t="str">
        <f t="shared" si="14"/>
        <v>Carroll, IL</v>
      </c>
      <c r="L619" s="23">
        <v>24.0</v>
      </c>
      <c r="M619" s="23" t="s">
        <v>63</v>
      </c>
      <c r="N619" s="23">
        <v>6.0</v>
      </c>
      <c r="O619" s="23">
        <v>18.0</v>
      </c>
      <c r="P619" s="23" t="s">
        <v>63</v>
      </c>
      <c r="Q619" s="23">
        <v>8.0</v>
      </c>
      <c r="R619" s="23">
        <v>1.0</v>
      </c>
      <c r="S619" s="23" t="s">
        <v>63</v>
      </c>
      <c r="T619" s="32" t="s">
        <v>63</v>
      </c>
      <c r="U619" s="23">
        <v>8.0</v>
      </c>
      <c r="V619" s="23" t="s">
        <v>63</v>
      </c>
      <c r="W619" s="23" t="s">
        <v>63</v>
      </c>
      <c r="X619" s="23" t="s">
        <v>63</v>
      </c>
      <c r="Y619" s="35">
        <v>32.0</v>
      </c>
      <c r="Z619" s="32" t="s">
        <v>63</v>
      </c>
      <c r="AA619" s="38"/>
      <c r="AB619" s="38"/>
      <c r="AC619" s="38"/>
      <c r="AD619" s="38"/>
      <c r="AE619" s="38"/>
      <c r="AF619" s="38"/>
      <c r="AG619" s="38"/>
      <c r="AH619" s="38"/>
      <c r="AI619" s="38"/>
      <c r="AJ619" s="38"/>
      <c r="AK619" s="38"/>
    </row>
    <row r="620">
      <c r="A620" s="99">
        <v>619.0</v>
      </c>
      <c r="B620" s="15"/>
      <c r="C620" s="15"/>
      <c r="D620" s="105">
        <v>1.0</v>
      </c>
      <c r="E620" s="102">
        <v>17.0</v>
      </c>
      <c r="F620" s="107">
        <v>17.0</v>
      </c>
      <c r="G620" s="15" t="str">
        <f t="shared" si="1"/>
        <v>17017</v>
      </c>
      <c r="H620" s="23" t="s">
        <v>708</v>
      </c>
      <c r="I620" s="23" t="s">
        <v>48</v>
      </c>
      <c r="J620" s="23" t="s">
        <v>203</v>
      </c>
      <c r="K620" s="23" t="str">
        <f t="shared" si="14"/>
        <v>Cass, IL</v>
      </c>
      <c r="L620" s="23">
        <v>21.0</v>
      </c>
      <c r="M620" s="23" t="s">
        <v>63</v>
      </c>
      <c r="N620" s="23">
        <v>7.0</v>
      </c>
      <c r="O620" s="23">
        <v>14.0</v>
      </c>
      <c r="P620" s="23" t="s">
        <v>63</v>
      </c>
      <c r="Q620" s="23">
        <v>7.0</v>
      </c>
      <c r="R620" s="23">
        <v>3.0</v>
      </c>
      <c r="S620" s="23" t="s">
        <v>63</v>
      </c>
      <c r="T620" s="32" t="s">
        <v>63</v>
      </c>
      <c r="U620" s="23">
        <v>8.0</v>
      </c>
      <c r="V620" s="23" t="s">
        <v>63</v>
      </c>
      <c r="W620" s="23" t="s">
        <v>63</v>
      </c>
      <c r="X620" s="23" t="s">
        <v>63</v>
      </c>
      <c r="Y620" s="35">
        <v>27.0</v>
      </c>
      <c r="Z620" s="32" t="s">
        <v>63</v>
      </c>
      <c r="AA620" s="38"/>
      <c r="AB620" s="38"/>
      <c r="AC620" s="38"/>
      <c r="AD620" s="38"/>
      <c r="AE620" s="38"/>
      <c r="AF620" s="38"/>
      <c r="AG620" s="38"/>
      <c r="AH620" s="38"/>
      <c r="AI620" s="38"/>
      <c r="AJ620" s="38"/>
      <c r="AK620" s="38"/>
    </row>
    <row r="621">
      <c r="A621" s="99">
        <v>620.0</v>
      </c>
      <c r="B621" s="15"/>
      <c r="C621" s="15"/>
      <c r="D621" s="105">
        <v>1.0</v>
      </c>
      <c r="E621" s="102">
        <v>17.0</v>
      </c>
      <c r="F621" s="107">
        <v>19.0</v>
      </c>
      <c r="G621" s="15" t="str">
        <f t="shared" si="1"/>
        <v>17019</v>
      </c>
      <c r="H621" s="23" t="s">
        <v>709</v>
      </c>
      <c r="I621" s="23" t="s">
        <v>48</v>
      </c>
      <c r="J621" s="23" t="s">
        <v>203</v>
      </c>
      <c r="K621" s="23" t="str">
        <f t="shared" si="14"/>
        <v>Champaign, IL</v>
      </c>
      <c r="L621" s="23">
        <v>489.0</v>
      </c>
      <c r="M621" s="23" t="s">
        <v>63</v>
      </c>
      <c r="N621" s="23">
        <v>225.0</v>
      </c>
      <c r="O621" s="23">
        <v>213.0</v>
      </c>
      <c r="P621" s="23" t="s">
        <v>63</v>
      </c>
      <c r="Q621" s="23">
        <v>165.0</v>
      </c>
      <c r="R621" s="23">
        <v>41.0</v>
      </c>
      <c r="S621" s="23" t="s">
        <v>63</v>
      </c>
      <c r="T621" s="32" t="s">
        <v>63</v>
      </c>
      <c r="U621" s="23">
        <v>60.0</v>
      </c>
      <c r="V621" s="23" t="s">
        <v>63</v>
      </c>
      <c r="W621" s="23" t="s">
        <v>63</v>
      </c>
      <c r="X621" s="23" t="s">
        <v>63</v>
      </c>
      <c r="Y621" s="35">
        <v>154.0</v>
      </c>
      <c r="Z621" s="32" t="s">
        <v>63</v>
      </c>
      <c r="AA621" s="38"/>
      <c r="AB621" s="38"/>
      <c r="AC621" s="38"/>
      <c r="AD621" s="38"/>
      <c r="AE621" s="38"/>
      <c r="AF621" s="38"/>
      <c r="AG621" s="38"/>
      <c r="AH621" s="38"/>
      <c r="AI621" s="38"/>
      <c r="AJ621" s="38"/>
      <c r="AK621" s="38"/>
    </row>
    <row r="622">
      <c r="A622" s="99">
        <v>621.0</v>
      </c>
      <c r="B622" s="15"/>
      <c r="C622" s="15"/>
      <c r="D622" s="105">
        <v>1.0</v>
      </c>
      <c r="E622" s="102">
        <v>17.0</v>
      </c>
      <c r="F622" s="107">
        <v>21.0</v>
      </c>
      <c r="G622" s="15" t="str">
        <f t="shared" si="1"/>
        <v>17021</v>
      </c>
      <c r="H622" s="23" t="s">
        <v>710</v>
      </c>
      <c r="I622" s="23" t="s">
        <v>48</v>
      </c>
      <c r="J622" s="23" t="s">
        <v>203</v>
      </c>
      <c r="K622" s="23" t="str">
        <f t="shared" si="14"/>
        <v>Christian, IL</v>
      </c>
      <c r="L622" s="23">
        <v>137.0</v>
      </c>
      <c r="M622" s="23" t="s">
        <v>63</v>
      </c>
      <c r="N622" s="23">
        <v>47.0</v>
      </c>
      <c r="O622" s="23">
        <v>87.0</v>
      </c>
      <c r="P622" s="23" t="s">
        <v>63</v>
      </c>
      <c r="Q622" s="23">
        <v>54.0</v>
      </c>
      <c r="R622" s="23">
        <v>15.0</v>
      </c>
      <c r="S622" s="23" t="s">
        <v>63</v>
      </c>
      <c r="T622" s="32" t="s">
        <v>63</v>
      </c>
      <c r="U622" s="23">
        <v>17.0</v>
      </c>
      <c r="V622" s="23" t="s">
        <v>63</v>
      </c>
      <c r="W622" s="23" t="s">
        <v>63</v>
      </c>
      <c r="X622" s="23" t="s">
        <v>63</v>
      </c>
      <c r="Y622" s="35">
        <v>54.0</v>
      </c>
      <c r="Z622" s="32" t="s">
        <v>63</v>
      </c>
      <c r="AA622" s="38"/>
      <c r="AB622" s="38"/>
      <c r="AC622" s="38"/>
      <c r="AD622" s="38"/>
      <c r="AE622" s="38"/>
      <c r="AF622" s="38"/>
      <c r="AG622" s="38"/>
      <c r="AH622" s="38"/>
      <c r="AI622" s="38"/>
      <c r="AJ622" s="38"/>
      <c r="AK622" s="38"/>
    </row>
    <row r="623">
      <c r="A623" s="99">
        <v>622.0</v>
      </c>
      <c r="B623" s="15"/>
      <c r="C623" s="15"/>
      <c r="D623" s="105">
        <v>1.0</v>
      </c>
      <c r="E623" s="102">
        <v>17.0</v>
      </c>
      <c r="F623" s="107">
        <v>23.0</v>
      </c>
      <c r="G623" s="15" t="str">
        <f t="shared" si="1"/>
        <v>17023</v>
      </c>
      <c r="H623" s="23" t="s">
        <v>253</v>
      </c>
      <c r="I623" s="23" t="s">
        <v>48</v>
      </c>
      <c r="J623" s="23" t="s">
        <v>203</v>
      </c>
      <c r="K623" s="23" t="str">
        <f t="shared" si="14"/>
        <v>Clark, IL</v>
      </c>
      <c r="L623" s="23">
        <v>38.0</v>
      </c>
      <c r="M623" s="23" t="s">
        <v>63</v>
      </c>
      <c r="N623" s="23">
        <v>15.0</v>
      </c>
      <c r="O623" s="23">
        <v>23.0</v>
      </c>
      <c r="P623" s="23" t="s">
        <v>63</v>
      </c>
      <c r="Q623" s="23">
        <v>17.0</v>
      </c>
      <c r="R623" s="23">
        <v>3.0</v>
      </c>
      <c r="S623" s="23" t="s">
        <v>63</v>
      </c>
      <c r="T623" s="32" t="s">
        <v>63</v>
      </c>
      <c r="U623" s="23">
        <v>12.0</v>
      </c>
      <c r="V623" s="23" t="s">
        <v>63</v>
      </c>
      <c r="W623" s="23" t="s">
        <v>63</v>
      </c>
      <c r="X623" s="23" t="s">
        <v>63</v>
      </c>
      <c r="Y623" s="35">
        <v>28.0</v>
      </c>
      <c r="Z623" s="32" t="s">
        <v>63</v>
      </c>
      <c r="AA623" s="38"/>
      <c r="AB623" s="38"/>
      <c r="AC623" s="38"/>
      <c r="AD623" s="38"/>
      <c r="AE623" s="38"/>
      <c r="AF623" s="38"/>
      <c r="AG623" s="38"/>
      <c r="AH623" s="38"/>
      <c r="AI623" s="38"/>
      <c r="AJ623" s="38"/>
      <c r="AK623" s="38"/>
    </row>
    <row r="624">
      <c r="A624" s="99">
        <v>623.0</v>
      </c>
      <c r="B624" s="15"/>
      <c r="C624" s="15"/>
      <c r="D624" s="105">
        <v>1.0</v>
      </c>
      <c r="E624" s="102">
        <v>17.0</v>
      </c>
      <c r="F624" s="107">
        <v>25.0</v>
      </c>
      <c r="G624" s="15" t="str">
        <f t="shared" si="1"/>
        <v>17025</v>
      </c>
      <c r="H624" s="23" t="s">
        <v>112</v>
      </c>
      <c r="I624" s="23" t="s">
        <v>48</v>
      </c>
      <c r="J624" s="23" t="s">
        <v>203</v>
      </c>
      <c r="K624" s="23" t="str">
        <f t="shared" si="14"/>
        <v>Clay, IL</v>
      </c>
      <c r="L624" s="23">
        <v>52.0</v>
      </c>
      <c r="M624" s="23" t="s">
        <v>63</v>
      </c>
      <c r="N624" s="23">
        <v>17.0</v>
      </c>
      <c r="O624" s="23">
        <v>35.0</v>
      </c>
      <c r="P624" s="23" t="s">
        <v>63</v>
      </c>
      <c r="Q624" s="23">
        <v>19.0</v>
      </c>
      <c r="R624" s="23">
        <v>2.0</v>
      </c>
      <c r="S624" s="23" t="s">
        <v>63</v>
      </c>
      <c r="T624" s="32" t="s">
        <v>63</v>
      </c>
      <c r="U624" s="23">
        <v>7.0</v>
      </c>
      <c r="V624" s="23" t="s">
        <v>63</v>
      </c>
      <c r="W624" s="23" t="s">
        <v>63</v>
      </c>
      <c r="X624" s="23" t="s">
        <v>63</v>
      </c>
      <c r="Y624" s="35">
        <v>28.0</v>
      </c>
      <c r="Z624" s="32" t="s">
        <v>63</v>
      </c>
      <c r="AA624" s="38"/>
      <c r="AB624" s="38"/>
      <c r="AC624" s="38"/>
      <c r="AD624" s="38"/>
      <c r="AE624" s="38"/>
      <c r="AF624" s="38"/>
      <c r="AG624" s="38"/>
      <c r="AH624" s="38"/>
      <c r="AI624" s="38"/>
      <c r="AJ624" s="38"/>
      <c r="AK624" s="38"/>
    </row>
    <row r="625">
      <c r="A625" s="99">
        <v>624.0</v>
      </c>
      <c r="B625" s="15"/>
      <c r="C625" s="15"/>
      <c r="D625" s="105">
        <v>1.0</v>
      </c>
      <c r="E625" s="102">
        <v>17.0</v>
      </c>
      <c r="F625" s="107">
        <v>27.0</v>
      </c>
      <c r="G625" s="15" t="str">
        <f t="shared" si="1"/>
        <v>17027</v>
      </c>
      <c r="H625" s="23" t="s">
        <v>711</v>
      </c>
      <c r="I625" s="23" t="s">
        <v>48</v>
      </c>
      <c r="J625" s="23" t="s">
        <v>203</v>
      </c>
      <c r="K625" s="23" t="str">
        <f t="shared" si="14"/>
        <v>Clinton, IL</v>
      </c>
      <c r="L625" s="35">
        <v>67.0</v>
      </c>
      <c r="M625" s="23" t="s">
        <v>63</v>
      </c>
      <c r="N625" s="23">
        <v>28.0</v>
      </c>
      <c r="O625" s="23">
        <v>38.0</v>
      </c>
      <c r="P625" s="23" t="s">
        <v>63</v>
      </c>
      <c r="Q625" s="23">
        <v>25.0</v>
      </c>
      <c r="R625" s="23">
        <v>5.0</v>
      </c>
      <c r="S625" s="23" t="s">
        <v>63</v>
      </c>
      <c r="T625" s="32" t="s">
        <v>63</v>
      </c>
      <c r="U625" s="23">
        <v>28.0</v>
      </c>
      <c r="V625" s="23" t="s">
        <v>63</v>
      </c>
      <c r="W625" s="23" t="s">
        <v>63</v>
      </c>
      <c r="X625" s="23" t="s">
        <v>63</v>
      </c>
      <c r="Y625" s="35">
        <v>34.0</v>
      </c>
      <c r="Z625" s="32" t="s">
        <v>63</v>
      </c>
      <c r="AA625" s="38"/>
      <c r="AB625" s="38"/>
      <c r="AC625" s="38"/>
      <c r="AD625" s="38"/>
      <c r="AE625" s="38"/>
      <c r="AF625" s="38"/>
      <c r="AG625" s="38"/>
      <c r="AH625" s="38"/>
      <c r="AI625" s="38"/>
      <c r="AJ625" s="38"/>
      <c r="AK625" s="38"/>
    </row>
    <row r="626">
      <c r="A626" s="99">
        <v>625.0</v>
      </c>
      <c r="B626" s="15"/>
      <c r="C626" s="15"/>
      <c r="D626" s="105">
        <v>1.0</v>
      </c>
      <c r="E626" s="102">
        <v>17.0</v>
      </c>
      <c r="F626" s="107">
        <v>29.0</v>
      </c>
      <c r="G626" s="15" t="str">
        <f t="shared" si="1"/>
        <v>17029</v>
      </c>
      <c r="H626" s="23" t="s">
        <v>712</v>
      </c>
      <c r="I626" s="23" t="s">
        <v>48</v>
      </c>
      <c r="J626" s="23" t="s">
        <v>203</v>
      </c>
      <c r="K626" s="23" t="str">
        <f t="shared" si="14"/>
        <v>Coles, IL</v>
      </c>
      <c r="L626" s="35">
        <v>138.0</v>
      </c>
      <c r="M626" s="23" t="s">
        <v>63</v>
      </c>
      <c r="N626" s="23">
        <v>63.0</v>
      </c>
      <c r="O626" s="23">
        <v>75.0</v>
      </c>
      <c r="P626" s="23" t="s">
        <v>63</v>
      </c>
      <c r="Q626" s="23">
        <v>37.0</v>
      </c>
      <c r="R626" s="23">
        <v>12.0</v>
      </c>
      <c r="S626" s="23" t="s">
        <v>63</v>
      </c>
      <c r="T626" s="32" t="s">
        <v>63</v>
      </c>
      <c r="U626" s="23">
        <v>44.0</v>
      </c>
      <c r="V626" s="23" t="s">
        <v>63</v>
      </c>
      <c r="W626" s="23" t="s">
        <v>63</v>
      </c>
      <c r="X626" s="23" t="s">
        <v>63</v>
      </c>
      <c r="Y626" s="35">
        <v>65.0</v>
      </c>
      <c r="Z626" s="32" t="s">
        <v>63</v>
      </c>
      <c r="AA626" s="38"/>
      <c r="AB626" s="38"/>
      <c r="AC626" s="38"/>
      <c r="AD626" s="38"/>
      <c r="AE626" s="38"/>
      <c r="AF626" s="38"/>
      <c r="AG626" s="38"/>
      <c r="AH626" s="38"/>
      <c r="AI626" s="38"/>
      <c r="AJ626" s="38"/>
      <c r="AK626" s="38"/>
    </row>
    <row r="627">
      <c r="A627" s="99">
        <v>626.0</v>
      </c>
      <c r="B627" s="15"/>
      <c r="C627" s="15"/>
      <c r="D627" s="105">
        <v>1.0</v>
      </c>
      <c r="E627" s="102">
        <v>17.0</v>
      </c>
      <c r="F627" s="107">
        <v>31.0</v>
      </c>
      <c r="G627" s="15" t="str">
        <f t="shared" si="1"/>
        <v>17031</v>
      </c>
      <c r="H627" s="23" t="s">
        <v>202</v>
      </c>
      <c r="I627" s="23" t="s">
        <v>48</v>
      </c>
      <c r="J627" s="23" t="s">
        <v>203</v>
      </c>
      <c r="K627" s="23" t="str">
        <f t="shared" si="14"/>
        <v>Cook, IL</v>
      </c>
      <c r="L627" s="23">
        <v>2458.0</v>
      </c>
      <c r="M627" s="23" t="s">
        <v>63</v>
      </c>
      <c r="N627" s="23">
        <v>1044.0</v>
      </c>
      <c r="O627" s="23">
        <v>1191.0</v>
      </c>
      <c r="P627" s="23" t="s">
        <v>63</v>
      </c>
      <c r="Q627" s="23">
        <v>1282.0</v>
      </c>
      <c r="R627" s="23">
        <v>169.0</v>
      </c>
      <c r="S627" s="23" t="s">
        <v>63</v>
      </c>
      <c r="T627" s="32" t="s">
        <v>63</v>
      </c>
      <c r="U627" s="23">
        <v>908.0</v>
      </c>
      <c r="V627" s="23" t="s">
        <v>63</v>
      </c>
      <c r="W627" s="23" t="s">
        <v>63</v>
      </c>
      <c r="X627" s="23" t="s">
        <v>63</v>
      </c>
      <c r="Y627" s="35">
        <v>2414.0</v>
      </c>
      <c r="Z627" s="32" t="s">
        <v>63</v>
      </c>
      <c r="AA627" s="38"/>
      <c r="AB627" s="38"/>
      <c r="AC627" s="38"/>
      <c r="AD627" s="38"/>
      <c r="AE627" s="38"/>
      <c r="AF627" s="38"/>
      <c r="AG627" s="38"/>
      <c r="AH627" s="38"/>
      <c r="AI627" s="38"/>
      <c r="AJ627" s="38"/>
      <c r="AK627" s="38"/>
    </row>
    <row r="628">
      <c r="A628" s="99">
        <v>627.0</v>
      </c>
      <c r="B628" s="15"/>
      <c r="C628" s="15"/>
      <c r="D628" s="105">
        <v>1.0</v>
      </c>
      <c r="E628" s="102">
        <v>17.0</v>
      </c>
      <c r="F628" s="107">
        <v>33.0</v>
      </c>
      <c r="G628" s="15" t="str">
        <f t="shared" si="1"/>
        <v>17033</v>
      </c>
      <c r="H628" s="23" t="s">
        <v>263</v>
      </c>
      <c r="I628" s="23" t="s">
        <v>48</v>
      </c>
      <c r="J628" s="23" t="s">
        <v>203</v>
      </c>
      <c r="K628" s="23" t="str">
        <f t="shared" si="14"/>
        <v>Crawford, IL</v>
      </c>
      <c r="L628" s="35">
        <v>63.0</v>
      </c>
      <c r="M628" s="23" t="s">
        <v>63</v>
      </c>
      <c r="N628" s="35">
        <v>20.0</v>
      </c>
      <c r="O628" s="35">
        <v>42.0</v>
      </c>
      <c r="P628" s="23" t="s">
        <v>63</v>
      </c>
      <c r="Q628" s="23">
        <v>25.0</v>
      </c>
      <c r="R628" s="23">
        <v>15.0</v>
      </c>
      <c r="S628" s="23" t="s">
        <v>63</v>
      </c>
      <c r="T628" s="32" t="s">
        <v>63</v>
      </c>
      <c r="U628" s="23">
        <v>10.0</v>
      </c>
      <c r="V628" s="23" t="s">
        <v>63</v>
      </c>
      <c r="W628" s="23" t="s">
        <v>63</v>
      </c>
      <c r="X628" s="23" t="s">
        <v>63</v>
      </c>
      <c r="Y628" s="35">
        <v>31.0</v>
      </c>
      <c r="Z628" s="32" t="s">
        <v>63</v>
      </c>
      <c r="AA628" s="38"/>
      <c r="AB628" s="38"/>
      <c r="AC628" s="38"/>
      <c r="AD628" s="38"/>
      <c r="AE628" s="38"/>
      <c r="AF628" s="38"/>
      <c r="AG628" s="38"/>
      <c r="AH628" s="38"/>
      <c r="AI628" s="38"/>
      <c r="AJ628" s="38"/>
      <c r="AK628" s="38"/>
    </row>
    <row r="629">
      <c r="A629" s="99">
        <v>628.0</v>
      </c>
      <c r="B629" s="15"/>
      <c r="C629" s="15"/>
      <c r="D629" s="105">
        <v>1.0</v>
      </c>
      <c r="E629" s="102">
        <v>17.0</v>
      </c>
      <c r="F629" s="107">
        <v>35.0</v>
      </c>
      <c r="G629" s="15" t="str">
        <f t="shared" si="1"/>
        <v>17035</v>
      </c>
      <c r="H629" s="23" t="s">
        <v>713</v>
      </c>
      <c r="I629" s="23" t="s">
        <v>48</v>
      </c>
      <c r="J629" s="23" t="s">
        <v>203</v>
      </c>
      <c r="K629" s="23" t="str">
        <f t="shared" si="14"/>
        <v>Cumberland, IL</v>
      </c>
      <c r="L629" s="35">
        <v>44.0</v>
      </c>
      <c r="M629" s="23" t="s">
        <v>63</v>
      </c>
      <c r="N629" s="23">
        <v>17.0</v>
      </c>
      <c r="O629" s="35">
        <v>27.0</v>
      </c>
      <c r="P629" s="23" t="s">
        <v>63</v>
      </c>
      <c r="Q629" s="23">
        <v>15.0</v>
      </c>
      <c r="R629" s="23">
        <v>2.0</v>
      </c>
      <c r="S629" s="23" t="s">
        <v>63</v>
      </c>
      <c r="T629" s="32" t="s">
        <v>63</v>
      </c>
      <c r="U629" s="23">
        <v>9.0</v>
      </c>
      <c r="V629" s="23" t="s">
        <v>63</v>
      </c>
      <c r="W629" s="23" t="s">
        <v>63</v>
      </c>
      <c r="X629" s="23" t="s">
        <v>63</v>
      </c>
      <c r="Y629" s="35">
        <v>17.0</v>
      </c>
      <c r="Z629" s="32" t="s">
        <v>63</v>
      </c>
      <c r="AA629" s="38"/>
      <c r="AB629" s="38"/>
      <c r="AC629" s="38"/>
      <c r="AD629" s="38"/>
      <c r="AE629" s="38"/>
      <c r="AF629" s="38"/>
      <c r="AG629" s="38"/>
      <c r="AH629" s="38"/>
      <c r="AI629" s="38"/>
      <c r="AJ629" s="38"/>
      <c r="AK629" s="38"/>
    </row>
    <row r="630">
      <c r="A630" s="99">
        <v>629.0</v>
      </c>
      <c r="B630" s="15"/>
      <c r="C630" s="15"/>
      <c r="D630" s="105">
        <v>1.0</v>
      </c>
      <c r="E630" s="102">
        <v>17.0</v>
      </c>
      <c r="F630" s="107">
        <v>37.0</v>
      </c>
      <c r="G630" s="15" t="str">
        <f t="shared" si="1"/>
        <v>17037</v>
      </c>
      <c r="H630" s="23" t="s">
        <v>131</v>
      </c>
      <c r="I630" s="23" t="s">
        <v>48</v>
      </c>
      <c r="J630" s="23" t="s">
        <v>203</v>
      </c>
      <c r="K630" s="23" t="str">
        <f t="shared" si="14"/>
        <v>De Kalb, IL</v>
      </c>
      <c r="L630" s="35">
        <v>99.0</v>
      </c>
      <c r="M630" s="23" t="s">
        <v>63</v>
      </c>
      <c r="N630" s="35">
        <v>51.0</v>
      </c>
      <c r="O630" s="35">
        <v>48.0</v>
      </c>
      <c r="P630" s="23" t="s">
        <v>63</v>
      </c>
      <c r="Q630" s="23">
        <v>49.0</v>
      </c>
      <c r="R630" s="23">
        <v>12.0</v>
      </c>
      <c r="S630" s="23" t="s">
        <v>63</v>
      </c>
      <c r="T630" s="32" t="s">
        <v>63</v>
      </c>
      <c r="U630" s="23">
        <v>31.0</v>
      </c>
      <c r="V630" s="23" t="s">
        <v>63</v>
      </c>
      <c r="W630" s="23" t="s">
        <v>63</v>
      </c>
      <c r="X630" s="23" t="s">
        <v>63</v>
      </c>
      <c r="Y630" s="35">
        <v>81.0</v>
      </c>
      <c r="Z630" s="32" t="s">
        <v>63</v>
      </c>
      <c r="AA630" s="38"/>
      <c r="AB630" s="38"/>
      <c r="AC630" s="38"/>
      <c r="AD630" s="38"/>
      <c r="AE630" s="38"/>
      <c r="AF630" s="38"/>
      <c r="AG630" s="38"/>
      <c r="AH630" s="38"/>
      <c r="AI630" s="38"/>
      <c r="AJ630" s="38"/>
      <c r="AK630" s="38"/>
    </row>
    <row r="631">
      <c r="A631" s="99">
        <v>630.0</v>
      </c>
      <c r="B631" s="15"/>
      <c r="C631" s="15"/>
      <c r="D631" s="105">
        <v>1.0</v>
      </c>
      <c r="E631" s="102">
        <v>17.0</v>
      </c>
      <c r="F631" s="107">
        <v>39.0</v>
      </c>
      <c r="G631" s="15" t="str">
        <f t="shared" si="1"/>
        <v>17039</v>
      </c>
      <c r="H631" s="23" t="s">
        <v>714</v>
      </c>
      <c r="I631" s="23" t="s">
        <v>48</v>
      </c>
      <c r="J631" s="23" t="s">
        <v>203</v>
      </c>
      <c r="K631" s="23" t="str">
        <f t="shared" si="14"/>
        <v>Dewitt, IL</v>
      </c>
      <c r="L631" s="23">
        <v>47.0</v>
      </c>
      <c r="M631" s="23" t="s">
        <v>63</v>
      </c>
      <c r="N631" s="23">
        <v>19.0</v>
      </c>
      <c r="O631" s="23">
        <v>27.0</v>
      </c>
      <c r="P631" s="23" t="s">
        <v>63</v>
      </c>
      <c r="Q631" s="23">
        <v>15.0</v>
      </c>
      <c r="R631" s="23">
        <v>7.0</v>
      </c>
      <c r="S631" s="23" t="s">
        <v>63</v>
      </c>
      <c r="T631" s="32" t="s">
        <v>63</v>
      </c>
      <c r="U631" s="23">
        <v>11.0</v>
      </c>
      <c r="V631" s="23" t="s">
        <v>63</v>
      </c>
      <c r="W631" s="23" t="s">
        <v>63</v>
      </c>
      <c r="X631" s="23" t="s">
        <v>63</v>
      </c>
      <c r="Y631" s="35">
        <v>23.0</v>
      </c>
      <c r="Z631" s="32" t="s">
        <v>63</v>
      </c>
      <c r="AA631" s="38"/>
      <c r="AB631" s="38"/>
      <c r="AC631" s="38"/>
      <c r="AD631" s="38"/>
      <c r="AE631" s="38"/>
      <c r="AF631" s="38"/>
      <c r="AG631" s="38"/>
      <c r="AH631" s="38"/>
      <c r="AI631" s="38"/>
      <c r="AJ631" s="38"/>
      <c r="AK631" s="38"/>
    </row>
    <row r="632">
      <c r="A632" s="99">
        <v>631.0</v>
      </c>
      <c r="B632" s="15"/>
      <c r="C632" s="15"/>
      <c r="D632" s="105">
        <v>1.0</v>
      </c>
      <c r="E632" s="102">
        <v>17.0</v>
      </c>
      <c r="F632" s="107">
        <v>41.0</v>
      </c>
      <c r="G632" s="15" t="str">
        <f t="shared" si="1"/>
        <v>17041</v>
      </c>
      <c r="H632" s="23" t="s">
        <v>412</v>
      </c>
      <c r="I632" s="23" t="s">
        <v>48</v>
      </c>
      <c r="J632" s="23" t="s">
        <v>203</v>
      </c>
      <c r="K632" s="23" t="str">
        <f t="shared" si="14"/>
        <v>Douglas, IL</v>
      </c>
      <c r="L632" s="23">
        <v>56.0</v>
      </c>
      <c r="M632" s="23" t="s">
        <v>63</v>
      </c>
      <c r="N632" s="23">
        <v>27.0</v>
      </c>
      <c r="O632" s="23">
        <v>29.0</v>
      </c>
      <c r="P632" s="23" t="s">
        <v>63</v>
      </c>
      <c r="Q632" s="23">
        <v>24.0</v>
      </c>
      <c r="R632" s="23">
        <v>4.0</v>
      </c>
      <c r="S632" s="23" t="s">
        <v>63</v>
      </c>
      <c r="T632" s="32" t="s">
        <v>63</v>
      </c>
      <c r="U632" s="23">
        <v>13.0</v>
      </c>
      <c r="V632" s="23" t="s">
        <v>63</v>
      </c>
      <c r="W632" s="23" t="s">
        <v>63</v>
      </c>
      <c r="X632" s="23" t="s">
        <v>63</v>
      </c>
      <c r="Y632" s="35">
        <v>39.0</v>
      </c>
      <c r="Z632" s="32" t="s">
        <v>63</v>
      </c>
      <c r="AA632" s="38"/>
      <c r="AB632" s="38"/>
      <c r="AC632" s="38"/>
      <c r="AD632" s="38"/>
      <c r="AE632" s="38"/>
      <c r="AF632" s="38"/>
      <c r="AG632" s="38"/>
      <c r="AH632" s="38"/>
      <c r="AI632" s="38"/>
      <c r="AJ632" s="38"/>
      <c r="AK632" s="38"/>
    </row>
    <row r="633">
      <c r="A633" s="99">
        <v>632.0</v>
      </c>
      <c r="B633" s="15"/>
      <c r="C633" s="15"/>
      <c r="D633" s="105">
        <v>1.0</v>
      </c>
      <c r="E633" s="102">
        <v>17.0</v>
      </c>
      <c r="F633" s="107">
        <v>43.0</v>
      </c>
      <c r="G633" s="15" t="str">
        <f t="shared" si="1"/>
        <v>17043</v>
      </c>
      <c r="H633" s="23" t="s">
        <v>715</v>
      </c>
      <c r="I633" s="23" t="s">
        <v>48</v>
      </c>
      <c r="J633" s="23" t="s">
        <v>203</v>
      </c>
      <c r="K633" s="23" t="str">
        <f t="shared" si="14"/>
        <v>Du Page, IL</v>
      </c>
      <c r="L633" s="23">
        <v>342.0</v>
      </c>
      <c r="M633" s="23" t="s">
        <v>63</v>
      </c>
      <c r="N633" s="23">
        <v>158.0</v>
      </c>
      <c r="O633" s="23">
        <v>156.0</v>
      </c>
      <c r="P633" s="23" t="s">
        <v>63</v>
      </c>
      <c r="Q633" s="23">
        <v>227.0</v>
      </c>
      <c r="R633" s="23">
        <v>26.0</v>
      </c>
      <c r="S633" s="23" t="s">
        <v>63</v>
      </c>
      <c r="T633" s="32" t="s">
        <v>63</v>
      </c>
      <c r="U633" s="23">
        <v>159.0</v>
      </c>
      <c r="V633" s="23" t="s">
        <v>63</v>
      </c>
      <c r="W633" s="23" t="s">
        <v>63</v>
      </c>
      <c r="X633" s="23" t="s">
        <v>63</v>
      </c>
      <c r="Y633" s="35">
        <v>364.0</v>
      </c>
      <c r="Z633" s="32" t="s">
        <v>63</v>
      </c>
      <c r="AA633" s="38"/>
      <c r="AB633" s="38"/>
      <c r="AC633" s="38"/>
      <c r="AD633" s="38"/>
      <c r="AE633" s="38"/>
      <c r="AF633" s="38"/>
      <c r="AG633" s="38"/>
      <c r="AH633" s="38"/>
      <c r="AI633" s="38"/>
      <c r="AJ633" s="38"/>
      <c r="AK633" s="38"/>
    </row>
    <row r="634">
      <c r="A634" s="99">
        <v>633.0</v>
      </c>
      <c r="B634" s="15"/>
      <c r="C634" s="15"/>
      <c r="D634" s="105">
        <v>1.0</v>
      </c>
      <c r="E634" s="102">
        <v>17.0</v>
      </c>
      <c r="F634" s="107">
        <v>45.0</v>
      </c>
      <c r="G634" s="15" t="str">
        <f t="shared" si="1"/>
        <v>17045</v>
      </c>
      <c r="H634" s="23" t="s">
        <v>716</v>
      </c>
      <c r="I634" s="23" t="s">
        <v>48</v>
      </c>
      <c r="J634" s="23" t="s">
        <v>203</v>
      </c>
      <c r="K634" s="23" t="str">
        <f t="shared" si="14"/>
        <v>Edgar, IL</v>
      </c>
      <c r="L634" s="23">
        <v>53.0</v>
      </c>
      <c r="M634" s="23" t="s">
        <v>63</v>
      </c>
      <c r="N634" s="23">
        <v>10.0</v>
      </c>
      <c r="O634" s="23">
        <v>43.0</v>
      </c>
      <c r="P634" s="23" t="s">
        <v>63</v>
      </c>
      <c r="Q634" s="23">
        <v>13.0</v>
      </c>
      <c r="R634" s="23">
        <v>6.0</v>
      </c>
      <c r="S634" s="23" t="s">
        <v>63</v>
      </c>
      <c r="T634" s="32" t="s">
        <v>63</v>
      </c>
      <c r="U634" s="23">
        <v>14.0</v>
      </c>
      <c r="V634" s="23" t="s">
        <v>63</v>
      </c>
      <c r="W634" s="23" t="s">
        <v>63</v>
      </c>
      <c r="X634" s="23" t="s">
        <v>63</v>
      </c>
      <c r="Y634" s="35">
        <v>33.0</v>
      </c>
      <c r="Z634" s="32" t="s">
        <v>63</v>
      </c>
      <c r="AA634" s="38"/>
      <c r="AB634" s="38"/>
      <c r="AC634" s="38"/>
      <c r="AD634" s="38"/>
      <c r="AE634" s="38"/>
      <c r="AF634" s="38"/>
      <c r="AG634" s="38"/>
      <c r="AH634" s="38"/>
      <c r="AI634" s="38"/>
      <c r="AJ634" s="38"/>
      <c r="AK634" s="38"/>
    </row>
    <row r="635">
      <c r="A635" s="99">
        <v>634.0</v>
      </c>
      <c r="B635" s="15"/>
      <c r="C635" s="15"/>
      <c r="D635" s="105">
        <v>1.0</v>
      </c>
      <c r="E635" s="102">
        <v>17.0</v>
      </c>
      <c r="F635" s="107">
        <v>47.0</v>
      </c>
      <c r="G635" s="15" t="str">
        <f t="shared" si="1"/>
        <v>17047</v>
      </c>
      <c r="H635" s="23" t="s">
        <v>717</v>
      </c>
      <c r="I635" s="23" t="s">
        <v>48</v>
      </c>
      <c r="J635" s="23" t="s">
        <v>203</v>
      </c>
      <c r="K635" s="23" t="str">
        <f t="shared" si="14"/>
        <v>Edwards, IL</v>
      </c>
      <c r="L635" s="23">
        <v>13.0</v>
      </c>
      <c r="M635" s="23" t="s">
        <v>63</v>
      </c>
      <c r="N635" s="23">
        <v>4.0</v>
      </c>
      <c r="O635" s="23">
        <v>9.0</v>
      </c>
      <c r="P635" s="23" t="s">
        <v>63</v>
      </c>
      <c r="Q635" s="23">
        <v>5.0</v>
      </c>
      <c r="R635" s="23">
        <v>2.0</v>
      </c>
      <c r="S635" s="23" t="s">
        <v>63</v>
      </c>
      <c r="T635" s="32" t="s">
        <v>63</v>
      </c>
      <c r="U635" s="23">
        <v>2.0</v>
      </c>
      <c r="V635" s="23" t="s">
        <v>63</v>
      </c>
      <c r="W635" s="23" t="s">
        <v>63</v>
      </c>
      <c r="X635" s="23" t="s">
        <v>63</v>
      </c>
      <c r="Y635" s="35">
        <v>16.0</v>
      </c>
      <c r="Z635" s="32" t="s">
        <v>63</v>
      </c>
      <c r="AA635" s="38"/>
      <c r="AB635" s="38"/>
      <c r="AC635" s="38"/>
      <c r="AD635" s="38"/>
      <c r="AE635" s="38"/>
      <c r="AF635" s="38"/>
      <c r="AG635" s="38"/>
      <c r="AH635" s="38"/>
      <c r="AI635" s="38"/>
      <c r="AJ635" s="38"/>
      <c r="AK635" s="38"/>
    </row>
    <row r="636">
      <c r="A636" s="99">
        <v>635.0</v>
      </c>
      <c r="B636" s="15"/>
      <c r="C636" s="15"/>
      <c r="D636" s="105">
        <v>1.0</v>
      </c>
      <c r="E636" s="102">
        <v>17.0</v>
      </c>
      <c r="F636" s="107">
        <v>49.0</v>
      </c>
      <c r="G636" s="15" t="str">
        <f t="shared" si="1"/>
        <v>17049</v>
      </c>
      <c r="H636" s="23" t="s">
        <v>569</v>
      </c>
      <c r="I636" s="23" t="s">
        <v>48</v>
      </c>
      <c r="J636" s="23" t="s">
        <v>203</v>
      </c>
      <c r="K636" s="23" t="str">
        <f t="shared" si="14"/>
        <v>Effingham, IL</v>
      </c>
      <c r="L636" s="23">
        <v>89.0</v>
      </c>
      <c r="M636" s="23" t="s">
        <v>63</v>
      </c>
      <c r="N636" s="23">
        <v>39.0</v>
      </c>
      <c r="O636" s="23">
        <v>49.0</v>
      </c>
      <c r="P636" s="23" t="s">
        <v>63</v>
      </c>
      <c r="Q636" s="23">
        <v>36.0</v>
      </c>
      <c r="R636" s="23">
        <v>13.0</v>
      </c>
      <c r="S636" s="23" t="s">
        <v>63</v>
      </c>
      <c r="T636" s="32" t="s">
        <v>63</v>
      </c>
      <c r="U636" s="23">
        <v>20.0</v>
      </c>
      <c r="V636" s="23" t="s">
        <v>63</v>
      </c>
      <c r="W636" s="23" t="s">
        <v>63</v>
      </c>
      <c r="X636" s="23" t="s">
        <v>63</v>
      </c>
      <c r="Y636" s="35">
        <v>46.0</v>
      </c>
      <c r="Z636" s="32" t="s">
        <v>63</v>
      </c>
      <c r="AA636" s="38"/>
      <c r="AB636" s="38"/>
      <c r="AC636" s="38"/>
      <c r="AD636" s="38"/>
      <c r="AE636" s="38"/>
      <c r="AF636" s="38"/>
      <c r="AG636" s="38"/>
      <c r="AH636" s="38"/>
      <c r="AI636" s="38"/>
      <c r="AJ636" s="38"/>
      <c r="AK636" s="38"/>
    </row>
    <row r="637">
      <c r="A637" s="99">
        <v>636.0</v>
      </c>
      <c r="B637" s="15"/>
      <c r="C637" s="15"/>
      <c r="D637" s="105">
        <v>1.0</v>
      </c>
      <c r="E637" s="102">
        <v>17.0</v>
      </c>
      <c r="F637" s="107">
        <v>51.0</v>
      </c>
      <c r="G637" s="15" t="str">
        <f t="shared" si="1"/>
        <v>17051</v>
      </c>
      <c r="H637" s="23" t="s">
        <v>135</v>
      </c>
      <c r="I637" s="23" t="s">
        <v>48</v>
      </c>
      <c r="J637" s="23" t="s">
        <v>203</v>
      </c>
      <c r="K637" s="23" t="str">
        <f t="shared" si="14"/>
        <v>Fayette, IL</v>
      </c>
      <c r="L637" s="23">
        <v>134.0</v>
      </c>
      <c r="M637" s="23" t="s">
        <v>63</v>
      </c>
      <c r="N637" s="23">
        <v>53.0</v>
      </c>
      <c r="O637" s="23">
        <v>81.0</v>
      </c>
      <c r="P637" s="23" t="s">
        <v>63</v>
      </c>
      <c r="Q637" s="23">
        <v>43.0</v>
      </c>
      <c r="R637" s="23">
        <v>15.0</v>
      </c>
      <c r="S637" s="23" t="s">
        <v>63</v>
      </c>
      <c r="T637" s="32" t="s">
        <v>63</v>
      </c>
      <c r="U637" s="23">
        <v>23.0</v>
      </c>
      <c r="V637" s="23" t="s">
        <v>63</v>
      </c>
      <c r="W637" s="23" t="s">
        <v>63</v>
      </c>
      <c r="X637" s="23" t="s">
        <v>63</v>
      </c>
      <c r="Y637" s="35">
        <v>31.0</v>
      </c>
      <c r="Z637" s="32" t="s">
        <v>63</v>
      </c>
      <c r="AA637" s="38"/>
      <c r="AB637" s="38"/>
      <c r="AC637" s="38"/>
      <c r="AD637" s="38"/>
      <c r="AE637" s="38"/>
      <c r="AF637" s="38"/>
      <c r="AG637" s="38"/>
      <c r="AH637" s="38"/>
      <c r="AI637" s="38"/>
      <c r="AJ637" s="38"/>
      <c r="AK637" s="38"/>
    </row>
    <row r="638">
      <c r="A638" s="99">
        <v>637.0</v>
      </c>
      <c r="B638" s="15"/>
      <c r="C638" s="15"/>
      <c r="D638" s="105">
        <v>1.0</v>
      </c>
      <c r="E638" s="102">
        <v>17.0</v>
      </c>
      <c r="F638" s="107">
        <v>53.0</v>
      </c>
      <c r="G638" s="15" t="str">
        <f t="shared" si="1"/>
        <v>17053</v>
      </c>
      <c r="H638" s="23" t="s">
        <v>718</v>
      </c>
      <c r="I638" s="23" t="s">
        <v>48</v>
      </c>
      <c r="J638" s="23" t="s">
        <v>203</v>
      </c>
      <c r="K638" s="23" t="str">
        <f t="shared" si="14"/>
        <v>Ford, IL</v>
      </c>
      <c r="L638" s="23">
        <v>33.0</v>
      </c>
      <c r="M638" s="23" t="s">
        <v>63</v>
      </c>
      <c r="N638" s="23">
        <v>19.0</v>
      </c>
      <c r="O638" s="23">
        <v>14.0</v>
      </c>
      <c r="P638" s="23" t="s">
        <v>63</v>
      </c>
      <c r="Q638" s="23">
        <v>12.0</v>
      </c>
      <c r="R638" s="23">
        <v>2.0</v>
      </c>
      <c r="S638" s="23" t="s">
        <v>63</v>
      </c>
      <c r="T638" s="32" t="s">
        <v>63</v>
      </c>
      <c r="U638" s="23">
        <v>10.0</v>
      </c>
      <c r="V638" s="23" t="s">
        <v>63</v>
      </c>
      <c r="W638" s="23" t="s">
        <v>63</v>
      </c>
      <c r="X638" s="23" t="s">
        <v>63</v>
      </c>
      <c r="Y638" s="35">
        <v>26.0</v>
      </c>
      <c r="Z638" s="32" t="s">
        <v>63</v>
      </c>
      <c r="AA638" s="38"/>
      <c r="AB638" s="38"/>
      <c r="AC638" s="38"/>
      <c r="AD638" s="38"/>
      <c r="AE638" s="38"/>
      <c r="AF638" s="38"/>
      <c r="AG638" s="38"/>
      <c r="AH638" s="38"/>
      <c r="AI638" s="38"/>
      <c r="AJ638" s="38"/>
      <c r="AK638" s="38"/>
    </row>
    <row r="639">
      <c r="A639" s="99">
        <v>638.0</v>
      </c>
      <c r="B639" s="15"/>
      <c r="C639" s="15"/>
      <c r="D639" s="105">
        <v>1.0</v>
      </c>
      <c r="E639" s="102">
        <v>17.0</v>
      </c>
      <c r="F639" s="107">
        <v>55.0</v>
      </c>
      <c r="G639" s="15" t="str">
        <f t="shared" si="1"/>
        <v>17055</v>
      </c>
      <c r="H639" s="23" t="s">
        <v>136</v>
      </c>
      <c r="I639" s="23" t="s">
        <v>48</v>
      </c>
      <c r="J639" s="23" t="s">
        <v>203</v>
      </c>
      <c r="K639" s="23" t="str">
        <f t="shared" si="14"/>
        <v>Franklin, IL</v>
      </c>
      <c r="L639" s="23">
        <v>120.0</v>
      </c>
      <c r="M639" s="23" t="s">
        <v>63</v>
      </c>
      <c r="N639" s="23">
        <v>34.0</v>
      </c>
      <c r="O639" s="23">
        <v>77.0</v>
      </c>
      <c r="P639" s="23" t="s">
        <v>63</v>
      </c>
      <c r="Q639" s="23">
        <v>44.0</v>
      </c>
      <c r="R639" s="23">
        <v>5.0</v>
      </c>
      <c r="S639" s="23" t="s">
        <v>63</v>
      </c>
      <c r="T639" s="32" t="s">
        <v>63</v>
      </c>
      <c r="U639" s="23">
        <v>27.0</v>
      </c>
      <c r="V639" s="23" t="s">
        <v>63</v>
      </c>
      <c r="W639" s="23" t="s">
        <v>63</v>
      </c>
      <c r="X639" s="23" t="s">
        <v>63</v>
      </c>
      <c r="Y639" s="35">
        <v>78.0</v>
      </c>
      <c r="Z639" s="32" t="s">
        <v>63</v>
      </c>
      <c r="AA639" s="38"/>
      <c r="AB639" s="38"/>
      <c r="AC639" s="38"/>
      <c r="AD639" s="38"/>
      <c r="AE639" s="38"/>
      <c r="AF639" s="38"/>
      <c r="AG639" s="38"/>
      <c r="AH639" s="38"/>
      <c r="AI639" s="38"/>
      <c r="AJ639" s="38"/>
      <c r="AK639" s="38"/>
    </row>
    <row r="640">
      <c r="A640" s="99">
        <v>639.0</v>
      </c>
      <c r="B640" s="15"/>
      <c r="C640" s="15"/>
      <c r="D640" s="105">
        <v>1.0</v>
      </c>
      <c r="E640" s="102">
        <v>17.0</v>
      </c>
      <c r="F640" s="107">
        <v>57.0</v>
      </c>
      <c r="G640" s="15" t="str">
        <f t="shared" si="1"/>
        <v>17057</v>
      </c>
      <c r="H640" s="23" t="s">
        <v>275</v>
      </c>
      <c r="I640" s="23" t="s">
        <v>48</v>
      </c>
      <c r="J640" s="23" t="s">
        <v>203</v>
      </c>
      <c r="K640" s="23" t="str">
        <f t="shared" si="14"/>
        <v>Fulton, IL</v>
      </c>
      <c r="L640" s="23">
        <v>119.0</v>
      </c>
      <c r="M640" s="23" t="s">
        <v>63</v>
      </c>
      <c r="N640" s="23">
        <v>24.0</v>
      </c>
      <c r="O640" s="23">
        <v>82.0</v>
      </c>
      <c r="P640" s="23" t="s">
        <v>63</v>
      </c>
      <c r="Q640" s="23">
        <v>40.0</v>
      </c>
      <c r="R640" s="23">
        <v>8.0</v>
      </c>
      <c r="S640" s="23" t="s">
        <v>63</v>
      </c>
      <c r="T640" s="32" t="s">
        <v>63</v>
      </c>
      <c r="U640" s="23">
        <v>24.0</v>
      </c>
      <c r="V640" s="23" t="s">
        <v>63</v>
      </c>
      <c r="W640" s="23" t="s">
        <v>63</v>
      </c>
      <c r="X640" s="23" t="s">
        <v>63</v>
      </c>
      <c r="Y640" s="35">
        <v>52.0</v>
      </c>
      <c r="Z640" s="32" t="s">
        <v>63</v>
      </c>
      <c r="AA640" s="38"/>
      <c r="AB640" s="38"/>
      <c r="AC640" s="38"/>
      <c r="AD640" s="38"/>
      <c r="AE640" s="38"/>
      <c r="AF640" s="38"/>
      <c r="AG640" s="38"/>
      <c r="AH640" s="38"/>
      <c r="AI640" s="38"/>
      <c r="AJ640" s="38"/>
      <c r="AK640" s="38"/>
    </row>
    <row r="641">
      <c r="A641" s="99">
        <v>640.0</v>
      </c>
      <c r="B641" s="15"/>
      <c r="C641" s="15"/>
      <c r="D641" s="105">
        <v>1.0</v>
      </c>
      <c r="E641" s="102">
        <v>17.0</v>
      </c>
      <c r="F641" s="107">
        <v>59.0</v>
      </c>
      <c r="G641" s="15" t="str">
        <f t="shared" si="1"/>
        <v>17059</v>
      </c>
      <c r="H641" s="23" t="s">
        <v>719</v>
      </c>
      <c r="I641" s="23" t="s">
        <v>48</v>
      </c>
      <c r="J641" s="23" t="s">
        <v>203</v>
      </c>
      <c r="K641" s="23" t="str">
        <f t="shared" si="14"/>
        <v>Gallatin, IL</v>
      </c>
      <c r="L641" s="23">
        <v>10.0</v>
      </c>
      <c r="M641" s="23" t="s">
        <v>63</v>
      </c>
      <c r="N641" s="23">
        <v>2.0</v>
      </c>
      <c r="O641" s="23">
        <v>8.0</v>
      </c>
      <c r="P641" s="23" t="s">
        <v>63</v>
      </c>
      <c r="Q641" s="23">
        <v>2.0</v>
      </c>
      <c r="R641" s="23">
        <v>2.0</v>
      </c>
      <c r="S641" s="23" t="s">
        <v>63</v>
      </c>
      <c r="T641" s="32" t="s">
        <v>63</v>
      </c>
      <c r="U641" s="23">
        <v>3.0</v>
      </c>
      <c r="V641" s="23" t="s">
        <v>63</v>
      </c>
      <c r="W641" s="23" t="s">
        <v>63</v>
      </c>
      <c r="X641" s="23" t="s">
        <v>63</v>
      </c>
      <c r="Y641" s="35">
        <v>5.0</v>
      </c>
      <c r="Z641" s="32" t="s">
        <v>63</v>
      </c>
      <c r="AA641" s="38"/>
      <c r="AB641" s="38"/>
      <c r="AC641" s="38"/>
      <c r="AD641" s="38"/>
      <c r="AE641" s="38"/>
      <c r="AF641" s="38"/>
      <c r="AG641" s="38"/>
      <c r="AH641" s="38"/>
      <c r="AI641" s="38"/>
      <c r="AJ641" s="38"/>
      <c r="AK641" s="38"/>
    </row>
    <row r="642">
      <c r="A642" s="99">
        <v>641.0</v>
      </c>
      <c r="B642" s="15"/>
      <c r="C642" s="15"/>
      <c r="D642" s="105">
        <v>1.0</v>
      </c>
      <c r="E642" s="102">
        <v>17.0</v>
      </c>
      <c r="F642" s="107">
        <v>61.0</v>
      </c>
      <c r="G642" s="15" t="str">
        <f t="shared" si="1"/>
        <v>17061</v>
      </c>
      <c r="H642" s="23" t="s">
        <v>138</v>
      </c>
      <c r="I642" s="23" t="s">
        <v>48</v>
      </c>
      <c r="J642" s="23" t="s">
        <v>203</v>
      </c>
      <c r="K642" s="23" t="str">
        <f t="shared" si="14"/>
        <v>Greene, IL</v>
      </c>
      <c r="L642" s="23">
        <v>66.0</v>
      </c>
      <c r="M642" s="23" t="s">
        <v>63</v>
      </c>
      <c r="N642" s="23">
        <v>25.0</v>
      </c>
      <c r="O642" s="23">
        <v>39.0</v>
      </c>
      <c r="P642" s="23" t="s">
        <v>63</v>
      </c>
      <c r="Q642" s="23">
        <v>21.0</v>
      </c>
      <c r="R642" s="23">
        <v>4.0</v>
      </c>
      <c r="S642" s="23" t="s">
        <v>63</v>
      </c>
      <c r="T642" s="32" t="s">
        <v>63</v>
      </c>
      <c r="U642" s="23">
        <v>9.0</v>
      </c>
      <c r="V642" s="23" t="s">
        <v>63</v>
      </c>
      <c r="W642" s="23" t="s">
        <v>63</v>
      </c>
      <c r="X642" s="23" t="s">
        <v>63</v>
      </c>
      <c r="Y642" s="35">
        <v>19.0</v>
      </c>
      <c r="Z642" s="32" t="s">
        <v>63</v>
      </c>
      <c r="AA642" s="38"/>
      <c r="AB642" s="38"/>
      <c r="AC642" s="38"/>
      <c r="AD642" s="38"/>
      <c r="AE642" s="38"/>
      <c r="AF642" s="38"/>
      <c r="AG642" s="38"/>
      <c r="AH642" s="38"/>
      <c r="AI642" s="38"/>
      <c r="AJ642" s="38"/>
      <c r="AK642" s="38"/>
    </row>
    <row r="643">
      <c r="A643" s="99">
        <v>642.0</v>
      </c>
      <c r="B643" s="15"/>
      <c r="C643" s="15"/>
      <c r="D643" s="105">
        <v>1.0</v>
      </c>
      <c r="E643" s="102">
        <v>17.0</v>
      </c>
      <c r="F643" s="107">
        <v>63.0</v>
      </c>
      <c r="G643" s="15" t="str">
        <f t="shared" si="1"/>
        <v>17063</v>
      </c>
      <c r="H643" s="23" t="s">
        <v>720</v>
      </c>
      <c r="I643" s="23" t="s">
        <v>48</v>
      </c>
      <c r="J643" s="23" t="s">
        <v>203</v>
      </c>
      <c r="K643" s="23" t="str">
        <f t="shared" si="14"/>
        <v>Grundy, IL</v>
      </c>
      <c r="L643" s="23">
        <v>36.0</v>
      </c>
      <c r="M643" s="23" t="s">
        <v>63</v>
      </c>
      <c r="N643" s="23">
        <v>21.0</v>
      </c>
      <c r="O643" s="23">
        <v>15.0</v>
      </c>
      <c r="P643" s="23" t="s">
        <v>63</v>
      </c>
      <c r="Q643" s="23">
        <v>27.0</v>
      </c>
      <c r="R643" s="23">
        <v>6.0</v>
      </c>
      <c r="S643" s="23" t="s">
        <v>63</v>
      </c>
      <c r="T643" s="32" t="s">
        <v>63</v>
      </c>
      <c r="U643" s="23">
        <v>13.0</v>
      </c>
      <c r="V643" s="23" t="s">
        <v>63</v>
      </c>
      <c r="W643" s="23" t="s">
        <v>63</v>
      </c>
      <c r="X643" s="23" t="s">
        <v>63</v>
      </c>
      <c r="Y643" s="35">
        <v>36.0</v>
      </c>
      <c r="Z643" s="32" t="s">
        <v>63</v>
      </c>
      <c r="AA643" s="38"/>
      <c r="AB643" s="38"/>
      <c r="AC643" s="38"/>
      <c r="AD643" s="38"/>
      <c r="AE643" s="38"/>
      <c r="AF643" s="38"/>
      <c r="AG643" s="38"/>
      <c r="AH643" s="38"/>
      <c r="AI643" s="38"/>
      <c r="AJ643" s="38"/>
      <c r="AK643" s="38"/>
    </row>
    <row r="644">
      <c r="A644" s="99">
        <v>643.0</v>
      </c>
      <c r="B644" s="15"/>
      <c r="C644" s="15"/>
      <c r="D644" s="105">
        <v>1.0</v>
      </c>
      <c r="E644" s="102">
        <v>17.0</v>
      </c>
      <c r="F644" s="107">
        <v>65.0</v>
      </c>
      <c r="G644" s="15" t="str">
        <f t="shared" si="1"/>
        <v>17065</v>
      </c>
      <c r="H644" s="23" t="s">
        <v>497</v>
      </c>
      <c r="I644" s="23" t="s">
        <v>48</v>
      </c>
      <c r="J644" s="23" t="s">
        <v>203</v>
      </c>
      <c r="K644" s="23" t="str">
        <f t="shared" si="14"/>
        <v>Hamilton, IL</v>
      </c>
      <c r="L644" s="23">
        <v>19.0</v>
      </c>
      <c r="M644" s="23" t="s">
        <v>63</v>
      </c>
      <c r="N644" s="23">
        <v>9.0</v>
      </c>
      <c r="O644" s="23">
        <v>10.0</v>
      </c>
      <c r="P644" s="23" t="s">
        <v>63</v>
      </c>
      <c r="Q644" s="23">
        <v>7.0</v>
      </c>
      <c r="R644" s="23">
        <v>5.0</v>
      </c>
      <c r="S644" s="23" t="s">
        <v>63</v>
      </c>
      <c r="T644" s="32" t="s">
        <v>63</v>
      </c>
      <c r="U644" s="23">
        <v>4.0</v>
      </c>
      <c r="V644" s="23" t="s">
        <v>63</v>
      </c>
      <c r="W644" s="23" t="s">
        <v>63</v>
      </c>
      <c r="X644" s="23" t="s">
        <v>63</v>
      </c>
      <c r="Y644" s="35">
        <v>14.0</v>
      </c>
      <c r="Z644" s="32" t="s">
        <v>63</v>
      </c>
      <c r="AA644" s="38"/>
      <c r="AB644" s="38"/>
      <c r="AC644" s="38"/>
      <c r="AD644" s="38"/>
      <c r="AE644" s="38"/>
      <c r="AF644" s="38"/>
      <c r="AG644" s="38"/>
      <c r="AH644" s="38"/>
      <c r="AI644" s="38"/>
      <c r="AJ644" s="38"/>
      <c r="AK644" s="38"/>
    </row>
    <row r="645">
      <c r="A645" s="99">
        <v>644.0</v>
      </c>
      <c r="B645" s="15"/>
      <c r="C645" s="15"/>
      <c r="D645" s="105">
        <v>1.0</v>
      </c>
      <c r="E645" s="102">
        <v>17.0</v>
      </c>
      <c r="F645" s="107">
        <v>67.0</v>
      </c>
      <c r="G645" s="15" t="str">
        <f t="shared" si="1"/>
        <v>17067</v>
      </c>
      <c r="H645" s="23" t="s">
        <v>587</v>
      </c>
      <c r="I645" s="23" t="s">
        <v>48</v>
      </c>
      <c r="J645" s="23" t="s">
        <v>203</v>
      </c>
      <c r="K645" s="23" t="str">
        <f t="shared" si="14"/>
        <v>Hancock, IL</v>
      </c>
      <c r="L645" s="23">
        <v>48.0</v>
      </c>
      <c r="M645" s="23" t="s">
        <v>63</v>
      </c>
      <c r="N645" s="23">
        <v>19.0</v>
      </c>
      <c r="O645" s="23">
        <v>29.0</v>
      </c>
      <c r="P645" s="23" t="s">
        <v>63</v>
      </c>
      <c r="Q645" s="23">
        <v>28.0</v>
      </c>
      <c r="R645" s="23">
        <v>6.0</v>
      </c>
      <c r="S645" s="23" t="s">
        <v>63</v>
      </c>
      <c r="T645" s="32" t="s">
        <v>63</v>
      </c>
      <c r="U645" s="23">
        <v>12.0</v>
      </c>
      <c r="V645" s="23" t="s">
        <v>63</v>
      </c>
      <c r="W645" s="23" t="s">
        <v>63</v>
      </c>
      <c r="X645" s="23" t="s">
        <v>63</v>
      </c>
      <c r="Y645" s="35">
        <v>50.0</v>
      </c>
      <c r="Z645" s="32" t="s">
        <v>63</v>
      </c>
      <c r="AA645" s="38"/>
      <c r="AB645" s="38"/>
      <c r="AC645" s="38"/>
      <c r="AD645" s="38"/>
      <c r="AE645" s="38"/>
      <c r="AF645" s="38"/>
      <c r="AG645" s="38"/>
      <c r="AH645" s="38"/>
      <c r="AI645" s="38"/>
      <c r="AJ645" s="38"/>
      <c r="AK645" s="38"/>
    </row>
    <row r="646">
      <c r="A646" s="99">
        <v>645.0</v>
      </c>
      <c r="B646" s="15"/>
      <c r="C646" s="15"/>
      <c r="D646" s="105">
        <v>1.0</v>
      </c>
      <c r="E646" s="102">
        <v>17.0</v>
      </c>
      <c r="F646" s="107">
        <v>69.0</v>
      </c>
      <c r="G646" s="15" t="str">
        <f t="shared" si="1"/>
        <v>17069</v>
      </c>
      <c r="H646" s="23" t="s">
        <v>721</v>
      </c>
      <c r="I646" s="23" t="s">
        <v>48</v>
      </c>
      <c r="J646" s="23" t="s">
        <v>203</v>
      </c>
      <c r="K646" s="23" t="str">
        <f t="shared" si="14"/>
        <v>Hardin, IL</v>
      </c>
      <c r="L646" s="23">
        <v>5.0</v>
      </c>
      <c r="M646" s="23" t="s">
        <v>63</v>
      </c>
      <c r="N646" s="23">
        <v>2.0</v>
      </c>
      <c r="O646" s="23">
        <v>3.0</v>
      </c>
      <c r="P646" s="23" t="s">
        <v>63</v>
      </c>
      <c r="Q646" s="23">
        <v>3.0</v>
      </c>
      <c r="R646" s="23" t="s">
        <v>63</v>
      </c>
      <c r="S646" s="23" t="s">
        <v>63</v>
      </c>
      <c r="T646" s="32" t="s">
        <v>63</v>
      </c>
      <c r="U646" s="23">
        <v>2.0</v>
      </c>
      <c r="V646" s="23" t="s">
        <v>63</v>
      </c>
      <c r="W646" s="23" t="s">
        <v>63</v>
      </c>
      <c r="X646" s="23" t="s">
        <v>63</v>
      </c>
      <c r="Y646" s="35">
        <v>11.0</v>
      </c>
      <c r="Z646" s="32" t="s">
        <v>63</v>
      </c>
      <c r="AA646" s="38"/>
      <c r="AB646" s="38"/>
      <c r="AC646" s="38"/>
      <c r="AD646" s="38"/>
      <c r="AE646" s="38"/>
      <c r="AF646" s="38"/>
      <c r="AG646" s="38"/>
      <c r="AH646" s="38"/>
      <c r="AI646" s="38"/>
      <c r="AJ646" s="38"/>
      <c r="AK646" s="38"/>
    </row>
    <row r="647">
      <c r="A647" s="99">
        <v>646.0</v>
      </c>
      <c r="B647" s="15"/>
      <c r="C647" s="15"/>
      <c r="D647" s="105">
        <v>1.0</v>
      </c>
      <c r="E647" s="102">
        <v>17.0</v>
      </c>
      <c r="F647" s="107">
        <v>71.0</v>
      </c>
      <c r="G647" s="15" t="str">
        <f t="shared" si="1"/>
        <v>17071</v>
      </c>
      <c r="H647" s="23" t="s">
        <v>722</v>
      </c>
      <c r="I647" s="23" t="s">
        <v>48</v>
      </c>
      <c r="J647" s="23" t="s">
        <v>203</v>
      </c>
      <c r="K647" s="23" t="str">
        <f t="shared" si="14"/>
        <v>Henderson, IL</v>
      </c>
      <c r="L647" s="23">
        <v>18.0</v>
      </c>
      <c r="M647" s="23" t="s">
        <v>63</v>
      </c>
      <c r="N647" s="23">
        <v>7.0</v>
      </c>
      <c r="O647" s="23">
        <v>11.0</v>
      </c>
      <c r="P647" s="23" t="s">
        <v>63</v>
      </c>
      <c r="Q647" s="23">
        <v>7.0</v>
      </c>
      <c r="R647" s="23" t="s">
        <v>63</v>
      </c>
      <c r="S647" s="23" t="s">
        <v>63</v>
      </c>
      <c r="T647" s="32" t="s">
        <v>63</v>
      </c>
      <c r="U647" s="23">
        <v>3.0</v>
      </c>
      <c r="V647" s="23" t="s">
        <v>63</v>
      </c>
      <c r="W647" s="23" t="s">
        <v>63</v>
      </c>
      <c r="X647" s="23" t="s">
        <v>63</v>
      </c>
      <c r="Y647" s="35">
        <v>12.0</v>
      </c>
      <c r="Z647" s="32" t="s">
        <v>63</v>
      </c>
      <c r="AA647" s="38"/>
      <c r="AB647" s="38"/>
      <c r="AC647" s="38"/>
      <c r="AD647" s="38"/>
      <c r="AE647" s="38"/>
      <c r="AF647" s="38"/>
      <c r="AG647" s="38"/>
      <c r="AH647" s="38"/>
      <c r="AI647" s="38"/>
      <c r="AJ647" s="38"/>
      <c r="AK647" s="38"/>
    </row>
    <row r="648">
      <c r="A648" s="99">
        <v>647.0</v>
      </c>
      <c r="B648" s="15"/>
      <c r="C648" s="15"/>
      <c r="D648" s="105">
        <v>1.0</v>
      </c>
      <c r="E648" s="102">
        <v>17.0</v>
      </c>
      <c r="F648" s="107">
        <v>73.0</v>
      </c>
      <c r="G648" s="15" t="str">
        <f t="shared" si="1"/>
        <v>17073</v>
      </c>
      <c r="H648" s="23" t="s">
        <v>140</v>
      </c>
      <c r="I648" s="23" t="s">
        <v>48</v>
      </c>
      <c r="J648" s="23" t="s">
        <v>203</v>
      </c>
      <c r="K648" s="23" t="str">
        <f t="shared" si="14"/>
        <v>Henry, IL</v>
      </c>
      <c r="L648" s="23">
        <v>100.0</v>
      </c>
      <c r="M648" s="23" t="s">
        <v>63</v>
      </c>
      <c r="N648" s="23">
        <v>36.0</v>
      </c>
      <c r="O648" s="23">
        <v>64.0</v>
      </c>
      <c r="P648" s="23" t="s">
        <v>63</v>
      </c>
      <c r="Q648" s="23">
        <v>48.0</v>
      </c>
      <c r="R648" s="23">
        <v>15.0</v>
      </c>
      <c r="S648" s="23" t="s">
        <v>63</v>
      </c>
      <c r="T648" s="32" t="s">
        <v>63</v>
      </c>
      <c r="U648" s="23">
        <v>37.0</v>
      </c>
      <c r="V648" s="23" t="s">
        <v>63</v>
      </c>
      <c r="W648" s="23" t="s">
        <v>63</v>
      </c>
      <c r="X648" s="23" t="s">
        <v>63</v>
      </c>
      <c r="Y648" s="35">
        <v>72.0</v>
      </c>
      <c r="Z648" s="32" t="s">
        <v>63</v>
      </c>
      <c r="AA648" s="38"/>
      <c r="AB648" s="38"/>
      <c r="AC648" s="38"/>
      <c r="AD648" s="38"/>
      <c r="AE648" s="38"/>
      <c r="AF648" s="38"/>
      <c r="AG648" s="38"/>
      <c r="AH648" s="38"/>
      <c r="AI648" s="38"/>
      <c r="AJ648" s="38"/>
      <c r="AK648" s="38"/>
    </row>
    <row r="649">
      <c r="A649" s="99">
        <v>648.0</v>
      </c>
      <c r="B649" s="15"/>
      <c r="C649" s="15"/>
      <c r="D649" s="105">
        <v>1.0</v>
      </c>
      <c r="E649" s="102">
        <v>17.0</v>
      </c>
      <c r="F649" s="107">
        <v>75.0</v>
      </c>
      <c r="G649" s="15" t="str">
        <f t="shared" si="1"/>
        <v>17075</v>
      </c>
      <c r="H649" s="23" t="s">
        <v>723</v>
      </c>
      <c r="I649" s="23" t="s">
        <v>48</v>
      </c>
      <c r="J649" s="23" t="s">
        <v>203</v>
      </c>
      <c r="K649" s="23" t="str">
        <f t="shared" si="14"/>
        <v>Iroquois, IL</v>
      </c>
      <c r="L649" s="23">
        <v>110.0</v>
      </c>
      <c r="M649" s="23" t="s">
        <v>63</v>
      </c>
      <c r="N649" s="23">
        <v>57.0</v>
      </c>
      <c r="O649" s="23">
        <v>35.0</v>
      </c>
      <c r="P649" s="23" t="s">
        <v>63</v>
      </c>
      <c r="Q649" s="23">
        <v>16.0</v>
      </c>
      <c r="R649" s="23">
        <v>7.0</v>
      </c>
      <c r="S649" s="23" t="s">
        <v>63</v>
      </c>
      <c r="T649" s="32" t="s">
        <v>63</v>
      </c>
      <c r="U649" s="23">
        <v>10.0</v>
      </c>
      <c r="V649" s="23" t="s">
        <v>63</v>
      </c>
      <c r="W649" s="23" t="s">
        <v>63</v>
      </c>
      <c r="X649" s="23" t="s">
        <v>63</v>
      </c>
      <c r="Y649" s="35">
        <v>61.0</v>
      </c>
      <c r="Z649" s="32" t="s">
        <v>63</v>
      </c>
      <c r="AA649" s="38"/>
      <c r="AB649" s="38"/>
      <c r="AC649" s="38"/>
      <c r="AD649" s="38"/>
      <c r="AE649" s="38"/>
      <c r="AF649" s="38"/>
      <c r="AG649" s="38"/>
      <c r="AH649" s="38"/>
      <c r="AI649" s="38"/>
      <c r="AJ649" s="38"/>
      <c r="AK649" s="38"/>
    </row>
    <row r="650">
      <c r="A650" s="99">
        <v>649.0</v>
      </c>
      <c r="B650" s="15"/>
      <c r="C650" s="15"/>
      <c r="D650" s="105">
        <v>1.0</v>
      </c>
      <c r="E650" s="102">
        <v>17.0</v>
      </c>
      <c r="F650" s="107">
        <v>77.0</v>
      </c>
      <c r="G650" s="15" t="str">
        <f t="shared" si="1"/>
        <v>17077</v>
      </c>
      <c r="H650" s="23" t="s">
        <v>142</v>
      </c>
      <c r="I650" s="23" t="s">
        <v>48</v>
      </c>
      <c r="J650" s="23" t="s">
        <v>203</v>
      </c>
      <c r="K650" s="23" t="str">
        <f t="shared" si="14"/>
        <v>Jackson, IL</v>
      </c>
      <c r="L650" s="23">
        <v>153.0</v>
      </c>
      <c r="M650" s="23" t="s">
        <v>63</v>
      </c>
      <c r="N650" s="23">
        <v>53.0</v>
      </c>
      <c r="O650" s="23">
        <v>98.0</v>
      </c>
      <c r="P650" s="23" t="s">
        <v>63</v>
      </c>
      <c r="Q650" s="23">
        <v>50.0</v>
      </c>
      <c r="R650" s="23">
        <v>16.0</v>
      </c>
      <c r="S650" s="23" t="s">
        <v>63</v>
      </c>
      <c r="T650" s="32" t="s">
        <v>63</v>
      </c>
      <c r="U650" s="23">
        <v>20.0</v>
      </c>
      <c r="V650" s="23" t="s">
        <v>63</v>
      </c>
      <c r="W650" s="23" t="s">
        <v>63</v>
      </c>
      <c r="X650" s="23" t="s">
        <v>63</v>
      </c>
      <c r="Y650" s="35">
        <v>78.0</v>
      </c>
      <c r="Z650" s="32" t="s">
        <v>63</v>
      </c>
      <c r="AA650" s="38"/>
      <c r="AB650" s="38"/>
      <c r="AC650" s="38"/>
      <c r="AD650" s="38"/>
      <c r="AE650" s="38"/>
      <c r="AF650" s="38"/>
      <c r="AG650" s="38"/>
      <c r="AH650" s="38"/>
      <c r="AI650" s="38"/>
      <c r="AJ650" s="38"/>
      <c r="AK650" s="38"/>
    </row>
    <row r="651">
      <c r="A651" s="99">
        <v>650.0</v>
      </c>
      <c r="B651" s="15"/>
      <c r="C651" s="15"/>
      <c r="D651" s="105">
        <v>1.0</v>
      </c>
      <c r="E651" s="102">
        <v>17.0</v>
      </c>
      <c r="F651" s="107">
        <v>79.0</v>
      </c>
      <c r="G651" s="15" t="str">
        <f t="shared" si="1"/>
        <v>17079</v>
      </c>
      <c r="H651" s="23" t="s">
        <v>593</v>
      </c>
      <c r="I651" s="23" t="s">
        <v>48</v>
      </c>
      <c r="J651" s="23" t="s">
        <v>203</v>
      </c>
      <c r="K651" s="23" t="str">
        <f t="shared" si="14"/>
        <v>Jasper, IL</v>
      </c>
      <c r="L651" s="23">
        <v>46.0</v>
      </c>
      <c r="M651" s="23" t="s">
        <v>63</v>
      </c>
      <c r="N651" s="23">
        <v>17.0</v>
      </c>
      <c r="O651" s="23">
        <v>29.0</v>
      </c>
      <c r="P651" s="23" t="s">
        <v>63</v>
      </c>
      <c r="Q651" s="23">
        <v>17.0</v>
      </c>
      <c r="R651" s="23">
        <v>4.0</v>
      </c>
      <c r="S651" s="23" t="s">
        <v>63</v>
      </c>
      <c r="T651" s="32" t="s">
        <v>63</v>
      </c>
      <c r="U651" s="23">
        <v>5.0</v>
      </c>
      <c r="V651" s="23" t="s">
        <v>63</v>
      </c>
      <c r="W651" s="23" t="s">
        <v>63</v>
      </c>
      <c r="X651" s="23" t="s">
        <v>63</v>
      </c>
      <c r="Y651" s="35">
        <v>15.0</v>
      </c>
      <c r="Z651" s="32" t="s">
        <v>63</v>
      </c>
      <c r="AA651" s="38"/>
      <c r="AB651" s="38"/>
      <c r="AC651" s="38"/>
      <c r="AD651" s="38"/>
      <c r="AE651" s="38"/>
      <c r="AF651" s="38"/>
      <c r="AG651" s="38"/>
      <c r="AH651" s="38"/>
      <c r="AI651" s="38"/>
      <c r="AJ651" s="38"/>
      <c r="AK651" s="38"/>
    </row>
    <row r="652">
      <c r="A652" s="99">
        <v>651.0</v>
      </c>
      <c r="B652" s="15"/>
      <c r="C652" s="15"/>
      <c r="D652" s="105">
        <v>1.0</v>
      </c>
      <c r="E652" s="102">
        <v>17.0</v>
      </c>
      <c r="F652" s="107">
        <v>81.0</v>
      </c>
      <c r="G652" s="15" t="str">
        <f t="shared" si="1"/>
        <v>17081</v>
      </c>
      <c r="H652" s="23" t="s">
        <v>143</v>
      </c>
      <c r="I652" s="23" t="s">
        <v>48</v>
      </c>
      <c r="J652" s="23" t="s">
        <v>203</v>
      </c>
      <c r="K652" s="23" t="str">
        <f t="shared" si="14"/>
        <v>Jefferson, IL</v>
      </c>
      <c r="L652" s="23">
        <v>181.0</v>
      </c>
      <c r="M652" s="23" t="s">
        <v>63</v>
      </c>
      <c r="N652" s="23">
        <v>74.0</v>
      </c>
      <c r="O652" s="23">
        <v>76.0</v>
      </c>
      <c r="P652" s="23" t="s">
        <v>63</v>
      </c>
      <c r="Q652" s="23">
        <v>66.0</v>
      </c>
      <c r="R652" s="23">
        <v>16.0</v>
      </c>
      <c r="S652" s="23" t="s">
        <v>63</v>
      </c>
      <c r="T652" s="32" t="s">
        <v>63</v>
      </c>
      <c r="U652" s="23">
        <v>38.0</v>
      </c>
      <c r="V652" s="23" t="s">
        <v>63</v>
      </c>
      <c r="W652" s="23" t="s">
        <v>63</v>
      </c>
      <c r="X652" s="23" t="s">
        <v>63</v>
      </c>
      <c r="Y652" s="35">
        <v>54.0</v>
      </c>
      <c r="Z652" s="32" t="s">
        <v>63</v>
      </c>
      <c r="AA652" s="38"/>
      <c r="AB652" s="38"/>
      <c r="AC652" s="38"/>
      <c r="AD652" s="38"/>
      <c r="AE652" s="38"/>
      <c r="AF652" s="38"/>
      <c r="AG652" s="38"/>
      <c r="AH652" s="38"/>
      <c r="AI652" s="38"/>
      <c r="AJ652" s="38"/>
      <c r="AK652" s="38"/>
    </row>
    <row r="653">
      <c r="A653" s="99">
        <v>652.0</v>
      </c>
      <c r="B653" s="15"/>
      <c r="C653" s="15"/>
      <c r="D653" s="105">
        <v>1.0</v>
      </c>
      <c r="E653" s="102">
        <v>17.0</v>
      </c>
      <c r="F653" s="107">
        <v>83.0</v>
      </c>
      <c r="G653" s="15" t="str">
        <f t="shared" si="1"/>
        <v>17083</v>
      </c>
      <c r="H653" s="23" t="s">
        <v>724</v>
      </c>
      <c r="I653" s="23" t="s">
        <v>48</v>
      </c>
      <c r="J653" s="23" t="s">
        <v>203</v>
      </c>
      <c r="K653" s="23" t="str">
        <f t="shared" si="14"/>
        <v>Jersey, IL</v>
      </c>
      <c r="L653" s="23">
        <v>75.0</v>
      </c>
      <c r="M653" s="23" t="s">
        <v>63</v>
      </c>
      <c r="N653" s="23">
        <v>29.0</v>
      </c>
      <c r="O653" s="23">
        <v>44.0</v>
      </c>
      <c r="P653" s="23" t="s">
        <v>63</v>
      </c>
      <c r="Q653" s="23">
        <v>37.0</v>
      </c>
      <c r="R653" s="23">
        <v>13.0</v>
      </c>
      <c r="S653" s="23" t="s">
        <v>63</v>
      </c>
      <c r="T653" s="32" t="s">
        <v>63</v>
      </c>
      <c r="U653" s="23">
        <v>6.0</v>
      </c>
      <c r="V653" s="23" t="s">
        <v>63</v>
      </c>
      <c r="W653" s="23" t="s">
        <v>63</v>
      </c>
      <c r="X653" s="23" t="s">
        <v>63</v>
      </c>
      <c r="Y653" s="35">
        <v>28.0</v>
      </c>
      <c r="Z653" s="32" t="s">
        <v>63</v>
      </c>
      <c r="AA653" s="38"/>
      <c r="AB653" s="38"/>
      <c r="AC653" s="38"/>
      <c r="AD653" s="38"/>
      <c r="AE653" s="38"/>
      <c r="AF653" s="38"/>
      <c r="AG653" s="38"/>
      <c r="AH653" s="38"/>
      <c r="AI653" s="38"/>
      <c r="AJ653" s="38"/>
      <c r="AK653" s="38"/>
    </row>
    <row r="654">
      <c r="A654" s="99">
        <v>653.0</v>
      </c>
      <c r="B654" s="15"/>
      <c r="C654" s="15"/>
      <c r="D654" s="105">
        <v>1.0</v>
      </c>
      <c r="E654" s="102">
        <v>17.0</v>
      </c>
      <c r="F654" s="107">
        <v>85.0</v>
      </c>
      <c r="G654" s="15" t="str">
        <f t="shared" si="1"/>
        <v>17085</v>
      </c>
      <c r="H654" s="23" t="s">
        <v>725</v>
      </c>
      <c r="I654" s="23" t="s">
        <v>48</v>
      </c>
      <c r="J654" s="23" t="s">
        <v>203</v>
      </c>
      <c r="K654" s="23" t="str">
        <f t="shared" si="14"/>
        <v>Jo Daviess, IL</v>
      </c>
      <c r="L654" s="23">
        <v>10.0</v>
      </c>
      <c r="M654" s="23" t="s">
        <v>63</v>
      </c>
      <c r="N654" s="23">
        <v>1.0</v>
      </c>
      <c r="O654" s="23">
        <v>9.0</v>
      </c>
      <c r="P654" s="23" t="s">
        <v>63</v>
      </c>
      <c r="Q654" s="23">
        <v>7.0</v>
      </c>
      <c r="R654" s="23">
        <v>1.0</v>
      </c>
      <c r="S654" s="23" t="s">
        <v>63</v>
      </c>
      <c r="T654" s="32" t="s">
        <v>63</v>
      </c>
      <c r="U654" s="23">
        <v>8.0</v>
      </c>
      <c r="V654" s="23" t="s">
        <v>63</v>
      </c>
      <c r="W654" s="23" t="s">
        <v>63</v>
      </c>
      <c r="X654" s="23" t="s">
        <v>63</v>
      </c>
      <c r="Y654" s="35">
        <v>32.0</v>
      </c>
      <c r="Z654" s="32" t="s">
        <v>63</v>
      </c>
      <c r="AA654" s="38"/>
      <c r="AB654" s="38"/>
      <c r="AC654" s="38"/>
      <c r="AD654" s="38"/>
      <c r="AE654" s="38"/>
      <c r="AF654" s="38"/>
      <c r="AG654" s="38"/>
      <c r="AH654" s="38"/>
      <c r="AI654" s="38"/>
      <c r="AJ654" s="38"/>
      <c r="AK654" s="38"/>
    </row>
    <row r="655">
      <c r="A655" s="99">
        <v>654.0</v>
      </c>
      <c r="B655" s="15"/>
      <c r="C655" s="15"/>
      <c r="D655" s="105">
        <v>1.0</v>
      </c>
      <c r="E655" s="102">
        <v>17.0</v>
      </c>
      <c r="F655" s="107">
        <v>87.0</v>
      </c>
      <c r="G655" s="15" t="str">
        <f t="shared" si="1"/>
        <v>17087</v>
      </c>
      <c r="H655" s="23" t="s">
        <v>288</v>
      </c>
      <c r="I655" s="23" t="s">
        <v>48</v>
      </c>
      <c r="J655" s="23" t="s">
        <v>203</v>
      </c>
      <c r="K655" s="23" t="str">
        <f t="shared" si="14"/>
        <v>Johnson, IL</v>
      </c>
      <c r="L655" s="23">
        <v>44.0</v>
      </c>
      <c r="M655" s="23" t="s">
        <v>63</v>
      </c>
      <c r="N655" s="23">
        <v>12.0</v>
      </c>
      <c r="O655" s="23">
        <v>31.0</v>
      </c>
      <c r="P655" s="23" t="s">
        <v>63</v>
      </c>
      <c r="Q655" s="23">
        <v>11.0</v>
      </c>
      <c r="R655" s="23">
        <v>4.0</v>
      </c>
      <c r="S655" s="23" t="s">
        <v>63</v>
      </c>
      <c r="T655" s="32" t="s">
        <v>63</v>
      </c>
      <c r="U655" s="23">
        <v>3.0</v>
      </c>
      <c r="V655" s="23" t="s">
        <v>63</v>
      </c>
      <c r="W655" s="23" t="s">
        <v>63</v>
      </c>
      <c r="X655" s="23" t="s">
        <v>63</v>
      </c>
      <c r="Y655" s="35">
        <v>21.0</v>
      </c>
      <c r="Z655" s="32" t="s">
        <v>63</v>
      </c>
      <c r="AA655" s="38"/>
      <c r="AB655" s="38"/>
      <c r="AC655" s="38"/>
      <c r="AD655" s="38"/>
      <c r="AE655" s="38"/>
      <c r="AF655" s="38"/>
      <c r="AG655" s="38"/>
      <c r="AH655" s="38"/>
      <c r="AI655" s="38"/>
      <c r="AJ655" s="38"/>
      <c r="AK655" s="38"/>
    </row>
    <row r="656">
      <c r="A656" s="99">
        <v>655.0</v>
      </c>
      <c r="B656" s="15"/>
      <c r="C656" s="15"/>
      <c r="D656" s="105">
        <v>1.0</v>
      </c>
      <c r="E656" s="102">
        <v>17.0</v>
      </c>
      <c r="F656" s="107">
        <v>89.0</v>
      </c>
      <c r="G656" s="15" t="str">
        <f t="shared" si="1"/>
        <v>17089</v>
      </c>
      <c r="H656" s="23" t="s">
        <v>656</v>
      </c>
      <c r="I656" s="23" t="s">
        <v>48</v>
      </c>
      <c r="J656" s="23" t="s">
        <v>203</v>
      </c>
      <c r="K656" s="23" t="str">
        <f t="shared" si="14"/>
        <v>Kane, IL</v>
      </c>
      <c r="L656" s="23">
        <v>382.0</v>
      </c>
      <c r="M656" s="23" t="s">
        <v>63</v>
      </c>
      <c r="N656" s="23">
        <v>144.0</v>
      </c>
      <c r="O656" s="23">
        <v>226.0</v>
      </c>
      <c r="P656" s="23" t="s">
        <v>63</v>
      </c>
      <c r="Q656" s="23">
        <v>173.0</v>
      </c>
      <c r="R656" s="23">
        <v>30.0</v>
      </c>
      <c r="S656" s="23" t="s">
        <v>63</v>
      </c>
      <c r="T656" s="32" t="s">
        <v>63</v>
      </c>
      <c r="U656" s="23">
        <v>150.0</v>
      </c>
      <c r="V656" s="23" t="s">
        <v>63</v>
      </c>
      <c r="W656" s="23" t="s">
        <v>63</v>
      </c>
      <c r="X656" s="23" t="s">
        <v>63</v>
      </c>
      <c r="Y656" s="35">
        <v>249.0</v>
      </c>
      <c r="Z656" s="32" t="s">
        <v>63</v>
      </c>
      <c r="AA656" s="38"/>
      <c r="AB656" s="38"/>
      <c r="AC656" s="38"/>
      <c r="AD656" s="38"/>
      <c r="AE656" s="38"/>
      <c r="AF656" s="38"/>
      <c r="AG656" s="38"/>
      <c r="AH656" s="38"/>
      <c r="AI656" s="38"/>
      <c r="AJ656" s="38"/>
      <c r="AK656" s="38"/>
    </row>
    <row r="657">
      <c r="A657" s="99">
        <v>656.0</v>
      </c>
      <c r="B657" s="15"/>
      <c r="C657" s="15"/>
      <c r="D657" s="105">
        <v>1.0</v>
      </c>
      <c r="E657" s="102">
        <v>17.0</v>
      </c>
      <c r="F657" s="107">
        <v>91.0</v>
      </c>
      <c r="G657" s="15" t="str">
        <f t="shared" si="1"/>
        <v>17091</v>
      </c>
      <c r="H657" s="23" t="s">
        <v>726</v>
      </c>
      <c r="I657" s="23" t="s">
        <v>48</v>
      </c>
      <c r="J657" s="23" t="s">
        <v>203</v>
      </c>
      <c r="K657" s="23" t="str">
        <f t="shared" si="14"/>
        <v>Kankakee, IL</v>
      </c>
      <c r="L657" s="23">
        <v>230.0</v>
      </c>
      <c r="M657" s="23" t="s">
        <v>63</v>
      </c>
      <c r="N657" s="23">
        <v>123.0</v>
      </c>
      <c r="O657" s="23">
        <v>70.0</v>
      </c>
      <c r="P657" s="23" t="s">
        <v>63</v>
      </c>
      <c r="Q657" s="23">
        <v>57.0</v>
      </c>
      <c r="R657" s="23">
        <v>9.0</v>
      </c>
      <c r="S657" s="23" t="s">
        <v>63</v>
      </c>
      <c r="T657" s="32" t="s">
        <v>63</v>
      </c>
      <c r="U657" s="23">
        <v>20.0</v>
      </c>
      <c r="V657" s="23" t="s">
        <v>63</v>
      </c>
      <c r="W657" s="23" t="s">
        <v>63</v>
      </c>
      <c r="X657" s="23" t="s">
        <v>63</v>
      </c>
      <c r="Y657" s="35">
        <v>111.0</v>
      </c>
      <c r="Z657" s="32" t="s">
        <v>63</v>
      </c>
      <c r="AA657" s="38"/>
      <c r="AB657" s="38"/>
      <c r="AC657" s="38"/>
      <c r="AD657" s="38"/>
      <c r="AE657" s="38"/>
      <c r="AF657" s="38"/>
      <c r="AG657" s="38"/>
      <c r="AH657" s="38"/>
      <c r="AI657" s="38"/>
      <c r="AJ657" s="38"/>
      <c r="AK657" s="38"/>
    </row>
    <row r="658">
      <c r="A658" s="99">
        <v>657.0</v>
      </c>
      <c r="B658" s="15"/>
      <c r="C658" s="15"/>
      <c r="D658" s="105">
        <v>1.0</v>
      </c>
      <c r="E658" s="102">
        <v>17.0</v>
      </c>
      <c r="F658" s="107">
        <v>93.0</v>
      </c>
      <c r="G658" s="15" t="str">
        <f t="shared" si="1"/>
        <v>17093</v>
      </c>
      <c r="H658" s="23" t="s">
        <v>727</v>
      </c>
      <c r="I658" s="23" t="s">
        <v>48</v>
      </c>
      <c r="J658" s="23" t="s">
        <v>203</v>
      </c>
      <c r="K658" s="23" t="str">
        <f t="shared" si="14"/>
        <v>Kendall, IL</v>
      </c>
      <c r="L658" s="23">
        <v>123.0</v>
      </c>
      <c r="M658" s="23" t="s">
        <v>63</v>
      </c>
      <c r="N658" s="23">
        <v>66.0</v>
      </c>
      <c r="O658" s="23">
        <v>55.0</v>
      </c>
      <c r="P658" s="23" t="s">
        <v>63</v>
      </c>
      <c r="Q658" s="23">
        <v>82.0</v>
      </c>
      <c r="R658" s="23">
        <v>9.0</v>
      </c>
      <c r="S658" s="23" t="s">
        <v>63</v>
      </c>
      <c r="T658" s="32" t="s">
        <v>63</v>
      </c>
      <c r="U658" s="23">
        <v>24.0</v>
      </c>
      <c r="V658" s="23" t="s">
        <v>63</v>
      </c>
      <c r="W658" s="23" t="s">
        <v>63</v>
      </c>
      <c r="X658" s="23" t="s">
        <v>63</v>
      </c>
      <c r="Y658" s="35">
        <v>45.0</v>
      </c>
      <c r="Z658" s="32" t="s">
        <v>63</v>
      </c>
      <c r="AA658" s="38"/>
      <c r="AB658" s="38"/>
      <c r="AC658" s="38"/>
      <c r="AD658" s="38"/>
      <c r="AE658" s="38"/>
      <c r="AF658" s="38"/>
      <c r="AG658" s="38"/>
      <c r="AH658" s="38"/>
      <c r="AI658" s="38"/>
      <c r="AJ658" s="38"/>
      <c r="AK658" s="38"/>
    </row>
    <row r="659">
      <c r="A659" s="99">
        <v>658.0</v>
      </c>
      <c r="B659" s="15"/>
      <c r="C659" s="15"/>
      <c r="D659" s="105">
        <v>1.0</v>
      </c>
      <c r="E659" s="102">
        <v>17.0</v>
      </c>
      <c r="F659" s="107">
        <v>95.0</v>
      </c>
      <c r="G659" s="15" t="str">
        <f t="shared" si="1"/>
        <v>17095</v>
      </c>
      <c r="H659" s="23" t="s">
        <v>728</v>
      </c>
      <c r="I659" s="23" t="s">
        <v>48</v>
      </c>
      <c r="J659" s="23" t="s">
        <v>203</v>
      </c>
      <c r="K659" s="23" t="str">
        <f t="shared" si="14"/>
        <v>Knox, IL</v>
      </c>
      <c r="L659" s="23">
        <v>143.0</v>
      </c>
      <c r="M659" s="23" t="s">
        <v>63</v>
      </c>
      <c r="N659" s="23">
        <v>50.0</v>
      </c>
      <c r="O659" s="23">
        <v>90.0</v>
      </c>
      <c r="P659" s="23" t="s">
        <v>63</v>
      </c>
      <c r="Q659" s="23">
        <v>52.0</v>
      </c>
      <c r="R659" s="23">
        <v>17.0</v>
      </c>
      <c r="S659" s="23" t="s">
        <v>63</v>
      </c>
      <c r="T659" s="32" t="s">
        <v>63</v>
      </c>
      <c r="U659" s="23">
        <v>76.0</v>
      </c>
      <c r="V659" s="23" t="s">
        <v>63</v>
      </c>
      <c r="W659" s="23" t="s">
        <v>63</v>
      </c>
      <c r="X659" s="23" t="s">
        <v>63</v>
      </c>
      <c r="Y659" s="35">
        <v>71.0</v>
      </c>
      <c r="Z659" s="32" t="s">
        <v>63</v>
      </c>
      <c r="AA659" s="38"/>
      <c r="AB659" s="38"/>
      <c r="AC659" s="38"/>
      <c r="AD659" s="38"/>
      <c r="AE659" s="38"/>
      <c r="AF659" s="38"/>
      <c r="AG659" s="38"/>
      <c r="AH659" s="38"/>
      <c r="AI659" s="38"/>
      <c r="AJ659" s="38"/>
      <c r="AK659" s="38"/>
    </row>
    <row r="660">
      <c r="A660" s="99">
        <v>659.0</v>
      </c>
      <c r="B660" s="15"/>
      <c r="C660" s="15"/>
      <c r="D660" s="105">
        <v>1.0</v>
      </c>
      <c r="E660" s="102">
        <v>17.0</v>
      </c>
      <c r="F660" s="107">
        <v>97.0</v>
      </c>
      <c r="G660" s="15" t="str">
        <f t="shared" si="1"/>
        <v>17097</v>
      </c>
      <c r="H660" s="23" t="s">
        <v>337</v>
      </c>
      <c r="I660" s="23" t="s">
        <v>48</v>
      </c>
      <c r="J660" s="23" t="s">
        <v>203</v>
      </c>
      <c r="K660" s="23" t="str">
        <f t="shared" si="14"/>
        <v>Lake, IL</v>
      </c>
      <c r="L660" s="23">
        <v>212.0</v>
      </c>
      <c r="M660" s="23" t="s">
        <v>63</v>
      </c>
      <c r="N660" s="23">
        <v>55.0</v>
      </c>
      <c r="O660" s="23">
        <v>153.0</v>
      </c>
      <c r="P660" s="23" t="s">
        <v>63</v>
      </c>
      <c r="Q660" s="23">
        <v>85.0</v>
      </c>
      <c r="R660" s="23">
        <v>8.0</v>
      </c>
      <c r="S660" s="23" t="s">
        <v>63</v>
      </c>
      <c r="T660" s="32" t="s">
        <v>63</v>
      </c>
      <c r="U660" s="23">
        <v>75.0</v>
      </c>
      <c r="V660" s="23" t="s">
        <v>63</v>
      </c>
      <c r="W660" s="23" t="s">
        <v>63</v>
      </c>
      <c r="X660" s="23" t="s">
        <v>63</v>
      </c>
      <c r="Y660" s="35">
        <v>107.0</v>
      </c>
      <c r="Z660" s="32" t="s">
        <v>63</v>
      </c>
      <c r="AA660" s="38"/>
      <c r="AB660" s="38"/>
      <c r="AC660" s="38"/>
      <c r="AD660" s="38"/>
      <c r="AE660" s="38"/>
      <c r="AF660" s="38"/>
      <c r="AG660" s="38"/>
      <c r="AH660" s="38"/>
      <c r="AI660" s="38"/>
      <c r="AJ660" s="38"/>
      <c r="AK660" s="38"/>
    </row>
    <row r="661">
      <c r="A661" s="99">
        <v>660.0</v>
      </c>
      <c r="B661" s="15"/>
      <c r="C661" s="15"/>
      <c r="D661" s="105">
        <v>1.0</v>
      </c>
      <c r="E661" s="102">
        <v>17.0</v>
      </c>
      <c r="F661" s="107">
        <v>99.0</v>
      </c>
      <c r="G661" s="15" t="str">
        <f t="shared" si="1"/>
        <v>17099</v>
      </c>
      <c r="H661" s="23" t="s">
        <v>729</v>
      </c>
      <c r="I661" s="23" t="s">
        <v>48</v>
      </c>
      <c r="J661" s="23" t="s">
        <v>203</v>
      </c>
      <c r="K661" s="23" t="str">
        <f t="shared" si="14"/>
        <v>La Salle, IL</v>
      </c>
      <c r="L661" s="23">
        <v>495.0</v>
      </c>
      <c r="M661" s="23" t="s">
        <v>63</v>
      </c>
      <c r="N661" s="23">
        <v>232.0</v>
      </c>
      <c r="O661" s="23">
        <v>248.0</v>
      </c>
      <c r="P661" s="23" t="s">
        <v>63</v>
      </c>
      <c r="Q661" s="23">
        <v>211.0</v>
      </c>
      <c r="R661" s="23">
        <v>24.0</v>
      </c>
      <c r="S661" s="23" t="s">
        <v>63</v>
      </c>
      <c r="T661" s="32" t="s">
        <v>63</v>
      </c>
      <c r="U661" s="23">
        <v>236.0</v>
      </c>
      <c r="V661" s="23" t="s">
        <v>63</v>
      </c>
      <c r="W661" s="23" t="s">
        <v>63</v>
      </c>
      <c r="X661" s="23" t="s">
        <v>63</v>
      </c>
      <c r="Y661" s="35">
        <v>264.0</v>
      </c>
      <c r="Z661" s="32" t="s">
        <v>63</v>
      </c>
      <c r="AA661" s="38"/>
      <c r="AB661" s="38"/>
      <c r="AC661" s="38"/>
      <c r="AD661" s="38"/>
      <c r="AE661" s="38"/>
      <c r="AF661" s="38"/>
      <c r="AG661" s="38"/>
      <c r="AH661" s="38"/>
      <c r="AI661" s="38"/>
      <c r="AJ661" s="38"/>
      <c r="AK661" s="38"/>
    </row>
    <row r="662">
      <c r="A662" s="99">
        <v>661.0</v>
      </c>
      <c r="B662" s="15"/>
      <c r="C662" s="15"/>
      <c r="D662" s="105">
        <v>1.0</v>
      </c>
      <c r="E662" s="102">
        <v>17.0</v>
      </c>
      <c r="F662" s="107">
        <v>101.0</v>
      </c>
      <c r="G662" s="15" t="str">
        <f t="shared" si="1"/>
        <v>17101</v>
      </c>
      <c r="H662" s="23" t="s">
        <v>146</v>
      </c>
      <c r="I662" s="23" t="s">
        <v>48</v>
      </c>
      <c r="J662" s="23" t="s">
        <v>203</v>
      </c>
      <c r="K662" s="23" t="str">
        <f t="shared" si="14"/>
        <v>Lawrence, IL</v>
      </c>
      <c r="L662" s="23">
        <v>38.0</v>
      </c>
      <c r="M662" s="23" t="s">
        <v>63</v>
      </c>
      <c r="N662" s="23">
        <v>3.0</v>
      </c>
      <c r="O662" s="23">
        <v>35.0</v>
      </c>
      <c r="P662" s="23" t="s">
        <v>63</v>
      </c>
      <c r="Q662" s="23">
        <v>11.0</v>
      </c>
      <c r="R662" s="23" t="s">
        <v>63</v>
      </c>
      <c r="S662" s="23" t="s">
        <v>63</v>
      </c>
      <c r="T662" s="32" t="s">
        <v>63</v>
      </c>
      <c r="U662" s="23">
        <v>9.0</v>
      </c>
      <c r="V662" s="23" t="s">
        <v>63</v>
      </c>
      <c r="W662" s="23" t="s">
        <v>63</v>
      </c>
      <c r="X662" s="23" t="s">
        <v>63</v>
      </c>
      <c r="Y662" s="35">
        <v>25.0</v>
      </c>
      <c r="Z662" s="32" t="s">
        <v>63</v>
      </c>
      <c r="AA662" s="38"/>
      <c r="AB662" s="38"/>
      <c r="AC662" s="38"/>
      <c r="AD662" s="38"/>
      <c r="AE662" s="38"/>
      <c r="AF662" s="38"/>
      <c r="AG662" s="38"/>
      <c r="AH662" s="38"/>
      <c r="AI662" s="38"/>
      <c r="AJ662" s="38"/>
      <c r="AK662" s="38"/>
    </row>
    <row r="663">
      <c r="A663" s="99">
        <v>662.0</v>
      </c>
      <c r="B663" s="15"/>
      <c r="C663" s="15"/>
      <c r="D663" s="105">
        <v>1.0</v>
      </c>
      <c r="E663" s="102">
        <v>17.0</v>
      </c>
      <c r="F663" s="107">
        <v>103.0</v>
      </c>
      <c r="G663" s="15" t="str">
        <f t="shared" si="1"/>
        <v>17103</v>
      </c>
      <c r="H663" s="23" t="s">
        <v>147</v>
      </c>
      <c r="I663" s="23" t="s">
        <v>48</v>
      </c>
      <c r="J663" s="23" t="s">
        <v>203</v>
      </c>
      <c r="K663" s="23" t="str">
        <f t="shared" si="14"/>
        <v>Lee, IL</v>
      </c>
      <c r="L663" s="23">
        <v>52.0</v>
      </c>
      <c r="M663" s="23" t="s">
        <v>63</v>
      </c>
      <c r="N663" s="23">
        <v>11.0</v>
      </c>
      <c r="O663" s="23">
        <v>41.0</v>
      </c>
      <c r="P663" s="23" t="s">
        <v>63</v>
      </c>
      <c r="Q663" s="23">
        <v>27.0</v>
      </c>
      <c r="R663" s="23">
        <v>3.0</v>
      </c>
      <c r="S663" s="23" t="s">
        <v>63</v>
      </c>
      <c r="T663" s="32" t="s">
        <v>63</v>
      </c>
      <c r="U663" s="23">
        <v>14.0</v>
      </c>
      <c r="V663" s="23" t="s">
        <v>63</v>
      </c>
      <c r="W663" s="23" t="s">
        <v>63</v>
      </c>
      <c r="X663" s="23" t="s">
        <v>63</v>
      </c>
      <c r="Y663" s="35">
        <v>52.0</v>
      </c>
      <c r="Z663" s="32" t="s">
        <v>63</v>
      </c>
      <c r="AA663" s="38"/>
      <c r="AB663" s="38"/>
      <c r="AC663" s="38"/>
      <c r="AD663" s="38"/>
      <c r="AE663" s="38"/>
      <c r="AF663" s="38"/>
      <c r="AG663" s="38"/>
      <c r="AH663" s="38"/>
      <c r="AI663" s="38"/>
      <c r="AJ663" s="38"/>
      <c r="AK663" s="38"/>
    </row>
    <row r="664">
      <c r="A664" s="99">
        <v>663.0</v>
      </c>
      <c r="B664" s="15"/>
      <c r="C664" s="15"/>
      <c r="D664" s="105">
        <v>1.0</v>
      </c>
      <c r="E664" s="102">
        <v>17.0</v>
      </c>
      <c r="F664" s="107">
        <v>105.0</v>
      </c>
      <c r="G664" s="15" t="str">
        <f t="shared" si="1"/>
        <v>17105</v>
      </c>
      <c r="H664" s="23" t="s">
        <v>730</v>
      </c>
      <c r="I664" s="23" t="s">
        <v>48</v>
      </c>
      <c r="J664" s="23" t="s">
        <v>203</v>
      </c>
      <c r="K664" s="23" t="str">
        <f t="shared" si="14"/>
        <v>Livingston, IL</v>
      </c>
      <c r="L664" s="23">
        <v>84.0</v>
      </c>
      <c r="M664" s="23" t="s">
        <v>63</v>
      </c>
      <c r="N664" s="23">
        <v>29.0</v>
      </c>
      <c r="O664" s="23">
        <v>55.0</v>
      </c>
      <c r="P664" s="23" t="s">
        <v>63</v>
      </c>
      <c r="Q664" s="23">
        <v>32.0</v>
      </c>
      <c r="R664" s="23">
        <v>5.0</v>
      </c>
      <c r="S664" s="23" t="s">
        <v>63</v>
      </c>
      <c r="T664" s="32" t="s">
        <v>63</v>
      </c>
      <c r="U664" s="23">
        <v>23.0</v>
      </c>
      <c r="V664" s="23" t="s">
        <v>63</v>
      </c>
      <c r="W664" s="23" t="s">
        <v>63</v>
      </c>
      <c r="X664" s="23" t="s">
        <v>63</v>
      </c>
      <c r="Y664" s="35">
        <v>51.0</v>
      </c>
      <c r="Z664" s="32" t="s">
        <v>63</v>
      </c>
      <c r="AA664" s="38"/>
      <c r="AB664" s="38"/>
      <c r="AC664" s="38"/>
      <c r="AD664" s="38"/>
      <c r="AE664" s="38"/>
      <c r="AF664" s="38"/>
      <c r="AG664" s="38"/>
      <c r="AH664" s="38"/>
      <c r="AI664" s="38"/>
      <c r="AJ664" s="38"/>
      <c r="AK664" s="38"/>
    </row>
    <row r="665">
      <c r="A665" s="99">
        <v>664.0</v>
      </c>
      <c r="B665" s="15"/>
      <c r="C665" s="15"/>
      <c r="D665" s="105">
        <v>1.0</v>
      </c>
      <c r="E665" s="102">
        <v>17.0</v>
      </c>
      <c r="F665" s="107">
        <v>107.0</v>
      </c>
      <c r="G665" s="15" t="str">
        <f t="shared" si="1"/>
        <v>17107</v>
      </c>
      <c r="H665" s="23" t="s">
        <v>293</v>
      </c>
      <c r="I665" s="23" t="s">
        <v>48</v>
      </c>
      <c r="J665" s="23" t="s">
        <v>203</v>
      </c>
      <c r="K665" s="23" t="str">
        <f t="shared" si="14"/>
        <v>Logan, IL</v>
      </c>
      <c r="L665" s="23">
        <v>86.0</v>
      </c>
      <c r="M665" s="23" t="s">
        <v>63</v>
      </c>
      <c r="N665" s="23">
        <v>26.0</v>
      </c>
      <c r="O665" s="23">
        <v>57.0</v>
      </c>
      <c r="P665" s="23" t="s">
        <v>63</v>
      </c>
      <c r="Q665" s="23">
        <v>32.0</v>
      </c>
      <c r="R665" s="23">
        <v>12.0</v>
      </c>
      <c r="S665" s="23" t="s">
        <v>63</v>
      </c>
      <c r="T665" s="32" t="s">
        <v>63</v>
      </c>
      <c r="U665" s="23">
        <v>12.0</v>
      </c>
      <c r="V665" s="23" t="s">
        <v>63</v>
      </c>
      <c r="W665" s="23" t="s">
        <v>63</v>
      </c>
      <c r="X665" s="23" t="s">
        <v>63</v>
      </c>
      <c r="Y665" s="35">
        <v>46.0</v>
      </c>
      <c r="Z665" s="32" t="s">
        <v>63</v>
      </c>
      <c r="AA665" s="38"/>
      <c r="AB665" s="38"/>
      <c r="AC665" s="38"/>
      <c r="AD665" s="38"/>
      <c r="AE665" s="38"/>
      <c r="AF665" s="38"/>
      <c r="AG665" s="38"/>
      <c r="AH665" s="38"/>
      <c r="AI665" s="38"/>
      <c r="AJ665" s="38"/>
      <c r="AK665" s="38"/>
    </row>
    <row r="666">
      <c r="A666" s="99">
        <v>665.0</v>
      </c>
      <c r="B666" s="15"/>
      <c r="C666" s="15"/>
      <c r="D666" s="105">
        <v>1.0</v>
      </c>
      <c r="E666" s="102">
        <v>17.0</v>
      </c>
      <c r="F666" s="107">
        <v>109.0</v>
      </c>
      <c r="G666" s="15" t="str">
        <f t="shared" si="1"/>
        <v>17109</v>
      </c>
      <c r="H666" s="23" t="s">
        <v>731</v>
      </c>
      <c r="I666" s="23" t="s">
        <v>48</v>
      </c>
      <c r="J666" s="23" t="s">
        <v>203</v>
      </c>
      <c r="K666" s="23" t="str">
        <f t="shared" si="14"/>
        <v>McDonough, IL</v>
      </c>
      <c r="L666" s="23">
        <v>89.0</v>
      </c>
      <c r="M666" s="23" t="s">
        <v>63</v>
      </c>
      <c r="N666" s="23">
        <v>48.0</v>
      </c>
      <c r="O666" s="23">
        <v>38.0</v>
      </c>
      <c r="P666" s="23" t="s">
        <v>63</v>
      </c>
      <c r="Q666" s="23">
        <v>36.0</v>
      </c>
      <c r="R666" s="23">
        <v>11.0</v>
      </c>
      <c r="S666" s="23" t="s">
        <v>63</v>
      </c>
      <c r="T666" s="32" t="s">
        <v>63</v>
      </c>
      <c r="U666" s="23">
        <v>24.0</v>
      </c>
      <c r="V666" s="23" t="s">
        <v>63</v>
      </c>
      <c r="W666" s="23" t="s">
        <v>63</v>
      </c>
      <c r="X666" s="23" t="s">
        <v>63</v>
      </c>
      <c r="Y666" s="35">
        <v>39.0</v>
      </c>
      <c r="Z666" s="32" t="s">
        <v>63</v>
      </c>
      <c r="AA666" s="38"/>
      <c r="AB666" s="38"/>
      <c r="AC666" s="38"/>
      <c r="AD666" s="38"/>
      <c r="AE666" s="38"/>
      <c r="AF666" s="38"/>
      <c r="AG666" s="38"/>
      <c r="AH666" s="38"/>
      <c r="AI666" s="38"/>
      <c r="AJ666" s="38"/>
      <c r="AK666" s="38"/>
    </row>
    <row r="667">
      <c r="A667" s="99">
        <v>666.0</v>
      </c>
      <c r="B667" s="15"/>
      <c r="C667" s="15"/>
      <c r="D667" s="105">
        <v>1.0</v>
      </c>
      <c r="E667" s="102">
        <v>17.0</v>
      </c>
      <c r="F667" s="107">
        <v>111.0</v>
      </c>
      <c r="G667" s="15" t="str">
        <f t="shared" si="1"/>
        <v>17111</v>
      </c>
      <c r="H667" s="23" t="s">
        <v>732</v>
      </c>
      <c r="I667" s="23" t="s">
        <v>48</v>
      </c>
      <c r="J667" s="23" t="s">
        <v>203</v>
      </c>
      <c r="K667" s="23" t="str">
        <f t="shared" si="14"/>
        <v>McHenry, IL</v>
      </c>
      <c r="L667" s="23">
        <v>218.0</v>
      </c>
      <c r="M667" s="23" t="s">
        <v>63</v>
      </c>
      <c r="N667" s="23">
        <v>87.0</v>
      </c>
      <c r="O667" s="23">
        <v>131.0</v>
      </c>
      <c r="P667" s="23" t="s">
        <v>63</v>
      </c>
      <c r="Q667" s="23">
        <v>119.0</v>
      </c>
      <c r="R667" s="23">
        <v>14.0</v>
      </c>
      <c r="S667" s="23" t="s">
        <v>63</v>
      </c>
      <c r="T667" s="32" t="s">
        <v>63</v>
      </c>
      <c r="U667" s="23">
        <v>76.0</v>
      </c>
      <c r="V667" s="23" t="s">
        <v>63</v>
      </c>
      <c r="W667" s="23" t="s">
        <v>63</v>
      </c>
      <c r="X667" s="23" t="s">
        <v>63</v>
      </c>
      <c r="Y667" s="35">
        <v>117.0</v>
      </c>
      <c r="Z667" s="32" t="s">
        <v>63</v>
      </c>
      <c r="AA667" s="38"/>
      <c r="AB667" s="38"/>
      <c r="AC667" s="38"/>
      <c r="AD667" s="38"/>
      <c r="AE667" s="38"/>
      <c r="AF667" s="38"/>
      <c r="AG667" s="38"/>
      <c r="AH667" s="38"/>
      <c r="AI667" s="38"/>
      <c r="AJ667" s="38"/>
      <c r="AK667" s="38"/>
    </row>
    <row r="668">
      <c r="A668" s="99">
        <v>667.0</v>
      </c>
      <c r="B668" s="15"/>
      <c r="C668" s="15"/>
      <c r="D668" s="105">
        <v>1.0</v>
      </c>
      <c r="E668" s="102">
        <v>17.0</v>
      </c>
      <c r="F668" s="107">
        <v>113.0</v>
      </c>
      <c r="G668" s="15" t="str">
        <f t="shared" si="1"/>
        <v>17113</v>
      </c>
      <c r="H668" s="23" t="s">
        <v>733</v>
      </c>
      <c r="I668" s="23" t="s">
        <v>48</v>
      </c>
      <c r="J668" s="23" t="s">
        <v>203</v>
      </c>
      <c r="K668" s="23" t="str">
        <f t="shared" si="14"/>
        <v>Mclean, IL</v>
      </c>
      <c r="L668" s="23">
        <v>262.0</v>
      </c>
      <c r="M668" s="23" t="s">
        <v>63</v>
      </c>
      <c r="N668" s="23">
        <v>129.0</v>
      </c>
      <c r="O668" s="23">
        <v>130.0</v>
      </c>
      <c r="P668" s="23" t="s">
        <v>63</v>
      </c>
      <c r="Q668" s="23">
        <v>132.0</v>
      </c>
      <c r="R668" s="23">
        <v>45.0</v>
      </c>
      <c r="S668" s="23" t="s">
        <v>63</v>
      </c>
      <c r="T668" s="32" t="s">
        <v>63</v>
      </c>
      <c r="U668" s="23">
        <v>60.0</v>
      </c>
      <c r="V668" s="23" t="s">
        <v>63</v>
      </c>
      <c r="W668" s="23" t="s">
        <v>63</v>
      </c>
      <c r="X668" s="23" t="s">
        <v>63</v>
      </c>
      <c r="Y668" s="35">
        <v>142.0</v>
      </c>
      <c r="Z668" s="32" t="s">
        <v>63</v>
      </c>
      <c r="AA668" s="38"/>
      <c r="AB668" s="38"/>
      <c r="AC668" s="38"/>
      <c r="AD668" s="38"/>
      <c r="AE668" s="38"/>
      <c r="AF668" s="38"/>
      <c r="AG668" s="38"/>
      <c r="AH668" s="38"/>
      <c r="AI668" s="38"/>
      <c r="AJ668" s="38"/>
      <c r="AK668" s="38"/>
    </row>
    <row r="669">
      <c r="A669" s="99">
        <v>668.0</v>
      </c>
      <c r="B669" s="15"/>
      <c r="C669" s="15"/>
      <c r="D669" s="105">
        <v>1.0</v>
      </c>
      <c r="E669" s="102">
        <v>17.0</v>
      </c>
      <c r="F669" s="107">
        <v>115.0</v>
      </c>
      <c r="G669" s="15" t="str">
        <f t="shared" si="1"/>
        <v>17115</v>
      </c>
      <c r="H669" s="23" t="s">
        <v>150</v>
      </c>
      <c r="I669" s="23" t="s">
        <v>48</v>
      </c>
      <c r="J669" s="23" t="s">
        <v>203</v>
      </c>
      <c r="K669" s="23" t="str">
        <f t="shared" si="14"/>
        <v>Macon, IL</v>
      </c>
      <c r="L669" s="23">
        <v>478.0</v>
      </c>
      <c r="M669" s="23" t="s">
        <v>63</v>
      </c>
      <c r="N669" s="23">
        <v>214.0</v>
      </c>
      <c r="O669" s="23">
        <v>256.0</v>
      </c>
      <c r="P669" s="23" t="s">
        <v>63</v>
      </c>
      <c r="Q669" s="23">
        <v>129.0</v>
      </c>
      <c r="R669" s="23">
        <v>69.0</v>
      </c>
      <c r="S669" s="23" t="s">
        <v>63</v>
      </c>
      <c r="T669" s="32" t="s">
        <v>63</v>
      </c>
      <c r="U669" s="23">
        <v>71.0</v>
      </c>
      <c r="V669" s="23" t="s">
        <v>63</v>
      </c>
      <c r="W669" s="23" t="s">
        <v>63</v>
      </c>
      <c r="X669" s="23" t="s">
        <v>63</v>
      </c>
      <c r="Y669" s="35">
        <v>151.0</v>
      </c>
      <c r="Z669" s="32" t="s">
        <v>63</v>
      </c>
      <c r="AA669" s="38"/>
      <c r="AB669" s="38"/>
      <c r="AC669" s="38"/>
      <c r="AD669" s="38"/>
      <c r="AE669" s="38"/>
      <c r="AF669" s="38"/>
      <c r="AG669" s="38"/>
      <c r="AH669" s="38"/>
      <c r="AI669" s="38"/>
      <c r="AJ669" s="38"/>
      <c r="AK669" s="38"/>
    </row>
    <row r="670">
      <c r="A670" s="99">
        <v>669.0</v>
      </c>
      <c r="B670" s="15"/>
      <c r="C670" s="15"/>
      <c r="D670" s="105">
        <v>1.0</v>
      </c>
      <c r="E670" s="102">
        <v>17.0</v>
      </c>
      <c r="F670" s="107">
        <v>117.0</v>
      </c>
      <c r="G670" s="15" t="str">
        <f t="shared" si="1"/>
        <v>17117</v>
      </c>
      <c r="H670" s="23" t="s">
        <v>734</v>
      </c>
      <c r="I670" s="23" t="s">
        <v>48</v>
      </c>
      <c r="J670" s="23" t="s">
        <v>203</v>
      </c>
      <c r="K670" s="23" t="str">
        <f t="shared" si="14"/>
        <v>Macoupin, IL</v>
      </c>
      <c r="L670" s="23">
        <v>154.0</v>
      </c>
      <c r="M670" s="23" t="s">
        <v>63</v>
      </c>
      <c r="N670" s="23">
        <v>50.0</v>
      </c>
      <c r="O670" s="23">
        <v>104.0</v>
      </c>
      <c r="P670" s="23" t="s">
        <v>63</v>
      </c>
      <c r="Q670" s="23">
        <v>54.0</v>
      </c>
      <c r="R670" s="23">
        <v>24.0</v>
      </c>
      <c r="S670" s="23" t="s">
        <v>63</v>
      </c>
      <c r="T670" s="32" t="s">
        <v>63</v>
      </c>
      <c r="U670" s="23">
        <v>30.0</v>
      </c>
      <c r="V670" s="23" t="s">
        <v>63</v>
      </c>
      <c r="W670" s="23" t="s">
        <v>63</v>
      </c>
      <c r="X670" s="23" t="s">
        <v>63</v>
      </c>
      <c r="Y670" s="35">
        <v>80.0</v>
      </c>
      <c r="Z670" s="32" t="s">
        <v>63</v>
      </c>
      <c r="AA670" s="38"/>
      <c r="AB670" s="38"/>
      <c r="AC670" s="38"/>
      <c r="AD670" s="38"/>
      <c r="AE670" s="38"/>
      <c r="AF670" s="38"/>
      <c r="AG670" s="38"/>
      <c r="AH670" s="38"/>
      <c r="AI670" s="38"/>
      <c r="AJ670" s="38"/>
      <c r="AK670" s="38"/>
    </row>
    <row r="671">
      <c r="A671" s="99">
        <v>670.0</v>
      </c>
      <c r="B671" s="15"/>
      <c r="C671" s="15"/>
      <c r="D671" s="105">
        <v>1.0</v>
      </c>
      <c r="E671" s="102">
        <v>17.0</v>
      </c>
      <c r="F671" s="107">
        <v>119.0</v>
      </c>
      <c r="G671" s="15" t="str">
        <f t="shared" si="1"/>
        <v>17119</v>
      </c>
      <c r="H671" s="23" t="s">
        <v>151</v>
      </c>
      <c r="I671" s="23" t="s">
        <v>48</v>
      </c>
      <c r="J671" s="23" t="s">
        <v>203</v>
      </c>
      <c r="K671" s="23" t="str">
        <f t="shared" si="14"/>
        <v>Madison, IL</v>
      </c>
      <c r="L671" s="23">
        <v>692.0</v>
      </c>
      <c r="M671" s="23" t="s">
        <v>63</v>
      </c>
      <c r="N671" s="23">
        <v>289.0</v>
      </c>
      <c r="O671" s="23">
        <v>390.0</v>
      </c>
      <c r="P671" s="23" t="s">
        <v>63</v>
      </c>
      <c r="Q671" s="23">
        <v>259.0</v>
      </c>
      <c r="R671" s="23">
        <v>90.0</v>
      </c>
      <c r="S671" s="23" t="s">
        <v>63</v>
      </c>
      <c r="T671" s="32" t="s">
        <v>63</v>
      </c>
      <c r="U671" s="23">
        <v>146.0</v>
      </c>
      <c r="V671" s="23" t="s">
        <v>63</v>
      </c>
      <c r="W671" s="23" t="s">
        <v>63</v>
      </c>
      <c r="X671" s="23" t="s">
        <v>63</v>
      </c>
      <c r="Y671" s="35">
        <v>266.0</v>
      </c>
      <c r="Z671" s="32" t="s">
        <v>63</v>
      </c>
      <c r="AA671" s="38"/>
      <c r="AB671" s="38"/>
      <c r="AC671" s="38"/>
      <c r="AD671" s="38"/>
      <c r="AE671" s="38"/>
      <c r="AF671" s="38"/>
      <c r="AG671" s="38"/>
      <c r="AH671" s="38"/>
      <c r="AI671" s="38"/>
      <c r="AJ671" s="38"/>
      <c r="AK671" s="38"/>
    </row>
    <row r="672">
      <c r="A672" s="99">
        <v>671.0</v>
      </c>
      <c r="B672" s="15"/>
      <c r="C672" s="15"/>
      <c r="D672" s="105">
        <v>1.0</v>
      </c>
      <c r="E672" s="102">
        <v>17.0</v>
      </c>
      <c r="F672" s="107">
        <v>121.0</v>
      </c>
      <c r="G672" s="15" t="str">
        <f t="shared" si="1"/>
        <v>17121</v>
      </c>
      <c r="H672" s="23" t="s">
        <v>153</v>
      </c>
      <c r="I672" s="23" t="s">
        <v>48</v>
      </c>
      <c r="J672" s="23" t="s">
        <v>203</v>
      </c>
      <c r="K672" s="23" t="str">
        <f t="shared" si="14"/>
        <v>Marion, IL</v>
      </c>
      <c r="L672" s="23">
        <v>216.0</v>
      </c>
      <c r="M672" s="23" t="s">
        <v>63</v>
      </c>
      <c r="N672" s="23">
        <v>80.0</v>
      </c>
      <c r="O672" s="23">
        <v>125.0</v>
      </c>
      <c r="P672" s="23" t="s">
        <v>63</v>
      </c>
      <c r="Q672" s="23">
        <v>65.0</v>
      </c>
      <c r="R672" s="23">
        <v>9.0</v>
      </c>
      <c r="S672" s="23" t="s">
        <v>63</v>
      </c>
      <c r="T672" s="32" t="s">
        <v>63</v>
      </c>
      <c r="U672" s="23">
        <v>36.0</v>
      </c>
      <c r="V672" s="23" t="s">
        <v>63</v>
      </c>
      <c r="W672" s="23" t="s">
        <v>63</v>
      </c>
      <c r="X672" s="23" t="s">
        <v>63</v>
      </c>
      <c r="Y672" s="35">
        <v>66.0</v>
      </c>
      <c r="Z672" s="32" t="s">
        <v>63</v>
      </c>
      <c r="AA672" s="38"/>
      <c r="AB672" s="38"/>
      <c r="AC672" s="38"/>
      <c r="AD672" s="38"/>
      <c r="AE672" s="38"/>
      <c r="AF672" s="38"/>
      <c r="AG672" s="38"/>
      <c r="AH672" s="38"/>
      <c r="AI672" s="38"/>
      <c r="AJ672" s="38"/>
      <c r="AK672" s="38"/>
    </row>
    <row r="673">
      <c r="A673" s="99">
        <v>672.0</v>
      </c>
      <c r="B673" s="15"/>
      <c r="C673" s="15"/>
      <c r="D673" s="105">
        <v>1.0</v>
      </c>
      <c r="E673" s="102">
        <v>17.0</v>
      </c>
      <c r="F673" s="107">
        <v>123.0</v>
      </c>
      <c r="G673" s="15" t="str">
        <f t="shared" si="1"/>
        <v>17123</v>
      </c>
      <c r="H673" s="23" t="s">
        <v>154</v>
      </c>
      <c r="I673" s="23" t="s">
        <v>48</v>
      </c>
      <c r="J673" s="23" t="s">
        <v>203</v>
      </c>
      <c r="K673" s="23" t="str">
        <f t="shared" si="14"/>
        <v>Marshall, IL</v>
      </c>
      <c r="L673" s="23">
        <v>56.0</v>
      </c>
      <c r="M673" s="23" t="s">
        <v>63</v>
      </c>
      <c r="N673" s="23">
        <v>21.0</v>
      </c>
      <c r="O673" s="23">
        <v>34.0</v>
      </c>
      <c r="P673" s="23" t="s">
        <v>63</v>
      </c>
      <c r="Q673" s="23">
        <v>27.0</v>
      </c>
      <c r="R673" s="23">
        <v>4.0</v>
      </c>
      <c r="S673" s="23" t="s">
        <v>63</v>
      </c>
      <c r="T673" s="32" t="s">
        <v>63</v>
      </c>
      <c r="U673" s="23">
        <v>5.0</v>
      </c>
      <c r="V673" s="23" t="s">
        <v>63</v>
      </c>
      <c r="W673" s="23" t="s">
        <v>63</v>
      </c>
      <c r="X673" s="23" t="s">
        <v>63</v>
      </c>
      <c r="Y673" s="35">
        <v>26.0</v>
      </c>
      <c r="Z673" s="32" t="s">
        <v>63</v>
      </c>
      <c r="AA673" s="38"/>
      <c r="AB673" s="38"/>
      <c r="AC673" s="38"/>
      <c r="AD673" s="38"/>
      <c r="AE673" s="38"/>
      <c r="AF673" s="38"/>
      <c r="AG673" s="38"/>
      <c r="AH673" s="38"/>
      <c r="AI673" s="38"/>
      <c r="AJ673" s="38"/>
      <c r="AK673" s="38"/>
    </row>
    <row r="674">
      <c r="A674" s="99">
        <v>673.0</v>
      </c>
      <c r="B674" s="15"/>
      <c r="C674" s="15"/>
      <c r="D674" s="105">
        <v>1.0</v>
      </c>
      <c r="E674" s="102">
        <v>17.0</v>
      </c>
      <c r="F674" s="107">
        <v>125.0</v>
      </c>
      <c r="G674" s="15" t="str">
        <f t="shared" si="1"/>
        <v>17125</v>
      </c>
      <c r="H674" s="23" t="s">
        <v>735</v>
      </c>
      <c r="I674" s="23" t="s">
        <v>48</v>
      </c>
      <c r="J674" s="23" t="s">
        <v>203</v>
      </c>
      <c r="K674" s="23" t="str">
        <f t="shared" si="14"/>
        <v>Mason, IL</v>
      </c>
      <c r="L674" s="23">
        <v>72.0</v>
      </c>
      <c r="M674" s="23" t="s">
        <v>63</v>
      </c>
      <c r="N674" s="23">
        <v>22.0</v>
      </c>
      <c r="O674" s="23">
        <v>50.0</v>
      </c>
      <c r="P674" s="23" t="s">
        <v>63</v>
      </c>
      <c r="Q674" s="23">
        <v>27.0</v>
      </c>
      <c r="R674" s="23">
        <v>7.0</v>
      </c>
      <c r="S674" s="23" t="s">
        <v>63</v>
      </c>
      <c r="T674" s="32" t="s">
        <v>63</v>
      </c>
      <c r="U674" s="23">
        <v>6.0</v>
      </c>
      <c r="V674" s="23" t="s">
        <v>63</v>
      </c>
      <c r="W674" s="23" t="s">
        <v>63</v>
      </c>
      <c r="X674" s="23" t="s">
        <v>63</v>
      </c>
      <c r="Y674" s="35">
        <v>22.0</v>
      </c>
      <c r="Z674" s="32" t="s">
        <v>63</v>
      </c>
      <c r="AA674" s="38"/>
      <c r="AB674" s="38"/>
      <c r="AC674" s="38"/>
      <c r="AD674" s="38"/>
      <c r="AE674" s="38"/>
      <c r="AF674" s="38"/>
      <c r="AG674" s="38"/>
      <c r="AH674" s="38"/>
      <c r="AI674" s="38"/>
      <c r="AJ674" s="38"/>
      <c r="AK674" s="38"/>
    </row>
    <row r="675">
      <c r="A675" s="99">
        <v>674.0</v>
      </c>
      <c r="B675" s="15"/>
      <c r="C675" s="15"/>
      <c r="D675" s="105">
        <v>1.0</v>
      </c>
      <c r="E675" s="102">
        <v>17.0</v>
      </c>
      <c r="F675" s="107">
        <v>127.0</v>
      </c>
      <c r="G675" s="15" t="str">
        <f t="shared" si="1"/>
        <v>17127</v>
      </c>
      <c r="H675" s="23" t="s">
        <v>736</v>
      </c>
      <c r="I675" s="23" t="s">
        <v>48</v>
      </c>
      <c r="J675" s="23" t="s">
        <v>203</v>
      </c>
      <c r="K675" s="23" t="str">
        <f t="shared" si="14"/>
        <v>Massac, IL</v>
      </c>
      <c r="L675" s="23">
        <v>88.0</v>
      </c>
      <c r="M675" s="23" t="s">
        <v>63</v>
      </c>
      <c r="N675" s="23">
        <v>32.0</v>
      </c>
      <c r="O675" s="23">
        <v>56.0</v>
      </c>
      <c r="P675" s="23" t="s">
        <v>63</v>
      </c>
      <c r="Q675" s="23">
        <v>11.0</v>
      </c>
      <c r="R675" s="23">
        <v>5.0</v>
      </c>
      <c r="S675" s="23" t="s">
        <v>63</v>
      </c>
      <c r="T675" s="32" t="s">
        <v>63</v>
      </c>
      <c r="U675" s="23">
        <v>7.0</v>
      </c>
      <c r="V675" s="23" t="s">
        <v>63</v>
      </c>
      <c r="W675" s="23" t="s">
        <v>63</v>
      </c>
      <c r="X675" s="23" t="s">
        <v>63</v>
      </c>
      <c r="Y675" s="35">
        <v>36.0</v>
      </c>
      <c r="Z675" s="32" t="s">
        <v>63</v>
      </c>
      <c r="AA675" s="38"/>
      <c r="AB675" s="38"/>
      <c r="AC675" s="38"/>
      <c r="AD675" s="38"/>
      <c r="AE675" s="38"/>
      <c r="AF675" s="38"/>
      <c r="AG675" s="38"/>
      <c r="AH675" s="38"/>
      <c r="AI675" s="38"/>
      <c r="AJ675" s="38"/>
      <c r="AK675" s="38"/>
    </row>
    <row r="676">
      <c r="A676" s="99">
        <v>675.0</v>
      </c>
      <c r="B676" s="15"/>
      <c r="C676" s="15"/>
      <c r="D676" s="105">
        <v>1.0</v>
      </c>
      <c r="E676" s="102">
        <v>17.0</v>
      </c>
      <c r="F676" s="107">
        <v>129.0</v>
      </c>
      <c r="G676" s="15" t="str">
        <f t="shared" si="1"/>
        <v>17129</v>
      </c>
      <c r="H676" s="23" t="s">
        <v>737</v>
      </c>
      <c r="I676" s="23" t="s">
        <v>48</v>
      </c>
      <c r="J676" s="23" t="s">
        <v>203</v>
      </c>
      <c r="K676" s="23" t="str">
        <f t="shared" si="14"/>
        <v>Menard, IL</v>
      </c>
      <c r="L676" s="23">
        <v>33.0</v>
      </c>
      <c r="M676" s="23" t="s">
        <v>63</v>
      </c>
      <c r="N676" s="23">
        <v>6.0</v>
      </c>
      <c r="O676" s="23">
        <v>27.0</v>
      </c>
      <c r="P676" s="23" t="s">
        <v>63</v>
      </c>
      <c r="Q676" s="23">
        <v>8.0</v>
      </c>
      <c r="R676" s="23">
        <v>1.0</v>
      </c>
      <c r="S676" s="23" t="s">
        <v>63</v>
      </c>
      <c r="T676" s="32" t="s">
        <v>63</v>
      </c>
      <c r="U676" s="23">
        <v>1.0</v>
      </c>
      <c r="V676" s="23" t="s">
        <v>63</v>
      </c>
      <c r="W676" s="23" t="s">
        <v>63</v>
      </c>
      <c r="X676" s="23" t="s">
        <v>63</v>
      </c>
      <c r="Y676" s="35">
        <v>19.0</v>
      </c>
      <c r="Z676" s="32" t="s">
        <v>63</v>
      </c>
      <c r="AA676" s="38"/>
      <c r="AB676" s="38"/>
      <c r="AC676" s="38"/>
      <c r="AD676" s="38"/>
      <c r="AE676" s="38"/>
      <c r="AF676" s="38"/>
      <c r="AG676" s="38"/>
      <c r="AH676" s="38"/>
      <c r="AI676" s="38"/>
      <c r="AJ676" s="38"/>
      <c r="AK676" s="38"/>
    </row>
    <row r="677">
      <c r="A677" s="99">
        <v>676.0</v>
      </c>
      <c r="B677" s="15"/>
      <c r="C677" s="15"/>
      <c r="D677" s="105">
        <v>1.0</v>
      </c>
      <c r="E677" s="102">
        <v>17.0</v>
      </c>
      <c r="F677" s="107">
        <v>131.0</v>
      </c>
      <c r="G677" s="15" t="str">
        <f t="shared" si="1"/>
        <v>17131</v>
      </c>
      <c r="H677" s="23" t="s">
        <v>738</v>
      </c>
      <c r="I677" s="23" t="s">
        <v>48</v>
      </c>
      <c r="J677" s="23" t="s">
        <v>203</v>
      </c>
      <c r="K677" s="23" t="str">
        <f t="shared" si="14"/>
        <v>Mercer, IL</v>
      </c>
      <c r="L677" s="23">
        <v>29.0</v>
      </c>
      <c r="M677" s="23" t="s">
        <v>63</v>
      </c>
      <c r="N677" s="23">
        <v>18.0</v>
      </c>
      <c r="O677" s="23">
        <v>11.0</v>
      </c>
      <c r="P677" s="23" t="s">
        <v>63</v>
      </c>
      <c r="Q677" s="23">
        <v>21.0</v>
      </c>
      <c r="R677" s="23">
        <v>3.0</v>
      </c>
      <c r="S677" s="23" t="s">
        <v>63</v>
      </c>
      <c r="T677" s="32" t="s">
        <v>63</v>
      </c>
      <c r="U677" s="23">
        <v>10.0</v>
      </c>
      <c r="V677" s="23" t="s">
        <v>63</v>
      </c>
      <c r="W677" s="23" t="s">
        <v>63</v>
      </c>
      <c r="X677" s="23" t="s">
        <v>63</v>
      </c>
      <c r="Y677" s="35">
        <v>26.0</v>
      </c>
      <c r="Z677" s="32" t="s">
        <v>63</v>
      </c>
      <c r="AA677" s="38"/>
      <c r="AB677" s="38"/>
      <c r="AC677" s="38"/>
      <c r="AD677" s="38"/>
      <c r="AE677" s="38"/>
      <c r="AF677" s="38"/>
      <c r="AG677" s="38"/>
      <c r="AH677" s="38"/>
      <c r="AI677" s="38"/>
      <c r="AJ677" s="38"/>
      <c r="AK677" s="38"/>
    </row>
    <row r="678">
      <c r="A678" s="99">
        <v>677.0</v>
      </c>
      <c r="B678" s="15"/>
      <c r="C678" s="15"/>
      <c r="D678" s="105">
        <v>1.0</v>
      </c>
      <c r="E678" s="102">
        <v>17.0</v>
      </c>
      <c r="F678" s="107">
        <v>133.0</v>
      </c>
      <c r="G678" s="15" t="str">
        <f t="shared" si="1"/>
        <v>17133</v>
      </c>
      <c r="H678" s="23" t="s">
        <v>156</v>
      </c>
      <c r="I678" s="23" t="s">
        <v>48</v>
      </c>
      <c r="J678" s="23" t="s">
        <v>203</v>
      </c>
      <c r="K678" s="23" t="str">
        <f t="shared" si="14"/>
        <v>Monroe, IL</v>
      </c>
      <c r="L678" s="23">
        <v>53.0</v>
      </c>
      <c r="M678" s="23" t="s">
        <v>63</v>
      </c>
      <c r="N678" s="23">
        <v>31.0</v>
      </c>
      <c r="O678" s="23">
        <v>22.0</v>
      </c>
      <c r="P678" s="23" t="s">
        <v>63</v>
      </c>
      <c r="Q678" s="23">
        <v>32.0</v>
      </c>
      <c r="R678" s="23">
        <v>8.0</v>
      </c>
      <c r="S678" s="23" t="s">
        <v>63</v>
      </c>
      <c r="T678" s="32" t="s">
        <v>63</v>
      </c>
      <c r="U678" s="23">
        <v>4.0</v>
      </c>
      <c r="V678" s="23" t="s">
        <v>63</v>
      </c>
      <c r="W678" s="23" t="s">
        <v>63</v>
      </c>
      <c r="X678" s="23" t="s">
        <v>63</v>
      </c>
      <c r="Y678" s="35">
        <v>26.0</v>
      </c>
      <c r="Z678" s="32" t="s">
        <v>63</v>
      </c>
      <c r="AA678" s="38"/>
      <c r="AB678" s="38"/>
      <c r="AC678" s="38"/>
      <c r="AD678" s="38"/>
      <c r="AE678" s="38"/>
      <c r="AF678" s="38"/>
      <c r="AG678" s="38"/>
      <c r="AH678" s="38"/>
      <c r="AI678" s="38"/>
      <c r="AJ678" s="38"/>
      <c r="AK678" s="38"/>
    </row>
    <row r="679">
      <c r="A679" s="99">
        <v>678.0</v>
      </c>
      <c r="B679" s="15"/>
      <c r="C679" s="15"/>
      <c r="D679" s="105">
        <v>1.0</v>
      </c>
      <c r="E679" s="102">
        <v>17.0</v>
      </c>
      <c r="F679" s="107">
        <v>135.0</v>
      </c>
      <c r="G679" s="15" t="str">
        <f t="shared" si="1"/>
        <v>17135</v>
      </c>
      <c r="H679" s="23" t="s">
        <v>157</v>
      </c>
      <c r="I679" s="23" t="s">
        <v>48</v>
      </c>
      <c r="J679" s="23" t="s">
        <v>203</v>
      </c>
      <c r="K679" s="23" t="str">
        <f t="shared" si="14"/>
        <v>Montgomery, IL</v>
      </c>
      <c r="L679" s="23">
        <v>115.0</v>
      </c>
      <c r="M679" s="23" t="s">
        <v>63</v>
      </c>
      <c r="N679" s="23">
        <v>40.0</v>
      </c>
      <c r="O679" s="23">
        <v>75.0</v>
      </c>
      <c r="P679" s="23" t="s">
        <v>63</v>
      </c>
      <c r="Q679" s="23">
        <v>40.0</v>
      </c>
      <c r="R679" s="23">
        <v>13.0</v>
      </c>
      <c r="S679" s="23" t="s">
        <v>63</v>
      </c>
      <c r="T679" s="32" t="s">
        <v>63</v>
      </c>
      <c r="U679" s="23">
        <v>8.0</v>
      </c>
      <c r="V679" s="23" t="s">
        <v>63</v>
      </c>
      <c r="W679" s="23" t="s">
        <v>63</v>
      </c>
      <c r="X679" s="23" t="s">
        <v>63</v>
      </c>
      <c r="Y679" s="35">
        <v>61.0</v>
      </c>
      <c r="Z679" s="32" t="s">
        <v>63</v>
      </c>
      <c r="AA679" s="38"/>
      <c r="AB679" s="38"/>
      <c r="AC679" s="38"/>
      <c r="AD679" s="38"/>
      <c r="AE679" s="38"/>
      <c r="AF679" s="38"/>
      <c r="AG679" s="38"/>
      <c r="AH679" s="38"/>
      <c r="AI679" s="38"/>
      <c r="AJ679" s="38"/>
      <c r="AK679" s="38"/>
    </row>
    <row r="680">
      <c r="A680" s="99">
        <v>679.0</v>
      </c>
      <c r="B680" s="15"/>
      <c r="C680" s="15"/>
      <c r="D680" s="105">
        <v>1.0</v>
      </c>
      <c r="E680" s="102">
        <v>17.0</v>
      </c>
      <c r="F680" s="107">
        <v>137.0</v>
      </c>
      <c r="G680" s="15" t="str">
        <f t="shared" si="1"/>
        <v>17137</v>
      </c>
      <c r="H680" s="23" t="s">
        <v>158</v>
      </c>
      <c r="I680" s="23" t="s">
        <v>48</v>
      </c>
      <c r="J680" s="23" t="s">
        <v>203</v>
      </c>
      <c r="K680" s="23" t="str">
        <f t="shared" si="14"/>
        <v>Morgan, IL</v>
      </c>
      <c r="L680" s="23">
        <v>94.0</v>
      </c>
      <c r="M680" s="23" t="s">
        <v>63</v>
      </c>
      <c r="N680" s="23">
        <v>35.0</v>
      </c>
      <c r="O680" s="23">
        <v>56.0</v>
      </c>
      <c r="P680" s="23" t="s">
        <v>63</v>
      </c>
      <c r="Q680" s="23">
        <v>26.0</v>
      </c>
      <c r="R680" s="23">
        <v>1.0</v>
      </c>
      <c r="S680" s="23" t="s">
        <v>63</v>
      </c>
      <c r="T680" s="32" t="s">
        <v>63</v>
      </c>
      <c r="U680" s="23">
        <v>39.0</v>
      </c>
      <c r="V680" s="23" t="s">
        <v>63</v>
      </c>
      <c r="W680" s="23" t="s">
        <v>63</v>
      </c>
      <c r="X680" s="23" t="s">
        <v>63</v>
      </c>
      <c r="Y680" s="35">
        <v>46.0</v>
      </c>
      <c r="Z680" s="32" t="s">
        <v>63</v>
      </c>
      <c r="AA680" s="38"/>
      <c r="AB680" s="38"/>
      <c r="AC680" s="38"/>
      <c r="AD680" s="38"/>
      <c r="AE680" s="38"/>
      <c r="AF680" s="38"/>
      <c r="AG680" s="38"/>
      <c r="AH680" s="38"/>
      <c r="AI680" s="38"/>
      <c r="AJ680" s="38"/>
      <c r="AK680" s="38"/>
    </row>
    <row r="681">
      <c r="A681" s="99">
        <v>680.0</v>
      </c>
      <c r="B681" s="15"/>
      <c r="C681" s="15"/>
      <c r="D681" s="105">
        <v>1.0</v>
      </c>
      <c r="E681" s="102">
        <v>17.0</v>
      </c>
      <c r="F681" s="107">
        <v>139.0</v>
      </c>
      <c r="G681" s="15" t="str">
        <f t="shared" si="1"/>
        <v>17139</v>
      </c>
      <c r="H681" s="23" t="s">
        <v>739</v>
      </c>
      <c r="I681" s="23" t="s">
        <v>48</v>
      </c>
      <c r="J681" s="23" t="s">
        <v>203</v>
      </c>
      <c r="K681" s="23" t="str">
        <f t="shared" si="14"/>
        <v>Moultrie, IL</v>
      </c>
      <c r="L681" s="23">
        <v>54.0</v>
      </c>
      <c r="M681" s="23" t="s">
        <v>63</v>
      </c>
      <c r="N681" s="23">
        <v>17.0</v>
      </c>
      <c r="O681" s="23">
        <v>36.0</v>
      </c>
      <c r="P681" s="23" t="s">
        <v>63</v>
      </c>
      <c r="Q681" s="23">
        <v>17.0</v>
      </c>
      <c r="R681" s="23">
        <v>8.0</v>
      </c>
      <c r="S681" s="23" t="s">
        <v>63</v>
      </c>
      <c r="T681" s="32" t="s">
        <v>63</v>
      </c>
      <c r="U681" s="23">
        <v>5.0</v>
      </c>
      <c r="V681" s="23" t="s">
        <v>63</v>
      </c>
      <c r="W681" s="23" t="s">
        <v>63</v>
      </c>
      <c r="X681" s="23" t="s">
        <v>63</v>
      </c>
      <c r="Y681" s="35">
        <v>25.0</v>
      </c>
      <c r="Z681" s="32" t="s">
        <v>63</v>
      </c>
      <c r="AA681" s="38"/>
      <c r="AB681" s="38"/>
      <c r="AC681" s="38"/>
      <c r="AD681" s="38"/>
      <c r="AE681" s="38"/>
      <c r="AF681" s="38"/>
      <c r="AG681" s="38"/>
      <c r="AH681" s="38"/>
      <c r="AI681" s="38"/>
      <c r="AJ681" s="38"/>
      <c r="AK681" s="38"/>
    </row>
    <row r="682">
      <c r="A682" s="99">
        <v>681.0</v>
      </c>
      <c r="B682" s="15"/>
      <c r="C682" s="15"/>
      <c r="D682" s="105">
        <v>1.0</v>
      </c>
      <c r="E682" s="102">
        <v>17.0</v>
      </c>
      <c r="F682" s="107">
        <v>141.0</v>
      </c>
      <c r="G682" s="15" t="str">
        <f t="shared" si="1"/>
        <v>17141</v>
      </c>
      <c r="H682" s="23" t="s">
        <v>740</v>
      </c>
      <c r="I682" s="23" t="s">
        <v>48</v>
      </c>
      <c r="J682" s="23" t="s">
        <v>203</v>
      </c>
      <c r="K682" s="23" t="str">
        <f t="shared" si="14"/>
        <v>Ogle, IL</v>
      </c>
      <c r="L682" s="23">
        <v>48.0</v>
      </c>
      <c r="M682" s="23" t="s">
        <v>63</v>
      </c>
      <c r="N682" s="23">
        <v>16.0</v>
      </c>
      <c r="O682" s="23">
        <v>32.0</v>
      </c>
      <c r="P682" s="23" t="s">
        <v>63</v>
      </c>
      <c r="Q682" s="23">
        <v>22.0</v>
      </c>
      <c r="R682" s="23">
        <v>4.0</v>
      </c>
      <c r="S682" s="23" t="s">
        <v>63</v>
      </c>
      <c r="T682" s="32" t="s">
        <v>63</v>
      </c>
      <c r="U682" s="23">
        <v>15.0</v>
      </c>
      <c r="V682" s="23" t="s">
        <v>63</v>
      </c>
      <c r="W682" s="23" t="s">
        <v>63</v>
      </c>
      <c r="X682" s="23" t="s">
        <v>63</v>
      </c>
      <c r="Y682" s="35">
        <v>65.0</v>
      </c>
      <c r="Z682" s="32" t="s">
        <v>63</v>
      </c>
      <c r="AA682" s="38"/>
      <c r="AB682" s="38"/>
      <c r="AC682" s="38"/>
      <c r="AD682" s="38"/>
      <c r="AE682" s="38"/>
      <c r="AF682" s="38"/>
      <c r="AG682" s="38"/>
      <c r="AH682" s="38"/>
      <c r="AI682" s="38"/>
      <c r="AJ682" s="38"/>
      <c r="AK682" s="38"/>
    </row>
    <row r="683">
      <c r="A683" s="99">
        <v>682.0</v>
      </c>
      <c r="B683" s="15"/>
      <c r="C683" s="15"/>
      <c r="D683" s="105">
        <v>1.0</v>
      </c>
      <c r="E683" s="102">
        <v>17.0</v>
      </c>
      <c r="F683" s="107">
        <v>143.0</v>
      </c>
      <c r="G683" s="15" t="str">
        <f t="shared" si="1"/>
        <v>17143</v>
      </c>
      <c r="H683" s="23" t="s">
        <v>741</v>
      </c>
      <c r="I683" s="23" t="s">
        <v>48</v>
      </c>
      <c r="J683" s="23" t="s">
        <v>203</v>
      </c>
      <c r="K683" s="23" t="str">
        <f t="shared" si="14"/>
        <v>Peoria, IL</v>
      </c>
      <c r="L683" s="23">
        <v>744.0</v>
      </c>
      <c r="M683" s="23" t="s">
        <v>63</v>
      </c>
      <c r="N683" s="23">
        <v>285.0</v>
      </c>
      <c r="O683" s="23">
        <v>397.0</v>
      </c>
      <c r="P683" s="23" t="s">
        <v>63</v>
      </c>
      <c r="Q683" s="23">
        <v>350.0</v>
      </c>
      <c r="R683" s="23">
        <v>53.0</v>
      </c>
      <c r="S683" s="23" t="s">
        <v>63</v>
      </c>
      <c r="T683" s="32" t="s">
        <v>63</v>
      </c>
      <c r="U683" s="23">
        <v>137.0</v>
      </c>
      <c r="V683" s="23" t="s">
        <v>63</v>
      </c>
      <c r="W683" s="23" t="s">
        <v>63</v>
      </c>
      <c r="X683" s="23" t="s">
        <v>63</v>
      </c>
      <c r="Y683" s="35">
        <v>190.0</v>
      </c>
      <c r="Z683" s="32" t="s">
        <v>63</v>
      </c>
      <c r="AA683" s="38"/>
      <c r="AB683" s="38"/>
      <c r="AC683" s="38"/>
      <c r="AD683" s="38"/>
      <c r="AE683" s="38"/>
      <c r="AF683" s="38"/>
      <c r="AG683" s="38"/>
      <c r="AH683" s="38"/>
      <c r="AI683" s="38"/>
      <c r="AJ683" s="38"/>
      <c r="AK683" s="38"/>
    </row>
    <row r="684">
      <c r="A684" s="99">
        <v>683.0</v>
      </c>
      <c r="B684" s="15"/>
      <c r="C684" s="15"/>
      <c r="D684" s="105">
        <v>1.0</v>
      </c>
      <c r="E684" s="102">
        <v>17.0</v>
      </c>
      <c r="F684" s="107">
        <v>145.0</v>
      </c>
      <c r="G684" s="15" t="str">
        <f t="shared" si="1"/>
        <v>17145</v>
      </c>
      <c r="H684" s="23" t="s">
        <v>159</v>
      </c>
      <c r="I684" s="23" t="s">
        <v>48</v>
      </c>
      <c r="J684" s="23" t="s">
        <v>203</v>
      </c>
      <c r="K684" s="23" t="str">
        <f t="shared" si="14"/>
        <v>Perry, IL</v>
      </c>
      <c r="L684" s="23">
        <v>72.0</v>
      </c>
      <c r="M684" s="23" t="s">
        <v>63</v>
      </c>
      <c r="N684" s="23">
        <v>24.0</v>
      </c>
      <c r="O684" s="23">
        <v>48.0</v>
      </c>
      <c r="P684" s="23" t="s">
        <v>63</v>
      </c>
      <c r="Q684" s="23">
        <v>19.0</v>
      </c>
      <c r="R684" s="23">
        <v>2.0</v>
      </c>
      <c r="S684" s="23" t="s">
        <v>63</v>
      </c>
      <c r="T684" s="32" t="s">
        <v>63</v>
      </c>
      <c r="U684" s="23">
        <v>4.0</v>
      </c>
      <c r="V684" s="23" t="s">
        <v>63</v>
      </c>
      <c r="W684" s="23" t="s">
        <v>63</v>
      </c>
      <c r="X684" s="23" t="s">
        <v>63</v>
      </c>
      <c r="Y684" s="35">
        <v>40.0</v>
      </c>
      <c r="Z684" s="32" t="s">
        <v>63</v>
      </c>
      <c r="AA684" s="38"/>
      <c r="AB684" s="38"/>
      <c r="AC684" s="38"/>
      <c r="AD684" s="38"/>
      <c r="AE684" s="38"/>
      <c r="AF684" s="38"/>
      <c r="AG684" s="38"/>
      <c r="AH684" s="38"/>
      <c r="AI684" s="38"/>
      <c r="AJ684" s="38"/>
      <c r="AK684" s="38"/>
    </row>
    <row r="685">
      <c r="A685" s="99">
        <v>684.0</v>
      </c>
      <c r="B685" s="15"/>
      <c r="C685" s="15"/>
      <c r="D685" s="105">
        <v>1.0</v>
      </c>
      <c r="E685" s="102">
        <v>17.0</v>
      </c>
      <c r="F685" s="107">
        <v>147.0</v>
      </c>
      <c r="G685" s="15" t="str">
        <f t="shared" si="1"/>
        <v>17147</v>
      </c>
      <c r="H685" s="23" t="s">
        <v>742</v>
      </c>
      <c r="I685" s="23" t="s">
        <v>48</v>
      </c>
      <c r="J685" s="23" t="s">
        <v>203</v>
      </c>
      <c r="K685" s="23" t="str">
        <f t="shared" si="14"/>
        <v>Piatt, IL</v>
      </c>
      <c r="L685" s="23">
        <v>62.0</v>
      </c>
      <c r="M685" s="23" t="s">
        <v>63</v>
      </c>
      <c r="N685" s="23">
        <v>28.0</v>
      </c>
      <c r="O685" s="23">
        <v>34.0</v>
      </c>
      <c r="P685" s="23" t="s">
        <v>63</v>
      </c>
      <c r="Q685" s="23">
        <v>28.0</v>
      </c>
      <c r="R685" s="23">
        <v>5.0</v>
      </c>
      <c r="S685" s="23" t="s">
        <v>63</v>
      </c>
      <c r="T685" s="32" t="s">
        <v>63</v>
      </c>
      <c r="U685" s="23">
        <v>8.0</v>
      </c>
      <c r="V685" s="23" t="s">
        <v>63</v>
      </c>
      <c r="W685" s="23" t="s">
        <v>63</v>
      </c>
      <c r="X685" s="23" t="s">
        <v>63</v>
      </c>
      <c r="Y685" s="35">
        <v>29.0</v>
      </c>
      <c r="Z685" s="32" t="s">
        <v>63</v>
      </c>
      <c r="AA685" s="38"/>
      <c r="AB685" s="38"/>
      <c r="AC685" s="38"/>
      <c r="AD685" s="38"/>
      <c r="AE685" s="38"/>
      <c r="AF685" s="38"/>
      <c r="AG685" s="38"/>
      <c r="AH685" s="38"/>
      <c r="AI685" s="38"/>
      <c r="AJ685" s="38"/>
      <c r="AK685" s="38"/>
    </row>
    <row r="686">
      <c r="A686" s="99">
        <v>685.0</v>
      </c>
      <c r="B686" s="15"/>
      <c r="C686" s="15"/>
      <c r="D686" s="105">
        <v>1.0</v>
      </c>
      <c r="E686" s="102">
        <v>17.0</v>
      </c>
      <c r="F686" s="107">
        <v>149.0</v>
      </c>
      <c r="G686" s="15" t="str">
        <f t="shared" si="1"/>
        <v>17149</v>
      </c>
      <c r="H686" s="23" t="s">
        <v>162</v>
      </c>
      <c r="I686" s="23" t="s">
        <v>48</v>
      </c>
      <c r="J686" s="23" t="s">
        <v>203</v>
      </c>
      <c r="K686" s="23" t="str">
        <f t="shared" si="14"/>
        <v>Pike, IL</v>
      </c>
      <c r="L686" s="23">
        <v>57.0</v>
      </c>
      <c r="M686" s="23" t="s">
        <v>63</v>
      </c>
      <c r="N686" s="23">
        <v>13.0</v>
      </c>
      <c r="O686" s="23">
        <v>44.0</v>
      </c>
      <c r="P686" s="23" t="s">
        <v>63</v>
      </c>
      <c r="Q686" s="23">
        <v>18.0</v>
      </c>
      <c r="R686" s="23">
        <v>3.0</v>
      </c>
      <c r="S686" s="23" t="s">
        <v>63</v>
      </c>
      <c r="T686" s="32" t="s">
        <v>63</v>
      </c>
      <c r="U686" s="23">
        <v>8.0</v>
      </c>
      <c r="V686" s="23" t="s">
        <v>63</v>
      </c>
      <c r="W686" s="23" t="s">
        <v>63</v>
      </c>
      <c r="X686" s="23" t="s">
        <v>63</v>
      </c>
      <c r="Y686" s="35">
        <v>27.0</v>
      </c>
      <c r="Z686" s="32" t="s">
        <v>63</v>
      </c>
      <c r="AA686" s="38"/>
      <c r="AB686" s="38"/>
      <c r="AC686" s="38"/>
      <c r="AD686" s="38"/>
      <c r="AE686" s="38"/>
      <c r="AF686" s="38"/>
      <c r="AG686" s="38"/>
      <c r="AH686" s="38"/>
      <c r="AI686" s="38"/>
      <c r="AJ686" s="38"/>
      <c r="AK686" s="38"/>
    </row>
    <row r="687">
      <c r="A687" s="99">
        <v>686.0</v>
      </c>
      <c r="B687" s="15"/>
      <c r="C687" s="15"/>
      <c r="D687" s="105">
        <v>1.0</v>
      </c>
      <c r="E687" s="102">
        <v>17.0</v>
      </c>
      <c r="F687" s="107">
        <v>151.0</v>
      </c>
      <c r="G687" s="15" t="str">
        <f t="shared" si="1"/>
        <v>17151</v>
      </c>
      <c r="H687" s="23" t="s">
        <v>303</v>
      </c>
      <c r="I687" s="23" t="s">
        <v>48</v>
      </c>
      <c r="J687" s="23" t="s">
        <v>203</v>
      </c>
      <c r="K687" s="23" t="str">
        <f t="shared" si="14"/>
        <v>Pope, IL</v>
      </c>
      <c r="L687" s="23">
        <v>9.0</v>
      </c>
      <c r="M687" s="23" t="s">
        <v>63</v>
      </c>
      <c r="N687" s="23">
        <v>2.0</v>
      </c>
      <c r="O687" s="23">
        <v>7.0</v>
      </c>
      <c r="P687" s="23" t="s">
        <v>63</v>
      </c>
      <c r="Q687" s="23">
        <v>1.0</v>
      </c>
      <c r="R687" s="23" t="s">
        <v>63</v>
      </c>
      <c r="S687" s="23" t="s">
        <v>63</v>
      </c>
      <c r="T687" s="32" t="s">
        <v>63</v>
      </c>
      <c r="U687" s="23">
        <v>4.0</v>
      </c>
      <c r="V687" s="23" t="s">
        <v>63</v>
      </c>
      <c r="W687" s="23" t="s">
        <v>63</v>
      </c>
      <c r="X687" s="23" t="s">
        <v>63</v>
      </c>
      <c r="Y687" s="35">
        <v>12.0</v>
      </c>
      <c r="Z687" s="32" t="s">
        <v>63</v>
      </c>
      <c r="AA687" s="38"/>
      <c r="AB687" s="38"/>
      <c r="AC687" s="38"/>
      <c r="AD687" s="38"/>
      <c r="AE687" s="38"/>
      <c r="AF687" s="38"/>
      <c r="AG687" s="38"/>
      <c r="AH687" s="38"/>
      <c r="AI687" s="38"/>
      <c r="AJ687" s="38"/>
      <c r="AK687" s="38"/>
    </row>
    <row r="688">
      <c r="A688" s="99">
        <v>687.0</v>
      </c>
      <c r="B688" s="15"/>
      <c r="C688" s="15"/>
      <c r="D688" s="105">
        <v>1.0</v>
      </c>
      <c r="E688" s="102">
        <v>17.0</v>
      </c>
      <c r="F688" s="107">
        <v>153.0</v>
      </c>
      <c r="G688" s="15" t="str">
        <f t="shared" si="1"/>
        <v>17153</v>
      </c>
      <c r="H688" s="23" t="s">
        <v>305</v>
      </c>
      <c r="I688" s="23" t="s">
        <v>48</v>
      </c>
      <c r="J688" s="23" t="s">
        <v>203</v>
      </c>
      <c r="K688" s="23" t="str">
        <f t="shared" si="14"/>
        <v>Pulaski, IL</v>
      </c>
      <c r="L688" s="23">
        <v>25.0</v>
      </c>
      <c r="M688" s="23" t="s">
        <v>63</v>
      </c>
      <c r="N688" s="23">
        <v>8.0</v>
      </c>
      <c r="O688" s="23">
        <v>16.0</v>
      </c>
      <c r="P688" s="23" t="s">
        <v>63</v>
      </c>
      <c r="Q688" s="23">
        <v>7.0</v>
      </c>
      <c r="R688" s="23">
        <v>3.0</v>
      </c>
      <c r="S688" s="23" t="s">
        <v>63</v>
      </c>
      <c r="T688" s="32" t="s">
        <v>63</v>
      </c>
      <c r="U688" s="23">
        <v>7.0</v>
      </c>
      <c r="V688" s="23" t="s">
        <v>63</v>
      </c>
      <c r="W688" s="23" t="s">
        <v>63</v>
      </c>
      <c r="X688" s="23" t="s">
        <v>63</v>
      </c>
      <c r="Y688" s="35">
        <v>11.0</v>
      </c>
      <c r="Z688" s="32" t="s">
        <v>63</v>
      </c>
      <c r="AA688" s="38"/>
      <c r="AB688" s="38"/>
      <c r="AC688" s="38"/>
      <c r="AD688" s="38"/>
      <c r="AE688" s="38"/>
      <c r="AF688" s="38"/>
      <c r="AG688" s="38"/>
      <c r="AH688" s="38"/>
      <c r="AI688" s="38"/>
      <c r="AJ688" s="38"/>
      <c r="AK688" s="38"/>
    </row>
    <row r="689">
      <c r="A689" s="99">
        <v>688.0</v>
      </c>
      <c r="B689" s="15"/>
      <c r="C689" s="15"/>
      <c r="D689" s="105">
        <v>1.0</v>
      </c>
      <c r="E689" s="102">
        <v>17.0</v>
      </c>
      <c r="F689" s="107">
        <v>155.0</v>
      </c>
      <c r="G689" s="15" t="str">
        <f t="shared" si="1"/>
        <v>17155</v>
      </c>
      <c r="H689" s="23" t="s">
        <v>518</v>
      </c>
      <c r="I689" s="23" t="s">
        <v>48</v>
      </c>
      <c r="J689" s="23" t="s">
        <v>203</v>
      </c>
      <c r="K689" s="23" t="str">
        <f t="shared" si="14"/>
        <v>Putnam, IL</v>
      </c>
      <c r="L689" s="23">
        <v>8.0</v>
      </c>
      <c r="M689" s="23" t="s">
        <v>63</v>
      </c>
      <c r="N689" s="23">
        <v>4.0</v>
      </c>
      <c r="O689" s="23">
        <v>4.0</v>
      </c>
      <c r="P689" s="23" t="s">
        <v>63</v>
      </c>
      <c r="Q689" s="23">
        <v>4.0</v>
      </c>
      <c r="R689" s="23" t="s">
        <v>63</v>
      </c>
      <c r="S689" s="23" t="s">
        <v>63</v>
      </c>
      <c r="T689" s="32" t="s">
        <v>63</v>
      </c>
      <c r="U689" s="23">
        <v>1.0</v>
      </c>
      <c r="V689" s="23" t="s">
        <v>63</v>
      </c>
      <c r="W689" s="23" t="s">
        <v>63</v>
      </c>
      <c r="X689" s="23" t="s">
        <v>63</v>
      </c>
      <c r="Y689" s="35">
        <v>8.0</v>
      </c>
      <c r="Z689" s="32" t="s">
        <v>63</v>
      </c>
      <c r="AA689" s="38"/>
      <c r="AB689" s="38"/>
      <c r="AC689" s="38"/>
      <c r="AD689" s="38"/>
      <c r="AE689" s="38"/>
      <c r="AF689" s="38"/>
      <c r="AG689" s="38"/>
      <c r="AH689" s="38"/>
      <c r="AI689" s="38"/>
      <c r="AJ689" s="38"/>
      <c r="AK689" s="38"/>
    </row>
    <row r="690">
      <c r="A690" s="99">
        <v>689.0</v>
      </c>
      <c r="B690" s="15"/>
      <c r="C690" s="15"/>
      <c r="D690" s="105">
        <v>1.0</v>
      </c>
      <c r="E690" s="102">
        <v>17.0</v>
      </c>
      <c r="F690" s="107">
        <v>157.0</v>
      </c>
      <c r="G690" s="15" t="str">
        <f t="shared" si="1"/>
        <v>17157</v>
      </c>
      <c r="H690" s="23" t="s">
        <v>163</v>
      </c>
      <c r="I690" s="23" t="s">
        <v>48</v>
      </c>
      <c r="J690" s="23" t="s">
        <v>203</v>
      </c>
      <c r="K690" s="23" t="str">
        <f t="shared" si="14"/>
        <v>Randolph, IL</v>
      </c>
      <c r="L690" s="23">
        <v>99.0</v>
      </c>
      <c r="M690" s="23" t="s">
        <v>63</v>
      </c>
      <c r="N690" s="23">
        <v>18.0</v>
      </c>
      <c r="O690" s="23">
        <v>80.0</v>
      </c>
      <c r="P690" s="23" t="s">
        <v>63</v>
      </c>
      <c r="Q690" s="23">
        <v>35.0</v>
      </c>
      <c r="R690" s="23">
        <v>22.0</v>
      </c>
      <c r="S690" s="23" t="s">
        <v>63</v>
      </c>
      <c r="T690" s="32" t="s">
        <v>63</v>
      </c>
      <c r="U690" s="23">
        <v>27.0</v>
      </c>
      <c r="V690" s="23" t="s">
        <v>63</v>
      </c>
      <c r="W690" s="23" t="s">
        <v>63</v>
      </c>
      <c r="X690" s="23" t="s">
        <v>63</v>
      </c>
      <c r="Y690" s="35">
        <v>52.0</v>
      </c>
      <c r="Z690" s="32" t="s">
        <v>63</v>
      </c>
      <c r="AA690" s="38"/>
      <c r="AB690" s="38"/>
      <c r="AC690" s="38"/>
      <c r="AD690" s="38"/>
      <c r="AE690" s="38"/>
      <c r="AF690" s="38"/>
      <c r="AG690" s="38"/>
      <c r="AH690" s="38"/>
      <c r="AI690" s="38"/>
      <c r="AJ690" s="38"/>
      <c r="AK690" s="38"/>
    </row>
    <row r="691">
      <c r="A691" s="99">
        <v>690.0</v>
      </c>
      <c r="B691" s="15"/>
      <c r="C691" s="15"/>
      <c r="D691" s="105">
        <v>1.0</v>
      </c>
      <c r="E691" s="102">
        <v>17.0</v>
      </c>
      <c r="F691" s="107">
        <v>159.0</v>
      </c>
      <c r="G691" s="15" t="str">
        <f t="shared" si="1"/>
        <v>17159</v>
      </c>
      <c r="H691" s="23" t="s">
        <v>743</v>
      </c>
      <c r="I691" s="23" t="s">
        <v>48</v>
      </c>
      <c r="J691" s="23" t="s">
        <v>203</v>
      </c>
      <c r="K691" s="23" t="str">
        <f t="shared" si="14"/>
        <v>Richland, IL</v>
      </c>
      <c r="L691" s="23">
        <v>68.0</v>
      </c>
      <c r="M691" s="23" t="s">
        <v>63</v>
      </c>
      <c r="N691" s="23">
        <v>27.0</v>
      </c>
      <c r="O691" s="23">
        <v>41.0</v>
      </c>
      <c r="P691" s="23" t="s">
        <v>63</v>
      </c>
      <c r="Q691" s="23">
        <v>30.0</v>
      </c>
      <c r="R691" s="23">
        <v>8.0</v>
      </c>
      <c r="S691" s="23" t="s">
        <v>63</v>
      </c>
      <c r="T691" s="32" t="s">
        <v>63</v>
      </c>
      <c r="U691" s="23">
        <v>18.0</v>
      </c>
      <c r="V691" s="23" t="s">
        <v>63</v>
      </c>
      <c r="W691" s="23" t="s">
        <v>63</v>
      </c>
      <c r="X691" s="23" t="s">
        <v>63</v>
      </c>
      <c r="Y691" s="35">
        <v>27.0</v>
      </c>
      <c r="Z691" s="32" t="s">
        <v>63</v>
      </c>
      <c r="AA691" s="38"/>
      <c r="AB691" s="38"/>
      <c r="AC691" s="38"/>
      <c r="AD691" s="38"/>
      <c r="AE691" s="38"/>
      <c r="AF691" s="38"/>
      <c r="AG691" s="38"/>
      <c r="AH691" s="38"/>
      <c r="AI691" s="38"/>
      <c r="AJ691" s="38"/>
      <c r="AK691" s="38"/>
    </row>
    <row r="692">
      <c r="A692" s="99">
        <v>691.0</v>
      </c>
      <c r="B692" s="15"/>
      <c r="C692" s="15"/>
      <c r="D692" s="105">
        <v>1.0</v>
      </c>
      <c r="E692" s="102">
        <v>17.0</v>
      </c>
      <c r="F692" s="107">
        <v>161.0</v>
      </c>
      <c r="G692" s="15" t="str">
        <f t="shared" si="1"/>
        <v>17161</v>
      </c>
      <c r="H692" s="23" t="s">
        <v>744</v>
      </c>
      <c r="I692" s="23" t="s">
        <v>48</v>
      </c>
      <c r="J692" s="23" t="s">
        <v>203</v>
      </c>
      <c r="K692" s="23" t="str">
        <f t="shared" si="14"/>
        <v>Rock Island, IL</v>
      </c>
      <c r="L692" s="23">
        <v>236.0</v>
      </c>
      <c r="M692" s="23" t="s">
        <v>63</v>
      </c>
      <c r="N692" s="23">
        <v>93.0</v>
      </c>
      <c r="O692" s="23">
        <v>142.0</v>
      </c>
      <c r="P692" s="23" t="s">
        <v>63</v>
      </c>
      <c r="Q692" s="23">
        <v>119.0</v>
      </c>
      <c r="R692" s="23">
        <v>27.0</v>
      </c>
      <c r="S692" s="23" t="s">
        <v>63</v>
      </c>
      <c r="T692" s="32" t="s">
        <v>63</v>
      </c>
      <c r="U692" s="23">
        <v>115.0</v>
      </c>
      <c r="V692" s="23" t="s">
        <v>63</v>
      </c>
      <c r="W692" s="23" t="s">
        <v>63</v>
      </c>
      <c r="X692" s="23" t="s">
        <v>63</v>
      </c>
      <c r="Y692" s="35">
        <v>125.0</v>
      </c>
      <c r="Z692" s="32" t="s">
        <v>63</v>
      </c>
      <c r="AA692" s="38"/>
      <c r="AB692" s="38"/>
      <c r="AC692" s="38"/>
      <c r="AD692" s="38"/>
      <c r="AE692" s="38"/>
      <c r="AF692" s="38"/>
      <c r="AG692" s="38"/>
      <c r="AH692" s="38"/>
      <c r="AI692" s="38"/>
      <c r="AJ692" s="38"/>
      <c r="AK692" s="38"/>
    </row>
    <row r="693">
      <c r="A693" s="99">
        <v>692.0</v>
      </c>
      <c r="B693" s="15"/>
      <c r="C693" s="15"/>
      <c r="D693" s="105">
        <v>1.0</v>
      </c>
      <c r="E693" s="102">
        <v>17.0</v>
      </c>
      <c r="F693" s="107">
        <v>163.0</v>
      </c>
      <c r="G693" s="15" t="str">
        <f t="shared" si="1"/>
        <v>17163</v>
      </c>
      <c r="H693" s="23" t="s">
        <v>167</v>
      </c>
      <c r="I693" s="23" t="s">
        <v>48</v>
      </c>
      <c r="J693" s="23" t="s">
        <v>203</v>
      </c>
      <c r="K693" s="23" t="str">
        <f t="shared" si="14"/>
        <v>St Clair, IL</v>
      </c>
      <c r="L693" s="23">
        <v>50.0</v>
      </c>
      <c r="M693" s="23" t="s">
        <v>63</v>
      </c>
      <c r="N693" s="23">
        <v>14.0</v>
      </c>
      <c r="O693" s="23">
        <v>27.0</v>
      </c>
      <c r="P693" s="23" t="s">
        <v>63</v>
      </c>
      <c r="Q693" s="23">
        <v>16.0</v>
      </c>
      <c r="R693" s="23">
        <v>7.0</v>
      </c>
      <c r="S693" s="23" t="s">
        <v>63</v>
      </c>
      <c r="T693" s="32" t="s">
        <v>63</v>
      </c>
      <c r="U693" s="23">
        <v>20.0</v>
      </c>
      <c r="V693" s="23" t="s">
        <v>63</v>
      </c>
      <c r="W693" s="23" t="s">
        <v>63</v>
      </c>
      <c r="X693" s="23" t="s">
        <v>63</v>
      </c>
      <c r="Y693" s="35">
        <v>43.0</v>
      </c>
      <c r="Z693" s="32" t="s">
        <v>63</v>
      </c>
      <c r="AA693" s="38"/>
      <c r="AB693" s="38"/>
      <c r="AC693" s="38"/>
      <c r="AD693" s="38"/>
      <c r="AE693" s="38"/>
      <c r="AF693" s="38"/>
      <c r="AG693" s="38"/>
      <c r="AH693" s="38"/>
      <c r="AI693" s="38"/>
      <c r="AJ693" s="38"/>
      <c r="AK693" s="38"/>
    </row>
    <row r="694">
      <c r="A694" s="99">
        <v>693.0</v>
      </c>
      <c r="B694" s="15"/>
      <c r="C694" s="15"/>
      <c r="D694" s="105">
        <v>1.0</v>
      </c>
      <c r="E694" s="102">
        <v>17.0</v>
      </c>
      <c r="F694" s="107">
        <v>165.0</v>
      </c>
      <c r="G694" s="15" t="str">
        <f t="shared" si="1"/>
        <v>17165</v>
      </c>
      <c r="H694" s="23" t="s">
        <v>308</v>
      </c>
      <c r="I694" s="23" t="s">
        <v>48</v>
      </c>
      <c r="J694" s="23" t="s">
        <v>203</v>
      </c>
      <c r="K694" s="23" t="str">
        <f t="shared" si="14"/>
        <v>Saline, IL</v>
      </c>
      <c r="L694" s="23">
        <v>618.0</v>
      </c>
      <c r="M694" s="23" t="s">
        <v>63</v>
      </c>
      <c r="N694" s="23">
        <v>247.0</v>
      </c>
      <c r="O694" s="23">
        <v>338.0</v>
      </c>
      <c r="P694" s="23" t="s">
        <v>63</v>
      </c>
      <c r="Q694" s="23">
        <v>206.0</v>
      </c>
      <c r="R694" s="23">
        <v>61.0</v>
      </c>
      <c r="S694" s="23" t="s">
        <v>63</v>
      </c>
      <c r="T694" s="32" t="s">
        <v>63</v>
      </c>
      <c r="U694" s="23">
        <v>68.0</v>
      </c>
      <c r="V694" s="23" t="s">
        <v>63</v>
      </c>
      <c r="W694" s="23" t="s">
        <v>63</v>
      </c>
      <c r="X694" s="23" t="s">
        <v>63</v>
      </c>
      <c r="Y694" s="35">
        <v>173.0</v>
      </c>
      <c r="Z694" s="32" t="s">
        <v>63</v>
      </c>
      <c r="AA694" s="38"/>
      <c r="AB694" s="38"/>
      <c r="AC694" s="38"/>
      <c r="AD694" s="38"/>
      <c r="AE694" s="38"/>
      <c r="AF694" s="38"/>
      <c r="AG694" s="38"/>
      <c r="AH694" s="38"/>
      <c r="AI694" s="38"/>
      <c r="AJ694" s="38"/>
      <c r="AK694" s="38"/>
    </row>
    <row r="695">
      <c r="A695" s="99">
        <v>694.0</v>
      </c>
      <c r="B695" s="15"/>
      <c r="C695" s="15"/>
      <c r="D695" s="105">
        <v>1.0</v>
      </c>
      <c r="E695" s="102">
        <v>17.0</v>
      </c>
      <c r="F695" s="107">
        <v>167.0</v>
      </c>
      <c r="G695" s="15" t="str">
        <f t="shared" si="1"/>
        <v>17167</v>
      </c>
      <c r="H695" s="23" t="s">
        <v>745</v>
      </c>
      <c r="I695" s="23" t="s">
        <v>48</v>
      </c>
      <c r="J695" s="23" t="s">
        <v>203</v>
      </c>
      <c r="K695" s="23" t="str">
        <f t="shared" si="14"/>
        <v>Sangamon, IL</v>
      </c>
      <c r="L695" s="23">
        <v>19.0</v>
      </c>
      <c r="M695" s="23" t="s">
        <v>63</v>
      </c>
      <c r="N695" s="23">
        <v>7.0</v>
      </c>
      <c r="O695" s="23">
        <v>12.0</v>
      </c>
      <c r="P695" s="23" t="s">
        <v>63</v>
      </c>
      <c r="Q695" s="23">
        <v>9.0</v>
      </c>
      <c r="R695" s="23">
        <v>1.0</v>
      </c>
      <c r="S695" s="23" t="s">
        <v>63</v>
      </c>
      <c r="T695" s="32" t="s">
        <v>63</v>
      </c>
      <c r="U695" s="23">
        <v>5.0</v>
      </c>
      <c r="V695" s="23" t="s">
        <v>63</v>
      </c>
      <c r="W695" s="23" t="s">
        <v>63</v>
      </c>
      <c r="X695" s="23" t="s">
        <v>63</v>
      </c>
      <c r="Y695" s="35">
        <v>11.0</v>
      </c>
      <c r="Z695" s="32" t="s">
        <v>63</v>
      </c>
      <c r="AA695" s="38"/>
      <c r="AB695" s="38"/>
      <c r="AC695" s="38"/>
      <c r="AD695" s="38"/>
      <c r="AE695" s="38"/>
      <c r="AF695" s="38"/>
      <c r="AG695" s="38"/>
      <c r="AH695" s="38"/>
      <c r="AI695" s="38"/>
      <c r="AJ695" s="38"/>
      <c r="AK695" s="38"/>
    </row>
    <row r="696">
      <c r="A696" s="99">
        <v>695.0</v>
      </c>
      <c r="B696" s="15"/>
      <c r="C696" s="15"/>
      <c r="D696" s="105">
        <v>1.0</v>
      </c>
      <c r="E696" s="102">
        <v>17.0</v>
      </c>
      <c r="F696" s="107">
        <v>169.0</v>
      </c>
      <c r="G696" s="15" t="str">
        <f t="shared" si="1"/>
        <v>17169</v>
      </c>
      <c r="H696" s="23" t="s">
        <v>746</v>
      </c>
      <c r="I696" s="23" t="s">
        <v>48</v>
      </c>
      <c r="J696" s="23" t="s">
        <v>203</v>
      </c>
      <c r="K696" s="23" t="str">
        <f t="shared" si="14"/>
        <v>Schuyler, IL</v>
      </c>
      <c r="L696" s="23">
        <v>10.0</v>
      </c>
      <c r="M696" s="23" t="s">
        <v>63</v>
      </c>
      <c r="N696" s="23">
        <v>1.0</v>
      </c>
      <c r="O696" s="23">
        <v>9.0</v>
      </c>
      <c r="P696" s="23" t="s">
        <v>63</v>
      </c>
      <c r="Q696" s="23">
        <v>3.0</v>
      </c>
      <c r="R696" s="23" t="s">
        <v>63</v>
      </c>
      <c r="S696" s="23" t="s">
        <v>63</v>
      </c>
      <c r="T696" s="32" t="s">
        <v>63</v>
      </c>
      <c r="U696" s="23">
        <v>1.0</v>
      </c>
      <c r="V696" s="23" t="s">
        <v>63</v>
      </c>
      <c r="W696" s="23" t="s">
        <v>63</v>
      </c>
      <c r="X696" s="23" t="s">
        <v>63</v>
      </c>
      <c r="Y696" s="35">
        <v>12.0</v>
      </c>
      <c r="Z696" s="32" t="s">
        <v>63</v>
      </c>
      <c r="AA696" s="38"/>
      <c r="AB696" s="38"/>
      <c r="AC696" s="38"/>
      <c r="AD696" s="38"/>
      <c r="AE696" s="38"/>
      <c r="AF696" s="38"/>
      <c r="AG696" s="38"/>
      <c r="AH696" s="38"/>
      <c r="AI696" s="38"/>
      <c r="AJ696" s="38"/>
      <c r="AK696" s="38"/>
    </row>
    <row r="697">
      <c r="A697" s="99">
        <v>696.0</v>
      </c>
      <c r="B697" s="15"/>
      <c r="C697" s="15"/>
      <c r="D697" s="105">
        <v>1.0</v>
      </c>
      <c r="E697" s="102">
        <v>17.0</v>
      </c>
      <c r="F697" s="107">
        <v>171.0</v>
      </c>
      <c r="G697" s="15" t="str">
        <f t="shared" si="1"/>
        <v>17171</v>
      </c>
      <c r="H697" s="23" t="s">
        <v>309</v>
      </c>
      <c r="I697" s="23" t="s">
        <v>48</v>
      </c>
      <c r="J697" s="23" t="s">
        <v>203</v>
      </c>
      <c r="K697" s="23" t="str">
        <f t="shared" si="14"/>
        <v>Scott, IL</v>
      </c>
      <c r="L697" s="23">
        <v>67.0</v>
      </c>
      <c r="M697" s="23" t="s">
        <v>63</v>
      </c>
      <c r="N697" s="23">
        <v>29.0</v>
      </c>
      <c r="O697" s="23">
        <v>38.0</v>
      </c>
      <c r="P697" s="23" t="s">
        <v>63</v>
      </c>
      <c r="Q697" s="23">
        <v>30.0</v>
      </c>
      <c r="R697" s="23">
        <v>11.0</v>
      </c>
      <c r="S697" s="23" t="s">
        <v>63</v>
      </c>
      <c r="T697" s="32" t="s">
        <v>63</v>
      </c>
      <c r="U697" s="23">
        <v>10.0</v>
      </c>
      <c r="V697" s="23" t="s">
        <v>63</v>
      </c>
      <c r="W697" s="23" t="s">
        <v>63</v>
      </c>
      <c r="X697" s="23" t="s">
        <v>63</v>
      </c>
      <c r="Y697" s="35">
        <v>41.0</v>
      </c>
      <c r="Z697" s="32" t="s">
        <v>63</v>
      </c>
      <c r="AA697" s="38"/>
      <c r="AB697" s="38"/>
      <c r="AC697" s="38"/>
      <c r="AD697" s="38"/>
      <c r="AE697" s="38"/>
      <c r="AF697" s="38"/>
      <c r="AG697" s="38"/>
      <c r="AH697" s="38"/>
      <c r="AI697" s="38"/>
      <c r="AJ697" s="38"/>
      <c r="AK697" s="38"/>
    </row>
    <row r="698">
      <c r="A698" s="99">
        <v>697.0</v>
      </c>
      <c r="B698" s="15"/>
      <c r="C698" s="15"/>
      <c r="D698" s="105">
        <v>1.0</v>
      </c>
      <c r="E698" s="102">
        <v>17.0</v>
      </c>
      <c r="F698" s="107">
        <v>173.0</v>
      </c>
      <c r="G698" s="15" t="str">
        <f t="shared" si="1"/>
        <v>17173</v>
      </c>
      <c r="H698" s="23" t="s">
        <v>168</v>
      </c>
      <c r="I698" s="23" t="s">
        <v>48</v>
      </c>
      <c r="J698" s="23" t="s">
        <v>203</v>
      </c>
      <c r="K698" s="23" t="str">
        <f t="shared" si="14"/>
        <v>Shelby, IL</v>
      </c>
      <c r="L698" s="23">
        <v>896.0</v>
      </c>
      <c r="M698" s="23" t="s">
        <v>63</v>
      </c>
      <c r="N698" s="23">
        <v>394.0</v>
      </c>
      <c r="O698" s="23">
        <v>450.0</v>
      </c>
      <c r="P698" s="23" t="s">
        <v>63</v>
      </c>
      <c r="Q698" s="23">
        <v>358.0</v>
      </c>
      <c r="R698" s="23">
        <v>62.0</v>
      </c>
      <c r="S698" s="23" t="s">
        <v>63</v>
      </c>
      <c r="T698" s="32" t="s">
        <v>63</v>
      </c>
      <c r="U698" s="23">
        <v>130.0</v>
      </c>
      <c r="V698" s="23" t="s">
        <v>63</v>
      </c>
      <c r="W698" s="23" t="s">
        <v>63</v>
      </c>
      <c r="X698" s="23" t="s">
        <v>63</v>
      </c>
      <c r="Y698" s="35">
        <v>274.0</v>
      </c>
      <c r="Z698" s="32" t="s">
        <v>63</v>
      </c>
      <c r="AA698" s="38"/>
      <c r="AB698" s="38"/>
      <c r="AC698" s="38"/>
      <c r="AD698" s="38"/>
      <c r="AE698" s="38"/>
      <c r="AF698" s="38"/>
      <c r="AG698" s="38"/>
      <c r="AH698" s="38"/>
      <c r="AI698" s="38"/>
      <c r="AJ698" s="38"/>
      <c r="AK698" s="38"/>
    </row>
    <row r="699">
      <c r="A699" s="99">
        <v>698.0</v>
      </c>
      <c r="B699" s="15"/>
      <c r="C699" s="15"/>
      <c r="D699" s="105">
        <v>1.0</v>
      </c>
      <c r="E699" s="102">
        <v>17.0</v>
      </c>
      <c r="F699" s="107">
        <v>175.0</v>
      </c>
      <c r="G699" s="15" t="str">
        <f t="shared" si="1"/>
        <v>17175</v>
      </c>
      <c r="H699" s="23" t="s">
        <v>747</v>
      </c>
      <c r="I699" s="23" t="s">
        <v>48</v>
      </c>
      <c r="J699" s="23" t="s">
        <v>203</v>
      </c>
      <c r="K699" s="23" t="str">
        <f t="shared" si="14"/>
        <v>Stark, IL</v>
      </c>
      <c r="L699" s="23">
        <v>20.0</v>
      </c>
      <c r="M699" s="23" t="s">
        <v>63</v>
      </c>
      <c r="N699" s="23">
        <v>9.0</v>
      </c>
      <c r="O699" s="23">
        <v>11.0</v>
      </c>
      <c r="P699" s="23" t="s">
        <v>63</v>
      </c>
      <c r="Q699" s="23">
        <v>8.0</v>
      </c>
      <c r="R699" s="23" t="s">
        <v>63</v>
      </c>
      <c r="S699" s="23" t="s">
        <v>63</v>
      </c>
      <c r="T699" s="32" t="s">
        <v>63</v>
      </c>
      <c r="U699" s="23">
        <v>1.0</v>
      </c>
      <c r="V699" s="23" t="s">
        <v>63</v>
      </c>
      <c r="W699" s="23" t="s">
        <v>63</v>
      </c>
      <c r="X699" s="23" t="s">
        <v>63</v>
      </c>
      <c r="Y699" s="35">
        <v>14.0</v>
      </c>
      <c r="Z699" s="32" t="s">
        <v>63</v>
      </c>
      <c r="AA699" s="38"/>
      <c r="AB699" s="38"/>
      <c r="AC699" s="38"/>
      <c r="AD699" s="38"/>
      <c r="AE699" s="38"/>
      <c r="AF699" s="38"/>
      <c r="AG699" s="38"/>
      <c r="AH699" s="38"/>
      <c r="AI699" s="38"/>
      <c r="AJ699" s="38"/>
      <c r="AK699" s="38"/>
    </row>
    <row r="700">
      <c r="A700" s="99">
        <v>699.0</v>
      </c>
      <c r="B700" s="15"/>
      <c r="C700" s="15"/>
      <c r="D700" s="105">
        <v>1.0</v>
      </c>
      <c r="E700" s="102">
        <v>17.0</v>
      </c>
      <c r="F700" s="107">
        <v>177.0</v>
      </c>
      <c r="G700" s="15" t="str">
        <f t="shared" si="1"/>
        <v>17177</v>
      </c>
      <c r="H700" s="23" t="s">
        <v>748</v>
      </c>
      <c r="I700" s="23" t="s">
        <v>48</v>
      </c>
      <c r="J700" s="23" t="s">
        <v>203</v>
      </c>
      <c r="K700" s="23" t="str">
        <f t="shared" si="14"/>
        <v>Stephenson, IL</v>
      </c>
      <c r="L700" s="23">
        <v>71.0</v>
      </c>
      <c r="M700" s="23" t="s">
        <v>63</v>
      </c>
      <c r="N700" s="23">
        <v>37.0</v>
      </c>
      <c r="O700" s="23">
        <v>32.0</v>
      </c>
      <c r="P700" s="23" t="s">
        <v>63</v>
      </c>
      <c r="Q700" s="23">
        <v>36.0</v>
      </c>
      <c r="R700" s="23">
        <v>9.0</v>
      </c>
      <c r="S700" s="23" t="s">
        <v>63</v>
      </c>
      <c r="T700" s="32" t="s">
        <v>63</v>
      </c>
      <c r="U700" s="23">
        <v>47.0</v>
      </c>
      <c r="V700" s="23" t="s">
        <v>63</v>
      </c>
      <c r="W700" s="23" t="s">
        <v>63</v>
      </c>
      <c r="X700" s="23" t="s">
        <v>63</v>
      </c>
      <c r="Y700" s="35">
        <v>63.0</v>
      </c>
      <c r="Z700" s="32" t="s">
        <v>63</v>
      </c>
      <c r="AA700" s="38"/>
      <c r="AB700" s="38"/>
      <c r="AC700" s="38"/>
      <c r="AD700" s="38"/>
      <c r="AE700" s="38"/>
      <c r="AF700" s="38"/>
      <c r="AG700" s="38"/>
      <c r="AH700" s="38"/>
      <c r="AI700" s="38"/>
      <c r="AJ700" s="38"/>
      <c r="AK700" s="38"/>
    </row>
    <row r="701">
      <c r="A701" s="99">
        <v>700.0</v>
      </c>
      <c r="B701" s="15"/>
      <c r="C701" s="15"/>
      <c r="D701" s="105">
        <v>1.0</v>
      </c>
      <c r="E701" s="102">
        <v>17.0</v>
      </c>
      <c r="F701" s="107">
        <v>179.0</v>
      </c>
      <c r="G701" s="15" t="str">
        <f t="shared" si="1"/>
        <v>17179</v>
      </c>
      <c r="H701" s="23" t="s">
        <v>749</v>
      </c>
      <c r="I701" s="23" t="s">
        <v>48</v>
      </c>
      <c r="J701" s="23" t="s">
        <v>203</v>
      </c>
      <c r="K701" s="23" t="str">
        <f t="shared" si="14"/>
        <v>Tazewell, IL</v>
      </c>
      <c r="L701" s="23">
        <v>444.0</v>
      </c>
      <c r="M701" s="23" t="s">
        <v>63</v>
      </c>
      <c r="N701" s="23">
        <v>175.0</v>
      </c>
      <c r="O701" s="23">
        <v>267.0</v>
      </c>
      <c r="P701" s="23" t="s">
        <v>63</v>
      </c>
      <c r="Q701" s="23">
        <v>228.0</v>
      </c>
      <c r="R701" s="23">
        <v>44.0</v>
      </c>
      <c r="S701" s="23" t="s">
        <v>63</v>
      </c>
      <c r="T701" s="32" t="s">
        <v>63</v>
      </c>
      <c r="U701" s="23">
        <v>73.0</v>
      </c>
      <c r="V701" s="23" t="s">
        <v>63</v>
      </c>
      <c r="W701" s="23" t="s">
        <v>63</v>
      </c>
      <c r="X701" s="23" t="s">
        <v>63</v>
      </c>
      <c r="Y701" s="35">
        <v>132.0</v>
      </c>
      <c r="Z701" s="32" t="s">
        <v>63</v>
      </c>
      <c r="AA701" s="38"/>
      <c r="AB701" s="38"/>
      <c r="AC701" s="38"/>
      <c r="AD701" s="38"/>
      <c r="AE701" s="38"/>
      <c r="AF701" s="38"/>
      <c r="AG701" s="38"/>
      <c r="AH701" s="38"/>
      <c r="AI701" s="38"/>
      <c r="AJ701" s="38"/>
      <c r="AK701" s="38"/>
    </row>
    <row r="702">
      <c r="A702" s="99">
        <v>701.0</v>
      </c>
      <c r="B702" s="15"/>
      <c r="C702" s="15"/>
      <c r="D702" s="105">
        <v>1.0</v>
      </c>
      <c r="E702" s="102">
        <v>17.0</v>
      </c>
      <c r="F702" s="107">
        <v>181.0</v>
      </c>
      <c r="G702" s="15" t="str">
        <f t="shared" si="1"/>
        <v>17181</v>
      </c>
      <c r="H702" s="23" t="s">
        <v>316</v>
      </c>
      <c r="I702" s="23" t="s">
        <v>48</v>
      </c>
      <c r="J702" s="23" t="s">
        <v>203</v>
      </c>
      <c r="K702" s="23" t="str">
        <f t="shared" si="14"/>
        <v>Union, IL</v>
      </c>
      <c r="L702" s="23">
        <v>63.0</v>
      </c>
      <c r="M702" s="23" t="s">
        <v>63</v>
      </c>
      <c r="N702" s="23">
        <v>14.0</v>
      </c>
      <c r="O702" s="23">
        <v>48.0</v>
      </c>
      <c r="P702" s="23" t="s">
        <v>63</v>
      </c>
      <c r="Q702" s="23">
        <v>19.0</v>
      </c>
      <c r="R702" s="23">
        <v>7.0</v>
      </c>
      <c r="S702" s="23" t="s">
        <v>63</v>
      </c>
      <c r="T702" s="32" t="s">
        <v>63</v>
      </c>
      <c r="U702" s="23">
        <v>9.0</v>
      </c>
      <c r="V702" s="23" t="s">
        <v>63</v>
      </c>
      <c r="W702" s="23" t="s">
        <v>63</v>
      </c>
      <c r="X702" s="23" t="s">
        <v>63</v>
      </c>
      <c r="Y702" s="35">
        <v>31.0</v>
      </c>
      <c r="Z702" s="32" t="s">
        <v>63</v>
      </c>
      <c r="AA702" s="38"/>
      <c r="AB702" s="38"/>
      <c r="AC702" s="38"/>
      <c r="AD702" s="38"/>
      <c r="AE702" s="38"/>
      <c r="AF702" s="38"/>
      <c r="AG702" s="38"/>
      <c r="AH702" s="38"/>
      <c r="AI702" s="38"/>
      <c r="AJ702" s="38"/>
      <c r="AK702" s="38"/>
    </row>
    <row r="703">
      <c r="A703" s="99">
        <v>702.0</v>
      </c>
      <c r="B703" s="15"/>
      <c r="C703" s="15"/>
      <c r="D703" s="105">
        <v>1.0</v>
      </c>
      <c r="E703" s="102">
        <v>17.0</v>
      </c>
      <c r="F703" s="107">
        <v>183.0</v>
      </c>
      <c r="G703" s="15" t="str">
        <f t="shared" si="1"/>
        <v>17183</v>
      </c>
      <c r="H703" s="23" t="s">
        <v>750</v>
      </c>
      <c r="I703" s="23" t="s">
        <v>48</v>
      </c>
      <c r="J703" s="23" t="s">
        <v>203</v>
      </c>
      <c r="K703" s="23" t="str">
        <f t="shared" si="14"/>
        <v>Vermilion, IL</v>
      </c>
      <c r="L703" s="23">
        <v>297.0</v>
      </c>
      <c r="M703" s="23" t="s">
        <v>63</v>
      </c>
      <c r="N703" s="23">
        <v>101.0</v>
      </c>
      <c r="O703" s="23">
        <v>190.0</v>
      </c>
      <c r="P703" s="23" t="s">
        <v>63</v>
      </c>
      <c r="Q703" s="23">
        <v>76.0</v>
      </c>
      <c r="R703" s="23">
        <v>27.0</v>
      </c>
      <c r="S703" s="23" t="s">
        <v>63</v>
      </c>
      <c r="T703" s="32" t="s">
        <v>63</v>
      </c>
      <c r="U703" s="23">
        <v>44.0</v>
      </c>
      <c r="V703" s="23" t="s">
        <v>63</v>
      </c>
      <c r="W703" s="23" t="s">
        <v>63</v>
      </c>
      <c r="X703" s="23" t="s">
        <v>63</v>
      </c>
      <c r="Y703" s="35">
        <v>104.0</v>
      </c>
      <c r="Z703" s="32" t="s">
        <v>63</v>
      </c>
      <c r="AA703" s="38"/>
      <c r="AB703" s="38"/>
      <c r="AC703" s="38"/>
      <c r="AD703" s="38"/>
      <c r="AE703" s="38"/>
      <c r="AF703" s="38"/>
      <c r="AG703" s="38"/>
      <c r="AH703" s="38"/>
      <c r="AI703" s="38"/>
      <c r="AJ703" s="38"/>
      <c r="AK703" s="38"/>
    </row>
    <row r="704">
      <c r="A704" s="99">
        <v>703.0</v>
      </c>
      <c r="B704" s="15"/>
      <c r="C704" s="15"/>
      <c r="D704" s="105">
        <v>1.0</v>
      </c>
      <c r="E704" s="102">
        <v>17.0</v>
      </c>
      <c r="F704" s="107">
        <v>185.0</v>
      </c>
      <c r="G704" s="15" t="str">
        <f t="shared" si="1"/>
        <v>17185</v>
      </c>
      <c r="H704" s="23" t="s">
        <v>751</v>
      </c>
      <c r="I704" s="23" t="s">
        <v>48</v>
      </c>
      <c r="J704" s="23" t="s">
        <v>203</v>
      </c>
      <c r="K704" s="23" t="str">
        <f t="shared" si="14"/>
        <v>Wabash, IL</v>
      </c>
      <c r="L704" s="23">
        <v>23.0</v>
      </c>
      <c r="M704" s="23" t="s">
        <v>63</v>
      </c>
      <c r="N704" s="23">
        <v>13.0</v>
      </c>
      <c r="O704" s="23">
        <v>10.0</v>
      </c>
      <c r="P704" s="23" t="s">
        <v>63</v>
      </c>
      <c r="Q704" s="23">
        <v>5.0</v>
      </c>
      <c r="R704" s="23">
        <v>2.0</v>
      </c>
      <c r="S704" s="23" t="s">
        <v>63</v>
      </c>
      <c r="T704" s="32" t="s">
        <v>63</v>
      </c>
      <c r="U704" s="23">
        <v>5.0</v>
      </c>
      <c r="V704" s="23" t="s">
        <v>63</v>
      </c>
      <c r="W704" s="23" t="s">
        <v>63</v>
      </c>
      <c r="X704" s="23" t="s">
        <v>63</v>
      </c>
      <c r="Y704" s="35">
        <v>26.0</v>
      </c>
      <c r="Z704" s="32" t="s">
        <v>63</v>
      </c>
      <c r="AA704" s="38"/>
      <c r="AB704" s="38"/>
      <c r="AC704" s="38"/>
      <c r="AD704" s="38"/>
      <c r="AE704" s="38"/>
      <c r="AF704" s="38"/>
      <c r="AG704" s="38"/>
      <c r="AH704" s="38"/>
      <c r="AI704" s="38"/>
      <c r="AJ704" s="38"/>
      <c r="AK704" s="38"/>
    </row>
    <row r="705">
      <c r="A705" s="99">
        <v>704.0</v>
      </c>
      <c r="B705" s="15"/>
      <c r="C705" s="15"/>
      <c r="D705" s="105">
        <v>1.0</v>
      </c>
      <c r="E705" s="102">
        <v>17.0</v>
      </c>
      <c r="F705" s="107">
        <v>187.0</v>
      </c>
      <c r="G705" s="15" t="str">
        <f t="shared" si="1"/>
        <v>17187</v>
      </c>
      <c r="H705" s="23" t="s">
        <v>647</v>
      </c>
      <c r="I705" s="23" t="s">
        <v>48</v>
      </c>
      <c r="J705" s="23" t="s">
        <v>203</v>
      </c>
      <c r="K705" s="23" t="str">
        <f t="shared" si="14"/>
        <v>Warren, IL</v>
      </c>
      <c r="L705" s="23">
        <v>40.0</v>
      </c>
      <c r="M705" s="23" t="s">
        <v>63</v>
      </c>
      <c r="N705" s="23">
        <v>17.0</v>
      </c>
      <c r="O705" s="23">
        <v>23.0</v>
      </c>
      <c r="P705" s="23" t="s">
        <v>63</v>
      </c>
      <c r="Q705" s="23">
        <v>15.0</v>
      </c>
      <c r="R705" s="23">
        <v>4.0</v>
      </c>
      <c r="S705" s="23" t="s">
        <v>63</v>
      </c>
      <c r="T705" s="32" t="s">
        <v>63</v>
      </c>
      <c r="U705" s="23">
        <v>18.0</v>
      </c>
      <c r="V705" s="23" t="s">
        <v>63</v>
      </c>
      <c r="W705" s="23" t="s">
        <v>63</v>
      </c>
      <c r="X705" s="23" t="s">
        <v>63</v>
      </c>
      <c r="Y705" s="35">
        <v>25.0</v>
      </c>
      <c r="Z705" s="32" t="s">
        <v>63</v>
      </c>
      <c r="AA705" s="38"/>
      <c r="AB705" s="38"/>
      <c r="AC705" s="38"/>
      <c r="AD705" s="38"/>
      <c r="AE705" s="38"/>
      <c r="AF705" s="38"/>
      <c r="AG705" s="38"/>
      <c r="AH705" s="38"/>
      <c r="AI705" s="38"/>
      <c r="AJ705" s="38"/>
      <c r="AK705" s="38"/>
    </row>
    <row r="706">
      <c r="A706" s="99">
        <v>705.0</v>
      </c>
      <c r="B706" s="15"/>
      <c r="C706" s="15"/>
      <c r="D706" s="105">
        <v>1.0</v>
      </c>
      <c r="E706" s="102">
        <v>17.0</v>
      </c>
      <c r="F706" s="107">
        <v>189.0</v>
      </c>
      <c r="G706" s="15" t="str">
        <f t="shared" si="1"/>
        <v>17189</v>
      </c>
      <c r="H706" s="23" t="s">
        <v>119</v>
      </c>
      <c r="I706" s="23" t="s">
        <v>48</v>
      </c>
      <c r="J706" s="23" t="s">
        <v>203</v>
      </c>
      <c r="K706" s="23" t="str">
        <f t="shared" si="14"/>
        <v>Washington, IL</v>
      </c>
      <c r="L706" s="23">
        <v>68.0</v>
      </c>
      <c r="M706" s="23" t="s">
        <v>63</v>
      </c>
      <c r="N706" s="23">
        <v>43.0</v>
      </c>
      <c r="O706" s="23">
        <v>25.0</v>
      </c>
      <c r="P706" s="23" t="s">
        <v>63</v>
      </c>
      <c r="Q706" s="23">
        <v>17.0</v>
      </c>
      <c r="R706" s="23">
        <v>2.0</v>
      </c>
      <c r="S706" s="23" t="s">
        <v>63</v>
      </c>
      <c r="T706" s="32" t="s">
        <v>63</v>
      </c>
      <c r="U706" s="23">
        <v>8.0</v>
      </c>
      <c r="V706" s="23" t="s">
        <v>63</v>
      </c>
      <c r="W706" s="23" t="s">
        <v>63</v>
      </c>
      <c r="X706" s="23" t="s">
        <v>63</v>
      </c>
      <c r="Y706" s="35">
        <v>30.0</v>
      </c>
      <c r="Z706" s="32" t="s">
        <v>63</v>
      </c>
      <c r="AA706" s="38"/>
      <c r="AB706" s="38"/>
      <c r="AC706" s="38"/>
      <c r="AD706" s="38"/>
      <c r="AE706" s="38"/>
      <c r="AF706" s="38"/>
      <c r="AG706" s="38"/>
      <c r="AH706" s="38"/>
      <c r="AI706" s="38"/>
      <c r="AJ706" s="38"/>
      <c r="AK706" s="38"/>
    </row>
    <row r="707">
      <c r="A707" s="99">
        <v>706.0</v>
      </c>
      <c r="B707" s="15"/>
      <c r="C707" s="15"/>
      <c r="D707" s="105">
        <v>1.0</v>
      </c>
      <c r="E707" s="102">
        <v>17.0</v>
      </c>
      <c r="F707" s="107">
        <v>191.0</v>
      </c>
      <c r="G707" s="15" t="str">
        <f t="shared" si="1"/>
        <v>17191</v>
      </c>
      <c r="H707" s="23" t="s">
        <v>273</v>
      </c>
      <c r="I707" s="23" t="s">
        <v>48</v>
      </c>
      <c r="J707" s="23" t="s">
        <v>203</v>
      </c>
      <c r="K707" s="23" t="str">
        <f t="shared" si="14"/>
        <v>Wayne, IL</v>
      </c>
      <c r="L707" s="23">
        <v>65.0</v>
      </c>
      <c r="M707" s="23" t="s">
        <v>63</v>
      </c>
      <c r="N707" s="23">
        <v>20.0</v>
      </c>
      <c r="O707" s="23">
        <v>45.0</v>
      </c>
      <c r="P707" s="23" t="s">
        <v>63</v>
      </c>
      <c r="Q707" s="23">
        <v>36.0</v>
      </c>
      <c r="R707" s="23">
        <v>9.0</v>
      </c>
      <c r="S707" s="23" t="s">
        <v>63</v>
      </c>
      <c r="T707" s="32" t="s">
        <v>63</v>
      </c>
      <c r="U707" s="23">
        <v>12.0</v>
      </c>
      <c r="V707" s="23" t="s">
        <v>63</v>
      </c>
      <c r="W707" s="23" t="s">
        <v>63</v>
      </c>
      <c r="X707" s="23" t="s">
        <v>63</v>
      </c>
      <c r="Y707" s="35">
        <v>28.0</v>
      </c>
      <c r="Z707" s="32" t="s">
        <v>63</v>
      </c>
      <c r="AA707" s="38"/>
      <c r="AB707" s="38"/>
      <c r="AC707" s="38"/>
      <c r="AD707" s="38"/>
      <c r="AE707" s="38"/>
      <c r="AF707" s="38"/>
      <c r="AG707" s="38"/>
      <c r="AH707" s="38"/>
      <c r="AI707" s="38"/>
      <c r="AJ707" s="38"/>
      <c r="AK707" s="38"/>
    </row>
    <row r="708">
      <c r="A708" s="99">
        <v>707.0</v>
      </c>
      <c r="B708" s="15"/>
      <c r="C708" s="15"/>
      <c r="D708" s="105">
        <v>1.0</v>
      </c>
      <c r="E708" s="102">
        <v>17.0</v>
      </c>
      <c r="F708" s="107">
        <v>193.0</v>
      </c>
      <c r="G708" s="15" t="str">
        <f t="shared" si="1"/>
        <v>17193</v>
      </c>
      <c r="H708" s="23" t="s">
        <v>66</v>
      </c>
      <c r="I708" s="23" t="s">
        <v>48</v>
      </c>
      <c r="J708" s="23" t="s">
        <v>203</v>
      </c>
      <c r="K708" s="23" t="str">
        <f t="shared" si="14"/>
        <v>White, IL</v>
      </c>
      <c r="L708" s="23">
        <v>36.0</v>
      </c>
      <c r="M708" s="23" t="s">
        <v>63</v>
      </c>
      <c r="N708" s="23">
        <v>14.0</v>
      </c>
      <c r="O708" s="23">
        <v>22.0</v>
      </c>
      <c r="P708" s="23" t="s">
        <v>63</v>
      </c>
      <c r="Q708" s="23">
        <v>16.0</v>
      </c>
      <c r="R708" s="23">
        <v>7.0</v>
      </c>
      <c r="S708" s="23" t="s">
        <v>63</v>
      </c>
      <c r="T708" s="32" t="s">
        <v>63</v>
      </c>
      <c r="U708" s="23">
        <v>10.0</v>
      </c>
      <c r="V708" s="23" t="s">
        <v>63</v>
      </c>
      <c r="W708" s="23" t="s">
        <v>63</v>
      </c>
      <c r="X708" s="23" t="s">
        <v>63</v>
      </c>
      <c r="Y708" s="35">
        <v>30.0</v>
      </c>
      <c r="Z708" s="32" t="s">
        <v>63</v>
      </c>
      <c r="AA708" s="38"/>
      <c r="AB708" s="38"/>
      <c r="AC708" s="38"/>
      <c r="AD708" s="38"/>
      <c r="AE708" s="38"/>
      <c r="AF708" s="38"/>
      <c r="AG708" s="38"/>
      <c r="AH708" s="38"/>
      <c r="AI708" s="38"/>
      <c r="AJ708" s="38"/>
      <c r="AK708" s="38"/>
    </row>
    <row r="709">
      <c r="A709" s="99">
        <v>708.0</v>
      </c>
      <c r="B709" s="15"/>
      <c r="C709" s="15"/>
      <c r="D709" s="105">
        <v>1.0</v>
      </c>
      <c r="E709" s="102">
        <v>17.0</v>
      </c>
      <c r="F709" s="107">
        <v>195.0</v>
      </c>
      <c r="G709" s="15" t="str">
        <f t="shared" si="1"/>
        <v>17195</v>
      </c>
      <c r="H709" s="23" t="s">
        <v>752</v>
      </c>
      <c r="I709" s="23" t="s">
        <v>48</v>
      </c>
      <c r="J709" s="23" t="s">
        <v>203</v>
      </c>
      <c r="K709" s="23" t="str">
        <f t="shared" si="14"/>
        <v>Whiteside, IL</v>
      </c>
      <c r="L709" s="23">
        <v>96.0</v>
      </c>
      <c r="M709" s="23" t="s">
        <v>63</v>
      </c>
      <c r="N709" s="23">
        <v>35.0</v>
      </c>
      <c r="O709" s="23">
        <v>60.0</v>
      </c>
      <c r="P709" s="23" t="s">
        <v>63</v>
      </c>
      <c r="Q709" s="23">
        <v>29.0</v>
      </c>
      <c r="R709" s="23">
        <v>7.0</v>
      </c>
      <c r="S709" s="23" t="s">
        <v>63</v>
      </c>
      <c r="T709" s="32" t="s">
        <v>63</v>
      </c>
      <c r="U709" s="23">
        <v>26.0</v>
      </c>
      <c r="V709" s="23" t="s">
        <v>63</v>
      </c>
      <c r="W709" s="23" t="s">
        <v>63</v>
      </c>
      <c r="X709" s="23" t="s">
        <v>63</v>
      </c>
      <c r="Y709" s="35">
        <v>74.0</v>
      </c>
      <c r="Z709" s="32" t="s">
        <v>63</v>
      </c>
      <c r="AA709" s="38"/>
      <c r="AB709" s="38"/>
      <c r="AC709" s="38"/>
      <c r="AD709" s="38"/>
      <c r="AE709" s="38"/>
      <c r="AF709" s="38"/>
      <c r="AG709" s="38"/>
      <c r="AH709" s="38"/>
      <c r="AI709" s="38"/>
      <c r="AJ709" s="38"/>
      <c r="AK709" s="38"/>
    </row>
    <row r="710">
      <c r="A710" s="99">
        <v>709.0</v>
      </c>
      <c r="B710" s="15"/>
      <c r="C710" s="15"/>
      <c r="D710" s="105">
        <v>1.0</v>
      </c>
      <c r="E710" s="102">
        <v>17.0</v>
      </c>
      <c r="F710" s="107">
        <v>197.0</v>
      </c>
      <c r="G710" s="15" t="str">
        <f t="shared" si="1"/>
        <v>17197</v>
      </c>
      <c r="H710" s="23" t="s">
        <v>573</v>
      </c>
      <c r="I710" s="23" t="s">
        <v>48</v>
      </c>
      <c r="J710" s="23" t="s">
        <v>203</v>
      </c>
      <c r="K710" s="23" t="str">
        <f t="shared" si="14"/>
        <v>Will, IL</v>
      </c>
      <c r="L710" s="35">
        <v>699.0</v>
      </c>
      <c r="M710" s="23" t="s">
        <v>63</v>
      </c>
      <c r="N710" s="23">
        <v>361.0</v>
      </c>
      <c r="O710" s="23">
        <v>310.0</v>
      </c>
      <c r="P710" s="23" t="s">
        <v>63</v>
      </c>
      <c r="Q710" s="23">
        <v>360.0</v>
      </c>
      <c r="R710" s="23">
        <v>49.0</v>
      </c>
      <c r="S710" s="23" t="s">
        <v>63</v>
      </c>
      <c r="T710" s="32" t="s">
        <v>63</v>
      </c>
      <c r="U710" s="23">
        <v>122.0</v>
      </c>
      <c r="V710" s="23" t="s">
        <v>63</v>
      </c>
      <c r="W710" s="23" t="s">
        <v>63</v>
      </c>
      <c r="X710" s="23" t="s">
        <v>63</v>
      </c>
      <c r="Y710" s="35">
        <v>266.0</v>
      </c>
      <c r="Z710" s="32" t="s">
        <v>63</v>
      </c>
      <c r="AA710" s="38"/>
      <c r="AB710" s="38"/>
      <c r="AC710" s="38"/>
      <c r="AD710" s="38"/>
      <c r="AE710" s="38"/>
      <c r="AF710" s="38"/>
      <c r="AG710" s="38"/>
      <c r="AH710" s="38"/>
      <c r="AI710" s="38"/>
      <c r="AJ710" s="38"/>
      <c r="AK710" s="38"/>
    </row>
    <row r="711">
      <c r="A711" s="99">
        <v>710.0</v>
      </c>
      <c r="B711" s="15"/>
      <c r="C711" s="15"/>
      <c r="D711" s="105">
        <v>1.0</v>
      </c>
      <c r="E711" s="102">
        <v>17.0</v>
      </c>
      <c r="F711" s="107">
        <v>199.0</v>
      </c>
      <c r="G711" s="15" t="str">
        <f t="shared" si="1"/>
        <v>17199</v>
      </c>
      <c r="H711" s="23" t="s">
        <v>627</v>
      </c>
      <c r="I711" s="23" t="s">
        <v>48</v>
      </c>
      <c r="J711" s="23" t="s">
        <v>203</v>
      </c>
      <c r="K711" s="23" t="str">
        <f t="shared" si="14"/>
        <v>Williamson, IL</v>
      </c>
      <c r="L711" s="23">
        <v>158.0</v>
      </c>
      <c r="M711" s="23" t="s">
        <v>63</v>
      </c>
      <c r="N711" s="23">
        <v>57.0</v>
      </c>
      <c r="O711" s="23">
        <v>100.0</v>
      </c>
      <c r="P711" s="23" t="s">
        <v>63</v>
      </c>
      <c r="Q711" s="23">
        <v>65.0</v>
      </c>
      <c r="R711" s="23">
        <v>17.0</v>
      </c>
      <c r="S711" s="23" t="s">
        <v>63</v>
      </c>
      <c r="T711" s="32" t="s">
        <v>63</v>
      </c>
      <c r="U711" s="23">
        <v>40.0</v>
      </c>
      <c r="V711" s="23" t="s">
        <v>63</v>
      </c>
      <c r="W711" s="23" t="s">
        <v>63</v>
      </c>
      <c r="X711" s="23" t="s">
        <v>63</v>
      </c>
      <c r="Y711" s="35">
        <v>88.0</v>
      </c>
      <c r="Z711" s="32" t="s">
        <v>63</v>
      </c>
      <c r="AA711" s="38"/>
      <c r="AB711" s="38"/>
      <c r="AC711" s="38"/>
      <c r="AD711" s="38"/>
      <c r="AE711" s="38"/>
      <c r="AF711" s="38"/>
      <c r="AG711" s="38"/>
      <c r="AH711" s="38"/>
      <c r="AI711" s="38"/>
      <c r="AJ711" s="38"/>
      <c r="AK711" s="38"/>
    </row>
    <row r="712">
      <c r="A712" s="99">
        <v>711.0</v>
      </c>
      <c r="B712" s="15"/>
      <c r="C712" s="15"/>
      <c r="D712" s="105">
        <v>1.0</v>
      </c>
      <c r="E712" s="102">
        <v>17.0</v>
      </c>
      <c r="F712" s="107">
        <v>201.0</v>
      </c>
      <c r="G712" s="15" t="str">
        <f t="shared" si="1"/>
        <v>17201</v>
      </c>
      <c r="H712" s="23" t="s">
        <v>753</v>
      </c>
      <c r="I712" s="23" t="s">
        <v>48</v>
      </c>
      <c r="J712" s="23" t="s">
        <v>203</v>
      </c>
      <c r="K712" s="23" t="str">
        <f t="shared" si="14"/>
        <v>Winnebago, IL</v>
      </c>
      <c r="L712" s="23">
        <v>468.0</v>
      </c>
      <c r="M712" s="23" t="s">
        <v>63</v>
      </c>
      <c r="N712" s="23">
        <v>157.0</v>
      </c>
      <c r="O712" s="23">
        <v>290.0</v>
      </c>
      <c r="P712" s="23" t="s">
        <v>63</v>
      </c>
      <c r="Q712" s="23">
        <v>193.0</v>
      </c>
      <c r="R712" s="23">
        <v>22.0</v>
      </c>
      <c r="S712" s="23" t="s">
        <v>63</v>
      </c>
      <c r="T712" s="32" t="s">
        <v>63</v>
      </c>
      <c r="U712" s="23">
        <v>160.0</v>
      </c>
      <c r="V712" s="23" t="s">
        <v>63</v>
      </c>
      <c r="W712" s="23" t="s">
        <v>63</v>
      </c>
      <c r="X712" s="23" t="s">
        <v>63</v>
      </c>
      <c r="Y712" s="35">
        <v>218.0</v>
      </c>
      <c r="Z712" s="32" t="s">
        <v>63</v>
      </c>
      <c r="AA712" s="38"/>
      <c r="AB712" s="38"/>
      <c r="AC712" s="38"/>
      <c r="AD712" s="38"/>
      <c r="AE712" s="38"/>
      <c r="AF712" s="38"/>
      <c r="AG712" s="38"/>
      <c r="AH712" s="38"/>
      <c r="AI712" s="38"/>
      <c r="AJ712" s="38"/>
      <c r="AK712" s="38"/>
    </row>
    <row r="713">
      <c r="A713" s="99">
        <v>712.0</v>
      </c>
      <c r="B713" s="15"/>
      <c r="C713" s="15"/>
      <c r="D713" s="105">
        <v>1.0</v>
      </c>
      <c r="E713" s="102">
        <v>17.0</v>
      </c>
      <c r="F713" s="107">
        <v>203.0</v>
      </c>
      <c r="G713" s="15" t="str">
        <f t="shared" si="1"/>
        <v>17203</v>
      </c>
      <c r="H713" s="23" t="s">
        <v>754</v>
      </c>
      <c r="I713" s="23" t="s">
        <v>48</v>
      </c>
      <c r="J713" s="23" t="s">
        <v>203</v>
      </c>
      <c r="K713" s="23" t="str">
        <f t="shared" si="14"/>
        <v>Woodford, IL</v>
      </c>
      <c r="L713" s="23">
        <v>103.0</v>
      </c>
      <c r="M713" s="23" t="s">
        <v>63</v>
      </c>
      <c r="N713" s="23">
        <v>46.0</v>
      </c>
      <c r="O713" s="23">
        <v>56.0</v>
      </c>
      <c r="P713" s="23" t="s">
        <v>63</v>
      </c>
      <c r="Q713" s="23">
        <v>54.0</v>
      </c>
      <c r="R713" s="23">
        <v>7.0</v>
      </c>
      <c r="S713" s="23" t="s">
        <v>63</v>
      </c>
      <c r="T713" s="32" t="s">
        <v>63</v>
      </c>
      <c r="U713" s="23">
        <v>17.0</v>
      </c>
      <c r="V713" s="23" t="s">
        <v>63</v>
      </c>
      <c r="W713" s="23" t="s">
        <v>63</v>
      </c>
      <c r="X713" s="23" t="s">
        <v>63</v>
      </c>
      <c r="Y713" s="35">
        <v>47.0</v>
      </c>
      <c r="Z713" s="32" t="s">
        <v>63</v>
      </c>
      <c r="AA713" s="38"/>
      <c r="AB713" s="38"/>
      <c r="AC713" s="38"/>
      <c r="AD713" s="38"/>
      <c r="AE713" s="38"/>
      <c r="AF713" s="38"/>
      <c r="AG713" s="38"/>
      <c r="AH713" s="38"/>
      <c r="AI713" s="38"/>
      <c r="AJ713" s="38"/>
      <c r="AK713" s="38"/>
    </row>
    <row r="714">
      <c r="A714" s="28">
        <v>713.0</v>
      </c>
      <c r="B714" s="29"/>
      <c r="C714" s="29" t="s">
        <v>25</v>
      </c>
      <c r="D714" s="30"/>
      <c r="E714" s="31">
        <v>18.0</v>
      </c>
      <c r="F714" s="42">
        <v>0.0</v>
      </c>
      <c r="G714" s="29" t="str">
        <f t="shared" si="1"/>
        <v>18000</v>
      </c>
      <c r="H714" s="37"/>
      <c r="I714" s="37" t="s">
        <v>49</v>
      </c>
      <c r="J714" s="37" t="s">
        <v>430</v>
      </c>
      <c r="K714" s="37"/>
      <c r="L714" s="70">
        <f t="array" ref="L714:Z714">Indiana!C96:Q96</f>
        <v>9018</v>
      </c>
      <c r="M714" s="70" t="s">
        <v>63</v>
      </c>
      <c r="N714" s="70">
        <v>3645.0</v>
      </c>
      <c r="O714" s="70">
        <v>4792.0</v>
      </c>
      <c r="P714" s="70" t="s">
        <v>63</v>
      </c>
      <c r="Q714" s="70">
        <v>4531.0</v>
      </c>
      <c r="R714" s="53">
        <v>1389.0</v>
      </c>
      <c r="S714" s="37" t="s">
        <v>63</v>
      </c>
      <c r="T714" s="69" t="s">
        <v>63</v>
      </c>
      <c r="U714" s="70">
        <v>3798.0</v>
      </c>
      <c r="V714" s="37" t="s">
        <v>63</v>
      </c>
      <c r="W714" s="71" t="s">
        <v>63</v>
      </c>
      <c r="X714" s="70" t="s">
        <v>63</v>
      </c>
      <c r="Y714" s="53">
        <v>6505.0</v>
      </c>
      <c r="Z714" s="69"/>
      <c r="AA714" s="73"/>
      <c r="AB714" s="73"/>
      <c r="AC714" s="73"/>
      <c r="AD714" s="73"/>
      <c r="AE714" s="73"/>
      <c r="AF714" s="73"/>
      <c r="AG714" s="73"/>
      <c r="AH714" s="73"/>
      <c r="AI714" s="73"/>
      <c r="AJ714" s="73"/>
      <c r="AK714" s="73"/>
    </row>
    <row r="715">
      <c r="A715" s="28">
        <v>714.0</v>
      </c>
      <c r="B715" s="29"/>
      <c r="C715" s="29"/>
      <c r="D715" s="40">
        <v>1.0</v>
      </c>
      <c r="E715" s="31">
        <v>18.0</v>
      </c>
      <c r="F715" s="42">
        <v>1.0</v>
      </c>
      <c r="G715" s="29" t="str">
        <f t="shared" si="1"/>
        <v>18001</v>
      </c>
      <c r="H715" s="37" t="s">
        <v>386</v>
      </c>
      <c r="I715" s="37" t="s">
        <v>49</v>
      </c>
      <c r="J715" s="37" t="s">
        <v>430</v>
      </c>
      <c r="K715" s="37" t="str">
        <f t="shared" ref="K715:K806" si="15">CONCATENATE(H715,", ",J715)</f>
        <v>Adams, IN</v>
      </c>
      <c r="L715" s="37">
        <f t="array" ref="L715:Z806">Indiana!C3:Q94</f>
        <v>28</v>
      </c>
      <c r="M715" s="37" t="s">
        <v>63</v>
      </c>
      <c r="N715" s="37">
        <v>8.0</v>
      </c>
      <c r="O715" s="37">
        <v>18.0</v>
      </c>
      <c r="P715" s="37" t="s">
        <v>63</v>
      </c>
      <c r="Q715" s="37" t="s">
        <v>63</v>
      </c>
      <c r="R715" s="37" t="s">
        <v>63</v>
      </c>
      <c r="S715" s="37" t="s">
        <v>63</v>
      </c>
      <c r="T715" s="69" t="s">
        <v>63</v>
      </c>
      <c r="U715" s="70">
        <v>45.0</v>
      </c>
      <c r="V715" s="37" t="s">
        <v>63</v>
      </c>
      <c r="W715" s="71" t="s">
        <v>63</v>
      </c>
      <c r="X715" s="72" t="s">
        <v>63</v>
      </c>
      <c r="Y715" s="53">
        <v>49.0</v>
      </c>
      <c r="Z715" s="69" t="s">
        <v>63</v>
      </c>
      <c r="AA715" s="73"/>
      <c r="AB715" s="73"/>
      <c r="AC715" s="73"/>
      <c r="AD715" s="73"/>
      <c r="AE715" s="73"/>
      <c r="AF715" s="73"/>
      <c r="AG715" s="73"/>
      <c r="AH715" s="73"/>
      <c r="AI715" s="73"/>
      <c r="AJ715" s="73"/>
      <c r="AK715" s="73"/>
    </row>
    <row r="716">
      <c r="A716" s="28">
        <v>715.0</v>
      </c>
      <c r="B716" s="29"/>
      <c r="C716" s="29"/>
      <c r="D716" s="40">
        <v>1.0</v>
      </c>
      <c r="E716" s="31">
        <v>18.0</v>
      </c>
      <c r="F716" s="42">
        <v>3.0</v>
      </c>
      <c r="G716" s="29" t="str">
        <f t="shared" si="1"/>
        <v>18003</v>
      </c>
      <c r="H716" s="37" t="s">
        <v>755</v>
      </c>
      <c r="I716" s="37" t="s">
        <v>49</v>
      </c>
      <c r="J716" s="37" t="s">
        <v>430</v>
      </c>
      <c r="K716" s="37" t="str">
        <f t="shared" si="15"/>
        <v>Allen, IN</v>
      </c>
      <c r="L716" s="37">
        <v>564.0</v>
      </c>
      <c r="M716" s="37" t="s">
        <v>63</v>
      </c>
      <c r="N716" s="37">
        <v>226.0</v>
      </c>
      <c r="O716" s="37">
        <v>312.0</v>
      </c>
      <c r="P716" s="37" t="s">
        <v>63</v>
      </c>
      <c r="Q716" s="37" t="s">
        <v>63</v>
      </c>
      <c r="R716" s="37" t="s">
        <v>63</v>
      </c>
      <c r="S716" s="37" t="s">
        <v>63</v>
      </c>
      <c r="T716" s="69" t="s">
        <v>63</v>
      </c>
      <c r="U716" s="70">
        <v>219.0</v>
      </c>
      <c r="V716" s="37" t="s">
        <v>63</v>
      </c>
      <c r="W716" s="71" t="s">
        <v>63</v>
      </c>
      <c r="X716" s="72" t="s">
        <v>63</v>
      </c>
      <c r="Y716" s="53">
        <v>300.0</v>
      </c>
      <c r="Z716" s="69" t="s">
        <v>63</v>
      </c>
      <c r="AA716" s="73"/>
      <c r="AB716" s="73"/>
      <c r="AC716" s="73"/>
      <c r="AD716" s="73"/>
      <c r="AE716" s="73"/>
      <c r="AF716" s="73"/>
      <c r="AG716" s="73"/>
      <c r="AH716" s="73"/>
      <c r="AI716" s="73"/>
      <c r="AJ716" s="73"/>
      <c r="AK716" s="73"/>
    </row>
    <row r="717">
      <c r="A717" s="28">
        <v>716.0</v>
      </c>
      <c r="B717" s="29"/>
      <c r="C717" s="29"/>
      <c r="D717" s="40">
        <v>1.0</v>
      </c>
      <c r="E717" s="31">
        <v>18.0</v>
      </c>
      <c r="F717" s="42">
        <v>5.0</v>
      </c>
      <c r="G717" s="29" t="str">
        <f t="shared" si="1"/>
        <v>18005</v>
      </c>
      <c r="H717" s="37" t="s">
        <v>756</v>
      </c>
      <c r="I717" s="37" t="s">
        <v>49</v>
      </c>
      <c r="J717" s="37" t="s">
        <v>430</v>
      </c>
      <c r="K717" s="37" t="str">
        <f t="shared" si="15"/>
        <v>Bartholomew, IN</v>
      </c>
      <c r="L717" s="37">
        <v>99.0</v>
      </c>
      <c r="M717" s="37" t="s">
        <v>63</v>
      </c>
      <c r="N717" s="37">
        <v>40.0</v>
      </c>
      <c r="O717" s="37">
        <v>54.0</v>
      </c>
      <c r="P717" s="37" t="s">
        <v>63</v>
      </c>
      <c r="Q717" s="37" t="s">
        <v>63</v>
      </c>
      <c r="R717" s="37" t="s">
        <v>63</v>
      </c>
      <c r="S717" s="37" t="s">
        <v>63</v>
      </c>
      <c r="T717" s="69" t="s">
        <v>63</v>
      </c>
      <c r="U717" s="70">
        <v>40.0</v>
      </c>
      <c r="V717" s="37" t="s">
        <v>63</v>
      </c>
      <c r="W717" s="71" t="s">
        <v>63</v>
      </c>
      <c r="X717" s="72" t="s">
        <v>63</v>
      </c>
      <c r="Y717" s="53">
        <v>76.0</v>
      </c>
      <c r="Z717" s="69" t="s">
        <v>63</v>
      </c>
      <c r="AA717" s="73"/>
      <c r="AB717" s="73"/>
      <c r="AC717" s="73"/>
      <c r="AD717" s="73"/>
      <c r="AE717" s="73"/>
      <c r="AF717" s="73"/>
      <c r="AG717" s="73"/>
      <c r="AH717" s="73"/>
      <c r="AI717" s="73"/>
      <c r="AJ717" s="73"/>
      <c r="AK717" s="73"/>
    </row>
    <row r="718">
      <c r="A718" s="28">
        <v>717.0</v>
      </c>
      <c r="B718" s="29"/>
      <c r="C718" s="29"/>
      <c r="D718" s="40">
        <v>1.0</v>
      </c>
      <c r="E718" s="31">
        <v>18.0</v>
      </c>
      <c r="F718" s="42">
        <v>7.0</v>
      </c>
      <c r="G718" s="29" t="str">
        <f t="shared" si="1"/>
        <v>18007</v>
      </c>
      <c r="H718" s="37" t="s">
        <v>243</v>
      </c>
      <c r="I718" s="37" t="s">
        <v>49</v>
      </c>
      <c r="J718" s="37" t="s">
        <v>430</v>
      </c>
      <c r="K718" s="37" t="str">
        <f t="shared" si="15"/>
        <v>Benton, IN</v>
      </c>
      <c r="L718" s="37">
        <v>6.0</v>
      </c>
      <c r="M718" s="37" t="s">
        <v>63</v>
      </c>
      <c r="N718" s="37">
        <v>2.0</v>
      </c>
      <c r="O718" s="37">
        <v>3.0</v>
      </c>
      <c r="P718" s="37" t="s">
        <v>63</v>
      </c>
      <c r="Q718" s="37" t="s">
        <v>63</v>
      </c>
      <c r="R718" s="37" t="s">
        <v>63</v>
      </c>
      <c r="S718" s="37" t="s">
        <v>63</v>
      </c>
      <c r="T718" s="69" t="s">
        <v>63</v>
      </c>
      <c r="U718" s="70">
        <v>15.0</v>
      </c>
      <c r="V718" s="37" t="s">
        <v>63</v>
      </c>
      <c r="W718" s="71" t="s">
        <v>63</v>
      </c>
      <c r="X718" s="72" t="s">
        <v>63</v>
      </c>
      <c r="Y718" s="53">
        <v>12.0</v>
      </c>
      <c r="Z718" s="69" t="s">
        <v>63</v>
      </c>
      <c r="AA718" s="73"/>
      <c r="AB718" s="73"/>
      <c r="AC718" s="73"/>
      <c r="AD718" s="73"/>
      <c r="AE718" s="73"/>
      <c r="AF718" s="73"/>
      <c r="AG718" s="73"/>
      <c r="AH718" s="73"/>
      <c r="AI718" s="73"/>
      <c r="AJ718" s="73"/>
      <c r="AK718" s="73"/>
    </row>
    <row r="719">
      <c r="A719" s="28">
        <v>718.0</v>
      </c>
      <c r="B719" s="29"/>
      <c r="C719" s="29"/>
      <c r="D719" s="40">
        <v>1.0</v>
      </c>
      <c r="E719" s="31">
        <v>18.0</v>
      </c>
      <c r="F719" s="42">
        <v>9.0</v>
      </c>
      <c r="G719" s="29" t="str">
        <f t="shared" si="1"/>
        <v>18009</v>
      </c>
      <c r="H719" s="37" t="s">
        <v>757</v>
      </c>
      <c r="I719" s="37" t="s">
        <v>49</v>
      </c>
      <c r="J719" s="37" t="s">
        <v>430</v>
      </c>
      <c r="K719" s="37" t="str">
        <f t="shared" si="15"/>
        <v>Blackford, IN</v>
      </c>
      <c r="L719" s="37">
        <v>24.0</v>
      </c>
      <c r="M719" s="37" t="s">
        <v>63</v>
      </c>
      <c r="N719" s="37">
        <v>0.0</v>
      </c>
      <c r="O719" s="37">
        <v>22.0</v>
      </c>
      <c r="P719" s="37" t="s">
        <v>63</v>
      </c>
      <c r="Q719" s="37" t="s">
        <v>63</v>
      </c>
      <c r="R719" s="37" t="s">
        <v>63</v>
      </c>
      <c r="S719" s="37" t="s">
        <v>63</v>
      </c>
      <c r="T719" s="69" t="s">
        <v>63</v>
      </c>
      <c r="U719" s="70">
        <v>7.0</v>
      </c>
      <c r="V719" s="37" t="s">
        <v>63</v>
      </c>
      <c r="W719" s="71" t="s">
        <v>63</v>
      </c>
      <c r="X719" s="72" t="s">
        <v>63</v>
      </c>
      <c r="Y719" s="53">
        <v>16.0</v>
      </c>
      <c r="Z719" s="69" t="s">
        <v>63</v>
      </c>
      <c r="AA719" s="73"/>
      <c r="AB719" s="73"/>
      <c r="AC719" s="73"/>
      <c r="AD719" s="73"/>
      <c r="AE719" s="73"/>
      <c r="AF719" s="73"/>
      <c r="AG719" s="73"/>
      <c r="AH719" s="73"/>
      <c r="AI719" s="73"/>
      <c r="AJ719" s="73"/>
      <c r="AK719" s="73"/>
    </row>
    <row r="720">
      <c r="A720" s="28">
        <v>719.0</v>
      </c>
      <c r="B720" s="29"/>
      <c r="C720" s="29"/>
      <c r="D720" s="40">
        <v>1.0</v>
      </c>
      <c r="E720" s="31">
        <v>18.0</v>
      </c>
      <c r="F720" s="42">
        <v>11.0</v>
      </c>
      <c r="G720" s="29" t="str">
        <f t="shared" si="1"/>
        <v>18011</v>
      </c>
      <c r="H720" s="37" t="s">
        <v>246</v>
      </c>
      <c r="I720" s="37" t="s">
        <v>49</v>
      </c>
      <c r="J720" s="37" t="s">
        <v>430</v>
      </c>
      <c r="K720" s="37" t="str">
        <f t="shared" si="15"/>
        <v>Boone, IN</v>
      </c>
      <c r="L720" s="37">
        <v>46.0</v>
      </c>
      <c r="M720" s="37" t="s">
        <v>63</v>
      </c>
      <c r="N720" s="37">
        <v>16.0</v>
      </c>
      <c r="O720" s="37">
        <v>30.0</v>
      </c>
      <c r="P720" s="37" t="s">
        <v>63</v>
      </c>
      <c r="Q720" s="37" t="s">
        <v>63</v>
      </c>
      <c r="R720" s="37" t="s">
        <v>63</v>
      </c>
      <c r="S720" s="37" t="s">
        <v>63</v>
      </c>
      <c r="T720" s="69" t="s">
        <v>63</v>
      </c>
      <c r="U720" s="70">
        <v>15.0</v>
      </c>
      <c r="V720" s="37" t="s">
        <v>63</v>
      </c>
      <c r="W720" s="71" t="s">
        <v>63</v>
      </c>
      <c r="X720" s="72" t="s">
        <v>63</v>
      </c>
      <c r="Y720" s="53">
        <v>48.0</v>
      </c>
      <c r="Z720" s="69" t="s">
        <v>63</v>
      </c>
      <c r="AA720" s="73"/>
      <c r="AB720" s="73"/>
      <c r="AC720" s="73"/>
      <c r="AD720" s="73"/>
      <c r="AE720" s="73"/>
      <c r="AF720" s="73"/>
      <c r="AG720" s="73"/>
      <c r="AH720" s="73"/>
      <c r="AI720" s="73"/>
      <c r="AJ720" s="73"/>
      <c r="AK720" s="73"/>
    </row>
    <row r="721">
      <c r="A721" s="28">
        <v>720.0</v>
      </c>
      <c r="B721" s="29"/>
      <c r="C721" s="29"/>
      <c r="D721" s="40">
        <v>1.0</v>
      </c>
      <c r="E721" s="31">
        <v>18.0</v>
      </c>
      <c r="F721" s="42">
        <v>13.0</v>
      </c>
      <c r="G721" s="29" t="str">
        <f t="shared" si="1"/>
        <v>18013</v>
      </c>
      <c r="H721" s="37" t="s">
        <v>706</v>
      </c>
      <c r="I721" s="37" t="s">
        <v>49</v>
      </c>
      <c r="J721" s="37" t="s">
        <v>430</v>
      </c>
      <c r="K721" s="37" t="str">
        <f t="shared" si="15"/>
        <v>Brown, IN</v>
      </c>
      <c r="L721" s="37">
        <v>25.0</v>
      </c>
      <c r="M721" s="37" t="s">
        <v>63</v>
      </c>
      <c r="N721" s="37">
        <v>6.0</v>
      </c>
      <c r="O721" s="37">
        <v>16.0</v>
      </c>
      <c r="P721" s="37" t="s">
        <v>63</v>
      </c>
      <c r="Q721" s="37" t="s">
        <v>63</v>
      </c>
      <c r="R721" s="37" t="s">
        <v>63</v>
      </c>
      <c r="S721" s="37" t="s">
        <v>63</v>
      </c>
      <c r="T721" s="69" t="s">
        <v>63</v>
      </c>
      <c r="U721" s="70">
        <v>8.0</v>
      </c>
      <c r="V721" s="37" t="s">
        <v>63</v>
      </c>
      <c r="W721" s="71" t="s">
        <v>63</v>
      </c>
      <c r="X721" s="72" t="s">
        <v>63</v>
      </c>
      <c r="Y721" s="53">
        <v>15.0</v>
      </c>
      <c r="Z721" s="69" t="s">
        <v>63</v>
      </c>
      <c r="AA721" s="73"/>
      <c r="AB721" s="73"/>
      <c r="AC721" s="73"/>
      <c r="AD721" s="73"/>
      <c r="AE721" s="73"/>
      <c r="AF721" s="73"/>
      <c r="AG721" s="73"/>
      <c r="AH721" s="73"/>
      <c r="AI721" s="73"/>
      <c r="AJ721" s="73"/>
      <c r="AK721" s="73"/>
    </row>
    <row r="722">
      <c r="A722" s="28">
        <v>721.0</v>
      </c>
      <c r="B722" s="29"/>
      <c r="C722" s="29"/>
      <c r="D722" s="40">
        <v>1.0</v>
      </c>
      <c r="E722" s="31">
        <v>18.0</v>
      </c>
      <c r="F722" s="42">
        <v>15.0</v>
      </c>
      <c r="G722" s="29" t="str">
        <f t="shared" si="1"/>
        <v>18015</v>
      </c>
      <c r="H722" s="37" t="s">
        <v>248</v>
      </c>
      <c r="I722" s="37" t="s">
        <v>49</v>
      </c>
      <c r="J722" s="37" t="s">
        <v>430</v>
      </c>
      <c r="K722" s="37" t="str">
        <f t="shared" si="15"/>
        <v>Carroll, IN</v>
      </c>
      <c r="L722" s="37">
        <v>11.0</v>
      </c>
      <c r="M722" s="37" t="s">
        <v>63</v>
      </c>
      <c r="N722" s="37">
        <v>3.0</v>
      </c>
      <c r="O722" s="37">
        <v>8.0</v>
      </c>
      <c r="P722" s="37" t="s">
        <v>63</v>
      </c>
      <c r="Q722" s="37" t="s">
        <v>63</v>
      </c>
      <c r="R722" s="37" t="s">
        <v>63</v>
      </c>
      <c r="S722" s="37" t="s">
        <v>63</v>
      </c>
      <c r="T722" s="69" t="s">
        <v>63</v>
      </c>
      <c r="U722" s="70">
        <v>4.0</v>
      </c>
      <c r="V722" s="37" t="s">
        <v>63</v>
      </c>
      <c r="W722" s="71" t="s">
        <v>63</v>
      </c>
      <c r="X722" s="72" t="s">
        <v>63</v>
      </c>
      <c r="Y722" s="53">
        <v>36.0</v>
      </c>
      <c r="Z722" s="69" t="s">
        <v>63</v>
      </c>
      <c r="AA722" s="73"/>
      <c r="AB722" s="73"/>
      <c r="AC722" s="73"/>
      <c r="AD722" s="73"/>
      <c r="AE722" s="73"/>
      <c r="AF722" s="73"/>
      <c r="AG722" s="73"/>
      <c r="AH722" s="73"/>
      <c r="AI722" s="73"/>
      <c r="AJ722" s="73"/>
      <c r="AK722" s="73"/>
    </row>
    <row r="723">
      <c r="A723" s="28">
        <v>722.0</v>
      </c>
      <c r="B723" s="29"/>
      <c r="C723" s="29"/>
      <c r="D723" s="40">
        <v>1.0</v>
      </c>
      <c r="E723" s="31">
        <v>18.0</v>
      </c>
      <c r="F723" s="42">
        <v>17.0</v>
      </c>
      <c r="G723" s="29" t="str">
        <f t="shared" si="1"/>
        <v>18017</v>
      </c>
      <c r="H723" s="37" t="s">
        <v>708</v>
      </c>
      <c r="I723" s="37" t="s">
        <v>49</v>
      </c>
      <c r="J723" s="37" t="s">
        <v>430</v>
      </c>
      <c r="K723" s="37" t="str">
        <f t="shared" si="15"/>
        <v>Cass, IN</v>
      </c>
      <c r="L723" s="37">
        <v>35.0</v>
      </c>
      <c r="M723" s="37" t="s">
        <v>63</v>
      </c>
      <c r="N723" s="37">
        <v>16.0</v>
      </c>
      <c r="O723" s="37">
        <v>18.0</v>
      </c>
      <c r="P723" s="37" t="s">
        <v>63</v>
      </c>
      <c r="Q723" s="37" t="s">
        <v>63</v>
      </c>
      <c r="R723" s="37" t="s">
        <v>63</v>
      </c>
      <c r="S723" s="37" t="s">
        <v>63</v>
      </c>
      <c r="T723" s="69" t="s">
        <v>63</v>
      </c>
      <c r="U723" s="70">
        <v>44.0</v>
      </c>
      <c r="V723" s="37" t="s">
        <v>63</v>
      </c>
      <c r="W723" s="71" t="s">
        <v>63</v>
      </c>
      <c r="X723" s="72" t="s">
        <v>63</v>
      </c>
      <c r="Y723" s="53">
        <v>50.0</v>
      </c>
      <c r="Z723" s="69" t="s">
        <v>63</v>
      </c>
      <c r="AA723" s="73"/>
      <c r="AB723" s="73"/>
      <c r="AC723" s="73"/>
      <c r="AD723" s="73"/>
      <c r="AE723" s="73"/>
      <c r="AF723" s="73"/>
      <c r="AG723" s="73"/>
      <c r="AH723" s="73"/>
      <c r="AI723" s="73"/>
      <c r="AJ723" s="73"/>
      <c r="AK723" s="73"/>
    </row>
    <row r="724">
      <c r="A724" s="28">
        <v>723.0</v>
      </c>
      <c r="B724" s="29"/>
      <c r="C724" s="29"/>
      <c r="D724" s="40">
        <v>1.0</v>
      </c>
      <c r="E724" s="31">
        <v>18.0</v>
      </c>
      <c r="F724" s="42">
        <v>19.0</v>
      </c>
      <c r="G724" s="29" t="str">
        <f t="shared" si="1"/>
        <v>18019</v>
      </c>
      <c r="H724" s="37" t="s">
        <v>253</v>
      </c>
      <c r="I724" s="37" t="s">
        <v>49</v>
      </c>
      <c r="J724" s="37" t="s">
        <v>430</v>
      </c>
      <c r="K724" s="37" t="str">
        <f t="shared" si="15"/>
        <v>Clark, IN</v>
      </c>
      <c r="L724" s="37">
        <v>175.0</v>
      </c>
      <c r="M724" s="37" t="s">
        <v>63</v>
      </c>
      <c r="N724" s="37">
        <v>66.0</v>
      </c>
      <c r="O724" s="37">
        <v>92.0</v>
      </c>
      <c r="P724" s="37" t="s">
        <v>63</v>
      </c>
      <c r="Q724" s="37" t="s">
        <v>63</v>
      </c>
      <c r="R724" s="37" t="s">
        <v>63</v>
      </c>
      <c r="S724" s="37" t="s">
        <v>63</v>
      </c>
      <c r="T724" s="69" t="s">
        <v>63</v>
      </c>
      <c r="U724" s="70">
        <v>117.0</v>
      </c>
      <c r="V724" s="37" t="s">
        <v>63</v>
      </c>
      <c r="W724" s="71" t="s">
        <v>63</v>
      </c>
      <c r="X724" s="72" t="s">
        <v>63</v>
      </c>
      <c r="Y724" s="53">
        <v>98.0</v>
      </c>
      <c r="Z724" s="69" t="s">
        <v>63</v>
      </c>
      <c r="AA724" s="73"/>
      <c r="AB724" s="73"/>
      <c r="AC724" s="73"/>
      <c r="AD724" s="73"/>
      <c r="AE724" s="73"/>
      <c r="AF724" s="73"/>
      <c r="AG724" s="73"/>
      <c r="AH724" s="73"/>
      <c r="AI724" s="73"/>
      <c r="AJ724" s="73"/>
      <c r="AK724" s="73"/>
    </row>
    <row r="725">
      <c r="A725" s="28">
        <v>724.0</v>
      </c>
      <c r="B725" s="29"/>
      <c r="C725" s="29"/>
      <c r="D725" s="40">
        <v>1.0</v>
      </c>
      <c r="E725" s="31">
        <v>18.0</v>
      </c>
      <c r="F725" s="42">
        <v>21.0</v>
      </c>
      <c r="G725" s="29" t="str">
        <f t="shared" si="1"/>
        <v>18021</v>
      </c>
      <c r="H725" s="37" t="s">
        <v>112</v>
      </c>
      <c r="I725" s="37" t="s">
        <v>49</v>
      </c>
      <c r="J725" s="37" t="s">
        <v>430</v>
      </c>
      <c r="K725" s="37" t="str">
        <f t="shared" si="15"/>
        <v>Clay, IN</v>
      </c>
      <c r="L725" s="37">
        <v>64.0</v>
      </c>
      <c r="M725" s="37" t="s">
        <v>63</v>
      </c>
      <c r="N725" s="37">
        <v>26.0</v>
      </c>
      <c r="O725" s="37">
        <v>30.0</v>
      </c>
      <c r="P725" s="37" t="s">
        <v>63</v>
      </c>
      <c r="Q725" s="37" t="s">
        <v>63</v>
      </c>
      <c r="R725" s="37" t="s">
        <v>63</v>
      </c>
      <c r="S725" s="37" t="s">
        <v>63</v>
      </c>
      <c r="T725" s="69" t="s">
        <v>63</v>
      </c>
      <c r="U725" s="70">
        <v>39.0</v>
      </c>
      <c r="V725" s="37" t="s">
        <v>63</v>
      </c>
      <c r="W725" s="71" t="s">
        <v>63</v>
      </c>
      <c r="X725" s="72" t="s">
        <v>63</v>
      </c>
      <c r="Y725" s="53">
        <v>42.0</v>
      </c>
      <c r="Z725" s="69" t="s">
        <v>63</v>
      </c>
      <c r="AA725" s="73"/>
      <c r="AB725" s="73"/>
      <c r="AC725" s="73"/>
      <c r="AD725" s="73"/>
      <c r="AE725" s="73"/>
      <c r="AF725" s="73"/>
      <c r="AG725" s="73"/>
      <c r="AH725" s="73"/>
      <c r="AI725" s="73"/>
      <c r="AJ725" s="73"/>
      <c r="AK725" s="73"/>
    </row>
    <row r="726">
      <c r="A726" s="28">
        <v>725.0</v>
      </c>
      <c r="B726" s="29"/>
      <c r="C726" s="29"/>
      <c r="D726" s="40">
        <v>1.0</v>
      </c>
      <c r="E726" s="31">
        <v>18.0</v>
      </c>
      <c r="F726" s="42">
        <v>23.0</v>
      </c>
      <c r="G726" s="29" t="str">
        <f t="shared" si="1"/>
        <v>18023</v>
      </c>
      <c r="H726" s="37" t="s">
        <v>711</v>
      </c>
      <c r="I726" s="37" t="s">
        <v>49</v>
      </c>
      <c r="J726" s="37" t="s">
        <v>430</v>
      </c>
      <c r="K726" s="37" t="str">
        <f t="shared" si="15"/>
        <v>Clinton, IN</v>
      </c>
      <c r="L726" s="37">
        <v>25.0</v>
      </c>
      <c r="M726" s="37" t="s">
        <v>63</v>
      </c>
      <c r="N726" s="37">
        <v>9.0</v>
      </c>
      <c r="O726" s="37">
        <v>15.0</v>
      </c>
      <c r="P726" s="37" t="s">
        <v>63</v>
      </c>
      <c r="Q726" s="37" t="s">
        <v>63</v>
      </c>
      <c r="R726" s="37" t="s">
        <v>63</v>
      </c>
      <c r="S726" s="37" t="s">
        <v>63</v>
      </c>
      <c r="T726" s="69" t="s">
        <v>63</v>
      </c>
      <c r="U726" s="70">
        <v>24.0</v>
      </c>
      <c r="V726" s="37" t="s">
        <v>63</v>
      </c>
      <c r="W726" s="71" t="s">
        <v>63</v>
      </c>
      <c r="X726" s="72" t="s">
        <v>63</v>
      </c>
      <c r="Y726" s="53">
        <v>53.0</v>
      </c>
      <c r="Z726" s="69" t="s">
        <v>63</v>
      </c>
      <c r="AA726" s="73"/>
      <c r="AB726" s="73"/>
      <c r="AC726" s="73"/>
      <c r="AD726" s="73"/>
      <c r="AE726" s="73"/>
      <c r="AF726" s="73"/>
      <c r="AG726" s="73"/>
      <c r="AH726" s="73"/>
      <c r="AI726" s="73"/>
      <c r="AJ726" s="73"/>
      <c r="AK726" s="73"/>
    </row>
    <row r="727">
      <c r="A727" s="28">
        <v>726.0</v>
      </c>
      <c r="B727" s="29"/>
      <c r="C727" s="29"/>
      <c r="D727" s="40">
        <v>1.0</v>
      </c>
      <c r="E727" s="31">
        <v>18.0</v>
      </c>
      <c r="F727" s="42">
        <v>25.0</v>
      </c>
      <c r="G727" s="29" t="str">
        <f t="shared" si="1"/>
        <v>18025</v>
      </c>
      <c r="H727" s="37" t="s">
        <v>263</v>
      </c>
      <c r="I727" s="37" t="s">
        <v>49</v>
      </c>
      <c r="J727" s="37" t="s">
        <v>430</v>
      </c>
      <c r="K727" s="37" t="str">
        <f t="shared" si="15"/>
        <v>Crawford, IN</v>
      </c>
      <c r="L727" s="37">
        <v>38.0</v>
      </c>
      <c r="M727" s="37" t="s">
        <v>63</v>
      </c>
      <c r="N727" s="37">
        <v>8.0</v>
      </c>
      <c r="O727" s="37">
        <v>26.0</v>
      </c>
      <c r="P727" s="37" t="s">
        <v>63</v>
      </c>
      <c r="Q727" s="37" t="s">
        <v>63</v>
      </c>
      <c r="R727" s="37" t="s">
        <v>63</v>
      </c>
      <c r="S727" s="37" t="s">
        <v>63</v>
      </c>
      <c r="T727" s="69" t="s">
        <v>63</v>
      </c>
      <c r="U727" s="70">
        <v>9.0</v>
      </c>
      <c r="V727" s="37" t="s">
        <v>63</v>
      </c>
      <c r="W727" s="71" t="s">
        <v>63</v>
      </c>
      <c r="X727" s="72" t="s">
        <v>63</v>
      </c>
      <c r="Y727" s="53">
        <v>15.0</v>
      </c>
      <c r="Z727" s="69" t="s">
        <v>63</v>
      </c>
      <c r="AA727" s="73"/>
      <c r="AB727" s="73"/>
      <c r="AC727" s="73"/>
      <c r="AD727" s="73"/>
      <c r="AE727" s="73"/>
      <c r="AF727" s="73"/>
      <c r="AG727" s="73"/>
      <c r="AH727" s="73"/>
      <c r="AI727" s="73"/>
      <c r="AJ727" s="73"/>
      <c r="AK727" s="73"/>
    </row>
    <row r="728">
      <c r="A728" s="28">
        <v>727.0</v>
      </c>
      <c r="B728" s="29"/>
      <c r="C728" s="29"/>
      <c r="D728" s="40">
        <v>1.0</v>
      </c>
      <c r="E728" s="31">
        <v>18.0</v>
      </c>
      <c r="F728" s="42">
        <v>27.0</v>
      </c>
      <c r="G728" s="29" t="str">
        <f t="shared" si="1"/>
        <v>18027</v>
      </c>
      <c r="H728" s="37" t="s">
        <v>758</v>
      </c>
      <c r="I728" s="37" t="s">
        <v>49</v>
      </c>
      <c r="J728" s="37" t="s">
        <v>430</v>
      </c>
      <c r="K728" s="37" t="str">
        <f t="shared" si="15"/>
        <v>Daviess, IN</v>
      </c>
      <c r="L728" s="37">
        <v>60.0</v>
      </c>
      <c r="M728" s="37" t="s">
        <v>63</v>
      </c>
      <c r="N728" s="37">
        <v>31.0</v>
      </c>
      <c r="O728" s="37">
        <v>24.0</v>
      </c>
      <c r="P728" s="37" t="s">
        <v>63</v>
      </c>
      <c r="Q728" s="37" t="s">
        <v>63</v>
      </c>
      <c r="R728" s="37" t="s">
        <v>63</v>
      </c>
      <c r="S728" s="37" t="s">
        <v>63</v>
      </c>
      <c r="T728" s="69" t="s">
        <v>63</v>
      </c>
      <c r="U728" s="70">
        <v>19.0</v>
      </c>
      <c r="V728" s="37" t="s">
        <v>63</v>
      </c>
      <c r="W728" s="71" t="s">
        <v>63</v>
      </c>
      <c r="X728" s="72" t="s">
        <v>63</v>
      </c>
      <c r="Y728" s="53">
        <v>57.0</v>
      </c>
      <c r="Z728" s="69" t="s">
        <v>63</v>
      </c>
      <c r="AA728" s="73"/>
      <c r="AB728" s="73"/>
      <c r="AC728" s="73"/>
      <c r="AD728" s="73"/>
      <c r="AE728" s="73"/>
      <c r="AF728" s="73"/>
      <c r="AG728" s="73"/>
      <c r="AH728" s="73"/>
      <c r="AI728" s="73"/>
      <c r="AJ728" s="73"/>
      <c r="AK728" s="73"/>
    </row>
    <row r="729">
      <c r="A729" s="28">
        <v>728.0</v>
      </c>
      <c r="B729" s="29"/>
      <c r="C729" s="29"/>
      <c r="D729" s="40">
        <v>1.0</v>
      </c>
      <c r="E729" s="31">
        <v>18.0</v>
      </c>
      <c r="F729" s="42">
        <v>29.0</v>
      </c>
      <c r="G729" s="29" t="str">
        <f t="shared" si="1"/>
        <v>18029</v>
      </c>
      <c r="H729" s="37" t="s">
        <v>759</v>
      </c>
      <c r="I729" s="37" t="s">
        <v>49</v>
      </c>
      <c r="J729" s="37" t="s">
        <v>430</v>
      </c>
      <c r="K729" s="37" t="str">
        <f t="shared" si="15"/>
        <v>Dearborn, IN</v>
      </c>
      <c r="L729" s="37">
        <v>63.0</v>
      </c>
      <c r="M729" s="37" t="s">
        <v>63</v>
      </c>
      <c r="N729" s="37">
        <v>19.0</v>
      </c>
      <c r="O729" s="37">
        <v>38.0</v>
      </c>
      <c r="P729" s="37" t="s">
        <v>63</v>
      </c>
      <c r="Q729" s="37" t="s">
        <v>63</v>
      </c>
      <c r="R729" s="37" t="s">
        <v>63</v>
      </c>
      <c r="S729" s="37" t="s">
        <v>63</v>
      </c>
      <c r="T729" s="69" t="s">
        <v>63</v>
      </c>
      <c r="U729" s="70">
        <v>21.0</v>
      </c>
      <c r="V729" s="37" t="s">
        <v>63</v>
      </c>
      <c r="W729" s="71" t="s">
        <v>63</v>
      </c>
      <c r="X729" s="72" t="s">
        <v>63</v>
      </c>
      <c r="Y729" s="53">
        <v>62.0</v>
      </c>
      <c r="Z729" s="69" t="s">
        <v>63</v>
      </c>
      <c r="AA729" s="73"/>
      <c r="AB729" s="73"/>
      <c r="AC729" s="73"/>
      <c r="AD729" s="73"/>
      <c r="AE729" s="73"/>
      <c r="AF729" s="73"/>
      <c r="AG729" s="73"/>
      <c r="AH729" s="73"/>
      <c r="AI729" s="73"/>
      <c r="AJ729" s="73"/>
      <c r="AK729" s="73"/>
    </row>
    <row r="730">
      <c r="A730" s="28">
        <v>729.0</v>
      </c>
      <c r="B730" s="29"/>
      <c r="C730" s="29"/>
      <c r="D730" s="40">
        <v>1.0</v>
      </c>
      <c r="E730" s="31">
        <v>18.0</v>
      </c>
      <c r="F730" s="42">
        <v>31.0</v>
      </c>
      <c r="G730" s="29" t="str">
        <f t="shared" si="1"/>
        <v>18031</v>
      </c>
      <c r="H730" s="37" t="s">
        <v>563</v>
      </c>
      <c r="I730" s="37" t="s">
        <v>49</v>
      </c>
      <c r="J730" s="37" t="s">
        <v>430</v>
      </c>
      <c r="K730" s="37" t="str">
        <f t="shared" si="15"/>
        <v>Decatur, IN</v>
      </c>
      <c r="L730" s="37">
        <v>60.0</v>
      </c>
      <c r="M730" s="37" t="s">
        <v>63</v>
      </c>
      <c r="N730" s="37">
        <v>24.0</v>
      </c>
      <c r="O730" s="37">
        <v>32.0</v>
      </c>
      <c r="P730" s="37" t="s">
        <v>63</v>
      </c>
      <c r="Q730" s="37" t="s">
        <v>63</v>
      </c>
      <c r="R730" s="37" t="s">
        <v>63</v>
      </c>
      <c r="S730" s="37" t="s">
        <v>63</v>
      </c>
      <c r="T730" s="69" t="s">
        <v>63</v>
      </c>
      <c r="U730" s="70">
        <v>39.0</v>
      </c>
      <c r="V730" s="37" t="s">
        <v>63</v>
      </c>
      <c r="W730" s="71" t="s">
        <v>63</v>
      </c>
      <c r="X730" s="72" t="s">
        <v>63</v>
      </c>
      <c r="Y730" s="53">
        <v>32.0</v>
      </c>
      <c r="Z730" s="69" t="s">
        <v>63</v>
      </c>
      <c r="AA730" s="73"/>
      <c r="AB730" s="73"/>
      <c r="AC730" s="73"/>
      <c r="AD730" s="73"/>
      <c r="AE730" s="73"/>
      <c r="AF730" s="73"/>
      <c r="AG730" s="73"/>
      <c r="AH730" s="73"/>
      <c r="AI730" s="73"/>
      <c r="AJ730" s="73"/>
      <c r="AK730" s="73"/>
    </row>
    <row r="731">
      <c r="A731" s="28">
        <v>730.0</v>
      </c>
      <c r="B731" s="29"/>
      <c r="C731" s="29"/>
      <c r="D731" s="40">
        <v>1.0</v>
      </c>
      <c r="E731" s="31">
        <v>18.0</v>
      </c>
      <c r="F731" s="42">
        <v>33.0</v>
      </c>
      <c r="G731" s="29" t="str">
        <f t="shared" si="1"/>
        <v>18033</v>
      </c>
      <c r="H731" s="37" t="s">
        <v>131</v>
      </c>
      <c r="I731" s="37" t="s">
        <v>49</v>
      </c>
      <c r="J731" s="37" t="s">
        <v>430</v>
      </c>
      <c r="K731" s="37" t="str">
        <f t="shared" si="15"/>
        <v>De Kalb, IN</v>
      </c>
      <c r="L731" s="37">
        <v>46.0</v>
      </c>
      <c r="M731" s="37" t="s">
        <v>63</v>
      </c>
      <c r="N731" s="37">
        <v>16.0</v>
      </c>
      <c r="O731" s="37">
        <v>28.0</v>
      </c>
      <c r="P731" s="37" t="s">
        <v>63</v>
      </c>
      <c r="Q731" s="37" t="s">
        <v>63</v>
      </c>
      <c r="R731" s="37" t="s">
        <v>63</v>
      </c>
      <c r="S731" s="37" t="s">
        <v>63</v>
      </c>
      <c r="T731" s="69" t="s">
        <v>63</v>
      </c>
      <c r="U731" s="70">
        <v>19.0</v>
      </c>
      <c r="V731" s="37" t="s">
        <v>63</v>
      </c>
      <c r="W731" s="71" t="s">
        <v>63</v>
      </c>
      <c r="X731" s="72" t="s">
        <v>63</v>
      </c>
      <c r="Y731" s="53">
        <v>47.0</v>
      </c>
      <c r="Z731" s="69" t="s">
        <v>63</v>
      </c>
      <c r="AA731" s="73"/>
      <c r="AB731" s="73"/>
      <c r="AC731" s="73"/>
      <c r="AD731" s="73"/>
      <c r="AE731" s="73"/>
      <c r="AF731" s="73"/>
      <c r="AG731" s="73"/>
      <c r="AH731" s="73"/>
      <c r="AI731" s="73"/>
      <c r="AJ731" s="73"/>
      <c r="AK731" s="73"/>
    </row>
    <row r="732">
      <c r="A732" s="28">
        <v>731.0</v>
      </c>
      <c r="B732" s="29"/>
      <c r="C732" s="29"/>
      <c r="D732" s="40">
        <v>1.0</v>
      </c>
      <c r="E732" s="31">
        <v>18.0</v>
      </c>
      <c r="F732" s="42">
        <v>35.0</v>
      </c>
      <c r="G732" s="29" t="str">
        <f t="shared" si="1"/>
        <v>18035</v>
      </c>
      <c r="H732" s="37" t="s">
        <v>40</v>
      </c>
      <c r="I732" s="37" t="s">
        <v>49</v>
      </c>
      <c r="J732" s="37" t="s">
        <v>430</v>
      </c>
      <c r="K732" s="37" t="str">
        <f t="shared" si="15"/>
        <v>Delaware, IN</v>
      </c>
      <c r="L732" s="37">
        <v>163.0</v>
      </c>
      <c r="M732" s="37" t="s">
        <v>63</v>
      </c>
      <c r="N732" s="37">
        <v>52.0</v>
      </c>
      <c r="O732" s="37">
        <v>98.0</v>
      </c>
      <c r="P732" s="37" t="s">
        <v>63</v>
      </c>
      <c r="Q732" s="37" t="s">
        <v>63</v>
      </c>
      <c r="R732" s="37" t="s">
        <v>63</v>
      </c>
      <c r="S732" s="37" t="s">
        <v>63</v>
      </c>
      <c r="T732" s="69" t="s">
        <v>63</v>
      </c>
      <c r="U732" s="70">
        <v>70.0</v>
      </c>
      <c r="V732" s="37" t="s">
        <v>63</v>
      </c>
      <c r="W732" s="71" t="s">
        <v>63</v>
      </c>
      <c r="X732" s="72" t="s">
        <v>63</v>
      </c>
      <c r="Y732" s="53">
        <v>127.0</v>
      </c>
      <c r="Z732" s="69" t="s">
        <v>63</v>
      </c>
      <c r="AA732" s="73"/>
      <c r="AB732" s="73"/>
      <c r="AC732" s="73"/>
      <c r="AD732" s="73"/>
      <c r="AE732" s="73"/>
      <c r="AF732" s="73"/>
      <c r="AG732" s="73"/>
      <c r="AH732" s="73"/>
      <c r="AI732" s="73"/>
      <c r="AJ732" s="73"/>
      <c r="AK732" s="73"/>
    </row>
    <row r="733">
      <c r="A733" s="28">
        <v>732.0</v>
      </c>
      <c r="B733" s="29"/>
      <c r="C733" s="29"/>
      <c r="D733" s="40">
        <v>1.0</v>
      </c>
      <c r="E733" s="31">
        <v>18.0</v>
      </c>
      <c r="F733" s="42">
        <v>37.0</v>
      </c>
      <c r="G733" s="29" t="str">
        <f t="shared" si="1"/>
        <v>18037</v>
      </c>
      <c r="H733" s="37" t="s">
        <v>760</v>
      </c>
      <c r="I733" s="37" t="s">
        <v>49</v>
      </c>
      <c r="J733" s="37" t="s">
        <v>430</v>
      </c>
      <c r="K733" s="37" t="str">
        <f t="shared" si="15"/>
        <v>Dubois, IN</v>
      </c>
      <c r="L733" s="37">
        <v>35.0</v>
      </c>
      <c r="M733" s="37" t="s">
        <v>63</v>
      </c>
      <c r="N733" s="37">
        <v>13.0</v>
      </c>
      <c r="O733" s="37">
        <v>19.0</v>
      </c>
      <c r="P733" s="37" t="s">
        <v>63</v>
      </c>
      <c r="Q733" s="37" t="s">
        <v>63</v>
      </c>
      <c r="R733" s="37" t="s">
        <v>63</v>
      </c>
      <c r="S733" s="37" t="s">
        <v>63</v>
      </c>
      <c r="T733" s="69" t="s">
        <v>63</v>
      </c>
      <c r="U733" s="70">
        <v>17.0</v>
      </c>
      <c r="V733" s="37" t="s">
        <v>63</v>
      </c>
      <c r="W733" s="71" t="s">
        <v>63</v>
      </c>
      <c r="X733" s="72" t="s">
        <v>63</v>
      </c>
      <c r="Y733" s="53">
        <v>47.0</v>
      </c>
      <c r="Z733" s="69" t="s">
        <v>63</v>
      </c>
      <c r="AA733" s="73"/>
      <c r="AB733" s="73"/>
      <c r="AC733" s="73"/>
      <c r="AD733" s="73"/>
      <c r="AE733" s="73"/>
      <c r="AF733" s="73"/>
      <c r="AG733" s="73"/>
      <c r="AH733" s="73"/>
      <c r="AI733" s="73"/>
      <c r="AJ733" s="73"/>
      <c r="AK733" s="73"/>
    </row>
    <row r="734">
      <c r="A734" s="28">
        <v>733.0</v>
      </c>
      <c r="B734" s="29"/>
      <c r="C734" s="29"/>
      <c r="D734" s="40">
        <v>1.0</v>
      </c>
      <c r="E734" s="31">
        <v>18.0</v>
      </c>
      <c r="F734" s="42">
        <v>39.0</v>
      </c>
      <c r="G734" s="29" t="str">
        <f t="shared" si="1"/>
        <v>18039</v>
      </c>
      <c r="H734" s="37" t="s">
        <v>761</v>
      </c>
      <c r="I734" s="37" t="s">
        <v>49</v>
      </c>
      <c r="J734" s="37" t="s">
        <v>430</v>
      </c>
      <c r="K734" s="37" t="str">
        <f t="shared" si="15"/>
        <v>Elkhart, IN</v>
      </c>
      <c r="L734" s="37">
        <v>162.0</v>
      </c>
      <c r="M734" s="37" t="s">
        <v>63</v>
      </c>
      <c r="N734" s="37">
        <v>47.0</v>
      </c>
      <c r="O734" s="37">
        <v>102.0</v>
      </c>
      <c r="P734" s="37" t="s">
        <v>63</v>
      </c>
      <c r="Q734" s="37" t="s">
        <v>63</v>
      </c>
      <c r="R734" s="37" t="s">
        <v>63</v>
      </c>
      <c r="S734" s="37" t="s">
        <v>63</v>
      </c>
      <c r="T734" s="69" t="s">
        <v>63</v>
      </c>
      <c r="U734" s="70">
        <v>55.0</v>
      </c>
      <c r="V734" s="37" t="s">
        <v>63</v>
      </c>
      <c r="W734" s="71" t="s">
        <v>63</v>
      </c>
      <c r="X734" s="72" t="s">
        <v>63</v>
      </c>
      <c r="Y734" s="53">
        <v>200.0</v>
      </c>
      <c r="Z734" s="69" t="s">
        <v>63</v>
      </c>
      <c r="AA734" s="73"/>
      <c r="AB734" s="73"/>
      <c r="AC734" s="73"/>
      <c r="AD734" s="73"/>
      <c r="AE734" s="73"/>
      <c r="AF734" s="73"/>
      <c r="AG734" s="73"/>
      <c r="AH734" s="73"/>
      <c r="AI734" s="73"/>
      <c r="AJ734" s="73"/>
      <c r="AK734" s="73"/>
    </row>
    <row r="735">
      <c r="A735" s="28">
        <v>734.0</v>
      </c>
      <c r="B735" s="29"/>
      <c r="C735" s="29"/>
      <c r="D735" s="40">
        <v>1.0</v>
      </c>
      <c r="E735" s="31">
        <v>18.0</v>
      </c>
      <c r="F735" s="42">
        <v>41.0</v>
      </c>
      <c r="G735" s="29" t="str">
        <f t="shared" si="1"/>
        <v>18041</v>
      </c>
      <c r="H735" s="37" t="s">
        <v>135</v>
      </c>
      <c r="I735" s="37" t="s">
        <v>49</v>
      </c>
      <c r="J735" s="37" t="s">
        <v>430</v>
      </c>
      <c r="K735" s="37" t="str">
        <f t="shared" si="15"/>
        <v>Fayette, IN</v>
      </c>
      <c r="L735" s="37">
        <v>38.0</v>
      </c>
      <c r="M735" s="37" t="s">
        <v>63</v>
      </c>
      <c r="N735" s="37">
        <v>21.0</v>
      </c>
      <c r="O735" s="37">
        <v>17.0</v>
      </c>
      <c r="P735" s="37" t="s">
        <v>63</v>
      </c>
      <c r="Q735" s="37" t="s">
        <v>63</v>
      </c>
      <c r="R735" s="37" t="s">
        <v>63</v>
      </c>
      <c r="S735" s="37" t="s">
        <v>63</v>
      </c>
      <c r="T735" s="69" t="s">
        <v>63</v>
      </c>
      <c r="U735" s="70">
        <v>5.0</v>
      </c>
      <c r="V735" s="37" t="s">
        <v>63</v>
      </c>
      <c r="W735" s="71" t="s">
        <v>63</v>
      </c>
      <c r="X735" s="72" t="s">
        <v>63</v>
      </c>
      <c r="Y735" s="53">
        <v>27.0</v>
      </c>
      <c r="Z735" s="69" t="s">
        <v>63</v>
      </c>
      <c r="AA735" s="73"/>
      <c r="AB735" s="73"/>
      <c r="AC735" s="73"/>
      <c r="AD735" s="73"/>
      <c r="AE735" s="73"/>
      <c r="AF735" s="73"/>
      <c r="AG735" s="73"/>
      <c r="AH735" s="73"/>
      <c r="AI735" s="73"/>
      <c r="AJ735" s="73"/>
      <c r="AK735" s="73"/>
    </row>
    <row r="736">
      <c r="A736" s="28">
        <v>735.0</v>
      </c>
      <c r="B736" s="29"/>
      <c r="C736" s="29"/>
      <c r="D736" s="40">
        <v>1.0</v>
      </c>
      <c r="E736" s="31">
        <v>18.0</v>
      </c>
      <c r="F736" s="42">
        <v>43.0</v>
      </c>
      <c r="G736" s="29" t="str">
        <f t="shared" si="1"/>
        <v>18043</v>
      </c>
      <c r="H736" s="37" t="s">
        <v>575</v>
      </c>
      <c r="I736" s="37" t="s">
        <v>49</v>
      </c>
      <c r="J736" s="37" t="s">
        <v>430</v>
      </c>
      <c r="K736" s="37" t="str">
        <f t="shared" si="15"/>
        <v>Floyd, IN</v>
      </c>
      <c r="L736" s="37">
        <v>152.0</v>
      </c>
      <c r="M736" s="37" t="s">
        <v>63</v>
      </c>
      <c r="N736" s="37">
        <v>65.0</v>
      </c>
      <c r="O736" s="37">
        <v>68.0</v>
      </c>
      <c r="P736" s="37" t="s">
        <v>63</v>
      </c>
      <c r="Q736" s="37" t="s">
        <v>63</v>
      </c>
      <c r="R736" s="37" t="s">
        <v>63</v>
      </c>
      <c r="S736" s="37" t="s">
        <v>63</v>
      </c>
      <c r="T736" s="69" t="s">
        <v>63</v>
      </c>
      <c r="U736" s="70">
        <v>74.0</v>
      </c>
      <c r="V736" s="37" t="s">
        <v>63</v>
      </c>
      <c r="W736" s="71" t="s">
        <v>63</v>
      </c>
      <c r="X736" s="72" t="s">
        <v>63</v>
      </c>
      <c r="Y736" s="53">
        <v>74.0</v>
      </c>
      <c r="Z736" s="69" t="s">
        <v>63</v>
      </c>
      <c r="AA736" s="73"/>
      <c r="AB736" s="73"/>
      <c r="AC736" s="73"/>
      <c r="AD736" s="73"/>
      <c r="AE736" s="73"/>
      <c r="AF736" s="73"/>
      <c r="AG736" s="73"/>
      <c r="AH736" s="73"/>
      <c r="AI736" s="73"/>
      <c r="AJ736" s="73"/>
      <c r="AK736" s="73"/>
    </row>
    <row r="737">
      <c r="A737" s="28">
        <v>736.0</v>
      </c>
      <c r="B737" s="29"/>
      <c r="C737" s="29"/>
      <c r="D737" s="40">
        <v>1.0</v>
      </c>
      <c r="E737" s="31">
        <v>18.0</v>
      </c>
      <c r="F737" s="42">
        <v>45.0</v>
      </c>
      <c r="G737" s="29" t="str">
        <f t="shared" si="1"/>
        <v>18045</v>
      </c>
      <c r="H737" s="37" t="s">
        <v>762</v>
      </c>
      <c r="I737" s="37" t="s">
        <v>49</v>
      </c>
      <c r="J737" s="37" t="s">
        <v>430</v>
      </c>
      <c r="K737" s="37" t="str">
        <f t="shared" si="15"/>
        <v>Fountain, IN</v>
      </c>
      <c r="L737" s="37">
        <v>13.0</v>
      </c>
      <c r="M737" s="37" t="s">
        <v>63</v>
      </c>
      <c r="N737" s="37">
        <v>2.0</v>
      </c>
      <c r="O737" s="37">
        <v>8.0</v>
      </c>
      <c r="P737" s="37" t="s">
        <v>63</v>
      </c>
      <c r="Q737" s="37" t="s">
        <v>63</v>
      </c>
      <c r="R737" s="37" t="s">
        <v>63</v>
      </c>
      <c r="S737" s="37" t="s">
        <v>63</v>
      </c>
      <c r="T737" s="69" t="s">
        <v>63</v>
      </c>
      <c r="U737" s="70">
        <v>3.0</v>
      </c>
      <c r="V737" s="37" t="s">
        <v>63</v>
      </c>
      <c r="W737" s="71" t="s">
        <v>63</v>
      </c>
      <c r="X737" s="72" t="s">
        <v>63</v>
      </c>
      <c r="Y737" s="53">
        <v>29.0</v>
      </c>
      <c r="Z737" s="69" t="s">
        <v>63</v>
      </c>
      <c r="AA737" s="73"/>
      <c r="AB737" s="73"/>
      <c r="AC737" s="73"/>
      <c r="AD737" s="73"/>
      <c r="AE737" s="73"/>
      <c r="AF737" s="73"/>
      <c r="AG737" s="73"/>
      <c r="AH737" s="73"/>
      <c r="AI737" s="73"/>
      <c r="AJ737" s="73"/>
      <c r="AK737" s="73"/>
    </row>
    <row r="738">
      <c r="A738" s="28">
        <v>737.0</v>
      </c>
      <c r="B738" s="29"/>
      <c r="C738" s="29"/>
      <c r="D738" s="40">
        <v>1.0</v>
      </c>
      <c r="E738" s="31">
        <v>18.0</v>
      </c>
      <c r="F738" s="42">
        <v>47.0</v>
      </c>
      <c r="G738" s="29" t="str">
        <f t="shared" si="1"/>
        <v>18047</v>
      </c>
      <c r="H738" s="37" t="s">
        <v>136</v>
      </c>
      <c r="I738" s="37" t="s">
        <v>49</v>
      </c>
      <c r="J738" s="37" t="s">
        <v>430</v>
      </c>
      <c r="K738" s="37" t="str">
        <f t="shared" si="15"/>
        <v>Franklin, IN</v>
      </c>
      <c r="L738" s="37">
        <v>3.0</v>
      </c>
      <c r="M738" s="37" t="s">
        <v>63</v>
      </c>
      <c r="N738" s="37">
        <v>1.0</v>
      </c>
      <c r="O738" s="37">
        <v>2.0</v>
      </c>
      <c r="P738" s="37" t="s">
        <v>63</v>
      </c>
      <c r="Q738" s="37" t="s">
        <v>63</v>
      </c>
      <c r="R738" s="37" t="s">
        <v>63</v>
      </c>
      <c r="S738" s="37" t="s">
        <v>63</v>
      </c>
      <c r="T738" s="69" t="s">
        <v>63</v>
      </c>
      <c r="U738" s="70">
        <v>1.0</v>
      </c>
      <c r="V738" s="37" t="s">
        <v>63</v>
      </c>
      <c r="W738" s="71" t="s">
        <v>63</v>
      </c>
      <c r="X738" s="72" t="s">
        <v>63</v>
      </c>
      <c r="Y738" s="53">
        <v>30.0</v>
      </c>
      <c r="Z738" s="69" t="s">
        <v>63</v>
      </c>
      <c r="AA738" s="73"/>
      <c r="AB738" s="73"/>
      <c r="AC738" s="73"/>
      <c r="AD738" s="73"/>
      <c r="AE738" s="73"/>
      <c r="AF738" s="73"/>
      <c r="AG738" s="73"/>
      <c r="AH738" s="73"/>
      <c r="AI738" s="73"/>
      <c r="AJ738" s="73"/>
      <c r="AK738" s="73"/>
    </row>
    <row r="739">
      <c r="A739" s="28">
        <v>738.0</v>
      </c>
      <c r="B739" s="29"/>
      <c r="C739" s="29"/>
      <c r="D739" s="40">
        <v>1.0</v>
      </c>
      <c r="E739" s="31">
        <v>18.0</v>
      </c>
      <c r="F739" s="42">
        <v>49.0</v>
      </c>
      <c r="G739" s="29" t="str">
        <f t="shared" si="1"/>
        <v>18049</v>
      </c>
      <c r="H739" s="37" t="s">
        <v>275</v>
      </c>
      <c r="I739" s="37" t="s">
        <v>49</v>
      </c>
      <c r="J739" s="37" t="s">
        <v>430</v>
      </c>
      <c r="K739" s="37" t="str">
        <f t="shared" si="15"/>
        <v>Fulton, IN</v>
      </c>
      <c r="L739" s="37">
        <v>27.0</v>
      </c>
      <c r="M739" s="37" t="s">
        <v>63</v>
      </c>
      <c r="N739" s="37">
        <v>12.0</v>
      </c>
      <c r="O739" s="37">
        <v>12.0</v>
      </c>
      <c r="P739" s="37" t="s">
        <v>63</v>
      </c>
      <c r="Q739" s="37" t="s">
        <v>63</v>
      </c>
      <c r="R739" s="37" t="s">
        <v>63</v>
      </c>
      <c r="S739" s="37" t="s">
        <v>63</v>
      </c>
      <c r="T739" s="69" t="s">
        <v>63</v>
      </c>
      <c r="U739" s="70">
        <v>14.0</v>
      </c>
      <c r="V739" s="37" t="s">
        <v>63</v>
      </c>
      <c r="W739" s="71" t="s">
        <v>63</v>
      </c>
      <c r="X739" s="72" t="s">
        <v>63</v>
      </c>
      <c r="Y739" s="53">
        <v>38.0</v>
      </c>
      <c r="Z739" s="69" t="s">
        <v>63</v>
      </c>
      <c r="AA739" s="73"/>
      <c r="AB739" s="73"/>
      <c r="AC739" s="73"/>
      <c r="AD739" s="73"/>
      <c r="AE739" s="73"/>
      <c r="AF739" s="73"/>
      <c r="AG739" s="73"/>
      <c r="AH739" s="73"/>
      <c r="AI739" s="73"/>
      <c r="AJ739" s="73"/>
      <c r="AK739" s="73"/>
    </row>
    <row r="740">
      <c r="A740" s="28">
        <v>739.0</v>
      </c>
      <c r="B740" s="29"/>
      <c r="C740" s="29"/>
      <c r="D740" s="40">
        <v>1.0</v>
      </c>
      <c r="E740" s="31">
        <v>18.0</v>
      </c>
      <c r="F740" s="42">
        <v>51.0</v>
      </c>
      <c r="G740" s="29" t="str">
        <f t="shared" si="1"/>
        <v>18051</v>
      </c>
      <c r="H740" s="37" t="s">
        <v>763</v>
      </c>
      <c r="I740" s="37" t="s">
        <v>49</v>
      </c>
      <c r="J740" s="37" t="s">
        <v>430</v>
      </c>
      <c r="K740" s="37" t="str">
        <f t="shared" si="15"/>
        <v>Gibson, IN</v>
      </c>
      <c r="L740" s="37">
        <v>39.0</v>
      </c>
      <c r="M740" s="37" t="s">
        <v>63</v>
      </c>
      <c r="N740" s="37">
        <v>15.0</v>
      </c>
      <c r="O740" s="37">
        <v>20.0</v>
      </c>
      <c r="P740" s="37" t="s">
        <v>63</v>
      </c>
      <c r="Q740" s="37" t="s">
        <v>63</v>
      </c>
      <c r="R740" s="37" t="s">
        <v>63</v>
      </c>
      <c r="S740" s="37" t="s">
        <v>63</v>
      </c>
      <c r="T740" s="69" t="s">
        <v>63</v>
      </c>
      <c r="U740" s="70">
        <v>41.0</v>
      </c>
      <c r="V740" s="37" t="s">
        <v>63</v>
      </c>
      <c r="W740" s="71" t="s">
        <v>63</v>
      </c>
      <c r="X740" s="72" t="s">
        <v>63</v>
      </c>
      <c r="Y740" s="53">
        <v>51.0</v>
      </c>
      <c r="Z740" s="69" t="s">
        <v>63</v>
      </c>
      <c r="AA740" s="73"/>
      <c r="AB740" s="73"/>
      <c r="AC740" s="73"/>
      <c r="AD740" s="73"/>
      <c r="AE740" s="73"/>
      <c r="AF740" s="73"/>
      <c r="AG740" s="73"/>
      <c r="AH740" s="73"/>
      <c r="AI740" s="73"/>
      <c r="AJ740" s="73"/>
      <c r="AK740" s="73"/>
    </row>
    <row r="741">
      <c r="A741" s="28">
        <v>740.0</v>
      </c>
      <c r="B741" s="29"/>
      <c r="C741" s="29"/>
      <c r="D741" s="40">
        <v>1.0</v>
      </c>
      <c r="E741" s="31">
        <v>18.0</v>
      </c>
      <c r="F741" s="42">
        <v>53.0</v>
      </c>
      <c r="G741" s="29" t="str">
        <f t="shared" si="1"/>
        <v>18053</v>
      </c>
      <c r="H741" s="37" t="s">
        <v>278</v>
      </c>
      <c r="I741" s="37" t="s">
        <v>49</v>
      </c>
      <c r="J741" s="37" t="s">
        <v>430</v>
      </c>
      <c r="K741" s="37" t="str">
        <f t="shared" si="15"/>
        <v>Grant, IN</v>
      </c>
      <c r="L741" s="37">
        <v>150.0</v>
      </c>
      <c r="M741" s="37" t="s">
        <v>63</v>
      </c>
      <c r="N741" s="37">
        <v>52.0</v>
      </c>
      <c r="O741" s="37">
        <v>91.0</v>
      </c>
      <c r="P741" s="37" t="s">
        <v>63</v>
      </c>
      <c r="Q741" s="37" t="s">
        <v>63</v>
      </c>
      <c r="R741" s="37" t="s">
        <v>63</v>
      </c>
      <c r="S741" s="37" t="s">
        <v>63</v>
      </c>
      <c r="T741" s="69" t="s">
        <v>63</v>
      </c>
      <c r="U741" s="70">
        <v>48.0</v>
      </c>
      <c r="V741" s="37" t="s">
        <v>63</v>
      </c>
      <c r="W741" s="71" t="s">
        <v>63</v>
      </c>
      <c r="X741" s="72" t="s">
        <v>63</v>
      </c>
      <c r="Y741" s="53">
        <v>99.0</v>
      </c>
      <c r="Z741" s="69" t="s">
        <v>63</v>
      </c>
      <c r="AA741" s="73"/>
      <c r="AB741" s="73"/>
      <c r="AC741" s="73"/>
      <c r="AD741" s="73"/>
      <c r="AE741" s="73"/>
      <c r="AF741" s="73"/>
      <c r="AG741" s="73"/>
      <c r="AH741" s="73"/>
      <c r="AI741" s="73"/>
      <c r="AJ741" s="73"/>
      <c r="AK741" s="73"/>
    </row>
    <row r="742">
      <c r="A742" s="28">
        <v>741.0</v>
      </c>
      <c r="B742" s="29"/>
      <c r="C742" s="29"/>
      <c r="D742" s="40">
        <v>1.0</v>
      </c>
      <c r="E742" s="31">
        <v>18.0</v>
      </c>
      <c r="F742" s="42">
        <v>55.0</v>
      </c>
      <c r="G742" s="29" t="str">
        <f t="shared" si="1"/>
        <v>18055</v>
      </c>
      <c r="H742" s="37" t="s">
        <v>138</v>
      </c>
      <c r="I742" s="37" t="s">
        <v>49</v>
      </c>
      <c r="J742" s="37" t="s">
        <v>430</v>
      </c>
      <c r="K742" s="37" t="str">
        <f t="shared" si="15"/>
        <v>Greene, IN</v>
      </c>
      <c r="L742" s="37">
        <v>41.0</v>
      </c>
      <c r="M742" s="37" t="s">
        <v>63</v>
      </c>
      <c r="N742" s="37">
        <v>19.0</v>
      </c>
      <c r="O742" s="37">
        <v>17.0</v>
      </c>
      <c r="P742" s="37" t="s">
        <v>63</v>
      </c>
      <c r="Q742" s="37" t="s">
        <v>63</v>
      </c>
      <c r="R742" s="37" t="s">
        <v>63</v>
      </c>
      <c r="S742" s="37" t="s">
        <v>63</v>
      </c>
      <c r="T742" s="69" t="s">
        <v>63</v>
      </c>
      <c r="U742" s="70">
        <v>15.0</v>
      </c>
      <c r="V742" s="37" t="s">
        <v>63</v>
      </c>
      <c r="W742" s="71" t="s">
        <v>63</v>
      </c>
      <c r="X742" s="72" t="s">
        <v>63</v>
      </c>
      <c r="Y742" s="53">
        <v>49.0</v>
      </c>
      <c r="Z742" s="69" t="s">
        <v>63</v>
      </c>
      <c r="AA742" s="73"/>
      <c r="AB742" s="73"/>
      <c r="AC742" s="73"/>
      <c r="AD742" s="73"/>
      <c r="AE742" s="73"/>
      <c r="AF742" s="73"/>
      <c r="AG742" s="73"/>
      <c r="AH742" s="73"/>
      <c r="AI742" s="73"/>
      <c r="AJ742" s="73"/>
      <c r="AK742" s="73"/>
    </row>
    <row r="743">
      <c r="A743" s="28">
        <v>742.0</v>
      </c>
      <c r="B743" s="29"/>
      <c r="C743" s="29"/>
      <c r="D743" s="40">
        <v>1.0</v>
      </c>
      <c r="E743" s="31">
        <v>18.0</v>
      </c>
      <c r="F743" s="42">
        <v>57.0</v>
      </c>
      <c r="G743" s="29" t="str">
        <f t="shared" si="1"/>
        <v>18057</v>
      </c>
      <c r="H743" s="37" t="s">
        <v>497</v>
      </c>
      <c r="I743" s="37" t="s">
        <v>49</v>
      </c>
      <c r="J743" s="37" t="s">
        <v>430</v>
      </c>
      <c r="K743" s="37" t="str">
        <f t="shared" si="15"/>
        <v>Hamilton, IN</v>
      </c>
      <c r="L743" s="37">
        <v>107.0</v>
      </c>
      <c r="M743" s="37" t="s">
        <v>63</v>
      </c>
      <c r="N743" s="37">
        <v>28.0</v>
      </c>
      <c r="O743" s="37">
        <v>66.0</v>
      </c>
      <c r="P743" s="37" t="s">
        <v>63</v>
      </c>
      <c r="Q743" s="37" t="s">
        <v>63</v>
      </c>
      <c r="R743" s="37" t="s">
        <v>63</v>
      </c>
      <c r="S743" s="37" t="s">
        <v>63</v>
      </c>
      <c r="T743" s="69" t="s">
        <v>63</v>
      </c>
      <c r="U743" s="70">
        <v>59.0</v>
      </c>
      <c r="V743" s="37" t="s">
        <v>63</v>
      </c>
      <c r="W743" s="71" t="s">
        <v>63</v>
      </c>
      <c r="X743" s="72" t="s">
        <v>63</v>
      </c>
      <c r="Y743" s="53">
        <v>132.0</v>
      </c>
      <c r="Z743" s="69" t="s">
        <v>63</v>
      </c>
      <c r="AA743" s="73"/>
      <c r="AB743" s="73"/>
      <c r="AC743" s="73"/>
      <c r="AD743" s="73"/>
      <c r="AE743" s="73"/>
      <c r="AF743" s="73"/>
      <c r="AG743" s="73"/>
      <c r="AH743" s="73"/>
      <c r="AI743" s="73"/>
      <c r="AJ743" s="73"/>
      <c r="AK743" s="73"/>
    </row>
    <row r="744">
      <c r="A744" s="28">
        <v>743.0</v>
      </c>
      <c r="B744" s="29"/>
      <c r="C744" s="29"/>
      <c r="D744" s="40">
        <v>1.0</v>
      </c>
      <c r="E744" s="31">
        <v>18.0</v>
      </c>
      <c r="F744" s="42">
        <v>59.0</v>
      </c>
      <c r="G744" s="29" t="str">
        <f t="shared" si="1"/>
        <v>18059</v>
      </c>
      <c r="H744" s="37" t="s">
        <v>587</v>
      </c>
      <c r="I744" s="37" t="s">
        <v>49</v>
      </c>
      <c r="J744" s="37" t="s">
        <v>430</v>
      </c>
      <c r="K744" s="37" t="str">
        <f t="shared" si="15"/>
        <v>Hancock, IN</v>
      </c>
      <c r="L744" s="37">
        <v>66.0</v>
      </c>
      <c r="M744" s="37" t="s">
        <v>63</v>
      </c>
      <c r="N744" s="37">
        <v>27.0</v>
      </c>
      <c r="O744" s="37">
        <v>30.0</v>
      </c>
      <c r="P744" s="37" t="s">
        <v>63</v>
      </c>
      <c r="Q744" s="37" t="s">
        <v>63</v>
      </c>
      <c r="R744" s="37" t="s">
        <v>63</v>
      </c>
      <c r="S744" s="37" t="s">
        <v>63</v>
      </c>
      <c r="T744" s="69" t="s">
        <v>63</v>
      </c>
      <c r="U744" s="70">
        <v>72.0</v>
      </c>
      <c r="V744" s="37" t="s">
        <v>63</v>
      </c>
      <c r="W744" s="71" t="s">
        <v>63</v>
      </c>
      <c r="X744" s="72" t="s">
        <v>63</v>
      </c>
      <c r="Y744" s="53">
        <v>63.0</v>
      </c>
      <c r="Z744" s="69" t="s">
        <v>63</v>
      </c>
      <c r="AA744" s="73"/>
      <c r="AB744" s="73"/>
      <c r="AC744" s="73"/>
      <c r="AD744" s="73"/>
      <c r="AE744" s="73"/>
      <c r="AF744" s="73"/>
      <c r="AG744" s="73"/>
      <c r="AH744" s="73"/>
      <c r="AI744" s="73"/>
      <c r="AJ744" s="73"/>
      <c r="AK744" s="73"/>
    </row>
    <row r="745">
      <c r="A745" s="28">
        <v>744.0</v>
      </c>
      <c r="B745" s="29"/>
      <c r="C745" s="29"/>
      <c r="D745" s="40">
        <v>1.0</v>
      </c>
      <c r="E745" s="31">
        <v>18.0</v>
      </c>
      <c r="F745" s="42">
        <v>61.0</v>
      </c>
      <c r="G745" s="29" t="str">
        <f t="shared" si="1"/>
        <v>18061</v>
      </c>
      <c r="H745" s="37" t="s">
        <v>775</v>
      </c>
      <c r="I745" s="37" t="s">
        <v>49</v>
      </c>
      <c r="J745" s="37" t="s">
        <v>430</v>
      </c>
      <c r="K745" s="37" t="str">
        <f t="shared" si="15"/>
        <v>Harrison, IN</v>
      </c>
      <c r="L745" s="37">
        <v>49.0</v>
      </c>
      <c r="M745" s="37" t="s">
        <v>63</v>
      </c>
      <c r="N745" s="37">
        <v>15.0</v>
      </c>
      <c r="O745" s="37">
        <v>32.0</v>
      </c>
      <c r="P745" s="37" t="s">
        <v>63</v>
      </c>
      <c r="Q745" s="37" t="s">
        <v>63</v>
      </c>
      <c r="R745" s="37" t="s">
        <v>63</v>
      </c>
      <c r="S745" s="37" t="s">
        <v>63</v>
      </c>
      <c r="T745" s="69" t="s">
        <v>63</v>
      </c>
      <c r="U745" s="70">
        <v>27.0</v>
      </c>
      <c r="V745" s="37" t="s">
        <v>63</v>
      </c>
      <c r="W745" s="71" t="s">
        <v>63</v>
      </c>
      <c r="X745" s="72" t="s">
        <v>63</v>
      </c>
      <c r="Y745" s="53">
        <v>50.0</v>
      </c>
      <c r="Z745" s="69" t="s">
        <v>63</v>
      </c>
      <c r="AA745" s="73"/>
      <c r="AB745" s="73"/>
      <c r="AC745" s="73"/>
      <c r="AD745" s="73"/>
      <c r="AE745" s="73"/>
      <c r="AF745" s="73"/>
      <c r="AG745" s="73"/>
      <c r="AH745" s="73"/>
      <c r="AI745" s="73"/>
      <c r="AJ745" s="73"/>
      <c r="AK745" s="73"/>
    </row>
    <row r="746">
      <c r="A746" s="28">
        <v>745.0</v>
      </c>
      <c r="B746" s="29"/>
      <c r="C746" s="29"/>
      <c r="D746" s="40">
        <v>1.0</v>
      </c>
      <c r="E746" s="31">
        <v>18.0</v>
      </c>
      <c r="F746" s="42">
        <v>63.0</v>
      </c>
      <c r="G746" s="29" t="str">
        <f t="shared" si="1"/>
        <v>18063</v>
      </c>
      <c r="H746" s="37" t="s">
        <v>778</v>
      </c>
      <c r="I746" s="37" t="s">
        <v>49</v>
      </c>
      <c r="J746" s="37" t="s">
        <v>430</v>
      </c>
      <c r="K746" s="37" t="str">
        <f t="shared" si="15"/>
        <v>Hendricks, IN</v>
      </c>
      <c r="L746" s="37">
        <v>41.0</v>
      </c>
      <c r="M746" s="37" t="s">
        <v>63</v>
      </c>
      <c r="N746" s="37">
        <v>14.0</v>
      </c>
      <c r="O746" s="37">
        <v>26.0</v>
      </c>
      <c r="P746" s="37" t="s">
        <v>63</v>
      </c>
      <c r="Q746" s="37" t="s">
        <v>63</v>
      </c>
      <c r="R746" s="37" t="s">
        <v>63</v>
      </c>
      <c r="S746" s="37" t="s">
        <v>63</v>
      </c>
      <c r="T746" s="69" t="s">
        <v>63</v>
      </c>
      <c r="U746" s="70">
        <v>44.0</v>
      </c>
      <c r="V746" s="37" t="s">
        <v>63</v>
      </c>
      <c r="W746" s="71" t="s">
        <v>63</v>
      </c>
      <c r="X746" s="72" t="s">
        <v>63</v>
      </c>
      <c r="Y746" s="53">
        <v>107.0</v>
      </c>
      <c r="Z746" s="69" t="s">
        <v>63</v>
      </c>
      <c r="AA746" s="73"/>
      <c r="AB746" s="73"/>
      <c r="AC746" s="73"/>
      <c r="AD746" s="73"/>
      <c r="AE746" s="73"/>
      <c r="AF746" s="73"/>
      <c r="AG746" s="73"/>
      <c r="AH746" s="73"/>
      <c r="AI746" s="73"/>
      <c r="AJ746" s="73"/>
      <c r="AK746" s="73"/>
    </row>
    <row r="747">
      <c r="A747" s="28">
        <v>746.0</v>
      </c>
      <c r="B747" s="29"/>
      <c r="C747" s="29"/>
      <c r="D747" s="40">
        <v>1.0</v>
      </c>
      <c r="E747" s="31">
        <v>18.0</v>
      </c>
      <c r="F747" s="42">
        <v>65.0</v>
      </c>
      <c r="G747" s="29" t="str">
        <f t="shared" si="1"/>
        <v>18065</v>
      </c>
      <c r="H747" s="37" t="s">
        <v>140</v>
      </c>
      <c r="I747" s="37" t="s">
        <v>49</v>
      </c>
      <c r="J747" s="37" t="s">
        <v>430</v>
      </c>
      <c r="K747" s="37" t="str">
        <f t="shared" si="15"/>
        <v>Henry, IN</v>
      </c>
      <c r="L747" s="37">
        <v>62.0</v>
      </c>
      <c r="M747" s="37" t="s">
        <v>63</v>
      </c>
      <c r="N747" s="37">
        <v>27.0</v>
      </c>
      <c r="O747" s="37">
        <v>33.0</v>
      </c>
      <c r="P747" s="37" t="s">
        <v>63</v>
      </c>
      <c r="Q747" s="37" t="s">
        <v>63</v>
      </c>
      <c r="R747" s="37" t="s">
        <v>63</v>
      </c>
      <c r="S747" s="37" t="s">
        <v>63</v>
      </c>
      <c r="T747" s="69" t="s">
        <v>63</v>
      </c>
      <c r="U747" s="70">
        <v>3.0</v>
      </c>
      <c r="V747" s="37" t="s">
        <v>63</v>
      </c>
      <c r="W747" s="71" t="s">
        <v>63</v>
      </c>
      <c r="X747" s="72" t="s">
        <v>63</v>
      </c>
      <c r="Y747" s="53">
        <v>73.0</v>
      </c>
      <c r="Z747" s="69" t="s">
        <v>63</v>
      </c>
      <c r="AA747" s="73"/>
      <c r="AB747" s="73"/>
      <c r="AC747" s="73"/>
      <c r="AD747" s="73"/>
      <c r="AE747" s="73"/>
      <c r="AF747" s="73"/>
      <c r="AG747" s="73"/>
      <c r="AH747" s="73"/>
      <c r="AI747" s="73"/>
      <c r="AJ747" s="73"/>
      <c r="AK747" s="73"/>
    </row>
    <row r="748">
      <c r="A748" s="28">
        <v>747.0</v>
      </c>
      <c r="B748" s="29"/>
      <c r="C748" s="29"/>
      <c r="D748" s="40">
        <v>1.0</v>
      </c>
      <c r="E748" s="31">
        <v>18.0</v>
      </c>
      <c r="F748" s="42">
        <v>67.0</v>
      </c>
      <c r="G748" s="29" t="str">
        <f t="shared" si="1"/>
        <v>18067</v>
      </c>
      <c r="H748" s="37" t="s">
        <v>283</v>
      </c>
      <c r="I748" s="37" t="s">
        <v>49</v>
      </c>
      <c r="J748" s="37" t="s">
        <v>430</v>
      </c>
      <c r="K748" s="37" t="str">
        <f t="shared" si="15"/>
        <v>Howard, IN</v>
      </c>
      <c r="L748" s="37">
        <v>129.0</v>
      </c>
      <c r="M748" s="37" t="s">
        <v>63</v>
      </c>
      <c r="N748" s="37">
        <v>56.0</v>
      </c>
      <c r="O748" s="37">
        <v>68.0</v>
      </c>
      <c r="P748" s="37" t="s">
        <v>63</v>
      </c>
      <c r="Q748" s="37" t="s">
        <v>63</v>
      </c>
      <c r="R748" s="37" t="s">
        <v>63</v>
      </c>
      <c r="S748" s="37" t="s">
        <v>63</v>
      </c>
      <c r="T748" s="69" t="s">
        <v>63</v>
      </c>
      <c r="U748" s="70">
        <v>27.0</v>
      </c>
      <c r="V748" s="37" t="s">
        <v>63</v>
      </c>
      <c r="W748" s="71" t="s">
        <v>63</v>
      </c>
      <c r="X748" s="72" t="s">
        <v>63</v>
      </c>
      <c r="Y748" s="53">
        <v>110.0</v>
      </c>
      <c r="Z748" s="69" t="s">
        <v>63</v>
      </c>
      <c r="AA748" s="73"/>
      <c r="AB748" s="73"/>
      <c r="AC748" s="73"/>
      <c r="AD748" s="73"/>
      <c r="AE748" s="73"/>
      <c r="AF748" s="73"/>
      <c r="AG748" s="73"/>
      <c r="AH748" s="73"/>
      <c r="AI748" s="73"/>
      <c r="AJ748" s="73"/>
      <c r="AK748" s="73"/>
    </row>
    <row r="749">
      <c r="A749" s="28">
        <v>748.0</v>
      </c>
      <c r="B749" s="29"/>
      <c r="C749" s="29"/>
      <c r="D749" s="40">
        <v>1.0</v>
      </c>
      <c r="E749" s="31">
        <v>18.0</v>
      </c>
      <c r="F749" s="42">
        <v>69.0</v>
      </c>
      <c r="G749" s="29" t="str">
        <f t="shared" si="1"/>
        <v>18069</v>
      </c>
      <c r="H749" s="37" t="s">
        <v>785</v>
      </c>
      <c r="I749" s="37" t="s">
        <v>49</v>
      </c>
      <c r="J749" s="37" t="s">
        <v>430</v>
      </c>
      <c r="K749" s="37" t="str">
        <f t="shared" si="15"/>
        <v>Huntington, IN</v>
      </c>
      <c r="L749" s="37">
        <v>51.0</v>
      </c>
      <c r="M749" s="37" t="s">
        <v>63</v>
      </c>
      <c r="N749" s="37">
        <v>19.0</v>
      </c>
      <c r="O749" s="37">
        <v>30.0</v>
      </c>
      <c r="P749" s="37" t="s">
        <v>63</v>
      </c>
      <c r="Q749" s="37" t="s">
        <v>63</v>
      </c>
      <c r="R749" s="37" t="s">
        <v>63</v>
      </c>
      <c r="S749" s="37" t="s">
        <v>63</v>
      </c>
      <c r="T749" s="69" t="s">
        <v>63</v>
      </c>
      <c r="U749" s="70">
        <v>17.0</v>
      </c>
      <c r="V749" s="37" t="s">
        <v>63</v>
      </c>
      <c r="W749" s="71" t="s">
        <v>63</v>
      </c>
      <c r="X749" s="72" t="s">
        <v>63</v>
      </c>
      <c r="Y749" s="53">
        <v>56.0</v>
      </c>
      <c r="Z749" s="69" t="s">
        <v>63</v>
      </c>
      <c r="AA749" s="73"/>
      <c r="AB749" s="73"/>
      <c r="AC749" s="73"/>
      <c r="AD749" s="73"/>
      <c r="AE749" s="73"/>
      <c r="AF749" s="73"/>
      <c r="AG749" s="73"/>
      <c r="AH749" s="73"/>
      <c r="AI749" s="73"/>
      <c r="AJ749" s="73"/>
      <c r="AK749" s="73"/>
    </row>
    <row r="750">
      <c r="A750" s="28">
        <v>749.0</v>
      </c>
      <c r="B750" s="29"/>
      <c r="C750" s="29"/>
      <c r="D750" s="40">
        <v>1.0</v>
      </c>
      <c r="E750" s="31">
        <v>18.0</v>
      </c>
      <c r="F750" s="42">
        <v>71.0</v>
      </c>
      <c r="G750" s="29" t="str">
        <f t="shared" si="1"/>
        <v>18071</v>
      </c>
      <c r="H750" s="37" t="s">
        <v>142</v>
      </c>
      <c r="I750" s="37" t="s">
        <v>49</v>
      </c>
      <c r="J750" s="37" t="s">
        <v>430</v>
      </c>
      <c r="K750" s="37" t="str">
        <f t="shared" si="15"/>
        <v>Jackson, IN</v>
      </c>
      <c r="L750" s="37">
        <v>57.0</v>
      </c>
      <c r="M750" s="37" t="s">
        <v>63</v>
      </c>
      <c r="N750" s="37">
        <v>25.0</v>
      </c>
      <c r="O750" s="37">
        <v>30.0</v>
      </c>
      <c r="P750" s="37" t="s">
        <v>63</v>
      </c>
      <c r="Q750" s="37" t="s">
        <v>63</v>
      </c>
      <c r="R750" s="37" t="s">
        <v>63</v>
      </c>
      <c r="S750" s="37" t="s">
        <v>63</v>
      </c>
      <c r="T750" s="69" t="s">
        <v>63</v>
      </c>
      <c r="U750" s="70">
        <v>39.0</v>
      </c>
      <c r="V750" s="37" t="s">
        <v>63</v>
      </c>
      <c r="W750" s="71" t="s">
        <v>63</v>
      </c>
      <c r="X750" s="72" t="s">
        <v>63</v>
      </c>
      <c r="Y750" s="53">
        <v>68.0</v>
      </c>
      <c r="Z750" s="69" t="s">
        <v>63</v>
      </c>
      <c r="AA750" s="73"/>
      <c r="AB750" s="73"/>
      <c r="AC750" s="73"/>
      <c r="AD750" s="73"/>
      <c r="AE750" s="73"/>
      <c r="AF750" s="73"/>
      <c r="AG750" s="73"/>
      <c r="AH750" s="73"/>
      <c r="AI750" s="73"/>
      <c r="AJ750" s="73"/>
      <c r="AK750" s="73"/>
    </row>
    <row r="751">
      <c r="A751" s="28">
        <v>750.0</v>
      </c>
      <c r="B751" s="29"/>
      <c r="C751" s="29"/>
      <c r="D751" s="40">
        <v>1.0</v>
      </c>
      <c r="E751" s="31">
        <v>18.0</v>
      </c>
      <c r="F751" s="42">
        <v>73.0</v>
      </c>
      <c r="G751" s="29" t="str">
        <f t="shared" si="1"/>
        <v>18073</v>
      </c>
      <c r="H751" s="37" t="s">
        <v>593</v>
      </c>
      <c r="I751" s="37" t="s">
        <v>49</v>
      </c>
      <c r="J751" s="37" t="s">
        <v>430</v>
      </c>
      <c r="K751" s="37" t="str">
        <f t="shared" si="15"/>
        <v>Jasper, IN</v>
      </c>
      <c r="L751" s="37">
        <v>33.0</v>
      </c>
      <c r="M751" s="37" t="s">
        <v>63</v>
      </c>
      <c r="N751" s="37">
        <v>6.0</v>
      </c>
      <c r="O751" s="37">
        <v>25.0</v>
      </c>
      <c r="P751" s="37" t="s">
        <v>63</v>
      </c>
      <c r="Q751" s="37" t="s">
        <v>63</v>
      </c>
      <c r="R751" s="37" t="s">
        <v>63</v>
      </c>
      <c r="S751" s="37" t="s">
        <v>63</v>
      </c>
      <c r="T751" s="69" t="s">
        <v>63</v>
      </c>
      <c r="U751" s="70">
        <v>14.0</v>
      </c>
      <c r="V751" s="37" t="s">
        <v>63</v>
      </c>
      <c r="W751" s="71" t="s">
        <v>63</v>
      </c>
      <c r="X751" s="72" t="s">
        <v>63</v>
      </c>
      <c r="Y751" s="53">
        <v>45.0</v>
      </c>
      <c r="Z751" s="69" t="s">
        <v>63</v>
      </c>
      <c r="AA751" s="73"/>
      <c r="AB751" s="73"/>
      <c r="AC751" s="73"/>
      <c r="AD751" s="73"/>
      <c r="AE751" s="73"/>
      <c r="AF751" s="73"/>
      <c r="AG751" s="73"/>
      <c r="AH751" s="73"/>
      <c r="AI751" s="73"/>
      <c r="AJ751" s="73"/>
      <c r="AK751" s="73"/>
    </row>
    <row r="752">
      <c r="A752" s="28">
        <v>751.0</v>
      </c>
      <c r="B752" s="29"/>
      <c r="C752" s="29"/>
      <c r="D752" s="40">
        <v>1.0</v>
      </c>
      <c r="E752" s="31">
        <v>18.0</v>
      </c>
      <c r="F752" s="42">
        <v>75.0</v>
      </c>
      <c r="G752" s="29" t="str">
        <f t="shared" si="1"/>
        <v>18075</v>
      </c>
      <c r="H752" s="37" t="s">
        <v>786</v>
      </c>
      <c r="I752" s="37" t="s">
        <v>49</v>
      </c>
      <c r="J752" s="37" t="s">
        <v>430</v>
      </c>
      <c r="K752" s="37" t="str">
        <f t="shared" si="15"/>
        <v>Jay, IN</v>
      </c>
      <c r="L752" s="37">
        <v>54.0</v>
      </c>
      <c r="M752" s="37" t="s">
        <v>63</v>
      </c>
      <c r="N752" s="37">
        <v>11.0</v>
      </c>
      <c r="O752" s="37">
        <v>41.0</v>
      </c>
      <c r="P752" s="37" t="s">
        <v>63</v>
      </c>
      <c r="Q752" s="37" t="s">
        <v>63</v>
      </c>
      <c r="R752" s="37" t="s">
        <v>63</v>
      </c>
      <c r="S752" s="37" t="s">
        <v>63</v>
      </c>
      <c r="T752" s="69" t="s">
        <v>63</v>
      </c>
      <c r="U752" s="70">
        <v>12.0</v>
      </c>
      <c r="V752" s="37" t="s">
        <v>63</v>
      </c>
      <c r="W752" s="71" t="s">
        <v>63</v>
      </c>
      <c r="X752" s="72" t="s">
        <v>63</v>
      </c>
      <c r="Y752" s="53">
        <v>31.0</v>
      </c>
      <c r="Z752" s="69" t="s">
        <v>63</v>
      </c>
      <c r="AA752" s="73"/>
      <c r="AB752" s="73"/>
      <c r="AC752" s="73"/>
      <c r="AD752" s="73"/>
      <c r="AE752" s="73"/>
      <c r="AF752" s="73"/>
      <c r="AG752" s="73"/>
      <c r="AH752" s="73"/>
      <c r="AI752" s="73"/>
      <c r="AJ752" s="73"/>
      <c r="AK752" s="73"/>
    </row>
    <row r="753">
      <c r="A753" s="28">
        <v>752.0</v>
      </c>
      <c r="B753" s="29"/>
      <c r="C753" s="29"/>
      <c r="D753" s="40">
        <v>1.0</v>
      </c>
      <c r="E753" s="31">
        <v>18.0</v>
      </c>
      <c r="F753" s="42">
        <v>77.0</v>
      </c>
      <c r="G753" s="29" t="str">
        <f t="shared" si="1"/>
        <v>18077</v>
      </c>
      <c r="H753" s="37" t="s">
        <v>143</v>
      </c>
      <c r="I753" s="37" t="s">
        <v>49</v>
      </c>
      <c r="J753" s="37" t="s">
        <v>430</v>
      </c>
      <c r="K753" s="37" t="str">
        <f t="shared" si="15"/>
        <v>Jefferson, IN</v>
      </c>
      <c r="L753" s="37">
        <v>59.0</v>
      </c>
      <c r="M753" s="37" t="s">
        <v>63</v>
      </c>
      <c r="N753" s="37">
        <v>15.0</v>
      </c>
      <c r="O753" s="37">
        <v>43.0</v>
      </c>
      <c r="P753" s="37" t="s">
        <v>63</v>
      </c>
      <c r="Q753" s="37" t="s">
        <v>63</v>
      </c>
      <c r="R753" s="37" t="s">
        <v>63</v>
      </c>
      <c r="S753" s="37" t="s">
        <v>63</v>
      </c>
      <c r="T753" s="69" t="s">
        <v>63</v>
      </c>
      <c r="U753" s="70">
        <v>22.0</v>
      </c>
      <c r="V753" s="37" t="s">
        <v>63</v>
      </c>
      <c r="W753" s="71" t="s">
        <v>63</v>
      </c>
      <c r="X753" s="72" t="s">
        <v>63</v>
      </c>
      <c r="Y753" s="53">
        <v>52.0</v>
      </c>
      <c r="Z753" s="69" t="s">
        <v>63</v>
      </c>
      <c r="AA753" s="73"/>
      <c r="AB753" s="73"/>
      <c r="AC753" s="73"/>
      <c r="AD753" s="73"/>
      <c r="AE753" s="73"/>
      <c r="AF753" s="73"/>
      <c r="AG753" s="73"/>
      <c r="AH753" s="73"/>
      <c r="AI753" s="73"/>
      <c r="AJ753" s="73"/>
      <c r="AK753" s="73"/>
    </row>
    <row r="754">
      <c r="A754" s="28">
        <v>753.0</v>
      </c>
      <c r="B754" s="29"/>
      <c r="C754" s="29"/>
      <c r="D754" s="40">
        <v>1.0</v>
      </c>
      <c r="E754" s="31">
        <v>18.0</v>
      </c>
      <c r="F754" s="42">
        <v>79.0</v>
      </c>
      <c r="G754" s="29" t="str">
        <f t="shared" si="1"/>
        <v>18079</v>
      </c>
      <c r="H754" s="37" t="s">
        <v>787</v>
      </c>
      <c r="I754" s="37" t="s">
        <v>49</v>
      </c>
      <c r="J754" s="37" t="s">
        <v>430</v>
      </c>
      <c r="K754" s="37" t="str">
        <f t="shared" si="15"/>
        <v>Jennings, IN</v>
      </c>
      <c r="L754" s="37">
        <v>42.0</v>
      </c>
      <c r="M754" s="37" t="s">
        <v>63</v>
      </c>
      <c r="N754" s="37">
        <v>18.0</v>
      </c>
      <c r="O754" s="37">
        <v>21.0</v>
      </c>
      <c r="P754" s="37" t="s">
        <v>63</v>
      </c>
      <c r="Q754" s="37" t="s">
        <v>63</v>
      </c>
      <c r="R754" s="37" t="s">
        <v>63</v>
      </c>
      <c r="S754" s="37" t="s">
        <v>63</v>
      </c>
      <c r="T754" s="69" t="s">
        <v>63</v>
      </c>
      <c r="U754" s="70">
        <v>13.0</v>
      </c>
      <c r="V754" s="37" t="s">
        <v>63</v>
      </c>
      <c r="W754" s="71" t="s">
        <v>63</v>
      </c>
      <c r="X754" s="72" t="s">
        <v>63</v>
      </c>
      <c r="Y754" s="53">
        <v>39.0</v>
      </c>
      <c r="Z754" s="69" t="s">
        <v>63</v>
      </c>
      <c r="AA754" s="73"/>
      <c r="AB754" s="73"/>
      <c r="AC754" s="73"/>
      <c r="AD754" s="73"/>
      <c r="AE754" s="73"/>
      <c r="AF754" s="73"/>
      <c r="AG754" s="73"/>
      <c r="AH754" s="73"/>
      <c r="AI754" s="73"/>
      <c r="AJ754" s="73"/>
      <c r="AK754" s="73"/>
    </row>
    <row r="755">
      <c r="A755" s="28">
        <v>754.0</v>
      </c>
      <c r="B755" s="29"/>
      <c r="C755" s="29"/>
      <c r="D755" s="40">
        <v>1.0</v>
      </c>
      <c r="E755" s="31">
        <v>18.0</v>
      </c>
      <c r="F755" s="42">
        <v>81.0</v>
      </c>
      <c r="G755" s="29" t="str">
        <f t="shared" si="1"/>
        <v>18081</v>
      </c>
      <c r="H755" s="37" t="s">
        <v>288</v>
      </c>
      <c r="I755" s="37" t="s">
        <v>49</v>
      </c>
      <c r="J755" s="37" t="s">
        <v>430</v>
      </c>
      <c r="K755" s="37" t="str">
        <f t="shared" si="15"/>
        <v>Johnson, IN</v>
      </c>
      <c r="L755" s="37">
        <v>59.0</v>
      </c>
      <c r="M755" s="37" t="s">
        <v>63</v>
      </c>
      <c r="N755" s="37">
        <v>26.0</v>
      </c>
      <c r="O755" s="37">
        <v>27.0</v>
      </c>
      <c r="P755" s="37" t="s">
        <v>63</v>
      </c>
      <c r="Q755" s="37" t="s">
        <v>63</v>
      </c>
      <c r="R755" s="37" t="s">
        <v>63</v>
      </c>
      <c r="S755" s="37" t="s">
        <v>63</v>
      </c>
      <c r="T755" s="69" t="s">
        <v>63</v>
      </c>
      <c r="U755" s="70">
        <v>29.0</v>
      </c>
      <c r="V755" s="37" t="s">
        <v>63</v>
      </c>
      <c r="W755" s="71" t="s">
        <v>63</v>
      </c>
      <c r="X755" s="72" t="s">
        <v>63</v>
      </c>
      <c r="Y755" s="53">
        <v>107.0</v>
      </c>
      <c r="Z755" s="69" t="s">
        <v>63</v>
      </c>
      <c r="AA755" s="73"/>
      <c r="AB755" s="73"/>
      <c r="AC755" s="73"/>
      <c r="AD755" s="73"/>
      <c r="AE755" s="73"/>
      <c r="AF755" s="73"/>
      <c r="AG755" s="73"/>
      <c r="AH755" s="73"/>
      <c r="AI755" s="73"/>
      <c r="AJ755" s="73"/>
      <c r="AK755" s="73"/>
    </row>
    <row r="756">
      <c r="A756" s="28">
        <v>755.0</v>
      </c>
      <c r="B756" s="29"/>
      <c r="C756" s="29"/>
      <c r="D756" s="40">
        <v>1.0</v>
      </c>
      <c r="E756" s="31">
        <v>18.0</v>
      </c>
      <c r="F756" s="42">
        <v>83.0</v>
      </c>
      <c r="G756" s="29" t="str">
        <f t="shared" si="1"/>
        <v>18083</v>
      </c>
      <c r="H756" s="37" t="s">
        <v>728</v>
      </c>
      <c r="I756" s="37" t="s">
        <v>49</v>
      </c>
      <c r="J756" s="37" t="s">
        <v>430</v>
      </c>
      <c r="K756" s="37" t="str">
        <f t="shared" si="15"/>
        <v>Knox, IN</v>
      </c>
      <c r="L756" s="37">
        <v>82.0</v>
      </c>
      <c r="M756" s="37" t="s">
        <v>63</v>
      </c>
      <c r="N756" s="37">
        <v>38.0</v>
      </c>
      <c r="O756" s="37">
        <v>42.0</v>
      </c>
      <c r="P756" s="37" t="s">
        <v>63</v>
      </c>
      <c r="Q756" s="37" t="s">
        <v>63</v>
      </c>
      <c r="R756" s="37" t="s">
        <v>63</v>
      </c>
      <c r="S756" s="37" t="s">
        <v>63</v>
      </c>
      <c r="T756" s="69" t="s">
        <v>63</v>
      </c>
      <c r="U756" s="70">
        <v>78.0</v>
      </c>
      <c r="V756" s="37" t="s">
        <v>63</v>
      </c>
      <c r="W756" s="71" t="s">
        <v>63</v>
      </c>
      <c r="X756" s="72" t="s">
        <v>63</v>
      </c>
      <c r="Y756" s="53">
        <v>55.0</v>
      </c>
      <c r="Z756" s="69" t="s">
        <v>63</v>
      </c>
      <c r="AA756" s="73"/>
      <c r="AB756" s="73"/>
      <c r="AC756" s="73"/>
      <c r="AD756" s="73"/>
      <c r="AE756" s="73"/>
      <c r="AF756" s="73"/>
      <c r="AG756" s="73"/>
      <c r="AH756" s="73"/>
      <c r="AI756" s="73"/>
      <c r="AJ756" s="73"/>
      <c r="AK756" s="73"/>
    </row>
    <row r="757">
      <c r="A757" s="28">
        <v>756.0</v>
      </c>
      <c r="B757" s="29"/>
      <c r="C757" s="29"/>
      <c r="D757" s="40">
        <v>1.0</v>
      </c>
      <c r="E757" s="31">
        <v>18.0</v>
      </c>
      <c r="F757" s="42">
        <v>85.0</v>
      </c>
      <c r="G757" s="29" t="str">
        <f t="shared" si="1"/>
        <v>18085</v>
      </c>
      <c r="H757" s="37" t="s">
        <v>788</v>
      </c>
      <c r="I757" s="37" t="s">
        <v>49</v>
      </c>
      <c r="J757" s="37" t="s">
        <v>430</v>
      </c>
      <c r="K757" s="37" t="str">
        <f t="shared" si="15"/>
        <v>Kosciusko, IN</v>
      </c>
      <c r="L757" s="37">
        <v>74.0</v>
      </c>
      <c r="M757" s="37" t="s">
        <v>63</v>
      </c>
      <c r="N757" s="37">
        <v>22.0</v>
      </c>
      <c r="O757" s="37">
        <v>48.0</v>
      </c>
      <c r="P757" s="37" t="s">
        <v>63</v>
      </c>
      <c r="Q757" s="37" t="s">
        <v>63</v>
      </c>
      <c r="R757" s="37" t="s">
        <v>63</v>
      </c>
      <c r="S757" s="37" t="s">
        <v>63</v>
      </c>
      <c r="T757" s="69" t="s">
        <v>63</v>
      </c>
      <c r="U757" s="70">
        <v>23.0</v>
      </c>
      <c r="V757" s="37" t="s">
        <v>63</v>
      </c>
      <c r="W757" s="71" t="s">
        <v>63</v>
      </c>
      <c r="X757" s="72" t="s">
        <v>63</v>
      </c>
      <c r="Y757" s="53">
        <v>95.0</v>
      </c>
      <c r="Z757" s="69" t="s">
        <v>63</v>
      </c>
      <c r="AA757" s="73"/>
      <c r="AB757" s="73"/>
      <c r="AC757" s="73"/>
      <c r="AD757" s="73"/>
      <c r="AE757" s="73"/>
      <c r="AF757" s="73"/>
      <c r="AG757" s="73"/>
      <c r="AH757" s="73"/>
      <c r="AI757" s="73"/>
      <c r="AJ757" s="73"/>
      <c r="AK757" s="73"/>
    </row>
    <row r="758">
      <c r="A758" s="28">
        <v>757.0</v>
      </c>
      <c r="B758" s="29"/>
      <c r="C758" s="29"/>
      <c r="D758" s="40">
        <v>1.0</v>
      </c>
      <c r="E758" s="31">
        <v>18.0</v>
      </c>
      <c r="F758" s="42">
        <v>87.0</v>
      </c>
      <c r="G758" s="29" t="str">
        <f t="shared" si="1"/>
        <v>18087</v>
      </c>
      <c r="H758" s="37" t="s">
        <v>789</v>
      </c>
      <c r="I758" s="37" t="s">
        <v>49</v>
      </c>
      <c r="J758" s="37" t="s">
        <v>430</v>
      </c>
      <c r="K758" s="37" t="str">
        <f t="shared" si="15"/>
        <v>Lagrange, IN</v>
      </c>
      <c r="L758" s="37">
        <v>27.0</v>
      </c>
      <c r="M758" s="37" t="s">
        <v>63</v>
      </c>
      <c r="N758" s="37">
        <v>7.0</v>
      </c>
      <c r="O758" s="37">
        <v>19.0</v>
      </c>
      <c r="P758" s="37" t="s">
        <v>63</v>
      </c>
      <c r="Q758" s="37" t="s">
        <v>63</v>
      </c>
      <c r="R758" s="37" t="s">
        <v>63</v>
      </c>
      <c r="S758" s="37" t="s">
        <v>63</v>
      </c>
      <c r="T758" s="69" t="s">
        <v>63</v>
      </c>
      <c r="U758" s="70">
        <v>10.0</v>
      </c>
      <c r="V758" s="37" t="s">
        <v>63</v>
      </c>
      <c r="W758" s="71" t="s">
        <v>63</v>
      </c>
      <c r="X758" s="72" t="s">
        <v>63</v>
      </c>
      <c r="Y758" s="53">
        <v>36.0</v>
      </c>
      <c r="Z758" s="69" t="s">
        <v>63</v>
      </c>
      <c r="AA758" s="73"/>
      <c r="AB758" s="73"/>
      <c r="AC758" s="73"/>
      <c r="AD758" s="73"/>
      <c r="AE758" s="73"/>
      <c r="AF758" s="73"/>
      <c r="AG758" s="73"/>
      <c r="AH758" s="73"/>
      <c r="AI758" s="73"/>
      <c r="AJ758" s="73"/>
      <c r="AK758" s="73"/>
    </row>
    <row r="759">
      <c r="A759" s="28">
        <v>758.0</v>
      </c>
      <c r="B759" s="29"/>
      <c r="C759" s="29"/>
      <c r="D759" s="40">
        <v>1.0</v>
      </c>
      <c r="E759" s="31">
        <v>18.0</v>
      </c>
      <c r="F759" s="42">
        <v>89.0</v>
      </c>
      <c r="G759" s="29" t="str">
        <f t="shared" si="1"/>
        <v>18089</v>
      </c>
      <c r="H759" s="37" t="s">
        <v>337</v>
      </c>
      <c r="I759" s="37" t="s">
        <v>49</v>
      </c>
      <c r="J759" s="37" t="s">
        <v>430</v>
      </c>
      <c r="K759" s="37" t="str">
        <f t="shared" si="15"/>
        <v>Lake, IN</v>
      </c>
      <c r="L759" s="37">
        <v>426.0</v>
      </c>
      <c r="M759" s="37" t="s">
        <v>63</v>
      </c>
      <c r="N759" s="37">
        <v>208.0</v>
      </c>
      <c r="O759" s="37">
        <v>181.0</v>
      </c>
      <c r="P759" s="37" t="s">
        <v>63</v>
      </c>
      <c r="Q759" s="37" t="s">
        <v>63</v>
      </c>
      <c r="R759" s="37" t="s">
        <v>63</v>
      </c>
      <c r="S759" s="37" t="s">
        <v>63</v>
      </c>
      <c r="T759" s="69" t="s">
        <v>63</v>
      </c>
      <c r="U759" s="70">
        <v>248.0</v>
      </c>
      <c r="V759" s="37" t="s">
        <v>63</v>
      </c>
      <c r="W759" s="71" t="s">
        <v>63</v>
      </c>
      <c r="X759" s="72" t="s">
        <v>63</v>
      </c>
      <c r="Y759" s="53">
        <v>422.0</v>
      </c>
      <c r="Z759" s="69" t="s">
        <v>63</v>
      </c>
      <c r="AA759" s="73"/>
      <c r="AB759" s="73"/>
      <c r="AC759" s="73"/>
      <c r="AD759" s="73"/>
      <c r="AE759" s="73"/>
      <c r="AF759" s="73"/>
      <c r="AG759" s="73"/>
      <c r="AH759" s="73"/>
      <c r="AI759" s="73"/>
      <c r="AJ759" s="73"/>
      <c r="AK759" s="73"/>
    </row>
    <row r="760">
      <c r="A760" s="28">
        <v>759.0</v>
      </c>
      <c r="B760" s="29"/>
      <c r="C760" s="29"/>
      <c r="D760" s="40">
        <v>1.0</v>
      </c>
      <c r="E760" s="31">
        <v>18.0</v>
      </c>
      <c r="F760" s="42">
        <v>91.0</v>
      </c>
      <c r="G760" s="29" t="str">
        <f t="shared" si="1"/>
        <v>18091</v>
      </c>
      <c r="H760" s="37" t="s">
        <v>790</v>
      </c>
      <c r="I760" s="37" t="s">
        <v>49</v>
      </c>
      <c r="J760" s="37" t="s">
        <v>430</v>
      </c>
      <c r="K760" s="37" t="str">
        <f t="shared" si="15"/>
        <v>La Porte, IN</v>
      </c>
      <c r="L760" s="37">
        <v>186.0</v>
      </c>
      <c r="M760" s="37" t="s">
        <v>63</v>
      </c>
      <c r="N760" s="37">
        <v>55.0</v>
      </c>
      <c r="O760" s="37">
        <v>115.0</v>
      </c>
      <c r="P760" s="37" t="s">
        <v>63</v>
      </c>
      <c r="Q760" s="37" t="s">
        <v>63</v>
      </c>
      <c r="R760" s="37" t="s">
        <v>63</v>
      </c>
      <c r="S760" s="37" t="s">
        <v>63</v>
      </c>
      <c r="T760" s="69" t="s">
        <v>63</v>
      </c>
      <c r="U760" s="70">
        <v>56.0</v>
      </c>
      <c r="V760" s="37" t="s">
        <v>63</v>
      </c>
      <c r="W760" s="71" t="s">
        <v>63</v>
      </c>
      <c r="X760" s="72" t="s">
        <v>63</v>
      </c>
      <c r="Y760" s="53">
        <v>115.0</v>
      </c>
      <c r="Z760" s="69" t="s">
        <v>63</v>
      </c>
      <c r="AA760" s="73"/>
      <c r="AB760" s="73"/>
      <c r="AC760" s="73"/>
      <c r="AD760" s="73"/>
      <c r="AE760" s="73"/>
      <c r="AF760" s="73"/>
      <c r="AG760" s="73"/>
      <c r="AH760" s="73"/>
      <c r="AI760" s="73"/>
      <c r="AJ760" s="73"/>
      <c r="AK760" s="73"/>
    </row>
    <row r="761">
      <c r="A761" s="28">
        <v>760.0</v>
      </c>
      <c r="B761" s="29"/>
      <c r="C761" s="29"/>
      <c r="D761" s="40">
        <v>1.0</v>
      </c>
      <c r="E761" s="31">
        <v>18.0</v>
      </c>
      <c r="F761" s="42">
        <v>93.0</v>
      </c>
      <c r="G761" s="29" t="str">
        <f t="shared" si="1"/>
        <v>18093</v>
      </c>
      <c r="H761" s="37" t="s">
        <v>146</v>
      </c>
      <c r="I761" s="37" t="s">
        <v>49</v>
      </c>
      <c r="J761" s="37" t="s">
        <v>430</v>
      </c>
      <c r="K761" s="37" t="str">
        <f t="shared" si="15"/>
        <v>Lawrence, IN</v>
      </c>
      <c r="L761" s="37">
        <v>99.0</v>
      </c>
      <c r="M761" s="37" t="s">
        <v>63</v>
      </c>
      <c r="N761" s="37">
        <v>28.0</v>
      </c>
      <c r="O761" s="37">
        <v>63.0</v>
      </c>
      <c r="P761" s="37" t="s">
        <v>63</v>
      </c>
      <c r="Q761" s="37" t="s">
        <v>63</v>
      </c>
      <c r="R761" s="37" t="s">
        <v>63</v>
      </c>
      <c r="S761" s="37" t="s">
        <v>63</v>
      </c>
      <c r="T761" s="69" t="s">
        <v>63</v>
      </c>
      <c r="U761" s="70">
        <v>61.0</v>
      </c>
      <c r="V761" s="37" t="s">
        <v>63</v>
      </c>
      <c r="W761" s="71" t="s">
        <v>63</v>
      </c>
      <c r="X761" s="72" t="s">
        <v>63</v>
      </c>
      <c r="Y761" s="53">
        <v>73.0</v>
      </c>
      <c r="Z761" s="69" t="s">
        <v>63</v>
      </c>
      <c r="AA761" s="73"/>
      <c r="AB761" s="73"/>
      <c r="AC761" s="73"/>
      <c r="AD761" s="73"/>
      <c r="AE761" s="73"/>
      <c r="AF761" s="73"/>
      <c r="AG761" s="73"/>
      <c r="AH761" s="73"/>
      <c r="AI761" s="73"/>
      <c r="AJ761" s="73"/>
      <c r="AK761" s="73"/>
    </row>
    <row r="762">
      <c r="A762" s="28">
        <v>761.0</v>
      </c>
      <c r="B762" s="29"/>
      <c r="C762" s="29"/>
      <c r="D762" s="40">
        <v>1.0</v>
      </c>
      <c r="E762" s="31">
        <v>18.0</v>
      </c>
      <c r="F762" s="42">
        <v>95.0</v>
      </c>
      <c r="G762" s="29" t="str">
        <f t="shared" si="1"/>
        <v>18095</v>
      </c>
      <c r="H762" s="37" t="s">
        <v>151</v>
      </c>
      <c r="I762" s="37" t="s">
        <v>49</v>
      </c>
      <c r="J762" s="37" t="s">
        <v>430</v>
      </c>
      <c r="K762" s="37" t="str">
        <f t="shared" si="15"/>
        <v>Madison, IN</v>
      </c>
      <c r="L762" s="37">
        <v>530.0</v>
      </c>
      <c r="M762" s="37" t="s">
        <v>63</v>
      </c>
      <c r="N762" s="37">
        <v>228.0</v>
      </c>
      <c r="O762" s="37">
        <v>267.0</v>
      </c>
      <c r="P762" s="37" t="s">
        <v>63</v>
      </c>
      <c r="Q762" s="37" t="s">
        <v>63</v>
      </c>
      <c r="R762" s="37" t="s">
        <v>63</v>
      </c>
      <c r="S762" s="37" t="s">
        <v>63</v>
      </c>
      <c r="T762" s="69" t="s">
        <v>63</v>
      </c>
      <c r="U762" s="70">
        <v>146.0</v>
      </c>
      <c r="V762" s="37" t="s">
        <v>63</v>
      </c>
      <c r="W762" s="71" t="s">
        <v>63</v>
      </c>
      <c r="X762" s="72" t="s">
        <v>63</v>
      </c>
      <c r="Y762" s="53">
        <v>142.0</v>
      </c>
      <c r="Z762" s="69" t="s">
        <v>63</v>
      </c>
      <c r="AA762" s="73"/>
      <c r="AB762" s="73"/>
      <c r="AC762" s="73"/>
      <c r="AD762" s="73"/>
      <c r="AE762" s="73"/>
      <c r="AF762" s="73"/>
      <c r="AG762" s="73"/>
      <c r="AH762" s="73"/>
      <c r="AI762" s="73"/>
      <c r="AJ762" s="73"/>
      <c r="AK762" s="73"/>
    </row>
    <row r="763">
      <c r="A763" s="28">
        <v>762.0</v>
      </c>
      <c r="B763" s="29"/>
      <c r="C763" s="29"/>
      <c r="D763" s="40">
        <v>1.0</v>
      </c>
      <c r="E763" s="31">
        <v>18.0</v>
      </c>
      <c r="F763" s="42">
        <v>97.0</v>
      </c>
      <c r="G763" s="29" t="str">
        <f t="shared" si="1"/>
        <v>18097</v>
      </c>
      <c r="H763" s="37" t="s">
        <v>153</v>
      </c>
      <c r="I763" s="37" t="s">
        <v>49</v>
      </c>
      <c r="J763" s="37" t="s">
        <v>430</v>
      </c>
      <c r="K763" s="37" t="str">
        <f t="shared" si="15"/>
        <v>Marion, IN</v>
      </c>
      <c r="L763" s="37">
        <v>1776.0</v>
      </c>
      <c r="M763" s="37" t="s">
        <v>63</v>
      </c>
      <c r="N763" s="37">
        <v>847.0</v>
      </c>
      <c r="O763" s="37">
        <v>838.0</v>
      </c>
      <c r="P763" s="37" t="s">
        <v>63</v>
      </c>
      <c r="Q763" s="37" t="s">
        <v>63</v>
      </c>
      <c r="R763" s="37" t="s">
        <v>63</v>
      </c>
      <c r="S763" s="37" t="s">
        <v>63</v>
      </c>
      <c r="T763" s="69" t="s">
        <v>63</v>
      </c>
      <c r="U763" s="70">
        <v>451.0</v>
      </c>
      <c r="V763" s="37" t="s">
        <v>63</v>
      </c>
      <c r="W763" s="71" t="s">
        <v>63</v>
      </c>
      <c r="X763" s="72" t="s">
        <v>63</v>
      </c>
      <c r="Y763" s="53">
        <v>732.0</v>
      </c>
      <c r="Z763" s="69" t="s">
        <v>63</v>
      </c>
      <c r="AA763" s="73"/>
      <c r="AB763" s="73"/>
      <c r="AC763" s="73"/>
      <c r="AD763" s="73"/>
      <c r="AE763" s="73"/>
      <c r="AF763" s="73"/>
      <c r="AG763" s="73"/>
      <c r="AH763" s="73"/>
      <c r="AI763" s="73"/>
      <c r="AJ763" s="73"/>
      <c r="AK763" s="73"/>
    </row>
    <row r="764">
      <c r="A764" s="28">
        <v>763.0</v>
      </c>
      <c r="B764" s="29"/>
      <c r="C764" s="29"/>
      <c r="D764" s="40">
        <v>1.0</v>
      </c>
      <c r="E764" s="31">
        <v>18.0</v>
      </c>
      <c r="F764" s="42">
        <v>99.0</v>
      </c>
      <c r="G764" s="29" t="str">
        <f t="shared" si="1"/>
        <v>18099</v>
      </c>
      <c r="H764" s="37" t="s">
        <v>154</v>
      </c>
      <c r="I764" s="37" t="s">
        <v>49</v>
      </c>
      <c r="J764" s="37" t="s">
        <v>430</v>
      </c>
      <c r="K764" s="37" t="str">
        <f t="shared" si="15"/>
        <v>Marshall, IN</v>
      </c>
      <c r="L764" s="37">
        <v>25.0</v>
      </c>
      <c r="M764" s="37" t="s">
        <v>63</v>
      </c>
      <c r="N764" s="37">
        <v>7.0</v>
      </c>
      <c r="O764" s="37">
        <v>18.0</v>
      </c>
      <c r="P764" s="37" t="s">
        <v>63</v>
      </c>
      <c r="Q764" s="37" t="s">
        <v>63</v>
      </c>
      <c r="R764" s="37" t="s">
        <v>63</v>
      </c>
      <c r="S764" s="37" t="s">
        <v>63</v>
      </c>
      <c r="T764" s="69" t="s">
        <v>63</v>
      </c>
      <c r="U764" s="70">
        <v>27.0</v>
      </c>
      <c r="V764" s="37" t="s">
        <v>63</v>
      </c>
      <c r="W764" s="71" t="s">
        <v>63</v>
      </c>
      <c r="X764" s="72" t="s">
        <v>63</v>
      </c>
      <c r="Y764" s="53">
        <v>63.0</v>
      </c>
      <c r="Z764" s="69" t="s">
        <v>63</v>
      </c>
      <c r="AA764" s="73"/>
      <c r="AB764" s="73"/>
      <c r="AC764" s="73"/>
      <c r="AD764" s="73"/>
      <c r="AE764" s="73"/>
      <c r="AF764" s="73"/>
      <c r="AG764" s="73"/>
      <c r="AH764" s="73"/>
      <c r="AI764" s="73"/>
      <c r="AJ764" s="73"/>
      <c r="AK764" s="73"/>
    </row>
    <row r="765">
      <c r="A765" s="28">
        <v>764.0</v>
      </c>
      <c r="B765" s="29"/>
      <c r="C765" s="29"/>
      <c r="D765" s="40">
        <v>1.0</v>
      </c>
      <c r="E765" s="31">
        <v>18.0</v>
      </c>
      <c r="F765" s="42">
        <v>101.0</v>
      </c>
      <c r="G765" s="29" t="str">
        <f t="shared" si="1"/>
        <v>18101</v>
      </c>
      <c r="H765" s="37" t="s">
        <v>510</v>
      </c>
      <c r="I765" s="37" t="s">
        <v>49</v>
      </c>
      <c r="J765" s="37" t="s">
        <v>430</v>
      </c>
      <c r="K765" s="37" t="str">
        <f t="shared" si="15"/>
        <v>Martin, IN</v>
      </c>
      <c r="L765" s="37">
        <v>17.0</v>
      </c>
      <c r="M765" s="37" t="s">
        <v>63</v>
      </c>
      <c r="N765" s="37">
        <v>4.0</v>
      </c>
      <c r="O765" s="37">
        <v>12.0</v>
      </c>
      <c r="P765" s="37" t="s">
        <v>63</v>
      </c>
      <c r="Q765" s="37" t="s">
        <v>63</v>
      </c>
      <c r="R765" s="37" t="s">
        <v>63</v>
      </c>
      <c r="S765" s="37" t="s">
        <v>63</v>
      </c>
      <c r="T765" s="69" t="s">
        <v>63</v>
      </c>
      <c r="U765" s="70">
        <v>4.0</v>
      </c>
      <c r="V765" s="37" t="s">
        <v>63</v>
      </c>
      <c r="W765" s="71" t="s">
        <v>63</v>
      </c>
      <c r="X765" s="72" t="s">
        <v>63</v>
      </c>
      <c r="Y765" s="53">
        <v>18.0</v>
      </c>
      <c r="Z765" s="69" t="s">
        <v>63</v>
      </c>
      <c r="AA765" s="73"/>
      <c r="AB765" s="73"/>
      <c r="AC765" s="73"/>
      <c r="AD765" s="73"/>
      <c r="AE765" s="73"/>
      <c r="AF765" s="73"/>
      <c r="AG765" s="73"/>
      <c r="AH765" s="73"/>
      <c r="AI765" s="73"/>
      <c r="AJ765" s="73"/>
      <c r="AK765" s="73"/>
    </row>
    <row r="766">
      <c r="A766" s="28">
        <v>765.0</v>
      </c>
      <c r="B766" s="29"/>
      <c r="C766" s="29"/>
      <c r="D766" s="40">
        <v>1.0</v>
      </c>
      <c r="E766" s="31">
        <v>18.0</v>
      </c>
      <c r="F766" s="42">
        <v>103.0</v>
      </c>
      <c r="G766" s="29" t="str">
        <f t="shared" si="1"/>
        <v>18103</v>
      </c>
      <c r="H766" s="37" t="s">
        <v>791</v>
      </c>
      <c r="I766" s="37" t="s">
        <v>49</v>
      </c>
      <c r="J766" s="37" t="s">
        <v>430</v>
      </c>
      <c r="K766" s="37" t="str">
        <f t="shared" si="15"/>
        <v>Miami, IN</v>
      </c>
      <c r="L766" s="37">
        <v>53.0</v>
      </c>
      <c r="M766" s="37" t="s">
        <v>63</v>
      </c>
      <c r="N766" s="37">
        <v>18.0</v>
      </c>
      <c r="O766" s="37">
        <v>32.0</v>
      </c>
      <c r="P766" s="37" t="s">
        <v>63</v>
      </c>
      <c r="Q766" s="37" t="s">
        <v>63</v>
      </c>
      <c r="R766" s="37" t="s">
        <v>63</v>
      </c>
      <c r="S766" s="37" t="s">
        <v>63</v>
      </c>
      <c r="T766" s="69" t="s">
        <v>63</v>
      </c>
      <c r="U766" s="70">
        <v>15.0</v>
      </c>
      <c r="V766" s="37" t="s">
        <v>63</v>
      </c>
      <c r="W766" s="71" t="s">
        <v>63</v>
      </c>
      <c r="X766" s="72" t="s">
        <v>63</v>
      </c>
      <c r="Y766" s="53">
        <v>52.0</v>
      </c>
      <c r="Z766" s="69" t="s">
        <v>63</v>
      </c>
      <c r="AA766" s="73"/>
      <c r="AB766" s="73"/>
      <c r="AC766" s="73"/>
      <c r="AD766" s="73"/>
      <c r="AE766" s="73"/>
      <c r="AF766" s="73"/>
      <c r="AG766" s="73"/>
      <c r="AH766" s="73"/>
      <c r="AI766" s="73"/>
      <c r="AJ766" s="73"/>
      <c r="AK766" s="73"/>
    </row>
    <row r="767">
      <c r="A767" s="28">
        <v>766.0</v>
      </c>
      <c r="B767" s="29"/>
      <c r="C767" s="29"/>
      <c r="D767" s="40">
        <v>1.0</v>
      </c>
      <c r="E767" s="31">
        <v>18.0</v>
      </c>
      <c r="F767" s="42">
        <v>105.0</v>
      </c>
      <c r="G767" s="29" t="str">
        <f t="shared" si="1"/>
        <v>18105</v>
      </c>
      <c r="H767" s="37" t="s">
        <v>156</v>
      </c>
      <c r="I767" s="37" t="s">
        <v>49</v>
      </c>
      <c r="J767" s="37" t="s">
        <v>430</v>
      </c>
      <c r="K767" s="37" t="str">
        <f t="shared" si="15"/>
        <v>Monroe, IN</v>
      </c>
      <c r="L767" s="37">
        <v>153.0</v>
      </c>
      <c r="M767" s="37" t="s">
        <v>63</v>
      </c>
      <c r="N767" s="37">
        <v>72.0</v>
      </c>
      <c r="O767" s="37">
        <v>65.0</v>
      </c>
      <c r="P767" s="37" t="s">
        <v>63</v>
      </c>
      <c r="Q767" s="37" t="s">
        <v>63</v>
      </c>
      <c r="R767" s="37" t="s">
        <v>63</v>
      </c>
      <c r="S767" s="37" t="s">
        <v>63</v>
      </c>
      <c r="T767" s="69" t="s">
        <v>63</v>
      </c>
      <c r="U767" s="70">
        <v>50.0</v>
      </c>
      <c r="V767" s="37" t="s">
        <v>63</v>
      </c>
      <c r="W767" s="71" t="s">
        <v>63</v>
      </c>
      <c r="X767" s="72" t="s">
        <v>63</v>
      </c>
      <c r="Y767" s="53">
        <v>105.0</v>
      </c>
      <c r="Z767" s="69" t="s">
        <v>63</v>
      </c>
      <c r="AA767" s="73"/>
      <c r="AB767" s="73"/>
      <c r="AC767" s="73"/>
      <c r="AD767" s="73"/>
      <c r="AE767" s="73"/>
      <c r="AF767" s="73"/>
      <c r="AG767" s="73"/>
      <c r="AH767" s="73"/>
      <c r="AI767" s="73"/>
      <c r="AJ767" s="73"/>
      <c r="AK767" s="73"/>
    </row>
    <row r="768">
      <c r="A768" s="28">
        <v>767.0</v>
      </c>
      <c r="B768" s="29"/>
      <c r="C768" s="29"/>
      <c r="D768" s="40">
        <v>1.0</v>
      </c>
      <c r="E768" s="31">
        <v>18.0</v>
      </c>
      <c r="F768" s="42">
        <v>107.0</v>
      </c>
      <c r="G768" s="29" t="str">
        <f t="shared" si="1"/>
        <v>18107</v>
      </c>
      <c r="H768" s="37" t="s">
        <v>157</v>
      </c>
      <c r="I768" s="37" t="s">
        <v>49</v>
      </c>
      <c r="J768" s="37" t="s">
        <v>430</v>
      </c>
      <c r="K768" s="37" t="str">
        <f t="shared" si="15"/>
        <v>Montgomery, IN</v>
      </c>
      <c r="L768" s="37">
        <v>50.0</v>
      </c>
      <c r="M768" s="37" t="s">
        <v>63</v>
      </c>
      <c r="N768" s="37">
        <v>23.0</v>
      </c>
      <c r="O768" s="37">
        <v>24.0</v>
      </c>
      <c r="P768" s="37" t="s">
        <v>63</v>
      </c>
      <c r="Q768" s="37" t="s">
        <v>63</v>
      </c>
      <c r="R768" s="37" t="s">
        <v>63</v>
      </c>
      <c r="S768" s="37" t="s">
        <v>63</v>
      </c>
      <c r="T768" s="69" t="s">
        <v>63</v>
      </c>
      <c r="U768" s="70">
        <v>18.0</v>
      </c>
      <c r="V768" s="37" t="s">
        <v>63</v>
      </c>
      <c r="W768" s="71" t="s">
        <v>63</v>
      </c>
      <c r="X768" s="72" t="s">
        <v>63</v>
      </c>
      <c r="Y768" s="53">
        <v>53.0</v>
      </c>
      <c r="Z768" s="69" t="s">
        <v>63</v>
      </c>
      <c r="AA768" s="73"/>
      <c r="AB768" s="73"/>
      <c r="AC768" s="73"/>
      <c r="AD768" s="73"/>
      <c r="AE768" s="73"/>
      <c r="AF768" s="73"/>
      <c r="AG768" s="73"/>
      <c r="AH768" s="73"/>
      <c r="AI768" s="73"/>
      <c r="AJ768" s="73"/>
      <c r="AK768" s="73"/>
    </row>
    <row r="769">
      <c r="A769" s="28">
        <v>768.0</v>
      </c>
      <c r="B769" s="29"/>
      <c r="C769" s="29"/>
      <c r="D769" s="40">
        <v>1.0</v>
      </c>
      <c r="E769" s="31">
        <v>18.0</v>
      </c>
      <c r="F769" s="42">
        <v>109.0</v>
      </c>
      <c r="G769" s="29" t="str">
        <f t="shared" si="1"/>
        <v>18109</v>
      </c>
      <c r="H769" s="37" t="s">
        <v>158</v>
      </c>
      <c r="I769" s="37" t="s">
        <v>49</v>
      </c>
      <c r="J769" s="37" t="s">
        <v>430</v>
      </c>
      <c r="K769" s="37" t="str">
        <f t="shared" si="15"/>
        <v>Morgan, IN</v>
      </c>
      <c r="L769" s="37">
        <v>74.0</v>
      </c>
      <c r="M769" s="37" t="s">
        <v>63</v>
      </c>
      <c r="N769" s="37">
        <v>28.0</v>
      </c>
      <c r="O769" s="37">
        <v>39.0</v>
      </c>
      <c r="P769" s="37" t="s">
        <v>63</v>
      </c>
      <c r="Q769" s="37" t="s">
        <v>63</v>
      </c>
      <c r="R769" s="37" t="s">
        <v>63</v>
      </c>
      <c r="S769" s="37" t="s">
        <v>63</v>
      </c>
      <c r="T769" s="69" t="s">
        <v>63</v>
      </c>
      <c r="U769" s="70">
        <v>11.0</v>
      </c>
      <c r="V769" s="37" t="s">
        <v>63</v>
      </c>
      <c r="W769" s="71" t="s">
        <v>63</v>
      </c>
      <c r="X769" s="72" t="s">
        <v>63</v>
      </c>
      <c r="Y769" s="53">
        <v>70.0</v>
      </c>
      <c r="Z769" s="69" t="s">
        <v>63</v>
      </c>
      <c r="AA769" s="73"/>
      <c r="AB769" s="73"/>
      <c r="AC769" s="73"/>
      <c r="AD769" s="73"/>
      <c r="AE769" s="73"/>
      <c r="AF769" s="73"/>
      <c r="AG769" s="73"/>
      <c r="AH769" s="73"/>
      <c r="AI769" s="73"/>
      <c r="AJ769" s="73"/>
      <c r="AK769" s="73"/>
    </row>
    <row r="770">
      <c r="A770" s="28">
        <v>769.0</v>
      </c>
      <c r="B770" s="29"/>
      <c r="C770" s="29"/>
      <c r="D770" s="40">
        <v>1.0</v>
      </c>
      <c r="E770" s="31">
        <v>18.0</v>
      </c>
      <c r="F770" s="42">
        <v>111.0</v>
      </c>
      <c r="G770" s="29" t="str">
        <f t="shared" si="1"/>
        <v>18111</v>
      </c>
      <c r="H770" s="37" t="s">
        <v>297</v>
      </c>
      <c r="I770" s="37" t="s">
        <v>49</v>
      </c>
      <c r="J770" s="37" t="s">
        <v>430</v>
      </c>
      <c r="K770" s="37" t="str">
        <f t="shared" si="15"/>
        <v>Newton, IN</v>
      </c>
      <c r="L770" s="37">
        <v>16.0</v>
      </c>
      <c r="M770" s="37" t="s">
        <v>63</v>
      </c>
      <c r="N770" s="37">
        <v>8.0</v>
      </c>
      <c r="O770" s="37">
        <v>8.0</v>
      </c>
      <c r="P770" s="37" t="s">
        <v>63</v>
      </c>
      <c r="Q770" s="37" t="s">
        <v>63</v>
      </c>
      <c r="R770" s="37" t="s">
        <v>63</v>
      </c>
      <c r="S770" s="37" t="s">
        <v>63</v>
      </c>
      <c r="T770" s="69" t="s">
        <v>63</v>
      </c>
      <c r="U770" s="70">
        <v>10.0</v>
      </c>
      <c r="V770" s="37" t="s">
        <v>63</v>
      </c>
      <c r="W770" s="71" t="s">
        <v>63</v>
      </c>
      <c r="X770" s="72" t="s">
        <v>63</v>
      </c>
      <c r="Y770" s="53">
        <v>20.0</v>
      </c>
      <c r="Z770" s="69" t="s">
        <v>63</v>
      </c>
      <c r="AA770" s="73"/>
      <c r="AB770" s="73"/>
      <c r="AC770" s="73"/>
      <c r="AD770" s="73"/>
      <c r="AE770" s="73"/>
      <c r="AF770" s="73"/>
      <c r="AG770" s="73"/>
      <c r="AH770" s="73"/>
      <c r="AI770" s="73"/>
      <c r="AJ770" s="73"/>
      <c r="AK770" s="73"/>
    </row>
    <row r="771">
      <c r="A771" s="28">
        <v>770.0</v>
      </c>
      <c r="B771" s="29"/>
      <c r="C771" s="29"/>
      <c r="D771" s="40">
        <v>1.0</v>
      </c>
      <c r="E771" s="31">
        <v>18.0</v>
      </c>
      <c r="F771" s="42">
        <v>113.0</v>
      </c>
      <c r="G771" s="29" t="str">
        <f t="shared" si="1"/>
        <v>18113</v>
      </c>
      <c r="H771" s="37" t="s">
        <v>793</v>
      </c>
      <c r="I771" s="37" t="s">
        <v>49</v>
      </c>
      <c r="J771" s="37" t="s">
        <v>430</v>
      </c>
      <c r="K771" s="37" t="str">
        <f t="shared" si="15"/>
        <v>Noble, IN</v>
      </c>
      <c r="L771" s="37">
        <v>16.0</v>
      </c>
      <c r="M771" s="37" t="s">
        <v>63</v>
      </c>
      <c r="N771" s="37">
        <v>5.0</v>
      </c>
      <c r="O771" s="37">
        <v>10.0</v>
      </c>
      <c r="P771" s="37" t="s">
        <v>63</v>
      </c>
      <c r="Q771" s="37" t="s">
        <v>63</v>
      </c>
      <c r="R771" s="37" t="s">
        <v>63</v>
      </c>
      <c r="S771" s="37" t="s">
        <v>63</v>
      </c>
      <c r="T771" s="69" t="s">
        <v>63</v>
      </c>
      <c r="U771" s="70">
        <v>7.0</v>
      </c>
      <c r="V771" s="37" t="s">
        <v>63</v>
      </c>
      <c r="W771" s="71" t="s">
        <v>63</v>
      </c>
      <c r="X771" s="72" t="s">
        <v>63</v>
      </c>
      <c r="Y771" s="53">
        <v>61.0</v>
      </c>
      <c r="Z771" s="69" t="s">
        <v>63</v>
      </c>
      <c r="AA771" s="73"/>
      <c r="AB771" s="73"/>
      <c r="AC771" s="73"/>
      <c r="AD771" s="73"/>
      <c r="AE771" s="73"/>
      <c r="AF771" s="73"/>
      <c r="AG771" s="73"/>
      <c r="AH771" s="73"/>
      <c r="AI771" s="73"/>
      <c r="AJ771" s="73"/>
      <c r="AK771" s="73"/>
    </row>
    <row r="772">
      <c r="A772" s="28">
        <v>771.0</v>
      </c>
      <c r="B772" s="29"/>
      <c r="C772" s="29"/>
      <c r="D772" s="40">
        <v>1.0</v>
      </c>
      <c r="E772" s="31">
        <v>18.0</v>
      </c>
      <c r="F772" s="42">
        <v>115.0</v>
      </c>
      <c r="G772" s="29" t="str">
        <f t="shared" si="1"/>
        <v>18115</v>
      </c>
      <c r="H772" s="37" t="s">
        <v>100</v>
      </c>
      <c r="I772" s="37" t="s">
        <v>49</v>
      </c>
      <c r="J772" s="37" t="s">
        <v>430</v>
      </c>
      <c r="K772" s="37" t="str">
        <f t="shared" si="15"/>
        <v>Ohio, IN</v>
      </c>
      <c r="L772" s="37">
        <v>10.0</v>
      </c>
      <c r="M772" s="37" t="s">
        <v>63</v>
      </c>
      <c r="N772" s="37">
        <v>7.0</v>
      </c>
      <c r="O772" s="37">
        <v>2.0</v>
      </c>
      <c r="P772" s="37" t="s">
        <v>63</v>
      </c>
      <c r="Q772" s="37" t="s">
        <v>63</v>
      </c>
      <c r="R772" s="37" t="s">
        <v>63</v>
      </c>
      <c r="S772" s="37" t="s">
        <v>63</v>
      </c>
      <c r="T772" s="69" t="s">
        <v>63</v>
      </c>
      <c r="U772" s="70">
        <v>8.0</v>
      </c>
      <c r="V772" s="37" t="s">
        <v>63</v>
      </c>
      <c r="W772" s="71" t="s">
        <v>63</v>
      </c>
      <c r="X772" s="72" t="s">
        <v>63</v>
      </c>
      <c r="Y772" s="53">
        <v>10.0</v>
      </c>
      <c r="Z772" s="69" t="s">
        <v>63</v>
      </c>
      <c r="AA772" s="73"/>
      <c r="AB772" s="73"/>
      <c r="AC772" s="73"/>
      <c r="AD772" s="73"/>
      <c r="AE772" s="73"/>
      <c r="AF772" s="73"/>
      <c r="AG772" s="73"/>
      <c r="AH772" s="73"/>
      <c r="AI772" s="73"/>
      <c r="AJ772" s="73"/>
      <c r="AK772" s="73"/>
    </row>
    <row r="773">
      <c r="A773" s="28">
        <v>772.0</v>
      </c>
      <c r="B773" s="29"/>
      <c r="C773" s="29"/>
      <c r="D773" s="40">
        <v>1.0</v>
      </c>
      <c r="E773" s="31">
        <v>18.0</v>
      </c>
      <c r="F773" s="42">
        <v>117.0</v>
      </c>
      <c r="G773" s="29" t="str">
        <f t="shared" si="1"/>
        <v>18117</v>
      </c>
      <c r="H773" s="37" t="s">
        <v>241</v>
      </c>
      <c r="I773" s="37" t="s">
        <v>49</v>
      </c>
      <c r="J773" s="37" t="s">
        <v>430</v>
      </c>
      <c r="K773" s="37" t="str">
        <f t="shared" si="15"/>
        <v>Orange, IN</v>
      </c>
      <c r="L773" s="37">
        <v>38.0</v>
      </c>
      <c r="M773" s="37" t="s">
        <v>63</v>
      </c>
      <c r="N773" s="37">
        <v>10.0</v>
      </c>
      <c r="O773" s="37">
        <v>28.0</v>
      </c>
      <c r="P773" s="37" t="s">
        <v>63</v>
      </c>
      <c r="Q773" s="37" t="s">
        <v>63</v>
      </c>
      <c r="R773" s="37" t="s">
        <v>63</v>
      </c>
      <c r="S773" s="37" t="s">
        <v>63</v>
      </c>
      <c r="T773" s="69" t="s">
        <v>63</v>
      </c>
      <c r="U773" s="70">
        <v>14.0</v>
      </c>
      <c r="V773" s="37" t="s">
        <v>63</v>
      </c>
      <c r="W773" s="71" t="s">
        <v>63</v>
      </c>
      <c r="X773" s="72" t="s">
        <v>63</v>
      </c>
      <c r="Y773" s="53">
        <v>40.0</v>
      </c>
      <c r="Z773" s="69" t="s">
        <v>63</v>
      </c>
      <c r="AA773" s="73"/>
      <c r="AB773" s="73"/>
      <c r="AC773" s="73"/>
      <c r="AD773" s="73"/>
      <c r="AE773" s="73"/>
      <c r="AF773" s="73"/>
      <c r="AG773" s="73"/>
      <c r="AH773" s="73"/>
      <c r="AI773" s="73"/>
      <c r="AJ773" s="73"/>
      <c r="AK773" s="73"/>
    </row>
    <row r="774">
      <c r="A774" s="28">
        <v>773.0</v>
      </c>
      <c r="B774" s="29"/>
      <c r="C774" s="29"/>
      <c r="D774" s="40">
        <v>1.0</v>
      </c>
      <c r="E774" s="31">
        <v>18.0</v>
      </c>
      <c r="F774" s="42">
        <v>119.0</v>
      </c>
      <c r="G774" s="29" t="str">
        <f t="shared" si="1"/>
        <v>18119</v>
      </c>
      <c r="H774" s="37" t="s">
        <v>802</v>
      </c>
      <c r="I774" s="37" t="s">
        <v>49</v>
      </c>
      <c r="J774" s="37" t="s">
        <v>430</v>
      </c>
      <c r="K774" s="37" t="str">
        <f t="shared" si="15"/>
        <v>Owen, IN</v>
      </c>
      <c r="L774" s="37">
        <v>23.0</v>
      </c>
      <c r="M774" s="37" t="s">
        <v>63</v>
      </c>
      <c r="N774" s="37">
        <v>11.0</v>
      </c>
      <c r="O774" s="37">
        <v>8.0</v>
      </c>
      <c r="P774" s="37" t="s">
        <v>63</v>
      </c>
      <c r="Q774" s="37" t="s">
        <v>63</v>
      </c>
      <c r="R774" s="37" t="s">
        <v>63</v>
      </c>
      <c r="S774" s="37" t="s">
        <v>63</v>
      </c>
      <c r="T774" s="69" t="s">
        <v>63</v>
      </c>
      <c r="U774" s="70">
        <v>21.0</v>
      </c>
      <c r="V774" s="37" t="s">
        <v>63</v>
      </c>
      <c r="W774" s="71" t="s">
        <v>63</v>
      </c>
      <c r="X774" s="72" t="s">
        <v>63</v>
      </c>
      <c r="Y774" s="53">
        <v>34.0</v>
      </c>
      <c r="Z774" s="69" t="s">
        <v>63</v>
      </c>
      <c r="AA774" s="73"/>
      <c r="AB774" s="73"/>
      <c r="AC774" s="73"/>
      <c r="AD774" s="73"/>
      <c r="AE774" s="73"/>
      <c r="AF774" s="73"/>
      <c r="AG774" s="73"/>
      <c r="AH774" s="73"/>
      <c r="AI774" s="73"/>
      <c r="AJ774" s="73"/>
      <c r="AK774" s="73"/>
    </row>
    <row r="775">
      <c r="A775" s="28">
        <v>774.0</v>
      </c>
      <c r="B775" s="29"/>
      <c r="C775" s="29"/>
      <c r="D775" s="40">
        <v>1.0</v>
      </c>
      <c r="E775" s="31">
        <v>18.0</v>
      </c>
      <c r="F775" s="42">
        <v>121.0</v>
      </c>
      <c r="G775" s="29" t="str">
        <f t="shared" si="1"/>
        <v>18121</v>
      </c>
      <c r="H775" s="37" t="s">
        <v>807</v>
      </c>
      <c r="I775" s="37" t="s">
        <v>49</v>
      </c>
      <c r="J775" s="37" t="s">
        <v>430</v>
      </c>
      <c r="K775" s="37" t="str">
        <f t="shared" si="15"/>
        <v>Parke, IN</v>
      </c>
      <c r="L775" s="37">
        <v>31.0</v>
      </c>
      <c r="M775" s="37" t="s">
        <v>63</v>
      </c>
      <c r="N775" s="37">
        <v>17.0</v>
      </c>
      <c r="O775" s="37">
        <v>13.0</v>
      </c>
      <c r="P775" s="37" t="s">
        <v>63</v>
      </c>
      <c r="Q775" s="37" t="s">
        <v>63</v>
      </c>
      <c r="R775" s="37" t="s">
        <v>63</v>
      </c>
      <c r="S775" s="37" t="s">
        <v>63</v>
      </c>
      <c r="T775" s="69" t="s">
        <v>63</v>
      </c>
      <c r="U775" s="70">
        <v>0.0</v>
      </c>
      <c r="V775" s="37" t="s">
        <v>63</v>
      </c>
      <c r="W775" s="71" t="s">
        <v>63</v>
      </c>
      <c r="X775" s="72" t="s">
        <v>63</v>
      </c>
      <c r="Y775" s="53">
        <v>20.0</v>
      </c>
      <c r="Z775" s="69" t="s">
        <v>63</v>
      </c>
      <c r="AA775" s="73"/>
      <c r="AB775" s="73"/>
      <c r="AC775" s="73"/>
      <c r="AD775" s="73"/>
      <c r="AE775" s="73"/>
      <c r="AF775" s="73"/>
      <c r="AG775" s="73"/>
      <c r="AH775" s="73"/>
      <c r="AI775" s="73"/>
      <c r="AJ775" s="73"/>
      <c r="AK775" s="73"/>
    </row>
    <row r="776">
      <c r="A776" s="28">
        <v>775.0</v>
      </c>
      <c r="B776" s="29"/>
      <c r="C776" s="29"/>
      <c r="D776" s="40">
        <v>1.0</v>
      </c>
      <c r="E776" s="31">
        <v>18.0</v>
      </c>
      <c r="F776" s="42">
        <v>123.0</v>
      </c>
      <c r="G776" s="29" t="str">
        <f t="shared" si="1"/>
        <v>18123</v>
      </c>
      <c r="H776" s="37" t="s">
        <v>159</v>
      </c>
      <c r="I776" s="37" t="s">
        <v>49</v>
      </c>
      <c r="J776" s="37" t="s">
        <v>430</v>
      </c>
      <c r="K776" s="37" t="str">
        <f t="shared" si="15"/>
        <v>Perry, IN</v>
      </c>
      <c r="L776" s="37">
        <v>60.0</v>
      </c>
      <c r="M776" s="37" t="s">
        <v>63</v>
      </c>
      <c r="N776" s="37">
        <v>17.0</v>
      </c>
      <c r="O776" s="37">
        <v>35.0</v>
      </c>
      <c r="P776" s="37" t="s">
        <v>63</v>
      </c>
      <c r="Q776" s="37" t="s">
        <v>63</v>
      </c>
      <c r="R776" s="37" t="s">
        <v>63</v>
      </c>
      <c r="S776" s="37" t="s">
        <v>63</v>
      </c>
      <c r="T776" s="69" t="s">
        <v>63</v>
      </c>
      <c r="U776" s="70">
        <v>21.0</v>
      </c>
      <c r="V776" s="37" t="s">
        <v>63</v>
      </c>
      <c r="W776" s="71" t="s">
        <v>63</v>
      </c>
      <c r="X776" s="72" t="s">
        <v>63</v>
      </c>
      <c r="Y776" s="53">
        <v>18.0</v>
      </c>
      <c r="Z776" s="69" t="s">
        <v>63</v>
      </c>
      <c r="AA776" s="73"/>
      <c r="AB776" s="73"/>
      <c r="AC776" s="73"/>
      <c r="AD776" s="73"/>
      <c r="AE776" s="73"/>
      <c r="AF776" s="73"/>
      <c r="AG776" s="73"/>
      <c r="AH776" s="73"/>
      <c r="AI776" s="73"/>
      <c r="AJ776" s="73"/>
      <c r="AK776" s="73"/>
    </row>
    <row r="777">
      <c r="A777" s="28">
        <v>776.0</v>
      </c>
      <c r="B777" s="29"/>
      <c r="C777" s="29"/>
      <c r="D777" s="40">
        <v>1.0</v>
      </c>
      <c r="E777" s="31">
        <v>18.0</v>
      </c>
      <c r="F777" s="42">
        <v>125.0</v>
      </c>
      <c r="G777" s="29" t="str">
        <f t="shared" si="1"/>
        <v>18125</v>
      </c>
      <c r="H777" s="37" t="s">
        <v>162</v>
      </c>
      <c r="I777" s="37" t="s">
        <v>49</v>
      </c>
      <c r="J777" s="37" t="s">
        <v>430</v>
      </c>
      <c r="K777" s="37" t="str">
        <f t="shared" si="15"/>
        <v>Pike, IN</v>
      </c>
      <c r="L777" s="37">
        <v>15.0</v>
      </c>
      <c r="M777" s="37" t="s">
        <v>63</v>
      </c>
      <c r="N777" s="37">
        <v>4.0</v>
      </c>
      <c r="O777" s="37">
        <v>10.0</v>
      </c>
      <c r="P777" s="37" t="s">
        <v>63</v>
      </c>
      <c r="Q777" s="37" t="s">
        <v>63</v>
      </c>
      <c r="R777" s="37" t="s">
        <v>63</v>
      </c>
      <c r="S777" s="37" t="s">
        <v>63</v>
      </c>
      <c r="T777" s="69" t="s">
        <v>63</v>
      </c>
      <c r="U777" s="70">
        <v>26.0</v>
      </c>
      <c r="V777" s="37" t="s">
        <v>63</v>
      </c>
      <c r="W777" s="71" t="s">
        <v>63</v>
      </c>
      <c r="X777" s="72" t="s">
        <v>63</v>
      </c>
      <c r="Y777" s="53">
        <v>19.0</v>
      </c>
      <c r="Z777" s="69" t="s">
        <v>63</v>
      </c>
      <c r="AA777" s="73"/>
      <c r="AB777" s="73"/>
      <c r="AC777" s="73"/>
      <c r="AD777" s="73"/>
      <c r="AE777" s="73"/>
      <c r="AF777" s="73"/>
      <c r="AG777" s="73"/>
      <c r="AH777" s="73"/>
      <c r="AI777" s="73"/>
      <c r="AJ777" s="73"/>
      <c r="AK777" s="73"/>
    </row>
    <row r="778">
      <c r="A778" s="28">
        <v>777.0</v>
      </c>
      <c r="B778" s="29"/>
      <c r="C778" s="29"/>
      <c r="D778" s="40">
        <v>1.0</v>
      </c>
      <c r="E778" s="31">
        <v>18.0</v>
      </c>
      <c r="F778" s="42">
        <v>127.0</v>
      </c>
      <c r="G778" s="29" t="str">
        <f t="shared" si="1"/>
        <v>18127</v>
      </c>
      <c r="H778" s="37" t="s">
        <v>819</v>
      </c>
      <c r="I778" s="37" t="s">
        <v>49</v>
      </c>
      <c r="J778" s="37" t="s">
        <v>430</v>
      </c>
      <c r="K778" s="37" t="str">
        <f t="shared" si="15"/>
        <v>Porter, IN</v>
      </c>
      <c r="L778" s="37">
        <v>69.0</v>
      </c>
      <c r="M778" s="37" t="s">
        <v>63</v>
      </c>
      <c r="N778" s="37">
        <v>42.0</v>
      </c>
      <c r="O778" s="37">
        <v>20.0</v>
      </c>
      <c r="P778" s="37" t="s">
        <v>63</v>
      </c>
      <c r="Q778" s="37" t="s">
        <v>63</v>
      </c>
      <c r="R778" s="37" t="s">
        <v>63</v>
      </c>
      <c r="S778" s="37" t="s">
        <v>63</v>
      </c>
      <c r="T778" s="69" t="s">
        <v>63</v>
      </c>
      <c r="U778" s="70">
        <v>31.0</v>
      </c>
      <c r="V778" s="37" t="s">
        <v>63</v>
      </c>
      <c r="W778" s="71" t="s">
        <v>63</v>
      </c>
      <c r="X778" s="72" t="s">
        <v>63</v>
      </c>
      <c r="Y778" s="53">
        <v>113.0</v>
      </c>
      <c r="Z778" s="69" t="s">
        <v>63</v>
      </c>
      <c r="AA778" s="73"/>
      <c r="AB778" s="73"/>
      <c r="AC778" s="73"/>
      <c r="AD778" s="73"/>
      <c r="AE778" s="73"/>
      <c r="AF778" s="73"/>
      <c r="AG778" s="73"/>
      <c r="AH778" s="73"/>
      <c r="AI778" s="73"/>
      <c r="AJ778" s="73"/>
      <c r="AK778" s="73"/>
    </row>
    <row r="779">
      <c r="A779" s="28">
        <v>778.0</v>
      </c>
      <c r="B779" s="29"/>
      <c r="C779" s="29"/>
      <c r="D779" s="40">
        <v>1.0</v>
      </c>
      <c r="E779" s="31">
        <v>18.0</v>
      </c>
      <c r="F779" s="42">
        <v>129.0</v>
      </c>
      <c r="G779" s="29" t="str">
        <f t="shared" si="1"/>
        <v>18129</v>
      </c>
      <c r="H779" s="37" t="s">
        <v>823</v>
      </c>
      <c r="I779" s="37" t="s">
        <v>49</v>
      </c>
      <c r="J779" s="37" t="s">
        <v>430</v>
      </c>
      <c r="K779" s="37" t="str">
        <f t="shared" si="15"/>
        <v>Posey, IN</v>
      </c>
      <c r="L779" s="37">
        <v>42.0</v>
      </c>
      <c r="M779" s="37" t="s">
        <v>63</v>
      </c>
      <c r="N779" s="37">
        <v>16.0</v>
      </c>
      <c r="O779" s="37">
        <v>24.0</v>
      </c>
      <c r="P779" s="37" t="s">
        <v>63</v>
      </c>
      <c r="Q779" s="37" t="s">
        <v>63</v>
      </c>
      <c r="R779" s="37" t="s">
        <v>63</v>
      </c>
      <c r="S779" s="37" t="s">
        <v>63</v>
      </c>
      <c r="T779" s="69" t="s">
        <v>63</v>
      </c>
      <c r="U779" s="70">
        <v>39.0</v>
      </c>
      <c r="V779" s="37" t="s">
        <v>63</v>
      </c>
      <c r="W779" s="71" t="s">
        <v>63</v>
      </c>
      <c r="X779" s="72" t="s">
        <v>63</v>
      </c>
      <c r="Y779" s="53">
        <v>32.0</v>
      </c>
      <c r="Z779" s="69" t="s">
        <v>63</v>
      </c>
      <c r="AA779" s="73"/>
      <c r="AB779" s="73"/>
      <c r="AC779" s="73"/>
      <c r="AD779" s="73"/>
      <c r="AE779" s="73"/>
      <c r="AF779" s="73"/>
      <c r="AG779" s="73"/>
      <c r="AH779" s="73"/>
      <c r="AI779" s="73"/>
      <c r="AJ779" s="73"/>
      <c r="AK779" s="73"/>
    </row>
    <row r="780">
      <c r="A780" s="28">
        <v>779.0</v>
      </c>
      <c r="B780" s="29"/>
      <c r="C780" s="29"/>
      <c r="D780" s="40">
        <v>1.0</v>
      </c>
      <c r="E780" s="31">
        <v>18.0</v>
      </c>
      <c r="F780" s="42">
        <v>131.0</v>
      </c>
      <c r="G780" s="29" t="str">
        <f t="shared" si="1"/>
        <v>18131</v>
      </c>
      <c r="H780" s="37" t="s">
        <v>305</v>
      </c>
      <c r="I780" s="37" t="s">
        <v>49</v>
      </c>
      <c r="J780" s="37" t="s">
        <v>430</v>
      </c>
      <c r="K780" s="37" t="str">
        <f t="shared" si="15"/>
        <v>Pulaski, IN</v>
      </c>
      <c r="L780" s="37">
        <v>14.0</v>
      </c>
      <c r="M780" s="37" t="s">
        <v>63</v>
      </c>
      <c r="N780" s="37">
        <v>4.0</v>
      </c>
      <c r="O780" s="37">
        <v>7.0</v>
      </c>
      <c r="P780" s="37" t="s">
        <v>63</v>
      </c>
      <c r="Q780" s="37" t="s">
        <v>63</v>
      </c>
      <c r="R780" s="37" t="s">
        <v>63</v>
      </c>
      <c r="S780" s="37" t="s">
        <v>63</v>
      </c>
      <c r="T780" s="69" t="s">
        <v>63</v>
      </c>
      <c r="U780" s="70">
        <v>7.0</v>
      </c>
      <c r="V780" s="37" t="s">
        <v>63</v>
      </c>
      <c r="W780" s="71" t="s">
        <v>63</v>
      </c>
      <c r="X780" s="72" t="s">
        <v>63</v>
      </c>
      <c r="Y780" s="53">
        <v>22.0</v>
      </c>
      <c r="Z780" s="69" t="s">
        <v>63</v>
      </c>
      <c r="AA780" s="73"/>
      <c r="AB780" s="73"/>
      <c r="AC780" s="73"/>
      <c r="AD780" s="73"/>
      <c r="AE780" s="73"/>
      <c r="AF780" s="73"/>
      <c r="AG780" s="73"/>
      <c r="AH780" s="73"/>
      <c r="AI780" s="73"/>
      <c r="AJ780" s="73"/>
      <c r="AK780" s="73"/>
    </row>
    <row r="781">
      <c r="A781" s="28">
        <v>780.0</v>
      </c>
      <c r="B781" s="29"/>
      <c r="C781" s="29"/>
      <c r="D781" s="40">
        <v>1.0</v>
      </c>
      <c r="E781" s="31">
        <v>18.0</v>
      </c>
      <c r="F781" s="42">
        <v>133.0</v>
      </c>
      <c r="G781" s="29" t="str">
        <f t="shared" si="1"/>
        <v>18133</v>
      </c>
      <c r="H781" s="37" t="s">
        <v>518</v>
      </c>
      <c r="I781" s="37" t="s">
        <v>49</v>
      </c>
      <c r="J781" s="37" t="s">
        <v>430</v>
      </c>
      <c r="K781" s="37" t="str">
        <f t="shared" si="15"/>
        <v>Putnam, IN</v>
      </c>
      <c r="L781" s="37">
        <v>47.0</v>
      </c>
      <c r="M781" s="37" t="s">
        <v>63</v>
      </c>
      <c r="N781" s="37">
        <v>17.0</v>
      </c>
      <c r="O781" s="37">
        <v>29.0</v>
      </c>
      <c r="P781" s="37" t="s">
        <v>63</v>
      </c>
      <c r="Q781" s="37" t="s">
        <v>63</v>
      </c>
      <c r="R781" s="37" t="s">
        <v>63</v>
      </c>
      <c r="S781" s="37" t="s">
        <v>63</v>
      </c>
      <c r="T781" s="69" t="s">
        <v>63</v>
      </c>
      <c r="U781" s="70">
        <v>16.0</v>
      </c>
      <c r="V781" s="37" t="s">
        <v>63</v>
      </c>
      <c r="W781" s="71" t="s">
        <v>63</v>
      </c>
      <c r="X781" s="72" t="s">
        <v>63</v>
      </c>
      <c r="Y781" s="53">
        <v>39.0</v>
      </c>
      <c r="Z781" s="69" t="s">
        <v>63</v>
      </c>
      <c r="AA781" s="73"/>
      <c r="AB781" s="73"/>
      <c r="AC781" s="73"/>
      <c r="AD781" s="73"/>
      <c r="AE781" s="73"/>
      <c r="AF781" s="73"/>
      <c r="AG781" s="73"/>
      <c r="AH781" s="73"/>
      <c r="AI781" s="73"/>
      <c r="AJ781" s="73"/>
      <c r="AK781" s="73"/>
    </row>
    <row r="782">
      <c r="A782" s="28">
        <v>781.0</v>
      </c>
      <c r="B782" s="29"/>
      <c r="C782" s="29"/>
      <c r="D782" s="40">
        <v>1.0</v>
      </c>
      <c r="E782" s="31">
        <v>18.0</v>
      </c>
      <c r="F782" s="42">
        <v>135.0</v>
      </c>
      <c r="G782" s="29" t="str">
        <f t="shared" si="1"/>
        <v>18135</v>
      </c>
      <c r="H782" s="37" t="s">
        <v>163</v>
      </c>
      <c r="I782" s="37" t="s">
        <v>49</v>
      </c>
      <c r="J782" s="37" t="s">
        <v>430</v>
      </c>
      <c r="K782" s="37" t="str">
        <f t="shared" si="15"/>
        <v>Randolph, IN</v>
      </c>
      <c r="L782" s="37">
        <v>27.0</v>
      </c>
      <c r="M782" s="37" t="s">
        <v>63</v>
      </c>
      <c r="N782" s="37">
        <v>9.0</v>
      </c>
      <c r="O782" s="37">
        <v>15.0</v>
      </c>
      <c r="P782" s="37" t="s">
        <v>63</v>
      </c>
      <c r="Q782" s="37" t="s">
        <v>63</v>
      </c>
      <c r="R782" s="37" t="s">
        <v>63</v>
      </c>
      <c r="S782" s="37" t="s">
        <v>63</v>
      </c>
      <c r="T782" s="69" t="s">
        <v>63</v>
      </c>
      <c r="U782" s="70">
        <v>6.0</v>
      </c>
      <c r="V782" s="37" t="s">
        <v>63</v>
      </c>
      <c r="W782" s="71" t="s">
        <v>63</v>
      </c>
      <c r="X782" s="72" t="s">
        <v>63</v>
      </c>
      <c r="Y782" s="53">
        <v>40.0</v>
      </c>
      <c r="Z782" s="69" t="s">
        <v>63</v>
      </c>
      <c r="AA782" s="73"/>
      <c r="AB782" s="73"/>
      <c r="AC782" s="73"/>
      <c r="AD782" s="73"/>
      <c r="AE782" s="73"/>
      <c r="AF782" s="73"/>
      <c r="AG782" s="73"/>
      <c r="AH782" s="73"/>
      <c r="AI782" s="73"/>
      <c r="AJ782" s="73"/>
      <c r="AK782" s="73"/>
    </row>
    <row r="783">
      <c r="A783" s="28">
        <v>782.0</v>
      </c>
      <c r="B783" s="29"/>
      <c r="C783" s="29"/>
      <c r="D783" s="40">
        <v>1.0</v>
      </c>
      <c r="E783" s="31">
        <v>18.0</v>
      </c>
      <c r="F783" s="42">
        <v>137.0</v>
      </c>
      <c r="G783" s="29" t="str">
        <f t="shared" si="1"/>
        <v>18137</v>
      </c>
      <c r="H783" s="37" t="s">
        <v>839</v>
      </c>
      <c r="I783" s="37" t="s">
        <v>49</v>
      </c>
      <c r="J783" s="37" t="s">
        <v>430</v>
      </c>
      <c r="K783" s="37" t="str">
        <f t="shared" si="15"/>
        <v>Ripley, IN</v>
      </c>
      <c r="L783" s="37">
        <v>65.0</v>
      </c>
      <c r="M783" s="37" t="s">
        <v>63</v>
      </c>
      <c r="N783" s="37">
        <v>21.0</v>
      </c>
      <c r="O783" s="37">
        <v>35.0</v>
      </c>
      <c r="P783" s="37" t="s">
        <v>63</v>
      </c>
      <c r="Q783" s="37" t="s">
        <v>63</v>
      </c>
      <c r="R783" s="37" t="s">
        <v>63</v>
      </c>
      <c r="S783" s="37" t="s">
        <v>63</v>
      </c>
      <c r="T783" s="69" t="s">
        <v>63</v>
      </c>
      <c r="U783" s="70">
        <v>10.0</v>
      </c>
      <c r="V783" s="37" t="s">
        <v>63</v>
      </c>
      <c r="W783" s="71" t="s">
        <v>63</v>
      </c>
      <c r="X783" s="72" t="s">
        <v>63</v>
      </c>
      <c r="Y783" s="53">
        <v>44.0</v>
      </c>
      <c r="Z783" s="69" t="s">
        <v>63</v>
      </c>
      <c r="AA783" s="73"/>
      <c r="AB783" s="73"/>
      <c r="AC783" s="73"/>
      <c r="AD783" s="73"/>
      <c r="AE783" s="73"/>
      <c r="AF783" s="73"/>
      <c r="AG783" s="73"/>
      <c r="AH783" s="73"/>
      <c r="AI783" s="73"/>
      <c r="AJ783" s="73"/>
      <c r="AK783" s="73"/>
    </row>
    <row r="784">
      <c r="A784" s="28">
        <v>783.0</v>
      </c>
      <c r="B784" s="29"/>
      <c r="C784" s="29"/>
      <c r="D784" s="40">
        <v>1.0</v>
      </c>
      <c r="E784" s="31">
        <v>18.0</v>
      </c>
      <c r="F784" s="42">
        <v>139.0</v>
      </c>
      <c r="G784" s="29" t="str">
        <f t="shared" si="1"/>
        <v>18139</v>
      </c>
      <c r="H784" s="37" t="s">
        <v>842</v>
      </c>
      <c r="I784" s="37" t="s">
        <v>49</v>
      </c>
      <c r="J784" s="37" t="s">
        <v>430</v>
      </c>
      <c r="K784" s="37" t="str">
        <f t="shared" si="15"/>
        <v>Rush, IN</v>
      </c>
      <c r="L784" s="37">
        <v>15.0</v>
      </c>
      <c r="M784" s="37" t="s">
        <v>63</v>
      </c>
      <c r="N784" s="37">
        <v>8.0</v>
      </c>
      <c r="O784" s="37">
        <v>6.0</v>
      </c>
      <c r="P784" s="37" t="s">
        <v>63</v>
      </c>
      <c r="Q784" s="37" t="s">
        <v>63</v>
      </c>
      <c r="R784" s="37" t="s">
        <v>63</v>
      </c>
      <c r="S784" s="37" t="s">
        <v>63</v>
      </c>
      <c r="T784" s="69" t="s">
        <v>63</v>
      </c>
      <c r="U784" s="70">
        <v>11.0</v>
      </c>
      <c r="V784" s="37" t="s">
        <v>63</v>
      </c>
      <c r="W784" s="71" t="s">
        <v>63</v>
      </c>
      <c r="X784" s="72" t="s">
        <v>63</v>
      </c>
      <c r="Y784" s="53">
        <v>25.0</v>
      </c>
      <c r="Z784" s="69" t="s">
        <v>63</v>
      </c>
      <c r="AA784" s="73"/>
      <c r="AB784" s="73"/>
      <c r="AC784" s="73"/>
      <c r="AD784" s="73"/>
      <c r="AE784" s="73"/>
      <c r="AF784" s="73"/>
      <c r="AG784" s="73"/>
      <c r="AH784" s="73"/>
      <c r="AI784" s="73"/>
      <c r="AJ784" s="73"/>
      <c r="AK784" s="73"/>
    </row>
    <row r="785">
      <c r="A785" s="28">
        <v>784.0</v>
      </c>
      <c r="B785" s="29"/>
      <c r="C785" s="29"/>
      <c r="D785" s="40">
        <v>1.0</v>
      </c>
      <c r="E785" s="31">
        <v>18.0</v>
      </c>
      <c r="F785" s="42">
        <v>141.0</v>
      </c>
      <c r="G785" s="29" t="str">
        <f t="shared" si="1"/>
        <v>18141</v>
      </c>
      <c r="H785" s="37" t="s">
        <v>847</v>
      </c>
      <c r="I785" s="37" t="s">
        <v>49</v>
      </c>
      <c r="J785" s="37" t="s">
        <v>430</v>
      </c>
      <c r="K785" s="37" t="str">
        <f t="shared" si="15"/>
        <v>St Joseph, IN</v>
      </c>
      <c r="L785" s="37">
        <v>362.0</v>
      </c>
      <c r="M785" s="37" t="s">
        <v>63</v>
      </c>
      <c r="N785" s="37">
        <v>164.0</v>
      </c>
      <c r="O785" s="37">
        <v>182.0</v>
      </c>
      <c r="P785" s="37" t="s">
        <v>63</v>
      </c>
      <c r="Q785" s="37" t="s">
        <v>63</v>
      </c>
      <c r="R785" s="37" t="s">
        <v>63</v>
      </c>
      <c r="S785" s="37" t="s">
        <v>63</v>
      </c>
      <c r="T785" s="69" t="s">
        <v>63</v>
      </c>
      <c r="U785" s="70">
        <v>213.0</v>
      </c>
      <c r="V785" s="37" t="s">
        <v>63</v>
      </c>
      <c r="W785" s="71" t="s">
        <v>63</v>
      </c>
      <c r="X785" s="72" t="s">
        <v>63</v>
      </c>
      <c r="Y785" s="53">
        <v>218.0</v>
      </c>
      <c r="Z785" s="69" t="s">
        <v>63</v>
      </c>
      <c r="AA785" s="73"/>
      <c r="AB785" s="73"/>
      <c r="AC785" s="73"/>
      <c r="AD785" s="73"/>
      <c r="AE785" s="73"/>
      <c r="AF785" s="73"/>
      <c r="AG785" s="73"/>
      <c r="AH785" s="73"/>
      <c r="AI785" s="73"/>
      <c r="AJ785" s="73"/>
      <c r="AK785" s="73"/>
    </row>
    <row r="786">
      <c r="A786" s="28">
        <v>785.0</v>
      </c>
      <c r="B786" s="29"/>
      <c r="C786" s="29"/>
      <c r="D786" s="40">
        <v>1.0</v>
      </c>
      <c r="E786" s="31">
        <v>18.0</v>
      </c>
      <c r="F786" s="42">
        <v>143.0</v>
      </c>
      <c r="G786" s="29" t="str">
        <f t="shared" si="1"/>
        <v>18143</v>
      </c>
      <c r="H786" s="37" t="s">
        <v>309</v>
      </c>
      <c r="I786" s="37" t="s">
        <v>49</v>
      </c>
      <c r="J786" s="37" t="s">
        <v>430</v>
      </c>
      <c r="K786" s="37" t="str">
        <f t="shared" si="15"/>
        <v>Scott, IN</v>
      </c>
      <c r="L786" s="37">
        <v>98.0</v>
      </c>
      <c r="M786" s="37" t="s">
        <v>63</v>
      </c>
      <c r="N786" s="37">
        <v>43.0</v>
      </c>
      <c r="O786" s="37">
        <v>45.0</v>
      </c>
      <c r="P786" s="37" t="s">
        <v>63</v>
      </c>
      <c r="Q786" s="37" t="s">
        <v>63</v>
      </c>
      <c r="R786" s="37" t="s">
        <v>63</v>
      </c>
      <c r="S786" s="37" t="s">
        <v>63</v>
      </c>
      <c r="T786" s="69" t="s">
        <v>63</v>
      </c>
      <c r="U786" s="70">
        <v>4.0</v>
      </c>
      <c r="V786" s="37" t="s">
        <v>63</v>
      </c>
      <c r="W786" s="71" t="s">
        <v>63</v>
      </c>
      <c r="X786" s="72" t="s">
        <v>63</v>
      </c>
      <c r="Y786" s="53">
        <v>33.0</v>
      </c>
      <c r="Z786" s="69" t="s">
        <v>63</v>
      </c>
      <c r="AA786" s="73"/>
      <c r="AB786" s="73"/>
      <c r="AC786" s="73"/>
      <c r="AD786" s="73"/>
      <c r="AE786" s="73"/>
      <c r="AF786" s="73"/>
      <c r="AG786" s="73"/>
      <c r="AH786" s="73"/>
      <c r="AI786" s="73"/>
      <c r="AJ786" s="73"/>
      <c r="AK786" s="73"/>
    </row>
    <row r="787">
      <c r="A787" s="28">
        <v>786.0</v>
      </c>
      <c r="B787" s="29"/>
      <c r="C787" s="29"/>
      <c r="D787" s="40">
        <v>1.0</v>
      </c>
      <c r="E787" s="31">
        <v>18.0</v>
      </c>
      <c r="F787" s="42">
        <v>145.0</v>
      </c>
      <c r="G787" s="29" t="str">
        <f t="shared" si="1"/>
        <v>18145</v>
      </c>
      <c r="H787" s="37" t="s">
        <v>168</v>
      </c>
      <c r="I787" s="37" t="s">
        <v>49</v>
      </c>
      <c r="J787" s="37" t="s">
        <v>430</v>
      </c>
      <c r="K787" s="37" t="str">
        <f t="shared" si="15"/>
        <v>Shelby, IN</v>
      </c>
      <c r="L787" s="37">
        <v>38.0</v>
      </c>
      <c r="M787" s="37" t="s">
        <v>63</v>
      </c>
      <c r="N787" s="37">
        <v>15.0</v>
      </c>
      <c r="O787" s="37">
        <v>22.0</v>
      </c>
      <c r="P787" s="37" t="s">
        <v>63</v>
      </c>
      <c r="Q787" s="37" t="s">
        <v>63</v>
      </c>
      <c r="R787" s="37" t="s">
        <v>63</v>
      </c>
      <c r="S787" s="37" t="s">
        <v>63</v>
      </c>
      <c r="T787" s="69" t="s">
        <v>63</v>
      </c>
      <c r="U787" s="70">
        <v>23.0</v>
      </c>
      <c r="V787" s="37" t="s">
        <v>63</v>
      </c>
      <c r="W787" s="71" t="s">
        <v>63</v>
      </c>
      <c r="X787" s="72" t="s">
        <v>63</v>
      </c>
      <c r="Y787" s="53">
        <v>60.0</v>
      </c>
      <c r="Z787" s="69" t="s">
        <v>63</v>
      </c>
      <c r="AA787" s="73"/>
      <c r="AB787" s="73"/>
      <c r="AC787" s="73"/>
      <c r="AD787" s="73"/>
      <c r="AE787" s="73"/>
      <c r="AF787" s="73"/>
      <c r="AG787" s="73"/>
      <c r="AH787" s="73"/>
      <c r="AI787" s="73"/>
      <c r="AJ787" s="73"/>
      <c r="AK787" s="73"/>
    </row>
    <row r="788">
      <c r="A788" s="28">
        <v>787.0</v>
      </c>
      <c r="B788" s="29"/>
      <c r="C788" s="29"/>
      <c r="D788" s="40">
        <v>1.0</v>
      </c>
      <c r="E788" s="31">
        <v>18.0</v>
      </c>
      <c r="F788" s="42">
        <v>147.0</v>
      </c>
      <c r="G788" s="29" t="str">
        <f t="shared" si="1"/>
        <v>18147</v>
      </c>
      <c r="H788" s="37" t="s">
        <v>854</v>
      </c>
      <c r="I788" s="37" t="s">
        <v>49</v>
      </c>
      <c r="J788" s="37" t="s">
        <v>430</v>
      </c>
      <c r="K788" s="37" t="str">
        <f t="shared" si="15"/>
        <v>Spencer, IN</v>
      </c>
      <c r="L788" s="37">
        <v>56.0</v>
      </c>
      <c r="M788" s="37" t="s">
        <v>63</v>
      </c>
      <c r="N788" s="37">
        <v>19.0</v>
      </c>
      <c r="O788" s="37">
        <v>35.0</v>
      </c>
      <c r="P788" s="37" t="s">
        <v>63</v>
      </c>
      <c r="Q788" s="37" t="s">
        <v>63</v>
      </c>
      <c r="R788" s="37" t="s">
        <v>63</v>
      </c>
      <c r="S788" s="37" t="s">
        <v>63</v>
      </c>
      <c r="T788" s="69" t="s">
        <v>63</v>
      </c>
      <c r="U788" s="70">
        <v>16.0</v>
      </c>
      <c r="V788" s="37" t="s">
        <v>63</v>
      </c>
      <c r="W788" s="71" t="s">
        <v>63</v>
      </c>
      <c r="X788" s="72" t="s">
        <v>63</v>
      </c>
      <c r="Y788" s="53">
        <v>28.0</v>
      </c>
      <c r="Z788" s="69" t="s">
        <v>63</v>
      </c>
      <c r="AA788" s="73"/>
      <c r="AB788" s="73"/>
      <c r="AC788" s="73"/>
      <c r="AD788" s="73"/>
      <c r="AE788" s="73"/>
      <c r="AF788" s="73"/>
      <c r="AG788" s="73"/>
      <c r="AH788" s="73"/>
      <c r="AI788" s="73"/>
      <c r="AJ788" s="73"/>
      <c r="AK788" s="73"/>
    </row>
    <row r="789">
      <c r="A789" s="28">
        <v>788.0</v>
      </c>
      <c r="B789" s="29"/>
      <c r="C789" s="29"/>
      <c r="D789" s="40">
        <v>1.0</v>
      </c>
      <c r="E789" s="31">
        <v>18.0</v>
      </c>
      <c r="F789" s="42">
        <v>149.0</v>
      </c>
      <c r="G789" s="29" t="str">
        <f t="shared" si="1"/>
        <v>18149</v>
      </c>
      <c r="H789" s="37" t="s">
        <v>856</v>
      </c>
      <c r="I789" s="37" t="s">
        <v>49</v>
      </c>
      <c r="J789" s="37" t="s">
        <v>430</v>
      </c>
      <c r="K789" s="37" t="str">
        <f t="shared" si="15"/>
        <v>Starke, IN</v>
      </c>
      <c r="L789" s="37">
        <v>28.0</v>
      </c>
      <c r="M789" s="37" t="s">
        <v>63</v>
      </c>
      <c r="N789" s="37">
        <v>6.0</v>
      </c>
      <c r="O789" s="37">
        <v>20.0</v>
      </c>
      <c r="P789" s="37" t="s">
        <v>63</v>
      </c>
      <c r="Q789" s="37" t="s">
        <v>63</v>
      </c>
      <c r="R789" s="37" t="s">
        <v>63</v>
      </c>
      <c r="S789" s="37" t="s">
        <v>63</v>
      </c>
      <c r="T789" s="69" t="s">
        <v>63</v>
      </c>
      <c r="U789" s="70">
        <v>5.0</v>
      </c>
      <c r="V789" s="37" t="s">
        <v>63</v>
      </c>
      <c r="W789" s="71" t="s">
        <v>63</v>
      </c>
      <c r="X789" s="72" t="s">
        <v>63</v>
      </c>
      <c r="Y789" s="53">
        <v>28.0</v>
      </c>
      <c r="Z789" s="69" t="s">
        <v>63</v>
      </c>
      <c r="AA789" s="73"/>
      <c r="AB789" s="73"/>
      <c r="AC789" s="73"/>
      <c r="AD789" s="73"/>
      <c r="AE789" s="73"/>
      <c r="AF789" s="73"/>
      <c r="AG789" s="73"/>
      <c r="AH789" s="73"/>
      <c r="AI789" s="73"/>
      <c r="AJ789" s="73"/>
      <c r="AK789" s="73"/>
    </row>
    <row r="790">
      <c r="A790" s="28">
        <v>789.0</v>
      </c>
      <c r="B790" s="29"/>
      <c r="C790" s="29"/>
      <c r="D790" s="40">
        <v>1.0</v>
      </c>
      <c r="E790" s="31">
        <v>18.0</v>
      </c>
      <c r="F790" s="42">
        <v>151.0</v>
      </c>
      <c r="G790" s="29" t="str">
        <f t="shared" si="1"/>
        <v>18151</v>
      </c>
      <c r="H790" s="37" t="s">
        <v>859</v>
      </c>
      <c r="I790" s="37" t="s">
        <v>49</v>
      </c>
      <c r="J790" s="37" t="s">
        <v>430</v>
      </c>
      <c r="K790" s="37" t="str">
        <f t="shared" si="15"/>
        <v>Steuben, IN</v>
      </c>
      <c r="L790" s="37">
        <v>24.0</v>
      </c>
      <c r="M790" s="37" t="s">
        <v>63</v>
      </c>
      <c r="N790" s="37">
        <v>3.0</v>
      </c>
      <c r="O790" s="37">
        <v>18.0</v>
      </c>
      <c r="P790" s="37" t="s">
        <v>63</v>
      </c>
      <c r="Q790" s="37" t="s">
        <v>63</v>
      </c>
      <c r="R790" s="37" t="s">
        <v>63</v>
      </c>
      <c r="S790" s="37" t="s">
        <v>63</v>
      </c>
      <c r="T790" s="69" t="s">
        <v>63</v>
      </c>
      <c r="U790" s="70">
        <v>30.0</v>
      </c>
      <c r="V790" s="37" t="s">
        <v>63</v>
      </c>
      <c r="W790" s="71" t="s">
        <v>63</v>
      </c>
      <c r="X790" s="72" t="s">
        <v>63</v>
      </c>
      <c r="Y790" s="53">
        <v>39.0</v>
      </c>
      <c r="Z790" s="69" t="s">
        <v>63</v>
      </c>
      <c r="AA790" s="73"/>
      <c r="AB790" s="73"/>
      <c r="AC790" s="73"/>
      <c r="AD790" s="73"/>
      <c r="AE790" s="73"/>
      <c r="AF790" s="73"/>
      <c r="AG790" s="73"/>
      <c r="AH790" s="73"/>
      <c r="AI790" s="73"/>
      <c r="AJ790" s="73"/>
      <c r="AK790" s="73"/>
    </row>
    <row r="791">
      <c r="A791" s="28">
        <v>790.0</v>
      </c>
      <c r="B791" s="29"/>
      <c r="C791" s="29"/>
      <c r="D791" s="40">
        <v>1.0</v>
      </c>
      <c r="E791" s="31">
        <v>18.0</v>
      </c>
      <c r="F791" s="42">
        <v>153.0</v>
      </c>
      <c r="G791" s="29" t="str">
        <f t="shared" si="1"/>
        <v>18153</v>
      </c>
      <c r="H791" s="37" t="s">
        <v>860</v>
      </c>
      <c r="I791" s="37" t="s">
        <v>49</v>
      </c>
      <c r="J791" s="37" t="s">
        <v>430</v>
      </c>
      <c r="K791" s="37" t="str">
        <f t="shared" si="15"/>
        <v>Sullivan, IN</v>
      </c>
      <c r="L791" s="37">
        <v>43.0</v>
      </c>
      <c r="M791" s="37" t="s">
        <v>63</v>
      </c>
      <c r="N791" s="37">
        <v>13.0</v>
      </c>
      <c r="O791" s="37">
        <v>26.0</v>
      </c>
      <c r="P791" s="37" t="s">
        <v>63</v>
      </c>
      <c r="Q791" s="37" t="s">
        <v>63</v>
      </c>
      <c r="R791" s="37" t="s">
        <v>63</v>
      </c>
      <c r="S791" s="37" t="s">
        <v>63</v>
      </c>
      <c r="T791" s="69" t="s">
        <v>63</v>
      </c>
      <c r="U791" s="70">
        <v>14.0</v>
      </c>
      <c r="V791" s="37" t="s">
        <v>63</v>
      </c>
      <c r="W791" s="71" t="s">
        <v>63</v>
      </c>
      <c r="X791" s="72" t="s">
        <v>63</v>
      </c>
      <c r="Y791" s="53">
        <v>32.0</v>
      </c>
      <c r="Z791" s="69" t="s">
        <v>63</v>
      </c>
      <c r="AA791" s="73"/>
      <c r="AB791" s="73"/>
      <c r="AC791" s="73"/>
      <c r="AD791" s="73"/>
      <c r="AE791" s="73"/>
      <c r="AF791" s="73"/>
      <c r="AG791" s="73"/>
      <c r="AH791" s="73"/>
      <c r="AI791" s="73"/>
      <c r="AJ791" s="73"/>
      <c r="AK791" s="73"/>
    </row>
    <row r="792">
      <c r="A792" s="28">
        <v>791.0</v>
      </c>
      <c r="B792" s="29"/>
      <c r="C792" s="29"/>
      <c r="D792" s="40">
        <v>1.0</v>
      </c>
      <c r="E792" s="31">
        <v>18.0</v>
      </c>
      <c r="F792" s="42">
        <v>155.0</v>
      </c>
      <c r="G792" s="29" t="str">
        <f t="shared" si="1"/>
        <v>18155</v>
      </c>
      <c r="H792" s="37" t="s">
        <v>862</v>
      </c>
      <c r="I792" s="37" t="s">
        <v>49</v>
      </c>
      <c r="J792" s="37" t="s">
        <v>430</v>
      </c>
      <c r="K792" s="37" t="str">
        <f t="shared" si="15"/>
        <v>Switzerland, IN</v>
      </c>
      <c r="L792" s="37">
        <v>12.0</v>
      </c>
      <c r="M792" s="37" t="s">
        <v>63</v>
      </c>
      <c r="N792" s="37">
        <v>1.0</v>
      </c>
      <c r="O792" s="37">
        <v>11.0</v>
      </c>
      <c r="P792" s="37" t="s">
        <v>63</v>
      </c>
      <c r="Q792" s="37" t="s">
        <v>63</v>
      </c>
      <c r="R792" s="37" t="s">
        <v>63</v>
      </c>
      <c r="S792" s="37" t="s">
        <v>63</v>
      </c>
      <c r="T792" s="69" t="s">
        <v>63</v>
      </c>
      <c r="U792" s="70">
        <v>7.0</v>
      </c>
      <c r="V792" s="37" t="s">
        <v>63</v>
      </c>
      <c r="W792" s="71" t="s">
        <v>63</v>
      </c>
      <c r="X792" s="72" t="s">
        <v>63</v>
      </c>
      <c r="Y792" s="53">
        <v>10.0</v>
      </c>
      <c r="Z792" s="69" t="s">
        <v>63</v>
      </c>
      <c r="AA792" s="73"/>
      <c r="AB792" s="73"/>
      <c r="AC792" s="73"/>
      <c r="AD792" s="73"/>
      <c r="AE792" s="73"/>
      <c r="AF792" s="73"/>
      <c r="AG792" s="73"/>
      <c r="AH792" s="73"/>
      <c r="AI792" s="73"/>
      <c r="AJ792" s="73"/>
      <c r="AK792" s="73"/>
    </row>
    <row r="793">
      <c r="A793" s="28">
        <v>792.0</v>
      </c>
      <c r="B793" s="29"/>
      <c r="C793" s="29"/>
      <c r="D793" s="40">
        <v>1.0</v>
      </c>
      <c r="E793" s="31">
        <v>18.0</v>
      </c>
      <c r="F793" s="42">
        <v>157.0</v>
      </c>
      <c r="G793" s="29" t="str">
        <f t="shared" si="1"/>
        <v>18157</v>
      </c>
      <c r="H793" s="37" t="s">
        <v>864</v>
      </c>
      <c r="I793" s="37" t="s">
        <v>49</v>
      </c>
      <c r="J793" s="37" t="s">
        <v>430</v>
      </c>
      <c r="K793" s="37" t="str">
        <f t="shared" si="15"/>
        <v>Tippecanoe, IN</v>
      </c>
      <c r="L793" s="37">
        <v>152.0</v>
      </c>
      <c r="M793" s="37" t="s">
        <v>63</v>
      </c>
      <c r="N793" s="37">
        <v>77.0</v>
      </c>
      <c r="O793" s="37">
        <v>62.0</v>
      </c>
      <c r="P793" s="37" t="s">
        <v>63</v>
      </c>
      <c r="Q793" s="37" t="s">
        <v>63</v>
      </c>
      <c r="R793" s="37" t="s">
        <v>63</v>
      </c>
      <c r="S793" s="37" t="s">
        <v>63</v>
      </c>
      <c r="T793" s="69" t="s">
        <v>63</v>
      </c>
      <c r="U793" s="70">
        <v>48.0</v>
      </c>
      <c r="V793" s="37" t="s">
        <v>63</v>
      </c>
      <c r="W793" s="71" t="s">
        <v>63</v>
      </c>
      <c r="X793" s="72" t="s">
        <v>63</v>
      </c>
      <c r="Y793" s="53">
        <v>110.0</v>
      </c>
      <c r="Z793" s="69" t="s">
        <v>63</v>
      </c>
      <c r="AA793" s="73"/>
      <c r="AB793" s="73"/>
      <c r="AC793" s="73"/>
      <c r="AD793" s="73"/>
      <c r="AE793" s="73"/>
      <c r="AF793" s="73"/>
      <c r="AG793" s="73"/>
      <c r="AH793" s="73"/>
      <c r="AI793" s="73"/>
      <c r="AJ793" s="73"/>
      <c r="AK793" s="73"/>
    </row>
    <row r="794">
      <c r="A794" s="28">
        <v>793.0</v>
      </c>
      <c r="B794" s="29"/>
      <c r="C794" s="29"/>
      <c r="D794" s="40">
        <v>1.0</v>
      </c>
      <c r="E794" s="31">
        <v>18.0</v>
      </c>
      <c r="F794" s="42">
        <v>159.0</v>
      </c>
      <c r="G794" s="29" t="str">
        <f t="shared" si="1"/>
        <v>18159</v>
      </c>
      <c r="H794" s="37" t="s">
        <v>865</v>
      </c>
      <c r="I794" s="37" t="s">
        <v>49</v>
      </c>
      <c r="J794" s="37" t="s">
        <v>430</v>
      </c>
      <c r="K794" s="37" t="str">
        <f t="shared" si="15"/>
        <v>Tipton, IN</v>
      </c>
      <c r="L794" s="37">
        <v>18.0</v>
      </c>
      <c r="M794" s="37" t="s">
        <v>63</v>
      </c>
      <c r="N794" s="37">
        <v>6.0</v>
      </c>
      <c r="O794" s="37">
        <v>11.0</v>
      </c>
      <c r="P794" s="37" t="s">
        <v>63</v>
      </c>
      <c r="Q794" s="37" t="s">
        <v>63</v>
      </c>
      <c r="R794" s="37" t="s">
        <v>63</v>
      </c>
      <c r="S794" s="37" t="s">
        <v>63</v>
      </c>
      <c r="T794" s="69" t="s">
        <v>63</v>
      </c>
      <c r="U794" s="70">
        <v>15.0</v>
      </c>
      <c r="V794" s="37" t="s">
        <v>63</v>
      </c>
      <c r="W794" s="71" t="s">
        <v>63</v>
      </c>
      <c r="X794" s="72" t="s">
        <v>63</v>
      </c>
      <c r="Y794" s="53">
        <v>23.0</v>
      </c>
      <c r="Z794" s="69" t="s">
        <v>63</v>
      </c>
      <c r="AA794" s="73"/>
      <c r="AB794" s="73"/>
      <c r="AC794" s="73"/>
      <c r="AD794" s="73"/>
      <c r="AE794" s="73"/>
      <c r="AF794" s="73"/>
      <c r="AG794" s="73"/>
      <c r="AH794" s="73"/>
      <c r="AI794" s="73"/>
      <c r="AJ794" s="73"/>
      <c r="AK794" s="73"/>
    </row>
    <row r="795">
      <c r="A795" s="28">
        <v>794.0</v>
      </c>
      <c r="B795" s="29"/>
      <c r="C795" s="29"/>
      <c r="D795" s="40">
        <v>1.0</v>
      </c>
      <c r="E795" s="31">
        <v>18.0</v>
      </c>
      <c r="F795" s="42">
        <v>161.0</v>
      </c>
      <c r="G795" s="29" t="str">
        <f t="shared" si="1"/>
        <v>18161</v>
      </c>
      <c r="H795" s="37" t="s">
        <v>316</v>
      </c>
      <c r="I795" s="37" t="s">
        <v>49</v>
      </c>
      <c r="J795" s="37" t="s">
        <v>430</v>
      </c>
      <c r="K795" s="37" t="str">
        <f t="shared" si="15"/>
        <v>Union, IN</v>
      </c>
      <c r="L795" s="37">
        <v>2.0</v>
      </c>
      <c r="M795" s="37" t="s">
        <v>63</v>
      </c>
      <c r="N795" s="37">
        <v>0.0</v>
      </c>
      <c r="O795" s="37">
        <v>2.0</v>
      </c>
      <c r="P795" s="37" t="s">
        <v>63</v>
      </c>
      <c r="Q795" s="37" t="s">
        <v>63</v>
      </c>
      <c r="R795" s="37" t="s">
        <v>63</v>
      </c>
      <c r="S795" s="37" t="s">
        <v>63</v>
      </c>
      <c r="T795" s="69" t="s">
        <v>63</v>
      </c>
      <c r="U795" s="70">
        <v>2.0</v>
      </c>
      <c r="V795" s="37" t="s">
        <v>63</v>
      </c>
      <c r="W795" s="71" t="s">
        <v>63</v>
      </c>
      <c r="X795" s="72" t="s">
        <v>63</v>
      </c>
      <c r="Y795" s="53">
        <v>5.0</v>
      </c>
      <c r="Z795" s="69" t="s">
        <v>63</v>
      </c>
      <c r="AA795" s="73"/>
      <c r="AB795" s="73"/>
      <c r="AC795" s="73"/>
      <c r="AD795" s="73"/>
      <c r="AE795" s="73"/>
      <c r="AF795" s="73"/>
      <c r="AG795" s="73"/>
      <c r="AH795" s="73"/>
      <c r="AI795" s="73"/>
      <c r="AJ795" s="73"/>
      <c r="AK795" s="73"/>
    </row>
    <row r="796">
      <c r="A796" s="28">
        <v>795.0</v>
      </c>
      <c r="B796" s="29"/>
      <c r="C796" s="29"/>
      <c r="D796" s="40">
        <v>1.0</v>
      </c>
      <c r="E796" s="31">
        <v>18.0</v>
      </c>
      <c r="F796" s="42">
        <v>163.0</v>
      </c>
      <c r="G796" s="29" t="str">
        <f t="shared" si="1"/>
        <v>18163</v>
      </c>
      <c r="H796" s="37" t="s">
        <v>866</v>
      </c>
      <c r="I796" s="37" t="s">
        <v>49</v>
      </c>
      <c r="J796" s="37" t="s">
        <v>430</v>
      </c>
      <c r="K796" s="37" t="str">
        <f t="shared" si="15"/>
        <v>Vanderburgh, IN</v>
      </c>
      <c r="L796" s="37">
        <v>435.0</v>
      </c>
      <c r="M796" s="37" t="s">
        <v>63</v>
      </c>
      <c r="N796" s="37">
        <v>134.0</v>
      </c>
      <c r="O796" s="37">
        <v>271.0</v>
      </c>
      <c r="P796" s="37" t="s">
        <v>63</v>
      </c>
      <c r="Q796" s="37" t="s">
        <v>63</v>
      </c>
      <c r="R796" s="37" t="s">
        <v>63</v>
      </c>
      <c r="S796" s="37" t="s">
        <v>63</v>
      </c>
      <c r="T796" s="69" t="s">
        <v>63</v>
      </c>
      <c r="U796" s="70">
        <v>290.0</v>
      </c>
      <c r="V796" s="37" t="s">
        <v>63</v>
      </c>
      <c r="W796" s="71" t="s">
        <v>63</v>
      </c>
      <c r="X796" s="72" t="s">
        <v>63</v>
      </c>
      <c r="Y796" s="53">
        <v>168.0</v>
      </c>
      <c r="Z796" s="69" t="s">
        <v>63</v>
      </c>
      <c r="AA796" s="73"/>
      <c r="AB796" s="73"/>
      <c r="AC796" s="73"/>
      <c r="AD796" s="73"/>
      <c r="AE796" s="73"/>
      <c r="AF796" s="73"/>
      <c r="AG796" s="73"/>
      <c r="AH796" s="73"/>
      <c r="AI796" s="73"/>
      <c r="AJ796" s="73"/>
      <c r="AK796" s="73"/>
    </row>
    <row r="797">
      <c r="A797" s="28">
        <v>796.0</v>
      </c>
      <c r="B797" s="29"/>
      <c r="C797" s="29"/>
      <c r="D797" s="40">
        <v>1.0</v>
      </c>
      <c r="E797" s="31">
        <v>18.0</v>
      </c>
      <c r="F797" s="42">
        <v>165.0</v>
      </c>
      <c r="G797" s="29" t="str">
        <f t="shared" si="1"/>
        <v>18165</v>
      </c>
      <c r="H797" s="37" t="s">
        <v>868</v>
      </c>
      <c r="I797" s="37" t="s">
        <v>49</v>
      </c>
      <c r="J797" s="37" t="s">
        <v>430</v>
      </c>
      <c r="K797" s="37" t="str">
        <f t="shared" si="15"/>
        <v>Vermillion, IN</v>
      </c>
      <c r="L797" s="37">
        <v>22.0</v>
      </c>
      <c r="M797" s="37" t="s">
        <v>63</v>
      </c>
      <c r="N797" s="37">
        <v>10.0</v>
      </c>
      <c r="O797" s="37">
        <v>9.0</v>
      </c>
      <c r="P797" s="37" t="s">
        <v>63</v>
      </c>
      <c r="Q797" s="37" t="s">
        <v>63</v>
      </c>
      <c r="R797" s="37" t="s">
        <v>63</v>
      </c>
      <c r="S797" s="37" t="s">
        <v>63</v>
      </c>
      <c r="T797" s="69" t="s">
        <v>63</v>
      </c>
      <c r="U797" s="70">
        <v>9.0</v>
      </c>
      <c r="V797" s="37" t="s">
        <v>63</v>
      </c>
      <c r="W797" s="71" t="s">
        <v>63</v>
      </c>
      <c r="X797" s="72" t="s">
        <v>63</v>
      </c>
      <c r="Y797" s="53">
        <v>15.0</v>
      </c>
      <c r="Z797" s="69" t="s">
        <v>63</v>
      </c>
      <c r="AA797" s="73"/>
      <c r="AB797" s="73"/>
      <c r="AC797" s="73"/>
      <c r="AD797" s="73"/>
      <c r="AE797" s="73"/>
      <c r="AF797" s="73"/>
      <c r="AG797" s="73"/>
      <c r="AH797" s="73"/>
      <c r="AI797" s="73"/>
      <c r="AJ797" s="73"/>
      <c r="AK797" s="73"/>
    </row>
    <row r="798">
      <c r="A798" s="28">
        <v>797.0</v>
      </c>
      <c r="B798" s="29"/>
      <c r="C798" s="29"/>
      <c r="D798" s="40">
        <v>1.0</v>
      </c>
      <c r="E798" s="31">
        <v>18.0</v>
      </c>
      <c r="F798" s="42">
        <v>167.0</v>
      </c>
      <c r="G798" s="29" t="str">
        <f t="shared" si="1"/>
        <v>18167</v>
      </c>
      <c r="H798" s="37" t="s">
        <v>870</v>
      </c>
      <c r="I798" s="37" t="s">
        <v>49</v>
      </c>
      <c r="J798" s="37" t="s">
        <v>430</v>
      </c>
      <c r="K798" s="37" t="str">
        <f t="shared" si="15"/>
        <v>Vigo, IN</v>
      </c>
      <c r="L798" s="37">
        <v>333.0</v>
      </c>
      <c r="M798" s="37" t="s">
        <v>63</v>
      </c>
      <c r="N798" s="37">
        <v>149.0</v>
      </c>
      <c r="O798" s="37">
        <v>174.0</v>
      </c>
      <c r="P798" s="37" t="s">
        <v>63</v>
      </c>
      <c r="Q798" s="37" t="s">
        <v>63</v>
      </c>
      <c r="R798" s="37" t="s">
        <v>63</v>
      </c>
      <c r="S798" s="37" t="s">
        <v>63</v>
      </c>
      <c r="T798" s="69" t="s">
        <v>63</v>
      </c>
      <c r="U798" s="70">
        <v>157.0</v>
      </c>
      <c r="V798" s="37" t="s">
        <v>63</v>
      </c>
      <c r="W798" s="71" t="s">
        <v>63</v>
      </c>
      <c r="X798" s="72" t="s">
        <v>63</v>
      </c>
      <c r="Y798" s="53">
        <v>99.0</v>
      </c>
      <c r="Z798" s="69" t="s">
        <v>63</v>
      </c>
      <c r="AA798" s="73"/>
      <c r="AB798" s="73"/>
      <c r="AC798" s="73"/>
      <c r="AD798" s="73"/>
      <c r="AE798" s="73"/>
      <c r="AF798" s="73"/>
      <c r="AG798" s="73"/>
      <c r="AH798" s="73"/>
      <c r="AI798" s="73"/>
      <c r="AJ798" s="73"/>
      <c r="AK798" s="73"/>
    </row>
    <row r="799">
      <c r="A799" s="28">
        <v>798.0</v>
      </c>
      <c r="B799" s="29"/>
      <c r="C799" s="29"/>
      <c r="D799" s="40">
        <v>1.0</v>
      </c>
      <c r="E799" s="31">
        <v>18.0</v>
      </c>
      <c r="F799" s="42">
        <v>169.0</v>
      </c>
      <c r="G799" s="29" t="str">
        <f t="shared" si="1"/>
        <v>18169</v>
      </c>
      <c r="H799" s="37" t="s">
        <v>751</v>
      </c>
      <c r="I799" s="37" t="s">
        <v>49</v>
      </c>
      <c r="J799" s="37" t="s">
        <v>430</v>
      </c>
      <c r="K799" s="37" t="str">
        <f t="shared" si="15"/>
        <v>Wabash, IN</v>
      </c>
      <c r="L799" s="37">
        <v>12.0</v>
      </c>
      <c r="M799" s="37" t="s">
        <v>63</v>
      </c>
      <c r="N799" s="37">
        <v>6.0</v>
      </c>
      <c r="O799" s="37">
        <v>6.0</v>
      </c>
      <c r="P799" s="37" t="s">
        <v>63</v>
      </c>
      <c r="Q799" s="37" t="s">
        <v>63</v>
      </c>
      <c r="R799" s="37" t="s">
        <v>63</v>
      </c>
      <c r="S799" s="37" t="s">
        <v>63</v>
      </c>
      <c r="T799" s="69" t="s">
        <v>63</v>
      </c>
      <c r="U799" s="70">
        <v>3.0</v>
      </c>
      <c r="V799" s="37" t="s">
        <v>63</v>
      </c>
      <c r="W799" s="71" t="s">
        <v>63</v>
      </c>
      <c r="X799" s="72" t="s">
        <v>63</v>
      </c>
      <c r="Y799" s="53">
        <v>52.0</v>
      </c>
      <c r="Z799" s="69" t="s">
        <v>63</v>
      </c>
      <c r="AA799" s="73"/>
      <c r="AB799" s="73"/>
      <c r="AC799" s="73"/>
      <c r="AD799" s="73"/>
      <c r="AE799" s="73"/>
      <c r="AF799" s="73"/>
      <c r="AG799" s="73"/>
      <c r="AH799" s="73"/>
      <c r="AI799" s="73"/>
      <c r="AJ799" s="73"/>
      <c r="AK799" s="73"/>
    </row>
    <row r="800">
      <c r="A800" s="28">
        <v>799.0</v>
      </c>
      <c r="B800" s="29"/>
      <c r="C800" s="29"/>
      <c r="D800" s="40">
        <v>1.0</v>
      </c>
      <c r="E800" s="31">
        <v>18.0</v>
      </c>
      <c r="F800" s="42">
        <v>171.0</v>
      </c>
      <c r="G800" s="29" t="str">
        <f t="shared" si="1"/>
        <v>18171</v>
      </c>
      <c r="H800" s="37" t="s">
        <v>647</v>
      </c>
      <c r="I800" s="37" t="s">
        <v>49</v>
      </c>
      <c r="J800" s="37" t="s">
        <v>430</v>
      </c>
      <c r="K800" s="37" t="str">
        <f t="shared" si="15"/>
        <v>Warren, IN</v>
      </c>
      <c r="L800" s="37">
        <v>6.0</v>
      </c>
      <c r="M800" s="37" t="s">
        <v>63</v>
      </c>
      <c r="N800" s="37">
        <v>3.0</v>
      </c>
      <c r="O800" s="37">
        <v>3.0</v>
      </c>
      <c r="P800" s="37" t="s">
        <v>63</v>
      </c>
      <c r="Q800" s="37" t="s">
        <v>63</v>
      </c>
      <c r="R800" s="37" t="s">
        <v>63</v>
      </c>
      <c r="S800" s="37" t="s">
        <v>63</v>
      </c>
      <c r="T800" s="69" t="s">
        <v>63</v>
      </c>
      <c r="U800" s="70">
        <v>0.0</v>
      </c>
      <c r="V800" s="37" t="s">
        <v>63</v>
      </c>
      <c r="W800" s="71" t="s">
        <v>63</v>
      </c>
      <c r="X800" s="72" t="s">
        <v>63</v>
      </c>
      <c r="Y800" s="53">
        <v>14.0</v>
      </c>
      <c r="Z800" s="69" t="s">
        <v>63</v>
      </c>
      <c r="AA800" s="73"/>
      <c r="AB800" s="73"/>
      <c r="AC800" s="73"/>
      <c r="AD800" s="73"/>
      <c r="AE800" s="73"/>
      <c r="AF800" s="73"/>
      <c r="AG800" s="73"/>
      <c r="AH800" s="73"/>
      <c r="AI800" s="73"/>
      <c r="AJ800" s="73"/>
      <c r="AK800" s="73"/>
    </row>
    <row r="801">
      <c r="A801" s="28">
        <v>800.0</v>
      </c>
      <c r="B801" s="29"/>
      <c r="C801" s="29"/>
      <c r="D801" s="40">
        <v>1.0</v>
      </c>
      <c r="E801" s="31">
        <v>18.0</v>
      </c>
      <c r="F801" s="42">
        <v>173.0</v>
      </c>
      <c r="G801" s="29" t="str">
        <f t="shared" si="1"/>
        <v>18173</v>
      </c>
      <c r="H801" s="37" t="s">
        <v>872</v>
      </c>
      <c r="I801" s="37" t="s">
        <v>49</v>
      </c>
      <c r="J801" s="37" t="s">
        <v>430</v>
      </c>
      <c r="K801" s="37" t="str">
        <f t="shared" si="15"/>
        <v>Warrick, IN</v>
      </c>
      <c r="L801" s="37">
        <v>53.0</v>
      </c>
      <c r="M801" s="37" t="s">
        <v>63</v>
      </c>
      <c r="N801" s="37">
        <v>13.0</v>
      </c>
      <c r="O801" s="37">
        <v>37.0</v>
      </c>
      <c r="P801" s="37" t="s">
        <v>63</v>
      </c>
      <c r="Q801" s="37" t="s">
        <v>63</v>
      </c>
      <c r="R801" s="37" t="s">
        <v>63</v>
      </c>
      <c r="S801" s="37" t="s">
        <v>63</v>
      </c>
      <c r="T801" s="69" t="s">
        <v>63</v>
      </c>
      <c r="U801" s="70">
        <v>61.0</v>
      </c>
      <c r="V801" s="37" t="s">
        <v>63</v>
      </c>
      <c r="W801" s="71" t="s">
        <v>63</v>
      </c>
      <c r="X801" s="72" t="s">
        <v>63</v>
      </c>
      <c r="Y801" s="53">
        <v>53.0</v>
      </c>
      <c r="Z801" s="69" t="s">
        <v>63</v>
      </c>
      <c r="AA801" s="73"/>
      <c r="AB801" s="73"/>
      <c r="AC801" s="73"/>
      <c r="AD801" s="73"/>
      <c r="AE801" s="73"/>
      <c r="AF801" s="73"/>
      <c r="AG801" s="73"/>
      <c r="AH801" s="73"/>
      <c r="AI801" s="73"/>
      <c r="AJ801" s="73"/>
      <c r="AK801" s="73"/>
    </row>
    <row r="802">
      <c r="A802" s="28">
        <v>801.0</v>
      </c>
      <c r="B802" s="29"/>
      <c r="C802" s="29"/>
      <c r="D802" s="40">
        <v>1.0</v>
      </c>
      <c r="E802" s="31">
        <v>18.0</v>
      </c>
      <c r="F802" s="42">
        <v>175.0</v>
      </c>
      <c r="G802" s="29" t="str">
        <f t="shared" si="1"/>
        <v>18175</v>
      </c>
      <c r="H802" s="37" t="s">
        <v>119</v>
      </c>
      <c r="I802" s="37" t="s">
        <v>49</v>
      </c>
      <c r="J802" s="37" t="s">
        <v>430</v>
      </c>
      <c r="K802" s="37" t="str">
        <f t="shared" si="15"/>
        <v>Washington, IN</v>
      </c>
      <c r="L802" s="37">
        <v>22.0</v>
      </c>
      <c r="M802" s="37" t="s">
        <v>63</v>
      </c>
      <c r="N802" s="37">
        <v>7.0</v>
      </c>
      <c r="O802" s="37">
        <v>13.0</v>
      </c>
      <c r="P802" s="37" t="s">
        <v>63</v>
      </c>
      <c r="Q802" s="37" t="s">
        <v>63</v>
      </c>
      <c r="R802" s="37" t="s">
        <v>63</v>
      </c>
      <c r="S802" s="37" t="s">
        <v>63</v>
      </c>
      <c r="T802" s="69" t="s">
        <v>63</v>
      </c>
      <c r="U802" s="70">
        <v>2.0</v>
      </c>
      <c r="V802" s="37" t="s">
        <v>63</v>
      </c>
      <c r="W802" s="71" t="s">
        <v>63</v>
      </c>
      <c r="X802" s="72" t="s">
        <v>63</v>
      </c>
      <c r="Y802" s="53">
        <v>39.0</v>
      </c>
      <c r="Z802" s="69" t="s">
        <v>63</v>
      </c>
      <c r="AA802" s="73"/>
      <c r="AB802" s="73"/>
      <c r="AC802" s="73"/>
      <c r="AD802" s="73"/>
      <c r="AE802" s="73"/>
      <c r="AF802" s="73"/>
      <c r="AG802" s="73"/>
      <c r="AH802" s="73"/>
      <c r="AI802" s="73"/>
      <c r="AJ802" s="73"/>
      <c r="AK802" s="73"/>
    </row>
    <row r="803">
      <c r="A803" s="28">
        <v>802.0</v>
      </c>
      <c r="B803" s="29"/>
      <c r="C803" s="29"/>
      <c r="D803" s="40">
        <v>1.0</v>
      </c>
      <c r="E803" s="31">
        <v>18.0</v>
      </c>
      <c r="F803" s="42">
        <v>177.0</v>
      </c>
      <c r="G803" s="29" t="str">
        <f t="shared" si="1"/>
        <v>18177</v>
      </c>
      <c r="H803" s="37" t="s">
        <v>273</v>
      </c>
      <c r="I803" s="37" t="s">
        <v>49</v>
      </c>
      <c r="J803" s="37" t="s">
        <v>430</v>
      </c>
      <c r="K803" s="37" t="str">
        <f t="shared" si="15"/>
        <v>Wayne, IN</v>
      </c>
      <c r="L803" s="37">
        <v>139.0</v>
      </c>
      <c r="M803" s="37" t="s">
        <v>63</v>
      </c>
      <c r="N803" s="37">
        <v>55.0</v>
      </c>
      <c r="O803" s="37">
        <v>83.0</v>
      </c>
      <c r="P803" s="37" t="s">
        <v>63</v>
      </c>
      <c r="Q803" s="37" t="s">
        <v>63</v>
      </c>
      <c r="R803" s="37" t="s">
        <v>63</v>
      </c>
      <c r="S803" s="37" t="s">
        <v>63</v>
      </c>
      <c r="T803" s="69" t="s">
        <v>63</v>
      </c>
      <c r="U803" s="70">
        <v>10.0</v>
      </c>
      <c r="V803" s="37" t="s">
        <v>63</v>
      </c>
      <c r="W803" s="71" t="s">
        <v>63</v>
      </c>
      <c r="X803" s="72" t="s">
        <v>63</v>
      </c>
      <c r="Y803" s="53">
        <v>80.0</v>
      </c>
      <c r="Z803" s="69" t="s">
        <v>63</v>
      </c>
      <c r="AA803" s="73"/>
      <c r="AB803" s="73"/>
      <c r="AC803" s="73"/>
      <c r="AD803" s="73"/>
      <c r="AE803" s="73"/>
      <c r="AF803" s="73"/>
      <c r="AG803" s="73"/>
      <c r="AH803" s="73"/>
      <c r="AI803" s="73"/>
      <c r="AJ803" s="73"/>
      <c r="AK803" s="73"/>
    </row>
    <row r="804">
      <c r="A804" s="28">
        <v>803.0</v>
      </c>
      <c r="B804" s="29"/>
      <c r="C804" s="29"/>
      <c r="D804" s="40">
        <v>1.0</v>
      </c>
      <c r="E804" s="31">
        <v>18.0</v>
      </c>
      <c r="F804" s="42">
        <v>179.0</v>
      </c>
      <c r="G804" s="29" t="str">
        <f t="shared" si="1"/>
        <v>18179</v>
      </c>
      <c r="H804" s="37" t="s">
        <v>876</v>
      </c>
      <c r="I804" s="37" t="s">
        <v>49</v>
      </c>
      <c r="J804" s="37" t="s">
        <v>430</v>
      </c>
      <c r="K804" s="37" t="str">
        <f t="shared" si="15"/>
        <v>Wells, IN</v>
      </c>
      <c r="L804" s="37">
        <v>24.0</v>
      </c>
      <c r="M804" s="37" t="s">
        <v>63</v>
      </c>
      <c r="N804" s="37">
        <v>9.0</v>
      </c>
      <c r="O804" s="37">
        <v>11.0</v>
      </c>
      <c r="P804" s="37" t="s">
        <v>63</v>
      </c>
      <c r="Q804" s="37" t="s">
        <v>63</v>
      </c>
      <c r="R804" s="37" t="s">
        <v>63</v>
      </c>
      <c r="S804" s="37" t="s">
        <v>63</v>
      </c>
      <c r="T804" s="69" t="s">
        <v>63</v>
      </c>
      <c r="U804" s="70">
        <v>22.0</v>
      </c>
      <c r="V804" s="37" t="s">
        <v>63</v>
      </c>
      <c r="W804" s="71" t="s">
        <v>63</v>
      </c>
      <c r="X804" s="72" t="s">
        <v>63</v>
      </c>
      <c r="Y804" s="53">
        <v>45.0</v>
      </c>
      <c r="Z804" s="69" t="s">
        <v>63</v>
      </c>
      <c r="AA804" s="73"/>
      <c r="AB804" s="73"/>
      <c r="AC804" s="73"/>
      <c r="AD804" s="73"/>
      <c r="AE804" s="73"/>
      <c r="AF804" s="73"/>
      <c r="AG804" s="73"/>
      <c r="AH804" s="73"/>
      <c r="AI804" s="73"/>
      <c r="AJ804" s="73"/>
      <c r="AK804" s="73"/>
    </row>
    <row r="805">
      <c r="A805" s="28">
        <v>804.0</v>
      </c>
      <c r="B805" s="29"/>
      <c r="C805" s="29"/>
      <c r="D805" s="40">
        <v>1.0</v>
      </c>
      <c r="E805" s="31">
        <v>18.0</v>
      </c>
      <c r="F805" s="42">
        <v>181.0</v>
      </c>
      <c r="G805" s="29" t="str">
        <f t="shared" si="1"/>
        <v>18181</v>
      </c>
      <c r="H805" s="37" t="s">
        <v>66</v>
      </c>
      <c r="I805" s="37" t="s">
        <v>49</v>
      </c>
      <c r="J805" s="37" t="s">
        <v>430</v>
      </c>
      <c r="K805" s="37" t="str">
        <f t="shared" si="15"/>
        <v>White, IN</v>
      </c>
      <c r="L805" s="37">
        <v>28.0</v>
      </c>
      <c r="M805" s="37" t="s">
        <v>63</v>
      </c>
      <c r="N805" s="37">
        <v>11.0</v>
      </c>
      <c r="O805" s="37">
        <v>17.0</v>
      </c>
      <c r="P805" s="37" t="s">
        <v>63</v>
      </c>
      <c r="Q805" s="37" t="s">
        <v>63</v>
      </c>
      <c r="R805" s="37" t="s">
        <v>63</v>
      </c>
      <c r="S805" s="37" t="s">
        <v>63</v>
      </c>
      <c r="T805" s="69" t="s">
        <v>63</v>
      </c>
      <c r="U805" s="70">
        <v>13.0</v>
      </c>
      <c r="V805" s="37" t="s">
        <v>63</v>
      </c>
      <c r="W805" s="71" t="s">
        <v>63</v>
      </c>
      <c r="X805" s="72" t="s">
        <v>63</v>
      </c>
      <c r="Y805" s="53">
        <v>36.0</v>
      </c>
      <c r="Z805" s="69" t="s">
        <v>63</v>
      </c>
      <c r="AA805" s="73"/>
      <c r="AB805" s="73"/>
      <c r="AC805" s="73"/>
      <c r="AD805" s="73"/>
      <c r="AE805" s="73"/>
      <c r="AF805" s="73"/>
      <c r="AG805" s="73"/>
      <c r="AH805" s="73"/>
      <c r="AI805" s="73"/>
      <c r="AJ805" s="73"/>
      <c r="AK805" s="73"/>
    </row>
    <row r="806">
      <c r="A806" s="28">
        <v>805.0</v>
      </c>
      <c r="B806" s="29"/>
      <c r="C806" s="29"/>
      <c r="D806" s="40">
        <v>1.0</v>
      </c>
      <c r="E806" s="31">
        <v>18.0</v>
      </c>
      <c r="F806" s="42">
        <v>183.0</v>
      </c>
      <c r="G806" s="29" t="str">
        <f t="shared" si="1"/>
        <v>18183</v>
      </c>
      <c r="H806" s="37" t="s">
        <v>879</v>
      </c>
      <c r="I806" s="37" t="s">
        <v>49</v>
      </c>
      <c r="J806" s="37" t="s">
        <v>430</v>
      </c>
      <c r="K806" s="37" t="str">
        <f t="shared" si="15"/>
        <v>Whitley, IN</v>
      </c>
      <c r="L806" s="37">
        <v>50.0</v>
      </c>
      <c r="M806" s="37" t="s">
        <v>63</v>
      </c>
      <c r="N806" s="37">
        <v>18.0</v>
      </c>
      <c r="O806" s="37">
        <v>29.0</v>
      </c>
      <c r="P806" s="37" t="s">
        <v>63</v>
      </c>
      <c r="Q806" s="37" t="s">
        <v>63</v>
      </c>
      <c r="R806" s="37" t="s">
        <v>63</v>
      </c>
      <c r="S806" s="37" t="s">
        <v>63</v>
      </c>
      <c r="T806" s="69" t="s">
        <v>63</v>
      </c>
      <c r="U806" s="70">
        <v>24.0</v>
      </c>
      <c r="V806" s="37" t="s">
        <v>63</v>
      </c>
      <c r="W806" s="71" t="s">
        <v>63</v>
      </c>
      <c r="X806" s="72" t="s">
        <v>63</v>
      </c>
      <c r="Y806" s="53">
        <v>38.0</v>
      </c>
      <c r="Z806" s="69" t="s">
        <v>63</v>
      </c>
      <c r="AA806" s="73"/>
      <c r="AB806" s="73"/>
      <c r="AC806" s="73"/>
      <c r="AD806" s="73"/>
      <c r="AE806" s="73"/>
      <c r="AF806" s="73"/>
      <c r="AG806" s="73"/>
      <c r="AH806" s="73"/>
      <c r="AI806" s="73"/>
      <c r="AJ806" s="73"/>
      <c r="AK806" s="73"/>
    </row>
    <row r="807">
      <c r="A807" s="99">
        <v>806.0</v>
      </c>
      <c r="B807" s="15"/>
      <c r="C807" s="14" t="s">
        <v>25</v>
      </c>
      <c r="D807" s="16"/>
      <c r="E807" s="102">
        <v>19.0</v>
      </c>
      <c r="F807" s="107">
        <v>0.0</v>
      </c>
      <c r="G807" s="15" t="str">
        <f t="shared" si="1"/>
        <v>19000</v>
      </c>
      <c r="H807" s="23"/>
      <c r="I807" s="23" t="s">
        <v>50</v>
      </c>
      <c r="J807" s="23" t="s">
        <v>881</v>
      </c>
      <c r="K807" s="23"/>
      <c r="L807" s="123">
        <f t="array" ref="L807:Z807">Iowa!C103:Q103</f>
        <v>4009</v>
      </c>
      <c r="M807" s="23" t="s">
        <v>63</v>
      </c>
      <c r="N807" s="35">
        <v>1088.0</v>
      </c>
      <c r="O807" s="35">
        <v>2096.0</v>
      </c>
      <c r="P807" s="23" t="s">
        <v>63</v>
      </c>
      <c r="Q807" s="123">
        <v>2041.0</v>
      </c>
      <c r="R807" s="123">
        <v>765.0</v>
      </c>
      <c r="S807" s="123" t="s">
        <v>63</v>
      </c>
      <c r="T807" s="32" t="s">
        <v>63</v>
      </c>
      <c r="U807" s="123" t="s">
        <v>63</v>
      </c>
      <c r="V807" s="35" t="s">
        <v>63</v>
      </c>
      <c r="W807" s="127" t="s">
        <v>63</v>
      </c>
      <c r="X807" s="123" t="s">
        <v>63</v>
      </c>
      <c r="Y807" s="35">
        <v>3796.0</v>
      </c>
      <c r="Z807" s="32" t="s">
        <v>63</v>
      </c>
      <c r="AA807" s="38"/>
      <c r="AB807" s="38"/>
      <c r="AC807" s="38"/>
      <c r="AD807" s="38"/>
      <c r="AE807" s="38"/>
      <c r="AF807" s="38"/>
      <c r="AG807" s="38"/>
      <c r="AH807" s="38"/>
      <c r="AI807" s="38"/>
      <c r="AJ807" s="38"/>
      <c r="AK807" s="38"/>
    </row>
    <row r="808">
      <c r="A808" s="99">
        <v>807.0</v>
      </c>
      <c r="B808" s="15"/>
      <c r="C808" s="15"/>
      <c r="D808" s="105">
        <v>1.0</v>
      </c>
      <c r="E808" s="102">
        <v>19.0</v>
      </c>
      <c r="F808" s="107">
        <v>1.0</v>
      </c>
      <c r="G808" s="15" t="str">
        <f t="shared" si="1"/>
        <v>19001</v>
      </c>
      <c r="H808" s="23" t="s">
        <v>882</v>
      </c>
      <c r="I808" s="23" t="s">
        <v>50</v>
      </c>
      <c r="J808" s="23" t="s">
        <v>881</v>
      </c>
      <c r="K808" s="23" t="str">
        <f t="shared" ref="K808:K906" si="16">CONCATENATE(H808,", ",J808)</f>
        <v>Adair, IA</v>
      </c>
      <c r="L808" s="23">
        <f t="array" ref="L808:Z906">Iowa!C3:Q101</f>
        <v>22</v>
      </c>
      <c r="M808" s="23" t="s">
        <v>63</v>
      </c>
      <c r="N808" s="23">
        <v>5.0</v>
      </c>
      <c r="O808" s="23">
        <v>10.0</v>
      </c>
      <c r="P808" s="23" t="s">
        <v>63</v>
      </c>
      <c r="Q808" s="23" t="s">
        <v>63</v>
      </c>
      <c r="R808" s="314" t="s">
        <v>956</v>
      </c>
      <c r="S808" s="23" t="s">
        <v>63</v>
      </c>
      <c r="T808" s="32">
        <v>0.28205128205128205</v>
      </c>
      <c r="U808" s="123" t="s">
        <v>63</v>
      </c>
      <c r="V808" s="23" t="s">
        <v>63</v>
      </c>
      <c r="W808" s="127" t="s">
        <v>63</v>
      </c>
      <c r="X808" s="125" t="s">
        <v>63</v>
      </c>
      <c r="Y808" s="35">
        <v>11.0</v>
      </c>
      <c r="Z808" s="32" t="s">
        <v>63</v>
      </c>
      <c r="AA808" s="38"/>
      <c r="AB808" s="38"/>
      <c r="AC808" s="38"/>
      <c r="AD808" s="38"/>
      <c r="AE808" s="38"/>
      <c r="AF808" s="38"/>
      <c r="AG808" s="38"/>
      <c r="AH808" s="38"/>
      <c r="AI808" s="38"/>
      <c r="AJ808" s="38"/>
      <c r="AK808" s="38"/>
    </row>
    <row r="809">
      <c r="A809" s="99">
        <v>808.0</v>
      </c>
      <c r="B809" s="15"/>
      <c r="C809" s="15"/>
      <c r="D809" s="105">
        <v>1.0</v>
      </c>
      <c r="E809" s="102">
        <v>19.0</v>
      </c>
      <c r="F809" s="107">
        <v>3.0</v>
      </c>
      <c r="G809" s="15" t="str">
        <f t="shared" si="1"/>
        <v>19003</v>
      </c>
      <c r="H809" s="23" t="s">
        <v>386</v>
      </c>
      <c r="I809" s="23" t="s">
        <v>50</v>
      </c>
      <c r="J809" s="23" t="s">
        <v>881</v>
      </c>
      <c r="K809" s="23" t="str">
        <f t="shared" si="16"/>
        <v>Adams, IA</v>
      </c>
      <c r="L809" s="23">
        <v>3.0</v>
      </c>
      <c r="M809" s="23" t="s">
        <v>63</v>
      </c>
      <c r="N809" s="23">
        <v>1.0</v>
      </c>
      <c r="O809" s="23">
        <v>2.0</v>
      </c>
      <c r="P809" s="23" t="s">
        <v>63</v>
      </c>
      <c r="Q809" s="23" t="s">
        <v>956</v>
      </c>
      <c r="R809" s="314" t="s">
        <v>956</v>
      </c>
      <c r="S809" s="23" t="s">
        <v>63</v>
      </c>
      <c r="T809" s="32" t="s">
        <v>63</v>
      </c>
      <c r="U809" s="123" t="s">
        <v>63</v>
      </c>
      <c r="V809" s="23" t="s">
        <v>63</v>
      </c>
      <c r="W809" s="127" t="s">
        <v>63</v>
      </c>
      <c r="X809" s="125" t="s">
        <v>63</v>
      </c>
      <c r="Y809" s="35">
        <v>7.0</v>
      </c>
      <c r="Z809" s="32" t="s">
        <v>63</v>
      </c>
      <c r="AA809" s="38"/>
      <c r="AB809" s="38"/>
      <c r="AC809" s="38"/>
      <c r="AD809" s="38"/>
      <c r="AE809" s="38"/>
      <c r="AF809" s="38"/>
      <c r="AG809" s="38"/>
      <c r="AH809" s="38"/>
      <c r="AI809" s="38"/>
      <c r="AJ809" s="38"/>
      <c r="AK809" s="38"/>
    </row>
    <row r="810">
      <c r="A810" s="99">
        <v>809.0</v>
      </c>
      <c r="B810" s="15"/>
      <c r="C810" s="15"/>
      <c r="D810" s="105">
        <v>1.0</v>
      </c>
      <c r="E810" s="102">
        <v>19.0</v>
      </c>
      <c r="F810" s="107">
        <v>5.0</v>
      </c>
      <c r="G810" s="15" t="str">
        <f t="shared" si="1"/>
        <v>19005</v>
      </c>
      <c r="H810" s="23" t="s">
        <v>886</v>
      </c>
      <c r="I810" s="23" t="s">
        <v>50</v>
      </c>
      <c r="J810" s="23" t="s">
        <v>881</v>
      </c>
      <c r="K810" s="23" t="str">
        <f t="shared" si="16"/>
        <v>Allamakee, IA</v>
      </c>
      <c r="L810" s="23">
        <v>7.0</v>
      </c>
      <c r="M810" s="23" t="s">
        <v>63</v>
      </c>
      <c r="N810" s="23">
        <v>2.0</v>
      </c>
      <c r="O810" s="23">
        <v>1.0</v>
      </c>
      <c r="P810" s="23" t="s">
        <v>63</v>
      </c>
      <c r="Q810" s="23">
        <v>7.0</v>
      </c>
      <c r="R810" s="314" t="s">
        <v>63</v>
      </c>
      <c r="S810" s="23" t="s">
        <v>63</v>
      </c>
      <c r="T810" s="32" t="s">
        <v>63</v>
      </c>
      <c r="U810" s="123" t="s">
        <v>63</v>
      </c>
      <c r="V810" s="23" t="s">
        <v>63</v>
      </c>
      <c r="W810" s="127" t="s">
        <v>63</v>
      </c>
      <c r="X810" s="125" t="s">
        <v>63</v>
      </c>
      <c r="Y810" s="35">
        <v>26.0</v>
      </c>
      <c r="Z810" s="32" t="s">
        <v>63</v>
      </c>
      <c r="AA810" s="38"/>
      <c r="AB810" s="38"/>
      <c r="AC810" s="38"/>
      <c r="AD810" s="38"/>
      <c r="AE810" s="38"/>
      <c r="AF810" s="38"/>
      <c r="AG810" s="38"/>
      <c r="AH810" s="38"/>
      <c r="AI810" s="38"/>
      <c r="AJ810" s="38"/>
      <c r="AK810" s="38"/>
    </row>
    <row r="811">
      <c r="A811" s="99">
        <v>810.0</v>
      </c>
      <c r="B811" s="15"/>
      <c r="C811" s="15"/>
      <c r="D811" s="105">
        <v>1.0</v>
      </c>
      <c r="E811" s="102">
        <v>19.0</v>
      </c>
      <c r="F811" s="107">
        <v>7.0</v>
      </c>
      <c r="G811" s="15" t="str">
        <f t="shared" si="1"/>
        <v>19007</v>
      </c>
      <c r="H811" s="23" t="s">
        <v>887</v>
      </c>
      <c r="I811" s="23" t="s">
        <v>50</v>
      </c>
      <c r="J811" s="23" t="s">
        <v>881</v>
      </c>
      <c r="K811" s="23" t="str">
        <f t="shared" si="16"/>
        <v>Appanoose, IA</v>
      </c>
      <c r="L811" s="23">
        <v>21.0</v>
      </c>
      <c r="M811" s="23" t="s">
        <v>63</v>
      </c>
      <c r="N811" s="23">
        <v>8.0</v>
      </c>
      <c r="O811" s="23">
        <v>10.0</v>
      </c>
      <c r="P811" s="23" t="s">
        <v>63</v>
      </c>
      <c r="Q811" s="23">
        <v>12.0</v>
      </c>
      <c r="R811" s="314" t="s">
        <v>956</v>
      </c>
      <c r="S811" s="23" t="s">
        <v>63</v>
      </c>
      <c r="T811" s="32">
        <v>0.23809523809523808</v>
      </c>
      <c r="U811" s="123" t="s">
        <v>63</v>
      </c>
      <c r="V811" s="23" t="s">
        <v>63</v>
      </c>
      <c r="W811" s="127" t="s">
        <v>63</v>
      </c>
      <c r="X811" s="125" t="s">
        <v>63</v>
      </c>
      <c r="Y811" s="35">
        <v>25.0</v>
      </c>
      <c r="Z811" s="32" t="s">
        <v>63</v>
      </c>
      <c r="AA811" s="38"/>
      <c r="AB811" s="38"/>
      <c r="AC811" s="38"/>
      <c r="AD811" s="38"/>
      <c r="AE811" s="38"/>
      <c r="AF811" s="38"/>
      <c r="AG811" s="38"/>
      <c r="AH811" s="38"/>
      <c r="AI811" s="38"/>
      <c r="AJ811" s="38"/>
      <c r="AK811" s="38"/>
    </row>
    <row r="812">
      <c r="A812" s="99">
        <v>811.0</v>
      </c>
      <c r="B812" s="15"/>
      <c r="C812" s="15"/>
      <c r="D812" s="105">
        <v>1.0</v>
      </c>
      <c r="E812" s="102">
        <v>19.0</v>
      </c>
      <c r="F812" s="107">
        <v>9.0</v>
      </c>
      <c r="G812" s="15" t="str">
        <f t="shared" si="1"/>
        <v>19009</v>
      </c>
      <c r="H812" s="23" t="s">
        <v>888</v>
      </c>
      <c r="I812" s="23" t="s">
        <v>50</v>
      </c>
      <c r="J812" s="23" t="s">
        <v>881</v>
      </c>
      <c r="K812" s="23" t="str">
        <f t="shared" si="16"/>
        <v>Audubon, IA</v>
      </c>
      <c r="L812" s="23">
        <v>21.0</v>
      </c>
      <c r="M812" s="23" t="s">
        <v>63</v>
      </c>
      <c r="N812" s="23">
        <v>2.0</v>
      </c>
      <c r="O812" s="23">
        <v>19.0</v>
      </c>
      <c r="P812" s="23" t="s">
        <v>63</v>
      </c>
      <c r="Q812" s="23" t="s">
        <v>956</v>
      </c>
      <c r="R812" s="314" t="s">
        <v>63</v>
      </c>
      <c r="S812" s="23" t="s">
        <v>63</v>
      </c>
      <c r="T812" s="32">
        <v>0.35294117647058826</v>
      </c>
      <c r="U812" s="123" t="s">
        <v>63</v>
      </c>
      <c r="V812" s="23" t="s">
        <v>63</v>
      </c>
      <c r="W812" s="127" t="s">
        <v>63</v>
      </c>
      <c r="X812" s="125" t="s">
        <v>63</v>
      </c>
      <c r="Y812" s="35">
        <v>14.0</v>
      </c>
      <c r="Z812" s="32" t="s">
        <v>63</v>
      </c>
      <c r="AA812" s="38"/>
      <c r="AB812" s="38"/>
      <c r="AC812" s="38"/>
      <c r="AD812" s="38"/>
      <c r="AE812" s="38"/>
      <c r="AF812" s="38"/>
      <c r="AG812" s="38"/>
      <c r="AH812" s="38"/>
      <c r="AI812" s="38"/>
      <c r="AJ812" s="38"/>
      <c r="AK812" s="38"/>
    </row>
    <row r="813">
      <c r="A813" s="99">
        <v>812.0</v>
      </c>
      <c r="B813" s="15"/>
      <c r="C813" s="15"/>
      <c r="D813" s="105">
        <v>1.0</v>
      </c>
      <c r="E813" s="102">
        <v>19.0</v>
      </c>
      <c r="F813" s="107">
        <v>11.0</v>
      </c>
      <c r="G813" s="15" t="str">
        <f t="shared" si="1"/>
        <v>19011</v>
      </c>
      <c r="H813" s="23" t="s">
        <v>243</v>
      </c>
      <c r="I813" s="23" t="s">
        <v>50</v>
      </c>
      <c r="J813" s="23" t="s">
        <v>881</v>
      </c>
      <c r="K813" s="23" t="str">
        <f t="shared" si="16"/>
        <v>Benton, IA</v>
      </c>
      <c r="L813" s="23">
        <v>37.0</v>
      </c>
      <c r="M813" s="23" t="s">
        <v>63</v>
      </c>
      <c r="N813" s="23">
        <v>5.0</v>
      </c>
      <c r="O813" s="23">
        <v>19.0</v>
      </c>
      <c r="P813" s="23" t="s">
        <v>63</v>
      </c>
      <c r="Q813" s="23">
        <v>24.0</v>
      </c>
      <c r="R813" s="314" t="s">
        <v>956</v>
      </c>
      <c r="S813" s="23" t="s">
        <v>63</v>
      </c>
      <c r="T813" s="32">
        <v>0.18518518518518517</v>
      </c>
      <c r="U813" s="123" t="s">
        <v>63</v>
      </c>
      <c r="V813" s="23" t="s">
        <v>63</v>
      </c>
      <c r="W813" s="127" t="s">
        <v>63</v>
      </c>
      <c r="X813" s="125" t="s">
        <v>63</v>
      </c>
      <c r="Y813" s="35">
        <v>43.0</v>
      </c>
      <c r="Z813" s="32" t="s">
        <v>63</v>
      </c>
      <c r="AA813" s="38"/>
      <c r="AB813" s="38"/>
      <c r="AC813" s="38"/>
      <c r="AD813" s="38"/>
      <c r="AE813" s="38"/>
      <c r="AF813" s="38"/>
      <c r="AG813" s="38"/>
      <c r="AH813" s="38"/>
      <c r="AI813" s="38"/>
      <c r="AJ813" s="38"/>
      <c r="AK813" s="38"/>
    </row>
    <row r="814">
      <c r="A814" s="99">
        <v>813.0</v>
      </c>
      <c r="B814" s="15"/>
      <c r="C814" s="15"/>
      <c r="D814" s="105">
        <v>1.0</v>
      </c>
      <c r="E814" s="102">
        <v>19.0</v>
      </c>
      <c r="F814" s="107">
        <v>13.0</v>
      </c>
      <c r="G814" s="15" t="str">
        <f t="shared" si="1"/>
        <v>19013</v>
      </c>
      <c r="H814" s="23" t="s">
        <v>890</v>
      </c>
      <c r="I814" s="23" t="s">
        <v>50</v>
      </c>
      <c r="J814" s="23" t="s">
        <v>881</v>
      </c>
      <c r="K814" s="23" t="str">
        <f t="shared" si="16"/>
        <v>Black Hawk, IA</v>
      </c>
      <c r="L814" s="23">
        <v>113.0</v>
      </c>
      <c r="M814" s="23" t="s">
        <v>63</v>
      </c>
      <c r="N814" s="23">
        <v>42.0</v>
      </c>
      <c r="O814" s="23">
        <v>46.0</v>
      </c>
      <c r="P814" s="23" t="s">
        <v>63</v>
      </c>
      <c r="Q814" s="23">
        <v>95.0</v>
      </c>
      <c r="R814" s="314">
        <v>14.0</v>
      </c>
      <c r="S814" s="23" t="s">
        <v>63</v>
      </c>
      <c r="T814" s="32">
        <v>0.13445378151260504</v>
      </c>
      <c r="U814" s="123" t="s">
        <v>63</v>
      </c>
      <c r="V814" s="23" t="s">
        <v>63</v>
      </c>
      <c r="W814" s="127" t="s">
        <v>63</v>
      </c>
      <c r="X814" s="125" t="s">
        <v>63</v>
      </c>
      <c r="Y814" s="35">
        <v>129.0</v>
      </c>
      <c r="Z814" s="32" t="s">
        <v>63</v>
      </c>
      <c r="AA814" s="38"/>
      <c r="AB814" s="38"/>
      <c r="AC814" s="38"/>
      <c r="AD814" s="38"/>
      <c r="AE814" s="38"/>
      <c r="AF814" s="38"/>
      <c r="AG814" s="38"/>
      <c r="AH814" s="38"/>
      <c r="AI814" s="38"/>
      <c r="AJ814" s="38"/>
      <c r="AK814" s="38"/>
    </row>
    <row r="815">
      <c r="A815" s="99">
        <v>814.0</v>
      </c>
      <c r="B815" s="15"/>
      <c r="C815" s="15"/>
      <c r="D815" s="105">
        <v>1.0</v>
      </c>
      <c r="E815" s="102">
        <v>19.0</v>
      </c>
      <c r="F815" s="107">
        <v>15.0</v>
      </c>
      <c r="G815" s="15" t="str">
        <f t="shared" si="1"/>
        <v>19015</v>
      </c>
      <c r="H815" s="23" t="s">
        <v>246</v>
      </c>
      <c r="I815" s="23" t="s">
        <v>50</v>
      </c>
      <c r="J815" s="23" t="s">
        <v>881</v>
      </c>
      <c r="K815" s="23" t="str">
        <f t="shared" si="16"/>
        <v>Boone, IA</v>
      </c>
      <c r="L815" s="23">
        <v>28.0</v>
      </c>
      <c r="M815" s="23" t="s">
        <v>63</v>
      </c>
      <c r="N815" s="23">
        <v>8.0</v>
      </c>
      <c r="O815" s="23">
        <v>13.0</v>
      </c>
      <c r="P815" s="23" t="s">
        <v>63</v>
      </c>
      <c r="Q815" s="23">
        <v>15.0</v>
      </c>
      <c r="R815" s="314" t="s">
        <v>956</v>
      </c>
      <c r="S815" s="23" t="s">
        <v>63</v>
      </c>
      <c r="T815" s="32">
        <v>0.08571428571428572</v>
      </c>
      <c r="U815" s="123" t="s">
        <v>63</v>
      </c>
      <c r="V815" s="23" t="s">
        <v>63</v>
      </c>
      <c r="W815" s="127" t="s">
        <v>63</v>
      </c>
      <c r="X815" s="125" t="s">
        <v>63</v>
      </c>
      <c r="Y815" s="35">
        <v>39.0</v>
      </c>
      <c r="Z815" s="32" t="s">
        <v>63</v>
      </c>
      <c r="AA815" s="38"/>
      <c r="AB815" s="38"/>
      <c r="AC815" s="38"/>
      <c r="AD815" s="38"/>
      <c r="AE815" s="38"/>
      <c r="AF815" s="38"/>
      <c r="AG815" s="38"/>
      <c r="AH815" s="38"/>
      <c r="AI815" s="38"/>
      <c r="AJ815" s="38"/>
      <c r="AK815" s="38"/>
    </row>
    <row r="816">
      <c r="A816" s="99">
        <v>815.0</v>
      </c>
      <c r="B816" s="15"/>
      <c r="C816" s="15"/>
      <c r="D816" s="105">
        <v>1.0</v>
      </c>
      <c r="E816" s="102">
        <v>19.0</v>
      </c>
      <c r="F816" s="107">
        <v>17.0</v>
      </c>
      <c r="G816" s="15" t="str">
        <f t="shared" si="1"/>
        <v>19017</v>
      </c>
      <c r="H816" s="23" t="s">
        <v>891</v>
      </c>
      <c r="I816" s="23" t="s">
        <v>50</v>
      </c>
      <c r="J816" s="23" t="s">
        <v>881</v>
      </c>
      <c r="K816" s="23" t="str">
        <f t="shared" si="16"/>
        <v>Bremer, IA</v>
      </c>
      <c r="L816" s="23">
        <v>25.0</v>
      </c>
      <c r="M816" s="23" t="s">
        <v>63</v>
      </c>
      <c r="N816" s="23">
        <v>5.0</v>
      </c>
      <c r="O816" s="23">
        <v>17.0</v>
      </c>
      <c r="P816" s="23" t="s">
        <v>63</v>
      </c>
      <c r="Q816" s="23">
        <v>19.0</v>
      </c>
      <c r="R816" s="314" t="s">
        <v>956</v>
      </c>
      <c r="S816" s="23" t="s">
        <v>63</v>
      </c>
      <c r="T816" s="32">
        <v>0.29411764705882354</v>
      </c>
      <c r="U816" s="123" t="s">
        <v>63</v>
      </c>
      <c r="V816" s="23" t="s">
        <v>63</v>
      </c>
      <c r="W816" s="127" t="s">
        <v>63</v>
      </c>
      <c r="X816" s="125" t="s">
        <v>63</v>
      </c>
      <c r="Y816" s="35">
        <v>40.0</v>
      </c>
      <c r="Z816" s="32" t="s">
        <v>63</v>
      </c>
      <c r="AA816" s="38"/>
      <c r="AB816" s="38"/>
      <c r="AC816" s="38"/>
      <c r="AD816" s="38"/>
      <c r="AE816" s="38"/>
      <c r="AF816" s="38"/>
      <c r="AG816" s="38"/>
      <c r="AH816" s="38"/>
      <c r="AI816" s="38"/>
      <c r="AJ816" s="38"/>
      <c r="AK816" s="38"/>
    </row>
    <row r="817">
      <c r="A817" s="99">
        <v>816.0</v>
      </c>
      <c r="B817" s="15"/>
      <c r="C817" s="15"/>
      <c r="D817" s="105">
        <v>1.0</v>
      </c>
      <c r="E817" s="102">
        <v>19.0</v>
      </c>
      <c r="F817" s="107">
        <v>19.0</v>
      </c>
      <c r="G817" s="15" t="str">
        <f t="shared" si="1"/>
        <v>19019</v>
      </c>
      <c r="H817" s="23" t="s">
        <v>892</v>
      </c>
      <c r="I817" s="23" t="s">
        <v>50</v>
      </c>
      <c r="J817" s="23" t="s">
        <v>881</v>
      </c>
      <c r="K817" s="23" t="str">
        <f t="shared" si="16"/>
        <v>Buchanan, IA</v>
      </c>
      <c r="L817" s="23">
        <v>15.0</v>
      </c>
      <c r="M817" s="23" t="s">
        <v>63</v>
      </c>
      <c r="N817" s="23">
        <v>5.0</v>
      </c>
      <c r="O817" s="23">
        <v>8.0</v>
      </c>
      <c r="P817" s="23" t="s">
        <v>63</v>
      </c>
      <c r="Q817" s="23">
        <v>9.0</v>
      </c>
      <c r="R817" s="314" t="s">
        <v>956</v>
      </c>
      <c r="S817" s="23" t="s">
        <v>63</v>
      </c>
      <c r="T817" s="32">
        <v>0.21428571428571427</v>
      </c>
      <c r="U817" s="123" t="s">
        <v>63</v>
      </c>
      <c r="V817" s="23" t="s">
        <v>63</v>
      </c>
      <c r="W817" s="127" t="s">
        <v>63</v>
      </c>
      <c r="X817" s="125" t="s">
        <v>63</v>
      </c>
      <c r="Y817" s="35">
        <v>32.0</v>
      </c>
      <c r="Z817" s="32" t="s">
        <v>63</v>
      </c>
      <c r="AA817" s="38"/>
      <c r="AB817" s="38"/>
      <c r="AC817" s="38"/>
      <c r="AD817" s="38"/>
      <c r="AE817" s="38"/>
      <c r="AF817" s="38"/>
      <c r="AG817" s="38"/>
      <c r="AH817" s="38"/>
      <c r="AI817" s="38"/>
      <c r="AJ817" s="38"/>
      <c r="AK817" s="38"/>
    </row>
    <row r="818">
      <c r="A818" s="99">
        <v>817.0</v>
      </c>
      <c r="B818" s="15"/>
      <c r="C818" s="15"/>
      <c r="D818" s="105">
        <v>1.0</v>
      </c>
      <c r="E818" s="102">
        <v>19.0</v>
      </c>
      <c r="F818" s="107">
        <v>21.0</v>
      </c>
      <c r="G818" s="15" t="str">
        <f t="shared" si="1"/>
        <v>19021</v>
      </c>
      <c r="H818" s="23" t="s">
        <v>893</v>
      </c>
      <c r="I818" s="23" t="s">
        <v>50</v>
      </c>
      <c r="J818" s="23" t="s">
        <v>881</v>
      </c>
      <c r="K818" s="23" t="str">
        <f t="shared" si="16"/>
        <v>Buena Vista, IA</v>
      </c>
      <c r="L818" s="23">
        <v>28.0</v>
      </c>
      <c r="M818" s="23" t="s">
        <v>63</v>
      </c>
      <c r="N818" s="23">
        <v>12.0</v>
      </c>
      <c r="O818" s="23">
        <v>8.0</v>
      </c>
      <c r="P818" s="23" t="s">
        <v>63</v>
      </c>
      <c r="Q818" s="23">
        <v>21.0</v>
      </c>
      <c r="R818" s="314">
        <v>6.0</v>
      </c>
      <c r="S818" s="23" t="s">
        <v>63</v>
      </c>
      <c r="T818" s="32">
        <v>0.1978021978021978</v>
      </c>
      <c r="U818" s="123" t="s">
        <v>63</v>
      </c>
      <c r="V818" s="23" t="s">
        <v>63</v>
      </c>
      <c r="W818" s="127" t="s">
        <v>63</v>
      </c>
      <c r="X818" s="125" t="s">
        <v>63</v>
      </c>
      <c r="Y818" s="35">
        <v>34.0</v>
      </c>
      <c r="Z818" s="32" t="s">
        <v>63</v>
      </c>
      <c r="AA818" s="38"/>
      <c r="AB818" s="38"/>
      <c r="AC818" s="38"/>
      <c r="AD818" s="38"/>
      <c r="AE818" s="38"/>
      <c r="AF818" s="38"/>
      <c r="AG818" s="38"/>
      <c r="AH818" s="38"/>
      <c r="AI818" s="38"/>
      <c r="AJ818" s="38"/>
      <c r="AK818" s="38"/>
    </row>
    <row r="819">
      <c r="A819" s="99">
        <v>818.0</v>
      </c>
      <c r="B819" s="15"/>
      <c r="C819" s="15"/>
      <c r="D819" s="105">
        <v>1.0</v>
      </c>
      <c r="E819" s="102">
        <v>19.0</v>
      </c>
      <c r="F819" s="107">
        <v>23.0</v>
      </c>
      <c r="G819" s="15" t="str">
        <f t="shared" si="1"/>
        <v>19023</v>
      </c>
      <c r="H819" s="23" t="s">
        <v>87</v>
      </c>
      <c r="I819" s="23" t="s">
        <v>50</v>
      </c>
      <c r="J819" s="23" t="s">
        <v>881</v>
      </c>
      <c r="K819" s="23" t="str">
        <f t="shared" si="16"/>
        <v>Butler, IA</v>
      </c>
      <c r="L819" s="23">
        <v>5.0</v>
      </c>
      <c r="M819" s="23" t="s">
        <v>63</v>
      </c>
      <c r="N819" s="23">
        <v>0.0</v>
      </c>
      <c r="O819" s="23">
        <v>2.0</v>
      </c>
      <c r="P819" s="23" t="s">
        <v>63</v>
      </c>
      <c r="Q819" s="23" t="s">
        <v>956</v>
      </c>
      <c r="R819" s="314" t="s">
        <v>956</v>
      </c>
      <c r="S819" s="23" t="s">
        <v>63</v>
      </c>
      <c r="T819" s="32" t="s">
        <v>63</v>
      </c>
      <c r="U819" s="123" t="s">
        <v>63</v>
      </c>
      <c r="V819" s="23" t="s">
        <v>63</v>
      </c>
      <c r="W819" s="127" t="s">
        <v>63</v>
      </c>
      <c r="X819" s="125" t="s">
        <v>63</v>
      </c>
      <c r="Y819" s="35">
        <v>38.0</v>
      </c>
      <c r="Z819" s="32" t="s">
        <v>63</v>
      </c>
      <c r="AA819" s="38"/>
      <c r="AB819" s="38"/>
      <c r="AC819" s="38"/>
      <c r="AD819" s="38"/>
      <c r="AE819" s="38"/>
      <c r="AF819" s="38"/>
      <c r="AG819" s="38"/>
      <c r="AH819" s="38"/>
      <c r="AI819" s="38"/>
      <c r="AJ819" s="38"/>
      <c r="AK819" s="38"/>
    </row>
    <row r="820">
      <c r="A820" s="99">
        <v>819.0</v>
      </c>
      <c r="B820" s="15"/>
      <c r="C820" s="15"/>
      <c r="D820" s="105">
        <v>1.0</v>
      </c>
      <c r="E820" s="102">
        <v>19.0</v>
      </c>
      <c r="F820" s="107">
        <v>25.0</v>
      </c>
      <c r="G820" s="15" t="str">
        <f t="shared" si="1"/>
        <v>19025</v>
      </c>
      <c r="H820" s="23" t="s">
        <v>93</v>
      </c>
      <c r="I820" s="23" t="s">
        <v>50</v>
      </c>
      <c r="J820" s="23" t="s">
        <v>881</v>
      </c>
      <c r="K820" s="23" t="str">
        <f t="shared" si="16"/>
        <v>Calhoun, IA</v>
      </c>
      <c r="L820" s="23">
        <v>15.0</v>
      </c>
      <c r="M820" s="23" t="s">
        <v>63</v>
      </c>
      <c r="N820" s="23">
        <v>3.0</v>
      </c>
      <c r="O820" s="23">
        <v>6.0</v>
      </c>
      <c r="P820" s="23" t="s">
        <v>63</v>
      </c>
      <c r="Q820" s="23" t="s">
        <v>956</v>
      </c>
      <c r="R820" s="314" t="s">
        <v>63</v>
      </c>
      <c r="S820" s="23" t="s">
        <v>63</v>
      </c>
      <c r="T820" s="32">
        <v>0.13953488372093023</v>
      </c>
      <c r="U820" s="123" t="s">
        <v>63</v>
      </c>
      <c r="V820" s="23" t="s">
        <v>63</v>
      </c>
      <c r="W820" s="127" t="s">
        <v>63</v>
      </c>
      <c r="X820" s="125" t="s">
        <v>63</v>
      </c>
      <c r="Y820" s="35">
        <v>20.0</v>
      </c>
      <c r="Z820" s="32" t="s">
        <v>63</v>
      </c>
      <c r="AA820" s="38"/>
      <c r="AB820" s="38"/>
      <c r="AC820" s="38"/>
      <c r="AD820" s="38"/>
      <c r="AE820" s="38"/>
      <c r="AF820" s="38"/>
      <c r="AG820" s="38"/>
      <c r="AH820" s="38"/>
      <c r="AI820" s="38"/>
      <c r="AJ820" s="38"/>
      <c r="AK820" s="38"/>
    </row>
    <row r="821">
      <c r="A821" s="99">
        <v>820.0</v>
      </c>
      <c r="B821" s="15"/>
      <c r="C821" s="15"/>
      <c r="D821" s="105">
        <v>1.0</v>
      </c>
      <c r="E821" s="102">
        <v>19.0</v>
      </c>
      <c r="F821" s="107">
        <v>27.0</v>
      </c>
      <c r="G821" s="15" t="str">
        <f t="shared" si="1"/>
        <v>19027</v>
      </c>
      <c r="H821" s="23" t="s">
        <v>248</v>
      </c>
      <c r="I821" s="23" t="s">
        <v>50</v>
      </c>
      <c r="J821" s="23" t="s">
        <v>881</v>
      </c>
      <c r="K821" s="23" t="str">
        <f t="shared" si="16"/>
        <v>Carroll, IA</v>
      </c>
      <c r="L821" s="23">
        <v>24.0</v>
      </c>
      <c r="M821" s="23" t="s">
        <v>63</v>
      </c>
      <c r="N821" s="23">
        <v>4.0</v>
      </c>
      <c r="O821" s="23">
        <v>16.0</v>
      </c>
      <c r="P821" s="23" t="s">
        <v>63</v>
      </c>
      <c r="Q821" s="23">
        <v>9.0</v>
      </c>
      <c r="R821" s="314" t="s">
        <v>956</v>
      </c>
      <c r="S821" s="23" t="s">
        <v>63</v>
      </c>
      <c r="T821" s="32">
        <v>0.13793103448275862</v>
      </c>
      <c r="U821" s="123" t="s">
        <v>63</v>
      </c>
      <c r="V821" s="23" t="s">
        <v>63</v>
      </c>
      <c r="W821" s="127" t="s">
        <v>63</v>
      </c>
      <c r="X821" s="125" t="s">
        <v>63</v>
      </c>
      <c r="Y821" s="35">
        <v>39.0</v>
      </c>
      <c r="Z821" s="32" t="s">
        <v>63</v>
      </c>
      <c r="AA821" s="38"/>
      <c r="AB821" s="38"/>
      <c r="AC821" s="38"/>
      <c r="AD821" s="38"/>
      <c r="AE821" s="38"/>
      <c r="AF821" s="38"/>
      <c r="AG821" s="38"/>
      <c r="AH821" s="38"/>
      <c r="AI821" s="38"/>
      <c r="AJ821" s="38"/>
      <c r="AK821" s="38"/>
    </row>
    <row r="822">
      <c r="A822" s="99">
        <v>821.0</v>
      </c>
      <c r="B822" s="15"/>
      <c r="C822" s="15"/>
      <c r="D822" s="105">
        <v>1.0</v>
      </c>
      <c r="E822" s="102">
        <v>19.0</v>
      </c>
      <c r="F822" s="107">
        <v>29.0</v>
      </c>
      <c r="G822" s="15" t="str">
        <f t="shared" si="1"/>
        <v>19029</v>
      </c>
      <c r="H822" s="23" t="s">
        <v>708</v>
      </c>
      <c r="I822" s="23" t="s">
        <v>50</v>
      </c>
      <c r="J822" s="23" t="s">
        <v>881</v>
      </c>
      <c r="K822" s="23" t="str">
        <f t="shared" si="16"/>
        <v>Cass, IA</v>
      </c>
      <c r="L822" s="23">
        <v>21.0</v>
      </c>
      <c r="M822" s="23" t="s">
        <v>63</v>
      </c>
      <c r="N822" s="23">
        <v>4.0</v>
      </c>
      <c r="O822" s="23">
        <v>10.0</v>
      </c>
      <c r="P822" s="23" t="s">
        <v>63</v>
      </c>
      <c r="Q822" s="23" t="s">
        <v>956</v>
      </c>
      <c r="R822" s="314" t="s">
        <v>956</v>
      </c>
      <c r="S822" s="23" t="s">
        <v>63</v>
      </c>
      <c r="T822" s="32" t="s">
        <v>63</v>
      </c>
      <c r="U822" s="123" t="s">
        <v>63</v>
      </c>
      <c r="V822" s="23" t="s">
        <v>63</v>
      </c>
      <c r="W822" s="127" t="s">
        <v>63</v>
      </c>
      <c r="X822" s="125" t="s">
        <v>63</v>
      </c>
      <c r="Y822" s="35">
        <v>29.0</v>
      </c>
      <c r="Z822" s="32" t="s">
        <v>63</v>
      </c>
      <c r="AA822" s="38"/>
      <c r="AB822" s="38"/>
      <c r="AC822" s="38"/>
      <c r="AD822" s="38"/>
      <c r="AE822" s="38"/>
      <c r="AF822" s="38"/>
      <c r="AG822" s="38"/>
      <c r="AH822" s="38"/>
      <c r="AI822" s="38"/>
      <c r="AJ822" s="38"/>
      <c r="AK822" s="38"/>
    </row>
    <row r="823">
      <c r="A823" s="99">
        <v>822.0</v>
      </c>
      <c r="B823" s="15"/>
      <c r="C823" s="15"/>
      <c r="D823" s="105">
        <v>1.0</v>
      </c>
      <c r="E823" s="102">
        <v>19.0</v>
      </c>
      <c r="F823" s="107">
        <v>31.0</v>
      </c>
      <c r="G823" s="15" t="str">
        <f t="shared" si="1"/>
        <v>19031</v>
      </c>
      <c r="H823" s="23" t="s">
        <v>894</v>
      </c>
      <c r="I823" s="23" t="s">
        <v>50</v>
      </c>
      <c r="J823" s="23" t="s">
        <v>881</v>
      </c>
      <c r="K823" s="23" t="str">
        <f t="shared" si="16"/>
        <v>Cedar, IA</v>
      </c>
      <c r="L823" s="23">
        <v>8.0</v>
      </c>
      <c r="M823" s="23" t="s">
        <v>63</v>
      </c>
      <c r="N823" s="23">
        <v>1.0</v>
      </c>
      <c r="O823" s="23">
        <v>5.0</v>
      </c>
      <c r="P823" s="23" t="s">
        <v>63</v>
      </c>
      <c r="Q823" s="23">
        <v>17.0</v>
      </c>
      <c r="R823" s="314" t="s">
        <v>956</v>
      </c>
      <c r="S823" s="23" t="s">
        <v>63</v>
      </c>
      <c r="T823" s="32" t="s">
        <v>63</v>
      </c>
      <c r="U823" s="123" t="s">
        <v>63</v>
      </c>
      <c r="V823" s="23" t="s">
        <v>63</v>
      </c>
      <c r="W823" s="127" t="s">
        <v>63</v>
      </c>
      <c r="X823" s="125" t="s">
        <v>63</v>
      </c>
      <c r="Y823" s="35">
        <v>27.0</v>
      </c>
      <c r="Z823" s="32" t="s">
        <v>63</v>
      </c>
      <c r="AA823" s="38"/>
      <c r="AB823" s="38"/>
      <c r="AC823" s="38"/>
      <c r="AD823" s="38"/>
      <c r="AE823" s="38"/>
      <c r="AF823" s="38"/>
      <c r="AG823" s="38"/>
      <c r="AH823" s="38"/>
      <c r="AI823" s="38"/>
      <c r="AJ823" s="38"/>
      <c r="AK823" s="38"/>
    </row>
    <row r="824">
      <c r="A824" s="99">
        <v>823.0</v>
      </c>
      <c r="B824" s="15"/>
      <c r="C824" s="15"/>
      <c r="D824" s="105">
        <v>1.0</v>
      </c>
      <c r="E824" s="102">
        <v>19.0</v>
      </c>
      <c r="F824" s="107">
        <v>33.0</v>
      </c>
      <c r="G824" s="15" t="str">
        <f t="shared" si="1"/>
        <v>19033</v>
      </c>
      <c r="H824" s="23" t="s">
        <v>895</v>
      </c>
      <c r="I824" s="23" t="s">
        <v>50</v>
      </c>
      <c r="J824" s="23" t="s">
        <v>881</v>
      </c>
      <c r="K824" s="23" t="str">
        <f t="shared" si="16"/>
        <v>Cerro Gordo, IA</v>
      </c>
      <c r="L824" s="23">
        <v>36.0</v>
      </c>
      <c r="M824" s="23" t="s">
        <v>63</v>
      </c>
      <c r="N824" s="23">
        <v>4.0</v>
      </c>
      <c r="O824" s="23">
        <v>17.0</v>
      </c>
      <c r="P824" s="23" t="s">
        <v>63</v>
      </c>
      <c r="Q824" s="23">
        <v>51.0</v>
      </c>
      <c r="R824" s="314">
        <v>10.0</v>
      </c>
      <c r="S824" s="23" t="s">
        <v>63</v>
      </c>
      <c r="T824" s="32">
        <v>0.13157894736842105</v>
      </c>
      <c r="U824" s="123" t="s">
        <v>63</v>
      </c>
      <c r="V824" s="23" t="s">
        <v>63</v>
      </c>
      <c r="W824" s="127" t="s">
        <v>63</v>
      </c>
      <c r="X824" s="125" t="s">
        <v>63</v>
      </c>
      <c r="Y824" s="35">
        <v>58.0</v>
      </c>
      <c r="Z824" s="32" t="s">
        <v>63</v>
      </c>
      <c r="AA824" s="38"/>
      <c r="AB824" s="38"/>
      <c r="AC824" s="38"/>
      <c r="AD824" s="38"/>
      <c r="AE824" s="38"/>
      <c r="AF824" s="38"/>
      <c r="AG824" s="38"/>
      <c r="AH824" s="38"/>
      <c r="AI824" s="38"/>
      <c r="AJ824" s="38"/>
      <c r="AK824" s="38"/>
    </row>
    <row r="825">
      <c r="A825" s="99">
        <v>824.0</v>
      </c>
      <c r="B825" s="15"/>
      <c r="C825" s="15"/>
      <c r="D825" s="105">
        <v>1.0</v>
      </c>
      <c r="E825" s="102">
        <v>19.0</v>
      </c>
      <c r="F825" s="107">
        <v>35.0</v>
      </c>
      <c r="G825" s="15" t="str">
        <f t="shared" si="1"/>
        <v>19035</v>
      </c>
      <c r="H825" s="23" t="s">
        <v>101</v>
      </c>
      <c r="I825" s="23" t="s">
        <v>50</v>
      </c>
      <c r="J825" s="23" t="s">
        <v>881</v>
      </c>
      <c r="K825" s="23" t="str">
        <f t="shared" si="16"/>
        <v>Cherokee, IA</v>
      </c>
      <c r="L825" s="23">
        <v>17.0</v>
      </c>
      <c r="M825" s="23" t="s">
        <v>63</v>
      </c>
      <c r="N825" s="23">
        <v>5.0</v>
      </c>
      <c r="O825" s="23">
        <v>9.0</v>
      </c>
      <c r="P825" s="23" t="s">
        <v>63</v>
      </c>
      <c r="Q825" s="23">
        <v>8.0</v>
      </c>
      <c r="R825" s="314" t="s">
        <v>956</v>
      </c>
      <c r="S825" s="23" t="s">
        <v>63</v>
      </c>
      <c r="T825" s="32">
        <v>0.125</v>
      </c>
      <c r="U825" s="123" t="s">
        <v>63</v>
      </c>
      <c r="V825" s="23" t="s">
        <v>63</v>
      </c>
      <c r="W825" s="127" t="s">
        <v>63</v>
      </c>
      <c r="X825" s="125" t="s">
        <v>63</v>
      </c>
      <c r="Y825" s="35">
        <v>25.0</v>
      </c>
      <c r="Z825" s="32" t="s">
        <v>63</v>
      </c>
      <c r="AA825" s="38"/>
      <c r="AB825" s="38"/>
      <c r="AC825" s="38"/>
      <c r="AD825" s="38"/>
      <c r="AE825" s="38"/>
      <c r="AF825" s="38"/>
      <c r="AG825" s="38"/>
      <c r="AH825" s="38"/>
      <c r="AI825" s="38"/>
      <c r="AJ825" s="38"/>
      <c r="AK825" s="38"/>
    </row>
    <row r="826">
      <c r="A826" s="99">
        <v>825.0</v>
      </c>
      <c r="B826" s="15"/>
      <c r="C826" s="15"/>
      <c r="D826" s="105">
        <v>1.0</v>
      </c>
      <c r="E826" s="102">
        <v>19.0</v>
      </c>
      <c r="F826" s="107">
        <v>37.0</v>
      </c>
      <c r="G826" s="15" t="str">
        <f t="shared" si="1"/>
        <v>19037</v>
      </c>
      <c r="H826" s="23" t="s">
        <v>896</v>
      </c>
      <c r="I826" s="23" t="s">
        <v>50</v>
      </c>
      <c r="J826" s="23" t="s">
        <v>881</v>
      </c>
      <c r="K826" s="23" t="str">
        <f t="shared" si="16"/>
        <v>Chickasaw, IA</v>
      </c>
      <c r="L826" s="23">
        <v>13.0</v>
      </c>
      <c r="M826" s="23" t="s">
        <v>63</v>
      </c>
      <c r="N826" s="23">
        <v>2.0</v>
      </c>
      <c r="O826" s="23">
        <v>7.0</v>
      </c>
      <c r="P826" s="23" t="s">
        <v>63</v>
      </c>
      <c r="Q826" s="23">
        <v>10.0</v>
      </c>
      <c r="R826" s="314" t="s">
        <v>63</v>
      </c>
      <c r="S826" s="23" t="s">
        <v>63</v>
      </c>
      <c r="T826" s="32" t="s">
        <v>63</v>
      </c>
      <c r="U826" s="123" t="s">
        <v>63</v>
      </c>
      <c r="V826" s="23" t="s">
        <v>63</v>
      </c>
      <c r="W826" s="127" t="s">
        <v>63</v>
      </c>
      <c r="X826" s="125" t="s">
        <v>63</v>
      </c>
      <c r="Y826" s="35">
        <v>19.0</v>
      </c>
      <c r="Z826" s="32" t="s">
        <v>63</v>
      </c>
      <c r="AA826" s="38"/>
      <c r="AB826" s="38"/>
      <c r="AC826" s="38"/>
      <c r="AD826" s="38"/>
      <c r="AE826" s="38"/>
      <c r="AF826" s="38"/>
      <c r="AG826" s="38"/>
      <c r="AH826" s="38"/>
      <c r="AI826" s="38"/>
      <c r="AJ826" s="38"/>
      <c r="AK826" s="38"/>
    </row>
    <row r="827">
      <c r="A827" s="99">
        <v>826.0</v>
      </c>
      <c r="B827" s="15"/>
      <c r="C827" s="15"/>
      <c r="D827" s="105">
        <v>1.0</v>
      </c>
      <c r="E827" s="102">
        <v>19.0</v>
      </c>
      <c r="F827" s="107">
        <v>39.0</v>
      </c>
      <c r="G827" s="15" t="str">
        <f t="shared" si="1"/>
        <v>19039</v>
      </c>
      <c r="H827" s="23" t="s">
        <v>110</v>
      </c>
      <c r="I827" s="23" t="s">
        <v>50</v>
      </c>
      <c r="J827" s="23" t="s">
        <v>881</v>
      </c>
      <c r="K827" s="23" t="str">
        <f t="shared" si="16"/>
        <v>Clarke, IA</v>
      </c>
      <c r="L827" s="23">
        <v>17.0</v>
      </c>
      <c r="M827" s="23" t="s">
        <v>63</v>
      </c>
      <c r="N827" s="23">
        <v>3.0</v>
      </c>
      <c r="O827" s="23">
        <v>10.0</v>
      </c>
      <c r="P827" s="23" t="s">
        <v>63</v>
      </c>
      <c r="Q827" s="23" t="s">
        <v>956</v>
      </c>
      <c r="R827" s="314">
        <v>6.0</v>
      </c>
      <c r="S827" s="23" t="s">
        <v>63</v>
      </c>
      <c r="T827" s="32">
        <v>0.2619047619047619</v>
      </c>
      <c r="U827" s="123" t="s">
        <v>63</v>
      </c>
      <c r="V827" s="23" t="s">
        <v>63</v>
      </c>
      <c r="W827" s="127" t="s">
        <v>63</v>
      </c>
      <c r="X827" s="125" t="s">
        <v>63</v>
      </c>
      <c r="Y827" s="35">
        <v>14.0</v>
      </c>
      <c r="Z827" s="32" t="s">
        <v>63</v>
      </c>
      <c r="AA827" s="38"/>
      <c r="AB827" s="38"/>
      <c r="AC827" s="38"/>
      <c r="AD827" s="38"/>
      <c r="AE827" s="38"/>
      <c r="AF827" s="38"/>
      <c r="AG827" s="38"/>
      <c r="AH827" s="38"/>
      <c r="AI827" s="38"/>
      <c r="AJ827" s="38"/>
      <c r="AK827" s="38"/>
    </row>
    <row r="828">
      <c r="A828" s="99">
        <v>827.0</v>
      </c>
      <c r="B828" s="15"/>
      <c r="C828" s="15"/>
      <c r="D828" s="105">
        <v>1.0</v>
      </c>
      <c r="E828" s="102">
        <v>19.0</v>
      </c>
      <c r="F828" s="107">
        <v>41.0</v>
      </c>
      <c r="G828" s="15" t="str">
        <f t="shared" si="1"/>
        <v>19041</v>
      </c>
      <c r="H828" s="23" t="s">
        <v>112</v>
      </c>
      <c r="I828" s="23" t="s">
        <v>50</v>
      </c>
      <c r="J828" s="23" t="s">
        <v>881</v>
      </c>
      <c r="K828" s="23" t="str">
        <f t="shared" si="16"/>
        <v>Clay, IA</v>
      </c>
      <c r="L828" s="23">
        <v>17.0</v>
      </c>
      <c r="M828" s="23" t="s">
        <v>63</v>
      </c>
      <c r="N828" s="23">
        <v>6.0</v>
      </c>
      <c r="O828" s="23">
        <v>8.0</v>
      </c>
      <c r="P828" s="23" t="s">
        <v>63</v>
      </c>
      <c r="Q828" s="23">
        <v>13.0</v>
      </c>
      <c r="R828" s="314" t="s">
        <v>956</v>
      </c>
      <c r="S828" s="23" t="s">
        <v>63</v>
      </c>
      <c r="T828" s="32">
        <v>0.11320754716981132</v>
      </c>
      <c r="U828" s="123" t="s">
        <v>63</v>
      </c>
      <c r="V828" s="23" t="s">
        <v>63</v>
      </c>
      <c r="W828" s="127" t="s">
        <v>63</v>
      </c>
      <c r="X828" s="125" t="s">
        <v>63</v>
      </c>
      <c r="Y828" s="35">
        <v>26.0</v>
      </c>
      <c r="Z828" s="32" t="s">
        <v>63</v>
      </c>
      <c r="AA828" s="38"/>
      <c r="AB828" s="38"/>
      <c r="AC828" s="38"/>
      <c r="AD828" s="38"/>
      <c r="AE828" s="38"/>
      <c r="AF828" s="38"/>
      <c r="AG828" s="38"/>
      <c r="AH828" s="38"/>
      <c r="AI828" s="38"/>
      <c r="AJ828" s="38"/>
      <c r="AK828" s="38"/>
    </row>
    <row r="829">
      <c r="A829" s="99">
        <v>828.0</v>
      </c>
      <c r="B829" s="15"/>
      <c r="C829" s="15"/>
      <c r="D829" s="105">
        <v>1.0</v>
      </c>
      <c r="E829" s="102">
        <v>19.0</v>
      </c>
      <c r="F829" s="107">
        <v>43.0</v>
      </c>
      <c r="G829" s="15" t="str">
        <f t="shared" si="1"/>
        <v>19043</v>
      </c>
      <c r="H829" s="23" t="s">
        <v>555</v>
      </c>
      <c r="I829" s="23" t="s">
        <v>50</v>
      </c>
      <c r="J829" s="23" t="s">
        <v>881</v>
      </c>
      <c r="K829" s="23" t="str">
        <f t="shared" si="16"/>
        <v>Clayton, IA</v>
      </c>
      <c r="L829" s="23">
        <v>6.0</v>
      </c>
      <c r="M829" s="23" t="s">
        <v>63</v>
      </c>
      <c r="N829" s="23">
        <v>0.0</v>
      </c>
      <c r="O829" s="23">
        <v>3.0</v>
      </c>
      <c r="P829" s="23" t="s">
        <v>63</v>
      </c>
      <c r="Q829" s="23">
        <v>14.0</v>
      </c>
      <c r="R829" s="314" t="s">
        <v>956</v>
      </c>
      <c r="S829" s="23" t="s">
        <v>63</v>
      </c>
      <c r="T829" s="32" t="s">
        <v>63</v>
      </c>
      <c r="U829" s="123" t="s">
        <v>63</v>
      </c>
      <c r="V829" s="23" t="s">
        <v>63</v>
      </c>
      <c r="W829" s="127" t="s">
        <v>63</v>
      </c>
      <c r="X829" s="125" t="s">
        <v>63</v>
      </c>
      <c r="Y829" s="35">
        <v>39.0</v>
      </c>
      <c r="Z829" s="32" t="s">
        <v>63</v>
      </c>
      <c r="AA829" s="38"/>
      <c r="AB829" s="38"/>
      <c r="AC829" s="38"/>
      <c r="AD829" s="38"/>
      <c r="AE829" s="38"/>
      <c r="AF829" s="38"/>
      <c r="AG829" s="38"/>
      <c r="AH829" s="38"/>
      <c r="AI829" s="38"/>
      <c r="AJ829" s="38"/>
      <c r="AK829" s="38"/>
    </row>
    <row r="830">
      <c r="A830" s="99">
        <v>829.0</v>
      </c>
      <c r="B830" s="15"/>
      <c r="C830" s="15"/>
      <c r="D830" s="105">
        <v>1.0</v>
      </c>
      <c r="E830" s="102">
        <v>19.0</v>
      </c>
      <c r="F830" s="107">
        <v>45.0</v>
      </c>
      <c r="G830" s="15" t="str">
        <f t="shared" si="1"/>
        <v>19045</v>
      </c>
      <c r="H830" s="23" t="s">
        <v>711</v>
      </c>
      <c r="I830" s="23" t="s">
        <v>50</v>
      </c>
      <c r="J830" s="23" t="s">
        <v>881</v>
      </c>
      <c r="K830" s="23" t="str">
        <f t="shared" si="16"/>
        <v>Clinton, IA</v>
      </c>
      <c r="L830" s="23">
        <v>67.0</v>
      </c>
      <c r="M830" s="23" t="s">
        <v>63</v>
      </c>
      <c r="N830" s="23">
        <v>12.0</v>
      </c>
      <c r="O830" s="23">
        <v>37.0</v>
      </c>
      <c r="P830" s="23" t="s">
        <v>63</v>
      </c>
      <c r="Q830" s="23">
        <v>21.0</v>
      </c>
      <c r="R830" s="314">
        <v>14.0</v>
      </c>
      <c r="S830" s="23" t="s">
        <v>63</v>
      </c>
      <c r="T830" s="32">
        <v>0.11320754716981132</v>
      </c>
      <c r="U830" s="123" t="s">
        <v>63</v>
      </c>
      <c r="V830" s="23" t="s">
        <v>63</v>
      </c>
      <c r="W830" s="127" t="s">
        <v>63</v>
      </c>
      <c r="X830" s="125" t="s">
        <v>63</v>
      </c>
      <c r="Y830" s="35">
        <v>57.0</v>
      </c>
      <c r="Z830" s="32" t="s">
        <v>63</v>
      </c>
      <c r="AA830" s="38"/>
      <c r="AB830" s="38"/>
      <c r="AC830" s="38"/>
      <c r="AD830" s="38"/>
      <c r="AE830" s="38"/>
      <c r="AF830" s="38"/>
      <c r="AG830" s="38"/>
      <c r="AH830" s="38"/>
      <c r="AI830" s="38"/>
      <c r="AJ830" s="38"/>
      <c r="AK830" s="38"/>
    </row>
    <row r="831">
      <c r="A831" s="99">
        <v>830.0</v>
      </c>
      <c r="B831" s="15"/>
      <c r="C831" s="15"/>
      <c r="D831" s="105">
        <v>1.0</v>
      </c>
      <c r="E831" s="102">
        <v>19.0</v>
      </c>
      <c r="F831" s="107">
        <v>47.0</v>
      </c>
      <c r="G831" s="15" t="str">
        <f t="shared" si="1"/>
        <v>19047</v>
      </c>
      <c r="H831" s="23" t="s">
        <v>263</v>
      </c>
      <c r="I831" s="23" t="s">
        <v>50</v>
      </c>
      <c r="J831" s="23" t="s">
        <v>881</v>
      </c>
      <c r="K831" s="23" t="str">
        <f t="shared" si="16"/>
        <v>Crawford, IA</v>
      </c>
      <c r="L831" s="23">
        <v>20.0</v>
      </c>
      <c r="M831" s="23" t="s">
        <v>63</v>
      </c>
      <c r="N831" s="23">
        <v>2.0</v>
      </c>
      <c r="O831" s="23">
        <v>9.0</v>
      </c>
      <c r="P831" s="23" t="s">
        <v>63</v>
      </c>
      <c r="Q831" s="23" t="s">
        <v>956</v>
      </c>
      <c r="R831" s="314">
        <v>9.0</v>
      </c>
      <c r="S831" s="23" t="s">
        <v>63</v>
      </c>
      <c r="T831" s="32">
        <v>0.11764705882352941</v>
      </c>
      <c r="U831" s="123" t="s">
        <v>63</v>
      </c>
      <c r="V831" s="23" t="s">
        <v>63</v>
      </c>
      <c r="W831" s="127" t="s">
        <v>63</v>
      </c>
      <c r="X831" s="125" t="s">
        <v>63</v>
      </c>
      <c r="Y831" s="35">
        <v>27.0</v>
      </c>
      <c r="Z831" s="32" t="s">
        <v>63</v>
      </c>
      <c r="AA831" s="38"/>
      <c r="AB831" s="38"/>
      <c r="AC831" s="38"/>
      <c r="AD831" s="38"/>
      <c r="AE831" s="38"/>
      <c r="AF831" s="38"/>
      <c r="AG831" s="38"/>
      <c r="AH831" s="38"/>
      <c r="AI831" s="38"/>
      <c r="AJ831" s="38"/>
      <c r="AK831" s="38"/>
    </row>
    <row r="832">
      <c r="A832" s="99">
        <v>831.0</v>
      </c>
      <c r="B832" s="15"/>
      <c r="C832" s="15"/>
      <c r="D832" s="105">
        <v>1.0</v>
      </c>
      <c r="E832" s="102">
        <v>19.0</v>
      </c>
      <c r="F832" s="107">
        <v>49.0</v>
      </c>
      <c r="G832" s="15" t="str">
        <f t="shared" si="1"/>
        <v>19049</v>
      </c>
      <c r="H832" s="23" t="s">
        <v>130</v>
      </c>
      <c r="I832" s="23" t="s">
        <v>50</v>
      </c>
      <c r="J832" s="23" t="s">
        <v>881</v>
      </c>
      <c r="K832" s="23" t="str">
        <f t="shared" si="16"/>
        <v>Dallas, IA</v>
      </c>
      <c r="L832" s="23">
        <v>60.0</v>
      </c>
      <c r="M832" s="23" t="s">
        <v>63</v>
      </c>
      <c r="N832" s="23">
        <v>11.0</v>
      </c>
      <c r="O832" s="23">
        <v>36.0</v>
      </c>
      <c r="P832" s="23" t="s">
        <v>63</v>
      </c>
      <c r="Q832" s="23">
        <v>44.0</v>
      </c>
      <c r="R832" s="314">
        <v>10.0</v>
      </c>
      <c r="S832" s="23" t="s">
        <v>63</v>
      </c>
      <c r="T832" s="32">
        <v>0.05172413793103448</v>
      </c>
      <c r="U832" s="123" t="s">
        <v>63</v>
      </c>
      <c r="V832" s="23" t="s">
        <v>63</v>
      </c>
      <c r="W832" s="127" t="s">
        <v>63</v>
      </c>
      <c r="X832" s="125" t="s">
        <v>63</v>
      </c>
      <c r="Y832" s="35">
        <v>70.0</v>
      </c>
      <c r="Z832" s="32" t="s">
        <v>63</v>
      </c>
      <c r="AA832" s="38"/>
      <c r="AB832" s="38"/>
      <c r="AC832" s="38"/>
      <c r="AD832" s="38"/>
      <c r="AE832" s="38"/>
      <c r="AF832" s="38"/>
      <c r="AG832" s="38"/>
      <c r="AH832" s="38"/>
      <c r="AI832" s="38"/>
      <c r="AJ832" s="38"/>
      <c r="AK832" s="38"/>
    </row>
    <row r="833">
      <c r="A833" s="99">
        <v>832.0</v>
      </c>
      <c r="B833" s="15"/>
      <c r="C833" s="15"/>
      <c r="D833" s="105">
        <v>1.0</v>
      </c>
      <c r="E833" s="102">
        <v>19.0</v>
      </c>
      <c r="F833" s="107">
        <v>51.0</v>
      </c>
      <c r="G833" s="15" t="str">
        <f t="shared" si="1"/>
        <v>19051</v>
      </c>
      <c r="H833" s="23" t="s">
        <v>897</v>
      </c>
      <c r="I833" s="23" t="s">
        <v>50</v>
      </c>
      <c r="J833" s="23" t="s">
        <v>881</v>
      </c>
      <c r="K833" s="23" t="str">
        <f t="shared" si="16"/>
        <v>Davis, IA</v>
      </c>
      <c r="L833" s="23">
        <v>3.0</v>
      </c>
      <c r="M833" s="23" t="s">
        <v>63</v>
      </c>
      <c r="N833" s="23">
        <v>0.0</v>
      </c>
      <c r="O833" s="23">
        <v>2.0</v>
      </c>
      <c r="P833" s="23" t="s">
        <v>63</v>
      </c>
      <c r="Q833" s="23">
        <v>9.0</v>
      </c>
      <c r="R833" s="314" t="s">
        <v>63</v>
      </c>
      <c r="S833" s="23" t="s">
        <v>63</v>
      </c>
      <c r="T833" s="32" t="s">
        <v>63</v>
      </c>
      <c r="U833" s="123" t="s">
        <v>63</v>
      </c>
      <c r="V833" s="23" t="s">
        <v>63</v>
      </c>
      <c r="W833" s="127" t="s">
        <v>63</v>
      </c>
      <c r="X833" s="125" t="s">
        <v>63</v>
      </c>
      <c r="Y833" s="35">
        <v>17.0</v>
      </c>
      <c r="Z833" s="32" t="s">
        <v>63</v>
      </c>
      <c r="AA833" s="38"/>
      <c r="AB833" s="38"/>
      <c r="AC833" s="38"/>
      <c r="AD833" s="38"/>
      <c r="AE833" s="38"/>
      <c r="AF833" s="38"/>
      <c r="AG833" s="38"/>
      <c r="AH833" s="38"/>
      <c r="AI833" s="38"/>
      <c r="AJ833" s="38"/>
      <c r="AK833" s="38"/>
    </row>
    <row r="834">
      <c r="A834" s="99">
        <v>833.0</v>
      </c>
      <c r="B834" s="15"/>
      <c r="C834" s="15"/>
      <c r="D834" s="105">
        <v>1.0</v>
      </c>
      <c r="E834" s="102">
        <v>19.0</v>
      </c>
      <c r="F834" s="107">
        <v>53.0</v>
      </c>
      <c r="G834" s="15" t="str">
        <f t="shared" si="1"/>
        <v>19053</v>
      </c>
      <c r="H834" s="23" t="s">
        <v>563</v>
      </c>
      <c r="I834" s="23" t="s">
        <v>50</v>
      </c>
      <c r="J834" s="23" t="s">
        <v>881</v>
      </c>
      <c r="K834" s="23" t="str">
        <f t="shared" si="16"/>
        <v>Decatur, IA</v>
      </c>
      <c r="L834" s="23">
        <v>24.0</v>
      </c>
      <c r="M834" s="23" t="s">
        <v>63</v>
      </c>
      <c r="N834" s="23">
        <v>14.0</v>
      </c>
      <c r="O834" s="23">
        <v>9.0</v>
      </c>
      <c r="P834" s="23" t="s">
        <v>63</v>
      </c>
      <c r="Q834" s="23">
        <v>6.0</v>
      </c>
      <c r="R834" s="314">
        <v>7.0</v>
      </c>
      <c r="S834" s="23" t="s">
        <v>63</v>
      </c>
      <c r="T834" s="32" t="s">
        <v>63</v>
      </c>
      <c r="U834" s="123" t="s">
        <v>63</v>
      </c>
      <c r="V834" s="23" t="s">
        <v>63</v>
      </c>
      <c r="W834" s="127" t="s">
        <v>63</v>
      </c>
      <c r="X834" s="125" t="s">
        <v>63</v>
      </c>
      <c r="Y834" s="35">
        <v>15.0</v>
      </c>
      <c r="Z834" s="32" t="s">
        <v>63</v>
      </c>
      <c r="AA834" s="38"/>
      <c r="AB834" s="38"/>
      <c r="AC834" s="38"/>
      <c r="AD834" s="38"/>
      <c r="AE834" s="38"/>
      <c r="AF834" s="38"/>
      <c r="AG834" s="38"/>
      <c r="AH834" s="38"/>
      <c r="AI834" s="38"/>
      <c r="AJ834" s="38"/>
      <c r="AK834" s="38"/>
    </row>
    <row r="835">
      <c r="A835" s="99">
        <v>834.0</v>
      </c>
      <c r="B835" s="15"/>
      <c r="C835" s="15"/>
      <c r="D835" s="105">
        <v>1.0</v>
      </c>
      <c r="E835" s="102">
        <v>19.0</v>
      </c>
      <c r="F835" s="107">
        <v>55.0</v>
      </c>
      <c r="G835" s="15" t="str">
        <f t="shared" si="1"/>
        <v>19055</v>
      </c>
      <c r="H835" s="23" t="s">
        <v>40</v>
      </c>
      <c r="I835" s="23" t="s">
        <v>50</v>
      </c>
      <c r="J835" s="23" t="s">
        <v>881</v>
      </c>
      <c r="K835" s="23" t="str">
        <f t="shared" si="16"/>
        <v>Delaware, IA</v>
      </c>
      <c r="L835" s="23">
        <v>12.0</v>
      </c>
      <c r="M835" s="23" t="s">
        <v>63</v>
      </c>
      <c r="N835" s="23">
        <v>2.0</v>
      </c>
      <c r="O835" s="23">
        <v>4.0</v>
      </c>
      <c r="P835" s="23" t="s">
        <v>63</v>
      </c>
      <c r="Q835" s="23">
        <v>7.0</v>
      </c>
      <c r="R835" s="314" t="s">
        <v>956</v>
      </c>
      <c r="S835" s="23" t="s">
        <v>63</v>
      </c>
      <c r="T835" s="32">
        <v>0.375</v>
      </c>
      <c r="U835" s="123" t="s">
        <v>63</v>
      </c>
      <c r="V835" s="23" t="s">
        <v>63</v>
      </c>
      <c r="W835" s="127" t="s">
        <v>63</v>
      </c>
      <c r="X835" s="125" t="s">
        <v>63</v>
      </c>
      <c r="Y835" s="35">
        <v>17.0</v>
      </c>
      <c r="Z835" s="32" t="s">
        <v>63</v>
      </c>
      <c r="AA835" s="38"/>
      <c r="AB835" s="38"/>
      <c r="AC835" s="38"/>
      <c r="AD835" s="38"/>
      <c r="AE835" s="38"/>
      <c r="AF835" s="38"/>
      <c r="AG835" s="38"/>
      <c r="AH835" s="38"/>
      <c r="AI835" s="38"/>
      <c r="AJ835" s="38"/>
      <c r="AK835" s="38"/>
    </row>
    <row r="836">
      <c r="A836" s="99">
        <v>835.0</v>
      </c>
      <c r="B836" s="15"/>
      <c r="C836" s="15"/>
      <c r="D836" s="105">
        <v>1.0</v>
      </c>
      <c r="E836" s="102">
        <v>19.0</v>
      </c>
      <c r="F836" s="107">
        <v>57.0</v>
      </c>
      <c r="G836" s="15" t="str">
        <f t="shared" si="1"/>
        <v>19057</v>
      </c>
      <c r="H836" s="23" t="s">
        <v>898</v>
      </c>
      <c r="I836" s="23" t="s">
        <v>50</v>
      </c>
      <c r="J836" s="23" t="s">
        <v>881</v>
      </c>
      <c r="K836" s="23" t="str">
        <f t="shared" si="16"/>
        <v>Des Moines, IA</v>
      </c>
      <c r="L836" s="23">
        <v>91.0</v>
      </c>
      <c r="M836" s="23" t="s">
        <v>63</v>
      </c>
      <c r="N836" s="23">
        <v>21.0</v>
      </c>
      <c r="O836" s="23">
        <v>57.0</v>
      </c>
      <c r="P836" s="23" t="s">
        <v>63</v>
      </c>
      <c r="Q836" s="23">
        <v>29.0</v>
      </c>
      <c r="R836" s="314">
        <v>16.0</v>
      </c>
      <c r="S836" s="23" t="s">
        <v>63</v>
      </c>
      <c r="T836" s="32">
        <v>0.27906976744186046</v>
      </c>
      <c r="U836" s="123" t="s">
        <v>63</v>
      </c>
      <c r="V836" s="23" t="s">
        <v>63</v>
      </c>
      <c r="W836" s="127" t="s">
        <v>63</v>
      </c>
      <c r="X836" s="125" t="s">
        <v>63</v>
      </c>
      <c r="Y836" s="35">
        <v>65.0</v>
      </c>
      <c r="Z836" s="32" t="s">
        <v>63</v>
      </c>
      <c r="AA836" s="38"/>
      <c r="AB836" s="38"/>
      <c r="AC836" s="38"/>
      <c r="AD836" s="38"/>
      <c r="AE836" s="38"/>
      <c r="AF836" s="38"/>
      <c r="AG836" s="38"/>
      <c r="AH836" s="38"/>
      <c r="AI836" s="38"/>
      <c r="AJ836" s="38"/>
      <c r="AK836" s="38"/>
    </row>
    <row r="837">
      <c r="A837" s="99">
        <v>836.0</v>
      </c>
      <c r="B837" s="15"/>
      <c r="C837" s="15"/>
      <c r="D837" s="105">
        <v>1.0</v>
      </c>
      <c r="E837" s="102">
        <v>19.0</v>
      </c>
      <c r="F837" s="107">
        <v>59.0</v>
      </c>
      <c r="G837" s="15" t="str">
        <f t="shared" si="1"/>
        <v>19059</v>
      </c>
      <c r="H837" s="23" t="s">
        <v>899</v>
      </c>
      <c r="I837" s="23" t="s">
        <v>50</v>
      </c>
      <c r="J837" s="23" t="s">
        <v>881</v>
      </c>
      <c r="K837" s="23" t="str">
        <f t="shared" si="16"/>
        <v>Dickinson, IA</v>
      </c>
      <c r="L837" s="23">
        <v>12.0</v>
      </c>
      <c r="M837" s="23" t="s">
        <v>63</v>
      </c>
      <c r="N837" s="23">
        <v>1.0</v>
      </c>
      <c r="O837" s="23">
        <v>8.0</v>
      </c>
      <c r="P837" s="23" t="s">
        <v>63</v>
      </c>
      <c r="Q837" s="23">
        <v>17.0</v>
      </c>
      <c r="R837" s="314" t="s">
        <v>63</v>
      </c>
      <c r="S837" s="23" t="s">
        <v>63</v>
      </c>
      <c r="T837" s="32">
        <v>0.24615384615384617</v>
      </c>
      <c r="U837" s="123" t="s">
        <v>63</v>
      </c>
      <c r="V837" s="23" t="s">
        <v>63</v>
      </c>
      <c r="W837" s="127" t="s">
        <v>63</v>
      </c>
      <c r="X837" s="125" t="s">
        <v>63</v>
      </c>
      <c r="Y837" s="35">
        <v>23.0</v>
      </c>
      <c r="Z837" s="32" t="s">
        <v>63</v>
      </c>
      <c r="AA837" s="38"/>
      <c r="AB837" s="38"/>
      <c r="AC837" s="38"/>
      <c r="AD837" s="38"/>
      <c r="AE837" s="38"/>
      <c r="AF837" s="38"/>
      <c r="AG837" s="38"/>
      <c r="AH837" s="38"/>
      <c r="AI837" s="38"/>
      <c r="AJ837" s="38"/>
      <c r="AK837" s="38"/>
    </row>
    <row r="838">
      <c r="A838" s="99">
        <v>837.0</v>
      </c>
      <c r="B838" s="15"/>
      <c r="C838" s="15"/>
      <c r="D838" s="105">
        <v>1.0</v>
      </c>
      <c r="E838" s="102">
        <v>19.0</v>
      </c>
      <c r="F838" s="107">
        <v>61.0</v>
      </c>
      <c r="G838" s="15" t="str">
        <f t="shared" si="1"/>
        <v>19061</v>
      </c>
      <c r="H838" s="23" t="s">
        <v>900</v>
      </c>
      <c r="I838" s="23" t="s">
        <v>50</v>
      </c>
      <c r="J838" s="23" t="s">
        <v>881</v>
      </c>
      <c r="K838" s="23" t="str">
        <f t="shared" si="16"/>
        <v>Dubuque, IA</v>
      </c>
      <c r="L838" s="23">
        <v>74.0</v>
      </c>
      <c r="M838" s="23" t="s">
        <v>63</v>
      </c>
      <c r="N838" s="23">
        <v>19.0</v>
      </c>
      <c r="O838" s="23">
        <v>43.0</v>
      </c>
      <c r="P838" s="23" t="s">
        <v>63</v>
      </c>
      <c r="Q838" s="23">
        <v>35.0</v>
      </c>
      <c r="R838" s="314">
        <v>10.0</v>
      </c>
      <c r="S838" s="23" t="s">
        <v>63</v>
      </c>
      <c r="T838" s="32">
        <v>0.11419753086419752</v>
      </c>
      <c r="U838" s="123" t="s">
        <v>63</v>
      </c>
      <c r="V838" s="23" t="s">
        <v>63</v>
      </c>
      <c r="W838" s="127" t="s">
        <v>63</v>
      </c>
      <c r="X838" s="125" t="s">
        <v>63</v>
      </c>
      <c r="Y838" s="35">
        <v>58.0</v>
      </c>
      <c r="Z838" s="32" t="s">
        <v>63</v>
      </c>
      <c r="AA838" s="38"/>
      <c r="AB838" s="38"/>
      <c r="AC838" s="38"/>
      <c r="AD838" s="38"/>
      <c r="AE838" s="38"/>
      <c r="AF838" s="38"/>
      <c r="AG838" s="38"/>
      <c r="AH838" s="38"/>
      <c r="AI838" s="38"/>
      <c r="AJ838" s="38"/>
      <c r="AK838" s="38"/>
    </row>
    <row r="839">
      <c r="A839" s="99">
        <v>838.0</v>
      </c>
      <c r="B839" s="15"/>
      <c r="C839" s="15"/>
      <c r="D839" s="105">
        <v>1.0</v>
      </c>
      <c r="E839" s="102">
        <v>19.0</v>
      </c>
      <c r="F839" s="107">
        <v>63.0</v>
      </c>
      <c r="G839" s="15" t="str">
        <f t="shared" si="1"/>
        <v>19063</v>
      </c>
      <c r="H839" s="23" t="s">
        <v>901</v>
      </c>
      <c r="I839" s="23" t="s">
        <v>50</v>
      </c>
      <c r="J839" s="23" t="s">
        <v>881</v>
      </c>
      <c r="K839" s="23" t="str">
        <f t="shared" si="16"/>
        <v>Emmet, IA</v>
      </c>
      <c r="L839" s="23">
        <v>13.0</v>
      </c>
      <c r="M839" s="23" t="s">
        <v>63</v>
      </c>
      <c r="N839" s="23">
        <v>2.0</v>
      </c>
      <c r="O839" s="23">
        <v>6.0</v>
      </c>
      <c r="P839" s="23" t="s">
        <v>63</v>
      </c>
      <c r="Q839" s="23">
        <v>8.0</v>
      </c>
      <c r="R839" s="314" t="s">
        <v>956</v>
      </c>
      <c r="S839" s="23" t="s">
        <v>63</v>
      </c>
      <c r="T839" s="32" t="s">
        <v>63</v>
      </c>
      <c r="U839" s="123" t="s">
        <v>63</v>
      </c>
      <c r="V839" s="23" t="s">
        <v>63</v>
      </c>
      <c r="W839" s="127" t="s">
        <v>63</v>
      </c>
      <c r="X839" s="125" t="s">
        <v>63</v>
      </c>
      <c r="Y839" s="35">
        <v>20.0</v>
      </c>
      <c r="Z839" s="32" t="s">
        <v>63</v>
      </c>
      <c r="AA839" s="38"/>
      <c r="AB839" s="38"/>
      <c r="AC839" s="38"/>
      <c r="AD839" s="38"/>
      <c r="AE839" s="38"/>
      <c r="AF839" s="38"/>
      <c r="AG839" s="38"/>
      <c r="AH839" s="38"/>
      <c r="AI839" s="38"/>
      <c r="AJ839" s="38"/>
      <c r="AK839" s="38"/>
    </row>
    <row r="840">
      <c r="A840" s="99">
        <v>839.0</v>
      </c>
      <c r="B840" s="15"/>
      <c r="C840" s="15"/>
      <c r="D840" s="105">
        <v>1.0</v>
      </c>
      <c r="E840" s="102">
        <v>19.0</v>
      </c>
      <c r="F840" s="107">
        <v>65.0</v>
      </c>
      <c r="G840" s="15" t="str">
        <f t="shared" si="1"/>
        <v>19065</v>
      </c>
      <c r="H840" s="23" t="s">
        <v>135</v>
      </c>
      <c r="I840" s="23" t="s">
        <v>50</v>
      </c>
      <c r="J840" s="23" t="s">
        <v>881</v>
      </c>
      <c r="K840" s="23" t="str">
        <f t="shared" si="16"/>
        <v>Fayette, IA</v>
      </c>
      <c r="L840" s="23">
        <v>41.0</v>
      </c>
      <c r="M840" s="23" t="s">
        <v>63</v>
      </c>
      <c r="N840" s="23">
        <v>9.0</v>
      </c>
      <c r="O840" s="23">
        <v>21.0</v>
      </c>
      <c r="P840" s="23" t="s">
        <v>63</v>
      </c>
      <c r="Q840" s="23">
        <v>7.0</v>
      </c>
      <c r="R840" s="314">
        <v>6.0</v>
      </c>
      <c r="S840" s="23" t="s">
        <v>63</v>
      </c>
      <c r="T840" s="32" t="s">
        <v>63</v>
      </c>
      <c r="U840" s="123" t="s">
        <v>63</v>
      </c>
      <c r="V840" s="23" t="s">
        <v>63</v>
      </c>
      <c r="W840" s="127" t="s">
        <v>63</v>
      </c>
      <c r="X840" s="125" t="s">
        <v>63</v>
      </c>
      <c r="Y840" s="35">
        <v>34.0</v>
      </c>
      <c r="Z840" s="32" t="s">
        <v>63</v>
      </c>
      <c r="AA840" s="38"/>
      <c r="AB840" s="38"/>
      <c r="AC840" s="38"/>
      <c r="AD840" s="38"/>
      <c r="AE840" s="38"/>
      <c r="AF840" s="38"/>
      <c r="AG840" s="38"/>
      <c r="AH840" s="38"/>
      <c r="AI840" s="38"/>
      <c r="AJ840" s="38"/>
      <c r="AK840" s="38"/>
    </row>
    <row r="841">
      <c r="A841" s="99">
        <v>840.0</v>
      </c>
      <c r="B841" s="15"/>
      <c r="C841" s="15"/>
      <c r="D841" s="105">
        <v>1.0</v>
      </c>
      <c r="E841" s="102">
        <v>19.0</v>
      </c>
      <c r="F841" s="107">
        <v>67.0</v>
      </c>
      <c r="G841" s="15" t="str">
        <f t="shared" si="1"/>
        <v>19067</v>
      </c>
      <c r="H841" s="23" t="s">
        <v>575</v>
      </c>
      <c r="I841" s="23" t="s">
        <v>50</v>
      </c>
      <c r="J841" s="23" t="s">
        <v>881</v>
      </c>
      <c r="K841" s="23" t="str">
        <f t="shared" si="16"/>
        <v>Floyd, IA</v>
      </c>
      <c r="L841" s="23">
        <v>45.0</v>
      </c>
      <c r="M841" s="23" t="s">
        <v>63</v>
      </c>
      <c r="N841" s="23">
        <v>18.0</v>
      </c>
      <c r="O841" s="23">
        <v>21.0</v>
      </c>
      <c r="P841" s="23" t="s">
        <v>63</v>
      </c>
      <c r="Q841" s="23">
        <v>20.0</v>
      </c>
      <c r="R841" s="314">
        <v>10.0</v>
      </c>
      <c r="S841" s="23" t="s">
        <v>63</v>
      </c>
      <c r="T841" s="32">
        <v>0.1232876712328767</v>
      </c>
      <c r="U841" s="123" t="s">
        <v>63</v>
      </c>
      <c r="V841" s="23" t="s">
        <v>63</v>
      </c>
      <c r="W841" s="127" t="s">
        <v>63</v>
      </c>
      <c r="X841" s="125" t="s">
        <v>63</v>
      </c>
      <c r="Y841" s="35">
        <v>24.0</v>
      </c>
      <c r="Z841" s="32" t="s">
        <v>63</v>
      </c>
      <c r="AA841" s="38"/>
      <c r="AB841" s="38"/>
      <c r="AC841" s="38"/>
      <c r="AD841" s="38"/>
      <c r="AE841" s="38"/>
      <c r="AF841" s="38"/>
      <c r="AG841" s="38"/>
      <c r="AH841" s="38"/>
      <c r="AI841" s="38"/>
      <c r="AJ841" s="38"/>
      <c r="AK841" s="38"/>
    </row>
    <row r="842">
      <c r="A842" s="99">
        <v>841.0</v>
      </c>
      <c r="B842" s="15"/>
      <c r="C842" s="15"/>
      <c r="D842" s="105">
        <v>1.0</v>
      </c>
      <c r="E842" s="102">
        <v>19.0</v>
      </c>
      <c r="F842" s="107">
        <v>69.0</v>
      </c>
      <c r="G842" s="15" t="str">
        <f t="shared" si="1"/>
        <v>19069</v>
      </c>
      <c r="H842" s="23" t="s">
        <v>136</v>
      </c>
      <c r="I842" s="23" t="s">
        <v>50</v>
      </c>
      <c r="J842" s="23" t="s">
        <v>881</v>
      </c>
      <c r="K842" s="23" t="str">
        <f t="shared" si="16"/>
        <v>Franklin, IA</v>
      </c>
      <c r="L842" s="23">
        <v>10.0</v>
      </c>
      <c r="M842" s="23" t="s">
        <v>63</v>
      </c>
      <c r="N842" s="23">
        <v>5.0</v>
      </c>
      <c r="O842" s="23">
        <v>5.0</v>
      </c>
      <c r="P842" s="23" t="s">
        <v>63</v>
      </c>
      <c r="Q842" s="23" t="s">
        <v>956</v>
      </c>
      <c r="R842" s="314" t="s">
        <v>63</v>
      </c>
      <c r="S842" s="23" t="s">
        <v>63</v>
      </c>
      <c r="T842" s="32" t="e">
        <v>#N/A</v>
      </c>
      <c r="U842" s="123" t="s">
        <v>63</v>
      </c>
      <c r="V842" s="23" t="s">
        <v>63</v>
      </c>
      <c r="W842" s="127" t="s">
        <v>63</v>
      </c>
      <c r="X842" s="125" t="s">
        <v>63</v>
      </c>
      <c r="Y842" s="35">
        <v>19.0</v>
      </c>
      <c r="Z842" s="32" t="s">
        <v>63</v>
      </c>
      <c r="AA842" s="38"/>
      <c r="AB842" s="38"/>
      <c r="AC842" s="38"/>
      <c r="AD842" s="38"/>
      <c r="AE842" s="38"/>
      <c r="AF842" s="38"/>
      <c r="AG842" s="38"/>
      <c r="AH842" s="38"/>
      <c r="AI842" s="38"/>
      <c r="AJ842" s="38"/>
      <c r="AK842" s="38"/>
    </row>
    <row r="843">
      <c r="A843" s="99">
        <v>842.0</v>
      </c>
      <c r="B843" s="15"/>
      <c r="C843" s="15"/>
      <c r="D843" s="105">
        <v>1.0</v>
      </c>
      <c r="E843" s="102">
        <v>19.0</v>
      </c>
      <c r="F843" s="107">
        <v>71.0</v>
      </c>
      <c r="G843" s="15" t="str">
        <f t="shared" si="1"/>
        <v>19071</v>
      </c>
      <c r="H843" s="23" t="s">
        <v>416</v>
      </c>
      <c r="I843" s="23" t="s">
        <v>50</v>
      </c>
      <c r="J843" s="23" t="s">
        <v>881</v>
      </c>
      <c r="K843" s="23" t="str">
        <f t="shared" si="16"/>
        <v>Fremont, IA</v>
      </c>
      <c r="L843" s="23">
        <v>7.0</v>
      </c>
      <c r="M843" s="23" t="s">
        <v>63</v>
      </c>
      <c r="N843" s="23">
        <v>0.0</v>
      </c>
      <c r="O843" s="23">
        <v>4.0</v>
      </c>
      <c r="P843" s="23" t="s">
        <v>63</v>
      </c>
      <c r="Q843" s="23" t="s">
        <v>956</v>
      </c>
      <c r="R843" s="314" t="s">
        <v>63</v>
      </c>
      <c r="S843" s="23" t="s">
        <v>63</v>
      </c>
      <c r="T843" s="32">
        <v>0.4117647058823529</v>
      </c>
      <c r="U843" s="123" t="s">
        <v>63</v>
      </c>
      <c r="V843" s="23" t="s">
        <v>63</v>
      </c>
      <c r="W843" s="127" t="s">
        <v>63</v>
      </c>
      <c r="X843" s="125" t="s">
        <v>63</v>
      </c>
      <c r="Y843" s="35">
        <v>14.0</v>
      </c>
      <c r="Z843" s="32" t="s">
        <v>63</v>
      </c>
      <c r="AA843" s="38"/>
      <c r="AB843" s="38"/>
      <c r="AC843" s="38"/>
      <c r="AD843" s="38"/>
      <c r="AE843" s="38"/>
      <c r="AF843" s="38"/>
      <c r="AG843" s="38"/>
      <c r="AH843" s="38"/>
      <c r="AI843" s="38"/>
      <c r="AJ843" s="38"/>
      <c r="AK843" s="38"/>
    </row>
    <row r="844">
      <c r="A844" s="99">
        <v>843.0</v>
      </c>
      <c r="B844" s="15"/>
      <c r="C844" s="15"/>
      <c r="D844" s="105">
        <v>1.0</v>
      </c>
      <c r="E844" s="102">
        <v>19.0</v>
      </c>
      <c r="F844" s="107">
        <v>73.0</v>
      </c>
      <c r="G844" s="15" t="str">
        <f t="shared" si="1"/>
        <v>19073</v>
      </c>
      <c r="H844" s="23" t="s">
        <v>138</v>
      </c>
      <c r="I844" s="23" t="s">
        <v>50</v>
      </c>
      <c r="J844" s="23" t="s">
        <v>881</v>
      </c>
      <c r="K844" s="23" t="str">
        <f t="shared" si="16"/>
        <v>Greene, IA</v>
      </c>
      <c r="L844" s="23">
        <v>19.0</v>
      </c>
      <c r="M844" s="23" t="s">
        <v>63</v>
      </c>
      <c r="N844" s="23">
        <v>3.0</v>
      </c>
      <c r="O844" s="23">
        <v>13.0</v>
      </c>
      <c r="P844" s="23" t="s">
        <v>63</v>
      </c>
      <c r="Q844" s="23" t="s">
        <v>956</v>
      </c>
      <c r="R844" s="314" t="s">
        <v>956</v>
      </c>
      <c r="S844" s="23" t="s">
        <v>63</v>
      </c>
      <c r="T844" s="32" t="s">
        <v>63</v>
      </c>
      <c r="U844" s="123" t="s">
        <v>63</v>
      </c>
      <c r="V844" s="23" t="s">
        <v>63</v>
      </c>
      <c r="W844" s="127" t="s">
        <v>63</v>
      </c>
      <c r="X844" s="125" t="s">
        <v>63</v>
      </c>
      <c r="Y844" s="35">
        <v>23.0</v>
      </c>
      <c r="Z844" s="32" t="s">
        <v>63</v>
      </c>
      <c r="AA844" s="38"/>
      <c r="AB844" s="38"/>
      <c r="AC844" s="38"/>
      <c r="AD844" s="38"/>
      <c r="AE844" s="38"/>
      <c r="AF844" s="38"/>
      <c r="AG844" s="38"/>
      <c r="AH844" s="38"/>
      <c r="AI844" s="38"/>
      <c r="AJ844" s="38"/>
      <c r="AK844" s="38"/>
    </row>
    <row r="845">
      <c r="A845" s="99">
        <v>844.0</v>
      </c>
      <c r="B845" s="15"/>
      <c r="C845" s="15"/>
      <c r="D845" s="105">
        <v>1.0</v>
      </c>
      <c r="E845" s="102">
        <v>19.0</v>
      </c>
      <c r="F845" s="107">
        <v>75.0</v>
      </c>
      <c r="G845" s="15" t="str">
        <f t="shared" si="1"/>
        <v>19075</v>
      </c>
      <c r="H845" s="23" t="s">
        <v>720</v>
      </c>
      <c r="I845" s="23" t="s">
        <v>50</v>
      </c>
      <c r="J845" s="23" t="s">
        <v>881</v>
      </c>
      <c r="K845" s="23" t="str">
        <f t="shared" si="16"/>
        <v>Grundy, IA</v>
      </c>
      <c r="L845" s="23">
        <v>12.0</v>
      </c>
      <c r="M845" s="23" t="s">
        <v>63</v>
      </c>
      <c r="N845" s="23">
        <v>2.0</v>
      </c>
      <c r="O845" s="23">
        <v>9.0</v>
      </c>
      <c r="P845" s="23" t="s">
        <v>63</v>
      </c>
      <c r="Q845" s="23">
        <v>12.0</v>
      </c>
      <c r="R845" s="314" t="s">
        <v>956</v>
      </c>
      <c r="S845" s="23" t="s">
        <v>63</v>
      </c>
      <c r="T845" s="32" t="s">
        <v>63</v>
      </c>
      <c r="U845" s="123" t="s">
        <v>63</v>
      </c>
      <c r="V845" s="23" t="s">
        <v>63</v>
      </c>
      <c r="W845" s="127" t="s">
        <v>63</v>
      </c>
      <c r="X845" s="125" t="s">
        <v>63</v>
      </c>
      <c r="Y845" s="35">
        <v>29.0</v>
      </c>
      <c r="Z845" s="32" t="s">
        <v>63</v>
      </c>
      <c r="AA845" s="38"/>
      <c r="AB845" s="38"/>
      <c r="AC845" s="38"/>
      <c r="AD845" s="38"/>
      <c r="AE845" s="38"/>
      <c r="AF845" s="38"/>
      <c r="AG845" s="38"/>
      <c r="AH845" s="38"/>
      <c r="AI845" s="38"/>
      <c r="AJ845" s="38"/>
      <c r="AK845" s="38"/>
    </row>
    <row r="846">
      <c r="A846" s="99">
        <v>845.0</v>
      </c>
      <c r="B846" s="15"/>
      <c r="C846" s="15"/>
      <c r="D846" s="105">
        <v>1.0</v>
      </c>
      <c r="E846" s="102">
        <v>19.0</v>
      </c>
      <c r="F846" s="107">
        <v>77.0</v>
      </c>
      <c r="G846" s="15" t="str">
        <f t="shared" si="1"/>
        <v>19077</v>
      </c>
      <c r="H846" s="23" t="s">
        <v>902</v>
      </c>
      <c r="I846" s="23" t="s">
        <v>50</v>
      </c>
      <c r="J846" s="23" t="s">
        <v>881</v>
      </c>
      <c r="K846" s="23" t="str">
        <f t="shared" si="16"/>
        <v>Guthrie, IA</v>
      </c>
      <c r="L846" s="23">
        <v>26.0</v>
      </c>
      <c r="M846" s="23" t="s">
        <v>63</v>
      </c>
      <c r="N846" s="23">
        <v>4.0</v>
      </c>
      <c r="O846" s="23">
        <v>16.0</v>
      </c>
      <c r="P846" s="23" t="s">
        <v>63</v>
      </c>
      <c r="Q846" s="23">
        <v>6.0</v>
      </c>
      <c r="R846" s="314" t="s">
        <v>956</v>
      </c>
      <c r="S846" s="23" t="s">
        <v>63</v>
      </c>
      <c r="T846" s="32">
        <v>0.4090909090909091</v>
      </c>
      <c r="U846" s="123" t="s">
        <v>63</v>
      </c>
      <c r="V846" s="23" t="s">
        <v>63</v>
      </c>
      <c r="W846" s="127" t="s">
        <v>63</v>
      </c>
      <c r="X846" s="125" t="s">
        <v>63</v>
      </c>
      <c r="Y846" s="35">
        <v>24.0</v>
      </c>
      <c r="Z846" s="32" t="s">
        <v>63</v>
      </c>
      <c r="AA846" s="38"/>
      <c r="AB846" s="38"/>
      <c r="AC846" s="38"/>
      <c r="AD846" s="38"/>
      <c r="AE846" s="38"/>
      <c r="AF846" s="38"/>
      <c r="AG846" s="38"/>
      <c r="AH846" s="38"/>
      <c r="AI846" s="38"/>
      <c r="AJ846" s="38"/>
      <c r="AK846" s="38"/>
    </row>
    <row r="847">
      <c r="A847" s="99">
        <v>846.0</v>
      </c>
      <c r="B847" s="15"/>
      <c r="C847" s="15"/>
      <c r="D847" s="105">
        <v>1.0</v>
      </c>
      <c r="E847" s="102">
        <v>19.0</v>
      </c>
      <c r="F847" s="107">
        <v>79.0</v>
      </c>
      <c r="G847" s="15" t="str">
        <f t="shared" si="1"/>
        <v>19079</v>
      </c>
      <c r="H847" s="23" t="s">
        <v>497</v>
      </c>
      <c r="I847" s="23" t="s">
        <v>50</v>
      </c>
      <c r="J847" s="23" t="s">
        <v>881</v>
      </c>
      <c r="K847" s="23" t="str">
        <f t="shared" si="16"/>
        <v>Hamilton, IA</v>
      </c>
      <c r="L847" s="23">
        <v>11.0</v>
      </c>
      <c r="M847" s="23" t="s">
        <v>63</v>
      </c>
      <c r="N847" s="23">
        <v>2.0</v>
      </c>
      <c r="O847" s="23">
        <v>7.0</v>
      </c>
      <c r="P847" s="23" t="s">
        <v>63</v>
      </c>
      <c r="Q847" s="23">
        <v>8.0</v>
      </c>
      <c r="R847" s="314" t="s">
        <v>956</v>
      </c>
      <c r="S847" s="23" t="s">
        <v>63</v>
      </c>
      <c r="T847" s="32">
        <v>0.15789473684210525</v>
      </c>
      <c r="U847" s="123" t="s">
        <v>63</v>
      </c>
      <c r="V847" s="23" t="s">
        <v>63</v>
      </c>
      <c r="W847" s="127" t="s">
        <v>63</v>
      </c>
      <c r="X847" s="125" t="s">
        <v>63</v>
      </c>
      <c r="Y847" s="35">
        <v>35.0</v>
      </c>
      <c r="Z847" s="32" t="s">
        <v>63</v>
      </c>
      <c r="AA847" s="38"/>
      <c r="AB847" s="38"/>
      <c r="AC847" s="38"/>
      <c r="AD847" s="38"/>
      <c r="AE847" s="38"/>
      <c r="AF847" s="38"/>
      <c r="AG847" s="38"/>
      <c r="AH847" s="38"/>
      <c r="AI847" s="38"/>
      <c r="AJ847" s="38"/>
      <c r="AK847" s="38"/>
    </row>
    <row r="848">
      <c r="A848" s="99">
        <v>847.0</v>
      </c>
      <c r="B848" s="15"/>
      <c r="C848" s="15"/>
      <c r="D848" s="105">
        <v>1.0</v>
      </c>
      <c r="E848" s="102">
        <v>19.0</v>
      </c>
      <c r="F848" s="107">
        <v>81.0</v>
      </c>
      <c r="G848" s="15" t="str">
        <f t="shared" si="1"/>
        <v>19081</v>
      </c>
      <c r="H848" s="23" t="s">
        <v>587</v>
      </c>
      <c r="I848" s="23" t="s">
        <v>50</v>
      </c>
      <c r="J848" s="23" t="s">
        <v>881</v>
      </c>
      <c r="K848" s="23" t="str">
        <f t="shared" si="16"/>
        <v>Hancock, IA</v>
      </c>
      <c r="L848" s="23">
        <v>14.0</v>
      </c>
      <c r="M848" s="23" t="s">
        <v>63</v>
      </c>
      <c r="N848" s="23">
        <v>4.0</v>
      </c>
      <c r="O848" s="23">
        <v>1.0</v>
      </c>
      <c r="P848" s="23" t="s">
        <v>63</v>
      </c>
      <c r="Q848" s="23">
        <v>9.0</v>
      </c>
      <c r="R848" s="314" t="s">
        <v>956</v>
      </c>
      <c r="S848" s="23" t="s">
        <v>63</v>
      </c>
      <c r="T848" s="32" t="e">
        <v>#N/A</v>
      </c>
      <c r="U848" s="123" t="s">
        <v>63</v>
      </c>
      <c r="V848" s="23" t="s">
        <v>63</v>
      </c>
      <c r="W848" s="127" t="s">
        <v>63</v>
      </c>
      <c r="X848" s="125" t="s">
        <v>63</v>
      </c>
      <c r="Y848" s="35">
        <v>32.0</v>
      </c>
      <c r="Z848" s="32" t="s">
        <v>63</v>
      </c>
      <c r="AA848" s="38"/>
      <c r="AB848" s="38"/>
      <c r="AC848" s="38"/>
      <c r="AD848" s="38"/>
      <c r="AE848" s="38"/>
      <c r="AF848" s="38"/>
      <c r="AG848" s="38"/>
      <c r="AH848" s="38"/>
      <c r="AI848" s="38"/>
      <c r="AJ848" s="38"/>
      <c r="AK848" s="38"/>
    </row>
    <row r="849">
      <c r="A849" s="99">
        <v>848.0</v>
      </c>
      <c r="B849" s="15"/>
      <c r="C849" s="15"/>
      <c r="D849" s="105">
        <v>1.0</v>
      </c>
      <c r="E849" s="102">
        <v>19.0</v>
      </c>
      <c r="F849" s="107">
        <v>83.0</v>
      </c>
      <c r="G849" s="15" t="str">
        <f t="shared" si="1"/>
        <v>19083</v>
      </c>
      <c r="H849" s="23" t="s">
        <v>721</v>
      </c>
      <c r="I849" s="23" t="s">
        <v>50</v>
      </c>
      <c r="J849" s="23" t="s">
        <v>881</v>
      </c>
      <c r="K849" s="23" t="str">
        <f t="shared" si="16"/>
        <v>Hardin, IA</v>
      </c>
      <c r="L849" s="23">
        <v>24.0</v>
      </c>
      <c r="M849" s="23" t="s">
        <v>63</v>
      </c>
      <c r="N849" s="23">
        <v>6.0</v>
      </c>
      <c r="O849" s="23">
        <v>12.0</v>
      </c>
      <c r="P849" s="23" t="s">
        <v>63</v>
      </c>
      <c r="Q849" s="23">
        <v>14.0</v>
      </c>
      <c r="R849" s="314" t="s">
        <v>956</v>
      </c>
      <c r="S849" s="23" t="s">
        <v>63</v>
      </c>
      <c r="T849" s="32">
        <v>0.1935483870967742</v>
      </c>
      <c r="U849" s="123" t="s">
        <v>63</v>
      </c>
      <c r="V849" s="23" t="s">
        <v>63</v>
      </c>
      <c r="W849" s="127" t="s">
        <v>63</v>
      </c>
      <c r="X849" s="125" t="s">
        <v>63</v>
      </c>
      <c r="Y849" s="35">
        <v>43.0</v>
      </c>
      <c r="Z849" s="32" t="s">
        <v>63</v>
      </c>
      <c r="AA849" s="38"/>
      <c r="AB849" s="38"/>
      <c r="AC849" s="38"/>
      <c r="AD849" s="38"/>
      <c r="AE849" s="38"/>
      <c r="AF849" s="38"/>
      <c r="AG849" s="38"/>
      <c r="AH849" s="38"/>
      <c r="AI849" s="38"/>
      <c r="AJ849" s="38"/>
      <c r="AK849" s="38"/>
    </row>
    <row r="850">
      <c r="A850" s="99">
        <v>849.0</v>
      </c>
      <c r="B850" s="15"/>
      <c r="C850" s="15"/>
      <c r="D850" s="105">
        <v>1.0</v>
      </c>
      <c r="E850" s="102">
        <v>19.0</v>
      </c>
      <c r="F850" s="107">
        <v>85.0</v>
      </c>
      <c r="G850" s="15" t="str">
        <f t="shared" si="1"/>
        <v>19085</v>
      </c>
      <c r="H850" s="23" t="s">
        <v>775</v>
      </c>
      <c r="I850" s="23" t="s">
        <v>50</v>
      </c>
      <c r="J850" s="23" t="s">
        <v>881</v>
      </c>
      <c r="K850" s="23" t="str">
        <f t="shared" si="16"/>
        <v>Harrison, IA</v>
      </c>
      <c r="L850" s="23">
        <v>30.0</v>
      </c>
      <c r="M850" s="23" t="s">
        <v>63</v>
      </c>
      <c r="N850" s="23">
        <v>8.0</v>
      </c>
      <c r="O850" s="23">
        <v>18.0</v>
      </c>
      <c r="P850" s="23" t="s">
        <v>63</v>
      </c>
      <c r="Q850" s="23">
        <v>7.0</v>
      </c>
      <c r="R850" s="314">
        <v>6.0</v>
      </c>
      <c r="S850" s="23" t="s">
        <v>63</v>
      </c>
      <c r="T850" s="32">
        <v>0.16</v>
      </c>
      <c r="U850" s="123" t="s">
        <v>63</v>
      </c>
      <c r="V850" s="23" t="s">
        <v>63</v>
      </c>
      <c r="W850" s="127" t="s">
        <v>63</v>
      </c>
      <c r="X850" s="125" t="s">
        <v>63</v>
      </c>
      <c r="Y850" s="35">
        <v>27.0</v>
      </c>
      <c r="Z850" s="32" t="s">
        <v>63</v>
      </c>
      <c r="AA850" s="38"/>
      <c r="AB850" s="38"/>
      <c r="AC850" s="38"/>
      <c r="AD850" s="38"/>
      <c r="AE850" s="38"/>
      <c r="AF850" s="38"/>
      <c r="AG850" s="38"/>
      <c r="AH850" s="38"/>
      <c r="AI850" s="38"/>
      <c r="AJ850" s="38"/>
      <c r="AK850" s="38"/>
    </row>
    <row r="851">
      <c r="A851" s="99">
        <v>850.0</v>
      </c>
      <c r="B851" s="15"/>
      <c r="C851" s="15"/>
      <c r="D851" s="105">
        <v>1.0</v>
      </c>
      <c r="E851" s="102">
        <v>19.0</v>
      </c>
      <c r="F851" s="107">
        <v>87.0</v>
      </c>
      <c r="G851" s="15" t="str">
        <f t="shared" si="1"/>
        <v>19087</v>
      </c>
      <c r="H851" s="23" t="s">
        <v>140</v>
      </c>
      <c r="I851" s="23" t="s">
        <v>50</v>
      </c>
      <c r="J851" s="23" t="s">
        <v>881</v>
      </c>
      <c r="K851" s="23" t="str">
        <f t="shared" si="16"/>
        <v>Henry, IA</v>
      </c>
      <c r="L851" s="23">
        <v>27.0</v>
      </c>
      <c r="M851" s="23" t="s">
        <v>63</v>
      </c>
      <c r="N851" s="23">
        <v>2.0</v>
      </c>
      <c r="O851" s="23">
        <v>16.0</v>
      </c>
      <c r="P851" s="23" t="s">
        <v>63</v>
      </c>
      <c r="Q851" s="23">
        <v>12.0</v>
      </c>
      <c r="R851" s="314">
        <v>6.0</v>
      </c>
      <c r="S851" s="23" t="s">
        <v>63</v>
      </c>
      <c r="T851" s="32" t="s">
        <v>63</v>
      </c>
      <c r="U851" s="123" t="s">
        <v>63</v>
      </c>
      <c r="V851" s="23" t="s">
        <v>63</v>
      </c>
      <c r="W851" s="127" t="s">
        <v>63</v>
      </c>
      <c r="X851" s="125" t="s">
        <v>63</v>
      </c>
      <c r="Y851" s="35">
        <v>32.0</v>
      </c>
      <c r="Z851" s="32" t="s">
        <v>63</v>
      </c>
      <c r="AA851" s="38"/>
      <c r="AB851" s="38"/>
      <c r="AC851" s="38"/>
      <c r="AD851" s="38"/>
      <c r="AE851" s="38"/>
      <c r="AF851" s="38"/>
      <c r="AG851" s="38"/>
      <c r="AH851" s="38"/>
      <c r="AI851" s="38"/>
      <c r="AJ851" s="38"/>
      <c r="AK851" s="38"/>
    </row>
    <row r="852">
      <c r="A852" s="99">
        <v>851.0</v>
      </c>
      <c r="B852" s="15"/>
      <c r="C852" s="15"/>
      <c r="D852" s="105">
        <v>1.0</v>
      </c>
      <c r="E852" s="102">
        <v>19.0</v>
      </c>
      <c r="F852" s="107">
        <v>89.0</v>
      </c>
      <c r="G852" s="15" t="str">
        <f t="shared" si="1"/>
        <v>19089</v>
      </c>
      <c r="H852" s="23" t="s">
        <v>283</v>
      </c>
      <c r="I852" s="23" t="s">
        <v>50</v>
      </c>
      <c r="J852" s="23" t="s">
        <v>881</v>
      </c>
      <c r="K852" s="23" t="str">
        <f t="shared" si="16"/>
        <v>Howard, IA</v>
      </c>
      <c r="L852" s="23">
        <v>4.0</v>
      </c>
      <c r="M852" s="23" t="s">
        <v>63</v>
      </c>
      <c r="N852" s="23">
        <v>0.0</v>
      </c>
      <c r="O852" s="23">
        <v>2.0</v>
      </c>
      <c r="P852" s="23" t="s">
        <v>63</v>
      </c>
      <c r="Q852" s="23">
        <v>10.0</v>
      </c>
      <c r="R852" s="314" t="s">
        <v>956</v>
      </c>
      <c r="S852" s="23" t="s">
        <v>63</v>
      </c>
      <c r="T852" s="32" t="s">
        <v>63</v>
      </c>
      <c r="U852" s="123" t="s">
        <v>63</v>
      </c>
      <c r="V852" s="23" t="s">
        <v>63</v>
      </c>
      <c r="W852" s="127" t="s">
        <v>63</v>
      </c>
      <c r="X852" s="125" t="s">
        <v>63</v>
      </c>
      <c r="Y852" s="35">
        <v>20.0</v>
      </c>
      <c r="Z852" s="32" t="s">
        <v>63</v>
      </c>
      <c r="AA852" s="38"/>
      <c r="AB852" s="38"/>
      <c r="AC852" s="38"/>
      <c r="AD852" s="38"/>
      <c r="AE852" s="38"/>
      <c r="AF852" s="38"/>
      <c r="AG852" s="38"/>
      <c r="AH852" s="38"/>
      <c r="AI852" s="38"/>
      <c r="AJ852" s="38"/>
      <c r="AK852" s="38"/>
    </row>
    <row r="853">
      <c r="A853" s="99">
        <v>852.0</v>
      </c>
      <c r="B853" s="15"/>
      <c r="C853" s="15"/>
      <c r="D853" s="105">
        <v>1.0</v>
      </c>
      <c r="E853" s="102">
        <v>19.0</v>
      </c>
      <c r="F853" s="107">
        <v>91.0</v>
      </c>
      <c r="G853" s="15" t="str">
        <f t="shared" si="1"/>
        <v>19091</v>
      </c>
      <c r="H853" s="23" t="s">
        <v>333</v>
      </c>
      <c r="I853" s="23" t="s">
        <v>50</v>
      </c>
      <c r="J853" s="23" t="s">
        <v>881</v>
      </c>
      <c r="K853" s="23" t="str">
        <f t="shared" si="16"/>
        <v>Humboldt, IA</v>
      </c>
      <c r="L853" s="23">
        <v>9.0</v>
      </c>
      <c r="M853" s="23" t="s">
        <v>63</v>
      </c>
      <c r="N853" s="23">
        <v>0.0</v>
      </c>
      <c r="O853" s="23">
        <v>4.0</v>
      </c>
      <c r="P853" s="23" t="s">
        <v>63</v>
      </c>
      <c r="Q853" s="23" t="s">
        <v>63</v>
      </c>
      <c r="R853" s="314" t="s">
        <v>956</v>
      </c>
      <c r="S853" s="23" t="s">
        <v>63</v>
      </c>
      <c r="T853" s="32" t="s">
        <v>63</v>
      </c>
      <c r="U853" s="123" t="s">
        <v>63</v>
      </c>
      <c r="V853" s="23" t="s">
        <v>63</v>
      </c>
      <c r="W853" s="127" t="s">
        <v>63</v>
      </c>
      <c r="X853" s="125" t="s">
        <v>63</v>
      </c>
      <c r="Y853" s="35">
        <v>17.0</v>
      </c>
      <c r="Z853" s="32" t="s">
        <v>63</v>
      </c>
      <c r="AA853" s="38"/>
      <c r="AB853" s="38"/>
      <c r="AC853" s="38"/>
      <c r="AD853" s="38"/>
      <c r="AE853" s="38"/>
      <c r="AF853" s="38"/>
      <c r="AG853" s="38"/>
      <c r="AH853" s="38"/>
      <c r="AI853" s="38"/>
      <c r="AJ853" s="38"/>
      <c r="AK853" s="38"/>
    </row>
    <row r="854">
      <c r="A854" s="99">
        <v>853.0</v>
      </c>
      <c r="B854" s="15"/>
      <c r="C854" s="15"/>
      <c r="D854" s="105">
        <v>1.0</v>
      </c>
      <c r="E854" s="102">
        <v>19.0</v>
      </c>
      <c r="F854" s="107">
        <v>93.0</v>
      </c>
      <c r="G854" s="15" t="str">
        <f t="shared" si="1"/>
        <v>19093</v>
      </c>
      <c r="H854" s="23" t="s">
        <v>903</v>
      </c>
      <c r="I854" s="23" t="s">
        <v>50</v>
      </c>
      <c r="J854" s="23" t="s">
        <v>881</v>
      </c>
      <c r="K854" s="23" t="str">
        <f t="shared" si="16"/>
        <v>Ida, IA</v>
      </c>
      <c r="L854" s="23">
        <v>3.0</v>
      </c>
      <c r="M854" s="23" t="s">
        <v>63</v>
      </c>
      <c r="N854" s="23">
        <v>0.0</v>
      </c>
      <c r="O854" s="23">
        <v>3.0</v>
      </c>
      <c r="P854" s="23" t="s">
        <v>63</v>
      </c>
      <c r="Q854" s="23" t="s">
        <v>956</v>
      </c>
      <c r="R854" s="314" t="s">
        <v>63</v>
      </c>
      <c r="S854" s="23" t="s">
        <v>63</v>
      </c>
      <c r="T854" s="32" t="s">
        <v>63</v>
      </c>
      <c r="U854" s="123" t="s">
        <v>63</v>
      </c>
      <c r="V854" s="23" t="s">
        <v>63</v>
      </c>
      <c r="W854" s="127" t="s">
        <v>63</v>
      </c>
      <c r="X854" s="125" t="s">
        <v>63</v>
      </c>
      <c r="Y854" s="35">
        <v>18.0</v>
      </c>
      <c r="Z854" s="32" t="s">
        <v>63</v>
      </c>
      <c r="AA854" s="38"/>
      <c r="AB854" s="38"/>
      <c r="AC854" s="38"/>
      <c r="AD854" s="38"/>
      <c r="AE854" s="38"/>
      <c r="AF854" s="38"/>
      <c r="AG854" s="38"/>
      <c r="AH854" s="38"/>
      <c r="AI854" s="38"/>
      <c r="AJ854" s="38"/>
      <c r="AK854" s="38"/>
    </row>
    <row r="855">
      <c r="A855" s="99">
        <v>854.0</v>
      </c>
      <c r="B855" s="15"/>
      <c r="C855" s="15"/>
      <c r="D855" s="105">
        <v>1.0</v>
      </c>
      <c r="E855" s="102">
        <v>19.0</v>
      </c>
      <c r="F855" s="107">
        <v>95.0</v>
      </c>
      <c r="G855" s="15" t="str">
        <f t="shared" si="1"/>
        <v>19095</v>
      </c>
      <c r="H855" s="23" t="s">
        <v>50</v>
      </c>
      <c r="I855" s="23" t="s">
        <v>50</v>
      </c>
      <c r="J855" s="23" t="s">
        <v>881</v>
      </c>
      <c r="K855" s="23" t="str">
        <f t="shared" si="16"/>
        <v>Iowa, IA</v>
      </c>
      <c r="L855" s="23">
        <v>4.0</v>
      </c>
      <c r="M855" s="23" t="s">
        <v>63</v>
      </c>
      <c r="N855" s="23">
        <v>2.0</v>
      </c>
      <c r="O855" s="23">
        <v>1.0</v>
      </c>
      <c r="P855" s="23" t="s">
        <v>63</v>
      </c>
      <c r="Q855" s="23">
        <v>11.0</v>
      </c>
      <c r="R855" s="314" t="s">
        <v>956</v>
      </c>
      <c r="S855" s="23" t="s">
        <v>63</v>
      </c>
      <c r="T855" s="32">
        <v>0.21875</v>
      </c>
      <c r="U855" s="123" t="s">
        <v>63</v>
      </c>
      <c r="V855" s="23" t="s">
        <v>63</v>
      </c>
      <c r="W855" s="127" t="s">
        <v>63</v>
      </c>
      <c r="X855" s="125" t="s">
        <v>63</v>
      </c>
      <c r="Y855" s="35">
        <v>32.0</v>
      </c>
      <c r="Z855" s="32" t="s">
        <v>63</v>
      </c>
      <c r="AA855" s="38"/>
      <c r="AB855" s="38"/>
      <c r="AC855" s="38"/>
      <c r="AD855" s="38"/>
      <c r="AE855" s="38"/>
      <c r="AF855" s="38"/>
      <c r="AG855" s="38"/>
      <c r="AH855" s="38"/>
      <c r="AI855" s="38"/>
      <c r="AJ855" s="38"/>
      <c r="AK855" s="38"/>
    </row>
    <row r="856">
      <c r="A856" s="99">
        <v>855.0</v>
      </c>
      <c r="B856" s="15"/>
      <c r="C856" s="15"/>
      <c r="D856" s="105">
        <v>1.0</v>
      </c>
      <c r="E856" s="102">
        <v>19.0</v>
      </c>
      <c r="F856" s="107">
        <v>97.0</v>
      </c>
      <c r="G856" s="15" t="str">
        <f t="shared" si="1"/>
        <v>19097</v>
      </c>
      <c r="H856" s="23" t="s">
        <v>142</v>
      </c>
      <c r="I856" s="23" t="s">
        <v>50</v>
      </c>
      <c r="J856" s="23" t="s">
        <v>881</v>
      </c>
      <c r="K856" s="23" t="str">
        <f t="shared" si="16"/>
        <v>Jackson, IA</v>
      </c>
      <c r="L856" s="23">
        <v>4.0</v>
      </c>
      <c r="M856" s="23" t="s">
        <v>63</v>
      </c>
      <c r="N856" s="23">
        <v>1.0</v>
      </c>
      <c r="O856" s="23">
        <v>2.0</v>
      </c>
      <c r="P856" s="23" t="s">
        <v>63</v>
      </c>
      <c r="Q856" s="23" t="s">
        <v>956</v>
      </c>
      <c r="R856" s="314" t="s">
        <v>63</v>
      </c>
      <c r="S856" s="23" t="s">
        <v>63</v>
      </c>
      <c r="T856" s="32" t="s">
        <v>63</v>
      </c>
      <c r="U856" s="123" t="s">
        <v>63</v>
      </c>
      <c r="V856" s="23" t="s">
        <v>63</v>
      </c>
      <c r="W856" s="127" t="s">
        <v>63</v>
      </c>
      <c r="X856" s="125" t="s">
        <v>63</v>
      </c>
      <c r="Y856" s="35">
        <v>22.0</v>
      </c>
      <c r="Z856" s="32" t="s">
        <v>63</v>
      </c>
      <c r="AA856" s="38"/>
      <c r="AB856" s="38"/>
      <c r="AC856" s="38"/>
      <c r="AD856" s="38"/>
      <c r="AE856" s="38"/>
      <c r="AF856" s="38"/>
      <c r="AG856" s="38"/>
      <c r="AH856" s="38"/>
      <c r="AI856" s="38"/>
      <c r="AJ856" s="38"/>
      <c r="AK856" s="38"/>
    </row>
    <row r="857">
      <c r="A857" s="99">
        <v>856.0</v>
      </c>
      <c r="B857" s="15"/>
      <c r="C857" s="15"/>
      <c r="D857" s="105">
        <v>1.0</v>
      </c>
      <c r="E857" s="102">
        <v>19.0</v>
      </c>
      <c r="F857" s="107">
        <v>99.0</v>
      </c>
      <c r="G857" s="15" t="str">
        <f t="shared" si="1"/>
        <v>19099</v>
      </c>
      <c r="H857" s="23" t="s">
        <v>593</v>
      </c>
      <c r="I857" s="23" t="s">
        <v>50</v>
      </c>
      <c r="J857" s="23" t="s">
        <v>881</v>
      </c>
      <c r="K857" s="23" t="str">
        <f t="shared" si="16"/>
        <v>Jasper, IA</v>
      </c>
      <c r="L857" s="23">
        <v>43.0</v>
      </c>
      <c r="M857" s="23" t="s">
        <v>63</v>
      </c>
      <c r="N857" s="23">
        <v>6.0</v>
      </c>
      <c r="O857" s="23">
        <v>25.0</v>
      </c>
      <c r="P857" s="23" t="s">
        <v>63</v>
      </c>
      <c r="Q857" s="23">
        <v>25.0</v>
      </c>
      <c r="R857" s="314">
        <v>9.0</v>
      </c>
      <c r="S857" s="23" t="s">
        <v>63</v>
      </c>
      <c r="T857" s="32">
        <v>0.25675675675675674</v>
      </c>
      <c r="U857" s="123" t="s">
        <v>63</v>
      </c>
      <c r="V857" s="23" t="s">
        <v>63</v>
      </c>
      <c r="W857" s="127" t="s">
        <v>63</v>
      </c>
      <c r="X857" s="125" t="s">
        <v>63</v>
      </c>
      <c r="Y857" s="35">
        <v>53.0</v>
      </c>
      <c r="Z857" s="32" t="s">
        <v>63</v>
      </c>
      <c r="AA857" s="38"/>
      <c r="AB857" s="38"/>
      <c r="AC857" s="38"/>
      <c r="AD857" s="38"/>
      <c r="AE857" s="38"/>
      <c r="AF857" s="38"/>
      <c r="AG857" s="38"/>
      <c r="AH857" s="38"/>
      <c r="AI857" s="38"/>
      <c r="AJ857" s="38"/>
      <c r="AK857" s="38"/>
    </row>
    <row r="858">
      <c r="A858" s="99">
        <v>857.0</v>
      </c>
      <c r="B858" s="15"/>
      <c r="C858" s="15"/>
      <c r="D858" s="105">
        <v>1.0</v>
      </c>
      <c r="E858" s="102">
        <v>19.0</v>
      </c>
      <c r="F858" s="107">
        <v>101.0</v>
      </c>
      <c r="G858" s="15" t="str">
        <f t="shared" si="1"/>
        <v>19101</v>
      </c>
      <c r="H858" s="23" t="s">
        <v>143</v>
      </c>
      <c r="I858" s="23" t="s">
        <v>50</v>
      </c>
      <c r="J858" s="23" t="s">
        <v>881</v>
      </c>
      <c r="K858" s="23" t="str">
        <f t="shared" si="16"/>
        <v>Jefferson, IA</v>
      </c>
      <c r="L858" s="23">
        <v>19.0</v>
      </c>
      <c r="M858" s="23" t="s">
        <v>63</v>
      </c>
      <c r="N858" s="23">
        <v>5.0</v>
      </c>
      <c r="O858" s="23">
        <v>11.0</v>
      </c>
      <c r="P858" s="23" t="s">
        <v>63</v>
      </c>
      <c r="Q858" s="23">
        <v>7.0</v>
      </c>
      <c r="R858" s="314" t="s">
        <v>956</v>
      </c>
      <c r="S858" s="23" t="s">
        <v>63</v>
      </c>
      <c r="T858" s="32">
        <v>0.21153846153846154</v>
      </c>
      <c r="U858" s="123" t="s">
        <v>63</v>
      </c>
      <c r="V858" s="23" t="s">
        <v>63</v>
      </c>
      <c r="W858" s="127" t="s">
        <v>63</v>
      </c>
      <c r="X858" s="125" t="s">
        <v>63</v>
      </c>
      <c r="Y858" s="35">
        <v>18.0</v>
      </c>
      <c r="Z858" s="32" t="s">
        <v>63</v>
      </c>
      <c r="AA858" s="38"/>
      <c r="AB858" s="38"/>
      <c r="AC858" s="38"/>
      <c r="AD858" s="38"/>
      <c r="AE858" s="38"/>
      <c r="AF858" s="38"/>
      <c r="AG858" s="38"/>
      <c r="AH858" s="38"/>
      <c r="AI858" s="38"/>
      <c r="AJ858" s="38"/>
      <c r="AK858" s="38"/>
    </row>
    <row r="859">
      <c r="A859" s="99">
        <v>858.0</v>
      </c>
      <c r="B859" s="15"/>
      <c r="C859" s="15"/>
      <c r="D859" s="105">
        <v>1.0</v>
      </c>
      <c r="E859" s="102">
        <v>19.0</v>
      </c>
      <c r="F859" s="107">
        <v>103.0</v>
      </c>
      <c r="G859" s="15" t="str">
        <f t="shared" si="1"/>
        <v>19103</v>
      </c>
      <c r="H859" s="23" t="s">
        <v>288</v>
      </c>
      <c r="I859" s="23" t="s">
        <v>50</v>
      </c>
      <c r="J859" s="23" t="s">
        <v>881</v>
      </c>
      <c r="K859" s="23" t="str">
        <f t="shared" si="16"/>
        <v>Johnson, IA</v>
      </c>
      <c r="L859" s="23">
        <v>68.0</v>
      </c>
      <c r="M859" s="23" t="s">
        <v>63</v>
      </c>
      <c r="N859" s="23">
        <v>19.0</v>
      </c>
      <c r="O859" s="23">
        <v>29.0</v>
      </c>
      <c r="P859" s="23" t="s">
        <v>63</v>
      </c>
      <c r="Q859" s="23">
        <v>69.0</v>
      </c>
      <c r="R859" s="314">
        <v>19.0</v>
      </c>
      <c r="S859" s="23" t="s">
        <v>63</v>
      </c>
      <c r="T859" s="32">
        <v>0.16751269035532995</v>
      </c>
      <c r="U859" s="123" t="s">
        <v>63</v>
      </c>
      <c r="V859" s="23" t="s">
        <v>63</v>
      </c>
      <c r="W859" s="127" t="s">
        <v>63</v>
      </c>
      <c r="X859" s="125" t="s">
        <v>63</v>
      </c>
      <c r="Y859" s="35">
        <v>83.0</v>
      </c>
      <c r="Z859" s="32" t="s">
        <v>63</v>
      </c>
      <c r="AA859" s="38"/>
      <c r="AB859" s="38"/>
      <c r="AC859" s="38"/>
      <c r="AD859" s="38"/>
      <c r="AE859" s="38"/>
      <c r="AF859" s="38"/>
      <c r="AG859" s="38"/>
      <c r="AH859" s="38"/>
      <c r="AI859" s="38"/>
      <c r="AJ859" s="38"/>
      <c r="AK859" s="38"/>
    </row>
    <row r="860">
      <c r="A860" s="99">
        <v>859.0</v>
      </c>
      <c r="B860" s="15"/>
      <c r="C860" s="15"/>
      <c r="D860" s="105">
        <v>1.0</v>
      </c>
      <c r="E860" s="102">
        <v>19.0</v>
      </c>
      <c r="F860" s="107">
        <v>105.0</v>
      </c>
      <c r="G860" s="15" t="str">
        <f t="shared" si="1"/>
        <v>19105</v>
      </c>
      <c r="H860" s="23" t="s">
        <v>598</v>
      </c>
      <c r="I860" s="23" t="s">
        <v>50</v>
      </c>
      <c r="J860" s="23" t="s">
        <v>881</v>
      </c>
      <c r="K860" s="23" t="str">
        <f t="shared" si="16"/>
        <v>Jones, IA</v>
      </c>
      <c r="L860" s="23">
        <v>36.0</v>
      </c>
      <c r="M860" s="23" t="s">
        <v>63</v>
      </c>
      <c r="N860" s="23">
        <v>10.0</v>
      </c>
      <c r="O860" s="23">
        <v>13.0</v>
      </c>
      <c r="P860" s="23" t="s">
        <v>63</v>
      </c>
      <c r="Q860" s="23">
        <v>11.0</v>
      </c>
      <c r="R860" s="314">
        <v>6.0</v>
      </c>
      <c r="S860" s="23" t="s">
        <v>63</v>
      </c>
      <c r="T860" s="32">
        <v>0.23076923076923078</v>
      </c>
      <c r="U860" s="123" t="s">
        <v>63</v>
      </c>
      <c r="V860" s="23" t="s">
        <v>63</v>
      </c>
      <c r="W860" s="127" t="s">
        <v>63</v>
      </c>
      <c r="X860" s="125" t="s">
        <v>63</v>
      </c>
      <c r="Y860" s="35">
        <v>26.0</v>
      </c>
      <c r="Z860" s="32" t="s">
        <v>63</v>
      </c>
      <c r="AA860" s="38"/>
      <c r="AB860" s="38"/>
      <c r="AC860" s="38"/>
      <c r="AD860" s="38"/>
      <c r="AE860" s="38"/>
      <c r="AF860" s="38"/>
      <c r="AG860" s="38"/>
      <c r="AH860" s="38"/>
      <c r="AI860" s="38"/>
      <c r="AJ860" s="38"/>
      <c r="AK860" s="38"/>
    </row>
    <row r="861">
      <c r="A861" s="99">
        <v>860.0</v>
      </c>
      <c r="B861" s="15"/>
      <c r="C861" s="15"/>
      <c r="D861" s="105">
        <v>1.0</v>
      </c>
      <c r="E861" s="102">
        <v>19.0</v>
      </c>
      <c r="F861" s="107">
        <v>107.0</v>
      </c>
      <c r="G861" s="15" t="str">
        <f t="shared" si="1"/>
        <v>19107</v>
      </c>
      <c r="H861" s="23" t="s">
        <v>905</v>
      </c>
      <c r="I861" s="23" t="s">
        <v>50</v>
      </c>
      <c r="J861" s="23" t="s">
        <v>881</v>
      </c>
      <c r="K861" s="23" t="str">
        <f t="shared" si="16"/>
        <v>Keokuk, IA</v>
      </c>
      <c r="L861" s="23">
        <v>17.0</v>
      </c>
      <c r="M861" s="23" t="s">
        <v>63</v>
      </c>
      <c r="N861" s="23">
        <v>5.0</v>
      </c>
      <c r="O861" s="23">
        <v>11.0</v>
      </c>
      <c r="P861" s="23" t="s">
        <v>63</v>
      </c>
      <c r="Q861" s="23" t="s">
        <v>956</v>
      </c>
      <c r="R861" s="314" t="s">
        <v>63</v>
      </c>
      <c r="S861" s="23" t="s">
        <v>63</v>
      </c>
      <c r="T861" s="32">
        <v>0.20512820512820512</v>
      </c>
      <c r="U861" s="123" t="s">
        <v>63</v>
      </c>
      <c r="V861" s="23" t="s">
        <v>63</v>
      </c>
      <c r="W861" s="127" t="s">
        <v>63</v>
      </c>
      <c r="X861" s="125" t="s">
        <v>63</v>
      </c>
      <c r="Y861" s="35">
        <v>22.0</v>
      </c>
      <c r="Z861" s="32" t="s">
        <v>63</v>
      </c>
      <c r="AA861" s="38"/>
      <c r="AB861" s="38"/>
      <c r="AC861" s="38"/>
      <c r="AD861" s="38"/>
      <c r="AE861" s="38"/>
      <c r="AF861" s="38"/>
      <c r="AG861" s="38"/>
      <c r="AH861" s="38"/>
      <c r="AI861" s="38"/>
      <c r="AJ861" s="38"/>
      <c r="AK861" s="38"/>
    </row>
    <row r="862">
      <c r="A862" s="99">
        <v>861.0</v>
      </c>
      <c r="B862" s="15"/>
      <c r="C862" s="15"/>
      <c r="D862" s="105">
        <v>1.0</v>
      </c>
      <c r="E862" s="102">
        <v>19.0</v>
      </c>
      <c r="F862" s="107">
        <v>109.0</v>
      </c>
      <c r="G862" s="15" t="str">
        <f t="shared" si="1"/>
        <v>19109</v>
      </c>
      <c r="H862" s="23" t="s">
        <v>906</v>
      </c>
      <c r="I862" s="23" t="s">
        <v>50</v>
      </c>
      <c r="J862" s="23" t="s">
        <v>881</v>
      </c>
      <c r="K862" s="23" t="str">
        <f t="shared" si="16"/>
        <v>Kossuth, IA</v>
      </c>
      <c r="L862" s="23">
        <v>5.0</v>
      </c>
      <c r="M862" s="23" t="s">
        <v>63</v>
      </c>
      <c r="N862" s="23">
        <v>2.0</v>
      </c>
      <c r="O862" s="23">
        <v>2.0</v>
      </c>
      <c r="P862" s="23" t="s">
        <v>63</v>
      </c>
      <c r="Q862" s="23">
        <v>6.0</v>
      </c>
      <c r="R862" s="314" t="s">
        <v>956</v>
      </c>
      <c r="S862" s="23" t="s">
        <v>63</v>
      </c>
      <c r="T862" s="32" t="e">
        <v>#N/A</v>
      </c>
      <c r="U862" s="123" t="s">
        <v>63</v>
      </c>
      <c r="V862" s="23" t="s">
        <v>63</v>
      </c>
      <c r="W862" s="127" t="s">
        <v>63</v>
      </c>
      <c r="X862" s="125" t="s">
        <v>63</v>
      </c>
      <c r="Y862" s="35">
        <v>29.0</v>
      </c>
      <c r="Z862" s="32" t="s">
        <v>63</v>
      </c>
      <c r="AA862" s="38"/>
      <c r="AB862" s="38"/>
      <c r="AC862" s="38"/>
      <c r="AD862" s="38"/>
      <c r="AE862" s="38"/>
      <c r="AF862" s="38"/>
      <c r="AG862" s="38"/>
      <c r="AH862" s="38"/>
      <c r="AI862" s="38"/>
      <c r="AJ862" s="38"/>
      <c r="AK862" s="38"/>
    </row>
    <row r="863">
      <c r="A863" s="99">
        <v>862.0</v>
      </c>
      <c r="B863" s="15"/>
      <c r="C863" s="15"/>
      <c r="D863" s="105">
        <v>1.0</v>
      </c>
      <c r="E863" s="102">
        <v>19.0</v>
      </c>
      <c r="F863" s="107">
        <v>111.0</v>
      </c>
      <c r="G863" s="15" t="str">
        <f t="shared" si="1"/>
        <v>19111</v>
      </c>
      <c r="H863" s="23" t="s">
        <v>147</v>
      </c>
      <c r="I863" s="23" t="s">
        <v>50</v>
      </c>
      <c r="J863" s="23" t="s">
        <v>881</v>
      </c>
      <c r="K863" s="23" t="str">
        <f t="shared" si="16"/>
        <v>Lee, IA</v>
      </c>
      <c r="L863" s="23">
        <v>75.0</v>
      </c>
      <c r="M863" s="23" t="s">
        <v>63</v>
      </c>
      <c r="N863" s="23">
        <v>30.0</v>
      </c>
      <c r="O863" s="23">
        <v>40.0</v>
      </c>
      <c r="P863" s="23" t="s">
        <v>63</v>
      </c>
      <c r="Q863" s="23">
        <v>23.0</v>
      </c>
      <c r="R863" s="314" t="s">
        <v>956</v>
      </c>
      <c r="S863" s="23" t="s">
        <v>63</v>
      </c>
      <c r="T863" s="32">
        <v>0.11851851851851852</v>
      </c>
      <c r="U863" s="123" t="s">
        <v>63</v>
      </c>
      <c r="V863" s="23" t="s">
        <v>63</v>
      </c>
      <c r="W863" s="127" t="s">
        <v>63</v>
      </c>
      <c r="X863" s="125" t="s">
        <v>63</v>
      </c>
      <c r="Y863" s="35">
        <v>56.0</v>
      </c>
      <c r="Z863" s="32" t="s">
        <v>63</v>
      </c>
      <c r="AA863" s="38"/>
      <c r="AB863" s="38"/>
      <c r="AC863" s="38"/>
      <c r="AD863" s="38"/>
      <c r="AE863" s="38"/>
      <c r="AF863" s="38"/>
      <c r="AG863" s="38"/>
      <c r="AH863" s="38"/>
      <c r="AI863" s="38"/>
      <c r="AJ863" s="38"/>
      <c r="AK863" s="38"/>
    </row>
    <row r="864">
      <c r="A864" s="99">
        <v>863.0</v>
      </c>
      <c r="B864" s="15"/>
      <c r="C864" s="15"/>
      <c r="D864" s="105">
        <v>1.0</v>
      </c>
      <c r="E864" s="102">
        <v>19.0</v>
      </c>
      <c r="F864" s="107">
        <v>113.0</v>
      </c>
      <c r="G864" s="15" t="str">
        <f t="shared" si="1"/>
        <v>19113</v>
      </c>
      <c r="H864" s="23" t="s">
        <v>907</v>
      </c>
      <c r="I864" s="23" t="s">
        <v>50</v>
      </c>
      <c r="J864" s="23" t="s">
        <v>881</v>
      </c>
      <c r="K864" s="23" t="str">
        <f t="shared" si="16"/>
        <v>Linn, IA</v>
      </c>
      <c r="L864" s="23">
        <v>452.0</v>
      </c>
      <c r="M864" s="23" t="s">
        <v>63</v>
      </c>
      <c r="N864" s="23">
        <v>147.0</v>
      </c>
      <c r="O864" s="23">
        <v>182.0</v>
      </c>
      <c r="P864" s="23" t="s">
        <v>63</v>
      </c>
      <c r="Q864" s="23">
        <v>212.0</v>
      </c>
      <c r="R864" s="314">
        <v>69.0</v>
      </c>
      <c r="S864" s="23" t="s">
        <v>63</v>
      </c>
      <c r="T864" s="32">
        <v>0.2076069730586371</v>
      </c>
      <c r="U864" s="123" t="s">
        <v>63</v>
      </c>
      <c r="V864" s="23" t="s">
        <v>63</v>
      </c>
      <c r="W864" s="127" t="s">
        <v>63</v>
      </c>
      <c r="X864" s="125" t="s">
        <v>63</v>
      </c>
      <c r="Y864" s="35">
        <v>148.0</v>
      </c>
      <c r="Z864" s="32" t="s">
        <v>63</v>
      </c>
      <c r="AA864" s="38"/>
      <c r="AB864" s="38"/>
      <c r="AC864" s="38"/>
      <c r="AD864" s="38"/>
      <c r="AE864" s="38"/>
      <c r="AF864" s="38"/>
      <c r="AG864" s="38"/>
      <c r="AH864" s="38"/>
      <c r="AI864" s="38"/>
      <c r="AJ864" s="38"/>
      <c r="AK864" s="38"/>
    </row>
    <row r="865">
      <c r="A865" s="99">
        <v>864.0</v>
      </c>
      <c r="B865" s="15"/>
      <c r="C865" s="15"/>
      <c r="D865" s="105">
        <v>1.0</v>
      </c>
      <c r="E865" s="102">
        <v>19.0</v>
      </c>
      <c r="F865" s="107">
        <v>115.0</v>
      </c>
      <c r="G865" s="15" t="str">
        <f t="shared" si="1"/>
        <v>19115</v>
      </c>
      <c r="H865" s="23" t="s">
        <v>908</v>
      </c>
      <c r="I865" s="23" t="s">
        <v>50</v>
      </c>
      <c r="J865" s="23" t="s">
        <v>881</v>
      </c>
      <c r="K865" s="23" t="str">
        <f t="shared" si="16"/>
        <v>Louisa, IA</v>
      </c>
      <c r="L865" s="23">
        <v>16.0</v>
      </c>
      <c r="M865" s="23" t="s">
        <v>63</v>
      </c>
      <c r="N865" s="23">
        <v>2.0</v>
      </c>
      <c r="O865" s="23">
        <v>12.0</v>
      </c>
      <c r="P865" s="23" t="s">
        <v>63</v>
      </c>
      <c r="Q865" s="23">
        <v>6.0</v>
      </c>
      <c r="R865" s="314" t="s">
        <v>956</v>
      </c>
      <c r="S865" s="23" t="s">
        <v>63</v>
      </c>
      <c r="T865" s="32" t="s">
        <v>63</v>
      </c>
      <c r="U865" s="123" t="s">
        <v>63</v>
      </c>
      <c r="V865" s="23" t="s">
        <v>63</v>
      </c>
      <c r="W865" s="127" t="s">
        <v>63</v>
      </c>
      <c r="X865" s="125" t="s">
        <v>63</v>
      </c>
      <c r="Y865" s="35">
        <v>15.0</v>
      </c>
      <c r="Z865" s="32" t="s">
        <v>63</v>
      </c>
      <c r="AA865" s="38"/>
      <c r="AB865" s="38"/>
      <c r="AC865" s="38"/>
      <c r="AD865" s="38"/>
      <c r="AE865" s="38"/>
      <c r="AF865" s="38"/>
      <c r="AG865" s="38"/>
      <c r="AH865" s="38"/>
      <c r="AI865" s="38"/>
      <c r="AJ865" s="38"/>
      <c r="AK865" s="38"/>
    </row>
    <row r="866">
      <c r="A866" s="99">
        <v>865.0</v>
      </c>
      <c r="B866" s="15"/>
      <c r="C866" s="15"/>
      <c r="D866" s="105">
        <v>1.0</v>
      </c>
      <c r="E866" s="102">
        <v>19.0</v>
      </c>
      <c r="F866" s="107">
        <v>117.0</v>
      </c>
      <c r="G866" s="15" t="str">
        <f t="shared" si="1"/>
        <v>19117</v>
      </c>
      <c r="H866" s="23" t="s">
        <v>909</v>
      </c>
      <c r="I866" s="23" t="s">
        <v>50</v>
      </c>
      <c r="J866" s="23" t="s">
        <v>881</v>
      </c>
      <c r="K866" s="23" t="str">
        <f t="shared" si="16"/>
        <v>Lucas, IA</v>
      </c>
      <c r="L866" s="23">
        <v>13.0</v>
      </c>
      <c r="M866" s="23" t="s">
        <v>63</v>
      </c>
      <c r="N866" s="23">
        <v>0.0</v>
      </c>
      <c r="O866" s="23">
        <v>8.0</v>
      </c>
      <c r="P866" s="23" t="s">
        <v>63</v>
      </c>
      <c r="Q866" s="23" t="s">
        <v>956</v>
      </c>
      <c r="R866" s="314" t="s">
        <v>956</v>
      </c>
      <c r="S866" s="23" t="s">
        <v>63</v>
      </c>
      <c r="T866" s="32">
        <v>0.3103448275862069</v>
      </c>
      <c r="U866" s="123" t="s">
        <v>63</v>
      </c>
      <c r="V866" s="23" t="s">
        <v>63</v>
      </c>
      <c r="W866" s="127" t="s">
        <v>63</v>
      </c>
      <c r="X866" s="125" t="s">
        <v>63</v>
      </c>
      <c r="Y866" s="35">
        <v>18.0</v>
      </c>
      <c r="Z866" s="32" t="s">
        <v>63</v>
      </c>
      <c r="AA866" s="38"/>
      <c r="AB866" s="38"/>
      <c r="AC866" s="38"/>
      <c r="AD866" s="38"/>
      <c r="AE866" s="38"/>
      <c r="AF866" s="38"/>
      <c r="AG866" s="38"/>
      <c r="AH866" s="38"/>
      <c r="AI866" s="38"/>
      <c r="AJ866" s="38"/>
      <c r="AK866" s="38"/>
    </row>
    <row r="867">
      <c r="A867" s="99">
        <v>866.0</v>
      </c>
      <c r="B867" s="15"/>
      <c r="C867" s="15"/>
      <c r="D867" s="105">
        <v>1.0</v>
      </c>
      <c r="E867" s="102">
        <v>19.0</v>
      </c>
      <c r="F867" s="107">
        <v>119.0</v>
      </c>
      <c r="G867" s="15" t="str">
        <f t="shared" si="1"/>
        <v>19119</v>
      </c>
      <c r="H867" s="23" t="s">
        <v>910</v>
      </c>
      <c r="I867" s="23" t="s">
        <v>50</v>
      </c>
      <c r="J867" s="23" t="s">
        <v>881</v>
      </c>
      <c r="K867" s="23" t="str">
        <f t="shared" si="16"/>
        <v>Lyon, IA</v>
      </c>
      <c r="L867" s="23">
        <v>4.0</v>
      </c>
      <c r="M867" s="23" t="s">
        <v>63</v>
      </c>
      <c r="N867" s="23">
        <v>1.0</v>
      </c>
      <c r="O867" s="23">
        <v>4.0</v>
      </c>
      <c r="P867" s="23" t="s">
        <v>63</v>
      </c>
      <c r="Q867" s="23">
        <v>16.0</v>
      </c>
      <c r="R867" s="314" t="s">
        <v>63</v>
      </c>
      <c r="S867" s="23" t="s">
        <v>63</v>
      </c>
      <c r="T867" s="32">
        <v>0.41379310344827586</v>
      </c>
      <c r="U867" s="123" t="s">
        <v>63</v>
      </c>
      <c r="V867" s="23" t="s">
        <v>63</v>
      </c>
      <c r="W867" s="127" t="s">
        <v>63</v>
      </c>
      <c r="X867" s="125" t="s">
        <v>63</v>
      </c>
      <c r="Y867" s="35">
        <v>32.0</v>
      </c>
      <c r="Z867" s="32" t="s">
        <v>63</v>
      </c>
      <c r="AA867" s="38"/>
      <c r="AB867" s="38"/>
      <c r="AC867" s="38"/>
      <c r="AD867" s="38"/>
      <c r="AE867" s="38"/>
      <c r="AF867" s="38"/>
      <c r="AG867" s="38"/>
      <c r="AH867" s="38"/>
      <c r="AI867" s="38"/>
      <c r="AJ867" s="38"/>
      <c r="AK867" s="38"/>
    </row>
    <row r="868">
      <c r="A868" s="99">
        <v>867.0</v>
      </c>
      <c r="B868" s="15"/>
      <c r="C868" s="15"/>
      <c r="D868" s="105">
        <v>1.0</v>
      </c>
      <c r="E868" s="102">
        <v>19.0</v>
      </c>
      <c r="F868" s="107">
        <v>121.0</v>
      </c>
      <c r="G868" s="15" t="str">
        <f t="shared" si="1"/>
        <v>19121</v>
      </c>
      <c r="H868" s="23" t="s">
        <v>151</v>
      </c>
      <c r="I868" s="23" t="s">
        <v>50</v>
      </c>
      <c r="J868" s="23" t="s">
        <v>881</v>
      </c>
      <c r="K868" s="23" t="str">
        <f t="shared" si="16"/>
        <v>Madison, IA</v>
      </c>
      <c r="L868" s="23">
        <v>16.0</v>
      </c>
      <c r="M868" s="23" t="s">
        <v>63</v>
      </c>
      <c r="N868" s="23">
        <v>1.0</v>
      </c>
      <c r="O868" s="23">
        <v>13.0</v>
      </c>
      <c r="P868" s="23" t="s">
        <v>63</v>
      </c>
      <c r="Q868" s="23">
        <v>12.0</v>
      </c>
      <c r="R868" s="314" t="s">
        <v>956</v>
      </c>
      <c r="S868" s="23" t="s">
        <v>63</v>
      </c>
      <c r="T868" s="32" t="s">
        <v>63</v>
      </c>
      <c r="U868" s="123" t="s">
        <v>63</v>
      </c>
      <c r="V868" s="23" t="s">
        <v>63</v>
      </c>
      <c r="W868" s="127" t="s">
        <v>63</v>
      </c>
      <c r="X868" s="125" t="s">
        <v>63</v>
      </c>
      <c r="Y868" s="35">
        <v>25.0</v>
      </c>
      <c r="Z868" s="32" t="s">
        <v>63</v>
      </c>
      <c r="AA868" s="38"/>
      <c r="AB868" s="38"/>
      <c r="AC868" s="38"/>
      <c r="AD868" s="38"/>
      <c r="AE868" s="38"/>
      <c r="AF868" s="38"/>
      <c r="AG868" s="38"/>
      <c r="AH868" s="38"/>
      <c r="AI868" s="38"/>
      <c r="AJ868" s="38"/>
      <c r="AK868" s="38"/>
    </row>
    <row r="869">
      <c r="A869" s="99">
        <v>868.0</v>
      </c>
      <c r="B869" s="15"/>
      <c r="C869" s="15"/>
      <c r="D869" s="105">
        <v>1.0</v>
      </c>
      <c r="E869" s="102">
        <v>19.0</v>
      </c>
      <c r="F869" s="107">
        <v>123.0</v>
      </c>
      <c r="G869" s="15" t="str">
        <f t="shared" si="1"/>
        <v>19123</v>
      </c>
      <c r="H869" s="23" t="s">
        <v>912</v>
      </c>
      <c r="I869" s="23" t="s">
        <v>50</v>
      </c>
      <c r="J869" s="23" t="s">
        <v>881</v>
      </c>
      <c r="K869" s="23" t="str">
        <f t="shared" si="16"/>
        <v>Mahaska, IA</v>
      </c>
      <c r="L869" s="23">
        <v>32.0</v>
      </c>
      <c r="M869" s="23" t="s">
        <v>63</v>
      </c>
      <c r="N869" s="23">
        <v>11.0</v>
      </c>
      <c r="O869" s="23">
        <v>16.0</v>
      </c>
      <c r="P869" s="23" t="s">
        <v>63</v>
      </c>
      <c r="Q869" s="23">
        <v>15.0</v>
      </c>
      <c r="R869" s="314">
        <v>6.0</v>
      </c>
      <c r="S869" s="23" t="s">
        <v>63</v>
      </c>
      <c r="T869" s="32">
        <v>0.13513513513513514</v>
      </c>
      <c r="U869" s="123" t="s">
        <v>63</v>
      </c>
      <c r="V869" s="23" t="s">
        <v>63</v>
      </c>
      <c r="W869" s="127" t="s">
        <v>63</v>
      </c>
      <c r="X869" s="125" t="s">
        <v>63</v>
      </c>
      <c r="Y869" s="35">
        <v>48.0</v>
      </c>
      <c r="Z869" s="32" t="s">
        <v>63</v>
      </c>
      <c r="AA869" s="38"/>
      <c r="AB869" s="38"/>
      <c r="AC869" s="38"/>
      <c r="AD869" s="38"/>
      <c r="AE869" s="38"/>
      <c r="AF869" s="38"/>
      <c r="AG869" s="38"/>
      <c r="AH869" s="38"/>
      <c r="AI869" s="38"/>
      <c r="AJ869" s="38"/>
      <c r="AK869" s="38"/>
    </row>
    <row r="870">
      <c r="A870" s="99">
        <v>869.0</v>
      </c>
      <c r="B870" s="15"/>
      <c r="C870" s="15"/>
      <c r="D870" s="105">
        <v>1.0</v>
      </c>
      <c r="E870" s="102">
        <v>19.0</v>
      </c>
      <c r="F870" s="107">
        <v>125.0</v>
      </c>
      <c r="G870" s="15" t="str">
        <f t="shared" si="1"/>
        <v>19125</v>
      </c>
      <c r="H870" s="23" t="s">
        <v>153</v>
      </c>
      <c r="I870" s="23" t="s">
        <v>50</v>
      </c>
      <c r="J870" s="23" t="s">
        <v>881</v>
      </c>
      <c r="K870" s="23" t="str">
        <f t="shared" si="16"/>
        <v>Marion, IA</v>
      </c>
      <c r="L870" s="23">
        <v>36.0</v>
      </c>
      <c r="M870" s="23" t="s">
        <v>63</v>
      </c>
      <c r="N870" s="23">
        <v>13.0</v>
      </c>
      <c r="O870" s="23">
        <v>20.0</v>
      </c>
      <c r="P870" s="23" t="s">
        <v>63</v>
      </c>
      <c r="Q870" s="23">
        <v>23.0</v>
      </c>
      <c r="R870" s="314">
        <v>12.0</v>
      </c>
      <c r="S870" s="23" t="s">
        <v>63</v>
      </c>
      <c r="T870" s="32">
        <v>0.25663716814159293</v>
      </c>
      <c r="U870" s="123" t="s">
        <v>63</v>
      </c>
      <c r="V870" s="23" t="s">
        <v>63</v>
      </c>
      <c r="W870" s="127" t="s">
        <v>63</v>
      </c>
      <c r="X870" s="125" t="s">
        <v>63</v>
      </c>
      <c r="Y870" s="35">
        <v>61.0</v>
      </c>
      <c r="Z870" s="32" t="s">
        <v>63</v>
      </c>
      <c r="AA870" s="38"/>
      <c r="AB870" s="38"/>
      <c r="AC870" s="38"/>
      <c r="AD870" s="38"/>
      <c r="AE870" s="38"/>
      <c r="AF870" s="38"/>
      <c r="AG870" s="38"/>
      <c r="AH870" s="38"/>
      <c r="AI870" s="38"/>
      <c r="AJ870" s="38"/>
      <c r="AK870" s="38"/>
    </row>
    <row r="871">
      <c r="A871" s="99">
        <v>870.0</v>
      </c>
      <c r="B871" s="15"/>
      <c r="C871" s="15"/>
      <c r="D871" s="105">
        <v>1.0</v>
      </c>
      <c r="E871" s="102">
        <v>19.0</v>
      </c>
      <c r="F871" s="107">
        <v>127.0</v>
      </c>
      <c r="G871" s="15" t="str">
        <f t="shared" si="1"/>
        <v>19127</v>
      </c>
      <c r="H871" s="23" t="s">
        <v>154</v>
      </c>
      <c r="I871" s="23" t="s">
        <v>50</v>
      </c>
      <c r="J871" s="23" t="s">
        <v>881</v>
      </c>
      <c r="K871" s="23" t="str">
        <f t="shared" si="16"/>
        <v>Marshall, IA</v>
      </c>
      <c r="L871" s="23">
        <v>59.0</v>
      </c>
      <c r="M871" s="23" t="s">
        <v>63</v>
      </c>
      <c r="N871" s="23">
        <v>27.0</v>
      </c>
      <c r="O871" s="23">
        <v>25.0</v>
      </c>
      <c r="P871" s="23" t="s">
        <v>63</v>
      </c>
      <c r="Q871" s="23">
        <v>28.0</v>
      </c>
      <c r="R871" s="314">
        <v>18.0</v>
      </c>
      <c r="S871" s="23" t="s">
        <v>63</v>
      </c>
      <c r="T871" s="32">
        <v>0.23369565217391305</v>
      </c>
      <c r="U871" s="123" t="s">
        <v>63</v>
      </c>
      <c r="V871" s="23" t="s">
        <v>63</v>
      </c>
      <c r="W871" s="127" t="s">
        <v>63</v>
      </c>
      <c r="X871" s="125" t="s">
        <v>63</v>
      </c>
      <c r="Y871" s="35">
        <v>55.0</v>
      </c>
      <c r="Z871" s="32" t="s">
        <v>63</v>
      </c>
      <c r="AA871" s="38"/>
      <c r="AB871" s="38"/>
      <c r="AC871" s="38"/>
      <c r="AD871" s="38"/>
      <c r="AE871" s="38"/>
      <c r="AF871" s="38"/>
      <c r="AG871" s="38"/>
      <c r="AH871" s="38"/>
      <c r="AI871" s="38"/>
      <c r="AJ871" s="38"/>
      <c r="AK871" s="38"/>
    </row>
    <row r="872">
      <c r="A872" s="99">
        <v>871.0</v>
      </c>
      <c r="B872" s="15"/>
      <c r="C872" s="15"/>
      <c r="D872" s="105">
        <v>1.0</v>
      </c>
      <c r="E872" s="102">
        <v>19.0</v>
      </c>
      <c r="F872" s="107">
        <v>129.0</v>
      </c>
      <c r="G872" s="15" t="str">
        <f t="shared" si="1"/>
        <v>19129</v>
      </c>
      <c r="H872" s="23" t="s">
        <v>913</v>
      </c>
      <c r="I872" s="23" t="s">
        <v>50</v>
      </c>
      <c r="J872" s="23" t="s">
        <v>881</v>
      </c>
      <c r="K872" s="23" t="str">
        <f t="shared" si="16"/>
        <v>Mills, IA</v>
      </c>
      <c r="L872" s="23">
        <v>12.0</v>
      </c>
      <c r="M872" s="23" t="s">
        <v>63</v>
      </c>
      <c r="N872" s="23">
        <v>2.0</v>
      </c>
      <c r="O872" s="23">
        <v>7.0</v>
      </c>
      <c r="P872" s="23" t="s">
        <v>63</v>
      </c>
      <c r="Q872" s="23">
        <v>10.0</v>
      </c>
      <c r="R872" s="314" t="s">
        <v>956</v>
      </c>
      <c r="S872" s="23" t="s">
        <v>63</v>
      </c>
      <c r="T872" s="32">
        <v>0.21212121212121213</v>
      </c>
      <c r="U872" s="123" t="s">
        <v>63</v>
      </c>
      <c r="V872" s="23" t="s">
        <v>63</v>
      </c>
      <c r="W872" s="127" t="s">
        <v>63</v>
      </c>
      <c r="X872" s="125" t="s">
        <v>63</v>
      </c>
      <c r="Y872" s="35">
        <v>18.0</v>
      </c>
      <c r="Z872" s="32" t="s">
        <v>63</v>
      </c>
      <c r="AA872" s="38"/>
      <c r="AB872" s="38"/>
      <c r="AC872" s="38"/>
      <c r="AD872" s="38"/>
      <c r="AE872" s="38"/>
      <c r="AF872" s="38"/>
      <c r="AG872" s="38"/>
      <c r="AH872" s="38"/>
      <c r="AI872" s="38"/>
      <c r="AJ872" s="38"/>
      <c r="AK872" s="38"/>
    </row>
    <row r="873">
      <c r="A873" s="99">
        <v>872.0</v>
      </c>
      <c r="B873" s="15"/>
      <c r="C873" s="15"/>
      <c r="D873" s="105">
        <v>1.0</v>
      </c>
      <c r="E873" s="102">
        <v>19.0</v>
      </c>
      <c r="F873" s="107">
        <v>131.0</v>
      </c>
      <c r="G873" s="15" t="str">
        <f t="shared" si="1"/>
        <v>19131</v>
      </c>
      <c r="H873" s="23" t="s">
        <v>610</v>
      </c>
      <c r="I873" s="23" t="s">
        <v>50</v>
      </c>
      <c r="J873" s="23" t="s">
        <v>881</v>
      </c>
      <c r="K873" s="23" t="str">
        <f t="shared" si="16"/>
        <v>Mitchell, IA</v>
      </c>
      <c r="L873" s="23">
        <v>6.0</v>
      </c>
      <c r="M873" s="23" t="s">
        <v>63</v>
      </c>
      <c r="N873" s="23">
        <v>4.0</v>
      </c>
      <c r="O873" s="23">
        <v>2.0</v>
      </c>
      <c r="P873" s="23" t="s">
        <v>63</v>
      </c>
      <c r="Q873" s="23">
        <v>9.0</v>
      </c>
      <c r="R873" s="314" t="s">
        <v>956</v>
      </c>
      <c r="S873" s="23" t="s">
        <v>63</v>
      </c>
      <c r="T873" s="32">
        <v>0.1875</v>
      </c>
      <c r="U873" s="123" t="s">
        <v>63</v>
      </c>
      <c r="V873" s="23" t="s">
        <v>63</v>
      </c>
      <c r="W873" s="127" t="s">
        <v>63</v>
      </c>
      <c r="X873" s="125" t="s">
        <v>63</v>
      </c>
      <c r="Y873" s="35">
        <v>21.0</v>
      </c>
      <c r="Z873" s="32" t="s">
        <v>63</v>
      </c>
      <c r="AA873" s="38"/>
      <c r="AB873" s="38"/>
      <c r="AC873" s="38"/>
      <c r="AD873" s="38"/>
      <c r="AE873" s="38"/>
      <c r="AF873" s="38"/>
      <c r="AG873" s="38"/>
      <c r="AH873" s="38"/>
      <c r="AI873" s="38"/>
      <c r="AJ873" s="38"/>
      <c r="AK873" s="38"/>
    </row>
    <row r="874">
      <c r="A874" s="99">
        <v>873.0</v>
      </c>
      <c r="B874" s="15"/>
      <c r="C874" s="15"/>
      <c r="D874" s="105">
        <v>1.0</v>
      </c>
      <c r="E874" s="102">
        <v>19.0</v>
      </c>
      <c r="F874" s="107">
        <v>133.0</v>
      </c>
      <c r="G874" s="15" t="str">
        <f t="shared" si="1"/>
        <v>19133</v>
      </c>
      <c r="H874" s="23" t="s">
        <v>915</v>
      </c>
      <c r="I874" s="23" t="s">
        <v>50</v>
      </c>
      <c r="J874" s="23" t="s">
        <v>881</v>
      </c>
      <c r="K874" s="23" t="str">
        <f t="shared" si="16"/>
        <v>Monona, IA</v>
      </c>
      <c r="L874" s="23">
        <v>8.0</v>
      </c>
      <c r="M874" s="23" t="s">
        <v>63</v>
      </c>
      <c r="N874" s="23">
        <v>0.0</v>
      </c>
      <c r="O874" s="23">
        <v>8.0</v>
      </c>
      <c r="P874" s="23" t="s">
        <v>63</v>
      </c>
      <c r="Q874" s="23">
        <v>8.0</v>
      </c>
      <c r="R874" s="314" t="s">
        <v>63</v>
      </c>
      <c r="S874" s="23" t="s">
        <v>63</v>
      </c>
      <c r="T874" s="32" t="e">
        <v>#N/A</v>
      </c>
      <c r="U874" s="123" t="s">
        <v>63</v>
      </c>
      <c r="V874" s="23" t="s">
        <v>63</v>
      </c>
      <c r="W874" s="127" t="s">
        <v>63</v>
      </c>
      <c r="X874" s="125" t="s">
        <v>63</v>
      </c>
      <c r="Y874" s="35">
        <v>20.0</v>
      </c>
      <c r="Z874" s="32" t="s">
        <v>63</v>
      </c>
      <c r="AA874" s="38"/>
      <c r="AB874" s="38"/>
      <c r="AC874" s="38"/>
      <c r="AD874" s="38"/>
      <c r="AE874" s="38"/>
      <c r="AF874" s="38"/>
      <c r="AG874" s="38"/>
      <c r="AH874" s="38"/>
      <c r="AI874" s="38"/>
      <c r="AJ874" s="38"/>
      <c r="AK874" s="38"/>
    </row>
    <row r="875">
      <c r="A875" s="99">
        <v>874.0</v>
      </c>
      <c r="B875" s="15"/>
      <c r="C875" s="15"/>
      <c r="D875" s="105">
        <v>1.0</v>
      </c>
      <c r="E875" s="102">
        <v>19.0</v>
      </c>
      <c r="F875" s="107">
        <v>135.0</v>
      </c>
      <c r="G875" s="15" t="str">
        <f t="shared" si="1"/>
        <v>19135</v>
      </c>
      <c r="H875" s="23" t="s">
        <v>156</v>
      </c>
      <c r="I875" s="23" t="s">
        <v>50</v>
      </c>
      <c r="J875" s="23" t="s">
        <v>881</v>
      </c>
      <c r="K875" s="23" t="str">
        <f t="shared" si="16"/>
        <v>Monroe, IA</v>
      </c>
      <c r="L875" s="23">
        <v>15.0</v>
      </c>
      <c r="M875" s="23" t="s">
        <v>63</v>
      </c>
      <c r="N875" s="23">
        <v>1.0</v>
      </c>
      <c r="O875" s="23">
        <v>13.0</v>
      </c>
      <c r="P875" s="23" t="s">
        <v>63</v>
      </c>
      <c r="Q875" s="23">
        <v>7.0</v>
      </c>
      <c r="R875" s="314" t="s">
        <v>956</v>
      </c>
      <c r="S875" s="23" t="s">
        <v>63</v>
      </c>
      <c r="T875" s="32">
        <v>0.2962962962962963</v>
      </c>
      <c r="U875" s="123" t="s">
        <v>63</v>
      </c>
      <c r="V875" s="23" t="s">
        <v>63</v>
      </c>
      <c r="W875" s="127" t="s">
        <v>63</v>
      </c>
      <c r="X875" s="125" t="s">
        <v>63</v>
      </c>
      <c r="Y875" s="35">
        <v>11.0</v>
      </c>
      <c r="Z875" s="32" t="s">
        <v>63</v>
      </c>
      <c r="AA875" s="38"/>
      <c r="AB875" s="38"/>
      <c r="AC875" s="38"/>
      <c r="AD875" s="38"/>
      <c r="AE875" s="38"/>
      <c r="AF875" s="38"/>
      <c r="AG875" s="38"/>
      <c r="AH875" s="38"/>
      <c r="AI875" s="38"/>
      <c r="AJ875" s="38"/>
      <c r="AK875" s="38"/>
    </row>
    <row r="876">
      <c r="A876" s="99">
        <v>875.0</v>
      </c>
      <c r="B876" s="15"/>
      <c r="C876" s="15"/>
      <c r="D876" s="105">
        <v>1.0</v>
      </c>
      <c r="E876" s="102">
        <v>19.0</v>
      </c>
      <c r="F876" s="107">
        <v>137.0</v>
      </c>
      <c r="G876" s="15" t="str">
        <f t="shared" si="1"/>
        <v>19137</v>
      </c>
      <c r="H876" s="23" t="s">
        <v>157</v>
      </c>
      <c r="I876" s="23" t="s">
        <v>50</v>
      </c>
      <c r="J876" s="23" t="s">
        <v>881</v>
      </c>
      <c r="K876" s="23" t="str">
        <f t="shared" si="16"/>
        <v>Montgomery, IA</v>
      </c>
      <c r="L876" s="23">
        <v>30.0</v>
      </c>
      <c r="M876" s="23" t="s">
        <v>63</v>
      </c>
      <c r="N876" s="23">
        <v>8.0</v>
      </c>
      <c r="O876" s="23">
        <v>20.0</v>
      </c>
      <c r="P876" s="23" t="s">
        <v>63</v>
      </c>
      <c r="Q876" s="23">
        <v>7.0</v>
      </c>
      <c r="R876" s="314" t="s">
        <v>956</v>
      </c>
      <c r="S876" s="23" t="s">
        <v>63</v>
      </c>
      <c r="T876" s="32">
        <v>0.22807017543859648</v>
      </c>
      <c r="U876" s="123" t="s">
        <v>63</v>
      </c>
      <c r="V876" s="23" t="s">
        <v>63</v>
      </c>
      <c r="W876" s="127" t="s">
        <v>63</v>
      </c>
      <c r="X876" s="125" t="s">
        <v>63</v>
      </c>
      <c r="Y876" s="35">
        <v>24.0</v>
      </c>
      <c r="Z876" s="32" t="s">
        <v>63</v>
      </c>
      <c r="AA876" s="38"/>
      <c r="AB876" s="38"/>
      <c r="AC876" s="38"/>
      <c r="AD876" s="38"/>
      <c r="AE876" s="38"/>
      <c r="AF876" s="38"/>
      <c r="AG876" s="38"/>
      <c r="AH876" s="38"/>
      <c r="AI876" s="38"/>
      <c r="AJ876" s="38"/>
      <c r="AK876" s="38"/>
    </row>
    <row r="877">
      <c r="A877" s="99">
        <v>876.0</v>
      </c>
      <c r="B877" s="15"/>
      <c r="C877" s="15"/>
      <c r="D877" s="105">
        <v>1.0</v>
      </c>
      <c r="E877" s="102">
        <v>19.0</v>
      </c>
      <c r="F877" s="107">
        <v>139.0</v>
      </c>
      <c r="G877" s="15" t="str">
        <f t="shared" si="1"/>
        <v>19139</v>
      </c>
      <c r="H877" s="23" t="s">
        <v>917</v>
      </c>
      <c r="I877" s="23" t="s">
        <v>50</v>
      </c>
      <c r="J877" s="23" t="s">
        <v>881</v>
      </c>
      <c r="K877" s="23" t="str">
        <f t="shared" si="16"/>
        <v>Muscatine, IA</v>
      </c>
      <c r="L877" s="23">
        <v>47.0</v>
      </c>
      <c r="M877" s="23" t="s">
        <v>63</v>
      </c>
      <c r="N877" s="23">
        <v>8.0</v>
      </c>
      <c r="O877" s="23">
        <v>35.0</v>
      </c>
      <c r="P877" s="23" t="s">
        <v>63</v>
      </c>
      <c r="Q877" s="23">
        <v>23.0</v>
      </c>
      <c r="R877" s="314" t="s">
        <v>956</v>
      </c>
      <c r="S877" s="23" t="s">
        <v>63</v>
      </c>
      <c r="T877" s="32">
        <v>0.09090909090909091</v>
      </c>
      <c r="U877" s="123" t="s">
        <v>63</v>
      </c>
      <c r="V877" s="23" t="s">
        <v>63</v>
      </c>
      <c r="W877" s="127" t="s">
        <v>63</v>
      </c>
      <c r="X877" s="125" t="s">
        <v>63</v>
      </c>
      <c r="Y877" s="35">
        <v>51.0</v>
      </c>
      <c r="Z877" s="32" t="s">
        <v>63</v>
      </c>
      <c r="AA877" s="38"/>
      <c r="AB877" s="38"/>
      <c r="AC877" s="38"/>
      <c r="AD877" s="38"/>
      <c r="AE877" s="38"/>
      <c r="AF877" s="38"/>
      <c r="AG877" s="38"/>
      <c r="AH877" s="38"/>
      <c r="AI877" s="38"/>
      <c r="AJ877" s="38"/>
      <c r="AK877" s="38"/>
    </row>
    <row r="878">
      <c r="A878" s="99">
        <v>877.0</v>
      </c>
      <c r="B878" s="15"/>
      <c r="C878" s="15"/>
      <c r="D878" s="105">
        <v>1.0</v>
      </c>
      <c r="E878" s="102">
        <v>19.0</v>
      </c>
      <c r="F878" s="107">
        <v>141.0</v>
      </c>
      <c r="G878" s="15" t="str">
        <f t="shared" si="1"/>
        <v>19141</v>
      </c>
      <c r="H878" s="23" t="s">
        <v>925</v>
      </c>
      <c r="I878" s="23" t="s">
        <v>50</v>
      </c>
      <c r="J878" s="23" t="s">
        <v>881</v>
      </c>
      <c r="K878" s="23" t="str">
        <f t="shared" si="16"/>
        <v>Obrien, IA</v>
      </c>
      <c r="L878" s="23">
        <v>23.0</v>
      </c>
      <c r="M878" s="23" t="s">
        <v>63</v>
      </c>
      <c r="N878" s="23">
        <v>13.0</v>
      </c>
      <c r="O878" s="23">
        <v>8.0</v>
      </c>
      <c r="P878" s="23" t="s">
        <v>63</v>
      </c>
      <c r="Q878" s="23" t="s">
        <v>63</v>
      </c>
      <c r="R878" s="314">
        <v>6.0</v>
      </c>
      <c r="S878" s="23" t="s">
        <v>63</v>
      </c>
      <c r="T878" s="32">
        <v>0.1111111111111111</v>
      </c>
      <c r="U878" s="123" t="s">
        <v>63</v>
      </c>
      <c r="V878" s="23" t="s">
        <v>63</v>
      </c>
      <c r="W878" s="127" t="s">
        <v>63</v>
      </c>
      <c r="X878" s="125" t="s">
        <v>63</v>
      </c>
      <c r="Y878" s="35">
        <v>36.0</v>
      </c>
      <c r="Z878" s="32" t="s">
        <v>63</v>
      </c>
      <c r="AA878" s="38"/>
      <c r="AB878" s="38"/>
      <c r="AC878" s="38"/>
      <c r="AD878" s="38"/>
      <c r="AE878" s="38"/>
      <c r="AF878" s="38"/>
      <c r="AG878" s="38"/>
      <c r="AH878" s="38"/>
      <c r="AI878" s="38"/>
      <c r="AJ878" s="38"/>
      <c r="AK878" s="38"/>
    </row>
    <row r="879">
      <c r="A879" s="99">
        <v>878.0</v>
      </c>
      <c r="B879" s="15"/>
      <c r="C879" s="15"/>
      <c r="D879" s="105">
        <v>1.0</v>
      </c>
      <c r="E879" s="102">
        <v>19.0</v>
      </c>
      <c r="F879" s="107">
        <v>143.0</v>
      </c>
      <c r="G879" s="15" t="str">
        <f t="shared" si="1"/>
        <v>19143</v>
      </c>
      <c r="H879" s="23" t="s">
        <v>515</v>
      </c>
      <c r="I879" s="23" t="s">
        <v>50</v>
      </c>
      <c r="J879" s="23" t="s">
        <v>881</v>
      </c>
      <c r="K879" s="23" t="str">
        <f t="shared" si="16"/>
        <v>Osceola, IA</v>
      </c>
      <c r="L879" s="23">
        <v>12.0</v>
      </c>
      <c r="M879" s="23" t="s">
        <v>63</v>
      </c>
      <c r="N879" s="23">
        <v>4.0</v>
      </c>
      <c r="O879" s="23">
        <v>7.0</v>
      </c>
      <c r="P879" s="23" t="s">
        <v>63</v>
      </c>
      <c r="Q879" s="23">
        <v>6.0</v>
      </c>
      <c r="R879" s="314" t="s">
        <v>956</v>
      </c>
      <c r="S879" s="23" t="s">
        <v>63</v>
      </c>
      <c r="T879" s="32" t="s">
        <v>63</v>
      </c>
      <c r="U879" s="123" t="s">
        <v>63</v>
      </c>
      <c r="V879" s="23" t="s">
        <v>63</v>
      </c>
      <c r="W879" s="127" t="s">
        <v>63</v>
      </c>
      <c r="X879" s="125" t="s">
        <v>63</v>
      </c>
      <c r="Y879" s="35">
        <v>19.0</v>
      </c>
      <c r="Z879" s="32" t="s">
        <v>63</v>
      </c>
      <c r="AA879" s="38"/>
      <c r="AB879" s="38"/>
      <c r="AC879" s="38"/>
      <c r="AD879" s="38"/>
      <c r="AE879" s="38"/>
      <c r="AF879" s="38"/>
      <c r="AG879" s="38"/>
      <c r="AH879" s="38"/>
      <c r="AI879" s="38"/>
      <c r="AJ879" s="38"/>
      <c r="AK879" s="38"/>
    </row>
    <row r="880">
      <c r="A880" s="99">
        <v>879.0</v>
      </c>
      <c r="B880" s="15"/>
      <c r="C880" s="15"/>
      <c r="D880" s="105">
        <v>1.0</v>
      </c>
      <c r="E880" s="102">
        <v>19.0</v>
      </c>
      <c r="F880" s="107">
        <v>145.0</v>
      </c>
      <c r="G880" s="15" t="str">
        <f t="shared" si="1"/>
        <v>19145</v>
      </c>
      <c r="H880" s="23" t="s">
        <v>927</v>
      </c>
      <c r="I880" s="23" t="s">
        <v>50</v>
      </c>
      <c r="J880" s="23" t="s">
        <v>881</v>
      </c>
      <c r="K880" s="23" t="str">
        <f t="shared" si="16"/>
        <v>Page, IA</v>
      </c>
      <c r="L880" s="23">
        <v>16.0</v>
      </c>
      <c r="M880" s="23" t="s">
        <v>63</v>
      </c>
      <c r="N880" s="23">
        <v>1.0</v>
      </c>
      <c r="O880" s="23">
        <v>10.0</v>
      </c>
      <c r="P880" s="23" t="s">
        <v>63</v>
      </c>
      <c r="Q880" s="23">
        <v>6.0</v>
      </c>
      <c r="R880" s="314" t="s">
        <v>956</v>
      </c>
      <c r="S880" s="23" t="s">
        <v>63</v>
      </c>
      <c r="T880" s="32">
        <v>0.16417910447761194</v>
      </c>
      <c r="U880" s="123" t="s">
        <v>63</v>
      </c>
      <c r="V880" s="23" t="s">
        <v>63</v>
      </c>
      <c r="W880" s="127" t="s">
        <v>63</v>
      </c>
      <c r="X880" s="125" t="s">
        <v>63</v>
      </c>
      <c r="Y880" s="35">
        <v>35.0</v>
      </c>
      <c r="Z880" s="32" t="s">
        <v>63</v>
      </c>
      <c r="AA880" s="38"/>
      <c r="AB880" s="38"/>
      <c r="AC880" s="38"/>
      <c r="AD880" s="38"/>
      <c r="AE880" s="38"/>
      <c r="AF880" s="38"/>
      <c r="AG880" s="38"/>
      <c r="AH880" s="38"/>
      <c r="AI880" s="38"/>
      <c r="AJ880" s="38"/>
      <c r="AK880" s="38"/>
    </row>
    <row r="881">
      <c r="A881" s="99">
        <v>880.0</v>
      </c>
      <c r="B881" s="15"/>
      <c r="C881" s="15"/>
      <c r="D881" s="105">
        <v>1.0</v>
      </c>
      <c r="E881" s="102">
        <v>19.0</v>
      </c>
      <c r="F881" s="107">
        <v>147.0</v>
      </c>
      <c r="G881" s="15" t="str">
        <f t="shared" si="1"/>
        <v>19147</v>
      </c>
      <c r="H881" s="23" t="s">
        <v>928</v>
      </c>
      <c r="I881" s="23" t="s">
        <v>50</v>
      </c>
      <c r="J881" s="23" t="s">
        <v>881</v>
      </c>
      <c r="K881" s="23" t="str">
        <f t="shared" si="16"/>
        <v>Palo Alto, IA</v>
      </c>
      <c r="L881" s="23">
        <v>8.0</v>
      </c>
      <c r="M881" s="23" t="s">
        <v>63</v>
      </c>
      <c r="N881" s="23">
        <v>2.0</v>
      </c>
      <c r="O881" s="23">
        <v>6.0</v>
      </c>
      <c r="P881" s="23" t="s">
        <v>63</v>
      </c>
      <c r="Q881" s="23">
        <v>9.0</v>
      </c>
      <c r="R881" s="314" t="s">
        <v>63</v>
      </c>
      <c r="S881" s="23" t="s">
        <v>63</v>
      </c>
      <c r="T881" s="32" t="s">
        <v>63</v>
      </c>
      <c r="U881" s="123" t="s">
        <v>63</v>
      </c>
      <c r="V881" s="23" t="s">
        <v>63</v>
      </c>
      <c r="W881" s="127" t="s">
        <v>63</v>
      </c>
      <c r="X881" s="125" t="s">
        <v>63</v>
      </c>
      <c r="Y881" s="35">
        <v>17.0</v>
      </c>
      <c r="Z881" s="32" t="s">
        <v>63</v>
      </c>
      <c r="AA881" s="38"/>
      <c r="AB881" s="38"/>
      <c r="AC881" s="38"/>
      <c r="AD881" s="38"/>
      <c r="AE881" s="38"/>
      <c r="AF881" s="38"/>
      <c r="AG881" s="38"/>
      <c r="AH881" s="38"/>
      <c r="AI881" s="38"/>
      <c r="AJ881" s="38"/>
      <c r="AK881" s="38"/>
    </row>
    <row r="882">
      <c r="A882" s="99">
        <v>881.0</v>
      </c>
      <c r="B882" s="15"/>
      <c r="C882" s="15"/>
      <c r="D882" s="105">
        <v>1.0</v>
      </c>
      <c r="E882" s="102">
        <v>19.0</v>
      </c>
      <c r="F882" s="107">
        <v>149.0</v>
      </c>
      <c r="G882" s="15" t="str">
        <f t="shared" si="1"/>
        <v>19149</v>
      </c>
      <c r="H882" s="23" t="s">
        <v>929</v>
      </c>
      <c r="I882" s="23" t="s">
        <v>50</v>
      </c>
      <c r="J882" s="23" t="s">
        <v>881</v>
      </c>
      <c r="K882" s="23" t="str">
        <f t="shared" si="16"/>
        <v>Plymouth, IA</v>
      </c>
      <c r="L882" s="23">
        <v>14.0</v>
      </c>
      <c r="M882" s="23" t="s">
        <v>63</v>
      </c>
      <c r="N882" s="23">
        <v>1.0</v>
      </c>
      <c r="O882" s="23">
        <v>8.0</v>
      </c>
      <c r="P882" s="23" t="s">
        <v>63</v>
      </c>
      <c r="Q882" s="23">
        <v>15.0</v>
      </c>
      <c r="R882" s="314" t="s">
        <v>63</v>
      </c>
      <c r="S882" s="23" t="s">
        <v>63</v>
      </c>
      <c r="T882" s="32">
        <v>0.14814814814814814</v>
      </c>
      <c r="U882" s="123" t="s">
        <v>63</v>
      </c>
      <c r="V882" s="23" t="s">
        <v>63</v>
      </c>
      <c r="W882" s="127" t="s">
        <v>63</v>
      </c>
      <c r="X882" s="125" t="s">
        <v>63</v>
      </c>
      <c r="Y882" s="35">
        <v>35.0</v>
      </c>
      <c r="Z882" s="32" t="s">
        <v>63</v>
      </c>
      <c r="AA882" s="38"/>
      <c r="AB882" s="38"/>
      <c r="AC882" s="38"/>
      <c r="AD882" s="38"/>
      <c r="AE882" s="38"/>
      <c r="AF882" s="38"/>
      <c r="AG882" s="38"/>
      <c r="AH882" s="38"/>
      <c r="AI882" s="38"/>
      <c r="AJ882" s="38"/>
      <c r="AK882" s="38"/>
    </row>
    <row r="883">
      <c r="A883" s="99">
        <v>882.0</v>
      </c>
      <c r="B883" s="15"/>
      <c r="C883" s="15"/>
      <c r="D883" s="105">
        <v>1.0</v>
      </c>
      <c r="E883" s="102">
        <v>19.0</v>
      </c>
      <c r="F883" s="107">
        <v>151.0</v>
      </c>
      <c r="G883" s="15" t="str">
        <f t="shared" si="1"/>
        <v>19151</v>
      </c>
      <c r="H883" s="23" t="s">
        <v>930</v>
      </c>
      <c r="I883" s="23" t="s">
        <v>50</v>
      </c>
      <c r="J883" s="23" t="s">
        <v>881</v>
      </c>
      <c r="K883" s="23" t="str">
        <f t="shared" si="16"/>
        <v>Pocahontas, IA</v>
      </c>
      <c r="L883" s="23">
        <v>18.0</v>
      </c>
      <c r="M883" s="23" t="s">
        <v>63</v>
      </c>
      <c r="N883" s="23">
        <v>8.0</v>
      </c>
      <c r="O883" s="23">
        <v>6.0</v>
      </c>
      <c r="P883" s="23" t="s">
        <v>63</v>
      </c>
      <c r="Q883" s="23" t="s">
        <v>956</v>
      </c>
      <c r="R883" s="314" t="s">
        <v>956</v>
      </c>
      <c r="S883" s="23" t="s">
        <v>63</v>
      </c>
      <c r="T883" s="32" t="s">
        <v>63</v>
      </c>
      <c r="U883" s="123" t="s">
        <v>63</v>
      </c>
      <c r="V883" s="23" t="s">
        <v>63</v>
      </c>
      <c r="W883" s="127" t="s">
        <v>63</v>
      </c>
      <c r="X883" s="125" t="s">
        <v>63</v>
      </c>
      <c r="Y883" s="35">
        <v>17.0</v>
      </c>
      <c r="Z883" s="32" t="s">
        <v>63</v>
      </c>
      <c r="AA883" s="38"/>
      <c r="AB883" s="38"/>
      <c r="AC883" s="38"/>
      <c r="AD883" s="38"/>
      <c r="AE883" s="38"/>
      <c r="AF883" s="38"/>
      <c r="AG883" s="38"/>
      <c r="AH883" s="38"/>
      <c r="AI883" s="38"/>
      <c r="AJ883" s="38"/>
      <c r="AK883" s="38"/>
    </row>
    <row r="884">
      <c r="A884" s="99">
        <v>883.0</v>
      </c>
      <c r="B884" s="15"/>
      <c r="C884" s="15"/>
      <c r="D884" s="105">
        <v>1.0</v>
      </c>
      <c r="E884" s="102">
        <v>19.0</v>
      </c>
      <c r="F884" s="107">
        <v>153.0</v>
      </c>
      <c r="G884" s="15" t="str">
        <f t="shared" si="1"/>
        <v>19153</v>
      </c>
      <c r="H884" s="23" t="s">
        <v>302</v>
      </c>
      <c r="I884" s="23" t="s">
        <v>50</v>
      </c>
      <c r="J884" s="23" t="s">
        <v>881</v>
      </c>
      <c r="K884" s="23" t="str">
        <f t="shared" si="16"/>
        <v>Polk, IA</v>
      </c>
      <c r="L884" s="23">
        <v>753.0</v>
      </c>
      <c r="M884" s="23" t="s">
        <v>63</v>
      </c>
      <c r="N884" s="23">
        <v>215.0</v>
      </c>
      <c r="O884" s="23">
        <v>423.0</v>
      </c>
      <c r="P884" s="23" t="s">
        <v>63</v>
      </c>
      <c r="Q884" s="23">
        <v>302.0</v>
      </c>
      <c r="R884" s="314">
        <v>142.0</v>
      </c>
      <c r="S884" s="23" t="s">
        <v>63</v>
      </c>
      <c r="T884" s="32">
        <v>0.13423295454545456</v>
      </c>
      <c r="U884" s="123" t="s">
        <v>63</v>
      </c>
      <c r="V884" s="23" t="s">
        <v>63</v>
      </c>
      <c r="W884" s="127" t="s">
        <v>63</v>
      </c>
      <c r="X884" s="125" t="s">
        <v>63</v>
      </c>
      <c r="Y884" s="35">
        <v>301.0</v>
      </c>
      <c r="Z884" s="32" t="s">
        <v>63</v>
      </c>
      <c r="AA884" s="38"/>
      <c r="AB884" s="38"/>
      <c r="AC884" s="38"/>
      <c r="AD884" s="38"/>
      <c r="AE884" s="38"/>
      <c r="AF884" s="38"/>
      <c r="AG884" s="38"/>
      <c r="AH884" s="38"/>
      <c r="AI884" s="38"/>
      <c r="AJ884" s="38"/>
      <c r="AK884" s="38"/>
    </row>
    <row r="885">
      <c r="A885" s="99">
        <v>884.0</v>
      </c>
      <c r="B885" s="15"/>
      <c r="C885" s="15"/>
      <c r="D885" s="105">
        <v>1.0</v>
      </c>
      <c r="E885" s="102">
        <v>19.0</v>
      </c>
      <c r="F885" s="107">
        <v>155.0</v>
      </c>
      <c r="G885" s="15" t="str">
        <f t="shared" si="1"/>
        <v>19155</v>
      </c>
      <c r="H885" s="23" t="s">
        <v>931</v>
      </c>
      <c r="I885" s="23" t="s">
        <v>50</v>
      </c>
      <c r="J885" s="23" t="s">
        <v>881</v>
      </c>
      <c r="K885" s="112" t="str">
        <f t="shared" si="16"/>
        <v>Pottawattamie, IA</v>
      </c>
      <c r="L885" s="23">
        <v>134.0</v>
      </c>
      <c r="M885" s="23" t="s">
        <v>63</v>
      </c>
      <c r="N885" s="23">
        <v>41.0</v>
      </c>
      <c r="O885" s="23">
        <v>66.0</v>
      </c>
      <c r="P885" s="23" t="s">
        <v>63</v>
      </c>
      <c r="Q885" s="23">
        <v>43.0</v>
      </c>
      <c r="R885" s="314">
        <v>25.0</v>
      </c>
      <c r="S885" s="23" t="s">
        <v>63</v>
      </c>
      <c r="T885" s="32">
        <v>0.18586387434554974</v>
      </c>
      <c r="U885" s="123" t="s">
        <v>63</v>
      </c>
      <c r="V885" s="23" t="s">
        <v>63</v>
      </c>
      <c r="W885" s="127" t="s">
        <v>63</v>
      </c>
      <c r="X885" s="125" t="s">
        <v>63</v>
      </c>
      <c r="Y885" s="35">
        <v>93.0</v>
      </c>
      <c r="Z885" s="32" t="s">
        <v>63</v>
      </c>
      <c r="AA885" s="38"/>
      <c r="AB885" s="38"/>
      <c r="AC885" s="38"/>
      <c r="AD885" s="38"/>
      <c r="AE885" s="38"/>
      <c r="AF885" s="38"/>
      <c r="AG885" s="38"/>
      <c r="AH885" s="38"/>
      <c r="AI885" s="38"/>
      <c r="AJ885" s="38"/>
      <c r="AK885" s="38"/>
    </row>
    <row r="886">
      <c r="A886" s="99">
        <v>885.0</v>
      </c>
      <c r="B886" s="15"/>
      <c r="C886" s="15"/>
      <c r="D886" s="105">
        <v>1.0</v>
      </c>
      <c r="E886" s="102">
        <v>19.0</v>
      </c>
      <c r="F886" s="107">
        <v>157.0</v>
      </c>
      <c r="G886" s="15" t="str">
        <f t="shared" si="1"/>
        <v>19157</v>
      </c>
      <c r="H886" s="23" t="s">
        <v>932</v>
      </c>
      <c r="I886" s="23" t="s">
        <v>50</v>
      </c>
      <c r="J886" s="23" t="s">
        <v>881</v>
      </c>
      <c r="K886" s="23" t="str">
        <f t="shared" si="16"/>
        <v>Poweshiek, IA</v>
      </c>
      <c r="L886" s="23">
        <v>31.0</v>
      </c>
      <c r="M886" s="23" t="s">
        <v>63</v>
      </c>
      <c r="N886" s="23">
        <v>14.0</v>
      </c>
      <c r="O886" s="23">
        <v>12.0</v>
      </c>
      <c r="P886" s="23" t="s">
        <v>63</v>
      </c>
      <c r="Q886" s="23">
        <v>16.0</v>
      </c>
      <c r="R886" s="314">
        <v>12.0</v>
      </c>
      <c r="S886" s="23" t="s">
        <v>63</v>
      </c>
      <c r="T886" s="32">
        <v>0.19230769230769232</v>
      </c>
      <c r="U886" s="123" t="s">
        <v>63</v>
      </c>
      <c r="V886" s="23" t="s">
        <v>63</v>
      </c>
      <c r="W886" s="127" t="s">
        <v>63</v>
      </c>
      <c r="X886" s="125" t="s">
        <v>63</v>
      </c>
      <c r="Y886" s="35">
        <v>32.0</v>
      </c>
      <c r="Z886" s="32" t="s">
        <v>63</v>
      </c>
      <c r="AA886" s="38"/>
      <c r="AB886" s="38"/>
      <c r="AC886" s="38"/>
      <c r="AD886" s="38"/>
      <c r="AE886" s="38"/>
      <c r="AF886" s="38"/>
      <c r="AG886" s="38"/>
      <c r="AH886" s="38"/>
      <c r="AI886" s="38"/>
      <c r="AJ886" s="38"/>
      <c r="AK886" s="38"/>
    </row>
    <row r="887">
      <c r="A887" s="99">
        <v>886.0</v>
      </c>
      <c r="B887" s="15"/>
      <c r="C887" s="15"/>
      <c r="D887" s="105">
        <v>1.0</v>
      </c>
      <c r="E887" s="102">
        <v>19.0</v>
      </c>
      <c r="F887" s="107">
        <v>159.0</v>
      </c>
      <c r="G887" s="15" t="str">
        <f t="shared" si="1"/>
        <v>19159</v>
      </c>
      <c r="H887" s="23" t="s">
        <v>935</v>
      </c>
      <c r="I887" s="23" t="s">
        <v>50</v>
      </c>
      <c r="J887" s="23" t="s">
        <v>881</v>
      </c>
      <c r="K887" s="23" t="str">
        <f t="shared" si="16"/>
        <v>Ringgold, IA</v>
      </c>
      <c r="L887" s="23">
        <v>4.0</v>
      </c>
      <c r="M887" s="23" t="s">
        <v>63</v>
      </c>
      <c r="N887" s="23">
        <v>1.0</v>
      </c>
      <c r="O887" s="23">
        <v>0.0</v>
      </c>
      <c r="P887" s="23" t="s">
        <v>63</v>
      </c>
      <c r="Q887" s="23" t="s">
        <v>956</v>
      </c>
      <c r="R887" s="314" t="s">
        <v>956</v>
      </c>
      <c r="S887" s="23" t="s">
        <v>63</v>
      </c>
      <c r="T887" s="32" t="s">
        <v>63</v>
      </c>
      <c r="U887" s="123" t="s">
        <v>63</v>
      </c>
      <c r="V887" s="23" t="s">
        <v>63</v>
      </c>
      <c r="W887" s="127" t="s">
        <v>63</v>
      </c>
      <c r="X887" s="125" t="s">
        <v>63</v>
      </c>
      <c r="Y887" s="35">
        <v>9.0</v>
      </c>
      <c r="Z887" s="32" t="s">
        <v>63</v>
      </c>
      <c r="AA887" s="38"/>
      <c r="AB887" s="38"/>
      <c r="AC887" s="38"/>
      <c r="AD887" s="38"/>
      <c r="AE887" s="38"/>
      <c r="AF887" s="38"/>
      <c r="AG887" s="38"/>
      <c r="AH887" s="38"/>
      <c r="AI887" s="38"/>
      <c r="AJ887" s="38"/>
      <c r="AK887" s="38"/>
    </row>
    <row r="888">
      <c r="A888" s="99">
        <v>887.0</v>
      </c>
      <c r="B888" s="15"/>
      <c r="C888" s="15"/>
      <c r="D888" s="105">
        <v>1.0</v>
      </c>
      <c r="E888" s="102">
        <v>19.0</v>
      </c>
      <c r="F888" s="107">
        <v>161.0</v>
      </c>
      <c r="G888" s="15" t="str">
        <f t="shared" si="1"/>
        <v>19161</v>
      </c>
      <c r="H888" s="23" t="s">
        <v>936</v>
      </c>
      <c r="I888" s="23" t="s">
        <v>50</v>
      </c>
      <c r="J888" s="23" t="s">
        <v>881</v>
      </c>
      <c r="K888" s="23" t="str">
        <f t="shared" si="16"/>
        <v>Sac, IA</v>
      </c>
      <c r="L888" s="23">
        <v>8.0</v>
      </c>
      <c r="M888" s="23" t="s">
        <v>63</v>
      </c>
      <c r="N888" s="23">
        <v>2.0</v>
      </c>
      <c r="O888" s="23">
        <v>4.0</v>
      </c>
      <c r="P888" s="23" t="s">
        <v>63</v>
      </c>
      <c r="Q888" s="23">
        <v>6.0</v>
      </c>
      <c r="R888" s="314" t="s">
        <v>63</v>
      </c>
      <c r="S888" s="23" t="s">
        <v>63</v>
      </c>
      <c r="T888" s="32" t="s">
        <v>63</v>
      </c>
      <c r="U888" s="123" t="s">
        <v>63</v>
      </c>
      <c r="V888" s="23" t="s">
        <v>63</v>
      </c>
      <c r="W888" s="127" t="s">
        <v>63</v>
      </c>
      <c r="X888" s="125" t="s">
        <v>63</v>
      </c>
      <c r="Y888" s="35">
        <v>24.0</v>
      </c>
      <c r="Z888" s="32" t="s">
        <v>63</v>
      </c>
      <c r="AA888" s="38"/>
      <c r="AB888" s="38"/>
      <c r="AC888" s="38"/>
      <c r="AD888" s="38"/>
      <c r="AE888" s="38"/>
      <c r="AF888" s="38"/>
      <c r="AG888" s="38"/>
      <c r="AH888" s="38"/>
      <c r="AI888" s="38"/>
      <c r="AJ888" s="38"/>
      <c r="AK888" s="38"/>
    </row>
    <row r="889">
      <c r="A889" s="99">
        <v>888.0</v>
      </c>
      <c r="B889" s="15"/>
      <c r="C889" s="15"/>
      <c r="D889" s="105">
        <v>1.0</v>
      </c>
      <c r="E889" s="102">
        <v>19.0</v>
      </c>
      <c r="F889" s="107">
        <v>163.0</v>
      </c>
      <c r="G889" s="15" t="str">
        <f t="shared" si="1"/>
        <v>19163</v>
      </c>
      <c r="H889" s="23" t="s">
        <v>309</v>
      </c>
      <c r="I889" s="23" t="s">
        <v>50</v>
      </c>
      <c r="J889" s="23" t="s">
        <v>881</v>
      </c>
      <c r="K889" s="23" t="str">
        <f t="shared" si="16"/>
        <v>Scott, IA</v>
      </c>
      <c r="L889" s="23">
        <v>174.0</v>
      </c>
      <c r="M889" s="23" t="s">
        <v>63</v>
      </c>
      <c r="N889" s="23">
        <v>58.0</v>
      </c>
      <c r="O889" s="23">
        <v>94.0</v>
      </c>
      <c r="P889" s="23" t="s">
        <v>63</v>
      </c>
      <c r="Q889" s="23">
        <v>76.0</v>
      </c>
      <c r="R889" s="314">
        <v>16.0</v>
      </c>
      <c r="S889" s="23" t="s">
        <v>63</v>
      </c>
      <c r="T889" s="32">
        <v>0.08717105263157894</v>
      </c>
      <c r="U889" s="123" t="s">
        <v>63</v>
      </c>
      <c r="V889" s="23" t="s">
        <v>63</v>
      </c>
      <c r="W889" s="127" t="s">
        <v>63</v>
      </c>
      <c r="X889" s="125" t="s">
        <v>63</v>
      </c>
      <c r="Y889" s="35">
        <v>116.0</v>
      </c>
      <c r="Z889" s="32" t="s">
        <v>63</v>
      </c>
      <c r="AA889" s="38"/>
      <c r="AB889" s="38"/>
      <c r="AC889" s="38"/>
      <c r="AD889" s="38"/>
      <c r="AE889" s="38"/>
      <c r="AF889" s="38"/>
      <c r="AG889" s="38"/>
      <c r="AH889" s="38"/>
      <c r="AI889" s="38"/>
      <c r="AJ889" s="38"/>
      <c r="AK889" s="38"/>
    </row>
    <row r="890">
      <c r="A890" s="99">
        <v>889.0</v>
      </c>
      <c r="B890" s="15"/>
      <c r="C890" s="15"/>
      <c r="D890" s="105">
        <v>1.0</v>
      </c>
      <c r="E890" s="102">
        <v>19.0</v>
      </c>
      <c r="F890" s="107">
        <v>165.0</v>
      </c>
      <c r="G890" s="15" t="str">
        <f t="shared" si="1"/>
        <v>19165</v>
      </c>
      <c r="H890" s="23" t="s">
        <v>168</v>
      </c>
      <c r="I890" s="23" t="s">
        <v>50</v>
      </c>
      <c r="J890" s="23" t="s">
        <v>881</v>
      </c>
      <c r="K890" s="23" t="str">
        <f t="shared" si="16"/>
        <v>Shelby, IA</v>
      </c>
      <c r="L890" s="23">
        <v>15.0</v>
      </c>
      <c r="M890" s="23" t="s">
        <v>63</v>
      </c>
      <c r="N890" s="23">
        <v>5.0</v>
      </c>
      <c r="O890" s="23">
        <v>7.0</v>
      </c>
      <c r="P890" s="23" t="s">
        <v>63</v>
      </c>
      <c r="Q890" s="23">
        <v>11.0</v>
      </c>
      <c r="R890" s="314">
        <v>11.0</v>
      </c>
      <c r="S890" s="23" t="s">
        <v>63</v>
      </c>
      <c r="T890" s="32">
        <v>0.18181818181818182</v>
      </c>
      <c r="U890" s="123" t="s">
        <v>63</v>
      </c>
      <c r="V890" s="23" t="s">
        <v>63</v>
      </c>
      <c r="W890" s="127" t="s">
        <v>63</v>
      </c>
      <c r="X890" s="125" t="s">
        <v>63</v>
      </c>
      <c r="Y890" s="35">
        <v>31.0</v>
      </c>
      <c r="Z890" s="32" t="s">
        <v>63</v>
      </c>
      <c r="AA890" s="38"/>
      <c r="AB890" s="38"/>
      <c r="AC890" s="38"/>
      <c r="AD890" s="38"/>
      <c r="AE890" s="38"/>
      <c r="AF890" s="38"/>
      <c r="AG890" s="38"/>
      <c r="AH890" s="38"/>
      <c r="AI890" s="38"/>
      <c r="AJ890" s="38"/>
      <c r="AK890" s="38"/>
    </row>
    <row r="891">
      <c r="A891" s="99">
        <v>890.0</v>
      </c>
      <c r="B891" s="15"/>
      <c r="C891" s="15"/>
      <c r="D891" s="105">
        <v>1.0</v>
      </c>
      <c r="E891" s="102">
        <v>19.0</v>
      </c>
      <c r="F891" s="107">
        <v>167.0</v>
      </c>
      <c r="G891" s="15" t="str">
        <f t="shared" si="1"/>
        <v>19167</v>
      </c>
      <c r="H891" s="23" t="s">
        <v>937</v>
      </c>
      <c r="I891" s="23" t="s">
        <v>50</v>
      </c>
      <c r="J891" s="23" t="s">
        <v>881</v>
      </c>
      <c r="K891" s="23" t="str">
        <f t="shared" si="16"/>
        <v>Sioux, IA</v>
      </c>
      <c r="L891" s="23">
        <v>15.0</v>
      </c>
      <c r="M891" s="23" t="s">
        <v>63</v>
      </c>
      <c r="N891" s="23">
        <v>8.0</v>
      </c>
      <c r="O891" s="23">
        <v>5.0</v>
      </c>
      <c r="P891" s="23" t="s">
        <v>63</v>
      </c>
      <c r="Q891" s="23">
        <v>47.0</v>
      </c>
      <c r="R891" s="314" t="s">
        <v>63</v>
      </c>
      <c r="S891" s="23" t="s">
        <v>63</v>
      </c>
      <c r="T891" s="32">
        <v>0.19607843137254902</v>
      </c>
      <c r="U891" s="123" t="s">
        <v>63</v>
      </c>
      <c r="V891" s="23" t="s">
        <v>63</v>
      </c>
      <c r="W891" s="127" t="s">
        <v>63</v>
      </c>
      <c r="X891" s="125" t="s">
        <v>63</v>
      </c>
      <c r="Y891" s="35">
        <v>80.0</v>
      </c>
      <c r="Z891" s="32" t="s">
        <v>63</v>
      </c>
      <c r="AA891" s="38"/>
      <c r="AB891" s="38"/>
      <c r="AC891" s="38"/>
      <c r="AD891" s="38"/>
      <c r="AE891" s="38"/>
      <c r="AF891" s="38"/>
      <c r="AG891" s="38"/>
      <c r="AH891" s="38"/>
      <c r="AI891" s="38"/>
      <c r="AJ891" s="38"/>
      <c r="AK891" s="38"/>
    </row>
    <row r="892">
      <c r="A892" s="99">
        <v>891.0</v>
      </c>
      <c r="B892" s="15"/>
      <c r="C892" s="15"/>
      <c r="D892" s="105">
        <v>1.0</v>
      </c>
      <c r="E892" s="102">
        <v>19.0</v>
      </c>
      <c r="F892" s="107">
        <v>169.0</v>
      </c>
      <c r="G892" s="15" t="str">
        <f t="shared" si="1"/>
        <v>19169</v>
      </c>
      <c r="H892" s="23" t="s">
        <v>939</v>
      </c>
      <c r="I892" s="23" t="s">
        <v>50</v>
      </c>
      <c r="J892" s="23" t="s">
        <v>881</v>
      </c>
      <c r="K892" s="23" t="str">
        <f t="shared" si="16"/>
        <v>Story, IA</v>
      </c>
      <c r="L892" s="23">
        <v>54.0</v>
      </c>
      <c r="M892" s="23" t="s">
        <v>63</v>
      </c>
      <c r="N892" s="23">
        <v>9.0</v>
      </c>
      <c r="O892" s="23">
        <v>35.0</v>
      </c>
      <c r="P892" s="23" t="s">
        <v>63</v>
      </c>
      <c r="Q892" s="23">
        <v>57.0</v>
      </c>
      <c r="R892" s="314">
        <v>8.0</v>
      </c>
      <c r="S892" s="23" t="s">
        <v>63</v>
      </c>
      <c r="T892" s="32">
        <v>0.08484848484848485</v>
      </c>
      <c r="U892" s="123" t="s">
        <v>63</v>
      </c>
      <c r="V892" s="23" t="s">
        <v>63</v>
      </c>
      <c r="W892" s="127" t="s">
        <v>63</v>
      </c>
      <c r="X892" s="125" t="s">
        <v>63</v>
      </c>
      <c r="Y892" s="35">
        <v>74.0</v>
      </c>
      <c r="Z892" s="32" t="s">
        <v>63</v>
      </c>
      <c r="AA892" s="38"/>
      <c r="AB892" s="38"/>
      <c r="AC892" s="38"/>
      <c r="AD892" s="38"/>
      <c r="AE892" s="38"/>
      <c r="AF892" s="38"/>
      <c r="AG892" s="38"/>
      <c r="AH892" s="38"/>
      <c r="AI892" s="38"/>
      <c r="AJ892" s="38"/>
      <c r="AK892" s="38"/>
    </row>
    <row r="893">
      <c r="A893" s="99">
        <v>892.0</v>
      </c>
      <c r="B893" s="15"/>
      <c r="C893" s="15"/>
      <c r="D893" s="105">
        <v>1.0</v>
      </c>
      <c r="E893" s="102">
        <v>19.0</v>
      </c>
      <c r="F893" s="107">
        <v>171.0</v>
      </c>
      <c r="G893" s="15" t="str">
        <f t="shared" si="1"/>
        <v>19171</v>
      </c>
      <c r="H893" s="23" t="s">
        <v>940</v>
      </c>
      <c r="I893" s="23" t="s">
        <v>50</v>
      </c>
      <c r="J893" s="23" t="s">
        <v>881</v>
      </c>
      <c r="K893" s="23" t="str">
        <f t="shared" si="16"/>
        <v>Tama, IA</v>
      </c>
      <c r="L893" s="23">
        <v>45.0</v>
      </c>
      <c r="M893" s="23" t="s">
        <v>63</v>
      </c>
      <c r="N893" s="23">
        <v>2.0</v>
      </c>
      <c r="O893" s="23">
        <v>33.0</v>
      </c>
      <c r="P893" s="23" t="s">
        <v>63</v>
      </c>
      <c r="Q893" s="23">
        <v>17.0</v>
      </c>
      <c r="R893" s="314" t="s">
        <v>956</v>
      </c>
      <c r="S893" s="23" t="s">
        <v>63</v>
      </c>
      <c r="T893" s="32">
        <v>0.22727272727272727</v>
      </c>
      <c r="U893" s="123" t="s">
        <v>63</v>
      </c>
      <c r="V893" s="23" t="s">
        <v>63</v>
      </c>
      <c r="W893" s="127" t="s">
        <v>63</v>
      </c>
      <c r="X893" s="125" t="s">
        <v>63</v>
      </c>
      <c r="Y893" s="35">
        <v>33.0</v>
      </c>
      <c r="Z893" s="32" t="s">
        <v>63</v>
      </c>
      <c r="AA893" s="38"/>
      <c r="AB893" s="38"/>
      <c r="AC893" s="38"/>
      <c r="AD893" s="38"/>
      <c r="AE893" s="38"/>
      <c r="AF893" s="38"/>
      <c r="AG893" s="38"/>
      <c r="AH893" s="38"/>
      <c r="AI893" s="38"/>
      <c r="AJ893" s="38"/>
      <c r="AK893" s="38"/>
    </row>
    <row r="894">
      <c r="A894" s="99">
        <v>893.0</v>
      </c>
      <c r="B894" s="15"/>
      <c r="C894" s="15"/>
      <c r="D894" s="105">
        <v>1.0</v>
      </c>
      <c r="E894" s="102">
        <v>19.0</v>
      </c>
      <c r="F894" s="107">
        <v>173.0</v>
      </c>
      <c r="G894" s="15" t="str">
        <f t="shared" si="1"/>
        <v>19173</v>
      </c>
      <c r="H894" s="23" t="s">
        <v>526</v>
      </c>
      <c r="I894" s="23" t="s">
        <v>50</v>
      </c>
      <c r="J894" s="23" t="s">
        <v>881</v>
      </c>
      <c r="K894" s="23" t="str">
        <f t="shared" si="16"/>
        <v>Taylor, IA</v>
      </c>
      <c r="L894" s="23">
        <v>2.0</v>
      </c>
      <c r="M894" s="23" t="s">
        <v>63</v>
      </c>
      <c r="N894" s="23">
        <v>0.0</v>
      </c>
      <c r="O894" s="23">
        <v>2.0</v>
      </c>
      <c r="P894" s="23" t="s">
        <v>63</v>
      </c>
      <c r="Q894" s="23" t="s">
        <v>956</v>
      </c>
      <c r="R894" s="314" t="s">
        <v>956</v>
      </c>
      <c r="S894" s="23" t="s">
        <v>63</v>
      </c>
      <c r="T894" s="32" t="s">
        <v>63</v>
      </c>
      <c r="U894" s="123" t="s">
        <v>63</v>
      </c>
      <c r="V894" s="23" t="s">
        <v>63</v>
      </c>
      <c r="W894" s="127" t="s">
        <v>63</v>
      </c>
      <c r="X894" s="125" t="s">
        <v>63</v>
      </c>
      <c r="Y894" s="35">
        <v>15.0</v>
      </c>
      <c r="Z894" s="32" t="s">
        <v>63</v>
      </c>
      <c r="AA894" s="38"/>
      <c r="AB894" s="38"/>
      <c r="AC894" s="38"/>
      <c r="AD894" s="38"/>
      <c r="AE894" s="38"/>
      <c r="AF894" s="38"/>
      <c r="AG894" s="38"/>
      <c r="AH894" s="38"/>
      <c r="AI894" s="38"/>
      <c r="AJ894" s="38"/>
      <c r="AK894" s="38"/>
    </row>
    <row r="895">
      <c r="A895" s="99">
        <v>894.0</v>
      </c>
      <c r="B895" s="15"/>
      <c r="C895" s="15"/>
      <c r="D895" s="105">
        <v>1.0</v>
      </c>
      <c r="E895" s="102">
        <v>19.0</v>
      </c>
      <c r="F895" s="107">
        <v>175.0</v>
      </c>
      <c r="G895" s="15" t="str">
        <f t="shared" si="1"/>
        <v>19175</v>
      </c>
      <c r="H895" s="23" t="s">
        <v>316</v>
      </c>
      <c r="I895" s="23" t="s">
        <v>50</v>
      </c>
      <c r="J895" s="23" t="s">
        <v>881</v>
      </c>
      <c r="K895" s="23" t="str">
        <f t="shared" si="16"/>
        <v>Union, IA</v>
      </c>
      <c r="L895" s="23">
        <v>40.0</v>
      </c>
      <c r="M895" s="23" t="s">
        <v>63</v>
      </c>
      <c r="N895" s="23">
        <v>9.0</v>
      </c>
      <c r="O895" s="23">
        <v>24.0</v>
      </c>
      <c r="P895" s="23" t="s">
        <v>63</v>
      </c>
      <c r="Q895" s="23">
        <v>10.0</v>
      </c>
      <c r="R895" s="314">
        <v>8.0</v>
      </c>
      <c r="S895" s="23" t="s">
        <v>63</v>
      </c>
      <c r="T895" s="32">
        <v>0.1509433962264151</v>
      </c>
      <c r="U895" s="123" t="s">
        <v>63</v>
      </c>
      <c r="V895" s="23" t="s">
        <v>63</v>
      </c>
      <c r="W895" s="127" t="s">
        <v>63</v>
      </c>
      <c r="X895" s="125" t="s">
        <v>63</v>
      </c>
      <c r="Y895" s="35">
        <v>19.0</v>
      </c>
      <c r="Z895" s="32" t="s">
        <v>63</v>
      </c>
      <c r="AA895" s="38"/>
      <c r="AB895" s="38"/>
      <c r="AC895" s="38"/>
      <c r="AD895" s="38"/>
      <c r="AE895" s="38"/>
      <c r="AF895" s="38"/>
      <c r="AG895" s="38"/>
      <c r="AH895" s="38"/>
      <c r="AI895" s="38"/>
      <c r="AJ895" s="38"/>
      <c r="AK895" s="38"/>
    </row>
    <row r="896">
      <c r="A896" s="99">
        <v>895.0</v>
      </c>
      <c r="B896" s="15"/>
      <c r="C896" s="15"/>
      <c r="D896" s="105">
        <v>1.0</v>
      </c>
      <c r="E896" s="102">
        <v>19.0</v>
      </c>
      <c r="F896" s="107">
        <v>177.0</v>
      </c>
      <c r="G896" s="15" t="str">
        <f t="shared" si="1"/>
        <v>19177</v>
      </c>
      <c r="H896" s="23" t="s">
        <v>317</v>
      </c>
      <c r="I896" s="23" t="s">
        <v>50</v>
      </c>
      <c r="J896" s="23" t="s">
        <v>881</v>
      </c>
      <c r="K896" s="23" t="str">
        <f t="shared" si="16"/>
        <v>Van Buren, IA</v>
      </c>
      <c r="L896" s="23">
        <v>10.0</v>
      </c>
      <c r="M896" s="23" t="s">
        <v>63</v>
      </c>
      <c r="N896" s="23">
        <v>0.0</v>
      </c>
      <c r="O896" s="23">
        <v>10.0</v>
      </c>
      <c r="P896" s="23" t="s">
        <v>63</v>
      </c>
      <c r="Q896" s="23" t="s">
        <v>956</v>
      </c>
      <c r="R896" s="314" t="s">
        <v>63</v>
      </c>
      <c r="S896" s="23" t="s">
        <v>63</v>
      </c>
      <c r="T896" s="32" t="s">
        <v>63</v>
      </c>
      <c r="U896" s="123" t="s">
        <v>63</v>
      </c>
      <c r="V896" s="23" t="s">
        <v>63</v>
      </c>
      <c r="W896" s="127" t="s">
        <v>63</v>
      </c>
      <c r="X896" s="125" t="s">
        <v>63</v>
      </c>
      <c r="Y896" s="35">
        <v>13.0</v>
      </c>
      <c r="Z896" s="32" t="s">
        <v>63</v>
      </c>
      <c r="AA896" s="38"/>
      <c r="AB896" s="38"/>
      <c r="AC896" s="38"/>
      <c r="AD896" s="38"/>
      <c r="AE896" s="38"/>
      <c r="AF896" s="38"/>
      <c r="AG896" s="38"/>
      <c r="AH896" s="38"/>
      <c r="AI896" s="38"/>
      <c r="AJ896" s="38"/>
      <c r="AK896" s="38"/>
    </row>
    <row r="897">
      <c r="A897" s="99">
        <v>896.0</v>
      </c>
      <c r="B897" s="15"/>
      <c r="C897" s="15"/>
      <c r="D897" s="105">
        <v>1.0</v>
      </c>
      <c r="E897" s="102">
        <v>19.0</v>
      </c>
      <c r="F897" s="107">
        <v>179.0</v>
      </c>
      <c r="G897" s="15" t="str">
        <f t="shared" si="1"/>
        <v>19179</v>
      </c>
      <c r="H897" s="23" t="s">
        <v>942</v>
      </c>
      <c r="I897" s="23" t="s">
        <v>50</v>
      </c>
      <c r="J897" s="23" t="s">
        <v>881</v>
      </c>
      <c r="K897" s="23" t="str">
        <f t="shared" si="16"/>
        <v>Wapello, IA</v>
      </c>
      <c r="L897" s="23">
        <v>73.0</v>
      </c>
      <c r="M897" s="23" t="s">
        <v>63</v>
      </c>
      <c r="N897" s="23">
        <v>15.0</v>
      </c>
      <c r="O897" s="23">
        <v>37.0</v>
      </c>
      <c r="P897" s="23" t="s">
        <v>63</v>
      </c>
      <c r="Q897" s="23">
        <v>17.0</v>
      </c>
      <c r="R897" s="314">
        <v>14.0</v>
      </c>
      <c r="S897" s="23" t="s">
        <v>63</v>
      </c>
      <c r="T897" s="32">
        <v>0.19318181818181818</v>
      </c>
      <c r="U897" s="123" t="s">
        <v>63</v>
      </c>
      <c r="V897" s="23" t="s">
        <v>63</v>
      </c>
      <c r="W897" s="127" t="s">
        <v>63</v>
      </c>
      <c r="X897" s="125" t="s">
        <v>63</v>
      </c>
      <c r="Y897" s="35">
        <v>47.0</v>
      </c>
      <c r="Z897" s="32" t="s">
        <v>63</v>
      </c>
      <c r="AA897" s="38"/>
      <c r="AB897" s="38"/>
      <c r="AC897" s="38"/>
      <c r="AD897" s="38"/>
      <c r="AE897" s="38"/>
      <c r="AF897" s="38"/>
      <c r="AG897" s="38"/>
      <c r="AH897" s="38"/>
      <c r="AI897" s="38"/>
      <c r="AJ897" s="38"/>
      <c r="AK897" s="38"/>
    </row>
    <row r="898">
      <c r="A898" s="99">
        <v>897.0</v>
      </c>
      <c r="B898" s="15"/>
      <c r="C898" s="15"/>
      <c r="D898" s="105">
        <v>1.0</v>
      </c>
      <c r="E898" s="102">
        <v>19.0</v>
      </c>
      <c r="F898" s="107">
        <v>181.0</v>
      </c>
      <c r="G898" s="15" t="str">
        <f t="shared" si="1"/>
        <v>19181</v>
      </c>
      <c r="H898" s="23" t="s">
        <v>647</v>
      </c>
      <c r="I898" s="23" t="s">
        <v>50</v>
      </c>
      <c r="J898" s="23" t="s">
        <v>881</v>
      </c>
      <c r="K898" s="23" t="str">
        <f t="shared" si="16"/>
        <v>Warren, IA</v>
      </c>
      <c r="L898" s="23">
        <v>72.0</v>
      </c>
      <c r="M898" s="23" t="s">
        <v>63</v>
      </c>
      <c r="N898" s="23">
        <v>12.0</v>
      </c>
      <c r="O898" s="23">
        <v>49.0</v>
      </c>
      <c r="P898" s="23" t="s">
        <v>63</v>
      </c>
      <c r="Q898" s="23">
        <v>31.0</v>
      </c>
      <c r="R898" s="314">
        <v>11.0</v>
      </c>
      <c r="S898" s="23" t="s">
        <v>63</v>
      </c>
      <c r="T898" s="32">
        <v>0.23684210526315788</v>
      </c>
      <c r="U898" s="123" t="s">
        <v>63</v>
      </c>
      <c r="V898" s="23" t="s">
        <v>63</v>
      </c>
      <c r="W898" s="127" t="s">
        <v>63</v>
      </c>
      <c r="X898" s="125" t="s">
        <v>63</v>
      </c>
      <c r="Y898" s="35">
        <v>53.0</v>
      </c>
      <c r="Z898" s="32" t="s">
        <v>63</v>
      </c>
      <c r="AA898" s="38"/>
      <c r="AB898" s="38"/>
      <c r="AC898" s="38"/>
      <c r="AD898" s="38"/>
      <c r="AE898" s="38"/>
      <c r="AF898" s="38"/>
      <c r="AG898" s="38"/>
      <c r="AH898" s="38"/>
      <c r="AI898" s="38"/>
      <c r="AJ898" s="38"/>
      <c r="AK898" s="38"/>
    </row>
    <row r="899">
      <c r="A899" s="99">
        <v>898.0</v>
      </c>
      <c r="B899" s="15"/>
      <c r="C899" s="15"/>
      <c r="D899" s="105">
        <v>1.0</v>
      </c>
      <c r="E899" s="102">
        <v>19.0</v>
      </c>
      <c r="F899" s="107">
        <v>183.0</v>
      </c>
      <c r="G899" s="15" t="str">
        <f t="shared" si="1"/>
        <v>19183</v>
      </c>
      <c r="H899" s="23" t="s">
        <v>119</v>
      </c>
      <c r="I899" s="23" t="s">
        <v>50</v>
      </c>
      <c r="J899" s="23" t="s">
        <v>881</v>
      </c>
      <c r="K899" s="23" t="str">
        <f t="shared" si="16"/>
        <v>Washington, IA</v>
      </c>
      <c r="L899" s="23">
        <v>20.0</v>
      </c>
      <c r="M899" s="23" t="s">
        <v>63</v>
      </c>
      <c r="N899" s="23">
        <v>6.0</v>
      </c>
      <c r="O899" s="23">
        <v>13.0</v>
      </c>
      <c r="P899" s="23" t="s">
        <v>63</v>
      </c>
      <c r="Q899" s="23">
        <v>18.0</v>
      </c>
      <c r="R899" s="314" t="s">
        <v>956</v>
      </c>
      <c r="S899" s="23" t="s">
        <v>63</v>
      </c>
      <c r="T899" s="32">
        <v>0.23529411764705882</v>
      </c>
      <c r="U899" s="123" t="s">
        <v>63</v>
      </c>
      <c r="V899" s="23" t="s">
        <v>63</v>
      </c>
      <c r="W899" s="127" t="s">
        <v>63</v>
      </c>
      <c r="X899" s="125" t="s">
        <v>63</v>
      </c>
      <c r="Y899" s="35">
        <v>38.0</v>
      </c>
      <c r="Z899" s="32" t="s">
        <v>63</v>
      </c>
      <c r="AA899" s="38"/>
      <c r="AB899" s="38"/>
      <c r="AC899" s="38"/>
      <c r="AD899" s="38"/>
      <c r="AE899" s="38"/>
      <c r="AF899" s="38"/>
      <c r="AG899" s="38"/>
      <c r="AH899" s="38"/>
      <c r="AI899" s="38"/>
      <c r="AJ899" s="38"/>
      <c r="AK899" s="38"/>
    </row>
    <row r="900">
      <c r="A900" s="99">
        <v>899.0</v>
      </c>
      <c r="B900" s="15"/>
      <c r="C900" s="15"/>
      <c r="D900" s="105">
        <v>1.0</v>
      </c>
      <c r="E900" s="102">
        <v>19.0</v>
      </c>
      <c r="F900" s="107">
        <v>185.0</v>
      </c>
      <c r="G900" s="15" t="str">
        <f t="shared" si="1"/>
        <v>19185</v>
      </c>
      <c r="H900" s="23" t="s">
        <v>273</v>
      </c>
      <c r="I900" s="23" t="s">
        <v>50</v>
      </c>
      <c r="J900" s="23" t="s">
        <v>881</v>
      </c>
      <c r="K900" s="23" t="str">
        <f t="shared" si="16"/>
        <v>Wayne, IA</v>
      </c>
      <c r="L900" s="23">
        <v>9.0</v>
      </c>
      <c r="M900" s="23" t="s">
        <v>63</v>
      </c>
      <c r="N900" s="23">
        <v>3.0</v>
      </c>
      <c r="O900" s="23">
        <v>1.0</v>
      </c>
      <c r="P900" s="23" t="s">
        <v>63</v>
      </c>
      <c r="Q900" s="23" t="s">
        <v>63</v>
      </c>
      <c r="R900" s="314" t="s">
        <v>956</v>
      </c>
      <c r="S900" s="23" t="s">
        <v>63</v>
      </c>
      <c r="T900" s="32" t="s">
        <v>63</v>
      </c>
      <c r="U900" s="123" t="s">
        <v>63</v>
      </c>
      <c r="V900" s="23" t="s">
        <v>63</v>
      </c>
      <c r="W900" s="127" t="s">
        <v>63</v>
      </c>
      <c r="X900" s="125" t="s">
        <v>63</v>
      </c>
      <c r="Y900" s="35">
        <v>19.0</v>
      </c>
      <c r="Z900" s="32" t="s">
        <v>63</v>
      </c>
      <c r="AA900" s="38"/>
      <c r="AB900" s="38"/>
      <c r="AC900" s="38"/>
      <c r="AD900" s="38"/>
      <c r="AE900" s="38"/>
      <c r="AF900" s="38"/>
      <c r="AG900" s="38"/>
      <c r="AH900" s="38"/>
      <c r="AI900" s="38"/>
      <c r="AJ900" s="38"/>
      <c r="AK900" s="38"/>
    </row>
    <row r="901">
      <c r="A901" s="99">
        <v>900.0</v>
      </c>
      <c r="B901" s="15"/>
      <c r="C901" s="15"/>
      <c r="D901" s="105">
        <v>1.0</v>
      </c>
      <c r="E901" s="102">
        <v>19.0</v>
      </c>
      <c r="F901" s="107">
        <v>187.0</v>
      </c>
      <c r="G901" s="15" t="str">
        <f t="shared" si="1"/>
        <v>19187</v>
      </c>
      <c r="H901" s="23" t="s">
        <v>648</v>
      </c>
      <c r="I901" s="23" t="s">
        <v>50</v>
      </c>
      <c r="J901" s="23" t="s">
        <v>881</v>
      </c>
      <c r="K901" s="23" t="str">
        <f t="shared" si="16"/>
        <v>Webster, IA</v>
      </c>
      <c r="L901" s="23">
        <v>73.0</v>
      </c>
      <c r="M901" s="23" t="s">
        <v>63</v>
      </c>
      <c r="N901" s="23">
        <v>21.0</v>
      </c>
      <c r="O901" s="23">
        <v>26.0</v>
      </c>
      <c r="P901" s="23" t="s">
        <v>63</v>
      </c>
      <c r="Q901" s="23">
        <v>38.0</v>
      </c>
      <c r="R901" s="314" t="s">
        <v>956</v>
      </c>
      <c r="S901" s="23" t="s">
        <v>63</v>
      </c>
      <c r="T901" s="32">
        <v>0.3258426966292135</v>
      </c>
      <c r="U901" s="123" t="s">
        <v>63</v>
      </c>
      <c r="V901" s="23" t="s">
        <v>63</v>
      </c>
      <c r="W901" s="127" t="s">
        <v>63</v>
      </c>
      <c r="X901" s="125" t="s">
        <v>63</v>
      </c>
      <c r="Y901" s="35">
        <v>52.0</v>
      </c>
      <c r="Z901" s="32" t="s">
        <v>63</v>
      </c>
      <c r="AA901" s="38"/>
      <c r="AB901" s="38"/>
      <c r="AC901" s="38"/>
      <c r="AD901" s="38"/>
      <c r="AE901" s="38"/>
      <c r="AF901" s="38"/>
      <c r="AG901" s="38"/>
      <c r="AH901" s="38"/>
      <c r="AI901" s="38"/>
      <c r="AJ901" s="38"/>
      <c r="AK901" s="38"/>
    </row>
    <row r="902">
      <c r="A902" s="99">
        <v>901.0</v>
      </c>
      <c r="B902" s="15"/>
      <c r="C902" s="15"/>
      <c r="D902" s="105">
        <v>1.0</v>
      </c>
      <c r="E902" s="102">
        <v>19.0</v>
      </c>
      <c r="F902" s="107">
        <v>189.0</v>
      </c>
      <c r="G902" s="15" t="str">
        <f t="shared" si="1"/>
        <v>19189</v>
      </c>
      <c r="H902" s="23" t="s">
        <v>753</v>
      </c>
      <c r="I902" s="23" t="s">
        <v>50</v>
      </c>
      <c r="J902" s="23" t="s">
        <v>881</v>
      </c>
      <c r="K902" s="23" t="str">
        <f t="shared" si="16"/>
        <v>Winnebago, IA</v>
      </c>
      <c r="L902" s="23">
        <v>6.0</v>
      </c>
      <c r="M902" s="23" t="s">
        <v>63</v>
      </c>
      <c r="N902" s="23">
        <v>0.0</v>
      </c>
      <c r="O902" s="23">
        <v>3.0</v>
      </c>
      <c r="P902" s="23" t="s">
        <v>63</v>
      </c>
      <c r="Q902" s="23" t="s">
        <v>956</v>
      </c>
      <c r="R902" s="314" t="s">
        <v>63</v>
      </c>
      <c r="S902" s="23" t="s">
        <v>63</v>
      </c>
      <c r="T902" s="32">
        <v>0.24</v>
      </c>
      <c r="U902" s="123" t="s">
        <v>63</v>
      </c>
      <c r="V902" s="23" t="s">
        <v>63</v>
      </c>
      <c r="W902" s="127" t="s">
        <v>63</v>
      </c>
      <c r="X902" s="125" t="s">
        <v>63</v>
      </c>
      <c r="Y902" s="35">
        <v>29.0</v>
      </c>
      <c r="Z902" s="32" t="s">
        <v>63</v>
      </c>
      <c r="AA902" s="38"/>
      <c r="AB902" s="38"/>
      <c r="AC902" s="38"/>
      <c r="AD902" s="38"/>
      <c r="AE902" s="38"/>
      <c r="AF902" s="38"/>
      <c r="AG902" s="38"/>
      <c r="AH902" s="38"/>
      <c r="AI902" s="38"/>
      <c r="AJ902" s="38"/>
      <c r="AK902" s="38"/>
    </row>
    <row r="903">
      <c r="A903" s="99">
        <v>902.0</v>
      </c>
      <c r="B903" s="15"/>
      <c r="C903" s="15"/>
      <c r="D903" s="105">
        <v>1.0</v>
      </c>
      <c r="E903" s="102">
        <v>19.0</v>
      </c>
      <c r="F903" s="107">
        <v>191.0</v>
      </c>
      <c r="G903" s="15" t="str">
        <f t="shared" si="1"/>
        <v>19191</v>
      </c>
      <c r="H903" s="23" t="s">
        <v>945</v>
      </c>
      <c r="I903" s="23" t="s">
        <v>50</v>
      </c>
      <c r="J903" s="23" t="s">
        <v>881</v>
      </c>
      <c r="K903" s="23" t="str">
        <f t="shared" si="16"/>
        <v>Winneshiek, IA</v>
      </c>
      <c r="L903" s="23">
        <v>7.0</v>
      </c>
      <c r="M903" s="23" t="s">
        <v>63</v>
      </c>
      <c r="N903" s="23">
        <v>1.0</v>
      </c>
      <c r="O903" s="23">
        <v>4.0</v>
      </c>
      <c r="P903" s="23" t="s">
        <v>63</v>
      </c>
      <c r="Q903" s="23">
        <v>7.0</v>
      </c>
      <c r="R903" s="314" t="s">
        <v>63</v>
      </c>
      <c r="S903" s="23" t="s">
        <v>63</v>
      </c>
      <c r="T903" s="32" t="s">
        <v>63</v>
      </c>
      <c r="U903" s="123" t="s">
        <v>63</v>
      </c>
      <c r="V903" s="23" t="s">
        <v>63</v>
      </c>
      <c r="W903" s="127" t="s">
        <v>63</v>
      </c>
      <c r="X903" s="125" t="s">
        <v>63</v>
      </c>
      <c r="Y903" s="35">
        <v>28.0</v>
      </c>
      <c r="Z903" s="32" t="s">
        <v>63</v>
      </c>
      <c r="AA903" s="38"/>
      <c r="AB903" s="38"/>
      <c r="AC903" s="38"/>
      <c r="AD903" s="38"/>
      <c r="AE903" s="38"/>
      <c r="AF903" s="38"/>
      <c r="AG903" s="38"/>
      <c r="AH903" s="38"/>
      <c r="AI903" s="38"/>
      <c r="AJ903" s="38"/>
      <c r="AK903" s="38"/>
    </row>
    <row r="904">
      <c r="A904" s="99">
        <v>903.0</v>
      </c>
      <c r="B904" s="15"/>
      <c r="C904" s="15"/>
      <c r="D904" s="105">
        <v>1.0</v>
      </c>
      <c r="E904" s="102">
        <v>19.0</v>
      </c>
      <c r="F904" s="107">
        <v>193.0</v>
      </c>
      <c r="G904" s="15" t="str">
        <f t="shared" si="1"/>
        <v>19193</v>
      </c>
      <c r="H904" s="23" t="s">
        <v>946</v>
      </c>
      <c r="I904" s="23" t="s">
        <v>50</v>
      </c>
      <c r="J904" s="23" t="s">
        <v>881</v>
      </c>
      <c r="K904" s="23" t="str">
        <f t="shared" si="16"/>
        <v>Woodbury, IA</v>
      </c>
      <c r="L904" s="23">
        <v>178.0</v>
      </c>
      <c r="M904" s="23" t="s">
        <v>63</v>
      </c>
      <c r="N904" s="23">
        <v>53.0</v>
      </c>
      <c r="O904" s="23">
        <v>85.0</v>
      </c>
      <c r="P904" s="23" t="s">
        <v>63</v>
      </c>
      <c r="Q904" s="23">
        <v>75.0</v>
      </c>
      <c r="R904" s="314">
        <v>28.0</v>
      </c>
      <c r="S904" s="23" t="s">
        <v>63</v>
      </c>
      <c r="T904" s="32">
        <v>0.14855875831485588</v>
      </c>
      <c r="U904" s="123" t="s">
        <v>63</v>
      </c>
      <c r="V904" s="23" t="s">
        <v>63</v>
      </c>
      <c r="W904" s="127" t="s">
        <v>63</v>
      </c>
      <c r="X904" s="125" t="s">
        <v>63</v>
      </c>
      <c r="Y904" s="35">
        <v>102.0</v>
      </c>
      <c r="Z904" s="32" t="s">
        <v>63</v>
      </c>
      <c r="AA904" s="38"/>
      <c r="AB904" s="38"/>
      <c r="AC904" s="38"/>
      <c r="AD904" s="38"/>
      <c r="AE904" s="38"/>
      <c r="AF904" s="38"/>
      <c r="AG904" s="38"/>
      <c r="AH904" s="38"/>
      <c r="AI904" s="38"/>
      <c r="AJ904" s="38"/>
      <c r="AK904" s="38"/>
    </row>
    <row r="905">
      <c r="A905" s="99">
        <v>904.0</v>
      </c>
      <c r="B905" s="15"/>
      <c r="C905" s="15"/>
      <c r="D905" s="105">
        <v>1.0</v>
      </c>
      <c r="E905" s="102">
        <v>19.0</v>
      </c>
      <c r="F905" s="107">
        <v>195.0</v>
      </c>
      <c r="G905" s="15" t="str">
        <f t="shared" si="1"/>
        <v>19195</v>
      </c>
      <c r="H905" s="23" t="s">
        <v>655</v>
      </c>
      <c r="I905" s="23" t="s">
        <v>50</v>
      </c>
      <c r="J905" s="23" t="s">
        <v>881</v>
      </c>
      <c r="K905" s="23" t="str">
        <f t="shared" si="16"/>
        <v>Worth, IA</v>
      </c>
      <c r="L905" s="23">
        <v>15.0</v>
      </c>
      <c r="M905" s="23" t="s">
        <v>63</v>
      </c>
      <c r="N905" s="23">
        <v>5.0</v>
      </c>
      <c r="O905" s="23">
        <v>7.0</v>
      </c>
      <c r="P905" s="23" t="s">
        <v>63</v>
      </c>
      <c r="Q905" s="23" t="s">
        <v>956</v>
      </c>
      <c r="R905" s="314" t="s">
        <v>63</v>
      </c>
      <c r="S905" s="23" t="s">
        <v>63</v>
      </c>
      <c r="T905" s="32" t="s">
        <v>63</v>
      </c>
      <c r="U905" s="123" t="s">
        <v>63</v>
      </c>
      <c r="V905" s="23" t="s">
        <v>63</v>
      </c>
      <c r="W905" s="127" t="s">
        <v>63</v>
      </c>
      <c r="X905" s="125" t="s">
        <v>63</v>
      </c>
      <c r="Y905" s="35">
        <v>18.0</v>
      </c>
      <c r="Z905" s="32" t="s">
        <v>63</v>
      </c>
      <c r="AA905" s="38"/>
      <c r="AB905" s="38"/>
      <c r="AC905" s="38"/>
      <c r="AD905" s="38"/>
      <c r="AE905" s="38"/>
      <c r="AF905" s="38"/>
      <c r="AG905" s="38"/>
      <c r="AH905" s="38"/>
      <c r="AI905" s="38"/>
      <c r="AJ905" s="38"/>
      <c r="AK905" s="38"/>
    </row>
    <row r="906">
      <c r="A906" s="99">
        <v>905.0</v>
      </c>
      <c r="B906" s="15"/>
      <c r="C906" s="15"/>
      <c r="D906" s="105">
        <v>1.0</v>
      </c>
      <c r="E906" s="102">
        <v>19.0</v>
      </c>
      <c r="F906" s="107">
        <v>197.0</v>
      </c>
      <c r="G906" s="15" t="str">
        <f t="shared" si="1"/>
        <v>19197</v>
      </c>
      <c r="H906" s="23" t="s">
        <v>949</v>
      </c>
      <c r="I906" s="23" t="s">
        <v>50</v>
      </c>
      <c r="J906" s="23" t="s">
        <v>881</v>
      </c>
      <c r="K906" s="23" t="str">
        <f t="shared" si="16"/>
        <v>Wright, IA</v>
      </c>
      <c r="L906" s="23">
        <v>6.0</v>
      </c>
      <c r="M906" s="23" t="s">
        <v>63</v>
      </c>
      <c r="N906" s="23">
        <v>1.0</v>
      </c>
      <c r="O906" s="23">
        <v>3.0</v>
      </c>
      <c r="P906" s="23" t="s">
        <v>63</v>
      </c>
      <c r="Q906" s="23">
        <v>8.0</v>
      </c>
      <c r="R906" s="314" t="s">
        <v>956</v>
      </c>
      <c r="S906" s="23" t="s">
        <v>63</v>
      </c>
      <c r="T906" s="32" t="s">
        <v>63</v>
      </c>
      <c r="U906" s="123" t="s">
        <v>63</v>
      </c>
      <c r="V906" s="23" t="s">
        <v>63</v>
      </c>
      <c r="W906" s="127" t="s">
        <v>63</v>
      </c>
      <c r="X906" s="125" t="s">
        <v>63</v>
      </c>
      <c r="Y906" s="35">
        <v>29.0</v>
      </c>
      <c r="Z906" s="32" t="s">
        <v>63</v>
      </c>
      <c r="AA906" s="38"/>
      <c r="AB906" s="38"/>
      <c r="AC906" s="38"/>
      <c r="AD906" s="38"/>
      <c r="AE906" s="38"/>
      <c r="AF906" s="38"/>
      <c r="AG906" s="38"/>
      <c r="AH906" s="38"/>
      <c r="AI906" s="38"/>
      <c r="AJ906" s="38"/>
      <c r="AK906" s="38"/>
    </row>
    <row r="907">
      <c r="A907" s="28">
        <v>906.0</v>
      </c>
      <c r="B907" s="29"/>
      <c r="C907" s="29" t="s">
        <v>25</v>
      </c>
      <c r="D907" s="30"/>
      <c r="E907" s="31">
        <v>20.0</v>
      </c>
      <c r="F907" s="42">
        <v>0.0</v>
      </c>
      <c r="G907" s="29" t="str">
        <f t="shared" si="1"/>
        <v>20000</v>
      </c>
      <c r="H907" s="37"/>
      <c r="I907" s="37" t="s">
        <v>53</v>
      </c>
      <c r="J907" s="37" t="s">
        <v>612</v>
      </c>
      <c r="K907" s="37"/>
      <c r="L907" s="70">
        <f t="array" ref="L907:Z907">Kansas!C109:Q109</f>
        <v>5981</v>
      </c>
      <c r="M907" s="70" t="s">
        <v>63</v>
      </c>
      <c r="N907" s="70">
        <v>2912.0</v>
      </c>
      <c r="O907" s="70">
        <v>2191.0</v>
      </c>
      <c r="P907" s="70" t="s">
        <v>63</v>
      </c>
      <c r="Q907" s="70">
        <v>2321.0</v>
      </c>
      <c r="R907" s="70">
        <v>2071.0</v>
      </c>
      <c r="S907" s="70" t="s">
        <v>63</v>
      </c>
      <c r="T907" s="69" t="s">
        <v>63</v>
      </c>
      <c r="U907" s="70" t="s">
        <v>63</v>
      </c>
      <c r="V907" s="53" t="s">
        <v>63</v>
      </c>
      <c r="W907" s="71" t="s">
        <v>63</v>
      </c>
      <c r="X907" s="70" t="s">
        <v>63</v>
      </c>
      <c r="Y907" s="53">
        <v>3297.0</v>
      </c>
      <c r="Z907" s="69" t="s">
        <v>63</v>
      </c>
      <c r="AA907" s="73"/>
      <c r="AB907" s="73"/>
      <c r="AC907" s="73"/>
      <c r="AD907" s="73"/>
      <c r="AE907" s="73"/>
      <c r="AF907" s="73"/>
      <c r="AG907" s="73"/>
      <c r="AH907" s="73"/>
      <c r="AI907" s="73"/>
      <c r="AJ907" s="73"/>
      <c r="AK907" s="73"/>
    </row>
    <row r="908">
      <c r="A908" s="28">
        <v>907.0</v>
      </c>
      <c r="B908" s="29"/>
      <c r="C908" s="29"/>
      <c r="D908" s="40">
        <v>1.0</v>
      </c>
      <c r="E908" s="31">
        <v>20.0</v>
      </c>
      <c r="F908" s="42">
        <v>1.0</v>
      </c>
      <c r="G908" s="29" t="str">
        <f t="shared" si="1"/>
        <v>20001</v>
      </c>
      <c r="H908" s="37" t="s">
        <v>755</v>
      </c>
      <c r="I908" s="37" t="s">
        <v>53</v>
      </c>
      <c r="J908" s="37" t="s">
        <v>612</v>
      </c>
      <c r="K908" s="37" t="str">
        <f t="shared" ref="K908:K1012" si="17">CONCATENATE(H908,", ",J908)</f>
        <v>Allen, KS</v>
      </c>
      <c r="L908" s="37">
        <f t="array" ref="L908:Z1012">Kansas!C3:Q107</f>
        <v>55</v>
      </c>
      <c r="M908" s="37" t="s">
        <v>63</v>
      </c>
      <c r="N908" s="37">
        <v>28.0</v>
      </c>
      <c r="O908" s="37">
        <v>24.0</v>
      </c>
      <c r="P908" s="37" t="s">
        <v>63</v>
      </c>
      <c r="Q908" s="37">
        <v>9.0</v>
      </c>
      <c r="R908" s="37" t="s">
        <v>63</v>
      </c>
      <c r="S908" s="37" t="s">
        <v>63</v>
      </c>
      <c r="T908" s="69" t="s">
        <v>63</v>
      </c>
      <c r="U908" s="70" t="s">
        <v>63</v>
      </c>
      <c r="V908" s="37" t="s">
        <v>63</v>
      </c>
      <c r="W908" s="71" t="s">
        <v>63</v>
      </c>
      <c r="X908" s="72" t="s">
        <v>63</v>
      </c>
      <c r="Y908" s="53">
        <v>27.0</v>
      </c>
      <c r="Z908" s="69" t="s">
        <v>63</v>
      </c>
      <c r="AA908" s="73"/>
      <c r="AB908" s="73"/>
      <c r="AC908" s="73"/>
      <c r="AD908" s="73"/>
      <c r="AE908" s="73"/>
      <c r="AF908" s="73"/>
      <c r="AG908" s="73"/>
      <c r="AH908" s="73"/>
      <c r="AI908" s="73"/>
      <c r="AJ908" s="73"/>
      <c r="AK908" s="73"/>
    </row>
    <row r="909">
      <c r="A909" s="28">
        <v>908.0</v>
      </c>
      <c r="B909" s="29"/>
      <c r="C909" s="29"/>
      <c r="D909" s="40">
        <v>1.0</v>
      </c>
      <c r="E909" s="31">
        <v>20.0</v>
      </c>
      <c r="F909" s="42">
        <v>3.0</v>
      </c>
      <c r="G909" s="29" t="str">
        <f t="shared" si="1"/>
        <v>20003</v>
      </c>
      <c r="H909" s="37" t="s">
        <v>954</v>
      </c>
      <c r="I909" s="37" t="s">
        <v>53</v>
      </c>
      <c r="J909" s="37" t="s">
        <v>612</v>
      </c>
      <c r="K909" s="37" t="str">
        <f t="shared" si="17"/>
        <v>Anderson, KS</v>
      </c>
      <c r="L909" s="37">
        <v>7.0</v>
      </c>
      <c r="M909" s="37" t="s">
        <v>63</v>
      </c>
      <c r="N909" s="37">
        <v>4.0</v>
      </c>
      <c r="O909" s="37">
        <v>1.0</v>
      </c>
      <c r="P909" s="37" t="s">
        <v>63</v>
      </c>
      <c r="Q909" s="37">
        <v>7.0</v>
      </c>
      <c r="R909" s="37" t="s">
        <v>63</v>
      </c>
      <c r="S909" s="37" t="s">
        <v>63</v>
      </c>
      <c r="T909" s="69" t="s">
        <v>63</v>
      </c>
      <c r="U909" s="70" t="s">
        <v>63</v>
      </c>
      <c r="V909" s="37" t="s">
        <v>63</v>
      </c>
      <c r="W909" s="71" t="s">
        <v>63</v>
      </c>
      <c r="X909" s="72" t="s">
        <v>63</v>
      </c>
      <c r="Y909" s="53">
        <v>11.0</v>
      </c>
      <c r="Z909" s="69" t="s">
        <v>63</v>
      </c>
      <c r="AA909" s="73"/>
      <c r="AB909" s="73"/>
      <c r="AC909" s="73"/>
      <c r="AD909" s="73"/>
      <c r="AE909" s="73"/>
      <c r="AF909" s="73"/>
      <c r="AG909" s="73"/>
      <c r="AH909" s="73"/>
      <c r="AI909" s="73"/>
      <c r="AJ909" s="73"/>
      <c r="AK909" s="73"/>
    </row>
    <row r="910">
      <c r="A910" s="28">
        <v>909.0</v>
      </c>
      <c r="B910" s="29"/>
      <c r="C910" s="29"/>
      <c r="D910" s="40">
        <v>1.0</v>
      </c>
      <c r="E910" s="31">
        <v>20.0</v>
      </c>
      <c r="F910" s="42">
        <v>5.0</v>
      </c>
      <c r="G910" s="29" t="str">
        <f t="shared" si="1"/>
        <v>20005</v>
      </c>
      <c r="H910" s="37" t="s">
        <v>955</v>
      </c>
      <c r="I910" s="37" t="s">
        <v>53</v>
      </c>
      <c r="J910" s="37" t="s">
        <v>612</v>
      </c>
      <c r="K910" s="37" t="str">
        <f t="shared" si="17"/>
        <v>Atchison, KS</v>
      </c>
      <c r="L910" s="37">
        <v>53.0</v>
      </c>
      <c r="M910" s="37" t="s">
        <v>63</v>
      </c>
      <c r="N910" s="37">
        <v>20.0</v>
      </c>
      <c r="O910" s="37">
        <v>23.0</v>
      </c>
      <c r="P910" s="37" t="s">
        <v>63</v>
      </c>
      <c r="Q910" s="37">
        <v>12.0</v>
      </c>
      <c r="R910" s="37" t="s">
        <v>63</v>
      </c>
      <c r="S910" s="37" t="s">
        <v>63</v>
      </c>
      <c r="T910" s="69" t="s">
        <v>63</v>
      </c>
      <c r="U910" s="70" t="s">
        <v>63</v>
      </c>
      <c r="V910" s="37" t="s">
        <v>63</v>
      </c>
      <c r="W910" s="71" t="s">
        <v>63</v>
      </c>
      <c r="X910" s="72" t="s">
        <v>63</v>
      </c>
      <c r="Y910" s="53">
        <v>22.0</v>
      </c>
      <c r="Z910" s="69" t="s">
        <v>63</v>
      </c>
      <c r="AA910" s="73"/>
      <c r="AB910" s="73"/>
      <c r="AC910" s="73"/>
      <c r="AD910" s="73"/>
      <c r="AE910" s="73"/>
      <c r="AF910" s="73"/>
      <c r="AG910" s="73"/>
      <c r="AH910" s="73"/>
      <c r="AI910" s="73"/>
      <c r="AJ910" s="73"/>
      <c r="AK910" s="73"/>
    </row>
    <row r="911">
      <c r="A911" s="28">
        <v>910.0</v>
      </c>
      <c r="B911" s="29"/>
      <c r="C911" s="29"/>
      <c r="D911" s="40">
        <v>1.0</v>
      </c>
      <c r="E911" s="31">
        <v>20.0</v>
      </c>
      <c r="F911" s="42">
        <v>7.0</v>
      </c>
      <c r="G911" s="29" t="str">
        <f t="shared" si="1"/>
        <v>20007</v>
      </c>
      <c r="H911" s="37" t="s">
        <v>957</v>
      </c>
      <c r="I911" s="37" t="s">
        <v>53</v>
      </c>
      <c r="J911" s="37" t="s">
        <v>612</v>
      </c>
      <c r="K911" s="37" t="str">
        <f t="shared" si="17"/>
        <v>Barber, KS</v>
      </c>
      <c r="L911" s="37">
        <v>18.0</v>
      </c>
      <c r="M911" s="37" t="s">
        <v>63</v>
      </c>
      <c r="N911" s="37">
        <v>4.0</v>
      </c>
      <c r="O911" s="37">
        <v>6.0</v>
      </c>
      <c r="P911" s="37" t="s">
        <v>63</v>
      </c>
      <c r="Q911" s="37">
        <v>2.0</v>
      </c>
      <c r="R911" s="37" t="s">
        <v>63</v>
      </c>
      <c r="S911" s="37" t="s">
        <v>63</v>
      </c>
      <c r="T911" s="69" t="s">
        <v>63</v>
      </c>
      <c r="U911" s="70" t="s">
        <v>63</v>
      </c>
      <c r="V911" s="37" t="s">
        <v>63</v>
      </c>
      <c r="W911" s="71" t="s">
        <v>63</v>
      </c>
      <c r="X911" s="72" t="s">
        <v>63</v>
      </c>
      <c r="Y911" s="53">
        <v>15.0</v>
      </c>
      <c r="Z911" s="69" t="s">
        <v>63</v>
      </c>
      <c r="AA911" s="73"/>
      <c r="AB911" s="73"/>
      <c r="AC911" s="73"/>
      <c r="AD911" s="73"/>
      <c r="AE911" s="73"/>
      <c r="AF911" s="73"/>
      <c r="AG911" s="73"/>
      <c r="AH911" s="73"/>
      <c r="AI911" s="73"/>
      <c r="AJ911" s="73"/>
      <c r="AK911" s="73"/>
    </row>
    <row r="912">
      <c r="A912" s="28">
        <v>911.0</v>
      </c>
      <c r="B912" s="29"/>
      <c r="C912" s="29"/>
      <c r="D912" s="40">
        <v>1.0</v>
      </c>
      <c r="E912" s="31">
        <v>20.0</v>
      </c>
      <c r="F912" s="42">
        <v>9.0</v>
      </c>
      <c r="G912" s="29" t="str">
        <f t="shared" si="1"/>
        <v>20009</v>
      </c>
      <c r="H912" s="37" t="s">
        <v>958</v>
      </c>
      <c r="I912" s="37" t="s">
        <v>53</v>
      </c>
      <c r="J912" s="37" t="s">
        <v>612</v>
      </c>
      <c r="K912" s="37" t="str">
        <f t="shared" si="17"/>
        <v>Barton, KS</v>
      </c>
      <c r="L912" s="37">
        <v>83.0</v>
      </c>
      <c r="M912" s="37" t="s">
        <v>63</v>
      </c>
      <c r="N912" s="37">
        <v>31.0</v>
      </c>
      <c r="O912" s="37">
        <v>44.0</v>
      </c>
      <c r="P912" s="37" t="s">
        <v>63</v>
      </c>
      <c r="Q912" s="37">
        <v>19.0</v>
      </c>
      <c r="R912" s="37" t="s">
        <v>63</v>
      </c>
      <c r="S912" s="37" t="s">
        <v>63</v>
      </c>
      <c r="T912" s="69" t="s">
        <v>63</v>
      </c>
      <c r="U912" s="70" t="s">
        <v>63</v>
      </c>
      <c r="V912" s="37" t="s">
        <v>63</v>
      </c>
      <c r="W912" s="71" t="s">
        <v>63</v>
      </c>
      <c r="X912" s="72" t="s">
        <v>63</v>
      </c>
      <c r="Y912" s="53">
        <v>50.0</v>
      </c>
      <c r="Z912" s="69" t="s">
        <v>63</v>
      </c>
      <c r="AA912" s="73"/>
      <c r="AB912" s="73"/>
      <c r="AC912" s="73"/>
      <c r="AD912" s="73"/>
      <c r="AE912" s="73"/>
      <c r="AF912" s="73"/>
      <c r="AG912" s="73"/>
      <c r="AH912" s="73"/>
      <c r="AI912" s="73"/>
      <c r="AJ912" s="73"/>
      <c r="AK912" s="73"/>
    </row>
    <row r="913">
      <c r="A913" s="28">
        <v>912.0</v>
      </c>
      <c r="B913" s="29"/>
      <c r="C913" s="29"/>
      <c r="D913" s="40">
        <v>1.0</v>
      </c>
      <c r="E913" s="31">
        <v>20.0</v>
      </c>
      <c r="F913" s="42">
        <v>11.0</v>
      </c>
      <c r="G913" s="29" t="str">
        <f t="shared" si="1"/>
        <v>20011</v>
      </c>
      <c r="H913" s="37" t="s">
        <v>959</v>
      </c>
      <c r="I913" s="37" t="s">
        <v>53</v>
      </c>
      <c r="J913" s="37" t="s">
        <v>612</v>
      </c>
      <c r="K913" s="37" t="str">
        <f t="shared" si="17"/>
        <v>Bourbon, KS</v>
      </c>
      <c r="L913" s="37">
        <v>35.0</v>
      </c>
      <c r="M913" s="37" t="s">
        <v>63</v>
      </c>
      <c r="N913" s="37">
        <v>16.0</v>
      </c>
      <c r="O913" s="37">
        <v>14.0</v>
      </c>
      <c r="P913" s="37" t="s">
        <v>63</v>
      </c>
      <c r="Q913" s="37">
        <v>17.0</v>
      </c>
      <c r="R913" s="37" t="s">
        <v>63</v>
      </c>
      <c r="S913" s="37" t="s">
        <v>63</v>
      </c>
      <c r="T913" s="69" t="s">
        <v>63</v>
      </c>
      <c r="U913" s="70" t="s">
        <v>63</v>
      </c>
      <c r="V913" s="37" t="s">
        <v>63</v>
      </c>
      <c r="W913" s="71" t="s">
        <v>63</v>
      </c>
      <c r="X913" s="72" t="s">
        <v>63</v>
      </c>
      <c r="Y913" s="53">
        <v>25.0</v>
      </c>
      <c r="Z913" s="69" t="s">
        <v>63</v>
      </c>
      <c r="AA913" s="73"/>
      <c r="AB913" s="73"/>
      <c r="AC913" s="73"/>
      <c r="AD913" s="73"/>
      <c r="AE913" s="73"/>
      <c r="AF913" s="73"/>
      <c r="AG913" s="73"/>
      <c r="AH913" s="73"/>
      <c r="AI913" s="73"/>
      <c r="AJ913" s="73"/>
      <c r="AK913" s="73"/>
    </row>
    <row r="914">
      <c r="A914" s="28">
        <v>913.0</v>
      </c>
      <c r="B914" s="29"/>
      <c r="C914" s="29"/>
      <c r="D914" s="40">
        <v>1.0</v>
      </c>
      <c r="E914" s="31">
        <v>20.0</v>
      </c>
      <c r="F914" s="42">
        <v>13.0</v>
      </c>
      <c r="G914" s="29" t="str">
        <f t="shared" si="1"/>
        <v>20013</v>
      </c>
      <c r="H914" s="37" t="s">
        <v>706</v>
      </c>
      <c r="I914" s="37" t="s">
        <v>53</v>
      </c>
      <c r="J914" s="37" t="s">
        <v>612</v>
      </c>
      <c r="K914" s="37" t="str">
        <f t="shared" si="17"/>
        <v>Brown, KS</v>
      </c>
      <c r="L914" s="37">
        <v>79.0</v>
      </c>
      <c r="M914" s="37" t="s">
        <v>63</v>
      </c>
      <c r="N914" s="37">
        <v>39.0</v>
      </c>
      <c r="O914" s="37">
        <v>30.0</v>
      </c>
      <c r="P914" s="37" t="s">
        <v>63</v>
      </c>
      <c r="Q914" s="37">
        <v>17.0</v>
      </c>
      <c r="R914" s="37" t="s">
        <v>63</v>
      </c>
      <c r="S914" s="37" t="s">
        <v>63</v>
      </c>
      <c r="T914" s="69" t="s">
        <v>63</v>
      </c>
      <c r="U914" s="70" t="s">
        <v>63</v>
      </c>
      <c r="V914" s="37" t="s">
        <v>63</v>
      </c>
      <c r="W914" s="71" t="s">
        <v>63</v>
      </c>
      <c r="X914" s="72" t="s">
        <v>63</v>
      </c>
      <c r="Y914" s="53">
        <v>25.0</v>
      </c>
      <c r="Z914" s="69" t="s">
        <v>63</v>
      </c>
      <c r="AA914" s="73"/>
      <c r="AB914" s="73"/>
      <c r="AC914" s="73"/>
      <c r="AD914" s="73"/>
      <c r="AE914" s="73"/>
      <c r="AF914" s="73"/>
      <c r="AG914" s="73"/>
      <c r="AH914" s="73"/>
      <c r="AI914" s="73"/>
      <c r="AJ914" s="73"/>
      <c r="AK914" s="73"/>
    </row>
    <row r="915">
      <c r="A915" s="28">
        <v>914.0</v>
      </c>
      <c r="B915" s="29"/>
      <c r="C915" s="29"/>
      <c r="D915" s="40">
        <v>1.0</v>
      </c>
      <c r="E915" s="31">
        <v>20.0</v>
      </c>
      <c r="F915" s="42">
        <v>15.0</v>
      </c>
      <c r="G915" s="29" t="str">
        <f t="shared" si="1"/>
        <v>20015</v>
      </c>
      <c r="H915" s="37" t="s">
        <v>87</v>
      </c>
      <c r="I915" s="37" t="s">
        <v>53</v>
      </c>
      <c r="J915" s="37" t="s">
        <v>612</v>
      </c>
      <c r="K915" s="37" t="str">
        <f t="shared" si="17"/>
        <v>Butler, KS</v>
      </c>
      <c r="L915" s="37">
        <v>186.0</v>
      </c>
      <c r="M915" s="37" t="s">
        <v>63</v>
      </c>
      <c r="N915" s="37">
        <v>92.0</v>
      </c>
      <c r="O915" s="37">
        <v>58.0</v>
      </c>
      <c r="P915" s="37" t="s">
        <v>63</v>
      </c>
      <c r="Q915" s="37">
        <v>79.0</v>
      </c>
      <c r="R915" s="37" t="s">
        <v>63</v>
      </c>
      <c r="S915" s="37" t="s">
        <v>63</v>
      </c>
      <c r="T915" s="69" t="s">
        <v>63</v>
      </c>
      <c r="U915" s="70" t="s">
        <v>63</v>
      </c>
      <c r="V915" s="37" t="s">
        <v>63</v>
      </c>
      <c r="W915" s="71" t="s">
        <v>63</v>
      </c>
      <c r="X915" s="72" t="s">
        <v>63</v>
      </c>
      <c r="Y915" s="53">
        <v>77.0</v>
      </c>
      <c r="Z915" s="69" t="s">
        <v>63</v>
      </c>
      <c r="AA915" s="73"/>
      <c r="AB915" s="73"/>
      <c r="AC915" s="73"/>
      <c r="AD915" s="73"/>
      <c r="AE915" s="73"/>
      <c r="AF915" s="73"/>
      <c r="AG915" s="73"/>
      <c r="AH915" s="73"/>
      <c r="AI915" s="73"/>
      <c r="AJ915" s="73"/>
      <c r="AK915" s="73"/>
    </row>
    <row r="916">
      <c r="A916" s="28">
        <v>915.0</v>
      </c>
      <c r="B916" s="29"/>
      <c r="C916" s="29"/>
      <c r="D916" s="40">
        <v>1.0</v>
      </c>
      <c r="E916" s="31">
        <v>20.0</v>
      </c>
      <c r="F916" s="42">
        <v>17.0</v>
      </c>
      <c r="G916" s="29" t="str">
        <f t="shared" si="1"/>
        <v>20017</v>
      </c>
      <c r="H916" s="37" t="s">
        <v>960</v>
      </c>
      <c r="I916" s="37" t="s">
        <v>53</v>
      </c>
      <c r="J916" s="37" t="s">
        <v>612</v>
      </c>
      <c r="K916" s="37" t="str">
        <f t="shared" si="17"/>
        <v>Chase, KS</v>
      </c>
      <c r="L916" s="37">
        <v>5.0</v>
      </c>
      <c r="M916" s="37" t="s">
        <v>63</v>
      </c>
      <c r="N916" s="37">
        <v>4.0</v>
      </c>
      <c r="O916" s="37">
        <v>1.0</v>
      </c>
      <c r="P916" s="37" t="s">
        <v>63</v>
      </c>
      <c r="Q916" s="37">
        <v>0.0</v>
      </c>
      <c r="R916" s="37" t="s">
        <v>63</v>
      </c>
      <c r="S916" s="37" t="s">
        <v>63</v>
      </c>
      <c r="T916" s="69" t="s">
        <v>63</v>
      </c>
      <c r="U916" s="70" t="s">
        <v>63</v>
      </c>
      <c r="V916" s="37" t="s">
        <v>63</v>
      </c>
      <c r="W916" s="71" t="s">
        <v>63</v>
      </c>
      <c r="X916" s="72" t="s">
        <v>63</v>
      </c>
      <c r="Y916" s="53">
        <v>3.0</v>
      </c>
      <c r="Z916" s="69" t="s">
        <v>63</v>
      </c>
      <c r="AA916" s="73"/>
      <c r="AB916" s="73"/>
      <c r="AC916" s="73"/>
      <c r="AD916" s="73"/>
      <c r="AE916" s="73"/>
      <c r="AF916" s="73"/>
      <c r="AG916" s="73"/>
      <c r="AH916" s="73"/>
      <c r="AI916" s="73"/>
      <c r="AJ916" s="73"/>
      <c r="AK916" s="73"/>
    </row>
    <row r="917">
      <c r="A917" s="28">
        <v>916.0</v>
      </c>
      <c r="B917" s="29"/>
      <c r="C917" s="29"/>
      <c r="D917" s="40">
        <v>1.0</v>
      </c>
      <c r="E917" s="31">
        <v>20.0</v>
      </c>
      <c r="F917" s="42">
        <v>19.0</v>
      </c>
      <c r="G917" s="29" t="str">
        <f t="shared" si="1"/>
        <v>20019</v>
      </c>
      <c r="H917" s="37" t="s">
        <v>961</v>
      </c>
      <c r="I917" s="37" t="s">
        <v>53</v>
      </c>
      <c r="J917" s="37" t="s">
        <v>612</v>
      </c>
      <c r="K917" s="37" t="str">
        <f t="shared" si="17"/>
        <v>Chautauqua, KS</v>
      </c>
      <c r="L917" s="37">
        <v>7.0</v>
      </c>
      <c r="M917" s="37" t="s">
        <v>63</v>
      </c>
      <c r="N917" s="37">
        <v>3.0</v>
      </c>
      <c r="O917" s="37">
        <v>1.0</v>
      </c>
      <c r="P917" s="37" t="s">
        <v>63</v>
      </c>
      <c r="Q917" s="37">
        <v>0.0</v>
      </c>
      <c r="R917" s="37" t="s">
        <v>63</v>
      </c>
      <c r="S917" s="37" t="s">
        <v>63</v>
      </c>
      <c r="T917" s="69" t="s">
        <v>63</v>
      </c>
      <c r="U917" s="70" t="s">
        <v>63</v>
      </c>
      <c r="V917" s="37" t="s">
        <v>63</v>
      </c>
      <c r="W917" s="71" t="s">
        <v>63</v>
      </c>
      <c r="X917" s="72" t="s">
        <v>63</v>
      </c>
      <c r="Y917" s="53">
        <v>12.0</v>
      </c>
      <c r="Z917" s="69" t="s">
        <v>63</v>
      </c>
      <c r="AA917" s="73"/>
      <c r="AB917" s="73"/>
      <c r="AC917" s="73"/>
      <c r="AD917" s="73"/>
      <c r="AE917" s="73"/>
      <c r="AF917" s="73"/>
      <c r="AG917" s="73"/>
      <c r="AH917" s="73"/>
      <c r="AI917" s="73"/>
      <c r="AJ917" s="73"/>
      <c r="AK917" s="73"/>
    </row>
    <row r="918">
      <c r="A918" s="28">
        <v>917.0</v>
      </c>
      <c r="B918" s="29"/>
      <c r="C918" s="29"/>
      <c r="D918" s="40">
        <v>1.0</v>
      </c>
      <c r="E918" s="31">
        <v>20.0</v>
      </c>
      <c r="F918" s="42">
        <v>21.0</v>
      </c>
      <c r="G918" s="29" t="str">
        <f t="shared" si="1"/>
        <v>20021</v>
      </c>
      <c r="H918" s="37" t="s">
        <v>101</v>
      </c>
      <c r="I918" s="37" t="s">
        <v>53</v>
      </c>
      <c r="J918" s="37" t="s">
        <v>612</v>
      </c>
      <c r="K918" s="37" t="str">
        <f t="shared" si="17"/>
        <v>Cherokee, KS</v>
      </c>
      <c r="L918" s="37">
        <v>39.0</v>
      </c>
      <c r="M918" s="37" t="s">
        <v>63</v>
      </c>
      <c r="N918" s="37">
        <v>29.0</v>
      </c>
      <c r="O918" s="37">
        <v>5.0</v>
      </c>
      <c r="P918" s="37" t="s">
        <v>63</v>
      </c>
      <c r="Q918" s="37">
        <v>28.0</v>
      </c>
      <c r="R918" s="37" t="s">
        <v>63</v>
      </c>
      <c r="S918" s="37" t="s">
        <v>63</v>
      </c>
      <c r="T918" s="69" t="s">
        <v>63</v>
      </c>
      <c r="U918" s="70" t="s">
        <v>63</v>
      </c>
      <c r="V918" s="37" t="s">
        <v>63</v>
      </c>
      <c r="W918" s="71" t="s">
        <v>63</v>
      </c>
      <c r="X918" s="72" t="s">
        <v>63</v>
      </c>
      <c r="Y918" s="53">
        <v>26.0</v>
      </c>
      <c r="Z918" s="69" t="s">
        <v>63</v>
      </c>
      <c r="AA918" s="73"/>
      <c r="AB918" s="73"/>
      <c r="AC918" s="73"/>
      <c r="AD918" s="73"/>
      <c r="AE918" s="73"/>
      <c r="AF918" s="73"/>
      <c r="AG918" s="73"/>
      <c r="AH918" s="73"/>
      <c r="AI918" s="73"/>
      <c r="AJ918" s="73"/>
      <c r="AK918" s="73"/>
    </row>
    <row r="919">
      <c r="A919" s="28">
        <v>918.0</v>
      </c>
      <c r="B919" s="29"/>
      <c r="C919" s="29"/>
      <c r="D919" s="40">
        <v>1.0</v>
      </c>
      <c r="E919" s="31">
        <v>20.0</v>
      </c>
      <c r="F919" s="42">
        <v>23.0</v>
      </c>
      <c r="G919" s="29" t="str">
        <f t="shared" si="1"/>
        <v>20023</v>
      </c>
      <c r="H919" s="37" t="s">
        <v>399</v>
      </c>
      <c r="I919" s="37" t="s">
        <v>53</v>
      </c>
      <c r="J919" s="37" t="s">
        <v>612</v>
      </c>
      <c r="K919" s="37" t="str">
        <f t="shared" si="17"/>
        <v>Cheyenne, KS</v>
      </c>
      <c r="L919" s="37">
        <v>6.0</v>
      </c>
      <c r="M919" s="37" t="s">
        <v>63</v>
      </c>
      <c r="N919" s="37">
        <v>6.0</v>
      </c>
      <c r="O919" s="37">
        <v>0.0</v>
      </c>
      <c r="P919" s="37" t="s">
        <v>63</v>
      </c>
      <c r="Q919" s="37">
        <v>2.0</v>
      </c>
      <c r="R919" s="37" t="s">
        <v>63</v>
      </c>
      <c r="S919" s="37" t="s">
        <v>63</v>
      </c>
      <c r="T919" s="69" t="s">
        <v>63</v>
      </c>
      <c r="U919" s="70" t="s">
        <v>63</v>
      </c>
      <c r="V919" s="37" t="s">
        <v>63</v>
      </c>
      <c r="W919" s="71" t="s">
        <v>63</v>
      </c>
      <c r="X919" s="72" t="s">
        <v>63</v>
      </c>
      <c r="Y919" s="53">
        <v>10.0</v>
      </c>
      <c r="Z919" s="69" t="s">
        <v>63</v>
      </c>
      <c r="AA919" s="73"/>
      <c r="AB919" s="73"/>
      <c r="AC919" s="73"/>
      <c r="AD919" s="73"/>
      <c r="AE919" s="73"/>
      <c r="AF919" s="73"/>
      <c r="AG919" s="73"/>
      <c r="AH919" s="73"/>
      <c r="AI919" s="73"/>
      <c r="AJ919" s="73"/>
      <c r="AK919" s="73"/>
    </row>
    <row r="920">
      <c r="A920" s="28">
        <v>919.0</v>
      </c>
      <c r="B920" s="29"/>
      <c r="C920" s="29"/>
      <c r="D920" s="40">
        <v>1.0</v>
      </c>
      <c r="E920" s="31">
        <v>20.0</v>
      </c>
      <c r="F920" s="42">
        <v>25.0</v>
      </c>
      <c r="G920" s="29" t="str">
        <f t="shared" si="1"/>
        <v>20025</v>
      </c>
      <c r="H920" s="37" t="s">
        <v>253</v>
      </c>
      <c r="I920" s="37" t="s">
        <v>53</v>
      </c>
      <c r="J920" s="37" t="s">
        <v>612</v>
      </c>
      <c r="K920" s="37" t="str">
        <f t="shared" si="17"/>
        <v>Clark, KS</v>
      </c>
      <c r="L920" s="37">
        <v>7.0</v>
      </c>
      <c r="M920" s="37" t="s">
        <v>63</v>
      </c>
      <c r="N920" s="37">
        <v>1.0</v>
      </c>
      <c r="O920" s="37">
        <v>5.0</v>
      </c>
      <c r="P920" s="37" t="s">
        <v>63</v>
      </c>
      <c r="Q920" s="37">
        <v>1.0</v>
      </c>
      <c r="R920" s="37" t="s">
        <v>63</v>
      </c>
      <c r="S920" s="37" t="s">
        <v>63</v>
      </c>
      <c r="T920" s="69" t="s">
        <v>63</v>
      </c>
      <c r="U920" s="70" t="s">
        <v>63</v>
      </c>
      <c r="V920" s="37" t="s">
        <v>63</v>
      </c>
      <c r="W920" s="71" t="s">
        <v>63</v>
      </c>
      <c r="X920" s="72" t="s">
        <v>63</v>
      </c>
      <c r="Y920" s="53">
        <v>7.0</v>
      </c>
      <c r="Z920" s="69" t="s">
        <v>63</v>
      </c>
      <c r="AA920" s="73"/>
      <c r="AB920" s="73"/>
      <c r="AC920" s="73"/>
      <c r="AD920" s="73"/>
      <c r="AE920" s="73"/>
      <c r="AF920" s="73"/>
      <c r="AG920" s="73"/>
      <c r="AH920" s="73"/>
      <c r="AI920" s="73"/>
      <c r="AJ920" s="73"/>
      <c r="AK920" s="73"/>
    </row>
    <row r="921">
      <c r="A921" s="28">
        <v>920.0</v>
      </c>
      <c r="B921" s="29"/>
      <c r="C921" s="29"/>
      <c r="D921" s="40">
        <v>1.0</v>
      </c>
      <c r="E921" s="31">
        <v>20.0</v>
      </c>
      <c r="F921" s="42">
        <v>27.0</v>
      </c>
      <c r="G921" s="29" t="str">
        <f t="shared" si="1"/>
        <v>20027</v>
      </c>
      <c r="H921" s="37" t="s">
        <v>112</v>
      </c>
      <c r="I921" s="37" t="s">
        <v>53</v>
      </c>
      <c r="J921" s="37" t="s">
        <v>612</v>
      </c>
      <c r="K921" s="37" t="str">
        <f t="shared" si="17"/>
        <v>Clay, KS</v>
      </c>
      <c r="L921" s="37">
        <v>9.0</v>
      </c>
      <c r="M921" s="37" t="s">
        <v>63</v>
      </c>
      <c r="N921" s="37">
        <v>4.0</v>
      </c>
      <c r="O921" s="37">
        <v>2.0</v>
      </c>
      <c r="P921" s="37" t="s">
        <v>63</v>
      </c>
      <c r="Q921" s="37">
        <v>2.0</v>
      </c>
      <c r="R921" s="37" t="s">
        <v>63</v>
      </c>
      <c r="S921" s="37" t="s">
        <v>63</v>
      </c>
      <c r="T921" s="69" t="s">
        <v>63</v>
      </c>
      <c r="U921" s="70" t="s">
        <v>63</v>
      </c>
      <c r="V921" s="37" t="s">
        <v>63</v>
      </c>
      <c r="W921" s="71" t="s">
        <v>63</v>
      </c>
      <c r="X921" s="72" t="s">
        <v>63</v>
      </c>
      <c r="Y921" s="53">
        <v>19.0</v>
      </c>
      <c r="Z921" s="69" t="s">
        <v>63</v>
      </c>
      <c r="AA921" s="73"/>
      <c r="AB921" s="73"/>
      <c r="AC921" s="73"/>
      <c r="AD921" s="73"/>
      <c r="AE921" s="73"/>
      <c r="AF921" s="73"/>
      <c r="AG921" s="73"/>
      <c r="AH921" s="73"/>
      <c r="AI921" s="73"/>
      <c r="AJ921" s="73"/>
      <c r="AK921" s="73"/>
    </row>
    <row r="922">
      <c r="A922" s="28">
        <v>921.0</v>
      </c>
      <c r="B922" s="29"/>
      <c r="C922" s="29"/>
      <c r="D922" s="40">
        <v>1.0</v>
      </c>
      <c r="E922" s="31">
        <v>20.0</v>
      </c>
      <c r="F922" s="42">
        <v>29.0</v>
      </c>
      <c r="G922" s="29" t="str">
        <f t="shared" si="1"/>
        <v>20029</v>
      </c>
      <c r="H922" s="37" t="s">
        <v>962</v>
      </c>
      <c r="I922" s="37" t="s">
        <v>53</v>
      </c>
      <c r="J922" s="37" t="s">
        <v>612</v>
      </c>
      <c r="K922" s="37" t="str">
        <f t="shared" si="17"/>
        <v>Cloud, KS</v>
      </c>
      <c r="L922" s="37">
        <v>21.0</v>
      </c>
      <c r="M922" s="37" t="s">
        <v>63</v>
      </c>
      <c r="N922" s="37">
        <v>9.0</v>
      </c>
      <c r="O922" s="37">
        <v>9.0</v>
      </c>
      <c r="P922" s="37" t="s">
        <v>63</v>
      </c>
      <c r="Q922" s="37">
        <v>11.0</v>
      </c>
      <c r="R922" s="37" t="s">
        <v>63</v>
      </c>
      <c r="S922" s="37" t="s">
        <v>63</v>
      </c>
      <c r="T922" s="69" t="s">
        <v>63</v>
      </c>
      <c r="U922" s="70" t="s">
        <v>63</v>
      </c>
      <c r="V922" s="37" t="s">
        <v>63</v>
      </c>
      <c r="W922" s="71" t="s">
        <v>63</v>
      </c>
      <c r="X922" s="72" t="s">
        <v>63</v>
      </c>
      <c r="Y922" s="53">
        <v>18.0</v>
      </c>
      <c r="Z922" s="69" t="s">
        <v>63</v>
      </c>
      <c r="AA922" s="73"/>
      <c r="AB922" s="73"/>
      <c r="AC922" s="73"/>
      <c r="AD922" s="73"/>
      <c r="AE922" s="73"/>
      <c r="AF922" s="73"/>
      <c r="AG922" s="73"/>
      <c r="AH922" s="73"/>
      <c r="AI922" s="73"/>
      <c r="AJ922" s="73"/>
      <c r="AK922" s="73"/>
    </row>
    <row r="923">
      <c r="A923" s="28">
        <v>922.0</v>
      </c>
      <c r="B923" s="29"/>
      <c r="C923" s="29"/>
      <c r="D923" s="40">
        <v>1.0</v>
      </c>
      <c r="E923" s="31">
        <v>20.0</v>
      </c>
      <c r="F923" s="42">
        <v>31.0</v>
      </c>
      <c r="G923" s="29" t="str">
        <f t="shared" si="1"/>
        <v>20031</v>
      </c>
      <c r="H923" s="37" t="s">
        <v>963</v>
      </c>
      <c r="I923" s="37" t="s">
        <v>53</v>
      </c>
      <c r="J923" s="37" t="s">
        <v>612</v>
      </c>
      <c r="K923" s="37" t="str">
        <f t="shared" si="17"/>
        <v>Coffey, KS</v>
      </c>
      <c r="L923" s="37">
        <v>7.0</v>
      </c>
      <c r="M923" s="37" t="s">
        <v>63</v>
      </c>
      <c r="N923" s="37">
        <v>6.0</v>
      </c>
      <c r="O923" s="37">
        <v>0.0</v>
      </c>
      <c r="P923" s="37" t="s">
        <v>63</v>
      </c>
      <c r="Q923" s="37">
        <v>15.0</v>
      </c>
      <c r="R923" s="37" t="s">
        <v>63</v>
      </c>
      <c r="S923" s="37" t="s">
        <v>63</v>
      </c>
      <c r="T923" s="69" t="s">
        <v>63</v>
      </c>
      <c r="U923" s="70" t="s">
        <v>63</v>
      </c>
      <c r="V923" s="37" t="s">
        <v>63</v>
      </c>
      <c r="W923" s="71" t="s">
        <v>63</v>
      </c>
      <c r="X923" s="72" t="s">
        <v>63</v>
      </c>
      <c r="Y923" s="53">
        <v>17.0</v>
      </c>
      <c r="Z923" s="69" t="s">
        <v>63</v>
      </c>
      <c r="AA923" s="73"/>
      <c r="AB923" s="73"/>
      <c r="AC923" s="73"/>
      <c r="AD923" s="73"/>
      <c r="AE923" s="73"/>
      <c r="AF923" s="73"/>
      <c r="AG923" s="73"/>
      <c r="AH923" s="73"/>
      <c r="AI923" s="73"/>
      <c r="AJ923" s="73"/>
      <c r="AK923" s="73"/>
    </row>
    <row r="924">
      <c r="A924" s="28">
        <v>923.0</v>
      </c>
      <c r="B924" s="29"/>
      <c r="C924" s="29"/>
      <c r="D924" s="40">
        <v>1.0</v>
      </c>
      <c r="E924" s="31">
        <v>20.0</v>
      </c>
      <c r="F924" s="42">
        <v>33.0</v>
      </c>
      <c r="G924" s="29" t="str">
        <f t="shared" si="1"/>
        <v>20033</v>
      </c>
      <c r="H924" s="37" t="s">
        <v>964</v>
      </c>
      <c r="I924" s="37" t="s">
        <v>53</v>
      </c>
      <c r="J924" s="37" t="s">
        <v>612</v>
      </c>
      <c r="K924" s="37" t="str">
        <f t="shared" si="17"/>
        <v>Comanche, KS</v>
      </c>
      <c r="L924" s="37">
        <v>11.0</v>
      </c>
      <c r="M924" s="37" t="s">
        <v>63</v>
      </c>
      <c r="N924" s="37">
        <v>4.0</v>
      </c>
      <c r="O924" s="37">
        <v>6.0</v>
      </c>
      <c r="P924" s="37" t="s">
        <v>63</v>
      </c>
      <c r="Q924" s="37">
        <v>2.0</v>
      </c>
      <c r="R924" s="37" t="s">
        <v>63</v>
      </c>
      <c r="S924" s="37" t="s">
        <v>63</v>
      </c>
      <c r="T924" s="69" t="s">
        <v>63</v>
      </c>
      <c r="U924" s="70" t="s">
        <v>63</v>
      </c>
      <c r="V924" s="37" t="s">
        <v>63</v>
      </c>
      <c r="W924" s="71" t="s">
        <v>63</v>
      </c>
      <c r="X924" s="72" t="s">
        <v>63</v>
      </c>
      <c r="Y924" s="53">
        <v>3.0</v>
      </c>
      <c r="Z924" s="69" t="s">
        <v>63</v>
      </c>
      <c r="AA924" s="73"/>
      <c r="AB924" s="73"/>
      <c r="AC924" s="73"/>
      <c r="AD924" s="73"/>
      <c r="AE924" s="73"/>
      <c r="AF924" s="73"/>
      <c r="AG924" s="73"/>
      <c r="AH924" s="73"/>
      <c r="AI924" s="73"/>
      <c r="AJ924" s="73"/>
      <c r="AK924" s="73"/>
    </row>
    <row r="925">
      <c r="A925" s="28">
        <v>924.0</v>
      </c>
      <c r="B925" s="29"/>
      <c r="C925" s="29"/>
      <c r="D925" s="40">
        <v>1.0</v>
      </c>
      <c r="E925" s="31">
        <v>20.0</v>
      </c>
      <c r="F925" s="42">
        <v>35.0</v>
      </c>
      <c r="G925" s="29" t="str">
        <f t="shared" si="1"/>
        <v>20035</v>
      </c>
      <c r="H925" s="37" t="s">
        <v>965</v>
      </c>
      <c r="I925" s="37" t="s">
        <v>53</v>
      </c>
      <c r="J925" s="37" t="s">
        <v>612</v>
      </c>
      <c r="K925" s="37" t="str">
        <f t="shared" si="17"/>
        <v>Cowley, KS</v>
      </c>
      <c r="L925" s="37">
        <v>99.0</v>
      </c>
      <c r="M925" s="37" t="s">
        <v>63</v>
      </c>
      <c r="N925" s="37">
        <v>55.0</v>
      </c>
      <c r="O925" s="37">
        <v>34.0</v>
      </c>
      <c r="P925" s="37" t="s">
        <v>63</v>
      </c>
      <c r="Q925" s="37">
        <v>39.0</v>
      </c>
      <c r="R925" s="37" t="s">
        <v>63</v>
      </c>
      <c r="S925" s="37" t="s">
        <v>63</v>
      </c>
      <c r="T925" s="69" t="s">
        <v>63</v>
      </c>
      <c r="U925" s="70" t="s">
        <v>63</v>
      </c>
      <c r="V925" s="37" t="s">
        <v>63</v>
      </c>
      <c r="W925" s="71" t="s">
        <v>63</v>
      </c>
      <c r="X925" s="72" t="s">
        <v>63</v>
      </c>
      <c r="Y925" s="53">
        <v>55.0</v>
      </c>
      <c r="Z925" s="69" t="s">
        <v>63</v>
      </c>
      <c r="AA925" s="73"/>
      <c r="AB925" s="73"/>
      <c r="AC925" s="73"/>
      <c r="AD925" s="73"/>
      <c r="AE925" s="73"/>
      <c r="AF925" s="73"/>
      <c r="AG925" s="73"/>
      <c r="AH925" s="73"/>
      <c r="AI925" s="73"/>
      <c r="AJ925" s="73"/>
      <c r="AK925" s="73"/>
    </row>
    <row r="926">
      <c r="A926" s="28">
        <v>925.0</v>
      </c>
      <c r="B926" s="29"/>
      <c r="C926" s="29"/>
      <c r="D926" s="40">
        <v>1.0</v>
      </c>
      <c r="E926" s="31">
        <v>20.0</v>
      </c>
      <c r="F926" s="42">
        <v>37.0</v>
      </c>
      <c r="G926" s="29" t="str">
        <f t="shared" si="1"/>
        <v>20037</v>
      </c>
      <c r="H926" s="37" t="s">
        <v>263</v>
      </c>
      <c r="I926" s="37" t="s">
        <v>53</v>
      </c>
      <c r="J926" s="37" t="s">
        <v>612</v>
      </c>
      <c r="K926" s="37" t="str">
        <f t="shared" si="17"/>
        <v>Crawford, KS</v>
      </c>
      <c r="L926" s="37">
        <v>137.0</v>
      </c>
      <c r="M926" s="37" t="s">
        <v>63</v>
      </c>
      <c r="N926" s="37">
        <v>74.0</v>
      </c>
      <c r="O926" s="37">
        <v>48.0</v>
      </c>
      <c r="P926" s="37" t="s">
        <v>63</v>
      </c>
      <c r="Q926" s="37">
        <v>56.0</v>
      </c>
      <c r="R926" s="37" t="s">
        <v>63</v>
      </c>
      <c r="S926" s="37" t="s">
        <v>63</v>
      </c>
      <c r="T926" s="69" t="s">
        <v>63</v>
      </c>
      <c r="U926" s="70" t="s">
        <v>63</v>
      </c>
      <c r="V926" s="37" t="s">
        <v>63</v>
      </c>
      <c r="W926" s="71" t="s">
        <v>63</v>
      </c>
      <c r="X926" s="72" t="s">
        <v>63</v>
      </c>
      <c r="Y926" s="53">
        <v>49.0</v>
      </c>
      <c r="Z926" s="69" t="s">
        <v>63</v>
      </c>
      <c r="AA926" s="73"/>
      <c r="AB926" s="73"/>
      <c r="AC926" s="73"/>
      <c r="AD926" s="73"/>
      <c r="AE926" s="73"/>
      <c r="AF926" s="73"/>
      <c r="AG926" s="73"/>
      <c r="AH926" s="73"/>
      <c r="AI926" s="73"/>
      <c r="AJ926" s="73"/>
      <c r="AK926" s="73"/>
    </row>
    <row r="927">
      <c r="A927" s="28">
        <v>926.0</v>
      </c>
      <c r="B927" s="29"/>
      <c r="C927" s="29"/>
      <c r="D927" s="40">
        <v>1.0</v>
      </c>
      <c r="E927" s="31">
        <v>20.0</v>
      </c>
      <c r="F927" s="42">
        <v>39.0</v>
      </c>
      <c r="G927" s="29" t="str">
        <f t="shared" si="1"/>
        <v>20039</v>
      </c>
      <c r="H927" s="37" t="s">
        <v>563</v>
      </c>
      <c r="I927" s="37" t="s">
        <v>53</v>
      </c>
      <c r="J927" s="37" t="s">
        <v>612</v>
      </c>
      <c r="K927" s="37" t="str">
        <f t="shared" si="17"/>
        <v>Decatur, KS</v>
      </c>
      <c r="L927" s="37">
        <v>6.0</v>
      </c>
      <c r="M927" s="37" t="s">
        <v>63</v>
      </c>
      <c r="N927" s="37">
        <v>1.0</v>
      </c>
      <c r="O927" s="37">
        <v>3.0</v>
      </c>
      <c r="P927" s="37" t="s">
        <v>63</v>
      </c>
      <c r="Q927" s="37">
        <v>0.0</v>
      </c>
      <c r="R927" s="37" t="s">
        <v>63</v>
      </c>
      <c r="S927" s="37" t="s">
        <v>63</v>
      </c>
      <c r="T927" s="69" t="s">
        <v>63</v>
      </c>
      <c r="U927" s="70" t="s">
        <v>63</v>
      </c>
      <c r="V927" s="37" t="s">
        <v>63</v>
      </c>
      <c r="W927" s="71" t="s">
        <v>63</v>
      </c>
      <c r="X927" s="72" t="s">
        <v>63</v>
      </c>
      <c r="Y927" s="53">
        <v>8.0</v>
      </c>
      <c r="Z927" s="69" t="s">
        <v>63</v>
      </c>
      <c r="AA927" s="73"/>
      <c r="AB927" s="73"/>
      <c r="AC927" s="73"/>
      <c r="AD927" s="73"/>
      <c r="AE927" s="73"/>
      <c r="AF927" s="73"/>
      <c r="AG927" s="73"/>
      <c r="AH927" s="73"/>
      <c r="AI927" s="73"/>
      <c r="AJ927" s="73"/>
      <c r="AK927" s="73"/>
    </row>
    <row r="928">
      <c r="A928" s="28">
        <v>927.0</v>
      </c>
      <c r="B928" s="29"/>
      <c r="C928" s="29"/>
      <c r="D928" s="40">
        <v>1.0</v>
      </c>
      <c r="E928" s="31">
        <v>20.0</v>
      </c>
      <c r="F928" s="42">
        <v>41.0</v>
      </c>
      <c r="G928" s="29" t="str">
        <f t="shared" si="1"/>
        <v>20041</v>
      </c>
      <c r="H928" s="37" t="s">
        <v>899</v>
      </c>
      <c r="I928" s="37" t="s">
        <v>53</v>
      </c>
      <c r="J928" s="37" t="s">
        <v>612</v>
      </c>
      <c r="K928" s="37" t="str">
        <f t="shared" si="17"/>
        <v>Dickinson, KS</v>
      </c>
      <c r="L928" s="37">
        <v>46.0</v>
      </c>
      <c r="M928" s="37" t="s">
        <v>63</v>
      </c>
      <c r="N928" s="37">
        <v>13.0</v>
      </c>
      <c r="O928" s="37">
        <v>22.0</v>
      </c>
      <c r="P928" s="37" t="s">
        <v>63</v>
      </c>
      <c r="Q928" s="37">
        <v>18.0</v>
      </c>
      <c r="R928" s="37" t="s">
        <v>63</v>
      </c>
      <c r="S928" s="37" t="s">
        <v>63</v>
      </c>
      <c r="T928" s="69" t="s">
        <v>63</v>
      </c>
      <c r="U928" s="70" t="s">
        <v>63</v>
      </c>
      <c r="V928" s="37" t="s">
        <v>63</v>
      </c>
      <c r="W928" s="71" t="s">
        <v>63</v>
      </c>
      <c r="X928" s="72" t="s">
        <v>63</v>
      </c>
      <c r="Y928" s="53">
        <v>37.0</v>
      </c>
      <c r="Z928" s="69" t="s">
        <v>63</v>
      </c>
      <c r="AA928" s="73"/>
      <c r="AB928" s="73"/>
      <c r="AC928" s="73"/>
      <c r="AD928" s="73"/>
      <c r="AE928" s="73"/>
      <c r="AF928" s="73"/>
      <c r="AG928" s="73"/>
      <c r="AH928" s="73"/>
      <c r="AI928" s="73"/>
      <c r="AJ928" s="73"/>
      <c r="AK928" s="73"/>
    </row>
    <row r="929">
      <c r="A929" s="28">
        <v>928.0</v>
      </c>
      <c r="B929" s="29"/>
      <c r="C929" s="29"/>
      <c r="D929" s="40">
        <v>1.0</v>
      </c>
      <c r="E929" s="31">
        <v>20.0</v>
      </c>
      <c r="F929" s="42">
        <v>43.0</v>
      </c>
      <c r="G929" s="29" t="str">
        <f t="shared" si="1"/>
        <v>20043</v>
      </c>
      <c r="H929" s="37" t="s">
        <v>967</v>
      </c>
      <c r="I929" s="37" t="s">
        <v>53</v>
      </c>
      <c r="J929" s="37" t="s">
        <v>612</v>
      </c>
      <c r="K929" s="37" t="str">
        <f t="shared" si="17"/>
        <v>Doniphan, KS</v>
      </c>
      <c r="L929" s="37">
        <v>26.0</v>
      </c>
      <c r="M929" s="37" t="s">
        <v>63</v>
      </c>
      <c r="N929" s="37">
        <v>12.0</v>
      </c>
      <c r="O929" s="37">
        <v>11.0</v>
      </c>
      <c r="P929" s="37" t="s">
        <v>63</v>
      </c>
      <c r="Q929" s="37">
        <v>6.0</v>
      </c>
      <c r="R929" s="37" t="s">
        <v>63</v>
      </c>
      <c r="S929" s="37" t="s">
        <v>63</v>
      </c>
      <c r="T929" s="69" t="s">
        <v>63</v>
      </c>
      <c r="U929" s="70" t="s">
        <v>63</v>
      </c>
      <c r="V929" s="37" t="s">
        <v>63</v>
      </c>
      <c r="W929" s="71" t="s">
        <v>63</v>
      </c>
      <c r="X929" s="72" t="s">
        <v>63</v>
      </c>
      <c r="Y929" s="53">
        <v>16.0</v>
      </c>
      <c r="Z929" s="69" t="s">
        <v>63</v>
      </c>
      <c r="AA929" s="73"/>
      <c r="AB929" s="73"/>
      <c r="AC929" s="73"/>
      <c r="AD929" s="73"/>
      <c r="AE929" s="73"/>
      <c r="AF929" s="73"/>
      <c r="AG929" s="73"/>
      <c r="AH929" s="73"/>
      <c r="AI929" s="73"/>
      <c r="AJ929" s="73"/>
      <c r="AK929" s="73"/>
    </row>
    <row r="930">
      <c r="A930" s="28">
        <v>929.0</v>
      </c>
      <c r="B930" s="29"/>
      <c r="C930" s="29"/>
      <c r="D930" s="40">
        <v>1.0</v>
      </c>
      <c r="E930" s="31">
        <v>20.0</v>
      </c>
      <c r="F930" s="42">
        <v>45.0</v>
      </c>
      <c r="G930" s="29" t="str">
        <f t="shared" si="1"/>
        <v>20045</v>
      </c>
      <c r="H930" s="37" t="s">
        <v>412</v>
      </c>
      <c r="I930" s="37" t="s">
        <v>53</v>
      </c>
      <c r="J930" s="37" t="s">
        <v>612</v>
      </c>
      <c r="K930" s="37" t="str">
        <f t="shared" si="17"/>
        <v>Douglas, KS</v>
      </c>
      <c r="L930" s="37">
        <v>145.0</v>
      </c>
      <c r="M930" s="37" t="s">
        <v>63</v>
      </c>
      <c r="N930" s="37">
        <v>59.0</v>
      </c>
      <c r="O930" s="37">
        <v>57.0</v>
      </c>
      <c r="P930" s="37" t="s">
        <v>63</v>
      </c>
      <c r="Q930" s="37">
        <v>67.0</v>
      </c>
      <c r="R930" s="37" t="s">
        <v>63</v>
      </c>
      <c r="S930" s="37" t="s">
        <v>63</v>
      </c>
      <c r="T930" s="69" t="s">
        <v>63</v>
      </c>
      <c r="U930" s="70" t="s">
        <v>63</v>
      </c>
      <c r="V930" s="37" t="s">
        <v>63</v>
      </c>
      <c r="W930" s="71" t="s">
        <v>63</v>
      </c>
      <c r="X930" s="72" t="s">
        <v>63</v>
      </c>
      <c r="Y930" s="53">
        <v>87.0</v>
      </c>
      <c r="Z930" s="69" t="s">
        <v>63</v>
      </c>
      <c r="AA930" s="73"/>
      <c r="AB930" s="73"/>
      <c r="AC930" s="73"/>
      <c r="AD930" s="73"/>
      <c r="AE930" s="73"/>
      <c r="AF930" s="73"/>
      <c r="AG930" s="73"/>
      <c r="AH930" s="73"/>
      <c r="AI930" s="73"/>
      <c r="AJ930" s="73"/>
      <c r="AK930" s="73"/>
    </row>
    <row r="931">
      <c r="A931" s="28">
        <v>930.0</v>
      </c>
      <c r="B931" s="29"/>
      <c r="C931" s="29"/>
      <c r="D931" s="40">
        <v>1.0</v>
      </c>
      <c r="E931" s="31">
        <v>20.0</v>
      </c>
      <c r="F931" s="42">
        <v>47.0</v>
      </c>
      <c r="G931" s="29" t="str">
        <f t="shared" si="1"/>
        <v>20047</v>
      </c>
      <c r="H931" s="37" t="s">
        <v>717</v>
      </c>
      <c r="I931" s="37" t="s">
        <v>53</v>
      </c>
      <c r="J931" s="37" t="s">
        <v>612</v>
      </c>
      <c r="K931" s="37" t="str">
        <f t="shared" si="17"/>
        <v>Edwards, KS</v>
      </c>
      <c r="L931" s="37">
        <v>6.0</v>
      </c>
      <c r="M931" s="37" t="s">
        <v>63</v>
      </c>
      <c r="N931" s="37">
        <v>2.0</v>
      </c>
      <c r="O931" s="37">
        <v>2.0</v>
      </c>
      <c r="P931" s="37" t="s">
        <v>63</v>
      </c>
      <c r="Q931" s="37">
        <v>1.0</v>
      </c>
      <c r="R931" s="37" t="s">
        <v>63</v>
      </c>
      <c r="S931" s="37" t="s">
        <v>63</v>
      </c>
      <c r="T931" s="69" t="s">
        <v>63</v>
      </c>
      <c r="U931" s="70" t="s">
        <v>63</v>
      </c>
      <c r="V931" s="37" t="s">
        <v>63</v>
      </c>
      <c r="W931" s="71" t="s">
        <v>63</v>
      </c>
      <c r="X931" s="72" t="s">
        <v>63</v>
      </c>
      <c r="Y931" s="53">
        <v>9.0</v>
      </c>
      <c r="Z931" s="69" t="s">
        <v>63</v>
      </c>
      <c r="AA931" s="73"/>
      <c r="AB931" s="73"/>
      <c r="AC931" s="73"/>
      <c r="AD931" s="73"/>
      <c r="AE931" s="73"/>
      <c r="AF931" s="73"/>
      <c r="AG931" s="73"/>
      <c r="AH931" s="73"/>
      <c r="AI931" s="73"/>
      <c r="AJ931" s="73"/>
      <c r="AK931" s="73"/>
    </row>
    <row r="932">
      <c r="A932" s="28">
        <v>931.0</v>
      </c>
      <c r="B932" s="29"/>
      <c r="C932" s="29"/>
      <c r="D932" s="40">
        <v>1.0</v>
      </c>
      <c r="E932" s="31">
        <v>20.0</v>
      </c>
      <c r="F932" s="42">
        <v>49.0</v>
      </c>
      <c r="G932" s="29" t="str">
        <f t="shared" si="1"/>
        <v>20049</v>
      </c>
      <c r="H932" s="37" t="s">
        <v>968</v>
      </c>
      <c r="I932" s="37" t="s">
        <v>53</v>
      </c>
      <c r="J932" s="37" t="s">
        <v>612</v>
      </c>
      <c r="K932" s="37" t="str">
        <f t="shared" si="17"/>
        <v>Elk, KS</v>
      </c>
      <c r="L932" s="37">
        <v>7.0</v>
      </c>
      <c r="M932" s="37" t="s">
        <v>63</v>
      </c>
      <c r="N932" s="37">
        <v>3.0</v>
      </c>
      <c r="O932" s="37">
        <v>1.0</v>
      </c>
      <c r="P932" s="37" t="s">
        <v>63</v>
      </c>
      <c r="Q932" s="37">
        <v>2.0</v>
      </c>
      <c r="R932" s="37" t="s">
        <v>63</v>
      </c>
      <c r="S932" s="37" t="s">
        <v>63</v>
      </c>
      <c r="T932" s="69" t="s">
        <v>63</v>
      </c>
      <c r="U932" s="70" t="s">
        <v>63</v>
      </c>
      <c r="V932" s="37" t="s">
        <v>63</v>
      </c>
      <c r="W932" s="71" t="s">
        <v>63</v>
      </c>
      <c r="X932" s="72" t="s">
        <v>63</v>
      </c>
      <c r="Y932" s="53">
        <v>7.0</v>
      </c>
      <c r="Z932" s="69" t="s">
        <v>63</v>
      </c>
      <c r="AA932" s="73"/>
      <c r="AB932" s="73"/>
      <c r="AC932" s="73"/>
      <c r="AD932" s="73"/>
      <c r="AE932" s="73"/>
      <c r="AF932" s="73"/>
      <c r="AG932" s="73"/>
      <c r="AH932" s="73"/>
      <c r="AI932" s="73"/>
      <c r="AJ932" s="73"/>
      <c r="AK932" s="73"/>
    </row>
    <row r="933">
      <c r="A933" s="28">
        <v>932.0</v>
      </c>
      <c r="B933" s="29"/>
      <c r="C933" s="29"/>
      <c r="D933" s="40">
        <v>1.0</v>
      </c>
      <c r="E933" s="31">
        <v>20.0</v>
      </c>
      <c r="F933" s="42">
        <v>51.0</v>
      </c>
      <c r="G933" s="29" t="str">
        <f t="shared" si="1"/>
        <v>20051</v>
      </c>
      <c r="H933" s="37" t="s">
        <v>969</v>
      </c>
      <c r="I933" s="37" t="s">
        <v>53</v>
      </c>
      <c r="J933" s="37" t="s">
        <v>612</v>
      </c>
      <c r="K933" s="37" t="str">
        <f t="shared" si="17"/>
        <v>Ellis, KS</v>
      </c>
      <c r="L933" s="37">
        <v>60.0</v>
      </c>
      <c r="M933" s="37" t="s">
        <v>63</v>
      </c>
      <c r="N933" s="37">
        <v>28.0</v>
      </c>
      <c r="O933" s="37">
        <v>24.0</v>
      </c>
      <c r="P933" s="37" t="s">
        <v>63</v>
      </c>
      <c r="Q933" s="37">
        <v>21.0</v>
      </c>
      <c r="R933" s="37" t="s">
        <v>63</v>
      </c>
      <c r="S933" s="37" t="s">
        <v>63</v>
      </c>
      <c r="T933" s="69" t="s">
        <v>63</v>
      </c>
      <c r="U933" s="70" t="s">
        <v>63</v>
      </c>
      <c r="V933" s="37" t="s">
        <v>63</v>
      </c>
      <c r="W933" s="71" t="s">
        <v>63</v>
      </c>
      <c r="X933" s="72" t="s">
        <v>63</v>
      </c>
      <c r="Y933" s="53">
        <v>30.0</v>
      </c>
      <c r="Z933" s="69" t="s">
        <v>63</v>
      </c>
      <c r="AA933" s="73"/>
      <c r="AB933" s="73"/>
      <c r="AC933" s="73"/>
      <c r="AD933" s="73"/>
      <c r="AE933" s="73"/>
      <c r="AF933" s="73"/>
      <c r="AG933" s="73"/>
      <c r="AH933" s="73"/>
      <c r="AI933" s="73"/>
      <c r="AJ933" s="73"/>
      <c r="AK933" s="73"/>
    </row>
    <row r="934">
      <c r="A934" s="28">
        <v>933.0</v>
      </c>
      <c r="B934" s="29"/>
      <c r="C934" s="29"/>
      <c r="D934" s="40">
        <v>1.0</v>
      </c>
      <c r="E934" s="31">
        <v>20.0</v>
      </c>
      <c r="F934" s="42">
        <v>53.0</v>
      </c>
      <c r="G934" s="29" t="str">
        <f t="shared" si="1"/>
        <v>20053</v>
      </c>
      <c r="H934" s="37" t="s">
        <v>970</v>
      </c>
      <c r="I934" s="37" t="s">
        <v>53</v>
      </c>
      <c r="J934" s="37" t="s">
        <v>612</v>
      </c>
      <c r="K934" s="37" t="str">
        <f t="shared" si="17"/>
        <v>Ellsworth, KS</v>
      </c>
      <c r="L934" s="37">
        <v>11.0</v>
      </c>
      <c r="M934" s="37" t="s">
        <v>63</v>
      </c>
      <c r="N934" s="37">
        <v>2.0</v>
      </c>
      <c r="O934" s="37">
        <v>7.0</v>
      </c>
      <c r="P934" s="37" t="s">
        <v>63</v>
      </c>
      <c r="Q934" s="37">
        <v>6.0</v>
      </c>
      <c r="R934" s="37" t="s">
        <v>63</v>
      </c>
      <c r="S934" s="37" t="s">
        <v>63</v>
      </c>
      <c r="T934" s="69" t="s">
        <v>63</v>
      </c>
      <c r="U934" s="70" t="s">
        <v>63</v>
      </c>
      <c r="V934" s="37" t="s">
        <v>63</v>
      </c>
      <c r="W934" s="71" t="s">
        <v>63</v>
      </c>
      <c r="X934" s="72" t="s">
        <v>63</v>
      </c>
      <c r="Y934" s="53">
        <v>13.0</v>
      </c>
      <c r="Z934" s="69" t="s">
        <v>63</v>
      </c>
      <c r="AA934" s="73"/>
      <c r="AB934" s="73"/>
      <c r="AC934" s="73"/>
      <c r="AD934" s="73"/>
      <c r="AE934" s="73"/>
      <c r="AF934" s="73"/>
      <c r="AG934" s="73"/>
      <c r="AH934" s="73"/>
      <c r="AI934" s="73"/>
      <c r="AJ934" s="73"/>
      <c r="AK934" s="73"/>
    </row>
    <row r="935">
      <c r="A935" s="28">
        <v>934.0</v>
      </c>
      <c r="B935" s="29"/>
      <c r="C935" s="29"/>
      <c r="D935" s="40">
        <v>1.0</v>
      </c>
      <c r="E935" s="31">
        <v>20.0</v>
      </c>
      <c r="F935" s="42">
        <v>55.0</v>
      </c>
      <c r="G935" s="29" t="str">
        <f t="shared" si="1"/>
        <v>20055</v>
      </c>
      <c r="H935" s="37" t="s">
        <v>971</v>
      </c>
      <c r="I935" s="37" t="s">
        <v>53</v>
      </c>
      <c r="J935" s="37" t="s">
        <v>612</v>
      </c>
      <c r="K935" s="37" t="str">
        <f t="shared" si="17"/>
        <v>Finney, KS</v>
      </c>
      <c r="L935" s="37">
        <v>100.0</v>
      </c>
      <c r="M935" s="37" t="s">
        <v>63</v>
      </c>
      <c r="N935" s="37">
        <v>57.0</v>
      </c>
      <c r="O935" s="37">
        <v>34.0</v>
      </c>
      <c r="P935" s="37" t="s">
        <v>63</v>
      </c>
      <c r="Q935" s="37">
        <v>42.0</v>
      </c>
      <c r="R935" s="37" t="s">
        <v>63</v>
      </c>
      <c r="S935" s="37" t="s">
        <v>63</v>
      </c>
      <c r="T935" s="69" t="s">
        <v>63</v>
      </c>
      <c r="U935" s="70" t="s">
        <v>63</v>
      </c>
      <c r="V935" s="37" t="s">
        <v>63</v>
      </c>
      <c r="W935" s="71" t="s">
        <v>63</v>
      </c>
      <c r="X935" s="72" t="s">
        <v>63</v>
      </c>
      <c r="Y935" s="53">
        <v>31.0</v>
      </c>
      <c r="Z935" s="69" t="s">
        <v>63</v>
      </c>
      <c r="AA935" s="73"/>
      <c r="AB935" s="73"/>
      <c r="AC935" s="73"/>
      <c r="AD935" s="73"/>
      <c r="AE935" s="73"/>
      <c r="AF935" s="73"/>
      <c r="AG935" s="73"/>
      <c r="AH935" s="73"/>
      <c r="AI935" s="73"/>
      <c r="AJ935" s="73"/>
      <c r="AK935" s="73"/>
    </row>
    <row r="936">
      <c r="A936" s="28">
        <v>935.0</v>
      </c>
      <c r="B936" s="29"/>
      <c r="C936" s="29"/>
      <c r="D936" s="40">
        <v>1.0</v>
      </c>
      <c r="E936" s="31">
        <v>20.0</v>
      </c>
      <c r="F936" s="42">
        <v>57.0</v>
      </c>
      <c r="G936" s="29" t="str">
        <f t="shared" si="1"/>
        <v>20057</v>
      </c>
      <c r="H936" s="37" t="s">
        <v>718</v>
      </c>
      <c r="I936" s="37" t="s">
        <v>53</v>
      </c>
      <c r="J936" s="37" t="s">
        <v>612</v>
      </c>
      <c r="K936" s="37" t="str">
        <f t="shared" si="17"/>
        <v>Ford, KS</v>
      </c>
      <c r="L936" s="37">
        <v>63.0</v>
      </c>
      <c r="M936" s="37" t="s">
        <v>63</v>
      </c>
      <c r="N936" s="37">
        <v>26.0</v>
      </c>
      <c r="O936" s="37">
        <v>26.0</v>
      </c>
      <c r="P936" s="37" t="s">
        <v>63</v>
      </c>
      <c r="Q936" s="37">
        <v>13.0</v>
      </c>
      <c r="R936" s="37" t="s">
        <v>63</v>
      </c>
      <c r="S936" s="37" t="s">
        <v>63</v>
      </c>
      <c r="T936" s="69" t="s">
        <v>63</v>
      </c>
      <c r="U936" s="70" t="s">
        <v>63</v>
      </c>
      <c r="V936" s="37" t="s">
        <v>63</v>
      </c>
      <c r="W936" s="71" t="s">
        <v>63</v>
      </c>
      <c r="X936" s="72" t="s">
        <v>63</v>
      </c>
      <c r="Y936" s="53">
        <v>27.0</v>
      </c>
      <c r="Z936" s="69" t="s">
        <v>63</v>
      </c>
      <c r="AA936" s="73"/>
      <c r="AB936" s="73"/>
      <c r="AC936" s="73"/>
      <c r="AD936" s="73"/>
      <c r="AE936" s="73"/>
      <c r="AF936" s="73"/>
      <c r="AG936" s="73"/>
      <c r="AH936" s="73"/>
      <c r="AI936" s="73"/>
      <c r="AJ936" s="73"/>
      <c r="AK936" s="73"/>
    </row>
    <row r="937">
      <c r="A937" s="28">
        <v>936.0</v>
      </c>
      <c r="B937" s="29"/>
      <c r="C937" s="29"/>
      <c r="D937" s="40">
        <v>1.0</v>
      </c>
      <c r="E937" s="31">
        <v>20.0</v>
      </c>
      <c r="F937" s="42">
        <v>59.0</v>
      </c>
      <c r="G937" s="29" t="str">
        <f t="shared" si="1"/>
        <v>20059</v>
      </c>
      <c r="H937" s="37" t="s">
        <v>136</v>
      </c>
      <c r="I937" s="37" t="s">
        <v>53</v>
      </c>
      <c r="J937" s="37" t="s">
        <v>612</v>
      </c>
      <c r="K937" s="37" t="str">
        <f t="shared" si="17"/>
        <v>Franklin, KS</v>
      </c>
      <c r="L937" s="37">
        <v>59.0</v>
      </c>
      <c r="M937" s="37" t="s">
        <v>63</v>
      </c>
      <c r="N937" s="37">
        <v>28.0</v>
      </c>
      <c r="O937" s="37">
        <v>18.0</v>
      </c>
      <c r="P937" s="37" t="s">
        <v>63</v>
      </c>
      <c r="Q937" s="37">
        <v>14.0</v>
      </c>
      <c r="R937" s="37" t="s">
        <v>63</v>
      </c>
      <c r="S937" s="37" t="s">
        <v>63</v>
      </c>
      <c r="T937" s="69" t="s">
        <v>63</v>
      </c>
      <c r="U937" s="70" t="s">
        <v>63</v>
      </c>
      <c r="V937" s="37" t="s">
        <v>63</v>
      </c>
      <c r="W937" s="71" t="s">
        <v>63</v>
      </c>
      <c r="X937" s="72" t="s">
        <v>63</v>
      </c>
      <c r="Y937" s="53">
        <v>37.0</v>
      </c>
      <c r="Z937" s="69" t="s">
        <v>63</v>
      </c>
      <c r="AA937" s="73"/>
      <c r="AB937" s="73"/>
      <c r="AC937" s="73"/>
      <c r="AD937" s="73"/>
      <c r="AE937" s="73"/>
      <c r="AF937" s="73"/>
      <c r="AG937" s="73"/>
      <c r="AH937" s="73"/>
      <c r="AI937" s="73"/>
      <c r="AJ937" s="73"/>
      <c r="AK937" s="73"/>
    </row>
    <row r="938">
      <c r="A938" s="28">
        <v>937.0</v>
      </c>
      <c r="B938" s="29"/>
      <c r="C938" s="29"/>
      <c r="D938" s="40">
        <v>1.0</v>
      </c>
      <c r="E938" s="31">
        <v>20.0</v>
      </c>
      <c r="F938" s="42">
        <v>61.0</v>
      </c>
      <c r="G938" s="29" t="str">
        <f t="shared" si="1"/>
        <v>20061</v>
      </c>
      <c r="H938" s="37" t="s">
        <v>973</v>
      </c>
      <c r="I938" s="37" t="s">
        <v>53</v>
      </c>
      <c r="J938" s="37" t="s">
        <v>612</v>
      </c>
      <c r="K938" s="37" t="str">
        <f t="shared" si="17"/>
        <v>Geary, KS</v>
      </c>
      <c r="L938" s="37">
        <v>54.0</v>
      </c>
      <c r="M938" s="37" t="s">
        <v>63</v>
      </c>
      <c r="N938" s="37">
        <v>31.0</v>
      </c>
      <c r="O938" s="37">
        <v>16.0</v>
      </c>
      <c r="P938" s="37" t="s">
        <v>63</v>
      </c>
      <c r="Q938" s="37">
        <v>21.0</v>
      </c>
      <c r="R938" s="37" t="s">
        <v>63</v>
      </c>
      <c r="S938" s="37" t="s">
        <v>63</v>
      </c>
      <c r="T938" s="69" t="s">
        <v>63</v>
      </c>
      <c r="U938" s="70" t="s">
        <v>63</v>
      </c>
      <c r="V938" s="37" t="s">
        <v>63</v>
      </c>
      <c r="W938" s="71" t="s">
        <v>63</v>
      </c>
      <c r="X938" s="72" t="s">
        <v>63</v>
      </c>
      <c r="Y938" s="53">
        <v>38.0</v>
      </c>
      <c r="Z938" s="69" t="s">
        <v>63</v>
      </c>
      <c r="AA938" s="73"/>
      <c r="AB938" s="73"/>
      <c r="AC938" s="73"/>
      <c r="AD938" s="73"/>
      <c r="AE938" s="73"/>
      <c r="AF938" s="73"/>
      <c r="AG938" s="73"/>
      <c r="AH938" s="73"/>
      <c r="AI938" s="73"/>
      <c r="AJ938" s="73"/>
      <c r="AK938" s="73"/>
    </row>
    <row r="939">
      <c r="A939" s="28">
        <v>938.0</v>
      </c>
      <c r="B939" s="29"/>
      <c r="C939" s="29"/>
      <c r="D939" s="40">
        <v>1.0</v>
      </c>
      <c r="E939" s="31">
        <v>20.0</v>
      </c>
      <c r="F939" s="42">
        <v>63.0</v>
      </c>
      <c r="G939" s="29" t="str">
        <f t="shared" si="1"/>
        <v>20063</v>
      </c>
      <c r="H939" s="37" t="s">
        <v>974</v>
      </c>
      <c r="I939" s="37" t="s">
        <v>53</v>
      </c>
      <c r="J939" s="37" t="s">
        <v>612</v>
      </c>
      <c r="K939" s="37" t="str">
        <f t="shared" si="17"/>
        <v>Gove, KS</v>
      </c>
      <c r="L939" s="37">
        <v>6.0</v>
      </c>
      <c r="M939" s="37" t="s">
        <v>63</v>
      </c>
      <c r="N939" s="37">
        <v>0.0</v>
      </c>
      <c r="O939" s="37">
        <v>5.0</v>
      </c>
      <c r="P939" s="37" t="s">
        <v>63</v>
      </c>
      <c r="Q939" s="37">
        <v>4.0</v>
      </c>
      <c r="R939" s="37" t="s">
        <v>63</v>
      </c>
      <c r="S939" s="37" t="s">
        <v>63</v>
      </c>
      <c r="T939" s="69" t="s">
        <v>63</v>
      </c>
      <c r="U939" s="70" t="s">
        <v>63</v>
      </c>
      <c r="V939" s="37" t="s">
        <v>63</v>
      </c>
      <c r="W939" s="71" t="s">
        <v>63</v>
      </c>
      <c r="X939" s="72" t="s">
        <v>63</v>
      </c>
      <c r="Y939" s="53">
        <v>8.0</v>
      </c>
      <c r="Z939" s="69" t="s">
        <v>63</v>
      </c>
      <c r="AA939" s="73"/>
      <c r="AB939" s="73"/>
      <c r="AC939" s="73"/>
      <c r="AD939" s="73"/>
      <c r="AE939" s="73"/>
      <c r="AF939" s="73"/>
      <c r="AG939" s="73"/>
      <c r="AH939" s="73"/>
      <c r="AI939" s="73"/>
      <c r="AJ939" s="73"/>
      <c r="AK939" s="73"/>
    </row>
    <row r="940">
      <c r="A940" s="28">
        <v>939.0</v>
      </c>
      <c r="B940" s="29"/>
      <c r="C940" s="29"/>
      <c r="D940" s="40">
        <v>1.0</v>
      </c>
      <c r="E940" s="31">
        <v>20.0</v>
      </c>
      <c r="F940" s="42">
        <v>65.0</v>
      </c>
      <c r="G940" s="29" t="str">
        <f t="shared" si="1"/>
        <v>20065</v>
      </c>
      <c r="H940" s="37" t="s">
        <v>224</v>
      </c>
      <c r="I940" s="37" t="s">
        <v>53</v>
      </c>
      <c r="J940" s="37" t="s">
        <v>612</v>
      </c>
      <c r="K940" s="37" t="str">
        <f t="shared" si="17"/>
        <v>Graham, KS</v>
      </c>
      <c r="L940" s="37">
        <v>4.0</v>
      </c>
      <c r="M940" s="37" t="s">
        <v>63</v>
      </c>
      <c r="N940" s="37">
        <v>1.0</v>
      </c>
      <c r="O940" s="37">
        <v>3.0</v>
      </c>
      <c r="P940" s="37" t="s">
        <v>63</v>
      </c>
      <c r="Q940" s="37">
        <v>2.0</v>
      </c>
      <c r="R940" s="37" t="s">
        <v>63</v>
      </c>
      <c r="S940" s="37" t="s">
        <v>63</v>
      </c>
      <c r="T940" s="69" t="s">
        <v>63</v>
      </c>
      <c r="U940" s="70" t="s">
        <v>63</v>
      </c>
      <c r="V940" s="37" t="s">
        <v>63</v>
      </c>
      <c r="W940" s="71" t="s">
        <v>63</v>
      </c>
      <c r="X940" s="72" t="s">
        <v>63</v>
      </c>
      <c r="Y940" s="53">
        <v>11.0</v>
      </c>
      <c r="Z940" s="69" t="s">
        <v>63</v>
      </c>
      <c r="AA940" s="73"/>
      <c r="AB940" s="73"/>
      <c r="AC940" s="73"/>
      <c r="AD940" s="73"/>
      <c r="AE940" s="73"/>
      <c r="AF940" s="73"/>
      <c r="AG940" s="73"/>
      <c r="AH940" s="73"/>
      <c r="AI940" s="73"/>
      <c r="AJ940" s="73"/>
      <c r="AK940" s="73"/>
    </row>
    <row r="941">
      <c r="A941" s="28">
        <v>940.0</v>
      </c>
      <c r="B941" s="29"/>
      <c r="C941" s="29"/>
      <c r="D941" s="40">
        <v>1.0</v>
      </c>
      <c r="E941" s="31">
        <v>20.0</v>
      </c>
      <c r="F941" s="42">
        <v>67.0</v>
      </c>
      <c r="G941" s="29" t="str">
        <f t="shared" si="1"/>
        <v>20067</v>
      </c>
      <c r="H941" s="37" t="s">
        <v>278</v>
      </c>
      <c r="I941" s="37" t="s">
        <v>53</v>
      </c>
      <c r="J941" s="37" t="s">
        <v>612</v>
      </c>
      <c r="K941" s="37" t="str">
        <f t="shared" si="17"/>
        <v>Grant, KS</v>
      </c>
      <c r="L941" s="37">
        <v>5.0</v>
      </c>
      <c r="M941" s="37" t="s">
        <v>63</v>
      </c>
      <c r="N941" s="37">
        <v>1.0</v>
      </c>
      <c r="O941" s="37">
        <v>4.0</v>
      </c>
      <c r="P941" s="37" t="s">
        <v>63</v>
      </c>
      <c r="Q941" s="37">
        <v>2.0</v>
      </c>
      <c r="R941" s="37" t="s">
        <v>63</v>
      </c>
      <c r="S941" s="37" t="s">
        <v>63</v>
      </c>
      <c r="T941" s="69" t="s">
        <v>63</v>
      </c>
      <c r="U941" s="70" t="s">
        <v>63</v>
      </c>
      <c r="V941" s="37" t="s">
        <v>63</v>
      </c>
      <c r="W941" s="71" t="s">
        <v>63</v>
      </c>
      <c r="X941" s="72" t="s">
        <v>63</v>
      </c>
      <c r="Y941" s="53">
        <v>18.0</v>
      </c>
      <c r="Z941" s="69" t="s">
        <v>63</v>
      </c>
      <c r="AA941" s="73"/>
      <c r="AB941" s="73"/>
      <c r="AC941" s="73"/>
      <c r="AD941" s="73"/>
      <c r="AE941" s="73"/>
      <c r="AF941" s="73"/>
      <c r="AG941" s="73"/>
      <c r="AH941" s="73"/>
      <c r="AI941" s="73"/>
      <c r="AJ941" s="73"/>
      <c r="AK941" s="73"/>
    </row>
    <row r="942">
      <c r="A942" s="28">
        <v>941.0</v>
      </c>
      <c r="B942" s="29"/>
      <c r="C942" s="29"/>
      <c r="D942" s="40">
        <v>1.0</v>
      </c>
      <c r="E942" s="31">
        <v>20.0</v>
      </c>
      <c r="F942" s="42">
        <v>69.0</v>
      </c>
      <c r="G942" s="29" t="str">
        <f t="shared" si="1"/>
        <v>20069</v>
      </c>
      <c r="H942" s="37" t="s">
        <v>975</v>
      </c>
      <c r="I942" s="37" t="s">
        <v>53</v>
      </c>
      <c r="J942" s="37" t="s">
        <v>612</v>
      </c>
      <c r="K942" s="37" t="str">
        <f t="shared" si="17"/>
        <v>Gray, KS</v>
      </c>
      <c r="L942" s="37">
        <v>3.0</v>
      </c>
      <c r="M942" s="37" t="s">
        <v>63</v>
      </c>
      <c r="N942" s="37">
        <v>1.0</v>
      </c>
      <c r="O942" s="37">
        <v>0.0</v>
      </c>
      <c r="P942" s="37" t="s">
        <v>63</v>
      </c>
      <c r="Q942" s="37">
        <v>2.0</v>
      </c>
      <c r="R942" s="37" t="s">
        <v>63</v>
      </c>
      <c r="S942" s="37" t="s">
        <v>63</v>
      </c>
      <c r="T942" s="69" t="s">
        <v>63</v>
      </c>
      <c r="U942" s="70" t="s">
        <v>63</v>
      </c>
      <c r="V942" s="37" t="s">
        <v>63</v>
      </c>
      <c r="W942" s="71" t="s">
        <v>63</v>
      </c>
      <c r="X942" s="72" t="s">
        <v>63</v>
      </c>
      <c r="Y942" s="53">
        <v>17.0</v>
      </c>
      <c r="Z942" s="69" t="s">
        <v>63</v>
      </c>
      <c r="AA942" s="73"/>
      <c r="AB942" s="73"/>
      <c r="AC942" s="73"/>
      <c r="AD942" s="73"/>
      <c r="AE942" s="73"/>
      <c r="AF942" s="73"/>
      <c r="AG942" s="73"/>
      <c r="AH942" s="73"/>
      <c r="AI942" s="73"/>
      <c r="AJ942" s="73"/>
      <c r="AK942" s="73"/>
    </row>
    <row r="943">
      <c r="A943" s="28">
        <v>942.0</v>
      </c>
      <c r="B943" s="29"/>
      <c r="C943" s="29"/>
      <c r="D943" s="40">
        <v>1.0</v>
      </c>
      <c r="E943" s="31">
        <v>20.0</v>
      </c>
      <c r="F943" s="42">
        <v>71.0</v>
      </c>
      <c r="G943" s="29" t="str">
        <f t="shared" si="1"/>
        <v>20071</v>
      </c>
      <c r="H943" s="37" t="s">
        <v>976</v>
      </c>
      <c r="I943" s="37" t="s">
        <v>53</v>
      </c>
      <c r="J943" s="37" t="s">
        <v>612</v>
      </c>
      <c r="K943" s="37" t="str">
        <f t="shared" si="17"/>
        <v>Greeley, KS</v>
      </c>
      <c r="L943" s="37">
        <v>0.0</v>
      </c>
      <c r="M943" s="37" t="s">
        <v>63</v>
      </c>
      <c r="N943" s="37">
        <v>0.0</v>
      </c>
      <c r="O943" s="37">
        <v>0.0</v>
      </c>
      <c r="P943" s="37" t="s">
        <v>63</v>
      </c>
      <c r="Q943" s="37">
        <v>0.0</v>
      </c>
      <c r="R943" s="37" t="s">
        <v>63</v>
      </c>
      <c r="S943" s="37" t="s">
        <v>63</v>
      </c>
      <c r="T943" s="69" t="s">
        <v>63</v>
      </c>
      <c r="U943" s="70" t="s">
        <v>63</v>
      </c>
      <c r="V943" s="37" t="s">
        <v>63</v>
      </c>
      <c r="W943" s="71" t="s">
        <v>63</v>
      </c>
      <c r="X943" s="72" t="s">
        <v>63</v>
      </c>
      <c r="Y943" s="53">
        <v>3.0</v>
      </c>
      <c r="Z943" s="69" t="s">
        <v>63</v>
      </c>
      <c r="AA943" s="73"/>
      <c r="AB943" s="73"/>
      <c r="AC943" s="73"/>
      <c r="AD943" s="73"/>
      <c r="AE943" s="73"/>
      <c r="AF943" s="73"/>
      <c r="AG943" s="73"/>
      <c r="AH943" s="73"/>
      <c r="AI943" s="73"/>
      <c r="AJ943" s="73"/>
      <c r="AK943" s="73"/>
    </row>
    <row r="944">
      <c r="A944" s="28">
        <v>943.0</v>
      </c>
      <c r="B944" s="29"/>
      <c r="C944" s="29"/>
      <c r="D944" s="40">
        <v>1.0</v>
      </c>
      <c r="E944" s="31">
        <v>20.0</v>
      </c>
      <c r="F944" s="42">
        <v>73.0</v>
      </c>
      <c r="G944" s="29" t="str">
        <f t="shared" si="1"/>
        <v>20073</v>
      </c>
      <c r="H944" s="37" t="s">
        <v>977</v>
      </c>
      <c r="I944" s="37" t="s">
        <v>53</v>
      </c>
      <c r="J944" s="37" t="s">
        <v>612</v>
      </c>
      <c r="K944" s="37" t="str">
        <f t="shared" si="17"/>
        <v>Greenwood, KS</v>
      </c>
      <c r="L944" s="37">
        <v>32.0</v>
      </c>
      <c r="M944" s="37" t="s">
        <v>63</v>
      </c>
      <c r="N944" s="37">
        <v>13.0</v>
      </c>
      <c r="O944" s="37">
        <v>9.0</v>
      </c>
      <c r="P944" s="37" t="s">
        <v>63</v>
      </c>
      <c r="Q944" s="37">
        <v>5.0</v>
      </c>
      <c r="R944" s="37" t="s">
        <v>63</v>
      </c>
      <c r="S944" s="37" t="s">
        <v>63</v>
      </c>
      <c r="T944" s="69" t="s">
        <v>63</v>
      </c>
      <c r="U944" s="70" t="s">
        <v>63</v>
      </c>
      <c r="V944" s="37" t="s">
        <v>63</v>
      </c>
      <c r="W944" s="71" t="s">
        <v>63</v>
      </c>
      <c r="X944" s="72" t="s">
        <v>63</v>
      </c>
      <c r="Y944" s="53">
        <v>14.0</v>
      </c>
      <c r="Z944" s="69" t="s">
        <v>63</v>
      </c>
      <c r="AA944" s="73"/>
      <c r="AB944" s="73"/>
      <c r="AC944" s="73"/>
      <c r="AD944" s="73"/>
      <c r="AE944" s="73"/>
      <c r="AF944" s="73"/>
      <c r="AG944" s="73"/>
      <c r="AH944" s="73"/>
      <c r="AI944" s="73"/>
      <c r="AJ944" s="73"/>
      <c r="AK944" s="73"/>
    </row>
    <row r="945">
      <c r="A945" s="28">
        <v>944.0</v>
      </c>
      <c r="B945" s="29"/>
      <c r="C945" s="29"/>
      <c r="D945" s="40">
        <v>1.0</v>
      </c>
      <c r="E945" s="31">
        <v>20.0</v>
      </c>
      <c r="F945" s="42">
        <v>75.0</v>
      </c>
      <c r="G945" s="29" t="str">
        <f t="shared" si="1"/>
        <v>20075</v>
      </c>
      <c r="H945" s="37" t="s">
        <v>497</v>
      </c>
      <c r="I945" s="37" t="s">
        <v>53</v>
      </c>
      <c r="J945" s="37" t="s">
        <v>612</v>
      </c>
      <c r="K945" s="37" t="str">
        <f t="shared" si="17"/>
        <v>Hamilton, KS</v>
      </c>
      <c r="L945" s="37">
        <v>8.0</v>
      </c>
      <c r="M945" s="37" t="s">
        <v>63</v>
      </c>
      <c r="N945" s="37">
        <v>4.0</v>
      </c>
      <c r="O945" s="37">
        <v>1.0</v>
      </c>
      <c r="P945" s="37" t="s">
        <v>63</v>
      </c>
      <c r="Q945" s="37">
        <v>2.0</v>
      </c>
      <c r="R945" s="37" t="s">
        <v>63</v>
      </c>
      <c r="S945" s="37" t="s">
        <v>63</v>
      </c>
      <c r="T945" s="69" t="s">
        <v>63</v>
      </c>
      <c r="U945" s="70" t="s">
        <v>63</v>
      </c>
      <c r="V945" s="37" t="s">
        <v>63</v>
      </c>
      <c r="W945" s="71" t="s">
        <v>63</v>
      </c>
      <c r="X945" s="72" t="s">
        <v>63</v>
      </c>
      <c r="Y945" s="53">
        <v>7.0</v>
      </c>
      <c r="Z945" s="69" t="s">
        <v>63</v>
      </c>
      <c r="AA945" s="73"/>
      <c r="AB945" s="73"/>
      <c r="AC945" s="73"/>
      <c r="AD945" s="73"/>
      <c r="AE945" s="73"/>
      <c r="AF945" s="73"/>
      <c r="AG945" s="73"/>
      <c r="AH945" s="73"/>
      <c r="AI945" s="73"/>
      <c r="AJ945" s="73"/>
      <c r="AK945" s="73"/>
    </row>
    <row r="946">
      <c r="A946" s="28">
        <v>945.0</v>
      </c>
      <c r="B946" s="29"/>
      <c r="C946" s="29"/>
      <c r="D946" s="40">
        <v>1.0</v>
      </c>
      <c r="E946" s="31">
        <v>20.0</v>
      </c>
      <c r="F946" s="42">
        <v>77.0</v>
      </c>
      <c r="G946" s="29" t="str">
        <f t="shared" si="1"/>
        <v>20077</v>
      </c>
      <c r="H946" s="37" t="s">
        <v>978</v>
      </c>
      <c r="I946" s="37" t="s">
        <v>53</v>
      </c>
      <c r="J946" s="37" t="s">
        <v>612</v>
      </c>
      <c r="K946" s="37" t="str">
        <f t="shared" si="17"/>
        <v>Harper, KS</v>
      </c>
      <c r="L946" s="37">
        <v>25.0</v>
      </c>
      <c r="M946" s="37" t="s">
        <v>63</v>
      </c>
      <c r="N946" s="37">
        <v>11.0</v>
      </c>
      <c r="O946" s="37">
        <v>10.0</v>
      </c>
      <c r="P946" s="37" t="s">
        <v>63</v>
      </c>
      <c r="Q946" s="37">
        <v>7.0</v>
      </c>
      <c r="R946" s="37" t="s">
        <v>63</v>
      </c>
      <c r="S946" s="37" t="s">
        <v>63</v>
      </c>
      <c r="T946" s="69" t="s">
        <v>63</v>
      </c>
      <c r="U946" s="70" t="s">
        <v>63</v>
      </c>
      <c r="V946" s="37" t="s">
        <v>63</v>
      </c>
      <c r="W946" s="71" t="s">
        <v>63</v>
      </c>
      <c r="X946" s="72" t="s">
        <v>63</v>
      </c>
      <c r="Y946" s="53">
        <v>19.0</v>
      </c>
      <c r="Z946" s="69" t="s">
        <v>63</v>
      </c>
      <c r="AA946" s="73"/>
      <c r="AB946" s="73"/>
      <c r="AC946" s="73"/>
      <c r="AD946" s="73"/>
      <c r="AE946" s="73"/>
      <c r="AF946" s="73"/>
      <c r="AG946" s="73"/>
      <c r="AH946" s="73"/>
      <c r="AI946" s="73"/>
      <c r="AJ946" s="73"/>
      <c r="AK946" s="73"/>
    </row>
    <row r="947">
      <c r="A947" s="28">
        <v>946.0</v>
      </c>
      <c r="B947" s="29"/>
      <c r="C947" s="29"/>
      <c r="D947" s="40">
        <v>1.0</v>
      </c>
      <c r="E947" s="31">
        <v>20.0</v>
      </c>
      <c r="F947" s="42">
        <v>79.0</v>
      </c>
      <c r="G947" s="29" t="str">
        <f t="shared" si="1"/>
        <v>20079</v>
      </c>
      <c r="H947" s="37" t="s">
        <v>979</v>
      </c>
      <c r="I947" s="37" t="s">
        <v>53</v>
      </c>
      <c r="J947" s="37" t="s">
        <v>612</v>
      </c>
      <c r="K947" s="37" t="str">
        <f t="shared" si="17"/>
        <v>Harvey, KS</v>
      </c>
      <c r="L947" s="37">
        <v>59.0</v>
      </c>
      <c r="M947" s="37" t="s">
        <v>63</v>
      </c>
      <c r="N947" s="37">
        <v>27.0</v>
      </c>
      <c r="O947" s="37">
        <v>21.0</v>
      </c>
      <c r="P947" s="37" t="s">
        <v>63</v>
      </c>
      <c r="Q947" s="37">
        <v>25.0</v>
      </c>
      <c r="R947" s="37" t="s">
        <v>63</v>
      </c>
      <c r="S947" s="37" t="s">
        <v>63</v>
      </c>
      <c r="T947" s="69" t="s">
        <v>63</v>
      </c>
      <c r="U947" s="70" t="s">
        <v>63</v>
      </c>
      <c r="V947" s="37" t="s">
        <v>63</v>
      </c>
      <c r="W947" s="71" t="s">
        <v>63</v>
      </c>
      <c r="X947" s="72" t="s">
        <v>63</v>
      </c>
      <c r="Y947" s="53">
        <v>59.0</v>
      </c>
      <c r="Z947" s="69" t="s">
        <v>63</v>
      </c>
      <c r="AA947" s="73"/>
      <c r="AB947" s="73"/>
      <c r="AC947" s="73"/>
      <c r="AD947" s="73"/>
      <c r="AE947" s="73"/>
      <c r="AF947" s="73"/>
      <c r="AG947" s="73"/>
      <c r="AH947" s="73"/>
      <c r="AI947" s="73"/>
      <c r="AJ947" s="73"/>
      <c r="AK947" s="73"/>
    </row>
    <row r="948">
      <c r="A948" s="28">
        <v>947.0</v>
      </c>
      <c r="B948" s="29"/>
      <c r="C948" s="29"/>
      <c r="D948" s="40">
        <v>1.0</v>
      </c>
      <c r="E948" s="31">
        <v>20.0</v>
      </c>
      <c r="F948" s="42">
        <v>81.0</v>
      </c>
      <c r="G948" s="29" t="str">
        <f t="shared" si="1"/>
        <v>20081</v>
      </c>
      <c r="H948" s="37" t="s">
        <v>980</v>
      </c>
      <c r="I948" s="37" t="s">
        <v>53</v>
      </c>
      <c r="J948" s="37" t="s">
        <v>612</v>
      </c>
      <c r="K948" s="37" t="str">
        <f t="shared" si="17"/>
        <v>Haskell, KS</v>
      </c>
      <c r="L948" s="37">
        <v>3.0</v>
      </c>
      <c r="M948" s="37" t="s">
        <v>63</v>
      </c>
      <c r="N948" s="37">
        <v>3.0</v>
      </c>
      <c r="O948" s="37">
        <v>0.0</v>
      </c>
      <c r="P948" s="37" t="s">
        <v>63</v>
      </c>
      <c r="Q948" s="37">
        <v>4.0</v>
      </c>
      <c r="R948" s="37" t="s">
        <v>63</v>
      </c>
      <c r="S948" s="37" t="s">
        <v>63</v>
      </c>
      <c r="T948" s="69" t="s">
        <v>63</v>
      </c>
      <c r="U948" s="70" t="s">
        <v>63</v>
      </c>
      <c r="V948" s="37" t="s">
        <v>63</v>
      </c>
      <c r="W948" s="71" t="s">
        <v>63</v>
      </c>
      <c r="X948" s="72" t="s">
        <v>63</v>
      </c>
      <c r="Y948" s="53">
        <v>11.0</v>
      </c>
      <c r="Z948" s="69" t="s">
        <v>63</v>
      </c>
      <c r="AA948" s="73"/>
      <c r="AB948" s="73"/>
      <c r="AC948" s="73"/>
      <c r="AD948" s="73"/>
      <c r="AE948" s="73"/>
      <c r="AF948" s="73"/>
      <c r="AG948" s="73"/>
      <c r="AH948" s="73"/>
      <c r="AI948" s="73"/>
      <c r="AJ948" s="73"/>
      <c r="AK948" s="73"/>
    </row>
    <row r="949">
      <c r="A949" s="28">
        <v>948.0</v>
      </c>
      <c r="B949" s="29"/>
      <c r="C949" s="29"/>
      <c r="D949" s="40">
        <v>1.0</v>
      </c>
      <c r="E949" s="31">
        <v>20.0</v>
      </c>
      <c r="F949" s="42">
        <v>83.0</v>
      </c>
      <c r="G949" s="29" t="str">
        <f t="shared" si="1"/>
        <v>20083</v>
      </c>
      <c r="H949" s="37" t="s">
        <v>981</v>
      </c>
      <c r="I949" s="37" t="s">
        <v>53</v>
      </c>
      <c r="J949" s="37" t="s">
        <v>612</v>
      </c>
      <c r="K949" s="37" t="str">
        <f t="shared" si="17"/>
        <v>Hodgeman, KS</v>
      </c>
      <c r="L949" s="37">
        <v>1.0</v>
      </c>
      <c r="M949" s="37" t="s">
        <v>63</v>
      </c>
      <c r="N949" s="37">
        <v>1.0</v>
      </c>
      <c r="O949" s="37">
        <v>0.0</v>
      </c>
      <c r="P949" s="37" t="s">
        <v>63</v>
      </c>
      <c r="Q949" s="37">
        <v>2.0</v>
      </c>
      <c r="R949" s="37" t="s">
        <v>63</v>
      </c>
      <c r="S949" s="37" t="s">
        <v>63</v>
      </c>
      <c r="T949" s="69" t="s">
        <v>63</v>
      </c>
      <c r="U949" s="70" t="s">
        <v>63</v>
      </c>
      <c r="V949" s="37" t="s">
        <v>63</v>
      </c>
      <c r="W949" s="71" t="s">
        <v>63</v>
      </c>
      <c r="X949" s="72" t="s">
        <v>63</v>
      </c>
      <c r="Y949" s="53">
        <v>4.0</v>
      </c>
      <c r="Z949" s="69" t="s">
        <v>63</v>
      </c>
      <c r="AA949" s="73"/>
      <c r="AB949" s="73"/>
      <c r="AC949" s="73"/>
      <c r="AD949" s="73"/>
      <c r="AE949" s="73"/>
      <c r="AF949" s="73"/>
      <c r="AG949" s="73"/>
      <c r="AH949" s="73"/>
      <c r="AI949" s="73"/>
      <c r="AJ949" s="73"/>
      <c r="AK949" s="73"/>
    </row>
    <row r="950">
      <c r="A950" s="28">
        <v>949.0</v>
      </c>
      <c r="B950" s="29"/>
      <c r="C950" s="29"/>
      <c r="D950" s="40">
        <v>1.0</v>
      </c>
      <c r="E950" s="31">
        <v>20.0</v>
      </c>
      <c r="F950" s="42">
        <v>85.0</v>
      </c>
      <c r="G950" s="29" t="str">
        <f t="shared" si="1"/>
        <v>20085</v>
      </c>
      <c r="H950" s="37" t="s">
        <v>142</v>
      </c>
      <c r="I950" s="37" t="s">
        <v>53</v>
      </c>
      <c r="J950" s="37" t="s">
        <v>612</v>
      </c>
      <c r="K950" s="37" t="str">
        <f t="shared" si="17"/>
        <v>Jackson, KS</v>
      </c>
      <c r="L950" s="37">
        <v>40.0</v>
      </c>
      <c r="M950" s="37" t="s">
        <v>63</v>
      </c>
      <c r="N950" s="37">
        <v>14.0</v>
      </c>
      <c r="O950" s="37">
        <v>20.0</v>
      </c>
      <c r="P950" s="37" t="s">
        <v>63</v>
      </c>
      <c r="Q950" s="37">
        <v>12.0</v>
      </c>
      <c r="R950" s="37" t="s">
        <v>63</v>
      </c>
      <c r="S950" s="37" t="s">
        <v>63</v>
      </c>
      <c r="T950" s="69" t="s">
        <v>63</v>
      </c>
      <c r="U950" s="70" t="s">
        <v>63</v>
      </c>
      <c r="V950" s="37" t="s">
        <v>63</v>
      </c>
      <c r="W950" s="71" t="s">
        <v>63</v>
      </c>
      <c r="X950" s="72" t="s">
        <v>63</v>
      </c>
      <c r="Y950" s="53">
        <v>21.0</v>
      </c>
      <c r="Z950" s="69" t="s">
        <v>63</v>
      </c>
      <c r="AA950" s="73"/>
      <c r="AB950" s="73"/>
      <c r="AC950" s="73"/>
      <c r="AD950" s="73"/>
      <c r="AE950" s="73"/>
      <c r="AF950" s="73"/>
      <c r="AG950" s="73"/>
      <c r="AH950" s="73"/>
      <c r="AI950" s="73"/>
      <c r="AJ950" s="73"/>
      <c r="AK950" s="73"/>
    </row>
    <row r="951">
      <c r="A951" s="28">
        <v>950.0</v>
      </c>
      <c r="B951" s="29"/>
      <c r="C951" s="29"/>
      <c r="D951" s="40">
        <v>1.0</v>
      </c>
      <c r="E951" s="31">
        <v>20.0</v>
      </c>
      <c r="F951" s="42">
        <v>87.0</v>
      </c>
      <c r="G951" s="29" t="str">
        <f t="shared" si="1"/>
        <v>20087</v>
      </c>
      <c r="H951" s="37" t="s">
        <v>143</v>
      </c>
      <c r="I951" s="37" t="s">
        <v>53</v>
      </c>
      <c r="J951" s="37" t="s">
        <v>612</v>
      </c>
      <c r="K951" s="37" t="str">
        <f t="shared" si="17"/>
        <v>Jefferson, KS</v>
      </c>
      <c r="L951" s="37">
        <v>15.0</v>
      </c>
      <c r="M951" s="37" t="s">
        <v>63</v>
      </c>
      <c r="N951" s="37">
        <v>11.0</v>
      </c>
      <c r="O951" s="37">
        <v>2.0</v>
      </c>
      <c r="P951" s="37" t="s">
        <v>63</v>
      </c>
      <c r="Q951" s="37">
        <v>12.0</v>
      </c>
      <c r="R951" s="37" t="s">
        <v>63</v>
      </c>
      <c r="S951" s="37" t="s">
        <v>63</v>
      </c>
      <c r="T951" s="69" t="s">
        <v>63</v>
      </c>
      <c r="U951" s="70" t="s">
        <v>63</v>
      </c>
      <c r="V951" s="37" t="s">
        <v>63</v>
      </c>
      <c r="W951" s="71" t="s">
        <v>63</v>
      </c>
      <c r="X951" s="72" t="s">
        <v>63</v>
      </c>
      <c r="Y951" s="53">
        <v>27.0</v>
      </c>
      <c r="Z951" s="69" t="s">
        <v>63</v>
      </c>
      <c r="AA951" s="73"/>
      <c r="AB951" s="73"/>
      <c r="AC951" s="73"/>
      <c r="AD951" s="73"/>
      <c r="AE951" s="73"/>
      <c r="AF951" s="73"/>
      <c r="AG951" s="73"/>
      <c r="AH951" s="73"/>
      <c r="AI951" s="73"/>
      <c r="AJ951" s="73"/>
      <c r="AK951" s="73"/>
    </row>
    <row r="952">
      <c r="A952" s="28">
        <v>951.0</v>
      </c>
      <c r="B952" s="29"/>
      <c r="C952" s="29"/>
      <c r="D952" s="40">
        <v>1.0</v>
      </c>
      <c r="E952" s="31">
        <v>20.0</v>
      </c>
      <c r="F952" s="42">
        <v>89.0</v>
      </c>
      <c r="G952" s="29" t="str">
        <f t="shared" si="1"/>
        <v>20089</v>
      </c>
      <c r="H952" s="37" t="s">
        <v>982</v>
      </c>
      <c r="I952" s="37" t="s">
        <v>53</v>
      </c>
      <c r="J952" s="37" t="s">
        <v>612</v>
      </c>
      <c r="K952" s="37" t="str">
        <f t="shared" si="17"/>
        <v>Jewell, KS</v>
      </c>
      <c r="L952" s="37">
        <v>5.0</v>
      </c>
      <c r="M952" s="37" t="s">
        <v>63</v>
      </c>
      <c r="N952" s="37">
        <v>4.0</v>
      </c>
      <c r="O952" s="37">
        <v>0.0</v>
      </c>
      <c r="P952" s="37" t="s">
        <v>63</v>
      </c>
      <c r="Q952" s="37">
        <v>1.0</v>
      </c>
      <c r="R952" s="37" t="s">
        <v>63</v>
      </c>
      <c r="S952" s="37" t="s">
        <v>63</v>
      </c>
      <c r="T952" s="69" t="s">
        <v>63</v>
      </c>
      <c r="U952" s="70" t="s">
        <v>63</v>
      </c>
      <c r="V952" s="37" t="s">
        <v>63</v>
      </c>
      <c r="W952" s="71" t="s">
        <v>63</v>
      </c>
      <c r="X952" s="72" t="s">
        <v>63</v>
      </c>
      <c r="Y952" s="53">
        <v>8.0</v>
      </c>
      <c r="Z952" s="69" t="s">
        <v>63</v>
      </c>
      <c r="AA952" s="73"/>
      <c r="AB952" s="73"/>
      <c r="AC952" s="73"/>
      <c r="AD952" s="73"/>
      <c r="AE952" s="73"/>
      <c r="AF952" s="73"/>
      <c r="AG952" s="73"/>
      <c r="AH952" s="73"/>
      <c r="AI952" s="73"/>
      <c r="AJ952" s="73"/>
      <c r="AK952" s="73"/>
    </row>
    <row r="953">
      <c r="A953" s="28">
        <v>952.0</v>
      </c>
      <c r="B953" s="29"/>
      <c r="C953" s="29"/>
      <c r="D953" s="40">
        <v>1.0</v>
      </c>
      <c r="E953" s="31">
        <v>20.0</v>
      </c>
      <c r="F953" s="42">
        <v>91.0</v>
      </c>
      <c r="G953" s="29" t="str">
        <f t="shared" si="1"/>
        <v>20091</v>
      </c>
      <c r="H953" s="37" t="s">
        <v>288</v>
      </c>
      <c r="I953" s="37" t="s">
        <v>53</v>
      </c>
      <c r="J953" s="37" t="s">
        <v>612</v>
      </c>
      <c r="K953" s="37" t="str">
        <f t="shared" si="17"/>
        <v>Johnson, KS</v>
      </c>
      <c r="L953" s="37">
        <v>428.0</v>
      </c>
      <c r="M953" s="37" t="s">
        <v>63</v>
      </c>
      <c r="N953" s="37">
        <v>191.0</v>
      </c>
      <c r="O953" s="37">
        <v>187.0</v>
      </c>
      <c r="P953" s="37" t="s">
        <v>63</v>
      </c>
      <c r="Q953" s="37">
        <v>257.0</v>
      </c>
      <c r="R953" s="37" t="s">
        <v>63</v>
      </c>
      <c r="S953" s="37" t="s">
        <v>63</v>
      </c>
      <c r="T953" s="69" t="s">
        <v>63</v>
      </c>
      <c r="U953" s="70" t="s">
        <v>63</v>
      </c>
      <c r="V953" s="37" t="s">
        <v>63</v>
      </c>
      <c r="W953" s="71" t="s">
        <v>63</v>
      </c>
      <c r="X953" s="72" t="s">
        <v>63</v>
      </c>
      <c r="Y953" s="53">
        <v>258.0</v>
      </c>
      <c r="Z953" s="69" t="s">
        <v>63</v>
      </c>
      <c r="AA953" s="73"/>
      <c r="AB953" s="73"/>
      <c r="AC953" s="73"/>
      <c r="AD953" s="73"/>
      <c r="AE953" s="73"/>
      <c r="AF953" s="73"/>
      <c r="AG953" s="73"/>
      <c r="AH953" s="73"/>
      <c r="AI953" s="73"/>
      <c r="AJ953" s="73"/>
      <c r="AK953" s="73"/>
    </row>
    <row r="954">
      <c r="A954" s="28">
        <v>953.0</v>
      </c>
      <c r="B954" s="29"/>
      <c r="C954" s="29"/>
      <c r="D954" s="40">
        <v>1.0</v>
      </c>
      <c r="E954" s="31">
        <v>20.0</v>
      </c>
      <c r="F954" s="42">
        <v>93.0</v>
      </c>
      <c r="G954" s="29" t="str">
        <f t="shared" si="1"/>
        <v>20093</v>
      </c>
      <c r="H954" s="37" t="s">
        <v>983</v>
      </c>
      <c r="I954" s="37" t="s">
        <v>53</v>
      </c>
      <c r="J954" s="37" t="s">
        <v>612</v>
      </c>
      <c r="K954" s="37" t="str">
        <f t="shared" si="17"/>
        <v>Kearny, KS</v>
      </c>
      <c r="L954" s="37">
        <v>13.0</v>
      </c>
      <c r="M954" s="37" t="s">
        <v>63</v>
      </c>
      <c r="N954" s="37">
        <v>5.0</v>
      </c>
      <c r="O954" s="37">
        <v>4.0</v>
      </c>
      <c r="P954" s="37" t="s">
        <v>63</v>
      </c>
      <c r="Q954" s="37">
        <v>2.0</v>
      </c>
      <c r="R954" s="37" t="s">
        <v>63</v>
      </c>
      <c r="S954" s="37" t="s">
        <v>63</v>
      </c>
      <c r="T954" s="69" t="s">
        <v>63</v>
      </c>
      <c r="U954" s="70" t="s">
        <v>63</v>
      </c>
      <c r="V954" s="37" t="s">
        <v>63</v>
      </c>
      <c r="W954" s="71" t="s">
        <v>63</v>
      </c>
      <c r="X954" s="72" t="s">
        <v>63</v>
      </c>
      <c r="Y954" s="53">
        <v>11.0</v>
      </c>
      <c r="Z954" s="69" t="s">
        <v>63</v>
      </c>
      <c r="AA954" s="73"/>
      <c r="AB954" s="73"/>
      <c r="AC954" s="73"/>
      <c r="AD954" s="73"/>
      <c r="AE954" s="73"/>
      <c r="AF954" s="73"/>
      <c r="AG954" s="73"/>
      <c r="AH954" s="73"/>
      <c r="AI954" s="73"/>
      <c r="AJ954" s="73"/>
      <c r="AK954" s="73"/>
    </row>
    <row r="955">
      <c r="A955" s="28">
        <v>954.0</v>
      </c>
      <c r="B955" s="29"/>
      <c r="C955" s="29"/>
      <c r="D955" s="40">
        <v>1.0</v>
      </c>
      <c r="E955" s="31">
        <v>20.0</v>
      </c>
      <c r="F955" s="42">
        <v>95.0</v>
      </c>
      <c r="G955" s="29" t="str">
        <f t="shared" si="1"/>
        <v>20095</v>
      </c>
      <c r="H955" s="37" t="s">
        <v>984</v>
      </c>
      <c r="I955" s="37" t="s">
        <v>53</v>
      </c>
      <c r="J955" s="37" t="s">
        <v>612</v>
      </c>
      <c r="K955" s="37" t="str">
        <f t="shared" si="17"/>
        <v>Kingman, KS</v>
      </c>
      <c r="L955" s="37">
        <v>16.0</v>
      </c>
      <c r="M955" s="37" t="s">
        <v>63</v>
      </c>
      <c r="N955" s="37">
        <v>10.0</v>
      </c>
      <c r="O955" s="37">
        <v>4.0</v>
      </c>
      <c r="P955" s="37" t="s">
        <v>63</v>
      </c>
      <c r="Q955" s="37">
        <v>7.0</v>
      </c>
      <c r="R955" s="37" t="s">
        <v>63</v>
      </c>
      <c r="S955" s="37" t="s">
        <v>63</v>
      </c>
      <c r="T955" s="69" t="s">
        <v>63</v>
      </c>
      <c r="U955" s="70" t="s">
        <v>63</v>
      </c>
      <c r="V955" s="37" t="s">
        <v>63</v>
      </c>
      <c r="W955" s="71" t="s">
        <v>63</v>
      </c>
      <c r="X955" s="72" t="s">
        <v>63</v>
      </c>
      <c r="Y955" s="53">
        <v>18.0</v>
      </c>
      <c r="Z955" s="69" t="s">
        <v>63</v>
      </c>
      <c r="AA955" s="73"/>
      <c r="AB955" s="73"/>
      <c r="AC955" s="73"/>
      <c r="AD955" s="73"/>
      <c r="AE955" s="73"/>
      <c r="AF955" s="73"/>
      <c r="AG955" s="73"/>
      <c r="AH955" s="73"/>
      <c r="AI955" s="73"/>
      <c r="AJ955" s="73"/>
      <c r="AK955" s="73"/>
    </row>
    <row r="956">
      <c r="A956" s="28">
        <v>955.0</v>
      </c>
      <c r="B956" s="29"/>
      <c r="C956" s="29"/>
      <c r="D956" s="40">
        <v>1.0</v>
      </c>
      <c r="E956" s="31">
        <v>20.0</v>
      </c>
      <c r="F956" s="42">
        <v>97.0</v>
      </c>
      <c r="G956" s="29" t="str">
        <f t="shared" si="1"/>
        <v>20097</v>
      </c>
      <c r="H956" s="37" t="s">
        <v>427</v>
      </c>
      <c r="I956" s="37" t="s">
        <v>53</v>
      </c>
      <c r="J956" s="37" t="s">
        <v>612</v>
      </c>
      <c r="K956" s="37" t="str">
        <f t="shared" si="17"/>
        <v>Kiowa, KS</v>
      </c>
      <c r="L956" s="37">
        <v>3.0</v>
      </c>
      <c r="M956" s="37" t="s">
        <v>63</v>
      </c>
      <c r="N956" s="37">
        <v>2.0</v>
      </c>
      <c r="O956" s="37">
        <v>0.0</v>
      </c>
      <c r="P956" s="37" t="s">
        <v>63</v>
      </c>
      <c r="Q956" s="37">
        <v>4.0</v>
      </c>
      <c r="R956" s="37" t="s">
        <v>63</v>
      </c>
      <c r="S956" s="37" t="s">
        <v>63</v>
      </c>
      <c r="T956" s="69" t="s">
        <v>63</v>
      </c>
      <c r="U956" s="70" t="s">
        <v>63</v>
      </c>
      <c r="V956" s="37" t="s">
        <v>63</v>
      </c>
      <c r="W956" s="71" t="s">
        <v>63</v>
      </c>
      <c r="X956" s="72" t="s">
        <v>63</v>
      </c>
      <c r="Y956" s="53">
        <v>11.0</v>
      </c>
      <c r="Z956" s="69" t="s">
        <v>63</v>
      </c>
      <c r="AA956" s="73"/>
      <c r="AB956" s="73"/>
      <c r="AC956" s="73"/>
      <c r="AD956" s="73"/>
      <c r="AE956" s="73"/>
      <c r="AF956" s="73"/>
      <c r="AG956" s="73"/>
      <c r="AH956" s="73"/>
      <c r="AI956" s="73"/>
      <c r="AJ956" s="73"/>
      <c r="AK956" s="73"/>
    </row>
    <row r="957">
      <c r="A957" s="28">
        <v>956.0</v>
      </c>
      <c r="B957" s="29"/>
      <c r="C957" s="29"/>
      <c r="D957" s="40">
        <v>1.0</v>
      </c>
      <c r="E957" s="31">
        <v>20.0</v>
      </c>
      <c r="F957" s="42">
        <v>99.0</v>
      </c>
      <c r="G957" s="29" t="str">
        <f t="shared" si="1"/>
        <v>20099</v>
      </c>
      <c r="H957" s="37" t="s">
        <v>985</v>
      </c>
      <c r="I957" s="37" t="s">
        <v>53</v>
      </c>
      <c r="J957" s="37" t="s">
        <v>612</v>
      </c>
      <c r="K957" s="37" t="str">
        <f t="shared" si="17"/>
        <v>Labette, KS</v>
      </c>
      <c r="L957" s="37">
        <v>61.0</v>
      </c>
      <c r="M957" s="37" t="s">
        <v>63</v>
      </c>
      <c r="N957" s="37">
        <v>24.0</v>
      </c>
      <c r="O957" s="37">
        <v>29.0</v>
      </c>
      <c r="P957" s="37" t="s">
        <v>63</v>
      </c>
      <c r="Q957" s="37">
        <v>42.0</v>
      </c>
      <c r="R957" s="37" t="s">
        <v>63</v>
      </c>
      <c r="S957" s="37" t="s">
        <v>63</v>
      </c>
      <c r="T957" s="69" t="s">
        <v>63</v>
      </c>
      <c r="U957" s="70" t="s">
        <v>63</v>
      </c>
      <c r="V957" s="37" t="s">
        <v>63</v>
      </c>
      <c r="W957" s="71" t="s">
        <v>63</v>
      </c>
      <c r="X957" s="72" t="s">
        <v>63</v>
      </c>
      <c r="Y957" s="53">
        <v>40.0</v>
      </c>
      <c r="Z957" s="69" t="s">
        <v>63</v>
      </c>
      <c r="AA957" s="73"/>
      <c r="AB957" s="73"/>
      <c r="AC957" s="73"/>
      <c r="AD957" s="73"/>
      <c r="AE957" s="73"/>
      <c r="AF957" s="73"/>
      <c r="AG957" s="73"/>
      <c r="AH957" s="73"/>
      <c r="AI957" s="73"/>
      <c r="AJ957" s="73"/>
      <c r="AK957" s="73"/>
    </row>
    <row r="958">
      <c r="A958" s="28">
        <v>957.0</v>
      </c>
      <c r="B958" s="29"/>
      <c r="C958" s="29"/>
      <c r="D958" s="40">
        <v>1.0</v>
      </c>
      <c r="E958" s="31">
        <v>20.0</v>
      </c>
      <c r="F958" s="42">
        <v>101.0</v>
      </c>
      <c r="G958" s="29" t="str">
        <f t="shared" si="1"/>
        <v>20101</v>
      </c>
      <c r="H958" s="37" t="s">
        <v>986</v>
      </c>
      <c r="I958" s="37" t="s">
        <v>53</v>
      </c>
      <c r="J958" s="37" t="s">
        <v>612</v>
      </c>
      <c r="K958" s="37" t="str">
        <f t="shared" si="17"/>
        <v>Lane, KS</v>
      </c>
      <c r="L958" s="37">
        <v>4.0</v>
      </c>
      <c r="M958" s="37" t="s">
        <v>63</v>
      </c>
      <c r="N958" s="37">
        <v>1.0</v>
      </c>
      <c r="O958" s="37">
        <v>3.0</v>
      </c>
      <c r="P958" s="37" t="s">
        <v>63</v>
      </c>
      <c r="Q958" s="37">
        <v>1.0</v>
      </c>
      <c r="R958" s="37" t="s">
        <v>63</v>
      </c>
      <c r="S958" s="37" t="s">
        <v>63</v>
      </c>
      <c r="T958" s="69" t="s">
        <v>63</v>
      </c>
      <c r="U958" s="70" t="s">
        <v>63</v>
      </c>
      <c r="V958" s="37" t="s">
        <v>63</v>
      </c>
      <c r="W958" s="71" t="s">
        <v>63</v>
      </c>
      <c r="X958" s="72" t="s">
        <v>63</v>
      </c>
      <c r="Y958" s="53">
        <v>6.0</v>
      </c>
      <c r="Z958" s="69" t="s">
        <v>63</v>
      </c>
      <c r="AA958" s="73"/>
      <c r="AB958" s="73"/>
      <c r="AC958" s="73"/>
      <c r="AD958" s="73"/>
      <c r="AE958" s="73"/>
      <c r="AF958" s="73"/>
      <c r="AG958" s="73"/>
      <c r="AH958" s="73"/>
      <c r="AI958" s="73"/>
      <c r="AJ958" s="73"/>
      <c r="AK958" s="73"/>
    </row>
    <row r="959">
      <c r="A959" s="28">
        <v>958.0</v>
      </c>
      <c r="B959" s="29"/>
      <c r="C959" s="29"/>
      <c r="D959" s="40">
        <v>1.0</v>
      </c>
      <c r="E959" s="31">
        <v>20.0</v>
      </c>
      <c r="F959" s="42">
        <v>103.0</v>
      </c>
      <c r="G959" s="29" t="str">
        <f t="shared" si="1"/>
        <v>20103</v>
      </c>
      <c r="H959" s="37" t="s">
        <v>987</v>
      </c>
      <c r="I959" s="37" t="s">
        <v>53</v>
      </c>
      <c r="J959" s="37" t="s">
        <v>612</v>
      </c>
      <c r="K959" s="136" t="str">
        <f t="shared" si="17"/>
        <v>Leavenworth, KS</v>
      </c>
      <c r="L959" s="37">
        <v>176.0</v>
      </c>
      <c r="M959" s="37" t="s">
        <v>63</v>
      </c>
      <c r="N959" s="37">
        <v>73.0</v>
      </c>
      <c r="O959" s="37">
        <v>70.0</v>
      </c>
      <c r="P959" s="37" t="s">
        <v>63</v>
      </c>
      <c r="Q959" s="37">
        <v>56.0</v>
      </c>
      <c r="R959" s="37" t="s">
        <v>63</v>
      </c>
      <c r="S959" s="37" t="s">
        <v>63</v>
      </c>
      <c r="T959" s="69" t="s">
        <v>63</v>
      </c>
      <c r="U959" s="70" t="s">
        <v>63</v>
      </c>
      <c r="V959" s="37" t="s">
        <v>63</v>
      </c>
      <c r="W959" s="71" t="s">
        <v>63</v>
      </c>
      <c r="X959" s="72" t="s">
        <v>63</v>
      </c>
      <c r="Y959" s="53">
        <v>73.0</v>
      </c>
      <c r="Z959" s="69" t="s">
        <v>63</v>
      </c>
      <c r="AA959" s="73"/>
      <c r="AB959" s="73"/>
      <c r="AC959" s="73"/>
      <c r="AD959" s="73"/>
      <c r="AE959" s="73"/>
      <c r="AF959" s="73"/>
      <c r="AG959" s="73"/>
      <c r="AH959" s="73"/>
      <c r="AI959" s="73"/>
      <c r="AJ959" s="73"/>
      <c r="AK959" s="73"/>
    </row>
    <row r="960">
      <c r="A960" s="28">
        <v>959.0</v>
      </c>
      <c r="B960" s="29"/>
      <c r="C960" s="29"/>
      <c r="D960" s="40">
        <v>1.0</v>
      </c>
      <c r="E960" s="31">
        <v>20.0</v>
      </c>
      <c r="F960" s="42">
        <v>105.0</v>
      </c>
      <c r="G960" s="29" t="str">
        <f t="shared" si="1"/>
        <v>20105</v>
      </c>
      <c r="H960" s="37" t="s">
        <v>290</v>
      </c>
      <c r="I960" s="37" t="s">
        <v>53</v>
      </c>
      <c r="J960" s="37" t="s">
        <v>612</v>
      </c>
      <c r="K960" s="37" t="str">
        <f t="shared" si="17"/>
        <v>Lincoln, KS</v>
      </c>
      <c r="L960" s="37">
        <v>8.0</v>
      </c>
      <c r="M960" s="37" t="s">
        <v>63</v>
      </c>
      <c r="N960" s="37">
        <v>5.0</v>
      </c>
      <c r="O960" s="37">
        <v>1.0</v>
      </c>
      <c r="P960" s="37" t="s">
        <v>63</v>
      </c>
      <c r="Q960" s="37">
        <v>6.0</v>
      </c>
      <c r="R960" s="37" t="s">
        <v>63</v>
      </c>
      <c r="S960" s="37" t="s">
        <v>63</v>
      </c>
      <c r="T960" s="69" t="s">
        <v>63</v>
      </c>
      <c r="U960" s="70" t="s">
        <v>63</v>
      </c>
      <c r="V960" s="37" t="s">
        <v>63</v>
      </c>
      <c r="W960" s="71" t="s">
        <v>63</v>
      </c>
      <c r="X960" s="72" t="s">
        <v>63</v>
      </c>
      <c r="Y960" s="53">
        <v>7.0</v>
      </c>
      <c r="Z960" s="69" t="s">
        <v>63</v>
      </c>
      <c r="AA960" s="73"/>
      <c r="AB960" s="73"/>
      <c r="AC960" s="73"/>
      <c r="AD960" s="73"/>
      <c r="AE960" s="73"/>
      <c r="AF960" s="73"/>
      <c r="AG960" s="73"/>
      <c r="AH960" s="73"/>
      <c r="AI960" s="73"/>
      <c r="AJ960" s="73"/>
      <c r="AK960" s="73"/>
    </row>
    <row r="961">
      <c r="A961" s="28">
        <v>960.0</v>
      </c>
      <c r="B961" s="29"/>
      <c r="C961" s="29"/>
      <c r="D961" s="40">
        <v>1.0</v>
      </c>
      <c r="E961" s="31">
        <v>20.0</v>
      </c>
      <c r="F961" s="42">
        <v>107.0</v>
      </c>
      <c r="G961" s="29" t="str">
        <f t="shared" si="1"/>
        <v>20107</v>
      </c>
      <c r="H961" s="37" t="s">
        <v>907</v>
      </c>
      <c r="I961" s="37" t="s">
        <v>53</v>
      </c>
      <c r="J961" s="37" t="s">
        <v>612</v>
      </c>
      <c r="K961" s="37" t="str">
        <f t="shared" si="17"/>
        <v>Linn, KS</v>
      </c>
      <c r="L961" s="37">
        <v>22.0</v>
      </c>
      <c r="M961" s="37" t="s">
        <v>63</v>
      </c>
      <c r="N961" s="37">
        <v>8.0</v>
      </c>
      <c r="O961" s="37">
        <v>11.0</v>
      </c>
      <c r="P961" s="37" t="s">
        <v>63</v>
      </c>
      <c r="Q961" s="37">
        <v>3.0</v>
      </c>
      <c r="R961" s="37" t="s">
        <v>63</v>
      </c>
      <c r="S961" s="37" t="s">
        <v>63</v>
      </c>
      <c r="T961" s="69" t="s">
        <v>63</v>
      </c>
      <c r="U961" s="70" t="s">
        <v>63</v>
      </c>
      <c r="V961" s="37" t="s">
        <v>63</v>
      </c>
      <c r="W961" s="71" t="s">
        <v>63</v>
      </c>
      <c r="X961" s="72" t="s">
        <v>63</v>
      </c>
      <c r="Y961" s="53">
        <v>20.0</v>
      </c>
      <c r="Z961" s="69" t="s">
        <v>63</v>
      </c>
      <c r="AA961" s="73"/>
      <c r="AB961" s="73"/>
      <c r="AC961" s="73"/>
      <c r="AD961" s="73"/>
      <c r="AE961" s="73"/>
      <c r="AF961" s="73"/>
      <c r="AG961" s="73"/>
      <c r="AH961" s="73"/>
      <c r="AI961" s="73"/>
      <c r="AJ961" s="73"/>
      <c r="AK961" s="73"/>
    </row>
    <row r="962">
      <c r="A962" s="28">
        <v>961.0</v>
      </c>
      <c r="B962" s="29"/>
      <c r="C962" s="29"/>
      <c r="D962" s="40">
        <v>1.0</v>
      </c>
      <c r="E962" s="31">
        <v>20.0</v>
      </c>
      <c r="F962" s="42">
        <v>109.0</v>
      </c>
      <c r="G962" s="29" t="str">
        <f t="shared" si="1"/>
        <v>20109</v>
      </c>
      <c r="H962" s="37" t="s">
        <v>293</v>
      </c>
      <c r="I962" s="37" t="s">
        <v>53</v>
      </c>
      <c r="J962" s="37" t="s">
        <v>612</v>
      </c>
      <c r="K962" s="37" t="str">
        <f t="shared" si="17"/>
        <v>Logan, KS</v>
      </c>
      <c r="L962" s="37">
        <v>9.0</v>
      </c>
      <c r="M962" s="37" t="s">
        <v>63</v>
      </c>
      <c r="N962" s="37">
        <v>4.0</v>
      </c>
      <c r="O962" s="37">
        <v>5.0</v>
      </c>
      <c r="P962" s="37" t="s">
        <v>63</v>
      </c>
      <c r="Q962" s="37">
        <v>3.0</v>
      </c>
      <c r="R962" s="37" t="s">
        <v>63</v>
      </c>
      <c r="S962" s="37" t="s">
        <v>63</v>
      </c>
      <c r="T962" s="69" t="s">
        <v>63</v>
      </c>
      <c r="U962" s="70" t="s">
        <v>63</v>
      </c>
      <c r="V962" s="37" t="s">
        <v>63</v>
      </c>
      <c r="W962" s="71" t="s">
        <v>63</v>
      </c>
      <c r="X962" s="72" t="s">
        <v>63</v>
      </c>
      <c r="Y962" s="53">
        <v>6.0</v>
      </c>
      <c r="Z962" s="69" t="s">
        <v>63</v>
      </c>
      <c r="AA962" s="73"/>
      <c r="AB962" s="73"/>
      <c r="AC962" s="73"/>
      <c r="AD962" s="73"/>
      <c r="AE962" s="73"/>
      <c r="AF962" s="73"/>
      <c r="AG962" s="73"/>
      <c r="AH962" s="73"/>
      <c r="AI962" s="73"/>
      <c r="AJ962" s="73"/>
      <c r="AK962" s="73"/>
    </row>
    <row r="963">
      <c r="A963" s="28">
        <v>962.0</v>
      </c>
      <c r="B963" s="29"/>
      <c r="C963" s="29"/>
      <c r="D963" s="40">
        <v>1.0</v>
      </c>
      <c r="E963" s="31">
        <v>20.0</v>
      </c>
      <c r="F963" s="42">
        <v>111.0</v>
      </c>
      <c r="G963" s="29" t="str">
        <f t="shared" si="1"/>
        <v>20111</v>
      </c>
      <c r="H963" s="37" t="s">
        <v>910</v>
      </c>
      <c r="I963" s="37" t="s">
        <v>53</v>
      </c>
      <c r="J963" s="37" t="s">
        <v>612</v>
      </c>
      <c r="K963" s="37" t="str">
        <f t="shared" si="17"/>
        <v>Lyon, KS</v>
      </c>
      <c r="L963" s="37">
        <v>116.0</v>
      </c>
      <c r="M963" s="37" t="s">
        <v>63</v>
      </c>
      <c r="N963" s="37">
        <v>55.0</v>
      </c>
      <c r="O963" s="37">
        <v>32.0</v>
      </c>
      <c r="P963" s="37" t="s">
        <v>63</v>
      </c>
      <c r="Q963" s="37">
        <v>23.0</v>
      </c>
      <c r="R963" s="37" t="s">
        <v>63</v>
      </c>
      <c r="S963" s="37" t="s">
        <v>63</v>
      </c>
      <c r="T963" s="69" t="s">
        <v>63</v>
      </c>
      <c r="U963" s="70" t="s">
        <v>63</v>
      </c>
      <c r="V963" s="37" t="s">
        <v>63</v>
      </c>
      <c r="W963" s="71" t="s">
        <v>63</v>
      </c>
      <c r="X963" s="72" t="s">
        <v>63</v>
      </c>
      <c r="Y963" s="53">
        <v>35.0</v>
      </c>
      <c r="Z963" s="69" t="s">
        <v>63</v>
      </c>
      <c r="AA963" s="73"/>
      <c r="AB963" s="73"/>
      <c r="AC963" s="73"/>
      <c r="AD963" s="73"/>
      <c r="AE963" s="73"/>
      <c r="AF963" s="73"/>
      <c r="AG963" s="73"/>
      <c r="AH963" s="73"/>
      <c r="AI963" s="73"/>
      <c r="AJ963" s="73"/>
      <c r="AK963" s="73"/>
    </row>
    <row r="964">
      <c r="A964" s="28">
        <v>963.0</v>
      </c>
      <c r="B964" s="29"/>
      <c r="C964" s="29"/>
      <c r="D964" s="40">
        <v>1.0</v>
      </c>
      <c r="E964" s="31">
        <v>20.0</v>
      </c>
      <c r="F964" s="42">
        <v>113.0</v>
      </c>
      <c r="G964" s="29" t="str">
        <f t="shared" si="1"/>
        <v>20113</v>
      </c>
      <c r="H964" s="37" t="s">
        <v>988</v>
      </c>
      <c r="I964" s="37" t="s">
        <v>53</v>
      </c>
      <c r="J964" s="37" t="s">
        <v>612</v>
      </c>
      <c r="K964" s="37" t="str">
        <f t="shared" si="17"/>
        <v>McPherson, KS</v>
      </c>
      <c r="L964" s="37">
        <v>10.0</v>
      </c>
      <c r="M964" s="37" t="s">
        <v>63</v>
      </c>
      <c r="N964" s="37">
        <v>8.0</v>
      </c>
      <c r="O964" s="37">
        <v>2.0</v>
      </c>
      <c r="P964" s="37" t="s">
        <v>63</v>
      </c>
      <c r="Q964" s="37">
        <v>9.0</v>
      </c>
      <c r="R964" s="37" t="s">
        <v>63</v>
      </c>
      <c r="S964" s="37" t="s">
        <v>63</v>
      </c>
      <c r="T964" s="69" t="s">
        <v>63</v>
      </c>
      <c r="U964" s="70" t="s">
        <v>63</v>
      </c>
      <c r="V964" s="37" t="s">
        <v>63</v>
      </c>
      <c r="W964" s="71" t="s">
        <v>63</v>
      </c>
      <c r="X964" s="72" t="s">
        <v>63</v>
      </c>
      <c r="Y964" s="53">
        <v>29.0</v>
      </c>
      <c r="Z964" s="69" t="s">
        <v>63</v>
      </c>
      <c r="AA964" s="73"/>
      <c r="AB964" s="73"/>
      <c r="AC964" s="73"/>
      <c r="AD964" s="73"/>
      <c r="AE964" s="73"/>
      <c r="AF964" s="73"/>
      <c r="AG964" s="73"/>
      <c r="AH964" s="73"/>
      <c r="AI964" s="73"/>
      <c r="AJ964" s="73"/>
      <c r="AK964" s="73"/>
    </row>
    <row r="965">
      <c r="A965" s="28">
        <v>964.0</v>
      </c>
      <c r="B965" s="29"/>
      <c r="C965" s="29"/>
      <c r="D965" s="40">
        <v>1.0</v>
      </c>
      <c r="E965" s="31">
        <v>20.0</v>
      </c>
      <c r="F965" s="42">
        <v>115.0</v>
      </c>
      <c r="G965" s="29" t="str">
        <f t="shared" si="1"/>
        <v>20115</v>
      </c>
      <c r="H965" s="37" t="s">
        <v>153</v>
      </c>
      <c r="I965" s="37" t="s">
        <v>53</v>
      </c>
      <c r="J965" s="37" t="s">
        <v>612</v>
      </c>
      <c r="K965" s="37" t="str">
        <f t="shared" si="17"/>
        <v>Marion, KS</v>
      </c>
      <c r="L965" s="37">
        <v>34.0</v>
      </c>
      <c r="M965" s="37" t="s">
        <v>63</v>
      </c>
      <c r="N965" s="37">
        <v>18.0</v>
      </c>
      <c r="O965" s="37">
        <v>14.0</v>
      </c>
      <c r="P965" s="37" t="s">
        <v>63</v>
      </c>
      <c r="Q965" s="37">
        <v>7.0</v>
      </c>
      <c r="R965" s="37" t="s">
        <v>63</v>
      </c>
      <c r="S965" s="37" t="s">
        <v>63</v>
      </c>
      <c r="T965" s="69" t="s">
        <v>63</v>
      </c>
      <c r="U965" s="70" t="s">
        <v>63</v>
      </c>
      <c r="V965" s="37" t="s">
        <v>63</v>
      </c>
      <c r="W965" s="71" t="s">
        <v>63</v>
      </c>
      <c r="X965" s="72" t="s">
        <v>63</v>
      </c>
      <c r="Y965" s="53">
        <v>29.0</v>
      </c>
      <c r="Z965" s="69" t="s">
        <v>63</v>
      </c>
      <c r="AA965" s="73"/>
      <c r="AB965" s="73"/>
      <c r="AC965" s="73"/>
      <c r="AD965" s="73"/>
      <c r="AE965" s="73"/>
      <c r="AF965" s="73"/>
      <c r="AG965" s="73"/>
      <c r="AH965" s="73"/>
      <c r="AI965" s="73"/>
      <c r="AJ965" s="73"/>
      <c r="AK965" s="73"/>
    </row>
    <row r="966">
      <c r="A966" s="28">
        <v>965.0</v>
      </c>
      <c r="B966" s="29"/>
      <c r="C966" s="29"/>
      <c r="D966" s="40">
        <v>1.0</v>
      </c>
      <c r="E966" s="31">
        <v>20.0</v>
      </c>
      <c r="F966" s="42">
        <v>117.0</v>
      </c>
      <c r="G966" s="29" t="str">
        <f t="shared" si="1"/>
        <v>20117</v>
      </c>
      <c r="H966" s="37" t="s">
        <v>154</v>
      </c>
      <c r="I966" s="37" t="s">
        <v>53</v>
      </c>
      <c r="J966" s="37" t="s">
        <v>612</v>
      </c>
      <c r="K966" s="37" t="str">
        <f t="shared" si="17"/>
        <v>Marshall, KS</v>
      </c>
      <c r="L966" s="37">
        <v>36.0</v>
      </c>
      <c r="M966" s="37" t="s">
        <v>63</v>
      </c>
      <c r="N966" s="37">
        <v>16.0</v>
      </c>
      <c r="O966" s="37">
        <v>12.0</v>
      </c>
      <c r="P966" s="37" t="s">
        <v>63</v>
      </c>
      <c r="Q966" s="37">
        <v>23.0</v>
      </c>
      <c r="R966" s="37" t="s">
        <v>63</v>
      </c>
      <c r="S966" s="37" t="s">
        <v>63</v>
      </c>
      <c r="T966" s="69" t="s">
        <v>63</v>
      </c>
      <c r="U966" s="70" t="s">
        <v>63</v>
      </c>
      <c r="V966" s="37" t="s">
        <v>63</v>
      </c>
      <c r="W966" s="71" t="s">
        <v>63</v>
      </c>
      <c r="X966" s="72" t="s">
        <v>63</v>
      </c>
      <c r="Y966" s="53">
        <v>63.0</v>
      </c>
      <c r="Z966" s="69" t="s">
        <v>63</v>
      </c>
      <c r="AA966" s="73"/>
      <c r="AB966" s="73"/>
      <c r="AC966" s="73"/>
      <c r="AD966" s="73"/>
      <c r="AE966" s="73"/>
      <c r="AF966" s="73"/>
      <c r="AG966" s="73"/>
      <c r="AH966" s="73"/>
      <c r="AI966" s="73"/>
      <c r="AJ966" s="73"/>
      <c r="AK966" s="73"/>
    </row>
    <row r="967">
      <c r="A967" s="28">
        <v>966.0</v>
      </c>
      <c r="B967" s="29"/>
      <c r="C967" s="29"/>
      <c r="D967" s="40">
        <v>1.0</v>
      </c>
      <c r="E967" s="31">
        <v>20.0</v>
      </c>
      <c r="F967" s="42">
        <v>119.0</v>
      </c>
      <c r="G967" s="29" t="str">
        <f t="shared" si="1"/>
        <v>20119</v>
      </c>
      <c r="H967" s="37" t="s">
        <v>989</v>
      </c>
      <c r="I967" s="37" t="s">
        <v>53</v>
      </c>
      <c r="J967" s="37" t="s">
        <v>612</v>
      </c>
      <c r="K967" s="37" t="str">
        <f t="shared" si="17"/>
        <v>Meade, KS</v>
      </c>
      <c r="L967" s="37">
        <v>1.0</v>
      </c>
      <c r="M967" s="37" t="s">
        <v>63</v>
      </c>
      <c r="N967" s="37">
        <v>0.0</v>
      </c>
      <c r="O967" s="37">
        <v>1.0</v>
      </c>
      <c r="P967" s="37" t="s">
        <v>63</v>
      </c>
      <c r="Q967" s="37">
        <v>2.0</v>
      </c>
      <c r="R967" s="37" t="s">
        <v>63</v>
      </c>
      <c r="S967" s="37" t="s">
        <v>63</v>
      </c>
      <c r="T967" s="69" t="s">
        <v>63</v>
      </c>
      <c r="U967" s="70" t="s">
        <v>63</v>
      </c>
      <c r="V967" s="37" t="s">
        <v>63</v>
      </c>
      <c r="W967" s="71" t="s">
        <v>63</v>
      </c>
      <c r="X967" s="72" t="s">
        <v>63</v>
      </c>
      <c r="Y967" s="53">
        <v>13.0</v>
      </c>
      <c r="Z967" s="69" t="s">
        <v>63</v>
      </c>
      <c r="AA967" s="73"/>
      <c r="AB967" s="73"/>
      <c r="AC967" s="73"/>
      <c r="AD967" s="73"/>
      <c r="AE967" s="73"/>
      <c r="AF967" s="73"/>
      <c r="AG967" s="73"/>
      <c r="AH967" s="73"/>
      <c r="AI967" s="73"/>
      <c r="AJ967" s="73"/>
      <c r="AK967" s="73"/>
    </row>
    <row r="968">
      <c r="A968" s="28">
        <v>967.0</v>
      </c>
      <c r="B968" s="29"/>
      <c r="C968" s="29"/>
      <c r="D968" s="40">
        <v>1.0</v>
      </c>
      <c r="E968" s="31">
        <v>20.0</v>
      </c>
      <c r="F968" s="42">
        <v>121.0</v>
      </c>
      <c r="G968" s="29" t="str">
        <f t="shared" si="1"/>
        <v>20121</v>
      </c>
      <c r="H968" s="37" t="s">
        <v>791</v>
      </c>
      <c r="I968" s="37" t="s">
        <v>53</v>
      </c>
      <c r="J968" s="37" t="s">
        <v>612</v>
      </c>
      <c r="K968" s="37" t="str">
        <f t="shared" si="17"/>
        <v>Miami, KS</v>
      </c>
      <c r="L968" s="37">
        <v>23.0</v>
      </c>
      <c r="M968" s="37" t="s">
        <v>63</v>
      </c>
      <c r="N968" s="37">
        <v>11.0</v>
      </c>
      <c r="O968" s="37">
        <v>9.0</v>
      </c>
      <c r="P968" s="37" t="s">
        <v>63</v>
      </c>
      <c r="Q968" s="37">
        <v>25.0</v>
      </c>
      <c r="R968" s="37" t="s">
        <v>63</v>
      </c>
      <c r="S968" s="37" t="s">
        <v>63</v>
      </c>
      <c r="T968" s="69" t="s">
        <v>63</v>
      </c>
      <c r="U968" s="70" t="s">
        <v>63</v>
      </c>
      <c r="V968" s="37" t="s">
        <v>63</v>
      </c>
      <c r="W968" s="71" t="s">
        <v>63</v>
      </c>
      <c r="X968" s="72" t="s">
        <v>63</v>
      </c>
      <c r="Y968" s="53">
        <v>43.0</v>
      </c>
      <c r="Z968" s="69" t="s">
        <v>63</v>
      </c>
      <c r="AA968" s="73"/>
      <c r="AB968" s="73"/>
      <c r="AC968" s="73"/>
      <c r="AD968" s="73"/>
      <c r="AE968" s="73"/>
      <c r="AF968" s="73"/>
      <c r="AG968" s="73"/>
      <c r="AH968" s="73"/>
      <c r="AI968" s="73"/>
      <c r="AJ968" s="73"/>
      <c r="AK968" s="73"/>
    </row>
    <row r="969">
      <c r="A969" s="28">
        <v>968.0</v>
      </c>
      <c r="B969" s="29"/>
      <c r="C969" s="29"/>
      <c r="D969" s="40">
        <v>1.0</v>
      </c>
      <c r="E969" s="31">
        <v>20.0</v>
      </c>
      <c r="F969" s="42">
        <v>123.0</v>
      </c>
      <c r="G969" s="29" t="str">
        <f t="shared" si="1"/>
        <v>20123</v>
      </c>
      <c r="H969" s="37" t="s">
        <v>610</v>
      </c>
      <c r="I969" s="37" t="s">
        <v>53</v>
      </c>
      <c r="J969" s="37" t="s">
        <v>612</v>
      </c>
      <c r="K969" s="37" t="str">
        <f t="shared" si="17"/>
        <v>Mitchell, KS</v>
      </c>
      <c r="L969" s="37">
        <v>6.0</v>
      </c>
      <c r="M969" s="37" t="s">
        <v>63</v>
      </c>
      <c r="N969" s="37">
        <v>2.0</v>
      </c>
      <c r="O969" s="37">
        <v>2.0</v>
      </c>
      <c r="P969" s="37" t="s">
        <v>63</v>
      </c>
      <c r="Q969" s="37">
        <v>2.0</v>
      </c>
      <c r="R969" s="37" t="s">
        <v>63</v>
      </c>
      <c r="S969" s="37" t="s">
        <v>63</v>
      </c>
      <c r="T969" s="69" t="s">
        <v>63</v>
      </c>
      <c r="U969" s="70" t="s">
        <v>63</v>
      </c>
      <c r="V969" s="37" t="s">
        <v>63</v>
      </c>
      <c r="W969" s="71" t="s">
        <v>63</v>
      </c>
      <c r="X969" s="72" t="s">
        <v>63</v>
      </c>
      <c r="Y969" s="53">
        <v>17.0</v>
      </c>
      <c r="Z969" s="69" t="s">
        <v>63</v>
      </c>
      <c r="AA969" s="73"/>
      <c r="AB969" s="73"/>
      <c r="AC969" s="73"/>
      <c r="AD969" s="73"/>
      <c r="AE969" s="73"/>
      <c r="AF969" s="73"/>
      <c r="AG969" s="73"/>
      <c r="AH969" s="73"/>
      <c r="AI969" s="73"/>
      <c r="AJ969" s="73"/>
      <c r="AK969" s="73"/>
    </row>
    <row r="970">
      <c r="A970" s="28">
        <v>969.0</v>
      </c>
      <c r="B970" s="29"/>
      <c r="C970" s="29"/>
      <c r="D970" s="40">
        <v>1.0</v>
      </c>
      <c r="E970" s="31">
        <v>20.0</v>
      </c>
      <c r="F970" s="42">
        <v>125.0</v>
      </c>
      <c r="G970" s="29" t="str">
        <f t="shared" si="1"/>
        <v>20125</v>
      </c>
      <c r="H970" s="37" t="s">
        <v>157</v>
      </c>
      <c r="I970" s="37" t="s">
        <v>53</v>
      </c>
      <c r="J970" s="37" t="s">
        <v>612</v>
      </c>
      <c r="K970" s="37" t="str">
        <f t="shared" si="17"/>
        <v>Montgomery, KS</v>
      </c>
      <c r="L970" s="37">
        <v>89.0</v>
      </c>
      <c r="M970" s="37" t="s">
        <v>63</v>
      </c>
      <c r="N970" s="37">
        <v>57.0</v>
      </c>
      <c r="O970" s="37">
        <v>26.0</v>
      </c>
      <c r="P970" s="37" t="s">
        <v>63</v>
      </c>
      <c r="Q970" s="37">
        <v>32.0</v>
      </c>
      <c r="R970" s="37" t="s">
        <v>63</v>
      </c>
      <c r="S970" s="37" t="s">
        <v>63</v>
      </c>
      <c r="T970" s="69" t="s">
        <v>63</v>
      </c>
      <c r="U970" s="70" t="s">
        <v>63</v>
      </c>
      <c r="V970" s="37" t="s">
        <v>63</v>
      </c>
      <c r="W970" s="71" t="s">
        <v>63</v>
      </c>
      <c r="X970" s="72" t="s">
        <v>63</v>
      </c>
      <c r="Y970" s="53">
        <v>65.0</v>
      </c>
      <c r="Z970" s="69" t="s">
        <v>63</v>
      </c>
      <c r="AA970" s="73"/>
      <c r="AB970" s="73"/>
      <c r="AC970" s="73"/>
      <c r="AD970" s="73"/>
      <c r="AE970" s="73"/>
      <c r="AF970" s="73"/>
      <c r="AG970" s="73"/>
      <c r="AH970" s="73"/>
      <c r="AI970" s="73"/>
      <c r="AJ970" s="73"/>
      <c r="AK970" s="73"/>
    </row>
    <row r="971">
      <c r="A971" s="28">
        <v>970.0</v>
      </c>
      <c r="B971" s="29"/>
      <c r="C971" s="29"/>
      <c r="D971" s="40">
        <v>1.0</v>
      </c>
      <c r="E971" s="31">
        <v>20.0</v>
      </c>
      <c r="F971" s="42">
        <v>127.0</v>
      </c>
      <c r="G971" s="29" t="str">
        <f t="shared" si="1"/>
        <v>20127</v>
      </c>
      <c r="H971" s="37" t="s">
        <v>990</v>
      </c>
      <c r="I971" s="37" t="s">
        <v>53</v>
      </c>
      <c r="J971" s="37" t="s">
        <v>612</v>
      </c>
      <c r="K971" s="37" t="str">
        <f t="shared" si="17"/>
        <v>Morris, KS</v>
      </c>
      <c r="L971" s="37">
        <v>8.0</v>
      </c>
      <c r="M971" s="37" t="s">
        <v>63</v>
      </c>
      <c r="N971" s="37">
        <v>7.0</v>
      </c>
      <c r="O971" s="37">
        <v>0.0</v>
      </c>
      <c r="P971" s="37" t="s">
        <v>63</v>
      </c>
      <c r="Q971" s="37">
        <v>1.0</v>
      </c>
      <c r="R971" s="37" t="s">
        <v>63</v>
      </c>
      <c r="S971" s="37" t="s">
        <v>63</v>
      </c>
      <c r="T971" s="69" t="s">
        <v>63</v>
      </c>
      <c r="U971" s="70" t="s">
        <v>63</v>
      </c>
      <c r="V971" s="37" t="s">
        <v>63</v>
      </c>
      <c r="W971" s="71" t="s">
        <v>63</v>
      </c>
      <c r="X971" s="72" t="s">
        <v>63</v>
      </c>
      <c r="Y971" s="53">
        <v>16.0</v>
      </c>
      <c r="Z971" s="69" t="s">
        <v>63</v>
      </c>
      <c r="AA971" s="73"/>
      <c r="AB971" s="73"/>
      <c r="AC971" s="73"/>
      <c r="AD971" s="73"/>
      <c r="AE971" s="73"/>
      <c r="AF971" s="73"/>
      <c r="AG971" s="73"/>
      <c r="AH971" s="73"/>
      <c r="AI971" s="73"/>
      <c r="AJ971" s="73"/>
      <c r="AK971" s="73"/>
    </row>
    <row r="972">
      <c r="A972" s="28">
        <v>971.0</v>
      </c>
      <c r="B972" s="29"/>
      <c r="C972" s="29"/>
      <c r="D972" s="40">
        <v>1.0</v>
      </c>
      <c r="E972" s="31">
        <v>20.0</v>
      </c>
      <c r="F972" s="42">
        <v>129.0</v>
      </c>
      <c r="G972" s="29" t="str">
        <f t="shared" si="1"/>
        <v>20129</v>
      </c>
      <c r="H972" s="37" t="s">
        <v>991</v>
      </c>
      <c r="I972" s="37" t="s">
        <v>53</v>
      </c>
      <c r="J972" s="37" t="s">
        <v>612</v>
      </c>
      <c r="K972" s="37" t="str">
        <f t="shared" si="17"/>
        <v>Morton, KS</v>
      </c>
      <c r="L972" s="37">
        <v>2.0</v>
      </c>
      <c r="M972" s="37" t="s">
        <v>63</v>
      </c>
      <c r="N972" s="37">
        <v>2.0</v>
      </c>
      <c r="O972" s="37">
        <v>0.0</v>
      </c>
      <c r="P972" s="37" t="s">
        <v>63</v>
      </c>
      <c r="Q972" s="37">
        <v>0.0</v>
      </c>
      <c r="R972" s="37" t="s">
        <v>63</v>
      </c>
      <c r="S972" s="37" t="s">
        <v>63</v>
      </c>
      <c r="T972" s="69" t="s">
        <v>63</v>
      </c>
      <c r="U972" s="70" t="s">
        <v>63</v>
      </c>
      <c r="V972" s="37" t="s">
        <v>63</v>
      </c>
      <c r="W972" s="71" t="s">
        <v>63</v>
      </c>
      <c r="X972" s="72" t="s">
        <v>63</v>
      </c>
      <c r="Y972" s="53">
        <v>12.0</v>
      </c>
      <c r="Z972" s="69" t="s">
        <v>63</v>
      </c>
      <c r="AA972" s="73"/>
      <c r="AB972" s="73"/>
      <c r="AC972" s="73"/>
      <c r="AD972" s="73"/>
      <c r="AE972" s="73"/>
      <c r="AF972" s="73"/>
      <c r="AG972" s="73"/>
      <c r="AH972" s="73"/>
      <c r="AI972" s="73"/>
      <c r="AJ972" s="73"/>
      <c r="AK972" s="73"/>
    </row>
    <row r="973">
      <c r="A973" s="28">
        <v>972.0</v>
      </c>
      <c r="B973" s="29"/>
      <c r="C973" s="29"/>
      <c r="D973" s="40">
        <v>1.0</v>
      </c>
      <c r="E973" s="31">
        <v>20.0</v>
      </c>
      <c r="F973" s="42">
        <v>131.0</v>
      </c>
      <c r="G973" s="29" t="str">
        <f t="shared" si="1"/>
        <v>20131</v>
      </c>
      <c r="H973" s="37" t="s">
        <v>992</v>
      </c>
      <c r="I973" s="37" t="s">
        <v>53</v>
      </c>
      <c r="J973" s="37" t="s">
        <v>612</v>
      </c>
      <c r="K973" s="37" t="str">
        <f t="shared" si="17"/>
        <v>Nemaha, KS</v>
      </c>
      <c r="L973" s="37">
        <v>31.0</v>
      </c>
      <c r="M973" s="37" t="s">
        <v>63</v>
      </c>
      <c r="N973" s="37">
        <v>18.0</v>
      </c>
      <c r="O973" s="37">
        <v>12.0</v>
      </c>
      <c r="P973" s="37" t="s">
        <v>63</v>
      </c>
      <c r="Q973" s="37">
        <v>18.0</v>
      </c>
      <c r="R973" s="37" t="s">
        <v>63</v>
      </c>
      <c r="S973" s="37" t="s">
        <v>63</v>
      </c>
      <c r="T973" s="69" t="s">
        <v>63</v>
      </c>
      <c r="U973" s="70" t="s">
        <v>63</v>
      </c>
      <c r="V973" s="37" t="s">
        <v>63</v>
      </c>
      <c r="W973" s="71" t="s">
        <v>63</v>
      </c>
      <c r="X973" s="72" t="s">
        <v>63</v>
      </c>
      <c r="Y973" s="53">
        <v>22.0</v>
      </c>
      <c r="Z973" s="69" t="s">
        <v>63</v>
      </c>
      <c r="AA973" s="73"/>
      <c r="AB973" s="73"/>
      <c r="AC973" s="73"/>
      <c r="AD973" s="73"/>
      <c r="AE973" s="73"/>
      <c r="AF973" s="73"/>
      <c r="AG973" s="73"/>
      <c r="AH973" s="73"/>
      <c r="AI973" s="73"/>
      <c r="AJ973" s="73"/>
      <c r="AK973" s="73"/>
    </row>
    <row r="974">
      <c r="A974" s="28">
        <v>973.0</v>
      </c>
      <c r="B974" s="29"/>
      <c r="C974" s="29"/>
      <c r="D974" s="40">
        <v>1.0</v>
      </c>
      <c r="E974" s="31">
        <v>20.0</v>
      </c>
      <c r="F974" s="42">
        <v>133.0</v>
      </c>
      <c r="G974" s="29" t="str">
        <f t="shared" si="1"/>
        <v>20133</v>
      </c>
      <c r="H974" s="37" t="s">
        <v>993</v>
      </c>
      <c r="I974" s="37" t="s">
        <v>53</v>
      </c>
      <c r="J974" s="37" t="s">
        <v>612</v>
      </c>
      <c r="K974" s="37" t="str">
        <f t="shared" si="17"/>
        <v>Neosho, KS</v>
      </c>
      <c r="L974" s="37">
        <v>52.0</v>
      </c>
      <c r="M974" s="37" t="s">
        <v>63</v>
      </c>
      <c r="N974" s="37">
        <v>23.0</v>
      </c>
      <c r="O974" s="37">
        <v>23.0</v>
      </c>
      <c r="P974" s="37" t="s">
        <v>63</v>
      </c>
      <c r="Q974" s="37">
        <v>18.0</v>
      </c>
      <c r="R974" s="37" t="s">
        <v>63</v>
      </c>
      <c r="S974" s="37" t="s">
        <v>63</v>
      </c>
      <c r="T974" s="69" t="s">
        <v>63</v>
      </c>
      <c r="U974" s="70" t="s">
        <v>63</v>
      </c>
      <c r="V974" s="37" t="s">
        <v>63</v>
      </c>
      <c r="W974" s="71" t="s">
        <v>63</v>
      </c>
      <c r="X974" s="72" t="s">
        <v>63</v>
      </c>
      <c r="Y974" s="53">
        <v>25.0</v>
      </c>
      <c r="Z974" s="69" t="s">
        <v>63</v>
      </c>
      <c r="AA974" s="73"/>
      <c r="AB974" s="73"/>
      <c r="AC974" s="73"/>
      <c r="AD974" s="73"/>
      <c r="AE974" s="73"/>
      <c r="AF974" s="73"/>
      <c r="AG974" s="73"/>
      <c r="AH974" s="73"/>
      <c r="AI974" s="73"/>
      <c r="AJ974" s="73"/>
      <c r="AK974" s="73"/>
    </row>
    <row r="975">
      <c r="A975" s="28">
        <v>974.0</v>
      </c>
      <c r="B975" s="29"/>
      <c r="C975" s="29"/>
      <c r="D975" s="40">
        <v>1.0</v>
      </c>
      <c r="E975" s="31">
        <v>20.0</v>
      </c>
      <c r="F975" s="42">
        <v>135.0</v>
      </c>
      <c r="G975" s="29" t="str">
        <f t="shared" si="1"/>
        <v>20135</v>
      </c>
      <c r="H975" s="37" t="s">
        <v>994</v>
      </c>
      <c r="I975" s="37" t="s">
        <v>53</v>
      </c>
      <c r="J975" s="37" t="s">
        <v>612</v>
      </c>
      <c r="K975" s="37" t="str">
        <f t="shared" si="17"/>
        <v>Ness, KS</v>
      </c>
      <c r="L975" s="37">
        <v>1.0</v>
      </c>
      <c r="M975" s="37" t="s">
        <v>63</v>
      </c>
      <c r="N975" s="37">
        <v>0.0</v>
      </c>
      <c r="O975" s="37">
        <v>1.0</v>
      </c>
      <c r="P975" s="37" t="s">
        <v>63</v>
      </c>
      <c r="Q975" s="37">
        <v>0.0</v>
      </c>
      <c r="R975" s="37" t="s">
        <v>63</v>
      </c>
      <c r="S975" s="37" t="s">
        <v>63</v>
      </c>
      <c r="T975" s="69" t="s">
        <v>63</v>
      </c>
      <c r="U975" s="70" t="s">
        <v>63</v>
      </c>
      <c r="V975" s="37" t="s">
        <v>63</v>
      </c>
      <c r="W975" s="71" t="s">
        <v>63</v>
      </c>
      <c r="X975" s="72" t="s">
        <v>63</v>
      </c>
      <c r="Y975" s="53">
        <v>7.0</v>
      </c>
      <c r="Z975" s="69" t="s">
        <v>63</v>
      </c>
      <c r="AA975" s="73"/>
      <c r="AB975" s="73"/>
      <c r="AC975" s="73"/>
      <c r="AD975" s="73"/>
      <c r="AE975" s="73"/>
      <c r="AF975" s="73"/>
      <c r="AG975" s="73"/>
      <c r="AH975" s="73"/>
      <c r="AI975" s="73"/>
      <c r="AJ975" s="73"/>
      <c r="AK975" s="73"/>
    </row>
    <row r="976">
      <c r="A976" s="28">
        <v>975.0</v>
      </c>
      <c r="B976" s="29"/>
      <c r="C976" s="29"/>
      <c r="D976" s="40">
        <v>1.0</v>
      </c>
      <c r="E976" s="31">
        <v>20.0</v>
      </c>
      <c r="F976" s="42">
        <v>137.0</v>
      </c>
      <c r="G976" s="29" t="str">
        <f t="shared" si="1"/>
        <v>20137</v>
      </c>
      <c r="H976" s="37" t="s">
        <v>995</v>
      </c>
      <c r="I976" s="37" t="s">
        <v>53</v>
      </c>
      <c r="J976" s="37" t="s">
        <v>612</v>
      </c>
      <c r="K976" s="37" t="str">
        <f t="shared" si="17"/>
        <v>Norton, KS</v>
      </c>
      <c r="L976" s="37">
        <v>12.0</v>
      </c>
      <c r="M976" s="37" t="s">
        <v>63</v>
      </c>
      <c r="N976" s="37">
        <v>6.0</v>
      </c>
      <c r="O976" s="37">
        <v>3.0</v>
      </c>
      <c r="P976" s="37" t="s">
        <v>63</v>
      </c>
      <c r="Q976" s="37">
        <v>3.0</v>
      </c>
      <c r="R976" s="37" t="s">
        <v>63</v>
      </c>
      <c r="S976" s="37" t="s">
        <v>63</v>
      </c>
      <c r="T976" s="69" t="s">
        <v>63</v>
      </c>
      <c r="U976" s="70" t="s">
        <v>63</v>
      </c>
      <c r="V976" s="37" t="s">
        <v>63</v>
      </c>
      <c r="W976" s="71" t="s">
        <v>63</v>
      </c>
      <c r="X976" s="72" t="s">
        <v>63</v>
      </c>
      <c r="Y976" s="53">
        <v>16.0</v>
      </c>
      <c r="Z976" s="69" t="s">
        <v>63</v>
      </c>
      <c r="AA976" s="73"/>
      <c r="AB976" s="73"/>
      <c r="AC976" s="73"/>
      <c r="AD976" s="73"/>
      <c r="AE976" s="73"/>
      <c r="AF976" s="73"/>
      <c r="AG976" s="73"/>
      <c r="AH976" s="73"/>
      <c r="AI976" s="73"/>
      <c r="AJ976" s="73"/>
      <c r="AK976" s="73"/>
    </row>
    <row r="977">
      <c r="A977" s="28">
        <v>976.0</v>
      </c>
      <c r="B977" s="29"/>
      <c r="C977" s="29"/>
      <c r="D977" s="40">
        <v>1.0</v>
      </c>
      <c r="E977" s="31">
        <v>20.0</v>
      </c>
      <c r="F977" s="42">
        <v>139.0</v>
      </c>
      <c r="G977" s="29" t="str">
        <f t="shared" si="1"/>
        <v>20139</v>
      </c>
      <c r="H977" s="37" t="s">
        <v>996</v>
      </c>
      <c r="I977" s="37" t="s">
        <v>53</v>
      </c>
      <c r="J977" s="37" t="s">
        <v>612</v>
      </c>
      <c r="K977" s="37" t="str">
        <f t="shared" si="17"/>
        <v>Osage, KS</v>
      </c>
      <c r="L977" s="37">
        <v>27.0</v>
      </c>
      <c r="M977" s="37" t="s">
        <v>63</v>
      </c>
      <c r="N977" s="37">
        <v>10.0</v>
      </c>
      <c r="O977" s="37">
        <v>0.0</v>
      </c>
      <c r="P977" s="37" t="s">
        <v>63</v>
      </c>
      <c r="Q977" s="37">
        <v>18.0</v>
      </c>
      <c r="R977" s="37" t="s">
        <v>63</v>
      </c>
      <c r="S977" s="37" t="s">
        <v>63</v>
      </c>
      <c r="T977" s="69" t="s">
        <v>63</v>
      </c>
      <c r="U977" s="70" t="s">
        <v>63</v>
      </c>
      <c r="V977" s="37" t="s">
        <v>63</v>
      </c>
      <c r="W977" s="71" t="s">
        <v>63</v>
      </c>
      <c r="X977" s="72" t="s">
        <v>63</v>
      </c>
      <c r="Y977" s="53">
        <v>21.0</v>
      </c>
      <c r="Z977" s="69" t="s">
        <v>63</v>
      </c>
      <c r="AA977" s="73"/>
      <c r="AB977" s="73"/>
      <c r="AC977" s="73"/>
      <c r="AD977" s="73"/>
      <c r="AE977" s="73"/>
      <c r="AF977" s="73"/>
      <c r="AG977" s="73"/>
      <c r="AH977" s="73"/>
      <c r="AI977" s="73"/>
      <c r="AJ977" s="73"/>
      <c r="AK977" s="73"/>
    </row>
    <row r="978">
      <c r="A978" s="28">
        <v>977.0</v>
      </c>
      <c r="B978" s="29"/>
      <c r="C978" s="29"/>
      <c r="D978" s="40">
        <v>1.0</v>
      </c>
      <c r="E978" s="31">
        <v>20.0</v>
      </c>
      <c r="F978" s="42">
        <v>141.0</v>
      </c>
      <c r="G978" s="29" t="str">
        <f t="shared" si="1"/>
        <v>20141</v>
      </c>
      <c r="H978" s="37" t="s">
        <v>997</v>
      </c>
      <c r="I978" s="37" t="s">
        <v>53</v>
      </c>
      <c r="J978" s="37" t="s">
        <v>612</v>
      </c>
      <c r="K978" s="37" t="str">
        <f t="shared" si="17"/>
        <v>Osborne, KS</v>
      </c>
      <c r="L978" s="37">
        <v>3.0</v>
      </c>
      <c r="M978" s="37" t="s">
        <v>63</v>
      </c>
      <c r="N978" s="37">
        <v>3.0</v>
      </c>
      <c r="O978" s="37">
        <v>0.0</v>
      </c>
      <c r="P978" s="37" t="s">
        <v>63</v>
      </c>
      <c r="Q978" s="37">
        <v>5.0</v>
      </c>
      <c r="R978" s="37" t="s">
        <v>63</v>
      </c>
      <c r="S978" s="37" t="s">
        <v>63</v>
      </c>
      <c r="T978" s="69" t="s">
        <v>63</v>
      </c>
      <c r="U978" s="70" t="s">
        <v>63</v>
      </c>
      <c r="V978" s="37" t="s">
        <v>63</v>
      </c>
      <c r="W978" s="71" t="s">
        <v>63</v>
      </c>
      <c r="X978" s="72" t="s">
        <v>63</v>
      </c>
      <c r="Y978" s="53">
        <v>14.0</v>
      </c>
      <c r="Z978" s="69" t="s">
        <v>63</v>
      </c>
      <c r="AA978" s="73"/>
      <c r="AB978" s="73"/>
      <c r="AC978" s="73"/>
      <c r="AD978" s="73"/>
      <c r="AE978" s="73"/>
      <c r="AF978" s="73"/>
      <c r="AG978" s="73"/>
      <c r="AH978" s="73"/>
      <c r="AI978" s="73"/>
      <c r="AJ978" s="73"/>
      <c r="AK978" s="73"/>
    </row>
    <row r="979">
      <c r="A979" s="28">
        <v>978.0</v>
      </c>
      <c r="B979" s="29"/>
      <c r="C979" s="29"/>
      <c r="D979" s="40">
        <v>1.0</v>
      </c>
      <c r="E979" s="31">
        <v>20.0</v>
      </c>
      <c r="F979" s="42">
        <v>143.0</v>
      </c>
      <c r="G979" s="29" t="str">
        <f t="shared" si="1"/>
        <v>20143</v>
      </c>
      <c r="H979" s="37" t="s">
        <v>998</v>
      </c>
      <c r="I979" s="37" t="s">
        <v>53</v>
      </c>
      <c r="J979" s="37" t="s">
        <v>612</v>
      </c>
      <c r="K979" s="37" t="str">
        <f t="shared" si="17"/>
        <v>Ottawa, KS</v>
      </c>
      <c r="L979" s="37">
        <v>20.0</v>
      </c>
      <c r="M979" s="37" t="s">
        <v>63</v>
      </c>
      <c r="N979" s="37">
        <v>9.0</v>
      </c>
      <c r="O979" s="37">
        <v>10.0</v>
      </c>
      <c r="P979" s="37" t="s">
        <v>63</v>
      </c>
      <c r="Q979" s="37">
        <v>3.0</v>
      </c>
      <c r="R979" s="37" t="s">
        <v>63</v>
      </c>
      <c r="S979" s="37" t="s">
        <v>63</v>
      </c>
      <c r="T979" s="69" t="s">
        <v>63</v>
      </c>
      <c r="U979" s="70" t="s">
        <v>63</v>
      </c>
      <c r="V979" s="37" t="s">
        <v>63</v>
      </c>
      <c r="W979" s="71" t="s">
        <v>63</v>
      </c>
      <c r="X979" s="72" t="s">
        <v>63</v>
      </c>
      <c r="Y979" s="53">
        <v>10.0</v>
      </c>
      <c r="Z979" s="69" t="s">
        <v>63</v>
      </c>
      <c r="AA979" s="73"/>
      <c r="AB979" s="73"/>
      <c r="AC979" s="73"/>
      <c r="AD979" s="73"/>
      <c r="AE979" s="73"/>
      <c r="AF979" s="73"/>
      <c r="AG979" s="73"/>
      <c r="AH979" s="73"/>
      <c r="AI979" s="73"/>
      <c r="AJ979" s="73"/>
      <c r="AK979" s="73"/>
    </row>
    <row r="980">
      <c r="A980" s="28">
        <v>979.0</v>
      </c>
      <c r="B980" s="29"/>
      <c r="C980" s="29"/>
      <c r="D980" s="40">
        <v>1.0</v>
      </c>
      <c r="E980" s="31">
        <v>20.0</v>
      </c>
      <c r="F980" s="42">
        <v>145.0</v>
      </c>
      <c r="G980" s="29" t="str">
        <f t="shared" si="1"/>
        <v>20145</v>
      </c>
      <c r="H980" s="37" t="s">
        <v>999</v>
      </c>
      <c r="I980" s="37" t="s">
        <v>53</v>
      </c>
      <c r="J980" s="37" t="s">
        <v>612</v>
      </c>
      <c r="K980" s="37" t="str">
        <f t="shared" si="17"/>
        <v>Pawnee, KS</v>
      </c>
      <c r="L980" s="37">
        <v>21.0</v>
      </c>
      <c r="M980" s="37" t="s">
        <v>63</v>
      </c>
      <c r="N980" s="37">
        <v>16.0</v>
      </c>
      <c r="O980" s="37">
        <v>4.0</v>
      </c>
      <c r="P980" s="37" t="s">
        <v>63</v>
      </c>
      <c r="Q980" s="37">
        <v>4.0</v>
      </c>
      <c r="R980" s="37" t="s">
        <v>63</v>
      </c>
      <c r="S980" s="37" t="s">
        <v>63</v>
      </c>
      <c r="T980" s="69" t="s">
        <v>63</v>
      </c>
      <c r="U980" s="70" t="s">
        <v>63</v>
      </c>
      <c r="V980" s="37" t="s">
        <v>63</v>
      </c>
      <c r="W980" s="71" t="s">
        <v>63</v>
      </c>
      <c r="X980" s="72" t="s">
        <v>63</v>
      </c>
      <c r="Y980" s="53">
        <v>14.0</v>
      </c>
      <c r="Z980" s="69" t="s">
        <v>63</v>
      </c>
      <c r="AA980" s="73"/>
      <c r="AB980" s="73"/>
      <c r="AC980" s="73"/>
      <c r="AD980" s="73"/>
      <c r="AE980" s="73"/>
      <c r="AF980" s="73"/>
      <c r="AG980" s="73"/>
      <c r="AH980" s="73"/>
      <c r="AI980" s="73"/>
      <c r="AJ980" s="73"/>
      <c r="AK980" s="73"/>
    </row>
    <row r="981">
      <c r="A981" s="28">
        <v>980.0</v>
      </c>
      <c r="B981" s="29"/>
      <c r="C981" s="29"/>
      <c r="D981" s="40">
        <v>1.0</v>
      </c>
      <c r="E981" s="31">
        <v>20.0</v>
      </c>
      <c r="F981" s="42">
        <v>147.0</v>
      </c>
      <c r="G981" s="29" t="str">
        <f t="shared" si="1"/>
        <v>20147</v>
      </c>
      <c r="H981" s="37" t="s">
        <v>300</v>
      </c>
      <c r="I981" s="37" t="s">
        <v>53</v>
      </c>
      <c r="J981" s="37" t="s">
        <v>612</v>
      </c>
      <c r="K981" s="37" t="str">
        <f t="shared" si="17"/>
        <v>Phillips, KS</v>
      </c>
      <c r="L981" s="37">
        <v>12.0</v>
      </c>
      <c r="M981" s="37" t="s">
        <v>63</v>
      </c>
      <c r="N981" s="37">
        <v>5.0</v>
      </c>
      <c r="O981" s="37">
        <v>5.0</v>
      </c>
      <c r="P981" s="37" t="s">
        <v>63</v>
      </c>
      <c r="Q981" s="37">
        <v>7.0</v>
      </c>
      <c r="R981" s="37" t="s">
        <v>63</v>
      </c>
      <c r="S981" s="37" t="s">
        <v>63</v>
      </c>
      <c r="T981" s="69" t="s">
        <v>63</v>
      </c>
      <c r="U981" s="70" t="s">
        <v>63</v>
      </c>
      <c r="V981" s="37" t="s">
        <v>63</v>
      </c>
      <c r="W981" s="71" t="s">
        <v>63</v>
      </c>
      <c r="X981" s="72" t="s">
        <v>63</v>
      </c>
      <c r="Y981" s="53">
        <v>18.0</v>
      </c>
      <c r="Z981" s="69" t="s">
        <v>63</v>
      </c>
      <c r="AA981" s="73"/>
      <c r="AB981" s="73"/>
      <c r="AC981" s="73"/>
      <c r="AD981" s="73"/>
      <c r="AE981" s="73"/>
      <c r="AF981" s="73"/>
      <c r="AG981" s="73"/>
      <c r="AH981" s="73"/>
      <c r="AI981" s="73"/>
      <c r="AJ981" s="73"/>
      <c r="AK981" s="73"/>
    </row>
    <row r="982">
      <c r="A982" s="28">
        <v>981.0</v>
      </c>
      <c r="B982" s="29"/>
      <c r="C982" s="29"/>
      <c r="D982" s="40">
        <v>1.0</v>
      </c>
      <c r="E982" s="31">
        <v>20.0</v>
      </c>
      <c r="F982" s="42">
        <v>149.0</v>
      </c>
      <c r="G982" s="29" t="str">
        <f t="shared" si="1"/>
        <v>20149</v>
      </c>
      <c r="H982" s="37" t="s">
        <v>1000</v>
      </c>
      <c r="I982" s="37" t="s">
        <v>53</v>
      </c>
      <c r="J982" s="37" t="s">
        <v>612</v>
      </c>
      <c r="K982" s="136" t="str">
        <f t="shared" si="17"/>
        <v>Pottawatomie, KS</v>
      </c>
      <c r="L982" s="37">
        <v>37.0</v>
      </c>
      <c r="M982" s="37" t="s">
        <v>63</v>
      </c>
      <c r="N982" s="37">
        <v>16.0</v>
      </c>
      <c r="O982" s="37">
        <v>18.0</v>
      </c>
      <c r="P982" s="37" t="s">
        <v>63</v>
      </c>
      <c r="Q982" s="37">
        <v>25.0</v>
      </c>
      <c r="R982" s="37" t="s">
        <v>63</v>
      </c>
      <c r="S982" s="37" t="s">
        <v>63</v>
      </c>
      <c r="T982" s="69" t="s">
        <v>63</v>
      </c>
      <c r="U982" s="70" t="s">
        <v>63</v>
      </c>
      <c r="V982" s="37" t="s">
        <v>63</v>
      </c>
      <c r="W982" s="71" t="s">
        <v>63</v>
      </c>
      <c r="X982" s="72" t="s">
        <v>63</v>
      </c>
      <c r="Y982" s="53">
        <v>33.0</v>
      </c>
      <c r="Z982" s="69" t="s">
        <v>63</v>
      </c>
      <c r="AA982" s="73"/>
      <c r="AB982" s="73"/>
      <c r="AC982" s="73"/>
      <c r="AD982" s="73"/>
      <c r="AE982" s="73"/>
      <c r="AF982" s="73"/>
      <c r="AG982" s="73"/>
      <c r="AH982" s="73"/>
      <c r="AI982" s="73"/>
      <c r="AJ982" s="73"/>
      <c r="AK982" s="73"/>
    </row>
    <row r="983">
      <c r="A983" s="28">
        <v>982.0</v>
      </c>
      <c r="B983" s="29"/>
      <c r="C983" s="29"/>
      <c r="D983" s="40">
        <v>1.0</v>
      </c>
      <c r="E983" s="31">
        <v>20.0</v>
      </c>
      <c r="F983" s="42">
        <v>151.0</v>
      </c>
      <c r="G983" s="29" t="str">
        <f t="shared" si="1"/>
        <v>20151</v>
      </c>
      <c r="H983" s="37" t="s">
        <v>1001</v>
      </c>
      <c r="I983" s="37" t="s">
        <v>53</v>
      </c>
      <c r="J983" s="37" t="s">
        <v>612</v>
      </c>
      <c r="K983" s="37" t="str">
        <f t="shared" si="17"/>
        <v>Pratt, KS</v>
      </c>
      <c r="L983" s="37">
        <v>29.0</v>
      </c>
      <c r="M983" s="37" t="s">
        <v>63</v>
      </c>
      <c r="N983" s="37">
        <v>11.0</v>
      </c>
      <c r="O983" s="37">
        <v>13.0</v>
      </c>
      <c r="P983" s="37" t="s">
        <v>63</v>
      </c>
      <c r="Q983" s="37">
        <v>4.0</v>
      </c>
      <c r="R983" s="37" t="s">
        <v>63</v>
      </c>
      <c r="S983" s="37" t="s">
        <v>63</v>
      </c>
      <c r="T983" s="69" t="s">
        <v>63</v>
      </c>
      <c r="U983" s="70" t="s">
        <v>63</v>
      </c>
      <c r="V983" s="37" t="s">
        <v>63</v>
      </c>
      <c r="W983" s="71" t="s">
        <v>63</v>
      </c>
      <c r="X983" s="72" t="s">
        <v>63</v>
      </c>
      <c r="Y983" s="53">
        <v>16.0</v>
      </c>
      <c r="Z983" s="69" t="s">
        <v>63</v>
      </c>
      <c r="AA983" s="73"/>
      <c r="AB983" s="73"/>
      <c r="AC983" s="73"/>
      <c r="AD983" s="73"/>
      <c r="AE983" s="73"/>
      <c r="AF983" s="73"/>
      <c r="AG983" s="73"/>
      <c r="AH983" s="73"/>
      <c r="AI983" s="73"/>
      <c r="AJ983" s="73"/>
      <c r="AK983" s="73"/>
    </row>
    <row r="984">
      <c r="A984" s="28">
        <v>983.0</v>
      </c>
      <c r="B984" s="29"/>
      <c r="C984" s="29"/>
      <c r="D984" s="40">
        <v>1.0</v>
      </c>
      <c r="E984" s="31">
        <v>20.0</v>
      </c>
      <c r="F984" s="42">
        <v>153.0</v>
      </c>
      <c r="G984" s="29" t="str">
        <f t="shared" si="1"/>
        <v>20153</v>
      </c>
      <c r="H984" s="37" t="s">
        <v>1002</v>
      </c>
      <c r="I984" s="37" t="s">
        <v>53</v>
      </c>
      <c r="J984" s="37" t="s">
        <v>612</v>
      </c>
      <c r="K984" s="37" t="str">
        <f t="shared" si="17"/>
        <v>Rawlins, KS</v>
      </c>
      <c r="L984" s="37">
        <v>5.0</v>
      </c>
      <c r="M984" s="37" t="s">
        <v>63</v>
      </c>
      <c r="N984" s="37">
        <v>3.0</v>
      </c>
      <c r="O984" s="37">
        <v>0.0</v>
      </c>
      <c r="P984" s="37" t="s">
        <v>63</v>
      </c>
      <c r="Q984" s="37">
        <v>0.0</v>
      </c>
      <c r="R984" s="37" t="s">
        <v>63</v>
      </c>
      <c r="S984" s="37" t="s">
        <v>63</v>
      </c>
      <c r="T984" s="69" t="s">
        <v>63</v>
      </c>
      <c r="U984" s="70" t="s">
        <v>63</v>
      </c>
      <c r="V984" s="37" t="s">
        <v>63</v>
      </c>
      <c r="W984" s="71" t="s">
        <v>63</v>
      </c>
      <c r="X984" s="72" t="s">
        <v>63</v>
      </c>
      <c r="Y984" s="53">
        <v>7.0</v>
      </c>
      <c r="Z984" s="69" t="s">
        <v>63</v>
      </c>
      <c r="AA984" s="73"/>
      <c r="AB984" s="73"/>
      <c r="AC984" s="73"/>
      <c r="AD984" s="73"/>
      <c r="AE984" s="73"/>
      <c r="AF984" s="73"/>
      <c r="AG984" s="73"/>
      <c r="AH984" s="73"/>
      <c r="AI984" s="73"/>
      <c r="AJ984" s="73"/>
      <c r="AK984" s="73"/>
    </row>
    <row r="985">
      <c r="A985" s="28">
        <v>984.0</v>
      </c>
      <c r="B985" s="29"/>
      <c r="C985" s="29"/>
      <c r="D985" s="40">
        <v>1.0</v>
      </c>
      <c r="E985" s="31">
        <v>20.0</v>
      </c>
      <c r="F985" s="42">
        <v>155.0</v>
      </c>
      <c r="G985" s="29" t="str">
        <f t="shared" si="1"/>
        <v>20155</v>
      </c>
      <c r="H985" s="37" t="s">
        <v>1003</v>
      </c>
      <c r="I985" s="37" t="s">
        <v>53</v>
      </c>
      <c r="J985" s="37" t="s">
        <v>612</v>
      </c>
      <c r="K985" s="37" t="str">
        <f t="shared" si="17"/>
        <v>Reno, KS</v>
      </c>
      <c r="L985" s="37">
        <v>194.0</v>
      </c>
      <c r="M985" s="37" t="s">
        <v>63</v>
      </c>
      <c r="N985" s="37">
        <v>96.0</v>
      </c>
      <c r="O985" s="37">
        <v>62.0</v>
      </c>
      <c r="P985" s="37" t="s">
        <v>63</v>
      </c>
      <c r="Q985" s="37">
        <v>51.0</v>
      </c>
      <c r="R985" s="37" t="s">
        <v>63</v>
      </c>
      <c r="S985" s="37" t="s">
        <v>63</v>
      </c>
      <c r="T985" s="69" t="s">
        <v>63</v>
      </c>
      <c r="U985" s="70" t="s">
        <v>63</v>
      </c>
      <c r="V985" s="37" t="s">
        <v>63</v>
      </c>
      <c r="W985" s="71" t="s">
        <v>63</v>
      </c>
      <c r="X985" s="72" t="s">
        <v>63</v>
      </c>
      <c r="Y985" s="53">
        <v>76.0</v>
      </c>
      <c r="Z985" s="69" t="s">
        <v>63</v>
      </c>
      <c r="AA985" s="73"/>
      <c r="AB985" s="73"/>
      <c r="AC985" s="73"/>
      <c r="AD985" s="73"/>
      <c r="AE985" s="73"/>
      <c r="AF985" s="73"/>
      <c r="AG985" s="73"/>
      <c r="AH985" s="73"/>
      <c r="AI985" s="73"/>
      <c r="AJ985" s="73"/>
      <c r="AK985" s="73"/>
    </row>
    <row r="986">
      <c r="A986" s="28">
        <v>985.0</v>
      </c>
      <c r="B986" s="29"/>
      <c r="C986" s="29"/>
      <c r="D986" s="40">
        <v>1.0</v>
      </c>
      <c r="E986" s="31">
        <v>20.0</v>
      </c>
      <c r="F986" s="42">
        <v>157.0</v>
      </c>
      <c r="G986" s="29" t="str">
        <f t="shared" si="1"/>
        <v>20157</v>
      </c>
      <c r="H986" s="37" t="s">
        <v>1004</v>
      </c>
      <c r="I986" s="37" t="s">
        <v>53</v>
      </c>
      <c r="J986" s="37" t="s">
        <v>612</v>
      </c>
      <c r="K986" s="37" t="str">
        <f t="shared" si="17"/>
        <v>Republic, KS</v>
      </c>
      <c r="L986" s="37">
        <v>5.0</v>
      </c>
      <c r="M986" s="37" t="s">
        <v>63</v>
      </c>
      <c r="N986" s="37">
        <v>5.0</v>
      </c>
      <c r="O986" s="37">
        <v>0.0</v>
      </c>
      <c r="P986" s="37" t="s">
        <v>63</v>
      </c>
      <c r="Q986" s="37">
        <v>4.0</v>
      </c>
      <c r="R986" s="37" t="s">
        <v>63</v>
      </c>
      <c r="S986" s="37" t="s">
        <v>63</v>
      </c>
      <c r="T986" s="69" t="s">
        <v>63</v>
      </c>
      <c r="U986" s="70" t="s">
        <v>63</v>
      </c>
      <c r="V986" s="37" t="s">
        <v>63</v>
      </c>
      <c r="W986" s="71" t="s">
        <v>63</v>
      </c>
      <c r="X986" s="72" t="s">
        <v>63</v>
      </c>
      <c r="Y986" s="53">
        <v>16.0</v>
      </c>
      <c r="Z986" s="69" t="s">
        <v>63</v>
      </c>
      <c r="AA986" s="73"/>
      <c r="AB986" s="73"/>
      <c r="AC986" s="73"/>
      <c r="AD986" s="73"/>
      <c r="AE986" s="73"/>
      <c r="AF986" s="73"/>
      <c r="AG986" s="73"/>
      <c r="AH986" s="73"/>
      <c r="AI986" s="73"/>
      <c r="AJ986" s="73"/>
      <c r="AK986" s="73"/>
    </row>
    <row r="987">
      <c r="A987" s="28">
        <v>986.0</v>
      </c>
      <c r="B987" s="29"/>
      <c r="C987" s="29"/>
      <c r="D987" s="40">
        <v>1.0</v>
      </c>
      <c r="E987" s="31">
        <v>20.0</v>
      </c>
      <c r="F987" s="42">
        <v>159.0</v>
      </c>
      <c r="G987" s="29" t="str">
        <f t="shared" si="1"/>
        <v>20159</v>
      </c>
      <c r="H987" s="37" t="s">
        <v>1005</v>
      </c>
      <c r="I987" s="37" t="s">
        <v>53</v>
      </c>
      <c r="J987" s="37" t="s">
        <v>612</v>
      </c>
      <c r="K987" s="37" t="str">
        <f t="shared" si="17"/>
        <v>Rice, KS</v>
      </c>
      <c r="L987" s="37">
        <v>22.0</v>
      </c>
      <c r="M987" s="37" t="s">
        <v>63</v>
      </c>
      <c r="N987" s="37">
        <v>15.0</v>
      </c>
      <c r="O987" s="37">
        <v>2.0</v>
      </c>
      <c r="P987" s="37" t="s">
        <v>63</v>
      </c>
      <c r="Q987" s="37">
        <v>11.0</v>
      </c>
      <c r="R987" s="37" t="s">
        <v>63</v>
      </c>
      <c r="S987" s="37" t="s">
        <v>63</v>
      </c>
      <c r="T987" s="69" t="s">
        <v>63</v>
      </c>
      <c r="U987" s="70" t="s">
        <v>63</v>
      </c>
      <c r="V987" s="37" t="s">
        <v>63</v>
      </c>
      <c r="W987" s="71" t="s">
        <v>63</v>
      </c>
      <c r="X987" s="72" t="s">
        <v>63</v>
      </c>
      <c r="Y987" s="53">
        <v>33.0</v>
      </c>
      <c r="Z987" s="69" t="s">
        <v>63</v>
      </c>
      <c r="AA987" s="73"/>
      <c r="AB987" s="73"/>
      <c r="AC987" s="73"/>
      <c r="AD987" s="73"/>
      <c r="AE987" s="73"/>
      <c r="AF987" s="73"/>
      <c r="AG987" s="73"/>
      <c r="AH987" s="73"/>
      <c r="AI987" s="73"/>
      <c r="AJ987" s="73"/>
      <c r="AK987" s="73"/>
    </row>
    <row r="988">
      <c r="A988" s="28">
        <v>987.0</v>
      </c>
      <c r="B988" s="29"/>
      <c r="C988" s="29"/>
      <c r="D988" s="40">
        <v>1.0</v>
      </c>
      <c r="E988" s="31">
        <v>20.0</v>
      </c>
      <c r="F988" s="42">
        <v>161.0</v>
      </c>
      <c r="G988" s="29" t="str">
        <f t="shared" si="1"/>
        <v>20161</v>
      </c>
      <c r="H988" s="37" t="s">
        <v>1006</v>
      </c>
      <c r="I988" s="37" t="s">
        <v>53</v>
      </c>
      <c r="J988" s="37" t="s">
        <v>612</v>
      </c>
      <c r="K988" s="37" t="str">
        <f t="shared" si="17"/>
        <v>Riley, KS</v>
      </c>
      <c r="L988" s="37">
        <v>64.0</v>
      </c>
      <c r="M988" s="37" t="s">
        <v>63</v>
      </c>
      <c r="N988" s="37">
        <v>41.0</v>
      </c>
      <c r="O988" s="37">
        <v>14.0</v>
      </c>
      <c r="P988" s="37" t="s">
        <v>63</v>
      </c>
      <c r="Q988" s="37">
        <v>46.0</v>
      </c>
      <c r="R988" s="37" t="s">
        <v>63</v>
      </c>
      <c r="S988" s="37" t="s">
        <v>63</v>
      </c>
      <c r="T988" s="69" t="s">
        <v>63</v>
      </c>
      <c r="U988" s="70" t="s">
        <v>63</v>
      </c>
      <c r="V988" s="37" t="s">
        <v>63</v>
      </c>
      <c r="W988" s="71" t="s">
        <v>63</v>
      </c>
      <c r="X988" s="72" t="s">
        <v>63</v>
      </c>
      <c r="Y988" s="53">
        <v>57.0</v>
      </c>
      <c r="Z988" s="69" t="s">
        <v>63</v>
      </c>
      <c r="AA988" s="73"/>
      <c r="AB988" s="73"/>
      <c r="AC988" s="73"/>
      <c r="AD988" s="73"/>
      <c r="AE988" s="73"/>
      <c r="AF988" s="73"/>
      <c r="AG988" s="73"/>
      <c r="AH988" s="73"/>
      <c r="AI988" s="73"/>
      <c r="AJ988" s="73"/>
      <c r="AK988" s="73"/>
    </row>
    <row r="989">
      <c r="A989" s="28">
        <v>988.0</v>
      </c>
      <c r="B989" s="29"/>
      <c r="C989" s="29"/>
      <c r="D989" s="40">
        <v>1.0</v>
      </c>
      <c r="E989" s="31">
        <v>20.0</v>
      </c>
      <c r="F989" s="42">
        <v>163.0</v>
      </c>
      <c r="G989" s="29" t="str">
        <f t="shared" si="1"/>
        <v>20163</v>
      </c>
      <c r="H989" s="37" t="s">
        <v>1007</v>
      </c>
      <c r="I989" s="37" t="s">
        <v>53</v>
      </c>
      <c r="J989" s="37" t="s">
        <v>612</v>
      </c>
      <c r="K989" s="37" t="str">
        <f t="shared" si="17"/>
        <v>Rooks, KS</v>
      </c>
      <c r="L989" s="37">
        <v>15.0</v>
      </c>
      <c r="M989" s="37" t="s">
        <v>63</v>
      </c>
      <c r="N989" s="37">
        <v>1.0</v>
      </c>
      <c r="O989" s="37">
        <v>11.0</v>
      </c>
      <c r="P989" s="37" t="s">
        <v>63</v>
      </c>
      <c r="Q989" s="37">
        <v>1.0</v>
      </c>
      <c r="R989" s="37" t="s">
        <v>63</v>
      </c>
      <c r="S989" s="37" t="s">
        <v>63</v>
      </c>
      <c r="T989" s="69" t="s">
        <v>63</v>
      </c>
      <c r="U989" s="70" t="s">
        <v>63</v>
      </c>
      <c r="V989" s="37" t="s">
        <v>63</v>
      </c>
      <c r="W989" s="71" t="s">
        <v>63</v>
      </c>
      <c r="X989" s="72" t="s">
        <v>63</v>
      </c>
      <c r="Y989" s="53">
        <v>14.0</v>
      </c>
      <c r="Z989" s="69" t="s">
        <v>63</v>
      </c>
      <c r="AA989" s="73"/>
      <c r="AB989" s="73"/>
      <c r="AC989" s="73"/>
      <c r="AD989" s="73"/>
      <c r="AE989" s="73"/>
      <c r="AF989" s="73"/>
      <c r="AG989" s="73"/>
      <c r="AH989" s="73"/>
      <c r="AI989" s="73"/>
      <c r="AJ989" s="73"/>
      <c r="AK989" s="73"/>
    </row>
    <row r="990">
      <c r="A990" s="28">
        <v>989.0</v>
      </c>
      <c r="B990" s="29"/>
      <c r="C990" s="29"/>
      <c r="D990" s="40">
        <v>1.0</v>
      </c>
      <c r="E990" s="31">
        <v>20.0</v>
      </c>
      <c r="F990" s="42">
        <v>165.0</v>
      </c>
      <c r="G990" s="29" t="str">
        <f t="shared" si="1"/>
        <v>20165</v>
      </c>
      <c r="H990" s="37" t="s">
        <v>842</v>
      </c>
      <c r="I990" s="37" t="s">
        <v>53</v>
      </c>
      <c r="J990" s="37" t="s">
        <v>612</v>
      </c>
      <c r="K990" s="37" t="str">
        <f t="shared" si="17"/>
        <v>Rush, KS</v>
      </c>
      <c r="L990" s="37">
        <v>6.0</v>
      </c>
      <c r="M990" s="37" t="s">
        <v>63</v>
      </c>
      <c r="N990" s="37">
        <v>2.0</v>
      </c>
      <c r="O990" s="37">
        <v>4.0</v>
      </c>
      <c r="P990" s="37" t="s">
        <v>63</v>
      </c>
      <c r="Q990" s="37">
        <v>2.0</v>
      </c>
      <c r="R990" s="37" t="s">
        <v>63</v>
      </c>
      <c r="S990" s="37" t="s">
        <v>63</v>
      </c>
      <c r="T990" s="69" t="s">
        <v>63</v>
      </c>
      <c r="U990" s="70" t="s">
        <v>63</v>
      </c>
      <c r="V990" s="37" t="s">
        <v>63</v>
      </c>
      <c r="W990" s="71" t="s">
        <v>63</v>
      </c>
      <c r="X990" s="72" t="s">
        <v>63</v>
      </c>
      <c r="Y990" s="53">
        <v>11.0</v>
      </c>
      <c r="Z990" s="69" t="s">
        <v>63</v>
      </c>
      <c r="AA990" s="73"/>
      <c r="AB990" s="73"/>
      <c r="AC990" s="73"/>
      <c r="AD990" s="73"/>
      <c r="AE990" s="73"/>
      <c r="AF990" s="73"/>
      <c r="AG990" s="73"/>
      <c r="AH990" s="73"/>
      <c r="AI990" s="73"/>
      <c r="AJ990" s="73"/>
      <c r="AK990" s="73"/>
    </row>
    <row r="991">
      <c r="A991" s="28">
        <v>990.0</v>
      </c>
      <c r="B991" s="29"/>
      <c r="C991" s="29"/>
      <c r="D991" s="40">
        <v>1.0</v>
      </c>
      <c r="E991" s="31">
        <v>20.0</v>
      </c>
      <c r="F991" s="42">
        <v>167.0</v>
      </c>
      <c r="G991" s="29" t="str">
        <f t="shared" si="1"/>
        <v>20167</v>
      </c>
      <c r="H991" s="37" t="s">
        <v>165</v>
      </c>
      <c r="I991" s="37" t="s">
        <v>53</v>
      </c>
      <c r="J991" s="37" t="s">
        <v>612</v>
      </c>
      <c r="K991" s="37" t="str">
        <f t="shared" si="17"/>
        <v>Russell, KS</v>
      </c>
      <c r="L991" s="37">
        <v>20.0</v>
      </c>
      <c r="M991" s="37" t="s">
        <v>63</v>
      </c>
      <c r="N991" s="37">
        <v>11.0</v>
      </c>
      <c r="O991" s="37">
        <v>6.0</v>
      </c>
      <c r="P991" s="37" t="s">
        <v>63</v>
      </c>
      <c r="Q991" s="37">
        <v>7.0</v>
      </c>
      <c r="R991" s="37" t="s">
        <v>63</v>
      </c>
      <c r="S991" s="37" t="s">
        <v>63</v>
      </c>
      <c r="T991" s="69" t="s">
        <v>63</v>
      </c>
      <c r="U991" s="70" t="s">
        <v>63</v>
      </c>
      <c r="V991" s="37" t="s">
        <v>63</v>
      </c>
      <c r="W991" s="71" t="s">
        <v>63</v>
      </c>
      <c r="X991" s="72" t="s">
        <v>63</v>
      </c>
      <c r="Y991" s="53">
        <v>18.0</v>
      </c>
      <c r="Z991" s="69" t="s">
        <v>63</v>
      </c>
      <c r="AA991" s="73"/>
      <c r="AB991" s="73"/>
      <c r="AC991" s="73"/>
      <c r="AD991" s="73"/>
      <c r="AE991" s="73"/>
      <c r="AF991" s="73"/>
      <c r="AG991" s="73"/>
      <c r="AH991" s="73"/>
      <c r="AI991" s="73"/>
      <c r="AJ991" s="73"/>
      <c r="AK991" s="73"/>
    </row>
    <row r="992">
      <c r="A992" s="28">
        <v>991.0</v>
      </c>
      <c r="B992" s="29"/>
      <c r="C992" s="29"/>
      <c r="D992" s="40">
        <v>1.0</v>
      </c>
      <c r="E992" s="31">
        <v>20.0</v>
      </c>
      <c r="F992" s="42">
        <v>169.0</v>
      </c>
      <c r="G992" s="29" t="str">
        <f t="shared" si="1"/>
        <v>20169</v>
      </c>
      <c r="H992" s="37" t="s">
        <v>308</v>
      </c>
      <c r="I992" s="37" t="s">
        <v>53</v>
      </c>
      <c r="J992" s="37" t="s">
        <v>612</v>
      </c>
      <c r="K992" s="37" t="str">
        <f t="shared" si="17"/>
        <v>Saline, KS</v>
      </c>
      <c r="L992" s="37">
        <v>97.0</v>
      </c>
      <c r="M992" s="37" t="s">
        <v>63</v>
      </c>
      <c r="N992" s="37">
        <v>50.0</v>
      </c>
      <c r="O992" s="37">
        <v>25.0</v>
      </c>
      <c r="P992" s="37" t="s">
        <v>63</v>
      </c>
      <c r="Q992" s="37">
        <v>30.0</v>
      </c>
      <c r="R992" s="37" t="s">
        <v>63</v>
      </c>
      <c r="S992" s="37" t="s">
        <v>63</v>
      </c>
      <c r="T992" s="69" t="s">
        <v>63</v>
      </c>
      <c r="U992" s="70" t="s">
        <v>63</v>
      </c>
      <c r="V992" s="37" t="s">
        <v>63</v>
      </c>
      <c r="W992" s="71" t="s">
        <v>63</v>
      </c>
      <c r="X992" s="72" t="s">
        <v>63</v>
      </c>
      <c r="Y992" s="53">
        <v>54.0</v>
      </c>
      <c r="Z992" s="69" t="s">
        <v>63</v>
      </c>
      <c r="AA992" s="73"/>
      <c r="AB992" s="73"/>
      <c r="AC992" s="73"/>
      <c r="AD992" s="73"/>
      <c r="AE992" s="73"/>
      <c r="AF992" s="73"/>
      <c r="AG992" s="73"/>
      <c r="AH992" s="73"/>
      <c r="AI992" s="73"/>
      <c r="AJ992" s="73"/>
      <c r="AK992" s="73"/>
    </row>
    <row r="993">
      <c r="A993" s="28">
        <v>992.0</v>
      </c>
      <c r="B993" s="29"/>
      <c r="C993" s="29"/>
      <c r="D993" s="40">
        <v>1.0</v>
      </c>
      <c r="E993" s="31">
        <v>20.0</v>
      </c>
      <c r="F993" s="42">
        <v>171.0</v>
      </c>
      <c r="G993" s="29" t="str">
        <f t="shared" si="1"/>
        <v>20171</v>
      </c>
      <c r="H993" s="37" t="s">
        <v>309</v>
      </c>
      <c r="I993" s="37" t="s">
        <v>53</v>
      </c>
      <c r="J993" s="37" t="s">
        <v>612</v>
      </c>
      <c r="K993" s="37" t="str">
        <f t="shared" si="17"/>
        <v>Scott, KS</v>
      </c>
      <c r="L993" s="37">
        <v>21.0</v>
      </c>
      <c r="M993" s="37" t="s">
        <v>63</v>
      </c>
      <c r="N993" s="37">
        <v>16.0</v>
      </c>
      <c r="O993" s="37">
        <v>1.0</v>
      </c>
      <c r="P993" s="37" t="s">
        <v>63</v>
      </c>
      <c r="Q993" s="37">
        <v>7.0</v>
      </c>
      <c r="R993" s="37" t="s">
        <v>63</v>
      </c>
      <c r="S993" s="37" t="s">
        <v>63</v>
      </c>
      <c r="T993" s="69" t="s">
        <v>63</v>
      </c>
      <c r="U993" s="70" t="s">
        <v>63</v>
      </c>
      <c r="V993" s="37" t="s">
        <v>63</v>
      </c>
      <c r="W993" s="71" t="s">
        <v>63</v>
      </c>
      <c r="X993" s="72" t="s">
        <v>63</v>
      </c>
      <c r="Y993" s="53">
        <v>10.0</v>
      </c>
      <c r="Z993" s="69" t="s">
        <v>63</v>
      </c>
      <c r="AA993" s="73"/>
      <c r="AB993" s="73"/>
      <c r="AC993" s="73"/>
      <c r="AD993" s="73"/>
      <c r="AE993" s="73"/>
      <c r="AF993" s="73"/>
      <c r="AG993" s="73"/>
      <c r="AH993" s="73"/>
      <c r="AI993" s="73"/>
      <c r="AJ993" s="73"/>
      <c r="AK993" s="73"/>
    </row>
    <row r="994">
      <c r="A994" s="28">
        <v>993.0</v>
      </c>
      <c r="B994" s="29"/>
      <c r="C994" s="29"/>
      <c r="D994" s="40">
        <v>1.0</v>
      </c>
      <c r="E994" s="31">
        <v>20.0</v>
      </c>
      <c r="F994" s="42">
        <v>173.0</v>
      </c>
      <c r="G994" s="29" t="str">
        <f t="shared" si="1"/>
        <v>20173</v>
      </c>
      <c r="H994" s="37" t="s">
        <v>459</v>
      </c>
      <c r="I994" s="37" t="s">
        <v>53</v>
      </c>
      <c r="J994" s="37" t="s">
        <v>612</v>
      </c>
      <c r="K994" s="37" t="str">
        <f t="shared" si="17"/>
        <v>Sedgwick, KS</v>
      </c>
      <c r="L994" s="53">
        <v>1367.0</v>
      </c>
      <c r="M994" s="37" t="s">
        <v>63</v>
      </c>
      <c r="N994" s="37">
        <v>669.0</v>
      </c>
      <c r="O994" s="37">
        <v>549.0</v>
      </c>
      <c r="P994" s="37" t="s">
        <v>63</v>
      </c>
      <c r="Q994" s="37">
        <v>641.0</v>
      </c>
      <c r="R994" s="37" t="s">
        <v>63</v>
      </c>
      <c r="S994" s="37" t="s">
        <v>63</v>
      </c>
      <c r="T994" s="69" t="s">
        <v>63</v>
      </c>
      <c r="U994" s="70" t="s">
        <v>63</v>
      </c>
      <c r="V994" s="37" t="s">
        <v>63</v>
      </c>
      <c r="W994" s="71" t="s">
        <v>63</v>
      </c>
      <c r="X994" s="72" t="s">
        <v>63</v>
      </c>
      <c r="Y994" s="53">
        <v>388.0</v>
      </c>
      <c r="Z994" s="69" t="s">
        <v>63</v>
      </c>
      <c r="AA994" s="73"/>
      <c r="AB994" s="73"/>
      <c r="AC994" s="73"/>
      <c r="AD994" s="73"/>
      <c r="AE994" s="73"/>
      <c r="AF994" s="73"/>
      <c r="AG994" s="73"/>
      <c r="AH994" s="73"/>
      <c r="AI994" s="73"/>
      <c r="AJ994" s="73"/>
      <c r="AK994" s="73"/>
    </row>
    <row r="995">
      <c r="A995" s="28">
        <v>994.0</v>
      </c>
      <c r="B995" s="29"/>
      <c r="C995" s="29"/>
      <c r="D995" s="40">
        <v>1.0</v>
      </c>
      <c r="E995" s="31">
        <v>20.0</v>
      </c>
      <c r="F995" s="42">
        <v>175.0</v>
      </c>
      <c r="G995" s="29" t="str">
        <f t="shared" si="1"/>
        <v>20175</v>
      </c>
      <c r="H995" s="37" t="s">
        <v>1008</v>
      </c>
      <c r="I995" s="37" t="s">
        <v>53</v>
      </c>
      <c r="J995" s="37" t="s">
        <v>612</v>
      </c>
      <c r="K995" s="37" t="str">
        <f t="shared" si="17"/>
        <v>Seward, KS</v>
      </c>
      <c r="L995" s="37">
        <v>23.0</v>
      </c>
      <c r="M995" s="37" t="s">
        <v>63</v>
      </c>
      <c r="N995" s="37">
        <v>11.0</v>
      </c>
      <c r="O995" s="37">
        <v>8.0</v>
      </c>
      <c r="P995" s="37" t="s">
        <v>63</v>
      </c>
      <c r="Q995" s="37">
        <v>7.0</v>
      </c>
      <c r="R995" s="37" t="s">
        <v>63</v>
      </c>
      <c r="S995" s="37" t="s">
        <v>63</v>
      </c>
      <c r="T995" s="69" t="s">
        <v>63</v>
      </c>
      <c r="U995" s="70" t="s">
        <v>63</v>
      </c>
      <c r="V995" s="37" t="s">
        <v>63</v>
      </c>
      <c r="W995" s="71" t="s">
        <v>63</v>
      </c>
      <c r="X995" s="72" t="s">
        <v>63</v>
      </c>
      <c r="Y995" s="53">
        <v>24.0</v>
      </c>
      <c r="Z995" s="69" t="s">
        <v>63</v>
      </c>
      <c r="AA995" s="73"/>
      <c r="AB995" s="73"/>
      <c r="AC995" s="73"/>
      <c r="AD995" s="73"/>
      <c r="AE995" s="73"/>
      <c r="AF995" s="73"/>
      <c r="AG995" s="73"/>
      <c r="AH995" s="73"/>
      <c r="AI995" s="73"/>
      <c r="AJ995" s="73"/>
      <c r="AK995" s="73"/>
    </row>
    <row r="996">
      <c r="A996" s="28">
        <v>995.0</v>
      </c>
      <c r="B996" s="29"/>
      <c r="C996" s="29"/>
      <c r="D996" s="40">
        <v>1.0</v>
      </c>
      <c r="E996" s="31">
        <v>20.0</v>
      </c>
      <c r="F996" s="42">
        <v>177.0</v>
      </c>
      <c r="G996" s="29" t="str">
        <f t="shared" si="1"/>
        <v>20177</v>
      </c>
      <c r="H996" s="37" t="s">
        <v>1009</v>
      </c>
      <c r="I996" s="37" t="s">
        <v>53</v>
      </c>
      <c r="J996" s="37" t="s">
        <v>612</v>
      </c>
      <c r="K996" s="37" t="str">
        <f t="shared" si="17"/>
        <v>Shawnee, KS</v>
      </c>
      <c r="L996" s="53">
        <v>660.0</v>
      </c>
      <c r="M996" s="37" t="s">
        <v>63</v>
      </c>
      <c r="N996" s="37">
        <v>358.0</v>
      </c>
      <c r="O996" s="37">
        <v>214.0</v>
      </c>
      <c r="P996" s="37" t="s">
        <v>63</v>
      </c>
      <c r="Q996" s="37">
        <v>155.0</v>
      </c>
      <c r="R996" s="37" t="s">
        <v>63</v>
      </c>
      <c r="S996" s="37" t="s">
        <v>63</v>
      </c>
      <c r="T996" s="69" t="s">
        <v>63</v>
      </c>
      <c r="U996" s="70" t="s">
        <v>63</v>
      </c>
      <c r="V996" s="37" t="s">
        <v>63</v>
      </c>
      <c r="W996" s="71" t="s">
        <v>63</v>
      </c>
      <c r="X996" s="72" t="s">
        <v>63</v>
      </c>
      <c r="Y996" s="53">
        <v>184.0</v>
      </c>
      <c r="Z996" s="69" t="s">
        <v>63</v>
      </c>
      <c r="AA996" s="73"/>
      <c r="AB996" s="73"/>
      <c r="AC996" s="73"/>
      <c r="AD996" s="73"/>
      <c r="AE996" s="73"/>
      <c r="AF996" s="73"/>
      <c r="AG996" s="73"/>
      <c r="AH996" s="73"/>
      <c r="AI996" s="73"/>
      <c r="AJ996" s="73"/>
      <c r="AK996" s="73"/>
    </row>
    <row r="997">
      <c r="A997" s="28">
        <v>996.0</v>
      </c>
      <c r="B997" s="29"/>
      <c r="C997" s="29"/>
      <c r="D997" s="40">
        <v>1.0</v>
      </c>
      <c r="E997" s="31">
        <v>20.0</v>
      </c>
      <c r="F997" s="42">
        <v>179.0</v>
      </c>
      <c r="G997" s="29" t="str">
        <f t="shared" si="1"/>
        <v>20179</v>
      </c>
      <c r="H997" s="37" t="s">
        <v>1010</v>
      </c>
      <c r="I997" s="37" t="s">
        <v>53</v>
      </c>
      <c r="J997" s="37" t="s">
        <v>612</v>
      </c>
      <c r="K997" s="37" t="str">
        <f t="shared" si="17"/>
        <v>Sheridan, KS</v>
      </c>
      <c r="L997" s="37">
        <v>4.0</v>
      </c>
      <c r="M997" s="37" t="s">
        <v>63</v>
      </c>
      <c r="N997" s="37">
        <v>1.0</v>
      </c>
      <c r="O997" s="37">
        <v>3.0</v>
      </c>
      <c r="P997" s="37" t="s">
        <v>63</v>
      </c>
      <c r="Q997" s="37">
        <v>1.0</v>
      </c>
      <c r="R997" s="37" t="s">
        <v>63</v>
      </c>
      <c r="S997" s="37" t="s">
        <v>63</v>
      </c>
      <c r="T997" s="69" t="s">
        <v>63</v>
      </c>
      <c r="U997" s="70" t="s">
        <v>63</v>
      </c>
      <c r="V997" s="37" t="s">
        <v>63</v>
      </c>
      <c r="W997" s="71" t="s">
        <v>63</v>
      </c>
      <c r="X997" s="72" t="s">
        <v>63</v>
      </c>
      <c r="Y997" s="53">
        <v>10.0</v>
      </c>
      <c r="Z997" s="69" t="s">
        <v>63</v>
      </c>
      <c r="AA997" s="73"/>
      <c r="AB997" s="73"/>
      <c r="AC997" s="73"/>
      <c r="AD997" s="73"/>
      <c r="AE997" s="73"/>
      <c r="AF997" s="73"/>
      <c r="AG997" s="73"/>
      <c r="AH997" s="73"/>
      <c r="AI997" s="73"/>
      <c r="AJ997" s="73"/>
      <c r="AK997" s="73"/>
    </row>
    <row r="998">
      <c r="A998" s="28">
        <v>997.0</v>
      </c>
      <c r="B998" s="29"/>
      <c r="C998" s="29"/>
      <c r="D998" s="40">
        <v>1.0</v>
      </c>
      <c r="E998" s="31">
        <v>20.0</v>
      </c>
      <c r="F998" s="42">
        <v>181.0</v>
      </c>
      <c r="G998" s="29" t="str">
        <f t="shared" si="1"/>
        <v>20181</v>
      </c>
      <c r="H998" s="37" t="s">
        <v>1011</v>
      </c>
      <c r="I998" s="37" t="s">
        <v>53</v>
      </c>
      <c r="J998" s="37" t="s">
        <v>612</v>
      </c>
      <c r="K998" s="37" t="str">
        <f t="shared" si="17"/>
        <v>Sherman, KS</v>
      </c>
      <c r="L998" s="37">
        <v>26.0</v>
      </c>
      <c r="M998" s="37" t="s">
        <v>63</v>
      </c>
      <c r="N998" s="37">
        <v>16.0</v>
      </c>
      <c r="O998" s="37">
        <v>5.0</v>
      </c>
      <c r="P998" s="37" t="s">
        <v>63</v>
      </c>
      <c r="Q998" s="37">
        <v>3.0</v>
      </c>
      <c r="R998" s="37" t="s">
        <v>63</v>
      </c>
      <c r="S998" s="37" t="s">
        <v>63</v>
      </c>
      <c r="T998" s="69" t="s">
        <v>63</v>
      </c>
      <c r="U998" s="70" t="s">
        <v>63</v>
      </c>
      <c r="V998" s="37" t="s">
        <v>63</v>
      </c>
      <c r="W998" s="71" t="s">
        <v>63</v>
      </c>
      <c r="X998" s="72" t="s">
        <v>63</v>
      </c>
      <c r="Y998" s="53">
        <v>11.0</v>
      </c>
      <c r="Z998" s="69" t="s">
        <v>63</v>
      </c>
      <c r="AA998" s="73"/>
      <c r="AB998" s="73"/>
      <c r="AC998" s="73"/>
      <c r="AD998" s="73"/>
      <c r="AE998" s="73"/>
      <c r="AF998" s="73"/>
      <c r="AG998" s="73"/>
      <c r="AH998" s="73"/>
      <c r="AI998" s="73"/>
      <c r="AJ998" s="73"/>
      <c r="AK998" s="73"/>
    </row>
    <row r="999">
      <c r="A999" s="28">
        <v>998.0</v>
      </c>
      <c r="B999" s="29"/>
      <c r="C999" s="29"/>
      <c r="D999" s="40">
        <v>1.0</v>
      </c>
      <c r="E999" s="31">
        <v>20.0</v>
      </c>
      <c r="F999" s="42">
        <v>183.0</v>
      </c>
      <c r="G999" s="29" t="str">
        <f t="shared" si="1"/>
        <v>20183</v>
      </c>
      <c r="H999" s="37" t="s">
        <v>1012</v>
      </c>
      <c r="I999" s="37" t="s">
        <v>53</v>
      </c>
      <c r="J999" s="37" t="s">
        <v>612</v>
      </c>
      <c r="K999" s="37" t="str">
        <f t="shared" si="17"/>
        <v>Smith, KS</v>
      </c>
      <c r="L999" s="37">
        <v>4.0</v>
      </c>
      <c r="M999" s="37" t="s">
        <v>63</v>
      </c>
      <c r="N999" s="37">
        <v>2.0</v>
      </c>
      <c r="O999" s="37">
        <v>2.0</v>
      </c>
      <c r="P999" s="37" t="s">
        <v>63</v>
      </c>
      <c r="Q999" s="37">
        <v>6.0</v>
      </c>
      <c r="R999" s="37" t="s">
        <v>63</v>
      </c>
      <c r="S999" s="37" t="s">
        <v>63</v>
      </c>
      <c r="T999" s="69" t="s">
        <v>63</v>
      </c>
      <c r="U999" s="70" t="s">
        <v>63</v>
      </c>
      <c r="V999" s="37" t="s">
        <v>63</v>
      </c>
      <c r="W999" s="71" t="s">
        <v>63</v>
      </c>
      <c r="X999" s="72" t="s">
        <v>63</v>
      </c>
      <c r="Y999" s="53">
        <v>13.0</v>
      </c>
      <c r="Z999" s="69" t="s">
        <v>63</v>
      </c>
      <c r="AA999" s="73"/>
      <c r="AB999" s="73"/>
      <c r="AC999" s="73"/>
      <c r="AD999" s="73"/>
      <c r="AE999" s="73"/>
      <c r="AF999" s="73"/>
      <c r="AG999" s="73"/>
      <c r="AH999" s="73"/>
      <c r="AI999" s="73"/>
      <c r="AJ999" s="73"/>
      <c r="AK999" s="73"/>
    </row>
    <row r="1000">
      <c r="A1000" s="28">
        <v>999.0</v>
      </c>
      <c r="B1000" s="29"/>
      <c r="C1000" s="29"/>
      <c r="D1000" s="40">
        <v>1.0</v>
      </c>
      <c r="E1000" s="31">
        <v>20.0</v>
      </c>
      <c r="F1000" s="42">
        <v>185.0</v>
      </c>
      <c r="G1000" s="29" t="str">
        <f t="shared" si="1"/>
        <v>20185</v>
      </c>
      <c r="H1000" s="37" t="s">
        <v>1013</v>
      </c>
      <c r="I1000" s="37" t="s">
        <v>53</v>
      </c>
      <c r="J1000" s="37" t="s">
        <v>612</v>
      </c>
      <c r="K1000" s="37" t="str">
        <f t="shared" si="17"/>
        <v>Stafford, KS</v>
      </c>
      <c r="L1000" s="37">
        <v>13.0</v>
      </c>
      <c r="M1000" s="37" t="s">
        <v>63</v>
      </c>
      <c r="N1000" s="37">
        <v>6.0</v>
      </c>
      <c r="O1000" s="37">
        <v>4.0</v>
      </c>
      <c r="P1000" s="37" t="s">
        <v>63</v>
      </c>
      <c r="Q1000" s="37">
        <v>3.0</v>
      </c>
      <c r="R1000" s="37" t="s">
        <v>63</v>
      </c>
      <c r="S1000" s="37" t="s">
        <v>63</v>
      </c>
      <c r="T1000" s="69" t="s">
        <v>63</v>
      </c>
      <c r="U1000" s="70" t="s">
        <v>63</v>
      </c>
      <c r="V1000" s="37" t="s">
        <v>63</v>
      </c>
      <c r="W1000" s="71" t="s">
        <v>63</v>
      </c>
      <c r="X1000" s="72" t="s">
        <v>63</v>
      </c>
      <c r="Y1000" s="53">
        <v>17.0</v>
      </c>
      <c r="Z1000" s="69" t="s">
        <v>63</v>
      </c>
      <c r="AA1000" s="73"/>
      <c r="AB1000" s="73"/>
      <c r="AC1000" s="73"/>
      <c r="AD1000" s="73"/>
      <c r="AE1000" s="73"/>
      <c r="AF1000" s="73"/>
      <c r="AG1000" s="73"/>
      <c r="AH1000" s="73"/>
      <c r="AI1000" s="73"/>
      <c r="AJ1000" s="73"/>
      <c r="AK1000" s="73"/>
    </row>
    <row r="1001">
      <c r="A1001" s="28">
        <v>1000.0</v>
      </c>
      <c r="B1001" s="29"/>
      <c r="C1001" s="29"/>
      <c r="D1001" s="40">
        <v>1.0</v>
      </c>
      <c r="E1001" s="31">
        <v>20.0</v>
      </c>
      <c r="F1001" s="42">
        <v>187.0</v>
      </c>
      <c r="G1001" s="29" t="str">
        <f t="shared" si="1"/>
        <v>20187</v>
      </c>
      <c r="H1001" s="37" t="s">
        <v>1014</v>
      </c>
      <c r="I1001" s="37" t="s">
        <v>53</v>
      </c>
      <c r="J1001" s="37" t="s">
        <v>612</v>
      </c>
      <c r="K1001" s="37" t="str">
        <f t="shared" si="17"/>
        <v>Stanton, KS</v>
      </c>
      <c r="L1001" s="37">
        <v>2.0</v>
      </c>
      <c r="M1001" s="37" t="s">
        <v>63</v>
      </c>
      <c r="N1001" s="37">
        <v>1.0</v>
      </c>
      <c r="O1001" s="37">
        <v>1.0</v>
      </c>
      <c r="P1001" s="37" t="s">
        <v>63</v>
      </c>
      <c r="Q1001" s="37">
        <v>2.0</v>
      </c>
      <c r="R1001" s="37" t="s">
        <v>63</v>
      </c>
      <c r="S1001" s="37" t="s">
        <v>63</v>
      </c>
      <c r="T1001" s="69" t="s">
        <v>63</v>
      </c>
      <c r="U1001" s="70" t="s">
        <v>63</v>
      </c>
      <c r="V1001" s="37" t="s">
        <v>63</v>
      </c>
      <c r="W1001" s="71" t="s">
        <v>63</v>
      </c>
      <c r="X1001" s="72" t="s">
        <v>63</v>
      </c>
      <c r="Y1001" s="53">
        <v>7.0</v>
      </c>
      <c r="Z1001" s="69" t="s">
        <v>63</v>
      </c>
      <c r="AA1001" s="73"/>
      <c r="AB1001" s="73"/>
      <c r="AC1001" s="73"/>
      <c r="AD1001" s="73"/>
      <c r="AE1001" s="73"/>
      <c r="AF1001" s="73"/>
      <c r="AG1001" s="73"/>
      <c r="AH1001" s="73"/>
      <c r="AI1001" s="73"/>
      <c r="AJ1001" s="73"/>
      <c r="AK1001" s="73"/>
    </row>
    <row r="1002">
      <c r="A1002" s="28">
        <v>1001.0</v>
      </c>
      <c r="B1002" s="29"/>
      <c r="C1002" s="29"/>
      <c r="D1002" s="40">
        <v>1.0</v>
      </c>
      <c r="E1002" s="31">
        <v>20.0</v>
      </c>
      <c r="F1002" s="42">
        <v>189.0</v>
      </c>
      <c r="G1002" s="29" t="str">
        <f t="shared" si="1"/>
        <v>20189</v>
      </c>
      <c r="H1002" s="37" t="s">
        <v>1015</v>
      </c>
      <c r="I1002" s="37" t="s">
        <v>53</v>
      </c>
      <c r="J1002" s="37" t="s">
        <v>612</v>
      </c>
      <c r="K1002" s="37" t="str">
        <f t="shared" si="17"/>
        <v>Stevens, KS</v>
      </c>
      <c r="L1002" s="37">
        <v>4.0</v>
      </c>
      <c r="M1002" s="37" t="s">
        <v>63</v>
      </c>
      <c r="N1002" s="37">
        <v>1.0</v>
      </c>
      <c r="O1002" s="37">
        <v>2.0</v>
      </c>
      <c r="P1002" s="37" t="s">
        <v>63</v>
      </c>
      <c r="Q1002" s="37">
        <v>3.0</v>
      </c>
      <c r="R1002" s="37" t="s">
        <v>63</v>
      </c>
      <c r="S1002" s="37" t="s">
        <v>63</v>
      </c>
      <c r="T1002" s="69" t="s">
        <v>63</v>
      </c>
      <c r="U1002" s="70" t="s">
        <v>63</v>
      </c>
      <c r="V1002" s="37" t="s">
        <v>63</v>
      </c>
      <c r="W1002" s="71" t="s">
        <v>63</v>
      </c>
      <c r="X1002" s="72" t="s">
        <v>63</v>
      </c>
      <c r="Y1002" s="53">
        <v>14.0</v>
      </c>
      <c r="Z1002" s="69" t="s">
        <v>63</v>
      </c>
      <c r="AA1002" s="73"/>
      <c r="AB1002" s="73"/>
      <c r="AC1002" s="73"/>
      <c r="AD1002" s="73"/>
      <c r="AE1002" s="73"/>
      <c r="AF1002" s="73"/>
      <c r="AG1002" s="73"/>
      <c r="AH1002" s="73"/>
      <c r="AI1002" s="73"/>
      <c r="AJ1002" s="73"/>
      <c r="AK1002" s="73"/>
    </row>
    <row r="1003">
      <c r="A1003" s="28">
        <v>1002.0</v>
      </c>
      <c r="B1003" s="29"/>
      <c r="C1003" s="29"/>
      <c r="D1003" s="40">
        <v>1.0</v>
      </c>
      <c r="E1003" s="31">
        <v>20.0</v>
      </c>
      <c r="F1003" s="42">
        <v>191.0</v>
      </c>
      <c r="G1003" s="29" t="str">
        <f t="shared" si="1"/>
        <v>20191</v>
      </c>
      <c r="H1003" s="37" t="s">
        <v>1016</v>
      </c>
      <c r="I1003" s="37" t="s">
        <v>53</v>
      </c>
      <c r="J1003" s="37" t="s">
        <v>612</v>
      </c>
      <c r="K1003" s="37" t="str">
        <f t="shared" si="17"/>
        <v>Sumner, KS</v>
      </c>
      <c r="L1003" s="37">
        <v>80.0</v>
      </c>
      <c r="M1003" s="37" t="s">
        <v>63</v>
      </c>
      <c r="N1003" s="37">
        <v>21.0</v>
      </c>
      <c r="O1003" s="37">
        <v>47.0</v>
      </c>
      <c r="P1003" s="37" t="s">
        <v>63</v>
      </c>
      <c r="Q1003" s="37">
        <v>21.0</v>
      </c>
      <c r="R1003" s="37" t="s">
        <v>63</v>
      </c>
      <c r="S1003" s="37" t="s">
        <v>63</v>
      </c>
      <c r="T1003" s="69" t="s">
        <v>63</v>
      </c>
      <c r="U1003" s="70" t="s">
        <v>63</v>
      </c>
      <c r="V1003" s="37" t="s">
        <v>63</v>
      </c>
      <c r="W1003" s="71" t="s">
        <v>63</v>
      </c>
      <c r="X1003" s="72" t="s">
        <v>63</v>
      </c>
      <c r="Y1003" s="53">
        <v>51.0</v>
      </c>
      <c r="Z1003" s="69" t="s">
        <v>63</v>
      </c>
      <c r="AA1003" s="73"/>
      <c r="AB1003" s="73"/>
      <c r="AC1003" s="73"/>
      <c r="AD1003" s="73"/>
      <c r="AE1003" s="73"/>
      <c r="AF1003" s="73"/>
      <c r="AG1003" s="73"/>
      <c r="AH1003" s="73"/>
      <c r="AI1003" s="73"/>
      <c r="AJ1003" s="73"/>
      <c r="AK1003" s="73"/>
    </row>
    <row r="1004">
      <c r="A1004" s="28">
        <v>1003.0</v>
      </c>
      <c r="B1004" s="29"/>
      <c r="C1004" s="29"/>
      <c r="D1004" s="40">
        <v>1.0</v>
      </c>
      <c r="E1004" s="31">
        <v>20.0</v>
      </c>
      <c r="F1004" s="42">
        <v>193.0</v>
      </c>
      <c r="G1004" s="29" t="str">
        <f t="shared" si="1"/>
        <v>20193</v>
      </c>
      <c r="H1004" s="37" t="s">
        <v>636</v>
      </c>
      <c r="I1004" s="37" t="s">
        <v>53</v>
      </c>
      <c r="J1004" s="37" t="s">
        <v>612</v>
      </c>
      <c r="K1004" s="37" t="str">
        <f t="shared" si="17"/>
        <v>Thomas, KS</v>
      </c>
      <c r="L1004" s="37">
        <v>28.0</v>
      </c>
      <c r="M1004" s="37" t="s">
        <v>63</v>
      </c>
      <c r="N1004" s="37">
        <v>19.0</v>
      </c>
      <c r="O1004" s="37">
        <v>7.0</v>
      </c>
      <c r="P1004" s="37" t="s">
        <v>63</v>
      </c>
      <c r="Q1004" s="37">
        <v>3.0</v>
      </c>
      <c r="R1004" s="37" t="s">
        <v>63</v>
      </c>
      <c r="S1004" s="37" t="s">
        <v>63</v>
      </c>
      <c r="T1004" s="69" t="s">
        <v>63</v>
      </c>
      <c r="U1004" s="70" t="s">
        <v>63</v>
      </c>
      <c r="V1004" s="37" t="s">
        <v>63</v>
      </c>
      <c r="W1004" s="71" t="s">
        <v>63</v>
      </c>
      <c r="X1004" s="72" t="s">
        <v>63</v>
      </c>
      <c r="Y1004" s="53">
        <v>19.0</v>
      </c>
      <c r="Z1004" s="69" t="s">
        <v>63</v>
      </c>
      <c r="AA1004" s="73"/>
      <c r="AB1004" s="73"/>
      <c r="AC1004" s="73"/>
      <c r="AD1004" s="73"/>
      <c r="AE1004" s="73"/>
      <c r="AF1004" s="73"/>
      <c r="AG1004" s="73"/>
      <c r="AH1004" s="73"/>
      <c r="AI1004" s="73"/>
      <c r="AJ1004" s="73"/>
      <c r="AK1004" s="73"/>
    </row>
    <row r="1005">
      <c r="A1005" s="28">
        <v>1004.0</v>
      </c>
      <c r="B1005" s="29"/>
      <c r="C1005" s="29"/>
      <c r="D1005" s="40">
        <v>1.0</v>
      </c>
      <c r="E1005" s="31">
        <v>20.0</v>
      </c>
      <c r="F1005" s="42">
        <v>195.0</v>
      </c>
      <c r="G1005" s="29" t="str">
        <f t="shared" si="1"/>
        <v>20195</v>
      </c>
      <c r="H1005" s="37" t="s">
        <v>1017</v>
      </c>
      <c r="I1005" s="37" t="s">
        <v>53</v>
      </c>
      <c r="J1005" s="37" t="s">
        <v>612</v>
      </c>
      <c r="K1005" s="37" t="str">
        <f t="shared" si="17"/>
        <v>Trego, KS</v>
      </c>
      <c r="L1005" s="37">
        <v>4.0</v>
      </c>
      <c r="M1005" s="37" t="s">
        <v>63</v>
      </c>
      <c r="N1005" s="37">
        <v>4.0</v>
      </c>
      <c r="O1005" s="37">
        <v>0.0</v>
      </c>
      <c r="P1005" s="37" t="s">
        <v>63</v>
      </c>
      <c r="Q1005" s="37">
        <v>4.0</v>
      </c>
      <c r="R1005" s="37" t="s">
        <v>63</v>
      </c>
      <c r="S1005" s="37" t="s">
        <v>63</v>
      </c>
      <c r="T1005" s="69" t="s">
        <v>63</v>
      </c>
      <c r="U1005" s="70" t="s">
        <v>63</v>
      </c>
      <c r="V1005" s="37" t="s">
        <v>63</v>
      </c>
      <c r="W1005" s="71" t="s">
        <v>63</v>
      </c>
      <c r="X1005" s="72" t="s">
        <v>63</v>
      </c>
      <c r="Y1005" s="53">
        <v>8.0</v>
      </c>
      <c r="Z1005" s="69" t="s">
        <v>63</v>
      </c>
      <c r="AA1005" s="73"/>
      <c r="AB1005" s="73"/>
      <c r="AC1005" s="73"/>
      <c r="AD1005" s="73"/>
      <c r="AE1005" s="73"/>
      <c r="AF1005" s="73"/>
      <c r="AG1005" s="73"/>
      <c r="AH1005" s="73"/>
      <c r="AI1005" s="73"/>
      <c r="AJ1005" s="73"/>
      <c r="AK1005" s="73"/>
    </row>
    <row r="1006">
      <c r="A1006" s="28">
        <v>1005.0</v>
      </c>
      <c r="B1006" s="29"/>
      <c r="C1006" s="29"/>
      <c r="D1006" s="40">
        <v>1.0</v>
      </c>
      <c r="E1006" s="31">
        <v>20.0</v>
      </c>
      <c r="F1006" s="42">
        <v>197.0</v>
      </c>
      <c r="G1006" s="29" t="str">
        <f t="shared" si="1"/>
        <v>20197</v>
      </c>
      <c r="H1006" s="37" t="s">
        <v>1018</v>
      </c>
      <c r="I1006" s="37" t="s">
        <v>53</v>
      </c>
      <c r="J1006" s="37" t="s">
        <v>612</v>
      </c>
      <c r="K1006" s="37" t="str">
        <f t="shared" si="17"/>
        <v>Wabaunsee, KS</v>
      </c>
      <c r="L1006" s="37">
        <v>9.0</v>
      </c>
      <c r="M1006" s="37" t="s">
        <v>63</v>
      </c>
      <c r="N1006" s="37">
        <v>1.0</v>
      </c>
      <c r="O1006" s="37">
        <v>6.0</v>
      </c>
      <c r="P1006" s="37" t="s">
        <v>63</v>
      </c>
      <c r="Q1006" s="37">
        <v>3.0</v>
      </c>
      <c r="R1006" s="37" t="s">
        <v>63</v>
      </c>
      <c r="S1006" s="37" t="s">
        <v>63</v>
      </c>
      <c r="T1006" s="69" t="s">
        <v>63</v>
      </c>
      <c r="U1006" s="70" t="s">
        <v>63</v>
      </c>
      <c r="V1006" s="37" t="s">
        <v>63</v>
      </c>
      <c r="W1006" s="71" t="s">
        <v>63</v>
      </c>
      <c r="X1006" s="72" t="s">
        <v>63</v>
      </c>
      <c r="Y1006" s="53">
        <v>14.0</v>
      </c>
      <c r="Z1006" s="69" t="s">
        <v>63</v>
      </c>
      <c r="AA1006" s="73"/>
      <c r="AB1006" s="73"/>
      <c r="AC1006" s="73"/>
      <c r="AD1006" s="73"/>
      <c r="AE1006" s="73"/>
      <c r="AF1006" s="73"/>
      <c r="AG1006" s="73"/>
      <c r="AH1006" s="73"/>
      <c r="AI1006" s="73"/>
      <c r="AJ1006" s="73"/>
      <c r="AK1006" s="73"/>
    </row>
    <row r="1007">
      <c r="A1007" s="28">
        <v>1006.0</v>
      </c>
      <c r="B1007" s="29"/>
      <c r="C1007" s="29"/>
      <c r="D1007" s="40">
        <v>1.0</v>
      </c>
      <c r="E1007" s="31">
        <v>20.0</v>
      </c>
      <c r="F1007" s="42">
        <v>199.0</v>
      </c>
      <c r="G1007" s="29" t="str">
        <f t="shared" si="1"/>
        <v>20199</v>
      </c>
      <c r="H1007" s="37" t="s">
        <v>1019</v>
      </c>
      <c r="I1007" s="37" t="s">
        <v>53</v>
      </c>
      <c r="J1007" s="37" t="s">
        <v>612</v>
      </c>
      <c r="K1007" s="37" t="str">
        <f t="shared" si="17"/>
        <v>Wallace, KS</v>
      </c>
      <c r="L1007" s="37">
        <v>1.0</v>
      </c>
      <c r="M1007" s="37" t="s">
        <v>63</v>
      </c>
      <c r="N1007" s="37">
        <v>1.0</v>
      </c>
      <c r="O1007" s="37">
        <v>0.0</v>
      </c>
      <c r="P1007" s="37" t="s">
        <v>63</v>
      </c>
      <c r="Q1007" s="37">
        <v>0.0</v>
      </c>
      <c r="R1007" s="37" t="s">
        <v>63</v>
      </c>
      <c r="S1007" s="37" t="s">
        <v>63</v>
      </c>
      <c r="T1007" s="69" t="s">
        <v>63</v>
      </c>
      <c r="U1007" s="70" t="s">
        <v>63</v>
      </c>
      <c r="V1007" s="37" t="s">
        <v>63</v>
      </c>
      <c r="W1007" s="71" t="s">
        <v>63</v>
      </c>
      <c r="X1007" s="72" t="s">
        <v>63</v>
      </c>
      <c r="Y1007" s="53">
        <v>4.0</v>
      </c>
      <c r="Z1007" s="69" t="s">
        <v>63</v>
      </c>
      <c r="AA1007" s="73"/>
      <c r="AB1007" s="73"/>
      <c r="AC1007" s="73"/>
      <c r="AD1007" s="73"/>
      <c r="AE1007" s="73"/>
      <c r="AF1007" s="73"/>
      <c r="AG1007" s="73"/>
      <c r="AH1007" s="73"/>
      <c r="AI1007" s="73"/>
      <c r="AJ1007" s="73"/>
      <c r="AK1007" s="73"/>
    </row>
    <row r="1008">
      <c r="A1008" s="28">
        <v>1007.0</v>
      </c>
      <c r="B1008" s="29"/>
      <c r="C1008" s="29"/>
      <c r="D1008" s="40">
        <v>1.0</v>
      </c>
      <c r="E1008" s="31">
        <v>20.0</v>
      </c>
      <c r="F1008" s="42">
        <v>201.0</v>
      </c>
      <c r="G1008" s="29" t="str">
        <f t="shared" si="1"/>
        <v>20201</v>
      </c>
      <c r="H1008" s="37" t="s">
        <v>119</v>
      </c>
      <c r="I1008" s="37" t="s">
        <v>53</v>
      </c>
      <c r="J1008" s="37" t="s">
        <v>612</v>
      </c>
      <c r="K1008" s="37" t="str">
        <f t="shared" si="17"/>
        <v>Washington, KS</v>
      </c>
      <c r="L1008" s="37">
        <v>13.0</v>
      </c>
      <c r="M1008" s="37" t="s">
        <v>63</v>
      </c>
      <c r="N1008" s="37">
        <v>8.0</v>
      </c>
      <c r="O1008" s="37">
        <v>2.0</v>
      </c>
      <c r="P1008" s="37" t="s">
        <v>63</v>
      </c>
      <c r="Q1008" s="37">
        <v>1.0</v>
      </c>
      <c r="R1008" s="37" t="s">
        <v>63</v>
      </c>
      <c r="S1008" s="37" t="s">
        <v>63</v>
      </c>
      <c r="T1008" s="69" t="s">
        <v>63</v>
      </c>
      <c r="U1008" s="70" t="s">
        <v>63</v>
      </c>
      <c r="V1008" s="37" t="s">
        <v>63</v>
      </c>
      <c r="W1008" s="71" t="s">
        <v>63</v>
      </c>
      <c r="X1008" s="72" t="s">
        <v>63</v>
      </c>
      <c r="Y1008" s="53">
        <v>16.0</v>
      </c>
      <c r="Z1008" s="69" t="s">
        <v>63</v>
      </c>
      <c r="AA1008" s="73"/>
      <c r="AB1008" s="73"/>
      <c r="AC1008" s="73"/>
      <c r="AD1008" s="73"/>
      <c r="AE1008" s="73"/>
      <c r="AF1008" s="73"/>
      <c r="AG1008" s="73"/>
      <c r="AH1008" s="73"/>
      <c r="AI1008" s="73"/>
      <c r="AJ1008" s="73"/>
      <c r="AK1008" s="73"/>
    </row>
    <row r="1009">
      <c r="A1009" s="28">
        <v>1008.0</v>
      </c>
      <c r="B1009" s="29"/>
      <c r="C1009" s="29"/>
      <c r="D1009" s="40">
        <v>1.0</v>
      </c>
      <c r="E1009" s="31">
        <v>20.0</v>
      </c>
      <c r="F1009" s="42">
        <v>203.0</v>
      </c>
      <c r="G1009" s="29" t="str">
        <f t="shared" si="1"/>
        <v>20203</v>
      </c>
      <c r="H1009" s="37" t="s">
        <v>1020</v>
      </c>
      <c r="I1009" s="37" t="s">
        <v>53</v>
      </c>
      <c r="J1009" s="37" t="s">
        <v>612</v>
      </c>
      <c r="K1009" s="37" t="str">
        <f t="shared" si="17"/>
        <v>Wichita, KS</v>
      </c>
      <c r="L1009" s="37">
        <v>1.0</v>
      </c>
      <c r="M1009" s="37" t="s">
        <v>63</v>
      </c>
      <c r="N1009" s="37">
        <v>0.0</v>
      </c>
      <c r="O1009" s="37">
        <v>0.0</v>
      </c>
      <c r="P1009" s="37" t="s">
        <v>63</v>
      </c>
      <c r="Q1009" s="37">
        <v>1.0</v>
      </c>
      <c r="R1009" s="37" t="s">
        <v>63</v>
      </c>
      <c r="S1009" s="37" t="s">
        <v>63</v>
      </c>
      <c r="T1009" s="69" t="s">
        <v>63</v>
      </c>
      <c r="U1009" s="70" t="s">
        <v>63</v>
      </c>
      <c r="V1009" s="37" t="s">
        <v>63</v>
      </c>
      <c r="W1009" s="71" t="s">
        <v>63</v>
      </c>
      <c r="X1009" s="72" t="s">
        <v>63</v>
      </c>
      <c r="Y1009" s="53">
        <v>8.0</v>
      </c>
      <c r="Z1009" s="69" t="s">
        <v>63</v>
      </c>
      <c r="AA1009" s="73"/>
      <c r="AB1009" s="73"/>
      <c r="AC1009" s="73"/>
      <c r="AD1009" s="73"/>
      <c r="AE1009" s="73"/>
      <c r="AF1009" s="73"/>
      <c r="AG1009" s="73"/>
      <c r="AH1009" s="73"/>
      <c r="AI1009" s="73"/>
      <c r="AJ1009" s="73"/>
      <c r="AK1009" s="73"/>
    </row>
    <row r="1010">
      <c r="A1010" s="28">
        <v>1009.0</v>
      </c>
      <c r="B1010" s="29"/>
      <c r="C1010" s="29"/>
      <c r="D1010" s="40">
        <v>1.0</v>
      </c>
      <c r="E1010" s="31">
        <v>20.0</v>
      </c>
      <c r="F1010" s="42">
        <v>205.0</v>
      </c>
      <c r="G1010" s="29" t="str">
        <f t="shared" si="1"/>
        <v>20205</v>
      </c>
      <c r="H1010" s="37" t="s">
        <v>1021</v>
      </c>
      <c r="I1010" s="37" t="s">
        <v>53</v>
      </c>
      <c r="J1010" s="37" t="s">
        <v>612</v>
      </c>
      <c r="K1010" s="37" t="str">
        <f t="shared" si="17"/>
        <v>Wilson, KS</v>
      </c>
      <c r="L1010" s="37">
        <v>26.0</v>
      </c>
      <c r="M1010" s="37" t="s">
        <v>63</v>
      </c>
      <c r="N1010" s="37">
        <v>14.0</v>
      </c>
      <c r="O1010" s="37">
        <v>9.0</v>
      </c>
      <c r="P1010" s="37" t="s">
        <v>63</v>
      </c>
      <c r="Q1010" s="37">
        <v>15.0</v>
      </c>
      <c r="R1010" s="37" t="s">
        <v>63</v>
      </c>
      <c r="S1010" s="37" t="s">
        <v>63</v>
      </c>
      <c r="T1010" s="69" t="s">
        <v>63</v>
      </c>
      <c r="U1010" s="70" t="s">
        <v>63</v>
      </c>
      <c r="V1010" s="37" t="s">
        <v>63</v>
      </c>
      <c r="W1010" s="71" t="s">
        <v>63</v>
      </c>
      <c r="X1010" s="72" t="s">
        <v>63</v>
      </c>
      <c r="Y1010" s="53">
        <v>20.0</v>
      </c>
      <c r="Z1010" s="69" t="s">
        <v>63</v>
      </c>
      <c r="AA1010" s="73"/>
      <c r="AB1010" s="73"/>
      <c r="AC1010" s="73"/>
      <c r="AD1010" s="73"/>
      <c r="AE1010" s="73"/>
      <c r="AF1010" s="73"/>
      <c r="AG1010" s="73"/>
      <c r="AH1010" s="73"/>
      <c r="AI1010" s="73"/>
      <c r="AJ1010" s="73"/>
      <c r="AK1010" s="73"/>
    </row>
    <row r="1011">
      <c r="A1011" s="28">
        <v>1010.0</v>
      </c>
      <c r="B1011" s="29"/>
      <c r="C1011" s="29"/>
      <c r="D1011" s="40">
        <v>1.0</v>
      </c>
      <c r="E1011" s="31">
        <v>20.0</v>
      </c>
      <c r="F1011" s="42">
        <v>207.0</v>
      </c>
      <c r="G1011" s="29" t="str">
        <f t="shared" si="1"/>
        <v>20207</v>
      </c>
      <c r="H1011" s="37" t="s">
        <v>1022</v>
      </c>
      <c r="I1011" s="37" t="s">
        <v>53</v>
      </c>
      <c r="J1011" s="37" t="s">
        <v>612</v>
      </c>
      <c r="K1011" s="37" t="str">
        <f t="shared" si="17"/>
        <v>Woodson, KS</v>
      </c>
      <c r="L1011" s="37">
        <v>9.0</v>
      </c>
      <c r="M1011" s="37" t="s">
        <v>63</v>
      </c>
      <c r="N1011" s="37">
        <v>8.0</v>
      </c>
      <c r="O1011" s="37">
        <v>1.0</v>
      </c>
      <c r="P1011" s="37" t="s">
        <v>63</v>
      </c>
      <c r="Q1011" s="37">
        <v>3.0</v>
      </c>
      <c r="R1011" s="37" t="s">
        <v>63</v>
      </c>
      <c r="S1011" s="37" t="s">
        <v>63</v>
      </c>
      <c r="T1011" s="69" t="s">
        <v>63</v>
      </c>
      <c r="U1011" s="70" t="s">
        <v>63</v>
      </c>
      <c r="V1011" s="37" t="s">
        <v>63</v>
      </c>
      <c r="W1011" s="71" t="s">
        <v>63</v>
      </c>
      <c r="X1011" s="72" t="s">
        <v>63</v>
      </c>
      <c r="Y1011" s="53">
        <v>5.0</v>
      </c>
      <c r="Z1011" s="69" t="s">
        <v>63</v>
      </c>
      <c r="AA1011" s="73"/>
      <c r="AB1011" s="73"/>
      <c r="AC1011" s="73"/>
      <c r="AD1011" s="73"/>
      <c r="AE1011" s="73"/>
      <c r="AF1011" s="73"/>
      <c r="AG1011" s="73"/>
      <c r="AH1011" s="73"/>
      <c r="AI1011" s="73"/>
      <c r="AJ1011" s="73"/>
      <c r="AK1011" s="73"/>
    </row>
    <row r="1012">
      <c r="A1012" s="28">
        <v>1011.0</v>
      </c>
      <c r="B1012" s="29"/>
      <c r="C1012" s="29"/>
      <c r="D1012" s="40">
        <v>1.0</v>
      </c>
      <c r="E1012" s="31">
        <v>20.0</v>
      </c>
      <c r="F1012" s="42">
        <v>209.0</v>
      </c>
      <c r="G1012" s="29" t="str">
        <f t="shared" si="1"/>
        <v>20209</v>
      </c>
      <c r="H1012" s="37" t="s">
        <v>1023</v>
      </c>
      <c r="I1012" s="37" t="s">
        <v>53</v>
      </c>
      <c r="J1012" s="37" t="s">
        <v>612</v>
      </c>
      <c r="K1012" s="37" t="str">
        <f t="shared" si="17"/>
        <v>Wyandotte, KS</v>
      </c>
      <c r="L1012" s="37">
        <v>295.0</v>
      </c>
      <c r="M1012" s="37" t="s">
        <v>63</v>
      </c>
      <c r="N1012" s="37">
        <v>133.0</v>
      </c>
      <c r="O1012" s="37">
        <v>98.0</v>
      </c>
      <c r="P1012" s="37" t="s">
        <v>63</v>
      </c>
      <c r="Q1012" s="37">
        <v>71.0</v>
      </c>
      <c r="R1012" s="37" t="s">
        <v>63</v>
      </c>
      <c r="S1012" s="37" t="s">
        <v>63</v>
      </c>
      <c r="T1012" s="69" t="s">
        <v>63</v>
      </c>
      <c r="U1012" s="70" t="s">
        <v>63</v>
      </c>
      <c r="V1012" s="37" t="s">
        <v>63</v>
      </c>
      <c r="W1012" s="71" t="s">
        <v>63</v>
      </c>
      <c r="X1012" s="72" t="s">
        <v>63</v>
      </c>
      <c r="Y1012" s="53">
        <v>182.0</v>
      </c>
      <c r="Z1012" s="69" t="s">
        <v>63</v>
      </c>
      <c r="AA1012" s="73"/>
      <c r="AB1012" s="73"/>
      <c r="AC1012" s="73"/>
      <c r="AD1012" s="73"/>
      <c r="AE1012" s="73"/>
      <c r="AF1012" s="73"/>
      <c r="AG1012" s="73"/>
      <c r="AH1012" s="73"/>
      <c r="AI1012" s="73"/>
      <c r="AJ1012" s="73"/>
      <c r="AK1012" s="73"/>
    </row>
    <row r="1013">
      <c r="A1013" s="99">
        <v>1012.0</v>
      </c>
      <c r="B1013" s="15"/>
      <c r="C1013" s="14" t="s">
        <v>25</v>
      </c>
      <c r="D1013" s="16"/>
      <c r="E1013" s="102">
        <v>21.0</v>
      </c>
      <c r="F1013" s="107">
        <v>0.0</v>
      </c>
      <c r="G1013" s="15" t="str">
        <f t="shared" si="1"/>
        <v>21000</v>
      </c>
      <c r="H1013" s="23"/>
      <c r="I1013" s="23" t="s">
        <v>54</v>
      </c>
      <c r="J1013" s="23" t="s">
        <v>531</v>
      </c>
      <c r="K1013" s="23"/>
      <c r="L1013" s="123">
        <f t="array" ref="L1013:Z1013">Kentucky!C124:Q124</f>
        <v>7996</v>
      </c>
      <c r="M1013" s="23" t="s">
        <v>63</v>
      </c>
      <c r="N1013" s="123">
        <v>2622.0</v>
      </c>
      <c r="O1013" s="23">
        <v>996.0</v>
      </c>
      <c r="P1013" s="23" t="s">
        <v>63</v>
      </c>
      <c r="Q1013" s="123">
        <v>5185.0</v>
      </c>
      <c r="R1013" s="123">
        <v>2466.0</v>
      </c>
      <c r="S1013" s="123" t="s">
        <v>63</v>
      </c>
      <c r="T1013" s="32" t="s">
        <v>63</v>
      </c>
      <c r="U1013" s="123" t="s">
        <v>63</v>
      </c>
      <c r="V1013" s="23" t="s">
        <v>63</v>
      </c>
      <c r="W1013" s="23" t="s">
        <v>63</v>
      </c>
      <c r="X1013" s="23" t="s">
        <v>63</v>
      </c>
      <c r="Y1013" s="35">
        <v>4936.0</v>
      </c>
      <c r="Z1013" s="32" t="s">
        <v>63</v>
      </c>
      <c r="AA1013" s="38"/>
      <c r="AB1013" s="38"/>
      <c r="AC1013" s="38"/>
      <c r="AD1013" s="38"/>
      <c r="AE1013" s="38"/>
      <c r="AF1013" s="38"/>
      <c r="AG1013" s="38"/>
      <c r="AH1013" s="38"/>
      <c r="AI1013" s="38"/>
      <c r="AJ1013" s="38"/>
      <c r="AK1013" s="38"/>
    </row>
    <row r="1014">
      <c r="A1014" s="99">
        <v>1013.0</v>
      </c>
      <c r="B1014" s="15"/>
      <c r="C1014" s="15"/>
      <c r="D1014" s="105">
        <v>1.0</v>
      </c>
      <c r="E1014" s="102">
        <v>21.0</v>
      </c>
      <c r="F1014" s="107">
        <v>1.0</v>
      </c>
      <c r="G1014" s="15" t="str">
        <f t="shared" si="1"/>
        <v>21001</v>
      </c>
      <c r="H1014" s="23" t="s">
        <v>882</v>
      </c>
      <c r="I1014" s="23" t="s">
        <v>54</v>
      </c>
      <c r="J1014" s="23" t="s">
        <v>531</v>
      </c>
      <c r="K1014" s="23" t="str">
        <f t="shared" ref="K1014:K1133" si="18">CONCATENATE(H1014,", ",J1014)</f>
        <v>Adair, KY</v>
      </c>
      <c r="L1014" s="23">
        <f t="array" ref="L1014:Z1133">Kentucky!C3:Q122</f>
        <v>29</v>
      </c>
      <c r="M1014" s="23" t="s">
        <v>63</v>
      </c>
      <c r="N1014" s="23">
        <v>11.0</v>
      </c>
      <c r="O1014" s="23">
        <v>2.0</v>
      </c>
      <c r="P1014" s="23" t="s">
        <v>63</v>
      </c>
      <c r="Q1014" s="23" t="s">
        <v>63</v>
      </c>
      <c r="R1014" s="23">
        <v>8.0</v>
      </c>
      <c r="S1014" s="23" t="s">
        <v>63</v>
      </c>
      <c r="T1014" s="32" t="s">
        <v>63</v>
      </c>
      <c r="U1014" s="123" t="s">
        <v>63</v>
      </c>
      <c r="V1014" s="23" t="s">
        <v>63</v>
      </c>
      <c r="W1014" s="23" t="s">
        <v>63</v>
      </c>
      <c r="X1014" s="23" t="s">
        <v>63</v>
      </c>
      <c r="Y1014" s="35">
        <v>28.0</v>
      </c>
      <c r="Z1014" s="32" t="s">
        <v>63</v>
      </c>
      <c r="AA1014" s="38"/>
      <c r="AB1014" s="38"/>
      <c r="AC1014" s="38"/>
      <c r="AD1014" s="38"/>
      <c r="AE1014" s="38"/>
      <c r="AF1014" s="38"/>
      <c r="AG1014" s="38"/>
      <c r="AH1014" s="38"/>
      <c r="AI1014" s="38"/>
      <c r="AJ1014" s="38"/>
      <c r="AK1014" s="38"/>
    </row>
    <row r="1015">
      <c r="A1015" s="99">
        <v>1014.0</v>
      </c>
      <c r="B1015" s="15"/>
      <c r="C1015" s="15"/>
      <c r="D1015" s="105">
        <v>1.0</v>
      </c>
      <c r="E1015" s="102">
        <v>21.0</v>
      </c>
      <c r="F1015" s="107">
        <v>3.0</v>
      </c>
      <c r="G1015" s="15" t="str">
        <f t="shared" si="1"/>
        <v>21003</v>
      </c>
      <c r="H1015" s="23" t="s">
        <v>755</v>
      </c>
      <c r="I1015" s="23" t="s">
        <v>54</v>
      </c>
      <c r="J1015" s="23" t="s">
        <v>531</v>
      </c>
      <c r="K1015" s="23" t="str">
        <f t="shared" si="18"/>
        <v>Allen, KY</v>
      </c>
      <c r="L1015" s="23">
        <v>59.0</v>
      </c>
      <c r="M1015" s="23" t="s">
        <v>63</v>
      </c>
      <c r="N1015" s="23">
        <v>34.0</v>
      </c>
      <c r="O1015" s="23">
        <v>7.0</v>
      </c>
      <c r="P1015" s="23" t="s">
        <v>63</v>
      </c>
      <c r="Q1015" s="23" t="s">
        <v>63</v>
      </c>
      <c r="R1015" s="23">
        <v>17.0</v>
      </c>
      <c r="S1015" s="23" t="s">
        <v>63</v>
      </c>
      <c r="T1015" s="32" t="s">
        <v>63</v>
      </c>
      <c r="U1015" s="123" t="s">
        <v>63</v>
      </c>
      <c r="V1015" s="23" t="s">
        <v>63</v>
      </c>
      <c r="W1015" s="23" t="s">
        <v>63</v>
      </c>
      <c r="X1015" s="23" t="s">
        <v>63</v>
      </c>
      <c r="Y1015" s="35">
        <v>22.0</v>
      </c>
      <c r="Z1015" s="32" t="s">
        <v>63</v>
      </c>
      <c r="AA1015" s="38"/>
      <c r="AB1015" s="38"/>
      <c r="AC1015" s="38"/>
      <c r="AD1015" s="38"/>
      <c r="AE1015" s="38"/>
      <c r="AF1015" s="38"/>
      <c r="AG1015" s="38"/>
      <c r="AH1015" s="38"/>
      <c r="AI1015" s="38"/>
      <c r="AJ1015" s="38"/>
      <c r="AK1015" s="38"/>
    </row>
    <row r="1016">
      <c r="A1016" s="99">
        <v>1015.0</v>
      </c>
      <c r="B1016" s="15"/>
      <c r="C1016" s="15"/>
      <c r="D1016" s="105">
        <v>1.0</v>
      </c>
      <c r="E1016" s="102">
        <v>21.0</v>
      </c>
      <c r="F1016" s="107">
        <v>5.0</v>
      </c>
      <c r="G1016" s="15" t="str">
        <f t="shared" si="1"/>
        <v>21005</v>
      </c>
      <c r="H1016" s="23" t="s">
        <v>954</v>
      </c>
      <c r="I1016" s="23" t="s">
        <v>54</v>
      </c>
      <c r="J1016" s="23" t="s">
        <v>531</v>
      </c>
      <c r="K1016" s="23" t="str">
        <f t="shared" si="18"/>
        <v>Anderson, KY</v>
      </c>
      <c r="L1016" s="23">
        <v>53.0</v>
      </c>
      <c r="M1016" s="23" t="s">
        <v>63</v>
      </c>
      <c r="N1016" s="23">
        <v>25.0</v>
      </c>
      <c r="O1016" s="23">
        <v>1.0</v>
      </c>
      <c r="P1016" s="23" t="s">
        <v>63</v>
      </c>
      <c r="Q1016" s="23" t="s">
        <v>63</v>
      </c>
      <c r="R1016" s="23">
        <v>27.0</v>
      </c>
      <c r="S1016" s="23" t="s">
        <v>63</v>
      </c>
      <c r="T1016" s="32" t="s">
        <v>63</v>
      </c>
      <c r="U1016" s="123" t="s">
        <v>63</v>
      </c>
      <c r="V1016" s="23" t="s">
        <v>63</v>
      </c>
      <c r="W1016" s="23" t="s">
        <v>63</v>
      </c>
      <c r="X1016" s="23" t="s">
        <v>63</v>
      </c>
      <c r="Y1016" s="35">
        <v>37.0</v>
      </c>
      <c r="Z1016" s="32" t="s">
        <v>63</v>
      </c>
      <c r="AA1016" s="38"/>
      <c r="AB1016" s="38"/>
      <c r="AC1016" s="38"/>
      <c r="AD1016" s="38"/>
      <c r="AE1016" s="38"/>
      <c r="AF1016" s="38"/>
      <c r="AG1016" s="38"/>
      <c r="AH1016" s="38"/>
      <c r="AI1016" s="38"/>
      <c r="AJ1016" s="38"/>
      <c r="AK1016" s="38"/>
    </row>
    <row r="1017">
      <c r="A1017" s="99">
        <v>1016.0</v>
      </c>
      <c r="B1017" s="15"/>
      <c r="C1017" s="15"/>
      <c r="D1017" s="105">
        <v>1.0</v>
      </c>
      <c r="E1017" s="102">
        <v>21.0</v>
      </c>
      <c r="F1017" s="107">
        <v>7.0</v>
      </c>
      <c r="G1017" s="15" t="str">
        <f t="shared" si="1"/>
        <v>21007</v>
      </c>
      <c r="H1017" s="23" t="s">
        <v>1024</v>
      </c>
      <c r="I1017" s="23" t="s">
        <v>54</v>
      </c>
      <c r="J1017" s="23" t="s">
        <v>531</v>
      </c>
      <c r="K1017" s="23" t="str">
        <f t="shared" si="18"/>
        <v>Ballard, KY</v>
      </c>
      <c r="L1017" s="23">
        <v>27.0</v>
      </c>
      <c r="M1017" s="23" t="s">
        <v>63</v>
      </c>
      <c r="N1017" s="23">
        <v>12.0</v>
      </c>
      <c r="O1017" s="23">
        <v>1.0</v>
      </c>
      <c r="P1017" s="23" t="s">
        <v>63</v>
      </c>
      <c r="Q1017" s="23" t="s">
        <v>63</v>
      </c>
      <c r="R1017" s="23">
        <v>7.0</v>
      </c>
      <c r="S1017" s="23" t="s">
        <v>63</v>
      </c>
      <c r="T1017" s="32" t="s">
        <v>63</v>
      </c>
      <c r="U1017" s="123" t="s">
        <v>63</v>
      </c>
      <c r="V1017" s="23" t="s">
        <v>63</v>
      </c>
      <c r="W1017" s="23" t="s">
        <v>63</v>
      </c>
      <c r="X1017" s="23" t="s">
        <v>63</v>
      </c>
      <c r="Y1017" s="35">
        <v>22.0</v>
      </c>
      <c r="Z1017" s="32" t="s">
        <v>63</v>
      </c>
      <c r="AA1017" s="38"/>
      <c r="AB1017" s="38"/>
      <c r="AC1017" s="38"/>
      <c r="AD1017" s="38"/>
      <c r="AE1017" s="38"/>
      <c r="AF1017" s="38"/>
      <c r="AG1017" s="38"/>
      <c r="AH1017" s="38"/>
      <c r="AI1017" s="38"/>
      <c r="AJ1017" s="38"/>
      <c r="AK1017" s="38"/>
    </row>
    <row r="1018">
      <c r="A1018" s="99">
        <v>1017.0</v>
      </c>
      <c r="B1018" s="15"/>
      <c r="C1018" s="15"/>
      <c r="D1018" s="105">
        <v>1.0</v>
      </c>
      <c r="E1018" s="102">
        <v>21.0</v>
      </c>
      <c r="F1018" s="107">
        <v>9.0</v>
      </c>
      <c r="G1018" s="15" t="str">
        <f t="shared" si="1"/>
        <v>21009</v>
      </c>
      <c r="H1018" s="23" t="s">
        <v>1025</v>
      </c>
      <c r="I1018" s="23" t="s">
        <v>54</v>
      </c>
      <c r="J1018" s="23" t="s">
        <v>531</v>
      </c>
      <c r="K1018" s="23" t="str">
        <f t="shared" si="18"/>
        <v>Barren, KY</v>
      </c>
      <c r="L1018" s="23">
        <v>130.0</v>
      </c>
      <c r="M1018" s="23" t="s">
        <v>63</v>
      </c>
      <c r="N1018" s="23">
        <v>44.0</v>
      </c>
      <c r="O1018" s="23">
        <v>15.0</v>
      </c>
      <c r="P1018" s="23" t="s">
        <v>63</v>
      </c>
      <c r="Q1018" s="23" t="s">
        <v>63</v>
      </c>
      <c r="R1018" s="23">
        <v>11.0</v>
      </c>
      <c r="S1018" s="23" t="s">
        <v>63</v>
      </c>
      <c r="T1018" s="32" t="s">
        <v>63</v>
      </c>
      <c r="U1018" s="123" t="s">
        <v>63</v>
      </c>
      <c r="V1018" s="23" t="s">
        <v>63</v>
      </c>
      <c r="W1018" s="23" t="s">
        <v>63</v>
      </c>
      <c r="X1018" s="23" t="s">
        <v>63</v>
      </c>
      <c r="Y1018" s="35">
        <v>51.0</v>
      </c>
      <c r="Z1018" s="32" t="s">
        <v>63</v>
      </c>
      <c r="AA1018" s="38"/>
      <c r="AB1018" s="38"/>
      <c r="AC1018" s="38"/>
      <c r="AD1018" s="38"/>
      <c r="AE1018" s="38"/>
      <c r="AF1018" s="38"/>
      <c r="AG1018" s="38"/>
      <c r="AH1018" s="38"/>
      <c r="AI1018" s="38"/>
      <c r="AJ1018" s="38"/>
      <c r="AK1018" s="38"/>
    </row>
    <row r="1019">
      <c r="A1019" s="99">
        <v>1018.0</v>
      </c>
      <c r="B1019" s="15"/>
      <c r="C1019" s="15"/>
      <c r="D1019" s="105">
        <v>1.0</v>
      </c>
      <c r="E1019" s="102">
        <v>21.0</v>
      </c>
      <c r="F1019" s="107">
        <v>11.0</v>
      </c>
      <c r="G1019" s="15" t="str">
        <f t="shared" si="1"/>
        <v>21011</v>
      </c>
      <c r="H1019" s="23" t="s">
        <v>1026</v>
      </c>
      <c r="I1019" s="23" t="s">
        <v>54</v>
      </c>
      <c r="J1019" s="23" t="s">
        <v>531</v>
      </c>
      <c r="K1019" s="23" t="str">
        <f t="shared" si="18"/>
        <v>Bath, KY</v>
      </c>
      <c r="L1019" s="23">
        <v>22.0</v>
      </c>
      <c r="M1019" s="23" t="s">
        <v>63</v>
      </c>
      <c r="N1019" s="23">
        <v>8.0</v>
      </c>
      <c r="O1019" s="23">
        <v>1.0</v>
      </c>
      <c r="P1019" s="23" t="s">
        <v>63</v>
      </c>
      <c r="Q1019" s="23" t="s">
        <v>63</v>
      </c>
      <c r="R1019" s="23">
        <v>7.0</v>
      </c>
      <c r="S1019" s="23" t="s">
        <v>63</v>
      </c>
      <c r="T1019" s="32" t="s">
        <v>63</v>
      </c>
      <c r="U1019" s="123" t="s">
        <v>63</v>
      </c>
      <c r="V1019" s="23" t="s">
        <v>63</v>
      </c>
      <c r="W1019" s="23" t="s">
        <v>63</v>
      </c>
      <c r="X1019" s="23" t="s">
        <v>63</v>
      </c>
      <c r="Y1019" s="35">
        <v>21.0</v>
      </c>
      <c r="Z1019" s="32" t="s">
        <v>63</v>
      </c>
      <c r="AA1019" s="38"/>
      <c r="AB1019" s="38"/>
      <c r="AC1019" s="38"/>
      <c r="AD1019" s="38"/>
      <c r="AE1019" s="38"/>
      <c r="AF1019" s="38"/>
      <c r="AG1019" s="38"/>
      <c r="AH1019" s="38"/>
      <c r="AI1019" s="38"/>
      <c r="AJ1019" s="38"/>
      <c r="AK1019" s="38"/>
    </row>
    <row r="1020">
      <c r="A1020" s="99">
        <v>1019.0</v>
      </c>
      <c r="B1020" s="15"/>
      <c r="C1020" s="15"/>
      <c r="D1020" s="105">
        <v>1.0</v>
      </c>
      <c r="E1020" s="102">
        <v>21.0</v>
      </c>
      <c r="F1020" s="107">
        <v>13.0</v>
      </c>
      <c r="G1020" s="15" t="str">
        <f t="shared" si="1"/>
        <v>21013</v>
      </c>
      <c r="H1020" s="23" t="s">
        <v>1027</v>
      </c>
      <c r="I1020" s="23" t="s">
        <v>54</v>
      </c>
      <c r="J1020" s="23" t="s">
        <v>531</v>
      </c>
      <c r="K1020" s="23" t="str">
        <f t="shared" si="18"/>
        <v>Bell, KY</v>
      </c>
      <c r="L1020" s="23">
        <v>15.0</v>
      </c>
      <c r="M1020" s="23" t="s">
        <v>63</v>
      </c>
      <c r="N1020" s="23">
        <v>3.0</v>
      </c>
      <c r="O1020" s="23">
        <v>0.0</v>
      </c>
      <c r="P1020" s="23" t="s">
        <v>63</v>
      </c>
      <c r="Q1020" s="23" t="s">
        <v>63</v>
      </c>
      <c r="R1020" s="23">
        <v>4.0</v>
      </c>
      <c r="S1020" s="23" t="s">
        <v>63</v>
      </c>
      <c r="T1020" s="32" t="s">
        <v>63</v>
      </c>
      <c r="U1020" s="123" t="s">
        <v>63</v>
      </c>
      <c r="V1020" s="23" t="s">
        <v>63</v>
      </c>
      <c r="W1020" s="23" t="s">
        <v>63</v>
      </c>
      <c r="X1020" s="23" t="s">
        <v>63</v>
      </c>
      <c r="Y1020" s="35">
        <v>39.0</v>
      </c>
      <c r="Z1020" s="32" t="s">
        <v>63</v>
      </c>
      <c r="AA1020" s="38"/>
      <c r="AB1020" s="38"/>
      <c r="AC1020" s="38"/>
      <c r="AD1020" s="38"/>
      <c r="AE1020" s="38"/>
      <c r="AF1020" s="38"/>
      <c r="AG1020" s="38"/>
      <c r="AH1020" s="38"/>
      <c r="AI1020" s="38"/>
      <c r="AJ1020" s="38"/>
      <c r="AK1020" s="38"/>
    </row>
    <row r="1021">
      <c r="A1021" s="99">
        <v>1020.0</v>
      </c>
      <c r="B1021" s="15"/>
      <c r="C1021" s="15"/>
      <c r="D1021" s="105">
        <v>1.0</v>
      </c>
      <c r="E1021" s="102">
        <v>21.0</v>
      </c>
      <c r="F1021" s="107">
        <v>15.0</v>
      </c>
      <c r="G1021" s="15" t="str">
        <f t="shared" si="1"/>
        <v>21015</v>
      </c>
      <c r="H1021" s="23" t="s">
        <v>246</v>
      </c>
      <c r="I1021" s="23" t="s">
        <v>54</v>
      </c>
      <c r="J1021" s="23" t="s">
        <v>531</v>
      </c>
      <c r="K1021" s="23" t="str">
        <f t="shared" si="18"/>
        <v>Boone, KY</v>
      </c>
      <c r="L1021" s="23">
        <v>88.0</v>
      </c>
      <c r="M1021" s="23" t="s">
        <v>63</v>
      </c>
      <c r="N1021" s="23">
        <v>28.0</v>
      </c>
      <c r="O1021" s="23">
        <v>5.0</v>
      </c>
      <c r="P1021" s="23" t="s">
        <v>63</v>
      </c>
      <c r="Q1021" s="23" t="s">
        <v>63</v>
      </c>
      <c r="R1021" s="23">
        <v>2.0</v>
      </c>
      <c r="S1021" s="23" t="s">
        <v>63</v>
      </c>
      <c r="T1021" s="32" t="s">
        <v>63</v>
      </c>
      <c r="U1021" s="123" t="s">
        <v>63</v>
      </c>
      <c r="V1021" s="23" t="s">
        <v>63</v>
      </c>
      <c r="W1021" s="23" t="s">
        <v>63</v>
      </c>
      <c r="X1021" s="23" t="s">
        <v>63</v>
      </c>
      <c r="Y1021" s="35">
        <v>63.0</v>
      </c>
      <c r="Z1021" s="32" t="s">
        <v>63</v>
      </c>
      <c r="AA1021" s="38"/>
      <c r="AB1021" s="38"/>
      <c r="AC1021" s="38"/>
      <c r="AD1021" s="38"/>
      <c r="AE1021" s="38"/>
      <c r="AF1021" s="38"/>
      <c r="AG1021" s="38"/>
      <c r="AH1021" s="38"/>
      <c r="AI1021" s="38"/>
      <c r="AJ1021" s="38"/>
      <c r="AK1021" s="38"/>
    </row>
    <row r="1022">
      <c r="A1022" s="99">
        <v>1021.0</v>
      </c>
      <c r="B1022" s="15"/>
      <c r="C1022" s="15"/>
      <c r="D1022" s="105">
        <v>1.0</v>
      </c>
      <c r="E1022" s="102">
        <v>21.0</v>
      </c>
      <c r="F1022" s="107">
        <v>17.0</v>
      </c>
      <c r="G1022" s="15" t="str">
        <f t="shared" si="1"/>
        <v>21017</v>
      </c>
      <c r="H1022" s="23" t="s">
        <v>959</v>
      </c>
      <c r="I1022" s="23" t="s">
        <v>54</v>
      </c>
      <c r="J1022" s="23" t="s">
        <v>531</v>
      </c>
      <c r="K1022" s="23" t="str">
        <f t="shared" si="18"/>
        <v>Bourbon, KY</v>
      </c>
      <c r="L1022" s="23">
        <v>22.0</v>
      </c>
      <c r="M1022" s="23" t="s">
        <v>63</v>
      </c>
      <c r="N1022" s="23">
        <v>4.0</v>
      </c>
      <c r="O1022" s="23">
        <v>5.0</v>
      </c>
      <c r="P1022" s="23" t="s">
        <v>63</v>
      </c>
      <c r="Q1022" s="23" t="s">
        <v>63</v>
      </c>
      <c r="R1022" s="23">
        <v>3.0</v>
      </c>
      <c r="S1022" s="23" t="s">
        <v>63</v>
      </c>
      <c r="T1022" s="32" t="s">
        <v>63</v>
      </c>
      <c r="U1022" s="123" t="s">
        <v>63</v>
      </c>
      <c r="V1022" s="23" t="s">
        <v>63</v>
      </c>
      <c r="W1022" s="23" t="s">
        <v>63</v>
      </c>
      <c r="X1022" s="23" t="s">
        <v>63</v>
      </c>
      <c r="Y1022" s="35">
        <v>33.0</v>
      </c>
      <c r="Z1022" s="32" t="s">
        <v>63</v>
      </c>
      <c r="AA1022" s="38"/>
      <c r="AB1022" s="38"/>
      <c r="AC1022" s="38"/>
      <c r="AD1022" s="38"/>
      <c r="AE1022" s="38"/>
      <c r="AF1022" s="38"/>
      <c r="AG1022" s="38"/>
      <c r="AH1022" s="38"/>
      <c r="AI1022" s="38"/>
      <c r="AJ1022" s="38"/>
      <c r="AK1022" s="38"/>
    </row>
    <row r="1023">
      <c r="A1023" s="99">
        <v>1022.0</v>
      </c>
      <c r="B1023" s="15"/>
      <c r="C1023" s="15"/>
      <c r="D1023" s="105">
        <v>1.0</v>
      </c>
      <c r="E1023" s="102">
        <v>21.0</v>
      </c>
      <c r="F1023" s="107">
        <v>19.0</v>
      </c>
      <c r="G1023" s="15" t="str">
        <f t="shared" si="1"/>
        <v>21019</v>
      </c>
      <c r="H1023" s="23" t="s">
        <v>1028</v>
      </c>
      <c r="I1023" s="23" t="s">
        <v>54</v>
      </c>
      <c r="J1023" s="23" t="s">
        <v>531</v>
      </c>
      <c r="K1023" s="23" t="str">
        <f t="shared" si="18"/>
        <v>Boyd, KY</v>
      </c>
      <c r="L1023" s="23">
        <v>169.0</v>
      </c>
      <c r="M1023" s="23" t="s">
        <v>63</v>
      </c>
      <c r="N1023" s="23">
        <v>49.0</v>
      </c>
      <c r="O1023" s="23">
        <v>19.0</v>
      </c>
      <c r="P1023" s="23" t="s">
        <v>63</v>
      </c>
      <c r="Q1023" s="23" t="s">
        <v>63</v>
      </c>
      <c r="R1023" s="23">
        <v>61.0</v>
      </c>
      <c r="S1023" s="23" t="s">
        <v>63</v>
      </c>
      <c r="T1023" s="32" t="s">
        <v>63</v>
      </c>
      <c r="U1023" s="123" t="s">
        <v>63</v>
      </c>
      <c r="V1023" s="23" t="s">
        <v>63</v>
      </c>
      <c r="W1023" s="23" t="s">
        <v>63</v>
      </c>
      <c r="X1023" s="23" t="s">
        <v>63</v>
      </c>
      <c r="Y1023" s="35">
        <v>85.0</v>
      </c>
      <c r="Z1023" s="32" t="s">
        <v>63</v>
      </c>
      <c r="AA1023" s="38"/>
      <c r="AB1023" s="38"/>
      <c r="AC1023" s="38"/>
      <c r="AD1023" s="38"/>
      <c r="AE1023" s="38"/>
      <c r="AF1023" s="38"/>
      <c r="AG1023" s="38"/>
      <c r="AH1023" s="38"/>
      <c r="AI1023" s="38"/>
      <c r="AJ1023" s="38"/>
      <c r="AK1023" s="38"/>
    </row>
    <row r="1024">
      <c r="A1024" s="99">
        <v>1023.0</v>
      </c>
      <c r="B1024" s="15"/>
      <c r="C1024" s="15"/>
      <c r="D1024" s="105">
        <v>1.0</v>
      </c>
      <c r="E1024" s="102">
        <v>21.0</v>
      </c>
      <c r="F1024" s="107">
        <v>21.0</v>
      </c>
      <c r="G1024" s="15" t="str">
        <f t="shared" si="1"/>
        <v>21021</v>
      </c>
      <c r="H1024" s="23" t="s">
        <v>1029</v>
      </c>
      <c r="I1024" s="23" t="s">
        <v>54</v>
      </c>
      <c r="J1024" s="23" t="s">
        <v>531</v>
      </c>
      <c r="K1024" s="23" t="str">
        <f t="shared" si="18"/>
        <v>Boyle, KY</v>
      </c>
      <c r="L1024" s="23">
        <v>48.0</v>
      </c>
      <c r="M1024" s="23" t="s">
        <v>63</v>
      </c>
      <c r="N1024" s="23">
        <v>15.0</v>
      </c>
      <c r="O1024" s="23">
        <v>15.0</v>
      </c>
      <c r="P1024" s="23" t="s">
        <v>63</v>
      </c>
      <c r="Q1024" s="23" t="s">
        <v>63</v>
      </c>
      <c r="R1024" s="23">
        <v>13.0</v>
      </c>
      <c r="S1024" s="23" t="s">
        <v>63</v>
      </c>
      <c r="T1024" s="32" t="s">
        <v>63</v>
      </c>
      <c r="U1024" s="123" t="s">
        <v>63</v>
      </c>
      <c r="V1024" s="23" t="s">
        <v>63</v>
      </c>
      <c r="W1024" s="23" t="s">
        <v>63</v>
      </c>
      <c r="X1024" s="23" t="s">
        <v>63</v>
      </c>
      <c r="Y1024" s="35">
        <v>55.0</v>
      </c>
      <c r="Z1024" s="32" t="s">
        <v>63</v>
      </c>
      <c r="AA1024" s="38"/>
      <c r="AB1024" s="38"/>
      <c r="AC1024" s="38"/>
      <c r="AD1024" s="38"/>
      <c r="AE1024" s="38"/>
      <c r="AF1024" s="38"/>
      <c r="AG1024" s="38"/>
      <c r="AH1024" s="38"/>
      <c r="AI1024" s="38"/>
      <c r="AJ1024" s="38"/>
      <c r="AK1024" s="38"/>
    </row>
    <row r="1025">
      <c r="A1025" s="99">
        <v>1024.0</v>
      </c>
      <c r="B1025" s="15"/>
      <c r="C1025" s="15"/>
      <c r="D1025" s="105">
        <v>1.0</v>
      </c>
      <c r="E1025" s="102">
        <v>21.0</v>
      </c>
      <c r="F1025" s="107">
        <v>23.0</v>
      </c>
      <c r="G1025" s="15" t="str">
        <f t="shared" si="1"/>
        <v>21023</v>
      </c>
      <c r="H1025" s="23" t="s">
        <v>1030</v>
      </c>
      <c r="I1025" s="23" t="s">
        <v>54</v>
      </c>
      <c r="J1025" s="23" t="s">
        <v>531</v>
      </c>
      <c r="K1025" s="23" t="str">
        <f t="shared" si="18"/>
        <v>Bracken, KY</v>
      </c>
      <c r="L1025" s="23">
        <v>32.0</v>
      </c>
      <c r="M1025" s="23" t="s">
        <v>63</v>
      </c>
      <c r="N1025" s="23">
        <v>10.0</v>
      </c>
      <c r="O1025" s="23">
        <v>3.0</v>
      </c>
      <c r="P1025" s="23" t="s">
        <v>63</v>
      </c>
      <c r="Q1025" s="23" t="s">
        <v>63</v>
      </c>
      <c r="R1025" s="23">
        <v>14.0</v>
      </c>
      <c r="S1025" s="23" t="s">
        <v>63</v>
      </c>
      <c r="T1025" s="32" t="s">
        <v>63</v>
      </c>
      <c r="U1025" s="123" t="s">
        <v>63</v>
      </c>
      <c r="V1025" s="23" t="s">
        <v>63</v>
      </c>
      <c r="W1025" s="23" t="s">
        <v>63</v>
      </c>
      <c r="X1025" s="23" t="s">
        <v>63</v>
      </c>
      <c r="Y1025" s="35">
        <v>24.0</v>
      </c>
      <c r="Z1025" s="32" t="s">
        <v>63</v>
      </c>
      <c r="AA1025" s="38"/>
      <c r="AB1025" s="38"/>
      <c r="AC1025" s="38"/>
      <c r="AD1025" s="38"/>
      <c r="AE1025" s="38"/>
      <c r="AF1025" s="38"/>
      <c r="AG1025" s="38"/>
      <c r="AH1025" s="38"/>
      <c r="AI1025" s="38"/>
      <c r="AJ1025" s="38"/>
      <c r="AK1025" s="38"/>
    </row>
    <row r="1026">
      <c r="A1026" s="99">
        <v>1025.0</v>
      </c>
      <c r="B1026" s="15"/>
      <c r="C1026" s="15"/>
      <c r="D1026" s="105">
        <v>1.0</v>
      </c>
      <c r="E1026" s="102">
        <v>21.0</v>
      </c>
      <c r="F1026" s="107">
        <v>25.0</v>
      </c>
      <c r="G1026" s="15" t="str">
        <f t="shared" si="1"/>
        <v>21025</v>
      </c>
      <c r="H1026" s="23" t="s">
        <v>1031</v>
      </c>
      <c r="I1026" s="23" t="s">
        <v>54</v>
      </c>
      <c r="J1026" s="23" t="s">
        <v>531</v>
      </c>
      <c r="K1026" s="23" t="str">
        <f t="shared" si="18"/>
        <v>Breathitt, KY</v>
      </c>
      <c r="L1026" s="23">
        <v>62.0</v>
      </c>
      <c r="M1026" s="23" t="s">
        <v>63</v>
      </c>
      <c r="N1026" s="23">
        <v>16.0</v>
      </c>
      <c r="O1026" s="23">
        <v>8.0</v>
      </c>
      <c r="P1026" s="23" t="s">
        <v>63</v>
      </c>
      <c r="Q1026" s="23" t="s">
        <v>63</v>
      </c>
      <c r="R1026" s="23">
        <v>25.0</v>
      </c>
      <c r="S1026" s="23" t="s">
        <v>63</v>
      </c>
      <c r="T1026" s="32" t="s">
        <v>63</v>
      </c>
      <c r="U1026" s="123" t="s">
        <v>63</v>
      </c>
      <c r="V1026" s="23" t="s">
        <v>63</v>
      </c>
      <c r="W1026" s="23" t="s">
        <v>63</v>
      </c>
      <c r="X1026" s="23" t="s">
        <v>63</v>
      </c>
      <c r="Y1026" s="35">
        <v>17.0</v>
      </c>
      <c r="Z1026" s="32" t="s">
        <v>63</v>
      </c>
      <c r="AA1026" s="38"/>
      <c r="AB1026" s="38"/>
      <c r="AC1026" s="38"/>
      <c r="AD1026" s="38"/>
      <c r="AE1026" s="38"/>
      <c r="AF1026" s="38"/>
      <c r="AG1026" s="38"/>
      <c r="AH1026" s="38"/>
      <c r="AI1026" s="38"/>
      <c r="AJ1026" s="38"/>
      <c r="AK1026" s="38"/>
    </row>
    <row r="1027">
      <c r="A1027" s="99">
        <v>1026.0</v>
      </c>
      <c r="B1027" s="15"/>
      <c r="C1027" s="15"/>
      <c r="D1027" s="105">
        <v>1.0</v>
      </c>
      <c r="E1027" s="102">
        <v>21.0</v>
      </c>
      <c r="F1027" s="107">
        <v>27.0</v>
      </c>
      <c r="G1027" s="15" t="str">
        <f t="shared" si="1"/>
        <v>21027</v>
      </c>
      <c r="H1027" s="23" t="s">
        <v>1032</v>
      </c>
      <c r="I1027" s="23" t="s">
        <v>54</v>
      </c>
      <c r="J1027" s="23" t="s">
        <v>531</v>
      </c>
      <c r="K1027" s="112" t="str">
        <f t="shared" si="18"/>
        <v>Breckinridge, KY</v>
      </c>
      <c r="L1027" s="23">
        <v>74.0</v>
      </c>
      <c r="M1027" s="23" t="s">
        <v>63</v>
      </c>
      <c r="N1027" s="23">
        <v>18.0</v>
      </c>
      <c r="O1027" s="23">
        <v>3.0</v>
      </c>
      <c r="P1027" s="23" t="s">
        <v>63</v>
      </c>
      <c r="Q1027" s="23" t="s">
        <v>63</v>
      </c>
      <c r="R1027" s="23">
        <v>40.0</v>
      </c>
      <c r="S1027" s="23" t="s">
        <v>63</v>
      </c>
      <c r="T1027" s="32" t="s">
        <v>63</v>
      </c>
      <c r="U1027" s="123" t="s">
        <v>63</v>
      </c>
      <c r="V1027" s="23" t="s">
        <v>63</v>
      </c>
      <c r="W1027" s="23" t="s">
        <v>63</v>
      </c>
      <c r="X1027" s="23" t="s">
        <v>63</v>
      </c>
      <c r="Y1027" s="35">
        <v>30.0</v>
      </c>
      <c r="Z1027" s="32" t="s">
        <v>63</v>
      </c>
      <c r="AA1027" s="38"/>
      <c r="AB1027" s="38"/>
      <c r="AC1027" s="38"/>
      <c r="AD1027" s="38"/>
      <c r="AE1027" s="38"/>
      <c r="AF1027" s="38"/>
      <c r="AG1027" s="38"/>
      <c r="AH1027" s="38"/>
      <c r="AI1027" s="38"/>
      <c r="AJ1027" s="38"/>
      <c r="AK1027" s="38"/>
    </row>
    <row r="1028">
      <c r="A1028" s="99">
        <v>1027.0</v>
      </c>
      <c r="B1028" s="15"/>
      <c r="C1028" s="15"/>
      <c r="D1028" s="105">
        <v>1.0</v>
      </c>
      <c r="E1028" s="102">
        <v>21.0</v>
      </c>
      <c r="F1028" s="107">
        <v>29.0</v>
      </c>
      <c r="G1028" s="15" t="str">
        <f t="shared" si="1"/>
        <v>21029</v>
      </c>
      <c r="H1028" s="23" t="s">
        <v>1033</v>
      </c>
      <c r="I1028" s="23" t="s">
        <v>54</v>
      </c>
      <c r="J1028" s="23" t="s">
        <v>531</v>
      </c>
      <c r="K1028" s="23" t="str">
        <f t="shared" si="18"/>
        <v>Bullitt, KY</v>
      </c>
      <c r="L1028" s="23">
        <v>206.0</v>
      </c>
      <c r="M1028" s="23" t="s">
        <v>63</v>
      </c>
      <c r="N1028" s="23">
        <v>67.0</v>
      </c>
      <c r="O1028" s="23">
        <v>21.0</v>
      </c>
      <c r="P1028" s="23" t="s">
        <v>63</v>
      </c>
      <c r="Q1028" s="23" t="s">
        <v>63</v>
      </c>
      <c r="R1028" s="23">
        <v>109.0</v>
      </c>
      <c r="S1028" s="23" t="s">
        <v>63</v>
      </c>
      <c r="T1028" s="32" t="s">
        <v>63</v>
      </c>
      <c r="U1028" s="123" t="s">
        <v>63</v>
      </c>
      <c r="V1028" s="23" t="s">
        <v>63</v>
      </c>
      <c r="W1028" s="23" t="s">
        <v>63</v>
      </c>
      <c r="X1028" s="23" t="s">
        <v>63</v>
      </c>
      <c r="Y1028" s="35">
        <v>73.0</v>
      </c>
      <c r="Z1028" s="32" t="s">
        <v>63</v>
      </c>
      <c r="AA1028" s="38"/>
      <c r="AB1028" s="38"/>
      <c r="AC1028" s="38"/>
      <c r="AD1028" s="38"/>
      <c r="AE1028" s="38"/>
      <c r="AF1028" s="38"/>
      <c r="AG1028" s="38"/>
      <c r="AH1028" s="38"/>
      <c r="AI1028" s="38"/>
      <c r="AJ1028" s="38"/>
      <c r="AK1028" s="38"/>
    </row>
    <row r="1029">
      <c r="A1029" s="99">
        <v>1028.0</v>
      </c>
      <c r="B1029" s="15"/>
      <c r="C1029" s="15"/>
      <c r="D1029" s="105">
        <v>1.0</v>
      </c>
      <c r="E1029" s="102">
        <v>21.0</v>
      </c>
      <c r="F1029" s="107">
        <v>31.0</v>
      </c>
      <c r="G1029" s="15" t="str">
        <f t="shared" si="1"/>
        <v>21031</v>
      </c>
      <c r="H1029" s="23" t="s">
        <v>87</v>
      </c>
      <c r="I1029" s="23" t="s">
        <v>54</v>
      </c>
      <c r="J1029" s="23" t="s">
        <v>531</v>
      </c>
      <c r="K1029" s="23" t="str">
        <f t="shared" si="18"/>
        <v>Butler, KY</v>
      </c>
      <c r="L1029" s="23">
        <v>49.0</v>
      </c>
      <c r="M1029" s="23" t="s">
        <v>63</v>
      </c>
      <c r="N1029" s="23">
        <v>12.0</v>
      </c>
      <c r="O1029" s="23">
        <v>15.0</v>
      </c>
      <c r="P1029" s="23" t="s">
        <v>63</v>
      </c>
      <c r="Q1029" s="23" t="s">
        <v>63</v>
      </c>
      <c r="R1029" s="23">
        <v>13.0</v>
      </c>
      <c r="S1029" s="23" t="s">
        <v>63</v>
      </c>
      <c r="T1029" s="32" t="s">
        <v>63</v>
      </c>
      <c r="U1029" s="123" t="s">
        <v>63</v>
      </c>
      <c r="V1029" s="23" t="s">
        <v>63</v>
      </c>
      <c r="W1029" s="23" t="s">
        <v>63</v>
      </c>
      <c r="X1029" s="23" t="s">
        <v>63</v>
      </c>
      <c r="Y1029" s="35">
        <v>21.0</v>
      </c>
      <c r="Z1029" s="32" t="s">
        <v>63</v>
      </c>
      <c r="AA1029" s="38"/>
      <c r="AB1029" s="38"/>
      <c r="AC1029" s="38"/>
      <c r="AD1029" s="38"/>
      <c r="AE1029" s="38"/>
      <c r="AF1029" s="38"/>
      <c r="AG1029" s="38"/>
      <c r="AH1029" s="38"/>
      <c r="AI1029" s="38"/>
      <c r="AJ1029" s="38"/>
      <c r="AK1029" s="38"/>
    </row>
    <row r="1030">
      <c r="A1030" s="99">
        <v>1029.0</v>
      </c>
      <c r="B1030" s="15"/>
      <c r="C1030" s="15"/>
      <c r="D1030" s="105">
        <v>1.0</v>
      </c>
      <c r="E1030" s="102">
        <v>21.0</v>
      </c>
      <c r="F1030" s="107">
        <v>33.0</v>
      </c>
      <c r="G1030" s="15" t="str">
        <f t="shared" si="1"/>
        <v>21033</v>
      </c>
      <c r="H1030" s="23" t="s">
        <v>1034</v>
      </c>
      <c r="I1030" s="23" t="s">
        <v>54</v>
      </c>
      <c r="J1030" s="23" t="s">
        <v>531</v>
      </c>
      <c r="K1030" s="23" t="str">
        <f t="shared" si="18"/>
        <v>Caldwell, KY</v>
      </c>
      <c r="L1030" s="23">
        <v>16.0</v>
      </c>
      <c r="M1030" s="23" t="s">
        <v>63</v>
      </c>
      <c r="N1030" s="23">
        <v>16.0</v>
      </c>
      <c r="O1030" s="23">
        <v>0.0</v>
      </c>
      <c r="P1030" s="23" t="s">
        <v>63</v>
      </c>
      <c r="Q1030" s="23" t="s">
        <v>63</v>
      </c>
      <c r="R1030" s="23">
        <v>16.0</v>
      </c>
      <c r="S1030" s="23" t="s">
        <v>63</v>
      </c>
      <c r="T1030" s="32" t="s">
        <v>63</v>
      </c>
      <c r="U1030" s="123" t="s">
        <v>63</v>
      </c>
      <c r="V1030" s="23" t="s">
        <v>63</v>
      </c>
      <c r="W1030" s="23" t="s">
        <v>63</v>
      </c>
      <c r="X1030" s="23" t="s">
        <v>63</v>
      </c>
      <c r="Y1030" s="35">
        <v>19.0</v>
      </c>
      <c r="Z1030" s="32" t="s">
        <v>63</v>
      </c>
      <c r="AA1030" s="38"/>
      <c r="AB1030" s="38"/>
      <c r="AC1030" s="38"/>
      <c r="AD1030" s="38"/>
      <c r="AE1030" s="38"/>
      <c r="AF1030" s="38"/>
      <c r="AG1030" s="38"/>
      <c r="AH1030" s="38"/>
      <c r="AI1030" s="38"/>
      <c r="AJ1030" s="38"/>
      <c r="AK1030" s="38"/>
    </row>
    <row r="1031">
      <c r="A1031" s="99">
        <v>1030.0</v>
      </c>
      <c r="B1031" s="15"/>
      <c r="C1031" s="15"/>
      <c r="D1031" s="105">
        <v>1.0</v>
      </c>
      <c r="E1031" s="102">
        <v>21.0</v>
      </c>
      <c r="F1031" s="107">
        <v>35.0</v>
      </c>
      <c r="G1031" s="15" t="str">
        <f t="shared" si="1"/>
        <v>21035</v>
      </c>
      <c r="H1031" s="23" t="s">
        <v>1035</v>
      </c>
      <c r="I1031" s="23" t="s">
        <v>54</v>
      </c>
      <c r="J1031" s="23" t="s">
        <v>531</v>
      </c>
      <c r="K1031" s="23" t="str">
        <f t="shared" si="18"/>
        <v>Calloway, KY</v>
      </c>
      <c r="L1031" s="23">
        <v>48.0</v>
      </c>
      <c r="M1031" s="23" t="s">
        <v>63</v>
      </c>
      <c r="N1031" s="23">
        <v>18.0</v>
      </c>
      <c r="O1031" s="23">
        <v>15.0</v>
      </c>
      <c r="P1031" s="23" t="s">
        <v>63</v>
      </c>
      <c r="Q1031" s="23" t="s">
        <v>63</v>
      </c>
      <c r="R1031" s="23">
        <v>15.0</v>
      </c>
      <c r="S1031" s="23" t="s">
        <v>63</v>
      </c>
      <c r="T1031" s="32" t="s">
        <v>63</v>
      </c>
      <c r="U1031" s="123" t="s">
        <v>63</v>
      </c>
      <c r="V1031" s="23" t="s">
        <v>63</v>
      </c>
      <c r="W1031" s="23" t="s">
        <v>63</v>
      </c>
      <c r="X1031" s="23" t="s">
        <v>63</v>
      </c>
      <c r="Y1031" s="35">
        <v>46.0</v>
      </c>
      <c r="Z1031" s="32" t="s">
        <v>63</v>
      </c>
      <c r="AA1031" s="38"/>
      <c r="AB1031" s="38"/>
      <c r="AC1031" s="38"/>
      <c r="AD1031" s="38"/>
      <c r="AE1031" s="38"/>
      <c r="AF1031" s="38"/>
      <c r="AG1031" s="38"/>
      <c r="AH1031" s="38"/>
      <c r="AI1031" s="38"/>
      <c r="AJ1031" s="38"/>
      <c r="AK1031" s="38"/>
    </row>
    <row r="1032">
      <c r="A1032" s="99">
        <v>1031.0</v>
      </c>
      <c r="B1032" s="15"/>
      <c r="C1032" s="15"/>
      <c r="D1032" s="105">
        <v>1.0</v>
      </c>
      <c r="E1032" s="102">
        <v>21.0</v>
      </c>
      <c r="F1032" s="107">
        <v>37.0</v>
      </c>
      <c r="G1032" s="15" t="str">
        <f t="shared" si="1"/>
        <v>21037</v>
      </c>
      <c r="H1032" s="23" t="s">
        <v>1036</v>
      </c>
      <c r="I1032" s="23" t="s">
        <v>54</v>
      </c>
      <c r="J1032" s="23" t="s">
        <v>531</v>
      </c>
      <c r="K1032" s="23" t="str">
        <f t="shared" si="18"/>
        <v>Campbell, KY</v>
      </c>
      <c r="L1032" s="23">
        <v>153.0</v>
      </c>
      <c r="M1032" s="23" t="s">
        <v>63</v>
      </c>
      <c r="N1032" s="23">
        <v>36.0</v>
      </c>
      <c r="O1032" s="23">
        <v>30.0</v>
      </c>
      <c r="P1032" s="23" t="s">
        <v>63</v>
      </c>
      <c r="Q1032" s="23" t="s">
        <v>63</v>
      </c>
      <c r="R1032" s="23">
        <v>15.0</v>
      </c>
      <c r="S1032" s="23" t="s">
        <v>63</v>
      </c>
      <c r="T1032" s="32" t="s">
        <v>63</v>
      </c>
      <c r="U1032" s="123" t="s">
        <v>63</v>
      </c>
      <c r="V1032" s="23" t="s">
        <v>63</v>
      </c>
      <c r="W1032" s="23" t="s">
        <v>63</v>
      </c>
      <c r="X1032" s="23" t="s">
        <v>63</v>
      </c>
      <c r="Y1032" s="35">
        <v>80.0</v>
      </c>
      <c r="Z1032" s="32" t="s">
        <v>63</v>
      </c>
      <c r="AA1032" s="38"/>
      <c r="AB1032" s="38"/>
      <c r="AC1032" s="38"/>
      <c r="AD1032" s="38"/>
      <c r="AE1032" s="38"/>
      <c r="AF1032" s="38"/>
      <c r="AG1032" s="38"/>
      <c r="AH1032" s="38"/>
      <c r="AI1032" s="38"/>
      <c r="AJ1032" s="38"/>
      <c r="AK1032" s="38"/>
    </row>
    <row r="1033">
      <c r="A1033" s="99">
        <v>1032.0</v>
      </c>
      <c r="B1033" s="15"/>
      <c r="C1033" s="15"/>
      <c r="D1033" s="105">
        <v>1.0</v>
      </c>
      <c r="E1033" s="102">
        <v>21.0</v>
      </c>
      <c r="F1033" s="107">
        <v>39.0</v>
      </c>
      <c r="G1033" s="15" t="str">
        <f t="shared" si="1"/>
        <v>21039</v>
      </c>
      <c r="H1033" s="23" t="s">
        <v>1037</v>
      </c>
      <c r="I1033" s="23" t="s">
        <v>54</v>
      </c>
      <c r="J1033" s="23" t="s">
        <v>531</v>
      </c>
      <c r="K1033" s="23" t="str">
        <f t="shared" si="18"/>
        <v>Carlisle, KY</v>
      </c>
      <c r="L1033" s="23">
        <v>32.0</v>
      </c>
      <c r="M1033" s="23" t="s">
        <v>63</v>
      </c>
      <c r="N1033" s="23">
        <v>6.0</v>
      </c>
      <c r="O1033" s="23">
        <v>6.0</v>
      </c>
      <c r="P1033" s="23" t="s">
        <v>63</v>
      </c>
      <c r="Q1033" s="23" t="s">
        <v>63</v>
      </c>
      <c r="R1033" s="23">
        <v>7.0</v>
      </c>
      <c r="S1033" s="23" t="s">
        <v>63</v>
      </c>
      <c r="T1033" s="32" t="s">
        <v>63</v>
      </c>
      <c r="U1033" s="123" t="s">
        <v>63</v>
      </c>
      <c r="V1033" s="23" t="s">
        <v>63</v>
      </c>
      <c r="W1033" s="23" t="s">
        <v>63</v>
      </c>
      <c r="X1033" s="23" t="s">
        <v>63</v>
      </c>
      <c r="Y1033" s="35">
        <v>12.0</v>
      </c>
      <c r="Z1033" s="32" t="s">
        <v>63</v>
      </c>
      <c r="AA1033" s="38"/>
      <c r="AB1033" s="38"/>
      <c r="AC1033" s="38"/>
      <c r="AD1033" s="38"/>
      <c r="AE1033" s="38"/>
      <c r="AF1033" s="38"/>
      <c r="AG1033" s="38"/>
      <c r="AH1033" s="38"/>
      <c r="AI1033" s="38"/>
      <c r="AJ1033" s="38"/>
      <c r="AK1033" s="38"/>
    </row>
    <row r="1034">
      <c r="A1034" s="99">
        <v>1033.0</v>
      </c>
      <c r="B1034" s="15"/>
      <c r="C1034" s="15"/>
      <c r="D1034" s="105">
        <v>1.0</v>
      </c>
      <c r="E1034" s="102">
        <v>21.0</v>
      </c>
      <c r="F1034" s="107">
        <v>41.0</v>
      </c>
      <c r="G1034" s="15" t="str">
        <f t="shared" si="1"/>
        <v>21041</v>
      </c>
      <c r="H1034" s="23" t="s">
        <v>248</v>
      </c>
      <c r="I1034" s="23" t="s">
        <v>54</v>
      </c>
      <c r="J1034" s="23" t="s">
        <v>531</v>
      </c>
      <c r="K1034" s="23" t="str">
        <f t="shared" si="18"/>
        <v>Carroll, KY</v>
      </c>
      <c r="L1034" s="23">
        <v>24.0</v>
      </c>
      <c r="M1034" s="23" t="s">
        <v>63</v>
      </c>
      <c r="N1034" s="23">
        <v>1.0</v>
      </c>
      <c r="O1034" s="23">
        <v>9.0</v>
      </c>
      <c r="P1034" s="23" t="s">
        <v>63</v>
      </c>
      <c r="Q1034" s="23" t="s">
        <v>63</v>
      </c>
      <c r="R1034" s="23">
        <v>2.0</v>
      </c>
      <c r="S1034" s="23" t="s">
        <v>63</v>
      </c>
      <c r="T1034" s="32" t="s">
        <v>63</v>
      </c>
      <c r="U1034" s="123" t="s">
        <v>63</v>
      </c>
      <c r="V1034" s="23" t="s">
        <v>63</v>
      </c>
      <c r="W1034" s="23" t="s">
        <v>63</v>
      </c>
      <c r="X1034" s="23" t="s">
        <v>63</v>
      </c>
      <c r="Y1034" s="35">
        <v>18.0</v>
      </c>
      <c r="Z1034" s="32" t="s">
        <v>63</v>
      </c>
      <c r="AA1034" s="38"/>
      <c r="AB1034" s="38"/>
      <c r="AC1034" s="38"/>
      <c r="AD1034" s="38"/>
      <c r="AE1034" s="38"/>
      <c r="AF1034" s="38"/>
      <c r="AG1034" s="38"/>
      <c r="AH1034" s="38"/>
      <c r="AI1034" s="38"/>
      <c r="AJ1034" s="38"/>
      <c r="AK1034" s="38"/>
    </row>
    <row r="1035">
      <c r="A1035" s="99">
        <v>1034.0</v>
      </c>
      <c r="B1035" s="15"/>
      <c r="C1035" s="15"/>
      <c r="D1035" s="105">
        <v>1.0</v>
      </c>
      <c r="E1035" s="102">
        <v>21.0</v>
      </c>
      <c r="F1035" s="107">
        <v>43.0</v>
      </c>
      <c r="G1035" s="15" t="str">
        <f t="shared" si="1"/>
        <v>21043</v>
      </c>
      <c r="H1035" s="23" t="s">
        <v>1038</v>
      </c>
      <c r="I1035" s="23" t="s">
        <v>54</v>
      </c>
      <c r="J1035" s="23" t="s">
        <v>531</v>
      </c>
      <c r="K1035" s="23" t="str">
        <f t="shared" si="18"/>
        <v>Carter, KY</v>
      </c>
      <c r="L1035" s="23">
        <v>52.0</v>
      </c>
      <c r="M1035" s="23" t="s">
        <v>63</v>
      </c>
      <c r="N1035" s="23">
        <v>4.0</v>
      </c>
      <c r="O1035" s="23">
        <v>9.0</v>
      </c>
      <c r="P1035" s="23" t="s">
        <v>63</v>
      </c>
      <c r="Q1035" s="23" t="s">
        <v>63</v>
      </c>
      <c r="R1035" s="23">
        <v>11.0</v>
      </c>
      <c r="S1035" s="23" t="s">
        <v>63</v>
      </c>
      <c r="T1035" s="32" t="s">
        <v>63</v>
      </c>
      <c r="U1035" s="123" t="s">
        <v>63</v>
      </c>
      <c r="V1035" s="23" t="s">
        <v>63</v>
      </c>
      <c r="W1035" s="23" t="s">
        <v>63</v>
      </c>
      <c r="X1035" s="23" t="s">
        <v>63</v>
      </c>
      <c r="Y1035" s="35">
        <v>31.0</v>
      </c>
      <c r="Z1035" s="32" t="s">
        <v>63</v>
      </c>
      <c r="AA1035" s="38"/>
      <c r="AB1035" s="38"/>
      <c r="AC1035" s="38"/>
      <c r="AD1035" s="38"/>
      <c r="AE1035" s="38"/>
      <c r="AF1035" s="38"/>
      <c r="AG1035" s="38"/>
      <c r="AH1035" s="38"/>
      <c r="AI1035" s="38"/>
      <c r="AJ1035" s="38"/>
      <c r="AK1035" s="38"/>
    </row>
    <row r="1036">
      <c r="A1036" s="99">
        <v>1035.0</v>
      </c>
      <c r="B1036" s="15"/>
      <c r="C1036" s="15"/>
      <c r="D1036" s="105">
        <v>1.0</v>
      </c>
      <c r="E1036" s="102">
        <v>21.0</v>
      </c>
      <c r="F1036" s="107">
        <v>45.0</v>
      </c>
      <c r="G1036" s="15" t="str">
        <f t="shared" si="1"/>
        <v>21045</v>
      </c>
      <c r="H1036" s="23" t="s">
        <v>1039</v>
      </c>
      <c r="I1036" s="23" t="s">
        <v>54</v>
      </c>
      <c r="J1036" s="23" t="s">
        <v>531</v>
      </c>
      <c r="K1036" s="23" t="str">
        <f t="shared" si="18"/>
        <v>Casey, KY</v>
      </c>
      <c r="L1036" s="23">
        <v>16.0</v>
      </c>
      <c r="M1036" s="23" t="s">
        <v>63</v>
      </c>
      <c r="N1036" s="23">
        <v>2.0</v>
      </c>
      <c r="O1036" s="23">
        <v>0.0</v>
      </c>
      <c r="P1036" s="23" t="s">
        <v>63</v>
      </c>
      <c r="Q1036" s="23" t="s">
        <v>63</v>
      </c>
      <c r="R1036" s="23">
        <v>1.0</v>
      </c>
      <c r="S1036" s="23" t="s">
        <v>63</v>
      </c>
      <c r="T1036" s="32" t="s">
        <v>63</v>
      </c>
      <c r="U1036" s="123" t="s">
        <v>63</v>
      </c>
      <c r="V1036" s="23" t="s">
        <v>63</v>
      </c>
      <c r="W1036" s="23" t="s">
        <v>63</v>
      </c>
      <c r="X1036" s="23" t="s">
        <v>63</v>
      </c>
      <c r="Y1036" s="35">
        <v>23.0</v>
      </c>
      <c r="Z1036" s="32" t="s">
        <v>63</v>
      </c>
      <c r="AA1036" s="38"/>
      <c r="AB1036" s="38"/>
      <c r="AC1036" s="38"/>
      <c r="AD1036" s="38"/>
      <c r="AE1036" s="38"/>
      <c r="AF1036" s="38"/>
      <c r="AG1036" s="38"/>
      <c r="AH1036" s="38"/>
      <c r="AI1036" s="38"/>
      <c r="AJ1036" s="38"/>
      <c r="AK1036" s="38"/>
    </row>
    <row r="1037">
      <c r="A1037" s="99">
        <v>1036.0</v>
      </c>
      <c r="B1037" s="15"/>
      <c r="C1037" s="15"/>
      <c r="D1037" s="105">
        <v>1.0</v>
      </c>
      <c r="E1037" s="102">
        <v>21.0</v>
      </c>
      <c r="F1037" s="107">
        <v>47.0</v>
      </c>
      <c r="G1037" s="15" t="str">
        <f t="shared" si="1"/>
        <v>21047</v>
      </c>
      <c r="H1037" s="23" t="s">
        <v>710</v>
      </c>
      <c r="I1037" s="23" t="s">
        <v>54</v>
      </c>
      <c r="J1037" s="23" t="s">
        <v>531</v>
      </c>
      <c r="K1037" s="23" t="str">
        <f t="shared" si="18"/>
        <v>Christian, KY</v>
      </c>
      <c r="L1037" s="23">
        <v>94.0</v>
      </c>
      <c r="M1037" s="23" t="s">
        <v>63</v>
      </c>
      <c r="N1037" s="23">
        <v>29.0</v>
      </c>
      <c r="O1037" s="23">
        <v>21.0</v>
      </c>
      <c r="P1037" s="23" t="s">
        <v>63</v>
      </c>
      <c r="Q1037" s="23" t="s">
        <v>63</v>
      </c>
      <c r="R1037" s="23">
        <v>30.0</v>
      </c>
      <c r="S1037" s="23" t="s">
        <v>63</v>
      </c>
      <c r="T1037" s="32" t="s">
        <v>63</v>
      </c>
      <c r="U1037" s="123" t="s">
        <v>63</v>
      </c>
      <c r="V1037" s="23" t="s">
        <v>63</v>
      </c>
      <c r="W1037" s="23" t="s">
        <v>63</v>
      </c>
      <c r="X1037" s="23" t="s">
        <v>63</v>
      </c>
      <c r="Y1037" s="35">
        <v>100.0</v>
      </c>
      <c r="Z1037" s="32" t="s">
        <v>63</v>
      </c>
      <c r="AA1037" s="38"/>
      <c r="AB1037" s="38"/>
      <c r="AC1037" s="38"/>
      <c r="AD1037" s="38"/>
      <c r="AE1037" s="38"/>
      <c r="AF1037" s="38"/>
      <c r="AG1037" s="38"/>
      <c r="AH1037" s="38"/>
      <c r="AI1037" s="38"/>
      <c r="AJ1037" s="38"/>
      <c r="AK1037" s="38"/>
    </row>
    <row r="1038">
      <c r="A1038" s="99">
        <v>1037.0</v>
      </c>
      <c r="B1038" s="15"/>
      <c r="C1038" s="15"/>
      <c r="D1038" s="105">
        <v>1.0</v>
      </c>
      <c r="E1038" s="102">
        <v>21.0</v>
      </c>
      <c r="F1038" s="107">
        <v>49.0</v>
      </c>
      <c r="G1038" s="15" t="str">
        <f t="shared" si="1"/>
        <v>21049</v>
      </c>
      <c r="H1038" s="23" t="s">
        <v>253</v>
      </c>
      <c r="I1038" s="23" t="s">
        <v>54</v>
      </c>
      <c r="J1038" s="23" t="s">
        <v>531</v>
      </c>
      <c r="K1038" s="23" t="str">
        <f t="shared" si="18"/>
        <v>Clark, KY</v>
      </c>
      <c r="L1038" s="23">
        <v>110.0</v>
      </c>
      <c r="M1038" s="23" t="s">
        <v>63</v>
      </c>
      <c r="N1038" s="23">
        <v>31.0</v>
      </c>
      <c r="O1038" s="23">
        <v>19.0</v>
      </c>
      <c r="P1038" s="23" t="s">
        <v>63</v>
      </c>
      <c r="Q1038" s="23" t="s">
        <v>63</v>
      </c>
      <c r="R1038" s="23">
        <v>37.0</v>
      </c>
      <c r="S1038" s="23" t="s">
        <v>63</v>
      </c>
      <c r="T1038" s="32" t="s">
        <v>63</v>
      </c>
      <c r="U1038" s="123" t="s">
        <v>63</v>
      </c>
      <c r="V1038" s="23" t="s">
        <v>63</v>
      </c>
      <c r="W1038" s="23" t="s">
        <v>63</v>
      </c>
      <c r="X1038" s="23" t="s">
        <v>63</v>
      </c>
      <c r="Y1038" s="35">
        <v>54.0</v>
      </c>
      <c r="Z1038" s="32" t="s">
        <v>63</v>
      </c>
      <c r="AA1038" s="38"/>
      <c r="AB1038" s="38"/>
      <c r="AC1038" s="38"/>
      <c r="AD1038" s="38"/>
      <c r="AE1038" s="38"/>
      <c r="AF1038" s="38"/>
      <c r="AG1038" s="38"/>
      <c r="AH1038" s="38"/>
      <c r="AI1038" s="38"/>
      <c r="AJ1038" s="38"/>
      <c r="AK1038" s="38"/>
    </row>
    <row r="1039">
      <c r="A1039" s="99">
        <v>1038.0</v>
      </c>
      <c r="B1039" s="15"/>
      <c r="C1039" s="15"/>
      <c r="D1039" s="105">
        <v>1.0</v>
      </c>
      <c r="E1039" s="102">
        <v>21.0</v>
      </c>
      <c r="F1039" s="107">
        <v>51.0</v>
      </c>
      <c r="G1039" s="15" t="str">
        <f t="shared" si="1"/>
        <v>21051</v>
      </c>
      <c r="H1039" s="23" t="s">
        <v>112</v>
      </c>
      <c r="I1039" s="23" t="s">
        <v>54</v>
      </c>
      <c r="J1039" s="23" t="s">
        <v>531</v>
      </c>
      <c r="K1039" s="23" t="str">
        <f t="shared" si="18"/>
        <v>Clay, KY</v>
      </c>
      <c r="L1039" s="23">
        <v>49.0</v>
      </c>
      <c r="M1039" s="23" t="s">
        <v>63</v>
      </c>
      <c r="N1039" s="23">
        <v>24.0</v>
      </c>
      <c r="O1039" s="23">
        <v>1.0</v>
      </c>
      <c r="P1039" s="23" t="s">
        <v>63</v>
      </c>
      <c r="Q1039" s="23" t="s">
        <v>63</v>
      </c>
      <c r="R1039" s="23">
        <v>25.0</v>
      </c>
      <c r="S1039" s="23" t="s">
        <v>63</v>
      </c>
      <c r="T1039" s="32" t="s">
        <v>63</v>
      </c>
      <c r="U1039" s="123" t="s">
        <v>63</v>
      </c>
      <c r="V1039" s="23" t="s">
        <v>63</v>
      </c>
      <c r="W1039" s="23" t="s">
        <v>63</v>
      </c>
      <c r="X1039" s="23" t="s">
        <v>63</v>
      </c>
      <c r="Y1039" s="35">
        <v>33.0</v>
      </c>
      <c r="Z1039" s="32" t="s">
        <v>63</v>
      </c>
      <c r="AA1039" s="38"/>
      <c r="AB1039" s="38"/>
      <c r="AC1039" s="38"/>
      <c r="AD1039" s="38"/>
      <c r="AE1039" s="38"/>
      <c r="AF1039" s="38"/>
      <c r="AG1039" s="38"/>
      <c r="AH1039" s="38"/>
      <c r="AI1039" s="38"/>
      <c r="AJ1039" s="38"/>
      <c r="AK1039" s="38"/>
    </row>
    <row r="1040">
      <c r="A1040" s="99">
        <v>1039.0</v>
      </c>
      <c r="B1040" s="15"/>
      <c r="C1040" s="15"/>
      <c r="D1040" s="105">
        <v>1.0</v>
      </c>
      <c r="E1040" s="102">
        <v>21.0</v>
      </c>
      <c r="F1040" s="107">
        <v>53.0</v>
      </c>
      <c r="G1040" s="15" t="str">
        <f t="shared" si="1"/>
        <v>21053</v>
      </c>
      <c r="H1040" s="23" t="s">
        <v>711</v>
      </c>
      <c r="I1040" s="23" t="s">
        <v>54</v>
      </c>
      <c r="J1040" s="23" t="s">
        <v>531</v>
      </c>
      <c r="K1040" s="23" t="str">
        <f t="shared" si="18"/>
        <v>Clinton, KY</v>
      </c>
      <c r="L1040" s="23">
        <v>24.0</v>
      </c>
      <c r="M1040" s="23" t="s">
        <v>63</v>
      </c>
      <c r="N1040" s="23">
        <v>10.0</v>
      </c>
      <c r="O1040" s="23">
        <v>6.0</v>
      </c>
      <c r="P1040" s="23" t="s">
        <v>63</v>
      </c>
      <c r="Q1040" s="23" t="s">
        <v>63</v>
      </c>
      <c r="R1040" s="23">
        <v>7.0</v>
      </c>
      <c r="S1040" s="23" t="s">
        <v>63</v>
      </c>
      <c r="T1040" s="32" t="s">
        <v>63</v>
      </c>
      <c r="U1040" s="123" t="s">
        <v>63</v>
      </c>
      <c r="V1040" s="23" t="s">
        <v>63</v>
      </c>
      <c r="W1040" s="23" t="s">
        <v>63</v>
      </c>
      <c r="X1040" s="23" t="s">
        <v>63</v>
      </c>
      <c r="Y1040" s="35">
        <v>11.0</v>
      </c>
      <c r="Z1040" s="32" t="s">
        <v>63</v>
      </c>
      <c r="AA1040" s="38"/>
      <c r="AB1040" s="38"/>
      <c r="AC1040" s="38"/>
      <c r="AD1040" s="38"/>
      <c r="AE1040" s="38"/>
      <c r="AF1040" s="38"/>
      <c r="AG1040" s="38"/>
      <c r="AH1040" s="38"/>
      <c r="AI1040" s="38"/>
      <c r="AJ1040" s="38"/>
      <c r="AK1040" s="38"/>
    </row>
    <row r="1041">
      <c r="A1041" s="99">
        <v>1040.0</v>
      </c>
      <c r="B1041" s="15"/>
      <c r="C1041" s="15"/>
      <c r="D1041" s="105">
        <v>1.0</v>
      </c>
      <c r="E1041" s="102">
        <v>21.0</v>
      </c>
      <c r="F1041" s="107">
        <v>55.0</v>
      </c>
      <c r="G1041" s="15" t="str">
        <f t="shared" si="1"/>
        <v>21055</v>
      </c>
      <c r="H1041" s="23" t="s">
        <v>264</v>
      </c>
      <c r="I1041" s="23" t="s">
        <v>54</v>
      </c>
      <c r="J1041" s="23" t="s">
        <v>531</v>
      </c>
      <c r="K1041" s="23" t="str">
        <f t="shared" si="18"/>
        <v>Crittenden, KY</v>
      </c>
      <c r="L1041" s="23">
        <v>27.0</v>
      </c>
      <c r="M1041" s="23" t="s">
        <v>63</v>
      </c>
      <c r="N1041" s="23">
        <v>11.0</v>
      </c>
      <c r="O1041" s="23">
        <v>5.0</v>
      </c>
      <c r="P1041" s="23" t="s">
        <v>63</v>
      </c>
      <c r="Q1041" s="23" t="s">
        <v>63</v>
      </c>
      <c r="R1041" s="23">
        <v>5.0</v>
      </c>
      <c r="S1041" s="23" t="s">
        <v>63</v>
      </c>
      <c r="T1041" s="32" t="s">
        <v>63</v>
      </c>
      <c r="U1041" s="123" t="s">
        <v>63</v>
      </c>
      <c r="V1041" s="23" t="s">
        <v>63</v>
      </c>
      <c r="W1041" s="23" t="s">
        <v>63</v>
      </c>
      <c r="X1041" s="23" t="s">
        <v>63</v>
      </c>
      <c r="Y1041" s="35">
        <v>15.0</v>
      </c>
      <c r="Z1041" s="32" t="s">
        <v>63</v>
      </c>
      <c r="AA1041" s="38"/>
      <c r="AB1041" s="38"/>
      <c r="AC1041" s="38"/>
      <c r="AD1041" s="38"/>
      <c r="AE1041" s="38"/>
      <c r="AF1041" s="38"/>
      <c r="AG1041" s="38"/>
      <c r="AH1041" s="38"/>
      <c r="AI1041" s="38"/>
      <c r="AJ1041" s="38"/>
      <c r="AK1041" s="38"/>
    </row>
    <row r="1042">
      <c r="A1042" s="99">
        <v>1041.0</v>
      </c>
      <c r="B1042" s="15"/>
      <c r="C1042" s="15"/>
      <c r="D1042" s="105">
        <v>1.0</v>
      </c>
      <c r="E1042" s="102">
        <v>21.0</v>
      </c>
      <c r="F1042" s="107">
        <v>57.0</v>
      </c>
      <c r="G1042" s="15" t="str">
        <f t="shared" si="1"/>
        <v>21057</v>
      </c>
      <c r="H1042" s="23" t="s">
        <v>713</v>
      </c>
      <c r="I1042" s="23" t="s">
        <v>54</v>
      </c>
      <c r="J1042" s="23" t="s">
        <v>531</v>
      </c>
      <c r="K1042" s="23" t="str">
        <f t="shared" si="18"/>
        <v>Cumberland, KY</v>
      </c>
      <c r="L1042" s="23">
        <v>7.0</v>
      </c>
      <c r="M1042" s="23" t="s">
        <v>63</v>
      </c>
      <c r="N1042" s="23">
        <v>5.0</v>
      </c>
      <c r="O1042" s="23">
        <v>1.0</v>
      </c>
      <c r="P1042" s="23" t="s">
        <v>63</v>
      </c>
      <c r="Q1042" s="23" t="s">
        <v>63</v>
      </c>
      <c r="R1042" s="23">
        <v>2.0</v>
      </c>
      <c r="S1042" s="23" t="s">
        <v>63</v>
      </c>
      <c r="T1042" s="32" t="s">
        <v>63</v>
      </c>
      <c r="U1042" s="123" t="s">
        <v>63</v>
      </c>
      <c r="V1042" s="23" t="s">
        <v>63</v>
      </c>
      <c r="W1042" s="23" t="s">
        <v>63</v>
      </c>
      <c r="X1042" s="23" t="s">
        <v>63</v>
      </c>
      <c r="Y1042" s="35">
        <v>6.0</v>
      </c>
      <c r="Z1042" s="32" t="s">
        <v>63</v>
      </c>
      <c r="AA1042" s="38"/>
      <c r="AB1042" s="38"/>
      <c r="AC1042" s="38"/>
      <c r="AD1042" s="38"/>
      <c r="AE1042" s="38"/>
      <c r="AF1042" s="38"/>
      <c r="AG1042" s="38"/>
      <c r="AH1042" s="38"/>
      <c r="AI1042" s="38"/>
      <c r="AJ1042" s="38"/>
      <c r="AK1042" s="38"/>
    </row>
    <row r="1043">
      <c r="A1043" s="99">
        <v>1042.0</v>
      </c>
      <c r="B1043" s="15"/>
      <c r="C1043" s="15"/>
      <c r="D1043" s="105">
        <v>1.0</v>
      </c>
      <c r="E1043" s="102">
        <v>21.0</v>
      </c>
      <c r="F1043" s="107">
        <v>59.0</v>
      </c>
      <c r="G1043" s="15" t="str">
        <f t="shared" si="1"/>
        <v>21059</v>
      </c>
      <c r="H1043" s="23" t="s">
        <v>758</v>
      </c>
      <c r="I1043" s="23" t="s">
        <v>54</v>
      </c>
      <c r="J1043" s="23" t="s">
        <v>531</v>
      </c>
      <c r="K1043" s="23" t="str">
        <f t="shared" si="18"/>
        <v>Daviess, KY</v>
      </c>
      <c r="L1043" s="23">
        <v>190.0</v>
      </c>
      <c r="M1043" s="23" t="s">
        <v>63</v>
      </c>
      <c r="N1043" s="23">
        <v>60.0</v>
      </c>
      <c r="O1043" s="23">
        <v>21.0</v>
      </c>
      <c r="P1043" s="23" t="s">
        <v>63</v>
      </c>
      <c r="Q1043" s="23" t="s">
        <v>63</v>
      </c>
      <c r="R1043" s="23">
        <v>25.0</v>
      </c>
      <c r="S1043" s="23" t="s">
        <v>63</v>
      </c>
      <c r="T1043" s="32" t="s">
        <v>63</v>
      </c>
      <c r="U1043" s="123" t="s">
        <v>63</v>
      </c>
      <c r="V1043" s="23" t="s">
        <v>63</v>
      </c>
      <c r="W1043" s="23" t="s">
        <v>63</v>
      </c>
      <c r="X1043" s="23" t="s">
        <v>63</v>
      </c>
      <c r="Y1043" s="35">
        <v>106.0</v>
      </c>
      <c r="Z1043" s="32" t="s">
        <v>63</v>
      </c>
      <c r="AA1043" s="38"/>
      <c r="AB1043" s="38"/>
      <c r="AC1043" s="38"/>
      <c r="AD1043" s="38"/>
      <c r="AE1043" s="38"/>
      <c r="AF1043" s="38"/>
      <c r="AG1043" s="38"/>
      <c r="AH1043" s="38"/>
      <c r="AI1043" s="38"/>
      <c r="AJ1043" s="38"/>
      <c r="AK1043" s="38"/>
    </row>
    <row r="1044">
      <c r="A1044" s="99">
        <v>1043.0</v>
      </c>
      <c r="B1044" s="15"/>
      <c r="C1044" s="15"/>
      <c r="D1044" s="105">
        <v>1.0</v>
      </c>
      <c r="E1044" s="102">
        <v>21.0</v>
      </c>
      <c r="F1044" s="107">
        <v>61.0</v>
      </c>
      <c r="G1044" s="15" t="str">
        <f t="shared" si="1"/>
        <v>21061</v>
      </c>
      <c r="H1044" s="23" t="s">
        <v>1041</v>
      </c>
      <c r="I1044" s="23" t="s">
        <v>54</v>
      </c>
      <c r="J1044" s="23" t="s">
        <v>531</v>
      </c>
      <c r="K1044" s="23" t="str">
        <f t="shared" si="18"/>
        <v>Edmonson, KY</v>
      </c>
      <c r="L1044" s="23">
        <v>28.0</v>
      </c>
      <c r="M1044" s="23" t="s">
        <v>63</v>
      </c>
      <c r="N1044" s="23">
        <v>12.0</v>
      </c>
      <c r="O1044" s="23">
        <v>2.0</v>
      </c>
      <c r="P1044" s="23" t="s">
        <v>63</v>
      </c>
      <c r="Q1044" s="23" t="s">
        <v>63</v>
      </c>
      <c r="R1044" s="23">
        <v>6.0</v>
      </c>
      <c r="S1044" s="23" t="s">
        <v>63</v>
      </c>
      <c r="T1044" s="32" t="s">
        <v>63</v>
      </c>
      <c r="U1044" s="123" t="s">
        <v>63</v>
      </c>
      <c r="V1044" s="23" t="s">
        <v>63</v>
      </c>
      <c r="W1044" s="23" t="s">
        <v>63</v>
      </c>
      <c r="X1044" s="23" t="s">
        <v>63</v>
      </c>
      <c r="Y1044" s="35">
        <v>2.0</v>
      </c>
      <c r="Z1044" s="32" t="s">
        <v>63</v>
      </c>
      <c r="AA1044" s="38"/>
      <c r="AB1044" s="38"/>
      <c r="AC1044" s="38"/>
      <c r="AD1044" s="38"/>
      <c r="AE1044" s="38"/>
      <c r="AF1044" s="38"/>
      <c r="AG1044" s="38"/>
      <c r="AH1044" s="38"/>
      <c r="AI1044" s="38"/>
      <c r="AJ1044" s="38"/>
      <c r="AK1044" s="38"/>
    </row>
    <row r="1045">
      <c r="A1045" s="99">
        <v>1044.0</v>
      </c>
      <c r="B1045" s="15"/>
      <c r="C1045" s="15"/>
      <c r="D1045" s="105">
        <v>1.0</v>
      </c>
      <c r="E1045" s="102">
        <v>21.0</v>
      </c>
      <c r="F1045" s="107">
        <v>63.0</v>
      </c>
      <c r="G1045" s="15" t="str">
        <f t="shared" si="1"/>
        <v>21063</v>
      </c>
      <c r="H1045" s="23" t="s">
        <v>1045</v>
      </c>
      <c r="I1045" s="23" t="s">
        <v>54</v>
      </c>
      <c r="J1045" s="23" t="s">
        <v>531</v>
      </c>
      <c r="K1045" s="23" t="str">
        <f t="shared" si="18"/>
        <v>Elliott, KY</v>
      </c>
      <c r="L1045" s="23">
        <v>8.0</v>
      </c>
      <c r="M1045" s="23" t="s">
        <v>63</v>
      </c>
      <c r="N1045" s="23">
        <v>0.0</v>
      </c>
      <c r="O1045" s="23">
        <v>2.0</v>
      </c>
      <c r="P1045" s="23" t="s">
        <v>63</v>
      </c>
      <c r="Q1045" s="23" t="s">
        <v>63</v>
      </c>
      <c r="R1045" s="23">
        <v>1.0</v>
      </c>
      <c r="S1045" s="23" t="s">
        <v>63</v>
      </c>
      <c r="T1045" s="32" t="s">
        <v>63</v>
      </c>
      <c r="U1045" s="123" t="s">
        <v>63</v>
      </c>
      <c r="V1045" s="23" t="s">
        <v>63</v>
      </c>
      <c r="W1045" s="23" t="s">
        <v>63</v>
      </c>
      <c r="X1045" s="23" t="s">
        <v>63</v>
      </c>
      <c r="Y1045" s="35">
        <v>5.0</v>
      </c>
      <c r="Z1045" s="32" t="s">
        <v>63</v>
      </c>
      <c r="AA1045" s="38"/>
      <c r="AB1045" s="38"/>
      <c r="AC1045" s="38"/>
      <c r="AD1045" s="38"/>
      <c r="AE1045" s="38"/>
      <c r="AF1045" s="38"/>
      <c r="AG1045" s="38"/>
      <c r="AH1045" s="38"/>
      <c r="AI1045" s="38"/>
      <c r="AJ1045" s="38"/>
      <c r="AK1045" s="38"/>
    </row>
    <row r="1046">
      <c r="A1046" s="99">
        <v>1045.0</v>
      </c>
      <c r="B1046" s="15"/>
      <c r="C1046" s="15"/>
      <c r="D1046" s="105">
        <v>1.0</v>
      </c>
      <c r="E1046" s="102">
        <v>21.0</v>
      </c>
      <c r="F1046" s="107">
        <v>65.0</v>
      </c>
      <c r="G1046" s="15" t="str">
        <f t="shared" si="1"/>
        <v>21065</v>
      </c>
      <c r="H1046" s="23" t="s">
        <v>1046</v>
      </c>
      <c r="I1046" s="23" t="s">
        <v>54</v>
      </c>
      <c r="J1046" s="23" t="s">
        <v>531</v>
      </c>
      <c r="K1046" s="23" t="str">
        <f t="shared" si="18"/>
        <v>Estill, KY</v>
      </c>
      <c r="L1046" s="23">
        <v>53.0</v>
      </c>
      <c r="M1046" s="23" t="s">
        <v>63</v>
      </c>
      <c r="N1046" s="23">
        <v>13.0</v>
      </c>
      <c r="O1046" s="23">
        <v>7.0</v>
      </c>
      <c r="P1046" s="23" t="s">
        <v>63</v>
      </c>
      <c r="Q1046" s="23" t="s">
        <v>63</v>
      </c>
      <c r="R1046" s="23">
        <v>11.0</v>
      </c>
      <c r="S1046" s="23" t="s">
        <v>63</v>
      </c>
      <c r="T1046" s="32" t="s">
        <v>63</v>
      </c>
      <c r="U1046" s="123" t="s">
        <v>63</v>
      </c>
      <c r="V1046" s="23" t="s">
        <v>63</v>
      </c>
      <c r="W1046" s="23" t="s">
        <v>63</v>
      </c>
      <c r="X1046" s="23" t="s">
        <v>63</v>
      </c>
      <c r="Y1046" s="35">
        <v>21.0</v>
      </c>
      <c r="Z1046" s="32" t="s">
        <v>63</v>
      </c>
      <c r="AA1046" s="38"/>
      <c r="AB1046" s="38"/>
      <c r="AC1046" s="38"/>
      <c r="AD1046" s="38"/>
      <c r="AE1046" s="38"/>
      <c r="AF1046" s="38"/>
      <c r="AG1046" s="38"/>
      <c r="AH1046" s="38"/>
      <c r="AI1046" s="38"/>
      <c r="AJ1046" s="38"/>
      <c r="AK1046" s="38"/>
    </row>
    <row r="1047">
      <c r="A1047" s="99">
        <v>1046.0</v>
      </c>
      <c r="B1047" s="15"/>
      <c r="C1047" s="15"/>
      <c r="D1047" s="105">
        <v>1.0</v>
      </c>
      <c r="E1047" s="102">
        <v>21.0</v>
      </c>
      <c r="F1047" s="107">
        <v>67.0</v>
      </c>
      <c r="G1047" s="15" t="str">
        <f t="shared" si="1"/>
        <v>21067</v>
      </c>
      <c r="H1047" s="23" t="s">
        <v>135</v>
      </c>
      <c r="I1047" s="23" t="s">
        <v>54</v>
      </c>
      <c r="J1047" s="23" t="s">
        <v>531</v>
      </c>
      <c r="K1047" s="23" t="str">
        <f t="shared" si="18"/>
        <v>Fayette, KY</v>
      </c>
      <c r="L1047" s="23">
        <v>577.0</v>
      </c>
      <c r="M1047" s="23" t="s">
        <v>63</v>
      </c>
      <c r="N1047" s="23">
        <v>187.0</v>
      </c>
      <c r="O1047" s="23">
        <v>51.0</v>
      </c>
      <c r="P1047" s="23" t="s">
        <v>63</v>
      </c>
      <c r="Q1047" s="23" t="s">
        <v>63</v>
      </c>
      <c r="R1047" s="23">
        <v>208.0</v>
      </c>
      <c r="S1047" s="23" t="s">
        <v>63</v>
      </c>
      <c r="T1047" s="32" t="s">
        <v>63</v>
      </c>
      <c r="U1047" s="123" t="s">
        <v>63</v>
      </c>
      <c r="V1047" s="23" t="s">
        <v>63</v>
      </c>
      <c r="W1047" s="23" t="s">
        <v>63</v>
      </c>
      <c r="X1047" s="23" t="s">
        <v>63</v>
      </c>
      <c r="Y1047" s="35">
        <v>227.0</v>
      </c>
      <c r="Z1047" s="32" t="s">
        <v>63</v>
      </c>
      <c r="AA1047" s="38"/>
      <c r="AB1047" s="38"/>
      <c r="AC1047" s="38"/>
      <c r="AD1047" s="38"/>
      <c r="AE1047" s="38"/>
      <c r="AF1047" s="38"/>
      <c r="AG1047" s="38"/>
      <c r="AH1047" s="38"/>
      <c r="AI1047" s="38"/>
      <c r="AJ1047" s="38"/>
      <c r="AK1047" s="38"/>
    </row>
    <row r="1048">
      <c r="A1048" s="99">
        <v>1047.0</v>
      </c>
      <c r="B1048" s="15"/>
      <c r="C1048" s="15"/>
      <c r="D1048" s="105">
        <v>1.0</v>
      </c>
      <c r="E1048" s="102">
        <v>21.0</v>
      </c>
      <c r="F1048" s="107">
        <v>69.0</v>
      </c>
      <c r="G1048" s="15" t="str">
        <f t="shared" si="1"/>
        <v>21069</v>
      </c>
      <c r="H1048" s="23" t="s">
        <v>1049</v>
      </c>
      <c r="I1048" s="23" t="s">
        <v>54</v>
      </c>
      <c r="J1048" s="23" t="s">
        <v>531</v>
      </c>
      <c r="K1048" s="23" t="str">
        <f t="shared" si="18"/>
        <v>Fleming, KY</v>
      </c>
      <c r="L1048" s="23">
        <v>12.0</v>
      </c>
      <c r="M1048" s="23" t="s">
        <v>63</v>
      </c>
      <c r="N1048" s="23">
        <v>4.0</v>
      </c>
      <c r="O1048" s="23">
        <v>1.0</v>
      </c>
      <c r="P1048" s="23" t="s">
        <v>63</v>
      </c>
      <c r="Q1048" s="23" t="s">
        <v>63</v>
      </c>
      <c r="R1048" s="23">
        <v>7.0</v>
      </c>
      <c r="S1048" s="23" t="s">
        <v>63</v>
      </c>
      <c r="T1048" s="32" t="s">
        <v>63</v>
      </c>
      <c r="U1048" s="123" t="s">
        <v>63</v>
      </c>
      <c r="V1048" s="23" t="s">
        <v>63</v>
      </c>
      <c r="W1048" s="23" t="s">
        <v>63</v>
      </c>
      <c r="X1048" s="23" t="s">
        <v>63</v>
      </c>
      <c r="Y1048" s="35">
        <v>20.0</v>
      </c>
      <c r="Z1048" s="32" t="s">
        <v>63</v>
      </c>
      <c r="AA1048" s="38"/>
      <c r="AB1048" s="38"/>
      <c r="AC1048" s="38"/>
      <c r="AD1048" s="38"/>
      <c r="AE1048" s="38"/>
      <c r="AF1048" s="38"/>
      <c r="AG1048" s="38"/>
      <c r="AH1048" s="38"/>
      <c r="AI1048" s="38"/>
      <c r="AJ1048" s="38"/>
      <c r="AK1048" s="38"/>
    </row>
    <row r="1049">
      <c r="A1049" s="99">
        <v>1048.0</v>
      </c>
      <c r="B1049" s="15"/>
      <c r="C1049" s="15"/>
      <c r="D1049" s="105">
        <v>1.0</v>
      </c>
      <c r="E1049" s="102">
        <v>21.0</v>
      </c>
      <c r="F1049" s="107">
        <v>71.0</v>
      </c>
      <c r="G1049" s="15" t="str">
        <f t="shared" si="1"/>
        <v>21071</v>
      </c>
      <c r="H1049" s="23" t="s">
        <v>575</v>
      </c>
      <c r="I1049" s="23" t="s">
        <v>54</v>
      </c>
      <c r="J1049" s="23" t="s">
        <v>531</v>
      </c>
      <c r="K1049" s="23" t="str">
        <f t="shared" si="18"/>
        <v>Floyd, KY</v>
      </c>
      <c r="L1049" s="23">
        <v>96.0</v>
      </c>
      <c r="M1049" s="23" t="s">
        <v>63</v>
      </c>
      <c r="N1049" s="23">
        <v>21.0</v>
      </c>
      <c r="O1049" s="23">
        <v>2.0</v>
      </c>
      <c r="P1049" s="23" t="s">
        <v>63</v>
      </c>
      <c r="Q1049" s="23" t="s">
        <v>63</v>
      </c>
      <c r="R1049" s="23">
        <v>39.0</v>
      </c>
      <c r="S1049" s="23" t="s">
        <v>63</v>
      </c>
      <c r="T1049" s="32" t="s">
        <v>63</v>
      </c>
      <c r="U1049" s="123" t="s">
        <v>63</v>
      </c>
      <c r="V1049" s="23" t="s">
        <v>63</v>
      </c>
      <c r="W1049" s="23" t="s">
        <v>63</v>
      </c>
      <c r="X1049" s="23" t="s">
        <v>63</v>
      </c>
      <c r="Y1049" s="35">
        <v>46.0</v>
      </c>
      <c r="Z1049" s="32" t="s">
        <v>63</v>
      </c>
      <c r="AA1049" s="38"/>
      <c r="AB1049" s="38"/>
      <c r="AC1049" s="38"/>
      <c r="AD1049" s="38"/>
      <c r="AE1049" s="38"/>
      <c r="AF1049" s="38"/>
      <c r="AG1049" s="38"/>
      <c r="AH1049" s="38"/>
      <c r="AI1049" s="38"/>
      <c r="AJ1049" s="38"/>
      <c r="AK1049" s="38"/>
    </row>
    <row r="1050">
      <c r="A1050" s="99">
        <v>1049.0</v>
      </c>
      <c r="B1050" s="15"/>
      <c r="C1050" s="15"/>
      <c r="D1050" s="105">
        <v>1.0</v>
      </c>
      <c r="E1050" s="102">
        <v>21.0</v>
      </c>
      <c r="F1050" s="107">
        <v>73.0</v>
      </c>
      <c r="G1050" s="15" t="str">
        <f t="shared" si="1"/>
        <v>21073</v>
      </c>
      <c r="H1050" s="23" t="s">
        <v>136</v>
      </c>
      <c r="I1050" s="23" t="s">
        <v>54</v>
      </c>
      <c r="J1050" s="23" t="s">
        <v>531</v>
      </c>
      <c r="K1050" s="23" t="str">
        <f t="shared" si="18"/>
        <v>Franklin, KY</v>
      </c>
      <c r="L1050" s="23">
        <v>119.0</v>
      </c>
      <c r="M1050" s="23" t="s">
        <v>63</v>
      </c>
      <c r="N1050" s="23">
        <v>43.0</v>
      </c>
      <c r="O1050" s="23">
        <v>44.0</v>
      </c>
      <c r="P1050" s="23" t="s">
        <v>63</v>
      </c>
      <c r="Q1050" s="23" t="s">
        <v>63</v>
      </c>
      <c r="R1050" s="23">
        <v>15.0</v>
      </c>
      <c r="S1050" s="23" t="s">
        <v>63</v>
      </c>
      <c r="T1050" s="32" t="s">
        <v>63</v>
      </c>
      <c r="U1050" s="123" t="s">
        <v>63</v>
      </c>
      <c r="V1050" s="23" t="s">
        <v>63</v>
      </c>
      <c r="W1050" s="23" t="s">
        <v>63</v>
      </c>
      <c r="X1050" s="23" t="s">
        <v>63</v>
      </c>
      <c r="Y1050" s="35">
        <v>56.0</v>
      </c>
      <c r="Z1050" s="32" t="s">
        <v>63</v>
      </c>
      <c r="AA1050" s="38"/>
      <c r="AB1050" s="38"/>
      <c r="AC1050" s="38"/>
      <c r="AD1050" s="38"/>
      <c r="AE1050" s="38"/>
      <c r="AF1050" s="38"/>
      <c r="AG1050" s="38"/>
      <c r="AH1050" s="38"/>
      <c r="AI1050" s="38"/>
      <c r="AJ1050" s="38"/>
      <c r="AK1050" s="38"/>
    </row>
    <row r="1051">
      <c r="A1051" s="99">
        <v>1050.0</v>
      </c>
      <c r="B1051" s="15"/>
      <c r="C1051" s="15"/>
      <c r="D1051" s="105">
        <v>1.0</v>
      </c>
      <c r="E1051" s="102">
        <v>21.0</v>
      </c>
      <c r="F1051" s="107">
        <v>75.0</v>
      </c>
      <c r="G1051" s="15" t="str">
        <f t="shared" si="1"/>
        <v>21075</v>
      </c>
      <c r="H1051" s="23" t="s">
        <v>275</v>
      </c>
      <c r="I1051" s="23" t="s">
        <v>54</v>
      </c>
      <c r="J1051" s="23" t="s">
        <v>531</v>
      </c>
      <c r="K1051" s="23" t="str">
        <f t="shared" si="18"/>
        <v>Fulton, KY</v>
      </c>
      <c r="L1051" s="23">
        <v>12.0</v>
      </c>
      <c r="M1051" s="23" t="s">
        <v>63</v>
      </c>
      <c r="N1051" s="23">
        <v>3.0</v>
      </c>
      <c r="O1051" s="23">
        <v>4.0</v>
      </c>
      <c r="P1051" s="23" t="s">
        <v>63</v>
      </c>
      <c r="Q1051" s="23" t="s">
        <v>63</v>
      </c>
      <c r="R1051" s="23">
        <v>0.0</v>
      </c>
      <c r="S1051" s="23" t="s">
        <v>63</v>
      </c>
      <c r="T1051" s="32" t="s">
        <v>63</v>
      </c>
      <c r="U1051" s="123" t="s">
        <v>63</v>
      </c>
      <c r="V1051" s="23" t="s">
        <v>63</v>
      </c>
      <c r="W1051" s="23" t="s">
        <v>63</v>
      </c>
      <c r="X1051" s="23" t="s">
        <v>63</v>
      </c>
      <c r="Y1051" s="35">
        <v>17.0</v>
      </c>
      <c r="Z1051" s="32" t="s">
        <v>63</v>
      </c>
      <c r="AA1051" s="38"/>
      <c r="AB1051" s="38"/>
      <c r="AC1051" s="38"/>
      <c r="AD1051" s="38"/>
      <c r="AE1051" s="38"/>
      <c r="AF1051" s="38"/>
      <c r="AG1051" s="38"/>
      <c r="AH1051" s="38"/>
      <c r="AI1051" s="38"/>
      <c r="AJ1051" s="38"/>
      <c r="AK1051" s="38"/>
    </row>
    <row r="1052">
      <c r="A1052" s="99">
        <v>1051.0</v>
      </c>
      <c r="B1052" s="15"/>
      <c r="C1052" s="15"/>
      <c r="D1052" s="105">
        <v>1.0</v>
      </c>
      <c r="E1052" s="102">
        <v>21.0</v>
      </c>
      <c r="F1052" s="107">
        <v>77.0</v>
      </c>
      <c r="G1052" s="15" t="str">
        <f t="shared" si="1"/>
        <v>21077</v>
      </c>
      <c r="H1052" s="23" t="s">
        <v>719</v>
      </c>
      <c r="I1052" s="23" t="s">
        <v>54</v>
      </c>
      <c r="J1052" s="23" t="s">
        <v>531</v>
      </c>
      <c r="K1052" s="23" t="str">
        <f t="shared" si="18"/>
        <v>Gallatin, KY</v>
      </c>
      <c r="L1052" s="23">
        <v>5.0</v>
      </c>
      <c r="M1052" s="23" t="s">
        <v>63</v>
      </c>
      <c r="N1052" s="23">
        <v>2.0</v>
      </c>
      <c r="O1052" s="23">
        <v>2.0</v>
      </c>
      <c r="P1052" s="23" t="s">
        <v>63</v>
      </c>
      <c r="Q1052" s="23" t="s">
        <v>63</v>
      </c>
      <c r="R1052" s="23">
        <v>0.0</v>
      </c>
      <c r="S1052" s="23" t="s">
        <v>63</v>
      </c>
      <c r="T1052" s="32" t="s">
        <v>63</v>
      </c>
      <c r="U1052" s="123" t="s">
        <v>63</v>
      </c>
      <c r="V1052" s="23" t="s">
        <v>63</v>
      </c>
      <c r="W1052" s="23" t="s">
        <v>63</v>
      </c>
      <c r="X1052" s="23" t="s">
        <v>63</v>
      </c>
      <c r="Y1052" s="35">
        <v>9.0</v>
      </c>
      <c r="Z1052" s="32" t="s">
        <v>63</v>
      </c>
      <c r="AA1052" s="38"/>
      <c r="AB1052" s="38"/>
      <c r="AC1052" s="38"/>
      <c r="AD1052" s="38"/>
      <c r="AE1052" s="38"/>
      <c r="AF1052" s="38"/>
      <c r="AG1052" s="38"/>
      <c r="AH1052" s="38"/>
      <c r="AI1052" s="38"/>
      <c r="AJ1052" s="38"/>
      <c r="AK1052" s="38"/>
    </row>
    <row r="1053">
      <c r="A1053" s="99">
        <v>1052.0</v>
      </c>
      <c r="B1053" s="15"/>
      <c r="C1053" s="15"/>
      <c r="D1053" s="105">
        <v>1.0</v>
      </c>
      <c r="E1053" s="102">
        <v>21.0</v>
      </c>
      <c r="F1053" s="107">
        <v>79.0</v>
      </c>
      <c r="G1053" s="15" t="str">
        <f t="shared" si="1"/>
        <v>21079</v>
      </c>
      <c r="H1053" s="23" t="s">
        <v>1060</v>
      </c>
      <c r="I1053" s="23" t="s">
        <v>54</v>
      </c>
      <c r="J1053" s="23" t="s">
        <v>531</v>
      </c>
      <c r="K1053" s="23" t="str">
        <f t="shared" si="18"/>
        <v>Garrard, KY</v>
      </c>
      <c r="L1053" s="23">
        <v>36.0</v>
      </c>
      <c r="M1053" s="23" t="s">
        <v>63</v>
      </c>
      <c r="N1053" s="23">
        <v>8.0</v>
      </c>
      <c r="O1053" s="23">
        <v>8.0</v>
      </c>
      <c r="P1053" s="23" t="s">
        <v>63</v>
      </c>
      <c r="Q1053" s="23" t="s">
        <v>63</v>
      </c>
      <c r="R1053" s="23">
        <v>14.0</v>
      </c>
      <c r="S1053" s="23" t="s">
        <v>63</v>
      </c>
      <c r="T1053" s="32" t="s">
        <v>63</v>
      </c>
      <c r="U1053" s="123" t="s">
        <v>63</v>
      </c>
      <c r="V1053" s="23" t="s">
        <v>63</v>
      </c>
      <c r="W1053" s="23" t="s">
        <v>63</v>
      </c>
      <c r="X1053" s="23" t="s">
        <v>63</v>
      </c>
      <c r="Y1053" s="35">
        <v>21.0</v>
      </c>
      <c r="Z1053" s="32" t="s">
        <v>63</v>
      </c>
      <c r="AA1053" s="38"/>
      <c r="AB1053" s="38"/>
      <c r="AC1053" s="38"/>
      <c r="AD1053" s="38"/>
      <c r="AE1053" s="38"/>
      <c r="AF1053" s="38"/>
      <c r="AG1053" s="38"/>
      <c r="AH1053" s="38"/>
      <c r="AI1053" s="38"/>
      <c r="AJ1053" s="38"/>
      <c r="AK1053" s="38"/>
    </row>
    <row r="1054">
      <c r="A1054" s="99">
        <v>1053.0</v>
      </c>
      <c r="B1054" s="15"/>
      <c r="C1054" s="15"/>
      <c r="D1054" s="105">
        <v>1.0</v>
      </c>
      <c r="E1054" s="102">
        <v>21.0</v>
      </c>
      <c r="F1054" s="107">
        <v>81.0</v>
      </c>
      <c r="G1054" s="15" t="str">
        <f t="shared" si="1"/>
        <v>21081</v>
      </c>
      <c r="H1054" s="23" t="s">
        <v>278</v>
      </c>
      <c r="I1054" s="23" t="s">
        <v>54</v>
      </c>
      <c r="J1054" s="23" t="s">
        <v>531</v>
      </c>
      <c r="K1054" s="23" t="str">
        <f t="shared" si="18"/>
        <v>Grant, KY</v>
      </c>
      <c r="L1054" s="23">
        <v>45.0</v>
      </c>
      <c r="M1054" s="23" t="s">
        <v>63</v>
      </c>
      <c r="N1054" s="23">
        <v>14.0</v>
      </c>
      <c r="O1054" s="23">
        <v>8.0</v>
      </c>
      <c r="P1054" s="23" t="s">
        <v>63</v>
      </c>
      <c r="Q1054" s="23" t="s">
        <v>63</v>
      </c>
      <c r="R1054" s="23">
        <v>4.0</v>
      </c>
      <c r="S1054" s="23" t="s">
        <v>63</v>
      </c>
      <c r="T1054" s="32" t="s">
        <v>63</v>
      </c>
      <c r="U1054" s="123" t="s">
        <v>63</v>
      </c>
      <c r="V1054" s="23" t="s">
        <v>63</v>
      </c>
      <c r="W1054" s="23" t="s">
        <v>63</v>
      </c>
      <c r="X1054" s="23" t="s">
        <v>63</v>
      </c>
      <c r="Y1054" s="35">
        <v>39.0</v>
      </c>
      <c r="Z1054" s="32" t="s">
        <v>63</v>
      </c>
      <c r="AA1054" s="38"/>
      <c r="AB1054" s="38"/>
      <c r="AC1054" s="38"/>
      <c r="AD1054" s="38"/>
      <c r="AE1054" s="38"/>
      <c r="AF1054" s="38"/>
      <c r="AG1054" s="38"/>
      <c r="AH1054" s="38"/>
      <c r="AI1054" s="38"/>
      <c r="AJ1054" s="38"/>
      <c r="AK1054" s="38"/>
    </row>
    <row r="1055">
      <c r="A1055" s="99">
        <v>1054.0</v>
      </c>
      <c r="B1055" s="15"/>
      <c r="C1055" s="15"/>
      <c r="D1055" s="105">
        <v>1.0</v>
      </c>
      <c r="E1055" s="102">
        <v>21.0</v>
      </c>
      <c r="F1055" s="107">
        <v>83.0</v>
      </c>
      <c r="G1055" s="15" t="str">
        <f t="shared" si="1"/>
        <v>21083</v>
      </c>
      <c r="H1055" s="23" t="s">
        <v>1068</v>
      </c>
      <c r="I1055" s="23" t="s">
        <v>54</v>
      </c>
      <c r="J1055" s="23" t="s">
        <v>531</v>
      </c>
      <c r="K1055" s="23" t="str">
        <f t="shared" si="18"/>
        <v>Graves, KY</v>
      </c>
      <c r="L1055" s="23">
        <v>88.0</v>
      </c>
      <c r="M1055" s="23" t="s">
        <v>63</v>
      </c>
      <c r="N1055" s="23">
        <v>27.0</v>
      </c>
      <c r="O1055" s="23">
        <v>10.0</v>
      </c>
      <c r="P1055" s="23" t="s">
        <v>63</v>
      </c>
      <c r="Q1055" s="23" t="s">
        <v>63</v>
      </c>
      <c r="R1055" s="23">
        <v>24.0</v>
      </c>
      <c r="S1055" s="23" t="s">
        <v>63</v>
      </c>
      <c r="T1055" s="32" t="s">
        <v>63</v>
      </c>
      <c r="U1055" s="123" t="s">
        <v>63</v>
      </c>
      <c r="V1055" s="23" t="s">
        <v>63</v>
      </c>
      <c r="W1055" s="23" t="s">
        <v>63</v>
      </c>
      <c r="X1055" s="23" t="s">
        <v>63</v>
      </c>
      <c r="Y1055" s="35">
        <v>63.0</v>
      </c>
      <c r="Z1055" s="32" t="s">
        <v>63</v>
      </c>
      <c r="AA1055" s="38"/>
      <c r="AB1055" s="38"/>
      <c r="AC1055" s="38"/>
      <c r="AD1055" s="38"/>
      <c r="AE1055" s="38"/>
      <c r="AF1055" s="38"/>
      <c r="AG1055" s="38"/>
      <c r="AH1055" s="38"/>
      <c r="AI1055" s="38"/>
      <c r="AJ1055" s="38"/>
      <c r="AK1055" s="38"/>
    </row>
    <row r="1056">
      <c r="A1056" s="99">
        <v>1055.0</v>
      </c>
      <c r="B1056" s="15"/>
      <c r="C1056" s="15"/>
      <c r="D1056" s="105">
        <v>1.0</v>
      </c>
      <c r="E1056" s="102">
        <v>21.0</v>
      </c>
      <c r="F1056" s="107">
        <v>85.0</v>
      </c>
      <c r="G1056" s="15" t="str">
        <f t="shared" si="1"/>
        <v>21085</v>
      </c>
      <c r="H1056" s="23" t="s">
        <v>1072</v>
      </c>
      <c r="I1056" s="23" t="s">
        <v>54</v>
      </c>
      <c r="J1056" s="23" t="s">
        <v>531</v>
      </c>
      <c r="K1056" s="23" t="str">
        <f t="shared" si="18"/>
        <v>Grayson, KY</v>
      </c>
      <c r="L1056" s="23">
        <v>57.0</v>
      </c>
      <c r="M1056" s="23" t="s">
        <v>63</v>
      </c>
      <c r="N1056" s="23">
        <v>21.0</v>
      </c>
      <c r="O1056" s="23">
        <v>3.0</v>
      </c>
      <c r="P1056" s="23" t="s">
        <v>63</v>
      </c>
      <c r="Q1056" s="23" t="s">
        <v>63</v>
      </c>
      <c r="R1056" s="23">
        <v>25.0</v>
      </c>
      <c r="S1056" s="23" t="s">
        <v>63</v>
      </c>
      <c r="T1056" s="32" t="s">
        <v>63</v>
      </c>
      <c r="U1056" s="123" t="s">
        <v>63</v>
      </c>
      <c r="V1056" s="23" t="s">
        <v>63</v>
      </c>
      <c r="W1056" s="23" t="s">
        <v>63</v>
      </c>
      <c r="X1056" s="23" t="s">
        <v>63</v>
      </c>
      <c r="Y1056" s="35">
        <v>25.0</v>
      </c>
      <c r="Z1056" s="32" t="s">
        <v>63</v>
      </c>
      <c r="AA1056" s="38"/>
      <c r="AB1056" s="38"/>
      <c r="AC1056" s="38"/>
      <c r="AD1056" s="38"/>
      <c r="AE1056" s="38"/>
      <c r="AF1056" s="38"/>
      <c r="AG1056" s="38"/>
      <c r="AH1056" s="38"/>
      <c r="AI1056" s="38"/>
      <c r="AJ1056" s="38"/>
      <c r="AK1056" s="38"/>
    </row>
    <row r="1057">
      <c r="A1057" s="99">
        <v>1056.0</v>
      </c>
      <c r="B1057" s="15"/>
      <c r="C1057" s="15"/>
      <c r="D1057" s="105">
        <v>1.0</v>
      </c>
      <c r="E1057" s="102">
        <v>21.0</v>
      </c>
      <c r="F1057" s="107">
        <v>87.0</v>
      </c>
      <c r="G1057" s="15" t="str">
        <f t="shared" si="1"/>
        <v>21087</v>
      </c>
      <c r="H1057" s="23" t="s">
        <v>1075</v>
      </c>
      <c r="I1057" s="23" t="s">
        <v>54</v>
      </c>
      <c r="J1057" s="23" t="s">
        <v>531</v>
      </c>
      <c r="K1057" s="23" t="str">
        <f t="shared" si="18"/>
        <v>Green, KY</v>
      </c>
      <c r="L1057" s="23">
        <v>13.0</v>
      </c>
      <c r="M1057" s="23" t="s">
        <v>63</v>
      </c>
      <c r="N1057" s="23">
        <v>0.0</v>
      </c>
      <c r="O1057" s="23">
        <v>0.0</v>
      </c>
      <c r="P1057" s="23" t="s">
        <v>63</v>
      </c>
      <c r="Q1057" s="23" t="s">
        <v>63</v>
      </c>
      <c r="R1057" s="23">
        <v>5.0</v>
      </c>
      <c r="S1057" s="23" t="s">
        <v>63</v>
      </c>
      <c r="T1057" s="32" t="s">
        <v>63</v>
      </c>
      <c r="U1057" s="123" t="s">
        <v>63</v>
      </c>
      <c r="V1057" s="23" t="s">
        <v>63</v>
      </c>
      <c r="W1057" s="23" t="s">
        <v>63</v>
      </c>
      <c r="X1057" s="23" t="s">
        <v>63</v>
      </c>
      <c r="Y1057" s="35">
        <v>24.0</v>
      </c>
      <c r="Z1057" s="32" t="s">
        <v>63</v>
      </c>
      <c r="AA1057" s="38"/>
      <c r="AB1057" s="38"/>
      <c r="AC1057" s="38"/>
      <c r="AD1057" s="38"/>
      <c r="AE1057" s="38"/>
      <c r="AF1057" s="38"/>
      <c r="AG1057" s="38"/>
      <c r="AH1057" s="38"/>
      <c r="AI1057" s="38"/>
      <c r="AJ1057" s="38"/>
      <c r="AK1057" s="38"/>
    </row>
    <row r="1058">
      <c r="A1058" s="99">
        <v>1057.0</v>
      </c>
      <c r="B1058" s="15"/>
      <c r="C1058" s="15"/>
      <c r="D1058" s="105">
        <v>1.0</v>
      </c>
      <c r="E1058" s="102">
        <v>21.0</v>
      </c>
      <c r="F1058" s="107">
        <v>89.0</v>
      </c>
      <c r="G1058" s="15" t="str">
        <f t="shared" si="1"/>
        <v>21089</v>
      </c>
      <c r="H1058" s="23" t="s">
        <v>1078</v>
      </c>
      <c r="I1058" s="23" t="s">
        <v>54</v>
      </c>
      <c r="J1058" s="23" t="s">
        <v>531</v>
      </c>
      <c r="K1058" s="23" t="str">
        <f t="shared" si="18"/>
        <v>Greenup, KY</v>
      </c>
      <c r="L1058" s="23">
        <v>59.0</v>
      </c>
      <c r="M1058" s="23" t="s">
        <v>63</v>
      </c>
      <c r="N1058" s="23">
        <v>12.0</v>
      </c>
      <c r="O1058" s="23">
        <v>6.0</v>
      </c>
      <c r="P1058" s="23" t="s">
        <v>63</v>
      </c>
      <c r="Q1058" s="23" t="s">
        <v>63</v>
      </c>
      <c r="R1058" s="23">
        <v>14.0</v>
      </c>
      <c r="S1058" s="23" t="s">
        <v>63</v>
      </c>
      <c r="T1058" s="32" t="s">
        <v>63</v>
      </c>
      <c r="U1058" s="123" t="s">
        <v>63</v>
      </c>
      <c r="V1058" s="23" t="s">
        <v>63</v>
      </c>
      <c r="W1058" s="23" t="s">
        <v>63</v>
      </c>
      <c r="X1058" s="23" t="s">
        <v>63</v>
      </c>
      <c r="Y1058" s="35">
        <v>53.0</v>
      </c>
      <c r="Z1058" s="32" t="s">
        <v>63</v>
      </c>
      <c r="AA1058" s="38"/>
      <c r="AB1058" s="38"/>
      <c r="AC1058" s="38"/>
      <c r="AD1058" s="38"/>
      <c r="AE1058" s="38"/>
      <c r="AF1058" s="38"/>
      <c r="AG1058" s="38"/>
      <c r="AH1058" s="38"/>
      <c r="AI1058" s="38"/>
      <c r="AJ1058" s="38"/>
      <c r="AK1058" s="38"/>
    </row>
    <row r="1059">
      <c r="A1059" s="99">
        <v>1058.0</v>
      </c>
      <c r="B1059" s="15"/>
      <c r="C1059" s="15"/>
      <c r="D1059" s="105">
        <v>1.0</v>
      </c>
      <c r="E1059" s="102">
        <v>21.0</v>
      </c>
      <c r="F1059" s="107">
        <v>91.0</v>
      </c>
      <c r="G1059" s="15" t="str">
        <f t="shared" si="1"/>
        <v>21091</v>
      </c>
      <c r="H1059" s="23" t="s">
        <v>587</v>
      </c>
      <c r="I1059" s="23" t="s">
        <v>54</v>
      </c>
      <c r="J1059" s="23" t="s">
        <v>531</v>
      </c>
      <c r="K1059" s="23" t="str">
        <f t="shared" si="18"/>
        <v>Hancock, KY</v>
      </c>
      <c r="L1059" s="23">
        <v>11.0</v>
      </c>
      <c r="M1059" s="23" t="s">
        <v>63</v>
      </c>
      <c r="N1059" s="23">
        <v>3.0</v>
      </c>
      <c r="O1059" s="23">
        <v>3.0</v>
      </c>
      <c r="P1059" s="23" t="s">
        <v>63</v>
      </c>
      <c r="Q1059" s="23" t="s">
        <v>63</v>
      </c>
      <c r="R1059" s="23">
        <v>0.0</v>
      </c>
      <c r="S1059" s="23" t="s">
        <v>63</v>
      </c>
      <c r="T1059" s="32" t="s">
        <v>63</v>
      </c>
      <c r="U1059" s="123" t="s">
        <v>63</v>
      </c>
      <c r="V1059" s="23" t="s">
        <v>63</v>
      </c>
      <c r="W1059" s="23" t="s">
        <v>63</v>
      </c>
      <c r="X1059" s="23" t="s">
        <v>63</v>
      </c>
      <c r="Y1059" s="35">
        <v>16.0</v>
      </c>
      <c r="Z1059" s="32" t="s">
        <v>63</v>
      </c>
      <c r="AA1059" s="38"/>
      <c r="AB1059" s="38"/>
      <c r="AC1059" s="38"/>
      <c r="AD1059" s="38"/>
      <c r="AE1059" s="38"/>
      <c r="AF1059" s="38"/>
      <c r="AG1059" s="38"/>
      <c r="AH1059" s="38"/>
      <c r="AI1059" s="38"/>
      <c r="AJ1059" s="38"/>
      <c r="AK1059" s="38"/>
    </row>
    <row r="1060">
      <c r="A1060" s="99">
        <v>1059.0</v>
      </c>
      <c r="B1060" s="15"/>
      <c r="C1060" s="15"/>
      <c r="D1060" s="105">
        <v>1.0</v>
      </c>
      <c r="E1060" s="102">
        <v>21.0</v>
      </c>
      <c r="F1060" s="107">
        <v>93.0</v>
      </c>
      <c r="G1060" s="15" t="str">
        <f t="shared" si="1"/>
        <v>21093</v>
      </c>
      <c r="H1060" s="23" t="s">
        <v>721</v>
      </c>
      <c r="I1060" s="23" t="s">
        <v>54</v>
      </c>
      <c r="J1060" s="23" t="s">
        <v>531</v>
      </c>
      <c r="K1060" s="23" t="str">
        <f t="shared" si="18"/>
        <v>Hardin, KY</v>
      </c>
      <c r="L1060" s="23">
        <v>259.0</v>
      </c>
      <c r="M1060" s="23" t="s">
        <v>63</v>
      </c>
      <c r="N1060" s="23">
        <v>125.0</v>
      </c>
      <c r="O1060" s="23">
        <v>23.0</v>
      </c>
      <c r="P1060" s="23" t="s">
        <v>63</v>
      </c>
      <c r="Q1060" s="23" t="s">
        <v>63</v>
      </c>
      <c r="R1060" s="23">
        <v>58.0</v>
      </c>
      <c r="S1060" s="23" t="s">
        <v>63</v>
      </c>
      <c r="T1060" s="32" t="s">
        <v>63</v>
      </c>
      <c r="U1060" s="123" t="s">
        <v>63</v>
      </c>
      <c r="V1060" s="23" t="s">
        <v>63</v>
      </c>
      <c r="W1060" s="23" t="s">
        <v>63</v>
      </c>
      <c r="X1060" s="23" t="s">
        <v>63</v>
      </c>
      <c r="Y1060" s="35">
        <v>94.0</v>
      </c>
      <c r="Z1060" s="32" t="s">
        <v>63</v>
      </c>
      <c r="AA1060" s="38"/>
      <c r="AB1060" s="38"/>
      <c r="AC1060" s="38"/>
      <c r="AD1060" s="38"/>
      <c r="AE1060" s="38"/>
      <c r="AF1060" s="38"/>
      <c r="AG1060" s="38"/>
      <c r="AH1060" s="38"/>
      <c r="AI1060" s="38"/>
      <c r="AJ1060" s="38"/>
      <c r="AK1060" s="38"/>
    </row>
    <row r="1061">
      <c r="A1061" s="99">
        <v>1060.0</v>
      </c>
      <c r="B1061" s="15"/>
      <c r="C1061" s="15"/>
      <c r="D1061" s="105">
        <v>1.0</v>
      </c>
      <c r="E1061" s="102">
        <v>21.0</v>
      </c>
      <c r="F1061" s="107">
        <v>95.0</v>
      </c>
      <c r="G1061" s="15" t="str">
        <f t="shared" si="1"/>
        <v>21095</v>
      </c>
      <c r="H1061" s="23" t="s">
        <v>1088</v>
      </c>
      <c r="I1061" s="23" t="s">
        <v>54</v>
      </c>
      <c r="J1061" s="23" t="s">
        <v>531</v>
      </c>
      <c r="K1061" s="23" t="str">
        <f t="shared" si="18"/>
        <v>Harlan, KY</v>
      </c>
      <c r="L1061" s="23">
        <v>11.0</v>
      </c>
      <c r="M1061" s="23" t="s">
        <v>63</v>
      </c>
      <c r="N1061" s="23">
        <v>2.0</v>
      </c>
      <c r="O1061" s="23">
        <v>2.0</v>
      </c>
      <c r="P1061" s="23" t="s">
        <v>63</v>
      </c>
      <c r="Q1061" s="23" t="s">
        <v>63</v>
      </c>
      <c r="R1061" s="23">
        <v>5.0</v>
      </c>
      <c r="S1061" s="23" t="s">
        <v>63</v>
      </c>
      <c r="T1061" s="32" t="s">
        <v>63</v>
      </c>
      <c r="U1061" s="123" t="s">
        <v>63</v>
      </c>
      <c r="V1061" s="23" t="s">
        <v>63</v>
      </c>
      <c r="W1061" s="23" t="s">
        <v>63</v>
      </c>
      <c r="X1061" s="23" t="s">
        <v>63</v>
      </c>
      <c r="Y1061" s="35">
        <v>38.0</v>
      </c>
      <c r="Z1061" s="32" t="s">
        <v>63</v>
      </c>
      <c r="AA1061" s="38"/>
      <c r="AB1061" s="38"/>
      <c r="AC1061" s="38"/>
      <c r="AD1061" s="38"/>
      <c r="AE1061" s="38"/>
      <c r="AF1061" s="38"/>
      <c r="AG1061" s="38"/>
      <c r="AH1061" s="38"/>
      <c r="AI1061" s="38"/>
      <c r="AJ1061" s="38"/>
      <c r="AK1061" s="38"/>
    </row>
    <row r="1062">
      <c r="A1062" s="99">
        <v>1061.0</v>
      </c>
      <c r="B1062" s="15"/>
      <c r="C1062" s="15"/>
      <c r="D1062" s="105">
        <v>1.0</v>
      </c>
      <c r="E1062" s="102">
        <v>21.0</v>
      </c>
      <c r="F1062" s="107">
        <v>97.0</v>
      </c>
      <c r="G1062" s="15" t="str">
        <f t="shared" si="1"/>
        <v>21097</v>
      </c>
      <c r="H1062" s="23" t="s">
        <v>775</v>
      </c>
      <c r="I1062" s="23" t="s">
        <v>54</v>
      </c>
      <c r="J1062" s="23" t="s">
        <v>531</v>
      </c>
      <c r="K1062" s="23" t="str">
        <f t="shared" si="18"/>
        <v>Harrison, KY</v>
      </c>
      <c r="L1062" s="23">
        <v>54.0</v>
      </c>
      <c r="M1062" s="23" t="s">
        <v>63</v>
      </c>
      <c r="N1062" s="23">
        <v>31.0</v>
      </c>
      <c r="O1062" s="23">
        <v>4.0</v>
      </c>
      <c r="P1062" s="23" t="s">
        <v>63</v>
      </c>
      <c r="Q1062" s="23" t="s">
        <v>63</v>
      </c>
      <c r="R1062" s="23">
        <v>19.0</v>
      </c>
      <c r="S1062" s="23" t="s">
        <v>63</v>
      </c>
      <c r="T1062" s="32" t="s">
        <v>63</v>
      </c>
      <c r="U1062" s="123" t="s">
        <v>63</v>
      </c>
      <c r="V1062" s="23" t="s">
        <v>63</v>
      </c>
      <c r="W1062" s="23" t="s">
        <v>63</v>
      </c>
      <c r="X1062" s="23" t="s">
        <v>63</v>
      </c>
      <c r="Y1062" s="35">
        <v>22.0</v>
      </c>
      <c r="Z1062" s="32" t="s">
        <v>63</v>
      </c>
      <c r="AA1062" s="38"/>
      <c r="AB1062" s="38"/>
      <c r="AC1062" s="38"/>
      <c r="AD1062" s="38"/>
      <c r="AE1062" s="38"/>
      <c r="AF1062" s="38"/>
      <c r="AG1062" s="38"/>
      <c r="AH1062" s="38"/>
      <c r="AI1062" s="38"/>
      <c r="AJ1062" s="38"/>
      <c r="AK1062" s="38"/>
    </row>
    <row r="1063">
      <c r="A1063" s="99">
        <v>1062.0</v>
      </c>
      <c r="B1063" s="15"/>
      <c r="C1063" s="15"/>
      <c r="D1063" s="105">
        <v>1.0</v>
      </c>
      <c r="E1063" s="102">
        <v>21.0</v>
      </c>
      <c r="F1063" s="107">
        <v>99.0</v>
      </c>
      <c r="G1063" s="15" t="str">
        <f t="shared" si="1"/>
        <v>21099</v>
      </c>
      <c r="H1063" s="23" t="s">
        <v>589</v>
      </c>
      <c r="I1063" s="23" t="s">
        <v>54</v>
      </c>
      <c r="J1063" s="23" t="s">
        <v>531</v>
      </c>
      <c r="K1063" s="23" t="str">
        <f t="shared" si="18"/>
        <v>Hart, KY</v>
      </c>
      <c r="L1063" s="23">
        <v>38.0</v>
      </c>
      <c r="M1063" s="23" t="s">
        <v>63</v>
      </c>
      <c r="N1063" s="23">
        <v>5.0</v>
      </c>
      <c r="O1063" s="23">
        <v>5.0</v>
      </c>
      <c r="P1063" s="23" t="s">
        <v>63</v>
      </c>
      <c r="Q1063" s="23" t="s">
        <v>63</v>
      </c>
      <c r="R1063" s="23">
        <v>9.0</v>
      </c>
      <c r="S1063" s="23" t="s">
        <v>63</v>
      </c>
      <c r="T1063" s="32" t="s">
        <v>63</v>
      </c>
      <c r="U1063" s="123" t="s">
        <v>63</v>
      </c>
      <c r="V1063" s="23" t="s">
        <v>63</v>
      </c>
      <c r="W1063" s="23" t="s">
        <v>63</v>
      </c>
      <c r="X1063" s="23" t="s">
        <v>63</v>
      </c>
      <c r="Y1063" s="35">
        <v>25.0</v>
      </c>
      <c r="Z1063" s="32" t="s">
        <v>63</v>
      </c>
      <c r="AA1063" s="38"/>
      <c r="AB1063" s="38"/>
      <c r="AC1063" s="38"/>
      <c r="AD1063" s="38"/>
      <c r="AE1063" s="38"/>
      <c r="AF1063" s="38"/>
      <c r="AG1063" s="38"/>
      <c r="AH1063" s="38"/>
      <c r="AI1063" s="38"/>
      <c r="AJ1063" s="38"/>
      <c r="AK1063" s="38"/>
    </row>
    <row r="1064">
      <c r="A1064" s="99">
        <v>1063.0</v>
      </c>
      <c r="B1064" s="15"/>
      <c r="C1064" s="15"/>
      <c r="D1064" s="105">
        <v>1.0</v>
      </c>
      <c r="E1064" s="102">
        <v>21.0</v>
      </c>
      <c r="F1064" s="107">
        <v>101.0</v>
      </c>
      <c r="G1064" s="15" t="str">
        <f t="shared" si="1"/>
        <v>21101</v>
      </c>
      <c r="H1064" s="23" t="s">
        <v>722</v>
      </c>
      <c r="I1064" s="23" t="s">
        <v>54</v>
      </c>
      <c r="J1064" s="23" t="s">
        <v>531</v>
      </c>
      <c r="K1064" s="23" t="str">
        <f t="shared" si="18"/>
        <v>Henderson, KY</v>
      </c>
      <c r="L1064" s="23">
        <v>50.0</v>
      </c>
      <c r="M1064" s="23" t="s">
        <v>63</v>
      </c>
      <c r="N1064" s="23">
        <v>20.0</v>
      </c>
      <c r="O1064" s="23">
        <v>7.0</v>
      </c>
      <c r="P1064" s="23" t="s">
        <v>63</v>
      </c>
      <c r="Q1064" s="23" t="s">
        <v>63</v>
      </c>
      <c r="R1064" s="23">
        <v>5.0</v>
      </c>
      <c r="S1064" s="23" t="s">
        <v>63</v>
      </c>
      <c r="T1064" s="32" t="s">
        <v>63</v>
      </c>
      <c r="U1064" s="123" t="s">
        <v>63</v>
      </c>
      <c r="V1064" s="23" t="s">
        <v>63</v>
      </c>
      <c r="W1064" s="23" t="s">
        <v>63</v>
      </c>
      <c r="X1064" s="23" t="s">
        <v>63</v>
      </c>
      <c r="Y1064" s="35">
        <v>56.0</v>
      </c>
      <c r="Z1064" s="32" t="s">
        <v>63</v>
      </c>
      <c r="AA1064" s="38"/>
      <c r="AB1064" s="38"/>
      <c r="AC1064" s="38"/>
      <c r="AD1064" s="38"/>
      <c r="AE1064" s="38"/>
      <c r="AF1064" s="38"/>
      <c r="AG1064" s="38"/>
      <c r="AH1064" s="38"/>
      <c r="AI1064" s="38"/>
      <c r="AJ1064" s="38"/>
      <c r="AK1064" s="38"/>
    </row>
    <row r="1065">
      <c r="A1065" s="99">
        <v>1064.0</v>
      </c>
      <c r="B1065" s="15"/>
      <c r="C1065" s="15"/>
      <c r="D1065" s="105">
        <v>1.0</v>
      </c>
      <c r="E1065" s="102">
        <v>21.0</v>
      </c>
      <c r="F1065" s="107">
        <v>103.0</v>
      </c>
      <c r="G1065" s="15" t="str">
        <f t="shared" si="1"/>
        <v>21103</v>
      </c>
      <c r="H1065" s="23" t="s">
        <v>140</v>
      </c>
      <c r="I1065" s="23" t="s">
        <v>54</v>
      </c>
      <c r="J1065" s="23" t="s">
        <v>531</v>
      </c>
      <c r="K1065" s="23" t="str">
        <f t="shared" si="18"/>
        <v>Henry, KY</v>
      </c>
      <c r="L1065" s="23">
        <v>11.0</v>
      </c>
      <c r="M1065" s="23" t="s">
        <v>63</v>
      </c>
      <c r="N1065" s="23">
        <v>6.0</v>
      </c>
      <c r="O1065" s="23">
        <v>2.0</v>
      </c>
      <c r="P1065" s="23" t="s">
        <v>63</v>
      </c>
      <c r="Q1065" s="23" t="s">
        <v>63</v>
      </c>
      <c r="R1065" s="23">
        <v>1.0</v>
      </c>
      <c r="S1065" s="23" t="s">
        <v>63</v>
      </c>
      <c r="T1065" s="32" t="s">
        <v>63</v>
      </c>
      <c r="U1065" s="123" t="s">
        <v>63</v>
      </c>
      <c r="V1065" s="23" t="s">
        <v>63</v>
      </c>
      <c r="W1065" s="23" t="s">
        <v>63</v>
      </c>
      <c r="X1065" s="23" t="s">
        <v>63</v>
      </c>
      <c r="Y1065" s="35">
        <v>27.0</v>
      </c>
      <c r="Z1065" s="32" t="s">
        <v>63</v>
      </c>
      <c r="AA1065" s="38"/>
      <c r="AB1065" s="38"/>
      <c r="AC1065" s="38"/>
      <c r="AD1065" s="38"/>
      <c r="AE1065" s="38"/>
      <c r="AF1065" s="38"/>
      <c r="AG1065" s="38"/>
      <c r="AH1065" s="38"/>
      <c r="AI1065" s="38"/>
      <c r="AJ1065" s="38"/>
      <c r="AK1065" s="38"/>
    </row>
    <row r="1066">
      <c r="A1066" s="99">
        <v>1065.0</v>
      </c>
      <c r="B1066" s="15"/>
      <c r="C1066" s="15"/>
      <c r="D1066" s="105">
        <v>1.0</v>
      </c>
      <c r="E1066" s="102">
        <v>21.0</v>
      </c>
      <c r="F1066" s="107">
        <v>105.0</v>
      </c>
      <c r="G1066" s="15" t="str">
        <f t="shared" si="1"/>
        <v>21105</v>
      </c>
      <c r="H1066" s="23" t="s">
        <v>1097</v>
      </c>
      <c r="I1066" s="23" t="s">
        <v>54</v>
      </c>
      <c r="J1066" s="23" t="s">
        <v>531</v>
      </c>
      <c r="K1066" s="23" t="str">
        <f t="shared" si="18"/>
        <v>Hickman, KY</v>
      </c>
      <c r="L1066" s="23">
        <v>0.0</v>
      </c>
      <c r="M1066" s="23" t="s">
        <v>63</v>
      </c>
      <c r="N1066" s="23">
        <v>0.0</v>
      </c>
      <c r="O1066" s="23">
        <v>0.0</v>
      </c>
      <c r="P1066" s="23" t="s">
        <v>63</v>
      </c>
      <c r="Q1066" s="23" t="s">
        <v>63</v>
      </c>
      <c r="R1066" s="23">
        <v>0.0</v>
      </c>
      <c r="S1066" s="23" t="s">
        <v>63</v>
      </c>
      <c r="T1066" s="32" t="s">
        <v>63</v>
      </c>
      <c r="U1066" s="123" t="s">
        <v>63</v>
      </c>
      <c r="V1066" s="23" t="s">
        <v>63</v>
      </c>
      <c r="W1066" s="23" t="s">
        <v>63</v>
      </c>
      <c r="X1066" s="23" t="s">
        <v>63</v>
      </c>
      <c r="Y1066" s="35">
        <v>16.0</v>
      </c>
      <c r="Z1066" s="32" t="s">
        <v>63</v>
      </c>
      <c r="AA1066" s="38"/>
      <c r="AB1066" s="38"/>
      <c r="AC1066" s="38"/>
      <c r="AD1066" s="38"/>
      <c r="AE1066" s="38"/>
      <c r="AF1066" s="38"/>
      <c r="AG1066" s="38"/>
      <c r="AH1066" s="38"/>
      <c r="AI1066" s="38"/>
      <c r="AJ1066" s="38"/>
      <c r="AK1066" s="38"/>
    </row>
    <row r="1067">
      <c r="A1067" s="99">
        <v>1066.0</v>
      </c>
      <c r="B1067" s="15"/>
      <c r="C1067" s="15"/>
      <c r="D1067" s="105">
        <v>1.0</v>
      </c>
      <c r="E1067" s="102">
        <v>21.0</v>
      </c>
      <c r="F1067" s="107">
        <v>107.0</v>
      </c>
      <c r="G1067" s="15" t="str">
        <f t="shared" si="1"/>
        <v>21107</v>
      </c>
      <c r="H1067" s="23" t="s">
        <v>1099</v>
      </c>
      <c r="I1067" s="23" t="s">
        <v>54</v>
      </c>
      <c r="J1067" s="23" t="s">
        <v>531</v>
      </c>
      <c r="K1067" s="23" t="str">
        <f t="shared" si="18"/>
        <v>Hopkins, KY</v>
      </c>
      <c r="L1067" s="23">
        <v>54.0</v>
      </c>
      <c r="M1067" s="23" t="s">
        <v>63</v>
      </c>
      <c r="N1067" s="23">
        <v>13.0</v>
      </c>
      <c r="O1067" s="23">
        <v>13.0</v>
      </c>
      <c r="P1067" s="23" t="s">
        <v>63</v>
      </c>
      <c r="Q1067" s="23" t="s">
        <v>63</v>
      </c>
      <c r="R1067" s="23">
        <v>8.0</v>
      </c>
      <c r="S1067" s="23" t="s">
        <v>63</v>
      </c>
      <c r="T1067" s="32" t="s">
        <v>63</v>
      </c>
      <c r="U1067" s="123" t="s">
        <v>63</v>
      </c>
      <c r="V1067" s="23" t="s">
        <v>63</v>
      </c>
      <c r="W1067" s="23" t="s">
        <v>63</v>
      </c>
      <c r="X1067" s="23" t="s">
        <v>63</v>
      </c>
      <c r="Y1067" s="35">
        <v>72.0</v>
      </c>
      <c r="Z1067" s="32" t="s">
        <v>63</v>
      </c>
      <c r="AA1067" s="38"/>
      <c r="AB1067" s="38"/>
      <c r="AC1067" s="38"/>
      <c r="AD1067" s="38"/>
      <c r="AE1067" s="38"/>
      <c r="AF1067" s="38"/>
      <c r="AG1067" s="38"/>
      <c r="AH1067" s="38"/>
      <c r="AI1067" s="38"/>
      <c r="AJ1067" s="38"/>
      <c r="AK1067" s="38"/>
    </row>
    <row r="1068">
      <c r="A1068" s="99">
        <v>1067.0</v>
      </c>
      <c r="B1068" s="15"/>
      <c r="C1068" s="15"/>
      <c r="D1068" s="105">
        <v>1.0</v>
      </c>
      <c r="E1068" s="102">
        <v>21.0</v>
      </c>
      <c r="F1068" s="107">
        <v>109.0</v>
      </c>
      <c r="G1068" s="15" t="str">
        <f t="shared" si="1"/>
        <v>21109</v>
      </c>
      <c r="H1068" s="23" t="s">
        <v>142</v>
      </c>
      <c r="I1068" s="23" t="s">
        <v>54</v>
      </c>
      <c r="J1068" s="23" t="s">
        <v>531</v>
      </c>
      <c r="K1068" s="23" t="str">
        <f t="shared" si="18"/>
        <v>Jackson, KY</v>
      </c>
      <c r="L1068" s="23">
        <v>25.0</v>
      </c>
      <c r="M1068" s="23" t="s">
        <v>63</v>
      </c>
      <c r="N1068" s="23">
        <v>13.0</v>
      </c>
      <c r="O1068" s="23">
        <v>0.0</v>
      </c>
      <c r="P1068" s="23" t="s">
        <v>63</v>
      </c>
      <c r="Q1068" s="23" t="s">
        <v>63</v>
      </c>
      <c r="R1068" s="23">
        <v>7.0</v>
      </c>
      <c r="S1068" s="23" t="s">
        <v>63</v>
      </c>
      <c r="T1068" s="32" t="s">
        <v>63</v>
      </c>
      <c r="U1068" s="123" t="s">
        <v>63</v>
      </c>
      <c r="V1068" s="23" t="s">
        <v>63</v>
      </c>
      <c r="W1068" s="23" t="s">
        <v>63</v>
      </c>
      <c r="X1068" s="23" t="s">
        <v>63</v>
      </c>
      <c r="Y1068" s="35">
        <v>22.0</v>
      </c>
      <c r="Z1068" s="32" t="s">
        <v>63</v>
      </c>
      <c r="AA1068" s="38"/>
      <c r="AB1068" s="38"/>
      <c r="AC1068" s="38"/>
      <c r="AD1068" s="38"/>
      <c r="AE1068" s="38"/>
      <c r="AF1068" s="38"/>
      <c r="AG1068" s="38"/>
      <c r="AH1068" s="38"/>
      <c r="AI1068" s="38"/>
      <c r="AJ1068" s="38"/>
      <c r="AK1068" s="38"/>
    </row>
    <row r="1069">
      <c r="A1069" s="99">
        <v>1068.0</v>
      </c>
      <c r="B1069" s="15"/>
      <c r="C1069" s="15"/>
      <c r="D1069" s="105">
        <v>1.0</v>
      </c>
      <c r="E1069" s="102">
        <v>21.0</v>
      </c>
      <c r="F1069" s="107">
        <v>111.0</v>
      </c>
      <c r="G1069" s="15" t="str">
        <f t="shared" si="1"/>
        <v>21111</v>
      </c>
      <c r="H1069" s="23" t="s">
        <v>143</v>
      </c>
      <c r="I1069" s="23" t="s">
        <v>54</v>
      </c>
      <c r="J1069" s="23" t="s">
        <v>531</v>
      </c>
      <c r="K1069" s="23" t="str">
        <f t="shared" si="18"/>
        <v>Jefferson, KY</v>
      </c>
      <c r="L1069" s="23">
        <v>841.0</v>
      </c>
      <c r="M1069" s="23" t="s">
        <v>63</v>
      </c>
      <c r="N1069" s="23">
        <v>245.0</v>
      </c>
      <c r="O1069" s="23">
        <v>170.0</v>
      </c>
      <c r="P1069" s="23" t="s">
        <v>63</v>
      </c>
      <c r="Q1069" s="23" t="s">
        <v>63</v>
      </c>
      <c r="R1069" s="23">
        <v>262.0</v>
      </c>
      <c r="S1069" s="23" t="s">
        <v>63</v>
      </c>
      <c r="T1069" s="32" t="s">
        <v>63</v>
      </c>
      <c r="U1069" s="123" t="s">
        <v>63</v>
      </c>
      <c r="V1069" s="23" t="s">
        <v>63</v>
      </c>
      <c r="W1069" s="23" t="s">
        <v>63</v>
      </c>
      <c r="X1069" s="23" t="s">
        <v>63</v>
      </c>
      <c r="Y1069" s="35">
        <v>563.0</v>
      </c>
      <c r="Z1069" s="32" t="s">
        <v>63</v>
      </c>
      <c r="AA1069" s="38"/>
      <c r="AB1069" s="38"/>
      <c r="AC1069" s="38"/>
      <c r="AD1069" s="38"/>
      <c r="AE1069" s="38"/>
      <c r="AF1069" s="38"/>
      <c r="AG1069" s="38"/>
      <c r="AH1069" s="38"/>
      <c r="AI1069" s="38"/>
      <c r="AJ1069" s="38"/>
      <c r="AK1069" s="38"/>
    </row>
    <row r="1070">
      <c r="A1070" s="99">
        <v>1069.0</v>
      </c>
      <c r="B1070" s="15"/>
      <c r="C1070" s="15"/>
      <c r="D1070" s="105">
        <v>1.0</v>
      </c>
      <c r="E1070" s="102">
        <v>21.0</v>
      </c>
      <c r="F1070" s="107">
        <v>113.0</v>
      </c>
      <c r="G1070" s="15" t="str">
        <f t="shared" si="1"/>
        <v>21113</v>
      </c>
      <c r="H1070" s="23" t="s">
        <v>1102</v>
      </c>
      <c r="I1070" s="23" t="s">
        <v>54</v>
      </c>
      <c r="J1070" s="23" t="s">
        <v>531</v>
      </c>
      <c r="K1070" s="23" t="str">
        <f t="shared" si="18"/>
        <v>Jessamine, KY</v>
      </c>
      <c r="L1070" s="23">
        <v>29.0</v>
      </c>
      <c r="M1070" s="23" t="s">
        <v>63</v>
      </c>
      <c r="N1070" s="23">
        <v>2.0</v>
      </c>
      <c r="O1070" s="23">
        <v>0.0</v>
      </c>
      <c r="P1070" s="23" t="s">
        <v>63</v>
      </c>
      <c r="Q1070" s="23" t="s">
        <v>63</v>
      </c>
      <c r="R1070" s="23">
        <v>4.0</v>
      </c>
      <c r="S1070" s="23" t="s">
        <v>63</v>
      </c>
      <c r="T1070" s="32" t="s">
        <v>63</v>
      </c>
      <c r="U1070" s="123" t="s">
        <v>63</v>
      </c>
      <c r="V1070" s="23" t="s">
        <v>63</v>
      </c>
      <c r="W1070" s="23" t="s">
        <v>63</v>
      </c>
      <c r="X1070" s="23" t="s">
        <v>63</v>
      </c>
      <c r="Y1070" s="35">
        <v>43.0</v>
      </c>
      <c r="Z1070" s="32" t="s">
        <v>63</v>
      </c>
      <c r="AA1070" s="38"/>
      <c r="AB1070" s="38"/>
      <c r="AC1070" s="38"/>
      <c r="AD1070" s="38"/>
      <c r="AE1070" s="38"/>
      <c r="AF1070" s="38"/>
      <c r="AG1070" s="38"/>
      <c r="AH1070" s="38"/>
      <c r="AI1070" s="38"/>
      <c r="AJ1070" s="38"/>
      <c r="AK1070" s="38"/>
    </row>
    <row r="1071">
      <c r="A1071" s="99">
        <v>1070.0</v>
      </c>
      <c r="B1071" s="15"/>
      <c r="C1071" s="15"/>
      <c r="D1071" s="105">
        <v>1.0</v>
      </c>
      <c r="E1071" s="102">
        <v>21.0</v>
      </c>
      <c r="F1071" s="107">
        <v>115.0</v>
      </c>
      <c r="G1071" s="15" t="str">
        <f t="shared" si="1"/>
        <v>21115</v>
      </c>
      <c r="H1071" s="23" t="s">
        <v>288</v>
      </c>
      <c r="I1071" s="23" t="s">
        <v>54</v>
      </c>
      <c r="J1071" s="23" t="s">
        <v>531</v>
      </c>
      <c r="K1071" s="23" t="str">
        <f t="shared" si="18"/>
        <v>Johnson, KY</v>
      </c>
      <c r="L1071" s="23">
        <v>50.0</v>
      </c>
      <c r="M1071" s="23" t="s">
        <v>63</v>
      </c>
      <c r="N1071" s="23">
        <v>29.0</v>
      </c>
      <c r="O1071" s="23">
        <v>1.0</v>
      </c>
      <c r="P1071" s="23" t="s">
        <v>63</v>
      </c>
      <c r="Q1071" s="23" t="s">
        <v>63</v>
      </c>
      <c r="R1071" s="23">
        <v>25.0</v>
      </c>
      <c r="S1071" s="23" t="s">
        <v>63</v>
      </c>
      <c r="T1071" s="32" t="s">
        <v>63</v>
      </c>
      <c r="U1071" s="123" t="s">
        <v>63</v>
      </c>
      <c r="V1071" s="23" t="s">
        <v>63</v>
      </c>
      <c r="W1071" s="23" t="s">
        <v>63</v>
      </c>
      <c r="X1071" s="23" t="s">
        <v>63</v>
      </c>
      <c r="Y1071" s="35">
        <v>41.0</v>
      </c>
      <c r="Z1071" s="32" t="s">
        <v>63</v>
      </c>
      <c r="AA1071" s="38"/>
      <c r="AB1071" s="38"/>
      <c r="AC1071" s="38"/>
      <c r="AD1071" s="38"/>
      <c r="AE1071" s="38"/>
      <c r="AF1071" s="38"/>
      <c r="AG1071" s="38"/>
      <c r="AH1071" s="38"/>
      <c r="AI1071" s="38"/>
      <c r="AJ1071" s="38"/>
      <c r="AK1071" s="38"/>
    </row>
    <row r="1072">
      <c r="A1072" s="99">
        <v>1071.0</v>
      </c>
      <c r="B1072" s="15"/>
      <c r="C1072" s="15"/>
      <c r="D1072" s="105">
        <v>1.0</v>
      </c>
      <c r="E1072" s="102">
        <v>21.0</v>
      </c>
      <c r="F1072" s="107">
        <v>117.0</v>
      </c>
      <c r="G1072" s="15" t="str">
        <f t="shared" si="1"/>
        <v>21117</v>
      </c>
      <c r="H1072" s="23" t="s">
        <v>1105</v>
      </c>
      <c r="I1072" s="23" t="s">
        <v>54</v>
      </c>
      <c r="J1072" s="23" t="s">
        <v>531</v>
      </c>
      <c r="K1072" s="23" t="str">
        <f t="shared" si="18"/>
        <v>Kenton, KY</v>
      </c>
      <c r="L1072" s="23">
        <v>492.0</v>
      </c>
      <c r="M1072" s="23" t="s">
        <v>63</v>
      </c>
      <c r="N1072" s="23">
        <v>133.0</v>
      </c>
      <c r="O1072" s="23">
        <v>51.0</v>
      </c>
      <c r="P1072" s="23" t="s">
        <v>63</v>
      </c>
      <c r="Q1072" s="23" t="s">
        <v>63</v>
      </c>
      <c r="R1072" s="23">
        <v>149.0</v>
      </c>
      <c r="S1072" s="23" t="s">
        <v>63</v>
      </c>
      <c r="T1072" s="32" t="s">
        <v>63</v>
      </c>
      <c r="U1072" s="123" t="s">
        <v>63</v>
      </c>
      <c r="V1072" s="23" t="s">
        <v>63</v>
      </c>
      <c r="W1072" s="23" t="s">
        <v>63</v>
      </c>
      <c r="X1072" s="23" t="s">
        <v>63</v>
      </c>
      <c r="Y1072" s="35">
        <v>139.0</v>
      </c>
      <c r="Z1072" s="32" t="s">
        <v>63</v>
      </c>
      <c r="AA1072" s="38"/>
      <c r="AB1072" s="38"/>
      <c r="AC1072" s="38"/>
      <c r="AD1072" s="38"/>
      <c r="AE1072" s="38"/>
      <c r="AF1072" s="38"/>
      <c r="AG1072" s="38"/>
      <c r="AH1072" s="38"/>
      <c r="AI1072" s="38"/>
      <c r="AJ1072" s="38"/>
      <c r="AK1072" s="38"/>
    </row>
    <row r="1073">
      <c r="A1073" s="99">
        <v>1072.0</v>
      </c>
      <c r="B1073" s="15"/>
      <c r="C1073" s="15"/>
      <c r="D1073" s="105">
        <v>1.0</v>
      </c>
      <c r="E1073" s="102">
        <v>21.0</v>
      </c>
      <c r="F1073" s="107">
        <v>119.0</v>
      </c>
      <c r="G1073" s="15" t="str">
        <f t="shared" si="1"/>
        <v>21119</v>
      </c>
      <c r="H1073" s="23" t="s">
        <v>1107</v>
      </c>
      <c r="I1073" s="23" t="s">
        <v>54</v>
      </c>
      <c r="J1073" s="23" t="s">
        <v>531</v>
      </c>
      <c r="K1073" s="23" t="str">
        <f t="shared" si="18"/>
        <v>Knott, KY</v>
      </c>
      <c r="L1073" s="23">
        <v>44.0</v>
      </c>
      <c r="M1073" s="23" t="s">
        <v>63</v>
      </c>
      <c r="N1073" s="23">
        <v>3.0</v>
      </c>
      <c r="O1073" s="23">
        <v>8.0</v>
      </c>
      <c r="P1073" s="23" t="s">
        <v>63</v>
      </c>
      <c r="Q1073" s="23" t="s">
        <v>63</v>
      </c>
      <c r="R1073" s="23">
        <v>11.0</v>
      </c>
      <c r="S1073" s="23" t="s">
        <v>63</v>
      </c>
      <c r="T1073" s="32" t="s">
        <v>63</v>
      </c>
      <c r="U1073" s="123" t="s">
        <v>63</v>
      </c>
      <c r="V1073" s="23" t="s">
        <v>63</v>
      </c>
      <c r="W1073" s="23" t="s">
        <v>63</v>
      </c>
      <c r="X1073" s="23" t="s">
        <v>63</v>
      </c>
      <c r="Y1073" s="35">
        <v>15.0</v>
      </c>
      <c r="Z1073" s="32" t="s">
        <v>63</v>
      </c>
      <c r="AA1073" s="38"/>
      <c r="AB1073" s="38"/>
      <c r="AC1073" s="38"/>
      <c r="AD1073" s="38"/>
      <c r="AE1073" s="38"/>
      <c r="AF1073" s="38"/>
      <c r="AG1073" s="38"/>
      <c r="AH1073" s="38"/>
      <c r="AI1073" s="38"/>
      <c r="AJ1073" s="38"/>
      <c r="AK1073" s="38"/>
    </row>
    <row r="1074">
      <c r="A1074" s="99">
        <v>1073.0</v>
      </c>
      <c r="B1074" s="15"/>
      <c r="C1074" s="15"/>
      <c r="D1074" s="105">
        <v>1.0</v>
      </c>
      <c r="E1074" s="102">
        <v>21.0</v>
      </c>
      <c r="F1074" s="107">
        <v>121.0</v>
      </c>
      <c r="G1074" s="15" t="str">
        <f t="shared" si="1"/>
        <v>21121</v>
      </c>
      <c r="H1074" s="23" t="s">
        <v>728</v>
      </c>
      <c r="I1074" s="23" t="s">
        <v>54</v>
      </c>
      <c r="J1074" s="23" t="s">
        <v>531</v>
      </c>
      <c r="K1074" s="23" t="str">
        <f t="shared" si="18"/>
        <v>Knox, KY</v>
      </c>
      <c r="L1074" s="23">
        <v>42.0</v>
      </c>
      <c r="M1074" s="23" t="s">
        <v>63</v>
      </c>
      <c r="N1074" s="23">
        <v>12.0</v>
      </c>
      <c r="O1074" s="23">
        <v>1.0</v>
      </c>
      <c r="P1074" s="23" t="s">
        <v>63</v>
      </c>
      <c r="Q1074" s="23" t="s">
        <v>63</v>
      </c>
      <c r="R1074" s="23">
        <v>11.0</v>
      </c>
      <c r="S1074" s="23" t="s">
        <v>63</v>
      </c>
      <c r="T1074" s="32" t="s">
        <v>63</v>
      </c>
      <c r="U1074" s="123" t="s">
        <v>63</v>
      </c>
      <c r="V1074" s="23" t="s">
        <v>63</v>
      </c>
      <c r="W1074" s="23" t="s">
        <v>63</v>
      </c>
      <c r="X1074" s="23" t="s">
        <v>63</v>
      </c>
      <c r="Y1074" s="35">
        <v>35.0</v>
      </c>
      <c r="Z1074" s="32" t="s">
        <v>63</v>
      </c>
      <c r="AA1074" s="38"/>
      <c r="AB1074" s="38"/>
      <c r="AC1074" s="38"/>
      <c r="AD1074" s="38"/>
      <c r="AE1074" s="38"/>
      <c r="AF1074" s="38"/>
      <c r="AG1074" s="38"/>
      <c r="AH1074" s="38"/>
      <c r="AI1074" s="38"/>
      <c r="AJ1074" s="38"/>
      <c r="AK1074" s="38"/>
    </row>
    <row r="1075">
      <c r="A1075" s="99">
        <v>1074.0</v>
      </c>
      <c r="B1075" s="15"/>
      <c r="C1075" s="15"/>
      <c r="D1075" s="105">
        <v>1.0</v>
      </c>
      <c r="E1075" s="102">
        <v>21.0</v>
      </c>
      <c r="F1075" s="107">
        <v>123.0</v>
      </c>
      <c r="G1075" s="15" t="str">
        <f t="shared" si="1"/>
        <v>21123</v>
      </c>
      <c r="H1075" s="23" t="s">
        <v>1110</v>
      </c>
      <c r="I1075" s="23" t="s">
        <v>54</v>
      </c>
      <c r="J1075" s="23" t="s">
        <v>531</v>
      </c>
      <c r="K1075" s="23" t="str">
        <f t="shared" si="18"/>
        <v>Larue, KY</v>
      </c>
      <c r="L1075" s="23">
        <v>6.0</v>
      </c>
      <c r="M1075" s="23" t="s">
        <v>63</v>
      </c>
      <c r="N1075" s="23">
        <v>3.0</v>
      </c>
      <c r="O1075" s="23">
        <v>1.0</v>
      </c>
      <c r="P1075" s="23" t="s">
        <v>63</v>
      </c>
      <c r="Q1075" s="23" t="s">
        <v>63</v>
      </c>
      <c r="R1075" s="23">
        <v>1.0</v>
      </c>
      <c r="S1075" s="23" t="s">
        <v>63</v>
      </c>
      <c r="T1075" s="32" t="s">
        <v>63</v>
      </c>
      <c r="U1075" s="123" t="s">
        <v>63</v>
      </c>
      <c r="V1075" s="23" t="s">
        <v>63</v>
      </c>
      <c r="W1075" s="23" t="s">
        <v>63</v>
      </c>
      <c r="X1075" s="23" t="s">
        <v>63</v>
      </c>
      <c r="Y1075" s="35">
        <v>30.0</v>
      </c>
      <c r="Z1075" s="32" t="s">
        <v>63</v>
      </c>
      <c r="AA1075" s="38"/>
      <c r="AB1075" s="38"/>
      <c r="AC1075" s="38"/>
      <c r="AD1075" s="38"/>
      <c r="AE1075" s="38"/>
      <c r="AF1075" s="38"/>
      <c r="AG1075" s="38"/>
      <c r="AH1075" s="38"/>
      <c r="AI1075" s="38"/>
      <c r="AJ1075" s="38"/>
      <c r="AK1075" s="38"/>
    </row>
    <row r="1076">
      <c r="A1076" s="99">
        <v>1075.0</v>
      </c>
      <c r="B1076" s="15"/>
      <c r="C1076" s="15"/>
      <c r="D1076" s="105">
        <v>1.0</v>
      </c>
      <c r="E1076" s="102">
        <v>21.0</v>
      </c>
      <c r="F1076" s="107">
        <v>125.0</v>
      </c>
      <c r="G1076" s="15" t="str">
        <f t="shared" si="1"/>
        <v>21125</v>
      </c>
      <c r="H1076" s="23" t="s">
        <v>1111</v>
      </c>
      <c r="I1076" s="23" t="s">
        <v>54</v>
      </c>
      <c r="J1076" s="23" t="s">
        <v>531</v>
      </c>
      <c r="K1076" s="23" t="str">
        <f t="shared" si="18"/>
        <v>Laurel, KY</v>
      </c>
      <c r="L1076" s="23">
        <v>151.0</v>
      </c>
      <c r="M1076" s="23" t="s">
        <v>63</v>
      </c>
      <c r="N1076" s="23">
        <v>60.0</v>
      </c>
      <c r="O1076" s="23">
        <v>13.0</v>
      </c>
      <c r="P1076" s="23" t="s">
        <v>63</v>
      </c>
      <c r="Q1076" s="23" t="s">
        <v>63</v>
      </c>
      <c r="R1076" s="23">
        <v>67.0</v>
      </c>
      <c r="S1076" s="23" t="s">
        <v>63</v>
      </c>
      <c r="T1076" s="32" t="s">
        <v>63</v>
      </c>
      <c r="U1076" s="123" t="s">
        <v>63</v>
      </c>
      <c r="V1076" s="23" t="s">
        <v>63</v>
      </c>
      <c r="W1076" s="23" t="s">
        <v>63</v>
      </c>
      <c r="X1076" s="23" t="s">
        <v>63</v>
      </c>
      <c r="Y1076" s="35">
        <v>70.0</v>
      </c>
      <c r="Z1076" s="32" t="s">
        <v>63</v>
      </c>
      <c r="AA1076" s="38"/>
      <c r="AB1076" s="38"/>
      <c r="AC1076" s="38"/>
      <c r="AD1076" s="38"/>
      <c r="AE1076" s="38"/>
      <c r="AF1076" s="38"/>
      <c r="AG1076" s="38"/>
      <c r="AH1076" s="38"/>
      <c r="AI1076" s="38"/>
      <c r="AJ1076" s="38"/>
      <c r="AK1076" s="38"/>
    </row>
    <row r="1077">
      <c r="A1077" s="99">
        <v>1076.0</v>
      </c>
      <c r="B1077" s="15"/>
      <c r="C1077" s="15"/>
      <c r="D1077" s="105">
        <v>1.0</v>
      </c>
      <c r="E1077" s="102">
        <v>21.0</v>
      </c>
      <c r="F1077" s="107">
        <v>127.0</v>
      </c>
      <c r="G1077" s="15" t="str">
        <f t="shared" si="1"/>
        <v>21127</v>
      </c>
      <c r="H1077" s="23" t="s">
        <v>146</v>
      </c>
      <c r="I1077" s="23" t="s">
        <v>54</v>
      </c>
      <c r="J1077" s="23" t="s">
        <v>531</v>
      </c>
      <c r="K1077" s="23" t="str">
        <f t="shared" si="18"/>
        <v>Lawrence, KY</v>
      </c>
      <c r="L1077" s="23">
        <v>34.0</v>
      </c>
      <c r="M1077" s="23" t="s">
        <v>63</v>
      </c>
      <c r="N1077" s="23">
        <v>12.0</v>
      </c>
      <c r="O1077" s="23">
        <v>4.0</v>
      </c>
      <c r="P1077" s="23" t="s">
        <v>63</v>
      </c>
      <c r="Q1077" s="23" t="s">
        <v>63</v>
      </c>
      <c r="R1077" s="23">
        <v>4.0</v>
      </c>
      <c r="S1077" s="23" t="s">
        <v>63</v>
      </c>
      <c r="T1077" s="32" t="s">
        <v>63</v>
      </c>
      <c r="U1077" s="123" t="s">
        <v>63</v>
      </c>
      <c r="V1077" s="23" t="s">
        <v>63</v>
      </c>
      <c r="W1077" s="23" t="s">
        <v>63</v>
      </c>
      <c r="X1077" s="23" t="s">
        <v>63</v>
      </c>
      <c r="Y1077" s="35">
        <v>25.0</v>
      </c>
      <c r="Z1077" s="32" t="s">
        <v>63</v>
      </c>
      <c r="AA1077" s="38"/>
      <c r="AB1077" s="38"/>
      <c r="AC1077" s="38"/>
      <c r="AD1077" s="38"/>
      <c r="AE1077" s="38"/>
      <c r="AF1077" s="38"/>
      <c r="AG1077" s="38"/>
      <c r="AH1077" s="38"/>
      <c r="AI1077" s="38"/>
      <c r="AJ1077" s="38"/>
      <c r="AK1077" s="38"/>
    </row>
    <row r="1078">
      <c r="A1078" s="99">
        <v>1077.0</v>
      </c>
      <c r="B1078" s="15"/>
      <c r="C1078" s="15"/>
      <c r="D1078" s="105">
        <v>1.0</v>
      </c>
      <c r="E1078" s="102">
        <v>21.0</v>
      </c>
      <c r="F1078" s="107">
        <v>129.0</v>
      </c>
      <c r="G1078" s="15" t="str">
        <f t="shared" si="1"/>
        <v>21129</v>
      </c>
      <c r="H1078" s="23" t="s">
        <v>147</v>
      </c>
      <c r="I1078" s="23" t="s">
        <v>54</v>
      </c>
      <c r="J1078" s="23" t="s">
        <v>531</v>
      </c>
      <c r="K1078" s="23" t="str">
        <f t="shared" si="18"/>
        <v>Lee, KY</v>
      </c>
      <c r="L1078" s="23">
        <v>37.0</v>
      </c>
      <c r="M1078" s="23" t="s">
        <v>63</v>
      </c>
      <c r="N1078" s="23">
        <v>16.0</v>
      </c>
      <c r="O1078" s="23">
        <v>0.0</v>
      </c>
      <c r="P1078" s="23" t="s">
        <v>63</v>
      </c>
      <c r="Q1078" s="23" t="s">
        <v>63</v>
      </c>
      <c r="R1078" s="23">
        <v>11.0</v>
      </c>
      <c r="S1078" s="23" t="s">
        <v>63</v>
      </c>
      <c r="T1078" s="32" t="s">
        <v>63</v>
      </c>
      <c r="U1078" s="123" t="s">
        <v>63</v>
      </c>
      <c r="V1078" s="23" t="s">
        <v>63</v>
      </c>
      <c r="W1078" s="23" t="s">
        <v>63</v>
      </c>
      <c r="X1078" s="23" t="s">
        <v>63</v>
      </c>
      <c r="Y1078" s="35">
        <v>8.0</v>
      </c>
      <c r="Z1078" s="32" t="s">
        <v>63</v>
      </c>
      <c r="AA1078" s="38"/>
      <c r="AB1078" s="38"/>
      <c r="AC1078" s="38"/>
      <c r="AD1078" s="38"/>
      <c r="AE1078" s="38"/>
      <c r="AF1078" s="38"/>
      <c r="AG1078" s="38"/>
      <c r="AH1078" s="38"/>
      <c r="AI1078" s="38"/>
      <c r="AJ1078" s="38"/>
      <c r="AK1078" s="38"/>
    </row>
    <row r="1079">
      <c r="A1079" s="99">
        <v>1078.0</v>
      </c>
      <c r="B1079" s="15"/>
      <c r="C1079" s="15"/>
      <c r="D1079" s="105">
        <v>1.0</v>
      </c>
      <c r="E1079" s="102">
        <v>21.0</v>
      </c>
      <c r="F1079" s="107">
        <v>131.0</v>
      </c>
      <c r="G1079" s="15" t="str">
        <f t="shared" si="1"/>
        <v>21131</v>
      </c>
      <c r="H1079" s="23" t="s">
        <v>1115</v>
      </c>
      <c r="I1079" s="23" t="s">
        <v>54</v>
      </c>
      <c r="J1079" s="23" t="s">
        <v>531</v>
      </c>
      <c r="K1079" s="23" t="str">
        <f t="shared" si="18"/>
        <v>Leslie, KY</v>
      </c>
      <c r="L1079" s="23">
        <v>18.0</v>
      </c>
      <c r="M1079" s="23" t="s">
        <v>63</v>
      </c>
      <c r="N1079" s="23">
        <v>5.0</v>
      </c>
      <c r="O1079" s="23">
        <v>2.0</v>
      </c>
      <c r="P1079" s="23" t="s">
        <v>63</v>
      </c>
      <c r="Q1079" s="23" t="s">
        <v>63</v>
      </c>
      <c r="R1079" s="23">
        <v>6.0</v>
      </c>
      <c r="S1079" s="23" t="s">
        <v>63</v>
      </c>
      <c r="T1079" s="32" t="s">
        <v>63</v>
      </c>
      <c r="U1079" s="123" t="s">
        <v>63</v>
      </c>
      <c r="V1079" s="23" t="s">
        <v>63</v>
      </c>
      <c r="W1079" s="23" t="s">
        <v>63</v>
      </c>
      <c r="X1079" s="23" t="s">
        <v>63</v>
      </c>
      <c r="Y1079" s="35">
        <v>26.0</v>
      </c>
      <c r="Z1079" s="32" t="s">
        <v>63</v>
      </c>
      <c r="AA1079" s="38"/>
      <c r="AB1079" s="38"/>
      <c r="AC1079" s="38"/>
      <c r="AD1079" s="38"/>
      <c r="AE1079" s="38"/>
      <c r="AF1079" s="38"/>
      <c r="AG1079" s="38"/>
      <c r="AH1079" s="38"/>
      <c r="AI1079" s="38"/>
      <c r="AJ1079" s="38"/>
      <c r="AK1079" s="38"/>
    </row>
    <row r="1080">
      <c r="A1080" s="99">
        <v>1079.0</v>
      </c>
      <c r="B1080" s="15"/>
      <c r="C1080" s="15"/>
      <c r="D1080" s="105">
        <v>1.0</v>
      </c>
      <c r="E1080" s="102">
        <v>21.0</v>
      </c>
      <c r="F1080" s="107">
        <v>133.0</v>
      </c>
      <c r="G1080" s="15" t="str">
        <f t="shared" si="1"/>
        <v>21133</v>
      </c>
      <c r="H1080" s="23" t="s">
        <v>1116</v>
      </c>
      <c r="I1080" s="23" t="s">
        <v>54</v>
      </c>
      <c r="J1080" s="23" t="s">
        <v>531</v>
      </c>
      <c r="K1080" s="23" t="str">
        <f t="shared" si="18"/>
        <v>Letcher, KY</v>
      </c>
      <c r="L1080" s="23">
        <v>21.0</v>
      </c>
      <c r="M1080" s="23" t="s">
        <v>63</v>
      </c>
      <c r="N1080" s="23">
        <v>15.0</v>
      </c>
      <c r="O1080" s="23">
        <v>0.0</v>
      </c>
      <c r="P1080" s="23" t="s">
        <v>63</v>
      </c>
      <c r="Q1080" s="23" t="s">
        <v>63</v>
      </c>
      <c r="R1080" s="23">
        <v>15.0</v>
      </c>
      <c r="S1080" s="23" t="s">
        <v>63</v>
      </c>
      <c r="T1080" s="32" t="s">
        <v>63</v>
      </c>
      <c r="U1080" s="123" t="s">
        <v>63</v>
      </c>
      <c r="V1080" s="23" t="s">
        <v>63</v>
      </c>
      <c r="W1080" s="23" t="s">
        <v>63</v>
      </c>
      <c r="X1080" s="23" t="s">
        <v>63</v>
      </c>
      <c r="Y1080" s="35">
        <v>21.0</v>
      </c>
      <c r="Z1080" s="32" t="s">
        <v>63</v>
      </c>
      <c r="AA1080" s="38"/>
      <c r="AB1080" s="38"/>
      <c r="AC1080" s="38"/>
      <c r="AD1080" s="38"/>
      <c r="AE1080" s="38"/>
      <c r="AF1080" s="38"/>
      <c r="AG1080" s="38"/>
      <c r="AH1080" s="38"/>
      <c r="AI1080" s="38"/>
      <c r="AJ1080" s="38"/>
      <c r="AK1080" s="38"/>
    </row>
    <row r="1081">
      <c r="A1081" s="99">
        <v>1080.0</v>
      </c>
      <c r="B1081" s="15"/>
      <c r="C1081" s="15"/>
      <c r="D1081" s="105">
        <v>1.0</v>
      </c>
      <c r="E1081" s="102">
        <v>21.0</v>
      </c>
      <c r="F1081" s="107">
        <v>135.0</v>
      </c>
      <c r="G1081" s="15" t="str">
        <f t="shared" si="1"/>
        <v>21135</v>
      </c>
      <c r="H1081" s="23" t="s">
        <v>682</v>
      </c>
      <c r="I1081" s="23" t="s">
        <v>54</v>
      </c>
      <c r="J1081" s="23" t="s">
        <v>531</v>
      </c>
      <c r="K1081" s="23" t="str">
        <f t="shared" si="18"/>
        <v>Lewis, KY</v>
      </c>
      <c r="L1081" s="23">
        <v>7.0</v>
      </c>
      <c r="M1081" s="23" t="s">
        <v>63</v>
      </c>
      <c r="N1081" s="23">
        <v>0.0</v>
      </c>
      <c r="O1081" s="23">
        <v>0.0</v>
      </c>
      <c r="P1081" s="23" t="s">
        <v>63</v>
      </c>
      <c r="Q1081" s="23" t="s">
        <v>63</v>
      </c>
      <c r="R1081" s="23">
        <v>3.0</v>
      </c>
      <c r="S1081" s="23" t="s">
        <v>63</v>
      </c>
      <c r="T1081" s="32" t="s">
        <v>63</v>
      </c>
      <c r="U1081" s="123" t="s">
        <v>63</v>
      </c>
      <c r="V1081" s="23" t="s">
        <v>63</v>
      </c>
      <c r="W1081" s="23" t="s">
        <v>63</v>
      </c>
      <c r="X1081" s="23" t="s">
        <v>63</v>
      </c>
      <c r="Y1081" s="35">
        <v>17.0</v>
      </c>
      <c r="Z1081" s="32" t="s">
        <v>63</v>
      </c>
      <c r="AA1081" s="38"/>
      <c r="AB1081" s="38"/>
      <c r="AC1081" s="38"/>
      <c r="AD1081" s="38"/>
      <c r="AE1081" s="38"/>
      <c r="AF1081" s="38"/>
      <c r="AG1081" s="38"/>
      <c r="AH1081" s="38"/>
      <c r="AI1081" s="38"/>
      <c r="AJ1081" s="38"/>
      <c r="AK1081" s="38"/>
    </row>
    <row r="1082">
      <c r="A1082" s="99">
        <v>1081.0</v>
      </c>
      <c r="B1082" s="15"/>
      <c r="C1082" s="15"/>
      <c r="D1082" s="105">
        <v>1.0</v>
      </c>
      <c r="E1082" s="102">
        <v>21.0</v>
      </c>
      <c r="F1082" s="107">
        <v>137.0</v>
      </c>
      <c r="G1082" s="15" t="str">
        <f t="shared" si="1"/>
        <v>21137</v>
      </c>
      <c r="H1082" s="23" t="s">
        <v>290</v>
      </c>
      <c r="I1082" s="23" t="s">
        <v>54</v>
      </c>
      <c r="J1082" s="23" t="s">
        <v>531</v>
      </c>
      <c r="K1082" s="23" t="str">
        <f t="shared" si="18"/>
        <v>Lincoln, KY</v>
      </c>
      <c r="L1082" s="23">
        <v>92.0</v>
      </c>
      <c r="M1082" s="23" t="s">
        <v>63</v>
      </c>
      <c r="N1082" s="23">
        <v>36.0</v>
      </c>
      <c r="O1082" s="23">
        <v>3.0</v>
      </c>
      <c r="P1082" s="23" t="s">
        <v>63</v>
      </c>
      <c r="Q1082" s="23" t="s">
        <v>63</v>
      </c>
      <c r="R1082" s="23">
        <v>38.0</v>
      </c>
      <c r="S1082" s="23" t="s">
        <v>63</v>
      </c>
      <c r="T1082" s="32" t="s">
        <v>63</v>
      </c>
      <c r="U1082" s="123" t="s">
        <v>63</v>
      </c>
      <c r="V1082" s="23" t="s">
        <v>63</v>
      </c>
      <c r="W1082" s="23" t="s">
        <v>63</v>
      </c>
      <c r="X1082" s="23" t="s">
        <v>63</v>
      </c>
      <c r="Y1082" s="35">
        <v>28.0</v>
      </c>
      <c r="Z1082" s="32" t="s">
        <v>63</v>
      </c>
      <c r="AA1082" s="38"/>
      <c r="AB1082" s="38"/>
      <c r="AC1082" s="38"/>
      <c r="AD1082" s="38"/>
      <c r="AE1082" s="38"/>
      <c r="AF1082" s="38"/>
      <c r="AG1082" s="38"/>
      <c r="AH1082" s="38"/>
      <c r="AI1082" s="38"/>
      <c r="AJ1082" s="38"/>
      <c r="AK1082" s="38"/>
    </row>
    <row r="1083">
      <c r="A1083" s="99">
        <v>1082.0</v>
      </c>
      <c r="B1083" s="15"/>
      <c r="C1083" s="15"/>
      <c r="D1083" s="105">
        <v>1.0</v>
      </c>
      <c r="E1083" s="102">
        <v>21.0</v>
      </c>
      <c r="F1083" s="107">
        <v>139.0</v>
      </c>
      <c r="G1083" s="15" t="str">
        <f t="shared" si="1"/>
        <v>21139</v>
      </c>
      <c r="H1083" s="23" t="s">
        <v>730</v>
      </c>
      <c r="I1083" s="23" t="s">
        <v>54</v>
      </c>
      <c r="J1083" s="23" t="s">
        <v>531</v>
      </c>
      <c r="K1083" s="23" t="str">
        <f t="shared" si="18"/>
        <v>Livingston, KY</v>
      </c>
      <c r="L1083" s="23">
        <v>6.0</v>
      </c>
      <c r="M1083" s="23" t="s">
        <v>63</v>
      </c>
      <c r="N1083" s="23">
        <v>3.0</v>
      </c>
      <c r="O1083" s="23">
        <v>2.0</v>
      </c>
      <c r="P1083" s="23" t="s">
        <v>63</v>
      </c>
      <c r="Q1083" s="23" t="s">
        <v>63</v>
      </c>
      <c r="R1083" s="23">
        <v>0.0</v>
      </c>
      <c r="S1083" s="23" t="s">
        <v>63</v>
      </c>
      <c r="T1083" s="32" t="s">
        <v>63</v>
      </c>
      <c r="U1083" s="123" t="s">
        <v>63</v>
      </c>
      <c r="V1083" s="23" t="s">
        <v>63</v>
      </c>
      <c r="W1083" s="23" t="s">
        <v>63</v>
      </c>
      <c r="X1083" s="23" t="s">
        <v>63</v>
      </c>
      <c r="Y1083" s="35">
        <v>27.0</v>
      </c>
      <c r="Z1083" s="32" t="s">
        <v>63</v>
      </c>
      <c r="AA1083" s="38"/>
      <c r="AB1083" s="38"/>
      <c r="AC1083" s="38"/>
      <c r="AD1083" s="38"/>
      <c r="AE1083" s="38"/>
      <c r="AF1083" s="38"/>
      <c r="AG1083" s="38"/>
      <c r="AH1083" s="38"/>
      <c r="AI1083" s="38"/>
      <c r="AJ1083" s="38"/>
      <c r="AK1083" s="38"/>
    </row>
    <row r="1084">
      <c r="A1084" s="99">
        <v>1083.0</v>
      </c>
      <c r="B1084" s="15"/>
      <c r="C1084" s="15"/>
      <c r="D1084" s="105">
        <v>1.0</v>
      </c>
      <c r="E1084" s="102">
        <v>21.0</v>
      </c>
      <c r="F1084" s="107">
        <v>141.0</v>
      </c>
      <c r="G1084" s="15" t="str">
        <f t="shared" si="1"/>
        <v>21141</v>
      </c>
      <c r="H1084" s="23" t="s">
        <v>293</v>
      </c>
      <c r="I1084" s="23" t="s">
        <v>54</v>
      </c>
      <c r="J1084" s="23" t="s">
        <v>531</v>
      </c>
      <c r="K1084" s="23" t="str">
        <f t="shared" si="18"/>
        <v>Logan, KY</v>
      </c>
      <c r="L1084" s="23">
        <v>33.0</v>
      </c>
      <c r="M1084" s="23" t="s">
        <v>63</v>
      </c>
      <c r="N1084" s="23">
        <v>15.0</v>
      </c>
      <c r="O1084" s="23">
        <v>1.0</v>
      </c>
      <c r="P1084" s="23" t="s">
        <v>63</v>
      </c>
      <c r="Q1084" s="23" t="s">
        <v>63</v>
      </c>
      <c r="R1084" s="23">
        <v>13.0</v>
      </c>
      <c r="S1084" s="23" t="s">
        <v>63</v>
      </c>
      <c r="T1084" s="32" t="s">
        <v>63</v>
      </c>
      <c r="U1084" s="123" t="s">
        <v>63</v>
      </c>
      <c r="V1084" s="23" t="s">
        <v>63</v>
      </c>
      <c r="W1084" s="23" t="s">
        <v>63</v>
      </c>
      <c r="X1084" s="23" t="s">
        <v>63</v>
      </c>
      <c r="Y1084" s="35">
        <v>62.0</v>
      </c>
      <c r="Z1084" s="32" t="s">
        <v>63</v>
      </c>
      <c r="AA1084" s="38"/>
      <c r="AB1084" s="38"/>
      <c r="AC1084" s="38"/>
      <c r="AD1084" s="38"/>
      <c r="AE1084" s="38"/>
      <c r="AF1084" s="38"/>
      <c r="AG1084" s="38"/>
      <c r="AH1084" s="38"/>
      <c r="AI1084" s="38"/>
      <c r="AJ1084" s="38"/>
      <c r="AK1084" s="38"/>
    </row>
    <row r="1085">
      <c r="A1085" s="99">
        <v>1084.0</v>
      </c>
      <c r="B1085" s="15"/>
      <c r="C1085" s="15"/>
      <c r="D1085" s="105">
        <v>1.0</v>
      </c>
      <c r="E1085" s="102">
        <v>21.0</v>
      </c>
      <c r="F1085" s="107">
        <v>143.0</v>
      </c>
      <c r="G1085" s="15" t="str">
        <f t="shared" si="1"/>
        <v>21143</v>
      </c>
      <c r="H1085" s="23" t="s">
        <v>910</v>
      </c>
      <c r="I1085" s="23" t="s">
        <v>54</v>
      </c>
      <c r="J1085" s="23" t="s">
        <v>531</v>
      </c>
      <c r="K1085" s="23" t="str">
        <f t="shared" si="18"/>
        <v>Lyon, KY</v>
      </c>
      <c r="L1085" s="23">
        <v>20.0</v>
      </c>
      <c r="M1085" s="23" t="s">
        <v>63</v>
      </c>
      <c r="N1085" s="23">
        <v>8.0</v>
      </c>
      <c r="O1085" s="23">
        <v>5.0</v>
      </c>
      <c r="P1085" s="23" t="s">
        <v>63</v>
      </c>
      <c r="Q1085" s="23" t="s">
        <v>63</v>
      </c>
      <c r="R1085" s="23">
        <v>3.0</v>
      </c>
      <c r="S1085" s="23" t="s">
        <v>63</v>
      </c>
      <c r="T1085" s="32" t="s">
        <v>63</v>
      </c>
      <c r="U1085" s="123" t="s">
        <v>63</v>
      </c>
      <c r="V1085" s="23" t="s">
        <v>63</v>
      </c>
      <c r="W1085" s="23" t="s">
        <v>63</v>
      </c>
      <c r="X1085" s="23" t="s">
        <v>63</v>
      </c>
      <c r="Y1085" s="35">
        <v>12.0</v>
      </c>
      <c r="Z1085" s="32" t="s">
        <v>63</v>
      </c>
      <c r="AA1085" s="38"/>
      <c r="AB1085" s="38"/>
      <c r="AC1085" s="38"/>
      <c r="AD1085" s="38"/>
      <c r="AE1085" s="38"/>
      <c r="AF1085" s="38"/>
      <c r="AG1085" s="38"/>
      <c r="AH1085" s="38"/>
      <c r="AI1085" s="38"/>
      <c r="AJ1085" s="38"/>
      <c r="AK1085" s="38"/>
    </row>
    <row r="1086">
      <c r="A1086" s="99">
        <v>1085.0</v>
      </c>
      <c r="B1086" s="15"/>
      <c r="C1086" s="15"/>
      <c r="D1086" s="105">
        <v>1.0</v>
      </c>
      <c r="E1086" s="102">
        <v>21.0</v>
      </c>
      <c r="F1086" s="107">
        <v>145.0</v>
      </c>
      <c r="G1086" s="15" t="str">
        <f t="shared" si="1"/>
        <v>21145</v>
      </c>
      <c r="H1086" s="23" t="s">
        <v>1117</v>
      </c>
      <c r="I1086" s="23" t="s">
        <v>54</v>
      </c>
      <c r="J1086" s="23" t="s">
        <v>531</v>
      </c>
      <c r="K1086" s="23" t="str">
        <f t="shared" si="18"/>
        <v>McCracken, KY</v>
      </c>
      <c r="L1086" s="23">
        <v>122.0</v>
      </c>
      <c r="M1086" s="23" t="s">
        <v>63</v>
      </c>
      <c r="N1086" s="23">
        <v>41.0</v>
      </c>
      <c r="O1086" s="23">
        <v>25.0</v>
      </c>
      <c r="P1086" s="23" t="s">
        <v>63</v>
      </c>
      <c r="Q1086" s="23" t="s">
        <v>63</v>
      </c>
      <c r="R1086" s="23">
        <v>40.0</v>
      </c>
      <c r="S1086" s="23" t="s">
        <v>63</v>
      </c>
      <c r="T1086" s="32" t="s">
        <v>63</v>
      </c>
      <c r="U1086" s="123" t="s">
        <v>63</v>
      </c>
      <c r="V1086" s="23" t="s">
        <v>63</v>
      </c>
      <c r="W1086" s="23" t="s">
        <v>63</v>
      </c>
      <c r="X1086" s="23" t="s">
        <v>63</v>
      </c>
      <c r="Y1086" s="35">
        <v>100.0</v>
      </c>
      <c r="Z1086" s="32" t="s">
        <v>63</v>
      </c>
      <c r="AA1086" s="38"/>
      <c r="AB1086" s="38"/>
      <c r="AC1086" s="38"/>
      <c r="AD1086" s="38"/>
      <c r="AE1086" s="38"/>
      <c r="AF1086" s="38"/>
      <c r="AG1086" s="38"/>
      <c r="AH1086" s="38"/>
      <c r="AI1086" s="38"/>
      <c r="AJ1086" s="38"/>
      <c r="AK1086" s="38"/>
    </row>
    <row r="1087">
      <c r="A1087" s="99">
        <v>1086.0</v>
      </c>
      <c r="B1087" s="15"/>
      <c r="C1087" s="15"/>
      <c r="D1087" s="105">
        <v>1.0</v>
      </c>
      <c r="E1087" s="102">
        <v>21.0</v>
      </c>
      <c r="F1087" s="107">
        <v>147.0</v>
      </c>
      <c r="G1087" s="15" t="str">
        <f t="shared" si="1"/>
        <v>21147</v>
      </c>
      <c r="H1087" s="23" t="s">
        <v>1118</v>
      </c>
      <c r="I1087" s="23" t="s">
        <v>54</v>
      </c>
      <c r="J1087" s="23" t="s">
        <v>531</v>
      </c>
      <c r="K1087" s="23" t="str">
        <f t="shared" si="18"/>
        <v>McCreary, KY</v>
      </c>
      <c r="L1087" s="23">
        <v>32.0</v>
      </c>
      <c r="M1087" s="23" t="s">
        <v>63</v>
      </c>
      <c r="N1087" s="23">
        <v>6.0</v>
      </c>
      <c r="O1087" s="23">
        <v>4.0</v>
      </c>
      <c r="P1087" s="23" t="s">
        <v>63</v>
      </c>
      <c r="Q1087" s="23" t="s">
        <v>63</v>
      </c>
      <c r="R1087" s="23">
        <v>7.0</v>
      </c>
      <c r="S1087" s="23" t="s">
        <v>63</v>
      </c>
      <c r="T1087" s="32" t="s">
        <v>63</v>
      </c>
      <c r="U1087" s="123" t="s">
        <v>63</v>
      </c>
      <c r="V1087" s="23" t="s">
        <v>63</v>
      </c>
      <c r="W1087" s="23" t="s">
        <v>63</v>
      </c>
      <c r="X1087" s="23" t="s">
        <v>63</v>
      </c>
      <c r="Y1087" s="35">
        <v>15.0</v>
      </c>
      <c r="Z1087" s="32" t="s">
        <v>63</v>
      </c>
      <c r="AA1087" s="38"/>
      <c r="AB1087" s="38"/>
      <c r="AC1087" s="38"/>
      <c r="AD1087" s="38"/>
      <c r="AE1087" s="38"/>
      <c r="AF1087" s="38"/>
      <c r="AG1087" s="38"/>
      <c r="AH1087" s="38"/>
      <c r="AI1087" s="38"/>
      <c r="AJ1087" s="38"/>
      <c r="AK1087" s="38"/>
    </row>
    <row r="1088">
      <c r="A1088" s="99">
        <v>1087.0</v>
      </c>
      <c r="B1088" s="15"/>
      <c r="C1088" s="15"/>
      <c r="D1088" s="105">
        <v>1.0</v>
      </c>
      <c r="E1088" s="102">
        <v>21.0</v>
      </c>
      <c r="F1088" s="107">
        <v>149.0</v>
      </c>
      <c r="G1088" s="15" t="str">
        <f t="shared" si="1"/>
        <v>21149</v>
      </c>
      <c r="H1088" s="23" t="s">
        <v>733</v>
      </c>
      <c r="I1088" s="23" t="s">
        <v>54</v>
      </c>
      <c r="J1088" s="23" t="s">
        <v>531</v>
      </c>
      <c r="K1088" s="23" t="str">
        <f t="shared" si="18"/>
        <v>Mclean, KY</v>
      </c>
      <c r="L1088" s="23">
        <v>13.0</v>
      </c>
      <c r="M1088" s="23" t="s">
        <v>63</v>
      </c>
      <c r="N1088" s="23">
        <v>8.0</v>
      </c>
      <c r="O1088" s="23">
        <v>0.0</v>
      </c>
      <c r="P1088" s="23" t="s">
        <v>63</v>
      </c>
      <c r="Q1088" s="23" t="s">
        <v>63</v>
      </c>
      <c r="R1088" s="23">
        <v>1.0</v>
      </c>
      <c r="S1088" s="23" t="s">
        <v>63</v>
      </c>
      <c r="T1088" s="32" t="s">
        <v>63</v>
      </c>
      <c r="U1088" s="123" t="s">
        <v>63</v>
      </c>
      <c r="V1088" s="23" t="s">
        <v>63</v>
      </c>
      <c r="W1088" s="23" t="s">
        <v>63</v>
      </c>
      <c r="X1088" s="23" t="s">
        <v>63</v>
      </c>
      <c r="Y1088" s="35">
        <v>16.0</v>
      </c>
      <c r="Z1088" s="32" t="s">
        <v>63</v>
      </c>
      <c r="AA1088" s="38"/>
      <c r="AB1088" s="38"/>
      <c r="AC1088" s="38"/>
      <c r="AD1088" s="38"/>
      <c r="AE1088" s="38"/>
      <c r="AF1088" s="38"/>
      <c r="AG1088" s="38"/>
      <c r="AH1088" s="38"/>
      <c r="AI1088" s="38"/>
      <c r="AJ1088" s="38"/>
      <c r="AK1088" s="38"/>
    </row>
    <row r="1089">
      <c r="A1089" s="99">
        <v>1088.0</v>
      </c>
      <c r="B1089" s="15"/>
      <c r="C1089" s="15"/>
      <c r="D1089" s="105">
        <v>1.0</v>
      </c>
      <c r="E1089" s="102">
        <v>21.0</v>
      </c>
      <c r="F1089" s="107">
        <v>151.0</v>
      </c>
      <c r="G1089" s="15" t="str">
        <f t="shared" si="1"/>
        <v>21151</v>
      </c>
      <c r="H1089" s="23" t="s">
        <v>151</v>
      </c>
      <c r="I1089" s="23" t="s">
        <v>54</v>
      </c>
      <c r="J1089" s="23" t="s">
        <v>531</v>
      </c>
      <c r="K1089" s="23" t="str">
        <f t="shared" si="18"/>
        <v>Madison, KY</v>
      </c>
      <c r="L1089" s="23">
        <v>207.0</v>
      </c>
      <c r="M1089" s="23" t="s">
        <v>63</v>
      </c>
      <c r="N1089" s="23">
        <v>84.0</v>
      </c>
      <c r="O1089" s="23">
        <v>16.0</v>
      </c>
      <c r="P1089" s="23" t="s">
        <v>63</v>
      </c>
      <c r="Q1089" s="23" t="s">
        <v>63</v>
      </c>
      <c r="R1089" s="23">
        <v>82.0</v>
      </c>
      <c r="S1089" s="23" t="s">
        <v>63</v>
      </c>
      <c r="T1089" s="32" t="s">
        <v>63</v>
      </c>
      <c r="U1089" s="123" t="s">
        <v>63</v>
      </c>
      <c r="V1089" s="23" t="s">
        <v>63</v>
      </c>
      <c r="W1089" s="23" t="s">
        <v>63</v>
      </c>
      <c r="X1089" s="23" t="s">
        <v>63</v>
      </c>
      <c r="Y1089" s="35">
        <v>89.0</v>
      </c>
      <c r="Z1089" s="32" t="s">
        <v>63</v>
      </c>
      <c r="AA1089" s="38"/>
      <c r="AB1089" s="38"/>
      <c r="AC1089" s="38"/>
      <c r="AD1089" s="38"/>
      <c r="AE1089" s="38"/>
      <c r="AF1089" s="38"/>
      <c r="AG1089" s="38"/>
      <c r="AH1089" s="38"/>
      <c r="AI1089" s="38"/>
      <c r="AJ1089" s="38"/>
      <c r="AK1089" s="38"/>
    </row>
    <row r="1090">
      <c r="A1090" s="99">
        <v>1089.0</v>
      </c>
      <c r="B1090" s="15"/>
      <c r="C1090" s="15"/>
      <c r="D1090" s="105">
        <v>1.0</v>
      </c>
      <c r="E1090" s="102">
        <v>21.0</v>
      </c>
      <c r="F1090" s="107">
        <v>153.0</v>
      </c>
      <c r="G1090" s="15" t="str">
        <f t="shared" si="1"/>
        <v>21153</v>
      </c>
      <c r="H1090" s="23" t="s">
        <v>1119</v>
      </c>
      <c r="I1090" s="23" t="s">
        <v>54</v>
      </c>
      <c r="J1090" s="23" t="s">
        <v>531</v>
      </c>
      <c r="K1090" s="23" t="str">
        <f t="shared" si="18"/>
        <v>Magoffin, KY</v>
      </c>
      <c r="L1090" s="23">
        <v>26.0</v>
      </c>
      <c r="M1090" s="23" t="s">
        <v>63</v>
      </c>
      <c r="N1090" s="23">
        <v>13.0</v>
      </c>
      <c r="O1090" s="23">
        <v>0.0</v>
      </c>
      <c r="P1090" s="23" t="s">
        <v>63</v>
      </c>
      <c r="Q1090" s="23" t="s">
        <v>63</v>
      </c>
      <c r="R1090" s="23">
        <v>18.0</v>
      </c>
      <c r="S1090" s="23" t="s">
        <v>63</v>
      </c>
      <c r="T1090" s="32" t="s">
        <v>63</v>
      </c>
      <c r="U1090" s="123" t="s">
        <v>63</v>
      </c>
      <c r="V1090" s="23" t="s">
        <v>63</v>
      </c>
      <c r="W1090" s="23" t="s">
        <v>63</v>
      </c>
      <c r="X1090" s="23" t="s">
        <v>63</v>
      </c>
      <c r="Y1090" s="35">
        <v>27.0</v>
      </c>
      <c r="Z1090" s="32" t="s">
        <v>63</v>
      </c>
      <c r="AA1090" s="38"/>
      <c r="AB1090" s="38"/>
      <c r="AC1090" s="38"/>
      <c r="AD1090" s="38"/>
      <c r="AE1090" s="38"/>
      <c r="AF1090" s="38"/>
      <c r="AG1090" s="38"/>
      <c r="AH1090" s="38"/>
      <c r="AI1090" s="38"/>
      <c r="AJ1090" s="38"/>
      <c r="AK1090" s="38"/>
    </row>
    <row r="1091">
      <c r="A1091" s="99">
        <v>1090.0</v>
      </c>
      <c r="B1091" s="15"/>
      <c r="C1091" s="15"/>
      <c r="D1091" s="105">
        <v>1.0</v>
      </c>
      <c r="E1091" s="102">
        <v>21.0</v>
      </c>
      <c r="F1091" s="107">
        <v>155.0</v>
      </c>
      <c r="G1091" s="15" t="str">
        <f t="shared" si="1"/>
        <v>21155</v>
      </c>
      <c r="H1091" s="23" t="s">
        <v>153</v>
      </c>
      <c r="I1091" s="23" t="s">
        <v>54</v>
      </c>
      <c r="J1091" s="23" t="s">
        <v>531</v>
      </c>
      <c r="K1091" s="23" t="str">
        <f t="shared" si="18"/>
        <v>Marion, KY</v>
      </c>
      <c r="L1091" s="23">
        <v>30.0</v>
      </c>
      <c r="M1091" s="23" t="s">
        <v>63</v>
      </c>
      <c r="N1091" s="23">
        <v>8.0</v>
      </c>
      <c r="O1091" s="23">
        <v>5.0</v>
      </c>
      <c r="P1091" s="23" t="s">
        <v>63</v>
      </c>
      <c r="Q1091" s="23" t="s">
        <v>63</v>
      </c>
      <c r="R1091" s="23">
        <v>2.0</v>
      </c>
      <c r="S1091" s="23" t="s">
        <v>63</v>
      </c>
      <c r="T1091" s="32" t="s">
        <v>63</v>
      </c>
      <c r="U1091" s="123" t="s">
        <v>63</v>
      </c>
      <c r="V1091" s="23" t="s">
        <v>63</v>
      </c>
      <c r="W1091" s="23" t="s">
        <v>63</v>
      </c>
      <c r="X1091" s="23" t="s">
        <v>63</v>
      </c>
      <c r="Y1091" s="35">
        <v>15.0</v>
      </c>
      <c r="Z1091" s="32" t="s">
        <v>63</v>
      </c>
      <c r="AA1091" s="38"/>
      <c r="AB1091" s="38"/>
      <c r="AC1091" s="38"/>
      <c r="AD1091" s="38"/>
      <c r="AE1091" s="38"/>
      <c r="AF1091" s="38"/>
      <c r="AG1091" s="38"/>
      <c r="AH1091" s="38"/>
      <c r="AI1091" s="38"/>
      <c r="AJ1091" s="38"/>
      <c r="AK1091" s="38"/>
    </row>
    <row r="1092">
      <c r="A1092" s="99">
        <v>1091.0</v>
      </c>
      <c r="B1092" s="15"/>
      <c r="C1092" s="15"/>
      <c r="D1092" s="105">
        <v>1.0</v>
      </c>
      <c r="E1092" s="102">
        <v>21.0</v>
      </c>
      <c r="F1092" s="107">
        <v>157.0</v>
      </c>
      <c r="G1092" s="15" t="str">
        <f t="shared" si="1"/>
        <v>21157</v>
      </c>
      <c r="H1092" s="23" t="s">
        <v>154</v>
      </c>
      <c r="I1092" s="23" t="s">
        <v>54</v>
      </c>
      <c r="J1092" s="23" t="s">
        <v>531</v>
      </c>
      <c r="K1092" s="23" t="str">
        <f t="shared" si="18"/>
        <v>Marshall, KY</v>
      </c>
      <c r="L1092" s="23">
        <v>95.0</v>
      </c>
      <c r="M1092" s="23" t="s">
        <v>63</v>
      </c>
      <c r="N1092" s="23">
        <v>45.0</v>
      </c>
      <c r="O1092" s="23">
        <v>10.0</v>
      </c>
      <c r="P1092" s="23" t="s">
        <v>63</v>
      </c>
      <c r="Q1092" s="23" t="s">
        <v>63</v>
      </c>
      <c r="R1092" s="23">
        <v>49.0</v>
      </c>
      <c r="S1092" s="23" t="s">
        <v>63</v>
      </c>
      <c r="T1092" s="32" t="s">
        <v>63</v>
      </c>
      <c r="U1092" s="123" t="s">
        <v>63</v>
      </c>
      <c r="V1092" s="23" t="s">
        <v>63</v>
      </c>
      <c r="W1092" s="23" t="s">
        <v>63</v>
      </c>
      <c r="X1092" s="23" t="s">
        <v>63</v>
      </c>
      <c r="Y1092" s="35">
        <v>52.0</v>
      </c>
      <c r="Z1092" s="32" t="s">
        <v>63</v>
      </c>
      <c r="AA1092" s="38"/>
      <c r="AB1092" s="38"/>
      <c r="AC1092" s="38"/>
      <c r="AD1092" s="38"/>
      <c r="AE1092" s="38"/>
      <c r="AF1092" s="38"/>
      <c r="AG1092" s="38"/>
      <c r="AH1092" s="38"/>
      <c r="AI1092" s="38"/>
      <c r="AJ1092" s="38"/>
      <c r="AK1092" s="38"/>
    </row>
    <row r="1093">
      <c r="A1093" s="99">
        <v>1092.0</v>
      </c>
      <c r="B1093" s="15"/>
      <c r="C1093" s="15"/>
      <c r="D1093" s="105">
        <v>1.0</v>
      </c>
      <c r="E1093" s="102">
        <v>21.0</v>
      </c>
      <c r="F1093" s="107">
        <v>159.0</v>
      </c>
      <c r="G1093" s="15" t="str">
        <f t="shared" si="1"/>
        <v>21159</v>
      </c>
      <c r="H1093" s="23" t="s">
        <v>510</v>
      </c>
      <c r="I1093" s="23" t="s">
        <v>54</v>
      </c>
      <c r="J1093" s="23" t="s">
        <v>531</v>
      </c>
      <c r="K1093" s="23" t="str">
        <f t="shared" si="18"/>
        <v>Martin, KY</v>
      </c>
      <c r="L1093" s="23">
        <v>39.0</v>
      </c>
      <c r="M1093" s="23" t="s">
        <v>63</v>
      </c>
      <c r="N1093" s="23">
        <v>9.0</v>
      </c>
      <c r="O1093" s="23">
        <v>1.0</v>
      </c>
      <c r="P1093" s="23" t="s">
        <v>63</v>
      </c>
      <c r="Q1093" s="23" t="s">
        <v>63</v>
      </c>
      <c r="R1093" s="23">
        <v>10.0</v>
      </c>
      <c r="S1093" s="23" t="s">
        <v>63</v>
      </c>
      <c r="T1093" s="32" t="s">
        <v>63</v>
      </c>
      <c r="U1093" s="123" t="s">
        <v>63</v>
      </c>
      <c r="V1093" s="23" t="s">
        <v>63</v>
      </c>
      <c r="W1093" s="23" t="s">
        <v>63</v>
      </c>
      <c r="X1093" s="23" t="s">
        <v>63</v>
      </c>
      <c r="Y1093" s="35">
        <v>15.0</v>
      </c>
      <c r="Z1093" s="32" t="s">
        <v>63</v>
      </c>
      <c r="AA1093" s="38"/>
      <c r="AB1093" s="38"/>
      <c r="AC1093" s="38"/>
      <c r="AD1093" s="38"/>
      <c r="AE1093" s="38"/>
      <c r="AF1093" s="38"/>
      <c r="AG1093" s="38"/>
      <c r="AH1093" s="38"/>
      <c r="AI1093" s="38"/>
      <c r="AJ1093" s="38"/>
      <c r="AK1093" s="38"/>
    </row>
    <row r="1094">
      <c r="A1094" s="99">
        <v>1093.0</v>
      </c>
      <c r="B1094" s="15"/>
      <c r="C1094" s="15"/>
      <c r="D1094" s="105">
        <v>1.0</v>
      </c>
      <c r="E1094" s="102">
        <v>21.0</v>
      </c>
      <c r="F1094" s="107">
        <v>161.0</v>
      </c>
      <c r="G1094" s="15" t="str">
        <f t="shared" si="1"/>
        <v>21161</v>
      </c>
      <c r="H1094" s="23" t="s">
        <v>735</v>
      </c>
      <c r="I1094" s="23" t="s">
        <v>54</v>
      </c>
      <c r="J1094" s="23" t="s">
        <v>531</v>
      </c>
      <c r="K1094" s="23" t="str">
        <f t="shared" si="18"/>
        <v>Mason, KY</v>
      </c>
      <c r="L1094" s="23">
        <v>22.0</v>
      </c>
      <c r="M1094" s="23" t="s">
        <v>63</v>
      </c>
      <c r="N1094" s="23">
        <v>6.0</v>
      </c>
      <c r="O1094" s="23">
        <v>1.0</v>
      </c>
      <c r="P1094" s="23" t="s">
        <v>63</v>
      </c>
      <c r="Q1094" s="23" t="s">
        <v>63</v>
      </c>
      <c r="R1094" s="23">
        <v>10.0</v>
      </c>
      <c r="S1094" s="23" t="s">
        <v>63</v>
      </c>
      <c r="T1094" s="32" t="s">
        <v>63</v>
      </c>
      <c r="U1094" s="123" t="s">
        <v>63</v>
      </c>
      <c r="V1094" s="23" t="s">
        <v>63</v>
      </c>
      <c r="W1094" s="23" t="s">
        <v>63</v>
      </c>
      <c r="X1094" s="23" t="s">
        <v>63</v>
      </c>
      <c r="Y1094" s="35">
        <v>35.0</v>
      </c>
      <c r="Z1094" s="32" t="s">
        <v>63</v>
      </c>
      <c r="AA1094" s="38"/>
      <c r="AB1094" s="38"/>
      <c r="AC1094" s="38"/>
      <c r="AD1094" s="38"/>
      <c r="AE1094" s="38"/>
      <c r="AF1094" s="38"/>
      <c r="AG1094" s="38"/>
      <c r="AH1094" s="38"/>
      <c r="AI1094" s="38"/>
      <c r="AJ1094" s="38"/>
      <c r="AK1094" s="38"/>
    </row>
    <row r="1095">
      <c r="A1095" s="99">
        <v>1094.0</v>
      </c>
      <c r="B1095" s="15"/>
      <c r="C1095" s="15"/>
      <c r="D1095" s="105">
        <v>1.0</v>
      </c>
      <c r="E1095" s="102">
        <v>21.0</v>
      </c>
      <c r="F1095" s="107">
        <v>163.0</v>
      </c>
      <c r="G1095" s="15" t="str">
        <f t="shared" si="1"/>
        <v>21163</v>
      </c>
      <c r="H1095" s="23" t="s">
        <v>989</v>
      </c>
      <c r="I1095" s="23" t="s">
        <v>54</v>
      </c>
      <c r="J1095" s="23" t="s">
        <v>531</v>
      </c>
      <c r="K1095" s="23" t="str">
        <f t="shared" si="18"/>
        <v>Meade, KY</v>
      </c>
      <c r="L1095" s="23">
        <v>22.0</v>
      </c>
      <c r="M1095" s="23" t="s">
        <v>63</v>
      </c>
      <c r="N1095" s="23">
        <v>6.0</v>
      </c>
      <c r="O1095" s="23">
        <v>2.0</v>
      </c>
      <c r="P1095" s="23" t="s">
        <v>63</v>
      </c>
      <c r="Q1095" s="23" t="s">
        <v>63</v>
      </c>
      <c r="R1095" s="23">
        <v>12.0</v>
      </c>
      <c r="S1095" s="23" t="s">
        <v>63</v>
      </c>
      <c r="T1095" s="32" t="s">
        <v>63</v>
      </c>
      <c r="U1095" s="123" t="s">
        <v>63</v>
      </c>
      <c r="V1095" s="23" t="s">
        <v>63</v>
      </c>
      <c r="W1095" s="23" t="s">
        <v>63</v>
      </c>
      <c r="X1095" s="23" t="s">
        <v>63</v>
      </c>
      <c r="Y1095" s="35">
        <v>27.0</v>
      </c>
      <c r="Z1095" s="32" t="s">
        <v>63</v>
      </c>
      <c r="AA1095" s="38"/>
      <c r="AB1095" s="38"/>
      <c r="AC1095" s="38"/>
      <c r="AD1095" s="38"/>
      <c r="AE1095" s="38"/>
      <c r="AF1095" s="38"/>
      <c r="AG1095" s="38"/>
      <c r="AH1095" s="38"/>
      <c r="AI1095" s="38"/>
      <c r="AJ1095" s="38"/>
      <c r="AK1095" s="38"/>
    </row>
    <row r="1096">
      <c r="A1096" s="99">
        <v>1095.0</v>
      </c>
      <c r="B1096" s="15"/>
      <c r="C1096" s="15"/>
      <c r="D1096" s="105">
        <v>1.0</v>
      </c>
      <c r="E1096" s="102">
        <v>21.0</v>
      </c>
      <c r="F1096" s="107">
        <v>165.0</v>
      </c>
      <c r="G1096" s="15" t="str">
        <f t="shared" si="1"/>
        <v>21165</v>
      </c>
      <c r="H1096" s="23" t="s">
        <v>1121</v>
      </c>
      <c r="I1096" s="23" t="s">
        <v>54</v>
      </c>
      <c r="J1096" s="23" t="s">
        <v>531</v>
      </c>
      <c r="K1096" s="23" t="str">
        <f t="shared" si="18"/>
        <v>Menifee, KY</v>
      </c>
      <c r="L1096" s="23">
        <v>14.0</v>
      </c>
      <c r="M1096" s="23" t="s">
        <v>63</v>
      </c>
      <c r="N1096" s="23">
        <v>3.0</v>
      </c>
      <c r="O1096" s="23">
        <v>0.0</v>
      </c>
      <c r="P1096" s="23" t="s">
        <v>63</v>
      </c>
      <c r="Q1096" s="23" t="s">
        <v>63</v>
      </c>
      <c r="R1096" s="23">
        <v>3.0</v>
      </c>
      <c r="S1096" s="23" t="s">
        <v>63</v>
      </c>
      <c r="T1096" s="32" t="s">
        <v>63</v>
      </c>
      <c r="U1096" s="123" t="s">
        <v>63</v>
      </c>
      <c r="V1096" s="23" t="s">
        <v>63</v>
      </c>
      <c r="W1096" s="23" t="s">
        <v>63</v>
      </c>
      <c r="X1096" s="23" t="s">
        <v>63</v>
      </c>
      <c r="Y1096" s="35">
        <v>10.0</v>
      </c>
      <c r="Z1096" s="32" t="s">
        <v>63</v>
      </c>
      <c r="AA1096" s="38"/>
      <c r="AB1096" s="38"/>
      <c r="AC1096" s="38"/>
      <c r="AD1096" s="38"/>
      <c r="AE1096" s="38"/>
      <c r="AF1096" s="38"/>
      <c r="AG1096" s="38"/>
      <c r="AH1096" s="38"/>
      <c r="AI1096" s="38"/>
      <c r="AJ1096" s="38"/>
      <c r="AK1096" s="38"/>
    </row>
    <row r="1097">
      <c r="A1097" s="99">
        <v>1096.0</v>
      </c>
      <c r="B1097" s="15"/>
      <c r="C1097" s="15"/>
      <c r="D1097" s="105">
        <v>1.0</v>
      </c>
      <c r="E1097" s="102">
        <v>21.0</v>
      </c>
      <c r="F1097" s="107">
        <v>167.0</v>
      </c>
      <c r="G1097" s="15" t="str">
        <f t="shared" si="1"/>
        <v>21167</v>
      </c>
      <c r="H1097" s="23" t="s">
        <v>738</v>
      </c>
      <c r="I1097" s="23" t="s">
        <v>54</v>
      </c>
      <c r="J1097" s="23" t="s">
        <v>531</v>
      </c>
      <c r="K1097" s="23" t="str">
        <f t="shared" si="18"/>
        <v>Mercer, KY</v>
      </c>
      <c r="L1097" s="23">
        <v>15.0</v>
      </c>
      <c r="M1097" s="23" t="s">
        <v>63</v>
      </c>
      <c r="N1097" s="23">
        <v>3.0</v>
      </c>
      <c r="O1097" s="23">
        <v>3.0</v>
      </c>
      <c r="P1097" s="23" t="s">
        <v>63</v>
      </c>
      <c r="Q1097" s="23" t="s">
        <v>63</v>
      </c>
      <c r="R1097" s="23">
        <v>3.0</v>
      </c>
      <c r="S1097" s="23" t="s">
        <v>63</v>
      </c>
      <c r="T1097" s="32" t="s">
        <v>63</v>
      </c>
      <c r="U1097" s="123" t="s">
        <v>63</v>
      </c>
      <c r="V1097" s="23" t="s">
        <v>63</v>
      </c>
      <c r="W1097" s="23" t="s">
        <v>63</v>
      </c>
      <c r="X1097" s="23" t="s">
        <v>63</v>
      </c>
      <c r="Y1097" s="35">
        <v>36.0</v>
      </c>
      <c r="Z1097" s="32" t="s">
        <v>63</v>
      </c>
      <c r="AA1097" s="38"/>
      <c r="AB1097" s="38"/>
      <c r="AC1097" s="38"/>
      <c r="AD1097" s="38"/>
      <c r="AE1097" s="38"/>
      <c r="AF1097" s="38"/>
      <c r="AG1097" s="38"/>
      <c r="AH1097" s="38"/>
      <c r="AI1097" s="38"/>
      <c r="AJ1097" s="38"/>
      <c r="AK1097" s="38"/>
    </row>
    <row r="1098">
      <c r="A1098" s="99">
        <v>1097.0</v>
      </c>
      <c r="B1098" s="15"/>
      <c r="C1098" s="15"/>
      <c r="D1098" s="105">
        <v>1.0</v>
      </c>
      <c r="E1098" s="102">
        <v>21.0</v>
      </c>
      <c r="F1098" s="107">
        <v>169.0</v>
      </c>
      <c r="G1098" s="15" t="str">
        <f t="shared" si="1"/>
        <v>21169</v>
      </c>
      <c r="H1098" s="23" t="s">
        <v>1122</v>
      </c>
      <c r="I1098" s="23" t="s">
        <v>54</v>
      </c>
      <c r="J1098" s="23" t="s">
        <v>531</v>
      </c>
      <c r="K1098" s="23" t="str">
        <f t="shared" si="18"/>
        <v>Metcalfe, KY</v>
      </c>
      <c r="L1098" s="23">
        <v>13.0</v>
      </c>
      <c r="M1098" s="23" t="s">
        <v>63</v>
      </c>
      <c r="N1098" s="23">
        <v>1.0</v>
      </c>
      <c r="O1098" s="23">
        <v>3.0</v>
      </c>
      <c r="P1098" s="23" t="s">
        <v>63</v>
      </c>
      <c r="Q1098" s="23" t="s">
        <v>63</v>
      </c>
      <c r="R1098" s="23">
        <v>5.0</v>
      </c>
      <c r="S1098" s="23" t="s">
        <v>63</v>
      </c>
      <c r="T1098" s="32" t="s">
        <v>63</v>
      </c>
      <c r="U1098" s="123" t="s">
        <v>63</v>
      </c>
      <c r="V1098" s="23" t="s">
        <v>63</v>
      </c>
      <c r="W1098" s="23" t="s">
        <v>63</v>
      </c>
      <c r="X1098" s="23" t="s">
        <v>63</v>
      </c>
      <c r="Y1098" s="35">
        <v>11.0</v>
      </c>
      <c r="Z1098" s="32" t="s">
        <v>63</v>
      </c>
      <c r="AA1098" s="38"/>
      <c r="AB1098" s="38"/>
      <c r="AC1098" s="38"/>
      <c r="AD1098" s="38"/>
      <c r="AE1098" s="38"/>
      <c r="AF1098" s="38"/>
      <c r="AG1098" s="38"/>
      <c r="AH1098" s="38"/>
      <c r="AI1098" s="38"/>
      <c r="AJ1098" s="38"/>
      <c r="AK1098" s="38"/>
    </row>
    <row r="1099">
      <c r="A1099" s="99">
        <v>1098.0</v>
      </c>
      <c r="B1099" s="15"/>
      <c r="C1099" s="15"/>
      <c r="D1099" s="105">
        <v>1.0</v>
      </c>
      <c r="E1099" s="102">
        <v>21.0</v>
      </c>
      <c r="F1099" s="107">
        <v>171.0</v>
      </c>
      <c r="G1099" s="15" t="str">
        <f t="shared" si="1"/>
        <v>21171</v>
      </c>
      <c r="H1099" s="23" t="s">
        <v>156</v>
      </c>
      <c r="I1099" s="23" t="s">
        <v>54</v>
      </c>
      <c r="J1099" s="23" t="s">
        <v>531</v>
      </c>
      <c r="K1099" s="23" t="str">
        <f t="shared" si="18"/>
        <v>Monroe, KY</v>
      </c>
      <c r="L1099" s="23">
        <v>13.0</v>
      </c>
      <c r="M1099" s="23" t="s">
        <v>63</v>
      </c>
      <c r="N1099" s="23">
        <v>5.0</v>
      </c>
      <c r="O1099" s="23">
        <v>0.0</v>
      </c>
      <c r="P1099" s="23" t="s">
        <v>63</v>
      </c>
      <c r="Q1099" s="23" t="s">
        <v>63</v>
      </c>
      <c r="R1099" s="23">
        <v>1.0</v>
      </c>
      <c r="S1099" s="23" t="s">
        <v>63</v>
      </c>
      <c r="T1099" s="32" t="s">
        <v>63</v>
      </c>
      <c r="U1099" s="123" t="s">
        <v>63</v>
      </c>
      <c r="V1099" s="23" t="s">
        <v>63</v>
      </c>
      <c r="W1099" s="23" t="s">
        <v>63</v>
      </c>
      <c r="X1099" s="23" t="s">
        <v>63</v>
      </c>
      <c r="Y1099" s="35">
        <v>16.0</v>
      </c>
      <c r="Z1099" s="32" t="s">
        <v>63</v>
      </c>
      <c r="AA1099" s="38"/>
      <c r="AB1099" s="38"/>
      <c r="AC1099" s="38"/>
      <c r="AD1099" s="38"/>
      <c r="AE1099" s="38"/>
      <c r="AF1099" s="38"/>
      <c r="AG1099" s="38"/>
      <c r="AH1099" s="38"/>
      <c r="AI1099" s="38"/>
      <c r="AJ1099" s="38"/>
      <c r="AK1099" s="38"/>
    </row>
    <row r="1100">
      <c r="A1100" s="99">
        <v>1099.0</v>
      </c>
      <c r="B1100" s="15"/>
      <c r="C1100" s="15"/>
      <c r="D1100" s="105">
        <v>1.0</v>
      </c>
      <c r="E1100" s="102">
        <v>21.0</v>
      </c>
      <c r="F1100" s="107">
        <v>173.0</v>
      </c>
      <c r="G1100" s="15" t="str">
        <f t="shared" si="1"/>
        <v>21173</v>
      </c>
      <c r="H1100" s="23" t="s">
        <v>157</v>
      </c>
      <c r="I1100" s="23" t="s">
        <v>54</v>
      </c>
      <c r="J1100" s="23" t="s">
        <v>531</v>
      </c>
      <c r="K1100" s="23" t="str">
        <f t="shared" si="18"/>
        <v>Montgomery, KY</v>
      </c>
      <c r="L1100" s="23">
        <v>50.0</v>
      </c>
      <c r="M1100" s="23" t="s">
        <v>63</v>
      </c>
      <c r="N1100" s="23">
        <v>21.0</v>
      </c>
      <c r="O1100" s="23">
        <v>5.0</v>
      </c>
      <c r="P1100" s="23" t="s">
        <v>63</v>
      </c>
      <c r="Q1100" s="23" t="s">
        <v>63</v>
      </c>
      <c r="R1100" s="23">
        <v>10.0</v>
      </c>
      <c r="S1100" s="23" t="s">
        <v>63</v>
      </c>
      <c r="T1100" s="32" t="s">
        <v>63</v>
      </c>
      <c r="U1100" s="123" t="s">
        <v>63</v>
      </c>
      <c r="V1100" s="23" t="s">
        <v>63</v>
      </c>
      <c r="W1100" s="23" t="s">
        <v>63</v>
      </c>
      <c r="X1100" s="23" t="s">
        <v>63</v>
      </c>
      <c r="Y1100" s="35">
        <v>28.0</v>
      </c>
      <c r="Z1100" s="32" t="s">
        <v>63</v>
      </c>
      <c r="AA1100" s="38"/>
      <c r="AB1100" s="38"/>
      <c r="AC1100" s="38"/>
      <c r="AD1100" s="38"/>
      <c r="AE1100" s="38"/>
      <c r="AF1100" s="38"/>
      <c r="AG1100" s="38"/>
      <c r="AH1100" s="38"/>
      <c r="AI1100" s="38"/>
      <c r="AJ1100" s="38"/>
      <c r="AK1100" s="38"/>
    </row>
    <row r="1101">
      <c r="A1101" s="99">
        <v>1100.0</v>
      </c>
      <c r="B1101" s="15"/>
      <c r="C1101" s="15"/>
      <c r="D1101" s="105">
        <v>1.0</v>
      </c>
      <c r="E1101" s="102">
        <v>21.0</v>
      </c>
      <c r="F1101" s="107">
        <v>175.0</v>
      </c>
      <c r="G1101" s="15" t="str">
        <f t="shared" si="1"/>
        <v>21175</v>
      </c>
      <c r="H1101" s="23" t="s">
        <v>158</v>
      </c>
      <c r="I1101" s="23" t="s">
        <v>54</v>
      </c>
      <c r="J1101" s="23" t="s">
        <v>531</v>
      </c>
      <c r="K1101" s="23" t="str">
        <f t="shared" si="18"/>
        <v>Morgan, KY</v>
      </c>
      <c r="L1101" s="23">
        <v>27.0</v>
      </c>
      <c r="M1101" s="23" t="s">
        <v>63</v>
      </c>
      <c r="N1101" s="23">
        <v>3.0</v>
      </c>
      <c r="O1101" s="23">
        <v>5.0</v>
      </c>
      <c r="P1101" s="23" t="s">
        <v>63</v>
      </c>
      <c r="Q1101" s="23" t="s">
        <v>63</v>
      </c>
      <c r="R1101" s="23">
        <v>1.0</v>
      </c>
      <c r="S1101" s="23" t="s">
        <v>63</v>
      </c>
      <c r="T1101" s="32" t="s">
        <v>63</v>
      </c>
      <c r="U1101" s="123" t="s">
        <v>63</v>
      </c>
      <c r="V1101" s="23" t="s">
        <v>63</v>
      </c>
      <c r="W1101" s="23" t="s">
        <v>63</v>
      </c>
      <c r="X1101" s="23" t="s">
        <v>63</v>
      </c>
      <c r="Y1101" s="35">
        <v>24.0</v>
      </c>
      <c r="Z1101" s="32" t="s">
        <v>63</v>
      </c>
      <c r="AA1101" s="38"/>
      <c r="AB1101" s="38"/>
      <c r="AC1101" s="38"/>
      <c r="AD1101" s="38"/>
      <c r="AE1101" s="38"/>
      <c r="AF1101" s="38"/>
      <c r="AG1101" s="38"/>
      <c r="AH1101" s="38"/>
      <c r="AI1101" s="38"/>
      <c r="AJ1101" s="38"/>
      <c r="AK1101" s="38"/>
    </row>
    <row r="1102">
      <c r="A1102" s="99">
        <v>1101.0</v>
      </c>
      <c r="B1102" s="15"/>
      <c r="C1102" s="15"/>
      <c r="D1102" s="105">
        <v>1.0</v>
      </c>
      <c r="E1102" s="102">
        <v>21.0</v>
      </c>
      <c r="F1102" s="107">
        <v>177.0</v>
      </c>
      <c r="G1102" s="15" t="str">
        <f t="shared" si="1"/>
        <v>21177</v>
      </c>
      <c r="H1102" s="23" t="s">
        <v>1124</v>
      </c>
      <c r="I1102" s="23" t="s">
        <v>54</v>
      </c>
      <c r="J1102" s="23" t="s">
        <v>531</v>
      </c>
      <c r="K1102" s="23" t="str">
        <f t="shared" si="18"/>
        <v>Muhlenberg, KY</v>
      </c>
      <c r="L1102" s="23">
        <v>46.0</v>
      </c>
      <c r="M1102" s="23" t="s">
        <v>63</v>
      </c>
      <c r="N1102" s="23">
        <v>18.0</v>
      </c>
      <c r="O1102" s="23">
        <v>7.0</v>
      </c>
      <c r="P1102" s="23" t="s">
        <v>63</v>
      </c>
      <c r="Q1102" s="23" t="s">
        <v>63</v>
      </c>
      <c r="R1102" s="23">
        <v>21.0</v>
      </c>
      <c r="S1102" s="23" t="s">
        <v>63</v>
      </c>
      <c r="T1102" s="32" t="s">
        <v>63</v>
      </c>
      <c r="U1102" s="123" t="s">
        <v>63</v>
      </c>
      <c r="V1102" s="23" t="s">
        <v>63</v>
      </c>
      <c r="W1102" s="23" t="s">
        <v>63</v>
      </c>
      <c r="X1102" s="23" t="s">
        <v>63</v>
      </c>
      <c r="Y1102" s="35">
        <v>52.0</v>
      </c>
      <c r="Z1102" s="32" t="s">
        <v>63</v>
      </c>
      <c r="AA1102" s="38"/>
      <c r="AB1102" s="38"/>
      <c r="AC1102" s="38"/>
      <c r="AD1102" s="38"/>
      <c r="AE1102" s="38"/>
      <c r="AF1102" s="38"/>
      <c r="AG1102" s="38"/>
      <c r="AH1102" s="38"/>
      <c r="AI1102" s="38"/>
      <c r="AJ1102" s="38"/>
      <c r="AK1102" s="38"/>
    </row>
    <row r="1103">
      <c r="A1103" s="99">
        <v>1102.0</v>
      </c>
      <c r="B1103" s="15"/>
      <c r="C1103" s="15"/>
      <c r="D1103" s="105">
        <v>1.0</v>
      </c>
      <c r="E1103" s="102">
        <v>21.0</v>
      </c>
      <c r="F1103" s="107">
        <v>179.0</v>
      </c>
      <c r="G1103" s="15" t="str">
        <f t="shared" si="1"/>
        <v>21179</v>
      </c>
      <c r="H1103" s="23" t="s">
        <v>1125</v>
      </c>
      <c r="I1103" s="23" t="s">
        <v>54</v>
      </c>
      <c r="J1103" s="23" t="s">
        <v>531</v>
      </c>
      <c r="K1103" s="23" t="str">
        <f t="shared" si="18"/>
        <v>Nelson, KY</v>
      </c>
      <c r="L1103" s="23">
        <v>30.0</v>
      </c>
      <c r="M1103" s="23" t="s">
        <v>63</v>
      </c>
      <c r="N1103" s="23">
        <v>8.0</v>
      </c>
      <c r="O1103" s="23">
        <v>3.0</v>
      </c>
      <c r="P1103" s="23" t="s">
        <v>63</v>
      </c>
      <c r="Q1103" s="23" t="s">
        <v>63</v>
      </c>
      <c r="R1103" s="23">
        <v>12.0</v>
      </c>
      <c r="S1103" s="23" t="s">
        <v>63</v>
      </c>
      <c r="T1103" s="32" t="s">
        <v>63</v>
      </c>
      <c r="U1103" s="123" t="s">
        <v>63</v>
      </c>
      <c r="V1103" s="23" t="s">
        <v>63</v>
      </c>
      <c r="W1103" s="23" t="s">
        <v>63</v>
      </c>
      <c r="X1103" s="23" t="s">
        <v>63</v>
      </c>
      <c r="Y1103" s="35">
        <v>40.0</v>
      </c>
      <c r="Z1103" s="32" t="s">
        <v>63</v>
      </c>
      <c r="AA1103" s="38"/>
      <c r="AB1103" s="38"/>
      <c r="AC1103" s="38"/>
      <c r="AD1103" s="38"/>
      <c r="AE1103" s="38"/>
      <c r="AF1103" s="38"/>
      <c r="AG1103" s="38"/>
      <c r="AH1103" s="38"/>
      <c r="AI1103" s="38"/>
      <c r="AJ1103" s="38"/>
      <c r="AK1103" s="38"/>
    </row>
    <row r="1104">
      <c r="A1104" s="99">
        <v>1103.0</v>
      </c>
      <c r="B1104" s="15"/>
      <c r="C1104" s="15"/>
      <c r="D1104" s="105">
        <v>1.0</v>
      </c>
      <c r="E1104" s="102">
        <v>21.0</v>
      </c>
      <c r="F1104" s="107">
        <v>181.0</v>
      </c>
      <c r="G1104" s="15" t="str">
        <f t="shared" si="1"/>
        <v>21181</v>
      </c>
      <c r="H1104" s="23" t="s">
        <v>1126</v>
      </c>
      <c r="I1104" s="23" t="s">
        <v>54</v>
      </c>
      <c r="J1104" s="23" t="s">
        <v>531</v>
      </c>
      <c r="K1104" s="23" t="str">
        <f t="shared" si="18"/>
        <v>Nicholas, KY</v>
      </c>
      <c r="L1104" s="23">
        <v>10.0</v>
      </c>
      <c r="M1104" s="23" t="s">
        <v>63</v>
      </c>
      <c r="N1104" s="23">
        <v>4.0</v>
      </c>
      <c r="O1104" s="23">
        <v>1.0</v>
      </c>
      <c r="P1104" s="23" t="s">
        <v>63</v>
      </c>
      <c r="Q1104" s="23" t="s">
        <v>63</v>
      </c>
      <c r="R1104" s="23">
        <v>3.0</v>
      </c>
      <c r="S1104" s="23" t="s">
        <v>63</v>
      </c>
      <c r="T1104" s="32" t="s">
        <v>63</v>
      </c>
      <c r="U1104" s="123" t="s">
        <v>63</v>
      </c>
      <c r="V1104" s="23" t="s">
        <v>63</v>
      </c>
      <c r="W1104" s="23" t="s">
        <v>63</v>
      </c>
      <c r="X1104" s="23" t="s">
        <v>63</v>
      </c>
      <c r="Y1104" s="35">
        <v>6.0</v>
      </c>
      <c r="Z1104" s="32" t="s">
        <v>63</v>
      </c>
      <c r="AA1104" s="38"/>
      <c r="AB1104" s="38"/>
      <c r="AC1104" s="38"/>
      <c r="AD1104" s="38"/>
      <c r="AE1104" s="38"/>
      <c r="AF1104" s="38"/>
      <c r="AG1104" s="38"/>
      <c r="AH1104" s="38"/>
      <c r="AI1104" s="38"/>
      <c r="AJ1104" s="38"/>
      <c r="AK1104" s="38"/>
    </row>
    <row r="1105">
      <c r="A1105" s="99">
        <v>1104.0</v>
      </c>
      <c r="B1105" s="15"/>
      <c r="C1105" s="15"/>
      <c r="D1105" s="105">
        <v>1.0</v>
      </c>
      <c r="E1105" s="102">
        <v>21.0</v>
      </c>
      <c r="F1105" s="107">
        <v>183.0</v>
      </c>
      <c r="G1105" s="15" t="str">
        <f t="shared" si="1"/>
        <v>21183</v>
      </c>
      <c r="H1105" s="23" t="s">
        <v>100</v>
      </c>
      <c r="I1105" s="23" t="s">
        <v>54</v>
      </c>
      <c r="J1105" s="23" t="s">
        <v>531</v>
      </c>
      <c r="K1105" s="23" t="str">
        <f t="shared" si="18"/>
        <v>Ohio, KY</v>
      </c>
      <c r="L1105" s="23">
        <v>59.0</v>
      </c>
      <c r="M1105" s="23" t="s">
        <v>63</v>
      </c>
      <c r="N1105" s="23">
        <v>24.0</v>
      </c>
      <c r="O1105" s="23">
        <v>6.0</v>
      </c>
      <c r="P1105" s="23" t="s">
        <v>63</v>
      </c>
      <c r="Q1105" s="23" t="s">
        <v>63</v>
      </c>
      <c r="R1105" s="23">
        <v>15.0</v>
      </c>
      <c r="S1105" s="23" t="s">
        <v>63</v>
      </c>
      <c r="T1105" s="32" t="s">
        <v>63</v>
      </c>
      <c r="U1105" s="123" t="s">
        <v>63</v>
      </c>
      <c r="V1105" s="23" t="s">
        <v>63</v>
      </c>
      <c r="W1105" s="23" t="s">
        <v>63</v>
      </c>
      <c r="X1105" s="23" t="s">
        <v>63</v>
      </c>
      <c r="Y1105" s="35">
        <v>32.0</v>
      </c>
      <c r="Z1105" s="32" t="s">
        <v>63</v>
      </c>
      <c r="AA1105" s="38"/>
      <c r="AB1105" s="38"/>
      <c r="AC1105" s="38"/>
      <c r="AD1105" s="38"/>
      <c r="AE1105" s="38"/>
      <c r="AF1105" s="38"/>
      <c r="AG1105" s="38"/>
      <c r="AH1105" s="38"/>
      <c r="AI1105" s="38"/>
      <c r="AJ1105" s="38"/>
      <c r="AK1105" s="38"/>
    </row>
    <row r="1106">
      <c r="A1106" s="99">
        <v>1105.0</v>
      </c>
      <c r="B1106" s="15"/>
      <c r="C1106" s="15"/>
      <c r="D1106" s="105">
        <v>1.0</v>
      </c>
      <c r="E1106" s="102">
        <v>21.0</v>
      </c>
      <c r="F1106" s="107">
        <v>185.0</v>
      </c>
      <c r="G1106" s="15" t="str">
        <f t="shared" si="1"/>
        <v>21185</v>
      </c>
      <c r="H1106" s="23" t="s">
        <v>1127</v>
      </c>
      <c r="I1106" s="23" t="s">
        <v>54</v>
      </c>
      <c r="J1106" s="23" t="s">
        <v>531</v>
      </c>
      <c r="K1106" s="23" t="str">
        <f t="shared" si="18"/>
        <v>Oldham, KY</v>
      </c>
      <c r="L1106" s="23">
        <v>13.0</v>
      </c>
      <c r="M1106" s="23" t="s">
        <v>63</v>
      </c>
      <c r="N1106" s="23">
        <v>4.0</v>
      </c>
      <c r="O1106" s="23">
        <v>3.0</v>
      </c>
      <c r="P1106" s="23" t="s">
        <v>63</v>
      </c>
      <c r="Q1106" s="23" t="s">
        <v>63</v>
      </c>
      <c r="R1106" s="23">
        <v>0.0</v>
      </c>
      <c r="S1106" s="23" t="s">
        <v>63</v>
      </c>
      <c r="T1106" s="32" t="s">
        <v>63</v>
      </c>
      <c r="U1106" s="123" t="s">
        <v>63</v>
      </c>
      <c r="V1106" s="23" t="s">
        <v>63</v>
      </c>
      <c r="W1106" s="23" t="s">
        <v>63</v>
      </c>
      <c r="X1106" s="23" t="s">
        <v>63</v>
      </c>
      <c r="Y1106" s="35">
        <v>48.0</v>
      </c>
      <c r="Z1106" s="32" t="s">
        <v>63</v>
      </c>
      <c r="AA1106" s="38"/>
      <c r="AB1106" s="38"/>
      <c r="AC1106" s="38"/>
      <c r="AD1106" s="38"/>
      <c r="AE1106" s="38"/>
      <c r="AF1106" s="38"/>
      <c r="AG1106" s="38"/>
      <c r="AH1106" s="38"/>
      <c r="AI1106" s="38"/>
      <c r="AJ1106" s="38"/>
      <c r="AK1106" s="38"/>
    </row>
    <row r="1107">
      <c r="A1107" s="99">
        <v>1106.0</v>
      </c>
      <c r="B1107" s="15"/>
      <c r="C1107" s="15"/>
      <c r="D1107" s="105">
        <v>1.0</v>
      </c>
      <c r="E1107" s="102">
        <v>21.0</v>
      </c>
      <c r="F1107" s="107">
        <v>187.0</v>
      </c>
      <c r="G1107" s="15" t="str">
        <f t="shared" si="1"/>
        <v>21187</v>
      </c>
      <c r="H1107" s="23" t="s">
        <v>802</v>
      </c>
      <c r="I1107" s="23" t="s">
        <v>54</v>
      </c>
      <c r="J1107" s="23" t="s">
        <v>531</v>
      </c>
      <c r="K1107" s="23" t="str">
        <f t="shared" si="18"/>
        <v>Owen, KY</v>
      </c>
      <c r="L1107" s="23">
        <v>34.0</v>
      </c>
      <c r="M1107" s="23" t="s">
        <v>63</v>
      </c>
      <c r="N1107" s="23">
        <v>15.0</v>
      </c>
      <c r="O1107" s="23">
        <v>5.0</v>
      </c>
      <c r="P1107" s="23" t="s">
        <v>63</v>
      </c>
      <c r="Q1107" s="23" t="s">
        <v>63</v>
      </c>
      <c r="R1107" s="23">
        <v>6.0</v>
      </c>
      <c r="S1107" s="23" t="s">
        <v>63</v>
      </c>
      <c r="T1107" s="32" t="s">
        <v>63</v>
      </c>
      <c r="U1107" s="123" t="s">
        <v>63</v>
      </c>
      <c r="V1107" s="23" t="s">
        <v>63</v>
      </c>
      <c r="W1107" s="23" t="s">
        <v>63</v>
      </c>
      <c r="X1107" s="23" t="s">
        <v>63</v>
      </c>
      <c r="Y1107" s="35">
        <v>16.0</v>
      </c>
      <c r="Z1107" s="32" t="s">
        <v>63</v>
      </c>
      <c r="AA1107" s="38"/>
      <c r="AB1107" s="38"/>
      <c r="AC1107" s="38"/>
      <c r="AD1107" s="38"/>
      <c r="AE1107" s="38"/>
      <c r="AF1107" s="38"/>
      <c r="AG1107" s="38"/>
      <c r="AH1107" s="38"/>
      <c r="AI1107" s="38"/>
      <c r="AJ1107" s="38"/>
      <c r="AK1107" s="38"/>
    </row>
    <row r="1108">
      <c r="A1108" s="99">
        <v>1107.0</v>
      </c>
      <c r="B1108" s="15"/>
      <c r="C1108" s="15"/>
      <c r="D1108" s="105">
        <v>1.0</v>
      </c>
      <c r="E1108" s="102">
        <v>21.0</v>
      </c>
      <c r="F1108" s="107">
        <v>189.0</v>
      </c>
      <c r="G1108" s="15" t="str">
        <f t="shared" si="1"/>
        <v>21189</v>
      </c>
      <c r="H1108" s="23" t="s">
        <v>1128</v>
      </c>
      <c r="I1108" s="23" t="s">
        <v>54</v>
      </c>
      <c r="J1108" s="23" t="s">
        <v>531</v>
      </c>
      <c r="K1108" s="23" t="str">
        <f t="shared" si="18"/>
        <v>Owsley, KY</v>
      </c>
      <c r="L1108" s="23">
        <v>0.0</v>
      </c>
      <c r="M1108" s="23" t="s">
        <v>63</v>
      </c>
      <c r="N1108" s="23">
        <v>0.0</v>
      </c>
      <c r="O1108" s="23">
        <v>0.0</v>
      </c>
      <c r="P1108" s="23" t="s">
        <v>63</v>
      </c>
      <c r="Q1108" s="23" t="s">
        <v>63</v>
      </c>
      <c r="R1108" s="23">
        <v>0.0</v>
      </c>
      <c r="S1108" s="23" t="s">
        <v>63</v>
      </c>
      <c r="T1108" s="32" t="s">
        <v>63</v>
      </c>
      <c r="U1108" s="123" t="s">
        <v>63</v>
      </c>
      <c r="V1108" s="23" t="s">
        <v>63</v>
      </c>
      <c r="W1108" s="23" t="s">
        <v>63</v>
      </c>
      <c r="X1108" s="23" t="s">
        <v>63</v>
      </c>
      <c r="Y1108" s="35">
        <v>6.0</v>
      </c>
      <c r="Z1108" s="32" t="s">
        <v>63</v>
      </c>
      <c r="AA1108" s="38"/>
      <c r="AB1108" s="38"/>
      <c r="AC1108" s="38"/>
      <c r="AD1108" s="38"/>
      <c r="AE1108" s="38"/>
      <c r="AF1108" s="38"/>
      <c r="AG1108" s="38"/>
      <c r="AH1108" s="38"/>
      <c r="AI1108" s="38"/>
      <c r="AJ1108" s="38"/>
      <c r="AK1108" s="38"/>
    </row>
    <row r="1109">
      <c r="A1109" s="99">
        <v>1108.0</v>
      </c>
      <c r="B1109" s="15"/>
      <c r="C1109" s="15"/>
      <c r="D1109" s="105">
        <v>1.0</v>
      </c>
      <c r="E1109" s="102">
        <v>21.0</v>
      </c>
      <c r="F1109" s="107">
        <v>191.0</v>
      </c>
      <c r="G1109" s="15" t="str">
        <f t="shared" si="1"/>
        <v>21191</v>
      </c>
      <c r="H1109" s="23" t="s">
        <v>1129</v>
      </c>
      <c r="I1109" s="23" t="s">
        <v>54</v>
      </c>
      <c r="J1109" s="23" t="s">
        <v>531</v>
      </c>
      <c r="K1109" s="23" t="str">
        <f t="shared" si="18"/>
        <v>Pendleton, KY</v>
      </c>
      <c r="L1109" s="23">
        <v>19.0</v>
      </c>
      <c r="M1109" s="23" t="s">
        <v>63</v>
      </c>
      <c r="N1109" s="23">
        <v>6.0</v>
      </c>
      <c r="O1109" s="23">
        <v>1.0</v>
      </c>
      <c r="P1109" s="23" t="s">
        <v>63</v>
      </c>
      <c r="Q1109" s="23" t="s">
        <v>63</v>
      </c>
      <c r="R1109" s="23">
        <v>1.0</v>
      </c>
      <c r="S1109" s="23" t="s">
        <v>63</v>
      </c>
      <c r="T1109" s="32" t="s">
        <v>63</v>
      </c>
      <c r="U1109" s="123" t="s">
        <v>63</v>
      </c>
      <c r="V1109" s="23" t="s">
        <v>63</v>
      </c>
      <c r="W1109" s="23" t="s">
        <v>63</v>
      </c>
      <c r="X1109" s="23" t="s">
        <v>63</v>
      </c>
      <c r="Y1109" s="35">
        <v>23.0</v>
      </c>
      <c r="Z1109" s="32" t="s">
        <v>63</v>
      </c>
      <c r="AA1109" s="38"/>
      <c r="AB1109" s="38"/>
      <c r="AC1109" s="38"/>
      <c r="AD1109" s="38"/>
      <c r="AE1109" s="38"/>
      <c r="AF1109" s="38"/>
      <c r="AG1109" s="38"/>
      <c r="AH1109" s="38"/>
      <c r="AI1109" s="38"/>
      <c r="AJ1109" s="38"/>
      <c r="AK1109" s="38"/>
    </row>
    <row r="1110">
      <c r="A1110" s="99">
        <v>1109.0</v>
      </c>
      <c r="B1110" s="15"/>
      <c r="C1110" s="15"/>
      <c r="D1110" s="105">
        <v>1.0</v>
      </c>
      <c r="E1110" s="102">
        <v>21.0</v>
      </c>
      <c r="F1110" s="107">
        <v>193.0</v>
      </c>
      <c r="G1110" s="15" t="str">
        <f t="shared" si="1"/>
        <v>21193</v>
      </c>
      <c r="H1110" s="23" t="s">
        <v>159</v>
      </c>
      <c r="I1110" s="23" t="s">
        <v>54</v>
      </c>
      <c r="J1110" s="23" t="s">
        <v>531</v>
      </c>
      <c r="K1110" s="23" t="str">
        <f t="shared" si="18"/>
        <v>Perry, KY</v>
      </c>
      <c r="L1110" s="23">
        <v>58.0</v>
      </c>
      <c r="M1110" s="23" t="s">
        <v>63</v>
      </c>
      <c r="N1110" s="23">
        <v>12.0</v>
      </c>
      <c r="O1110" s="23">
        <v>2.0</v>
      </c>
      <c r="P1110" s="23" t="s">
        <v>63</v>
      </c>
      <c r="Q1110" s="23" t="s">
        <v>63</v>
      </c>
      <c r="R1110" s="23">
        <v>14.0</v>
      </c>
      <c r="S1110" s="23" t="s">
        <v>63</v>
      </c>
      <c r="T1110" s="32" t="s">
        <v>63</v>
      </c>
      <c r="U1110" s="123" t="s">
        <v>63</v>
      </c>
      <c r="V1110" s="23" t="s">
        <v>63</v>
      </c>
      <c r="W1110" s="23" t="s">
        <v>63</v>
      </c>
      <c r="X1110" s="23" t="s">
        <v>63</v>
      </c>
      <c r="Y1110" s="35">
        <v>47.0</v>
      </c>
      <c r="Z1110" s="32" t="s">
        <v>63</v>
      </c>
      <c r="AA1110" s="38"/>
      <c r="AB1110" s="38"/>
      <c r="AC1110" s="38"/>
      <c r="AD1110" s="38"/>
      <c r="AE1110" s="38"/>
      <c r="AF1110" s="38"/>
      <c r="AG1110" s="38"/>
      <c r="AH1110" s="38"/>
      <c r="AI1110" s="38"/>
      <c r="AJ1110" s="38"/>
      <c r="AK1110" s="38"/>
    </row>
    <row r="1111">
      <c r="A1111" s="99">
        <v>1110.0</v>
      </c>
      <c r="B1111" s="15"/>
      <c r="C1111" s="15"/>
      <c r="D1111" s="105">
        <v>1.0</v>
      </c>
      <c r="E1111" s="102">
        <v>21.0</v>
      </c>
      <c r="F1111" s="107">
        <v>195.0</v>
      </c>
      <c r="G1111" s="15" t="str">
        <f t="shared" si="1"/>
        <v>21195</v>
      </c>
      <c r="H1111" s="23" t="s">
        <v>162</v>
      </c>
      <c r="I1111" s="23" t="s">
        <v>54</v>
      </c>
      <c r="J1111" s="23" t="s">
        <v>531</v>
      </c>
      <c r="K1111" s="23" t="str">
        <f t="shared" si="18"/>
        <v>Pike, KY</v>
      </c>
      <c r="L1111" s="23">
        <v>106.0</v>
      </c>
      <c r="M1111" s="23" t="s">
        <v>63</v>
      </c>
      <c r="N1111" s="23">
        <v>41.0</v>
      </c>
      <c r="O1111" s="23">
        <v>11.0</v>
      </c>
      <c r="P1111" s="23" t="s">
        <v>63</v>
      </c>
      <c r="Q1111" s="23" t="s">
        <v>63</v>
      </c>
      <c r="R1111" s="23">
        <v>57.0</v>
      </c>
      <c r="S1111" s="23" t="s">
        <v>63</v>
      </c>
      <c r="T1111" s="32" t="s">
        <v>63</v>
      </c>
      <c r="U1111" s="123" t="s">
        <v>63</v>
      </c>
      <c r="V1111" s="23" t="s">
        <v>63</v>
      </c>
      <c r="W1111" s="23" t="s">
        <v>63</v>
      </c>
      <c r="X1111" s="23" t="s">
        <v>63</v>
      </c>
      <c r="Y1111" s="35">
        <v>83.0</v>
      </c>
      <c r="Z1111" s="32" t="s">
        <v>63</v>
      </c>
      <c r="AA1111" s="38"/>
      <c r="AB1111" s="38"/>
      <c r="AC1111" s="38"/>
      <c r="AD1111" s="38"/>
      <c r="AE1111" s="38"/>
      <c r="AF1111" s="38"/>
      <c r="AG1111" s="38"/>
      <c r="AH1111" s="38"/>
      <c r="AI1111" s="38"/>
      <c r="AJ1111" s="38"/>
      <c r="AK1111" s="38"/>
    </row>
    <row r="1112">
      <c r="A1112" s="99">
        <v>1111.0</v>
      </c>
      <c r="B1112" s="15"/>
      <c r="C1112" s="15"/>
      <c r="D1112" s="105">
        <v>1.0</v>
      </c>
      <c r="E1112" s="102">
        <v>21.0</v>
      </c>
      <c r="F1112" s="107">
        <v>197.0</v>
      </c>
      <c r="G1112" s="15" t="str">
        <f t="shared" si="1"/>
        <v>21197</v>
      </c>
      <c r="H1112" s="23" t="s">
        <v>1130</v>
      </c>
      <c r="I1112" s="23" t="s">
        <v>54</v>
      </c>
      <c r="J1112" s="23" t="s">
        <v>531</v>
      </c>
      <c r="K1112" s="23" t="str">
        <f t="shared" si="18"/>
        <v>Powell, KY</v>
      </c>
      <c r="L1112" s="23">
        <v>28.0</v>
      </c>
      <c r="M1112" s="23" t="s">
        <v>63</v>
      </c>
      <c r="N1112" s="23">
        <v>13.0</v>
      </c>
      <c r="O1112" s="23">
        <v>1.0</v>
      </c>
      <c r="P1112" s="23" t="s">
        <v>63</v>
      </c>
      <c r="Q1112" s="23" t="s">
        <v>63</v>
      </c>
      <c r="R1112" s="23">
        <v>9.0</v>
      </c>
      <c r="S1112" s="23" t="s">
        <v>63</v>
      </c>
      <c r="T1112" s="32" t="s">
        <v>63</v>
      </c>
      <c r="U1112" s="123" t="s">
        <v>63</v>
      </c>
      <c r="V1112" s="23" t="s">
        <v>63</v>
      </c>
      <c r="W1112" s="23" t="s">
        <v>63</v>
      </c>
      <c r="X1112" s="23" t="s">
        <v>63</v>
      </c>
      <c r="Y1112" s="35">
        <v>12.0</v>
      </c>
      <c r="Z1112" s="32" t="s">
        <v>63</v>
      </c>
      <c r="AA1112" s="38"/>
      <c r="AB1112" s="38"/>
      <c r="AC1112" s="38"/>
      <c r="AD1112" s="38"/>
      <c r="AE1112" s="38"/>
      <c r="AF1112" s="38"/>
      <c r="AG1112" s="38"/>
      <c r="AH1112" s="38"/>
      <c r="AI1112" s="38"/>
      <c r="AJ1112" s="38"/>
      <c r="AK1112" s="38"/>
    </row>
    <row r="1113">
      <c r="A1113" s="99">
        <v>1112.0</v>
      </c>
      <c r="B1113" s="15"/>
      <c r="C1113" s="15"/>
      <c r="D1113" s="105">
        <v>1.0</v>
      </c>
      <c r="E1113" s="102">
        <v>21.0</v>
      </c>
      <c r="F1113" s="107">
        <v>199.0</v>
      </c>
      <c r="G1113" s="15" t="str">
        <f t="shared" si="1"/>
        <v>21199</v>
      </c>
      <c r="H1113" s="23" t="s">
        <v>305</v>
      </c>
      <c r="I1113" s="23" t="s">
        <v>54</v>
      </c>
      <c r="J1113" s="23" t="s">
        <v>531</v>
      </c>
      <c r="K1113" s="23" t="str">
        <f t="shared" si="18"/>
        <v>Pulaski, KY</v>
      </c>
      <c r="L1113" s="23">
        <v>122.0</v>
      </c>
      <c r="M1113" s="23" t="s">
        <v>63</v>
      </c>
      <c r="N1113" s="23">
        <v>47.0</v>
      </c>
      <c r="O1113" s="23">
        <v>9.0</v>
      </c>
      <c r="P1113" s="23" t="s">
        <v>63</v>
      </c>
      <c r="Q1113" s="23" t="s">
        <v>63</v>
      </c>
      <c r="R1113" s="23">
        <v>40.0</v>
      </c>
      <c r="S1113" s="23" t="s">
        <v>63</v>
      </c>
      <c r="T1113" s="32" t="s">
        <v>63</v>
      </c>
      <c r="U1113" s="123" t="s">
        <v>63</v>
      </c>
      <c r="V1113" s="23" t="s">
        <v>63</v>
      </c>
      <c r="W1113" s="23" t="s">
        <v>63</v>
      </c>
      <c r="X1113" s="23" t="s">
        <v>63</v>
      </c>
      <c r="Y1113" s="35">
        <v>89.0</v>
      </c>
      <c r="Z1113" s="32" t="s">
        <v>63</v>
      </c>
      <c r="AA1113" s="38"/>
      <c r="AB1113" s="38"/>
      <c r="AC1113" s="38"/>
      <c r="AD1113" s="38"/>
      <c r="AE1113" s="38"/>
      <c r="AF1113" s="38"/>
      <c r="AG1113" s="38"/>
      <c r="AH1113" s="38"/>
      <c r="AI1113" s="38"/>
      <c r="AJ1113" s="38"/>
      <c r="AK1113" s="38"/>
    </row>
    <row r="1114">
      <c r="A1114" s="99">
        <v>1113.0</v>
      </c>
      <c r="B1114" s="15"/>
      <c r="C1114" s="15"/>
      <c r="D1114" s="105">
        <v>1.0</v>
      </c>
      <c r="E1114" s="102">
        <v>21.0</v>
      </c>
      <c r="F1114" s="107">
        <v>201.0</v>
      </c>
      <c r="G1114" s="15" t="str">
        <f t="shared" si="1"/>
        <v>21201</v>
      </c>
      <c r="H1114" s="23" t="s">
        <v>1131</v>
      </c>
      <c r="I1114" s="23" t="s">
        <v>54</v>
      </c>
      <c r="J1114" s="23" t="s">
        <v>531</v>
      </c>
      <c r="K1114" s="23" t="str">
        <f t="shared" si="18"/>
        <v>Robertson, KY</v>
      </c>
      <c r="L1114" s="23">
        <v>0.0</v>
      </c>
      <c r="M1114" s="23" t="s">
        <v>63</v>
      </c>
      <c r="N1114" s="23">
        <v>0.0</v>
      </c>
      <c r="O1114" s="23">
        <v>0.0</v>
      </c>
      <c r="P1114" s="23" t="s">
        <v>63</v>
      </c>
      <c r="Q1114" s="23" t="s">
        <v>63</v>
      </c>
      <c r="R1114" s="23">
        <v>0.0</v>
      </c>
      <c r="S1114" s="23" t="s">
        <v>63</v>
      </c>
      <c r="T1114" s="32" t="s">
        <v>63</v>
      </c>
      <c r="U1114" s="123" t="s">
        <v>63</v>
      </c>
      <c r="V1114" s="23" t="s">
        <v>63</v>
      </c>
      <c r="W1114" s="23" t="s">
        <v>63</v>
      </c>
      <c r="X1114" s="23" t="s">
        <v>63</v>
      </c>
      <c r="Y1114" s="35">
        <v>1.0</v>
      </c>
      <c r="Z1114" s="32" t="s">
        <v>63</v>
      </c>
      <c r="AA1114" s="38"/>
      <c r="AB1114" s="38"/>
      <c r="AC1114" s="38"/>
      <c r="AD1114" s="38"/>
      <c r="AE1114" s="38"/>
      <c r="AF1114" s="38"/>
      <c r="AG1114" s="38"/>
      <c r="AH1114" s="38"/>
      <c r="AI1114" s="38"/>
      <c r="AJ1114" s="38"/>
      <c r="AK1114" s="38"/>
    </row>
    <row r="1115">
      <c r="A1115" s="99">
        <v>1114.0</v>
      </c>
      <c r="B1115" s="15"/>
      <c r="C1115" s="15"/>
      <c r="D1115" s="105">
        <v>1.0</v>
      </c>
      <c r="E1115" s="102">
        <v>21.0</v>
      </c>
      <c r="F1115" s="107">
        <v>203.0</v>
      </c>
      <c r="G1115" s="15" t="str">
        <f t="shared" si="1"/>
        <v>21203</v>
      </c>
      <c r="H1115" s="23" t="s">
        <v>1132</v>
      </c>
      <c r="I1115" s="23" t="s">
        <v>54</v>
      </c>
      <c r="J1115" s="23" t="s">
        <v>531</v>
      </c>
      <c r="K1115" s="23" t="str">
        <f t="shared" si="18"/>
        <v>Rockcastle, KY</v>
      </c>
      <c r="L1115" s="23">
        <v>44.0</v>
      </c>
      <c r="M1115" s="23" t="s">
        <v>63</v>
      </c>
      <c r="N1115" s="23">
        <v>11.0</v>
      </c>
      <c r="O1115" s="23">
        <v>3.0</v>
      </c>
      <c r="P1115" s="23" t="s">
        <v>63</v>
      </c>
      <c r="Q1115" s="23" t="s">
        <v>63</v>
      </c>
      <c r="R1115" s="23">
        <v>13.0</v>
      </c>
      <c r="S1115" s="23" t="s">
        <v>63</v>
      </c>
      <c r="T1115" s="32" t="s">
        <v>63</v>
      </c>
      <c r="U1115" s="123" t="s">
        <v>63</v>
      </c>
      <c r="V1115" s="23" t="s">
        <v>63</v>
      </c>
      <c r="W1115" s="23" t="s">
        <v>63</v>
      </c>
      <c r="X1115" s="23" t="s">
        <v>63</v>
      </c>
      <c r="Y1115" s="35">
        <v>20.0</v>
      </c>
      <c r="Z1115" s="32" t="s">
        <v>63</v>
      </c>
      <c r="AA1115" s="38"/>
      <c r="AB1115" s="38"/>
      <c r="AC1115" s="38"/>
      <c r="AD1115" s="38"/>
      <c r="AE1115" s="38"/>
      <c r="AF1115" s="38"/>
      <c r="AG1115" s="38"/>
      <c r="AH1115" s="38"/>
      <c r="AI1115" s="38"/>
      <c r="AJ1115" s="38"/>
      <c r="AK1115" s="38"/>
    </row>
    <row r="1116">
      <c r="A1116" s="99">
        <v>1115.0</v>
      </c>
      <c r="B1116" s="15"/>
      <c r="C1116" s="15"/>
      <c r="D1116" s="105">
        <v>1.0</v>
      </c>
      <c r="E1116" s="102">
        <v>21.0</v>
      </c>
      <c r="F1116" s="107">
        <v>205.0</v>
      </c>
      <c r="G1116" s="15" t="str">
        <f t="shared" si="1"/>
        <v>21205</v>
      </c>
      <c r="H1116" s="23" t="s">
        <v>1133</v>
      </c>
      <c r="I1116" s="23" t="s">
        <v>54</v>
      </c>
      <c r="J1116" s="23" t="s">
        <v>531</v>
      </c>
      <c r="K1116" s="23" t="str">
        <f t="shared" si="18"/>
        <v>Rowan, KY</v>
      </c>
      <c r="L1116" s="23">
        <v>64.0</v>
      </c>
      <c r="M1116" s="23" t="s">
        <v>63</v>
      </c>
      <c r="N1116" s="23">
        <v>18.0</v>
      </c>
      <c r="O1116" s="23">
        <v>9.0</v>
      </c>
      <c r="P1116" s="23" t="s">
        <v>63</v>
      </c>
      <c r="Q1116" s="23" t="s">
        <v>63</v>
      </c>
      <c r="R1116" s="23">
        <v>17.0</v>
      </c>
      <c r="S1116" s="23" t="s">
        <v>63</v>
      </c>
      <c r="T1116" s="32" t="s">
        <v>63</v>
      </c>
      <c r="U1116" s="123" t="s">
        <v>63</v>
      </c>
      <c r="V1116" s="23" t="s">
        <v>63</v>
      </c>
      <c r="W1116" s="23" t="s">
        <v>63</v>
      </c>
      <c r="X1116" s="23" t="s">
        <v>63</v>
      </c>
      <c r="Y1116" s="35">
        <v>28.0</v>
      </c>
      <c r="Z1116" s="32" t="s">
        <v>63</v>
      </c>
      <c r="AA1116" s="38"/>
      <c r="AB1116" s="38"/>
      <c r="AC1116" s="38"/>
      <c r="AD1116" s="38"/>
      <c r="AE1116" s="38"/>
      <c r="AF1116" s="38"/>
      <c r="AG1116" s="38"/>
      <c r="AH1116" s="38"/>
      <c r="AI1116" s="38"/>
      <c r="AJ1116" s="38"/>
      <c r="AK1116" s="38"/>
    </row>
    <row r="1117">
      <c r="A1117" s="99">
        <v>1116.0</v>
      </c>
      <c r="B1117" s="15"/>
      <c r="C1117" s="15"/>
      <c r="D1117" s="105">
        <v>1.0</v>
      </c>
      <c r="E1117" s="102">
        <v>21.0</v>
      </c>
      <c r="F1117" s="107">
        <v>207.0</v>
      </c>
      <c r="G1117" s="15" t="str">
        <f t="shared" si="1"/>
        <v>21207</v>
      </c>
      <c r="H1117" s="23" t="s">
        <v>165</v>
      </c>
      <c r="I1117" s="23" t="s">
        <v>54</v>
      </c>
      <c r="J1117" s="23" t="s">
        <v>531</v>
      </c>
      <c r="K1117" s="23" t="str">
        <f t="shared" si="18"/>
        <v>Russell, KY</v>
      </c>
      <c r="L1117" s="23">
        <v>56.0</v>
      </c>
      <c r="M1117" s="23" t="s">
        <v>63</v>
      </c>
      <c r="N1117" s="23">
        <v>13.0</v>
      </c>
      <c r="O1117" s="23">
        <v>20.0</v>
      </c>
      <c r="P1117" s="23" t="s">
        <v>63</v>
      </c>
      <c r="Q1117" s="23" t="s">
        <v>63</v>
      </c>
      <c r="R1117" s="23">
        <v>1.0</v>
      </c>
      <c r="S1117" s="23" t="s">
        <v>63</v>
      </c>
      <c r="T1117" s="32" t="s">
        <v>63</v>
      </c>
      <c r="U1117" s="123" t="s">
        <v>63</v>
      </c>
      <c r="V1117" s="23" t="s">
        <v>63</v>
      </c>
      <c r="W1117" s="23" t="s">
        <v>63</v>
      </c>
      <c r="X1117" s="23" t="s">
        <v>63</v>
      </c>
      <c r="Y1117" s="35">
        <v>46.0</v>
      </c>
      <c r="Z1117" s="32" t="s">
        <v>63</v>
      </c>
      <c r="AA1117" s="38"/>
      <c r="AB1117" s="38"/>
      <c r="AC1117" s="38"/>
      <c r="AD1117" s="38"/>
      <c r="AE1117" s="38"/>
      <c r="AF1117" s="38"/>
      <c r="AG1117" s="38"/>
      <c r="AH1117" s="38"/>
      <c r="AI1117" s="38"/>
      <c r="AJ1117" s="38"/>
      <c r="AK1117" s="38"/>
    </row>
    <row r="1118">
      <c r="A1118" s="99">
        <v>1117.0</v>
      </c>
      <c r="B1118" s="15"/>
      <c r="C1118" s="15"/>
      <c r="D1118" s="105">
        <v>1.0</v>
      </c>
      <c r="E1118" s="102">
        <v>21.0</v>
      </c>
      <c r="F1118" s="107">
        <v>209.0</v>
      </c>
      <c r="G1118" s="15" t="str">
        <f t="shared" si="1"/>
        <v>21209</v>
      </c>
      <c r="H1118" s="23" t="s">
        <v>309</v>
      </c>
      <c r="I1118" s="23" t="s">
        <v>54</v>
      </c>
      <c r="J1118" s="23" t="s">
        <v>531</v>
      </c>
      <c r="K1118" s="23" t="str">
        <f t="shared" si="18"/>
        <v>Scott, KY</v>
      </c>
      <c r="L1118" s="23">
        <v>200.0</v>
      </c>
      <c r="M1118" s="23" t="s">
        <v>63</v>
      </c>
      <c r="N1118" s="23">
        <v>67.0</v>
      </c>
      <c r="O1118" s="23">
        <v>17.0</v>
      </c>
      <c r="P1118" s="23" t="s">
        <v>63</v>
      </c>
      <c r="Q1118" s="23" t="s">
        <v>63</v>
      </c>
      <c r="R1118" s="23">
        <v>107.0</v>
      </c>
      <c r="S1118" s="23" t="s">
        <v>63</v>
      </c>
      <c r="T1118" s="32" t="s">
        <v>63</v>
      </c>
      <c r="U1118" s="123" t="s">
        <v>63</v>
      </c>
      <c r="V1118" s="23" t="s">
        <v>63</v>
      </c>
      <c r="W1118" s="23" t="s">
        <v>63</v>
      </c>
      <c r="X1118" s="23" t="s">
        <v>63</v>
      </c>
      <c r="Y1118" s="35">
        <v>51.0</v>
      </c>
      <c r="Z1118" s="32" t="s">
        <v>63</v>
      </c>
      <c r="AA1118" s="38"/>
      <c r="AB1118" s="38"/>
      <c r="AC1118" s="38"/>
      <c r="AD1118" s="38"/>
      <c r="AE1118" s="38"/>
      <c r="AF1118" s="38"/>
      <c r="AG1118" s="38"/>
      <c r="AH1118" s="38"/>
      <c r="AI1118" s="38"/>
      <c r="AJ1118" s="38"/>
      <c r="AK1118" s="38"/>
    </row>
    <row r="1119">
      <c r="A1119" s="99">
        <v>1118.0</v>
      </c>
      <c r="B1119" s="15"/>
      <c r="C1119" s="15"/>
      <c r="D1119" s="105">
        <v>1.0</v>
      </c>
      <c r="E1119" s="102">
        <v>21.0</v>
      </c>
      <c r="F1119" s="107">
        <v>211.0</v>
      </c>
      <c r="G1119" s="15" t="str">
        <f t="shared" si="1"/>
        <v>21211</v>
      </c>
      <c r="H1119" s="23" t="s">
        <v>168</v>
      </c>
      <c r="I1119" s="23" t="s">
        <v>54</v>
      </c>
      <c r="J1119" s="23" t="s">
        <v>531</v>
      </c>
      <c r="K1119" s="23" t="str">
        <f t="shared" si="18"/>
        <v>Shelby, KY</v>
      </c>
      <c r="L1119" s="23">
        <v>110.0</v>
      </c>
      <c r="M1119" s="23" t="s">
        <v>63</v>
      </c>
      <c r="N1119" s="23">
        <v>43.0</v>
      </c>
      <c r="O1119" s="23">
        <v>12.0</v>
      </c>
      <c r="P1119" s="23" t="s">
        <v>63</v>
      </c>
      <c r="Q1119" s="23" t="s">
        <v>63</v>
      </c>
      <c r="R1119" s="23">
        <v>29.0</v>
      </c>
      <c r="S1119" s="23" t="s">
        <v>63</v>
      </c>
      <c r="T1119" s="32" t="s">
        <v>63</v>
      </c>
      <c r="U1119" s="123" t="s">
        <v>63</v>
      </c>
      <c r="V1119" s="23" t="s">
        <v>63</v>
      </c>
      <c r="W1119" s="23" t="s">
        <v>63</v>
      </c>
      <c r="X1119" s="23" t="s">
        <v>63</v>
      </c>
      <c r="Y1119" s="35">
        <v>42.0</v>
      </c>
      <c r="Z1119" s="32" t="s">
        <v>63</v>
      </c>
      <c r="AA1119" s="38"/>
      <c r="AB1119" s="38"/>
      <c r="AC1119" s="38"/>
      <c r="AD1119" s="38"/>
      <c r="AE1119" s="38"/>
      <c r="AF1119" s="38"/>
      <c r="AG1119" s="38"/>
      <c r="AH1119" s="38"/>
      <c r="AI1119" s="38"/>
      <c r="AJ1119" s="38"/>
      <c r="AK1119" s="38"/>
    </row>
    <row r="1120">
      <c r="A1120" s="99">
        <v>1119.0</v>
      </c>
      <c r="B1120" s="15"/>
      <c r="C1120" s="15"/>
      <c r="D1120" s="105">
        <v>1.0</v>
      </c>
      <c r="E1120" s="102">
        <v>21.0</v>
      </c>
      <c r="F1120" s="107">
        <v>213.0</v>
      </c>
      <c r="G1120" s="15" t="str">
        <f t="shared" si="1"/>
        <v>21213</v>
      </c>
      <c r="H1120" s="23" t="s">
        <v>1134</v>
      </c>
      <c r="I1120" s="23" t="s">
        <v>54</v>
      </c>
      <c r="J1120" s="23" t="s">
        <v>531</v>
      </c>
      <c r="K1120" s="23" t="str">
        <f t="shared" si="18"/>
        <v>Simpson, KY</v>
      </c>
      <c r="L1120" s="23">
        <v>41.0</v>
      </c>
      <c r="M1120" s="23" t="s">
        <v>63</v>
      </c>
      <c r="N1120" s="23">
        <v>14.0</v>
      </c>
      <c r="O1120" s="23">
        <v>5.0</v>
      </c>
      <c r="P1120" s="23" t="s">
        <v>63</v>
      </c>
      <c r="Q1120" s="23" t="s">
        <v>63</v>
      </c>
      <c r="R1120" s="23">
        <v>5.0</v>
      </c>
      <c r="S1120" s="23" t="s">
        <v>63</v>
      </c>
      <c r="T1120" s="32" t="s">
        <v>63</v>
      </c>
      <c r="U1120" s="123" t="s">
        <v>63</v>
      </c>
      <c r="V1120" s="23" t="s">
        <v>63</v>
      </c>
      <c r="W1120" s="23" t="s">
        <v>63</v>
      </c>
      <c r="X1120" s="23" t="s">
        <v>63</v>
      </c>
      <c r="Y1120" s="35">
        <v>29.0</v>
      </c>
      <c r="Z1120" s="32" t="s">
        <v>63</v>
      </c>
      <c r="AA1120" s="38"/>
      <c r="AB1120" s="38"/>
      <c r="AC1120" s="38"/>
      <c r="AD1120" s="38"/>
      <c r="AE1120" s="38"/>
      <c r="AF1120" s="38"/>
      <c r="AG1120" s="38"/>
      <c r="AH1120" s="38"/>
      <c r="AI1120" s="38"/>
      <c r="AJ1120" s="38"/>
      <c r="AK1120" s="38"/>
    </row>
    <row r="1121">
      <c r="A1121" s="99">
        <v>1120.0</v>
      </c>
      <c r="B1121" s="15"/>
      <c r="C1121" s="15"/>
      <c r="D1121" s="105">
        <v>1.0</v>
      </c>
      <c r="E1121" s="102">
        <v>21.0</v>
      </c>
      <c r="F1121" s="107">
        <v>215.0</v>
      </c>
      <c r="G1121" s="15" t="str">
        <f t="shared" si="1"/>
        <v>21215</v>
      </c>
      <c r="H1121" s="23" t="s">
        <v>854</v>
      </c>
      <c r="I1121" s="23" t="s">
        <v>54</v>
      </c>
      <c r="J1121" s="23" t="s">
        <v>531</v>
      </c>
      <c r="K1121" s="23" t="str">
        <f t="shared" si="18"/>
        <v>Spencer, KY</v>
      </c>
      <c r="L1121" s="23">
        <v>19.0</v>
      </c>
      <c r="M1121" s="23" t="s">
        <v>63</v>
      </c>
      <c r="N1121" s="23">
        <v>9.0</v>
      </c>
      <c r="O1121" s="23">
        <v>3.0</v>
      </c>
      <c r="P1121" s="23" t="s">
        <v>63</v>
      </c>
      <c r="Q1121" s="23" t="s">
        <v>63</v>
      </c>
      <c r="R1121" s="23">
        <v>3.0</v>
      </c>
      <c r="S1121" s="23" t="s">
        <v>63</v>
      </c>
      <c r="T1121" s="32" t="s">
        <v>63</v>
      </c>
      <c r="U1121" s="123" t="s">
        <v>63</v>
      </c>
      <c r="V1121" s="23" t="s">
        <v>63</v>
      </c>
      <c r="W1121" s="23" t="s">
        <v>63</v>
      </c>
      <c r="X1121" s="23" t="s">
        <v>63</v>
      </c>
      <c r="Y1121" s="35">
        <v>19.0</v>
      </c>
      <c r="Z1121" s="32" t="s">
        <v>63</v>
      </c>
      <c r="AA1121" s="38"/>
      <c r="AB1121" s="38"/>
      <c r="AC1121" s="38"/>
      <c r="AD1121" s="38"/>
      <c r="AE1121" s="38"/>
      <c r="AF1121" s="38"/>
      <c r="AG1121" s="38"/>
      <c r="AH1121" s="38"/>
      <c r="AI1121" s="38"/>
      <c r="AJ1121" s="38"/>
      <c r="AK1121" s="38"/>
    </row>
    <row r="1122">
      <c r="A1122" s="99">
        <v>1121.0</v>
      </c>
      <c r="B1122" s="15"/>
      <c r="C1122" s="15"/>
      <c r="D1122" s="105">
        <v>1.0</v>
      </c>
      <c r="E1122" s="102">
        <v>21.0</v>
      </c>
      <c r="F1122" s="107">
        <v>217.0</v>
      </c>
      <c r="G1122" s="15" t="str">
        <f t="shared" si="1"/>
        <v>21217</v>
      </c>
      <c r="H1122" s="23" t="s">
        <v>526</v>
      </c>
      <c r="I1122" s="23" t="s">
        <v>54</v>
      </c>
      <c r="J1122" s="23" t="s">
        <v>531</v>
      </c>
      <c r="K1122" s="23" t="str">
        <f t="shared" si="18"/>
        <v>Taylor, KY</v>
      </c>
      <c r="L1122" s="23">
        <v>13.0</v>
      </c>
      <c r="M1122" s="23" t="s">
        <v>63</v>
      </c>
      <c r="N1122" s="23">
        <v>4.0</v>
      </c>
      <c r="O1122" s="23">
        <v>2.0</v>
      </c>
      <c r="P1122" s="23" t="s">
        <v>63</v>
      </c>
      <c r="Q1122" s="23" t="s">
        <v>63</v>
      </c>
      <c r="R1122" s="23">
        <v>4.0</v>
      </c>
      <c r="S1122" s="23" t="s">
        <v>63</v>
      </c>
      <c r="T1122" s="32" t="s">
        <v>63</v>
      </c>
      <c r="U1122" s="123" t="s">
        <v>63</v>
      </c>
      <c r="V1122" s="23" t="s">
        <v>63</v>
      </c>
      <c r="W1122" s="23" t="s">
        <v>63</v>
      </c>
      <c r="X1122" s="23" t="s">
        <v>63</v>
      </c>
      <c r="Y1122" s="35">
        <v>46.0</v>
      </c>
      <c r="Z1122" s="32" t="s">
        <v>63</v>
      </c>
      <c r="AA1122" s="38"/>
      <c r="AB1122" s="38"/>
      <c r="AC1122" s="38"/>
      <c r="AD1122" s="38"/>
      <c r="AE1122" s="38"/>
      <c r="AF1122" s="38"/>
      <c r="AG1122" s="38"/>
      <c r="AH1122" s="38"/>
      <c r="AI1122" s="38"/>
      <c r="AJ1122" s="38"/>
      <c r="AK1122" s="38"/>
    </row>
    <row r="1123">
      <c r="A1123" s="99">
        <v>1122.0</v>
      </c>
      <c r="B1123" s="15"/>
      <c r="C1123" s="15"/>
      <c r="D1123" s="105">
        <v>1.0</v>
      </c>
      <c r="E1123" s="102">
        <v>21.0</v>
      </c>
      <c r="F1123" s="107">
        <v>219.0</v>
      </c>
      <c r="G1123" s="15" t="str">
        <f t="shared" si="1"/>
        <v>21219</v>
      </c>
      <c r="H1123" s="23" t="s">
        <v>1135</v>
      </c>
      <c r="I1123" s="23" t="s">
        <v>54</v>
      </c>
      <c r="J1123" s="23" t="s">
        <v>531</v>
      </c>
      <c r="K1123" s="23" t="str">
        <f t="shared" si="18"/>
        <v>Todd, KY</v>
      </c>
      <c r="L1123" s="23">
        <v>27.0</v>
      </c>
      <c r="M1123" s="23" t="s">
        <v>63</v>
      </c>
      <c r="N1123" s="23">
        <v>9.0</v>
      </c>
      <c r="O1123" s="23">
        <v>10.0</v>
      </c>
      <c r="P1123" s="23" t="s">
        <v>63</v>
      </c>
      <c r="Q1123" s="23" t="s">
        <v>63</v>
      </c>
      <c r="R1123" s="23">
        <v>8.0</v>
      </c>
      <c r="S1123" s="23" t="s">
        <v>63</v>
      </c>
      <c r="T1123" s="32" t="s">
        <v>63</v>
      </c>
      <c r="U1123" s="123" t="s">
        <v>63</v>
      </c>
      <c r="V1123" s="23" t="s">
        <v>63</v>
      </c>
      <c r="W1123" s="23" t="s">
        <v>63</v>
      </c>
      <c r="X1123" s="23" t="s">
        <v>63</v>
      </c>
      <c r="Y1123" s="35">
        <v>19.0</v>
      </c>
      <c r="Z1123" s="32" t="s">
        <v>63</v>
      </c>
      <c r="AA1123" s="38"/>
      <c r="AB1123" s="38"/>
      <c r="AC1123" s="38"/>
      <c r="AD1123" s="38"/>
      <c r="AE1123" s="38"/>
      <c r="AF1123" s="38"/>
      <c r="AG1123" s="38"/>
      <c r="AH1123" s="38"/>
      <c r="AI1123" s="38"/>
      <c r="AJ1123" s="38"/>
      <c r="AK1123" s="38"/>
    </row>
    <row r="1124">
      <c r="A1124" s="99">
        <v>1123.0</v>
      </c>
      <c r="B1124" s="15"/>
      <c r="C1124" s="15"/>
      <c r="D1124" s="105">
        <v>1.0</v>
      </c>
      <c r="E1124" s="102">
        <v>21.0</v>
      </c>
      <c r="F1124" s="107">
        <v>221.0</v>
      </c>
      <c r="G1124" s="15" t="str">
        <f t="shared" si="1"/>
        <v>21221</v>
      </c>
      <c r="H1124" s="23" t="s">
        <v>1136</v>
      </c>
      <c r="I1124" s="23" t="s">
        <v>54</v>
      </c>
      <c r="J1124" s="23" t="s">
        <v>531</v>
      </c>
      <c r="K1124" s="23" t="str">
        <f t="shared" si="18"/>
        <v>Trigg, KY</v>
      </c>
      <c r="L1124" s="23">
        <v>16.0</v>
      </c>
      <c r="M1124" s="23" t="s">
        <v>63</v>
      </c>
      <c r="N1124" s="23">
        <v>5.0</v>
      </c>
      <c r="O1124" s="23">
        <v>4.0</v>
      </c>
      <c r="P1124" s="23" t="s">
        <v>63</v>
      </c>
      <c r="Q1124" s="23" t="s">
        <v>63</v>
      </c>
      <c r="R1124" s="23">
        <v>7.0</v>
      </c>
      <c r="S1124" s="23" t="s">
        <v>63</v>
      </c>
      <c r="T1124" s="32" t="s">
        <v>63</v>
      </c>
      <c r="U1124" s="123" t="s">
        <v>63</v>
      </c>
      <c r="V1124" s="23" t="s">
        <v>63</v>
      </c>
      <c r="W1124" s="23" t="s">
        <v>63</v>
      </c>
      <c r="X1124" s="23" t="s">
        <v>63</v>
      </c>
      <c r="Y1124" s="35">
        <v>24.0</v>
      </c>
      <c r="Z1124" s="32" t="s">
        <v>63</v>
      </c>
      <c r="AA1124" s="38"/>
      <c r="AB1124" s="38"/>
      <c r="AC1124" s="38"/>
      <c r="AD1124" s="38"/>
      <c r="AE1124" s="38"/>
      <c r="AF1124" s="38"/>
      <c r="AG1124" s="38"/>
      <c r="AH1124" s="38"/>
      <c r="AI1124" s="38"/>
      <c r="AJ1124" s="38"/>
      <c r="AK1124" s="38"/>
    </row>
    <row r="1125">
      <c r="A1125" s="99">
        <v>1124.0</v>
      </c>
      <c r="B1125" s="15"/>
      <c r="C1125" s="15"/>
      <c r="D1125" s="105">
        <v>1.0</v>
      </c>
      <c r="E1125" s="102">
        <v>21.0</v>
      </c>
      <c r="F1125" s="107">
        <v>223.0</v>
      </c>
      <c r="G1125" s="15" t="str">
        <f t="shared" si="1"/>
        <v>21223</v>
      </c>
      <c r="H1125" s="23" t="s">
        <v>1137</v>
      </c>
      <c r="I1125" s="23" t="s">
        <v>54</v>
      </c>
      <c r="J1125" s="23" t="s">
        <v>531</v>
      </c>
      <c r="K1125" s="23" t="str">
        <f t="shared" si="18"/>
        <v>Trimble, KY</v>
      </c>
      <c r="L1125" s="23">
        <v>8.0</v>
      </c>
      <c r="M1125" s="23" t="s">
        <v>63</v>
      </c>
      <c r="N1125" s="23">
        <v>6.0</v>
      </c>
      <c r="O1125" s="23">
        <v>0.0</v>
      </c>
      <c r="P1125" s="23" t="s">
        <v>63</v>
      </c>
      <c r="Q1125" s="23" t="s">
        <v>63</v>
      </c>
      <c r="R1125" s="23">
        <v>3.0</v>
      </c>
      <c r="S1125" s="23" t="s">
        <v>63</v>
      </c>
      <c r="T1125" s="32" t="s">
        <v>63</v>
      </c>
      <c r="U1125" s="123" t="s">
        <v>63</v>
      </c>
      <c r="V1125" s="23" t="s">
        <v>63</v>
      </c>
      <c r="W1125" s="23" t="s">
        <v>63</v>
      </c>
      <c r="X1125" s="23" t="s">
        <v>63</v>
      </c>
      <c r="Y1125" s="35">
        <v>10.0</v>
      </c>
      <c r="Z1125" s="32" t="s">
        <v>63</v>
      </c>
      <c r="AA1125" s="38"/>
      <c r="AB1125" s="38"/>
      <c r="AC1125" s="38"/>
      <c r="AD1125" s="38"/>
      <c r="AE1125" s="38"/>
      <c r="AF1125" s="38"/>
      <c r="AG1125" s="38"/>
      <c r="AH1125" s="38"/>
      <c r="AI1125" s="38"/>
      <c r="AJ1125" s="38"/>
      <c r="AK1125" s="38"/>
    </row>
    <row r="1126">
      <c r="A1126" s="99">
        <v>1125.0</v>
      </c>
      <c r="B1126" s="15"/>
      <c r="C1126" s="15"/>
      <c r="D1126" s="105">
        <v>1.0</v>
      </c>
      <c r="E1126" s="102">
        <v>21.0</v>
      </c>
      <c r="F1126" s="107">
        <v>225.0</v>
      </c>
      <c r="G1126" s="15" t="str">
        <f t="shared" si="1"/>
        <v>21225</v>
      </c>
      <c r="H1126" s="23" t="s">
        <v>316</v>
      </c>
      <c r="I1126" s="23" t="s">
        <v>54</v>
      </c>
      <c r="J1126" s="23" t="s">
        <v>531</v>
      </c>
      <c r="K1126" s="23" t="str">
        <f t="shared" si="18"/>
        <v>Union, KY</v>
      </c>
      <c r="L1126" s="23">
        <v>14.0</v>
      </c>
      <c r="M1126" s="23" t="s">
        <v>63</v>
      </c>
      <c r="N1126" s="23">
        <v>4.0</v>
      </c>
      <c r="O1126" s="23">
        <v>2.0</v>
      </c>
      <c r="P1126" s="23" t="s">
        <v>63</v>
      </c>
      <c r="Q1126" s="23" t="s">
        <v>63</v>
      </c>
      <c r="R1126" s="23">
        <v>4.0</v>
      </c>
      <c r="S1126" s="23" t="s">
        <v>63</v>
      </c>
      <c r="T1126" s="32" t="s">
        <v>63</v>
      </c>
      <c r="U1126" s="123" t="s">
        <v>63</v>
      </c>
      <c r="V1126" s="23" t="s">
        <v>63</v>
      </c>
      <c r="W1126" s="23" t="s">
        <v>63</v>
      </c>
      <c r="X1126" s="23" t="s">
        <v>63</v>
      </c>
      <c r="Y1126" s="35">
        <v>20.0</v>
      </c>
      <c r="Z1126" s="32" t="s">
        <v>63</v>
      </c>
      <c r="AA1126" s="38"/>
      <c r="AB1126" s="38"/>
      <c r="AC1126" s="38"/>
      <c r="AD1126" s="38"/>
      <c r="AE1126" s="38"/>
      <c r="AF1126" s="38"/>
      <c r="AG1126" s="38"/>
      <c r="AH1126" s="38"/>
      <c r="AI1126" s="38"/>
      <c r="AJ1126" s="38"/>
      <c r="AK1126" s="38"/>
    </row>
    <row r="1127">
      <c r="A1127" s="99">
        <v>1126.0</v>
      </c>
      <c r="B1127" s="15"/>
      <c r="C1127" s="15"/>
      <c r="D1127" s="105">
        <v>1.0</v>
      </c>
      <c r="E1127" s="102">
        <v>21.0</v>
      </c>
      <c r="F1127" s="107">
        <v>227.0</v>
      </c>
      <c r="G1127" s="15" t="str">
        <f t="shared" si="1"/>
        <v>21227</v>
      </c>
      <c r="H1127" s="23" t="s">
        <v>647</v>
      </c>
      <c r="I1127" s="23" t="s">
        <v>54</v>
      </c>
      <c r="J1127" s="23" t="s">
        <v>531</v>
      </c>
      <c r="K1127" s="23" t="str">
        <f t="shared" si="18"/>
        <v>Warren, KY</v>
      </c>
      <c r="L1127" s="23">
        <v>346.0</v>
      </c>
      <c r="M1127" s="23" t="s">
        <v>63</v>
      </c>
      <c r="N1127" s="23">
        <v>118.0</v>
      </c>
      <c r="O1127" s="23">
        <v>21.0</v>
      </c>
      <c r="P1127" s="23" t="s">
        <v>63</v>
      </c>
      <c r="Q1127" s="23" t="s">
        <v>63</v>
      </c>
      <c r="R1127" s="23">
        <v>98.0</v>
      </c>
      <c r="S1127" s="23" t="s">
        <v>63</v>
      </c>
      <c r="T1127" s="32" t="s">
        <v>63</v>
      </c>
      <c r="U1127" s="123" t="s">
        <v>63</v>
      </c>
      <c r="V1127" s="23" t="s">
        <v>63</v>
      </c>
      <c r="W1127" s="23" t="s">
        <v>63</v>
      </c>
      <c r="X1127" s="23" t="s">
        <v>63</v>
      </c>
      <c r="Y1127" s="35">
        <v>100.0</v>
      </c>
      <c r="Z1127" s="32" t="s">
        <v>63</v>
      </c>
      <c r="AA1127" s="38"/>
      <c r="AB1127" s="38"/>
      <c r="AC1127" s="38"/>
      <c r="AD1127" s="38"/>
      <c r="AE1127" s="38"/>
      <c r="AF1127" s="38"/>
      <c r="AG1127" s="38"/>
      <c r="AH1127" s="38"/>
      <c r="AI1127" s="38"/>
      <c r="AJ1127" s="38"/>
      <c r="AK1127" s="38"/>
    </row>
    <row r="1128">
      <c r="A1128" s="99">
        <v>1127.0</v>
      </c>
      <c r="B1128" s="15"/>
      <c r="C1128" s="15"/>
      <c r="D1128" s="105">
        <v>1.0</v>
      </c>
      <c r="E1128" s="102">
        <v>21.0</v>
      </c>
      <c r="F1128" s="107">
        <v>229.0</v>
      </c>
      <c r="G1128" s="15" t="str">
        <f t="shared" si="1"/>
        <v>21229</v>
      </c>
      <c r="H1128" s="23" t="s">
        <v>119</v>
      </c>
      <c r="I1128" s="23" t="s">
        <v>54</v>
      </c>
      <c r="J1128" s="23" t="s">
        <v>531</v>
      </c>
      <c r="K1128" s="23" t="str">
        <f t="shared" si="18"/>
        <v>Washington, KY</v>
      </c>
      <c r="L1128" s="23">
        <v>11.0</v>
      </c>
      <c r="M1128" s="23" t="s">
        <v>63</v>
      </c>
      <c r="N1128" s="23">
        <v>6.0</v>
      </c>
      <c r="O1128" s="23">
        <v>0.0</v>
      </c>
      <c r="P1128" s="23" t="s">
        <v>63</v>
      </c>
      <c r="Q1128" s="23" t="s">
        <v>63</v>
      </c>
      <c r="R1128" s="23">
        <v>6.0</v>
      </c>
      <c r="S1128" s="23" t="s">
        <v>63</v>
      </c>
      <c r="T1128" s="32" t="s">
        <v>63</v>
      </c>
      <c r="U1128" s="123" t="s">
        <v>63</v>
      </c>
      <c r="V1128" s="23" t="s">
        <v>63</v>
      </c>
      <c r="W1128" s="23" t="s">
        <v>63</v>
      </c>
      <c r="X1128" s="23" t="s">
        <v>63</v>
      </c>
      <c r="Y1128" s="35">
        <v>19.0</v>
      </c>
      <c r="Z1128" s="32" t="s">
        <v>63</v>
      </c>
      <c r="AA1128" s="38"/>
      <c r="AB1128" s="38"/>
      <c r="AC1128" s="38"/>
      <c r="AD1128" s="38"/>
      <c r="AE1128" s="38"/>
      <c r="AF1128" s="38"/>
      <c r="AG1128" s="38"/>
      <c r="AH1128" s="38"/>
      <c r="AI1128" s="38"/>
      <c r="AJ1128" s="38"/>
      <c r="AK1128" s="38"/>
    </row>
    <row r="1129">
      <c r="A1129" s="99">
        <v>1128.0</v>
      </c>
      <c r="B1129" s="15"/>
      <c r="C1129" s="15"/>
      <c r="D1129" s="105">
        <v>1.0</v>
      </c>
      <c r="E1129" s="102">
        <v>21.0</v>
      </c>
      <c r="F1129" s="107">
        <v>231.0</v>
      </c>
      <c r="G1129" s="15" t="str">
        <f t="shared" si="1"/>
        <v>21231</v>
      </c>
      <c r="H1129" s="23" t="s">
        <v>273</v>
      </c>
      <c r="I1129" s="23" t="s">
        <v>54</v>
      </c>
      <c r="J1129" s="23" t="s">
        <v>531</v>
      </c>
      <c r="K1129" s="23" t="str">
        <f t="shared" si="18"/>
        <v>Wayne, KY</v>
      </c>
      <c r="L1129" s="23">
        <v>33.0</v>
      </c>
      <c r="M1129" s="23" t="s">
        <v>63</v>
      </c>
      <c r="N1129" s="23">
        <v>3.0</v>
      </c>
      <c r="O1129" s="23">
        <v>4.0</v>
      </c>
      <c r="P1129" s="23" t="s">
        <v>63</v>
      </c>
      <c r="Q1129" s="23" t="s">
        <v>63</v>
      </c>
      <c r="R1129" s="23">
        <v>8.0</v>
      </c>
      <c r="S1129" s="23" t="s">
        <v>63</v>
      </c>
      <c r="T1129" s="32" t="s">
        <v>63</v>
      </c>
      <c r="U1129" s="123" t="s">
        <v>63</v>
      </c>
      <c r="V1129" s="23" t="s">
        <v>63</v>
      </c>
      <c r="W1129" s="23" t="s">
        <v>63</v>
      </c>
      <c r="X1129" s="23" t="s">
        <v>63</v>
      </c>
      <c r="Y1129" s="35">
        <v>16.0</v>
      </c>
      <c r="Z1129" s="32" t="s">
        <v>63</v>
      </c>
      <c r="AA1129" s="38"/>
      <c r="AB1129" s="38"/>
      <c r="AC1129" s="38"/>
      <c r="AD1129" s="38"/>
      <c r="AE1129" s="38"/>
      <c r="AF1129" s="38"/>
      <c r="AG1129" s="38"/>
      <c r="AH1129" s="38"/>
      <c r="AI1129" s="38"/>
      <c r="AJ1129" s="38"/>
      <c r="AK1129" s="38"/>
    </row>
    <row r="1130">
      <c r="A1130" s="99">
        <v>1129.0</v>
      </c>
      <c r="B1130" s="15"/>
      <c r="C1130" s="15"/>
      <c r="D1130" s="105">
        <v>1.0</v>
      </c>
      <c r="E1130" s="102">
        <v>21.0</v>
      </c>
      <c r="F1130" s="107">
        <v>233.0</v>
      </c>
      <c r="G1130" s="15" t="str">
        <f t="shared" si="1"/>
        <v>21233</v>
      </c>
      <c r="H1130" s="23" t="s">
        <v>648</v>
      </c>
      <c r="I1130" s="23" t="s">
        <v>54</v>
      </c>
      <c r="J1130" s="23" t="s">
        <v>531</v>
      </c>
      <c r="K1130" s="23" t="str">
        <f t="shared" si="18"/>
        <v>Webster, KY</v>
      </c>
      <c r="L1130" s="23">
        <v>13.0</v>
      </c>
      <c r="M1130" s="23" t="s">
        <v>63</v>
      </c>
      <c r="N1130" s="23">
        <v>2.0</v>
      </c>
      <c r="O1130" s="23">
        <v>6.0</v>
      </c>
      <c r="P1130" s="23" t="s">
        <v>63</v>
      </c>
      <c r="Q1130" s="23" t="s">
        <v>63</v>
      </c>
      <c r="R1130" s="23">
        <v>4.0</v>
      </c>
      <c r="S1130" s="23" t="s">
        <v>63</v>
      </c>
      <c r="T1130" s="32" t="s">
        <v>63</v>
      </c>
      <c r="U1130" s="123" t="s">
        <v>63</v>
      </c>
      <c r="V1130" s="23" t="s">
        <v>63</v>
      </c>
      <c r="W1130" s="23" t="s">
        <v>63</v>
      </c>
      <c r="X1130" s="23" t="s">
        <v>63</v>
      </c>
      <c r="Y1130" s="35">
        <v>26.0</v>
      </c>
      <c r="Z1130" s="32" t="s">
        <v>63</v>
      </c>
      <c r="AA1130" s="38"/>
      <c r="AB1130" s="38"/>
      <c r="AC1130" s="38"/>
      <c r="AD1130" s="38"/>
      <c r="AE1130" s="38"/>
      <c r="AF1130" s="38"/>
      <c r="AG1130" s="38"/>
      <c r="AH1130" s="38"/>
      <c r="AI1130" s="38"/>
      <c r="AJ1130" s="38"/>
      <c r="AK1130" s="38"/>
    </row>
    <row r="1131">
      <c r="A1131" s="99">
        <v>1130.0</v>
      </c>
      <c r="B1131" s="15"/>
      <c r="C1131" s="15"/>
      <c r="D1131" s="105">
        <v>1.0</v>
      </c>
      <c r="E1131" s="102">
        <v>21.0</v>
      </c>
      <c r="F1131" s="107">
        <v>235.0</v>
      </c>
      <c r="G1131" s="15" t="str">
        <f t="shared" si="1"/>
        <v>21235</v>
      </c>
      <c r="H1131" s="23" t="s">
        <v>879</v>
      </c>
      <c r="I1131" s="23" t="s">
        <v>54</v>
      </c>
      <c r="J1131" s="23" t="s">
        <v>531</v>
      </c>
      <c r="K1131" s="23" t="str">
        <f t="shared" si="18"/>
        <v>Whitley, KY</v>
      </c>
      <c r="L1131" s="23">
        <v>89.0</v>
      </c>
      <c r="M1131" s="23" t="s">
        <v>63</v>
      </c>
      <c r="N1131" s="23">
        <v>27.0</v>
      </c>
      <c r="O1131" s="23">
        <v>7.0</v>
      </c>
      <c r="P1131" s="23" t="s">
        <v>63</v>
      </c>
      <c r="Q1131" s="23" t="s">
        <v>63</v>
      </c>
      <c r="R1131" s="23">
        <v>34.0</v>
      </c>
      <c r="S1131" s="23" t="s">
        <v>63</v>
      </c>
      <c r="T1131" s="32" t="s">
        <v>63</v>
      </c>
      <c r="U1131" s="123" t="s">
        <v>63</v>
      </c>
      <c r="V1131" s="23" t="s">
        <v>63</v>
      </c>
      <c r="W1131" s="23" t="s">
        <v>63</v>
      </c>
      <c r="X1131" s="23" t="s">
        <v>63</v>
      </c>
      <c r="Y1131" s="35">
        <v>44.0</v>
      </c>
      <c r="Z1131" s="32" t="s">
        <v>63</v>
      </c>
      <c r="AA1131" s="38"/>
      <c r="AB1131" s="38"/>
      <c r="AC1131" s="38"/>
      <c r="AD1131" s="38"/>
      <c r="AE1131" s="38"/>
      <c r="AF1131" s="38"/>
      <c r="AG1131" s="38"/>
      <c r="AH1131" s="38"/>
      <c r="AI1131" s="38"/>
      <c r="AJ1131" s="38"/>
      <c r="AK1131" s="38"/>
    </row>
    <row r="1132">
      <c r="A1132" s="99">
        <v>1131.0</v>
      </c>
      <c r="B1132" s="15"/>
      <c r="C1132" s="15"/>
      <c r="D1132" s="105">
        <v>1.0</v>
      </c>
      <c r="E1132" s="102">
        <v>21.0</v>
      </c>
      <c r="F1132" s="107">
        <v>237.0</v>
      </c>
      <c r="G1132" s="15" t="str">
        <f t="shared" si="1"/>
        <v>21237</v>
      </c>
      <c r="H1132" s="23" t="s">
        <v>1138</v>
      </c>
      <c r="I1132" s="23" t="s">
        <v>54</v>
      </c>
      <c r="J1132" s="23" t="s">
        <v>531</v>
      </c>
      <c r="K1132" s="23" t="str">
        <f t="shared" si="18"/>
        <v>Wolfe, KY</v>
      </c>
      <c r="L1132" s="23">
        <v>46.0</v>
      </c>
      <c r="M1132" s="23" t="s">
        <v>63</v>
      </c>
      <c r="N1132" s="23">
        <v>15.0</v>
      </c>
      <c r="O1132" s="23">
        <v>3.0</v>
      </c>
      <c r="P1132" s="23" t="s">
        <v>63</v>
      </c>
      <c r="Q1132" s="23" t="s">
        <v>63</v>
      </c>
      <c r="R1132" s="23">
        <v>14.0</v>
      </c>
      <c r="S1132" s="23" t="s">
        <v>63</v>
      </c>
      <c r="T1132" s="32" t="s">
        <v>63</v>
      </c>
      <c r="U1132" s="123" t="s">
        <v>63</v>
      </c>
      <c r="V1132" s="23" t="s">
        <v>63</v>
      </c>
      <c r="W1132" s="23" t="s">
        <v>63</v>
      </c>
      <c r="X1132" s="23" t="s">
        <v>63</v>
      </c>
      <c r="Y1132" s="35">
        <v>12.0</v>
      </c>
      <c r="Z1132" s="32" t="s">
        <v>63</v>
      </c>
      <c r="AA1132" s="38"/>
      <c r="AB1132" s="38"/>
      <c r="AC1132" s="38"/>
      <c r="AD1132" s="38"/>
      <c r="AE1132" s="38"/>
      <c r="AF1132" s="38"/>
      <c r="AG1132" s="38"/>
      <c r="AH1132" s="38"/>
      <c r="AI1132" s="38"/>
      <c r="AJ1132" s="38"/>
      <c r="AK1132" s="38"/>
    </row>
    <row r="1133">
      <c r="A1133" s="99">
        <v>1132.0</v>
      </c>
      <c r="B1133" s="15"/>
      <c r="C1133" s="15"/>
      <c r="D1133" s="105">
        <v>1.0</v>
      </c>
      <c r="E1133" s="102">
        <v>21.0</v>
      </c>
      <c r="F1133" s="107">
        <v>239.0</v>
      </c>
      <c r="G1133" s="15" t="str">
        <f t="shared" si="1"/>
        <v>21239</v>
      </c>
      <c r="H1133" s="23" t="s">
        <v>754</v>
      </c>
      <c r="I1133" s="23" t="s">
        <v>54</v>
      </c>
      <c r="J1133" s="23" t="s">
        <v>531</v>
      </c>
      <c r="K1133" s="23" t="str">
        <f t="shared" si="18"/>
        <v>Woodford, KY</v>
      </c>
      <c r="L1133" s="23">
        <v>10.0</v>
      </c>
      <c r="M1133" s="23" t="s">
        <v>63</v>
      </c>
      <c r="N1133" s="23">
        <v>3.0</v>
      </c>
      <c r="O1133" s="23">
        <v>4.0</v>
      </c>
      <c r="P1133" s="23" t="s">
        <v>63</v>
      </c>
      <c r="Q1133" s="23" t="s">
        <v>63</v>
      </c>
      <c r="R1133" s="23">
        <v>2.0</v>
      </c>
      <c r="S1133" s="23" t="s">
        <v>63</v>
      </c>
      <c r="T1133" s="32" t="s">
        <v>63</v>
      </c>
      <c r="U1133" s="123" t="s">
        <v>63</v>
      </c>
      <c r="V1133" s="23" t="s">
        <v>63</v>
      </c>
      <c r="W1133" s="23" t="s">
        <v>63</v>
      </c>
      <c r="X1133" s="23" t="s">
        <v>63</v>
      </c>
      <c r="Y1133" s="35">
        <v>41.0</v>
      </c>
      <c r="Z1133" s="32" t="s">
        <v>63</v>
      </c>
      <c r="AA1133" s="38"/>
      <c r="AB1133" s="38"/>
      <c r="AC1133" s="38"/>
      <c r="AD1133" s="38"/>
      <c r="AE1133" s="38"/>
      <c r="AF1133" s="38"/>
      <c r="AG1133" s="38"/>
      <c r="AH1133" s="38"/>
      <c r="AI1133" s="38"/>
      <c r="AJ1133" s="38"/>
      <c r="AK1133" s="38"/>
    </row>
    <row r="1134">
      <c r="A1134" s="28">
        <v>1133.0</v>
      </c>
      <c r="B1134" s="29"/>
      <c r="C1134" s="29" t="s">
        <v>25</v>
      </c>
      <c r="D1134" s="30"/>
      <c r="E1134" s="31">
        <v>22.0</v>
      </c>
      <c r="F1134" s="42">
        <v>0.0</v>
      </c>
      <c r="G1134" s="29" t="str">
        <f t="shared" si="1"/>
        <v>22000</v>
      </c>
      <c r="H1134" s="37"/>
      <c r="I1134" s="37" t="s">
        <v>55</v>
      </c>
      <c r="J1134" s="37" t="s">
        <v>1139</v>
      </c>
      <c r="K1134" s="37"/>
      <c r="L1134" s="70">
        <f t="array" ref="L1134:Z1134">Louisiana!C68:Q68</f>
        <v>4161</v>
      </c>
      <c r="M1134" s="37">
        <v>2.0</v>
      </c>
      <c r="N1134" s="37" t="s">
        <v>63</v>
      </c>
      <c r="O1134" s="53">
        <v>1505.0</v>
      </c>
      <c r="P1134" s="37" t="s">
        <v>63</v>
      </c>
      <c r="Q1134" s="53">
        <v>1767.0</v>
      </c>
      <c r="R1134" s="37">
        <v>415.0</v>
      </c>
      <c r="S1134" s="37" t="s">
        <v>63</v>
      </c>
      <c r="T1134" s="69" t="s">
        <v>63</v>
      </c>
      <c r="U1134" s="53">
        <v>1069.0</v>
      </c>
      <c r="V1134" s="37" t="s">
        <v>63</v>
      </c>
      <c r="W1134" s="37" t="s">
        <v>63</v>
      </c>
      <c r="X1134" s="37" t="s">
        <v>63</v>
      </c>
      <c r="Y1134" s="53">
        <v>5093.0</v>
      </c>
      <c r="Z1134" s="69" t="s">
        <v>63</v>
      </c>
      <c r="AA1134" s="73"/>
      <c r="AB1134" s="73"/>
      <c r="AC1134" s="73"/>
      <c r="AD1134" s="73"/>
      <c r="AE1134" s="73"/>
      <c r="AF1134" s="73"/>
      <c r="AG1134" s="73"/>
      <c r="AH1134" s="73"/>
      <c r="AI1134" s="73"/>
      <c r="AJ1134" s="73"/>
      <c r="AK1134" s="73"/>
    </row>
    <row r="1135">
      <c r="A1135" s="28">
        <v>1134.0</v>
      </c>
      <c r="B1135" s="29"/>
      <c r="C1135" s="29"/>
      <c r="D1135" s="40">
        <v>1.0</v>
      </c>
      <c r="E1135" s="31">
        <v>22.0</v>
      </c>
      <c r="F1135" s="42">
        <v>1.0</v>
      </c>
      <c r="G1135" s="29" t="str">
        <f t="shared" si="1"/>
        <v>22001</v>
      </c>
      <c r="H1135" s="37" t="s">
        <v>1140</v>
      </c>
      <c r="I1135" s="37" t="s">
        <v>55</v>
      </c>
      <c r="J1135" s="37" t="s">
        <v>1139</v>
      </c>
      <c r="K1135" s="37" t="str">
        <f t="shared" ref="K1135:K1198" si="19">CONCATENATE(H1135,", ",J1135)</f>
        <v>Acadia, LA</v>
      </c>
      <c r="L1135" s="37">
        <f t="array" ref="L1135:Z1198">Louisiana!C3:Q66</f>
        <v>61</v>
      </c>
      <c r="M1135" s="37">
        <v>1.65</v>
      </c>
      <c r="N1135" s="37" t="s">
        <v>63</v>
      </c>
      <c r="O1135" s="37">
        <v>13.0</v>
      </c>
      <c r="P1135" s="37" t="s">
        <v>63</v>
      </c>
      <c r="Q1135" s="37">
        <v>37.0</v>
      </c>
      <c r="R1135" s="37">
        <v>8.0</v>
      </c>
      <c r="S1135" s="37" t="s">
        <v>63</v>
      </c>
      <c r="T1135" s="69" t="s">
        <v>63</v>
      </c>
      <c r="U1135" s="37">
        <v>13.0</v>
      </c>
      <c r="V1135" s="37" t="s">
        <v>63</v>
      </c>
      <c r="W1135" s="37" t="s">
        <v>63</v>
      </c>
      <c r="X1135" s="37" t="s">
        <v>63</v>
      </c>
      <c r="Y1135" s="53">
        <v>47.0</v>
      </c>
      <c r="Z1135" s="69" t="s">
        <v>63</v>
      </c>
      <c r="AA1135" s="73"/>
      <c r="AB1135" s="73"/>
      <c r="AC1135" s="73"/>
      <c r="AD1135" s="73"/>
      <c r="AE1135" s="73"/>
      <c r="AF1135" s="73"/>
      <c r="AG1135" s="73"/>
      <c r="AH1135" s="73"/>
      <c r="AI1135" s="73"/>
      <c r="AJ1135" s="73"/>
      <c r="AK1135" s="73"/>
    </row>
    <row r="1136">
      <c r="A1136" s="28">
        <v>1135.0</v>
      </c>
      <c r="B1136" s="29"/>
      <c r="C1136" s="29"/>
      <c r="D1136" s="40">
        <v>1.0</v>
      </c>
      <c r="E1136" s="31">
        <v>22.0</v>
      </c>
      <c r="F1136" s="42">
        <v>3.0</v>
      </c>
      <c r="G1136" s="29" t="str">
        <f t="shared" si="1"/>
        <v>22003</v>
      </c>
      <c r="H1136" s="37" t="s">
        <v>755</v>
      </c>
      <c r="I1136" s="37" t="s">
        <v>55</v>
      </c>
      <c r="J1136" s="37" t="s">
        <v>1139</v>
      </c>
      <c r="K1136" s="37" t="str">
        <f t="shared" si="19"/>
        <v>Allen, LA</v>
      </c>
      <c r="L1136" s="37">
        <v>42.0</v>
      </c>
      <c r="M1136" s="37">
        <v>1.83</v>
      </c>
      <c r="N1136" s="37" t="s">
        <v>63</v>
      </c>
      <c r="O1136" s="37">
        <v>14.0</v>
      </c>
      <c r="P1136" s="37" t="s">
        <v>63</v>
      </c>
      <c r="Q1136" s="37">
        <v>12.0</v>
      </c>
      <c r="R1136" s="37" t="s">
        <v>63</v>
      </c>
      <c r="S1136" s="37" t="s">
        <v>63</v>
      </c>
      <c r="T1136" s="69" t="s">
        <v>63</v>
      </c>
      <c r="U1136" s="37">
        <v>9.0</v>
      </c>
      <c r="V1136" s="37" t="s">
        <v>63</v>
      </c>
      <c r="W1136" s="37" t="s">
        <v>63</v>
      </c>
      <c r="X1136" s="37" t="s">
        <v>63</v>
      </c>
      <c r="Y1136" s="53">
        <v>59.0</v>
      </c>
      <c r="Z1136" s="69" t="s">
        <v>63</v>
      </c>
      <c r="AA1136" s="73"/>
      <c r="AB1136" s="73"/>
      <c r="AC1136" s="73"/>
      <c r="AD1136" s="73"/>
      <c r="AE1136" s="73"/>
      <c r="AF1136" s="73"/>
      <c r="AG1136" s="73"/>
      <c r="AH1136" s="73"/>
      <c r="AI1136" s="73"/>
      <c r="AJ1136" s="73"/>
      <c r="AK1136" s="73"/>
    </row>
    <row r="1137">
      <c r="A1137" s="28">
        <v>1136.0</v>
      </c>
      <c r="B1137" s="29"/>
      <c r="C1137" s="29"/>
      <c r="D1137" s="40">
        <v>1.0</v>
      </c>
      <c r="E1137" s="31">
        <v>22.0</v>
      </c>
      <c r="F1137" s="42">
        <v>5.0</v>
      </c>
      <c r="G1137" s="29" t="str">
        <f t="shared" si="1"/>
        <v>22005</v>
      </c>
      <c r="H1137" s="37" t="s">
        <v>1141</v>
      </c>
      <c r="I1137" s="37" t="s">
        <v>55</v>
      </c>
      <c r="J1137" s="37" t="s">
        <v>1139</v>
      </c>
      <c r="K1137" s="37" t="str">
        <f t="shared" si="19"/>
        <v>Ascension, LA</v>
      </c>
      <c r="L1137" s="37">
        <v>98.0</v>
      </c>
      <c r="M1137" s="37">
        <v>1.41</v>
      </c>
      <c r="N1137" s="37" t="s">
        <v>63</v>
      </c>
      <c r="O1137" s="37">
        <v>42.0</v>
      </c>
      <c r="P1137" s="37" t="s">
        <v>63</v>
      </c>
      <c r="Q1137" s="37">
        <v>49.0</v>
      </c>
      <c r="R1137" s="37">
        <v>20.0</v>
      </c>
      <c r="S1137" s="37" t="s">
        <v>63</v>
      </c>
      <c r="T1137" s="69" t="s">
        <v>63</v>
      </c>
      <c r="U1137" s="37">
        <v>15.0</v>
      </c>
      <c r="V1137" s="37" t="s">
        <v>63</v>
      </c>
      <c r="W1137" s="37" t="s">
        <v>63</v>
      </c>
      <c r="X1137" s="37" t="s">
        <v>63</v>
      </c>
      <c r="Y1137" s="53">
        <v>83.0</v>
      </c>
      <c r="Z1137" s="69" t="s">
        <v>63</v>
      </c>
      <c r="AA1137" s="73"/>
      <c r="AB1137" s="73"/>
      <c r="AC1137" s="73"/>
      <c r="AD1137" s="73"/>
      <c r="AE1137" s="73"/>
      <c r="AF1137" s="73"/>
      <c r="AG1137" s="73"/>
      <c r="AH1137" s="73"/>
      <c r="AI1137" s="73"/>
      <c r="AJ1137" s="73"/>
      <c r="AK1137" s="73"/>
    </row>
    <row r="1138">
      <c r="A1138" s="28">
        <v>1137.0</v>
      </c>
      <c r="B1138" s="29"/>
      <c r="C1138" s="29"/>
      <c r="D1138" s="40">
        <v>1.0</v>
      </c>
      <c r="E1138" s="31">
        <v>22.0</v>
      </c>
      <c r="F1138" s="42">
        <v>7.0</v>
      </c>
      <c r="G1138" s="29" t="str">
        <f t="shared" si="1"/>
        <v>22007</v>
      </c>
      <c r="H1138" s="37" t="s">
        <v>1142</v>
      </c>
      <c r="I1138" s="37" t="s">
        <v>55</v>
      </c>
      <c r="J1138" s="37" t="s">
        <v>1139</v>
      </c>
      <c r="K1138" s="37" t="str">
        <f t="shared" si="19"/>
        <v>Assumption, LA</v>
      </c>
      <c r="L1138" s="37">
        <v>16.0</v>
      </c>
      <c r="M1138" s="37">
        <v>1.44</v>
      </c>
      <c r="N1138" s="37" t="s">
        <v>63</v>
      </c>
      <c r="O1138" s="37">
        <v>8.0</v>
      </c>
      <c r="P1138" s="37" t="s">
        <v>63</v>
      </c>
      <c r="Q1138" s="37">
        <v>9.0</v>
      </c>
      <c r="R1138" s="37">
        <v>4.0</v>
      </c>
      <c r="S1138" s="37" t="s">
        <v>63</v>
      </c>
      <c r="T1138" s="69" t="s">
        <v>63</v>
      </c>
      <c r="U1138" s="37" t="s">
        <v>63</v>
      </c>
      <c r="V1138" s="37" t="s">
        <v>63</v>
      </c>
      <c r="W1138" s="37" t="s">
        <v>63</v>
      </c>
      <c r="X1138" s="37" t="s">
        <v>63</v>
      </c>
      <c r="Y1138" s="53">
        <v>21.0</v>
      </c>
      <c r="Z1138" s="69" t="s">
        <v>63</v>
      </c>
      <c r="AA1138" s="73"/>
      <c r="AB1138" s="73"/>
      <c r="AC1138" s="73"/>
      <c r="AD1138" s="73"/>
      <c r="AE1138" s="73"/>
      <c r="AF1138" s="73"/>
      <c r="AG1138" s="73"/>
      <c r="AH1138" s="73"/>
      <c r="AI1138" s="73"/>
      <c r="AJ1138" s="73"/>
      <c r="AK1138" s="73"/>
    </row>
    <row r="1139">
      <c r="A1139" s="28">
        <v>1138.0</v>
      </c>
      <c r="B1139" s="29"/>
      <c r="C1139" s="29"/>
      <c r="D1139" s="40">
        <v>1.0</v>
      </c>
      <c r="E1139" s="31">
        <v>22.0</v>
      </c>
      <c r="F1139" s="42">
        <v>9.0</v>
      </c>
      <c r="G1139" s="29" t="str">
        <f t="shared" si="1"/>
        <v>22009</v>
      </c>
      <c r="H1139" s="37" t="s">
        <v>1143</v>
      </c>
      <c r="I1139" s="37" t="s">
        <v>55</v>
      </c>
      <c r="J1139" s="37" t="s">
        <v>1139</v>
      </c>
      <c r="K1139" s="37" t="str">
        <f t="shared" si="19"/>
        <v>Avoyelles, LA</v>
      </c>
      <c r="L1139" s="37">
        <v>80.0</v>
      </c>
      <c r="M1139" s="37">
        <v>2.23</v>
      </c>
      <c r="N1139" s="37" t="s">
        <v>63</v>
      </c>
      <c r="O1139" s="37">
        <v>38.0</v>
      </c>
      <c r="P1139" s="37" t="s">
        <v>63</v>
      </c>
      <c r="Q1139" s="37">
        <v>31.0</v>
      </c>
      <c r="R1139" s="37">
        <v>6.0</v>
      </c>
      <c r="S1139" s="37" t="s">
        <v>63</v>
      </c>
      <c r="T1139" s="69" t="s">
        <v>63</v>
      </c>
      <c r="U1139" s="37" t="s">
        <v>63</v>
      </c>
      <c r="V1139" s="37" t="s">
        <v>63</v>
      </c>
      <c r="W1139" s="37" t="s">
        <v>63</v>
      </c>
      <c r="X1139" s="37" t="s">
        <v>63</v>
      </c>
      <c r="Y1139" s="53">
        <v>44.0</v>
      </c>
      <c r="Z1139" s="69" t="s">
        <v>63</v>
      </c>
      <c r="AA1139" s="73"/>
      <c r="AB1139" s="73"/>
      <c r="AC1139" s="73"/>
      <c r="AD1139" s="73"/>
      <c r="AE1139" s="73"/>
      <c r="AF1139" s="73"/>
      <c r="AG1139" s="73"/>
      <c r="AH1139" s="73"/>
      <c r="AI1139" s="73"/>
      <c r="AJ1139" s="73"/>
      <c r="AK1139" s="73"/>
    </row>
    <row r="1140">
      <c r="A1140" s="28">
        <v>1139.0</v>
      </c>
      <c r="B1140" s="29"/>
      <c r="C1140" s="29"/>
      <c r="D1140" s="40">
        <v>1.0</v>
      </c>
      <c r="E1140" s="31">
        <v>22.0</v>
      </c>
      <c r="F1140" s="42">
        <v>11.0</v>
      </c>
      <c r="G1140" s="29" t="str">
        <f t="shared" si="1"/>
        <v>22011</v>
      </c>
      <c r="H1140" s="37" t="s">
        <v>1144</v>
      </c>
      <c r="I1140" s="37" t="s">
        <v>55</v>
      </c>
      <c r="J1140" s="37" t="s">
        <v>1139</v>
      </c>
      <c r="K1140" s="37" t="str">
        <f t="shared" si="19"/>
        <v>Beauregard, LA</v>
      </c>
      <c r="L1140" s="37">
        <v>31.0</v>
      </c>
      <c r="M1140" s="37">
        <v>1.7</v>
      </c>
      <c r="N1140" s="37" t="s">
        <v>63</v>
      </c>
      <c r="O1140" s="37">
        <v>7.0</v>
      </c>
      <c r="P1140" s="37" t="s">
        <v>63</v>
      </c>
      <c r="Q1140" s="37">
        <v>33.0</v>
      </c>
      <c r="R1140" s="37">
        <v>3.0</v>
      </c>
      <c r="S1140" s="37" t="s">
        <v>63</v>
      </c>
      <c r="T1140" s="69" t="s">
        <v>63</v>
      </c>
      <c r="U1140" s="37">
        <v>10.0</v>
      </c>
      <c r="V1140" s="37" t="s">
        <v>63</v>
      </c>
      <c r="W1140" s="37" t="s">
        <v>63</v>
      </c>
      <c r="X1140" s="37" t="s">
        <v>63</v>
      </c>
      <c r="Y1140" s="53">
        <v>72.0</v>
      </c>
      <c r="Z1140" s="69" t="s">
        <v>63</v>
      </c>
      <c r="AA1140" s="73"/>
      <c r="AB1140" s="73"/>
      <c r="AC1140" s="73"/>
      <c r="AD1140" s="73"/>
      <c r="AE1140" s="73"/>
      <c r="AF1140" s="73"/>
      <c r="AG1140" s="73"/>
      <c r="AH1140" s="73"/>
      <c r="AI1140" s="73"/>
      <c r="AJ1140" s="73"/>
      <c r="AK1140" s="73"/>
    </row>
    <row r="1141">
      <c r="A1141" s="28">
        <v>1140.0</v>
      </c>
      <c r="B1141" s="29"/>
      <c r="C1141" s="29"/>
      <c r="D1141" s="40">
        <v>1.0</v>
      </c>
      <c r="E1141" s="31">
        <v>22.0</v>
      </c>
      <c r="F1141" s="42">
        <v>13.0</v>
      </c>
      <c r="G1141" s="29" t="str">
        <f t="shared" si="1"/>
        <v>22013</v>
      </c>
      <c r="H1141" s="37" t="s">
        <v>1145</v>
      </c>
      <c r="I1141" s="37" t="s">
        <v>55</v>
      </c>
      <c r="J1141" s="37" t="s">
        <v>1139</v>
      </c>
      <c r="K1141" s="37" t="str">
        <f t="shared" si="19"/>
        <v>Bienville, LA</v>
      </c>
      <c r="L1141" s="37">
        <v>28.0</v>
      </c>
      <c r="M1141" s="37">
        <v>1.86</v>
      </c>
      <c r="N1141" s="37" t="s">
        <v>63</v>
      </c>
      <c r="O1141" s="37">
        <v>12.0</v>
      </c>
      <c r="P1141" s="37" t="s">
        <v>63</v>
      </c>
      <c r="Q1141" s="37">
        <v>7.0</v>
      </c>
      <c r="R1141" s="37">
        <v>1.0</v>
      </c>
      <c r="S1141" s="37" t="s">
        <v>63</v>
      </c>
      <c r="T1141" s="69" t="s">
        <v>63</v>
      </c>
      <c r="U1141" s="37" t="s">
        <v>63</v>
      </c>
      <c r="V1141" s="37" t="s">
        <v>63</v>
      </c>
      <c r="W1141" s="37" t="s">
        <v>63</v>
      </c>
      <c r="X1141" s="37" t="s">
        <v>63</v>
      </c>
      <c r="Y1141" s="53">
        <v>51.0</v>
      </c>
      <c r="Z1141" s="69" t="s">
        <v>63</v>
      </c>
      <c r="AA1141" s="73"/>
      <c r="AB1141" s="73"/>
      <c r="AC1141" s="73"/>
      <c r="AD1141" s="73"/>
      <c r="AE1141" s="73"/>
      <c r="AF1141" s="73"/>
      <c r="AG1141" s="73"/>
      <c r="AH1141" s="73"/>
      <c r="AI1141" s="73"/>
      <c r="AJ1141" s="73"/>
      <c r="AK1141" s="73"/>
    </row>
    <row r="1142">
      <c r="A1142" s="28">
        <v>1141.0</v>
      </c>
      <c r="B1142" s="29"/>
      <c r="C1142" s="29"/>
      <c r="D1142" s="40">
        <v>1.0</v>
      </c>
      <c r="E1142" s="31">
        <v>22.0</v>
      </c>
      <c r="F1142" s="42">
        <v>15.0</v>
      </c>
      <c r="G1142" s="29" t="str">
        <f t="shared" si="1"/>
        <v>22015</v>
      </c>
      <c r="H1142" s="37" t="s">
        <v>1146</v>
      </c>
      <c r="I1142" s="37" t="s">
        <v>55</v>
      </c>
      <c r="J1142" s="37" t="s">
        <v>1139</v>
      </c>
      <c r="K1142" s="37" t="str">
        <f t="shared" si="19"/>
        <v>Bossier, LA</v>
      </c>
      <c r="L1142" s="37">
        <v>51.0</v>
      </c>
      <c r="M1142" s="37">
        <v>1.65</v>
      </c>
      <c r="N1142" s="37" t="s">
        <v>63</v>
      </c>
      <c r="O1142" s="37">
        <v>19.0</v>
      </c>
      <c r="P1142" s="37" t="s">
        <v>63</v>
      </c>
      <c r="Q1142" s="37">
        <v>52.0</v>
      </c>
      <c r="R1142" s="37">
        <v>7.0</v>
      </c>
      <c r="S1142" s="37" t="s">
        <v>63</v>
      </c>
      <c r="T1142" s="69" t="s">
        <v>63</v>
      </c>
      <c r="U1142" s="37" t="s">
        <v>63</v>
      </c>
      <c r="V1142" s="37" t="s">
        <v>63</v>
      </c>
      <c r="W1142" s="37" t="s">
        <v>63</v>
      </c>
      <c r="X1142" s="37" t="s">
        <v>63</v>
      </c>
      <c r="Y1142" s="53">
        <v>138.0</v>
      </c>
      <c r="Z1142" s="69" t="s">
        <v>63</v>
      </c>
      <c r="AA1142" s="73"/>
      <c r="AB1142" s="73"/>
      <c r="AC1142" s="73"/>
      <c r="AD1142" s="73"/>
      <c r="AE1142" s="73"/>
      <c r="AF1142" s="73"/>
      <c r="AG1142" s="73"/>
      <c r="AH1142" s="73"/>
      <c r="AI1142" s="73"/>
      <c r="AJ1142" s="73"/>
      <c r="AK1142" s="73"/>
    </row>
    <row r="1143">
      <c r="A1143" s="28">
        <v>1142.0</v>
      </c>
      <c r="B1143" s="29"/>
      <c r="C1143" s="29"/>
      <c r="D1143" s="40">
        <v>1.0</v>
      </c>
      <c r="E1143" s="31">
        <v>22.0</v>
      </c>
      <c r="F1143" s="42">
        <v>17.0</v>
      </c>
      <c r="G1143" s="29" t="str">
        <f t="shared" si="1"/>
        <v>22017</v>
      </c>
      <c r="H1143" s="37" t="s">
        <v>1147</v>
      </c>
      <c r="I1143" s="37" t="s">
        <v>55</v>
      </c>
      <c r="J1143" s="37" t="s">
        <v>1139</v>
      </c>
      <c r="K1143" s="37" t="str">
        <f t="shared" si="19"/>
        <v>Caddo, LA</v>
      </c>
      <c r="L1143" s="37">
        <v>221.0</v>
      </c>
      <c r="M1143" s="37">
        <v>1.74</v>
      </c>
      <c r="N1143" s="37" t="s">
        <v>63</v>
      </c>
      <c r="O1143" s="37">
        <v>81.0</v>
      </c>
      <c r="P1143" s="37" t="s">
        <v>63</v>
      </c>
      <c r="Q1143" s="37">
        <v>58.0</v>
      </c>
      <c r="R1143" s="37">
        <v>11.0</v>
      </c>
      <c r="S1143" s="37" t="s">
        <v>63</v>
      </c>
      <c r="T1143" s="69" t="s">
        <v>63</v>
      </c>
      <c r="U1143" s="37">
        <v>60.0</v>
      </c>
      <c r="V1143" s="37" t="s">
        <v>63</v>
      </c>
      <c r="W1143" s="37" t="s">
        <v>63</v>
      </c>
      <c r="X1143" s="37" t="s">
        <v>63</v>
      </c>
      <c r="Y1143" s="53">
        <v>395.0</v>
      </c>
      <c r="Z1143" s="69" t="s">
        <v>63</v>
      </c>
      <c r="AA1143" s="73"/>
      <c r="AB1143" s="73"/>
      <c r="AC1143" s="73"/>
      <c r="AD1143" s="73"/>
      <c r="AE1143" s="73"/>
      <c r="AF1143" s="73"/>
      <c r="AG1143" s="73"/>
      <c r="AH1143" s="73"/>
      <c r="AI1143" s="73"/>
      <c r="AJ1143" s="73"/>
      <c r="AK1143" s="73"/>
    </row>
    <row r="1144">
      <c r="A1144" s="28">
        <v>1143.0</v>
      </c>
      <c r="B1144" s="29"/>
      <c r="C1144" s="29"/>
      <c r="D1144" s="40">
        <v>1.0</v>
      </c>
      <c r="E1144" s="31">
        <v>22.0</v>
      </c>
      <c r="F1144" s="42">
        <v>19.0</v>
      </c>
      <c r="G1144" s="29" t="str">
        <f t="shared" si="1"/>
        <v>22019</v>
      </c>
      <c r="H1144" s="37" t="s">
        <v>1148</v>
      </c>
      <c r="I1144" s="37" t="s">
        <v>55</v>
      </c>
      <c r="J1144" s="37" t="s">
        <v>1139</v>
      </c>
      <c r="K1144" s="37" t="str">
        <f t="shared" si="19"/>
        <v>Calcasieu, LA</v>
      </c>
      <c r="L1144" s="37">
        <v>144.0</v>
      </c>
      <c r="M1144" s="37">
        <v>1.56</v>
      </c>
      <c r="N1144" s="37" t="s">
        <v>63</v>
      </c>
      <c r="O1144" s="37">
        <v>32.0</v>
      </c>
      <c r="P1144" s="37" t="s">
        <v>63</v>
      </c>
      <c r="Q1144" s="37">
        <v>115.0</v>
      </c>
      <c r="R1144" s="37">
        <v>15.0</v>
      </c>
      <c r="S1144" s="37" t="s">
        <v>63</v>
      </c>
      <c r="T1144" s="69" t="s">
        <v>63</v>
      </c>
      <c r="U1144" s="37">
        <v>25.0</v>
      </c>
      <c r="V1144" s="37" t="s">
        <v>63</v>
      </c>
      <c r="W1144" s="37" t="s">
        <v>63</v>
      </c>
      <c r="X1144" s="37" t="s">
        <v>63</v>
      </c>
      <c r="Y1144" s="53">
        <v>218.0</v>
      </c>
      <c r="Z1144" s="69" t="s">
        <v>63</v>
      </c>
      <c r="AA1144" s="73"/>
      <c r="AB1144" s="73"/>
      <c r="AC1144" s="73"/>
      <c r="AD1144" s="73"/>
      <c r="AE1144" s="73"/>
      <c r="AF1144" s="73"/>
      <c r="AG1144" s="73"/>
      <c r="AH1144" s="73"/>
      <c r="AI1144" s="73"/>
      <c r="AJ1144" s="73"/>
      <c r="AK1144" s="73"/>
    </row>
    <row r="1145">
      <c r="A1145" s="28">
        <v>1144.0</v>
      </c>
      <c r="B1145" s="29"/>
      <c r="C1145" s="29"/>
      <c r="D1145" s="40">
        <v>1.0</v>
      </c>
      <c r="E1145" s="31">
        <v>22.0</v>
      </c>
      <c r="F1145" s="42">
        <v>21.0</v>
      </c>
      <c r="G1145" s="29" t="str">
        <f t="shared" si="1"/>
        <v>22021</v>
      </c>
      <c r="H1145" s="37" t="s">
        <v>1034</v>
      </c>
      <c r="I1145" s="37" t="s">
        <v>55</v>
      </c>
      <c r="J1145" s="37" t="s">
        <v>1139</v>
      </c>
      <c r="K1145" s="37" t="str">
        <f t="shared" si="19"/>
        <v>Caldwell, LA</v>
      </c>
      <c r="L1145" s="37">
        <v>16.0</v>
      </c>
      <c r="M1145" s="37">
        <v>1.6</v>
      </c>
      <c r="N1145" s="37" t="s">
        <v>63</v>
      </c>
      <c r="O1145" s="37">
        <v>2.0</v>
      </c>
      <c r="P1145" s="37" t="s">
        <v>63</v>
      </c>
      <c r="Q1145" s="37">
        <v>5.0</v>
      </c>
      <c r="R1145" s="37">
        <v>3.0</v>
      </c>
      <c r="S1145" s="37" t="s">
        <v>63</v>
      </c>
      <c r="T1145" s="69" t="s">
        <v>63</v>
      </c>
      <c r="U1145" s="37" t="s">
        <v>63</v>
      </c>
      <c r="V1145" s="37" t="s">
        <v>63</v>
      </c>
      <c r="W1145" s="37" t="s">
        <v>63</v>
      </c>
      <c r="X1145" s="37" t="s">
        <v>63</v>
      </c>
      <c r="Y1145" s="53">
        <v>22.0</v>
      </c>
      <c r="Z1145" s="69" t="s">
        <v>63</v>
      </c>
      <c r="AA1145" s="73"/>
      <c r="AB1145" s="73"/>
      <c r="AC1145" s="73"/>
      <c r="AD1145" s="73"/>
      <c r="AE1145" s="73"/>
      <c r="AF1145" s="73"/>
      <c r="AG1145" s="73"/>
      <c r="AH1145" s="73"/>
      <c r="AI1145" s="73"/>
      <c r="AJ1145" s="73"/>
      <c r="AK1145" s="73"/>
    </row>
    <row r="1146">
      <c r="A1146" s="28">
        <v>1145.0</v>
      </c>
      <c r="B1146" s="29"/>
      <c r="C1146" s="29"/>
      <c r="D1146" s="40">
        <v>1.0</v>
      </c>
      <c r="E1146" s="31">
        <v>22.0</v>
      </c>
      <c r="F1146" s="42">
        <v>23.0</v>
      </c>
      <c r="G1146" s="29" t="str">
        <f t="shared" si="1"/>
        <v>22023</v>
      </c>
      <c r="H1146" s="37" t="s">
        <v>1149</v>
      </c>
      <c r="I1146" s="37" t="s">
        <v>55</v>
      </c>
      <c r="J1146" s="37" t="s">
        <v>1139</v>
      </c>
      <c r="K1146" s="37" t="str">
        <f t="shared" si="19"/>
        <v>Cameron, LA</v>
      </c>
      <c r="L1146" s="37">
        <v>2.0</v>
      </c>
      <c r="M1146" s="37">
        <v>2.0</v>
      </c>
      <c r="N1146" s="37" t="s">
        <v>63</v>
      </c>
      <c r="O1146" s="37" t="s">
        <v>63</v>
      </c>
      <c r="P1146" s="37" t="s">
        <v>63</v>
      </c>
      <c r="Q1146" s="37">
        <v>1.0</v>
      </c>
      <c r="R1146" s="37" t="s">
        <v>63</v>
      </c>
      <c r="S1146" s="37" t="s">
        <v>63</v>
      </c>
      <c r="T1146" s="69" t="s">
        <v>63</v>
      </c>
      <c r="U1146" s="37" t="s">
        <v>63</v>
      </c>
      <c r="V1146" s="37" t="s">
        <v>63</v>
      </c>
      <c r="W1146" s="37" t="s">
        <v>63</v>
      </c>
      <c r="X1146" s="37" t="s">
        <v>63</v>
      </c>
      <c r="Y1146" s="53">
        <v>4.0</v>
      </c>
      <c r="Z1146" s="69" t="s">
        <v>63</v>
      </c>
      <c r="AA1146" s="73"/>
      <c r="AB1146" s="73"/>
      <c r="AC1146" s="73"/>
      <c r="AD1146" s="73"/>
      <c r="AE1146" s="73"/>
      <c r="AF1146" s="73"/>
      <c r="AG1146" s="73"/>
      <c r="AH1146" s="73"/>
      <c r="AI1146" s="73"/>
      <c r="AJ1146" s="73"/>
      <c r="AK1146" s="73"/>
    </row>
    <row r="1147">
      <c r="A1147" s="28">
        <v>1146.0</v>
      </c>
      <c r="B1147" s="29"/>
      <c r="C1147" s="29"/>
      <c r="D1147" s="40">
        <v>1.0</v>
      </c>
      <c r="E1147" s="31">
        <v>22.0</v>
      </c>
      <c r="F1147" s="42">
        <v>25.0</v>
      </c>
      <c r="G1147" s="29" t="str">
        <f t="shared" si="1"/>
        <v>22025</v>
      </c>
      <c r="H1147" s="37" t="s">
        <v>1150</v>
      </c>
      <c r="I1147" s="37" t="s">
        <v>55</v>
      </c>
      <c r="J1147" s="37" t="s">
        <v>1139</v>
      </c>
      <c r="K1147" s="37" t="str">
        <f t="shared" si="19"/>
        <v>Catahoula, LA</v>
      </c>
      <c r="L1147" s="37">
        <v>17.0</v>
      </c>
      <c r="M1147" s="37">
        <v>0.5</v>
      </c>
      <c r="N1147" s="37" t="s">
        <v>63</v>
      </c>
      <c r="O1147" s="37">
        <v>3.0</v>
      </c>
      <c r="P1147" s="37" t="s">
        <v>63</v>
      </c>
      <c r="Q1147" s="37">
        <v>2.0</v>
      </c>
      <c r="R1147" s="37" t="s">
        <v>63</v>
      </c>
      <c r="S1147" s="37" t="s">
        <v>63</v>
      </c>
      <c r="T1147" s="69" t="s">
        <v>63</v>
      </c>
      <c r="U1147" s="37">
        <v>2.0</v>
      </c>
      <c r="V1147" s="37" t="s">
        <v>63</v>
      </c>
      <c r="W1147" s="37" t="s">
        <v>63</v>
      </c>
      <c r="X1147" s="37" t="s">
        <v>63</v>
      </c>
      <c r="Y1147" s="53">
        <v>24.0</v>
      </c>
      <c r="Z1147" s="69" t="s">
        <v>63</v>
      </c>
      <c r="AA1147" s="73"/>
      <c r="AB1147" s="73"/>
      <c r="AC1147" s="73"/>
      <c r="AD1147" s="73"/>
      <c r="AE1147" s="73"/>
      <c r="AF1147" s="73"/>
      <c r="AG1147" s="73"/>
      <c r="AH1147" s="73"/>
      <c r="AI1147" s="73"/>
      <c r="AJ1147" s="73"/>
      <c r="AK1147" s="73"/>
    </row>
    <row r="1148">
      <c r="A1148" s="28">
        <v>1147.0</v>
      </c>
      <c r="B1148" s="29"/>
      <c r="C1148" s="29"/>
      <c r="D1148" s="40">
        <v>1.0</v>
      </c>
      <c r="E1148" s="31">
        <v>22.0</v>
      </c>
      <c r="F1148" s="42">
        <v>27.0</v>
      </c>
      <c r="G1148" s="29" t="str">
        <f t="shared" si="1"/>
        <v>22027</v>
      </c>
      <c r="H1148" s="37" t="s">
        <v>1151</v>
      </c>
      <c r="I1148" s="37" t="s">
        <v>55</v>
      </c>
      <c r="J1148" s="37" t="s">
        <v>1139</v>
      </c>
      <c r="K1148" s="37" t="str">
        <f t="shared" si="19"/>
        <v>Claiborne, LA</v>
      </c>
      <c r="L1148" s="37">
        <v>9.0</v>
      </c>
      <c r="M1148" s="37">
        <v>2.33</v>
      </c>
      <c r="N1148" s="37" t="s">
        <v>63</v>
      </c>
      <c r="O1148" s="37">
        <v>3.0</v>
      </c>
      <c r="P1148" s="37" t="s">
        <v>63</v>
      </c>
      <c r="Q1148" s="37">
        <v>9.0</v>
      </c>
      <c r="R1148" s="37">
        <v>1.0</v>
      </c>
      <c r="S1148" s="37" t="s">
        <v>63</v>
      </c>
      <c r="T1148" s="69" t="s">
        <v>63</v>
      </c>
      <c r="U1148" s="37" t="s">
        <v>63</v>
      </c>
      <c r="V1148" s="37" t="s">
        <v>63</v>
      </c>
      <c r="W1148" s="37" t="s">
        <v>63</v>
      </c>
      <c r="X1148" s="37" t="s">
        <v>63</v>
      </c>
      <c r="Y1148" s="53">
        <v>50.0</v>
      </c>
      <c r="Z1148" s="69" t="s">
        <v>63</v>
      </c>
      <c r="AA1148" s="73"/>
      <c r="AB1148" s="73"/>
      <c r="AC1148" s="73"/>
      <c r="AD1148" s="73"/>
      <c r="AE1148" s="73"/>
      <c r="AF1148" s="73"/>
      <c r="AG1148" s="73"/>
      <c r="AH1148" s="73"/>
      <c r="AI1148" s="73"/>
      <c r="AJ1148" s="73"/>
      <c r="AK1148" s="73"/>
    </row>
    <row r="1149">
      <c r="A1149" s="28">
        <v>1148.0</v>
      </c>
      <c r="B1149" s="29"/>
      <c r="C1149" s="29"/>
      <c r="D1149" s="40">
        <v>1.0</v>
      </c>
      <c r="E1149" s="31">
        <v>22.0</v>
      </c>
      <c r="F1149" s="42">
        <v>29.0</v>
      </c>
      <c r="G1149" s="29" t="str">
        <f t="shared" si="1"/>
        <v>22029</v>
      </c>
      <c r="H1149" s="37" t="s">
        <v>1152</v>
      </c>
      <c r="I1149" s="37" t="s">
        <v>55</v>
      </c>
      <c r="J1149" s="37" t="s">
        <v>1139</v>
      </c>
      <c r="K1149" s="37" t="str">
        <f t="shared" si="19"/>
        <v>Concordia, LA</v>
      </c>
      <c r="L1149" s="37">
        <v>13.0</v>
      </c>
      <c r="M1149" s="37">
        <v>2.5</v>
      </c>
      <c r="N1149" s="37" t="s">
        <v>63</v>
      </c>
      <c r="O1149" s="37">
        <v>8.0</v>
      </c>
      <c r="P1149" s="37" t="s">
        <v>63</v>
      </c>
      <c r="Q1149" s="37">
        <v>14.0</v>
      </c>
      <c r="R1149" s="37">
        <v>2.0</v>
      </c>
      <c r="S1149" s="37" t="s">
        <v>63</v>
      </c>
      <c r="T1149" s="69" t="s">
        <v>63</v>
      </c>
      <c r="U1149" s="37">
        <v>4.0</v>
      </c>
      <c r="V1149" s="37" t="s">
        <v>63</v>
      </c>
      <c r="W1149" s="37" t="s">
        <v>63</v>
      </c>
      <c r="X1149" s="37" t="s">
        <v>63</v>
      </c>
      <c r="Y1149" s="53">
        <v>45.0</v>
      </c>
      <c r="Z1149" s="69" t="s">
        <v>63</v>
      </c>
      <c r="AA1149" s="73"/>
      <c r="AB1149" s="73"/>
      <c r="AC1149" s="73"/>
      <c r="AD1149" s="73"/>
      <c r="AE1149" s="73"/>
      <c r="AF1149" s="73"/>
      <c r="AG1149" s="73"/>
      <c r="AH1149" s="73"/>
      <c r="AI1149" s="73"/>
      <c r="AJ1149" s="73"/>
      <c r="AK1149" s="73"/>
    </row>
    <row r="1150">
      <c r="A1150" s="28">
        <v>1149.0</v>
      </c>
      <c r="B1150" s="29"/>
      <c r="C1150" s="29"/>
      <c r="D1150" s="40">
        <v>1.0</v>
      </c>
      <c r="E1150" s="31">
        <v>22.0</v>
      </c>
      <c r="F1150" s="42">
        <v>31.0</v>
      </c>
      <c r="G1150" s="29" t="str">
        <f t="shared" si="1"/>
        <v>22031</v>
      </c>
      <c r="H1150" s="37" t="s">
        <v>489</v>
      </c>
      <c r="I1150" s="37" t="s">
        <v>55</v>
      </c>
      <c r="J1150" s="37" t="s">
        <v>1139</v>
      </c>
      <c r="K1150" s="37" t="str">
        <f t="shared" si="19"/>
        <v>De Soto, LA</v>
      </c>
      <c r="L1150" s="37">
        <v>56.0</v>
      </c>
      <c r="M1150" s="37">
        <v>1.68</v>
      </c>
      <c r="N1150" s="37" t="s">
        <v>63</v>
      </c>
      <c r="O1150" s="37">
        <v>21.0</v>
      </c>
      <c r="P1150" s="37" t="s">
        <v>63</v>
      </c>
      <c r="Q1150" s="37">
        <v>22.0</v>
      </c>
      <c r="R1150" s="37">
        <v>4.0</v>
      </c>
      <c r="S1150" s="37" t="s">
        <v>63</v>
      </c>
      <c r="T1150" s="69" t="s">
        <v>63</v>
      </c>
      <c r="U1150" s="37">
        <v>1.0</v>
      </c>
      <c r="V1150" s="37" t="s">
        <v>63</v>
      </c>
      <c r="W1150" s="37" t="s">
        <v>63</v>
      </c>
      <c r="X1150" s="37" t="s">
        <v>63</v>
      </c>
      <c r="Y1150" s="53">
        <v>77.0</v>
      </c>
      <c r="Z1150" s="69" t="s">
        <v>63</v>
      </c>
      <c r="AA1150" s="73"/>
      <c r="AB1150" s="73"/>
      <c r="AC1150" s="73"/>
      <c r="AD1150" s="73"/>
      <c r="AE1150" s="73"/>
      <c r="AF1150" s="73"/>
      <c r="AG1150" s="73"/>
      <c r="AH1150" s="73"/>
      <c r="AI1150" s="73"/>
      <c r="AJ1150" s="73"/>
      <c r="AK1150" s="73"/>
    </row>
    <row r="1151">
      <c r="A1151" s="28">
        <v>1150.0</v>
      </c>
      <c r="B1151" s="29"/>
      <c r="C1151" s="29"/>
      <c r="D1151" s="40">
        <v>1.0</v>
      </c>
      <c r="E1151" s="31">
        <v>22.0</v>
      </c>
      <c r="F1151" s="42">
        <v>33.0</v>
      </c>
      <c r="G1151" s="29" t="str">
        <f t="shared" si="1"/>
        <v>22033</v>
      </c>
      <c r="H1151" s="37" t="s">
        <v>1153</v>
      </c>
      <c r="I1151" s="37" t="s">
        <v>55</v>
      </c>
      <c r="J1151" s="37" t="s">
        <v>1139</v>
      </c>
      <c r="K1151" s="136" t="str">
        <f t="shared" si="19"/>
        <v>East Baton Rouge, LA</v>
      </c>
      <c r="L1151" s="37">
        <v>360.0</v>
      </c>
      <c r="M1151" s="37">
        <v>1.68</v>
      </c>
      <c r="N1151" s="37" t="s">
        <v>63</v>
      </c>
      <c r="O1151" s="37">
        <v>136.0</v>
      </c>
      <c r="P1151" s="37" t="s">
        <v>63</v>
      </c>
      <c r="Q1151" s="37">
        <v>154.0</v>
      </c>
      <c r="R1151" s="37">
        <v>29.0</v>
      </c>
      <c r="S1151" s="37" t="s">
        <v>63</v>
      </c>
      <c r="T1151" s="69" t="s">
        <v>63</v>
      </c>
      <c r="U1151" s="37">
        <v>176.0</v>
      </c>
      <c r="V1151" s="37" t="s">
        <v>63</v>
      </c>
      <c r="W1151" s="37" t="s">
        <v>63</v>
      </c>
      <c r="X1151" s="37" t="s">
        <v>63</v>
      </c>
      <c r="Y1151" s="53">
        <v>378.0</v>
      </c>
      <c r="Z1151" s="69" t="s">
        <v>63</v>
      </c>
      <c r="AA1151" s="73"/>
      <c r="AB1151" s="73"/>
      <c r="AC1151" s="73"/>
      <c r="AD1151" s="73"/>
      <c r="AE1151" s="73"/>
      <c r="AF1151" s="73"/>
      <c r="AG1151" s="73"/>
      <c r="AH1151" s="73"/>
      <c r="AI1151" s="73"/>
      <c r="AJ1151" s="73"/>
      <c r="AK1151" s="73"/>
    </row>
    <row r="1152">
      <c r="A1152" s="28">
        <v>1151.0</v>
      </c>
      <c r="B1152" s="29"/>
      <c r="C1152" s="29"/>
      <c r="D1152" s="40">
        <v>1.0</v>
      </c>
      <c r="E1152" s="31">
        <v>22.0</v>
      </c>
      <c r="F1152" s="42">
        <v>35.0</v>
      </c>
      <c r="G1152" s="29" t="str">
        <f t="shared" si="1"/>
        <v>22035</v>
      </c>
      <c r="H1152" s="37" t="s">
        <v>1154</v>
      </c>
      <c r="I1152" s="37" t="s">
        <v>55</v>
      </c>
      <c r="J1152" s="37" t="s">
        <v>1139</v>
      </c>
      <c r="K1152" s="37" t="str">
        <f t="shared" si="19"/>
        <v>East Carroll, LA</v>
      </c>
      <c r="L1152" s="37">
        <v>4.0</v>
      </c>
      <c r="M1152" s="37">
        <v>2.5</v>
      </c>
      <c r="N1152" s="37" t="s">
        <v>63</v>
      </c>
      <c r="O1152" s="37">
        <v>2.0</v>
      </c>
      <c r="P1152" s="37" t="s">
        <v>63</v>
      </c>
      <c r="Q1152" s="37">
        <v>2.0</v>
      </c>
      <c r="R1152" s="37" t="s">
        <v>63</v>
      </c>
      <c r="S1152" s="37" t="s">
        <v>63</v>
      </c>
      <c r="T1152" s="69" t="s">
        <v>63</v>
      </c>
      <c r="U1152" s="37" t="s">
        <v>63</v>
      </c>
      <c r="V1152" s="37" t="s">
        <v>63</v>
      </c>
      <c r="W1152" s="37" t="s">
        <v>63</v>
      </c>
      <c r="X1152" s="37" t="s">
        <v>63</v>
      </c>
      <c r="Y1152" s="53">
        <v>26.0</v>
      </c>
      <c r="Z1152" s="69" t="s">
        <v>63</v>
      </c>
      <c r="AA1152" s="73"/>
      <c r="AB1152" s="73"/>
      <c r="AC1152" s="73"/>
      <c r="AD1152" s="73"/>
      <c r="AE1152" s="73"/>
      <c r="AF1152" s="73"/>
      <c r="AG1152" s="73"/>
      <c r="AH1152" s="73"/>
      <c r="AI1152" s="73"/>
      <c r="AJ1152" s="73"/>
      <c r="AK1152" s="73"/>
    </row>
    <row r="1153">
      <c r="A1153" s="28">
        <v>1152.0</v>
      </c>
      <c r="B1153" s="29"/>
      <c r="C1153" s="29"/>
      <c r="D1153" s="40">
        <v>1.0</v>
      </c>
      <c r="E1153" s="31">
        <v>22.0</v>
      </c>
      <c r="F1153" s="42">
        <v>37.0</v>
      </c>
      <c r="G1153" s="29" t="str">
        <f t="shared" si="1"/>
        <v>22037</v>
      </c>
      <c r="H1153" s="37" t="s">
        <v>1155</v>
      </c>
      <c r="I1153" s="37" t="s">
        <v>55</v>
      </c>
      <c r="J1153" s="37" t="s">
        <v>1139</v>
      </c>
      <c r="K1153" s="136" t="str">
        <f t="shared" si="19"/>
        <v>East Feliciana, LA</v>
      </c>
      <c r="L1153" s="37">
        <v>21.0</v>
      </c>
      <c r="M1153" s="37">
        <v>2.43</v>
      </c>
      <c r="N1153" s="37" t="s">
        <v>63</v>
      </c>
      <c r="O1153" s="37">
        <v>14.0</v>
      </c>
      <c r="P1153" s="37" t="s">
        <v>63</v>
      </c>
      <c r="Q1153" s="37">
        <v>7.0</v>
      </c>
      <c r="R1153" s="37">
        <v>3.0</v>
      </c>
      <c r="S1153" s="37" t="s">
        <v>63</v>
      </c>
      <c r="T1153" s="69" t="s">
        <v>63</v>
      </c>
      <c r="U1153" s="37">
        <v>2.0</v>
      </c>
      <c r="V1153" s="37" t="s">
        <v>63</v>
      </c>
      <c r="W1153" s="37" t="s">
        <v>63</v>
      </c>
      <c r="X1153" s="37" t="s">
        <v>63</v>
      </c>
      <c r="Y1153" s="53">
        <v>51.0</v>
      </c>
      <c r="Z1153" s="69" t="s">
        <v>63</v>
      </c>
      <c r="AA1153" s="73"/>
      <c r="AB1153" s="73"/>
      <c r="AC1153" s="73"/>
      <c r="AD1153" s="73"/>
      <c r="AE1153" s="73"/>
      <c r="AF1153" s="73"/>
      <c r="AG1153" s="73"/>
      <c r="AH1153" s="73"/>
      <c r="AI1153" s="73"/>
      <c r="AJ1153" s="73"/>
      <c r="AK1153" s="73"/>
    </row>
    <row r="1154">
      <c r="A1154" s="28">
        <v>1153.0</v>
      </c>
      <c r="B1154" s="29"/>
      <c r="C1154" s="29"/>
      <c r="D1154" s="40">
        <v>1.0</v>
      </c>
      <c r="E1154" s="31">
        <v>22.0</v>
      </c>
      <c r="F1154" s="42">
        <v>39.0</v>
      </c>
      <c r="G1154" s="29" t="str">
        <f t="shared" si="1"/>
        <v>22039</v>
      </c>
      <c r="H1154" s="37" t="s">
        <v>1156</v>
      </c>
      <c r="I1154" s="37" t="s">
        <v>55</v>
      </c>
      <c r="J1154" s="37" t="s">
        <v>1139</v>
      </c>
      <c r="K1154" s="37" t="str">
        <f t="shared" si="19"/>
        <v>Evangeline, LA</v>
      </c>
      <c r="L1154" s="37">
        <v>51.0</v>
      </c>
      <c r="M1154" s="37">
        <v>1.61</v>
      </c>
      <c r="N1154" s="37" t="s">
        <v>63</v>
      </c>
      <c r="O1154" s="37">
        <v>16.0</v>
      </c>
      <c r="P1154" s="37" t="s">
        <v>63</v>
      </c>
      <c r="Q1154" s="37">
        <v>18.0</v>
      </c>
      <c r="R1154" s="37">
        <v>4.0</v>
      </c>
      <c r="S1154" s="37" t="s">
        <v>63</v>
      </c>
      <c r="T1154" s="69" t="s">
        <v>63</v>
      </c>
      <c r="U1154" s="37">
        <v>4.0</v>
      </c>
      <c r="V1154" s="37" t="s">
        <v>63</v>
      </c>
      <c r="W1154" s="37" t="s">
        <v>63</v>
      </c>
      <c r="X1154" s="37" t="s">
        <v>63</v>
      </c>
      <c r="Y1154" s="53">
        <v>39.0</v>
      </c>
      <c r="Z1154" s="69" t="s">
        <v>63</v>
      </c>
      <c r="AA1154" s="73"/>
      <c r="AB1154" s="73"/>
      <c r="AC1154" s="73"/>
      <c r="AD1154" s="73"/>
      <c r="AE1154" s="73"/>
      <c r="AF1154" s="73"/>
      <c r="AG1154" s="73"/>
      <c r="AH1154" s="73"/>
      <c r="AI1154" s="73"/>
      <c r="AJ1154" s="73"/>
      <c r="AK1154" s="73"/>
    </row>
    <row r="1155">
      <c r="A1155" s="28">
        <v>1154.0</v>
      </c>
      <c r="B1155" s="29"/>
      <c r="C1155" s="29"/>
      <c r="D1155" s="40">
        <v>1.0</v>
      </c>
      <c r="E1155" s="31">
        <v>22.0</v>
      </c>
      <c r="F1155" s="42">
        <v>41.0</v>
      </c>
      <c r="G1155" s="29" t="str">
        <f t="shared" si="1"/>
        <v>22041</v>
      </c>
      <c r="H1155" s="37" t="s">
        <v>136</v>
      </c>
      <c r="I1155" s="37" t="s">
        <v>55</v>
      </c>
      <c r="J1155" s="37" t="s">
        <v>1139</v>
      </c>
      <c r="K1155" s="37" t="str">
        <f t="shared" si="19"/>
        <v>Franklin, LA</v>
      </c>
      <c r="L1155" s="37">
        <v>9.0</v>
      </c>
      <c r="M1155" s="37">
        <v>2.22</v>
      </c>
      <c r="N1155" s="37" t="s">
        <v>63</v>
      </c>
      <c r="O1155" s="37">
        <v>1.0</v>
      </c>
      <c r="P1155" s="37" t="s">
        <v>63</v>
      </c>
      <c r="Q1155" s="37">
        <v>9.0</v>
      </c>
      <c r="R1155" s="37">
        <v>3.0</v>
      </c>
      <c r="S1155" s="37" t="s">
        <v>63</v>
      </c>
      <c r="T1155" s="69" t="s">
        <v>63</v>
      </c>
      <c r="U1155" s="37">
        <v>9.0</v>
      </c>
      <c r="V1155" s="37" t="s">
        <v>63</v>
      </c>
      <c r="W1155" s="37" t="s">
        <v>63</v>
      </c>
      <c r="X1155" s="37" t="s">
        <v>63</v>
      </c>
      <c r="Y1155" s="53">
        <v>62.0</v>
      </c>
      <c r="Z1155" s="69" t="s">
        <v>63</v>
      </c>
      <c r="AA1155" s="73"/>
      <c r="AB1155" s="73"/>
      <c r="AC1155" s="73"/>
      <c r="AD1155" s="73"/>
      <c r="AE1155" s="73"/>
      <c r="AF1155" s="73"/>
      <c r="AG1155" s="73"/>
      <c r="AH1155" s="73"/>
      <c r="AI1155" s="73"/>
      <c r="AJ1155" s="73"/>
      <c r="AK1155" s="73"/>
    </row>
    <row r="1156">
      <c r="A1156" s="28">
        <v>1155.0</v>
      </c>
      <c r="B1156" s="29"/>
      <c r="C1156" s="29"/>
      <c r="D1156" s="40">
        <v>1.0</v>
      </c>
      <c r="E1156" s="31">
        <v>22.0</v>
      </c>
      <c r="F1156" s="42">
        <v>43.0</v>
      </c>
      <c r="G1156" s="29" t="str">
        <f t="shared" si="1"/>
        <v>22043</v>
      </c>
      <c r="H1156" s="37" t="s">
        <v>278</v>
      </c>
      <c r="I1156" s="37" t="s">
        <v>55</v>
      </c>
      <c r="J1156" s="37" t="s">
        <v>1139</v>
      </c>
      <c r="K1156" s="37" t="str">
        <f t="shared" si="19"/>
        <v>Grant, LA</v>
      </c>
      <c r="L1156" s="37">
        <v>58.0</v>
      </c>
      <c r="M1156" s="37">
        <v>1.73</v>
      </c>
      <c r="N1156" s="37" t="s">
        <v>63</v>
      </c>
      <c r="O1156" s="37">
        <v>34.0</v>
      </c>
      <c r="P1156" s="37" t="s">
        <v>63</v>
      </c>
      <c r="Q1156" s="37">
        <v>30.0</v>
      </c>
      <c r="R1156" s="37">
        <v>10.0</v>
      </c>
      <c r="S1156" s="37" t="s">
        <v>63</v>
      </c>
      <c r="T1156" s="69" t="s">
        <v>63</v>
      </c>
      <c r="U1156" s="37" t="s">
        <v>63</v>
      </c>
      <c r="V1156" s="37" t="s">
        <v>63</v>
      </c>
      <c r="W1156" s="37" t="s">
        <v>63</v>
      </c>
      <c r="X1156" s="37" t="s">
        <v>63</v>
      </c>
      <c r="Y1156" s="53">
        <v>38.0</v>
      </c>
      <c r="Z1156" s="69" t="s">
        <v>63</v>
      </c>
      <c r="AA1156" s="73"/>
      <c r="AB1156" s="73"/>
      <c r="AC1156" s="73"/>
      <c r="AD1156" s="73"/>
      <c r="AE1156" s="73"/>
      <c r="AF1156" s="73"/>
      <c r="AG1156" s="73"/>
      <c r="AH1156" s="73"/>
      <c r="AI1156" s="73"/>
      <c r="AJ1156" s="73"/>
      <c r="AK1156" s="73"/>
    </row>
    <row r="1157">
      <c r="A1157" s="28">
        <v>1156.0</v>
      </c>
      <c r="B1157" s="29"/>
      <c r="C1157" s="29"/>
      <c r="D1157" s="40">
        <v>1.0</v>
      </c>
      <c r="E1157" s="31">
        <v>22.0</v>
      </c>
      <c r="F1157" s="42">
        <v>45.0</v>
      </c>
      <c r="G1157" s="29" t="str">
        <f t="shared" si="1"/>
        <v>22045</v>
      </c>
      <c r="H1157" s="37" t="s">
        <v>1157</v>
      </c>
      <c r="I1157" s="37" t="s">
        <v>55</v>
      </c>
      <c r="J1157" s="37" t="s">
        <v>1139</v>
      </c>
      <c r="K1157" s="37" t="str">
        <f t="shared" si="19"/>
        <v>Iberia, LA</v>
      </c>
      <c r="L1157" s="37">
        <v>49.0</v>
      </c>
      <c r="M1157" s="37">
        <v>1.61</v>
      </c>
      <c r="N1157" s="37" t="s">
        <v>63</v>
      </c>
      <c r="O1157" s="37">
        <v>12.0</v>
      </c>
      <c r="P1157" s="37" t="s">
        <v>63</v>
      </c>
      <c r="Q1157" s="37">
        <v>23.0</v>
      </c>
      <c r="R1157" s="37">
        <v>1.0</v>
      </c>
      <c r="S1157" s="37" t="s">
        <v>63</v>
      </c>
      <c r="T1157" s="69" t="s">
        <v>63</v>
      </c>
      <c r="U1157" s="37">
        <v>15.0</v>
      </c>
      <c r="V1157" s="37" t="s">
        <v>63</v>
      </c>
      <c r="W1157" s="37" t="s">
        <v>63</v>
      </c>
      <c r="X1157" s="37" t="s">
        <v>63</v>
      </c>
      <c r="Y1157" s="53">
        <v>55.0</v>
      </c>
      <c r="Z1157" s="69" t="s">
        <v>63</v>
      </c>
      <c r="AA1157" s="73"/>
      <c r="AB1157" s="73"/>
      <c r="AC1157" s="73"/>
      <c r="AD1157" s="73"/>
      <c r="AE1157" s="73"/>
      <c r="AF1157" s="73"/>
      <c r="AG1157" s="73"/>
      <c r="AH1157" s="73"/>
      <c r="AI1157" s="73"/>
      <c r="AJ1157" s="73"/>
      <c r="AK1157" s="73"/>
    </row>
    <row r="1158">
      <c r="A1158" s="28">
        <v>1157.0</v>
      </c>
      <c r="B1158" s="29"/>
      <c r="C1158" s="29"/>
      <c r="D1158" s="40">
        <v>1.0</v>
      </c>
      <c r="E1158" s="31">
        <v>22.0</v>
      </c>
      <c r="F1158" s="42">
        <v>47.0</v>
      </c>
      <c r="G1158" s="29" t="str">
        <f t="shared" si="1"/>
        <v>22047</v>
      </c>
      <c r="H1158" s="37" t="s">
        <v>1158</v>
      </c>
      <c r="I1158" s="37" t="s">
        <v>55</v>
      </c>
      <c r="J1158" s="37" t="s">
        <v>1139</v>
      </c>
      <c r="K1158" s="37" t="str">
        <f t="shared" si="19"/>
        <v>Iberville, LA</v>
      </c>
      <c r="L1158" s="37">
        <v>48.0</v>
      </c>
      <c r="M1158" s="37">
        <v>1.85</v>
      </c>
      <c r="N1158" s="37" t="s">
        <v>63</v>
      </c>
      <c r="O1158" s="37">
        <v>22.0</v>
      </c>
      <c r="P1158" s="37" t="s">
        <v>63</v>
      </c>
      <c r="Q1158" s="37">
        <v>13.0</v>
      </c>
      <c r="R1158" s="37">
        <v>5.0</v>
      </c>
      <c r="S1158" s="37" t="s">
        <v>63</v>
      </c>
      <c r="T1158" s="69" t="s">
        <v>63</v>
      </c>
      <c r="U1158" s="37">
        <v>1.0</v>
      </c>
      <c r="V1158" s="37" t="s">
        <v>63</v>
      </c>
      <c r="W1158" s="37" t="s">
        <v>63</v>
      </c>
      <c r="X1158" s="37" t="s">
        <v>63</v>
      </c>
      <c r="Y1158" s="53">
        <v>46.0</v>
      </c>
      <c r="Z1158" s="69" t="s">
        <v>63</v>
      </c>
      <c r="AA1158" s="73"/>
      <c r="AB1158" s="73"/>
      <c r="AC1158" s="73"/>
      <c r="AD1158" s="73"/>
      <c r="AE1158" s="73"/>
      <c r="AF1158" s="73"/>
      <c r="AG1158" s="73"/>
      <c r="AH1158" s="73"/>
      <c r="AI1158" s="73"/>
      <c r="AJ1158" s="73"/>
      <c r="AK1158" s="73"/>
    </row>
    <row r="1159">
      <c r="A1159" s="28">
        <v>1158.0</v>
      </c>
      <c r="B1159" s="29"/>
      <c r="C1159" s="29"/>
      <c r="D1159" s="40">
        <v>1.0</v>
      </c>
      <c r="E1159" s="31">
        <v>22.0</v>
      </c>
      <c r="F1159" s="42">
        <v>49.0</v>
      </c>
      <c r="G1159" s="29" t="str">
        <f t="shared" si="1"/>
        <v>22049</v>
      </c>
      <c r="H1159" s="37" t="s">
        <v>142</v>
      </c>
      <c r="I1159" s="37" t="s">
        <v>55</v>
      </c>
      <c r="J1159" s="37" t="s">
        <v>1139</v>
      </c>
      <c r="K1159" s="37" t="str">
        <f t="shared" si="19"/>
        <v>Jackson, LA</v>
      </c>
      <c r="L1159" s="37">
        <v>7.0</v>
      </c>
      <c r="M1159" s="37">
        <v>1.0</v>
      </c>
      <c r="N1159" s="37" t="s">
        <v>63</v>
      </c>
      <c r="O1159" s="37">
        <v>3.0</v>
      </c>
      <c r="P1159" s="37" t="s">
        <v>63</v>
      </c>
      <c r="Q1159" s="37">
        <v>7.0</v>
      </c>
      <c r="R1159" s="37">
        <v>1.0</v>
      </c>
      <c r="S1159" s="37" t="s">
        <v>63</v>
      </c>
      <c r="T1159" s="69" t="s">
        <v>63</v>
      </c>
      <c r="U1159" s="37" t="s">
        <v>63</v>
      </c>
      <c r="V1159" s="37" t="s">
        <v>63</v>
      </c>
      <c r="W1159" s="37" t="s">
        <v>63</v>
      </c>
      <c r="X1159" s="37" t="s">
        <v>63</v>
      </c>
      <c r="Y1159" s="53">
        <v>37.0</v>
      </c>
      <c r="Z1159" s="69" t="s">
        <v>63</v>
      </c>
      <c r="AA1159" s="73"/>
      <c r="AB1159" s="73"/>
      <c r="AC1159" s="73"/>
      <c r="AD1159" s="73"/>
      <c r="AE1159" s="73"/>
      <c r="AF1159" s="73"/>
      <c r="AG1159" s="73"/>
      <c r="AH1159" s="73"/>
      <c r="AI1159" s="73"/>
      <c r="AJ1159" s="73"/>
      <c r="AK1159" s="73"/>
    </row>
    <row r="1160">
      <c r="A1160" s="28">
        <v>1159.0</v>
      </c>
      <c r="B1160" s="29"/>
      <c r="C1160" s="29"/>
      <c r="D1160" s="40">
        <v>1.0</v>
      </c>
      <c r="E1160" s="31">
        <v>22.0</v>
      </c>
      <c r="F1160" s="42">
        <v>51.0</v>
      </c>
      <c r="G1160" s="29" t="str">
        <f t="shared" si="1"/>
        <v>22051</v>
      </c>
      <c r="H1160" s="37" t="s">
        <v>143</v>
      </c>
      <c r="I1160" s="37" t="s">
        <v>55</v>
      </c>
      <c r="J1160" s="37" t="s">
        <v>1139</v>
      </c>
      <c r="K1160" s="37" t="str">
        <f t="shared" si="19"/>
        <v>Jefferson, LA</v>
      </c>
      <c r="L1160" s="37">
        <v>158.0</v>
      </c>
      <c r="M1160" s="37">
        <v>1.61</v>
      </c>
      <c r="N1160" s="37" t="s">
        <v>63</v>
      </c>
      <c r="O1160" s="37">
        <v>61.0</v>
      </c>
      <c r="P1160" s="37" t="s">
        <v>63</v>
      </c>
      <c r="Q1160" s="37">
        <v>44.0</v>
      </c>
      <c r="R1160" s="37">
        <v>17.0</v>
      </c>
      <c r="S1160" s="37" t="s">
        <v>63</v>
      </c>
      <c r="T1160" s="69" t="s">
        <v>63</v>
      </c>
      <c r="U1160" s="37">
        <v>93.0</v>
      </c>
      <c r="V1160" s="37" t="s">
        <v>63</v>
      </c>
      <c r="W1160" s="37" t="s">
        <v>63</v>
      </c>
      <c r="X1160" s="37" t="s">
        <v>63</v>
      </c>
      <c r="Y1160" s="53">
        <v>256.0</v>
      </c>
      <c r="Z1160" s="69" t="s">
        <v>63</v>
      </c>
      <c r="AA1160" s="73"/>
      <c r="AB1160" s="73"/>
      <c r="AC1160" s="73"/>
      <c r="AD1160" s="73"/>
      <c r="AE1160" s="73"/>
      <c r="AF1160" s="73"/>
      <c r="AG1160" s="73"/>
      <c r="AH1160" s="73"/>
      <c r="AI1160" s="73"/>
      <c r="AJ1160" s="73"/>
      <c r="AK1160" s="73"/>
    </row>
    <row r="1161">
      <c r="A1161" s="28">
        <v>1160.0</v>
      </c>
      <c r="B1161" s="29"/>
      <c r="C1161" s="29"/>
      <c r="D1161" s="40">
        <v>1.0</v>
      </c>
      <c r="E1161" s="31">
        <v>22.0</v>
      </c>
      <c r="F1161" s="42">
        <v>53.0</v>
      </c>
      <c r="G1161" s="29" t="str">
        <f t="shared" si="1"/>
        <v>22053</v>
      </c>
      <c r="H1161" s="37" t="s">
        <v>1159</v>
      </c>
      <c r="I1161" s="37" t="s">
        <v>55</v>
      </c>
      <c r="J1161" s="37" t="s">
        <v>1139</v>
      </c>
      <c r="K1161" s="136" t="str">
        <f t="shared" si="19"/>
        <v>Jefferson Davis, LA</v>
      </c>
      <c r="L1161" s="37">
        <v>29.0</v>
      </c>
      <c r="M1161" s="37">
        <v>1.42</v>
      </c>
      <c r="N1161" s="37" t="s">
        <v>63</v>
      </c>
      <c r="O1161" s="37">
        <v>6.0</v>
      </c>
      <c r="P1161" s="37" t="s">
        <v>63</v>
      </c>
      <c r="Q1161" s="37">
        <v>12.0</v>
      </c>
      <c r="R1161" s="37" t="s">
        <v>63</v>
      </c>
      <c r="S1161" s="37" t="s">
        <v>63</v>
      </c>
      <c r="T1161" s="69" t="s">
        <v>63</v>
      </c>
      <c r="U1161" s="37">
        <v>9.0</v>
      </c>
      <c r="V1161" s="37" t="s">
        <v>63</v>
      </c>
      <c r="W1161" s="37" t="s">
        <v>63</v>
      </c>
      <c r="X1161" s="37" t="s">
        <v>63</v>
      </c>
      <c r="Y1161" s="53">
        <v>51.0</v>
      </c>
      <c r="Z1161" s="69" t="s">
        <v>63</v>
      </c>
      <c r="AA1161" s="73"/>
      <c r="AB1161" s="73"/>
      <c r="AC1161" s="73"/>
      <c r="AD1161" s="73"/>
      <c r="AE1161" s="73"/>
      <c r="AF1161" s="73"/>
      <c r="AG1161" s="73"/>
      <c r="AH1161" s="73"/>
      <c r="AI1161" s="73"/>
      <c r="AJ1161" s="73"/>
      <c r="AK1161" s="73"/>
    </row>
    <row r="1162">
      <c r="A1162" s="28">
        <v>1161.0</v>
      </c>
      <c r="B1162" s="29"/>
      <c r="C1162" s="29"/>
      <c r="D1162" s="40">
        <v>1.0</v>
      </c>
      <c r="E1162" s="31">
        <v>22.0</v>
      </c>
      <c r="F1162" s="42">
        <v>55.0</v>
      </c>
      <c r="G1162" s="29" t="str">
        <f t="shared" si="1"/>
        <v>22055</v>
      </c>
      <c r="H1162" s="37" t="s">
        <v>289</v>
      </c>
      <c r="I1162" s="37" t="s">
        <v>55</v>
      </c>
      <c r="J1162" s="37" t="s">
        <v>1139</v>
      </c>
      <c r="K1162" s="37" t="str">
        <f t="shared" si="19"/>
        <v>Lafayette, LA</v>
      </c>
      <c r="L1162" s="37">
        <v>276.0</v>
      </c>
      <c r="M1162" s="37">
        <v>1.7</v>
      </c>
      <c r="N1162" s="37" t="s">
        <v>63</v>
      </c>
      <c r="O1162" s="37">
        <v>62.0</v>
      </c>
      <c r="P1162" s="37" t="s">
        <v>63</v>
      </c>
      <c r="Q1162" s="37">
        <v>98.0</v>
      </c>
      <c r="R1162" s="37">
        <v>19.0</v>
      </c>
      <c r="S1162" s="37" t="s">
        <v>63</v>
      </c>
      <c r="T1162" s="69" t="s">
        <v>63</v>
      </c>
      <c r="U1162" s="37">
        <v>56.0</v>
      </c>
      <c r="V1162" s="37" t="s">
        <v>63</v>
      </c>
      <c r="W1162" s="37" t="s">
        <v>63</v>
      </c>
      <c r="X1162" s="37" t="s">
        <v>63</v>
      </c>
      <c r="Y1162" s="53">
        <v>118.0</v>
      </c>
      <c r="Z1162" s="69" t="s">
        <v>63</v>
      </c>
      <c r="AA1162" s="73"/>
      <c r="AB1162" s="73"/>
      <c r="AC1162" s="73"/>
      <c r="AD1162" s="73"/>
      <c r="AE1162" s="73"/>
      <c r="AF1162" s="73"/>
      <c r="AG1162" s="73"/>
      <c r="AH1162" s="73"/>
      <c r="AI1162" s="73"/>
      <c r="AJ1162" s="73"/>
      <c r="AK1162" s="73"/>
    </row>
    <row r="1163">
      <c r="A1163" s="28">
        <v>1162.0</v>
      </c>
      <c r="B1163" s="29"/>
      <c r="C1163" s="29"/>
      <c r="D1163" s="40">
        <v>1.0</v>
      </c>
      <c r="E1163" s="31">
        <v>22.0</v>
      </c>
      <c r="F1163" s="42">
        <v>57.0</v>
      </c>
      <c r="G1163" s="29" t="str">
        <f t="shared" si="1"/>
        <v>22057</v>
      </c>
      <c r="H1163" s="37" t="s">
        <v>1160</v>
      </c>
      <c r="I1163" s="37" t="s">
        <v>55</v>
      </c>
      <c r="J1163" s="37" t="s">
        <v>1139</v>
      </c>
      <c r="K1163" s="37" t="str">
        <f t="shared" si="19"/>
        <v>Lafourche, LA</v>
      </c>
      <c r="L1163" s="37">
        <v>96.0</v>
      </c>
      <c r="M1163" s="37">
        <v>1.43</v>
      </c>
      <c r="N1163" s="37" t="s">
        <v>63</v>
      </c>
      <c r="O1163" s="37">
        <v>36.0</v>
      </c>
      <c r="P1163" s="37" t="s">
        <v>63</v>
      </c>
      <c r="Q1163" s="37">
        <v>28.0</v>
      </c>
      <c r="R1163" s="37">
        <v>10.0</v>
      </c>
      <c r="S1163" s="37" t="s">
        <v>63</v>
      </c>
      <c r="T1163" s="69" t="s">
        <v>63</v>
      </c>
      <c r="U1163" s="37">
        <v>40.0</v>
      </c>
      <c r="V1163" s="37" t="s">
        <v>63</v>
      </c>
      <c r="W1163" s="37" t="s">
        <v>63</v>
      </c>
      <c r="X1163" s="37" t="s">
        <v>63</v>
      </c>
      <c r="Y1163" s="53">
        <v>59.0</v>
      </c>
      <c r="Z1163" s="69" t="s">
        <v>63</v>
      </c>
      <c r="AA1163" s="73"/>
      <c r="AB1163" s="73"/>
      <c r="AC1163" s="73"/>
      <c r="AD1163" s="73"/>
      <c r="AE1163" s="73"/>
      <c r="AF1163" s="73"/>
      <c r="AG1163" s="73"/>
      <c r="AH1163" s="73"/>
      <c r="AI1163" s="73"/>
      <c r="AJ1163" s="73"/>
      <c r="AK1163" s="73"/>
    </row>
    <row r="1164">
      <c r="A1164" s="28">
        <v>1163.0</v>
      </c>
      <c r="B1164" s="29"/>
      <c r="C1164" s="29"/>
      <c r="D1164" s="40">
        <v>1.0</v>
      </c>
      <c r="E1164" s="31">
        <v>22.0</v>
      </c>
      <c r="F1164" s="42">
        <v>59.0</v>
      </c>
      <c r="G1164" s="29" t="str">
        <f t="shared" si="1"/>
        <v>22059</v>
      </c>
      <c r="H1164" s="37" t="s">
        <v>729</v>
      </c>
      <c r="I1164" s="37" t="s">
        <v>55</v>
      </c>
      <c r="J1164" s="37" t="s">
        <v>1139</v>
      </c>
      <c r="K1164" s="37" t="str">
        <f t="shared" si="19"/>
        <v>La Salle, LA</v>
      </c>
      <c r="L1164" s="37">
        <v>9.0</v>
      </c>
      <c r="M1164" s="37">
        <v>2.25</v>
      </c>
      <c r="N1164" s="37" t="s">
        <v>63</v>
      </c>
      <c r="O1164" s="37">
        <v>3.0</v>
      </c>
      <c r="P1164" s="37" t="s">
        <v>63</v>
      </c>
      <c r="Q1164" s="37">
        <v>4.0</v>
      </c>
      <c r="R1164" s="37" t="s">
        <v>63</v>
      </c>
      <c r="S1164" s="37" t="s">
        <v>63</v>
      </c>
      <c r="T1164" s="69" t="s">
        <v>63</v>
      </c>
      <c r="U1164" s="37" t="s">
        <v>63</v>
      </c>
      <c r="V1164" s="37" t="s">
        <v>63</v>
      </c>
      <c r="W1164" s="37" t="s">
        <v>63</v>
      </c>
      <c r="X1164" s="37" t="s">
        <v>63</v>
      </c>
      <c r="Y1164" s="53">
        <v>33.0</v>
      </c>
      <c r="Z1164" s="69" t="s">
        <v>63</v>
      </c>
      <c r="AA1164" s="73"/>
      <c r="AB1164" s="73"/>
      <c r="AC1164" s="73"/>
      <c r="AD1164" s="73"/>
      <c r="AE1164" s="73"/>
      <c r="AF1164" s="73"/>
      <c r="AG1164" s="73"/>
      <c r="AH1164" s="73"/>
      <c r="AI1164" s="73"/>
      <c r="AJ1164" s="73"/>
      <c r="AK1164" s="73"/>
    </row>
    <row r="1165">
      <c r="A1165" s="28">
        <v>1164.0</v>
      </c>
      <c r="B1165" s="29"/>
      <c r="C1165" s="29"/>
      <c r="D1165" s="40">
        <v>1.0</v>
      </c>
      <c r="E1165" s="31">
        <v>22.0</v>
      </c>
      <c r="F1165" s="42">
        <v>61.0</v>
      </c>
      <c r="G1165" s="29" t="str">
        <f t="shared" si="1"/>
        <v>22061</v>
      </c>
      <c r="H1165" s="37" t="s">
        <v>290</v>
      </c>
      <c r="I1165" s="37" t="s">
        <v>55</v>
      </c>
      <c r="J1165" s="37" t="s">
        <v>1139</v>
      </c>
      <c r="K1165" s="37" t="str">
        <f t="shared" si="19"/>
        <v>Lincoln, LA</v>
      </c>
      <c r="L1165" s="37">
        <v>16.0</v>
      </c>
      <c r="M1165" s="37">
        <v>1.68</v>
      </c>
      <c r="N1165" s="37" t="s">
        <v>63</v>
      </c>
      <c r="O1165" s="37">
        <v>8.0</v>
      </c>
      <c r="P1165" s="37" t="s">
        <v>63</v>
      </c>
      <c r="Q1165" s="37">
        <v>25.0</v>
      </c>
      <c r="R1165" s="37">
        <v>9.0</v>
      </c>
      <c r="S1165" s="37" t="s">
        <v>63</v>
      </c>
      <c r="T1165" s="69" t="s">
        <v>63</v>
      </c>
      <c r="U1165" s="37">
        <v>19.0</v>
      </c>
      <c r="V1165" s="37" t="s">
        <v>63</v>
      </c>
      <c r="W1165" s="37" t="s">
        <v>63</v>
      </c>
      <c r="X1165" s="37" t="s">
        <v>63</v>
      </c>
      <c r="Y1165" s="53">
        <v>62.0</v>
      </c>
      <c r="Z1165" s="69" t="s">
        <v>63</v>
      </c>
      <c r="AA1165" s="73"/>
      <c r="AB1165" s="73"/>
      <c r="AC1165" s="73"/>
      <c r="AD1165" s="73"/>
      <c r="AE1165" s="73"/>
      <c r="AF1165" s="73"/>
      <c r="AG1165" s="73"/>
      <c r="AH1165" s="73"/>
      <c r="AI1165" s="73"/>
      <c r="AJ1165" s="73"/>
      <c r="AK1165" s="73"/>
    </row>
    <row r="1166">
      <c r="A1166" s="28">
        <v>1165.0</v>
      </c>
      <c r="B1166" s="29"/>
      <c r="C1166" s="29"/>
      <c r="D1166" s="40">
        <v>1.0</v>
      </c>
      <c r="E1166" s="31">
        <v>22.0</v>
      </c>
      <c r="F1166" s="42">
        <v>63.0</v>
      </c>
      <c r="G1166" s="29" t="str">
        <f t="shared" si="1"/>
        <v>22063</v>
      </c>
      <c r="H1166" s="37" t="s">
        <v>730</v>
      </c>
      <c r="I1166" s="37" t="s">
        <v>55</v>
      </c>
      <c r="J1166" s="37" t="s">
        <v>1139</v>
      </c>
      <c r="K1166" s="37" t="str">
        <f t="shared" si="19"/>
        <v>Livingston, LA</v>
      </c>
      <c r="L1166" s="37">
        <v>180.0</v>
      </c>
      <c r="M1166" s="37">
        <v>1.43</v>
      </c>
      <c r="N1166" s="37" t="s">
        <v>63</v>
      </c>
      <c r="O1166" s="37">
        <v>79.0</v>
      </c>
      <c r="P1166" s="37" t="s">
        <v>63</v>
      </c>
      <c r="Q1166" s="37">
        <v>65.0</v>
      </c>
      <c r="R1166" s="37">
        <v>12.0</v>
      </c>
      <c r="S1166" s="37" t="s">
        <v>63</v>
      </c>
      <c r="T1166" s="69" t="s">
        <v>63</v>
      </c>
      <c r="U1166" s="37">
        <v>39.0</v>
      </c>
      <c r="V1166" s="37" t="s">
        <v>63</v>
      </c>
      <c r="W1166" s="37" t="s">
        <v>63</v>
      </c>
      <c r="X1166" s="37" t="s">
        <v>63</v>
      </c>
      <c r="Y1166" s="53">
        <v>97.0</v>
      </c>
      <c r="Z1166" s="69" t="s">
        <v>63</v>
      </c>
      <c r="AA1166" s="73"/>
      <c r="AB1166" s="73"/>
      <c r="AC1166" s="73"/>
      <c r="AD1166" s="73"/>
      <c r="AE1166" s="73"/>
      <c r="AF1166" s="73"/>
      <c r="AG1166" s="73"/>
      <c r="AH1166" s="73"/>
      <c r="AI1166" s="73"/>
      <c r="AJ1166" s="73"/>
      <c r="AK1166" s="73"/>
    </row>
    <row r="1167">
      <c r="A1167" s="28">
        <v>1166.0</v>
      </c>
      <c r="B1167" s="29"/>
      <c r="C1167" s="29"/>
      <c r="D1167" s="40">
        <v>1.0</v>
      </c>
      <c r="E1167" s="31">
        <v>22.0</v>
      </c>
      <c r="F1167" s="42">
        <v>65.0</v>
      </c>
      <c r="G1167" s="29" t="str">
        <f t="shared" si="1"/>
        <v>22065</v>
      </c>
      <c r="H1167" s="37" t="s">
        <v>151</v>
      </c>
      <c r="I1167" s="37" t="s">
        <v>55</v>
      </c>
      <c r="J1167" s="37" t="s">
        <v>1139</v>
      </c>
      <c r="K1167" s="37" t="str">
        <f t="shared" si="19"/>
        <v>Madison, LA</v>
      </c>
      <c r="L1167" s="37">
        <v>12.0</v>
      </c>
      <c r="M1167" s="37" t="s">
        <v>391</v>
      </c>
      <c r="N1167" s="37" t="s">
        <v>63</v>
      </c>
      <c r="O1167" s="37">
        <v>4.0</v>
      </c>
      <c r="P1167" s="37" t="s">
        <v>63</v>
      </c>
      <c r="Q1167" s="37" t="s">
        <v>63</v>
      </c>
      <c r="R1167" s="37" t="s">
        <v>63</v>
      </c>
      <c r="S1167" s="37" t="s">
        <v>63</v>
      </c>
      <c r="T1167" s="69" t="s">
        <v>63</v>
      </c>
      <c r="U1167" s="37">
        <v>16.0</v>
      </c>
      <c r="V1167" s="37" t="s">
        <v>63</v>
      </c>
      <c r="W1167" s="37" t="s">
        <v>63</v>
      </c>
      <c r="X1167" s="37" t="s">
        <v>63</v>
      </c>
      <c r="Y1167" s="53">
        <v>16.0</v>
      </c>
      <c r="Z1167" s="69" t="s">
        <v>63</v>
      </c>
      <c r="AA1167" s="73"/>
      <c r="AB1167" s="73"/>
      <c r="AC1167" s="73"/>
      <c r="AD1167" s="73"/>
      <c r="AE1167" s="73"/>
      <c r="AF1167" s="73"/>
      <c r="AG1167" s="73"/>
      <c r="AH1167" s="73"/>
      <c r="AI1167" s="73"/>
      <c r="AJ1167" s="73"/>
      <c r="AK1167" s="73"/>
    </row>
    <row r="1168">
      <c r="A1168" s="28">
        <v>1167.0</v>
      </c>
      <c r="B1168" s="29"/>
      <c r="C1168" s="29"/>
      <c r="D1168" s="40">
        <v>1.0</v>
      </c>
      <c r="E1168" s="31">
        <v>22.0</v>
      </c>
      <c r="F1168" s="42">
        <v>67.0</v>
      </c>
      <c r="G1168" s="29" t="str">
        <f t="shared" si="1"/>
        <v>22067</v>
      </c>
      <c r="H1168" s="37" t="s">
        <v>1161</v>
      </c>
      <c r="I1168" s="37" t="s">
        <v>55</v>
      </c>
      <c r="J1168" s="37" t="s">
        <v>1139</v>
      </c>
      <c r="K1168" s="37" t="str">
        <f t="shared" si="19"/>
        <v>Morehouse, LA</v>
      </c>
      <c r="L1168" s="37">
        <v>32.0</v>
      </c>
      <c r="M1168" s="37">
        <v>1.4</v>
      </c>
      <c r="N1168" s="37" t="s">
        <v>63</v>
      </c>
      <c r="O1168" s="37">
        <v>9.0</v>
      </c>
      <c r="P1168" s="37" t="s">
        <v>63</v>
      </c>
      <c r="Q1168" s="37">
        <v>5.0</v>
      </c>
      <c r="R1168" s="37" t="s">
        <v>63</v>
      </c>
      <c r="S1168" s="37" t="s">
        <v>63</v>
      </c>
      <c r="T1168" s="69" t="s">
        <v>63</v>
      </c>
      <c r="U1168" s="37">
        <v>3.0</v>
      </c>
      <c r="V1168" s="37" t="s">
        <v>63</v>
      </c>
      <c r="W1168" s="37" t="s">
        <v>63</v>
      </c>
      <c r="X1168" s="37" t="s">
        <v>63</v>
      </c>
      <c r="Y1168" s="53">
        <v>74.0</v>
      </c>
      <c r="Z1168" s="69" t="s">
        <v>63</v>
      </c>
      <c r="AA1168" s="73"/>
      <c r="AB1168" s="73"/>
      <c r="AC1168" s="73"/>
      <c r="AD1168" s="73"/>
      <c r="AE1168" s="73"/>
      <c r="AF1168" s="73"/>
      <c r="AG1168" s="73"/>
      <c r="AH1168" s="73"/>
      <c r="AI1168" s="73"/>
      <c r="AJ1168" s="73"/>
      <c r="AK1168" s="73"/>
    </row>
    <row r="1169">
      <c r="A1169" s="28">
        <v>1168.0</v>
      </c>
      <c r="B1169" s="29"/>
      <c r="C1169" s="29"/>
      <c r="D1169" s="40">
        <v>1.0</v>
      </c>
      <c r="E1169" s="31">
        <v>22.0</v>
      </c>
      <c r="F1169" s="42">
        <v>69.0</v>
      </c>
      <c r="G1169" s="29" t="str">
        <f t="shared" si="1"/>
        <v>22069</v>
      </c>
      <c r="H1169" s="37" t="s">
        <v>1162</v>
      </c>
      <c r="I1169" s="37" t="s">
        <v>55</v>
      </c>
      <c r="J1169" s="37" t="s">
        <v>1139</v>
      </c>
      <c r="K1169" s="136" t="str">
        <f t="shared" si="19"/>
        <v>Natchitoches, LA</v>
      </c>
      <c r="L1169" s="37">
        <v>27.0</v>
      </c>
      <c r="M1169" s="37">
        <v>1.42</v>
      </c>
      <c r="N1169" s="37" t="s">
        <v>63</v>
      </c>
      <c r="O1169" s="37">
        <v>14.0</v>
      </c>
      <c r="P1169" s="37" t="s">
        <v>63</v>
      </c>
      <c r="Q1169" s="37">
        <v>12.0</v>
      </c>
      <c r="R1169" s="37">
        <v>3.0</v>
      </c>
      <c r="S1169" s="37" t="s">
        <v>63</v>
      </c>
      <c r="T1169" s="69" t="s">
        <v>63</v>
      </c>
      <c r="U1169" s="37">
        <v>6.0</v>
      </c>
      <c r="V1169" s="37" t="s">
        <v>63</v>
      </c>
      <c r="W1169" s="37" t="s">
        <v>63</v>
      </c>
      <c r="X1169" s="37" t="s">
        <v>63</v>
      </c>
      <c r="Y1169" s="53">
        <v>81.0</v>
      </c>
      <c r="Z1169" s="69" t="s">
        <v>63</v>
      </c>
      <c r="AA1169" s="73"/>
      <c r="AB1169" s="73"/>
      <c r="AC1169" s="73"/>
      <c r="AD1169" s="73"/>
      <c r="AE1169" s="73"/>
      <c r="AF1169" s="73"/>
      <c r="AG1169" s="73"/>
      <c r="AH1169" s="73"/>
      <c r="AI1169" s="73"/>
      <c r="AJ1169" s="73"/>
      <c r="AK1169" s="73"/>
    </row>
    <row r="1170">
      <c r="A1170" s="28">
        <v>1169.0</v>
      </c>
      <c r="B1170" s="29"/>
      <c r="C1170" s="29"/>
      <c r="D1170" s="40">
        <v>1.0</v>
      </c>
      <c r="E1170" s="31">
        <v>22.0</v>
      </c>
      <c r="F1170" s="42">
        <v>71.0</v>
      </c>
      <c r="G1170" s="29" t="str">
        <f t="shared" si="1"/>
        <v>22071</v>
      </c>
      <c r="H1170" s="37" t="s">
        <v>1163</v>
      </c>
      <c r="I1170" s="37" t="s">
        <v>55</v>
      </c>
      <c r="J1170" s="37" t="s">
        <v>1139</v>
      </c>
      <c r="K1170" s="37" t="str">
        <f t="shared" si="19"/>
        <v>Orleans, LA</v>
      </c>
      <c r="L1170" s="37">
        <v>91.0</v>
      </c>
      <c r="M1170" s="37">
        <v>1.58</v>
      </c>
      <c r="N1170" s="37" t="s">
        <v>63</v>
      </c>
      <c r="O1170" s="37">
        <v>39.0</v>
      </c>
      <c r="P1170" s="37" t="s">
        <v>63</v>
      </c>
      <c r="Q1170" s="37">
        <v>60.0</v>
      </c>
      <c r="R1170" s="37">
        <v>15.0</v>
      </c>
      <c r="S1170" s="37" t="s">
        <v>63</v>
      </c>
      <c r="T1170" s="69" t="s">
        <v>63</v>
      </c>
      <c r="U1170" s="37">
        <v>73.0</v>
      </c>
      <c r="V1170" s="37" t="s">
        <v>63</v>
      </c>
      <c r="W1170" s="37" t="s">
        <v>63</v>
      </c>
      <c r="X1170" s="37" t="s">
        <v>63</v>
      </c>
      <c r="Y1170" s="53">
        <v>344.0</v>
      </c>
      <c r="Z1170" s="69" t="s">
        <v>63</v>
      </c>
      <c r="AA1170" s="73"/>
      <c r="AB1170" s="73"/>
      <c r="AC1170" s="73"/>
      <c r="AD1170" s="73"/>
      <c r="AE1170" s="73"/>
      <c r="AF1170" s="73"/>
      <c r="AG1170" s="73"/>
      <c r="AH1170" s="73"/>
      <c r="AI1170" s="73"/>
      <c r="AJ1170" s="73"/>
      <c r="AK1170" s="73"/>
    </row>
    <row r="1171">
      <c r="A1171" s="28">
        <v>1170.0</v>
      </c>
      <c r="B1171" s="29"/>
      <c r="C1171" s="29"/>
      <c r="D1171" s="40">
        <v>1.0</v>
      </c>
      <c r="E1171" s="31">
        <v>22.0</v>
      </c>
      <c r="F1171" s="42">
        <v>73.0</v>
      </c>
      <c r="G1171" s="29" t="str">
        <f t="shared" si="1"/>
        <v>22073</v>
      </c>
      <c r="H1171" s="37" t="s">
        <v>298</v>
      </c>
      <c r="I1171" s="37" t="s">
        <v>55</v>
      </c>
      <c r="J1171" s="37" t="s">
        <v>1139</v>
      </c>
      <c r="K1171" s="37" t="str">
        <f t="shared" si="19"/>
        <v>Ouachita, LA</v>
      </c>
      <c r="L1171" s="37">
        <v>315.0</v>
      </c>
      <c r="M1171" s="37">
        <v>1.64</v>
      </c>
      <c r="N1171" s="37" t="s">
        <v>63</v>
      </c>
      <c r="O1171" s="37">
        <v>90.0</v>
      </c>
      <c r="P1171" s="37" t="s">
        <v>63</v>
      </c>
      <c r="Q1171" s="37">
        <v>87.0</v>
      </c>
      <c r="R1171" s="37">
        <v>26.0</v>
      </c>
      <c r="S1171" s="37" t="s">
        <v>63</v>
      </c>
      <c r="T1171" s="69" t="s">
        <v>63</v>
      </c>
      <c r="U1171" s="37">
        <v>14.0</v>
      </c>
      <c r="V1171" s="37" t="s">
        <v>63</v>
      </c>
      <c r="W1171" s="37" t="s">
        <v>63</v>
      </c>
      <c r="X1171" s="37" t="s">
        <v>63</v>
      </c>
      <c r="Y1171" s="53">
        <v>219.0</v>
      </c>
      <c r="Z1171" s="69" t="s">
        <v>63</v>
      </c>
      <c r="AA1171" s="73"/>
      <c r="AB1171" s="73"/>
      <c r="AC1171" s="73"/>
      <c r="AD1171" s="73"/>
      <c r="AE1171" s="73"/>
      <c r="AF1171" s="73"/>
      <c r="AG1171" s="73"/>
      <c r="AH1171" s="73"/>
      <c r="AI1171" s="73"/>
      <c r="AJ1171" s="73"/>
      <c r="AK1171" s="73"/>
    </row>
    <row r="1172">
      <c r="A1172" s="28">
        <v>1171.0</v>
      </c>
      <c r="B1172" s="29"/>
      <c r="C1172" s="29"/>
      <c r="D1172" s="40">
        <v>1.0</v>
      </c>
      <c r="E1172" s="31">
        <v>22.0</v>
      </c>
      <c r="F1172" s="42">
        <v>75.0</v>
      </c>
      <c r="G1172" s="29" t="str">
        <f t="shared" si="1"/>
        <v>22075</v>
      </c>
      <c r="H1172" s="37" t="s">
        <v>1164</v>
      </c>
      <c r="I1172" s="37" t="s">
        <v>55</v>
      </c>
      <c r="J1172" s="37" t="s">
        <v>1139</v>
      </c>
      <c r="K1172" s="136" t="str">
        <f t="shared" si="19"/>
        <v>Plaquemines, LA</v>
      </c>
      <c r="L1172" s="37">
        <v>4.0</v>
      </c>
      <c r="M1172" s="37">
        <v>1.33</v>
      </c>
      <c r="N1172" s="37" t="s">
        <v>63</v>
      </c>
      <c r="O1172" s="37">
        <v>0.0</v>
      </c>
      <c r="P1172" s="37" t="s">
        <v>63</v>
      </c>
      <c r="Q1172" s="37">
        <v>3.0</v>
      </c>
      <c r="R1172" s="37">
        <v>1.0</v>
      </c>
      <c r="S1172" s="37" t="s">
        <v>63</v>
      </c>
      <c r="T1172" s="69" t="s">
        <v>63</v>
      </c>
      <c r="U1172" s="37" t="s">
        <v>63</v>
      </c>
      <c r="V1172" s="37" t="s">
        <v>63</v>
      </c>
      <c r="W1172" s="37" t="s">
        <v>63</v>
      </c>
      <c r="X1172" s="37" t="s">
        <v>63</v>
      </c>
      <c r="Y1172" s="53">
        <v>16.0</v>
      </c>
      <c r="Z1172" s="69" t="s">
        <v>63</v>
      </c>
      <c r="AA1172" s="73"/>
      <c r="AB1172" s="73"/>
      <c r="AC1172" s="73"/>
      <c r="AD1172" s="73"/>
      <c r="AE1172" s="73"/>
      <c r="AF1172" s="73"/>
      <c r="AG1172" s="73"/>
      <c r="AH1172" s="73"/>
      <c r="AI1172" s="73"/>
      <c r="AJ1172" s="73"/>
      <c r="AK1172" s="73"/>
    </row>
    <row r="1173">
      <c r="A1173" s="28">
        <v>1172.0</v>
      </c>
      <c r="B1173" s="29"/>
      <c r="C1173" s="29"/>
      <c r="D1173" s="40">
        <v>1.0</v>
      </c>
      <c r="E1173" s="31">
        <v>22.0</v>
      </c>
      <c r="F1173" s="42">
        <v>77.0</v>
      </c>
      <c r="G1173" s="29" t="str">
        <f t="shared" si="1"/>
        <v>22077</v>
      </c>
      <c r="H1173" s="37" t="s">
        <v>1165</v>
      </c>
      <c r="I1173" s="37" t="s">
        <v>55</v>
      </c>
      <c r="J1173" s="37" t="s">
        <v>1139</v>
      </c>
      <c r="K1173" s="136" t="str">
        <f t="shared" si="19"/>
        <v>Pointe Coupee, LA</v>
      </c>
      <c r="L1173" s="37">
        <v>18.0</v>
      </c>
      <c r="M1173" s="37">
        <v>1.5</v>
      </c>
      <c r="N1173" s="37" t="s">
        <v>63</v>
      </c>
      <c r="O1173" s="37">
        <v>8.0</v>
      </c>
      <c r="P1173" s="37" t="s">
        <v>63</v>
      </c>
      <c r="Q1173" s="37">
        <v>2.0</v>
      </c>
      <c r="R1173" s="37">
        <v>1.0</v>
      </c>
      <c r="S1173" s="37" t="s">
        <v>63</v>
      </c>
      <c r="T1173" s="69" t="s">
        <v>63</v>
      </c>
      <c r="U1173" s="37" t="s">
        <v>63</v>
      </c>
      <c r="V1173" s="37" t="s">
        <v>63</v>
      </c>
      <c r="W1173" s="37" t="s">
        <v>63</v>
      </c>
      <c r="X1173" s="37" t="s">
        <v>63</v>
      </c>
      <c r="Y1173" s="53">
        <v>24.0</v>
      </c>
      <c r="Z1173" s="69" t="s">
        <v>63</v>
      </c>
      <c r="AA1173" s="73"/>
      <c r="AB1173" s="73"/>
      <c r="AC1173" s="73"/>
      <c r="AD1173" s="73"/>
      <c r="AE1173" s="73"/>
      <c r="AF1173" s="73"/>
      <c r="AG1173" s="73"/>
      <c r="AH1173" s="73"/>
      <c r="AI1173" s="73"/>
      <c r="AJ1173" s="73"/>
      <c r="AK1173" s="73"/>
    </row>
    <row r="1174">
      <c r="A1174" s="28">
        <v>1173.0</v>
      </c>
      <c r="B1174" s="29"/>
      <c r="C1174" s="29"/>
      <c r="D1174" s="40">
        <v>1.0</v>
      </c>
      <c r="E1174" s="31">
        <v>22.0</v>
      </c>
      <c r="F1174" s="42">
        <v>79.0</v>
      </c>
      <c r="G1174" s="29" t="str">
        <f t="shared" si="1"/>
        <v>22079</v>
      </c>
      <c r="H1174" s="37" t="s">
        <v>1166</v>
      </c>
      <c r="I1174" s="37" t="s">
        <v>55</v>
      </c>
      <c r="J1174" s="37" t="s">
        <v>1139</v>
      </c>
      <c r="K1174" s="37" t="str">
        <f t="shared" si="19"/>
        <v>Rapides, LA</v>
      </c>
      <c r="L1174" s="37">
        <v>309.0</v>
      </c>
      <c r="M1174" s="37">
        <v>2.08</v>
      </c>
      <c r="N1174" s="37" t="s">
        <v>63</v>
      </c>
      <c r="O1174" s="37">
        <v>139.0</v>
      </c>
      <c r="P1174" s="37" t="s">
        <v>63</v>
      </c>
      <c r="Q1174" s="37">
        <v>101.0</v>
      </c>
      <c r="R1174" s="37">
        <v>23.0</v>
      </c>
      <c r="S1174" s="37" t="s">
        <v>63</v>
      </c>
      <c r="T1174" s="69" t="s">
        <v>63</v>
      </c>
      <c r="U1174" s="37">
        <v>57.0</v>
      </c>
      <c r="V1174" s="37" t="s">
        <v>63</v>
      </c>
      <c r="W1174" s="37" t="s">
        <v>63</v>
      </c>
      <c r="X1174" s="37" t="s">
        <v>63</v>
      </c>
      <c r="Y1174" s="53">
        <v>228.0</v>
      </c>
      <c r="Z1174" s="69" t="s">
        <v>63</v>
      </c>
      <c r="AA1174" s="73"/>
      <c r="AB1174" s="73"/>
      <c r="AC1174" s="73"/>
      <c r="AD1174" s="73"/>
      <c r="AE1174" s="73"/>
      <c r="AF1174" s="73"/>
      <c r="AG1174" s="73"/>
      <c r="AH1174" s="73"/>
      <c r="AI1174" s="73"/>
      <c r="AJ1174" s="73"/>
      <c r="AK1174" s="73"/>
    </row>
    <row r="1175">
      <c r="A1175" s="28">
        <v>1174.0</v>
      </c>
      <c r="B1175" s="29"/>
      <c r="C1175" s="29"/>
      <c r="D1175" s="40">
        <v>1.0</v>
      </c>
      <c r="E1175" s="31">
        <v>22.0</v>
      </c>
      <c r="F1175" s="42">
        <v>81.0</v>
      </c>
      <c r="G1175" s="29" t="str">
        <f t="shared" si="1"/>
        <v>22081</v>
      </c>
      <c r="H1175" s="37" t="s">
        <v>1167</v>
      </c>
      <c r="I1175" s="37" t="s">
        <v>55</v>
      </c>
      <c r="J1175" s="37" t="s">
        <v>1139</v>
      </c>
      <c r="K1175" s="37" t="str">
        <f t="shared" si="19"/>
        <v>Red River, LA</v>
      </c>
      <c r="L1175" s="37">
        <v>10.0</v>
      </c>
      <c r="M1175" s="37">
        <v>1.5</v>
      </c>
      <c r="N1175" s="37" t="s">
        <v>63</v>
      </c>
      <c r="O1175" s="37">
        <v>7.0</v>
      </c>
      <c r="P1175" s="37" t="s">
        <v>63</v>
      </c>
      <c r="Q1175" s="37">
        <v>4.0</v>
      </c>
      <c r="R1175" s="37" t="s">
        <v>63</v>
      </c>
      <c r="S1175" s="37" t="s">
        <v>63</v>
      </c>
      <c r="T1175" s="69" t="s">
        <v>63</v>
      </c>
      <c r="U1175" s="37" t="s">
        <v>63</v>
      </c>
      <c r="V1175" s="37" t="s">
        <v>63</v>
      </c>
      <c r="W1175" s="37" t="s">
        <v>63</v>
      </c>
      <c r="X1175" s="37" t="s">
        <v>63</v>
      </c>
      <c r="Y1175" s="53">
        <v>22.0</v>
      </c>
      <c r="Z1175" s="69" t="s">
        <v>63</v>
      </c>
      <c r="AA1175" s="73"/>
      <c r="AB1175" s="73"/>
      <c r="AC1175" s="73"/>
      <c r="AD1175" s="73"/>
      <c r="AE1175" s="73"/>
      <c r="AF1175" s="73"/>
      <c r="AG1175" s="73"/>
      <c r="AH1175" s="73"/>
      <c r="AI1175" s="73"/>
      <c r="AJ1175" s="73"/>
      <c r="AK1175" s="73"/>
    </row>
    <row r="1176">
      <c r="A1176" s="28">
        <v>1175.0</v>
      </c>
      <c r="B1176" s="29"/>
      <c r="C1176" s="29"/>
      <c r="D1176" s="40">
        <v>1.0</v>
      </c>
      <c r="E1176" s="31">
        <v>22.0</v>
      </c>
      <c r="F1176" s="42">
        <v>83.0</v>
      </c>
      <c r="G1176" s="29" t="str">
        <f t="shared" si="1"/>
        <v>22083</v>
      </c>
      <c r="H1176" s="37" t="s">
        <v>743</v>
      </c>
      <c r="I1176" s="37" t="s">
        <v>55</v>
      </c>
      <c r="J1176" s="37" t="s">
        <v>1139</v>
      </c>
      <c r="K1176" s="37" t="str">
        <f t="shared" si="19"/>
        <v>Richland, LA</v>
      </c>
      <c r="L1176" s="37">
        <v>11.0</v>
      </c>
      <c r="M1176" s="37">
        <v>1.69</v>
      </c>
      <c r="N1176" s="37" t="s">
        <v>63</v>
      </c>
      <c r="O1176" s="37">
        <v>2.0</v>
      </c>
      <c r="P1176" s="37" t="s">
        <v>63</v>
      </c>
      <c r="Q1176" s="37">
        <v>13.0</v>
      </c>
      <c r="R1176" s="37">
        <v>5.0</v>
      </c>
      <c r="S1176" s="37" t="s">
        <v>63</v>
      </c>
      <c r="T1176" s="69" t="s">
        <v>63</v>
      </c>
      <c r="U1176" s="37" t="s">
        <v>63</v>
      </c>
      <c r="V1176" s="37" t="s">
        <v>63</v>
      </c>
      <c r="W1176" s="37" t="s">
        <v>63</v>
      </c>
      <c r="X1176" s="37" t="s">
        <v>63</v>
      </c>
      <c r="Y1176" s="53">
        <v>49.0</v>
      </c>
      <c r="Z1176" s="69" t="s">
        <v>63</v>
      </c>
      <c r="AA1176" s="73"/>
      <c r="AB1176" s="73"/>
      <c r="AC1176" s="73"/>
      <c r="AD1176" s="73"/>
      <c r="AE1176" s="73"/>
      <c r="AF1176" s="73"/>
      <c r="AG1176" s="73"/>
      <c r="AH1176" s="73"/>
      <c r="AI1176" s="73"/>
      <c r="AJ1176" s="73"/>
      <c r="AK1176" s="73"/>
    </row>
    <row r="1177">
      <c r="A1177" s="28">
        <v>1176.0</v>
      </c>
      <c r="B1177" s="29"/>
      <c r="C1177" s="29"/>
      <c r="D1177" s="40">
        <v>1.0</v>
      </c>
      <c r="E1177" s="31">
        <v>22.0</v>
      </c>
      <c r="F1177" s="42">
        <v>85.0</v>
      </c>
      <c r="G1177" s="29" t="str">
        <f t="shared" si="1"/>
        <v>22085</v>
      </c>
      <c r="H1177" s="37" t="s">
        <v>1168</v>
      </c>
      <c r="I1177" s="37" t="s">
        <v>55</v>
      </c>
      <c r="J1177" s="37" t="s">
        <v>1139</v>
      </c>
      <c r="K1177" s="37" t="str">
        <f t="shared" si="19"/>
        <v>Sabine, LA</v>
      </c>
      <c r="L1177" s="37">
        <v>29.0</v>
      </c>
      <c r="M1177" s="37">
        <v>2.75</v>
      </c>
      <c r="N1177" s="37" t="s">
        <v>63</v>
      </c>
      <c r="O1177" s="37">
        <v>13.0</v>
      </c>
      <c r="P1177" s="37" t="s">
        <v>63</v>
      </c>
      <c r="Q1177" s="37">
        <v>4.0</v>
      </c>
      <c r="R1177" s="37">
        <v>1.0</v>
      </c>
      <c r="S1177" s="37" t="s">
        <v>63</v>
      </c>
      <c r="T1177" s="69" t="s">
        <v>63</v>
      </c>
      <c r="U1177" s="37">
        <v>5.0</v>
      </c>
      <c r="V1177" s="37" t="s">
        <v>63</v>
      </c>
      <c r="W1177" s="37" t="s">
        <v>63</v>
      </c>
      <c r="X1177" s="37" t="s">
        <v>63</v>
      </c>
      <c r="Y1177" s="53">
        <v>55.0</v>
      </c>
      <c r="Z1177" s="69" t="s">
        <v>63</v>
      </c>
      <c r="AA1177" s="73"/>
      <c r="AB1177" s="73"/>
      <c r="AC1177" s="73"/>
      <c r="AD1177" s="73"/>
      <c r="AE1177" s="73"/>
      <c r="AF1177" s="73"/>
      <c r="AG1177" s="73"/>
      <c r="AH1177" s="73"/>
      <c r="AI1177" s="73"/>
      <c r="AJ1177" s="73"/>
      <c r="AK1177" s="73"/>
    </row>
    <row r="1178">
      <c r="A1178" s="28">
        <v>1177.0</v>
      </c>
      <c r="B1178" s="29"/>
      <c r="C1178" s="29"/>
      <c r="D1178" s="40">
        <v>1.0</v>
      </c>
      <c r="E1178" s="31">
        <v>22.0</v>
      </c>
      <c r="F1178" s="42">
        <v>87.0</v>
      </c>
      <c r="G1178" s="29" t="str">
        <f t="shared" si="1"/>
        <v>22087</v>
      </c>
      <c r="H1178" s="37" t="s">
        <v>1169</v>
      </c>
      <c r="I1178" s="37" t="s">
        <v>55</v>
      </c>
      <c r="J1178" s="37" t="s">
        <v>1139</v>
      </c>
      <c r="K1178" s="37" t="str">
        <f t="shared" si="19"/>
        <v>St Bernard, LA</v>
      </c>
      <c r="L1178" s="37">
        <v>14.0</v>
      </c>
      <c r="M1178" s="37">
        <v>1.57</v>
      </c>
      <c r="N1178" s="37" t="s">
        <v>63</v>
      </c>
      <c r="O1178" s="37">
        <v>1.0</v>
      </c>
      <c r="P1178" s="37" t="s">
        <v>63</v>
      </c>
      <c r="Q1178" s="37">
        <v>7.0</v>
      </c>
      <c r="R1178" s="37" t="s">
        <v>63</v>
      </c>
      <c r="S1178" s="37" t="s">
        <v>63</v>
      </c>
      <c r="T1178" s="69" t="s">
        <v>63</v>
      </c>
      <c r="U1178" s="37" t="s">
        <v>63</v>
      </c>
      <c r="V1178" s="37" t="s">
        <v>63</v>
      </c>
      <c r="W1178" s="37" t="s">
        <v>63</v>
      </c>
      <c r="X1178" s="37" t="s">
        <v>63</v>
      </c>
      <c r="Y1178" s="53">
        <v>20.0</v>
      </c>
      <c r="Z1178" s="69" t="s">
        <v>63</v>
      </c>
      <c r="AA1178" s="73"/>
      <c r="AB1178" s="73"/>
      <c r="AC1178" s="73"/>
      <c r="AD1178" s="73"/>
      <c r="AE1178" s="73"/>
      <c r="AF1178" s="73"/>
      <c r="AG1178" s="73"/>
      <c r="AH1178" s="73"/>
      <c r="AI1178" s="73"/>
      <c r="AJ1178" s="73"/>
      <c r="AK1178" s="73"/>
    </row>
    <row r="1179">
      <c r="A1179" s="28">
        <v>1178.0</v>
      </c>
      <c r="B1179" s="29"/>
      <c r="C1179" s="29"/>
      <c r="D1179" s="40">
        <v>1.0</v>
      </c>
      <c r="E1179" s="31">
        <v>22.0</v>
      </c>
      <c r="F1179" s="42">
        <v>89.0</v>
      </c>
      <c r="G1179" s="29" t="str">
        <f t="shared" si="1"/>
        <v>22089</v>
      </c>
      <c r="H1179" s="37" t="s">
        <v>1170</v>
      </c>
      <c r="I1179" s="37" t="s">
        <v>55</v>
      </c>
      <c r="J1179" s="37" t="s">
        <v>1139</v>
      </c>
      <c r="K1179" s="37" t="str">
        <f t="shared" si="19"/>
        <v>St Charles, LA</v>
      </c>
      <c r="L1179" s="37">
        <v>19.0</v>
      </c>
      <c r="M1179" s="37">
        <v>1.79</v>
      </c>
      <c r="N1179" s="37" t="s">
        <v>63</v>
      </c>
      <c r="O1179" s="37">
        <v>1.0</v>
      </c>
      <c r="P1179" s="37" t="s">
        <v>63</v>
      </c>
      <c r="Q1179" s="37">
        <v>14.0</v>
      </c>
      <c r="R1179" s="37">
        <v>5.0</v>
      </c>
      <c r="S1179" s="37" t="s">
        <v>63</v>
      </c>
      <c r="T1179" s="69" t="s">
        <v>63</v>
      </c>
      <c r="U1179" s="37" t="s">
        <v>63</v>
      </c>
      <c r="V1179" s="37" t="s">
        <v>63</v>
      </c>
      <c r="W1179" s="37" t="s">
        <v>63</v>
      </c>
      <c r="X1179" s="37" t="s">
        <v>63</v>
      </c>
      <c r="Y1179" s="53">
        <v>49.0</v>
      </c>
      <c r="Z1179" s="69" t="s">
        <v>63</v>
      </c>
      <c r="AA1179" s="73"/>
      <c r="AB1179" s="73"/>
      <c r="AC1179" s="73"/>
      <c r="AD1179" s="73"/>
      <c r="AE1179" s="73"/>
      <c r="AF1179" s="73"/>
      <c r="AG1179" s="73"/>
      <c r="AH1179" s="73"/>
      <c r="AI1179" s="73"/>
      <c r="AJ1179" s="73"/>
      <c r="AK1179" s="73"/>
    </row>
    <row r="1180">
      <c r="A1180" s="28">
        <v>1179.0</v>
      </c>
      <c r="B1180" s="29"/>
      <c r="C1180" s="29"/>
      <c r="D1180" s="40">
        <v>1.0</v>
      </c>
      <c r="E1180" s="31">
        <v>22.0</v>
      </c>
      <c r="F1180" s="42">
        <v>91.0</v>
      </c>
      <c r="G1180" s="29" t="str">
        <f t="shared" si="1"/>
        <v>22091</v>
      </c>
      <c r="H1180" s="37" t="s">
        <v>1171</v>
      </c>
      <c r="I1180" s="37" t="s">
        <v>55</v>
      </c>
      <c r="J1180" s="37" t="s">
        <v>1139</v>
      </c>
      <c r="K1180" s="37" t="str">
        <f t="shared" si="19"/>
        <v>St Helena, LA</v>
      </c>
      <c r="L1180" s="37">
        <v>3.0</v>
      </c>
      <c r="M1180" s="37">
        <v>2.33</v>
      </c>
      <c r="N1180" s="37" t="s">
        <v>63</v>
      </c>
      <c r="O1180" s="37">
        <v>1.0</v>
      </c>
      <c r="P1180" s="37" t="s">
        <v>63</v>
      </c>
      <c r="Q1180" s="37">
        <v>6.0</v>
      </c>
      <c r="R1180" s="37">
        <v>1.0</v>
      </c>
      <c r="S1180" s="37" t="s">
        <v>63</v>
      </c>
      <c r="T1180" s="69" t="s">
        <v>63</v>
      </c>
      <c r="U1180" s="37" t="s">
        <v>63</v>
      </c>
      <c r="V1180" s="37" t="s">
        <v>63</v>
      </c>
      <c r="W1180" s="37" t="s">
        <v>63</v>
      </c>
      <c r="X1180" s="37" t="s">
        <v>63</v>
      </c>
      <c r="Y1180" s="53">
        <v>23.0</v>
      </c>
      <c r="Z1180" s="69" t="s">
        <v>63</v>
      </c>
      <c r="AA1180" s="73"/>
      <c r="AB1180" s="73"/>
      <c r="AC1180" s="73"/>
      <c r="AD1180" s="73"/>
      <c r="AE1180" s="73"/>
      <c r="AF1180" s="73"/>
      <c r="AG1180" s="73"/>
      <c r="AH1180" s="73"/>
      <c r="AI1180" s="73"/>
      <c r="AJ1180" s="73"/>
      <c r="AK1180" s="73"/>
    </row>
    <row r="1181">
      <c r="A1181" s="28">
        <v>1180.0</v>
      </c>
      <c r="B1181" s="29"/>
      <c r="C1181" s="29"/>
      <c r="D1181" s="40">
        <v>1.0</v>
      </c>
      <c r="E1181" s="31">
        <v>22.0</v>
      </c>
      <c r="F1181" s="42">
        <v>93.0</v>
      </c>
      <c r="G1181" s="29" t="str">
        <f t="shared" si="1"/>
        <v>22093</v>
      </c>
      <c r="H1181" s="37" t="s">
        <v>1172</v>
      </c>
      <c r="I1181" s="37" t="s">
        <v>55</v>
      </c>
      <c r="J1181" s="37" t="s">
        <v>1139</v>
      </c>
      <c r="K1181" s="37" t="str">
        <f t="shared" si="19"/>
        <v>St James, LA</v>
      </c>
      <c r="L1181" s="37">
        <v>3.0</v>
      </c>
      <c r="M1181" s="37">
        <v>1.33</v>
      </c>
      <c r="N1181" s="37" t="s">
        <v>63</v>
      </c>
      <c r="O1181" s="37">
        <v>1.0</v>
      </c>
      <c r="P1181" s="37" t="s">
        <v>63</v>
      </c>
      <c r="Q1181" s="37">
        <v>3.0</v>
      </c>
      <c r="R1181" s="37" t="s">
        <v>63</v>
      </c>
      <c r="S1181" s="37" t="s">
        <v>63</v>
      </c>
      <c r="T1181" s="69" t="s">
        <v>63</v>
      </c>
      <c r="U1181" s="37" t="s">
        <v>63</v>
      </c>
      <c r="V1181" s="37" t="s">
        <v>63</v>
      </c>
      <c r="W1181" s="37" t="s">
        <v>63</v>
      </c>
      <c r="X1181" s="37" t="s">
        <v>63</v>
      </c>
      <c r="Y1181" s="53">
        <v>24.0</v>
      </c>
      <c r="Z1181" s="69" t="s">
        <v>63</v>
      </c>
      <c r="AA1181" s="73"/>
      <c r="AB1181" s="73"/>
      <c r="AC1181" s="73"/>
      <c r="AD1181" s="73"/>
      <c r="AE1181" s="73"/>
      <c r="AF1181" s="73"/>
      <c r="AG1181" s="73"/>
      <c r="AH1181" s="73"/>
      <c r="AI1181" s="73"/>
      <c r="AJ1181" s="73"/>
      <c r="AK1181" s="73"/>
    </row>
    <row r="1182">
      <c r="A1182" s="28">
        <v>1181.0</v>
      </c>
      <c r="B1182" s="29"/>
      <c r="C1182" s="29"/>
      <c r="D1182" s="40">
        <v>1.0</v>
      </c>
      <c r="E1182" s="31">
        <v>22.0</v>
      </c>
      <c r="F1182" s="42">
        <v>95.0</v>
      </c>
      <c r="G1182" s="29" t="str">
        <f t="shared" si="1"/>
        <v>22095</v>
      </c>
      <c r="H1182" s="37" t="s">
        <v>1173</v>
      </c>
      <c r="I1182" s="37" t="s">
        <v>55</v>
      </c>
      <c r="J1182" s="37" t="s">
        <v>1139</v>
      </c>
      <c r="K1182" s="136" t="str">
        <f t="shared" si="19"/>
        <v>St John The Baptist, LA</v>
      </c>
      <c r="L1182" s="37">
        <v>16.0</v>
      </c>
      <c r="M1182" s="37">
        <v>1.27</v>
      </c>
      <c r="N1182" s="37" t="s">
        <v>63</v>
      </c>
      <c r="O1182" s="37">
        <v>8.0</v>
      </c>
      <c r="P1182" s="37" t="s">
        <v>63</v>
      </c>
      <c r="Q1182" s="37">
        <v>11.0</v>
      </c>
      <c r="R1182" s="37">
        <v>4.0</v>
      </c>
      <c r="S1182" s="37" t="s">
        <v>63</v>
      </c>
      <c r="T1182" s="69" t="s">
        <v>63</v>
      </c>
      <c r="U1182" s="37">
        <v>18.0</v>
      </c>
      <c r="V1182" s="37" t="s">
        <v>63</v>
      </c>
      <c r="W1182" s="37" t="s">
        <v>63</v>
      </c>
      <c r="X1182" s="37" t="s">
        <v>63</v>
      </c>
      <c r="Y1182" s="53">
        <v>45.0</v>
      </c>
      <c r="Z1182" s="69" t="s">
        <v>63</v>
      </c>
      <c r="AA1182" s="73"/>
      <c r="AB1182" s="73"/>
      <c r="AC1182" s="73"/>
      <c r="AD1182" s="73"/>
      <c r="AE1182" s="73"/>
      <c r="AF1182" s="73"/>
      <c r="AG1182" s="73"/>
      <c r="AH1182" s="73"/>
      <c r="AI1182" s="73"/>
      <c r="AJ1182" s="73"/>
      <c r="AK1182" s="73"/>
    </row>
    <row r="1183">
      <c r="A1183" s="28">
        <v>1182.0</v>
      </c>
      <c r="B1183" s="29"/>
      <c r="C1183" s="29"/>
      <c r="D1183" s="40">
        <v>1.0</v>
      </c>
      <c r="E1183" s="31">
        <v>22.0</v>
      </c>
      <c r="F1183" s="42">
        <v>97.0</v>
      </c>
      <c r="G1183" s="29" t="str">
        <f t="shared" si="1"/>
        <v>22097</v>
      </c>
      <c r="H1183" s="37" t="s">
        <v>1174</v>
      </c>
      <c r="I1183" s="37" t="s">
        <v>55</v>
      </c>
      <c r="J1183" s="37" t="s">
        <v>1139</v>
      </c>
      <c r="K1183" s="37" t="str">
        <f t="shared" si="19"/>
        <v>St Landry, LA</v>
      </c>
      <c r="L1183" s="53">
        <v>85.0</v>
      </c>
      <c r="M1183" s="37">
        <v>1.81</v>
      </c>
      <c r="N1183" s="37" t="s">
        <v>63</v>
      </c>
      <c r="O1183" s="37">
        <v>17.0</v>
      </c>
      <c r="P1183" s="37" t="s">
        <v>63</v>
      </c>
      <c r="Q1183" s="37">
        <v>57.0</v>
      </c>
      <c r="R1183" s="37">
        <v>13.0</v>
      </c>
      <c r="S1183" s="37" t="s">
        <v>63</v>
      </c>
      <c r="T1183" s="69" t="s">
        <v>63</v>
      </c>
      <c r="U1183" s="37">
        <v>13.0</v>
      </c>
      <c r="V1183" s="37" t="s">
        <v>63</v>
      </c>
      <c r="W1183" s="37" t="s">
        <v>63</v>
      </c>
      <c r="X1183" s="37" t="s">
        <v>63</v>
      </c>
      <c r="Y1183" s="53">
        <v>85.0</v>
      </c>
      <c r="Z1183" s="69" t="s">
        <v>63</v>
      </c>
      <c r="AA1183" s="73"/>
      <c r="AB1183" s="73"/>
      <c r="AC1183" s="73"/>
      <c r="AD1183" s="73"/>
      <c r="AE1183" s="73"/>
      <c r="AF1183" s="73"/>
      <c r="AG1183" s="73"/>
      <c r="AH1183" s="73"/>
      <c r="AI1183" s="73"/>
      <c r="AJ1183" s="73"/>
      <c r="AK1183" s="73"/>
    </row>
    <row r="1184">
      <c r="A1184" s="28">
        <v>1183.0</v>
      </c>
      <c r="B1184" s="29"/>
      <c r="C1184" s="29"/>
      <c r="D1184" s="40">
        <v>1.0</v>
      </c>
      <c r="E1184" s="31">
        <v>22.0</v>
      </c>
      <c r="F1184" s="42">
        <v>99.0</v>
      </c>
      <c r="G1184" s="29" t="str">
        <f t="shared" si="1"/>
        <v>22099</v>
      </c>
      <c r="H1184" s="37" t="s">
        <v>1175</v>
      </c>
      <c r="I1184" s="37" t="s">
        <v>55</v>
      </c>
      <c r="J1184" s="37" t="s">
        <v>1139</v>
      </c>
      <c r="K1184" s="37" t="str">
        <f t="shared" si="19"/>
        <v>St Martin, LA</v>
      </c>
      <c r="L1184" s="37">
        <v>16.0</v>
      </c>
      <c r="M1184" s="37">
        <v>1.39</v>
      </c>
      <c r="N1184" s="37" t="s">
        <v>63</v>
      </c>
      <c r="O1184" s="37">
        <v>3.0</v>
      </c>
      <c r="P1184" s="37" t="s">
        <v>63</v>
      </c>
      <c r="Q1184" s="37">
        <v>23.0</v>
      </c>
      <c r="R1184" s="37">
        <v>7.0</v>
      </c>
      <c r="S1184" s="37" t="s">
        <v>63</v>
      </c>
      <c r="T1184" s="69" t="s">
        <v>63</v>
      </c>
      <c r="U1184" s="37">
        <v>4.0</v>
      </c>
      <c r="V1184" s="37" t="s">
        <v>63</v>
      </c>
      <c r="W1184" s="37" t="s">
        <v>63</v>
      </c>
      <c r="X1184" s="37" t="s">
        <v>63</v>
      </c>
      <c r="Y1184" s="53">
        <v>20.0</v>
      </c>
      <c r="Z1184" s="69" t="s">
        <v>63</v>
      </c>
      <c r="AA1184" s="73"/>
      <c r="AB1184" s="73"/>
      <c r="AC1184" s="73"/>
      <c r="AD1184" s="73"/>
      <c r="AE1184" s="73"/>
      <c r="AF1184" s="73"/>
      <c r="AG1184" s="73"/>
      <c r="AH1184" s="73"/>
      <c r="AI1184" s="73"/>
      <c r="AJ1184" s="73"/>
      <c r="AK1184" s="73"/>
    </row>
    <row r="1185">
      <c r="A1185" s="28">
        <v>1184.0</v>
      </c>
      <c r="B1185" s="29"/>
      <c r="C1185" s="29"/>
      <c r="D1185" s="40">
        <v>1.0</v>
      </c>
      <c r="E1185" s="31">
        <v>22.0</v>
      </c>
      <c r="F1185" s="42">
        <v>101.0</v>
      </c>
      <c r="G1185" s="29" t="str">
        <f t="shared" si="1"/>
        <v>22101</v>
      </c>
      <c r="H1185" s="37" t="s">
        <v>1176</v>
      </c>
      <c r="I1185" s="37" t="s">
        <v>55</v>
      </c>
      <c r="J1185" s="37" t="s">
        <v>1139</v>
      </c>
      <c r="K1185" s="37" t="str">
        <f t="shared" si="19"/>
        <v>St Mary, LA</v>
      </c>
      <c r="L1185" s="37">
        <v>28.0</v>
      </c>
      <c r="M1185" s="37">
        <v>1.6</v>
      </c>
      <c r="N1185" s="37" t="s">
        <v>63</v>
      </c>
      <c r="O1185" s="37">
        <v>3.0</v>
      </c>
      <c r="P1185" s="37" t="s">
        <v>63</v>
      </c>
      <c r="Q1185" s="37">
        <v>20.0</v>
      </c>
      <c r="R1185" s="37">
        <v>5.0</v>
      </c>
      <c r="S1185" s="37" t="s">
        <v>63</v>
      </c>
      <c r="T1185" s="69" t="s">
        <v>63</v>
      </c>
      <c r="U1185" s="37">
        <v>7.0</v>
      </c>
      <c r="V1185" s="37" t="s">
        <v>63</v>
      </c>
      <c r="W1185" s="37" t="s">
        <v>63</v>
      </c>
      <c r="X1185" s="37" t="s">
        <v>63</v>
      </c>
      <c r="Y1185" s="53">
        <v>71.0</v>
      </c>
      <c r="Z1185" s="69" t="s">
        <v>63</v>
      </c>
      <c r="AA1185" s="73"/>
      <c r="AB1185" s="73"/>
      <c r="AC1185" s="73"/>
      <c r="AD1185" s="73"/>
      <c r="AE1185" s="73"/>
      <c r="AF1185" s="73"/>
      <c r="AG1185" s="73"/>
      <c r="AH1185" s="73"/>
      <c r="AI1185" s="73"/>
      <c r="AJ1185" s="73"/>
      <c r="AK1185" s="73"/>
    </row>
    <row r="1186">
      <c r="A1186" s="28">
        <v>1185.0</v>
      </c>
      <c r="B1186" s="29"/>
      <c r="C1186" s="29"/>
      <c r="D1186" s="40">
        <v>1.0</v>
      </c>
      <c r="E1186" s="31">
        <v>22.0</v>
      </c>
      <c r="F1186" s="42">
        <v>103.0</v>
      </c>
      <c r="G1186" s="29" t="str">
        <f t="shared" si="1"/>
        <v>22103</v>
      </c>
      <c r="H1186" s="37" t="s">
        <v>1177</v>
      </c>
      <c r="I1186" s="37" t="s">
        <v>55</v>
      </c>
      <c r="J1186" s="37" t="s">
        <v>1139</v>
      </c>
      <c r="K1186" s="37" t="str">
        <f t="shared" si="19"/>
        <v>St Tammany, LA</v>
      </c>
      <c r="L1186" s="37">
        <v>124.0</v>
      </c>
      <c r="M1186" s="37">
        <v>1.43</v>
      </c>
      <c r="N1186" s="37" t="s">
        <v>63</v>
      </c>
      <c r="O1186" s="37">
        <v>29.0</v>
      </c>
      <c r="P1186" s="37" t="s">
        <v>63</v>
      </c>
      <c r="Q1186" s="37">
        <v>82.0</v>
      </c>
      <c r="R1186" s="37">
        <v>19.0</v>
      </c>
      <c r="S1186" s="37" t="s">
        <v>63</v>
      </c>
      <c r="T1186" s="69" t="s">
        <v>63</v>
      </c>
      <c r="U1186" s="37">
        <v>93.0</v>
      </c>
      <c r="V1186" s="37" t="s">
        <v>63</v>
      </c>
      <c r="W1186" s="37" t="s">
        <v>63</v>
      </c>
      <c r="X1186" s="37" t="s">
        <v>63</v>
      </c>
      <c r="Y1186" s="53">
        <v>173.0</v>
      </c>
      <c r="Z1186" s="69" t="s">
        <v>63</v>
      </c>
      <c r="AA1186" s="73"/>
      <c r="AB1186" s="73"/>
      <c r="AC1186" s="73"/>
      <c r="AD1186" s="73"/>
      <c r="AE1186" s="73"/>
      <c r="AF1186" s="73"/>
      <c r="AG1186" s="73"/>
      <c r="AH1186" s="73"/>
      <c r="AI1186" s="73"/>
      <c r="AJ1186" s="73"/>
      <c r="AK1186" s="73"/>
    </row>
    <row r="1187">
      <c r="A1187" s="28">
        <v>1186.0</v>
      </c>
      <c r="B1187" s="29"/>
      <c r="C1187" s="29"/>
      <c r="D1187" s="40">
        <v>1.0</v>
      </c>
      <c r="E1187" s="31">
        <v>22.0</v>
      </c>
      <c r="F1187" s="42">
        <v>105.0</v>
      </c>
      <c r="G1187" s="29" t="str">
        <f t="shared" si="1"/>
        <v>22105</v>
      </c>
      <c r="H1187" s="37" t="s">
        <v>1178</v>
      </c>
      <c r="I1187" s="37" t="s">
        <v>55</v>
      </c>
      <c r="J1187" s="37" t="s">
        <v>1139</v>
      </c>
      <c r="K1187" s="37" t="str">
        <f t="shared" si="19"/>
        <v>Tangipahoa, LA</v>
      </c>
      <c r="L1187" s="37">
        <v>131.0</v>
      </c>
      <c r="M1187" s="37">
        <v>1.57</v>
      </c>
      <c r="N1187" s="37" t="s">
        <v>63</v>
      </c>
      <c r="O1187" s="37">
        <v>43.0</v>
      </c>
      <c r="P1187" s="37" t="s">
        <v>63</v>
      </c>
      <c r="Q1187" s="37">
        <v>60.0</v>
      </c>
      <c r="R1187" s="37">
        <v>14.0</v>
      </c>
      <c r="S1187" s="37" t="s">
        <v>63</v>
      </c>
      <c r="T1187" s="69" t="s">
        <v>63</v>
      </c>
      <c r="U1187" s="37">
        <v>68.0</v>
      </c>
      <c r="V1187" s="37" t="s">
        <v>63</v>
      </c>
      <c r="W1187" s="37" t="s">
        <v>63</v>
      </c>
      <c r="X1187" s="37" t="s">
        <v>63</v>
      </c>
      <c r="Y1187" s="53">
        <v>146.0</v>
      </c>
      <c r="Z1187" s="69" t="s">
        <v>63</v>
      </c>
      <c r="AA1187" s="73"/>
      <c r="AB1187" s="73"/>
      <c r="AC1187" s="73"/>
      <c r="AD1187" s="73"/>
      <c r="AE1187" s="73"/>
      <c r="AF1187" s="73"/>
      <c r="AG1187" s="73"/>
      <c r="AH1187" s="73"/>
      <c r="AI1187" s="73"/>
      <c r="AJ1187" s="73"/>
      <c r="AK1187" s="73"/>
    </row>
    <row r="1188">
      <c r="A1188" s="28">
        <v>1187.0</v>
      </c>
      <c r="B1188" s="29"/>
      <c r="C1188" s="29"/>
      <c r="D1188" s="40">
        <v>1.0</v>
      </c>
      <c r="E1188" s="31">
        <v>22.0</v>
      </c>
      <c r="F1188" s="42">
        <v>107.0</v>
      </c>
      <c r="G1188" s="29" t="str">
        <f t="shared" si="1"/>
        <v>22107</v>
      </c>
      <c r="H1188" s="37" t="s">
        <v>1179</v>
      </c>
      <c r="I1188" s="37" t="s">
        <v>55</v>
      </c>
      <c r="J1188" s="37" t="s">
        <v>1139</v>
      </c>
      <c r="K1188" s="37" t="str">
        <f t="shared" si="19"/>
        <v>Tensas, LA</v>
      </c>
      <c r="L1188" s="37">
        <v>6.0</v>
      </c>
      <c r="M1188" s="37">
        <v>2.0</v>
      </c>
      <c r="N1188" s="37" t="s">
        <v>63</v>
      </c>
      <c r="O1188" s="37">
        <v>4.0</v>
      </c>
      <c r="P1188" s="37" t="s">
        <v>63</v>
      </c>
      <c r="Q1188" s="37">
        <v>2.0</v>
      </c>
      <c r="R1188" s="37" t="s">
        <v>63</v>
      </c>
      <c r="S1188" s="37" t="s">
        <v>63</v>
      </c>
      <c r="T1188" s="69" t="s">
        <v>63</v>
      </c>
      <c r="U1188" s="37" t="s">
        <v>63</v>
      </c>
      <c r="V1188" s="37" t="s">
        <v>63</v>
      </c>
      <c r="W1188" s="37" t="s">
        <v>63</v>
      </c>
      <c r="X1188" s="37" t="s">
        <v>63</v>
      </c>
      <c r="Y1188" s="53">
        <v>10.0</v>
      </c>
      <c r="Z1188" s="69" t="s">
        <v>63</v>
      </c>
      <c r="AA1188" s="73"/>
      <c r="AB1188" s="73"/>
      <c r="AC1188" s="73"/>
      <c r="AD1188" s="73"/>
      <c r="AE1188" s="73"/>
      <c r="AF1188" s="73"/>
      <c r="AG1188" s="73"/>
      <c r="AH1188" s="73"/>
      <c r="AI1188" s="73"/>
      <c r="AJ1188" s="73"/>
      <c r="AK1188" s="73"/>
    </row>
    <row r="1189">
      <c r="A1189" s="28">
        <v>1188.0</v>
      </c>
      <c r="B1189" s="29"/>
      <c r="C1189" s="29"/>
      <c r="D1189" s="40">
        <v>1.0</v>
      </c>
      <c r="E1189" s="31">
        <v>22.0</v>
      </c>
      <c r="F1189" s="42">
        <v>109.0</v>
      </c>
      <c r="G1189" s="29" t="str">
        <f t="shared" si="1"/>
        <v>22109</v>
      </c>
      <c r="H1189" s="37" t="s">
        <v>1180</v>
      </c>
      <c r="I1189" s="37" t="s">
        <v>55</v>
      </c>
      <c r="J1189" s="37" t="s">
        <v>1139</v>
      </c>
      <c r="K1189" s="37" t="str">
        <f t="shared" si="19"/>
        <v>Terrebonne, LA</v>
      </c>
      <c r="L1189" s="37">
        <v>240.0</v>
      </c>
      <c r="M1189" s="37">
        <v>1.91</v>
      </c>
      <c r="N1189" s="37" t="s">
        <v>63</v>
      </c>
      <c r="O1189" s="37">
        <v>121.0</v>
      </c>
      <c r="P1189" s="37" t="s">
        <v>63</v>
      </c>
      <c r="Q1189" s="37">
        <v>44.0</v>
      </c>
      <c r="R1189" s="37">
        <v>18.0</v>
      </c>
      <c r="S1189" s="37" t="s">
        <v>63</v>
      </c>
      <c r="T1189" s="69" t="s">
        <v>63</v>
      </c>
      <c r="U1189" s="37">
        <v>24.0</v>
      </c>
      <c r="V1189" s="37" t="s">
        <v>63</v>
      </c>
      <c r="W1189" s="37" t="s">
        <v>63</v>
      </c>
      <c r="X1189" s="37" t="s">
        <v>63</v>
      </c>
      <c r="Y1189" s="53">
        <v>78.0</v>
      </c>
      <c r="Z1189" s="69" t="s">
        <v>63</v>
      </c>
      <c r="AA1189" s="73"/>
      <c r="AB1189" s="73"/>
      <c r="AC1189" s="73"/>
      <c r="AD1189" s="73"/>
      <c r="AE1189" s="73"/>
      <c r="AF1189" s="73"/>
      <c r="AG1189" s="73"/>
      <c r="AH1189" s="73"/>
      <c r="AI1189" s="73"/>
      <c r="AJ1189" s="73"/>
      <c r="AK1189" s="73"/>
    </row>
    <row r="1190">
      <c r="A1190" s="28">
        <v>1189.0</v>
      </c>
      <c r="B1190" s="29"/>
      <c r="C1190" s="29"/>
      <c r="D1190" s="40">
        <v>1.0</v>
      </c>
      <c r="E1190" s="31">
        <v>22.0</v>
      </c>
      <c r="F1190" s="42">
        <v>111.0</v>
      </c>
      <c r="G1190" s="29" t="str">
        <f t="shared" si="1"/>
        <v>22111</v>
      </c>
      <c r="H1190" s="37" t="s">
        <v>316</v>
      </c>
      <c r="I1190" s="37" t="s">
        <v>55</v>
      </c>
      <c r="J1190" s="37" t="s">
        <v>1139</v>
      </c>
      <c r="K1190" s="37" t="str">
        <f t="shared" si="19"/>
        <v>Union, LA</v>
      </c>
      <c r="L1190" s="37">
        <v>16.0</v>
      </c>
      <c r="M1190" s="37">
        <v>1.93</v>
      </c>
      <c r="N1190" s="37" t="s">
        <v>63</v>
      </c>
      <c r="O1190" s="37">
        <v>6.0</v>
      </c>
      <c r="P1190" s="37" t="s">
        <v>63</v>
      </c>
      <c r="Q1190" s="37">
        <v>14.0</v>
      </c>
      <c r="R1190" s="37" t="s">
        <v>63</v>
      </c>
      <c r="S1190" s="37" t="s">
        <v>63</v>
      </c>
      <c r="T1190" s="69" t="s">
        <v>63</v>
      </c>
      <c r="U1190" s="37" t="s">
        <v>63</v>
      </c>
      <c r="V1190" s="37" t="s">
        <v>63</v>
      </c>
      <c r="W1190" s="37" t="s">
        <v>63</v>
      </c>
      <c r="X1190" s="37" t="s">
        <v>63</v>
      </c>
      <c r="Y1190" s="53">
        <v>52.0</v>
      </c>
      <c r="Z1190" s="69" t="s">
        <v>63</v>
      </c>
      <c r="AA1190" s="73"/>
      <c r="AB1190" s="73"/>
      <c r="AC1190" s="73"/>
      <c r="AD1190" s="73"/>
      <c r="AE1190" s="73"/>
      <c r="AF1190" s="73"/>
      <c r="AG1190" s="73"/>
      <c r="AH1190" s="73"/>
      <c r="AI1190" s="73"/>
      <c r="AJ1190" s="73"/>
      <c r="AK1190" s="73"/>
    </row>
    <row r="1191">
      <c r="A1191" s="28">
        <v>1190.0</v>
      </c>
      <c r="B1191" s="29"/>
      <c r="C1191" s="29"/>
      <c r="D1191" s="40">
        <v>1.0</v>
      </c>
      <c r="E1191" s="31">
        <v>22.0</v>
      </c>
      <c r="F1191" s="42">
        <v>113.0</v>
      </c>
      <c r="G1191" s="29" t="str">
        <f t="shared" si="1"/>
        <v>22113</v>
      </c>
      <c r="H1191" s="37" t="s">
        <v>750</v>
      </c>
      <c r="I1191" s="37" t="s">
        <v>55</v>
      </c>
      <c r="J1191" s="37" t="s">
        <v>1139</v>
      </c>
      <c r="K1191" s="37" t="str">
        <f t="shared" si="19"/>
        <v>Vermilion, LA</v>
      </c>
      <c r="L1191" s="37">
        <v>24.0</v>
      </c>
      <c r="M1191" s="37">
        <v>2.04</v>
      </c>
      <c r="N1191" s="37" t="s">
        <v>63</v>
      </c>
      <c r="O1191" s="37">
        <v>6.0</v>
      </c>
      <c r="P1191" s="37" t="s">
        <v>63</v>
      </c>
      <c r="Q1191" s="37">
        <v>26.0</v>
      </c>
      <c r="R1191" s="37">
        <v>6.0</v>
      </c>
      <c r="S1191" s="37" t="s">
        <v>63</v>
      </c>
      <c r="T1191" s="69" t="s">
        <v>63</v>
      </c>
      <c r="U1191" s="37">
        <v>14.0</v>
      </c>
      <c r="V1191" s="37" t="s">
        <v>63</v>
      </c>
      <c r="W1191" s="37" t="s">
        <v>63</v>
      </c>
      <c r="X1191" s="37" t="s">
        <v>63</v>
      </c>
      <c r="Y1191" s="53">
        <v>34.0</v>
      </c>
      <c r="Z1191" s="69" t="s">
        <v>63</v>
      </c>
      <c r="AA1191" s="73"/>
      <c r="AB1191" s="73"/>
      <c r="AC1191" s="73"/>
      <c r="AD1191" s="73"/>
      <c r="AE1191" s="73"/>
      <c r="AF1191" s="73"/>
      <c r="AG1191" s="73"/>
      <c r="AH1191" s="73"/>
      <c r="AI1191" s="73"/>
      <c r="AJ1191" s="73"/>
      <c r="AK1191" s="73"/>
    </row>
    <row r="1192">
      <c r="A1192" s="28">
        <v>1191.0</v>
      </c>
      <c r="B1192" s="29"/>
      <c r="C1192" s="29"/>
      <c r="D1192" s="40">
        <v>1.0</v>
      </c>
      <c r="E1192" s="31">
        <v>22.0</v>
      </c>
      <c r="F1192" s="42">
        <v>115.0</v>
      </c>
      <c r="G1192" s="29" t="str">
        <f t="shared" si="1"/>
        <v>22115</v>
      </c>
      <c r="H1192" s="37" t="s">
        <v>1181</v>
      </c>
      <c r="I1192" s="37" t="s">
        <v>55</v>
      </c>
      <c r="J1192" s="37" t="s">
        <v>1139</v>
      </c>
      <c r="K1192" s="37" t="str">
        <f t="shared" si="19"/>
        <v>Vernon, LA</v>
      </c>
      <c r="L1192" s="37">
        <v>50.0</v>
      </c>
      <c r="M1192" s="37">
        <v>2.0</v>
      </c>
      <c r="N1192" s="37" t="s">
        <v>63</v>
      </c>
      <c r="O1192" s="37">
        <v>9.0</v>
      </c>
      <c r="P1192" s="37" t="s">
        <v>63</v>
      </c>
      <c r="Q1192" s="37">
        <v>31.0</v>
      </c>
      <c r="R1192" s="37">
        <v>2.0</v>
      </c>
      <c r="S1192" s="37" t="s">
        <v>63</v>
      </c>
      <c r="T1192" s="69" t="s">
        <v>63</v>
      </c>
      <c r="U1192" s="37">
        <v>11.0</v>
      </c>
      <c r="V1192" s="37" t="s">
        <v>63</v>
      </c>
      <c r="W1192" s="37" t="s">
        <v>63</v>
      </c>
      <c r="X1192" s="37" t="s">
        <v>63</v>
      </c>
      <c r="Y1192" s="53">
        <v>86.0</v>
      </c>
      <c r="Z1192" s="69" t="s">
        <v>63</v>
      </c>
      <c r="AA1192" s="73"/>
      <c r="AB1192" s="73"/>
      <c r="AC1192" s="73"/>
      <c r="AD1192" s="73"/>
      <c r="AE1192" s="73"/>
      <c r="AF1192" s="73"/>
      <c r="AG1192" s="73"/>
      <c r="AH1192" s="73"/>
      <c r="AI1192" s="73"/>
      <c r="AJ1192" s="73"/>
      <c r="AK1192" s="73"/>
    </row>
    <row r="1193">
      <c r="A1193" s="28">
        <v>1192.0</v>
      </c>
      <c r="B1193" s="29"/>
      <c r="C1193" s="29"/>
      <c r="D1193" s="40">
        <v>1.0</v>
      </c>
      <c r="E1193" s="31">
        <v>22.0</v>
      </c>
      <c r="F1193" s="42">
        <v>117.0</v>
      </c>
      <c r="G1193" s="29" t="str">
        <f t="shared" si="1"/>
        <v>22117</v>
      </c>
      <c r="H1193" s="37" t="s">
        <v>119</v>
      </c>
      <c r="I1193" s="37" t="s">
        <v>55</v>
      </c>
      <c r="J1193" s="37" t="s">
        <v>1139</v>
      </c>
      <c r="K1193" s="37" t="str">
        <f t="shared" si="19"/>
        <v>Washington, LA</v>
      </c>
      <c r="L1193" s="37">
        <v>103.0</v>
      </c>
      <c r="M1193" s="37">
        <v>1.77</v>
      </c>
      <c r="N1193" s="37" t="s">
        <v>63</v>
      </c>
      <c r="O1193" s="37">
        <v>35.0</v>
      </c>
      <c r="P1193" s="37" t="s">
        <v>63</v>
      </c>
      <c r="Q1193" s="37">
        <v>35.0</v>
      </c>
      <c r="R1193" s="37">
        <v>13.0</v>
      </c>
      <c r="S1193" s="37" t="s">
        <v>63</v>
      </c>
      <c r="T1193" s="69" t="s">
        <v>63</v>
      </c>
      <c r="U1193" s="37">
        <v>20.0</v>
      </c>
      <c r="V1193" s="37" t="s">
        <v>63</v>
      </c>
      <c r="W1193" s="37" t="s">
        <v>63</v>
      </c>
      <c r="X1193" s="37" t="s">
        <v>63</v>
      </c>
      <c r="Y1193" s="53">
        <v>85.0</v>
      </c>
      <c r="Z1193" s="69" t="s">
        <v>63</v>
      </c>
      <c r="AA1193" s="73"/>
      <c r="AB1193" s="73"/>
      <c r="AC1193" s="73"/>
      <c r="AD1193" s="73"/>
      <c r="AE1193" s="73"/>
      <c r="AF1193" s="73"/>
      <c r="AG1193" s="73"/>
      <c r="AH1193" s="73"/>
      <c r="AI1193" s="73"/>
      <c r="AJ1193" s="73"/>
      <c r="AK1193" s="73"/>
    </row>
    <row r="1194">
      <c r="A1194" s="28">
        <v>1193.0</v>
      </c>
      <c r="B1194" s="29"/>
      <c r="C1194" s="29"/>
      <c r="D1194" s="40">
        <v>1.0</v>
      </c>
      <c r="E1194" s="31">
        <v>22.0</v>
      </c>
      <c r="F1194" s="42">
        <v>119.0</v>
      </c>
      <c r="G1194" s="29" t="str">
        <f t="shared" si="1"/>
        <v>22119</v>
      </c>
      <c r="H1194" s="37" t="s">
        <v>648</v>
      </c>
      <c r="I1194" s="37" t="s">
        <v>55</v>
      </c>
      <c r="J1194" s="37" t="s">
        <v>1139</v>
      </c>
      <c r="K1194" s="37" t="str">
        <f t="shared" si="19"/>
        <v>Webster, LA</v>
      </c>
      <c r="L1194" s="37">
        <v>49.0</v>
      </c>
      <c r="M1194" s="37">
        <v>2.0</v>
      </c>
      <c r="N1194" s="37" t="s">
        <v>63</v>
      </c>
      <c r="O1194" s="37">
        <v>25.0</v>
      </c>
      <c r="P1194" s="37" t="s">
        <v>63</v>
      </c>
      <c r="Q1194" s="37">
        <v>21.0</v>
      </c>
      <c r="R1194" s="37" t="s">
        <v>63</v>
      </c>
      <c r="S1194" s="37" t="s">
        <v>63</v>
      </c>
      <c r="T1194" s="69" t="s">
        <v>63</v>
      </c>
      <c r="U1194" s="37">
        <v>14.0</v>
      </c>
      <c r="V1194" s="37" t="s">
        <v>63</v>
      </c>
      <c r="W1194" s="37" t="s">
        <v>63</v>
      </c>
      <c r="X1194" s="37" t="s">
        <v>63</v>
      </c>
      <c r="Y1194" s="53">
        <v>90.0</v>
      </c>
      <c r="Z1194" s="69" t="s">
        <v>63</v>
      </c>
      <c r="AA1194" s="73"/>
      <c r="AB1194" s="73"/>
      <c r="AC1194" s="73"/>
      <c r="AD1194" s="73"/>
      <c r="AE1194" s="73"/>
      <c r="AF1194" s="73"/>
      <c r="AG1194" s="73"/>
      <c r="AH1194" s="73"/>
      <c r="AI1194" s="73"/>
      <c r="AJ1194" s="73"/>
      <c r="AK1194" s="73"/>
    </row>
    <row r="1195">
      <c r="A1195" s="28">
        <v>1194.0</v>
      </c>
      <c r="B1195" s="29"/>
      <c r="C1195" s="29"/>
      <c r="D1195" s="40">
        <v>1.0</v>
      </c>
      <c r="E1195" s="31">
        <v>22.0</v>
      </c>
      <c r="F1195" s="42">
        <v>121.0</v>
      </c>
      <c r="G1195" s="29" t="str">
        <f t="shared" si="1"/>
        <v>22121</v>
      </c>
      <c r="H1195" s="37" t="s">
        <v>1182</v>
      </c>
      <c r="I1195" s="37" t="s">
        <v>55</v>
      </c>
      <c r="J1195" s="37" t="s">
        <v>1139</v>
      </c>
      <c r="K1195" s="136" t="str">
        <f t="shared" si="19"/>
        <v>West Baton Rouge, LA</v>
      </c>
      <c r="L1195" s="37">
        <v>31.0</v>
      </c>
      <c r="M1195" s="37">
        <v>1.67</v>
      </c>
      <c r="N1195" s="37" t="s">
        <v>63</v>
      </c>
      <c r="O1195" s="37">
        <v>15.0</v>
      </c>
      <c r="P1195" s="37" t="s">
        <v>63</v>
      </c>
      <c r="Q1195" s="37">
        <v>9.0</v>
      </c>
      <c r="R1195" s="37">
        <v>1.0</v>
      </c>
      <c r="S1195" s="37" t="s">
        <v>63</v>
      </c>
      <c r="T1195" s="69" t="s">
        <v>63</v>
      </c>
      <c r="U1195" s="37" t="s">
        <v>63</v>
      </c>
      <c r="V1195" s="37" t="s">
        <v>63</v>
      </c>
      <c r="W1195" s="37" t="s">
        <v>63</v>
      </c>
      <c r="X1195" s="37" t="s">
        <v>63</v>
      </c>
      <c r="Y1195" s="53">
        <v>24.0</v>
      </c>
      <c r="Z1195" s="69" t="s">
        <v>63</v>
      </c>
      <c r="AA1195" s="73"/>
      <c r="AB1195" s="73"/>
      <c r="AC1195" s="73"/>
      <c r="AD1195" s="73"/>
      <c r="AE1195" s="73"/>
      <c r="AF1195" s="73"/>
      <c r="AG1195" s="73"/>
      <c r="AH1195" s="73"/>
      <c r="AI1195" s="73"/>
      <c r="AJ1195" s="73"/>
      <c r="AK1195" s="73"/>
    </row>
    <row r="1196">
      <c r="A1196" s="28">
        <v>1195.0</v>
      </c>
      <c r="B1196" s="29"/>
      <c r="C1196" s="29"/>
      <c r="D1196" s="40">
        <v>1.0</v>
      </c>
      <c r="E1196" s="31">
        <v>22.0</v>
      </c>
      <c r="F1196" s="42">
        <v>123.0</v>
      </c>
      <c r="G1196" s="29" t="str">
        <f t="shared" si="1"/>
        <v>22123</v>
      </c>
      <c r="H1196" s="37" t="s">
        <v>1183</v>
      </c>
      <c r="I1196" s="37" t="s">
        <v>55</v>
      </c>
      <c r="J1196" s="37" t="s">
        <v>1139</v>
      </c>
      <c r="K1196" s="37" t="str">
        <f t="shared" si="19"/>
        <v>West Carroll, LA</v>
      </c>
      <c r="L1196" s="37">
        <v>10.0</v>
      </c>
      <c r="M1196" s="37">
        <v>2.17</v>
      </c>
      <c r="N1196" s="37" t="s">
        <v>63</v>
      </c>
      <c r="O1196" s="37">
        <v>6.0</v>
      </c>
      <c r="P1196" s="37" t="s">
        <v>63</v>
      </c>
      <c r="Q1196" s="37">
        <v>6.0</v>
      </c>
      <c r="R1196" s="37">
        <v>1.0</v>
      </c>
      <c r="S1196" s="37" t="s">
        <v>63</v>
      </c>
      <c r="T1196" s="69" t="s">
        <v>63</v>
      </c>
      <c r="U1196" s="37" t="s">
        <v>63</v>
      </c>
      <c r="V1196" s="37" t="s">
        <v>63</v>
      </c>
      <c r="W1196" s="37" t="s">
        <v>63</v>
      </c>
      <c r="X1196" s="37" t="s">
        <v>63</v>
      </c>
      <c r="Y1196" s="53">
        <v>34.0</v>
      </c>
      <c r="Z1196" s="69" t="s">
        <v>63</v>
      </c>
      <c r="AA1196" s="73"/>
      <c r="AB1196" s="73"/>
      <c r="AC1196" s="73"/>
      <c r="AD1196" s="73"/>
      <c r="AE1196" s="73"/>
      <c r="AF1196" s="73"/>
      <c r="AG1196" s="73"/>
      <c r="AH1196" s="73"/>
      <c r="AI1196" s="73"/>
      <c r="AJ1196" s="73"/>
      <c r="AK1196" s="73"/>
    </row>
    <row r="1197">
      <c r="A1197" s="28">
        <v>1196.0</v>
      </c>
      <c r="B1197" s="29"/>
      <c r="C1197" s="29"/>
      <c r="D1197" s="40">
        <v>1.0</v>
      </c>
      <c r="E1197" s="31">
        <v>22.0</v>
      </c>
      <c r="F1197" s="42">
        <v>125.0</v>
      </c>
      <c r="G1197" s="29" t="str">
        <f t="shared" si="1"/>
        <v>22125</v>
      </c>
      <c r="H1197" s="37" t="s">
        <v>1184</v>
      </c>
      <c r="I1197" s="37" t="s">
        <v>55</v>
      </c>
      <c r="J1197" s="37" t="s">
        <v>1139</v>
      </c>
      <c r="K1197" s="136" t="str">
        <f t="shared" si="19"/>
        <v>West Feliciana, LA</v>
      </c>
      <c r="L1197" s="37">
        <v>11.0</v>
      </c>
      <c r="M1197" s="37" t="s">
        <v>391</v>
      </c>
      <c r="N1197" s="37" t="s">
        <v>63</v>
      </c>
      <c r="O1197" s="37">
        <v>6.0</v>
      </c>
      <c r="P1197" s="37" t="s">
        <v>63</v>
      </c>
      <c r="Q1197" s="37" t="s">
        <v>63</v>
      </c>
      <c r="R1197" s="37" t="s">
        <v>63</v>
      </c>
      <c r="S1197" s="37" t="s">
        <v>63</v>
      </c>
      <c r="T1197" s="69" t="s">
        <v>63</v>
      </c>
      <c r="U1197" s="37" t="s">
        <v>63</v>
      </c>
      <c r="V1197" s="37" t="s">
        <v>63</v>
      </c>
      <c r="W1197" s="37" t="s">
        <v>63</v>
      </c>
      <c r="X1197" s="37" t="s">
        <v>63</v>
      </c>
      <c r="Y1197" s="53">
        <v>21.0</v>
      </c>
      <c r="Z1197" s="69" t="s">
        <v>63</v>
      </c>
      <c r="AA1197" s="73"/>
      <c r="AB1197" s="73"/>
      <c r="AC1197" s="73"/>
      <c r="AD1197" s="73"/>
      <c r="AE1197" s="73"/>
      <c r="AF1197" s="73"/>
      <c r="AG1197" s="73"/>
      <c r="AH1197" s="73"/>
      <c r="AI1197" s="73"/>
      <c r="AJ1197" s="73"/>
      <c r="AK1197" s="73"/>
    </row>
    <row r="1198">
      <c r="A1198" s="28">
        <v>1197.0</v>
      </c>
      <c r="B1198" s="29"/>
      <c r="C1198" s="29"/>
      <c r="D1198" s="40">
        <v>1.0</v>
      </c>
      <c r="E1198" s="31">
        <v>22.0</v>
      </c>
      <c r="F1198" s="42">
        <v>127.0</v>
      </c>
      <c r="G1198" s="29" t="str">
        <f t="shared" si="1"/>
        <v>22127</v>
      </c>
      <c r="H1198" s="37" t="s">
        <v>1185</v>
      </c>
      <c r="I1198" s="37" t="s">
        <v>55</v>
      </c>
      <c r="J1198" s="37" t="s">
        <v>1139</v>
      </c>
      <c r="K1198" s="37" t="str">
        <f t="shared" si="19"/>
        <v>Winn, LA</v>
      </c>
      <c r="L1198" s="37">
        <v>51.0</v>
      </c>
      <c r="M1198" s="37">
        <v>2.43</v>
      </c>
      <c r="N1198" s="37" t="s">
        <v>63</v>
      </c>
      <c r="O1198" s="37">
        <v>33.0</v>
      </c>
      <c r="P1198" s="37" t="s">
        <v>63</v>
      </c>
      <c r="Q1198" s="37">
        <v>7.0</v>
      </c>
      <c r="R1198" s="37" t="s">
        <v>63</v>
      </c>
      <c r="S1198" s="37" t="s">
        <v>63</v>
      </c>
      <c r="T1198" s="69" t="s">
        <v>63</v>
      </c>
      <c r="U1198" s="37">
        <v>7.0</v>
      </c>
      <c r="V1198" s="37" t="s">
        <v>63</v>
      </c>
      <c r="W1198" s="37" t="s">
        <v>63</v>
      </c>
      <c r="X1198" s="37" t="s">
        <v>63</v>
      </c>
      <c r="Y1198" s="53">
        <v>37.0</v>
      </c>
      <c r="Z1198" s="69" t="s">
        <v>63</v>
      </c>
      <c r="AA1198" s="73"/>
      <c r="AB1198" s="73"/>
      <c r="AC1198" s="73"/>
      <c r="AD1198" s="73"/>
      <c r="AE1198" s="73"/>
      <c r="AF1198" s="73"/>
      <c r="AG1198" s="73"/>
      <c r="AH1198" s="73"/>
      <c r="AI1198" s="73"/>
      <c r="AJ1198" s="73"/>
      <c r="AK1198" s="73"/>
    </row>
    <row r="1199">
      <c r="A1199" s="99">
        <v>1198.0</v>
      </c>
      <c r="B1199" s="15"/>
      <c r="C1199" s="14" t="s">
        <v>25</v>
      </c>
      <c r="D1199" s="16"/>
      <c r="E1199" s="102">
        <v>23.0</v>
      </c>
      <c r="F1199" s="107">
        <v>0.0</v>
      </c>
      <c r="G1199" s="15" t="str">
        <f t="shared" si="1"/>
        <v>23000</v>
      </c>
      <c r="H1199" s="23"/>
      <c r="I1199" s="23" t="s">
        <v>56</v>
      </c>
      <c r="J1199" s="23" t="s">
        <v>1186</v>
      </c>
      <c r="K1199" s="23"/>
      <c r="L1199" s="123">
        <f t="array" ref="L1199:Z1199">Maine!C20:Q20</f>
        <v>2581</v>
      </c>
      <c r="M1199" s="123" t="s">
        <v>63</v>
      </c>
      <c r="N1199" s="123" t="s">
        <v>63</v>
      </c>
      <c r="O1199" s="123" t="s">
        <v>63</v>
      </c>
      <c r="P1199" s="123" t="s">
        <v>63</v>
      </c>
      <c r="Q1199" s="123">
        <v>1767.0</v>
      </c>
      <c r="R1199" s="123">
        <v>107.0</v>
      </c>
      <c r="S1199" s="123">
        <v>4558.0</v>
      </c>
      <c r="T1199" s="32" t="s">
        <v>63</v>
      </c>
      <c r="U1199" s="123" t="s">
        <v>63</v>
      </c>
      <c r="V1199" s="123" t="s">
        <v>63</v>
      </c>
      <c r="W1199" s="123" t="s">
        <v>63</v>
      </c>
      <c r="X1199" s="123" t="s">
        <v>63</v>
      </c>
      <c r="Y1199" s="35">
        <v>1087.0</v>
      </c>
      <c r="Z1199" s="32" t="s">
        <v>63</v>
      </c>
      <c r="AA1199" s="38"/>
      <c r="AB1199" s="38"/>
      <c r="AC1199" s="38"/>
      <c r="AD1199" s="38"/>
      <c r="AE1199" s="38"/>
      <c r="AF1199" s="38"/>
      <c r="AG1199" s="38"/>
      <c r="AH1199" s="38"/>
      <c r="AI1199" s="38"/>
      <c r="AJ1199" s="38"/>
      <c r="AK1199" s="38"/>
    </row>
    <row r="1200">
      <c r="A1200" s="99">
        <v>1199.0</v>
      </c>
      <c r="B1200" s="15"/>
      <c r="C1200" s="15"/>
      <c r="D1200" s="105">
        <v>1.0</v>
      </c>
      <c r="E1200" s="102">
        <v>23.0</v>
      </c>
      <c r="F1200" s="107">
        <v>1.0</v>
      </c>
      <c r="G1200" s="15" t="str">
        <f t="shared" si="1"/>
        <v>23001</v>
      </c>
      <c r="H1200" s="23" t="s">
        <v>1187</v>
      </c>
      <c r="I1200" s="23" t="s">
        <v>56</v>
      </c>
      <c r="J1200" s="23" t="s">
        <v>1186</v>
      </c>
      <c r="K1200" s="112" t="str">
        <f t="shared" ref="K1200:K1215" si="20">CONCATENATE(H1200,", ",J1200)</f>
        <v>Androscoggin, ME</v>
      </c>
      <c r="L1200" s="23">
        <f t="array" ref="L1200:Z1215">Maine!C3:Q18</f>
        <v>341</v>
      </c>
      <c r="M1200" s="23" t="s">
        <v>63</v>
      </c>
      <c r="N1200" s="23" t="s">
        <v>63</v>
      </c>
      <c r="O1200" s="23" t="s">
        <v>63</v>
      </c>
      <c r="P1200" s="23" t="s">
        <v>63</v>
      </c>
      <c r="Q1200" s="23" t="s">
        <v>63</v>
      </c>
      <c r="R1200" s="23" t="s">
        <v>63</v>
      </c>
      <c r="S1200" s="23" t="s">
        <v>63</v>
      </c>
      <c r="T1200" s="32" t="s">
        <v>63</v>
      </c>
      <c r="U1200" s="23" t="s">
        <v>63</v>
      </c>
      <c r="V1200" s="23" t="s">
        <v>63</v>
      </c>
      <c r="W1200" s="23" t="s">
        <v>63</v>
      </c>
      <c r="X1200" s="23" t="s">
        <v>63</v>
      </c>
      <c r="Y1200" s="35">
        <v>63.0</v>
      </c>
      <c r="Z1200" s="32" t="s">
        <v>63</v>
      </c>
      <c r="AA1200" s="38"/>
      <c r="AB1200" s="38"/>
      <c r="AC1200" s="38"/>
      <c r="AD1200" s="38"/>
      <c r="AE1200" s="38"/>
      <c r="AF1200" s="38"/>
      <c r="AG1200" s="38"/>
      <c r="AH1200" s="38"/>
      <c r="AI1200" s="38"/>
      <c r="AJ1200" s="38"/>
      <c r="AK1200" s="38"/>
    </row>
    <row r="1201">
      <c r="A1201" s="99">
        <v>1200.0</v>
      </c>
      <c r="B1201" s="15"/>
      <c r="C1201" s="15"/>
      <c r="D1201" s="105">
        <v>1.0</v>
      </c>
      <c r="E1201" s="102">
        <v>23.0</v>
      </c>
      <c r="F1201" s="107">
        <v>3.0</v>
      </c>
      <c r="G1201" s="15" t="str">
        <f t="shared" si="1"/>
        <v>23003</v>
      </c>
      <c r="H1201" s="23" t="s">
        <v>1188</v>
      </c>
      <c r="I1201" s="23" t="s">
        <v>56</v>
      </c>
      <c r="J1201" s="23" t="s">
        <v>1186</v>
      </c>
      <c r="K1201" s="23" t="str">
        <f t="shared" si="20"/>
        <v>Aroostook, ME</v>
      </c>
      <c r="L1201" s="23">
        <v>228.0</v>
      </c>
      <c r="M1201" s="23" t="s">
        <v>63</v>
      </c>
      <c r="N1201" s="23" t="s">
        <v>63</v>
      </c>
      <c r="O1201" s="23" t="s">
        <v>63</v>
      </c>
      <c r="P1201" s="23" t="s">
        <v>63</v>
      </c>
      <c r="Q1201" s="23" t="s">
        <v>63</v>
      </c>
      <c r="R1201" s="23" t="s">
        <v>63</v>
      </c>
      <c r="S1201" s="23" t="s">
        <v>63</v>
      </c>
      <c r="T1201" s="32" t="s">
        <v>63</v>
      </c>
      <c r="U1201" s="23" t="s">
        <v>63</v>
      </c>
      <c r="V1201" s="23" t="s">
        <v>63</v>
      </c>
      <c r="W1201" s="23" t="s">
        <v>63</v>
      </c>
      <c r="X1201" s="23" t="s">
        <v>63</v>
      </c>
      <c r="Y1201" s="35">
        <v>88.0</v>
      </c>
      <c r="Z1201" s="32" t="s">
        <v>63</v>
      </c>
      <c r="AA1201" s="38"/>
      <c r="AB1201" s="38"/>
      <c r="AC1201" s="38"/>
      <c r="AD1201" s="38"/>
      <c r="AE1201" s="38"/>
      <c r="AF1201" s="38"/>
      <c r="AG1201" s="38"/>
      <c r="AH1201" s="38"/>
      <c r="AI1201" s="38"/>
      <c r="AJ1201" s="38"/>
      <c r="AK1201" s="38"/>
    </row>
    <row r="1202">
      <c r="A1202" s="99">
        <v>1201.0</v>
      </c>
      <c r="B1202" s="15"/>
      <c r="C1202" s="15"/>
      <c r="D1202" s="105">
        <v>1.0</v>
      </c>
      <c r="E1202" s="102">
        <v>23.0</v>
      </c>
      <c r="F1202" s="107">
        <v>5.0</v>
      </c>
      <c r="G1202" s="15" t="str">
        <f t="shared" si="1"/>
        <v>23005</v>
      </c>
      <c r="H1202" s="23" t="s">
        <v>713</v>
      </c>
      <c r="I1202" s="23" t="s">
        <v>56</v>
      </c>
      <c r="J1202" s="23" t="s">
        <v>1186</v>
      </c>
      <c r="K1202" s="112" t="str">
        <f t="shared" si="20"/>
        <v>Cumberland, ME</v>
      </c>
      <c r="L1202" s="23">
        <v>316.0</v>
      </c>
      <c r="M1202" s="23" t="s">
        <v>63</v>
      </c>
      <c r="N1202" s="23" t="s">
        <v>63</v>
      </c>
      <c r="O1202" s="23" t="s">
        <v>63</v>
      </c>
      <c r="P1202" s="23" t="s">
        <v>63</v>
      </c>
      <c r="Q1202" s="23" t="s">
        <v>63</v>
      </c>
      <c r="R1202" s="23" t="s">
        <v>63</v>
      </c>
      <c r="S1202" s="23" t="s">
        <v>63</v>
      </c>
      <c r="T1202" s="32" t="s">
        <v>63</v>
      </c>
      <c r="U1202" s="23" t="s">
        <v>63</v>
      </c>
      <c r="V1202" s="23" t="s">
        <v>63</v>
      </c>
      <c r="W1202" s="23" t="s">
        <v>63</v>
      </c>
      <c r="X1202" s="23" t="s">
        <v>63</v>
      </c>
      <c r="Y1202" s="35">
        <v>172.0</v>
      </c>
      <c r="Z1202" s="32" t="s">
        <v>63</v>
      </c>
      <c r="AA1202" s="38"/>
      <c r="AB1202" s="38"/>
      <c r="AC1202" s="38"/>
      <c r="AD1202" s="38"/>
      <c r="AE1202" s="38"/>
      <c r="AF1202" s="38"/>
      <c r="AG1202" s="38"/>
      <c r="AH1202" s="38"/>
      <c r="AI1202" s="38"/>
      <c r="AJ1202" s="38"/>
      <c r="AK1202" s="38"/>
    </row>
    <row r="1203">
      <c r="A1203" s="99">
        <v>1202.0</v>
      </c>
      <c r="B1203" s="15"/>
      <c r="C1203" s="15"/>
      <c r="D1203" s="105">
        <v>1.0</v>
      </c>
      <c r="E1203" s="102">
        <v>23.0</v>
      </c>
      <c r="F1203" s="107">
        <v>7.0</v>
      </c>
      <c r="G1203" s="15" t="str">
        <f t="shared" si="1"/>
        <v>23007</v>
      </c>
      <c r="H1203" s="23" t="s">
        <v>136</v>
      </c>
      <c r="I1203" s="23" t="s">
        <v>56</v>
      </c>
      <c r="J1203" s="23" t="s">
        <v>1186</v>
      </c>
      <c r="K1203" s="23" t="str">
        <f t="shared" si="20"/>
        <v>Franklin, ME</v>
      </c>
      <c r="L1203" s="23">
        <v>50.0</v>
      </c>
      <c r="M1203" s="23" t="s">
        <v>63</v>
      </c>
      <c r="N1203" s="23" t="s">
        <v>63</v>
      </c>
      <c r="O1203" s="23" t="s">
        <v>63</v>
      </c>
      <c r="P1203" s="23" t="s">
        <v>63</v>
      </c>
      <c r="Q1203" s="23" t="s">
        <v>63</v>
      </c>
      <c r="R1203" s="23" t="s">
        <v>63</v>
      </c>
      <c r="S1203" s="23" t="s">
        <v>63</v>
      </c>
      <c r="T1203" s="32" t="s">
        <v>63</v>
      </c>
      <c r="U1203" s="23" t="s">
        <v>63</v>
      </c>
      <c r="V1203" s="23" t="s">
        <v>63</v>
      </c>
      <c r="W1203" s="23" t="s">
        <v>63</v>
      </c>
      <c r="X1203" s="23" t="s">
        <v>63</v>
      </c>
      <c r="Y1203" s="35">
        <v>37.0</v>
      </c>
      <c r="Z1203" s="32" t="s">
        <v>63</v>
      </c>
      <c r="AA1203" s="38"/>
      <c r="AB1203" s="38"/>
      <c r="AC1203" s="38"/>
      <c r="AD1203" s="38"/>
      <c r="AE1203" s="38"/>
      <c r="AF1203" s="38"/>
      <c r="AG1203" s="38"/>
      <c r="AH1203" s="38"/>
      <c r="AI1203" s="38"/>
      <c r="AJ1203" s="38"/>
      <c r="AK1203" s="38"/>
    </row>
    <row r="1204">
      <c r="A1204" s="99">
        <v>1203.0</v>
      </c>
      <c r="B1204" s="15"/>
      <c r="C1204" s="15"/>
      <c r="D1204" s="105">
        <v>1.0</v>
      </c>
      <c r="E1204" s="102">
        <v>23.0</v>
      </c>
      <c r="F1204" s="107">
        <v>9.0</v>
      </c>
      <c r="G1204" s="15" t="str">
        <f t="shared" si="1"/>
        <v>23009</v>
      </c>
      <c r="H1204" s="23" t="s">
        <v>587</v>
      </c>
      <c r="I1204" s="23" t="s">
        <v>56</v>
      </c>
      <c r="J1204" s="23" t="s">
        <v>1186</v>
      </c>
      <c r="K1204" s="23" t="str">
        <f t="shared" si="20"/>
        <v>Hancock, ME</v>
      </c>
      <c r="L1204" s="23">
        <v>125.0</v>
      </c>
      <c r="M1204" s="23" t="s">
        <v>63</v>
      </c>
      <c r="N1204" s="23" t="s">
        <v>63</v>
      </c>
      <c r="O1204" s="23" t="s">
        <v>63</v>
      </c>
      <c r="P1204" s="23" t="s">
        <v>63</v>
      </c>
      <c r="Q1204" s="23" t="s">
        <v>63</v>
      </c>
      <c r="R1204" s="23" t="s">
        <v>63</v>
      </c>
      <c r="S1204" s="23" t="s">
        <v>63</v>
      </c>
      <c r="T1204" s="32" t="s">
        <v>63</v>
      </c>
      <c r="U1204" s="23" t="s">
        <v>63</v>
      </c>
      <c r="V1204" s="23" t="s">
        <v>63</v>
      </c>
      <c r="W1204" s="23" t="s">
        <v>63</v>
      </c>
      <c r="X1204" s="23" t="s">
        <v>63</v>
      </c>
      <c r="Y1204" s="35">
        <v>68.0</v>
      </c>
      <c r="Z1204" s="32" t="s">
        <v>63</v>
      </c>
      <c r="AA1204" s="38"/>
      <c r="AB1204" s="38"/>
      <c r="AC1204" s="38"/>
      <c r="AD1204" s="38"/>
      <c r="AE1204" s="38"/>
      <c r="AF1204" s="38"/>
      <c r="AG1204" s="38"/>
      <c r="AH1204" s="38"/>
      <c r="AI1204" s="38"/>
      <c r="AJ1204" s="38"/>
      <c r="AK1204" s="38"/>
    </row>
    <row r="1205">
      <c r="A1205" s="99">
        <v>1204.0</v>
      </c>
      <c r="B1205" s="15"/>
      <c r="C1205" s="15"/>
      <c r="D1205" s="105">
        <v>1.0</v>
      </c>
      <c r="E1205" s="102">
        <v>23.0</v>
      </c>
      <c r="F1205" s="107">
        <v>11.0</v>
      </c>
      <c r="G1205" s="15" t="str">
        <f t="shared" si="1"/>
        <v>23011</v>
      </c>
      <c r="H1205" s="23" t="s">
        <v>1189</v>
      </c>
      <c r="I1205" s="23" t="s">
        <v>56</v>
      </c>
      <c r="J1205" s="23" t="s">
        <v>1186</v>
      </c>
      <c r="K1205" s="23" t="str">
        <f t="shared" si="20"/>
        <v>Kennebec, ME</v>
      </c>
      <c r="L1205" s="23">
        <v>308.0</v>
      </c>
      <c r="M1205" s="23" t="s">
        <v>63</v>
      </c>
      <c r="N1205" s="23" t="s">
        <v>63</v>
      </c>
      <c r="O1205" s="23" t="s">
        <v>63</v>
      </c>
      <c r="P1205" s="23" t="s">
        <v>63</v>
      </c>
      <c r="Q1205" s="23" t="s">
        <v>63</v>
      </c>
      <c r="R1205" s="23" t="s">
        <v>63</v>
      </c>
      <c r="S1205" s="23" t="s">
        <v>63</v>
      </c>
      <c r="T1205" s="32" t="s">
        <v>63</v>
      </c>
      <c r="U1205" s="23" t="s">
        <v>63</v>
      </c>
      <c r="V1205" s="23" t="s">
        <v>63</v>
      </c>
      <c r="W1205" s="23" t="s">
        <v>63</v>
      </c>
      <c r="X1205" s="23" t="s">
        <v>63</v>
      </c>
      <c r="Y1205" s="35">
        <v>96.0</v>
      </c>
      <c r="Z1205" s="32" t="s">
        <v>63</v>
      </c>
      <c r="AA1205" s="38"/>
      <c r="AB1205" s="38"/>
      <c r="AC1205" s="38"/>
      <c r="AD1205" s="38"/>
      <c r="AE1205" s="38"/>
      <c r="AF1205" s="38"/>
      <c r="AG1205" s="38"/>
      <c r="AH1205" s="38"/>
      <c r="AI1205" s="38"/>
      <c r="AJ1205" s="38"/>
      <c r="AK1205" s="38"/>
    </row>
    <row r="1206">
      <c r="A1206" s="99">
        <v>1205.0</v>
      </c>
      <c r="B1206" s="15"/>
      <c r="C1206" s="15"/>
      <c r="D1206" s="105">
        <v>1.0</v>
      </c>
      <c r="E1206" s="102">
        <v>23.0</v>
      </c>
      <c r="F1206" s="107">
        <v>13.0</v>
      </c>
      <c r="G1206" s="15" t="str">
        <f t="shared" si="1"/>
        <v>23013</v>
      </c>
      <c r="H1206" s="23" t="s">
        <v>728</v>
      </c>
      <c r="I1206" s="23" t="s">
        <v>56</v>
      </c>
      <c r="J1206" s="23" t="s">
        <v>1186</v>
      </c>
      <c r="K1206" s="23" t="str">
        <f t="shared" si="20"/>
        <v>Knox, ME</v>
      </c>
      <c r="L1206" s="23">
        <v>59.0</v>
      </c>
      <c r="M1206" s="23" t="s">
        <v>63</v>
      </c>
      <c r="N1206" s="23" t="s">
        <v>63</v>
      </c>
      <c r="O1206" s="23" t="s">
        <v>63</v>
      </c>
      <c r="P1206" s="23" t="s">
        <v>63</v>
      </c>
      <c r="Q1206" s="23" t="s">
        <v>63</v>
      </c>
      <c r="R1206" s="23" t="s">
        <v>63</v>
      </c>
      <c r="S1206" s="23" t="s">
        <v>63</v>
      </c>
      <c r="T1206" s="32" t="s">
        <v>63</v>
      </c>
      <c r="U1206" s="23" t="s">
        <v>63</v>
      </c>
      <c r="V1206" s="23" t="s">
        <v>63</v>
      </c>
      <c r="W1206" s="23" t="s">
        <v>63</v>
      </c>
      <c r="X1206" s="23" t="s">
        <v>63</v>
      </c>
      <c r="Y1206" s="35">
        <v>44.0</v>
      </c>
      <c r="Z1206" s="32" t="s">
        <v>63</v>
      </c>
      <c r="AA1206" s="38"/>
      <c r="AB1206" s="38"/>
      <c r="AC1206" s="38"/>
      <c r="AD1206" s="38"/>
      <c r="AE1206" s="38"/>
      <c r="AF1206" s="38"/>
      <c r="AG1206" s="38"/>
      <c r="AH1206" s="38"/>
      <c r="AI1206" s="38"/>
      <c r="AJ1206" s="38"/>
      <c r="AK1206" s="38"/>
    </row>
    <row r="1207">
      <c r="A1207" s="99">
        <v>1206.0</v>
      </c>
      <c r="B1207" s="15"/>
      <c r="C1207" s="15"/>
      <c r="D1207" s="105">
        <v>1.0</v>
      </c>
      <c r="E1207" s="102">
        <v>23.0</v>
      </c>
      <c r="F1207" s="107">
        <v>15.0</v>
      </c>
      <c r="G1207" s="15" t="str">
        <f t="shared" si="1"/>
        <v>23015</v>
      </c>
      <c r="H1207" s="23" t="s">
        <v>290</v>
      </c>
      <c r="I1207" s="23" t="s">
        <v>56</v>
      </c>
      <c r="J1207" s="23" t="s">
        <v>1186</v>
      </c>
      <c r="K1207" s="23" t="str">
        <f t="shared" si="20"/>
        <v>Lincoln, ME</v>
      </c>
      <c r="L1207" s="23">
        <v>26.0</v>
      </c>
      <c r="M1207" s="23" t="s">
        <v>63</v>
      </c>
      <c r="N1207" s="23" t="s">
        <v>63</v>
      </c>
      <c r="O1207" s="23" t="s">
        <v>63</v>
      </c>
      <c r="P1207" s="23" t="s">
        <v>63</v>
      </c>
      <c r="Q1207" s="23" t="s">
        <v>63</v>
      </c>
      <c r="R1207" s="23" t="s">
        <v>63</v>
      </c>
      <c r="S1207" s="23" t="s">
        <v>63</v>
      </c>
      <c r="T1207" s="32" t="s">
        <v>63</v>
      </c>
      <c r="U1207" s="23" t="s">
        <v>63</v>
      </c>
      <c r="V1207" s="23" t="s">
        <v>63</v>
      </c>
      <c r="W1207" s="23" t="s">
        <v>63</v>
      </c>
      <c r="X1207" s="23" t="s">
        <v>63</v>
      </c>
      <c r="Y1207" s="35">
        <v>36.0</v>
      </c>
      <c r="Z1207" s="32" t="s">
        <v>63</v>
      </c>
      <c r="AA1207" s="38"/>
      <c r="AB1207" s="38"/>
      <c r="AC1207" s="38"/>
      <c r="AD1207" s="38"/>
      <c r="AE1207" s="38"/>
      <c r="AF1207" s="38"/>
      <c r="AG1207" s="38"/>
      <c r="AH1207" s="38"/>
      <c r="AI1207" s="38"/>
      <c r="AJ1207" s="38"/>
      <c r="AK1207" s="38"/>
    </row>
    <row r="1208">
      <c r="A1208" s="99">
        <v>1207.0</v>
      </c>
      <c r="B1208" s="15"/>
      <c r="C1208" s="15"/>
      <c r="D1208" s="105">
        <v>1.0</v>
      </c>
      <c r="E1208" s="102">
        <v>23.0</v>
      </c>
      <c r="F1208" s="107">
        <v>17.0</v>
      </c>
      <c r="G1208" s="15" t="str">
        <f t="shared" si="1"/>
        <v>23017</v>
      </c>
      <c r="H1208" s="23" t="s">
        <v>1190</v>
      </c>
      <c r="I1208" s="23" t="s">
        <v>56</v>
      </c>
      <c r="J1208" s="23" t="s">
        <v>1186</v>
      </c>
      <c r="K1208" s="23" t="str">
        <f t="shared" si="20"/>
        <v>Oxford, ME</v>
      </c>
      <c r="L1208" s="23">
        <v>146.0</v>
      </c>
      <c r="M1208" s="23" t="s">
        <v>63</v>
      </c>
      <c r="N1208" s="23" t="s">
        <v>63</v>
      </c>
      <c r="O1208" s="23" t="s">
        <v>63</v>
      </c>
      <c r="P1208" s="23" t="s">
        <v>63</v>
      </c>
      <c r="Q1208" s="23" t="s">
        <v>63</v>
      </c>
      <c r="R1208" s="23" t="s">
        <v>63</v>
      </c>
      <c r="S1208" s="23" t="s">
        <v>63</v>
      </c>
      <c r="T1208" s="32" t="s">
        <v>63</v>
      </c>
      <c r="U1208" s="23" t="s">
        <v>63</v>
      </c>
      <c r="V1208" s="23" t="s">
        <v>63</v>
      </c>
      <c r="W1208" s="23" t="s">
        <v>63</v>
      </c>
      <c r="X1208" s="23" t="s">
        <v>63</v>
      </c>
      <c r="Y1208" s="35">
        <v>51.0</v>
      </c>
      <c r="Z1208" s="32" t="s">
        <v>63</v>
      </c>
      <c r="AA1208" s="38"/>
      <c r="AB1208" s="38"/>
      <c r="AC1208" s="38"/>
      <c r="AD1208" s="38"/>
      <c r="AE1208" s="38"/>
      <c r="AF1208" s="38"/>
      <c r="AG1208" s="38"/>
      <c r="AH1208" s="38"/>
      <c r="AI1208" s="38"/>
      <c r="AJ1208" s="38"/>
      <c r="AK1208" s="38"/>
    </row>
    <row r="1209">
      <c r="A1209" s="99">
        <v>1208.0</v>
      </c>
      <c r="B1209" s="15"/>
      <c r="C1209" s="15"/>
      <c r="D1209" s="105">
        <v>1.0</v>
      </c>
      <c r="E1209" s="102">
        <v>23.0</v>
      </c>
      <c r="F1209" s="107">
        <v>19.0</v>
      </c>
      <c r="G1209" s="15" t="str">
        <f t="shared" si="1"/>
        <v>23019</v>
      </c>
      <c r="H1209" s="23" t="s">
        <v>1191</v>
      </c>
      <c r="I1209" s="23" t="s">
        <v>56</v>
      </c>
      <c r="J1209" s="23" t="s">
        <v>1186</v>
      </c>
      <c r="K1209" s="23" t="str">
        <f t="shared" si="20"/>
        <v>Penobscot, ME</v>
      </c>
      <c r="L1209" s="23">
        <v>294.0</v>
      </c>
      <c r="M1209" s="23" t="s">
        <v>63</v>
      </c>
      <c r="N1209" s="23" t="s">
        <v>63</v>
      </c>
      <c r="O1209" s="23" t="s">
        <v>63</v>
      </c>
      <c r="P1209" s="23" t="s">
        <v>63</v>
      </c>
      <c r="Q1209" s="23" t="s">
        <v>63</v>
      </c>
      <c r="R1209" s="23" t="s">
        <v>63</v>
      </c>
      <c r="S1209" s="23" t="s">
        <v>63</v>
      </c>
      <c r="T1209" s="32" t="s">
        <v>63</v>
      </c>
      <c r="U1209" s="23" t="s">
        <v>63</v>
      </c>
      <c r="V1209" s="23" t="s">
        <v>63</v>
      </c>
      <c r="W1209" s="23" t="s">
        <v>63</v>
      </c>
      <c r="X1209" s="23" t="s">
        <v>63</v>
      </c>
      <c r="Y1209" s="35">
        <v>128.0</v>
      </c>
      <c r="Z1209" s="32" t="s">
        <v>63</v>
      </c>
      <c r="AA1209" s="38"/>
      <c r="AB1209" s="38"/>
      <c r="AC1209" s="38"/>
      <c r="AD1209" s="38"/>
      <c r="AE1209" s="38"/>
      <c r="AF1209" s="38"/>
      <c r="AG1209" s="38"/>
      <c r="AH1209" s="38"/>
      <c r="AI1209" s="38"/>
      <c r="AJ1209" s="38"/>
      <c r="AK1209" s="38"/>
    </row>
    <row r="1210">
      <c r="A1210" s="99">
        <v>1209.0</v>
      </c>
      <c r="B1210" s="15"/>
      <c r="C1210" s="15"/>
      <c r="D1210" s="105">
        <v>1.0</v>
      </c>
      <c r="E1210" s="102">
        <v>23.0</v>
      </c>
      <c r="F1210" s="107">
        <v>21.0</v>
      </c>
      <c r="G1210" s="15" t="str">
        <f t="shared" si="1"/>
        <v>23021</v>
      </c>
      <c r="H1210" s="23" t="s">
        <v>1192</v>
      </c>
      <c r="I1210" s="23" t="s">
        <v>56</v>
      </c>
      <c r="J1210" s="23" t="s">
        <v>1186</v>
      </c>
      <c r="K1210" s="23" t="str">
        <f t="shared" si="20"/>
        <v>Piscataquis, ME</v>
      </c>
      <c r="L1210" s="23">
        <v>36.0</v>
      </c>
      <c r="M1210" s="23" t="s">
        <v>63</v>
      </c>
      <c r="N1210" s="23" t="s">
        <v>63</v>
      </c>
      <c r="O1210" s="23" t="s">
        <v>63</v>
      </c>
      <c r="P1210" s="23" t="s">
        <v>63</v>
      </c>
      <c r="Q1210" s="23" t="s">
        <v>63</v>
      </c>
      <c r="R1210" s="23" t="s">
        <v>63</v>
      </c>
      <c r="S1210" s="23" t="s">
        <v>63</v>
      </c>
      <c r="T1210" s="32" t="s">
        <v>63</v>
      </c>
      <c r="U1210" s="23" t="s">
        <v>63</v>
      </c>
      <c r="V1210" s="23" t="s">
        <v>63</v>
      </c>
      <c r="W1210" s="23" t="s">
        <v>63</v>
      </c>
      <c r="X1210" s="23" t="s">
        <v>63</v>
      </c>
      <c r="Y1210" s="35">
        <v>24.0</v>
      </c>
      <c r="Z1210" s="32" t="s">
        <v>63</v>
      </c>
      <c r="AA1210" s="38"/>
      <c r="AB1210" s="38"/>
      <c r="AC1210" s="38"/>
      <c r="AD1210" s="38"/>
      <c r="AE1210" s="38"/>
      <c r="AF1210" s="38"/>
      <c r="AG1210" s="38"/>
      <c r="AH1210" s="38"/>
      <c r="AI1210" s="38"/>
      <c r="AJ1210" s="38"/>
      <c r="AK1210" s="38"/>
    </row>
    <row r="1211">
      <c r="A1211" s="99">
        <v>1210.0</v>
      </c>
      <c r="B1211" s="15"/>
      <c r="C1211" s="15"/>
      <c r="D1211" s="105">
        <v>1.0</v>
      </c>
      <c r="E1211" s="102">
        <v>23.0</v>
      </c>
      <c r="F1211" s="107">
        <v>23.0</v>
      </c>
      <c r="G1211" s="15" t="str">
        <f t="shared" si="1"/>
        <v>23023</v>
      </c>
      <c r="H1211" s="23" t="s">
        <v>1193</v>
      </c>
      <c r="I1211" s="23" t="s">
        <v>56</v>
      </c>
      <c r="J1211" s="23" t="s">
        <v>1186</v>
      </c>
      <c r="K1211" s="23" t="str">
        <f t="shared" si="20"/>
        <v>Sagadahoc, ME</v>
      </c>
      <c r="L1211" s="23">
        <v>48.0</v>
      </c>
      <c r="M1211" s="23" t="s">
        <v>63</v>
      </c>
      <c r="N1211" s="23" t="s">
        <v>63</v>
      </c>
      <c r="O1211" s="23" t="s">
        <v>63</v>
      </c>
      <c r="P1211" s="23" t="s">
        <v>63</v>
      </c>
      <c r="Q1211" s="23" t="s">
        <v>63</v>
      </c>
      <c r="R1211" s="23" t="s">
        <v>63</v>
      </c>
      <c r="S1211" s="23" t="s">
        <v>63</v>
      </c>
      <c r="T1211" s="32" t="s">
        <v>63</v>
      </c>
      <c r="U1211" s="23" t="s">
        <v>63</v>
      </c>
      <c r="V1211" s="23" t="s">
        <v>63</v>
      </c>
      <c r="W1211" s="23" t="s">
        <v>63</v>
      </c>
      <c r="X1211" s="23" t="s">
        <v>63</v>
      </c>
      <c r="Y1211" s="35">
        <v>34.0</v>
      </c>
      <c r="Z1211" s="32" t="s">
        <v>63</v>
      </c>
      <c r="AA1211" s="38"/>
      <c r="AB1211" s="38"/>
      <c r="AC1211" s="38"/>
      <c r="AD1211" s="38"/>
      <c r="AE1211" s="38"/>
      <c r="AF1211" s="38"/>
      <c r="AG1211" s="38"/>
      <c r="AH1211" s="38"/>
      <c r="AI1211" s="38"/>
      <c r="AJ1211" s="38"/>
      <c r="AK1211" s="38"/>
    </row>
    <row r="1212">
      <c r="A1212" s="99">
        <v>1211.0</v>
      </c>
      <c r="B1212" s="15"/>
      <c r="C1212" s="15"/>
      <c r="D1212" s="105">
        <v>1.0</v>
      </c>
      <c r="E1212" s="102">
        <v>23.0</v>
      </c>
      <c r="F1212" s="107">
        <v>25.0</v>
      </c>
      <c r="G1212" s="15" t="str">
        <f t="shared" si="1"/>
        <v>23025</v>
      </c>
      <c r="H1212" s="23" t="s">
        <v>1194</v>
      </c>
      <c r="I1212" s="23" t="s">
        <v>56</v>
      </c>
      <c r="J1212" s="23" t="s">
        <v>1186</v>
      </c>
      <c r="K1212" s="23" t="str">
        <f t="shared" si="20"/>
        <v>Somerset, ME</v>
      </c>
      <c r="L1212" s="23">
        <v>238.0</v>
      </c>
      <c r="M1212" s="23" t="s">
        <v>63</v>
      </c>
      <c r="N1212" s="23" t="s">
        <v>63</v>
      </c>
      <c r="O1212" s="23" t="s">
        <v>63</v>
      </c>
      <c r="P1212" s="23" t="s">
        <v>63</v>
      </c>
      <c r="Q1212" s="23" t="s">
        <v>63</v>
      </c>
      <c r="R1212" s="23" t="s">
        <v>63</v>
      </c>
      <c r="S1212" s="23" t="s">
        <v>63</v>
      </c>
      <c r="T1212" s="32" t="s">
        <v>63</v>
      </c>
      <c r="U1212" s="23" t="s">
        <v>63</v>
      </c>
      <c r="V1212" s="23" t="s">
        <v>63</v>
      </c>
      <c r="W1212" s="23" t="s">
        <v>63</v>
      </c>
      <c r="X1212" s="23" t="s">
        <v>63</v>
      </c>
      <c r="Y1212" s="35">
        <v>47.0</v>
      </c>
      <c r="Z1212" s="32" t="s">
        <v>63</v>
      </c>
      <c r="AA1212" s="38"/>
      <c r="AB1212" s="38"/>
      <c r="AC1212" s="38"/>
      <c r="AD1212" s="38"/>
      <c r="AE1212" s="38"/>
      <c r="AF1212" s="38"/>
      <c r="AG1212" s="38"/>
      <c r="AH1212" s="38"/>
      <c r="AI1212" s="38"/>
      <c r="AJ1212" s="38"/>
      <c r="AK1212" s="38"/>
    </row>
    <row r="1213">
      <c r="A1213" s="99">
        <v>1212.0</v>
      </c>
      <c r="B1213" s="15"/>
      <c r="C1213" s="15"/>
      <c r="D1213" s="105">
        <v>1.0</v>
      </c>
      <c r="E1213" s="102">
        <v>23.0</v>
      </c>
      <c r="F1213" s="107">
        <v>27.0</v>
      </c>
      <c r="G1213" s="15" t="str">
        <f t="shared" si="1"/>
        <v>23027</v>
      </c>
      <c r="H1213" s="23" t="s">
        <v>1195</v>
      </c>
      <c r="I1213" s="23" t="s">
        <v>56</v>
      </c>
      <c r="J1213" s="23" t="s">
        <v>1186</v>
      </c>
      <c r="K1213" s="23" t="str">
        <f t="shared" si="20"/>
        <v>Waldo, ME</v>
      </c>
      <c r="L1213" s="23">
        <v>109.0</v>
      </c>
      <c r="M1213" s="23" t="s">
        <v>63</v>
      </c>
      <c r="N1213" s="23" t="s">
        <v>63</v>
      </c>
      <c r="O1213" s="23" t="s">
        <v>63</v>
      </c>
      <c r="P1213" s="23" t="s">
        <v>63</v>
      </c>
      <c r="Q1213" s="23" t="s">
        <v>63</v>
      </c>
      <c r="R1213" s="23" t="s">
        <v>63</v>
      </c>
      <c r="S1213" s="23" t="s">
        <v>63</v>
      </c>
      <c r="T1213" s="32" t="s">
        <v>63</v>
      </c>
      <c r="U1213" s="23" t="s">
        <v>63</v>
      </c>
      <c r="V1213" s="23" t="s">
        <v>63</v>
      </c>
      <c r="W1213" s="23" t="s">
        <v>63</v>
      </c>
      <c r="X1213" s="23" t="s">
        <v>63</v>
      </c>
      <c r="Y1213" s="35">
        <v>33.0</v>
      </c>
      <c r="Z1213" s="32" t="s">
        <v>63</v>
      </c>
      <c r="AA1213" s="38"/>
      <c r="AB1213" s="38"/>
      <c r="AC1213" s="38"/>
      <c r="AD1213" s="38"/>
      <c r="AE1213" s="38"/>
      <c r="AF1213" s="38"/>
      <c r="AG1213" s="38"/>
      <c r="AH1213" s="38"/>
      <c r="AI1213" s="38"/>
      <c r="AJ1213" s="38"/>
      <c r="AK1213" s="38"/>
    </row>
    <row r="1214">
      <c r="A1214" s="99">
        <v>1213.0</v>
      </c>
      <c r="B1214" s="15"/>
      <c r="C1214" s="15"/>
      <c r="D1214" s="105">
        <v>1.0</v>
      </c>
      <c r="E1214" s="102">
        <v>23.0</v>
      </c>
      <c r="F1214" s="107">
        <v>29.0</v>
      </c>
      <c r="G1214" s="15" t="str">
        <f t="shared" si="1"/>
        <v>23029</v>
      </c>
      <c r="H1214" s="23" t="s">
        <v>119</v>
      </c>
      <c r="I1214" s="23" t="s">
        <v>56</v>
      </c>
      <c r="J1214" s="23" t="s">
        <v>1186</v>
      </c>
      <c r="K1214" s="23" t="str">
        <f t="shared" si="20"/>
        <v>Washington, ME</v>
      </c>
      <c r="L1214" s="23">
        <v>44.0</v>
      </c>
      <c r="M1214" s="23" t="s">
        <v>63</v>
      </c>
      <c r="N1214" s="23" t="s">
        <v>63</v>
      </c>
      <c r="O1214" s="23" t="s">
        <v>63</v>
      </c>
      <c r="P1214" s="23" t="s">
        <v>63</v>
      </c>
      <c r="Q1214" s="23" t="s">
        <v>63</v>
      </c>
      <c r="R1214" s="23" t="s">
        <v>63</v>
      </c>
      <c r="S1214" s="23" t="s">
        <v>63</v>
      </c>
      <c r="T1214" s="32" t="s">
        <v>63</v>
      </c>
      <c r="U1214" s="23" t="s">
        <v>63</v>
      </c>
      <c r="V1214" s="23" t="s">
        <v>63</v>
      </c>
      <c r="W1214" s="23" t="s">
        <v>63</v>
      </c>
      <c r="X1214" s="23" t="s">
        <v>63</v>
      </c>
      <c r="Y1214" s="35">
        <v>50.0</v>
      </c>
      <c r="Z1214" s="32" t="s">
        <v>63</v>
      </c>
      <c r="AA1214" s="38"/>
      <c r="AB1214" s="38"/>
      <c r="AC1214" s="38"/>
      <c r="AD1214" s="38"/>
      <c r="AE1214" s="38"/>
      <c r="AF1214" s="38"/>
      <c r="AG1214" s="38"/>
      <c r="AH1214" s="38"/>
      <c r="AI1214" s="38"/>
      <c r="AJ1214" s="38"/>
      <c r="AK1214" s="38"/>
    </row>
    <row r="1215">
      <c r="A1215" s="99">
        <v>1214.0</v>
      </c>
      <c r="B1215" s="15"/>
      <c r="C1215" s="15"/>
      <c r="D1215" s="105">
        <v>1.0</v>
      </c>
      <c r="E1215" s="102">
        <v>23.0</v>
      </c>
      <c r="F1215" s="107">
        <v>31.0</v>
      </c>
      <c r="G1215" s="15" t="str">
        <f t="shared" si="1"/>
        <v>23031</v>
      </c>
      <c r="H1215" s="23" t="s">
        <v>1196</v>
      </c>
      <c r="I1215" s="23" t="s">
        <v>56</v>
      </c>
      <c r="J1215" s="23" t="s">
        <v>1186</v>
      </c>
      <c r="K1215" s="23" t="str">
        <f t="shared" si="20"/>
        <v>York, ME</v>
      </c>
      <c r="L1215" s="23">
        <v>213.0</v>
      </c>
      <c r="M1215" s="23" t="s">
        <v>63</v>
      </c>
      <c r="N1215" s="23" t="s">
        <v>63</v>
      </c>
      <c r="O1215" s="23" t="s">
        <v>63</v>
      </c>
      <c r="P1215" s="23" t="s">
        <v>63</v>
      </c>
      <c r="Q1215" s="23" t="s">
        <v>63</v>
      </c>
      <c r="R1215" s="23" t="s">
        <v>63</v>
      </c>
      <c r="S1215" s="23" t="s">
        <v>63</v>
      </c>
      <c r="T1215" s="32" t="s">
        <v>63</v>
      </c>
      <c r="U1215" s="23" t="s">
        <v>63</v>
      </c>
      <c r="V1215" s="23" t="s">
        <v>63</v>
      </c>
      <c r="W1215" s="23" t="s">
        <v>63</v>
      </c>
      <c r="X1215" s="23" t="s">
        <v>63</v>
      </c>
      <c r="Y1215" s="35">
        <v>116.0</v>
      </c>
      <c r="Z1215" s="32" t="s">
        <v>63</v>
      </c>
      <c r="AA1215" s="38"/>
      <c r="AB1215" s="38"/>
      <c r="AC1215" s="38"/>
      <c r="AD1215" s="38"/>
      <c r="AE1215" s="38"/>
      <c r="AF1215" s="38"/>
      <c r="AG1215" s="38"/>
      <c r="AH1215" s="38"/>
      <c r="AI1215" s="38"/>
      <c r="AJ1215" s="38"/>
      <c r="AK1215" s="38"/>
    </row>
    <row r="1216">
      <c r="A1216" s="28">
        <v>1215.0</v>
      </c>
      <c r="B1216" s="29"/>
      <c r="C1216" s="29" t="s">
        <v>25</v>
      </c>
      <c r="D1216" s="30"/>
      <c r="E1216" s="31">
        <v>24.0</v>
      </c>
      <c r="F1216" s="42">
        <v>0.0</v>
      </c>
      <c r="G1216" s="29" t="str">
        <f t="shared" si="1"/>
        <v>24000</v>
      </c>
      <c r="H1216" s="37"/>
      <c r="I1216" s="37" t="s">
        <v>57</v>
      </c>
      <c r="J1216" s="37" t="s">
        <v>387</v>
      </c>
      <c r="K1216" s="37"/>
      <c r="L1216" s="70">
        <f t="array" ref="L1216:Z1216">Maryland!C28:Q28</f>
        <v>3760</v>
      </c>
      <c r="M1216" s="70" t="s">
        <v>63</v>
      </c>
      <c r="N1216" s="70">
        <v>1765.0</v>
      </c>
      <c r="O1216" s="70">
        <v>981.0</v>
      </c>
      <c r="P1216" s="70" t="s">
        <v>63</v>
      </c>
      <c r="Q1216" s="70">
        <v>2130.0</v>
      </c>
      <c r="R1216" s="70">
        <v>68.0</v>
      </c>
      <c r="S1216" s="70" t="s">
        <v>63</v>
      </c>
      <c r="T1216" s="69" t="s">
        <v>63</v>
      </c>
      <c r="U1216" s="70">
        <v>1092.0</v>
      </c>
      <c r="V1216" s="53" t="s">
        <v>63</v>
      </c>
      <c r="W1216" s="53" t="s">
        <v>63</v>
      </c>
      <c r="X1216" s="70" t="s">
        <v>63</v>
      </c>
      <c r="Y1216" s="53">
        <v>4012.0</v>
      </c>
      <c r="Z1216" s="69" t="s">
        <v>63</v>
      </c>
      <c r="AA1216" s="73"/>
      <c r="AB1216" s="73"/>
      <c r="AC1216" s="73"/>
      <c r="AD1216" s="73"/>
      <c r="AE1216" s="73"/>
      <c r="AF1216" s="73"/>
      <c r="AG1216" s="73"/>
      <c r="AH1216" s="73"/>
      <c r="AI1216" s="73"/>
      <c r="AJ1216" s="73"/>
      <c r="AK1216" s="73"/>
    </row>
    <row r="1217">
      <c r="A1217" s="28">
        <v>1216.0</v>
      </c>
      <c r="B1217" s="29"/>
      <c r="C1217" s="29"/>
      <c r="D1217" s="40">
        <v>1.0</v>
      </c>
      <c r="E1217" s="31">
        <v>24.0</v>
      </c>
      <c r="F1217" s="42">
        <v>1.0</v>
      </c>
      <c r="G1217" s="29" t="str">
        <f t="shared" si="1"/>
        <v>24001</v>
      </c>
      <c r="H1217" s="37" t="s">
        <v>1197</v>
      </c>
      <c r="I1217" s="37" t="s">
        <v>57</v>
      </c>
      <c r="J1217" s="37" t="s">
        <v>387</v>
      </c>
      <c r="K1217" s="37" t="str">
        <f t="shared" ref="K1217:K1240" si="21">CONCATENATE(H1217,", ",J1217)</f>
        <v>Allegany, MD</v>
      </c>
      <c r="L1217" s="37">
        <f t="array" ref="L1217:Z1240">Maryland!C3:Q26</f>
        <v>37</v>
      </c>
      <c r="M1217" s="37">
        <v>2.4</v>
      </c>
      <c r="N1217" s="37">
        <v>7.0</v>
      </c>
      <c r="O1217" s="37">
        <v>10.0</v>
      </c>
      <c r="P1217" s="37">
        <v>18.0</v>
      </c>
      <c r="Q1217" s="37">
        <v>46.0</v>
      </c>
      <c r="R1217" s="37">
        <v>14.0</v>
      </c>
      <c r="S1217" s="37" t="s">
        <v>63</v>
      </c>
      <c r="T1217" s="69">
        <v>0.8409</v>
      </c>
      <c r="U1217" s="70">
        <v>35.0</v>
      </c>
      <c r="V1217" s="37" t="s">
        <v>63</v>
      </c>
      <c r="W1217" s="37" t="s">
        <v>63</v>
      </c>
      <c r="X1217" s="37" t="s">
        <v>63</v>
      </c>
      <c r="Y1217" s="53">
        <v>104.0</v>
      </c>
      <c r="Z1217" s="69" t="s">
        <v>63</v>
      </c>
      <c r="AA1217" s="73"/>
      <c r="AB1217" s="73"/>
      <c r="AC1217" s="73"/>
      <c r="AD1217" s="73"/>
      <c r="AE1217" s="73"/>
      <c r="AF1217" s="73"/>
      <c r="AG1217" s="73"/>
      <c r="AH1217" s="73"/>
      <c r="AI1217" s="73"/>
      <c r="AJ1217" s="73"/>
      <c r="AK1217" s="73"/>
    </row>
    <row r="1218">
      <c r="A1218" s="28">
        <v>1217.0</v>
      </c>
      <c r="B1218" s="29"/>
      <c r="C1218" s="29"/>
      <c r="D1218" s="40">
        <v>1.0</v>
      </c>
      <c r="E1218" s="31">
        <v>24.0</v>
      </c>
      <c r="F1218" s="42">
        <v>3.0</v>
      </c>
      <c r="G1218" s="29" t="str">
        <f t="shared" si="1"/>
        <v>24003</v>
      </c>
      <c r="H1218" s="37" t="s">
        <v>620</v>
      </c>
      <c r="I1218" s="37" t="s">
        <v>57</v>
      </c>
      <c r="J1218" s="37" t="s">
        <v>387</v>
      </c>
      <c r="K1218" s="136" t="str">
        <f t="shared" si="21"/>
        <v>Anne Arundel, MD</v>
      </c>
      <c r="L1218" s="37">
        <v>95.0</v>
      </c>
      <c r="M1218" s="37">
        <v>1.4</v>
      </c>
      <c r="N1218" s="37">
        <v>57.0</v>
      </c>
      <c r="O1218" s="37">
        <v>9.0</v>
      </c>
      <c r="P1218" s="37">
        <v>59.0</v>
      </c>
      <c r="Q1218" s="37">
        <v>72.0</v>
      </c>
      <c r="R1218" s="37">
        <v>10.0</v>
      </c>
      <c r="S1218" s="37" t="s">
        <v>63</v>
      </c>
      <c r="T1218" s="69">
        <v>0.661</v>
      </c>
      <c r="U1218" s="70">
        <v>105.0</v>
      </c>
      <c r="V1218" s="37" t="s">
        <v>63</v>
      </c>
      <c r="W1218" s="37" t="s">
        <v>63</v>
      </c>
      <c r="X1218" s="37" t="s">
        <v>63</v>
      </c>
      <c r="Y1218" s="53">
        <v>286.0</v>
      </c>
      <c r="Z1218" s="69" t="s">
        <v>63</v>
      </c>
      <c r="AA1218" s="73"/>
      <c r="AB1218" s="73"/>
      <c r="AC1218" s="73"/>
      <c r="AD1218" s="73"/>
      <c r="AE1218" s="73"/>
      <c r="AF1218" s="73"/>
      <c r="AG1218" s="73"/>
      <c r="AH1218" s="73"/>
      <c r="AI1218" s="73"/>
      <c r="AJ1218" s="73"/>
      <c r="AK1218" s="73"/>
    </row>
    <row r="1219">
      <c r="A1219" s="28">
        <v>1218.0</v>
      </c>
      <c r="B1219" s="29"/>
      <c r="C1219" s="29"/>
      <c r="D1219" s="40">
        <v>1.0</v>
      </c>
      <c r="E1219" s="31">
        <v>24.0</v>
      </c>
      <c r="F1219" s="42">
        <v>5.0</v>
      </c>
      <c r="G1219" s="29" t="str">
        <f t="shared" si="1"/>
        <v>24005</v>
      </c>
      <c r="H1219" s="37" t="s">
        <v>1198</v>
      </c>
      <c r="I1219" s="37" t="s">
        <v>57</v>
      </c>
      <c r="J1219" s="37" t="s">
        <v>387</v>
      </c>
      <c r="K1219" s="37" t="str">
        <f t="shared" si="21"/>
        <v>Baltimore, MD</v>
      </c>
      <c r="L1219" s="37">
        <v>573.0</v>
      </c>
      <c r="M1219" s="37">
        <v>1.3</v>
      </c>
      <c r="N1219" s="37">
        <v>246.0</v>
      </c>
      <c r="O1219" s="37">
        <v>190.0</v>
      </c>
      <c r="P1219" s="37">
        <v>269.0</v>
      </c>
      <c r="Q1219" s="37">
        <v>338.0</v>
      </c>
      <c r="R1219" s="37">
        <v>83.0</v>
      </c>
      <c r="S1219" s="37" t="s">
        <v>63</v>
      </c>
      <c r="T1219" s="69">
        <v>0.758</v>
      </c>
      <c r="U1219" s="70">
        <v>166.0</v>
      </c>
      <c r="V1219" s="37" t="s">
        <v>63</v>
      </c>
      <c r="W1219" s="37" t="s">
        <v>63</v>
      </c>
      <c r="X1219" s="37" t="s">
        <v>63</v>
      </c>
      <c r="Y1219" s="53">
        <v>431.0</v>
      </c>
      <c r="Z1219" s="69" t="s">
        <v>63</v>
      </c>
      <c r="AA1219" s="73"/>
      <c r="AB1219" s="73"/>
      <c r="AC1219" s="73"/>
      <c r="AD1219" s="73"/>
      <c r="AE1219" s="73"/>
      <c r="AF1219" s="73"/>
      <c r="AG1219" s="73"/>
      <c r="AH1219" s="73"/>
      <c r="AI1219" s="73"/>
      <c r="AJ1219" s="73"/>
      <c r="AK1219" s="73"/>
    </row>
    <row r="1220">
      <c r="A1220" s="28">
        <v>1219.0</v>
      </c>
      <c r="B1220" s="29"/>
      <c r="C1220" s="29"/>
      <c r="D1220" s="40">
        <v>1.0</v>
      </c>
      <c r="E1220" s="31">
        <v>24.0</v>
      </c>
      <c r="F1220" s="42">
        <v>9.0</v>
      </c>
      <c r="G1220" s="29" t="str">
        <f t="shared" si="1"/>
        <v>24009</v>
      </c>
      <c r="H1220" s="37" t="s">
        <v>1199</v>
      </c>
      <c r="I1220" s="37" t="s">
        <v>57</v>
      </c>
      <c r="J1220" s="37" t="s">
        <v>387</v>
      </c>
      <c r="K1220" s="37" t="str">
        <f t="shared" si="21"/>
        <v>Calvert, MD</v>
      </c>
      <c r="L1220" s="37">
        <v>45.0</v>
      </c>
      <c r="M1220" s="37">
        <v>1.6</v>
      </c>
      <c r="N1220" s="37">
        <v>25.0</v>
      </c>
      <c r="O1220" s="37">
        <v>5.0</v>
      </c>
      <c r="P1220" s="37">
        <v>20.0</v>
      </c>
      <c r="Q1220" s="37">
        <v>31.0</v>
      </c>
      <c r="R1220" s="37">
        <v>2.0</v>
      </c>
      <c r="S1220" s="37" t="s">
        <v>63</v>
      </c>
      <c r="T1220" s="69">
        <v>0.8</v>
      </c>
      <c r="U1220" s="70">
        <v>7.0</v>
      </c>
      <c r="V1220" s="37" t="s">
        <v>63</v>
      </c>
      <c r="W1220" s="37" t="s">
        <v>63</v>
      </c>
      <c r="X1220" s="37" t="s">
        <v>63</v>
      </c>
      <c r="Y1220" s="53">
        <v>72.0</v>
      </c>
      <c r="Z1220" s="69" t="s">
        <v>63</v>
      </c>
      <c r="AA1220" s="73"/>
      <c r="AB1220" s="73"/>
      <c r="AC1220" s="73"/>
      <c r="AD1220" s="73"/>
      <c r="AE1220" s="73"/>
      <c r="AF1220" s="73"/>
      <c r="AG1220" s="73"/>
      <c r="AH1220" s="73"/>
      <c r="AI1220" s="73"/>
      <c r="AJ1220" s="73"/>
      <c r="AK1220" s="73"/>
    </row>
    <row r="1221">
      <c r="A1221" s="28">
        <v>1220.0</v>
      </c>
      <c r="B1221" s="29"/>
      <c r="C1221" s="29"/>
      <c r="D1221" s="40">
        <v>1.0</v>
      </c>
      <c r="E1221" s="31">
        <v>24.0</v>
      </c>
      <c r="F1221" s="42">
        <v>11.0</v>
      </c>
      <c r="G1221" s="29" t="str">
        <f t="shared" si="1"/>
        <v>24011</v>
      </c>
      <c r="H1221" s="37" t="s">
        <v>1200</v>
      </c>
      <c r="I1221" s="37" t="s">
        <v>57</v>
      </c>
      <c r="J1221" s="37" t="s">
        <v>387</v>
      </c>
      <c r="K1221" s="37" t="str">
        <f t="shared" si="21"/>
        <v>Caroline, MD</v>
      </c>
      <c r="L1221" s="37">
        <v>21.0</v>
      </c>
      <c r="M1221" s="37">
        <v>1.6</v>
      </c>
      <c r="N1221" s="37">
        <v>10.0</v>
      </c>
      <c r="O1221" s="37">
        <v>2.0</v>
      </c>
      <c r="P1221" s="37">
        <v>7.0</v>
      </c>
      <c r="Q1221" s="37">
        <v>18.0</v>
      </c>
      <c r="R1221" s="37">
        <v>2.0</v>
      </c>
      <c r="S1221" s="37" t="s">
        <v>63</v>
      </c>
      <c r="T1221" s="69">
        <v>0.772</v>
      </c>
      <c r="U1221" s="70">
        <v>13.0</v>
      </c>
      <c r="V1221" s="37" t="s">
        <v>63</v>
      </c>
      <c r="W1221" s="37" t="s">
        <v>63</v>
      </c>
      <c r="X1221" s="37" t="s">
        <v>63</v>
      </c>
      <c r="Y1221" s="53">
        <v>37.0</v>
      </c>
      <c r="Z1221" s="69" t="s">
        <v>63</v>
      </c>
      <c r="AA1221" s="73"/>
      <c r="AB1221" s="73"/>
      <c r="AC1221" s="73"/>
      <c r="AD1221" s="73"/>
      <c r="AE1221" s="73"/>
      <c r="AF1221" s="73"/>
      <c r="AG1221" s="73"/>
      <c r="AH1221" s="73"/>
      <c r="AI1221" s="73"/>
      <c r="AJ1221" s="73"/>
      <c r="AK1221" s="73"/>
    </row>
    <row r="1222">
      <c r="A1222" s="28">
        <v>1221.0</v>
      </c>
      <c r="B1222" s="29"/>
      <c r="C1222" s="29"/>
      <c r="D1222" s="40">
        <v>1.0</v>
      </c>
      <c r="E1222" s="31">
        <v>24.0</v>
      </c>
      <c r="F1222" s="42">
        <v>13.0</v>
      </c>
      <c r="G1222" s="29" t="str">
        <f t="shared" si="1"/>
        <v>24013</v>
      </c>
      <c r="H1222" s="37" t="s">
        <v>248</v>
      </c>
      <c r="I1222" s="37" t="s">
        <v>57</v>
      </c>
      <c r="J1222" s="37" t="s">
        <v>387</v>
      </c>
      <c r="K1222" s="37" t="str">
        <f t="shared" si="21"/>
        <v>Carroll, MD</v>
      </c>
      <c r="L1222" s="37">
        <v>29.0</v>
      </c>
      <c r="M1222" s="37">
        <v>1.7</v>
      </c>
      <c r="N1222" s="37" t="s">
        <v>63</v>
      </c>
      <c r="O1222" s="37">
        <v>4.0</v>
      </c>
      <c r="P1222" s="37">
        <v>14.0</v>
      </c>
      <c r="Q1222" s="37">
        <v>22.0</v>
      </c>
      <c r="R1222" s="37">
        <v>4.0</v>
      </c>
      <c r="S1222" s="37" t="s">
        <v>63</v>
      </c>
      <c r="T1222" s="69">
        <v>0.714</v>
      </c>
      <c r="U1222" s="70">
        <v>42.0</v>
      </c>
      <c r="V1222" s="37" t="s">
        <v>63</v>
      </c>
      <c r="W1222" s="37" t="s">
        <v>63</v>
      </c>
      <c r="X1222" s="37" t="s">
        <v>63</v>
      </c>
      <c r="Y1222" s="53">
        <v>115.0</v>
      </c>
      <c r="Z1222" s="69" t="s">
        <v>63</v>
      </c>
      <c r="AA1222" s="73"/>
      <c r="AB1222" s="73"/>
      <c r="AC1222" s="73"/>
      <c r="AD1222" s="73"/>
      <c r="AE1222" s="73"/>
      <c r="AF1222" s="73"/>
      <c r="AG1222" s="73"/>
      <c r="AH1222" s="73"/>
      <c r="AI1222" s="73"/>
      <c r="AJ1222" s="73"/>
      <c r="AK1222" s="73"/>
    </row>
    <row r="1223">
      <c r="A1223" s="28">
        <v>1222.0</v>
      </c>
      <c r="B1223" s="29"/>
      <c r="C1223" s="29"/>
      <c r="D1223" s="40">
        <v>1.0</v>
      </c>
      <c r="E1223" s="31">
        <v>24.0</v>
      </c>
      <c r="F1223" s="42">
        <v>15.0</v>
      </c>
      <c r="G1223" s="29" t="str">
        <f t="shared" si="1"/>
        <v>24015</v>
      </c>
      <c r="H1223" s="37" t="s">
        <v>1201</v>
      </c>
      <c r="I1223" s="37" t="s">
        <v>57</v>
      </c>
      <c r="J1223" s="37" t="s">
        <v>387</v>
      </c>
      <c r="K1223" s="37" t="str">
        <f t="shared" si="21"/>
        <v>Cecil, MD</v>
      </c>
      <c r="L1223" s="37">
        <v>101.0</v>
      </c>
      <c r="M1223" s="37">
        <v>1.0</v>
      </c>
      <c r="N1223" s="37">
        <v>75.0</v>
      </c>
      <c r="O1223" s="37">
        <v>2.0</v>
      </c>
      <c r="P1223" s="37">
        <v>41.0</v>
      </c>
      <c r="Q1223" s="37">
        <v>75.0</v>
      </c>
      <c r="R1223" s="37">
        <v>18.0</v>
      </c>
      <c r="S1223" s="37" t="s">
        <v>63</v>
      </c>
      <c r="T1223" s="69">
        <v>0.769</v>
      </c>
      <c r="U1223" s="70">
        <v>11.0</v>
      </c>
      <c r="V1223" s="37" t="s">
        <v>63</v>
      </c>
      <c r="W1223" s="37" t="s">
        <v>63</v>
      </c>
      <c r="X1223" s="37" t="s">
        <v>63</v>
      </c>
      <c r="Y1223" s="53">
        <v>83.0</v>
      </c>
      <c r="Z1223" s="69" t="s">
        <v>63</v>
      </c>
      <c r="AA1223" s="73"/>
      <c r="AB1223" s="73"/>
      <c r="AC1223" s="73"/>
      <c r="AD1223" s="73"/>
      <c r="AE1223" s="73"/>
      <c r="AF1223" s="73"/>
      <c r="AG1223" s="73"/>
      <c r="AH1223" s="73"/>
      <c r="AI1223" s="73"/>
      <c r="AJ1223" s="73"/>
      <c r="AK1223" s="73"/>
    </row>
    <row r="1224">
      <c r="A1224" s="28">
        <v>1223.0</v>
      </c>
      <c r="B1224" s="29"/>
      <c r="C1224" s="29"/>
      <c r="D1224" s="40">
        <v>1.0</v>
      </c>
      <c r="E1224" s="31">
        <v>24.0</v>
      </c>
      <c r="F1224" s="42">
        <v>17.0</v>
      </c>
      <c r="G1224" s="29" t="str">
        <f t="shared" si="1"/>
        <v>24017</v>
      </c>
      <c r="H1224" s="37" t="s">
        <v>1203</v>
      </c>
      <c r="I1224" s="37" t="s">
        <v>57</v>
      </c>
      <c r="J1224" s="37" t="s">
        <v>387</v>
      </c>
      <c r="K1224" s="37" t="str">
        <f t="shared" si="21"/>
        <v>Charles, MD</v>
      </c>
      <c r="L1224" s="37">
        <v>20.0</v>
      </c>
      <c r="M1224" s="37">
        <v>1.3</v>
      </c>
      <c r="N1224" s="37">
        <v>10.0</v>
      </c>
      <c r="O1224" s="37">
        <v>1.0</v>
      </c>
      <c r="P1224" s="37">
        <v>10.0</v>
      </c>
      <c r="Q1224" s="37">
        <v>22.0</v>
      </c>
      <c r="R1224" s="37">
        <v>2.0</v>
      </c>
      <c r="S1224" s="37" t="s">
        <v>63</v>
      </c>
      <c r="T1224" s="69">
        <v>0.6875</v>
      </c>
      <c r="U1224" s="70">
        <v>19.0</v>
      </c>
      <c r="V1224" s="37" t="s">
        <v>63</v>
      </c>
      <c r="W1224" s="37" t="s">
        <v>63</v>
      </c>
      <c r="X1224" s="37" t="s">
        <v>63</v>
      </c>
      <c r="Y1224" s="53">
        <v>100.0</v>
      </c>
      <c r="Z1224" s="69" t="s">
        <v>63</v>
      </c>
      <c r="AA1224" s="73"/>
      <c r="AB1224" s="73"/>
      <c r="AC1224" s="73"/>
      <c r="AD1224" s="73"/>
      <c r="AE1224" s="73"/>
      <c r="AF1224" s="73"/>
      <c r="AG1224" s="73"/>
      <c r="AH1224" s="73"/>
      <c r="AI1224" s="73"/>
      <c r="AJ1224" s="73"/>
      <c r="AK1224" s="73"/>
    </row>
    <row r="1225">
      <c r="A1225" s="28">
        <v>1224.0</v>
      </c>
      <c r="B1225" s="29"/>
      <c r="C1225" s="29"/>
      <c r="D1225" s="40">
        <v>1.0</v>
      </c>
      <c r="E1225" s="31">
        <v>24.0</v>
      </c>
      <c r="F1225" s="42">
        <v>19.0</v>
      </c>
      <c r="G1225" s="29" t="str">
        <f t="shared" si="1"/>
        <v>24019</v>
      </c>
      <c r="H1225" s="37" t="s">
        <v>1204</v>
      </c>
      <c r="I1225" s="37" t="s">
        <v>57</v>
      </c>
      <c r="J1225" s="37" t="s">
        <v>387</v>
      </c>
      <c r="K1225" s="37" t="str">
        <f t="shared" si="21"/>
        <v>Dorchester, MD</v>
      </c>
      <c r="L1225" s="37">
        <v>26.0</v>
      </c>
      <c r="M1225" s="37">
        <v>1.0</v>
      </c>
      <c r="N1225" s="37">
        <v>12.0</v>
      </c>
      <c r="O1225" s="37">
        <v>8.0</v>
      </c>
      <c r="P1225" s="37">
        <v>18.0</v>
      </c>
      <c r="Q1225" s="37">
        <v>6.0</v>
      </c>
      <c r="R1225" s="37">
        <v>13.0</v>
      </c>
      <c r="S1225" s="37" t="s">
        <v>63</v>
      </c>
      <c r="T1225" s="69">
        <v>0.875</v>
      </c>
      <c r="U1225" s="70">
        <v>17.0</v>
      </c>
      <c r="V1225" s="37" t="s">
        <v>63</v>
      </c>
      <c r="W1225" s="37" t="s">
        <v>63</v>
      </c>
      <c r="X1225" s="37" t="s">
        <v>63</v>
      </c>
      <c r="Y1225" s="53">
        <v>47.0</v>
      </c>
      <c r="Z1225" s="69" t="s">
        <v>63</v>
      </c>
      <c r="AA1225" s="73"/>
      <c r="AB1225" s="73"/>
      <c r="AC1225" s="73"/>
      <c r="AD1225" s="73"/>
      <c r="AE1225" s="73"/>
      <c r="AF1225" s="73"/>
      <c r="AG1225" s="73"/>
      <c r="AH1225" s="73"/>
      <c r="AI1225" s="73"/>
      <c r="AJ1225" s="73"/>
      <c r="AK1225" s="73"/>
    </row>
    <row r="1226">
      <c r="A1226" s="28">
        <v>1225.0</v>
      </c>
      <c r="B1226" s="29"/>
      <c r="C1226" s="29"/>
      <c r="D1226" s="40">
        <v>1.0</v>
      </c>
      <c r="E1226" s="31">
        <v>24.0</v>
      </c>
      <c r="F1226" s="42">
        <v>21.0</v>
      </c>
      <c r="G1226" s="29" t="str">
        <f t="shared" si="1"/>
        <v>24021</v>
      </c>
      <c r="H1226" s="37" t="s">
        <v>1206</v>
      </c>
      <c r="I1226" s="37" t="s">
        <v>57</v>
      </c>
      <c r="J1226" s="37" t="s">
        <v>387</v>
      </c>
      <c r="K1226" s="37" t="str">
        <f t="shared" si="21"/>
        <v>Frederick, MD</v>
      </c>
      <c r="L1226" s="37">
        <v>61.0</v>
      </c>
      <c r="M1226" s="37">
        <v>1.4</v>
      </c>
      <c r="N1226" s="37">
        <v>19.0</v>
      </c>
      <c r="O1226" s="37">
        <v>11.0</v>
      </c>
      <c r="P1226" s="37">
        <v>27.0</v>
      </c>
      <c r="Q1226" s="37">
        <v>51.0</v>
      </c>
      <c r="R1226" s="37">
        <v>23.0</v>
      </c>
      <c r="S1226" s="37" t="s">
        <v>63</v>
      </c>
      <c r="T1226" s="69">
        <v>0.8667</v>
      </c>
      <c r="U1226" s="70">
        <v>34.0</v>
      </c>
      <c r="V1226" s="37" t="s">
        <v>63</v>
      </c>
      <c r="W1226" s="37" t="s">
        <v>63</v>
      </c>
      <c r="X1226" s="37" t="s">
        <v>63</v>
      </c>
      <c r="Y1226" s="53">
        <v>186.0</v>
      </c>
      <c r="Z1226" s="69" t="s">
        <v>63</v>
      </c>
      <c r="AA1226" s="73"/>
      <c r="AB1226" s="73"/>
      <c r="AC1226" s="73"/>
      <c r="AD1226" s="73"/>
      <c r="AE1226" s="73"/>
      <c r="AF1226" s="73"/>
      <c r="AG1226" s="73"/>
      <c r="AH1226" s="73"/>
      <c r="AI1226" s="73"/>
      <c r="AJ1226" s="73"/>
      <c r="AK1226" s="73"/>
    </row>
    <row r="1227">
      <c r="A1227" s="28">
        <v>1226.0</v>
      </c>
      <c r="B1227" s="29"/>
      <c r="C1227" s="29"/>
      <c r="D1227" s="40">
        <v>1.0</v>
      </c>
      <c r="E1227" s="31">
        <v>24.0</v>
      </c>
      <c r="F1227" s="42">
        <v>23.0</v>
      </c>
      <c r="G1227" s="29" t="str">
        <f t="shared" si="1"/>
        <v>24023</v>
      </c>
      <c r="H1227" s="37" t="s">
        <v>1207</v>
      </c>
      <c r="I1227" s="37" t="s">
        <v>57</v>
      </c>
      <c r="J1227" s="37" t="s">
        <v>387</v>
      </c>
      <c r="K1227" s="37" t="str">
        <f t="shared" si="21"/>
        <v>Garrett, MD</v>
      </c>
      <c r="L1227" s="37">
        <v>37.0</v>
      </c>
      <c r="M1227" s="37">
        <v>2.0</v>
      </c>
      <c r="N1227" s="37">
        <v>14.0</v>
      </c>
      <c r="O1227" s="37">
        <v>4.0</v>
      </c>
      <c r="P1227" s="37">
        <v>7.0</v>
      </c>
      <c r="Q1227" s="37">
        <v>39.0</v>
      </c>
      <c r="R1227" s="37">
        <v>3.0</v>
      </c>
      <c r="S1227" s="37" t="s">
        <v>63</v>
      </c>
      <c r="T1227" s="69">
        <v>0.9655</v>
      </c>
      <c r="U1227" s="70">
        <v>22.0</v>
      </c>
      <c r="V1227" s="37" t="s">
        <v>63</v>
      </c>
      <c r="W1227" s="37" t="s">
        <v>63</v>
      </c>
      <c r="X1227" s="37" t="s">
        <v>63</v>
      </c>
      <c r="Y1227" s="53">
        <v>52.0</v>
      </c>
      <c r="Z1227" s="69" t="s">
        <v>63</v>
      </c>
      <c r="AA1227" s="73"/>
      <c r="AB1227" s="73"/>
      <c r="AC1227" s="73"/>
      <c r="AD1227" s="73"/>
      <c r="AE1227" s="73"/>
      <c r="AF1227" s="73"/>
      <c r="AG1227" s="73"/>
      <c r="AH1227" s="73"/>
      <c r="AI1227" s="73"/>
      <c r="AJ1227" s="73"/>
      <c r="AK1227" s="73"/>
    </row>
    <row r="1228">
      <c r="A1228" s="28">
        <v>1227.0</v>
      </c>
      <c r="B1228" s="29"/>
      <c r="C1228" s="29"/>
      <c r="D1228" s="40">
        <v>1.0</v>
      </c>
      <c r="E1228" s="31">
        <v>24.0</v>
      </c>
      <c r="F1228" s="42">
        <v>25.0</v>
      </c>
      <c r="G1228" s="29" t="str">
        <f t="shared" si="1"/>
        <v>24025</v>
      </c>
      <c r="H1228" s="37" t="s">
        <v>1208</v>
      </c>
      <c r="I1228" s="37" t="s">
        <v>57</v>
      </c>
      <c r="J1228" s="37" t="s">
        <v>387</v>
      </c>
      <c r="K1228" s="37" t="str">
        <f t="shared" si="21"/>
        <v>Harford, MD</v>
      </c>
      <c r="L1228" s="37">
        <v>162.0</v>
      </c>
      <c r="M1228" s="37">
        <v>1.9</v>
      </c>
      <c r="N1228" s="37">
        <v>99.0</v>
      </c>
      <c r="O1228" s="37">
        <v>24.0</v>
      </c>
      <c r="P1228" s="37">
        <v>68.0</v>
      </c>
      <c r="Q1228" s="37">
        <v>160.0</v>
      </c>
      <c r="R1228" s="37">
        <v>25.0</v>
      </c>
      <c r="S1228" s="37" t="s">
        <v>63</v>
      </c>
      <c r="T1228" s="69">
        <v>0.8462</v>
      </c>
      <c r="U1228" s="70">
        <v>27.0</v>
      </c>
      <c r="V1228" s="37" t="s">
        <v>63</v>
      </c>
      <c r="W1228" s="37" t="s">
        <v>63</v>
      </c>
      <c r="X1228" s="37" t="s">
        <v>63</v>
      </c>
      <c r="Y1228" s="53">
        <v>166.0</v>
      </c>
      <c r="Z1228" s="69" t="s">
        <v>63</v>
      </c>
      <c r="AA1228" s="73"/>
      <c r="AB1228" s="73"/>
      <c r="AC1228" s="73"/>
      <c r="AD1228" s="73"/>
      <c r="AE1228" s="73"/>
      <c r="AF1228" s="73"/>
      <c r="AG1228" s="73"/>
      <c r="AH1228" s="73"/>
      <c r="AI1228" s="73"/>
      <c r="AJ1228" s="73"/>
      <c r="AK1228" s="73"/>
    </row>
    <row r="1229">
      <c r="A1229" s="28">
        <v>1228.0</v>
      </c>
      <c r="B1229" s="29"/>
      <c r="C1229" s="29"/>
      <c r="D1229" s="40">
        <v>1.0</v>
      </c>
      <c r="E1229" s="31">
        <v>24.0</v>
      </c>
      <c r="F1229" s="42">
        <v>27.0</v>
      </c>
      <c r="G1229" s="29" t="str">
        <f t="shared" si="1"/>
        <v>24027</v>
      </c>
      <c r="H1229" s="37" t="s">
        <v>283</v>
      </c>
      <c r="I1229" s="37" t="s">
        <v>57</v>
      </c>
      <c r="J1229" s="37" t="s">
        <v>387</v>
      </c>
      <c r="K1229" s="37" t="str">
        <f t="shared" si="21"/>
        <v>Howard, MD</v>
      </c>
      <c r="L1229" s="37">
        <v>81.0</v>
      </c>
      <c r="M1229" s="37">
        <v>1.3</v>
      </c>
      <c r="N1229" s="37">
        <v>44.0</v>
      </c>
      <c r="O1229" s="37">
        <v>13.0</v>
      </c>
      <c r="P1229" s="37">
        <v>47.0</v>
      </c>
      <c r="Q1229" s="37">
        <v>20.0</v>
      </c>
      <c r="R1229" s="37">
        <v>8.0</v>
      </c>
      <c r="S1229" s="37" t="s">
        <v>63</v>
      </c>
      <c r="T1229" s="69">
        <v>0.8511</v>
      </c>
      <c r="U1229" s="70">
        <v>42.0</v>
      </c>
      <c r="V1229" s="37" t="s">
        <v>63</v>
      </c>
      <c r="W1229" s="37" t="s">
        <v>63</v>
      </c>
      <c r="X1229" s="37" t="s">
        <v>63</v>
      </c>
      <c r="Y1229" s="53">
        <v>162.0</v>
      </c>
      <c r="Z1229" s="69" t="s">
        <v>63</v>
      </c>
      <c r="AA1229" s="73"/>
      <c r="AB1229" s="73"/>
      <c r="AC1229" s="73"/>
      <c r="AD1229" s="73"/>
      <c r="AE1229" s="73"/>
      <c r="AF1229" s="73"/>
      <c r="AG1229" s="73"/>
      <c r="AH1229" s="73"/>
      <c r="AI1229" s="73"/>
      <c r="AJ1229" s="73"/>
      <c r="AK1229" s="73"/>
    </row>
    <row r="1230">
      <c r="A1230" s="28">
        <v>1229.0</v>
      </c>
      <c r="B1230" s="29"/>
      <c r="C1230" s="29"/>
      <c r="D1230" s="40">
        <v>1.0</v>
      </c>
      <c r="E1230" s="31">
        <v>24.0</v>
      </c>
      <c r="F1230" s="42">
        <v>29.0</v>
      </c>
      <c r="G1230" s="29" t="str">
        <f t="shared" si="1"/>
        <v>24029</v>
      </c>
      <c r="H1230" s="37" t="s">
        <v>474</v>
      </c>
      <c r="I1230" s="37" t="s">
        <v>57</v>
      </c>
      <c r="J1230" s="37" t="s">
        <v>387</v>
      </c>
      <c r="K1230" s="37" t="str">
        <f t="shared" si="21"/>
        <v>Kent, MD</v>
      </c>
      <c r="L1230" s="37">
        <v>10.0</v>
      </c>
      <c r="M1230" s="37">
        <v>2.2</v>
      </c>
      <c r="N1230" s="37">
        <v>5.0</v>
      </c>
      <c r="O1230" s="37">
        <v>0.0</v>
      </c>
      <c r="P1230" s="37">
        <v>8.0</v>
      </c>
      <c r="Q1230" s="37">
        <v>5.0</v>
      </c>
      <c r="R1230" s="37">
        <v>1.0</v>
      </c>
      <c r="S1230" s="37" t="s">
        <v>63</v>
      </c>
      <c r="T1230" s="69">
        <v>0.75</v>
      </c>
      <c r="U1230" s="70">
        <v>2.0</v>
      </c>
      <c r="V1230" s="37" t="s">
        <v>63</v>
      </c>
      <c r="W1230" s="37" t="s">
        <v>63</v>
      </c>
      <c r="X1230" s="37" t="s">
        <v>63</v>
      </c>
      <c r="Y1230" s="53">
        <v>35.0</v>
      </c>
      <c r="Z1230" s="69" t="s">
        <v>63</v>
      </c>
      <c r="AA1230" s="73"/>
      <c r="AB1230" s="73"/>
      <c r="AC1230" s="73"/>
      <c r="AD1230" s="73"/>
      <c r="AE1230" s="73"/>
      <c r="AF1230" s="73"/>
      <c r="AG1230" s="73"/>
      <c r="AH1230" s="73"/>
      <c r="AI1230" s="73"/>
      <c r="AJ1230" s="73"/>
      <c r="AK1230" s="73"/>
    </row>
    <row r="1231">
      <c r="A1231" s="28">
        <v>1230.0</v>
      </c>
      <c r="B1231" s="29"/>
      <c r="C1231" s="29"/>
      <c r="D1231" s="40">
        <v>1.0</v>
      </c>
      <c r="E1231" s="31">
        <v>24.0</v>
      </c>
      <c r="F1231" s="42">
        <v>31.0</v>
      </c>
      <c r="G1231" s="29" t="str">
        <f t="shared" si="1"/>
        <v>24031</v>
      </c>
      <c r="H1231" s="37" t="s">
        <v>157</v>
      </c>
      <c r="I1231" s="37" t="s">
        <v>57</v>
      </c>
      <c r="J1231" s="37" t="s">
        <v>387</v>
      </c>
      <c r="K1231" s="136" t="str">
        <f t="shared" si="21"/>
        <v>Montgomery, MD</v>
      </c>
      <c r="L1231" s="37">
        <v>327.0</v>
      </c>
      <c r="M1231" s="37">
        <v>1.2</v>
      </c>
      <c r="N1231" s="37">
        <v>164.0</v>
      </c>
      <c r="O1231" s="37">
        <v>78.0</v>
      </c>
      <c r="P1231" s="37">
        <v>150.0</v>
      </c>
      <c r="Q1231" s="37">
        <v>168.0</v>
      </c>
      <c r="R1231" s="37">
        <v>60.0</v>
      </c>
      <c r="S1231" s="37" t="s">
        <v>63</v>
      </c>
      <c r="T1231" s="69">
        <v>0.8455</v>
      </c>
      <c r="U1231" s="70">
        <v>60.0</v>
      </c>
      <c r="V1231" s="37" t="s">
        <v>63</v>
      </c>
      <c r="W1231" s="37" t="s">
        <v>63</v>
      </c>
      <c r="X1231" s="37" t="s">
        <v>63</v>
      </c>
      <c r="Y1231" s="53">
        <v>396.0</v>
      </c>
      <c r="Z1231" s="69" t="s">
        <v>63</v>
      </c>
      <c r="AA1231" s="73"/>
      <c r="AB1231" s="73"/>
      <c r="AC1231" s="73"/>
      <c r="AD1231" s="73"/>
      <c r="AE1231" s="73"/>
      <c r="AF1231" s="73"/>
      <c r="AG1231" s="73"/>
      <c r="AH1231" s="73"/>
      <c r="AI1231" s="73"/>
      <c r="AJ1231" s="73"/>
      <c r="AK1231" s="73"/>
    </row>
    <row r="1232">
      <c r="A1232" s="28">
        <v>1231.0</v>
      </c>
      <c r="B1232" s="29"/>
      <c r="C1232" s="29"/>
      <c r="D1232" s="40">
        <v>1.0</v>
      </c>
      <c r="E1232" s="31">
        <v>24.0</v>
      </c>
      <c r="F1232" s="42">
        <v>33.0</v>
      </c>
      <c r="G1232" s="29" t="str">
        <f t="shared" si="1"/>
        <v>24033</v>
      </c>
      <c r="H1232" s="37" t="s">
        <v>1222</v>
      </c>
      <c r="I1232" s="37" t="s">
        <v>57</v>
      </c>
      <c r="J1232" s="37" t="s">
        <v>387</v>
      </c>
      <c r="K1232" s="136" t="str">
        <f t="shared" si="21"/>
        <v>Prince Georges, MD</v>
      </c>
      <c r="L1232" s="37">
        <v>444.0</v>
      </c>
      <c r="M1232" s="37">
        <v>1.2</v>
      </c>
      <c r="N1232" s="37">
        <v>228.0</v>
      </c>
      <c r="O1232" s="37">
        <v>87.0</v>
      </c>
      <c r="P1232" s="37">
        <v>170.0</v>
      </c>
      <c r="Q1232" s="37">
        <v>215.0</v>
      </c>
      <c r="R1232" s="37">
        <v>45.0</v>
      </c>
      <c r="S1232" s="37" t="s">
        <v>63</v>
      </c>
      <c r="T1232" s="69">
        <v>0.6667</v>
      </c>
      <c r="U1232" s="70">
        <v>82.0</v>
      </c>
      <c r="V1232" s="37" t="s">
        <v>63</v>
      </c>
      <c r="W1232" s="37" t="s">
        <v>63</v>
      </c>
      <c r="X1232" s="37" t="s">
        <v>63</v>
      </c>
      <c r="Y1232" s="53">
        <v>617.0</v>
      </c>
      <c r="Z1232" s="69" t="s">
        <v>63</v>
      </c>
      <c r="AA1232" s="73"/>
      <c r="AB1232" s="73"/>
      <c r="AC1232" s="73"/>
      <c r="AD1232" s="73"/>
      <c r="AE1232" s="73"/>
      <c r="AF1232" s="73"/>
      <c r="AG1232" s="73"/>
      <c r="AH1232" s="73"/>
      <c r="AI1232" s="73"/>
      <c r="AJ1232" s="73"/>
      <c r="AK1232" s="73"/>
    </row>
    <row r="1233">
      <c r="A1233" s="28">
        <v>1232.0</v>
      </c>
      <c r="B1233" s="29"/>
      <c r="C1233" s="29"/>
      <c r="D1233" s="40">
        <v>1.0</v>
      </c>
      <c r="E1233" s="31">
        <v>24.0</v>
      </c>
      <c r="F1233" s="42">
        <v>35.0</v>
      </c>
      <c r="G1233" s="29" t="str">
        <f t="shared" si="1"/>
        <v>24035</v>
      </c>
      <c r="H1233" s="37" t="s">
        <v>1224</v>
      </c>
      <c r="I1233" s="37" t="s">
        <v>57</v>
      </c>
      <c r="J1233" s="37" t="s">
        <v>387</v>
      </c>
      <c r="K1233" s="136" t="str">
        <f t="shared" si="21"/>
        <v>Queen Annes, MD</v>
      </c>
      <c r="L1233" s="37">
        <v>13.0</v>
      </c>
      <c r="M1233" s="37">
        <v>2.5</v>
      </c>
      <c r="N1233" s="37">
        <v>7.0</v>
      </c>
      <c r="O1233" s="37">
        <v>1.0</v>
      </c>
      <c r="P1233" s="37">
        <v>9.0</v>
      </c>
      <c r="Q1233" s="37">
        <v>17.0</v>
      </c>
      <c r="R1233" s="37">
        <v>2.0</v>
      </c>
      <c r="S1233" s="37" t="s">
        <v>63</v>
      </c>
      <c r="T1233" s="69">
        <v>0.9</v>
      </c>
      <c r="U1233" s="70">
        <v>10.0</v>
      </c>
      <c r="V1233" s="37" t="s">
        <v>63</v>
      </c>
      <c r="W1233" s="37" t="s">
        <v>63</v>
      </c>
      <c r="X1233" s="37" t="s">
        <v>63</v>
      </c>
      <c r="Y1233" s="53">
        <v>39.0</v>
      </c>
      <c r="Z1233" s="69" t="s">
        <v>63</v>
      </c>
      <c r="AA1233" s="73"/>
      <c r="AB1233" s="73"/>
      <c r="AC1233" s="73"/>
      <c r="AD1233" s="73"/>
      <c r="AE1233" s="73"/>
      <c r="AF1233" s="73"/>
      <c r="AG1233" s="73"/>
      <c r="AH1233" s="73"/>
      <c r="AI1233" s="73"/>
      <c r="AJ1233" s="73"/>
      <c r="AK1233" s="73"/>
    </row>
    <row r="1234">
      <c r="A1234" s="28">
        <v>1233.0</v>
      </c>
      <c r="B1234" s="29"/>
      <c r="C1234" s="29"/>
      <c r="D1234" s="40">
        <v>1.0</v>
      </c>
      <c r="E1234" s="31">
        <v>24.0</v>
      </c>
      <c r="F1234" s="42">
        <v>37.0</v>
      </c>
      <c r="G1234" s="29" t="str">
        <f t="shared" si="1"/>
        <v>24037</v>
      </c>
      <c r="H1234" s="37" t="s">
        <v>1225</v>
      </c>
      <c r="I1234" s="37" t="s">
        <v>57</v>
      </c>
      <c r="J1234" s="37" t="s">
        <v>387</v>
      </c>
      <c r="K1234" s="37" t="str">
        <f t="shared" si="21"/>
        <v>St Marys, MD</v>
      </c>
      <c r="L1234" s="37">
        <v>54.0</v>
      </c>
      <c r="M1234" s="37">
        <v>1.4</v>
      </c>
      <c r="N1234" s="37">
        <v>37.0</v>
      </c>
      <c r="O1234" s="37">
        <v>5.0</v>
      </c>
      <c r="P1234" s="37">
        <v>16.0</v>
      </c>
      <c r="Q1234" s="37">
        <v>16.0</v>
      </c>
      <c r="R1234" s="37">
        <v>29.0</v>
      </c>
      <c r="S1234" s="37" t="s">
        <v>63</v>
      </c>
      <c r="T1234" s="69">
        <v>0.7222</v>
      </c>
      <c r="U1234" s="70">
        <v>14.0</v>
      </c>
      <c r="V1234" s="37" t="s">
        <v>63</v>
      </c>
      <c r="W1234" s="37" t="s">
        <v>63</v>
      </c>
      <c r="X1234" s="37" t="s">
        <v>63</v>
      </c>
      <c r="Y1234" s="53">
        <v>69.0</v>
      </c>
      <c r="Z1234" s="69" t="s">
        <v>63</v>
      </c>
      <c r="AA1234" s="73"/>
      <c r="AB1234" s="73"/>
      <c r="AC1234" s="73"/>
      <c r="AD1234" s="73"/>
      <c r="AE1234" s="73"/>
      <c r="AF1234" s="73"/>
      <c r="AG1234" s="73"/>
      <c r="AH1234" s="73"/>
      <c r="AI1234" s="73"/>
      <c r="AJ1234" s="73"/>
      <c r="AK1234" s="73"/>
    </row>
    <row r="1235">
      <c r="A1235" s="28">
        <v>1234.0</v>
      </c>
      <c r="B1235" s="29"/>
      <c r="C1235" s="29"/>
      <c r="D1235" s="40">
        <v>1.0</v>
      </c>
      <c r="E1235" s="31">
        <v>24.0</v>
      </c>
      <c r="F1235" s="42">
        <v>39.0</v>
      </c>
      <c r="G1235" s="29" t="str">
        <f t="shared" si="1"/>
        <v>24039</v>
      </c>
      <c r="H1235" s="37" t="s">
        <v>1194</v>
      </c>
      <c r="I1235" s="37" t="s">
        <v>57</v>
      </c>
      <c r="J1235" s="37" t="s">
        <v>387</v>
      </c>
      <c r="K1235" s="37" t="str">
        <f t="shared" si="21"/>
        <v>Somerset, MD</v>
      </c>
      <c r="L1235" s="37">
        <v>21.0</v>
      </c>
      <c r="M1235" s="37">
        <v>1.4</v>
      </c>
      <c r="N1235" s="37">
        <v>13.0</v>
      </c>
      <c r="O1235" s="37">
        <v>1.0</v>
      </c>
      <c r="P1235" s="37">
        <v>34.0</v>
      </c>
      <c r="Q1235" s="37">
        <v>11.0</v>
      </c>
      <c r="R1235" s="37">
        <v>1.0</v>
      </c>
      <c r="S1235" s="37" t="s">
        <v>63</v>
      </c>
      <c r="T1235" s="69">
        <v>1.0</v>
      </c>
      <c r="U1235" s="70">
        <v>34.0</v>
      </c>
      <c r="V1235" s="37" t="s">
        <v>63</v>
      </c>
      <c r="W1235" s="37" t="s">
        <v>63</v>
      </c>
      <c r="X1235" s="37" t="s">
        <v>63</v>
      </c>
      <c r="Y1235" s="53">
        <v>36.0</v>
      </c>
      <c r="Z1235" s="69" t="s">
        <v>63</v>
      </c>
      <c r="AA1235" s="73"/>
      <c r="AB1235" s="73"/>
      <c r="AC1235" s="73"/>
      <c r="AD1235" s="73"/>
      <c r="AE1235" s="73"/>
      <c r="AF1235" s="73"/>
      <c r="AG1235" s="73"/>
      <c r="AH1235" s="73"/>
      <c r="AI1235" s="73"/>
      <c r="AJ1235" s="73"/>
      <c r="AK1235" s="73"/>
    </row>
    <row r="1236">
      <c r="A1236" s="28">
        <v>1235.0</v>
      </c>
      <c r="B1236" s="29"/>
      <c r="C1236" s="29"/>
      <c r="D1236" s="40">
        <v>1.0</v>
      </c>
      <c r="E1236" s="31">
        <v>24.0</v>
      </c>
      <c r="F1236" s="42">
        <v>41.0</v>
      </c>
      <c r="G1236" s="29" t="str">
        <f t="shared" si="1"/>
        <v>24041</v>
      </c>
      <c r="H1236" s="37" t="s">
        <v>630</v>
      </c>
      <c r="I1236" s="37" t="s">
        <v>57</v>
      </c>
      <c r="J1236" s="37" t="s">
        <v>387</v>
      </c>
      <c r="K1236" s="37" t="str">
        <f t="shared" si="21"/>
        <v>Talbot, MD</v>
      </c>
      <c r="L1236" s="37">
        <v>16.0</v>
      </c>
      <c r="M1236" s="37">
        <v>2.5</v>
      </c>
      <c r="N1236" s="37">
        <v>7.0</v>
      </c>
      <c r="O1236" s="37">
        <v>2.0</v>
      </c>
      <c r="P1236" s="37">
        <v>9.0</v>
      </c>
      <c r="Q1236" s="37">
        <v>15.0</v>
      </c>
      <c r="R1236" s="37">
        <v>5.0</v>
      </c>
      <c r="S1236" s="37" t="s">
        <v>63</v>
      </c>
      <c r="T1236" s="69">
        <v>1.0</v>
      </c>
      <c r="U1236" s="70">
        <v>7.0</v>
      </c>
      <c r="V1236" s="37" t="s">
        <v>63</v>
      </c>
      <c r="W1236" s="37" t="s">
        <v>63</v>
      </c>
      <c r="X1236" s="37" t="s">
        <v>63</v>
      </c>
      <c r="Y1236" s="53">
        <v>50.0</v>
      </c>
      <c r="Z1236" s="69" t="s">
        <v>63</v>
      </c>
      <c r="AA1236" s="73"/>
      <c r="AB1236" s="73"/>
      <c r="AC1236" s="73"/>
      <c r="AD1236" s="73"/>
      <c r="AE1236" s="73"/>
      <c r="AF1236" s="73"/>
      <c r="AG1236" s="73"/>
      <c r="AH1236" s="73"/>
      <c r="AI1236" s="73"/>
      <c r="AJ1236" s="73"/>
      <c r="AK1236" s="73"/>
    </row>
    <row r="1237">
      <c r="A1237" s="28">
        <v>1236.0</v>
      </c>
      <c r="B1237" s="29"/>
      <c r="C1237" s="29"/>
      <c r="D1237" s="40">
        <v>1.0</v>
      </c>
      <c r="E1237" s="31">
        <v>24.0</v>
      </c>
      <c r="F1237" s="42">
        <v>43.0</v>
      </c>
      <c r="G1237" s="29" t="str">
        <f t="shared" si="1"/>
        <v>24043</v>
      </c>
      <c r="H1237" s="37" t="s">
        <v>119</v>
      </c>
      <c r="I1237" s="37" t="s">
        <v>57</v>
      </c>
      <c r="J1237" s="37" t="s">
        <v>387</v>
      </c>
      <c r="K1237" s="37" t="str">
        <f t="shared" si="21"/>
        <v>Washington, MD</v>
      </c>
      <c r="L1237" s="37">
        <v>118.0</v>
      </c>
      <c r="M1237" s="37">
        <v>1.4</v>
      </c>
      <c r="N1237" s="37">
        <v>58.0</v>
      </c>
      <c r="O1237" s="37">
        <v>15.0</v>
      </c>
      <c r="P1237" s="37">
        <v>46.0</v>
      </c>
      <c r="Q1237" s="37">
        <v>65.0</v>
      </c>
      <c r="R1237" s="37">
        <v>22.0</v>
      </c>
      <c r="S1237" s="37" t="s">
        <v>63</v>
      </c>
      <c r="T1237" s="69">
        <v>0.7234</v>
      </c>
      <c r="U1237" s="70">
        <v>37.0</v>
      </c>
      <c r="V1237" s="37" t="s">
        <v>63</v>
      </c>
      <c r="W1237" s="37" t="s">
        <v>63</v>
      </c>
      <c r="X1237" s="37" t="s">
        <v>63</v>
      </c>
      <c r="Y1237" s="53">
        <v>183.0</v>
      </c>
      <c r="Z1237" s="69" t="s">
        <v>63</v>
      </c>
      <c r="AA1237" s="73"/>
      <c r="AB1237" s="73"/>
      <c r="AC1237" s="73"/>
      <c r="AD1237" s="73"/>
      <c r="AE1237" s="73"/>
      <c r="AF1237" s="73"/>
      <c r="AG1237" s="73"/>
      <c r="AH1237" s="73"/>
      <c r="AI1237" s="73"/>
      <c r="AJ1237" s="73"/>
      <c r="AK1237" s="73"/>
    </row>
    <row r="1238">
      <c r="A1238" s="28">
        <v>1237.0</v>
      </c>
      <c r="B1238" s="29"/>
      <c r="C1238" s="29"/>
      <c r="D1238" s="40">
        <v>1.0</v>
      </c>
      <c r="E1238" s="31">
        <v>24.0</v>
      </c>
      <c r="F1238" s="42">
        <v>45.0</v>
      </c>
      <c r="G1238" s="29" t="str">
        <f t="shared" si="1"/>
        <v>24045</v>
      </c>
      <c r="H1238" s="37" t="s">
        <v>1226</v>
      </c>
      <c r="I1238" s="37" t="s">
        <v>57</v>
      </c>
      <c r="J1238" s="37" t="s">
        <v>387</v>
      </c>
      <c r="K1238" s="37" t="str">
        <f t="shared" si="21"/>
        <v>Wicomico, MD</v>
      </c>
      <c r="L1238" s="37">
        <v>20.0</v>
      </c>
      <c r="M1238" s="37">
        <v>1.7</v>
      </c>
      <c r="N1238" s="37">
        <v>11.0</v>
      </c>
      <c r="O1238" s="37">
        <v>3.0</v>
      </c>
      <c r="P1238" s="37">
        <v>14.0</v>
      </c>
      <c r="Q1238" s="37">
        <v>21.0</v>
      </c>
      <c r="R1238" s="37">
        <v>5.0</v>
      </c>
      <c r="S1238" s="37" t="s">
        <v>63</v>
      </c>
      <c r="T1238" s="69">
        <v>0.6667</v>
      </c>
      <c r="U1238" s="70">
        <v>17.0</v>
      </c>
      <c r="V1238" s="37" t="s">
        <v>63</v>
      </c>
      <c r="W1238" s="37" t="s">
        <v>63</v>
      </c>
      <c r="X1238" s="37" t="s">
        <v>63</v>
      </c>
      <c r="Y1238" s="53">
        <v>108.0</v>
      </c>
      <c r="Z1238" s="69" t="s">
        <v>63</v>
      </c>
      <c r="AA1238" s="73"/>
      <c r="AB1238" s="73"/>
      <c r="AC1238" s="73"/>
      <c r="AD1238" s="73"/>
      <c r="AE1238" s="73"/>
      <c r="AF1238" s="73"/>
      <c r="AG1238" s="73"/>
      <c r="AH1238" s="73"/>
      <c r="AI1238" s="73"/>
      <c r="AJ1238" s="73"/>
      <c r="AK1238" s="73"/>
    </row>
    <row r="1239">
      <c r="A1239" s="28">
        <v>1238.0</v>
      </c>
      <c r="B1239" s="29"/>
      <c r="C1239" s="29"/>
      <c r="D1239" s="40">
        <v>1.0</v>
      </c>
      <c r="E1239" s="31">
        <v>24.0</v>
      </c>
      <c r="F1239" s="42">
        <v>47.0</v>
      </c>
      <c r="G1239" s="29" t="str">
        <f t="shared" si="1"/>
        <v>24047</v>
      </c>
      <c r="H1239" s="37" t="s">
        <v>492</v>
      </c>
      <c r="I1239" s="37" t="s">
        <v>57</v>
      </c>
      <c r="J1239" s="37" t="s">
        <v>387</v>
      </c>
      <c r="K1239" s="37" t="str">
        <f t="shared" si="21"/>
        <v>Worcester, MD</v>
      </c>
      <c r="L1239" s="53">
        <v>22.0</v>
      </c>
      <c r="M1239" s="37">
        <v>2.7</v>
      </c>
      <c r="N1239" s="37">
        <v>12.0</v>
      </c>
      <c r="O1239" s="37">
        <v>5.0</v>
      </c>
      <c r="P1239" s="37">
        <v>12.0</v>
      </c>
      <c r="Q1239" s="37">
        <v>10.0</v>
      </c>
      <c r="R1239" s="37">
        <v>3.0</v>
      </c>
      <c r="S1239" s="37" t="s">
        <v>63</v>
      </c>
      <c r="T1239" s="69">
        <v>0.7727</v>
      </c>
      <c r="U1239" s="70">
        <v>48.0</v>
      </c>
      <c r="V1239" s="37" t="s">
        <v>63</v>
      </c>
      <c r="W1239" s="37" t="s">
        <v>63</v>
      </c>
      <c r="X1239" s="37" t="s">
        <v>63</v>
      </c>
      <c r="Y1239" s="53">
        <v>80.0</v>
      </c>
      <c r="Z1239" s="69" t="s">
        <v>63</v>
      </c>
      <c r="AA1239" s="73"/>
      <c r="AB1239" s="73"/>
      <c r="AC1239" s="73"/>
      <c r="AD1239" s="73"/>
      <c r="AE1239" s="73"/>
      <c r="AF1239" s="73"/>
      <c r="AG1239" s="73"/>
      <c r="AH1239" s="73"/>
      <c r="AI1239" s="73"/>
      <c r="AJ1239" s="73"/>
      <c r="AK1239" s="73"/>
    </row>
    <row r="1240">
      <c r="A1240" s="28">
        <v>1239.0</v>
      </c>
      <c r="B1240" s="29"/>
      <c r="C1240" s="29"/>
      <c r="D1240" s="40">
        <v>1.0</v>
      </c>
      <c r="E1240" s="31">
        <v>24.0</v>
      </c>
      <c r="F1240" s="42">
        <v>510.0</v>
      </c>
      <c r="G1240" s="29" t="str">
        <f t="shared" si="1"/>
        <v>24510</v>
      </c>
      <c r="H1240" s="37" t="s">
        <v>607</v>
      </c>
      <c r="I1240" s="37" t="s">
        <v>57</v>
      </c>
      <c r="J1240" s="37" t="s">
        <v>387</v>
      </c>
      <c r="K1240" s="136" t="str">
        <f t="shared" si="21"/>
        <v>Baltimore City, MD</v>
      </c>
      <c r="L1240" s="37">
        <v>1427.0</v>
      </c>
      <c r="M1240" s="37">
        <v>0.9</v>
      </c>
      <c r="N1240" s="37">
        <v>605.0</v>
      </c>
      <c r="O1240" s="37">
        <v>501.0</v>
      </c>
      <c r="P1240" s="37">
        <v>718.0</v>
      </c>
      <c r="Q1240" s="37">
        <v>687.0</v>
      </c>
      <c r="R1240" s="37">
        <v>169.0</v>
      </c>
      <c r="S1240" s="37" t="s">
        <v>63</v>
      </c>
      <c r="T1240" s="69">
        <v>0.874</v>
      </c>
      <c r="U1240" s="70">
        <v>241.0</v>
      </c>
      <c r="V1240" s="37" t="s">
        <v>63</v>
      </c>
      <c r="W1240" s="37" t="s">
        <v>63</v>
      </c>
      <c r="X1240" s="37" t="s">
        <v>63</v>
      </c>
      <c r="Y1240" s="53">
        <v>558.0</v>
      </c>
      <c r="Z1240" s="69" t="s">
        <v>63</v>
      </c>
      <c r="AA1240" s="73"/>
      <c r="AB1240" s="73"/>
      <c r="AC1240" s="73"/>
      <c r="AD1240" s="73"/>
      <c r="AE1240" s="73"/>
      <c r="AF1240" s="73"/>
      <c r="AG1240" s="73"/>
      <c r="AH1240" s="73"/>
      <c r="AI1240" s="73"/>
      <c r="AJ1240" s="73"/>
      <c r="AK1240" s="73"/>
    </row>
    <row r="1241">
      <c r="A1241" s="99">
        <v>1240.0</v>
      </c>
      <c r="B1241" s="15"/>
      <c r="C1241" s="14" t="s">
        <v>25</v>
      </c>
      <c r="D1241" s="16"/>
      <c r="E1241" s="102">
        <v>25.0</v>
      </c>
      <c r="F1241" s="107">
        <v>0.0</v>
      </c>
      <c r="G1241" s="15" t="str">
        <f t="shared" si="1"/>
        <v>25000</v>
      </c>
      <c r="H1241" s="23"/>
      <c r="I1241" s="23" t="s">
        <v>59</v>
      </c>
      <c r="J1241" s="23" t="s">
        <v>282</v>
      </c>
      <c r="K1241" s="23"/>
      <c r="L1241" s="23" t="str">
        <f t="array" ref="L1241">#REF!</f>
        <v>#REF!</v>
      </c>
      <c r="M1241" s="23"/>
      <c r="N1241" s="23"/>
      <c r="O1241" s="23"/>
      <c r="P1241" s="23"/>
      <c r="Q1241" s="23"/>
      <c r="R1241" s="23"/>
      <c r="S1241" s="23"/>
      <c r="T1241" s="32"/>
      <c r="U1241" s="23"/>
      <c r="V1241" s="23"/>
      <c r="W1241" s="23"/>
      <c r="X1241" s="23"/>
      <c r="Y1241" s="35"/>
      <c r="Z1241" s="32"/>
      <c r="AA1241" s="38"/>
      <c r="AB1241" s="38"/>
      <c r="AC1241" s="38"/>
      <c r="AD1241" s="38"/>
      <c r="AE1241" s="38"/>
      <c r="AF1241" s="38"/>
      <c r="AG1241" s="38"/>
      <c r="AH1241" s="38"/>
      <c r="AI1241" s="38"/>
      <c r="AJ1241" s="38"/>
      <c r="AK1241" s="38"/>
    </row>
    <row r="1242">
      <c r="A1242" s="99">
        <v>1241.0</v>
      </c>
      <c r="B1242" s="15"/>
      <c r="C1242" s="15"/>
      <c r="D1242" s="105">
        <v>1.0</v>
      </c>
      <c r="E1242" s="102">
        <v>25.0</v>
      </c>
      <c r="F1242" s="107">
        <v>1.0</v>
      </c>
      <c r="G1242" s="15" t="str">
        <f t="shared" si="1"/>
        <v>25001</v>
      </c>
      <c r="H1242" s="23" t="s">
        <v>1227</v>
      </c>
      <c r="I1242" s="23" t="s">
        <v>59</v>
      </c>
      <c r="J1242" s="23" t="s">
        <v>282</v>
      </c>
      <c r="K1242" s="23" t="str">
        <f t="shared" ref="K1242:K1255" si="22">CONCATENATE(H1242,", ",J1242)</f>
        <v>Barnstable, MA</v>
      </c>
      <c r="L1242" s="23">
        <f t="array" ref="L1242:Z1243">Massachusetts!C3:Q4</f>
        <v>894</v>
      </c>
      <c r="M1242" s="23" t="s">
        <v>63</v>
      </c>
      <c r="N1242" s="23">
        <v>615.0</v>
      </c>
      <c r="O1242" s="23">
        <v>360.0</v>
      </c>
      <c r="P1242" s="23" t="s">
        <v>63</v>
      </c>
      <c r="Q1242" s="23">
        <v>367.0</v>
      </c>
      <c r="R1242" s="23">
        <v>361.0</v>
      </c>
      <c r="S1242" s="23" t="s">
        <v>63</v>
      </c>
      <c r="T1242" s="32">
        <v>0.608</v>
      </c>
      <c r="U1242" s="23">
        <v>2219.0</v>
      </c>
      <c r="V1242" s="23" t="s">
        <v>63</v>
      </c>
      <c r="W1242" s="23" t="s">
        <v>63</v>
      </c>
      <c r="X1242" s="23" t="s">
        <v>63</v>
      </c>
      <c r="Y1242" s="35" t="s">
        <v>63</v>
      </c>
      <c r="Z1242" s="32" t="s">
        <v>63</v>
      </c>
      <c r="AA1242" s="38"/>
      <c r="AB1242" s="38"/>
      <c r="AC1242" s="38"/>
      <c r="AD1242" s="38"/>
      <c r="AE1242" s="38"/>
      <c r="AF1242" s="38"/>
      <c r="AG1242" s="38"/>
      <c r="AH1242" s="38"/>
      <c r="AI1242" s="38"/>
      <c r="AJ1242" s="38"/>
      <c r="AK1242" s="38"/>
    </row>
    <row r="1243">
      <c r="A1243" s="99">
        <v>1242.0</v>
      </c>
      <c r="B1243" s="15"/>
      <c r="C1243" s="15"/>
      <c r="D1243" s="105">
        <v>1.0</v>
      </c>
      <c r="E1243" s="102">
        <v>25.0</v>
      </c>
      <c r="F1243" s="107">
        <v>3.0</v>
      </c>
      <c r="G1243" s="15" t="str">
        <f t="shared" si="1"/>
        <v>25003</v>
      </c>
      <c r="H1243" s="23" t="s">
        <v>1228</v>
      </c>
      <c r="I1243" s="23" t="s">
        <v>59</v>
      </c>
      <c r="J1243" s="23" t="s">
        <v>282</v>
      </c>
      <c r="K1243" s="23" t="str">
        <f t="shared" si="22"/>
        <v>Berkshire, MA</v>
      </c>
      <c r="L1243" s="23">
        <v>1529.0</v>
      </c>
      <c r="M1243" s="23" t="s">
        <v>63</v>
      </c>
      <c r="N1243" s="23">
        <v>1088.0</v>
      </c>
      <c r="O1243" s="23">
        <v>658.0</v>
      </c>
      <c r="P1243" s="23" t="s">
        <v>63</v>
      </c>
      <c r="Q1243" s="23">
        <v>708.0</v>
      </c>
      <c r="R1243" s="23">
        <v>635.0</v>
      </c>
      <c r="S1243" s="23" t="s">
        <v>63</v>
      </c>
      <c r="T1243" s="32">
        <v>0.538</v>
      </c>
      <c r="U1243" s="23">
        <v>3781.0</v>
      </c>
      <c r="V1243" s="23" t="s">
        <v>63</v>
      </c>
      <c r="W1243" s="23" t="s">
        <v>63</v>
      </c>
      <c r="X1243" s="23" t="s">
        <v>63</v>
      </c>
      <c r="Y1243" s="35" t="s">
        <v>63</v>
      </c>
      <c r="Z1243" s="32" t="s">
        <v>63</v>
      </c>
      <c r="AA1243" s="38"/>
      <c r="AB1243" s="38"/>
      <c r="AC1243" s="38"/>
      <c r="AD1243" s="38"/>
      <c r="AE1243" s="38"/>
      <c r="AF1243" s="38"/>
      <c r="AG1243" s="38"/>
      <c r="AH1243" s="38"/>
      <c r="AI1243" s="38"/>
      <c r="AJ1243" s="38"/>
      <c r="AK1243" s="38"/>
    </row>
    <row r="1244">
      <c r="A1244" s="99">
        <v>1243.0</v>
      </c>
      <c r="B1244" s="15"/>
      <c r="C1244" s="15"/>
      <c r="D1244" s="105">
        <v>1.0</v>
      </c>
      <c r="E1244" s="102">
        <v>25.0</v>
      </c>
      <c r="F1244" s="107">
        <v>5.0</v>
      </c>
      <c r="G1244" s="15" t="str">
        <f t="shared" si="1"/>
        <v>25005</v>
      </c>
      <c r="H1244" s="23" t="s">
        <v>634</v>
      </c>
      <c r="I1244" s="23" t="s">
        <v>59</v>
      </c>
      <c r="J1244" s="23" t="s">
        <v>282</v>
      </c>
      <c r="K1244" s="23" t="str">
        <f t="shared" si="22"/>
        <v>Bristol, MA</v>
      </c>
      <c r="L1244" s="23"/>
      <c r="M1244" s="23"/>
      <c r="N1244" s="23"/>
      <c r="O1244" s="23"/>
      <c r="P1244" s="23"/>
      <c r="Q1244" s="23"/>
      <c r="R1244" s="23"/>
      <c r="S1244" s="23"/>
      <c r="T1244" s="32"/>
      <c r="U1244" s="23"/>
      <c r="V1244" s="23"/>
      <c r="W1244" s="23"/>
      <c r="X1244" s="23"/>
      <c r="Y1244" s="23"/>
      <c r="Z1244" s="32"/>
      <c r="AA1244" s="38"/>
      <c r="AB1244" s="38"/>
      <c r="AC1244" s="38"/>
      <c r="AD1244" s="38"/>
      <c r="AE1244" s="38"/>
      <c r="AF1244" s="38"/>
      <c r="AG1244" s="38"/>
      <c r="AH1244" s="38"/>
      <c r="AI1244" s="38"/>
      <c r="AJ1244" s="38"/>
      <c r="AK1244" s="38"/>
    </row>
    <row r="1245">
      <c r="A1245" s="99">
        <v>1244.0</v>
      </c>
      <c r="B1245" s="15"/>
      <c r="C1245" s="15"/>
      <c r="D1245" s="105">
        <v>1.0</v>
      </c>
      <c r="E1245" s="102">
        <v>25.0</v>
      </c>
      <c r="F1245" s="107">
        <v>7.0</v>
      </c>
      <c r="G1245" s="15" t="str">
        <f t="shared" si="1"/>
        <v>25007</v>
      </c>
      <c r="H1245" s="23" t="s">
        <v>1229</v>
      </c>
      <c r="I1245" s="23" t="s">
        <v>59</v>
      </c>
      <c r="J1245" s="23" t="s">
        <v>282</v>
      </c>
      <c r="K1245" s="23" t="str">
        <f t="shared" si="22"/>
        <v>Dukes, MA</v>
      </c>
      <c r="L1245" s="23"/>
      <c r="M1245" s="23"/>
      <c r="N1245" s="23"/>
      <c r="O1245" s="23"/>
      <c r="P1245" s="23"/>
      <c r="Q1245" s="23"/>
      <c r="R1245" s="23"/>
      <c r="S1245" s="23"/>
      <c r="T1245" s="32"/>
      <c r="U1245" s="23"/>
      <c r="V1245" s="23"/>
      <c r="W1245" s="23"/>
      <c r="X1245" s="23"/>
      <c r="Y1245" s="23"/>
      <c r="Z1245" s="32"/>
      <c r="AA1245" s="38"/>
      <c r="AB1245" s="38"/>
      <c r="AC1245" s="38"/>
      <c r="AD1245" s="38"/>
      <c r="AE1245" s="38"/>
      <c r="AF1245" s="38"/>
      <c r="AG1245" s="38"/>
      <c r="AH1245" s="38"/>
      <c r="AI1245" s="38"/>
      <c r="AJ1245" s="38"/>
      <c r="AK1245" s="38"/>
    </row>
    <row r="1246">
      <c r="A1246" s="99">
        <v>1245.0</v>
      </c>
      <c r="B1246" s="15"/>
      <c r="C1246" s="15"/>
      <c r="D1246" s="105">
        <v>1.0</v>
      </c>
      <c r="E1246" s="102">
        <v>25.0</v>
      </c>
      <c r="F1246" s="107">
        <v>9.0</v>
      </c>
      <c r="G1246" s="15" t="str">
        <f t="shared" si="1"/>
        <v>25009</v>
      </c>
      <c r="H1246" s="23" t="s">
        <v>516</v>
      </c>
      <c r="I1246" s="23" t="s">
        <v>59</v>
      </c>
      <c r="J1246" s="23" t="s">
        <v>282</v>
      </c>
      <c r="K1246" s="23" t="str">
        <f t="shared" si="22"/>
        <v>Essex, MA</v>
      </c>
      <c r="L1246" s="23"/>
      <c r="M1246" s="23"/>
      <c r="N1246" s="23"/>
      <c r="O1246" s="23"/>
      <c r="P1246" s="23"/>
      <c r="Q1246" s="23"/>
      <c r="R1246" s="23"/>
      <c r="S1246" s="23"/>
      <c r="T1246" s="32"/>
      <c r="U1246" s="23"/>
      <c r="V1246" s="23"/>
      <c r="W1246" s="23"/>
      <c r="X1246" s="23"/>
      <c r="Y1246" s="23"/>
      <c r="Z1246" s="32"/>
      <c r="AA1246" s="38"/>
      <c r="AB1246" s="38"/>
      <c r="AC1246" s="38"/>
      <c r="AD1246" s="38"/>
      <c r="AE1246" s="38"/>
      <c r="AF1246" s="38"/>
      <c r="AG1246" s="38"/>
      <c r="AH1246" s="38"/>
      <c r="AI1246" s="38"/>
      <c r="AJ1246" s="38"/>
      <c r="AK1246" s="38"/>
    </row>
    <row r="1247">
      <c r="A1247" s="99">
        <v>1246.0</v>
      </c>
      <c r="B1247" s="15"/>
      <c r="C1247" s="15"/>
      <c r="D1247" s="105">
        <v>1.0</v>
      </c>
      <c r="E1247" s="102">
        <v>25.0</v>
      </c>
      <c r="F1247" s="107">
        <v>11.0</v>
      </c>
      <c r="G1247" s="15" t="str">
        <f t="shared" si="1"/>
        <v>25011</v>
      </c>
      <c r="H1247" s="23" t="s">
        <v>136</v>
      </c>
      <c r="I1247" s="23" t="s">
        <v>59</v>
      </c>
      <c r="J1247" s="23" t="s">
        <v>282</v>
      </c>
      <c r="K1247" s="23" t="str">
        <f t="shared" si="22"/>
        <v>Franklin, MA</v>
      </c>
      <c r="L1247" s="23"/>
      <c r="M1247" s="23"/>
      <c r="N1247" s="23"/>
      <c r="O1247" s="23"/>
      <c r="P1247" s="23"/>
      <c r="Q1247" s="23"/>
      <c r="R1247" s="23"/>
      <c r="S1247" s="23"/>
      <c r="T1247" s="32"/>
      <c r="U1247" s="23"/>
      <c r="V1247" s="23"/>
      <c r="W1247" s="23"/>
      <c r="X1247" s="23"/>
      <c r="Y1247" s="23"/>
      <c r="Z1247" s="32"/>
      <c r="AA1247" s="38"/>
      <c r="AB1247" s="38"/>
      <c r="AC1247" s="38"/>
      <c r="AD1247" s="38"/>
      <c r="AE1247" s="38"/>
      <c r="AF1247" s="38"/>
      <c r="AG1247" s="38"/>
      <c r="AH1247" s="38"/>
      <c r="AI1247" s="38"/>
      <c r="AJ1247" s="38"/>
      <c r="AK1247" s="38"/>
    </row>
    <row r="1248">
      <c r="A1248" s="99">
        <v>1247.0</v>
      </c>
      <c r="B1248" s="15"/>
      <c r="C1248" s="15"/>
      <c r="D1248" s="105">
        <v>1.0</v>
      </c>
      <c r="E1248" s="102">
        <v>25.0</v>
      </c>
      <c r="F1248" s="107">
        <v>13.0</v>
      </c>
      <c r="G1248" s="15" t="str">
        <f t="shared" si="1"/>
        <v>25013</v>
      </c>
      <c r="H1248" s="23" t="s">
        <v>1230</v>
      </c>
      <c r="I1248" s="23" t="s">
        <v>59</v>
      </c>
      <c r="J1248" s="23" t="s">
        <v>282</v>
      </c>
      <c r="K1248" s="23" t="str">
        <f t="shared" si="22"/>
        <v>Hampden, MA</v>
      </c>
      <c r="L1248" s="23"/>
      <c r="M1248" s="23"/>
      <c r="N1248" s="23"/>
      <c r="O1248" s="23"/>
      <c r="P1248" s="23"/>
      <c r="Q1248" s="23"/>
      <c r="R1248" s="23"/>
      <c r="S1248" s="23"/>
      <c r="T1248" s="32"/>
      <c r="U1248" s="23"/>
      <c r="V1248" s="23"/>
      <c r="W1248" s="23"/>
      <c r="X1248" s="23"/>
      <c r="Y1248" s="23"/>
      <c r="Z1248" s="32"/>
      <c r="AA1248" s="38"/>
      <c r="AB1248" s="38"/>
      <c r="AC1248" s="38"/>
      <c r="AD1248" s="38"/>
      <c r="AE1248" s="38"/>
      <c r="AF1248" s="38"/>
      <c r="AG1248" s="38"/>
      <c r="AH1248" s="38"/>
      <c r="AI1248" s="38"/>
      <c r="AJ1248" s="38"/>
      <c r="AK1248" s="38"/>
    </row>
    <row r="1249">
      <c r="A1249" s="99">
        <v>1248.0</v>
      </c>
      <c r="B1249" s="15"/>
      <c r="C1249" s="15"/>
      <c r="D1249" s="105">
        <v>1.0</v>
      </c>
      <c r="E1249" s="102">
        <v>25.0</v>
      </c>
      <c r="F1249" s="107">
        <v>15.0</v>
      </c>
      <c r="G1249" s="15" t="str">
        <f t="shared" si="1"/>
        <v>25015</v>
      </c>
      <c r="H1249" s="23" t="s">
        <v>1231</v>
      </c>
      <c r="I1249" s="23" t="s">
        <v>59</v>
      </c>
      <c r="J1249" s="23" t="s">
        <v>282</v>
      </c>
      <c r="K1249" s="23" t="str">
        <f t="shared" si="22"/>
        <v>Hampshire, MA</v>
      </c>
      <c r="L1249" s="23"/>
      <c r="M1249" s="23"/>
      <c r="N1249" s="23"/>
      <c r="O1249" s="23"/>
      <c r="P1249" s="23"/>
      <c r="Q1249" s="23"/>
      <c r="R1249" s="23"/>
      <c r="S1249" s="23"/>
      <c r="T1249" s="32"/>
      <c r="U1249" s="23"/>
      <c r="V1249" s="23"/>
      <c r="W1249" s="23"/>
      <c r="X1249" s="23"/>
      <c r="Y1249" s="23"/>
      <c r="Z1249" s="32"/>
      <c r="AA1249" s="38"/>
      <c r="AB1249" s="38"/>
      <c r="AC1249" s="38"/>
      <c r="AD1249" s="38"/>
      <c r="AE1249" s="38"/>
      <c r="AF1249" s="38"/>
      <c r="AG1249" s="38"/>
      <c r="AH1249" s="38"/>
      <c r="AI1249" s="38"/>
      <c r="AJ1249" s="38"/>
      <c r="AK1249" s="38"/>
    </row>
    <row r="1250">
      <c r="A1250" s="99">
        <v>1249.0</v>
      </c>
      <c r="B1250" s="15"/>
      <c r="C1250" s="15"/>
      <c r="D1250" s="105">
        <v>1.0</v>
      </c>
      <c r="E1250" s="102">
        <v>25.0</v>
      </c>
      <c r="F1250" s="107">
        <v>17.0</v>
      </c>
      <c r="G1250" s="15" t="str">
        <f t="shared" si="1"/>
        <v>25017</v>
      </c>
      <c r="H1250" s="23" t="s">
        <v>281</v>
      </c>
      <c r="I1250" s="23" t="s">
        <v>59</v>
      </c>
      <c r="J1250" s="23" t="s">
        <v>282</v>
      </c>
      <c r="K1250" s="23" t="str">
        <f t="shared" si="22"/>
        <v>Middlesex, MA</v>
      </c>
      <c r="L1250" s="23"/>
      <c r="M1250" s="23"/>
      <c r="N1250" s="23"/>
      <c r="O1250" s="23"/>
      <c r="P1250" s="23"/>
      <c r="Q1250" s="23"/>
      <c r="R1250" s="23"/>
      <c r="S1250" s="23"/>
      <c r="T1250" s="32"/>
      <c r="U1250" s="23"/>
      <c r="V1250" s="23"/>
      <c r="W1250" s="23"/>
      <c r="X1250" s="23"/>
      <c r="Y1250" s="23"/>
      <c r="Z1250" s="32"/>
      <c r="AA1250" s="38"/>
      <c r="AB1250" s="38"/>
      <c r="AC1250" s="38"/>
      <c r="AD1250" s="38"/>
      <c r="AE1250" s="38"/>
      <c r="AF1250" s="38"/>
      <c r="AG1250" s="38"/>
      <c r="AH1250" s="38"/>
      <c r="AI1250" s="38"/>
      <c r="AJ1250" s="38"/>
      <c r="AK1250" s="38"/>
    </row>
    <row r="1251">
      <c r="A1251" s="99">
        <v>1250.0</v>
      </c>
      <c r="B1251" s="15"/>
      <c r="C1251" s="15"/>
      <c r="D1251" s="105">
        <v>1.0</v>
      </c>
      <c r="E1251" s="102">
        <v>25.0</v>
      </c>
      <c r="F1251" s="107">
        <v>19.0</v>
      </c>
      <c r="G1251" s="15" t="str">
        <f t="shared" si="1"/>
        <v>25019</v>
      </c>
      <c r="H1251" s="23" t="s">
        <v>1232</v>
      </c>
      <c r="I1251" s="23" t="s">
        <v>59</v>
      </c>
      <c r="J1251" s="23" t="s">
        <v>282</v>
      </c>
      <c r="K1251" s="23" t="str">
        <f t="shared" si="22"/>
        <v>Nantucket, MA</v>
      </c>
      <c r="L1251" s="23"/>
      <c r="M1251" s="23"/>
      <c r="N1251" s="23"/>
      <c r="O1251" s="23"/>
      <c r="P1251" s="23"/>
      <c r="Q1251" s="23"/>
      <c r="R1251" s="23"/>
      <c r="S1251" s="23"/>
      <c r="T1251" s="32"/>
      <c r="U1251" s="23"/>
      <c r="V1251" s="23"/>
      <c r="W1251" s="23"/>
      <c r="X1251" s="23"/>
      <c r="Y1251" s="23"/>
      <c r="Z1251" s="32"/>
      <c r="AA1251" s="38"/>
      <c r="AB1251" s="38"/>
      <c r="AC1251" s="38"/>
      <c r="AD1251" s="38"/>
      <c r="AE1251" s="38"/>
      <c r="AF1251" s="38"/>
      <c r="AG1251" s="38"/>
      <c r="AH1251" s="38"/>
      <c r="AI1251" s="38"/>
      <c r="AJ1251" s="38"/>
      <c r="AK1251" s="38"/>
    </row>
    <row r="1252">
      <c r="A1252" s="99">
        <v>1251.0</v>
      </c>
      <c r="B1252" s="15"/>
      <c r="C1252" s="15"/>
      <c r="D1252" s="105">
        <v>1.0</v>
      </c>
      <c r="E1252" s="102">
        <v>25.0</v>
      </c>
      <c r="F1252" s="107">
        <v>21.0</v>
      </c>
      <c r="G1252" s="15" t="str">
        <f t="shared" si="1"/>
        <v>25021</v>
      </c>
      <c r="H1252" s="23" t="s">
        <v>558</v>
      </c>
      <c r="I1252" s="23" t="s">
        <v>59</v>
      </c>
      <c r="J1252" s="23" t="s">
        <v>282</v>
      </c>
      <c r="K1252" s="23" t="str">
        <f t="shared" si="22"/>
        <v>Norfolk, MA</v>
      </c>
      <c r="L1252" s="23"/>
      <c r="M1252" s="23"/>
      <c r="N1252" s="23"/>
      <c r="O1252" s="23"/>
      <c r="P1252" s="23"/>
      <c r="Q1252" s="23"/>
      <c r="R1252" s="23"/>
      <c r="S1252" s="23"/>
      <c r="T1252" s="32"/>
      <c r="U1252" s="23"/>
      <c r="V1252" s="23"/>
      <c r="W1252" s="23"/>
      <c r="X1252" s="23"/>
      <c r="Y1252" s="23"/>
      <c r="Z1252" s="32"/>
      <c r="AA1252" s="38"/>
      <c r="AB1252" s="38"/>
      <c r="AC1252" s="38"/>
      <c r="AD1252" s="38"/>
      <c r="AE1252" s="38"/>
      <c r="AF1252" s="38"/>
      <c r="AG1252" s="38"/>
      <c r="AH1252" s="38"/>
      <c r="AI1252" s="38"/>
      <c r="AJ1252" s="38"/>
      <c r="AK1252" s="38"/>
    </row>
    <row r="1253">
      <c r="A1253" s="99">
        <v>1252.0</v>
      </c>
      <c r="B1253" s="15"/>
      <c r="C1253" s="15"/>
      <c r="D1253" s="105">
        <v>1.0</v>
      </c>
      <c r="E1253" s="102">
        <v>25.0</v>
      </c>
      <c r="F1253" s="107">
        <v>23.0</v>
      </c>
      <c r="G1253" s="15" t="str">
        <f t="shared" si="1"/>
        <v>25023</v>
      </c>
      <c r="H1253" s="23" t="s">
        <v>929</v>
      </c>
      <c r="I1253" s="23" t="s">
        <v>59</v>
      </c>
      <c r="J1253" s="23" t="s">
        <v>282</v>
      </c>
      <c r="K1253" s="23" t="str">
        <f t="shared" si="22"/>
        <v>Plymouth, MA</v>
      </c>
      <c r="L1253" s="23"/>
      <c r="M1253" s="23"/>
      <c r="N1253" s="23"/>
      <c r="O1253" s="23"/>
      <c r="P1253" s="23"/>
      <c r="Q1253" s="23"/>
      <c r="R1253" s="23"/>
      <c r="S1253" s="23"/>
      <c r="T1253" s="32"/>
      <c r="U1253" s="23"/>
      <c r="V1253" s="23"/>
      <c r="W1253" s="23"/>
      <c r="X1253" s="23"/>
      <c r="Y1253" s="23"/>
      <c r="Z1253" s="32"/>
      <c r="AA1253" s="38"/>
      <c r="AB1253" s="38"/>
      <c r="AC1253" s="38"/>
      <c r="AD1253" s="38"/>
      <c r="AE1253" s="38"/>
      <c r="AF1253" s="38"/>
      <c r="AG1253" s="38"/>
      <c r="AH1253" s="38"/>
      <c r="AI1253" s="38"/>
      <c r="AJ1253" s="38"/>
      <c r="AK1253" s="38"/>
    </row>
    <row r="1254">
      <c r="A1254" s="99">
        <v>1253.0</v>
      </c>
      <c r="B1254" s="15"/>
      <c r="C1254" s="15"/>
      <c r="D1254" s="105">
        <v>1.0</v>
      </c>
      <c r="E1254" s="102">
        <v>25.0</v>
      </c>
      <c r="F1254" s="107">
        <v>25.0</v>
      </c>
      <c r="G1254" s="15" t="str">
        <f t="shared" si="1"/>
        <v>25025</v>
      </c>
      <c r="H1254" s="23" t="s">
        <v>299</v>
      </c>
      <c r="I1254" s="23" t="s">
        <v>59</v>
      </c>
      <c r="J1254" s="23" t="s">
        <v>282</v>
      </c>
      <c r="K1254" s="23" t="str">
        <f t="shared" si="22"/>
        <v>Suffolk, MA</v>
      </c>
      <c r="L1254" s="23"/>
      <c r="M1254" s="23"/>
      <c r="N1254" s="23"/>
      <c r="O1254" s="23"/>
      <c r="P1254" s="23"/>
      <c r="Q1254" s="23"/>
      <c r="R1254" s="23"/>
      <c r="S1254" s="23"/>
      <c r="T1254" s="32"/>
      <c r="U1254" s="23"/>
      <c r="V1254" s="23"/>
      <c r="W1254" s="23"/>
      <c r="X1254" s="23"/>
      <c r="Y1254" s="23"/>
      <c r="Z1254" s="32"/>
      <c r="AA1254" s="38"/>
      <c r="AB1254" s="38"/>
      <c r="AC1254" s="38"/>
      <c r="AD1254" s="38"/>
      <c r="AE1254" s="38"/>
      <c r="AF1254" s="38"/>
      <c r="AG1254" s="38"/>
      <c r="AH1254" s="38"/>
      <c r="AI1254" s="38"/>
      <c r="AJ1254" s="38"/>
      <c r="AK1254" s="38"/>
    </row>
    <row r="1255">
      <c r="A1255" s="99">
        <v>1254.0</v>
      </c>
      <c r="B1255" s="15"/>
      <c r="C1255" s="15"/>
      <c r="D1255" s="105">
        <v>1.0</v>
      </c>
      <c r="E1255" s="102">
        <v>25.0</v>
      </c>
      <c r="F1255" s="107">
        <v>27.0</v>
      </c>
      <c r="G1255" s="15" t="str">
        <f t="shared" si="1"/>
        <v>25027</v>
      </c>
      <c r="H1255" s="23" t="s">
        <v>492</v>
      </c>
      <c r="I1255" s="23" t="s">
        <v>59</v>
      </c>
      <c r="J1255" s="23" t="s">
        <v>282</v>
      </c>
      <c r="K1255" s="23" t="str">
        <f t="shared" si="22"/>
        <v>Worcester, MA</v>
      </c>
      <c r="L1255" s="23"/>
      <c r="M1255" s="23"/>
      <c r="N1255" s="23"/>
      <c r="O1255" s="23"/>
      <c r="P1255" s="23"/>
      <c r="Q1255" s="23"/>
      <c r="R1255" s="23"/>
      <c r="S1255" s="23"/>
      <c r="T1255" s="32"/>
      <c r="U1255" s="23"/>
      <c r="V1255" s="23"/>
      <c r="W1255" s="23"/>
      <c r="X1255" s="23"/>
      <c r="Y1255" s="23"/>
      <c r="Z1255" s="32"/>
      <c r="AA1255" s="38"/>
      <c r="AB1255" s="38"/>
      <c r="AC1255" s="38"/>
      <c r="AD1255" s="38"/>
      <c r="AE1255" s="38"/>
      <c r="AF1255" s="38"/>
      <c r="AG1255" s="38"/>
      <c r="AH1255" s="38"/>
      <c r="AI1255" s="38"/>
      <c r="AJ1255" s="38"/>
      <c r="AK1255" s="38"/>
    </row>
    <row r="1256">
      <c r="A1256" s="28">
        <v>1255.0</v>
      </c>
      <c r="B1256" s="29"/>
      <c r="C1256" s="29" t="s">
        <v>25</v>
      </c>
      <c r="D1256" s="30"/>
      <c r="E1256" s="31">
        <v>26.0</v>
      </c>
      <c r="F1256" s="42">
        <v>0.0</v>
      </c>
      <c r="G1256" s="29" t="str">
        <f t="shared" si="1"/>
        <v>26000</v>
      </c>
      <c r="H1256" s="37"/>
      <c r="I1256" s="37" t="s">
        <v>60</v>
      </c>
      <c r="J1256" s="37" t="s">
        <v>274</v>
      </c>
      <c r="K1256" s="37"/>
      <c r="L1256" s="70">
        <f t="array" ref="L1256:Z1256">Michigan!C87:Q87</f>
        <v>9248</v>
      </c>
      <c r="M1256" s="72">
        <v>2.05</v>
      </c>
      <c r="N1256" s="72" t="s">
        <v>63</v>
      </c>
      <c r="O1256" s="72" t="s">
        <v>63</v>
      </c>
      <c r="P1256" s="70">
        <v>2011.0</v>
      </c>
      <c r="Q1256" s="70">
        <v>3975.0</v>
      </c>
      <c r="R1256" s="70">
        <v>2189.0</v>
      </c>
      <c r="S1256" s="70" t="s">
        <v>63</v>
      </c>
      <c r="T1256" s="69" t="s">
        <v>63</v>
      </c>
      <c r="U1256" s="70" t="s">
        <v>63</v>
      </c>
      <c r="V1256" s="53" t="s">
        <v>63</v>
      </c>
      <c r="W1256" s="53" t="s">
        <v>63</v>
      </c>
      <c r="X1256" s="53" t="s">
        <v>63</v>
      </c>
      <c r="Y1256" s="53">
        <v>7596.0</v>
      </c>
      <c r="Z1256" s="69" t="s">
        <v>63</v>
      </c>
      <c r="AA1256" s="73"/>
      <c r="AB1256" s="73"/>
      <c r="AC1256" s="73"/>
      <c r="AD1256" s="73"/>
      <c r="AE1256" s="73"/>
      <c r="AF1256" s="73"/>
      <c r="AG1256" s="73"/>
      <c r="AH1256" s="73"/>
      <c r="AI1256" s="73"/>
      <c r="AJ1256" s="73"/>
      <c r="AK1256" s="73"/>
    </row>
    <row r="1257">
      <c r="A1257" s="28">
        <v>1256.0</v>
      </c>
      <c r="B1257" s="29"/>
      <c r="C1257" s="29"/>
      <c r="D1257" s="40">
        <v>1.0</v>
      </c>
      <c r="E1257" s="31">
        <v>26.0</v>
      </c>
      <c r="F1257" s="42">
        <v>1.0</v>
      </c>
      <c r="G1257" s="29" t="str">
        <f t="shared" si="1"/>
        <v>26001</v>
      </c>
      <c r="H1257" s="37" t="s">
        <v>1233</v>
      </c>
      <c r="I1257" s="37" t="s">
        <v>60</v>
      </c>
      <c r="J1257" s="37" t="s">
        <v>274</v>
      </c>
      <c r="K1257" s="37" t="str">
        <f t="shared" ref="K1257:K1339" si="23">CONCATENATE(H1257,", ",J1257)</f>
        <v>Alcona, MI</v>
      </c>
      <c r="L1257" s="70">
        <f t="array" ref="L1257:Z1339">Michigan!C3:Q85</f>
        <v>13</v>
      </c>
      <c r="M1257" s="37">
        <v>3.25</v>
      </c>
      <c r="N1257" s="37" t="s">
        <v>63</v>
      </c>
      <c r="O1257" s="37" t="s">
        <v>63</v>
      </c>
      <c r="P1257" s="37">
        <v>9.0</v>
      </c>
      <c r="Q1257" s="37">
        <v>4.0</v>
      </c>
      <c r="R1257" s="37" t="s">
        <v>63</v>
      </c>
      <c r="S1257" s="37" t="s">
        <v>63</v>
      </c>
      <c r="T1257" s="69" t="s">
        <v>63</v>
      </c>
      <c r="U1257" s="70" t="s">
        <v>63</v>
      </c>
      <c r="V1257" s="37" t="s">
        <v>63</v>
      </c>
      <c r="W1257" s="71" t="s">
        <v>63</v>
      </c>
      <c r="X1257" s="72" t="s">
        <v>63</v>
      </c>
      <c r="Y1257" s="53">
        <v>20.0</v>
      </c>
      <c r="Z1257" s="69" t="s">
        <v>63</v>
      </c>
      <c r="AA1257" s="73"/>
      <c r="AB1257" s="73"/>
      <c r="AC1257" s="73"/>
      <c r="AD1257" s="73"/>
      <c r="AE1257" s="73"/>
      <c r="AF1257" s="73"/>
      <c r="AG1257" s="73"/>
      <c r="AH1257" s="73"/>
      <c r="AI1257" s="73"/>
      <c r="AJ1257" s="73"/>
      <c r="AK1257" s="73"/>
    </row>
    <row r="1258">
      <c r="A1258" s="28">
        <v>1257.0</v>
      </c>
      <c r="B1258" s="29"/>
      <c r="C1258" s="29"/>
      <c r="D1258" s="40">
        <v>1.0</v>
      </c>
      <c r="E1258" s="31">
        <v>26.0</v>
      </c>
      <c r="F1258" s="42">
        <v>3.0</v>
      </c>
      <c r="G1258" s="29" t="str">
        <f t="shared" si="1"/>
        <v>26003</v>
      </c>
      <c r="H1258" s="37" t="s">
        <v>1234</v>
      </c>
      <c r="I1258" s="37" t="s">
        <v>60</v>
      </c>
      <c r="J1258" s="37" t="s">
        <v>274</v>
      </c>
      <c r="K1258" s="37" t="str">
        <f t="shared" si="23"/>
        <v>Alger, MI</v>
      </c>
      <c r="L1258" s="70">
        <v>8.0</v>
      </c>
      <c r="M1258" s="37">
        <v>1.83</v>
      </c>
      <c r="N1258" s="37" t="s">
        <v>63</v>
      </c>
      <c r="O1258" s="37" t="s">
        <v>63</v>
      </c>
      <c r="P1258" s="37">
        <v>4.0</v>
      </c>
      <c r="Q1258" s="37">
        <v>6.0</v>
      </c>
      <c r="R1258" s="37" t="s">
        <v>63</v>
      </c>
      <c r="S1258" s="37" t="s">
        <v>63</v>
      </c>
      <c r="T1258" s="69" t="s">
        <v>63</v>
      </c>
      <c r="U1258" s="70" t="s">
        <v>63</v>
      </c>
      <c r="V1258" s="37" t="s">
        <v>63</v>
      </c>
      <c r="W1258" s="71" t="s">
        <v>63</v>
      </c>
      <c r="X1258" s="72" t="s">
        <v>63</v>
      </c>
      <c r="Y1258" s="53">
        <v>24.0</v>
      </c>
      <c r="Z1258" s="69" t="s">
        <v>63</v>
      </c>
      <c r="AA1258" s="73"/>
      <c r="AB1258" s="73"/>
      <c r="AC1258" s="73"/>
      <c r="AD1258" s="73"/>
      <c r="AE1258" s="73"/>
      <c r="AF1258" s="73"/>
      <c r="AG1258" s="73"/>
      <c r="AH1258" s="73"/>
      <c r="AI1258" s="73"/>
      <c r="AJ1258" s="73"/>
      <c r="AK1258" s="73"/>
    </row>
    <row r="1259">
      <c r="A1259" s="28">
        <v>1258.0</v>
      </c>
      <c r="B1259" s="29"/>
      <c r="C1259" s="29"/>
      <c r="D1259" s="40">
        <v>1.0</v>
      </c>
      <c r="E1259" s="31">
        <v>26.0</v>
      </c>
      <c r="F1259" s="42">
        <v>5.0</v>
      </c>
      <c r="G1259" s="29" t="str">
        <f t="shared" si="1"/>
        <v>26005</v>
      </c>
      <c r="H1259" s="37" t="s">
        <v>1235</v>
      </c>
      <c r="I1259" s="37" t="s">
        <v>60</v>
      </c>
      <c r="J1259" s="37" t="s">
        <v>274</v>
      </c>
      <c r="K1259" s="37" t="str">
        <f t="shared" si="23"/>
        <v>Allegan, MI</v>
      </c>
      <c r="L1259" s="70">
        <v>148.0</v>
      </c>
      <c r="M1259" s="37">
        <v>2.16</v>
      </c>
      <c r="N1259" s="37" t="s">
        <v>63</v>
      </c>
      <c r="O1259" s="37" t="s">
        <v>63</v>
      </c>
      <c r="P1259" s="37">
        <v>12.0</v>
      </c>
      <c r="Q1259" s="37">
        <v>63.0</v>
      </c>
      <c r="R1259" s="37" t="s">
        <v>63</v>
      </c>
      <c r="S1259" s="37" t="s">
        <v>63</v>
      </c>
      <c r="T1259" s="69" t="s">
        <v>63</v>
      </c>
      <c r="U1259" s="70" t="s">
        <v>63</v>
      </c>
      <c r="V1259" s="37" t="s">
        <v>63</v>
      </c>
      <c r="W1259" s="71" t="s">
        <v>63</v>
      </c>
      <c r="X1259" s="72" t="s">
        <v>63</v>
      </c>
      <c r="Y1259" s="53">
        <v>102.0</v>
      </c>
      <c r="Z1259" s="69" t="s">
        <v>63</v>
      </c>
      <c r="AA1259" s="73"/>
      <c r="AB1259" s="73"/>
      <c r="AC1259" s="73"/>
      <c r="AD1259" s="73"/>
      <c r="AE1259" s="73"/>
      <c r="AF1259" s="73"/>
      <c r="AG1259" s="73"/>
      <c r="AH1259" s="73"/>
      <c r="AI1259" s="73"/>
      <c r="AJ1259" s="73"/>
      <c r="AK1259" s="73"/>
    </row>
    <row r="1260">
      <c r="A1260" s="28">
        <v>1259.0</v>
      </c>
      <c r="B1260" s="29"/>
      <c r="C1260" s="29"/>
      <c r="D1260" s="40">
        <v>1.0</v>
      </c>
      <c r="E1260" s="31">
        <v>26.0</v>
      </c>
      <c r="F1260" s="42">
        <v>7.0</v>
      </c>
      <c r="G1260" s="29" t="str">
        <f t="shared" si="1"/>
        <v>26007</v>
      </c>
      <c r="H1260" s="37" t="s">
        <v>1236</v>
      </c>
      <c r="I1260" s="37" t="s">
        <v>60</v>
      </c>
      <c r="J1260" s="37" t="s">
        <v>274</v>
      </c>
      <c r="K1260" s="37" t="str">
        <f t="shared" si="23"/>
        <v>Alpena, MI</v>
      </c>
      <c r="L1260" s="70">
        <v>57.0</v>
      </c>
      <c r="M1260" s="37">
        <v>2.26</v>
      </c>
      <c r="N1260" s="37" t="s">
        <v>63</v>
      </c>
      <c r="O1260" s="37" t="s">
        <v>63</v>
      </c>
      <c r="P1260" s="37">
        <v>7.0</v>
      </c>
      <c r="Q1260" s="37">
        <v>27.0</v>
      </c>
      <c r="R1260" s="37" t="s">
        <v>63</v>
      </c>
      <c r="S1260" s="37" t="s">
        <v>63</v>
      </c>
      <c r="T1260" s="69" t="s">
        <v>63</v>
      </c>
      <c r="U1260" s="70" t="s">
        <v>63</v>
      </c>
      <c r="V1260" s="37" t="s">
        <v>63</v>
      </c>
      <c r="W1260" s="71" t="s">
        <v>63</v>
      </c>
      <c r="X1260" s="72" t="s">
        <v>63</v>
      </c>
      <c r="Y1260" s="53">
        <v>40.0</v>
      </c>
      <c r="Z1260" s="69" t="s">
        <v>63</v>
      </c>
      <c r="AA1260" s="73"/>
      <c r="AB1260" s="73"/>
      <c r="AC1260" s="73"/>
      <c r="AD1260" s="73"/>
      <c r="AE1260" s="73"/>
      <c r="AF1260" s="73"/>
      <c r="AG1260" s="73"/>
      <c r="AH1260" s="73"/>
      <c r="AI1260" s="73"/>
      <c r="AJ1260" s="73"/>
      <c r="AK1260" s="73"/>
    </row>
    <row r="1261">
      <c r="A1261" s="28">
        <v>1260.0</v>
      </c>
      <c r="B1261" s="29"/>
      <c r="C1261" s="29"/>
      <c r="D1261" s="40">
        <v>1.0</v>
      </c>
      <c r="E1261" s="31">
        <v>26.0</v>
      </c>
      <c r="F1261" s="42">
        <v>9.0</v>
      </c>
      <c r="G1261" s="29" t="str">
        <f t="shared" si="1"/>
        <v>26009</v>
      </c>
      <c r="H1261" s="37" t="s">
        <v>1237</v>
      </c>
      <c r="I1261" s="37" t="s">
        <v>60</v>
      </c>
      <c r="J1261" s="37" t="s">
        <v>274</v>
      </c>
      <c r="K1261" s="37" t="str">
        <f t="shared" si="23"/>
        <v>Antrim, MI</v>
      </c>
      <c r="L1261" s="70">
        <v>13.0</v>
      </c>
      <c r="M1261" s="37">
        <v>2.0</v>
      </c>
      <c r="N1261" s="37" t="s">
        <v>63</v>
      </c>
      <c r="O1261" s="37" t="s">
        <v>63</v>
      </c>
      <c r="P1261" s="37">
        <v>0.0</v>
      </c>
      <c r="Q1261" s="37">
        <v>10.0</v>
      </c>
      <c r="R1261" s="37" t="s">
        <v>63</v>
      </c>
      <c r="S1261" s="37" t="s">
        <v>63</v>
      </c>
      <c r="T1261" s="69" t="s">
        <v>63</v>
      </c>
      <c r="U1261" s="70" t="s">
        <v>63</v>
      </c>
      <c r="V1261" s="37" t="s">
        <v>63</v>
      </c>
      <c r="W1261" s="71" t="s">
        <v>63</v>
      </c>
      <c r="X1261" s="72" t="s">
        <v>63</v>
      </c>
      <c r="Y1261" s="53">
        <v>29.0</v>
      </c>
      <c r="Z1261" s="69" t="s">
        <v>63</v>
      </c>
      <c r="AA1261" s="73"/>
      <c r="AB1261" s="73"/>
      <c r="AC1261" s="73"/>
      <c r="AD1261" s="73"/>
      <c r="AE1261" s="73"/>
      <c r="AF1261" s="73"/>
      <c r="AG1261" s="73"/>
      <c r="AH1261" s="73"/>
      <c r="AI1261" s="73"/>
      <c r="AJ1261" s="73"/>
      <c r="AK1261" s="73"/>
    </row>
    <row r="1262">
      <c r="A1262" s="28">
        <v>1261.0</v>
      </c>
      <c r="B1262" s="29"/>
      <c r="C1262" s="29"/>
      <c r="D1262" s="40">
        <v>1.0</v>
      </c>
      <c r="E1262" s="31">
        <v>26.0</v>
      </c>
      <c r="F1262" s="42">
        <v>11.0</v>
      </c>
      <c r="G1262" s="29" t="str">
        <f t="shared" si="1"/>
        <v>26011</v>
      </c>
      <c r="H1262" s="37" t="s">
        <v>1238</v>
      </c>
      <c r="I1262" s="37" t="s">
        <v>60</v>
      </c>
      <c r="J1262" s="37" t="s">
        <v>274</v>
      </c>
      <c r="K1262" s="37" t="str">
        <f t="shared" si="23"/>
        <v>Arenac, MI</v>
      </c>
      <c r="L1262" s="70">
        <v>23.0</v>
      </c>
      <c r="M1262" s="37">
        <v>1.7</v>
      </c>
      <c r="N1262" s="37" t="s">
        <v>63</v>
      </c>
      <c r="O1262" s="37" t="s">
        <v>63</v>
      </c>
      <c r="P1262" s="37">
        <v>8.0</v>
      </c>
      <c r="Q1262" s="37">
        <v>10.0</v>
      </c>
      <c r="R1262" s="37" t="s">
        <v>63</v>
      </c>
      <c r="S1262" s="37" t="s">
        <v>63</v>
      </c>
      <c r="T1262" s="69" t="s">
        <v>63</v>
      </c>
      <c r="U1262" s="70" t="s">
        <v>63</v>
      </c>
      <c r="V1262" s="37" t="s">
        <v>63</v>
      </c>
      <c r="W1262" s="71" t="s">
        <v>63</v>
      </c>
      <c r="X1262" s="72" t="s">
        <v>63</v>
      </c>
      <c r="Y1262" s="53">
        <v>20.0</v>
      </c>
      <c r="Z1262" s="69" t="s">
        <v>63</v>
      </c>
      <c r="AA1262" s="73"/>
      <c r="AB1262" s="73"/>
      <c r="AC1262" s="73"/>
      <c r="AD1262" s="73"/>
      <c r="AE1262" s="73"/>
      <c r="AF1262" s="73"/>
      <c r="AG1262" s="73"/>
      <c r="AH1262" s="73"/>
      <c r="AI1262" s="73"/>
      <c r="AJ1262" s="73"/>
      <c r="AK1262" s="73"/>
    </row>
    <row r="1263">
      <c r="A1263" s="28">
        <v>1262.0</v>
      </c>
      <c r="B1263" s="29"/>
      <c r="C1263" s="29"/>
      <c r="D1263" s="40">
        <v>1.0</v>
      </c>
      <c r="E1263" s="31">
        <v>26.0</v>
      </c>
      <c r="F1263" s="42">
        <v>13.0</v>
      </c>
      <c r="G1263" s="29" t="str">
        <f t="shared" si="1"/>
        <v>26013</v>
      </c>
      <c r="H1263" s="37" t="s">
        <v>1239</v>
      </c>
      <c r="I1263" s="37" t="s">
        <v>60</v>
      </c>
      <c r="J1263" s="37" t="s">
        <v>274</v>
      </c>
      <c r="K1263" s="37" t="str">
        <f t="shared" si="23"/>
        <v>Baraga, MI</v>
      </c>
      <c r="L1263" s="70">
        <v>2.0</v>
      </c>
      <c r="M1263" s="37">
        <v>1.67</v>
      </c>
      <c r="N1263" s="37" t="s">
        <v>63</v>
      </c>
      <c r="O1263" s="37" t="s">
        <v>63</v>
      </c>
      <c r="P1263" s="37">
        <v>2.0</v>
      </c>
      <c r="Q1263" s="37">
        <v>3.0</v>
      </c>
      <c r="R1263" s="37" t="s">
        <v>63</v>
      </c>
      <c r="S1263" s="37" t="s">
        <v>63</v>
      </c>
      <c r="T1263" s="69" t="s">
        <v>63</v>
      </c>
      <c r="U1263" s="70" t="s">
        <v>63</v>
      </c>
      <c r="V1263" s="37" t="s">
        <v>63</v>
      </c>
      <c r="W1263" s="71" t="s">
        <v>63</v>
      </c>
      <c r="X1263" s="72" t="s">
        <v>63</v>
      </c>
      <c r="Y1263" s="53">
        <v>9.0</v>
      </c>
      <c r="Z1263" s="69" t="s">
        <v>63</v>
      </c>
      <c r="AA1263" s="73"/>
      <c r="AB1263" s="73"/>
      <c r="AC1263" s="73"/>
      <c r="AD1263" s="73"/>
      <c r="AE1263" s="73"/>
      <c r="AF1263" s="73"/>
      <c r="AG1263" s="73"/>
      <c r="AH1263" s="73"/>
      <c r="AI1263" s="73"/>
      <c r="AJ1263" s="73"/>
      <c r="AK1263" s="73"/>
    </row>
    <row r="1264">
      <c r="A1264" s="28">
        <v>1263.0</v>
      </c>
      <c r="B1264" s="29"/>
      <c r="C1264" s="29"/>
      <c r="D1264" s="40">
        <v>1.0</v>
      </c>
      <c r="E1264" s="31">
        <v>26.0</v>
      </c>
      <c r="F1264" s="42">
        <v>15.0</v>
      </c>
      <c r="G1264" s="29" t="str">
        <f t="shared" si="1"/>
        <v>26015</v>
      </c>
      <c r="H1264" s="37" t="s">
        <v>1240</v>
      </c>
      <c r="I1264" s="37" t="s">
        <v>60</v>
      </c>
      <c r="J1264" s="37" t="s">
        <v>274</v>
      </c>
      <c r="K1264" s="37" t="str">
        <f t="shared" si="23"/>
        <v>Barry, MI</v>
      </c>
      <c r="L1264" s="70">
        <v>23.0</v>
      </c>
      <c r="M1264" s="37">
        <v>2.29</v>
      </c>
      <c r="N1264" s="37" t="s">
        <v>63</v>
      </c>
      <c r="O1264" s="37" t="s">
        <v>63</v>
      </c>
      <c r="P1264" s="37">
        <v>7.0</v>
      </c>
      <c r="Q1264" s="37">
        <v>38.0</v>
      </c>
      <c r="R1264" s="37" t="s">
        <v>63</v>
      </c>
      <c r="S1264" s="37" t="s">
        <v>63</v>
      </c>
      <c r="T1264" s="69" t="s">
        <v>63</v>
      </c>
      <c r="U1264" s="70" t="s">
        <v>63</v>
      </c>
      <c r="V1264" s="37" t="s">
        <v>63</v>
      </c>
      <c r="W1264" s="71" t="s">
        <v>63</v>
      </c>
      <c r="X1264" s="72" t="s">
        <v>63</v>
      </c>
      <c r="Y1264" s="53">
        <v>44.0</v>
      </c>
      <c r="Z1264" s="69" t="s">
        <v>63</v>
      </c>
      <c r="AA1264" s="73"/>
      <c r="AB1264" s="73"/>
      <c r="AC1264" s="73"/>
      <c r="AD1264" s="73"/>
      <c r="AE1264" s="73"/>
      <c r="AF1264" s="73"/>
      <c r="AG1264" s="73"/>
      <c r="AH1264" s="73"/>
      <c r="AI1264" s="73"/>
      <c r="AJ1264" s="73"/>
      <c r="AK1264" s="73"/>
    </row>
    <row r="1265">
      <c r="A1265" s="28">
        <v>1264.0</v>
      </c>
      <c r="B1265" s="29"/>
      <c r="C1265" s="29"/>
      <c r="D1265" s="40">
        <v>1.0</v>
      </c>
      <c r="E1265" s="31">
        <v>26.0</v>
      </c>
      <c r="F1265" s="42">
        <v>17.0</v>
      </c>
      <c r="G1265" s="29" t="str">
        <f t="shared" si="1"/>
        <v>26017</v>
      </c>
      <c r="H1265" s="37" t="s">
        <v>482</v>
      </c>
      <c r="I1265" s="37" t="s">
        <v>60</v>
      </c>
      <c r="J1265" s="37" t="s">
        <v>274</v>
      </c>
      <c r="K1265" s="37" t="str">
        <f t="shared" si="23"/>
        <v>Bay, MI</v>
      </c>
      <c r="L1265" s="70">
        <v>116.0</v>
      </c>
      <c r="M1265" s="37">
        <v>1.91</v>
      </c>
      <c r="N1265" s="37" t="s">
        <v>63</v>
      </c>
      <c r="O1265" s="37" t="s">
        <v>63</v>
      </c>
      <c r="P1265" s="37">
        <v>39.0</v>
      </c>
      <c r="Q1265" s="37">
        <v>53.0</v>
      </c>
      <c r="R1265" s="37" t="s">
        <v>63</v>
      </c>
      <c r="S1265" s="37" t="s">
        <v>63</v>
      </c>
      <c r="T1265" s="69" t="s">
        <v>63</v>
      </c>
      <c r="U1265" s="70" t="s">
        <v>63</v>
      </c>
      <c r="V1265" s="37" t="s">
        <v>63</v>
      </c>
      <c r="W1265" s="71" t="s">
        <v>63</v>
      </c>
      <c r="X1265" s="72" t="s">
        <v>63</v>
      </c>
      <c r="Y1265" s="53">
        <v>79.0</v>
      </c>
      <c r="Z1265" s="69" t="s">
        <v>63</v>
      </c>
      <c r="AA1265" s="73"/>
      <c r="AB1265" s="73"/>
      <c r="AC1265" s="73"/>
      <c r="AD1265" s="73"/>
      <c r="AE1265" s="73"/>
      <c r="AF1265" s="73"/>
      <c r="AG1265" s="73"/>
      <c r="AH1265" s="73"/>
      <c r="AI1265" s="73"/>
      <c r="AJ1265" s="73"/>
      <c r="AK1265" s="73"/>
    </row>
    <row r="1266">
      <c r="A1266" s="28">
        <v>1265.0</v>
      </c>
      <c r="B1266" s="29"/>
      <c r="C1266" s="29"/>
      <c r="D1266" s="40">
        <v>1.0</v>
      </c>
      <c r="E1266" s="31">
        <v>26.0</v>
      </c>
      <c r="F1266" s="42">
        <v>19.0</v>
      </c>
      <c r="G1266" s="29" t="str">
        <f t="shared" si="1"/>
        <v>26019</v>
      </c>
      <c r="H1266" s="37" t="s">
        <v>1241</v>
      </c>
      <c r="I1266" s="37" t="s">
        <v>60</v>
      </c>
      <c r="J1266" s="37" t="s">
        <v>274</v>
      </c>
      <c r="K1266" s="37" t="str">
        <f t="shared" si="23"/>
        <v>Benzie, MI</v>
      </c>
      <c r="L1266" s="70">
        <v>20.0</v>
      </c>
      <c r="M1266" s="37">
        <v>1.83</v>
      </c>
      <c r="N1266" s="37" t="s">
        <v>63</v>
      </c>
      <c r="O1266" s="37" t="s">
        <v>63</v>
      </c>
      <c r="P1266" s="37">
        <v>4.0</v>
      </c>
      <c r="Q1266" s="37">
        <v>6.0</v>
      </c>
      <c r="R1266" s="37" t="s">
        <v>63</v>
      </c>
      <c r="S1266" s="37" t="s">
        <v>63</v>
      </c>
      <c r="T1266" s="69" t="s">
        <v>63</v>
      </c>
      <c r="U1266" s="70" t="s">
        <v>63</v>
      </c>
      <c r="V1266" s="37" t="s">
        <v>63</v>
      </c>
      <c r="W1266" s="71" t="s">
        <v>63</v>
      </c>
      <c r="X1266" s="72" t="s">
        <v>63</v>
      </c>
      <c r="Y1266" s="53">
        <v>26.0</v>
      </c>
      <c r="Z1266" s="69" t="s">
        <v>63</v>
      </c>
      <c r="AA1266" s="73"/>
      <c r="AB1266" s="73"/>
      <c r="AC1266" s="73"/>
      <c r="AD1266" s="73"/>
      <c r="AE1266" s="73"/>
      <c r="AF1266" s="73"/>
      <c r="AG1266" s="73"/>
      <c r="AH1266" s="73"/>
      <c r="AI1266" s="73"/>
      <c r="AJ1266" s="73"/>
      <c r="AK1266" s="73"/>
    </row>
    <row r="1267">
      <c r="A1267" s="28">
        <v>1266.0</v>
      </c>
      <c r="B1267" s="29"/>
      <c r="C1267" s="29"/>
      <c r="D1267" s="40">
        <v>1.0</v>
      </c>
      <c r="E1267" s="31">
        <v>26.0</v>
      </c>
      <c r="F1267" s="42">
        <v>21.0</v>
      </c>
      <c r="G1267" s="29" t="str">
        <f t="shared" si="1"/>
        <v>26021</v>
      </c>
      <c r="H1267" s="37" t="s">
        <v>540</v>
      </c>
      <c r="I1267" s="37" t="s">
        <v>60</v>
      </c>
      <c r="J1267" s="37" t="s">
        <v>274</v>
      </c>
      <c r="K1267" s="37" t="str">
        <f t="shared" si="23"/>
        <v>Berrien, MI</v>
      </c>
      <c r="L1267" s="70">
        <v>172.0</v>
      </c>
      <c r="M1267" s="37">
        <v>1.8</v>
      </c>
      <c r="N1267" s="37" t="s">
        <v>63</v>
      </c>
      <c r="O1267" s="37" t="s">
        <v>63</v>
      </c>
      <c r="P1267" s="37">
        <v>46.0</v>
      </c>
      <c r="Q1267" s="37">
        <v>75.0</v>
      </c>
      <c r="R1267" s="37" t="s">
        <v>63</v>
      </c>
      <c r="S1267" s="37" t="s">
        <v>63</v>
      </c>
      <c r="T1267" s="69" t="s">
        <v>63</v>
      </c>
      <c r="U1267" s="70" t="s">
        <v>63</v>
      </c>
      <c r="V1267" s="37" t="s">
        <v>63</v>
      </c>
      <c r="W1267" s="71" t="s">
        <v>63</v>
      </c>
      <c r="X1267" s="72" t="s">
        <v>63</v>
      </c>
      <c r="Y1267" s="53">
        <v>188.0</v>
      </c>
      <c r="Z1267" s="69" t="s">
        <v>63</v>
      </c>
      <c r="AA1267" s="73"/>
      <c r="AB1267" s="73"/>
      <c r="AC1267" s="73"/>
      <c r="AD1267" s="73"/>
      <c r="AE1267" s="73"/>
      <c r="AF1267" s="73"/>
      <c r="AG1267" s="73"/>
      <c r="AH1267" s="73"/>
      <c r="AI1267" s="73"/>
      <c r="AJ1267" s="73"/>
      <c r="AK1267" s="73"/>
    </row>
    <row r="1268">
      <c r="A1268" s="28">
        <v>1267.0</v>
      </c>
      <c r="B1268" s="29"/>
      <c r="C1268" s="29"/>
      <c r="D1268" s="40">
        <v>1.0</v>
      </c>
      <c r="E1268" s="31">
        <v>26.0</v>
      </c>
      <c r="F1268" s="42">
        <v>23.0</v>
      </c>
      <c r="G1268" s="29" t="str">
        <f t="shared" si="1"/>
        <v>26023</v>
      </c>
      <c r="H1268" s="37" t="s">
        <v>1242</v>
      </c>
      <c r="I1268" s="37" t="s">
        <v>60</v>
      </c>
      <c r="J1268" s="37" t="s">
        <v>274</v>
      </c>
      <c r="K1268" s="37" t="str">
        <f t="shared" si="23"/>
        <v>Branch, MI</v>
      </c>
      <c r="L1268" s="70">
        <v>50.0</v>
      </c>
      <c r="M1268" s="37">
        <v>2.75</v>
      </c>
      <c r="N1268" s="37" t="s">
        <v>63</v>
      </c>
      <c r="O1268" s="37" t="s">
        <v>63</v>
      </c>
      <c r="P1268" s="37">
        <v>24.0</v>
      </c>
      <c r="Q1268" s="37">
        <v>8.0</v>
      </c>
      <c r="R1268" s="37" t="s">
        <v>63</v>
      </c>
      <c r="S1268" s="37" t="s">
        <v>63</v>
      </c>
      <c r="T1268" s="69" t="s">
        <v>63</v>
      </c>
      <c r="U1268" s="70" t="s">
        <v>63</v>
      </c>
      <c r="V1268" s="37" t="s">
        <v>63</v>
      </c>
      <c r="W1268" s="71" t="s">
        <v>63</v>
      </c>
      <c r="X1268" s="72" t="s">
        <v>63</v>
      </c>
      <c r="Y1268" s="53">
        <v>38.0</v>
      </c>
      <c r="Z1268" s="69" t="s">
        <v>63</v>
      </c>
      <c r="AA1268" s="73"/>
      <c r="AB1268" s="73"/>
      <c r="AC1268" s="73"/>
      <c r="AD1268" s="73"/>
      <c r="AE1268" s="73"/>
      <c r="AF1268" s="73"/>
      <c r="AG1268" s="73"/>
      <c r="AH1268" s="73"/>
      <c r="AI1268" s="73"/>
      <c r="AJ1268" s="73"/>
      <c r="AK1268" s="73"/>
    </row>
    <row r="1269">
      <c r="A1269" s="28">
        <v>1268.0</v>
      </c>
      <c r="B1269" s="29"/>
      <c r="C1269" s="29"/>
      <c r="D1269" s="40">
        <v>1.0</v>
      </c>
      <c r="E1269" s="31">
        <v>26.0</v>
      </c>
      <c r="F1269" s="42">
        <v>25.0</v>
      </c>
      <c r="G1269" s="29" t="str">
        <f t="shared" si="1"/>
        <v>26025</v>
      </c>
      <c r="H1269" s="37" t="s">
        <v>93</v>
      </c>
      <c r="I1269" s="37" t="s">
        <v>60</v>
      </c>
      <c r="J1269" s="37" t="s">
        <v>274</v>
      </c>
      <c r="K1269" s="37" t="str">
        <f t="shared" si="23"/>
        <v>Calhoun, MI</v>
      </c>
      <c r="L1269" s="70">
        <v>204.0</v>
      </c>
      <c r="M1269" s="37">
        <v>2.38</v>
      </c>
      <c r="N1269" s="37" t="s">
        <v>63</v>
      </c>
      <c r="O1269" s="37" t="s">
        <v>63</v>
      </c>
      <c r="P1269" s="37">
        <v>62.0</v>
      </c>
      <c r="Q1269" s="37">
        <v>79.0</v>
      </c>
      <c r="R1269" s="37" t="s">
        <v>63</v>
      </c>
      <c r="S1269" s="37" t="s">
        <v>63</v>
      </c>
      <c r="T1269" s="69" t="s">
        <v>63</v>
      </c>
      <c r="U1269" s="70" t="s">
        <v>63</v>
      </c>
      <c r="V1269" s="37" t="s">
        <v>63</v>
      </c>
      <c r="W1269" s="71" t="s">
        <v>63</v>
      </c>
      <c r="X1269" s="72" t="s">
        <v>63</v>
      </c>
      <c r="Y1269" s="53">
        <v>140.0</v>
      </c>
      <c r="Z1269" s="69" t="s">
        <v>63</v>
      </c>
      <c r="AA1269" s="73"/>
      <c r="AB1269" s="73"/>
      <c r="AC1269" s="73"/>
      <c r="AD1269" s="73"/>
      <c r="AE1269" s="73"/>
      <c r="AF1269" s="73"/>
      <c r="AG1269" s="73"/>
      <c r="AH1269" s="73"/>
      <c r="AI1269" s="73"/>
      <c r="AJ1269" s="73"/>
      <c r="AK1269" s="73"/>
    </row>
    <row r="1270">
      <c r="A1270" s="28">
        <v>1269.0</v>
      </c>
      <c r="B1270" s="29"/>
      <c r="C1270" s="29"/>
      <c r="D1270" s="40">
        <v>1.0</v>
      </c>
      <c r="E1270" s="31">
        <v>26.0</v>
      </c>
      <c r="F1270" s="42">
        <v>27.0</v>
      </c>
      <c r="G1270" s="29" t="str">
        <f t="shared" si="1"/>
        <v>26027</v>
      </c>
      <c r="H1270" s="37" t="s">
        <v>708</v>
      </c>
      <c r="I1270" s="37" t="s">
        <v>60</v>
      </c>
      <c r="J1270" s="37" t="s">
        <v>274</v>
      </c>
      <c r="K1270" s="37" t="str">
        <f t="shared" si="23"/>
        <v>Cass, MI</v>
      </c>
      <c r="L1270" s="70">
        <v>86.0</v>
      </c>
      <c r="M1270" s="37">
        <v>2.2</v>
      </c>
      <c r="N1270" s="37" t="s">
        <v>63</v>
      </c>
      <c r="O1270" s="37" t="s">
        <v>63</v>
      </c>
      <c r="P1270" s="37">
        <v>23.0</v>
      </c>
      <c r="Q1270" s="37">
        <v>20.0</v>
      </c>
      <c r="R1270" s="37" t="s">
        <v>63</v>
      </c>
      <c r="S1270" s="37" t="s">
        <v>63</v>
      </c>
      <c r="T1270" s="69" t="s">
        <v>63</v>
      </c>
      <c r="U1270" s="70" t="s">
        <v>63</v>
      </c>
      <c r="V1270" s="37" t="s">
        <v>63</v>
      </c>
      <c r="W1270" s="71" t="s">
        <v>63</v>
      </c>
      <c r="X1270" s="72" t="s">
        <v>63</v>
      </c>
      <c r="Y1270" s="53">
        <v>55.0</v>
      </c>
      <c r="Z1270" s="69" t="s">
        <v>63</v>
      </c>
      <c r="AA1270" s="73"/>
      <c r="AB1270" s="73"/>
      <c r="AC1270" s="73"/>
      <c r="AD1270" s="73"/>
      <c r="AE1270" s="73"/>
      <c r="AF1270" s="73"/>
      <c r="AG1270" s="73"/>
      <c r="AH1270" s="73"/>
      <c r="AI1270" s="73"/>
      <c r="AJ1270" s="73"/>
      <c r="AK1270" s="73"/>
    </row>
    <row r="1271">
      <c r="A1271" s="28">
        <v>1270.0</v>
      </c>
      <c r="B1271" s="29"/>
      <c r="C1271" s="29"/>
      <c r="D1271" s="40">
        <v>1.0</v>
      </c>
      <c r="E1271" s="31">
        <v>26.0</v>
      </c>
      <c r="F1271" s="42">
        <v>29.0</v>
      </c>
      <c r="G1271" s="29" t="str">
        <f t="shared" si="1"/>
        <v>26029</v>
      </c>
      <c r="H1271" s="37" t="s">
        <v>1243</v>
      </c>
      <c r="I1271" s="37" t="s">
        <v>60</v>
      </c>
      <c r="J1271" s="37" t="s">
        <v>274</v>
      </c>
      <c r="K1271" s="37" t="str">
        <f t="shared" si="23"/>
        <v>Charlevoix, MI</v>
      </c>
      <c r="L1271" s="70">
        <v>14.0</v>
      </c>
      <c r="M1271" s="37">
        <v>1.71</v>
      </c>
      <c r="N1271" s="37" t="s">
        <v>63</v>
      </c>
      <c r="O1271" s="37" t="s">
        <v>63</v>
      </c>
      <c r="P1271" s="37">
        <v>4.0</v>
      </c>
      <c r="Q1271" s="37">
        <v>7.0</v>
      </c>
      <c r="R1271" s="37" t="s">
        <v>63</v>
      </c>
      <c r="S1271" s="37" t="s">
        <v>63</v>
      </c>
      <c r="T1271" s="69" t="s">
        <v>63</v>
      </c>
      <c r="U1271" s="70" t="s">
        <v>63</v>
      </c>
      <c r="V1271" s="37" t="s">
        <v>63</v>
      </c>
      <c r="W1271" s="71" t="s">
        <v>63</v>
      </c>
      <c r="X1271" s="72" t="s">
        <v>63</v>
      </c>
      <c r="Y1271" s="53">
        <v>34.0</v>
      </c>
      <c r="Z1271" s="69" t="s">
        <v>63</v>
      </c>
      <c r="AA1271" s="73"/>
      <c r="AB1271" s="73"/>
      <c r="AC1271" s="73"/>
      <c r="AD1271" s="73"/>
      <c r="AE1271" s="73"/>
      <c r="AF1271" s="73"/>
      <c r="AG1271" s="73"/>
      <c r="AH1271" s="73"/>
      <c r="AI1271" s="73"/>
      <c r="AJ1271" s="73"/>
      <c r="AK1271" s="73"/>
    </row>
    <row r="1272">
      <c r="A1272" s="28">
        <v>1271.0</v>
      </c>
      <c r="B1272" s="29"/>
      <c r="C1272" s="29"/>
      <c r="D1272" s="40">
        <v>1.0</v>
      </c>
      <c r="E1272" s="31">
        <v>26.0</v>
      </c>
      <c r="F1272" s="42">
        <v>31.0</v>
      </c>
      <c r="G1272" s="29" t="str">
        <f t="shared" si="1"/>
        <v>26031</v>
      </c>
      <c r="H1272" s="37" t="s">
        <v>1244</v>
      </c>
      <c r="I1272" s="37" t="s">
        <v>60</v>
      </c>
      <c r="J1272" s="37" t="s">
        <v>274</v>
      </c>
      <c r="K1272" s="37" t="str">
        <f t="shared" si="23"/>
        <v>Cheboygan, MI</v>
      </c>
      <c r="L1272" s="70">
        <v>24.0</v>
      </c>
      <c r="M1272" s="37">
        <v>2.55</v>
      </c>
      <c r="N1272" s="37" t="s">
        <v>63</v>
      </c>
      <c r="O1272" s="37" t="s">
        <v>63</v>
      </c>
      <c r="P1272" s="37">
        <v>8.0</v>
      </c>
      <c r="Q1272" s="37">
        <v>11.0</v>
      </c>
      <c r="R1272" s="37" t="s">
        <v>63</v>
      </c>
      <c r="S1272" s="37" t="s">
        <v>63</v>
      </c>
      <c r="T1272" s="69" t="s">
        <v>63</v>
      </c>
      <c r="U1272" s="70" t="s">
        <v>63</v>
      </c>
      <c r="V1272" s="37" t="s">
        <v>63</v>
      </c>
      <c r="W1272" s="71" t="s">
        <v>63</v>
      </c>
      <c r="X1272" s="72" t="s">
        <v>63</v>
      </c>
      <c r="Y1272" s="53">
        <v>32.0</v>
      </c>
      <c r="Z1272" s="69" t="s">
        <v>63</v>
      </c>
      <c r="AA1272" s="73"/>
      <c r="AB1272" s="73"/>
      <c r="AC1272" s="73"/>
      <c r="AD1272" s="73"/>
      <c r="AE1272" s="73"/>
      <c r="AF1272" s="73"/>
      <c r="AG1272" s="73"/>
      <c r="AH1272" s="73"/>
      <c r="AI1272" s="73"/>
      <c r="AJ1272" s="73"/>
      <c r="AK1272" s="73"/>
    </row>
    <row r="1273">
      <c r="A1273" s="28">
        <v>1272.0</v>
      </c>
      <c r="B1273" s="29"/>
      <c r="C1273" s="29"/>
      <c r="D1273" s="40">
        <v>1.0</v>
      </c>
      <c r="E1273" s="31">
        <v>26.0</v>
      </c>
      <c r="F1273" s="42">
        <v>33.0</v>
      </c>
      <c r="G1273" s="29" t="str">
        <f t="shared" si="1"/>
        <v>26033</v>
      </c>
      <c r="H1273" s="37" t="s">
        <v>1245</v>
      </c>
      <c r="I1273" s="37" t="s">
        <v>60</v>
      </c>
      <c r="J1273" s="37" t="s">
        <v>274</v>
      </c>
      <c r="K1273" s="37" t="str">
        <f t="shared" si="23"/>
        <v>Chippewa, MI</v>
      </c>
      <c r="L1273" s="70">
        <v>47.0</v>
      </c>
      <c r="M1273" s="37">
        <v>1.93</v>
      </c>
      <c r="N1273" s="37" t="s">
        <v>63</v>
      </c>
      <c r="O1273" s="37" t="s">
        <v>63</v>
      </c>
      <c r="P1273" s="37">
        <v>9.0</v>
      </c>
      <c r="Q1273" s="37">
        <v>28.0</v>
      </c>
      <c r="R1273" s="37" t="s">
        <v>63</v>
      </c>
      <c r="S1273" s="37" t="s">
        <v>63</v>
      </c>
      <c r="T1273" s="69" t="s">
        <v>63</v>
      </c>
      <c r="U1273" s="70" t="s">
        <v>63</v>
      </c>
      <c r="V1273" s="37" t="s">
        <v>63</v>
      </c>
      <c r="W1273" s="71" t="s">
        <v>63</v>
      </c>
      <c r="X1273" s="72" t="s">
        <v>63</v>
      </c>
      <c r="Y1273" s="53">
        <v>45.0</v>
      </c>
      <c r="Z1273" s="69" t="s">
        <v>63</v>
      </c>
      <c r="AA1273" s="73"/>
      <c r="AB1273" s="73"/>
      <c r="AC1273" s="73"/>
      <c r="AD1273" s="73"/>
      <c r="AE1273" s="73"/>
      <c r="AF1273" s="73"/>
      <c r="AG1273" s="73"/>
      <c r="AH1273" s="73"/>
      <c r="AI1273" s="73"/>
      <c r="AJ1273" s="73"/>
      <c r="AK1273" s="73"/>
    </row>
    <row r="1274">
      <c r="A1274" s="28">
        <v>1273.0</v>
      </c>
      <c r="B1274" s="29"/>
      <c r="C1274" s="29"/>
      <c r="D1274" s="40">
        <v>1.0</v>
      </c>
      <c r="E1274" s="31">
        <v>26.0</v>
      </c>
      <c r="F1274" s="42">
        <v>35.0</v>
      </c>
      <c r="G1274" s="29" t="str">
        <f t="shared" si="1"/>
        <v>26035</v>
      </c>
      <c r="H1274" s="37" t="s">
        <v>1246</v>
      </c>
      <c r="I1274" s="37" t="s">
        <v>60</v>
      </c>
      <c r="J1274" s="37" t="s">
        <v>274</v>
      </c>
      <c r="K1274" s="37" t="str">
        <f t="shared" si="23"/>
        <v>Clare, MI</v>
      </c>
      <c r="L1274" s="70">
        <v>46.0</v>
      </c>
      <c r="M1274" s="37">
        <v>2.75</v>
      </c>
      <c r="N1274" s="37" t="s">
        <v>63</v>
      </c>
      <c r="O1274" s="37" t="s">
        <v>63</v>
      </c>
      <c r="P1274" s="37">
        <v>15.0</v>
      </c>
      <c r="Q1274" s="37">
        <v>20.0</v>
      </c>
      <c r="R1274" s="37" t="s">
        <v>63</v>
      </c>
      <c r="S1274" s="37" t="s">
        <v>63</v>
      </c>
      <c r="T1274" s="69" t="s">
        <v>63</v>
      </c>
      <c r="U1274" s="70" t="s">
        <v>63</v>
      </c>
      <c r="V1274" s="37" t="s">
        <v>63</v>
      </c>
      <c r="W1274" s="71" t="s">
        <v>63</v>
      </c>
      <c r="X1274" s="72" t="s">
        <v>63</v>
      </c>
      <c r="Y1274" s="53">
        <v>30.0</v>
      </c>
      <c r="Z1274" s="69" t="s">
        <v>63</v>
      </c>
      <c r="AA1274" s="73"/>
      <c r="AB1274" s="73"/>
      <c r="AC1274" s="73"/>
      <c r="AD1274" s="73"/>
      <c r="AE1274" s="73"/>
      <c r="AF1274" s="73"/>
      <c r="AG1274" s="73"/>
      <c r="AH1274" s="73"/>
      <c r="AI1274" s="73"/>
      <c r="AJ1274" s="73"/>
      <c r="AK1274" s="73"/>
    </row>
    <row r="1275">
      <c r="A1275" s="28">
        <v>1274.0</v>
      </c>
      <c r="B1275" s="29"/>
      <c r="C1275" s="29"/>
      <c r="D1275" s="40">
        <v>1.0</v>
      </c>
      <c r="E1275" s="31">
        <v>26.0</v>
      </c>
      <c r="F1275" s="42">
        <v>37.0</v>
      </c>
      <c r="G1275" s="29" t="str">
        <f t="shared" si="1"/>
        <v>26037</v>
      </c>
      <c r="H1275" s="37" t="s">
        <v>711</v>
      </c>
      <c r="I1275" s="37" t="s">
        <v>60</v>
      </c>
      <c r="J1275" s="37" t="s">
        <v>274</v>
      </c>
      <c r="K1275" s="37" t="str">
        <f t="shared" si="23"/>
        <v>Clinton, MI</v>
      </c>
      <c r="L1275" s="70">
        <v>31.0</v>
      </c>
      <c r="M1275" s="37">
        <v>2.24</v>
      </c>
      <c r="N1275" s="37" t="s">
        <v>63</v>
      </c>
      <c r="O1275" s="37" t="s">
        <v>63</v>
      </c>
      <c r="P1275" s="37">
        <v>15.0</v>
      </c>
      <c r="Q1275" s="37">
        <v>29.0</v>
      </c>
      <c r="R1275" s="37" t="s">
        <v>63</v>
      </c>
      <c r="S1275" s="37" t="s">
        <v>63</v>
      </c>
      <c r="T1275" s="69" t="s">
        <v>63</v>
      </c>
      <c r="U1275" s="70" t="s">
        <v>63</v>
      </c>
      <c r="V1275" s="37" t="s">
        <v>63</v>
      </c>
      <c r="W1275" s="71" t="s">
        <v>63</v>
      </c>
      <c r="X1275" s="72" t="s">
        <v>63</v>
      </c>
      <c r="Y1275" s="53">
        <v>52.0</v>
      </c>
      <c r="Z1275" s="69" t="s">
        <v>63</v>
      </c>
      <c r="AA1275" s="73"/>
      <c r="AB1275" s="73"/>
      <c r="AC1275" s="73"/>
      <c r="AD1275" s="73"/>
      <c r="AE1275" s="73"/>
      <c r="AF1275" s="73"/>
      <c r="AG1275" s="73"/>
      <c r="AH1275" s="73"/>
      <c r="AI1275" s="73"/>
      <c r="AJ1275" s="73"/>
      <c r="AK1275" s="73"/>
    </row>
    <row r="1276">
      <c r="A1276" s="28">
        <v>1275.0</v>
      </c>
      <c r="B1276" s="29"/>
      <c r="C1276" s="29"/>
      <c r="D1276" s="40">
        <v>1.0</v>
      </c>
      <c r="E1276" s="31">
        <v>26.0</v>
      </c>
      <c r="F1276" s="42">
        <v>39.0</v>
      </c>
      <c r="G1276" s="29" t="str">
        <f t="shared" si="1"/>
        <v>26039</v>
      </c>
      <c r="H1276" s="37" t="s">
        <v>263</v>
      </c>
      <c r="I1276" s="37" t="s">
        <v>60</v>
      </c>
      <c r="J1276" s="37" t="s">
        <v>274</v>
      </c>
      <c r="K1276" s="37" t="str">
        <f t="shared" si="23"/>
        <v>Crawford, MI</v>
      </c>
      <c r="L1276" s="70">
        <v>49.0</v>
      </c>
      <c r="M1276" s="37">
        <v>2.14</v>
      </c>
      <c r="N1276" s="37" t="s">
        <v>63</v>
      </c>
      <c r="O1276" s="37" t="s">
        <v>63</v>
      </c>
      <c r="P1276" s="37">
        <v>11.0</v>
      </c>
      <c r="Q1276" s="37">
        <v>7.0</v>
      </c>
      <c r="R1276" s="37" t="s">
        <v>63</v>
      </c>
      <c r="S1276" s="37" t="s">
        <v>63</v>
      </c>
      <c r="T1276" s="69" t="s">
        <v>63</v>
      </c>
      <c r="U1276" s="70" t="s">
        <v>63</v>
      </c>
      <c r="V1276" s="37" t="s">
        <v>63</v>
      </c>
      <c r="W1276" s="71" t="s">
        <v>63</v>
      </c>
      <c r="X1276" s="72" t="s">
        <v>63</v>
      </c>
      <c r="Y1276" s="53">
        <v>15.0</v>
      </c>
      <c r="Z1276" s="69" t="s">
        <v>63</v>
      </c>
      <c r="AA1276" s="73"/>
      <c r="AB1276" s="73"/>
      <c r="AC1276" s="73"/>
      <c r="AD1276" s="73"/>
      <c r="AE1276" s="73"/>
      <c r="AF1276" s="73"/>
      <c r="AG1276" s="73"/>
      <c r="AH1276" s="73"/>
      <c r="AI1276" s="73"/>
      <c r="AJ1276" s="73"/>
      <c r="AK1276" s="73"/>
    </row>
    <row r="1277">
      <c r="A1277" s="28">
        <v>1276.0</v>
      </c>
      <c r="B1277" s="29"/>
      <c r="C1277" s="29"/>
      <c r="D1277" s="40">
        <v>1.0</v>
      </c>
      <c r="E1277" s="31">
        <v>26.0</v>
      </c>
      <c r="F1277" s="42">
        <v>41.0</v>
      </c>
      <c r="G1277" s="29" t="str">
        <f t="shared" si="1"/>
        <v>26041</v>
      </c>
      <c r="H1277" s="37" t="s">
        <v>407</v>
      </c>
      <c r="I1277" s="37" t="s">
        <v>60</v>
      </c>
      <c r="J1277" s="37" t="s">
        <v>274</v>
      </c>
      <c r="K1277" s="37" t="str">
        <f t="shared" si="23"/>
        <v>Delta, MI</v>
      </c>
      <c r="L1277" s="70">
        <v>46.0</v>
      </c>
      <c r="M1277" s="37">
        <v>1.67</v>
      </c>
      <c r="N1277" s="37" t="s">
        <v>63</v>
      </c>
      <c r="O1277" s="37" t="s">
        <v>63</v>
      </c>
      <c r="P1277" s="37">
        <v>12.0</v>
      </c>
      <c r="Q1277" s="37">
        <v>12.0</v>
      </c>
      <c r="R1277" s="37" t="s">
        <v>63</v>
      </c>
      <c r="S1277" s="37" t="s">
        <v>63</v>
      </c>
      <c r="T1277" s="69" t="s">
        <v>63</v>
      </c>
      <c r="U1277" s="70" t="s">
        <v>63</v>
      </c>
      <c r="V1277" s="37" t="s">
        <v>63</v>
      </c>
      <c r="W1277" s="71" t="s">
        <v>63</v>
      </c>
      <c r="X1277" s="72" t="s">
        <v>63</v>
      </c>
      <c r="Y1277" s="53">
        <v>45.0</v>
      </c>
      <c r="Z1277" s="69" t="s">
        <v>63</v>
      </c>
      <c r="AA1277" s="73"/>
      <c r="AB1277" s="73"/>
      <c r="AC1277" s="73"/>
      <c r="AD1277" s="73"/>
      <c r="AE1277" s="73"/>
      <c r="AF1277" s="73"/>
      <c r="AG1277" s="73"/>
      <c r="AH1277" s="73"/>
      <c r="AI1277" s="73"/>
      <c r="AJ1277" s="73"/>
      <c r="AK1277" s="73"/>
    </row>
    <row r="1278">
      <c r="A1278" s="28">
        <v>1277.0</v>
      </c>
      <c r="B1278" s="29"/>
      <c r="C1278" s="29"/>
      <c r="D1278" s="40">
        <v>1.0</v>
      </c>
      <c r="E1278" s="31">
        <v>26.0</v>
      </c>
      <c r="F1278" s="42">
        <v>43.0</v>
      </c>
      <c r="G1278" s="29" t="str">
        <f t="shared" si="1"/>
        <v>26043</v>
      </c>
      <c r="H1278" s="37" t="s">
        <v>899</v>
      </c>
      <c r="I1278" s="37" t="s">
        <v>60</v>
      </c>
      <c r="J1278" s="37" t="s">
        <v>274</v>
      </c>
      <c r="K1278" s="37" t="str">
        <f t="shared" si="23"/>
        <v>Dickinson, MI</v>
      </c>
      <c r="L1278" s="70">
        <v>20.0</v>
      </c>
      <c r="M1278" s="37">
        <v>2.0</v>
      </c>
      <c r="N1278" s="37" t="s">
        <v>63</v>
      </c>
      <c r="O1278" s="37" t="s">
        <v>63</v>
      </c>
      <c r="P1278" s="37">
        <v>6.0</v>
      </c>
      <c r="Q1278" s="37">
        <v>8.0</v>
      </c>
      <c r="R1278" s="37" t="s">
        <v>63</v>
      </c>
      <c r="S1278" s="37" t="s">
        <v>63</v>
      </c>
      <c r="T1278" s="69" t="s">
        <v>63</v>
      </c>
      <c r="U1278" s="70" t="s">
        <v>63</v>
      </c>
      <c r="V1278" s="37" t="s">
        <v>63</v>
      </c>
      <c r="W1278" s="71" t="s">
        <v>63</v>
      </c>
      <c r="X1278" s="72" t="s">
        <v>63</v>
      </c>
      <c r="Y1278" s="53">
        <v>35.0</v>
      </c>
      <c r="Z1278" s="69" t="s">
        <v>63</v>
      </c>
      <c r="AA1278" s="73"/>
      <c r="AB1278" s="73"/>
      <c r="AC1278" s="73"/>
      <c r="AD1278" s="73"/>
      <c r="AE1278" s="73"/>
      <c r="AF1278" s="73"/>
      <c r="AG1278" s="73"/>
      <c r="AH1278" s="73"/>
      <c r="AI1278" s="73"/>
      <c r="AJ1278" s="73"/>
      <c r="AK1278" s="73"/>
    </row>
    <row r="1279">
      <c r="A1279" s="28">
        <v>1278.0</v>
      </c>
      <c r="B1279" s="29"/>
      <c r="C1279" s="29"/>
      <c r="D1279" s="40">
        <v>1.0</v>
      </c>
      <c r="E1279" s="31">
        <v>26.0</v>
      </c>
      <c r="F1279" s="42">
        <v>45.0</v>
      </c>
      <c r="G1279" s="29" t="str">
        <f t="shared" si="1"/>
        <v>26045</v>
      </c>
      <c r="H1279" s="37" t="s">
        <v>1247</v>
      </c>
      <c r="I1279" s="37" t="s">
        <v>60</v>
      </c>
      <c r="J1279" s="37" t="s">
        <v>274</v>
      </c>
      <c r="K1279" s="37" t="str">
        <f t="shared" si="23"/>
        <v>Eaton, MI</v>
      </c>
      <c r="L1279" s="70">
        <v>53.0</v>
      </c>
      <c r="M1279" s="37">
        <v>2.32</v>
      </c>
      <c r="N1279" s="37" t="s">
        <v>63</v>
      </c>
      <c r="O1279" s="37" t="s">
        <v>63</v>
      </c>
      <c r="P1279" s="37">
        <v>22.0</v>
      </c>
      <c r="Q1279" s="37">
        <v>53.0</v>
      </c>
      <c r="R1279" s="37" t="s">
        <v>63</v>
      </c>
      <c r="S1279" s="37" t="s">
        <v>63</v>
      </c>
      <c r="T1279" s="69" t="s">
        <v>63</v>
      </c>
      <c r="U1279" s="70" t="s">
        <v>63</v>
      </c>
      <c r="V1279" s="37" t="s">
        <v>63</v>
      </c>
      <c r="W1279" s="71" t="s">
        <v>63</v>
      </c>
      <c r="X1279" s="72" t="s">
        <v>63</v>
      </c>
      <c r="Y1279" s="53">
        <v>83.0</v>
      </c>
      <c r="Z1279" s="69" t="s">
        <v>63</v>
      </c>
      <c r="AA1279" s="73"/>
      <c r="AB1279" s="73"/>
      <c r="AC1279" s="73"/>
      <c r="AD1279" s="73"/>
      <c r="AE1279" s="73"/>
      <c r="AF1279" s="73"/>
      <c r="AG1279" s="73"/>
      <c r="AH1279" s="73"/>
      <c r="AI1279" s="73"/>
      <c r="AJ1279" s="73"/>
      <c r="AK1279" s="73"/>
    </row>
    <row r="1280">
      <c r="A1280" s="28">
        <v>1279.0</v>
      </c>
      <c r="B1280" s="29"/>
      <c r="C1280" s="29"/>
      <c r="D1280" s="40">
        <v>1.0</v>
      </c>
      <c r="E1280" s="31">
        <v>26.0</v>
      </c>
      <c r="F1280" s="42">
        <v>47.0</v>
      </c>
      <c r="G1280" s="29" t="str">
        <f t="shared" si="1"/>
        <v>26047</v>
      </c>
      <c r="H1280" s="37" t="s">
        <v>901</v>
      </c>
      <c r="I1280" s="37" t="s">
        <v>60</v>
      </c>
      <c r="J1280" s="37" t="s">
        <v>274</v>
      </c>
      <c r="K1280" s="37" t="str">
        <f t="shared" si="23"/>
        <v>Emmet, MI</v>
      </c>
      <c r="L1280" s="70">
        <v>14.0</v>
      </c>
      <c r="M1280" s="37">
        <v>1.83</v>
      </c>
      <c r="N1280" s="37" t="s">
        <v>63</v>
      </c>
      <c r="O1280" s="37" t="s">
        <v>63</v>
      </c>
      <c r="P1280" s="37">
        <v>5.0</v>
      </c>
      <c r="Q1280" s="37">
        <v>6.0</v>
      </c>
      <c r="R1280" s="37" t="s">
        <v>63</v>
      </c>
      <c r="S1280" s="37" t="s">
        <v>63</v>
      </c>
      <c r="T1280" s="69" t="s">
        <v>63</v>
      </c>
      <c r="U1280" s="70" t="s">
        <v>63</v>
      </c>
      <c r="V1280" s="37" t="s">
        <v>63</v>
      </c>
      <c r="W1280" s="71" t="s">
        <v>63</v>
      </c>
      <c r="X1280" s="72" t="s">
        <v>63</v>
      </c>
      <c r="Y1280" s="53">
        <v>45.0</v>
      </c>
      <c r="Z1280" s="69" t="s">
        <v>63</v>
      </c>
      <c r="AA1280" s="73"/>
      <c r="AB1280" s="73"/>
      <c r="AC1280" s="73"/>
      <c r="AD1280" s="73"/>
      <c r="AE1280" s="73"/>
      <c r="AF1280" s="73"/>
      <c r="AG1280" s="73"/>
      <c r="AH1280" s="73"/>
      <c r="AI1280" s="73"/>
      <c r="AJ1280" s="73"/>
      <c r="AK1280" s="73"/>
    </row>
    <row r="1281">
      <c r="A1281" s="28">
        <v>1280.0</v>
      </c>
      <c r="B1281" s="29"/>
      <c r="C1281" s="29"/>
      <c r="D1281" s="40">
        <v>1.0</v>
      </c>
      <c r="E1281" s="31">
        <v>26.0</v>
      </c>
      <c r="F1281" s="42">
        <v>49.0</v>
      </c>
      <c r="G1281" s="29" t="str">
        <f t="shared" si="1"/>
        <v>26049</v>
      </c>
      <c r="H1281" s="37" t="s">
        <v>1248</v>
      </c>
      <c r="I1281" s="37" t="s">
        <v>60</v>
      </c>
      <c r="J1281" s="37" t="s">
        <v>274</v>
      </c>
      <c r="K1281" s="37" t="str">
        <f t="shared" si="23"/>
        <v>Genesee, MI</v>
      </c>
      <c r="L1281" s="70">
        <v>464.0</v>
      </c>
      <c r="M1281" s="37">
        <v>2.19</v>
      </c>
      <c r="N1281" s="37" t="s">
        <v>63</v>
      </c>
      <c r="O1281" s="37" t="s">
        <v>63</v>
      </c>
      <c r="P1281" s="37">
        <v>69.0</v>
      </c>
      <c r="Q1281" s="37">
        <v>152.0</v>
      </c>
      <c r="R1281" s="37" t="s">
        <v>63</v>
      </c>
      <c r="S1281" s="37" t="s">
        <v>63</v>
      </c>
      <c r="T1281" s="69" t="s">
        <v>63</v>
      </c>
      <c r="U1281" s="70" t="s">
        <v>63</v>
      </c>
      <c r="V1281" s="37" t="s">
        <v>63</v>
      </c>
      <c r="W1281" s="71" t="s">
        <v>63</v>
      </c>
      <c r="X1281" s="72" t="s">
        <v>63</v>
      </c>
      <c r="Y1281" s="53">
        <v>377.0</v>
      </c>
      <c r="Z1281" s="69" t="s">
        <v>63</v>
      </c>
      <c r="AA1281" s="73"/>
      <c r="AB1281" s="73"/>
      <c r="AC1281" s="73"/>
      <c r="AD1281" s="73"/>
      <c r="AE1281" s="73"/>
      <c r="AF1281" s="73"/>
      <c r="AG1281" s="73"/>
      <c r="AH1281" s="73"/>
      <c r="AI1281" s="73"/>
      <c r="AJ1281" s="73"/>
      <c r="AK1281" s="73"/>
    </row>
    <row r="1282">
      <c r="A1282" s="28">
        <v>1281.0</v>
      </c>
      <c r="B1282" s="29"/>
      <c r="C1282" s="29"/>
      <c r="D1282" s="40">
        <v>1.0</v>
      </c>
      <c r="E1282" s="31">
        <v>26.0</v>
      </c>
      <c r="F1282" s="42">
        <v>51.0</v>
      </c>
      <c r="G1282" s="29" t="str">
        <f t="shared" si="1"/>
        <v>26051</v>
      </c>
      <c r="H1282" s="37" t="s">
        <v>1249</v>
      </c>
      <c r="I1282" s="37" t="s">
        <v>60</v>
      </c>
      <c r="J1282" s="37" t="s">
        <v>274</v>
      </c>
      <c r="K1282" s="37" t="str">
        <f t="shared" si="23"/>
        <v>Gladwin, MI</v>
      </c>
      <c r="L1282" s="70">
        <v>41.0</v>
      </c>
      <c r="M1282" s="37">
        <v>2.6</v>
      </c>
      <c r="N1282" s="37" t="s">
        <v>63</v>
      </c>
      <c r="O1282" s="37" t="s">
        <v>63</v>
      </c>
      <c r="P1282" s="37">
        <v>8.0</v>
      </c>
      <c r="Q1282" s="37">
        <v>10.0</v>
      </c>
      <c r="R1282" s="37" t="s">
        <v>63</v>
      </c>
      <c r="S1282" s="37" t="s">
        <v>63</v>
      </c>
      <c r="T1282" s="69" t="s">
        <v>63</v>
      </c>
      <c r="U1282" s="70" t="s">
        <v>63</v>
      </c>
      <c r="V1282" s="37" t="s">
        <v>63</v>
      </c>
      <c r="W1282" s="71" t="s">
        <v>63</v>
      </c>
      <c r="X1282" s="72" t="s">
        <v>63</v>
      </c>
      <c r="Y1282" s="53">
        <v>29.0</v>
      </c>
      <c r="Z1282" s="69" t="s">
        <v>63</v>
      </c>
      <c r="AA1282" s="73"/>
      <c r="AB1282" s="73"/>
      <c r="AC1282" s="73"/>
      <c r="AD1282" s="73"/>
      <c r="AE1282" s="73"/>
      <c r="AF1282" s="73"/>
      <c r="AG1282" s="73"/>
      <c r="AH1282" s="73"/>
      <c r="AI1282" s="73"/>
      <c r="AJ1282" s="73"/>
      <c r="AK1282" s="73"/>
    </row>
    <row r="1283">
      <c r="A1283" s="28">
        <v>1282.0</v>
      </c>
      <c r="B1283" s="29"/>
      <c r="C1283" s="29"/>
      <c r="D1283" s="40">
        <v>1.0</v>
      </c>
      <c r="E1283" s="31">
        <v>26.0</v>
      </c>
      <c r="F1283" s="42">
        <v>53.0</v>
      </c>
      <c r="G1283" s="29" t="str">
        <f t="shared" si="1"/>
        <v>26053</v>
      </c>
      <c r="H1283" s="37" t="s">
        <v>1250</v>
      </c>
      <c r="I1283" s="37" t="s">
        <v>60</v>
      </c>
      <c r="J1283" s="37" t="s">
        <v>274</v>
      </c>
      <c r="K1283" s="37" t="str">
        <f t="shared" si="23"/>
        <v>Gogebic, MI</v>
      </c>
      <c r="L1283" s="70">
        <v>30.0</v>
      </c>
      <c r="M1283" s="37">
        <v>2.11</v>
      </c>
      <c r="N1283" s="37" t="s">
        <v>63</v>
      </c>
      <c r="O1283" s="37" t="s">
        <v>63</v>
      </c>
      <c r="P1283" s="37">
        <v>3.0</v>
      </c>
      <c r="Q1283" s="37">
        <v>9.0</v>
      </c>
      <c r="R1283" s="37" t="s">
        <v>63</v>
      </c>
      <c r="S1283" s="37" t="s">
        <v>63</v>
      </c>
      <c r="T1283" s="69" t="s">
        <v>63</v>
      </c>
      <c r="U1283" s="70" t="s">
        <v>63</v>
      </c>
      <c r="V1283" s="37" t="s">
        <v>63</v>
      </c>
      <c r="W1283" s="71" t="s">
        <v>63</v>
      </c>
      <c r="X1283" s="72" t="s">
        <v>63</v>
      </c>
      <c r="Y1283" s="53">
        <v>18.0</v>
      </c>
      <c r="Z1283" s="69" t="s">
        <v>63</v>
      </c>
      <c r="AA1283" s="73"/>
      <c r="AB1283" s="73"/>
      <c r="AC1283" s="73"/>
      <c r="AD1283" s="73"/>
      <c r="AE1283" s="73"/>
      <c r="AF1283" s="73"/>
      <c r="AG1283" s="73"/>
      <c r="AH1283" s="73"/>
      <c r="AI1283" s="73"/>
      <c r="AJ1283" s="73"/>
      <c r="AK1283" s="73"/>
    </row>
    <row r="1284">
      <c r="A1284" s="28">
        <v>1283.0</v>
      </c>
      <c r="B1284" s="29"/>
      <c r="C1284" s="29"/>
      <c r="D1284" s="40">
        <v>1.0</v>
      </c>
      <c r="E1284" s="31">
        <v>26.0</v>
      </c>
      <c r="F1284" s="42">
        <v>55.0</v>
      </c>
      <c r="G1284" s="29" t="str">
        <f t="shared" si="1"/>
        <v>26055</v>
      </c>
      <c r="H1284" s="37" t="s">
        <v>1251</v>
      </c>
      <c r="I1284" s="37" t="s">
        <v>60</v>
      </c>
      <c r="J1284" s="37" t="s">
        <v>274</v>
      </c>
      <c r="K1284" s="136" t="str">
        <f t="shared" si="23"/>
        <v>Grand Traverse, MI</v>
      </c>
      <c r="L1284" s="70">
        <v>56.0</v>
      </c>
      <c r="M1284" s="37">
        <v>1.7</v>
      </c>
      <c r="N1284" s="37" t="s">
        <v>63</v>
      </c>
      <c r="O1284" s="37" t="s">
        <v>63</v>
      </c>
      <c r="P1284" s="37">
        <v>16.0</v>
      </c>
      <c r="Q1284" s="37">
        <v>46.0</v>
      </c>
      <c r="R1284" s="37" t="s">
        <v>63</v>
      </c>
      <c r="S1284" s="37" t="s">
        <v>63</v>
      </c>
      <c r="T1284" s="69" t="s">
        <v>63</v>
      </c>
      <c r="U1284" s="70" t="s">
        <v>63</v>
      </c>
      <c r="V1284" s="37" t="s">
        <v>63</v>
      </c>
      <c r="W1284" s="71" t="s">
        <v>63</v>
      </c>
      <c r="X1284" s="72" t="s">
        <v>63</v>
      </c>
      <c r="Y1284" s="53">
        <v>66.0</v>
      </c>
      <c r="Z1284" s="69" t="s">
        <v>63</v>
      </c>
      <c r="AA1284" s="73"/>
      <c r="AB1284" s="73"/>
      <c r="AC1284" s="73"/>
      <c r="AD1284" s="73"/>
      <c r="AE1284" s="73"/>
      <c r="AF1284" s="73"/>
      <c r="AG1284" s="73"/>
      <c r="AH1284" s="73"/>
      <c r="AI1284" s="73"/>
      <c r="AJ1284" s="73"/>
      <c r="AK1284" s="73"/>
    </row>
    <row r="1285">
      <c r="A1285" s="28">
        <v>1284.0</v>
      </c>
      <c r="B1285" s="29"/>
      <c r="C1285" s="29"/>
      <c r="D1285" s="40">
        <v>1.0</v>
      </c>
      <c r="E1285" s="31">
        <v>26.0</v>
      </c>
      <c r="F1285" s="42">
        <v>57.0</v>
      </c>
      <c r="G1285" s="29" t="str">
        <f t="shared" si="1"/>
        <v>26057</v>
      </c>
      <c r="H1285" s="37" t="s">
        <v>1252</v>
      </c>
      <c r="I1285" s="37" t="s">
        <v>60</v>
      </c>
      <c r="J1285" s="37" t="s">
        <v>274</v>
      </c>
      <c r="K1285" s="37" t="str">
        <f t="shared" si="23"/>
        <v>Gratiot, MI</v>
      </c>
      <c r="L1285" s="70">
        <v>33.0</v>
      </c>
      <c r="M1285" s="37">
        <v>2.25</v>
      </c>
      <c r="N1285" s="37" t="s">
        <v>63</v>
      </c>
      <c r="O1285" s="37" t="s">
        <v>63</v>
      </c>
      <c r="P1285" s="37">
        <v>9.0</v>
      </c>
      <c r="Q1285" s="37">
        <v>16.0</v>
      </c>
      <c r="R1285" s="37" t="s">
        <v>63</v>
      </c>
      <c r="S1285" s="37" t="s">
        <v>63</v>
      </c>
      <c r="T1285" s="69" t="s">
        <v>63</v>
      </c>
      <c r="U1285" s="70" t="s">
        <v>63</v>
      </c>
      <c r="V1285" s="37" t="s">
        <v>63</v>
      </c>
      <c r="W1285" s="71" t="s">
        <v>63</v>
      </c>
      <c r="X1285" s="72" t="s">
        <v>63</v>
      </c>
      <c r="Y1285" s="53">
        <v>49.0</v>
      </c>
      <c r="Z1285" s="69" t="s">
        <v>63</v>
      </c>
      <c r="AA1285" s="73"/>
      <c r="AB1285" s="73"/>
      <c r="AC1285" s="73"/>
      <c r="AD1285" s="73"/>
      <c r="AE1285" s="73"/>
      <c r="AF1285" s="73"/>
      <c r="AG1285" s="73"/>
      <c r="AH1285" s="73"/>
      <c r="AI1285" s="73"/>
      <c r="AJ1285" s="73"/>
      <c r="AK1285" s="73"/>
    </row>
    <row r="1286">
      <c r="A1286" s="28">
        <v>1285.0</v>
      </c>
      <c r="B1286" s="29"/>
      <c r="C1286" s="29"/>
      <c r="D1286" s="40">
        <v>1.0</v>
      </c>
      <c r="E1286" s="31">
        <v>26.0</v>
      </c>
      <c r="F1286" s="42">
        <v>59.0</v>
      </c>
      <c r="G1286" s="29" t="str">
        <f t="shared" si="1"/>
        <v>26059</v>
      </c>
      <c r="H1286" s="37" t="s">
        <v>1253</v>
      </c>
      <c r="I1286" s="37" t="s">
        <v>60</v>
      </c>
      <c r="J1286" s="37" t="s">
        <v>274</v>
      </c>
      <c r="K1286" s="37" t="str">
        <f t="shared" si="23"/>
        <v>Hillsdale, MI</v>
      </c>
      <c r="L1286" s="70">
        <v>112.0</v>
      </c>
      <c r="M1286" s="37">
        <v>2.5</v>
      </c>
      <c r="N1286" s="37" t="s">
        <v>63</v>
      </c>
      <c r="O1286" s="37" t="s">
        <v>63</v>
      </c>
      <c r="P1286" s="37">
        <v>27.0</v>
      </c>
      <c r="Q1286" s="37">
        <v>18.0</v>
      </c>
      <c r="R1286" s="37" t="s">
        <v>63</v>
      </c>
      <c r="S1286" s="37" t="s">
        <v>63</v>
      </c>
      <c r="T1286" s="69" t="s">
        <v>63</v>
      </c>
      <c r="U1286" s="70" t="s">
        <v>63</v>
      </c>
      <c r="V1286" s="37" t="s">
        <v>63</v>
      </c>
      <c r="W1286" s="71" t="s">
        <v>63</v>
      </c>
      <c r="X1286" s="72" t="s">
        <v>63</v>
      </c>
      <c r="Y1286" s="53">
        <v>58.0</v>
      </c>
      <c r="Z1286" s="69" t="s">
        <v>63</v>
      </c>
      <c r="AA1286" s="73"/>
      <c r="AB1286" s="73"/>
      <c r="AC1286" s="73"/>
      <c r="AD1286" s="73"/>
      <c r="AE1286" s="73"/>
      <c r="AF1286" s="73"/>
      <c r="AG1286" s="73"/>
      <c r="AH1286" s="73"/>
      <c r="AI1286" s="73"/>
      <c r="AJ1286" s="73"/>
      <c r="AK1286" s="73"/>
    </row>
    <row r="1287">
      <c r="A1287" s="28">
        <v>1286.0</v>
      </c>
      <c r="B1287" s="29"/>
      <c r="C1287" s="29"/>
      <c r="D1287" s="40">
        <v>1.0</v>
      </c>
      <c r="E1287" s="31">
        <v>26.0</v>
      </c>
      <c r="F1287" s="42">
        <v>61.0</v>
      </c>
      <c r="G1287" s="29" t="str">
        <f t="shared" si="1"/>
        <v>26061</v>
      </c>
      <c r="H1287" s="37" t="s">
        <v>1254</v>
      </c>
      <c r="I1287" s="37" t="s">
        <v>60</v>
      </c>
      <c r="J1287" s="37" t="s">
        <v>274</v>
      </c>
      <c r="K1287" s="37" t="str">
        <f t="shared" si="23"/>
        <v>Houghton, MI</v>
      </c>
      <c r="L1287" s="70">
        <v>13.0</v>
      </c>
      <c r="M1287" s="37">
        <v>2.08</v>
      </c>
      <c r="N1287" s="37" t="s">
        <v>63</v>
      </c>
      <c r="O1287" s="37" t="s">
        <v>63</v>
      </c>
      <c r="P1287" s="37">
        <v>4.0</v>
      </c>
      <c r="Q1287" s="37">
        <v>13.0</v>
      </c>
      <c r="R1287" s="37" t="s">
        <v>63</v>
      </c>
      <c r="S1287" s="37" t="s">
        <v>63</v>
      </c>
      <c r="T1287" s="69" t="s">
        <v>63</v>
      </c>
      <c r="U1287" s="70" t="s">
        <v>63</v>
      </c>
      <c r="V1287" s="37" t="s">
        <v>63</v>
      </c>
      <c r="W1287" s="71" t="s">
        <v>63</v>
      </c>
      <c r="X1287" s="72" t="s">
        <v>63</v>
      </c>
      <c r="Y1287" s="53">
        <v>45.0</v>
      </c>
      <c r="Z1287" s="69" t="s">
        <v>63</v>
      </c>
      <c r="AA1287" s="73"/>
      <c r="AB1287" s="73"/>
      <c r="AC1287" s="73"/>
      <c r="AD1287" s="73"/>
      <c r="AE1287" s="73"/>
      <c r="AF1287" s="73"/>
      <c r="AG1287" s="73"/>
      <c r="AH1287" s="73"/>
      <c r="AI1287" s="73"/>
      <c r="AJ1287" s="73"/>
      <c r="AK1287" s="73"/>
    </row>
    <row r="1288">
      <c r="A1288" s="28">
        <v>1287.0</v>
      </c>
      <c r="B1288" s="29"/>
      <c r="C1288" s="29"/>
      <c r="D1288" s="40">
        <v>1.0</v>
      </c>
      <c r="E1288" s="31">
        <v>26.0</v>
      </c>
      <c r="F1288" s="42">
        <v>63.0</v>
      </c>
      <c r="G1288" s="29" t="str">
        <f t="shared" si="1"/>
        <v>26063</v>
      </c>
      <c r="H1288" s="37" t="s">
        <v>1255</v>
      </c>
      <c r="I1288" s="37" t="s">
        <v>60</v>
      </c>
      <c r="J1288" s="37" t="s">
        <v>274</v>
      </c>
      <c r="K1288" s="37" t="str">
        <f t="shared" si="23"/>
        <v>Huron, MI</v>
      </c>
      <c r="L1288" s="70">
        <v>42.0</v>
      </c>
      <c r="M1288" s="37">
        <v>1.88</v>
      </c>
      <c r="N1288" s="37" t="s">
        <v>63</v>
      </c>
      <c r="O1288" s="37" t="s">
        <v>63</v>
      </c>
      <c r="P1288" s="37">
        <v>2.0</v>
      </c>
      <c r="Q1288" s="37">
        <v>17.0</v>
      </c>
      <c r="R1288" s="37" t="s">
        <v>63</v>
      </c>
      <c r="S1288" s="37" t="s">
        <v>63</v>
      </c>
      <c r="T1288" s="69" t="s">
        <v>63</v>
      </c>
      <c r="U1288" s="70" t="s">
        <v>63</v>
      </c>
      <c r="V1288" s="37" t="s">
        <v>63</v>
      </c>
      <c r="W1288" s="71" t="s">
        <v>63</v>
      </c>
      <c r="X1288" s="72" t="s">
        <v>63</v>
      </c>
      <c r="Y1288" s="53">
        <v>57.0</v>
      </c>
      <c r="Z1288" s="69" t="s">
        <v>63</v>
      </c>
      <c r="AA1288" s="73"/>
      <c r="AB1288" s="73"/>
      <c r="AC1288" s="73"/>
      <c r="AD1288" s="73"/>
      <c r="AE1288" s="73"/>
      <c r="AF1288" s="73"/>
      <c r="AG1288" s="73"/>
      <c r="AH1288" s="73"/>
      <c r="AI1288" s="73"/>
      <c r="AJ1288" s="73"/>
      <c r="AK1288" s="73"/>
    </row>
    <row r="1289">
      <c r="A1289" s="28">
        <v>1288.0</v>
      </c>
      <c r="B1289" s="29"/>
      <c r="C1289" s="29"/>
      <c r="D1289" s="40">
        <v>1.0</v>
      </c>
      <c r="E1289" s="31">
        <v>26.0</v>
      </c>
      <c r="F1289" s="42">
        <v>65.0</v>
      </c>
      <c r="G1289" s="29" t="str">
        <f t="shared" si="1"/>
        <v>26065</v>
      </c>
      <c r="H1289" s="37" t="s">
        <v>1256</v>
      </c>
      <c r="I1289" s="37" t="s">
        <v>60</v>
      </c>
      <c r="J1289" s="37" t="s">
        <v>274</v>
      </c>
      <c r="K1289" s="37" t="str">
        <f t="shared" si="23"/>
        <v>Ingham, MI</v>
      </c>
      <c r="L1289" s="70">
        <v>391.0</v>
      </c>
      <c r="M1289" s="37">
        <v>1.92</v>
      </c>
      <c r="N1289" s="37" t="s">
        <v>63</v>
      </c>
      <c r="O1289" s="37" t="s">
        <v>63</v>
      </c>
      <c r="P1289" s="37">
        <v>82.0</v>
      </c>
      <c r="Q1289" s="37">
        <v>107.0</v>
      </c>
      <c r="R1289" s="37" t="s">
        <v>63</v>
      </c>
      <c r="S1289" s="37" t="s">
        <v>63</v>
      </c>
      <c r="T1289" s="69" t="s">
        <v>63</v>
      </c>
      <c r="U1289" s="70" t="s">
        <v>63</v>
      </c>
      <c r="V1289" s="37" t="s">
        <v>63</v>
      </c>
      <c r="W1289" s="71" t="s">
        <v>63</v>
      </c>
      <c r="X1289" s="72" t="s">
        <v>63</v>
      </c>
      <c r="Y1289" s="53">
        <v>223.0</v>
      </c>
      <c r="Z1289" s="69" t="s">
        <v>63</v>
      </c>
      <c r="AA1289" s="73"/>
      <c r="AB1289" s="73"/>
      <c r="AC1289" s="73"/>
      <c r="AD1289" s="73"/>
      <c r="AE1289" s="73"/>
      <c r="AF1289" s="73"/>
      <c r="AG1289" s="73"/>
      <c r="AH1289" s="73"/>
      <c r="AI1289" s="73"/>
      <c r="AJ1289" s="73"/>
      <c r="AK1289" s="73"/>
    </row>
    <row r="1290">
      <c r="A1290" s="28">
        <v>1289.0</v>
      </c>
      <c r="B1290" s="29"/>
      <c r="C1290" s="29"/>
      <c r="D1290" s="40">
        <v>1.0</v>
      </c>
      <c r="E1290" s="31">
        <v>26.0</v>
      </c>
      <c r="F1290" s="42">
        <v>67.0</v>
      </c>
      <c r="G1290" s="29" t="str">
        <f t="shared" si="1"/>
        <v>26067</v>
      </c>
      <c r="H1290" s="37" t="s">
        <v>1257</v>
      </c>
      <c r="I1290" s="37" t="s">
        <v>60</v>
      </c>
      <c r="J1290" s="37" t="s">
        <v>274</v>
      </c>
      <c r="K1290" s="37" t="str">
        <f t="shared" si="23"/>
        <v>Ionia, MI</v>
      </c>
      <c r="L1290" s="70">
        <v>44.0</v>
      </c>
      <c r="M1290" s="37">
        <v>2.08</v>
      </c>
      <c r="N1290" s="37" t="s">
        <v>63</v>
      </c>
      <c r="O1290" s="37" t="s">
        <v>63</v>
      </c>
      <c r="P1290" s="37">
        <v>5.0</v>
      </c>
      <c r="Q1290" s="37">
        <v>26.0</v>
      </c>
      <c r="R1290" s="37" t="s">
        <v>63</v>
      </c>
      <c r="S1290" s="37" t="s">
        <v>63</v>
      </c>
      <c r="T1290" s="69" t="s">
        <v>63</v>
      </c>
      <c r="U1290" s="70" t="s">
        <v>63</v>
      </c>
      <c r="V1290" s="37" t="s">
        <v>63</v>
      </c>
      <c r="W1290" s="71" t="s">
        <v>63</v>
      </c>
      <c r="X1290" s="72" t="s">
        <v>63</v>
      </c>
      <c r="Y1290" s="53">
        <v>61.0</v>
      </c>
      <c r="Z1290" s="69" t="s">
        <v>63</v>
      </c>
      <c r="AA1290" s="73"/>
      <c r="AB1290" s="73"/>
      <c r="AC1290" s="73"/>
      <c r="AD1290" s="73"/>
      <c r="AE1290" s="73"/>
      <c r="AF1290" s="73"/>
      <c r="AG1290" s="73"/>
      <c r="AH1290" s="73"/>
      <c r="AI1290" s="73"/>
      <c r="AJ1290" s="73"/>
      <c r="AK1290" s="73"/>
    </row>
    <row r="1291">
      <c r="A1291" s="28">
        <v>1290.0</v>
      </c>
      <c r="B1291" s="29"/>
      <c r="C1291" s="29"/>
      <c r="D1291" s="40">
        <v>1.0</v>
      </c>
      <c r="E1291" s="31">
        <v>26.0</v>
      </c>
      <c r="F1291" s="42">
        <v>69.0</v>
      </c>
      <c r="G1291" s="29" t="str">
        <f t="shared" si="1"/>
        <v>26069</v>
      </c>
      <c r="H1291" s="37" t="s">
        <v>1258</v>
      </c>
      <c r="I1291" s="37" t="s">
        <v>60</v>
      </c>
      <c r="J1291" s="37" t="s">
        <v>274</v>
      </c>
      <c r="K1291" s="37" t="str">
        <f t="shared" si="23"/>
        <v>Iosco, MI</v>
      </c>
      <c r="L1291" s="70">
        <v>36.0</v>
      </c>
      <c r="M1291" s="37">
        <v>2.39</v>
      </c>
      <c r="N1291" s="37" t="s">
        <v>63</v>
      </c>
      <c r="O1291" s="37" t="s">
        <v>63</v>
      </c>
      <c r="P1291" s="37">
        <v>7.0</v>
      </c>
      <c r="Q1291" s="37">
        <v>23.0</v>
      </c>
      <c r="R1291" s="37" t="s">
        <v>63</v>
      </c>
      <c r="S1291" s="37" t="s">
        <v>63</v>
      </c>
      <c r="T1291" s="69" t="s">
        <v>63</v>
      </c>
      <c r="U1291" s="70" t="s">
        <v>63</v>
      </c>
      <c r="V1291" s="37" t="s">
        <v>63</v>
      </c>
      <c r="W1291" s="71" t="s">
        <v>63</v>
      </c>
      <c r="X1291" s="72" t="s">
        <v>63</v>
      </c>
      <c r="Y1291" s="53">
        <v>32.0</v>
      </c>
      <c r="Z1291" s="69" t="s">
        <v>63</v>
      </c>
      <c r="AA1291" s="73"/>
      <c r="AB1291" s="73"/>
      <c r="AC1291" s="73"/>
      <c r="AD1291" s="73"/>
      <c r="AE1291" s="73"/>
      <c r="AF1291" s="73"/>
      <c r="AG1291" s="73"/>
      <c r="AH1291" s="73"/>
      <c r="AI1291" s="73"/>
      <c r="AJ1291" s="73"/>
      <c r="AK1291" s="73"/>
    </row>
    <row r="1292">
      <c r="A1292" s="28">
        <v>1291.0</v>
      </c>
      <c r="B1292" s="29"/>
      <c r="C1292" s="29"/>
      <c r="D1292" s="40">
        <v>1.0</v>
      </c>
      <c r="E1292" s="31">
        <v>26.0</v>
      </c>
      <c r="F1292" s="42">
        <v>71.0</v>
      </c>
      <c r="G1292" s="29" t="str">
        <f t="shared" si="1"/>
        <v>26071</v>
      </c>
      <c r="H1292" s="37" t="s">
        <v>1259</v>
      </c>
      <c r="I1292" s="37" t="s">
        <v>60</v>
      </c>
      <c r="J1292" s="37" t="s">
        <v>274</v>
      </c>
      <c r="K1292" s="37" t="str">
        <f t="shared" si="23"/>
        <v>Iron, MI</v>
      </c>
      <c r="L1292" s="70">
        <v>12.0</v>
      </c>
      <c r="M1292" s="37">
        <v>1.67</v>
      </c>
      <c r="N1292" s="37" t="s">
        <v>63</v>
      </c>
      <c r="O1292" s="37" t="s">
        <v>63</v>
      </c>
      <c r="P1292" s="37">
        <v>1.0</v>
      </c>
      <c r="Q1292" s="37">
        <v>6.0</v>
      </c>
      <c r="R1292" s="37" t="s">
        <v>63</v>
      </c>
      <c r="S1292" s="37" t="s">
        <v>63</v>
      </c>
      <c r="T1292" s="69" t="s">
        <v>63</v>
      </c>
      <c r="U1292" s="70" t="s">
        <v>63</v>
      </c>
      <c r="V1292" s="37" t="s">
        <v>63</v>
      </c>
      <c r="W1292" s="71" t="s">
        <v>63</v>
      </c>
      <c r="X1292" s="72" t="s">
        <v>63</v>
      </c>
      <c r="Y1292" s="53">
        <v>23.0</v>
      </c>
      <c r="Z1292" s="69" t="s">
        <v>63</v>
      </c>
      <c r="AA1292" s="73"/>
      <c r="AB1292" s="73"/>
      <c r="AC1292" s="73"/>
      <c r="AD1292" s="73"/>
      <c r="AE1292" s="73"/>
      <c r="AF1292" s="73"/>
      <c r="AG1292" s="73"/>
      <c r="AH1292" s="73"/>
      <c r="AI1292" s="73"/>
      <c r="AJ1292" s="73"/>
      <c r="AK1292" s="73"/>
    </row>
    <row r="1293">
      <c r="A1293" s="28">
        <v>1292.0</v>
      </c>
      <c r="B1293" s="29"/>
      <c r="C1293" s="29"/>
      <c r="D1293" s="40">
        <v>1.0</v>
      </c>
      <c r="E1293" s="31">
        <v>26.0</v>
      </c>
      <c r="F1293" s="42">
        <v>73.0</v>
      </c>
      <c r="G1293" s="29" t="str">
        <f t="shared" si="1"/>
        <v>26073</v>
      </c>
      <c r="H1293" s="37" t="s">
        <v>1260</v>
      </c>
      <c r="I1293" s="37" t="s">
        <v>60</v>
      </c>
      <c r="J1293" s="37" t="s">
        <v>274</v>
      </c>
      <c r="K1293" s="37" t="str">
        <f t="shared" si="23"/>
        <v>Isabella, MI</v>
      </c>
      <c r="L1293" s="70">
        <v>45.0</v>
      </c>
      <c r="M1293" s="37">
        <v>2.27</v>
      </c>
      <c r="N1293" s="37" t="s">
        <v>63</v>
      </c>
      <c r="O1293" s="37" t="s">
        <v>63</v>
      </c>
      <c r="P1293" s="37">
        <v>4.0</v>
      </c>
      <c r="Q1293" s="37">
        <v>34.0</v>
      </c>
      <c r="R1293" s="37" t="s">
        <v>63</v>
      </c>
      <c r="S1293" s="37" t="s">
        <v>63</v>
      </c>
      <c r="T1293" s="69" t="s">
        <v>63</v>
      </c>
      <c r="U1293" s="70" t="s">
        <v>63</v>
      </c>
      <c r="V1293" s="37" t="s">
        <v>63</v>
      </c>
      <c r="W1293" s="71" t="s">
        <v>63</v>
      </c>
      <c r="X1293" s="72" t="s">
        <v>63</v>
      </c>
      <c r="Y1293" s="53">
        <v>41.0</v>
      </c>
      <c r="Z1293" s="69" t="s">
        <v>63</v>
      </c>
      <c r="AA1293" s="73"/>
      <c r="AB1293" s="73"/>
      <c r="AC1293" s="73"/>
      <c r="AD1293" s="73"/>
      <c r="AE1293" s="73"/>
      <c r="AF1293" s="73"/>
      <c r="AG1293" s="73"/>
      <c r="AH1293" s="73"/>
      <c r="AI1293" s="73"/>
      <c r="AJ1293" s="73"/>
      <c r="AK1293" s="73"/>
    </row>
    <row r="1294">
      <c r="A1294" s="28">
        <v>1293.0</v>
      </c>
      <c r="B1294" s="29"/>
      <c r="C1294" s="29"/>
      <c r="D1294" s="40">
        <v>1.0</v>
      </c>
      <c r="E1294" s="31">
        <v>26.0</v>
      </c>
      <c r="F1294" s="42">
        <v>75.0</v>
      </c>
      <c r="G1294" s="29" t="str">
        <f t="shared" si="1"/>
        <v>26075</v>
      </c>
      <c r="H1294" s="37" t="s">
        <v>142</v>
      </c>
      <c r="I1294" s="37" t="s">
        <v>60</v>
      </c>
      <c r="J1294" s="37" t="s">
        <v>274</v>
      </c>
      <c r="K1294" s="37" t="str">
        <f t="shared" si="23"/>
        <v>Jackson, MI</v>
      </c>
      <c r="L1294" s="70">
        <v>156.0</v>
      </c>
      <c r="M1294" s="37">
        <v>2.31</v>
      </c>
      <c r="N1294" s="37" t="s">
        <v>63</v>
      </c>
      <c r="O1294" s="37" t="s">
        <v>63</v>
      </c>
      <c r="P1294" s="37">
        <v>45.0</v>
      </c>
      <c r="Q1294" s="37">
        <v>67.0</v>
      </c>
      <c r="R1294" s="37" t="s">
        <v>63</v>
      </c>
      <c r="S1294" s="37" t="s">
        <v>63</v>
      </c>
      <c r="T1294" s="69" t="s">
        <v>63</v>
      </c>
      <c r="U1294" s="70" t="s">
        <v>63</v>
      </c>
      <c r="V1294" s="37" t="s">
        <v>63</v>
      </c>
      <c r="W1294" s="71" t="s">
        <v>63</v>
      </c>
      <c r="X1294" s="72" t="s">
        <v>63</v>
      </c>
      <c r="Y1294" s="53">
        <v>134.0</v>
      </c>
      <c r="Z1294" s="69" t="s">
        <v>63</v>
      </c>
      <c r="AA1294" s="73"/>
      <c r="AB1294" s="73"/>
      <c r="AC1294" s="73"/>
      <c r="AD1294" s="73"/>
      <c r="AE1294" s="73"/>
      <c r="AF1294" s="73"/>
      <c r="AG1294" s="73"/>
      <c r="AH1294" s="73"/>
      <c r="AI1294" s="73"/>
      <c r="AJ1294" s="73"/>
      <c r="AK1294" s="73"/>
    </row>
    <row r="1295">
      <c r="A1295" s="28">
        <v>1294.0</v>
      </c>
      <c r="B1295" s="29"/>
      <c r="C1295" s="29"/>
      <c r="D1295" s="40">
        <v>1.0</v>
      </c>
      <c r="E1295" s="31">
        <v>26.0</v>
      </c>
      <c r="F1295" s="42">
        <v>77.0</v>
      </c>
      <c r="G1295" s="29" t="str">
        <f t="shared" si="1"/>
        <v>26077</v>
      </c>
      <c r="H1295" s="37" t="s">
        <v>1261</v>
      </c>
      <c r="I1295" s="37" t="s">
        <v>60</v>
      </c>
      <c r="J1295" s="37" t="s">
        <v>274</v>
      </c>
      <c r="K1295" s="37" t="str">
        <f t="shared" si="23"/>
        <v>Kalamazoo, MI</v>
      </c>
      <c r="L1295" s="70">
        <v>396.0</v>
      </c>
      <c r="M1295" s="37">
        <v>2.0</v>
      </c>
      <c r="N1295" s="37" t="s">
        <v>63</v>
      </c>
      <c r="O1295" s="37" t="s">
        <v>63</v>
      </c>
      <c r="P1295" s="37">
        <v>100.0</v>
      </c>
      <c r="Q1295" s="37">
        <v>136.0</v>
      </c>
      <c r="R1295" s="37" t="s">
        <v>63</v>
      </c>
      <c r="S1295" s="37" t="s">
        <v>63</v>
      </c>
      <c r="T1295" s="69" t="s">
        <v>63</v>
      </c>
      <c r="U1295" s="70" t="s">
        <v>63</v>
      </c>
      <c r="V1295" s="37" t="s">
        <v>63</v>
      </c>
      <c r="W1295" s="71" t="s">
        <v>63</v>
      </c>
      <c r="X1295" s="72" t="s">
        <v>63</v>
      </c>
      <c r="Y1295" s="53">
        <v>172.0</v>
      </c>
      <c r="Z1295" s="69" t="s">
        <v>63</v>
      </c>
      <c r="AA1295" s="73"/>
      <c r="AB1295" s="73"/>
      <c r="AC1295" s="73"/>
      <c r="AD1295" s="73"/>
      <c r="AE1295" s="73"/>
      <c r="AF1295" s="73"/>
      <c r="AG1295" s="73"/>
      <c r="AH1295" s="73"/>
      <c r="AI1295" s="73"/>
      <c r="AJ1295" s="73"/>
      <c r="AK1295" s="73"/>
    </row>
    <row r="1296">
      <c r="A1296" s="28">
        <v>1295.0</v>
      </c>
      <c r="B1296" s="29"/>
      <c r="C1296" s="29"/>
      <c r="D1296" s="40">
        <v>1.0</v>
      </c>
      <c r="E1296" s="31">
        <v>26.0</v>
      </c>
      <c r="F1296" s="42">
        <v>79.0</v>
      </c>
      <c r="G1296" s="29" t="str">
        <f t="shared" si="1"/>
        <v>26079</v>
      </c>
      <c r="H1296" s="37" t="s">
        <v>1262</v>
      </c>
      <c r="I1296" s="37" t="s">
        <v>60</v>
      </c>
      <c r="J1296" s="37" t="s">
        <v>274</v>
      </c>
      <c r="K1296" s="37" t="str">
        <f t="shared" si="23"/>
        <v>Kalkaska, MI</v>
      </c>
      <c r="L1296" s="70">
        <v>20.0</v>
      </c>
      <c r="M1296" s="37">
        <v>3.3</v>
      </c>
      <c r="N1296" s="37" t="s">
        <v>63</v>
      </c>
      <c r="O1296" s="37" t="s">
        <v>63</v>
      </c>
      <c r="P1296" s="37">
        <v>10.0</v>
      </c>
      <c r="Q1296" s="37">
        <v>10.0</v>
      </c>
      <c r="R1296" s="37" t="s">
        <v>63</v>
      </c>
      <c r="S1296" s="37" t="s">
        <v>63</v>
      </c>
      <c r="T1296" s="69" t="s">
        <v>63</v>
      </c>
      <c r="U1296" s="70" t="s">
        <v>63</v>
      </c>
      <c r="V1296" s="37" t="s">
        <v>63</v>
      </c>
      <c r="W1296" s="71" t="s">
        <v>63</v>
      </c>
      <c r="X1296" s="72" t="s">
        <v>63</v>
      </c>
      <c r="Y1296" s="53">
        <v>19.0</v>
      </c>
      <c r="Z1296" s="69" t="s">
        <v>63</v>
      </c>
      <c r="AA1296" s="73"/>
      <c r="AB1296" s="73"/>
      <c r="AC1296" s="73"/>
      <c r="AD1296" s="73"/>
      <c r="AE1296" s="73"/>
      <c r="AF1296" s="73"/>
      <c r="AG1296" s="73"/>
      <c r="AH1296" s="73"/>
      <c r="AI1296" s="73"/>
      <c r="AJ1296" s="73"/>
      <c r="AK1296" s="73"/>
    </row>
    <row r="1297">
      <c r="A1297" s="28">
        <v>1296.0</v>
      </c>
      <c r="B1297" s="29"/>
      <c r="C1297" s="29"/>
      <c r="D1297" s="40">
        <v>1.0</v>
      </c>
      <c r="E1297" s="31">
        <v>26.0</v>
      </c>
      <c r="F1297" s="42">
        <v>81.0</v>
      </c>
      <c r="G1297" s="29" t="str">
        <f t="shared" si="1"/>
        <v>26081</v>
      </c>
      <c r="H1297" s="37" t="s">
        <v>474</v>
      </c>
      <c r="I1297" s="37" t="s">
        <v>60</v>
      </c>
      <c r="J1297" s="37" t="s">
        <v>274</v>
      </c>
      <c r="K1297" s="37" t="str">
        <f t="shared" si="23"/>
        <v>Kent, MI</v>
      </c>
      <c r="L1297" s="70">
        <v>512.0</v>
      </c>
      <c r="M1297" s="37">
        <v>2.02</v>
      </c>
      <c r="N1297" s="37" t="s">
        <v>63</v>
      </c>
      <c r="O1297" s="37" t="s">
        <v>63</v>
      </c>
      <c r="P1297" s="37">
        <v>86.0</v>
      </c>
      <c r="Q1297" s="37">
        <v>288.0</v>
      </c>
      <c r="R1297" s="37" t="s">
        <v>63</v>
      </c>
      <c r="S1297" s="37" t="s">
        <v>63</v>
      </c>
      <c r="T1297" s="69" t="s">
        <v>63</v>
      </c>
      <c r="U1297" s="70" t="s">
        <v>63</v>
      </c>
      <c r="V1297" s="37" t="s">
        <v>63</v>
      </c>
      <c r="W1297" s="71" t="s">
        <v>63</v>
      </c>
      <c r="X1297" s="72" t="s">
        <v>63</v>
      </c>
      <c r="Y1297" s="53">
        <v>448.0</v>
      </c>
      <c r="Z1297" s="69" t="s">
        <v>63</v>
      </c>
      <c r="AA1297" s="73"/>
      <c r="AB1297" s="73"/>
      <c r="AC1297" s="73"/>
      <c r="AD1297" s="73"/>
      <c r="AE1297" s="73"/>
      <c r="AF1297" s="73"/>
      <c r="AG1297" s="73"/>
      <c r="AH1297" s="73"/>
      <c r="AI1297" s="73"/>
      <c r="AJ1297" s="73"/>
      <c r="AK1297" s="73"/>
    </row>
    <row r="1298">
      <c r="A1298" s="28">
        <v>1297.0</v>
      </c>
      <c r="B1298" s="29"/>
      <c r="C1298" s="29"/>
      <c r="D1298" s="40">
        <v>1.0</v>
      </c>
      <c r="E1298" s="31">
        <v>26.0</v>
      </c>
      <c r="F1298" s="42">
        <v>83.0</v>
      </c>
      <c r="G1298" s="29" t="str">
        <f t="shared" si="1"/>
        <v>26083</v>
      </c>
      <c r="H1298" s="37" t="s">
        <v>1263</v>
      </c>
      <c r="I1298" s="37" t="s">
        <v>60</v>
      </c>
      <c r="J1298" s="37" t="s">
        <v>274</v>
      </c>
      <c r="K1298" s="37" t="str">
        <f t="shared" si="23"/>
        <v>Keweenaw, MI</v>
      </c>
      <c r="L1298" s="70">
        <v>2.0</v>
      </c>
      <c r="M1298" s="37">
        <v>2.0</v>
      </c>
      <c r="N1298" s="37" t="s">
        <v>63</v>
      </c>
      <c r="O1298" s="37" t="s">
        <v>63</v>
      </c>
      <c r="P1298" s="37">
        <v>1.0</v>
      </c>
      <c r="Q1298" s="37">
        <v>1.0</v>
      </c>
      <c r="R1298" s="37" t="s">
        <v>63</v>
      </c>
      <c r="S1298" s="37" t="s">
        <v>63</v>
      </c>
      <c r="T1298" s="69" t="s">
        <v>63</v>
      </c>
      <c r="U1298" s="70" t="s">
        <v>63</v>
      </c>
      <c r="V1298" s="37" t="s">
        <v>63</v>
      </c>
      <c r="W1298" s="71" t="s">
        <v>63</v>
      </c>
      <c r="X1298" s="72" t="s">
        <v>63</v>
      </c>
      <c r="Y1298" s="53">
        <v>4.0</v>
      </c>
      <c r="Z1298" s="69" t="s">
        <v>63</v>
      </c>
      <c r="AA1298" s="73"/>
      <c r="AB1298" s="73"/>
      <c r="AC1298" s="73"/>
      <c r="AD1298" s="73"/>
      <c r="AE1298" s="73"/>
      <c r="AF1298" s="73"/>
      <c r="AG1298" s="73"/>
      <c r="AH1298" s="73"/>
      <c r="AI1298" s="73"/>
      <c r="AJ1298" s="73"/>
      <c r="AK1298" s="73"/>
    </row>
    <row r="1299">
      <c r="A1299" s="28">
        <v>1298.0</v>
      </c>
      <c r="B1299" s="29"/>
      <c r="C1299" s="29"/>
      <c r="D1299" s="40">
        <v>1.0</v>
      </c>
      <c r="E1299" s="31">
        <v>26.0</v>
      </c>
      <c r="F1299" s="42">
        <v>85.0</v>
      </c>
      <c r="G1299" s="29" t="str">
        <f t="shared" si="1"/>
        <v>26085</v>
      </c>
      <c r="H1299" s="37" t="s">
        <v>337</v>
      </c>
      <c r="I1299" s="37" t="s">
        <v>60</v>
      </c>
      <c r="J1299" s="37" t="s">
        <v>274</v>
      </c>
      <c r="K1299" s="37" t="str">
        <f t="shared" si="23"/>
        <v>Lake, MI</v>
      </c>
      <c r="L1299" s="70">
        <v>28.0</v>
      </c>
      <c r="M1299" s="37">
        <v>2.86</v>
      </c>
      <c r="N1299" s="37" t="s">
        <v>63</v>
      </c>
      <c r="O1299" s="37" t="s">
        <v>63</v>
      </c>
      <c r="P1299" s="37">
        <v>7.0</v>
      </c>
      <c r="Q1299" s="37">
        <v>7.0</v>
      </c>
      <c r="R1299" s="37" t="s">
        <v>63</v>
      </c>
      <c r="S1299" s="37" t="s">
        <v>63</v>
      </c>
      <c r="T1299" s="69" t="s">
        <v>63</v>
      </c>
      <c r="U1299" s="70" t="s">
        <v>63</v>
      </c>
      <c r="V1299" s="37" t="s">
        <v>63</v>
      </c>
      <c r="W1299" s="71" t="s">
        <v>63</v>
      </c>
      <c r="X1299" s="72" t="s">
        <v>63</v>
      </c>
      <c r="Y1299" s="53">
        <v>24.0</v>
      </c>
      <c r="Z1299" s="69" t="s">
        <v>63</v>
      </c>
      <c r="AA1299" s="73"/>
      <c r="AB1299" s="73"/>
      <c r="AC1299" s="73"/>
      <c r="AD1299" s="73"/>
      <c r="AE1299" s="73"/>
      <c r="AF1299" s="73"/>
      <c r="AG1299" s="73"/>
      <c r="AH1299" s="73"/>
      <c r="AI1299" s="73"/>
      <c r="AJ1299" s="73"/>
      <c r="AK1299" s="73"/>
    </row>
    <row r="1300">
      <c r="A1300" s="28">
        <v>1299.0</v>
      </c>
      <c r="B1300" s="29"/>
      <c r="C1300" s="29"/>
      <c r="D1300" s="40">
        <v>1.0</v>
      </c>
      <c r="E1300" s="31">
        <v>26.0</v>
      </c>
      <c r="F1300" s="42">
        <v>87.0</v>
      </c>
      <c r="G1300" s="29" t="str">
        <f t="shared" si="1"/>
        <v>26087</v>
      </c>
      <c r="H1300" s="37" t="s">
        <v>1264</v>
      </c>
      <c r="I1300" s="37" t="s">
        <v>60</v>
      </c>
      <c r="J1300" s="37" t="s">
        <v>274</v>
      </c>
      <c r="K1300" s="37" t="str">
        <f t="shared" si="23"/>
        <v>Lapeer, MI</v>
      </c>
      <c r="L1300" s="70">
        <v>38.0</v>
      </c>
      <c r="M1300" s="37">
        <v>2.27</v>
      </c>
      <c r="N1300" s="37" t="s">
        <v>63</v>
      </c>
      <c r="O1300" s="37" t="s">
        <v>63</v>
      </c>
      <c r="P1300" s="37">
        <v>6.0</v>
      </c>
      <c r="Q1300" s="37">
        <v>37.0</v>
      </c>
      <c r="R1300" s="37" t="s">
        <v>63</v>
      </c>
      <c r="S1300" s="37" t="s">
        <v>63</v>
      </c>
      <c r="T1300" s="69" t="s">
        <v>63</v>
      </c>
      <c r="U1300" s="70" t="s">
        <v>63</v>
      </c>
      <c r="V1300" s="37" t="s">
        <v>63</v>
      </c>
      <c r="W1300" s="71" t="s">
        <v>63</v>
      </c>
      <c r="X1300" s="72" t="s">
        <v>63</v>
      </c>
      <c r="Y1300" s="53">
        <v>75.0</v>
      </c>
      <c r="Z1300" s="69" t="s">
        <v>63</v>
      </c>
      <c r="AA1300" s="73"/>
      <c r="AB1300" s="73"/>
      <c r="AC1300" s="73"/>
      <c r="AD1300" s="73"/>
      <c r="AE1300" s="73"/>
      <c r="AF1300" s="73"/>
      <c r="AG1300" s="73"/>
      <c r="AH1300" s="73"/>
      <c r="AI1300" s="73"/>
      <c r="AJ1300" s="73"/>
      <c r="AK1300" s="73"/>
    </row>
    <row r="1301">
      <c r="A1301" s="28">
        <v>1300.0</v>
      </c>
      <c r="B1301" s="29"/>
      <c r="C1301" s="29"/>
      <c r="D1301" s="40">
        <v>1.0</v>
      </c>
      <c r="E1301" s="31">
        <v>26.0</v>
      </c>
      <c r="F1301" s="42">
        <v>89.0</v>
      </c>
      <c r="G1301" s="29" t="str">
        <f t="shared" si="1"/>
        <v>26089</v>
      </c>
      <c r="H1301" s="37" t="s">
        <v>1265</v>
      </c>
      <c r="I1301" s="37" t="s">
        <v>60</v>
      </c>
      <c r="J1301" s="37" t="s">
        <v>274</v>
      </c>
      <c r="K1301" s="37" t="str">
        <f t="shared" si="23"/>
        <v>Leelanau, MI</v>
      </c>
      <c r="L1301" s="70">
        <v>8.0</v>
      </c>
      <c r="M1301" s="37">
        <v>2.33</v>
      </c>
      <c r="N1301" s="37" t="s">
        <v>63</v>
      </c>
      <c r="O1301" s="37" t="s">
        <v>63</v>
      </c>
      <c r="P1301" s="37">
        <v>7.0</v>
      </c>
      <c r="Q1301" s="37">
        <v>6.0</v>
      </c>
      <c r="R1301" s="37" t="s">
        <v>63</v>
      </c>
      <c r="S1301" s="37" t="s">
        <v>63</v>
      </c>
      <c r="T1301" s="69" t="s">
        <v>63</v>
      </c>
      <c r="U1301" s="70" t="s">
        <v>63</v>
      </c>
      <c r="V1301" s="37" t="s">
        <v>63</v>
      </c>
      <c r="W1301" s="71" t="s">
        <v>63</v>
      </c>
      <c r="X1301" s="72" t="s">
        <v>63</v>
      </c>
      <c r="Y1301" s="53">
        <v>25.0</v>
      </c>
      <c r="Z1301" s="69" t="s">
        <v>63</v>
      </c>
      <c r="AA1301" s="73"/>
      <c r="AB1301" s="73"/>
      <c r="AC1301" s="73"/>
      <c r="AD1301" s="73"/>
      <c r="AE1301" s="73"/>
      <c r="AF1301" s="73"/>
      <c r="AG1301" s="73"/>
      <c r="AH1301" s="73"/>
      <c r="AI1301" s="73"/>
      <c r="AJ1301" s="73"/>
      <c r="AK1301" s="73"/>
    </row>
    <row r="1302">
      <c r="A1302" s="28">
        <v>1301.0</v>
      </c>
      <c r="B1302" s="29"/>
      <c r="C1302" s="29"/>
      <c r="D1302" s="40">
        <v>1.0</v>
      </c>
      <c r="E1302" s="31">
        <v>26.0</v>
      </c>
      <c r="F1302" s="42">
        <v>91.0</v>
      </c>
      <c r="G1302" s="29" t="str">
        <f t="shared" si="1"/>
        <v>26091</v>
      </c>
      <c r="H1302" s="37" t="s">
        <v>1266</v>
      </c>
      <c r="I1302" s="37" t="s">
        <v>60</v>
      </c>
      <c r="J1302" s="37" t="s">
        <v>274</v>
      </c>
      <c r="K1302" s="37" t="str">
        <f t="shared" si="23"/>
        <v>Lenawee, MI</v>
      </c>
      <c r="L1302" s="70">
        <v>134.0</v>
      </c>
      <c r="M1302" s="37">
        <v>2.55</v>
      </c>
      <c r="N1302" s="37" t="s">
        <v>63</v>
      </c>
      <c r="O1302" s="37" t="s">
        <v>63</v>
      </c>
      <c r="P1302" s="37">
        <v>15.0</v>
      </c>
      <c r="Q1302" s="37">
        <v>38.0</v>
      </c>
      <c r="R1302" s="37" t="s">
        <v>63</v>
      </c>
      <c r="S1302" s="37" t="s">
        <v>63</v>
      </c>
      <c r="T1302" s="69" t="s">
        <v>63</v>
      </c>
      <c r="U1302" s="70" t="s">
        <v>63</v>
      </c>
      <c r="V1302" s="37" t="s">
        <v>63</v>
      </c>
      <c r="W1302" s="71" t="s">
        <v>63</v>
      </c>
      <c r="X1302" s="72" t="s">
        <v>63</v>
      </c>
      <c r="Y1302" s="53">
        <v>117.0</v>
      </c>
      <c r="Z1302" s="69" t="s">
        <v>63</v>
      </c>
      <c r="AA1302" s="73"/>
      <c r="AB1302" s="73"/>
      <c r="AC1302" s="73"/>
      <c r="AD1302" s="73"/>
      <c r="AE1302" s="73"/>
      <c r="AF1302" s="73"/>
      <c r="AG1302" s="73"/>
      <c r="AH1302" s="73"/>
      <c r="AI1302" s="73"/>
      <c r="AJ1302" s="73"/>
      <c r="AK1302" s="73"/>
    </row>
    <row r="1303">
      <c r="A1303" s="28">
        <v>1302.0</v>
      </c>
      <c r="B1303" s="29"/>
      <c r="C1303" s="29"/>
      <c r="D1303" s="40">
        <v>1.0</v>
      </c>
      <c r="E1303" s="31">
        <v>26.0</v>
      </c>
      <c r="F1303" s="42">
        <v>93.0</v>
      </c>
      <c r="G1303" s="29" t="str">
        <f t="shared" si="1"/>
        <v>26093</v>
      </c>
      <c r="H1303" s="37" t="s">
        <v>730</v>
      </c>
      <c r="I1303" s="37" t="s">
        <v>60</v>
      </c>
      <c r="J1303" s="37" t="s">
        <v>274</v>
      </c>
      <c r="K1303" s="37" t="str">
        <f t="shared" si="23"/>
        <v>Livingston, MI</v>
      </c>
      <c r="L1303" s="70">
        <v>86.0</v>
      </c>
      <c r="M1303" s="37">
        <v>2.02</v>
      </c>
      <c r="N1303" s="37" t="s">
        <v>63</v>
      </c>
      <c r="O1303" s="37" t="s">
        <v>63</v>
      </c>
      <c r="P1303" s="37">
        <v>12.0</v>
      </c>
      <c r="Q1303" s="37">
        <v>91.0</v>
      </c>
      <c r="R1303" s="37" t="s">
        <v>63</v>
      </c>
      <c r="S1303" s="37" t="s">
        <v>63</v>
      </c>
      <c r="T1303" s="69" t="s">
        <v>63</v>
      </c>
      <c r="U1303" s="70" t="s">
        <v>63</v>
      </c>
      <c r="V1303" s="37" t="s">
        <v>63</v>
      </c>
      <c r="W1303" s="71" t="s">
        <v>63</v>
      </c>
      <c r="X1303" s="72" t="s">
        <v>63</v>
      </c>
      <c r="Y1303" s="53">
        <v>90.0</v>
      </c>
      <c r="Z1303" s="69" t="s">
        <v>63</v>
      </c>
      <c r="AA1303" s="73"/>
      <c r="AB1303" s="73"/>
      <c r="AC1303" s="73"/>
      <c r="AD1303" s="73"/>
      <c r="AE1303" s="73"/>
      <c r="AF1303" s="73"/>
      <c r="AG1303" s="73"/>
      <c r="AH1303" s="73"/>
      <c r="AI1303" s="73"/>
      <c r="AJ1303" s="73"/>
      <c r="AK1303" s="73"/>
    </row>
    <row r="1304">
      <c r="A1304" s="28">
        <v>1303.0</v>
      </c>
      <c r="B1304" s="29"/>
      <c r="C1304" s="29"/>
      <c r="D1304" s="40">
        <v>1.0</v>
      </c>
      <c r="E1304" s="31">
        <v>26.0</v>
      </c>
      <c r="F1304" s="42">
        <v>95.0</v>
      </c>
      <c r="G1304" s="29" t="str">
        <f t="shared" si="1"/>
        <v>26095</v>
      </c>
      <c r="H1304" s="37" t="s">
        <v>1267</v>
      </c>
      <c r="I1304" s="37" t="s">
        <v>60</v>
      </c>
      <c r="J1304" s="37" t="s">
        <v>274</v>
      </c>
      <c r="K1304" s="37" t="str">
        <f t="shared" si="23"/>
        <v>Luce, MI</v>
      </c>
      <c r="L1304" s="70">
        <v>6.0</v>
      </c>
      <c r="M1304" s="37">
        <v>3.0</v>
      </c>
      <c r="N1304" s="37" t="s">
        <v>63</v>
      </c>
      <c r="O1304" s="37" t="s">
        <v>63</v>
      </c>
      <c r="P1304" s="37">
        <v>2.0</v>
      </c>
      <c r="Q1304" s="37">
        <v>4.0</v>
      </c>
      <c r="R1304" s="37" t="s">
        <v>63</v>
      </c>
      <c r="S1304" s="37" t="s">
        <v>63</v>
      </c>
      <c r="T1304" s="69" t="s">
        <v>63</v>
      </c>
      <c r="U1304" s="70" t="s">
        <v>63</v>
      </c>
      <c r="V1304" s="37" t="s">
        <v>63</v>
      </c>
      <c r="W1304" s="71" t="s">
        <v>63</v>
      </c>
      <c r="X1304" s="72" t="s">
        <v>63</v>
      </c>
      <c r="Y1304" s="53">
        <v>11.0</v>
      </c>
      <c r="Z1304" s="69" t="s">
        <v>63</v>
      </c>
      <c r="AA1304" s="73"/>
      <c r="AB1304" s="73"/>
      <c r="AC1304" s="73"/>
      <c r="AD1304" s="73"/>
      <c r="AE1304" s="73"/>
      <c r="AF1304" s="73"/>
      <c r="AG1304" s="73"/>
      <c r="AH1304" s="73"/>
      <c r="AI1304" s="73"/>
      <c r="AJ1304" s="73"/>
      <c r="AK1304" s="73"/>
    </row>
    <row r="1305">
      <c r="A1305" s="28">
        <v>1304.0</v>
      </c>
      <c r="B1305" s="29"/>
      <c r="C1305" s="29"/>
      <c r="D1305" s="40">
        <v>1.0</v>
      </c>
      <c r="E1305" s="31">
        <v>26.0</v>
      </c>
      <c r="F1305" s="42">
        <v>97.0</v>
      </c>
      <c r="G1305" s="29" t="str">
        <f t="shared" si="1"/>
        <v>26097</v>
      </c>
      <c r="H1305" s="37" t="s">
        <v>1268</v>
      </c>
      <c r="I1305" s="37" t="s">
        <v>60</v>
      </c>
      <c r="J1305" s="37" t="s">
        <v>274</v>
      </c>
      <c r="K1305" s="37" t="str">
        <f t="shared" si="23"/>
        <v>Mackinac, MI</v>
      </c>
      <c r="L1305" s="70">
        <v>15.0</v>
      </c>
      <c r="M1305" s="37">
        <v>2.0</v>
      </c>
      <c r="N1305" s="37" t="s">
        <v>63</v>
      </c>
      <c r="O1305" s="37" t="s">
        <v>63</v>
      </c>
      <c r="P1305" s="37">
        <v>4.0</v>
      </c>
      <c r="Q1305" s="37">
        <v>3.0</v>
      </c>
      <c r="R1305" s="37" t="s">
        <v>63</v>
      </c>
      <c r="S1305" s="37" t="s">
        <v>63</v>
      </c>
      <c r="T1305" s="69" t="s">
        <v>63</v>
      </c>
      <c r="U1305" s="70" t="s">
        <v>63</v>
      </c>
      <c r="V1305" s="37" t="s">
        <v>63</v>
      </c>
      <c r="W1305" s="71" t="s">
        <v>63</v>
      </c>
      <c r="X1305" s="72" t="s">
        <v>63</v>
      </c>
      <c r="Y1305" s="53">
        <v>24.0</v>
      </c>
      <c r="Z1305" s="69" t="s">
        <v>63</v>
      </c>
      <c r="AA1305" s="73"/>
      <c r="AB1305" s="73"/>
      <c r="AC1305" s="73"/>
      <c r="AD1305" s="73"/>
      <c r="AE1305" s="73"/>
      <c r="AF1305" s="73"/>
      <c r="AG1305" s="73"/>
      <c r="AH1305" s="73"/>
      <c r="AI1305" s="73"/>
      <c r="AJ1305" s="73"/>
      <c r="AK1305" s="73"/>
    </row>
    <row r="1306">
      <c r="A1306" s="28">
        <v>1305.0</v>
      </c>
      <c r="B1306" s="29"/>
      <c r="C1306" s="29"/>
      <c r="D1306" s="40">
        <v>1.0</v>
      </c>
      <c r="E1306" s="31">
        <v>26.0</v>
      </c>
      <c r="F1306" s="42">
        <v>99.0</v>
      </c>
      <c r="G1306" s="29" t="str">
        <f t="shared" si="1"/>
        <v>26099</v>
      </c>
      <c r="H1306" s="37" t="s">
        <v>478</v>
      </c>
      <c r="I1306" s="37" t="s">
        <v>60</v>
      </c>
      <c r="J1306" s="37" t="s">
        <v>274</v>
      </c>
      <c r="K1306" s="37" t="str">
        <f t="shared" si="23"/>
        <v>Macomb, MI</v>
      </c>
      <c r="L1306" s="70">
        <v>478.0</v>
      </c>
      <c r="M1306" s="37">
        <v>1.72</v>
      </c>
      <c r="N1306" s="37" t="s">
        <v>63</v>
      </c>
      <c r="O1306" s="37" t="s">
        <v>63</v>
      </c>
      <c r="P1306" s="37">
        <v>137.0</v>
      </c>
      <c r="Q1306" s="37">
        <v>215.0</v>
      </c>
      <c r="R1306" s="37" t="s">
        <v>63</v>
      </c>
      <c r="S1306" s="37" t="s">
        <v>63</v>
      </c>
      <c r="T1306" s="69" t="s">
        <v>63</v>
      </c>
      <c r="U1306" s="70" t="s">
        <v>63</v>
      </c>
      <c r="V1306" s="37" t="s">
        <v>63</v>
      </c>
      <c r="W1306" s="71" t="s">
        <v>63</v>
      </c>
      <c r="X1306" s="72" t="s">
        <v>63</v>
      </c>
      <c r="Y1306" s="53">
        <v>323.0</v>
      </c>
      <c r="Z1306" s="69" t="s">
        <v>63</v>
      </c>
      <c r="AA1306" s="73"/>
      <c r="AB1306" s="73"/>
      <c r="AC1306" s="73"/>
      <c r="AD1306" s="73"/>
      <c r="AE1306" s="73"/>
      <c r="AF1306" s="73"/>
      <c r="AG1306" s="73"/>
      <c r="AH1306" s="73"/>
      <c r="AI1306" s="73"/>
      <c r="AJ1306" s="73"/>
      <c r="AK1306" s="73"/>
    </row>
    <row r="1307">
      <c r="A1307" s="28">
        <v>1306.0</v>
      </c>
      <c r="B1307" s="29"/>
      <c r="C1307" s="29"/>
      <c r="D1307" s="40">
        <v>1.0</v>
      </c>
      <c r="E1307" s="31">
        <v>26.0</v>
      </c>
      <c r="F1307" s="42">
        <v>101.0</v>
      </c>
      <c r="G1307" s="29" t="str">
        <f t="shared" si="1"/>
        <v>26101</v>
      </c>
      <c r="H1307" s="37" t="s">
        <v>1269</v>
      </c>
      <c r="I1307" s="37" t="s">
        <v>60</v>
      </c>
      <c r="J1307" s="37" t="s">
        <v>274</v>
      </c>
      <c r="K1307" s="37" t="str">
        <f t="shared" si="23"/>
        <v>Manistee, MI</v>
      </c>
      <c r="L1307" s="70">
        <v>34.0</v>
      </c>
      <c r="M1307" s="37">
        <v>2.15</v>
      </c>
      <c r="N1307" s="37" t="s">
        <v>63</v>
      </c>
      <c r="O1307" s="37" t="s">
        <v>63</v>
      </c>
      <c r="P1307" s="37">
        <v>8.0</v>
      </c>
      <c r="Q1307" s="37">
        <v>13.0</v>
      </c>
      <c r="R1307" s="37" t="s">
        <v>63</v>
      </c>
      <c r="S1307" s="37" t="s">
        <v>63</v>
      </c>
      <c r="T1307" s="69" t="s">
        <v>63</v>
      </c>
      <c r="U1307" s="70" t="s">
        <v>63</v>
      </c>
      <c r="V1307" s="37" t="s">
        <v>63</v>
      </c>
      <c r="W1307" s="71" t="s">
        <v>63</v>
      </c>
      <c r="X1307" s="72" t="s">
        <v>63</v>
      </c>
      <c r="Y1307" s="53">
        <v>29.0</v>
      </c>
      <c r="Z1307" s="69" t="s">
        <v>63</v>
      </c>
      <c r="AA1307" s="73"/>
      <c r="AB1307" s="73"/>
      <c r="AC1307" s="73"/>
      <c r="AD1307" s="73"/>
      <c r="AE1307" s="73"/>
      <c r="AF1307" s="73"/>
      <c r="AG1307" s="73"/>
      <c r="AH1307" s="73"/>
      <c r="AI1307" s="73"/>
      <c r="AJ1307" s="73"/>
      <c r="AK1307" s="73"/>
    </row>
    <row r="1308">
      <c r="A1308" s="28">
        <v>1307.0</v>
      </c>
      <c r="B1308" s="29"/>
      <c r="C1308" s="29"/>
      <c r="D1308" s="40">
        <v>1.0</v>
      </c>
      <c r="E1308" s="31">
        <v>26.0</v>
      </c>
      <c r="F1308" s="42">
        <v>103.0</v>
      </c>
      <c r="G1308" s="29" t="str">
        <f t="shared" si="1"/>
        <v>26103</v>
      </c>
      <c r="H1308" s="37" t="s">
        <v>1270</v>
      </c>
      <c r="I1308" s="37" t="s">
        <v>60</v>
      </c>
      <c r="J1308" s="37" t="s">
        <v>274</v>
      </c>
      <c r="K1308" s="37" t="str">
        <f t="shared" si="23"/>
        <v>Marquette, MI</v>
      </c>
      <c r="L1308" s="70">
        <v>48.0</v>
      </c>
      <c r="M1308" s="37">
        <v>1.97</v>
      </c>
      <c r="N1308" s="37" t="s">
        <v>63</v>
      </c>
      <c r="O1308" s="37" t="s">
        <v>63</v>
      </c>
      <c r="P1308" s="37">
        <v>3.0</v>
      </c>
      <c r="Q1308" s="37">
        <v>31.0</v>
      </c>
      <c r="R1308" s="37" t="s">
        <v>63</v>
      </c>
      <c r="S1308" s="37" t="s">
        <v>63</v>
      </c>
      <c r="T1308" s="69" t="s">
        <v>63</v>
      </c>
      <c r="U1308" s="70" t="s">
        <v>63</v>
      </c>
      <c r="V1308" s="37" t="s">
        <v>63</v>
      </c>
      <c r="W1308" s="71" t="s">
        <v>63</v>
      </c>
      <c r="X1308" s="72" t="s">
        <v>63</v>
      </c>
      <c r="Y1308" s="53">
        <v>73.0</v>
      </c>
      <c r="Z1308" s="69" t="s">
        <v>63</v>
      </c>
      <c r="AA1308" s="73"/>
      <c r="AB1308" s="73"/>
      <c r="AC1308" s="73"/>
      <c r="AD1308" s="73"/>
      <c r="AE1308" s="73"/>
      <c r="AF1308" s="73"/>
      <c r="AG1308" s="73"/>
      <c r="AH1308" s="73"/>
      <c r="AI1308" s="73"/>
      <c r="AJ1308" s="73"/>
      <c r="AK1308" s="73"/>
    </row>
    <row r="1309">
      <c r="A1309" s="28">
        <v>1308.0</v>
      </c>
      <c r="B1309" s="29"/>
      <c r="C1309" s="29"/>
      <c r="D1309" s="40">
        <v>1.0</v>
      </c>
      <c r="E1309" s="31">
        <v>26.0</v>
      </c>
      <c r="F1309" s="42">
        <v>105.0</v>
      </c>
      <c r="G1309" s="29" t="str">
        <f t="shared" si="1"/>
        <v>26105</v>
      </c>
      <c r="H1309" s="37" t="s">
        <v>735</v>
      </c>
      <c r="I1309" s="37" t="s">
        <v>60</v>
      </c>
      <c r="J1309" s="37" t="s">
        <v>274</v>
      </c>
      <c r="K1309" s="37" t="str">
        <f t="shared" si="23"/>
        <v>Mason, MI</v>
      </c>
      <c r="L1309" s="70">
        <v>18.0</v>
      </c>
      <c r="M1309" s="37">
        <v>2.13</v>
      </c>
      <c r="N1309" s="37" t="s">
        <v>63</v>
      </c>
      <c r="O1309" s="37" t="s">
        <v>63</v>
      </c>
      <c r="P1309" s="37">
        <v>4.0</v>
      </c>
      <c r="Q1309" s="37">
        <v>16.0</v>
      </c>
      <c r="R1309" s="37" t="s">
        <v>63</v>
      </c>
      <c r="S1309" s="37" t="s">
        <v>63</v>
      </c>
      <c r="T1309" s="69" t="s">
        <v>63</v>
      </c>
      <c r="U1309" s="70" t="s">
        <v>63</v>
      </c>
      <c r="V1309" s="37" t="s">
        <v>63</v>
      </c>
      <c r="W1309" s="71" t="s">
        <v>63</v>
      </c>
      <c r="X1309" s="72" t="s">
        <v>63</v>
      </c>
      <c r="Y1309" s="53">
        <v>33.0</v>
      </c>
      <c r="Z1309" s="69" t="s">
        <v>63</v>
      </c>
      <c r="AA1309" s="73"/>
      <c r="AB1309" s="73"/>
      <c r="AC1309" s="73"/>
      <c r="AD1309" s="73"/>
      <c r="AE1309" s="73"/>
      <c r="AF1309" s="73"/>
      <c r="AG1309" s="73"/>
      <c r="AH1309" s="73"/>
      <c r="AI1309" s="73"/>
      <c r="AJ1309" s="73"/>
      <c r="AK1309" s="73"/>
    </row>
    <row r="1310">
      <c r="A1310" s="28">
        <v>1309.0</v>
      </c>
      <c r="B1310" s="29"/>
      <c r="C1310" s="29"/>
      <c r="D1310" s="40">
        <v>1.0</v>
      </c>
      <c r="E1310" s="31">
        <v>26.0</v>
      </c>
      <c r="F1310" s="42">
        <v>107.0</v>
      </c>
      <c r="G1310" s="29" t="str">
        <f t="shared" si="1"/>
        <v>26107</v>
      </c>
      <c r="H1310" s="37" t="s">
        <v>1271</v>
      </c>
      <c r="I1310" s="37" t="s">
        <v>60</v>
      </c>
      <c r="J1310" s="37" t="s">
        <v>274</v>
      </c>
      <c r="K1310" s="37" t="str">
        <f t="shared" si="23"/>
        <v>Mecosta, MI</v>
      </c>
      <c r="L1310" s="70">
        <v>24.0</v>
      </c>
      <c r="M1310" s="37">
        <v>2.39</v>
      </c>
      <c r="N1310" s="37" t="s">
        <v>63</v>
      </c>
      <c r="O1310" s="37" t="s">
        <v>63</v>
      </c>
      <c r="P1310" s="37">
        <v>2.0</v>
      </c>
      <c r="Q1310" s="37">
        <v>23.0</v>
      </c>
      <c r="R1310" s="37" t="s">
        <v>63</v>
      </c>
      <c r="S1310" s="37" t="s">
        <v>63</v>
      </c>
      <c r="T1310" s="69" t="s">
        <v>63</v>
      </c>
      <c r="U1310" s="70" t="s">
        <v>63</v>
      </c>
      <c r="V1310" s="37" t="s">
        <v>63</v>
      </c>
      <c r="W1310" s="71" t="s">
        <v>63</v>
      </c>
      <c r="X1310" s="72" t="s">
        <v>63</v>
      </c>
      <c r="Y1310" s="53">
        <v>42.0</v>
      </c>
      <c r="Z1310" s="69" t="s">
        <v>63</v>
      </c>
      <c r="AA1310" s="73"/>
      <c r="AB1310" s="73"/>
      <c r="AC1310" s="73"/>
      <c r="AD1310" s="73"/>
      <c r="AE1310" s="73"/>
      <c r="AF1310" s="73"/>
      <c r="AG1310" s="73"/>
      <c r="AH1310" s="73"/>
      <c r="AI1310" s="73"/>
      <c r="AJ1310" s="73"/>
      <c r="AK1310" s="73"/>
    </row>
    <row r="1311">
      <c r="A1311" s="28">
        <v>1310.0</v>
      </c>
      <c r="B1311" s="29"/>
      <c r="C1311" s="29"/>
      <c r="D1311" s="40">
        <v>1.0</v>
      </c>
      <c r="E1311" s="31">
        <v>26.0</v>
      </c>
      <c r="F1311" s="42">
        <v>109.0</v>
      </c>
      <c r="G1311" s="29" t="str">
        <f t="shared" si="1"/>
        <v>26109</v>
      </c>
      <c r="H1311" s="37" t="s">
        <v>1272</v>
      </c>
      <c r="I1311" s="37" t="s">
        <v>60</v>
      </c>
      <c r="J1311" s="37" t="s">
        <v>274</v>
      </c>
      <c r="K1311" s="37" t="str">
        <f t="shared" si="23"/>
        <v>Menominee, MI</v>
      </c>
      <c r="L1311" s="70">
        <v>34.0</v>
      </c>
      <c r="M1311" s="37">
        <v>2.0</v>
      </c>
      <c r="N1311" s="37" t="s">
        <v>63</v>
      </c>
      <c r="O1311" s="37" t="s">
        <v>63</v>
      </c>
      <c r="P1311" s="37">
        <v>10.0</v>
      </c>
      <c r="Q1311" s="37">
        <v>8.0</v>
      </c>
      <c r="R1311" s="37" t="s">
        <v>63</v>
      </c>
      <c r="S1311" s="37" t="s">
        <v>63</v>
      </c>
      <c r="T1311" s="69" t="s">
        <v>63</v>
      </c>
      <c r="U1311" s="70" t="s">
        <v>63</v>
      </c>
      <c r="V1311" s="37" t="s">
        <v>63</v>
      </c>
      <c r="W1311" s="71" t="s">
        <v>63</v>
      </c>
      <c r="X1311" s="72" t="s">
        <v>63</v>
      </c>
      <c r="Y1311" s="53">
        <v>26.0</v>
      </c>
      <c r="Z1311" s="69" t="s">
        <v>63</v>
      </c>
      <c r="AA1311" s="73"/>
      <c r="AB1311" s="73"/>
      <c r="AC1311" s="73"/>
      <c r="AD1311" s="73"/>
      <c r="AE1311" s="73"/>
      <c r="AF1311" s="73"/>
      <c r="AG1311" s="73"/>
      <c r="AH1311" s="73"/>
      <c r="AI1311" s="73"/>
      <c r="AJ1311" s="73"/>
      <c r="AK1311" s="73"/>
    </row>
    <row r="1312">
      <c r="A1312" s="28">
        <v>1311.0</v>
      </c>
      <c r="B1312" s="29"/>
      <c r="C1312" s="29"/>
      <c r="D1312" s="40">
        <v>1.0</v>
      </c>
      <c r="E1312" s="31">
        <v>26.0</v>
      </c>
      <c r="F1312" s="42">
        <v>111.0</v>
      </c>
      <c r="G1312" s="29" t="str">
        <f t="shared" si="1"/>
        <v>26111</v>
      </c>
      <c r="H1312" s="37" t="s">
        <v>1273</v>
      </c>
      <c r="I1312" s="37" t="s">
        <v>60</v>
      </c>
      <c r="J1312" s="37" t="s">
        <v>274</v>
      </c>
      <c r="K1312" s="37" t="str">
        <f t="shared" si="23"/>
        <v>Midland, MI</v>
      </c>
      <c r="L1312" s="70">
        <v>84.0</v>
      </c>
      <c r="M1312" s="37">
        <v>2.08</v>
      </c>
      <c r="N1312" s="37" t="s">
        <v>63</v>
      </c>
      <c r="O1312" s="37" t="s">
        <v>63</v>
      </c>
      <c r="P1312" s="37">
        <v>18.0</v>
      </c>
      <c r="Q1312" s="37">
        <v>48.0</v>
      </c>
      <c r="R1312" s="37" t="s">
        <v>63</v>
      </c>
      <c r="S1312" s="37" t="s">
        <v>63</v>
      </c>
      <c r="T1312" s="69" t="s">
        <v>63</v>
      </c>
      <c r="U1312" s="70" t="s">
        <v>63</v>
      </c>
      <c r="V1312" s="37" t="s">
        <v>63</v>
      </c>
      <c r="W1312" s="71" t="s">
        <v>63</v>
      </c>
      <c r="X1312" s="72" t="s">
        <v>63</v>
      </c>
      <c r="Y1312" s="53">
        <v>77.0</v>
      </c>
      <c r="Z1312" s="69" t="s">
        <v>63</v>
      </c>
      <c r="AA1312" s="73"/>
      <c r="AB1312" s="73"/>
      <c r="AC1312" s="73"/>
      <c r="AD1312" s="73"/>
      <c r="AE1312" s="73"/>
      <c r="AF1312" s="73"/>
      <c r="AG1312" s="73"/>
      <c r="AH1312" s="73"/>
      <c r="AI1312" s="73"/>
      <c r="AJ1312" s="73"/>
      <c r="AK1312" s="73"/>
    </row>
    <row r="1313">
      <c r="A1313" s="28">
        <v>1312.0</v>
      </c>
      <c r="B1313" s="29"/>
      <c r="C1313" s="29"/>
      <c r="D1313" s="40">
        <v>1.0</v>
      </c>
      <c r="E1313" s="31">
        <v>26.0</v>
      </c>
      <c r="F1313" s="42">
        <v>113.0</v>
      </c>
      <c r="G1313" s="29" t="str">
        <f t="shared" si="1"/>
        <v>26113</v>
      </c>
      <c r="H1313" s="37" t="s">
        <v>1274</v>
      </c>
      <c r="I1313" s="37" t="s">
        <v>60</v>
      </c>
      <c r="J1313" s="37" t="s">
        <v>274</v>
      </c>
      <c r="K1313" s="37" t="str">
        <f t="shared" si="23"/>
        <v>Missaukee, MI</v>
      </c>
      <c r="L1313" s="70">
        <v>8.0</v>
      </c>
      <c r="M1313" s="37">
        <v>2.63</v>
      </c>
      <c r="N1313" s="37" t="s">
        <v>63</v>
      </c>
      <c r="O1313" s="37" t="s">
        <v>63</v>
      </c>
      <c r="P1313" s="37">
        <v>2.0</v>
      </c>
      <c r="Q1313" s="37">
        <v>8.0</v>
      </c>
      <c r="R1313" s="37" t="s">
        <v>63</v>
      </c>
      <c r="S1313" s="37" t="s">
        <v>63</v>
      </c>
      <c r="T1313" s="69" t="s">
        <v>63</v>
      </c>
      <c r="U1313" s="70" t="s">
        <v>63</v>
      </c>
      <c r="V1313" s="37" t="s">
        <v>63</v>
      </c>
      <c r="W1313" s="71" t="s">
        <v>63</v>
      </c>
      <c r="X1313" s="72" t="s">
        <v>63</v>
      </c>
      <c r="Y1313" s="53">
        <v>24.0</v>
      </c>
      <c r="Z1313" s="69" t="s">
        <v>63</v>
      </c>
      <c r="AA1313" s="73"/>
      <c r="AB1313" s="73"/>
      <c r="AC1313" s="73"/>
      <c r="AD1313" s="73"/>
      <c r="AE1313" s="73"/>
      <c r="AF1313" s="73"/>
      <c r="AG1313" s="73"/>
      <c r="AH1313" s="73"/>
      <c r="AI1313" s="73"/>
      <c r="AJ1313" s="73"/>
      <c r="AK1313" s="73"/>
    </row>
    <row r="1314">
      <c r="A1314" s="28">
        <v>1313.0</v>
      </c>
      <c r="B1314" s="29"/>
      <c r="C1314" s="29"/>
      <c r="D1314" s="40">
        <v>1.0</v>
      </c>
      <c r="E1314" s="31">
        <v>26.0</v>
      </c>
      <c r="F1314" s="42">
        <v>115.0</v>
      </c>
      <c r="G1314" s="29" t="str">
        <f t="shared" si="1"/>
        <v>26115</v>
      </c>
      <c r="H1314" s="37" t="s">
        <v>156</v>
      </c>
      <c r="I1314" s="37" t="s">
        <v>60</v>
      </c>
      <c r="J1314" s="37" t="s">
        <v>274</v>
      </c>
      <c r="K1314" s="37" t="str">
        <f t="shared" si="23"/>
        <v>Monroe, MI</v>
      </c>
      <c r="L1314" s="70">
        <v>92.0</v>
      </c>
      <c r="M1314" s="37">
        <v>2.05</v>
      </c>
      <c r="N1314" s="37" t="s">
        <v>63</v>
      </c>
      <c r="O1314" s="37" t="s">
        <v>63</v>
      </c>
      <c r="P1314" s="37">
        <v>10.0</v>
      </c>
      <c r="Q1314" s="37">
        <v>58.0</v>
      </c>
      <c r="R1314" s="37" t="s">
        <v>63</v>
      </c>
      <c r="S1314" s="37" t="s">
        <v>63</v>
      </c>
      <c r="T1314" s="69" t="s">
        <v>63</v>
      </c>
      <c r="U1314" s="70" t="s">
        <v>63</v>
      </c>
      <c r="V1314" s="37" t="s">
        <v>63</v>
      </c>
      <c r="W1314" s="71" t="s">
        <v>63</v>
      </c>
      <c r="X1314" s="72" t="s">
        <v>63</v>
      </c>
      <c r="Y1314" s="53">
        <v>109.0</v>
      </c>
      <c r="Z1314" s="69" t="s">
        <v>63</v>
      </c>
      <c r="AA1314" s="73"/>
      <c r="AB1314" s="73"/>
      <c r="AC1314" s="73"/>
      <c r="AD1314" s="73"/>
      <c r="AE1314" s="73"/>
      <c r="AF1314" s="73"/>
      <c r="AG1314" s="73"/>
      <c r="AH1314" s="73"/>
      <c r="AI1314" s="73"/>
      <c r="AJ1314" s="73"/>
      <c r="AK1314" s="73"/>
    </row>
    <row r="1315">
      <c r="A1315" s="28">
        <v>1314.0</v>
      </c>
      <c r="B1315" s="29"/>
      <c r="C1315" s="29"/>
      <c r="D1315" s="40">
        <v>1.0</v>
      </c>
      <c r="E1315" s="31">
        <v>26.0</v>
      </c>
      <c r="F1315" s="42">
        <v>117.0</v>
      </c>
      <c r="G1315" s="29" t="str">
        <f t="shared" si="1"/>
        <v>26117</v>
      </c>
      <c r="H1315" s="37" t="s">
        <v>1275</v>
      </c>
      <c r="I1315" s="37" t="s">
        <v>60</v>
      </c>
      <c r="J1315" s="37" t="s">
        <v>274</v>
      </c>
      <c r="K1315" s="37" t="str">
        <f t="shared" si="23"/>
        <v>Montcalm, MI</v>
      </c>
      <c r="L1315" s="70">
        <v>102.0</v>
      </c>
      <c r="M1315" s="37">
        <v>2.23</v>
      </c>
      <c r="N1315" s="37" t="s">
        <v>63</v>
      </c>
      <c r="O1315" s="37" t="s">
        <v>63</v>
      </c>
      <c r="P1315" s="37">
        <v>22.0</v>
      </c>
      <c r="Q1315" s="37">
        <v>40.0</v>
      </c>
      <c r="R1315" s="37" t="s">
        <v>63</v>
      </c>
      <c r="S1315" s="37" t="s">
        <v>63</v>
      </c>
      <c r="T1315" s="69" t="s">
        <v>63</v>
      </c>
      <c r="U1315" s="70" t="s">
        <v>63</v>
      </c>
      <c r="V1315" s="37" t="s">
        <v>63</v>
      </c>
      <c r="W1315" s="71" t="s">
        <v>63</v>
      </c>
      <c r="X1315" s="72" t="s">
        <v>63</v>
      </c>
      <c r="Y1315" s="53">
        <v>72.0</v>
      </c>
      <c r="Z1315" s="69" t="s">
        <v>63</v>
      </c>
      <c r="AA1315" s="73"/>
      <c r="AB1315" s="73"/>
      <c r="AC1315" s="73"/>
      <c r="AD1315" s="73"/>
      <c r="AE1315" s="73"/>
      <c r="AF1315" s="73"/>
      <c r="AG1315" s="73"/>
      <c r="AH1315" s="73"/>
      <c r="AI1315" s="73"/>
      <c r="AJ1315" s="73"/>
      <c r="AK1315" s="73"/>
    </row>
    <row r="1316">
      <c r="A1316" s="28">
        <v>1315.0</v>
      </c>
      <c r="B1316" s="29"/>
      <c r="C1316" s="29"/>
      <c r="D1316" s="40">
        <v>1.0</v>
      </c>
      <c r="E1316" s="31">
        <v>26.0</v>
      </c>
      <c r="F1316" s="42">
        <v>119.0</v>
      </c>
      <c r="G1316" s="29" t="str">
        <f t="shared" si="1"/>
        <v>26119</v>
      </c>
      <c r="H1316" s="37" t="s">
        <v>1276</v>
      </c>
      <c r="I1316" s="37" t="s">
        <v>60</v>
      </c>
      <c r="J1316" s="37" t="s">
        <v>274</v>
      </c>
      <c r="K1316" s="136" t="str">
        <f t="shared" si="23"/>
        <v>Montmorency, MI</v>
      </c>
      <c r="L1316" s="70">
        <v>11.0</v>
      </c>
      <c r="M1316" s="37">
        <v>2.75</v>
      </c>
      <c r="N1316" s="37" t="s">
        <v>63</v>
      </c>
      <c r="O1316" s="37" t="s">
        <v>63</v>
      </c>
      <c r="P1316" s="37" t="s">
        <v>63</v>
      </c>
      <c r="Q1316" s="37">
        <v>4.0</v>
      </c>
      <c r="R1316" s="37" t="s">
        <v>63</v>
      </c>
      <c r="S1316" s="37" t="s">
        <v>63</v>
      </c>
      <c r="T1316" s="69" t="s">
        <v>63</v>
      </c>
      <c r="U1316" s="70" t="s">
        <v>63</v>
      </c>
      <c r="V1316" s="37" t="s">
        <v>63</v>
      </c>
      <c r="W1316" s="71" t="s">
        <v>63</v>
      </c>
      <c r="X1316" s="72" t="s">
        <v>63</v>
      </c>
      <c r="Y1316" s="53">
        <v>15.0</v>
      </c>
      <c r="Z1316" s="69" t="s">
        <v>63</v>
      </c>
      <c r="AA1316" s="73"/>
      <c r="AB1316" s="73"/>
      <c r="AC1316" s="73"/>
      <c r="AD1316" s="73"/>
      <c r="AE1316" s="73"/>
      <c r="AF1316" s="73"/>
      <c r="AG1316" s="73"/>
      <c r="AH1316" s="73"/>
      <c r="AI1316" s="73"/>
      <c r="AJ1316" s="73"/>
      <c r="AK1316" s="73"/>
    </row>
    <row r="1317">
      <c r="A1317" s="28">
        <v>1316.0</v>
      </c>
      <c r="B1317" s="29"/>
      <c r="C1317" s="29"/>
      <c r="D1317" s="40">
        <v>1.0</v>
      </c>
      <c r="E1317" s="31">
        <v>26.0</v>
      </c>
      <c r="F1317" s="42">
        <v>121.0</v>
      </c>
      <c r="G1317" s="29" t="str">
        <f t="shared" si="1"/>
        <v>26121</v>
      </c>
      <c r="H1317" s="37" t="s">
        <v>1277</v>
      </c>
      <c r="I1317" s="37" t="s">
        <v>60</v>
      </c>
      <c r="J1317" s="37" t="s">
        <v>274</v>
      </c>
      <c r="K1317" s="37" t="str">
        <f t="shared" si="23"/>
        <v>Muskegon, MI</v>
      </c>
      <c r="L1317" s="70">
        <v>361.0</v>
      </c>
      <c r="M1317" s="37">
        <v>2.1</v>
      </c>
      <c r="N1317" s="37" t="s">
        <v>63</v>
      </c>
      <c r="O1317" s="37" t="s">
        <v>63</v>
      </c>
      <c r="P1317" s="37">
        <v>62.0</v>
      </c>
      <c r="Q1317" s="37">
        <v>107.0</v>
      </c>
      <c r="R1317" s="37" t="s">
        <v>63</v>
      </c>
      <c r="S1317" s="37" t="s">
        <v>63</v>
      </c>
      <c r="T1317" s="69" t="s">
        <v>63</v>
      </c>
      <c r="U1317" s="70" t="s">
        <v>63</v>
      </c>
      <c r="V1317" s="37" t="s">
        <v>63</v>
      </c>
      <c r="W1317" s="71" t="s">
        <v>63</v>
      </c>
      <c r="X1317" s="72" t="s">
        <v>63</v>
      </c>
      <c r="Y1317" s="53">
        <v>160.0</v>
      </c>
      <c r="Z1317" s="69" t="s">
        <v>63</v>
      </c>
      <c r="AA1317" s="73"/>
      <c r="AB1317" s="73"/>
      <c r="AC1317" s="73"/>
      <c r="AD1317" s="73"/>
      <c r="AE1317" s="73"/>
      <c r="AF1317" s="73"/>
      <c r="AG1317" s="73"/>
      <c r="AH1317" s="73"/>
      <c r="AI1317" s="73"/>
      <c r="AJ1317" s="73"/>
      <c r="AK1317" s="73"/>
    </row>
    <row r="1318">
      <c r="A1318" s="28">
        <v>1317.0</v>
      </c>
      <c r="B1318" s="29"/>
      <c r="C1318" s="29"/>
      <c r="D1318" s="40">
        <v>1.0</v>
      </c>
      <c r="E1318" s="31">
        <v>26.0</v>
      </c>
      <c r="F1318" s="42">
        <v>123.0</v>
      </c>
      <c r="G1318" s="29" t="str">
        <f t="shared" si="1"/>
        <v>26123</v>
      </c>
      <c r="H1318" s="37" t="s">
        <v>1278</v>
      </c>
      <c r="I1318" s="37" t="s">
        <v>60</v>
      </c>
      <c r="J1318" s="37" t="s">
        <v>274</v>
      </c>
      <c r="K1318" s="37" t="str">
        <f t="shared" si="23"/>
        <v>Newaygo, MI</v>
      </c>
      <c r="L1318" s="70">
        <v>69.0</v>
      </c>
      <c r="M1318" s="37">
        <v>1.93</v>
      </c>
      <c r="N1318" s="37" t="s">
        <v>63</v>
      </c>
      <c r="O1318" s="37" t="s">
        <v>63</v>
      </c>
      <c r="P1318" s="37">
        <v>20.0</v>
      </c>
      <c r="Q1318" s="37">
        <v>30.0</v>
      </c>
      <c r="R1318" s="37" t="s">
        <v>63</v>
      </c>
      <c r="S1318" s="37" t="s">
        <v>63</v>
      </c>
      <c r="T1318" s="69" t="s">
        <v>63</v>
      </c>
      <c r="U1318" s="70" t="s">
        <v>63</v>
      </c>
      <c r="V1318" s="37" t="s">
        <v>63</v>
      </c>
      <c r="W1318" s="71" t="s">
        <v>63</v>
      </c>
      <c r="X1318" s="72" t="s">
        <v>63</v>
      </c>
      <c r="Y1318" s="53">
        <v>63.0</v>
      </c>
      <c r="Z1318" s="69" t="s">
        <v>63</v>
      </c>
      <c r="AA1318" s="73"/>
      <c r="AB1318" s="73"/>
      <c r="AC1318" s="73"/>
      <c r="AD1318" s="73"/>
      <c r="AE1318" s="73"/>
      <c r="AF1318" s="73"/>
      <c r="AG1318" s="73"/>
      <c r="AH1318" s="73"/>
      <c r="AI1318" s="73"/>
      <c r="AJ1318" s="73"/>
      <c r="AK1318" s="73"/>
    </row>
    <row r="1319">
      <c r="A1319" s="28">
        <v>1318.0</v>
      </c>
      <c r="B1319" s="29"/>
      <c r="C1319" s="29"/>
      <c r="D1319" s="40">
        <v>1.0</v>
      </c>
      <c r="E1319" s="31">
        <v>26.0</v>
      </c>
      <c r="F1319" s="42">
        <v>125.0</v>
      </c>
      <c r="G1319" s="29" t="str">
        <f t="shared" si="1"/>
        <v>26125</v>
      </c>
      <c r="H1319" s="37" t="s">
        <v>353</v>
      </c>
      <c r="I1319" s="37" t="s">
        <v>60</v>
      </c>
      <c r="J1319" s="37" t="s">
        <v>274</v>
      </c>
      <c r="K1319" s="37" t="str">
        <f t="shared" si="23"/>
        <v>Oakland, MI</v>
      </c>
      <c r="L1319" s="70">
        <v>400.0</v>
      </c>
      <c r="M1319" s="37">
        <v>1.78</v>
      </c>
      <c r="N1319" s="37" t="s">
        <v>63</v>
      </c>
      <c r="O1319" s="37" t="s">
        <v>63</v>
      </c>
      <c r="P1319" s="37">
        <v>99.0</v>
      </c>
      <c r="Q1319" s="37">
        <v>373.0</v>
      </c>
      <c r="R1319" s="37" t="s">
        <v>63</v>
      </c>
      <c r="S1319" s="37" t="s">
        <v>63</v>
      </c>
      <c r="T1319" s="69" t="s">
        <v>63</v>
      </c>
      <c r="U1319" s="70" t="s">
        <v>63</v>
      </c>
      <c r="V1319" s="37" t="s">
        <v>63</v>
      </c>
      <c r="W1319" s="71" t="s">
        <v>63</v>
      </c>
      <c r="X1319" s="72" t="s">
        <v>63</v>
      </c>
      <c r="Y1319" s="53">
        <v>531.0</v>
      </c>
      <c r="Z1319" s="69" t="s">
        <v>63</v>
      </c>
      <c r="AA1319" s="73"/>
      <c r="AB1319" s="73"/>
      <c r="AC1319" s="73"/>
      <c r="AD1319" s="73"/>
      <c r="AE1319" s="73"/>
      <c r="AF1319" s="73"/>
      <c r="AG1319" s="73"/>
      <c r="AH1319" s="73"/>
      <c r="AI1319" s="73"/>
      <c r="AJ1319" s="73"/>
      <c r="AK1319" s="73"/>
    </row>
    <row r="1320">
      <c r="A1320" s="28">
        <v>1319.0</v>
      </c>
      <c r="B1320" s="29"/>
      <c r="C1320" s="29"/>
      <c r="D1320" s="40">
        <v>1.0</v>
      </c>
      <c r="E1320" s="31">
        <v>26.0</v>
      </c>
      <c r="F1320" s="42">
        <v>127.0</v>
      </c>
      <c r="G1320" s="29" t="str">
        <f t="shared" si="1"/>
        <v>26127</v>
      </c>
      <c r="H1320" s="37" t="s">
        <v>1280</v>
      </c>
      <c r="I1320" s="37" t="s">
        <v>60</v>
      </c>
      <c r="J1320" s="37" t="s">
        <v>274</v>
      </c>
      <c r="K1320" s="37" t="str">
        <f t="shared" si="23"/>
        <v>Oceana, MI</v>
      </c>
      <c r="L1320" s="70">
        <v>11.0</v>
      </c>
      <c r="M1320" s="37">
        <v>2.73</v>
      </c>
      <c r="N1320" s="37" t="s">
        <v>63</v>
      </c>
      <c r="O1320" s="37" t="s">
        <v>63</v>
      </c>
      <c r="P1320" s="37">
        <v>5.0</v>
      </c>
      <c r="Q1320" s="37">
        <v>11.0</v>
      </c>
      <c r="R1320" s="37" t="s">
        <v>63</v>
      </c>
      <c r="S1320" s="37" t="s">
        <v>63</v>
      </c>
      <c r="T1320" s="69" t="s">
        <v>63</v>
      </c>
      <c r="U1320" s="70" t="s">
        <v>63</v>
      </c>
      <c r="V1320" s="37" t="s">
        <v>63</v>
      </c>
      <c r="W1320" s="71" t="s">
        <v>63</v>
      </c>
      <c r="X1320" s="72" t="s">
        <v>63</v>
      </c>
      <c r="Y1320" s="53">
        <v>34.0</v>
      </c>
      <c r="Z1320" s="69" t="s">
        <v>63</v>
      </c>
      <c r="AA1320" s="73"/>
      <c r="AB1320" s="73"/>
      <c r="AC1320" s="73"/>
      <c r="AD1320" s="73"/>
      <c r="AE1320" s="73"/>
      <c r="AF1320" s="73"/>
      <c r="AG1320" s="73"/>
      <c r="AH1320" s="73"/>
      <c r="AI1320" s="73"/>
      <c r="AJ1320" s="73"/>
      <c r="AK1320" s="73"/>
    </row>
    <row r="1321">
      <c r="A1321" s="28">
        <v>1320.0</v>
      </c>
      <c r="B1321" s="29"/>
      <c r="C1321" s="29"/>
      <c r="D1321" s="40">
        <v>1.0</v>
      </c>
      <c r="E1321" s="31">
        <v>26.0</v>
      </c>
      <c r="F1321" s="42">
        <v>129.0</v>
      </c>
      <c r="G1321" s="29" t="str">
        <f t="shared" si="1"/>
        <v>26129</v>
      </c>
      <c r="H1321" s="37" t="s">
        <v>1281</v>
      </c>
      <c r="I1321" s="37" t="s">
        <v>60</v>
      </c>
      <c r="J1321" s="37" t="s">
        <v>274</v>
      </c>
      <c r="K1321" s="37" t="str">
        <f t="shared" si="23"/>
        <v>Ogemaw, MI</v>
      </c>
      <c r="L1321" s="70">
        <v>21.0</v>
      </c>
      <c r="M1321" s="37">
        <v>1.83</v>
      </c>
      <c r="N1321" s="37" t="s">
        <v>63</v>
      </c>
      <c r="O1321" s="37" t="s">
        <v>63</v>
      </c>
      <c r="P1321" s="37">
        <v>2.0</v>
      </c>
      <c r="Q1321" s="37">
        <v>24.0</v>
      </c>
      <c r="R1321" s="37" t="s">
        <v>63</v>
      </c>
      <c r="S1321" s="37" t="s">
        <v>63</v>
      </c>
      <c r="T1321" s="69" t="s">
        <v>63</v>
      </c>
      <c r="U1321" s="70" t="s">
        <v>63</v>
      </c>
      <c r="V1321" s="37" t="s">
        <v>63</v>
      </c>
      <c r="W1321" s="71" t="s">
        <v>63</v>
      </c>
      <c r="X1321" s="72" t="s">
        <v>63</v>
      </c>
      <c r="Y1321" s="53">
        <v>22.0</v>
      </c>
      <c r="Z1321" s="69" t="s">
        <v>63</v>
      </c>
      <c r="AA1321" s="73"/>
      <c r="AB1321" s="73"/>
      <c r="AC1321" s="73"/>
      <c r="AD1321" s="73"/>
      <c r="AE1321" s="73"/>
      <c r="AF1321" s="73"/>
      <c r="AG1321" s="73"/>
      <c r="AH1321" s="73"/>
      <c r="AI1321" s="73"/>
      <c r="AJ1321" s="73"/>
      <c r="AK1321" s="73"/>
    </row>
    <row r="1322">
      <c r="A1322" s="28">
        <v>1321.0</v>
      </c>
      <c r="B1322" s="29"/>
      <c r="C1322" s="29"/>
      <c r="D1322" s="40">
        <v>1.0</v>
      </c>
      <c r="E1322" s="31">
        <v>26.0</v>
      </c>
      <c r="F1322" s="42">
        <v>131.0</v>
      </c>
      <c r="G1322" s="29" t="str">
        <f t="shared" si="1"/>
        <v>26131</v>
      </c>
      <c r="H1322" s="37" t="s">
        <v>1282</v>
      </c>
      <c r="I1322" s="37" t="s">
        <v>60</v>
      </c>
      <c r="J1322" s="37" t="s">
        <v>274</v>
      </c>
      <c r="K1322" s="37" t="str">
        <f t="shared" si="23"/>
        <v>Ontonagon, MI</v>
      </c>
      <c r="L1322" s="70">
        <v>1.0</v>
      </c>
      <c r="M1322" s="37">
        <v>2.5</v>
      </c>
      <c r="N1322" s="37" t="s">
        <v>63</v>
      </c>
      <c r="O1322" s="37" t="s">
        <v>63</v>
      </c>
      <c r="P1322" s="37" t="s">
        <v>63</v>
      </c>
      <c r="Q1322" s="37">
        <v>4.0</v>
      </c>
      <c r="R1322" s="37" t="s">
        <v>63</v>
      </c>
      <c r="S1322" s="37" t="s">
        <v>63</v>
      </c>
      <c r="T1322" s="69" t="s">
        <v>63</v>
      </c>
      <c r="U1322" s="70" t="s">
        <v>63</v>
      </c>
      <c r="V1322" s="37" t="s">
        <v>63</v>
      </c>
      <c r="W1322" s="71" t="s">
        <v>63</v>
      </c>
      <c r="X1322" s="72" t="s">
        <v>63</v>
      </c>
      <c r="Y1322" s="53">
        <v>24.0</v>
      </c>
      <c r="Z1322" s="69" t="s">
        <v>63</v>
      </c>
      <c r="AA1322" s="73"/>
      <c r="AB1322" s="73"/>
      <c r="AC1322" s="73"/>
      <c r="AD1322" s="73"/>
      <c r="AE1322" s="73"/>
      <c r="AF1322" s="73"/>
      <c r="AG1322" s="73"/>
      <c r="AH1322" s="73"/>
      <c r="AI1322" s="73"/>
      <c r="AJ1322" s="73"/>
      <c r="AK1322" s="73"/>
    </row>
    <row r="1323">
      <c r="A1323" s="28">
        <v>1322.0</v>
      </c>
      <c r="B1323" s="29"/>
      <c r="C1323" s="29"/>
      <c r="D1323" s="40">
        <v>1.0</v>
      </c>
      <c r="E1323" s="31">
        <v>26.0</v>
      </c>
      <c r="F1323" s="42">
        <v>133.0</v>
      </c>
      <c r="G1323" s="29" t="str">
        <f t="shared" si="1"/>
        <v>26133</v>
      </c>
      <c r="H1323" s="37" t="s">
        <v>515</v>
      </c>
      <c r="I1323" s="37" t="s">
        <v>60</v>
      </c>
      <c r="J1323" s="37" t="s">
        <v>274</v>
      </c>
      <c r="K1323" s="37" t="str">
        <f t="shared" si="23"/>
        <v>Osceola, MI</v>
      </c>
      <c r="L1323" s="70">
        <v>14.0</v>
      </c>
      <c r="M1323" s="37">
        <v>2.62</v>
      </c>
      <c r="N1323" s="37" t="s">
        <v>63</v>
      </c>
      <c r="O1323" s="37" t="s">
        <v>63</v>
      </c>
      <c r="P1323" s="37">
        <v>4.0</v>
      </c>
      <c r="Q1323" s="37">
        <v>21.0</v>
      </c>
      <c r="R1323" s="37" t="s">
        <v>63</v>
      </c>
      <c r="S1323" s="37" t="s">
        <v>63</v>
      </c>
      <c r="T1323" s="69" t="s">
        <v>63</v>
      </c>
      <c r="U1323" s="70" t="s">
        <v>63</v>
      </c>
      <c r="V1323" s="37" t="s">
        <v>63</v>
      </c>
      <c r="W1323" s="71" t="s">
        <v>63</v>
      </c>
      <c r="X1323" s="72" t="s">
        <v>63</v>
      </c>
      <c r="Y1323" s="53">
        <v>36.0</v>
      </c>
      <c r="Z1323" s="69" t="s">
        <v>63</v>
      </c>
      <c r="AA1323" s="73"/>
      <c r="AB1323" s="73"/>
      <c r="AC1323" s="73"/>
      <c r="AD1323" s="73"/>
      <c r="AE1323" s="73"/>
      <c r="AF1323" s="73"/>
      <c r="AG1323" s="73"/>
      <c r="AH1323" s="73"/>
      <c r="AI1323" s="73"/>
      <c r="AJ1323" s="73"/>
      <c r="AK1323" s="73"/>
    </row>
    <row r="1324">
      <c r="A1324" s="28">
        <v>1323.0</v>
      </c>
      <c r="B1324" s="29"/>
      <c r="C1324" s="29"/>
      <c r="D1324" s="40">
        <v>1.0</v>
      </c>
      <c r="E1324" s="31">
        <v>26.0</v>
      </c>
      <c r="F1324" s="42">
        <v>135.0</v>
      </c>
      <c r="G1324" s="29" t="str">
        <f t="shared" si="1"/>
        <v>26135</v>
      </c>
      <c r="H1324" s="37" t="s">
        <v>1284</v>
      </c>
      <c r="I1324" s="37" t="s">
        <v>60</v>
      </c>
      <c r="J1324" s="37" t="s">
        <v>274</v>
      </c>
      <c r="K1324" s="37" t="str">
        <f t="shared" si="23"/>
        <v>Oscoda, MI</v>
      </c>
      <c r="L1324" s="70">
        <v>31.0</v>
      </c>
      <c r="M1324" s="37">
        <v>2.38</v>
      </c>
      <c r="N1324" s="37" t="s">
        <v>63</v>
      </c>
      <c r="O1324" s="37" t="s">
        <v>63</v>
      </c>
      <c r="P1324" s="37" t="s">
        <v>63</v>
      </c>
      <c r="Q1324" s="37">
        <v>8.0</v>
      </c>
      <c r="R1324" s="37" t="s">
        <v>63</v>
      </c>
      <c r="S1324" s="37" t="s">
        <v>63</v>
      </c>
      <c r="T1324" s="69" t="s">
        <v>63</v>
      </c>
      <c r="U1324" s="70" t="s">
        <v>63</v>
      </c>
      <c r="V1324" s="37" t="s">
        <v>63</v>
      </c>
      <c r="W1324" s="71" t="s">
        <v>63</v>
      </c>
      <c r="X1324" s="72" t="s">
        <v>63</v>
      </c>
      <c r="Y1324" s="53">
        <v>11.0</v>
      </c>
      <c r="Z1324" s="69" t="s">
        <v>63</v>
      </c>
      <c r="AA1324" s="73"/>
      <c r="AB1324" s="73"/>
      <c r="AC1324" s="73"/>
      <c r="AD1324" s="73"/>
      <c r="AE1324" s="73"/>
      <c r="AF1324" s="73"/>
      <c r="AG1324" s="73"/>
      <c r="AH1324" s="73"/>
      <c r="AI1324" s="73"/>
      <c r="AJ1324" s="73"/>
      <c r="AK1324" s="73"/>
    </row>
    <row r="1325">
      <c r="A1325" s="28">
        <v>1324.0</v>
      </c>
      <c r="B1325" s="29"/>
      <c r="C1325" s="29"/>
      <c r="D1325" s="40">
        <v>1.0</v>
      </c>
      <c r="E1325" s="31">
        <v>26.0</v>
      </c>
      <c r="F1325" s="42">
        <v>137.0</v>
      </c>
      <c r="G1325" s="29" t="str">
        <f t="shared" si="1"/>
        <v>26137</v>
      </c>
      <c r="H1325" s="37" t="s">
        <v>1286</v>
      </c>
      <c r="I1325" s="37" t="s">
        <v>60</v>
      </c>
      <c r="J1325" s="37" t="s">
        <v>274</v>
      </c>
      <c r="K1325" s="37" t="str">
        <f t="shared" si="23"/>
        <v>Otsego, MI</v>
      </c>
      <c r="L1325" s="70">
        <v>32.0</v>
      </c>
      <c r="M1325" s="37">
        <v>2.24</v>
      </c>
      <c r="N1325" s="37" t="s">
        <v>63</v>
      </c>
      <c r="O1325" s="37" t="s">
        <v>63</v>
      </c>
      <c r="P1325" s="37">
        <v>7.0</v>
      </c>
      <c r="Q1325" s="37">
        <v>17.0</v>
      </c>
      <c r="R1325" s="37" t="s">
        <v>63</v>
      </c>
      <c r="S1325" s="37" t="s">
        <v>63</v>
      </c>
      <c r="T1325" s="69" t="s">
        <v>63</v>
      </c>
      <c r="U1325" s="70" t="s">
        <v>63</v>
      </c>
      <c r="V1325" s="37" t="s">
        <v>63</v>
      </c>
      <c r="W1325" s="71" t="s">
        <v>63</v>
      </c>
      <c r="X1325" s="72" t="s">
        <v>63</v>
      </c>
      <c r="Y1325" s="53">
        <v>23.0</v>
      </c>
      <c r="Z1325" s="69" t="s">
        <v>63</v>
      </c>
      <c r="AA1325" s="73"/>
      <c r="AB1325" s="73"/>
      <c r="AC1325" s="73"/>
      <c r="AD1325" s="73"/>
      <c r="AE1325" s="73"/>
      <c r="AF1325" s="73"/>
      <c r="AG1325" s="73"/>
      <c r="AH1325" s="73"/>
      <c r="AI1325" s="73"/>
      <c r="AJ1325" s="73"/>
      <c r="AK1325" s="73"/>
    </row>
    <row r="1326">
      <c r="A1326" s="28">
        <v>1325.0</v>
      </c>
      <c r="B1326" s="29"/>
      <c r="C1326" s="29"/>
      <c r="D1326" s="40">
        <v>1.0</v>
      </c>
      <c r="E1326" s="31">
        <v>26.0</v>
      </c>
      <c r="F1326" s="42">
        <v>139.0</v>
      </c>
      <c r="G1326" s="29" t="str">
        <f t="shared" si="1"/>
        <v>26139</v>
      </c>
      <c r="H1326" s="37" t="s">
        <v>998</v>
      </c>
      <c r="I1326" s="37" t="s">
        <v>60</v>
      </c>
      <c r="J1326" s="37" t="s">
        <v>274</v>
      </c>
      <c r="K1326" s="37" t="str">
        <f t="shared" si="23"/>
        <v>Ottawa, MI</v>
      </c>
      <c r="L1326" s="70">
        <v>141.0</v>
      </c>
      <c r="M1326" s="37">
        <v>2.09</v>
      </c>
      <c r="N1326" s="37" t="s">
        <v>63</v>
      </c>
      <c r="O1326" s="37" t="s">
        <v>63</v>
      </c>
      <c r="P1326" s="37">
        <v>20.0</v>
      </c>
      <c r="Q1326" s="37">
        <v>168.0</v>
      </c>
      <c r="R1326" s="37" t="s">
        <v>63</v>
      </c>
      <c r="S1326" s="37" t="s">
        <v>63</v>
      </c>
      <c r="T1326" s="69" t="s">
        <v>63</v>
      </c>
      <c r="U1326" s="70" t="s">
        <v>63</v>
      </c>
      <c r="V1326" s="37" t="s">
        <v>63</v>
      </c>
      <c r="W1326" s="71" t="s">
        <v>63</v>
      </c>
      <c r="X1326" s="72" t="s">
        <v>63</v>
      </c>
      <c r="Y1326" s="53">
        <v>228.0</v>
      </c>
      <c r="Z1326" s="69" t="s">
        <v>63</v>
      </c>
      <c r="AA1326" s="73"/>
      <c r="AB1326" s="73"/>
      <c r="AC1326" s="73"/>
      <c r="AD1326" s="73"/>
      <c r="AE1326" s="73"/>
      <c r="AF1326" s="73"/>
      <c r="AG1326" s="73"/>
      <c r="AH1326" s="73"/>
      <c r="AI1326" s="73"/>
      <c r="AJ1326" s="73"/>
      <c r="AK1326" s="73"/>
    </row>
    <row r="1327">
      <c r="A1327" s="28">
        <v>1326.0</v>
      </c>
      <c r="B1327" s="29"/>
      <c r="C1327" s="29"/>
      <c r="D1327" s="40">
        <v>1.0</v>
      </c>
      <c r="E1327" s="31">
        <v>26.0</v>
      </c>
      <c r="F1327" s="42">
        <v>141.0</v>
      </c>
      <c r="G1327" s="29" t="str">
        <f t="shared" si="1"/>
        <v>26141</v>
      </c>
      <c r="H1327" s="37" t="s">
        <v>1288</v>
      </c>
      <c r="I1327" s="37" t="s">
        <v>60</v>
      </c>
      <c r="J1327" s="37" t="s">
        <v>274</v>
      </c>
      <c r="K1327" s="37" t="str">
        <f t="shared" si="23"/>
        <v>Presque Isle, MI</v>
      </c>
      <c r="L1327" s="70">
        <v>9.0</v>
      </c>
      <c r="M1327" s="37">
        <v>2.88</v>
      </c>
      <c r="N1327" s="37" t="s">
        <v>63</v>
      </c>
      <c r="O1327" s="37" t="s">
        <v>63</v>
      </c>
      <c r="P1327" s="37">
        <v>1.0</v>
      </c>
      <c r="Q1327" s="37">
        <v>8.0</v>
      </c>
      <c r="R1327" s="37" t="s">
        <v>63</v>
      </c>
      <c r="S1327" s="37" t="s">
        <v>63</v>
      </c>
      <c r="T1327" s="69" t="s">
        <v>63</v>
      </c>
      <c r="U1327" s="70" t="s">
        <v>63</v>
      </c>
      <c r="V1327" s="37" t="s">
        <v>63</v>
      </c>
      <c r="W1327" s="71" t="s">
        <v>63</v>
      </c>
      <c r="X1327" s="72" t="s">
        <v>63</v>
      </c>
      <c r="Y1327" s="53">
        <v>24.0</v>
      </c>
      <c r="Z1327" s="69" t="s">
        <v>63</v>
      </c>
      <c r="AA1327" s="73"/>
      <c r="AB1327" s="73"/>
      <c r="AC1327" s="73"/>
      <c r="AD1327" s="73"/>
      <c r="AE1327" s="73"/>
      <c r="AF1327" s="73"/>
      <c r="AG1327" s="73"/>
      <c r="AH1327" s="73"/>
      <c r="AI1327" s="73"/>
      <c r="AJ1327" s="73"/>
      <c r="AK1327" s="73"/>
    </row>
    <row r="1328">
      <c r="A1328" s="28">
        <v>1327.0</v>
      </c>
      <c r="B1328" s="29"/>
      <c r="C1328" s="29"/>
      <c r="D1328" s="40">
        <v>1.0</v>
      </c>
      <c r="E1328" s="31">
        <v>26.0</v>
      </c>
      <c r="F1328" s="42">
        <v>143.0</v>
      </c>
      <c r="G1328" s="29" t="str">
        <f t="shared" si="1"/>
        <v>26143</v>
      </c>
      <c r="H1328" s="37" t="s">
        <v>1289</v>
      </c>
      <c r="I1328" s="37" t="s">
        <v>60</v>
      </c>
      <c r="J1328" s="37" t="s">
        <v>274</v>
      </c>
      <c r="K1328" s="37" t="str">
        <f t="shared" si="23"/>
        <v>Roscommon, MI</v>
      </c>
      <c r="L1328" s="70">
        <v>23.0</v>
      </c>
      <c r="M1328" s="37">
        <v>1.33</v>
      </c>
      <c r="N1328" s="37" t="s">
        <v>63</v>
      </c>
      <c r="O1328" s="37" t="s">
        <v>63</v>
      </c>
      <c r="P1328" s="37">
        <v>22.0</v>
      </c>
      <c r="Q1328" s="37">
        <v>3.0</v>
      </c>
      <c r="R1328" s="37" t="s">
        <v>63</v>
      </c>
      <c r="S1328" s="37" t="s">
        <v>63</v>
      </c>
      <c r="T1328" s="69" t="s">
        <v>63</v>
      </c>
      <c r="U1328" s="70" t="s">
        <v>63</v>
      </c>
      <c r="V1328" s="37" t="s">
        <v>63</v>
      </c>
      <c r="W1328" s="71" t="s">
        <v>63</v>
      </c>
      <c r="X1328" s="72" t="s">
        <v>63</v>
      </c>
      <c r="Y1328" s="53">
        <v>31.0</v>
      </c>
      <c r="Z1328" s="69" t="s">
        <v>63</v>
      </c>
      <c r="AA1328" s="73"/>
      <c r="AB1328" s="73"/>
      <c r="AC1328" s="73"/>
      <c r="AD1328" s="73"/>
      <c r="AE1328" s="73"/>
      <c r="AF1328" s="73"/>
      <c r="AG1328" s="73"/>
      <c r="AH1328" s="73"/>
      <c r="AI1328" s="73"/>
      <c r="AJ1328" s="73"/>
      <c r="AK1328" s="73"/>
    </row>
    <row r="1329">
      <c r="A1329" s="28">
        <v>1328.0</v>
      </c>
      <c r="B1329" s="29"/>
      <c r="C1329" s="29"/>
      <c r="D1329" s="40">
        <v>1.0</v>
      </c>
      <c r="E1329" s="31">
        <v>26.0</v>
      </c>
      <c r="F1329" s="42">
        <v>145.0</v>
      </c>
      <c r="G1329" s="29" t="str">
        <f t="shared" si="1"/>
        <v>26145</v>
      </c>
      <c r="H1329" s="37" t="s">
        <v>1290</v>
      </c>
      <c r="I1329" s="37" t="s">
        <v>60</v>
      </c>
      <c r="J1329" s="37" t="s">
        <v>274</v>
      </c>
      <c r="K1329" s="37" t="str">
        <f t="shared" si="23"/>
        <v>Saginaw, MI</v>
      </c>
      <c r="L1329" s="70">
        <v>142.0</v>
      </c>
      <c r="M1329" s="37">
        <v>2.12</v>
      </c>
      <c r="N1329" s="37" t="s">
        <v>63</v>
      </c>
      <c r="O1329" s="37" t="s">
        <v>63</v>
      </c>
      <c r="P1329" s="37">
        <v>56.0</v>
      </c>
      <c r="Q1329" s="37">
        <v>78.0</v>
      </c>
      <c r="R1329" s="37" t="s">
        <v>63</v>
      </c>
      <c r="S1329" s="37" t="s">
        <v>63</v>
      </c>
      <c r="T1329" s="69" t="s">
        <v>63</v>
      </c>
      <c r="U1329" s="70" t="s">
        <v>63</v>
      </c>
      <c r="V1329" s="37" t="s">
        <v>63</v>
      </c>
      <c r="W1329" s="71" t="s">
        <v>63</v>
      </c>
      <c r="X1329" s="72" t="s">
        <v>63</v>
      </c>
      <c r="Y1329" s="53">
        <v>202.0</v>
      </c>
      <c r="Z1329" s="69" t="s">
        <v>63</v>
      </c>
      <c r="AA1329" s="73"/>
      <c r="AB1329" s="73"/>
      <c r="AC1329" s="73"/>
      <c r="AD1329" s="73"/>
      <c r="AE1329" s="73"/>
      <c r="AF1329" s="73"/>
      <c r="AG1329" s="73"/>
      <c r="AH1329" s="73"/>
      <c r="AI1329" s="73"/>
      <c r="AJ1329" s="73"/>
      <c r="AK1329" s="73"/>
    </row>
    <row r="1330">
      <c r="A1330" s="28">
        <v>1329.0</v>
      </c>
      <c r="B1330" s="29"/>
      <c r="C1330" s="29"/>
      <c r="D1330" s="40">
        <v>1.0</v>
      </c>
      <c r="E1330" s="31">
        <v>26.0</v>
      </c>
      <c r="F1330" s="42">
        <v>147.0</v>
      </c>
      <c r="G1330" s="29" t="str">
        <f t="shared" si="1"/>
        <v>26147</v>
      </c>
      <c r="H1330" s="37" t="s">
        <v>167</v>
      </c>
      <c r="I1330" s="37" t="s">
        <v>60</v>
      </c>
      <c r="J1330" s="37" t="s">
        <v>274</v>
      </c>
      <c r="K1330" s="37" t="str">
        <f t="shared" si="23"/>
        <v>St Clair, MI</v>
      </c>
      <c r="L1330" s="70">
        <v>201.0</v>
      </c>
      <c r="M1330" s="37">
        <v>2.04</v>
      </c>
      <c r="N1330" s="37" t="s">
        <v>63</v>
      </c>
      <c r="O1330" s="37" t="s">
        <v>63</v>
      </c>
      <c r="P1330" s="37">
        <v>13.0</v>
      </c>
      <c r="Q1330" s="37">
        <v>23.0</v>
      </c>
      <c r="R1330" s="37" t="s">
        <v>63</v>
      </c>
      <c r="S1330" s="37" t="s">
        <v>63</v>
      </c>
      <c r="T1330" s="69" t="s">
        <v>63</v>
      </c>
      <c r="U1330" s="70" t="s">
        <v>63</v>
      </c>
      <c r="V1330" s="37" t="s">
        <v>63</v>
      </c>
      <c r="W1330" s="71" t="s">
        <v>63</v>
      </c>
      <c r="X1330" s="72" t="s">
        <v>63</v>
      </c>
      <c r="Y1330" s="53">
        <v>129.0</v>
      </c>
      <c r="Z1330" s="69" t="s">
        <v>63</v>
      </c>
      <c r="AA1330" s="73"/>
      <c r="AB1330" s="73"/>
      <c r="AC1330" s="73"/>
      <c r="AD1330" s="73"/>
      <c r="AE1330" s="73"/>
      <c r="AF1330" s="73"/>
      <c r="AG1330" s="73"/>
      <c r="AH1330" s="73"/>
      <c r="AI1330" s="73"/>
      <c r="AJ1330" s="73"/>
      <c r="AK1330" s="73"/>
    </row>
    <row r="1331">
      <c r="A1331" s="28">
        <v>1330.0</v>
      </c>
      <c r="B1331" s="29"/>
      <c r="C1331" s="29"/>
      <c r="D1331" s="40">
        <v>1.0</v>
      </c>
      <c r="E1331" s="31">
        <v>26.0</v>
      </c>
      <c r="F1331" s="42">
        <v>149.0</v>
      </c>
      <c r="G1331" s="29" t="str">
        <f t="shared" si="1"/>
        <v>26149</v>
      </c>
      <c r="H1331" s="37" t="s">
        <v>847</v>
      </c>
      <c r="I1331" s="37" t="s">
        <v>60</v>
      </c>
      <c r="J1331" s="37" t="s">
        <v>274</v>
      </c>
      <c r="K1331" s="37" t="str">
        <f t="shared" si="23"/>
        <v>St Joseph, MI</v>
      </c>
      <c r="L1331" s="70">
        <v>140.0</v>
      </c>
      <c r="M1331" s="37">
        <v>2.67</v>
      </c>
      <c r="N1331" s="37" t="s">
        <v>63</v>
      </c>
      <c r="O1331" s="37" t="s">
        <v>63</v>
      </c>
      <c r="P1331" s="37">
        <v>5.0</v>
      </c>
      <c r="Q1331" s="37">
        <v>3.0</v>
      </c>
      <c r="R1331" s="37" t="s">
        <v>63</v>
      </c>
      <c r="S1331" s="37" t="s">
        <v>63</v>
      </c>
      <c r="T1331" s="69" t="s">
        <v>63</v>
      </c>
      <c r="U1331" s="70" t="s">
        <v>63</v>
      </c>
      <c r="V1331" s="37" t="s">
        <v>63</v>
      </c>
      <c r="W1331" s="71" t="s">
        <v>63</v>
      </c>
      <c r="X1331" s="72" t="s">
        <v>63</v>
      </c>
      <c r="Y1331" s="53">
        <v>78.0</v>
      </c>
      <c r="Z1331" s="69" t="s">
        <v>63</v>
      </c>
      <c r="AA1331" s="73"/>
      <c r="AB1331" s="73"/>
      <c r="AC1331" s="73"/>
      <c r="AD1331" s="73"/>
      <c r="AE1331" s="73"/>
      <c r="AF1331" s="73"/>
      <c r="AG1331" s="73"/>
      <c r="AH1331" s="73"/>
      <c r="AI1331" s="73"/>
      <c r="AJ1331" s="73"/>
      <c r="AK1331" s="73"/>
    </row>
    <row r="1332">
      <c r="A1332" s="28">
        <v>1331.0</v>
      </c>
      <c r="B1332" s="29"/>
      <c r="C1332" s="29"/>
      <c r="D1332" s="40">
        <v>1.0</v>
      </c>
      <c r="E1332" s="31">
        <v>26.0</v>
      </c>
      <c r="F1332" s="42">
        <v>151.0</v>
      </c>
      <c r="G1332" s="29" t="str">
        <f t="shared" si="1"/>
        <v>26151</v>
      </c>
      <c r="H1332" s="37" t="s">
        <v>1291</v>
      </c>
      <c r="I1332" s="37" t="s">
        <v>60</v>
      </c>
      <c r="J1332" s="37" t="s">
        <v>274</v>
      </c>
      <c r="K1332" s="37" t="str">
        <f t="shared" si="23"/>
        <v>Sanilac, MI</v>
      </c>
      <c r="L1332" s="70">
        <v>59.0</v>
      </c>
      <c r="M1332" s="37">
        <v>2.11</v>
      </c>
      <c r="N1332" s="37" t="s">
        <v>63</v>
      </c>
      <c r="O1332" s="37" t="s">
        <v>63</v>
      </c>
      <c r="P1332" s="37">
        <v>11.0</v>
      </c>
      <c r="Q1332" s="37">
        <v>39.0</v>
      </c>
      <c r="R1332" s="37" t="s">
        <v>63</v>
      </c>
      <c r="S1332" s="37" t="s">
        <v>63</v>
      </c>
      <c r="T1332" s="69" t="s">
        <v>63</v>
      </c>
      <c r="U1332" s="70" t="s">
        <v>63</v>
      </c>
      <c r="V1332" s="37" t="s">
        <v>63</v>
      </c>
      <c r="W1332" s="71" t="s">
        <v>63</v>
      </c>
      <c r="X1332" s="72" t="s">
        <v>63</v>
      </c>
      <c r="Y1332" s="53">
        <v>52.0</v>
      </c>
      <c r="Z1332" s="69" t="s">
        <v>63</v>
      </c>
      <c r="AA1332" s="73"/>
      <c r="AB1332" s="73"/>
      <c r="AC1332" s="73"/>
      <c r="AD1332" s="73"/>
      <c r="AE1332" s="73"/>
      <c r="AF1332" s="73"/>
      <c r="AG1332" s="73"/>
      <c r="AH1332" s="73"/>
      <c r="AI1332" s="73"/>
      <c r="AJ1332" s="73"/>
      <c r="AK1332" s="73"/>
    </row>
    <row r="1333">
      <c r="A1333" s="28">
        <v>1332.0</v>
      </c>
      <c r="B1333" s="29"/>
      <c r="C1333" s="29"/>
      <c r="D1333" s="40">
        <v>1.0</v>
      </c>
      <c r="E1333" s="31">
        <v>26.0</v>
      </c>
      <c r="F1333" s="42">
        <v>153.0</v>
      </c>
      <c r="G1333" s="29" t="str">
        <f t="shared" si="1"/>
        <v>26153</v>
      </c>
      <c r="H1333" s="37" t="s">
        <v>1292</v>
      </c>
      <c r="I1333" s="37" t="s">
        <v>60</v>
      </c>
      <c r="J1333" s="37" t="s">
        <v>274</v>
      </c>
      <c r="K1333" s="37" t="str">
        <f t="shared" si="23"/>
        <v>Schoolcraft, MI</v>
      </c>
      <c r="L1333" s="70">
        <v>22.0</v>
      </c>
      <c r="M1333" s="37">
        <v>2.0</v>
      </c>
      <c r="N1333" s="37" t="s">
        <v>63</v>
      </c>
      <c r="O1333" s="37" t="s">
        <v>63</v>
      </c>
      <c r="P1333" s="37">
        <v>30.0</v>
      </c>
      <c r="Q1333" s="37">
        <v>77.0</v>
      </c>
      <c r="R1333" s="37" t="s">
        <v>63</v>
      </c>
      <c r="S1333" s="37" t="s">
        <v>63</v>
      </c>
      <c r="T1333" s="69" t="s">
        <v>63</v>
      </c>
      <c r="U1333" s="70" t="s">
        <v>63</v>
      </c>
      <c r="V1333" s="37" t="s">
        <v>63</v>
      </c>
      <c r="W1333" s="71" t="s">
        <v>63</v>
      </c>
      <c r="X1333" s="72" t="s">
        <v>63</v>
      </c>
      <c r="Y1333" s="53">
        <v>12.0</v>
      </c>
      <c r="Z1333" s="69" t="s">
        <v>63</v>
      </c>
      <c r="AA1333" s="73"/>
      <c r="AB1333" s="73"/>
      <c r="AC1333" s="73"/>
      <c r="AD1333" s="73"/>
      <c r="AE1333" s="73"/>
      <c r="AF1333" s="73"/>
      <c r="AG1333" s="73"/>
      <c r="AH1333" s="73"/>
      <c r="AI1333" s="73"/>
      <c r="AJ1333" s="73"/>
      <c r="AK1333" s="73"/>
    </row>
    <row r="1334">
      <c r="A1334" s="28">
        <v>1333.0</v>
      </c>
      <c r="B1334" s="29"/>
      <c r="C1334" s="29"/>
      <c r="D1334" s="40">
        <v>1.0</v>
      </c>
      <c r="E1334" s="31">
        <v>26.0</v>
      </c>
      <c r="F1334" s="42">
        <v>155.0</v>
      </c>
      <c r="G1334" s="29" t="str">
        <f t="shared" si="1"/>
        <v>26155</v>
      </c>
      <c r="H1334" s="37" t="s">
        <v>1293</v>
      </c>
      <c r="I1334" s="37" t="s">
        <v>60</v>
      </c>
      <c r="J1334" s="37" t="s">
        <v>274</v>
      </c>
      <c r="K1334" s="37" t="str">
        <f t="shared" si="23"/>
        <v>Shiawassee, MI</v>
      </c>
      <c r="L1334" s="70">
        <v>65.0</v>
      </c>
      <c r="M1334" s="37">
        <v>2.57</v>
      </c>
      <c r="N1334" s="37" t="s">
        <v>63</v>
      </c>
      <c r="O1334" s="37" t="s">
        <v>63</v>
      </c>
      <c r="P1334" s="37">
        <v>36.0</v>
      </c>
      <c r="Q1334" s="37">
        <v>30.0</v>
      </c>
      <c r="R1334" s="37" t="s">
        <v>63</v>
      </c>
      <c r="S1334" s="37" t="s">
        <v>63</v>
      </c>
      <c r="T1334" s="69" t="s">
        <v>63</v>
      </c>
      <c r="U1334" s="70" t="s">
        <v>63</v>
      </c>
      <c r="V1334" s="37" t="s">
        <v>63</v>
      </c>
      <c r="W1334" s="71" t="s">
        <v>63</v>
      </c>
      <c r="X1334" s="72" t="s">
        <v>63</v>
      </c>
      <c r="Y1334" s="53">
        <v>81.0</v>
      </c>
      <c r="Z1334" s="69" t="s">
        <v>63</v>
      </c>
      <c r="AA1334" s="73"/>
      <c r="AB1334" s="73"/>
      <c r="AC1334" s="73"/>
      <c r="AD1334" s="73"/>
      <c r="AE1334" s="73"/>
      <c r="AF1334" s="73"/>
      <c r="AG1334" s="73"/>
      <c r="AH1334" s="73"/>
      <c r="AI1334" s="73"/>
      <c r="AJ1334" s="73"/>
      <c r="AK1334" s="73"/>
    </row>
    <row r="1335">
      <c r="A1335" s="28">
        <v>1334.0</v>
      </c>
      <c r="B1335" s="29"/>
      <c r="C1335" s="29"/>
      <c r="D1335" s="40">
        <v>1.0</v>
      </c>
      <c r="E1335" s="31">
        <v>26.0</v>
      </c>
      <c r="F1335" s="42">
        <v>157.0</v>
      </c>
      <c r="G1335" s="29" t="str">
        <f t="shared" si="1"/>
        <v>26157</v>
      </c>
      <c r="H1335" s="37" t="s">
        <v>1294</v>
      </c>
      <c r="I1335" s="37" t="s">
        <v>60</v>
      </c>
      <c r="J1335" s="37" t="s">
        <v>274</v>
      </c>
      <c r="K1335" s="37" t="str">
        <f t="shared" si="23"/>
        <v>Tuscola, MI</v>
      </c>
      <c r="L1335" s="70">
        <v>21.0</v>
      </c>
      <c r="M1335" s="37">
        <v>2.6</v>
      </c>
      <c r="N1335" s="37" t="s">
        <v>63</v>
      </c>
      <c r="O1335" s="37" t="s">
        <v>63</v>
      </c>
      <c r="P1335" s="37">
        <v>5.0</v>
      </c>
      <c r="Q1335" s="37">
        <v>40.0</v>
      </c>
      <c r="R1335" s="37" t="s">
        <v>63</v>
      </c>
      <c r="S1335" s="37" t="s">
        <v>63</v>
      </c>
      <c r="T1335" s="69" t="s">
        <v>63</v>
      </c>
      <c r="U1335" s="70" t="s">
        <v>63</v>
      </c>
      <c r="V1335" s="37" t="s">
        <v>63</v>
      </c>
      <c r="W1335" s="71" t="s">
        <v>63</v>
      </c>
      <c r="X1335" s="72" t="s">
        <v>63</v>
      </c>
      <c r="Y1335" s="53">
        <v>74.0</v>
      </c>
      <c r="Z1335" s="69" t="s">
        <v>63</v>
      </c>
      <c r="AA1335" s="73"/>
      <c r="AB1335" s="73"/>
      <c r="AC1335" s="73"/>
      <c r="AD1335" s="73"/>
      <c r="AE1335" s="73"/>
      <c r="AF1335" s="73"/>
      <c r="AG1335" s="73"/>
      <c r="AH1335" s="73"/>
      <c r="AI1335" s="73"/>
      <c r="AJ1335" s="73"/>
      <c r="AK1335" s="73"/>
    </row>
    <row r="1336">
      <c r="A1336" s="28">
        <v>1335.0</v>
      </c>
      <c r="B1336" s="29"/>
      <c r="C1336" s="29"/>
      <c r="D1336" s="40">
        <v>1.0</v>
      </c>
      <c r="E1336" s="31">
        <v>26.0</v>
      </c>
      <c r="F1336" s="42">
        <v>159.0</v>
      </c>
      <c r="G1336" s="29" t="str">
        <f t="shared" si="1"/>
        <v>26159</v>
      </c>
      <c r="H1336" s="37" t="s">
        <v>317</v>
      </c>
      <c r="I1336" s="37" t="s">
        <v>60</v>
      </c>
      <c r="J1336" s="37" t="s">
        <v>274</v>
      </c>
      <c r="K1336" s="37" t="str">
        <f t="shared" si="23"/>
        <v>Van Buren, MI</v>
      </c>
      <c r="L1336" s="70">
        <v>82.0</v>
      </c>
      <c r="M1336" s="37">
        <v>2.12</v>
      </c>
      <c r="N1336" s="37" t="s">
        <v>63</v>
      </c>
      <c r="O1336" s="37" t="s">
        <v>63</v>
      </c>
      <c r="P1336" s="37">
        <v>13.0</v>
      </c>
      <c r="Q1336" s="37">
        <v>52.0</v>
      </c>
      <c r="R1336" s="37" t="s">
        <v>63</v>
      </c>
      <c r="S1336" s="37" t="s">
        <v>63</v>
      </c>
      <c r="T1336" s="69" t="s">
        <v>63</v>
      </c>
      <c r="U1336" s="70" t="s">
        <v>63</v>
      </c>
      <c r="V1336" s="37" t="s">
        <v>63</v>
      </c>
      <c r="W1336" s="71" t="s">
        <v>63</v>
      </c>
      <c r="X1336" s="72" t="s">
        <v>63</v>
      </c>
      <c r="Y1336" s="53">
        <v>85.0</v>
      </c>
      <c r="Z1336" s="69" t="s">
        <v>63</v>
      </c>
      <c r="AA1336" s="73"/>
      <c r="AB1336" s="73"/>
      <c r="AC1336" s="73"/>
      <c r="AD1336" s="73"/>
      <c r="AE1336" s="73"/>
      <c r="AF1336" s="73"/>
      <c r="AG1336" s="73"/>
      <c r="AH1336" s="73"/>
      <c r="AI1336" s="73"/>
      <c r="AJ1336" s="73"/>
      <c r="AK1336" s="73"/>
    </row>
    <row r="1337">
      <c r="A1337" s="28">
        <v>1336.0</v>
      </c>
      <c r="B1337" s="29"/>
      <c r="C1337" s="29"/>
      <c r="D1337" s="40">
        <v>1.0</v>
      </c>
      <c r="E1337" s="31">
        <v>26.0</v>
      </c>
      <c r="F1337" s="42">
        <v>161.0</v>
      </c>
      <c r="G1337" s="29" t="str">
        <f t="shared" si="1"/>
        <v>26161</v>
      </c>
      <c r="H1337" s="37" t="s">
        <v>1295</v>
      </c>
      <c r="I1337" s="37" t="s">
        <v>60</v>
      </c>
      <c r="J1337" s="37" t="s">
        <v>274</v>
      </c>
      <c r="K1337" s="37" t="str">
        <f t="shared" si="23"/>
        <v>Washtenaw, MI</v>
      </c>
      <c r="L1337" s="70">
        <v>115.0</v>
      </c>
      <c r="M1337" s="37">
        <v>1.91</v>
      </c>
      <c r="N1337" s="37" t="s">
        <v>63</v>
      </c>
      <c r="O1337" s="37" t="s">
        <v>63</v>
      </c>
      <c r="P1337" s="37">
        <v>31.0</v>
      </c>
      <c r="Q1337" s="37">
        <v>103.0</v>
      </c>
      <c r="R1337" s="37" t="s">
        <v>63</v>
      </c>
      <c r="S1337" s="37" t="s">
        <v>63</v>
      </c>
      <c r="T1337" s="69" t="s">
        <v>63</v>
      </c>
      <c r="U1337" s="70" t="s">
        <v>63</v>
      </c>
      <c r="V1337" s="37" t="s">
        <v>63</v>
      </c>
      <c r="W1337" s="71" t="s">
        <v>63</v>
      </c>
      <c r="X1337" s="72" t="s">
        <v>63</v>
      </c>
      <c r="Y1337" s="53">
        <v>224.0</v>
      </c>
      <c r="Z1337" s="69" t="s">
        <v>63</v>
      </c>
      <c r="AA1337" s="73"/>
      <c r="AB1337" s="73"/>
      <c r="AC1337" s="73"/>
      <c r="AD1337" s="73"/>
      <c r="AE1337" s="73"/>
      <c r="AF1337" s="73"/>
      <c r="AG1337" s="73"/>
      <c r="AH1337" s="73"/>
      <c r="AI1337" s="73"/>
      <c r="AJ1337" s="73"/>
      <c r="AK1337" s="73"/>
    </row>
    <row r="1338">
      <c r="A1338" s="28">
        <v>1337.0</v>
      </c>
      <c r="B1338" s="29"/>
      <c r="C1338" s="29"/>
      <c r="D1338" s="40">
        <v>1.0</v>
      </c>
      <c r="E1338" s="31">
        <v>26.0</v>
      </c>
      <c r="F1338" s="42">
        <v>163.0</v>
      </c>
      <c r="G1338" s="29" t="str">
        <f t="shared" si="1"/>
        <v>26163</v>
      </c>
      <c r="H1338" s="37" t="s">
        <v>273</v>
      </c>
      <c r="I1338" s="37" t="s">
        <v>60</v>
      </c>
      <c r="J1338" s="37" t="s">
        <v>274</v>
      </c>
      <c r="K1338" s="37" t="str">
        <f t="shared" si="23"/>
        <v>Wayne, MI</v>
      </c>
      <c r="L1338" s="70">
        <v>2323.0</v>
      </c>
      <c r="M1338" s="37">
        <v>1.99</v>
      </c>
      <c r="N1338" s="37" t="s">
        <v>63</v>
      </c>
      <c r="O1338" s="37" t="s">
        <v>63</v>
      </c>
      <c r="P1338" s="37">
        <v>454.0</v>
      </c>
      <c r="Q1338" s="37">
        <v>522.0</v>
      </c>
      <c r="R1338" s="37" t="s">
        <v>63</v>
      </c>
      <c r="S1338" s="37" t="s">
        <v>63</v>
      </c>
      <c r="T1338" s="69" t="s">
        <v>63</v>
      </c>
      <c r="U1338" s="70" t="s">
        <v>63</v>
      </c>
      <c r="V1338" s="37" t="s">
        <v>63</v>
      </c>
      <c r="W1338" s="71" t="s">
        <v>63</v>
      </c>
      <c r="X1338" s="72" t="s">
        <v>63</v>
      </c>
      <c r="Y1338" s="53">
        <v>1155.0</v>
      </c>
      <c r="Z1338" s="69" t="s">
        <v>63</v>
      </c>
      <c r="AA1338" s="73"/>
      <c r="AB1338" s="73"/>
      <c r="AC1338" s="73"/>
      <c r="AD1338" s="73"/>
      <c r="AE1338" s="73"/>
      <c r="AF1338" s="73"/>
      <c r="AG1338" s="73"/>
      <c r="AH1338" s="73"/>
      <c r="AI1338" s="73"/>
      <c r="AJ1338" s="73"/>
      <c r="AK1338" s="73"/>
    </row>
    <row r="1339">
      <c r="A1339" s="28">
        <v>1338.0</v>
      </c>
      <c r="B1339" s="29"/>
      <c r="C1339" s="29"/>
      <c r="D1339" s="40">
        <v>1.0</v>
      </c>
      <c r="E1339" s="31">
        <v>26.0</v>
      </c>
      <c r="F1339" s="42">
        <v>165.0</v>
      </c>
      <c r="G1339" s="29" t="str">
        <f t="shared" si="1"/>
        <v>26165</v>
      </c>
      <c r="H1339" s="37" t="s">
        <v>1296</v>
      </c>
      <c r="I1339" s="37" t="s">
        <v>60</v>
      </c>
      <c r="J1339" s="37" t="s">
        <v>274</v>
      </c>
      <c r="K1339" s="37" t="str">
        <f t="shared" si="23"/>
        <v>Wexford, MI</v>
      </c>
      <c r="L1339" s="70">
        <v>33.0</v>
      </c>
      <c r="M1339" s="37">
        <v>2.36</v>
      </c>
      <c r="N1339" s="37" t="s">
        <v>63</v>
      </c>
      <c r="O1339" s="37" t="s">
        <v>63</v>
      </c>
      <c r="P1339" s="37">
        <v>13.0</v>
      </c>
      <c r="Q1339" s="37">
        <v>22.0</v>
      </c>
      <c r="R1339" s="37" t="s">
        <v>63</v>
      </c>
      <c r="S1339" s="37" t="s">
        <v>63</v>
      </c>
      <c r="T1339" s="69" t="s">
        <v>63</v>
      </c>
      <c r="U1339" s="70" t="s">
        <v>63</v>
      </c>
      <c r="V1339" s="37" t="s">
        <v>63</v>
      </c>
      <c r="W1339" s="71" t="s">
        <v>63</v>
      </c>
      <c r="X1339" s="72" t="s">
        <v>63</v>
      </c>
      <c r="Y1339" s="53">
        <v>42.0</v>
      </c>
      <c r="Z1339" s="69" t="s">
        <v>63</v>
      </c>
      <c r="AA1339" s="73"/>
      <c r="AB1339" s="73"/>
      <c r="AC1339" s="73"/>
      <c r="AD1339" s="73"/>
      <c r="AE1339" s="73"/>
      <c r="AF1339" s="73"/>
      <c r="AG1339" s="73"/>
      <c r="AH1339" s="73"/>
      <c r="AI1339" s="73"/>
      <c r="AJ1339" s="73"/>
      <c r="AK1339" s="73"/>
    </row>
    <row r="1340">
      <c r="A1340" s="99">
        <v>1339.0</v>
      </c>
      <c r="B1340" s="15"/>
      <c r="C1340" s="14" t="s">
        <v>25</v>
      </c>
      <c r="D1340" s="16"/>
      <c r="E1340" s="102">
        <v>27.0</v>
      </c>
      <c r="F1340" s="107">
        <v>0.0</v>
      </c>
      <c r="G1340" s="15" t="str">
        <f t="shared" si="1"/>
        <v>27000</v>
      </c>
      <c r="H1340" s="23"/>
      <c r="I1340" s="23" t="s">
        <v>65</v>
      </c>
      <c r="J1340" s="23" t="s">
        <v>351</v>
      </c>
      <c r="K1340" s="23"/>
      <c r="L1340" s="123">
        <f t="array" ref="L1340:Z1340">Minnesota!C91:Q91</f>
        <v>13442</v>
      </c>
      <c r="M1340" s="123" t="s">
        <v>63</v>
      </c>
      <c r="N1340" s="123" t="s">
        <v>63</v>
      </c>
      <c r="O1340" s="123" t="s">
        <v>63</v>
      </c>
      <c r="P1340" s="123" t="s">
        <v>63</v>
      </c>
      <c r="Q1340" s="123">
        <v>3766.0</v>
      </c>
      <c r="R1340" s="123">
        <v>1423.0</v>
      </c>
      <c r="S1340" s="123" t="s">
        <v>63</v>
      </c>
      <c r="T1340" s="32" t="s">
        <v>63</v>
      </c>
      <c r="U1340" s="23" t="s">
        <v>63</v>
      </c>
      <c r="V1340" s="23" t="s">
        <v>63</v>
      </c>
      <c r="W1340" s="23" t="s">
        <v>63</v>
      </c>
      <c r="X1340" s="23" t="s">
        <v>63</v>
      </c>
      <c r="Y1340" s="35">
        <v>4464.0</v>
      </c>
      <c r="Z1340" s="32" t="s">
        <v>63</v>
      </c>
      <c r="AA1340" s="38"/>
      <c r="AB1340" s="38"/>
      <c r="AC1340" s="38"/>
      <c r="AD1340" s="38"/>
      <c r="AE1340" s="38"/>
      <c r="AF1340" s="38"/>
      <c r="AG1340" s="38"/>
      <c r="AH1340" s="38"/>
      <c r="AI1340" s="38"/>
      <c r="AJ1340" s="38"/>
      <c r="AK1340" s="38"/>
    </row>
    <row r="1341">
      <c r="A1341" s="99">
        <v>1340.0</v>
      </c>
      <c r="B1341" s="15"/>
      <c r="C1341" s="15"/>
      <c r="D1341" s="105">
        <v>1.0</v>
      </c>
      <c r="E1341" s="102">
        <v>27.0</v>
      </c>
      <c r="F1341" s="107">
        <v>1.0</v>
      </c>
      <c r="G1341" s="15" t="str">
        <f t="shared" si="1"/>
        <v>27001</v>
      </c>
      <c r="H1341" s="23" t="s">
        <v>1297</v>
      </c>
      <c r="I1341" s="23" t="s">
        <v>65</v>
      </c>
      <c r="J1341" s="23" t="s">
        <v>351</v>
      </c>
      <c r="K1341" s="23" t="str">
        <f t="shared" ref="K1341:K1427" si="24">CONCATENATE(H1341,", ",J1341)</f>
        <v>Aitkin, MN</v>
      </c>
      <c r="L1341" s="23">
        <f t="array" ref="L1341:Z1427">Minnesota!C3:Q89</f>
        <v>51</v>
      </c>
      <c r="M1341" s="23" t="s">
        <v>63</v>
      </c>
      <c r="N1341" s="23" t="s">
        <v>63</v>
      </c>
      <c r="O1341" s="23" t="s">
        <v>63</v>
      </c>
      <c r="P1341" s="23" t="s">
        <v>63</v>
      </c>
      <c r="Q1341" s="23" t="s">
        <v>63</v>
      </c>
      <c r="R1341" s="23" t="s">
        <v>63</v>
      </c>
      <c r="S1341" s="23" t="s">
        <v>63</v>
      </c>
      <c r="T1341" s="32" t="s">
        <v>63</v>
      </c>
      <c r="U1341" s="123" t="s">
        <v>63</v>
      </c>
      <c r="V1341" s="23" t="s">
        <v>63</v>
      </c>
      <c r="W1341" s="127" t="s">
        <v>63</v>
      </c>
      <c r="X1341" s="125" t="s">
        <v>63</v>
      </c>
      <c r="Y1341" s="35">
        <v>23.0</v>
      </c>
      <c r="Z1341" s="32" t="s">
        <v>63</v>
      </c>
      <c r="AA1341" s="38"/>
      <c r="AB1341" s="38"/>
      <c r="AC1341" s="38"/>
      <c r="AD1341" s="38"/>
      <c r="AE1341" s="38"/>
      <c r="AF1341" s="38"/>
      <c r="AG1341" s="38"/>
      <c r="AH1341" s="38"/>
      <c r="AI1341" s="38"/>
      <c r="AJ1341" s="38"/>
      <c r="AK1341" s="38"/>
    </row>
    <row r="1342">
      <c r="A1342" s="99">
        <v>1341.0</v>
      </c>
      <c r="B1342" s="15"/>
      <c r="C1342" s="15"/>
      <c r="D1342" s="105">
        <v>1.0</v>
      </c>
      <c r="E1342" s="102">
        <v>27.0</v>
      </c>
      <c r="F1342" s="107">
        <v>3.0</v>
      </c>
      <c r="G1342" s="15" t="str">
        <f t="shared" si="1"/>
        <v>27003</v>
      </c>
      <c r="H1342" s="23" t="s">
        <v>1298</v>
      </c>
      <c r="I1342" s="23" t="s">
        <v>65</v>
      </c>
      <c r="J1342" s="23" t="s">
        <v>351</v>
      </c>
      <c r="K1342" s="23" t="str">
        <f t="shared" si="24"/>
        <v>Anoka, MN</v>
      </c>
      <c r="L1342" s="23">
        <v>435.0</v>
      </c>
      <c r="M1342" s="23" t="s">
        <v>63</v>
      </c>
      <c r="N1342" s="23" t="s">
        <v>63</v>
      </c>
      <c r="O1342" s="23" t="s">
        <v>63</v>
      </c>
      <c r="P1342" s="23" t="s">
        <v>63</v>
      </c>
      <c r="Q1342" s="23" t="s">
        <v>63</v>
      </c>
      <c r="R1342" s="23" t="s">
        <v>63</v>
      </c>
      <c r="S1342" s="23" t="s">
        <v>63</v>
      </c>
      <c r="T1342" s="32" t="s">
        <v>63</v>
      </c>
      <c r="U1342" s="123" t="s">
        <v>63</v>
      </c>
      <c r="V1342" s="23" t="s">
        <v>63</v>
      </c>
      <c r="W1342" s="127" t="s">
        <v>63</v>
      </c>
      <c r="X1342" s="125" t="s">
        <v>63</v>
      </c>
      <c r="Y1342" s="35">
        <v>127.0</v>
      </c>
      <c r="Z1342" s="32" t="s">
        <v>63</v>
      </c>
      <c r="AA1342" s="38"/>
      <c r="AB1342" s="38"/>
      <c r="AC1342" s="38"/>
      <c r="AD1342" s="38"/>
      <c r="AE1342" s="38"/>
      <c r="AF1342" s="38"/>
      <c r="AG1342" s="38"/>
      <c r="AH1342" s="38"/>
      <c r="AI1342" s="38"/>
      <c r="AJ1342" s="38"/>
      <c r="AK1342" s="38"/>
    </row>
    <row r="1343">
      <c r="A1343" s="99">
        <v>1342.0</v>
      </c>
      <c r="B1343" s="15"/>
      <c r="C1343" s="15"/>
      <c r="D1343" s="105">
        <v>1.0</v>
      </c>
      <c r="E1343" s="102">
        <v>27.0</v>
      </c>
      <c r="F1343" s="107">
        <v>5.0</v>
      </c>
      <c r="G1343" s="15" t="str">
        <f t="shared" si="1"/>
        <v>27005</v>
      </c>
      <c r="H1343" s="23" t="s">
        <v>1299</v>
      </c>
      <c r="I1343" s="23" t="s">
        <v>65</v>
      </c>
      <c r="J1343" s="23" t="s">
        <v>351</v>
      </c>
      <c r="K1343" s="23" t="str">
        <f t="shared" si="24"/>
        <v>Becker, MN</v>
      </c>
      <c r="L1343" s="23">
        <v>176.0</v>
      </c>
      <c r="M1343" s="23" t="s">
        <v>63</v>
      </c>
      <c r="N1343" s="23" t="s">
        <v>63</v>
      </c>
      <c r="O1343" s="23" t="s">
        <v>63</v>
      </c>
      <c r="P1343" s="23" t="s">
        <v>63</v>
      </c>
      <c r="Q1343" s="23" t="s">
        <v>63</v>
      </c>
      <c r="R1343" s="23" t="s">
        <v>63</v>
      </c>
      <c r="S1343" s="23" t="s">
        <v>63</v>
      </c>
      <c r="T1343" s="32" t="s">
        <v>63</v>
      </c>
      <c r="U1343" s="123" t="s">
        <v>63</v>
      </c>
      <c r="V1343" s="23" t="s">
        <v>63</v>
      </c>
      <c r="W1343" s="127" t="s">
        <v>63</v>
      </c>
      <c r="X1343" s="125" t="s">
        <v>63</v>
      </c>
      <c r="Y1343" s="35">
        <v>51.0</v>
      </c>
      <c r="Z1343" s="32" t="s">
        <v>63</v>
      </c>
      <c r="AA1343" s="38"/>
      <c r="AB1343" s="38"/>
      <c r="AC1343" s="38"/>
      <c r="AD1343" s="38"/>
      <c r="AE1343" s="38"/>
      <c r="AF1343" s="38"/>
      <c r="AG1343" s="38"/>
      <c r="AH1343" s="38"/>
      <c r="AI1343" s="38"/>
      <c r="AJ1343" s="38"/>
      <c r="AK1343" s="38"/>
    </row>
    <row r="1344">
      <c r="A1344" s="99">
        <v>1343.0</v>
      </c>
      <c r="B1344" s="15"/>
      <c r="C1344" s="15"/>
      <c r="D1344" s="105">
        <v>1.0</v>
      </c>
      <c r="E1344" s="102">
        <v>27.0</v>
      </c>
      <c r="F1344" s="107">
        <v>7.0</v>
      </c>
      <c r="G1344" s="15" t="str">
        <f t="shared" si="1"/>
        <v>27007</v>
      </c>
      <c r="H1344" s="23" t="s">
        <v>1300</v>
      </c>
      <c r="I1344" s="23" t="s">
        <v>65</v>
      </c>
      <c r="J1344" s="23" t="s">
        <v>351</v>
      </c>
      <c r="K1344" s="23" t="str">
        <f t="shared" si="24"/>
        <v>Beltrami, MN</v>
      </c>
      <c r="L1344" s="23">
        <v>775.0</v>
      </c>
      <c r="M1344" s="23" t="s">
        <v>63</v>
      </c>
      <c r="N1344" s="23" t="s">
        <v>63</v>
      </c>
      <c r="O1344" s="23" t="s">
        <v>63</v>
      </c>
      <c r="P1344" s="23" t="s">
        <v>63</v>
      </c>
      <c r="Q1344" s="23" t="s">
        <v>63</v>
      </c>
      <c r="R1344" s="23" t="s">
        <v>63</v>
      </c>
      <c r="S1344" s="23" t="s">
        <v>63</v>
      </c>
      <c r="T1344" s="32" t="s">
        <v>63</v>
      </c>
      <c r="U1344" s="123" t="s">
        <v>63</v>
      </c>
      <c r="V1344" s="23" t="s">
        <v>63</v>
      </c>
      <c r="W1344" s="127" t="s">
        <v>63</v>
      </c>
      <c r="X1344" s="125" t="s">
        <v>63</v>
      </c>
      <c r="Y1344" s="35">
        <v>45.0</v>
      </c>
      <c r="Z1344" s="32" t="s">
        <v>63</v>
      </c>
      <c r="AA1344" s="38"/>
      <c r="AB1344" s="38"/>
      <c r="AC1344" s="38"/>
      <c r="AD1344" s="38"/>
      <c r="AE1344" s="38"/>
      <c r="AF1344" s="38"/>
      <c r="AG1344" s="38"/>
      <c r="AH1344" s="38"/>
      <c r="AI1344" s="38"/>
      <c r="AJ1344" s="38"/>
      <c r="AK1344" s="38"/>
    </row>
    <row r="1345">
      <c r="A1345" s="99">
        <v>1344.0</v>
      </c>
      <c r="B1345" s="15"/>
      <c r="C1345" s="15"/>
      <c r="D1345" s="105">
        <v>1.0</v>
      </c>
      <c r="E1345" s="102">
        <v>27.0</v>
      </c>
      <c r="F1345" s="107">
        <v>9.0</v>
      </c>
      <c r="G1345" s="15" t="str">
        <f t="shared" si="1"/>
        <v>27009</v>
      </c>
      <c r="H1345" s="23" t="s">
        <v>243</v>
      </c>
      <c r="I1345" s="23" t="s">
        <v>65</v>
      </c>
      <c r="J1345" s="23" t="s">
        <v>351</v>
      </c>
      <c r="K1345" s="23" t="str">
        <f t="shared" si="24"/>
        <v>Benton, MN</v>
      </c>
      <c r="L1345" s="23">
        <v>103.0</v>
      </c>
      <c r="M1345" s="23" t="s">
        <v>63</v>
      </c>
      <c r="N1345" s="23" t="s">
        <v>63</v>
      </c>
      <c r="O1345" s="23" t="s">
        <v>63</v>
      </c>
      <c r="P1345" s="23" t="s">
        <v>63</v>
      </c>
      <c r="Q1345" s="23" t="s">
        <v>63</v>
      </c>
      <c r="R1345" s="23" t="s">
        <v>63</v>
      </c>
      <c r="S1345" s="23" t="s">
        <v>63</v>
      </c>
      <c r="T1345" s="32" t="s">
        <v>63</v>
      </c>
      <c r="U1345" s="123" t="s">
        <v>63</v>
      </c>
      <c r="V1345" s="23" t="s">
        <v>63</v>
      </c>
      <c r="W1345" s="127" t="s">
        <v>63</v>
      </c>
      <c r="X1345" s="125" t="s">
        <v>63</v>
      </c>
      <c r="Y1345" s="35">
        <v>29.0</v>
      </c>
      <c r="Z1345" s="32" t="s">
        <v>63</v>
      </c>
      <c r="AA1345" s="38"/>
      <c r="AB1345" s="38"/>
      <c r="AC1345" s="38"/>
      <c r="AD1345" s="38"/>
      <c r="AE1345" s="38"/>
      <c r="AF1345" s="38"/>
      <c r="AG1345" s="38"/>
      <c r="AH1345" s="38"/>
      <c r="AI1345" s="38"/>
      <c r="AJ1345" s="38"/>
      <c r="AK1345" s="38"/>
    </row>
    <row r="1346">
      <c r="A1346" s="99">
        <v>1345.0</v>
      </c>
      <c r="B1346" s="15"/>
      <c r="C1346" s="15"/>
      <c r="D1346" s="105">
        <v>1.0</v>
      </c>
      <c r="E1346" s="102">
        <v>27.0</v>
      </c>
      <c r="F1346" s="107">
        <v>11.0</v>
      </c>
      <c r="G1346" s="15" t="str">
        <f t="shared" si="1"/>
        <v>27011</v>
      </c>
      <c r="H1346" s="23" t="s">
        <v>1301</v>
      </c>
      <c r="I1346" s="23" t="s">
        <v>65</v>
      </c>
      <c r="J1346" s="23" t="s">
        <v>351</v>
      </c>
      <c r="K1346" s="23" t="str">
        <f t="shared" si="24"/>
        <v>Big Stone, MN</v>
      </c>
      <c r="L1346" s="23">
        <v>13.0</v>
      </c>
      <c r="M1346" s="23" t="s">
        <v>63</v>
      </c>
      <c r="N1346" s="23" t="s">
        <v>63</v>
      </c>
      <c r="O1346" s="23" t="s">
        <v>63</v>
      </c>
      <c r="P1346" s="23" t="s">
        <v>63</v>
      </c>
      <c r="Q1346" s="23" t="s">
        <v>63</v>
      </c>
      <c r="R1346" s="23" t="s">
        <v>63</v>
      </c>
      <c r="S1346" s="23" t="s">
        <v>63</v>
      </c>
      <c r="T1346" s="32" t="s">
        <v>63</v>
      </c>
      <c r="U1346" s="123" t="s">
        <v>63</v>
      </c>
      <c r="V1346" s="23" t="s">
        <v>63</v>
      </c>
      <c r="W1346" s="127" t="s">
        <v>63</v>
      </c>
      <c r="X1346" s="125" t="s">
        <v>63</v>
      </c>
      <c r="Y1346" s="35">
        <v>11.0</v>
      </c>
      <c r="Z1346" s="32" t="s">
        <v>63</v>
      </c>
      <c r="AA1346" s="38"/>
      <c r="AB1346" s="38"/>
      <c r="AC1346" s="38"/>
      <c r="AD1346" s="38"/>
      <c r="AE1346" s="38"/>
      <c r="AF1346" s="38"/>
      <c r="AG1346" s="38"/>
      <c r="AH1346" s="38"/>
      <c r="AI1346" s="38"/>
      <c r="AJ1346" s="38"/>
      <c r="AK1346" s="38"/>
    </row>
    <row r="1347">
      <c r="A1347" s="99">
        <v>1346.0</v>
      </c>
      <c r="B1347" s="15"/>
      <c r="C1347" s="15"/>
      <c r="D1347" s="105">
        <v>1.0</v>
      </c>
      <c r="E1347" s="102">
        <v>27.0</v>
      </c>
      <c r="F1347" s="107">
        <v>13.0</v>
      </c>
      <c r="G1347" s="15" t="str">
        <f t="shared" si="1"/>
        <v>27013</v>
      </c>
      <c r="H1347" s="23" t="s">
        <v>1302</v>
      </c>
      <c r="I1347" s="23" t="s">
        <v>65</v>
      </c>
      <c r="J1347" s="23" t="s">
        <v>351</v>
      </c>
      <c r="K1347" s="23" t="str">
        <f t="shared" si="24"/>
        <v>Blue Earth, MN</v>
      </c>
      <c r="L1347" s="23">
        <v>163.0</v>
      </c>
      <c r="M1347" s="23" t="s">
        <v>63</v>
      </c>
      <c r="N1347" s="23" t="s">
        <v>63</v>
      </c>
      <c r="O1347" s="23" t="s">
        <v>63</v>
      </c>
      <c r="P1347" s="23" t="s">
        <v>63</v>
      </c>
      <c r="Q1347" s="23" t="s">
        <v>63</v>
      </c>
      <c r="R1347" s="23" t="s">
        <v>63</v>
      </c>
      <c r="S1347" s="23" t="s">
        <v>63</v>
      </c>
      <c r="T1347" s="32" t="s">
        <v>63</v>
      </c>
      <c r="U1347" s="123" t="s">
        <v>63</v>
      </c>
      <c r="V1347" s="23" t="s">
        <v>63</v>
      </c>
      <c r="W1347" s="127" t="s">
        <v>63</v>
      </c>
      <c r="X1347" s="125" t="s">
        <v>63</v>
      </c>
      <c r="Y1347" s="35">
        <v>66.0</v>
      </c>
      <c r="Z1347" s="32" t="s">
        <v>63</v>
      </c>
      <c r="AA1347" s="38"/>
      <c r="AB1347" s="38"/>
      <c r="AC1347" s="38"/>
      <c r="AD1347" s="38"/>
      <c r="AE1347" s="38"/>
      <c r="AF1347" s="38"/>
      <c r="AG1347" s="38"/>
      <c r="AH1347" s="38"/>
      <c r="AI1347" s="38"/>
      <c r="AJ1347" s="38"/>
      <c r="AK1347" s="38"/>
    </row>
    <row r="1348">
      <c r="A1348" s="99">
        <v>1347.0</v>
      </c>
      <c r="B1348" s="15"/>
      <c r="C1348" s="15"/>
      <c r="D1348" s="105">
        <v>1.0</v>
      </c>
      <c r="E1348" s="102">
        <v>27.0</v>
      </c>
      <c r="F1348" s="107">
        <v>15.0</v>
      </c>
      <c r="G1348" s="15" t="str">
        <f t="shared" si="1"/>
        <v>27015</v>
      </c>
      <c r="H1348" s="23" t="s">
        <v>706</v>
      </c>
      <c r="I1348" s="23" t="s">
        <v>65</v>
      </c>
      <c r="J1348" s="23" t="s">
        <v>351</v>
      </c>
      <c r="K1348" s="23" t="str">
        <f t="shared" si="24"/>
        <v>Brown, MN</v>
      </c>
      <c r="L1348" s="23">
        <v>67.0</v>
      </c>
      <c r="M1348" s="23" t="s">
        <v>63</v>
      </c>
      <c r="N1348" s="23" t="s">
        <v>63</v>
      </c>
      <c r="O1348" s="23" t="s">
        <v>63</v>
      </c>
      <c r="P1348" s="23" t="s">
        <v>63</v>
      </c>
      <c r="Q1348" s="23" t="s">
        <v>63</v>
      </c>
      <c r="R1348" s="23" t="s">
        <v>63</v>
      </c>
      <c r="S1348" s="23" t="s">
        <v>63</v>
      </c>
      <c r="T1348" s="32" t="s">
        <v>63</v>
      </c>
      <c r="U1348" s="123" t="s">
        <v>63</v>
      </c>
      <c r="V1348" s="23" t="s">
        <v>63</v>
      </c>
      <c r="W1348" s="127" t="s">
        <v>63</v>
      </c>
      <c r="X1348" s="125" t="s">
        <v>63</v>
      </c>
      <c r="Y1348" s="35">
        <v>38.0</v>
      </c>
      <c r="Z1348" s="32" t="s">
        <v>63</v>
      </c>
      <c r="AA1348" s="38"/>
      <c r="AB1348" s="38"/>
      <c r="AC1348" s="38"/>
      <c r="AD1348" s="38"/>
      <c r="AE1348" s="38"/>
      <c r="AF1348" s="38"/>
      <c r="AG1348" s="38"/>
      <c r="AH1348" s="38"/>
      <c r="AI1348" s="38"/>
      <c r="AJ1348" s="38"/>
      <c r="AK1348" s="38"/>
    </row>
    <row r="1349">
      <c r="A1349" s="99">
        <v>1348.0</v>
      </c>
      <c r="B1349" s="15"/>
      <c r="C1349" s="15"/>
      <c r="D1349" s="105">
        <v>1.0</v>
      </c>
      <c r="E1349" s="102">
        <v>27.0</v>
      </c>
      <c r="F1349" s="107">
        <v>17.0</v>
      </c>
      <c r="G1349" s="15" t="str">
        <f t="shared" si="1"/>
        <v>27017</v>
      </c>
      <c r="H1349" s="23" t="s">
        <v>1303</v>
      </c>
      <c r="I1349" s="23" t="s">
        <v>65</v>
      </c>
      <c r="J1349" s="23" t="s">
        <v>351</v>
      </c>
      <c r="K1349" s="23" t="str">
        <f t="shared" si="24"/>
        <v>Carlton, MN</v>
      </c>
      <c r="L1349" s="23">
        <v>120.0</v>
      </c>
      <c r="M1349" s="23" t="s">
        <v>63</v>
      </c>
      <c r="N1349" s="23" t="s">
        <v>63</v>
      </c>
      <c r="O1349" s="23" t="s">
        <v>63</v>
      </c>
      <c r="P1349" s="23" t="s">
        <v>63</v>
      </c>
      <c r="Q1349" s="23" t="s">
        <v>63</v>
      </c>
      <c r="R1349" s="23" t="s">
        <v>63</v>
      </c>
      <c r="S1349" s="23" t="s">
        <v>63</v>
      </c>
      <c r="T1349" s="32" t="s">
        <v>63</v>
      </c>
      <c r="U1349" s="123" t="s">
        <v>63</v>
      </c>
      <c r="V1349" s="23" t="s">
        <v>63</v>
      </c>
      <c r="W1349" s="127" t="s">
        <v>63</v>
      </c>
      <c r="X1349" s="125" t="s">
        <v>63</v>
      </c>
      <c r="Y1349" s="35">
        <v>39.0</v>
      </c>
      <c r="Z1349" s="32" t="s">
        <v>63</v>
      </c>
      <c r="AA1349" s="38"/>
      <c r="AB1349" s="38"/>
      <c r="AC1349" s="38"/>
      <c r="AD1349" s="38"/>
      <c r="AE1349" s="38"/>
      <c r="AF1349" s="38"/>
      <c r="AG1349" s="38"/>
      <c r="AH1349" s="38"/>
      <c r="AI1349" s="38"/>
      <c r="AJ1349" s="38"/>
      <c r="AK1349" s="38"/>
    </row>
    <row r="1350">
      <c r="A1350" s="99">
        <v>1349.0</v>
      </c>
      <c r="B1350" s="15"/>
      <c r="C1350" s="15"/>
      <c r="D1350" s="105">
        <v>1.0</v>
      </c>
      <c r="E1350" s="102">
        <v>27.0</v>
      </c>
      <c r="F1350" s="107">
        <v>19.0</v>
      </c>
      <c r="G1350" s="15" t="str">
        <f t="shared" si="1"/>
        <v>27019</v>
      </c>
      <c r="H1350" s="23" t="s">
        <v>1304</v>
      </c>
      <c r="I1350" s="23" t="s">
        <v>65</v>
      </c>
      <c r="J1350" s="23" t="s">
        <v>351</v>
      </c>
      <c r="K1350" s="23" t="str">
        <f t="shared" si="24"/>
        <v>Carver, MN</v>
      </c>
      <c r="L1350" s="23">
        <v>157.0</v>
      </c>
      <c r="M1350" s="23" t="s">
        <v>63</v>
      </c>
      <c r="N1350" s="23" t="s">
        <v>63</v>
      </c>
      <c r="O1350" s="23" t="s">
        <v>63</v>
      </c>
      <c r="P1350" s="23" t="s">
        <v>63</v>
      </c>
      <c r="Q1350" s="23" t="s">
        <v>63</v>
      </c>
      <c r="R1350" s="23" t="s">
        <v>63</v>
      </c>
      <c r="S1350" s="23" t="s">
        <v>63</v>
      </c>
      <c r="T1350" s="32" t="s">
        <v>63</v>
      </c>
      <c r="U1350" s="123" t="s">
        <v>63</v>
      </c>
      <c r="V1350" s="23" t="s">
        <v>63</v>
      </c>
      <c r="W1350" s="127" t="s">
        <v>63</v>
      </c>
      <c r="X1350" s="125" t="s">
        <v>63</v>
      </c>
      <c r="Y1350" s="35">
        <v>55.0</v>
      </c>
      <c r="Z1350" s="32" t="s">
        <v>63</v>
      </c>
      <c r="AA1350" s="38"/>
      <c r="AB1350" s="38"/>
      <c r="AC1350" s="38"/>
      <c r="AD1350" s="38"/>
      <c r="AE1350" s="38"/>
      <c r="AF1350" s="38"/>
      <c r="AG1350" s="38"/>
      <c r="AH1350" s="38"/>
      <c r="AI1350" s="38"/>
      <c r="AJ1350" s="38"/>
      <c r="AK1350" s="38"/>
    </row>
    <row r="1351">
      <c r="A1351" s="99">
        <v>1350.0</v>
      </c>
      <c r="B1351" s="15"/>
      <c r="C1351" s="15"/>
      <c r="D1351" s="105">
        <v>1.0</v>
      </c>
      <c r="E1351" s="102">
        <v>27.0</v>
      </c>
      <c r="F1351" s="107">
        <v>21.0</v>
      </c>
      <c r="G1351" s="15" t="str">
        <f t="shared" si="1"/>
        <v>27021</v>
      </c>
      <c r="H1351" s="23" t="s">
        <v>708</v>
      </c>
      <c r="I1351" s="23" t="s">
        <v>65</v>
      </c>
      <c r="J1351" s="23" t="s">
        <v>351</v>
      </c>
      <c r="K1351" s="23" t="str">
        <f t="shared" si="24"/>
        <v>Cass, MN</v>
      </c>
      <c r="L1351" s="23">
        <v>120.0</v>
      </c>
      <c r="M1351" s="23" t="s">
        <v>63</v>
      </c>
      <c r="N1351" s="23" t="s">
        <v>63</v>
      </c>
      <c r="O1351" s="23" t="s">
        <v>63</v>
      </c>
      <c r="P1351" s="23" t="s">
        <v>63</v>
      </c>
      <c r="Q1351" s="23" t="s">
        <v>63</v>
      </c>
      <c r="R1351" s="23" t="s">
        <v>63</v>
      </c>
      <c r="S1351" s="23" t="s">
        <v>63</v>
      </c>
      <c r="T1351" s="32" t="s">
        <v>63</v>
      </c>
      <c r="U1351" s="123" t="s">
        <v>63</v>
      </c>
      <c r="V1351" s="23" t="s">
        <v>63</v>
      </c>
      <c r="W1351" s="127" t="s">
        <v>63</v>
      </c>
      <c r="X1351" s="125" t="s">
        <v>63</v>
      </c>
      <c r="Y1351" s="35">
        <v>50.0</v>
      </c>
      <c r="Z1351" s="32" t="s">
        <v>63</v>
      </c>
      <c r="AA1351" s="38"/>
      <c r="AB1351" s="38"/>
      <c r="AC1351" s="38"/>
      <c r="AD1351" s="38"/>
      <c r="AE1351" s="38"/>
      <c r="AF1351" s="38"/>
      <c r="AG1351" s="38"/>
      <c r="AH1351" s="38"/>
      <c r="AI1351" s="38"/>
      <c r="AJ1351" s="38"/>
      <c r="AK1351" s="38"/>
    </row>
    <row r="1352">
      <c r="A1352" s="99">
        <v>1351.0</v>
      </c>
      <c r="B1352" s="15"/>
      <c r="C1352" s="15"/>
      <c r="D1352" s="105">
        <v>1.0</v>
      </c>
      <c r="E1352" s="102">
        <v>27.0</v>
      </c>
      <c r="F1352" s="107">
        <v>23.0</v>
      </c>
      <c r="G1352" s="15" t="str">
        <f t="shared" si="1"/>
        <v>27023</v>
      </c>
      <c r="H1352" s="23" t="s">
        <v>1245</v>
      </c>
      <c r="I1352" s="23" t="s">
        <v>65</v>
      </c>
      <c r="J1352" s="23" t="s">
        <v>351</v>
      </c>
      <c r="K1352" s="23" t="str">
        <f t="shared" si="24"/>
        <v>Chippewa, MN</v>
      </c>
      <c r="L1352" s="23">
        <v>47.0</v>
      </c>
      <c r="M1352" s="23" t="s">
        <v>63</v>
      </c>
      <c r="N1352" s="23" t="s">
        <v>63</v>
      </c>
      <c r="O1352" s="23" t="s">
        <v>63</v>
      </c>
      <c r="P1352" s="23" t="s">
        <v>63</v>
      </c>
      <c r="Q1352" s="23" t="s">
        <v>63</v>
      </c>
      <c r="R1352" s="23" t="s">
        <v>63</v>
      </c>
      <c r="S1352" s="23" t="s">
        <v>63</v>
      </c>
      <c r="T1352" s="32" t="s">
        <v>63</v>
      </c>
      <c r="U1352" s="123" t="s">
        <v>63</v>
      </c>
      <c r="V1352" s="23" t="s">
        <v>63</v>
      </c>
      <c r="W1352" s="127" t="s">
        <v>63</v>
      </c>
      <c r="X1352" s="125" t="s">
        <v>63</v>
      </c>
      <c r="Y1352" s="35">
        <v>28.0</v>
      </c>
      <c r="Z1352" s="32" t="s">
        <v>63</v>
      </c>
      <c r="AA1352" s="38"/>
      <c r="AB1352" s="38"/>
      <c r="AC1352" s="38"/>
      <c r="AD1352" s="38"/>
      <c r="AE1352" s="38"/>
      <c r="AF1352" s="38"/>
      <c r="AG1352" s="38"/>
      <c r="AH1352" s="38"/>
      <c r="AI1352" s="38"/>
      <c r="AJ1352" s="38"/>
      <c r="AK1352" s="38"/>
    </row>
    <row r="1353">
      <c r="A1353" s="99">
        <v>1352.0</v>
      </c>
      <c r="B1353" s="15"/>
      <c r="C1353" s="15"/>
      <c r="D1353" s="105">
        <v>1.0</v>
      </c>
      <c r="E1353" s="102">
        <v>27.0</v>
      </c>
      <c r="F1353" s="107">
        <v>25.0</v>
      </c>
      <c r="G1353" s="15" t="str">
        <f t="shared" si="1"/>
        <v>27025</v>
      </c>
      <c r="H1353" s="23" t="s">
        <v>1305</v>
      </c>
      <c r="I1353" s="23" t="s">
        <v>65</v>
      </c>
      <c r="J1353" s="23" t="s">
        <v>351</v>
      </c>
      <c r="K1353" s="23" t="str">
        <f t="shared" si="24"/>
        <v>Chisago, MN</v>
      </c>
      <c r="L1353" s="23">
        <v>103.0</v>
      </c>
      <c r="M1353" s="23" t="s">
        <v>63</v>
      </c>
      <c r="N1353" s="23" t="s">
        <v>63</v>
      </c>
      <c r="O1353" s="23" t="s">
        <v>63</v>
      </c>
      <c r="P1353" s="23" t="s">
        <v>63</v>
      </c>
      <c r="Q1353" s="23" t="s">
        <v>63</v>
      </c>
      <c r="R1353" s="23" t="s">
        <v>63</v>
      </c>
      <c r="S1353" s="23" t="s">
        <v>63</v>
      </c>
      <c r="T1353" s="32" t="s">
        <v>63</v>
      </c>
      <c r="U1353" s="123" t="s">
        <v>63</v>
      </c>
      <c r="V1353" s="23" t="s">
        <v>63</v>
      </c>
      <c r="W1353" s="127" t="s">
        <v>63</v>
      </c>
      <c r="X1353" s="125" t="s">
        <v>63</v>
      </c>
      <c r="Y1353" s="35">
        <v>44.0</v>
      </c>
      <c r="Z1353" s="32" t="s">
        <v>63</v>
      </c>
      <c r="AA1353" s="38"/>
      <c r="AB1353" s="38"/>
      <c r="AC1353" s="38"/>
      <c r="AD1353" s="38"/>
      <c r="AE1353" s="38"/>
      <c r="AF1353" s="38"/>
      <c r="AG1353" s="38"/>
      <c r="AH1353" s="38"/>
      <c r="AI1353" s="38"/>
      <c r="AJ1353" s="38"/>
      <c r="AK1353" s="38"/>
    </row>
    <row r="1354">
      <c r="A1354" s="99">
        <v>1353.0</v>
      </c>
      <c r="B1354" s="15"/>
      <c r="C1354" s="15"/>
      <c r="D1354" s="105">
        <v>1.0</v>
      </c>
      <c r="E1354" s="102">
        <v>27.0</v>
      </c>
      <c r="F1354" s="107">
        <v>27.0</v>
      </c>
      <c r="G1354" s="15" t="str">
        <f t="shared" si="1"/>
        <v>27027</v>
      </c>
      <c r="H1354" s="23" t="s">
        <v>112</v>
      </c>
      <c r="I1354" s="23" t="s">
        <v>65</v>
      </c>
      <c r="J1354" s="23" t="s">
        <v>351</v>
      </c>
      <c r="K1354" s="23" t="str">
        <f t="shared" si="24"/>
        <v>Clay, MN</v>
      </c>
      <c r="L1354" s="23">
        <v>228.0</v>
      </c>
      <c r="M1354" s="23" t="s">
        <v>63</v>
      </c>
      <c r="N1354" s="23" t="s">
        <v>63</v>
      </c>
      <c r="O1354" s="23" t="s">
        <v>63</v>
      </c>
      <c r="P1354" s="23" t="s">
        <v>63</v>
      </c>
      <c r="Q1354" s="23" t="s">
        <v>63</v>
      </c>
      <c r="R1354" s="23" t="s">
        <v>63</v>
      </c>
      <c r="S1354" s="23" t="s">
        <v>63</v>
      </c>
      <c r="T1354" s="32" t="s">
        <v>63</v>
      </c>
      <c r="U1354" s="123" t="s">
        <v>63</v>
      </c>
      <c r="V1354" s="23" t="s">
        <v>63</v>
      </c>
      <c r="W1354" s="127" t="s">
        <v>63</v>
      </c>
      <c r="X1354" s="125" t="s">
        <v>63</v>
      </c>
      <c r="Y1354" s="35">
        <v>55.0</v>
      </c>
      <c r="Z1354" s="32" t="s">
        <v>63</v>
      </c>
      <c r="AA1354" s="38"/>
      <c r="AB1354" s="38"/>
      <c r="AC1354" s="38"/>
      <c r="AD1354" s="38"/>
      <c r="AE1354" s="38"/>
      <c r="AF1354" s="38"/>
      <c r="AG1354" s="38"/>
      <c r="AH1354" s="38"/>
      <c r="AI1354" s="38"/>
      <c r="AJ1354" s="38"/>
      <c r="AK1354" s="38"/>
    </row>
    <row r="1355">
      <c r="A1355" s="99">
        <v>1354.0</v>
      </c>
      <c r="B1355" s="15"/>
      <c r="C1355" s="15"/>
      <c r="D1355" s="105">
        <v>1.0</v>
      </c>
      <c r="E1355" s="102">
        <v>27.0</v>
      </c>
      <c r="F1355" s="107">
        <v>29.0</v>
      </c>
      <c r="G1355" s="15" t="str">
        <f t="shared" si="1"/>
        <v>27029</v>
      </c>
      <c r="H1355" s="23" t="s">
        <v>675</v>
      </c>
      <c r="I1355" s="23" t="s">
        <v>65</v>
      </c>
      <c r="J1355" s="23" t="s">
        <v>351</v>
      </c>
      <c r="K1355" s="23" t="str">
        <f t="shared" si="24"/>
        <v>Clearwater, MN</v>
      </c>
      <c r="L1355" s="23">
        <v>47.0</v>
      </c>
      <c r="M1355" s="23" t="s">
        <v>63</v>
      </c>
      <c r="N1355" s="23" t="s">
        <v>63</v>
      </c>
      <c r="O1355" s="23" t="s">
        <v>63</v>
      </c>
      <c r="P1355" s="23" t="s">
        <v>63</v>
      </c>
      <c r="Q1355" s="23" t="s">
        <v>63</v>
      </c>
      <c r="R1355" s="23" t="s">
        <v>63</v>
      </c>
      <c r="S1355" s="23" t="s">
        <v>63</v>
      </c>
      <c r="T1355" s="32" t="s">
        <v>63</v>
      </c>
      <c r="U1355" s="123" t="s">
        <v>63</v>
      </c>
      <c r="V1355" s="23" t="s">
        <v>63</v>
      </c>
      <c r="W1355" s="127" t="s">
        <v>63</v>
      </c>
      <c r="X1355" s="125" t="s">
        <v>63</v>
      </c>
      <c r="Y1355" s="35">
        <v>27.0</v>
      </c>
      <c r="Z1355" s="32" t="s">
        <v>63</v>
      </c>
      <c r="AA1355" s="38"/>
      <c r="AB1355" s="38"/>
      <c r="AC1355" s="38"/>
      <c r="AD1355" s="38"/>
      <c r="AE1355" s="38"/>
      <c r="AF1355" s="38"/>
      <c r="AG1355" s="38"/>
      <c r="AH1355" s="38"/>
      <c r="AI1355" s="38"/>
      <c r="AJ1355" s="38"/>
      <c r="AK1355" s="38"/>
    </row>
    <row r="1356">
      <c r="A1356" s="99">
        <v>1355.0</v>
      </c>
      <c r="B1356" s="15"/>
      <c r="C1356" s="15"/>
      <c r="D1356" s="105">
        <v>1.0</v>
      </c>
      <c r="E1356" s="102">
        <v>27.0</v>
      </c>
      <c r="F1356" s="107">
        <v>31.0</v>
      </c>
      <c r="G1356" s="15" t="str">
        <f t="shared" si="1"/>
        <v>27031</v>
      </c>
      <c r="H1356" s="23" t="s">
        <v>202</v>
      </c>
      <c r="I1356" s="23" t="s">
        <v>65</v>
      </c>
      <c r="J1356" s="23" t="s">
        <v>351</v>
      </c>
      <c r="K1356" s="23" t="str">
        <f t="shared" si="24"/>
        <v>Cook, MN</v>
      </c>
      <c r="L1356" s="23">
        <v>8.0</v>
      </c>
      <c r="M1356" s="23" t="s">
        <v>63</v>
      </c>
      <c r="N1356" s="23" t="s">
        <v>63</v>
      </c>
      <c r="O1356" s="23" t="s">
        <v>63</v>
      </c>
      <c r="P1356" s="23" t="s">
        <v>63</v>
      </c>
      <c r="Q1356" s="23" t="s">
        <v>63</v>
      </c>
      <c r="R1356" s="23" t="s">
        <v>63</v>
      </c>
      <c r="S1356" s="23" t="s">
        <v>63</v>
      </c>
      <c r="T1356" s="32" t="s">
        <v>63</v>
      </c>
      <c r="U1356" s="123" t="s">
        <v>63</v>
      </c>
      <c r="V1356" s="23" t="s">
        <v>63</v>
      </c>
      <c r="W1356" s="127" t="s">
        <v>63</v>
      </c>
      <c r="X1356" s="125" t="s">
        <v>63</v>
      </c>
      <c r="Y1356" s="35">
        <v>9.0</v>
      </c>
      <c r="Z1356" s="32" t="s">
        <v>63</v>
      </c>
      <c r="AA1356" s="38"/>
      <c r="AB1356" s="38"/>
      <c r="AC1356" s="38"/>
      <c r="AD1356" s="38"/>
      <c r="AE1356" s="38"/>
      <c r="AF1356" s="38"/>
      <c r="AG1356" s="38"/>
      <c r="AH1356" s="38"/>
      <c r="AI1356" s="38"/>
      <c r="AJ1356" s="38"/>
      <c r="AK1356" s="38"/>
    </row>
    <row r="1357">
      <c r="A1357" s="99">
        <v>1356.0</v>
      </c>
      <c r="B1357" s="15"/>
      <c r="C1357" s="15"/>
      <c r="D1357" s="105">
        <v>1.0</v>
      </c>
      <c r="E1357" s="102">
        <v>27.0</v>
      </c>
      <c r="F1357" s="107">
        <v>33.0</v>
      </c>
      <c r="G1357" s="15" t="str">
        <f t="shared" si="1"/>
        <v>27033</v>
      </c>
      <c r="H1357" s="23" t="s">
        <v>1306</v>
      </c>
      <c r="I1357" s="23" t="s">
        <v>65</v>
      </c>
      <c r="J1357" s="23" t="s">
        <v>351</v>
      </c>
      <c r="K1357" s="112" t="str">
        <f t="shared" si="24"/>
        <v>Cottonwood, MN</v>
      </c>
      <c r="L1357" s="23" t="s">
        <v>63</v>
      </c>
      <c r="M1357" s="23" t="s">
        <v>63</v>
      </c>
      <c r="N1357" s="23" t="s">
        <v>63</v>
      </c>
      <c r="O1357" s="23" t="s">
        <v>63</v>
      </c>
      <c r="P1357" s="23" t="s">
        <v>63</v>
      </c>
      <c r="Q1357" s="23" t="s">
        <v>63</v>
      </c>
      <c r="R1357" s="23" t="s">
        <v>63</v>
      </c>
      <c r="S1357" s="23" t="s">
        <v>63</v>
      </c>
      <c r="T1357" s="32" t="s">
        <v>63</v>
      </c>
      <c r="U1357" s="123" t="s">
        <v>63</v>
      </c>
      <c r="V1357" s="23" t="s">
        <v>63</v>
      </c>
      <c r="W1357" s="127" t="s">
        <v>63</v>
      </c>
      <c r="X1357" s="125" t="s">
        <v>63</v>
      </c>
      <c r="Y1357" s="35">
        <v>28.0</v>
      </c>
      <c r="Z1357" s="32" t="s">
        <v>63</v>
      </c>
      <c r="AA1357" s="38"/>
      <c r="AB1357" s="38"/>
      <c r="AC1357" s="38"/>
      <c r="AD1357" s="38"/>
      <c r="AE1357" s="38"/>
      <c r="AF1357" s="38"/>
      <c r="AG1357" s="38"/>
      <c r="AH1357" s="38"/>
      <c r="AI1357" s="38"/>
      <c r="AJ1357" s="38"/>
      <c r="AK1357" s="38"/>
    </row>
    <row r="1358">
      <c r="A1358" s="99">
        <v>1357.0</v>
      </c>
      <c r="B1358" s="15"/>
      <c r="C1358" s="15"/>
      <c r="D1358" s="105">
        <v>1.0</v>
      </c>
      <c r="E1358" s="102">
        <v>27.0</v>
      </c>
      <c r="F1358" s="107">
        <v>35.0</v>
      </c>
      <c r="G1358" s="15" t="str">
        <f t="shared" si="1"/>
        <v>27035</v>
      </c>
      <c r="H1358" s="23" t="s">
        <v>1307</v>
      </c>
      <c r="I1358" s="23" t="s">
        <v>65</v>
      </c>
      <c r="J1358" s="23" t="s">
        <v>351</v>
      </c>
      <c r="K1358" s="23" t="str">
        <f t="shared" si="24"/>
        <v>Crow Wing, MN</v>
      </c>
      <c r="L1358" s="23">
        <v>201.0</v>
      </c>
      <c r="M1358" s="23" t="s">
        <v>63</v>
      </c>
      <c r="N1358" s="23" t="s">
        <v>63</v>
      </c>
      <c r="O1358" s="23" t="s">
        <v>63</v>
      </c>
      <c r="P1358" s="23" t="s">
        <v>63</v>
      </c>
      <c r="Q1358" s="23" t="s">
        <v>63</v>
      </c>
      <c r="R1358" s="23" t="s">
        <v>63</v>
      </c>
      <c r="S1358" s="23" t="s">
        <v>63</v>
      </c>
      <c r="T1358" s="32" t="s">
        <v>63</v>
      </c>
      <c r="U1358" s="123" t="s">
        <v>63</v>
      </c>
      <c r="V1358" s="23" t="s">
        <v>63</v>
      </c>
      <c r="W1358" s="127" t="s">
        <v>63</v>
      </c>
      <c r="X1358" s="125" t="s">
        <v>63</v>
      </c>
      <c r="Y1358" s="35">
        <v>67.0</v>
      </c>
      <c r="Z1358" s="32" t="s">
        <v>63</v>
      </c>
      <c r="AA1358" s="38"/>
      <c r="AB1358" s="38"/>
      <c r="AC1358" s="38"/>
      <c r="AD1358" s="38"/>
      <c r="AE1358" s="38"/>
      <c r="AF1358" s="38"/>
      <c r="AG1358" s="38"/>
      <c r="AH1358" s="38"/>
      <c r="AI1358" s="38"/>
      <c r="AJ1358" s="38"/>
      <c r="AK1358" s="38"/>
    </row>
    <row r="1359">
      <c r="A1359" s="99">
        <v>1358.0</v>
      </c>
      <c r="B1359" s="15"/>
      <c r="C1359" s="15"/>
      <c r="D1359" s="105">
        <v>1.0</v>
      </c>
      <c r="E1359" s="102">
        <v>27.0</v>
      </c>
      <c r="F1359" s="107">
        <v>37.0</v>
      </c>
      <c r="G1359" s="15" t="str">
        <f t="shared" si="1"/>
        <v>27037</v>
      </c>
      <c r="H1359" s="23" t="s">
        <v>1308</v>
      </c>
      <c r="I1359" s="23" t="s">
        <v>65</v>
      </c>
      <c r="J1359" s="23" t="s">
        <v>351</v>
      </c>
      <c r="K1359" s="23" t="str">
        <f t="shared" si="24"/>
        <v>Dakota, MN</v>
      </c>
      <c r="L1359" s="23">
        <v>322.0</v>
      </c>
      <c r="M1359" s="23" t="s">
        <v>63</v>
      </c>
      <c r="N1359" s="23" t="s">
        <v>63</v>
      </c>
      <c r="O1359" s="23" t="s">
        <v>63</v>
      </c>
      <c r="P1359" s="23" t="s">
        <v>63</v>
      </c>
      <c r="Q1359" s="23" t="s">
        <v>63</v>
      </c>
      <c r="R1359" s="23" t="s">
        <v>63</v>
      </c>
      <c r="S1359" s="23" t="s">
        <v>63</v>
      </c>
      <c r="T1359" s="32" t="s">
        <v>63</v>
      </c>
      <c r="U1359" s="123" t="s">
        <v>63</v>
      </c>
      <c r="V1359" s="23" t="s">
        <v>63</v>
      </c>
      <c r="W1359" s="127" t="s">
        <v>63</v>
      </c>
      <c r="X1359" s="125" t="s">
        <v>63</v>
      </c>
      <c r="Y1359" s="35">
        <v>175.0</v>
      </c>
      <c r="Z1359" s="32" t="s">
        <v>63</v>
      </c>
      <c r="AA1359" s="38"/>
      <c r="AB1359" s="38"/>
      <c r="AC1359" s="38"/>
      <c r="AD1359" s="38"/>
      <c r="AE1359" s="38"/>
      <c r="AF1359" s="38"/>
      <c r="AG1359" s="38"/>
      <c r="AH1359" s="38"/>
      <c r="AI1359" s="38"/>
      <c r="AJ1359" s="38"/>
      <c r="AK1359" s="38"/>
    </row>
    <row r="1360">
      <c r="A1360" s="99">
        <v>1359.0</v>
      </c>
      <c r="B1360" s="15"/>
      <c r="C1360" s="15"/>
      <c r="D1360" s="105">
        <v>1.0</v>
      </c>
      <c r="E1360" s="102">
        <v>27.0</v>
      </c>
      <c r="F1360" s="107">
        <v>39.0</v>
      </c>
      <c r="G1360" s="15" t="str">
        <f t="shared" si="1"/>
        <v>27039</v>
      </c>
      <c r="H1360" s="23" t="s">
        <v>564</v>
      </c>
      <c r="I1360" s="23" t="s">
        <v>65</v>
      </c>
      <c r="J1360" s="23" t="s">
        <v>351</v>
      </c>
      <c r="K1360" s="23" t="str">
        <f t="shared" si="24"/>
        <v>Dodge, MN</v>
      </c>
      <c r="L1360" s="23" t="s">
        <v>63</v>
      </c>
      <c r="M1360" s="23" t="s">
        <v>63</v>
      </c>
      <c r="N1360" s="23" t="s">
        <v>63</v>
      </c>
      <c r="O1360" s="23" t="s">
        <v>63</v>
      </c>
      <c r="P1360" s="23" t="s">
        <v>63</v>
      </c>
      <c r="Q1360" s="23" t="s">
        <v>63</v>
      </c>
      <c r="R1360" s="23" t="s">
        <v>63</v>
      </c>
      <c r="S1360" s="23" t="s">
        <v>63</v>
      </c>
      <c r="T1360" s="32" t="s">
        <v>63</v>
      </c>
      <c r="U1360" s="123" t="s">
        <v>63</v>
      </c>
      <c r="V1360" s="23" t="s">
        <v>63</v>
      </c>
      <c r="W1360" s="127" t="s">
        <v>63</v>
      </c>
      <c r="X1360" s="125" t="s">
        <v>63</v>
      </c>
      <c r="Y1360" s="35">
        <v>28.0</v>
      </c>
      <c r="Z1360" s="32" t="s">
        <v>63</v>
      </c>
      <c r="AA1360" s="38"/>
      <c r="AB1360" s="38"/>
      <c r="AC1360" s="38"/>
      <c r="AD1360" s="38"/>
      <c r="AE1360" s="38"/>
      <c r="AF1360" s="38"/>
      <c r="AG1360" s="38"/>
      <c r="AH1360" s="38"/>
      <c r="AI1360" s="38"/>
      <c r="AJ1360" s="38"/>
      <c r="AK1360" s="38"/>
    </row>
    <row r="1361">
      <c r="A1361" s="99">
        <v>1360.0</v>
      </c>
      <c r="B1361" s="15"/>
      <c r="C1361" s="15"/>
      <c r="D1361" s="105">
        <v>1.0</v>
      </c>
      <c r="E1361" s="102">
        <v>27.0</v>
      </c>
      <c r="F1361" s="107">
        <v>41.0</v>
      </c>
      <c r="G1361" s="15" t="str">
        <f t="shared" si="1"/>
        <v>27041</v>
      </c>
      <c r="H1361" s="23" t="s">
        <v>412</v>
      </c>
      <c r="I1361" s="23" t="s">
        <v>65</v>
      </c>
      <c r="J1361" s="23" t="s">
        <v>351</v>
      </c>
      <c r="K1361" s="23" t="str">
        <f t="shared" si="24"/>
        <v>Douglas, MN</v>
      </c>
      <c r="L1361" s="23">
        <v>68.0</v>
      </c>
      <c r="M1361" s="23" t="s">
        <v>63</v>
      </c>
      <c r="N1361" s="23" t="s">
        <v>63</v>
      </c>
      <c r="O1361" s="23" t="s">
        <v>63</v>
      </c>
      <c r="P1361" s="23" t="s">
        <v>63</v>
      </c>
      <c r="Q1361" s="23" t="s">
        <v>63</v>
      </c>
      <c r="R1361" s="23" t="s">
        <v>63</v>
      </c>
      <c r="S1361" s="23" t="s">
        <v>63</v>
      </c>
      <c r="T1361" s="32" t="s">
        <v>63</v>
      </c>
      <c r="U1361" s="123" t="s">
        <v>63</v>
      </c>
      <c r="V1361" s="23" t="s">
        <v>63</v>
      </c>
      <c r="W1361" s="127" t="s">
        <v>63</v>
      </c>
      <c r="X1361" s="125" t="s">
        <v>63</v>
      </c>
      <c r="Y1361" s="35">
        <v>44.0</v>
      </c>
      <c r="Z1361" s="32" t="s">
        <v>63</v>
      </c>
      <c r="AA1361" s="38"/>
      <c r="AB1361" s="38"/>
      <c r="AC1361" s="38"/>
      <c r="AD1361" s="38"/>
      <c r="AE1361" s="38"/>
      <c r="AF1361" s="38"/>
      <c r="AG1361" s="38"/>
      <c r="AH1361" s="38"/>
      <c r="AI1361" s="38"/>
      <c r="AJ1361" s="38"/>
      <c r="AK1361" s="38"/>
    </row>
    <row r="1362">
      <c r="A1362" s="99">
        <v>1361.0</v>
      </c>
      <c r="B1362" s="15"/>
      <c r="C1362" s="15"/>
      <c r="D1362" s="105">
        <v>1.0</v>
      </c>
      <c r="E1362" s="102">
        <v>27.0</v>
      </c>
      <c r="F1362" s="107">
        <v>43.0</v>
      </c>
      <c r="G1362" s="15" t="str">
        <f t="shared" si="1"/>
        <v>27043</v>
      </c>
      <c r="H1362" s="23" t="s">
        <v>1309</v>
      </c>
      <c r="I1362" s="23" t="s">
        <v>65</v>
      </c>
      <c r="J1362" s="23" t="s">
        <v>351</v>
      </c>
      <c r="K1362" s="23" t="str">
        <f t="shared" si="24"/>
        <v>Faribault, MN</v>
      </c>
      <c r="L1362" s="23" t="s">
        <v>63</v>
      </c>
      <c r="M1362" s="23" t="s">
        <v>63</v>
      </c>
      <c r="N1362" s="23" t="s">
        <v>63</v>
      </c>
      <c r="O1362" s="23" t="s">
        <v>63</v>
      </c>
      <c r="P1362" s="23" t="s">
        <v>63</v>
      </c>
      <c r="Q1362" s="23" t="s">
        <v>63</v>
      </c>
      <c r="R1362" s="23" t="s">
        <v>63</v>
      </c>
      <c r="S1362" s="23" t="s">
        <v>63</v>
      </c>
      <c r="T1362" s="32" t="s">
        <v>63</v>
      </c>
      <c r="U1362" s="123" t="s">
        <v>63</v>
      </c>
      <c r="V1362" s="23" t="s">
        <v>63</v>
      </c>
      <c r="W1362" s="127" t="s">
        <v>63</v>
      </c>
      <c r="X1362" s="125" t="s">
        <v>63</v>
      </c>
      <c r="Y1362" s="35">
        <v>39.0</v>
      </c>
      <c r="Z1362" s="32" t="s">
        <v>63</v>
      </c>
      <c r="AA1362" s="38"/>
      <c r="AB1362" s="38"/>
      <c r="AC1362" s="38"/>
      <c r="AD1362" s="38"/>
      <c r="AE1362" s="38"/>
      <c r="AF1362" s="38"/>
      <c r="AG1362" s="38"/>
      <c r="AH1362" s="38"/>
      <c r="AI1362" s="38"/>
      <c r="AJ1362" s="38"/>
      <c r="AK1362" s="38"/>
    </row>
    <row r="1363">
      <c r="A1363" s="99">
        <v>1362.0</v>
      </c>
      <c r="B1363" s="15"/>
      <c r="C1363" s="15"/>
      <c r="D1363" s="105">
        <v>1.0</v>
      </c>
      <c r="E1363" s="102">
        <v>27.0</v>
      </c>
      <c r="F1363" s="107">
        <v>45.0</v>
      </c>
      <c r="G1363" s="15" t="str">
        <f t="shared" si="1"/>
        <v>27045</v>
      </c>
      <c r="H1363" s="23" t="s">
        <v>1310</v>
      </c>
      <c r="I1363" s="23" t="s">
        <v>65</v>
      </c>
      <c r="J1363" s="23" t="s">
        <v>351</v>
      </c>
      <c r="K1363" s="23" t="str">
        <f t="shared" si="24"/>
        <v>Fillmore, MN</v>
      </c>
      <c r="L1363" s="23">
        <v>19.0</v>
      </c>
      <c r="M1363" s="23" t="s">
        <v>63</v>
      </c>
      <c r="N1363" s="23" t="s">
        <v>63</v>
      </c>
      <c r="O1363" s="23" t="s">
        <v>63</v>
      </c>
      <c r="P1363" s="23" t="s">
        <v>63</v>
      </c>
      <c r="Q1363" s="23" t="s">
        <v>63</v>
      </c>
      <c r="R1363" s="23" t="s">
        <v>63</v>
      </c>
      <c r="S1363" s="23" t="s">
        <v>63</v>
      </c>
      <c r="T1363" s="32" t="s">
        <v>63</v>
      </c>
      <c r="U1363" s="123" t="s">
        <v>63</v>
      </c>
      <c r="V1363" s="23" t="s">
        <v>63</v>
      </c>
      <c r="W1363" s="127" t="s">
        <v>63</v>
      </c>
      <c r="X1363" s="125" t="s">
        <v>63</v>
      </c>
      <c r="Y1363" s="35">
        <v>54.0</v>
      </c>
      <c r="Z1363" s="32" t="s">
        <v>63</v>
      </c>
      <c r="AA1363" s="38"/>
      <c r="AB1363" s="38"/>
      <c r="AC1363" s="38"/>
      <c r="AD1363" s="38"/>
      <c r="AE1363" s="38"/>
      <c r="AF1363" s="38"/>
      <c r="AG1363" s="38"/>
      <c r="AH1363" s="38"/>
      <c r="AI1363" s="38"/>
      <c r="AJ1363" s="38"/>
      <c r="AK1363" s="38"/>
    </row>
    <row r="1364">
      <c r="A1364" s="99">
        <v>1363.0</v>
      </c>
      <c r="B1364" s="15"/>
      <c r="C1364" s="15"/>
      <c r="D1364" s="105">
        <v>1.0</v>
      </c>
      <c r="E1364" s="102">
        <v>27.0</v>
      </c>
      <c r="F1364" s="107">
        <v>47.0</v>
      </c>
      <c r="G1364" s="15" t="str">
        <f t="shared" si="1"/>
        <v>27047</v>
      </c>
      <c r="H1364" s="23" t="s">
        <v>1311</v>
      </c>
      <c r="I1364" s="23" t="s">
        <v>65</v>
      </c>
      <c r="J1364" s="23" t="s">
        <v>351</v>
      </c>
      <c r="K1364" s="23" t="str">
        <f t="shared" si="24"/>
        <v>Freeborn, MN</v>
      </c>
      <c r="L1364" s="23">
        <v>124.0</v>
      </c>
      <c r="M1364" s="23" t="s">
        <v>63</v>
      </c>
      <c r="N1364" s="23" t="s">
        <v>63</v>
      </c>
      <c r="O1364" s="23" t="s">
        <v>63</v>
      </c>
      <c r="P1364" s="23" t="s">
        <v>63</v>
      </c>
      <c r="Q1364" s="23" t="s">
        <v>63</v>
      </c>
      <c r="R1364" s="23" t="s">
        <v>63</v>
      </c>
      <c r="S1364" s="23" t="s">
        <v>63</v>
      </c>
      <c r="T1364" s="32" t="s">
        <v>63</v>
      </c>
      <c r="U1364" s="123" t="s">
        <v>63</v>
      </c>
      <c r="V1364" s="23" t="s">
        <v>63</v>
      </c>
      <c r="W1364" s="127" t="s">
        <v>63</v>
      </c>
      <c r="X1364" s="125" t="s">
        <v>63</v>
      </c>
      <c r="Y1364" s="35">
        <v>50.0</v>
      </c>
      <c r="Z1364" s="32" t="s">
        <v>63</v>
      </c>
      <c r="AA1364" s="38"/>
      <c r="AB1364" s="38"/>
      <c r="AC1364" s="38"/>
      <c r="AD1364" s="38"/>
      <c r="AE1364" s="38"/>
      <c r="AF1364" s="38"/>
      <c r="AG1364" s="38"/>
      <c r="AH1364" s="38"/>
      <c r="AI1364" s="38"/>
      <c r="AJ1364" s="38"/>
      <c r="AK1364" s="38"/>
    </row>
    <row r="1365">
      <c r="A1365" s="99">
        <v>1364.0</v>
      </c>
      <c r="B1365" s="15"/>
      <c r="C1365" s="15"/>
      <c r="D1365" s="105">
        <v>1.0</v>
      </c>
      <c r="E1365" s="102">
        <v>27.0</v>
      </c>
      <c r="F1365" s="107">
        <v>49.0</v>
      </c>
      <c r="G1365" s="15" t="str">
        <f t="shared" si="1"/>
        <v>27049</v>
      </c>
      <c r="H1365" s="23" t="s">
        <v>1312</v>
      </c>
      <c r="I1365" s="23" t="s">
        <v>65</v>
      </c>
      <c r="J1365" s="23" t="s">
        <v>351</v>
      </c>
      <c r="K1365" s="23" t="str">
        <f t="shared" si="24"/>
        <v>Goodhue, MN</v>
      </c>
      <c r="L1365" s="23">
        <v>95.0</v>
      </c>
      <c r="M1365" s="23" t="s">
        <v>63</v>
      </c>
      <c r="N1365" s="23" t="s">
        <v>63</v>
      </c>
      <c r="O1365" s="23" t="s">
        <v>63</v>
      </c>
      <c r="P1365" s="23" t="s">
        <v>63</v>
      </c>
      <c r="Q1365" s="23" t="s">
        <v>63</v>
      </c>
      <c r="R1365" s="23" t="s">
        <v>63</v>
      </c>
      <c r="S1365" s="23" t="s">
        <v>63</v>
      </c>
      <c r="T1365" s="32" t="s">
        <v>63</v>
      </c>
      <c r="U1365" s="123" t="s">
        <v>63</v>
      </c>
      <c r="V1365" s="23" t="s">
        <v>63</v>
      </c>
      <c r="W1365" s="127" t="s">
        <v>63</v>
      </c>
      <c r="X1365" s="125" t="s">
        <v>63</v>
      </c>
      <c r="Y1365" s="35">
        <v>76.0</v>
      </c>
      <c r="Z1365" s="32" t="s">
        <v>63</v>
      </c>
      <c r="AA1365" s="38"/>
      <c r="AB1365" s="38"/>
      <c r="AC1365" s="38"/>
      <c r="AD1365" s="38"/>
      <c r="AE1365" s="38"/>
      <c r="AF1365" s="38"/>
      <c r="AG1365" s="38"/>
      <c r="AH1365" s="38"/>
      <c r="AI1365" s="38"/>
      <c r="AJ1365" s="38"/>
      <c r="AK1365" s="38"/>
    </row>
    <row r="1366">
      <c r="A1366" s="99">
        <v>1365.0</v>
      </c>
      <c r="B1366" s="15"/>
      <c r="C1366" s="15"/>
      <c r="D1366" s="105">
        <v>1.0</v>
      </c>
      <c r="E1366" s="102">
        <v>27.0</v>
      </c>
      <c r="F1366" s="107">
        <v>51.0</v>
      </c>
      <c r="G1366" s="15" t="str">
        <f t="shared" si="1"/>
        <v>27051</v>
      </c>
      <c r="H1366" s="23" t="s">
        <v>278</v>
      </c>
      <c r="I1366" s="23" t="s">
        <v>65</v>
      </c>
      <c r="J1366" s="23" t="s">
        <v>351</v>
      </c>
      <c r="K1366" s="23" t="str">
        <f t="shared" si="24"/>
        <v>Grant, MN</v>
      </c>
      <c r="L1366" s="23">
        <v>28.0</v>
      </c>
      <c r="M1366" s="23" t="s">
        <v>63</v>
      </c>
      <c r="N1366" s="23" t="s">
        <v>63</v>
      </c>
      <c r="O1366" s="23" t="s">
        <v>63</v>
      </c>
      <c r="P1366" s="23" t="s">
        <v>63</v>
      </c>
      <c r="Q1366" s="23" t="s">
        <v>63</v>
      </c>
      <c r="R1366" s="23" t="s">
        <v>63</v>
      </c>
      <c r="S1366" s="23" t="s">
        <v>63</v>
      </c>
      <c r="T1366" s="32" t="s">
        <v>63</v>
      </c>
      <c r="U1366" s="123" t="s">
        <v>63</v>
      </c>
      <c r="V1366" s="23" t="s">
        <v>63</v>
      </c>
      <c r="W1366" s="127" t="s">
        <v>63</v>
      </c>
      <c r="X1366" s="125" t="s">
        <v>63</v>
      </c>
      <c r="Y1366" s="35">
        <v>21.0</v>
      </c>
      <c r="Z1366" s="32" t="s">
        <v>63</v>
      </c>
      <c r="AA1366" s="38"/>
      <c r="AB1366" s="38"/>
      <c r="AC1366" s="38"/>
      <c r="AD1366" s="38"/>
      <c r="AE1366" s="38"/>
      <c r="AF1366" s="38"/>
      <c r="AG1366" s="38"/>
      <c r="AH1366" s="38"/>
      <c r="AI1366" s="38"/>
      <c r="AJ1366" s="38"/>
      <c r="AK1366" s="38"/>
    </row>
    <row r="1367">
      <c r="A1367" s="99">
        <v>1366.0</v>
      </c>
      <c r="B1367" s="15"/>
      <c r="C1367" s="15"/>
      <c r="D1367" s="105">
        <v>1.0</v>
      </c>
      <c r="E1367" s="102">
        <v>27.0</v>
      </c>
      <c r="F1367" s="107">
        <v>53.0</v>
      </c>
      <c r="G1367" s="15" t="str">
        <f t="shared" si="1"/>
        <v>27053</v>
      </c>
      <c r="H1367" s="23" t="s">
        <v>350</v>
      </c>
      <c r="I1367" s="23" t="s">
        <v>65</v>
      </c>
      <c r="J1367" s="23" t="s">
        <v>351</v>
      </c>
      <c r="K1367" s="23" t="str">
        <f t="shared" si="24"/>
        <v>Hennepin, MN</v>
      </c>
      <c r="L1367" s="23">
        <v>2553.0</v>
      </c>
      <c r="M1367" s="23" t="s">
        <v>63</v>
      </c>
      <c r="N1367" s="23" t="s">
        <v>63</v>
      </c>
      <c r="O1367" s="23" t="s">
        <v>63</v>
      </c>
      <c r="P1367" s="23" t="s">
        <v>63</v>
      </c>
      <c r="Q1367" s="23" t="s">
        <v>63</v>
      </c>
      <c r="R1367" s="23" t="s">
        <v>63</v>
      </c>
      <c r="S1367" s="23" t="s">
        <v>63</v>
      </c>
      <c r="T1367" s="32" t="s">
        <v>63</v>
      </c>
      <c r="U1367" s="123" t="s">
        <v>63</v>
      </c>
      <c r="V1367" s="23" t="s">
        <v>63</v>
      </c>
      <c r="W1367" s="127" t="s">
        <v>63</v>
      </c>
      <c r="X1367" s="125" t="s">
        <v>63</v>
      </c>
      <c r="Y1367" s="35">
        <v>580.0</v>
      </c>
      <c r="Z1367" s="32" t="s">
        <v>63</v>
      </c>
      <c r="AA1367" s="38"/>
      <c r="AB1367" s="38"/>
      <c r="AC1367" s="38"/>
      <c r="AD1367" s="38"/>
      <c r="AE1367" s="38"/>
      <c r="AF1367" s="38"/>
      <c r="AG1367" s="38"/>
      <c r="AH1367" s="38"/>
      <c r="AI1367" s="38"/>
      <c r="AJ1367" s="38"/>
      <c r="AK1367" s="38"/>
    </row>
    <row r="1368">
      <c r="A1368" s="99">
        <v>1367.0</v>
      </c>
      <c r="B1368" s="15"/>
      <c r="C1368" s="15"/>
      <c r="D1368" s="105">
        <v>1.0</v>
      </c>
      <c r="E1368" s="102">
        <v>27.0</v>
      </c>
      <c r="F1368" s="107">
        <v>55.0</v>
      </c>
      <c r="G1368" s="15" t="str">
        <f t="shared" si="1"/>
        <v>27055</v>
      </c>
      <c r="H1368" s="23" t="s">
        <v>141</v>
      </c>
      <c r="I1368" s="23" t="s">
        <v>65</v>
      </c>
      <c r="J1368" s="23" t="s">
        <v>351</v>
      </c>
      <c r="K1368" s="23" t="str">
        <f t="shared" si="24"/>
        <v>Houston, MN</v>
      </c>
      <c r="L1368" s="23">
        <v>32.0</v>
      </c>
      <c r="M1368" s="23" t="s">
        <v>63</v>
      </c>
      <c r="N1368" s="23" t="s">
        <v>63</v>
      </c>
      <c r="O1368" s="23" t="s">
        <v>63</v>
      </c>
      <c r="P1368" s="23" t="s">
        <v>63</v>
      </c>
      <c r="Q1368" s="23" t="s">
        <v>63</v>
      </c>
      <c r="R1368" s="23" t="s">
        <v>63</v>
      </c>
      <c r="S1368" s="23" t="s">
        <v>63</v>
      </c>
      <c r="T1368" s="32" t="s">
        <v>63</v>
      </c>
      <c r="U1368" s="123" t="s">
        <v>63</v>
      </c>
      <c r="V1368" s="23" t="s">
        <v>63</v>
      </c>
      <c r="W1368" s="127" t="s">
        <v>63</v>
      </c>
      <c r="X1368" s="125" t="s">
        <v>63</v>
      </c>
      <c r="Y1368" s="35">
        <v>30.0</v>
      </c>
      <c r="Z1368" s="32" t="s">
        <v>63</v>
      </c>
      <c r="AA1368" s="38"/>
      <c r="AB1368" s="38"/>
      <c r="AC1368" s="38"/>
      <c r="AD1368" s="38"/>
      <c r="AE1368" s="38"/>
      <c r="AF1368" s="38"/>
      <c r="AG1368" s="38"/>
      <c r="AH1368" s="38"/>
      <c r="AI1368" s="38"/>
      <c r="AJ1368" s="38"/>
      <c r="AK1368" s="38"/>
    </row>
    <row r="1369">
      <c r="A1369" s="99">
        <v>1368.0</v>
      </c>
      <c r="B1369" s="15"/>
      <c r="C1369" s="15"/>
      <c r="D1369" s="105">
        <v>1.0</v>
      </c>
      <c r="E1369" s="102">
        <v>27.0</v>
      </c>
      <c r="F1369" s="107">
        <v>57.0</v>
      </c>
      <c r="G1369" s="15" t="str">
        <f t="shared" si="1"/>
        <v>27057</v>
      </c>
      <c r="H1369" s="23" t="s">
        <v>1313</v>
      </c>
      <c r="I1369" s="23" t="s">
        <v>65</v>
      </c>
      <c r="J1369" s="23" t="s">
        <v>351</v>
      </c>
      <c r="K1369" s="23" t="str">
        <f t="shared" si="24"/>
        <v>Hubbard, MN</v>
      </c>
      <c r="L1369" s="23">
        <v>96.0</v>
      </c>
      <c r="M1369" s="23" t="s">
        <v>63</v>
      </c>
      <c r="N1369" s="23" t="s">
        <v>63</v>
      </c>
      <c r="O1369" s="23" t="s">
        <v>63</v>
      </c>
      <c r="P1369" s="23" t="s">
        <v>63</v>
      </c>
      <c r="Q1369" s="23" t="s">
        <v>63</v>
      </c>
      <c r="R1369" s="23" t="s">
        <v>63</v>
      </c>
      <c r="S1369" s="23" t="s">
        <v>63</v>
      </c>
      <c r="T1369" s="32" t="s">
        <v>63</v>
      </c>
      <c r="U1369" s="123" t="s">
        <v>63</v>
      </c>
      <c r="V1369" s="23" t="s">
        <v>63</v>
      </c>
      <c r="W1369" s="127" t="s">
        <v>63</v>
      </c>
      <c r="X1369" s="125" t="s">
        <v>63</v>
      </c>
      <c r="Y1369" s="35">
        <v>34.0</v>
      </c>
      <c r="Z1369" s="32" t="s">
        <v>63</v>
      </c>
      <c r="AA1369" s="38"/>
      <c r="AB1369" s="38"/>
      <c r="AC1369" s="38"/>
      <c r="AD1369" s="38"/>
      <c r="AE1369" s="38"/>
      <c r="AF1369" s="38"/>
      <c r="AG1369" s="38"/>
      <c r="AH1369" s="38"/>
      <c r="AI1369" s="38"/>
      <c r="AJ1369" s="38"/>
      <c r="AK1369" s="38"/>
    </row>
    <row r="1370">
      <c r="A1370" s="99">
        <v>1369.0</v>
      </c>
      <c r="B1370" s="15"/>
      <c r="C1370" s="15"/>
      <c r="D1370" s="105">
        <v>1.0</v>
      </c>
      <c r="E1370" s="102">
        <v>27.0</v>
      </c>
      <c r="F1370" s="107">
        <v>59.0</v>
      </c>
      <c r="G1370" s="15" t="str">
        <f t="shared" si="1"/>
        <v>27059</v>
      </c>
      <c r="H1370" s="23" t="s">
        <v>1314</v>
      </c>
      <c r="I1370" s="23" t="s">
        <v>65</v>
      </c>
      <c r="J1370" s="23" t="s">
        <v>351</v>
      </c>
      <c r="K1370" s="23" t="str">
        <f t="shared" si="24"/>
        <v>Isanti, MN</v>
      </c>
      <c r="L1370" s="23">
        <v>85.0</v>
      </c>
      <c r="M1370" s="23" t="s">
        <v>63</v>
      </c>
      <c r="N1370" s="23" t="s">
        <v>63</v>
      </c>
      <c r="O1370" s="23" t="s">
        <v>63</v>
      </c>
      <c r="P1370" s="23" t="s">
        <v>63</v>
      </c>
      <c r="Q1370" s="23" t="s">
        <v>63</v>
      </c>
      <c r="R1370" s="23" t="s">
        <v>63</v>
      </c>
      <c r="S1370" s="23" t="s">
        <v>63</v>
      </c>
      <c r="T1370" s="32" t="s">
        <v>63</v>
      </c>
      <c r="U1370" s="123" t="s">
        <v>63</v>
      </c>
      <c r="V1370" s="23" t="s">
        <v>63</v>
      </c>
      <c r="W1370" s="127" t="s">
        <v>63</v>
      </c>
      <c r="X1370" s="125" t="s">
        <v>63</v>
      </c>
      <c r="Y1370" s="35">
        <v>36.0</v>
      </c>
      <c r="Z1370" s="32" t="s">
        <v>63</v>
      </c>
      <c r="AA1370" s="38"/>
      <c r="AB1370" s="38"/>
      <c r="AC1370" s="38"/>
      <c r="AD1370" s="38"/>
      <c r="AE1370" s="38"/>
      <c r="AF1370" s="38"/>
      <c r="AG1370" s="38"/>
      <c r="AH1370" s="38"/>
      <c r="AI1370" s="38"/>
      <c r="AJ1370" s="38"/>
      <c r="AK1370" s="38"/>
    </row>
    <row r="1371">
      <c r="A1371" s="99">
        <v>1370.0</v>
      </c>
      <c r="B1371" s="15"/>
      <c r="C1371" s="15"/>
      <c r="D1371" s="105">
        <v>1.0</v>
      </c>
      <c r="E1371" s="102">
        <v>27.0</v>
      </c>
      <c r="F1371" s="107">
        <v>61.0</v>
      </c>
      <c r="G1371" s="15" t="str">
        <f t="shared" si="1"/>
        <v>27061</v>
      </c>
      <c r="H1371" s="23" t="s">
        <v>1315</v>
      </c>
      <c r="I1371" s="23" t="s">
        <v>65</v>
      </c>
      <c r="J1371" s="23" t="s">
        <v>351</v>
      </c>
      <c r="K1371" s="23" t="str">
        <f t="shared" si="24"/>
        <v>Itasca, MN</v>
      </c>
      <c r="L1371" s="23">
        <v>244.0</v>
      </c>
      <c r="M1371" s="23" t="s">
        <v>63</v>
      </c>
      <c r="N1371" s="23" t="s">
        <v>63</v>
      </c>
      <c r="O1371" s="23" t="s">
        <v>63</v>
      </c>
      <c r="P1371" s="23" t="s">
        <v>63</v>
      </c>
      <c r="Q1371" s="23" t="s">
        <v>63</v>
      </c>
      <c r="R1371" s="23" t="s">
        <v>63</v>
      </c>
      <c r="S1371" s="23" t="s">
        <v>63</v>
      </c>
      <c r="T1371" s="32" t="s">
        <v>63</v>
      </c>
      <c r="U1371" s="123" t="s">
        <v>63</v>
      </c>
      <c r="V1371" s="23" t="s">
        <v>63</v>
      </c>
      <c r="W1371" s="127" t="s">
        <v>63</v>
      </c>
      <c r="X1371" s="125" t="s">
        <v>63</v>
      </c>
      <c r="Y1371" s="35">
        <v>67.0</v>
      </c>
      <c r="Z1371" s="32" t="s">
        <v>63</v>
      </c>
      <c r="AA1371" s="38"/>
      <c r="AB1371" s="38"/>
      <c r="AC1371" s="38"/>
      <c r="AD1371" s="38"/>
      <c r="AE1371" s="38"/>
      <c r="AF1371" s="38"/>
      <c r="AG1371" s="38"/>
      <c r="AH1371" s="38"/>
      <c r="AI1371" s="38"/>
      <c r="AJ1371" s="38"/>
      <c r="AK1371" s="38"/>
    </row>
    <row r="1372">
      <c r="A1372" s="99">
        <v>1371.0</v>
      </c>
      <c r="B1372" s="15"/>
      <c r="C1372" s="15"/>
      <c r="D1372" s="105">
        <v>1.0</v>
      </c>
      <c r="E1372" s="102">
        <v>27.0</v>
      </c>
      <c r="F1372" s="107">
        <v>63.0</v>
      </c>
      <c r="G1372" s="15" t="str">
        <f t="shared" si="1"/>
        <v>27063</v>
      </c>
      <c r="H1372" s="23" t="s">
        <v>142</v>
      </c>
      <c r="I1372" s="23" t="s">
        <v>65</v>
      </c>
      <c r="J1372" s="23" t="s">
        <v>351</v>
      </c>
      <c r="K1372" s="23" t="str">
        <f t="shared" si="24"/>
        <v>Jackson, MN</v>
      </c>
      <c r="L1372" s="23" t="s">
        <v>63</v>
      </c>
      <c r="M1372" s="23" t="s">
        <v>63</v>
      </c>
      <c r="N1372" s="23" t="s">
        <v>63</v>
      </c>
      <c r="O1372" s="23" t="s">
        <v>63</v>
      </c>
      <c r="P1372" s="23" t="s">
        <v>63</v>
      </c>
      <c r="Q1372" s="23" t="s">
        <v>63</v>
      </c>
      <c r="R1372" s="23" t="s">
        <v>63</v>
      </c>
      <c r="S1372" s="23" t="s">
        <v>63</v>
      </c>
      <c r="T1372" s="32" t="s">
        <v>63</v>
      </c>
      <c r="U1372" s="123" t="s">
        <v>63</v>
      </c>
      <c r="V1372" s="23" t="s">
        <v>63</v>
      </c>
      <c r="W1372" s="127" t="s">
        <v>63</v>
      </c>
      <c r="X1372" s="125" t="s">
        <v>63</v>
      </c>
      <c r="Y1372" s="35">
        <v>22.0</v>
      </c>
      <c r="Z1372" s="32" t="s">
        <v>63</v>
      </c>
      <c r="AA1372" s="38"/>
      <c r="AB1372" s="38"/>
      <c r="AC1372" s="38"/>
      <c r="AD1372" s="38"/>
      <c r="AE1372" s="38"/>
      <c r="AF1372" s="38"/>
      <c r="AG1372" s="38"/>
      <c r="AH1372" s="38"/>
      <c r="AI1372" s="38"/>
      <c r="AJ1372" s="38"/>
      <c r="AK1372" s="38"/>
    </row>
    <row r="1373">
      <c r="A1373" s="99">
        <v>1372.0</v>
      </c>
      <c r="B1373" s="15"/>
      <c r="C1373" s="15"/>
      <c r="D1373" s="105">
        <v>1.0</v>
      </c>
      <c r="E1373" s="102">
        <v>27.0</v>
      </c>
      <c r="F1373" s="107">
        <v>65.0</v>
      </c>
      <c r="G1373" s="15" t="str">
        <f t="shared" si="1"/>
        <v>27065</v>
      </c>
      <c r="H1373" s="23" t="s">
        <v>1316</v>
      </c>
      <c r="I1373" s="23" t="s">
        <v>65</v>
      </c>
      <c r="J1373" s="23" t="s">
        <v>351</v>
      </c>
      <c r="K1373" s="23" t="str">
        <f t="shared" si="24"/>
        <v>Kanabec, MN</v>
      </c>
      <c r="L1373" s="23">
        <v>30.0</v>
      </c>
      <c r="M1373" s="23" t="s">
        <v>63</v>
      </c>
      <c r="N1373" s="23" t="s">
        <v>63</v>
      </c>
      <c r="O1373" s="23" t="s">
        <v>63</v>
      </c>
      <c r="P1373" s="23" t="s">
        <v>63</v>
      </c>
      <c r="Q1373" s="23" t="s">
        <v>63</v>
      </c>
      <c r="R1373" s="23" t="s">
        <v>63</v>
      </c>
      <c r="S1373" s="23" t="s">
        <v>63</v>
      </c>
      <c r="T1373" s="32" t="s">
        <v>63</v>
      </c>
      <c r="U1373" s="123" t="s">
        <v>63</v>
      </c>
      <c r="V1373" s="23" t="s">
        <v>63</v>
      </c>
      <c r="W1373" s="127" t="s">
        <v>63</v>
      </c>
      <c r="X1373" s="125" t="s">
        <v>63</v>
      </c>
      <c r="Y1373" s="35">
        <v>20.0</v>
      </c>
      <c r="Z1373" s="32" t="s">
        <v>63</v>
      </c>
      <c r="AA1373" s="38"/>
      <c r="AB1373" s="38"/>
      <c r="AC1373" s="38"/>
      <c r="AD1373" s="38"/>
      <c r="AE1373" s="38"/>
      <c r="AF1373" s="38"/>
      <c r="AG1373" s="38"/>
      <c r="AH1373" s="38"/>
      <c r="AI1373" s="38"/>
      <c r="AJ1373" s="38"/>
      <c r="AK1373" s="38"/>
    </row>
    <row r="1374">
      <c r="A1374" s="99">
        <v>1373.0</v>
      </c>
      <c r="B1374" s="15"/>
      <c r="C1374" s="15"/>
      <c r="D1374" s="105">
        <v>1.0</v>
      </c>
      <c r="E1374" s="102">
        <v>27.0</v>
      </c>
      <c r="F1374" s="107">
        <v>67.0</v>
      </c>
      <c r="G1374" s="15" t="str">
        <f t="shared" si="1"/>
        <v>27067</v>
      </c>
      <c r="H1374" s="23" t="s">
        <v>1317</v>
      </c>
      <c r="I1374" s="23" t="s">
        <v>65</v>
      </c>
      <c r="J1374" s="23" t="s">
        <v>351</v>
      </c>
      <c r="K1374" s="23" t="str">
        <f t="shared" si="24"/>
        <v>Kandiyohi, MN</v>
      </c>
      <c r="L1374" s="23">
        <v>180.0</v>
      </c>
      <c r="M1374" s="23" t="s">
        <v>63</v>
      </c>
      <c r="N1374" s="23" t="s">
        <v>63</v>
      </c>
      <c r="O1374" s="23" t="s">
        <v>63</v>
      </c>
      <c r="P1374" s="23" t="s">
        <v>63</v>
      </c>
      <c r="Q1374" s="23" t="s">
        <v>63</v>
      </c>
      <c r="R1374" s="23" t="s">
        <v>63</v>
      </c>
      <c r="S1374" s="23" t="s">
        <v>63</v>
      </c>
      <c r="T1374" s="32" t="s">
        <v>63</v>
      </c>
      <c r="U1374" s="123" t="s">
        <v>63</v>
      </c>
      <c r="V1374" s="23" t="s">
        <v>63</v>
      </c>
      <c r="W1374" s="127" t="s">
        <v>63</v>
      </c>
      <c r="X1374" s="125" t="s">
        <v>63</v>
      </c>
      <c r="Y1374" s="35">
        <v>56.0</v>
      </c>
      <c r="Z1374" s="32" t="s">
        <v>63</v>
      </c>
      <c r="AA1374" s="38"/>
      <c r="AB1374" s="38"/>
      <c r="AC1374" s="38"/>
      <c r="AD1374" s="38"/>
      <c r="AE1374" s="38"/>
      <c r="AF1374" s="38"/>
      <c r="AG1374" s="38"/>
      <c r="AH1374" s="38"/>
      <c r="AI1374" s="38"/>
      <c r="AJ1374" s="38"/>
      <c r="AK1374" s="38"/>
    </row>
    <row r="1375">
      <c r="A1375" s="99">
        <v>1374.0</v>
      </c>
      <c r="B1375" s="15"/>
      <c r="C1375" s="15"/>
      <c r="D1375" s="105">
        <v>1.0</v>
      </c>
      <c r="E1375" s="102">
        <v>27.0</v>
      </c>
      <c r="F1375" s="107">
        <v>69.0</v>
      </c>
      <c r="G1375" s="15" t="str">
        <f t="shared" si="1"/>
        <v>27069</v>
      </c>
      <c r="H1375" s="23" t="s">
        <v>1318</v>
      </c>
      <c r="I1375" s="23" t="s">
        <v>65</v>
      </c>
      <c r="J1375" s="23" t="s">
        <v>351</v>
      </c>
      <c r="K1375" s="23" t="str">
        <f t="shared" si="24"/>
        <v>Kittson, MN</v>
      </c>
      <c r="L1375" s="23">
        <v>11.0</v>
      </c>
      <c r="M1375" s="23" t="s">
        <v>63</v>
      </c>
      <c r="N1375" s="23" t="s">
        <v>63</v>
      </c>
      <c r="O1375" s="23" t="s">
        <v>63</v>
      </c>
      <c r="P1375" s="23" t="s">
        <v>63</v>
      </c>
      <c r="Q1375" s="23" t="s">
        <v>63</v>
      </c>
      <c r="R1375" s="23" t="s">
        <v>63</v>
      </c>
      <c r="S1375" s="23" t="s">
        <v>63</v>
      </c>
      <c r="T1375" s="32" t="s">
        <v>63</v>
      </c>
      <c r="U1375" s="123" t="s">
        <v>63</v>
      </c>
      <c r="V1375" s="23" t="s">
        <v>63</v>
      </c>
      <c r="W1375" s="127" t="s">
        <v>63</v>
      </c>
      <c r="X1375" s="125" t="s">
        <v>63</v>
      </c>
      <c r="Y1375" s="35">
        <v>11.0</v>
      </c>
      <c r="Z1375" s="32" t="s">
        <v>63</v>
      </c>
      <c r="AA1375" s="38"/>
      <c r="AB1375" s="38"/>
      <c r="AC1375" s="38"/>
      <c r="AD1375" s="38"/>
      <c r="AE1375" s="38"/>
      <c r="AF1375" s="38"/>
      <c r="AG1375" s="38"/>
      <c r="AH1375" s="38"/>
      <c r="AI1375" s="38"/>
      <c r="AJ1375" s="38"/>
      <c r="AK1375" s="38"/>
    </row>
    <row r="1376">
      <c r="A1376" s="99">
        <v>1375.0</v>
      </c>
      <c r="B1376" s="15"/>
      <c r="C1376" s="15"/>
      <c r="D1376" s="105">
        <v>1.0</v>
      </c>
      <c r="E1376" s="102">
        <v>27.0</v>
      </c>
      <c r="F1376" s="107">
        <v>71.0</v>
      </c>
      <c r="G1376" s="15" t="str">
        <f t="shared" si="1"/>
        <v>27071</v>
      </c>
      <c r="H1376" s="23" t="s">
        <v>1319</v>
      </c>
      <c r="I1376" s="23" t="s">
        <v>65</v>
      </c>
      <c r="J1376" s="23" t="s">
        <v>351</v>
      </c>
      <c r="K1376" s="112" t="str">
        <f t="shared" si="24"/>
        <v>Koochiching, MN</v>
      </c>
      <c r="L1376" s="23">
        <v>81.0</v>
      </c>
      <c r="M1376" s="23" t="s">
        <v>63</v>
      </c>
      <c r="N1376" s="23" t="s">
        <v>63</v>
      </c>
      <c r="O1376" s="23" t="s">
        <v>63</v>
      </c>
      <c r="P1376" s="23" t="s">
        <v>63</v>
      </c>
      <c r="Q1376" s="23" t="s">
        <v>63</v>
      </c>
      <c r="R1376" s="23" t="s">
        <v>63</v>
      </c>
      <c r="S1376" s="23" t="s">
        <v>63</v>
      </c>
      <c r="T1376" s="32" t="s">
        <v>63</v>
      </c>
      <c r="U1376" s="123" t="s">
        <v>63</v>
      </c>
      <c r="V1376" s="23" t="s">
        <v>63</v>
      </c>
      <c r="W1376" s="127" t="s">
        <v>63</v>
      </c>
      <c r="X1376" s="125" t="s">
        <v>63</v>
      </c>
      <c r="Y1376" s="35">
        <v>20.0</v>
      </c>
      <c r="Z1376" s="32" t="s">
        <v>63</v>
      </c>
      <c r="AA1376" s="38"/>
      <c r="AB1376" s="38"/>
      <c r="AC1376" s="38"/>
      <c r="AD1376" s="38"/>
      <c r="AE1376" s="38"/>
      <c r="AF1376" s="38"/>
      <c r="AG1376" s="38"/>
      <c r="AH1376" s="38"/>
      <c r="AI1376" s="38"/>
      <c r="AJ1376" s="38"/>
      <c r="AK1376" s="38"/>
    </row>
    <row r="1377">
      <c r="A1377" s="99">
        <v>1376.0</v>
      </c>
      <c r="B1377" s="15"/>
      <c r="C1377" s="15"/>
      <c r="D1377" s="105">
        <v>1.0</v>
      </c>
      <c r="E1377" s="102">
        <v>27.0</v>
      </c>
      <c r="F1377" s="107">
        <v>73.0</v>
      </c>
      <c r="G1377" s="15" t="str">
        <f t="shared" si="1"/>
        <v>27073</v>
      </c>
      <c r="H1377" s="23" t="s">
        <v>1320</v>
      </c>
      <c r="I1377" s="23" t="s">
        <v>65</v>
      </c>
      <c r="J1377" s="23" t="s">
        <v>351</v>
      </c>
      <c r="K1377" s="112" t="str">
        <f t="shared" si="24"/>
        <v>Lac Qui Parle, MN</v>
      </c>
      <c r="L1377" s="23">
        <v>16.0</v>
      </c>
      <c r="M1377" s="23" t="s">
        <v>63</v>
      </c>
      <c r="N1377" s="23" t="s">
        <v>63</v>
      </c>
      <c r="O1377" s="23" t="s">
        <v>63</v>
      </c>
      <c r="P1377" s="23" t="s">
        <v>63</v>
      </c>
      <c r="Q1377" s="23" t="s">
        <v>63</v>
      </c>
      <c r="R1377" s="23" t="s">
        <v>63</v>
      </c>
      <c r="S1377" s="23" t="s">
        <v>63</v>
      </c>
      <c r="T1377" s="32" t="s">
        <v>63</v>
      </c>
      <c r="U1377" s="123" t="s">
        <v>63</v>
      </c>
      <c r="V1377" s="23" t="s">
        <v>63</v>
      </c>
      <c r="W1377" s="127" t="s">
        <v>63</v>
      </c>
      <c r="X1377" s="125" t="s">
        <v>63</v>
      </c>
      <c r="Y1377" s="35">
        <v>16.0</v>
      </c>
      <c r="Z1377" s="32" t="s">
        <v>63</v>
      </c>
      <c r="AA1377" s="38"/>
      <c r="AB1377" s="38"/>
      <c r="AC1377" s="38"/>
      <c r="AD1377" s="38"/>
      <c r="AE1377" s="38"/>
      <c r="AF1377" s="38"/>
      <c r="AG1377" s="38"/>
      <c r="AH1377" s="38"/>
      <c r="AI1377" s="38"/>
      <c r="AJ1377" s="38"/>
      <c r="AK1377" s="38"/>
    </row>
    <row r="1378">
      <c r="A1378" s="99">
        <v>1377.0</v>
      </c>
      <c r="B1378" s="15"/>
      <c r="C1378" s="15"/>
      <c r="D1378" s="105">
        <v>1.0</v>
      </c>
      <c r="E1378" s="102">
        <v>27.0</v>
      </c>
      <c r="F1378" s="107">
        <v>75.0</v>
      </c>
      <c r="G1378" s="15" t="str">
        <f t="shared" si="1"/>
        <v>27075</v>
      </c>
      <c r="H1378" s="23" t="s">
        <v>337</v>
      </c>
      <c r="I1378" s="23" t="s">
        <v>65</v>
      </c>
      <c r="J1378" s="23" t="s">
        <v>351</v>
      </c>
      <c r="K1378" s="23" t="str">
        <f t="shared" si="24"/>
        <v>Lake, MN</v>
      </c>
      <c r="L1378" s="23">
        <v>24.0</v>
      </c>
      <c r="M1378" s="23" t="s">
        <v>63</v>
      </c>
      <c r="N1378" s="23" t="s">
        <v>63</v>
      </c>
      <c r="O1378" s="23" t="s">
        <v>63</v>
      </c>
      <c r="P1378" s="23" t="s">
        <v>63</v>
      </c>
      <c r="Q1378" s="23" t="s">
        <v>63</v>
      </c>
      <c r="R1378" s="23" t="s">
        <v>63</v>
      </c>
      <c r="S1378" s="23" t="s">
        <v>63</v>
      </c>
      <c r="T1378" s="32" t="s">
        <v>63</v>
      </c>
      <c r="U1378" s="123" t="s">
        <v>63</v>
      </c>
      <c r="V1378" s="23" t="s">
        <v>63</v>
      </c>
      <c r="W1378" s="127" t="s">
        <v>63</v>
      </c>
      <c r="X1378" s="125" t="s">
        <v>63</v>
      </c>
      <c r="Y1378" s="35">
        <v>17.0</v>
      </c>
      <c r="Z1378" s="32" t="s">
        <v>63</v>
      </c>
      <c r="AA1378" s="38"/>
      <c r="AB1378" s="38"/>
      <c r="AC1378" s="38"/>
      <c r="AD1378" s="38"/>
      <c r="AE1378" s="38"/>
      <c r="AF1378" s="38"/>
      <c r="AG1378" s="38"/>
      <c r="AH1378" s="38"/>
      <c r="AI1378" s="38"/>
      <c r="AJ1378" s="38"/>
      <c r="AK1378" s="38"/>
    </row>
    <row r="1379">
      <c r="A1379" s="99">
        <v>1378.0</v>
      </c>
      <c r="B1379" s="15"/>
      <c r="C1379" s="15"/>
      <c r="D1379" s="105">
        <v>1.0</v>
      </c>
      <c r="E1379" s="102">
        <v>27.0</v>
      </c>
      <c r="F1379" s="107">
        <v>77.0</v>
      </c>
      <c r="G1379" s="15" t="str">
        <f t="shared" si="1"/>
        <v>27077</v>
      </c>
      <c r="H1379" s="23" t="s">
        <v>1321</v>
      </c>
      <c r="I1379" s="23" t="s">
        <v>65</v>
      </c>
      <c r="J1379" s="23" t="s">
        <v>351</v>
      </c>
      <c r="K1379" s="112" t="str">
        <f t="shared" si="24"/>
        <v>Lake of The Woods, MN</v>
      </c>
      <c r="L1379" s="23" t="s">
        <v>63</v>
      </c>
      <c r="M1379" s="23" t="s">
        <v>63</v>
      </c>
      <c r="N1379" s="23" t="s">
        <v>63</v>
      </c>
      <c r="O1379" s="23" t="s">
        <v>63</v>
      </c>
      <c r="P1379" s="23" t="s">
        <v>63</v>
      </c>
      <c r="Q1379" s="23" t="s">
        <v>63</v>
      </c>
      <c r="R1379" s="23" t="s">
        <v>63</v>
      </c>
      <c r="S1379" s="23" t="s">
        <v>63</v>
      </c>
      <c r="T1379" s="32" t="s">
        <v>63</v>
      </c>
      <c r="U1379" s="123" t="s">
        <v>63</v>
      </c>
      <c r="V1379" s="23" t="s">
        <v>63</v>
      </c>
      <c r="W1379" s="127" t="s">
        <v>63</v>
      </c>
      <c r="X1379" s="125" t="s">
        <v>63</v>
      </c>
      <c r="Y1379" s="35">
        <v>10.0</v>
      </c>
      <c r="Z1379" s="32" t="s">
        <v>63</v>
      </c>
      <c r="AA1379" s="38"/>
      <c r="AB1379" s="38"/>
      <c r="AC1379" s="38"/>
      <c r="AD1379" s="38"/>
      <c r="AE1379" s="38"/>
      <c r="AF1379" s="38"/>
      <c r="AG1379" s="38"/>
      <c r="AH1379" s="38"/>
      <c r="AI1379" s="38"/>
      <c r="AJ1379" s="38"/>
      <c r="AK1379" s="38"/>
    </row>
    <row r="1380">
      <c r="A1380" s="99">
        <v>1379.0</v>
      </c>
      <c r="B1380" s="15"/>
      <c r="C1380" s="15"/>
      <c r="D1380" s="105">
        <v>1.0</v>
      </c>
      <c r="E1380" s="102">
        <v>27.0</v>
      </c>
      <c r="F1380" s="107">
        <v>79.0</v>
      </c>
      <c r="G1380" s="15" t="str">
        <f t="shared" si="1"/>
        <v>27079</v>
      </c>
      <c r="H1380" s="23" t="s">
        <v>1322</v>
      </c>
      <c r="I1380" s="23" t="s">
        <v>65</v>
      </c>
      <c r="J1380" s="23" t="s">
        <v>351</v>
      </c>
      <c r="K1380" s="23" t="str">
        <f t="shared" si="24"/>
        <v>Le Sueur, MN</v>
      </c>
      <c r="L1380" s="23">
        <v>57.0</v>
      </c>
      <c r="M1380" s="23" t="s">
        <v>63</v>
      </c>
      <c r="N1380" s="23" t="s">
        <v>63</v>
      </c>
      <c r="O1380" s="23" t="s">
        <v>63</v>
      </c>
      <c r="P1380" s="23" t="s">
        <v>63</v>
      </c>
      <c r="Q1380" s="23" t="s">
        <v>63</v>
      </c>
      <c r="R1380" s="23" t="s">
        <v>63</v>
      </c>
      <c r="S1380" s="23" t="s">
        <v>63</v>
      </c>
      <c r="T1380" s="32" t="s">
        <v>63</v>
      </c>
      <c r="U1380" s="123" t="s">
        <v>63</v>
      </c>
      <c r="V1380" s="23" t="s">
        <v>63</v>
      </c>
      <c r="W1380" s="127" t="s">
        <v>63</v>
      </c>
      <c r="X1380" s="125" t="s">
        <v>63</v>
      </c>
      <c r="Y1380" s="35">
        <v>27.0</v>
      </c>
      <c r="Z1380" s="32" t="s">
        <v>63</v>
      </c>
      <c r="AA1380" s="38"/>
      <c r="AB1380" s="38"/>
      <c r="AC1380" s="38"/>
      <c r="AD1380" s="38"/>
      <c r="AE1380" s="38"/>
      <c r="AF1380" s="38"/>
      <c r="AG1380" s="38"/>
      <c r="AH1380" s="38"/>
      <c r="AI1380" s="38"/>
      <c r="AJ1380" s="38"/>
      <c r="AK1380" s="38"/>
    </row>
    <row r="1381">
      <c r="A1381" s="99">
        <v>1380.0</v>
      </c>
      <c r="B1381" s="15"/>
      <c r="C1381" s="15"/>
      <c r="D1381" s="105">
        <v>1.0</v>
      </c>
      <c r="E1381" s="102">
        <v>27.0</v>
      </c>
      <c r="F1381" s="107">
        <v>81.0</v>
      </c>
      <c r="G1381" s="15" t="str">
        <f t="shared" si="1"/>
        <v>27081</v>
      </c>
      <c r="H1381" s="23" t="s">
        <v>290</v>
      </c>
      <c r="I1381" s="23" t="s">
        <v>65</v>
      </c>
      <c r="J1381" s="23" t="s">
        <v>351</v>
      </c>
      <c r="K1381" s="23" t="str">
        <f t="shared" si="24"/>
        <v>Lincoln, MN</v>
      </c>
      <c r="L1381" s="23" t="s">
        <v>63</v>
      </c>
      <c r="M1381" s="23" t="s">
        <v>63</v>
      </c>
      <c r="N1381" s="23" t="s">
        <v>63</v>
      </c>
      <c r="O1381" s="23" t="s">
        <v>63</v>
      </c>
      <c r="P1381" s="23" t="s">
        <v>63</v>
      </c>
      <c r="Q1381" s="23" t="s">
        <v>63</v>
      </c>
      <c r="R1381" s="23" t="s">
        <v>63</v>
      </c>
      <c r="S1381" s="23" t="s">
        <v>63</v>
      </c>
      <c r="T1381" s="32" t="s">
        <v>63</v>
      </c>
      <c r="U1381" s="123" t="s">
        <v>63</v>
      </c>
      <c r="V1381" s="23" t="s">
        <v>63</v>
      </c>
      <c r="W1381" s="127" t="s">
        <v>63</v>
      </c>
      <c r="X1381" s="125" t="s">
        <v>63</v>
      </c>
      <c r="Y1381" s="35">
        <v>16.0</v>
      </c>
      <c r="Z1381" s="32" t="s">
        <v>63</v>
      </c>
      <c r="AA1381" s="38"/>
      <c r="AB1381" s="38"/>
      <c r="AC1381" s="38"/>
      <c r="AD1381" s="38"/>
      <c r="AE1381" s="38"/>
      <c r="AF1381" s="38"/>
      <c r="AG1381" s="38"/>
      <c r="AH1381" s="38"/>
      <c r="AI1381" s="38"/>
      <c r="AJ1381" s="38"/>
      <c r="AK1381" s="38"/>
    </row>
    <row r="1382">
      <c r="A1382" s="99">
        <v>1381.0</v>
      </c>
      <c r="B1382" s="15"/>
      <c r="C1382" s="15"/>
      <c r="D1382" s="105">
        <v>1.0</v>
      </c>
      <c r="E1382" s="102">
        <v>27.0</v>
      </c>
      <c r="F1382" s="107">
        <v>83.0</v>
      </c>
      <c r="G1382" s="15" t="str">
        <f t="shared" si="1"/>
        <v>27083</v>
      </c>
      <c r="H1382" s="23" t="s">
        <v>910</v>
      </c>
      <c r="I1382" s="23" t="s">
        <v>65</v>
      </c>
      <c r="J1382" s="23" t="s">
        <v>351</v>
      </c>
      <c r="K1382" s="23" t="str">
        <f t="shared" si="24"/>
        <v>Lyon, MN</v>
      </c>
      <c r="L1382" s="23" t="s">
        <v>63</v>
      </c>
      <c r="M1382" s="23" t="s">
        <v>63</v>
      </c>
      <c r="N1382" s="23" t="s">
        <v>63</v>
      </c>
      <c r="O1382" s="23" t="s">
        <v>63</v>
      </c>
      <c r="P1382" s="23" t="s">
        <v>63</v>
      </c>
      <c r="Q1382" s="23" t="s">
        <v>63</v>
      </c>
      <c r="R1382" s="23" t="s">
        <v>63</v>
      </c>
      <c r="S1382" s="23" t="s">
        <v>63</v>
      </c>
      <c r="T1382" s="32" t="s">
        <v>63</v>
      </c>
      <c r="U1382" s="123" t="s">
        <v>63</v>
      </c>
      <c r="V1382" s="23" t="s">
        <v>63</v>
      </c>
      <c r="W1382" s="127" t="s">
        <v>63</v>
      </c>
      <c r="X1382" s="125" t="s">
        <v>63</v>
      </c>
      <c r="Y1382" s="35">
        <v>40.0</v>
      </c>
      <c r="Z1382" s="32" t="s">
        <v>63</v>
      </c>
      <c r="AA1382" s="38"/>
      <c r="AB1382" s="38"/>
      <c r="AC1382" s="38"/>
      <c r="AD1382" s="38"/>
      <c r="AE1382" s="38"/>
      <c r="AF1382" s="38"/>
      <c r="AG1382" s="38"/>
      <c r="AH1382" s="38"/>
      <c r="AI1382" s="38"/>
      <c r="AJ1382" s="38"/>
      <c r="AK1382" s="38"/>
    </row>
    <row r="1383">
      <c r="A1383" s="99">
        <v>1382.0</v>
      </c>
      <c r="B1383" s="15"/>
      <c r="C1383" s="15"/>
      <c r="D1383" s="105">
        <v>1.0</v>
      </c>
      <c r="E1383" s="102">
        <v>27.0</v>
      </c>
      <c r="F1383" s="107">
        <v>85.0</v>
      </c>
      <c r="G1383" s="15" t="str">
        <f t="shared" si="1"/>
        <v>27085</v>
      </c>
      <c r="H1383" s="23" t="s">
        <v>1323</v>
      </c>
      <c r="I1383" s="23" t="s">
        <v>65</v>
      </c>
      <c r="J1383" s="23" t="s">
        <v>351</v>
      </c>
      <c r="K1383" s="23" t="str">
        <f t="shared" si="24"/>
        <v>McLeod, MN</v>
      </c>
      <c r="L1383" s="23">
        <v>20.0</v>
      </c>
      <c r="M1383" s="23" t="s">
        <v>63</v>
      </c>
      <c r="N1383" s="23" t="s">
        <v>63</v>
      </c>
      <c r="O1383" s="23" t="s">
        <v>63</v>
      </c>
      <c r="P1383" s="23" t="s">
        <v>63</v>
      </c>
      <c r="Q1383" s="23" t="s">
        <v>63</v>
      </c>
      <c r="R1383" s="23" t="s">
        <v>63</v>
      </c>
      <c r="S1383" s="23" t="s">
        <v>63</v>
      </c>
      <c r="T1383" s="32" t="s">
        <v>63</v>
      </c>
      <c r="U1383" s="123" t="s">
        <v>63</v>
      </c>
      <c r="V1383" s="23" t="s">
        <v>63</v>
      </c>
      <c r="W1383" s="127" t="s">
        <v>63</v>
      </c>
      <c r="X1383" s="125" t="s">
        <v>63</v>
      </c>
      <c r="Y1383" s="35">
        <v>7.0</v>
      </c>
      <c r="Z1383" s="32" t="s">
        <v>63</v>
      </c>
      <c r="AA1383" s="38"/>
      <c r="AB1383" s="38"/>
      <c r="AC1383" s="38"/>
      <c r="AD1383" s="38"/>
      <c r="AE1383" s="38"/>
      <c r="AF1383" s="38"/>
      <c r="AG1383" s="38"/>
      <c r="AH1383" s="38"/>
      <c r="AI1383" s="38"/>
      <c r="AJ1383" s="38"/>
      <c r="AK1383" s="38"/>
    </row>
    <row r="1384">
      <c r="A1384" s="99">
        <v>1383.0</v>
      </c>
      <c r="B1384" s="15"/>
      <c r="C1384" s="15"/>
      <c r="D1384" s="105">
        <v>1.0</v>
      </c>
      <c r="E1384" s="102">
        <v>27.0</v>
      </c>
      <c r="F1384" s="107">
        <v>87.0</v>
      </c>
      <c r="G1384" s="15" t="str">
        <f t="shared" si="1"/>
        <v>27087</v>
      </c>
      <c r="H1384" s="23" t="s">
        <v>1324</v>
      </c>
      <c r="I1384" s="23" t="s">
        <v>65</v>
      </c>
      <c r="J1384" s="23" t="s">
        <v>351</v>
      </c>
      <c r="K1384" s="23" t="str">
        <f t="shared" si="24"/>
        <v>Mahnomen, MN</v>
      </c>
      <c r="L1384" s="23">
        <v>10.0</v>
      </c>
      <c r="M1384" s="23" t="s">
        <v>63</v>
      </c>
      <c r="N1384" s="23" t="s">
        <v>63</v>
      </c>
      <c r="O1384" s="23" t="s">
        <v>63</v>
      </c>
      <c r="P1384" s="23" t="s">
        <v>63</v>
      </c>
      <c r="Q1384" s="23" t="s">
        <v>63</v>
      </c>
      <c r="R1384" s="23" t="s">
        <v>63</v>
      </c>
      <c r="S1384" s="23" t="s">
        <v>63</v>
      </c>
      <c r="T1384" s="32" t="s">
        <v>63</v>
      </c>
      <c r="U1384" s="123" t="s">
        <v>63</v>
      </c>
      <c r="V1384" s="23" t="s">
        <v>63</v>
      </c>
      <c r="W1384" s="127" t="s">
        <v>63</v>
      </c>
      <c r="X1384" s="125" t="s">
        <v>63</v>
      </c>
      <c r="Y1384" s="35">
        <v>31.0</v>
      </c>
      <c r="Z1384" s="32" t="s">
        <v>63</v>
      </c>
      <c r="AA1384" s="38"/>
      <c r="AB1384" s="38"/>
      <c r="AC1384" s="38"/>
      <c r="AD1384" s="38"/>
      <c r="AE1384" s="38"/>
      <c r="AF1384" s="38"/>
      <c r="AG1384" s="38"/>
      <c r="AH1384" s="38"/>
      <c r="AI1384" s="38"/>
      <c r="AJ1384" s="38"/>
      <c r="AK1384" s="38"/>
    </row>
    <row r="1385">
      <c r="A1385" s="99">
        <v>1384.0</v>
      </c>
      <c r="B1385" s="15"/>
      <c r="C1385" s="15"/>
      <c r="D1385" s="105">
        <v>1.0</v>
      </c>
      <c r="E1385" s="102">
        <v>27.0</v>
      </c>
      <c r="F1385" s="107">
        <v>89.0</v>
      </c>
      <c r="G1385" s="15" t="str">
        <f t="shared" si="1"/>
        <v>27089</v>
      </c>
      <c r="H1385" s="23" t="s">
        <v>154</v>
      </c>
      <c r="I1385" s="23" t="s">
        <v>65</v>
      </c>
      <c r="J1385" s="23" t="s">
        <v>351</v>
      </c>
      <c r="K1385" s="23" t="str">
        <f t="shared" si="24"/>
        <v>Marshall, MN</v>
      </c>
      <c r="L1385" s="23" t="s">
        <v>63</v>
      </c>
      <c r="M1385" s="23" t="s">
        <v>63</v>
      </c>
      <c r="N1385" s="23" t="s">
        <v>63</v>
      </c>
      <c r="O1385" s="23" t="s">
        <v>63</v>
      </c>
      <c r="P1385" s="23" t="s">
        <v>63</v>
      </c>
      <c r="Q1385" s="23" t="s">
        <v>63</v>
      </c>
      <c r="R1385" s="23" t="s">
        <v>63</v>
      </c>
      <c r="S1385" s="23" t="s">
        <v>63</v>
      </c>
      <c r="T1385" s="32" t="s">
        <v>63</v>
      </c>
      <c r="U1385" s="123" t="s">
        <v>63</v>
      </c>
      <c r="V1385" s="23" t="s">
        <v>63</v>
      </c>
      <c r="W1385" s="127" t="s">
        <v>63</v>
      </c>
      <c r="X1385" s="125" t="s">
        <v>63</v>
      </c>
      <c r="Y1385" s="35">
        <v>39.0</v>
      </c>
      <c r="Z1385" s="32" t="s">
        <v>63</v>
      </c>
      <c r="AA1385" s="38"/>
      <c r="AB1385" s="38"/>
      <c r="AC1385" s="38"/>
      <c r="AD1385" s="38"/>
      <c r="AE1385" s="38"/>
      <c r="AF1385" s="38"/>
      <c r="AG1385" s="38"/>
      <c r="AH1385" s="38"/>
      <c r="AI1385" s="38"/>
      <c r="AJ1385" s="38"/>
      <c r="AK1385" s="38"/>
    </row>
    <row r="1386">
      <c r="A1386" s="99">
        <v>1385.0</v>
      </c>
      <c r="B1386" s="15"/>
      <c r="C1386" s="15"/>
      <c r="D1386" s="105">
        <v>1.0</v>
      </c>
      <c r="E1386" s="102">
        <v>27.0</v>
      </c>
      <c r="F1386" s="107">
        <v>91.0</v>
      </c>
      <c r="G1386" s="15" t="str">
        <f t="shared" si="1"/>
        <v>27091</v>
      </c>
      <c r="H1386" s="23" t="s">
        <v>510</v>
      </c>
      <c r="I1386" s="23" t="s">
        <v>65</v>
      </c>
      <c r="J1386" s="23" t="s">
        <v>351</v>
      </c>
      <c r="K1386" s="23" t="str">
        <f t="shared" si="24"/>
        <v>Martin, MN</v>
      </c>
      <c r="L1386" s="23">
        <v>99.0</v>
      </c>
      <c r="M1386" s="23" t="s">
        <v>63</v>
      </c>
      <c r="N1386" s="23" t="s">
        <v>63</v>
      </c>
      <c r="O1386" s="23" t="s">
        <v>63</v>
      </c>
      <c r="P1386" s="23" t="s">
        <v>63</v>
      </c>
      <c r="Q1386" s="23" t="s">
        <v>63</v>
      </c>
      <c r="R1386" s="23" t="s">
        <v>63</v>
      </c>
      <c r="S1386" s="23" t="s">
        <v>63</v>
      </c>
      <c r="T1386" s="32" t="s">
        <v>63</v>
      </c>
      <c r="U1386" s="123" t="s">
        <v>63</v>
      </c>
      <c r="V1386" s="23" t="s">
        <v>63</v>
      </c>
      <c r="W1386" s="127" t="s">
        <v>63</v>
      </c>
      <c r="X1386" s="125" t="s">
        <v>63</v>
      </c>
      <c r="Y1386" s="35">
        <v>47.0</v>
      </c>
      <c r="Z1386" s="32" t="s">
        <v>63</v>
      </c>
      <c r="AA1386" s="38"/>
      <c r="AB1386" s="38"/>
      <c r="AC1386" s="38"/>
      <c r="AD1386" s="38"/>
      <c r="AE1386" s="38"/>
      <c r="AF1386" s="38"/>
      <c r="AG1386" s="38"/>
      <c r="AH1386" s="38"/>
      <c r="AI1386" s="38"/>
      <c r="AJ1386" s="38"/>
      <c r="AK1386" s="38"/>
    </row>
    <row r="1387">
      <c r="A1387" s="99">
        <v>1386.0</v>
      </c>
      <c r="B1387" s="15"/>
      <c r="C1387" s="15"/>
      <c r="D1387" s="105">
        <v>1.0</v>
      </c>
      <c r="E1387" s="102">
        <v>27.0</v>
      </c>
      <c r="F1387" s="107">
        <v>93.0</v>
      </c>
      <c r="G1387" s="15" t="str">
        <f t="shared" si="1"/>
        <v>27093</v>
      </c>
      <c r="H1387" s="23" t="s">
        <v>1325</v>
      </c>
      <c r="I1387" s="23" t="s">
        <v>65</v>
      </c>
      <c r="J1387" s="23" t="s">
        <v>351</v>
      </c>
      <c r="K1387" s="23" t="str">
        <f t="shared" si="24"/>
        <v>Meeker, MN</v>
      </c>
      <c r="L1387" s="23">
        <v>65.0</v>
      </c>
      <c r="M1387" s="23" t="s">
        <v>63</v>
      </c>
      <c r="N1387" s="23" t="s">
        <v>63</v>
      </c>
      <c r="O1387" s="23" t="s">
        <v>63</v>
      </c>
      <c r="P1387" s="23" t="s">
        <v>63</v>
      </c>
      <c r="Q1387" s="23" t="s">
        <v>63</v>
      </c>
      <c r="R1387" s="23" t="s">
        <v>63</v>
      </c>
      <c r="S1387" s="23" t="s">
        <v>63</v>
      </c>
      <c r="T1387" s="32" t="s">
        <v>63</v>
      </c>
      <c r="U1387" s="123" t="s">
        <v>63</v>
      </c>
      <c r="V1387" s="23" t="s">
        <v>63</v>
      </c>
      <c r="W1387" s="127" t="s">
        <v>63</v>
      </c>
      <c r="X1387" s="125" t="s">
        <v>63</v>
      </c>
      <c r="Y1387" s="35">
        <v>37.0</v>
      </c>
      <c r="Z1387" s="32" t="s">
        <v>63</v>
      </c>
      <c r="AA1387" s="38"/>
      <c r="AB1387" s="38"/>
      <c r="AC1387" s="38"/>
      <c r="AD1387" s="38"/>
      <c r="AE1387" s="38"/>
      <c r="AF1387" s="38"/>
      <c r="AG1387" s="38"/>
      <c r="AH1387" s="38"/>
      <c r="AI1387" s="38"/>
      <c r="AJ1387" s="38"/>
      <c r="AK1387" s="38"/>
    </row>
    <row r="1388">
      <c r="A1388" s="99">
        <v>1387.0</v>
      </c>
      <c r="B1388" s="15"/>
      <c r="C1388" s="15"/>
      <c r="D1388" s="105">
        <v>1.0</v>
      </c>
      <c r="E1388" s="102">
        <v>27.0</v>
      </c>
      <c r="F1388" s="107">
        <v>95.0</v>
      </c>
      <c r="G1388" s="15" t="str">
        <f t="shared" si="1"/>
        <v>27095</v>
      </c>
      <c r="H1388" s="23" t="s">
        <v>1326</v>
      </c>
      <c r="I1388" s="23" t="s">
        <v>65</v>
      </c>
      <c r="J1388" s="23" t="s">
        <v>351</v>
      </c>
      <c r="K1388" s="23" t="str">
        <f t="shared" si="24"/>
        <v>Mille Lacs, MN</v>
      </c>
      <c r="L1388" s="23">
        <v>215.0</v>
      </c>
      <c r="M1388" s="23" t="s">
        <v>63</v>
      </c>
      <c r="N1388" s="23" t="s">
        <v>63</v>
      </c>
      <c r="O1388" s="23" t="s">
        <v>63</v>
      </c>
      <c r="P1388" s="23" t="s">
        <v>63</v>
      </c>
      <c r="Q1388" s="23" t="s">
        <v>63</v>
      </c>
      <c r="R1388" s="23" t="s">
        <v>63</v>
      </c>
      <c r="S1388" s="23" t="s">
        <v>63</v>
      </c>
      <c r="T1388" s="32" t="s">
        <v>63</v>
      </c>
      <c r="U1388" s="123" t="s">
        <v>63</v>
      </c>
      <c r="V1388" s="23" t="s">
        <v>63</v>
      </c>
      <c r="W1388" s="127" t="s">
        <v>63</v>
      </c>
      <c r="X1388" s="125" t="s">
        <v>63</v>
      </c>
      <c r="Y1388" s="35">
        <v>43.0</v>
      </c>
      <c r="Z1388" s="32" t="s">
        <v>63</v>
      </c>
      <c r="AA1388" s="38"/>
      <c r="AB1388" s="38"/>
      <c r="AC1388" s="38"/>
      <c r="AD1388" s="38"/>
      <c r="AE1388" s="38"/>
      <c r="AF1388" s="38"/>
      <c r="AG1388" s="38"/>
      <c r="AH1388" s="38"/>
      <c r="AI1388" s="38"/>
      <c r="AJ1388" s="38"/>
      <c r="AK1388" s="38"/>
    </row>
    <row r="1389">
      <c r="A1389" s="99">
        <v>1388.0</v>
      </c>
      <c r="B1389" s="15"/>
      <c r="C1389" s="15"/>
      <c r="D1389" s="105">
        <v>1.0</v>
      </c>
      <c r="E1389" s="102">
        <v>27.0</v>
      </c>
      <c r="F1389" s="107">
        <v>97.0</v>
      </c>
      <c r="G1389" s="15" t="str">
        <f t="shared" si="1"/>
        <v>27097</v>
      </c>
      <c r="H1389" s="23" t="s">
        <v>1327</v>
      </c>
      <c r="I1389" s="23" t="s">
        <v>65</v>
      </c>
      <c r="J1389" s="23" t="s">
        <v>351</v>
      </c>
      <c r="K1389" s="23" t="str">
        <f t="shared" si="24"/>
        <v>Morrison, MN</v>
      </c>
      <c r="L1389" s="23">
        <v>109.0</v>
      </c>
      <c r="M1389" s="23" t="s">
        <v>63</v>
      </c>
      <c r="N1389" s="23" t="s">
        <v>63</v>
      </c>
      <c r="O1389" s="23" t="s">
        <v>63</v>
      </c>
      <c r="P1389" s="23" t="s">
        <v>63</v>
      </c>
      <c r="Q1389" s="23" t="s">
        <v>63</v>
      </c>
      <c r="R1389" s="23" t="s">
        <v>63</v>
      </c>
      <c r="S1389" s="23" t="s">
        <v>63</v>
      </c>
      <c r="T1389" s="32" t="s">
        <v>63</v>
      </c>
      <c r="U1389" s="123" t="s">
        <v>63</v>
      </c>
      <c r="V1389" s="23" t="s">
        <v>63</v>
      </c>
      <c r="W1389" s="127" t="s">
        <v>63</v>
      </c>
      <c r="X1389" s="125" t="s">
        <v>63</v>
      </c>
      <c r="Y1389" s="35">
        <v>44.0</v>
      </c>
      <c r="Z1389" s="32" t="s">
        <v>63</v>
      </c>
      <c r="AA1389" s="38"/>
      <c r="AB1389" s="38"/>
      <c r="AC1389" s="38"/>
      <c r="AD1389" s="38"/>
      <c r="AE1389" s="38"/>
      <c r="AF1389" s="38"/>
      <c r="AG1389" s="38"/>
      <c r="AH1389" s="38"/>
      <c r="AI1389" s="38"/>
      <c r="AJ1389" s="38"/>
      <c r="AK1389" s="38"/>
    </row>
    <row r="1390">
      <c r="A1390" s="99">
        <v>1389.0</v>
      </c>
      <c r="B1390" s="15"/>
      <c r="C1390" s="15"/>
      <c r="D1390" s="105">
        <v>1.0</v>
      </c>
      <c r="E1390" s="102">
        <v>27.0</v>
      </c>
      <c r="F1390" s="107">
        <v>99.0</v>
      </c>
      <c r="G1390" s="15" t="str">
        <f t="shared" si="1"/>
        <v>27099</v>
      </c>
      <c r="H1390" s="23" t="s">
        <v>1328</v>
      </c>
      <c r="I1390" s="23" t="s">
        <v>65</v>
      </c>
      <c r="J1390" s="23" t="s">
        <v>351</v>
      </c>
      <c r="K1390" s="23" t="str">
        <f t="shared" si="24"/>
        <v>Mower, MN</v>
      </c>
      <c r="L1390" s="23">
        <v>90.0</v>
      </c>
      <c r="M1390" s="23" t="s">
        <v>63</v>
      </c>
      <c r="N1390" s="23" t="s">
        <v>63</v>
      </c>
      <c r="O1390" s="23" t="s">
        <v>63</v>
      </c>
      <c r="P1390" s="23" t="s">
        <v>63</v>
      </c>
      <c r="Q1390" s="23" t="s">
        <v>63</v>
      </c>
      <c r="R1390" s="23" t="s">
        <v>63</v>
      </c>
      <c r="S1390" s="23" t="s">
        <v>63</v>
      </c>
      <c r="T1390" s="32" t="s">
        <v>63</v>
      </c>
      <c r="U1390" s="123" t="s">
        <v>63</v>
      </c>
      <c r="V1390" s="23" t="s">
        <v>63</v>
      </c>
      <c r="W1390" s="127" t="s">
        <v>63</v>
      </c>
      <c r="X1390" s="125" t="s">
        <v>63</v>
      </c>
      <c r="Y1390" s="35">
        <v>49.0</v>
      </c>
      <c r="Z1390" s="32" t="s">
        <v>63</v>
      </c>
      <c r="AA1390" s="38"/>
      <c r="AB1390" s="38"/>
      <c r="AC1390" s="38"/>
      <c r="AD1390" s="38"/>
      <c r="AE1390" s="38"/>
      <c r="AF1390" s="38"/>
      <c r="AG1390" s="38"/>
      <c r="AH1390" s="38"/>
      <c r="AI1390" s="38"/>
      <c r="AJ1390" s="38"/>
      <c r="AK1390" s="38"/>
    </row>
    <row r="1391">
      <c r="A1391" s="99">
        <v>1390.0</v>
      </c>
      <c r="B1391" s="15"/>
      <c r="C1391" s="15"/>
      <c r="D1391" s="105">
        <v>1.0</v>
      </c>
      <c r="E1391" s="102">
        <v>27.0</v>
      </c>
      <c r="F1391" s="107">
        <v>101.0</v>
      </c>
      <c r="G1391" s="15" t="str">
        <f t="shared" si="1"/>
        <v>27101</v>
      </c>
      <c r="H1391" s="23" t="s">
        <v>611</v>
      </c>
      <c r="I1391" s="23" t="s">
        <v>65</v>
      </c>
      <c r="J1391" s="23" t="s">
        <v>351</v>
      </c>
      <c r="K1391" s="23" t="str">
        <f t="shared" si="24"/>
        <v>Murray, MN</v>
      </c>
      <c r="L1391" s="23" t="s">
        <v>63</v>
      </c>
      <c r="M1391" s="23" t="s">
        <v>63</v>
      </c>
      <c r="N1391" s="23" t="s">
        <v>63</v>
      </c>
      <c r="O1391" s="23" t="s">
        <v>63</v>
      </c>
      <c r="P1391" s="23" t="s">
        <v>63</v>
      </c>
      <c r="Q1391" s="23" t="s">
        <v>63</v>
      </c>
      <c r="R1391" s="23" t="s">
        <v>63</v>
      </c>
      <c r="S1391" s="23" t="s">
        <v>63</v>
      </c>
      <c r="T1391" s="32" t="s">
        <v>63</v>
      </c>
      <c r="U1391" s="123" t="s">
        <v>63</v>
      </c>
      <c r="V1391" s="23" t="s">
        <v>63</v>
      </c>
      <c r="W1391" s="127" t="s">
        <v>63</v>
      </c>
      <c r="X1391" s="125" t="s">
        <v>63</v>
      </c>
      <c r="Y1391" s="35">
        <v>20.0</v>
      </c>
      <c r="Z1391" s="32" t="s">
        <v>63</v>
      </c>
      <c r="AA1391" s="38"/>
      <c r="AB1391" s="38"/>
      <c r="AC1391" s="38"/>
      <c r="AD1391" s="38"/>
      <c r="AE1391" s="38"/>
      <c r="AF1391" s="38"/>
      <c r="AG1391" s="38"/>
      <c r="AH1391" s="38"/>
      <c r="AI1391" s="38"/>
      <c r="AJ1391" s="38"/>
      <c r="AK1391" s="38"/>
    </row>
    <row r="1392">
      <c r="A1392" s="99">
        <v>1391.0</v>
      </c>
      <c r="B1392" s="15"/>
      <c r="C1392" s="15"/>
      <c r="D1392" s="105">
        <v>1.0</v>
      </c>
      <c r="E1392" s="102">
        <v>27.0</v>
      </c>
      <c r="F1392" s="107">
        <v>103.0</v>
      </c>
      <c r="G1392" s="15" t="str">
        <f t="shared" si="1"/>
        <v>27103</v>
      </c>
      <c r="H1392" s="23" t="s">
        <v>1329</v>
      </c>
      <c r="I1392" s="23" t="s">
        <v>65</v>
      </c>
      <c r="J1392" s="23" t="s">
        <v>351</v>
      </c>
      <c r="K1392" s="23" t="str">
        <f t="shared" si="24"/>
        <v>Nicollet, MN</v>
      </c>
      <c r="L1392" s="23">
        <v>61.0</v>
      </c>
      <c r="M1392" s="23" t="s">
        <v>63</v>
      </c>
      <c r="N1392" s="23" t="s">
        <v>63</v>
      </c>
      <c r="O1392" s="23" t="s">
        <v>63</v>
      </c>
      <c r="P1392" s="23" t="s">
        <v>63</v>
      </c>
      <c r="Q1392" s="23" t="s">
        <v>63</v>
      </c>
      <c r="R1392" s="23" t="s">
        <v>63</v>
      </c>
      <c r="S1392" s="23" t="s">
        <v>63</v>
      </c>
      <c r="T1392" s="32" t="s">
        <v>63</v>
      </c>
      <c r="U1392" s="123" t="s">
        <v>63</v>
      </c>
      <c r="V1392" s="23" t="s">
        <v>63</v>
      </c>
      <c r="W1392" s="127" t="s">
        <v>63</v>
      </c>
      <c r="X1392" s="125" t="s">
        <v>63</v>
      </c>
      <c r="Y1392" s="35">
        <v>30.0</v>
      </c>
      <c r="Z1392" s="32" t="s">
        <v>63</v>
      </c>
      <c r="AA1392" s="38"/>
      <c r="AB1392" s="38"/>
      <c r="AC1392" s="38"/>
      <c r="AD1392" s="38"/>
      <c r="AE1392" s="38"/>
      <c r="AF1392" s="38"/>
      <c r="AG1392" s="38"/>
      <c r="AH1392" s="38"/>
      <c r="AI1392" s="38"/>
      <c r="AJ1392" s="38"/>
      <c r="AK1392" s="38"/>
    </row>
    <row r="1393">
      <c r="A1393" s="99">
        <v>1392.0</v>
      </c>
      <c r="B1393" s="15"/>
      <c r="C1393" s="15"/>
      <c r="D1393" s="105">
        <v>1.0</v>
      </c>
      <c r="E1393" s="102">
        <v>27.0</v>
      </c>
      <c r="F1393" s="107">
        <v>105.0</v>
      </c>
      <c r="G1393" s="15" t="str">
        <f t="shared" si="1"/>
        <v>27105</v>
      </c>
      <c r="H1393" s="23" t="s">
        <v>1330</v>
      </c>
      <c r="I1393" s="23" t="s">
        <v>65</v>
      </c>
      <c r="J1393" s="23" t="s">
        <v>351</v>
      </c>
      <c r="K1393" s="23" t="str">
        <f t="shared" si="24"/>
        <v>Nobles, MN</v>
      </c>
      <c r="L1393" s="23">
        <v>50.0</v>
      </c>
      <c r="M1393" s="23" t="s">
        <v>63</v>
      </c>
      <c r="N1393" s="23" t="s">
        <v>63</v>
      </c>
      <c r="O1393" s="23" t="s">
        <v>63</v>
      </c>
      <c r="P1393" s="23" t="s">
        <v>63</v>
      </c>
      <c r="Q1393" s="23" t="s">
        <v>63</v>
      </c>
      <c r="R1393" s="23" t="s">
        <v>63</v>
      </c>
      <c r="S1393" s="23" t="s">
        <v>63</v>
      </c>
      <c r="T1393" s="32" t="s">
        <v>63</v>
      </c>
      <c r="U1393" s="123" t="s">
        <v>63</v>
      </c>
      <c r="V1393" s="23" t="s">
        <v>63</v>
      </c>
      <c r="W1393" s="127" t="s">
        <v>63</v>
      </c>
      <c r="X1393" s="125" t="s">
        <v>63</v>
      </c>
      <c r="Y1393" s="35">
        <v>34.0</v>
      </c>
      <c r="Z1393" s="32" t="s">
        <v>63</v>
      </c>
      <c r="AA1393" s="38"/>
      <c r="AB1393" s="38"/>
      <c r="AC1393" s="38"/>
      <c r="AD1393" s="38"/>
      <c r="AE1393" s="38"/>
      <c r="AF1393" s="38"/>
      <c r="AG1393" s="38"/>
      <c r="AH1393" s="38"/>
      <c r="AI1393" s="38"/>
      <c r="AJ1393" s="38"/>
      <c r="AK1393" s="38"/>
    </row>
    <row r="1394">
      <c r="A1394" s="99">
        <v>1393.0</v>
      </c>
      <c r="B1394" s="15"/>
      <c r="C1394" s="15"/>
      <c r="D1394" s="105">
        <v>1.0</v>
      </c>
      <c r="E1394" s="102">
        <v>27.0</v>
      </c>
      <c r="F1394" s="107">
        <v>107.0</v>
      </c>
      <c r="G1394" s="15" t="str">
        <f t="shared" si="1"/>
        <v>27107</v>
      </c>
      <c r="H1394" s="23" t="s">
        <v>1331</v>
      </c>
      <c r="I1394" s="23" t="s">
        <v>65</v>
      </c>
      <c r="J1394" s="23" t="s">
        <v>351</v>
      </c>
      <c r="K1394" s="23" t="str">
        <f t="shared" si="24"/>
        <v>Norman, MN</v>
      </c>
      <c r="L1394" s="23">
        <v>16.0</v>
      </c>
      <c r="M1394" s="23" t="s">
        <v>63</v>
      </c>
      <c r="N1394" s="23" t="s">
        <v>63</v>
      </c>
      <c r="O1394" s="23" t="s">
        <v>63</v>
      </c>
      <c r="P1394" s="23" t="s">
        <v>63</v>
      </c>
      <c r="Q1394" s="23" t="s">
        <v>63</v>
      </c>
      <c r="R1394" s="23" t="s">
        <v>63</v>
      </c>
      <c r="S1394" s="23" t="s">
        <v>63</v>
      </c>
      <c r="T1394" s="32" t="s">
        <v>63</v>
      </c>
      <c r="U1394" s="123" t="s">
        <v>63</v>
      </c>
      <c r="V1394" s="23" t="s">
        <v>63</v>
      </c>
      <c r="W1394" s="127" t="s">
        <v>63</v>
      </c>
      <c r="X1394" s="125" t="s">
        <v>63</v>
      </c>
      <c r="Y1394" s="35">
        <v>18.0</v>
      </c>
      <c r="Z1394" s="32" t="s">
        <v>63</v>
      </c>
      <c r="AA1394" s="38"/>
      <c r="AB1394" s="38"/>
      <c r="AC1394" s="38"/>
      <c r="AD1394" s="38"/>
      <c r="AE1394" s="38"/>
      <c r="AF1394" s="38"/>
      <c r="AG1394" s="38"/>
      <c r="AH1394" s="38"/>
      <c r="AI1394" s="38"/>
      <c r="AJ1394" s="38"/>
      <c r="AK1394" s="38"/>
    </row>
    <row r="1395">
      <c r="A1395" s="99">
        <v>1394.0</v>
      </c>
      <c r="B1395" s="15"/>
      <c r="C1395" s="15"/>
      <c r="D1395" s="105">
        <v>1.0</v>
      </c>
      <c r="E1395" s="102">
        <v>27.0</v>
      </c>
      <c r="F1395" s="107">
        <v>109.0</v>
      </c>
      <c r="G1395" s="15" t="str">
        <f t="shared" si="1"/>
        <v>27109</v>
      </c>
      <c r="H1395" s="23" t="s">
        <v>1332</v>
      </c>
      <c r="I1395" s="23" t="s">
        <v>65</v>
      </c>
      <c r="J1395" s="23" t="s">
        <v>351</v>
      </c>
      <c r="K1395" s="23" t="str">
        <f t="shared" si="24"/>
        <v>Olmsted, MN</v>
      </c>
      <c r="L1395" s="23">
        <v>205.0</v>
      </c>
      <c r="M1395" s="23" t="s">
        <v>63</v>
      </c>
      <c r="N1395" s="23" t="s">
        <v>63</v>
      </c>
      <c r="O1395" s="23" t="s">
        <v>63</v>
      </c>
      <c r="P1395" s="23" t="s">
        <v>63</v>
      </c>
      <c r="Q1395" s="23" t="s">
        <v>63</v>
      </c>
      <c r="R1395" s="23" t="s">
        <v>63</v>
      </c>
      <c r="S1395" s="23" t="s">
        <v>63</v>
      </c>
      <c r="T1395" s="32" t="s">
        <v>63</v>
      </c>
      <c r="U1395" s="123" t="s">
        <v>63</v>
      </c>
      <c r="V1395" s="23" t="s">
        <v>63</v>
      </c>
      <c r="W1395" s="127" t="s">
        <v>63</v>
      </c>
      <c r="X1395" s="125" t="s">
        <v>63</v>
      </c>
      <c r="Y1395" s="35">
        <v>110.0</v>
      </c>
      <c r="Z1395" s="32" t="s">
        <v>63</v>
      </c>
      <c r="AA1395" s="38"/>
      <c r="AB1395" s="38"/>
      <c r="AC1395" s="38"/>
      <c r="AD1395" s="38"/>
      <c r="AE1395" s="38"/>
      <c r="AF1395" s="38"/>
      <c r="AG1395" s="38"/>
      <c r="AH1395" s="38"/>
      <c r="AI1395" s="38"/>
      <c r="AJ1395" s="38"/>
      <c r="AK1395" s="38"/>
    </row>
    <row r="1396">
      <c r="A1396" s="99">
        <v>1395.0</v>
      </c>
      <c r="B1396" s="15"/>
      <c r="C1396" s="15"/>
      <c r="D1396" s="105">
        <v>1.0</v>
      </c>
      <c r="E1396" s="102">
        <v>27.0</v>
      </c>
      <c r="F1396" s="107">
        <v>111.0</v>
      </c>
      <c r="G1396" s="15" t="str">
        <f t="shared" si="1"/>
        <v>27111</v>
      </c>
      <c r="H1396" s="23" t="s">
        <v>1333</v>
      </c>
      <c r="I1396" s="23" t="s">
        <v>65</v>
      </c>
      <c r="J1396" s="23" t="s">
        <v>351</v>
      </c>
      <c r="K1396" s="23" t="str">
        <f t="shared" si="24"/>
        <v>Otter Tail, MN</v>
      </c>
      <c r="L1396" s="23">
        <v>178.0</v>
      </c>
      <c r="M1396" s="23" t="s">
        <v>63</v>
      </c>
      <c r="N1396" s="23" t="s">
        <v>63</v>
      </c>
      <c r="O1396" s="23" t="s">
        <v>63</v>
      </c>
      <c r="P1396" s="23" t="s">
        <v>63</v>
      </c>
      <c r="Q1396" s="23" t="s">
        <v>63</v>
      </c>
      <c r="R1396" s="23" t="s">
        <v>63</v>
      </c>
      <c r="S1396" s="23" t="s">
        <v>63</v>
      </c>
      <c r="T1396" s="32" t="s">
        <v>63</v>
      </c>
      <c r="U1396" s="123" t="s">
        <v>63</v>
      </c>
      <c r="V1396" s="23" t="s">
        <v>63</v>
      </c>
      <c r="W1396" s="127" t="s">
        <v>63</v>
      </c>
      <c r="X1396" s="125" t="s">
        <v>63</v>
      </c>
      <c r="Y1396" s="35">
        <v>100.0</v>
      </c>
      <c r="Z1396" s="32" t="s">
        <v>63</v>
      </c>
      <c r="AA1396" s="38"/>
      <c r="AB1396" s="38"/>
      <c r="AC1396" s="38"/>
      <c r="AD1396" s="38"/>
      <c r="AE1396" s="38"/>
      <c r="AF1396" s="38"/>
      <c r="AG1396" s="38"/>
      <c r="AH1396" s="38"/>
      <c r="AI1396" s="38"/>
      <c r="AJ1396" s="38"/>
      <c r="AK1396" s="38"/>
    </row>
    <row r="1397">
      <c r="A1397" s="99">
        <v>1396.0</v>
      </c>
      <c r="B1397" s="15"/>
      <c r="C1397" s="15"/>
      <c r="D1397" s="105">
        <v>1.0</v>
      </c>
      <c r="E1397" s="102">
        <v>27.0</v>
      </c>
      <c r="F1397" s="107">
        <v>113.0</v>
      </c>
      <c r="G1397" s="15" t="str">
        <f t="shared" si="1"/>
        <v>27113</v>
      </c>
      <c r="H1397" s="23" t="s">
        <v>1334</v>
      </c>
      <c r="I1397" s="23" t="s">
        <v>65</v>
      </c>
      <c r="J1397" s="23" t="s">
        <v>351</v>
      </c>
      <c r="K1397" s="23" t="str">
        <f t="shared" si="24"/>
        <v>Pennington, MN</v>
      </c>
      <c r="L1397" s="23">
        <v>16.0</v>
      </c>
      <c r="M1397" s="23" t="s">
        <v>63</v>
      </c>
      <c r="N1397" s="23" t="s">
        <v>63</v>
      </c>
      <c r="O1397" s="23" t="s">
        <v>63</v>
      </c>
      <c r="P1397" s="23" t="s">
        <v>63</v>
      </c>
      <c r="Q1397" s="23" t="s">
        <v>63</v>
      </c>
      <c r="R1397" s="23" t="s">
        <v>63</v>
      </c>
      <c r="S1397" s="23" t="s">
        <v>63</v>
      </c>
      <c r="T1397" s="32" t="s">
        <v>63</v>
      </c>
      <c r="U1397" s="123" t="s">
        <v>63</v>
      </c>
      <c r="V1397" s="23" t="s">
        <v>63</v>
      </c>
      <c r="W1397" s="127" t="s">
        <v>63</v>
      </c>
      <c r="X1397" s="125" t="s">
        <v>63</v>
      </c>
      <c r="Y1397" s="35">
        <v>27.0</v>
      </c>
      <c r="Z1397" s="32" t="s">
        <v>63</v>
      </c>
      <c r="AA1397" s="38"/>
      <c r="AB1397" s="38"/>
      <c r="AC1397" s="38"/>
      <c r="AD1397" s="38"/>
      <c r="AE1397" s="38"/>
      <c r="AF1397" s="38"/>
      <c r="AG1397" s="38"/>
      <c r="AH1397" s="38"/>
      <c r="AI1397" s="38"/>
      <c r="AJ1397" s="38"/>
      <c r="AK1397" s="38"/>
    </row>
    <row r="1398">
      <c r="A1398" s="99">
        <v>1397.0</v>
      </c>
      <c r="B1398" s="15"/>
      <c r="C1398" s="15"/>
      <c r="D1398" s="105">
        <v>1.0</v>
      </c>
      <c r="E1398" s="102">
        <v>27.0</v>
      </c>
      <c r="F1398" s="107">
        <v>115.0</v>
      </c>
      <c r="G1398" s="15" t="str">
        <f t="shared" si="1"/>
        <v>27115</v>
      </c>
      <c r="H1398" s="23" t="s">
        <v>1336</v>
      </c>
      <c r="I1398" s="23" t="s">
        <v>65</v>
      </c>
      <c r="J1398" s="23" t="s">
        <v>351</v>
      </c>
      <c r="K1398" s="23" t="str">
        <f t="shared" si="24"/>
        <v>Pine, MN</v>
      </c>
      <c r="L1398" s="23">
        <v>87.0</v>
      </c>
      <c r="M1398" s="23" t="s">
        <v>63</v>
      </c>
      <c r="N1398" s="23" t="s">
        <v>63</v>
      </c>
      <c r="O1398" s="23" t="s">
        <v>63</v>
      </c>
      <c r="P1398" s="23" t="s">
        <v>63</v>
      </c>
      <c r="Q1398" s="23" t="s">
        <v>63</v>
      </c>
      <c r="R1398" s="23" t="s">
        <v>63</v>
      </c>
      <c r="S1398" s="23" t="s">
        <v>63</v>
      </c>
      <c r="T1398" s="32" t="s">
        <v>63</v>
      </c>
      <c r="U1398" s="123" t="s">
        <v>63</v>
      </c>
      <c r="V1398" s="23" t="s">
        <v>63</v>
      </c>
      <c r="W1398" s="127" t="s">
        <v>63</v>
      </c>
      <c r="X1398" s="125" t="s">
        <v>63</v>
      </c>
      <c r="Y1398" s="35">
        <v>39.0</v>
      </c>
      <c r="Z1398" s="32" t="s">
        <v>63</v>
      </c>
      <c r="AA1398" s="38"/>
      <c r="AB1398" s="38"/>
      <c r="AC1398" s="38"/>
      <c r="AD1398" s="38"/>
      <c r="AE1398" s="38"/>
      <c r="AF1398" s="38"/>
      <c r="AG1398" s="38"/>
      <c r="AH1398" s="38"/>
      <c r="AI1398" s="38"/>
      <c r="AJ1398" s="38"/>
      <c r="AK1398" s="38"/>
    </row>
    <row r="1399">
      <c r="A1399" s="99">
        <v>1398.0</v>
      </c>
      <c r="B1399" s="15"/>
      <c r="C1399" s="15"/>
      <c r="D1399" s="105">
        <v>1.0</v>
      </c>
      <c r="E1399" s="102">
        <v>27.0</v>
      </c>
      <c r="F1399" s="107">
        <v>117.0</v>
      </c>
      <c r="G1399" s="15" t="str">
        <f t="shared" si="1"/>
        <v>27117</v>
      </c>
      <c r="H1399" s="23" t="s">
        <v>1337</v>
      </c>
      <c r="I1399" s="23" t="s">
        <v>65</v>
      </c>
      <c r="J1399" s="23" t="s">
        <v>351</v>
      </c>
      <c r="K1399" s="23" t="str">
        <f t="shared" si="24"/>
        <v>Pipestone, MN</v>
      </c>
      <c r="L1399" s="23" t="s">
        <v>63</v>
      </c>
      <c r="M1399" s="23" t="s">
        <v>63</v>
      </c>
      <c r="N1399" s="23" t="s">
        <v>63</v>
      </c>
      <c r="O1399" s="23" t="s">
        <v>63</v>
      </c>
      <c r="P1399" s="23" t="s">
        <v>63</v>
      </c>
      <c r="Q1399" s="23" t="s">
        <v>63</v>
      </c>
      <c r="R1399" s="23" t="s">
        <v>63</v>
      </c>
      <c r="S1399" s="23" t="s">
        <v>63</v>
      </c>
      <c r="T1399" s="32" t="s">
        <v>63</v>
      </c>
      <c r="U1399" s="123" t="s">
        <v>63</v>
      </c>
      <c r="V1399" s="23" t="s">
        <v>63</v>
      </c>
      <c r="W1399" s="127" t="s">
        <v>63</v>
      </c>
      <c r="X1399" s="125" t="s">
        <v>63</v>
      </c>
      <c r="Y1399" s="35">
        <v>24.0</v>
      </c>
      <c r="Z1399" s="32" t="s">
        <v>63</v>
      </c>
      <c r="AA1399" s="38"/>
      <c r="AB1399" s="38"/>
      <c r="AC1399" s="38"/>
      <c r="AD1399" s="38"/>
      <c r="AE1399" s="38"/>
      <c r="AF1399" s="38"/>
      <c r="AG1399" s="38"/>
      <c r="AH1399" s="38"/>
      <c r="AI1399" s="38"/>
      <c r="AJ1399" s="38"/>
      <c r="AK1399" s="38"/>
    </row>
    <row r="1400">
      <c r="A1400" s="99">
        <v>1399.0</v>
      </c>
      <c r="B1400" s="15"/>
      <c r="C1400" s="15"/>
      <c r="D1400" s="105">
        <v>1.0</v>
      </c>
      <c r="E1400" s="102">
        <v>27.0</v>
      </c>
      <c r="F1400" s="107">
        <v>119.0</v>
      </c>
      <c r="G1400" s="15" t="str">
        <f t="shared" si="1"/>
        <v>27119</v>
      </c>
      <c r="H1400" s="23" t="s">
        <v>302</v>
      </c>
      <c r="I1400" s="23" t="s">
        <v>65</v>
      </c>
      <c r="J1400" s="23" t="s">
        <v>351</v>
      </c>
      <c r="K1400" s="23" t="str">
        <f t="shared" si="24"/>
        <v>Polk, MN</v>
      </c>
      <c r="L1400" s="23">
        <v>110.0</v>
      </c>
      <c r="M1400" s="23" t="s">
        <v>63</v>
      </c>
      <c r="N1400" s="23" t="s">
        <v>63</v>
      </c>
      <c r="O1400" s="23" t="s">
        <v>63</v>
      </c>
      <c r="P1400" s="23" t="s">
        <v>63</v>
      </c>
      <c r="Q1400" s="23" t="s">
        <v>63</v>
      </c>
      <c r="R1400" s="23" t="s">
        <v>63</v>
      </c>
      <c r="S1400" s="23" t="s">
        <v>63</v>
      </c>
      <c r="T1400" s="32" t="s">
        <v>63</v>
      </c>
      <c r="U1400" s="123" t="s">
        <v>63</v>
      </c>
      <c r="V1400" s="23" t="s">
        <v>63</v>
      </c>
      <c r="W1400" s="127" t="s">
        <v>63</v>
      </c>
      <c r="X1400" s="125" t="s">
        <v>63</v>
      </c>
      <c r="Y1400" s="35">
        <v>63.0</v>
      </c>
      <c r="Z1400" s="32" t="s">
        <v>63</v>
      </c>
      <c r="AA1400" s="38"/>
      <c r="AB1400" s="38"/>
      <c r="AC1400" s="38"/>
      <c r="AD1400" s="38"/>
      <c r="AE1400" s="38"/>
      <c r="AF1400" s="38"/>
      <c r="AG1400" s="38"/>
      <c r="AH1400" s="38"/>
      <c r="AI1400" s="38"/>
      <c r="AJ1400" s="38"/>
      <c r="AK1400" s="38"/>
    </row>
    <row r="1401">
      <c r="A1401" s="99">
        <v>1400.0</v>
      </c>
      <c r="B1401" s="15"/>
      <c r="C1401" s="15"/>
      <c r="D1401" s="105">
        <v>1.0</v>
      </c>
      <c r="E1401" s="102">
        <v>27.0</v>
      </c>
      <c r="F1401" s="107">
        <v>121.0</v>
      </c>
      <c r="G1401" s="15" t="str">
        <f t="shared" si="1"/>
        <v>27121</v>
      </c>
      <c r="H1401" s="23" t="s">
        <v>303</v>
      </c>
      <c r="I1401" s="23" t="s">
        <v>65</v>
      </c>
      <c r="J1401" s="23" t="s">
        <v>351</v>
      </c>
      <c r="K1401" s="23" t="str">
        <f t="shared" si="24"/>
        <v>Pope, MN</v>
      </c>
      <c r="L1401" s="23">
        <v>23.0</v>
      </c>
      <c r="M1401" s="23" t="s">
        <v>63</v>
      </c>
      <c r="N1401" s="23" t="s">
        <v>63</v>
      </c>
      <c r="O1401" s="23" t="s">
        <v>63</v>
      </c>
      <c r="P1401" s="23" t="s">
        <v>63</v>
      </c>
      <c r="Q1401" s="23" t="s">
        <v>63</v>
      </c>
      <c r="R1401" s="23" t="s">
        <v>63</v>
      </c>
      <c r="S1401" s="23" t="s">
        <v>63</v>
      </c>
      <c r="T1401" s="32" t="s">
        <v>63</v>
      </c>
      <c r="U1401" s="123" t="s">
        <v>63</v>
      </c>
      <c r="V1401" s="23" t="s">
        <v>63</v>
      </c>
      <c r="W1401" s="127" t="s">
        <v>63</v>
      </c>
      <c r="X1401" s="125" t="s">
        <v>63</v>
      </c>
      <c r="Y1401" s="35">
        <v>21.0</v>
      </c>
      <c r="Z1401" s="32" t="s">
        <v>63</v>
      </c>
      <c r="AA1401" s="38"/>
      <c r="AB1401" s="38"/>
      <c r="AC1401" s="38"/>
      <c r="AD1401" s="38"/>
      <c r="AE1401" s="38"/>
      <c r="AF1401" s="38"/>
      <c r="AG1401" s="38"/>
      <c r="AH1401" s="38"/>
      <c r="AI1401" s="38"/>
      <c r="AJ1401" s="38"/>
      <c r="AK1401" s="38"/>
    </row>
    <row r="1402">
      <c r="A1402" s="99">
        <v>1401.0</v>
      </c>
      <c r="B1402" s="15"/>
      <c r="C1402" s="15"/>
      <c r="D1402" s="105">
        <v>1.0</v>
      </c>
      <c r="E1402" s="102">
        <v>27.0</v>
      </c>
      <c r="F1402" s="107">
        <v>123.0</v>
      </c>
      <c r="G1402" s="15" t="str">
        <f t="shared" si="1"/>
        <v>27123</v>
      </c>
      <c r="H1402" s="23" t="s">
        <v>645</v>
      </c>
      <c r="I1402" s="23" t="s">
        <v>65</v>
      </c>
      <c r="J1402" s="23" t="s">
        <v>351</v>
      </c>
      <c r="K1402" s="23" t="str">
        <f t="shared" si="24"/>
        <v>Ramsey, MN</v>
      </c>
      <c r="L1402" s="23">
        <v>1230.0</v>
      </c>
      <c r="M1402" s="23" t="s">
        <v>63</v>
      </c>
      <c r="N1402" s="23" t="s">
        <v>63</v>
      </c>
      <c r="O1402" s="23" t="s">
        <v>63</v>
      </c>
      <c r="P1402" s="23" t="s">
        <v>63</v>
      </c>
      <c r="Q1402" s="23" t="s">
        <v>63</v>
      </c>
      <c r="R1402" s="23" t="s">
        <v>63</v>
      </c>
      <c r="S1402" s="23" t="s">
        <v>63</v>
      </c>
      <c r="T1402" s="32" t="s">
        <v>63</v>
      </c>
      <c r="U1402" s="123" t="s">
        <v>63</v>
      </c>
      <c r="V1402" s="23" t="s">
        <v>63</v>
      </c>
      <c r="W1402" s="127" t="s">
        <v>63</v>
      </c>
      <c r="X1402" s="125" t="s">
        <v>63</v>
      </c>
      <c r="Y1402" s="35">
        <v>255.0</v>
      </c>
      <c r="Z1402" s="32" t="s">
        <v>63</v>
      </c>
      <c r="AA1402" s="38"/>
      <c r="AB1402" s="38"/>
      <c r="AC1402" s="38"/>
      <c r="AD1402" s="38"/>
      <c r="AE1402" s="38"/>
      <c r="AF1402" s="38"/>
      <c r="AG1402" s="38"/>
      <c r="AH1402" s="38"/>
      <c r="AI1402" s="38"/>
      <c r="AJ1402" s="38"/>
      <c r="AK1402" s="38"/>
    </row>
    <row r="1403">
      <c r="A1403" s="99">
        <v>1402.0</v>
      </c>
      <c r="B1403" s="15"/>
      <c r="C1403" s="15"/>
      <c r="D1403" s="105">
        <v>1.0</v>
      </c>
      <c r="E1403" s="102">
        <v>27.0</v>
      </c>
      <c r="F1403" s="107">
        <v>125.0</v>
      </c>
      <c r="G1403" s="15" t="str">
        <f t="shared" si="1"/>
        <v>27125</v>
      </c>
      <c r="H1403" s="23" t="s">
        <v>1338</v>
      </c>
      <c r="I1403" s="23" t="s">
        <v>65</v>
      </c>
      <c r="J1403" s="23" t="s">
        <v>351</v>
      </c>
      <c r="K1403" s="23" t="str">
        <f t="shared" si="24"/>
        <v>Red Lake, MN</v>
      </c>
      <c r="L1403" s="23">
        <v>1.0</v>
      </c>
      <c r="M1403" s="23" t="s">
        <v>63</v>
      </c>
      <c r="N1403" s="23" t="s">
        <v>63</v>
      </c>
      <c r="O1403" s="23" t="s">
        <v>63</v>
      </c>
      <c r="P1403" s="23" t="s">
        <v>63</v>
      </c>
      <c r="Q1403" s="23" t="s">
        <v>63</v>
      </c>
      <c r="R1403" s="23" t="s">
        <v>63</v>
      </c>
      <c r="S1403" s="23" t="s">
        <v>63</v>
      </c>
      <c r="T1403" s="32" t="s">
        <v>63</v>
      </c>
      <c r="U1403" s="123" t="s">
        <v>63</v>
      </c>
      <c r="V1403" s="23" t="s">
        <v>63</v>
      </c>
      <c r="W1403" s="127" t="s">
        <v>63</v>
      </c>
      <c r="X1403" s="125" t="s">
        <v>63</v>
      </c>
      <c r="Y1403" s="35">
        <v>8.0</v>
      </c>
      <c r="Z1403" s="32" t="s">
        <v>63</v>
      </c>
      <c r="AA1403" s="38"/>
      <c r="AB1403" s="38"/>
      <c r="AC1403" s="38"/>
      <c r="AD1403" s="38"/>
      <c r="AE1403" s="38"/>
      <c r="AF1403" s="38"/>
      <c r="AG1403" s="38"/>
      <c r="AH1403" s="38"/>
      <c r="AI1403" s="38"/>
      <c r="AJ1403" s="38"/>
      <c r="AK1403" s="38"/>
    </row>
    <row r="1404">
      <c r="A1404" s="99">
        <v>1403.0</v>
      </c>
      <c r="B1404" s="15"/>
      <c r="C1404" s="15"/>
      <c r="D1404" s="105">
        <v>1.0</v>
      </c>
      <c r="E1404" s="102">
        <v>27.0</v>
      </c>
      <c r="F1404" s="107">
        <v>127.0</v>
      </c>
      <c r="G1404" s="15" t="str">
        <f t="shared" si="1"/>
        <v>27127</v>
      </c>
      <c r="H1404" s="23" t="s">
        <v>1339</v>
      </c>
      <c r="I1404" s="23" t="s">
        <v>65</v>
      </c>
      <c r="J1404" s="23" t="s">
        <v>351</v>
      </c>
      <c r="K1404" s="23" t="str">
        <f t="shared" si="24"/>
        <v>Redwood, MN</v>
      </c>
      <c r="L1404" s="23" t="s">
        <v>63</v>
      </c>
      <c r="M1404" s="23" t="s">
        <v>63</v>
      </c>
      <c r="N1404" s="23" t="s">
        <v>63</v>
      </c>
      <c r="O1404" s="23" t="s">
        <v>63</v>
      </c>
      <c r="P1404" s="23" t="s">
        <v>63</v>
      </c>
      <c r="Q1404" s="23" t="s">
        <v>63</v>
      </c>
      <c r="R1404" s="23" t="s">
        <v>63</v>
      </c>
      <c r="S1404" s="23" t="s">
        <v>63</v>
      </c>
      <c r="T1404" s="32" t="s">
        <v>63</v>
      </c>
      <c r="U1404" s="123" t="s">
        <v>63</v>
      </c>
      <c r="V1404" s="23" t="s">
        <v>63</v>
      </c>
      <c r="W1404" s="127" t="s">
        <v>63</v>
      </c>
      <c r="X1404" s="125" t="s">
        <v>63</v>
      </c>
      <c r="Y1404" s="35">
        <v>41.0</v>
      </c>
      <c r="Z1404" s="32" t="s">
        <v>63</v>
      </c>
      <c r="AA1404" s="38"/>
      <c r="AB1404" s="38"/>
      <c r="AC1404" s="38"/>
      <c r="AD1404" s="38"/>
      <c r="AE1404" s="38"/>
      <c r="AF1404" s="38"/>
      <c r="AG1404" s="38"/>
      <c r="AH1404" s="38"/>
      <c r="AI1404" s="38"/>
      <c r="AJ1404" s="38"/>
      <c r="AK1404" s="38"/>
    </row>
    <row r="1405">
      <c r="A1405" s="99">
        <v>1404.0</v>
      </c>
      <c r="B1405" s="15"/>
      <c r="C1405" s="15"/>
      <c r="D1405" s="105">
        <v>1.0</v>
      </c>
      <c r="E1405" s="102">
        <v>27.0</v>
      </c>
      <c r="F1405" s="107">
        <v>129.0</v>
      </c>
      <c r="G1405" s="15" t="str">
        <f t="shared" si="1"/>
        <v>27129</v>
      </c>
      <c r="H1405" s="23" t="s">
        <v>1340</v>
      </c>
      <c r="I1405" s="23" t="s">
        <v>65</v>
      </c>
      <c r="J1405" s="23" t="s">
        <v>351</v>
      </c>
      <c r="K1405" s="23" t="str">
        <f t="shared" si="24"/>
        <v>Renville, MN</v>
      </c>
      <c r="L1405" s="23">
        <v>61.0</v>
      </c>
      <c r="M1405" s="23" t="s">
        <v>63</v>
      </c>
      <c r="N1405" s="23" t="s">
        <v>63</v>
      </c>
      <c r="O1405" s="23" t="s">
        <v>63</v>
      </c>
      <c r="P1405" s="23" t="s">
        <v>63</v>
      </c>
      <c r="Q1405" s="23" t="s">
        <v>63</v>
      </c>
      <c r="R1405" s="23" t="s">
        <v>63</v>
      </c>
      <c r="S1405" s="23" t="s">
        <v>63</v>
      </c>
      <c r="T1405" s="32" t="s">
        <v>63</v>
      </c>
      <c r="U1405" s="123" t="s">
        <v>63</v>
      </c>
      <c r="V1405" s="23" t="s">
        <v>63</v>
      </c>
      <c r="W1405" s="127" t="s">
        <v>63</v>
      </c>
      <c r="X1405" s="125" t="s">
        <v>63</v>
      </c>
      <c r="Y1405" s="35">
        <v>32.0</v>
      </c>
      <c r="Z1405" s="32" t="s">
        <v>63</v>
      </c>
      <c r="AA1405" s="38"/>
      <c r="AB1405" s="38"/>
      <c r="AC1405" s="38"/>
      <c r="AD1405" s="38"/>
      <c r="AE1405" s="38"/>
      <c r="AF1405" s="38"/>
      <c r="AG1405" s="38"/>
      <c r="AH1405" s="38"/>
      <c r="AI1405" s="38"/>
      <c r="AJ1405" s="38"/>
      <c r="AK1405" s="38"/>
    </row>
    <row r="1406">
      <c r="A1406" s="99">
        <v>1405.0</v>
      </c>
      <c r="B1406" s="15"/>
      <c r="C1406" s="15"/>
      <c r="D1406" s="105">
        <v>1.0</v>
      </c>
      <c r="E1406" s="102">
        <v>27.0</v>
      </c>
      <c r="F1406" s="107">
        <v>131.0</v>
      </c>
      <c r="G1406" s="15" t="str">
        <f t="shared" si="1"/>
        <v>27131</v>
      </c>
      <c r="H1406" s="23" t="s">
        <v>1005</v>
      </c>
      <c r="I1406" s="23" t="s">
        <v>65</v>
      </c>
      <c r="J1406" s="23" t="s">
        <v>351</v>
      </c>
      <c r="K1406" s="23" t="str">
        <f t="shared" si="24"/>
        <v>Rice, MN</v>
      </c>
      <c r="L1406" s="23">
        <v>222.0</v>
      </c>
      <c r="M1406" s="23" t="s">
        <v>63</v>
      </c>
      <c r="N1406" s="23" t="s">
        <v>63</v>
      </c>
      <c r="O1406" s="23" t="s">
        <v>63</v>
      </c>
      <c r="P1406" s="23" t="s">
        <v>63</v>
      </c>
      <c r="Q1406" s="23" t="s">
        <v>63</v>
      </c>
      <c r="R1406" s="23" t="s">
        <v>63</v>
      </c>
      <c r="S1406" s="23" t="s">
        <v>63</v>
      </c>
      <c r="T1406" s="32" t="s">
        <v>63</v>
      </c>
      <c r="U1406" s="123" t="s">
        <v>63</v>
      </c>
      <c r="V1406" s="23" t="s">
        <v>63</v>
      </c>
      <c r="W1406" s="127" t="s">
        <v>63</v>
      </c>
      <c r="X1406" s="125" t="s">
        <v>63</v>
      </c>
      <c r="Y1406" s="35">
        <v>54.0</v>
      </c>
      <c r="Z1406" s="32" t="s">
        <v>63</v>
      </c>
      <c r="AA1406" s="38"/>
      <c r="AB1406" s="38"/>
      <c r="AC1406" s="38"/>
      <c r="AD1406" s="38"/>
      <c r="AE1406" s="38"/>
      <c r="AF1406" s="38"/>
      <c r="AG1406" s="38"/>
      <c r="AH1406" s="38"/>
      <c r="AI1406" s="38"/>
      <c r="AJ1406" s="38"/>
      <c r="AK1406" s="38"/>
    </row>
    <row r="1407">
      <c r="A1407" s="99">
        <v>1406.0</v>
      </c>
      <c r="B1407" s="15"/>
      <c r="C1407" s="15"/>
      <c r="D1407" s="105">
        <v>1.0</v>
      </c>
      <c r="E1407" s="102">
        <v>27.0</v>
      </c>
      <c r="F1407" s="107">
        <v>133.0</v>
      </c>
      <c r="G1407" s="15" t="str">
        <f t="shared" si="1"/>
        <v>27133</v>
      </c>
      <c r="H1407" s="23" t="s">
        <v>1341</v>
      </c>
      <c r="I1407" s="23" t="s">
        <v>65</v>
      </c>
      <c r="J1407" s="23" t="s">
        <v>351</v>
      </c>
      <c r="K1407" s="23" t="str">
        <f t="shared" si="24"/>
        <v>Rock, MN</v>
      </c>
      <c r="L1407" s="23" t="s">
        <v>63</v>
      </c>
      <c r="M1407" s="23" t="s">
        <v>63</v>
      </c>
      <c r="N1407" s="23" t="s">
        <v>63</v>
      </c>
      <c r="O1407" s="23" t="s">
        <v>63</v>
      </c>
      <c r="P1407" s="23" t="s">
        <v>63</v>
      </c>
      <c r="Q1407" s="23" t="s">
        <v>63</v>
      </c>
      <c r="R1407" s="23" t="s">
        <v>63</v>
      </c>
      <c r="S1407" s="23" t="s">
        <v>63</v>
      </c>
      <c r="T1407" s="32" t="s">
        <v>63</v>
      </c>
      <c r="U1407" s="123" t="s">
        <v>63</v>
      </c>
      <c r="V1407" s="23" t="s">
        <v>63</v>
      </c>
      <c r="W1407" s="127" t="s">
        <v>63</v>
      </c>
      <c r="X1407" s="125" t="s">
        <v>63</v>
      </c>
      <c r="Y1407" s="35">
        <v>21.0</v>
      </c>
      <c r="Z1407" s="32" t="s">
        <v>63</v>
      </c>
      <c r="AA1407" s="38"/>
      <c r="AB1407" s="38"/>
      <c r="AC1407" s="38"/>
      <c r="AD1407" s="38"/>
      <c r="AE1407" s="38"/>
      <c r="AF1407" s="38"/>
      <c r="AG1407" s="38"/>
      <c r="AH1407" s="38"/>
      <c r="AI1407" s="38"/>
      <c r="AJ1407" s="38"/>
      <c r="AK1407" s="38"/>
    </row>
    <row r="1408">
      <c r="A1408" s="99">
        <v>1407.0</v>
      </c>
      <c r="B1408" s="15"/>
      <c r="C1408" s="15"/>
      <c r="D1408" s="105">
        <v>1.0</v>
      </c>
      <c r="E1408" s="102">
        <v>27.0</v>
      </c>
      <c r="F1408" s="107">
        <v>135.0</v>
      </c>
      <c r="G1408" s="15" t="str">
        <f t="shared" si="1"/>
        <v>27135</v>
      </c>
      <c r="H1408" s="23" t="s">
        <v>1342</v>
      </c>
      <c r="I1408" s="23" t="s">
        <v>65</v>
      </c>
      <c r="J1408" s="23" t="s">
        <v>351</v>
      </c>
      <c r="K1408" s="23" t="str">
        <f t="shared" si="24"/>
        <v>Roseau, MN</v>
      </c>
      <c r="L1408" s="23">
        <v>30.0</v>
      </c>
      <c r="M1408" s="23" t="s">
        <v>63</v>
      </c>
      <c r="N1408" s="23" t="s">
        <v>63</v>
      </c>
      <c r="O1408" s="23" t="s">
        <v>63</v>
      </c>
      <c r="P1408" s="23" t="s">
        <v>63</v>
      </c>
      <c r="Q1408" s="23" t="s">
        <v>63</v>
      </c>
      <c r="R1408" s="23" t="s">
        <v>63</v>
      </c>
      <c r="S1408" s="23" t="s">
        <v>63</v>
      </c>
      <c r="T1408" s="32" t="s">
        <v>63</v>
      </c>
      <c r="U1408" s="123" t="s">
        <v>63</v>
      </c>
      <c r="V1408" s="23" t="s">
        <v>63</v>
      </c>
      <c r="W1408" s="127" t="s">
        <v>63</v>
      </c>
      <c r="X1408" s="125" t="s">
        <v>63</v>
      </c>
      <c r="Y1408" s="35">
        <v>28.0</v>
      </c>
      <c r="Z1408" s="32" t="s">
        <v>63</v>
      </c>
      <c r="AA1408" s="38"/>
      <c r="AB1408" s="38"/>
      <c r="AC1408" s="38"/>
      <c r="AD1408" s="38"/>
      <c r="AE1408" s="38"/>
      <c r="AF1408" s="38"/>
      <c r="AG1408" s="38"/>
      <c r="AH1408" s="38"/>
      <c r="AI1408" s="38"/>
      <c r="AJ1408" s="38"/>
      <c r="AK1408" s="38"/>
    </row>
    <row r="1409">
      <c r="A1409" s="99">
        <v>1408.0</v>
      </c>
      <c r="B1409" s="15"/>
      <c r="C1409" s="15"/>
      <c r="D1409" s="105">
        <v>1.0</v>
      </c>
      <c r="E1409" s="102">
        <v>27.0</v>
      </c>
      <c r="F1409" s="107">
        <v>137.0</v>
      </c>
      <c r="G1409" s="15" t="str">
        <f t="shared" si="1"/>
        <v>27137</v>
      </c>
      <c r="H1409" s="23" t="s">
        <v>1343</v>
      </c>
      <c r="I1409" s="23" t="s">
        <v>65</v>
      </c>
      <c r="J1409" s="23" t="s">
        <v>351</v>
      </c>
      <c r="K1409" s="23" t="str">
        <f t="shared" si="24"/>
        <v>St Louis, MN</v>
      </c>
      <c r="L1409" s="23">
        <v>931.0</v>
      </c>
      <c r="M1409" s="23" t="s">
        <v>63</v>
      </c>
      <c r="N1409" s="23" t="s">
        <v>63</v>
      </c>
      <c r="O1409" s="23" t="s">
        <v>63</v>
      </c>
      <c r="P1409" s="23" t="s">
        <v>63</v>
      </c>
      <c r="Q1409" s="23" t="s">
        <v>63</v>
      </c>
      <c r="R1409" s="23" t="s">
        <v>63</v>
      </c>
      <c r="S1409" s="23" t="s">
        <v>63</v>
      </c>
      <c r="T1409" s="32" t="s">
        <v>63</v>
      </c>
      <c r="U1409" s="123" t="s">
        <v>63</v>
      </c>
      <c r="V1409" s="23" t="s">
        <v>63</v>
      </c>
      <c r="W1409" s="127" t="s">
        <v>63</v>
      </c>
      <c r="X1409" s="125" t="s">
        <v>63</v>
      </c>
      <c r="Y1409" s="35">
        <v>205.0</v>
      </c>
      <c r="Z1409" s="32" t="s">
        <v>63</v>
      </c>
      <c r="AA1409" s="38"/>
      <c r="AB1409" s="38"/>
      <c r="AC1409" s="38"/>
      <c r="AD1409" s="38"/>
      <c r="AE1409" s="38"/>
      <c r="AF1409" s="38"/>
      <c r="AG1409" s="38"/>
      <c r="AH1409" s="38"/>
      <c r="AI1409" s="38"/>
      <c r="AJ1409" s="38"/>
      <c r="AK1409" s="38"/>
    </row>
    <row r="1410">
      <c r="A1410" s="99">
        <v>1409.0</v>
      </c>
      <c r="B1410" s="15"/>
      <c r="C1410" s="15"/>
      <c r="D1410" s="105">
        <v>1.0</v>
      </c>
      <c r="E1410" s="102">
        <v>27.0</v>
      </c>
      <c r="F1410" s="107">
        <v>139.0</v>
      </c>
      <c r="G1410" s="15" t="str">
        <f t="shared" si="1"/>
        <v>27139</v>
      </c>
      <c r="H1410" s="23" t="s">
        <v>309</v>
      </c>
      <c r="I1410" s="23" t="s">
        <v>65</v>
      </c>
      <c r="J1410" s="23" t="s">
        <v>351</v>
      </c>
      <c r="K1410" s="23" t="str">
        <f t="shared" si="24"/>
        <v>Scott, MN</v>
      </c>
      <c r="L1410" s="23">
        <v>124.0</v>
      </c>
      <c r="M1410" s="23" t="s">
        <v>63</v>
      </c>
      <c r="N1410" s="23" t="s">
        <v>63</v>
      </c>
      <c r="O1410" s="23" t="s">
        <v>63</v>
      </c>
      <c r="P1410" s="23" t="s">
        <v>63</v>
      </c>
      <c r="Q1410" s="23" t="s">
        <v>63</v>
      </c>
      <c r="R1410" s="23" t="s">
        <v>63</v>
      </c>
      <c r="S1410" s="23" t="s">
        <v>63</v>
      </c>
      <c r="T1410" s="32" t="s">
        <v>63</v>
      </c>
      <c r="U1410" s="123" t="s">
        <v>63</v>
      </c>
      <c r="V1410" s="23" t="s">
        <v>63</v>
      </c>
      <c r="W1410" s="127" t="s">
        <v>63</v>
      </c>
      <c r="X1410" s="125" t="s">
        <v>63</v>
      </c>
      <c r="Y1410" s="35">
        <v>54.0</v>
      </c>
      <c r="Z1410" s="32" t="s">
        <v>63</v>
      </c>
      <c r="AA1410" s="38"/>
      <c r="AB1410" s="38"/>
      <c r="AC1410" s="38"/>
      <c r="AD1410" s="38"/>
      <c r="AE1410" s="38"/>
      <c r="AF1410" s="38"/>
      <c r="AG1410" s="38"/>
      <c r="AH1410" s="38"/>
      <c r="AI1410" s="38"/>
      <c r="AJ1410" s="38"/>
      <c r="AK1410" s="38"/>
    </row>
    <row r="1411">
      <c r="A1411" s="99">
        <v>1410.0</v>
      </c>
      <c r="B1411" s="15"/>
      <c r="C1411" s="15"/>
      <c r="D1411" s="105">
        <v>1.0</v>
      </c>
      <c r="E1411" s="102">
        <v>27.0</v>
      </c>
      <c r="F1411" s="107">
        <v>141.0</v>
      </c>
      <c r="G1411" s="15" t="str">
        <f t="shared" si="1"/>
        <v>27141</v>
      </c>
      <c r="H1411" s="23" t="s">
        <v>1344</v>
      </c>
      <c r="I1411" s="23" t="s">
        <v>65</v>
      </c>
      <c r="J1411" s="23" t="s">
        <v>351</v>
      </c>
      <c r="K1411" s="23" t="str">
        <f t="shared" si="24"/>
        <v>Sherburne, MN</v>
      </c>
      <c r="L1411" s="23">
        <v>126.0</v>
      </c>
      <c r="M1411" s="23" t="s">
        <v>63</v>
      </c>
      <c r="N1411" s="23" t="s">
        <v>63</v>
      </c>
      <c r="O1411" s="23" t="s">
        <v>63</v>
      </c>
      <c r="P1411" s="23" t="s">
        <v>63</v>
      </c>
      <c r="Q1411" s="23" t="s">
        <v>63</v>
      </c>
      <c r="R1411" s="23" t="s">
        <v>63</v>
      </c>
      <c r="S1411" s="23" t="s">
        <v>63</v>
      </c>
      <c r="T1411" s="32" t="s">
        <v>63</v>
      </c>
      <c r="U1411" s="123" t="s">
        <v>63</v>
      </c>
      <c r="V1411" s="23" t="s">
        <v>63</v>
      </c>
      <c r="W1411" s="127" t="s">
        <v>63</v>
      </c>
      <c r="X1411" s="125" t="s">
        <v>63</v>
      </c>
      <c r="Y1411" s="35">
        <v>42.0</v>
      </c>
      <c r="Z1411" s="32" t="s">
        <v>63</v>
      </c>
      <c r="AA1411" s="38"/>
      <c r="AB1411" s="38"/>
      <c r="AC1411" s="38"/>
      <c r="AD1411" s="38"/>
      <c r="AE1411" s="38"/>
      <c r="AF1411" s="38"/>
      <c r="AG1411" s="38"/>
      <c r="AH1411" s="38"/>
      <c r="AI1411" s="38"/>
      <c r="AJ1411" s="38"/>
      <c r="AK1411" s="38"/>
    </row>
    <row r="1412">
      <c r="A1412" s="99">
        <v>1411.0</v>
      </c>
      <c r="B1412" s="15"/>
      <c r="C1412" s="15"/>
      <c r="D1412" s="105">
        <v>1.0</v>
      </c>
      <c r="E1412" s="102">
        <v>27.0</v>
      </c>
      <c r="F1412" s="107">
        <v>143.0</v>
      </c>
      <c r="G1412" s="15" t="str">
        <f t="shared" si="1"/>
        <v>27143</v>
      </c>
      <c r="H1412" s="23" t="s">
        <v>1345</v>
      </c>
      <c r="I1412" s="23" t="s">
        <v>65</v>
      </c>
      <c r="J1412" s="23" t="s">
        <v>351</v>
      </c>
      <c r="K1412" s="23" t="str">
        <f t="shared" si="24"/>
        <v>Sibley, MN</v>
      </c>
      <c r="L1412" s="23">
        <v>23.0</v>
      </c>
      <c r="M1412" s="23" t="s">
        <v>63</v>
      </c>
      <c r="N1412" s="23" t="s">
        <v>63</v>
      </c>
      <c r="O1412" s="23" t="s">
        <v>63</v>
      </c>
      <c r="P1412" s="23" t="s">
        <v>63</v>
      </c>
      <c r="Q1412" s="23" t="s">
        <v>63</v>
      </c>
      <c r="R1412" s="23" t="s">
        <v>63</v>
      </c>
      <c r="S1412" s="23" t="s">
        <v>63</v>
      </c>
      <c r="T1412" s="32" t="s">
        <v>63</v>
      </c>
      <c r="U1412" s="123" t="s">
        <v>63</v>
      </c>
      <c r="V1412" s="23" t="s">
        <v>63</v>
      </c>
      <c r="W1412" s="127" t="s">
        <v>63</v>
      </c>
      <c r="X1412" s="125" t="s">
        <v>63</v>
      </c>
      <c r="Y1412" s="35">
        <v>33.0</v>
      </c>
      <c r="Z1412" s="32" t="s">
        <v>63</v>
      </c>
      <c r="AA1412" s="38"/>
      <c r="AB1412" s="38"/>
      <c r="AC1412" s="38"/>
      <c r="AD1412" s="38"/>
      <c r="AE1412" s="38"/>
      <c r="AF1412" s="38"/>
      <c r="AG1412" s="38"/>
      <c r="AH1412" s="38"/>
      <c r="AI1412" s="38"/>
      <c r="AJ1412" s="38"/>
      <c r="AK1412" s="38"/>
    </row>
    <row r="1413">
      <c r="A1413" s="99">
        <v>1412.0</v>
      </c>
      <c r="B1413" s="15"/>
      <c r="C1413" s="15"/>
      <c r="D1413" s="105">
        <v>1.0</v>
      </c>
      <c r="E1413" s="102">
        <v>27.0</v>
      </c>
      <c r="F1413" s="107">
        <v>145.0</v>
      </c>
      <c r="G1413" s="15" t="str">
        <f t="shared" si="1"/>
        <v>27145</v>
      </c>
      <c r="H1413" s="23" t="s">
        <v>1346</v>
      </c>
      <c r="I1413" s="23" t="s">
        <v>65</v>
      </c>
      <c r="J1413" s="23" t="s">
        <v>351</v>
      </c>
      <c r="K1413" s="23" t="str">
        <f t="shared" si="24"/>
        <v>Stearns, MN</v>
      </c>
      <c r="L1413" s="23">
        <v>361.0</v>
      </c>
      <c r="M1413" s="23" t="s">
        <v>63</v>
      </c>
      <c r="N1413" s="23" t="s">
        <v>63</v>
      </c>
      <c r="O1413" s="23" t="s">
        <v>63</v>
      </c>
      <c r="P1413" s="23" t="s">
        <v>63</v>
      </c>
      <c r="Q1413" s="23" t="s">
        <v>63</v>
      </c>
      <c r="R1413" s="23" t="s">
        <v>63</v>
      </c>
      <c r="S1413" s="23" t="s">
        <v>63</v>
      </c>
      <c r="T1413" s="32" t="s">
        <v>63</v>
      </c>
      <c r="U1413" s="123" t="s">
        <v>63</v>
      </c>
      <c r="V1413" s="23" t="s">
        <v>63</v>
      </c>
      <c r="W1413" s="127" t="s">
        <v>63</v>
      </c>
      <c r="X1413" s="125" t="s">
        <v>63</v>
      </c>
      <c r="Y1413" s="35">
        <v>114.0</v>
      </c>
      <c r="Z1413" s="32" t="s">
        <v>63</v>
      </c>
      <c r="AA1413" s="38"/>
      <c r="AB1413" s="38"/>
      <c r="AC1413" s="38"/>
      <c r="AD1413" s="38"/>
      <c r="AE1413" s="38"/>
      <c r="AF1413" s="38"/>
      <c r="AG1413" s="38"/>
      <c r="AH1413" s="38"/>
      <c r="AI1413" s="38"/>
      <c r="AJ1413" s="38"/>
      <c r="AK1413" s="38"/>
    </row>
    <row r="1414">
      <c r="A1414" s="99">
        <v>1413.0</v>
      </c>
      <c r="B1414" s="15"/>
      <c r="C1414" s="15"/>
      <c r="D1414" s="105">
        <v>1.0</v>
      </c>
      <c r="E1414" s="102">
        <v>27.0</v>
      </c>
      <c r="F1414" s="107">
        <v>147.0</v>
      </c>
      <c r="G1414" s="15" t="str">
        <f t="shared" si="1"/>
        <v>27147</v>
      </c>
      <c r="H1414" s="23" t="s">
        <v>1347</v>
      </c>
      <c r="I1414" s="23" t="s">
        <v>65</v>
      </c>
      <c r="J1414" s="23" t="s">
        <v>351</v>
      </c>
      <c r="K1414" s="23" t="str">
        <f t="shared" si="24"/>
        <v>Steele, MN</v>
      </c>
      <c r="L1414" s="23" t="s">
        <v>63</v>
      </c>
      <c r="M1414" s="23" t="s">
        <v>63</v>
      </c>
      <c r="N1414" s="23" t="s">
        <v>63</v>
      </c>
      <c r="O1414" s="23" t="s">
        <v>63</v>
      </c>
      <c r="P1414" s="23" t="s">
        <v>63</v>
      </c>
      <c r="Q1414" s="23" t="s">
        <v>63</v>
      </c>
      <c r="R1414" s="23" t="s">
        <v>63</v>
      </c>
      <c r="S1414" s="23" t="s">
        <v>63</v>
      </c>
      <c r="T1414" s="32" t="s">
        <v>63</v>
      </c>
      <c r="U1414" s="123" t="s">
        <v>63</v>
      </c>
      <c r="V1414" s="23" t="s">
        <v>63</v>
      </c>
      <c r="W1414" s="127" t="s">
        <v>63</v>
      </c>
      <c r="X1414" s="125" t="s">
        <v>63</v>
      </c>
      <c r="Y1414" s="35">
        <v>33.0</v>
      </c>
      <c r="Z1414" s="32" t="s">
        <v>63</v>
      </c>
      <c r="AA1414" s="38"/>
      <c r="AB1414" s="38"/>
      <c r="AC1414" s="38"/>
      <c r="AD1414" s="38"/>
      <c r="AE1414" s="38"/>
      <c r="AF1414" s="38"/>
      <c r="AG1414" s="38"/>
      <c r="AH1414" s="38"/>
      <c r="AI1414" s="38"/>
      <c r="AJ1414" s="38"/>
      <c r="AK1414" s="38"/>
    </row>
    <row r="1415">
      <c r="A1415" s="99">
        <v>1414.0</v>
      </c>
      <c r="B1415" s="15"/>
      <c r="C1415" s="15"/>
      <c r="D1415" s="105">
        <v>1.0</v>
      </c>
      <c r="E1415" s="102">
        <v>27.0</v>
      </c>
      <c r="F1415" s="107">
        <v>149.0</v>
      </c>
      <c r="G1415" s="15" t="str">
        <f t="shared" si="1"/>
        <v>27149</v>
      </c>
      <c r="H1415" s="23" t="s">
        <v>1015</v>
      </c>
      <c r="I1415" s="23" t="s">
        <v>65</v>
      </c>
      <c r="J1415" s="23" t="s">
        <v>351</v>
      </c>
      <c r="K1415" s="23" t="str">
        <f t="shared" si="24"/>
        <v>Stevens, MN</v>
      </c>
      <c r="L1415" s="23">
        <v>33.0</v>
      </c>
      <c r="M1415" s="23" t="s">
        <v>63</v>
      </c>
      <c r="N1415" s="23" t="s">
        <v>63</v>
      </c>
      <c r="O1415" s="23" t="s">
        <v>63</v>
      </c>
      <c r="P1415" s="23" t="s">
        <v>63</v>
      </c>
      <c r="Q1415" s="23" t="s">
        <v>63</v>
      </c>
      <c r="R1415" s="23" t="s">
        <v>63</v>
      </c>
      <c r="S1415" s="23" t="s">
        <v>63</v>
      </c>
      <c r="T1415" s="32" t="s">
        <v>63</v>
      </c>
      <c r="U1415" s="123" t="s">
        <v>63</v>
      </c>
      <c r="V1415" s="23" t="s">
        <v>63</v>
      </c>
      <c r="W1415" s="127" t="s">
        <v>63</v>
      </c>
      <c r="X1415" s="125" t="s">
        <v>63</v>
      </c>
      <c r="Y1415" s="35">
        <v>20.0</v>
      </c>
      <c r="Z1415" s="32" t="s">
        <v>63</v>
      </c>
      <c r="AA1415" s="38"/>
      <c r="AB1415" s="38"/>
      <c r="AC1415" s="38"/>
      <c r="AD1415" s="38"/>
      <c r="AE1415" s="38"/>
      <c r="AF1415" s="38"/>
      <c r="AG1415" s="38"/>
      <c r="AH1415" s="38"/>
      <c r="AI1415" s="38"/>
      <c r="AJ1415" s="38"/>
      <c r="AK1415" s="38"/>
    </row>
    <row r="1416">
      <c r="A1416" s="99">
        <v>1415.0</v>
      </c>
      <c r="B1416" s="15"/>
      <c r="C1416" s="15"/>
      <c r="D1416" s="105">
        <v>1.0</v>
      </c>
      <c r="E1416" s="102">
        <v>27.0</v>
      </c>
      <c r="F1416" s="107">
        <v>151.0</v>
      </c>
      <c r="G1416" s="15" t="str">
        <f t="shared" si="1"/>
        <v>27151</v>
      </c>
      <c r="H1416" s="23" t="s">
        <v>1348</v>
      </c>
      <c r="I1416" s="23" t="s">
        <v>65</v>
      </c>
      <c r="J1416" s="23" t="s">
        <v>351</v>
      </c>
      <c r="K1416" s="23" t="str">
        <f t="shared" si="24"/>
        <v>Swift, MN</v>
      </c>
      <c r="L1416" s="23">
        <v>58.0</v>
      </c>
      <c r="M1416" s="23" t="s">
        <v>63</v>
      </c>
      <c r="N1416" s="23" t="s">
        <v>63</v>
      </c>
      <c r="O1416" s="23" t="s">
        <v>63</v>
      </c>
      <c r="P1416" s="23" t="s">
        <v>63</v>
      </c>
      <c r="Q1416" s="23" t="s">
        <v>63</v>
      </c>
      <c r="R1416" s="23" t="s">
        <v>63</v>
      </c>
      <c r="S1416" s="23" t="s">
        <v>63</v>
      </c>
      <c r="T1416" s="32" t="s">
        <v>63</v>
      </c>
      <c r="U1416" s="123" t="s">
        <v>63</v>
      </c>
      <c r="V1416" s="23" t="s">
        <v>63</v>
      </c>
      <c r="W1416" s="127" t="s">
        <v>63</v>
      </c>
      <c r="X1416" s="125" t="s">
        <v>63</v>
      </c>
      <c r="Y1416" s="35">
        <v>21.0</v>
      </c>
      <c r="Z1416" s="32" t="s">
        <v>63</v>
      </c>
      <c r="AA1416" s="38"/>
      <c r="AB1416" s="38"/>
      <c r="AC1416" s="38"/>
      <c r="AD1416" s="38"/>
      <c r="AE1416" s="38"/>
      <c r="AF1416" s="38"/>
      <c r="AG1416" s="38"/>
      <c r="AH1416" s="38"/>
      <c r="AI1416" s="38"/>
      <c r="AJ1416" s="38"/>
      <c r="AK1416" s="38"/>
    </row>
    <row r="1417">
      <c r="A1417" s="99">
        <v>1416.0</v>
      </c>
      <c r="B1417" s="15"/>
      <c r="C1417" s="15"/>
      <c r="D1417" s="105">
        <v>1.0</v>
      </c>
      <c r="E1417" s="102">
        <v>27.0</v>
      </c>
      <c r="F1417" s="107">
        <v>153.0</v>
      </c>
      <c r="G1417" s="15" t="str">
        <f t="shared" si="1"/>
        <v>27153</v>
      </c>
      <c r="H1417" s="23" t="s">
        <v>1135</v>
      </c>
      <c r="I1417" s="23" t="s">
        <v>65</v>
      </c>
      <c r="J1417" s="23" t="s">
        <v>351</v>
      </c>
      <c r="K1417" s="23" t="str">
        <f t="shared" si="24"/>
        <v>Todd, MN</v>
      </c>
      <c r="L1417" s="23">
        <v>57.0</v>
      </c>
      <c r="M1417" s="23" t="s">
        <v>63</v>
      </c>
      <c r="N1417" s="23" t="s">
        <v>63</v>
      </c>
      <c r="O1417" s="23" t="s">
        <v>63</v>
      </c>
      <c r="P1417" s="23" t="s">
        <v>63</v>
      </c>
      <c r="Q1417" s="23" t="s">
        <v>63</v>
      </c>
      <c r="R1417" s="23" t="s">
        <v>63</v>
      </c>
      <c r="S1417" s="23" t="s">
        <v>63</v>
      </c>
      <c r="T1417" s="32" t="s">
        <v>63</v>
      </c>
      <c r="U1417" s="123" t="s">
        <v>63</v>
      </c>
      <c r="V1417" s="23" t="s">
        <v>63</v>
      </c>
      <c r="W1417" s="127" t="s">
        <v>63</v>
      </c>
      <c r="X1417" s="125" t="s">
        <v>63</v>
      </c>
      <c r="Y1417" s="35">
        <v>45.0</v>
      </c>
      <c r="Z1417" s="32" t="s">
        <v>63</v>
      </c>
      <c r="AA1417" s="38"/>
      <c r="AB1417" s="38"/>
      <c r="AC1417" s="38"/>
      <c r="AD1417" s="38"/>
      <c r="AE1417" s="38"/>
      <c r="AF1417" s="38"/>
      <c r="AG1417" s="38"/>
      <c r="AH1417" s="38"/>
      <c r="AI1417" s="38"/>
      <c r="AJ1417" s="38"/>
      <c r="AK1417" s="38"/>
    </row>
    <row r="1418">
      <c r="A1418" s="99">
        <v>1417.0</v>
      </c>
      <c r="B1418" s="15"/>
      <c r="C1418" s="15"/>
      <c r="D1418" s="105">
        <v>1.0</v>
      </c>
      <c r="E1418" s="102">
        <v>27.0</v>
      </c>
      <c r="F1418" s="107">
        <v>155.0</v>
      </c>
      <c r="G1418" s="15" t="str">
        <f t="shared" si="1"/>
        <v>27155</v>
      </c>
      <c r="H1418" s="23" t="s">
        <v>1349</v>
      </c>
      <c r="I1418" s="23" t="s">
        <v>65</v>
      </c>
      <c r="J1418" s="23" t="s">
        <v>351</v>
      </c>
      <c r="K1418" s="23" t="str">
        <f t="shared" si="24"/>
        <v>Traverse, MN</v>
      </c>
      <c r="L1418" s="23">
        <v>12.0</v>
      </c>
      <c r="M1418" s="23" t="s">
        <v>63</v>
      </c>
      <c r="N1418" s="23" t="s">
        <v>63</v>
      </c>
      <c r="O1418" s="23" t="s">
        <v>63</v>
      </c>
      <c r="P1418" s="23" t="s">
        <v>63</v>
      </c>
      <c r="Q1418" s="23" t="s">
        <v>63</v>
      </c>
      <c r="R1418" s="23" t="s">
        <v>63</v>
      </c>
      <c r="S1418" s="23" t="s">
        <v>63</v>
      </c>
      <c r="T1418" s="32" t="s">
        <v>63</v>
      </c>
      <c r="U1418" s="123" t="s">
        <v>63</v>
      </c>
      <c r="V1418" s="23" t="s">
        <v>63</v>
      </c>
      <c r="W1418" s="127" t="s">
        <v>63</v>
      </c>
      <c r="X1418" s="125" t="s">
        <v>63</v>
      </c>
      <c r="Y1418" s="35">
        <v>11.0</v>
      </c>
      <c r="Z1418" s="32" t="s">
        <v>63</v>
      </c>
      <c r="AA1418" s="38"/>
      <c r="AB1418" s="38"/>
      <c r="AC1418" s="38"/>
      <c r="AD1418" s="38"/>
      <c r="AE1418" s="38"/>
      <c r="AF1418" s="38"/>
      <c r="AG1418" s="38"/>
      <c r="AH1418" s="38"/>
      <c r="AI1418" s="38"/>
      <c r="AJ1418" s="38"/>
      <c r="AK1418" s="38"/>
    </row>
    <row r="1419">
      <c r="A1419" s="99">
        <v>1418.0</v>
      </c>
      <c r="B1419" s="15"/>
      <c r="C1419" s="15"/>
      <c r="D1419" s="105">
        <v>1.0</v>
      </c>
      <c r="E1419" s="102">
        <v>27.0</v>
      </c>
      <c r="F1419" s="107">
        <v>157.0</v>
      </c>
      <c r="G1419" s="15" t="str">
        <f t="shared" si="1"/>
        <v>27157</v>
      </c>
      <c r="H1419" s="23" t="s">
        <v>1350</v>
      </c>
      <c r="I1419" s="23" t="s">
        <v>65</v>
      </c>
      <c r="J1419" s="23" t="s">
        <v>351</v>
      </c>
      <c r="K1419" s="23" t="str">
        <f t="shared" si="24"/>
        <v>Wabasha, MN</v>
      </c>
      <c r="L1419" s="23">
        <v>34.0</v>
      </c>
      <c r="M1419" s="23" t="s">
        <v>63</v>
      </c>
      <c r="N1419" s="23" t="s">
        <v>63</v>
      </c>
      <c r="O1419" s="23" t="s">
        <v>63</v>
      </c>
      <c r="P1419" s="23" t="s">
        <v>63</v>
      </c>
      <c r="Q1419" s="23" t="s">
        <v>63</v>
      </c>
      <c r="R1419" s="23" t="s">
        <v>63</v>
      </c>
      <c r="S1419" s="23" t="s">
        <v>63</v>
      </c>
      <c r="T1419" s="32" t="s">
        <v>63</v>
      </c>
      <c r="U1419" s="123" t="s">
        <v>63</v>
      </c>
      <c r="V1419" s="23" t="s">
        <v>63</v>
      </c>
      <c r="W1419" s="127" t="s">
        <v>63</v>
      </c>
      <c r="X1419" s="125" t="s">
        <v>63</v>
      </c>
      <c r="Y1419" s="35">
        <v>33.0</v>
      </c>
      <c r="Z1419" s="32" t="s">
        <v>63</v>
      </c>
      <c r="AA1419" s="38"/>
      <c r="AB1419" s="38"/>
      <c r="AC1419" s="38"/>
      <c r="AD1419" s="38"/>
      <c r="AE1419" s="38"/>
      <c r="AF1419" s="38"/>
      <c r="AG1419" s="38"/>
      <c r="AH1419" s="38"/>
      <c r="AI1419" s="38"/>
      <c r="AJ1419" s="38"/>
      <c r="AK1419" s="38"/>
    </row>
    <row r="1420">
      <c r="A1420" s="99">
        <v>1419.0</v>
      </c>
      <c r="B1420" s="15"/>
      <c r="C1420" s="15"/>
      <c r="D1420" s="105">
        <v>1.0</v>
      </c>
      <c r="E1420" s="102">
        <v>27.0</v>
      </c>
      <c r="F1420" s="107">
        <v>159.0</v>
      </c>
      <c r="G1420" s="15" t="str">
        <f t="shared" si="1"/>
        <v>27159</v>
      </c>
      <c r="H1420" s="23" t="s">
        <v>1351</v>
      </c>
      <c r="I1420" s="23" t="s">
        <v>65</v>
      </c>
      <c r="J1420" s="23" t="s">
        <v>351</v>
      </c>
      <c r="K1420" s="23" t="str">
        <f t="shared" si="24"/>
        <v>Wadena, MN</v>
      </c>
      <c r="L1420" s="23">
        <v>91.0</v>
      </c>
      <c r="M1420" s="23" t="s">
        <v>63</v>
      </c>
      <c r="N1420" s="23" t="s">
        <v>63</v>
      </c>
      <c r="O1420" s="23" t="s">
        <v>63</v>
      </c>
      <c r="P1420" s="23" t="s">
        <v>63</v>
      </c>
      <c r="Q1420" s="23" t="s">
        <v>63</v>
      </c>
      <c r="R1420" s="23" t="s">
        <v>63</v>
      </c>
      <c r="S1420" s="23" t="s">
        <v>63</v>
      </c>
      <c r="T1420" s="32" t="s">
        <v>63</v>
      </c>
      <c r="U1420" s="123" t="s">
        <v>63</v>
      </c>
      <c r="V1420" s="23" t="s">
        <v>63</v>
      </c>
      <c r="W1420" s="127" t="s">
        <v>63</v>
      </c>
      <c r="X1420" s="125" t="s">
        <v>63</v>
      </c>
      <c r="Y1420" s="35">
        <v>34.0</v>
      </c>
      <c r="Z1420" s="32" t="s">
        <v>63</v>
      </c>
      <c r="AA1420" s="38"/>
      <c r="AB1420" s="38"/>
      <c r="AC1420" s="38"/>
      <c r="AD1420" s="38"/>
      <c r="AE1420" s="38"/>
      <c r="AF1420" s="38"/>
      <c r="AG1420" s="38"/>
      <c r="AH1420" s="38"/>
      <c r="AI1420" s="38"/>
      <c r="AJ1420" s="38"/>
      <c r="AK1420" s="38"/>
    </row>
    <row r="1421">
      <c r="A1421" s="99">
        <v>1420.0</v>
      </c>
      <c r="B1421" s="15"/>
      <c r="C1421" s="15"/>
      <c r="D1421" s="105">
        <v>1.0</v>
      </c>
      <c r="E1421" s="102">
        <v>27.0</v>
      </c>
      <c r="F1421" s="107">
        <v>161.0</v>
      </c>
      <c r="G1421" s="15" t="str">
        <f t="shared" si="1"/>
        <v>27161</v>
      </c>
      <c r="H1421" s="23" t="s">
        <v>1352</v>
      </c>
      <c r="I1421" s="23" t="s">
        <v>65</v>
      </c>
      <c r="J1421" s="23" t="s">
        <v>351</v>
      </c>
      <c r="K1421" s="23" t="str">
        <f t="shared" si="24"/>
        <v>Waseca, MN</v>
      </c>
      <c r="L1421" s="23" t="s">
        <v>63</v>
      </c>
      <c r="M1421" s="23" t="s">
        <v>63</v>
      </c>
      <c r="N1421" s="23" t="s">
        <v>63</v>
      </c>
      <c r="O1421" s="23" t="s">
        <v>63</v>
      </c>
      <c r="P1421" s="23" t="s">
        <v>63</v>
      </c>
      <c r="Q1421" s="23" t="s">
        <v>63</v>
      </c>
      <c r="R1421" s="23" t="s">
        <v>63</v>
      </c>
      <c r="S1421" s="23" t="s">
        <v>63</v>
      </c>
      <c r="T1421" s="32" t="s">
        <v>63</v>
      </c>
      <c r="U1421" s="123" t="s">
        <v>63</v>
      </c>
      <c r="V1421" s="23" t="s">
        <v>63</v>
      </c>
      <c r="W1421" s="127" t="s">
        <v>63</v>
      </c>
      <c r="X1421" s="125" t="s">
        <v>63</v>
      </c>
      <c r="Y1421" s="35">
        <v>32.0</v>
      </c>
      <c r="Z1421" s="32" t="s">
        <v>63</v>
      </c>
      <c r="AA1421" s="38"/>
      <c r="AB1421" s="38"/>
      <c r="AC1421" s="38"/>
      <c r="AD1421" s="38"/>
      <c r="AE1421" s="38"/>
      <c r="AF1421" s="38"/>
      <c r="AG1421" s="38"/>
      <c r="AH1421" s="38"/>
      <c r="AI1421" s="38"/>
      <c r="AJ1421" s="38"/>
      <c r="AK1421" s="38"/>
    </row>
    <row r="1422">
      <c r="A1422" s="99">
        <v>1421.0</v>
      </c>
      <c r="B1422" s="15"/>
      <c r="C1422" s="15"/>
      <c r="D1422" s="105">
        <v>1.0</v>
      </c>
      <c r="E1422" s="102">
        <v>27.0</v>
      </c>
      <c r="F1422" s="107">
        <v>163.0</v>
      </c>
      <c r="G1422" s="15" t="str">
        <f t="shared" si="1"/>
        <v>27163</v>
      </c>
      <c r="H1422" s="23" t="s">
        <v>119</v>
      </c>
      <c r="I1422" s="23" t="s">
        <v>65</v>
      </c>
      <c r="J1422" s="23" t="s">
        <v>351</v>
      </c>
      <c r="K1422" s="23" t="str">
        <f t="shared" si="24"/>
        <v>Washington, MN</v>
      </c>
      <c r="L1422" s="23">
        <v>235.0</v>
      </c>
      <c r="M1422" s="23" t="s">
        <v>63</v>
      </c>
      <c r="N1422" s="23" t="s">
        <v>63</v>
      </c>
      <c r="O1422" s="23" t="s">
        <v>63</v>
      </c>
      <c r="P1422" s="23" t="s">
        <v>63</v>
      </c>
      <c r="Q1422" s="23" t="s">
        <v>63</v>
      </c>
      <c r="R1422" s="23" t="s">
        <v>63</v>
      </c>
      <c r="S1422" s="23" t="s">
        <v>63</v>
      </c>
      <c r="T1422" s="32" t="s">
        <v>63</v>
      </c>
      <c r="U1422" s="123" t="s">
        <v>63</v>
      </c>
      <c r="V1422" s="23" t="s">
        <v>63</v>
      </c>
      <c r="W1422" s="127" t="s">
        <v>63</v>
      </c>
      <c r="X1422" s="125" t="s">
        <v>63</v>
      </c>
      <c r="Y1422" s="35">
        <v>95.0</v>
      </c>
      <c r="Z1422" s="32" t="s">
        <v>63</v>
      </c>
      <c r="AA1422" s="38"/>
      <c r="AB1422" s="38"/>
      <c r="AC1422" s="38"/>
      <c r="AD1422" s="38"/>
      <c r="AE1422" s="38"/>
      <c r="AF1422" s="38"/>
      <c r="AG1422" s="38"/>
      <c r="AH1422" s="38"/>
      <c r="AI1422" s="38"/>
      <c r="AJ1422" s="38"/>
      <c r="AK1422" s="38"/>
    </row>
    <row r="1423">
      <c r="A1423" s="99">
        <v>1422.0</v>
      </c>
      <c r="B1423" s="15"/>
      <c r="C1423" s="15"/>
      <c r="D1423" s="105">
        <v>1.0</v>
      </c>
      <c r="E1423" s="102">
        <v>27.0</v>
      </c>
      <c r="F1423" s="107">
        <v>165.0</v>
      </c>
      <c r="G1423" s="15" t="str">
        <f t="shared" si="1"/>
        <v>27165</v>
      </c>
      <c r="H1423" s="23" t="s">
        <v>1353</v>
      </c>
      <c r="I1423" s="23" t="s">
        <v>65</v>
      </c>
      <c r="J1423" s="23" t="s">
        <v>351</v>
      </c>
      <c r="K1423" s="23" t="str">
        <f t="shared" si="24"/>
        <v>Watonwan, MN</v>
      </c>
      <c r="L1423" s="23">
        <v>44.0</v>
      </c>
      <c r="M1423" s="23" t="s">
        <v>63</v>
      </c>
      <c r="N1423" s="23" t="s">
        <v>63</v>
      </c>
      <c r="O1423" s="23" t="s">
        <v>63</v>
      </c>
      <c r="P1423" s="23" t="s">
        <v>63</v>
      </c>
      <c r="Q1423" s="23" t="s">
        <v>63</v>
      </c>
      <c r="R1423" s="23" t="s">
        <v>63</v>
      </c>
      <c r="S1423" s="23" t="s">
        <v>63</v>
      </c>
      <c r="T1423" s="32" t="s">
        <v>63</v>
      </c>
      <c r="U1423" s="123" t="s">
        <v>63</v>
      </c>
      <c r="V1423" s="23" t="s">
        <v>63</v>
      </c>
      <c r="W1423" s="127" t="s">
        <v>63</v>
      </c>
      <c r="X1423" s="125" t="s">
        <v>63</v>
      </c>
      <c r="Y1423" s="35">
        <v>23.0</v>
      </c>
      <c r="Z1423" s="32" t="s">
        <v>63</v>
      </c>
      <c r="AA1423" s="38"/>
      <c r="AB1423" s="38"/>
      <c r="AC1423" s="38"/>
      <c r="AD1423" s="38"/>
      <c r="AE1423" s="38"/>
      <c r="AF1423" s="38"/>
      <c r="AG1423" s="38"/>
      <c r="AH1423" s="38"/>
      <c r="AI1423" s="38"/>
      <c r="AJ1423" s="38"/>
      <c r="AK1423" s="38"/>
    </row>
    <row r="1424">
      <c r="A1424" s="99">
        <v>1423.0</v>
      </c>
      <c r="B1424" s="15"/>
      <c r="C1424" s="15"/>
      <c r="D1424" s="105">
        <v>1.0</v>
      </c>
      <c r="E1424" s="102">
        <v>27.0</v>
      </c>
      <c r="F1424" s="107">
        <v>167.0</v>
      </c>
      <c r="G1424" s="15" t="str">
        <f t="shared" si="1"/>
        <v>27167</v>
      </c>
      <c r="H1424" s="23" t="s">
        <v>1354</v>
      </c>
      <c r="I1424" s="23" t="s">
        <v>65</v>
      </c>
      <c r="J1424" s="23" t="s">
        <v>351</v>
      </c>
      <c r="K1424" s="23" t="str">
        <f t="shared" si="24"/>
        <v>Wilkin, MN</v>
      </c>
      <c r="L1424" s="23">
        <v>38.0</v>
      </c>
      <c r="M1424" s="23" t="s">
        <v>63</v>
      </c>
      <c r="N1424" s="23" t="s">
        <v>63</v>
      </c>
      <c r="O1424" s="23" t="s">
        <v>63</v>
      </c>
      <c r="P1424" s="23" t="s">
        <v>63</v>
      </c>
      <c r="Q1424" s="23" t="s">
        <v>63</v>
      </c>
      <c r="R1424" s="23" t="s">
        <v>63</v>
      </c>
      <c r="S1424" s="23" t="s">
        <v>63</v>
      </c>
      <c r="T1424" s="32" t="s">
        <v>63</v>
      </c>
      <c r="U1424" s="123" t="s">
        <v>63</v>
      </c>
      <c r="V1424" s="23" t="s">
        <v>63</v>
      </c>
      <c r="W1424" s="127" t="s">
        <v>63</v>
      </c>
      <c r="X1424" s="125" t="s">
        <v>63</v>
      </c>
      <c r="Y1424" s="35">
        <v>11.0</v>
      </c>
      <c r="Z1424" s="32" t="s">
        <v>63</v>
      </c>
      <c r="AA1424" s="38"/>
      <c r="AB1424" s="38"/>
      <c r="AC1424" s="38"/>
      <c r="AD1424" s="38"/>
      <c r="AE1424" s="38"/>
      <c r="AF1424" s="38"/>
      <c r="AG1424" s="38"/>
      <c r="AH1424" s="38"/>
      <c r="AI1424" s="38"/>
      <c r="AJ1424" s="38"/>
      <c r="AK1424" s="38"/>
    </row>
    <row r="1425">
      <c r="A1425" s="99">
        <v>1424.0</v>
      </c>
      <c r="B1425" s="15"/>
      <c r="C1425" s="15"/>
      <c r="D1425" s="105">
        <v>1.0</v>
      </c>
      <c r="E1425" s="102">
        <v>27.0</v>
      </c>
      <c r="F1425" s="107">
        <v>169.0</v>
      </c>
      <c r="G1425" s="15" t="str">
        <f t="shared" si="1"/>
        <v>27169</v>
      </c>
      <c r="H1425" s="23" t="s">
        <v>1355</v>
      </c>
      <c r="I1425" s="23" t="s">
        <v>65</v>
      </c>
      <c r="J1425" s="23" t="s">
        <v>351</v>
      </c>
      <c r="K1425" s="23" t="str">
        <f t="shared" si="24"/>
        <v>Winona, MN</v>
      </c>
      <c r="L1425" s="23">
        <v>143.0</v>
      </c>
      <c r="M1425" s="23" t="s">
        <v>63</v>
      </c>
      <c r="N1425" s="23" t="s">
        <v>63</v>
      </c>
      <c r="O1425" s="23" t="s">
        <v>63</v>
      </c>
      <c r="P1425" s="23" t="s">
        <v>63</v>
      </c>
      <c r="Q1425" s="23" t="s">
        <v>63</v>
      </c>
      <c r="R1425" s="23" t="s">
        <v>63</v>
      </c>
      <c r="S1425" s="23" t="s">
        <v>63</v>
      </c>
      <c r="T1425" s="32" t="s">
        <v>63</v>
      </c>
      <c r="U1425" s="123" t="s">
        <v>63</v>
      </c>
      <c r="V1425" s="23" t="s">
        <v>63</v>
      </c>
      <c r="W1425" s="127" t="s">
        <v>63</v>
      </c>
      <c r="X1425" s="125" t="s">
        <v>63</v>
      </c>
      <c r="Y1425" s="35">
        <v>46.0</v>
      </c>
      <c r="Z1425" s="32" t="s">
        <v>63</v>
      </c>
      <c r="AA1425" s="38"/>
      <c r="AB1425" s="38"/>
      <c r="AC1425" s="38"/>
      <c r="AD1425" s="38"/>
      <c r="AE1425" s="38"/>
      <c r="AF1425" s="38"/>
      <c r="AG1425" s="38"/>
      <c r="AH1425" s="38"/>
      <c r="AI1425" s="38"/>
      <c r="AJ1425" s="38"/>
      <c r="AK1425" s="38"/>
    </row>
    <row r="1426">
      <c r="A1426" s="99">
        <v>1425.0</v>
      </c>
      <c r="B1426" s="15"/>
      <c r="C1426" s="15"/>
      <c r="D1426" s="105">
        <v>1.0</v>
      </c>
      <c r="E1426" s="102">
        <v>27.0</v>
      </c>
      <c r="F1426" s="107">
        <v>171.0</v>
      </c>
      <c r="G1426" s="15" t="str">
        <f t="shared" si="1"/>
        <v>27171</v>
      </c>
      <c r="H1426" s="23" t="s">
        <v>949</v>
      </c>
      <c r="I1426" s="23" t="s">
        <v>65</v>
      </c>
      <c r="J1426" s="23" t="s">
        <v>351</v>
      </c>
      <c r="K1426" s="23" t="str">
        <f t="shared" si="24"/>
        <v>Wright, MN</v>
      </c>
      <c r="L1426" s="23">
        <v>197.0</v>
      </c>
      <c r="M1426" s="23" t="s">
        <v>63</v>
      </c>
      <c r="N1426" s="23" t="s">
        <v>63</v>
      </c>
      <c r="O1426" s="23" t="s">
        <v>63</v>
      </c>
      <c r="P1426" s="23" t="s">
        <v>63</v>
      </c>
      <c r="Q1426" s="23" t="s">
        <v>63</v>
      </c>
      <c r="R1426" s="23" t="s">
        <v>63</v>
      </c>
      <c r="S1426" s="23" t="s">
        <v>63</v>
      </c>
      <c r="T1426" s="32" t="s">
        <v>63</v>
      </c>
      <c r="U1426" s="123" t="s">
        <v>63</v>
      </c>
      <c r="V1426" s="23" t="s">
        <v>63</v>
      </c>
      <c r="W1426" s="127" t="s">
        <v>63</v>
      </c>
      <c r="X1426" s="125" t="s">
        <v>63</v>
      </c>
      <c r="Y1426" s="35">
        <v>84.0</v>
      </c>
      <c r="Z1426" s="32" t="s">
        <v>63</v>
      </c>
      <c r="AA1426" s="38"/>
      <c r="AB1426" s="38"/>
      <c r="AC1426" s="38"/>
      <c r="AD1426" s="38"/>
      <c r="AE1426" s="38"/>
      <c r="AF1426" s="38"/>
      <c r="AG1426" s="38"/>
      <c r="AH1426" s="38"/>
      <c r="AI1426" s="38"/>
      <c r="AJ1426" s="38"/>
      <c r="AK1426" s="38"/>
    </row>
    <row r="1427">
      <c r="A1427" s="99">
        <v>1426.0</v>
      </c>
      <c r="B1427" s="15"/>
      <c r="C1427" s="15"/>
      <c r="D1427" s="105">
        <v>1.0</v>
      </c>
      <c r="E1427" s="102">
        <v>27.0</v>
      </c>
      <c r="F1427" s="107">
        <v>173.0</v>
      </c>
      <c r="G1427" s="15" t="str">
        <f t="shared" si="1"/>
        <v>27173</v>
      </c>
      <c r="H1427" s="23" t="s">
        <v>1356</v>
      </c>
      <c r="I1427" s="23" t="s">
        <v>65</v>
      </c>
      <c r="J1427" s="23" t="s">
        <v>351</v>
      </c>
      <c r="K1427" s="112" t="str">
        <f t="shared" si="24"/>
        <v>Yellow Medicine, MN</v>
      </c>
      <c r="L1427" s="23">
        <v>38.0</v>
      </c>
      <c r="M1427" s="23" t="s">
        <v>63</v>
      </c>
      <c r="N1427" s="23" t="s">
        <v>63</v>
      </c>
      <c r="O1427" s="23" t="s">
        <v>63</v>
      </c>
      <c r="P1427" s="23" t="s">
        <v>63</v>
      </c>
      <c r="Q1427" s="23" t="s">
        <v>63</v>
      </c>
      <c r="R1427" s="23" t="s">
        <v>63</v>
      </c>
      <c r="S1427" s="23" t="s">
        <v>63</v>
      </c>
      <c r="T1427" s="32" t="s">
        <v>63</v>
      </c>
      <c r="U1427" s="123" t="s">
        <v>63</v>
      </c>
      <c r="V1427" s="23" t="s">
        <v>63</v>
      </c>
      <c r="W1427" s="127" t="s">
        <v>63</v>
      </c>
      <c r="X1427" s="125" t="s">
        <v>63</v>
      </c>
      <c r="Y1427" s="35">
        <v>25.0</v>
      </c>
      <c r="Z1427" s="32" t="s">
        <v>63</v>
      </c>
      <c r="AA1427" s="38"/>
      <c r="AB1427" s="38"/>
      <c r="AC1427" s="38"/>
      <c r="AD1427" s="38"/>
      <c r="AE1427" s="38"/>
      <c r="AF1427" s="38"/>
      <c r="AG1427" s="38"/>
      <c r="AH1427" s="38"/>
      <c r="AI1427" s="38"/>
      <c r="AJ1427" s="38"/>
      <c r="AK1427" s="38"/>
    </row>
    <row r="1428">
      <c r="A1428" s="28">
        <v>1427.0</v>
      </c>
      <c r="B1428" s="29"/>
      <c r="C1428" s="29" t="s">
        <v>25</v>
      </c>
      <c r="D1428" s="30"/>
      <c r="E1428" s="31">
        <v>28.0</v>
      </c>
      <c r="F1428" s="42">
        <v>0.0</v>
      </c>
      <c r="G1428" s="29" t="str">
        <f t="shared" si="1"/>
        <v>28000</v>
      </c>
      <c r="H1428" s="37"/>
      <c r="I1428" s="37" t="s">
        <v>67</v>
      </c>
      <c r="J1428" s="37" t="s">
        <v>1357</v>
      </c>
      <c r="K1428" s="37"/>
      <c r="L1428" s="70">
        <f t="array" ref="L1428:Z1428">Mississippi!C86:Q86</f>
        <v>3678</v>
      </c>
      <c r="M1428" s="37" t="s">
        <v>63</v>
      </c>
      <c r="N1428" s="53">
        <v>1535.0</v>
      </c>
      <c r="O1428" s="53">
        <v>1246.0</v>
      </c>
      <c r="P1428" s="37" t="s">
        <v>63</v>
      </c>
      <c r="Q1428" s="53">
        <v>1691.0</v>
      </c>
      <c r="R1428" s="37">
        <v>527.0</v>
      </c>
      <c r="S1428" s="37" t="s">
        <v>63</v>
      </c>
      <c r="T1428" s="69" t="s">
        <v>1878</v>
      </c>
      <c r="U1428" s="37" t="s">
        <v>63</v>
      </c>
      <c r="V1428" s="37" t="s">
        <v>63</v>
      </c>
      <c r="W1428" s="37" t="s">
        <v>63</v>
      </c>
      <c r="X1428" s="37" t="s">
        <v>63</v>
      </c>
      <c r="Y1428" s="53">
        <v>4044.0</v>
      </c>
      <c r="Z1428" s="69" t="s">
        <v>63</v>
      </c>
      <c r="AA1428" s="73"/>
      <c r="AB1428" s="73"/>
      <c r="AC1428" s="73"/>
      <c r="AD1428" s="73"/>
      <c r="AE1428" s="73"/>
      <c r="AF1428" s="73"/>
      <c r="AG1428" s="73"/>
      <c r="AH1428" s="73"/>
      <c r="AI1428" s="73"/>
      <c r="AJ1428" s="73"/>
      <c r="AK1428" s="73"/>
    </row>
    <row r="1429">
      <c r="A1429" s="28">
        <v>1428.0</v>
      </c>
      <c r="B1429" s="29"/>
      <c r="C1429" s="29"/>
      <c r="D1429" s="40">
        <v>1.0</v>
      </c>
      <c r="E1429" s="31">
        <v>28.0</v>
      </c>
      <c r="F1429" s="42">
        <v>1.0</v>
      </c>
      <c r="G1429" s="29" t="str">
        <f t="shared" si="1"/>
        <v>28001</v>
      </c>
      <c r="H1429" s="37" t="s">
        <v>386</v>
      </c>
      <c r="I1429" s="37" t="s">
        <v>67</v>
      </c>
      <c r="J1429" s="37" t="s">
        <v>1357</v>
      </c>
      <c r="K1429" s="37" t="str">
        <f t="shared" ref="K1429:K1510" si="25">CONCATENATE(H1429,", ",J1429)</f>
        <v>Adams, MS</v>
      </c>
      <c r="L1429" s="37">
        <f t="array" ref="L1429:Z1510">Mississippi!C3:Q84</f>
        <v>45</v>
      </c>
      <c r="M1429" s="37" t="s">
        <v>63</v>
      </c>
      <c r="N1429" s="37">
        <v>26.0</v>
      </c>
      <c r="O1429" s="37">
        <v>12.0</v>
      </c>
      <c r="P1429" s="37" t="s">
        <v>63</v>
      </c>
      <c r="Q1429" s="37" t="s">
        <v>63</v>
      </c>
      <c r="R1429" s="37">
        <v>2.0</v>
      </c>
      <c r="S1429" s="37" t="s">
        <v>63</v>
      </c>
      <c r="T1429" s="69" t="s">
        <v>1883</v>
      </c>
      <c r="U1429" s="37" t="s">
        <v>63</v>
      </c>
      <c r="V1429" s="37" t="s">
        <v>63</v>
      </c>
      <c r="W1429" s="37" t="s">
        <v>63</v>
      </c>
      <c r="X1429" s="37" t="s">
        <v>63</v>
      </c>
      <c r="Y1429" s="53">
        <v>58.0</v>
      </c>
      <c r="Z1429" s="69" t="s">
        <v>63</v>
      </c>
      <c r="AA1429" s="73"/>
      <c r="AB1429" s="73"/>
      <c r="AC1429" s="73"/>
      <c r="AD1429" s="73"/>
      <c r="AE1429" s="73"/>
      <c r="AF1429" s="73"/>
      <c r="AG1429" s="73"/>
      <c r="AH1429" s="73"/>
      <c r="AI1429" s="73"/>
      <c r="AJ1429" s="73"/>
      <c r="AK1429" s="73"/>
    </row>
    <row r="1430">
      <c r="A1430" s="28">
        <v>1429.0</v>
      </c>
      <c r="B1430" s="29"/>
      <c r="C1430" s="29"/>
      <c r="D1430" s="40">
        <v>1.0</v>
      </c>
      <c r="E1430" s="31">
        <v>28.0</v>
      </c>
      <c r="F1430" s="42">
        <v>3.0</v>
      </c>
      <c r="G1430" s="29" t="str">
        <f t="shared" si="1"/>
        <v>28003</v>
      </c>
      <c r="H1430" s="37" t="s">
        <v>1358</v>
      </c>
      <c r="I1430" s="37" t="s">
        <v>67</v>
      </c>
      <c r="J1430" s="37" t="s">
        <v>1357</v>
      </c>
      <c r="K1430" s="37" t="str">
        <f t="shared" si="25"/>
        <v>Alcorn, MS</v>
      </c>
      <c r="L1430" s="37">
        <v>42.0</v>
      </c>
      <c r="M1430" s="37" t="s">
        <v>63</v>
      </c>
      <c r="N1430" s="37">
        <v>14.0</v>
      </c>
      <c r="O1430" s="37">
        <v>24.0</v>
      </c>
      <c r="P1430" s="37" t="s">
        <v>63</v>
      </c>
      <c r="Q1430" s="37" t="s">
        <v>63</v>
      </c>
      <c r="R1430" s="37">
        <v>3.0</v>
      </c>
      <c r="S1430" s="37" t="s">
        <v>63</v>
      </c>
      <c r="T1430" s="69" t="s">
        <v>1886</v>
      </c>
      <c r="U1430" s="37" t="s">
        <v>63</v>
      </c>
      <c r="V1430" s="37" t="s">
        <v>63</v>
      </c>
      <c r="W1430" s="37" t="s">
        <v>63</v>
      </c>
      <c r="X1430" s="37" t="s">
        <v>63</v>
      </c>
      <c r="Y1430" s="53">
        <v>50.0</v>
      </c>
      <c r="Z1430" s="69" t="s">
        <v>63</v>
      </c>
      <c r="AA1430" s="73"/>
      <c r="AB1430" s="73"/>
      <c r="AC1430" s="73"/>
      <c r="AD1430" s="73"/>
      <c r="AE1430" s="73"/>
      <c r="AF1430" s="73"/>
      <c r="AG1430" s="73"/>
      <c r="AH1430" s="73"/>
      <c r="AI1430" s="73"/>
      <c r="AJ1430" s="73"/>
      <c r="AK1430" s="73"/>
    </row>
    <row r="1431">
      <c r="A1431" s="28">
        <v>1430.0</v>
      </c>
      <c r="B1431" s="29"/>
      <c r="C1431" s="29"/>
      <c r="D1431" s="40">
        <v>1.0</v>
      </c>
      <c r="E1431" s="31">
        <v>28.0</v>
      </c>
      <c r="F1431" s="42">
        <v>5.0</v>
      </c>
      <c r="G1431" s="29" t="str">
        <f t="shared" si="1"/>
        <v>28005</v>
      </c>
      <c r="H1431" s="37" t="s">
        <v>1359</v>
      </c>
      <c r="I1431" s="37" t="s">
        <v>67</v>
      </c>
      <c r="J1431" s="37" t="s">
        <v>1357</v>
      </c>
      <c r="K1431" s="37" t="str">
        <f t="shared" si="25"/>
        <v>Amite, MS</v>
      </c>
      <c r="L1431" s="37">
        <v>5.0</v>
      </c>
      <c r="M1431" s="37" t="s">
        <v>63</v>
      </c>
      <c r="N1431" s="37">
        <v>1.0</v>
      </c>
      <c r="O1431" s="37">
        <v>4.0</v>
      </c>
      <c r="P1431" s="37" t="s">
        <v>63</v>
      </c>
      <c r="Q1431" s="37" t="s">
        <v>63</v>
      </c>
      <c r="R1431" s="37">
        <v>0.0</v>
      </c>
      <c r="S1431" s="37" t="s">
        <v>63</v>
      </c>
      <c r="T1431" s="69" t="s">
        <v>1888</v>
      </c>
      <c r="U1431" s="37" t="s">
        <v>63</v>
      </c>
      <c r="V1431" s="37" t="s">
        <v>63</v>
      </c>
      <c r="W1431" s="37" t="s">
        <v>63</v>
      </c>
      <c r="X1431" s="37" t="s">
        <v>63</v>
      </c>
      <c r="Y1431" s="53">
        <v>22.0</v>
      </c>
      <c r="Z1431" s="69" t="s">
        <v>63</v>
      </c>
      <c r="AA1431" s="73"/>
      <c r="AB1431" s="73"/>
      <c r="AC1431" s="73"/>
      <c r="AD1431" s="73"/>
      <c r="AE1431" s="73"/>
      <c r="AF1431" s="73"/>
      <c r="AG1431" s="73"/>
      <c r="AH1431" s="73"/>
      <c r="AI1431" s="73"/>
      <c r="AJ1431" s="73"/>
      <c r="AK1431" s="73"/>
    </row>
    <row r="1432">
      <c r="A1432" s="28">
        <v>1431.0</v>
      </c>
      <c r="B1432" s="29"/>
      <c r="C1432" s="29"/>
      <c r="D1432" s="40">
        <v>1.0</v>
      </c>
      <c r="E1432" s="31">
        <v>28.0</v>
      </c>
      <c r="F1432" s="42">
        <v>7.0</v>
      </c>
      <c r="G1432" s="29" t="str">
        <f t="shared" si="1"/>
        <v>28007</v>
      </c>
      <c r="H1432" s="37" t="s">
        <v>1360</v>
      </c>
      <c r="I1432" s="37" t="s">
        <v>67</v>
      </c>
      <c r="J1432" s="37" t="s">
        <v>1357</v>
      </c>
      <c r="K1432" s="37" t="str">
        <f t="shared" si="25"/>
        <v>Attala, MS</v>
      </c>
      <c r="L1432" s="37">
        <v>8.0</v>
      </c>
      <c r="M1432" s="37" t="s">
        <v>63</v>
      </c>
      <c r="N1432" s="37">
        <v>3.0</v>
      </c>
      <c r="O1432" s="37">
        <v>4.0</v>
      </c>
      <c r="P1432" s="37" t="s">
        <v>63</v>
      </c>
      <c r="Q1432" s="37" t="s">
        <v>63</v>
      </c>
      <c r="R1432" s="37">
        <v>0.0</v>
      </c>
      <c r="S1432" s="37" t="s">
        <v>63</v>
      </c>
      <c r="T1432" s="69" t="s">
        <v>1891</v>
      </c>
      <c r="U1432" s="37" t="s">
        <v>63</v>
      </c>
      <c r="V1432" s="37" t="s">
        <v>63</v>
      </c>
      <c r="W1432" s="37" t="s">
        <v>63</v>
      </c>
      <c r="X1432" s="37" t="s">
        <v>63</v>
      </c>
      <c r="Y1432" s="53">
        <v>31.0</v>
      </c>
      <c r="Z1432" s="69" t="s">
        <v>63</v>
      </c>
      <c r="AA1432" s="73"/>
      <c r="AB1432" s="73"/>
      <c r="AC1432" s="73"/>
      <c r="AD1432" s="73"/>
      <c r="AE1432" s="73"/>
      <c r="AF1432" s="73"/>
      <c r="AG1432" s="73"/>
      <c r="AH1432" s="73"/>
      <c r="AI1432" s="73"/>
      <c r="AJ1432" s="73"/>
      <c r="AK1432" s="73"/>
    </row>
    <row r="1433">
      <c r="A1433" s="28">
        <v>1432.0</v>
      </c>
      <c r="B1433" s="29"/>
      <c r="C1433" s="29"/>
      <c r="D1433" s="40">
        <v>1.0</v>
      </c>
      <c r="E1433" s="31">
        <v>28.0</v>
      </c>
      <c r="F1433" s="42">
        <v>9.0</v>
      </c>
      <c r="G1433" s="29" t="str">
        <f t="shared" si="1"/>
        <v>28009</v>
      </c>
      <c r="H1433" s="37" t="s">
        <v>243</v>
      </c>
      <c r="I1433" s="37" t="s">
        <v>67</v>
      </c>
      <c r="J1433" s="37" t="s">
        <v>1357</v>
      </c>
      <c r="K1433" s="37" t="str">
        <f t="shared" si="25"/>
        <v>Benton, MS</v>
      </c>
      <c r="L1433" s="37">
        <v>6.0</v>
      </c>
      <c r="M1433" s="37" t="s">
        <v>63</v>
      </c>
      <c r="N1433" s="37">
        <v>3.0</v>
      </c>
      <c r="O1433" s="37">
        <v>2.0</v>
      </c>
      <c r="P1433" s="37" t="s">
        <v>63</v>
      </c>
      <c r="Q1433" s="37" t="s">
        <v>63</v>
      </c>
      <c r="R1433" s="37">
        <v>2.0</v>
      </c>
      <c r="S1433" s="37" t="s">
        <v>63</v>
      </c>
      <c r="T1433" s="69" t="s">
        <v>1892</v>
      </c>
      <c r="U1433" s="37" t="s">
        <v>63</v>
      </c>
      <c r="V1433" s="37" t="s">
        <v>63</v>
      </c>
      <c r="W1433" s="37" t="s">
        <v>63</v>
      </c>
      <c r="X1433" s="37" t="s">
        <v>63</v>
      </c>
      <c r="Y1433" s="53">
        <v>12.0</v>
      </c>
      <c r="Z1433" s="69" t="s">
        <v>63</v>
      </c>
      <c r="AA1433" s="73"/>
      <c r="AB1433" s="73"/>
      <c r="AC1433" s="73"/>
      <c r="AD1433" s="73"/>
      <c r="AE1433" s="73"/>
      <c r="AF1433" s="73"/>
      <c r="AG1433" s="73"/>
      <c r="AH1433" s="73"/>
      <c r="AI1433" s="73"/>
      <c r="AJ1433" s="73"/>
      <c r="AK1433" s="73"/>
    </row>
    <row r="1434">
      <c r="A1434" s="28">
        <v>1433.0</v>
      </c>
      <c r="B1434" s="29"/>
      <c r="C1434" s="29"/>
      <c r="D1434" s="40">
        <v>1.0</v>
      </c>
      <c r="E1434" s="31">
        <v>28.0</v>
      </c>
      <c r="F1434" s="42">
        <v>11.0</v>
      </c>
      <c r="G1434" s="29" t="str">
        <f t="shared" si="1"/>
        <v>28011</v>
      </c>
      <c r="H1434" s="37" t="s">
        <v>1361</v>
      </c>
      <c r="I1434" s="37" t="s">
        <v>67</v>
      </c>
      <c r="J1434" s="37" t="s">
        <v>1357</v>
      </c>
      <c r="K1434" s="37" t="str">
        <f t="shared" si="25"/>
        <v>Bolivar, MS</v>
      </c>
      <c r="L1434" s="37">
        <v>16.0</v>
      </c>
      <c r="M1434" s="37" t="s">
        <v>63</v>
      </c>
      <c r="N1434" s="37">
        <v>7.0</v>
      </c>
      <c r="O1434" s="37">
        <v>1.0</v>
      </c>
      <c r="P1434" s="37" t="s">
        <v>63</v>
      </c>
      <c r="Q1434" s="37" t="s">
        <v>63</v>
      </c>
      <c r="R1434" s="37">
        <v>0.0</v>
      </c>
      <c r="S1434" s="37" t="s">
        <v>63</v>
      </c>
      <c r="T1434" s="69" t="s">
        <v>1894</v>
      </c>
      <c r="U1434" s="37" t="s">
        <v>63</v>
      </c>
      <c r="V1434" s="37" t="s">
        <v>63</v>
      </c>
      <c r="W1434" s="37" t="s">
        <v>63</v>
      </c>
      <c r="X1434" s="37" t="s">
        <v>63</v>
      </c>
      <c r="Y1434" s="53">
        <v>40.0</v>
      </c>
      <c r="Z1434" s="69" t="s">
        <v>63</v>
      </c>
      <c r="AA1434" s="73"/>
      <c r="AB1434" s="73"/>
      <c r="AC1434" s="73"/>
      <c r="AD1434" s="73"/>
      <c r="AE1434" s="73"/>
      <c r="AF1434" s="73"/>
      <c r="AG1434" s="73"/>
      <c r="AH1434" s="73"/>
      <c r="AI1434" s="73"/>
      <c r="AJ1434" s="73"/>
      <c r="AK1434" s="73"/>
    </row>
    <row r="1435">
      <c r="A1435" s="28">
        <v>1434.0</v>
      </c>
      <c r="B1435" s="29"/>
      <c r="C1435" s="29"/>
      <c r="D1435" s="40">
        <v>1.0</v>
      </c>
      <c r="E1435" s="31">
        <v>28.0</v>
      </c>
      <c r="F1435" s="42">
        <v>13.0</v>
      </c>
      <c r="G1435" s="29" t="str">
        <f t="shared" si="1"/>
        <v>28013</v>
      </c>
      <c r="H1435" s="37" t="s">
        <v>93</v>
      </c>
      <c r="I1435" s="37" t="s">
        <v>67</v>
      </c>
      <c r="J1435" s="37" t="s">
        <v>1357</v>
      </c>
      <c r="K1435" s="37" t="str">
        <f t="shared" si="25"/>
        <v>Calhoun, MS</v>
      </c>
      <c r="L1435" s="37">
        <v>23.0</v>
      </c>
      <c r="M1435" s="37" t="s">
        <v>63</v>
      </c>
      <c r="N1435" s="37">
        <v>6.0</v>
      </c>
      <c r="O1435" s="37">
        <v>9.0</v>
      </c>
      <c r="P1435" s="37" t="s">
        <v>63</v>
      </c>
      <c r="Q1435" s="37" t="s">
        <v>63</v>
      </c>
      <c r="R1435" s="37">
        <v>2.0</v>
      </c>
      <c r="S1435" s="37" t="s">
        <v>63</v>
      </c>
      <c r="T1435" s="69" t="s">
        <v>1895</v>
      </c>
      <c r="U1435" s="37" t="s">
        <v>63</v>
      </c>
      <c r="V1435" s="37" t="s">
        <v>63</v>
      </c>
      <c r="W1435" s="37" t="s">
        <v>63</v>
      </c>
      <c r="X1435" s="37" t="s">
        <v>63</v>
      </c>
      <c r="Y1435" s="53">
        <v>37.0</v>
      </c>
      <c r="Z1435" s="69" t="s">
        <v>63</v>
      </c>
      <c r="AA1435" s="73"/>
      <c r="AB1435" s="73"/>
      <c r="AC1435" s="73"/>
      <c r="AD1435" s="73"/>
      <c r="AE1435" s="73"/>
      <c r="AF1435" s="73"/>
      <c r="AG1435" s="73"/>
      <c r="AH1435" s="73"/>
      <c r="AI1435" s="73"/>
      <c r="AJ1435" s="73"/>
      <c r="AK1435" s="73"/>
    </row>
    <row r="1436">
      <c r="A1436" s="28">
        <v>1435.0</v>
      </c>
      <c r="B1436" s="29"/>
      <c r="C1436" s="29"/>
      <c r="D1436" s="40">
        <v>1.0</v>
      </c>
      <c r="E1436" s="31">
        <v>28.0</v>
      </c>
      <c r="F1436" s="42">
        <v>15.0</v>
      </c>
      <c r="G1436" s="29" t="str">
        <f t="shared" si="1"/>
        <v>28015</v>
      </c>
      <c r="H1436" s="37" t="s">
        <v>248</v>
      </c>
      <c r="I1436" s="37" t="s">
        <v>67</v>
      </c>
      <c r="J1436" s="37" t="s">
        <v>1357</v>
      </c>
      <c r="K1436" s="37" t="str">
        <f t="shared" si="25"/>
        <v>Carroll, MS</v>
      </c>
      <c r="L1436" s="37">
        <v>2.0</v>
      </c>
      <c r="M1436" s="37" t="s">
        <v>63</v>
      </c>
      <c r="N1436" s="37">
        <v>1.0</v>
      </c>
      <c r="O1436" s="37">
        <v>0.0</v>
      </c>
      <c r="P1436" s="37" t="s">
        <v>63</v>
      </c>
      <c r="Q1436" s="37" t="s">
        <v>63</v>
      </c>
      <c r="R1436" s="37">
        <v>0.0</v>
      </c>
      <c r="S1436" s="37" t="s">
        <v>63</v>
      </c>
      <c r="T1436" s="69" t="s">
        <v>1897</v>
      </c>
      <c r="U1436" s="37" t="s">
        <v>63</v>
      </c>
      <c r="V1436" s="37" t="s">
        <v>63</v>
      </c>
      <c r="W1436" s="37" t="s">
        <v>63</v>
      </c>
      <c r="X1436" s="37" t="s">
        <v>63</v>
      </c>
      <c r="Y1436" s="53">
        <v>11.0</v>
      </c>
      <c r="Z1436" s="69" t="s">
        <v>63</v>
      </c>
      <c r="AA1436" s="73"/>
      <c r="AB1436" s="73"/>
      <c r="AC1436" s="73"/>
      <c r="AD1436" s="73"/>
      <c r="AE1436" s="73"/>
      <c r="AF1436" s="73"/>
      <c r="AG1436" s="73"/>
      <c r="AH1436" s="73"/>
      <c r="AI1436" s="73"/>
      <c r="AJ1436" s="73"/>
      <c r="AK1436" s="73"/>
    </row>
    <row r="1437">
      <c r="A1437" s="28">
        <v>1436.0</v>
      </c>
      <c r="B1437" s="29"/>
      <c r="C1437" s="29"/>
      <c r="D1437" s="40">
        <v>1.0</v>
      </c>
      <c r="E1437" s="31">
        <v>28.0</v>
      </c>
      <c r="F1437" s="42">
        <v>17.0</v>
      </c>
      <c r="G1437" s="29" t="str">
        <f t="shared" si="1"/>
        <v>28017</v>
      </c>
      <c r="H1437" s="37" t="s">
        <v>896</v>
      </c>
      <c r="I1437" s="37" t="s">
        <v>67</v>
      </c>
      <c r="J1437" s="37" t="s">
        <v>1357</v>
      </c>
      <c r="K1437" s="37" t="str">
        <f t="shared" si="25"/>
        <v>Chickasaw, MS</v>
      </c>
      <c r="L1437" s="37">
        <v>16.0</v>
      </c>
      <c r="M1437" s="37" t="s">
        <v>63</v>
      </c>
      <c r="N1437" s="37">
        <v>5.0</v>
      </c>
      <c r="O1437" s="37">
        <v>11.0</v>
      </c>
      <c r="P1437" s="37" t="s">
        <v>63</v>
      </c>
      <c r="Q1437" s="37" t="s">
        <v>63</v>
      </c>
      <c r="R1437" s="37">
        <v>0.0</v>
      </c>
      <c r="S1437" s="37" t="s">
        <v>63</v>
      </c>
      <c r="T1437" s="69" t="s">
        <v>1892</v>
      </c>
      <c r="U1437" s="37" t="s">
        <v>63</v>
      </c>
      <c r="V1437" s="37" t="s">
        <v>63</v>
      </c>
      <c r="W1437" s="37" t="s">
        <v>63</v>
      </c>
      <c r="X1437" s="37" t="s">
        <v>63</v>
      </c>
      <c r="Y1437" s="53">
        <v>40.0</v>
      </c>
      <c r="Z1437" s="69" t="s">
        <v>63</v>
      </c>
      <c r="AA1437" s="73"/>
      <c r="AB1437" s="73"/>
      <c r="AC1437" s="73"/>
      <c r="AD1437" s="73"/>
      <c r="AE1437" s="73"/>
      <c r="AF1437" s="73"/>
      <c r="AG1437" s="73"/>
      <c r="AH1437" s="73"/>
      <c r="AI1437" s="73"/>
      <c r="AJ1437" s="73"/>
      <c r="AK1437" s="73"/>
    </row>
    <row r="1438">
      <c r="A1438" s="28">
        <v>1437.0</v>
      </c>
      <c r="B1438" s="29"/>
      <c r="C1438" s="29"/>
      <c r="D1438" s="40">
        <v>1.0</v>
      </c>
      <c r="E1438" s="31">
        <v>28.0</v>
      </c>
      <c r="F1438" s="42">
        <v>19.0</v>
      </c>
      <c r="G1438" s="29" t="str">
        <f t="shared" si="1"/>
        <v>28019</v>
      </c>
      <c r="H1438" s="37" t="s">
        <v>107</v>
      </c>
      <c r="I1438" s="37" t="s">
        <v>67</v>
      </c>
      <c r="J1438" s="37" t="s">
        <v>1357</v>
      </c>
      <c r="K1438" s="37" t="str">
        <f t="shared" si="25"/>
        <v>Choctaw, MS</v>
      </c>
      <c r="L1438" s="37">
        <v>10.0</v>
      </c>
      <c r="M1438" s="37" t="s">
        <v>63</v>
      </c>
      <c r="N1438" s="37">
        <v>4.0</v>
      </c>
      <c r="O1438" s="37">
        <v>3.0</v>
      </c>
      <c r="P1438" s="37" t="s">
        <v>63</v>
      </c>
      <c r="Q1438" s="37" t="s">
        <v>63</v>
      </c>
      <c r="R1438" s="37">
        <v>0.0</v>
      </c>
      <c r="S1438" s="37" t="s">
        <v>63</v>
      </c>
      <c r="T1438" s="69" t="s">
        <v>1892</v>
      </c>
      <c r="U1438" s="37" t="s">
        <v>63</v>
      </c>
      <c r="V1438" s="37" t="s">
        <v>63</v>
      </c>
      <c r="W1438" s="37" t="s">
        <v>63</v>
      </c>
      <c r="X1438" s="37" t="s">
        <v>63</v>
      </c>
      <c r="Y1438" s="53">
        <v>15.0</v>
      </c>
      <c r="Z1438" s="69" t="s">
        <v>63</v>
      </c>
      <c r="AA1438" s="73"/>
      <c r="AB1438" s="73"/>
      <c r="AC1438" s="73"/>
      <c r="AD1438" s="73"/>
      <c r="AE1438" s="73"/>
      <c r="AF1438" s="73"/>
      <c r="AG1438" s="73"/>
      <c r="AH1438" s="73"/>
      <c r="AI1438" s="73"/>
      <c r="AJ1438" s="73"/>
      <c r="AK1438" s="73"/>
    </row>
    <row r="1439">
      <c r="A1439" s="28">
        <v>1438.0</v>
      </c>
      <c r="B1439" s="29"/>
      <c r="C1439" s="29"/>
      <c r="D1439" s="40">
        <v>1.0</v>
      </c>
      <c r="E1439" s="31">
        <v>28.0</v>
      </c>
      <c r="F1439" s="42">
        <v>21.0</v>
      </c>
      <c r="G1439" s="29" t="str">
        <f t="shared" si="1"/>
        <v>28021</v>
      </c>
      <c r="H1439" s="37" t="s">
        <v>1151</v>
      </c>
      <c r="I1439" s="37" t="s">
        <v>67</v>
      </c>
      <c r="J1439" s="37" t="s">
        <v>1357</v>
      </c>
      <c r="K1439" s="37" t="str">
        <f t="shared" si="25"/>
        <v>Claiborne, MS</v>
      </c>
      <c r="L1439" s="37">
        <v>5.0</v>
      </c>
      <c r="M1439" s="37" t="s">
        <v>63</v>
      </c>
      <c r="N1439" s="37">
        <v>2.0</v>
      </c>
      <c r="O1439" s="37">
        <v>2.0</v>
      </c>
      <c r="P1439" s="37" t="s">
        <v>63</v>
      </c>
      <c r="Q1439" s="37" t="s">
        <v>63</v>
      </c>
      <c r="R1439" s="37">
        <v>0.0</v>
      </c>
      <c r="S1439" s="37" t="s">
        <v>63</v>
      </c>
      <c r="T1439" s="69" t="s">
        <v>1897</v>
      </c>
      <c r="U1439" s="37" t="s">
        <v>63</v>
      </c>
      <c r="V1439" s="37" t="s">
        <v>63</v>
      </c>
      <c r="W1439" s="37" t="s">
        <v>63</v>
      </c>
      <c r="X1439" s="37" t="s">
        <v>63</v>
      </c>
      <c r="Y1439" s="53">
        <v>24.0</v>
      </c>
      <c r="Z1439" s="69" t="s">
        <v>63</v>
      </c>
      <c r="AA1439" s="73"/>
      <c r="AB1439" s="73"/>
      <c r="AC1439" s="73"/>
      <c r="AD1439" s="73"/>
      <c r="AE1439" s="73"/>
      <c r="AF1439" s="73"/>
      <c r="AG1439" s="73"/>
      <c r="AH1439" s="73"/>
      <c r="AI1439" s="73"/>
      <c r="AJ1439" s="73"/>
      <c r="AK1439" s="73"/>
    </row>
    <row r="1440">
      <c r="A1440" s="28">
        <v>1439.0</v>
      </c>
      <c r="B1440" s="29"/>
      <c r="C1440" s="29"/>
      <c r="D1440" s="40">
        <v>1.0</v>
      </c>
      <c r="E1440" s="31">
        <v>28.0</v>
      </c>
      <c r="F1440" s="42">
        <v>23.0</v>
      </c>
      <c r="G1440" s="29" t="str">
        <f t="shared" si="1"/>
        <v>28023</v>
      </c>
      <c r="H1440" s="37" t="s">
        <v>110</v>
      </c>
      <c r="I1440" s="37" t="s">
        <v>67</v>
      </c>
      <c r="J1440" s="37" t="s">
        <v>1357</v>
      </c>
      <c r="K1440" s="37" t="str">
        <f t="shared" si="25"/>
        <v>Clarke, MS</v>
      </c>
      <c r="L1440" s="37">
        <v>10.0</v>
      </c>
      <c r="M1440" s="37" t="s">
        <v>63</v>
      </c>
      <c r="N1440" s="37">
        <v>2.0</v>
      </c>
      <c r="O1440" s="37">
        <v>3.0</v>
      </c>
      <c r="P1440" s="37" t="s">
        <v>63</v>
      </c>
      <c r="Q1440" s="37" t="s">
        <v>63</v>
      </c>
      <c r="R1440" s="37">
        <v>1.0</v>
      </c>
      <c r="S1440" s="37" t="s">
        <v>63</v>
      </c>
      <c r="T1440" s="69" t="s">
        <v>1901</v>
      </c>
      <c r="U1440" s="37" t="s">
        <v>63</v>
      </c>
      <c r="V1440" s="37" t="s">
        <v>63</v>
      </c>
      <c r="W1440" s="37" t="s">
        <v>63</v>
      </c>
      <c r="X1440" s="37" t="s">
        <v>63</v>
      </c>
      <c r="Y1440" s="53">
        <v>38.0</v>
      </c>
      <c r="Z1440" s="69" t="s">
        <v>63</v>
      </c>
      <c r="AA1440" s="73"/>
      <c r="AB1440" s="73"/>
      <c r="AC1440" s="73"/>
      <c r="AD1440" s="73"/>
      <c r="AE1440" s="73"/>
      <c r="AF1440" s="73"/>
      <c r="AG1440" s="73"/>
      <c r="AH1440" s="73"/>
      <c r="AI1440" s="73"/>
      <c r="AJ1440" s="73"/>
      <c r="AK1440" s="73"/>
    </row>
    <row r="1441">
      <c r="A1441" s="28">
        <v>1440.0</v>
      </c>
      <c r="B1441" s="29"/>
      <c r="C1441" s="29"/>
      <c r="D1441" s="40">
        <v>1.0</v>
      </c>
      <c r="E1441" s="31">
        <v>28.0</v>
      </c>
      <c r="F1441" s="42">
        <v>25.0</v>
      </c>
      <c r="G1441" s="29" t="str">
        <f t="shared" si="1"/>
        <v>28025</v>
      </c>
      <c r="H1441" s="37" t="s">
        <v>112</v>
      </c>
      <c r="I1441" s="37" t="s">
        <v>67</v>
      </c>
      <c r="J1441" s="37" t="s">
        <v>1357</v>
      </c>
      <c r="K1441" s="37" t="str">
        <f t="shared" si="25"/>
        <v>Clay, MS</v>
      </c>
      <c r="L1441" s="37">
        <v>44.0</v>
      </c>
      <c r="M1441" s="37" t="s">
        <v>63</v>
      </c>
      <c r="N1441" s="37">
        <v>18.0</v>
      </c>
      <c r="O1441" s="37">
        <v>18.0</v>
      </c>
      <c r="P1441" s="37" t="s">
        <v>63</v>
      </c>
      <c r="Q1441" s="37" t="s">
        <v>63</v>
      </c>
      <c r="R1441" s="37">
        <v>8.0</v>
      </c>
      <c r="S1441" s="37" t="s">
        <v>63</v>
      </c>
      <c r="T1441" s="69" t="s">
        <v>1904</v>
      </c>
      <c r="U1441" s="37" t="s">
        <v>63</v>
      </c>
      <c r="V1441" s="37" t="s">
        <v>63</v>
      </c>
      <c r="W1441" s="37" t="s">
        <v>63</v>
      </c>
      <c r="X1441" s="37" t="s">
        <v>63</v>
      </c>
      <c r="Y1441" s="53">
        <v>41.0</v>
      </c>
      <c r="Z1441" s="69" t="s">
        <v>63</v>
      </c>
      <c r="AA1441" s="73"/>
      <c r="AB1441" s="73"/>
      <c r="AC1441" s="73"/>
      <c r="AD1441" s="73"/>
      <c r="AE1441" s="73"/>
      <c r="AF1441" s="73"/>
      <c r="AG1441" s="73"/>
      <c r="AH1441" s="73"/>
      <c r="AI1441" s="73"/>
      <c r="AJ1441" s="73"/>
      <c r="AK1441" s="73"/>
    </row>
    <row r="1442">
      <c r="A1442" s="28">
        <v>1441.0</v>
      </c>
      <c r="B1442" s="29"/>
      <c r="C1442" s="29"/>
      <c r="D1442" s="40">
        <v>1.0</v>
      </c>
      <c r="E1442" s="31">
        <v>28.0</v>
      </c>
      <c r="F1442" s="42">
        <v>27.0</v>
      </c>
      <c r="G1442" s="29" t="str">
        <f t="shared" si="1"/>
        <v>28027</v>
      </c>
      <c r="H1442" s="37" t="s">
        <v>1362</v>
      </c>
      <c r="I1442" s="37" t="s">
        <v>67</v>
      </c>
      <c r="J1442" s="37" t="s">
        <v>1357</v>
      </c>
      <c r="K1442" s="37" t="str">
        <f t="shared" si="25"/>
        <v>Coahoma, MS</v>
      </c>
      <c r="L1442" s="37">
        <v>28.0</v>
      </c>
      <c r="M1442" s="37" t="s">
        <v>63</v>
      </c>
      <c r="N1442" s="37">
        <v>11.0</v>
      </c>
      <c r="O1442" s="37">
        <v>5.0</v>
      </c>
      <c r="P1442" s="37" t="s">
        <v>63</v>
      </c>
      <c r="Q1442" s="37" t="s">
        <v>63</v>
      </c>
      <c r="R1442" s="37">
        <v>7.0</v>
      </c>
      <c r="S1442" s="37" t="s">
        <v>63</v>
      </c>
      <c r="T1442" s="69" t="s">
        <v>1906</v>
      </c>
      <c r="U1442" s="37" t="s">
        <v>63</v>
      </c>
      <c r="V1442" s="37" t="s">
        <v>63</v>
      </c>
      <c r="W1442" s="37" t="s">
        <v>63</v>
      </c>
      <c r="X1442" s="37" t="s">
        <v>63</v>
      </c>
      <c r="Y1442" s="53">
        <v>27.0</v>
      </c>
      <c r="Z1442" s="69" t="s">
        <v>63</v>
      </c>
      <c r="AA1442" s="73"/>
      <c r="AB1442" s="73"/>
      <c r="AC1442" s="73"/>
      <c r="AD1442" s="73"/>
      <c r="AE1442" s="73"/>
      <c r="AF1442" s="73"/>
      <c r="AG1442" s="73"/>
      <c r="AH1442" s="73"/>
      <c r="AI1442" s="73"/>
      <c r="AJ1442" s="73"/>
      <c r="AK1442" s="73"/>
    </row>
    <row r="1443">
      <c r="A1443" s="28">
        <v>1442.0</v>
      </c>
      <c r="B1443" s="29"/>
      <c r="C1443" s="29"/>
      <c r="D1443" s="40">
        <v>1.0</v>
      </c>
      <c r="E1443" s="31">
        <v>28.0</v>
      </c>
      <c r="F1443" s="42">
        <v>29.0</v>
      </c>
      <c r="G1443" s="29" t="str">
        <f t="shared" si="1"/>
        <v>28029</v>
      </c>
      <c r="H1443" s="37" t="s">
        <v>1363</v>
      </c>
      <c r="I1443" s="37" t="s">
        <v>67</v>
      </c>
      <c r="J1443" s="37" t="s">
        <v>1357</v>
      </c>
      <c r="K1443" s="37" t="str">
        <f t="shared" si="25"/>
        <v>Copiah, MS</v>
      </c>
      <c r="L1443" s="37">
        <v>30.0</v>
      </c>
      <c r="M1443" s="37" t="s">
        <v>63</v>
      </c>
      <c r="N1443" s="37">
        <v>23.0</v>
      </c>
      <c r="O1443" s="37">
        <v>0.0</v>
      </c>
      <c r="P1443" s="37" t="s">
        <v>63</v>
      </c>
      <c r="Q1443" s="37" t="s">
        <v>63</v>
      </c>
      <c r="R1443" s="37">
        <v>1.0</v>
      </c>
      <c r="S1443" s="37" t="s">
        <v>63</v>
      </c>
      <c r="T1443" s="69" t="s">
        <v>1909</v>
      </c>
      <c r="U1443" s="37" t="s">
        <v>63</v>
      </c>
      <c r="V1443" s="37" t="s">
        <v>63</v>
      </c>
      <c r="W1443" s="37" t="s">
        <v>63</v>
      </c>
      <c r="X1443" s="37" t="s">
        <v>63</v>
      </c>
      <c r="Y1443" s="53">
        <v>44.0</v>
      </c>
      <c r="Z1443" s="69" t="s">
        <v>63</v>
      </c>
      <c r="AA1443" s="73"/>
      <c r="AB1443" s="73"/>
      <c r="AC1443" s="73"/>
      <c r="AD1443" s="73"/>
      <c r="AE1443" s="73"/>
      <c r="AF1443" s="73"/>
      <c r="AG1443" s="73"/>
      <c r="AH1443" s="73"/>
      <c r="AI1443" s="73"/>
      <c r="AJ1443" s="73"/>
      <c r="AK1443" s="73"/>
    </row>
    <row r="1444">
      <c r="A1444" s="28">
        <v>1443.0</v>
      </c>
      <c r="B1444" s="29"/>
      <c r="C1444" s="29"/>
      <c r="D1444" s="40">
        <v>1.0</v>
      </c>
      <c r="E1444" s="31">
        <v>28.0</v>
      </c>
      <c r="F1444" s="42">
        <v>31.0</v>
      </c>
      <c r="G1444" s="29" t="str">
        <f t="shared" si="1"/>
        <v>28031</v>
      </c>
      <c r="H1444" s="37" t="s">
        <v>126</v>
      </c>
      <c r="I1444" s="37" t="s">
        <v>67</v>
      </c>
      <c r="J1444" s="37" t="s">
        <v>1357</v>
      </c>
      <c r="K1444" s="37" t="str">
        <f t="shared" si="25"/>
        <v>Covington, MS</v>
      </c>
      <c r="L1444" s="37">
        <v>20.0</v>
      </c>
      <c r="M1444" s="37" t="s">
        <v>63</v>
      </c>
      <c r="N1444" s="37">
        <v>7.0</v>
      </c>
      <c r="O1444" s="37">
        <v>8.0</v>
      </c>
      <c r="P1444" s="37" t="s">
        <v>63</v>
      </c>
      <c r="Q1444" s="37" t="s">
        <v>63</v>
      </c>
      <c r="R1444" s="37">
        <v>0.0</v>
      </c>
      <c r="S1444" s="37" t="s">
        <v>63</v>
      </c>
      <c r="T1444" s="69" t="s">
        <v>1912</v>
      </c>
      <c r="U1444" s="37" t="s">
        <v>63</v>
      </c>
      <c r="V1444" s="37" t="s">
        <v>63</v>
      </c>
      <c r="W1444" s="37" t="s">
        <v>63</v>
      </c>
      <c r="X1444" s="37" t="s">
        <v>63</v>
      </c>
      <c r="Y1444" s="53">
        <v>30.0</v>
      </c>
      <c r="Z1444" s="69" t="s">
        <v>63</v>
      </c>
      <c r="AA1444" s="73"/>
      <c r="AB1444" s="73"/>
      <c r="AC1444" s="73"/>
      <c r="AD1444" s="73"/>
      <c r="AE1444" s="73"/>
      <c r="AF1444" s="73"/>
      <c r="AG1444" s="73"/>
      <c r="AH1444" s="73"/>
      <c r="AI1444" s="73"/>
      <c r="AJ1444" s="73"/>
      <c r="AK1444" s="73"/>
    </row>
    <row r="1445">
      <c r="A1445" s="28">
        <v>1444.0</v>
      </c>
      <c r="B1445" s="29"/>
      <c r="C1445" s="29"/>
      <c r="D1445" s="40">
        <v>1.0</v>
      </c>
      <c r="E1445" s="31">
        <v>28.0</v>
      </c>
      <c r="F1445" s="42">
        <v>33.0</v>
      </c>
      <c r="G1445" s="29" t="str">
        <f t="shared" si="1"/>
        <v>28033</v>
      </c>
      <c r="H1445" s="37" t="s">
        <v>489</v>
      </c>
      <c r="I1445" s="37" t="s">
        <v>67</v>
      </c>
      <c r="J1445" s="37" t="s">
        <v>1357</v>
      </c>
      <c r="K1445" s="37" t="str">
        <f t="shared" si="25"/>
        <v>De Soto, MS</v>
      </c>
      <c r="L1445" s="37">
        <v>81.0</v>
      </c>
      <c r="M1445" s="37" t="s">
        <v>63</v>
      </c>
      <c r="N1445" s="37">
        <v>26.0</v>
      </c>
      <c r="O1445" s="37">
        <v>34.0</v>
      </c>
      <c r="P1445" s="37" t="s">
        <v>63</v>
      </c>
      <c r="Q1445" s="37" t="s">
        <v>63</v>
      </c>
      <c r="R1445" s="37">
        <v>8.0</v>
      </c>
      <c r="S1445" s="37" t="s">
        <v>63</v>
      </c>
      <c r="T1445" s="69" t="s">
        <v>1914</v>
      </c>
      <c r="U1445" s="37" t="s">
        <v>63</v>
      </c>
      <c r="V1445" s="37" t="s">
        <v>63</v>
      </c>
      <c r="W1445" s="37" t="s">
        <v>63</v>
      </c>
      <c r="X1445" s="37" t="s">
        <v>63</v>
      </c>
      <c r="Y1445" s="53">
        <v>157.0</v>
      </c>
      <c r="Z1445" s="69" t="s">
        <v>63</v>
      </c>
      <c r="AA1445" s="73"/>
      <c r="AB1445" s="73"/>
      <c r="AC1445" s="73"/>
      <c r="AD1445" s="73"/>
      <c r="AE1445" s="73"/>
      <c r="AF1445" s="73"/>
      <c r="AG1445" s="73"/>
      <c r="AH1445" s="73"/>
      <c r="AI1445" s="73"/>
      <c r="AJ1445" s="73"/>
      <c r="AK1445" s="73"/>
    </row>
    <row r="1446">
      <c r="A1446" s="28">
        <v>1445.0</v>
      </c>
      <c r="B1446" s="29"/>
      <c r="C1446" s="29"/>
      <c r="D1446" s="40">
        <v>1.0</v>
      </c>
      <c r="E1446" s="31">
        <v>28.0</v>
      </c>
      <c r="F1446" s="42">
        <v>35.0</v>
      </c>
      <c r="G1446" s="29" t="str">
        <f t="shared" si="1"/>
        <v>28035</v>
      </c>
      <c r="H1446" s="37" t="s">
        <v>1364</v>
      </c>
      <c r="I1446" s="37" t="s">
        <v>67</v>
      </c>
      <c r="J1446" s="37" t="s">
        <v>1357</v>
      </c>
      <c r="K1446" s="37" t="str">
        <f t="shared" si="25"/>
        <v>Forrest, MS</v>
      </c>
      <c r="L1446" s="37">
        <v>137.0</v>
      </c>
      <c r="M1446" s="37" t="s">
        <v>63</v>
      </c>
      <c r="N1446" s="37">
        <v>59.0</v>
      </c>
      <c r="O1446" s="37">
        <v>36.0</v>
      </c>
      <c r="P1446" s="37" t="s">
        <v>63</v>
      </c>
      <c r="Q1446" s="37" t="s">
        <v>63</v>
      </c>
      <c r="R1446" s="37">
        <v>17.0</v>
      </c>
      <c r="S1446" s="37" t="s">
        <v>63</v>
      </c>
      <c r="T1446" s="69" t="s">
        <v>1894</v>
      </c>
      <c r="U1446" s="37" t="s">
        <v>63</v>
      </c>
      <c r="V1446" s="37" t="s">
        <v>63</v>
      </c>
      <c r="W1446" s="37" t="s">
        <v>63</v>
      </c>
      <c r="X1446" s="37" t="s">
        <v>63</v>
      </c>
      <c r="Y1446" s="53">
        <v>92.0</v>
      </c>
      <c r="Z1446" s="69" t="s">
        <v>63</v>
      </c>
      <c r="AA1446" s="73"/>
      <c r="AB1446" s="73"/>
      <c r="AC1446" s="73"/>
      <c r="AD1446" s="73"/>
      <c r="AE1446" s="73"/>
      <c r="AF1446" s="73"/>
      <c r="AG1446" s="73"/>
      <c r="AH1446" s="73"/>
      <c r="AI1446" s="73"/>
      <c r="AJ1446" s="73"/>
      <c r="AK1446" s="73"/>
    </row>
    <row r="1447">
      <c r="A1447" s="28">
        <v>1446.0</v>
      </c>
      <c r="B1447" s="29"/>
      <c r="C1447" s="29"/>
      <c r="D1447" s="40">
        <v>1.0</v>
      </c>
      <c r="E1447" s="31">
        <v>28.0</v>
      </c>
      <c r="F1447" s="42">
        <v>37.0</v>
      </c>
      <c r="G1447" s="29" t="str">
        <f t="shared" si="1"/>
        <v>28037</v>
      </c>
      <c r="H1447" s="37" t="s">
        <v>136</v>
      </c>
      <c r="I1447" s="37" t="s">
        <v>67</v>
      </c>
      <c r="J1447" s="37" t="s">
        <v>1357</v>
      </c>
      <c r="K1447" s="37" t="str">
        <f t="shared" si="25"/>
        <v>Franklin, MS</v>
      </c>
      <c r="L1447" s="37">
        <v>9.0</v>
      </c>
      <c r="M1447" s="37" t="s">
        <v>63</v>
      </c>
      <c r="N1447" s="37">
        <v>1.0</v>
      </c>
      <c r="O1447" s="37">
        <v>6.0</v>
      </c>
      <c r="P1447" s="37" t="s">
        <v>63</v>
      </c>
      <c r="Q1447" s="37" t="s">
        <v>63</v>
      </c>
      <c r="R1447" s="37">
        <v>0.0</v>
      </c>
      <c r="S1447" s="37" t="s">
        <v>63</v>
      </c>
      <c r="T1447" s="69" t="s">
        <v>1897</v>
      </c>
      <c r="U1447" s="37" t="s">
        <v>63</v>
      </c>
      <c r="V1447" s="37" t="s">
        <v>63</v>
      </c>
      <c r="W1447" s="37" t="s">
        <v>63</v>
      </c>
      <c r="X1447" s="37" t="s">
        <v>63</v>
      </c>
      <c r="Y1447" s="53">
        <v>24.0</v>
      </c>
      <c r="Z1447" s="69" t="s">
        <v>63</v>
      </c>
      <c r="AA1447" s="73"/>
      <c r="AB1447" s="73"/>
      <c r="AC1447" s="73"/>
      <c r="AD1447" s="73"/>
      <c r="AE1447" s="73"/>
      <c r="AF1447" s="73"/>
      <c r="AG1447" s="73"/>
      <c r="AH1447" s="73"/>
      <c r="AI1447" s="73"/>
      <c r="AJ1447" s="73"/>
      <c r="AK1447" s="73"/>
    </row>
    <row r="1448">
      <c r="A1448" s="28">
        <v>1447.0</v>
      </c>
      <c r="B1448" s="29"/>
      <c r="C1448" s="29"/>
      <c r="D1448" s="40">
        <v>1.0</v>
      </c>
      <c r="E1448" s="31">
        <v>28.0</v>
      </c>
      <c r="F1448" s="42">
        <v>39.0</v>
      </c>
      <c r="G1448" s="29" t="str">
        <f t="shared" si="1"/>
        <v>28039</v>
      </c>
      <c r="H1448" s="37" t="s">
        <v>1365</v>
      </c>
      <c r="I1448" s="37" t="s">
        <v>67</v>
      </c>
      <c r="J1448" s="37" t="s">
        <v>1357</v>
      </c>
      <c r="K1448" s="37" t="str">
        <f t="shared" si="25"/>
        <v>George, MS</v>
      </c>
      <c r="L1448" s="37">
        <v>68.0</v>
      </c>
      <c r="M1448" s="37" t="s">
        <v>63</v>
      </c>
      <c r="N1448" s="37">
        <v>34.0</v>
      </c>
      <c r="O1448" s="37">
        <v>16.0</v>
      </c>
      <c r="P1448" s="37" t="s">
        <v>63</v>
      </c>
      <c r="Q1448" s="37" t="s">
        <v>63</v>
      </c>
      <c r="R1448" s="37">
        <v>10.0</v>
      </c>
      <c r="S1448" s="37" t="s">
        <v>63</v>
      </c>
      <c r="T1448" s="69" t="s">
        <v>1912</v>
      </c>
      <c r="U1448" s="37" t="s">
        <v>63</v>
      </c>
      <c r="V1448" s="37" t="s">
        <v>63</v>
      </c>
      <c r="W1448" s="37" t="s">
        <v>63</v>
      </c>
      <c r="X1448" s="37" t="s">
        <v>63</v>
      </c>
      <c r="Y1448" s="53">
        <v>20.0</v>
      </c>
      <c r="Z1448" s="69" t="s">
        <v>63</v>
      </c>
      <c r="AA1448" s="73"/>
      <c r="AB1448" s="73"/>
      <c r="AC1448" s="73"/>
      <c r="AD1448" s="73"/>
      <c r="AE1448" s="73"/>
      <c r="AF1448" s="73"/>
      <c r="AG1448" s="73"/>
      <c r="AH1448" s="73"/>
      <c r="AI1448" s="73"/>
      <c r="AJ1448" s="73"/>
      <c r="AK1448" s="73"/>
    </row>
    <row r="1449">
      <c r="A1449" s="28">
        <v>1448.0</v>
      </c>
      <c r="B1449" s="29"/>
      <c r="C1449" s="29"/>
      <c r="D1449" s="40">
        <v>1.0</v>
      </c>
      <c r="E1449" s="31">
        <v>28.0</v>
      </c>
      <c r="F1449" s="42">
        <v>41.0</v>
      </c>
      <c r="G1449" s="29" t="str">
        <f t="shared" si="1"/>
        <v>28041</v>
      </c>
      <c r="H1449" s="37" t="s">
        <v>138</v>
      </c>
      <c r="I1449" s="37" t="s">
        <v>67</v>
      </c>
      <c r="J1449" s="37" t="s">
        <v>1357</v>
      </c>
      <c r="K1449" s="37" t="str">
        <f t="shared" si="25"/>
        <v>Greene, MS</v>
      </c>
      <c r="L1449" s="37">
        <v>21.0</v>
      </c>
      <c r="M1449" s="37" t="s">
        <v>63</v>
      </c>
      <c r="N1449" s="37">
        <v>8.0</v>
      </c>
      <c r="O1449" s="37">
        <v>9.0</v>
      </c>
      <c r="P1449" s="37" t="s">
        <v>63</v>
      </c>
      <c r="Q1449" s="37" t="s">
        <v>63</v>
      </c>
      <c r="R1449" s="37">
        <v>2.0</v>
      </c>
      <c r="S1449" s="37" t="s">
        <v>63</v>
      </c>
      <c r="T1449" s="69" t="s">
        <v>1920</v>
      </c>
      <c r="U1449" s="37" t="s">
        <v>63</v>
      </c>
      <c r="V1449" s="37" t="s">
        <v>63</v>
      </c>
      <c r="W1449" s="37" t="s">
        <v>63</v>
      </c>
      <c r="X1449" s="37" t="s">
        <v>63</v>
      </c>
      <c r="Y1449" s="53">
        <v>30.0</v>
      </c>
      <c r="Z1449" s="69" t="s">
        <v>63</v>
      </c>
      <c r="AA1449" s="73"/>
      <c r="AB1449" s="73"/>
      <c r="AC1449" s="73"/>
      <c r="AD1449" s="73"/>
      <c r="AE1449" s="73"/>
      <c r="AF1449" s="73"/>
      <c r="AG1449" s="73"/>
      <c r="AH1449" s="73"/>
      <c r="AI1449" s="73"/>
      <c r="AJ1449" s="73"/>
      <c r="AK1449" s="73"/>
    </row>
    <row r="1450">
      <c r="A1450" s="28">
        <v>1449.0</v>
      </c>
      <c r="B1450" s="29"/>
      <c r="C1450" s="29"/>
      <c r="D1450" s="40">
        <v>1.0</v>
      </c>
      <c r="E1450" s="31">
        <v>28.0</v>
      </c>
      <c r="F1450" s="42">
        <v>43.0</v>
      </c>
      <c r="G1450" s="29" t="str">
        <f t="shared" si="1"/>
        <v>28043</v>
      </c>
      <c r="H1450" s="37" t="s">
        <v>1366</v>
      </c>
      <c r="I1450" s="37" t="s">
        <v>67</v>
      </c>
      <c r="J1450" s="37" t="s">
        <v>1357</v>
      </c>
      <c r="K1450" s="37" t="str">
        <f t="shared" si="25"/>
        <v>Grenada, MS</v>
      </c>
      <c r="L1450" s="37">
        <v>20.0</v>
      </c>
      <c r="M1450" s="37" t="s">
        <v>63</v>
      </c>
      <c r="N1450" s="37">
        <v>10.0</v>
      </c>
      <c r="O1450" s="37">
        <v>3.0</v>
      </c>
      <c r="P1450" s="37" t="s">
        <v>63</v>
      </c>
      <c r="Q1450" s="37" t="s">
        <v>63</v>
      </c>
      <c r="R1450" s="37">
        <v>5.0</v>
      </c>
      <c r="S1450" s="37" t="s">
        <v>63</v>
      </c>
      <c r="T1450" s="69" t="s">
        <v>1925</v>
      </c>
      <c r="U1450" s="37" t="s">
        <v>63</v>
      </c>
      <c r="V1450" s="37" t="s">
        <v>63</v>
      </c>
      <c r="W1450" s="37" t="s">
        <v>63</v>
      </c>
      <c r="X1450" s="37" t="s">
        <v>63</v>
      </c>
      <c r="Y1450" s="53">
        <v>42.0</v>
      </c>
      <c r="Z1450" s="69" t="s">
        <v>63</v>
      </c>
      <c r="AA1450" s="73"/>
      <c r="AB1450" s="73"/>
      <c r="AC1450" s="73"/>
      <c r="AD1450" s="73"/>
      <c r="AE1450" s="73"/>
      <c r="AF1450" s="73"/>
      <c r="AG1450" s="73"/>
      <c r="AH1450" s="73"/>
      <c r="AI1450" s="73"/>
      <c r="AJ1450" s="73"/>
      <c r="AK1450" s="73"/>
    </row>
    <row r="1451">
      <c r="A1451" s="28">
        <v>1450.0</v>
      </c>
      <c r="B1451" s="29"/>
      <c r="C1451" s="29"/>
      <c r="D1451" s="40">
        <v>1.0</v>
      </c>
      <c r="E1451" s="31">
        <v>28.0</v>
      </c>
      <c r="F1451" s="42">
        <v>45.0</v>
      </c>
      <c r="G1451" s="29" t="str">
        <f t="shared" si="1"/>
        <v>28045</v>
      </c>
      <c r="H1451" s="37" t="s">
        <v>587</v>
      </c>
      <c r="I1451" s="37" t="s">
        <v>67</v>
      </c>
      <c r="J1451" s="37" t="s">
        <v>1357</v>
      </c>
      <c r="K1451" s="37" t="str">
        <f t="shared" si="25"/>
        <v>Hancock, MS</v>
      </c>
      <c r="L1451" s="37">
        <v>85.0</v>
      </c>
      <c r="M1451" s="37" t="s">
        <v>63</v>
      </c>
      <c r="N1451" s="37">
        <v>31.0</v>
      </c>
      <c r="O1451" s="37">
        <v>27.0</v>
      </c>
      <c r="P1451" s="37" t="s">
        <v>63</v>
      </c>
      <c r="Q1451" s="37" t="s">
        <v>63</v>
      </c>
      <c r="R1451" s="37">
        <v>25.0</v>
      </c>
      <c r="S1451" s="37" t="s">
        <v>63</v>
      </c>
      <c r="T1451" s="69" t="s">
        <v>1932</v>
      </c>
      <c r="U1451" s="37" t="s">
        <v>63</v>
      </c>
      <c r="V1451" s="37" t="s">
        <v>63</v>
      </c>
      <c r="W1451" s="37" t="s">
        <v>63</v>
      </c>
      <c r="X1451" s="37" t="s">
        <v>63</v>
      </c>
      <c r="Y1451" s="53">
        <v>38.0</v>
      </c>
      <c r="Z1451" s="69" t="s">
        <v>63</v>
      </c>
      <c r="AA1451" s="73"/>
      <c r="AB1451" s="73"/>
      <c r="AC1451" s="73"/>
      <c r="AD1451" s="73"/>
      <c r="AE1451" s="73"/>
      <c r="AF1451" s="73"/>
      <c r="AG1451" s="73"/>
      <c r="AH1451" s="73"/>
      <c r="AI1451" s="73"/>
      <c r="AJ1451" s="73"/>
      <c r="AK1451" s="73"/>
    </row>
    <row r="1452">
      <c r="A1452" s="28">
        <v>1451.0</v>
      </c>
      <c r="B1452" s="29"/>
      <c r="C1452" s="29"/>
      <c r="D1452" s="40">
        <v>1.0</v>
      </c>
      <c r="E1452" s="31">
        <v>28.0</v>
      </c>
      <c r="F1452" s="42">
        <v>47.0</v>
      </c>
      <c r="G1452" s="29" t="str">
        <f t="shared" si="1"/>
        <v>28047</v>
      </c>
      <c r="H1452" s="37" t="s">
        <v>775</v>
      </c>
      <c r="I1452" s="37" t="s">
        <v>67</v>
      </c>
      <c r="J1452" s="37" t="s">
        <v>1357</v>
      </c>
      <c r="K1452" s="37" t="str">
        <f t="shared" si="25"/>
        <v>Harrison, MS</v>
      </c>
      <c r="L1452" s="37">
        <v>229.0</v>
      </c>
      <c r="M1452" s="37" t="s">
        <v>63</v>
      </c>
      <c r="N1452" s="37">
        <v>98.0</v>
      </c>
      <c r="O1452" s="37">
        <v>86.0</v>
      </c>
      <c r="P1452" s="37" t="s">
        <v>63</v>
      </c>
      <c r="Q1452" s="37" t="s">
        <v>63</v>
      </c>
      <c r="R1452" s="37">
        <v>59.0</v>
      </c>
      <c r="S1452" s="37" t="s">
        <v>63</v>
      </c>
      <c r="T1452" s="69" t="s">
        <v>1894</v>
      </c>
      <c r="U1452" s="37" t="s">
        <v>63</v>
      </c>
      <c r="V1452" s="37" t="s">
        <v>63</v>
      </c>
      <c r="W1452" s="37" t="s">
        <v>63</v>
      </c>
      <c r="X1452" s="37" t="s">
        <v>63</v>
      </c>
      <c r="Y1452" s="53">
        <v>181.0</v>
      </c>
      <c r="Z1452" s="69" t="s">
        <v>63</v>
      </c>
      <c r="AA1452" s="73"/>
      <c r="AB1452" s="73"/>
      <c r="AC1452" s="73"/>
      <c r="AD1452" s="73"/>
      <c r="AE1452" s="73"/>
      <c r="AF1452" s="73"/>
      <c r="AG1452" s="73"/>
      <c r="AH1452" s="73"/>
      <c r="AI1452" s="73"/>
      <c r="AJ1452" s="73"/>
      <c r="AK1452" s="73"/>
    </row>
    <row r="1453">
      <c r="A1453" s="28">
        <v>1452.0</v>
      </c>
      <c r="B1453" s="29"/>
      <c r="C1453" s="29"/>
      <c r="D1453" s="40">
        <v>1.0</v>
      </c>
      <c r="E1453" s="31">
        <v>28.0</v>
      </c>
      <c r="F1453" s="42">
        <v>49.0</v>
      </c>
      <c r="G1453" s="29" t="str">
        <f t="shared" si="1"/>
        <v>28049</v>
      </c>
      <c r="H1453" s="37" t="s">
        <v>1367</v>
      </c>
      <c r="I1453" s="37" t="s">
        <v>67</v>
      </c>
      <c r="J1453" s="37" t="s">
        <v>1357</v>
      </c>
      <c r="K1453" s="37" t="str">
        <f t="shared" si="25"/>
        <v>Hinds, MS</v>
      </c>
      <c r="L1453" s="37">
        <v>182.0</v>
      </c>
      <c r="M1453" s="37" t="s">
        <v>63</v>
      </c>
      <c r="N1453" s="37">
        <v>103.0</v>
      </c>
      <c r="O1453" s="37">
        <v>10.0</v>
      </c>
      <c r="P1453" s="37" t="s">
        <v>63</v>
      </c>
      <c r="Q1453" s="37" t="s">
        <v>63</v>
      </c>
      <c r="R1453" s="37">
        <v>13.0</v>
      </c>
      <c r="S1453" s="37" t="s">
        <v>63</v>
      </c>
      <c r="T1453" s="69" t="s">
        <v>1948</v>
      </c>
      <c r="U1453" s="37" t="s">
        <v>63</v>
      </c>
      <c r="V1453" s="37" t="s">
        <v>63</v>
      </c>
      <c r="W1453" s="37" t="s">
        <v>63</v>
      </c>
      <c r="X1453" s="37" t="s">
        <v>63</v>
      </c>
      <c r="Y1453" s="53">
        <v>296.0</v>
      </c>
      <c r="Z1453" s="69" t="s">
        <v>63</v>
      </c>
      <c r="AA1453" s="73"/>
      <c r="AB1453" s="73"/>
      <c r="AC1453" s="73"/>
      <c r="AD1453" s="73"/>
      <c r="AE1453" s="73"/>
      <c r="AF1453" s="73"/>
      <c r="AG1453" s="73"/>
      <c r="AH1453" s="73"/>
      <c r="AI1453" s="73"/>
      <c r="AJ1453" s="73"/>
      <c r="AK1453" s="73"/>
    </row>
    <row r="1454">
      <c r="A1454" s="28">
        <v>1453.0</v>
      </c>
      <c r="B1454" s="29"/>
      <c r="C1454" s="29"/>
      <c r="D1454" s="40">
        <v>1.0</v>
      </c>
      <c r="E1454" s="31">
        <v>28.0</v>
      </c>
      <c r="F1454" s="42">
        <v>51.0</v>
      </c>
      <c r="G1454" s="29" t="str">
        <f t="shared" si="1"/>
        <v>28051</v>
      </c>
      <c r="H1454" s="37" t="s">
        <v>502</v>
      </c>
      <c r="I1454" s="37" t="s">
        <v>67</v>
      </c>
      <c r="J1454" s="37" t="s">
        <v>1357</v>
      </c>
      <c r="K1454" s="37" t="str">
        <f t="shared" si="25"/>
        <v>Holmes, MS</v>
      </c>
      <c r="L1454" s="37">
        <v>14.0</v>
      </c>
      <c r="M1454" s="37" t="s">
        <v>63</v>
      </c>
      <c r="N1454" s="37">
        <v>7.0</v>
      </c>
      <c r="O1454" s="37">
        <v>3.0</v>
      </c>
      <c r="P1454" s="37" t="s">
        <v>63</v>
      </c>
      <c r="Q1454" s="37" t="s">
        <v>63</v>
      </c>
      <c r="R1454" s="37">
        <v>6.0</v>
      </c>
      <c r="S1454" s="37" t="s">
        <v>63</v>
      </c>
      <c r="T1454" s="69" t="s">
        <v>1897</v>
      </c>
      <c r="U1454" s="37" t="s">
        <v>63</v>
      </c>
      <c r="V1454" s="37" t="s">
        <v>63</v>
      </c>
      <c r="W1454" s="37" t="s">
        <v>63</v>
      </c>
      <c r="X1454" s="37" t="s">
        <v>63</v>
      </c>
      <c r="Y1454" s="53">
        <v>22.0</v>
      </c>
      <c r="Z1454" s="69" t="s">
        <v>63</v>
      </c>
      <c r="AA1454" s="73"/>
      <c r="AB1454" s="73"/>
      <c r="AC1454" s="73"/>
      <c r="AD1454" s="73"/>
      <c r="AE1454" s="73"/>
      <c r="AF1454" s="73"/>
      <c r="AG1454" s="73"/>
      <c r="AH1454" s="73"/>
      <c r="AI1454" s="73"/>
      <c r="AJ1454" s="73"/>
      <c r="AK1454" s="73"/>
    </row>
    <row r="1455">
      <c r="A1455" s="28">
        <v>1454.0</v>
      </c>
      <c r="B1455" s="29"/>
      <c r="C1455" s="29"/>
      <c r="D1455" s="40">
        <v>1.0</v>
      </c>
      <c r="E1455" s="31">
        <v>28.0</v>
      </c>
      <c r="F1455" s="42">
        <v>53.0</v>
      </c>
      <c r="G1455" s="29" t="str">
        <f t="shared" si="1"/>
        <v>28053</v>
      </c>
      <c r="H1455" s="37" t="s">
        <v>1368</v>
      </c>
      <c r="I1455" s="37" t="s">
        <v>67</v>
      </c>
      <c r="J1455" s="37" t="s">
        <v>1357</v>
      </c>
      <c r="K1455" s="37" t="str">
        <f t="shared" si="25"/>
        <v>Humphreys, MS</v>
      </c>
      <c r="L1455" s="37">
        <v>15.0</v>
      </c>
      <c r="M1455" s="37" t="s">
        <v>63</v>
      </c>
      <c r="N1455" s="37">
        <v>8.0</v>
      </c>
      <c r="O1455" s="37">
        <v>2.0</v>
      </c>
      <c r="P1455" s="37" t="s">
        <v>63</v>
      </c>
      <c r="Q1455" s="37" t="s">
        <v>63</v>
      </c>
      <c r="R1455" s="37">
        <v>3.0</v>
      </c>
      <c r="S1455" s="37" t="s">
        <v>63</v>
      </c>
      <c r="T1455" s="69" t="s">
        <v>1967</v>
      </c>
      <c r="U1455" s="37" t="s">
        <v>63</v>
      </c>
      <c r="V1455" s="37" t="s">
        <v>63</v>
      </c>
      <c r="W1455" s="37" t="s">
        <v>63</v>
      </c>
      <c r="X1455" s="37" t="s">
        <v>63</v>
      </c>
      <c r="Y1455" s="53">
        <v>14.0</v>
      </c>
      <c r="Z1455" s="69" t="s">
        <v>63</v>
      </c>
      <c r="AA1455" s="73"/>
      <c r="AB1455" s="73"/>
      <c r="AC1455" s="73"/>
      <c r="AD1455" s="73"/>
      <c r="AE1455" s="73"/>
      <c r="AF1455" s="73"/>
      <c r="AG1455" s="73"/>
      <c r="AH1455" s="73"/>
      <c r="AI1455" s="73"/>
      <c r="AJ1455" s="73"/>
      <c r="AK1455" s="73"/>
    </row>
    <row r="1456">
      <c r="A1456" s="28">
        <v>1455.0</v>
      </c>
      <c r="B1456" s="29"/>
      <c r="C1456" s="29"/>
      <c r="D1456" s="40">
        <v>1.0</v>
      </c>
      <c r="E1456" s="31">
        <v>28.0</v>
      </c>
      <c r="F1456" s="42">
        <v>55.0</v>
      </c>
      <c r="G1456" s="29" t="str">
        <f t="shared" si="1"/>
        <v>28055</v>
      </c>
      <c r="H1456" s="37" t="s">
        <v>1369</v>
      </c>
      <c r="I1456" s="37" t="s">
        <v>67</v>
      </c>
      <c r="J1456" s="37" t="s">
        <v>1357</v>
      </c>
      <c r="K1456" s="37" t="str">
        <f t="shared" si="25"/>
        <v>Issaquena, MS</v>
      </c>
      <c r="L1456" s="37">
        <v>0.0</v>
      </c>
      <c r="M1456" s="37" t="s">
        <v>63</v>
      </c>
      <c r="N1456" s="37">
        <v>0.0</v>
      </c>
      <c r="O1456" s="37">
        <v>0.0</v>
      </c>
      <c r="P1456" s="37" t="s">
        <v>63</v>
      </c>
      <c r="Q1456" s="37" t="s">
        <v>63</v>
      </c>
      <c r="R1456" s="37">
        <v>0.0</v>
      </c>
      <c r="S1456" s="37" t="s">
        <v>63</v>
      </c>
      <c r="T1456" s="69" t="s">
        <v>1967</v>
      </c>
      <c r="U1456" s="37" t="s">
        <v>63</v>
      </c>
      <c r="V1456" s="37" t="s">
        <v>63</v>
      </c>
      <c r="W1456" s="37" t="s">
        <v>63</v>
      </c>
      <c r="X1456" s="37" t="s">
        <v>63</v>
      </c>
      <c r="Y1456" s="53" t="s">
        <v>63</v>
      </c>
      <c r="Z1456" s="69" t="s">
        <v>63</v>
      </c>
      <c r="AA1456" s="73"/>
      <c r="AB1456" s="73"/>
      <c r="AC1456" s="73"/>
      <c r="AD1456" s="73"/>
      <c r="AE1456" s="73"/>
      <c r="AF1456" s="73"/>
      <c r="AG1456" s="73"/>
      <c r="AH1456" s="73"/>
      <c r="AI1456" s="73"/>
      <c r="AJ1456" s="73"/>
      <c r="AK1456" s="73"/>
    </row>
    <row r="1457">
      <c r="A1457" s="28">
        <v>1456.0</v>
      </c>
      <c r="B1457" s="29"/>
      <c r="C1457" s="29"/>
      <c r="D1457" s="40">
        <v>1.0</v>
      </c>
      <c r="E1457" s="31">
        <v>28.0</v>
      </c>
      <c r="F1457" s="42">
        <v>57.0</v>
      </c>
      <c r="G1457" s="29" t="str">
        <f t="shared" si="1"/>
        <v>28057</v>
      </c>
      <c r="H1457" s="37" t="s">
        <v>1370</v>
      </c>
      <c r="I1457" s="37" t="s">
        <v>67</v>
      </c>
      <c r="J1457" s="37" t="s">
        <v>1357</v>
      </c>
      <c r="K1457" s="37" t="str">
        <f t="shared" si="25"/>
        <v>Itawamba, MS</v>
      </c>
      <c r="L1457" s="37">
        <v>48.0</v>
      </c>
      <c r="M1457" s="37" t="s">
        <v>63</v>
      </c>
      <c r="N1457" s="37">
        <v>18.0</v>
      </c>
      <c r="O1457" s="37">
        <v>15.0</v>
      </c>
      <c r="P1457" s="37" t="s">
        <v>63</v>
      </c>
      <c r="Q1457" s="37" t="s">
        <v>63</v>
      </c>
      <c r="R1457" s="37">
        <v>6.0</v>
      </c>
      <c r="S1457" s="37" t="s">
        <v>63</v>
      </c>
      <c r="T1457" s="69" t="s">
        <v>1984</v>
      </c>
      <c r="U1457" s="37" t="s">
        <v>63</v>
      </c>
      <c r="V1457" s="37" t="s">
        <v>63</v>
      </c>
      <c r="W1457" s="37" t="s">
        <v>63</v>
      </c>
      <c r="X1457" s="37" t="s">
        <v>63</v>
      </c>
      <c r="Y1457" s="53">
        <v>38.0</v>
      </c>
      <c r="Z1457" s="69" t="s">
        <v>63</v>
      </c>
      <c r="AA1457" s="73"/>
      <c r="AB1457" s="73"/>
      <c r="AC1457" s="73"/>
      <c r="AD1457" s="73"/>
      <c r="AE1457" s="73"/>
      <c r="AF1457" s="73"/>
      <c r="AG1457" s="73"/>
      <c r="AH1457" s="73"/>
      <c r="AI1457" s="73"/>
      <c r="AJ1457" s="73"/>
      <c r="AK1457" s="73"/>
    </row>
    <row r="1458">
      <c r="A1458" s="28">
        <v>1457.0</v>
      </c>
      <c r="B1458" s="29"/>
      <c r="C1458" s="29"/>
      <c r="D1458" s="40">
        <v>1.0</v>
      </c>
      <c r="E1458" s="31">
        <v>28.0</v>
      </c>
      <c r="F1458" s="42">
        <v>59.0</v>
      </c>
      <c r="G1458" s="29" t="str">
        <f t="shared" si="1"/>
        <v>28059</v>
      </c>
      <c r="H1458" s="37" t="s">
        <v>142</v>
      </c>
      <c r="I1458" s="37" t="s">
        <v>67</v>
      </c>
      <c r="J1458" s="37" t="s">
        <v>1357</v>
      </c>
      <c r="K1458" s="37" t="str">
        <f t="shared" si="25"/>
        <v>Jackson, MS</v>
      </c>
      <c r="L1458" s="37">
        <v>232.0</v>
      </c>
      <c r="M1458" s="37" t="s">
        <v>63</v>
      </c>
      <c r="N1458" s="37">
        <v>110.0</v>
      </c>
      <c r="O1458" s="37">
        <v>86.0</v>
      </c>
      <c r="P1458" s="37" t="s">
        <v>63</v>
      </c>
      <c r="Q1458" s="37" t="s">
        <v>63</v>
      </c>
      <c r="R1458" s="37">
        <v>25.0</v>
      </c>
      <c r="S1458" s="37" t="s">
        <v>63</v>
      </c>
      <c r="T1458" s="69" t="s">
        <v>1990</v>
      </c>
      <c r="U1458" s="37" t="s">
        <v>63</v>
      </c>
      <c r="V1458" s="37" t="s">
        <v>63</v>
      </c>
      <c r="W1458" s="37" t="s">
        <v>63</v>
      </c>
      <c r="X1458" s="37" t="s">
        <v>63</v>
      </c>
      <c r="Y1458" s="53">
        <v>156.0</v>
      </c>
      <c r="Z1458" s="69" t="s">
        <v>63</v>
      </c>
      <c r="AA1458" s="73"/>
      <c r="AB1458" s="73"/>
      <c r="AC1458" s="73"/>
      <c r="AD1458" s="73"/>
      <c r="AE1458" s="73"/>
      <c r="AF1458" s="73"/>
      <c r="AG1458" s="73"/>
      <c r="AH1458" s="73"/>
      <c r="AI1458" s="73"/>
      <c r="AJ1458" s="73"/>
      <c r="AK1458" s="73"/>
    </row>
    <row r="1459">
      <c r="A1459" s="28">
        <v>1458.0</v>
      </c>
      <c r="B1459" s="29"/>
      <c r="C1459" s="29"/>
      <c r="D1459" s="40">
        <v>1.0</v>
      </c>
      <c r="E1459" s="31">
        <v>28.0</v>
      </c>
      <c r="F1459" s="42">
        <v>61.0</v>
      </c>
      <c r="G1459" s="29" t="str">
        <f t="shared" si="1"/>
        <v>28061</v>
      </c>
      <c r="H1459" s="37" t="s">
        <v>593</v>
      </c>
      <c r="I1459" s="37" t="s">
        <v>67</v>
      </c>
      <c r="J1459" s="37" t="s">
        <v>1357</v>
      </c>
      <c r="K1459" s="37" t="str">
        <f t="shared" si="25"/>
        <v>Jasper, MS</v>
      </c>
      <c r="L1459" s="37">
        <v>21.0</v>
      </c>
      <c r="M1459" s="37" t="s">
        <v>63</v>
      </c>
      <c r="N1459" s="37">
        <v>7.0</v>
      </c>
      <c r="O1459" s="37">
        <v>7.0</v>
      </c>
      <c r="P1459" s="37" t="s">
        <v>63</v>
      </c>
      <c r="Q1459" s="37" t="s">
        <v>63</v>
      </c>
      <c r="R1459" s="37">
        <v>1.0</v>
      </c>
      <c r="S1459" s="37" t="s">
        <v>63</v>
      </c>
      <c r="T1459" s="69" t="s">
        <v>1906</v>
      </c>
      <c r="U1459" s="37" t="s">
        <v>63</v>
      </c>
      <c r="V1459" s="37" t="s">
        <v>63</v>
      </c>
      <c r="W1459" s="37" t="s">
        <v>63</v>
      </c>
      <c r="X1459" s="37" t="s">
        <v>63</v>
      </c>
      <c r="Y1459" s="53">
        <v>29.0</v>
      </c>
      <c r="Z1459" s="69" t="s">
        <v>63</v>
      </c>
      <c r="AA1459" s="73"/>
      <c r="AB1459" s="73"/>
      <c r="AC1459" s="73"/>
      <c r="AD1459" s="73"/>
      <c r="AE1459" s="73"/>
      <c r="AF1459" s="73"/>
      <c r="AG1459" s="73"/>
      <c r="AH1459" s="73"/>
      <c r="AI1459" s="73"/>
      <c r="AJ1459" s="73"/>
      <c r="AK1459" s="73"/>
    </row>
    <row r="1460">
      <c r="A1460" s="28">
        <v>1459.0</v>
      </c>
      <c r="B1460" s="29"/>
      <c r="C1460" s="29"/>
      <c r="D1460" s="40">
        <v>1.0</v>
      </c>
      <c r="E1460" s="31">
        <v>28.0</v>
      </c>
      <c r="F1460" s="42">
        <v>63.0</v>
      </c>
      <c r="G1460" s="29" t="str">
        <f t="shared" si="1"/>
        <v>28063</v>
      </c>
      <c r="H1460" s="37" t="s">
        <v>143</v>
      </c>
      <c r="I1460" s="37" t="s">
        <v>67</v>
      </c>
      <c r="J1460" s="37" t="s">
        <v>1357</v>
      </c>
      <c r="K1460" s="37" t="str">
        <f t="shared" si="25"/>
        <v>Jefferson, MS</v>
      </c>
      <c r="L1460" s="37">
        <v>1.0</v>
      </c>
      <c r="M1460" s="37" t="s">
        <v>63</v>
      </c>
      <c r="N1460" s="37">
        <v>1.0</v>
      </c>
      <c r="O1460" s="37">
        <v>0.0</v>
      </c>
      <c r="P1460" s="37" t="s">
        <v>63</v>
      </c>
      <c r="Q1460" s="37" t="s">
        <v>63</v>
      </c>
      <c r="R1460" s="37">
        <v>0.0</v>
      </c>
      <c r="S1460" s="37" t="s">
        <v>63</v>
      </c>
      <c r="T1460" s="69" t="s">
        <v>1906</v>
      </c>
      <c r="U1460" s="37" t="s">
        <v>63</v>
      </c>
      <c r="V1460" s="37" t="s">
        <v>63</v>
      </c>
      <c r="W1460" s="37" t="s">
        <v>63</v>
      </c>
      <c r="X1460" s="37" t="s">
        <v>63</v>
      </c>
      <c r="Y1460" s="53">
        <v>7.0</v>
      </c>
      <c r="Z1460" s="69" t="s">
        <v>63</v>
      </c>
      <c r="AA1460" s="73"/>
      <c r="AB1460" s="73"/>
      <c r="AC1460" s="73"/>
      <c r="AD1460" s="73"/>
      <c r="AE1460" s="73"/>
      <c r="AF1460" s="73"/>
      <c r="AG1460" s="73"/>
      <c r="AH1460" s="73"/>
      <c r="AI1460" s="73"/>
      <c r="AJ1460" s="73"/>
      <c r="AK1460" s="73"/>
    </row>
    <row r="1461">
      <c r="A1461" s="28">
        <v>1460.0</v>
      </c>
      <c r="B1461" s="29"/>
      <c r="C1461" s="29"/>
      <c r="D1461" s="40">
        <v>1.0</v>
      </c>
      <c r="E1461" s="31">
        <v>28.0</v>
      </c>
      <c r="F1461" s="42">
        <v>65.0</v>
      </c>
      <c r="G1461" s="29" t="str">
        <f t="shared" si="1"/>
        <v>28065</v>
      </c>
      <c r="H1461" s="37" t="s">
        <v>1159</v>
      </c>
      <c r="I1461" s="37" t="s">
        <v>67</v>
      </c>
      <c r="J1461" s="37" t="s">
        <v>1357</v>
      </c>
      <c r="K1461" s="136" t="str">
        <f t="shared" si="25"/>
        <v>Jefferson Davis, MS</v>
      </c>
      <c r="L1461" s="37">
        <v>20.0</v>
      </c>
      <c r="M1461" s="37" t="s">
        <v>63</v>
      </c>
      <c r="N1461" s="37">
        <v>15.0</v>
      </c>
      <c r="O1461" s="37">
        <v>0.0</v>
      </c>
      <c r="P1461" s="37" t="s">
        <v>63</v>
      </c>
      <c r="Q1461" s="37" t="s">
        <v>63</v>
      </c>
      <c r="R1461" s="37">
        <v>3.0</v>
      </c>
      <c r="S1461" s="37" t="s">
        <v>63</v>
      </c>
      <c r="T1461" s="69" t="s">
        <v>1996</v>
      </c>
      <c r="U1461" s="37" t="s">
        <v>63</v>
      </c>
      <c r="V1461" s="37" t="s">
        <v>63</v>
      </c>
      <c r="W1461" s="37" t="s">
        <v>63</v>
      </c>
      <c r="X1461" s="37" t="s">
        <v>63</v>
      </c>
      <c r="Y1461" s="53">
        <v>31.0</v>
      </c>
      <c r="Z1461" s="69" t="s">
        <v>63</v>
      </c>
      <c r="AA1461" s="73"/>
      <c r="AB1461" s="73"/>
      <c r="AC1461" s="73"/>
      <c r="AD1461" s="73"/>
      <c r="AE1461" s="73"/>
      <c r="AF1461" s="73"/>
      <c r="AG1461" s="73"/>
      <c r="AH1461" s="73"/>
      <c r="AI1461" s="73"/>
      <c r="AJ1461" s="73"/>
      <c r="AK1461" s="73"/>
    </row>
    <row r="1462">
      <c r="A1462" s="28">
        <v>1461.0</v>
      </c>
      <c r="B1462" s="29"/>
      <c r="C1462" s="29"/>
      <c r="D1462" s="40">
        <v>1.0</v>
      </c>
      <c r="E1462" s="31">
        <v>28.0</v>
      </c>
      <c r="F1462" s="42">
        <v>67.0</v>
      </c>
      <c r="G1462" s="29" t="str">
        <f t="shared" si="1"/>
        <v>28067</v>
      </c>
      <c r="H1462" s="37" t="s">
        <v>598</v>
      </c>
      <c r="I1462" s="37" t="s">
        <v>67</v>
      </c>
      <c r="J1462" s="37" t="s">
        <v>1357</v>
      </c>
      <c r="K1462" s="37" t="str">
        <f t="shared" si="25"/>
        <v>Jones, MS</v>
      </c>
      <c r="L1462" s="37">
        <v>111.0</v>
      </c>
      <c r="M1462" s="37" t="s">
        <v>63</v>
      </c>
      <c r="N1462" s="37">
        <v>32.0</v>
      </c>
      <c r="O1462" s="37">
        <v>60.0</v>
      </c>
      <c r="P1462" s="37" t="s">
        <v>63</v>
      </c>
      <c r="Q1462" s="37" t="s">
        <v>63</v>
      </c>
      <c r="R1462" s="37">
        <v>22.0</v>
      </c>
      <c r="S1462" s="37" t="s">
        <v>63</v>
      </c>
      <c r="T1462" s="69" t="s">
        <v>1997</v>
      </c>
      <c r="U1462" s="37" t="s">
        <v>63</v>
      </c>
      <c r="V1462" s="37" t="s">
        <v>63</v>
      </c>
      <c r="W1462" s="37" t="s">
        <v>63</v>
      </c>
      <c r="X1462" s="37" t="s">
        <v>63</v>
      </c>
      <c r="Y1462" s="53">
        <v>116.0</v>
      </c>
      <c r="Z1462" s="69" t="s">
        <v>63</v>
      </c>
      <c r="AA1462" s="73"/>
      <c r="AB1462" s="73"/>
      <c r="AC1462" s="73"/>
      <c r="AD1462" s="73"/>
      <c r="AE1462" s="73"/>
      <c r="AF1462" s="73"/>
      <c r="AG1462" s="73"/>
      <c r="AH1462" s="73"/>
      <c r="AI1462" s="73"/>
      <c r="AJ1462" s="73"/>
      <c r="AK1462" s="73"/>
    </row>
    <row r="1463">
      <c r="A1463" s="28">
        <v>1462.0</v>
      </c>
      <c r="B1463" s="29"/>
      <c r="C1463" s="29"/>
      <c r="D1463" s="40">
        <v>1.0</v>
      </c>
      <c r="E1463" s="31">
        <v>28.0</v>
      </c>
      <c r="F1463" s="42">
        <v>69.0</v>
      </c>
      <c r="G1463" s="29" t="str">
        <f t="shared" si="1"/>
        <v>28069</v>
      </c>
      <c r="H1463" s="37" t="s">
        <v>1371</v>
      </c>
      <c r="I1463" s="37" t="s">
        <v>67</v>
      </c>
      <c r="J1463" s="37" t="s">
        <v>1357</v>
      </c>
      <c r="K1463" s="37" t="str">
        <f t="shared" si="25"/>
        <v>Kemper, MS</v>
      </c>
      <c r="L1463" s="37">
        <v>12.0</v>
      </c>
      <c r="M1463" s="37" t="s">
        <v>63</v>
      </c>
      <c r="N1463" s="37">
        <v>2.0</v>
      </c>
      <c r="O1463" s="37">
        <v>5.0</v>
      </c>
      <c r="P1463" s="37" t="s">
        <v>63</v>
      </c>
      <c r="Q1463" s="37" t="s">
        <v>63</v>
      </c>
      <c r="R1463" s="37">
        <v>1.0</v>
      </c>
      <c r="S1463" s="37" t="s">
        <v>63</v>
      </c>
      <c r="T1463" s="69" t="s">
        <v>1906</v>
      </c>
      <c r="U1463" s="37" t="s">
        <v>63</v>
      </c>
      <c r="V1463" s="37" t="s">
        <v>63</v>
      </c>
      <c r="W1463" s="37" t="s">
        <v>63</v>
      </c>
      <c r="X1463" s="37" t="s">
        <v>63</v>
      </c>
      <c r="Y1463" s="53">
        <v>21.0</v>
      </c>
      <c r="Z1463" s="69" t="s">
        <v>63</v>
      </c>
      <c r="AA1463" s="73"/>
      <c r="AB1463" s="73"/>
      <c r="AC1463" s="73"/>
      <c r="AD1463" s="73"/>
      <c r="AE1463" s="73"/>
      <c r="AF1463" s="73"/>
      <c r="AG1463" s="73"/>
      <c r="AH1463" s="73"/>
      <c r="AI1463" s="73"/>
      <c r="AJ1463" s="73"/>
      <c r="AK1463" s="73"/>
    </row>
    <row r="1464">
      <c r="A1464" s="28">
        <v>1463.0</v>
      </c>
      <c r="B1464" s="29"/>
      <c r="C1464" s="29"/>
      <c r="D1464" s="40">
        <v>1.0</v>
      </c>
      <c r="E1464" s="31">
        <v>28.0</v>
      </c>
      <c r="F1464" s="42">
        <v>71.0</v>
      </c>
      <c r="G1464" s="29" t="str">
        <f t="shared" si="1"/>
        <v>28071</v>
      </c>
      <c r="H1464" s="37" t="s">
        <v>289</v>
      </c>
      <c r="I1464" s="37" t="s">
        <v>67</v>
      </c>
      <c r="J1464" s="37" t="s">
        <v>1357</v>
      </c>
      <c r="K1464" s="37" t="str">
        <f t="shared" si="25"/>
        <v>Lafayette, MS</v>
      </c>
      <c r="L1464" s="37">
        <v>41.0</v>
      </c>
      <c r="M1464" s="37" t="s">
        <v>63</v>
      </c>
      <c r="N1464" s="37">
        <v>23.0</v>
      </c>
      <c r="O1464" s="37">
        <v>13.0</v>
      </c>
      <c r="P1464" s="37" t="s">
        <v>63</v>
      </c>
      <c r="Q1464" s="37" t="s">
        <v>63</v>
      </c>
      <c r="R1464" s="37">
        <v>7.0</v>
      </c>
      <c r="S1464" s="37" t="s">
        <v>63</v>
      </c>
      <c r="T1464" s="69" t="s">
        <v>2002</v>
      </c>
      <c r="U1464" s="37" t="s">
        <v>63</v>
      </c>
      <c r="V1464" s="37" t="s">
        <v>63</v>
      </c>
      <c r="W1464" s="37" t="s">
        <v>63</v>
      </c>
      <c r="X1464" s="37" t="s">
        <v>63</v>
      </c>
      <c r="Y1464" s="53">
        <v>52.0</v>
      </c>
      <c r="Z1464" s="69" t="s">
        <v>63</v>
      </c>
      <c r="AA1464" s="73"/>
      <c r="AB1464" s="73"/>
      <c r="AC1464" s="73"/>
      <c r="AD1464" s="73"/>
      <c r="AE1464" s="73"/>
      <c r="AF1464" s="73"/>
      <c r="AG1464" s="73"/>
      <c r="AH1464" s="73"/>
      <c r="AI1464" s="73"/>
      <c r="AJ1464" s="73"/>
      <c r="AK1464" s="73"/>
    </row>
    <row r="1465">
      <c r="A1465" s="28">
        <v>1464.0</v>
      </c>
      <c r="B1465" s="29"/>
      <c r="C1465" s="29"/>
      <c r="D1465" s="40">
        <v>1.0</v>
      </c>
      <c r="E1465" s="31">
        <v>28.0</v>
      </c>
      <c r="F1465" s="42">
        <v>73.0</v>
      </c>
      <c r="G1465" s="29" t="str">
        <f t="shared" si="1"/>
        <v>28073</v>
      </c>
      <c r="H1465" s="37" t="s">
        <v>144</v>
      </c>
      <c r="I1465" s="37" t="s">
        <v>67</v>
      </c>
      <c r="J1465" s="37" t="s">
        <v>1357</v>
      </c>
      <c r="K1465" s="37" t="str">
        <f t="shared" si="25"/>
        <v>Lamar, MS</v>
      </c>
      <c r="L1465" s="37">
        <v>48.0</v>
      </c>
      <c r="M1465" s="37" t="s">
        <v>63</v>
      </c>
      <c r="N1465" s="37">
        <v>16.0</v>
      </c>
      <c r="O1465" s="37">
        <v>26.0</v>
      </c>
      <c r="P1465" s="37" t="s">
        <v>63</v>
      </c>
      <c r="Q1465" s="37" t="s">
        <v>63</v>
      </c>
      <c r="R1465" s="37">
        <v>9.0</v>
      </c>
      <c r="S1465" s="37" t="s">
        <v>63</v>
      </c>
      <c r="T1465" s="69" t="s">
        <v>2004</v>
      </c>
      <c r="U1465" s="37" t="s">
        <v>63</v>
      </c>
      <c r="V1465" s="37" t="s">
        <v>63</v>
      </c>
      <c r="W1465" s="37" t="s">
        <v>63</v>
      </c>
      <c r="X1465" s="37" t="s">
        <v>63</v>
      </c>
      <c r="Y1465" s="53">
        <v>52.0</v>
      </c>
      <c r="Z1465" s="69" t="s">
        <v>63</v>
      </c>
      <c r="AA1465" s="73"/>
      <c r="AB1465" s="73"/>
      <c r="AC1465" s="73"/>
      <c r="AD1465" s="73"/>
      <c r="AE1465" s="73"/>
      <c r="AF1465" s="73"/>
      <c r="AG1465" s="73"/>
      <c r="AH1465" s="73"/>
      <c r="AI1465" s="73"/>
      <c r="AJ1465" s="73"/>
      <c r="AK1465" s="73"/>
    </row>
    <row r="1466">
      <c r="A1466" s="28">
        <v>1465.0</v>
      </c>
      <c r="B1466" s="29"/>
      <c r="C1466" s="29"/>
      <c r="D1466" s="40">
        <v>1.0</v>
      </c>
      <c r="E1466" s="31">
        <v>28.0</v>
      </c>
      <c r="F1466" s="42">
        <v>75.0</v>
      </c>
      <c r="G1466" s="29" t="str">
        <f t="shared" si="1"/>
        <v>28075</v>
      </c>
      <c r="H1466" s="37" t="s">
        <v>145</v>
      </c>
      <c r="I1466" s="37" t="s">
        <v>67</v>
      </c>
      <c r="J1466" s="37" t="s">
        <v>1357</v>
      </c>
      <c r="K1466" s="37" t="str">
        <f t="shared" si="25"/>
        <v>Lauderdale, MS</v>
      </c>
      <c r="L1466" s="37">
        <v>123.0</v>
      </c>
      <c r="M1466" s="37" t="s">
        <v>63</v>
      </c>
      <c r="N1466" s="37">
        <v>53.0</v>
      </c>
      <c r="O1466" s="37">
        <v>49.0</v>
      </c>
      <c r="P1466" s="37" t="s">
        <v>63</v>
      </c>
      <c r="Q1466" s="37" t="s">
        <v>63</v>
      </c>
      <c r="R1466" s="37">
        <v>22.0</v>
      </c>
      <c r="S1466" s="37" t="s">
        <v>63</v>
      </c>
      <c r="T1466" s="69" t="s">
        <v>1886</v>
      </c>
      <c r="U1466" s="37" t="s">
        <v>63</v>
      </c>
      <c r="V1466" s="37" t="s">
        <v>63</v>
      </c>
      <c r="W1466" s="37" t="s">
        <v>63</v>
      </c>
      <c r="X1466" s="37" t="s">
        <v>63</v>
      </c>
      <c r="Y1466" s="53">
        <v>131.0</v>
      </c>
      <c r="Z1466" s="69" t="s">
        <v>63</v>
      </c>
      <c r="AA1466" s="73"/>
      <c r="AB1466" s="73"/>
      <c r="AC1466" s="73"/>
      <c r="AD1466" s="73"/>
      <c r="AE1466" s="73"/>
      <c r="AF1466" s="73"/>
      <c r="AG1466" s="73"/>
      <c r="AH1466" s="73"/>
      <c r="AI1466" s="73"/>
      <c r="AJ1466" s="73"/>
      <c r="AK1466" s="73"/>
    </row>
    <row r="1467">
      <c r="A1467" s="28">
        <v>1466.0</v>
      </c>
      <c r="B1467" s="29"/>
      <c r="C1467" s="29"/>
      <c r="D1467" s="40">
        <v>1.0</v>
      </c>
      <c r="E1467" s="31">
        <v>28.0</v>
      </c>
      <c r="F1467" s="42">
        <v>77.0</v>
      </c>
      <c r="G1467" s="29" t="str">
        <f t="shared" si="1"/>
        <v>28077</v>
      </c>
      <c r="H1467" s="37" t="s">
        <v>146</v>
      </c>
      <c r="I1467" s="37" t="s">
        <v>67</v>
      </c>
      <c r="J1467" s="37" t="s">
        <v>1357</v>
      </c>
      <c r="K1467" s="37" t="str">
        <f t="shared" si="25"/>
        <v>Lawrence, MS</v>
      </c>
      <c r="L1467" s="37">
        <v>12.0</v>
      </c>
      <c r="M1467" s="37" t="s">
        <v>63</v>
      </c>
      <c r="N1467" s="37">
        <v>7.0</v>
      </c>
      <c r="O1467" s="37">
        <v>0.0</v>
      </c>
      <c r="P1467" s="37" t="s">
        <v>63</v>
      </c>
      <c r="Q1467" s="37" t="s">
        <v>63</v>
      </c>
      <c r="R1467" s="37">
        <v>1.0</v>
      </c>
      <c r="S1467" s="37" t="s">
        <v>63</v>
      </c>
      <c r="T1467" s="69" t="s">
        <v>2009</v>
      </c>
      <c r="U1467" s="37" t="s">
        <v>63</v>
      </c>
      <c r="V1467" s="37" t="s">
        <v>63</v>
      </c>
      <c r="W1467" s="37" t="s">
        <v>63</v>
      </c>
      <c r="X1467" s="37" t="s">
        <v>63</v>
      </c>
      <c r="Y1467" s="53">
        <v>33.0</v>
      </c>
      <c r="Z1467" s="69" t="s">
        <v>63</v>
      </c>
      <c r="AA1467" s="73"/>
      <c r="AB1467" s="73"/>
      <c r="AC1467" s="73"/>
      <c r="AD1467" s="73"/>
      <c r="AE1467" s="73"/>
      <c r="AF1467" s="73"/>
      <c r="AG1467" s="73"/>
      <c r="AH1467" s="73"/>
      <c r="AI1467" s="73"/>
      <c r="AJ1467" s="73"/>
      <c r="AK1467" s="73"/>
    </row>
    <row r="1468">
      <c r="A1468" s="28">
        <v>1467.0</v>
      </c>
      <c r="B1468" s="29"/>
      <c r="C1468" s="29"/>
      <c r="D1468" s="40">
        <v>1.0</v>
      </c>
      <c r="E1468" s="31">
        <v>28.0</v>
      </c>
      <c r="F1468" s="42">
        <v>79.0</v>
      </c>
      <c r="G1468" s="29" t="str">
        <f t="shared" si="1"/>
        <v>28079</v>
      </c>
      <c r="H1468" s="37" t="s">
        <v>1372</v>
      </c>
      <c r="I1468" s="37" t="s">
        <v>67</v>
      </c>
      <c r="J1468" s="37" t="s">
        <v>1357</v>
      </c>
      <c r="K1468" s="37" t="str">
        <f t="shared" si="25"/>
        <v>Leake, MS</v>
      </c>
      <c r="L1468" s="37">
        <v>22.0</v>
      </c>
      <c r="M1468" s="37" t="s">
        <v>63</v>
      </c>
      <c r="N1468" s="37">
        <v>8.0</v>
      </c>
      <c r="O1468" s="37">
        <v>8.0</v>
      </c>
      <c r="P1468" s="37" t="s">
        <v>63</v>
      </c>
      <c r="Q1468" s="37" t="s">
        <v>63</v>
      </c>
      <c r="R1468" s="37">
        <v>2.0</v>
      </c>
      <c r="S1468" s="37" t="s">
        <v>63</v>
      </c>
      <c r="T1468" s="69" t="s">
        <v>1897</v>
      </c>
      <c r="U1468" s="37" t="s">
        <v>63</v>
      </c>
      <c r="V1468" s="37" t="s">
        <v>63</v>
      </c>
      <c r="W1468" s="37" t="s">
        <v>63</v>
      </c>
      <c r="X1468" s="37" t="s">
        <v>63</v>
      </c>
      <c r="Y1468" s="53">
        <v>26.0</v>
      </c>
      <c r="Z1468" s="69" t="s">
        <v>63</v>
      </c>
      <c r="AA1468" s="73"/>
      <c r="AB1468" s="73"/>
      <c r="AC1468" s="73"/>
      <c r="AD1468" s="73"/>
      <c r="AE1468" s="73"/>
      <c r="AF1468" s="73"/>
      <c r="AG1468" s="73"/>
      <c r="AH1468" s="73"/>
      <c r="AI1468" s="73"/>
      <c r="AJ1468" s="73"/>
      <c r="AK1468" s="73"/>
    </row>
    <row r="1469">
      <c r="A1469" s="28">
        <v>1468.0</v>
      </c>
      <c r="B1469" s="29"/>
      <c r="C1469" s="29"/>
      <c r="D1469" s="40">
        <v>1.0</v>
      </c>
      <c r="E1469" s="31">
        <v>28.0</v>
      </c>
      <c r="F1469" s="42">
        <v>81.0</v>
      </c>
      <c r="G1469" s="29" t="str">
        <f t="shared" si="1"/>
        <v>28081</v>
      </c>
      <c r="H1469" s="37" t="s">
        <v>147</v>
      </c>
      <c r="I1469" s="37" t="s">
        <v>67</v>
      </c>
      <c r="J1469" s="37" t="s">
        <v>1357</v>
      </c>
      <c r="K1469" s="37" t="str">
        <f t="shared" si="25"/>
        <v>Lee, MS</v>
      </c>
      <c r="L1469" s="37">
        <v>218.0</v>
      </c>
      <c r="M1469" s="37" t="s">
        <v>63</v>
      </c>
      <c r="N1469" s="37">
        <v>90.0</v>
      </c>
      <c r="O1469" s="37">
        <v>83.0</v>
      </c>
      <c r="P1469" s="37" t="s">
        <v>63</v>
      </c>
      <c r="Q1469" s="37" t="s">
        <v>63</v>
      </c>
      <c r="R1469" s="37">
        <v>25.0</v>
      </c>
      <c r="S1469" s="37" t="s">
        <v>63</v>
      </c>
      <c r="T1469" s="69" t="s">
        <v>1912</v>
      </c>
      <c r="U1469" s="37" t="s">
        <v>63</v>
      </c>
      <c r="V1469" s="37" t="s">
        <v>63</v>
      </c>
      <c r="W1469" s="37" t="s">
        <v>63</v>
      </c>
      <c r="X1469" s="37" t="s">
        <v>63</v>
      </c>
      <c r="Y1469" s="53">
        <v>116.0</v>
      </c>
      <c r="Z1469" s="69" t="s">
        <v>63</v>
      </c>
      <c r="AA1469" s="73"/>
      <c r="AB1469" s="73"/>
      <c r="AC1469" s="73"/>
      <c r="AD1469" s="73"/>
      <c r="AE1469" s="73"/>
      <c r="AF1469" s="73"/>
      <c r="AG1469" s="73"/>
      <c r="AH1469" s="73"/>
      <c r="AI1469" s="73"/>
      <c r="AJ1469" s="73"/>
      <c r="AK1469" s="73"/>
    </row>
    <row r="1470">
      <c r="A1470" s="28">
        <v>1469.0</v>
      </c>
      <c r="B1470" s="29"/>
      <c r="C1470" s="29"/>
      <c r="D1470" s="40">
        <v>1.0</v>
      </c>
      <c r="E1470" s="31">
        <v>28.0</v>
      </c>
      <c r="F1470" s="42">
        <v>83.0</v>
      </c>
      <c r="G1470" s="29" t="str">
        <f t="shared" si="1"/>
        <v>28083</v>
      </c>
      <c r="H1470" s="37" t="s">
        <v>1373</v>
      </c>
      <c r="I1470" s="37" t="s">
        <v>67</v>
      </c>
      <c r="J1470" s="37" t="s">
        <v>1357</v>
      </c>
      <c r="K1470" s="37" t="str">
        <f t="shared" si="25"/>
        <v>Leflore, MS</v>
      </c>
      <c r="L1470" s="37">
        <v>14.0</v>
      </c>
      <c r="M1470" s="37" t="s">
        <v>63</v>
      </c>
      <c r="N1470" s="37">
        <v>10.0</v>
      </c>
      <c r="O1470" s="37">
        <v>0.0</v>
      </c>
      <c r="P1470" s="37" t="s">
        <v>63</v>
      </c>
      <c r="Q1470" s="37" t="s">
        <v>63</v>
      </c>
      <c r="R1470" s="37">
        <v>0.0</v>
      </c>
      <c r="S1470" s="37" t="s">
        <v>63</v>
      </c>
      <c r="T1470" s="69" t="s">
        <v>1888</v>
      </c>
      <c r="U1470" s="37" t="s">
        <v>63</v>
      </c>
      <c r="V1470" s="37" t="s">
        <v>63</v>
      </c>
      <c r="W1470" s="37" t="s">
        <v>63</v>
      </c>
      <c r="X1470" s="37" t="s">
        <v>63</v>
      </c>
      <c r="Y1470" s="53">
        <v>43.0</v>
      </c>
      <c r="Z1470" s="69" t="s">
        <v>63</v>
      </c>
      <c r="AA1470" s="73"/>
      <c r="AB1470" s="73"/>
      <c r="AC1470" s="73"/>
      <c r="AD1470" s="73"/>
      <c r="AE1470" s="73"/>
      <c r="AF1470" s="73"/>
      <c r="AG1470" s="73"/>
      <c r="AH1470" s="73"/>
      <c r="AI1470" s="73"/>
      <c r="AJ1470" s="73"/>
      <c r="AK1470" s="73"/>
    </row>
    <row r="1471">
      <c r="A1471" s="28">
        <v>1470.0</v>
      </c>
      <c r="B1471" s="29"/>
      <c r="C1471" s="29"/>
      <c r="D1471" s="40">
        <v>1.0</v>
      </c>
      <c r="E1471" s="31">
        <v>28.0</v>
      </c>
      <c r="F1471" s="42">
        <v>85.0</v>
      </c>
      <c r="G1471" s="29" t="str">
        <f t="shared" si="1"/>
        <v>28085</v>
      </c>
      <c r="H1471" s="37" t="s">
        <v>290</v>
      </c>
      <c r="I1471" s="37" t="s">
        <v>67</v>
      </c>
      <c r="J1471" s="37" t="s">
        <v>1357</v>
      </c>
      <c r="K1471" s="37" t="str">
        <f t="shared" si="25"/>
        <v>Lincoln, MS</v>
      </c>
      <c r="L1471" s="37">
        <v>51.0</v>
      </c>
      <c r="M1471" s="37" t="s">
        <v>63</v>
      </c>
      <c r="N1471" s="37">
        <v>24.0</v>
      </c>
      <c r="O1471" s="37">
        <v>9.0</v>
      </c>
      <c r="P1471" s="37" t="s">
        <v>63</v>
      </c>
      <c r="Q1471" s="37" t="s">
        <v>63</v>
      </c>
      <c r="R1471" s="37">
        <v>8.0</v>
      </c>
      <c r="S1471" s="37" t="s">
        <v>63</v>
      </c>
      <c r="T1471" s="69" t="s">
        <v>1888</v>
      </c>
      <c r="U1471" s="37" t="s">
        <v>63</v>
      </c>
      <c r="V1471" s="37" t="s">
        <v>63</v>
      </c>
      <c r="W1471" s="37" t="s">
        <v>63</v>
      </c>
      <c r="X1471" s="37" t="s">
        <v>63</v>
      </c>
      <c r="Y1471" s="53">
        <v>60.0</v>
      </c>
      <c r="Z1471" s="69" t="s">
        <v>63</v>
      </c>
      <c r="AA1471" s="73"/>
      <c r="AB1471" s="73"/>
      <c r="AC1471" s="73"/>
      <c r="AD1471" s="73"/>
      <c r="AE1471" s="73"/>
      <c r="AF1471" s="73"/>
      <c r="AG1471" s="73"/>
      <c r="AH1471" s="73"/>
      <c r="AI1471" s="73"/>
      <c r="AJ1471" s="73"/>
      <c r="AK1471" s="73"/>
    </row>
    <row r="1472">
      <c r="A1472" s="28">
        <v>1471.0</v>
      </c>
      <c r="B1472" s="29"/>
      <c r="C1472" s="29"/>
      <c r="D1472" s="40">
        <v>1.0</v>
      </c>
      <c r="E1472" s="31">
        <v>28.0</v>
      </c>
      <c r="F1472" s="42">
        <v>87.0</v>
      </c>
      <c r="G1472" s="29" t="str">
        <f t="shared" si="1"/>
        <v>28087</v>
      </c>
      <c r="H1472" s="37" t="s">
        <v>149</v>
      </c>
      <c r="I1472" s="37" t="s">
        <v>67</v>
      </c>
      <c r="J1472" s="37" t="s">
        <v>1357</v>
      </c>
      <c r="K1472" s="37" t="str">
        <f t="shared" si="25"/>
        <v>Lowndes, MS</v>
      </c>
      <c r="L1472" s="37">
        <v>189.0</v>
      </c>
      <c r="M1472" s="37" t="s">
        <v>63</v>
      </c>
      <c r="N1472" s="37">
        <v>44.0</v>
      </c>
      <c r="O1472" s="37">
        <v>98.0</v>
      </c>
      <c r="P1472" s="37" t="s">
        <v>63</v>
      </c>
      <c r="Q1472" s="37" t="s">
        <v>63</v>
      </c>
      <c r="R1472" s="37">
        <v>13.0</v>
      </c>
      <c r="S1472" s="37" t="s">
        <v>63</v>
      </c>
      <c r="T1472" s="69" t="s">
        <v>1878</v>
      </c>
      <c r="U1472" s="37" t="s">
        <v>63</v>
      </c>
      <c r="V1472" s="37" t="s">
        <v>63</v>
      </c>
      <c r="W1472" s="37" t="s">
        <v>63</v>
      </c>
      <c r="X1472" s="37" t="s">
        <v>63</v>
      </c>
      <c r="Y1472" s="53">
        <v>84.0</v>
      </c>
      <c r="Z1472" s="69" t="s">
        <v>63</v>
      </c>
      <c r="AA1472" s="73"/>
      <c r="AB1472" s="73"/>
      <c r="AC1472" s="73"/>
      <c r="AD1472" s="73"/>
      <c r="AE1472" s="73"/>
      <c r="AF1472" s="73"/>
      <c r="AG1472" s="73"/>
      <c r="AH1472" s="73"/>
      <c r="AI1472" s="73"/>
      <c r="AJ1472" s="73"/>
      <c r="AK1472" s="73"/>
    </row>
    <row r="1473">
      <c r="A1473" s="28">
        <v>1472.0</v>
      </c>
      <c r="B1473" s="29"/>
      <c r="C1473" s="29"/>
      <c r="D1473" s="40">
        <v>1.0</v>
      </c>
      <c r="E1473" s="31">
        <v>28.0</v>
      </c>
      <c r="F1473" s="42">
        <v>89.0</v>
      </c>
      <c r="G1473" s="29" t="str">
        <f t="shared" si="1"/>
        <v>28089</v>
      </c>
      <c r="H1473" s="37" t="s">
        <v>151</v>
      </c>
      <c r="I1473" s="37" t="s">
        <v>67</v>
      </c>
      <c r="J1473" s="37" t="s">
        <v>1357</v>
      </c>
      <c r="K1473" s="37" t="str">
        <f t="shared" si="25"/>
        <v>Madison, MS</v>
      </c>
      <c r="L1473" s="37">
        <v>34.0</v>
      </c>
      <c r="M1473" s="37" t="s">
        <v>63</v>
      </c>
      <c r="N1473" s="37">
        <v>23.0</v>
      </c>
      <c r="O1473" s="37">
        <v>2.0</v>
      </c>
      <c r="P1473" s="37" t="s">
        <v>63</v>
      </c>
      <c r="Q1473" s="37" t="s">
        <v>63</v>
      </c>
      <c r="R1473" s="37">
        <v>2.0</v>
      </c>
      <c r="S1473" s="37" t="s">
        <v>63</v>
      </c>
      <c r="T1473" s="69" t="s">
        <v>2024</v>
      </c>
      <c r="U1473" s="37" t="s">
        <v>63</v>
      </c>
      <c r="V1473" s="37" t="s">
        <v>63</v>
      </c>
      <c r="W1473" s="37" t="s">
        <v>63</v>
      </c>
      <c r="X1473" s="37" t="s">
        <v>63</v>
      </c>
      <c r="Y1473" s="53">
        <v>114.0</v>
      </c>
      <c r="Z1473" s="69" t="s">
        <v>63</v>
      </c>
      <c r="AA1473" s="73"/>
      <c r="AB1473" s="73"/>
      <c r="AC1473" s="73"/>
      <c r="AD1473" s="73"/>
      <c r="AE1473" s="73"/>
      <c r="AF1473" s="73"/>
      <c r="AG1473" s="73"/>
      <c r="AH1473" s="73"/>
      <c r="AI1473" s="73"/>
      <c r="AJ1473" s="73"/>
      <c r="AK1473" s="73"/>
    </row>
    <row r="1474">
      <c r="A1474" s="28">
        <v>1473.0</v>
      </c>
      <c r="B1474" s="29"/>
      <c r="C1474" s="29"/>
      <c r="D1474" s="40">
        <v>1.0</v>
      </c>
      <c r="E1474" s="31">
        <v>28.0</v>
      </c>
      <c r="F1474" s="42">
        <v>91.0</v>
      </c>
      <c r="G1474" s="29" t="str">
        <f t="shared" si="1"/>
        <v>28091</v>
      </c>
      <c r="H1474" s="37" t="s">
        <v>153</v>
      </c>
      <c r="I1474" s="37" t="s">
        <v>67</v>
      </c>
      <c r="J1474" s="37" t="s">
        <v>1357</v>
      </c>
      <c r="K1474" s="37" t="str">
        <f t="shared" si="25"/>
        <v>Marion, MS</v>
      </c>
      <c r="L1474" s="37">
        <v>25.0</v>
      </c>
      <c r="M1474" s="37" t="s">
        <v>63</v>
      </c>
      <c r="N1474" s="37">
        <v>12.0</v>
      </c>
      <c r="O1474" s="37">
        <v>9.0</v>
      </c>
      <c r="P1474" s="37" t="s">
        <v>63</v>
      </c>
      <c r="Q1474" s="37" t="s">
        <v>63</v>
      </c>
      <c r="R1474" s="37">
        <v>2.0</v>
      </c>
      <c r="S1474" s="37" t="s">
        <v>63</v>
      </c>
      <c r="T1474" s="69" t="s">
        <v>2026</v>
      </c>
      <c r="U1474" s="37" t="s">
        <v>63</v>
      </c>
      <c r="V1474" s="37" t="s">
        <v>63</v>
      </c>
      <c r="W1474" s="37" t="s">
        <v>63</v>
      </c>
      <c r="X1474" s="37" t="s">
        <v>63</v>
      </c>
      <c r="Y1474" s="53">
        <v>50.0</v>
      </c>
      <c r="Z1474" s="69" t="s">
        <v>63</v>
      </c>
      <c r="AA1474" s="73"/>
      <c r="AB1474" s="73"/>
      <c r="AC1474" s="73"/>
      <c r="AD1474" s="73"/>
      <c r="AE1474" s="73"/>
      <c r="AF1474" s="73"/>
      <c r="AG1474" s="73"/>
      <c r="AH1474" s="73"/>
      <c r="AI1474" s="73"/>
      <c r="AJ1474" s="73"/>
      <c r="AK1474" s="73"/>
    </row>
    <row r="1475">
      <c r="A1475" s="28">
        <v>1474.0</v>
      </c>
      <c r="B1475" s="29"/>
      <c r="C1475" s="29"/>
      <c r="D1475" s="40">
        <v>1.0</v>
      </c>
      <c r="E1475" s="31">
        <v>28.0</v>
      </c>
      <c r="F1475" s="42">
        <v>93.0</v>
      </c>
      <c r="G1475" s="29" t="str">
        <f t="shared" si="1"/>
        <v>28093</v>
      </c>
      <c r="H1475" s="37" t="s">
        <v>154</v>
      </c>
      <c r="I1475" s="37" t="s">
        <v>67</v>
      </c>
      <c r="J1475" s="37" t="s">
        <v>1357</v>
      </c>
      <c r="K1475" s="37" t="str">
        <f t="shared" si="25"/>
        <v>Marshall, MS</v>
      </c>
      <c r="L1475" s="37">
        <v>42.0</v>
      </c>
      <c r="M1475" s="37" t="s">
        <v>63</v>
      </c>
      <c r="N1475" s="37">
        <v>12.0</v>
      </c>
      <c r="O1475" s="37">
        <v>20.0</v>
      </c>
      <c r="P1475" s="37" t="s">
        <v>63</v>
      </c>
      <c r="Q1475" s="37" t="s">
        <v>63</v>
      </c>
      <c r="R1475" s="37">
        <v>9.0</v>
      </c>
      <c r="S1475" s="37" t="s">
        <v>63</v>
      </c>
      <c r="T1475" s="69" t="s">
        <v>1906</v>
      </c>
      <c r="U1475" s="37" t="s">
        <v>63</v>
      </c>
      <c r="V1475" s="37" t="s">
        <v>63</v>
      </c>
      <c r="W1475" s="37" t="s">
        <v>63</v>
      </c>
      <c r="X1475" s="37" t="s">
        <v>63</v>
      </c>
      <c r="Y1475" s="53">
        <v>60.0</v>
      </c>
      <c r="Z1475" s="69" t="s">
        <v>63</v>
      </c>
      <c r="AA1475" s="73"/>
      <c r="AB1475" s="73"/>
      <c r="AC1475" s="73"/>
      <c r="AD1475" s="73"/>
      <c r="AE1475" s="73"/>
      <c r="AF1475" s="73"/>
      <c r="AG1475" s="73"/>
      <c r="AH1475" s="73"/>
      <c r="AI1475" s="73"/>
      <c r="AJ1475" s="73"/>
      <c r="AK1475" s="73"/>
    </row>
    <row r="1476">
      <c r="A1476" s="28">
        <v>1475.0</v>
      </c>
      <c r="B1476" s="29"/>
      <c r="C1476" s="29"/>
      <c r="D1476" s="40">
        <v>1.0</v>
      </c>
      <c r="E1476" s="31">
        <v>28.0</v>
      </c>
      <c r="F1476" s="42">
        <v>95.0</v>
      </c>
      <c r="G1476" s="29" t="str">
        <f t="shared" si="1"/>
        <v>28095</v>
      </c>
      <c r="H1476" s="37" t="s">
        <v>156</v>
      </c>
      <c r="I1476" s="37" t="s">
        <v>67</v>
      </c>
      <c r="J1476" s="37" t="s">
        <v>1357</v>
      </c>
      <c r="K1476" s="37" t="str">
        <f t="shared" si="25"/>
        <v>Monroe, MS</v>
      </c>
      <c r="L1476" s="37">
        <v>72.0</v>
      </c>
      <c r="M1476" s="37" t="s">
        <v>63</v>
      </c>
      <c r="N1476" s="37">
        <v>28.0</v>
      </c>
      <c r="O1476" s="37">
        <v>28.0</v>
      </c>
      <c r="P1476" s="37" t="s">
        <v>63</v>
      </c>
      <c r="Q1476" s="37" t="s">
        <v>63</v>
      </c>
      <c r="R1476" s="37">
        <v>12.0</v>
      </c>
      <c r="S1476" s="37" t="s">
        <v>63</v>
      </c>
      <c r="T1476" s="69" t="s">
        <v>2030</v>
      </c>
      <c r="U1476" s="37" t="s">
        <v>63</v>
      </c>
      <c r="V1476" s="37" t="s">
        <v>63</v>
      </c>
      <c r="W1476" s="37" t="s">
        <v>63</v>
      </c>
      <c r="X1476" s="37" t="s">
        <v>63</v>
      </c>
      <c r="Y1476" s="53">
        <v>65.0</v>
      </c>
      <c r="Z1476" s="69" t="s">
        <v>63</v>
      </c>
      <c r="AA1476" s="73"/>
      <c r="AB1476" s="73"/>
      <c r="AC1476" s="73"/>
      <c r="AD1476" s="73"/>
      <c r="AE1476" s="73"/>
      <c r="AF1476" s="73"/>
      <c r="AG1476" s="73"/>
      <c r="AH1476" s="73"/>
      <c r="AI1476" s="73"/>
      <c r="AJ1476" s="73"/>
      <c r="AK1476" s="73"/>
    </row>
    <row r="1477">
      <c r="A1477" s="28">
        <v>1476.0</v>
      </c>
      <c r="B1477" s="29"/>
      <c r="C1477" s="29"/>
      <c r="D1477" s="40">
        <v>1.0</v>
      </c>
      <c r="E1477" s="31">
        <v>28.0</v>
      </c>
      <c r="F1477" s="42">
        <v>97.0</v>
      </c>
      <c r="G1477" s="29" t="str">
        <f t="shared" si="1"/>
        <v>28097</v>
      </c>
      <c r="H1477" s="37" t="s">
        <v>157</v>
      </c>
      <c r="I1477" s="37" t="s">
        <v>67</v>
      </c>
      <c r="J1477" s="37" t="s">
        <v>1357</v>
      </c>
      <c r="K1477" s="136" t="str">
        <f t="shared" si="25"/>
        <v>Montgomery, MS</v>
      </c>
      <c r="L1477" s="37">
        <v>1.0</v>
      </c>
      <c r="M1477" s="37" t="s">
        <v>63</v>
      </c>
      <c r="N1477" s="37">
        <v>1.0</v>
      </c>
      <c r="O1477" s="37">
        <v>0.0</v>
      </c>
      <c r="P1477" s="37" t="s">
        <v>63</v>
      </c>
      <c r="Q1477" s="37" t="s">
        <v>63</v>
      </c>
      <c r="R1477" s="37">
        <v>0.0</v>
      </c>
      <c r="S1477" s="37" t="s">
        <v>63</v>
      </c>
      <c r="T1477" s="69" t="s">
        <v>1897</v>
      </c>
      <c r="U1477" s="37" t="s">
        <v>63</v>
      </c>
      <c r="V1477" s="37" t="s">
        <v>63</v>
      </c>
      <c r="W1477" s="37" t="s">
        <v>63</v>
      </c>
      <c r="X1477" s="37" t="s">
        <v>63</v>
      </c>
      <c r="Y1477" s="53">
        <v>17.0</v>
      </c>
      <c r="Z1477" s="69" t="s">
        <v>63</v>
      </c>
      <c r="AA1477" s="73"/>
      <c r="AB1477" s="73"/>
      <c r="AC1477" s="73"/>
      <c r="AD1477" s="73"/>
      <c r="AE1477" s="73"/>
      <c r="AF1477" s="73"/>
      <c r="AG1477" s="73"/>
      <c r="AH1477" s="73"/>
      <c r="AI1477" s="73"/>
      <c r="AJ1477" s="73"/>
      <c r="AK1477" s="73"/>
    </row>
    <row r="1478">
      <c r="A1478" s="28">
        <v>1477.0</v>
      </c>
      <c r="B1478" s="29"/>
      <c r="C1478" s="29"/>
      <c r="D1478" s="40">
        <v>1.0</v>
      </c>
      <c r="E1478" s="31">
        <v>28.0</v>
      </c>
      <c r="F1478" s="42">
        <v>99.0</v>
      </c>
      <c r="G1478" s="29" t="str">
        <f t="shared" si="1"/>
        <v>28099</v>
      </c>
      <c r="H1478" s="37" t="s">
        <v>1374</v>
      </c>
      <c r="I1478" s="37" t="s">
        <v>67</v>
      </c>
      <c r="J1478" s="37" t="s">
        <v>1357</v>
      </c>
      <c r="K1478" s="37" t="str">
        <f t="shared" si="25"/>
        <v>Neshoba, MS</v>
      </c>
      <c r="L1478" s="37">
        <v>56.0</v>
      </c>
      <c r="M1478" s="37" t="s">
        <v>63</v>
      </c>
      <c r="N1478" s="37">
        <v>17.0</v>
      </c>
      <c r="O1478" s="37">
        <v>26.0</v>
      </c>
      <c r="P1478" s="37" t="s">
        <v>63</v>
      </c>
      <c r="Q1478" s="37" t="s">
        <v>63</v>
      </c>
      <c r="R1478" s="37">
        <v>5.0</v>
      </c>
      <c r="S1478" s="37" t="s">
        <v>63</v>
      </c>
      <c r="T1478" s="69" t="s">
        <v>1997</v>
      </c>
      <c r="U1478" s="37" t="s">
        <v>63</v>
      </c>
      <c r="V1478" s="37" t="s">
        <v>63</v>
      </c>
      <c r="W1478" s="37" t="s">
        <v>63</v>
      </c>
      <c r="X1478" s="37" t="s">
        <v>63</v>
      </c>
      <c r="Y1478" s="53">
        <v>40.0</v>
      </c>
      <c r="Z1478" s="69" t="s">
        <v>63</v>
      </c>
      <c r="AA1478" s="73"/>
      <c r="AB1478" s="73"/>
      <c r="AC1478" s="73"/>
      <c r="AD1478" s="73"/>
      <c r="AE1478" s="73"/>
      <c r="AF1478" s="73"/>
      <c r="AG1478" s="73"/>
      <c r="AH1478" s="73"/>
      <c r="AI1478" s="73"/>
      <c r="AJ1478" s="73"/>
      <c r="AK1478" s="73"/>
    </row>
    <row r="1479">
      <c r="A1479" s="28">
        <v>1478.0</v>
      </c>
      <c r="B1479" s="29"/>
      <c r="C1479" s="29"/>
      <c r="D1479" s="40">
        <v>1.0</v>
      </c>
      <c r="E1479" s="31">
        <v>28.0</v>
      </c>
      <c r="F1479" s="42">
        <v>101.0</v>
      </c>
      <c r="G1479" s="29" t="str">
        <f t="shared" si="1"/>
        <v>28101</v>
      </c>
      <c r="H1479" s="37" t="s">
        <v>297</v>
      </c>
      <c r="I1479" s="37" t="s">
        <v>67</v>
      </c>
      <c r="J1479" s="37" t="s">
        <v>1357</v>
      </c>
      <c r="K1479" s="37" t="str">
        <f t="shared" si="25"/>
        <v>Newton, MS</v>
      </c>
      <c r="L1479" s="37">
        <v>14.0</v>
      </c>
      <c r="M1479" s="37" t="s">
        <v>63</v>
      </c>
      <c r="N1479" s="37">
        <v>6.0</v>
      </c>
      <c r="O1479" s="37">
        <v>7.0</v>
      </c>
      <c r="P1479" s="37" t="s">
        <v>63</v>
      </c>
      <c r="Q1479" s="37" t="s">
        <v>63</v>
      </c>
      <c r="R1479" s="37">
        <v>0.0</v>
      </c>
      <c r="S1479" s="37" t="s">
        <v>63</v>
      </c>
      <c r="T1479" s="69" t="s">
        <v>1925</v>
      </c>
      <c r="U1479" s="37" t="s">
        <v>63</v>
      </c>
      <c r="V1479" s="37" t="s">
        <v>63</v>
      </c>
      <c r="W1479" s="37" t="s">
        <v>63</v>
      </c>
      <c r="X1479" s="37" t="s">
        <v>63</v>
      </c>
      <c r="Y1479" s="53">
        <v>35.0</v>
      </c>
      <c r="Z1479" s="69" t="s">
        <v>63</v>
      </c>
      <c r="AA1479" s="73"/>
      <c r="AB1479" s="73"/>
      <c r="AC1479" s="73"/>
      <c r="AD1479" s="73"/>
      <c r="AE1479" s="73"/>
      <c r="AF1479" s="73"/>
      <c r="AG1479" s="73"/>
      <c r="AH1479" s="73"/>
      <c r="AI1479" s="73"/>
      <c r="AJ1479" s="73"/>
      <c r="AK1479" s="73"/>
    </row>
    <row r="1480">
      <c r="A1480" s="28">
        <v>1479.0</v>
      </c>
      <c r="B1480" s="29"/>
      <c r="C1480" s="29"/>
      <c r="D1480" s="40">
        <v>1.0</v>
      </c>
      <c r="E1480" s="31">
        <v>28.0</v>
      </c>
      <c r="F1480" s="42">
        <v>103.0</v>
      </c>
      <c r="G1480" s="29" t="str">
        <f t="shared" si="1"/>
        <v>28103</v>
      </c>
      <c r="H1480" s="37" t="s">
        <v>1375</v>
      </c>
      <c r="I1480" s="37" t="s">
        <v>67</v>
      </c>
      <c r="J1480" s="37" t="s">
        <v>1357</v>
      </c>
      <c r="K1480" s="37" t="str">
        <f t="shared" si="25"/>
        <v>Noxubee, MS</v>
      </c>
      <c r="L1480" s="37">
        <v>39.0</v>
      </c>
      <c r="M1480" s="37" t="s">
        <v>63</v>
      </c>
      <c r="N1480" s="37">
        <v>7.0</v>
      </c>
      <c r="O1480" s="37">
        <v>22.0</v>
      </c>
      <c r="P1480" s="37" t="s">
        <v>63</v>
      </c>
      <c r="Q1480" s="37" t="s">
        <v>63</v>
      </c>
      <c r="R1480" s="37">
        <v>1.0</v>
      </c>
      <c r="S1480" s="37" t="s">
        <v>63</v>
      </c>
      <c r="T1480" s="69" t="s">
        <v>2024</v>
      </c>
      <c r="U1480" s="37" t="s">
        <v>63</v>
      </c>
      <c r="V1480" s="37" t="s">
        <v>63</v>
      </c>
      <c r="W1480" s="37" t="s">
        <v>63</v>
      </c>
      <c r="X1480" s="37" t="s">
        <v>63</v>
      </c>
      <c r="Y1480" s="53">
        <v>22.0</v>
      </c>
      <c r="Z1480" s="69" t="s">
        <v>63</v>
      </c>
      <c r="AA1480" s="73"/>
      <c r="AB1480" s="73"/>
      <c r="AC1480" s="73"/>
      <c r="AD1480" s="73"/>
      <c r="AE1480" s="73"/>
      <c r="AF1480" s="73"/>
      <c r="AG1480" s="73"/>
      <c r="AH1480" s="73"/>
      <c r="AI1480" s="73"/>
      <c r="AJ1480" s="73"/>
      <c r="AK1480" s="73"/>
    </row>
    <row r="1481">
      <c r="A1481" s="28">
        <v>1480.0</v>
      </c>
      <c r="B1481" s="29"/>
      <c r="C1481" s="29"/>
      <c r="D1481" s="40">
        <v>1.0</v>
      </c>
      <c r="E1481" s="31">
        <v>28.0</v>
      </c>
      <c r="F1481" s="42">
        <v>105.0</v>
      </c>
      <c r="G1481" s="29" t="str">
        <f t="shared" si="1"/>
        <v>28105</v>
      </c>
      <c r="H1481" s="37" t="s">
        <v>1376</v>
      </c>
      <c r="I1481" s="37" t="s">
        <v>67</v>
      </c>
      <c r="J1481" s="37" t="s">
        <v>1357</v>
      </c>
      <c r="K1481" s="37" t="str">
        <f t="shared" si="25"/>
        <v>Oktibbeha, MS</v>
      </c>
      <c r="L1481" s="37">
        <v>42.0</v>
      </c>
      <c r="M1481" s="37" t="s">
        <v>63</v>
      </c>
      <c r="N1481" s="37">
        <v>17.0</v>
      </c>
      <c r="O1481" s="37">
        <v>18.0</v>
      </c>
      <c r="P1481" s="37" t="s">
        <v>63</v>
      </c>
      <c r="Q1481" s="37" t="s">
        <v>63</v>
      </c>
      <c r="R1481" s="37">
        <v>4.0</v>
      </c>
      <c r="S1481" s="37" t="s">
        <v>63</v>
      </c>
      <c r="T1481" s="69" t="s">
        <v>1892</v>
      </c>
      <c r="U1481" s="37" t="s">
        <v>63</v>
      </c>
      <c r="V1481" s="37" t="s">
        <v>63</v>
      </c>
      <c r="W1481" s="37" t="s">
        <v>63</v>
      </c>
      <c r="X1481" s="37" t="s">
        <v>63</v>
      </c>
      <c r="Y1481" s="53">
        <v>70.0</v>
      </c>
      <c r="Z1481" s="69" t="s">
        <v>63</v>
      </c>
      <c r="AA1481" s="73"/>
      <c r="AB1481" s="73"/>
      <c r="AC1481" s="73"/>
      <c r="AD1481" s="73"/>
      <c r="AE1481" s="73"/>
      <c r="AF1481" s="73"/>
      <c r="AG1481" s="73"/>
      <c r="AH1481" s="73"/>
      <c r="AI1481" s="73"/>
      <c r="AJ1481" s="73"/>
      <c r="AK1481" s="73"/>
    </row>
    <row r="1482">
      <c r="A1482" s="28">
        <v>1481.0</v>
      </c>
      <c r="B1482" s="29"/>
      <c r="C1482" s="29"/>
      <c r="D1482" s="40">
        <v>1.0</v>
      </c>
      <c r="E1482" s="31">
        <v>28.0</v>
      </c>
      <c r="F1482" s="42">
        <v>107.0</v>
      </c>
      <c r="G1482" s="29" t="str">
        <f t="shared" si="1"/>
        <v>28107</v>
      </c>
      <c r="H1482" s="37" t="s">
        <v>1377</v>
      </c>
      <c r="I1482" s="37" t="s">
        <v>67</v>
      </c>
      <c r="J1482" s="37" t="s">
        <v>1357</v>
      </c>
      <c r="K1482" s="37" t="str">
        <f t="shared" si="25"/>
        <v>Panola, MS</v>
      </c>
      <c r="L1482" s="37">
        <v>29.0</v>
      </c>
      <c r="M1482" s="37" t="s">
        <v>63</v>
      </c>
      <c r="N1482" s="37">
        <v>18.0</v>
      </c>
      <c r="O1482" s="37">
        <v>1.0</v>
      </c>
      <c r="P1482" s="37" t="s">
        <v>63</v>
      </c>
      <c r="Q1482" s="37" t="s">
        <v>63</v>
      </c>
      <c r="R1482" s="37">
        <v>5.0</v>
      </c>
      <c r="S1482" s="37" t="s">
        <v>63</v>
      </c>
      <c r="T1482" s="69" t="s">
        <v>2040</v>
      </c>
      <c r="U1482" s="37" t="s">
        <v>63</v>
      </c>
      <c r="V1482" s="37" t="s">
        <v>63</v>
      </c>
      <c r="W1482" s="37" t="s">
        <v>63</v>
      </c>
      <c r="X1482" s="37" t="s">
        <v>63</v>
      </c>
      <c r="Y1482" s="53">
        <v>41.0</v>
      </c>
      <c r="Z1482" s="69" t="s">
        <v>63</v>
      </c>
      <c r="AA1482" s="73"/>
      <c r="AB1482" s="73"/>
      <c r="AC1482" s="73"/>
      <c r="AD1482" s="73"/>
      <c r="AE1482" s="73"/>
      <c r="AF1482" s="73"/>
      <c r="AG1482" s="73"/>
      <c r="AH1482" s="73"/>
      <c r="AI1482" s="73"/>
      <c r="AJ1482" s="73"/>
      <c r="AK1482" s="73"/>
    </row>
    <row r="1483">
      <c r="A1483" s="28">
        <v>1482.0</v>
      </c>
      <c r="B1483" s="29"/>
      <c r="C1483" s="29"/>
      <c r="D1483" s="40">
        <v>1.0</v>
      </c>
      <c r="E1483" s="31">
        <v>28.0</v>
      </c>
      <c r="F1483" s="42">
        <v>109.0</v>
      </c>
      <c r="G1483" s="29" t="str">
        <f t="shared" si="1"/>
        <v>28109</v>
      </c>
      <c r="H1483" s="37" t="s">
        <v>1378</v>
      </c>
      <c r="I1483" s="37" t="s">
        <v>67</v>
      </c>
      <c r="J1483" s="37" t="s">
        <v>1357</v>
      </c>
      <c r="K1483" s="37" t="str">
        <f t="shared" si="25"/>
        <v>Pearl River, MS</v>
      </c>
      <c r="L1483" s="37">
        <v>109.0</v>
      </c>
      <c r="M1483" s="37" t="s">
        <v>63</v>
      </c>
      <c r="N1483" s="37">
        <v>48.0</v>
      </c>
      <c r="O1483" s="37">
        <v>46.0</v>
      </c>
      <c r="P1483" s="37" t="s">
        <v>63</v>
      </c>
      <c r="Q1483" s="37" t="s">
        <v>63</v>
      </c>
      <c r="R1483" s="37">
        <v>36.0</v>
      </c>
      <c r="S1483" s="37" t="s">
        <v>63</v>
      </c>
      <c r="T1483" s="69" t="s">
        <v>1894</v>
      </c>
      <c r="U1483" s="37" t="s">
        <v>63</v>
      </c>
      <c r="V1483" s="37" t="s">
        <v>63</v>
      </c>
      <c r="W1483" s="37" t="s">
        <v>63</v>
      </c>
      <c r="X1483" s="37" t="s">
        <v>63</v>
      </c>
      <c r="Y1483" s="53">
        <v>57.0</v>
      </c>
      <c r="Z1483" s="69" t="s">
        <v>63</v>
      </c>
      <c r="AA1483" s="73"/>
      <c r="AB1483" s="73"/>
      <c r="AC1483" s="73"/>
      <c r="AD1483" s="73"/>
      <c r="AE1483" s="73"/>
      <c r="AF1483" s="73"/>
      <c r="AG1483" s="73"/>
      <c r="AH1483" s="73"/>
      <c r="AI1483" s="73"/>
      <c r="AJ1483" s="73"/>
      <c r="AK1483" s="73"/>
    </row>
    <row r="1484">
      <c r="A1484" s="28">
        <v>1483.0</v>
      </c>
      <c r="B1484" s="29"/>
      <c r="C1484" s="29"/>
      <c r="D1484" s="40">
        <v>1.0</v>
      </c>
      <c r="E1484" s="31">
        <v>28.0</v>
      </c>
      <c r="F1484" s="42">
        <v>111.0</v>
      </c>
      <c r="G1484" s="29" t="str">
        <f t="shared" si="1"/>
        <v>28111</v>
      </c>
      <c r="H1484" s="37" t="s">
        <v>159</v>
      </c>
      <c r="I1484" s="37" t="s">
        <v>67</v>
      </c>
      <c r="J1484" s="37" t="s">
        <v>1357</v>
      </c>
      <c r="K1484" s="37" t="str">
        <f t="shared" si="25"/>
        <v>Perry, MS</v>
      </c>
      <c r="L1484" s="37">
        <v>21.0</v>
      </c>
      <c r="M1484" s="37" t="s">
        <v>63</v>
      </c>
      <c r="N1484" s="37">
        <v>9.0</v>
      </c>
      <c r="O1484" s="37">
        <v>6.0</v>
      </c>
      <c r="P1484" s="37" t="s">
        <v>63</v>
      </c>
      <c r="Q1484" s="37" t="s">
        <v>63</v>
      </c>
      <c r="R1484" s="37">
        <v>6.0</v>
      </c>
      <c r="S1484" s="37" t="s">
        <v>63</v>
      </c>
      <c r="T1484" s="69" t="s">
        <v>2045</v>
      </c>
      <c r="U1484" s="37" t="s">
        <v>63</v>
      </c>
      <c r="V1484" s="37" t="s">
        <v>63</v>
      </c>
      <c r="W1484" s="37" t="s">
        <v>63</v>
      </c>
      <c r="X1484" s="37" t="s">
        <v>63</v>
      </c>
      <c r="Y1484" s="53">
        <v>16.0</v>
      </c>
      <c r="Z1484" s="69" t="s">
        <v>63</v>
      </c>
      <c r="AA1484" s="73"/>
      <c r="AB1484" s="73"/>
      <c r="AC1484" s="73"/>
      <c r="AD1484" s="73"/>
      <c r="AE1484" s="73"/>
      <c r="AF1484" s="73"/>
      <c r="AG1484" s="73"/>
      <c r="AH1484" s="73"/>
      <c r="AI1484" s="73"/>
      <c r="AJ1484" s="73"/>
      <c r="AK1484" s="73"/>
    </row>
    <row r="1485">
      <c r="A1485" s="28">
        <v>1484.0</v>
      </c>
      <c r="B1485" s="29"/>
      <c r="C1485" s="29"/>
      <c r="D1485" s="40">
        <v>1.0</v>
      </c>
      <c r="E1485" s="31">
        <v>28.0</v>
      </c>
      <c r="F1485" s="42">
        <v>113.0</v>
      </c>
      <c r="G1485" s="29" t="str">
        <f t="shared" si="1"/>
        <v>28113</v>
      </c>
      <c r="H1485" s="37" t="s">
        <v>162</v>
      </c>
      <c r="I1485" s="37" t="s">
        <v>67</v>
      </c>
      <c r="J1485" s="37" t="s">
        <v>1357</v>
      </c>
      <c r="K1485" s="37" t="str">
        <f t="shared" si="25"/>
        <v>Pike, MS</v>
      </c>
      <c r="L1485" s="37">
        <v>111.0</v>
      </c>
      <c r="M1485" s="37" t="s">
        <v>63</v>
      </c>
      <c r="N1485" s="37">
        <v>49.0</v>
      </c>
      <c r="O1485" s="37">
        <v>29.0</v>
      </c>
      <c r="P1485" s="37" t="s">
        <v>63</v>
      </c>
      <c r="Q1485" s="37" t="s">
        <v>63</v>
      </c>
      <c r="R1485" s="37">
        <v>4.0</v>
      </c>
      <c r="S1485" s="37" t="s">
        <v>63</v>
      </c>
      <c r="T1485" s="69" t="s">
        <v>2048</v>
      </c>
      <c r="U1485" s="37" t="s">
        <v>63</v>
      </c>
      <c r="V1485" s="37" t="s">
        <v>63</v>
      </c>
      <c r="W1485" s="37" t="s">
        <v>63</v>
      </c>
      <c r="X1485" s="37" t="s">
        <v>63</v>
      </c>
      <c r="Y1485" s="53">
        <v>69.0</v>
      </c>
      <c r="Z1485" s="69" t="s">
        <v>63</v>
      </c>
      <c r="AA1485" s="73"/>
      <c r="AB1485" s="73"/>
      <c r="AC1485" s="73"/>
      <c r="AD1485" s="73"/>
      <c r="AE1485" s="73"/>
      <c r="AF1485" s="73"/>
      <c r="AG1485" s="73"/>
      <c r="AH1485" s="73"/>
      <c r="AI1485" s="73"/>
      <c r="AJ1485" s="73"/>
      <c r="AK1485" s="73"/>
    </row>
    <row r="1486">
      <c r="A1486" s="28">
        <v>1485.0</v>
      </c>
      <c r="B1486" s="29"/>
      <c r="C1486" s="29"/>
      <c r="D1486" s="40">
        <v>1.0</v>
      </c>
      <c r="E1486" s="31">
        <v>28.0</v>
      </c>
      <c r="F1486" s="42">
        <v>115.0</v>
      </c>
      <c r="G1486" s="29" t="str">
        <f t="shared" si="1"/>
        <v>28115</v>
      </c>
      <c r="H1486" s="37" t="s">
        <v>1379</v>
      </c>
      <c r="I1486" s="37" t="s">
        <v>67</v>
      </c>
      <c r="J1486" s="37" t="s">
        <v>1357</v>
      </c>
      <c r="K1486" s="37" t="str">
        <f t="shared" si="25"/>
        <v>Pontotoc, MS</v>
      </c>
      <c r="L1486" s="37">
        <v>60.0</v>
      </c>
      <c r="M1486" s="37" t="s">
        <v>63</v>
      </c>
      <c r="N1486" s="37">
        <v>25.0</v>
      </c>
      <c r="O1486" s="37">
        <v>21.0</v>
      </c>
      <c r="P1486" s="37" t="s">
        <v>63</v>
      </c>
      <c r="Q1486" s="37" t="s">
        <v>63</v>
      </c>
      <c r="R1486" s="37">
        <v>4.0</v>
      </c>
      <c r="S1486" s="37" t="s">
        <v>63</v>
      </c>
      <c r="T1486" s="69" t="s">
        <v>2051</v>
      </c>
      <c r="U1486" s="37" t="s">
        <v>63</v>
      </c>
      <c r="V1486" s="37" t="s">
        <v>63</v>
      </c>
      <c r="W1486" s="37" t="s">
        <v>63</v>
      </c>
      <c r="X1486" s="37" t="s">
        <v>63</v>
      </c>
      <c r="Y1486" s="53">
        <v>33.0</v>
      </c>
      <c r="Z1486" s="69" t="s">
        <v>63</v>
      </c>
      <c r="AA1486" s="73"/>
      <c r="AB1486" s="73"/>
      <c r="AC1486" s="73"/>
      <c r="AD1486" s="73"/>
      <c r="AE1486" s="73"/>
      <c r="AF1486" s="73"/>
      <c r="AG1486" s="73"/>
      <c r="AH1486" s="73"/>
      <c r="AI1486" s="73"/>
      <c r="AJ1486" s="73"/>
      <c r="AK1486" s="73"/>
    </row>
    <row r="1487">
      <c r="A1487" s="28">
        <v>1486.0</v>
      </c>
      <c r="B1487" s="29"/>
      <c r="C1487" s="29"/>
      <c r="D1487" s="40">
        <v>1.0</v>
      </c>
      <c r="E1487" s="31">
        <v>28.0</v>
      </c>
      <c r="F1487" s="42">
        <v>117.0</v>
      </c>
      <c r="G1487" s="29" t="str">
        <f t="shared" si="1"/>
        <v>28117</v>
      </c>
      <c r="H1487" s="37" t="s">
        <v>1380</v>
      </c>
      <c r="I1487" s="37" t="s">
        <v>67</v>
      </c>
      <c r="J1487" s="37" t="s">
        <v>1357</v>
      </c>
      <c r="K1487" s="37" t="str">
        <f t="shared" si="25"/>
        <v>Prentiss, MS</v>
      </c>
      <c r="L1487" s="37">
        <v>57.0</v>
      </c>
      <c r="M1487" s="37" t="s">
        <v>63</v>
      </c>
      <c r="N1487" s="37">
        <v>21.0</v>
      </c>
      <c r="O1487" s="37">
        <v>26.0</v>
      </c>
      <c r="P1487" s="37" t="s">
        <v>63</v>
      </c>
      <c r="Q1487" s="37" t="s">
        <v>63</v>
      </c>
      <c r="R1487" s="37">
        <v>7.0</v>
      </c>
      <c r="S1487" s="37" t="s">
        <v>63</v>
      </c>
      <c r="T1487" s="69" t="s">
        <v>1912</v>
      </c>
      <c r="U1487" s="37" t="s">
        <v>63</v>
      </c>
      <c r="V1487" s="37" t="s">
        <v>63</v>
      </c>
      <c r="W1487" s="37" t="s">
        <v>63</v>
      </c>
      <c r="X1487" s="37" t="s">
        <v>63</v>
      </c>
      <c r="Y1487" s="53">
        <v>27.0</v>
      </c>
      <c r="Z1487" s="69" t="s">
        <v>63</v>
      </c>
      <c r="AA1487" s="73"/>
      <c r="AB1487" s="73"/>
      <c r="AC1487" s="73"/>
      <c r="AD1487" s="73"/>
      <c r="AE1487" s="73"/>
      <c r="AF1487" s="73"/>
      <c r="AG1487" s="73"/>
      <c r="AH1487" s="73"/>
      <c r="AI1487" s="73"/>
      <c r="AJ1487" s="73"/>
      <c r="AK1487" s="73"/>
    </row>
    <row r="1488">
      <c r="A1488" s="28">
        <v>1487.0</v>
      </c>
      <c r="B1488" s="29"/>
      <c r="C1488" s="29"/>
      <c r="D1488" s="40">
        <v>1.0</v>
      </c>
      <c r="E1488" s="31">
        <v>28.0</v>
      </c>
      <c r="F1488" s="42">
        <v>119.0</v>
      </c>
      <c r="G1488" s="29" t="str">
        <f t="shared" si="1"/>
        <v>28119</v>
      </c>
      <c r="H1488" s="37" t="s">
        <v>618</v>
      </c>
      <c r="I1488" s="37" t="s">
        <v>67</v>
      </c>
      <c r="J1488" s="37" t="s">
        <v>1357</v>
      </c>
      <c r="K1488" s="37" t="str">
        <f t="shared" si="25"/>
        <v>Quitman, MS</v>
      </c>
      <c r="L1488" s="37">
        <v>1.0</v>
      </c>
      <c r="M1488" s="37" t="s">
        <v>63</v>
      </c>
      <c r="N1488" s="37">
        <v>1.0</v>
      </c>
      <c r="O1488" s="37">
        <v>0.0</v>
      </c>
      <c r="P1488" s="37" t="s">
        <v>63</v>
      </c>
      <c r="Q1488" s="37" t="s">
        <v>63</v>
      </c>
      <c r="R1488" s="37">
        <v>1.0</v>
      </c>
      <c r="S1488" s="37" t="s">
        <v>63</v>
      </c>
      <c r="T1488" s="69" t="s">
        <v>1967</v>
      </c>
      <c r="U1488" s="37" t="s">
        <v>63</v>
      </c>
      <c r="V1488" s="37" t="s">
        <v>63</v>
      </c>
      <c r="W1488" s="37" t="s">
        <v>63</v>
      </c>
      <c r="X1488" s="37" t="s">
        <v>63</v>
      </c>
      <c r="Y1488" s="53">
        <v>19.0</v>
      </c>
      <c r="Z1488" s="69" t="s">
        <v>63</v>
      </c>
      <c r="AA1488" s="73"/>
      <c r="AB1488" s="73"/>
      <c r="AC1488" s="73"/>
      <c r="AD1488" s="73"/>
      <c r="AE1488" s="73"/>
      <c r="AF1488" s="73"/>
      <c r="AG1488" s="73"/>
      <c r="AH1488" s="73"/>
      <c r="AI1488" s="73"/>
      <c r="AJ1488" s="73"/>
      <c r="AK1488" s="73"/>
    </row>
    <row r="1489">
      <c r="A1489" s="28">
        <v>1488.0</v>
      </c>
      <c r="B1489" s="29"/>
      <c r="C1489" s="29"/>
      <c r="D1489" s="40">
        <v>1.0</v>
      </c>
      <c r="E1489" s="31">
        <v>28.0</v>
      </c>
      <c r="F1489" s="42">
        <v>121.0</v>
      </c>
      <c r="G1489" s="29" t="str">
        <f t="shared" si="1"/>
        <v>28121</v>
      </c>
      <c r="H1489" s="37" t="s">
        <v>1381</v>
      </c>
      <c r="I1489" s="37" t="s">
        <v>67</v>
      </c>
      <c r="J1489" s="37" t="s">
        <v>1357</v>
      </c>
      <c r="K1489" s="37" t="str">
        <f t="shared" si="25"/>
        <v>Rankin, MS</v>
      </c>
      <c r="L1489" s="37">
        <v>38.0</v>
      </c>
      <c r="M1489" s="37" t="s">
        <v>63</v>
      </c>
      <c r="N1489" s="37">
        <v>21.0</v>
      </c>
      <c r="O1489" s="37">
        <v>2.0</v>
      </c>
      <c r="P1489" s="37" t="s">
        <v>63</v>
      </c>
      <c r="Q1489" s="37" t="s">
        <v>63</v>
      </c>
      <c r="R1489" s="37">
        <v>11.0</v>
      </c>
      <c r="S1489" s="37" t="s">
        <v>63</v>
      </c>
      <c r="T1489" s="69" t="s">
        <v>1914</v>
      </c>
      <c r="U1489" s="37" t="s">
        <v>63</v>
      </c>
      <c r="V1489" s="37" t="s">
        <v>63</v>
      </c>
      <c r="W1489" s="37" t="s">
        <v>63</v>
      </c>
      <c r="X1489" s="37" t="s">
        <v>63</v>
      </c>
      <c r="Y1489" s="53">
        <v>146.0</v>
      </c>
      <c r="Z1489" s="69" t="s">
        <v>63</v>
      </c>
      <c r="AA1489" s="73"/>
      <c r="AB1489" s="73"/>
      <c r="AC1489" s="73"/>
      <c r="AD1489" s="73"/>
      <c r="AE1489" s="73"/>
      <c r="AF1489" s="73"/>
      <c r="AG1489" s="73"/>
      <c r="AH1489" s="73"/>
      <c r="AI1489" s="73"/>
      <c r="AJ1489" s="73"/>
      <c r="AK1489" s="73"/>
    </row>
    <row r="1490">
      <c r="A1490" s="28">
        <v>1489.0</v>
      </c>
      <c r="B1490" s="29"/>
      <c r="C1490" s="29"/>
      <c r="D1490" s="40">
        <v>1.0</v>
      </c>
      <c r="E1490" s="31">
        <v>28.0</v>
      </c>
      <c r="F1490" s="42">
        <v>123.0</v>
      </c>
      <c r="G1490" s="29" t="str">
        <f t="shared" si="1"/>
        <v>28123</v>
      </c>
      <c r="H1490" s="37" t="s">
        <v>309</v>
      </c>
      <c r="I1490" s="37" t="s">
        <v>67</v>
      </c>
      <c r="J1490" s="37" t="s">
        <v>1357</v>
      </c>
      <c r="K1490" s="37" t="str">
        <f t="shared" si="25"/>
        <v>Scott, MS</v>
      </c>
      <c r="L1490" s="37">
        <v>63.0</v>
      </c>
      <c r="M1490" s="37" t="s">
        <v>63</v>
      </c>
      <c r="N1490" s="37">
        <v>31.0</v>
      </c>
      <c r="O1490" s="37">
        <v>20.0</v>
      </c>
      <c r="P1490" s="37" t="s">
        <v>63</v>
      </c>
      <c r="Q1490" s="37" t="s">
        <v>63</v>
      </c>
      <c r="R1490" s="37">
        <v>14.0</v>
      </c>
      <c r="S1490" s="37" t="s">
        <v>63</v>
      </c>
      <c r="T1490" s="69" t="s">
        <v>2002</v>
      </c>
      <c r="U1490" s="37" t="s">
        <v>63</v>
      </c>
      <c r="V1490" s="37" t="s">
        <v>63</v>
      </c>
      <c r="W1490" s="37" t="s">
        <v>63</v>
      </c>
      <c r="X1490" s="37" t="s">
        <v>63</v>
      </c>
      <c r="Y1490" s="53">
        <v>42.0</v>
      </c>
      <c r="Z1490" s="69" t="s">
        <v>63</v>
      </c>
      <c r="AA1490" s="73"/>
      <c r="AB1490" s="73"/>
      <c r="AC1490" s="73"/>
      <c r="AD1490" s="73"/>
      <c r="AE1490" s="73"/>
      <c r="AF1490" s="73"/>
      <c r="AG1490" s="73"/>
      <c r="AH1490" s="73"/>
      <c r="AI1490" s="73"/>
      <c r="AJ1490" s="73"/>
      <c r="AK1490" s="73"/>
    </row>
    <row r="1491">
      <c r="A1491" s="28">
        <v>1490.0</v>
      </c>
      <c r="B1491" s="29"/>
      <c r="C1491" s="29"/>
      <c r="D1491" s="40">
        <v>1.0</v>
      </c>
      <c r="E1491" s="31">
        <v>28.0</v>
      </c>
      <c r="F1491" s="42">
        <v>125.0</v>
      </c>
      <c r="G1491" s="29" t="str">
        <f t="shared" si="1"/>
        <v>28125</v>
      </c>
      <c r="H1491" s="37" t="s">
        <v>1382</v>
      </c>
      <c r="I1491" s="37" t="s">
        <v>67</v>
      </c>
      <c r="J1491" s="37" t="s">
        <v>1357</v>
      </c>
      <c r="K1491" s="37" t="str">
        <f t="shared" si="25"/>
        <v>Sharkey, MS</v>
      </c>
      <c r="L1491" s="37">
        <v>0.0</v>
      </c>
      <c r="M1491" s="37" t="s">
        <v>63</v>
      </c>
      <c r="N1491" s="37">
        <v>0.0</v>
      </c>
      <c r="O1491" s="37">
        <v>0.0</v>
      </c>
      <c r="P1491" s="37" t="s">
        <v>63</v>
      </c>
      <c r="Q1491" s="37" t="s">
        <v>63</v>
      </c>
      <c r="R1491" s="37">
        <v>0.0</v>
      </c>
      <c r="S1491" s="37" t="s">
        <v>63</v>
      </c>
      <c r="T1491" s="69" t="s">
        <v>1967</v>
      </c>
      <c r="U1491" s="37" t="s">
        <v>63</v>
      </c>
      <c r="V1491" s="37" t="s">
        <v>63</v>
      </c>
      <c r="W1491" s="37" t="s">
        <v>63</v>
      </c>
      <c r="X1491" s="37" t="s">
        <v>63</v>
      </c>
      <c r="Y1491" s="53">
        <v>6.0</v>
      </c>
      <c r="Z1491" s="69" t="s">
        <v>63</v>
      </c>
      <c r="AA1491" s="73"/>
      <c r="AB1491" s="73"/>
      <c r="AC1491" s="73"/>
      <c r="AD1491" s="73"/>
      <c r="AE1491" s="73"/>
      <c r="AF1491" s="73"/>
      <c r="AG1491" s="73"/>
      <c r="AH1491" s="73"/>
      <c r="AI1491" s="73"/>
      <c r="AJ1491" s="73"/>
      <c r="AK1491" s="73"/>
    </row>
    <row r="1492">
      <c r="A1492" s="28">
        <v>1491.0</v>
      </c>
      <c r="B1492" s="29"/>
      <c r="C1492" s="29"/>
      <c r="D1492" s="40">
        <v>1.0</v>
      </c>
      <c r="E1492" s="31">
        <v>28.0</v>
      </c>
      <c r="F1492" s="42">
        <v>127.0</v>
      </c>
      <c r="G1492" s="29" t="str">
        <f t="shared" si="1"/>
        <v>28127</v>
      </c>
      <c r="H1492" s="37" t="s">
        <v>1134</v>
      </c>
      <c r="I1492" s="37" t="s">
        <v>67</v>
      </c>
      <c r="J1492" s="37" t="s">
        <v>1357</v>
      </c>
      <c r="K1492" s="37" t="str">
        <f t="shared" si="25"/>
        <v>Simpson, MS</v>
      </c>
      <c r="L1492" s="37">
        <v>19.0</v>
      </c>
      <c r="M1492" s="37" t="s">
        <v>63</v>
      </c>
      <c r="N1492" s="37">
        <v>9.0</v>
      </c>
      <c r="O1492" s="37">
        <v>2.0</v>
      </c>
      <c r="P1492" s="37" t="s">
        <v>63</v>
      </c>
      <c r="Q1492" s="37" t="s">
        <v>63</v>
      </c>
      <c r="R1492" s="37">
        <v>5.0</v>
      </c>
      <c r="S1492" s="37" t="s">
        <v>63</v>
      </c>
      <c r="T1492" s="69" t="s">
        <v>2063</v>
      </c>
      <c r="U1492" s="37" t="s">
        <v>63</v>
      </c>
      <c r="V1492" s="37" t="s">
        <v>63</v>
      </c>
      <c r="W1492" s="37" t="s">
        <v>63</v>
      </c>
      <c r="X1492" s="37" t="s">
        <v>63</v>
      </c>
      <c r="Y1492" s="53">
        <v>36.0</v>
      </c>
      <c r="Z1492" s="69" t="s">
        <v>63</v>
      </c>
      <c r="AA1492" s="73"/>
      <c r="AB1492" s="73"/>
      <c r="AC1492" s="73"/>
      <c r="AD1492" s="73"/>
      <c r="AE1492" s="73"/>
      <c r="AF1492" s="73"/>
      <c r="AG1492" s="73"/>
      <c r="AH1492" s="73"/>
      <c r="AI1492" s="73"/>
      <c r="AJ1492" s="73"/>
      <c r="AK1492" s="73"/>
    </row>
    <row r="1493">
      <c r="A1493" s="28">
        <v>1492.0</v>
      </c>
      <c r="B1493" s="29"/>
      <c r="C1493" s="29"/>
      <c r="D1493" s="40">
        <v>1.0</v>
      </c>
      <c r="E1493" s="31">
        <v>28.0</v>
      </c>
      <c r="F1493" s="42">
        <v>129.0</v>
      </c>
      <c r="G1493" s="29" t="str">
        <f t="shared" si="1"/>
        <v>28129</v>
      </c>
      <c r="H1493" s="37" t="s">
        <v>1012</v>
      </c>
      <c r="I1493" s="37" t="s">
        <v>67</v>
      </c>
      <c r="J1493" s="37" t="s">
        <v>1357</v>
      </c>
      <c r="K1493" s="37" t="str">
        <f t="shared" si="25"/>
        <v>Smith, MS</v>
      </c>
      <c r="L1493" s="37">
        <v>4.0</v>
      </c>
      <c r="M1493" s="37" t="s">
        <v>63</v>
      </c>
      <c r="N1493" s="37">
        <v>1.0</v>
      </c>
      <c r="O1493" s="37">
        <v>1.0</v>
      </c>
      <c r="P1493" s="37" t="s">
        <v>63</v>
      </c>
      <c r="Q1493" s="37" t="s">
        <v>63</v>
      </c>
      <c r="R1493" s="37">
        <v>0.0</v>
      </c>
      <c r="S1493" s="37" t="s">
        <v>63</v>
      </c>
      <c r="T1493" s="69" t="s">
        <v>2024</v>
      </c>
      <c r="U1493" s="37" t="s">
        <v>63</v>
      </c>
      <c r="V1493" s="37" t="s">
        <v>63</v>
      </c>
      <c r="W1493" s="37" t="s">
        <v>63</v>
      </c>
      <c r="X1493" s="37" t="s">
        <v>63</v>
      </c>
      <c r="Y1493" s="53">
        <v>28.0</v>
      </c>
      <c r="Z1493" s="69" t="s">
        <v>63</v>
      </c>
      <c r="AA1493" s="73"/>
      <c r="AB1493" s="73"/>
      <c r="AC1493" s="73"/>
      <c r="AD1493" s="73"/>
      <c r="AE1493" s="73"/>
      <c r="AF1493" s="73"/>
      <c r="AG1493" s="73"/>
      <c r="AH1493" s="73"/>
      <c r="AI1493" s="73"/>
      <c r="AJ1493" s="73"/>
      <c r="AK1493" s="73"/>
    </row>
    <row r="1494">
      <c r="A1494" s="28">
        <v>1493.0</v>
      </c>
      <c r="B1494" s="29"/>
      <c r="C1494" s="29"/>
      <c r="D1494" s="40">
        <v>1.0</v>
      </c>
      <c r="E1494" s="31">
        <v>28.0</v>
      </c>
      <c r="F1494" s="42">
        <v>131.0</v>
      </c>
      <c r="G1494" s="29" t="str">
        <f t="shared" si="1"/>
        <v>28131</v>
      </c>
      <c r="H1494" s="37" t="s">
        <v>315</v>
      </c>
      <c r="I1494" s="37" t="s">
        <v>67</v>
      </c>
      <c r="J1494" s="37" t="s">
        <v>1357</v>
      </c>
      <c r="K1494" s="37" t="str">
        <f t="shared" si="25"/>
        <v>Stone, MS</v>
      </c>
      <c r="L1494" s="37">
        <v>44.0</v>
      </c>
      <c r="M1494" s="37" t="s">
        <v>63</v>
      </c>
      <c r="N1494" s="37">
        <v>15.0</v>
      </c>
      <c r="O1494" s="37">
        <v>15.0</v>
      </c>
      <c r="P1494" s="37" t="s">
        <v>63</v>
      </c>
      <c r="Q1494" s="37" t="s">
        <v>63</v>
      </c>
      <c r="R1494" s="37">
        <v>11.0</v>
      </c>
      <c r="S1494" s="37" t="s">
        <v>63</v>
      </c>
      <c r="T1494" s="69" t="s">
        <v>1912</v>
      </c>
      <c r="U1494" s="37" t="s">
        <v>63</v>
      </c>
      <c r="V1494" s="37" t="s">
        <v>63</v>
      </c>
      <c r="W1494" s="37" t="s">
        <v>63</v>
      </c>
      <c r="X1494" s="37" t="s">
        <v>63</v>
      </c>
      <c r="Y1494" s="53">
        <v>24.0</v>
      </c>
      <c r="Z1494" s="69" t="s">
        <v>63</v>
      </c>
      <c r="AA1494" s="73"/>
      <c r="AB1494" s="73"/>
      <c r="AC1494" s="73"/>
      <c r="AD1494" s="73"/>
      <c r="AE1494" s="73"/>
      <c r="AF1494" s="73"/>
      <c r="AG1494" s="73"/>
      <c r="AH1494" s="73"/>
      <c r="AI1494" s="73"/>
      <c r="AJ1494" s="73"/>
      <c r="AK1494" s="73"/>
    </row>
    <row r="1495">
      <c r="A1495" s="28">
        <v>1494.0</v>
      </c>
      <c r="B1495" s="29"/>
      <c r="C1495" s="29"/>
      <c r="D1495" s="40">
        <v>1.0</v>
      </c>
      <c r="E1495" s="31">
        <v>28.0</v>
      </c>
      <c r="F1495" s="42">
        <v>133.0</v>
      </c>
      <c r="G1495" s="29" t="str">
        <f t="shared" si="1"/>
        <v>28133</v>
      </c>
      <c r="H1495" s="37" t="s">
        <v>1383</v>
      </c>
      <c r="I1495" s="37" t="s">
        <v>67</v>
      </c>
      <c r="J1495" s="37" t="s">
        <v>1357</v>
      </c>
      <c r="K1495" s="37" t="str">
        <f t="shared" si="25"/>
        <v>Sunflower, MS</v>
      </c>
      <c r="L1495" s="37">
        <v>44.0</v>
      </c>
      <c r="M1495" s="37" t="s">
        <v>63</v>
      </c>
      <c r="N1495" s="37">
        <v>26.0</v>
      </c>
      <c r="O1495" s="37">
        <v>4.0</v>
      </c>
      <c r="P1495" s="37" t="s">
        <v>63</v>
      </c>
      <c r="Q1495" s="37" t="s">
        <v>63</v>
      </c>
      <c r="R1495" s="37">
        <v>2.0</v>
      </c>
      <c r="S1495" s="37" t="s">
        <v>63</v>
      </c>
      <c r="T1495" s="69" t="s">
        <v>1897</v>
      </c>
      <c r="U1495" s="37" t="s">
        <v>63</v>
      </c>
      <c r="V1495" s="37" t="s">
        <v>63</v>
      </c>
      <c r="W1495" s="37" t="s">
        <v>63</v>
      </c>
      <c r="X1495" s="37" t="s">
        <v>63</v>
      </c>
      <c r="Y1495" s="53">
        <v>44.0</v>
      </c>
      <c r="Z1495" s="69" t="s">
        <v>63</v>
      </c>
      <c r="AA1495" s="73"/>
      <c r="AB1495" s="73"/>
      <c r="AC1495" s="73"/>
      <c r="AD1495" s="73"/>
      <c r="AE1495" s="73"/>
      <c r="AF1495" s="73"/>
      <c r="AG1495" s="73"/>
      <c r="AH1495" s="73"/>
      <c r="AI1495" s="73"/>
      <c r="AJ1495" s="73"/>
      <c r="AK1495" s="73"/>
    </row>
    <row r="1496">
      <c r="A1496" s="28">
        <v>1495.0</v>
      </c>
      <c r="B1496" s="29"/>
      <c r="C1496" s="29"/>
      <c r="D1496" s="40">
        <v>1.0</v>
      </c>
      <c r="E1496" s="31">
        <v>28.0</v>
      </c>
      <c r="F1496" s="42">
        <v>135.0</v>
      </c>
      <c r="G1496" s="29" t="str">
        <f t="shared" si="1"/>
        <v>28135</v>
      </c>
      <c r="H1496" s="37" t="s">
        <v>1384</v>
      </c>
      <c r="I1496" s="37" t="s">
        <v>67</v>
      </c>
      <c r="J1496" s="37" t="s">
        <v>1357</v>
      </c>
      <c r="K1496" s="37" t="str">
        <f t="shared" si="25"/>
        <v>Tallahatchie, MS</v>
      </c>
      <c r="L1496" s="37">
        <v>0.0</v>
      </c>
      <c r="M1496" s="37" t="s">
        <v>63</v>
      </c>
      <c r="N1496" s="37">
        <v>0.0</v>
      </c>
      <c r="O1496" s="37">
        <v>0.0</v>
      </c>
      <c r="P1496" s="37" t="s">
        <v>63</v>
      </c>
      <c r="Q1496" s="37" t="s">
        <v>63</v>
      </c>
      <c r="R1496" s="37">
        <v>0.0</v>
      </c>
      <c r="S1496" s="37" t="s">
        <v>63</v>
      </c>
      <c r="T1496" s="69" t="s">
        <v>2024</v>
      </c>
      <c r="U1496" s="37" t="s">
        <v>63</v>
      </c>
      <c r="V1496" s="37" t="s">
        <v>63</v>
      </c>
      <c r="W1496" s="37" t="s">
        <v>63</v>
      </c>
      <c r="X1496" s="37" t="s">
        <v>63</v>
      </c>
      <c r="Y1496" s="53">
        <v>14.0</v>
      </c>
      <c r="Z1496" s="69" t="s">
        <v>63</v>
      </c>
      <c r="AA1496" s="73"/>
      <c r="AB1496" s="73"/>
      <c r="AC1496" s="73"/>
      <c r="AD1496" s="73"/>
      <c r="AE1496" s="73"/>
      <c r="AF1496" s="73"/>
      <c r="AG1496" s="73"/>
      <c r="AH1496" s="73"/>
      <c r="AI1496" s="73"/>
      <c r="AJ1496" s="73"/>
      <c r="AK1496" s="73"/>
    </row>
    <row r="1497">
      <c r="A1497" s="28">
        <v>1496.0</v>
      </c>
      <c r="B1497" s="29"/>
      <c r="C1497" s="29"/>
      <c r="D1497" s="40">
        <v>1.0</v>
      </c>
      <c r="E1497" s="31">
        <v>28.0</v>
      </c>
      <c r="F1497" s="42">
        <v>137.0</v>
      </c>
      <c r="G1497" s="29" t="str">
        <f t="shared" si="1"/>
        <v>28137</v>
      </c>
      <c r="H1497" s="37" t="s">
        <v>1385</v>
      </c>
      <c r="I1497" s="37" t="s">
        <v>67</v>
      </c>
      <c r="J1497" s="37" t="s">
        <v>1357</v>
      </c>
      <c r="K1497" s="37" t="str">
        <f t="shared" si="25"/>
        <v>Tate, MS</v>
      </c>
      <c r="L1497" s="37">
        <v>11.0</v>
      </c>
      <c r="M1497" s="37" t="s">
        <v>63</v>
      </c>
      <c r="N1497" s="37">
        <v>10.0</v>
      </c>
      <c r="O1497" s="37">
        <v>0.0</v>
      </c>
      <c r="P1497" s="37" t="s">
        <v>63</v>
      </c>
      <c r="Q1497" s="37" t="s">
        <v>63</v>
      </c>
      <c r="R1497" s="37">
        <v>3.0</v>
      </c>
      <c r="S1497" s="37" t="s">
        <v>63</v>
      </c>
      <c r="T1497" s="69" t="s">
        <v>1897</v>
      </c>
      <c r="U1497" s="37" t="s">
        <v>63</v>
      </c>
      <c r="V1497" s="37" t="s">
        <v>63</v>
      </c>
      <c r="W1497" s="37" t="s">
        <v>63</v>
      </c>
      <c r="X1497" s="37" t="s">
        <v>63</v>
      </c>
      <c r="Y1497" s="53">
        <v>44.0</v>
      </c>
      <c r="Z1497" s="69" t="s">
        <v>63</v>
      </c>
      <c r="AA1497" s="73"/>
      <c r="AB1497" s="73"/>
      <c r="AC1497" s="73"/>
      <c r="AD1497" s="73"/>
      <c r="AE1497" s="73"/>
      <c r="AF1497" s="73"/>
      <c r="AG1497" s="73"/>
      <c r="AH1497" s="73"/>
      <c r="AI1497" s="73"/>
      <c r="AJ1497" s="73"/>
      <c r="AK1497" s="73"/>
    </row>
    <row r="1498">
      <c r="A1498" s="28">
        <v>1497.0</v>
      </c>
      <c r="B1498" s="29"/>
      <c r="C1498" s="29"/>
      <c r="D1498" s="40">
        <v>1.0</v>
      </c>
      <c r="E1498" s="31">
        <v>28.0</v>
      </c>
      <c r="F1498" s="42">
        <v>139.0</v>
      </c>
      <c r="G1498" s="29" t="str">
        <f t="shared" si="1"/>
        <v>28139</v>
      </c>
      <c r="H1498" s="37" t="s">
        <v>1386</v>
      </c>
      <c r="I1498" s="37" t="s">
        <v>67</v>
      </c>
      <c r="J1498" s="37" t="s">
        <v>1357</v>
      </c>
      <c r="K1498" s="37" t="str">
        <f t="shared" si="25"/>
        <v>Tippah, MS</v>
      </c>
      <c r="L1498" s="37">
        <v>25.0</v>
      </c>
      <c r="M1498" s="37" t="s">
        <v>63</v>
      </c>
      <c r="N1498" s="37">
        <v>8.0</v>
      </c>
      <c r="O1498" s="37">
        <v>12.0</v>
      </c>
      <c r="P1498" s="37" t="s">
        <v>63</v>
      </c>
      <c r="Q1498" s="37" t="s">
        <v>63</v>
      </c>
      <c r="R1498" s="37">
        <v>7.0</v>
      </c>
      <c r="S1498" s="37" t="s">
        <v>63</v>
      </c>
      <c r="T1498" s="69" t="s">
        <v>1878</v>
      </c>
      <c r="U1498" s="37" t="s">
        <v>63</v>
      </c>
      <c r="V1498" s="37" t="s">
        <v>63</v>
      </c>
      <c r="W1498" s="37" t="s">
        <v>63</v>
      </c>
      <c r="X1498" s="37" t="s">
        <v>63</v>
      </c>
      <c r="Y1498" s="53">
        <v>31.0</v>
      </c>
      <c r="Z1498" s="69" t="s">
        <v>63</v>
      </c>
      <c r="AA1498" s="73"/>
      <c r="AB1498" s="73"/>
      <c r="AC1498" s="73"/>
      <c r="AD1498" s="73"/>
      <c r="AE1498" s="73"/>
      <c r="AF1498" s="73"/>
      <c r="AG1498" s="73"/>
      <c r="AH1498" s="73"/>
      <c r="AI1498" s="73"/>
      <c r="AJ1498" s="73"/>
      <c r="AK1498" s="73"/>
    </row>
    <row r="1499">
      <c r="A1499" s="28">
        <v>1498.0</v>
      </c>
      <c r="B1499" s="29"/>
      <c r="C1499" s="29"/>
      <c r="D1499" s="40">
        <v>1.0</v>
      </c>
      <c r="E1499" s="31">
        <v>28.0</v>
      </c>
      <c r="F1499" s="42">
        <v>141.0</v>
      </c>
      <c r="G1499" s="29" t="str">
        <f t="shared" si="1"/>
        <v>28141</v>
      </c>
      <c r="H1499" s="37" t="s">
        <v>1387</v>
      </c>
      <c r="I1499" s="37" t="s">
        <v>67</v>
      </c>
      <c r="J1499" s="37" t="s">
        <v>1357</v>
      </c>
      <c r="K1499" s="37" t="str">
        <f t="shared" si="25"/>
        <v>Tishomingo, MS</v>
      </c>
      <c r="L1499" s="37">
        <v>57.0</v>
      </c>
      <c r="M1499" s="37" t="s">
        <v>63</v>
      </c>
      <c r="N1499" s="37">
        <v>15.0</v>
      </c>
      <c r="O1499" s="37">
        <v>33.0</v>
      </c>
      <c r="P1499" s="37" t="s">
        <v>63</v>
      </c>
      <c r="Q1499" s="37" t="s">
        <v>63</v>
      </c>
      <c r="R1499" s="37">
        <v>4.0</v>
      </c>
      <c r="S1499" s="37" t="s">
        <v>63</v>
      </c>
      <c r="T1499" s="69" t="s">
        <v>2077</v>
      </c>
      <c r="U1499" s="37" t="s">
        <v>63</v>
      </c>
      <c r="V1499" s="37" t="s">
        <v>63</v>
      </c>
      <c r="W1499" s="37" t="s">
        <v>63</v>
      </c>
      <c r="X1499" s="37" t="s">
        <v>63</v>
      </c>
      <c r="Y1499" s="53">
        <v>29.0</v>
      </c>
      <c r="Z1499" s="69" t="s">
        <v>63</v>
      </c>
      <c r="AA1499" s="73"/>
      <c r="AB1499" s="73"/>
      <c r="AC1499" s="73"/>
      <c r="AD1499" s="73"/>
      <c r="AE1499" s="73"/>
      <c r="AF1499" s="73"/>
      <c r="AG1499" s="73"/>
      <c r="AH1499" s="73"/>
      <c r="AI1499" s="73"/>
      <c r="AJ1499" s="73"/>
      <c r="AK1499" s="73"/>
    </row>
    <row r="1500">
      <c r="A1500" s="28">
        <v>1499.0</v>
      </c>
      <c r="B1500" s="29"/>
      <c r="C1500" s="29"/>
      <c r="D1500" s="40">
        <v>1.0</v>
      </c>
      <c r="E1500" s="31">
        <v>28.0</v>
      </c>
      <c r="F1500" s="42">
        <v>143.0</v>
      </c>
      <c r="G1500" s="29" t="str">
        <f t="shared" si="1"/>
        <v>28143</v>
      </c>
      <c r="H1500" s="37" t="s">
        <v>1388</v>
      </c>
      <c r="I1500" s="37" t="s">
        <v>67</v>
      </c>
      <c r="J1500" s="37" t="s">
        <v>1357</v>
      </c>
      <c r="K1500" s="37" t="str">
        <f t="shared" si="25"/>
        <v>Tunica, MS</v>
      </c>
      <c r="L1500" s="37">
        <v>3.0</v>
      </c>
      <c r="M1500" s="37" t="s">
        <v>63</v>
      </c>
      <c r="N1500" s="37">
        <v>1.0</v>
      </c>
      <c r="O1500" s="37">
        <v>2.0</v>
      </c>
      <c r="P1500" s="37" t="s">
        <v>63</v>
      </c>
      <c r="Q1500" s="37" t="s">
        <v>63</v>
      </c>
      <c r="R1500" s="37">
        <v>1.0</v>
      </c>
      <c r="S1500" s="37" t="s">
        <v>63</v>
      </c>
      <c r="T1500" s="69" t="s">
        <v>1888</v>
      </c>
      <c r="U1500" s="37" t="s">
        <v>63</v>
      </c>
      <c r="V1500" s="37" t="s">
        <v>63</v>
      </c>
      <c r="W1500" s="37" t="s">
        <v>63</v>
      </c>
      <c r="X1500" s="37" t="s">
        <v>63</v>
      </c>
      <c r="Y1500" s="53">
        <v>12.0</v>
      </c>
      <c r="Z1500" s="69" t="s">
        <v>63</v>
      </c>
      <c r="AA1500" s="73"/>
      <c r="AB1500" s="73"/>
      <c r="AC1500" s="73"/>
      <c r="AD1500" s="73"/>
      <c r="AE1500" s="73"/>
      <c r="AF1500" s="73"/>
      <c r="AG1500" s="73"/>
      <c r="AH1500" s="73"/>
      <c r="AI1500" s="73"/>
      <c r="AJ1500" s="73"/>
      <c r="AK1500" s="73"/>
    </row>
    <row r="1501">
      <c r="A1501" s="28">
        <v>1500.0</v>
      </c>
      <c r="B1501" s="29"/>
      <c r="C1501" s="29"/>
      <c r="D1501" s="40">
        <v>1.0</v>
      </c>
      <c r="E1501" s="31">
        <v>28.0</v>
      </c>
      <c r="F1501" s="42">
        <v>145.0</v>
      </c>
      <c r="G1501" s="29" t="str">
        <f t="shared" si="1"/>
        <v>28145</v>
      </c>
      <c r="H1501" s="37" t="s">
        <v>316</v>
      </c>
      <c r="I1501" s="37" t="s">
        <v>67</v>
      </c>
      <c r="J1501" s="37" t="s">
        <v>1357</v>
      </c>
      <c r="K1501" s="37" t="str">
        <f t="shared" si="25"/>
        <v>Union, MS</v>
      </c>
      <c r="L1501" s="37">
        <v>29.0</v>
      </c>
      <c r="M1501" s="37" t="s">
        <v>63</v>
      </c>
      <c r="N1501" s="37">
        <v>9.0</v>
      </c>
      <c r="O1501" s="37">
        <v>16.0</v>
      </c>
      <c r="P1501" s="37" t="s">
        <v>63</v>
      </c>
      <c r="Q1501" s="37" t="s">
        <v>63</v>
      </c>
      <c r="R1501" s="37">
        <v>6.0</v>
      </c>
      <c r="S1501" s="37" t="s">
        <v>63</v>
      </c>
      <c r="T1501" s="69" t="s">
        <v>1894</v>
      </c>
      <c r="U1501" s="37" t="s">
        <v>63</v>
      </c>
      <c r="V1501" s="37" t="s">
        <v>63</v>
      </c>
      <c r="W1501" s="37" t="s">
        <v>63</v>
      </c>
      <c r="X1501" s="37" t="s">
        <v>63</v>
      </c>
      <c r="Y1501" s="53">
        <v>46.0</v>
      </c>
      <c r="Z1501" s="69" t="s">
        <v>63</v>
      </c>
      <c r="AA1501" s="73"/>
      <c r="AB1501" s="73"/>
      <c r="AC1501" s="73"/>
      <c r="AD1501" s="73"/>
      <c r="AE1501" s="73"/>
      <c r="AF1501" s="73"/>
      <c r="AG1501" s="73"/>
      <c r="AH1501" s="73"/>
      <c r="AI1501" s="73"/>
      <c r="AJ1501" s="73"/>
      <c r="AK1501" s="73"/>
    </row>
    <row r="1502">
      <c r="A1502" s="28">
        <v>1501.0</v>
      </c>
      <c r="B1502" s="29"/>
      <c r="C1502" s="29"/>
      <c r="D1502" s="40">
        <v>1.0</v>
      </c>
      <c r="E1502" s="31">
        <v>28.0</v>
      </c>
      <c r="F1502" s="42">
        <v>147.0</v>
      </c>
      <c r="G1502" s="29" t="str">
        <f t="shared" si="1"/>
        <v>28147</v>
      </c>
      <c r="H1502" s="37" t="s">
        <v>1389</v>
      </c>
      <c r="I1502" s="37" t="s">
        <v>67</v>
      </c>
      <c r="J1502" s="37" t="s">
        <v>1357</v>
      </c>
      <c r="K1502" s="37" t="str">
        <f t="shared" si="25"/>
        <v>Walthall, MS</v>
      </c>
      <c r="L1502" s="37">
        <v>24.0</v>
      </c>
      <c r="M1502" s="37" t="s">
        <v>63</v>
      </c>
      <c r="N1502" s="37">
        <v>11.0</v>
      </c>
      <c r="O1502" s="37">
        <v>9.0</v>
      </c>
      <c r="P1502" s="37" t="s">
        <v>63</v>
      </c>
      <c r="Q1502" s="37" t="s">
        <v>63</v>
      </c>
      <c r="R1502" s="37">
        <v>6.0</v>
      </c>
      <c r="S1502" s="37" t="s">
        <v>63</v>
      </c>
      <c r="T1502" s="69" t="s">
        <v>2081</v>
      </c>
      <c r="U1502" s="37" t="s">
        <v>63</v>
      </c>
      <c r="V1502" s="37" t="s">
        <v>63</v>
      </c>
      <c r="W1502" s="37" t="s">
        <v>63</v>
      </c>
      <c r="X1502" s="37" t="s">
        <v>63</v>
      </c>
      <c r="Y1502" s="53">
        <v>19.0</v>
      </c>
      <c r="Z1502" s="69" t="s">
        <v>63</v>
      </c>
      <c r="AA1502" s="73"/>
      <c r="AB1502" s="73"/>
      <c r="AC1502" s="73"/>
      <c r="AD1502" s="73"/>
      <c r="AE1502" s="73"/>
      <c r="AF1502" s="73"/>
      <c r="AG1502" s="73"/>
      <c r="AH1502" s="73"/>
      <c r="AI1502" s="73"/>
      <c r="AJ1502" s="73"/>
      <c r="AK1502" s="73"/>
    </row>
    <row r="1503">
      <c r="A1503" s="28">
        <v>1502.0</v>
      </c>
      <c r="B1503" s="29"/>
      <c r="C1503" s="29"/>
      <c r="D1503" s="40">
        <v>1.0</v>
      </c>
      <c r="E1503" s="31">
        <v>28.0</v>
      </c>
      <c r="F1503" s="42">
        <v>149.0</v>
      </c>
      <c r="G1503" s="29" t="str">
        <f t="shared" si="1"/>
        <v>28149</v>
      </c>
      <c r="H1503" s="37" t="s">
        <v>647</v>
      </c>
      <c r="I1503" s="37" t="s">
        <v>67</v>
      </c>
      <c r="J1503" s="37" t="s">
        <v>1357</v>
      </c>
      <c r="K1503" s="37" t="str">
        <f t="shared" si="25"/>
        <v>Warren, MS</v>
      </c>
      <c r="L1503" s="37">
        <v>117.0</v>
      </c>
      <c r="M1503" s="37" t="s">
        <v>63</v>
      </c>
      <c r="N1503" s="37">
        <v>30.0</v>
      </c>
      <c r="O1503" s="37">
        <v>36.0</v>
      </c>
      <c r="P1503" s="37" t="s">
        <v>63</v>
      </c>
      <c r="Q1503" s="37" t="s">
        <v>63</v>
      </c>
      <c r="R1503" s="37">
        <v>14.0</v>
      </c>
      <c r="S1503" s="37" t="s">
        <v>63</v>
      </c>
      <c r="T1503" s="69" t="s">
        <v>1909</v>
      </c>
      <c r="U1503" s="37" t="s">
        <v>63</v>
      </c>
      <c r="V1503" s="37" t="s">
        <v>63</v>
      </c>
      <c r="W1503" s="37" t="s">
        <v>63</v>
      </c>
      <c r="X1503" s="37" t="s">
        <v>63</v>
      </c>
      <c r="Y1503" s="53">
        <v>80.0</v>
      </c>
      <c r="Z1503" s="69" t="s">
        <v>63</v>
      </c>
      <c r="AA1503" s="73"/>
      <c r="AB1503" s="73"/>
      <c r="AC1503" s="73"/>
      <c r="AD1503" s="73"/>
      <c r="AE1503" s="73"/>
      <c r="AF1503" s="73"/>
      <c r="AG1503" s="73"/>
      <c r="AH1503" s="73"/>
      <c r="AI1503" s="73"/>
      <c r="AJ1503" s="73"/>
      <c r="AK1503" s="73"/>
    </row>
    <row r="1504">
      <c r="A1504" s="28">
        <v>1503.0</v>
      </c>
      <c r="B1504" s="29"/>
      <c r="C1504" s="29"/>
      <c r="D1504" s="40">
        <v>1.0</v>
      </c>
      <c r="E1504" s="31">
        <v>28.0</v>
      </c>
      <c r="F1504" s="42">
        <v>151.0</v>
      </c>
      <c r="G1504" s="29" t="str">
        <f t="shared" si="1"/>
        <v>28151</v>
      </c>
      <c r="H1504" s="37" t="s">
        <v>119</v>
      </c>
      <c r="I1504" s="37" t="s">
        <v>67</v>
      </c>
      <c r="J1504" s="37" t="s">
        <v>1357</v>
      </c>
      <c r="K1504" s="37" t="str">
        <f t="shared" si="25"/>
        <v>Washington, MS</v>
      </c>
      <c r="L1504" s="37">
        <v>62.0</v>
      </c>
      <c r="M1504" s="37" t="s">
        <v>63</v>
      </c>
      <c r="N1504" s="37">
        <v>39.0</v>
      </c>
      <c r="O1504" s="37">
        <v>4.0</v>
      </c>
      <c r="P1504" s="37" t="s">
        <v>63</v>
      </c>
      <c r="Q1504" s="37" t="s">
        <v>63</v>
      </c>
      <c r="R1504" s="37">
        <v>7.0</v>
      </c>
      <c r="S1504" s="37" t="s">
        <v>63</v>
      </c>
      <c r="T1504" s="69" t="s">
        <v>1906</v>
      </c>
      <c r="U1504" s="37" t="s">
        <v>63</v>
      </c>
      <c r="V1504" s="37" t="s">
        <v>63</v>
      </c>
      <c r="W1504" s="37" t="s">
        <v>63</v>
      </c>
      <c r="X1504" s="37" t="s">
        <v>63</v>
      </c>
      <c r="Y1504" s="53">
        <v>92.0</v>
      </c>
      <c r="Z1504" s="69" t="s">
        <v>63</v>
      </c>
      <c r="AA1504" s="73"/>
      <c r="AB1504" s="73"/>
      <c r="AC1504" s="73"/>
      <c r="AD1504" s="73"/>
      <c r="AE1504" s="73"/>
      <c r="AF1504" s="73"/>
      <c r="AG1504" s="73"/>
      <c r="AH1504" s="73"/>
      <c r="AI1504" s="73"/>
      <c r="AJ1504" s="73"/>
      <c r="AK1504" s="73"/>
    </row>
    <row r="1505">
      <c r="A1505" s="28">
        <v>1504.0</v>
      </c>
      <c r="B1505" s="29"/>
      <c r="C1505" s="29"/>
      <c r="D1505" s="40">
        <v>1.0</v>
      </c>
      <c r="E1505" s="31">
        <v>28.0</v>
      </c>
      <c r="F1505" s="42">
        <v>153.0</v>
      </c>
      <c r="G1505" s="29" t="str">
        <f t="shared" si="1"/>
        <v>28153</v>
      </c>
      <c r="H1505" s="37" t="s">
        <v>273</v>
      </c>
      <c r="I1505" s="37" t="s">
        <v>67</v>
      </c>
      <c r="J1505" s="37" t="s">
        <v>1357</v>
      </c>
      <c r="K1505" s="37" t="str">
        <f t="shared" si="25"/>
        <v>Wayne, MS</v>
      </c>
      <c r="L1505" s="37">
        <v>6.0</v>
      </c>
      <c r="M1505" s="37" t="s">
        <v>63</v>
      </c>
      <c r="N1505" s="37">
        <v>3.0</v>
      </c>
      <c r="O1505" s="37">
        <v>3.0</v>
      </c>
      <c r="P1505" s="37" t="s">
        <v>63</v>
      </c>
      <c r="Q1505" s="37" t="s">
        <v>63</v>
      </c>
      <c r="R1505" s="37">
        <v>0.0</v>
      </c>
      <c r="S1505" s="37" t="s">
        <v>63</v>
      </c>
      <c r="T1505" s="69" t="s">
        <v>2085</v>
      </c>
      <c r="U1505" s="37" t="s">
        <v>63</v>
      </c>
      <c r="V1505" s="37" t="s">
        <v>63</v>
      </c>
      <c r="W1505" s="37" t="s">
        <v>63</v>
      </c>
      <c r="X1505" s="37" t="s">
        <v>63</v>
      </c>
      <c r="Y1505" s="53">
        <v>43.0</v>
      </c>
      <c r="Z1505" s="69" t="s">
        <v>63</v>
      </c>
      <c r="AA1505" s="73"/>
      <c r="AB1505" s="73"/>
      <c r="AC1505" s="73"/>
      <c r="AD1505" s="73"/>
      <c r="AE1505" s="73"/>
      <c r="AF1505" s="73"/>
      <c r="AG1505" s="73"/>
      <c r="AH1505" s="73"/>
      <c r="AI1505" s="73"/>
      <c r="AJ1505" s="73"/>
      <c r="AK1505" s="73"/>
    </row>
    <row r="1506">
      <c r="A1506" s="28">
        <v>1505.0</v>
      </c>
      <c r="B1506" s="29"/>
      <c r="C1506" s="29"/>
      <c r="D1506" s="40">
        <v>1.0</v>
      </c>
      <c r="E1506" s="31">
        <v>28.0</v>
      </c>
      <c r="F1506" s="42">
        <v>155.0</v>
      </c>
      <c r="G1506" s="29" t="str">
        <f t="shared" si="1"/>
        <v>28155</v>
      </c>
      <c r="H1506" s="37" t="s">
        <v>648</v>
      </c>
      <c r="I1506" s="37" t="s">
        <v>67</v>
      </c>
      <c r="J1506" s="37" t="s">
        <v>1357</v>
      </c>
      <c r="K1506" s="37" t="str">
        <f t="shared" si="25"/>
        <v>Webster, MS</v>
      </c>
      <c r="L1506" s="37">
        <v>21.0</v>
      </c>
      <c r="M1506" s="37" t="s">
        <v>63</v>
      </c>
      <c r="N1506" s="37">
        <v>4.0</v>
      </c>
      <c r="O1506" s="37">
        <v>7.0</v>
      </c>
      <c r="P1506" s="37" t="s">
        <v>63</v>
      </c>
      <c r="Q1506" s="37" t="s">
        <v>63</v>
      </c>
      <c r="R1506" s="37">
        <v>1.0</v>
      </c>
      <c r="S1506" s="37" t="s">
        <v>63</v>
      </c>
      <c r="T1506" s="69" t="s">
        <v>2086</v>
      </c>
      <c r="U1506" s="37" t="s">
        <v>63</v>
      </c>
      <c r="V1506" s="37" t="s">
        <v>63</v>
      </c>
      <c r="W1506" s="37" t="s">
        <v>63</v>
      </c>
      <c r="X1506" s="37" t="s">
        <v>63</v>
      </c>
      <c r="Y1506" s="53">
        <v>20.0</v>
      </c>
      <c r="Z1506" s="69" t="s">
        <v>63</v>
      </c>
      <c r="AA1506" s="73"/>
      <c r="AB1506" s="73"/>
      <c r="AC1506" s="73"/>
      <c r="AD1506" s="73"/>
      <c r="AE1506" s="73"/>
      <c r="AF1506" s="73"/>
      <c r="AG1506" s="73"/>
      <c r="AH1506" s="73"/>
      <c r="AI1506" s="73"/>
      <c r="AJ1506" s="73"/>
      <c r="AK1506" s="73"/>
    </row>
    <row r="1507">
      <c r="A1507" s="28">
        <v>1506.0</v>
      </c>
      <c r="B1507" s="29"/>
      <c r="C1507" s="29"/>
      <c r="D1507" s="40">
        <v>1.0</v>
      </c>
      <c r="E1507" s="31">
        <v>28.0</v>
      </c>
      <c r="F1507" s="42">
        <v>157.0</v>
      </c>
      <c r="G1507" s="29" t="str">
        <f t="shared" si="1"/>
        <v>28157</v>
      </c>
      <c r="H1507" s="37" t="s">
        <v>654</v>
      </c>
      <c r="I1507" s="37" t="s">
        <v>67</v>
      </c>
      <c r="J1507" s="37" t="s">
        <v>1357</v>
      </c>
      <c r="K1507" s="37" t="str">
        <f t="shared" si="25"/>
        <v>Wilkinson, MS</v>
      </c>
      <c r="L1507" s="37">
        <v>15.0</v>
      </c>
      <c r="M1507" s="37" t="s">
        <v>63</v>
      </c>
      <c r="N1507" s="37">
        <v>9.0</v>
      </c>
      <c r="O1507" s="37">
        <v>4.0</v>
      </c>
      <c r="P1507" s="37" t="s">
        <v>63</v>
      </c>
      <c r="Q1507" s="37" t="s">
        <v>63</v>
      </c>
      <c r="R1507" s="37">
        <v>0.0</v>
      </c>
      <c r="S1507" s="37" t="s">
        <v>63</v>
      </c>
      <c r="T1507" s="69" t="s">
        <v>1897</v>
      </c>
      <c r="U1507" s="37" t="s">
        <v>63</v>
      </c>
      <c r="V1507" s="37" t="s">
        <v>63</v>
      </c>
      <c r="W1507" s="37" t="s">
        <v>63</v>
      </c>
      <c r="X1507" s="37" t="s">
        <v>63</v>
      </c>
      <c r="Y1507" s="53">
        <v>14.0</v>
      </c>
      <c r="Z1507" s="69" t="s">
        <v>63</v>
      </c>
      <c r="AA1507" s="73"/>
      <c r="AB1507" s="73"/>
      <c r="AC1507" s="73"/>
      <c r="AD1507" s="73"/>
      <c r="AE1507" s="73"/>
      <c r="AF1507" s="73"/>
      <c r="AG1507" s="73"/>
      <c r="AH1507" s="73"/>
      <c r="AI1507" s="73"/>
      <c r="AJ1507" s="73"/>
      <c r="AK1507" s="73"/>
    </row>
    <row r="1508">
      <c r="A1508" s="28">
        <v>1507.0</v>
      </c>
      <c r="B1508" s="29"/>
      <c r="C1508" s="29"/>
      <c r="D1508" s="40">
        <v>1.0</v>
      </c>
      <c r="E1508" s="31">
        <v>28.0</v>
      </c>
      <c r="F1508" s="42">
        <v>159.0</v>
      </c>
      <c r="G1508" s="29" t="str">
        <f t="shared" si="1"/>
        <v>28159</v>
      </c>
      <c r="H1508" s="37" t="s">
        <v>178</v>
      </c>
      <c r="I1508" s="37" t="s">
        <v>67</v>
      </c>
      <c r="J1508" s="37" t="s">
        <v>1357</v>
      </c>
      <c r="K1508" s="37" t="str">
        <f t="shared" si="25"/>
        <v>Winston, MS</v>
      </c>
      <c r="L1508" s="37">
        <v>17.0</v>
      </c>
      <c r="M1508" s="37" t="s">
        <v>63</v>
      </c>
      <c r="N1508" s="37">
        <v>6.0</v>
      </c>
      <c r="O1508" s="37">
        <v>9.0</v>
      </c>
      <c r="P1508" s="37" t="s">
        <v>63</v>
      </c>
      <c r="Q1508" s="37" t="s">
        <v>63</v>
      </c>
      <c r="R1508" s="37">
        <v>4.0</v>
      </c>
      <c r="S1508" s="37" t="s">
        <v>63</v>
      </c>
      <c r="T1508" s="69" t="s">
        <v>1906</v>
      </c>
      <c r="U1508" s="37" t="s">
        <v>63</v>
      </c>
      <c r="V1508" s="37" t="s">
        <v>63</v>
      </c>
      <c r="W1508" s="37" t="s">
        <v>63</v>
      </c>
      <c r="X1508" s="37" t="s">
        <v>63</v>
      </c>
      <c r="Y1508" s="53">
        <v>39.0</v>
      </c>
      <c r="Z1508" s="69" t="s">
        <v>63</v>
      </c>
      <c r="AA1508" s="73"/>
      <c r="AB1508" s="73"/>
      <c r="AC1508" s="73"/>
      <c r="AD1508" s="73"/>
      <c r="AE1508" s="73"/>
      <c r="AF1508" s="73"/>
      <c r="AG1508" s="73"/>
      <c r="AH1508" s="73"/>
      <c r="AI1508" s="73"/>
      <c r="AJ1508" s="73"/>
      <c r="AK1508" s="73"/>
    </row>
    <row r="1509">
      <c r="A1509" s="28">
        <v>1508.0</v>
      </c>
      <c r="B1509" s="29"/>
      <c r="C1509" s="29"/>
      <c r="D1509" s="40">
        <v>1.0</v>
      </c>
      <c r="E1509" s="31">
        <v>28.0</v>
      </c>
      <c r="F1509" s="42">
        <v>161.0</v>
      </c>
      <c r="G1509" s="29" t="str">
        <f t="shared" si="1"/>
        <v>28161</v>
      </c>
      <c r="H1509" s="37" t="s">
        <v>1390</v>
      </c>
      <c r="I1509" s="37" t="s">
        <v>67</v>
      </c>
      <c r="J1509" s="37" t="s">
        <v>1357</v>
      </c>
      <c r="K1509" s="37" t="str">
        <f t="shared" si="25"/>
        <v>Yalobusha, MS</v>
      </c>
      <c r="L1509" s="37">
        <v>8.0</v>
      </c>
      <c r="M1509" s="37" t="s">
        <v>63</v>
      </c>
      <c r="N1509" s="37">
        <v>5.0</v>
      </c>
      <c r="O1509" s="37">
        <v>3.0</v>
      </c>
      <c r="P1509" s="37" t="s">
        <v>63</v>
      </c>
      <c r="Q1509" s="37" t="s">
        <v>63</v>
      </c>
      <c r="R1509" s="37">
        <v>0.0</v>
      </c>
      <c r="S1509" s="37" t="s">
        <v>63</v>
      </c>
      <c r="T1509" s="69" t="s">
        <v>2092</v>
      </c>
      <c r="U1509" s="37" t="s">
        <v>63</v>
      </c>
      <c r="V1509" s="37" t="s">
        <v>63</v>
      </c>
      <c r="W1509" s="37" t="s">
        <v>63</v>
      </c>
      <c r="X1509" s="37" t="s">
        <v>63</v>
      </c>
      <c r="Y1509" s="53">
        <v>25.0</v>
      </c>
      <c r="Z1509" s="69" t="s">
        <v>63</v>
      </c>
      <c r="AA1509" s="73"/>
      <c r="AB1509" s="73"/>
      <c r="AC1509" s="73"/>
      <c r="AD1509" s="73"/>
      <c r="AE1509" s="73"/>
      <c r="AF1509" s="73"/>
      <c r="AG1509" s="73"/>
      <c r="AH1509" s="73"/>
      <c r="AI1509" s="73"/>
      <c r="AJ1509" s="73"/>
      <c r="AK1509" s="73"/>
    </row>
    <row r="1510">
      <c r="A1510" s="28">
        <v>1509.0</v>
      </c>
      <c r="B1510" s="29"/>
      <c r="C1510" s="29"/>
      <c r="D1510" s="40">
        <v>1.0</v>
      </c>
      <c r="E1510" s="31">
        <v>28.0</v>
      </c>
      <c r="F1510" s="42">
        <v>163.0</v>
      </c>
      <c r="G1510" s="29" t="str">
        <f t="shared" si="1"/>
        <v>28163</v>
      </c>
      <c r="H1510" s="37" t="s">
        <v>1391</v>
      </c>
      <c r="I1510" s="37" t="s">
        <v>67</v>
      </c>
      <c r="J1510" s="37" t="s">
        <v>1357</v>
      </c>
      <c r="K1510" s="37" t="str">
        <f t="shared" si="25"/>
        <v>Yazoo, MS</v>
      </c>
      <c r="L1510" s="37">
        <v>24.0</v>
      </c>
      <c r="M1510" s="37" t="s">
        <v>63</v>
      </c>
      <c r="N1510" s="37">
        <v>10.0</v>
      </c>
      <c r="O1510" s="37">
        <v>6.0</v>
      </c>
      <c r="P1510" s="37" t="s">
        <v>63</v>
      </c>
      <c r="Q1510" s="37" t="s">
        <v>63</v>
      </c>
      <c r="R1510" s="37">
        <v>14.0</v>
      </c>
      <c r="S1510" s="37" t="s">
        <v>63</v>
      </c>
      <c r="T1510" s="69" t="s">
        <v>1948</v>
      </c>
      <c r="U1510" s="37" t="s">
        <v>63</v>
      </c>
      <c r="V1510" s="37" t="s">
        <v>63</v>
      </c>
      <c r="W1510" s="37" t="s">
        <v>63</v>
      </c>
      <c r="X1510" s="37" t="s">
        <v>63</v>
      </c>
      <c r="Y1510" s="53">
        <v>44.0</v>
      </c>
      <c r="Z1510" s="69" t="s">
        <v>63</v>
      </c>
      <c r="AA1510" s="73"/>
      <c r="AB1510" s="73"/>
      <c r="AC1510" s="73"/>
      <c r="AD1510" s="73"/>
      <c r="AE1510" s="73"/>
      <c r="AF1510" s="73"/>
      <c r="AG1510" s="73"/>
      <c r="AH1510" s="73"/>
      <c r="AI1510" s="73"/>
      <c r="AJ1510" s="73"/>
      <c r="AK1510" s="73"/>
    </row>
    <row r="1511">
      <c r="A1511" s="99">
        <v>1510.0</v>
      </c>
      <c r="B1511" s="15"/>
      <c r="C1511" s="14" t="s">
        <v>25</v>
      </c>
      <c r="D1511" s="16"/>
      <c r="E1511" s="102">
        <v>29.0</v>
      </c>
      <c r="F1511" s="107">
        <v>0.0</v>
      </c>
      <c r="G1511" s="15" t="str">
        <f t="shared" si="1"/>
        <v>29000</v>
      </c>
      <c r="H1511" s="23"/>
      <c r="I1511" s="23" t="s">
        <v>73</v>
      </c>
      <c r="J1511" s="23" t="s">
        <v>410</v>
      </c>
      <c r="K1511" s="23"/>
      <c r="L1511" s="123">
        <f t="array" ref="L1511:Z1511">Missouri!C119:Q119</f>
        <v>20247</v>
      </c>
      <c r="M1511" s="23" t="s">
        <v>63</v>
      </c>
      <c r="N1511" s="23" t="s">
        <v>63</v>
      </c>
      <c r="O1511" s="23" t="s">
        <v>63</v>
      </c>
      <c r="P1511" s="23" t="s">
        <v>63</v>
      </c>
      <c r="Q1511" s="35">
        <v>4567.0</v>
      </c>
      <c r="R1511" s="123">
        <v>906.0</v>
      </c>
      <c r="S1511" s="23" t="s">
        <v>63</v>
      </c>
      <c r="T1511" s="32" t="s">
        <v>63</v>
      </c>
      <c r="U1511" s="123">
        <v>5527.0</v>
      </c>
      <c r="V1511" s="23"/>
      <c r="W1511" s="23"/>
      <c r="X1511" s="23"/>
      <c r="Y1511" s="35">
        <v>6096.0</v>
      </c>
      <c r="Z1511" s="32" t="s">
        <v>63</v>
      </c>
      <c r="AA1511" s="38"/>
      <c r="AB1511" s="38"/>
      <c r="AC1511" s="38"/>
      <c r="AD1511" s="38"/>
      <c r="AE1511" s="38"/>
      <c r="AF1511" s="38"/>
      <c r="AG1511" s="38"/>
      <c r="AH1511" s="38"/>
      <c r="AI1511" s="38"/>
      <c r="AJ1511" s="38"/>
      <c r="AK1511" s="38"/>
    </row>
    <row r="1512">
      <c r="A1512" s="99">
        <v>1511.0</v>
      </c>
      <c r="B1512" s="15"/>
      <c r="C1512" s="15"/>
      <c r="D1512" s="105">
        <v>1.0</v>
      </c>
      <c r="E1512" s="102">
        <v>29.0</v>
      </c>
      <c r="F1512" s="107">
        <v>1.0</v>
      </c>
      <c r="G1512" s="15" t="str">
        <f t="shared" si="1"/>
        <v>29001</v>
      </c>
      <c r="H1512" s="23" t="s">
        <v>882</v>
      </c>
      <c r="I1512" s="23" t="s">
        <v>73</v>
      </c>
      <c r="J1512" s="23" t="s">
        <v>410</v>
      </c>
      <c r="K1512" s="23" t="str">
        <f t="shared" ref="K1512:K1626" si="26">CONCATENATE(H1512,", ",J1512)</f>
        <v>Adair, MO</v>
      </c>
      <c r="L1512" s="23">
        <f t="array" ref="L1512:Z1626">Missouri!C3:Q117</f>
        <v>157</v>
      </c>
      <c r="M1512" s="23" t="s">
        <v>63</v>
      </c>
      <c r="N1512" s="23" t="s">
        <v>63</v>
      </c>
      <c r="O1512" s="23" t="s">
        <v>63</v>
      </c>
      <c r="P1512" s="23" t="s">
        <v>63</v>
      </c>
      <c r="Q1512" s="23" t="s">
        <v>63</v>
      </c>
      <c r="R1512" s="23">
        <v>5.0</v>
      </c>
      <c r="S1512" s="23" t="s">
        <v>63</v>
      </c>
      <c r="T1512" s="32" t="s">
        <v>63</v>
      </c>
      <c r="U1512" s="123">
        <v>26.0</v>
      </c>
      <c r="V1512" s="23" t="s">
        <v>63</v>
      </c>
      <c r="W1512" s="23" t="s">
        <v>63</v>
      </c>
      <c r="X1512" s="23" t="s">
        <v>63</v>
      </c>
      <c r="Y1512" s="35">
        <v>36.0</v>
      </c>
      <c r="Z1512" s="32" t="s">
        <v>63</v>
      </c>
      <c r="AA1512" s="38"/>
      <c r="AB1512" s="38"/>
      <c r="AC1512" s="38"/>
      <c r="AD1512" s="38"/>
      <c r="AE1512" s="38"/>
      <c r="AF1512" s="38"/>
      <c r="AG1512" s="38"/>
      <c r="AH1512" s="38"/>
      <c r="AI1512" s="38"/>
      <c r="AJ1512" s="38"/>
      <c r="AK1512" s="38"/>
    </row>
    <row r="1513">
      <c r="A1513" s="99">
        <v>1512.0</v>
      </c>
      <c r="B1513" s="15"/>
      <c r="C1513" s="15"/>
      <c r="D1513" s="105">
        <v>1.0</v>
      </c>
      <c r="E1513" s="102">
        <v>29.0</v>
      </c>
      <c r="F1513" s="107">
        <v>3.0</v>
      </c>
      <c r="G1513" s="15" t="str">
        <f t="shared" si="1"/>
        <v>29003</v>
      </c>
      <c r="H1513" s="23" t="s">
        <v>1392</v>
      </c>
      <c r="I1513" s="23" t="s">
        <v>73</v>
      </c>
      <c r="J1513" s="23" t="s">
        <v>410</v>
      </c>
      <c r="K1513" s="23" t="str">
        <f t="shared" si="26"/>
        <v>Andrew, MO</v>
      </c>
      <c r="L1513" s="23">
        <v>7.0</v>
      </c>
      <c r="M1513" s="23" t="s">
        <v>63</v>
      </c>
      <c r="N1513" s="23" t="s">
        <v>63</v>
      </c>
      <c r="O1513" s="23" t="s">
        <v>63</v>
      </c>
      <c r="P1513" s="23" t="s">
        <v>63</v>
      </c>
      <c r="Q1513" s="23" t="s">
        <v>63</v>
      </c>
      <c r="R1513" s="23">
        <v>0.0</v>
      </c>
      <c r="S1513" s="23" t="s">
        <v>63</v>
      </c>
      <c r="T1513" s="32" t="s">
        <v>63</v>
      </c>
      <c r="U1513" s="123">
        <v>9.0</v>
      </c>
      <c r="V1513" s="23" t="s">
        <v>63</v>
      </c>
      <c r="W1513" s="23" t="s">
        <v>63</v>
      </c>
      <c r="X1513" s="23" t="s">
        <v>63</v>
      </c>
      <c r="Y1513" s="35">
        <v>11.0</v>
      </c>
      <c r="Z1513" s="32" t="s">
        <v>63</v>
      </c>
      <c r="AA1513" s="38"/>
      <c r="AB1513" s="38"/>
      <c r="AC1513" s="38"/>
      <c r="AD1513" s="38"/>
      <c r="AE1513" s="38"/>
      <c r="AF1513" s="38"/>
      <c r="AG1513" s="38"/>
      <c r="AH1513" s="38"/>
      <c r="AI1513" s="38"/>
      <c r="AJ1513" s="38"/>
      <c r="AK1513" s="38"/>
    </row>
    <row r="1514">
      <c r="A1514" s="99">
        <v>1513.0</v>
      </c>
      <c r="B1514" s="15"/>
      <c r="C1514" s="15"/>
      <c r="D1514" s="105">
        <v>1.0</v>
      </c>
      <c r="E1514" s="102">
        <v>29.0</v>
      </c>
      <c r="F1514" s="107">
        <v>5.0</v>
      </c>
      <c r="G1514" s="15" t="str">
        <f t="shared" si="1"/>
        <v>29005</v>
      </c>
      <c r="H1514" s="23" t="s">
        <v>955</v>
      </c>
      <c r="I1514" s="23" t="s">
        <v>73</v>
      </c>
      <c r="J1514" s="23" t="s">
        <v>410</v>
      </c>
      <c r="K1514" s="23" t="str">
        <f t="shared" si="26"/>
        <v>Atchison, MO</v>
      </c>
      <c r="L1514" s="23">
        <v>16.0</v>
      </c>
      <c r="M1514" s="23" t="s">
        <v>63</v>
      </c>
      <c r="N1514" s="23" t="s">
        <v>63</v>
      </c>
      <c r="O1514" s="23" t="s">
        <v>63</v>
      </c>
      <c r="P1514" s="23" t="s">
        <v>63</v>
      </c>
      <c r="Q1514" s="23" t="s">
        <v>63</v>
      </c>
      <c r="R1514" s="23">
        <v>2.0</v>
      </c>
      <c r="S1514" s="23" t="s">
        <v>63</v>
      </c>
      <c r="T1514" s="32" t="s">
        <v>63</v>
      </c>
      <c r="U1514" s="123">
        <v>7.0</v>
      </c>
      <c r="V1514" s="23" t="s">
        <v>63</v>
      </c>
      <c r="W1514" s="23" t="s">
        <v>63</v>
      </c>
      <c r="X1514" s="23" t="s">
        <v>63</v>
      </c>
      <c r="Y1514" s="35">
        <v>16.0</v>
      </c>
      <c r="Z1514" s="32" t="s">
        <v>63</v>
      </c>
      <c r="AA1514" s="38"/>
      <c r="AB1514" s="38"/>
      <c r="AC1514" s="38"/>
      <c r="AD1514" s="38"/>
      <c r="AE1514" s="38"/>
      <c r="AF1514" s="38"/>
      <c r="AG1514" s="38"/>
      <c r="AH1514" s="38"/>
      <c r="AI1514" s="38"/>
      <c r="AJ1514" s="38"/>
      <c r="AK1514" s="38"/>
    </row>
    <row r="1515">
      <c r="A1515" s="99">
        <v>1514.0</v>
      </c>
      <c r="B1515" s="15"/>
      <c r="C1515" s="15"/>
      <c r="D1515" s="105">
        <v>1.0</v>
      </c>
      <c r="E1515" s="102">
        <v>29.0</v>
      </c>
      <c r="F1515" s="107">
        <v>7.0</v>
      </c>
      <c r="G1515" s="15" t="str">
        <f t="shared" si="1"/>
        <v>29007</v>
      </c>
      <c r="H1515" s="23" t="s">
        <v>1393</v>
      </c>
      <c r="I1515" s="23" t="s">
        <v>73</v>
      </c>
      <c r="J1515" s="23" t="s">
        <v>410</v>
      </c>
      <c r="K1515" s="23" t="str">
        <f t="shared" si="26"/>
        <v>Audrain, MO</v>
      </c>
      <c r="L1515" s="23">
        <v>116.0</v>
      </c>
      <c r="M1515" s="23" t="s">
        <v>63</v>
      </c>
      <c r="N1515" s="23" t="s">
        <v>63</v>
      </c>
      <c r="O1515" s="23" t="s">
        <v>63</v>
      </c>
      <c r="P1515" s="23" t="s">
        <v>63</v>
      </c>
      <c r="Q1515" s="23" t="s">
        <v>63</v>
      </c>
      <c r="R1515" s="23">
        <v>9.0</v>
      </c>
      <c r="S1515" s="23" t="s">
        <v>63</v>
      </c>
      <c r="T1515" s="32" t="s">
        <v>63</v>
      </c>
      <c r="U1515" s="123">
        <v>24.0</v>
      </c>
      <c r="V1515" s="23" t="s">
        <v>63</v>
      </c>
      <c r="W1515" s="23" t="s">
        <v>63</v>
      </c>
      <c r="X1515" s="23" t="s">
        <v>63</v>
      </c>
      <c r="Y1515" s="35">
        <v>38.0</v>
      </c>
      <c r="Z1515" s="32" t="s">
        <v>63</v>
      </c>
      <c r="AA1515" s="38"/>
      <c r="AB1515" s="38"/>
      <c r="AC1515" s="38"/>
      <c r="AD1515" s="38"/>
      <c r="AE1515" s="38"/>
      <c r="AF1515" s="38"/>
      <c r="AG1515" s="38"/>
      <c r="AH1515" s="38"/>
      <c r="AI1515" s="38"/>
      <c r="AJ1515" s="38"/>
      <c r="AK1515" s="38"/>
    </row>
    <row r="1516">
      <c r="A1516" s="99">
        <v>1515.0</v>
      </c>
      <c r="B1516" s="15"/>
      <c r="C1516" s="15"/>
      <c r="D1516" s="105">
        <v>1.0</v>
      </c>
      <c r="E1516" s="102">
        <v>29.0</v>
      </c>
      <c r="F1516" s="107">
        <v>9.0</v>
      </c>
      <c r="G1516" s="15" t="str">
        <f t="shared" si="1"/>
        <v>29009</v>
      </c>
      <c r="H1516" s="23" t="s">
        <v>1240</v>
      </c>
      <c r="I1516" s="23" t="s">
        <v>73</v>
      </c>
      <c r="J1516" s="23" t="s">
        <v>410</v>
      </c>
      <c r="K1516" s="23" t="str">
        <f t="shared" si="26"/>
        <v>Barry, MO</v>
      </c>
      <c r="L1516" s="23">
        <v>186.0</v>
      </c>
      <c r="M1516" s="23" t="s">
        <v>63</v>
      </c>
      <c r="N1516" s="23" t="s">
        <v>63</v>
      </c>
      <c r="O1516" s="23" t="s">
        <v>63</v>
      </c>
      <c r="P1516" s="23" t="s">
        <v>63</v>
      </c>
      <c r="Q1516" s="23" t="s">
        <v>63</v>
      </c>
      <c r="R1516" s="23">
        <v>14.0</v>
      </c>
      <c r="S1516" s="23" t="s">
        <v>63</v>
      </c>
      <c r="T1516" s="32" t="s">
        <v>63</v>
      </c>
      <c r="U1516" s="123">
        <v>31.0</v>
      </c>
      <c r="V1516" s="23" t="s">
        <v>63</v>
      </c>
      <c r="W1516" s="23" t="s">
        <v>63</v>
      </c>
      <c r="X1516" s="23" t="s">
        <v>63</v>
      </c>
      <c r="Y1516" s="35">
        <v>70.0</v>
      </c>
      <c r="Z1516" s="32" t="s">
        <v>63</v>
      </c>
      <c r="AA1516" s="38"/>
      <c r="AB1516" s="38"/>
      <c r="AC1516" s="38"/>
      <c r="AD1516" s="38"/>
      <c r="AE1516" s="38"/>
      <c r="AF1516" s="38"/>
      <c r="AG1516" s="38"/>
      <c r="AH1516" s="38"/>
      <c r="AI1516" s="38"/>
      <c r="AJ1516" s="38"/>
      <c r="AK1516" s="38"/>
    </row>
    <row r="1517">
      <c r="A1517" s="99">
        <v>1516.0</v>
      </c>
      <c r="B1517" s="15"/>
      <c r="C1517" s="15"/>
      <c r="D1517" s="105">
        <v>1.0</v>
      </c>
      <c r="E1517" s="102">
        <v>29.0</v>
      </c>
      <c r="F1517" s="107">
        <v>11.0</v>
      </c>
      <c r="G1517" s="15" t="str">
        <f t="shared" si="1"/>
        <v>29011</v>
      </c>
      <c r="H1517" s="23" t="s">
        <v>958</v>
      </c>
      <c r="I1517" s="23" t="s">
        <v>73</v>
      </c>
      <c r="J1517" s="23" t="s">
        <v>410</v>
      </c>
      <c r="K1517" s="23" t="str">
        <f t="shared" si="26"/>
        <v>Barton, MO</v>
      </c>
      <c r="L1517" s="23">
        <v>46.0</v>
      </c>
      <c r="M1517" s="23" t="s">
        <v>63</v>
      </c>
      <c r="N1517" s="23" t="s">
        <v>63</v>
      </c>
      <c r="O1517" s="23" t="s">
        <v>63</v>
      </c>
      <c r="P1517" s="23" t="s">
        <v>63</v>
      </c>
      <c r="Q1517" s="23" t="s">
        <v>63</v>
      </c>
      <c r="R1517" s="23">
        <v>5.0</v>
      </c>
      <c r="S1517" s="23" t="s">
        <v>63</v>
      </c>
      <c r="T1517" s="32" t="s">
        <v>63</v>
      </c>
      <c r="U1517" s="123">
        <v>18.0</v>
      </c>
      <c r="V1517" s="23" t="s">
        <v>63</v>
      </c>
      <c r="W1517" s="23" t="s">
        <v>63</v>
      </c>
      <c r="X1517" s="23" t="s">
        <v>63</v>
      </c>
      <c r="Y1517" s="35">
        <v>25.0</v>
      </c>
      <c r="Z1517" s="32" t="s">
        <v>63</v>
      </c>
      <c r="AA1517" s="38"/>
      <c r="AB1517" s="38"/>
      <c r="AC1517" s="38"/>
      <c r="AD1517" s="38"/>
      <c r="AE1517" s="38"/>
      <c r="AF1517" s="38"/>
      <c r="AG1517" s="38"/>
      <c r="AH1517" s="38"/>
      <c r="AI1517" s="38"/>
      <c r="AJ1517" s="38"/>
      <c r="AK1517" s="38"/>
    </row>
    <row r="1518">
      <c r="A1518" s="99">
        <v>1517.0</v>
      </c>
      <c r="B1518" s="15"/>
      <c r="C1518" s="15"/>
      <c r="D1518" s="105">
        <v>1.0</v>
      </c>
      <c r="E1518" s="102">
        <v>29.0</v>
      </c>
      <c r="F1518" s="107">
        <v>13.0</v>
      </c>
      <c r="G1518" s="15" t="str">
        <f t="shared" si="1"/>
        <v>29013</v>
      </c>
      <c r="H1518" s="23" t="s">
        <v>1394</v>
      </c>
      <c r="I1518" s="23" t="s">
        <v>73</v>
      </c>
      <c r="J1518" s="23" t="s">
        <v>410</v>
      </c>
      <c r="K1518" s="23" t="str">
        <f t="shared" si="26"/>
        <v>Bates, MO</v>
      </c>
      <c r="L1518" s="23">
        <v>29.0</v>
      </c>
      <c r="M1518" s="23" t="s">
        <v>63</v>
      </c>
      <c r="N1518" s="23" t="s">
        <v>63</v>
      </c>
      <c r="O1518" s="23" t="s">
        <v>63</v>
      </c>
      <c r="P1518" s="23" t="s">
        <v>63</v>
      </c>
      <c r="Q1518" s="23" t="s">
        <v>63</v>
      </c>
      <c r="R1518" s="23">
        <v>1.0</v>
      </c>
      <c r="S1518" s="23" t="s">
        <v>63</v>
      </c>
      <c r="T1518" s="32" t="s">
        <v>63</v>
      </c>
      <c r="U1518" s="123">
        <v>23.0</v>
      </c>
      <c r="V1518" s="23" t="s">
        <v>63</v>
      </c>
      <c r="W1518" s="23" t="s">
        <v>63</v>
      </c>
      <c r="X1518" s="23" t="s">
        <v>63</v>
      </c>
      <c r="Y1518" s="35">
        <v>34.0</v>
      </c>
      <c r="Z1518" s="32" t="s">
        <v>63</v>
      </c>
      <c r="AA1518" s="38"/>
      <c r="AB1518" s="38"/>
      <c r="AC1518" s="38"/>
      <c r="AD1518" s="38"/>
      <c r="AE1518" s="38"/>
      <c r="AF1518" s="38"/>
      <c r="AG1518" s="38"/>
      <c r="AH1518" s="38"/>
      <c r="AI1518" s="38"/>
      <c r="AJ1518" s="38"/>
      <c r="AK1518" s="38"/>
    </row>
    <row r="1519">
      <c r="A1519" s="99">
        <v>1518.0</v>
      </c>
      <c r="B1519" s="15"/>
      <c r="C1519" s="15"/>
      <c r="D1519" s="105">
        <v>1.0</v>
      </c>
      <c r="E1519" s="102">
        <v>29.0</v>
      </c>
      <c r="F1519" s="107">
        <v>15.0</v>
      </c>
      <c r="G1519" s="15" t="str">
        <f t="shared" si="1"/>
        <v>29015</v>
      </c>
      <c r="H1519" s="23" t="s">
        <v>243</v>
      </c>
      <c r="I1519" s="23" t="s">
        <v>73</v>
      </c>
      <c r="J1519" s="23" t="s">
        <v>410</v>
      </c>
      <c r="K1519" s="23" t="str">
        <f t="shared" si="26"/>
        <v>Benton, MO</v>
      </c>
      <c r="L1519" s="23">
        <v>33.0</v>
      </c>
      <c r="M1519" s="23" t="s">
        <v>63</v>
      </c>
      <c r="N1519" s="23" t="s">
        <v>63</v>
      </c>
      <c r="O1519" s="23" t="s">
        <v>63</v>
      </c>
      <c r="P1519" s="23" t="s">
        <v>63</v>
      </c>
      <c r="Q1519" s="23" t="s">
        <v>63</v>
      </c>
      <c r="R1519" s="23">
        <v>0.0</v>
      </c>
      <c r="S1519" s="23" t="s">
        <v>63</v>
      </c>
      <c r="T1519" s="32" t="s">
        <v>63</v>
      </c>
      <c r="U1519" s="123">
        <v>20.0</v>
      </c>
      <c r="V1519" s="23" t="s">
        <v>63</v>
      </c>
      <c r="W1519" s="23" t="s">
        <v>63</v>
      </c>
      <c r="X1519" s="23" t="s">
        <v>63</v>
      </c>
      <c r="Y1519" s="35">
        <v>27.0</v>
      </c>
      <c r="Z1519" s="32" t="s">
        <v>63</v>
      </c>
      <c r="AA1519" s="38"/>
      <c r="AB1519" s="38"/>
      <c r="AC1519" s="38"/>
      <c r="AD1519" s="38"/>
      <c r="AE1519" s="38"/>
      <c r="AF1519" s="38"/>
      <c r="AG1519" s="38"/>
      <c r="AH1519" s="38"/>
      <c r="AI1519" s="38"/>
      <c r="AJ1519" s="38"/>
      <c r="AK1519" s="38"/>
    </row>
    <row r="1520">
      <c r="A1520" s="99">
        <v>1519.0</v>
      </c>
      <c r="B1520" s="15"/>
      <c r="C1520" s="15"/>
      <c r="D1520" s="105">
        <v>1.0</v>
      </c>
      <c r="E1520" s="102">
        <v>29.0</v>
      </c>
      <c r="F1520" s="107">
        <v>17.0</v>
      </c>
      <c r="G1520" s="15" t="str">
        <f t="shared" si="1"/>
        <v>29017</v>
      </c>
      <c r="H1520" s="23" t="s">
        <v>1395</v>
      </c>
      <c r="I1520" s="23" t="s">
        <v>73</v>
      </c>
      <c r="J1520" s="23" t="s">
        <v>410</v>
      </c>
      <c r="K1520" s="23" t="str">
        <f t="shared" si="26"/>
        <v>Bollinger, MO</v>
      </c>
      <c r="L1520" s="23">
        <v>72.0</v>
      </c>
      <c r="M1520" s="23" t="s">
        <v>63</v>
      </c>
      <c r="N1520" s="23" t="s">
        <v>63</v>
      </c>
      <c r="O1520" s="23" t="s">
        <v>63</v>
      </c>
      <c r="P1520" s="23" t="s">
        <v>63</v>
      </c>
      <c r="Q1520" s="23" t="s">
        <v>63</v>
      </c>
      <c r="R1520" s="23">
        <v>3.0</v>
      </c>
      <c r="S1520" s="23" t="s">
        <v>63</v>
      </c>
      <c r="T1520" s="32" t="s">
        <v>63</v>
      </c>
      <c r="U1520" s="123">
        <v>26.0</v>
      </c>
      <c r="V1520" s="23" t="s">
        <v>63</v>
      </c>
      <c r="W1520" s="23" t="s">
        <v>63</v>
      </c>
      <c r="X1520" s="23" t="s">
        <v>63</v>
      </c>
      <c r="Y1520" s="35">
        <v>13.0</v>
      </c>
      <c r="Z1520" s="32" t="s">
        <v>63</v>
      </c>
      <c r="AA1520" s="38"/>
      <c r="AB1520" s="38"/>
      <c r="AC1520" s="38"/>
      <c r="AD1520" s="38"/>
      <c r="AE1520" s="38"/>
      <c r="AF1520" s="38"/>
      <c r="AG1520" s="38"/>
      <c r="AH1520" s="38"/>
      <c r="AI1520" s="38"/>
      <c r="AJ1520" s="38"/>
      <c r="AK1520" s="38"/>
    </row>
    <row r="1521">
      <c r="A1521" s="99">
        <v>1520.0</v>
      </c>
      <c r="B1521" s="15"/>
      <c r="C1521" s="15"/>
      <c r="D1521" s="105">
        <v>1.0</v>
      </c>
      <c r="E1521" s="102">
        <v>29.0</v>
      </c>
      <c r="F1521" s="107">
        <v>19.0</v>
      </c>
      <c r="G1521" s="15" t="str">
        <f t="shared" si="1"/>
        <v>29019</v>
      </c>
      <c r="H1521" s="23" t="s">
        <v>246</v>
      </c>
      <c r="I1521" s="23" t="s">
        <v>73</v>
      </c>
      <c r="J1521" s="23" t="s">
        <v>410</v>
      </c>
      <c r="K1521" s="23" t="str">
        <f t="shared" si="26"/>
        <v>Boone, MO</v>
      </c>
      <c r="L1521" s="23">
        <v>499.0</v>
      </c>
      <c r="M1521" s="23" t="s">
        <v>63</v>
      </c>
      <c r="N1521" s="23" t="s">
        <v>63</v>
      </c>
      <c r="O1521" s="23" t="s">
        <v>63</v>
      </c>
      <c r="P1521" s="23" t="s">
        <v>63</v>
      </c>
      <c r="Q1521" s="23" t="s">
        <v>63</v>
      </c>
      <c r="R1521" s="23">
        <v>4.0</v>
      </c>
      <c r="S1521" s="23" t="s">
        <v>63</v>
      </c>
      <c r="T1521" s="32" t="s">
        <v>63</v>
      </c>
      <c r="U1521" s="123">
        <v>190.0</v>
      </c>
      <c r="V1521" s="23" t="s">
        <v>63</v>
      </c>
      <c r="W1521" s="23" t="s">
        <v>63</v>
      </c>
      <c r="X1521" s="23" t="s">
        <v>63</v>
      </c>
      <c r="Y1521" s="35">
        <v>128.0</v>
      </c>
      <c r="Z1521" s="32" t="s">
        <v>63</v>
      </c>
      <c r="AA1521" s="38"/>
      <c r="AB1521" s="38"/>
      <c r="AC1521" s="38"/>
      <c r="AD1521" s="38"/>
      <c r="AE1521" s="38"/>
      <c r="AF1521" s="38"/>
      <c r="AG1521" s="38"/>
      <c r="AH1521" s="38"/>
      <c r="AI1521" s="38"/>
      <c r="AJ1521" s="38"/>
      <c r="AK1521" s="38"/>
    </row>
    <row r="1522">
      <c r="A1522" s="99">
        <v>1521.0</v>
      </c>
      <c r="B1522" s="15"/>
      <c r="C1522" s="15"/>
      <c r="D1522" s="105">
        <v>1.0</v>
      </c>
      <c r="E1522" s="102">
        <v>29.0</v>
      </c>
      <c r="F1522" s="107">
        <v>21.0</v>
      </c>
      <c r="G1522" s="15" t="str">
        <f t="shared" si="1"/>
        <v>29021</v>
      </c>
      <c r="H1522" s="23" t="s">
        <v>892</v>
      </c>
      <c r="I1522" s="23" t="s">
        <v>73</v>
      </c>
      <c r="J1522" s="23" t="s">
        <v>410</v>
      </c>
      <c r="K1522" s="23" t="str">
        <f t="shared" si="26"/>
        <v>Buchanan, MO</v>
      </c>
      <c r="L1522" s="23">
        <v>152.0</v>
      </c>
      <c r="M1522" s="23" t="s">
        <v>63</v>
      </c>
      <c r="N1522" s="23" t="s">
        <v>63</v>
      </c>
      <c r="O1522" s="23" t="s">
        <v>63</v>
      </c>
      <c r="P1522" s="23" t="s">
        <v>63</v>
      </c>
      <c r="Q1522" s="23" t="s">
        <v>63</v>
      </c>
      <c r="R1522" s="23">
        <v>16.0</v>
      </c>
      <c r="S1522" s="23" t="s">
        <v>63</v>
      </c>
      <c r="T1522" s="32" t="s">
        <v>63</v>
      </c>
      <c r="U1522" s="123">
        <v>127.0</v>
      </c>
      <c r="V1522" s="23" t="s">
        <v>63</v>
      </c>
      <c r="W1522" s="23" t="s">
        <v>63</v>
      </c>
      <c r="X1522" s="23" t="s">
        <v>63</v>
      </c>
      <c r="Y1522" s="35">
        <v>92.0</v>
      </c>
      <c r="Z1522" s="32" t="s">
        <v>63</v>
      </c>
      <c r="AA1522" s="38"/>
      <c r="AB1522" s="38"/>
      <c r="AC1522" s="38"/>
      <c r="AD1522" s="38"/>
      <c r="AE1522" s="38"/>
      <c r="AF1522" s="38"/>
      <c r="AG1522" s="38"/>
      <c r="AH1522" s="38"/>
      <c r="AI1522" s="38"/>
      <c r="AJ1522" s="38"/>
      <c r="AK1522" s="38"/>
    </row>
    <row r="1523">
      <c r="A1523" s="99">
        <v>1522.0</v>
      </c>
      <c r="B1523" s="15"/>
      <c r="C1523" s="15"/>
      <c r="D1523" s="105">
        <v>1.0</v>
      </c>
      <c r="E1523" s="102">
        <v>29.0</v>
      </c>
      <c r="F1523" s="107">
        <v>23.0</v>
      </c>
      <c r="G1523" s="15" t="str">
        <f t="shared" si="1"/>
        <v>29023</v>
      </c>
      <c r="H1523" s="23" t="s">
        <v>87</v>
      </c>
      <c r="I1523" s="23" t="s">
        <v>73</v>
      </c>
      <c r="J1523" s="23" t="s">
        <v>410</v>
      </c>
      <c r="K1523" s="23" t="str">
        <f t="shared" si="26"/>
        <v>Butler, MO</v>
      </c>
      <c r="L1523" s="23">
        <v>275.0</v>
      </c>
      <c r="M1523" s="23" t="s">
        <v>63</v>
      </c>
      <c r="N1523" s="23" t="s">
        <v>63</v>
      </c>
      <c r="O1523" s="23" t="s">
        <v>63</v>
      </c>
      <c r="P1523" s="23" t="s">
        <v>63</v>
      </c>
      <c r="Q1523" s="23" t="s">
        <v>63</v>
      </c>
      <c r="R1523" s="23">
        <v>16.0</v>
      </c>
      <c r="S1523" s="23" t="s">
        <v>63</v>
      </c>
      <c r="T1523" s="32" t="s">
        <v>63</v>
      </c>
      <c r="U1523" s="123">
        <v>107.0</v>
      </c>
      <c r="V1523" s="23" t="s">
        <v>63</v>
      </c>
      <c r="W1523" s="23" t="s">
        <v>63</v>
      </c>
      <c r="X1523" s="23" t="s">
        <v>63</v>
      </c>
      <c r="Y1523" s="35">
        <v>50.0</v>
      </c>
      <c r="Z1523" s="32" t="s">
        <v>63</v>
      </c>
      <c r="AA1523" s="38"/>
      <c r="AB1523" s="38"/>
      <c r="AC1523" s="38"/>
      <c r="AD1523" s="38"/>
      <c r="AE1523" s="38"/>
      <c r="AF1523" s="38"/>
      <c r="AG1523" s="38"/>
      <c r="AH1523" s="38"/>
      <c r="AI1523" s="38"/>
      <c r="AJ1523" s="38"/>
      <c r="AK1523" s="38"/>
    </row>
    <row r="1524">
      <c r="A1524" s="99">
        <v>1523.0</v>
      </c>
      <c r="B1524" s="15"/>
      <c r="C1524" s="15"/>
      <c r="D1524" s="105">
        <v>1.0</v>
      </c>
      <c r="E1524" s="102">
        <v>29.0</v>
      </c>
      <c r="F1524" s="107">
        <v>25.0</v>
      </c>
      <c r="G1524" s="15" t="str">
        <f t="shared" si="1"/>
        <v>29025</v>
      </c>
      <c r="H1524" s="23" t="s">
        <v>1034</v>
      </c>
      <c r="I1524" s="23" t="s">
        <v>73</v>
      </c>
      <c r="J1524" s="23" t="s">
        <v>410</v>
      </c>
      <c r="K1524" s="23" t="str">
        <f t="shared" si="26"/>
        <v>Caldwell, MO</v>
      </c>
      <c r="L1524" s="23">
        <v>17.0</v>
      </c>
      <c r="M1524" s="23" t="s">
        <v>63</v>
      </c>
      <c r="N1524" s="23" t="s">
        <v>63</v>
      </c>
      <c r="O1524" s="23" t="s">
        <v>63</v>
      </c>
      <c r="P1524" s="23" t="s">
        <v>63</v>
      </c>
      <c r="Q1524" s="23" t="s">
        <v>63</v>
      </c>
      <c r="R1524" s="23">
        <v>0.0</v>
      </c>
      <c r="S1524" s="23" t="s">
        <v>63</v>
      </c>
      <c r="T1524" s="32" t="s">
        <v>63</v>
      </c>
      <c r="U1524" s="123">
        <v>12.0</v>
      </c>
      <c r="V1524" s="23" t="s">
        <v>63</v>
      </c>
      <c r="W1524" s="23" t="s">
        <v>63</v>
      </c>
      <c r="X1524" s="23" t="s">
        <v>63</v>
      </c>
      <c r="Y1524" s="35">
        <v>16.0</v>
      </c>
      <c r="Z1524" s="32" t="s">
        <v>63</v>
      </c>
      <c r="AA1524" s="38"/>
      <c r="AB1524" s="38"/>
      <c r="AC1524" s="38"/>
      <c r="AD1524" s="38"/>
      <c r="AE1524" s="38"/>
      <c r="AF1524" s="38"/>
      <c r="AG1524" s="38"/>
      <c r="AH1524" s="38"/>
      <c r="AI1524" s="38"/>
      <c r="AJ1524" s="38"/>
      <c r="AK1524" s="38"/>
    </row>
    <row r="1525">
      <c r="A1525" s="99">
        <v>1524.0</v>
      </c>
      <c r="B1525" s="15"/>
      <c r="C1525" s="15"/>
      <c r="D1525" s="105">
        <v>1.0</v>
      </c>
      <c r="E1525" s="102">
        <v>29.0</v>
      </c>
      <c r="F1525" s="107">
        <v>27.0</v>
      </c>
      <c r="G1525" s="15" t="str">
        <f t="shared" si="1"/>
        <v>29027</v>
      </c>
      <c r="H1525" s="23" t="s">
        <v>1396</v>
      </c>
      <c r="I1525" s="23" t="s">
        <v>73</v>
      </c>
      <c r="J1525" s="23" t="s">
        <v>410</v>
      </c>
      <c r="K1525" s="23" t="str">
        <f t="shared" si="26"/>
        <v>Callaway, MO</v>
      </c>
      <c r="L1525" s="23">
        <v>211.0</v>
      </c>
      <c r="M1525" s="23" t="s">
        <v>63</v>
      </c>
      <c r="N1525" s="23" t="s">
        <v>63</v>
      </c>
      <c r="O1525" s="23" t="s">
        <v>63</v>
      </c>
      <c r="P1525" s="23" t="s">
        <v>63</v>
      </c>
      <c r="Q1525" s="23" t="s">
        <v>63</v>
      </c>
      <c r="R1525" s="23">
        <v>4.0</v>
      </c>
      <c r="S1525" s="23" t="s">
        <v>63</v>
      </c>
      <c r="T1525" s="32" t="s">
        <v>63</v>
      </c>
      <c r="U1525" s="123">
        <v>78.0</v>
      </c>
      <c r="V1525" s="23" t="s">
        <v>63</v>
      </c>
      <c r="W1525" s="23" t="s">
        <v>63</v>
      </c>
      <c r="X1525" s="23" t="s">
        <v>63</v>
      </c>
      <c r="Y1525" s="35">
        <v>45.0</v>
      </c>
      <c r="Z1525" s="32" t="s">
        <v>63</v>
      </c>
      <c r="AA1525" s="38"/>
      <c r="AB1525" s="38"/>
      <c r="AC1525" s="38"/>
      <c r="AD1525" s="38"/>
      <c r="AE1525" s="38"/>
      <c r="AF1525" s="38"/>
      <c r="AG1525" s="38"/>
      <c r="AH1525" s="38"/>
      <c r="AI1525" s="38"/>
      <c r="AJ1525" s="38"/>
      <c r="AK1525" s="38"/>
    </row>
    <row r="1526">
      <c r="A1526" s="99">
        <v>1525.0</v>
      </c>
      <c r="B1526" s="15"/>
      <c r="C1526" s="15"/>
      <c r="D1526" s="105">
        <v>1.0</v>
      </c>
      <c r="E1526" s="102">
        <v>29.0</v>
      </c>
      <c r="F1526" s="107">
        <v>29.0</v>
      </c>
      <c r="G1526" s="15" t="str">
        <f t="shared" si="1"/>
        <v>29029</v>
      </c>
      <c r="H1526" s="23" t="s">
        <v>548</v>
      </c>
      <c r="I1526" s="23" t="s">
        <v>73</v>
      </c>
      <c r="J1526" s="23" t="s">
        <v>410</v>
      </c>
      <c r="K1526" s="23" t="str">
        <f t="shared" si="26"/>
        <v>Camden, MO</v>
      </c>
      <c r="L1526" s="23">
        <v>113.0</v>
      </c>
      <c r="M1526" s="23" t="s">
        <v>63</v>
      </c>
      <c r="N1526" s="23" t="s">
        <v>63</v>
      </c>
      <c r="O1526" s="23" t="s">
        <v>63</v>
      </c>
      <c r="P1526" s="23" t="s">
        <v>63</v>
      </c>
      <c r="Q1526" s="23" t="s">
        <v>63</v>
      </c>
      <c r="R1526" s="23">
        <v>0.0</v>
      </c>
      <c r="S1526" s="23" t="s">
        <v>63</v>
      </c>
      <c r="T1526" s="32" t="s">
        <v>63</v>
      </c>
      <c r="U1526" s="123">
        <v>41.0</v>
      </c>
      <c r="V1526" s="23" t="s">
        <v>63</v>
      </c>
      <c r="W1526" s="23" t="s">
        <v>63</v>
      </c>
      <c r="X1526" s="23" t="s">
        <v>63</v>
      </c>
      <c r="Y1526" s="35">
        <v>39.0</v>
      </c>
      <c r="Z1526" s="32" t="s">
        <v>63</v>
      </c>
      <c r="AA1526" s="38"/>
      <c r="AB1526" s="38"/>
      <c r="AC1526" s="38"/>
      <c r="AD1526" s="38"/>
      <c r="AE1526" s="38"/>
      <c r="AF1526" s="38"/>
      <c r="AG1526" s="38"/>
      <c r="AH1526" s="38"/>
      <c r="AI1526" s="38"/>
      <c r="AJ1526" s="38"/>
      <c r="AK1526" s="38"/>
    </row>
    <row r="1527">
      <c r="A1527" s="99">
        <v>1526.0</v>
      </c>
      <c r="B1527" s="15"/>
      <c r="C1527" s="15"/>
      <c r="D1527" s="105">
        <v>1.0</v>
      </c>
      <c r="E1527" s="102">
        <v>29.0</v>
      </c>
      <c r="F1527" s="107">
        <v>31.0</v>
      </c>
      <c r="G1527" s="15" t="str">
        <f t="shared" si="1"/>
        <v>29031</v>
      </c>
      <c r="H1527" s="23" t="s">
        <v>1397</v>
      </c>
      <c r="I1527" s="23" t="s">
        <v>73</v>
      </c>
      <c r="J1527" s="23" t="s">
        <v>410</v>
      </c>
      <c r="K1527" s="112" t="str">
        <f t="shared" si="26"/>
        <v>Cape Girardeau, MO</v>
      </c>
      <c r="L1527" s="23">
        <v>384.0</v>
      </c>
      <c r="M1527" s="23" t="s">
        <v>63</v>
      </c>
      <c r="N1527" s="23" t="s">
        <v>63</v>
      </c>
      <c r="O1527" s="23" t="s">
        <v>63</v>
      </c>
      <c r="P1527" s="23" t="s">
        <v>63</v>
      </c>
      <c r="Q1527" s="23" t="s">
        <v>63</v>
      </c>
      <c r="R1527" s="23">
        <v>11.0</v>
      </c>
      <c r="S1527" s="23" t="s">
        <v>63</v>
      </c>
      <c r="T1527" s="32" t="s">
        <v>63</v>
      </c>
      <c r="U1527" s="123">
        <v>191.0</v>
      </c>
      <c r="V1527" s="23" t="s">
        <v>63</v>
      </c>
      <c r="W1527" s="23" t="s">
        <v>63</v>
      </c>
      <c r="X1527" s="23" t="s">
        <v>63</v>
      </c>
      <c r="Y1527" s="35">
        <v>83.0</v>
      </c>
      <c r="Z1527" s="32" t="s">
        <v>63</v>
      </c>
      <c r="AA1527" s="38"/>
      <c r="AB1527" s="38"/>
      <c r="AC1527" s="38"/>
      <c r="AD1527" s="38"/>
      <c r="AE1527" s="38"/>
      <c r="AF1527" s="38"/>
      <c r="AG1527" s="38"/>
      <c r="AH1527" s="38"/>
      <c r="AI1527" s="38"/>
      <c r="AJ1527" s="38"/>
      <c r="AK1527" s="38"/>
    </row>
    <row r="1528">
      <c r="A1528" s="99">
        <v>1527.0</v>
      </c>
      <c r="B1528" s="15"/>
      <c r="C1528" s="15"/>
      <c r="D1528" s="105">
        <v>1.0</v>
      </c>
      <c r="E1528" s="102">
        <v>29.0</v>
      </c>
      <c r="F1528" s="107">
        <v>33.0</v>
      </c>
      <c r="G1528" s="15" t="str">
        <f t="shared" si="1"/>
        <v>29033</v>
      </c>
      <c r="H1528" s="23" t="s">
        <v>248</v>
      </c>
      <c r="I1528" s="23" t="s">
        <v>73</v>
      </c>
      <c r="J1528" s="23" t="s">
        <v>410</v>
      </c>
      <c r="K1528" s="23" t="str">
        <f t="shared" si="26"/>
        <v>Carroll, MO</v>
      </c>
      <c r="L1528" s="23">
        <v>2.0</v>
      </c>
      <c r="M1528" s="23" t="s">
        <v>63</v>
      </c>
      <c r="N1528" s="23" t="s">
        <v>63</v>
      </c>
      <c r="O1528" s="23" t="s">
        <v>63</v>
      </c>
      <c r="P1528" s="23" t="s">
        <v>63</v>
      </c>
      <c r="Q1528" s="23" t="s">
        <v>63</v>
      </c>
      <c r="R1528" s="23">
        <v>0.0</v>
      </c>
      <c r="S1528" s="23" t="s">
        <v>63</v>
      </c>
      <c r="T1528" s="32" t="s">
        <v>63</v>
      </c>
      <c r="U1528" s="123">
        <v>3.0</v>
      </c>
      <c r="V1528" s="23" t="s">
        <v>63</v>
      </c>
      <c r="W1528" s="23" t="s">
        <v>63</v>
      </c>
      <c r="X1528" s="23" t="s">
        <v>63</v>
      </c>
      <c r="Y1528" s="35">
        <v>14.0</v>
      </c>
      <c r="Z1528" s="32" t="s">
        <v>63</v>
      </c>
      <c r="AA1528" s="38"/>
      <c r="AB1528" s="38"/>
      <c r="AC1528" s="38"/>
      <c r="AD1528" s="38"/>
      <c r="AE1528" s="38"/>
      <c r="AF1528" s="38"/>
      <c r="AG1528" s="38"/>
      <c r="AH1528" s="38"/>
      <c r="AI1528" s="38"/>
      <c r="AJ1528" s="38"/>
      <c r="AK1528" s="38"/>
    </row>
    <row r="1529">
      <c r="A1529" s="99">
        <v>1528.0</v>
      </c>
      <c r="B1529" s="15"/>
      <c r="C1529" s="15"/>
      <c r="D1529" s="105">
        <v>1.0</v>
      </c>
      <c r="E1529" s="102">
        <v>29.0</v>
      </c>
      <c r="F1529" s="107">
        <v>35.0</v>
      </c>
      <c r="G1529" s="15" t="str">
        <f t="shared" si="1"/>
        <v>29035</v>
      </c>
      <c r="H1529" s="23" t="s">
        <v>1038</v>
      </c>
      <c r="I1529" s="23" t="s">
        <v>73</v>
      </c>
      <c r="J1529" s="23" t="s">
        <v>410</v>
      </c>
      <c r="K1529" s="23" t="str">
        <f t="shared" si="26"/>
        <v>Carter, MO</v>
      </c>
      <c r="L1529" s="23">
        <v>17.0</v>
      </c>
      <c r="M1529" s="23" t="s">
        <v>63</v>
      </c>
      <c r="N1529" s="23" t="s">
        <v>63</v>
      </c>
      <c r="O1529" s="23" t="s">
        <v>63</v>
      </c>
      <c r="P1529" s="23" t="s">
        <v>63</v>
      </c>
      <c r="Q1529" s="23" t="s">
        <v>63</v>
      </c>
      <c r="R1529" s="23">
        <v>0.0</v>
      </c>
      <c r="S1529" s="23" t="s">
        <v>63</v>
      </c>
      <c r="T1529" s="32" t="s">
        <v>63</v>
      </c>
      <c r="U1529" s="123">
        <v>14.0</v>
      </c>
      <c r="V1529" s="23" t="s">
        <v>63</v>
      </c>
      <c r="W1529" s="23" t="s">
        <v>63</v>
      </c>
      <c r="X1529" s="23" t="s">
        <v>63</v>
      </c>
      <c r="Y1529" s="35">
        <v>8.0</v>
      </c>
      <c r="Z1529" s="32" t="s">
        <v>63</v>
      </c>
      <c r="AA1529" s="38"/>
      <c r="AB1529" s="38"/>
      <c r="AC1529" s="38"/>
      <c r="AD1529" s="38"/>
      <c r="AE1529" s="38"/>
      <c r="AF1529" s="38"/>
      <c r="AG1529" s="38"/>
      <c r="AH1529" s="38"/>
      <c r="AI1529" s="38"/>
      <c r="AJ1529" s="38"/>
      <c r="AK1529" s="38"/>
    </row>
    <row r="1530">
      <c r="A1530" s="99">
        <v>1529.0</v>
      </c>
      <c r="B1530" s="15"/>
      <c r="C1530" s="15"/>
      <c r="D1530" s="105">
        <v>1.0</v>
      </c>
      <c r="E1530" s="102">
        <v>29.0</v>
      </c>
      <c r="F1530" s="107">
        <v>37.0</v>
      </c>
      <c r="G1530" s="15" t="str">
        <f t="shared" si="1"/>
        <v>29037</v>
      </c>
      <c r="H1530" s="23" t="s">
        <v>708</v>
      </c>
      <c r="I1530" s="23" t="s">
        <v>73</v>
      </c>
      <c r="J1530" s="23" t="s">
        <v>410</v>
      </c>
      <c r="K1530" s="23" t="str">
        <f t="shared" si="26"/>
        <v>Cass, MO</v>
      </c>
      <c r="L1530" s="23">
        <v>264.0</v>
      </c>
      <c r="M1530" s="23" t="s">
        <v>63</v>
      </c>
      <c r="N1530" s="23" t="s">
        <v>63</v>
      </c>
      <c r="O1530" s="23" t="s">
        <v>63</v>
      </c>
      <c r="P1530" s="23" t="s">
        <v>63</v>
      </c>
      <c r="Q1530" s="23" t="s">
        <v>63</v>
      </c>
      <c r="R1530" s="23">
        <v>9.0</v>
      </c>
      <c r="S1530" s="23" t="s">
        <v>63</v>
      </c>
      <c r="T1530" s="32" t="s">
        <v>63</v>
      </c>
      <c r="U1530" s="123">
        <v>65.0</v>
      </c>
      <c r="V1530" s="23" t="s">
        <v>63</v>
      </c>
      <c r="W1530" s="23" t="s">
        <v>63</v>
      </c>
      <c r="X1530" s="23" t="s">
        <v>63</v>
      </c>
      <c r="Y1530" s="35">
        <v>102.0</v>
      </c>
      <c r="Z1530" s="32" t="s">
        <v>63</v>
      </c>
      <c r="AA1530" s="38"/>
      <c r="AB1530" s="38"/>
      <c r="AC1530" s="38"/>
      <c r="AD1530" s="38"/>
      <c r="AE1530" s="38"/>
      <c r="AF1530" s="38"/>
      <c r="AG1530" s="38"/>
      <c r="AH1530" s="38"/>
      <c r="AI1530" s="38"/>
      <c r="AJ1530" s="38"/>
      <c r="AK1530" s="38"/>
    </row>
    <row r="1531">
      <c r="A1531" s="99">
        <v>1530.0</v>
      </c>
      <c r="B1531" s="15"/>
      <c r="C1531" s="15"/>
      <c r="D1531" s="105">
        <v>1.0</v>
      </c>
      <c r="E1531" s="102">
        <v>29.0</v>
      </c>
      <c r="F1531" s="107">
        <v>39.0</v>
      </c>
      <c r="G1531" s="15" t="str">
        <f t="shared" si="1"/>
        <v>29039</v>
      </c>
      <c r="H1531" s="23" t="s">
        <v>894</v>
      </c>
      <c r="I1531" s="23" t="s">
        <v>73</v>
      </c>
      <c r="J1531" s="23" t="s">
        <v>410</v>
      </c>
      <c r="K1531" s="23" t="str">
        <f t="shared" si="26"/>
        <v>Cedar, MO</v>
      </c>
      <c r="L1531" s="23">
        <v>44.0</v>
      </c>
      <c r="M1531" s="23" t="s">
        <v>63</v>
      </c>
      <c r="N1531" s="23" t="s">
        <v>63</v>
      </c>
      <c r="O1531" s="23" t="s">
        <v>63</v>
      </c>
      <c r="P1531" s="23" t="s">
        <v>63</v>
      </c>
      <c r="Q1531" s="23" t="s">
        <v>63</v>
      </c>
      <c r="R1531" s="23">
        <v>1.0</v>
      </c>
      <c r="S1531" s="23" t="s">
        <v>63</v>
      </c>
      <c r="T1531" s="32" t="s">
        <v>63</v>
      </c>
      <c r="U1531" s="123">
        <v>22.0</v>
      </c>
      <c r="V1531" s="23" t="s">
        <v>63</v>
      </c>
      <c r="W1531" s="23" t="s">
        <v>63</v>
      </c>
      <c r="X1531" s="23" t="s">
        <v>63</v>
      </c>
      <c r="Y1531" s="35">
        <v>21.0</v>
      </c>
      <c r="Z1531" s="32" t="s">
        <v>63</v>
      </c>
      <c r="AA1531" s="38"/>
      <c r="AB1531" s="38"/>
      <c r="AC1531" s="38"/>
      <c r="AD1531" s="38"/>
      <c r="AE1531" s="38"/>
      <c r="AF1531" s="38"/>
      <c r="AG1531" s="38"/>
      <c r="AH1531" s="38"/>
      <c r="AI1531" s="38"/>
      <c r="AJ1531" s="38"/>
      <c r="AK1531" s="38"/>
    </row>
    <row r="1532">
      <c r="A1532" s="99">
        <v>1531.0</v>
      </c>
      <c r="B1532" s="15"/>
      <c r="C1532" s="15"/>
      <c r="D1532" s="105">
        <v>1.0</v>
      </c>
      <c r="E1532" s="102">
        <v>29.0</v>
      </c>
      <c r="F1532" s="107">
        <v>41.0</v>
      </c>
      <c r="G1532" s="15" t="str">
        <f t="shared" si="1"/>
        <v>29041</v>
      </c>
      <c r="H1532" s="23" t="s">
        <v>1398</v>
      </c>
      <c r="I1532" s="23" t="s">
        <v>73</v>
      </c>
      <c r="J1532" s="23" t="s">
        <v>410</v>
      </c>
      <c r="K1532" s="23" t="str">
        <f t="shared" si="26"/>
        <v>Chariton, MO</v>
      </c>
      <c r="L1532" s="23">
        <v>30.0</v>
      </c>
      <c r="M1532" s="23" t="s">
        <v>63</v>
      </c>
      <c r="N1532" s="23" t="s">
        <v>63</v>
      </c>
      <c r="O1532" s="23" t="s">
        <v>63</v>
      </c>
      <c r="P1532" s="23" t="s">
        <v>63</v>
      </c>
      <c r="Q1532" s="23" t="s">
        <v>63</v>
      </c>
      <c r="R1532" s="23">
        <v>0.0</v>
      </c>
      <c r="S1532" s="23" t="s">
        <v>63</v>
      </c>
      <c r="T1532" s="32" t="s">
        <v>63</v>
      </c>
      <c r="U1532" s="123">
        <v>16.0</v>
      </c>
      <c r="V1532" s="23" t="s">
        <v>63</v>
      </c>
      <c r="W1532" s="23" t="s">
        <v>63</v>
      </c>
      <c r="X1532" s="23" t="s">
        <v>63</v>
      </c>
      <c r="Y1532" s="35">
        <v>16.0</v>
      </c>
      <c r="Z1532" s="32" t="s">
        <v>63</v>
      </c>
      <c r="AA1532" s="38"/>
      <c r="AB1532" s="38"/>
      <c r="AC1532" s="38"/>
      <c r="AD1532" s="38"/>
      <c r="AE1532" s="38"/>
      <c r="AF1532" s="38"/>
      <c r="AG1532" s="38"/>
      <c r="AH1532" s="38"/>
      <c r="AI1532" s="38"/>
      <c r="AJ1532" s="38"/>
      <c r="AK1532" s="38"/>
    </row>
    <row r="1533">
      <c r="A1533" s="99">
        <v>1532.0</v>
      </c>
      <c r="B1533" s="15"/>
      <c r="C1533" s="15"/>
      <c r="D1533" s="105">
        <v>1.0</v>
      </c>
      <c r="E1533" s="102">
        <v>29.0</v>
      </c>
      <c r="F1533" s="107">
        <v>43.0</v>
      </c>
      <c r="G1533" s="15" t="str">
        <f t="shared" si="1"/>
        <v>29043</v>
      </c>
      <c r="H1533" s="23" t="s">
        <v>710</v>
      </c>
      <c r="I1533" s="23" t="s">
        <v>73</v>
      </c>
      <c r="J1533" s="23" t="s">
        <v>410</v>
      </c>
      <c r="K1533" s="23" t="str">
        <f t="shared" si="26"/>
        <v>Christian, MO</v>
      </c>
      <c r="L1533" s="23">
        <v>244.0</v>
      </c>
      <c r="M1533" s="23" t="s">
        <v>63</v>
      </c>
      <c r="N1533" s="23" t="s">
        <v>63</v>
      </c>
      <c r="O1533" s="23" t="s">
        <v>63</v>
      </c>
      <c r="P1533" s="23" t="s">
        <v>63</v>
      </c>
      <c r="Q1533" s="23" t="s">
        <v>63</v>
      </c>
      <c r="R1533" s="23">
        <v>13.0</v>
      </c>
      <c r="S1533" s="23" t="s">
        <v>63</v>
      </c>
      <c r="T1533" s="32" t="s">
        <v>63</v>
      </c>
      <c r="U1533" s="123">
        <v>81.0</v>
      </c>
      <c r="V1533" s="23" t="s">
        <v>63</v>
      </c>
      <c r="W1533" s="23" t="s">
        <v>63</v>
      </c>
      <c r="X1533" s="23" t="s">
        <v>63</v>
      </c>
      <c r="Y1533" s="35">
        <v>73.0</v>
      </c>
      <c r="Z1533" s="32" t="s">
        <v>63</v>
      </c>
      <c r="AA1533" s="38"/>
      <c r="AB1533" s="38"/>
      <c r="AC1533" s="38"/>
      <c r="AD1533" s="38"/>
      <c r="AE1533" s="38"/>
      <c r="AF1533" s="38"/>
      <c r="AG1533" s="38"/>
      <c r="AH1533" s="38"/>
      <c r="AI1533" s="38"/>
      <c r="AJ1533" s="38"/>
      <c r="AK1533" s="38"/>
    </row>
    <row r="1534">
      <c r="A1534" s="99">
        <v>1533.0</v>
      </c>
      <c r="B1534" s="15"/>
      <c r="C1534" s="15"/>
      <c r="D1534" s="105">
        <v>1.0</v>
      </c>
      <c r="E1534" s="102">
        <v>29.0</v>
      </c>
      <c r="F1534" s="107">
        <v>45.0</v>
      </c>
      <c r="G1534" s="15" t="str">
        <f t="shared" si="1"/>
        <v>29045</v>
      </c>
      <c r="H1534" s="23" t="s">
        <v>253</v>
      </c>
      <c r="I1534" s="23" t="s">
        <v>73</v>
      </c>
      <c r="J1534" s="23" t="s">
        <v>410</v>
      </c>
      <c r="K1534" s="23" t="str">
        <f t="shared" si="26"/>
        <v>Clark, MO</v>
      </c>
      <c r="L1534" s="23">
        <v>50.0</v>
      </c>
      <c r="M1534" s="23" t="s">
        <v>63</v>
      </c>
      <c r="N1534" s="23" t="s">
        <v>63</v>
      </c>
      <c r="O1534" s="23" t="s">
        <v>63</v>
      </c>
      <c r="P1534" s="23" t="s">
        <v>63</v>
      </c>
      <c r="Q1534" s="23" t="s">
        <v>63</v>
      </c>
      <c r="R1534" s="23">
        <v>5.0</v>
      </c>
      <c r="S1534" s="23" t="s">
        <v>63</v>
      </c>
      <c r="T1534" s="32" t="s">
        <v>63</v>
      </c>
      <c r="U1534" s="123">
        <v>25.0</v>
      </c>
      <c r="V1534" s="23" t="s">
        <v>63</v>
      </c>
      <c r="W1534" s="23" t="s">
        <v>63</v>
      </c>
      <c r="X1534" s="23" t="s">
        <v>63</v>
      </c>
      <c r="Y1534" s="35">
        <v>15.0</v>
      </c>
      <c r="Z1534" s="32" t="s">
        <v>63</v>
      </c>
      <c r="AA1534" s="38"/>
      <c r="AB1534" s="38"/>
      <c r="AC1534" s="38"/>
      <c r="AD1534" s="38"/>
      <c r="AE1534" s="38"/>
      <c r="AF1534" s="38"/>
      <c r="AG1534" s="38"/>
      <c r="AH1534" s="38"/>
      <c r="AI1534" s="38"/>
      <c r="AJ1534" s="38"/>
      <c r="AK1534" s="38"/>
    </row>
    <row r="1535">
      <c r="A1535" s="99">
        <v>1534.0</v>
      </c>
      <c r="B1535" s="15"/>
      <c r="C1535" s="15"/>
      <c r="D1535" s="105">
        <v>1.0</v>
      </c>
      <c r="E1535" s="102">
        <v>29.0</v>
      </c>
      <c r="F1535" s="107">
        <v>47.0</v>
      </c>
      <c r="G1535" s="15" t="str">
        <f t="shared" si="1"/>
        <v>29047</v>
      </c>
      <c r="H1535" s="23" t="s">
        <v>112</v>
      </c>
      <c r="I1535" s="23" t="s">
        <v>73</v>
      </c>
      <c r="J1535" s="23" t="s">
        <v>410</v>
      </c>
      <c r="K1535" s="23" t="str">
        <f t="shared" si="26"/>
        <v>Clay, MO</v>
      </c>
      <c r="L1535" s="23">
        <v>232.0</v>
      </c>
      <c r="M1535" s="23" t="s">
        <v>63</v>
      </c>
      <c r="N1535" s="23" t="s">
        <v>63</v>
      </c>
      <c r="O1535" s="23" t="s">
        <v>63</v>
      </c>
      <c r="P1535" s="23" t="s">
        <v>63</v>
      </c>
      <c r="Q1535" s="23" t="s">
        <v>63</v>
      </c>
      <c r="R1535" s="23">
        <v>7.0</v>
      </c>
      <c r="S1535" s="23" t="s">
        <v>63</v>
      </c>
      <c r="T1535" s="32" t="s">
        <v>63</v>
      </c>
      <c r="U1535" s="123">
        <v>66.0</v>
      </c>
      <c r="V1535" s="23" t="s">
        <v>63</v>
      </c>
      <c r="W1535" s="23" t="s">
        <v>63</v>
      </c>
      <c r="X1535" s="23" t="s">
        <v>63</v>
      </c>
      <c r="Y1535" s="35">
        <v>175.0</v>
      </c>
      <c r="Z1535" s="32" t="s">
        <v>63</v>
      </c>
      <c r="AA1535" s="38"/>
      <c r="AB1535" s="38"/>
      <c r="AC1535" s="38"/>
      <c r="AD1535" s="38"/>
      <c r="AE1535" s="38"/>
      <c r="AF1535" s="38"/>
      <c r="AG1535" s="38"/>
      <c r="AH1535" s="38"/>
      <c r="AI1535" s="38"/>
      <c r="AJ1535" s="38"/>
      <c r="AK1535" s="38"/>
    </row>
    <row r="1536">
      <c r="A1536" s="99">
        <v>1535.0</v>
      </c>
      <c r="B1536" s="15"/>
      <c r="C1536" s="15"/>
      <c r="D1536" s="105">
        <v>1.0</v>
      </c>
      <c r="E1536" s="102">
        <v>29.0</v>
      </c>
      <c r="F1536" s="107">
        <v>49.0</v>
      </c>
      <c r="G1536" s="15" t="str">
        <f t="shared" si="1"/>
        <v>29049</v>
      </c>
      <c r="H1536" s="23" t="s">
        <v>711</v>
      </c>
      <c r="I1536" s="23" t="s">
        <v>73</v>
      </c>
      <c r="J1536" s="23" t="s">
        <v>410</v>
      </c>
      <c r="K1536" s="23" t="str">
        <f t="shared" si="26"/>
        <v>Clinton, MO</v>
      </c>
      <c r="L1536" s="23">
        <v>57.0</v>
      </c>
      <c r="M1536" s="23" t="s">
        <v>63</v>
      </c>
      <c r="N1536" s="23" t="s">
        <v>63</v>
      </c>
      <c r="O1536" s="23" t="s">
        <v>63</v>
      </c>
      <c r="P1536" s="23" t="s">
        <v>63</v>
      </c>
      <c r="Q1536" s="23" t="s">
        <v>63</v>
      </c>
      <c r="R1536" s="23">
        <v>5.0</v>
      </c>
      <c r="S1536" s="23" t="s">
        <v>63</v>
      </c>
      <c r="T1536" s="32" t="s">
        <v>63</v>
      </c>
      <c r="U1536" s="123">
        <v>20.0</v>
      </c>
      <c r="V1536" s="23" t="s">
        <v>63</v>
      </c>
      <c r="W1536" s="23" t="s">
        <v>63</v>
      </c>
      <c r="X1536" s="23" t="s">
        <v>63</v>
      </c>
      <c r="Y1536" s="35">
        <v>21.0</v>
      </c>
      <c r="Z1536" s="32" t="s">
        <v>63</v>
      </c>
      <c r="AA1536" s="38"/>
      <c r="AB1536" s="38"/>
      <c r="AC1536" s="38"/>
      <c r="AD1536" s="38"/>
      <c r="AE1536" s="38"/>
      <c r="AF1536" s="38"/>
      <c r="AG1536" s="38"/>
      <c r="AH1536" s="38"/>
      <c r="AI1536" s="38"/>
      <c r="AJ1536" s="38"/>
      <c r="AK1536" s="38"/>
    </row>
    <row r="1537">
      <c r="A1537" s="99">
        <v>1536.0</v>
      </c>
      <c r="B1537" s="15"/>
      <c r="C1537" s="15"/>
      <c r="D1537" s="105">
        <v>1.0</v>
      </c>
      <c r="E1537" s="102">
        <v>29.0</v>
      </c>
      <c r="F1537" s="107">
        <v>51.0</v>
      </c>
      <c r="G1537" s="15" t="str">
        <f t="shared" si="1"/>
        <v>29051</v>
      </c>
      <c r="H1537" s="23" t="s">
        <v>1399</v>
      </c>
      <c r="I1537" s="23" t="s">
        <v>73</v>
      </c>
      <c r="J1537" s="23" t="s">
        <v>410</v>
      </c>
      <c r="K1537" s="23" t="str">
        <f t="shared" si="26"/>
        <v>Cole, MO</v>
      </c>
      <c r="L1537" s="23">
        <v>213.0</v>
      </c>
      <c r="M1537" s="23" t="s">
        <v>63</v>
      </c>
      <c r="N1537" s="23" t="s">
        <v>63</v>
      </c>
      <c r="O1537" s="23" t="s">
        <v>63</v>
      </c>
      <c r="P1537" s="23" t="s">
        <v>63</v>
      </c>
      <c r="Q1537" s="23" t="s">
        <v>63</v>
      </c>
      <c r="R1537" s="23">
        <v>5.0</v>
      </c>
      <c r="S1537" s="23" t="s">
        <v>63</v>
      </c>
      <c r="T1537" s="32" t="s">
        <v>63</v>
      </c>
      <c r="U1537" s="123">
        <v>79.0</v>
      </c>
      <c r="V1537" s="23" t="s">
        <v>63</v>
      </c>
      <c r="W1537" s="23" t="s">
        <v>63</v>
      </c>
      <c r="X1537" s="23" t="s">
        <v>63</v>
      </c>
      <c r="Y1537" s="35">
        <v>72.0</v>
      </c>
      <c r="Z1537" s="32" t="s">
        <v>63</v>
      </c>
      <c r="AA1537" s="38"/>
      <c r="AB1537" s="38"/>
      <c r="AC1537" s="38"/>
      <c r="AD1537" s="38"/>
      <c r="AE1537" s="38"/>
      <c r="AF1537" s="38"/>
      <c r="AG1537" s="38"/>
      <c r="AH1537" s="38"/>
      <c r="AI1537" s="38"/>
      <c r="AJ1537" s="38"/>
      <c r="AK1537" s="38"/>
    </row>
    <row r="1538">
      <c r="A1538" s="99">
        <v>1537.0</v>
      </c>
      <c r="B1538" s="15"/>
      <c r="C1538" s="15"/>
      <c r="D1538" s="105">
        <v>1.0</v>
      </c>
      <c r="E1538" s="102">
        <v>29.0</v>
      </c>
      <c r="F1538" s="107">
        <v>53.0</v>
      </c>
      <c r="G1538" s="15" t="str">
        <f t="shared" si="1"/>
        <v>29053</v>
      </c>
      <c r="H1538" s="23" t="s">
        <v>1400</v>
      </c>
      <c r="I1538" s="23" t="s">
        <v>73</v>
      </c>
      <c r="J1538" s="23" t="s">
        <v>410</v>
      </c>
      <c r="K1538" s="23" t="str">
        <f t="shared" si="26"/>
        <v>Cooper, MO</v>
      </c>
      <c r="L1538" s="23">
        <v>30.0</v>
      </c>
      <c r="M1538" s="23" t="s">
        <v>63</v>
      </c>
      <c r="N1538" s="23" t="s">
        <v>63</v>
      </c>
      <c r="O1538" s="23" t="s">
        <v>63</v>
      </c>
      <c r="P1538" s="23" t="s">
        <v>63</v>
      </c>
      <c r="Q1538" s="23" t="s">
        <v>63</v>
      </c>
      <c r="R1538" s="23">
        <v>1.0</v>
      </c>
      <c r="S1538" s="23" t="s">
        <v>63</v>
      </c>
      <c r="T1538" s="32" t="s">
        <v>63</v>
      </c>
      <c r="U1538" s="123">
        <v>3.0</v>
      </c>
      <c r="V1538" s="23" t="s">
        <v>63</v>
      </c>
      <c r="W1538" s="23" t="s">
        <v>63</v>
      </c>
      <c r="X1538" s="23" t="s">
        <v>63</v>
      </c>
      <c r="Y1538" s="35">
        <v>21.0</v>
      </c>
      <c r="Z1538" s="32" t="s">
        <v>63</v>
      </c>
      <c r="AA1538" s="38"/>
      <c r="AB1538" s="38"/>
      <c r="AC1538" s="38"/>
      <c r="AD1538" s="38"/>
      <c r="AE1538" s="38"/>
      <c r="AF1538" s="38"/>
      <c r="AG1538" s="38"/>
      <c r="AH1538" s="38"/>
      <c r="AI1538" s="38"/>
      <c r="AJ1538" s="38"/>
      <c r="AK1538" s="38"/>
    </row>
    <row r="1539">
      <c r="A1539" s="99">
        <v>1538.0</v>
      </c>
      <c r="B1539" s="15"/>
      <c r="C1539" s="15"/>
      <c r="D1539" s="105">
        <v>1.0</v>
      </c>
      <c r="E1539" s="102">
        <v>29.0</v>
      </c>
      <c r="F1539" s="107">
        <v>55.0</v>
      </c>
      <c r="G1539" s="15" t="str">
        <f t="shared" si="1"/>
        <v>29055</v>
      </c>
      <c r="H1539" s="23" t="s">
        <v>263</v>
      </c>
      <c r="I1539" s="23" t="s">
        <v>73</v>
      </c>
      <c r="J1539" s="23" t="s">
        <v>410</v>
      </c>
      <c r="K1539" s="23" t="str">
        <f t="shared" si="26"/>
        <v>Crawford, MO</v>
      </c>
      <c r="L1539" s="23">
        <v>170.0</v>
      </c>
      <c r="M1539" s="23" t="s">
        <v>63</v>
      </c>
      <c r="N1539" s="23" t="s">
        <v>63</v>
      </c>
      <c r="O1539" s="23" t="s">
        <v>63</v>
      </c>
      <c r="P1539" s="23" t="s">
        <v>63</v>
      </c>
      <c r="Q1539" s="23" t="s">
        <v>63</v>
      </c>
      <c r="R1539" s="23">
        <v>10.0</v>
      </c>
      <c r="S1539" s="23" t="s">
        <v>63</v>
      </c>
      <c r="T1539" s="32" t="s">
        <v>63</v>
      </c>
      <c r="U1539" s="123">
        <v>20.0</v>
      </c>
      <c r="V1539" s="23" t="s">
        <v>63</v>
      </c>
      <c r="W1539" s="23" t="s">
        <v>63</v>
      </c>
      <c r="X1539" s="23" t="s">
        <v>63</v>
      </c>
      <c r="Y1539" s="35">
        <v>46.0</v>
      </c>
      <c r="Z1539" s="32" t="s">
        <v>63</v>
      </c>
      <c r="AA1539" s="38"/>
      <c r="AB1539" s="38"/>
      <c r="AC1539" s="38"/>
      <c r="AD1539" s="38"/>
      <c r="AE1539" s="38"/>
      <c r="AF1539" s="38"/>
      <c r="AG1539" s="38"/>
      <c r="AH1539" s="38"/>
      <c r="AI1539" s="38"/>
      <c r="AJ1539" s="38"/>
      <c r="AK1539" s="38"/>
    </row>
    <row r="1540">
      <c r="A1540" s="99">
        <v>1539.0</v>
      </c>
      <c r="B1540" s="15"/>
      <c r="C1540" s="15"/>
      <c r="D1540" s="105">
        <v>1.0</v>
      </c>
      <c r="E1540" s="102">
        <v>29.0</v>
      </c>
      <c r="F1540" s="107">
        <v>57.0</v>
      </c>
      <c r="G1540" s="15" t="str">
        <f t="shared" si="1"/>
        <v>29057</v>
      </c>
      <c r="H1540" s="23" t="s">
        <v>561</v>
      </c>
      <c r="I1540" s="23" t="s">
        <v>73</v>
      </c>
      <c r="J1540" s="23" t="s">
        <v>410</v>
      </c>
      <c r="K1540" s="23" t="str">
        <f t="shared" si="26"/>
        <v>Dade, MO</v>
      </c>
      <c r="L1540" s="23">
        <v>11.0</v>
      </c>
      <c r="M1540" s="23" t="s">
        <v>63</v>
      </c>
      <c r="N1540" s="23" t="s">
        <v>63</v>
      </c>
      <c r="O1540" s="23" t="s">
        <v>63</v>
      </c>
      <c r="P1540" s="23" t="s">
        <v>63</v>
      </c>
      <c r="Q1540" s="23" t="s">
        <v>63</v>
      </c>
      <c r="R1540" s="23">
        <v>0.0</v>
      </c>
      <c r="S1540" s="23" t="s">
        <v>63</v>
      </c>
      <c r="T1540" s="32" t="s">
        <v>63</v>
      </c>
      <c r="U1540" s="123">
        <v>4.0</v>
      </c>
      <c r="V1540" s="23" t="s">
        <v>63</v>
      </c>
      <c r="W1540" s="23" t="s">
        <v>63</v>
      </c>
      <c r="X1540" s="23" t="s">
        <v>63</v>
      </c>
      <c r="Y1540" s="35">
        <v>17.0</v>
      </c>
      <c r="Z1540" s="32" t="s">
        <v>63</v>
      </c>
      <c r="AA1540" s="38"/>
      <c r="AB1540" s="38"/>
      <c r="AC1540" s="38"/>
      <c r="AD1540" s="38"/>
      <c r="AE1540" s="38"/>
      <c r="AF1540" s="38"/>
      <c r="AG1540" s="38"/>
      <c r="AH1540" s="38"/>
      <c r="AI1540" s="38"/>
      <c r="AJ1540" s="38"/>
      <c r="AK1540" s="38"/>
    </row>
    <row r="1541">
      <c r="A1541" s="99">
        <v>1540.0</v>
      </c>
      <c r="B1541" s="15"/>
      <c r="C1541" s="15"/>
      <c r="D1541" s="105">
        <v>1.0</v>
      </c>
      <c r="E1541" s="102">
        <v>29.0</v>
      </c>
      <c r="F1541" s="107">
        <v>59.0</v>
      </c>
      <c r="G1541" s="15" t="str">
        <f t="shared" si="1"/>
        <v>29059</v>
      </c>
      <c r="H1541" s="23" t="s">
        <v>130</v>
      </c>
      <c r="I1541" s="23" t="s">
        <v>73</v>
      </c>
      <c r="J1541" s="23" t="s">
        <v>410</v>
      </c>
      <c r="K1541" s="23" t="str">
        <f t="shared" si="26"/>
        <v>Dallas, MO</v>
      </c>
      <c r="L1541" s="23">
        <v>55.0</v>
      </c>
      <c r="M1541" s="23" t="s">
        <v>63</v>
      </c>
      <c r="N1541" s="23" t="s">
        <v>63</v>
      </c>
      <c r="O1541" s="23" t="s">
        <v>63</v>
      </c>
      <c r="P1541" s="23" t="s">
        <v>63</v>
      </c>
      <c r="Q1541" s="23" t="s">
        <v>63</v>
      </c>
      <c r="R1541" s="23">
        <v>1.0</v>
      </c>
      <c r="S1541" s="23" t="s">
        <v>63</v>
      </c>
      <c r="T1541" s="32" t="s">
        <v>63</v>
      </c>
      <c r="U1541" s="123">
        <v>9.0</v>
      </c>
      <c r="V1541" s="23" t="s">
        <v>63</v>
      </c>
      <c r="W1541" s="23" t="s">
        <v>63</v>
      </c>
      <c r="X1541" s="23" t="s">
        <v>63</v>
      </c>
      <c r="Y1541" s="35">
        <v>19.0</v>
      </c>
      <c r="Z1541" s="32" t="s">
        <v>63</v>
      </c>
      <c r="AA1541" s="38"/>
      <c r="AB1541" s="38"/>
      <c r="AC1541" s="38"/>
      <c r="AD1541" s="38"/>
      <c r="AE1541" s="38"/>
      <c r="AF1541" s="38"/>
      <c r="AG1541" s="38"/>
      <c r="AH1541" s="38"/>
      <c r="AI1541" s="38"/>
      <c r="AJ1541" s="38"/>
      <c r="AK1541" s="38"/>
    </row>
    <row r="1542">
      <c r="A1542" s="99">
        <v>1541.0</v>
      </c>
      <c r="B1542" s="15"/>
      <c r="C1542" s="15"/>
      <c r="D1542" s="105">
        <v>1.0</v>
      </c>
      <c r="E1542" s="102">
        <v>29.0</v>
      </c>
      <c r="F1542" s="107">
        <v>61.0</v>
      </c>
      <c r="G1542" s="15" t="str">
        <f t="shared" si="1"/>
        <v>29061</v>
      </c>
      <c r="H1542" s="23" t="s">
        <v>758</v>
      </c>
      <c r="I1542" s="23" t="s">
        <v>73</v>
      </c>
      <c r="J1542" s="23" t="s">
        <v>410</v>
      </c>
      <c r="K1542" s="23" t="str">
        <f t="shared" si="26"/>
        <v>Daviess, MO</v>
      </c>
      <c r="L1542" s="23">
        <v>22.0</v>
      </c>
      <c r="M1542" s="23" t="s">
        <v>63</v>
      </c>
      <c r="N1542" s="23" t="s">
        <v>63</v>
      </c>
      <c r="O1542" s="23" t="s">
        <v>63</v>
      </c>
      <c r="P1542" s="23" t="s">
        <v>63</v>
      </c>
      <c r="Q1542" s="23" t="s">
        <v>63</v>
      </c>
      <c r="R1542" s="23">
        <v>1.0</v>
      </c>
      <c r="S1542" s="23" t="s">
        <v>63</v>
      </c>
      <c r="T1542" s="32" t="s">
        <v>63</v>
      </c>
      <c r="U1542" s="123">
        <v>8.0</v>
      </c>
      <c r="V1542" s="23" t="s">
        <v>63</v>
      </c>
      <c r="W1542" s="23" t="s">
        <v>63</v>
      </c>
      <c r="X1542" s="23" t="s">
        <v>63</v>
      </c>
      <c r="Y1542" s="35">
        <v>13.0</v>
      </c>
      <c r="Z1542" s="32" t="s">
        <v>63</v>
      </c>
      <c r="AA1542" s="38"/>
      <c r="AB1542" s="38"/>
      <c r="AC1542" s="38"/>
      <c r="AD1542" s="38"/>
      <c r="AE1542" s="38"/>
      <c r="AF1542" s="38"/>
      <c r="AG1542" s="38"/>
      <c r="AH1542" s="38"/>
      <c r="AI1542" s="38"/>
      <c r="AJ1542" s="38"/>
      <c r="AK1542" s="38"/>
    </row>
    <row r="1543">
      <c r="A1543" s="99">
        <v>1542.0</v>
      </c>
      <c r="B1543" s="15"/>
      <c r="C1543" s="15"/>
      <c r="D1543" s="105">
        <v>1.0</v>
      </c>
      <c r="E1543" s="102">
        <v>29.0</v>
      </c>
      <c r="F1543" s="107">
        <v>63.0</v>
      </c>
      <c r="G1543" s="15" t="str">
        <f t="shared" si="1"/>
        <v>29063</v>
      </c>
      <c r="H1543" s="23" t="s">
        <v>1401</v>
      </c>
      <c r="I1543" s="23" t="s">
        <v>73</v>
      </c>
      <c r="J1543" s="23" t="s">
        <v>410</v>
      </c>
      <c r="K1543" s="23" t="str">
        <f t="shared" si="26"/>
        <v>Dekalb, MO</v>
      </c>
      <c r="L1543" s="23">
        <v>111.0</v>
      </c>
      <c r="M1543" s="23" t="s">
        <v>63</v>
      </c>
      <c r="N1543" s="23" t="s">
        <v>63</v>
      </c>
      <c r="O1543" s="23" t="s">
        <v>63</v>
      </c>
      <c r="P1543" s="23" t="s">
        <v>63</v>
      </c>
      <c r="Q1543" s="23" t="s">
        <v>63</v>
      </c>
      <c r="R1543" s="23">
        <v>2.0</v>
      </c>
      <c r="S1543" s="23" t="s">
        <v>63</v>
      </c>
      <c r="T1543" s="32" t="s">
        <v>63</v>
      </c>
      <c r="U1543" s="123">
        <v>6.0</v>
      </c>
      <c r="V1543" s="23" t="s">
        <v>63</v>
      </c>
      <c r="W1543" s="23" t="s">
        <v>63</v>
      </c>
      <c r="X1543" s="23" t="s">
        <v>63</v>
      </c>
      <c r="Y1543" s="35">
        <v>14.0</v>
      </c>
      <c r="Z1543" s="32" t="s">
        <v>63</v>
      </c>
      <c r="AA1543" s="38"/>
      <c r="AB1543" s="38"/>
      <c r="AC1543" s="38"/>
      <c r="AD1543" s="38"/>
      <c r="AE1543" s="38"/>
      <c r="AF1543" s="38"/>
      <c r="AG1543" s="38"/>
      <c r="AH1543" s="38"/>
      <c r="AI1543" s="38"/>
      <c r="AJ1543" s="38"/>
      <c r="AK1543" s="38"/>
    </row>
    <row r="1544">
      <c r="A1544" s="99">
        <v>1543.0</v>
      </c>
      <c r="B1544" s="15"/>
      <c r="C1544" s="15"/>
      <c r="D1544" s="105">
        <v>1.0</v>
      </c>
      <c r="E1544" s="102">
        <v>29.0</v>
      </c>
      <c r="F1544" s="107">
        <v>65.0</v>
      </c>
      <c r="G1544" s="15" t="str">
        <f t="shared" si="1"/>
        <v>29065</v>
      </c>
      <c r="H1544" s="23" t="s">
        <v>1402</v>
      </c>
      <c r="I1544" s="23" t="s">
        <v>73</v>
      </c>
      <c r="J1544" s="23" t="s">
        <v>410</v>
      </c>
      <c r="K1544" s="23" t="str">
        <f t="shared" si="26"/>
        <v>Dent, MO</v>
      </c>
      <c r="L1544" s="23">
        <v>80.0</v>
      </c>
      <c r="M1544" s="23" t="s">
        <v>63</v>
      </c>
      <c r="N1544" s="23" t="s">
        <v>63</v>
      </c>
      <c r="O1544" s="23" t="s">
        <v>63</v>
      </c>
      <c r="P1544" s="23" t="s">
        <v>63</v>
      </c>
      <c r="Q1544" s="23" t="s">
        <v>63</v>
      </c>
      <c r="R1544" s="23">
        <v>14.0</v>
      </c>
      <c r="S1544" s="23" t="s">
        <v>63</v>
      </c>
      <c r="T1544" s="32" t="s">
        <v>63</v>
      </c>
      <c r="U1544" s="123">
        <v>13.0</v>
      </c>
      <c r="V1544" s="23" t="s">
        <v>63</v>
      </c>
      <c r="W1544" s="23" t="s">
        <v>63</v>
      </c>
      <c r="X1544" s="23" t="s">
        <v>63</v>
      </c>
      <c r="Y1544" s="35">
        <v>32.0</v>
      </c>
      <c r="Z1544" s="32" t="s">
        <v>63</v>
      </c>
      <c r="AA1544" s="38"/>
      <c r="AB1544" s="38"/>
      <c r="AC1544" s="38"/>
      <c r="AD1544" s="38"/>
      <c r="AE1544" s="38"/>
      <c r="AF1544" s="38"/>
      <c r="AG1544" s="38"/>
      <c r="AH1544" s="38"/>
      <c r="AI1544" s="38"/>
      <c r="AJ1544" s="38"/>
      <c r="AK1544" s="38"/>
    </row>
    <row r="1545">
      <c r="A1545" s="99">
        <v>1544.0</v>
      </c>
      <c r="B1545" s="15"/>
      <c r="C1545" s="15"/>
      <c r="D1545" s="105">
        <v>1.0</v>
      </c>
      <c r="E1545" s="102">
        <v>29.0</v>
      </c>
      <c r="F1545" s="107">
        <v>67.0</v>
      </c>
      <c r="G1545" s="15" t="str">
        <f t="shared" si="1"/>
        <v>29067</v>
      </c>
      <c r="H1545" s="23" t="s">
        <v>412</v>
      </c>
      <c r="I1545" s="23" t="s">
        <v>73</v>
      </c>
      <c r="J1545" s="23" t="s">
        <v>410</v>
      </c>
      <c r="K1545" s="23" t="str">
        <f t="shared" si="26"/>
        <v>Douglas, MO</v>
      </c>
      <c r="L1545" s="23">
        <v>74.0</v>
      </c>
      <c r="M1545" s="23" t="s">
        <v>63</v>
      </c>
      <c r="N1545" s="23" t="s">
        <v>63</v>
      </c>
      <c r="O1545" s="23" t="s">
        <v>63</v>
      </c>
      <c r="P1545" s="23" t="s">
        <v>63</v>
      </c>
      <c r="Q1545" s="23" t="s">
        <v>63</v>
      </c>
      <c r="R1545" s="23">
        <v>1.0</v>
      </c>
      <c r="S1545" s="23" t="s">
        <v>63</v>
      </c>
      <c r="T1545" s="32" t="s">
        <v>63</v>
      </c>
      <c r="U1545" s="123">
        <v>15.0</v>
      </c>
      <c r="V1545" s="23" t="s">
        <v>63</v>
      </c>
      <c r="W1545" s="23" t="s">
        <v>63</v>
      </c>
      <c r="X1545" s="23" t="s">
        <v>63</v>
      </c>
      <c r="Y1545" s="35">
        <v>15.0</v>
      </c>
      <c r="Z1545" s="32" t="s">
        <v>63</v>
      </c>
      <c r="AA1545" s="38"/>
      <c r="AB1545" s="38"/>
      <c r="AC1545" s="38"/>
      <c r="AD1545" s="38"/>
      <c r="AE1545" s="38"/>
      <c r="AF1545" s="38"/>
      <c r="AG1545" s="38"/>
      <c r="AH1545" s="38"/>
      <c r="AI1545" s="38"/>
      <c r="AJ1545" s="38"/>
      <c r="AK1545" s="38"/>
    </row>
    <row r="1546">
      <c r="A1546" s="99">
        <v>1545.0</v>
      </c>
      <c r="B1546" s="15"/>
      <c r="C1546" s="15"/>
      <c r="D1546" s="105">
        <v>1.0</v>
      </c>
      <c r="E1546" s="102">
        <v>29.0</v>
      </c>
      <c r="F1546" s="107">
        <v>69.0</v>
      </c>
      <c r="G1546" s="15" t="str">
        <f t="shared" si="1"/>
        <v>29069</v>
      </c>
      <c r="H1546" s="23" t="s">
        <v>1403</v>
      </c>
      <c r="I1546" s="23" t="s">
        <v>73</v>
      </c>
      <c r="J1546" s="23" t="s">
        <v>410</v>
      </c>
      <c r="K1546" s="23" t="str">
        <f t="shared" si="26"/>
        <v>Dunklin, MO</v>
      </c>
      <c r="L1546" s="23">
        <v>172.0</v>
      </c>
      <c r="M1546" s="23" t="s">
        <v>63</v>
      </c>
      <c r="N1546" s="23" t="s">
        <v>63</v>
      </c>
      <c r="O1546" s="23" t="s">
        <v>63</v>
      </c>
      <c r="P1546" s="23" t="s">
        <v>63</v>
      </c>
      <c r="Q1546" s="23" t="s">
        <v>63</v>
      </c>
      <c r="R1546" s="23">
        <v>0.0</v>
      </c>
      <c r="S1546" s="23" t="s">
        <v>63</v>
      </c>
      <c r="T1546" s="32" t="s">
        <v>63</v>
      </c>
      <c r="U1546" s="123">
        <v>50.0</v>
      </c>
      <c r="V1546" s="23" t="s">
        <v>63</v>
      </c>
      <c r="W1546" s="23" t="s">
        <v>63</v>
      </c>
      <c r="X1546" s="23" t="s">
        <v>63</v>
      </c>
      <c r="Y1546" s="35">
        <v>49.0</v>
      </c>
      <c r="Z1546" s="32" t="s">
        <v>63</v>
      </c>
      <c r="AA1546" s="38"/>
      <c r="AB1546" s="38"/>
      <c r="AC1546" s="38"/>
      <c r="AD1546" s="38"/>
      <c r="AE1546" s="38"/>
      <c r="AF1546" s="38"/>
      <c r="AG1546" s="38"/>
      <c r="AH1546" s="38"/>
      <c r="AI1546" s="38"/>
      <c r="AJ1546" s="38"/>
      <c r="AK1546" s="38"/>
    </row>
    <row r="1547">
      <c r="A1547" s="99">
        <v>1546.0</v>
      </c>
      <c r="B1547" s="15"/>
      <c r="C1547" s="15"/>
      <c r="D1547" s="105">
        <v>1.0</v>
      </c>
      <c r="E1547" s="102">
        <v>29.0</v>
      </c>
      <c r="F1547" s="107">
        <v>71.0</v>
      </c>
      <c r="G1547" s="15" t="str">
        <f t="shared" si="1"/>
        <v>29071</v>
      </c>
      <c r="H1547" s="23" t="s">
        <v>136</v>
      </c>
      <c r="I1547" s="23" t="s">
        <v>73</v>
      </c>
      <c r="J1547" s="23" t="s">
        <v>410</v>
      </c>
      <c r="K1547" s="23" t="str">
        <f t="shared" si="26"/>
        <v>Franklin, MO</v>
      </c>
      <c r="L1547" s="23">
        <v>474.0</v>
      </c>
      <c r="M1547" s="23" t="s">
        <v>63</v>
      </c>
      <c r="N1547" s="23" t="s">
        <v>63</v>
      </c>
      <c r="O1547" s="23" t="s">
        <v>63</v>
      </c>
      <c r="P1547" s="23" t="s">
        <v>63</v>
      </c>
      <c r="Q1547" s="23" t="s">
        <v>63</v>
      </c>
      <c r="R1547" s="23">
        <v>37.0</v>
      </c>
      <c r="S1547" s="23" t="s">
        <v>63</v>
      </c>
      <c r="T1547" s="32" t="s">
        <v>63</v>
      </c>
      <c r="U1547" s="123">
        <v>97.0</v>
      </c>
      <c r="V1547" s="23" t="s">
        <v>63</v>
      </c>
      <c r="W1547" s="23" t="s">
        <v>63</v>
      </c>
      <c r="X1547" s="23" t="s">
        <v>63</v>
      </c>
      <c r="Y1547" s="35">
        <v>129.0</v>
      </c>
      <c r="Z1547" s="32" t="s">
        <v>63</v>
      </c>
      <c r="AA1547" s="38"/>
      <c r="AB1547" s="38"/>
      <c r="AC1547" s="38"/>
      <c r="AD1547" s="38"/>
      <c r="AE1547" s="38"/>
      <c r="AF1547" s="38"/>
      <c r="AG1547" s="38"/>
      <c r="AH1547" s="38"/>
      <c r="AI1547" s="38"/>
      <c r="AJ1547" s="38"/>
      <c r="AK1547" s="38"/>
    </row>
    <row r="1548">
      <c r="A1548" s="99">
        <v>1547.0</v>
      </c>
      <c r="B1548" s="15"/>
      <c r="C1548" s="15"/>
      <c r="D1548" s="105">
        <v>1.0</v>
      </c>
      <c r="E1548" s="102">
        <v>29.0</v>
      </c>
      <c r="F1548" s="107">
        <v>73.0</v>
      </c>
      <c r="G1548" s="15" t="str">
        <f t="shared" si="1"/>
        <v>29073</v>
      </c>
      <c r="H1548" s="23" t="s">
        <v>1404</v>
      </c>
      <c r="I1548" s="23" t="s">
        <v>73</v>
      </c>
      <c r="J1548" s="23" t="s">
        <v>410</v>
      </c>
      <c r="K1548" s="23" t="str">
        <f t="shared" si="26"/>
        <v>Gasconade, MO</v>
      </c>
      <c r="L1548" s="23">
        <v>55.0</v>
      </c>
      <c r="M1548" s="23" t="s">
        <v>63</v>
      </c>
      <c r="N1548" s="23" t="s">
        <v>63</v>
      </c>
      <c r="O1548" s="23" t="s">
        <v>63</v>
      </c>
      <c r="P1548" s="23" t="s">
        <v>63</v>
      </c>
      <c r="Q1548" s="23" t="s">
        <v>63</v>
      </c>
      <c r="R1548" s="23">
        <v>3.0</v>
      </c>
      <c r="S1548" s="23" t="s">
        <v>63</v>
      </c>
      <c r="T1548" s="32" t="s">
        <v>63</v>
      </c>
      <c r="U1548" s="123">
        <v>21.0</v>
      </c>
      <c r="V1548" s="23" t="s">
        <v>63</v>
      </c>
      <c r="W1548" s="23" t="s">
        <v>63</v>
      </c>
      <c r="X1548" s="23" t="s">
        <v>63</v>
      </c>
      <c r="Y1548" s="35">
        <v>38.0</v>
      </c>
      <c r="Z1548" s="32" t="s">
        <v>63</v>
      </c>
      <c r="AA1548" s="38"/>
      <c r="AB1548" s="38"/>
      <c r="AC1548" s="38"/>
      <c r="AD1548" s="38"/>
      <c r="AE1548" s="38"/>
      <c r="AF1548" s="38"/>
      <c r="AG1548" s="38"/>
      <c r="AH1548" s="38"/>
      <c r="AI1548" s="38"/>
      <c r="AJ1548" s="38"/>
      <c r="AK1548" s="38"/>
    </row>
    <row r="1549">
      <c r="A1549" s="99">
        <v>1548.0</v>
      </c>
      <c r="B1549" s="15"/>
      <c r="C1549" s="15"/>
      <c r="D1549" s="105">
        <v>1.0</v>
      </c>
      <c r="E1549" s="102">
        <v>29.0</v>
      </c>
      <c r="F1549" s="107">
        <v>75.0</v>
      </c>
      <c r="G1549" s="15" t="str">
        <f t="shared" si="1"/>
        <v>29075</v>
      </c>
      <c r="H1549" s="23" t="s">
        <v>1405</v>
      </c>
      <c r="I1549" s="23" t="s">
        <v>73</v>
      </c>
      <c r="J1549" s="23" t="s">
        <v>410</v>
      </c>
      <c r="K1549" s="23" t="str">
        <f t="shared" si="26"/>
        <v>Gentry, MO</v>
      </c>
      <c r="L1549" s="23">
        <v>43.0</v>
      </c>
      <c r="M1549" s="23" t="s">
        <v>63</v>
      </c>
      <c r="N1549" s="23" t="s">
        <v>63</v>
      </c>
      <c r="O1549" s="23" t="s">
        <v>63</v>
      </c>
      <c r="P1549" s="23" t="s">
        <v>63</v>
      </c>
      <c r="Q1549" s="23" t="s">
        <v>63</v>
      </c>
      <c r="R1549" s="23">
        <v>3.0</v>
      </c>
      <c r="S1549" s="23" t="s">
        <v>63</v>
      </c>
      <c r="T1549" s="32" t="s">
        <v>63</v>
      </c>
      <c r="U1549" s="123">
        <v>4.0</v>
      </c>
      <c r="V1549" s="23" t="s">
        <v>63</v>
      </c>
      <c r="W1549" s="23" t="s">
        <v>63</v>
      </c>
      <c r="X1549" s="23" t="s">
        <v>63</v>
      </c>
      <c r="Y1549" s="35">
        <v>12.0</v>
      </c>
      <c r="Z1549" s="32" t="s">
        <v>63</v>
      </c>
      <c r="AA1549" s="38"/>
      <c r="AB1549" s="38"/>
      <c r="AC1549" s="38"/>
      <c r="AD1549" s="38"/>
      <c r="AE1549" s="38"/>
      <c r="AF1549" s="38"/>
      <c r="AG1549" s="38"/>
      <c r="AH1549" s="38"/>
      <c r="AI1549" s="38"/>
      <c r="AJ1549" s="38"/>
      <c r="AK1549" s="38"/>
    </row>
    <row r="1550">
      <c r="A1550" s="99">
        <v>1549.0</v>
      </c>
      <c r="B1550" s="15"/>
      <c r="C1550" s="15"/>
      <c r="D1550" s="105">
        <v>1.0</v>
      </c>
      <c r="E1550" s="102">
        <v>29.0</v>
      </c>
      <c r="F1550" s="107">
        <v>77.0</v>
      </c>
      <c r="G1550" s="15" t="str">
        <f t="shared" si="1"/>
        <v>29077</v>
      </c>
      <c r="H1550" s="23" t="s">
        <v>138</v>
      </c>
      <c r="I1550" s="23" t="s">
        <v>73</v>
      </c>
      <c r="J1550" s="23" t="s">
        <v>410</v>
      </c>
      <c r="K1550" s="23" t="str">
        <f t="shared" si="26"/>
        <v>Greene, MO</v>
      </c>
      <c r="L1550" s="23">
        <v>1068.0</v>
      </c>
      <c r="M1550" s="23" t="s">
        <v>63</v>
      </c>
      <c r="N1550" s="23" t="s">
        <v>63</v>
      </c>
      <c r="O1550" s="23" t="s">
        <v>63</v>
      </c>
      <c r="P1550" s="23" t="s">
        <v>63</v>
      </c>
      <c r="Q1550" s="23" t="s">
        <v>63</v>
      </c>
      <c r="R1550" s="23">
        <v>105.0</v>
      </c>
      <c r="S1550" s="23" t="s">
        <v>63</v>
      </c>
      <c r="T1550" s="32" t="s">
        <v>63</v>
      </c>
      <c r="U1550" s="123">
        <v>258.0</v>
      </c>
      <c r="V1550" s="23" t="s">
        <v>63</v>
      </c>
      <c r="W1550" s="23" t="s">
        <v>63</v>
      </c>
      <c r="X1550" s="23" t="s">
        <v>63</v>
      </c>
      <c r="Y1550" s="35">
        <v>279.0</v>
      </c>
      <c r="Z1550" s="32" t="s">
        <v>63</v>
      </c>
      <c r="AA1550" s="38"/>
      <c r="AB1550" s="38"/>
      <c r="AC1550" s="38"/>
      <c r="AD1550" s="38"/>
      <c r="AE1550" s="38"/>
      <c r="AF1550" s="38"/>
      <c r="AG1550" s="38"/>
      <c r="AH1550" s="38"/>
      <c r="AI1550" s="38"/>
      <c r="AJ1550" s="38"/>
      <c r="AK1550" s="38"/>
    </row>
    <row r="1551">
      <c r="A1551" s="99">
        <v>1550.0</v>
      </c>
      <c r="B1551" s="15"/>
      <c r="C1551" s="15"/>
      <c r="D1551" s="105">
        <v>1.0</v>
      </c>
      <c r="E1551" s="102">
        <v>29.0</v>
      </c>
      <c r="F1551" s="107">
        <v>79.0</v>
      </c>
      <c r="G1551" s="15" t="str">
        <f t="shared" si="1"/>
        <v>29079</v>
      </c>
      <c r="H1551" s="23" t="s">
        <v>720</v>
      </c>
      <c r="I1551" s="23" t="s">
        <v>73</v>
      </c>
      <c r="J1551" s="23" t="s">
        <v>410</v>
      </c>
      <c r="K1551" s="23" t="str">
        <f t="shared" si="26"/>
        <v>Grundy, MO</v>
      </c>
      <c r="L1551" s="23">
        <v>36.0</v>
      </c>
      <c r="M1551" s="23" t="s">
        <v>63</v>
      </c>
      <c r="N1551" s="23" t="s">
        <v>63</v>
      </c>
      <c r="O1551" s="23" t="s">
        <v>63</v>
      </c>
      <c r="P1551" s="23" t="s">
        <v>63</v>
      </c>
      <c r="Q1551" s="23" t="s">
        <v>63</v>
      </c>
      <c r="R1551" s="23">
        <v>0.0</v>
      </c>
      <c r="S1551" s="23" t="s">
        <v>63</v>
      </c>
      <c r="T1551" s="32" t="s">
        <v>63</v>
      </c>
      <c r="U1551" s="123">
        <v>30.0</v>
      </c>
      <c r="V1551" s="23" t="s">
        <v>63</v>
      </c>
      <c r="W1551" s="23" t="s">
        <v>63</v>
      </c>
      <c r="X1551" s="23" t="s">
        <v>63</v>
      </c>
      <c r="Y1551" s="35">
        <v>21.0</v>
      </c>
      <c r="Z1551" s="32" t="s">
        <v>63</v>
      </c>
      <c r="AA1551" s="38"/>
      <c r="AB1551" s="38"/>
      <c r="AC1551" s="38"/>
      <c r="AD1551" s="38"/>
      <c r="AE1551" s="38"/>
      <c r="AF1551" s="38"/>
      <c r="AG1551" s="38"/>
      <c r="AH1551" s="38"/>
      <c r="AI1551" s="38"/>
      <c r="AJ1551" s="38"/>
      <c r="AK1551" s="38"/>
    </row>
    <row r="1552">
      <c r="A1552" s="99">
        <v>1551.0</v>
      </c>
      <c r="B1552" s="15"/>
      <c r="C1552" s="15"/>
      <c r="D1552" s="105">
        <v>1.0</v>
      </c>
      <c r="E1552" s="102">
        <v>29.0</v>
      </c>
      <c r="F1552" s="107">
        <v>81.0</v>
      </c>
      <c r="G1552" s="15" t="str">
        <f t="shared" si="1"/>
        <v>29081</v>
      </c>
      <c r="H1552" s="23" t="s">
        <v>775</v>
      </c>
      <c r="I1552" s="23" t="s">
        <v>73</v>
      </c>
      <c r="J1552" s="23" t="s">
        <v>410</v>
      </c>
      <c r="K1552" s="23" t="str">
        <f t="shared" si="26"/>
        <v>Harrison, MO</v>
      </c>
      <c r="L1552" s="23">
        <v>44.0</v>
      </c>
      <c r="M1552" s="23" t="s">
        <v>63</v>
      </c>
      <c r="N1552" s="23" t="s">
        <v>63</v>
      </c>
      <c r="O1552" s="23" t="s">
        <v>63</v>
      </c>
      <c r="P1552" s="23" t="s">
        <v>63</v>
      </c>
      <c r="Q1552" s="23" t="s">
        <v>63</v>
      </c>
      <c r="R1552" s="23">
        <v>2.0</v>
      </c>
      <c r="S1552" s="23" t="s">
        <v>63</v>
      </c>
      <c r="T1552" s="32" t="s">
        <v>63</v>
      </c>
      <c r="U1552" s="123">
        <v>18.0</v>
      </c>
      <c r="V1552" s="23" t="s">
        <v>63</v>
      </c>
      <c r="W1552" s="23" t="s">
        <v>63</v>
      </c>
      <c r="X1552" s="23" t="s">
        <v>63</v>
      </c>
      <c r="Y1552" s="35">
        <v>25.0</v>
      </c>
      <c r="Z1552" s="32" t="s">
        <v>63</v>
      </c>
      <c r="AA1552" s="38"/>
      <c r="AB1552" s="38"/>
      <c r="AC1552" s="38"/>
      <c r="AD1552" s="38"/>
      <c r="AE1552" s="38"/>
      <c r="AF1552" s="38"/>
      <c r="AG1552" s="38"/>
      <c r="AH1552" s="38"/>
      <c r="AI1552" s="38"/>
      <c r="AJ1552" s="38"/>
      <c r="AK1552" s="38"/>
    </row>
    <row r="1553">
      <c r="A1553" s="99">
        <v>1552.0</v>
      </c>
      <c r="B1553" s="15"/>
      <c r="C1553" s="15"/>
      <c r="D1553" s="105">
        <v>1.0</v>
      </c>
      <c r="E1553" s="102">
        <v>29.0</v>
      </c>
      <c r="F1553" s="107">
        <v>83.0</v>
      </c>
      <c r="G1553" s="15" t="str">
        <f t="shared" si="1"/>
        <v>29083</v>
      </c>
      <c r="H1553" s="23" t="s">
        <v>140</v>
      </c>
      <c r="I1553" s="23" t="s">
        <v>73</v>
      </c>
      <c r="J1553" s="23" t="s">
        <v>410</v>
      </c>
      <c r="K1553" s="23" t="str">
        <f t="shared" si="26"/>
        <v>Henry, MO</v>
      </c>
      <c r="L1553" s="23">
        <v>123.0</v>
      </c>
      <c r="M1553" s="23" t="s">
        <v>63</v>
      </c>
      <c r="N1553" s="23" t="s">
        <v>63</v>
      </c>
      <c r="O1553" s="23" t="s">
        <v>63</v>
      </c>
      <c r="P1553" s="23" t="s">
        <v>63</v>
      </c>
      <c r="Q1553" s="23" t="s">
        <v>63</v>
      </c>
      <c r="R1553" s="23">
        <v>6.0</v>
      </c>
      <c r="S1553" s="23" t="s">
        <v>63</v>
      </c>
      <c r="T1553" s="32" t="s">
        <v>63</v>
      </c>
      <c r="U1553" s="123">
        <v>41.0</v>
      </c>
      <c r="V1553" s="23" t="s">
        <v>63</v>
      </c>
      <c r="W1553" s="23" t="s">
        <v>63</v>
      </c>
      <c r="X1553" s="23" t="s">
        <v>63</v>
      </c>
      <c r="Y1553" s="35">
        <v>32.0</v>
      </c>
      <c r="Z1553" s="32" t="s">
        <v>63</v>
      </c>
      <c r="AA1553" s="38"/>
      <c r="AB1553" s="38"/>
      <c r="AC1553" s="38"/>
      <c r="AD1553" s="38"/>
      <c r="AE1553" s="38"/>
      <c r="AF1553" s="38"/>
      <c r="AG1553" s="38"/>
      <c r="AH1553" s="38"/>
      <c r="AI1553" s="38"/>
      <c r="AJ1553" s="38"/>
      <c r="AK1553" s="38"/>
    </row>
    <row r="1554">
      <c r="A1554" s="99">
        <v>1553.0</v>
      </c>
      <c r="B1554" s="15"/>
      <c r="C1554" s="15"/>
      <c r="D1554" s="105">
        <v>1.0</v>
      </c>
      <c r="E1554" s="102">
        <v>29.0</v>
      </c>
      <c r="F1554" s="107">
        <v>85.0</v>
      </c>
      <c r="G1554" s="15" t="str">
        <f t="shared" si="1"/>
        <v>29085</v>
      </c>
      <c r="H1554" s="23" t="s">
        <v>1406</v>
      </c>
      <c r="I1554" s="23" t="s">
        <v>73</v>
      </c>
      <c r="J1554" s="23" t="s">
        <v>410</v>
      </c>
      <c r="K1554" s="23" t="str">
        <f t="shared" si="26"/>
        <v>Hickory, MO</v>
      </c>
      <c r="L1554" s="23">
        <v>15.0</v>
      </c>
      <c r="M1554" s="23" t="s">
        <v>63</v>
      </c>
      <c r="N1554" s="23" t="s">
        <v>63</v>
      </c>
      <c r="O1554" s="23" t="s">
        <v>63</v>
      </c>
      <c r="P1554" s="23" t="s">
        <v>63</v>
      </c>
      <c r="Q1554" s="23" t="s">
        <v>63</v>
      </c>
      <c r="R1554" s="23">
        <v>2.0</v>
      </c>
      <c r="S1554" s="23" t="s">
        <v>63</v>
      </c>
      <c r="T1554" s="32" t="s">
        <v>63</v>
      </c>
      <c r="U1554" s="123">
        <v>8.0</v>
      </c>
      <c r="V1554" s="23" t="s">
        <v>63</v>
      </c>
      <c r="W1554" s="23" t="s">
        <v>63</v>
      </c>
      <c r="X1554" s="23" t="s">
        <v>63</v>
      </c>
      <c r="Y1554" s="35">
        <v>13.0</v>
      </c>
      <c r="Z1554" s="32" t="s">
        <v>63</v>
      </c>
      <c r="AA1554" s="38"/>
      <c r="AB1554" s="38"/>
      <c r="AC1554" s="38"/>
      <c r="AD1554" s="38"/>
      <c r="AE1554" s="38"/>
      <c r="AF1554" s="38"/>
      <c r="AG1554" s="38"/>
      <c r="AH1554" s="38"/>
      <c r="AI1554" s="38"/>
      <c r="AJ1554" s="38"/>
      <c r="AK1554" s="38"/>
    </row>
    <row r="1555">
      <c r="A1555" s="99">
        <v>1554.0</v>
      </c>
      <c r="B1555" s="15"/>
      <c r="C1555" s="15"/>
      <c r="D1555" s="105">
        <v>1.0</v>
      </c>
      <c r="E1555" s="102">
        <v>29.0</v>
      </c>
      <c r="F1555" s="107">
        <v>87.0</v>
      </c>
      <c r="G1555" s="15" t="str">
        <f t="shared" si="1"/>
        <v>29087</v>
      </c>
      <c r="H1555" s="23" t="s">
        <v>1407</v>
      </c>
      <c r="I1555" s="23" t="s">
        <v>73</v>
      </c>
      <c r="J1555" s="23" t="s">
        <v>410</v>
      </c>
      <c r="K1555" s="23" t="str">
        <f t="shared" si="26"/>
        <v>Holt, MO</v>
      </c>
      <c r="L1555" s="23">
        <v>21.0</v>
      </c>
      <c r="M1555" s="23" t="s">
        <v>63</v>
      </c>
      <c r="N1555" s="23" t="s">
        <v>63</v>
      </c>
      <c r="O1555" s="23" t="s">
        <v>63</v>
      </c>
      <c r="P1555" s="23" t="s">
        <v>63</v>
      </c>
      <c r="Q1555" s="23" t="s">
        <v>63</v>
      </c>
      <c r="R1555" s="23">
        <v>4.0</v>
      </c>
      <c r="S1555" s="23" t="s">
        <v>63</v>
      </c>
      <c r="T1555" s="32" t="s">
        <v>63</v>
      </c>
      <c r="U1555" s="123">
        <v>4.0</v>
      </c>
      <c r="V1555" s="23" t="s">
        <v>63</v>
      </c>
      <c r="W1555" s="23" t="s">
        <v>63</v>
      </c>
      <c r="X1555" s="23" t="s">
        <v>63</v>
      </c>
      <c r="Y1555" s="35">
        <v>13.0</v>
      </c>
      <c r="Z1555" s="32" t="s">
        <v>63</v>
      </c>
      <c r="AA1555" s="38"/>
      <c r="AB1555" s="38"/>
      <c r="AC1555" s="38"/>
      <c r="AD1555" s="38"/>
      <c r="AE1555" s="38"/>
      <c r="AF1555" s="38"/>
      <c r="AG1555" s="38"/>
      <c r="AH1555" s="38"/>
      <c r="AI1555" s="38"/>
      <c r="AJ1555" s="38"/>
      <c r="AK1555" s="38"/>
    </row>
    <row r="1556">
      <c r="A1556" s="99">
        <v>1555.0</v>
      </c>
      <c r="B1556" s="15"/>
      <c r="C1556" s="15"/>
      <c r="D1556" s="105">
        <v>1.0</v>
      </c>
      <c r="E1556" s="102">
        <v>29.0</v>
      </c>
      <c r="F1556" s="107">
        <v>89.0</v>
      </c>
      <c r="G1556" s="15" t="str">
        <f t="shared" si="1"/>
        <v>29089</v>
      </c>
      <c r="H1556" s="23" t="s">
        <v>283</v>
      </c>
      <c r="I1556" s="23" t="s">
        <v>73</v>
      </c>
      <c r="J1556" s="23" t="s">
        <v>410</v>
      </c>
      <c r="K1556" s="23" t="str">
        <f t="shared" si="26"/>
        <v>Howard, MO</v>
      </c>
      <c r="L1556" s="23">
        <v>67.0</v>
      </c>
      <c r="M1556" s="23" t="s">
        <v>63</v>
      </c>
      <c r="N1556" s="23" t="s">
        <v>63</v>
      </c>
      <c r="O1556" s="23" t="s">
        <v>63</v>
      </c>
      <c r="P1556" s="23" t="s">
        <v>63</v>
      </c>
      <c r="Q1556" s="23" t="s">
        <v>63</v>
      </c>
      <c r="R1556" s="23">
        <v>0.0</v>
      </c>
      <c r="S1556" s="23" t="s">
        <v>63</v>
      </c>
      <c r="T1556" s="32" t="s">
        <v>63</v>
      </c>
      <c r="U1556" s="123">
        <v>5.0</v>
      </c>
      <c r="V1556" s="23" t="s">
        <v>63</v>
      </c>
      <c r="W1556" s="23" t="s">
        <v>63</v>
      </c>
      <c r="X1556" s="23" t="s">
        <v>63</v>
      </c>
      <c r="Y1556" s="35">
        <v>14.0</v>
      </c>
      <c r="Z1556" s="32" t="s">
        <v>63</v>
      </c>
      <c r="AA1556" s="38"/>
      <c r="AB1556" s="38"/>
      <c r="AC1556" s="38"/>
      <c r="AD1556" s="38"/>
      <c r="AE1556" s="38"/>
      <c r="AF1556" s="38"/>
      <c r="AG1556" s="38"/>
      <c r="AH1556" s="38"/>
      <c r="AI1556" s="38"/>
      <c r="AJ1556" s="38"/>
      <c r="AK1556" s="38"/>
    </row>
    <row r="1557">
      <c r="A1557" s="99">
        <v>1556.0</v>
      </c>
      <c r="B1557" s="15"/>
      <c r="C1557" s="15"/>
      <c r="D1557" s="105">
        <v>1.0</v>
      </c>
      <c r="E1557" s="102">
        <v>29.0</v>
      </c>
      <c r="F1557" s="107">
        <v>91.0</v>
      </c>
      <c r="G1557" s="15" t="str">
        <f t="shared" si="1"/>
        <v>29091</v>
      </c>
      <c r="H1557" s="23" t="s">
        <v>1408</v>
      </c>
      <c r="I1557" s="23" t="s">
        <v>73</v>
      </c>
      <c r="J1557" s="23" t="s">
        <v>410</v>
      </c>
      <c r="K1557" s="23" t="str">
        <f t="shared" si="26"/>
        <v>Howell, MO</v>
      </c>
      <c r="L1557" s="23">
        <v>195.0</v>
      </c>
      <c r="M1557" s="23" t="s">
        <v>63</v>
      </c>
      <c r="N1557" s="23" t="s">
        <v>63</v>
      </c>
      <c r="O1557" s="23" t="s">
        <v>63</v>
      </c>
      <c r="P1557" s="23" t="s">
        <v>63</v>
      </c>
      <c r="Q1557" s="23" t="s">
        <v>63</v>
      </c>
      <c r="R1557" s="23">
        <v>1.0</v>
      </c>
      <c r="S1557" s="23" t="s">
        <v>63</v>
      </c>
      <c r="T1557" s="32" t="s">
        <v>63</v>
      </c>
      <c r="U1557" s="123">
        <v>111.0</v>
      </c>
      <c r="V1557" s="23" t="s">
        <v>63</v>
      </c>
      <c r="W1557" s="23" t="s">
        <v>63</v>
      </c>
      <c r="X1557" s="23" t="s">
        <v>63</v>
      </c>
      <c r="Y1557" s="35">
        <v>56.0</v>
      </c>
      <c r="Z1557" s="32" t="s">
        <v>63</v>
      </c>
      <c r="AA1557" s="38"/>
      <c r="AB1557" s="38"/>
      <c r="AC1557" s="38"/>
      <c r="AD1557" s="38"/>
      <c r="AE1557" s="38"/>
      <c r="AF1557" s="38"/>
      <c r="AG1557" s="38"/>
      <c r="AH1557" s="38"/>
      <c r="AI1557" s="38"/>
      <c r="AJ1557" s="38"/>
      <c r="AK1557" s="38"/>
    </row>
    <row r="1558">
      <c r="A1558" s="99">
        <v>1557.0</v>
      </c>
      <c r="B1558" s="15"/>
      <c r="C1558" s="15"/>
      <c r="D1558" s="105">
        <v>1.0</v>
      </c>
      <c r="E1558" s="102">
        <v>29.0</v>
      </c>
      <c r="F1558" s="107">
        <v>93.0</v>
      </c>
      <c r="G1558" s="15" t="str">
        <f t="shared" si="1"/>
        <v>29093</v>
      </c>
      <c r="H1558" s="23" t="s">
        <v>1259</v>
      </c>
      <c r="I1558" s="23" t="s">
        <v>73</v>
      </c>
      <c r="J1558" s="23" t="s">
        <v>410</v>
      </c>
      <c r="K1558" s="23" t="str">
        <f t="shared" si="26"/>
        <v>Iron, MO</v>
      </c>
      <c r="L1558" s="23">
        <v>49.0</v>
      </c>
      <c r="M1558" s="23" t="s">
        <v>63</v>
      </c>
      <c r="N1558" s="23" t="s">
        <v>63</v>
      </c>
      <c r="O1558" s="23" t="s">
        <v>63</v>
      </c>
      <c r="P1558" s="23" t="s">
        <v>63</v>
      </c>
      <c r="Q1558" s="23" t="s">
        <v>63</v>
      </c>
      <c r="R1558" s="23">
        <v>2.0</v>
      </c>
      <c r="S1558" s="23" t="s">
        <v>63</v>
      </c>
      <c r="T1558" s="32" t="s">
        <v>63</v>
      </c>
      <c r="U1558" s="123">
        <v>7.0</v>
      </c>
      <c r="V1558" s="23" t="s">
        <v>63</v>
      </c>
      <c r="W1558" s="23" t="s">
        <v>63</v>
      </c>
      <c r="X1558" s="23" t="s">
        <v>63</v>
      </c>
      <c r="Y1558" s="35">
        <v>28.0</v>
      </c>
      <c r="Z1558" s="32" t="s">
        <v>63</v>
      </c>
      <c r="AA1558" s="38"/>
      <c r="AB1558" s="38"/>
      <c r="AC1558" s="38"/>
      <c r="AD1558" s="38"/>
      <c r="AE1558" s="38"/>
      <c r="AF1558" s="38"/>
      <c r="AG1558" s="38"/>
      <c r="AH1558" s="38"/>
      <c r="AI1558" s="38"/>
      <c r="AJ1558" s="38"/>
      <c r="AK1558" s="38"/>
    </row>
    <row r="1559">
      <c r="A1559" s="99">
        <v>1558.0</v>
      </c>
      <c r="B1559" s="15"/>
      <c r="C1559" s="15"/>
      <c r="D1559" s="105">
        <v>1.0</v>
      </c>
      <c r="E1559" s="102">
        <v>29.0</v>
      </c>
      <c r="F1559" s="107">
        <v>95.0</v>
      </c>
      <c r="G1559" s="15" t="str">
        <f t="shared" si="1"/>
        <v>29095</v>
      </c>
      <c r="H1559" s="23" t="s">
        <v>142</v>
      </c>
      <c r="I1559" s="23" t="s">
        <v>73</v>
      </c>
      <c r="J1559" s="23" t="s">
        <v>410</v>
      </c>
      <c r="K1559" s="23" t="str">
        <f t="shared" si="26"/>
        <v>Jackson, MO</v>
      </c>
      <c r="L1559" s="23">
        <v>2367.0</v>
      </c>
      <c r="M1559" s="23" t="s">
        <v>63</v>
      </c>
      <c r="N1559" s="23" t="s">
        <v>63</v>
      </c>
      <c r="O1559" s="23" t="s">
        <v>63</v>
      </c>
      <c r="P1559" s="23" t="s">
        <v>63</v>
      </c>
      <c r="Q1559" s="23" t="s">
        <v>63</v>
      </c>
      <c r="R1559" s="23">
        <v>132.0</v>
      </c>
      <c r="S1559" s="23" t="s">
        <v>63</v>
      </c>
      <c r="T1559" s="32" t="s">
        <v>63</v>
      </c>
      <c r="U1559" s="123">
        <v>576.0</v>
      </c>
      <c r="V1559" s="23" t="s">
        <v>63</v>
      </c>
      <c r="W1559" s="23" t="s">
        <v>63</v>
      </c>
      <c r="X1559" s="23" t="s">
        <v>63</v>
      </c>
      <c r="Y1559" s="35">
        <v>629.0</v>
      </c>
      <c r="Z1559" s="32" t="s">
        <v>63</v>
      </c>
      <c r="AA1559" s="38"/>
      <c r="AB1559" s="38"/>
      <c r="AC1559" s="38"/>
      <c r="AD1559" s="38"/>
      <c r="AE1559" s="38"/>
      <c r="AF1559" s="38"/>
      <c r="AG1559" s="38"/>
      <c r="AH1559" s="38"/>
      <c r="AI1559" s="38"/>
      <c r="AJ1559" s="38"/>
      <c r="AK1559" s="38"/>
    </row>
    <row r="1560">
      <c r="A1560" s="99">
        <v>1559.0</v>
      </c>
      <c r="B1560" s="15"/>
      <c r="C1560" s="15"/>
      <c r="D1560" s="105">
        <v>1.0</v>
      </c>
      <c r="E1560" s="102">
        <v>29.0</v>
      </c>
      <c r="F1560" s="107">
        <v>97.0</v>
      </c>
      <c r="G1560" s="15" t="str">
        <f t="shared" si="1"/>
        <v>29097</v>
      </c>
      <c r="H1560" s="23" t="s">
        <v>593</v>
      </c>
      <c r="I1560" s="23" t="s">
        <v>73</v>
      </c>
      <c r="J1560" s="23" t="s">
        <v>410</v>
      </c>
      <c r="K1560" s="23" t="str">
        <f t="shared" si="26"/>
        <v>Jasper, MO</v>
      </c>
      <c r="L1560" s="23">
        <v>691.0</v>
      </c>
      <c r="M1560" s="23" t="s">
        <v>63</v>
      </c>
      <c r="N1560" s="23" t="s">
        <v>63</v>
      </c>
      <c r="O1560" s="23" t="s">
        <v>63</v>
      </c>
      <c r="P1560" s="23" t="s">
        <v>63</v>
      </c>
      <c r="Q1560" s="23" t="s">
        <v>63</v>
      </c>
      <c r="R1560" s="23">
        <v>12.0</v>
      </c>
      <c r="S1560" s="23" t="s">
        <v>63</v>
      </c>
      <c r="T1560" s="32" t="s">
        <v>63</v>
      </c>
      <c r="U1560" s="123">
        <v>292.0</v>
      </c>
      <c r="V1560" s="23" t="s">
        <v>63</v>
      </c>
      <c r="W1560" s="23" t="s">
        <v>63</v>
      </c>
      <c r="X1560" s="23" t="s">
        <v>63</v>
      </c>
      <c r="Y1560" s="35">
        <v>131.0</v>
      </c>
      <c r="Z1560" s="32" t="s">
        <v>63</v>
      </c>
      <c r="AA1560" s="38"/>
      <c r="AB1560" s="38"/>
      <c r="AC1560" s="38"/>
      <c r="AD1560" s="38"/>
      <c r="AE1560" s="38"/>
      <c r="AF1560" s="38"/>
      <c r="AG1560" s="38"/>
      <c r="AH1560" s="38"/>
      <c r="AI1560" s="38"/>
      <c r="AJ1560" s="38"/>
      <c r="AK1560" s="38"/>
    </row>
    <row r="1561">
      <c r="A1561" s="99">
        <v>1560.0</v>
      </c>
      <c r="B1561" s="15"/>
      <c r="C1561" s="15"/>
      <c r="D1561" s="105">
        <v>1.0</v>
      </c>
      <c r="E1561" s="102">
        <v>29.0</v>
      </c>
      <c r="F1561" s="107">
        <v>99.0</v>
      </c>
      <c r="G1561" s="15" t="str">
        <f t="shared" si="1"/>
        <v>29099</v>
      </c>
      <c r="H1561" s="23" t="s">
        <v>143</v>
      </c>
      <c r="I1561" s="23" t="s">
        <v>73</v>
      </c>
      <c r="J1561" s="23" t="s">
        <v>410</v>
      </c>
      <c r="K1561" s="23" t="str">
        <f t="shared" si="26"/>
        <v>Jefferson, MO</v>
      </c>
      <c r="L1561" s="23">
        <v>894.0</v>
      </c>
      <c r="M1561" s="23" t="s">
        <v>63</v>
      </c>
      <c r="N1561" s="23" t="s">
        <v>63</v>
      </c>
      <c r="O1561" s="23" t="s">
        <v>63</v>
      </c>
      <c r="P1561" s="23" t="s">
        <v>63</v>
      </c>
      <c r="Q1561" s="23" t="s">
        <v>63</v>
      </c>
      <c r="R1561" s="23">
        <v>27.0</v>
      </c>
      <c r="S1561" s="23" t="s">
        <v>63</v>
      </c>
      <c r="T1561" s="32" t="s">
        <v>63</v>
      </c>
      <c r="U1561" s="123">
        <v>143.0</v>
      </c>
      <c r="V1561" s="23" t="s">
        <v>63</v>
      </c>
      <c r="W1561" s="23" t="s">
        <v>63</v>
      </c>
      <c r="X1561" s="23" t="s">
        <v>63</v>
      </c>
      <c r="Y1561" s="35">
        <v>126.0</v>
      </c>
      <c r="Z1561" s="32" t="s">
        <v>63</v>
      </c>
      <c r="AA1561" s="38"/>
      <c r="AB1561" s="38"/>
      <c r="AC1561" s="38"/>
      <c r="AD1561" s="38"/>
      <c r="AE1561" s="38"/>
      <c r="AF1561" s="38"/>
      <c r="AG1561" s="38"/>
      <c r="AH1561" s="38"/>
      <c r="AI1561" s="38"/>
      <c r="AJ1561" s="38"/>
      <c r="AK1561" s="38"/>
    </row>
    <row r="1562">
      <c r="A1562" s="99">
        <v>1561.0</v>
      </c>
      <c r="B1562" s="15"/>
      <c r="C1562" s="15"/>
      <c r="D1562" s="105">
        <v>1.0</v>
      </c>
      <c r="E1562" s="102">
        <v>29.0</v>
      </c>
      <c r="F1562" s="107">
        <v>101.0</v>
      </c>
      <c r="G1562" s="15" t="str">
        <f t="shared" si="1"/>
        <v>29101</v>
      </c>
      <c r="H1562" s="23" t="s">
        <v>288</v>
      </c>
      <c r="I1562" s="23" t="s">
        <v>73</v>
      </c>
      <c r="J1562" s="23" t="s">
        <v>410</v>
      </c>
      <c r="K1562" s="23" t="str">
        <f t="shared" si="26"/>
        <v>Johnson, MO</v>
      </c>
      <c r="L1562" s="23">
        <v>164.0</v>
      </c>
      <c r="M1562" s="23" t="s">
        <v>63</v>
      </c>
      <c r="N1562" s="23" t="s">
        <v>63</v>
      </c>
      <c r="O1562" s="23" t="s">
        <v>63</v>
      </c>
      <c r="P1562" s="23" t="s">
        <v>63</v>
      </c>
      <c r="Q1562" s="23" t="s">
        <v>63</v>
      </c>
      <c r="R1562" s="23">
        <v>3.0</v>
      </c>
      <c r="S1562" s="23" t="s">
        <v>63</v>
      </c>
      <c r="T1562" s="32" t="s">
        <v>63</v>
      </c>
      <c r="U1562" s="123">
        <v>20.0</v>
      </c>
      <c r="V1562" s="23" t="s">
        <v>63</v>
      </c>
      <c r="W1562" s="23" t="s">
        <v>63</v>
      </c>
      <c r="X1562" s="23" t="s">
        <v>63</v>
      </c>
      <c r="Y1562" s="35">
        <v>50.0</v>
      </c>
      <c r="Z1562" s="32" t="s">
        <v>63</v>
      </c>
      <c r="AA1562" s="38"/>
      <c r="AB1562" s="38"/>
      <c r="AC1562" s="38"/>
      <c r="AD1562" s="38"/>
      <c r="AE1562" s="38"/>
      <c r="AF1562" s="38"/>
      <c r="AG1562" s="38"/>
      <c r="AH1562" s="38"/>
      <c r="AI1562" s="38"/>
      <c r="AJ1562" s="38"/>
      <c r="AK1562" s="38"/>
    </row>
    <row r="1563">
      <c r="A1563" s="99">
        <v>1562.0</v>
      </c>
      <c r="B1563" s="15"/>
      <c r="C1563" s="15"/>
      <c r="D1563" s="105">
        <v>1.0</v>
      </c>
      <c r="E1563" s="102">
        <v>29.0</v>
      </c>
      <c r="F1563" s="107">
        <v>103.0</v>
      </c>
      <c r="G1563" s="15" t="str">
        <f t="shared" si="1"/>
        <v>29103</v>
      </c>
      <c r="H1563" s="23" t="s">
        <v>728</v>
      </c>
      <c r="I1563" s="23" t="s">
        <v>73</v>
      </c>
      <c r="J1563" s="23" t="s">
        <v>410</v>
      </c>
      <c r="K1563" s="23" t="str">
        <f t="shared" si="26"/>
        <v>Knox, MO</v>
      </c>
      <c r="L1563" s="23">
        <v>29.0</v>
      </c>
      <c r="M1563" s="23" t="s">
        <v>63</v>
      </c>
      <c r="N1563" s="23" t="s">
        <v>63</v>
      </c>
      <c r="O1563" s="23" t="s">
        <v>63</v>
      </c>
      <c r="P1563" s="23" t="s">
        <v>63</v>
      </c>
      <c r="Q1563" s="23" t="s">
        <v>63</v>
      </c>
      <c r="R1563" s="23">
        <v>1.0</v>
      </c>
      <c r="S1563" s="23" t="s">
        <v>63</v>
      </c>
      <c r="T1563" s="32" t="s">
        <v>63</v>
      </c>
      <c r="U1563" s="123">
        <v>1.0</v>
      </c>
      <c r="V1563" s="23" t="s">
        <v>63</v>
      </c>
      <c r="W1563" s="23" t="s">
        <v>63</v>
      </c>
      <c r="X1563" s="23" t="s">
        <v>63</v>
      </c>
      <c r="Y1563" s="35">
        <v>6.0</v>
      </c>
      <c r="Z1563" s="32" t="s">
        <v>63</v>
      </c>
      <c r="AA1563" s="38"/>
      <c r="AB1563" s="38"/>
      <c r="AC1563" s="38"/>
      <c r="AD1563" s="38"/>
      <c r="AE1563" s="38"/>
      <c r="AF1563" s="38"/>
      <c r="AG1563" s="38"/>
      <c r="AH1563" s="38"/>
      <c r="AI1563" s="38"/>
      <c r="AJ1563" s="38"/>
      <c r="AK1563" s="38"/>
    </row>
    <row r="1564">
      <c r="A1564" s="99">
        <v>1563.0</v>
      </c>
      <c r="B1564" s="15"/>
      <c r="C1564" s="15"/>
      <c r="D1564" s="105">
        <v>1.0</v>
      </c>
      <c r="E1564" s="102">
        <v>29.0</v>
      </c>
      <c r="F1564" s="107">
        <v>105.0</v>
      </c>
      <c r="G1564" s="15" t="str">
        <f t="shared" si="1"/>
        <v>29105</v>
      </c>
      <c r="H1564" s="23" t="s">
        <v>1409</v>
      </c>
      <c r="I1564" s="23" t="s">
        <v>73</v>
      </c>
      <c r="J1564" s="23" t="s">
        <v>410</v>
      </c>
      <c r="K1564" s="23" t="str">
        <f t="shared" si="26"/>
        <v>Laclede, MO</v>
      </c>
      <c r="L1564" s="23">
        <v>240.0</v>
      </c>
      <c r="M1564" s="23" t="s">
        <v>63</v>
      </c>
      <c r="N1564" s="23" t="s">
        <v>63</v>
      </c>
      <c r="O1564" s="23" t="s">
        <v>63</v>
      </c>
      <c r="P1564" s="23" t="s">
        <v>63</v>
      </c>
      <c r="Q1564" s="23" t="s">
        <v>63</v>
      </c>
      <c r="R1564" s="23">
        <v>6.0</v>
      </c>
      <c r="S1564" s="23" t="s">
        <v>63</v>
      </c>
      <c r="T1564" s="32" t="s">
        <v>63</v>
      </c>
      <c r="U1564" s="123">
        <v>75.0</v>
      </c>
      <c r="V1564" s="23" t="s">
        <v>63</v>
      </c>
      <c r="W1564" s="23" t="s">
        <v>63</v>
      </c>
      <c r="X1564" s="23" t="s">
        <v>63</v>
      </c>
      <c r="Y1564" s="35">
        <v>56.0</v>
      </c>
      <c r="Z1564" s="32" t="s">
        <v>63</v>
      </c>
      <c r="AA1564" s="38"/>
      <c r="AB1564" s="38"/>
      <c r="AC1564" s="38"/>
      <c r="AD1564" s="38"/>
      <c r="AE1564" s="38"/>
      <c r="AF1564" s="38"/>
      <c r="AG1564" s="38"/>
      <c r="AH1564" s="38"/>
      <c r="AI1564" s="38"/>
      <c r="AJ1564" s="38"/>
      <c r="AK1564" s="38"/>
    </row>
    <row r="1565">
      <c r="A1565" s="99">
        <v>1564.0</v>
      </c>
      <c r="B1565" s="15"/>
      <c r="C1565" s="15"/>
      <c r="D1565" s="105">
        <v>1.0</v>
      </c>
      <c r="E1565" s="102">
        <v>29.0</v>
      </c>
      <c r="F1565" s="107">
        <v>107.0</v>
      </c>
      <c r="G1565" s="15" t="str">
        <f t="shared" si="1"/>
        <v>29107</v>
      </c>
      <c r="H1565" s="23" t="s">
        <v>289</v>
      </c>
      <c r="I1565" s="23" t="s">
        <v>73</v>
      </c>
      <c r="J1565" s="23" t="s">
        <v>410</v>
      </c>
      <c r="K1565" s="23" t="str">
        <f t="shared" si="26"/>
        <v>Lafayette, MO</v>
      </c>
      <c r="L1565" s="23">
        <v>55.0</v>
      </c>
      <c r="M1565" s="23" t="s">
        <v>63</v>
      </c>
      <c r="N1565" s="23" t="s">
        <v>63</v>
      </c>
      <c r="O1565" s="23" t="s">
        <v>63</v>
      </c>
      <c r="P1565" s="23" t="s">
        <v>63</v>
      </c>
      <c r="Q1565" s="23" t="s">
        <v>63</v>
      </c>
      <c r="R1565" s="23">
        <v>0.0</v>
      </c>
      <c r="S1565" s="23" t="s">
        <v>63</v>
      </c>
      <c r="T1565" s="32" t="s">
        <v>63</v>
      </c>
      <c r="U1565" s="123">
        <v>30.0</v>
      </c>
      <c r="V1565" s="23" t="s">
        <v>63</v>
      </c>
      <c r="W1565" s="23" t="s">
        <v>63</v>
      </c>
      <c r="X1565" s="23" t="s">
        <v>63</v>
      </c>
      <c r="Y1565" s="35">
        <v>58.0</v>
      </c>
      <c r="Z1565" s="32" t="s">
        <v>63</v>
      </c>
      <c r="AA1565" s="38"/>
      <c r="AB1565" s="38"/>
      <c r="AC1565" s="38"/>
      <c r="AD1565" s="38"/>
      <c r="AE1565" s="38"/>
      <c r="AF1565" s="38"/>
      <c r="AG1565" s="38"/>
      <c r="AH1565" s="38"/>
      <c r="AI1565" s="38"/>
      <c r="AJ1565" s="38"/>
      <c r="AK1565" s="38"/>
    </row>
    <row r="1566">
      <c r="A1566" s="99">
        <v>1565.0</v>
      </c>
      <c r="B1566" s="15"/>
      <c r="C1566" s="15"/>
      <c r="D1566" s="105">
        <v>1.0</v>
      </c>
      <c r="E1566" s="102">
        <v>29.0</v>
      </c>
      <c r="F1566" s="107">
        <v>109.0</v>
      </c>
      <c r="G1566" s="15" t="str">
        <f t="shared" si="1"/>
        <v>29109</v>
      </c>
      <c r="H1566" s="23" t="s">
        <v>146</v>
      </c>
      <c r="I1566" s="23" t="s">
        <v>73</v>
      </c>
      <c r="J1566" s="23" t="s">
        <v>410</v>
      </c>
      <c r="K1566" s="23" t="str">
        <f t="shared" si="26"/>
        <v>Lawrence, MO</v>
      </c>
      <c r="L1566" s="23">
        <v>235.0</v>
      </c>
      <c r="M1566" s="23" t="s">
        <v>63</v>
      </c>
      <c r="N1566" s="23" t="s">
        <v>63</v>
      </c>
      <c r="O1566" s="23" t="s">
        <v>63</v>
      </c>
      <c r="P1566" s="23" t="s">
        <v>63</v>
      </c>
      <c r="Q1566" s="23" t="s">
        <v>63</v>
      </c>
      <c r="R1566" s="23">
        <v>15.0</v>
      </c>
      <c r="S1566" s="23" t="s">
        <v>63</v>
      </c>
      <c r="T1566" s="32" t="s">
        <v>63</v>
      </c>
      <c r="U1566" s="123">
        <v>25.0</v>
      </c>
      <c r="V1566" s="23" t="s">
        <v>63</v>
      </c>
      <c r="W1566" s="23" t="s">
        <v>63</v>
      </c>
      <c r="X1566" s="23" t="s">
        <v>63</v>
      </c>
      <c r="Y1566" s="35">
        <v>74.0</v>
      </c>
      <c r="Z1566" s="32" t="s">
        <v>63</v>
      </c>
      <c r="AA1566" s="38"/>
      <c r="AB1566" s="38"/>
      <c r="AC1566" s="38"/>
      <c r="AD1566" s="38"/>
      <c r="AE1566" s="38"/>
      <c r="AF1566" s="38"/>
      <c r="AG1566" s="38"/>
      <c r="AH1566" s="38"/>
      <c r="AI1566" s="38"/>
      <c r="AJ1566" s="38"/>
      <c r="AK1566" s="38"/>
    </row>
    <row r="1567">
      <c r="A1567" s="99">
        <v>1566.0</v>
      </c>
      <c r="B1567" s="15"/>
      <c r="C1567" s="15"/>
      <c r="D1567" s="105">
        <v>1.0</v>
      </c>
      <c r="E1567" s="102">
        <v>29.0</v>
      </c>
      <c r="F1567" s="107">
        <v>111.0</v>
      </c>
      <c r="G1567" s="15" t="str">
        <f t="shared" si="1"/>
        <v>29111</v>
      </c>
      <c r="H1567" s="23" t="s">
        <v>682</v>
      </c>
      <c r="I1567" s="23" t="s">
        <v>73</v>
      </c>
      <c r="J1567" s="23" t="s">
        <v>410</v>
      </c>
      <c r="K1567" s="23" t="str">
        <f t="shared" si="26"/>
        <v>Lewis, MO</v>
      </c>
      <c r="L1567" s="23">
        <v>30.0</v>
      </c>
      <c r="M1567" s="23" t="s">
        <v>63</v>
      </c>
      <c r="N1567" s="23" t="s">
        <v>63</v>
      </c>
      <c r="O1567" s="23" t="s">
        <v>63</v>
      </c>
      <c r="P1567" s="23" t="s">
        <v>63</v>
      </c>
      <c r="Q1567" s="23" t="s">
        <v>63</v>
      </c>
      <c r="R1567" s="23">
        <v>0.0</v>
      </c>
      <c r="S1567" s="23" t="s">
        <v>63</v>
      </c>
      <c r="T1567" s="32" t="s">
        <v>63</v>
      </c>
      <c r="U1567" s="123">
        <v>10.0</v>
      </c>
      <c r="V1567" s="23" t="s">
        <v>63</v>
      </c>
      <c r="W1567" s="23" t="s">
        <v>63</v>
      </c>
      <c r="X1567" s="23" t="s">
        <v>63</v>
      </c>
      <c r="Y1567" s="35">
        <v>21.0</v>
      </c>
      <c r="Z1567" s="32" t="s">
        <v>63</v>
      </c>
      <c r="AA1567" s="38"/>
      <c r="AB1567" s="38"/>
      <c r="AC1567" s="38"/>
      <c r="AD1567" s="38"/>
      <c r="AE1567" s="38"/>
      <c r="AF1567" s="38"/>
      <c r="AG1567" s="38"/>
      <c r="AH1567" s="38"/>
      <c r="AI1567" s="38"/>
      <c r="AJ1567" s="38"/>
      <c r="AK1567" s="38"/>
    </row>
    <row r="1568">
      <c r="A1568" s="99">
        <v>1567.0</v>
      </c>
      <c r="B1568" s="15"/>
      <c r="C1568" s="15"/>
      <c r="D1568" s="105">
        <v>1.0</v>
      </c>
      <c r="E1568" s="102">
        <v>29.0</v>
      </c>
      <c r="F1568" s="107">
        <v>113.0</v>
      </c>
      <c r="G1568" s="15" t="str">
        <f t="shared" si="1"/>
        <v>29113</v>
      </c>
      <c r="H1568" s="23" t="s">
        <v>290</v>
      </c>
      <c r="I1568" s="23" t="s">
        <v>73</v>
      </c>
      <c r="J1568" s="23" t="s">
        <v>410</v>
      </c>
      <c r="K1568" s="23" t="str">
        <f t="shared" si="26"/>
        <v>Lincoln, MO</v>
      </c>
      <c r="L1568" s="23">
        <v>223.0</v>
      </c>
      <c r="M1568" s="23" t="s">
        <v>63</v>
      </c>
      <c r="N1568" s="23" t="s">
        <v>63</v>
      </c>
      <c r="O1568" s="23" t="s">
        <v>63</v>
      </c>
      <c r="P1568" s="23" t="s">
        <v>63</v>
      </c>
      <c r="Q1568" s="23" t="s">
        <v>63</v>
      </c>
      <c r="R1568" s="23">
        <v>13.0</v>
      </c>
      <c r="S1568" s="23" t="s">
        <v>63</v>
      </c>
      <c r="T1568" s="32" t="s">
        <v>63</v>
      </c>
      <c r="U1568" s="123">
        <v>79.0</v>
      </c>
      <c r="V1568" s="23" t="s">
        <v>63</v>
      </c>
      <c r="W1568" s="23" t="s">
        <v>63</v>
      </c>
      <c r="X1568" s="23" t="s">
        <v>63</v>
      </c>
      <c r="Y1568" s="35">
        <v>52.0</v>
      </c>
      <c r="Z1568" s="32" t="s">
        <v>63</v>
      </c>
      <c r="AA1568" s="38"/>
      <c r="AB1568" s="38"/>
      <c r="AC1568" s="38"/>
      <c r="AD1568" s="38"/>
      <c r="AE1568" s="38"/>
      <c r="AF1568" s="38"/>
      <c r="AG1568" s="38"/>
      <c r="AH1568" s="38"/>
      <c r="AI1568" s="38"/>
      <c r="AJ1568" s="38"/>
      <c r="AK1568" s="38"/>
    </row>
    <row r="1569">
      <c r="A1569" s="99">
        <v>1568.0</v>
      </c>
      <c r="B1569" s="15"/>
      <c r="C1569" s="15"/>
      <c r="D1569" s="105">
        <v>1.0</v>
      </c>
      <c r="E1569" s="102">
        <v>29.0</v>
      </c>
      <c r="F1569" s="107">
        <v>115.0</v>
      </c>
      <c r="G1569" s="15" t="str">
        <f t="shared" si="1"/>
        <v>29115</v>
      </c>
      <c r="H1569" s="23" t="s">
        <v>907</v>
      </c>
      <c r="I1569" s="23" t="s">
        <v>73</v>
      </c>
      <c r="J1569" s="23" t="s">
        <v>410</v>
      </c>
      <c r="K1569" s="23" t="str">
        <f t="shared" si="26"/>
        <v>Linn, MO</v>
      </c>
      <c r="L1569" s="23">
        <v>93.0</v>
      </c>
      <c r="M1569" s="23" t="s">
        <v>63</v>
      </c>
      <c r="N1569" s="23" t="s">
        <v>63</v>
      </c>
      <c r="O1569" s="23" t="s">
        <v>63</v>
      </c>
      <c r="P1569" s="23" t="s">
        <v>63</v>
      </c>
      <c r="Q1569" s="23" t="s">
        <v>63</v>
      </c>
      <c r="R1569" s="23">
        <v>3.0</v>
      </c>
      <c r="S1569" s="23" t="s">
        <v>63</v>
      </c>
      <c r="T1569" s="32" t="s">
        <v>63</v>
      </c>
      <c r="U1569" s="123">
        <v>20.0</v>
      </c>
      <c r="V1569" s="23" t="s">
        <v>63</v>
      </c>
      <c r="W1569" s="23" t="s">
        <v>63</v>
      </c>
      <c r="X1569" s="23" t="s">
        <v>63</v>
      </c>
      <c r="Y1569" s="35">
        <v>31.0</v>
      </c>
      <c r="Z1569" s="32" t="s">
        <v>63</v>
      </c>
      <c r="AA1569" s="38"/>
      <c r="AB1569" s="38"/>
      <c r="AC1569" s="38"/>
      <c r="AD1569" s="38"/>
      <c r="AE1569" s="38"/>
      <c r="AF1569" s="38"/>
      <c r="AG1569" s="38"/>
      <c r="AH1569" s="38"/>
      <c r="AI1569" s="38"/>
      <c r="AJ1569" s="38"/>
      <c r="AK1569" s="38"/>
    </row>
    <row r="1570">
      <c r="A1570" s="99">
        <v>1569.0</v>
      </c>
      <c r="B1570" s="15"/>
      <c r="C1570" s="15"/>
      <c r="D1570" s="105">
        <v>1.0</v>
      </c>
      <c r="E1570" s="102">
        <v>29.0</v>
      </c>
      <c r="F1570" s="107">
        <v>117.0</v>
      </c>
      <c r="G1570" s="15" t="str">
        <f t="shared" si="1"/>
        <v>29117</v>
      </c>
      <c r="H1570" s="23" t="s">
        <v>730</v>
      </c>
      <c r="I1570" s="23" t="s">
        <v>73</v>
      </c>
      <c r="J1570" s="23" t="s">
        <v>410</v>
      </c>
      <c r="K1570" s="23" t="str">
        <f t="shared" si="26"/>
        <v>Livingston, MO</v>
      </c>
      <c r="L1570" s="23">
        <v>63.0</v>
      </c>
      <c r="M1570" s="23" t="s">
        <v>63</v>
      </c>
      <c r="N1570" s="23" t="s">
        <v>63</v>
      </c>
      <c r="O1570" s="23" t="s">
        <v>63</v>
      </c>
      <c r="P1570" s="23" t="s">
        <v>63</v>
      </c>
      <c r="Q1570" s="23" t="s">
        <v>63</v>
      </c>
      <c r="R1570" s="23">
        <v>1.0</v>
      </c>
      <c r="S1570" s="23" t="s">
        <v>63</v>
      </c>
      <c r="T1570" s="32" t="s">
        <v>63</v>
      </c>
      <c r="U1570" s="123">
        <v>29.0</v>
      </c>
      <c r="V1570" s="23" t="s">
        <v>63</v>
      </c>
      <c r="W1570" s="23" t="s">
        <v>63</v>
      </c>
      <c r="X1570" s="23" t="s">
        <v>63</v>
      </c>
      <c r="Y1570" s="35">
        <v>20.0</v>
      </c>
      <c r="Z1570" s="32" t="s">
        <v>63</v>
      </c>
      <c r="AA1570" s="38"/>
      <c r="AB1570" s="38"/>
      <c r="AC1570" s="38"/>
      <c r="AD1570" s="38"/>
      <c r="AE1570" s="38"/>
      <c r="AF1570" s="38"/>
      <c r="AG1570" s="38"/>
      <c r="AH1570" s="38"/>
      <c r="AI1570" s="38"/>
      <c r="AJ1570" s="38"/>
      <c r="AK1570" s="38"/>
    </row>
    <row r="1571">
      <c r="A1571" s="99">
        <v>1570.0</v>
      </c>
      <c r="B1571" s="15"/>
      <c r="C1571" s="15"/>
      <c r="D1571" s="105">
        <v>1.0</v>
      </c>
      <c r="E1571" s="102">
        <v>29.0</v>
      </c>
      <c r="F1571" s="107">
        <v>119.0</v>
      </c>
      <c r="G1571" s="15" t="str">
        <f t="shared" si="1"/>
        <v>29119</v>
      </c>
      <c r="H1571" s="23" t="s">
        <v>1410</v>
      </c>
      <c r="I1571" s="23" t="s">
        <v>73</v>
      </c>
      <c r="J1571" s="23" t="s">
        <v>410</v>
      </c>
      <c r="K1571" s="23" t="str">
        <f t="shared" si="26"/>
        <v>Mcdonald, MO</v>
      </c>
      <c r="L1571" s="23">
        <v>100.0</v>
      </c>
      <c r="M1571" s="23" t="s">
        <v>63</v>
      </c>
      <c r="N1571" s="23" t="s">
        <v>63</v>
      </c>
      <c r="O1571" s="23" t="s">
        <v>63</v>
      </c>
      <c r="P1571" s="23" t="s">
        <v>63</v>
      </c>
      <c r="Q1571" s="23" t="s">
        <v>63</v>
      </c>
      <c r="R1571" s="23">
        <v>0.0</v>
      </c>
      <c r="S1571" s="23" t="s">
        <v>63</v>
      </c>
      <c r="T1571" s="32" t="s">
        <v>63</v>
      </c>
      <c r="U1571" s="123">
        <v>11.0</v>
      </c>
      <c r="V1571" s="23" t="s">
        <v>63</v>
      </c>
      <c r="W1571" s="23" t="s">
        <v>63</v>
      </c>
      <c r="X1571" s="23" t="s">
        <v>63</v>
      </c>
      <c r="Y1571" s="35">
        <v>37.0</v>
      </c>
      <c r="Z1571" s="32" t="s">
        <v>63</v>
      </c>
      <c r="AA1571" s="38"/>
      <c r="AB1571" s="38"/>
      <c r="AC1571" s="38"/>
      <c r="AD1571" s="38"/>
      <c r="AE1571" s="38"/>
      <c r="AF1571" s="38"/>
      <c r="AG1571" s="38"/>
      <c r="AH1571" s="38"/>
      <c r="AI1571" s="38"/>
      <c r="AJ1571" s="38"/>
      <c r="AK1571" s="38"/>
    </row>
    <row r="1572">
      <c r="A1572" s="99">
        <v>1571.0</v>
      </c>
      <c r="B1572" s="15"/>
      <c r="C1572" s="15"/>
      <c r="D1572" s="105">
        <v>1.0</v>
      </c>
      <c r="E1572" s="102">
        <v>29.0</v>
      </c>
      <c r="F1572" s="107">
        <v>121.0</v>
      </c>
      <c r="G1572" s="15" t="str">
        <f t="shared" si="1"/>
        <v>29121</v>
      </c>
      <c r="H1572" s="23" t="s">
        <v>150</v>
      </c>
      <c r="I1572" s="23" t="s">
        <v>73</v>
      </c>
      <c r="J1572" s="23" t="s">
        <v>410</v>
      </c>
      <c r="K1572" s="23" t="str">
        <f t="shared" si="26"/>
        <v>Macon, MO</v>
      </c>
      <c r="L1572" s="23">
        <v>50.0</v>
      </c>
      <c r="M1572" s="23" t="s">
        <v>63</v>
      </c>
      <c r="N1572" s="23" t="s">
        <v>63</v>
      </c>
      <c r="O1572" s="23" t="s">
        <v>63</v>
      </c>
      <c r="P1572" s="23" t="s">
        <v>63</v>
      </c>
      <c r="Q1572" s="23" t="s">
        <v>63</v>
      </c>
      <c r="R1572" s="23">
        <v>6.0</v>
      </c>
      <c r="S1572" s="23" t="s">
        <v>63</v>
      </c>
      <c r="T1572" s="32" t="s">
        <v>63</v>
      </c>
      <c r="U1572" s="123">
        <v>19.0</v>
      </c>
      <c r="V1572" s="23" t="s">
        <v>63</v>
      </c>
      <c r="W1572" s="23" t="s">
        <v>63</v>
      </c>
      <c r="X1572" s="23" t="s">
        <v>63</v>
      </c>
      <c r="Y1572" s="35">
        <v>21.0</v>
      </c>
      <c r="Z1572" s="32" t="s">
        <v>63</v>
      </c>
      <c r="AA1572" s="38"/>
      <c r="AB1572" s="38"/>
      <c r="AC1572" s="38"/>
      <c r="AD1572" s="38"/>
      <c r="AE1572" s="38"/>
      <c r="AF1572" s="38"/>
      <c r="AG1572" s="38"/>
      <c r="AH1572" s="38"/>
      <c r="AI1572" s="38"/>
      <c r="AJ1572" s="38"/>
      <c r="AK1572" s="38"/>
    </row>
    <row r="1573">
      <c r="A1573" s="99">
        <v>1572.0</v>
      </c>
      <c r="B1573" s="15"/>
      <c r="C1573" s="15"/>
      <c r="D1573" s="105">
        <v>1.0</v>
      </c>
      <c r="E1573" s="102">
        <v>29.0</v>
      </c>
      <c r="F1573" s="107">
        <v>123.0</v>
      </c>
      <c r="G1573" s="15" t="str">
        <f t="shared" si="1"/>
        <v>29123</v>
      </c>
      <c r="H1573" s="23" t="s">
        <v>151</v>
      </c>
      <c r="I1573" s="23" t="s">
        <v>73</v>
      </c>
      <c r="J1573" s="23" t="s">
        <v>410</v>
      </c>
      <c r="K1573" s="23" t="str">
        <f t="shared" si="26"/>
        <v>Madison, MO</v>
      </c>
      <c r="L1573" s="23">
        <v>47.0</v>
      </c>
      <c r="M1573" s="23" t="s">
        <v>63</v>
      </c>
      <c r="N1573" s="23" t="s">
        <v>63</v>
      </c>
      <c r="O1573" s="23" t="s">
        <v>63</v>
      </c>
      <c r="P1573" s="23" t="s">
        <v>63</v>
      </c>
      <c r="Q1573" s="23" t="s">
        <v>63</v>
      </c>
      <c r="R1573" s="23">
        <v>2.0</v>
      </c>
      <c r="S1573" s="23" t="s">
        <v>63</v>
      </c>
      <c r="T1573" s="32" t="s">
        <v>63</v>
      </c>
      <c r="U1573" s="123">
        <v>6.0</v>
      </c>
      <c r="V1573" s="23" t="s">
        <v>63</v>
      </c>
      <c r="W1573" s="23" t="s">
        <v>63</v>
      </c>
      <c r="X1573" s="23" t="s">
        <v>63</v>
      </c>
      <c r="Y1573" s="35">
        <v>15.0</v>
      </c>
      <c r="Z1573" s="32" t="s">
        <v>63</v>
      </c>
      <c r="AA1573" s="38"/>
      <c r="AB1573" s="38"/>
      <c r="AC1573" s="38"/>
      <c r="AD1573" s="38"/>
      <c r="AE1573" s="38"/>
      <c r="AF1573" s="38"/>
      <c r="AG1573" s="38"/>
      <c r="AH1573" s="38"/>
      <c r="AI1573" s="38"/>
      <c r="AJ1573" s="38"/>
      <c r="AK1573" s="38"/>
    </row>
    <row r="1574">
      <c r="A1574" s="99">
        <v>1573.0</v>
      </c>
      <c r="B1574" s="15"/>
      <c r="C1574" s="15"/>
      <c r="D1574" s="105">
        <v>1.0</v>
      </c>
      <c r="E1574" s="102">
        <v>29.0</v>
      </c>
      <c r="F1574" s="107">
        <v>125.0</v>
      </c>
      <c r="G1574" s="15" t="str">
        <f t="shared" si="1"/>
        <v>29125</v>
      </c>
      <c r="H1574" s="23" t="s">
        <v>1411</v>
      </c>
      <c r="I1574" s="23" t="s">
        <v>73</v>
      </c>
      <c r="J1574" s="23" t="s">
        <v>410</v>
      </c>
      <c r="K1574" s="23" t="str">
        <f t="shared" si="26"/>
        <v>Maries, MO</v>
      </c>
      <c r="L1574" s="23">
        <v>249.0</v>
      </c>
      <c r="M1574" s="23" t="s">
        <v>63</v>
      </c>
      <c r="N1574" s="23" t="s">
        <v>63</v>
      </c>
      <c r="O1574" s="23" t="s">
        <v>63</v>
      </c>
      <c r="P1574" s="23" t="s">
        <v>63</v>
      </c>
      <c r="Q1574" s="23" t="s">
        <v>63</v>
      </c>
      <c r="R1574" s="23">
        <v>7.0</v>
      </c>
      <c r="S1574" s="23" t="s">
        <v>63</v>
      </c>
      <c r="T1574" s="32" t="s">
        <v>63</v>
      </c>
      <c r="U1574" s="123">
        <v>29.0</v>
      </c>
      <c r="V1574" s="23" t="s">
        <v>63</v>
      </c>
      <c r="W1574" s="23" t="s">
        <v>63</v>
      </c>
      <c r="X1574" s="23" t="s">
        <v>63</v>
      </c>
      <c r="Y1574" s="35">
        <v>47.0</v>
      </c>
      <c r="Z1574" s="32" t="s">
        <v>63</v>
      </c>
      <c r="AA1574" s="38"/>
      <c r="AB1574" s="38"/>
      <c r="AC1574" s="38"/>
      <c r="AD1574" s="38"/>
      <c r="AE1574" s="38"/>
      <c r="AF1574" s="38"/>
      <c r="AG1574" s="38"/>
      <c r="AH1574" s="38"/>
      <c r="AI1574" s="38"/>
      <c r="AJ1574" s="38"/>
      <c r="AK1574" s="38"/>
    </row>
    <row r="1575">
      <c r="A1575" s="99">
        <v>1574.0</v>
      </c>
      <c r="B1575" s="15"/>
      <c r="C1575" s="15"/>
      <c r="D1575" s="105">
        <v>1.0</v>
      </c>
      <c r="E1575" s="102">
        <v>29.0</v>
      </c>
      <c r="F1575" s="107">
        <v>127.0</v>
      </c>
      <c r="G1575" s="15" t="str">
        <f t="shared" si="1"/>
        <v>29127</v>
      </c>
      <c r="H1575" s="23" t="s">
        <v>153</v>
      </c>
      <c r="I1575" s="23" t="s">
        <v>73</v>
      </c>
      <c r="J1575" s="23" t="s">
        <v>410</v>
      </c>
      <c r="K1575" s="23" t="str">
        <f t="shared" si="26"/>
        <v>Marion, MO</v>
      </c>
      <c r="L1575" s="23">
        <v>110.0</v>
      </c>
      <c r="M1575" s="23" t="s">
        <v>63</v>
      </c>
      <c r="N1575" s="23" t="s">
        <v>63</v>
      </c>
      <c r="O1575" s="23" t="s">
        <v>63</v>
      </c>
      <c r="P1575" s="23" t="s">
        <v>63</v>
      </c>
      <c r="Q1575" s="23" t="s">
        <v>63</v>
      </c>
      <c r="R1575" s="23">
        <v>9.0</v>
      </c>
      <c r="S1575" s="23" t="s">
        <v>63</v>
      </c>
      <c r="T1575" s="32" t="s">
        <v>63</v>
      </c>
      <c r="U1575" s="123">
        <v>25.0</v>
      </c>
      <c r="V1575" s="23" t="s">
        <v>63</v>
      </c>
      <c r="W1575" s="23" t="s">
        <v>63</v>
      </c>
      <c r="X1575" s="23" t="s">
        <v>63</v>
      </c>
      <c r="Y1575" s="35">
        <v>34.0</v>
      </c>
      <c r="Z1575" s="32" t="s">
        <v>63</v>
      </c>
      <c r="AA1575" s="38"/>
      <c r="AB1575" s="38"/>
      <c r="AC1575" s="38"/>
      <c r="AD1575" s="38"/>
      <c r="AE1575" s="38"/>
      <c r="AF1575" s="38"/>
      <c r="AG1575" s="38"/>
      <c r="AH1575" s="38"/>
      <c r="AI1575" s="38"/>
      <c r="AJ1575" s="38"/>
      <c r="AK1575" s="38"/>
    </row>
    <row r="1576">
      <c r="A1576" s="99">
        <v>1575.0</v>
      </c>
      <c r="B1576" s="15"/>
      <c r="C1576" s="15"/>
      <c r="D1576" s="105">
        <v>1.0</v>
      </c>
      <c r="E1576" s="102">
        <v>29.0</v>
      </c>
      <c r="F1576" s="107">
        <v>129.0</v>
      </c>
      <c r="G1576" s="15" t="str">
        <f t="shared" si="1"/>
        <v>29129</v>
      </c>
      <c r="H1576" s="23" t="s">
        <v>738</v>
      </c>
      <c r="I1576" s="23" t="s">
        <v>73</v>
      </c>
      <c r="J1576" s="23" t="s">
        <v>410</v>
      </c>
      <c r="K1576" s="23" t="str">
        <f t="shared" si="26"/>
        <v>Mercer, MO</v>
      </c>
      <c r="L1576" s="23">
        <v>8.0</v>
      </c>
      <c r="M1576" s="23" t="s">
        <v>63</v>
      </c>
      <c r="N1576" s="23" t="s">
        <v>63</v>
      </c>
      <c r="O1576" s="23" t="s">
        <v>63</v>
      </c>
      <c r="P1576" s="23" t="s">
        <v>63</v>
      </c>
      <c r="Q1576" s="23" t="s">
        <v>63</v>
      </c>
      <c r="R1576" s="23">
        <v>0.0</v>
      </c>
      <c r="S1576" s="23" t="s">
        <v>63</v>
      </c>
      <c r="T1576" s="32" t="s">
        <v>63</v>
      </c>
      <c r="U1576" s="123">
        <v>1.0</v>
      </c>
      <c r="V1576" s="23" t="s">
        <v>63</v>
      </c>
      <c r="W1576" s="23" t="s">
        <v>63</v>
      </c>
      <c r="X1576" s="23" t="s">
        <v>63</v>
      </c>
      <c r="Y1576" s="35">
        <v>9.0</v>
      </c>
      <c r="Z1576" s="32" t="s">
        <v>63</v>
      </c>
      <c r="AA1576" s="38"/>
      <c r="AB1576" s="38"/>
      <c r="AC1576" s="38"/>
      <c r="AD1576" s="38"/>
      <c r="AE1576" s="38"/>
      <c r="AF1576" s="38"/>
      <c r="AG1576" s="38"/>
      <c r="AH1576" s="38"/>
      <c r="AI1576" s="38"/>
      <c r="AJ1576" s="38"/>
      <c r="AK1576" s="38"/>
    </row>
    <row r="1577">
      <c r="A1577" s="99">
        <v>1576.0</v>
      </c>
      <c r="B1577" s="15"/>
      <c r="C1577" s="15"/>
      <c r="D1577" s="105">
        <v>1.0</v>
      </c>
      <c r="E1577" s="102">
        <v>29.0</v>
      </c>
      <c r="F1577" s="107">
        <v>131.0</v>
      </c>
      <c r="G1577" s="15" t="str">
        <f t="shared" si="1"/>
        <v>29131</v>
      </c>
      <c r="H1577" s="23" t="s">
        <v>295</v>
      </c>
      <c r="I1577" s="23" t="s">
        <v>73</v>
      </c>
      <c r="J1577" s="23" t="s">
        <v>410</v>
      </c>
      <c r="K1577" s="23" t="str">
        <f t="shared" si="26"/>
        <v>Miller, MO</v>
      </c>
      <c r="L1577" s="23">
        <v>79.0</v>
      </c>
      <c r="M1577" s="23" t="s">
        <v>63</v>
      </c>
      <c r="N1577" s="23" t="s">
        <v>63</v>
      </c>
      <c r="O1577" s="23" t="s">
        <v>63</v>
      </c>
      <c r="P1577" s="23" t="s">
        <v>63</v>
      </c>
      <c r="Q1577" s="23" t="s">
        <v>63</v>
      </c>
      <c r="R1577" s="23">
        <v>1.0</v>
      </c>
      <c r="S1577" s="23" t="s">
        <v>63</v>
      </c>
      <c r="T1577" s="32" t="s">
        <v>63</v>
      </c>
      <c r="U1577" s="123">
        <v>57.0</v>
      </c>
      <c r="V1577" s="23" t="s">
        <v>63</v>
      </c>
      <c r="W1577" s="23" t="s">
        <v>63</v>
      </c>
      <c r="X1577" s="23" t="s">
        <v>63</v>
      </c>
      <c r="Y1577" s="35">
        <v>35.0</v>
      </c>
      <c r="Z1577" s="32" t="s">
        <v>63</v>
      </c>
      <c r="AA1577" s="38"/>
      <c r="AB1577" s="38"/>
      <c r="AC1577" s="38"/>
      <c r="AD1577" s="38"/>
      <c r="AE1577" s="38"/>
      <c r="AF1577" s="38"/>
      <c r="AG1577" s="38"/>
      <c r="AH1577" s="38"/>
      <c r="AI1577" s="38"/>
      <c r="AJ1577" s="38"/>
      <c r="AK1577" s="38"/>
    </row>
    <row r="1578">
      <c r="A1578" s="99">
        <v>1577.0</v>
      </c>
      <c r="B1578" s="15"/>
      <c r="C1578" s="15"/>
      <c r="D1578" s="105">
        <v>1.0</v>
      </c>
      <c r="E1578" s="102">
        <v>29.0</v>
      </c>
      <c r="F1578" s="107">
        <v>133.0</v>
      </c>
      <c r="G1578" s="15" t="str">
        <f t="shared" si="1"/>
        <v>29133</v>
      </c>
      <c r="H1578" s="23" t="s">
        <v>67</v>
      </c>
      <c r="I1578" s="23" t="s">
        <v>73</v>
      </c>
      <c r="J1578" s="23" t="s">
        <v>410</v>
      </c>
      <c r="K1578" s="23" t="str">
        <f t="shared" si="26"/>
        <v>Mississippi, MO</v>
      </c>
      <c r="L1578" s="23">
        <v>68.0</v>
      </c>
      <c r="M1578" s="23" t="s">
        <v>63</v>
      </c>
      <c r="N1578" s="23" t="s">
        <v>63</v>
      </c>
      <c r="O1578" s="23" t="s">
        <v>63</v>
      </c>
      <c r="P1578" s="23" t="s">
        <v>63</v>
      </c>
      <c r="Q1578" s="23" t="s">
        <v>63</v>
      </c>
      <c r="R1578" s="23">
        <v>0.0</v>
      </c>
      <c r="S1578" s="23" t="s">
        <v>63</v>
      </c>
      <c r="T1578" s="32" t="s">
        <v>63</v>
      </c>
      <c r="U1578" s="123">
        <v>16.0</v>
      </c>
      <c r="V1578" s="23" t="s">
        <v>63</v>
      </c>
      <c r="W1578" s="23" t="s">
        <v>63</v>
      </c>
      <c r="X1578" s="23" t="s">
        <v>63</v>
      </c>
      <c r="Y1578" s="35">
        <v>26.0</v>
      </c>
      <c r="Z1578" s="32" t="s">
        <v>63</v>
      </c>
      <c r="AA1578" s="38"/>
      <c r="AB1578" s="38"/>
      <c r="AC1578" s="38"/>
      <c r="AD1578" s="38"/>
      <c r="AE1578" s="38"/>
      <c r="AF1578" s="38"/>
      <c r="AG1578" s="38"/>
      <c r="AH1578" s="38"/>
      <c r="AI1578" s="38"/>
      <c r="AJ1578" s="38"/>
      <c r="AK1578" s="38"/>
    </row>
    <row r="1579">
      <c r="A1579" s="99">
        <v>1578.0</v>
      </c>
      <c r="B1579" s="15"/>
      <c r="C1579" s="15"/>
      <c r="D1579" s="105">
        <v>1.0</v>
      </c>
      <c r="E1579" s="102">
        <v>29.0</v>
      </c>
      <c r="F1579" s="107">
        <v>135.0</v>
      </c>
      <c r="G1579" s="15" t="str">
        <f t="shared" si="1"/>
        <v>29135</v>
      </c>
      <c r="H1579" s="23" t="s">
        <v>1412</v>
      </c>
      <c r="I1579" s="23" t="s">
        <v>73</v>
      </c>
      <c r="J1579" s="23" t="s">
        <v>410</v>
      </c>
      <c r="K1579" s="23" t="str">
        <f t="shared" si="26"/>
        <v>Moniteau, MO</v>
      </c>
      <c r="L1579" s="23">
        <v>28.0</v>
      </c>
      <c r="M1579" s="23" t="s">
        <v>63</v>
      </c>
      <c r="N1579" s="23" t="s">
        <v>63</v>
      </c>
      <c r="O1579" s="23" t="s">
        <v>63</v>
      </c>
      <c r="P1579" s="23" t="s">
        <v>63</v>
      </c>
      <c r="Q1579" s="23" t="s">
        <v>63</v>
      </c>
      <c r="R1579" s="23">
        <v>1.0</v>
      </c>
      <c r="S1579" s="23" t="s">
        <v>63</v>
      </c>
      <c r="T1579" s="32" t="s">
        <v>63</v>
      </c>
      <c r="U1579" s="123">
        <v>18.0</v>
      </c>
      <c r="V1579" s="23" t="s">
        <v>63</v>
      </c>
      <c r="W1579" s="23" t="s">
        <v>63</v>
      </c>
      <c r="X1579" s="23" t="s">
        <v>63</v>
      </c>
      <c r="Y1579" s="35">
        <v>28.0</v>
      </c>
      <c r="Z1579" s="32" t="s">
        <v>63</v>
      </c>
      <c r="AA1579" s="38"/>
      <c r="AB1579" s="38"/>
      <c r="AC1579" s="38"/>
      <c r="AD1579" s="38"/>
      <c r="AE1579" s="38"/>
      <c r="AF1579" s="38"/>
      <c r="AG1579" s="38"/>
      <c r="AH1579" s="38"/>
      <c r="AI1579" s="38"/>
      <c r="AJ1579" s="38"/>
      <c r="AK1579" s="38"/>
    </row>
    <row r="1580">
      <c r="A1580" s="99">
        <v>1579.0</v>
      </c>
      <c r="B1580" s="15"/>
      <c r="C1580" s="15"/>
      <c r="D1580" s="105">
        <v>1.0</v>
      </c>
      <c r="E1580" s="102">
        <v>29.0</v>
      </c>
      <c r="F1580" s="107">
        <v>137.0</v>
      </c>
      <c r="G1580" s="15" t="str">
        <f t="shared" si="1"/>
        <v>29137</v>
      </c>
      <c r="H1580" s="23" t="s">
        <v>156</v>
      </c>
      <c r="I1580" s="23" t="s">
        <v>73</v>
      </c>
      <c r="J1580" s="23" t="s">
        <v>410</v>
      </c>
      <c r="K1580" s="23" t="str">
        <f t="shared" si="26"/>
        <v>Monroe, MO</v>
      </c>
      <c r="L1580" s="23">
        <v>39.0</v>
      </c>
      <c r="M1580" s="23" t="s">
        <v>63</v>
      </c>
      <c r="N1580" s="23" t="s">
        <v>63</v>
      </c>
      <c r="O1580" s="23" t="s">
        <v>63</v>
      </c>
      <c r="P1580" s="23" t="s">
        <v>63</v>
      </c>
      <c r="Q1580" s="23" t="s">
        <v>63</v>
      </c>
      <c r="R1580" s="23">
        <v>1.0</v>
      </c>
      <c r="S1580" s="23" t="s">
        <v>63</v>
      </c>
      <c r="T1580" s="32" t="s">
        <v>63</v>
      </c>
      <c r="U1580" s="123">
        <v>12.0</v>
      </c>
      <c r="V1580" s="23" t="s">
        <v>63</v>
      </c>
      <c r="W1580" s="23" t="s">
        <v>63</v>
      </c>
      <c r="X1580" s="23" t="s">
        <v>63</v>
      </c>
      <c r="Y1580" s="35">
        <v>18.0</v>
      </c>
      <c r="Z1580" s="32" t="s">
        <v>63</v>
      </c>
      <c r="AA1580" s="38"/>
      <c r="AB1580" s="38"/>
      <c r="AC1580" s="38"/>
      <c r="AD1580" s="38"/>
      <c r="AE1580" s="38"/>
      <c r="AF1580" s="38"/>
      <c r="AG1580" s="38"/>
      <c r="AH1580" s="38"/>
      <c r="AI1580" s="38"/>
      <c r="AJ1580" s="38"/>
      <c r="AK1580" s="38"/>
    </row>
    <row r="1581">
      <c r="A1581" s="99">
        <v>1580.0</v>
      </c>
      <c r="B1581" s="15"/>
      <c r="C1581" s="15"/>
      <c r="D1581" s="105">
        <v>1.0</v>
      </c>
      <c r="E1581" s="102">
        <v>29.0</v>
      </c>
      <c r="F1581" s="107">
        <v>139.0</v>
      </c>
      <c r="G1581" s="15" t="str">
        <f t="shared" si="1"/>
        <v>29139</v>
      </c>
      <c r="H1581" s="23" t="s">
        <v>157</v>
      </c>
      <c r="I1581" s="23" t="s">
        <v>73</v>
      </c>
      <c r="J1581" s="23" t="s">
        <v>410</v>
      </c>
      <c r="K1581" s="112" t="str">
        <f t="shared" si="26"/>
        <v>Montgomery, MO</v>
      </c>
      <c r="L1581" s="23">
        <v>61.0</v>
      </c>
      <c r="M1581" s="23" t="s">
        <v>63</v>
      </c>
      <c r="N1581" s="23" t="s">
        <v>63</v>
      </c>
      <c r="O1581" s="23" t="s">
        <v>63</v>
      </c>
      <c r="P1581" s="23" t="s">
        <v>63</v>
      </c>
      <c r="Q1581" s="23" t="s">
        <v>63</v>
      </c>
      <c r="R1581" s="23">
        <v>8.0</v>
      </c>
      <c r="S1581" s="23" t="s">
        <v>63</v>
      </c>
      <c r="T1581" s="32" t="s">
        <v>63</v>
      </c>
      <c r="U1581" s="123">
        <v>22.0</v>
      </c>
      <c r="V1581" s="23" t="s">
        <v>63</v>
      </c>
      <c r="W1581" s="23" t="s">
        <v>63</v>
      </c>
      <c r="X1581" s="23" t="s">
        <v>63</v>
      </c>
      <c r="Y1581" s="35">
        <v>20.0</v>
      </c>
      <c r="Z1581" s="32" t="s">
        <v>63</v>
      </c>
      <c r="AA1581" s="38"/>
      <c r="AB1581" s="38"/>
      <c r="AC1581" s="38"/>
      <c r="AD1581" s="38"/>
      <c r="AE1581" s="38"/>
      <c r="AF1581" s="38"/>
      <c r="AG1581" s="38"/>
      <c r="AH1581" s="38"/>
      <c r="AI1581" s="38"/>
      <c r="AJ1581" s="38"/>
      <c r="AK1581" s="38"/>
    </row>
    <row r="1582">
      <c r="A1582" s="99">
        <v>1581.0</v>
      </c>
      <c r="B1582" s="15"/>
      <c r="C1582" s="15"/>
      <c r="D1582" s="105">
        <v>1.0</v>
      </c>
      <c r="E1582" s="102">
        <v>29.0</v>
      </c>
      <c r="F1582" s="107">
        <v>141.0</v>
      </c>
      <c r="G1582" s="15" t="str">
        <f t="shared" si="1"/>
        <v>29141</v>
      </c>
      <c r="H1582" s="23" t="s">
        <v>158</v>
      </c>
      <c r="I1582" s="23" t="s">
        <v>73</v>
      </c>
      <c r="J1582" s="23" t="s">
        <v>410</v>
      </c>
      <c r="K1582" s="23" t="str">
        <f t="shared" si="26"/>
        <v>Morgan, MO</v>
      </c>
      <c r="L1582" s="23">
        <v>100.0</v>
      </c>
      <c r="M1582" s="23" t="s">
        <v>63</v>
      </c>
      <c r="N1582" s="23" t="s">
        <v>63</v>
      </c>
      <c r="O1582" s="23" t="s">
        <v>63</v>
      </c>
      <c r="P1582" s="23" t="s">
        <v>63</v>
      </c>
      <c r="Q1582" s="23" t="s">
        <v>63</v>
      </c>
      <c r="R1582" s="23">
        <v>0.0</v>
      </c>
      <c r="S1582" s="23" t="s">
        <v>63</v>
      </c>
      <c r="T1582" s="32" t="s">
        <v>63</v>
      </c>
      <c r="U1582" s="123">
        <v>37.0</v>
      </c>
      <c r="V1582" s="23" t="s">
        <v>63</v>
      </c>
      <c r="W1582" s="23" t="s">
        <v>63</v>
      </c>
      <c r="X1582" s="23" t="s">
        <v>63</v>
      </c>
      <c r="Y1582" s="35">
        <v>37.0</v>
      </c>
      <c r="Z1582" s="32" t="s">
        <v>63</v>
      </c>
      <c r="AA1582" s="38"/>
      <c r="AB1582" s="38"/>
      <c r="AC1582" s="38"/>
      <c r="AD1582" s="38"/>
      <c r="AE1582" s="38"/>
      <c r="AF1582" s="38"/>
      <c r="AG1582" s="38"/>
      <c r="AH1582" s="38"/>
      <c r="AI1582" s="38"/>
      <c r="AJ1582" s="38"/>
      <c r="AK1582" s="38"/>
    </row>
    <row r="1583">
      <c r="A1583" s="99">
        <v>1582.0</v>
      </c>
      <c r="B1583" s="15"/>
      <c r="C1583" s="15"/>
      <c r="D1583" s="105">
        <v>1.0</v>
      </c>
      <c r="E1583" s="102">
        <v>29.0</v>
      </c>
      <c r="F1583" s="107">
        <v>143.0</v>
      </c>
      <c r="G1583" s="15" t="str">
        <f t="shared" si="1"/>
        <v>29143</v>
      </c>
      <c r="H1583" s="23" t="s">
        <v>1413</v>
      </c>
      <c r="I1583" s="23" t="s">
        <v>73</v>
      </c>
      <c r="J1583" s="23" t="s">
        <v>410</v>
      </c>
      <c r="K1583" s="112" t="str">
        <f t="shared" si="26"/>
        <v>New Madrid, MO</v>
      </c>
      <c r="L1583" s="23">
        <v>154.0</v>
      </c>
      <c r="M1583" s="23" t="s">
        <v>63</v>
      </c>
      <c r="N1583" s="23" t="s">
        <v>63</v>
      </c>
      <c r="O1583" s="23" t="s">
        <v>63</v>
      </c>
      <c r="P1583" s="23" t="s">
        <v>63</v>
      </c>
      <c r="Q1583" s="23" t="s">
        <v>63</v>
      </c>
      <c r="R1583" s="23">
        <v>4.0</v>
      </c>
      <c r="S1583" s="23" t="s">
        <v>63</v>
      </c>
      <c r="T1583" s="32" t="s">
        <v>63</v>
      </c>
      <c r="U1583" s="123">
        <v>61.0</v>
      </c>
      <c r="V1583" s="23" t="s">
        <v>63</v>
      </c>
      <c r="W1583" s="23" t="s">
        <v>63</v>
      </c>
      <c r="X1583" s="23" t="s">
        <v>63</v>
      </c>
      <c r="Y1583" s="35">
        <v>29.0</v>
      </c>
      <c r="Z1583" s="32" t="s">
        <v>63</v>
      </c>
      <c r="AA1583" s="38"/>
      <c r="AB1583" s="38"/>
      <c r="AC1583" s="38"/>
      <c r="AD1583" s="38"/>
      <c r="AE1583" s="38"/>
      <c r="AF1583" s="38"/>
      <c r="AG1583" s="38"/>
      <c r="AH1583" s="38"/>
      <c r="AI1583" s="38"/>
      <c r="AJ1583" s="38"/>
      <c r="AK1583" s="38"/>
    </row>
    <row r="1584">
      <c r="A1584" s="99">
        <v>1583.0</v>
      </c>
      <c r="B1584" s="15"/>
      <c r="C1584" s="15"/>
      <c r="D1584" s="105">
        <v>1.0</v>
      </c>
      <c r="E1584" s="102">
        <v>29.0</v>
      </c>
      <c r="F1584" s="107">
        <v>145.0</v>
      </c>
      <c r="G1584" s="15" t="str">
        <f t="shared" si="1"/>
        <v>29145</v>
      </c>
      <c r="H1584" s="23" t="s">
        <v>297</v>
      </c>
      <c r="I1584" s="23" t="s">
        <v>73</v>
      </c>
      <c r="J1584" s="23" t="s">
        <v>410</v>
      </c>
      <c r="K1584" s="23" t="str">
        <f t="shared" si="26"/>
        <v>Newton, MO</v>
      </c>
      <c r="L1584" s="23">
        <v>307.0</v>
      </c>
      <c r="M1584" s="23" t="s">
        <v>63</v>
      </c>
      <c r="N1584" s="23" t="s">
        <v>63</v>
      </c>
      <c r="O1584" s="23" t="s">
        <v>63</v>
      </c>
      <c r="P1584" s="23" t="s">
        <v>63</v>
      </c>
      <c r="Q1584" s="23" t="s">
        <v>63</v>
      </c>
      <c r="R1584" s="23">
        <v>10.0</v>
      </c>
      <c r="S1584" s="23" t="s">
        <v>63</v>
      </c>
      <c r="T1584" s="32" t="s">
        <v>63</v>
      </c>
      <c r="U1584" s="123">
        <v>45.0</v>
      </c>
      <c r="V1584" s="23" t="s">
        <v>63</v>
      </c>
      <c r="W1584" s="23" t="s">
        <v>63</v>
      </c>
      <c r="X1584" s="23" t="s">
        <v>63</v>
      </c>
      <c r="Y1584" s="35">
        <v>73.0</v>
      </c>
      <c r="Z1584" s="32" t="s">
        <v>63</v>
      </c>
      <c r="AA1584" s="38"/>
      <c r="AB1584" s="38"/>
      <c r="AC1584" s="38"/>
      <c r="AD1584" s="38"/>
      <c r="AE1584" s="38"/>
      <c r="AF1584" s="38"/>
      <c r="AG1584" s="38"/>
      <c r="AH1584" s="38"/>
      <c r="AI1584" s="38"/>
      <c r="AJ1584" s="38"/>
      <c r="AK1584" s="38"/>
    </row>
    <row r="1585">
      <c r="A1585" s="99">
        <v>1584.0</v>
      </c>
      <c r="B1585" s="15"/>
      <c r="C1585" s="15"/>
      <c r="D1585" s="105">
        <v>1.0</v>
      </c>
      <c r="E1585" s="102">
        <v>29.0</v>
      </c>
      <c r="F1585" s="107">
        <v>147.0</v>
      </c>
      <c r="G1585" s="15" t="str">
        <f t="shared" si="1"/>
        <v>29147</v>
      </c>
      <c r="H1585" s="23" t="s">
        <v>1414</v>
      </c>
      <c r="I1585" s="23" t="s">
        <v>73</v>
      </c>
      <c r="J1585" s="23" t="s">
        <v>410</v>
      </c>
      <c r="K1585" s="23" t="str">
        <f t="shared" si="26"/>
        <v>Nodaway, MO</v>
      </c>
      <c r="L1585" s="23">
        <v>89.0</v>
      </c>
      <c r="M1585" s="23" t="s">
        <v>63</v>
      </c>
      <c r="N1585" s="23" t="s">
        <v>63</v>
      </c>
      <c r="O1585" s="23" t="s">
        <v>63</v>
      </c>
      <c r="P1585" s="23" t="s">
        <v>63</v>
      </c>
      <c r="Q1585" s="23" t="s">
        <v>63</v>
      </c>
      <c r="R1585" s="23">
        <v>2.0</v>
      </c>
      <c r="S1585" s="23" t="s">
        <v>63</v>
      </c>
      <c r="T1585" s="32" t="s">
        <v>63</v>
      </c>
      <c r="U1585" s="123">
        <v>9.0</v>
      </c>
      <c r="V1585" s="23" t="s">
        <v>63</v>
      </c>
      <c r="W1585" s="23" t="s">
        <v>63</v>
      </c>
      <c r="X1585" s="23" t="s">
        <v>63</v>
      </c>
      <c r="Y1585" s="35">
        <v>24.0</v>
      </c>
      <c r="Z1585" s="32" t="s">
        <v>63</v>
      </c>
      <c r="AA1585" s="38"/>
      <c r="AB1585" s="38"/>
      <c r="AC1585" s="38"/>
      <c r="AD1585" s="38"/>
      <c r="AE1585" s="38"/>
      <c r="AF1585" s="38"/>
      <c r="AG1585" s="38"/>
      <c r="AH1585" s="38"/>
      <c r="AI1585" s="38"/>
      <c r="AJ1585" s="38"/>
      <c r="AK1585" s="38"/>
    </row>
    <row r="1586">
      <c r="A1586" s="99">
        <v>1585.0</v>
      </c>
      <c r="B1586" s="15"/>
      <c r="C1586" s="15"/>
      <c r="D1586" s="105">
        <v>1.0</v>
      </c>
      <c r="E1586" s="102">
        <v>29.0</v>
      </c>
      <c r="F1586" s="107">
        <v>149.0</v>
      </c>
      <c r="G1586" s="15" t="str">
        <f t="shared" si="1"/>
        <v>29149</v>
      </c>
      <c r="H1586" s="23" t="s">
        <v>103</v>
      </c>
      <c r="I1586" s="23" t="s">
        <v>73</v>
      </c>
      <c r="J1586" s="23" t="s">
        <v>410</v>
      </c>
      <c r="K1586" s="23" t="str">
        <f t="shared" si="26"/>
        <v>Oregon, MO</v>
      </c>
      <c r="L1586" s="23">
        <v>64.0</v>
      </c>
      <c r="M1586" s="23" t="s">
        <v>63</v>
      </c>
      <c r="N1586" s="23" t="s">
        <v>63</v>
      </c>
      <c r="O1586" s="23" t="s">
        <v>63</v>
      </c>
      <c r="P1586" s="23" t="s">
        <v>63</v>
      </c>
      <c r="Q1586" s="23" t="s">
        <v>63</v>
      </c>
      <c r="R1586" s="23">
        <v>0.0</v>
      </c>
      <c r="S1586" s="23" t="s">
        <v>63</v>
      </c>
      <c r="T1586" s="32" t="s">
        <v>63</v>
      </c>
      <c r="U1586" s="123">
        <v>20.0</v>
      </c>
      <c r="V1586" s="23" t="s">
        <v>63</v>
      </c>
      <c r="W1586" s="23" t="s">
        <v>63</v>
      </c>
      <c r="X1586" s="23" t="s">
        <v>63</v>
      </c>
      <c r="Y1586" s="35">
        <v>18.0</v>
      </c>
      <c r="Z1586" s="32" t="s">
        <v>63</v>
      </c>
      <c r="AA1586" s="38"/>
      <c r="AB1586" s="38"/>
      <c r="AC1586" s="38"/>
      <c r="AD1586" s="38"/>
      <c r="AE1586" s="38"/>
      <c r="AF1586" s="38"/>
      <c r="AG1586" s="38"/>
      <c r="AH1586" s="38"/>
      <c r="AI1586" s="38"/>
      <c r="AJ1586" s="38"/>
      <c r="AK1586" s="38"/>
    </row>
    <row r="1587">
      <c r="A1587" s="99">
        <v>1586.0</v>
      </c>
      <c r="B1587" s="15"/>
      <c r="C1587" s="15"/>
      <c r="D1587" s="105">
        <v>1.0</v>
      </c>
      <c r="E1587" s="102">
        <v>29.0</v>
      </c>
      <c r="F1587" s="107">
        <v>151.0</v>
      </c>
      <c r="G1587" s="15" t="str">
        <f t="shared" si="1"/>
        <v>29151</v>
      </c>
      <c r="H1587" s="23" t="s">
        <v>996</v>
      </c>
      <c r="I1587" s="23" t="s">
        <v>73</v>
      </c>
      <c r="J1587" s="23" t="s">
        <v>410</v>
      </c>
      <c r="K1587" s="23" t="str">
        <f t="shared" si="26"/>
        <v>Osage, MO</v>
      </c>
      <c r="L1587" s="23">
        <v>9.0</v>
      </c>
      <c r="M1587" s="23" t="s">
        <v>63</v>
      </c>
      <c r="N1587" s="23" t="s">
        <v>63</v>
      </c>
      <c r="O1587" s="23" t="s">
        <v>63</v>
      </c>
      <c r="P1587" s="23" t="s">
        <v>63</v>
      </c>
      <c r="Q1587" s="23" t="s">
        <v>63</v>
      </c>
      <c r="R1587" s="23">
        <v>1.0</v>
      </c>
      <c r="S1587" s="23" t="s">
        <v>63</v>
      </c>
      <c r="T1587" s="32" t="s">
        <v>63</v>
      </c>
      <c r="U1587" s="123">
        <v>8.0</v>
      </c>
      <c r="V1587" s="23" t="s">
        <v>63</v>
      </c>
      <c r="W1587" s="23" t="s">
        <v>63</v>
      </c>
      <c r="X1587" s="23" t="s">
        <v>63</v>
      </c>
      <c r="Y1587" s="35">
        <v>13.0</v>
      </c>
      <c r="Z1587" s="32" t="s">
        <v>63</v>
      </c>
      <c r="AA1587" s="38"/>
      <c r="AB1587" s="38"/>
      <c r="AC1587" s="38"/>
      <c r="AD1587" s="38"/>
      <c r="AE1587" s="38"/>
      <c r="AF1587" s="38"/>
      <c r="AG1587" s="38"/>
      <c r="AH1587" s="38"/>
      <c r="AI1587" s="38"/>
      <c r="AJ1587" s="38"/>
      <c r="AK1587" s="38"/>
    </row>
    <row r="1588">
      <c r="A1588" s="99">
        <v>1587.0</v>
      </c>
      <c r="B1588" s="15"/>
      <c r="C1588" s="15"/>
      <c r="D1588" s="105">
        <v>1.0</v>
      </c>
      <c r="E1588" s="102">
        <v>29.0</v>
      </c>
      <c r="F1588" s="107">
        <v>153.0</v>
      </c>
      <c r="G1588" s="15" t="str">
        <f t="shared" si="1"/>
        <v>29153</v>
      </c>
      <c r="H1588" s="23" t="s">
        <v>1415</v>
      </c>
      <c r="I1588" s="23" t="s">
        <v>73</v>
      </c>
      <c r="J1588" s="23" t="s">
        <v>410</v>
      </c>
      <c r="K1588" s="23" t="str">
        <f t="shared" si="26"/>
        <v>Ozark, MO</v>
      </c>
      <c r="L1588" s="23">
        <v>41.0</v>
      </c>
      <c r="M1588" s="23" t="s">
        <v>63</v>
      </c>
      <c r="N1588" s="23" t="s">
        <v>63</v>
      </c>
      <c r="O1588" s="23" t="s">
        <v>63</v>
      </c>
      <c r="P1588" s="23" t="s">
        <v>63</v>
      </c>
      <c r="Q1588" s="23" t="s">
        <v>63</v>
      </c>
      <c r="R1588" s="23">
        <v>0.0</v>
      </c>
      <c r="S1588" s="23" t="s">
        <v>63</v>
      </c>
      <c r="T1588" s="32" t="s">
        <v>63</v>
      </c>
      <c r="U1588" s="123">
        <v>12.0</v>
      </c>
      <c r="V1588" s="23" t="s">
        <v>63</v>
      </c>
      <c r="W1588" s="23" t="s">
        <v>63</v>
      </c>
      <c r="X1588" s="23" t="s">
        <v>63</v>
      </c>
      <c r="Y1588" s="35">
        <v>13.0</v>
      </c>
      <c r="Z1588" s="32" t="s">
        <v>63</v>
      </c>
      <c r="AA1588" s="38"/>
      <c r="AB1588" s="38"/>
      <c r="AC1588" s="38"/>
      <c r="AD1588" s="38"/>
      <c r="AE1588" s="38"/>
      <c r="AF1588" s="38"/>
      <c r="AG1588" s="38"/>
      <c r="AH1588" s="38"/>
      <c r="AI1588" s="38"/>
      <c r="AJ1588" s="38"/>
      <c r="AK1588" s="38"/>
    </row>
    <row r="1589">
      <c r="A1589" s="99">
        <v>1588.0</v>
      </c>
      <c r="B1589" s="15"/>
      <c r="C1589" s="15"/>
      <c r="D1589" s="105">
        <v>1.0</v>
      </c>
      <c r="E1589" s="102">
        <v>29.0</v>
      </c>
      <c r="F1589" s="107">
        <v>155.0</v>
      </c>
      <c r="G1589" s="15" t="str">
        <f t="shared" si="1"/>
        <v>29155</v>
      </c>
      <c r="H1589" s="23" t="s">
        <v>1416</v>
      </c>
      <c r="I1589" s="23" t="s">
        <v>73</v>
      </c>
      <c r="J1589" s="23" t="s">
        <v>410</v>
      </c>
      <c r="K1589" s="23" t="str">
        <f t="shared" si="26"/>
        <v>Pemiscot, MO</v>
      </c>
      <c r="L1589" s="23">
        <v>170.0</v>
      </c>
      <c r="M1589" s="23" t="s">
        <v>63</v>
      </c>
      <c r="N1589" s="23" t="s">
        <v>63</v>
      </c>
      <c r="O1589" s="23" t="s">
        <v>63</v>
      </c>
      <c r="P1589" s="23" t="s">
        <v>63</v>
      </c>
      <c r="Q1589" s="23" t="s">
        <v>63</v>
      </c>
      <c r="R1589" s="23">
        <v>3.0</v>
      </c>
      <c r="S1589" s="23" t="s">
        <v>63</v>
      </c>
      <c r="T1589" s="32" t="s">
        <v>63</v>
      </c>
      <c r="U1589" s="123">
        <v>75.0</v>
      </c>
      <c r="V1589" s="23" t="s">
        <v>63</v>
      </c>
      <c r="W1589" s="23" t="s">
        <v>63</v>
      </c>
      <c r="X1589" s="23" t="s">
        <v>63</v>
      </c>
      <c r="Y1589" s="35">
        <v>35.0</v>
      </c>
      <c r="Z1589" s="32" t="s">
        <v>63</v>
      </c>
      <c r="AA1589" s="38"/>
      <c r="AB1589" s="38"/>
      <c r="AC1589" s="38"/>
      <c r="AD1589" s="38"/>
      <c r="AE1589" s="38"/>
      <c r="AF1589" s="38"/>
      <c r="AG1589" s="38"/>
      <c r="AH1589" s="38"/>
      <c r="AI1589" s="38"/>
      <c r="AJ1589" s="38"/>
      <c r="AK1589" s="38"/>
    </row>
    <row r="1590">
      <c r="A1590" s="99">
        <v>1589.0</v>
      </c>
      <c r="B1590" s="15"/>
      <c r="C1590" s="15"/>
      <c r="D1590" s="105">
        <v>1.0</v>
      </c>
      <c r="E1590" s="102">
        <v>29.0</v>
      </c>
      <c r="F1590" s="107">
        <v>157.0</v>
      </c>
      <c r="G1590" s="15" t="str">
        <f t="shared" si="1"/>
        <v>29157</v>
      </c>
      <c r="H1590" s="23" t="s">
        <v>159</v>
      </c>
      <c r="I1590" s="23" t="s">
        <v>73</v>
      </c>
      <c r="J1590" s="23" t="s">
        <v>410</v>
      </c>
      <c r="K1590" s="23" t="str">
        <f t="shared" si="26"/>
        <v>Perry, MO</v>
      </c>
      <c r="L1590" s="23">
        <v>70.0</v>
      </c>
      <c r="M1590" s="23" t="s">
        <v>63</v>
      </c>
      <c r="N1590" s="23" t="s">
        <v>63</v>
      </c>
      <c r="O1590" s="23" t="s">
        <v>63</v>
      </c>
      <c r="P1590" s="23" t="s">
        <v>63</v>
      </c>
      <c r="Q1590" s="23" t="s">
        <v>63</v>
      </c>
      <c r="R1590" s="23">
        <v>1.0</v>
      </c>
      <c r="S1590" s="23" t="s">
        <v>63</v>
      </c>
      <c r="T1590" s="32" t="s">
        <v>63</v>
      </c>
      <c r="U1590" s="123">
        <v>42.0</v>
      </c>
      <c r="V1590" s="23" t="s">
        <v>63</v>
      </c>
      <c r="W1590" s="23" t="s">
        <v>63</v>
      </c>
      <c r="X1590" s="23" t="s">
        <v>63</v>
      </c>
      <c r="Y1590" s="35">
        <v>16.0</v>
      </c>
      <c r="Z1590" s="32" t="s">
        <v>63</v>
      </c>
      <c r="AA1590" s="38"/>
      <c r="AB1590" s="38"/>
      <c r="AC1590" s="38"/>
      <c r="AD1590" s="38"/>
      <c r="AE1590" s="38"/>
      <c r="AF1590" s="38"/>
      <c r="AG1590" s="38"/>
      <c r="AH1590" s="38"/>
      <c r="AI1590" s="38"/>
      <c r="AJ1590" s="38"/>
      <c r="AK1590" s="38"/>
    </row>
    <row r="1591">
      <c r="A1591" s="99">
        <v>1590.0</v>
      </c>
      <c r="B1591" s="15"/>
      <c r="C1591" s="15"/>
      <c r="D1591" s="105">
        <v>1.0</v>
      </c>
      <c r="E1591" s="102">
        <v>29.0</v>
      </c>
      <c r="F1591" s="107">
        <v>159.0</v>
      </c>
      <c r="G1591" s="15" t="str">
        <f t="shared" si="1"/>
        <v>29159</v>
      </c>
      <c r="H1591" s="23" t="s">
        <v>1417</v>
      </c>
      <c r="I1591" s="23" t="s">
        <v>73</v>
      </c>
      <c r="J1591" s="23" t="s">
        <v>410</v>
      </c>
      <c r="K1591" s="23" t="str">
        <f t="shared" si="26"/>
        <v>Pettis, MO</v>
      </c>
      <c r="L1591" s="23">
        <v>130.0</v>
      </c>
      <c r="M1591" s="23" t="s">
        <v>63</v>
      </c>
      <c r="N1591" s="23" t="s">
        <v>63</v>
      </c>
      <c r="O1591" s="23" t="s">
        <v>63</v>
      </c>
      <c r="P1591" s="23" t="s">
        <v>63</v>
      </c>
      <c r="Q1591" s="23" t="s">
        <v>63</v>
      </c>
      <c r="R1591" s="23">
        <v>4.0</v>
      </c>
      <c r="S1591" s="23" t="s">
        <v>63</v>
      </c>
      <c r="T1591" s="32" t="s">
        <v>63</v>
      </c>
      <c r="U1591" s="123">
        <v>50.0</v>
      </c>
      <c r="V1591" s="23" t="s">
        <v>63</v>
      </c>
      <c r="W1591" s="23" t="s">
        <v>63</v>
      </c>
      <c r="X1591" s="23" t="s">
        <v>63</v>
      </c>
      <c r="Y1591" s="35">
        <v>59.0</v>
      </c>
      <c r="Z1591" s="32" t="s">
        <v>63</v>
      </c>
      <c r="AA1591" s="38"/>
      <c r="AB1591" s="38"/>
      <c r="AC1591" s="38"/>
      <c r="AD1591" s="38"/>
      <c r="AE1591" s="38"/>
      <c r="AF1591" s="38"/>
      <c r="AG1591" s="38"/>
      <c r="AH1591" s="38"/>
      <c r="AI1591" s="38"/>
      <c r="AJ1591" s="38"/>
      <c r="AK1591" s="38"/>
    </row>
    <row r="1592">
      <c r="A1592" s="99">
        <v>1591.0</v>
      </c>
      <c r="B1592" s="15"/>
      <c r="C1592" s="15"/>
      <c r="D1592" s="105">
        <v>1.0</v>
      </c>
      <c r="E1592" s="102">
        <v>29.0</v>
      </c>
      <c r="F1592" s="107">
        <v>161.0</v>
      </c>
      <c r="G1592" s="15" t="str">
        <f t="shared" si="1"/>
        <v>29161</v>
      </c>
      <c r="H1592" s="23" t="s">
        <v>1418</v>
      </c>
      <c r="I1592" s="23" t="s">
        <v>73</v>
      </c>
      <c r="J1592" s="23" t="s">
        <v>410</v>
      </c>
      <c r="K1592" s="23" t="str">
        <f t="shared" si="26"/>
        <v>Phelps, MO</v>
      </c>
      <c r="L1592" s="23">
        <v>315.0</v>
      </c>
      <c r="M1592" s="23" t="s">
        <v>63</v>
      </c>
      <c r="N1592" s="23" t="s">
        <v>63</v>
      </c>
      <c r="O1592" s="23" t="s">
        <v>63</v>
      </c>
      <c r="P1592" s="23" t="s">
        <v>63</v>
      </c>
      <c r="Q1592" s="23" t="s">
        <v>63</v>
      </c>
      <c r="R1592" s="23">
        <v>5.0</v>
      </c>
      <c r="S1592" s="23" t="s">
        <v>63</v>
      </c>
      <c r="T1592" s="32" t="s">
        <v>63</v>
      </c>
      <c r="U1592" s="123">
        <v>84.0</v>
      </c>
      <c r="V1592" s="23" t="s">
        <v>63</v>
      </c>
      <c r="W1592" s="23" t="s">
        <v>63</v>
      </c>
      <c r="X1592" s="23" t="s">
        <v>63</v>
      </c>
      <c r="Y1592" s="35">
        <v>55.0</v>
      </c>
      <c r="Z1592" s="32" t="s">
        <v>63</v>
      </c>
      <c r="AA1592" s="38"/>
      <c r="AB1592" s="38"/>
      <c r="AC1592" s="38"/>
      <c r="AD1592" s="38"/>
      <c r="AE1592" s="38"/>
      <c r="AF1592" s="38"/>
      <c r="AG1592" s="38"/>
      <c r="AH1592" s="38"/>
      <c r="AI1592" s="38"/>
      <c r="AJ1592" s="38"/>
      <c r="AK1592" s="38"/>
    </row>
    <row r="1593">
      <c r="A1593" s="99">
        <v>1592.0</v>
      </c>
      <c r="B1593" s="15"/>
      <c r="C1593" s="15"/>
      <c r="D1593" s="105">
        <v>1.0</v>
      </c>
      <c r="E1593" s="102">
        <v>29.0</v>
      </c>
      <c r="F1593" s="107">
        <v>163.0</v>
      </c>
      <c r="G1593" s="15" t="str">
        <f t="shared" si="1"/>
        <v>29163</v>
      </c>
      <c r="H1593" s="23" t="s">
        <v>162</v>
      </c>
      <c r="I1593" s="23" t="s">
        <v>73</v>
      </c>
      <c r="J1593" s="23" t="s">
        <v>410</v>
      </c>
      <c r="K1593" s="23" t="str">
        <f t="shared" si="26"/>
        <v>Pike, MO</v>
      </c>
      <c r="L1593" s="23">
        <v>57.0</v>
      </c>
      <c r="M1593" s="23" t="s">
        <v>63</v>
      </c>
      <c r="N1593" s="23" t="s">
        <v>63</v>
      </c>
      <c r="O1593" s="23" t="s">
        <v>63</v>
      </c>
      <c r="P1593" s="23" t="s">
        <v>63</v>
      </c>
      <c r="Q1593" s="23" t="s">
        <v>63</v>
      </c>
      <c r="R1593" s="23">
        <v>0.0</v>
      </c>
      <c r="S1593" s="23" t="s">
        <v>63</v>
      </c>
      <c r="T1593" s="32" t="s">
        <v>63</v>
      </c>
      <c r="U1593" s="123">
        <v>21.0</v>
      </c>
      <c r="V1593" s="23" t="s">
        <v>63</v>
      </c>
      <c r="W1593" s="23" t="s">
        <v>63</v>
      </c>
      <c r="X1593" s="23" t="s">
        <v>63</v>
      </c>
      <c r="Y1593" s="35">
        <v>23.0</v>
      </c>
      <c r="Z1593" s="32" t="s">
        <v>63</v>
      </c>
      <c r="AA1593" s="38"/>
      <c r="AB1593" s="38"/>
      <c r="AC1593" s="38"/>
      <c r="AD1593" s="38"/>
      <c r="AE1593" s="38"/>
      <c r="AF1593" s="38"/>
      <c r="AG1593" s="38"/>
      <c r="AH1593" s="38"/>
      <c r="AI1593" s="38"/>
      <c r="AJ1593" s="38"/>
      <c r="AK1593" s="38"/>
    </row>
    <row r="1594">
      <c r="A1594" s="99">
        <v>1593.0</v>
      </c>
      <c r="B1594" s="15"/>
      <c r="C1594" s="15"/>
      <c r="D1594" s="105">
        <v>1.0</v>
      </c>
      <c r="E1594" s="102">
        <v>29.0</v>
      </c>
      <c r="F1594" s="107">
        <v>165.0</v>
      </c>
      <c r="G1594" s="15" t="str">
        <f t="shared" si="1"/>
        <v>29165</v>
      </c>
      <c r="H1594" s="23" t="s">
        <v>1419</v>
      </c>
      <c r="I1594" s="23" t="s">
        <v>73</v>
      </c>
      <c r="J1594" s="23" t="s">
        <v>410</v>
      </c>
      <c r="K1594" s="23" t="str">
        <f t="shared" si="26"/>
        <v>Platte, MO</v>
      </c>
      <c r="L1594" s="23">
        <v>68.0</v>
      </c>
      <c r="M1594" s="23" t="s">
        <v>63</v>
      </c>
      <c r="N1594" s="23" t="s">
        <v>63</v>
      </c>
      <c r="O1594" s="23" t="s">
        <v>63</v>
      </c>
      <c r="P1594" s="23" t="s">
        <v>63</v>
      </c>
      <c r="Q1594" s="23" t="s">
        <v>63</v>
      </c>
      <c r="R1594" s="23">
        <v>2.0</v>
      </c>
      <c r="S1594" s="23" t="s">
        <v>63</v>
      </c>
      <c r="T1594" s="32" t="s">
        <v>63</v>
      </c>
      <c r="U1594" s="123">
        <v>23.0</v>
      </c>
      <c r="V1594" s="23" t="s">
        <v>63</v>
      </c>
      <c r="W1594" s="23" t="s">
        <v>63</v>
      </c>
      <c r="X1594" s="23" t="s">
        <v>63</v>
      </c>
      <c r="Y1594" s="35">
        <v>59.0</v>
      </c>
      <c r="Z1594" s="32" t="s">
        <v>63</v>
      </c>
      <c r="AA1594" s="38"/>
      <c r="AB1594" s="38"/>
      <c r="AC1594" s="38"/>
      <c r="AD1594" s="38"/>
      <c r="AE1594" s="38"/>
      <c r="AF1594" s="38"/>
      <c r="AG1594" s="38"/>
      <c r="AH1594" s="38"/>
      <c r="AI1594" s="38"/>
      <c r="AJ1594" s="38"/>
      <c r="AK1594" s="38"/>
    </row>
    <row r="1595">
      <c r="A1595" s="99">
        <v>1594.0</v>
      </c>
      <c r="B1595" s="15"/>
      <c r="C1595" s="15"/>
      <c r="D1595" s="105">
        <v>1.0</v>
      </c>
      <c r="E1595" s="102">
        <v>29.0</v>
      </c>
      <c r="F1595" s="107">
        <v>167.0</v>
      </c>
      <c r="G1595" s="15" t="str">
        <f t="shared" si="1"/>
        <v>29167</v>
      </c>
      <c r="H1595" s="23" t="s">
        <v>302</v>
      </c>
      <c r="I1595" s="23" t="s">
        <v>73</v>
      </c>
      <c r="J1595" s="23" t="s">
        <v>410</v>
      </c>
      <c r="K1595" s="23" t="str">
        <f t="shared" si="26"/>
        <v>Polk, MO</v>
      </c>
      <c r="L1595" s="23">
        <v>76.0</v>
      </c>
      <c r="M1595" s="23" t="s">
        <v>63</v>
      </c>
      <c r="N1595" s="23" t="s">
        <v>63</v>
      </c>
      <c r="O1595" s="23" t="s">
        <v>63</v>
      </c>
      <c r="P1595" s="23" t="s">
        <v>63</v>
      </c>
      <c r="Q1595" s="23" t="s">
        <v>63</v>
      </c>
      <c r="R1595" s="23">
        <v>6.0</v>
      </c>
      <c r="S1595" s="23" t="s">
        <v>63</v>
      </c>
      <c r="T1595" s="32" t="s">
        <v>63</v>
      </c>
      <c r="U1595" s="123">
        <v>39.0</v>
      </c>
      <c r="V1595" s="23" t="s">
        <v>63</v>
      </c>
      <c r="W1595" s="23" t="s">
        <v>63</v>
      </c>
      <c r="X1595" s="23" t="s">
        <v>63</v>
      </c>
      <c r="Y1595" s="35">
        <v>37.0</v>
      </c>
      <c r="Z1595" s="32" t="s">
        <v>63</v>
      </c>
      <c r="AA1595" s="38"/>
      <c r="AB1595" s="38"/>
      <c r="AC1595" s="38"/>
      <c r="AD1595" s="38"/>
      <c r="AE1595" s="38"/>
      <c r="AF1595" s="38"/>
      <c r="AG1595" s="38"/>
      <c r="AH1595" s="38"/>
      <c r="AI1595" s="38"/>
      <c r="AJ1595" s="38"/>
      <c r="AK1595" s="38"/>
    </row>
    <row r="1596">
      <c r="A1596" s="99">
        <v>1595.0</v>
      </c>
      <c r="B1596" s="15"/>
      <c r="C1596" s="15"/>
      <c r="D1596" s="105">
        <v>1.0</v>
      </c>
      <c r="E1596" s="102">
        <v>29.0</v>
      </c>
      <c r="F1596" s="107">
        <v>169.0</v>
      </c>
      <c r="G1596" s="15" t="str">
        <f t="shared" si="1"/>
        <v>29169</v>
      </c>
      <c r="H1596" s="23" t="s">
        <v>305</v>
      </c>
      <c r="I1596" s="23" t="s">
        <v>73</v>
      </c>
      <c r="J1596" s="23" t="s">
        <v>410</v>
      </c>
      <c r="K1596" s="23" t="str">
        <f t="shared" si="26"/>
        <v>Pulaski, MO</v>
      </c>
      <c r="L1596" s="23">
        <v>278.0</v>
      </c>
      <c r="M1596" s="23" t="s">
        <v>63</v>
      </c>
      <c r="N1596" s="23" t="s">
        <v>63</v>
      </c>
      <c r="O1596" s="23" t="s">
        <v>63</v>
      </c>
      <c r="P1596" s="23" t="s">
        <v>63</v>
      </c>
      <c r="Q1596" s="23" t="s">
        <v>63</v>
      </c>
      <c r="R1596" s="23">
        <v>4.0</v>
      </c>
      <c r="S1596" s="23" t="s">
        <v>63</v>
      </c>
      <c r="T1596" s="32" t="s">
        <v>63</v>
      </c>
      <c r="U1596" s="123">
        <v>67.0</v>
      </c>
      <c r="V1596" s="23" t="s">
        <v>63</v>
      </c>
      <c r="W1596" s="23" t="s">
        <v>63</v>
      </c>
      <c r="X1596" s="23" t="s">
        <v>63</v>
      </c>
      <c r="Y1596" s="35">
        <v>53.0</v>
      </c>
      <c r="Z1596" s="32" t="s">
        <v>63</v>
      </c>
      <c r="AA1596" s="38"/>
      <c r="AB1596" s="38"/>
      <c r="AC1596" s="38"/>
      <c r="AD1596" s="38"/>
      <c r="AE1596" s="38"/>
      <c r="AF1596" s="38"/>
      <c r="AG1596" s="38"/>
      <c r="AH1596" s="38"/>
      <c r="AI1596" s="38"/>
      <c r="AJ1596" s="38"/>
      <c r="AK1596" s="38"/>
    </row>
    <row r="1597">
      <c r="A1597" s="99">
        <v>1596.0</v>
      </c>
      <c r="B1597" s="15"/>
      <c r="C1597" s="15"/>
      <c r="D1597" s="105">
        <v>1.0</v>
      </c>
      <c r="E1597" s="102">
        <v>29.0</v>
      </c>
      <c r="F1597" s="107">
        <v>171.0</v>
      </c>
      <c r="G1597" s="15" t="str">
        <f t="shared" si="1"/>
        <v>29171</v>
      </c>
      <c r="H1597" s="23" t="s">
        <v>518</v>
      </c>
      <c r="I1597" s="23" t="s">
        <v>73</v>
      </c>
      <c r="J1597" s="23" t="s">
        <v>410</v>
      </c>
      <c r="K1597" s="23" t="str">
        <f t="shared" si="26"/>
        <v>Putnam, MO</v>
      </c>
      <c r="L1597" s="23">
        <v>20.0</v>
      </c>
      <c r="M1597" s="23" t="s">
        <v>63</v>
      </c>
      <c r="N1597" s="23" t="s">
        <v>63</v>
      </c>
      <c r="O1597" s="23" t="s">
        <v>63</v>
      </c>
      <c r="P1597" s="23" t="s">
        <v>63</v>
      </c>
      <c r="Q1597" s="23" t="s">
        <v>63</v>
      </c>
      <c r="R1597" s="23">
        <v>1.0</v>
      </c>
      <c r="S1597" s="23" t="s">
        <v>63</v>
      </c>
      <c r="T1597" s="32" t="s">
        <v>63</v>
      </c>
      <c r="U1597" s="123">
        <v>13.0</v>
      </c>
      <c r="V1597" s="23" t="s">
        <v>63</v>
      </c>
      <c r="W1597" s="23" t="s">
        <v>63</v>
      </c>
      <c r="X1597" s="23" t="s">
        <v>63</v>
      </c>
      <c r="Y1597" s="35">
        <v>10.0</v>
      </c>
      <c r="Z1597" s="32" t="s">
        <v>63</v>
      </c>
      <c r="AA1597" s="38"/>
      <c r="AB1597" s="38"/>
      <c r="AC1597" s="38"/>
      <c r="AD1597" s="38"/>
      <c r="AE1597" s="38"/>
      <c r="AF1597" s="38"/>
      <c r="AG1597" s="38"/>
      <c r="AH1597" s="38"/>
      <c r="AI1597" s="38"/>
      <c r="AJ1597" s="38"/>
      <c r="AK1597" s="38"/>
    </row>
    <row r="1598">
      <c r="A1598" s="99">
        <v>1597.0</v>
      </c>
      <c r="B1598" s="15"/>
      <c r="C1598" s="15"/>
      <c r="D1598" s="105">
        <v>1.0</v>
      </c>
      <c r="E1598" s="102">
        <v>29.0</v>
      </c>
      <c r="F1598" s="107">
        <v>173.0</v>
      </c>
      <c r="G1598" s="15" t="str">
        <f t="shared" si="1"/>
        <v>29173</v>
      </c>
      <c r="H1598" s="23" t="s">
        <v>1420</v>
      </c>
      <c r="I1598" s="23" t="s">
        <v>73</v>
      </c>
      <c r="J1598" s="23" t="s">
        <v>410</v>
      </c>
      <c r="K1598" s="23" t="str">
        <f t="shared" si="26"/>
        <v>Ralls, MO</v>
      </c>
      <c r="L1598" s="23">
        <v>42.0</v>
      </c>
      <c r="M1598" s="23" t="s">
        <v>63</v>
      </c>
      <c r="N1598" s="23" t="s">
        <v>63</v>
      </c>
      <c r="O1598" s="23" t="s">
        <v>63</v>
      </c>
      <c r="P1598" s="23" t="s">
        <v>63</v>
      </c>
      <c r="Q1598" s="23" t="s">
        <v>63</v>
      </c>
      <c r="R1598" s="23">
        <v>3.0</v>
      </c>
      <c r="S1598" s="23" t="s">
        <v>63</v>
      </c>
      <c r="T1598" s="32" t="s">
        <v>63</v>
      </c>
      <c r="U1598" s="123">
        <v>9.0</v>
      </c>
      <c r="V1598" s="23" t="s">
        <v>63</v>
      </c>
      <c r="W1598" s="23" t="s">
        <v>63</v>
      </c>
      <c r="X1598" s="23" t="s">
        <v>63</v>
      </c>
      <c r="Y1598" s="35">
        <v>13.0</v>
      </c>
      <c r="Z1598" s="32" t="s">
        <v>63</v>
      </c>
      <c r="AA1598" s="38"/>
      <c r="AB1598" s="38"/>
      <c r="AC1598" s="38"/>
      <c r="AD1598" s="38"/>
      <c r="AE1598" s="38"/>
      <c r="AF1598" s="38"/>
      <c r="AG1598" s="38"/>
      <c r="AH1598" s="38"/>
      <c r="AI1598" s="38"/>
      <c r="AJ1598" s="38"/>
      <c r="AK1598" s="38"/>
    </row>
    <row r="1599">
      <c r="A1599" s="99">
        <v>1598.0</v>
      </c>
      <c r="B1599" s="15"/>
      <c r="C1599" s="15"/>
      <c r="D1599" s="105">
        <v>1.0</v>
      </c>
      <c r="E1599" s="102">
        <v>29.0</v>
      </c>
      <c r="F1599" s="107">
        <v>175.0</v>
      </c>
      <c r="G1599" s="15" t="str">
        <f t="shared" si="1"/>
        <v>29175</v>
      </c>
      <c r="H1599" s="23" t="s">
        <v>163</v>
      </c>
      <c r="I1599" s="23" t="s">
        <v>73</v>
      </c>
      <c r="J1599" s="23" t="s">
        <v>410</v>
      </c>
      <c r="K1599" s="23" t="str">
        <f t="shared" si="26"/>
        <v>Randolph, MO</v>
      </c>
      <c r="L1599" s="23">
        <v>199.0</v>
      </c>
      <c r="M1599" s="23" t="s">
        <v>63</v>
      </c>
      <c r="N1599" s="23" t="s">
        <v>63</v>
      </c>
      <c r="O1599" s="23" t="s">
        <v>63</v>
      </c>
      <c r="P1599" s="23" t="s">
        <v>63</v>
      </c>
      <c r="Q1599" s="23" t="s">
        <v>63</v>
      </c>
      <c r="R1599" s="23">
        <v>2.0</v>
      </c>
      <c r="S1599" s="23" t="s">
        <v>63</v>
      </c>
      <c r="T1599" s="32" t="s">
        <v>63</v>
      </c>
      <c r="U1599" s="123">
        <v>38.0</v>
      </c>
      <c r="V1599" s="23" t="s">
        <v>63</v>
      </c>
      <c r="W1599" s="23" t="s">
        <v>63</v>
      </c>
      <c r="X1599" s="23" t="s">
        <v>63</v>
      </c>
      <c r="Y1599" s="35">
        <v>37.0</v>
      </c>
      <c r="Z1599" s="32" t="s">
        <v>63</v>
      </c>
      <c r="AA1599" s="38"/>
      <c r="AB1599" s="38"/>
      <c r="AC1599" s="38"/>
      <c r="AD1599" s="38"/>
      <c r="AE1599" s="38"/>
      <c r="AF1599" s="38"/>
      <c r="AG1599" s="38"/>
      <c r="AH1599" s="38"/>
      <c r="AI1599" s="38"/>
      <c r="AJ1599" s="38"/>
      <c r="AK1599" s="38"/>
    </row>
    <row r="1600">
      <c r="A1600" s="99">
        <v>1599.0</v>
      </c>
      <c r="B1600" s="15"/>
      <c r="C1600" s="15"/>
      <c r="D1600" s="105">
        <v>1.0</v>
      </c>
      <c r="E1600" s="102">
        <v>29.0</v>
      </c>
      <c r="F1600" s="107">
        <v>177.0</v>
      </c>
      <c r="G1600" s="15" t="str">
        <f t="shared" si="1"/>
        <v>29177</v>
      </c>
      <c r="H1600" s="23" t="s">
        <v>1421</v>
      </c>
      <c r="I1600" s="23" t="s">
        <v>73</v>
      </c>
      <c r="J1600" s="23" t="s">
        <v>410</v>
      </c>
      <c r="K1600" s="23" t="str">
        <f t="shared" si="26"/>
        <v>Ray, MO</v>
      </c>
      <c r="L1600" s="23">
        <v>24.0</v>
      </c>
      <c r="M1600" s="23" t="s">
        <v>63</v>
      </c>
      <c r="N1600" s="23" t="s">
        <v>63</v>
      </c>
      <c r="O1600" s="23" t="s">
        <v>63</v>
      </c>
      <c r="P1600" s="23" t="s">
        <v>63</v>
      </c>
      <c r="Q1600" s="23" t="s">
        <v>63</v>
      </c>
      <c r="R1600" s="23">
        <v>0.0</v>
      </c>
      <c r="S1600" s="23" t="s">
        <v>63</v>
      </c>
      <c r="T1600" s="32" t="s">
        <v>63</v>
      </c>
      <c r="U1600" s="123">
        <v>8.0</v>
      </c>
      <c r="V1600" s="23" t="s">
        <v>63</v>
      </c>
      <c r="W1600" s="23" t="s">
        <v>63</v>
      </c>
      <c r="X1600" s="23" t="s">
        <v>63</v>
      </c>
      <c r="Y1600" s="35">
        <v>32.0</v>
      </c>
      <c r="Z1600" s="32" t="s">
        <v>63</v>
      </c>
      <c r="AA1600" s="38"/>
      <c r="AB1600" s="38"/>
      <c r="AC1600" s="38"/>
      <c r="AD1600" s="38"/>
      <c r="AE1600" s="38"/>
      <c r="AF1600" s="38"/>
      <c r="AG1600" s="38"/>
      <c r="AH1600" s="38"/>
      <c r="AI1600" s="38"/>
      <c r="AJ1600" s="38"/>
      <c r="AK1600" s="38"/>
    </row>
    <row r="1601">
      <c r="A1601" s="99">
        <v>1600.0</v>
      </c>
      <c r="B1601" s="15"/>
      <c r="C1601" s="15"/>
      <c r="D1601" s="105">
        <v>1.0</v>
      </c>
      <c r="E1601" s="102">
        <v>29.0</v>
      </c>
      <c r="F1601" s="107">
        <v>179.0</v>
      </c>
      <c r="G1601" s="15" t="str">
        <f t="shared" si="1"/>
        <v>29179</v>
      </c>
      <c r="H1601" s="23" t="s">
        <v>1422</v>
      </c>
      <c r="I1601" s="23" t="s">
        <v>73</v>
      </c>
      <c r="J1601" s="23" t="s">
        <v>410</v>
      </c>
      <c r="K1601" s="23" t="str">
        <f t="shared" si="26"/>
        <v>Reynolds, MO</v>
      </c>
      <c r="L1601" s="23">
        <v>41.0</v>
      </c>
      <c r="M1601" s="23" t="s">
        <v>63</v>
      </c>
      <c r="N1601" s="23" t="s">
        <v>63</v>
      </c>
      <c r="O1601" s="23" t="s">
        <v>63</v>
      </c>
      <c r="P1601" s="23" t="s">
        <v>63</v>
      </c>
      <c r="Q1601" s="23" t="s">
        <v>63</v>
      </c>
      <c r="R1601" s="23">
        <v>0.0</v>
      </c>
      <c r="S1601" s="23" t="s">
        <v>63</v>
      </c>
      <c r="T1601" s="32" t="s">
        <v>63</v>
      </c>
      <c r="U1601" s="123">
        <v>11.0</v>
      </c>
      <c r="V1601" s="23" t="s">
        <v>63</v>
      </c>
      <c r="W1601" s="23" t="s">
        <v>63</v>
      </c>
      <c r="X1601" s="23" t="s">
        <v>63</v>
      </c>
      <c r="Y1601" s="35">
        <v>17.0</v>
      </c>
      <c r="Z1601" s="32" t="s">
        <v>63</v>
      </c>
      <c r="AA1601" s="38"/>
      <c r="AB1601" s="38"/>
      <c r="AC1601" s="38"/>
      <c r="AD1601" s="38"/>
      <c r="AE1601" s="38"/>
      <c r="AF1601" s="38"/>
      <c r="AG1601" s="38"/>
      <c r="AH1601" s="38"/>
      <c r="AI1601" s="38"/>
      <c r="AJ1601" s="38"/>
      <c r="AK1601" s="38"/>
    </row>
    <row r="1602">
      <c r="A1602" s="99">
        <v>1601.0</v>
      </c>
      <c r="B1602" s="15"/>
      <c r="C1602" s="15"/>
      <c r="D1602" s="105">
        <v>1.0</v>
      </c>
      <c r="E1602" s="102">
        <v>29.0</v>
      </c>
      <c r="F1602" s="107">
        <v>181.0</v>
      </c>
      <c r="G1602" s="15" t="str">
        <f t="shared" si="1"/>
        <v>29181</v>
      </c>
      <c r="H1602" s="23" t="s">
        <v>839</v>
      </c>
      <c r="I1602" s="23" t="s">
        <v>73</v>
      </c>
      <c r="J1602" s="23" t="s">
        <v>410</v>
      </c>
      <c r="K1602" s="23" t="str">
        <f t="shared" si="26"/>
        <v>Ripley, MO</v>
      </c>
      <c r="L1602" s="23">
        <v>200.0</v>
      </c>
      <c r="M1602" s="23" t="s">
        <v>63</v>
      </c>
      <c r="N1602" s="23" t="s">
        <v>63</v>
      </c>
      <c r="O1602" s="23" t="s">
        <v>63</v>
      </c>
      <c r="P1602" s="23" t="s">
        <v>63</v>
      </c>
      <c r="Q1602" s="23" t="s">
        <v>63</v>
      </c>
      <c r="R1602" s="23">
        <v>6.0</v>
      </c>
      <c r="S1602" s="23" t="s">
        <v>63</v>
      </c>
      <c r="T1602" s="32" t="s">
        <v>63</v>
      </c>
      <c r="U1602" s="123">
        <v>15.0</v>
      </c>
      <c r="V1602" s="23" t="s">
        <v>63</v>
      </c>
      <c r="W1602" s="23" t="s">
        <v>63</v>
      </c>
      <c r="X1602" s="23" t="s">
        <v>63</v>
      </c>
      <c r="Y1602" s="35">
        <v>19.0</v>
      </c>
      <c r="Z1602" s="32" t="s">
        <v>63</v>
      </c>
      <c r="AA1602" s="38"/>
      <c r="AB1602" s="38"/>
      <c r="AC1602" s="38"/>
      <c r="AD1602" s="38"/>
      <c r="AE1602" s="38"/>
      <c r="AF1602" s="38"/>
      <c r="AG1602" s="38"/>
      <c r="AH1602" s="38"/>
      <c r="AI1602" s="38"/>
      <c r="AJ1602" s="38"/>
      <c r="AK1602" s="38"/>
    </row>
    <row r="1603">
      <c r="A1603" s="99">
        <v>1602.0</v>
      </c>
      <c r="B1603" s="15"/>
      <c r="C1603" s="15"/>
      <c r="D1603" s="105">
        <v>1.0</v>
      </c>
      <c r="E1603" s="102">
        <v>29.0</v>
      </c>
      <c r="F1603" s="107">
        <v>183.0</v>
      </c>
      <c r="G1603" s="15" t="str">
        <f t="shared" si="1"/>
        <v>29183</v>
      </c>
      <c r="H1603" s="23" t="s">
        <v>1170</v>
      </c>
      <c r="I1603" s="23" t="s">
        <v>73</v>
      </c>
      <c r="J1603" s="23" t="s">
        <v>410</v>
      </c>
      <c r="K1603" s="23" t="str">
        <f t="shared" si="26"/>
        <v>St Charles, MO</v>
      </c>
      <c r="L1603" s="23">
        <v>359.0</v>
      </c>
      <c r="M1603" s="23" t="s">
        <v>63</v>
      </c>
      <c r="N1603" s="23" t="s">
        <v>63</v>
      </c>
      <c r="O1603" s="23" t="s">
        <v>63</v>
      </c>
      <c r="P1603" s="23" t="s">
        <v>63</v>
      </c>
      <c r="Q1603" s="23" t="s">
        <v>63</v>
      </c>
      <c r="R1603" s="23">
        <v>27.0</v>
      </c>
      <c r="S1603" s="23" t="s">
        <v>63</v>
      </c>
      <c r="T1603" s="32" t="s">
        <v>63</v>
      </c>
      <c r="U1603" s="123">
        <v>108.0</v>
      </c>
      <c r="V1603" s="23" t="s">
        <v>63</v>
      </c>
      <c r="W1603" s="23" t="s">
        <v>63</v>
      </c>
      <c r="X1603" s="23" t="s">
        <v>63</v>
      </c>
      <c r="Y1603" s="35">
        <v>164.0</v>
      </c>
      <c r="Z1603" s="32" t="s">
        <v>63</v>
      </c>
      <c r="AA1603" s="38"/>
      <c r="AB1603" s="38"/>
      <c r="AC1603" s="38"/>
      <c r="AD1603" s="38"/>
      <c r="AE1603" s="38"/>
      <c r="AF1603" s="38"/>
      <c r="AG1603" s="38"/>
      <c r="AH1603" s="38"/>
      <c r="AI1603" s="38"/>
      <c r="AJ1603" s="38"/>
      <c r="AK1603" s="38"/>
    </row>
    <row r="1604">
      <c r="A1604" s="99">
        <v>1603.0</v>
      </c>
      <c r="B1604" s="15"/>
      <c r="C1604" s="15"/>
      <c r="D1604" s="105">
        <v>1.0</v>
      </c>
      <c r="E1604" s="102">
        <v>29.0</v>
      </c>
      <c r="F1604" s="107">
        <v>185.0</v>
      </c>
      <c r="G1604" s="15" t="str">
        <f t="shared" si="1"/>
        <v>29185</v>
      </c>
      <c r="H1604" s="23" t="s">
        <v>167</v>
      </c>
      <c r="I1604" s="23" t="s">
        <v>73</v>
      </c>
      <c r="J1604" s="23" t="s">
        <v>410</v>
      </c>
      <c r="K1604" s="23" t="str">
        <f t="shared" si="26"/>
        <v>St Clair, MO</v>
      </c>
      <c r="L1604" s="23">
        <v>27.0</v>
      </c>
      <c r="M1604" s="23" t="s">
        <v>63</v>
      </c>
      <c r="N1604" s="23" t="s">
        <v>63</v>
      </c>
      <c r="O1604" s="23" t="s">
        <v>63</v>
      </c>
      <c r="P1604" s="23" t="s">
        <v>63</v>
      </c>
      <c r="Q1604" s="23" t="s">
        <v>63</v>
      </c>
      <c r="R1604" s="23">
        <v>1.0</v>
      </c>
      <c r="S1604" s="23" t="s">
        <v>63</v>
      </c>
      <c r="T1604" s="32" t="s">
        <v>63</v>
      </c>
      <c r="U1604" s="123">
        <v>8.0</v>
      </c>
      <c r="V1604" s="23" t="s">
        <v>63</v>
      </c>
      <c r="W1604" s="23" t="s">
        <v>63</v>
      </c>
      <c r="X1604" s="23" t="s">
        <v>63</v>
      </c>
      <c r="Y1604" s="35">
        <v>12.0</v>
      </c>
      <c r="Z1604" s="32" t="s">
        <v>63</v>
      </c>
      <c r="AA1604" s="38"/>
      <c r="AB1604" s="38"/>
      <c r="AC1604" s="38"/>
      <c r="AD1604" s="38"/>
      <c r="AE1604" s="38"/>
      <c r="AF1604" s="38"/>
      <c r="AG1604" s="38"/>
      <c r="AH1604" s="38"/>
      <c r="AI1604" s="38"/>
      <c r="AJ1604" s="38"/>
      <c r="AK1604" s="38"/>
    </row>
    <row r="1605">
      <c r="A1605" s="99">
        <v>1604.0</v>
      </c>
      <c r="B1605" s="15"/>
      <c r="C1605" s="15"/>
      <c r="D1605" s="105">
        <v>1.0</v>
      </c>
      <c r="E1605" s="102">
        <v>29.0</v>
      </c>
      <c r="F1605" s="107">
        <v>186.0</v>
      </c>
      <c r="G1605" s="15" t="str">
        <f t="shared" si="1"/>
        <v>29186</v>
      </c>
      <c r="H1605" s="23" t="s">
        <v>1423</v>
      </c>
      <c r="I1605" s="23" t="s">
        <v>73</v>
      </c>
      <c r="J1605" s="23" t="s">
        <v>410</v>
      </c>
      <c r="K1605" s="112" t="str">
        <f t="shared" si="26"/>
        <v>Ste Genevieve, MO</v>
      </c>
      <c r="L1605" s="23">
        <v>37.0</v>
      </c>
      <c r="M1605" s="23" t="s">
        <v>63</v>
      </c>
      <c r="N1605" s="23" t="s">
        <v>63</v>
      </c>
      <c r="O1605" s="23" t="s">
        <v>63</v>
      </c>
      <c r="P1605" s="23" t="s">
        <v>63</v>
      </c>
      <c r="Q1605" s="23" t="s">
        <v>63</v>
      </c>
      <c r="R1605" s="23">
        <v>6.0</v>
      </c>
      <c r="S1605" s="23" t="s">
        <v>63</v>
      </c>
      <c r="T1605" s="32" t="s">
        <v>63</v>
      </c>
      <c r="U1605" s="123">
        <v>19.0</v>
      </c>
      <c r="V1605" s="23" t="s">
        <v>63</v>
      </c>
      <c r="W1605" s="23" t="s">
        <v>63</v>
      </c>
      <c r="X1605" s="23" t="s">
        <v>63</v>
      </c>
      <c r="Y1605" s="35">
        <v>15.0</v>
      </c>
      <c r="Z1605" s="32" t="s">
        <v>63</v>
      </c>
      <c r="AA1605" s="38"/>
      <c r="AB1605" s="38"/>
      <c r="AC1605" s="38"/>
      <c r="AD1605" s="38"/>
      <c r="AE1605" s="38"/>
      <c r="AF1605" s="38"/>
      <c r="AG1605" s="38"/>
      <c r="AH1605" s="38"/>
      <c r="AI1605" s="38"/>
      <c r="AJ1605" s="38"/>
      <c r="AK1605" s="38"/>
    </row>
    <row r="1606">
      <c r="A1606" s="99">
        <v>1605.0</v>
      </c>
      <c r="B1606" s="15"/>
      <c r="C1606" s="15"/>
      <c r="D1606" s="105">
        <v>1.0</v>
      </c>
      <c r="E1606" s="102">
        <v>29.0</v>
      </c>
      <c r="F1606" s="107">
        <v>187.0</v>
      </c>
      <c r="G1606" s="15" t="str">
        <f t="shared" si="1"/>
        <v>29187</v>
      </c>
      <c r="H1606" s="23" t="s">
        <v>1424</v>
      </c>
      <c r="I1606" s="23" t="s">
        <v>73</v>
      </c>
      <c r="J1606" s="23" t="s">
        <v>410</v>
      </c>
      <c r="K1606" s="23" t="str">
        <f t="shared" si="26"/>
        <v>St Francois, MO</v>
      </c>
      <c r="L1606" s="23">
        <v>442.0</v>
      </c>
      <c r="M1606" s="23" t="s">
        <v>63</v>
      </c>
      <c r="N1606" s="23" t="s">
        <v>63</v>
      </c>
      <c r="O1606" s="23" t="s">
        <v>63</v>
      </c>
      <c r="P1606" s="23" t="s">
        <v>63</v>
      </c>
      <c r="Q1606" s="23" t="s">
        <v>63</v>
      </c>
      <c r="R1606" s="23">
        <v>38.0</v>
      </c>
      <c r="S1606" s="23" t="s">
        <v>63</v>
      </c>
      <c r="T1606" s="32" t="s">
        <v>63</v>
      </c>
      <c r="U1606" s="123">
        <v>123.0</v>
      </c>
      <c r="V1606" s="23" t="s">
        <v>63</v>
      </c>
      <c r="W1606" s="23" t="s">
        <v>63</v>
      </c>
      <c r="X1606" s="23" t="s">
        <v>63</v>
      </c>
      <c r="Y1606" s="35">
        <v>77.0</v>
      </c>
      <c r="Z1606" s="32" t="s">
        <v>63</v>
      </c>
      <c r="AA1606" s="38"/>
      <c r="AB1606" s="38"/>
      <c r="AC1606" s="38"/>
      <c r="AD1606" s="38"/>
      <c r="AE1606" s="38"/>
      <c r="AF1606" s="38"/>
      <c r="AG1606" s="38"/>
      <c r="AH1606" s="38"/>
      <c r="AI1606" s="38"/>
      <c r="AJ1606" s="38"/>
      <c r="AK1606" s="38"/>
    </row>
    <row r="1607">
      <c r="A1607" s="99">
        <v>1606.0</v>
      </c>
      <c r="B1607" s="15"/>
      <c r="C1607" s="15"/>
      <c r="D1607" s="105">
        <v>1.0</v>
      </c>
      <c r="E1607" s="102">
        <v>29.0</v>
      </c>
      <c r="F1607" s="107">
        <v>189.0</v>
      </c>
      <c r="G1607" s="15" t="str">
        <f t="shared" si="1"/>
        <v>29189</v>
      </c>
      <c r="H1607" s="23" t="s">
        <v>1343</v>
      </c>
      <c r="I1607" s="23" t="s">
        <v>73</v>
      </c>
      <c r="J1607" s="23" t="s">
        <v>410</v>
      </c>
      <c r="K1607" s="23" t="str">
        <f t="shared" si="26"/>
        <v>St Louis, MO</v>
      </c>
      <c r="L1607" s="23">
        <v>1463.0</v>
      </c>
      <c r="M1607" s="23" t="s">
        <v>63</v>
      </c>
      <c r="N1607" s="23" t="s">
        <v>63</v>
      </c>
      <c r="O1607" s="23" t="s">
        <v>63</v>
      </c>
      <c r="P1607" s="23" t="s">
        <v>63</v>
      </c>
      <c r="Q1607" s="23" t="s">
        <v>63</v>
      </c>
      <c r="R1607" s="23">
        <v>58.0</v>
      </c>
      <c r="S1607" s="23" t="s">
        <v>63</v>
      </c>
      <c r="T1607" s="32" t="s">
        <v>63</v>
      </c>
      <c r="U1607" s="123">
        <v>179.0</v>
      </c>
      <c r="V1607" s="23" t="s">
        <v>63</v>
      </c>
      <c r="W1607" s="23" t="s">
        <v>63</v>
      </c>
      <c r="X1607" s="23" t="s">
        <v>63</v>
      </c>
      <c r="Y1607" s="35">
        <v>593.0</v>
      </c>
      <c r="Z1607" s="32" t="s">
        <v>63</v>
      </c>
      <c r="AA1607" s="38"/>
      <c r="AB1607" s="38"/>
      <c r="AC1607" s="38"/>
      <c r="AD1607" s="38"/>
      <c r="AE1607" s="38"/>
      <c r="AF1607" s="38"/>
      <c r="AG1607" s="38"/>
      <c r="AH1607" s="38"/>
      <c r="AI1607" s="38"/>
      <c r="AJ1607" s="38"/>
      <c r="AK1607" s="38"/>
    </row>
    <row r="1608">
      <c r="A1608" s="99">
        <v>1607.0</v>
      </c>
      <c r="B1608" s="15"/>
      <c r="C1608" s="15"/>
      <c r="D1608" s="105">
        <v>1.0</v>
      </c>
      <c r="E1608" s="102">
        <v>29.0</v>
      </c>
      <c r="F1608" s="107">
        <v>195.0</v>
      </c>
      <c r="G1608" s="15" t="str">
        <f t="shared" si="1"/>
        <v>29195</v>
      </c>
      <c r="H1608" s="23" t="s">
        <v>308</v>
      </c>
      <c r="I1608" s="23" t="s">
        <v>73</v>
      </c>
      <c r="J1608" s="23" t="s">
        <v>410</v>
      </c>
      <c r="K1608" s="23" t="str">
        <f t="shared" si="26"/>
        <v>Saline, MO</v>
      </c>
      <c r="L1608" s="23">
        <v>920.0</v>
      </c>
      <c r="M1608" s="23" t="s">
        <v>63</v>
      </c>
      <c r="N1608" s="23" t="s">
        <v>63</v>
      </c>
      <c r="O1608" s="23" t="s">
        <v>63</v>
      </c>
      <c r="P1608" s="23" t="s">
        <v>63</v>
      </c>
      <c r="Q1608" s="23" t="s">
        <v>63</v>
      </c>
      <c r="R1608" s="23">
        <v>47.0</v>
      </c>
      <c r="S1608" s="23" t="s">
        <v>63</v>
      </c>
      <c r="T1608" s="32" t="s">
        <v>63</v>
      </c>
      <c r="U1608" s="123">
        <v>150.0</v>
      </c>
      <c r="V1608" s="23" t="s">
        <v>63</v>
      </c>
      <c r="W1608" s="23" t="s">
        <v>63</v>
      </c>
      <c r="X1608" s="23" t="s">
        <v>63</v>
      </c>
      <c r="Y1608" s="35">
        <v>349.0</v>
      </c>
      <c r="Z1608" s="32" t="s">
        <v>63</v>
      </c>
      <c r="AA1608" s="38"/>
      <c r="AB1608" s="38"/>
      <c r="AC1608" s="38"/>
      <c r="AD1608" s="38"/>
      <c r="AE1608" s="38"/>
      <c r="AF1608" s="38"/>
      <c r="AG1608" s="38"/>
      <c r="AH1608" s="38"/>
      <c r="AI1608" s="38"/>
      <c r="AJ1608" s="38"/>
      <c r="AK1608" s="38"/>
    </row>
    <row r="1609">
      <c r="A1609" s="99">
        <v>1608.0</v>
      </c>
      <c r="B1609" s="15"/>
      <c r="C1609" s="15"/>
      <c r="D1609" s="105">
        <v>1.0</v>
      </c>
      <c r="E1609" s="102">
        <v>29.0</v>
      </c>
      <c r="F1609" s="107">
        <v>197.0</v>
      </c>
      <c r="G1609" s="15" t="str">
        <f t="shared" si="1"/>
        <v>29197</v>
      </c>
      <c r="H1609" s="23" t="s">
        <v>746</v>
      </c>
      <c r="I1609" s="23" t="s">
        <v>73</v>
      </c>
      <c r="J1609" s="23" t="s">
        <v>410</v>
      </c>
      <c r="K1609" s="23" t="str">
        <f t="shared" si="26"/>
        <v>Schuyler, MO</v>
      </c>
      <c r="L1609" s="23">
        <v>75.0</v>
      </c>
      <c r="M1609" s="23" t="s">
        <v>63</v>
      </c>
      <c r="N1609" s="23" t="s">
        <v>63</v>
      </c>
      <c r="O1609" s="23" t="s">
        <v>63</v>
      </c>
      <c r="P1609" s="23" t="s">
        <v>63</v>
      </c>
      <c r="Q1609" s="23" t="s">
        <v>63</v>
      </c>
      <c r="R1609" s="23">
        <v>2.0</v>
      </c>
      <c r="S1609" s="23" t="s">
        <v>63</v>
      </c>
      <c r="T1609" s="32" t="s">
        <v>63</v>
      </c>
      <c r="U1609" s="123">
        <v>33.0</v>
      </c>
      <c r="V1609" s="23" t="s">
        <v>63</v>
      </c>
      <c r="W1609" s="23" t="s">
        <v>63</v>
      </c>
      <c r="X1609" s="23" t="s">
        <v>63</v>
      </c>
      <c r="Y1609" s="35">
        <v>39.0</v>
      </c>
      <c r="Z1609" s="32" t="s">
        <v>63</v>
      </c>
      <c r="AA1609" s="38"/>
      <c r="AB1609" s="38"/>
      <c r="AC1609" s="38"/>
      <c r="AD1609" s="38"/>
      <c r="AE1609" s="38"/>
      <c r="AF1609" s="38"/>
      <c r="AG1609" s="38"/>
      <c r="AH1609" s="38"/>
      <c r="AI1609" s="38"/>
      <c r="AJ1609" s="38"/>
      <c r="AK1609" s="38"/>
    </row>
    <row r="1610">
      <c r="A1610" s="99">
        <v>1609.0</v>
      </c>
      <c r="B1610" s="15"/>
      <c r="C1610" s="15"/>
      <c r="D1610" s="105">
        <v>1.0</v>
      </c>
      <c r="E1610" s="102">
        <v>29.0</v>
      </c>
      <c r="F1610" s="107">
        <v>199.0</v>
      </c>
      <c r="G1610" s="15" t="str">
        <f t="shared" si="1"/>
        <v>29199</v>
      </c>
      <c r="H1610" s="23" t="s">
        <v>1425</v>
      </c>
      <c r="I1610" s="23" t="s">
        <v>73</v>
      </c>
      <c r="J1610" s="23" t="s">
        <v>410</v>
      </c>
      <c r="K1610" s="23" t="str">
        <f t="shared" si="26"/>
        <v>Scotland, MO</v>
      </c>
      <c r="L1610" s="23">
        <v>20.0</v>
      </c>
      <c r="M1610" s="23" t="s">
        <v>63</v>
      </c>
      <c r="N1610" s="23" t="s">
        <v>63</v>
      </c>
      <c r="O1610" s="23" t="s">
        <v>63</v>
      </c>
      <c r="P1610" s="23" t="s">
        <v>63</v>
      </c>
      <c r="Q1610" s="23" t="s">
        <v>63</v>
      </c>
      <c r="R1610" s="23">
        <v>1.0</v>
      </c>
      <c r="S1610" s="23" t="s">
        <v>63</v>
      </c>
      <c r="T1610" s="32" t="s">
        <v>63</v>
      </c>
      <c r="U1610" s="123">
        <v>4.0</v>
      </c>
      <c r="V1610" s="23" t="s">
        <v>63</v>
      </c>
      <c r="W1610" s="23" t="s">
        <v>63</v>
      </c>
      <c r="X1610" s="23" t="s">
        <v>63</v>
      </c>
      <c r="Y1610" s="35">
        <v>8.0</v>
      </c>
      <c r="Z1610" s="32" t="s">
        <v>63</v>
      </c>
      <c r="AA1610" s="38"/>
      <c r="AB1610" s="38"/>
      <c r="AC1610" s="38"/>
      <c r="AD1610" s="38"/>
      <c r="AE1610" s="38"/>
      <c r="AF1610" s="38"/>
      <c r="AG1610" s="38"/>
      <c r="AH1610" s="38"/>
      <c r="AI1610" s="38"/>
      <c r="AJ1610" s="38"/>
      <c r="AK1610" s="38"/>
    </row>
    <row r="1611">
      <c r="A1611" s="99">
        <v>1610.0</v>
      </c>
      <c r="B1611" s="15"/>
      <c r="C1611" s="15"/>
      <c r="D1611" s="105">
        <v>1.0</v>
      </c>
      <c r="E1611" s="102">
        <v>29.0</v>
      </c>
      <c r="F1611" s="107">
        <v>201.0</v>
      </c>
      <c r="G1611" s="15" t="str">
        <f t="shared" si="1"/>
        <v>29201</v>
      </c>
      <c r="H1611" s="23" t="s">
        <v>309</v>
      </c>
      <c r="I1611" s="23" t="s">
        <v>73</v>
      </c>
      <c r="J1611" s="23" t="s">
        <v>410</v>
      </c>
      <c r="K1611" s="23" t="str">
        <f t="shared" si="26"/>
        <v>Scott, MO</v>
      </c>
      <c r="L1611" s="23">
        <v>18.0</v>
      </c>
      <c r="M1611" s="23" t="s">
        <v>63</v>
      </c>
      <c r="N1611" s="23" t="s">
        <v>63</v>
      </c>
      <c r="O1611" s="23" t="s">
        <v>63</v>
      </c>
      <c r="P1611" s="23" t="s">
        <v>63</v>
      </c>
      <c r="Q1611" s="23" t="s">
        <v>63</v>
      </c>
      <c r="R1611" s="23">
        <v>0.0</v>
      </c>
      <c r="S1611" s="23" t="s">
        <v>63</v>
      </c>
      <c r="T1611" s="32" t="s">
        <v>63</v>
      </c>
      <c r="U1611" s="123">
        <v>15.0</v>
      </c>
      <c r="V1611" s="23" t="s">
        <v>63</v>
      </c>
      <c r="W1611" s="23" t="s">
        <v>63</v>
      </c>
      <c r="X1611" s="23" t="s">
        <v>63</v>
      </c>
      <c r="Y1611" s="35">
        <v>7.0</v>
      </c>
      <c r="Z1611" s="32" t="s">
        <v>63</v>
      </c>
      <c r="AA1611" s="38"/>
      <c r="AB1611" s="38"/>
      <c r="AC1611" s="38"/>
      <c r="AD1611" s="38"/>
      <c r="AE1611" s="38"/>
      <c r="AF1611" s="38"/>
      <c r="AG1611" s="38"/>
      <c r="AH1611" s="38"/>
      <c r="AI1611" s="38"/>
      <c r="AJ1611" s="38"/>
      <c r="AK1611" s="38"/>
    </row>
    <row r="1612">
      <c r="A1612" s="99">
        <v>1611.0</v>
      </c>
      <c r="B1612" s="15"/>
      <c r="C1612" s="15"/>
      <c r="D1612" s="105">
        <v>1.0</v>
      </c>
      <c r="E1612" s="102">
        <v>29.0</v>
      </c>
      <c r="F1612" s="107">
        <v>203.0</v>
      </c>
      <c r="G1612" s="15" t="str">
        <f t="shared" si="1"/>
        <v>29203</v>
      </c>
      <c r="H1612" s="23" t="s">
        <v>1426</v>
      </c>
      <c r="I1612" s="23" t="s">
        <v>73</v>
      </c>
      <c r="J1612" s="23" t="s">
        <v>410</v>
      </c>
      <c r="K1612" s="23" t="str">
        <f t="shared" si="26"/>
        <v>Shannon, MO</v>
      </c>
      <c r="L1612" s="23">
        <v>185.0</v>
      </c>
      <c r="M1612" s="23" t="s">
        <v>63</v>
      </c>
      <c r="N1612" s="23" t="s">
        <v>63</v>
      </c>
      <c r="O1612" s="23" t="s">
        <v>63</v>
      </c>
      <c r="P1612" s="23" t="s">
        <v>63</v>
      </c>
      <c r="Q1612" s="23" t="s">
        <v>63</v>
      </c>
      <c r="R1612" s="23">
        <v>1.0</v>
      </c>
      <c r="S1612" s="23" t="s">
        <v>63</v>
      </c>
      <c r="T1612" s="32" t="s">
        <v>63</v>
      </c>
      <c r="U1612" s="123">
        <v>78.0</v>
      </c>
      <c r="V1612" s="23" t="s">
        <v>63</v>
      </c>
      <c r="W1612" s="23" t="s">
        <v>63</v>
      </c>
      <c r="X1612" s="23" t="s">
        <v>63</v>
      </c>
      <c r="Y1612" s="35">
        <v>65.0</v>
      </c>
      <c r="Z1612" s="32" t="s">
        <v>63</v>
      </c>
      <c r="AA1612" s="38"/>
      <c r="AB1612" s="38"/>
      <c r="AC1612" s="38"/>
      <c r="AD1612" s="38"/>
      <c r="AE1612" s="38"/>
      <c r="AF1612" s="38"/>
      <c r="AG1612" s="38"/>
      <c r="AH1612" s="38"/>
      <c r="AI1612" s="38"/>
      <c r="AJ1612" s="38"/>
      <c r="AK1612" s="38"/>
    </row>
    <row r="1613">
      <c r="A1613" s="99">
        <v>1612.0</v>
      </c>
      <c r="B1613" s="15"/>
      <c r="C1613" s="15"/>
      <c r="D1613" s="105">
        <v>1.0</v>
      </c>
      <c r="E1613" s="102">
        <v>29.0</v>
      </c>
      <c r="F1613" s="107">
        <v>205.0</v>
      </c>
      <c r="G1613" s="15" t="str">
        <f t="shared" si="1"/>
        <v>29205</v>
      </c>
      <c r="H1613" s="23" t="s">
        <v>168</v>
      </c>
      <c r="I1613" s="23" t="s">
        <v>73</v>
      </c>
      <c r="J1613" s="23" t="s">
        <v>410</v>
      </c>
      <c r="K1613" s="23" t="str">
        <f t="shared" si="26"/>
        <v>Shelby, MO</v>
      </c>
      <c r="L1613" s="23">
        <v>25.0</v>
      </c>
      <c r="M1613" s="23" t="s">
        <v>63</v>
      </c>
      <c r="N1613" s="23" t="s">
        <v>63</v>
      </c>
      <c r="O1613" s="23" t="s">
        <v>63</v>
      </c>
      <c r="P1613" s="23" t="s">
        <v>63</v>
      </c>
      <c r="Q1613" s="23" t="s">
        <v>63</v>
      </c>
      <c r="R1613" s="23">
        <v>0.0</v>
      </c>
      <c r="S1613" s="23" t="s">
        <v>63</v>
      </c>
      <c r="T1613" s="32" t="s">
        <v>63</v>
      </c>
      <c r="U1613" s="123">
        <v>14.0</v>
      </c>
      <c r="V1613" s="23" t="s">
        <v>63</v>
      </c>
      <c r="W1613" s="23" t="s">
        <v>63</v>
      </c>
      <c r="X1613" s="23" t="s">
        <v>63</v>
      </c>
      <c r="Y1613" s="35">
        <v>9.0</v>
      </c>
      <c r="Z1613" s="32" t="s">
        <v>63</v>
      </c>
      <c r="AA1613" s="38"/>
      <c r="AB1613" s="38"/>
      <c r="AC1613" s="38"/>
      <c r="AD1613" s="38"/>
      <c r="AE1613" s="38"/>
      <c r="AF1613" s="38"/>
      <c r="AG1613" s="38"/>
      <c r="AH1613" s="38"/>
      <c r="AI1613" s="38"/>
      <c r="AJ1613" s="38"/>
      <c r="AK1613" s="38"/>
    </row>
    <row r="1614">
      <c r="A1614" s="99">
        <v>1613.0</v>
      </c>
      <c r="B1614" s="15"/>
      <c r="C1614" s="15"/>
      <c r="D1614" s="105">
        <v>1.0</v>
      </c>
      <c r="E1614" s="102">
        <v>29.0</v>
      </c>
      <c r="F1614" s="107">
        <v>207.0</v>
      </c>
      <c r="G1614" s="15" t="str">
        <f t="shared" si="1"/>
        <v>29207</v>
      </c>
      <c r="H1614" s="23" t="s">
        <v>1427</v>
      </c>
      <c r="I1614" s="23" t="s">
        <v>73</v>
      </c>
      <c r="J1614" s="23" t="s">
        <v>410</v>
      </c>
      <c r="K1614" s="23" t="str">
        <f t="shared" si="26"/>
        <v>Stoddard, MO</v>
      </c>
      <c r="L1614" s="23">
        <v>35.0</v>
      </c>
      <c r="M1614" s="23" t="s">
        <v>63</v>
      </c>
      <c r="N1614" s="23" t="s">
        <v>63</v>
      </c>
      <c r="O1614" s="23" t="s">
        <v>63</v>
      </c>
      <c r="P1614" s="23" t="s">
        <v>63</v>
      </c>
      <c r="Q1614" s="23" t="s">
        <v>63</v>
      </c>
      <c r="R1614" s="23">
        <v>0.0</v>
      </c>
      <c r="S1614" s="23" t="s">
        <v>63</v>
      </c>
      <c r="T1614" s="32" t="s">
        <v>63</v>
      </c>
      <c r="U1614" s="123">
        <v>12.0</v>
      </c>
      <c r="V1614" s="23" t="s">
        <v>63</v>
      </c>
      <c r="W1614" s="23" t="s">
        <v>63</v>
      </c>
      <c r="X1614" s="23" t="s">
        <v>63</v>
      </c>
      <c r="Y1614" s="35">
        <v>12.0</v>
      </c>
      <c r="Z1614" s="32" t="s">
        <v>63</v>
      </c>
      <c r="AA1614" s="38"/>
      <c r="AB1614" s="38"/>
      <c r="AC1614" s="38"/>
      <c r="AD1614" s="38"/>
      <c r="AE1614" s="38"/>
      <c r="AF1614" s="38"/>
      <c r="AG1614" s="38"/>
      <c r="AH1614" s="38"/>
      <c r="AI1614" s="38"/>
      <c r="AJ1614" s="38"/>
      <c r="AK1614" s="38"/>
    </row>
    <row r="1615">
      <c r="A1615" s="99">
        <v>1614.0</v>
      </c>
      <c r="B1615" s="15"/>
      <c r="C1615" s="15"/>
      <c r="D1615" s="105">
        <v>1.0</v>
      </c>
      <c r="E1615" s="102">
        <v>29.0</v>
      </c>
      <c r="F1615" s="107">
        <v>209.0</v>
      </c>
      <c r="G1615" s="15" t="str">
        <f t="shared" si="1"/>
        <v>29209</v>
      </c>
      <c r="H1615" s="23" t="s">
        <v>315</v>
      </c>
      <c r="I1615" s="23" t="s">
        <v>73</v>
      </c>
      <c r="J1615" s="23" t="s">
        <v>410</v>
      </c>
      <c r="K1615" s="23" t="str">
        <f t="shared" si="26"/>
        <v>Stone, MO</v>
      </c>
      <c r="L1615" s="23">
        <v>288.0</v>
      </c>
      <c r="M1615" s="23" t="s">
        <v>63</v>
      </c>
      <c r="N1615" s="23" t="s">
        <v>63</v>
      </c>
      <c r="O1615" s="23" t="s">
        <v>63</v>
      </c>
      <c r="P1615" s="23" t="s">
        <v>63</v>
      </c>
      <c r="Q1615" s="23" t="s">
        <v>63</v>
      </c>
      <c r="R1615" s="23">
        <v>4.0</v>
      </c>
      <c r="S1615" s="23" t="s">
        <v>63</v>
      </c>
      <c r="T1615" s="32" t="s">
        <v>63</v>
      </c>
      <c r="U1615" s="123">
        <v>89.0</v>
      </c>
      <c r="V1615" s="23" t="s">
        <v>63</v>
      </c>
      <c r="W1615" s="23" t="s">
        <v>63</v>
      </c>
      <c r="X1615" s="23" t="s">
        <v>63</v>
      </c>
      <c r="Y1615" s="35">
        <v>53.0</v>
      </c>
      <c r="Z1615" s="32" t="s">
        <v>63</v>
      </c>
      <c r="AA1615" s="38"/>
      <c r="AB1615" s="38"/>
      <c r="AC1615" s="38"/>
      <c r="AD1615" s="38"/>
      <c r="AE1615" s="38"/>
      <c r="AF1615" s="38"/>
      <c r="AG1615" s="38"/>
      <c r="AH1615" s="38"/>
      <c r="AI1615" s="38"/>
      <c r="AJ1615" s="38"/>
      <c r="AK1615" s="38"/>
    </row>
    <row r="1616">
      <c r="A1616" s="99">
        <v>1615.0</v>
      </c>
      <c r="B1616" s="15"/>
      <c r="C1616" s="15"/>
      <c r="D1616" s="105">
        <v>1.0</v>
      </c>
      <c r="E1616" s="102">
        <v>29.0</v>
      </c>
      <c r="F1616" s="107">
        <v>211.0</v>
      </c>
      <c r="G1616" s="15" t="str">
        <f t="shared" si="1"/>
        <v>29211</v>
      </c>
      <c r="H1616" s="23" t="s">
        <v>860</v>
      </c>
      <c r="I1616" s="23" t="s">
        <v>73</v>
      </c>
      <c r="J1616" s="23" t="s">
        <v>410</v>
      </c>
      <c r="K1616" s="23" t="str">
        <f t="shared" si="26"/>
        <v>Sullivan, MO</v>
      </c>
      <c r="L1616" s="23">
        <v>145.0</v>
      </c>
      <c r="M1616" s="23" t="s">
        <v>63</v>
      </c>
      <c r="N1616" s="23" t="s">
        <v>63</v>
      </c>
      <c r="O1616" s="23" t="s">
        <v>63</v>
      </c>
      <c r="P1616" s="23" t="s">
        <v>63</v>
      </c>
      <c r="Q1616" s="23" t="s">
        <v>63</v>
      </c>
      <c r="R1616" s="23">
        <v>17.0</v>
      </c>
      <c r="S1616" s="23" t="s">
        <v>63</v>
      </c>
      <c r="T1616" s="32" t="s">
        <v>63</v>
      </c>
      <c r="U1616" s="123">
        <v>25.0</v>
      </c>
      <c r="V1616" s="23" t="s">
        <v>63</v>
      </c>
      <c r="W1616" s="23" t="s">
        <v>63</v>
      </c>
      <c r="X1616" s="23" t="s">
        <v>63</v>
      </c>
      <c r="Y1616" s="35">
        <v>43.0</v>
      </c>
      <c r="Z1616" s="32" t="s">
        <v>63</v>
      </c>
      <c r="AA1616" s="38"/>
      <c r="AB1616" s="38"/>
      <c r="AC1616" s="38"/>
      <c r="AD1616" s="38"/>
      <c r="AE1616" s="38"/>
      <c r="AF1616" s="38"/>
      <c r="AG1616" s="38"/>
      <c r="AH1616" s="38"/>
      <c r="AI1616" s="38"/>
      <c r="AJ1616" s="38"/>
      <c r="AK1616" s="38"/>
    </row>
    <row r="1617">
      <c r="A1617" s="99">
        <v>1616.0</v>
      </c>
      <c r="B1617" s="15"/>
      <c r="C1617" s="15"/>
      <c r="D1617" s="105">
        <v>1.0</v>
      </c>
      <c r="E1617" s="102">
        <v>29.0</v>
      </c>
      <c r="F1617" s="107">
        <v>213.0</v>
      </c>
      <c r="G1617" s="15" t="str">
        <f t="shared" si="1"/>
        <v>29213</v>
      </c>
      <c r="H1617" s="23" t="s">
        <v>1428</v>
      </c>
      <c r="I1617" s="23" t="s">
        <v>73</v>
      </c>
      <c r="J1617" s="23" t="s">
        <v>410</v>
      </c>
      <c r="K1617" s="23" t="str">
        <f t="shared" si="26"/>
        <v>Taney, MO</v>
      </c>
      <c r="L1617" s="23">
        <v>49.0</v>
      </c>
      <c r="M1617" s="23" t="s">
        <v>63</v>
      </c>
      <c r="N1617" s="23" t="s">
        <v>63</v>
      </c>
      <c r="O1617" s="23" t="s">
        <v>63</v>
      </c>
      <c r="P1617" s="23" t="s">
        <v>63</v>
      </c>
      <c r="Q1617" s="23" t="s">
        <v>63</v>
      </c>
      <c r="R1617" s="23">
        <v>0.0</v>
      </c>
      <c r="S1617" s="23" t="s">
        <v>63</v>
      </c>
      <c r="T1617" s="32" t="s">
        <v>63</v>
      </c>
      <c r="U1617" s="123">
        <v>19.0</v>
      </c>
      <c r="V1617" s="23" t="s">
        <v>63</v>
      </c>
      <c r="W1617" s="23" t="s">
        <v>63</v>
      </c>
      <c r="X1617" s="23" t="s">
        <v>63</v>
      </c>
      <c r="Y1617" s="35">
        <v>13.0</v>
      </c>
      <c r="Z1617" s="32" t="s">
        <v>63</v>
      </c>
      <c r="AA1617" s="38"/>
      <c r="AB1617" s="38"/>
      <c r="AC1617" s="38"/>
      <c r="AD1617" s="38"/>
      <c r="AE1617" s="38"/>
      <c r="AF1617" s="38"/>
      <c r="AG1617" s="38"/>
      <c r="AH1617" s="38"/>
      <c r="AI1617" s="38"/>
      <c r="AJ1617" s="38"/>
      <c r="AK1617" s="38"/>
    </row>
    <row r="1618">
      <c r="A1618" s="99">
        <v>1617.0</v>
      </c>
      <c r="B1618" s="15"/>
      <c r="C1618" s="15"/>
      <c r="D1618" s="105">
        <v>1.0</v>
      </c>
      <c r="E1618" s="102">
        <v>29.0</v>
      </c>
      <c r="F1618" s="107">
        <v>215.0</v>
      </c>
      <c r="G1618" s="15" t="str">
        <f t="shared" si="1"/>
        <v>29215</v>
      </c>
      <c r="H1618" s="23" t="s">
        <v>113</v>
      </c>
      <c r="I1618" s="23" t="s">
        <v>73</v>
      </c>
      <c r="J1618" s="23" t="s">
        <v>410</v>
      </c>
      <c r="K1618" s="23" t="str">
        <f t="shared" si="26"/>
        <v>Texas, MO</v>
      </c>
      <c r="L1618" s="23">
        <v>424.0</v>
      </c>
      <c r="M1618" s="23" t="s">
        <v>63</v>
      </c>
      <c r="N1618" s="23" t="s">
        <v>63</v>
      </c>
      <c r="O1618" s="23" t="s">
        <v>63</v>
      </c>
      <c r="P1618" s="23" t="s">
        <v>63</v>
      </c>
      <c r="Q1618" s="23" t="s">
        <v>63</v>
      </c>
      <c r="R1618" s="23">
        <v>21.0</v>
      </c>
      <c r="S1618" s="23" t="s">
        <v>63</v>
      </c>
      <c r="T1618" s="32" t="s">
        <v>63</v>
      </c>
      <c r="U1618" s="123">
        <v>110.0</v>
      </c>
      <c r="V1618" s="23" t="s">
        <v>63</v>
      </c>
      <c r="W1618" s="23" t="s">
        <v>63</v>
      </c>
      <c r="X1618" s="23" t="s">
        <v>63</v>
      </c>
      <c r="Y1618" s="35">
        <v>68.0</v>
      </c>
      <c r="Z1618" s="32" t="s">
        <v>63</v>
      </c>
      <c r="AA1618" s="38"/>
      <c r="AB1618" s="38"/>
      <c r="AC1618" s="38"/>
      <c r="AD1618" s="38"/>
      <c r="AE1618" s="38"/>
      <c r="AF1618" s="38"/>
      <c r="AG1618" s="38"/>
      <c r="AH1618" s="38"/>
      <c r="AI1618" s="38"/>
      <c r="AJ1618" s="38"/>
      <c r="AK1618" s="38"/>
    </row>
    <row r="1619">
      <c r="A1619" s="99">
        <v>1618.0</v>
      </c>
      <c r="B1619" s="15"/>
      <c r="C1619" s="15"/>
      <c r="D1619" s="105">
        <v>1.0</v>
      </c>
      <c r="E1619" s="102">
        <v>29.0</v>
      </c>
      <c r="F1619" s="107">
        <v>217.0</v>
      </c>
      <c r="G1619" s="15" t="str">
        <f t="shared" si="1"/>
        <v>29217</v>
      </c>
      <c r="H1619" s="23" t="s">
        <v>1181</v>
      </c>
      <c r="I1619" s="23" t="s">
        <v>73</v>
      </c>
      <c r="J1619" s="23" t="s">
        <v>410</v>
      </c>
      <c r="K1619" s="23" t="str">
        <f t="shared" si="26"/>
        <v>Vernon, MO</v>
      </c>
      <c r="L1619" s="23">
        <v>156.0</v>
      </c>
      <c r="M1619" s="23" t="s">
        <v>63</v>
      </c>
      <c r="N1619" s="23" t="s">
        <v>63</v>
      </c>
      <c r="O1619" s="23" t="s">
        <v>63</v>
      </c>
      <c r="P1619" s="23" t="s">
        <v>63</v>
      </c>
      <c r="Q1619" s="23" t="s">
        <v>63</v>
      </c>
      <c r="R1619" s="23">
        <v>6.0</v>
      </c>
      <c r="S1619" s="23" t="s">
        <v>63</v>
      </c>
      <c r="T1619" s="32" t="s">
        <v>63</v>
      </c>
      <c r="U1619" s="123">
        <v>32.0</v>
      </c>
      <c r="V1619" s="23" t="s">
        <v>63</v>
      </c>
      <c r="W1619" s="23" t="s">
        <v>63</v>
      </c>
      <c r="X1619" s="23" t="s">
        <v>63</v>
      </c>
      <c r="Y1619" s="35">
        <v>44.0</v>
      </c>
      <c r="Z1619" s="32" t="s">
        <v>63</v>
      </c>
      <c r="AA1619" s="38"/>
      <c r="AB1619" s="38"/>
      <c r="AC1619" s="38"/>
      <c r="AD1619" s="38"/>
      <c r="AE1619" s="38"/>
      <c r="AF1619" s="38"/>
      <c r="AG1619" s="38"/>
      <c r="AH1619" s="38"/>
      <c r="AI1619" s="38"/>
      <c r="AJ1619" s="38"/>
      <c r="AK1619" s="38"/>
    </row>
    <row r="1620">
      <c r="A1620" s="99">
        <v>1619.0</v>
      </c>
      <c r="B1620" s="15"/>
      <c r="C1620" s="15"/>
      <c r="D1620" s="105">
        <v>1.0</v>
      </c>
      <c r="E1620" s="102">
        <v>29.0</v>
      </c>
      <c r="F1620" s="107">
        <v>219.0</v>
      </c>
      <c r="G1620" s="15" t="str">
        <f t="shared" si="1"/>
        <v>29219</v>
      </c>
      <c r="H1620" s="23" t="s">
        <v>647</v>
      </c>
      <c r="I1620" s="23" t="s">
        <v>73</v>
      </c>
      <c r="J1620" s="23" t="s">
        <v>410</v>
      </c>
      <c r="K1620" s="23" t="str">
        <f t="shared" si="26"/>
        <v>Warren, MO</v>
      </c>
      <c r="L1620" s="23">
        <v>39.0</v>
      </c>
      <c r="M1620" s="23" t="s">
        <v>63</v>
      </c>
      <c r="N1620" s="23" t="s">
        <v>63</v>
      </c>
      <c r="O1620" s="23" t="s">
        <v>63</v>
      </c>
      <c r="P1620" s="23" t="s">
        <v>63</v>
      </c>
      <c r="Q1620" s="23" t="s">
        <v>63</v>
      </c>
      <c r="R1620" s="23">
        <v>1.0</v>
      </c>
      <c r="S1620" s="23" t="s">
        <v>63</v>
      </c>
      <c r="T1620" s="32" t="s">
        <v>63</v>
      </c>
      <c r="U1620" s="123">
        <v>26.0</v>
      </c>
      <c r="V1620" s="23" t="s">
        <v>63</v>
      </c>
      <c r="W1620" s="23" t="s">
        <v>63</v>
      </c>
      <c r="X1620" s="23" t="s">
        <v>63</v>
      </c>
      <c r="Y1620" s="35">
        <v>29.0</v>
      </c>
      <c r="Z1620" s="32" t="s">
        <v>63</v>
      </c>
      <c r="AA1620" s="38"/>
      <c r="AB1620" s="38"/>
      <c r="AC1620" s="38"/>
      <c r="AD1620" s="38"/>
      <c r="AE1620" s="38"/>
      <c r="AF1620" s="38"/>
      <c r="AG1620" s="38"/>
      <c r="AH1620" s="38"/>
      <c r="AI1620" s="38"/>
      <c r="AJ1620" s="38"/>
      <c r="AK1620" s="38"/>
    </row>
    <row r="1621">
      <c r="A1621" s="99">
        <v>1620.0</v>
      </c>
      <c r="B1621" s="15"/>
      <c r="C1621" s="15"/>
      <c r="D1621" s="105">
        <v>1.0</v>
      </c>
      <c r="E1621" s="102">
        <v>29.0</v>
      </c>
      <c r="F1621" s="107">
        <v>221.0</v>
      </c>
      <c r="G1621" s="15" t="str">
        <f t="shared" si="1"/>
        <v>29221</v>
      </c>
      <c r="H1621" s="23" t="s">
        <v>119</v>
      </c>
      <c r="I1621" s="23" t="s">
        <v>73</v>
      </c>
      <c r="J1621" s="23" t="s">
        <v>410</v>
      </c>
      <c r="K1621" s="112" t="str">
        <f t="shared" si="26"/>
        <v>Washington, MO</v>
      </c>
      <c r="L1621" s="23">
        <v>103.0</v>
      </c>
      <c r="M1621" s="23" t="s">
        <v>63</v>
      </c>
      <c r="N1621" s="23" t="s">
        <v>63</v>
      </c>
      <c r="O1621" s="23" t="s">
        <v>63</v>
      </c>
      <c r="P1621" s="23" t="s">
        <v>63</v>
      </c>
      <c r="Q1621" s="23" t="s">
        <v>63</v>
      </c>
      <c r="R1621" s="23">
        <v>3.0</v>
      </c>
      <c r="S1621" s="23" t="s">
        <v>63</v>
      </c>
      <c r="T1621" s="32" t="s">
        <v>63</v>
      </c>
      <c r="U1621" s="123">
        <v>57.0</v>
      </c>
      <c r="V1621" s="23" t="s">
        <v>63</v>
      </c>
      <c r="W1621" s="23" t="s">
        <v>63</v>
      </c>
      <c r="X1621" s="23" t="s">
        <v>63</v>
      </c>
      <c r="Y1621" s="35">
        <v>28.0</v>
      </c>
      <c r="Z1621" s="32" t="s">
        <v>63</v>
      </c>
      <c r="AA1621" s="38"/>
      <c r="AB1621" s="38"/>
      <c r="AC1621" s="38"/>
      <c r="AD1621" s="38"/>
      <c r="AE1621" s="38"/>
      <c r="AF1621" s="38"/>
      <c r="AG1621" s="38"/>
      <c r="AH1621" s="38"/>
      <c r="AI1621" s="38"/>
      <c r="AJ1621" s="38"/>
      <c r="AK1621" s="38"/>
    </row>
    <row r="1622">
      <c r="A1622" s="99">
        <v>1621.0</v>
      </c>
      <c r="B1622" s="15"/>
      <c r="C1622" s="15"/>
      <c r="D1622" s="105">
        <v>1.0</v>
      </c>
      <c r="E1622" s="102">
        <v>29.0</v>
      </c>
      <c r="F1622" s="107">
        <v>223.0</v>
      </c>
      <c r="G1622" s="15" t="str">
        <f t="shared" si="1"/>
        <v>29223</v>
      </c>
      <c r="H1622" s="23" t="s">
        <v>273</v>
      </c>
      <c r="I1622" s="23" t="s">
        <v>73</v>
      </c>
      <c r="J1622" s="23" t="s">
        <v>410</v>
      </c>
      <c r="K1622" s="23" t="str">
        <f t="shared" si="26"/>
        <v>Wayne, MO</v>
      </c>
      <c r="L1622" s="23">
        <v>184.0</v>
      </c>
      <c r="M1622" s="23" t="s">
        <v>63</v>
      </c>
      <c r="N1622" s="23" t="s">
        <v>63</v>
      </c>
      <c r="O1622" s="23" t="s">
        <v>63</v>
      </c>
      <c r="P1622" s="23" t="s">
        <v>63</v>
      </c>
      <c r="Q1622" s="23" t="s">
        <v>63</v>
      </c>
      <c r="R1622" s="23">
        <v>24.0</v>
      </c>
      <c r="S1622" s="23" t="s">
        <v>63</v>
      </c>
      <c r="T1622" s="32" t="s">
        <v>63</v>
      </c>
      <c r="U1622" s="123">
        <v>43.0</v>
      </c>
      <c r="V1622" s="23" t="s">
        <v>63</v>
      </c>
      <c r="W1622" s="23" t="s">
        <v>63</v>
      </c>
      <c r="X1622" s="23" t="s">
        <v>63</v>
      </c>
      <c r="Y1622" s="35">
        <v>39.0</v>
      </c>
      <c r="Z1622" s="32" t="s">
        <v>63</v>
      </c>
      <c r="AA1622" s="38"/>
      <c r="AB1622" s="38"/>
      <c r="AC1622" s="38"/>
      <c r="AD1622" s="38"/>
      <c r="AE1622" s="38"/>
      <c r="AF1622" s="38"/>
      <c r="AG1622" s="38"/>
      <c r="AH1622" s="38"/>
      <c r="AI1622" s="38"/>
      <c r="AJ1622" s="38"/>
      <c r="AK1622" s="38"/>
    </row>
    <row r="1623">
      <c r="A1623" s="99">
        <v>1622.0</v>
      </c>
      <c r="B1623" s="15"/>
      <c r="C1623" s="15"/>
      <c r="D1623" s="105">
        <v>1.0</v>
      </c>
      <c r="E1623" s="102">
        <v>29.0</v>
      </c>
      <c r="F1623" s="107">
        <v>225.0</v>
      </c>
      <c r="G1623" s="15" t="str">
        <f t="shared" si="1"/>
        <v>29225</v>
      </c>
      <c r="H1623" s="23" t="s">
        <v>648</v>
      </c>
      <c r="I1623" s="23" t="s">
        <v>73</v>
      </c>
      <c r="J1623" s="23" t="s">
        <v>410</v>
      </c>
      <c r="K1623" s="23" t="str">
        <f t="shared" si="26"/>
        <v>Webster, MO</v>
      </c>
      <c r="L1623" s="23">
        <v>95.0</v>
      </c>
      <c r="M1623" s="23" t="s">
        <v>63</v>
      </c>
      <c r="N1623" s="23" t="s">
        <v>63</v>
      </c>
      <c r="O1623" s="23" t="s">
        <v>63</v>
      </c>
      <c r="P1623" s="23" t="s">
        <v>63</v>
      </c>
      <c r="Q1623" s="23" t="s">
        <v>63</v>
      </c>
      <c r="R1623" s="23">
        <v>5.0</v>
      </c>
      <c r="S1623" s="23" t="s">
        <v>63</v>
      </c>
      <c r="T1623" s="32" t="s">
        <v>63</v>
      </c>
      <c r="U1623" s="123">
        <v>24.0</v>
      </c>
      <c r="V1623" s="23" t="s">
        <v>63</v>
      </c>
      <c r="W1623" s="23" t="s">
        <v>63</v>
      </c>
      <c r="X1623" s="23" t="s">
        <v>63</v>
      </c>
      <c r="Y1623" s="35">
        <v>23.0</v>
      </c>
      <c r="Z1623" s="32" t="s">
        <v>63</v>
      </c>
      <c r="AA1623" s="38"/>
      <c r="AB1623" s="38"/>
      <c r="AC1623" s="38"/>
      <c r="AD1623" s="38"/>
      <c r="AE1623" s="38"/>
      <c r="AF1623" s="38"/>
      <c r="AG1623" s="38"/>
      <c r="AH1623" s="38"/>
      <c r="AI1623" s="38"/>
      <c r="AJ1623" s="38"/>
      <c r="AK1623" s="38"/>
    </row>
    <row r="1624">
      <c r="A1624" s="99">
        <v>1623.0</v>
      </c>
      <c r="B1624" s="15"/>
      <c r="C1624" s="15"/>
      <c r="D1624" s="105">
        <v>1.0</v>
      </c>
      <c r="E1624" s="102">
        <v>29.0</v>
      </c>
      <c r="F1624" s="107">
        <v>227.0</v>
      </c>
      <c r="G1624" s="15" t="str">
        <f t="shared" si="1"/>
        <v>29227</v>
      </c>
      <c r="H1624" s="23" t="s">
        <v>655</v>
      </c>
      <c r="I1624" s="23" t="s">
        <v>73</v>
      </c>
      <c r="J1624" s="23" t="s">
        <v>410</v>
      </c>
      <c r="K1624" s="23" t="str">
        <f t="shared" si="26"/>
        <v>Worth, MO</v>
      </c>
      <c r="L1624" s="23">
        <v>217.0</v>
      </c>
      <c r="M1624" s="23" t="s">
        <v>63</v>
      </c>
      <c r="N1624" s="23" t="s">
        <v>63</v>
      </c>
      <c r="O1624" s="23" t="s">
        <v>63</v>
      </c>
      <c r="P1624" s="23" t="s">
        <v>63</v>
      </c>
      <c r="Q1624" s="23" t="s">
        <v>63</v>
      </c>
      <c r="R1624" s="23">
        <v>11.0</v>
      </c>
      <c r="S1624" s="23" t="s">
        <v>63</v>
      </c>
      <c r="T1624" s="32" t="s">
        <v>63</v>
      </c>
      <c r="U1624" s="123">
        <v>50.0</v>
      </c>
      <c r="V1624" s="23" t="s">
        <v>63</v>
      </c>
      <c r="W1624" s="23" t="s">
        <v>63</v>
      </c>
      <c r="X1624" s="23" t="s">
        <v>63</v>
      </c>
      <c r="Y1624" s="35">
        <v>35.0</v>
      </c>
      <c r="Z1624" s="32" t="s">
        <v>63</v>
      </c>
      <c r="AA1624" s="38"/>
      <c r="AB1624" s="38"/>
      <c r="AC1624" s="38"/>
      <c r="AD1624" s="38"/>
      <c r="AE1624" s="38"/>
      <c r="AF1624" s="38"/>
      <c r="AG1624" s="38"/>
      <c r="AH1624" s="38"/>
      <c r="AI1624" s="38"/>
      <c r="AJ1624" s="38"/>
      <c r="AK1624" s="38"/>
    </row>
    <row r="1625">
      <c r="A1625" s="99">
        <v>1624.0</v>
      </c>
      <c r="B1625" s="15"/>
      <c r="C1625" s="15"/>
      <c r="D1625" s="105">
        <v>1.0</v>
      </c>
      <c r="E1625" s="102">
        <v>29.0</v>
      </c>
      <c r="F1625" s="107">
        <v>229.0</v>
      </c>
      <c r="G1625" s="15" t="str">
        <f t="shared" si="1"/>
        <v>29229</v>
      </c>
      <c r="H1625" s="23" t="s">
        <v>949</v>
      </c>
      <c r="I1625" s="23" t="s">
        <v>73</v>
      </c>
      <c r="J1625" s="23" t="s">
        <v>410</v>
      </c>
      <c r="K1625" s="23" t="str">
        <f t="shared" si="26"/>
        <v>Wright, MO</v>
      </c>
      <c r="L1625" s="23">
        <v>15.0</v>
      </c>
      <c r="M1625" s="23" t="s">
        <v>63</v>
      </c>
      <c r="N1625" s="23" t="s">
        <v>63</v>
      </c>
      <c r="O1625" s="23" t="s">
        <v>63</v>
      </c>
      <c r="P1625" s="23" t="s">
        <v>63</v>
      </c>
      <c r="Q1625" s="23" t="s">
        <v>63</v>
      </c>
      <c r="R1625" s="23">
        <v>0.0</v>
      </c>
      <c r="S1625" s="23" t="s">
        <v>63</v>
      </c>
      <c r="T1625" s="32" t="s">
        <v>63</v>
      </c>
      <c r="U1625" s="123">
        <v>2.0</v>
      </c>
      <c r="V1625" s="23" t="s">
        <v>63</v>
      </c>
      <c r="W1625" s="23" t="s">
        <v>63</v>
      </c>
      <c r="X1625" s="23" t="s">
        <v>63</v>
      </c>
      <c r="Y1625" s="35">
        <v>2.0</v>
      </c>
      <c r="Z1625" s="32" t="s">
        <v>63</v>
      </c>
      <c r="AA1625" s="38"/>
      <c r="AB1625" s="38"/>
      <c r="AC1625" s="38"/>
      <c r="AD1625" s="38"/>
      <c r="AE1625" s="38"/>
      <c r="AF1625" s="38"/>
      <c r="AG1625" s="38"/>
      <c r="AH1625" s="38"/>
      <c r="AI1625" s="38"/>
      <c r="AJ1625" s="38"/>
      <c r="AK1625" s="38"/>
    </row>
    <row r="1626">
      <c r="A1626" s="99">
        <v>1625.0</v>
      </c>
      <c r="B1626" s="15"/>
      <c r="C1626" s="15"/>
      <c r="D1626" s="105">
        <v>1.0</v>
      </c>
      <c r="E1626" s="102">
        <v>29.0</v>
      </c>
      <c r="F1626" s="107">
        <v>510.0</v>
      </c>
      <c r="G1626" s="15" t="str">
        <f t="shared" si="1"/>
        <v>29510</v>
      </c>
      <c r="H1626" s="23" t="s">
        <v>1429</v>
      </c>
      <c r="I1626" s="23" t="s">
        <v>73</v>
      </c>
      <c r="J1626" s="23" t="s">
        <v>410</v>
      </c>
      <c r="K1626" s="112" t="str">
        <f t="shared" si="26"/>
        <v>St Louis City, MO</v>
      </c>
      <c r="L1626" s="23">
        <v>153.0</v>
      </c>
      <c r="M1626" s="23" t="s">
        <v>63</v>
      </c>
      <c r="N1626" s="23" t="s">
        <v>63</v>
      </c>
      <c r="O1626" s="23" t="s">
        <v>63</v>
      </c>
      <c r="P1626" s="23" t="s">
        <v>63</v>
      </c>
      <c r="Q1626" s="23" t="s">
        <v>63</v>
      </c>
      <c r="R1626" s="23">
        <v>1.0</v>
      </c>
      <c r="S1626" s="23" t="s">
        <v>63</v>
      </c>
      <c r="T1626" s="32" t="s">
        <v>63</v>
      </c>
      <c r="U1626" s="123">
        <v>51.0</v>
      </c>
      <c r="V1626" s="23" t="s">
        <v>63</v>
      </c>
      <c r="W1626" s="23" t="s">
        <v>63</v>
      </c>
      <c r="X1626" s="23" t="s">
        <v>63</v>
      </c>
      <c r="Y1626" s="35">
        <v>27.0</v>
      </c>
      <c r="Z1626" s="32" t="s">
        <v>63</v>
      </c>
      <c r="AA1626" s="38"/>
      <c r="AB1626" s="38"/>
      <c r="AC1626" s="38"/>
      <c r="AD1626" s="38"/>
      <c r="AE1626" s="38"/>
      <c r="AF1626" s="38"/>
      <c r="AG1626" s="38"/>
      <c r="AH1626" s="38"/>
      <c r="AI1626" s="38"/>
      <c r="AJ1626" s="38"/>
      <c r="AK1626" s="38"/>
    </row>
    <row r="1627">
      <c r="A1627" s="28">
        <v>1626.0</v>
      </c>
      <c r="B1627" s="29"/>
      <c r="C1627" s="29" t="s">
        <v>25</v>
      </c>
      <c r="D1627" s="30"/>
      <c r="E1627" s="31">
        <v>30.0</v>
      </c>
      <c r="F1627" s="42">
        <v>0.0</v>
      </c>
      <c r="G1627" s="29" t="str">
        <f t="shared" si="1"/>
        <v>30000</v>
      </c>
      <c r="H1627" s="37"/>
      <c r="I1627" s="37" t="s">
        <v>76</v>
      </c>
      <c r="J1627" s="37" t="s">
        <v>1430</v>
      </c>
      <c r="K1627" s="37"/>
      <c r="L1627" s="70">
        <f t="array" ref="L1627:Z1627">Montana!C60:Q60</f>
        <v>2672</v>
      </c>
      <c r="M1627" s="37" t="s">
        <v>63</v>
      </c>
      <c r="N1627" s="37" t="s">
        <v>63</v>
      </c>
      <c r="O1627" s="37" t="s">
        <v>63</v>
      </c>
      <c r="P1627" s="37" t="s">
        <v>63</v>
      </c>
      <c r="Q1627" s="70">
        <v>1200.0</v>
      </c>
      <c r="R1627" s="70">
        <v>345.0</v>
      </c>
      <c r="S1627" s="70">
        <v>4558.0</v>
      </c>
      <c r="T1627" s="69" t="s">
        <v>63</v>
      </c>
      <c r="U1627" s="37" t="s">
        <v>63</v>
      </c>
      <c r="V1627" s="37" t="s">
        <v>63</v>
      </c>
      <c r="W1627" s="37" t="s">
        <v>63</v>
      </c>
      <c r="X1627" s="37" t="s">
        <v>63</v>
      </c>
      <c r="Y1627" s="53">
        <v>1143.0</v>
      </c>
      <c r="Z1627" s="69" t="s">
        <v>63</v>
      </c>
      <c r="AA1627" s="73"/>
      <c r="AB1627" s="73"/>
      <c r="AC1627" s="73"/>
      <c r="AD1627" s="73"/>
      <c r="AE1627" s="73"/>
      <c r="AF1627" s="73"/>
      <c r="AG1627" s="73"/>
      <c r="AH1627" s="73"/>
      <c r="AI1627" s="73"/>
      <c r="AJ1627" s="73"/>
      <c r="AK1627" s="73"/>
    </row>
    <row r="1628">
      <c r="A1628" s="28">
        <v>1627.0</v>
      </c>
      <c r="B1628" s="29"/>
      <c r="C1628" s="29"/>
      <c r="D1628" s="40">
        <v>1.0</v>
      </c>
      <c r="E1628" s="31">
        <v>30.0</v>
      </c>
      <c r="F1628" s="42">
        <v>1.0</v>
      </c>
      <c r="G1628" s="29" t="str">
        <f t="shared" si="1"/>
        <v>30001</v>
      </c>
      <c r="H1628" s="37" t="s">
        <v>1431</v>
      </c>
      <c r="I1628" s="37" t="s">
        <v>76</v>
      </c>
      <c r="J1628" s="37" t="s">
        <v>1430</v>
      </c>
      <c r="K1628" s="136" t="str">
        <f t="shared" ref="K1628:K1683" si="27">CONCATENATE(H1628,", ",J1628)</f>
        <v>Beaverhead, MT</v>
      </c>
      <c r="L1628" s="37" t="str">
        <f t="array" ref="L1628:Z1683">Montana!C3:Q58</f>
        <v>NULL</v>
      </c>
      <c r="M1628" s="37" t="s">
        <v>63</v>
      </c>
      <c r="N1628" s="37" t="s">
        <v>63</v>
      </c>
      <c r="O1628" s="37" t="s">
        <v>63</v>
      </c>
      <c r="P1628" s="37" t="s">
        <v>63</v>
      </c>
      <c r="Q1628" s="37" t="s">
        <v>63</v>
      </c>
      <c r="R1628" s="37" t="s">
        <v>63</v>
      </c>
      <c r="S1628" s="37" t="s">
        <v>63</v>
      </c>
      <c r="T1628" s="69" t="s">
        <v>63</v>
      </c>
      <c r="U1628" s="37" t="s">
        <v>63</v>
      </c>
      <c r="V1628" s="37" t="s">
        <v>63</v>
      </c>
      <c r="W1628" s="37" t="s">
        <v>63</v>
      </c>
      <c r="X1628" s="37" t="s">
        <v>63</v>
      </c>
      <c r="Y1628" s="53">
        <v>17.0</v>
      </c>
      <c r="Z1628" s="69" t="s">
        <v>63</v>
      </c>
      <c r="AA1628" s="73"/>
      <c r="AB1628" s="73"/>
      <c r="AC1628" s="73"/>
      <c r="AD1628" s="73"/>
      <c r="AE1628" s="73"/>
      <c r="AF1628" s="73"/>
      <c r="AG1628" s="73"/>
      <c r="AH1628" s="73"/>
      <c r="AI1628" s="73"/>
      <c r="AJ1628" s="73"/>
      <c r="AK1628" s="73"/>
    </row>
    <row r="1629">
      <c r="A1629" s="28">
        <v>1628.0</v>
      </c>
      <c r="B1629" s="29"/>
      <c r="C1629" s="29"/>
      <c r="D1629" s="40">
        <v>1.0</v>
      </c>
      <c r="E1629" s="31">
        <v>30.0</v>
      </c>
      <c r="F1629" s="42">
        <v>3.0</v>
      </c>
      <c r="G1629" s="29" t="str">
        <f t="shared" si="1"/>
        <v>30003</v>
      </c>
      <c r="H1629" s="37" t="s">
        <v>1432</v>
      </c>
      <c r="I1629" s="37" t="s">
        <v>76</v>
      </c>
      <c r="J1629" s="37" t="s">
        <v>1430</v>
      </c>
      <c r="K1629" s="37" t="str">
        <f t="shared" si="27"/>
        <v>Big Horn, MT</v>
      </c>
      <c r="L1629" s="37" t="s">
        <v>63</v>
      </c>
      <c r="M1629" s="37" t="s">
        <v>63</v>
      </c>
      <c r="N1629" s="37" t="s">
        <v>63</v>
      </c>
      <c r="O1629" s="37" t="s">
        <v>63</v>
      </c>
      <c r="P1629" s="37" t="s">
        <v>63</v>
      </c>
      <c r="Q1629" s="37" t="s">
        <v>63</v>
      </c>
      <c r="R1629" s="37" t="s">
        <v>63</v>
      </c>
      <c r="S1629" s="37" t="s">
        <v>63</v>
      </c>
      <c r="T1629" s="69" t="s">
        <v>63</v>
      </c>
      <c r="U1629" s="37" t="s">
        <v>63</v>
      </c>
      <c r="V1629" s="37" t="s">
        <v>63</v>
      </c>
      <c r="W1629" s="37" t="s">
        <v>63</v>
      </c>
      <c r="X1629" s="37" t="s">
        <v>63</v>
      </c>
      <c r="Y1629" s="53">
        <v>13.0</v>
      </c>
      <c r="Z1629" s="69" t="s">
        <v>63</v>
      </c>
      <c r="AA1629" s="73"/>
      <c r="AB1629" s="73"/>
      <c r="AC1629" s="73"/>
      <c r="AD1629" s="73"/>
      <c r="AE1629" s="73"/>
      <c r="AF1629" s="73"/>
      <c r="AG1629" s="73"/>
      <c r="AH1629" s="73"/>
      <c r="AI1629" s="73"/>
      <c r="AJ1629" s="73"/>
      <c r="AK1629" s="73"/>
    </row>
    <row r="1630">
      <c r="A1630" s="28">
        <v>1629.0</v>
      </c>
      <c r="B1630" s="29"/>
      <c r="C1630" s="29"/>
      <c r="D1630" s="40">
        <v>1.0</v>
      </c>
      <c r="E1630" s="31">
        <v>30.0</v>
      </c>
      <c r="F1630" s="42">
        <v>5.0</v>
      </c>
      <c r="G1630" s="29" t="str">
        <f t="shared" si="1"/>
        <v>30005</v>
      </c>
      <c r="H1630" s="37" t="s">
        <v>666</v>
      </c>
      <c r="I1630" s="37" t="s">
        <v>76</v>
      </c>
      <c r="J1630" s="37" t="s">
        <v>1430</v>
      </c>
      <c r="K1630" s="37" t="str">
        <f t="shared" si="27"/>
        <v>Blaine, MT</v>
      </c>
      <c r="L1630" s="37" t="s">
        <v>63</v>
      </c>
      <c r="M1630" s="37" t="s">
        <v>63</v>
      </c>
      <c r="N1630" s="37" t="s">
        <v>63</v>
      </c>
      <c r="O1630" s="37" t="s">
        <v>63</v>
      </c>
      <c r="P1630" s="37" t="s">
        <v>63</v>
      </c>
      <c r="Q1630" s="37" t="s">
        <v>63</v>
      </c>
      <c r="R1630" s="37" t="s">
        <v>63</v>
      </c>
      <c r="S1630" s="37" t="s">
        <v>63</v>
      </c>
      <c r="T1630" s="69" t="s">
        <v>63</v>
      </c>
      <c r="U1630" s="37" t="s">
        <v>63</v>
      </c>
      <c r="V1630" s="37" t="s">
        <v>63</v>
      </c>
      <c r="W1630" s="37" t="s">
        <v>63</v>
      </c>
      <c r="X1630" s="37" t="s">
        <v>63</v>
      </c>
      <c r="Y1630" s="53">
        <v>11.0</v>
      </c>
      <c r="Z1630" s="69" t="s">
        <v>63</v>
      </c>
      <c r="AA1630" s="73"/>
      <c r="AB1630" s="73"/>
      <c r="AC1630" s="73"/>
      <c r="AD1630" s="73"/>
      <c r="AE1630" s="73"/>
      <c r="AF1630" s="73"/>
      <c r="AG1630" s="73"/>
      <c r="AH1630" s="73"/>
      <c r="AI1630" s="73"/>
      <c r="AJ1630" s="73"/>
      <c r="AK1630" s="73"/>
    </row>
    <row r="1631">
      <c r="A1631" s="28">
        <v>1630.0</v>
      </c>
      <c r="B1631" s="29"/>
      <c r="C1631" s="29"/>
      <c r="D1631" s="40">
        <v>1.0</v>
      </c>
      <c r="E1631" s="31">
        <v>30.0</v>
      </c>
      <c r="F1631" s="42">
        <v>7.0</v>
      </c>
      <c r="G1631" s="29" t="str">
        <f t="shared" si="1"/>
        <v>30007</v>
      </c>
      <c r="H1631" s="37" t="s">
        <v>1433</v>
      </c>
      <c r="I1631" s="37" t="s">
        <v>76</v>
      </c>
      <c r="J1631" s="37" t="s">
        <v>1430</v>
      </c>
      <c r="K1631" s="37" t="str">
        <f t="shared" si="27"/>
        <v>Broadwater, MT</v>
      </c>
      <c r="L1631" s="37" t="s">
        <v>63</v>
      </c>
      <c r="M1631" s="37" t="s">
        <v>63</v>
      </c>
      <c r="N1631" s="37" t="s">
        <v>63</v>
      </c>
      <c r="O1631" s="37" t="s">
        <v>63</v>
      </c>
      <c r="P1631" s="37" t="s">
        <v>63</v>
      </c>
      <c r="Q1631" s="37" t="s">
        <v>63</v>
      </c>
      <c r="R1631" s="37" t="s">
        <v>63</v>
      </c>
      <c r="S1631" s="37" t="s">
        <v>63</v>
      </c>
      <c r="T1631" s="69" t="s">
        <v>63</v>
      </c>
      <c r="U1631" s="37" t="s">
        <v>63</v>
      </c>
      <c r="V1631" s="37" t="s">
        <v>63</v>
      </c>
      <c r="W1631" s="37" t="s">
        <v>63</v>
      </c>
      <c r="X1631" s="37" t="s">
        <v>63</v>
      </c>
      <c r="Y1631" s="53">
        <v>6.0</v>
      </c>
      <c r="Z1631" s="69" t="s">
        <v>63</v>
      </c>
      <c r="AA1631" s="73"/>
      <c r="AB1631" s="73"/>
      <c r="AC1631" s="73"/>
      <c r="AD1631" s="73"/>
      <c r="AE1631" s="73"/>
      <c r="AF1631" s="73"/>
      <c r="AG1631" s="73"/>
      <c r="AH1631" s="73"/>
      <c r="AI1631" s="73"/>
      <c r="AJ1631" s="73"/>
      <c r="AK1631" s="73"/>
    </row>
    <row r="1632">
      <c r="A1632" s="28">
        <v>1631.0</v>
      </c>
      <c r="B1632" s="29"/>
      <c r="C1632" s="29"/>
      <c r="D1632" s="40">
        <v>1.0</v>
      </c>
      <c r="E1632" s="31">
        <v>30.0</v>
      </c>
      <c r="F1632" s="42">
        <v>9.0</v>
      </c>
      <c r="G1632" s="29" t="str">
        <f t="shared" si="1"/>
        <v>30009</v>
      </c>
      <c r="H1632" s="37" t="s">
        <v>1434</v>
      </c>
      <c r="I1632" s="37" t="s">
        <v>76</v>
      </c>
      <c r="J1632" s="37" t="s">
        <v>1430</v>
      </c>
      <c r="K1632" s="37" t="str">
        <f t="shared" si="27"/>
        <v>Carbon, MT</v>
      </c>
      <c r="L1632" s="37" t="s">
        <v>63</v>
      </c>
      <c r="M1632" s="37" t="s">
        <v>63</v>
      </c>
      <c r="N1632" s="37" t="s">
        <v>63</v>
      </c>
      <c r="O1632" s="37" t="s">
        <v>63</v>
      </c>
      <c r="P1632" s="37" t="s">
        <v>63</v>
      </c>
      <c r="Q1632" s="37" t="s">
        <v>63</v>
      </c>
      <c r="R1632" s="37" t="s">
        <v>63</v>
      </c>
      <c r="S1632" s="37" t="s">
        <v>63</v>
      </c>
      <c r="T1632" s="69" t="s">
        <v>63</v>
      </c>
      <c r="U1632" s="37" t="s">
        <v>63</v>
      </c>
      <c r="V1632" s="37" t="s">
        <v>63</v>
      </c>
      <c r="W1632" s="37" t="s">
        <v>63</v>
      </c>
      <c r="X1632" s="37" t="s">
        <v>63</v>
      </c>
      <c r="Y1632" s="53">
        <v>16.0</v>
      </c>
      <c r="Z1632" s="69" t="s">
        <v>63</v>
      </c>
      <c r="AA1632" s="73"/>
      <c r="AB1632" s="73"/>
      <c r="AC1632" s="73"/>
      <c r="AD1632" s="73"/>
      <c r="AE1632" s="73"/>
      <c r="AF1632" s="73"/>
      <c r="AG1632" s="73"/>
      <c r="AH1632" s="73"/>
      <c r="AI1632" s="73"/>
      <c r="AJ1632" s="73"/>
      <c r="AK1632" s="73"/>
    </row>
    <row r="1633">
      <c r="A1633" s="28">
        <v>1632.0</v>
      </c>
      <c r="B1633" s="29"/>
      <c r="C1633" s="29"/>
      <c r="D1633" s="40">
        <v>1.0</v>
      </c>
      <c r="E1633" s="31">
        <v>30.0</v>
      </c>
      <c r="F1633" s="42">
        <v>11.0</v>
      </c>
      <c r="G1633" s="29" t="str">
        <f t="shared" si="1"/>
        <v>30011</v>
      </c>
      <c r="H1633" s="37" t="s">
        <v>1038</v>
      </c>
      <c r="I1633" s="37" t="s">
        <v>76</v>
      </c>
      <c r="J1633" s="37" t="s">
        <v>1430</v>
      </c>
      <c r="K1633" s="37" t="str">
        <f t="shared" si="27"/>
        <v>Carter, MT</v>
      </c>
      <c r="L1633" s="37" t="s">
        <v>63</v>
      </c>
      <c r="M1633" s="37" t="s">
        <v>63</v>
      </c>
      <c r="N1633" s="37" t="s">
        <v>63</v>
      </c>
      <c r="O1633" s="37" t="s">
        <v>63</v>
      </c>
      <c r="P1633" s="37" t="s">
        <v>63</v>
      </c>
      <c r="Q1633" s="37" t="s">
        <v>63</v>
      </c>
      <c r="R1633" s="37" t="s">
        <v>63</v>
      </c>
      <c r="S1633" s="37" t="s">
        <v>63</v>
      </c>
      <c r="T1633" s="69" t="s">
        <v>63</v>
      </c>
      <c r="U1633" s="37" t="s">
        <v>63</v>
      </c>
      <c r="V1633" s="37" t="s">
        <v>63</v>
      </c>
      <c r="W1633" s="37" t="s">
        <v>63</v>
      </c>
      <c r="X1633" s="37" t="s">
        <v>63</v>
      </c>
      <c r="Y1633" s="53">
        <v>3.0</v>
      </c>
      <c r="Z1633" s="69" t="s">
        <v>63</v>
      </c>
      <c r="AA1633" s="73"/>
      <c r="AB1633" s="73"/>
      <c r="AC1633" s="73"/>
      <c r="AD1633" s="73"/>
      <c r="AE1633" s="73"/>
      <c r="AF1633" s="73"/>
      <c r="AG1633" s="73"/>
      <c r="AH1633" s="73"/>
      <c r="AI1633" s="73"/>
      <c r="AJ1633" s="73"/>
      <c r="AK1633" s="73"/>
    </row>
    <row r="1634">
      <c r="A1634" s="28">
        <v>1633.0</v>
      </c>
      <c r="B1634" s="29"/>
      <c r="C1634" s="29"/>
      <c r="D1634" s="40">
        <v>1.0</v>
      </c>
      <c r="E1634" s="31">
        <v>30.0</v>
      </c>
      <c r="F1634" s="42">
        <v>13.0</v>
      </c>
      <c r="G1634" s="29" t="str">
        <f t="shared" si="1"/>
        <v>30013</v>
      </c>
      <c r="H1634" s="37" t="s">
        <v>1435</v>
      </c>
      <c r="I1634" s="37" t="s">
        <v>76</v>
      </c>
      <c r="J1634" s="37" t="s">
        <v>1430</v>
      </c>
      <c r="K1634" s="37" t="str">
        <f t="shared" si="27"/>
        <v>Cascade, MT</v>
      </c>
      <c r="L1634" s="37" t="s">
        <v>63</v>
      </c>
      <c r="M1634" s="37" t="s">
        <v>63</v>
      </c>
      <c r="N1634" s="37" t="s">
        <v>63</v>
      </c>
      <c r="O1634" s="37" t="s">
        <v>63</v>
      </c>
      <c r="P1634" s="37" t="s">
        <v>63</v>
      </c>
      <c r="Q1634" s="37" t="s">
        <v>63</v>
      </c>
      <c r="R1634" s="37" t="s">
        <v>63</v>
      </c>
      <c r="S1634" s="37" t="s">
        <v>63</v>
      </c>
      <c r="T1634" s="69" t="s">
        <v>63</v>
      </c>
      <c r="U1634" s="37" t="s">
        <v>63</v>
      </c>
      <c r="V1634" s="37" t="s">
        <v>63</v>
      </c>
      <c r="W1634" s="37" t="s">
        <v>63</v>
      </c>
      <c r="X1634" s="37" t="s">
        <v>63</v>
      </c>
      <c r="Y1634" s="53">
        <v>80.0</v>
      </c>
      <c r="Z1634" s="69" t="s">
        <v>63</v>
      </c>
      <c r="AA1634" s="73"/>
      <c r="AB1634" s="73"/>
      <c r="AC1634" s="73"/>
      <c r="AD1634" s="73"/>
      <c r="AE1634" s="73"/>
      <c r="AF1634" s="73"/>
      <c r="AG1634" s="73"/>
      <c r="AH1634" s="73"/>
      <c r="AI1634" s="73"/>
      <c r="AJ1634" s="73"/>
      <c r="AK1634" s="73"/>
    </row>
    <row r="1635">
      <c r="A1635" s="28">
        <v>1634.0</v>
      </c>
      <c r="B1635" s="29"/>
      <c r="C1635" s="29"/>
      <c r="D1635" s="40">
        <v>1.0</v>
      </c>
      <c r="E1635" s="31">
        <v>30.0</v>
      </c>
      <c r="F1635" s="42">
        <v>15.0</v>
      </c>
      <c r="G1635" s="29" t="str">
        <f t="shared" si="1"/>
        <v>30015</v>
      </c>
      <c r="H1635" s="37" t="s">
        <v>1436</v>
      </c>
      <c r="I1635" s="37" t="s">
        <v>76</v>
      </c>
      <c r="J1635" s="37" t="s">
        <v>1430</v>
      </c>
      <c r="K1635" s="37" t="str">
        <f t="shared" si="27"/>
        <v>Chouteau, MT</v>
      </c>
      <c r="L1635" s="37" t="s">
        <v>63</v>
      </c>
      <c r="M1635" s="37" t="s">
        <v>63</v>
      </c>
      <c r="N1635" s="37" t="s">
        <v>63</v>
      </c>
      <c r="O1635" s="37" t="s">
        <v>63</v>
      </c>
      <c r="P1635" s="37" t="s">
        <v>63</v>
      </c>
      <c r="Q1635" s="37" t="s">
        <v>63</v>
      </c>
      <c r="R1635" s="37" t="s">
        <v>63</v>
      </c>
      <c r="S1635" s="37" t="s">
        <v>63</v>
      </c>
      <c r="T1635" s="69" t="s">
        <v>63</v>
      </c>
      <c r="U1635" s="37" t="s">
        <v>63</v>
      </c>
      <c r="V1635" s="37" t="s">
        <v>63</v>
      </c>
      <c r="W1635" s="37" t="s">
        <v>63</v>
      </c>
      <c r="X1635" s="37" t="s">
        <v>63</v>
      </c>
      <c r="Y1635" s="53">
        <v>11.0</v>
      </c>
      <c r="Z1635" s="69" t="s">
        <v>63</v>
      </c>
      <c r="AA1635" s="73"/>
      <c r="AB1635" s="73"/>
      <c r="AC1635" s="73"/>
      <c r="AD1635" s="73"/>
      <c r="AE1635" s="73"/>
      <c r="AF1635" s="73"/>
      <c r="AG1635" s="73"/>
      <c r="AH1635" s="73"/>
      <c r="AI1635" s="73"/>
      <c r="AJ1635" s="73"/>
      <c r="AK1635" s="73"/>
    </row>
    <row r="1636">
      <c r="A1636" s="28">
        <v>1635.0</v>
      </c>
      <c r="B1636" s="29"/>
      <c r="C1636" s="29"/>
      <c r="D1636" s="40">
        <v>1.0</v>
      </c>
      <c r="E1636" s="31">
        <v>30.0</v>
      </c>
      <c r="F1636" s="42">
        <v>17.0</v>
      </c>
      <c r="G1636" s="29" t="str">
        <f t="shared" si="1"/>
        <v>30017</v>
      </c>
      <c r="H1636" s="37" t="s">
        <v>406</v>
      </c>
      <c r="I1636" s="37" t="s">
        <v>76</v>
      </c>
      <c r="J1636" s="37" t="s">
        <v>1430</v>
      </c>
      <c r="K1636" s="37" t="str">
        <f t="shared" si="27"/>
        <v>Custer, MT</v>
      </c>
      <c r="L1636" s="37" t="s">
        <v>63</v>
      </c>
      <c r="M1636" s="37" t="s">
        <v>63</v>
      </c>
      <c r="N1636" s="37" t="s">
        <v>63</v>
      </c>
      <c r="O1636" s="37" t="s">
        <v>63</v>
      </c>
      <c r="P1636" s="37" t="s">
        <v>63</v>
      </c>
      <c r="Q1636" s="37" t="s">
        <v>63</v>
      </c>
      <c r="R1636" s="37" t="s">
        <v>63</v>
      </c>
      <c r="S1636" s="37" t="s">
        <v>63</v>
      </c>
      <c r="T1636" s="69" t="s">
        <v>63</v>
      </c>
      <c r="U1636" s="37" t="s">
        <v>63</v>
      </c>
      <c r="V1636" s="37" t="s">
        <v>63</v>
      </c>
      <c r="W1636" s="37" t="s">
        <v>63</v>
      </c>
      <c r="X1636" s="37" t="s">
        <v>63</v>
      </c>
      <c r="Y1636" s="53">
        <v>14.0</v>
      </c>
      <c r="Z1636" s="69" t="s">
        <v>63</v>
      </c>
      <c r="AA1636" s="73"/>
      <c r="AB1636" s="73"/>
      <c r="AC1636" s="73"/>
      <c r="AD1636" s="73"/>
      <c r="AE1636" s="73"/>
      <c r="AF1636" s="73"/>
      <c r="AG1636" s="73"/>
      <c r="AH1636" s="73"/>
      <c r="AI1636" s="73"/>
      <c r="AJ1636" s="73"/>
      <c r="AK1636" s="73"/>
    </row>
    <row r="1637">
      <c r="A1637" s="28">
        <v>1636.0</v>
      </c>
      <c r="B1637" s="29"/>
      <c r="C1637" s="29"/>
      <c r="D1637" s="40">
        <v>1.0</v>
      </c>
      <c r="E1637" s="31">
        <v>30.0</v>
      </c>
      <c r="F1637" s="42">
        <v>19.0</v>
      </c>
      <c r="G1637" s="29" t="str">
        <f t="shared" si="1"/>
        <v>30019</v>
      </c>
      <c r="H1637" s="37" t="s">
        <v>1437</v>
      </c>
      <c r="I1637" s="37" t="s">
        <v>76</v>
      </c>
      <c r="J1637" s="37" t="s">
        <v>1430</v>
      </c>
      <c r="K1637" s="37" t="str">
        <f t="shared" si="27"/>
        <v>Daniels, MT</v>
      </c>
      <c r="L1637" s="37" t="s">
        <v>63</v>
      </c>
      <c r="M1637" s="37" t="s">
        <v>63</v>
      </c>
      <c r="N1637" s="37" t="s">
        <v>63</v>
      </c>
      <c r="O1637" s="37" t="s">
        <v>63</v>
      </c>
      <c r="P1637" s="37" t="s">
        <v>63</v>
      </c>
      <c r="Q1637" s="37" t="s">
        <v>63</v>
      </c>
      <c r="R1637" s="37" t="s">
        <v>63</v>
      </c>
      <c r="S1637" s="37" t="s">
        <v>63</v>
      </c>
      <c r="T1637" s="69" t="s">
        <v>63</v>
      </c>
      <c r="U1637" s="37" t="s">
        <v>63</v>
      </c>
      <c r="V1637" s="37" t="s">
        <v>63</v>
      </c>
      <c r="W1637" s="37" t="s">
        <v>63</v>
      </c>
      <c r="X1637" s="37" t="s">
        <v>63</v>
      </c>
      <c r="Y1637" s="53">
        <v>6.0</v>
      </c>
      <c r="Z1637" s="69" t="s">
        <v>63</v>
      </c>
      <c r="AA1637" s="73"/>
      <c r="AB1637" s="73"/>
      <c r="AC1637" s="73"/>
      <c r="AD1637" s="73"/>
      <c r="AE1637" s="73"/>
      <c r="AF1637" s="73"/>
      <c r="AG1637" s="73"/>
      <c r="AH1637" s="73"/>
      <c r="AI1637" s="73"/>
      <c r="AJ1637" s="73"/>
      <c r="AK1637" s="73"/>
    </row>
    <row r="1638">
      <c r="A1638" s="28">
        <v>1637.0</v>
      </c>
      <c r="B1638" s="29"/>
      <c r="C1638" s="29"/>
      <c r="D1638" s="40">
        <v>1.0</v>
      </c>
      <c r="E1638" s="31">
        <v>30.0</v>
      </c>
      <c r="F1638" s="42">
        <v>21.0</v>
      </c>
      <c r="G1638" s="29" t="str">
        <f t="shared" si="1"/>
        <v>30021</v>
      </c>
      <c r="H1638" s="37" t="s">
        <v>562</v>
      </c>
      <c r="I1638" s="37" t="s">
        <v>76</v>
      </c>
      <c r="J1638" s="37" t="s">
        <v>1430</v>
      </c>
      <c r="K1638" s="37" t="str">
        <f t="shared" si="27"/>
        <v>Dawson, MT</v>
      </c>
      <c r="L1638" s="37" t="s">
        <v>63</v>
      </c>
      <c r="M1638" s="37" t="s">
        <v>63</v>
      </c>
      <c r="N1638" s="37" t="s">
        <v>63</v>
      </c>
      <c r="O1638" s="37" t="s">
        <v>63</v>
      </c>
      <c r="P1638" s="37" t="s">
        <v>63</v>
      </c>
      <c r="Q1638" s="37" t="s">
        <v>63</v>
      </c>
      <c r="R1638" s="37" t="s">
        <v>63</v>
      </c>
      <c r="S1638" s="37" t="s">
        <v>63</v>
      </c>
      <c r="T1638" s="69" t="s">
        <v>63</v>
      </c>
      <c r="U1638" s="37" t="s">
        <v>63</v>
      </c>
      <c r="V1638" s="37" t="s">
        <v>63</v>
      </c>
      <c r="W1638" s="37" t="s">
        <v>63</v>
      </c>
      <c r="X1638" s="37" t="s">
        <v>63</v>
      </c>
      <c r="Y1638" s="53">
        <v>13.0</v>
      </c>
      <c r="Z1638" s="69" t="s">
        <v>63</v>
      </c>
      <c r="AA1638" s="73"/>
      <c r="AB1638" s="73"/>
      <c r="AC1638" s="73"/>
      <c r="AD1638" s="73"/>
      <c r="AE1638" s="73"/>
      <c r="AF1638" s="73"/>
      <c r="AG1638" s="73"/>
      <c r="AH1638" s="73"/>
      <c r="AI1638" s="73"/>
      <c r="AJ1638" s="73"/>
      <c r="AK1638" s="73"/>
    </row>
    <row r="1639">
      <c r="A1639" s="28">
        <v>1638.0</v>
      </c>
      <c r="B1639" s="29"/>
      <c r="C1639" s="29"/>
      <c r="D1639" s="40">
        <v>1.0</v>
      </c>
      <c r="E1639" s="31">
        <v>30.0</v>
      </c>
      <c r="F1639" s="42">
        <v>23.0</v>
      </c>
      <c r="G1639" s="29" t="str">
        <f t="shared" si="1"/>
        <v>30023</v>
      </c>
      <c r="H1639" s="37" t="s">
        <v>1438</v>
      </c>
      <c r="I1639" s="37" t="s">
        <v>76</v>
      </c>
      <c r="J1639" s="37" t="s">
        <v>1430</v>
      </c>
      <c r="K1639" s="37" t="str">
        <f t="shared" si="27"/>
        <v>Deer Lodge, MT</v>
      </c>
      <c r="L1639" s="37" t="s">
        <v>63</v>
      </c>
      <c r="M1639" s="37" t="s">
        <v>63</v>
      </c>
      <c r="N1639" s="37" t="s">
        <v>63</v>
      </c>
      <c r="O1639" s="37" t="s">
        <v>63</v>
      </c>
      <c r="P1639" s="37" t="s">
        <v>63</v>
      </c>
      <c r="Q1639" s="37" t="s">
        <v>63</v>
      </c>
      <c r="R1639" s="37" t="s">
        <v>63</v>
      </c>
      <c r="S1639" s="37" t="s">
        <v>63</v>
      </c>
      <c r="T1639" s="69" t="s">
        <v>63</v>
      </c>
      <c r="U1639" s="37" t="s">
        <v>63</v>
      </c>
      <c r="V1639" s="37" t="s">
        <v>63</v>
      </c>
      <c r="W1639" s="37" t="s">
        <v>63</v>
      </c>
      <c r="X1639" s="37" t="s">
        <v>63</v>
      </c>
      <c r="Y1639" s="53">
        <v>12.0</v>
      </c>
      <c r="Z1639" s="69" t="s">
        <v>63</v>
      </c>
      <c r="AA1639" s="73"/>
      <c r="AB1639" s="73"/>
      <c r="AC1639" s="73"/>
      <c r="AD1639" s="73"/>
      <c r="AE1639" s="73"/>
      <c r="AF1639" s="73"/>
      <c r="AG1639" s="73"/>
      <c r="AH1639" s="73"/>
      <c r="AI1639" s="73"/>
      <c r="AJ1639" s="73"/>
      <c r="AK1639" s="73"/>
    </row>
    <row r="1640">
      <c r="A1640" s="28">
        <v>1639.0</v>
      </c>
      <c r="B1640" s="29"/>
      <c r="C1640" s="29"/>
      <c r="D1640" s="40">
        <v>1.0</v>
      </c>
      <c r="E1640" s="31">
        <v>30.0</v>
      </c>
      <c r="F1640" s="42">
        <v>25.0</v>
      </c>
      <c r="G1640" s="29" t="str">
        <f t="shared" si="1"/>
        <v>30025</v>
      </c>
      <c r="H1640" s="37" t="s">
        <v>1439</v>
      </c>
      <c r="I1640" s="37" t="s">
        <v>76</v>
      </c>
      <c r="J1640" s="37" t="s">
        <v>1430</v>
      </c>
      <c r="K1640" s="37" t="str">
        <f t="shared" si="27"/>
        <v>Fallon, MT</v>
      </c>
      <c r="L1640" s="37" t="s">
        <v>63</v>
      </c>
      <c r="M1640" s="37" t="s">
        <v>63</v>
      </c>
      <c r="N1640" s="37" t="s">
        <v>63</v>
      </c>
      <c r="O1640" s="37" t="s">
        <v>63</v>
      </c>
      <c r="P1640" s="37" t="s">
        <v>63</v>
      </c>
      <c r="Q1640" s="37" t="s">
        <v>63</v>
      </c>
      <c r="R1640" s="37" t="s">
        <v>63</v>
      </c>
      <c r="S1640" s="37" t="s">
        <v>63</v>
      </c>
      <c r="T1640" s="69" t="s">
        <v>63</v>
      </c>
      <c r="U1640" s="37" t="s">
        <v>63</v>
      </c>
      <c r="V1640" s="37" t="s">
        <v>63</v>
      </c>
      <c r="W1640" s="37" t="s">
        <v>63</v>
      </c>
      <c r="X1640" s="37" t="s">
        <v>63</v>
      </c>
      <c r="Y1640" s="53">
        <v>10.0</v>
      </c>
      <c r="Z1640" s="69" t="s">
        <v>63</v>
      </c>
      <c r="AA1640" s="73"/>
      <c r="AB1640" s="73"/>
      <c r="AC1640" s="73"/>
      <c r="AD1640" s="73"/>
      <c r="AE1640" s="73"/>
      <c r="AF1640" s="73"/>
      <c r="AG1640" s="73"/>
      <c r="AH1640" s="73"/>
      <c r="AI1640" s="73"/>
      <c r="AJ1640" s="73"/>
      <c r="AK1640" s="73"/>
    </row>
    <row r="1641">
      <c r="A1641" s="28">
        <v>1640.0</v>
      </c>
      <c r="B1641" s="29"/>
      <c r="C1641" s="29"/>
      <c r="D1641" s="40">
        <v>1.0</v>
      </c>
      <c r="E1641" s="31">
        <v>30.0</v>
      </c>
      <c r="F1641" s="42">
        <v>27.0</v>
      </c>
      <c r="G1641" s="29" t="str">
        <f t="shared" si="1"/>
        <v>30027</v>
      </c>
      <c r="H1641" s="37" t="s">
        <v>1440</v>
      </c>
      <c r="I1641" s="37" t="s">
        <v>76</v>
      </c>
      <c r="J1641" s="37" t="s">
        <v>1430</v>
      </c>
      <c r="K1641" s="37" t="str">
        <f t="shared" si="27"/>
        <v>Fergus, MT</v>
      </c>
      <c r="L1641" s="37" t="s">
        <v>63</v>
      </c>
      <c r="M1641" s="37" t="s">
        <v>63</v>
      </c>
      <c r="N1641" s="37" t="s">
        <v>63</v>
      </c>
      <c r="O1641" s="37" t="s">
        <v>63</v>
      </c>
      <c r="P1641" s="37" t="s">
        <v>63</v>
      </c>
      <c r="Q1641" s="37" t="s">
        <v>63</v>
      </c>
      <c r="R1641" s="37" t="s">
        <v>63</v>
      </c>
      <c r="S1641" s="37" t="s">
        <v>63</v>
      </c>
      <c r="T1641" s="69" t="s">
        <v>63</v>
      </c>
      <c r="U1641" s="37" t="s">
        <v>63</v>
      </c>
      <c r="V1641" s="37" t="s">
        <v>63</v>
      </c>
      <c r="W1641" s="37" t="s">
        <v>63</v>
      </c>
      <c r="X1641" s="37" t="s">
        <v>63</v>
      </c>
      <c r="Y1641" s="53">
        <v>22.0</v>
      </c>
      <c r="Z1641" s="69" t="s">
        <v>63</v>
      </c>
      <c r="AA1641" s="73"/>
      <c r="AB1641" s="73"/>
      <c r="AC1641" s="73"/>
      <c r="AD1641" s="73"/>
      <c r="AE1641" s="73"/>
      <c r="AF1641" s="73"/>
      <c r="AG1641" s="73"/>
      <c r="AH1641" s="73"/>
      <c r="AI1641" s="73"/>
      <c r="AJ1641" s="73"/>
      <c r="AK1641" s="73"/>
    </row>
    <row r="1642">
      <c r="A1642" s="28">
        <v>1641.0</v>
      </c>
      <c r="B1642" s="29"/>
      <c r="C1642" s="29"/>
      <c r="D1642" s="40">
        <v>1.0</v>
      </c>
      <c r="E1642" s="31">
        <v>30.0</v>
      </c>
      <c r="F1642" s="42">
        <v>29.0</v>
      </c>
      <c r="G1642" s="29" t="str">
        <f t="shared" si="1"/>
        <v>30029</v>
      </c>
      <c r="H1642" s="37" t="s">
        <v>1441</v>
      </c>
      <c r="I1642" s="37" t="s">
        <v>76</v>
      </c>
      <c r="J1642" s="37" t="s">
        <v>1430</v>
      </c>
      <c r="K1642" s="37" t="str">
        <f t="shared" si="27"/>
        <v>Flathead, MT</v>
      </c>
      <c r="L1642" s="37" t="s">
        <v>63</v>
      </c>
      <c r="M1642" s="37" t="s">
        <v>63</v>
      </c>
      <c r="N1642" s="37" t="s">
        <v>63</v>
      </c>
      <c r="O1642" s="37" t="s">
        <v>63</v>
      </c>
      <c r="P1642" s="37" t="s">
        <v>63</v>
      </c>
      <c r="Q1642" s="37" t="s">
        <v>63</v>
      </c>
      <c r="R1642" s="37" t="s">
        <v>63</v>
      </c>
      <c r="S1642" s="37" t="s">
        <v>63</v>
      </c>
      <c r="T1642" s="69" t="s">
        <v>63</v>
      </c>
      <c r="U1642" s="37" t="s">
        <v>63</v>
      </c>
      <c r="V1642" s="37" t="s">
        <v>63</v>
      </c>
      <c r="W1642" s="37" t="s">
        <v>63</v>
      </c>
      <c r="X1642" s="37" t="s">
        <v>63</v>
      </c>
      <c r="Y1642" s="53">
        <v>96.0</v>
      </c>
      <c r="Z1642" s="69" t="s">
        <v>63</v>
      </c>
      <c r="AA1642" s="73"/>
      <c r="AB1642" s="73"/>
      <c r="AC1642" s="73"/>
      <c r="AD1642" s="73"/>
      <c r="AE1642" s="73"/>
      <c r="AF1642" s="73"/>
      <c r="AG1642" s="73"/>
      <c r="AH1642" s="73"/>
      <c r="AI1642" s="73"/>
      <c r="AJ1642" s="73"/>
      <c r="AK1642" s="73"/>
    </row>
    <row r="1643">
      <c r="A1643" s="28">
        <v>1642.0</v>
      </c>
      <c r="B1643" s="29"/>
      <c r="C1643" s="29"/>
      <c r="D1643" s="40">
        <v>1.0</v>
      </c>
      <c r="E1643" s="31">
        <v>30.0</v>
      </c>
      <c r="F1643" s="42">
        <v>31.0</v>
      </c>
      <c r="G1643" s="29" t="str">
        <f t="shared" si="1"/>
        <v>30031</v>
      </c>
      <c r="H1643" s="37" t="s">
        <v>719</v>
      </c>
      <c r="I1643" s="37" t="s">
        <v>76</v>
      </c>
      <c r="J1643" s="37" t="s">
        <v>1430</v>
      </c>
      <c r="K1643" s="37" t="str">
        <f t="shared" si="27"/>
        <v>Gallatin, MT</v>
      </c>
      <c r="L1643" s="37" t="s">
        <v>63</v>
      </c>
      <c r="M1643" s="37" t="s">
        <v>63</v>
      </c>
      <c r="N1643" s="37" t="s">
        <v>63</v>
      </c>
      <c r="O1643" s="37" t="s">
        <v>63</v>
      </c>
      <c r="P1643" s="37" t="s">
        <v>63</v>
      </c>
      <c r="Q1643" s="37" t="s">
        <v>63</v>
      </c>
      <c r="R1643" s="37" t="s">
        <v>63</v>
      </c>
      <c r="S1643" s="37" t="s">
        <v>63</v>
      </c>
      <c r="T1643" s="69" t="s">
        <v>63</v>
      </c>
      <c r="U1643" s="37" t="s">
        <v>63</v>
      </c>
      <c r="V1643" s="37" t="s">
        <v>63</v>
      </c>
      <c r="W1643" s="37" t="s">
        <v>63</v>
      </c>
      <c r="X1643" s="37" t="s">
        <v>63</v>
      </c>
      <c r="Y1643" s="53">
        <v>70.0</v>
      </c>
      <c r="Z1643" s="69" t="s">
        <v>63</v>
      </c>
      <c r="AA1643" s="73"/>
      <c r="AB1643" s="73"/>
      <c r="AC1643" s="73"/>
      <c r="AD1643" s="73"/>
      <c r="AE1643" s="73"/>
      <c r="AF1643" s="73"/>
      <c r="AG1643" s="73"/>
      <c r="AH1643" s="73"/>
      <c r="AI1643" s="73"/>
      <c r="AJ1643" s="73"/>
      <c r="AK1643" s="73"/>
    </row>
    <row r="1644">
      <c r="A1644" s="28">
        <v>1643.0</v>
      </c>
      <c r="B1644" s="29"/>
      <c r="C1644" s="29"/>
      <c r="D1644" s="40">
        <v>1.0</v>
      </c>
      <c r="E1644" s="31">
        <v>30.0</v>
      </c>
      <c r="F1644" s="42">
        <v>33.0</v>
      </c>
      <c r="G1644" s="29" t="str">
        <f t="shared" si="1"/>
        <v>30033</v>
      </c>
      <c r="H1644" s="37" t="s">
        <v>417</v>
      </c>
      <c r="I1644" s="37" t="s">
        <v>76</v>
      </c>
      <c r="J1644" s="37" t="s">
        <v>1430</v>
      </c>
      <c r="K1644" s="37" t="str">
        <f t="shared" si="27"/>
        <v>Garfield, MT</v>
      </c>
      <c r="L1644" s="37" t="s">
        <v>63</v>
      </c>
      <c r="M1644" s="37" t="s">
        <v>63</v>
      </c>
      <c r="N1644" s="37" t="s">
        <v>63</v>
      </c>
      <c r="O1644" s="37" t="s">
        <v>63</v>
      </c>
      <c r="P1644" s="37" t="s">
        <v>63</v>
      </c>
      <c r="Q1644" s="37" t="s">
        <v>63</v>
      </c>
      <c r="R1644" s="37" t="s">
        <v>63</v>
      </c>
      <c r="S1644" s="37" t="s">
        <v>63</v>
      </c>
      <c r="T1644" s="69" t="s">
        <v>63</v>
      </c>
      <c r="U1644" s="37" t="s">
        <v>63</v>
      </c>
      <c r="V1644" s="37" t="s">
        <v>63</v>
      </c>
      <c r="W1644" s="37" t="s">
        <v>63</v>
      </c>
      <c r="X1644" s="37" t="s">
        <v>63</v>
      </c>
      <c r="Y1644" s="53">
        <v>3.0</v>
      </c>
      <c r="Z1644" s="69" t="s">
        <v>63</v>
      </c>
      <c r="AA1644" s="73"/>
      <c r="AB1644" s="73"/>
      <c r="AC1644" s="73"/>
      <c r="AD1644" s="73"/>
      <c r="AE1644" s="73"/>
      <c r="AF1644" s="73"/>
      <c r="AG1644" s="73"/>
      <c r="AH1644" s="73"/>
      <c r="AI1644" s="73"/>
      <c r="AJ1644" s="73"/>
      <c r="AK1644" s="73"/>
    </row>
    <row r="1645">
      <c r="A1645" s="28">
        <v>1644.0</v>
      </c>
      <c r="B1645" s="29"/>
      <c r="C1645" s="29"/>
      <c r="D1645" s="40">
        <v>1.0</v>
      </c>
      <c r="E1645" s="31">
        <v>30.0</v>
      </c>
      <c r="F1645" s="42">
        <v>35.0</v>
      </c>
      <c r="G1645" s="29" t="str">
        <f t="shared" si="1"/>
        <v>30035</v>
      </c>
      <c r="H1645" s="37" t="s">
        <v>1442</v>
      </c>
      <c r="I1645" s="37" t="s">
        <v>76</v>
      </c>
      <c r="J1645" s="37" t="s">
        <v>1430</v>
      </c>
      <c r="K1645" s="37" t="str">
        <f t="shared" si="27"/>
        <v>Glacier, MT</v>
      </c>
      <c r="L1645" s="37" t="s">
        <v>63</v>
      </c>
      <c r="M1645" s="37" t="s">
        <v>63</v>
      </c>
      <c r="N1645" s="37" t="s">
        <v>63</v>
      </c>
      <c r="O1645" s="37" t="s">
        <v>63</v>
      </c>
      <c r="P1645" s="37" t="s">
        <v>63</v>
      </c>
      <c r="Q1645" s="37" t="s">
        <v>63</v>
      </c>
      <c r="R1645" s="37" t="s">
        <v>63</v>
      </c>
      <c r="S1645" s="37" t="s">
        <v>63</v>
      </c>
      <c r="T1645" s="69" t="s">
        <v>63</v>
      </c>
      <c r="U1645" s="37" t="s">
        <v>63</v>
      </c>
      <c r="V1645" s="37" t="s">
        <v>63</v>
      </c>
      <c r="W1645" s="37" t="s">
        <v>63</v>
      </c>
      <c r="X1645" s="37" t="s">
        <v>63</v>
      </c>
      <c r="Y1645" s="53">
        <v>13.0</v>
      </c>
      <c r="Z1645" s="69" t="s">
        <v>63</v>
      </c>
      <c r="AA1645" s="73"/>
      <c r="AB1645" s="73"/>
      <c r="AC1645" s="73"/>
      <c r="AD1645" s="73"/>
      <c r="AE1645" s="73"/>
      <c r="AF1645" s="73"/>
      <c r="AG1645" s="73"/>
      <c r="AH1645" s="73"/>
      <c r="AI1645" s="73"/>
      <c r="AJ1645" s="73"/>
      <c r="AK1645" s="73"/>
    </row>
    <row r="1646">
      <c r="A1646" s="28">
        <v>1645.0</v>
      </c>
      <c r="B1646" s="29"/>
      <c r="C1646" s="29"/>
      <c r="D1646" s="40">
        <v>1.0</v>
      </c>
      <c r="E1646" s="31">
        <v>30.0</v>
      </c>
      <c r="F1646" s="42">
        <v>37.0</v>
      </c>
      <c r="G1646" s="29" t="str">
        <f t="shared" si="1"/>
        <v>30037</v>
      </c>
      <c r="H1646" s="37" t="s">
        <v>1443</v>
      </c>
      <c r="I1646" s="37" t="s">
        <v>76</v>
      </c>
      <c r="J1646" s="37" t="s">
        <v>1430</v>
      </c>
      <c r="K1646" s="136" t="str">
        <f t="shared" si="27"/>
        <v>Golden Valley, MT</v>
      </c>
      <c r="L1646" s="37" t="s">
        <v>63</v>
      </c>
      <c r="M1646" s="37" t="s">
        <v>63</v>
      </c>
      <c r="N1646" s="37" t="s">
        <v>63</v>
      </c>
      <c r="O1646" s="37" t="s">
        <v>63</v>
      </c>
      <c r="P1646" s="37" t="s">
        <v>63</v>
      </c>
      <c r="Q1646" s="37" t="s">
        <v>63</v>
      </c>
      <c r="R1646" s="37" t="s">
        <v>63</v>
      </c>
      <c r="S1646" s="37" t="s">
        <v>63</v>
      </c>
      <c r="T1646" s="69" t="s">
        <v>63</v>
      </c>
      <c r="U1646" s="37" t="s">
        <v>63</v>
      </c>
      <c r="V1646" s="37" t="s">
        <v>63</v>
      </c>
      <c r="W1646" s="37" t="s">
        <v>63</v>
      </c>
      <c r="X1646" s="37" t="s">
        <v>63</v>
      </c>
      <c r="Y1646" s="53">
        <v>2.0</v>
      </c>
      <c r="Z1646" s="69" t="s">
        <v>63</v>
      </c>
      <c r="AA1646" s="73"/>
      <c r="AB1646" s="73"/>
      <c r="AC1646" s="73"/>
      <c r="AD1646" s="73"/>
      <c r="AE1646" s="73"/>
      <c r="AF1646" s="73"/>
      <c r="AG1646" s="73"/>
      <c r="AH1646" s="73"/>
      <c r="AI1646" s="73"/>
      <c r="AJ1646" s="73"/>
      <c r="AK1646" s="73"/>
    </row>
    <row r="1647">
      <c r="A1647" s="28">
        <v>1646.0</v>
      </c>
      <c r="B1647" s="29"/>
      <c r="C1647" s="29"/>
      <c r="D1647" s="40">
        <v>1.0</v>
      </c>
      <c r="E1647" s="31">
        <v>30.0</v>
      </c>
      <c r="F1647" s="42">
        <v>39.0</v>
      </c>
      <c r="G1647" s="29" t="str">
        <f t="shared" si="1"/>
        <v>30039</v>
      </c>
      <c r="H1647" s="37" t="s">
        <v>1444</v>
      </c>
      <c r="I1647" s="37" t="s">
        <v>76</v>
      </c>
      <c r="J1647" s="37" t="s">
        <v>1430</v>
      </c>
      <c r="K1647" s="37" t="str">
        <f t="shared" si="27"/>
        <v>Granite, MT</v>
      </c>
      <c r="L1647" s="37" t="s">
        <v>63</v>
      </c>
      <c r="M1647" s="37" t="s">
        <v>63</v>
      </c>
      <c r="N1647" s="37" t="s">
        <v>63</v>
      </c>
      <c r="O1647" s="37" t="s">
        <v>63</v>
      </c>
      <c r="P1647" s="37" t="s">
        <v>63</v>
      </c>
      <c r="Q1647" s="37" t="s">
        <v>63</v>
      </c>
      <c r="R1647" s="37" t="s">
        <v>63</v>
      </c>
      <c r="S1647" s="37" t="s">
        <v>63</v>
      </c>
      <c r="T1647" s="69" t="s">
        <v>63</v>
      </c>
      <c r="U1647" s="37" t="s">
        <v>63</v>
      </c>
      <c r="V1647" s="37" t="s">
        <v>63</v>
      </c>
      <c r="W1647" s="37" t="s">
        <v>63</v>
      </c>
      <c r="X1647" s="37" t="s">
        <v>63</v>
      </c>
      <c r="Y1647" s="53">
        <v>2.0</v>
      </c>
      <c r="Z1647" s="69" t="s">
        <v>63</v>
      </c>
      <c r="AA1647" s="73"/>
      <c r="AB1647" s="73"/>
      <c r="AC1647" s="73"/>
      <c r="AD1647" s="73"/>
      <c r="AE1647" s="73"/>
      <c r="AF1647" s="73"/>
      <c r="AG1647" s="73"/>
      <c r="AH1647" s="73"/>
      <c r="AI1647" s="73"/>
      <c r="AJ1647" s="73"/>
      <c r="AK1647" s="73"/>
    </row>
    <row r="1648">
      <c r="A1648" s="28">
        <v>1647.0</v>
      </c>
      <c r="B1648" s="29"/>
      <c r="C1648" s="29"/>
      <c r="D1648" s="40">
        <v>1.0</v>
      </c>
      <c r="E1648" s="31">
        <v>30.0</v>
      </c>
      <c r="F1648" s="42">
        <v>41.0</v>
      </c>
      <c r="G1648" s="29" t="str">
        <f t="shared" si="1"/>
        <v>30041</v>
      </c>
      <c r="H1648" s="37" t="s">
        <v>1445</v>
      </c>
      <c r="I1648" s="37" t="s">
        <v>76</v>
      </c>
      <c r="J1648" s="37" t="s">
        <v>1430</v>
      </c>
      <c r="K1648" s="37" t="str">
        <f t="shared" si="27"/>
        <v>Hill, MT</v>
      </c>
      <c r="L1648" s="37" t="s">
        <v>63</v>
      </c>
      <c r="M1648" s="37" t="s">
        <v>63</v>
      </c>
      <c r="N1648" s="37" t="s">
        <v>63</v>
      </c>
      <c r="O1648" s="37" t="s">
        <v>63</v>
      </c>
      <c r="P1648" s="37" t="s">
        <v>63</v>
      </c>
      <c r="Q1648" s="37" t="s">
        <v>63</v>
      </c>
      <c r="R1648" s="37" t="s">
        <v>63</v>
      </c>
      <c r="S1648" s="37" t="s">
        <v>63</v>
      </c>
      <c r="T1648" s="69" t="s">
        <v>63</v>
      </c>
      <c r="U1648" s="37" t="s">
        <v>63</v>
      </c>
      <c r="V1648" s="37" t="s">
        <v>63</v>
      </c>
      <c r="W1648" s="37" t="s">
        <v>63</v>
      </c>
      <c r="X1648" s="37" t="s">
        <v>63</v>
      </c>
      <c r="Y1648" s="53">
        <v>23.0</v>
      </c>
      <c r="Z1648" s="69" t="s">
        <v>63</v>
      </c>
      <c r="AA1648" s="73"/>
      <c r="AB1648" s="73"/>
      <c r="AC1648" s="73"/>
      <c r="AD1648" s="73"/>
      <c r="AE1648" s="73"/>
      <c r="AF1648" s="73"/>
      <c r="AG1648" s="73"/>
      <c r="AH1648" s="73"/>
      <c r="AI1648" s="73"/>
      <c r="AJ1648" s="73"/>
      <c r="AK1648" s="73"/>
    </row>
    <row r="1649">
      <c r="A1649" s="28">
        <v>1648.0</v>
      </c>
      <c r="B1649" s="29"/>
      <c r="C1649" s="29"/>
      <c r="D1649" s="40">
        <v>1.0</v>
      </c>
      <c r="E1649" s="31">
        <v>30.0</v>
      </c>
      <c r="F1649" s="42">
        <v>43.0</v>
      </c>
      <c r="G1649" s="29" t="str">
        <f t="shared" si="1"/>
        <v>30043</v>
      </c>
      <c r="H1649" s="37" t="s">
        <v>143</v>
      </c>
      <c r="I1649" s="37" t="s">
        <v>76</v>
      </c>
      <c r="J1649" s="37" t="s">
        <v>1430</v>
      </c>
      <c r="K1649" s="37" t="str">
        <f t="shared" si="27"/>
        <v>Jefferson, MT</v>
      </c>
      <c r="L1649" s="37" t="s">
        <v>63</v>
      </c>
      <c r="M1649" s="37" t="s">
        <v>63</v>
      </c>
      <c r="N1649" s="37" t="s">
        <v>63</v>
      </c>
      <c r="O1649" s="37" t="s">
        <v>63</v>
      </c>
      <c r="P1649" s="37" t="s">
        <v>63</v>
      </c>
      <c r="Q1649" s="37" t="s">
        <v>63</v>
      </c>
      <c r="R1649" s="37" t="s">
        <v>63</v>
      </c>
      <c r="S1649" s="37" t="s">
        <v>63</v>
      </c>
      <c r="T1649" s="69" t="s">
        <v>63</v>
      </c>
      <c r="U1649" s="37" t="s">
        <v>63</v>
      </c>
      <c r="V1649" s="37" t="s">
        <v>63</v>
      </c>
      <c r="W1649" s="37" t="s">
        <v>63</v>
      </c>
      <c r="X1649" s="37" t="s">
        <v>63</v>
      </c>
      <c r="Y1649" s="53">
        <v>17.0</v>
      </c>
      <c r="Z1649" s="69" t="s">
        <v>63</v>
      </c>
      <c r="AA1649" s="73"/>
      <c r="AB1649" s="73"/>
      <c r="AC1649" s="73"/>
      <c r="AD1649" s="73"/>
      <c r="AE1649" s="73"/>
      <c r="AF1649" s="73"/>
      <c r="AG1649" s="73"/>
      <c r="AH1649" s="73"/>
      <c r="AI1649" s="73"/>
      <c r="AJ1649" s="73"/>
      <c r="AK1649" s="73"/>
    </row>
    <row r="1650">
      <c r="A1650" s="28">
        <v>1649.0</v>
      </c>
      <c r="B1650" s="29"/>
      <c r="C1650" s="29"/>
      <c r="D1650" s="40">
        <v>1.0</v>
      </c>
      <c r="E1650" s="31">
        <v>30.0</v>
      </c>
      <c r="F1650" s="42">
        <v>45.0</v>
      </c>
      <c r="G1650" s="29" t="str">
        <f t="shared" si="1"/>
        <v>30045</v>
      </c>
      <c r="H1650" s="37" t="s">
        <v>1446</v>
      </c>
      <c r="I1650" s="37" t="s">
        <v>76</v>
      </c>
      <c r="J1650" s="37" t="s">
        <v>1430</v>
      </c>
      <c r="K1650" s="136" t="str">
        <f t="shared" si="27"/>
        <v>Judith Basin, MT</v>
      </c>
      <c r="L1650" s="37" t="s">
        <v>63</v>
      </c>
      <c r="M1650" s="37" t="s">
        <v>63</v>
      </c>
      <c r="N1650" s="37" t="s">
        <v>63</v>
      </c>
      <c r="O1650" s="37" t="s">
        <v>63</v>
      </c>
      <c r="P1650" s="37" t="s">
        <v>63</v>
      </c>
      <c r="Q1650" s="37" t="s">
        <v>63</v>
      </c>
      <c r="R1650" s="37" t="s">
        <v>63</v>
      </c>
      <c r="S1650" s="37" t="s">
        <v>63</v>
      </c>
      <c r="T1650" s="69" t="s">
        <v>63</v>
      </c>
      <c r="U1650" s="37" t="s">
        <v>63</v>
      </c>
      <c r="V1650" s="37" t="s">
        <v>63</v>
      </c>
      <c r="W1650" s="37" t="s">
        <v>63</v>
      </c>
      <c r="X1650" s="37" t="s">
        <v>63</v>
      </c>
      <c r="Y1650" s="53">
        <v>4.0</v>
      </c>
      <c r="Z1650" s="69" t="s">
        <v>63</v>
      </c>
      <c r="AA1650" s="73"/>
      <c r="AB1650" s="73"/>
      <c r="AC1650" s="73"/>
      <c r="AD1650" s="73"/>
      <c r="AE1650" s="73"/>
      <c r="AF1650" s="73"/>
      <c r="AG1650" s="73"/>
      <c r="AH1650" s="73"/>
      <c r="AI1650" s="73"/>
      <c r="AJ1650" s="73"/>
      <c r="AK1650" s="73"/>
    </row>
    <row r="1651">
      <c r="A1651" s="28">
        <v>1650.0</v>
      </c>
      <c r="B1651" s="29"/>
      <c r="C1651" s="29"/>
      <c r="D1651" s="40">
        <v>1.0</v>
      </c>
      <c r="E1651" s="31">
        <v>30.0</v>
      </c>
      <c r="F1651" s="42">
        <v>47.0</v>
      </c>
      <c r="G1651" s="29" t="str">
        <f t="shared" si="1"/>
        <v>30047</v>
      </c>
      <c r="H1651" s="37" t="s">
        <v>337</v>
      </c>
      <c r="I1651" s="37" t="s">
        <v>76</v>
      </c>
      <c r="J1651" s="37" t="s">
        <v>1430</v>
      </c>
      <c r="K1651" s="37" t="str">
        <f t="shared" si="27"/>
        <v>Lake, MT</v>
      </c>
      <c r="L1651" s="37" t="s">
        <v>63</v>
      </c>
      <c r="M1651" s="37" t="s">
        <v>63</v>
      </c>
      <c r="N1651" s="37" t="s">
        <v>63</v>
      </c>
      <c r="O1651" s="37" t="s">
        <v>63</v>
      </c>
      <c r="P1651" s="37" t="s">
        <v>63</v>
      </c>
      <c r="Q1651" s="37" t="s">
        <v>63</v>
      </c>
      <c r="R1651" s="37" t="s">
        <v>63</v>
      </c>
      <c r="S1651" s="37" t="s">
        <v>63</v>
      </c>
      <c r="T1651" s="69" t="s">
        <v>63</v>
      </c>
      <c r="U1651" s="37" t="s">
        <v>63</v>
      </c>
      <c r="V1651" s="37" t="s">
        <v>63</v>
      </c>
      <c r="W1651" s="37" t="s">
        <v>63</v>
      </c>
      <c r="X1651" s="37" t="s">
        <v>63</v>
      </c>
      <c r="Y1651" s="53">
        <v>35.0</v>
      </c>
      <c r="Z1651" s="69" t="s">
        <v>63</v>
      </c>
      <c r="AA1651" s="73"/>
      <c r="AB1651" s="73"/>
      <c r="AC1651" s="73"/>
      <c r="AD1651" s="73"/>
      <c r="AE1651" s="73"/>
      <c r="AF1651" s="73"/>
      <c r="AG1651" s="73"/>
      <c r="AH1651" s="73"/>
      <c r="AI1651" s="73"/>
      <c r="AJ1651" s="73"/>
      <c r="AK1651" s="73"/>
    </row>
    <row r="1652">
      <c r="A1652" s="28">
        <v>1651.0</v>
      </c>
      <c r="B1652" s="29"/>
      <c r="C1652" s="29"/>
      <c r="D1652" s="40">
        <v>1.0</v>
      </c>
      <c r="E1652" s="31">
        <v>30.0</v>
      </c>
      <c r="F1652" s="42">
        <v>49.0</v>
      </c>
      <c r="G1652" s="29" t="str">
        <f t="shared" si="1"/>
        <v>30049</v>
      </c>
      <c r="H1652" s="37" t="s">
        <v>1447</v>
      </c>
      <c r="I1652" s="37" t="s">
        <v>76</v>
      </c>
      <c r="J1652" s="37" t="s">
        <v>1430</v>
      </c>
      <c r="K1652" s="136" t="str">
        <f t="shared" si="27"/>
        <v>Lewis and Clark, MT</v>
      </c>
      <c r="L1652" s="37" t="s">
        <v>63</v>
      </c>
      <c r="M1652" s="37" t="s">
        <v>63</v>
      </c>
      <c r="N1652" s="37" t="s">
        <v>63</v>
      </c>
      <c r="O1652" s="37" t="s">
        <v>63</v>
      </c>
      <c r="P1652" s="37" t="s">
        <v>63</v>
      </c>
      <c r="Q1652" s="37" t="s">
        <v>63</v>
      </c>
      <c r="R1652" s="37" t="s">
        <v>63</v>
      </c>
      <c r="S1652" s="37" t="s">
        <v>63</v>
      </c>
      <c r="T1652" s="69" t="s">
        <v>63</v>
      </c>
      <c r="U1652" s="37" t="s">
        <v>63</v>
      </c>
      <c r="V1652" s="37" t="s">
        <v>63</v>
      </c>
      <c r="W1652" s="37" t="s">
        <v>63</v>
      </c>
      <c r="X1652" s="37" t="s">
        <v>63</v>
      </c>
      <c r="Y1652" s="53">
        <v>50.0</v>
      </c>
      <c r="Z1652" s="69" t="s">
        <v>63</v>
      </c>
      <c r="AA1652" s="73"/>
      <c r="AB1652" s="73"/>
      <c r="AC1652" s="73"/>
      <c r="AD1652" s="73"/>
      <c r="AE1652" s="73"/>
      <c r="AF1652" s="73"/>
      <c r="AG1652" s="73"/>
      <c r="AH1652" s="73"/>
      <c r="AI1652" s="73"/>
      <c r="AJ1652" s="73"/>
      <c r="AK1652" s="73"/>
    </row>
    <row r="1653">
      <c r="A1653" s="28">
        <v>1652.0</v>
      </c>
      <c r="B1653" s="29"/>
      <c r="C1653" s="29"/>
      <c r="D1653" s="40">
        <v>1.0</v>
      </c>
      <c r="E1653" s="31">
        <v>30.0</v>
      </c>
      <c r="F1653" s="42">
        <v>51.0</v>
      </c>
      <c r="G1653" s="29" t="str">
        <f t="shared" si="1"/>
        <v>30051</v>
      </c>
      <c r="H1653" s="37" t="s">
        <v>508</v>
      </c>
      <c r="I1653" s="37" t="s">
        <v>76</v>
      </c>
      <c r="J1653" s="37" t="s">
        <v>1430</v>
      </c>
      <c r="K1653" s="37" t="str">
        <f t="shared" si="27"/>
        <v>Liberty, MT</v>
      </c>
      <c r="L1653" s="37" t="s">
        <v>63</v>
      </c>
      <c r="M1653" s="37" t="s">
        <v>63</v>
      </c>
      <c r="N1653" s="37" t="s">
        <v>63</v>
      </c>
      <c r="O1653" s="37" t="s">
        <v>63</v>
      </c>
      <c r="P1653" s="37" t="s">
        <v>63</v>
      </c>
      <c r="Q1653" s="37" t="s">
        <v>63</v>
      </c>
      <c r="R1653" s="37" t="s">
        <v>63</v>
      </c>
      <c r="S1653" s="37" t="s">
        <v>63</v>
      </c>
      <c r="T1653" s="69" t="s">
        <v>63</v>
      </c>
      <c r="U1653" s="37" t="s">
        <v>63</v>
      </c>
      <c r="V1653" s="37" t="s">
        <v>63</v>
      </c>
      <c r="W1653" s="37" t="s">
        <v>63</v>
      </c>
      <c r="X1653" s="37" t="s">
        <v>63</v>
      </c>
      <c r="Y1653" s="53">
        <v>9.0</v>
      </c>
      <c r="Z1653" s="69" t="s">
        <v>63</v>
      </c>
      <c r="AA1653" s="73"/>
      <c r="AB1653" s="73"/>
      <c r="AC1653" s="73"/>
      <c r="AD1653" s="73"/>
      <c r="AE1653" s="73"/>
      <c r="AF1653" s="73"/>
      <c r="AG1653" s="73"/>
      <c r="AH1653" s="73"/>
      <c r="AI1653" s="73"/>
      <c r="AJ1653" s="73"/>
      <c r="AK1653" s="73"/>
    </row>
    <row r="1654">
      <c r="A1654" s="28">
        <v>1653.0</v>
      </c>
      <c r="B1654" s="29"/>
      <c r="C1654" s="29"/>
      <c r="D1654" s="40">
        <v>1.0</v>
      </c>
      <c r="E1654" s="31">
        <v>30.0</v>
      </c>
      <c r="F1654" s="42">
        <v>53.0</v>
      </c>
      <c r="G1654" s="29" t="str">
        <f t="shared" si="1"/>
        <v>30053</v>
      </c>
      <c r="H1654" s="37" t="s">
        <v>290</v>
      </c>
      <c r="I1654" s="37" t="s">
        <v>76</v>
      </c>
      <c r="J1654" s="37" t="s">
        <v>1430</v>
      </c>
      <c r="K1654" s="37" t="str">
        <f t="shared" si="27"/>
        <v>Lincoln, MT</v>
      </c>
      <c r="L1654" s="37" t="s">
        <v>63</v>
      </c>
      <c r="M1654" s="37" t="s">
        <v>63</v>
      </c>
      <c r="N1654" s="37" t="s">
        <v>63</v>
      </c>
      <c r="O1654" s="37" t="s">
        <v>63</v>
      </c>
      <c r="P1654" s="37" t="s">
        <v>63</v>
      </c>
      <c r="Q1654" s="37" t="s">
        <v>63</v>
      </c>
      <c r="R1654" s="37" t="s">
        <v>63</v>
      </c>
      <c r="S1654" s="37" t="s">
        <v>63</v>
      </c>
      <c r="T1654" s="69" t="s">
        <v>63</v>
      </c>
      <c r="U1654" s="37" t="s">
        <v>63</v>
      </c>
      <c r="V1654" s="37" t="s">
        <v>63</v>
      </c>
      <c r="W1654" s="37" t="s">
        <v>63</v>
      </c>
      <c r="X1654" s="37" t="s">
        <v>63</v>
      </c>
      <c r="Y1654" s="53">
        <v>31.0</v>
      </c>
      <c r="Z1654" s="69" t="s">
        <v>63</v>
      </c>
      <c r="AA1654" s="73"/>
      <c r="AB1654" s="73"/>
      <c r="AC1654" s="73"/>
      <c r="AD1654" s="73"/>
      <c r="AE1654" s="73"/>
      <c r="AF1654" s="73"/>
      <c r="AG1654" s="73"/>
      <c r="AH1654" s="73"/>
      <c r="AI1654" s="73"/>
      <c r="AJ1654" s="73"/>
      <c r="AK1654" s="73"/>
    </row>
    <row r="1655">
      <c r="A1655" s="28">
        <v>1654.0</v>
      </c>
      <c r="B1655" s="29"/>
      <c r="C1655" s="29"/>
      <c r="D1655" s="40">
        <v>1.0</v>
      </c>
      <c r="E1655" s="31">
        <v>30.0</v>
      </c>
      <c r="F1655" s="42">
        <v>55.0</v>
      </c>
      <c r="G1655" s="29" t="str">
        <f t="shared" si="1"/>
        <v>30055</v>
      </c>
      <c r="H1655" s="37" t="s">
        <v>1448</v>
      </c>
      <c r="I1655" s="37" t="s">
        <v>76</v>
      </c>
      <c r="J1655" s="37" t="s">
        <v>1430</v>
      </c>
      <c r="K1655" s="37" t="str">
        <f t="shared" si="27"/>
        <v>McCone, MT</v>
      </c>
      <c r="L1655" s="37" t="s">
        <v>63</v>
      </c>
      <c r="M1655" s="37" t="s">
        <v>63</v>
      </c>
      <c r="N1655" s="37" t="s">
        <v>63</v>
      </c>
      <c r="O1655" s="37" t="s">
        <v>63</v>
      </c>
      <c r="P1655" s="37" t="s">
        <v>63</v>
      </c>
      <c r="Q1655" s="37" t="s">
        <v>63</v>
      </c>
      <c r="R1655" s="37" t="s">
        <v>63</v>
      </c>
      <c r="S1655" s="37" t="s">
        <v>63</v>
      </c>
      <c r="T1655" s="69" t="s">
        <v>63</v>
      </c>
      <c r="U1655" s="37" t="s">
        <v>63</v>
      </c>
      <c r="V1655" s="37" t="s">
        <v>63</v>
      </c>
      <c r="W1655" s="37" t="s">
        <v>63</v>
      </c>
      <c r="X1655" s="37" t="s">
        <v>63</v>
      </c>
      <c r="Y1655" s="53">
        <v>19.0</v>
      </c>
      <c r="Z1655" s="69" t="s">
        <v>63</v>
      </c>
      <c r="AA1655" s="73"/>
      <c r="AB1655" s="73"/>
      <c r="AC1655" s="73"/>
      <c r="AD1655" s="73"/>
      <c r="AE1655" s="73"/>
      <c r="AF1655" s="73"/>
      <c r="AG1655" s="73"/>
      <c r="AH1655" s="73"/>
      <c r="AI1655" s="73"/>
      <c r="AJ1655" s="73"/>
      <c r="AK1655" s="73"/>
    </row>
    <row r="1656">
      <c r="A1656" s="28">
        <v>1655.0</v>
      </c>
      <c r="B1656" s="29"/>
      <c r="C1656" s="29"/>
      <c r="D1656" s="40">
        <v>1.0</v>
      </c>
      <c r="E1656" s="31">
        <v>30.0</v>
      </c>
      <c r="F1656" s="42">
        <v>57.0</v>
      </c>
      <c r="G1656" s="29" t="str">
        <f t="shared" si="1"/>
        <v>30057</v>
      </c>
      <c r="H1656" s="37" t="s">
        <v>151</v>
      </c>
      <c r="I1656" s="37" t="s">
        <v>76</v>
      </c>
      <c r="J1656" s="37" t="s">
        <v>1430</v>
      </c>
      <c r="K1656" s="37" t="str">
        <f t="shared" si="27"/>
        <v>Madison, MT</v>
      </c>
      <c r="L1656" s="37" t="s">
        <v>63</v>
      </c>
      <c r="M1656" s="37" t="s">
        <v>63</v>
      </c>
      <c r="N1656" s="37" t="s">
        <v>63</v>
      </c>
      <c r="O1656" s="37" t="s">
        <v>63</v>
      </c>
      <c r="P1656" s="37" t="s">
        <v>63</v>
      </c>
      <c r="Q1656" s="37" t="s">
        <v>63</v>
      </c>
      <c r="R1656" s="37" t="s">
        <v>63</v>
      </c>
      <c r="S1656" s="37" t="s">
        <v>63</v>
      </c>
      <c r="T1656" s="69" t="s">
        <v>63</v>
      </c>
      <c r="U1656" s="37" t="s">
        <v>63</v>
      </c>
      <c r="V1656" s="37" t="s">
        <v>63</v>
      </c>
      <c r="W1656" s="37" t="s">
        <v>63</v>
      </c>
      <c r="X1656" s="37" t="s">
        <v>63</v>
      </c>
      <c r="Y1656" s="53">
        <v>6.0</v>
      </c>
      <c r="Z1656" s="69" t="s">
        <v>63</v>
      </c>
      <c r="AA1656" s="73"/>
      <c r="AB1656" s="73"/>
      <c r="AC1656" s="73"/>
      <c r="AD1656" s="73"/>
      <c r="AE1656" s="73"/>
      <c r="AF1656" s="73"/>
      <c r="AG1656" s="73"/>
      <c r="AH1656" s="73"/>
      <c r="AI1656" s="73"/>
      <c r="AJ1656" s="73"/>
      <c r="AK1656" s="73"/>
    </row>
    <row r="1657">
      <c r="A1657" s="28">
        <v>1656.0</v>
      </c>
      <c r="B1657" s="29"/>
      <c r="C1657" s="29"/>
      <c r="D1657" s="40">
        <v>1.0</v>
      </c>
      <c r="E1657" s="31">
        <v>30.0</v>
      </c>
      <c r="F1657" s="42">
        <v>59.0</v>
      </c>
      <c r="G1657" s="29" t="str">
        <f t="shared" si="1"/>
        <v>30059</v>
      </c>
      <c r="H1657" s="37" t="s">
        <v>1449</v>
      </c>
      <c r="I1657" s="37" t="s">
        <v>76</v>
      </c>
      <c r="J1657" s="37" t="s">
        <v>1430</v>
      </c>
      <c r="K1657" s="37" t="str">
        <f t="shared" si="27"/>
        <v>Meagher, MT</v>
      </c>
      <c r="L1657" s="37" t="s">
        <v>63</v>
      </c>
      <c r="M1657" s="37" t="s">
        <v>63</v>
      </c>
      <c r="N1657" s="37" t="s">
        <v>63</v>
      </c>
      <c r="O1657" s="37" t="s">
        <v>63</v>
      </c>
      <c r="P1657" s="37" t="s">
        <v>63</v>
      </c>
      <c r="Q1657" s="37" t="s">
        <v>63</v>
      </c>
      <c r="R1657" s="37" t="s">
        <v>63</v>
      </c>
      <c r="S1657" s="37" t="s">
        <v>63</v>
      </c>
      <c r="T1657" s="69" t="s">
        <v>63</v>
      </c>
      <c r="U1657" s="37" t="s">
        <v>63</v>
      </c>
      <c r="V1657" s="37" t="s">
        <v>63</v>
      </c>
      <c r="W1657" s="37" t="s">
        <v>63</v>
      </c>
      <c r="X1657" s="37" t="s">
        <v>63</v>
      </c>
      <c r="Y1657" s="53">
        <v>4.0</v>
      </c>
      <c r="Z1657" s="69" t="s">
        <v>63</v>
      </c>
      <c r="AA1657" s="73"/>
      <c r="AB1657" s="73"/>
      <c r="AC1657" s="73"/>
      <c r="AD1657" s="73"/>
      <c r="AE1657" s="73"/>
      <c r="AF1657" s="73"/>
      <c r="AG1657" s="73"/>
      <c r="AH1657" s="73"/>
      <c r="AI1657" s="73"/>
      <c r="AJ1657" s="73"/>
      <c r="AK1657" s="73"/>
    </row>
    <row r="1658">
      <c r="A1658" s="28">
        <v>1657.0</v>
      </c>
      <c r="B1658" s="29"/>
      <c r="C1658" s="29"/>
      <c r="D1658" s="40">
        <v>1.0</v>
      </c>
      <c r="E1658" s="31">
        <v>30.0</v>
      </c>
      <c r="F1658" s="42">
        <v>61.0</v>
      </c>
      <c r="G1658" s="29" t="str">
        <f t="shared" si="1"/>
        <v>30061</v>
      </c>
      <c r="H1658" s="37" t="s">
        <v>435</v>
      </c>
      <c r="I1658" s="37" t="s">
        <v>76</v>
      </c>
      <c r="J1658" s="37" t="s">
        <v>1430</v>
      </c>
      <c r="K1658" s="37" t="str">
        <f t="shared" si="27"/>
        <v>Mineral, MT</v>
      </c>
      <c r="L1658" s="37" t="s">
        <v>63</v>
      </c>
      <c r="M1658" s="37" t="s">
        <v>63</v>
      </c>
      <c r="N1658" s="37" t="s">
        <v>63</v>
      </c>
      <c r="O1658" s="37" t="s">
        <v>63</v>
      </c>
      <c r="P1658" s="37" t="s">
        <v>63</v>
      </c>
      <c r="Q1658" s="37" t="s">
        <v>63</v>
      </c>
      <c r="R1658" s="37" t="s">
        <v>63</v>
      </c>
      <c r="S1658" s="37" t="s">
        <v>63</v>
      </c>
      <c r="T1658" s="69" t="s">
        <v>63</v>
      </c>
      <c r="U1658" s="37" t="s">
        <v>63</v>
      </c>
      <c r="V1658" s="37" t="s">
        <v>63</v>
      </c>
      <c r="W1658" s="37" t="s">
        <v>63</v>
      </c>
      <c r="X1658" s="37" t="s">
        <v>63</v>
      </c>
      <c r="Y1658" s="53">
        <v>12.0</v>
      </c>
      <c r="Z1658" s="69" t="s">
        <v>63</v>
      </c>
      <c r="AA1658" s="73"/>
      <c r="AB1658" s="73"/>
      <c r="AC1658" s="73"/>
      <c r="AD1658" s="73"/>
      <c r="AE1658" s="73"/>
      <c r="AF1658" s="73"/>
      <c r="AG1658" s="73"/>
      <c r="AH1658" s="73"/>
      <c r="AI1658" s="73"/>
      <c r="AJ1658" s="73"/>
      <c r="AK1658" s="73"/>
    </row>
    <row r="1659">
      <c r="A1659" s="28">
        <v>1658.0</v>
      </c>
      <c r="B1659" s="29"/>
      <c r="C1659" s="29"/>
      <c r="D1659" s="40">
        <v>1.0</v>
      </c>
      <c r="E1659" s="31">
        <v>30.0</v>
      </c>
      <c r="F1659" s="42">
        <v>63.0</v>
      </c>
      <c r="G1659" s="29" t="str">
        <f t="shared" si="1"/>
        <v>30063</v>
      </c>
      <c r="H1659" s="37" t="s">
        <v>1450</v>
      </c>
      <c r="I1659" s="37" t="s">
        <v>76</v>
      </c>
      <c r="J1659" s="37" t="s">
        <v>1430</v>
      </c>
      <c r="K1659" s="37" t="str">
        <f t="shared" si="27"/>
        <v>Missoula, MT</v>
      </c>
      <c r="L1659" s="37" t="s">
        <v>63</v>
      </c>
      <c r="M1659" s="37" t="s">
        <v>63</v>
      </c>
      <c r="N1659" s="37" t="s">
        <v>63</v>
      </c>
      <c r="O1659" s="37" t="s">
        <v>63</v>
      </c>
      <c r="P1659" s="37" t="s">
        <v>63</v>
      </c>
      <c r="Q1659" s="37" t="s">
        <v>63</v>
      </c>
      <c r="R1659" s="37" t="s">
        <v>63</v>
      </c>
      <c r="S1659" s="37" t="s">
        <v>63</v>
      </c>
      <c r="T1659" s="69" t="s">
        <v>63</v>
      </c>
      <c r="U1659" s="37" t="s">
        <v>63</v>
      </c>
      <c r="V1659" s="37" t="s">
        <v>63</v>
      </c>
      <c r="W1659" s="37" t="s">
        <v>63</v>
      </c>
      <c r="X1659" s="37" t="s">
        <v>63</v>
      </c>
      <c r="Y1659" s="53">
        <v>74.0</v>
      </c>
      <c r="Z1659" s="69" t="s">
        <v>63</v>
      </c>
      <c r="AA1659" s="73"/>
      <c r="AB1659" s="73"/>
      <c r="AC1659" s="73"/>
      <c r="AD1659" s="73"/>
      <c r="AE1659" s="73"/>
      <c r="AF1659" s="73"/>
      <c r="AG1659" s="73"/>
      <c r="AH1659" s="73"/>
      <c r="AI1659" s="73"/>
      <c r="AJ1659" s="73"/>
      <c r="AK1659" s="73"/>
    </row>
    <row r="1660">
      <c r="A1660" s="28">
        <v>1659.0</v>
      </c>
      <c r="B1660" s="29"/>
      <c r="C1660" s="29"/>
      <c r="D1660" s="40">
        <v>1.0</v>
      </c>
      <c r="E1660" s="31">
        <v>30.0</v>
      </c>
      <c r="F1660" s="42">
        <v>65.0</v>
      </c>
      <c r="G1660" s="29" t="str">
        <f t="shared" si="1"/>
        <v>30065</v>
      </c>
      <c r="H1660" s="37" t="s">
        <v>1451</v>
      </c>
      <c r="I1660" s="37" t="s">
        <v>76</v>
      </c>
      <c r="J1660" s="37" t="s">
        <v>1430</v>
      </c>
      <c r="K1660" s="37" t="str">
        <f t="shared" si="27"/>
        <v>Musselshell, MT</v>
      </c>
      <c r="L1660" s="37" t="s">
        <v>63</v>
      </c>
      <c r="M1660" s="37" t="s">
        <v>63</v>
      </c>
      <c r="N1660" s="37" t="s">
        <v>63</v>
      </c>
      <c r="O1660" s="37" t="s">
        <v>63</v>
      </c>
      <c r="P1660" s="37" t="s">
        <v>63</v>
      </c>
      <c r="Q1660" s="37" t="s">
        <v>63</v>
      </c>
      <c r="R1660" s="37" t="s">
        <v>63</v>
      </c>
      <c r="S1660" s="37" t="s">
        <v>63</v>
      </c>
      <c r="T1660" s="69" t="s">
        <v>63</v>
      </c>
      <c r="U1660" s="37" t="s">
        <v>63</v>
      </c>
      <c r="V1660" s="37" t="s">
        <v>63</v>
      </c>
      <c r="W1660" s="37" t="s">
        <v>63</v>
      </c>
      <c r="X1660" s="37" t="s">
        <v>63</v>
      </c>
      <c r="Y1660" s="53">
        <v>9.0</v>
      </c>
      <c r="Z1660" s="69" t="s">
        <v>63</v>
      </c>
      <c r="AA1660" s="73"/>
      <c r="AB1660" s="73"/>
      <c r="AC1660" s="73"/>
      <c r="AD1660" s="73"/>
      <c r="AE1660" s="73"/>
      <c r="AF1660" s="73"/>
      <c r="AG1660" s="73"/>
      <c r="AH1660" s="73"/>
      <c r="AI1660" s="73"/>
      <c r="AJ1660" s="73"/>
      <c r="AK1660" s="73"/>
    </row>
    <row r="1661">
      <c r="A1661" s="28">
        <v>1660.0</v>
      </c>
      <c r="B1661" s="29"/>
      <c r="C1661" s="29"/>
      <c r="D1661" s="40">
        <v>1.0</v>
      </c>
      <c r="E1661" s="31">
        <v>30.0</v>
      </c>
      <c r="F1661" s="42">
        <v>67.0</v>
      </c>
      <c r="G1661" s="29" t="str">
        <f t="shared" si="1"/>
        <v>30067</v>
      </c>
      <c r="H1661" s="37" t="s">
        <v>445</v>
      </c>
      <c r="I1661" s="37" t="s">
        <v>76</v>
      </c>
      <c r="J1661" s="37" t="s">
        <v>1430</v>
      </c>
      <c r="K1661" s="37" t="str">
        <f t="shared" si="27"/>
        <v>Park, MT</v>
      </c>
      <c r="L1661" s="37" t="s">
        <v>63</v>
      </c>
      <c r="M1661" s="37" t="s">
        <v>63</v>
      </c>
      <c r="N1661" s="37" t="s">
        <v>63</v>
      </c>
      <c r="O1661" s="37" t="s">
        <v>63</v>
      </c>
      <c r="P1661" s="37" t="s">
        <v>63</v>
      </c>
      <c r="Q1661" s="37" t="s">
        <v>63</v>
      </c>
      <c r="R1661" s="37" t="s">
        <v>63</v>
      </c>
      <c r="S1661" s="37" t="s">
        <v>63</v>
      </c>
      <c r="T1661" s="69" t="s">
        <v>63</v>
      </c>
      <c r="U1661" s="37" t="s">
        <v>63</v>
      </c>
      <c r="V1661" s="37" t="s">
        <v>63</v>
      </c>
      <c r="W1661" s="37" t="s">
        <v>63</v>
      </c>
      <c r="X1661" s="37" t="s">
        <v>63</v>
      </c>
      <c r="Y1661" s="53">
        <v>28.0</v>
      </c>
      <c r="Z1661" s="69" t="s">
        <v>63</v>
      </c>
      <c r="AA1661" s="73"/>
      <c r="AB1661" s="73"/>
      <c r="AC1661" s="73"/>
      <c r="AD1661" s="73"/>
      <c r="AE1661" s="73"/>
      <c r="AF1661" s="73"/>
      <c r="AG1661" s="73"/>
      <c r="AH1661" s="73"/>
      <c r="AI1661" s="73"/>
      <c r="AJ1661" s="73"/>
      <c r="AK1661" s="73"/>
    </row>
    <row r="1662">
      <c r="A1662" s="28">
        <v>1661.0</v>
      </c>
      <c r="B1662" s="29"/>
      <c r="C1662" s="29"/>
      <c r="D1662" s="40">
        <v>1.0</v>
      </c>
      <c r="E1662" s="31">
        <v>30.0</v>
      </c>
      <c r="F1662" s="42">
        <v>69.0</v>
      </c>
      <c r="G1662" s="29" t="str">
        <f t="shared" si="1"/>
        <v>30069</v>
      </c>
      <c r="H1662" s="37" t="s">
        <v>1452</v>
      </c>
      <c r="I1662" s="37" t="s">
        <v>76</v>
      </c>
      <c r="J1662" s="37" t="s">
        <v>1430</v>
      </c>
      <c r="K1662" s="37" t="str">
        <f t="shared" si="27"/>
        <v>Petroleum, MT</v>
      </c>
      <c r="L1662" s="37" t="s">
        <v>63</v>
      </c>
      <c r="M1662" s="37" t="s">
        <v>63</v>
      </c>
      <c r="N1662" s="37" t="s">
        <v>63</v>
      </c>
      <c r="O1662" s="37" t="s">
        <v>63</v>
      </c>
      <c r="P1662" s="37" t="s">
        <v>63</v>
      </c>
      <c r="Q1662" s="37" t="s">
        <v>63</v>
      </c>
      <c r="R1662" s="37" t="s">
        <v>63</v>
      </c>
      <c r="S1662" s="37" t="s">
        <v>63</v>
      </c>
      <c r="T1662" s="69" t="s">
        <v>63</v>
      </c>
      <c r="U1662" s="37" t="s">
        <v>63</v>
      </c>
      <c r="V1662" s="37" t="s">
        <v>63</v>
      </c>
      <c r="W1662" s="37" t="s">
        <v>63</v>
      </c>
      <c r="X1662" s="37" t="s">
        <v>63</v>
      </c>
      <c r="Y1662" s="53">
        <v>2.0</v>
      </c>
      <c r="Z1662" s="69" t="s">
        <v>63</v>
      </c>
      <c r="AA1662" s="73"/>
      <c r="AB1662" s="73"/>
      <c r="AC1662" s="73"/>
      <c r="AD1662" s="73"/>
      <c r="AE1662" s="73"/>
      <c r="AF1662" s="73"/>
      <c r="AG1662" s="73"/>
      <c r="AH1662" s="73"/>
      <c r="AI1662" s="73"/>
      <c r="AJ1662" s="73"/>
      <c r="AK1662" s="73"/>
    </row>
    <row r="1663">
      <c r="A1663" s="28">
        <v>1662.0</v>
      </c>
      <c r="B1663" s="29"/>
      <c r="C1663" s="29"/>
      <c r="D1663" s="40">
        <v>1.0</v>
      </c>
      <c r="E1663" s="31">
        <v>30.0</v>
      </c>
      <c r="F1663" s="42">
        <v>71.0</v>
      </c>
      <c r="G1663" s="29" t="str">
        <f t="shared" si="1"/>
        <v>30071</v>
      </c>
      <c r="H1663" s="37" t="s">
        <v>300</v>
      </c>
      <c r="I1663" s="37" t="s">
        <v>76</v>
      </c>
      <c r="J1663" s="37" t="s">
        <v>1430</v>
      </c>
      <c r="K1663" s="37" t="str">
        <f t="shared" si="27"/>
        <v>Phillips, MT</v>
      </c>
      <c r="L1663" s="37" t="s">
        <v>63</v>
      </c>
      <c r="M1663" s="37" t="s">
        <v>63</v>
      </c>
      <c r="N1663" s="37" t="s">
        <v>63</v>
      </c>
      <c r="O1663" s="37" t="s">
        <v>63</v>
      </c>
      <c r="P1663" s="37" t="s">
        <v>63</v>
      </c>
      <c r="Q1663" s="37" t="s">
        <v>63</v>
      </c>
      <c r="R1663" s="37" t="s">
        <v>63</v>
      </c>
      <c r="S1663" s="37" t="s">
        <v>63</v>
      </c>
      <c r="T1663" s="69" t="s">
        <v>63</v>
      </c>
      <c r="U1663" s="37" t="s">
        <v>63</v>
      </c>
      <c r="V1663" s="37" t="s">
        <v>63</v>
      </c>
      <c r="W1663" s="37" t="s">
        <v>63</v>
      </c>
      <c r="X1663" s="37" t="s">
        <v>63</v>
      </c>
      <c r="Y1663" s="53">
        <v>10.0</v>
      </c>
      <c r="Z1663" s="69" t="s">
        <v>63</v>
      </c>
      <c r="AA1663" s="73"/>
      <c r="AB1663" s="73"/>
      <c r="AC1663" s="73"/>
      <c r="AD1663" s="73"/>
      <c r="AE1663" s="73"/>
      <c r="AF1663" s="73"/>
      <c r="AG1663" s="73"/>
      <c r="AH1663" s="73"/>
      <c r="AI1663" s="73"/>
      <c r="AJ1663" s="73"/>
      <c r="AK1663" s="73"/>
    </row>
    <row r="1664">
      <c r="A1664" s="28">
        <v>1663.0</v>
      </c>
      <c r="B1664" s="29"/>
      <c r="C1664" s="29"/>
      <c r="D1664" s="40">
        <v>1.0</v>
      </c>
      <c r="E1664" s="31">
        <v>30.0</v>
      </c>
      <c r="F1664" s="42">
        <v>73.0</v>
      </c>
      <c r="G1664" s="29" t="str">
        <f t="shared" si="1"/>
        <v>30073</v>
      </c>
      <c r="H1664" s="37" t="s">
        <v>1453</v>
      </c>
      <c r="I1664" s="37" t="s">
        <v>76</v>
      </c>
      <c r="J1664" s="37" t="s">
        <v>1430</v>
      </c>
      <c r="K1664" s="37" t="str">
        <f t="shared" si="27"/>
        <v>Pondera, MT</v>
      </c>
      <c r="L1664" s="37" t="s">
        <v>63</v>
      </c>
      <c r="M1664" s="37" t="s">
        <v>63</v>
      </c>
      <c r="N1664" s="37" t="s">
        <v>63</v>
      </c>
      <c r="O1664" s="37" t="s">
        <v>63</v>
      </c>
      <c r="P1664" s="37" t="s">
        <v>63</v>
      </c>
      <c r="Q1664" s="37" t="s">
        <v>63</v>
      </c>
      <c r="R1664" s="37" t="s">
        <v>63</v>
      </c>
      <c r="S1664" s="37" t="s">
        <v>63</v>
      </c>
      <c r="T1664" s="69" t="s">
        <v>63</v>
      </c>
      <c r="U1664" s="37" t="s">
        <v>63</v>
      </c>
      <c r="V1664" s="37" t="s">
        <v>63</v>
      </c>
      <c r="W1664" s="37" t="s">
        <v>63</v>
      </c>
      <c r="X1664" s="37" t="s">
        <v>63</v>
      </c>
      <c r="Y1664" s="53">
        <v>14.0</v>
      </c>
      <c r="Z1664" s="69" t="s">
        <v>63</v>
      </c>
      <c r="AA1664" s="73"/>
      <c r="AB1664" s="73"/>
      <c r="AC1664" s="73"/>
      <c r="AD1664" s="73"/>
      <c r="AE1664" s="73"/>
      <c r="AF1664" s="73"/>
      <c r="AG1664" s="73"/>
      <c r="AH1664" s="73"/>
      <c r="AI1664" s="73"/>
      <c r="AJ1664" s="73"/>
      <c r="AK1664" s="73"/>
    </row>
    <row r="1665">
      <c r="A1665" s="28">
        <v>1664.0</v>
      </c>
      <c r="B1665" s="29"/>
      <c r="C1665" s="29"/>
      <c r="D1665" s="40">
        <v>1.0</v>
      </c>
      <c r="E1665" s="31">
        <v>30.0</v>
      </c>
      <c r="F1665" s="42">
        <v>75.0</v>
      </c>
      <c r="G1665" s="29" t="str">
        <f t="shared" si="1"/>
        <v>30075</v>
      </c>
      <c r="H1665" s="37" t="s">
        <v>1454</v>
      </c>
      <c r="I1665" s="37" t="s">
        <v>76</v>
      </c>
      <c r="J1665" s="37" t="s">
        <v>1430</v>
      </c>
      <c r="K1665" s="136" t="str">
        <f t="shared" si="27"/>
        <v>Powder River, MT</v>
      </c>
      <c r="L1665" s="37" t="s">
        <v>63</v>
      </c>
      <c r="M1665" s="37" t="s">
        <v>63</v>
      </c>
      <c r="N1665" s="37" t="s">
        <v>63</v>
      </c>
      <c r="O1665" s="37" t="s">
        <v>63</v>
      </c>
      <c r="P1665" s="37" t="s">
        <v>63</v>
      </c>
      <c r="Q1665" s="37" t="s">
        <v>63</v>
      </c>
      <c r="R1665" s="37" t="s">
        <v>63</v>
      </c>
      <c r="S1665" s="37" t="s">
        <v>63</v>
      </c>
      <c r="T1665" s="69" t="s">
        <v>63</v>
      </c>
      <c r="U1665" s="37" t="s">
        <v>63</v>
      </c>
      <c r="V1665" s="37" t="s">
        <v>63</v>
      </c>
      <c r="W1665" s="37" t="s">
        <v>63</v>
      </c>
      <c r="X1665" s="37" t="s">
        <v>63</v>
      </c>
      <c r="Y1665" s="53">
        <v>5.0</v>
      </c>
      <c r="Z1665" s="69" t="s">
        <v>63</v>
      </c>
      <c r="AA1665" s="73"/>
      <c r="AB1665" s="73"/>
      <c r="AC1665" s="73"/>
      <c r="AD1665" s="73"/>
      <c r="AE1665" s="73"/>
      <c r="AF1665" s="73"/>
      <c r="AG1665" s="73"/>
      <c r="AH1665" s="73"/>
      <c r="AI1665" s="73"/>
      <c r="AJ1665" s="73"/>
      <c r="AK1665" s="73"/>
    </row>
    <row r="1666">
      <c r="A1666" s="28">
        <v>1665.0</v>
      </c>
      <c r="B1666" s="29"/>
      <c r="C1666" s="29"/>
      <c r="D1666" s="40">
        <v>1.0</v>
      </c>
      <c r="E1666" s="31">
        <v>30.0</v>
      </c>
      <c r="F1666" s="42">
        <v>77.0</v>
      </c>
      <c r="G1666" s="29" t="str">
        <f t="shared" si="1"/>
        <v>30077</v>
      </c>
      <c r="H1666" s="37" t="s">
        <v>1130</v>
      </c>
      <c r="I1666" s="37" t="s">
        <v>76</v>
      </c>
      <c r="J1666" s="37" t="s">
        <v>1430</v>
      </c>
      <c r="K1666" s="37" t="str">
        <f t="shared" si="27"/>
        <v>Powell, MT</v>
      </c>
      <c r="L1666" s="37" t="s">
        <v>63</v>
      </c>
      <c r="M1666" s="37" t="s">
        <v>63</v>
      </c>
      <c r="N1666" s="37" t="s">
        <v>63</v>
      </c>
      <c r="O1666" s="37" t="s">
        <v>63</v>
      </c>
      <c r="P1666" s="37" t="s">
        <v>63</v>
      </c>
      <c r="Q1666" s="37" t="s">
        <v>63</v>
      </c>
      <c r="R1666" s="37" t="s">
        <v>63</v>
      </c>
      <c r="S1666" s="37" t="s">
        <v>63</v>
      </c>
      <c r="T1666" s="69" t="s">
        <v>63</v>
      </c>
      <c r="U1666" s="37" t="s">
        <v>63</v>
      </c>
      <c r="V1666" s="37" t="s">
        <v>63</v>
      </c>
      <c r="W1666" s="37" t="s">
        <v>63</v>
      </c>
      <c r="X1666" s="37" t="s">
        <v>63</v>
      </c>
      <c r="Y1666" s="53">
        <v>13.0</v>
      </c>
      <c r="Z1666" s="69" t="s">
        <v>63</v>
      </c>
      <c r="AA1666" s="73"/>
      <c r="AB1666" s="73"/>
      <c r="AC1666" s="73"/>
      <c r="AD1666" s="73"/>
      <c r="AE1666" s="73"/>
      <c r="AF1666" s="73"/>
      <c r="AG1666" s="73"/>
      <c r="AH1666" s="73"/>
      <c r="AI1666" s="73"/>
      <c r="AJ1666" s="73"/>
      <c r="AK1666" s="73"/>
    </row>
    <row r="1667">
      <c r="A1667" s="28">
        <v>1666.0</v>
      </c>
      <c r="B1667" s="29"/>
      <c r="C1667" s="29"/>
      <c r="D1667" s="40">
        <v>1.0</v>
      </c>
      <c r="E1667" s="31">
        <v>30.0</v>
      </c>
      <c r="F1667" s="42">
        <v>79.0</v>
      </c>
      <c r="G1667" s="29" t="str">
        <f t="shared" si="1"/>
        <v>30079</v>
      </c>
      <c r="H1667" s="37" t="s">
        <v>304</v>
      </c>
      <c r="I1667" s="37" t="s">
        <v>76</v>
      </c>
      <c r="J1667" s="37" t="s">
        <v>1430</v>
      </c>
      <c r="K1667" s="37" t="str">
        <f t="shared" si="27"/>
        <v>Prairie, MT</v>
      </c>
      <c r="L1667" s="37" t="s">
        <v>63</v>
      </c>
      <c r="M1667" s="37" t="s">
        <v>63</v>
      </c>
      <c r="N1667" s="37" t="s">
        <v>63</v>
      </c>
      <c r="O1667" s="37" t="s">
        <v>63</v>
      </c>
      <c r="P1667" s="37" t="s">
        <v>63</v>
      </c>
      <c r="Q1667" s="37" t="s">
        <v>63</v>
      </c>
      <c r="R1667" s="37" t="s">
        <v>63</v>
      </c>
      <c r="S1667" s="37" t="s">
        <v>63</v>
      </c>
      <c r="T1667" s="69" t="s">
        <v>63</v>
      </c>
      <c r="U1667" s="37" t="s">
        <v>63</v>
      </c>
      <c r="V1667" s="37" t="s">
        <v>63</v>
      </c>
      <c r="W1667" s="37" t="s">
        <v>63</v>
      </c>
      <c r="X1667" s="37" t="s">
        <v>63</v>
      </c>
      <c r="Y1667" s="53">
        <v>5.0</v>
      </c>
      <c r="Z1667" s="69" t="s">
        <v>63</v>
      </c>
      <c r="AA1667" s="73"/>
      <c r="AB1667" s="73"/>
      <c r="AC1667" s="73"/>
      <c r="AD1667" s="73"/>
      <c r="AE1667" s="73"/>
      <c r="AF1667" s="73"/>
      <c r="AG1667" s="73"/>
      <c r="AH1667" s="73"/>
      <c r="AI1667" s="73"/>
      <c r="AJ1667" s="73"/>
      <c r="AK1667" s="73"/>
    </row>
    <row r="1668">
      <c r="A1668" s="28">
        <v>1667.0</v>
      </c>
      <c r="B1668" s="29"/>
      <c r="C1668" s="29"/>
      <c r="D1668" s="40">
        <v>1.0</v>
      </c>
      <c r="E1668" s="31">
        <v>30.0</v>
      </c>
      <c r="F1668" s="42">
        <v>81.0</v>
      </c>
      <c r="G1668" s="29" t="str">
        <f t="shared" si="1"/>
        <v>30081</v>
      </c>
      <c r="H1668" s="37" t="s">
        <v>1455</v>
      </c>
      <c r="I1668" s="37" t="s">
        <v>76</v>
      </c>
      <c r="J1668" s="37" t="s">
        <v>1430</v>
      </c>
      <c r="K1668" s="37" t="str">
        <f t="shared" si="27"/>
        <v>Ravalli, MT</v>
      </c>
      <c r="L1668" s="37" t="s">
        <v>63</v>
      </c>
      <c r="M1668" s="37" t="s">
        <v>63</v>
      </c>
      <c r="N1668" s="37" t="s">
        <v>63</v>
      </c>
      <c r="O1668" s="37" t="s">
        <v>63</v>
      </c>
      <c r="P1668" s="37" t="s">
        <v>63</v>
      </c>
      <c r="Q1668" s="37" t="s">
        <v>63</v>
      </c>
      <c r="R1668" s="37" t="s">
        <v>63</v>
      </c>
      <c r="S1668" s="37" t="s">
        <v>63</v>
      </c>
      <c r="T1668" s="69" t="s">
        <v>63</v>
      </c>
      <c r="U1668" s="37" t="s">
        <v>63</v>
      </c>
      <c r="V1668" s="37" t="s">
        <v>63</v>
      </c>
      <c r="W1668" s="37" t="s">
        <v>63</v>
      </c>
      <c r="X1668" s="37" t="s">
        <v>63</v>
      </c>
      <c r="Y1668" s="53">
        <v>46.0</v>
      </c>
      <c r="Z1668" s="69" t="s">
        <v>63</v>
      </c>
      <c r="AA1668" s="73"/>
      <c r="AB1668" s="73"/>
      <c r="AC1668" s="73"/>
      <c r="AD1668" s="73"/>
      <c r="AE1668" s="73"/>
      <c r="AF1668" s="73"/>
      <c r="AG1668" s="73"/>
      <c r="AH1668" s="73"/>
      <c r="AI1668" s="73"/>
      <c r="AJ1668" s="73"/>
      <c r="AK1668" s="73"/>
    </row>
    <row r="1669">
      <c r="A1669" s="28">
        <v>1668.0</v>
      </c>
      <c r="B1669" s="29"/>
      <c r="C1669" s="29"/>
      <c r="D1669" s="40">
        <v>1.0</v>
      </c>
      <c r="E1669" s="31">
        <v>30.0</v>
      </c>
      <c r="F1669" s="42">
        <v>83.0</v>
      </c>
      <c r="G1669" s="29" t="str">
        <f t="shared" si="1"/>
        <v>30083</v>
      </c>
      <c r="H1669" s="37" t="s">
        <v>743</v>
      </c>
      <c r="I1669" s="37" t="s">
        <v>76</v>
      </c>
      <c r="J1669" s="37" t="s">
        <v>1430</v>
      </c>
      <c r="K1669" s="37" t="str">
        <f t="shared" si="27"/>
        <v>Richland, MT</v>
      </c>
      <c r="L1669" s="37" t="s">
        <v>63</v>
      </c>
      <c r="M1669" s="37" t="s">
        <v>63</v>
      </c>
      <c r="N1669" s="37" t="s">
        <v>63</v>
      </c>
      <c r="O1669" s="37" t="s">
        <v>63</v>
      </c>
      <c r="P1669" s="37" t="s">
        <v>63</v>
      </c>
      <c r="Q1669" s="37" t="s">
        <v>63</v>
      </c>
      <c r="R1669" s="37" t="s">
        <v>63</v>
      </c>
      <c r="S1669" s="37" t="s">
        <v>63</v>
      </c>
      <c r="T1669" s="69" t="s">
        <v>63</v>
      </c>
      <c r="U1669" s="37" t="s">
        <v>63</v>
      </c>
      <c r="V1669" s="37" t="s">
        <v>63</v>
      </c>
      <c r="W1669" s="37" t="s">
        <v>63</v>
      </c>
      <c r="X1669" s="37" t="s">
        <v>63</v>
      </c>
      <c r="Y1669" s="53">
        <v>22.0</v>
      </c>
      <c r="Z1669" s="69" t="s">
        <v>63</v>
      </c>
      <c r="AA1669" s="73"/>
      <c r="AB1669" s="73"/>
      <c r="AC1669" s="73"/>
      <c r="AD1669" s="73"/>
      <c r="AE1669" s="73"/>
      <c r="AF1669" s="73"/>
      <c r="AG1669" s="73"/>
      <c r="AH1669" s="73"/>
      <c r="AI1669" s="73"/>
      <c r="AJ1669" s="73"/>
      <c r="AK1669" s="73"/>
    </row>
    <row r="1670">
      <c r="A1670" s="28">
        <v>1669.0</v>
      </c>
      <c r="B1670" s="29"/>
      <c r="C1670" s="29"/>
      <c r="D1670" s="40">
        <v>1.0</v>
      </c>
      <c r="E1670" s="31">
        <v>30.0</v>
      </c>
      <c r="F1670" s="42">
        <v>85.0</v>
      </c>
      <c r="G1670" s="29" t="str">
        <f t="shared" si="1"/>
        <v>30085</v>
      </c>
      <c r="H1670" s="37" t="s">
        <v>1456</v>
      </c>
      <c r="I1670" s="37" t="s">
        <v>76</v>
      </c>
      <c r="J1670" s="37" t="s">
        <v>1430</v>
      </c>
      <c r="K1670" s="37" t="str">
        <f t="shared" si="27"/>
        <v>Roosevelt, MT</v>
      </c>
      <c r="L1670" s="37" t="s">
        <v>63</v>
      </c>
      <c r="M1670" s="37" t="s">
        <v>63</v>
      </c>
      <c r="N1670" s="37" t="s">
        <v>63</v>
      </c>
      <c r="O1670" s="37" t="s">
        <v>63</v>
      </c>
      <c r="P1670" s="37" t="s">
        <v>63</v>
      </c>
      <c r="Q1670" s="37" t="s">
        <v>63</v>
      </c>
      <c r="R1670" s="37" t="s">
        <v>63</v>
      </c>
      <c r="S1670" s="37" t="s">
        <v>63</v>
      </c>
      <c r="T1670" s="69" t="s">
        <v>63</v>
      </c>
      <c r="U1670" s="37" t="s">
        <v>63</v>
      </c>
      <c r="V1670" s="37" t="s">
        <v>63</v>
      </c>
      <c r="W1670" s="37" t="s">
        <v>63</v>
      </c>
      <c r="X1670" s="37" t="s">
        <v>63</v>
      </c>
      <c r="Y1670" s="53">
        <v>18.0</v>
      </c>
      <c r="Z1670" s="69" t="s">
        <v>63</v>
      </c>
      <c r="AA1670" s="73"/>
      <c r="AB1670" s="73"/>
      <c r="AC1670" s="73"/>
      <c r="AD1670" s="73"/>
      <c r="AE1670" s="73"/>
      <c r="AF1670" s="73"/>
      <c r="AG1670" s="73"/>
      <c r="AH1670" s="73"/>
      <c r="AI1670" s="73"/>
      <c r="AJ1670" s="73"/>
      <c r="AK1670" s="73"/>
    </row>
    <row r="1671">
      <c r="A1671" s="28">
        <v>1670.0</v>
      </c>
      <c r="B1671" s="29"/>
      <c r="C1671" s="29"/>
      <c r="D1671" s="40">
        <v>1.0</v>
      </c>
      <c r="E1671" s="31">
        <v>30.0</v>
      </c>
      <c r="F1671" s="42">
        <v>87.0</v>
      </c>
      <c r="G1671" s="29" t="str">
        <f t="shared" si="1"/>
        <v>30087</v>
      </c>
      <c r="H1671" s="37" t="s">
        <v>1457</v>
      </c>
      <c r="I1671" s="37" t="s">
        <v>76</v>
      </c>
      <c r="J1671" s="37" t="s">
        <v>1430</v>
      </c>
      <c r="K1671" s="37" t="str">
        <f t="shared" si="27"/>
        <v>Rosebud, MT</v>
      </c>
      <c r="L1671" s="37" t="s">
        <v>63</v>
      </c>
      <c r="M1671" s="37" t="s">
        <v>63</v>
      </c>
      <c r="N1671" s="37" t="s">
        <v>63</v>
      </c>
      <c r="O1671" s="37" t="s">
        <v>63</v>
      </c>
      <c r="P1671" s="37" t="s">
        <v>63</v>
      </c>
      <c r="Q1671" s="37" t="s">
        <v>63</v>
      </c>
      <c r="R1671" s="37" t="s">
        <v>63</v>
      </c>
      <c r="S1671" s="37" t="s">
        <v>63</v>
      </c>
      <c r="T1671" s="69" t="s">
        <v>63</v>
      </c>
      <c r="U1671" s="37" t="s">
        <v>63</v>
      </c>
      <c r="V1671" s="37" t="s">
        <v>63</v>
      </c>
      <c r="W1671" s="37" t="s">
        <v>63</v>
      </c>
      <c r="X1671" s="37" t="s">
        <v>63</v>
      </c>
      <c r="Y1671" s="53">
        <v>12.0</v>
      </c>
      <c r="Z1671" s="69" t="s">
        <v>63</v>
      </c>
      <c r="AA1671" s="73"/>
      <c r="AB1671" s="73"/>
      <c r="AC1671" s="73"/>
      <c r="AD1671" s="73"/>
      <c r="AE1671" s="73"/>
      <c r="AF1671" s="73"/>
      <c r="AG1671" s="73"/>
      <c r="AH1671" s="73"/>
      <c r="AI1671" s="73"/>
      <c r="AJ1671" s="73"/>
      <c r="AK1671" s="73"/>
    </row>
    <row r="1672">
      <c r="A1672" s="28">
        <v>1671.0</v>
      </c>
      <c r="B1672" s="29"/>
      <c r="C1672" s="29"/>
      <c r="D1672" s="40">
        <v>1.0</v>
      </c>
      <c r="E1672" s="31">
        <v>30.0</v>
      </c>
      <c r="F1672" s="42">
        <v>89.0</v>
      </c>
      <c r="G1672" s="29" t="str">
        <f t="shared" si="1"/>
        <v>30089</v>
      </c>
      <c r="H1672" s="37" t="s">
        <v>1458</v>
      </c>
      <c r="I1672" s="37" t="s">
        <v>76</v>
      </c>
      <c r="J1672" s="37" t="s">
        <v>1430</v>
      </c>
      <c r="K1672" s="37" t="str">
        <f t="shared" si="27"/>
        <v>Sanders, MT</v>
      </c>
      <c r="L1672" s="37" t="s">
        <v>63</v>
      </c>
      <c r="M1672" s="37" t="s">
        <v>63</v>
      </c>
      <c r="N1672" s="37" t="s">
        <v>63</v>
      </c>
      <c r="O1672" s="37" t="s">
        <v>63</v>
      </c>
      <c r="P1672" s="37" t="s">
        <v>63</v>
      </c>
      <c r="Q1672" s="37" t="s">
        <v>63</v>
      </c>
      <c r="R1672" s="37" t="s">
        <v>63</v>
      </c>
      <c r="S1672" s="37" t="s">
        <v>63</v>
      </c>
      <c r="T1672" s="69" t="s">
        <v>63</v>
      </c>
      <c r="U1672" s="37" t="s">
        <v>63</v>
      </c>
      <c r="V1672" s="37" t="s">
        <v>63</v>
      </c>
      <c r="W1672" s="37" t="s">
        <v>63</v>
      </c>
      <c r="X1672" s="37" t="s">
        <v>63</v>
      </c>
      <c r="Y1672" s="53">
        <v>23.0</v>
      </c>
      <c r="Z1672" s="69" t="s">
        <v>63</v>
      </c>
      <c r="AA1672" s="73"/>
      <c r="AB1672" s="73"/>
      <c r="AC1672" s="73"/>
      <c r="AD1672" s="73"/>
      <c r="AE1672" s="73"/>
      <c r="AF1672" s="73"/>
      <c r="AG1672" s="73"/>
      <c r="AH1672" s="73"/>
      <c r="AI1672" s="73"/>
      <c r="AJ1672" s="73"/>
      <c r="AK1672" s="73"/>
    </row>
    <row r="1673">
      <c r="A1673" s="28">
        <v>1672.0</v>
      </c>
      <c r="B1673" s="29"/>
      <c r="C1673" s="29"/>
      <c r="D1673" s="40">
        <v>1.0</v>
      </c>
      <c r="E1673" s="31">
        <v>30.0</v>
      </c>
      <c r="F1673" s="42">
        <v>91.0</v>
      </c>
      <c r="G1673" s="29" t="str">
        <f t="shared" si="1"/>
        <v>30091</v>
      </c>
      <c r="H1673" s="37" t="s">
        <v>1010</v>
      </c>
      <c r="I1673" s="37" t="s">
        <v>76</v>
      </c>
      <c r="J1673" s="37" t="s">
        <v>1430</v>
      </c>
      <c r="K1673" s="37" t="str">
        <f t="shared" si="27"/>
        <v>Sheridan, MT</v>
      </c>
      <c r="L1673" s="37" t="s">
        <v>63</v>
      </c>
      <c r="M1673" s="37" t="s">
        <v>63</v>
      </c>
      <c r="N1673" s="37" t="s">
        <v>63</v>
      </c>
      <c r="O1673" s="37" t="s">
        <v>63</v>
      </c>
      <c r="P1673" s="37" t="s">
        <v>63</v>
      </c>
      <c r="Q1673" s="37" t="s">
        <v>63</v>
      </c>
      <c r="R1673" s="37" t="s">
        <v>63</v>
      </c>
      <c r="S1673" s="37" t="s">
        <v>63</v>
      </c>
      <c r="T1673" s="69" t="s">
        <v>63</v>
      </c>
      <c r="U1673" s="37" t="s">
        <v>63</v>
      </c>
      <c r="V1673" s="37" t="s">
        <v>63</v>
      </c>
      <c r="W1673" s="37" t="s">
        <v>63</v>
      </c>
      <c r="X1673" s="37" t="s">
        <v>63</v>
      </c>
      <c r="Y1673" s="53">
        <v>14.0</v>
      </c>
      <c r="Z1673" s="69" t="s">
        <v>63</v>
      </c>
      <c r="AA1673" s="73"/>
      <c r="AB1673" s="73"/>
      <c r="AC1673" s="73"/>
      <c r="AD1673" s="73"/>
      <c r="AE1673" s="73"/>
      <c r="AF1673" s="73"/>
      <c r="AG1673" s="73"/>
      <c r="AH1673" s="73"/>
      <c r="AI1673" s="73"/>
      <c r="AJ1673" s="73"/>
      <c r="AK1673" s="73"/>
    </row>
    <row r="1674">
      <c r="A1674" s="28">
        <v>1673.0</v>
      </c>
      <c r="B1674" s="29"/>
      <c r="C1674" s="29"/>
      <c r="D1674" s="40">
        <v>1.0</v>
      </c>
      <c r="E1674" s="31">
        <v>30.0</v>
      </c>
      <c r="F1674" s="42">
        <v>93.0</v>
      </c>
      <c r="G1674" s="29" t="str">
        <f t="shared" si="1"/>
        <v>30093</v>
      </c>
      <c r="H1674" s="37" t="s">
        <v>1459</v>
      </c>
      <c r="I1674" s="37" t="s">
        <v>76</v>
      </c>
      <c r="J1674" s="37" t="s">
        <v>1430</v>
      </c>
      <c r="K1674" s="37" t="str">
        <f t="shared" si="27"/>
        <v>Silver Bow, MT</v>
      </c>
      <c r="L1674" s="37" t="s">
        <v>63</v>
      </c>
      <c r="M1674" s="37" t="s">
        <v>63</v>
      </c>
      <c r="N1674" s="37" t="s">
        <v>63</v>
      </c>
      <c r="O1674" s="37" t="s">
        <v>63</v>
      </c>
      <c r="P1674" s="37" t="s">
        <v>63</v>
      </c>
      <c r="Q1674" s="37" t="s">
        <v>63</v>
      </c>
      <c r="R1674" s="37" t="s">
        <v>63</v>
      </c>
      <c r="S1674" s="37" t="s">
        <v>63</v>
      </c>
      <c r="T1674" s="69" t="s">
        <v>63</v>
      </c>
      <c r="U1674" s="37" t="s">
        <v>63</v>
      </c>
      <c r="V1674" s="37" t="s">
        <v>63</v>
      </c>
      <c r="W1674" s="37" t="s">
        <v>63</v>
      </c>
      <c r="X1674" s="37" t="s">
        <v>63</v>
      </c>
      <c r="Y1674" s="53">
        <v>24.0</v>
      </c>
      <c r="Z1674" s="69" t="s">
        <v>63</v>
      </c>
      <c r="AA1674" s="73"/>
      <c r="AB1674" s="73"/>
      <c r="AC1674" s="73"/>
      <c r="AD1674" s="73"/>
      <c r="AE1674" s="73"/>
      <c r="AF1674" s="73"/>
      <c r="AG1674" s="73"/>
      <c r="AH1674" s="73"/>
      <c r="AI1674" s="73"/>
      <c r="AJ1674" s="73"/>
      <c r="AK1674" s="73"/>
    </row>
    <row r="1675">
      <c r="A1675" s="28">
        <v>1674.0</v>
      </c>
      <c r="B1675" s="29"/>
      <c r="C1675" s="29"/>
      <c r="D1675" s="40">
        <v>1.0</v>
      </c>
      <c r="E1675" s="31">
        <v>30.0</v>
      </c>
      <c r="F1675" s="42">
        <v>95.0</v>
      </c>
      <c r="G1675" s="29" t="str">
        <f t="shared" si="1"/>
        <v>30095</v>
      </c>
      <c r="H1675" s="37" t="s">
        <v>1460</v>
      </c>
      <c r="I1675" s="37" t="s">
        <v>76</v>
      </c>
      <c r="J1675" s="37" t="s">
        <v>1430</v>
      </c>
      <c r="K1675" s="37" t="str">
        <f t="shared" si="27"/>
        <v>Stillwater, MT</v>
      </c>
      <c r="L1675" s="37" t="s">
        <v>63</v>
      </c>
      <c r="M1675" s="37" t="s">
        <v>63</v>
      </c>
      <c r="N1675" s="37" t="s">
        <v>63</v>
      </c>
      <c r="O1675" s="37" t="s">
        <v>63</v>
      </c>
      <c r="P1675" s="37" t="s">
        <v>63</v>
      </c>
      <c r="Q1675" s="37" t="s">
        <v>63</v>
      </c>
      <c r="R1675" s="37" t="s">
        <v>63</v>
      </c>
      <c r="S1675" s="37" t="s">
        <v>63</v>
      </c>
      <c r="T1675" s="69" t="s">
        <v>63</v>
      </c>
      <c r="U1675" s="37" t="s">
        <v>63</v>
      </c>
      <c r="V1675" s="37" t="s">
        <v>63</v>
      </c>
      <c r="W1675" s="37" t="s">
        <v>63</v>
      </c>
      <c r="X1675" s="37" t="s">
        <v>63</v>
      </c>
      <c r="Y1675" s="53">
        <v>17.0</v>
      </c>
      <c r="Z1675" s="69" t="s">
        <v>63</v>
      </c>
      <c r="AA1675" s="73"/>
      <c r="AB1675" s="73"/>
      <c r="AC1675" s="73"/>
      <c r="AD1675" s="73"/>
      <c r="AE1675" s="73"/>
      <c r="AF1675" s="73"/>
      <c r="AG1675" s="73"/>
      <c r="AH1675" s="73"/>
      <c r="AI1675" s="73"/>
      <c r="AJ1675" s="73"/>
      <c r="AK1675" s="73"/>
    </row>
    <row r="1676">
      <c r="A1676" s="28">
        <v>1675.0</v>
      </c>
      <c r="B1676" s="29"/>
      <c r="C1676" s="29"/>
      <c r="D1676" s="40">
        <v>1.0</v>
      </c>
      <c r="E1676" s="31">
        <v>30.0</v>
      </c>
      <c r="F1676" s="42">
        <v>97.0</v>
      </c>
      <c r="G1676" s="29" t="str">
        <f t="shared" si="1"/>
        <v>30097</v>
      </c>
      <c r="H1676" s="37" t="s">
        <v>1461</v>
      </c>
      <c r="I1676" s="37" t="s">
        <v>76</v>
      </c>
      <c r="J1676" s="37" t="s">
        <v>1430</v>
      </c>
      <c r="K1676" s="136" t="str">
        <f t="shared" si="27"/>
        <v>Sweet Grass, MT</v>
      </c>
      <c r="L1676" s="37" t="s">
        <v>63</v>
      </c>
      <c r="M1676" s="37" t="s">
        <v>63</v>
      </c>
      <c r="N1676" s="37" t="s">
        <v>63</v>
      </c>
      <c r="O1676" s="37" t="s">
        <v>63</v>
      </c>
      <c r="P1676" s="37" t="s">
        <v>63</v>
      </c>
      <c r="Q1676" s="37" t="s">
        <v>63</v>
      </c>
      <c r="R1676" s="37" t="s">
        <v>63</v>
      </c>
      <c r="S1676" s="37" t="s">
        <v>63</v>
      </c>
      <c r="T1676" s="69" t="s">
        <v>63</v>
      </c>
      <c r="U1676" s="37" t="s">
        <v>63</v>
      </c>
      <c r="V1676" s="37" t="s">
        <v>63</v>
      </c>
      <c r="W1676" s="37" t="s">
        <v>63</v>
      </c>
      <c r="X1676" s="37" t="s">
        <v>63</v>
      </c>
      <c r="Y1676" s="53">
        <v>9.0</v>
      </c>
      <c r="Z1676" s="69" t="s">
        <v>63</v>
      </c>
      <c r="AA1676" s="73"/>
      <c r="AB1676" s="73"/>
      <c r="AC1676" s="73"/>
      <c r="AD1676" s="73"/>
      <c r="AE1676" s="73"/>
      <c r="AF1676" s="73"/>
      <c r="AG1676" s="73"/>
      <c r="AH1676" s="73"/>
      <c r="AI1676" s="73"/>
      <c r="AJ1676" s="73"/>
      <c r="AK1676" s="73"/>
    </row>
    <row r="1677">
      <c r="A1677" s="28">
        <v>1676.0</v>
      </c>
      <c r="B1677" s="29"/>
      <c r="C1677" s="29"/>
      <c r="D1677" s="40">
        <v>1.0</v>
      </c>
      <c r="E1677" s="31">
        <v>30.0</v>
      </c>
      <c r="F1677" s="42">
        <v>99.0</v>
      </c>
      <c r="G1677" s="29" t="str">
        <f t="shared" si="1"/>
        <v>30099</v>
      </c>
      <c r="H1677" s="37" t="s">
        <v>690</v>
      </c>
      <c r="I1677" s="37" t="s">
        <v>76</v>
      </c>
      <c r="J1677" s="37" t="s">
        <v>1430</v>
      </c>
      <c r="K1677" s="37" t="str">
        <f t="shared" si="27"/>
        <v>Teton, MT</v>
      </c>
      <c r="L1677" s="37" t="s">
        <v>63</v>
      </c>
      <c r="M1677" s="37" t="s">
        <v>63</v>
      </c>
      <c r="N1677" s="37" t="s">
        <v>63</v>
      </c>
      <c r="O1677" s="37" t="s">
        <v>63</v>
      </c>
      <c r="P1677" s="37" t="s">
        <v>63</v>
      </c>
      <c r="Q1677" s="37" t="s">
        <v>63</v>
      </c>
      <c r="R1677" s="37" t="s">
        <v>63</v>
      </c>
      <c r="S1677" s="37" t="s">
        <v>63</v>
      </c>
      <c r="T1677" s="69" t="s">
        <v>63</v>
      </c>
      <c r="U1677" s="37" t="s">
        <v>63</v>
      </c>
      <c r="V1677" s="37" t="s">
        <v>63</v>
      </c>
      <c r="W1677" s="37" t="s">
        <v>63</v>
      </c>
      <c r="X1677" s="37" t="s">
        <v>63</v>
      </c>
      <c r="Y1677" s="53">
        <v>18.0</v>
      </c>
      <c r="Z1677" s="69" t="s">
        <v>63</v>
      </c>
      <c r="AA1677" s="73"/>
      <c r="AB1677" s="73"/>
      <c r="AC1677" s="73"/>
      <c r="AD1677" s="73"/>
      <c r="AE1677" s="73"/>
      <c r="AF1677" s="73"/>
      <c r="AG1677" s="73"/>
      <c r="AH1677" s="73"/>
      <c r="AI1677" s="73"/>
      <c r="AJ1677" s="73"/>
      <c r="AK1677" s="73"/>
    </row>
    <row r="1678">
      <c r="A1678" s="28">
        <v>1677.0</v>
      </c>
      <c r="B1678" s="29"/>
      <c r="C1678" s="29"/>
      <c r="D1678" s="40">
        <v>1.0</v>
      </c>
      <c r="E1678" s="31">
        <v>30.0</v>
      </c>
      <c r="F1678" s="42">
        <v>101.0</v>
      </c>
      <c r="G1678" s="29" t="str">
        <f t="shared" si="1"/>
        <v>30101</v>
      </c>
      <c r="H1678" s="37" t="s">
        <v>1462</v>
      </c>
      <c r="I1678" s="37" t="s">
        <v>76</v>
      </c>
      <c r="J1678" s="37" t="s">
        <v>1430</v>
      </c>
      <c r="K1678" s="37" t="str">
        <f t="shared" si="27"/>
        <v>Toole, MT</v>
      </c>
      <c r="L1678" s="37" t="s">
        <v>63</v>
      </c>
      <c r="M1678" s="37" t="s">
        <v>63</v>
      </c>
      <c r="N1678" s="37" t="s">
        <v>63</v>
      </c>
      <c r="O1678" s="37" t="s">
        <v>63</v>
      </c>
      <c r="P1678" s="37" t="s">
        <v>63</v>
      </c>
      <c r="Q1678" s="37" t="s">
        <v>63</v>
      </c>
      <c r="R1678" s="37" t="s">
        <v>63</v>
      </c>
      <c r="S1678" s="37" t="s">
        <v>63</v>
      </c>
      <c r="T1678" s="69" t="s">
        <v>63</v>
      </c>
      <c r="U1678" s="37" t="s">
        <v>63</v>
      </c>
      <c r="V1678" s="37" t="s">
        <v>63</v>
      </c>
      <c r="W1678" s="37" t="s">
        <v>63</v>
      </c>
      <c r="X1678" s="37" t="s">
        <v>63</v>
      </c>
      <c r="Y1678" s="53">
        <v>9.0</v>
      </c>
      <c r="Z1678" s="69" t="s">
        <v>63</v>
      </c>
      <c r="AA1678" s="73"/>
      <c r="AB1678" s="73"/>
      <c r="AC1678" s="73"/>
      <c r="AD1678" s="73"/>
      <c r="AE1678" s="73"/>
      <c r="AF1678" s="73"/>
      <c r="AG1678" s="73"/>
      <c r="AH1678" s="73"/>
      <c r="AI1678" s="73"/>
      <c r="AJ1678" s="73"/>
      <c r="AK1678" s="73"/>
    </row>
    <row r="1679">
      <c r="A1679" s="28">
        <v>1678.0</v>
      </c>
      <c r="B1679" s="29"/>
      <c r="C1679" s="29"/>
      <c r="D1679" s="40">
        <v>1.0</v>
      </c>
      <c r="E1679" s="31">
        <v>30.0</v>
      </c>
      <c r="F1679" s="42">
        <v>103.0</v>
      </c>
      <c r="G1679" s="29" t="str">
        <f t="shared" si="1"/>
        <v>30103</v>
      </c>
      <c r="H1679" s="37" t="s">
        <v>1463</v>
      </c>
      <c r="I1679" s="37" t="s">
        <v>76</v>
      </c>
      <c r="J1679" s="37" t="s">
        <v>1430</v>
      </c>
      <c r="K1679" s="37" t="str">
        <f t="shared" si="27"/>
        <v>Treasure, MT</v>
      </c>
      <c r="L1679" s="37" t="s">
        <v>63</v>
      </c>
      <c r="M1679" s="37" t="s">
        <v>63</v>
      </c>
      <c r="N1679" s="37" t="s">
        <v>63</v>
      </c>
      <c r="O1679" s="37" t="s">
        <v>63</v>
      </c>
      <c r="P1679" s="37" t="s">
        <v>63</v>
      </c>
      <c r="Q1679" s="37" t="s">
        <v>63</v>
      </c>
      <c r="R1679" s="37" t="s">
        <v>63</v>
      </c>
      <c r="S1679" s="37" t="s">
        <v>63</v>
      </c>
      <c r="T1679" s="69" t="s">
        <v>63</v>
      </c>
      <c r="U1679" s="37" t="s">
        <v>63</v>
      </c>
      <c r="V1679" s="37" t="s">
        <v>63</v>
      </c>
      <c r="W1679" s="37" t="s">
        <v>63</v>
      </c>
      <c r="X1679" s="37" t="s">
        <v>63</v>
      </c>
      <c r="Y1679" s="53">
        <v>2.0</v>
      </c>
      <c r="Z1679" s="69" t="s">
        <v>63</v>
      </c>
      <c r="AA1679" s="73"/>
      <c r="AB1679" s="73"/>
      <c r="AC1679" s="73"/>
      <c r="AD1679" s="73"/>
      <c r="AE1679" s="73"/>
      <c r="AF1679" s="73"/>
      <c r="AG1679" s="73"/>
      <c r="AH1679" s="73"/>
      <c r="AI1679" s="73"/>
      <c r="AJ1679" s="73"/>
      <c r="AK1679" s="73"/>
    </row>
    <row r="1680">
      <c r="A1680" s="28">
        <v>1679.0</v>
      </c>
      <c r="B1680" s="29"/>
      <c r="C1680" s="29"/>
      <c r="D1680" s="40">
        <v>1.0</v>
      </c>
      <c r="E1680" s="31">
        <v>30.0</v>
      </c>
      <c r="F1680" s="42">
        <v>105.0</v>
      </c>
      <c r="G1680" s="29" t="str">
        <f t="shared" si="1"/>
        <v>30105</v>
      </c>
      <c r="H1680" s="37" t="s">
        <v>692</v>
      </c>
      <c r="I1680" s="37" t="s">
        <v>76</v>
      </c>
      <c r="J1680" s="37" t="s">
        <v>1430</v>
      </c>
      <c r="K1680" s="37" t="str">
        <f t="shared" si="27"/>
        <v>Valley, MT</v>
      </c>
      <c r="L1680" s="37" t="s">
        <v>63</v>
      </c>
      <c r="M1680" s="37" t="s">
        <v>63</v>
      </c>
      <c r="N1680" s="37" t="s">
        <v>63</v>
      </c>
      <c r="O1680" s="37" t="s">
        <v>63</v>
      </c>
      <c r="P1680" s="37" t="s">
        <v>63</v>
      </c>
      <c r="Q1680" s="37" t="s">
        <v>63</v>
      </c>
      <c r="R1680" s="37" t="s">
        <v>63</v>
      </c>
      <c r="S1680" s="37" t="s">
        <v>63</v>
      </c>
      <c r="T1680" s="69" t="s">
        <v>63</v>
      </c>
      <c r="U1680" s="37" t="s">
        <v>63</v>
      </c>
      <c r="V1680" s="37" t="s">
        <v>63</v>
      </c>
      <c r="W1680" s="37" t="s">
        <v>63</v>
      </c>
      <c r="X1680" s="37" t="s">
        <v>63</v>
      </c>
      <c r="Y1680" s="53">
        <v>10.0</v>
      </c>
      <c r="Z1680" s="69" t="s">
        <v>63</v>
      </c>
      <c r="AA1680" s="73"/>
      <c r="AB1680" s="73"/>
      <c r="AC1680" s="73"/>
      <c r="AD1680" s="73"/>
      <c r="AE1680" s="73"/>
      <c r="AF1680" s="73"/>
      <c r="AG1680" s="73"/>
      <c r="AH1680" s="73"/>
      <c r="AI1680" s="73"/>
      <c r="AJ1680" s="73"/>
      <c r="AK1680" s="73"/>
    </row>
    <row r="1681">
      <c r="A1681" s="28">
        <v>1680.0</v>
      </c>
      <c r="B1681" s="29"/>
      <c r="C1681" s="29"/>
      <c r="D1681" s="40">
        <v>1.0</v>
      </c>
      <c r="E1681" s="31">
        <v>30.0</v>
      </c>
      <c r="F1681" s="42">
        <v>107.0</v>
      </c>
      <c r="G1681" s="29" t="str">
        <f t="shared" si="1"/>
        <v>30107</v>
      </c>
      <c r="H1681" s="37" t="s">
        <v>1464</v>
      </c>
      <c r="I1681" s="37" t="s">
        <v>76</v>
      </c>
      <c r="J1681" s="37" t="s">
        <v>1430</v>
      </c>
      <c r="K1681" s="37" t="str">
        <f t="shared" si="27"/>
        <v>Wheatland, MT</v>
      </c>
      <c r="L1681" s="37" t="s">
        <v>63</v>
      </c>
      <c r="M1681" s="37" t="s">
        <v>63</v>
      </c>
      <c r="N1681" s="37" t="s">
        <v>63</v>
      </c>
      <c r="O1681" s="37" t="s">
        <v>63</v>
      </c>
      <c r="P1681" s="37" t="s">
        <v>63</v>
      </c>
      <c r="Q1681" s="37" t="s">
        <v>63</v>
      </c>
      <c r="R1681" s="37" t="s">
        <v>63</v>
      </c>
      <c r="S1681" s="37" t="s">
        <v>63</v>
      </c>
      <c r="T1681" s="69" t="s">
        <v>63</v>
      </c>
      <c r="U1681" s="37" t="s">
        <v>63</v>
      </c>
      <c r="V1681" s="37" t="s">
        <v>63</v>
      </c>
      <c r="W1681" s="37" t="s">
        <v>63</v>
      </c>
      <c r="X1681" s="37" t="s">
        <v>63</v>
      </c>
      <c r="Y1681" s="53">
        <v>5.0</v>
      </c>
      <c r="Z1681" s="69" t="s">
        <v>63</v>
      </c>
      <c r="AA1681" s="73"/>
      <c r="AB1681" s="73"/>
      <c r="AC1681" s="73"/>
      <c r="AD1681" s="73"/>
      <c r="AE1681" s="73"/>
      <c r="AF1681" s="73"/>
      <c r="AG1681" s="73"/>
      <c r="AH1681" s="73"/>
      <c r="AI1681" s="73"/>
      <c r="AJ1681" s="73"/>
      <c r="AK1681" s="73"/>
    </row>
    <row r="1682">
      <c r="A1682" s="28">
        <v>1681.0</v>
      </c>
      <c r="B1682" s="29"/>
      <c r="C1682" s="29"/>
      <c r="D1682" s="40">
        <v>1.0</v>
      </c>
      <c r="E1682" s="31">
        <v>30.0</v>
      </c>
      <c r="F1682" s="42">
        <v>109.0</v>
      </c>
      <c r="G1682" s="29" t="str">
        <f t="shared" si="1"/>
        <v>30109</v>
      </c>
      <c r="H1682" s="37" t="s">
        <v>1465</v>
      </c>
      <c r="I1682" s="37" t="s">
        <v>76</v>
      </c>
      <c r="J1682" s="37" t="s">
        <v>1430</v>
      </c>
      <c r="K1682" s="37" t="str">
        <f t="shared" si="27"/>
        <v>Wibaux, MT</v>
      </c>
      <c r="L1682" s="37" t="s">
        <v>63</v>
      </c>
      <c r="M1682" s="37" t="s">
        <v>63</v>
      </c>
      <c r="N1682" s="37" t="s">
        <v>63</v>
      </c>
      <c r="O1682" s="37" t="s">
        <v>63</v>
      </c>
      <c r="P1682" s="37" t="s">
        <v>63</v>
      </c>
      <c r="Q1682" s="37" t="s">
        <v>63</v>
      </c>
      <c r="R1682" s="37" t="s">
        <v>63</v>
      </c>
      <c r="S1682" s="37" t="s">
        <v>63</v>
      </c>
      <c r="T1682" s="69" t="s">
        <v>63</v>
      </c>
      <c r="U1682" s="37" t="s">
        <v>63</v>
      </c>
      <c r="V1682" s="37" t="s">
        <v>63</v>
      </c>
      <c r="W1682" s="37" t="s">
        <v>63</v>
      </c>
      <c r="X1682" s="37" t="s">
        <v>63</v>
      </c>
      <c r="Y1682" s="53">
        <v>3.0</v>
      </c>
      <c r="Z1682" s="69" t="s">
        <v>63</v>
      </c>
      <c r="AA1682" s="73"/>
      <c r="AB1682" s="73"/>
      <c r="AC1682" s="73"/>
      <c r="AD1682" s="73"/>
      <c r="AE1682" s="73"/>
      <c r="AF1682" s="73"/>
      <c r="AG1682" s="73"/>
      <c r="AH1682" s="73"/>
      <c r="AI1682" s="73"/>
      <c r="AJ1682" s="73"/>
      <c r="AK1682" s="73"/>
    </row>
    <row r="1683">
      <c r="A1683" s="28">
        <v>1682.0</v>
      </c>
      <c r="B1683" s="29"/>
      <c r="C1683" s="29"/>
      <c r="D1683" s="40">
        <v>1.0</v>
      </c>
      <c r="E1683" s="31">
        <v>30.0</v>
      </c>
      <c r="F1683" s="42">
        <v>111.0</v>
      </c>
      <c r="G1683" s="29" t="str">
        <f t="shared" si="1"/>
        <v>30111</v>
      </c>
      <c r="H1683" s="37" t="s">
        <v>1466</v>
      </c>
      <c r="I1683" s="37" t="s">
        <v>76</v>
      </c>
      <c r="J1683" s="37" t="s">
        <v>1430</v>
      </c>
      <c r="K1683" s="37" t="str">
        <f t="shared" si="27"/>
        <v>Yellowstone, MT</v>
      </c>
      <c r="L1683" s="37" t="s">
        <v>63</v>
      </c>
      <c r="M1683" s="37" t="s">
        <v>63</v>
      </c>
      <c r="N1683" s="37" t="s">
        <v>63</v>
      </c>
      <c r="O1683" s="37" t="s">
        <v>63</v>
      </c>
      <c r="P1683" s="37" t="s">
        <v>63</v>
      </c>
      <c r="Q1683" s="37" t="s">
        <v>63</v>
      </c>
      <c r="R1683" s="37" t="s">
        <v>63</v>
      </c>
      <c r="S1683" s="37" t="s">
        <v>63</v>
      </c>
      <c r="T1683" s="69" t="s">
        <v>63</v>
      </c>
      <c r="U1683" s="37" t="s">
        <v>63</v>
      </c>
      <c r="V1683" s="37" t="s">
        <v>63</v>
      </c>
      <c r="W1683" s="37" t="s">
        <v>63</v>
      </c>
      <c r="X1683" s="37" t="s">
        <v>63</v>
      </c>
      <c r="Y1683" s="53">
        <v>121.0</v>
      </c>
      <c r="Z1683" s="69" t="s">
        <v>63</v>
      </c>
      <c r="AA1683" s="73"/>
      <c r="AB1683" s="73"/>
      <c r="AC1683" s="73"/>
      <c r="AD1683" s="73"/>
      <c r="AE1683" s="73"/>
      <c r="AF1683" s="73"/>
      <c r="AG1683" s="73"/>
      <c r="AH1683" s="73"/>
      <c r="AI1683" s="73"/>
      <c r="AJ1683" s="73"/>
      <c r="AK1683" s="73"/>
    </row>
    <row r="1684">
      <c r="A1684" s="99">
        <v>1683.0</v>
      </c>
      <c r="B1684" s="15"/>
      <c r="C1684" s="14" t="s">
        <v>25</v>
      </c>
      <c r="D1684" s="16"/>
      <c r="E1684" s="102">
        <v>31.0</v>
      </c>
      <c r="F1684" s="107">
        <v>0.0</v>
      </c>
      <c r="G1684" s="15" t="str">
        <f t="shared" si="1"/>
        <v>31000</v>
      </c>
      <c r="H1684" s="23"/>
      <c r="I1684" s="23" t="s">
        <v>79</v>
      </c>
      <c r="J1684" s="23" t="s">
        <v>624</v>
      </c>
      <c r="K1684" s="23"/>
      <c r="L1684" s="123">
        <f t="array" ref="L1684:Z1684">Nebraska!C97:Q97</f>
        <v>3534</v>
      </c>
      <c r="M1684" s="575">
        <v>1.6962365591397852</v>
      </c>
      <c r="N1684" s="123">
        <v>1236.0</v>
      </c>
      <c r="O1684" s="123">
        <v>2092.0</v>
      </c>
      <c r="P1684" s="23" t="s">
        <v>63</v>
      </c>
      <c r="Q1684" s="123">
        <v>2365.0</v>
      </c>
      <c r="R1684" s="23">
        <v>787.0</v>
      </c>
      <c r="S1684" s="23" t="s">
        <v>63</v>
      </c>
      <c r="T1684" s="32">
        <v>0.4934138309549945</v>
      </c>
      <c r="U1684" s="123">
        <v>1205.0</v>
      </c>
      <c r="V1684" s="23" t="s">
        <v>63</v>
      </c>
      <c r="W1684" s="23" t="s">
        <v>63</v>
      </c>
      <c r="X1684" s="23" t="s">
        <v>63</v>
      </c>
      <c r="Y1684" s="35">
        <v>2087.0</v>
      </c>
      <c r="Z1684" s="32">
        <v>0.7189</v>
      </c>
      <c r="AA1684" s="38"/>
      <c r="AB1684" s="38"/>
      <c r="AC1684" s="38"/>
      <c r="AD1684" s="38"/>
      <c r="AE1684" s="38"/>
      <c r="AF1684" s="38"/>
      <c r="AG1684" s="38"/>
      <c r="AH1684" s="38"/>
      <c r="AI1684" s="38"/>
      <c r="AJ1684" s="38"/>
      <c r="AK1684" s="38"/>
    </row>
    <row r="1685">
      <c r="A1685" s="99">
        <v>1684.0</v>
      </c>
      <c r="B1685" s="15"/>
      <c r="C1685" s="15"/>
      <c r="D1685" s="105">
        <v>1.0</v>
      </c>
      <c r="E1685" s="102">
        <v>31.0</v>
      </c>
      <c r="F1685" s="107">
        <v>1.0</v>
      </c>
      <c r="G1685" s="15" t="str">
        <f t="shared" si="1"/>
        <v>31001</v>
      </c>
      <c r="H1685" s="23" t="s">
        <v>386</v>
      </c>
      <c r="I1685" s="23" t="s">
        <v>79</v>
      </c>
      <c r="J1685" s="23" t="s">
        <v>624</v>
      </c>
      <c r="K1685" s="23" t="str">
        <f t="shared" ref="K1685:K1777" si="28">CONCATENATE(H1685,", ",J1685)</f>
        <v>Adams, NE</v>
      </c>
      <c r="L1685" s="23">
        <f t="array" ref="L1685:Z1777">Nebraska!C3:Q95</f>
        <v>67</v>
      </c>
      <c r="M1685" s="23">
        <v>1.98</v>
      </c>
      <c r="N1685" s="23">
        <v>24.0</v>
      </c>
      <c r="O1685" s="23">
        <v>38.0</v>
      </c>
      <c r="P1685" s="23" t="s">
        <v>63</v>
      </c>
      <c r="Q1685" s="23">
        <v>40.0</v>
      </c>
      <c r="R1685" s="23">
        <v>14.0</v>
      </c>
      <c r="S1685" s="23" t="s">
        <v>63</v>
      </c>
      <c r="T1685" s="32">
        <v>0.6585365853658537</v>
      </c>
      <c r="U1685" s="23">
        <v>8.0</v>
      </c>
      <c r="V1685" s="23" t="s">
        <v>63</v>
      </c>
      <c r="W1685" s="23" t="s">
        <v>63</v>
      </c>
      <c r="X1685" s="23" t="s">
        <v>63</v>
      </c>
      <c r="Y1685" s="35">
        <v>31.0</v>
      </c>
      <c r="Z1685" s="32">
        <v>0.7586</v>
      </c>
      <c r="AA1685" s="38"/>
      <c r="AB1685" s="38"/>
      <c r="AC1685" s="38"/>
      <c r="AD1685" s="38"/>
      <c r="AE1685" s="38"/>
      <c r="AF1685" s="38"/>
      <c r="AG1685" s="38"/>
      <c r="AH1685" s="38"/>
      <c r="AI1685" s="38"/>
      <c r="AJ1685" s="38"/>
      <c r="AK1685" s="38"/>
    </row>
    <row r="1686">
      <c r="A1686" s="99">
        <v>1685.0</v>
      </c>
      <c r="B1686" s="15"/>
      <c r="C1686" s="15"/>
      <c r="D1686" s="105">
        <v>1.0</v>
      </c>
      <c r="E1686" s="102">
        <v>31.0</v>
      </c>
      <c r="F1686" s="107">
        <v>3.0</v>
      </c>
      <c r="G1686" s="15" t="str">
        <f t="shared" si="1"/>
        <v>31003</v>
      </c>
      <c r="H1686" s="23" t="s">
        <v>1467</v>
      </c>
      <c r="I1686" s="23" t="s">
        <v>79</v>
      </c>
      <c r="J1686" s="23" t="s">
        <v>624</v>
      </c>
      <c r="K1686" s="23" t="str">
        <f t="shared" si="28"/>
        <v>Antelope, NE</v>
      </c>
      <c r="L1686" s="23" t="s">
        <v>63</v>
      </c>
      <c r="M1686" s="23">
        <v>1.63</v>
      </c>
      <c r="N1686" s="23" t="s">
        <v>63</v>
      </c>
      <c r="O1686" s="23" t="s">
        <v>63</v>
      </c>
      <c r="P1686" s="23" t="s">
        <v>63</v>
      </c>
      <c r="Q1686" s="23">
        <v>8.0</v>
      </c>
      <c r="R1686" s="23" t="s">
        <v>63</v>
      </c>
      <c r="S1686" s="23" t="s">
        <v>63</v>
      </c>
      <c r="T1686" s="32" t="s">
        <v>63</v>
      </c>
      <c r="U1686" s="23" t="s">
        <v>63</v>
      </c>
      <c r="V1686" s="23" t="s">
        <v>63</v>
      </c>
      <c r="W1686" s="23" t="s">
        <v>63</v>
      </c>
      <c r="X1686" s="23" t="s">
        <v>63</v>
      </c>
      <c r="Y1686" s="35">
        <v>18.0</v>
      </c>
      <c r="Z1686" s="32">
        <v>0.6667</v>
      </c>
      <c r="AA1686" s="38"/>
      <c r="AB1686" s="38"/>
      <c r="AC1686" s="38"/>
      <c r="AD1686" s="38"/>
      <c r="AE1686" s="38"/>
      <c r="AF1686" s="38"/>
      <c r="AG1686" s="38"/>
      <c r="AH1686" s="38"/>
      <c r="AI1686" s="38"/>
      <c r="AJ1686" s="38"/>
      <c r="AK1686" s="38"/>
    </row>
    <row r="1687">
      <c r="A1687" s="99">
        <v>1686.0</v>
      </c>
      <c r="B1687" s="15"/>
      <c r="C1687" s="15"/>
      <c r="D1687" s="105">
        <v>1.0</v>
      </c>
      <c r="E1687" s="102">
        <v>31.0</v>
      </c>
      <c r="F1687" s="107">
        <v>5.0</v>
      </c>
      <c r="G1687" s="15" t="str">
        <f t="shared" si="1"/>
        <v>31005</v>
      </c>
      <c r="H1687" s="23" t="s">
        <v>1468</v>
      </c>
      <c r="I1687" s="23" t="s">
        <v>79</v>
      </c>
      <c r="J1687" s="23" t="s">
        <v>624</v>
      </c>
      <c r="K1687" s="23" t="str">
        <f t="shared" si="28"/>
        <v>Arthur, NE</v>
      </c>
      <c r="L1687" s="23" t="s">
        <v>63</v>
      </c>
      <c r="M1687" s="23">
        <v>0.0</v>
      </c>
      <c r="N1687" s="23" t="s">
        <v>63</v>
      </c>
      <c r="O1687" s="23" t="s">
        <v>63</v>
      </c>
      <c r="P1687" s="23" t="s">
        <v>63</v>
      </c>
      <c r="Q1687" s="23">
        <v>0.0</v>
      </c>
      <c r="R1687" s="23">
        <v>0.0</v>
      </c>
      <c r="S1687" s="23" t="s">
        <v>63</v>
      </c>
      <c r="T1687" s="32" t="s">
        <v>63</v>
      </c>
      <c r="U1687" s="23">
        <v>0.0</v>
      </c>
      <c r="V1687" s="23" t="s">
        <v>63</v>
      </c>
      <c r="W1687" s="23" t="s">
        <v>63</v>
      </c>
      <c r="X1687" s="23" t="s">
        <v>63</v>
      </c>
      <c r="Y1687" s="35">
        <v>1.0</v>
      </c>
      <c r="Z1687" s="32" t="s">
        <v>63</v>
      </c>
      <c r="AA1687" s="38"/>
      <c r="AB1687" s="38"/>
      <c r="AC1687" s="38"/>
      <c r="AD1687" s="38"/>
      <c r="AE1687" s="38"/>
      <c r="AF1687" s="38"/>
      <c r="AG1687" s="38"/>
      <c r="AH1687" s="38"/>
      <c r="AI1687" s="38"/>
      <c r="AJ1687" s="38"/>
      <c r="AK1687" s="38"/>
    </row>
    <row r="1688">
      <c r="A1688" s="99">
        <v>1687.0</v>
      </c>
      <c r="B1688" s="15"/>
      <c r="C1688" s="15"/>
      <c r="D1688" s="105">
        <v>1.0</v>
      </c>
      <c r="E1688" s="102">
        <v>31.0</v>
      </c>
      <c r="F1688" s="107">
        <v>7.0</v>
      </c>
      <c r="G1688" s="15" t="str">
        <f t="shared" si="1"/>
        <v>31007</v>
      </c>
      <c r="H1688" s="23" t="s">
        <v>1469</v>
      </c>
      <c r="I1688" s="23" t="s">
        <v>79</v>
      </c>
      <c r="J1688" s="23" t="s">
        <v>624</v>
      </c>
      <c r="K1688" s="23" t="str">
        <f t="shared" si="28"/>
        <v>Banner, NE</v>
      </c>
      <c r="L1688" s="23" t="s">
        <v>63</v>
      </c>
      <c r="M1688" s="23">
        <v>2.0</v>
      </c>
      <c r="N1688" s="23" t="s">
        <v>63</v>
      </c>
      <c r="O1688" s="23" t="s">
        <v>63</v>
      </c>
      <c r="P1688" s="23" t="s">
        <v>63</v>
      </c>
      <c r="Q1688" s="23">
        <v>2.0</v>
      </c>
      <c r="R1688" s="23">
        <v>0.0</v>
      </c>
      <c r="S1688" s="23" t="s">
        <v>63</v>
      </c>
      <c r="T1688" s="32" t="s">
        <v>63</v>
      </c>
      <c r="U1688" s="23">
        <v>0.0</v>
      </c>
      <c r="V1688" s="23" t="s">
        <v>63</v>
      </c>
      <c r="W1688" s="23" t="s">
        <v>63</v>
      </c>
      <c r="X1688" s="23" t="s">
        <v>63</v>
      </c>
      <c r="Y1688" s="35">
        <v>1.0</v>
      </c>
      <c r="Z1688" s="32">
        <v>1.0</v>
      </c>
      <c r="AA1688" s="38"/>
      <c r="AB1688" s="38"/>
      <c r="AC1688" s="38"/>
      <c r="AD1688" s="38"/>
      <c r="AE1688" s="38"/>
      <c r="AF1688" s="38"/>
      <c r="AG1688" s="38"/>
      <c r="AH1688" s="38"/>
      <c r="AI1688" s="38"/>
      <c r="AJ1688" s="38"/>
      <c r="AK1688" s="38"/>
    </row>
    <row r="1689">
      <c r="A1689" s="99">
        <v>1688.0</v>
      </c>
      <c r="B1689" s="15"/>
      <c r="C1689" s="15"/>
      <c r="D1689" s="105">
        <v>1.0</v>
      </c>
      <c r="E1689" s="102">
        <v>31.0</v>
      </c>
      <c r="F1689" s="107">
        <v>9.0</v>
      </c>
      <c r="G1689" s="15" t="str">
        <f t="shared" si="1"/>
        <v>31009</v>
      </c>
      <c r="H1689" s="23" t="s">
        <v>666</v>
      </c>
      <c r="I1689" s="23" t="s">
        <v>79</v>
      </c>
      <c r="J1689" s="23" t="s">
        <v>624</v>
      </c>
      <c r="K1689" s="23" t="str">
        <f t="shared" si="28"/>
        <v>Blaine, NE</v>
      </c>
      <c r="L1689" s="23" t="s">
        <v>63</v>
      </c>
      <c r="M1689" s="23">
        <v>3.0</v>
      </c>
      <c r="N1689" s="23" t="s">
        <v>63</v>
      </c>
      <c r="O1689" s="23" t="s">
        <v>63</v>
      </c>
      <c r="P1689" s="23" t="s">
        <v>63</v>
      </c>
      <c r="Q1689" s="23">
        <v>1.0</v>
      </c>
      <c r="R1689" s="23">
        <v>0.0</v>
      </c>
      <c r="S1689" s="23" t="s">
        <v>63</v>
      </c>
      <c r="T1689" s="32" t="s">
        <v>63</v>
      </c>
      <c r="U1689" s="23">
        <v>0.0</v>
      </c>
      <c r="V1689" s="23" t="s">
        <v>63</v>
      </c>
      <c r="W1689" s="23" t="s">
        <v>63</v>
      </c>
      <c r="X1689" s="23" t="s">
        <v>63</v>
      </c>
      <c r="Y1689" s="35">
        <v>4.0</v>
      </c>
      <c r="Z1689" s="32" t="s">
        <v>63</v>
      </c>
      <c r="AA1689" s="38"/>
      <c r="AB1689" s="38"/>
      <c r="AC1689" s="38"/>
      <c r="AD1689" s="38"/>
      <c r="AE1689" s="38"/>
      <c r="AF1689" s="38"/>
      <c r="AG1689" s="38"/>
      <c r="AH1689" s="38"/>
      <c r="AI1689" s="38"/>
      <c r="AJ1689" s="38"/>
      <c r="AK1689" s="38"/>
    </row>
    <row r="1690">
      <c r="A1690" s="99">
        <v>1689.0</v>
      </c>
      <c r="B1690" s="15"/>
      <c r="C1690" s="15"/>
      <c r="D1690" s="105">
        <v>1.0</v>
      </c>
      <c r="E1690" s="102">
        <v>31.0</v>
      </c>
      <c r="F1690" s="107">
        <v>11.0</v>
      </c>
      <c r="G1690" s="15" t="str">
        <f t="shared" si="1"/>
        <v>31011</v>
      </c>
      <c r="H1690" s="23" t="s">
        <v>246</v>
      </c>
      <c r="I1690" s="23" t="s">
        <v>79</v>
      </c>
      <c r="J1690" s="23" t="s">
        <v>624</v>
      </c>
      <c r="K1690" s="23" t="str">
        <f t="shared" si="28"/>
        <v>Boone, NE</v>
      </c>
      <c r="L1690" s="23" t="s">
        <v>63</v>
      </c>
      <c r="M1690" s="23">
        <v>2.0</v>
      </c>
      <c r="N1690" s="23" t="s">
        <v>63</v>
      </c>
      <c r="O1690" s="23" t="s">
        <v>63</v>
      </c>
      <c r="P1690" s="23" t="s">
        <v>63</v>
      </c>
      <c r="Q1690" s="23">
        <v>2.0</v>
      </c>
      <c r="R1690" s="23">
        <v>0.0</v>
      </c>
      <c r="S1690" s="23" t="s">
        <v>63</v>
      </c>
      <c r="T1690" s="32" t="s">
        <v>63</v>
      </c>
      <c r="U1690" s="23" t="s">
        <v>63</v>
      </c>
      <c r="V1690" s="23" t="s">
        <v>63</v>
      </c>
      <c r="W1690" s="23" t="s">
        <v>63</v>
      </c>
      <c r="X1690" s="23" t="s">
        <v>63</v>
      </c>
      <c r="Y1690" s="35">
        <v>17.0</v>
      </c>
      <c r="Z1690" s="32">
        <v>1.0</v>
      </c>
      <c r="AA1690" s="38"/>
      <c r="AB1690" s="38"/>
      <c r="AC1690" s="38"/>
      <c r="AD1690" s="38"/>
      <c r="AE1690" s="38"/>
      <c r="AF1690" s="38"/>
      <c r="AG1690" s="38"/>
      <c r="AH1690" s="38"/>
      <c r="AI1690" s="38"/>
      <c r="AJ1690" s="38"/>
      <c r="AK1690" s="38"/>
    </row>
    <row r="1691">
      <c r="A1691" s="99">
        <v>1690.0</v>
      </c>
      <c r="B1691" s="15"/>
      <c r="C1691" s="15"/>
      <c r="D1691" s="105">
        <v>1.0</v>
      </c>
      <c r="E1691" s="102">
        <v>31.0</v>
      </c>
      <c r="F1691" s="107">
        <v>13.0</v>
      </c>
      <c r="G1691" s="15" t="str">
        <f t="shared" si="1"/>
        <v>31013</v>
      </c>
      <c r="H1691" s="23" t="s">
        <v>1470</v>
      </c>
      <c r="I1691" s="23" t="s">
        <v>79</v>
      </c>
      <c r="J1691" s="23" t="s">
        <v>624</v>
      </c>
      <c r="K1691" s="23" t="str">
        <f t="shared" si="28"/>
        <v>Box Butte, NE</v>
      </c>
      <c r="L1691" s="23">
        <v>18.0</v>
      </c>
      <c r="M1691" s="23">
        <v>2.36</v>
      </c>
      <c r="N1691" s="23" t="s">
        <v>63</v>
      </c>
      <c r="O1691" s="23">
        <v>13.0</v>
      </c>
      <c r="P1691" s="23" t="s">
        <v>63</v>
      </c>
      <c r="Q1691" s="23">
        <v>11.0</v>
      </c>
      <c r="R1691" s="23" t="s">
        <v>63</v>
      </c>
      <c r="S1691" s="23" t="s">
        <v>63</v>
      </c>
      <c r="T1691" s="32" t="s">
        <v>63</v>
      </c>
      <c r="U1691" s="23">
        <v>7.0</v>
      </c>
      <c r="V1691" s="23" t="s">
        <v>63</v>
      </c>
      <c r="W1691" s="23" t="s">
        <v>63</v>
      </c>
      <c r="X1691" s="23" t="s">
        <v>63</v>
      </c>
      <c r="Y1691" s="35">
        <v>18.0</v>
      </c>
      <c r="Z1691" s="32">
        <v>0.6667</v>
      </c>
      <c r="AA1691" s="38"/>
      <c r="AB1691" s="38"/>
      <c r="AC1691" s="38"/>
      <c r="AD1691" s="38"/>
      <c r="AE1691" s="38"/>
      <c r="AF1691" s="38"/>
      <c r="AG1691" s="38"/>
      <c r="AH1691" s="38"/>
      <c r="AI1691" s="38"/>
      <c r="AJ1691" s="38"/>
      <c r="AK1691" s="38"/>
    </row>
    <row r="1692">
      <c r="A1692" s="99">
        <v>1691.0</v>
      </c>
      <c r="B1692" s="15"/>
      <c r="C1692" s="15"/>
      <c r="D1692" s="105">
        <v>1.0</v>
      </c>
      <c r="E1692" s="102">
        <v>31.0</v>
      </c>
      <c r="F1692" s="107">
        <v>15.0</v>
      </c>
      <c r="G1692" s="15" t="str">
        <f t="shared" si="1"/>
        <v>31015</v>
      </c>
      <c r="H1692" s="23" t="s">
        <v>1028</v>
      </c>
      <c r="I1692" s="23" t="s">
        <v>79</v>
      </c>
      <c r="J1692" s="23" t="s">
        <v>624</v>
      </c>
      <c r="K1692" s="23" t="str">
        <f t="shared" si="28"/>
        <v>Boyd, NE</v>
      </c>
      <c r="L1692" s="23" t="s">
        <v>63</v>
      </c>
      <c r="M1692" s="23">
        <v>1.5</v>
      </c>
      <c r="N1692" s="23" t="s">
        <v>63</v>
      </c>
      <c r="O1692" s="23" t="s">
        <v>63</v>
      </c>
      <c r="P1692" s="23" t="s">
        <v>63</v>
      </c>
      <c r="Q1692" s="23">
        <v>2.0</v>
      </c>
      <c r="R1692" s="23">
        <v>0.0</v>
      </c>
      <c r="S1692" s="23" t="s">
        <v>63</v>
      </c>
      <c r="T1692" s="32" t="s">
        <v>63</v>
      </c>
      <c r="U1692" s="23">
        <v>0.0</v>
      </c>
      <c r="V1692" s="23" t="s">
        <v>63</v>
      </c>
      <c r="W1692" s="23" t="s">
        <v>63</v>
      </c>
      <c r="X1692" s="23" t="s">
        <v>63</v>
      </c>
      <c r="Y1692" s="35">
        <v>16.0</v>
      </c>
      <c r="Z1692" s="32">
        <v>1.0</v>
      </c>
      <c r="AA1692" s="38"/>
      <c r="AB1692" s="38"/>
      <c r="AC1692" s="38"/>
      <c r="AD1692" s="38"/>
      <c r="AE1692" s="38"/>
      <c r="AF1692" s="38"/>
      <c r="AG1692" s="38"/>
      <c r="AH1692" s="38"/>
      <c r="AI1692" s="38"/>
      <c r="AJ1692" s="38"/>
      <c r="AK1692" s="38"/>
    </row>
    <row r="1693">
      <c r="A1693" s="99">
        <v>1692.0</v>
      </c>
      <c r="B1693" s="15"/>
      <c r="C1693" s="15"/>
      <c r="D1693" s="105">
        <v>1.0</v>
      </c>
      <c r="E1693" s="102">
        <v>31.0</v>
      </c>
      <c r="F1693" s="107">
        <v>17.0</v>
      </c>
      <c r="G1693" s="15" t="str">
        <f t="shared" si="1"/>
        <v>31017</v>
      </c>
      <c r="H1693" s="23" t="s">
        <v>706</v>
      </c>
      <c r="I1693" s="23" t="s">
        <v>79</v>
      </c>
      <c r="J1693" s="23" t="s">
        <v>624</v>
      </c>
      <c r="K1693" s="23" t="str">
        <f t="shared" si="28"/>
        <v>Brown, NE</v>
      </c>
      <c r="L1693" s="23" t="s">
        <v>63</v>
      </c>
      <c r="M1693" s="23">
        <v>0.0</v>
      </c>
      <c r="N1693" s="23" t="s">
        <v>63</v>
      </c>
      <c r="O1693" s="23" t="s">
        <v>63</v>
      </c>
      <c r="P1693" s="23" t="s">
        <v>63</v>
      </c>
      <c r="Q1693" s="23">
        <v>0.0</v>
      </c>
      <c r="R1693" s="23">
        <v>0.0</v>
      </c>
      <c r="S1693" s="23" t="s">
        <v>63</v>
      </c>
      <c r="T1693" s="32" t="s">
        <v>63</v>
      </c>
      <c r="U1693" s="23" t="s">
        <v>63</v>
      </c>
      <c r="V1693" s="23" t="s">
        <v>63</v>
      </c>
      <c r="W1693" s="23" t="s">
        <v>63</v>
      </c>
      <c r="X1693" s="23" t="s">
        <v>63</v>
      </c>
      <c r="Y1693" s="35">
        <v>10.0</v>
      </c>
      <c r="Z1693" s="32">
        <v>0.0</v>
      </c>
      <c r="AA1693" s="38"/>
      <c r="AB1693" s="38"/>
      <c r="AC1693" s="38"/>
      <c r="AD1693" s="38"/>
      <c r="AE1693" s="38"/>
      <c r="AF1693" s="38"/>
      <c r="AG1693" s="38"/>
      <c r="AH1693" s="38"/>
      <c r="AI1693" s="38"/>
      <c r="AJ1693" s="38"/>
      <c r="AK1693" s="38"/>
    </row>
    <row r="1694">
      <c r="A1694" s="99">
        <v>1693.0</v>
      </c>
      <c r="B1694" s="15"/>
      <c r="C1694" s="15"/>
      <c r="D1694" s="105">
        <v>1.0</v>
      </c>
      <c r="E1694" s="102">
        <v>31.0</v>
      </c>
      <c r="F1694" s="107">
        <v>19.0</v>
      </c>
      <c r="G1694" s="15" t="str">
        <f t="shared" si="1"/>
        <v>31019</v>
      </c>
      <c r="H1694" s="23" t="s">
        <v>1471</v>
      </c>
      <c r="I1694" s="23" t="s">
        <v>79</v>
      </c>
      <c r="J1694" s="23" t="s">
        <v>624</v>
      </c>
      <c r="K1694" s="23" t="str">
        <f t="shared" si="28"/>
        <v>Buffalo, NE</v>
      </c>
      <c r="L1694" s="35">
        <v>107.0</v>
      </c>
      <c r="M1694" s="23">
        <v>2.21</v>
      </c>
      <c r="N1694" s="35">
        <v>45.0</v>
      </c>
      <c r="O1694" s="35">
        <v>57.0</v>
      </c>
      <c r="P1694" s="23" t="s">
        <v>63</v>
      </c>
      <c r="Q1694" s="23">
        <v>71.0</v>
      </c>
      <c r="R1694" s="23">
        <v>20.0</v>
      </c>
      <c r="S1694" s="23" t="s">
        <v>63</v>
      </c>
      <c r="T1694" s="32">
        <v>0.5652173913043478</v>
      </c>
      <c r="U1694" s="23">
        <v>37.0</v>
      </c>
      <c r="V1694" s="23" t="s">
        <v>63</v>
      </c>
      <c r="W1694" s="23" t="s">
        <v>63</v>
      </c>
      <c r="X1694" s="23" t="s">
        <v>63</v>
      </c>
      <c r="Y1694" s="35">
        <v>49.0</v>
      </c>
      <c r="Z1694" s="32">
        <v>0.7636</v>
      </c>
      <c r="AA1694" s="38"/>
      <c r="AB1694" s="38"/>
      <c r="AC1694" s="38"/>
      <c r="AD1694" s="38"/>
      <c r="AE1694" s="38"/>
      <c r="AF1694" s="38"/>
      <c r="AG1694" s="38"/>
      <c r="AH1694" s="38"/>
      <c r="AI1694" s="38"/>
      <c r="AJ1694" s="38"/>
      <c r="AK1694" s="38"/>
    </row>
    <row r="1695">
      <c r="A1695" s="99">
        <v>1694.0</v>
      </c>
      <c r="B1695" s="15"/>
      <c r="C1695" s="15"/>
      <c r="D1695" s="105">
        <v>1.0</v>
      </c>
      <c r="E1695" s="102">
        <v>31.0</v>
      </c>
      <c r="F1695" s="107">
        <v>21.0</v>
      </c>
      <c r="G1695" s="15" t="str">
        <f t="shared" si="1"/>
        <v>31021</v>
      </c>
      <c r="H1695" s="23" t="s">
        <v>1472</v>
      </c>
      <c r="I1695" s="23" t="s">
        <v>79</v>
      </c>
      <c r="J1695" s="23" t="s">
        <v>624</v>
      </c>
      <c r="K1695" s="23" t="str">
        <f t="shared" si="28"/>
        <v>Burt, NE</v>
      </c>
      <c r="L1695" s="23" t="s">
        <v>63</v>
      </c>
      <c r="M1695" s="23">
        <v>1.5</v>
      </c>
      <c r="N1695" s="23" t="s">
        <v>63</v>
      </c>
      <c r="O1695" s="23" t="s">
        <v>63</v>
      </c>
      <c r="P1695" s="23" t="s">
        <v>63</v>
      </c>
      <c r="Q1695" s="23">
        <v>8.0</v>
      </c>
      <c r="R1695" s="23">
        <v>0.0</v>
      </c>
      <c r="S1695" s="23" t="s">
        <v>63</v>
      </c>
      <c r="T1695" s="32" t="s">
        <v>63</v>
      </c>
      <c r="U1695" s="23" t="s">
        <v>63</v>
      </c>
      <c r="V1695" s="23" t="s">
        <v>63</v>
      </c>
      <c r="W1695" s="23" t="s">
        <v>63</v>
      </c>
      <c r="X1695" s="23" t="s">
        <v>63</v>
      </c>
      <c r="Y1695" s="35">
        <v>14.0</v>
      </c>
      <c r="Z1695" s="32">
        <v>0.5</v>
      </c>
      <c r="AA1695" s="38"/>
      <c r="AB1695" s="38"/>
      <c r="AC1695" s="38"/>
      <c r="AD1695" s="38"/>
      <c r="AE1695" s="38"/>
      <c r="AF1695" s="38"/>
      <c r="AG1695" s="38"/>
      <c r="AH1695" s="38"/>
      <c r="AI1695" s="38"/>
      <c r="AJ1695" s="38"/>
      <c r="AK1695" s="38"/>
    </row>
    <row r="1696">
      <c r="A1696" s="99">
        <v>1695.0</v>
      </c>
      <c r="B1696" s="15"/>
      <c r="C1696" s="15"/>
      <c r="D1696" s="105">
        <v>1.0</v>
      </c>
      <c r="E1696" s="102">
        <v>31.0</v>
      </c>
      <c r="F1696" s="107">
        <v>23.0</v>
      </c>
      <c r="G1696" s="15" t="str">
        <f t="shared" si="1"/>
        <v>31023</v>
      </c>
      <c r="H1696" s="23" t="s">
        <v>87</v>
      </c>
      <c r="I1696" s="23" t="s">
        <v>79</v>
      </c>
      <c r="J1696" s="23" t="s">
        <v>624</v>
      </c>
      <c r="K1696" s="23" t="str">
        <f t="shared" si="28"/>
        <v>Butler, NE</v>
      </c>
      <c r="L1696" s="23">
        <v>18.0</v>
      </c>
      <c r="M1696" s="23">
        <v>1.91</v>
      </c>
      <c r="N1696" s="23" t="s">
        <v>63</v>
      </c>
      <c r="O1696" s="23" t="s">
        <v>63</v>
      </c>
      <c r="P1696" s="23" t="s">
        <v>63</v>
      </c>
      <c r="Q1696" s="23">
        <v>11.0</v>
      </c>
      <c r="R1696" s="23" t="s">
        <v>63</v>
      </c>
      <c r="S1696" s="23" t="s">
        <v>63</v>
      </c>
      <c r="T1696" s="32" t="s">
        <v>63</v>
      </c>
      <c r="U1696" s="23" t="s">
        <v>63</v>
      </c>
      <c r="V1696" s="23" t="s">
        <v>63</v>
      </c>
      <c r="W1696" s="23" t="s">
        <v>63</v>
      </c>
      <c r="X1696" s="23" t="s">
        <v>63</v>
      </c>
      <c r="Y1696" s="35">
        <v>13.0</v>
      </c>
      <c r="Z1696" s="32">
        <v>0.6</v>
      </c>
      <c r="AA1696" s="38"/>
      <c r="AB1696" s="38"/>
      <c r="AC1696" s="38"/>
      <c r="AD1696" s="38"/>
      <c r="AE1696" s="38"/>
      <c r="AF1696" s="38"/>
      <c r="AG1696" s="38"/>
      <c r="AH1696" s="38"/>
      <c r="AI1696" s="38"/>
      <c r="AJ1696" s="38"/>
      <c r="AK1696" s="38"/>
    </row>
    <row r="1697">
      <c r="A1697" s="99">
        <v>1696.0</v>
      </c>
      <c r="B1697" s="15"/>
      <c r="C1697" s="15"/>
      <c r="D1697" s="105">
        <v>1.0</v>
      </c>
      <c r="E1697" s="102">
        <v>31.0</v>
      </c>
      <c r="F1697" s="107">
        <v>25.0</v>
      </c>
      <c r="G1697" s="15" t="str">
        <f t="shared" si="1"/>
        <v>31025</v>
      </c>
      <c r="H1697" s="23" t="s">
        <v>708</v>
      </c>
      <c r="I1697" s="23" t="s">
        <v>79</v>
      </c>
      <c r="J1697" s="23" t="s">
        <v>624</v>
      </c>
      <c r="K1697" s="23" t="str">
        <f t="shared" si="28"/>
        <v>Cass, NE</v>
      </c>
      <c r="L1697" s="23">
        <v>23.0</v>
      </c>
      <c r="M1697" s="23">
        <v>2.32</v>
      </c>
      <c r="N1697" s="23">
        <v>16.0</v>
      </c>
      <c r="O1697" s="23" t="s">
        <v>63</v>
      </c>
      <c r="P1697" s="23" t="s">
        <v>63</v>
      </c>
      <c r="Q1697" s="23">
        <v>28.0</v>
      </c>
      <c r="R1697" s="23">
        <v>6.0</v>
      </c>
      <c r="S1697" s="23" t="s">
        <v>63</v>
      </c>
      <c r="T1697" s="32" t="s">
        <v>63</v>
      </c>
      <c r="U1697" s="23" t="s">
        <v>63</v>
      </c>
      <c r="V1697" s="23" t="s">
        <v>63</v>
      </c>
      <c r="W1697" s="23" t="s">
        <v>63</v>
      </c>
      <c r="X1697" s="23" t="s">
        <v>63</v>
      </c>
      <c r="Y1697" s="35">
        <v>30.0</v>
      </c>
      <c r="Z1697" s="32">
        <v>0.5484</v>
      </c>
      <c r="AA1697" s="38"/>
      <c r="AB1697" s="38"/>
      <c r="AC1697" s="38"/>
      <c r="AD1697" s="38"/>
      <c r="AE1697" s="38"/>
      <c r="AF1697" s="38"/>
      <c r="AG1697" s="38"/>
      <c r="AH1697" s="38"/>
      <c r="AI1697" s="38"/>
      <c r="AJ1697" s="38"/>
      <c r="AK1697" s="38"/>
    </row>
    <row r="1698">
      <c r="A1698" s="99">
        <v>1697.0</v>
      </c>
      <c r="B1698" s="15"/>
      <c r="C1698" s="15"/>
      <c r="D1698" s="105">
        <v>1.0</v>
      </c>
      <c r="E1698" s="102">
        <v>31.0</v>
      </c>
      <c r="F1698" s="107">
        <v>27.0</v>
      </c>
      <c r="G1698" s="15" t="str">
        <f t="shared" si="1"/>
        <v>31027</v>
      </c>
      <c r="H1698" s="23" t="s">
        <v>894</v>
      </c>
      <c r="I1698" s="23" t="s">
        <v>79</v>
      </c>
      <c r="J1698" s="23" t="s">
        <v>624</v>
      </c>
      <c r="K1698" s="23" t="str">
        <f t="shared" si="28"/>
        <v>Cedar, NE</v>
      </c>
      <c r="L1698" s="23" t="s">
        <v>63</v>
      </c>
      <c r="M1698" s="23">
        <v>3.25</v>
      </c>
      <c r="N1698" s="23" t="s">
        <v>63</v>
      </c>
      <c r="O1698" s="23" t="s">
        <v>63</v>
      </c>
      <c r="P1698" s="23" t="s">
        <v>63</v>
      </c>
      <c r="Q1698" s="23">
        <v>4.0</v>
      </c>
      <c r="R1698" s="23" t="s">
        <v>63</v>
      </c>
      <c r="S1698" s="23" t="s">
        <v>63</v>
      </c>
      <c r="T1698" s="32" t="s">
        <v>63</v>
      </c>
      <c r="U1698" s="23">
        <v>0.0</v>
      </c>
      <c r="V1698" s="23" t="s">
        <v>63</v>
      </c>
      <c r="W1698" s="23" t="s">
        <v>63</v>
      </c>
      <c r="X1698" s="23" t="s">
        <v>63</v>
      </c>
      <c r="Y1698" s="35">
        <v>18.0</v>
      </c>
      <c r="Z1698" s="32">
        <v>0.4286</v>
      </c>
      <c r="AA1698" s="38"/>
      <c r="AB1698" s="38"/>
      <c r="AC1698" s="38"/>
      <c r="AD1698" s="38"/>
      <c r="AE1698" s="38"/>
      <c r="AF1698" s="38"/>
      <c r="AG1698" s="38"/>
      <c r="AH1698" s="38"/>
      <c r="AI1698" s="38"/>
      <c r="AJ1698" s="38"/>
      <c r="AK1698" s="38"/>
    </row>
    <row r="1699">
      <c r="A1699" s="99">
        <v>1698.0</v>
      </c>
      <c r="B1699" s="15"/>
      <c r="C1699" s="15"/>
      <c r="D1699" s="105">
        <v>1.0</v>
      </c>
      <c r="E1699" s="102">
        <v>31.0</v>
      </c>
      <c r="F1699" s="107">
        <v>29.0</v>
      </c>
      <c r="G1699" s="15" t="str">
        <f t="shared" si="1"/>
        <v>31029</v>
      </c>
      <c r="H1699" s="23" t="s">
        <v>960</v>
      </c>
      <c r="I1699" s="23" t="s">
        <v>79</v>
      </c>
      <c r="J1699" s="23" t="s">
        <v>624</v>
      </c>
      <c r="K1699" s="23" t="str">
        <f t="shared" si="28"/>
        <v>Chase, NE</v>
      </c>
      <c r="L1699" s="23" t="s">
        <v>63</v>
      </c>
      <c r="M1699" s="23">
        <v>2.33</v>
      </c>
      <c r="N1699" s="23" t="s">
        <v>63</v>
      </c>
      <c r="O1699" s="23" t="s">
        <v>63</v>
      </c>
      <c r="P1699" s="23" t="s">
        <v>63</v>
      </c>
      <c r="Q1699" s="23">
        <v>3.0</v>
      </c>
      <c r="R1699" s="23">
        <v>0.0</v>
      </c>
      <c r="S1699" s="23" t="s">
        <v>63</v>
      </c>
      <c r="T1699" s="32" t="s">
        <v>63</v>
      </c>
      <c r="U1699" s="23">
        <v>0.0</v>
      </c>
      <c r="V1699" s="23" t="s">
        <v>63</v>
      </c>
      <c r="W1699" s="23" t="s">
        <v>63</v>
      </c>
      <c r="X1699" s="23" t="s">
        <v>63</v>
      </c>
      <c r="Y1699" s="35">
        <v>12.0</v>
      </c>
      <c r="Z1699" s="32">
        <v>1.0</v>
      </c>
      <c r="AA1699" s="38"/>
      <c r="AB1699" s="38"/>
      <c r="AC1699" s="38"/>
      <c r="AD1699" s="38"/>
      <c r="AE1699" s="38"/>
      <c r="AF1699" s="38"/>
      <c r="AG1699" s="38"/>
      <c r="AH1699" s="38"/>
      <c r="AI1699" s="38"/>
      <c r="AJ1699" s="38"/>
      <c r="AK1699" s="38"/>
    </row>
    <row r="1700">
      <c r="A1700" s="99">
        <v>1699.0</v>
      </c>
      <c r="B1700" s="15"/>
      <c r="C1700" s="15"/>
      <c r="D1700" s="105">
        <v>1.0</v>
      </c>
      <c r="E1700" s="102">
        <v>31.0</v>
      </c>
      <c r="F1700" s="107">
        <v>31.0</v>
      </c>
      <c r="G1700" s="15" t="str">
        <f t="shared" si="1"/>
        <v>31031</v>
      </c>
      <c r="H1700" s="23" t="s">
        <v>1473</v>
      </c>
      <c r="I1700" s="23" t="s">
        <v>79</v>
      </c>
      <c r="J1700" s="23" t="s">
        <v>624</v>
      </c>
      <c r="K1700" s="23" t="str">
        <f t="shared" si="28"/>
        <v>Cherry, NE</v>
      </c>
      <c r="L1700" s="23" t="s">
        <v>63</v>
      </c>
      <c r="M1700" s="23">
        <v>1.0</v>
      </c>
      <c r="N1700" s="23" t="s">
        <v>63</v>
      </c>
      <c r="O1700" s="23" t="s">
        <v>63</v>
      </c>
      <c r="P1700" s="23" t="s">
        <v>63</v>
      </c>
      <c r="Q1700" s="23">
        <v>2.0</v>
      </c>
      <c r="R1700" s="23">
        <v>0.0</v>
      </c>
      <c r="S1700" s="23" t="s">
        <v>63</v>
      </c>
      <c r="T1700" s="32" t="s">
        <v>63</v>
      </c>
      <c r="U1700" s="23" t="s">
        <v>63</v>
      </c>
      <c r="V1700" s="23" t="s">
        <v>63</v>
      </c>
      <c r="W1700" s="23" t="s">
        <v>63</v>
      </c>
      <c r="X1700" s="23" t="s">
        <v>63</v>
      </c>
      <c r="Y1700" s="35">
        <v>13.0</v>
      </c>
      <c r="Z1700" s="32">
        <v>1.0</v>
      </c>
      <c r="AA1700" s="38"/>
      <c r="AB1700" s="38"/>
      <c r="AC1700" s="38"/>
      <c r="AD1700" s="38"/>
      <c r="AE1700" s="38"/>
      <c r="AF1700" s="38"/>
      <c r="AG1700" s="38"/>
      <c r="AH1700" s="38"/>
      <c r="AI1700" s="38"/>
      <c r="AJ1700" s="38"/>
      <c r="AK1700" s="38"/>
    </row>
    <row r="1701">
      <c r="A1701" s="99">
        <v>1700.0</v>
      </c>
      <c r="B1701" s="15"/>
      <c r="C1701" s="15"/>
      <c r="D1701" s="105">
        <v>1.0</v>
      </c>
      <c r="E1701" s="102">
        <v>31.0</v>
      </c>
      <c r="F1701" s="107">
        <v>33.0</v>
      </c>
      <c r="G1701" s="15" t="str">
        <f t="shared" si="1"/>
        <v>31033</v>
      </c>
      <c r="H1701" s="23" t="s">
        <v>399</v>
      </c>
      <c r="I1701" s="23" t="s">
        <v>79</v>
      </c>
      <c r="J1701" s="23" t="s">
        <v>624</v>
      </c>
      <c r="K1701" s="23" t="str">
        <f t="shared" si="28"/>
        <v>Cheyenne, NE</v>
      </c>
      <c r="L1701" s="23">
        <v>19.0</v>
      </c>
      <c r="M1701" s="23">
        <v>2.1</v>
      </c>
      <c r="N1701" s="23" t="s">
        <v>63</v>
      </c>
      <c r="O1701" s="23" t="s">
        <v>63</v>
      </c>
      <c r="P1701" s="23" t="s">
        <v>63</v>
      </c>
      <c r="Q1701" s="23">
        <v>10.0</v>
      </c>
      <c r="R1701" s="23" t="s">
        <v>63</v>
      </c>
      <c r="S1701" s="23" t="s">
        <v>63</v>
      </c>
      <c r="T1701" s="32" t="s">
        <v>63</v>
      </c>
      <c r="U1701" s="23">
        <v>13.0</v>
      </c>
      <c r="V1701" s="23" t="s">
        <v>63</v>
      </c>
      <c r="W1701" s="23" t="s">
        <v>63</v>
      </c>
      <c r="X1701" s="23" t="s">
        <v>63</v>
      </c>
      <c r="Y1701" s="35">
        <v>26.0</v>
      </c>
      <c r="Z1701" s="32">
        <v>1.0</v>
      </c>
      <c r="AA1701" s="38"/>
      <c r="AB1701" s="38"/>
      <c r="AC1701" s="38"/>
      <c r="AD1701" s="38"/>
      <c r="AE1701" s="38"/>
      <c r="AF1701" s="38"/>
      <c r="AG1701" s="38"/>
      <c r="AH1701" s="38"/>
      <c r="AI1701" s="38"/>
      <c r="AJ1701" s="38"/>
      <c r="AK1701" s="38"/>
    </row>
    <row r="1702">
      <c r="A1702" s="99">
        <v>1701.0</v>
      </c>
      <c r="B1702" s="15"/>
      <c r="C1702" s="15"/>
      <c r="D1702" s="105">
        <v>1.0</v>
      </c>
      <c r="E1702" s="102">
        <v>31.0</v>
      </c>
      <c r="F1702" s="107">
        <v>35.0</v>
      </c>
      <c r="G1702" s="15" t="str">
        <f t="shared" si="1"/>
        <v>31035</v>
      </c>
      <c r="H1702" s="23" t="s">
        <v>112</v>
      </c>
      <c r="I1702" s="23" t="s">
        <v>79</v>
      </c>
      <c r="J1702" s="23" t="s">
        <v>624</v>
      </c>
      <c r="K1702" s="23" t="str">
        <f t="shared" si="28"/>
        <v>Clay, NE</v>
      </c>
      <c r="L1702" s="23" t="s">
        <v>63</v>
      </c>
      <c r="M1702" s="23">
        <v>2.42</v>
      </c>
      <c r="N1702" s="23" t="s">
        <v>63</v>
      </c>
      <c r="O1702" s="23" t="s">
        <v>63</v>
      </c>
      <c r="P1702" s="23" t="s">
        <v>63</v>
      </c>
      <c r="Q1702" s="23">
        <v>12.0</v>
      </c>
      <c r="R1702" s="23" t="s">
        <v>63</v>
      </c>
      <c r="S1702" s="23" t="s">
        <v>63</v>
      </c>
      <c r="T1702" s="32" t="s">
        <v>63</v>
      </c>
      <c r="U1702" s="23" t="s">
        <v>63</v>
      </c>
      <c r="V1702" s="23" t="s">
        <v>63</v>
      </c>
      <c r="W1702" s="23" t="s">
        <v>63</v>
      </c>
      <c r="X1702" s="23" t="s">
        <v>63</v>
      </c>
      <c r="Y1702" s="35">
        <v>18.0</v>
      </c>
      <c r="Z1702" s="32">
        <v>0.8889</v>
      </c>
      <c r="AA1702" s="38"/>
      <c r="AB1702" s="38"/>
      <c r="AC1702" s="38"/>
      <c r="AD1702" s="38"/>
      <c r="AE1702" s="38"/>
      <c r="AF1702" s="38"/>
      <c r="AG1702" s="38"/>
      <c r="AH1702" s="38"/>
      <c r="AI1702" s="38"/>
      <c r="AJ1702" s="38"/>
      <c r="AK1702" s="38"/>
    </row>
    <row r="1703">
      <c r="A1703" s="99">
        <v>1702.0</v>
      </c>
      <c r="B1703" s="15"/>
      <c r="C1703" s="15"/>
      <c r="D1703" s="105">
        <v>1.0</v>
      </c>
      <c r="E1703" s="102">
        <v>31.0</v>
      </c>
      <c r="F1703" s="107">
        <v>37.0</v>
      </c>
      <c r="G1703" s="15" t="str">
        <f t="shared" si="1"/>
        <v>31037</v>
      </c>
      <c r="H1703" s="23" t="s">
        <v>1474</v>
      </c>
      <c r="I1703" s="23" t="s">
        <v>79</v>
      </c>
      <c r="J1703" s="23" t="s">
        <v>624</v>
      </c>
      <c r="K1703" s="23" t="str">
        <f t="shared" si="28"/>
        <v>Colfax, NE</v>
      </c>
      <c r="L1703" s="23">
        <v>15.0</v>
      </c>
      <c r="M1703" s="23">
        <v>1.67</v>
      </c>
      <c r="N1703" s="23" t="s">
        <v>63</v>
      </c>
      <c r="O1703" s="23">
        <v>10.0</v>
      </c>
      <c r="P1703" s="23" t="s">
        <v>63</v>
      </c>
      <c r="Q1703" s="23">
        <v>6.0</v>
      </c>
      <c r="R1703" s="23" t="s">
        <v>63</v>
      </c>
      <c r="S1703" s="23" t="s">
        <v>63</v>
      </c>
      <c r="T1703" s="32" t="s">
        <v>63</v>
      </c>
      <c r="U1703" s="23" t="s">
        <v>63</v>
      </c>
      <c r="V1703" s="23" t="s">
        <v>63</v>
      </c>
      <c r="W1703" s="23" t="s">
        <v>63</v>
      </c>
      <c r="X1703" s="23" t="s">
        <v>63</v>
      </c>
      <c r="Y1703" s="35">
        <v>12.0</v>
      </c>
      <c r="Z1703" s="32">
        <v>0.5</v>
      </c>
      <c r="AA1703" s="38"/>
      <c r="AB1703" s="38"/>
      <c r="AC1703" s="38"/>
      <c r="AD1703" s="38"/>
      <c r="AE1703" s="38"/>
      <c r="AF1703" s="38"/>
      <c r="AG1703" s="38"/>
      <c r="AH1703" s="38"/>
      <c r="AI1703" s="38"/>
      <c r="AJ1703" s="38"/>
      <c r="AK1703" s="38"/>
    </row>
    <row r="1704">
      <c r="A1704" s="99">
        <v>1703.0</v>
      </c>
      <c r="B1704" s="15"/>
      <c r="C1704" s="15"/>
      <c r="D1704" s="105">
        <v>1.0</v>
      </c>
      <c r="E1704" s="102">
        <v>31.0</v>
      </c>
      <c r="F1704" s="107">
        <v>39.0</v>
      </c>
      <c r="G1704" s="15" t="str">
        <f t="shared" si="1"/>
        <v>31039</v>
      </c>
      <c r="H1704" s="23" t="s">
        <v>1475</v>
      </c>
      <c r="I1704" s="23" t="s">
        <v>79</v>
      </c>
      <c r="J1704" s="23" t="s">
        <v>624</v>
      </c>
      <c r="K1704" s="23" t="str">
        <f t="shared" si="28"/>
        <v>Cuming, NE</v>
      </c>
      <c r="L1704" s="23">
        <v>18.0</v>
      </c>
      <c r="M1704" s="23">
        <v>2.0</v>
      </c>
      <c r="N1704" s="23" t="s">
        <v>63</v>
      </c>
      <c r="O1704" s="23" t="s">
        <v>63</v>
      </c>
      <c r="P1704" s="23" t="s">
        <v>63</v>
      </c>
      <c r="Q1704" s="23">
        <v>8.0</v>
      </c>
      <c r="R1704" s="23">
        <v>7.0</v>
      </c>
      <c r="S1704" s="23" t="s">
        <v>63</v>
      </c>
      <c r="T1704" s="32">
        <v>0.5454545454545454</v>
      </c>
      <c r="U1704" s="23" t="s">
        <v>63</v>
      </c>
      <c r="V1704" s="23" t="s">
        <v>63</v>
      </c>
      <c r="W1704" s="23" t="s">
        <v>63</v>
      </c>
      <c r="X1704" s="23" t="s">
        <v>63</v>
      </c>
      <c r="Y1704" s="35">
        <v>21.0</v>
      </c>
      <c r="Z1704" s="32">
        <v>1.0</v>
      </c>
      <c r="AA1704" s="38"/>
      <c r="AB1704" s="38"/>
      <c r="AC1704" s="38"/>
      <c r="AD1704" s="38"/>
      <c r="AE1704" s="38"/>
      <c r="AF1704" s="38"/>
      <c r="AG1704" s="38"/>
      <c r="AH1704" s="38"/>
      <c r="AI1704" s="38"/>
      <c r="AJ1704" s="38"/>
      <c r="AK1704" s="38"/>
    </row>
    <row r="1705">
      <c r="A1705" s="99">
        <v>1704.0</v>
      </c>
      <c r="B1705" s="15"/>
      <c r="C1705" s="15"/>
      <c r="D1705" s="105">
        <v>1.0</v>
      </c>
      <c r="E1705" s="102">
        <v>31.0</v>
      </c>
      <c r="F1705" s="107">
        <v>41.0</v>
      </c>
      <c r="G1705" s="15" t="str">
        <f t="shared" si="1"/>
        <v>31041</v>
      </c>
      <c r="H1705" s="23" t="s">
        <v>406</v>
      </c>
      <c r="I1705" s="23" t="s">
        <v>79</v>
      </c>
      <c r="J1705" s="23" t="s">
        <v>624</v>
      </c>
      <c r="K1705" s="23" t="str">
        <f t="shared" si="28"/>
        <v>Custer, NE</v>
      </c>
      <c r="L1705" s="23">
        <v>28.0</v>
      </c>
      <c r="M1705" s="23">
        <v>1.88</v>
      </c>
      <c r="N1705" s="23">
        <v>15.0</v>
      </c>
      <c r="O1705" s="23">
        <v>10.0</v>
      </c>
      <c r="P1705" s="23" t="s">
        <v>63</v>
      </c>
      <c r="Q1705" s="23">
        <v>8.0</v>
      </c>
      <c r="R1705" s="23" t="s">
        <v>63</v>
      </c>
      <c r="S1705" s="23" t="s">
        <v>63</v>
      </c>
      <c r="T1705" s="32" t="s">
        <v>63</v>
      </c>
      <c r="U1705" s="23">
        <v>7.0</v>
      </c>
      <c r="V1705" s="23" t="s">
        <v>63</v>
      </c>
      <c r="W1705" s="23" t="s">
        <v>63</v>
      </c>
      <c r="X1705" s="23" t="s">
        <v>63</v>
      </c>
      <c r="Y1705" s="35">
        <v>28.0</v>
      </c>
      <c r="Z1705" s="32">
        <v>1.0</v>
      </c>
      <c r="AA1705" s="38"/>
      <c r="AB1705" s="38"/>
      <c r="AC1705" s="38"/>
      <c r="AD1705" s="38"/>
      <c r="AE1705" s="38"/>
      <c r="AF1705" s="38"/>
      <c r="AG1705" s="38"/>
      <c r="AH1705" s="38"/>
      <c r="AI1705" s="38"/>
      <c r="AJ1705" s="38"/>
      <c r="AK1705" s="38"/>
    </row>
    <row r="1706">
      <c r="A1706" s="99">
        <v>1705.0</v>
      </c>
      <c r="B1706" s="15"/>
      <c r="C1706" s="15"/>
      <c r="D1706" s="105">
        <v>1.0</v>
      </c>
      <c r="E1706" s="102">
        <v>31.0</v>
      </c>
      <c r="F1706" s="107">
        <v>43.0</v>
      </c>
      <c r="G1706" s="15" t="str">
        <f t="shared" si="1"/>
        <v>31043</v>
      </c>
      <c r="H1706" s="23" t="s">
        <v>1308</v>
      </c>
      <c r="I1706" s="23" t="s">
        <v>79</v>
      </c>
      <c r="J1706" s="23" t="s">
        <v>624</v>
      </c>
      <c r="K1706" s="23" t="str">
        <f t="shared" si="28"/>
        <v>Dakota, NE</v>
      </c>
      <c r="L1706" s="23">
        <v>15.0</v>
      </c>
      <c r="M1706" s="23">
        <v>1.44</v>
      </c>
      <c r="N1706" s="23" t="s">
        <v>63</v>
      </c>
      <c r="O1706" s="23" t="s">
        <v>63</v>
      </c>
      <c r="P1706" s="23" t="s">
        <v>63</v>
      </c>
      <c r="Q1706" s="23">
        <v>9.0</v>
      </c>
      <c r="R1706" s="23">
        <v>6.0</v>
      </c>
      <c r="S1706" s="23" t="s">
        <v>63</v>
      </c>
      <c r="T1706" s="32" t="s">
        <v>63</v>
      </c>
      <c r="U1706" s="23">
        <v>15.0</v>
      </c>
      <c r="V1706" s="23" t="s">
        <v>63</v>
      </c>
      <c r="W1706" s="23" t="s">
        <v>63</v>
      </c>
      <c r="X1706" s="23" t="s">
        <v>63</v>
      </c>
      <c r="Y1706" s="35">
        <v>14.0</v>
      </c>
      <c r="Z1706" s="32">
        <v>0.6</v>
      </c>
      <c r="AA1706" s="38"/>
      <c r="AB1706" s="38"/>
      <c r="AC1706" s="38"/>
      <c r="AD1706" s="38"/>
      <c r="AE1706" s="38"/>
      <c r="AF1706" s="38"/>
      <c r="AG1706" s="38"/>
      <c r="AH1706" s="38"/>
      <c r="AI1706" s="38"/>
      <c r="AJ1706" s="38"/>
      <c r="AK1706" s="38"/>
    </row>
    <row r="1707">
      <c r="A1707" s="99">
        <v>1706.0</v>
      </c>
      <c r="B1707" s="15"/>
      <c r="C1707" s="15"/>
      <c r="D1707" s="105">
        <v>1.0</v>
      </c>
      <c r="E1707" s="102">
        <v>31.0</v>
      </c>
      <c r="F1707" s="107">
        <v>45.0</v>
      </c>
      <c r="G1707" s="15" t="str">
        <f t="shared" si="1"/>
        <v>31045</v>
      </c>
      <c r="H1707" s="23" t="s">
        <v>1476</v>
      </c>
      <c r="I1707" s="23" t="s">
        <v>79</v>
      </c>
      <c r="J1707" s="23" t="s">
        <v>624</v>
      </c>
      <c r="K1707" s="23" t="str">
        <f t="shared" si="28"/>
        <v>Dawes, NE</v>
      </c>
      <c r="L1707" s="23">
        <v>10.0</v>
      </c>
      <c r="M1707" s="23">
        <v>1.8</v>
      </c>
      <c r="N1707" s="23" t="s">
        <v>63</v>
      </c>
      <c r="O1707" s="23" t="s">
        <v>63</v>
      </c>
      <c r="P1707" s="23" t="s">
        <v>63</v>
      </c>
      <c r="Q1707" s="23">
        <v>5.0</v>
      </c>
      <c r="R1707" s="23">
        <v>0.0</v>
      </c>
      <c r="S1707" s="23" t="s">
        <v>63</v>
      </c>
      <c r="T1707" s="32" t="s">
        <v>63</v>
      </c>
      <c r="U1707" s="23" t="s">
        <v>63</v>
      </c>
      <c r="V1707" s="23" t="s">
        <v>63</v>
      </c>
      <c r="W1707" s="23" t="s">
        <v>63</v>
      </c>
      <c r="X1707" s="23" t="s">
        <v>63</v>
      </c>
      <c r="Y1707" s="35">
        <v>19.0</v>
      </c>
      <c r="Z1707" s="32">
        <v>0.3333</v>
      </c>
      <c r="AA1707" s="38"/>
      <c r="AB1707" s="38"/>
      <c r="AC1707" s="38"/>
      <c r="AD1707" s="38"/>
      <c r="AE1707" s="38"/>
      <c r="AF1707" s="38"/>
      <c r="AG1707" s="38"/>
      <c r="AH1707" s="38"/>
      <c r="AI1707" s="38"/>
      <c r="AJ1707" s="38"/>
      <c r="AK1707" s="38"/>
    </row>
    <row r="1708">
      <c r="A1708" s="99">
        <v>1707.0</v>
      </c>
      <c r="B1708" s="15"/>
      <c r="C1708" s="15"/>
      <c r="D1708" s="105">
        <v>1.0</v>
      </c>
      <c r="E1708" s="102">
        <v>31.0</v>
      </c>
      <c r="F1708" s="107">
        <v>47.0</v>
      </c>
      <c r="G1708" s="15" t="str">
        <f t="shared" si="1"/>
        <v>31047</v>
      </c>
      <c r="H1708" s="23" t="s">
        <v>562</v>
      </c>
      <c r="I1708" s="23" t="s">
        <v>79</v>
      </c>
      <c r="J1708" s="23" t="s">
        <v>624</v>
      </c>
      <c r="K1708" s="23" t="str">
        <f t="shared" si="28"/>
        <v>Dawson, NE</v>
      </c>
      <c r="L1708" s="23">
        <v>58.0</v>
      </c>
      <c r="M1708" s="23">
        <v>1.62</v>
      </c>
      <c r="N1708" s="23">
        <v>30.0</v>
      </c>
      <c r="O1708" s="23">
        <v>26.0</v>
      </c>
      <c r="P1708" s="23" t="s">
        <v>63</v>
      </c>
      <c r="Q1708" s="23">
        <v>37.0</v>
      </c>
      <c r="R1708" s="23">
        <v>9.0</v>
      </c>
      <c r="S1708" s="23" t="s">
        <v>63</v>
      </c>
      <c r="T1708" s="32">
        <v>0.42857142857142855</v>
      </c>
      <c r="U1708" s="23">
        <v>9.0</v>
      </c>
      <c r="V1708" s="23" t="s">
        <v>63</v>
      </c>
      <c r="W1708" s="23" t="s">
        <v>63</v>
      </c>
      <c r="X1708" s="23" t="s">
        <v>63</v>
      </c>
      <c r="Y1708" s="35">
        <v>39.0</v>
      </c>
      <c r="Z1708" s="32">
        <v>0.6842</v>
      </c>
      <c r="AA1708" s="38"/>
      <c r="AB1708" s="38"/>
      <c r="AC1708" s="38"/>
      <c r="AD1708" s="38"/>
      <c r="AE1708" s="38"/>
      <c r="AF1708" s="38"/>
      <c r="AG1708" s="38"/>
      <c r="AH1708" s="38"/>
      <c r="AI1708" s="38"/>
      <c r="AJ1708" s="38"/>
      <c r="AK1708" s="38"/>
    </row>
    <row r="1709">
      <c r="A1709" s="99">
        <v>1708.0</v>
      </c>
      <c r="B1709" s="15"/>
      <c r="C1709" s="15"/>
      <c r="D1709" s="105">
        <v>1.0</v>
      </c>
      <c r="E1709" s="102">
        <v>31.0</v>
      </c>
      <c r="F1709" s="107">
        <v>49.0</v>
      </c>
      <c r="G1709" s="15" t="str">
        <f t="shared" si="1"/>
        <v>31049</v>
      </c>
      <c r="H1709" s="23" t="s">
        <v>1477</v>
      </c>
      <c r="I1709" s="23" t="s">
        <v>79</v>
      </c>
      <c r="J1709" s="23" t="s">
        <v>624</v>
      </c>
      <c r="K1709" s="23" t="str">
        <f t="shared" si="28"/>
        <v>Deuel, NE</v>
      </c>
      <c r="L1709" s="23" t="s">
        <v>63</v>
      </c>
      <c r="M1709" s="23">
        <v>3.0</v>
      </c>
      <c r="N1709" s="23" t="s">
        <v>63</v>
      </c>
      <c r="O1709" s="23" t="s">
        <v>63</v>
      </c>
      <c r="P1709" s="23" t="s">
        <v>63</v>
      </c>
      <c r="Q1709" s="23">
        <v>1.0</v>
      </c>
      <c r="R1709" s="23">
        <v>0.0</v>
      </c>
      <c r="S1709" s="23" t="s">
        <v>63</v>
      </c>
      <c r="T1709" s="32" t="s">
        <v>63</v>
      </c>
      <c r="U1709" s="23" t="s">
        <v>63</v>
      </c>
      <c r="V1709" s="23" t="s">
        <v>63</v>
      </c>
      <c r="W1709" s="23" t="s">
        <v>63</v>
      </c>
      <c r="X1709" s="23" t="s">
        <v>63</v>
      </c>
      <c r="Y1709" s="35">
        <v>8.0</v>
      </c>
      <c r="Z1709" s="32">
        <v>1.0</v>
      </c>
      <c r="AA1709" s="38"/>
      <c r="AB1709" s="38"/>
      <c r="AC1709" s="38"/>
      <c r="AD1709" s="38"/>
      <c r="AE1709" s="38"/>
      <c r="AF1709" s="38"/>
      <c r="AG1709" s="38"/>
      <c r="AH1709" s="38"/>
      <c r="AI1709" s="38"/>
      <c r="AJ1709" s="38"/>
      <c r="AK1709" s="38"/>
    </row>
    <row r="1710">
      <c r="A1710" s="99">
        <v>1709.0</v>
      </c>
      <c r="B1710" s="15"/>
      <c r="C1710" s="15"/>
      <c r="D1710" s="105">
        <v>1.0</v>
      </c>
      <c r="E1710" s="102">
        <v>31.0</v>
      </c>
      <c r="F1710" s="107">
        <v>51.0</v>
      </c>
      <c r="G1710" s="15" t="str">
        <f t="shared" si="1"/>
        <v>31051</v>
      </c>
      <c r="H1710" s="23" t="s">
        <v>1478</v>
      </c>
      <c r="I1710" s="23" t="s">
        <v>79</v>
      </c>
      <c r="J1710" s="23" t="s">
        <v>624</v>
      </c>
      <c r="K1710" s="23" t="str">
        <f t="shared" si="28"/>
        <v>Dixon, NE</v>
      </c>
      <c r="L1710" s="23">
        <v>11.0</v>
      </c>
      <c r="M1710" s="23">
        <v>2.33</v>
      </c>
      <c r="N1710" s="23" t="s">
        <v>63</v>
      </c>
      <c r="O1710" s="23" t="s">
        <v>63</v>
      </c>
      <c r="P1710" s="23" t="s">
        <v>63</v>
      </c>
      <c r="Q1710" s="23">
        <v>3.0</v>
      </c>
      <c r="R1710" s="23">
        <v>0.0</v>
      </c>
      <c r="S1710" s="23" t="s">
        <v>63</v>
      </c>
      <c r="T1710" s="32" t="s">
        <v>63</v>
      </c>
      <c r="U1710" s="23">
        <v>0.0</v>
      </c>
      <c r="V1710" s="23" t="s">
        <v>63</v>
      </c>
      <c r="W1710" s="23" t="s">
        <v>63</v>
      </c>
      <c r="X1710" s="23" t="s">
        <v>63</v>
      </c>
      <c r="Y1710" s="35">
        <v>17.0</v>
      </c>
      <c r="Z1710" s="32">
        <v>1.0</v>
      </c>
      <c r="AA1710" s="38"/>
      <c r="AB1710" s="38"/>
      <c r="AC1710" s="38"/>
      <c r="AD1710" s="38"/>
      <c r="AE1710" s="38"/>
      <c r="AF1710" s="38"/>
      <c r="AG1710" s="38"/>
      <c r="AH1710" s="38"/>
      <c r="AI1710" s="38"/>
      <c r="AJ1710" s="38"/>
      <c r="AK1710" s="38"/>
    </row>
    <row r="1711">
      <c r="A1711" s="99">
        <v>1710.0</v>
      </c>
      <c r="B1711" s="15"/>
      <c r="C1711" s="15"/>
      <c r="D1711" s="105">
        <v>1.0</v>
      </c>
      <c r="E1711" s="102">
        <v>31.0</v>
      </c>
      <c r="F1711" s="107">
        <v>53.0</v>
      </c>
      <c r="G1711" s="15" t="str">
        <f t="shared" si="1"/>
        <v>31053</v>
      </c>
      <c r="H1711" s="23" t="s">
        <v>564</v>
      </c>
      <c r="I1711" s="23" t="s">
        <v>79</v>
      </c>
      <c r="J1711" s="23" t="s">
        <v>624</v>
      </c>
      <c r="K1711" s="23" t="str">
        <f t="shared" si="28"/>
        <v>Dodge, NE</v>
      </c>
      <c r="L1711" s="23">
        <v>111.0</v>
      </c>
      <c r="M1711" s="23">
        <v>1.71</v>
      </c>
      <c r="N1711" s="23">
        <v>30.0</v>
      </c>
      <c r="O1711" s="23">
        <v>78.0</v>
      </c>
      <c r="P1711" s="23" t="s">
        <v>63</v>
      </c>
      <c r="Q1711" s="23">
        <v>52.0</v>
      </c>
      <c r="R1711" s="23">
        <v>23.0</v>
      </c>
      <c r="S1711" s="23" t="s">
        <v>63</v>
      </c>
      <c r="T1711" s="32">
        <v>0.7941176470588235</v>
      </c>
      <c r="U1711" s="23">
        <v>35.0</v>
      </c>
      <c r="V1711" s="23" t="s">
        <v>63</v>
      </c>
      <c r="W1711" s="23" t="s">
        <v>63</v>
      </c>
      <c r="X1711" s="23" t="s">
        <v>63</v>
      </c>
      <c r="Y1711" s="35">
        <v>40.0</v>
      </c>
      <c r="Z1711" s="32">
        <v>0.9</v>
      </c>
      <c r="AA1711" s="38"/>
      <c r="AB1711" s="38"/>
      <c r="AC1711" s="38"/>
      <c r="AD1711" s="38"/>
      <c r="AE1711" s="38"/>
      <c r="AF1711" s="38"/>
      <c r="AG1711" s="38"/>
      <c r="AH1711" s="38"/>
      <c r="AI1711" s="38"/>
      <c r="AJ1711" s="38"/>
      <c r="AK1711" s="38"/>
    </row>
    <row r="1712">
      <c r="A1712" s="99">
        <v>1711.0</v>
      </c>
      <c r="B1712" s="15"/>
      <c r="C1712" s="15"/>
      <c r="D1712" s="105">
        <v>1.0</v>
      </c>
      <c r="E1712" s="102">
        <v>31.0</v>
      </c>
      <c r="F1712" s="107">
        <v>55.0</v>
      </c>
      <c r="G1712" s="15" t="str">
        <f t="shared" si="1"/>
        <v>31055</v>
      </c>
      <c r="H1712" s="23" t="s">
        <v>412</v>
      </c>
      <c r="I1712" s="23" t="s">
        <v>79</v>
      </c>
      <c r="J1712" s="23" t="s">
        <v>624</v>
      </c>
      <c r="K1712" s="23" t="str">
        <f t="shared" si="28"/>
        <v>Douglas, NE</v>
      </c>
      <c r="L1712" s="23">
        <v>1374.0</v>
      </c>
      <c r="M1712" s="23">
        <v>2.12</v>
      </c>
      <c r="N1712" s="23">
        <v>488.0</v>
      </c>
      <c r="O1712" s="23">
        <v>805.0</v>
      </c>
      <c r="P1712" s="23" t="s">
        <v>63</v>
      </c>
      <c r="Q1712" s="23">
        <v>908.0</v>
      </c>
      <c r="R1712" s="23">
        <v>313.0</v>
      </c>
      <c r="S1712" s="23" t="s">
        <v>63</v>
      </c>
      <c r="T1712" s="32">
        <v>0.5137318255250404</v>
      </c>
      <c r="U1712" s="23">
        <v>378.0</v>
      </c>
      <c r="V1712" s="23" t="s">
        <v>63</v>
      </c>
      <c r="W1712" s="23" t="s">
        <v>63</v>
      </c>
      <c r="X1712" s="23" t="s">
        <v>63</v>
      </c>
      <c r="Y1712" s="35">
        <v>300.0</v>
      </c>
      <c r="Z1712" s="32">
        <v>0.7611</v>
      </c>
      <c r="AA1712" s="38"/>
      <c r="AB1712" s="38"/>
      <c r="AC1712" s="38"/>
      <c r="AD1712" s="38"/>
      <c r="AE1712" s="38"/>
      <c r="AF1712" s="38"/>
      <c r="AG1712" s="38"/>
      <c r="AH1712" s="38"/>
      <c r="AI1712" s="38"/>
      <c r="AJ1712" s="38"/>
      <c r="AK1712" s="38"/>
    </row>
    <row r="1713">
      <c r="A1713" s="99">
        <v>1712.0</v>
      </c>
      <c r="B1713" s="15"/>
      <c r="C1713" s="15"/>
      <c r="D1713" s="105">
        <v>1.0</v>
      </c>
      <c r="E1713" s="102">
        <v>31.0</v>
      </c>
      <c r="F1713" s="107">
        <v>57.0</v>
      </c>
      <c r="G1713" s="15" t="str">
        <f t="shared" si="1"/>
        <v>31057</v>
      </c>
      <c r="H1713" s="23" t="s">
        <v>1479</v>
      </c>
      <c r="I1713" s="23" t="s">
        <v>79</v>
      </c>
      <c r="J1713" s="23" t="s">
        <v>624</v>
      </c>
      <c r="K1713" s="23" t="str">
        <f t="shared" si="28"/>
        <v>Dundy, NE</v>
      </c>
      <c r="L1713" s="23" t="s">
        <v>63</v>
      </c>
      <c r="M1713" s="23">
        <v>1.0</v>
      </c>
      <c r="N1713" s="23" t="s">
        <v>63</v>
      </c>
      <c r="O1713" s="23" t="s">
        <v>63</v>
      </c>
      <c r="P1713" s="23" t="s">
        <v>63</v>
      </c>
      <c r="Q1713" s="23">
        <v>1.0</v>
      </c>
      <c r="R1713" s="23">
        <v>0.0</v>
      </c>
      <c r="S1713" s="23" t="s">
        <v>63</v>
      </c>
      <c r="T1713" s="32" t="s">
        <v>63</v>
      </c>
      <c r="U1713" s="23">
        <v>0.0</v>
      </c>
      <c r="V1713" s="23" t="s">
        <v>63</v>
      </c>
      <c r="W1713" s="23" t="s">
        <v>63</v>
      </c>
      <c r="X1713" s="23" t="s">
        <v>63</v>
      </c>
      <c r="Y1713" s="35">
        <v>7.0</v>
      </c>
      <c r="Z1713" s="32">
        <v>0.0</v>
      </c>
      <c r="AA1713" s="38"/>
      <c r="AB1713" s="38"/>
      <c r="AC1713" s="38"/>
      <c r="AD1713" s="38"/>
      <c r="AE1713" s="38"/>
      <c r="AF1713" s="38"/>
      <c r="AG1713" s="38"/>
      <c r="AH1713" s="38"/>
      <c r="AI1713" s="38"/>
      <c r="AJ1713" s="38"/>
      <c r="AK1713" s="38"/>
    </row>
    <row r="1714">
      <c r="A1714" s="99">
        <v>1713.0</v>
      </c>
      <c r="B1714" s="15"/>
      <c r="C1714" s="15"/>
      <c r="D1714" s="105">
        <v>1.0</v>
      </c>
      <c r="E1714" s="102">
        <v>31.0</v>
      </c>
      <c r="F1714" s="107">
        <v>59.0</v>
      </c>
      <c r="G1714" s="15" t="str">
        <f t="shared" si="1"/>
        <v>31059</v>
      </c>
      <c r="H1714" s="23" t="s">
        <v>1310</v>
      </c>
      <c r="I1714" s="23" t="s">
        <v>79</v>
      </c>
      <c r="J1714" s="23" t="s">
        <v>624</v>
      </c>
      <c r="K1714" s="23" t="str">
        <f t="shared" si="28"/>
        <v>Fillmore, NE</v>
      </c>
      <c r="L1714" s="23" t="s">
        <v>63</v>
      </c>
      <c r="M1714" s="23">
        <v>2.33</v>
      </c>
      <c r="N1714" s="23" t="s">
        <v>63</v>
      </c>
      <c r="O1714" s="23" t="s">
        <v>63</v>
      </c>
      <c r="P1714" s="23" t="s">
        <v>63</v>
      </c>
      <c r="Q1714" s="23">
        <v>3.0</v>
      </c>
      <c r="R1714" s="23" t="s">
        <v>63</v>
      </c>
      <c r="S1714" s="23" t="s">
        <v>63</v>
      </c>
      <c r="T1714" s="32" t="s">
        <v>63</v>
      </c>
      <c r="U1714" s="23" t="s">
        <v>63</v>
      </c>
      <c r="V1714" s="23" t="s">
        <v>63</v>
      </c>
      <c r="W1714" s="23" t="s">
        <v>63</v>
      </c>
      <c r="X1714" s="23" t="s">
        <v>63</v>
      </c>
      <c r="Y1714" s="35">
        <v>15.0</v>
      </c>
      <c r="Z1714" s="32">
        <v>0.5</v>
      </c>
      <c r="AA1714" s="38"/>
      <c r="AB1714" s="38"/>
      <c r="AC1714" s="38"/>
      <c r="AD1714" s="38"/>
      <c r="AE1714" s="38"/>
      <c r="AF1714" s="38"/>
      <c r="AG1714" s="38"/>
      <c r="AH1714" s="38"/>
      <c r="AI1714" s="38"/>
      <c r="AJ1714" s="38"/>
      <c r="AK1714" s="38"/>
    </row>
    <row r="1715">
      <c r="A1715" s="99">
        <v>1714.0</v>
      </c>
      <c r="B1715" s="15"/>
      <c r="C1715" s="15"/>
      <c r="D1715" s="105">
        <v>1.0</v>
      </c>
      <c r="E1715" s="102">
        <v>31.0</v>
      </c>
      <c r="F1715" s="107">
        <v>61.0</v>
      </c>
      <c r="G1715" s="15" t="str">
        <f t="shared" si="1"/>
        <v>31061</v>
      </c>
      <c r="H1715" s="23" t="s">
        <v>136</v>
      </c>
      <c r="I1715" s="23" t="s">
        <v>79</v>
      </c>
      <c r="J1715" s="23" t="s">
        <v>624</v>
      </c>
      <c r="K1715" s="23" t="str">
        <f t="shared" si="28"/>
        <v>Franklin, NE</v>
      </c>
      <c r="L1715" s="23" t="s">
        <v>63</v>
      </c>
      <c r="M1715" s="23">
        <v>2.25</v>
      </c>
      <c r="N1715" s="23" t="s">
        <v>63</v>
      </c>
      <c r="O1715" s="23" t="s">
        <v>63</v>
      </c>
      <c r="P1715" s="23" t="s">
        <v>63</v>
      </c>
      <c r="Q1715" s="23">
        <v>4.0</v>
      </c>
      <c r="R1715" s="23" t="s">
        <v>63</v>
      </c>
      <c r="S1715" s="23" t="s">
        <v>63</v>
      </c>
      <c r="T1715" s="32" t="s">
        <v>63</v>
      </c>
      <c r="U1715" s="23" t="s">
        <v>63</v>
      </c>
      <c r="V1715" s="23" t="s">
        <v>63</v>
      </c>
      <c r="W1715" s="23" t="s">
        <v>63</v>
      </c>
      <c r="X1715" s="23" t="s">
        <v>63</v>
      </c>
      <c r="Y1715" s="35">
        <v>10.0</v>
      </c>
      <c r="Z1715" s="32">
        <v>1.0</v>
      </c>
      <c r="AA1715" s="38"/>
      <c r="AB1715" s="38"/>
      <c r="AC1715" s="38"/>
      <c r="AD1715" s="38"/>
      <c r="AE1715" s="38"/>
      <c r="AF1715" s="38"/>
      <c r="AG1715" s="38"/>
      <c r="AH1715" s="38"/>
      <c r="AI1715" s="38"/>
      <c r="AJ1715" s="38"/>
      <c r="AK1715" s="38"/>
    </row>
    <row r="1716">
      <c r="A1716" s="99">
        <v>1715.0</v>
      </c>
      <c r="B1716" s="15"/>
      <c r="C1716" s="15"/>
      <c r="D1716" s="105">
        <v>1.0</v>
      </c>
      <c r="E1716" s="102">
        <v>31.0</v>
      </c>
      <c r="F1716" s="107">
        <v>63.0</v>
      </c>
      <c r="G1716" s="15" t="str">
        <f t="shared" si="1"/>
        <v>31063</v>
      </c>
      <c r="H1716" s="23" t="s">
        <v>1480</v>
      </c>
      <c r="I1716" s="23" t="s">
        <v>79</v>
      </c>
      <c r="J1716" s="23" t="s">
        <v>624</v>
      </c>
      <c r="K1716" s="23" t="str">
        <f t="shared" si="28"/>
        <v>Frontier, NE</v>
      </c>
      <c r="L1716" s="23" t="s">
        <v>63</v>
      </c>
      <c r="M1716" s="23">
        <v>1.0</v>
      </c>
      <c r="N1716" s="23" t="s">
        <v>63</v>
      </c>
      <c r="O1716" s="23" t="s">
        <v>63</v>
      </c>
      <c r="P1716" s="23" t="s">
        <v>63</v>
      </c>
      <c r="Q1716" s="23">
        <v>3.0</v>
      </c>
      <c r="R1716" s="23">
        <v>0.0</v>
      </c>
      <c r="S1716" s="23" t="s">
        <v>63</v>
      </c>
      <c r="T1716" s="32" t="s">
        <v>63</v>
      </c>
      <c r="U1716" s="23" t="s">
        <v>63</v>
      </c>
      <c r="V1716" s="23" t="s">
        <v>63</v>
      </c>
      <c r="W1716" s="23" t="s">
        <v>63</v>
      </c>
      <c r="X1716" s="23" t="s">
        <v>63</v>
      </c>
      <c r="Y1716" s="35">
        <v>7.0</v>
      </c>
      <c r="Z1716" s="32">
        <v>0.0</v>
      </c>
      <c r="AA1716" s="38"/>
      <c r="AB1716" s="38"/>
      <c r="AC1716" s="38"/>
      <c r="AD1716" s="38"/>
      <c r="AE1716" s="38"/>
      <c r="AF1716" s="38"/>
      <c r="AG1716" s="38"/>
      <c r="AH1716" s="38"/>
      <c r="AI1716" s="38"/>
      <c r="AJ1716" s="38"/>
      <c r="AK1716" s="38"/>
    </row>
    <row r="1717">
      <c r="A1717" s="99">
        <v>1716.0</v>
      </c>
      <c r="B1717" s="15"/>
      <c r="C1717" s="15"/>
      <c r="D1717" s="105">
        <v>1.0</v>
      </c>
      <c r="E1717" s="102">
        <v>31.0</v>
      </c>
      <c r="F1717" s="107">
        <v>65.0</v>
      </c>
      <c r="G1717" s="15" t="str">
        <f t="shared" si="1"/>
        <v>31065</v>
      </c>
      <c r="H1717" s="23" t="s">
        <v>1481</v>
      </c>
      <c r="I1717" s="23" t="s">
        <v>79</v>
      </c>
      <c r="J1717" s="23" t="s">
        <v>624</v>
      </c>
      <c r="K1717" s="23" t="str">
        <f t="shared" si="28"/>
        <v>Furnas, NE</v>
      </c>
      <c r="L1717" s="23" t="s">
        <v>63</v>
      </c>
      <c r="M1717" s="23">
        <v>1.8</v>
      </c>
      <c r="N1717" s="23" t="s">
        <v>63</v>
      </c>
      <c r="O1717" s="23" t="s">
        <v>63</v>
      </c>
      <c r="P1717" s="23" t="s">
        <v>63</v>
      </c>
      <c r="Q1717" s="23">
        <v>5.0</v>
      </c>
      <c r="R1717" s="23">
        <v>0.0</v>
      </c>
      <c r="S1717" s="23" t="s">
        <v>63</v>
      </c>
      <c r="T1717" s="32" t="s">
        <v>63</v>
      </c>
      <c r="U1717" s="23" t="s">
        <v>63</v>
      </c>
      <c r="V1717" s="23" t="s">
        <v>63</v>
      </c>
      <c r="W1717" s="23" t="s">
        <v>63</v>
      </c>
      <c r="X1717" s="23" t="s">
        <v>63</v>
      </c>
      <c r="Y1717" s="35">
        <v>16.0</v>
      </c>
      <c r="Z1717" s="32">
        <v>0.5</v>
      </c>
      <c r="AA1717" s="38"/>
      <c r="AB1717" s="38"/>
      <c r="AC1717" s="38"/>
      <c r="AD1717" s="38"/>
      <c r="AE1717" s="38"/>
      <c r="AF1717" s="38"/>
      <c r="AG1717" s="38"/>
      <c r="AH1717" s="38"/>
      <c r="AI1717" s="38"/>
      <c r="AJ1717" s="38"/>
      <c r="AK1717" s="38"/>
    </row>
    <row r="1718">
      <c r="A1718" s="99">
        <v>1717.0</v>
      </c>
      <c r="B1718" s="15"/>
      <c r="C1718" s="15"/>
      <c r="D1718" s="105">
        <v>1.0</v>
      </c>
      <c r="E1718" s="102">
        <v>31.0</v>
      </c>
      <c r="F1718" s="107">
        <v>67.0</v>
      </c>
      <c r="G1718" s="15" t="str">
        <f t="shared" si="1"/>
        <v>31067</v>
      </c>
      <c r="H1718" s="23" t="s">
        <v>1482</v>
      </c>
      <c r="I1718" s="23" t="s">
        <v>79</v>
      </c>
      <c r="J1718" s="23" t="s">
        <v>624</v>
      </c>
      <c r="K1718" s="23" t="str">
        <f t="shared" si="28"/>
        <v>Gage, NE</v>
      </c>
      <c r="L1718" s="23">
        <v>17.0</v>
      </c>
      <c r="M1718" s="23">
        <v>2.35</v>
      </c>
      <c r="N1718" s="23" t="s">
        <v>63</v>
      </c>
      <c r="O1718" s="23">
        <v>10.0</v>
      </c>
      <c r="P1718" s="23" t="s">
        <v>63</v>
      </c>
      <c r="Q1718" s="23">
        <v>17.0</v>
      </c>
      <c r="R1718" s="23" t="s">
        <v>63</v>
      </c>
      <c r="S1718" s="23" t="s">
        <v>63</v>
      </c>
      <c r="T1718" s="32" t="s">
        <v>63</v>
      </c>
      <c r="U1718" s="23">
        <v>18.0</v>
      </c>
      <c r="V1718" s="23" t="s">
        <v>63</v>
      </c>
      <c r="W1718" s="23" t="s">
        <v>63</v>
      </c>
      <c r="X1718" s="23" t="s">
        <v>63</v>
      </c>
      <c r="Y1718" s="35">
        <v>41.0</v>
      </c>
      <c r="Z1718" s="32">
        <v>0.6923</v>
      </c>
      <c r="AA1718" s="38"/>
      <c r="AB1718" s="38"/>
      <c r="AC1718" s="38"/>
      <c r="AD1718" s="38"/>
      <c r="AE1718" s="38"/>
      <c r="AF1718" s="38"/>
      <c r="AG1718" s="38"/>
      <c r="AH1718" s="38"/>
      <c r="AI1718" s="38"/>
      <c r="AJ1718" s="38"/>
      <c r="AK1718" s="38"/>
    </row>
    <row r="1719">
      <c r="A1719" s="99">
        <v>1718.0</v>
      </c>
      <c r="B1719" s="15"/>
      <c r="C1719" s="15"/>
      <c r="D1719" s="105">
        <v>1.0</v>
      </c>
      <c r="E1719" s="102">
        <v>31.0</v>
      </c>
      <c r="F1719" s="107">
        <v>69.0</v>
      </c>
      <c r="G1719" s="15" t="str">
        <f t="shared" si="1"/>
        <v>31069</v>
      </c>
      <c r="H1719" s="23" t="s">
        <v>1483</v>
      </c>
      <c r="I1719" s="23" t="s">
        <v>79</v>
      </c>
      <c r="J1719" s="23" t="s">
        <v>624</v>
      </c>
      <c r="K1719" s="23" t="str">
        <f t="shared" si="28"/>
        <v>Garden, NE</v>
      </c>
      <c r="L1719" s="23" t="s">
        <v>63</v>
      </c>
      <c r="M1719" s="23">
        <v>1.33</v>
      </c>
      <c r="N1719" s="23" t="s">
        <v>63</v>
      </c>
      <c r="O1719" s="23" t="s">
        <v>63</v>
      </c>
      <c r="P1719" s="23" t="s">
        <v>63</v>
      </c>
      <c r="Q1719" s="23">
        <v>3.0</v>
      </c>
      <c r="R1719" s="23">
        <v>0.0</v>
      </c>
      <c r="S1719" s="23" t="s">
        <v>63</v>
      </c>
      <c r="T1719" s="32" t="s">
        <v>63</v>
      </c>
      <c r="U1719" s="23" t="s">
        <v>63</v>
      </c>
      <c r="V1719" s="23" t="s">
        <v>63</v>
      </c>
      <c r="W1719" s="23" t="s">
        <v>63</v>
      </c>
      <c r="X1719" s="23" t="s">
        <v>63</v>
      </c>
      <c r="Y1719" s="35">
        <v>8.0</v>
      </c>
      <c r="Z1719" s="32">
        <v>0.0</v>
      </c>
      <c r="AA1719" s="38"/>
      <c r="AB1719" s="38"/>
      <c r="AC1719" s="38"/>
      <c r="AD1719" s="38"/>
      <c r="AE1719" s="38"/>
      <c r="AF1719" s="38"/>
      <c r="AG1719" s="38"/>
      <c r="AH1719" s="38"/>
      <c r="AI1719" s="38"/>
      <c r="AJ1719" s="38"/>
      <c r="AK1719" s="38"/>
    </row>
    <row r="1720">
      <c r="A1720" s="99">
        <v>1719.0</v>
      </c>
      <c r="B1720" s="15"/>
      <c r="C1720" s="15"/>
      <c r="D1720" s="105">
        <v>1.0</v>
      </c>
      <c r="E1720" s="102">
        <v>31.0</v>
      </c>
      <c r="F1720" s="107">
        <v>71.0</v>
      </c>
      <c r="G1720" s="15" t="str">
        <f t="shared" si="1"/>
        <v>31071</v>
      </c>
      <c r="H1720" s="23" t="s">
        <v>417</v>
      </c>
      <c r="I1720" s="23" t="s">
        <v>79</v>
      </c>
      <c r="J1720" s="23" t="s">
        <v>624</v>
      </c>
      <c r="K1720" s="23" t="str">
        <f t="shared" si="28"/>
        <v>Garfield, NE</v>
      </c>
      <c r="L1720" s="23" t="s">
        <v>63</v>
      </c>
      <c r="M1720" s="23">
        <v>0.0</v>
      </c>
      <c r="N1720" s="23" t="s">
        <v>63</v>
      </c>
      <c r="O1720" s="23" t="s">
        <v>63</v>
      </c>
      <c r="P1720" s="23" t="s">
        <v>63</v>
      </c>
      <c r="Q1720" s="23">
        <v>0.0</v>
      </c>
      <c r="R1720" s="23">
        <v>0.0</v>
      </c>
      <c r="S1720" s="23" t="s">
        <v>63</v>
      </c>
      <c r="T1720" s="32" t="s">
        <v>63</v>
      </c>
      <c r="U1720" s="23" t="s">
        <v>63</v>
      </c>
      <c r="V1720" s="23" t="s">
        <v>63</v>
      </c>
      <c r="W1720" s="23" t="s">
        <v>63</v>
      </c>
      <c r="X1720" s="23" t="s">
        <v>63</v>
      </c>
      <c r="Y1720" s="35">
        <v>9.0</v>
      </c>
      <c r="Z1720" s="32">
        <v>0.5</v>
      </c>
      <c r="AA1720" s="38"/>
      <c r="AB1720" s="38"/>
      <c r="AC1720" s="38"/>
      <c r="AD1720" s="38"/>
      <c r="AE1720" s="38"/>
      <c r="AF1720" s="38"/>
      <c r="AG1720" s="38"/>
      <c r="AH1720" s="38"/>
      <c r="AI1720" s="38"/>
      <c r="AJ1720" s="38"/>
      <c r="AK1720" s="38"/>
    </row>
    <row r="1721">
      <c r="A1721" s="99">
        <v>1720.0</v>
      </c>
      <c r="B1721" s="15"/>
      <c r="C1721" s="15"/>
      <c r="D1721" s="105">
        <v>1.0</v>
      </c>
      <c r="E1721" s="102">
        <v>31.0</v>
      </c>
      <c r="F1721" s="107">
        <v>73.0</v>
      </c>
      <c r="G1721" s="15" t="str">
        <f t="shared" si="1"/>
        <v>31073</v>
      </c>
      <c r="H1721" s="23" t="s">
        <v>1484</v>
      </c>
      <c r="I1721" s="23" t="s">
        <v>79</v>
      </c>
      <c r="J1721" s="23" t="s">
        <v>624</v>
      </c>
      <c r="K1721" s="23" t="str">
        <f t="shared" si="28"/>
        <v>Gosper, NE</v>
      </c>
      <c r="L1721" s="23" t="s">
        <v>63</v>
      </c>
      <c r="M1721" s="23">
        <v>0.0</v>
      </c>
      <c r="N1721" s="23" t="s">
        <v>63</v>
      </c>
      <c r="O1721" s="23" t="s">
        <v>63</v>
      </c>
      <c r="P1721" s="23" t="s">
        <v>63</v>
      </c>
      <c r="Q1721" s="23">
        <v>0.0</v>
      </c>
      <c r="R1721" s="23">
        <v>0.0</v>
      </c>
      <c r="S1721" s="23" t="s">
        <v>63</v>
      </c>
      <c r="T1721" s="32" t="s">
        <v>63</v>
      </c>
      <c r="U1721" s="23">
        <v>0.0</v>
      </c>
      <c r="V1721" s="23" t="s">
        <v>63</v>
      </c>
      <c r="W1721" s="23" t="s">
        <v>63</v>
      </c>
      <c r="X1721" s="23" t="s">
        <v>63</v>
      </c>
      <c r="Y1721" s="35">
        <v>4.0</v>
      </c>
      <c r="Z1721" s="32" t="s">
        <v>63</v>
      </c>
      <c r="AA1721" s="38"/>
      <c r="AB1721" s="38"/>
      <c r="AC1721" s="38"/>
      <c r="AD1721" s="38"/>
      <c r="AE1721" s="38"/>
      <c r="AF1721" s="38"/>
      <c r="AG1721" s="38"/>
      <c r="AH1721" s="38"/>
      <c r="AI1721" s="38"/>
      <c r="AJ1721" s="38"/>
      <c r="AK1721" s="38"/>
    </row>
    <row r="1722">
      <c r="A1722" s="99">
        <v>1721.0</v>
      </c>
      <c r="B1722" s="15"/>
      <c r="C1722" s="15"/>
      <c r="D1722" s="105">
        <v>1.0</v>
      </c>
      <c r="E1722" s="102">
        <v>31.0</v>
      </c>
      <c r="F1722" s="107">
        <v>75.0</v>
      </c>
      <c r="G1722" s="15" t="str">
        <f t="shared" si="1"/>
        <v>31075</v>
      </c>
      <c r="H1722" s="23" t="s">
        <v>278</v>
      </c>
      <c r="I1722" s="23" t="s">
        <v>79</v>
      </c>
      <c r="J1722" s="23" t="s">
        <v>624</v>
      </c>
      <c r="K1722" s="23" t="str">
        <f t="shared" si="28"/>
        <v>Grant, NE</v>
      </c>
      <c r="L1722" s="23" t="s">
        <v>63</v>
      </c>
      <c r="M1722" s="23">
        <v>1.5</v>
      </c>
      <c r="N1722" s="23" t="s">
        <v>63</v>
      </c>
      <c r="O1722" s="23" t="s">
        <v>63</v>
      </c>
      <c r="P1722" s="23" t="s">
        <v>63</v>
      </c>
      <c r="Q1722" s="23">
        <v>2.0</v>
      </c>
      <c r="R1722" s="23">
        <v>0.0</v>
      </c>
      <c r="S1722" s="23" t="s">
        <v>63</v>
      </c>
      <c r="T1722" s="32" t="s">
        <v>63</v>
      </c>
      <c r="U1722" s="23" t="s">
        <v>63</v>
      </c>
      <c r="V1722" s="23" t="s">
        <v>63</v>
      </c>
      <c r="W1722" s="23" t="s">
        <v>63</v>
      </c>
      <c r="X1722" s="23" t="s">
        <v>63</v>
      </c>
      <c r="Y1722" s="35">
        <v>2.0</v>
      </c>
      <c r="Z1722" s="32">
        <v>1.0</v>
      </c>
      <c r="AA1722" s="38"/>
      <c r="AB1722" s="38"/>
      <c r="AC1722" s="38"/>
      <c r="AD1722" s="38"/>
      <c r="AE1722" s="38"/>
      <c r="AF1722" s="38"/>
      <c r="AG1722" s="38"/>
      <c r="AH1722" s="38"/>
      <c r="AI1722" s="38"/>
      <c r="AJ1722" s="38"/>
      <c r="AK1722" s="38"/>
    </row>
    <row r="1723">
      <c r="A1723" s="99">
        <v>1722.0</v>
      </c>
      <c r="B1723" s="15"/>
      <c r="C1723" s="15"/>
      <c r="D1723" s="105">
        <v>1.0</v>
      </c>
      <c r="E1723" s="102">
        <v>31.0</v>
      </c>
      <c r="F1723" s="107">
        <v>77.0</v>
      </c>
      <c r="G1723" s="15" t="str">
        <f t="shared" si="1"/>
        <v>31077</v>
      </c>
      <c r="H1723" s="23" t="s">
        <v>976</v>
      </c>
      <c r="I1723" s="23" t="s">
        <v>79</v>
      </c>
      <c r="J1723" s="23" t="s">
        <v>624</v>
      </c>
      <c r="K1723" s="23" t="str">
        <f t="shared" si="28"/>
        <v>Greeley, NE</v>
      </c>
      <c r="L1723" s="23" t="s">
        <v>63</v>
      </c>
      <c r="M1723" s="23">
        <v>1.0</v>
      </c>
      <c r="N1723" s="23" t="s">
        <v>63</v>
      </c>
      <c r="O1723" s="23" t="s">
        <v>63</v>
      </c>
      <c r="P1723" s="23" t="s">
        <v>63</v>
      </c>
      <c r="Q1723" s="23">
        <v>1.0</v>
      </c>
      <c r="R1723" s="23">
        <v>0.0</v>
      </c>
      <c r="S1723" s="23" t="s">
        <v>63</v>
      </c>
      <c r="T1723" s="32" t="s">
        <v>63</v>
      </c>
      <c r="U1723" s="23">
        <v>0.0</v>
      </c>
      <c r="V1723" s="23" t="s">
        <v>63</v>
      </c>
      <c r="W1723" s="23" t="s">
        <v>63</v>
      </c>
      <c r="X1723" s="23" t="s">
        <v>63</v>
      </c>
      <c r="Y1723" s="35">
        <v>9.0</v>
      </c>
      <c r="Z1723" s="32">
        <v>1.0</v>
      </c>
      <c r="AA1723" s="38"/>
      <c r="AB1723" s="38"/>
      <c r="AC1723" s="38"/>
      <c r="AD1723" s="38"/>
      <c r="AE1723" s="38"/>
      <c r="AF1723" s="38"/>
      <c r="AG1723" s="38"/>
      <c r="AH1723" s="38"/>
      <c r="AI1723" s="38"/>
      <c r="AJ1723" s="38"/>
      <c r="AK1723" s="38"/>
    </row>
    <row r="1724">
      <c r="A1724" s="99">
        <v>1723.0</v>
      </c>
      <c r="B1724" s="15"/>
      <c r="C1724" s="15"/>
      <c r="D1724" s="105">
        <v>1.0</v>
      </c>
      <c r="E1724" s="102">
        <v>31.0</v>
      </c>
      <c r="F1724" s="107">
        <v>79.0</v>
      </c>
      <c r="G1724" s="15" t="str">
        <f t="shared" si="1"/>
        <v>31079</v>
      </c>
      <c r="H1724" s="23" t="s">
        <v>586</v>
      </c>
      <c r="I1724" s="23" t="s">
        <v>79</v>
      </c>
      <c r="J1724" s="23" t="s">
        <v>624</v>
      </c>
      <c r="K1724" s="23" t="str">
        <f t="shared" si="28"/>
        <v>Hall, NE</v>
      </c>
      <c r="L1724" s="23">
        <v>117.0</v>
      </c>
      <c r="M1724" s="23">
        <v>2.08</v>
      </c>
      <c r="N1724" s="23">
        <v>39.0</v>
      </c>
      <c r="O1724" s="23">
        <v>73.0</v>
      </c>
      <c r="P1724" s="23" t="s">
        <v>63</v>
      </c>
      <c r="Q1724" s="23">
        <v>65.0</v>
      </c>
      <c r="R1724" s="23">
        <v>12.0</v>
      </c>
      <c r="S1724" s="23" t="s">
        <v>63</v>
      </c>
      <c r="T1724" s="32">
        <v>0.5070422535211268</v>
      </c>
      <c r="U1724" s="23">
        <v>17.0</v>
      </c>
      <c r="V1724" s="23" t="s">
        <v>63</v>
      </c>
      <c r="W1724" s="23" t="s">
        <v>63</v>
      </c>
      <c r="X1724" s="23" t="s">
        <v>63</v>
      </c>
      <c r="Y1724" s="35">
        <v>46.0</v>
      </c>
      <c r="Z1724" s="32">
        <v>0.7576</v>
      </c>
      <c r="AA1724" s="38"/>
      <c r="AB1724" s="38"/>
      <c r="AC1724" s="38"/>
      <c r="AD1724" s="38"/>
      <c r="AE1724" s="38"/>
      <c r="AF1724" s="38"/>
      <c r="AG1724" s="38"/>
      <c r="AH1724" s="38"/>
      <c r="AI1724" s="38"/>
      <c r="AJ1724" s="38"/>
      <c r="AK1724" s="38"/>
    </row>
    <row r="1725">
      <c r="A1725" s="99">
        <v>1724.0</v>
      </c>
      <c r="B1725" s="15"/>
      <c r="C1725" s="15"/>
      <c r="D1725" s="105">
        <v>1.0</v>
      </c>
      <c r="E1725" s="102">
        <v>31.0</v>
      </c>
      <c r="F1725" s="107">
        <v>81.0</v>
      </c>
      <c r="G1725" s="15" t="str">
        <f t="shared" si="1"/>
        <v>31081</v>
      </c>
      <c r="H1725" s="23" t="s">
        <v>497</v>
      </c>
      <c r="I1725" s="23" t="s">
        <v>79</v>
      </c>
      <c r="J1725" s="23" t="s">
        <v>624</v>
      </c>
      <c r="K1725" s="23" t="str">
        <f t="shared" si="28"/>
        <v>Hamilton, NE</v>
      </c>
      <c r="L1725" s="23">
        <v>10.0</v>
      </c>
      <c r="M1725" s="23">
        <v>1.43</v>
      </c>
      <c r="N1725" s="23" t="s">
        <v>63</v>
      </c>
      <c r="O1725" s="23" t="s">
        <v>63</v>
      </c>
      <c r="P1725" s="23" t="s">
        <v>63</v>
      </c>
      <c r="Q1725" s="23">
        <v>7.0</v>
      </c>
      <c r="R1725" s="23" t="s">
        <v>63</v>
      </c>
      <c r="S1725" s="23" t="s">
        <v>63</v>
      </c>
      <c r="T1725" s="32" t="s">
        <v>63</v>
      </c>
      <c r="U1725" s="23" t="s">
        <v>63</v>
      </c>
      <c r="V1725" s="23" t="s">
        <v>63</v>
      </c>
      <c r="W1725" s="23" t="s">
        <v>63</v>
      </c>
      <c r="X1725" s="23" t="s">
        <v>63</v>
      </c>
      <c r="Y1725" s="35">
        <v>30.0</v>
      </c>
      <c r="Z1725" s="32">
        <v>1.0</v>
      </c>
      <c r="AA1725" s="38"/>
      <c r="AB1725" s="38"/>
      <c r="AC1725" s="38"/>
      <c r="AD1725" s="38"/>
      <c r="AE1725" s="38"/>
      <c r="AF1725" s="38"/>
      <c r="AG1725" s="38"/>
      <c r="AH1725" s="38"/>
      <c r="AI1725" s="38"/>
      <c r="AJ1725" s="38"/>
      <c r="AK1725" s="38"/>
    </row>
    <row r="1726">
      <c r="A1726" s="99">
        <v>1725.0</v>
      </c>
      <c r="B1726" s="15"/>
      <c r="C1726" s="15"/>
      <c r="D1726" s="105">
        <v>1.0</v>
      </c>
      <c r="E1726" s="102">
        <v>31.0</v>
      </c>
      <c r="F1726" s="107">
        <v>83.0</v>
      </c>
      <c r="G1726" s="15" t="str">
        <f t="shared" si="1"/>
        <v>31083</v>
      </c>
      <c r="H1726" s="23" t="s">
        <v>1088</v>
      </c>
      <c r="I1726" s="23" t="s">
        <v>79</v>
      </c>
      <c r="J1726" s="23" t="s">
        <v>624</v>
      </c>
      <c r="K1726" s="23" t="str">
        <f t="shared" si="28"/>
        <v>Harlan, NE</v>
      </c>
      <c r="L1726" s="23" t="s">
        <v>63</v>
      </c>
      <c r="M1726" s="23">
        <v>2.0</v>
      </c>
      <c r="N1726" s="23" t="s">
        <v>63</v>
      </c>
      <c r="O1726" s="23" t="s">
        <v>63</v>
      </c>
      <c r="P1726" s="23" t="s">
        <v>63</v>
      </c>
      <c r="Q1726" s="23">
        <v>2.0</v>
      </c>
      <c r="R1726" s="23" t="s">
        <v>63</v>
      </c>
      <c r="S1726" s="23" t="s">
        <v>63</v>
      </c>
      <c r="T1726" s="32" t="s">
        <v>63</v>
      </c>
      <c r="U1726" s="23">
        <v>6.0</v>
      </c>
      <c r="V1726" s="23" t="s">
        <v>63</v>
      </c>
      <c r="W1726" s="23" t="s">
        <v>63</v>
      </c>
      <c r="X1726" s="23" t="s">
        <v>63</v>
      </c>
      <c r="Y1726" s="35">
        <v>6.0</v>
      </c>
      <c r="Z1726" s="32">
        <v>1.0</v>
      </c>
      <c r="AA1726" s="38"/>
      <c r="AB1726" s="38"/>
      <c r="AC1726" s="38"/>
      <c r="AD1726" s="38"/>
      <c r="AE1726" s="38"/>
      <c r="AF1726" s="38"/>
      <c r="AG1726" s="38"/>
      <c r="AH1726" s="38"/>
      <c r="AI1726" s="38"/>
      <c r="AJ1726" s="38"/>
      <c r="AK1726" s="38"/>
    </row>
    <row r="1727">
      <c r="A1727" s="99">
        <v>1726.0</v>
      </c>
      <c r="B1727" s="15"/>
      <c r="C1727" s="15"/>
      <c r="D1727" s="105">
        <v>1.0</v>
      </c>
      <c r="E1727" s="102">
        <v>31.0</v>
      </c>
      <c r="F1727" s="107">
        <v>85.0</v>
      </c>
      <c r="G1727" s="15" t="str">
        <f t="shared" si="1"/>
        <v>31085</v>
      </c>
      <c r="H1727" s="23" t="s">
        <v>1485</v>
      </c>
      <c r="I1727" s="23" t="s">
        <v>79</v>
      </c>
      <c r="J1727" s="23" t="s">
        <v>624</v>
      </c>
      <c r="K1727" s="23" t="str">
        <f t="shared" si="28"/>
        <v>Hayes, NE</v>
      </c>
      <c r="L1727" s="23" t="s">
        <v>63</v>
      </c>
      <c r="M1727" s="23">
        <v>0.0</v>
      </c>
      <c r="N1727" s="23" t="s">
        <v>63</v>
      </c>
      <c r="O1727" s="23" t="s">
        <v>63</v>
      </c>
      <c r="P1727" s="23" t="s">
        <v>63</v>
      </c>
      <c r="Q1727" s="23">
        <v>0.0</v>
      </c>
      <c r="R1727" s="23">
        <v>0.0</v>
      </c>
      <c r="S1727" s="23" t="s">
        <v>63</v>
      </c>
      <c r="T1727" s="32" t="s">
        <v>63</v>
      </c>
      <c r="U1727" s="23">
        <v>0.0</v>
      </c>
      <c r="V1727" s="23" t="s">
        <v>63</v>
      </c>
      <c r="W1727" s="23" t="s">
        <v>63</v>
      </c>
      <c r="X1727" s="23" t="s">
        <v>63</v>
      </c>
      <c r="Y1727" s="35">
        <v>1.0</v>
      </c>
      <c r="Z1727" s="32" t="s">
        <v>63</v>
      </c>
      <c r="AA1727" s="38"/>
      <c r="AB1727" s="38"/>
      <c r="AC1727" s="38"/>
      <c r="AD1727" s="38"/>
      <c r="AE1727" s="38"/>
      <c r="AF1727" s="38"/>
      <c r="AG1727" s="38"/>
      <c r="AH1727" s="38"/>
      <c r="AI1727" s="38"/>
      <c r="AJ1727" s="38"/>
      <c r="AK1727" s="38"/>
    </row>
    <row r="1728">
      <c r="A1728" s="99">
        <v>1727.0</v>
      </c>
      <c r="B1728" s="15"/>
      <c r="C1728" s="15"/>
      <c r="D1728" s="105">
        <v>1.0</v>
      </c>
      <c r="E1728" s="102">
        <v>31.0</v>
      </c>
      <c r="F1728" s="107">
        <v>87.0</v>
      </c>
      <c r="G1728" s="15" t="str">
        <f t="shared" si="1"/>
        <v>31087</v>
      </c>
      <c r="H1728" s="23" t="s">
        <v>1486</v>
      </c>
      <c r="I1728" s="23" t="s">
        <v>79</v>
      </c>
      <c r="J1728" s="23" t="s">
        <v>624</v>
      </c>
      <c r="K1728" s="23" t="str">
        <f t="shared" si="28"/>
        <v>Hitchcock, NE</v>
      </c>
      <c r="L1728" s="23" t="s">
        <v>63</v>
      </c>
      <c r="M1728" s="23">
        <v>2.0</v>
      </c>
      <c r="N1728" s="23" t="s">
        <v>63</v>
      </c>
      <c r="O1728" s="23" t="s">
        <v>63</v>
      </c>
      <c r="P1728" s="23" t="s">
        <v>63</v>
      </c>
      <c r="Q1728" s="23">
        <v>1.0</v>
      </c>
      <c r="R1728" s="23" t="s">
        <v>63</v>
      </c>
      <c r="S1728" s="23" t="s">
        <v>63</v>
      </c>
      <c r="T1728" s="32" t="s">
        <v>63</v>
      </c>
      <c r="U1728" s="23" t="s">
        <v>63</v>
      </c>
      <c r="V1728" s="23" t="s">
        <v>63</v>
      </c>
      <c r="W1728" s="23" t="s">
        <v>63</v>
      </c>
      <c r="X1728" s="23" t="s">
        <v>63</v>
      </c>
      <c r="Y1728" s="35">
        <v>7.0</v>
      </c>
      <c r="Z1728" s="32" t="s">
        <v>63</v>
      </c>
      <c r="AA1728" s="38"/>
      <c r="AB1728" s="38"/>
      <c r="AC1728" s="38"/>
      <c r="AD1728" s="38"/>
      <c r="AE1728" s="38"/>
      <c r="AF1728" s="38"/>
      <c r="AG1728" s="38"/>
      <c r="AH1728" s="38"/>
      <c r="AI1728" s="38"/>
      <c r="AJ1728" s="38"/>
      <c r="AK1728" s="38"/>
    </row>
    <row r="1729">
      <c r="A1729" s="99">
        <v>1728.0</v>
      </c>
      <c r="B1729" s="15"/>
      <c r="C1729" s="15"/>
      <c r="D1729" s="105">
        <v>1.0</v>
      </c>
      <c r="E1729" s="102">
        <v>31.0</v>
      </c>
      <c r="F1729" s="107">
        <v>89.0</v>
      </c>
      <c r="G1729" s="15" t="str">
        <f t="shared" si="1"/>
        <v>31089</v>
      </c>
      <c r="H1729" s="23" t="s">
        <v>1407</v>
      </c>
      <c r="I1729" s="23" t="s">
        <v>79</v>
      </c>
      <c r="J1729" s="23" t="s">
        <v>624</v>
      </c>
      <c r="K1729" s="23" t="str">
        <f t="shared" si="28"/>
        <v>Holt, NE</v>
      </c>
      <c r="L1729" s="23">
        <v>11.0</v>
      </c>
      <c r="M1729" s="23">
        <v>2.1</v>
      </c>
      <c r="N1729" s="23" t="s">
        <v>63</v>
      </c>
      <c r="O1729" s="23" t="s">
        <v>63</v>
      </c>
      <c r="P1729" s="23" t="s">
        <v>63</v>
      </c>
      <c r="Q1729" s="23">
        <v>10.0</v>
      </c>
      <c r="R1729" s="23" t="s">
        <v>63</v>
      </c>
      <c r="S1729" s="23" t="s">
        <v>63</v>
      </c>
      <c r="T1729" s="32" t="s">
        <v>63</v>
      </c>
      <c r="U1729" s="23">
        <v>6.0</v>
      </c>
      <c r="V1729" s="23" t="s">
        <v>63</v>
      </c>
      <c r="W1729" s="23" t="s">
        <v>63</v>
      </c>
      <c r="X1729" s="23" t="s">
        <v>63</v>
      </c>
      <c r="Y1729" s="35">
        <v>27.0</v>
      </c>
      <c r="Z1729" s="32">
        <v>0.8</v>
      </c>
      <c r="AA1729" s="38"/>
      <c r="AB1729" s="38"/>
      <c r="AC1729" s="38"/>
      <c r="AD1729" s="38"/>
      <c r="AE1729" s="38"/>
      <c r="AF1729" s="38"/>
      <c r="AG1729" s="38"/>
      <c r="AH1729" s="38"/>
      <c r="AI1729" s="38"/>
      <c r="AJ1729" s="38"/>
      <c r="AK1729" s="38"/>
    </row>
    <row r="1730">
      <c r="A1730" s="99">
        <v>1729.0</v>
      </c>
      <c r="B1730" s="15"/>
      <c r="C1730" s="15"/>
      <c r="D1730" s="105">
        <v>1.0</v>
      </c>
      <c r="E1730" s="102">
        <v>31.0</v>
      </c>
      <c r="F1730" s="107">
        <v>91.0</v>
      </c>
      <c r="G1730" s="15" t="str">
        <f t="shared" si="1"/>
        <v>31091</v>
      </c>
      <c r="H1730" s="23" t="s">
        <v>1487</v>
      </c>
      <c r="I1730" s="23" t="s">
        <v>79</v>
      </c>
      <c r="J1730" s="23" t="s">
        <v>624</v>
      </c>
      <c r="K1730" s="23" t="str">
        <f t="shared" si="28"/>
        <v>Hooker, NE</v>
      </c>
      <c r="L1730" s="23" t="s">
        <v>63</v>
      </c>
      <c r="M1730" s="23">
        <v>0.0</v>
      </c>
      <c r="N1730" s="23" t="s">
        <v>63</v>
      </c>
      <c r="O1730" s="23" t="s">
        <v>63</v>
      </c>
      <c r="P1730" s="23" t="s">
        <v>63</v>
      </c>
      <c r="Q1730" s="23">
        <v>0.0</v>
      </c>
      <c r="R1730" s="23">
        <v>0.0</v>
      </c>
      <c r="S1730" s="23" t="s">
        <v>63</v>
      </c>
      <c r="T1730" s="32" t="s">
        <v>63</v>
      </c>
      <c r="U1730" s="23">
        <v>0.0</v>
      </c>
      <c r="V1730" s="23" t="s">
        <v>63</v>
      </c>
      <c r="W1730" s="23" t="s">
        <v>63</v>
      </c>
      <c r="X1730" s="23" t="s">
        <v>63</v>
      </c>
      <c r="Y1730" s="35">
        <v>4.0</v>
      </c>
      <c r="Z1730" s="32" t="s">
        <v>63</v>
      </c>
      <c r="AA1730" s="38"/>
      <c r="AB1730" s="38"/>
      <c r="AC1730" s="38"/>
      <c r="AD1730" s="38"/>
      <c r="AE1730" s="38"/>
      <c r="AF1730" s="38"/>
      <c r="AG1730" s="38"/>
      <c r="AH1730" s="38"/>
      <c r="AI1730" s="38"/>
      <c r="AJ1730" s="38"/>
      <c r="AK1730" s="38"/>
    </row>
    <row r="1731">
      <c r="A1731" s="99">
        <v>1730.0</v>
      </c>
      <c r="B1731" s="15"/>
      <c r="C1731" s="15"/>
      <c r="D1731" s="105">
        <v>1.0</v>
      </c>
      <c r="E1731" s="102">
        <v>31.0</v>
      </c>
      <c r="F1731" s="107">
        <v>93.0</v>
      </c>
      <c r="G1731" s="15" t="str">
        <f t="shared" si="1"/>
        <v>31093</v>
      </c>
      <c r="H1731" s="23" t="s">
        <v>283</v>
      </c>
      <c r="I1731" s="23" t="s">
        <v>79</v>
      </c>
      <c r="J1731" s="23" t="s">
        <v>624</v>
      </c>
      <c r="K1731" s="23" t="str">
        <f t="shared" si="28"/>
        <v>Howard, NE</v>
      </c>
      <c r="L1731" s="23" t="s">
        <v>63</v>
      </c>
      <c r="M1731" s="23">
        <v>2.0</v>
      </c>
      <c r="N1731" s="23" t="s">
        <v>63</v>
      </c>
      <c r="O1731" s="23" t="s">
        <v>63</v>
      </c>
      <c r="P1731" s="23" t="s">
        <v>63</v>
      </c>
      <c r="Q1731" s="23">
        <v>5.0</v>
      </c>
      <c r="R1731" s="23" t="s">
        <v>63</v>
      </c>
      <c r="S1731" s="23" t="s">
        <v>63</v>
      </c>
      <c r="T1731" s="32" t="s">
        <v>63</v>
      </c>
      <c r="U1731" s="23" t="s">
        <v>63</v>
      </c>
      <c r="V1731" s="23" t="s">
        <v>63</v>
      </c>
      <c r="W1731" s="23" t="s">
        <v>63</v>
      </c>
      <c r="X1731" s="23" t="s">
        <v>63</v>
      </c>
      <c r="Y1731" s="35">
        <v>11.0</v>
      </c>
      <c r="Z1731" s="32">
        <v>1.0</v>
      </c>
      <c r="AA1731" s="38"/>
      <c r="AB1731" s="38"/>
      <c r="AC1731" s="38"/>
      <c r="AD1731" s="38"/>
      <c r="AE1731" s="38"/>
      <c r="AF1731" s="38"/>
      <c r="AG1731" s="38"/>
      <c r="AH1731" s="38"/>
      <c r="AI1731" s="38"/>
      <c r="AJ1731" s="38"/>
      <c r="AK1731" s="38"/>
    </row>
    <row r="1732">
      <c r="A1732" s="99">
        <v>1731.0</v>
      </c>
      <c r="B1732" s="15"/>
      <c r="C1732" s="15"/>
      <c r="D1732" s="105">
        <v>1.0</v>
      </c>
      <c r="E1732" s="102">
        <v>31.0</v>
      </c>
      <c r="F1732" s="107">
        <v>95.0</v>
      </c>
      <c r="G1732" s="15" t="str">
        <f t="shared" si="1"/>
        <v>31095</v>
      </c>
      <c r="H1732" s="23" t="s">
        <v>143</v>
      </c>
      <c r="I1732" s="23" t="s">
        <v>79</v>
      </c>
      <c r="J1732" s="23" t="s">
        <v>624</v>
      </c>
      <c r="K1732" s="23" t="str">
        <f t="shared" si="28"/>
        <v>Jefferson, NE</v>
      </c>
      <c r="L1732" s="23" t="s">
        <v>63</v>
      </c>
      <c r="M1732" s="23">
        <v>1.6</v>
      </c>
      <c r="N1732" s="23" t="s">
        <v>63</v>
      </c>
      <c r="O1732" s="23" t="s">
        <v>63</v>
      </c>
      <c r="P1732" s="23" t="s">
        <v>63</v>
      </c>
      <c r="Q1732" s="23">
        <v>10.0</v>
      </c>
      <c r="R1732" s="23">
        <v>0.0</v>
      </c>
      <c r="S1732" s="23" t="s">
        <v>63</v>
      </c>
      <c r="T1732" s="32" t="s">
        <v>63</v>
      </c>
      <c r="U1732" s="23">
        <v>10.0</v>
      </c>
      <c r="V1732" s="23" t="s">
        <v>63</v>
      </c>
      <c r="W1732" s="23" t="s">
        <v>63</v>
      </c>
      <c r="X1732" s="23" t="s">
        <v>63</v>
      </c>
      <c r="Y1732" s="35">
        <v>20.0</v>
      </c>
      <c r="Z1732" s="32">
        <v>0.8889</v>
      </c>
      <c r="AA1732" s="38"/>
      <c r="AB1732" s="38"/>
      <c r="AC1732" s="38"/>
      <c r="AD1732" s="38"/>
      <c r="AE1732" s="38"/>
      <c r="AF1732" s="38"/>
      <c r="AG1732" s="38"/>
      <c r="AH1732" s="38"/>
      <c r="AI1732" s="38"/>
      <c r="AJ1732" s="38"/>
      <c r="AK1732" s="38"/>
    </row>
    <row r="1733">
      <c r="A1733" s="99">
        <v>1732.0</v>
      </c>
      <c r="B1733" s="15"/>
      <c r="C1733" s="15"/>
      <c r="D1733" s="105">
        <v>1.0</v>
      </c>
      <c r="E1733" s="102">
        <v>31.0</v>
      </c>
      <c r="F1733" s="107">
        <v>97.0</v>
      </c>
      <c r="G1733" s="15" t="str">
        <f t="shared" si="1"/>
        <v>31097</v>
      </c>
      <c r="H1733" s="23" t="s">
        <v>288</v>
      </c>
      <c r="I1733" s="23" t="s">
        <v>79</v>
      </c>
      <c r="J1733" s="23" t="s">
        <v>624</v>
      </c>
      <c r="K1733" s="23" t="str">
        <f t="shared" si="28"/>
        <v>Johnson, NE</v>
      </c>
      <c r="L1733" s="23" t="s">
        <v>63</v>
      </c>
      <c r="M1733" s="23">
        <v>1.0</v>
      </c>
      <c r="N1733" s="23" t="s">
        <v>63</v>
      </c>
      <c r="O1733" s="23" t="s">
        <v>63</v>
      </c>
      <c r="P1733" s="23" t="s">
        <v>63</v>
      </c>
      <c r="Q1733" s="23">
        <v>2.0</v>
      </c>
      <c r="R1733" s="23" t="s">
        <v>63</v>
      </c>
      <c r="S1733" s="23" t="s">
        <v>63</v>
      </c>
      <c r="T1733" s="32" t="s">
        <v>63</v>
      </c>
      <c r="U1733" s="23" t="s">
        <v>63</v>
      </c>
      <c r="V1733" s="23" t="s">
        <v>63</v>
      </c>
      <c r="W1733" s="23" t="s">
        <v>63</v>
      </c>
      <c r="X1733" s="23" t="s">
        <v>63</v>
      </c>
      <c r="Y1733" s="35">
        <v>7.0</v>
      </c>
      <c r="Z1733" s="32">
        <v>0.5</v>
      </c>
      <c r="AA1733" s="38"/>
      <c r="AB1733" s="38"/>
      <c r="AC1733" s="38"/>
      <c r="AD1733" s="38"/>
      <c r="AE1733" s="38"/>
      <c r="AF1733" s="38"/>
      <c r="AG1733" s="38"/>
      <c r="AH1733" s="38"/>
      <c r="AI1733" s="38"/>
      <c r="AJ1733" s="38"/>
      <c r="AK1733" s="38"/>
    </row>
    <row r="1734">
      <c r="A1734" s="99">
        <v>1733.0</v>
      </c>
      <c r="B1734" s="15"/>
      <c r="C1734" s="15"/>
      <c r="D1734" s="105">
        <v>1.0</v>
      </c>
      <c r="E1734" s="102">
        <v>31.0</v>
      </c>
      <c r="F1734" s="107">
        <v>99.0</v>
      </c>
      <c r="G1734" s="15" t="str">
        <f t="shared" si="1"/>
        <v>31099</v>
      </c>
      <c r="H1734" s="23" t="s">
        <v>1488</v>
      </c>
      <c r="I1734" s="23" t="s">
        <v>79</v>
      </c>
      <c r="J1734" s="23" t="s">
        <v>624</v>
      </c>
      <c r="K1734" s="23" t="str">
        <f t="shared" si="28"/>
        <v>Kearney, NE</v>
      </c>
      <c r="L1734" s="23">
        <v>10.0</v>
      </c>
      <c r="M1734" s="23">
        <v>2.0</v>
      </c>
      <c r="N1734" s="23" t="s">
        <v>63</v>
      </c>
      <c r="O1734" s="23" t="s">
        <v>63</v>
      </c>
      <c r="P1734" s="23" t="s">
        <v>63</v>
      </c>
      <c r="Q1734" s="23">
        <v>5.0</v>
      </c>
      <c r="R1734" s="23" t="s">
        <v>63</v>
      </c>
      <c r="S1734" s="23" t="s">
        <v>63</v>
      </c>
      <c r="T1734" s="32" t="s">
        <v>63</v>
      </c>
      <c r="U1734" s="23" t="s">
        <v>63</v>
      </c>
      <c r="V1734" s="23" t="s">
        <v>63</v>
      </c>
      <c r="W1734" s="23" t="s">
        <v>63</v>
      </c>
      <c r="X1734" s="23" t="s">
        <v>63</v>
      </c>
      <c r="Y1734" s="35">
        <v>11.0</v>
      </c>
      <c r="Z1734" s="32">
        <v>0.5</v>
      </c>
      <c r="AA1734" s="38"/>
      <c r="AB1734" s="38"/>
      <c r="AC1734" s="38"/>
      <c r="AD1734" s="38"/>
      <c r="AE1734" s="38"/>
      <c r="AF1734" s="38"/>
      <c r="AG1734" s="38"/>
      <c r="AH1734" s="38"/>
      <c r="AI1734" s="38"/>
      <c r="AJ1734" s="38"/>
      <c r="AK1734" s="38"/>
    </row>
    <row r="1735">
      <c r="A1735" s="99">
        <v>1734.0</v>
      </c>
      <c r="B1735" s="15"/>
      <c r="C1735" s="15"/>
      <c r="D1735" s="105">
        <v>1.0</v>
      </c>
      <c r="E1735" s="102">
        <v>31.0</v>
      </c>
      <c r="F1735" s="107">
        <v>101.0</v>
      </c>
      <c r="G1735" s="15" t="str">
        <f t="shared" si="1"/>
        <v>31101</v>
      </c>
      <c r="H1735" s="23" t="s">
        <v>1489</v>
      </c>
      <c r="I1735" s="23" t="s">
        <v>79</v>
      </c>
      <c r="J1735" s="23" t="s">
        <v>624</v>
      </c>
      <c r="K1735" s="23" t="str">
        <f t="shared" si="28"/>
        <v>Keith, NE</v>
      </c>
      <c r="L1735" s="23">
        <v>25.0</v>
      </c>
      <c r="M1735" s="23">
        <v>2.63</v>
      </c>
      <c r="N1735" s="23" t="s">
        <v>63</v>
      </c>
      <c r="O1735" s="23">
        <v>18.0</v>
      </c>
      <c r="P1735" s="23" t="s">
        <v>63</v>
      </c>
      <c r="Q1735" s="23">
        <v>8.0</v>
      </c>
      <c r="R1735" s="23" t="s">
        <v>63</v>
      </c>
      <c r="S1735" s="23" t="s">
        <v>63</v>
      </c>
      <c r="T1735" s="32" t="s">
        <v>63</v>
      </c>
      <c r="U1735" s="23">
        <v>9.0</v>
      </c>
      <c r="V1735" s="23" t="s">
        <v>63</v>
      </c>
      <c r="W1735" s="23" t="s">
        <v>63</v>
      </c>
      <c r="X1735" s="23" t="s">
        <v>63</v>
      </c>
      <c r="Y1735" s="35">
        <v>21.0</v>
      </c>
      <c r="Z1735" s="32">
        <v>0.4444</v>
      </c>
      <c r="AA1735" s="38"/>
      <c r="AB1735" s="38"/>
      <c r="AC1735" s="38"/>
      <c r="AD1735" s="38"/>
      <c r="AE1735" s="38"/>
      <c r="AF1735" s="38"/>
      <c r="AG1735" s="38"/>
      <c r="AH1735" s="38"/>
      <c r="AI1735" s="38"/>
      <c r="AJ1735" s="38"/>
      <c r="AK1735" s="38"/>
    </row>
    <row r="1736">
      <c r="A1736" s="99">
        <v>1735.0</v>
      </c>
      <c r="B1736" s="15"/>
      <c r="C1736" s="15"/>
      <c r="D1736" s="105">
        <v>1.0</v>
      </c>
      <c r="E1736" s="102">
        <v>31.0</v>
      </c>
      <c r="F1736" s="107">
        <v>103.0</v>
      </c>
      <c r="G1736" s="15" t="str">
        <f t="shared" si="1"/>
        <v>31103</v>
      </c>
      <c r="H1736" s="23" t="s">
        <v>1490</v>
      </c>
      <c r="I1736" s="23" t="s">
        <v>79</v>
      </c>
      <c r="J1736" s="23" t="s">
        <v>624</v>
      </c>
      <c r="K1736" s="23" t="str">
        <f t="shared" si="28"/>
        <v>Keya Paha, NE</v>
      </c>
      <c r="L1736" s="23" t="s">
        <v>63</v>
      </c>
      <c r="M1736" s="23">
        <v>0.0</v>
      </c>
      <c r="N1736" s="23" t="s">
        <v>63</v>
      </c>
      <c r="O1736" s="23" t="s">
        <v>63</v>
      </c>
      <c r="P1736" s="23" t="s">
        <v>63</v>
      </c>
      <c r="Q1736" s="23">
        <v>0.0</v>
      </c>
      <c r="R1736" s="23">
        <v>0.0</v>
      </c>
      <c r="S1736" s="23" t="s">
        <v>63</v>
      </c>
      <c r="T1736" s="32" t="s">
        <v>63</v>
      </c>
      <c r="U1736" s="23">
        <v>0.0</v>
      </c>
      <c r="V1736" s="23" t="s">
        <v>63</v>
      </c>
      <c r="W1736" s="23" t="s">
        <v>63</v>
      </c>
      <c r="X1736" s="23" t="s">
        <v>63</v>
      </c>
      <c r="Y1736" s="35">
        <v>8.0</v>
      </c>
      <c r="Z1736" s="32" t="s">
        <v>63</v>
      </c>
      <c r="AA1736" s="38"/>
      <c r="AB1736" s="38"/>
      <c r="AC1736" s="38"/>
      <c r="AD1736" s="38"/>
      <c r="AE1736" s="38"/>
      <c r="AF1736" s="38"/>
      <c r="AG1736" s="38"/>
      <c r="AH1736" s="38"/>
      <c r="AI1736" s="38"/>
      <c r="AJ1736" s="38"/>
      <c r="AK1736" s="38"/>
    </row>
    <row r="1737">
      <c r="A1737" s="99">
        <v>1736.0</v>
      </c>
      <c r="B1737" s="15"/>
      <c r="C1737" s="15"/>
      <c r="D1737" s="105">
        <v>1.0</v>
      </c>
      <c r="E1737" s="102">
        <v>31.0</v>
      </c>
      <c r="F1737" s="107">
        <v>105.0</v>
      </c>
      <c r="G1737" s="15" t="str">
        <f t="shared" si="1"/>
        <v>31105</v>
      </c>
      <c r="H1737" s="23" t="s">
        <v>1491</v>
      </c>
      <c r="I1737" s="23" t="s">
        <v>79</v>
      </c>
      <c r="J1737" s="23" t="s">
        <v>624</v>
      </c>
      <c r="K1737" s="23" t="str">
        <f t="shared" si="28"/>
        <v>Kimball, NE</v>
      </c>
      <c r="L1737" s="23" t="s">
        <v>63</v>
      </c>
      <c r="M1737" s="23">
        <v>1.4</v>
      </c>
      <c r="N1737" s="23" t="s">
        <v>63</v>
      </c>
      <c r="O1737" s="23" t="s">
        <v>63</v>
      </c>
      <c r="P1737" s="23" t="s">
        <v>63</v>
      </c>
      <c r="Q1737" s="23">
        <v>5.0</v>
      </c>
      <c r="R1737" s="23">
        <v>0.0</v>
      </c>
      <c r="S1737" s="23" t="s">
        <v>63</v>
      </c>
      <c r="T1737" s="32" t="s">
        <v>63</v>
      </c>
      <c r="U1737" s="23" t="s">
        <v>63</v>
      </c>
      <c r="V1737" s="23" t="s">
        <v>63</v>
      </c>
      <c r="W1737" s="23" t="s">
        <v>63</v>
      </c>
      <c r="X1737" s="23" t="s">
        <v>63</v>
      </c>
      <c r="Y1737" s="35">
        <v>9.0</v>
      </c>
      <c r="Z1737" s="32">
        <v>1.0</v>
      </c>
      <c r="AA1737" s="38"/>
      <c r="AB1737" s="38"/>
      <c r="AC1737" s="38"/>
      <c r="AD1737" s="38"/>
      <c r="AE1737" s="38"/>
      <c r="AF1737" s="38"/>
      <c r="AG1737" s="38"/>
      <c r="AH1737" s="38"/>
      <c r="AI1737" s="38"/>
      <c r="AJ1737" s="38"/>
      <c r="AK1737" s="38"/>
    </row>
    <row r="1738">
      <c r="A1738" s="99">
        <v>1737.0</v>
      </c>
      <c r="B1738" s="15"/>
      <c r="C1738" s="15"/>
      <c r="D1738" s="105">
        <v>1.0</v>
      </c>
      <c r="E1738" s="102">
        <v>31.0</v>
      </c>
      <c r="F1738" s="107">
        <v>107.0</v>
      </c>
      <c r="G1738" s="15" t="str">
        <f t="shared" si="1"/>
        <v>31107</v>
      </c>
      <c r="H1738" s="23" t="s">
        <v>728</v>
      </c>
      <c r="I1738" s="23" t="s">
        <v>79</v>
      </c>
      <c r="J1738" s="23" t="s">
        <v>624</v>
      </c>
      <c r="K1738" s="23" t="str">
        <f t="shared" si="28"/>
        <v>Knox, NE</v>
      </c>
      <c r="L1738" s="23">
        <v>15.0</v>
      </c>
      <c r="M1738" s="23">
        <v>1.8</v>
      </c>
      <c r="N1738" s="23" t="s">
        <v>63</v>
      </c>
      <c r="O1738" s="23">
        <v>11.0</v>
      </c>
      <c r="P1738" s="23" t="s">
        <v>63</v>
      </c>
      <c r="Q1738" s="23">
        <v>10.0</v>
      </c>
      <c r="R1738" s="23" t="s">
        <v>63</v>
      </c>
      <c r="S1738" s="23" t="s">
        <v>63</v>
      </c>
      <c r="T1738" s="32" t="s">
        <v>63</v>
      </c>
      <c r="U1738" s="23" t="s">
        <v>63</v>
      </c>
      <c r="V1738" s="23" t="s">
        <v>63</v>
      </c>
      <c r="W1738" s="23" t="s">
        <v>63</v>
      </c>
      <c r="X1738" s="23" t="s">
        <v>63</v>
      </c>
      <c r="Y1738" s="35">
        <v>26.0</v>
      </c>
      <c r="Z1738" s="32">
        <v>0.5714</v>
      </c>
      <c r="AA1738" s="38"/>
      <c r="AB1738" s="38"/>
      <c r="AC1738" s="38"/>
      <c r="AD1738" s="38"/>
      <c r="AE1738" s="38"/>
      <c r="AF1738" s="38"/>
      <c r="AG1738" s="38"/>
      <c r="AH1738" s="38"/>
      <c r="AI1738" s="38"/>
      <c r="AJ1738" s="38"/>
      <c r="AK1738" s="38"/>
    </row>
    <row r="1739">
      <c r="A1739" s="99">
        <v>1738.0</v>
      </c>
      <c r="B1739" s="15"/>
      <c r="C1739" s="15"/>
      <c r="D1739" s="105">
        <v>1.0</v>
      </c>
      <c r="E1739" s="102">
        <v>31.0</v>
      </c>
      <c r="F1739" s="107">
        <v>109.0</v>
      </c>
      <c r="G1739" s="15" t="str">
        <f t="shared" si="1"/>
        <v>31109</v>
      </c>
      <c r="H1739" s="23" t="s">
        <v>650</v>
      </c>
      <c r="I1739" s="23" t="s">
        <v>79</v>
      </c>
      <c r="J1739" s="23" t="s">
        <v>624</v>
      </c>
      <c r="K1739" s="23" t="str">
        <f t="shared" si="28"/>
        <v>Lancaster, NE</v>
      </c>
      <c r="L1739" s="23">
        <v>497.0</v>
      </c>
      <c r="M1739" s="23">
        <v>1.97</v>
      </c>
      <c r="N1739" s="23">
        <v>184.0</v>
      </c>
      <c r="O1739" s="23">
        <v>277.0</v>
      </c>
      <c r="P1739" s="23" t="s">
        <v>63</v>
      </c>
      <c r="Q1739" s="23">
        <v>271.0</v>
      </c>
      <c r="R1739" s="23">
        <v>123.0</v>
      </c>
      <c r="S1739" s="23" t="s">
        <v>63</v>
      </c>
      <c r="T1739" s="32">
        <v>0.37719298245614036</v>
      </c>
      <c r="U1739" s="23">
        <v>226.0</v>
      </c>
      <c r="V1739" s="23" t="s">
        <v>63</v>
      </c>
      <c r="W1739" s="23" t="s">
        <v>63</v>
      </c>
      <c r="X1739" s="23" t="s">
        <v>63</v>
      </c>
      <c r="Y1739" s="35">
        <v>193.0</v>
      </c>
      <c r="Z1739" s="32">
        <v>0.6961</v>
      </c>
      <c r="AA1739" s="38"/>
      <c r="AB1739" s="38"/>
      <c r="AC1739" s="38"/>
      <c r="AD1739" s="38"/>
      <c r="AE1739" s="38"/>
      <c r="AF1739" s="38"/>
      <c r="AG1739" s="38"/>
      <c r="AH1739" s="38"/>
      <c r="AI1739" s="38"/>
      <c r="AJ1739" s="38"/>
      <c r="AK1739" s="38"/>
    </row>
    <row r="1740">
      <c r="A1740" s="99">
        <v>1739.0</v>
      </c>
      <c r="B1740" s="15"/>
      <c r="C1740" s="15"/>
      <c r="D1740" s="105">
        <v>1.0</v>
      </c>
      <c r="E1740" s="102">
        <v>31.0</v>
      </c>
      <c r="F1740" s="107">
        <v>111.0</v>
      </c>
      <c r="G1740" s="15" t="str">
        <f t="shared" si="1"/>
        <v>31111</v>
      </c>
      <c r="H1740" s="23" t="s">
        <v>290</v>
      </c>
      <c r="I1740" s="23" t="s">
        <v>79</v>
      </c>
      <c r="J1740" s="23" t="s">
        <v>624</v>
      </c>
      <c r="K1740" s="23" t="str">
        <f t="shared" si="28"/>
        <v>Lincoln, NE</v>
      </c>
      <c r="L1740" s="23">
        <v>140.0</v>
      </c>
      <c r="M1740" s="23">
        <v>1.98</v>
      </c>
      <c r="N1740" s="23">
        <v>33.0</v>
      </c>
      <c r="O1740" s="23">
        <v>100.0</v>
      </c>
      <c r="P1740" s="23" t="s">
        <v>63</v>
      </c>
      <c r="Q1740" s="23">
        <v>66.0</v>
      </c>
      <c r="R1740" s="23">
        <v>20.0</v>
      </c>
      <c r="S1740" s="23" t="s">
        <v>63</v>
      </c>
      <c r="T1740" s="32">
        <v>0.5904761904761905</v>
      </c>
      <c r="U1740" s="23">
        <v>33.0</v>
      </c>
      <c r="V1740" s="23" t="s">
        <v>63</v>
      </c>
      <c r="W1740" s="23" t="s">
        <v>63</v>
      </c>
      <c r="X1740" s="23" t="s">
        <v>63</v>
      </c>
      <c r="Y1740" s="35">
        <v>50.0</v>
      </c>
      <c r="Z1740" s="32">
        <v>0.7037</v>
      </c>
      <c r="AA1740" s="38"/>
      <c r="AB1740" s="38"/>
      <c r="AC1740" s="38"/>
      <c r="AD1740" s="38"/>
      <c r="AE1740" s="38"/>
      <c r="AF1740" s="38"/>
      <c r="AG1740" s="38"/>
      <c r="AH1740" s="38"/>
      <c r="AI1740" s="38"/>
      <c r="AJ1740" s="38"/>
      <c r="AK1740" s="38"/>
    </row>
    <row r="1741">
      <c r="A1741" s="99">
        <v>1740.0</v>
      </c>
      <c r="B1741" s="15"/>
      <c r="C1741" s="15"/>
      <c r="D1741" s="105">
        <v>1.0</v>
      </c>
      <c r="E1741" s="102">
        <v>31.0</v>
      </c>
      <c r="F1741" s="107">
        <v>113.0</v>
      </c>
      <c r="G1741" s="15" t="str">
        <f t="shared" si="1"/>
        <v>31113</v>
      </c>
      <c r="H1741" s="23" t="s">
        <v>293</v>
      </c>
      <c r="I1741" s="23" t="s">
        <v>79</v>
      </c>
      <c r="J1741" s="23" t="s">
        <v>624</v>
      </c>
      <c r="K1741" s="23" t="str">
        <f t="shared" si="28"/>
        <v>Logan, NE</v>
      </c>
      <c r="L1741" s="23" t="s">
        <v>63</v>
      </c>
      <c r="M1741" s="23">
        <v>0.0</v>
      </c>
      <c r="N1741" s="23" t="s">
        <v>63</v>
      </c>
      <c r="O1741" s="23" t="s">
        <v>63</v>
      </c>
      <c r="P1741" s="23" t="s">
        <v>63</v>
      </c>
      <c r="Q1741" s="23">
        <v>0.0</v>
      </c>
      <c r="R1741" s="23">
        <v>0.0</v>
      </c>
      <c r="S1741" s="23" t="s">
        <v>63</v>
      </c>
      <c r="T1741" s="32" t="s">
        <v>63</v>
      </c>
      <c r="U1741" s="23" t="s">
        <v>63</v>
      </c>
      <c r="V1741" s="23" t="s">
        <v>63</v>
      </c>
      <c r="W1741" s="23" t="s">
        <v>63</v>
      </c>
      <c r="X1741" s="23" t="s">
        <v>63</v>
      </c>
      <c r="Y1741" s="35">
        <v>3.0</v>
      </c>
      <c r="Z1741" s="32" t="s">
        <v>63</v>
      </c>
      <c r="AA1741" s="38"/>
      <c r="AB1741" s="38"/>
      <c r="AC1741" s="38"/>
      <c r="AD1741" s="38"/>
      <c r="AE1741" s="38"/>
      <c r="AF1741" s="38"/>
      <c r="AG1741" s="38"/>
      <c r="AH1741" s="38"/>
      <c r="AI1741" s="38"/>
      <c r="AJ1741" s="38"/>
      <c r="AK1741" s="38"/>
    </row>
    <row r="1742">
      <c r="A1742" s="99">
        <v>1741.0</v>
      </c>
      <c r="B1742" s="15"/>
      <c r="C1742" s="15"/>
      <c r="D1742" s="105">
        <v>1.0</v>
      </c>
      <c r="E1742" s="102">
        <v>31.0</v>
      </c>
      <c r="F1742" s="107">
        <v>115.0</v>
      </c>
      <c r="G1742" s="15" t="str">
        <f t="shared" si="1"/>
        <v>31115</v>
      </c>
      <c r="H1742" s="23" t="s">
        <v>1492</v>
      </c>
      <c r="I1742" s="23" t="s">
        <v>79</v>
      </c>
      <c r="J1742" s="23" t="s">
        <v>624</v>
      </c>
      <c r="K1742" s="23" t="str">
        <f t="shared" si="28"/>
        <v>Loup, NE</v>
      </c>
      <c r="L1742" s="23" t="s">
        <v>63</v>
      </c>
      <c r="M1742" s="23">
        <v>1.0</v>
      </c>
      <c r="N1742" s="23" t="s">
        <v>63</v>
      </c>
      <c r="O1742" s="23" t="s">
        <v>63</v>
      </c>
      <c r="P1742" s="23" t="s">
        <v>63</v>
      </c>
      <c r="Q1742" s="23">
        <v>1.0</v>
      </c>
      <c r="R1742" s="23">
        <v>0.0</v>
      </c>
      <c r="S1742" s="23" t="s">
        <v>63</v>
      </c>
      <c r="T1742" s="32" t="s">
        <v>63</v>
      </c>
      <c r="U1742" s="23" t="s">
        <v>63</v>
      </c>
      <c r="V1742" s="23" t="s">
        <v>63</v>
      </c>
      <c r="W1742" s="23" t="s">
        <v>63</v>
      </c>
      <c r="X1742" s="23" t="s">
        <v>63</v>
      </c>
      <c r="Y1742" s="35">
        <v>4.0</v>
      </c>
      <c r="Z1742" s="32" t="s">
        <v>63</v>
      </c>
      <c r="AA1742" s="38"/>
      <c r="AB1742" s="38"/>
      <c r="AC1742" s="38"/>
      <c r="AD1742" s="38"/>
      <c r="AE1742" s="38"/>
      <c r="AF1742" s="38"/>
      <c r="AG1742" s="38"/>
      <c r="AH1742" s="38"/>
      <c r="AI1742" s="38"/>
      <c r="AJ1742" s="38"/>
      <c r="AK1742" s="38"/>
    </row>
    <row r="1743">
      <c r="A1743" s="99">
        <v>1742.0</v>
      </c>
      <c r="B1743" s="15"/>
      <c r="C1743" s="15"/>
      <c r="D1743" s="105">
        <v>1.0</v>
      </c>
      <c r="E1743" s="102">
        <v>31.0</v>
      </c>
      <c r="F1743" s="107">
        <v>117.0</v>
      </c>
      <c r="G1743" s="15" t="str">
        <f t="shared" si="1"/>
        <v>31117</v>
      </c>
      <c r="H1743" s="23" t="s">
        <v>988</v>
      </c>
      <c r="I1743" s="23" t="s">
        <v>79</v>
      </c>
      <c r="J1743" s="23" t="s">
        <v>624</v>
      </c>
      <c r="K1743" s="23" t="str">
        <f t="shared" si="28"/>
        <v>McPherson, NE</v>
      </c>
      <c r="L1743" s="23">
        <v>67.0</v>
      </c>
      <c r="M1743" s="23">
        <v>0.0</v>
      </c>
      <c r="N1743" s="23">
        <v>21.0</v>
      </c>
      <c r="O1743" s="23">
        <v>43.0</v>
      </c>
      <c r="P1743" s="23" t="s">
        <v>63</v>
      </c>
      <c r="Q1743" s="23">
        <v>0.0</v>
      </c>
      <c r="R1743" s="23">
        <v>0.0</v>
      </c>
      <c r="S1743" s="23" t="s">
        <v>63</v>
      </c>
      <c r="T1743" s="32">
        <v>0.5737704918032787</v>
      </c>
      <c r="U1743" s="23">
        <v>0.0</v>
      </c>
      <c r="V1743" s="23" t="s">
        <v>63</v>
      </c>
      <c r="W1743" s="23" t="s">
        <v>63</v>
      </c>
      <c r="X1743" s="23" t="s">
        <v>63</v>
      </c>
      <c r="Y1743" s="35">
        <v>1.0</v>
      </c>
      <c r="Z1743" s="32" t="s">
        <v>63</v>
      </c>
      <c r="AA1743" s="38"/>
      <c r="AB1743" s="38"/>
      <c r="AC1743" s="38"/>
      <c r="AD1743" s="38"/>
      <c r="AE1743" s="38"/>
      <c r="AF1743" s="38"/>
      <c r="AG1743" s="38"/>
      <c r="AH1743" s="38"/>
      <c r="AI1743" s="38"/>
      <c r="AJ1743" s="38"/>
      <c r="AK1743" s="38"/>
    </row>
    <row r="1744">
      <c r="A1744" s="99">
        <v>1743.0</v>
      </c>
      <c r="B1744" s="15"/>
      <c r="C1744" s="15"/>
      <c r="D1744" s="105">
        <v>1.0</v>
      </c>
      <c r="E1744" s="102">
        <v>31.0</v>
      </c>
      <c r="F1744" s="107">
        <v>119.0</v>
      </c>
      <c r="G1744" s="15" t="str">
        <f t="shared" si="1"/>
        <v>31119</v>
      </c>
      <c r="H1744" s="23" t="s">
        <v>151</v>
      </c>
      <c r="I1744" s="23" t="s">
        <v>79</v>
      </c>
      <c r="J1744" s="23" t="s">
        <v>624</v>
      </c>
      <c r="K1744" s="23" t="str">
        <f t="shared" si="28"/>
        <v>Madison, NE</v>
      </c>
      <c r="L1744" s="23" t="s">
        <v>63</v>
      </c>
      <c r="M1744" s="23">
        <v>2.22</v>
      </c>
      <c r="N1744" s="23" t="s">
        <v>63</v>
      </c>
      <c r="O1744" s="23" t="s">
        <v>63</v>
      </c>
      <c r="P1744" s="23" t="s">
        <v>63</v>
      </c>
      <c r="Q1744" s="23">
        <v>41.0</v>
      </c>
      <c r="R1744" s="23">
        <v>7.0</v>
      </c>
      <c r="S1744" s="23" t="s">
        <v>63</v>
      </c>
      <c r="T1744" s="32" t="s">
        <v>63</v>
      </c>
      <c r="U1744" s="23">
        <v>20.0</v>
      </c>
      <c r="V1744" s="23" t="s">
        <v>63</v>
      </c>
      <c r="W1744" s="23" t="s">
        <v>63</v>
      </c>
      <c r="X1744" s="23" t="s">
        <v>63</v>
      </c>
      <c r="Y1744" s="35">
        <v>43.0</v>
      </c>
      <c r="Z1744" s="32">
        <v>0.6786</v>
      </c>
      <c r="AA1744" s="38"/>
      <c r="AB1744" s="38"/>
      <c r="AC1744" s="38"/>
      <c r="AD1744" s="38"/>
      <c r="AE1744" s="38"/>
      <c r="AF1744" s="38"/>
      <c r="AG1744" s="38"/>
      <c r="AH1744" s="38"/>
      <c r="AI1744" s="38"/>
      <c r="AJ1744" s="38"/>
      <c r="AK1744" s="38"/>
    </row>
    <row r="1745">
      <c r="A1745" s="99">
        <v>1744.0</v>
      </c>
      <c r="B1745" s="15"/>
      <c r="C1745" s="15"/>
      <c r="D1745" s="105">
        <v>1.0</v>
      </c>
      <c r="E1745" s="102">
        <v>31.0</v>
      </c>
      <c r="F1745" s="107">
        <v>121.0</v>
      </c>
      <c r="G1745" s="15" t="str">
        <f t="shared" si="1"/>
        <v>31121</v>
      </c>
      <c r="H1745" s="23" t="s">
        <v>1493</v>
      </c>
      <c r="I1745" s="23" t="s">
        <v>79</v>
      </c>
      <c r="J1745" s="23" t="s">
        <v>624</v>
      </c>
      <c r="K1745" s="23" t="str">
        <f t="shared" si="28"/>
        <v>Merrick, NE</v>
      </c>
      <c r="L1745" s="23" t="s">
        <v>63</v>
      </c>
      <c r="M1745" s="23">
        <v>2.33</v>
      </c>
      <c r="N1745" s="23" t="s">
        <v>63</v>
      </c>
      <c r="O1745" s="23" t="s">
        <v>63</v>
      </c>
      <c r="P1745" s="23" t="s">
        <v>63</v>
      </c>
      <c r="Q1745" s="23">
        <v>9.0</v>
      </c>
      <c r="R1745" s="23">
        <v>0.0</v>
      </c>
      <c r="S1745" s="23" t="s">
        <v>63</v>
      </c>
      <c r="T1745" s="32" t="s">
        <v>63</v>
      </c>
      <c r="U1745" s="23" t="s">
        <v>63</v>
      </c>
      <c r="V1745" s="23" t="s">
        <v>63</v>
      </c>
      <c r="W1745" s="23" t="s">
        <v>63</v>
      </c>
      <c r="X1745" s="23" t="s">
        <v>63</v>
      </c>
      <c r="Y1745" s="35">
        <v>16.0</v>
      </c>
      <c r="Z1745" s="32">
        <v>0.8</v>
      </c>
      <c r="AA1745" s="38"/>
      <c r="AB1745" s="38"/>
      <c r="AC1745" s="38"/>
      <c r="AD1745" s="38"/>
      <c r="AE1745" s="38"/>
      <c r="AF1745" s="38"/>
      <c r="AG1745" s="38"/>
      <c r="AH1745" s="38"/>
      <c r="AI1745" s="38"/>
      <c r="AJ1745" s="38"/>
      <c r="AK1745" s="38"/>
    </row>
    <row r="1746">
      <c r="A1746" s="99">
        <v>1745.0</v>
      </c>
      <c r="B1746" s="15"/>
      <c r="C1746" s="15"/>
      <c r="D1746" s="105">
        <v>1.0</v>
      </c>
      <c r="E1746" s="102">
        <v>31.0</v>
      </c>
      <c r="F1746" s="107">
        <v>123.0</v>
      </c>
      <c r="G1746" s="15" t="str">
        <f t="shared" si="1"/>
        <v>31123</v>
      </c>
      <c r="H1746" s="23" t="s">
        <v>1494</v>
      </c>
      <c r="I1746" s="23" t="s">
        <v>79</v>
      </c>
      <c r="J1746" s="23" t="s">
        <v>624</v>
      </c>
      <c r="K1746" s="23" t="str">
        <f t="shared" si="28"/>
        <v>Morrill, NE</v>
      </c>
      <c r="L1746" s="23" t="s">
        <v>63</v>
      </c>
      <c r="M1746" s="23">
        <v>1.4</v>
      </c>
      <c r="N1746" s="23" t="s">
        <v>63</v>
      </c>
      <c r="O1746" s="23" t="s">
        <v>63</v>
      </c>
      <c r="P1746" s="23" t="s">
        <v>63</v>
      </c>
      <c r="Q1746" s="23">
        <v>10.0</v>
      </c>
      <c r="R1746" s="23" t="s">
        <v>63</v>
      </c>
      <c r="S1746" s="23" t="s">
        <v>63</v>
      </c>
      <c r="T1746" s="32" t="s">
        <v>63</v>
      </c>
      <c r="U1746" s="23" t="s">
        <v>63</v>
      </c>
      <c r="V1746" s="23" t="s">
        <v>63</v>
      </c>
      <c r="W1746" s="23" t="s">
        <v>63</v>
      </c>
      <c r="X1746" s="23" t="s">
        <v>63</v>
      </c>
      <c r="Y1746" s="35">
        <v>12.0</v>
      </c>
      <c r="Z1746" s="32">
        <v>0.6</v>
      </c>
      <c r="AA1746" s="38"/>
      <c r="AB1746" s="38"/>
      <c r="AC1746" s="38"/>
      <c r="AD1746" s="38"/>
      <c r="AE1746" s="38"/>
      <c r="AF1746" s="38"/>
      <c r="AG1746" s="38"/>
      <c r="AH1746" s="38"/>
      <c r="AI1746" s="38"/>
      <c r="AJ1746" s="38"/>
      <c r="AK1746" s="38"/>
    </row>
    <row r="1747">
      <c r="A1747" s="99">
        <v>1746.0</v>
      </c>
      <c r="B1747" s="15"/>
      <c r="C1747" s="15"/>
      <c r="D1747" s="105">
        <v>1.0</v>
      </c>
      <c r="E1747" s="102">
        <v>31.0</v>
      </c>
      <c r="F1747" s="107">
        <v>125.0</v>
      </c>
      <c r="G1747" s="15" t="str">
        <f t="shared" si="1"/>
        <v>31125</v>
      </c>
      <c r="H1747" s="23" t="s">
        <v>1495</v>
      </c>
      <c r="I1747" s="23" t="s">
        <v>79</v>
      </c>
      <c r="J1747" s="23" t="s">
        <v>624</v>
      </c>
      <c r="K1747" s="23" t="str">
        <f t="shared" si="28"/>
        <v>Nance, NE</v>
      </c>
      <c r="L1747" s="23" t="s">
        <v>63</v>
      </c>
      <c r="M1747" s="23">
        <v>2.5</v>
      </c>
      <c r="N1747" s="23" t="s">
        <v>63</v>
      </c>
      <c r="O1747" s="23" t="s">
        <v>63</v>
      </c>
      <c r="P1747" s="23" t="s">
        <v>63</v>
      </c>
      <c r="Q1747" s="23">
        <v>2.0</v>
      </c>
      <c r="R1747" s="23">
        <v>0.0</v>
      </c>
      <c r="S1747" s="23" t="s">
        <v>63</v>
      </c>
      <c r="T1747" s="32" t="s">
        <v>63</v>
      </c>
      <c r="U1747" s="23" t="s">
        <v>63</v>
      </c>
      <c r="V1747" s="23" t="s">
        <v>63</v>
      </c>
      <c r="W1747" s="23" t="s">
        <v>63</v>
      </c>
      <c r="X1747" s="23" t="s">
        <v>63</v>
      </c>
      <c r="Y1747" s="35">
        <v>4.0</v>
      </c>
      <c r="Z1747" s="32">
        <v>0.6667</v>
      </c>
      <c r="AA1747" s="38"/>
      <c r="AB1747" s="38"/>
      <c r="AC1747" s="38"/>
      <c r="AD1747" s="38"/>
      <c r="AE1747" s="38"/>
      <c r="AF1747" s="38"/>
      <c r="AG1747" s="38"/>
      <c r="AH1747" s="38"/>
      <c r="AI1747" s="38"/>
      <c r="AJ1747" s="38"/>
      <c r="AK1747" s="38"/>
    </row>
    <row r="1748">
      <c r="A1748" s="99">
        <v>1747.0</v>
      </c>
      <c r="B1748" s="15"/>
      <c r="C1748" s="15"/>
      <c r="D1748" s="105">
        <v>1.0</v>
      </c>
      <c r="E1748" s="102">
        <v>31.0</v>
      </c>
      <c r="F1748" s="107">
        <v>127.0</v>
      </c>
      <c r="G1748" s="15" t="str">
        <f t="shared" si="1"/>
        <v>31127</v>
      </c>
      <c r="H1748" s="23" t="s">
        <v>992</v>
      </c>
      <c r="I1748" s="23" t="s">
        <v>79</v>
      </c>
      <c r="J1748" s="23" t="s">
        <v>624</v>
      </c>
      <c r="K1748" s="23" t="str">
        <f t="shared" si="28"/>
        <v>Nemaha, NE</v>
      </c>
      <c r="L1748" s="23" t="s">
        <v>63</v>
      </c>
      <c r="M1748" s="23">
        <v>1.8</v>
      </c>
      <c r="N1748" s="23" t="s">
        <v>63</v>
      </c>
      <c r="O1748" s="23" t="s">
        <v>63</v>
      </c>
      <c r="P1748" s="23" t="s">
        <v>63</v>
      </c>
      <c r="Q1748" s="23">
        <v>5.0</v>
      </c>
      <c r="R1748" s="23" t="s">
        <v>63</v>
      </c>
      <c r="S1748" s="23" t="s">
        <v>63</v>
      </c>
      <c r="T1748" s="32" t="s">
        <v>63</v>
      </c>
      <c r="U1748" s="23" t="s">
        <v>63</v>
      </c>
      <c r="V1748" s="23" t="s">
        <v>63</v>
      </c>
      <c r="W1748" s="23" t="s">
        <v>63</v>
      </c>
      <c r="X1748" s="23" t="s">
        <v>63</v>
      </c>
      <c r="Y1748" s="35">
        <v>13.0</v>
      </c>
      <c r="Z1748" s="32">
        <v>0.3333</v>
      </c>
      <c r="AA1748" s="38"/>
      <c r="AB1748" s="38"/>
      <c r="AC1748" s="38"/>
      <c r="AD1748" s="38"/>
      <c r="AE1748" s="38"/>
      <c r="AF1748" s="38"/>
      <c r="AG1748" s="38"/>
      <c r="AH1748" s="38"/>
      <c r="AI1748" s="38"/>
      <c r="AJ1748" s="38"/>
      <c r="AK1748" s="38"/>
    </row>
    <row r="1749">
      <c r="A1749" s="99">
        <v>1748.0</v>
      </c>
      <c r="B1749" s="15"/>
      <c r="C1749" s="15"/>
      <c r="D1749" s="105">
        <v>1.0</v>
      </c>
      <c r="E1749" s="102">
        <v>31.0</v>
      </c>
      <c r="F1749" s="107">
        <v>129.0</v>
      </c>
      <c r="G1749" s="15" t="str">
        <f t="shared" si="1"/>
        <v>31129</v>
      </c>
      <c r="H1749" s="23" t="s">
        <v>1496</v>
      </c>
      <c r="I1749" s="23" t="s">
        <v>79</v>
      </c>
      <c r="J1749" s="23" t="s">
        <v>624</v>
      </c>
      <c r="K1749" s="23" t="str">
        <f t="shared" si="28"/>
        <v>Nuckolls, NE</v>
      </c>
      <c r="L1749" s="23" t="s">
        <v>63</v>
      </c>
      <c r="M1749" s="23">
        <v>1.75</v>
      </c>
      <c r="N1749" s="23" t="s">
        <v>63</v>
      </c>
      <c r="O1749" s="23" t="s">
        <v>63</v>
      </c>
      <c r="P1749" s="23" t="s">
        <v>63</v>
      </c>
      <c r="Q1749" s="23">
        <v>4.0</v>
      </c>
      <c r="R1749" s="23" t="s">
        <v>63</v>
      </c>
      <c r="S1749" s="23" t="s">
        <v>63</v>
      </c>
      <c r="T1749" s="32" t="s">
        <v>63</v>
      </c>
      <c r="U1749" s="23" t="s">
        <v>63</v>
      </c>
      <c r="V1749" s="23" t="s">
        <v>63</v>
      </c>
      <c r="W1749" s="23" t="s">
        <v>63</v>
      </c>
      <c r="X1749" s="23" t="s">
        <v>63</v>
      </c>
      <c r="Y1749" s="35">
        <v>16.0</v>
      </c>
      <c r="Z1749" s="32">
        <v>1.0</v>
      </c>
      <c r="AA1749" s="38"/>
      <c r="AB1749" s="38"/>
      <c r="AC1749" s="38"/>
      <c r="AD1749" s="38"/>
      <c r="AE1749" s="38"/>
      <c r="AF1749" s="38"/>
      <c r="AG1749" s="38"/>
      <c r="AH1749" s="38"/>
      <c r="AI1749" s="38"/>
      <c r="AJ1749" s="38"/>
      <c r="AK1749" s="38"/>
    </row>
    <row r="1750">
      <c r="A1750" s="99">
        <v>1749.0</v>
      </c>
      <c r="B1750" s="15"/>
      <c r="C1750" s="15"/>
      <c r="D1750" s="105">
        <v>1.0</v>
      </c>
      <c r="E1750" s="102">
        <v>31.0</v>
      </c>
      <c r="F1750" s="107">
        <v>131.0</v>
      </c>
      <c r="G1750" s="15" t="str">
        <f t="shared" si="1"/>
        <v>31131</v>
      </c>
      <c r="H1750" s="23" t="s">
        <v>1497</v>
      </c>
      <c r="I1750" s="23" t="s">
        <v>79</v>
      </c>
      <c r="J1750" s="23" t="s">
        <v>624</v>
      </c>
      <c r="K1750" s="23" t="str">
        <f t="shared" si="28"/>
        <v>Otoe, NE</v>
      </c>
      <c r="L1750" s="23">
        <v>14.0</v>
      </c>
      <c r="M1750" s="23">
        <v>1.8</v>
      </c>
      <c r="N1750" s="23" t="s">
        <v>63</v>
      </c>
      <c r="O1750" s="23" t="s">
        <v>63</v>
      </c>
      <c r="P1750" s="23" t="s">
        <v>63</v>
      </c>
      <c r="Q1750" s="23">
        <v>15.0</v>
      </c>
      <c r="R1750" s="23">
        <v>7.0</v>
      </c>
      <c r="S1750" s="23" t="s">
        <v>63</v>
      </c>
      <c r="T1750" s="32" t="s">
        <v>63</v>
      </c>
      <c r="U1750" s="23">
        <v>8.0</v>
      </c>
      <c r="V1750" s="23" t="s">
        <v>63</v>
      </c>
      <c r="W1750" s="23" t="s">
        <v>63</v>
      </c>
      <c r="X1750" s="23" t="s">
        <v>63</v>
      </c>
      <c r="Y1750" s="35">
        <v>33.0</v>
      </c>
      <c r="Z1750" s="32">
        <v>0.5333</v>
      </c>
      <c r="AA1750" s="38"/>
      <c r="AB1750" s="38"/>
      <c r="AC1750" s="38"/>
      <c r="AD1750" s="38"/>
      <c r="AE1750" s="38"/>
      <c r="AF1750" s="38"/>
      <c r="AG1750" s="38"/>
      <c r="AH1750" s="38"/>
      <c r="AI1750" s="38"/>
      <c r="AJ1750" s="38"/>
      <c r="AK1750" s="38"/>
    </row>
    <row r="1751">
      <c r="A1751" s="99">
        <v>1750.0</v>
      </c>
      <c r="B1751" s="15"/>
      <c r="C1751" s="15"/>
      <c r="D1751" s="105">
        <v>1.0</v>
      </c>
      <c r="E1751" s="102">
        <v>31.0</v>
      </c>
      <c r="F1751" s="107">
        <v>133.0</v>
      </c>
      <c r="G1751" s="15" t="str">
        <f t="shared" si="1"/>
        <v>31133</v>
      </c>
      <c r="H1751" s="23" t="s">
        <v>999</v>
      </c>
      <c r="I1751" s="23" t="s">
        <v>79</v>
      </c>
      <c r="J1751" s="23" t="s">
        <v>624</v>
      </c>
      <c r="K1751" s="23" t="str">
        <f t="shared" si="28"/>
        <v>Pawnee, NE</v>
      </c>
      <c r="L1751" s="23" t="s">
        <v>63</v>
      </c>
      <c r="M1751" s="23">
        <v>1.2</v>
      </c>
      <c r="N1751" s="23" t="s">
        <v>63</v>
      </c>
      <c r="O1751" s="23" t="s">
        <v>63</v>
      </c>
      <c r="P1751" s="23" t="s">
        <v>63</v>
      </c>
      <c r="Q1751" s="23">
        <v>5.0</v>
      </c>
      <c r="R1751" s="23">
        <v>0.0</v>
      </c>
      <c r="S1751" s="23" t="s">
        <v>63</v>
      </c>
      <c r="T1751" s="32" t="s">
        <v>63</v>
      </c>
      <c r="U1751" s="23" t="s">
        <v>63</v>
      </c>
      <c r="V1751" s="23" t="s">
        <v>63</v>
      </c>
      <c r="W1751" s="23" t="s">
        <v>63</v>
      </c>
      <c r="X1751" s="23" t="s">
        <v>63</v>
      </c>
      <c r="Y1751" s="35">
        <v>6.0</v>
      </c>
      <c r="Z1751" s="32">
        <v>1.0</v>
      </c>
      <c r="AA1751" s="38"/>
      <c r="AB1751" s="38"/>
      <c r="AC1751" s="38"/>
      <c r="AD1751" s="38"/>
      <c r="AE1751" s="38"/>
      <c r="AF1751" s="38"/>
      <c r="AG1751" s="38"/>
      <c r="AH1751" s="38"/>
      <c r="AI1751" s="38"/>
      <c r="AJ1751" s="38"/>
      <c r="AK1751" s="38"/>
    </row>
    <row r="1752">
      <c r="A1752" s="99">
        <v>1751.0</v>
      </c>
      <c r="B1752" s="15"/>
      <c r="C1752" s="15"/>
      <c r="D1752" s="105">
        <v>1.0</v>
      </c>
      <c r="E1752" s="102">
        <v>31.0</v>
      </c>
      <c r="F1752" s="107">
        <v>135.0</v>
      </c>
      <c r="G1752" s="15" t="str">
        <f t="shared" si="1"/>
        <v>31135</v>
      </c>
      <c r="H1752" s="23" t="s">
        <v>1498</v>
      </c>
      <c r="I1752" s="23" t="s">
        <v>79</v>
      </c>
      <c r="J1752" s="23" t="s">
        <v>624</v>
      </c>
      <c r="K1752" s="23" t="str">
        <f t="shared" si="28"/>
        <v>Perkins, NE</v>
      </c>
      <c r="L1752" s="23" t="s">
        <v>63</v>
      </c>
      <c r="M1752" s="23">
        <v>2.5</v>
      </c>
      <c r="N1752" s="23" t="s">
        <v>63</v>
      </c>
      <c r="O1752" s="23" t="s">
        <v>63</v>
      </c>
      <c r="P1752" s="23" t="s">
        <v>63</v>
      </c>
      <c r="Q1752" s="23">
        <v>2.0</v>
      </c>
      <c r="R1752" s="23">
        <v>0.0</v>
      </c>
      <c r="S1752" s="23" t="s">
        <v>63</v>
      </c>
      <c r="T1752" s="32" t="s">
        <v>63</v>
      </c>
      <c r="U1752" s="23" t="s">
        <v>63</v>
      </c>
      <c r="V1752" s="23" t="s">
        <v>63</v>
      </c>
      <c r="W1752" s="23" t="s">
        <v>63</v>
      </c>
      <c r="X1752" s="23" t="s">
        <v>63</v>
      </c>
      <c r="Y1752" s="35">
        <v>10.0</v>
      </c>
      <c r="Z1752" s="32">
        <v>1.0</v>
      </c>
      <c r="AA1752" s="38"/>
      <c r="AB1752" s="38"/>
      <c r="AC1752" s="38"/>
      <c r="AD1752" s="38"/>
      <c r="AE1752" s="38"/>
      <c r="AF1752" s="38"/>
      <c r="AG1752" s="38"/>
      <c r="AH1752" s="38"/>
      <c r="AI1752" s="38"/>
      <c r="AJ1752" s="38"/>
      <c r="AK1752" s="38"/>
    </row>
    <row r="1753">
      <c r="A1753" s="99">
        <v>1752.0</v>
      </c>
      <c r="B1753" s="15"/>
      <c r="C1753" s="15"/>
      <c r="D1753" s="105">
        <v>1.0</v>
      </c>
      <c r="E1753" s="102">
        <v>31.0</v>
      </c>
      <c r="F1753" s="107">
        <v>137.0</v>
      </c>
      <c r="G1753" s="15" t="str">
        <f t="shared" si="1"/>
        <v>31137</v>
      </c>
      <c r="H1753" s="23" t="s">
        <v>1418</v>
      </c>
      <c r="I1753" s="23" t="s">
        <v>79</v>
      </c>
      <c r="J1753" s="23" t="s">
        <v>624</v>
      </c>
      <c r="K1753" s="23" t="str">
        <f t="shared" si="28"/>
        <v>Phelps, NE</v>
      </c>
      <c r="L1753" s="23">
        <v>16.0</v>
      </c>
      <c r="M1753" s="23">
        <v>1.92</v>
      </c>
      <c r="N1753" s="23" t="s">
        <v>63</v>
      </c>
      <c r="O1753" s="23">
        <v>10.0</v>
      </c>
      <c r="P1753" s="23" t="s">
        <v>63</v>
      </c>
      <c r="Q1753" s="23">
        <v>12.0</v>
      </c>
      <c r="R1753" s="23">
        <v>0.0</v>
      </c>
      <c r="S1753" s="23" t="s">
        <v>63</v>
      </c>
      <c r="T1753" s="32" t="s">
        <v>63</v>
      </c>
      <c r="U1753" s="23">
        <v>7.0</v>
      </c>
      <c r="V1753" s="23" t="s">
        <v>63</v>
      </c>
      <c r="W1753" s="23" t="s">
        <v>63</v>
      </c>
      <c r="X1753" s="23" t="s">
        <v>63</v>
      </c>
      <c r="Y1753" s="35">
        <v>20.0</v>
      </c>
      <c r="Z1753" s="32">
        <v>1.0</v>
      </c>
      <c r="AA1753" s="38"/>
      <c r="AB1753" s="38"/>
      <c r="AC1753" s="38"/>
      <c r="AD1753" s="38"/>
      <c r="AE1753" s="38"/>
      <c r="AF1753" s="38"/>
      <c r="AG1753" s="38"/>
      <c r="AH1753" s="38"/>
      <c r="AI1753" s="38"/>
      <c r="AJ1753" s="38"/>
      <c r="AK1753" s="38"/>
    </row>
    <row r="1754">
      <c r="A1754" s="99">
        <v>1753.0</v>
      </c>
      <c r="B1754" s="15"/>
      <c r="C1754" s="15"/>
      <c r="D1754" s="105">
        <v>1.0</v>
      </c>
      <c r="E1754" s="102">
        <v>31.0</v>
      </c>
      <c r="F1754" s="107">
        <v>139.0</v>
      </c>
      <c r="G1754" s="15" t="str">
        <f t="shared" si="1"/>
        <v>31139</v>
      </c>
      <c r="H1754" s="23" t="s">
        <v>473</v>
      </c>
      <c r="I1754" s="23" t="s">
        <v>79</v>
      </c>
      <c r="J1754" s="23" t="s">
        <v>624</v>
      </c>
      <c r="K1754" s="23" t="str">
        <f t="shared" si="28"/>
        <v>Pierce, NE</v>
      </c>
      <c r="L1754" s="23">
        <v>18.0</v>
      </c>
      <c r="M1754" s="23">
        <v>2.43</v>
      </c>
      <c r="N1754" s="23" t="s">
        <v>63</v>
      </c>
      <c r="O1754" s="23">
        <v>14.0</v>
      </c>
      <c r="P1754" s="23" t="s">
        <v>63</v>
      </c>
      <c r="Q1754" s="23">
        <v>7.0</v>
      </c>
      <c r="R1754" s="23" t="s">
        <v>63</v>
      </c>
      <c r="S1754" s="23" t="s">
        <v>63</v>
      </c>
      <c r="T1754" s="32" t="s">
        <v>63</v>
      </c>
      <c r="U1754" s="23" t="s">
        <v>63</v>
      </c>
      <c r="V1754" s="23" t="s">
        <v>63</v>
      </c>
      <c r="W1754" s="23" t="s">
        <v>63</v>
      </c>
      <c r="X1754" s="23" t="s">
        <v>63</v>
      </c>
      <c r="Y1754" s="35">
        <v>15.0</v>
      </c>
      <c r="Z1754" s="32">
        <v>0.6</v>
      </c>
      <c r="AA1754" s="38"/>
      <c r="AB1754" s="38"/>
      <c r="AC1754" s="38"/>
      <c r="AD1754" s="38"/>
      <c r="AE1754" s="38"/>
      <c r="AF1754" s="38"/>
      <c r="AG1754" s="38"/>
      <c r="AH1754" s="38"/>
      <c r="AI1754" s="38"/>
      <c r="AJ1754" s="38"/>
      <c r="AK1754" s="38"/>
    </row>
    <row r="1755">
      <c r="A1755" s="99">
        <v>1754.0</v>
      </c>
      <c r="B1755" s="15"/>
      <c r="C1755" s="15"/>
      <c r="D1755" s="105">
        <v>1.0</v>
      </c>
      <c r="E1755" s="102">
        <v>31.0</v>
      </c>
      <c r="F1755" s="107">
        <v>141.0</v>
      </c>
      <c r="G1755" s="15" t="str">
        <f t="shared" si="1"/>
        <v>31141</v>
      </c>
      <c r="H1755" s="23" t="s">
        <v>1419</v>
      </c>
      <c r="I1755" s="23" t="s">
        <v>79</v>
      </c>
      <c r="J1755" s="23" t="s">
        <v>624</v>
      </c>
      <c r="K1755" s="23" t="str">
        <f t="shared" si="28"/>
        <v>Platte, NE</v>
      </c>
      <c r="L1755" s="23">
        <v>54.0</v>
      </c>
      <c r="M1755" s="23">
        <v>2.23</v>
      </c>
      <c r="N1755" s="23">
        <v>19.0</v>
      </c>
      <c r="O1755" s="23">
        <v>35.0</v>
      </c>
      <c r="P1755" s="23" t="s">
        <v>63</v>
      </c>
      <c r="Q1755" s="23">
        <v>26.0</v>
      </c>
      <c r="R1755" s="23">
        <v>7.0</v>
      </c>
      <c r="S1755" s="23" t="s">
        <v>63</v>
      </c>
      <c r="T1755" s="32">
        <v>0.75</v>
      </c>
      <c r="U1755" s="23">
        <v>16.0</v>
      </c>
      <c r="V1755" s="23" t="s">
        <v>63</v>
      </c>
      <c r="W1755" s="23" t="s">
        <v>63</v>
      </c>
      <c r="X1755" s="23" t="s">
        <v>63</v>
      </c>
      <c r="Y1755" s="35">
        <v>41.0</v>
      </c>
      <c r="Z1755" s="32">
        <v>0.7222</v>
      </c>
      <c r="AA1755" s="38"/>
      <c r="AB1755" s="38"/>
      <c r="AC1755" s="38"/>
      <c r="AD1755" s="38"/>
      <c r="AE1755" s="38"/>
      <c r="AF1755" s="38"/>
      <c r="AG1755" s="38"/>
      <c r="AH1755" s="38"/>
      <c r="AI1755" s="38"/>
      <c r="AJ1755" s="38"/>
      <c r="AK1755" s="38"/>
    </row>
    <row r="1756">
      <c r="A1756" s="99">
        <v>1755.0</v>
      </c>
      <c r="B1756" s="15"/>
      <c r="C1756" s="15"/>
      <c r="D1756" s="105">
        <v>1.0</v>
      </c>
      <c r="E1756" s="102">
        <v>31.0</v>
      </c>
      <c r="F1756" s="107">
        <v>143.0</v>
      </c>
      <c r="G1756" s="15" t="str">
        <f t="shared" si="1"/>
        <v>31143</v>
      </c>
      <c r="H1756" s="23" t="s">
        <v>302</v>
      </c>
      <c r="I1756" s="23" t="s">
        <v>79</v>
      </c>
      <c r="J1756" s="23" t="s">
        <v>624</v>
      </c>
      <c r="K1756" s="23" t="str">
        <f t="shared" si="28"/>
        <v>Polk, NE</v>
      </c>
      <c r="L1756" s="23" t="s">
        <v>63</v>
      </c>
      <c r="M1756" s="23">
        <v>2.71</v>
      </c>
      <c r="N1756" s="23" t="s">
        <v>63</v>
      </c>
      <c r="O1756" s="23" t="s">
        <v>63</v>
      </c>
      <c r="P1756" s="23" t="s">
        <v>63</v>
      </c>
      <c r="Q1756" s="23">
        <v>7.0</v>
      </c>
      <c r="R1756" s="23">
        <v>0.0</v>
      </c>
      <c r="S1756" s="23" t="s">
        <v>63</v>
      </c>
      <c r="T1756" s="32" t="s">
        <v>63</v>
      </c>
      <c r="U1756" s="23" t="s">
        <v>63</v>
      </c>
      <c r="V1756" s="23" t="s">
        <v>63</v>
      </c>
      <c r="W1756" s="23" t="s">
        <v>63</v>
      </c>
      <c r="X1756" s="23" t="s">
        <v>63</v>
      </c>
      <c r="Y1756" s="35">
        <v>18.0</v>
      </c>
      <c r="Z1756" s="32">
        <v>0.4</v>
      </c>
      <c r="AA1756" s="38"/>
      <c r="AB1756" s="38"/>
      <c r="AC1756" s="38"/>
      <c r="AD1756" s="38"/>
      <c r="AE1756" s="38"/>
      <c r="AF1756" s="38"/>
      <c r="AG1756" s="38"/>
      <c r="AH1756" s="38"/>
      <c r="AI1756" s="38"/>
      <c r="AJ1756" s="38"/>
      <c r="AK1756" s="38"/>
    </row>
    <row r="1757">
      <c r="A1757" s="99">
        <v>1756.0</v>
      </c>
      <c r="B1757" s="15"/>
      <c r="C1757" s="15"/>
      <c r="D1757" s="105">
        <v>1.0</v>
      </c>
      <c r="E1757" s="102">
        <v>31.0</v>
      </c>
      <c r="F1757" s="107">
        <v>145.0</v>
      </c>
      <c r="G1757" s="15" t="str">
        <f t="shared" si="1"/>
        <v>31145</v>
      </c>
      <c r="H1757" s="23" t="s">
        <v>1499</v>
      </c>
      <c r="I1757" s="23" t="s">
        <v>79</v>
      </c>
      <c r="J1757" s="23" t="s">
        <v>624</v>
      </c>
      <c r="K1757" s="23" t="str">
        <f t="shared" si="28"/>
        <v>Red Willow, NE</v>
      </c>
      <c r="L1757" s="23">
        <v>16.0</v>
      </c>
      <c r="M1757" s="23">
        <v>1.87</v>
      </c>
      <c r="N1757" s="23" t="s">
        <v>63</v>
      </c>
      <c r="O1757" s="23" t="s">
        <v>63</v>
      </c>
      <c r="P1757" s="23" t="s">
        <v>63</v>
      </c>
      <c r="Q1757" s="23">
        <v>15.0</v>
      </c>
      <c r="R1757" s="23" t="s">
        <v>63</v>
      </c>
      <c r="S1757" s="23" t="s">
        <v>63</v>
      </c>
      <c r="T1757" s="32" t="s">
        <v>63</v>
      </c>
      <c r="U1757" s="23" t="s">
        <v>63</v>
      </c>
      <c r="V1757" s="23" t="s">
        <v>63</v>
      </c>
      <c r="W1757" s="23" t="s">
        <v>63</v>
      </c>
      <c r="X1757" s="23" t="s">
        <v>63</v>
      </c>
      <c r="Y1757" s="35">
        <v>18.0</v>
      </c>
      <c r="Z1757" s="32">
        <v>0.9</v>
      </c>
      <c r="AA1757" s="38"/>
      <c r="AB1757" s="38"/>
      <c r="AC1757" s="38"/>
      <c r="AD1757" s="38"/>
      <c r="AE1757" s="38"/>
      <c r="AF1757" s="38"/>
      <c r="AG1757" s="38"/>
      <c r="AH1757" s="38"/>
      <c r="AI1757" s="38"/>
      <c r="AJ1757" s="38"/>
      <c r="AK1757" s="38"/>
    </row>
    <row r="1758">
      <c r="A1758" s="99">
        <v>1757.0</v>
      </c>
      <c r="B1758" s="15"/>
      <c r="C1758" s="15"/>
      <c r="D1758" s="105">
        <v>1.0</v>
      </c>
      <c r="E1758" s="102">
        <v>31.0</v>
      </c>
      <c r="F1758" s="107">
        <v>147.0</v>
      </c>
      <c r="G1758" s="15" t="str">
        <f t="shared" si="1"/>
        <v>31147</v>
      </c>
      <c r="H1758" s="23" t="s">
        <v>1500</v>
      </c>
      <c r="I1758" s="23" t="s">
        <v>79</v>
      </c>
      <c r="J1758" s="23" t="s">
        <v>624</v>
      </c>
      <c r="K1758" s="23" t="str">
        <f t="shared" si="28"/>
        <v>Richardson, NE</v>
      </c>
      <c r="L1758" s="23">
        <v>10.0</v>
      </c>
      <c r="M1758" s="23">
        <v>1.43</v>
      </c>
      <c r="N1758" s="23" t="s">
        <v>63</v>
      </c>
      <c r="O1758" s="23" t="s">
        <v>63</v>
      </c>
      <c r="P1758" s="23" t="s">
        <v>63</v>
      </c>
      <c r="Q1758" s="23">
        <v>7.0</v>
      </c>
      <c r="R1758" s="23" t="s">
        <v>63</v>
      </c>
      <c r="S1758" s="23" t="s">
        <v>63</v>
      </c>
      <c r="T1758" s="32" t="s">
        <v>63</v>
      </c>
      <c r="U1758" s="23">
        <v>6.0</v>
      </c>
      <c r="V1758" s="23" t="s">
        <v>63</v>
      </c>
      <c r="W1758" s="23" t="s">
        <v>63</v>
      </c>
      <c r="X1758" s="23" t="s">
        <v>63</v>
      </c>
      <c r="Y1758" s="35">
        <v>31.0</v>
      </c>
      <c r="Z1758" s="32">
        <v>0.5</v>
      </c>
      <c r="AA1758" s="38"/>
      <c r="AB1758" s="38"/>
      <c r="AC1758" s="38"/>
      <c r="AD1758" s="38"/>
      <c r="AE1758" s="38"/>
      <c r="AF1758" s="38"/>
      <c r="AG1758" s="38"/>
      <c r="AH1758" s="38"/>
      <c r="AI1758" s="38"/>
      <c r="AJ1758" s="38"/>
      <c r="AK1758" s="38"/>
    </row>
    <row r="1759">
      <c r="A1759" s="99">
        <v>1758.0</v>
      </c>
      <c r="B1759" s="15"/>
      <c r="C1759" s="15"/>
      <c r="D1759" s="105">
        <v>1.0</v>
      </c>
      <c r="E1759" s="102">
        <v>31.0</v>
      </c>
      <c r="F1759" s="107">
        <v>149.0</v>
      </c>
      <c r="G1759" s="15" t="str">
        <f t="shared" si="1"/>
        <v>31149</v>
      </c>
      <c r="H1759" s="23" t="s">
        <v>1341</v>
      </c>
      <c r="I1759" s="23" t="s">
        <v>79</v>
      </c>
      <c r="J1759" s="23" t="s">
        <v>624</v>
      </c>
      <c r="K1759" s="23" t="str">
        <f t="shared" si="28"/>
        <v>Rock, NE</v>
      </c>
      <c r="L1759" s="23" t="s">
        <v>63</v>
      </c>
      <c r="M1759" s="23">
        <v>0.0</v>
      </c>
      <c r="N1759" s="23" t="s">
        <v>63</v>
      </c>
      <c r="O1759" s="23" t="s">
        <v>63</v>
      </c>
      <c r="P1759" s="23" t="s">
        <v>63</v>
      </c>
      <c r="Q1759" s="23">
        <v>0.0</v>
      </c>
      <c r="R1759" s="23">
        <v>0.0</v>
      </c>
      <c r="S1759" s="23" t="s">
        <v>63</v>
      </c>
      <c r="T1759" s="32" t="s">
        <v>63</v>
      </c>
      <c r="U1759" s="23">
        <v>0.0</v>
      </c>
      <c r="V1759" s="23" t="s">
        <v>63</v>
      </c>
      <c r="W1759" s="23" t="s">
        <v>63</v>
      </c>
      <c r="X1759" s="23" t="s">
        <v>63</v>
      </c>
      <c r="Y1759" s="35">
        <v>5.0</v>
      </c>
      <c r="Z1759" s="32" t="s">
        <v>63</v>
      </c>
      <c r="AA1759" s="38"/>
      <c r="AB1759" s="38"/>
      <c r="AC1759" s="38"/>
      <c r="AD1759" s="38"/>
      <c r="AE1759" s="38"/>
      <c r="AF1759" s="38"/>
      <c r="AG1759" s="38"/>
      <c r="AH1759" s="38"/>
      <c r="AI1759" s="38"/>
      <c r="AJ1759" s="38"/>
      <c r="AK1759" s="38"/>
    </row>
    <row r="1760">
      <c r="A1760" s="99">
        <v>1759.0</v>
      </c>
      <c r="B1760" s="15"/>
      <c r="C1760" s="15"/>
      <c r="D1760" s="105">
        <v>1.0</v>
      </c>
      <c r="E1760" s="102">
        <v>31.0</v>
      </c>
      <c r="F1760" s="107">
        <v>151.0</v>
      </c>
      <c r="G1760" s="15" t="str">
        <f t="shared" si="1"/>
        <v>31151</v>
      </c>
      <c r="H1760" s="23" t="s">
        <v>308</v>
      </c>
      <c r="I1760" s="23" t="s">
        <v>79</v>
      </c>
      <c r="J1760" s="23" t="s">
        <v>624</v>
      </c>
      <c r="K1760" s="23" t="str">
        <f t="shared" si="28"/>
        <v>Saline, NE</v>
      </c>
      <c r="L1760" s="23">
        <v>14.0</v>
      </c>
      <c r="M1760" s="23">
        <v>2.0</v>
      </c>
      <c r="N1760" s="23" t="s">
        <v>63</v>
      </c>
      <c r="O1760" s="23" t="s">
        <v>63</v>
      </c>
      <c r="P1760" s="23" t="s">
        <v>63</v>
      </c>
      <c r="Q1760" s="23">
        <v>7.0</v>
      </c>
      <c r="R1760" s="23" t="s">
        <v>63</v>
      </c>
      <c r="S1760" s="23" t="s">
        <v>63</v>
      </c>
      <c r="T1760" s="32" t="s">
        <v>63</v>
      </c>
      <c r="U1760" s="23" t="s">
        <v>63</v>
      </c>
      <c r="V1760" s="23" t="s">
        <v>63</v>
      </c>
      <c r="W1760" s="23" t="s">
        <v>63</v>
      </c>
      <c r="X1760" s="23" t="s">
        <v>63</v>
      </c>
      <c r="Y1760" s="35">
        <v>15.0</v>
      </c>
      <c r="Z1760" s="32">
        <v>0.6</v>
      </c>
      <c r="AA1760" s="38"/>
      <c r="AB1760" s="38"/>
      <c r="AC1760" s="38"/>
      <c r="AD1760" s="38"/>
      <c r="AE1760" s="38"/>
      <c r="AF1760" s="38"/>
      <c r="AG1760" s="38"/>
      <c r="AH1760" s="38"/>
      <c r="AI1760" s="38"/>
      <c r="AJ1760" s="38"/>
      <c r="AK1760" s="38"/>
    </row>
    <row r="1761">
      <c r="A1761" s="99">
        <v>1760.0</v>
      </c>
      <c r="B1761" s="15"/>
      <c r="C1761" s="15"/>
      <c r="D1761" s="105">
        <v>1.0</v>
      </c>
      <c r="E1761" s="102">
        <v>31.0</v>
      </c>
      <c r="F1761" s="107">
        <v>153.0</v>
      </c>
      <c r="G1761" s="15" t="str">
        <f t="shared" si="1"/>
        <v>31153</v>
      </c>
      <c r="H1761" s="23" t="s">
        <v>1501</v>
      </c>
      <c r="I1761" s="23" t="s">
        <v>79</v>
      </c>
      <c r="J1761" s="23" t="s">
        <v>624</v>
      </c>
      <c r="K1761" s="23" t="str">
        <f t="shared" si="28"/>
        <v>Sarpy, NE</v>
      </c>
      <c r="L1761" s="23">
        <v>195.0</v>
      </c>
      <c r="M1761" s="23">
        <v>2.14</v>
      </c>
      <c r="N1761" s="23">
        <v>50.0</v>
      </c>
      <c r="O1761" s="23">
        <v>138.0</v>
      </c>
      <c r="P1761" s="23" t="s">
        <v>63</v>
      </c>
      <c r="Q1761" s="23">
        <v>209.0</v>
      </c>
      <c r="R1761" s="23">
        <v>35.0</v>
      </c>
      <c r="S1761" s="23" t="s">
        <v>63</v>
      </c>
      <c r="T1761" s="32">
        <v>0.4044943820224719</v>
      </c>
      <c r="U1761" s="23">
        <v>27.0</v>
      </c>
      <c r="V1761" s="23" t="s">
        <v>63</v>
      </c>
      <c r="W1761" s="23" t="s">
        <v>63</v>
      </c>
      <c r="X1761" s="23" t="s">
        <v>63</v>
      </c>
      <c r="Y1761" s="35">
        <v>69.0</v>
      </c>
      <c r="Z1761" s="32">
        <v>0.6383</v>
      </c>
      <c r="AA1761" s="38"/>
      <c r="AB1761" s="38"/>
      <c r="AC1761" s="38"/>
      <c r="AD1761" s="38"/>
      <c r="AE1761" s="38"/>
      <c r="AF1761" s="38"/>
      <c r="AG1761" s="38"/>
      <c r="AH1761" s="38"/>
      <c r="AI1761" s="38"/>
      <c r="AJ1761" s="38"/>
      <c r="AK1761" s="38"/>
    </row>
    <row r="1762">
      <c r="A1762" s="99">
        <v>1761.0</v>
      </c>
      <c r="B1762" s="15"/>
      <c r="C1762" s="15"/>
      <c r="D1762" s="105">
        <v>1.0</v>
      </c>
      <c r="E1762" s="102">
        <v>31.0</v>
      </c>
      <c r="F1762" s="107">
        <v>155.0</v>
      </c>
      <c r="G1762" s="15" t="str">
        <f t="shared" si="1"/>
        <v>31155</v>
      </c>
      <c r="H1762" s="23" t="s">
        <v>1502</v>
      </c>
      <c r="I1762" s="23" t="s">
        <v>79</v>
      </c>
      <c r="J1762" s="23" t="s">
        <v>624</v>
      </c>
      <c r="K1762" s="23" t="str">
        <f t="shared" si="28"/>
        <v>Saunders, NE</v>
      </c>
      <c r="L1762" s="23">
        <v>29.0</v>
      </c>
      <c r="M1762" s="23">
        <v>1.9</v>
      </c>
      <c r="N1762" s="23" t="s">
        <v>63</v>
      </c>
      <c r="O1762" s="23">
        <v>20.0</v>
      </c>
      <c r="P1762" s="23" t="s">
        <v>63</v>
      </c>
      <c r="Q1762" s="23">
        <v>20.0</v>
      </c>
      <c r="R1762" s="23">
        <v>6.0</v>
      </c>
      <c r="S1762" s="23" t="s">
        <v>63</v>
      </c>
      <c r="T1762" s="32">
        <v>0.6666666666666666</v>
      </c>
      <c r="U1762" s="23">
        <v>7.0</v>
      </c>
      <c r="V1762" s="23" t="s">
        <v>63</v>
      </c>
      <c r="W1762" s="23" t="s">
        <v>63</v>
      </c>
      <c r="X1762" s="23" t="s">
        <v>63</v>
      </c>
      <c r="Y1762" s="35">
        <v>37.0</v>
      </c>
      <c r="Z1762" s="32">
        <v>0.6875</v>
      </c>
      <c r="AA1762" s="38"/>
      <c r="AB1762" s="38"/>
      <c r="AC1762" s="38"/>
      <c r="AD1762" s="38"/>
      <c r="AE1762" s="38"/>
      <c r="AF1762" s="38"/>
      <c r="AG1762" s="38"/>
      <c r="AH1762" s="38"/>
      <c r="AI1762" s="38"/>
      <c r="AJ1762" s="38"/>
      <c r="AK1762" s="38"/>
    </row>
    <row r="1763">
      <c r="A1763" s="99">
        <v>1762.0</v>
      </c>
      <c r="B1763" s="15"/>
      <c r="C1763" s="15"/>
      <c r="D1763" s="105">
        <v>1.0</v>
      </c>
      <c r="E1763" s="102">
        <v>31.0</v>
      </c>
      <c r="F1763" s="107">
        <v>157.0</v>
      </c>
      <c r="G1763" s="15" t="str">
        <f t="shared" si="1"/>
        <v>31157</v>
      </c>
      <c r="H1763" s="23" t="s">
        <v>1503</v>
      </c>
      <c r="I1763" s="23" t="s">
        <v>79</v>
      </c>
      <c r="J1763" s="23" t="s">
        <v>624</v>
      </c>
      <c r="K1763" s="23" t="str">
        <f t="shared" si="28"/>
        <v>Scotts Bluff, NE</v>
      </c>
      <c r="L1763" s="23">
        <v>77.0</v>
      </c>
      <c r="M1763" s="23">
        <v>1.91</v>
      </c>
      <c r="N1763" s="23">
        <v>26.0</v>
      </c>
      <c r="O1763" s="23">
        <v>44.0</v>
      </c>
      <c r="P1763" s="23" t="s">
        <v>63</v>
      </c>
      <c r="Q1763" s="23">
        <v>64.0</v>
      </c>
      <c r="R1763" s="23">
        <v>12.0</v>
      </c>
      <c r="S1763" s="23" t="s">
        <v>63</v>
      </c>
      <c r="T1763" s="32">
        <v>0.3404255319148936</v>
      </c>
      <c r="U1763" s="23">
        <v>20.0</v>
      </c>
      <c r="V1763" s="23" t="s">
        <v>63</v>
      </c>
      <c r="W1763" s="23" t="s">
        <v>63</v>
      </c>
      <c r="X1763" s="23" t="s">
        <v>63</v>
      </c>
      <c r="Y1763" s="35">
        <v>54.0</v>
      </c>
      <c r="Z1763" s="32">
        <v>0.6053</v>
      </c>
      <c r="AA1763" s="38"/>
      <c r="AB1763" s="38"/>
      <c r="AC1763" s="38"/>
      <c r="AD1763" s="38"/>
      <c r="AE1763" s="38"/>
      <c r="AF1763" s="38"/>
      <c r="AG1763" s="38"/>
      <c r="AH1763" s="38"/>
      <c r="AI1763" s="38"/>
      <c r="AJ1763" s="38"/>
      <c r="AK1763" s="38"/>
    </row>
    <row r="1764">
      <c r="A1764" s="99">
        <v>1763.0</v>
      </c>
      <c r="B1764" s="15"/>
      <c r="C1764" s="15"/>
      <c r="D1764" s="105">
        <v>1.0</v>
      </c>
      <c r="E1764" s="102">
        <v>31.0</v>
      </c>
      <c r="F1764" s="107">
        <v>159.0</v>
      </c>
      <c r="G1764" s="15" t="str">
        <f t="shared" si="1"/>
        <v>31159</v>
      </c>
      <c r="H1764" s="23" t="s">
        <v>1008</v>
      </c>
      <c r="I1764" s="23" t="s">
        <v>79</v>
      </c>
      <c r="J1764" s="23" t="s">
        <v>624</v>
      </c>
      <c r="K1764" s="23" t="str">
        <f t="shared" si="28"/>
        <v>Seward, NE</v>
      </c>
      <c r="L1764" s="23">
        <v>27.0</v>
      </c>
      <c r="M1764" s="23">
        <v>1.95</v>
      </c>
      <c r="N1764" s="23" t="s">
        <v>63</v>
      </c>
      <c r="O1764" s="23">
        <v>17.0</v>
      </c>
      <c r="P1764" s="23" t="s">
        <v>63</v>
      </c>
      <c r="Q1764" s="23">
        <v>20.0</v>
      </c>
      <c r="R1764" s="23" t="s">
        <v>63</v>
      </c>
      <c r="S1764" s="23" t="s">
        <v>63</v>
      </c>
      <c r="T1764" s="32" t="s">
        <v>63</v>
      </c>
      <c r="U1764" s="23">
        <v>12.0</v>
      </c>
      <c r="V1764" s="23" t="s">
        <v>63</v>
      </c>
      <c r="W1764" s="23" t="s">
        <v>63</v>
      </c>
      <c r="X1764" s="23" t="s">
        <v>63</v>
      </c>
      <c r="Y1764" s="35">
        <v>36.0</v>
      </c>
      <c r="Z1764" s="32">
        <v>0.7692</v>
      </c>
      <c r="AA1764" s="38"/>
      <c r="AB1764" s="38"/>
      <c r="AC1764" s="38"/>
      <c r="AD1764" s="38"/>
      <c r="AE1764" s="38"/>
      <c r="AF1764" s="38"/>
      <c r="AG1764" s="38"/>
      <c r="AH1764" s="38"/>
      <c r="AI1764" s="38"/>
      <c r="AJ1764" s="38"/>
      <c r="AK1764" s="38"/>
    </row>
    <row r="1765">
      <c r="A1765" s="99">
        <v>1764.0</v>
      </c>
      <c r="B1765" s="15"/>
      <c r="C1765" s="15"/>
      <c r="D1765" s="105">
        <v>1.0</v>
      </c>
      <c r="E1765" s="102">
        <v>31.0</v>
      </c>
      <c r="F1765" s="107">
        <v>161.0</v>
      </c>
      <c r="G1765" s="15" t="str">
        <f t="shared" si="1"/>
        <v>31161</v>
      </c>
      <c r="H1765" s="23" t="s">
        <v>1010</v>
      </c>
      <c r="I1765" s="23" t="s">
        <v>79</v>
      </c>
      <c r="J1765" s="23" t="s">
        <v>624</v>
      </c>
      <c r="K1765" s="23" t="str">
        <f t="shared" si="28"/>
        <v>Sheridan, NE</v>
      </c>
      <c r="L1765" s="23">
        <v>12.0</v>
      </c>
      <c r="M1765" s="23">
        <v>2.33</v>
      </c>
      <c r="N1765" s="23" t="s">
        <v>63</v>
      </c>
      <c r="O1765" s="23">
        <v>10.0</v>
      </c>
      <c r="P1765" s="23" t="s">
        <v>63</v>
      </c>
      <c r="Q1765" s="23">
        <v>3.0</v>
      </c>
      <c r="R1765" s="23">
        <v>0.0</v>
      </c>
      <c r="S1765" s="23" t="s">
        <v>63</v>
      </c>
      <c r="T1765" s="32" t="s">
        <v>63</v>
      </c>
      <c r="U1765" s="23" t="s">
        <v>63</v>
      </c>
      <c r="V1765" s="23" t="s">
        <v>63</v>
      </c>
      <c r="W1765" s="23" t="s">
        <v>63</v>
      </c>
      <c r="X1765" s="23" t="s">
        <v>63</v>
      </c>
      <c r="Y1765" s="35">
        <v>18.0</v>
      </c>
      <c r="Z1765" s="32">
        <v>0.0</v>
      </c>
      <c r="AA1765" s="38"/>
      <c r="AB1765" s="38"/>
      <c r="AC1765" s="38"/>
      <c r="AD1765" s="38"/>
      <c r="AE1765" s="38"/>
      <c r="AF1765" s="38"/>
      <c r="AG1765" s="38"/>
      <c r="AH1765" s="38"/>
      <c r="AI1765" s="38"/>
      <c r="AJ1765" s="38"/>
      <c r="AK1765" s="38"/>
    </row>
    <row r="1766">
      <c r="A1766" s="99">
        <v>1765.0</v>
      </c>
      <c r="B1766" s="15"/>
      <c r="C1766" s="15"/>
      <c r="D1766" s="105">
        <v>1.0</v>
      </c>
      <c r="E1766" s="102">
        <v>31.0</v>
      </c>
      <c r="F1766" s="107">
        <v>163.0</v>
      </c>
      <c r="G1766" s="15" t="str">
        <f t="shared" si="1"/>
        <v>31163</v>
      </c>
      <c r="H1766" s="23" t="s">
        <v>1011</v>
      </c>
      <c r="I1766" s="23" t="s">
        <v>79</v>
      </c>
      <c r="J1766" s="23" t="s">
        <v>624</v>
      </c>
      <c r="K1766" s="23" t="str">
        <f t="shared" si="28"/>
        <v>Sherman, NE</v>
      </c>
      <c r="L1766" s="23" t="s">
        <v>63</v>
      </c>
      <c r="M1766" s="23">
        <v>2.67</v>
      </c>
      <c r="N1766" s="23" t="s">
        <v>63</v>
      </c>
      <c r="O1766" s="23" t="s">
        <v>63</v>
      </c>
      <c r="P1766" s="23" t="s">
        <v>63</v>
      </c>
      <c r="Q1766" s="23">
        <v>9.0</v>
      </c>
      <c r="R1766" s="23">
        <v>0.0</v>
      </c>
      <c r="S1766" s="23" t="s">
        <v>63</v>
      </c>
      <c r="T1766" s="32" t="s">
        <v>63</v>
      </c>
      <c r="U1766" s="23">
        <v>8.0</v>
      </c>
      <c r="V1766" s="23" t="s">
        <v>63</v>
      </c>
      <c r="W1766" s="23" t="s">
        <v>63</v>
      </c>
      <c r="X1766" s="23" t="s">
        <v>63</v>
      </c>
      <c r="Y1766" s="35">
        <v>8.0</v>
      </c>
      <c r="Z1766" s="32">
        <v>1.0</v>
      </c>
      <c r="AA1766" s="38"/>
      <c r="AB1766" s="38"/>
      <c r="AC1766" s="38"/>
      <c r="AD1766" s="38"/>
      <c r="AE1766" s="38"/>
      <c r="AF1766" s="38"/>
      <c r="AG1766" s="38"/>
      <c r="AH1766" s="38"/>
      <c r="AI1766" s="38"/>
      <c r="AJ1766" s="38"/>
      <c r="AK1766" s="38"/>
    </row>
    <row r="1767">
      <c r="A1767" s="99">
        <v>1766.0</v>
      </c>
      <c r="B1767" s="15"/>
      <c r="C1767" s="15"/>
      <c r="D1767" s="105">
        <v>1.0</v>
      </c>
      <c r="E1767" s="102">
        <v>31.0</v>
      </c>
      <c r="F1767" s="107">
        <v>165.0</v>
      </c>
      <c r="G1767" s="15" t="str">
        <f t="shared" si="1"/>
        <v>31165</v>
      </c>
      <c r="H1767" s="23" t="s">
        <v>937</v>
      </c>
      <c r="I1767" s="23" t="s">
        <v>79</v>
      </c>
      <c r="J1767" s="23" t="s">
        <v>624</v>
      </c>
      <c r="K1767" s="23" t="str">
        <f t="shared" si="28"/>
        <v>Sioux, NE</v>
      </c>
      <c r="L1767" s="23" t="s">
        <v>63</v>
      </c>
      <c r="M1767" s="23">
        <v>0.0</v>
      </c>
      <c r="N1767" s="23" t="s">
        <v>63</v>
      </c>
      <c r="O1767" s="23" t="s">
        <v>63</v>
      </c>
      <c r="P1767" s="23" t="s">
        <v>63</v>
      </c>
      <c r="Q1767" s="23">
        <v>0.0</v>
      </c>
      <c r="R1767" s="23">
        <v>0.0</v>
      </c>
      <c r="S1767" s="23" t="s">
        <v>63</v>
      </c>
      <c r="T1767" s="32" t="s">
        <v>63</v>
      </c>
      <c r="U1767" s="23">
        <v>0.0</v>
      </c>
      <c r="V1767" s="23" t="s">
        <v>63</v>
      </c>
      <c r="W1767" s="23" t="s">
        <v>63</v>
      </c>
      <c r="X1767" s="23" t="s">
        <v>63</v>
      </c>
      <c r="Y1767" s="35">
        <v>4.0</v>
      </c>
      <c r="Z1767" s="32">
        <v>0.0</v>
      </c>
      <c r="AA1767" s="38"/>
      <c r="AB1767" s="38"/>
      <c r="AC1767" s="38"/>
      <c r="AD1767" s="38"/>
      <c r="AE1767" s="38"/>
      <c r="AF1767" s="38"/>
      <c r="AG1767" s="38"/>
      <c r="AH1767" s="38"/>
      <c r="AI1767" s="38"/>
      <c r="AJ1767" s="38"/>
      <c r="AK1767" s="38"/>
    </row>
    <row r="1768">
      <c r="A1768" s="99">
        <v>1767.0</v>
      </c>
      <c r="B1768" s="15"/>
      <c r="C1768" s="15"/>
      <c r="D1768" s="105">
        <v>1.0</v>
      </c>
      <c r="E1768" s="102">
        <v>31.0</v>
      </c>
      <c r="F1768" s="107">
        <v>167.0</v>
      </c>
      <c r="G1768" s="15" t="str">
        <f t="shared" si="1"/>
        <v>31167</v>
      </c>
      <c r="H1768" s="23" t="s">
        <v>1014</v>
      </c>
      <c r="I1768" s="23" t="s">
        <v>79</v>
      </c>
      <c r="J1768" s="23" t="s">
        <v>624</v>
      </c>
      <c r="K1768" s="23" t="str">
        <f t="shared" si="28"/>
        <v>Stanton, NE</v>
      </c>
      <c r="L1768" s="23" t="s">
        <v>63</v>
      </c>
      <c r="M1768" s="23">
        <v>2.33</v>
      </c>
      <c r="N1768" s="23" t="s">
        <v>63</v>
      </c>
      <c r="O1768" s="23" t="s">
        <v>63</v>
      </c>
      <c r="P1768" s="23" t="s">
        <v>63</v>
      </c>
      <c r="Q1768" s="23">
        <v>6.0</v>
      </c>
      <c r="R1768" s="23">
        <v>0.0</v>
      </c>
      <c r="S1768" s="23" t="s">
        <v>63</v>
      </c>
      <c r="T1768" s="32" t="s">
        <v>63</v>
      </c>
      <c r="U1768" s="23" t="s">
        <v>63</v>
      </c>
      <c r="V1768" s="23" t="s">
        <v>63</v>
      </c>
      <c r="W1768" s="23" t="s">
        <v>63</v>
      </c>
      <c r="X1768" s="23" t="s">
        <v>63</v>
      </c>
      <c r="Y1768" s="35">
        <v>10.0</v>
      </c>
      <c r="Z1768" s="32">
        <v>0.6667</v>
      </c>
      <c r="AA1768" s="38"/>
      <c r="AB1768" s="38"/>
      <c r="AC1768" s="38"/>
      <c r="AD1768" s="38"/>
      <c r="AE1768" s="38"/>
      <c r="AF1768" s="38"/>
      <c r="AG1768" s="38"/>
      <c r="AH1768" s="38"/>
      <c r="AI1768" s="38"/>
      <c r="AJ1768" s="38"/>
      <c r="AK1768" s="38"/>
    </row>
    <row r="1769">
      <c r="A1769" s="99">
        <v>1768.0</v>
      </c>
      <c r="B1769" s="15"/>
      <c r="C1769" s="15"/>
      <c r="D1769" s="105">
        <v>1.0</v>
      </c>
      <c r="E1769" s="102">
        <v>31.0</v>
      </c>
      <c r="F1769" s="107">
        <v>169.0</v>
      </c>
      <c r="G1769" s="15" t="str">
        <f t="shared" si="1"/>
        <v>31169</v>
      </c>
      <c r="H1769" s="23" t="s">
        <v>1504</v>
      </c>
      <c r="I1769" s="23" t="s">
        <v>79</v>
      </c>
      <c r="J1769" s="23" t="s">
        <v>624</v>
      </c>
      <c r="K1769" s="23" t="str">
        <f t="shared" si="28"/>
        <v>Thayer, NE</v>
      </c>
      <c r="L1769" s="23" t="s">
        <v>63</v>
      </c>
      <c r="M1769" s="23">
        <v>2.0</v>
      </c>
      <c r="N1769" s="23" t="s">
        <v>63</v>
      </c>
      <c r="O1769" s="23" t="s">
        <v>63</v>
      </c>
      <c r="P1769" s="23" t="s">
        <v>63</v>
      </c>
      <c r="Q1769" s="23">
        <v>6.0</v>
      </c>
      <c r="R1769" s="23" t="s">
        <v>63</v>
      </c>
      <c r="S1769" s="23" t="s">
        <v>63</v>
      </c>
      <c r="T1769" s="32" t="s">
        <v>63</v>
      </c>
      <c r="U1769" s="23" t="s">
        <v>63</v>
      </c>
      <c r="V1769" s="23" t="s">
        <v>63</v>
      </c>
      <c r="W1769" s="23" t="s">
        <v>63</v>
      </c>
      <c r="X1769" s="23" t="s">
        <v>63</v>
      </c>
      <c r="Y1769" s="35">
        <v>21.0</v>
      </c>
      <c r="Z1769" s="32">
        <v>1.0</v>
      </c>
      <c r="AA1769" s="38"/>
      <c r="AB1769" s="38"/>
      <c r="AC1769" s="38"/>
      <c r="AD1769" s="38"/>
      <c r="AE1769" s="38"/>
      <c r="AF1769" s="38"/>
      <c r="AG1769" s="38"/>
      <c r="AH1769" s="38"/>
      <c r="AI1769" s="38"/>
      <c r="AJ1769" s="38"/>
      <c r="AK1769" s="38"/>
    </row>
    <row r="1770">
      <c r="A1770" s="99">
        <v>1769.0</v>
      </c>
      <c r="B1770" s="15"/>
      <c r="C1770" s="15"/>
      <c r="D1770" s="105">
        <v>1.0</v>
      </c>
      <c r="E1770" s="102">
        <v>31.0</v>
      </c>
      <c r="F1770" s="107">
        <v>171.0</v>
      </c>
      <c r="G1770" s="15" t="str">
        <f t="shared" si="1"/>
        <v>31171</v>
      </c>
      <c r="H1770" s="23" t="s">
        <v>636</v>
      </c>
      <c r="I1770" s="23" t="s">
        <v>79</v>
      </c>
      <c r="J1770" s="23" t="s">
        <v>624</v>
      </c>
      <c r="K1770" s="23" t="str">
        <f t="shared" si="28"/>
        <v>Thomas, NE</v>
      </c>
      <c r="L1770" s="23" t="s">
        <v>63</v>
      </c>
      <c r="M1770" s="23">
        <v>1.0</v>
      </c>
      <c r="N1770" s="23" t="s">
        <v>63</v>
      </c>
      <c r="O1770" s="23" t="s">
        <v>63</v>
      </c>
      <c r="P1770" s="23" t="s">
        <v>63</v>
      </c>
      <c r="Q1770" s="23">
        <v>1.0</v>
      </c>
      <c r="R1770" s="23">
        <v>0.0</v>
      </c>
      <c r="S1770" s="23" t="s">
        <v>63</v>
      </c>
      <c r="T1770" s="32" t="s">
        <v>63</v>
      </c>
      <c r="U1770" s="23">
        <v>0.0</v>
      </c>
      <c r="V1770" s="23" t="s">
        <v>63</v>
      </c>
      <c r="W1770" s="23" t="s">
        <v>63</v>
      </c>
      <c r="X1770" s="23" t="s">
        <v>63</v>
      </c>
      <c r="Y1770" s="35">
        <v>2.0</v>
      </c>
      <c r="Z1770" s="32" t="s">
        <v>63</v>
      </c>
      <c r="AA1770" s="38"/>
      <c r="AB1770" s="38"/>
      <c r="AC1770" s="38"/>
      <c r="AD1770" s="38"/>
      <c r="AE1770" s="38"/>
      <c r="AF1770" s="38"/>
      <c r="AG1770" s="38"/>
      <c r="AH1770" s="38"/>
      <c r="AI1770" s="38"/>
      <c r="AJ1770" s="38"/>
      <c r="AK1770" s="38"/>
    </row>
    <row r="1771">
      <c r="A1771" s="99">
        <v>1770.0</v>
      </c>
      <c r="B1771" s="15"/>
      <c r="C1771" s="15"/>
      <c r="D1771" s="105">
        <v>1.0</v>
      </c>
      <c r="E1771" s="102">
        <v>31.0</v>
      </c>
      <c r="F1771" s="107">
        <v>173.0</v>
      </c>
      <c r="G1771" s="15" t="str">
        <f t="shared" si="1"/>
        <v>31173</v>
      </c>
      <c r="H1771" s="23" t="s">
        <v>1505</v>
      </c>
      <c r="I1771" s="23" t="s">
        <v>79</v>
      </c>
      <c r="J1771" s="23" t="s">
        <v>624</v>
      </c>
      <c r="K1771" s="23" t="str">
        <f t="shared" si="28"/>
        <v>Thurston, NE</v>
      </c>
      <c r="L1771" s="23" t="s">
        <v>63</v>
      </c>
      <c r="M1771" s="23">
        <v>2.33</v>
      </c>
      <c r="N1771" s="23" t="s">
        <v>63</v>
      </c>
      <c r="O1771" s="23" t="s">
        <v>63</v>
      </c>
      <c r="P1771" s="23" t="s">
        <v>63</v>
      </c>
      <c r="Q1771" s="23">
        <v>46.0</v>
      </c>
      <c r="R1771" s="23">
        <v>0.0</v>
      </c>
      <c r="S1771" s="23" t="s">
        <v>63</v>
      </c>
      <c r="T1771" s="32" t="s">
        <v>63</v>
      </c>
      <c r="U1771" s="23" t="s">
        <v>63</v>
      </c>
      <c r="V1771" s="23" t="s">
        <v>63</v>
      </c>
      <c r="W1771" s="23" t="s">
        <v>63</v>
      </c>
      <c r="X1771" s="23" t="s">
        <v>63</v>
      </c>
      <c r="Y1771" s="35">
        <v>9.0</v>
      </c>
      <c r="Z1771" s="32">
        <v>0.6667</v>
      </c>
      <c r="AA1771" s="38"/>
      <c r="AB1771" s="38"/>
      <c r="AC1771" s="38"/>
      <c r="AD1771" s="38"/>
      <c r="AE1771" s="38"/>
      <c r="AF1771" s="38"/>
      <c r="AG1771" s="38"/>
      <c r="AH1771" s="38"/>
      <c r="AI1771" s="38"/>
      <c r="AJ1771" s="38"/>
      <c r="AK1771" s="38"/>
    </row>
    <row r="1772">
      <c r="A1772" s="99">
        <v>1771.0</v>
      </c>
      <c r="B1772" s="15"/>
      <c r="C1772" s="15"/>
      <c r="D1772" s="105">
        <v>1.0</v>
      </c>
      <c r="E1772" s="102">
        <v>31.0</v>
      </c>
      <c r="F1772" s="107">
        <v>175.0</v>
      </c>
      <c r="G1772" s="15" t="str">
        <f t="shared" si="1"/>
        <v>31175</v>
      </c>
      <c r="H1772" s="23" t="s">
        <v>692</v>
      </c>
      <c r="I1772" s="23" t="s">
        <v>79</v>
      </c>
      <c r="J1772" s="23" t="s">
        <v>624</v>
      </c>
      <c r="K1772" s="23" t="str">
        <f t="shared" si="28"/>
        <v>Valley, NE</v>
      </c>
      <c r="L1772" s="23" t="s">
        <v>63</v>
      </c>
      <c r="M1772" s="23">
        <v>2.0</v>
      </c>
      <c r="N1772" s="23" t="s">
        <v>63</v>
      </c>
      <c r="O1772" s="23" t="s">
        <v>63</v>
      </c>
      <c r="P1772" s="23" t="s">
        <v>63</v>
      </c>
      <c r="Q1772" s="23">
        <v>5.0</v>
      </c>
      <c r="R1772" s="23">
        <v>0.0</v>
      </c>
      <c r="S1772" s="23" t="s">
        <v>63</v>
      </c>
      <c r="T1772" s="32" t="s">
        <v>63</v>
      </c>
      <c r="U1772" s="23" t="s">
        <v>63</v>
      </c>
      <c r="V1772" s="23" t="s">
        <v>63</v>
      </c>
      <c r="W1772" s="23" t="s">
        <v>63</v>
      </c>
      <c r="X1772" s="23" t="s">
        <v>63</v>
      </c>
      <c r="Y1772" s="35">
        <v>10.0</v>
      </c>
      <c r="Z1772" s="32">
        <v>1.0</v>
      </c>
      <c r="AA1772" s="38"/>
      <c r="AB1772" s="38"/>
      <c r="AC1772" s="38"/>
      <c r="AD1772" s="38"/>
      <c r="AE1772" s="38"/>
      <c r="AF1772" s="38"/>
      <c r="AG1772" s="38"/>
      <c r="AH1772" s="38"/>
      <c r="AI1772" s="38"/>
      <c r="AJ1772" s="38"/>
      <c r="AK1772" s="38"/>
    </row>
    <row r="1773">
      <c r="A1773" s="99">
        <v>1772.0</v>
      </c>
      <c r="B1773" s="15"/>
      <c r="C1773" s="15"/>
      <c r="D1773" s="105">
        <v>1.0</v>
      </c>
      <c r="E1773" s="102">
        <v>31.0</v>
      </c>
      <c r="F1773" s="107">
        <v>177.0</v>
      </c>
      <c r="G1773" s="15" t="str">
        <f t="shared" si="1"/>
        <v>31177</v>
      </c>
      <c r="H1773" s="23" t="s">
        <v>119</v>
      </c>
      <c r="I1773" s="23" t="s">
        <v>79</v>
      </c>
      <c r="J1773" s="23" t="s">
        <v>624</v>
      </c>
      <c r="K1773" s="23" t="str">
        <f t="shared" si="28"/>
        <v>Washington, NE</v>
      </c>
      <c r="L1773" s="23">
        <v>14.0</v>
      </c>
      <c r="M1773" s="23">
        <v>2.08</v>
      </c>
      <c r="N1773" s="23" t="s">
        <v>63</v>
      </c>
      <c r="O1773" s="23" t="s">
        <v>63</v>
      </c>
      <c r="P1773" s="23" t="s">
        <v>63</v>
      </c>
      <c r="Q1773" s="23">
        <v>13.0</v>
      </c>
      <c r="R1773" s="23">
        <v>0.0</v>
      </c>
      <c r="S1773" s="23" t="s">
        <v>63</v>
      </c>
      <c r="T1773" s="32" t="s">
        <v>63</v>
      </c>
      <c r="U1773" s="23" t="s">
        <v>63</v>
      </c>
      <c r="V1773" s="23" t="s">
        <v>63</v>
      </c>
      <c r="W1773" s="23" t="s">
        <v>63</v>
      </c>
      <c r="X1773" s="23" t="s">
        <v>63</v>
      </c>
      <c r="Y1773" s="35">
        <v>25.0</v>
      </c>
      <c r="Z1773" s="32">
        <v>0.7143</v>
      </c>
      <c r="AA1773" s="38"/>
      <c r="AB1773" s="38"/>
      <c r="AC1773" s="38"/>
      <c r="AD1773" s="38"/>
      <c r="AE1773" s="38"/>
      <c r="AF1773" s="38"/>
      <c r="AG1773" s="38"/>
      <c r="AH1773" s="38"/>
      <c r="AI1773" s="38"/>
      <c r="AJ1773" s="38"/>
      <c r="AK1773" s="38"/>
    </row>
    <row r="1774">
      <c r="A1774" s="99">
        <v>1773.0</v>
      </c>
      <c r="B1774" s="15"/>
      <c r="C1774" s="15"/>
      <c r="D1774" s="105">
        <v>1.0</v>
      </c>
      <c r="E1774" s="102">
        <v>31.0</v>
      </c>
      <c r="F1774" s="107">
        <v>179.0</v>
      </c>
      <c r="G1774" s="15" t="str">
        <f t="shared" si="1"/>
        <v>31179</v>
      </c>
      <c r="H1774" s="23" t="s">
        <v>273</v>
      </c>
      <c r="I1774" s="23" t="s">
        <v>79</v>
      </c>
      <c r="J1774" s="23" t="s">
        <v>624</v>
      </c>
      <c r="K1774" s="23" t="str">
        <f t="shared" si="28"/>
        <v>Wayne, NE</v>
      </c>
      <c r="L1774" s="23">
        <v>11.0</v>
      </c>
      <c r="M1774" s="23">
        <v>2.14</v>
      </c>
      <c r="N1774" s="23" t="s">
        <v>63</v>
      </c>
      <c r="O1774" s="23" t="s">
        <v>63</v>
      </c>
      <c r="P1774" s="23" t="s">
        <v>63</v>
      </c>
      <c r="Q1774" s="23">
        <v>7.0</v>
      </c>
      <c r="R1774" s="23" t="s">
        <v>63</v>
      </c>
      <c r="S1774" s="23" t="s">
        <v>63</v>
      </c>
      <c r="T1774" s="32" t="s">
        <v>63</v>
      </c>
      <c r="U1774" s="23" t="s">
        <v>63</v>
      </c>
      <c r="V1774" s="23" t="s">
        <v>63</v>
      </c>
      <c r="W1774" s="23" t="s">
        <v>63</v>
      </c>
      <c r="X1774" s="23" t="s">
        <v>63</v>
      </c>
      <c r="Y1774" s="35">
        <v>13.0</v>
      </c>
      <c r="Z1774" s="32">
        <v>0.7143</v>
      </c>
      <c r="AA1774" s="38"/>
      <c r="AB1774" s="38"/>
      <c r="AC1774" s="38"/>
      <c r="AD1774" s="38"/>
      <c r="AE1774" s="38"/>
      <c r="AF1774" s="38"/>
      <c r="AG1774" s="38"/>
      <c r="AH1774" s="38"/>
      <c r="AI1774" s="38"/>
      <c r="AJ1774" s="38"/>
      <c r="AK1774" s="38"/>
    </row>
    <row r="1775">
      <c r="A1775" s="99">
        <v>1774.0</v>
      </c>
      <c r="B1775" s="15"/>
      <c r="C1775" s="15"/>
      <c r="D1775" s="105">
        <v>1.0</v>
      </c>
      <c r="E1775" s="102">
        <v>31.0</v>
      </c>
      <c r="F1775" s="107">
        <v>181.0</v>
      </c>
      <c r="G1775" s="15" t="str">
        <f t="shared" si="1"/>
        <v>31181</v>
      </c>
      <c r="H1775" s="23" t="s">
        <v>648</v>
      </c>
      <c r="I1775" s="23" t="s">
        <v>79</v>
      </c>
      <c r="J1775" s="23" t="s">
        <v>624</v>
      </c>
      <c r="K1775" s="23" t="str">
        <f t="shared" si="28"/>
        <v>Webster, NE</v>
      </c>
      <c r="L1775" s="23" t="s">
        <v>63</v>
      </c>
      <c r="M1775" s="23">
        <v>2.25</v>
      </c>
      <c r="N1775" s="23" t="s">
        <v>63</v>
      </c>
      <c r="O1775" s="23" t="s">
        <v>63</v>
      </c>
      <c r="P1775" s="23" t="s">
        <v>63</v>
      </c>
      <c r="Q1775" s="23">
        <v>4.0</v>
      </c>
      <c r="R1775" s="23">
        <v>0.0</v>
      </c>
      <c r="S1775" s="23" t="s">
        <v>63</v>
      </c>
      <c r="T1775" s="32" t="s">
        <v>63</v>
      </c>
      <c r="U1775" s="23">
        <v>0.0</v>
      </c>
      <c r="V1775" s="23" t="s">
        <v>63</v>
      </c>
      <c r="W1775" s="23" t="s">
        <v>63</v>
      </c>
      <c r="X1775" s="23" t="s">
        <v>63</v>
      </c>
      <c r="Y1775" s="35">
        <v>10.0</v>
      </c>
      <c r="Z1775" s="32">
        <v>1.0</v>
      </c>
      <c r="AA1775" s="38"/>
      <c r="AB1775" s="38"/>
      <c r="AC1775" s="38"/>
      <c r="AD1775" s="38"/>
      <c r="AE1775" s="38"/>
      <c r="AF1775" s="38"/>
      <c r="AG1775" s="38"/>
      <c r="AH1775" s="38"/>
      <c r="AI1775" s="38"/>
      <c r="AJ1775" s="38"/>
      <c r="AK1775" s="38"/>
    </row>
    <row r="1776">
      <c r="A1776" s="99">
        <v>1775.0</v>
      </c>
      <c r="B1776" s="15"/>
      <c r="C1776" s="15"/>
      <c r="D1776" s="105">
        <v>1.0</v>
      </c>
      <c r="E1776" s="102">
        <v>31.0</v>
      </c>
      <c r="F1776" s="107">
        <v>183.0</v>
      </c>
      <c r="G1776" s="15" t="str">
        <f t="shared" si="1"/>
        <v>31183</v>
      </c>
      <c r="H1776" s="23" t="s">
        <v>649</v>
      </c>
      <c r="I1776" s="23" t="s">
        <v>79</v>
      </c>
      <c r="J1776" s="23" t="s">
        <v>624</v>
      </c>
      <c r="K1776" s="23" t="str">
        <f t="shared" si="28"/>
        <v>Wheeler, NE</v>
      </c>
      <c r="L1776" s="23" t="s">
        <v>63</v>
      </c>
      <c r="M1776" s="23">
        <v>0.0</v>
      </c>
      <c r="N1776" s="23" t="s">
        <v>63</v>
      </c>
      <c r="O1776" s="23" t="s">
        <v>63</v>
      </c>
      <c r="P1776" s="23" t="s">
        <v>63</v>
      </c>
      <c r="Q1776" s="23">
        <v>0.0</v>
      </c>
      <c r="R1776" s="23">
        <v>0.0</v>
      </c>
      <c r="S1776" s="23" t="s">
        <v>63</v>
      </c>
      <c r="T1776" s="32" t="s">
        <v>63</v>
      </c>
      <c r="U1776" s="23" t="s">
        <v>63</v>
      </c>
      <c r="V1776" s="23" t="s">
        <v>63</v>
      </c>
      <c r="W1776" s="23" t="s">
        <v>63</v>
      </c>
      <c r="X1776" s="23" t="s">
        <v>63</v>
      </c>
      <c r="Y1776" s="35" t="s">
        <v>63</v>
      </c>
      <c r="Z1776" s="32" t="s">
        <v>63</v>
      </c>
      <c r="AA1776" s="38"/>
      <c r="AB1776" s="38"/>
      <c r="AC1776" s="38"/>
      <c r="AD1776" s="38"/>
      <c r="AE1776" s="38"/>
      <c r="AF1776" s="38"/>
      <c r="AG1776" s="38"/>
      <c r="AH1776" s="38"/>
      <c r="AI1776" s="38"/>
      <c r="AJ1776" s="38"/>
      <c r="AK1776" s="38"/>
    </row>
    <row r="1777">
      <c r="A1777" s="99">
        <v>1776.0</v>
      </c>
      <c r="B1777" s="15"/>
      <c r="C1777" s="15"/>
      <c r="D1777" s="105">
        <v>1.0</v>
      </c>
      <c r="E1777" s="102">
        <v>31.0</v>
      </c>
      <c r="F1777" s="107">
        <v>185.0</v>
      </c>
      <c r="G1777" s="15" t="str">
        <f t="shared" si="1"/>
        <v>31185</v>
      </c>
      <c r="H1777" s="23" t="s">
        <v>1196</v>
      </c>
      <c r="I1777" s="23" t="s">
        <v>79</v>
      </c>
      <c r="J1777" s="23" t="s">
        <v>624</v>
      </c>
      <c r="K1777" s="23" t="str">
        <f t="shared" si="28"/>
        <v>York, NE</v>
      </c>
      <c r="L1777" s="23">
        <v>54.0</v>
      </c>
      <c r="M1777" s="23">
        <v>2.0</v>
      </c>
      <c r="N1777" s="23">
        <v>22.0</v>
      </c>
      <c r="O1777" s="23">
        <v>29.0</v>
      </c>
      <c r="P1777" s="23" t="s">
        <v>63</v>
      </c>
      <c r="Q1777" s="23">
        <v>19.0</v>
      </c>
      <c r="R1777" s="23">
        <v>10.0</v>
      </c>
      <c r="S1777" s="23" t="s">
        <v>63</v>
      </c>
      <c r="T1777" s="32" t="s">
        <v>63</v>
      </c>
      <c r="U1777" s="23" t="s">
        <v>63</v>
      </c>
      <c r="V1777" s="23" t="s">
        <v>63</v>
      </c>
      <c r="W1777" s="23" t="s">
        <v>63</v>
      </c>
      <c r="X1777" s="23" t="s">
        <v>63</v>
      </c>
      <c r="Y1777" s="35">
        <v>25.0</v>
      </c>
      <c r="Z1777" s="32">
        <v>0.7857</v>
      </c>
      <c r="AA1777" s="38"/>
      <c r="AB1777" s="38"/>
      <c r="AC1777" s="38"/>
      <c r="AD1777" s="38"/>
      <c r="AE1777" s="38"/>
      <c r="AF1777" s="38"/>
      <c r="AG1777" s="38"/>
      <c r="AH1777" s="38"/>
      <c r="AI1777" s="38"/>
      <c r="AJ1777" s="38"/>
      <c r="AK1777" s="38"/>
    </row>
    <row r="1778">
      <c r="A1778" s="28">
        <v>1777.0</v>
      </c>
      <c r="B1778" s="29"/>
      <c r="C1778" s="29" t="s">
        <v>25</v>
      </c>
      <c r="D1778" s="30"/>
      <c r="E1778" s="31">
        <v>32.0</v>
      </c>
      <c r="F1778" s="42">
        <v>0.0</v>
      </c>
      <c r="G1778" s="29" t="str">
        <f t="shared" si="1"/>
        <v>32000</v>
      </c>
      <c r="H1778" s="37"/>
      <c r="I1778" s="37" t="s">
        <v>82</v>
      </c>
      <c r="J1778" s="37" t="s">
        <v>259</v>
      </c>
      <c r="K1778" s="37"/>
      <c r="L1778" s="70">
        <f t="array" ref="L1778:Z1778">Nevada!C21:Q21</f>
        <v>3989</v>
      </c>
      <c r="M1778" s="37" t="s">
        <v>63</v>
      </c>
      <c r="N1778" s="37">
        <v>970.0</v>
      </c>
      <c r="O1778" s="37">
        <v>603.0</v>
      </c>
      <c r="P1778" s="37" t="s">
        <v>63</v>
      </c>
      <c r="Q1778" s="70">
        <v>1099.0</v>
      </c>
      <c r="R1778" s="70">
        <v>718.0</v>
      </c>
      <c r="S1778" s="37" t="s">
        <v>63</v>
      </c>
      <c r="T1778" s="69" t="s">
        <v>63</v>
      </c>
      <c r="U1778" s="37" t="s">
        <v>63</v>
      </c>
      <c r="V1778" s="37" t="s">
        <v>63</v>
      </c>
      <c r="W1778" s="37" t="s">
        <v>63</v>
      </c>
      <c r="X1778" s="72" t="s">
        <v>63</v>
      </c>
      <c r="Y1778" s="70">
        <v>794.0</v>
      </c>
      <c r="Z1778" s="69" t="s">
        <v>63</v>
      </c>
      <c r="AA1778" s="73"/>
      <c r="AB1778" s="73"/>
      <c r="AC1778" s="73"/>
      <c r="AD1778" s="73"/>
      <c r="AE1778" s="73"/>
      <c r="AF1778" s="73"/>
      <c r="AG1778" s="73"/>
      <c r="AH1778" s="73"/>
      <c r="AI1778" s="73"/>
      <c r="AJ1778" s="73"/>
      <c r="AK1778" s="73"/>
    </row>
    <row r="1779">
      <c r="A1779" s="28">
        <v>1778.0</v>
      </c>
      <c r="B1779" s="29"/>
      <c r="C1779" s="29"/>
      <c r="D1779" s="40">
        <v>1.0</v>
      </c>
      <c r="E1779" s="31">
        <v>32.0</v>
      </c>
      <c r="F1779" s="42">
        <v>1.0</v>
      </c>
      <c r="G1779" s="29" t="str">
        <f t="shared" si="1"/>
        <v>32001</v>
      </c>
      <c r="H1779" s="37" t="s">
        <v>1506</v>
      </c>
      <c r="I1779" s="37" t="s">
        <v>82</v>
      </c>
      <c r="J1779" s="37" t="s">
        <v>259</v>
      </c>
      <c r="K1779" s="37" t="str">
        <f t="shared" ref="K1779:K1795" si="29">CONCATENATE(H1779,", ",J1779)</f>
        <v>Churchill, NV</v>
      </c>
      <c r="L1779" s="37" t="str">
        <f t="array" ref="L1779:Z1795">Nevada!C3:Q19</f>
        <v>NULL</v>
      </c>
      <c r="M1779" s="37" t="s">
        <v>63</v>
      </c>
      <c r="N1779" s="37" t="s">
        <v>63</v>
      </c>
      <c r="O1779" s="37" t="s">
        <v>63</v>
      </c>
      <c r="P1779" s="37" t="s">
        <v>63</v>
      </c>
      <c r="Q1779" s="37" t="s">
        <v>63</v>
      </c>
      <c r="R1779" s="37" t="s">
        <v>63</v>
      </c>
      <c r="S1779" s="37" t="s">
        <v>63</v>
      </c>
      <c r="T1779" s="69" t="s">
        <v>63</v>
      </c>
      <c r="U1779" s="37" t="s">
        <v>63</v>
      </c>
      <c r="V1779" s="37" t="s">
        <v>63</v>
      </c>
      <c r="W1779" s="71" t="s">
        <v>63</v>
      </c>
      <c r="X1779" s="72" t="s">
        <v>63</v>
      </c>
      <c r="Y1779" s="53">
        <v>14.0</v>
      </c>
      <c r="Z1779" s="69" t="s">
        <v>63</v>
      </c>
      <c r="AA1779" s="73"/>
      <c r="AB1779" s="73"/>
      <c r="AC1779" s="73"/>
      <c r="AD1779" s="73"/>
      <c r="AE1779" s="73"/>
      <c r="AF1779" s="73"/>
      <c r="AG1779" s="73"/>
      <c r="AH1779" s="73"/>
      <c r="AI1779" s="73"/>
      <c r="AJ1779" s="73"/>
      <c r="AK1779" s="73"/>
    </row>
    <row r="1780">
      <c r="A1780" s="28">
        <v>1779.0</v>
      </c>
      <c r="B1780" s="29"/>
      <c r="C1780" s="29"/>
      <c r="D1780" s="40">
        <v>1.0</v>
      </c>
      <c r="E1780" s="31">
        <v>32.0</v>
      </c>
      <c r="F1780" s="42">
        <v>3.0</v>
      </c>
      <c r="G1780" s="29" t="str">
        <f t="shared" si="1"/>
        <v>32003</v>
      </c>
      <c r="H1780" s="37" t="s">
        <v>253</v>
      </c>
      <c r="I1780" s="37" t="s">
        <v>82</v>
      </c>
      <c r="J1780" s="37" t="s">
        <v>259</v>
      </c>
      <c r="K1780" s="37" t="str">
        <f t="shared" si="29"/>
        <v>Clark, NV</v>
      </c>
      <c r="L1780" s="53">
        <v>3017.0</v>
      </c>
      <c r="M1780" s="37" t="s">
        <v>63</v>
      </c>
      <c r="N1780" s="37">
        <v>579.0</v>
      </c>
      <c r="O1780" s="37">
        <v>460.0</v>
      </c>
      <c r="P1780" s="37" t="s">
        <v>63</v>
      </c>
      <c r="Q1780" s="37" t="s">
        <v>63</v>
      </c>
      <c r="R1780" s="37" t="s">
        <v>63</v>
      </c>
      <c r="S1780" s="37" t="s">
        <v>63</v>
      </c>
      <c r="T1780" s="69" t="s">
        <v>63</v>
      </c>
      <c r="U1780" s="70" t="s">
        <v>63</v>
      </c>
      <c r="V1780" s="37" t="s">
        <v>63</v>
      </c>
      <c r="W1780" s="37" t="s">
        <v>63</v>
      </c>
      <c r="X1780" s="72" t="s">
        <v>63</v>
      </c>
      <c r="Y1780" s="53">
        <v>440.0</v>
      </c>
      <c r="Z1780" s="69" t="s">
        <v>63</v>
      </c>
      <c r="AA1780" s="73"/>
      <c r="AB1780" s="73"/>
      <c r="AC1780" s="73"/>
      <c r="AD1780" s="73"/>
      <c r="AE1780" s="73"/>
      <c r="AF1780" s="73"/>
      <c r="AG1780" s="73"/>
      <c r="AH1780" s="73"/>
      <c r="AI1780" s="73"/>
      <c r="AJ1780" s="73"/>
      <c r="AK1780" s="73"/>
    </row>
    <row r="1781">
      <c r="A1781" s="28">
        <v>1780.0</v>
      </c>
      <c r="B1781" s="29"/>
      <c r="C1781" s="29"/>
      <c r="D1781" s="40">
        <v>1.0</v>
      </c>
      <c r="E1781" s="31">
        <v>32.0</v>
      </c>
      <c r="F1781" s="42">
        <v>5.0</v>
      </c>
      <c r="G1781" s="29" t="str">
        <f t="shared" si="1"/>
        <v>32005</v>
      </c>
      <c r="H1781" s="37" t="s">
        <v>412</v>
      </c>
      <c r="I1781" s="37" t="s">
        <v>82</v>
      </c>
      <c r="J1781" s="37" t="s">
        <v>259</v>
      </c>
      <c r="K1781" s="37" t="str">
        <f t="shared" si="29"/>
        <v>Douglas, NV</v>
      </c>
      <c r="L1781" s="37" t="s">
        <v>63</v>
      </c>
      <c r="M1781" s="37" t="s">
        <v>63</v>
      </c>
      <c r="N1781" s="37" t="s">
        <v>63</v>
      </c>
      <c r="O1781" s="37" t="s">
        <v>63</v>
      </c>
      <c r="P1781" s="37" t="s">
        <v>63</v>
      </c>
      <c r="Q1781" s="37" t="s">
        <v>63</v>
      </c>
      <c r="R1781" s="37" t="s">
        <v>63</v>
      </c>
      <c r="S1781" s="37" t="s">
        <v>63</v>
      </c>
      <c r="T1781" s="69" t="s">
        <v>63</v>
      </c>
      <c r="U1781" s="37" t="s">
        <v>63</v>
      </c>
      <c r="V1781" s="37" t="s">
        <v>63</v>
      </c>
      <c r="W1781" s="37" t="s">
        <v>63</v>
      </c>
      <c r="X1781" s="72" t="s">
        <v>63</v>
      </c>
      <c r="Y1781" s="53">
        <v>24.0</v>
      </c>
      <c r="Z1781" s="69" t="s">
        <v>63</v>
      </c>
      <c r="AA1781" s="73"/>
      <c r="AB1781" s="73"/>
      <c r="AC1781" s="73"/>
      <c r="AD1781" s="73"/>
      <c r="AE1781" s="73"/>
      <c r="AF1781" s="73"/>
      <c r="AG1781" s="73"/>
      <c r="AH1781" s="73"/>
      <c r="AI1781" s="73"/>
      <c r="AJ1781" s="73"/>
      <c r="AK1781" s="73"/>
    </row>
    <row r="1782">
      <c r="A1782" s="28">
        <v>1781.0</v>
      </c>
      <c r="B1782" s="29"/>
      <c r="C1782" s="29"/>
      <c r="D1782" s="40">
        <v>1.0</v>
      </c>
      <c r="E1782" s="31">
        <v>32.0</v>
      </c>
      <c r="F1782" s="42">
        <v>7.0</v>
      </c>
      <c r="G1782" s="29" t="str">
        <f t="shared" si="1"/>
        <v>32007</v>
      </c>
      <c r="H1782" s="37" t="s">
        <v>1507</v>
      </c>
      <c r="I1782" s="37" t="s">
        <v>82</v>
      </c>
      <c r="J1782" s="37" t="s">
        <v>259</v>
      </c>
      <c r="K1782" s="37" t="str">
        <f t="shared" si="29"/>
        <v>Elko, NV</v>
      </c>
      <c r="L1782" s="37" t="s">
        <v>63</v>
      </c>
      <c r="M1782" s="37" t="s">
        <v>63</v>
      </c>
      <c r="N1782" s="37" t="s">
        <v>63</v>
      </c>
      <c r="O1782" s="37" t="s">
        <v>63</v>
      </c>
      <c r="P1782" s="37" t="s">
        <v>63</v>
      </c>
      <c r="Q1782" s="37" t="s">
        <v>63</v>
      </c>
      <c r="R1782" s="37" t="s">
        <v>63</v>
      </c>
      <c r="S1782" s="37" t="s">
        <v>63</v>
      </c>
      <c r="T1782" s="69" t="s">
        <v>63</v>
      </c>
      <c r="U1782" s="37" t="s">
        <v>63</v>
      </c>
      <c r="V1782" s="37" t="s">
        <v>63</v>
      </c>
      <c r="W1782" s="37" t="s">
        <v>63</v>
      </c>
      <c r="X1782" s="72" t="s">
        <v>63</v>
      </c>
      <c r="Y1782" s="53">
        <v>34.0</v>
      </c>
      <c r="Z1782" s="69" t="s">
        <v>63</v>
      </c>
      <c r="AA1782" s="73"/>
      <c r="AB1782" s="73"/>
      <c r="AC1782" s="73"/>
      <c r="AD1782" s="73"/>
      <c r="AE1782" s="73"/>
      <c r="AF1782" s="73"/>
      <c r="AG1782" s="73"/>
      <c r="AH1782" s="73"/>
      <c r="AI1782" s="73"/>
      <c r="AJ1782" s="73"/>
      <c r="AK1782" s="73"/>
    </row>
    <row r="1783">
      <c r="A1783" s="28">
        <v>1782.0</v>
      </c>
      <c r="B1783" s="29"/>
      <c r="C1783" s="29"/>
      <c r="D1783" s="40">
        <v>1.0</v>
      </c>
      <c r="E1783" s="31">
        <v>32.0</v>
      </c>
      <c r="F1783" s="42">
        <v>9.0</v>
      </c>
      <c r="G1783" s="29" t="str">
        <f t="shared" si="1"/>
        <v>32009</v>
      </c>
      <c r="H1783" s="37" t="s">
        <v>1508</v>
      </c>
      <c r="I1783" s="37" t="s">
        <v>82</v>
      </c>
      <c r="J1783" s="37" t="s">
        <v>259</v>
      </c>
      <c r="K1783" s="37" t="str">
        <f t="shared" si="29"/>
        <v>Esmeralda, NV</v>
      </c>
      <c r="L1783" s="37" t="s">
        <v>63</v>
      </c>
      <c r="M1783" s="37" t="s">
        <v>63</v>
      </c>
      <c r="N1783" s="37" t="s">
        <v>63</v>
      </c>
      <c r="O1783" s="37" t="s">
        <v>63</v>
      </c>
      <c r="P1783" s="37" t="s">
        <v>63</v>
      </c>
      <c r="Q1783" s="37" t="s">
        <v>63</v>
      </c>
      <c r="R1783" s="37" t="s">
        <v>63</v>
      </c>
      <c r="S1783" s="37" t="s">
        <v>63</v>
      </c>
      <c r="T1783" s="69" t="s">
        <v>63</v>
      </c>
      <c r="U1783" s="37" t="s">
        <v>63</v>
      </c>
      <c r="V1783" s="37" t="s">
        <v>63</v>
      </c>
      <c r="W1783" s="37" t="s">
        <v>63</v>
      </c>
      <c r="X1783" s="72" t="s">
        <v>63</v>
      </c>
      <c r="Y1783" s="53" t="s">
        <v>63</v>
      </c>
      <c r="Z1783" s="69" t="s">
        <v>63</v>
      </c>
      <c r="AA1783" s="73"/>
      <c r="AB1783" s="73"/>
      <c r="AC1783" s="73"/>
      <c r="AD1783" s="73"/>
      <c r="AE1783" s="73"/>
      <c r="AF1783" s="73"/>
      <c r="AG1783" s="73"/>
      <c r="AH1783" s="73"/>
      <c r="AI1783" s="73"/>
      <c r="AJ1783" s="73"/>
      <c r="AK1783" s="73"/>
    </row>
    <row r="1784">
      <c r="A1784" s="28">
        <v>1783.0</v>
      </c>
      <c r="B1784" s="29"/>
      <c r="C1784" s="29"/>
      <c r="D1784" s="40">
        <v>1.0</v>
      </c>
      <c r="E1784" s="31">
        <v>32.0</v>
      </c>
      <c r="F1784" s="42">
        <v>11.0</v>
      </c>
      <c r="G1784" s="29" t="str">
        <f t="shared" si="1"/>
        <v>32011</v>
      </c>
      <c r="H1784" s="37" t="s">
        <v>1509</v>
      </c>
      <c r="I1784" s="37" t="s">
        <v>82</v>
      </c>
      <c r="J1784" s="37" t="s">
        <v>259</v>
      </c>
      <c r="K1784" s="37" t="str">
        <f t="shared" si="29"/>
        <v>Eureka, NV</v>
      </c>
      <c r="L1784" s="37" t="s">
        <v>63</v>
      </c>
      <c r="M1784" s="37" t="s">
        <v>63</v>
      </c>
      <c r="N1784" s="37" t="s">
        <v>63</v>
      </c>
      <c r="O1784" s="37" t="s">
        <v>63</v>
      </c>
      <c r="P1784" s="37" t="s">
        <v>63</v>
      </c>
      <c r="Q1784" s="37" t="s">
        <v>63</v>
      </c>
      <c r="R1784" s="37" t="s">
        <v>63</v>
      </c>
      <c r="S1784" s="37" t="s">
        <v>63</v>
      </c>
      <c r="T1784" s="69" t="s">
        <v>63</v>
      </c>
      <c r="U1784" s="37" t="s">
        <v>63</v>
      </c>
      <c r="V1784" s="37" t="s">
        <v>63</v>
      </c>
      <c r="W1784" s="37" t="s">
        <v>63</v>
      </c>
      <c r="X1784" s="72" t="s">
        <v>63</v>
      </c>
      <c r="Y1784" s="53">
        <v>1.0</v>
      </c>
      <c r="Z1784" s="69" t="s">
        <v>63</v>
      </c>
      <c r="AA1784" s="73"/>
      <c r="AB1784" s="73"/>
      <c r="AC1784" s="73"/>
      <c r="AD1784" s="73"/>
      <c r="AE1784" s="73"/>
      <c r="AF1784" s="73"/>
      <c r="AG1784" s="73"/>
      <c r="AH1784" s="73"/>
      <c r="AI1784" s="73"/>
      <c r="AJ1784" s="73"/>
      <c r="AK1784" s="73"/>
    </row>
    <row r="1785">
      <c r="A1785" s="28">
        <v>1784.0</v>
      </c>
      <c r="B1785" s="29"/>
      <c r="C1785" s="29"/>
      <c r="D1785" s="40">
        <v>1.0</v>
      </c>
      <c r="E1785" s="31">
        <v>32.0</v>
      </c>
      <c r="F1785" s="42">
        <v>13.0</v>
      </c>
      <c r="G1785" s="29" t="str">
        <f t="shared" si="1"/>
        <v>32013</v>
      </c>
      <c r="H1785" s="37" t="s">
        <v>333</v>
      </c>
      <c r="I1785" s="37" t="s">
        <v>82</v>
      </c>
      <c r="J1785" s="37" t="s">
        <v>259</v>
      </c>
      <c r="K1785" s="37" t="str">
        <f t="shared" si="29"/>
        <v>Humboldt, NV</v>
      </c>
      <c r="L1785" s="37" t="s">
        <v>63</v>
      </c>
      <c r="M1785" s="37" t="s">
        <v>63</v>
      </c>
      <c r="N1785" s="37" t="s">
        <v>63</v>
      </c>
      <c r="O1785" s="37" t="s">
        <v>63</v>
      </c>
      <c r="P1785" s="37" t="s">
        <v>63</v>
      </c>
      <c r="Q1785" s="37" t="s">
        <v>63</v>
      </c>
      <c r="R1785" s="37" t="s">
        <v>63</v>
      </c>
      <c r="S1785" s="37" t="s">
        <v>63</v>
      </c>
      <c r="T1785" s="69" t="s">
        <v>63</v>
      </c>
      <c r="U1785" s="37" t="s">
        <v>63</v>
      </c>
      <c r="V1785" s="37" t="s">
        <v>63</v>
      </c>
      <c r="W1785" s="37" t="s">
        <v>63</v>
      </c>
      <c r="X1785" s="72" t="s">
        <v>63</v>
      </c>
      <c r="Y1785" s="53">
        <v>11.0</v>
      </c>
      <c r="Z1785" s="69" t="s">
        <v>63</v>
      </c>
      <c r="AA1785" s="73"/>
      <c r="AB1785" s="73"/>
      <c r="AC1785" s="73"/>
      <c r="AD1785" s="73"/>
      <c r="AE1785" s="73"/>
      <c r="AF1785" s="73"/>
      <c r="AG1785" s="73"/>
      <c r="AH1785" s="73"/>
      <c r="AI1785" s="73"/>
      <c r="AJ1785" s="73"/>
      <c r="AK1785" s="73"/>
    </row>
    <row r="1786">
      <c r="A1786" s="28">
        <v>1785.0</v>
      </c>
      <c r="B1786" s="29"/>
      <c r="C1786" s="29"/>
      <c r="D1786" s="40">
        <v>1.0</v>
      </c>
      <c r="E1786" s="31">
        <v>32.0</v>
      </c>
      <c r="F1786" s="42">
        <v>15.0</v>
      </c>
      <c r="G1786" s="29" t="str">
        <f t="shared" si="1"/>
        <v>32015</v>
      </c>
      <c r="H1786" s="37" t="s">
        <v>1510</v>
      </c>
      <c r="I1786" s="37" t="s">
        <v>82</v>
      </c>
      <c r="J1786" s="37" t="s">
        <v>259</v>
      </c>
      <c r="K1786" s="37" t="str">
        <f t="shared" si="29"/>
        <v>Lander, NV</v>
      </c>
      <c r="L1786" s="37" t="s">
        <v>63</v>
      </c>
      <c r="M1786" s="37" t="s">
        <v>63</v>
      </c>
      <c r="N1786" s="37" t="s">
        <v>63</v>
      </c>
      <c r="O1786" s="37" t="s">
        <v>63</v>
      </c>
      <c r="P1786" s="37" t="s">
        <v>63</v>
      </c>
      <c r="Q1786" s="37" t="s">
        <v>63</v>
      </c>
      <c r="R1786" s="37" t="s">
        <v>63</v>
      </c>
      <c r="S1786" s="37" t="s">
        <v>63</v>
      </c>
      <c r="T1786" s="69" t="s">
        <v>63</v>
      </c>
      <c r="U1786" s="37" t="s">
        <v>63</v>
      </c>
      <c r="V1786" s="37" t="s">
        <v>63</v>
      </c>
      <c r="W1786" s="37" t="s">
        <v>63</v>
      </c>
      <c r="X1786" s="72" t="s">
        <v>63</v>
      </c>
      <c r="Y1786" s="53">
        <v>6.0</v>
      </c>
      <c r="Z1786" s="69" t="s">
        <v>63</v>
      </c>
      <c r="AA1786" s="73"/>
      <c r="AB1786" s="73"/>
      <c r="AC1786" s="73"/>
      <c r="AD1786" s="73"/>
      <c r="AE1786" s="73"/>
      <c r="AF1786" s="73"/>
      <c r="AG1786" s="73"/>
      <c r="AH1786" s="73"/>
      <c r="AI1786" s="73"/>
      <c r="AJ1786" s="73"/>
      <c r="AK1786" s="73"/>
    </row>
    <row r="1787">
      <c r="A1787" s="28">
        <v>1786.0</v>
      </c>
      <c r="B1787" s="29"/>
      <c r="C1787" s="29"/>
      <c r="D1787" s="40">
        <v>1.0</v>
      </c>
      <c r="E1787" s="31">
        <v>32.0</v>
      </c>
      <c r="F1787" s="42">
        <v>17.0</v>
      </c>
      <c r="G1787" s="29" t="str">
        <f t="shared" si="1"/>
        <v>32017</v>
      </c>
      <c r="H1787" s="37" t="s">
        <v>290</v>
      </c>
      <c r="I1787" s="37" t="s">
        <v>82</v>
      </c>
      <c r="J1787" s="37" t="s">
        <v>259</v>
      </c>
      <c r="K1787" s="37" t="str">
        <f t="shared" si="29"/>
        <v>Lincoln, NV</v>
      </c>
      <c r="L1787" s="37" t="s">
        <v>63</v>
      </c>
      <c r="M1787" s="37" t="s">
        <v>63</v>
      </c>
      <c r="N1787" s="37" t="s">
        <v>63</v>
      </c>
      <c r="O1787" s="37" t="s">
        <v>63</v>
      </c>
      <c r="P1787" s="37" t="s">
        <v>63</v>
      </c>
      <c r="Q1787" s="37" t="s">
        <v>63</v>
      </c>
      <c r="R1787" s="37" t="s">
        <v>63</v>
      </c>
      <c r="S1787" s="37" t="s">
        <v>63</v>
      </c>
      <c r="T1787" s="69" t="s">
        <v>63</v>
      </c>
      <c r="U1787" s="37" t="s">
        <v>63</v>
      </c>
      <c r="V1787" s="37" t="s">
        <v>63</v>
      </c>
      <c r="W1787" s="37" t="s">
        <v>63</v>
      </c>
      <c r="X1787" s="72" t="s">
        <v>63</v>
      </c>
      <c r="Y1787" s="53">
        <v>11.0</v>
      </c>
      <c r="Z1787" s="69" t="s">
        <v>63</v>
      </c>
      <c r="AA1787" s="73"/>
      <c r="AB1787" s="73"/>
      <c r="AC1787" s="73"/>
      <c r="AD1787" s="73"/>
      <c r="AE1787" s="73"/>
      <c r="AF1787" s="73"/>
      <c r="AG1787" s="73"/>
      <c r="AH1787" s="73"/>
      <c r="AI1787" s="73"/>
      <c r="AJ1787" s="73"/>
      <c r="AK1787" s="73"/>
    </row>
    <row r="1788">
      <c r="A1788" s="28">
        <v>1787.0</v>
      </c>
      <c r="B1788" s="29"/>
      <c r="C1788" s="29"/>
      <c r="D1788" s="40">
        <v>1.0</v>
      </c>
      <c r="E1788" s="31">
        <v>32.0</v>
      </c>
      <c r="F1788" s="42">
        <v>19.0</v>
      </c>
      <c r="G1788" s="29" t="str">
        <f t="shared" si="1"/>
        <v>32019</v>
      </c>
      <c r="H1788" s="37" t="s">
        <v>910</v>
      </c>
      <c r="I1788" s="37" t="s">
        <v>82</v>
      </c>
      <c r="J1788" s="37" t="s">
        <v>259</v>
      </c>
      <c r="K1788" s="37" t="str">
        <f t="shared" si="29"/>
        <v>Lyon, NV</v>
      </c>
      <c r="L1788" s="37" t="s">
        <v>63</v>
      </c>
      <c r="M1788" s="37" t="s">
        <v>63</v>
      </c>
      <c r="N1788" s="37" t="s">
        <v>63</v>
      </c>
      <c r="O1788" s="37" t="s">
        <v>63</v>
      </c>
      <c r="P1788" s="37" t="s">
        <v>63</v>
      </c>
      <c r="Q1788" s="37" t="s">
        <v>63</v>
      </c>
      <c r="R1788" s="37" t="s">
        <v>63</v>
      </c>
      <c r="S1788" s="37" t="s">
        <v>63</v>
      </c>
      <c r="T1788" s="69" t="s">
        <v>63</v>
      </c>
      <c r="U1788" s="37" t="s">
        <v>63</v>
      </c>
      <c r="V1788" s="37" t="s">
        <v>63</v>
      </c>
      <c r="W1788" s="37" t="s">
        <v>63</v>
      </c>
      <c r="X1788" s="72" t="s">
        <v>63</v>
      </c>
      <c r="Y1788" s="53">
        <v>37.0</v>
      </c>
      <c r="Z1788" s="69" t="s">
        <v>63</v>
      </c>
      <c r="AA1788" s="73"/>
      <c r="AB1788" s="73"/>
      <c r="AC1788" s="73"/>
      <c r="AD1788" s="73"/>
      <c r="AE1788" s="73"/>
      <c r="AF1788" s="73"/>
      <c r="AG1788" s="73"/>
      <c r="AH1788" s="73"/>
      <c r="AI1788" s="73"/>
      <c r="AJ1788" s="73"/>
      <c r="AK1788" s="73"/>
    </row>
    <row r="1789">
      <c r="A1789" s="28">
        <v>1788.0</v>
      </c>
      <c r="B1789" s="29"/>
      <c r="C1789" s="29"/>
      <c r="D1789" s="40">
        <v>1.0</v>
      </c>
      <c r="E1789" s="31">
        <v>32.0</v>
      </c>
      <c r="F1789" s="42">
        <v>21.0</v>
      </c>
      <c r="G1789" s="29" t="str">
        <f t="shared" si="1"/>
        <v>32021</v>
      </c>
      <c r="H1789" s="37" t="s">
        <v>435</v>
      </c>
      <c r="I1789" s="37" t="s">
        <v>82</v>
      </c>
      <c r="J1789" s="37" t="s">
        <v>259</v>
      </c>
      <c r="K1789" s="37" t="str">
        <f t="shared" si="29"/>
        <v>Mineral, NV</v>
      </c>
      <c r="L1789" s="37" t="s">
        <v>63</v>
      </c>
      <c r="M1789" s="37" t="s">
        <v>63</v>
      </c>
      <c r="N1789" s="37" t="s">
        <v>63</v>
      </c>
      <c r="O1789" s="37" t="s">
        <v>63</v>
      </c>
      <c r="P1789" s="37" t="s">
        <v>63</v>
      </c>
      <c r="Q1789" s="37" t="s">
        <v>63</v>
      </c>
      <c r="R1789" s="37" t="s">
        <v>63</v>
      </c>
      <c r="S1789" s="37" t="s">
        <v>63</v>
      </c>
      <c r="T1789" s="69" t="s">
        <v>63</v>
      </c>
      <c r="U1789" s="37" t="s">
        <v>63</v>
      </c>
      <c r="V1789" s="37" t="s">
        <v>63</v>
      </c>
      <c r="W1789" s="37" t="s">
        <v>63</v>
      </c>
      <c r="X1789" s="72" t="s">
        <v>63</v>
      </c>
      <c r="Y1789" s="53">
        <v>12.0</v>
      </c>
      <c r="Z1789" s="69" t="s">
        <v>63</v>
      </c>
      <c r="AA1789" s="73"/>
      <c r="AB1789" s="73"/>
      <c r="AC1789" s="73"/>
      <c r="AD1789" s="73"/>
      <c r="AE1789" s="73"/>
      <c r="AF1789" s="73"/>
      <c r="AG1789" s="73"/>
      <c r="AH1789" s="73"/>
      <c r="AI1789" s="73"/>
      <c r="AJ1789" s="73"/>
      <c r="AK1789" s="73"/>
    </row>
    <row r="1790">
      <c r="A1790" s="28">
        <v>1789.0</v>
      </c>
      <c r="B1790" s="29"/>
      <c r="C1790" s="29"/>
      <c r="D1790" s="40">
        <v>1.0</v>
      </c>
      <c r="E1790" s="31">
        <v>32.0</v>
      </c>
      <c r="F1790" s="42">
        <v>23.0</v>
      </c>
      <c r="G1790" s="29" t="str">
        <f t="shared" si="1"/>
        <v>32023</v>
      </c>
      <c r="H1790" s="37" t="s">
        <v>1511</v>
      </c>
      <c r="I1790" s="37" t="s">
        <v>82</v>
      </c>
      <c r="J1790" s="37" t="s">
        <v>259</v>
      </c>
      <c r="K1790" s="37" t="str">
        <f t="shared" si="29"/>
        <v>Nye, NV</v>
      </c>
      <c r="L1790" s="37" t="s">
        <v>63</v>
      </c>
      <c r="M1790" s="37" t="s">
        <v>63</v>
      </c>
      <c r="N1790" s="37" t="s">
        <v>63</v>
      </c>
      <c r="O1790" s="37" t="s">
        <v>63</v>
      </c>
      <c r="P1790" s="37" t="s">
        <v>63</v>
      </c>
      <c r="Q1790" s="37" t="s">
        <v>63</v>
      </c>
      <c r="R1790" s="37" t="s">
        <v>63</v>
      </c>
      <c r="S1790" s="37" t="s">
        <v>63</v>
      </c>
      <c r="T1790" s="69" t="s">
        <v>63</v>
      </c>
      <c r="U1790" s="37" t="s">
        <v>63</v>
      </c>
      <c r="V1790" s="37" t="s">
        <v>63</v>
      </c>
      <c r="W1790" s="37" t="s">
        <v>63</v>
      </c>
      <c r="X1790" s="72" t="s">
        <v>63</v>
      </c>
      <c r="Y1790" s="53">
        <v>30.0</v>
      </c>
      <c r="Z1790" s="69" t="s">
        <v>63</v>
      </c>
      <c r="AA1790" s="73"/>
      <c r="AB1790" s="73"/>
      <c r="AC1790" s="73"/>
      <c r="AD1790" s="73"/>
      <c r="AE1790" s="73"/>
      <c r="AF1790" s="73"/>
      <c r="AG1790" s="73"/>
      <c r="AH1790" s="73"/>
      <c r="AI1790" s="73"/>
      <c r="AJ1790" s="73"/>
      <c r="AK1790" s="73"/>
    </row>
    <row r="1791">
      <c r="A1791" s="28">
        <v>1790.0</v>
      </c>
      <c r="B1791" s="29"/>
      <c r="C1791" s="29"/>
      <c r="D1791" s="40">
        <v>1.0</v>
      </c>
      <c r="E1791" s="31">
        <v>32.0</v>
      </c>
      <c r="F1791" s="42">
        <v>27.0</v>
      </c>
      <c r="G1791" s="29" t="str">
        <f t="shared" si="1"/>
        <v>32027</v>
      </c>
      <c r="H1791" s="37" t="s">
        <v>1512</v>
      </c>
      <c r="I1791" s="37" t="s">
        <v>82</v>
      </c>
      <c r="J1791" s="37" t="s">
        <v>259</v>
      </c>
      <c r="K1791" s="37" t="str">
        <f t="shared" si="29"/>
        <v>Pershing, NV</v>
      </c>
      <c r="L1791" s="37" t="s">
        <v>63</v>
      </c>
      <c r="M1791" s="37" t="s">
        <v>63</v>
      </c>
      <c r="N1791" s="37" t="s">
        <v>63</v>
      </c>
      <c r="O1791" s="37" t="s">
        <v>63</v>
      </c>
      <c r="P1791" s="37" t="s">
        <v>63</v>
      </c>
      <c r="Q1791" s="37" t="s">
        <v>63</v>
      </c>
      <c r="R1791" s="37" t="s">
        <v>63</v>
      </c>
      <c r="S1791" s="37" t="s">
        <v>63</v>
      </c>
      <c r="T1791" s="69" t="s">
        <v>63</v>
      </c>
      <c r="U1791" s="37" t="s">
        <v>63</v>
      </c>
      <c r="V1791" s="37" t="s">
        <v>63</v>
      </c>
      <c r="W1791" s="37" t="s">
        <v>63</v>
      </c>
      <c r="X1791" s="72" t="s">
        <v>63</v>
      </c>
      <c r="Y1791" s="53">
        <v>6.0</v>
      </c>
      <c r="Z1791" s="69" t="s">
        <v>63</v>
      </c>
      <c r="AA1791" s="73"/>
      <c r="AB1791" s="73"/>
      <c r="AC1791" s="73"/>
      <c r="AD1791" s="73"/>
      <c r="AE1791" s="73"/>
      <c r="AF1791" s="73"/>
      <c r="AG1791" s="73"/>
      <c r="AH1791" s="73"/>
      <c r="AI1791" s="73"/>
      <c r="AJ1791" s="73"/>
      <c r="AK1791" s="73"/>
    </row>
    <row r="1792">
      <c r="A1792" s="28">
        <v>1791.0</v>
      </c>
      <c r="B1792" s="29"/>
      <c r="C1792" s="29"/>
      <c r="D1792" s="40">
        <v>1.0</v>
      </c>
      <c r="E1792" s="31">
        <v>32.0</v>
      </c>
      <c r="F1792" s="42">
        <v>29.0</v>
      </c>
      <c r="G1792" s="29" t="str">
        <f t="shared" si="1"/>
        <v>32029</v>
      </c>
      <c r="H1792" s="37" t="s">
        <v>1513</v>
      </c>
      <c r="I1792" s="37" t="s">
        <v>82</v>
      </c>
      <c r="J1792" s="37" t="s">
        <v>259</v>
      </c>
      <c r="K1792" s="37" t="str">
        <f t="shared" si="29"/>
        <v>Storey, NV</v>
      </c>
      <c r="L1792" s="37" t="s">
        <v>63</v>
      </c>
      <c r="M1792" s="37" t="s">
        <v>63</v>
      </c>
      <c r="N1792" s="37" t="s">
        <v>63</v>
      </c>
      <c r="O1792" s="37" t="s">
        <v>63</v>
      </c>
      <c r="P1792" s="37" t="s">
        <v>63</v>
      </c>
      <c r="Q1792" s="37" t="s">
        <v>63</v>
      </c>
      <c r="R1792" s="37" t="s">
        <v>63</v>
      </c>
      <c r="S1792" s="37" t="s">
        <v>63</v>
      </c>
      <c r="T1792" s="69" t="s">
        <v>63</v>
      </c>
      <c r="U1792" s="37" t="s">
        <v>63</v>
      </c>
      <c r="V1792" s="37" t="s">
        <v>63</v>
      </c>
      <c r="W1792" s="37" t="s">
        <v>63</v>
      </c>
      <c r="X1792" s="72" t="s">
        <v>63</v>
      </c>
      <c r="Y1792" s="53">
        <v>1.0</v>
      </c>
      <c r="Z1792" s="69" t="s">
        <v>63</v>
      </c>
      <c r="AA1792" s="73"/>
      <c r="AB1792" s="73"/>
      <c r="AC1792" s="73"/>
      <c r="AD1792" s="73"/>
      <c r="AE1792" s="73"/>
      <c r="AF1792" s="73"/>
      <c r="AG1792" s="73"/>
      <c r="AH1792" s="73"/>
      <c r="AI1792" s="73"/>
      <c r="AJ1792" s="73"/>
      <c r="AK1792" s="73"/>
    </row>
    <row r="1793">
      <c r="A1793" s="28">
        <v>1792.0</v>
      </c>
      <c r="B1793" s="29"/>
      <c r="C1793" s="29"/>
      <c r="D1793" s="40">
        <v>1.0</v>
      </c>
      <c r="E1793" s="31">
        <v>32.0</v>
      </c>
      <c r="F1793" s="42">
        <v>31.0</v>
      </c>
      <c r="G1793" s="29" t="str">
        <f t="shared" si="1"/>
        <v>32031</v>
      </c>
      <c r="H1793" s="37" t="s">
        <v>1514</v>
      </c>
      <c r="I1793" s="37" t="s">
        <v>82</v>
      </c>
      <c r="J1793" s="37" t="s">
        <v>259</v>
      </c>
      <c r="K1793" s="37" t="str">
        <f t="shared" si="29"/>
        <v>Washoe, NV</v>
      </c>
      <c r="L1793" s="37">
        <v>589.0</v>
      </c>
      <c r="M1793" s="37" t="s">
        <v>63</v>
      </c>
      <c r="N1793" s="37">
        <v>237.0</v>
      </c>
      <c r="O1793" s="37">
        <v>105.0</v>
      </c>
      <c r="P1793" s="37" t="s">
        <v>63</v>
      </c>
      <c r="Q1793" s="37" t="s">
        <v>63</v>
      </c>
      <c r="R1793" s="37" t="s">
        <v>63</v>
      </c>
      <c r="S1793" s="37" t="s">
        <v>63</v>
      </c>
      <c r="T1793" s="69" t="s">
        <v>63</v>
      </c>
      <c r="U1793" s="37" t="s">
        <v>63</v>
      </c>
      <c r="V1793" s="37" t="s">
        <v>63</v>
      </c>
      <c r="W1793" s="37" t="s">
        <v>63</v>
      </c>
      <c r="X1793" s="72" t="s">
        <v>63</v>
      </c>
      <c r="Y1793" s="53">
        <v>136.0</v>
      </c>
      <c r="Z1793" s="69" t="s">
        <v>63</v>
      </c>
      <c r="AA1793" s="73"/>
      <c r="AB1793" s="73"/>
      <c r="AC1793" s="73"/>
      <c r="AD1793" s="73"/>
      <c r="AE1793" s="73"/>
      <c r="AF1793" s="73"/>
      <c r="AG1793" s="73"/>
      <c r="AH1793" s="73"/>
      <c r="AI1793" s="73"/>
      <c r="AJ1793" s="73"/>
      <c r="AK1793" s="73"/>
    </row>
    <row r="1794">
      <c r="A1794" s="28">
        <v>1793.0</v>
      </c>
      <c r="B1794" s="29"/>
      <c r="C1794" s="29"/>
      <c r="D1794" s="40">
        <v>1.0</v>
      </c>
      <c r="E1794" s="31">
        <v>32.0</v>
      </c>
      <c r="F1794" s="42">
        <v>33.0</v>
      </c>
      <c r="G1794" s="29" t="str">
        <f t="shared" si="1"/>
        <v>32033</v>
      </c>
      <c r="H1794" s="37" t="s">
        <v>1515</v>
      </c>
      <c r="I1794" s="37" t="s">
        <v>82</v>
      </c>
      <c r="J1794" s="37" t="s">
        <v>259</v>
      </c>
      <c r="K1794" s="37" t="str">
        <f t="shared" si="29"/>
        <v>White Pine, NV</v>
      </c>
      <c r="L1794" s="37" t="s">
        <v>63</v>
      </c>
      <c r="M1794" s="37" t="s">
        <v>63</v>
      </c>
      <c r="N1794" s="37" t="s">
        <v>63</v>
      </c>
      <c r="O1794" s="37" t="s">
        <v>63</v>
      </c>
      <c r="P1794" s="37" t="s">
        <v>63</v>
      </c>
      <c r="Q1794" s="37" t="s">
        <v>63</v>
      </c>
      <c r="R1794" s="37" t="s">
        <v>63</v>
      </c>
      <c r="S1794" s="37" t="s">
        <v>63</v>
      </c>
      <c r="T1794" s="69" t="s">
        <v>63</v>
      </c>
      <c r="U1794" s="37" t="s">
        <v>63</v>
      </c>
      <c r="V1794" s="37" t="s">
        <v>63</v>
      </c>
      <c r="W1794" s="37" t="s">
        <v>63</v>
      </c>
      <c r="X1794" s="72" t="s">
        <v>63</v>
      </c>
      <c r="Y1794" s="53">
        <v>8.0</v>
      </c>
      <c r="Z1794" s="69" t="s">
        <v>63</v>
      </c>
      <c r="AA1794" s="73"/>
      <c r="AB1794" s="73"/>
      <c r="AC1794" s="73"/>
      <c r="AD1794" s="73"/>
      <c r="AE1794" s="73"/>
      <c r="AF1794" s="73"/>
      <c r="AG1794" s="73"/>
      <c r="AH1794" s="73"/>
      <c r="AI1794" s="73"/>
      <c r="AJ1794" s="73"/>
      <c r="AK1794" s="73"/>
    </row>
    <row r="1795">
      <c r="A1795" s="28">
        <v>1794.0</v>
      </c>
      <c r="B1795" s="29"/>
      <c r="C1795" s="29"/>
      <c r="D1795" s="40">
        <v>1.0</v>
      </c>
      <c r="E1795" s="31">
        <v>32.0</v>
      </c>
      <c r="F1795" s="42">
        <v>510.0</v>
      </c>
      <c r="G1795" s="29" t="str">
        <f t="shared" si="1"/>
        <v>32510</v>
      </c>
      <c r="H1795" s="37" t="s">
        <v>1516</v>
      </c>
      <c r="I1795" s="37" t="s">
        <v>82</v>
      </c>
      <c r="J1795" s="37" t="s">
        <v>259</v>
      </c>
      <c r="K1795" s="37" t="str">
        <f t="shared" si="29"/>
        <v>Carson City, NV</v>
      </c>
      <c r="L1795" s="37" t="s">
        <v>63</v>
      </c>
      <c r="M1795" s="37" t="s">
        <v>63</v>
      </c>
      <c r="N1795" s="37" t="s">
        <v>63</v>
      </c>
      <c r="O1795" s="37" t="s">
        <v>63</v>
      </c>
      <c r="P1795" s="37" t="s">
        <v>63</v>
      </c>
      <c r="Q1795" s="37" t="s">
        <v>63</v>
      </c>
      <c r="R1795" s="37" t="s">
        <v>63</v>
      </c>
      <c r="S1795" s="37" t="s">
        <v>63</v>
      </c>
      <c r="T1795" s="69" t="s">
        <v>63</v>
      </c>
      <c r="U1795" s="37" t="s">
        <v>63</v>
      </c>
      <c r="V1795" s="37" t="s">
        <v>63</v>
      </c>
      <c r="W1795" s="37" t="s">
        <v>63</v>
      </c>
      <c r="X1795" s="72" t="s">
        <v>63</v>
      </c>
      <c r="Y1795" s="53">
        <v>23.0</v>
      </c>
      <c r="Z1795" s="69" t="s">
        <v>63</v>
      </c>
      <c r="AA1795" s="73"/>
      <c r="AB1795" s="73"/>
      <c r="AC1795" s="73"/>
      <c r="AD1795" s="73"/>
      <c r="AE1795" s="73"/>
      <c r="AF1795" s="73"/>
      <c r="AG1795" s="73"/>
      <c r="AH1795" s="73"/>
      <c r="AI1795" s="73"/>
      <c r="AJ1795" s="73"/>
      <c r="AK1795" s="73"/>
    </row>
    <row r="1796">
      <c r="A1796" s="99">
        <v>1795.0</v>
      </c>
      <c r="B1796" s="15"/>
      <c r="C1796" s="14" t="s">
        <v>25</v>
      </c>
      <c r="D1796" s="16"/>
      <c r="E1796" s="102">
        <v>33.0</v>
      </c>
      <c r="F1796" s="107">
        <v>0.0</v>
      </c>
      <c r="G1796" s="15" t="str">
        <f t="shared" si="1"/>
        <v>33000</v>
      </c>
      <c r="H1796" s="23"/>
      <c r="I1796" s="23" t="s">
        <v>85</v>
      </c>
      <c r="J1796" s="23" t="s">
        <v>1517</v>
      </c>
      <c r="K1796" s="23"/>
      <c r="L1796" s="123">
        <f t="array" ref="L1796:Z1796">'New Hampshire'!C14:Q14</f>
        <v>1181</v>
      </c>
      <c r="M1796" s="23" t="s">
        <v>63</v>
      </c>
      <c r="N1796" s="23" t="s">
        <v>63</v>
      </c>
      <c r="O1796" s="23" t="s">
        <v>63</v>
      </c>
      <c r="P1796" s="23" t="s">
        <v>63</v>
      </c>
      <c r="Q1796" s="123">
        <v>599.0</v>
      </c>
      <c r="R1796" s="123">
        <v>60.0</v>
      </c>
      <c r="S1796" s="23" t="s">
        <v>63</v>
      </c>
      <c r="T1796" s="32" t="s">
        <v>63</v>
      </c>
      <c r="U1796" s="23" t="s">
        <v>63</v>
      </c>
      <c r="V1796" s="23" t="s">
        <v>63</v>
      </c>
      <c r="W1796" s="23" t="s">
        <v>63</v>
      </c>
      <c r="X1796" s="23" t="s">
        <v>63</v>
      </c>
      <c r="Y1796" s="123">
        <v>818.0</v>
      </c>
      <c r="Z1796" s="32" t="s">
        <v>63</v>
      </c>
      <c r="AA1796" s="38"/>
      <c r="AB1796" s="38"/>
      <c r="AC1796" s="38"/>
      <c r="AD1796" s="38"/>
      <c r="AE1796" s="38"/>
      <c r="AF1796" s="38"/>
      <c r="AG1796" s="38"/>
      <c r="AH1796" s="38"/>
      <c r="AI1796" s="38"/>
      <c r="AJ1796" s="38"/>
      <c r="AK1796" s="38"/>
    </row>
    <row r="1797">
      <c r="A1797" s="99">
        <v>1796.0</v>
      </c>
      <c r="B1797" s="15"/>
      <c r="C1797" s="15"/>
      <c r="D1797" s="105">
        <v>1.0</v>
      </c>
      <c r="E1797" s="102">
        <v>33.0</v>
      </c>
      <c r="F1797" s="107">
        <v>1.0</v>
      </c>
      <c r="G1797" s="15" t="str">
        <f t="shared" si="1"/>
        <v>33001</v>
      </c>
      <c r="H1797" s="23" t="s">
        <v>1518</v>
      </c>
      <c r="I1797" s="23" t="s">
        <v>85</v>
      </c>
      <c r="J1797" s="23" t="s">
        <v>1517</v>
      </c>
      <c r="K1797" s="23" t="str">
        <f t="shared" ref="K1797:K1806" si="30">CONCATENATE(H1797,", ",J1797)</f>
        <v>Belknap, NH</v>
      </c>
      <c r="L1797" s="23" t="str">
        <f t="array" ref="L1797:Z1806">'New Hampshire'!C3:Q12</f>
        <v>NULL</v>
      </c>
      <c r="M1797" s="23" t="s">
        <v>63</v>
      </c>
      <c r="N1797" s="23" t="s">
        <v>63</v>
      </c>
      <c r="O1797" s="23" t="s">
        <v>63</v>
      </c>
      <c r="P1797" s="23" t="s">
        <v>63</v>
      </c>
      <c r="Q1797" s="23" t="s">
        <v>63</v>
      </c>
      <c r="R1797" s="23" t="s">
        <v>63</v>
      </c>
      <c r="S1797" s="23" t="s">
        <v>63</v>
      </c>
      <c r="T1797" s="32" t="s">
        <v>63</v>
      </c>
      <c r="U1797" s="23" t="s">
        <v>63</v>
      </c>
      <c r="V1797" s="23" t="s">
        <v>63</v>
      </c>
      <c r="W1797" s="23" t="s">
        <v>63</v>
      </c>
      <c r="X1797" s="23" t="s">
        <v>63</v>
      </c>
      <c r="Y1797" s="35">
        <v>56.0</v>
      </c>
      <c r="Z1797" s="32" t="s">
        <v>63</v>
      </c>
      <c r="AA1797" s="38"/>
      <c r="AB1797" s="38"/>
      <c r="AC1797" s="38"/>
      <c r="AD1797" s="38"/>
      <c r="AE1797" s="38"/>
      <c r="AF1797" s="38"/>
      <c r="AG1797" s="38"/>
      <c r="AH1797" s="38"/>
      <c r="AI1797" s="38"/>
      <c r="AJ1797" s="38"/>
      <c r="AK1797" s="38"/>
    </row>
    <row r="1798">
      <c r="A1798" s="99">
        <v>1797.0</v>
      </c>
      <c r="B1798" s="15"/>
      <c r="C1798" s="15"/>
      <c r="D1798" s="105">
        <v>1.0</v>
      </c>
      <c r="E1798" s="102">
        <v>33.0</v>
      </c>
      <c r="F1798" s="107">
        <v>3.0</v>
      </c>
      <c r="G1798" s="15" t="str">
        <f t="shared" si="1"/>
        <v>33003</v>
      </c>
      <c r="H1798" s="23" t="s">
        <v>248</v>
      </c>
      <c r="I1798" s="23" t="s">
        <v>85</v>
      </c>
      <c r="J1798" s="23" t="s">
        <v>1517</v>
      </c>
      <c r="K1798" s="23" t="str">
        <f t="shared" si="30"/>
        <v>Carroll, NH</v>
      </c>
      <c r="L1798" s="23" t="s">
        <v>63</v>
      </c>
      <c r="M1798" s="23" t="s">
        <v>63</v>
      </c>
      <c r="N1798" s="23" t="s">
        <v>63</v>
      </c>
      <c r="O1798" s="23" t="s">
        <v>63</v>
      </c>
      <c r="P1798" s="23" t="s">
        <v>63</v>
      </c>
      <c r="Q1798" s="23" t="s">
        <v>63</v>
      </c>
      <c r="R1798" s="23" t="s">
        <v>63</v>
      </c>
      <c r="S1798" s="23" t="s">
        <v>63</v>
      </c>
      <c r="T1798" s="32" t="s">
        <v>63</v>
      </c>
      <c r="U1798" s="23" t="s">
        <v>63</v>
      </c>
      <c r="V1798" s="23" t="s">
        <v>63</v>
      </c>
      <c r="W1798" s="23" t="s">
        <v>63</v>
      </c>
      <c r="X1798" s="23" t="s">
        <v>63</v>
      </c>
      <c r="Y1798" s="35">
        <v>46.0</v>
      </c>
      <c r="Z1798" s="32" t="s">
        <v>63</v>
      </c>
      <c r="AA1798" s="38"/>
      <c r="AB1798" s="38"/>
      <c r="AC1798" s="38"/>
      <c r="AD1798" s="38"/>
      <c r="AE1798" s="38"/>
      <c r="AF1798" s="38"/>
      <c r="AG1798" s="38"/>
      <c r="AH1798" s="38"/>
      <c r="AI1798" s="38"/>
      <c r="AJ1798" s="38"/>
      <c r="AK1798" s="38"/>
    </row>
    <row r="1799">
      <c r="A1799" s="99">
        <v>1798.0</v>
      </c>
      <c r="B1799" s="15"/>
      <c r="C1799" s="15"/>
      <c r="D1799" s="105">
        <v>1.0</v>
      </c>
      <c r="E1799" s="102">
        <v>33.0</v>
      </c>
      <c r="F1799" s="107">
        <v>5.0</v>
      </c>
      <c r="G1799" s="15" t="str">
        <f t="shared" si="1"/>
        <v>33005</v>
      </c>
      <c r="H1799" s="23" t="s">
        <v>1519</v>
      </c>
      <c r="I1799" s="23" t="s">
        <v>85</v>
      </c>
      <c r="J1799" s="23" t="s">
        <v>1517</v>
      </c>
      <c r="K1799" s="23" t="str">
        <f t="shared" si="30"/>
        <v>Cheshire, NH</v>
      </c>
      <c r="L1799" s="23" t="s">
        <v>63</v>
      </c>
      <c r="M1799" s="23" t="s">
        <v>63</v>
      </c>
      <c r="N1799" s="23" t="s">
        <v>63</v>
      </c>
      <c r="O1799" s="23" t="s">
        <v>63</v>
      </c>
      <c r="P1799" s="23" t="s">
        <v>63</v>
      </c>
      <c r="Q1799" s="23" t="s">
        <v>63</v>
      </c>
      <c r="R1799" s="23" t="s">
        <v>63</v>
      </c>
      <c r="S1799" s="23" t="s">
        <v>63</v>
      </c>
      <c r="T1799" s="32" t="s">
        <v>63</v>
      </c>
      <c r="U1799" s="23" t="s">
        <v>63</v>
      </c>
      <c r="V1799" s="23" t="s">
        <v>63</v>
      </c>
      <c r="W1799" s="23" t="s">
        <v>63</v>
      </c>
      <c r="X1799" s="23" t="s">
        <v>63</v>
      </c>
      <c r="Y1799" s="35">
        <v>63.0</v>
      </c>
      <c r="Z1799" s="32" t="s">
        <v>63</v>
      </c>
      <c r="AA1799" s="38"/>
      <c r="AB1799" s="38"/>
      <c r="AC1799" s="38"/>
      <c r="AD1799" s="38"/>
      <c r="AE1799" s="38"/>
      <c r="AF1799" s="38"/>
      <c r="AG1799" s="38"/>
      <c r="AH1799" s="38"/>
      <c r="AI1799" s="38"/>
      <c r="AJ1799" s="38"/>
      <c r="AK1799" s="38"/>
    </row>
    <row r="1800">
      <c r="A1800" s="99">
        <v>1799.0</v>
      </c>
      <c r="B1800" s="15"/>
      <c r="C1800" s="15"/>
      <c r="D1800" s="105">
        <v>1.0</v>
      </c>
      <c r="E1800" s="102">
        <v>33.0</v>
      </c>
      <c r="F1800" s="107">
        <v>7.0</v>
      </c>
      <c r="G1800" s="15" t="str">
        <f t="shared" si="1"/>
        <v>33007</v>
      </c>
      <c r="H1800" s="23" t="s">
        <v>1520</v>
      </c>
      <c r="I1800" s="23" t="s">
        <v>85</v>
      </c>
      <c r="J1800" s="23" t="s">
        <v>1517</v>
      </c>
      <c r="K1800" s="23" t="str">
        <f t="shared" si="30"/>
        <v>Coos, NH</v>
      </c>
      <c r="L1800" s="23" t="s">
        <v>63</v>
      </c>
      <c r="M1800" s="23" t="s">
        <v>63</v>
      </c>
      <c r="N1800" s="23" t="s">
        <v>63</v>
      </c>
      <c r="O1800" s="23" t="s">
        <v>63</v>
      </c>
      <c r="P1800" s="23" t="s">
        <v>63</v>
      </c>
      <c r="Q1800" s="23" t="s">
        <v>63</v>
      </c>
      <c r="R1800" s="23" t="s">
        <v>63</v>
      </c>
      <c r="S1800" s="23" t="s">
        <v>63</v>
      </c>
      <c r="T1800" s="32" t="s">
        <v>63</v>
      </c>
      <c r="U1800" s="23" t="s">
        <v>63</v>
      </c>
      <c r="V1800" s="23" t="s">
        <v>63</v>
      </c>
      <c r="W1800" s="23" t="s">
        <v>63</v>
      </c>
      <c r="X1800" s="23" t="s">
        <v>63</v>
      </c>
      <c r="Y1800" s="35">
        <v>39.0</v>
      </c>
      <c r="Z1800" s="32" t="s">
        <v>63</v>
      </c>
      <c r="AA1800" s="38"/>
      <c r="AB1800" s="38"/>
      <c r="AC1800" s="38"/>
      <c r="AD1800" s="38"/>
      <c r="AE1800" s="38"/>
      <c r="AF1800" s="38"/>
      <c r="AG1800" s="38"/>
      <c r="AH1800" s="38"/>
      <c r="AI1800" s="38"/>
      <c r="AJ1800" s="38"/>
      <c r="AK1800" s="38"/>
    </row>
    <row r="1801">
      <c r="A1801" s="99">
        <v>1800.0</v>
      </c>
      <c r="B1801" s="15"/>
      <c r="C1801" s="15"/>
      <c r="D1801" s="105">
        <v>1.0</v>
      </c>
      <c r="E1801" s="102">
        <v>33.0</v>
      </c>
      <c r="F1801" s="107">
        <v>9.0</v>
      </c>
      <c r="G1801" s="15" t="str">
        <f t="shared" si="1"/>
        <v>33009</v>
      </c>
      <c r="H1801" s="23" t="s">
        <v>1521</v>
      </c>
      <c r="I1801" s="23" t="s">
        <v>85</v>
      </c>
      <c r="J1801" s="23" t="s">
        <v>1517</v>
      </c>
      <c r="K1801" s="23" t="str">
        <f t="shared" si="30"/>
        <v>Grafton, NH</v>
      </c>
      <c r="L1801" s="23" t="s">
        <v>63</v>
      </c>
      <c r="M1801" s="23" t="s">
        <v>63</v>
      </c>
      <c r="N1801" s="23" t="s">
        <v>63</v>
      </c>
      <c r="O1801" s="23" t="s">
        <v>63</v>
      </c>
      <c r="P1801" s="23" t="s">
        <v>63</v>
      </c>
      <c r="Q1801" s="23" t="s">
        <v>63</v>
      </c>
      <c r="R1801" s="23" t="s">
        <v>63</v>
      </c>
      <c r="S1801" s="23" t="s">
        <v>63</v>
      </c>
      <c r="T1801" s="32" t="s">
        <v>63</v>
      </c>
      <c r="U1801" s="23" t="s">
        <v>63</v>
      </c>
      <c r="V1801" s="23" t="s">
        <v>63</v>
      </c>
      <c r="W1801" s="23" t="s">
        <v>63</v>
      </c>
      <c r="X1801" s="23" t="s">
        <v>63</v>
      </c>
      <c r="Y1801" s="35">
        <v>87.0</v>
      </c>
      <c r="Z1801" s="32" t="s">
        <v>63</v>
      </c>
      <c r="AA1801" s="38"/>
      <c r="AB1801" s="38"/>
      <c r="AC1801" s="38"/>
      <c r="AD1801" s="38"/>
      <c r="AE1801" s="38"/>
      <c r="AF1801" s="38"/>
      <c r="AG1801" s="38"/>
      <c r="AH1801" s="38"/>
      <c r="AI1801" s="38"/>
      <c r="AJ1801" s="38"/>
      <c r="AK1801" s="38"/>
    </row>
    <row r="1802">
      <c r="A1802" s="99">
        <v>1801.0</v>
      </c>
      <c r="B1802" s="15"/>
      <c r="C1802" s="15"/>
      <c r="D1802" s="105">
        <v>1.0</v>
      </c>
      <c r="E1802" s="102">
        <v>33.0</v>
      </c>
      <c r="F1802" s="107">
        <v>11.0</v>
      </c>
      <c r="G1802" s="15" t="str">
        <f t="shared" si="1"/>
        <v>33011</v>
      </c>
      <c r="H1802" s="23" t="s">
        <v>306</v>
      </c>
      <c r="I1802" s="23" t="s">
        <v>85</v>
      </c>
      <c r="J1802" s="23" t="s">
        <v>1517</v>
      </c>
      <c r="K1802" s="112" t="str">
        <f t="shared" si="30"/>
        <v>Hillsborough, NH</v>
      </c>
      <c r="L1802" s="23" t="s">
        <v>63</v>
      </c>
      <c r="M1802" s="23" t="s">
        <v>63</v>
      </c>
      <c r="N1802" s="23" t="s">
        <v>63</v>
      </c>
      <c r="O1802" s="23" t="s">
        <v>63</v>
      </c>
      <c r="P1802" s="23" t="s">
        <v>63</v>
      </c>
      <c r="Q1802" s="23" t="s">
        <v>63</v>
      </c>
      <c r="R1802" s="23" t="s">
        <v>63</v>
      </c>
      <c r="S1802" s="23" t="s">
        <v>63</v>
      </c>
      <c r="T1802" s="32" t="s">
        <v>63</v>
      </c>
      <c r="U1802" s="23" t="s">
        <v>63</v>
      </c>
      <c r="V1802" s="23" t="s">
        <v>63</v>
      </c>
      <c r="W1802" s="23" t="s">
        <v>63</v>
      </c>
      <c r="X1802" s="23" t="s">
        <v>63</v>
      </c>
      <c r="Y1802" s="35">
        <v>181.0</v>
      </c>
      <c r="Z1802" s="32" t="s">
        <v>63</v>
      </c>
      <c r="AA1802" s="38"/>
      <c r="AB1802" s="38"/>
      <c r="AC1802" s="38"/>
      <c r="AD1802" s="38"/>
      <c r="AE1802" s="38"/>
      <c r="AF1802" s="38"/>
      <c r="AG1802" s="38"/>
      <c r="AH1802" s="38"/>
      <c r="AI1802" s="38"/>
      <c r="AJ1802" s="38"/>
      <c r="AK1802" s="38"/>
    </row>
    <row r="1803">
      <c r="A1803" s="99">
        <v>1802.0</v>
      </c>
      <c r="B1803" s="15"/>
      <c r="C1803" s="15"/>
      <c r="D1803" s="105">
        <v>1.0</v>
      </c>
      <c r="E1803" s="102">
        <v>33.0</v>
      </c>
      <c r="F1803" s="107">
        <v>13.0</v>
      </c>
      <c r="G1803" s="15" t="str">
        <f t="shared" si="1"/>
        <v>33013</v>
      </c>
      <c r="H1803" s="23" t="s">
        <v>1522</v>
      </c>
      <c r="I1803" s="23" t="s">
        <v>85</v>
      </c>
      <c r="J1803" s="23" t="s">
        <v>1517</v>
      </c>
      <c r="K1803" s="23" t="str">
        <f t="shared" si="30"/>
        <v>Merrimack, NH</v>
      </c>
      <c r="L1803" s="23" t="s">
        <v>63</v>
      </c>
      <c r="M1803" s="23" t="s">
        <v>63</v>
      </c>
      <c r="N1803" s="23" t="s">
        <v>63</v>
      </c>
      <c r="O1803" s="23" t="s">
        <v>63</v>
      </c>
      <c r="P1803" s="23" t="s">
        <v>63</v>
      </c>
      <c r="Q1803" s="23" t="s">
        <v>63</v>
      </c>
      <c r="R1803" s="23" t="s">
        <v>63</v>
      </c>
      <c r="S1803" s="23" t="s">
        <v>63</v>
      </c>
      <c r="T1803" s="32" t="s">
        <v>63</v>
      </c>
      <c r="U1803" s="23" t="s">
        <v>63</v>
      </c>
      <c r="V1803" s="23" t="s">
        <v>63</v>
      </c>
      <c r="W1803" s="23" t="s">
        <v>63</v>
      </c>
      <c r="X1803" s="23" t="s">
        <v>63</v>
      </c>
      <c r="Y1803" s="35">
        <v>95.0</v>
      </c>
      <c r="Z1803" s="32" t="s">
        <v>63</v>
      </c>
      <c r="AA1803" s="38"/>
      <c r="AB1803" s="38"/>
      <c r="AC1803" s="38"/>
      <c r="AD1803" s="38"/>
      <c r="AE1803" s="38"/>
      <c r="AF1803" s="38"/>
      <c r="AG1803" s="38"/>
      <c r="AH1803" s="38"/>
      <c r="AI1803" s="38"/>
      <c r="AJ1803" s="38"/>
      <c r="AK1803" s="38"/>
    </row>
    <row r="1804">
      <c r="A1804" s="99">
        <v>1803.0</v>
      </c>
      <c r="B1804" s="15"/>
      <c r="C1804" s="15"/>
      <c r="D1804" s="105">
        <v>1.0</v>
      </c>
      <c r="E1804" s="102">
        <v>33.0</v>
      </c>
      <c r="F1804" s="107">
        <v>15.0</v>
      </c>
      <c r="G1804" s="15" t="str">
        <f t="shared" si="1"/>
        <v>33015</v>
      </c>
      <c r="H1804" s="23" t="s">
        <v>1523</v>
      </c>
      <c r="I1804" s="23" t="s">
        <v>85</v>
      </c>
      <c r="J1804" s="23" t="s">
        <v>1517</v>
      </c>
      <c r="K1804" s="112" t="str">
        <f t="shared" si="30"/>
        <v>Rockingham, NH</v>
      </c>
      <c r="L1804" s="23" t="s">
        <v>63</v>
      </c>
      <c r="M1804" s="23" t="s">
        <v>63</v>
      </c>
      <c r="N1804" s="23" t="s">
        <v>63</v>
      </c>
      <c r="O1804" s="23" t="s">
        <v>63</v>
      </c>
      <c r="P1804" s="23" t="s">
        <v>63</v>
      </c>
      <c r="Q1804" s="23" t="s">
        <v>63</v>
      </c>
      <c r="R1804" s="23" t="s">
        <v>63</v>
      </c>
      <c r="S1804" s="23" t="s">
        <v>63</v>
      </c>
      <c r="T1804" s="32" t="s">
        <v>63</v>
      </c>
      <c r="U1804" s="23" t="s">
        <v>63</v>
      </c>
      <c r="V1804" s="23" t="s">
        <v>63</v>
      </c>
      <c r="W1804" s="23" t="s">
        <v>63</v>
      </c>
      <c r="X1804" s="23" t="s">
        <v>63</v>
      </c>
      <c r="Y1804" s="35">
        <v>141.0</v>
      </c>
      <c r="Z1804" s="32" t="s">
        <v>63</v>
      </c>
      <c r="AA1804" s="38"/>
      <c r="AB1804" s="38"/>
      <c r="AC1804" s="38"/>
      <c r="AD1804" s="38"/>
      <c r="AE1804" s="38"/>
      <c r="AF1804" s="38"/>
      <c r="AG1804" s="38"/>
      <c r="AH1804" s="38"/>
      <c r="AI1804" s="38"/>
      <c r="AJ1804" s="38"/>
      <c r="AK1804" s="38"/>
    </row>
    <row r="1805">
      <c r="A1805" s="99">
        <v>1804.0</v>
      </c>
      <c r="B1805" s="15"/>
      <c r="C1805" s="15"/>
      <c r="D1805" s="105">
        <v>1.0</v>
      </c>
      <c r="E1805" s="102">
        <v>33.0</v>
      </c>
      <c r="F1805" s="107">
        <v>17.0</v>
      </c>
      <c r="G1805" s="15" t="str">
        <f t="shared" si="1"/>
        <v>33017</v>
      </c>
      <c r="H1805" s="23" t="s">
        <v>1524</v>
      </c>
      <c r="I1805" s="23" t="s">
        <v>85</v>
      </c>
      <c r="J1805" s="23" t="s">
        <v>1517</v>
      </c>
      <c r="K1805" s="23" t="str">
        <f t="shared" si="30"/>
        <v>Strafford, NH</v>
      </c>
      <c r="L1805" s="23" t="s">
        <v>63</v>
      </c>
      <c r="M1805" s="23" t="s">
        <v>63</v>
      </c>
      <c r="N1805" s="23" t="s">
        <v>63</v>
      </c>
      <c r="O1805" s="23" t="s">
        <v>63</v>
      </c>
      <c r="P1805" s="23" t="s">
        <v>63</v>
      </c>
      <c r="Q1805" s="23" t="s">
        <v>63</v>
      </c>
      <c r="R1805" s="23" t="s">
        <v>63</v>
      </c>
      <c r="S1805" s="23" t="s">
        <v>63</v>
      </c>
      <c r="T1805" s="32" t="s">
        <v>63</v>
      </c>
      <c r="U1805" s="23" t="s">
        <v>63</v>
      </c>
      <c r="V1805" s="23" t="s">
        <v>63</v>
      </c>
      <c r="W1805" s="23" t="s">
        <v>63</v>
      </c>
      <c r="X1805" s="23" t="s">
        <v>63</v>
      </c>
      <c r="Y1805" s="35">
        <v>70.0</v>
      </c>
      <c r="Z1805" s="32" t="s">
        <v>63</v>
      </c>
      <c r="AA1805" s="38"/>
      <c r="AB1805" s="38"/>
      <c r="AC1805" s="38"/>
      <c r="AD1805" s="38"/>
      <c r="AE1805" s="38"/>
      <c r="AF1805" s="38"/>
      <c r="AG1805" s="38"/>
      <c r="AH1805" s="38"/>
      <c r="AI1805" s="38"/>
      <c r="AJ1805" s="38"/>
      <c r="AK1805" s="38"/>
    </row>
    <row r="1806">
      <c r="A1806" s="99">
        <v>1805.0</v>
      </c>
      <c r="B1806" s="15"/>
      <c r="C1806" s="15"/>
      <c r="D1806" s="105">
        <v>1.0</v>
      </c>
      <c r="E1806" s="102">
        <v>33.0</v>
      </c>
      <c r="F1806" s="107">
        <v>19.0</v>
      </c>
      <c r="G1806" s="15" t="str">
        <f t="shared" si="1"/>
        <v>33019</v>
      </c>
      <c r="H1806" s="23" t="s">
        <v>860</v>
      </c>
      <c r="I1806" s="23" t="s">
        <v>85</v>
      </c>
      <c r="J1806" s="23" t="s">
        <v>1517</v>
      </c>
      <c r="K1806" s="23" t="str">
        <f t="shared" si="30"/>
        <v>Sullivan, NH</v>
      </c>
      <c r="L1806" s="23" t="s">
        <v>63</v>
      </c>
      <c r="M1806" s="23" t="s">
        <v>63</v>
      </c>
      <c r="N1806" s="23" t="s">
        <v>63</v>
      </c>
      <c r="O1806" s="23" t="s">
        <v>63</v>
      </c>
      <c r="P1806" s="23" t="s">
        <v>63</v>
      </c>
      <c r="Q1806" s="23" t="s">
        <v>63</v>
      </c>
      <c r="R1806" s="23" t="s">
        <v>63</v>
      </c>
      <c r="S1806" s="23" t="s">
        <v>63</v>
      </c>
      <c r="T1806" s="32" t="s">
        <v>63</v>
      </c>
      <c r="U1806" s="23" t="s">
        <v>63</v>
      </c>
      <c r="V1806" s="23" t="s">
        <v>63</v>
      </c>
      <c r="W1806" s="23" t="s">
        <v>63</v>
      </c>
      <c r="X1806" s="23" t="s">
        <v>63</v>
      </c>
      <c r="Y1806" s="35">
        <v>40.0</v>
      </c>
      <c r="Z1806" s="32" t="s">
        <v>63</v>
      </c>
      <c r="AA1806" s="38"/>
      <c r="AB1806" s="38"/>
      <c r="AC1806" s="38"/>
      <c r="AD1806" s="38"/>
      <c r="AE1806" s="38"/>
      <c r="AF1806" s="38"/>
      <c r="AG1806" s="38"/>
      <c r="AH1806" s="38"/>
      <c r="AI1806" s="38"/>
      <c r="AJ1806" s="38"/>
      <c r="AK1806" s="38"/>
    </row>
    <row r="1807">
      <c r="A1807" s="28">
        <v>1806.0</v>
      </c>
      <c r="B1807" s="29"/>
      <c r="C1807" s="29" t="s">
        <v>25</v>
      </c>
      <c r="D1807" s="30"/>
      <c r="E1807" s="31">
        <v>34.0</v>
      </c>
      <c r="F1807" s="42">
        <v>0.0</v>
      </c>
      <c r="G1807" s="29" t="str">
        <f t="shared" si="1"/>
        <v>34000</v>
      </c>
      <c r="H1807" s="37"/>
      <c r="I1807" s="37" t="s">
        <v>88</v>
      </c>
      <c r="J1807" s="37" t="s">
        <v>448</v>
      </c>
      <c r="K1807" s="37"/>
      <c r="L1807" s="70">
        <f t="array" ref="L1807:Z1807">'New Jersey'!C25:Q25</f>
        <v>2939</v>
      </c>
      <c r="M1807" s="37" t="s">
        <v>63</v>
      </c>
      <c r="N1807" s="53">
        <v>1244.0</v>
      </c>
      <c r="O1807" s="53">
        <v>1346.0</v>
      </c>
      <c r="P1807" s="37" t="s">
        <v>63</v>
      </c>
      <c r="Q1807" s="70">
        <v>2449.0</v>
      </c>
      <c r="R1807" s="70">
        <v>444.0</v>
      </c>
      <c r="S1807" s="37" t="s">
        <v>63</v>
      </c>
      <c r="T1807" s="69">
        <v>0.47</v>
      </c>
      <c r="U1807" s="37" t="s">
        <v>63</v>
      </c>
      <c r="V1807" s="37" t="s">
        <v>63</v>
      </c>
      <c r="W1807" s="71" t="s">
        <v>63</v>
      </c>
      <c r="X1807" s="37" t="s">
        <v>63</v>
      </c>
      <c r="Y1807" s="53">
        <v>4508.0</v>
      </c>
      <c r="Z1807" s="69" t="s">
        <v>63</v>
      </c>
      <c r="AA1807" s="73"/>
      <c r="AB1807" s="73"/>
      <c r="AC1807" s="73"/>
      <c r="AD1807" s="73"/>
      <c r="AE1807" s="73"/>
      <c r="AF1807" s="73"/>
      <c r="AG1807" s="73"/>
      <c r="AH1807" s="73"/>
      <c r="AI1807" s="73"/>
      <c r="AJ1807" s="73"/>
      <c r="AK1807" s="73"/>
    </row>
    <row r="1808">
      <c r="A1808" s="28">
        <v>1807.0</v>
      </c>
      <c r="B1808" s="29"/>
      <c r="C1808" s="29"/>
      <c r="D1808" s="40">
        <v>1.0</v>
      </c>
      <c r="E1808" s="31">
        <v>34.0</v>
      </c>
      <c r="F1808" s="42">
        <v>1.0</v>
      </c>
      <c r="G1808" s="29" t="str">
        <f t="shared" si="1"/>
        <v>34001</v>
      </c>
      <c r="H1808" s="37" t="s">
        <v>1525</v>
      </c>
      <c r="I1808" s="37" t="s">
        <v>88</v>
      </c>
      <c r="J1808" s="37" t="s">
        <v>448</v>
      </c>
      <c r="K1808" s="37" t="str">
        <f t="shared" ref="K1808:K1828" si="31">CONCATENATE(H1808,", ",J1808)</f>
        <v>Atlantic, NJ</v>
      </c>
      <c r="L1808" s="37">
        <f t="array" ref="L1808:Z1828">'New Jersey'!C3:Q23</f>
        <v>164</v>
      </c>
      <c r="M1808" s="37" t="s">
        <v>63</v>
      </c>
      <c r="N1808" s="37">
        <v>77.0</v>
      </c>
      <c r="O1808" s="37">
        <v>74.0</v>
      </c>
      <c r="P1808" s="37" t="s">
        <v>63</v>
      </c>
      <c r="Q1808" s="37" t="s">
        <v>63</v>
      </c>
      <c r="R1808" s="37" t="s">
        <v>63</v>
      </c>
      <c r="S1808" s="37" t="s">
        <v>63</v>
      </c>
      <c r="T1808" s="69">
        <v>0.49</v>
      </c>
      <c r="U1808" s="37" t="s">
        <v>63</v>
      </c>
      <c r="V1808" s="37" t="s">
        <v>63</v>
      </c>
      <c r="W1808" s="71" t="s">
        <v>63</v>
      </c>
      <c r="X1808" s="72" t="s">
        <v>63</v>
      </c>
      <c r="Y1808" s="53">
        <v>159.0</v>
      </c>
      <c r="Z1808" s="69" t="s">
        <v>63</v>
      </c>
      <c r="AA1808" s="73"/>
      <c r="AB1808" s="73"/>
      <c r="AC1808" s="73"/>
      <c r="AD1808" s="73"/>
      <c r="AE1808" s="73"/>
      <c r="AF1808" s="73"/>
      <c r="AG1808" s="73"/>
      <c r="AH1808" s="73"/>
      <c r="AI1808" s="73"/>
      <c r="AJ1808" s="73"/>
      <c r="AK1808" s="73"/>
    </row>
    <row r="1809">
      <c r="A1809" s="28">
        <v>1808.0</v>
      </c>
      <c r="B1809" s="29"/>
      <c r="C1809" s="29"/>
      <c r="D1809" s="40">
        <v>1.0</v>
      </c>
      <c r="E1809" s="31">
        <v>34.0</v>
      </c>
      <c r="F1809" s="42">
        <v>3.0</v>
      </c>
      <c r="G1809" s="29" t="str">
        <f t="shared" si="1"/>
        <v>34003</v>
      </c>
      <c r="H1809" s="37" t="s">
        <v>447</v>
      </c>
      <c r="I1809" s="37" t="s">
        <v>88</v>
      </c>
      <c r="J1809" s="37" t="s">
        <v>448</v>
      </c>
      <c r="K1809" s="37" t="str">
        <f t="shared" si="31"/>
        <v>Bergen, NJ</v>
      </c>
      <c r="L1809" s="37">
        <v>82.0</v>
      </c>
      <c r="M1809" s="37" t="s">
        <v>63</v>
      </c>
      <c r="N1809" s="37">
        <v>27.0</v>
      </c>
      <c r="O1809" s="37">
        <v>44.0</v>
      </c>
      <c r="P1809" s="37" t="s">
        <v>63</v>
      </c>
      <c r="Q1809" s="37" t="s">
        <v>63</v>
      </c>
      <c r="R1809" s="37" t="s">
        <v>63</v>
      </c>
      <c r="S1809" s="37" t="s">
        <v>63</v>
      </c>
      <c r="T1809" s="69">
        <v>0.43</v>
      </c>
      <c r="U1809" s="37" t="s">
        <v>63</v>
      </c>
      <c r="V1809" s="37" t="s">
        <v>63</v>
      </c>
      <c r="W1809" s="37" t="s">
        <v>63</v>
      </c>
      <c r="X1809" s="72" t="s">
        <v>63</v>
      </c>
      <c r="Y1809" s="53">
        <v>436.0</v>
      </c>
      <c r="Z1809" s="69" t="s">
        <v>63</v>
      </c>
      <c r="AA1809" s="73"/>
      <c r="AB1809" s="73"/>
      <c r="AC1809" s="73"/>
      <c r="AD1809" s="73"/>
      <c r="AE1809" s="73"/>
      <c r="AF1809" s="73"/>
      <c r="AG1809" s="73"/>
      <c r="AH1809" s="73"/>
      <c r="AI1809" s="73"/>
      <c r="AJ1809" s="73"/>
      <c r="AK1809" s="73"/>
    </row>
    <row r="1810">
      <c r="A1810" s="28">
        <v>1809.0</v>
      </c>
      <c r="B1810" s="29"/>
      <c r="C1810" s="29"/>
      <c r="D1810" s="40">
        <v>1.0</v>
      </c>
      <c r="E1810" s="31">
        <v>34.0</v>
      </c>
      <c r="F1810" s="42">
        <v>5.0</v>
      </c>
      <c r="G1810" s="29" t="str">
        <f t="shared" si="1"/>
        <v>34005</v>
      </c>
      <c r="H1810" s="37" t="s">
        <v>1526</v>
      </c>
      <c r="I1810" s="37" t="s">
        <v>88</v>
      </c>
      <c r="J1810" s="37" t="s">
        <v>448</v>
      </c>
      <c r="K1810" s="37" t="str">
        <f t="shared" si="31"/>
        <v>Burlington, NJ</v>
      </c>
      <c r="L1810" s="37">
        <v>202.0</v>
      </c>
      <c r="M1810" s="37" t="s">
        <v>63</v>
      </c>
      <c r="N1810" s="37">
        <v>98.0</v>
      </c>
      <c r="O1810" s="37">
        <v>87.0</v>
      </c>
      <c r="P1810" s="37" t="s">
        <v>63</v>
      </c>
      <c r="Q1810" s="37" t="s">
        <v>63</v>
      </c>
      <c r="R1810" s="37" t="s">
        <v>63</v>
      </c>
      <c r="S1810" s="37" t="s">
        <v>63</v>
      </c>
      <c r="T1810" s="69">
        <v>0.48</v>
      </c>
      <c r="U1810" s="37" t="s">
        <v>63</v>
      </c>
      <c r="V1810" s="37" t="s">
        <v>63</v>
      </c>
      <c r="W1810" s="37" t="s">
        <v>63</v>
      </c>
      <c r="X1810" s="72" t="s">
        <v>63</v>
      </c>
      <c r="Y1810" s="53">
        <v>231.0</v>
      </c>
      <c r="Z1810" s="69" t="s">
        <v>63</v>
      </c>
      <c r="AA1810" s="73"/>
      <c r="AB1810" s="73"/>
      <c r="AC1810" s="73"/>
      <c r="AD1810" s="73"/>
      <c r="AE1810" s="73"/>
      <c r="AF1810" s="73"/>
      <c r="AG1810" s="73"/>
      <c r="AH1810" s="73"/>
      <c r="AI1810" s="73"/>
      <c r="AJ1810" s="73"/>
      <c r="AK1810" s="73"/>
    </row>
    <row r="1811">
      <c r="A1811" s="28">
        <v>1810.0</v>
      </c>
      <c r="B1811" s="29"/>
      <c r="C1811" s="29"/>
      <c r="D1811" s="40">
        <v>1.0</v>
      </c>
      <c r="E1811" s="31">
        <v>34.0</v>
      </c>
      <c r="F1811" s="42">
        <v>7.0</v>
      </c>
      <c r="G1811" s="29" t="str">
        <f t="shared" si="1"/>
        <v>34007</v>
      </c>
      <c r="H1811" s="37" t="s">
        <v>548</v>
      </c>
      <c r="I1811" s="37" t="s">
        <v>88</v>
      </c>
      <c r="J1811" s="37" t="s">
        <v>448</v>
      </c>
      <c r="K1811" s="37" t="str">
        <f t="shared" si="31"/>
        <v>Camden, NJ</v>
      </c>
      <c r="L1811" s="37">
        <v>428.0</v>
      </c>
      <c r="M1811" s="37" t="s">
        <v>63</v>
      </c>
      <c r="N1811" s="37">
        <v>201.0</v>
      </c>
      <c r="O1811" s="37">
        <v>201.0</v>
      </c>
      <c r="P1811" s="37" t="s">
        <v>63</v>
      </c>
      <c r="Q1811" s="37" t="s">
        <v>63</v>
      </c>
      <c r="R1811" s="37" t="s">
        <v>63</v>
      </c>
      <c r="S1811" s="37" t="s">
        <v>63</v>
      </c>
      <c r="T1811" s="69">
        <v>0.48</v>
      </c>
      <c r="U1811" s="37" t="s">
        <v>63</v>
      </c>
      <c r="V1811" s="37" t="s">
        <v>63</v>
      </c>
      <c r="W1811" s="37" t="s">
        <v>63</v>
      </c>
      <c r="X1811" s="72" t="s">
        <v>63</v>
      </c>
      <c r="Y1811" s="53">
        <v>275.0</v>
      </c>
      <c r="Z1811" s="69" t="s">
        <v>63</v>
      </c>
      <c r="AA1811" s="73"/>
      <c r="AB1811" s="73"/>
      <c r="AC1811" s="73"/>
      <c r="AD1811" s="73"/>
      <c r="AE1811" s="73"/>
      <c r="AF1811" s="73"/>
      <c r="AG1811" s="73"/>
      <c r="AH1811" s="73"/>
      <c r="AI1811" s="73"/>
      <c r="AJ1811" s="73"/>
      <c r="AK1811" s="73"/>
    </row>
    <row r="1812">
      <c r="A1812" s="28">
        <v>1811.0</v>
      </c>
      <c r="B1812" s="29"/>
      <c r="C1812" s="29"/>
      <c r="D1812" s="40">
        <v>1.0</v>
      </c>
      <c r="E1812" s="31">
        <v>34.0</v>
      </c>
      <c r="F1812" s="42">
        <v>9.0</v>
      </c>
      <c r="G1812" s="29" t="str">
        <f t="shared" si="1"/>
        <v>34009</v>
      </c>
      <c r="H1812" s="37" t="s">
        <v>1527</v>
      </c>
      <c r="I1812" s="37" t="s">
        <v>88</v>
      </c>
      <c r="J1812" s="37" t="s">
        <v>448</v>
      </c>
      <c r="K1812" s="37" t="str">
        <f t="shared" si="31"/>
        <v>Cape May, NJ</v>
      </c>
      <c r="L1812" s="37">
        <v>63.0</v>
      </c>
      <c r="M1812" s="37" t="s">
        <v>63</v>
      </c>
      <c r="N1812" s="37">
        <v>34.0</v>
      </c>
      <c r="O1812" s="37">
        <v>24.0</v>
      </c>
      <c r="P1812" s="37" t="s">
        <v>63</v>
      </c>
      <c r="Q1812" s="37" t="s">
        <v>63</v>
      </c>
      <c r="R1812" s="37" t="s">
        <v>63</v>
      </c>
      <c r="S1812" s="37" t="s">
        <v>63</v>
      </c>
      <c r="T1812" s="69">
        <v>0.53</v>
      </c>
      <c r="U1812" s="37" t="s">
        <v>63</v>
      </c>
      <c r="V1812" s="37" t="s">
        <v>63</v>
      </c>
      <c r="W1812" s="37" t="s">
        <v>63</v>
      </c>
      <c r="X1812" s="72" t="s">
        <v>63</v>
      </c>
      <c r="Y1812" s="53">
        <v>86.0</v>
      </c>
      <c r="Z1812" s="69" t="s">
        <v>63</v>
      </c>
      <c r="AA1812" s="73"/>
      <c r="AB1812" s="73"/>
      <c r="AC1812" s="73"/>
      <c r="AD1812" s="73"/>
      <c r="AE1812" s="73"/>
      <c r="AF1812" s="73"/>
      <c r="AG1812" s="73"/>
      <c r="AH1812" s="73"/>
      <c r="AI1812" s="73"/>
      <c r="AJ1812" s="73"/>
      <c r="AK1812" s="73"/>
    </row>
    <row r="1813">
      <c r="A1813" s="28">
        <v>1812.0</v>
      </c>
      <c r="B1813" s="29"/>
      <c r="C1813" s="29"/>
      <c r="D1813" s="40">
        <v>1.0</v>
      </c>
      <c r="E1813" s="31">
        <v>34.0</v>
      </c>
      <c r="F1813" s="42">
        <v>11.0</v>
      </c>
      <c r="G1813" s="29" t="str">
        <f t="shared" si="1"/>
        <v>34011</v>
      </c>
      <c r="H1813" s="37" t="s">
        <v>713</v>
      </c>
      <c r="I1813" s="37" t="s">
        <v>88</v>
      </c>
      <c r="J1813" s="37" t="s">
        <v>448</v>
      </c>
      <c r="K1813" s="37" t="str">
        <f t="shared" si="31"/>
        <v>Cumberland, NJ</v>
      </c>
      <c r="L1813" s="37">
        <v>99.0</v>
      </c>
      <c r="M1813" s="37" t="s">
        <v>63</v>
      </c>
      <c r="N1813" s="37">
        <v>50.0</v>
      </c>
      <c r="O1813" s="37">
        <v>33.0</v>
      </c>
      <c r="P1813" s="37" t="s">
        <v>63</v>
      </c>
      <c r="Q1813" s="37" t="s">
        <v>63</v>
      </c>
      <c r="R1813" s="37" t="s">
        <v>63</v>
      </c>
      <c r="S1813" s="37" t="s">
        <v>63</v>
      </c>
      <c r="T1813" s="69">
        <v>0.56</v>
      </c>
      <c r="U1813" s="37" t="s">
        <v>63</v>
      </c>
      <c r="V1813" s="37" t="s">
        <v>63</v>
      </c>
      <c r="W1813" s="37" t="s">
        <v>63</v>
      </c>
      <c r="X1813" s="72" t="s">
        <v>63</v>
      </c>
      <c r="Y1813" s="53">
        <v>126.0</v>
      </c>
      <c r="Z1813" s="69" t="s">
        <v>63</v>
      </c>
      <c r="AA1813" s="73"/>
      <c r="AB1813" s="73"/>
      <c r="AC1813" s="73"/>
      <c r="AD1813" s="73"/>
      <c r="AE1813" s="73"/>
      <c r="AF1813" s="73"/>
      <c r="AG1813" s="73"/>
      <c r="AH1813" s="73"/>
      <c r="AI1813" s="73"/>
      <c r="AJ1813" s="73"/>
      <c r="AK1813" s="73"/>
    </row>
    <row r="1814">
      <c r="A1814" s="28">
        <v>1813.0</v>
      </c>
      <c r="B1814" s="29"/>
      <c r="C1814" s="29"/>
      <c r="D1814" s="40">
        <v>1.0</v>
      </c>
      <c r="E1814" s="31">
        <v>34.0</v>
      </c>
      <c r="F1814" s="42">
        <v>13.0</v>
      </c>
      <c r="G1814" s="29" t="str">
        <f t="shared" si="1"/>
        <v>34013</v>
      </c>
      <c r="H1814" s="37" t="s">
        <v>516</v>
      </c>
      <c r="I1814" s="37" t="s">
        <v>88</v>
      </c>
      <c r="J1814" s="37" t="s">
        <v>448</v>
      </c>
      <c r="K1814" s="37" t="str">
        <f t="shared" si="31"/>
        <v>Essex, NJ</v>
      </c>
      <c r="L1814" s="37">
        <v>357.0</v>
      </c>
      <c r="M1814" s="37" t="s">
        <v>63</v>
      </c>
      <c r="N1814" s="37">
        <v>168.0</v>
      </c>
      <c r="O1814" s="37">
        <v>149.0</v>
      </c>
      <c r="P1814" s="37" t="s">
        <v>63</v>
      </c>
      <c r="Q1814" s="37" t="s">
        <v>63</v>
      </c>
      <c r="R1814" s="37" t="s">
        <v>63</v>
      </c>
      <c r="S1814" s="37" t="s">
        <v>63</v>
      </c>
      <c r="T1814" s="69">
        <v>0.33</v>
      </c>
      <c r="U1814" s="37" t="s">
        <v>63</v>
      </c>
      <c r="V1814" s="37" t="s">
        <v>63</v>
      </c>
      <c r="W1814" s="37" t="s">
        <v>63</v>
      </c>
      <c r="X1814" s="72" t="s">
        <v>63</v>
      </c>
      <c r="Y1814" s="53">
        <v>498.0</v>
      </c>
      <c r="Z1814" s="69" t="s">
        <v>63</v>
      </c>
      <c r="AA1814" s="73"/>
      <c r="AB1814" s="73"/>
      <c r="AC1814" s="73"/>
      <c r="AD1814" s="73"/>
      <c r="AE1814" s="73"/>
      <c r="AF1814" s="73"/>
      <c r="AG1814" s="73"/>
      <c r="AH1814" s="73"/>
      <c r="AI1814" s="73"/>
      <c r="AJ1814" s="73"/>
      <c r="AK1814" s="73"/>
    </row>
    <row r="1815">
      <c r="A1815" s="28">
        <v>1814.0</v>
      </c>
      <c r="B1815" s="29"/>
      <c r="C1815" s="29"/>
      <c r="D1815" s="40">
        <v>1.0</v>
      </c>
      <c r="E1815" s="31">
        <v>34.0</v>
      </c>
      <c r="F1815" s="42">
        <v>15.0</v>
      </c>
      <c r="G1815" s="29" t="str">
        <f t="shared" si="1"/>
        <v>34015</v>
      </c>
      <c r="H1815" s="37" t="s">
        <v>1528</v>
      </c>
      <c r="I1815" s="37" t="s">
        <v>88</v>
      </c>
      <c r="J1815" s="37" t="s">
        <v>448</v>
      </c>
      <c r="K1815" s="37" t="str">
        <f t="shared" si="31"/>
        <v>Gloucester, NJ</v>
      </c>
      <c r="L1815" s="37">
        <v>161.0</v>
      </c>
      <c r="M1815" s="37" t="s">
        <v>63</v>
      </c>
      <c r="N1815" s="37">
        <v>71.0</v>
      </c>
      <c r="O1815" s="37">
        <v>64.0</v>
      </c>
      <c r="P1815" s="37" t="s">
        <v>63</v>
      </c>
      <c r="Q1815" s="37" t="s">
        <v>63</v>
      </c>
      <c r="R1815" s="37" t="s">
        <v>63</v>
      </c>
      <c r="S1815" s="37" t="s">
        <v>63</v>
      </c>
      <c r="T1815" s="69">
        <v>0.42</v>
      </c>
      <c r="U1815" s="37" t="s">
        <v>63</v>
      </c>
      <c r="V1815" s="37" t="s">
        <v>63</v>
      </c>
      <c r="W1815" s="37" t="s">
        <v>63</v>
      </c>
      <c r="X1815" s="72" t="s">
        <v>63</v>
      </c>
      <c r="Y1815" s="53">
        <v>182.0</v>
      </c>
      <c r="Z1815" s="69" t="s">
        <v>63</v>
      </c>
      <c r="AA1815" s="73"/>
      <c r="AB1815" s="73"/>
      <c r="AC1815" s="73"/>
      <c r="AD1815" s="73"/>
      <c r="AE1815" s="73"/>
      <c r="AF1815" s="73"/>
      <c r="AG1815" s="73"/>
      <c r="AH1815" s="73"/>
      <c r="AI1815" s="73"/>
      <c r="AJ1815" s="73"/>
      <c r="AK1815" s="73"/>
    </row>
    <row r="1816">
      <c r="A1816" s="28">
        <v>1815.0</v>
      </c>
      <c r="B1816" s="29"/>
      <c r="C1816" s="29"/>
      <c r="D1816" s="40">
        <v>1.0</v>
      </c>
      <c r="E1816" s="31">
        <v>34.0</v>
      </c>
      <c r="F1816" s="42">
        <v>17.0</v>
      </c>
      <c r="G1816" s="29" t="str">
        <f t="shared" si="1"/>
        <v>34017</v>
      </c>
      <c r="H1816" s="37" t="s">
        <v>580</v>
      </c>
      <c r="I1816" s="37" t="s">
        <v>88</v>
      </c>
      <c r="J1816" s="37" t="s">
        <v>448</v>
      </c>
      <c r="K1816" s="37" t="str">
        <f t="shared" si="31"/>
        <v>Hudson, NJ</v>
      </c>
      <c r="L1816" s="37">
        <v>167.0</v>
      </c>
      <c r="M1816" s="37" t="s">
        <v>63</v>
      </c>
      <c r="N1816" s="37">
        <v>40.0</v>
      </c>
      <c r="O1816" s="37">
        <v>94.0</v>
      </c>
      <c r="P1816" s="37" t="s">
        <v>63</v>
      </c>
      <c r="Q1816" s="37" t="s">
        <v>63</v>
      </c>
      <c r="R1816" s="37" t="s">
        <v>63</v>
      </c>
      <c r="S1816" s="37" t="s">
        <v>63</v>
      </c>
      <c r="T1816" s="69">
        <v>0.37</v>
      </c>
      <c r="U1816" s="37" t="s">
        <v>63</v>
      </c>
      <c r="V1816" s="37" t="s">
        <v>63</v>
      </c>
      <c r="W1816" s="37" t="s">
        <v>63</v>
      </c>
      <c r="X1816" s="72" t="s">
        <v>63</v>
      </c>
      <c r="Y1816" s="53">
        <v>246.0</v>
      </c>
      <c r="Z1816" s="69" t="s">
        <v>63</v>
      </c>
      <c r="AA1816" s="73"/>
      <c r="AB1816" s="73"/>
      <c r="AC1816" s="73"/>
      <c r="AD1816" s="73"/>
      <c r="AE1816" s="73"/>
      <c r="AF1816" s="73"/>
      <c r="AG1816" s="73"/>
      <c r="AH1816" s="73"/>
      <c r="AI1816" s="73"/>
      <c r="AJ1816" s="73"/>
      <c r="AK1816" s="73"/>
    </row>
    <row r="1817">
      <c r="A1817" s="28">
        <v>1816.0</v>
      </c>
      <c r="B1817" s="29"/>
      <c r="C1817" s="29"/>
      <c r="D1817" s="40">
        <v>1.0</v>
      </c>
      <c r="E1817" s="31">
        <v>34.0</v>
      </c>
      <c r="F1817" s="42">
        <v>19.0</v>
      </c>
      <c r="G1817" s="29" t="str">
        <f t="shared" si="1"/>
        <v>34019</v>
      </c>
      <c r="H1817" s="37" t="s">
        <v>1529</v>
      </c>
      <c r="I1817" s="37" t="s">
        <v>88</v>
      </c>
      <c r="J1817" s="37" t="s">
        <v>448</v>
      </c>
      <c r="K1817" s="37" t="str">
        <f t="shared" si="31"/>
        <v>Hunterdon, NJ</v>
      </c>
      <c r="L1817" s="37" t="s">
        <v>63</v>
      </c>
      <c r="M1817" s="37" t="s">
        <v>63</v>
      </c>
      <c r="N1817" s="37" t="s">
        <v>63</v>
      </c>
      <c r="O1817" s="37" t="s">
        <v>63</v>
      </c>
      <c r="P1817" s="37" t="s">
        <v>63</v>
      </c>
      <c r="Q1817" s="37" t="s">
        <v>63</v>
      </c>
      <c r="R1817" s="37" t="s">
        <v>63</v>
      </c>
      <c r="S1817" s="37" t="s">
        <v>63</v>
      </c>
      <c r="T1817" s="69" t="s">
        <v>63</v>
      </c>
      <c r="U1817" s="37" t="s">
        <v>63</v>
      </c>
      <c r="V1817" s="37" t="s">
        <v>63</v>
      </c>
      <c r="W1817" s="37" t="s">
        <v>63</v>
      </c>
      <c r="X1817" s="72" t="s">
        <v>63</v>
      </c>
      <c r="Y1817" s="53">
        <v>90.0</v>
      </c>
      <c r="Z1817" s="69" t="s">
        <v>63</v>
      </c>
      <c r="AA1817" s="73"/>
      <c r="AB1817" s="73"/>
      <c r="AC1817" s="73"/>
      <c r="AD1817" s="73"/>
      <c r="AE1817" s="73"/>
      <c r="AF1817" s="73"/>
      <c r="AG1817" s="73"/>
      <c r="AH1817" s="73"/>
      <c r="AI1817" s="73"/>
      <c r="AJ1817" s="73"/>
      <c r="AK1817" s="73"/>
    </row>
    <row r="1818">
      <c r="A1818" s="28">
        <v>1817.0</v>
      </c>
      <c r="B1818" s="29"/>
      <c r="C1818" s="29"/>
      <c r="D1818" s="40">
        <v>1.0</v>
      </c>
      <c r="E1818" s="31">
        <v>34.0</v>
      </c>
      <c r="F1818" s="42">
        <v>21.0</v>
      </c>
      <c r="G1818" s="29" t="str">
        <f t="shared" si="1"/>
        <v>34021</v>
      </c>
      <c r="H1818" s="37" t="s">
        <v>738</v>
      </c>
      <c r="I1818" s="37" t="s">
        <v>88</v>
      </c>
      <c r="J1818" s="37" t="s">
        <v>448</v>
      </c>
      <c r="K1818" s="37" t="str">
        <f t="shared" si="31"/>
        <v>Mercer, NJ</v>
      </c>
      <c r="L1818" s="37">
        <v>203.0</v>
      </c>
      <c r="M1818" s="37" t="s">
        <v>63</v>
      </c>
      <c r="N1818" s="37">
        <v>103.0</v>
      </c>
      <c r="O1818" s="37">
        <v>81.0</v>
      </c>
      <c r="P1818" s="37" t="s">
        <v>63</v>
      </c>
      <c r="Q1818" s="37" t="s">
        <v>63</v>
      </c>
      <c r="R1818" s="37" t="s">
        <v>63</v>
      </c>
      <c r="S1818" s="37" t="s">
        <v>63</v>
      </c>
      <c r="T1818" s="69">
        <v>0.46</v>
      </c>
      <c r="U1818" s="37" t="s">
        <v>63</v>
      </c>
      <c r="V1818" s="37" t="s">
        <v>63</v>
      </c>
      <c r="W1818" s="37" t="s">
        <v>63</v>
      </c>
      <c r="X1818" s="72" t="s">
        <v>63</v>
      </c>
      <c r="Y1818" s="53">
        <v>203.0</v>
      </c>
      <c r="Z1818" s="69" t="s">
        <v>63</v>
      </c>
      <c r="AA1818" s="73"/>
      <c r="AB1818" s="73"/>
      <c r="AC1818" s="73"/>
      <c r="AD1818" s="73"/>
      <c r="AE1818" s="73"/>
      <c r="AF1818" s="73"/>
      <c r="AG1818" s="73"/>
      <c r="AH1818" s="73"/>
      <c r="AI1818" s="73"/>
      <c r="AJ1818" s="73"/>
      <c r="AK1818" s="73"/>
    </row>
    <row r="1819">
      <c r="A1819" s="28">
        <v>1818.0</v>
      </c>
      <c r="B1819" s="29"/>
      <c r="C1819" s="29"/>
      <c r="D1819" s="40">
        <v>1.0</v>
      </c>
      <c r="E1819" s="31">
        <v>34.0</v>
      </c>
      <c r="F1819" s="42">
        <v>23.0</v>
      </c>
      <c r="G1819" s="29" t="str">
        <f t="shared" si="1"/>
        <v>34023</v>
      </c>
      <c r="H1819" s="37" t="s">
        <v>281</v>
      </c>
      <c r="I1819" s="37" t="s">
        <v>88</v>
      </c>
      <c r="J1819" s="37" t="s">
        <v>448</v>
      </c>
      <c r="K1819" s="37" t="str">
        <f t="shared" si="31"/>
        <v>Middlesex, NJ</v>
      </c>
      <c r="L1819" s="37">
        <v>154.0</v>
      </c>
      <c r="M1819" s="37" t="s">
        <v>63</v>
      </c>
      <c r="N1819" s="37">
        <v>43.0</v>
      </c>
      <c r="O1819" s="37">
        <v>78.0</v>
      </c>
      <c r="P1819" s="37" t="s">
        <v>63</v>
      </c>
      <c r="Q1819" s="37" t="s">
        <v>63</v>
      </c>
      <c r="R1819" s="37" t="s">
        <v>63</v>
      </c>
      <c r="S1819" s="37" t="s">
        <v>63</v>
      </c>
      <c r="T1819" s="69">
        <v>0.55</v>
      </c>
      <c r="U1819" s="37" t="s">
        <v>63</v>
      </c>
      <c r="V1819" s="37" t="s">
        <v>63</v>
      </c>
      <c r="W1819" s="37" t="s">
        <v>63</v>
      </c>
      <c r="X1819" s="72" t="s">
        <v>63</v>
      </c>
      <c r="Y1819" s="53">
        <v>314.0</v>
      </c>
      <c r="Z1819" s="69" t="s">
        <v>63</v>
      </c>
      <c r="AA1819" s="73"/>
      <c r="AB1819" s="73"/>
      <c r="AC1819" s="73"/>
      <c r="AD1819" s="73"/>
      <c r="AE1819" s="73"/>
      <c r="AF1819" s="73"/>
      <c r="AG1819" s="73"/>
      <c r="AH1819" s="73"/>
      <c r="AI1819" s="73"/>
      <c r="AJ1819" s="73"/>
      <c r="AK1819" s="73"/>
    </row>
    <row r="1820">
      <c r="A1820" s="28">
        <v>1819.0</v>
      </c>
      <c r="B1820" s="29"/>
      <c r="C1820" s="29"/>
      <c r="D1820" s="40">
        <v>1.0</v>
      </c>
      <c r="E1820" s="31">
        <v>34.0</v>
      </c>
      <c r="F1820" s="42">
        <v>25.0</v>
      </c>
      <c r="G1820" s="29" t="str">
        <f t="shared" si="1"/>
        <v>34025</v>
      </c>
      <c r="H1820" s="37" t="s">
        <v>603</v>
      </c>
      <c r="I1820" s="37" t="s">
        <v>88</v>
      </c>
      <c r="J1820" s="37" t="s">
        <v>448</v>
      </c>
      <c r="K1820" s="37" t="str">
        <f t="shared" si="31"/>
        <v>Monmouth, NJ</v>
      </c>
      <c r="L1820" s="37">
        <v>162.0</v>
      </c>
      <c r="M1820" s="37" t="s">
        <v>63</v>
      </c>
      <c r="N1820" s="37">
        <v>42.0</v>
      </c>
      <c r="O1820" s="37">
        <v>103.0</v>
      </c>
      <c r="P1820" s="37" t="s">
        <v>63</v>
      </c>
      <c r="Q1820" s="37" t="s">
        <v>63</v>
      </c>
      <c r="R1820" s="37" t="s">
        <v>63</v>
      </c>
      <c r="S1820" s="37" t="s">
        <v>63</v>
      </c>
      <c r="T1820" s="69">
        <v>0.42</v>
      </c>
      <c r="U1820" s="37" t="s">
        <v>63</v>
      </c>
      <c r="V1820" s="37" t="s">
        <v>63</v>
      </c>
      <c r="W1820" s="37" t="s">
        <v>63</v>
      </c>
      <c r="X1820" s="72" t="s">
        <v>63</v>
      </c>
      <c r="Y1820" s="53">
        <v>296.0</v>
      </c>
      <c r="Z1820" s="69" t="s">
        <v>63</v>
      </c>
      <c r="AA1820" s="73"/>
      <c r="AB1820" s="73"/>
      <c r="AC1820" s="73"/>
      <c r="AD1820" s="73"/>
      <c r="AE1820" s="73"/>
      <c r="AF1820" s="73"/>
      <c r="AG1820" s="73"/>
      <c r="AH1820" s="73"/>
      <c r="AI1820" s="73"/>
      <c r="AJ1820" s="73"/>
      <c r="AK1820" s="73"/>
    </row>
    <row r="1821">
      <c r="A1821" s="28">
        <v>1820.0</v>
      </c>
      <c r="B1821" s="29"/>
      <c r="C1821" s="29"/>
      <c r="D1821" s="40">
        <v>1.0</v>
      </c>
      <c r="E1821" s="31">
        <v>34.0</v>
      </c>
      <c r="F1821" s="42">
        <v>27.0</v>
      </c>
      <c r="G1821" s="29" t="str">
        <f t="shared" si="1"/>
        <v>34027</v>
      </c>
      <c r="H1821" s="37" t="s">
        <v>990</v>
      </c>
      <c r="I1821" s="37" t="s">
        <v>88</v>
      </c>
      <c r="J1821" s="37" t="s">
        <v>448</v>
      </c>
      <c r="K1821" s="37" t="str">
        <f t="shared" si="31"/>
        <v>Morris, NJ</v>
      </c>
      <c r="L1821" s="37">
        <v>58.0</v>
      </c>
      <c r="M1821" s="37" t="s">
        <v>63</v>
      </c>
      <c r="N1821" s="37">
        <v>27.0</v>
      </c>
      <c r="O1821" s="37">
        <v>21.0</v>
      </c>
      <c r="P1821" s="37" t="s">
        <v>63</v>
      </c>
      <c r="Q1821" s="37" t="s">
        <v>63</v>
      </c>
      <c r="R1821" s="37" t="s">
        <v>63</v>
      </c>
      <c r="S1821" s="37" t="s">
        <v>63</v>
      </c>
      <c r="T1821" s="69">
        <v>0.45</v>
      </c>
      <c r="U1821" s="37" t="s">
        <v>63</v>
      </c>
      <c r="V1821" s="37" t="s">
        <v>63</v>
      </c>
      <c r="W1821" s="37" t="s">
        <v>63</v>
      </c>
      <c r="X1821" s="72" t="s">
        <v>63</v>
      </c>
      <c r="Y1821" s="53">
        <v>261.0</v>
      </c>
      <c r="Z1821" s="69" t="s">
        <v>63</v>
      </c>
      <c r="AA1821" s="73"/>
      <c r="AB1821" s="73"/>
      <c r="AC1821" s="73"/>
      <c r="AD1821" s="73"/>
      <c r="AE1821" s="73"/>
      <c r="AF1821" s="73"/>
      <c r="AG1821" s="73"/>
      <c r="AH1821" s="73"/>
      <c r="AI1821" s="73"/>
      <c r="AJ1821" s="73"/>
      <c r="AK1821" s="73"/>
    </row>
    <row r="1822">
      <c r="A1822" s="28">
        <v>1821.0</v>
      </c>
      <c r="B1822" s="29"/>
      <c r="C1822" s="29"/>
      <c r="D1822" s="40">
        <v>1.0</v>
      </c>
      <c r="E1822" s="31">
        <v>34.0</v>
      </c>
      <c r="F1822" s="42">
        <v>29.0</v>
      </c>
      <c r="G1822" s="29" t="str">
        <f t="shared" si="1"/>
        <v>34029</v>
      </c>
      <c r="H1822" s="37" t="s">
        <v>608</v>
      </c>
      <c r="I1822" s="37" t="s">
        <v>88</v>
      </c>
      <c r="J1822" s="37" t="s">
        <v>448</v>
      </c>
      <c r="K1822" s="37" t="str">
        <f t="shared" si="31"/>
        <v>Ocean, NJ</v>
      </c>
      <c r="L1822" s="37">
        <v>175.0</v>
      </c>
      <c r="M1822" s="37" t="s">
        <v>63</v>
      </c>
      <c r="N1822" s="37">
        <v>61.0</v>
      </c>
      <c r="O1822" s="37">
        <v>96.0</v>
      </c>
      <c r="P1822" s="37" t="s">
        <v>63</v>
      </c>
      <c r="Q1822" s="37" t="s">
        <v>63</v>
      </c>
      <c r="R1822" s="37" t="s">
        <v>63</v>
      </c>
      <c r="S1822" s="37" t="s">
        <v>63</v>
      </c>
      <c r="T1822" s="69">
        <v>0.41</v>
      </c>
      <c r="U1822" s="37" t="s">
        <v>63</v>
      </c>
      <c r="V1822" s="37" t="s">
        <v>63</v>
      </c>
      <c r="W1822" s="37" t="s">
        <v>63</v>
      </c>
      <c r="X1822" s="72" t="s">
        <v>63</v>
      </c>
      <c r="Y1822" s="53">
        <v>186.0</v>
      </c>
      <c r="Z1822" s="69" t="s">
        <v>63</v>
      </c>
      <c r="AA1822" s="73"/>
      <c r="AB1822" s="73"/>
      <c r="AC1822" s="73"/>
      <c r="AD1822" s="73"/>
      <c r="AE1822" s="73"/>
      <c r="AF1822" s="73"/>
      <c r="AG1822" s="73"/>
      <c r="AH1822" s="73"/>
      <c r="AI1822" s="73"/>
      <c r="AJ1822" s="73"/>
      <c r="AK1822" s="73"/>
    </row>
    <row r="1823">
      <c r="A1823" s="28">
        <v>1822.0</v>
      </c>
      <c r="B1823" s="29"/>
      <c r="C1823" s="29"/>
      <c r="D1823" s="40">
        <v>1.0</v>
      </c>
      <c r="E1823" s="31">
        <v>34.0</v>
      </c>
      <c r="F1823" s="42">
        <v>31.0</v>
      </c>
      <c r="G1823" s="29" t="str">
        <f t="shared" si="1"/>
        <v>34031</v>
      </c>
      <c r="H1823" s="37" t="s">
        <v>1530</v>
      </c>
      <c r="I1823" s="37" t="s">
        <v>88</v>
      </c>
      <c r="J1823" s="37" t="s">
        <v>448</v>
      </c>
      <c r="K1823" s="37" t="str">
        <f t="shared" si="31"/>
        <v>Passaic, NJ</v>
      </c>
      <c r="L1823" s="37">
        <v>166.0</v>
      </c>
      <c r="M1823" s="37" t="s">
        <v>63</v>
      </c>
      <c r="N1823" s="37">
        <v>76.0</v>
      </c>
      <c r="O1823" s="37">
        <v>67.0</v>
      </c>
      <c r="P1823" s="37" t="s">
        <v>63</v>
      </c>
      <c r="Q1823" s="37" t="s">
        <v>63</v>
      </c>
      <c r="R1823" s="37" t="s">
        <v>63</v>
      </c>
      <c r="S1823" s="37" t="s">
        <v>63</v>
      </c>
      <c r="T1823" s="69">
        <v>0.59</v>
      </c>
      <c r="U1823" s="37" t="s">
        <v>63</v>
      </c>
      <c r="V1823" s="37" t="s">
        <v>63</v>
      </c>
      <c r="W1823" s="37" t="s">
        <v>63</v>
      </c>
      <c r="X1823" s="72" t="s">
        <v>63</v>
      </c>
      <c r="Y1823" s="53">
        <v>265.0</v>
      </c>
      <c r="Z1823" s="69" t="s">
        <v>63</v>
      </c>
      <c r="AA1823" s="73"/>
      <c r="AB1823" s="73"/>
      <c r="AC1823" s="73"/>
      <c r="AD1823" s="73"/>
      <c r="AE1823" s="73"/>
      <c r="AF1823" s="73"/>
      <c r="AG1823" s="73"/>
      <c r="AH1823" s="73"/>
      <c r="AI1823" s="73"/>
      <c r="AJ1823" s="73"/>
      <c r="AK1823" s="73"/>
    </row>
    <row r="1824">
      <c r="A1824" s="28">
        <v>1823.0</v>
      </c>
      <c r="B1824" s="29"/>
      <c r="C1824" s="29"/>
      <c r="D1824" s="40">
        <v>1.0</v>
      </c>
      <c r="E1824" s="31">
        <v>34.0</v>
      </c>
      <c r="F1824" s="42">
        <v>33.0</v>
      </c>
      <c r="G1824" s="29" t="str">
        <f t="shared" si="1"/>
        <v>34033</v>
      </c>
      <c r="H1824" s="37" t="s">
        <v>1531</v>
      </c>
      <c r="I1824" s="37" t="s">
        <v>88</v>
      </c>
      <c r="J1824" s="37" t="s">
        <v>448</v>
      </c>
      <c r="K1824" s="37" t="str">
        <f t="shared" si="31"/>
        <v>Salem, NJ</v>
      </c>
      <c r="L1824" s="37">
        <v>40.0</v>
      </c>
      <c r="M1824" s="37" t="s">
        <v>63</v>
      </c>
      <c r="N1824" s="37">
        <v>21.0</v>
      </c>
      <c r="O1824" s="37">
        <v>15.0</v>
      </c>
      <c r="P1824" s="37" t="s">
        <v>63</v>
      </c>
      <c r="Q1824" s="37" t="s">
        <v>63</v>
      </c>
      <c r="R1824" s="37" t="s">
        <v>63</v>
      </c>
      <c r="S1824" s="37" t="s">
        <v>63</v>
      </c>
      <c r="T1824" s="69">
        <v>0.47</v>
      </c>
      <c r="U1824" s="37" t="s">
        <v>63</v>
      </c>
      <c r="V1824" s="37" t="s">
        <v>63</v>
      </c>
      <c r="W1824" s="37" t="s">
        <v>63</v>
      </c>
      <c r="X1824" s="72" t="s">
        <v>63</v>
      </c>
      <c r="Y1824" s="53">
        <v>76.0</v>
      </c>
      <c r="Z1824" s="69" t="s">
        <v>63</v>
      </c>
      <c r="AA1824" s="73"/>
      <c r="AB1824" s="73"/>
      <c r="AC1824" s="73"/>
      <c r="AD1824" s="73"/>
      <c r="AE1824" s="73"/>
      <c r="AF1824" s="73"/>
      <c r="AG1824" s="73"/>
      <c r="AH1824" s="73"/>
      <c r="AI1824" s="73"/>
      <c r="AJ1824" s="73"/>
      <c r="AK1824" s="73"/>
    </row>
    <row r="1825">
      <c r="A1825" s="28">
        <v>1824.0</v>
      </c>
      <c r="B1825" s="29"/>
      <c r="C1825" s="29"/>
      <c r="D1825" s="40">
        <v>1.0</v>
      </c>
      <c r="E1825" s="31">
        <v>34.0</v>
      </c>
      <c r="F1825" s="42">
        <v>35.0</v>
      </c>
      <c r="G1825" s="29" t="str">
        <f t="shared" si="1"/>
        <v>34035</v>
      </c>
      <c r="H1825" s="37" t="s">
        <v>1194</v>
      </c>
      <c r="I1825" s="37" t="s">
        <v>88</v>
      </c>
      <c r="J1825" s="37" t="s">
        <v>448</v>
      </c>
      <c r="K1825" s="37" t="str">
        <f t="shared" si="31"/>
        <v>Somerset, NJ</v>
      </c>
      <c r="L1825" s="37">
        <v>30.0</v>
      </c>
      <c r="M1825" s="37" t="s">
        <v>63</v>
      </c>
      <c r="N1825" s="37">
        <v>15.0</v>
      </c>
      <c r="O1825" s="37">
        <v>11.0</v>
      </c>
      <c r="P1825" s="37" t="s">
        <v>63</v>
      </c>
      <c r="Q1825" s="37" t="s">
        <v>63</v>
      </c>
      <c r="R1825" s="37" t="s">
        <v>63</v>
      </c>
      <c r="S1825" s="37" t="s">
        <v>63</v>
      </c>
      <c r="T1825" s="69" t="s">
        <v>63</v>
      </c>
      <c r="U1825" s="37" t="s">
        <v>63</v>
      </c>
      <c r="V1825" s="37" t="s">
        <v>63</v>
      </c>
      <c r="W1825" s="37" t="s">
        <v>63</v>
      </c>
      <c r="X1825" s="72" t="s">
        <v>63</v>
      </c>
      <c r="Y1825" s="53">
        <v>147.0</v>
      </c>
      <c r="Z1825" s="69" t="s">
        <v>63</v>
      </c>
      <c r="AA1825" s="73"/>
      <c r="AB1825" s="73"/>
      <c r="AC1825" s="73"/>
      <c r="AD1825" s="73"/>
      <c r="AE1825" s="73"/>
      <c r="AF1825" s="73"/>
      <c r="AG1825" s="73"/>
      <c r="AH1825" s="73"/>
      <c r="AI1825" s="73"/>
      <c r="AJ1825" s="73"/>
      <c r="AK1825" s="73"/>
    </row>
    <row r="1826">
      <c r="A1826" s="28">
        <v>1825.0</v>
      </c>
      <c r="B1826" s="29"/>
      <c r="C1826" s="29"/>
      <c r="D1826" s="40">
        <v>1.0</v>
      </c>
      <c r="E1826" s="31">
        <v>34.0</v>
      </c>
      <c r="F1826" s="42">
        <v>37.0</v>
      </c>
      <c r="G1826" s="29" t="str">
        <f t="shared" si="1"/>
        <v>34037</v>
      </c>
      <c r="H1826" s="37" t="s">
        <v>476</v>
      </c>
      <c r="I1826" s="37" t="s">
        <v>88</v>
      </c>
      <c r="J1826" s="37" t="s">
        <v>448</v>
      </c>
      <c r="K1826" s="37" t="str">
        <f t="shared" si="31"/>
        <v>Sussex, NJ</v>
      </c>
      <c r="L1826" s="37">
        <v>27.0</v>
      </c>
      <c r="M1826" s="37" t="s">
        <v>63</v>
      </c>
      <c r="N1826" s="37">
        <v>12.0</v>
      </c>
      <c r="O1826" s="37">
        <v>13.0</v>
      </c>
      <c r="P1826" s="37" t="s">
        <v>63</v>
      </c>
      <c r="Q1826" s="37" t="s">
        <v>63</v>
      </c>
      <c r="R1826" s="37" t="s">
        <v>63</v>
      </c>
      <c r="S1826" s="37" t="s">
        <v>63</v>
      </c>
      <c r="T1826" s="69">
        <v>0.83</v>
      </c>
      <c r="U1826" s="37" t="s">
        <v>63</v>
      </c>
      <c r="V1826" s="37" t="s">
        <v>63</v>
      </c>
      <c r="W1826" s="37" t="s">
        <v>63</v>
      </c>
      <c r="X1826" s="72" t="s">
        <v>63</v>
      </c>
      <c r="Y1826" s="53">
        <v>85.0</v>
      </c>
      <c r="Z1826" s="69" t="s">
        <v>63</v>
      </c>
      <c r="AA1826" s="73"/>
      <c r="AB1826" s="73"/>
      <c r="AC1826" s="73"/>
      <c r="AD1826" s="73"/>
      <c r="AE1826" s="73"/>
      <c r="AF1826" s="73"/>
      <c r="AG1826" s="73"/>
      <c r="AH1826" s="73"/>
      <c r="AI1826" s="73"/>
      <c r="AJ1826" s="73"/>
      <c r="AK1826" s="73"/>
    </row>
    <row r="1827">
      <c r="A1827" s="28">
        <v>1826.0</v>
      </c>
      <c r="B1827" s="29"/>
      <c r="C1827" s="29"/>
      <c r="D1827" s="40">
        <v>1.0</v>
      </c>
      <c r="E1827" s="31">
        <v>34.0</v>
      </c>
      <c r="F1827" s="42">
        <v>39.0</v>
      </c>
      <c r="G1827" s="29" t="str">
        <f t="shared" si="1"/>
        <v>34039</v>
      </c>
      <c r="H1827" s="37" t="s">
        <v>316</v>
      </c>
      <c r="I1827" s="37" t="s">
        <v>88</v>
      </c>
      <c r="J1827" s="37" t="s">
        <v>448</v>
      </c>
      <c r="K1827" s="37" t="str">
        <f t="shared" si="31"/>
        <v>Union, NJ</v>
      </c>
      <c r="L1827" s="37">
        <v>151.0</v>
      </c>
      <c r="M1827" s="37" t="s">
        <v>63</v>
      </c>
      <c r="N1827" s="37">
        <v>54.0</v>
      </c>
      <c r="O1827" s="37">
        <v>72.0</v>
      </c>
      <c r="P1827" s="37" t="s">
        <v>63</v>
      </c>
      <c r="Q1827" s="37" t="s">
        <v>63</v>
      </c>
      <c r="R1827" s="37" t="s">
        <v>63</v>
      </c>
      <c r="S1827" s="37" t="s">
        <v>63</v>
      </c>
      <c r="T1827" s="69">
        <v>0.56</v>
      </c>
      <c r="U1827" s="37" t="s">
        <v>63</v>
      </c>
      <c r="V1827" s="37" t="s">
        <v>63</v>
      </c>
      <c r="W1827" s="37" t="s">
        <v>63</v>
      </c>
      <c r="X1827" s="72" t="s">
        <v>63</v>
      </c>
      <c r="Y1827" s="53">
        <v>270.0</v>
      </c>
      <c r="Z1827" s="69" t="s">
        <v>63</v>
      </c>
      <c r="AA1827" s="73"/>
      <c r="AB1827" s="73"/>
      <c r="AC1827" s="73"/>
      <c r="AD1827" s="73"/>
      <c r="AE1827" s="73"/>
      <c r="AF1827" s="73"/>
      <c r="AG1827" s="73"/>
      <c r="AH1827" s="73"/>
      <c r="AI1827" s="73"/>
      <c r="AJ1827" s="73"/>
      <c r="AK1827" s="73"/>
    </row>
    <row r="1828">
      <c r="A1828" s="28">
        <v>1827.0</v>
      </c>
      <c r="B1828" s="29"/>
      <c r="C1828" s="29"/>
      <c r="D1828" s="40">
        <v>1.0</v>
      </c>
      <c r="E1828" s="31">
        <v>34.0</v>
      </c>
      <c r="F1828" s="42">
        <v>41.0</v>
      </c>
      <c r="G1828" s="29" t="str">
        <f t="shared" si="1"/>
        <v>34041</v>
      </c>
      <c r="H1828" s="37" t="s">
        <v>647</v>
      </c>
      <c r="I1828" s="37" t="s">
        <v>88</v>
      </c>
      <c r="J1828" s="37" t="s">
        <v>448</v>
      </c>
      <c r="K1828" s="37" t="str">
        <f t="shared" si="31"/>
        <v>Warren, NJ</v>
      </c>
      <c r="L1828" s="37">
        <v>35.0</v>
      </c>
      <c r="M1828" s="37" t="s">
        <v>63</v>
      </c>
      <c r="N1828" s="37">
        <v>18.0</v>
      </c>
      <c r="O1828" s="37">
        <v>14.0</v>
      </c>
      <c r="P1828" s="37" t="s">
        <v>63</v>
      </c>
      <c r="Q1828" s="37" t="s">
        <v>63</v>
      </c>
      <c r="R1828" s="37" t="s">
        <v>63</v>
      </c>
      <c r="S1828" s="37" t="s">
        <v>63</v>
      </c>
      <c r="T1828" s="69">
        <v>0.75</v>
      </c>
      <c r="U1828" s="37" t="s">
        <v>63</v>
      </c>
      <c r="V1828" s="37" t="s">
        <v>63</v>
      </c>
      <c r="W1828" s="37" t="s">
        <v>63</v>
      </c>
      <c r="X1828" s="72" t="s">
        <v>63</v>
      </c>
      <c r="Y1828" s="53">
        <v>76.0</v>
      </c>
      <c r="Z1828" s="69" t="s">
        <v>63</v>
      </c>
      <c r="AA1828" s="73"/>
      <c r="AB1828" s="73"/>
      <c r="AC1828" s="73"/>
      <c r="AD1828" s="73"/>
      <c r="AE1828" s="73"/>
      <c r="AF1828" s="73"/>
      <c r="AG1828" s="73"/>
      <c r="AH1828" s="73"/>
      <c r="AI1828" s="73"/>
      <c r="AJ1828" s="73"/>
      <c r="AK1828" s="73"/>
    </row>
    <row r="1829">
      <c r="A1829" s="99">
        <v>1828.0</v>
      </c>
      <c r="B1829" s="15"/>
      <c r="C1829" s="14" t="s">
        <v>25</v>
      </c>
      <c r="D1829" s="16"/>
      <c r="E1829" s="102">
        <v>35.0</v>
      </c>
      <c r="F1829" s="107">
        <v>0.0</v>
      </c>
      <c r="G1829" s="15" t="str">
        <f t="shared" si="1"/>
        <v>35000</v>
      </c>
      <c r="H1829" s="23"/>
      <c r="I1829" s="23" t="s">
        <v>91</v>
      </c>
      <c r="J1829" s="23" t="s">
        <v>578</v>
      </c>
      <c r="K1829" s="23"/>
      <c r="L1829" s="123">
        <f t="array" ref="L1829:Z1829">'New Mexico'!C37:Q37</f>
        <v>1942</v>
      </c>
      <c r="M1829" s="23" t="s">
        <v>63</v>
      </c>
      <c r="N1829" s="23" t="s">
        <v>63</v>
      </c>
      <c r="O1829" s="23">
        <v>894.0</v>
      </c>
      <c r="P1829" s="23">
        <v>37.0</v>
      </c>
      <c r="Q1829" s="123">
        <v>1516.0</v>
      </c>
      <c r="R1829" s="23">
        <v>616.0</v>
      </c>
      <c r="S1829" s="23" t="s">
        <v>63</v>
      </c>
      <c r="T1829" s="32" t="s">
        <v>63</v>
      </c>
      <c r="U1829" s="23" t="s">
        <v>63</v>
      </c>
      <c r="V1829" s="23" t="s">
        <v>63</v>
      </c>
      <c r="W1829" s="23" t="s">
        <v>63</v>
      </c>
      <c r="X1829" s="23" t="s">
        <v>63</v>
      </c>
      <c r="Y1829" s="35">
        <v>1284.0</v>
      </c>
      <c r="Z1829" s="32" t="s">
        <v>63</v>
      </c>
      <c r="AA1829" s="38"/>
      <c r="AB1829" s="38"/>
      <c r="AC1829" s="38"/>
      <c r="AD1829" s="38"/>
      <c r="AE1829" s="38"/>
      <c r="AF1829" s="38"/>
      <c r="AG1829" s="38"/>
      <c r="AH1829" s="38"/>
      <c r="AI1829" s="38"/>
      <c r="AJ1829" s="38"/>
      <c r="AK1829" s="38"/>
    </row>
    <row r="1830">
      <c r="A1830" s="99">
        <v>1829.0</v>
      </c>
      <c r="B1830" s="15"/>
      <c r="C1830" s="15"/>
      <c r="D1830" s="105">
        <v>1.0</v>
      </c>
      <c r="E1830" s="102">
        <v>35.0</v>
      </c>
      <c r="F1830" s="107">
        <v>1.0</v>
      </c>
      <c r="G1830" s="15" t="str">
        <f t="shared" si="1"/>
        <v>35001</v>
      </c>
      <c r="H1830" s="23" t="s">
        <v>577</v>
      </c>
      <c r="I1830" s="23" t="s">
        <v>91</v>
      </c>
      <c r="J1830" s="23" t="s">
        <v>578</v>
      </c>
      <c r="K1830" s="23" t="str">
        <f t="shared" ref="K1830:K1862" si="32">CONCATENATE(H1830,", ",J1830)</f>
        <v>Bernalillo, NM</v>
      </c>
      <c r="L1830" s="23">
        <f t="array" ref="L1830:Z1862">'New Mexico'!C3:Q35</f>
        <v>584</v>
      </c>
      <c r="M1830" s="23">
        <v>2.0</v>
      </c>
      <c r="N1830" s="23" t="s">
        <v>63</v>
      </c>
      <c r="O1830" s="23">
        <v>297.0</v>
      </c>
      <c r="P1830" s="23">
        <v>26.0</v>
      </c>
      <c r="Q1830" s="23">
        <v>429.0</v>
      </c>
      <c r="R1830" s="23">
        <v>176.0</v>
      </c>
      <c r="S1830" s="23" t="s">
        <v>63</v>
      </c>
      <c r="T1830" s="32" t="s">
        <v>63</v>
      </c>
      <c r="U1830" s="23" t="s">
        <v>63</v>
      </c>
      <c r="V1830" s="23" t="s">
        <v>63</v>
      </c>
      <c r="W1830" s="23" t="s">
        <v>63</v>
      </c>
      <c r="X1830" s="23" t="s">
        <v>63</v>
      </c>
      <c r="Y1830" s="35">
        <v>280.0</v>
      </c>
      <c r="Z1830" s="32" t="s">
        <v>63</v>
      </c>
      <c r="AA1830" s="38"/>
      <c r="AB1830" s="38"/>
      <c r="AC1830" s="38"/>
      <c r="AD1830" s="38"/>
      <c r="AE1830" s="38"/>
      <c r="AF1830" s="38"/>
      <c r="AG1830" s="38"/>
      <c r="AH1830" s="38"/>
      <c r="AI1830" s="38"/>
      <c r="AJ1830" s="38"/>
      <c r="AK1830" s="38"/>
    </row>
    <row r="1831">
      <c r="A1831" s="99">
        <v>1830.0</v>
      </c>
      <c r="B1831" s="15"/>
      <c r="C1831" s="15"/>
      <c r="D1831" s="105">
        <v>1.0</v>
      </c>
      <c r="E1831" s="102">
        <v>35.0</v>
      </c>
      <c r="F1831" s="107">
        <v>3.0</v>
      </c>
      <c r="G1831" s="15" t="str">
        <f t="shared" si="1"/>
        <v>35003</v>
      </c>
      <c r="H1831" s="23" t="s">
        <v>1532</v>
      </c>
      <c r="I1831" s="23" t="s">
        <v>91</v>
      </c>
      <c r="J1831" s="23" t="s">
        <v>578</v>
      </c>
      <c r="K1831" s="23" t="str">
        <f t="shared" si="32"/>
        <v>Catron, NM</v>
      </c>
      <c r="L1831" s="23" t="s">
        <v>63</v>
      </c>
      <c r="M1831" s="23">
        <v>0.0</v>
      </c>
      <c r="N1831" s="23" t="s">
        <v>63</v>
      </c>
      <c r="O1831" s="23">
        <v>0.0</v>
      </c>
      <c r="P1831" s="23">
        <v>0.0</v>
      </c>
      <c r="Q1831" s="23">
        <v>0.0</v>
      </c>
      <c r="R1831" s="23">
        <v>0.0</v>
      </c>
      <c r="S1831" s="23" t="s">
        <v>63</v>
      </c>
      <c r="T1831" s="32" t="s">
        <v>63</v>
      </c>
      <c r="U1831" s="23" t="s">
        <v>63</v>
      </c>
      <c r="V1831" s="23" t="s">
        <v>63</v>
      </c>
      <c r="W1831" s="23" t="s">
        <v>63</v>
      </c>
      <c r="X1831" s="23" t="s">
        <v>63</v>
      </c>
      <c r="Y1831" s="35">
        <v>8.0</v>
      </c>
      <c r="Z1831" s="32" t="s">
        <v>63</v>
      </c>
      <c r="AA1831" s="38"/>
      <c r="AB1831" s="38"/>
      <c r="AC1831" s="38"/>
      <c r="AD1831" s="38"/>
      <c r="AE1831" s="38"/>
      <c r="AF1831" s="38"/>
      <c r="AG1831" s="38"/>
      <c r="AH1831" s="38"/>
      <c r="AI1831" s="38"/>
      <c r="AJ1831" s="38"/>
      <c r="AK1831" s="38"/>
    </row>
    <row r="1832">
      <c r="A1832" s="99">
        <v>1831.0</v>
      </c>
      <c r="B1832" s="15"/>
      <c r="C1832" s="15"/>
      <c r="D1832" s="105">
        <v>1.0</v>
      </c>
      <c r="E1832" s="102">
        <v>35.0</v>
      </c>
      <c r="F1832" s="107">
        <v>5.0</v>
      </c>
      <c r="G1832" s="15" t="str">
        <f t="shared" si="1"/>
        <v>35005</v>
      </c>
      <c r="H1832" s="23" t="s">
        <v>1533</v>
      </c>
      <c r="I1832" s="23" t="s">
        <v>91</v>
      </c>
      <c r="J1832" s="23" t="s">
        <v>578</v>
      </c>
      <c r="K1832" s="23" t="str">
        <f t="shared" si="32"/>
        <v>Chaves, NM</v>
      </c>
      <c r="L1832" s="23">
        <v>143.0</v>
      </c>
      <c r="M1832" s="23">
        <v>3.0</v>
      </c>
      <c r="N1832" s="23" t="s">
        <v>63</v>
      </c>
      <c r="O1832" s="23">
        <v>42.0</v>
      </c>
      <c r="P1832" s="23">
        <v>3.0</v>
      </c>
      <c r="Q1832" s="23">
        <v>64.0</v>
      </c>
      <c r="R1832" s="23">
        <v>46.0</v>
      </c>
      <c r="S1832" s="23" t="s">
        <v>63</v>
      </c>
      <c r="T1832" s="32" t="s">
        <v>63</v>
      </c>
      <c r="U1832" s="23" t="s">
        <v>63</v>
      </c>
      <c r="V1832" s="23" t="s">
        <v>63</v>
      </c>
      <c r="W1832" s="23" t="s">
        <v>63</v>
      </c>
      <c r="X1832" s="23" t="s">
        <v>63</v>
      </c>
      <c r="Y1832" s="35">
        <v>50.0</v>
      </c>
      <c r="Z1832" s="32" t="s">
        <v>63</v>
      </c>
      <c r="AA1832" s="38"/>
      <c r="AB1832" s="38"/>
      <c r="AC1832" s="38"/>
      <c r="AD1832" s="38"/>
      <c r="AE1832" s="38"/>
      <c r="AF1832" s="38"/>
      <c r="AG1832" s="38"/>
      <c r="AH1832" s="38"/>
      <c r="AI1832" s="38"/>
      <c r="AJ1832" s="38"/>
      <c r="AK1832" s="38"/>
    </row>
    <row r="1833">
      <c r="A1833" s="99">
        <v>1832.0</v>
      </c>
      <c r="B1833" s="15"/>
      <c r="C1833" s="15"/>
      <c r="D1833" s="105">
        <v>1.0</v>
      </c>
      <c r="E1833" s="102">
        <v>35.0</v>
      </c>
      <c r="F1833" s="107">
        <v>6.0</v>
      </c>
      <c r="G1833" s="15" t="str">
        <f t="shared" si="1"/>
        <v>35006</v>
      </c>
      <c r="H1833" s="23" t="s">
        <v>1534</v>
      </c>
      <c r="I1833" s="23" t="s">
        <v>91</v>
      </c>
      <c r="J1833" s="23" t="s">
        <v>578</v>
      </c>
      <c r="K1833" s="23" t="str">
        <f t="shared" si="32"/>
        <v>Cibola, NM</v>
      </c>
      <c r="L1833" s="23">
        <v>39.0</v>
      </c>
      <c r="M1833" s="23">
        <v>3.0</v>
      </c>
      <c r="N1833" s="23" t="s">
        <v>63</v>
      </c>
      <c r="O1833" s="23">
        <v>20.0</v>
      </c>
      <c r="P1833" s="23">
        <v>0.0</v>
      </c>
      <c r="Q1833" s="23">
        <v>27.0</v>
      </c>
      <c r="R1833" s="23">
        <v>8.0</v>
      </c>
      <c r="S1833" s="23" t="s">
        <v>63</v>
      </c>
      <c r="T1833" s="32" t="s">
        <v>63</v>
      </c>
      <c r="U1833" s="23" t="s">
        <v>63</v>
      </c>
      <c r="V1833" s="23" t="s">
        <v>63</v>
      </c>
      <c r="W1833" s="23" t="s">
        <v>63</v>
      </c>
      <c r="X1833" s="23" t="s">
        <v>63</v>
      </c>
      <c r="Y1833" s="35">
        <v>18.0</v>
      </c>
      <c r="Z1833" s="32" t="s">
        <v>63</v>
      </c>
      <c r="AA1833" s="38"/>
      <c r="AB1833" s="38"/>
      <c r="AC1833" s="38"/>
      <c r="AD1833" s="38"/>
      <c r="AE1833" s="38"/>
      <c r="AF1833" s="38"/>
      <c r="AG1833" s="38"/>
      <c r="AH1833" s="38"/>
      <c r="AI1833" s="38"/>
      <c r="AJ1833" s="38"/>
      <c r="AK1833" s="38"/>
    </row>
    <row r="1834">
      <c r="A1834" s="99">
        <v>1833.0</v>
      </c>
      <c r="B1834" s="15"/>
      <c r="C1834" s="15"/>
      <c r="D1834" s="105">
        <v>1.0</v>
      </c>
      <c r="E1834" s="102">
        <v>35.0</v>
      </c>
      <c r="F1834" s="107">
        <v>7.0</v>
      </c>
      <c r="G1834" s="15" t="str">
        <f t="shared" si="1"/>
        <v>35007</v>
      </c>
      <c r="H1834" s="23" t="s">
        <v>1474</v>
      </c>
      <c r="I1834" s="23" t="s">
        <v>91</v>
      </c>
      <c r="J1834" s="23" t="s">
        <v>578</v>
      </c>
      <c r="K1834" s="23" t="str">
        <f t="shared" si="32"/>
        <v>Colfax, NM</v>
      </c>
      <c r="L1834" s="23" t="s">
        <v>63</v>
      </c>
      <c r="M1834" s="23">
        <v>3.0</v>
      </c>
      <c r="N1834" s="23" t="s">
        <v>63</v>
      </c>
      <c r="O1834" s="23">
        <v>10.0</v>
      </c>
      <c r="P1834" s="23">
        <v>0.0</v>
      </c>
      <c r="Q1834" s="23">
        <v>9.0</v>
      </c>
      <c r="R1834" s="23">
        <v>3.0</v>
      </c>
      <c r="S1834" s="23" t="s">
        <v>63</v>
      </c>
      <c r="T1834" s="32" t="s">
        <v>63</v>
      </c>
      <c r="U1834" s="23" t="s">
        <v>63</v>
      </c>
      <c r="V1834" s="23" t="s">
        <v>63</v>
      </c>
      <c r="W1834" s="23" t="s">
        <v>63</v>
      </c>
      <c r="X1834" s="23" t="s">
        <v>63</v>
      </c>
      <c r="Y1834" s="35">
        <v>18.0</v>
      </c>
      <c r="Z1834" s="32" t="s">
        <v>63</v>
      </c>
      <c r="AA1834" s="38"/>
      <c r="AB1834" s="38"/>
      <c r="AC1834" s="38"/>
      <c r="AD1834" s="38"/>
      <c r="AE1834" s="38"/>
      <c r="AF1834" s="38"/>
      <c r="AG1834" s="38"/>
      <c r="AH1834" s="38"/>
      <c r="AI1834" s="38"/>
      <c r="AJ1834" s="38"/>
      <c r="AK1834" s="38"/>
    </row>
    <row r="1835">
      <c r="A1835" s="99">
        <v>1834.0</v>
      </c>
      <c r="B1835" s="15"/>
      <c r="C1835" s="15"/>
      <c r="D1835" s="105">
        <v>1.0</v>
      </c>
      <c r="E1835" s="102">
        <v>35.0</v>
      </c>
      <c r="F1835" s="107">
        <v>9.0</v>
      </c>
      <c r="G1835" s="15" t="str">
        <f t="shared" si="1"/>
        <v>35009</v>
      </c>
      <c r="H1835" s="23" t="s">
        <v>1535</v>
      </c>
      <c r="I1835" s="23" t="s">
        <v>91</v>
      </c>
      <c r="J1835" s="23" t="s">
        <v>578</v>
      </c>
      <c r="K1835" s="23" t="str">
        <f t="shared" si="32"/>
        <v>Curry, NM</v>
      </c>
      <c r="L1835" s="23">
        <v>97.0</v>
      </c>
      <c r="M1835" s="23">
        <v>2.0</v>
      </c>
      <c r="N1835" s="23" t="s">
        <v>63</v>
      </c>
      <c r="O1835" s="23">
        <v>39.0</v>
      </c>
      <c r="P1835" s="23">
        <v>2.0</v>
      </c>
      <c r="Q1835" s="23">
        <v>49.0</v>
      </c>
      <c r="R1835" s="23">
        <v>34.0</v>
      </c>
      <c r="S1835" s="23" t="s">
        <v>63</v>
      </c>
      <c r="T1835" s="32" t="s">
        <v>63</v>
      </c>
      <c r="U1835" s="23" t="s">
        <v>63</v>
      </c>
      <c r="V1835" s="23" t="s">
        <v>63</v>
      </c>
      <c r="W1835" s="23" t="s">
        <v>63</v>
      </c>
      <c r="X1835" s="23" t="s">
        <v>63</v>
      </c>
      <c r="Y1835" s="35">
        <v>41.0</v>
      </c>
      <c r="Z1835" s="32" t="s">
        <v>63</v>
      </c>
      <c r="AA1835" s="38"/>
      <c r="AB1835" s="38"/>
      <c r="AC1835" s="38"/>
      <c r="AD1835" s="38"/>
      <c r="AE1835" s="38"/>
      <c r="AF1835" s="38"/>
      <c r="AG1835" s="38"/>
      <c r="AH1835" s="38"/>
      <c r="AI1835" s="38"/>
      <c r="AJ1835" s="38"/>
      <c r="AK1835" s="38"/>
    </row>
    <row r="1836">
      <c r="A1836" s="99">
        <v>1835.0</v>
      </c>
      <c r="B1836" s="15"/>
      <c r="C1836" s="15"/>
      <c r="D1836" s="105">
        <v>1.0</v>
      </c>
      <c r="E1836" s="102">
        <v>35.0</v>
      </c>
      <c r="F1836" s="107">
        <v>11.0</v>
      </c>
      <c r="G1836" s="15" t="str">
        <f t="shared" si="1"/>
        <v>35011</v>
      </c>
      <c r="H1836" s="23" t="s">
        <v>1536</v>
      </c>
      <c r="I1836" s="23" t="s">
        <v>91</v>
      </c>
      <c r="J1836" s="23" t="s">
        <v>578</v>
      </c>
      <c r="K1836" s="23" t="str">
        <f t="shared" si="32"/>
        <v>De Baca, NM</v>
      </c>
      <c r="L1836" s="23" t="s">
        <v>63</v>
      </c>
      <c r="M1836" s="23">
        <v>0.0</v>
      </c>
      <c r="N1836" s="23" t="s">
        <v>63</v>
      </c>
      <c r="O1836" s="23">
        <v>0.0</v>
      </c>
      <c r="P1836" s="23">
        <v>0.0</v>
      </c>
      <c r="Q1836" s="23">
        <v>0.0</v>
      </c>
      <c r="R1836" s="23">
        <v>3.0</v>
      </c>
      <c r="S1836" s="23" t="s">
        <v>63</v>
      </c>
      <c r="T1836" s="32" t="s">
        <v>63</v>
      </c>
      <c r="U1836" s="23" t="s">
        <v>63</v>
      </c>
      <c r="V1836" s="23" t="s">
        <v>63</v>
      </c>
      <c r="W1836" s="23" t="s">
        <v>63</v>
      </c>
      <c r="X1836" s="23" t="s">
        <v>63</v>
      </c>
      <c r="Y1836" s="35">
        <v>3.0</v>
      </c>
      <c r="Z1836" s="32" t="s">
        <v>63</v>
      </c>
      <c r="AA1836" s="38"/>
      <c r="AB1836" s="38"/>
      <c r="AC1836" s="38"/>
      <c r="AD1836" s="38"/>
      <c r="AE1836" s="38"/>
      <c r="AF1836" s="38"/>
      <c r="AG1836" s="38"/>
      <c r="AH1836" s="38"/>
      <c r="AI1836" s="38"/>
      <c r="AJ1836" s="38"/>
      <c r="AK1836" s="38"/>
    </row>
    <row r="1837">
      <c r="A1837" s="99">
        <v>1836.0</v>
      </c>
      <c r="B1837" s="15"/>
      <c r="C1837" s="15"/>
      <c r="D1837" s="105">
        <v>1.0</v>
      </c>
      <c r="E1837" s="102">
        <v>35.0</v>
      </c>
      <c r="F1837" s="107">
        <v>13.0</v>
      </c>
      <c r="G1837" s="15" t="str">
        <f t="shared" si="1"/>
        <v>35013</v>
      </c>
      <c r="H1837" s="23" t="s">
        <v>1537</v>
      </c>
      <c r="I1837" s="23" t="s">
        <v>91</v>
      </c>
      <c r="J1837" s="23" t="s">
        <v>578</v>
      </c>
      <c r="K1837" s="23" t="str">
        <f t="shared" si="32"/>
        <v>Dona Ana, NM</v>
      </c>
      <c r="L1837" s="23" t="s">
        <v>63</v>
      </c>
      <c r="M1837" s="23">
        <v>2.0</v>
      </c>
      <c r="N1837" s="23" t="s">
        <v>63</v>
      </c>
      <c r="O1837" s="23">
        <v>72.0</v>
      </c>
      <c r="P1837" s="23">
        <v>0.0</v>
      </c>
      <c r="Q1837" s="23">
        <v>147.0</v>
      </c>
      <c r="R1837" s="23">
        <v>66.0</v>
      </c>
      <c r="S1837" s="23" t="s">
        <v>63</v>
      </c>
      <c r="T1837" s="32" t="s">
        <v>63</v>
      </c>
      <c r="U1837" s="23" t="s">
        <v>63</v>
      </c>
      <c r="V1837" s="23" t="s">
        <v>63</v>
      </c>
      <c r="W1837" s="23" t="s">
        <v>63</v>
      </c>
      <c r="X1837" s="23" t="s">
        <v>63</v>
      </c>
      <c r="Y1837" s="35">
        <v>97.0</v>
      </c>
      <c r="Z1837" s="32" t="s">
        <v>63</v>
      </c>
      <c r="AA1837" s="38"/>
      <c r="AB1837" s="38"/>
      <c r="AC1837" s="38"/>
      <c r="AD1837" s="38"/>
      <c r="AE1837" s="38"/>
      <c r="AF1837" s="38"/>
      <c r="AG1837" s="38"/>
      <c r="AH1837" s="38"/>
      <c r="AI1837" s="38"/>
      <c r="AJ1837" s="38"/>
      <c r="AK1837" s="38"/>
    </row>
    <row r="1838">
      <c r="A1838" s="99">
        <v>1837.0</v>
      </c>
      <c r="B1838" s="15"/>
      <c r="C1838" s="15"/>
      <c r="D1838" s="105">
        <v>1.0</v>
      </c>
      <c r="E1838" s="102">
        <v>35.0</v>
      </c>
      <c r="F1838" s="107">
        <v>15.0</v>
      </c>
      <c r="G1838" s="15" t="str">
        <f t="shared" si="1"/>
        <v>35015</v>
      </c>
      <c r="H1838" s="23" t="s">
        <v>1538</v>
      </c>
      <c r="I1838" s="23" t="s">
        <v>91</v>
      </c>
      <c r="J1838" s="23" t="s">
        <v>578</v>
      </c>
      <c r="K1838" s="23" t="str">
        <f t="shared" si="32"/>
        <v>Eddy, NM</v>
      </c>
      <c r="L1838" s="23">
        <v>133.0</v>
      </c>
      <c r="M1838" s="23">
        <v>2.0</v>
      </c>
      <c r="N1838" s="23" t="s">
        <v>63</v>
      </c>
      <c r="O1838" s="23">
        <v>90.0</v>
      </c>
      <c r="P1838" s="23">
        <v>3.0</v>
      </c>
      <c r="Q1838" s="23">
        <v>96.0</v>
      </c>
      <c r="R1838" s="23">
        <v>45.0</v>
      </c>
      <c r="S1838" s="23" t="s">
        <v>63</v>
      </c>
      <c r="T1838" s="32" t="s">
        <v>63</v>
      </c>
      <c r="U1838" s="23" t="s">
        <v>63</v>
      </c>
      <c r="V1838" s="23" t="s">
        <v>63</v>
      </c>
      <c r="W1838" s="23" t="s">
        <v>63</v>
      </c>
      <c r="X1838" s="23" t="s">
        <v>63</v>
      </c>
      <c r="Y1838" s="35">
        <v>60.0</v>
      </c>
      <c r="Z1838" s="32" t="s">
        <v>63</v>
      </c>
      <c r="AA1838" s="38"/>
      <c r="AB1838" s="38"/>
      <c r="AC1838" s="38"/>
      <c r="AD1838" s="38"/>
      <c r="AE1838" s="38"/>
      <c r="AF1838" s="38"/>
      <c r="AG1838" s="38"/>
      <c r="AH1838" s="38"/>
      <c r="AI1838" s="38"/>
      <c r="AJ1838" s="38"/>
      <c r="AK1838" s="38"/>
    </row>
    <row r="1839">
      <c r="A1839" s="99">
        <v>1838.0</v>
      </c>
      <c r="B1839" s="15"/>
      <c r="C1839" s="15"/>
      <c r="D1839" s="105">
        <v>1.0</v>
      </c>
      <c r="E1839" s="102">
        <v>35.0</v>
      </c>
      <c r="F1839" s="107">
        <v>17.0</v>
      </c>
      <c r="G1839" s="15" t="str">
        <f t="shared" si="1"/>
        <v>35017</v>
      </c>
      <c r="H1839" s="23" t="s">
        <v>278</v>
      </c>
      <c r="I1839" s="23" t="s">
        <v>91</v>
      </c>
      <c r="J1839" s="23" t="s">
        <v>578</v>
      </c>
      <c r="K1839" s="23" t="str">
        <f t="shared" si="32"/>
        <v>Grant, NM</v>
      </c>
      <c r="L1839" s="23" t="s">
        <v>63</v>
      </c>
      <c r="M1839" s="23">
        <v>3.0</v>
      </c>
      <c r="N1839" s="23" t="s">
        <v>63</v>
      </c>
      <c r="O1839" s="23">
        <v>11.0</v>
      </c>
      <c r="P1839" s="23">
        <v>0.0</v>
      </c>
      <c r="Q1839" s="23">
        <v>17.0</v>
      </c>
      <c r="R1839" s="23">
        <v>7.0</v>
      </c>
      <c r="S1839" s="23" t="s">
        <v>63</v>
      </c>
      <c r="T1839" s="32" t="s">
        <v>63</v>
      </c>
      <c r="U1839" s="23" t="s">
        <v>63</v>
      </c>
      <c r="V1839" s="23" t="s">
        <v>63</v>
      </c>
      <c r="W1839" s="23" t="s">
        <v>63</v>
      </c>
      <c r="X1839" s="23" t="s">
        <v>63</v>
      </c>
      <c r="Y1839" s="35">
        <v>27.0</v>
      </c>
      <c r="Z1839" s="32" t="s">
        <v>63</v>
      </c>
      <c r="AA1839" s="38"/>
      <c r="AB1839" s="38"/>
      <c r="AC1839" s="38"/>
      <c r="AD1839" s="38"/>
      <c r="AE1839" s="38"/>
      <c r="AF1839" s="38"/>
      <c r="AG1839" s="38"/>
      <c r="AH1839" s="38"/>
      <c r="AI1839" s="38"/>
      <c r="AJ1839" s="38"/>
      <c r="AK1839" s="38"/>
    </row>
    <row r="1840">
      <c r="A1840" s="99">
        <v>1839.0</v>
      </c>
      <c r="B1840" s="15"/>
      <c r="C1840" s="15"/>
      <c r="D1840" s="105">
        <v>1.0</v>
      </c>
      <c r="E1840" s="102">
        <v>35.0</v>
      </c>
      <c r="F1840" s="107">
        <v>19.0</v>
      </c>
      <c r="G1840" s="15" t="str">
        <f t="shared" si="1"/>
        <v>35019</v>
      </c>
      <c r="H1840" s="23" t="s">
        <v>1539</v>
      </c>
      <c r="I1840" s="23" t="s">
        <v>91</v>
      </c>
      <c r="J1840" s="23" t="s">
        <v>578</v>
      </c>
      <c r="K1840" s="23" t="str">
        <f t="shared" si="32"/>
        <v>Guadalupe, NM</v>
      </c>
      <c r="L1840" s="23" t="s">
        <v>63</v>
      </c>
      <c r="M1840" s="23">
        <v>4.0</v>
      </c>
      <c r="N1840" s="23" t="s">
        <v>63</v>
      </c>
      <c r="O1840" s="23">
        <v>5.0</v>
      </c>
      <c r="P1840" s="23">
        <v>0.0</v>
      </c>
      <c r="Q1840" s="23">
        <v>3.0</v>
      </c>
      <c r="R1840" s="23">
        <v>5.0</v>
      </c>
      <c r="S1840" s="23" t="s">
        <v>63</v>
      </c>
      <c r="T1840" s="32" t="s">
        <v>63</v>
      </c>
      <c r="U1840" s="23" t="s">
        <v>63</v>
      </c>
      <c r="V1840" s="23" t="s">
        <v>63</v>
      </c>
      <c r="W1840" s="23" t="s">
        <v>63</v>
      </c>
      <c r="X1840" s="23" t="s">
        <v>63</v>
      </c>
      <c r="Y1840" s="35">
        <v>6.0</v>
      </c>
      <c r="Z1840" s="32" t="s">
        <v>63</v>
      </c>
      <c r="AA1840" s="38"/>
      <c r="AB1840" s="38"/>
      <c r="AC1840" s="38"/>
      <c r="AD1840" s="38"/>
      <c r="AE1840" s="38"/>
      <c r="AF1840" s="38"/>
      <c r="AG1840" s="38"/>
      <c r="AH1840" s="38"/>
      <c r="AI1840" s="38"/>
      <c r="AJ1840" s="38"/>
      <c r="AK1840" s="38"/>
    </row>
    <row r="1841">
      <c r="A1841" s="99">
        <v>1840.0</v>
      </c>
      <c r="B1841" s="15"/>
      <c r="C1841" s="15"/>
      <c r="D1841" s="105">
        <v>1.0</v>
      </c>
      <c r="E1841" s="102">
        <v>35.0</v>
      </c>
      <c r="F1841" s="107">
        <v>21.0</v>
      </c>
      <c r="G1841" s="15" t="str">
        <f t="shared" si="1"/>
        <v>35021</v>
      </c>
      <c r="H1841" s="23" t="s">
        <v>1540</v>
      </c>
      <c r="I1841" s="23" t="s">
        <v>91</v>
      </c>
      <c r="J1841" s="23" t="s">
        <v>578</v>
      </c>
      <c r="K1841" s="23" t="str">
        <f t="shared" si="32"/>
        <v>Harding, NM</v>
      </c>
      <c r="L1841" s="23" t="s">
        <v>63</v>
      </c>
      <c r="M1841" s="23">
        <v>2.0</v>
      </c>
      <c r="N1841" s="23" t="s">
        <v>63</v>
      </c>
      <c r="O1841" s="23">
        <v>0.0</v>
      </c>
      <c r="P1841" s="23">
        <v>0.0</v>
      </c>
      <c r="Q1841" s="23">
        <v>2.0</v>
      </c>
      <c r="R1841" s="23">
        <v>0.0</v>
      </c>
      <c r="S1841" s="23" t="s">
        <v>63</v>
      </c>
      <c r="T1841" s="32" t="s">
        <v>63</v>
      </c>
      <c r="U1841" s="23" t="s">
        <v>63</v>
      </c>
      <c r="V1841" s="23" t="s">
        <v>63</v>
      </c>
      <c r="W1841" s="23" t="s">
        <v>63</v>
      </c>
      <c r="X1841" s="23" t="s">
        <v>63</v>
      </c>
      <c r="Y1841" s="35">
        <v>3.0</v>
      </c>
      <c r="Z1841" s="32" t="s">
        <v>63</v>
      </c>
      <c r="AA1841" s="38"/>
      <c r="AB1841" s="38"/>
      <c r="AC1841" s="38"/>
      <c r="AD1841" s="38"/>
      <c r="AE1841" s="38"/>
      <c r="AF1841" s="38"/>
      <c r="AG1841" s="38"/>
      <c r="AH1841" s="38"/>
      <c r="AI1841" s="38"/>
      <c r="AJ1841" s="38"/>
      <c r="AK1841" s="38"/>
    </row>
    <row r="1842">
      <c r="A1842" s="99">
        <v>1841.0</v>
      </c>
      <c r="B1842" s="15"/>
      <c r="C1842" s="15"/>
      <c r="D1842" s="105">
        <v>1.0</v>
      </c>
      <c r="E1842" s="102">
        <v>35.0</v>
      </c>
      <c r="F1842" s="107">
        <v>23.0</v>
      </c>
      <c r="G1842" s="15" t="str">
        <f t="shared" si="1"/>
        <v>35023</v>
      </c>
      <c r="H1842" s="23" t="s">
        <v>480</v>
      </c>
      <c r="I1842" s="23" t="s">
        <v>91</v>
      </c>
      <c r="J1842" s="23" t="s">
        <v>578</v>
      </c>
      <c r="K1842" s="23" t="str">
        <f t="shared" si="32"/>
        <v>Hidalgo, NM</v>
      </c>
      <c r="L1842" s="23" t="s">
        <v>63</v>
      </c>
      <c r="M1842" s="23">
        <v>3.0</v>
      </c>
      <c r="N1842" s="23" t="s">
        <v>63</v>
      </c>
      <c r="O1842" s="23">
        <v>0.0</v>
      </c>
      <c r="P1842" s="23">
        <v>0.0</v>
      </c>
      <c r="Q1842" s="23">
        <v>2.0</v>
      </c>
      <c r="R1842" s="23">
        <v>0.0</v>
      </c>
      <c r="S1842" s="23" t="s">
        <v>63</v>
      </c>
      <c r="T1842" s="32" t="s">
        <v>63</v>
      </c>
      <c r="U1842" s="23" t="s">
        <v>63</v>
      </c>
      <c r="V1842" s="23" t="s">
        <v>63</v>
      </c>
      <c r="W1842" s="23" t="s">
        <v>63</v>
      </c>
      <c r="X1842" s="23" t="s">
        <v>63</v>
      </c>
      <c r="Y1842" s="35">
        <v>6.0</v>
      </c>
      <c r="Z1842" s="32" t="s">
        <v>63</v>
      </c>
      <c r="AA1842" s="38"/>
      <c r="AB1842" s="38"/>
      <c r="AC1842" s="38"/>
      <c r="AD1842" s="38"/>
      <c r="AE1842" s="38"/>
      <c r="AF1842" s="38"/>
      <c r="AG1842" s="38"/>
      <c r="AH1842" s="38"/>
      <c r="AI1842" s="38"/>
      <c r="AJ1842" s="38"/>
      <c r="AK1842" s="38"/>
    </row>
    <row r="1843">
      <c r="A1843" s="99">
        <v>1842.0</v>
      </c>
      <c r="B1843" s="15"/>
      <c r="C1843" s="15"/>
      <c r="D1843" s="105">
        <v>1.0</v>
      </c>
      <c r="E1843" s="102">
        <v>35.0</v>
      </c>
      <c r="F1843" s="107">
        <v>25.0</v>
      </c>
      <c r="G1843" s="15" t="str">
        <f t="shared" si="1"/>
        <v>35025</v>
      </c>
      <c r="H1843" s="23" t="s">
        <v>1541</v>
      </c>
      <c r="I1843" s="23" t="s">
        <v>91</v>
      </c>
      <c r="J1843" s="23" t="s">
        <v>578</v>
      </c>
      <c r="K1843" s="23" t="str">
        <f t="shared" si="32"/>
        <v>Lea, NM</v>
      </c>
      <c r="L1843" s="23">
        <v>120.0</v>
      </c>
      <c r="M1843" s="23">
        <v>2.0</v>
      </c>
      <c r="N1843" s="23" t="s">
        <v>63</v>
      </c>
      <c r="O1843" s="23">
        <v>41.0</v>
      </c>
      <c r="P1843" s="23">
        <v>1.0</v>
      </c>
      <c r="Q1843" s="23">
        <v>72.0</v>
      </c>
      <c r="R1843" s="23">
        <v>46.0</v>
      </c>
      <c r="S1843" s="23" t="s">
        <v>63</v>
      </c>
      <c r="T1843" s="32" t="s">
        <v>63</v>
      </c>
      <c r="U1843" s="23" t="s">
        <v>63</v>
      </c>
      <c r="V1843" s="23" t="s">
        <v>63</v>
      </c>
      <c r="W1843" s="23" t="s">
        <v>63</v>
      </c>
      <c r="X1843" s="23" t="s">
        <v>63</v>
      </c>
      <c r="Y1843" s="35">
        <v>83.0</v>
      </c>
      <c r="Z1843" s="32" t="s">
        <v>63</v>
      </c>
      <c r="AA1843" s="38"/>
      <c r="AB1843" s="38"/>
      <c r="AC1843" s="38"/>
      <c r="AD1843" s="38"/>
      <c r="AE1843" s="38"/>
      <c r="AF1843" s="38"/>
      <c r="AG1843" s="38"/>
      <c r="AH1843" s="38"/>
      <c r="AI1843" s="38"/>
      <c r="AJ1843" s="38"/>
      <c r="AK1843" s="38"/>
    </row>
    <row r="1844">
      <c r="A1844" s="99">
        <v>1843.0</v>
      </c>
      <c r="B1844" s="15"/>
      <c r="C1844" s="15"/>
      <c r="D1844" s="105">
        <v>1.0</v>
      </c>
      <c r="E1844" s="102">
        <v>35.0</v>
      </c>
      <c r="F1844" s="107">
        <v>27.0</v>
      </c>
      <c r="G1844" s="15" t="str">
        <f t="shared" si="1"/>
        <v>35027</v>
      </c>
      <c r="H1844" s="23" t="s">
        <v>290</v>
      </c>
      <c r="I1844" s="23" t="s">
        <v>91</v>
      </c>
      <c r="J1844" s="23" t="s">
        <v>578</v>
      </c>
      <c r="K1844" s="23" t="str">
        <f t="shared" si="32"/>
        <v>Lincoln, NM</v>
      </c>
      <c r="L1844" s="23">
        <v>15.0</v>
      </c>
      <c r="M1844" s="23">
        <v>2.0</v>
      </c>
      <c r="N1844" s="23" t="s">
        <v>63</v>
      </c>
      <c r="O1844" s="23">
        <v>4.0</v>
      </c>
      <c r="P1844" s="23">
        <v>0.0</v>
      </c>
      <c r="Q1844" s="23">
        <v>15.0</v>
      </c>
      <c r="R1844" s="23">
        <v>2.0</v>
      </c>
      <c r="S1844" s="23" t="s">
        <v>63</v>
      </c>
      <c r="T1844" s="32" t="s">
        <v>63</v>
      </c>
      <c r="U1844" s="23" t="s">
        <v>63</v>
      </c>
      <c r="V1844" s="23" t="s">
        <v>63</v>
      </c>
      <c r="W1844" s="23" t="s">
        <v>63</v>
      </c>
      <c r="X1844" s="23" t="s">
        <v>63</v>
      </c>
      <c r="Y1844" s="35">
        <v>25.0</v>
      </c>
      <c r="Z1844" s="32" t="s">
        <v>63</v>
      </c>
      <c r="AA1844" s="38"/>
      <c r="AB1844" s="38"/>
      <c r="AC1844" s="38"/>
      <c r="AD1844" s="38"/>
      <c r="AE1844" s="38"/>
      <c r="AF1844" s="38"/>
      <c r="AG1844" s="38"/>
      <c r="AH1844" s="38"/>
      <c r="AI1844" s="38"/>
      <c r="AJ1844" s="38"/>
      <c r="AK1844" s="38"/>
    </row>
    <row r="1845">
      <c r="A1845" s="99">
        <v>1844.0</v>
      </c>
      <c r="B1845" s="15"/>
      <c r="C1845" s="15"/>
      <c r="D1845" s="105">
        <v>1.0</v>
      </c>
      <c r="E1845" s="102">
        <v>35.0</v>
      </c>
      <c r="F1845" s="107">
        <v>28.0</v>
      </c>
      <c r="G1845" s="15" t="str">
        <f t="shared" si="1"/>
        <v>35028</v>
      </c>
      <c r="H1845" s="23" t="s">
        <v>1542</v>
      </c>
      <c r="I1845" s="23" t="s">
        <v>91</v>
      </c>
      <c r="J1845" s="23" t="s">
        <v>578</v>
      </c>
      <c r="K1845" s="23" t="str">
        <f t="shared" si="32"/>
        <v>Los Alamos, NM</v>
      </c>
      <c r="L1845" s="23" t="s">
        <v>63</v>
      </c>
      <c r="M1845" s="23">
        <v>2.0</v>
      </c>
      <c r="N1845" s="23" t="s">
        <v>63</v>
      </c>
      <c r="O1845" s="23">
        <v>0.0</v>
      </c>
      <c r="P1845" s="23">
        <v>0.0</v>
      </c>
      <c r="Q1845" s="23">
        <v>7.0</v>
      </c>
      <c r="R1845" s="23">
        <v>0.0</v>
      </c>
      <c r="S1845" s="23" t="s">
        <v>63</v>
      </c>
      <c r="T1845" s="32" t="s">
        <v>63</v>
      </c>
      <c r="U1845" s="23" t="s">
        <v>63</v>
      </c>
      <c r="V1845" s="23" t="s">
        <v>63</v>
      </c>
      <c r="W1845" s="23" t="s">
        <v>63</v>
      </c>
      <c r="X1845" s="23" t="s">
        <v>63</v>
      </c>
      <c r="Y1845" s="35">
        <v>19.0</v>
      </c>
      <c r="Z1845" s="32" t="s">
        <v>63</v>
      </c>
      <c r="AA1845" s="38"/>
      <c r="AB1845" s="38"/>
      <c r="AC1845" s="38"/>
      <c r="AD1845" s="38"/>
      <c r="AE1845" s="38"/>
      <c r="AF1845" s="38"/>
      <c r="AG1845" s="38"/>
      <c r="AH1845" s="38"/>
      <c r="AI1845" s="38"/>
      <c r="AJ1845" s="38"/>
      <c r="AK1845" s="38"/>
    </row>
    <row r="1846">
      <c r="A1846" s="99">
        <v>1845.0</v>
      </c>
      <c r="B1846" s="15"/>
      <c r="C1846" s="15"/>
      <c r="D1846" s="105">
        <v>1.0</v>
      </c>
      <c r="E1846" s="102">
        <v>35.0</v>
      </c>
      <c r="F1846" s="107">
        <v>29.0</v>
      </c>
      <c r="G1846" s="15" t="str">
        <f t="shared" si="1"/>
        <v>35029</v>
      </c>
      <c r="H1846" s="23" t="s">
        <v>1543</v>
      </c>
      <c r="I1846" s="23" t="s">
        <v>91</v>
      </c>
      <c r="J1846" s="23" t="s">
        <v>578</v>
      </c>
      <c r="K1846" s="23" t="str">
        <f t="shared" si="32"/>
        <v>Luna, NM</v>
      </c>
      <c r="L1846" s="23" t="s">
        <v>63</v>
      </c>
      <c r="M1846" s="23">
        <v>3.0</v>
      </c>
      <c r="N1846" s="23" t="s">
        <v>63</v>
      </c>
      <c r="O1846" s="23">
        <v>13.0</v>
      </c>
      <c r="P1846" s="23">
        <v>0.0</v>
      </c>
      <c r="Q1846" s="23">
        <v>24.0</v>
      </c>
      <c r="R1846" s="23">
        <v>10.0</v>
      </c>
      <c r="S1846" s="23" t="s">
        <v>63</v>
      </c>
      <c r="T1846" s="32" t="s">
        <v>63</v>
      </c>
      <c r="U1846" s="23" t="s">
        <v>63</v>
      </c>
      <c r="V1846" s="23" t="s">
        <v>63</v>
      </c>
      <c r="W1846" s="23" t="s">
        <v>63</v>
      </c>
      <c r="X1846" s="23" t="s">
        <v>63</v>
      </c>
      <c r="Y1846" s="35">
        <v>15.0</v>
      </c>
      <c r="Z1846" s="32" t="s">
        <v>63</v>
      </c>
      <c r="AA1846" s="38"/>
      <c r="AB1846" s="38"/>
      <c r="AC1846" s="38"/>
      <c r="AD1846" s="38"/>
      <c r="AE1846" s="38"/>
      <c r="AF1846" s="38"/>
      <c r="AG1846" s="38"/>
      <c r="AH1846" s="38"/>
      <c r="AI1846" s="38"/>
      <c r="AJ1846" s="38"/>
      <c r="AK1846" s="38"/>
    </row>
    <row r="1847">
      <c r="A1847" s="99">
        <v>1846.0</v>
      </c>
      <c r="B1847" s="15"/>
      <c r="C1847" s="15"/>
      <c r="D1847" s="105">
        <v>1.0</v>
      </c>
      <c r="E1847" s="102">
        <v>35.0</v>
      </c>
      <c r="F1847" s="107">
        <v>31.0</v>
      </c>
      <c r="G1847" s="15" t="str">
        <f t="shared" si="1"/>
        <v>35031</v>
      </c>
      <c r="H1847" s="23" t="s">
        <v>1544</v>
      </c>
      <c r="I1847" s="23" t="s">
        <v>91</v>
      </c>
      <c r="J1847" s="23" t="s">
        <v>578</v>
      </c>
      <c r="K1847" s="23" t="str">
        <f t="shared" si="32"/>
        <v>Mckinley, NM</v>
      </c>
      <c r="L1847" s="23">
        <v>40.0</v>
      </c>
      <c r="M1847" s="23">
        <v>2.0</v>
      </c>
      <c r="N1847" s="23" t="s">
        <v>63</v>
      </c>
      <c r="O1847" s="23">
        <v>18.0</v>
      </c>
      <c r="P1847" s="23">
        <v>0.0</v>
      </c>
      <c r="Q1847" s="23">
        <v>49.0</v>
      </c>
      <c r="R1847" s="23">
        <v>9.0</v>
      </c>
      <c r="S1847" s="23" t="s">
        <v>63</v>
      </c>
      <c r="T1847" s="32" t="s">
        <v>63</v>
      </c>
      <c r="U1847" s="23" t="s">
        <v>63</v>
      </c>
      <c r="V1847" s="23" t="s">
        <v>63</v>
      </c>
      <c r="W1847" s="23" t="s">
        <v>63</v>
      </c>
      <c r="X1847" s="23" t="s">
        <v>63</v>
      </c>
      <c r="Y1847" s="35">
        <v>48.0</v>
      </c>
      <c r="Z1847" s="32" t="s">
        <v>63</v>
      </c>
      <c r="AA1847" s="38"/>
      <c r="AB1847" s="38"/>
      <c r="AC1847" s="38"/>
      <c r="AD1847" s="38"/>
      <c r="AE1847" s="38"/>
      <c r="AF1847" s="38"/>
      <c r="AG1847" s="38"/>
      <c r="AH1847" s="38"/>
      <c r="AI1847" s="38"/>
      <c r="AJ1847" s="38"/>
      <c r="AK1847" s="38"/>
    </row>
    <row r="1848">
      <c r="A1848" s="99">
        <v>1847.0</v>
      </c>
      <c r="B1848" s="15"/>
      <c r="C1848" s="15"/>
      <c r="D1848" s="105">
        <v>1.0</v>
      </c>
      <c r="E1848" s="102">
        <v>35.0</v>
      </c>
      <c r="F1848" s="107">
        <v>33.0</v>
      </c>
      <c r="G1848" s="15" t="str">
        <f t="shared" si="1"/>
        <v>35033</v>
      </c>
      <c r="H1848" s="23" t="s">
        <v>1545</v>
      </c>
      <c r="I1848" s="23" t="s">
        <v>91</v>
      </c>
      <c r="J1848" s="23" t="s">
        <v>578</v>
      </c>
      <c r="K1848" s="23" t="str">
        <f t="shared" si="32"/>
        <v>Mora, NM</v>
      </c>
      <c r="L1848" s="23" t="s">
        <v>63</v>
      </c>
      <c r="M1848" s="23">
        <v>4.0</v>
      </c>
      <c r="N1848" s="23" t="s">
        <v>63</v>
      </c>
      <c r="O1848" s="23">
        <v>2.0</v>
      </c>
      <c r="P1848" s="23">
        <v>0.0</v>
      </c>
      <c r="Q1848" s="23">
        <v>1.0</v>
      </c>
      <c r="R1848" s="23">
        <v>3.0</v>
      </c>
      <c r="S1848" s="23" t="s">
        <v>63</v>
      </c>
      <c r="T1848" s="32" t="s">
        <v>63</v>
      </c>
      <c r="U1848" s="23" t="s">
        <v>63</v>
      </c>
      <c r="V1848" s="23" t="s">
        <v>63</v>
      </c>
      <c r="W1848" s="23" t="s">
        <v>63</v>
      </c>
      <c r="X1848" s="23" t="s">
        <v>63</v>
      </c>
      <c r="Y1848" s="35">
        <v>2.0</v>
      </c>
      <c r="Z1848" s="32" t="s">
        <v>63</v>
      </c>
      <c r="AA1848" s="38"/>
      <c r="AB1848" s="38"/>
      <c r="AC1848" s="38"/>
      <c r="AD1848" s="38"/>
      <c r="AE1848" s="38"/>
      <c r="AF1848" s="38"/>
      <c r="AG1848" s="38"/>
      <c r="AH1848" s="38"/>
      <c r="AI1848" s="38"/>
      <c r="AJ1848" s="38"/>
      <c r="AK1848" s="38"/>
    </row>
    <row r="1849">
      <c r="A1849" s="99">
        <v>1848.0</v>
      </c>
      <c r="B1849" s="15"/>
      <c r="C1849" s="15"/>
      <c r="D1849" s="105">
        <v>1.0</v>
      </c>
      <c r="E1849" s="102">
        <v>35.0</v>
      </c>
      <c r="F1849" s="107">
        <v>35.0</v>
      </c>
      <c r="G1849" s="15" t="str">
        <f t="shared" si="1"/>
        <v>35035</v>
      </c>
      <c r="H1849" s="23" t="s">
        <v>441</v>
      </c>
      <c r="I1849" s="23" t="s">
        <v>91</v>
      </c>
      <c r="J1849" s="23" t="s">
        <v>578</v>
      </c>
      <c r="K1849" s="23" t="str">
        <f t="shared" si="32"/>
        <v>Otero, NM</v>
      </c>
      <c r="L1849" s="23">
        <v>57.0</v>
      </c>
      <c r="M1849" s="23">
        <v>2.0</v>
      </c>
      <c r="N1849" s="23" t="s">
        <v>63</v>
      </c>
      <c r="O1849" s="23">
        <v>25.0</v>
      </c>
      <c r="P1849" s="23">
        <v>0.0</v>
      </c>
      <c r="Q1849" s="23">
        <v>50.0</v>
      </c>
      <c r="R1849" s="23">
        <v>21.0</v>
      </c>
      <c r="S1849" s="23" t="s">
        <v>63</v>
      </c>
      <c r="T1849" s="32" t="s">
        <v>63</v>
      </c>
      <c r="U1849" s="23" t="s">
        <v>63</v>
      </c>
      <c r="V1849" s="23" t="s">
        <v>63</v>
      </c>
      <c r="W1849" s="23" t="s">
        <v>63</v>
      </c>
      <c r="X1849" s="23" t="s">
        <v>63</v>
      </c>
      <c r="Y1849" s="35">
        <v>47.0</v>
      </c>
      <c r="Z1849" s="32" t="s">
        <v>63</v>
      </c>
      <c r="AA1849" s="38"/>
      <c r="AB1849" s="38"/>
      <c r="AC1849" s="38"/>
      <c r="AD1849" s="38"/>
      <c r="AE1849" s="38"/>
      <c r="AF1849" s="38"/>
      <c r="AG1849" s="38"/>
      <c r="AH1849" s="38"/>
      <c r="AI1849" s="38"/>
      <c r="AJ1849" s="38"/>
      <c r="AK1849" s="38"/>
    </row>
    <row r="1850">
      <c r="A1850" s="99">
        <v>1849.0</v>
      </c>
      <c r="B1850" s="15"/>
      <c r="C1850" s="15"/>
      <c r="D1850" s="105">
        <v>1.0</v>
      </c>
      <c r="E1850" s="102">
        <v>35.0</v>
      </c>
      <c r="F1850" s="107">
        <v>37.0</v>
      </c>
      <c r="G1850" s="15" t="str">
        <f t="shared" si="1"/>
        <v>35037</v>
      </c>
      <c r="H1850" s="23" t="s">
        <v>1546</v>
      </c>
      <c r="I1850" s="23" t="s">
        <v>91</v>
      </c>
      <c r="J1850" s="23" t="s">
        <v>578</v>
      </c>
      <c r="K1850" s="23" t="str">
        <f t="shared" si="32"/>
        <v>Quay, NM</v>
      </c>
      <c r="L1850" s="23" t="s">
        <v>63</v>
      </c>
      <c r="M1850" s="23">
        <v>1.0</v>
      </c>
      <c r="N1850" s="23" t="s">
        <v>63</v>
      </c>
      <c r="O1850" s="23">
        <v>5.0</v>
      </c>
      <c r="P1850" s="23">
        <v>0.0</v>
      </c>
      <c r="Q1850" s="23">
        <v>11.0</v>
      </c>
      <c r="R1850" s="23">
        <v>0.0</v>
      </c>
      <c r="S1850" s="23" t="s">
        <v>63</v>
      </c>
      <c r="T1850" s="32" t="s">
        <v>63</v>
      </c>
      <c r="U1850" s="23" t="s">
        <v>63</v>
      </c>
      <c r="V1850" s="23" t="s">
        <v>63</v>
      </c>
      <c r="W1850" s="23" t="s">
        <v>63</v>
      </c>
      <c r="X1850" s="23" t="s">
        <v>63</v>
      </c>
      <c r="Y1850" s="35">
        <v>18.0</v>
      </c>
      <c r="Z1850" s="32" t="s">
        <v>63</v>
      </c>
      <c r="AA1850" s="38"/>
      <c r="AB1850" s="38"/>
      <c r="AC1850" s="38"/>
      <c r="AD1850" s="38"/>
      <c r="AE1850" s="38"/>
      <c r="AF1850" s="38"/>
      <c r="AG1850" s="38"/>
      <c r="AH1850" s="38"/>
      <c r="AI1850" s="38"/>
      <c r="AJ1850" s="38"/>
      <c r="AK1850" s="38"/>
    </row>
    <row r="1851">
      <c r="A1851" s="99">
        <v>1850.0</v>
      </c>
      <c r="B1851" s="15"/>
      <c r="C1851" s="15"/>
      <c r="D1851" s="105">
        <v>1.0</v>
      </c>
      <c r="E1851" s="102">
        <v>35.0</v>
      </c>
      <c r="F1851" s="107">
        <v>39.0</v>
      </c>
      <c r="G1851" s="15" t="str">
        <f t="shared" si="1"/>
        <v>35039</v>
      </c>
      <c r="H1851" s="23" t="s">
        <v>1547</v>
      </c>
      <c r="I1851" s="23" t="s">
        <v>91</v>
      </c>
      <c r="J1851" s="23" t="s">
        <v>578</v>
      </c>
      <c r="K1851" s="23" t="str">
        <f t="shared" si="32"/>
        <v>Rio Arriba, NM</v>
      </c>
      <c r="L1851" s="23" t="s">
        <v>63</v>
      </c>
      <c r="M1851" s="23">
        <v>3.0</v>
      </c>
      <c r="N1851" s="23" t="s">
        <v>63</v>
      </c>
      <c r="O1851" s="23">
        <v>7.0</v>
      </c>
      <c r="P1851" s="23">
        <v>0.0</v>
      </c>
      <c r="Q1851" s="23">
        <v>19.0</v>
      </c>
      <c r="R1851" s="23">
        <v>11.0</v>
      </c>
      <c r="S1851" s="23" t="s">
        <v>63</v>
      </c>
      <c r="T1851" s="32" t="s">
        <v>63</v>
      </c>
      <c r="U1851" s="23" t="s">
        <v>63</v>
      </c>
      <c r="V1851" s="23" t="s">
        <v>63</v>
      </c>
      <c r="W1851" s="23" t="s">
        <v>63</v>
      </c>
      <c r="X1851" s="23" t="s">
        <v>63</v>
      </c>
      <c r="Y1851" s="35">
        <v>30.0</v>
      </c>
      <c r="Z1851" s="32" t="s">
        <v>63</v>
      </c>
      <c r="AA1851" s="38"/>
      <c r="AB1851" s="38"/>
      <c r="AC1851" s="38"/>
      <c r="AD1851" s="38"/>
      <c r="AE1851" s="38"/>
      <c r="AF1851" s="38"/>
      <c r="AG1851" s="38"/>
      <c r="AH1851" s="38"/>
      <c r="AI1851" s="38"/>
      <c r="AJ1851" s="38"/>
      <c r="AK1851" s="38"/>
    </row>
    <row r="1852">
      <c r="A1852" s="99">
        <v>1851.0</v>
      </c>
      <c r="B1852" s="15"/>
      <c r="C1852" s="15"/>
      <c r="D1852" s="105">
        <v>1.0</v>
      </c>
      <c r="E1852" s="102">
        <v>35.0</v>
      </c>
      <c r="F1852" s="107">
        <v>41.0</v>
      </c>
      <c r="G1852" s="15" t="str">
        <f t="shared" si="1"/>
        <v>35041</v>
      </c>
      <c r="H1852" s="23" t="s">
        <v>1456</v>
      </c>
      <c r="I1852" s="23" t="s">
        <v>91</v>
      </c>
      <c r="J1852" s="23" t="s">
        <v>578</v>
      </c>
      <c r="K1852" s="23" t="str">
        <f t="shared" si="32"/>
        <v>Roosevelt, NM</v>
      </c>
      <c r="L1852" s="23">
        <v>12.0</v>
      </c>
      <c r="M1852" s="23">
        <v>1.0</v>
      </c>
      <c r="N1852" s="23" t="s">
        <v>63</v>
      </c>
      <c r="O1852" s="23">
        <v>5.0</v>
      </c>
      <c r="P1852" s="23">
        <v>0.0</v>
      </c>
      <c r="Q1852" s="23">
        <v>13.0</v>
      </c>
      <c r="R1852" s="23" t="s">
        <v>63</v>
      </c>
      <c r="S1852" s="23" t="s">
        <v>63</v>
      </c>
      <c r="T1852" s="32" t="s">
        <v>63</v>
      </c>
      <c r="U1852" s="23" t="s">
        <v>63</v>
      </c>
      <c r="V1852" s="23" t="s">
        <v>63</v>
      </c>
      <c r="W1852" s="23" t="s">
        <v>63</v>
      </c>
      <c r="X1852" s="23" t="s">
        <v>63</v>
      </c>
      <c r="Y1852" s="35">
        <v>30.0</v>
      </c>
      <c r="Z1852" s="32" t="s">
        <v>63</v>
      </c>
      <c r="AA1852" s="38"/>
      <c r="AB1852" s="38"/>
      <c r="AC1852" s="38"/>
      <c r="AD1852" s="38"/>
      <c r="AE1852" s="38"/>
      <c r="AF1852" s="38"/>
      <c r="AG1852" s="38"/>
      <c r="AH1852" s="38"/>
      <c r="AI1852" s="38"/>
      <c r="AJ1852" s="38"/>
      <c r="AK1852" s="38"/>
    </row>
    <row r="1853">
      <c r="A1853" s="99">
        <v>1852.0</v>
      </c>
      <c r="B1853" s="15"/>
      <c r="C1853" s="15"/>
      <c r="D1853" s="105">
        <v>1.0</v>
      </c>
      <c r="E1853" s="102">
        <v>35.0</v>
      </c>
      <c r="F1853" s="107">
        <v>43.0</v>
      </c>
      <c r="G1853" s="15" t="str">
        <f t="shared" si="1"/>
        <v>35043</v>
      </c>
      <c r="H1853" s="23" t="s">
        <v>1548</v>
      </c>
      <c r="I1853" s="23" t="s">
        <v>91</v>
      </c>
      <c r="J1853" s="23" t="s">
        <v>578</v>
      </c>
      <c r="K1853" s="23" t="str">
        <f t="shared" si="32"/>
        <v>Sandoval, NM</v>
      </c>
      <c r="L1853" s="23">
        <v>25.0</v>
      </c>
      <c r="M1853" s="23">
        <v>3.0</v>
      </c>
      <c r="N1853" s="23" t="s">
        <v>63</v>
      </c>
      <c r="O1853" s="23">
        <v>12.0</v>
      </c>
      <c r="P1853" s="23">
        <v>0.0</v>
      </c>
      <c r="Q1853" s="23">
        <v>53.0</v>
      </c>
      <c r="R1853" s="23">
        <v>3.0</v>
      </c>
      <c r="S1853" s="23" t="s">
        <v>63</v>
      </c>
      <c r="T1853" s="32" t="s">
        <v>63</v>
      </c>
      <c r="U1853" s="23" t="s">
        <v>63</v>
      </c>
      <c r="V1853" s="23" t="s">
        <v>63</v>
      </c>
      <c r="W1853" s="23" t="s">
        <v>63</v>
      </c>
      <c r="X1853" s="23" t="s">
        <v>63</v>
      </c>
      <c r="Y1853" s="35">
        <v>59.0</v>
      </c>
      <c r="Z1853" s="32" t="s">
        <v>63</v>
      </c>
      <c r="AA1853" s="38"/>
      <c r="AB1853" s="38"/>
      <c r="AC1853" s="38"/>
      <c r="AD1853" s="38"/>
      <c r="AE1853" s="38"/>
      <c r="AF1853" s="38"/>
      <c r="AG1853" s="38"/>
      <c r="AH1853" s="38"/>
      <c r="AI1853" s="38"/>
      <c r="AJ1853" s="38"/>
      <c r="AK1853" s="38"/>
    </row>
    <row r="1854">
      <c r="A1854" s="99">
        <v>1853.0</v>
      </c>
      <c r="B1854" s="15"/>
      <c r="C1854" s="15"/>
      <c r="D1854" s="105">
        <v>1.0</v>
      </c>
      <c r="E1854" s="102">
        <v>35.0</v>
      </c>
      <c r="F1854" s="107">
        <v>45.0</v>
      </c>
      <c r="G1854" s="15" t="str">
        <f t="shared" si="1"/>
        <v>35045</v>
      </c>
      <c r="H1854" s="23" t="s">
        <v>457</v>
      </c>
      <c r="I1854" s="23" t="s">
        <v>91</v>
      </c>
      <c r="J1854" s="23" t="s">
        <v>578</v>
      </c>
      <c r="K1854" s="23" t="str">
        <f t="shared" si="32"/>
        <v>San Juan, NM</v>
      </c>
      <c r="L1854" s="23">
        <v>70.0</v>
      </c>
      <c r="M1854" s="23">
        <v>3.0</v>
      </c>
      <c r="N1854" s="23" t="s">
        <v>63</v>
      </c>
      <c r="O1854" s="23">
        <v>33.0</v>
      </c>
      <c r="P1854" s="23">
        <v>0.0</v>
      </c>
      <c r="Q1854" s="23">
        <v>78.0</v>
      </c>
      <c r="R1854" s="23">
        <v>24.0</v>
      </c>
      <c r="S1854" s="23" t="s">
        <v>63</v>
      </c>
      <c r="T1854" s="32" t="s">
        <v>63</v>
      </c>
      <c r="U1854" s="23" t="s">
        <v>63</v>
      </c>
      <c r="V1854" s="23" t="s">
        <v>63</v>
      </c>
      <c r="W1854" s="23" t="s">
        <v>63</v>
      </c>
      <c r="X1854" s="23" t="s">
        <v>63</v>
      </c>
      <c r="Y1854" s="35">
        <v>99.0</v>
      </c>
      <c r="Z1854" s="32" t="s">
        <v>63</v>
      </c>
      <c r="AA1854" s="38"/>
      <c r="AB1854" s="38"/>
      <c r="AC1854" s="38"/>
      <c r="AD1854" s="38"/>
      <c r="AE1854" s="38"/>
      <c r="AF1854" s="38"/>
      <c r="AG1854" s="38"/>
      <c r="AH1854" s="38"/>
      <c r="AI1854" s="38"/>
      <c r="AJ1854" s="38"/>
      <c r="AK1854" s="38"/>
    </row>
    <row r="1855">
      <c r="A1855" s="99">
        <v>1854.0</v>
      </c>
      <c r="B1855" s="15"/>
      <c r="C1855" s="15"/>
      <c r="D1855" s="105">
        <v>1.0</v>
      </c>
      <c r="E1855" s="102">
        <v>35.0</v>
      </c>
      <c r="F1855" s="107">
        <v>47.0</v>
      </c>
      <c r="G1855" s="15" t="str">
        <f t="shared" si="1"/>
        <v>35047</v>
      </c>
      <c r="H1855" s="23" t="s">
        <v>458</v>
      </c>
      <c r="I1855" s="23" t="s">
        <v>91</v>
      </c>
      <c r="J1855" s="23" t="s">
        <v>578</v>
      </c>
      <c r="K1855" s="23" t="str">
        <f t="shared" si="32"/>
        <v>San Miguel, NM</v>
      </c>
      <c r="L1855" s="23" t="s">
        <v>63</v>
      </c>
      <c r="M1855" s="23">
        <v>2.0</v>
      </c>
      <c r="N1855" s="23" t="s">
        <v>63</v>
      </c>
      <c r="O1855" s="23">
        <v>38.0</v>
      </c>
      <c r="P1855" s="23">
        <v>1.0</v>
      </c>
      <c r="Q1855" s="23">
        <v>49.0</v>
      </c>
      <c r="R1855" s="23">
        <v>39.0</v>
      </c>
      <c r="S1855" s="23" t="s">
        <v>63</v>
      </c>
      <c r="T1855" s="32" t="s">
        <v>63</v>
      </c>
      <c r="U1855" s="23" t="s">
        <v>63</v>
      </c>
      <c r="V1855" s="23" t="s">
        <v>63</v>
      </c>
      <c r="W1855" s="23" t="s">
        <v>63</v>
      </c>
      <c r="X1855" s="23" t="s">
        <v>63</v>
      </c>
      <c r="Y1855" s="35">
        <v>18.0</v>
      </c>
      <c r="Z1855" s="32" t="s">
        <v>63</v>
      </c>
      <c r="AA1855" s="38"/>
      <c r="AB1855" s="38"/>
      <c r="AC1855" s="38"/>
      <c r="AD1855" s="38"/>
      <c r="AE1855" s="38"/>
      <c r="AF1855" s="38"/>
      <c r="AG1855" s="38"/>
      <c r="AH1855" s="38"/>
      <c r="AI1855" s="38"/>
      <c r="AJ1855" s="38"/>
      <c r="AK1855" s="38"/>
    </row>
    <row r="1856">
      <c r="A1856" s="99">
        <v>1855.0</v>
      </c>
      <c r="B1856" s="15"/>
      <c r="C1856" s="15"/>
      <c r="D1856" s="105">
        <v>1.0</v>
      </c>
      <c r="E1856" s="102">
        <v>35.0</v>
      </c>
      <c r="F1856" s="107">
        <v>49.0</v>
      </c>
      <c r="G1856" s="15" t="str">
        <f t="shared" si="1"/>
        <v>35049</v>
      </c>
      <c r="H1856" s="23" t="s">
        <v>1549</v>
      </c>
      <c r="I1856" s="23" t="s">
        <v>91</v>
      </c>
      <c r="J1856" s="23" t="s">
        <v>578</v>
      </c>
      <c r="K1856" s="23" t="str">
        <f t="shared" si="32"/>
        <v>Santa Fe, NM</v>
      </c>
      <c r="L1856" s="23">
        <v>34.0</v>
      </c>
      <c r="M1856" s="23">
        <v>2.0</v>
      </c>
      <c r="N1856" s="23" t="s">
        <v>63</v>
      </c>
      <c r="O1856" s="23">
        <v>11.0</v>
      </c>
      <c r="P1856" s="23">
        <v>0.0</v>
      </c>
      <c r="Q1856" s="23">
        <v>50.0</v>
      </c>
      <c r="R1856" s="23">
        <v>11.0</v>
      </c>
      <c r="S1856" s="23" t="s">
        <v>63</v>
      </c>
      <c r="T1856" s="32" t="s">
        <v>63</v>
      </c>
      <c r="U1856" s="23" t="s">
        <v>63</v>
      </c>
      <c r="V1856" s="23" t="s">
        <v>63</v>
      </c>
      <c r="W1856" s="23" t="s">
        <v>63</v>
      </c>
      <c r="X1856" s="23" t="s">
        <v>63</v>
      </c>
      <c r="Y1856" s="35">
        <v>65.0</v>
      </c>
      <c r="Z1856" s="32" t="s">
        <v>63</v>
      </c>
      <c r="AA1856" s="38"/>
      <c r="AB1856" s="38"/>
      <c r="AC1856" s="38"/>
      <c r="AD1856" s="38"/>
      <c r="AE1856" s="38"/>
      <c r="AF1856" s="38"/>
      <c r="AG1856" s="38"/>
      <c r="AH1856" s="38"/>
      <c r="AI1856" s="38"/>
      <c r="AJ1856" s="38"/>
      <c r="AK1856" s="38"/>
    </row>
    <row r="1857">
      <c r="A1857" s="99">
        <v>1856.0</v>
      </c>
      <c r="B1857" s="15"/>
      <c r="C1857" s="15"/>
      <c r="D1857" s="105">
        <v>1.0</v>
      </c>
      <c r="E1857" s="102">
        <v>35.0</v>
      </c>
      <c r="F1857" s="107">
        <v>51.0</v>
      </c>
      <c r="G1857" s="15" t="str">
        <f t="shared" si="1"/>
        <v>35051</v>
      </c>
      <c r="H1857" s="23" t="s">
        <v>365</v>
      </c>
      <c r="I1857" s="23" t="s">
        <v>91</v>
      </c>
      <c r="J1857" s="23" t="s">
        <v>578</v>
      </c>
      <c r="K1857" s="23" t="str">
        <f t="shared" si="32"/>
        <v>Sierra, NM</v>
      </c>
      <c r="L1857" s="23">
        <v>0.0</v>
      </c>
      <c r="M1857" s="23">
        <v>3.0</v>
      </c>
      <c r="N1857" s="23" t="s">
        <v>63</v>
      </c>
      <c r="O1857" s="23">
        <v>0.0</v>
      </c>
      <c r="P1857" s="23">
        <v>0.0</v>
      </c>
      <c r="Q1857" s="23">
        <v>12.0</v>
      </c>
      <c r="R1857" s="23">
        <v>0.0</v>
      </c>
      <c r="S1857" s="23" t="s">
        <v>63</v>
      </c>
      <c r="T1857" s="32" t="s">
        <v>63</v>
      </c>
      <c r="U1857" s="23" t="s">
        <v>63</v>
      </c>
      <c r="V1857" s="23" t="s">
        <v>63</v>
      </c>
      <c r="W1857" s="23" t="s">
        <v>63</v>
      </c>
      <c r="X1857" s="23" t="s">
        <v>63</v>
      </c>
      <c r="Y1857" s="35">
        <v>10.0</v>
      </c>
      <c r="Z1857" s="32" t="s">
        <v>63</v>
      </c>
      <c r="AA1857" s="38"/>
      <c r="AB1857" s="38"/>
      <c r="AC1857" s="38"/>
      <c r="AD1857" s="38"/>
      <c r="AE1857" s="38"/>
      <c r="AF1857" s="38"/>
      <c r="AG1857" s="38"/>
      <c r="AH1857" s="38"/>
      <c r="AI1857" s="38"/>
      <c r="AJ1857" s="38"/>
      <c r="AK1857" s="38"/>
    </row>
    <row r="1858">
      <c r="A1858" s="99">
        <v>1857.0</v>
      </c>
      <c r="B1858" s="15"/>
      <c r="C1858" s="15"/>
      <c r="D1858" s="105">
        <v>1.0</v>
      </c>
      <c r="E1858" s="102">
        <v>35.0</v>
      </c>
      <c r="F1858" s="107">
        <v>53.0</v>
      </c>
      <c r="G1858" s="15" t="str">
        <f t="shared" si="1"/>
        <v>35053</v>
      </c>
      <c r="H1858" s="23" t="s">
        <v>1550</v>
      </c>
      <c r="I1858" s="23" t="s">
        <v>91</v>
      </c>
      <c r="J1858" s="23" t="s">
        <v>578</v>
      </c>
      <c r="K1858" s="23" t="str">
        <f t="shared" si="32"/>
        <v>Socorro, NM</v>
      </c>
      <c r="L1858" s="23">
        <v>8.0</v>
      </c>
      <c r="M1858" s="23">
        <v>3.0</v>
      </c>
      <c r="N1858" s="23" t="s">
        <v>63</v>
      </c>
      <c r="O1858" s="23">
        <v>2.0</v>
      </c>
      <c r="P1858" s="23">
        <v>0.0</v>
      </c>
      <c r="Q1858" s="23">
        <v>18.0</v>
      </c>
      <c r="R1858" s="23">
        <v>1.0</v>
      </c>
      <c r="S1858" s="23" t="s">
        <v>63</v>
      </c>
      <c r="T1858" s="32" t="s">
        <v>63</v>
      </c>
      <c r="U1858" s="23" t="s">
        <v>63</v>
      </c>
      <c r="V1858" s="23" t="s">
        <v>63</v>
      </c>
      <c r="W1858" s="23" t="s">
        <v>63</v>
      </c>
      <c r="X1858" s="23" t="s">
        <v>63</v>
      </c>
      <c r="Y1858" s="35">
        <v>9.0</v>
      </c>
      <c r="Z1858" s="32" t="s">
        <v>63</v>
      </c>
      <c r="AA1858" s="38"/>
      <c r="AB1858" s="38"/>
      <c r="AC1858" s="38"/>
      <c r="AD1858" s="38"/>
      <c r="AE1858" s="38"/>
      <c r="AF1858" s="38"/>
      <c r="AG1858" s="38"/>
      <c r="AH1858" s="38"/>
      <c r="AI1858" s="38"/>
      <c r="AJ1858" s="38"/>
      <c r="AK1858" s="38"/>
    </row>
    <row r="1859">
      <c r="A1859" s="99">
        <v>1858.0</v>
      </c>
      <c r="B1859" s="15"/>
      <c r="C1859" s="15"/>
      <c r="D1859" s="105">
        <v>1.0</v>
      </c>
      <c r="E1859" s="102">
        <v>35.0</v>
      </c>
      <c r="F1859" s="107">
        <v>55.0</v>
      </c>
      <c r="G1859" s="15" t="str">
        <f t="shared" si="1"/>
        <v>35055</v>
      </c>
      <c r="H1859" s="23" t="s">
        <v>1551</v>
      </c>
      <c r="I1859" s="23" t="s">
        <v>91</v>
      </c>
      <c r="J1859" s="23" t="s">
        <v>578</v>
      </c>
      <c r="K1859" s="23" t="str">
        <f t="shared" si="32"/>
        <v>Taos, NM</v>
      </c>
      <c r="L1859" s="23">
        <v>60.0</v>
      </c>
      <c r="M1859" s="23">
        <v>2.0</v>
      </c>
      <c r="N1859" s="23" t="s">
        <v>63</v>
      </c>
      <c r="O1859" s="23">
        <v>31.0</v>
      </c>
      <c r="P1859" s="23">
        <v>1.0</v>
      </c>
      <c r="Q1859" s="23">
        <v>33.0</v>
      </c>
      <c r="R1859" s="23">
        <v>19.0</v>
      </c>
      <c r="S1859" s="23" t="s">
        <v>63</v>
      </c>
      <c r="T1859" s="32" t="s">
        <v>63</v>
      </c>
      <c r="U1859" s="23" t="s">
        <v>63</v>
      </c>
      <c r="V1859" s="23" t="s">
        <v>63</v>
      </c>
      <c r="W1859" s="23" t="s">
        <v>63</v>
      </c>
      <c r="X1859" s="23" t="s">
        <v>63</v>
      </c>
      <c r="Y1859" s="35">
        <v>21.0</v>
      </c>
      <c r="Z1859" s="32" t="s">
        <v>63</v>
      </c>
      <c r="AA1859" s="38"/>
      <c r="AB1859" s="38"/>
      <c r="AC1859" s="38"/>
      <c r="AD1859" s="38"/>
      <c r="AE1859" s="38"/>
      <c r="AF1859" s="38"/>
      <c r="AG1859" s="38"/>
      <c r="AH1859" s="38"/>
      <c r="AI1859" s="38"/>
      <c r="AJ1859" s="38"/>
      <c r="AK1859" s="38"/>
    </row>
    <row r="1860">
      <c r="A1860" s="99">
        <v>1859.0</v>
      </c>
      <c r="B1860" s="15"/>
      <c r="C1860" s="15"/>
      <c r="D1860" s="105">
        <v>1.0</v>
      </c>
      <c r="E1860" s="102">
        <v>35.0</v>
      </c>
      <c r="F1860" s="107">
        <v>57.0</v>
      </c>
      <c r="G1860" s="15" t="str">
        <f t="shared" si="1"/>
        <v>35057</v>
      </c>
      <c r="H1860" s="23" t="s">
        <v>1552</v>
      </c>
      <c r="I1860" s="23" t="s">
        <v>91</v>
      </c>
      <c r="J1860" s="23" t="s">
        <v>578</v>
      </c>
      <c r="K1860" s="23" t="str">
        <f t="shared" si="32"/>
        <v>Torrance, NM</v>
      </c>
      <c r="L1860" s="23">
        <v>22.0</v>
      </c>
      <c r="M1860" s="23">
        <v>3.0</v>
      </c>
      <c r="N1860" s="23" t="s">
        <v>63</v>
      </c>
      <c r="O1860" s="23">
        <v>7.0</v>
      </c>
      <c r="P1860" s="23">
        <v>0.0</v>
      </c>
      <c r="Q1860" s="23">
        <v>9.0</v>
      </c>
      <c r="R1860" s="23">
        <v>6.0</v>
      </c>
      <c r="S1860" s="23" t="s">
        <v>63</v>
      </c>
      <c r="T1860" s="32" t="s">
        <v>63</v>
      </c>
      <c r="U1860" s="23" t="s">
        <v>63</v>
      </c>
      <c r="V1860" s="23" t="s">
        <v>63</v>
      </c>
      <c r="W1860" s="23" t="s">
        <v>63</v>
      </c>
      <c r="X1860" s="23" t="s">
        <v>63</v>
      </c>
      <c r="Y1860" s="35">
        <v>20.0</v>
      </c>
      <c r="Z1860" s="32" t="s">
        <v>63</v>
      </c>
      <c r="AA1860" s="38"/>
      <c r="AB1860" s="38"/>
      <c r="AC1860" s="38"/>
      <c r="AD1860" s="38"/>
      <c r="AE1860" s="38"/>
      <c r="AF1860" s="38"/>
      <c r="AG1860" s="38"/>
      <c r="AH1860" s="38"/>
      <c r="AI1860" s="38"/>
      <c r="AJ1860" s="38"/>
      <c r="AK1860" s="38"/>
    </row>
    <row r="1861">
      <c r="A1861" s="99">
        <v>1860.0</v>
      </c>
      <c r="B1861" s="15"/>
      <c r="C1861" s="15"/>
      <c r="D1861" s="105">
        <v>1.0</v>
      </c>
      <c r="E1861" s="102">
        <v>35.0</v>
      </c>
      <c r="F1861" s="107">
        <v>59.0</v>
      </c>
      <c r="G1861" s="15" t="str">
        <f t="shared" si="1"/>
        <v>35059</v>
      </c>
      <c r="H1861" s="23" t="s">
        <v>316</v>
      </c>
      <c r="I1861" s="23" t="s">
        <v>91</v>
      </c>
      <c r="J1861" s="23" t="s">
        <v>578</v>
      </c>
      <c r="K1861" s="23" t="str">
        <f t="shared" si="32"/>
        <v>Union, NM</v>
      </c>
      <c r="L1861" s="23" t="s">
        <v>63</v>
      </c>
      <c r="M1861" s="23">
        <v>2.0</v>
      </c>
      <c r="N1861" s="23" t="s">
        <v>63</v>
      </c>
      <c r="O1861" s="23">
        <v>1.0</v>
      </c>
      <c r="P1861" s="23">
        <v>0.0</v>
      </c>
      <c r="Q1861" s="23">
        <v>2.0</v>
      </c>
      <c r="R1861" s="23">
        <v>0.0</v>
      </c>
      <c r="S1861" s="23" t="s">
        <v>63</v>
      </c>
      <c r="T1861" s="32" t="s">
        <v>63</v>
      </c>
      <c r="U1861" s="23" t="s">
        <v>63</v>
      </c>
      <c r="V1861" s="23" t="s">
        <v>63</v>
      </c>
      <c r="W1861" s="23" t="s">
        <v>63</v>
      </c>
      <c r="X1861" s="23" t="s">
        <v>63</v>
      </c>
      <c r="Y1861" s="35">
        <v>9.0</v>
      </c>
      <c r="Z1861" s="32" t="s">
        <v>63</v>
      </c>
      <c r="AA1861" s="38"/>
      <c r="AB1861" s="38"/>
      <c r="AC1861" s="38"/>
      <c r="AD1861" s="38"/>
      <c r="AE1861" s="38"/>
      <c r="AF1861" s="38"/>
      <c r="AG1861" s="38"/>
      <c r="AH1861" s="38"/>
      <c r="AI1861" s="38"/>
      <c r="AJ1861" s="38"/>
      <c r="AK1861" s="38"/>
    </row>
    <row r="1862">
      <c r="A1862" s="99">
        <v>1861.0</v>
      </c>
      <c r="B1862" s="15"/>
      <c r="C1862" s="15"/>
      <c r="D1862" s="105">
        <v>1.0</v>
      </c>
      <c r="E1862" s="102">
        <v>35.0</v>
      </c>
      <c r="F1862" s="107">
        <v>61.0</v>
      </c>
      <c r="G1862" s="15" t="str">
        <f t="shared" si="1"/>
        <v>35061</v>
      </c>
      <c r="H1862" s="23" t="s">
        <v>1553</v>
      </c>
      <c r="I1862" s="23" t="s">
        <v>91</v>
      </c>
      <c r="J1862" s="23" t="s">
        <v>578</v>
      </c>
      <c r="K1862" s="23" t="str">
        <f t="shared" si="32"/>
        <v>Valencia, NM</v>
      </c>
      <c r="L1862" s="23">
        <v>104.0</v>
      </c>
      <c r="M1862" s="23">
        <v>2.0</v>
      </c>
      <c r="N1862" s="23" t="s">
        <v>63</v>
      </c>
      <c r="O1862" s="23">
        <v>53.0</v>
      </c>
      <c r="P1862" s="23">
        <v>0.0</v>
      </c>
      <c r="Q1862" s="23">
        <v>106.0</v>
      </c>
      <c r="R1862" s="23">
        <v>18.0</v>
      </c>
      <c r="S1862" s="23" t="s">
        <v>63</v>
      </c>
      <c r="T1862" s="32" t="s">
        <v>63</v>
      </c>
      <c r="U1862" s="23" t="s">
        <v>63</v>
      </c>
      <c r="V1862" s="23" t="s">
        <v>63</v>
      </c>
      <c r="W1862" s="23" t="s">
        <v>63</v>
      </c>
      <c r="X1862" s="23" t="s">
        <v>63</v>
      </c>
      <c r="Y1862" s="35">
        <v>40.0</v>
      </c>
      <c r="Z1862" s="32" t="s">
        <v>63</v>
      </c>
      <c r="AA1862" s="38"/>
      <c r="AB1862" s="38"/>
      <c r="AC1862" s="38"/>
      <c r="AD1862" s="38"/>
      <c r="AE1862" s="38"/>
      <c r="AF1862" s="38"/>
      <c r="AG1862" s="38"/>
      <c r="AH1862" s="38"/>
      <c r="AI1862" s="38"/>
      <c r="AJ1862" s="38"/>
      <c r="AK1862" s="38"/>
    </row>
    <row r="1863">
      <c r="A1863" s="28">
        <v>1862.0</v>
      </c>
      <c r="B1863" s="29"/>
      <c r="C1863" s="29" t="s">
        <v>25</v>
      </c>
      <c r="D1863" s="30"/>
      <c r="E1863" s="31">
        <v>36.0</v>
      </c>
      <c r="F1863" s="42">
        <v>0.0</v>
      </c>
      <c r="G1863" s="29" t="str">
        <f t="shared" si="1"/>
        <v>36000</v>
      </c>
      <c r="H1863" s="37"/>
      <c r="I1863" s="37" t="s">
        <v>94</v>
      </c>
      <c r="J1863" s="37" t="s">
        <v>250</v>
      </c>
      <c r="K1863" s="37"/>
      <c r="L1863" s="53">
        <f t="array" ref="L1863:Z1863">'New York'!C66:Q66</f>
        <v>14733</v>
      </c>
      <c r="M1863" s="652">
        <v>2.0435245188122644</v>
      </c>
      <c r="N1863" s="53">
        <v>6151.0</v>
      </c>
      <c r="O1863" s="53">
        <v>5802.0</v>
      </c>
      <c r="P1863" s="37" t="s">
        <v>63</v>
      </c>
      <c r="Q1863" s="53">
        <v>10339.0</v>
      </c>
      <c r="R1863" s="53">
        <v>3231.0</v>
      </c>
      <c r="S1863" s="70" t="s">
        <v>63</v>
      </c>
      <c r="T1863" s="69">
        <v>0.553</v>
      </c>
      <c r="U1863" s="37" t="s">
        <v>63</v>
      </c>
      <c r="V1863" s="37" t="s">
        <v>63</v>
      </c>
      <c r="W1863" s="37" t="s">
        <v>63</v>
      </c>
      <c r="X1863" s="37" t="s">
        <v>63</v>
      </c>
      <c r="Y1863" s="53">
        <v>9117.0</v>
      </c>
      <c r="Z1863" s="69" t="s">
        <v>63</v>
      </c>
      <c r="AA1863" s="73"/>
      <c r="AB1863" s="73"/>
      <c r="AC1863" s="73"/>
      <c r="AD1863" s="73"/>
      <c r="AE1863" s="73"/>
      <c r="AF1863" s="73"/>
      <c r="AG1863" s="73"/>
      <c r="AH1863" s="73"/>
      <c r="AI1863" s="73"/>
      <c r="AJ1863" s="73"/>
      <c r="AK1863" s="73"/>
    </row>
    <row r="1864">
      <c r="A1864" s="28">
        <v>1863.0</v>
      </c>
      <c r="B1864" s="29"/>
      <c r="C1864" s="29"/>
      <c r="D1864" s="40">
        <v>1.0</v>
      </c>
      <c r="E1864" s="31">
        <v>36.0</v>
      </c>
      <c r="F1864" s="42">
        <v>1.0</v>
      </c>
      <c r="G1864" s="29" t="str">
        <f t="shared" si="1"/>
        <v>36001</v>
      </c>
      <c r="H1864" s="37" t="s">
        <v>1554</v>
      </c>
      <c r="I1864" s="37" t="s">
        <v>94</v>
      </c>
      <c r="J1864" s="37" t="s">
        <v>250</v>
      </c>
      <c r="K1864" s="37" t="str">
        <f t="shared" ref="K1864:K1925" si="33">CONCATENATE(H1864,", ",J1864)</f>
        <v>Albany, NY</v>
      </c>
      <c r="L1864" s="37">
        <f t="array" ref="L1864:Z1925">'New York'!C3:Q64</f>
        <v>211</v>
      </c>
      <c r="M1864" s="652">
        <v>1.87012987012987</v>
      </c>
      <c r="N1864" s="37">
        <v>103.0</v>
      </c>
      <c r="O1864" s="37">
        <v>66.0</v>
      </c>
      <c r="P1864" s="37" t="s">
        <v>63</v>
      </c>
      <c r="Q1864" s="37">
        <v>154.0</v>
      </c>
      <c r="R1864" s="37">
        <v>36.0</v>
      </c>
      <c r="S1864" s="37" t="s">
        <v>63</v>
      </c>
      <c r="T1864" s="69">
        <v>0.663</v>
      </c>
      <c r="U1864" s="37" t="s">
        <v>63</v>
      </c>
      <c r="V1864" s="37" t="s">
        <v>63</v>
      </c>
      <c r="W1864" s="37" t="s">
        <v>63</v>
      </c>
      <c r="X1864" s="37" t="s">
        <v>63</v>
      </c>
      <c r="Y1864" s="53">
        <v>183.0</v>
      </c>
      <c r="Z1864" s="69" t="s">
        <v>63</v>
      </c>
      <c r="AA1864" s="73"/>
      <c r="AB1864" s="73"/>
      <c r="AC1864" s="73"/>
      <c r="AD1864" s="73"/>
      <c r="AE1864" s="73"/>
      <c r="AF1864" s="73"/>
      <c r="AG1864" s="73"/>
      <c r="AH1864" s="73"/>
      <c r="AI1864" s="73"/>
      <c r="AJ1864" s="73"/>
      <c r="AK1864" s="73"/>
    </row>
    <row r="1865">
      <c r="A1865" s="28">
        <v>1864.0</v>
      </c>
      <c r="B1865" s="29"/>
      <c r="C1865" s="29"/>
      <c r="D1865" s="40">
        <v>1.0</v>
      </c>
      <c r="E1865" s="31">
        <v>36.0</v>
      </c>
      <c r="F1865" s="42">
        <v>3.0</v>
      </c>
      <c r="G1865" s="29" t="str">
        <f t="shared" si="1"/>
        <v>36003</v>
      </c>
      <c r="H1865" s="37" t="s">
        <v>1197</v>
      </c>
      <c r="I1865" s="37" t="s">
        <v>94</v>
      </c>
      <c r="J1865" s="37" t="s">
        <v>250</v>
      </c>
      <c r="K1865" s="37" t="str">
        <f t="shared" si="33"/>
        <v>Allegany, NY</v>
      </c>
      <c r="L1865" s="37">
        <v>33.0</v>
      </c>
      <c r="M1865" s="652">
        <v>2.0</v>
      </c>
      <c r="N1865" s="37">
        <v>14.0</v>
      </c>
      <c r="O1865" s="37">
        <v>17.0</v>
      </c>
      <c r="P1865" s="37" t="s">
        <v>63</v>
      </c>
      <c r="Q1865" s="37">
        <v>37.0</v>
      </c>
      <c r="R1865" s="37">
        <v>3.0</v>
      </c>
      <c r="S1865" s="37" t="s">
        <v>63</v>
      </c>
      <c r="T1865" s="69">
        <v>0.625</v>
      </c>
      <c r="U1865" s="37" t="s">
        <v>63</v>
      </c>
      <c r="V1865" s="37" t="s">
        <v>63</v>
      </c>
      <c r="W1865" s="37" t="s">
        <v>63</v>
      </c>
      <c r="X1865" s="37" t="s">
        <v>63</v>
      </c>
      <c r="Y1865" s="53">
        <v>62.0</v>
      </c>
      <c r="Z1865" s="69" t="s">
        <v>63</v>
      </c>
      <c r="AA1865" s="73"/>
      <c r="AB1865" s="73"/>
      <c r="AC1865" s="73"/>
      <c r="AD1865" s="73"/>
      <c r="AE1865" s="73"/>
      <c r="AF1865" s="73"/>
      <c r="AG1865" s="73"/>
      <c r="AH1865" s="73"/>
      <c r="AI1865" s="73"/>
      <c r="AJ1865" s="73"/>
      <c r="AK1865" s="73"/>
    </row>
    <row r="1866">
      <c r="A1866" s="28">
        <v>1865.0</v>
      </c>
      <c r="B1866" s="29"/>
      <c r="C1866" s="29"/>
      <c r="D1866" s="40">
        <v>1.0</v>
      </c>
      <c r="E1866" s="31">
        <v>36.0</v>
      </c>
      <c r="F1866" s="42">
        <v>5.0</v>
      </c>
      <c r="G1866" s="29" t="str">
        <f t="shared" si="1"/>
        <v>36005</v>
      </c>
      <c r="H1866" s="37" t="s">
        <v>314</v>
      </c>
      <c r="I1866" s="37" t="s">
        <v>94</v>
      </c>
      <c r="J1866" s="37" t="s">
        <v>250</v>
      </c>
      <c r="K1866" s="37" t="str">
        <f t="shared" si="33"/>
        <v>Bronx, NY</v>
      </c>
      <c r="L1866" s="37" t="s">
        <v>63</v>
      </c>
      <c r="M1866" s="37" t="s">
        <v>63</v>
      </c>
      <c r="N1866" s="37" t="s">
        <v>63</v>
      </c>
      <c r="O1866" s="37" t="s">
        <v>63</v>
      </c>
      <c r="P1866" s="37" t="s">
        <v>63</v>
      </c>
      <c r="Q1866" s="37" t="s">
        <v>63</v>
      </c>
      <c r="R1866" s="37" t="s">
        <v>63</v>
      </c>
      <c r="S1866" s="37" t="s">
        <v>63</v>
      </c>
      <c r="T1866" s="69" t="s">
        <v>63</v>
      </c>
      <c r="U1866" s="37" t="s">
        <v>63</v>
      </c>
      <c r="V1866" s="37" t="s">
        <v>63</v>
      </c>
      <c r="W1866" s="37" t="s">
        <v>63</v>
      </c>
      <c r="X1866" s="37" t="s">
        <v>63</v>
      </c>
      <c r="Y1866" s="53">
        <v>448.0</v>
      </c>
      <c r="Z1866" s="69" t="s">
        <v>63</v>
      </c>
      <c r="AA1866" s="73"/>
      <c r="AB1866" s="73"/>
      <c r="AC1866" s="73"/>
      <c r="AD1866" s="73"/>
      <c r="AE1866" s="73"/>
      <c r="AF1866" s="73"/>
      <c r="AG1866" s="73"/>
      <c r="AH1866" s="73"/>
      <c r="AI1866" s="73"/>
      <c r="AJ1866" s="73"/>
      <c r="AK1866" s="73"/>
    </row>
    <row r="1867">
      <c r="A1867" s="28">
        <v>1866.0</v>
      </c>
      <c r="B1867" s="29"/>
      <c r="C1867" s="29"/>
      <c r="D1867" s="40">
        <v>1.0</v>
      </c>
      <c r="E1867" s="31">
        <v>36.0</v>
      </c>
      <c r="F1867" s="42">
        <v>7.0</v>
      </c>
      <c r="G1867" s="29" t="str">
        <f t="shared" si="1"/>
        <v>36007</v>
      </c>
      <c r="H1867" s="37" t="s">
        <v>1555</v>
      </c>
      <c r="I1867" s="37" t="s">
        <v>94</v>
      </c>
      <c r="J1867" s="37" t="s">
        <v>250</v>
      </c>
      <c r="K1867" s="37" t="str">
        <f t="shared" si="33"/>
        <v>Broome, NY</v>
      </c>
      <c r="L1867" s="37">
        <v>241.0</v>
      </c>
      <c r="M1867" s="652">
        <v>2.073446327683616</v>
      </c>
      <c r="N1867" s="37">
        <v>107.0</v>
      </c>
      <c r="O1867" s="37">
        <v>88.0</v>
      </c>
      <c r="P1867" s="37" t="s">
        <v>63</v>
      </c>
      <c r="Q1867" s="37">
        <v>177.0</v>
      </c>
      <c r="R1867" s="37">
        <v>65.0</v>
      </c>
      <c r="S1867" s="37" t="s">
        <v>63</v>
      </c>
      <c r="T1867" s="69">
        <v>0.521</v>
      </c>
      <c r="U1867" s="37" t="s">
        <v>63</v>
      </c>
      <c r="V1867" s="37" t="s">
        <v>63</v>
      </c>
      <c r="W1867" s="37" t="s">
        <v>63</v>
      </c>
      <c r="X1867" s="37" t="s">
        <v>63</v>
      </c>
      <c r="Y1867" s="53">
        <v>162.0</v>
      </c>
      <c r="Z1867" s="69" t="s">
        <v>63</v>
      </c>
      <c r="AA1867" s="73"/>
      <c r="AB1867" s="73"/>
      <c r="AC1867" s="73"/>
      <c r="AD1867" s="73"/>
      <c r="AE1867" s="73"/>
      <c r="AF1867" s="73"/>
      <c r="AG1867" s="73"/>
      <c r="AH1867" s="73"/>
      <c r="AI1867" s="73"/>
      <c r="AJ1867" s="73"/>
      <c r="AK1867" s="73"/>
    </row>
    <row r="1868">
      <c r="A1868" s="28">
        <v>1867.0</v>
      </c>
      <c r="B1868" s="29"/>
      <c r="C1868" s="29"/>
      <c r="D1868" s="40">
        <v>1.0</v>
      </c>
      <c r="E1868" s="31">
        <v>36.0</v>
      </c>
      <c r="F1868" s="42">
        <v>9.0</v>
      </c>
      <c r="G1868" s="29" t="str">
        <f t="shared" si="1"/>
        <v>36009</v>
      </c>
      <c r="H1868" s="37" t="s">
        <v>1556</v>
      </c>
      <c r="I1868" s="37" t="s">
        <v>94</v>
      </c>
      <c r="J1868" s="37" t="s">
        <v>250</v>
      </c>
      <c r="K1868" s="136" t="str">
        <f t="shared" si="33"/>
        <v>Cattaraugus, NY</v>
      </c>
      <c r="L1868" s="37">
        <v>85.0</v>
      </c>
      <c r="M1868" s="652">
        <v>1.9038461538461537</v>
      </c>
      <c r="N1868" s="37">
        <v>35.0</v>
      </c>
      <c r="O1868" s="37">
        <v>34.0</v>
      </c>
      <c r="P1868" s="37" t="s">
        <v>63</v>
      </c>
      <c r="Q1868" s="37">
        <v>52.0</v>
      </c>
      <c r="R1868" s="37">
        <v>3.0</v>
      </c>
      <c r="S1868" s="37" t="s">
        <v>63</v>
      </c>
      <c r="T1868" s="69">
        <v>0.615</v>
      </c>
      <c r="U1868" s="37" t="s">
        <v>63</v>
      </c>
      <c r="V1868" s="37" t="s">
        <v>63</v>
      </c>
      <c r="W1868" s="37" t="s">
        <v>63</v>
      </c>
      <c r="X1868" s="37" t="s">
        <v>63</v>
      </c>
      <c r="Y1868" s="53">
        <v>83.0</v>
      </c>
      <c r="Z1868" s="69" t="s">
        <v>63</v>
      </c>
      <c r="AA1868" s="73"/>
      <c r="AB1868" s="73"/>
      <c r="AC1868" s="73"/>
      <c r="AD1868" s="73"/>
      <c r="AE1868" s="73"/>
      <c r="AF1868" s="73"/>
      <c r="AG1868" s="73"/>
      <c r="AH1868" s="73"/>
      <c r="AI1868" s="73"/>
      <c r="AJ1868" s="73"/>
      <c r="AK1868" s="73"/>
    </row>
    <row r="1869">
      <c r="A1869" s="28">
        <v>1868.0</v>
      </c>
      <c r="B1869" s="29"/>
      <c r="C1869" s="29"/>
      <c r="D1869" s="40">
        <v>1.0</v>
      </c>
      <c r="E1869" s="31">
        <v>36.0</v>
      </c>
      <c r="F1869" s="42">
        <v>11.0</v>
      </c>
      <c r="G1869" s="29" t="str">
        <f t="shared" si="1"/>
        <v>36011</v>
      </c>
      <c r="H1869" s="37" t="s">
        <v>1557</v>
      </c>
      <c r="I1869" s="37" t="s">
        <v>94</v>
      </c>
      <c r="J1869" s="37" t="s">
        <v>250</v>
      </c>
      <c r="K1869" s="37" t="str">
        <f t="shared" si="33"/>
        <v>Cayuga, NY</v>
      </c>
      <c r="L1869" s="37">
        <v>112.0</v>
      </c>
      <c r="M1869" s="652">
        <v>2.191780821917808</v>
      </c>
      <c r="N1869" s="37">
        <v>60.0</v>
      </c>
      <c r="O1869" s="37">
        <v>28.0</v>
      </c>
      <c r="P1869" s="37" t="s">
        <v>63</v>
      </c>
      <c r="Q1869" s="37">
        <v>73.0</v>
      </c>
      <c r="R1869" s="37">
        <v>21.0</v>
      </c>
      <c r="S1869" s="37" t="s">
        <v>63</v>
      </c>
      <c r="T1869" s="69">
        <v>0.608</v>
      </c>
      <c r="U1869" s="37" t="s">
        <v>63</v>
      </c>
      <c r="V1869" s="37" t="s">
        <v>63</v>
      </c>
      <c r="W1869" s="37" t="s">
        <v>63</v>
      </c>
      <c r="X1869" s="37" t="s">
        <v>63</v>
      </c>
      <c r="Y1869" s="53">
        <v>58.0</v>
      </c>
      <c r="Z1869" s="69" t="s">
        <v>63</v>
      </c>
      <c r="AA1869" s="73"/>
      <c r="AB1869" s="73"/>
      <c r="AC1869" s="73"/>
      <c r="AD1869" s="73"/>
      <c r="AE1869" s="73"/>
      <c r="AF1869" s="73"/>
      <c r="AG1869" s="73"/>
      <c r="AH1869" s="73"/>
      <c r="AI1869" s="73"/>
      <c r="AJ1869" s="73"/>
      <c r="AK1869" s="73"/>
    </row>
    <row r="1870">
      <c r="A1870" s="28">
        <v>1869.0</v>
      </c>
      <c r="B1870" s="29"/>
      <c r="C1870" s="29"/>
      <c r="D1870" s="40">
        <v>1.0</v>
      </c>
      <c r="E1870" s="31">
        <v>36.0</v>
      </c>
      <c r="F1870" s="42">
        <v>13.0</v>
      </c>
      <c r="G1870" s="29" t="str">
        <f t="shared" si="1"/>
        <v>36013</v>
      </c>
      <c r="H1870" s="37" t="s">
        <v>961</v>
      </c>
      <c r="I1870" s="37" t="s">
        <v>94</v>
      </c>
      <c r="J1870" s="37" t="s">
        <v>250</v>
      </c>
      <c r="K1870" s="136" t="str">
        <f t="shared" si="33"/>
        <v>Chautauqua, NY</v>
      </c>
      <c r="L1870" s="37">
        <v>76.0</v>
      </c>
      <c r="M1870" s="652">
        <v>1.7866666666666666</v>
      </c>
      <c r="N1870" s="37">
        <v>34.0</v>
      </c>
      <c r="O1870" s="37">
        <v>31.0</v>
      </c>
      <c r="P1870" s="37" t="s">
        <v>63</v>
      </c>
      <c r="Q1870" s="37">
        <v>75.0</v>
      </c>
      <c r="R1870" s="37">
        <v>19.0</v>
      </c>
      <c r="S1870" s="37" t="s">
        <v>63</v>
      </c>
      <c r="T1870" s="69">
        <v>0.315</v>
      </c>
      <c r="U1870" s="37" t="s">
        <v>63</v>
      </c>
      <c r="V1870" s="37" t="s">
        <v>63</v>
      </c>
      <c r="W1870" s="37" t="s">
        <v>63</v>
      </c>
      <c r="X1870" s="37" t="s">
        <v>63</v>
      </c>
      <c r="Y1870" s="53">
        <v>160.0</v>
      </c>
      <c r="Z1870" s="69" t="s">
        <v>63</v>
      </c>
      <c r="AA1870" s="73"/>
      <c r="AB1870" s="73"/>
      <c r="AC1870" s="73"/>
      <c r="AD1870" s="73"/>
      <c r="AE1870" s="73"/>
      <c r="AF1870" s="73"/>
      <c r="AG1870" s="73"/>
      <c r="AH1870" s="73"/>
      <c r="AI1870" s="73"/>
      <c r="AJ1870" s="73"/>
      <c r="AK1870" s="73"/>
    </row>
    <row r="1871">
      <c r="A1871" s="28">
        <v>1870.0</v>
      </c>
      <c r="B1871" s="29"/>
      <c r="C1871" s="29"/>
      <c r="D1871" s="40">
        <v>1.0</v>
      </c>
      <c r="E1871" s="31">
        <v>36.0</v>
      </c>
      <c r="F1871" s="42">
        <v>15.0</v>
      </c>
      <c r="G1871" s="29" t="str">
        <f t="shared" si="1"/>
        <v>36015</v>
      </c>
      <c r="H1871" s="37" t="s">
        <v>1558</v>
      </c>
      <c r="I1871" s="37" t="s">
        <v>94</v>
      </c>
      <c r="J1871" s="37" t="s">
        <v>250</v>
      </c>
      <c r="K1871" s="37" t="str">
        <f t="shared" si="33"/>
        <v>Chemung, NY</v>
      </c>
      <c r="L1871" s="37">
        <v>17.0</v>
      </c>
      <c r="M1871" s="652">
        <v>2.280701754385965</v>
      </c>
      <c r="N1871" s="37">
        <v>3.0</v>
      </c>
      <c r="O1871" s="37">
        <v>12.0</v>
      </c>
      <c r="P1871" s="37" t="s">
        <v>63</v>
      </c>
      <c r="Q1871" s="37">
        <v>57.0</v>
      </c>
      <c r="R1871" s="37">
        <v>4.0</v>
      </c>
      <c r="S1871" s="37" t="s">
        <v>63</v>
      </c>
      <c r="T1871" s="69">
        <v>0.269</v>
      </c>
      <c r="U1871" s="37" t="s">
        <v>63</v>
      </c>
      <c r="V1871" s="37" t="s">
        <v>63</v>
      </c>
      <c r="W1871" s="37" t="s">
        <v>63</v>
      </c>
      <c r="X1871" s="37" t="s">
        <v>63</v>
      </c>
      <c r="Y1871" s="53">
        <v>72.0</v>
      </c>
      <c r="Z1871" s="69" t="s">
        <v>63</v>
      </c>
      <c r="AA1871" s="73"/>
      <c r="AB1871" s="73"/>
      <c r="AC1871" s="73"/>
      <c r="AD1871" s="73"/>
      <c r="AE1871" s="73"/>
      <c r="AF1871" s="73"/>
      <c r="AG1871" s="73"/>
      <c r="AH1871" s="73"/>
      <c r="AI1871" s="73"/>
      <c r="AJ1871" s="73"/>
      <c r="AK1871" s="73"/>
    </row>
    <row r="1872">
      <c r="A1872" s="28">
        <v>1871.0</v>
      </c>
      <c r="B1872" s="29"/>
      <c r="C1872" s="29"/>
      <c r="D1872" s="40">
        <v>1.0</v>
      </c>
      <c r="E1872" s="31">
        <v>36.0</v>
      </c>
      <c r="F1872" s="42">
        <v>17.0</v>
      </c>
      <c r="G1872" s="29" t="str">
        <f t="shared" si="1"/>
        <v>36017</v>
      </c>
      <c r="H1872" s="37" t="s">
        <v>1559</v>
      </c>
      <c r="I1872" s="37" t="s">
        <v>94</v>
      </c>
      <c r="J1872" s="37" t="s">
        <v>250</v>
      </c>
      <c r="K1872" s="37" t="str">
        <f t="shared" si="33"/>
        <v>Chenango, NY</v>
      </c>
      <c r="L1872" s="37">
        <v>53.0</v>
      </c>
      <c r="M1872" s="652">
        <v>2.0793650793650795</v>
      </c>
      <c r="N1872" s="37">
        <v>22.0</v>
      </c>
      <c r="O1872" s="37">
        <v>20.0</v>
      </c>
      <c r="P1872" s="37" t="s">
        <v>63</v>
      </c>
      <c r="Q1872" s="37">
        <v>63.0</v>
      </c>
      <c r="R1872" s="37">
        <v>12.0</v>
      </c>
      <c r="S1872" s="37" t="s">
        <v>63</v>
      </c>
      <c r="T1872" s="69">
        <v>0.333</v>
      </c>
      <c r="U1872" s="37" t="s">
        <v>63</v>
      </c>
      <c r="V1872" s="37" t="s">
        <v>63</v>
      </c>
      <c r="W1872" s="37" t="s">
        <v>63</v>
      </c>
      <c r="X1872" s="37" t="s">
        <v>63</v>
      </c>
      <c r="Y1872" s="53">
        <v>66.0</v>
      </c>
      <c r="Z1872" s="69" t="s">
        <v>63</v>
      </c>
      <c r="AA1872" s="73"/>
      <c r="AB1872" s="73"/>
      <c r="AC1872" s="73"/>
      <c r="AD1872" s="73"/>
      <c r="AE1872" s="73"/>
      <c r="AF1872" s="73"/>
      <c r="AG1872" s="73"/>
      <c r="AH1872" s="73"/>
      <c r="AI1872" s="73"/>
      <c r="AJ1872" s="73"/>
      <c r="AK1872" s="73"/>
    </row>
    <row r="1873">
      <c r="A1873" s="28">
        <v>1872.0</v>
      </c>
      <c r="B1873" s="29"/>
      <c r="C1873" s="29"/>
      <c r="D1873" s="40">
        <v>1.0</v>
      </c>
      <c r="E1873" s="31">
        <v>36.0</v>
      </c>
      <c r="F1873" s="42">
        <v>19.0</v>
      </c>
      <c r="G1873" s="29" t="str">
        <f t="shared" si="1"/>
        <v>36019</v>
      </c>
      <c r="H1873" s="37" t="s">
        <v>711</v>
      </c>
      <c r="I1873" s="37" t="s">
        <v>94</v>
      </c>
      <c r="J1873" s="37" t="s">
        <v>250</v>
      </c>
      <c r="K1873" s="37" t="str">
        <f t="shared" si="33"/>
        <v>Clinton, NY</v>
      </c>
      <c r="L1873" s="37">
        <v>70.0</v>
      </c>
      <c r="M1873" s="652">
        <v>2.0707070707070705</v>
      </c>
      <c r="N1873" s="37">
        <v>29.0</v>
      </c>
      <c r="O1873" s="37">
        <v>31.0</v>
      </c>
      <c r="P1873" s="37" t="s">
        <v>63</v>
      </c>
      <c r="Q1873" s="37">
        <v>99.0</v>
      </c>
      <c r="R1873" s="37">
        <v>19.0</v>
      </c>
      <c r="S1873" s="37" t="s">
        <v>63</v>
      </c>
      <c r="T1873" s="69">
        <v>0.455</v>
      </c>
      <c r="U1873" s="37" t="s">
        <v>63</v>
      </c>
      <c r="V1873" s="37" t="s">
        <v>63</v>
      </c>
      <c r="W1873" s="37" t="s">
        <v>63</v>
      </c>
      <c r="X1873" s="37" t="s">
        <v>63</v>
      </c>
      <c r="Y1873" s="53">
        <v>53.0</v>
      </c>
      <c r="Z1873" s="69" t="s">
        <v>63</v>
      </c>
      <c r="AA1873" s="73"/>
      <c r="AB1873" s="73"/>
      <c r="AC1873" s="73"/>
      <c r="AD1873" s="73"/>
      <c r="AE1873" s="73"/>
      <c r="AF1873" s="73"/>
      <c r="AG1873" s="73"/>
      <c r="AH1873" s="73"/>
      <c r="AI1873" s="73"/>
      <c r="AJ1873" s="73"/>
      <c r="AK1873" s="73"/>
    </row>
    <row r="1874">
      <c r="A1874" s="28">
        <v>1873.0</v>
      </c>
      <c r="B1874" s="29"/>
      <c r="C1874" s="29"/>
      <c r="D1874" s="40">
        <v>1.0</v>
      </c>
      <c r="E1874" s="31">
        <v>36.0</v>
      </c>
      <c r="F1874" s="42">
        <v>21.0</v>
      </c>
      <c r="G1874" s="29" t="str">
        <f t="shared" si="1"/>
        <v>36021</v>
      </c>
      <c r="H1874" s="37" t="s">
        <v>258</v>
      </c>
      <c r="I1874" s="37" t="s">
        <v>94</v>
      </c>
      <c r="J1874" s="37" t="s">
        <v>250</v>
      </c>
      <c r="K1874" s="37" t="str">
        <f t="shared" si="33"/>
        <v>Columbia, NY</v>
      </c>
      <c r="L1874" s="37">
        <v>44.0</v>
      </c>
      <c r="M1874" s="652">
        <v>2.0952380952380953</v>
      </c>
      <c r="N1874" s="37">
        <v>20.0</v>
      </c>
      <c r="O1874" s="37">
        <v>5.0</v>
      </c>
      <c r="P1874" s="37" t="s">
        <v>63</v>
      </c>
      <c r="Q1874" s="37">
        <v>21.0</v>
      </c>
      <c r="R1874" s="37">
        <v>8.0</v>
      </c>
      <c r="S1874" s="37" t="s">
        <v>63</v>
      </c>
      <c r="T1874" s="69">
        <v>0.583</v>
      </c>
      <c r="U1874" s="37" t="s">
        <v>63</v>
      </c>
      <c r="V1874" s="37" t="s">
        <v>63</v>
      </c>
      <c r="W1874" s="37" t="s">
        <v>63</v>
      </c>
      <c r="X1874" s="37" t="s">
        <v>63</v>
      </c>
      <c r="Y1874" s="53">
        <v>49.0</v>
      </c>
      <c r="Z1874" s="69" t="s">
        <v>63</v>
      </c>
      <c r="AA1874" s="73"/>
      <c r="AB1874" s="73"/>
      <c r="AC1874" s="73"/>
      <c r="AD1874" s="73"/>
      <c r="AE1874" s="73"/>
      <c r="AF1874" s="73"/>
      <c r="AG1874" s="73"/>
      <c r="AH1874" s="73"/>
      <c r="AI1874" s="73"/>
      <c r="AJ1874" s="73"/>
      <c r="AK1874" s="73"/>
    </row>
    <row r="1875">
      <c r="A1875" s="28">
        <v>1874.0</v>
      </c>
      <c r="B1875" s="29"/>
      <c r="C1875" s="29"/>
      <c r="D1875" s="40">
        <v>1.0</v>
      </c>
      <c r="E1875" s="31">
        <v>36.0</v>
      </c>
      <c r="F1875" s="42">
        <v>23.0</v>
      </c>
      <c r="G1875" s="29" t="str">
        <f t="shared" si="1"/>
        <v>36023</v>
      </c>
      <c r="H1875" s="37" t="s">
        <v>1560</v>
      </c>
      <c r="I1875" s="37" t="s">
        <v>94</v>
      </c>
      <c r="J1875" s="37" t="s">
        <v>250</v>
      </c>
      <c r="K1875" s="37" t="str">
        <f t="shared" si="33"/>
        <v>Cortland, NY</v>
      </c>
      <c r="L1875" s="37">
        <v>73.0</v>
      </c>
      <c r="M1875" s="652">
        <v>1.9777777777777779</v>
      </c>
      <c r="N1875" s="37">
        <v>34.0</v>
      </c>
      <c r="O1875" s="37">
        <v>33.0</v>
      </c>
      <c r="P1875" s="37" t="s">
        <v>63</v>
      </c>
      <c r="Q1875" s="37">
        <v>45.0</v>
      </c>
      <c r="R1875" s="37">
        <v>38.0</v>
      </c>
      <c r="S1875" s="37" t="s">
        <v>63</v>
      </c>
      <c r="T1875" s="69">
        <v>0.585</v>
      </c>
      <c r="U1875" s="37" t="s">
        <v>63</v>
      </c>
      <c r="V1875" s="37" t="s">
        <v>63</v>
      </c>
      <c r="W1875" s="37" t="s">
        <v>63</v>
      </c>
      <c r="X1875" s="37" t="s">
        <v>63</v>
      </c>
      <c r="Y1875" s="53">
        <v>37.0</v>
      </c>
      <c r="Z1875" s="69" t="s">
        <v>63</v>
      </c>
      <c r="AA1875" s="73"/>
      <c r="AB1875" s="73"/>
      <c r="AC1875" s="73"/>
      <c r="AD1875" s="73"/>
      <c r="AE1875" s="73"/>
      <c r="AF1875" s="73"/>
      <c r="AG1875" s="73"/>
      <c r="AH1875" s="73"/>
      <c r="AI1875" s="73"/>
      <c r="AJ1875" s="73"/>
      <c r="AK1875" s="73"/>
    </row>
    <row r="1876">
      <c r="A1876" s="28">
        <v>1875.0</v>
      </c>
      <c r="B1876" s="29"/>
      <c r="C1876" s="29"/>
      <c r="D1876" s="40">
        <v>1.0</v>
      </c>
      <c r="E1876" s="31">
        <v>36.0</v>
      </c>
      <c r="F1876" s="42">
        <v>25.0</v>
      </c>
      <c r="G1876" s="29" t="str">
        <f t="shared" si="1"/>
        <v>36025</v>
      </c>
      <c r="H1876" s="37" t="s">
        <v>40</v>
      </c>
      <c r="I1876" s="37" t="s">
        <v>94</v>
      </c>
      <c r="J1876" s="37" t="s">
        <v>250</v>
      </c>
      <c r="K1876" s="37" t="str">
        <f t="shared" si="33"/>
        <v>Delaware, NY</v>
      </c>
      <c r="L1876" s="37">
        <v>81.0</v>
      </c>
      <c r="M1876" s="652">
        <v>1.835820895522388</v>
      </c>
      <c r="N1876" s="37">
        <v>38.0</v>
      </c>
      <c r="O1876" s="37">
        <v>36.0</v>
      </c>
      <c r="P1876" s="37" t="s">
        <v>63</v>
      </c>
      <c r="Q1876" s="37">
        <v>67.0</v>
      </c>
      <c r="R1876" s="37">
        <v>32.0</v>
      </c>
      <c r="S1876" s="37" t="s">
        <v>63</v>
      </c>
      <c r="T1876" s="69">
        <v>0.514</v>
      </c>
      <c r="U1876" s="37" t="s">
        <v>63</v>
      </c>
      <c r="V1876" s="37" t="s">
        <v>63</v>
      </c>
      <c r="W1876" s="37" t="s">
        <v>63</v>
      </c>
      <c r="X1876" s="37" t="s">
        <v>63</v>
      </c>
      <c r="Y1876" s="53">
        <v>69.0</v>
      </c>
      <c r="Z1876" s="69" t="s">
        <v>63</v>
      </c>
      <c r="AA1876" s="73"/>
      <c r="AB1876" s="73"/>
      <c r="AC1876" s="73"/>
      <c r="AD1876" s="73"/>
      <c r="AE1876" s="73"/>
      <c r="AF1876" s="73"/>
      <c r="AG1876" s="73"/>
      <c r="AH1876" s="73"/>
      <c r="AI1876" s="73"/>
      <c r="AJ1876" s="73"/>
      <c r="AK1876" s="73"/>
    </row>
    <row r="1877">
      <c r="A1877" s="28">
        <v>1876.0</v>
      </c>
      <c r="B1877" s="29"/>
      <c r="C1877" s="29"/>
      <c r="D1877" s="40">
        <v>1.0</v>
      </c>
      <c r="E1877" s="31">
        <v>36.0</v>
      </c>
      <c r="F1877" s="42">
        <v>27.0</v>
      </c>
      <c r="G1877" s="29" t="str">
        <f t="shared" si="1"/>
        <v>36027</v>
      </c>
      <c r="H1877" s="37" t="s">
        <v>1561</v>
      </c>
      <c r="I1877" s="37" t="s">
        <v>94</v>
      </c>
      <c r="J1877" s="37" t="s">
        <v>250</v>
      </c>
      <c r="K1877" s="37" t="str">
        <f t="shared" si="33"/>
        <v>Dutchess, NY</v>
      </c>
      <c r="L1877" s="37">
        <v>161.0</v>
      </c>
      <c r="M1877" s="652">
        <v>1.8397435897435896</v>
      </c>
      <c r="N1877" s="37">
        <v>66.0</v>
      </c>
      <c r="O1877" s="37">
        <v>75.0</v>
      </c>
      <c r="P1877" s="37" t="s">
        <v>63</v>
      </c>
      <c r="Q1877" s="37">
        <v>156.0</v>
      </c>
      <c r="R1877" s="37">
        <v>31.0</v>
      </c>
      <c r="S1877" s="37" t="s">
        <v>63</v>
      </c>
      <c r="T1877" s="69">
        <v>0.519</v>
      </c>
      <c r="U1877" s="37" t="s">
        <v>63</v>
      </c>
      <c r="V1877" s="37" t="s">
        <v>63</v>
      </c>
      <c r="W1877" s="37" t="s">
        <v>63</v>
      </c>
      <c r="X1877" s="37" t="s">
        <v>63</v>
      </c>
      <c r="Y1877" s="53">
        <v>158.0</v>
      </c>
      <c r="Z1877" s="69" t="s">
        <v>63</v>
      </c>
      <c r="AA1877" s="73"/>
      <c r="AB1877" s="73"/>
      <c r="AC1877" s="73"/>
      <c r="AD1877" s="73"/>
      <c r="AE1877" s="73"/>
      <c r="AF1877" s="73"/>
      <c r="AG1877" s="73"/>
      <c r="AH1877" s="73"/>
      <c r="AI1877" s="73"/>
      <c r="AJ1877" s="73"/>
      <c r="AK1877" s="73"/>
    </row>
    <row r="1878">
      <c r="A1878" s="28">
        <v>1877.0</v>
      </c>
      <c r="B1878" s="29"/>
      <c r="C1878" s="29"/>
      <c r="D1878" s="40">
        <v>1.0</v>
      </c>
      <c r="E1878" s="31">
        <v>36.0</v>
      </c>
      <c r="F1878" s="42">
        <v>29.0</v>
      </c>
      <c r="G1878" s="29" t="str">
        <f t="shared" si="1"/>
        <v>36029</v>
      </c>
      <c r="H1878" s="37" t="s">
        <v>464</v>
      </c>
      <c r="I1878" s="37" t="s">
        <v>94</v>
      </c>
      <c r="J1878" s="37" t="s">
        <v>250</v>
      </c>
      <c r="K1878" s="37" t="str">
        <f t="shared" si="33"/>
        <v>Erie, NY</v>
      </c>
      <c r="L1878" s="37">
        <v>632.0</v>
      </c>
      <c r="M1878" s="652">
        <v>1.8263598326359833</v>
      </c>
      <c r="N1878" s="37">
        <v>257.0</v>
      </c>
      <c r="O1878" s="37">
        <v>256.0</v>
      </c>
      <c r="P1878" s="37" t="s">
        <v>63</v>
      </c>
      <c r="Q1878" s="37">
        <v>478.0</v>
      </c>
      <c r="R1878" s="37">
        <v>165.0</v>
      </c>
      <c r="S1878" s="37" t="s">
        <v>63</v>
      </c>
      <c r="T1878" s="69">
        <v>0.448</v>
      </c>
      <c r="U1878" s="37" t="s">
        <v>63</v>
      </c>
      <c r="V1878" s="37" t="s">
        <v>63</v>
      </c>
      <c r="W1878" s="37" t="s">
        <v>63</v>
      </c>
      <c r="X1878" s="37" t="s">
        <v>63</v>
      </c>
      <c r="Y1878" s="53">
        <v>523.0</v>
      </c>
      <c r="Z1878" s="69" t="s">
        <v>63</v>
      </c>
      <c r="AA1878" s="73"/>
      <c r="AB1878" s="73"/>
      <c r="AC1878" s="73"/>
      <c r="AD1878" s="73"/>
      <c r="AE1878" s="73"/>
      <c r="AF1878" s="73"/>
      <c r="AG1878" s="73"/>
      <c r="AH1878" s="73"/>
      <c r="AI1878" s="73"/>
      <c r="AJ1878" s="73"/>
      <c r="AK1878" s="73"/>
    </row>
    <row r="1879">
      <c r="A1879" s="28">
        <v>1878.0</v>
      </c>
      <c r="B1879" s="29"/>
      <c r="C1879" s="29"/>
      <c r="D1879" s="40">
        <v>1.0</v>
      </c>
      <c r="E1879" s="31">
        <v>36.0</v>
      </c>
      <c r="F1879" s="42">
        <v>31.0</v>
      </c>
      <c r="G1879" s="29" t="str">
        <f t="shared" si="1"/>
        <v>36031</v>
      </c>
      <c r="H1879" s="37" t="s">
        <v>516</v>
      </c>
      <c r="I1879" s="37" t="s">
        <v>94</v>
      </c>
      <c r="J1879" s="37" t="s">
        <v>250</v>
      </c>
      <c r="K1879" s="37" t="str">
        <f t="shared" si="33"/>
        <v>Essex, NY</v>
      </c>
      <c r="L1879" s="37">
        <v>43.0</v>
      </c>
      <c r="M1879" s="652">
        <v>2.0</v>
      </c>
      <c r="N1879" s="37">
        <v>23.0</v>
      </c>
      <c r="O1879" s="37">
        <v>11.0</v>
      </c>
      <c r="P1879" s="37" t="s">
        <v>63</v>
      </c>
      <c r="Q1879" s="37">
        <v>28.0</v>
      </c>
      <c r="R1879" s="37">
        <v>14.0</v>
      </c>
      <c r="S1879" s="37" t="s">
        <v>63</v>
      </c>
      <c r="T1879" s="69">
        <v>0.417</v>
      </c>
      <c r="U1879" s="37" t="s">
        <v>63</v>
      </c>
      <c r="V1879" s="37" t="s">
        <v>63</v>
      </c>
      <c r="W1879" s="37" t="s">
        <v>63</v>
      </c>
      <c r="X1879" s="37" t="s">
        <v>63</v>
      </c>
      <c r="Y1879" s="53">
        <v>47.0</v>
      </c>
      <c r="Z1879" s="69" t="s">
        <v>63</v>
      </c>
      <c r="AA1879" s="73"/>
      <c r="AB1879" s="73"/>
      <c r="AC1879" s="73"/>
      <c r="AD1879" s="73"/>
      <c r="AE1879" s="73"/>
      <c r="AF1879" s="73"/>
      <c r="AG1879" s="73"/>
      <c r="AH1879" s="73"/>
      <c r="AI1879" s="73"/>
      <c r="AJ1879" s="73"/>
      <c r="AK1879" s="73"/>
    </row>
    <row r="1880">
      <c r="A1880" s="28">
        <v>1879.0</v>
      </c>
      <c r="B1880" s="29"/>
      <c r="C1880" s="29"/>
      <c r="D1880" s="40">
        <v>1.0</v>
      </c>
      <c r="E1880" s="31">
        <v>36.0</v>
      </c>
      <c r="F1880" s="42">
        <v>33.0</v>
      </c>
      <c r="G1880" s="29" t="str">
        <f t="shared" si="1"/>
        <v>36033</v>
      </c>
      <c r="H1880" s="37" t="s">
        <v>136</v>
      </c>
      <c r="I1880" s="37" t="s">
        <v>94</v>
      </c>
      <c r="J1880" s="37" t="s">
        <v>250</v>
      </c>
      <c r="K1880" s="37" t="str">
        <f t="shared" si="33"/>
        <v>Franklin, NY</v>
      </c>
      <c r="L1880" s="37">
        <v>142.0</v>
      </c>
      <c r="M1880" s="652">
        <v>2.471264367816092</v>
      </c>
      <c r="N1880" s="37">
        <v>57.0</v>
      </c>
      <c r="O1880" s="37">
        <v>61.0</v>
      </c>
      <c r="P1880" s="37" t="s">
        <v>63</v>
      </c>
      <c r="Q1880" s="37">
        <v>87.0</v>
      </c>
      <c r="R1880" s="37">
        <v>10.0</v>
      </c>
      <c r="S1880" s="37" t="s">
        <v>63</v>
      </c>
      <c r="T1880" s="69">
        <v>0.558</v>
      </c>
      <c r="U1880" s="37" t="s">
        <v>63</v>
      </c>
      <c r="V1880" s="37" t="s">
        <v>63</v>
      </c>
      <c r="W1880" s="37" t="s">
        <v>63</v>
      </c>
      <c r="X1880" s="37" t="s">
        <v>63</v>
      </c>
      <c r="Y1880" s="53">
        <v>45.0</v>
      </c>
      <c r="Z1880" s="69" t="s">
        <v>63</v>
      </c>
      <c r="AA1880" s="73"/>
      <c r="AB1880" s="73"/>
      <c r="AC1880" s="73"/>
      <c r="AD1880" s="73"/>
      <c r="AE1880" s="73"/>
      <c r="AF1880" s="73"/>
      <c r="AG1880" s="73"/>
      <c r="AH1880" s="73"/>
      <c r="AI1880" s="73"/>
      <c r="AJ1880" s="73"/>
      <c r="AK1880" s="73"/>
    </row>
    <row r="1881">
      <c r="A1881" s="28">
        <v>1880.0</v>
      </c>
      <c r="B1881" s="29"/>
      <c r="C1881" s="29"/>
      <c r="D1881" s="40">
        <v>1.0</v>
      </c>
      <c r="E1881" s="31">
        <v>36.0</v>
      </c>
      <c r="F1881" s="42">
        <v>35.0</v>
      </c>
      <c r="G1881" s="29" t="str">
        <f t="shared" si="1"/>
        <v>36035</v>
      </c>
      <c r="H1881" s="37" t="s">
        <v>275</v>
      </c>
      <c r="I1881" s="37" t="s">
        <v>94</v>
      </c>
      <c r="J1881" s="37" t="s">
        <v>250</v>
      </c>
      <c r="K1881" s="37" t="str">
        <f t="shared" si="33"/>
        <v>Fulton, NY</v>
      </c>
      <c r="L1881" s="37">
        <v>33.0</v>
      </c>
      <c r="M1881" s="652">
        <v>2.341463414634146</v>
      </c>
      <c r="N1881" s="37">
        <v>13.0</v>
      </c>
      <c r="O1881" s="37">
        <v>13.0</v>
      </c>
      <c r="P1881" s="37" t="s">
        <v>63</v>
      </c>
      <c r="Q1881" s="37">
        <v>41.0</v>
      </c>
      <c r="R1881" s="37">
        <v>9.0</v>
      </c>
      <c r="S1881" s="37" t="s">
        <v>63</v>
      </c>
      <c r="T1881" s="69">
        <v>0.8</v>
      </c>
      <c r="U1881" s="37" t="s">
        <v>63</v>
      </c>
      <c r="V1881" s="37" t="s">
        <v>63</v>
      </c>
      <c r="W1881" s="37" t="s">
        <v>63</v>
      </c>
      <c r="X1881" s="37" t="s">
        <v>63</v>
      </c>
      <c r="Y1881" s="53">
        <v>50.0</v>
      </c>
      <c r="Z1881" s="69" t="s">
        <v>63</v>
      </c>
      <c r="AA1881" s="73"/>
      <c r="AB1881" s="73"/>
      <c r="AC1881" s="73"/>
      <c r="AD1881" s="73"/>
      <c r="AE1881" s="73"/>
      <c r="AF1881" s="73"/>
      <c r="AG1881" s="73"/>
      <c r="AH1881" s="73"/>
      <c r="AI1881" s="73"/>
      <c r="AJ1881" s="73"/>
      <c r="AK1881" s="73"/>
    </row>
    <row r="1882">
      <c r="A1882" s="28">
        <v>1881.0</v>
      </c>
      <c r="B1882" s="29"/>
      <c r="C1882" s="29"/>
      <c r="D1882" s="40">
        <v>1.0</v>
      </c>
      <c r="E1882" s="31">
        <v>36.0</v>
      </c>
      <c r="F1882" s="42">
        <v>37.0</v>
      </c>
      <c r="G1882" s="29" t="str">
        <f t="shared" si="1"/>
        <v>36037</v>
      </c>
      <c r="H1882" s="37" t="s">
        <v>1248</v>
      </c>
      <c r="I1882" s="37" t="s">
        <v>94</v>
      </c>
      <c r="J1882" s="37" t="s">
        <v>250</v>
      </c>
      <c r="K1882" s="37" t="str">
        <f t="shared" si="33"/>
        <v>Genesee, NY</v>
      </c>
      <c r="L1882" s="37">
        <v>38.0</v>
      </c>
      <c r="M1882" s="652">
        <v>2.1515151515151514</v>
      </c>
      <c r="N1882" s="37">
        <v>13.0</v>
      </c>
      <c r="O1882" s="37">
        <v>13.0</v>
      </c>
      <c r="P1882" s="37" t="s">
        <v>63</v>
      </c>
      <c r="Q1882" s="37">
        <v>33.0</v>
      </c>
      <c r="R1882" s="37" t="s">
        <v>63</v>
      </c>
      <c r="S1882" s="37" t="s">
        <v>63</v>
      </c>
      <c r="T1882" s="69" t="s">
        <v>63</v>
      </c>
      <c r="U1882" s="37" t="s">
        <v>63</v>
      </c>
      <c r="V1882" s="37" t="s">
        <v>63</v>
      </c>
      <c r="W1882" s="37" t="s">
        <v>63</v>
      </c>
      <c r="X1882" s="37" t="s">
        <v>63</v>
      </c>
      <c r="Y1882" s="53">
        <v>52.0</v>
      </c>
      <c r="Z1882" s="69" t="s">
        <v>63</v>
      </c>
      <c r="AA1882" s="73"/>
      <c r="AB1882" s="73"/>
      <c r="AC1882" s="73"/>
      <c r="AD1882" s="73"/>
      <c r="AE1882" s="73"/>
      <c r="AF1882" s="73"/>
      <c r="AG1882" s="73"/>
      <c r="AH1882" s="73"/>
      <c r="AI1882" s="73"/>
      <c r="AJ1882" s="73"/>
      <c r="AK1882" s="73"/>
    </row>
    <row r="1883">
      <c r="A1883" s="28">
        <v>1882.0</v>
      </c>
      <c r="B1883" s="29"/>
      <c r="C1883" s="29"/>
      <c r="D1883" s="40">
        <v>1.0</v>
      </c>
      <c r="E1883" s="31">
        <v>36.0</v>
      </c>
      <c r="F1883" s="42">
        <v>39.0</v>
      </c>
      <c r="G1883" s="29" t="str">
        <f t="shared" si="1"/>
        <v>36039</v>
      </c>
      <c r="H1883" s="37" t="s">
        <v>138</v>
      </c>
      <c r="I1883" s="37" t="s">
        <v>94</v>
      </c>
      <c r="J1883" s="37" t="s">
        <v>250</v>
      </c>
      <c r="K1883" s="37" t="str">
        <f t="shared" si="33"/>
        <v>Greene, NY</v>
      </c>
      <c r="L1883" s="37">
        <v>44.0</v>
      </c>
      <c r="M1883" s="652">
        <v>2.129032258064516</v>
      </c>
      <c r="N1883" s="37">
        <v>19.0</v>
      </c>
      <c r="O1883" s="37">
        <v>16.0</v>
      </c>
      <c r="P1883" s="37" t="s">
        <v>63</v>
      </c>
      <c r="Q1883" s="37">
        <v>31.0</v>
      </c>
      <c r="R1883" s="37">
        <v>12.0</v>
      </c>
      <c r="S1883" s="37" t="s">
        <v>63</v>
      </c>
      <c r="T1883" s="69">
        <v>0.639</v>
      </c>
      <c r="U1883" s="37" t="s">
        <v>63</v>
      </c>
      <c r="V1883" s="37" t="s">
        <v>63</v>
      </c>
      <c r="W1883" s="37" t="s">
        <v>63</v>
      </c>
      <c r="X1883" s="37" t="s">
        <v>63</v>
      </c>
      <c r="Y1883" s="53">
        <v>43.0</v>
      </c>
      <c r="Z1883" s="69" t="s">
        <v>63</v>
      </c>
      <c r="AA1883" s="73"/>
      <c r="AB1883" s="73"/>
      <c r="AC1883" s="73"/>
      <c r="AD1883" s="73"/>
      <c r="AE1883" s="73"/>
      <c r="AF1883" s="73"/>
      <c r="AG1883" s="73"/>
      <c r="AH1883" s="73"/>
      <c r="AI1883" s="73"/>
      <c r="AJ1883" s="73"/>
      <c r="AK1883" s="73"/>
    </row>
    <row r="1884">
      <c r="A1884" s="28">
        <v>1883.0</v>
      </c>
      <c r="B1884" s="29"/>
      <c r="C1884" s="29"/>
      <c r="D1884" s="40">
        <v>1.0</v>
      </c>
      <c r="E1884" s="31">
        <v>36.0</v>
      </c>
      <c r="F1884" s="42">
        <v>41.0</v>
      </c>
      <c r="G1884" s="29" t="str">
        <f t="shared" si="1"/>
        <v>36041</v>
      </c>
      <c r="H1884" s="37" t="s">
        <v>497</v>
      </c>
      <c r="I1884" s="37" t="s">
        <v>94</v>
      </c>
      <c r="J1884" s="37" t="s">
        <v>250</v>
      </c>
      <c r="K1884" s="37" t="str">
        <f t="shared" si="33"/>
        <v>Hamilton, NY</v>
      </c>
      <c r="L1884" s="37">
        <v>1.0</v>
      </c>
      <c r="M1884" s="652">
        <v>2.0</v>
      </c>
      <c r="N1884" s="37">
        <v>0.0</v>
      </c>
      <c r="O1884" s="37">
        <v>0.0</v>
      </c>
      <c r="P1884" s="37" t="s">
        <v>63</v>
      </c>
      <c r="Q1884" s="37">
        <v>2.0</v>
      </c>
      <c r="R1884" s="37">
        <v>0.0</v>
      </c>
      <c r="S1884" s="37" t="s">
        <v>63</v>
      </c>
      <c r="T1884" s="69" t="s">
        <v>63</v>
      </c>
      <c r="U1884" s="37" t="s">
        <v>63</v>
      </c>
      <c r="V1884" s="37" t="s">
        <v>63</v>
      </c>
      <c r="W1884" s="37" t="s">
        <v>63</v>
      </c>
      <c r="X1884" s="37" t="s">
        <v>63</v>
      </c>
      <c r="Y1884" s="53">
        <v>15.0</v>
      </c>
      <c r="Z1884" s="69" t="s">
        <v>63</v>
      </c>
      <c r="AA1884" s="73"/>
      <c r="AB1884" s="73"/>
      <c r="AC1884" s="73"/>
      <c r="AD1884" s="73"/>
      <c r="AE1884" s="73"/>
      <c r="AF1884" s="73"/>
      <c r="AG1884" s="73"/>
      <c r="AH1884" s="73"/>
      <c r="AI1884" s="73"/>
      <c r="AJ1884" s="73"/>
      <c r="AK1884" s="73"/>
    </row>
    <row r="1885">
      <c r="A1885" s="28">
        <v>1884.0</v>
      </c>
      <c r="B1885" s="29"/>
      <c r="C1885" s="29"/>
      <c r="D1885" s="40">
        <v>1.0</v>
      </c>
      <c r="E1885" s="31">
        <v>36.0</v>
      </c>
      <c r="F1885" s="42">
        <v>43.0</v>
      </c>
      <c r="G1885" s="29" t="str">
        <f t="shared" si="1"/>
        <v>36043</v>
      </c>
      <c r="H1885" s="37" t="s">
        <v>1562</v>
      </c>
      <c r="I1885" s="37" t="s">
        <v>94</v>
      </c>
      <c r="J1885" s="37" t="s">
        <v>250</v>
      </c>
      <c r="K1885" s="37" t="str">
        <f t="shared" si="33"/>
        <v>Herkimer, NY</v>
      </c>
      <c r="L1885" s="37">
        <v>73.0</v>
      </c>
      <c r="M1885" s="652">
        <v>2.3620689655172415</v>
      </c>
      <c r="N1885" s="37">
        <v>28.0</v>
      </c>
      <c r="O1885" s="37">
        <v>26.0</v>
      </c>
      <c r="P1885" s="37" t="s">
        <v>63</v>
      </c>
      <c r="Q1885" s="37">
        <v>58.0</v>
      </c>
      <c r="R1885" s="37">
        <v>11.0</v>
      </c>
      <c r="S1885" s="37" t="s">
        <v>63</v>
      </c>
      <c r="T1885" s="69">
        <v>0.468</v>
      </c>
      <c r="U1885" s="37" t="s">
        <v>63</v>
      </c>
      <c r="V1885" s="37" t="s">
        <v>63</v>
      </c>
      <c r="W1885" s="37" t="s">
        <v>63</v>
      </c>
      <c r="X1885" s="37" t="s">
        <v>63</v>
      </c>
      <c r="Y1885" s="53">
        <v>54.0</v>
      </c>
      <c r="Z1885" s="69" t="s">
        <v>63</v>
      </c>
      <c r="AA1885" s="73"/>
      <c r="AB1885" s="73"/>
      <c r="AC1885" s="73"/>
      <c r="AD1885" s="73"/>
      <c r="AE1885" s="73"/>
      <c r="AF1885" s="73"/>
      <c r="AG1885" s="73"/>
      <c r="AH1885" s="73"/>
      <c r="AI1885" s="73"/>
      <c r="AJ1885" s="73"/>
      <c r="AK1885" s="73"/>
    </row>
    <row r="1886">
      <c r="A1886" s="28">
        <v>1885.0</v>
      </c>
      <c r="B1886" s="29"/>
      <c r="C1886" s="29"/>
      <c r="D1886" s="40">
        <v>1.0</v>
      </c>
      <c r="E1886" s="31">
        <v>36.0</v>
      </c>
      <c r="F1886" s="42">
        <v>45.0</v>
      </c>
      <c r="G1886" s="29" t="str">
        <f t="shared" si="1"/>
        <v>36045</v>
      </c>
      <c r="H1886" s="37" t="s">
        <v>143</v>
      </c>
      <c r="I1886" s="37" t="s">
        <v>94</v>
      </c>
      <c r="J1886" s="37" t="s">
        <v>250</v>
      </c>
      <c r="K1886" s="37" t="str">
        <f t="shared" si="33"/>
        <v>Jefferson, NY</v>
      </c>
      <c r="L1886" s="37">
        <v>95.0</v>
      </c>
      <c r="M1886" s="652">
        <v>2.364864864864865</v>
      </c>
      <c r="N1886" s="37">
        <v>73.0</v>
      </c>
      <c r="O1886" s="37">
        <v>8.0</v>
      </c>
      <c r="P1886" s="37" t="s">
        <v>63</v>
      </c>
      <c r="Q1886" s="37">
        <v>74.0</v>
      </c>
      <c r="R1886" s="37">
        <v>47.0</v>
      </c>
      <c r="S1886" s="37" t="s">
        <v>63</v>
      </c>
      <c r="T1886" s="69">
        <v>0.5</v>
      </c>
      <c r="U1886" s="37" t="s">
        <v>63</v>
      </c>
      <c r="V1886" s="37" t="s">
        <v>63</v>
      </c>
      <c r="W1886" s="37" t="s">
        <v>63</v>
      </c>
      <c r="X1886" s="37" t="s">
        <v>63</v>
      </c>
      <c r="Y1886" s="53">
        <v>95.0</v>
      </c>
      <c r="Z1886" s="69" t="s">
        <v>63</v>
      </c>
      <c r="AA1886" s="73"/>
      <c r="AB1886" s="73"/>
      <c r="AC1886" s="73"/>
      <c r="AD1886" s="73"/>
      <c r="AE1886" s="73"/>
      <c r="AF1886" s="73"/>
      <c r="AG1886" s="73"/>
      <c r="AH1886" s="73"/>
      <c r="AI1886" s="73"/>
      <c r="AJ1886" s="73"/>
      <c r="AK1886" s="73"/>
    </row>
    <row r="1887">
      <c r="A1887" s="28">
        <v>1886.0</v>
      </c>
      <c r="B1887" s="29"/>
      <c r="C1887" s="29"/>
      <c r="D1887" s="40">
        <v>1.0</v>
      </c>
      <c r="E1887" s="31">
        <v>36.0</v>
      </c>
      <c r="F1887" s="42">
        <v>47.0</v>
      </c>
      <c r="G1887" s="29" t="str">
        <f t="shared" si="1"/>
        <v>36047</v>
      </c>
      <c r="H1887" s="37" t="s">
        <v>249</v>
      </c>
      <c r="I1887" s="37" t="s">
        <v>94</v>
      </c>
      <c r="J1887" s="37" t="s">
        <v>250</v>
      </c>
      <c r="K1887" s="37" t="str">
        <f t="shared" si="33"/>
        <v>Kings, NY</v>
      </c>
      <c r="L1887" s="37" t="s">
        <v>63</v>
      </c>
      <c r="M1887" s="37" t="s">
        <v>63</v>
      </c>
      <c r="N1887" s="37" t="s">
        <v>63</v>
      </c>
      <c r="O1887" s="37" t="s">
        <v>63</v>
      </c>
      <c r="P1887" s="37" t="s">
        <v>63</v>
      </c>
      <c r="Q1887" s="37" t="s">
        <v>63</v>
      </c>
      <c r="R1887" s="37" t="s">
        <v>63</v>
      </c>
      <c r="S1887" s="37" t="s">
        <v>63</v>
      </c>
      <c r="T1887" s="69" t="s">
        <v>63</v>
      </c>
      <c r="U1887" s="37" t="s">
        <v>63</v>
      </c>
      <c r="V1887" s="37" t="s">
        <v>63</v>
      </c>
      <c r="W1887" s="37" t="s">
        <v>63</v>
      </c>
      <c r="X1887" s="37" t="s">
        <v>63</v>
      </c>
      <c r="Y1887" s="53">
        <v>806.0</v>
      </c>
      <c r="Z1887" s="69" t="s">
        <v>63</v>
      </c>
      <c r="AA1887" s="73"/>
      <c r="AB1887" s="73"/>
      <c r="AC1887" s="73"/>
      <c r="AD1887" s="73"/>
      <c r="AE1887" s="73"/>
      <c r="AF1887" s="73"/>
      <c r="AG1887" s="73"/>
      <c r="AH1887" s="73"/>
      <c r="AI1887" s="73"/>
      <c r="AJ1887" s="73"/>
      <c r="AK1887" s="73"/>
    </row>
    <row r="1888">
      <c r="A1888" s="28">
        <v>1887.0</v>
      </c>
      <c r="B1888" s="29"/>
      <c r="C1888" s="29"/>
      <c r="D1888" s="40">
        <v>1.0</v>
      </c>
      <c r="E1888" s="31">
        <v>36.0</v>
      </c>
      <c r="F1888" s="42">
        <v>49.0</v>
      </c>
      <c r="G1888" s="29" t="str">
        <f t="shared" si="1"/>
        <v>36049</v>
      </c>
      <c r="H1888" s="37" t="s">
        <v>682</v>
      </c>
      <c r="I1888" s="37" t="s">
        <v>94</v>
      </c>
      <c r="J1888" s="37" t="s">
        <v>250</v>
      </c>
      <c r="K1888" s="37" t="str">
        <f t="shared" si="33"/>
        <v>Lewis, NY</v>
      </c>
      <c r="L1888" s="37">
        <v>10.0</v>
      </c>
      <c r="M1888" s="652">
        <v>2.1818181818181817</v>
      </c>
      <c r="N1888" s="37">
        <v>6.0</v>
      </c>
      <c r="O1888" s="37">
        <v>3.0</v>
      </c>
      <c r="P1888" s="37" t="s">
        <v>63</v>
      </c>
      <c r="Q1888" s="37">
        <v>33.0</v>
      </c>
      <c r="R1888" s="37">
        <v>2.0</v>
      </c>
      <c r="S1888" s="37" t="s">
        <v>63</v>
      </c>
      <c r="T1888" s="69">
        <v>0.273</v>
      </c>
      <c r="U1888" s="37" t="s">
        <v>63</v>
      </c>
      <c r="V1888" s="37" t="s">
        <v>63</v>
      </c>
      <c r="W1888" s="37" t="s">
        <v>63</v>
      </c>
      <c r="X1888" s="37" t="s">
        <v>63</v>
      </c>
      <c r="Y1888" s="53">
        <v>32.0</v>
      </c>
      <c r="Z1888" s="69" t="s">
        <v>63</v>
      </c>
      <c r="AA1888" s="73"/>
      <c r="AB1888" s="73"/>
      <c r="AC1888" s="73"/>
      <c r="AD1888" s="73"/>
      <c r="AE1888" s="73"/>
      <c r="AF1888" s="73"/>
      <c r="AG1888" s="73"/>
      <c r="AH1888" s="73"/>
      <c r="AI1888" s="73"/>
      <c r="AJ1888" s="73"/>
      <c r="AK1888" s="73"/>
    </row>
    <row r="1889">
      <c r="A1889" s="28">
        <v>1888.0</v>
      </c>
      <c r="B1889" s="29"/>
      <c r="C1889" s="29"/>
      <c r="D1889" s="40">
        <v>1.0</v>
      </c>
      <c r="E1889" s="31">
        <v>36.0</v>
      </c>
      <c r="F1889" s="42">
        <v>51.0</v>
      </c>
      <c r="G1889" s="29" t="str">
        <f t="shared" si="1"/>
        <v>36051</v>
      </c>
      <c r="H1889" s="37" t="s">
        <v>730</v>
      </c>
      <c r="I1889" s="37" t="s">
        <v>94</v>
      </c>
      <c r="J1889" s="37" t="s">
        <v>250</v>
      </c>
      <c r="K1889" s="37" t="str">
        <f t="shared" si="33"/>
        <v>Livingston, NY</v>
      </c>
      <c r="L1889" s="37">
        <v>13.0</v>
      </c>
      <c r="M1889" s="652">
        <v>2.2777777777777777</v>
      </c>
      <c r="N1889" s="37">
        <v>5.0</v>
      </c>
      <c r="O1889" s="37">
        <v>0.0</v>
      </c>
      <c r="P1889" s="37" t="s">
        <v>63</v>
      </c>
      <c r="Q1889" s="37">
        <v>18.0</v>
      </c>
      <c r="R1889" s="37">
        <v>3.0</v>
      </c>
      <c r="S1889" s="37" t="s">
        <v>63</v>
      </c>
      <c r="T1889" s="69">
        <v>0.5</v>
      </c>
      <c r="U1889" s="37" t="s">
        <v>63</v>
      </c>
      <c r="V1889" s="37" t="s">
        <v>63</v>
      </c>
      <c r="W1889" s="37" t="s">
        <v>63</v>
      </c>
      <c r="X1889" s="37" t="s">
        <v>63</v>
      </c>
      <c r="Y1889" s="53">
        <v>71.0</v>
      </c>
      <c r="Z1889" s="69" t="s">
        <v>63</v>
      </c>
      <c r="AA1889" s="73"/>
      <c r="AB1889" s="73"/>
      <c r="AC1889" s="73"/>
      <c r="AD1889" s="73"/>
      <c r="AE1889" s="73"/>
      <c r="AF1889" s="73"/>
      <c r="AG1889" s="73"/>
      <c r="AH1889" s="73"/>
      <c r="AI1889" s="73"/>
      <c r="AJ1889" s="73"/>
      <c r="AK1889" s="73"/>
    </row>
    <row r="1890">
      <c r="A1890" s="28">
        <v>1889.0</v>
      </c>
      <c r="B1890" s="29"/>
      <c r="C1890" s="29"/>
      <c r="D1890" s="40">
        <v>1.0</v>
      </c>
      <c r="E1890" s="31">
        <v>36.0</v>
      </c>
      <c r="F1890" s="42">
        <v>53.0</v>
      </c>
      <c r="G1890" s="29" t="str">
        <f t="shared" si="1"/>
        <v>36053</v>
      </c>
      <c r="H1890" s="37" t="s">
        <v>151</v>
      </c>
      <c r="I1890" s="37" t="s">
        <v>94</v>
      </c>
      <c r="J1890" s="37" t="s">
        <v>250</v>
      </c>
      <c r="K1890" s="37" t="str">
        <f t="shared" si="33"/>
        <v>Madison, NY</v>
      </c>
      <c r="L1890" s="37">
        <v>42.0</v>
      </c>
      <c r="M1890" s="652">
        <v>2.3529411764705883</v>
      </c>
      <c r="N1890" s="37">
        <v>23.0</v>
      </c>
      <c r="O1890" s="37">
        <v>10.0</v>
      </c>
      <c r="P1890" s="37" t="s">
        <v>63</v>
      </c>
      <c r="Q1890" s="37">
        <v>34.0</v>
      </c>
      <c r="R1890" s="37">
        <v>8.0</v>
      </c>
      <c r="S1890" s="37" t="s">
        <v>63</v>
      </c>
      <c r="T1890" s="69">
        <v>0.688</v>
      </c>
      <c r="U1890" s="37" t="s">
        <v>63</v>
      </c>
      <c r="V1890" s="37" t="s">
        <v>63</v>
      </c>
      <c r="W1890" s="37" t="s">
        <v>63</v>
      </c>
      <c r="X1890" s="37" t="s">
        <v>63</v>
      </c>
      <c r="Y1890" s="53">
        <v>57.0</v>
      </c>
      <c r="Z1890" s="69" t="s">
        <v>63</v>
      </c>
      <c r="AA1890" s="73"/>
      <c r="AB1890" s="73"/>
      <c r="AC1890" s="73"/>
      <c r="AD1890" s="73"/>
      <c r="AE1890" s="73"/>
      <c r="AF1890" s="73"/>
      <c r="AG1890" s="73"/>
      <c r="AH1890" s="73"/>
      <c r="AI1890" s="73"/>
      <c r="AJ1890" s="73"/>
      <c r="AK1890" s="73"/>
    </row>
    <row r="1891">
      <c r="A1891" s="28">
        <v>1890.0</v>
      </c>
      <c r="B1891" s="29"/>
      <c r="C1891" s="29"/>
      <c r="D1891" s="40">
        <v>1.0</v>
      </c>
      <c r="E1891" s="31">
        <v>36.0</v>
      </c>
      <c r="F1891" s="42">
        <v>55.0</v>
      </c>
      <c r="G1891" s="29" t="str">
        <f t="shared" si="1"/>
        <v>36055</v>
      </c>
      <c r="H1891" s="37" t="s">
        <v>156</v>
      </c>
      <c r="I1891" s="37" t="s">
        <v>94</v>
      </c>
      <c r="J1891" s="37" t="s">
        <v>250</v>
      </c>
      <c r="K1891" s="37" t="str">
        <f t="shared" si="33"/>
        <v>Monroe, NY</v>
      </c>
      <c r="L1891" s="37">
        <v>439.0</v>
      </c>
      <c r="M1891" s="652">
        <v>2.0398671096345513</v>
      </c>
      <c r="N1891" s="37">
        <v>302.0</v>
      </c>
      <c r="O1891" s="37">
        <v>61.0</v>
      </c>
      <c r="P1891" s="37" t="s">
        <v>63</v>
      </c>
      <c r="Q1891" s="37">
        <v>301.0</v>
      </c>
      <c r="R1891" s="37">
        <v>87.0</v>
      </c>
      <c r="S1891" s="37" t="s">
        <v>63</v>
      </c>
      <c r="T1891" s="69">
        <v>0.724</v>
      </c>
      <c r="U1891" s="37" t="s">
        <v>63</v>
      </c>
      <c r="V1891" s="37" t="s">
        <v>63</v>
      </c>
      <c r="W1891" s="37" t="s">
        <v>63</v>
      </c>
      <c r="X1891" s="37" t="s">
        <v>63</v>
      </c>
      <c r="Y1891" s="53">
        <v>471.0</v>
      </c>
      <c r="Z1891" s="69" t="s">
        <v>63</v>
      </c>
      <c r="AA1891" s="73"/>
      <c r="AB1891" s="73"/>
      <c r="AC1891" s="73"/>
      <c r="AD1891" s="73"/>
      <c r="AE1891" s="73"/>
      <c r="AF1891" s="73"/>
      <c r="AG1891" s="73"/>
      <c r="AH1891" s="73"/>
      <c r="AI1891" s="73"/>
      <c r="AJ1891" s="73"/>
      <c r="AK1891" s="73"/>
    </row>
    <row r="1892">
      <c r="A1892" s="28">
        <v>1891.0</v>
      </c>
      <c r="B1892" s="29"/>
      <c r="C1892" s="29"/>
      <c r="D1892" s="40">
        <v>1.0</v>
      </c>
      <c r="E1892" s="31">
        <v>36.0</v>
      </c>
      <c r="F1892" s="42">
        <v>57.0</v>
      </c>
      <c r="G1892" s="29" t="str">
        <f t="shared" si="1"/>
        <v>36057</v>
      </c>
      <c r="H1892" s="37" t="s">
        <v>157</v>
      </c>
      <c r="I1892" s="37" t="s">
        <v>94</v>
      </c>
      <c r="J1892" s="37" t="s">
        <v>250</v>
      </c>
      <c r="K1892" s="136" t="str">
        <f t="shared" si="33"/>
        <v>Montgomery, NY</v>
      </c>
      <c r="L1892" s="37">
        <v>40.0</v>
      </c>
      <c r="M1892" s="652">
        <v>2.5517241379310347</v>
      </c>
      <c r="N1892" s="37">
        <v>24.0</v>
      </c>
      <c r="O1892" s="37">
        <v>6.0</v>
      </c>
      <c r="P1892" s="37" t="s">
        <v>63</v>
      </c>
      <c r="Q1892" s="37">
        <v>29.0</v>
      </c>
      <c r="R1892" s="37">
        <v>15.0</v>
      </c>
      <c r="S1892" s="37" t="s">
        <v>63</v>
      </c>
      <c r="T1892" s="69">
        <v>0.571</v>
      </c>
      <c r="U1892" s="37" t="s">
        <v>63</v>
      </c>
      <c r="V1892" s="37" t="s">
        <v>63</v>
      </c>
      <c r="W1892" s="37" t="s">
        <v>63</v>
      </c>
      <c r="X1892" s="37" t="s">
        <v>63</v>
      </c>
      <c r="Y1892" s="53">
        <v>46.0</v>
      </c>
      <c r="Z1892" s="69" t="s">
        <v>63</v>
      </c>
      <c r="AA1892" s="73"/>
      <c r="AB1892" s="73"/>
      <c r="AC1892" s="73"/>
      <c r="AD1892" s="73"/>
      <c r="AE1892" s="73"/>
      <c r="AF1892" s="73"/>
      <c r="AG1892" s="73"/>
      <c r="AH1892" s="73"/>
      <c r="AI1892" s="73"/>
      <c r="AJ1892" s="73"/>
      <c r="AK1892" s="73"/>
    </row>
    <row r="1893">
      <c r="A1893" s="28">
        <v>1892.0</v>
      </c>
      <c r="B1893" s="29"/>
      <c r="C1893" s="29"/>
      <c r="D1893" s="40">
        <v>1.0</v>
      </c>
      <c r="E1893" s="31">
        <v>36.0</v>
      </c>
      <c r="F1893" s="42">
        <v>59.0</v>
      </c>
      <c r="G1893" s="29" t="str">
        <f t="shared" si="1"/>
        <v>36059</v>
      </c>
      <c r="H1893" s="37" t="s">
        <v>330</v>
      </c>
      <c r="I1893" s="37" t="s">
        <v>94</v>
      </c>
      <c r="J1893" s="37" t="s">
        <v>250</v>
      </c>
      <c r="K1893" s="37" t="str">
        <f t="shared" si="33"/>
        <v>Nassau, NY</v>
      </c>
      <c r="L1893" s="37">
        <v>159.0</v>
      </c>
      <c r="M1893" s="652">
        <v>2.764705882352941</v>
      </c>
      <c r="N1893" s="37">
        <v>87.0</v>
      </c>
      <c r="O1893" s="37">
        <v>24.0</v>
      </c>
      <c r="P1893" s="37" t="s">
        <v>63</v>
      </c>
      <c r="Q1893" s="37">
        <v>213.0</v>
      </c>
      <c r="R1893" s="37">
        <v>37.0</v>
      </c>
      <c r="S1893" s="37" t="s">
        <v>63</v>
      </c>
      <c r="T1893" s="69">
        <v>0.707</v>
      </c>
      <c r="U1893" s="37" t="s">
        <v>63</v>
      </c>
      <c r="V1893" s="37" t="s">
        <v>63</v>
      </c>
      <c r="W1893" s="37" t="s">
        <v>63</v>
      </c>
      <c r="X1893" s="37" t="s">
        <v>63</v>
      </c>
      <c r="Y1893" s="53">
        <v>480.0</v>
      </c>
      <c r="Z1893" s="69" t="s">
        <v>63</v>
      </c>
      <c r="AA1893" s="73"/>
      <c r="AB1893" s="73"/>
      <c r="AC1893" s="73"/>
      <c r="AD1893" s="73"/>
      <c r="AE1893" s="73"/>
      <c r="AF1893" s="73"/>
      <c r="AG1893" s="73"/>
      <c r="AH1893" s="73"/>
      <c r="AI1893" s="73"/>
      <c r="AJ1893" s="73"/>
      <c r="AK1893" s="73"/>
    </row>
    <row r="1894">
      <c r="A1894" s="28">
        <v>1893.0</v>
      </c>
      <c r="B1894" s="29"/>
      <c r="C1894" s="29"/>
      <c r="D1894" s="40">
        <v>1.0</v>
      </c>
      <c r="E1894" s="31">
        <v>36.0</v>
      </c>
      <c r="F1894" s="42">
        <v>61.0</v>
      </c>
      <c r="G1894" s="29" t="str">
        <f t="shared" si="1"/>
        <v>36061</v>
      </c>
      <c r="H1894" s="37" t="s">
        <v>94</v>
      </c>
      <c r="I1894" s="37" t="s">
        <v>94</v>
      </c>
      <c r="J1894" s="37" t="s">
        <v>250</v>
      </c>
      <c r="K1894" s="37" t="str">
        <f t="shared" si="33"/>
        <v>New York, NY</v>
      </c>
      <c r="L1894" s="37" t="s">
        <v>63</v>
      </c>
      <c r="M1894" s="37" t="s">
        <v>63</v>
      </c>
      <c r="N1894" s="37" t="s">
        <v>63</v>
      </c>
      <c r="O1894" s="37" t="s">
        <v>63</v>
      </c>
      <c r="P1894" s="37" t="s">
        <v>63</v>
      </c>
      <c r="Q1894" s="37" t="s">
        <v>63</v>
      </c>
      <c r="R1894" s="37" t="s">
        <v>63</v>
      </c>
      <c r="S1894" s="37" t="s">
        <v>63</v>
      </c>
      <c r="T1894" s="69" t="s">
        <v>63</v>
      </c>
      <c r="U1894" s="37" t="s">
        <v>63</v>
      </c>
      <c r="V1894" s="37" t="s">
        <v>63</v>
      </c>
      <c r="W1894" s="37" t="s">
        <v>63</v>
      </c>
      <c r="X1894" s="37" t="s">
        <v>63</v>
      </c>
      <c r="Y1894" s="53">
        <v>446.0</v>
      </c>
      <c r="Z1894" s="69" t="s">
        <v>63</v>
      </c>
      <c r="AA1894" s="73"/>
      <c r="AB1894" s="73"/>
      <c r="AC1894" s="73"/>
      <c r="AD1894" s="73"/>
      <c r="AE1894" s="73"/>
      <c r="AF1894" s="73"/>
      <c r="AG1894" s="73"/>
      <c r="AH1894" s="73"/>
      <c r="AI1894" s="73"/>
      <c r="AJ1894" s="73"/>
      <c r="AK1894" s="73"/>
    </row>
    <row r="1895">
      <c r="A1895" s="28">
        <v>1894.0</v>
      </c>
      <c r="B1895" s="29"/>
      <c r="C1895" s="29"/>
      <c r="D1895" s="40">
        <v>1.0</v>
      </c>
      <c r="E1895" s="31">
        <v>36.0</v>
      </c>
      <c r="F1895" s="42">
        <v>63.0</v>
      </c>
      <c r="G1895" s="29" t="str">
        <f t="shared" si="1"/>
        <v>36063</v>
      </c>
      <c r="H1895" s="37" t="s">
        <v>1563</v>
      </c>
      <c r="I1895" s="37" t="s">
        <v>94</v>
      </c>
      <c r="J1895" s="37" t="s">
        <v>250</v>
      </c>
      <c r="K1895" s="37" t="str">
        <f t="shared" si="33"/>
        <v>Niagara, NY</v>
      </c>
      <c r="L1895" s="37">
        <v>189.0</v>
      </c>
      <c r="M1895" s="652">
        <v>2.1746031746031744</v>
      </c>
      <c r="N1895" s="37">
        <v>93.0</v>
      </c>
      <c r="O1895" s="37">
        <v>52.0</v>
      </c>
      <c r="P1895" s="37" t="s">
        <v>63</v>
      </c>
      <c r="Q1895" s="37">
        <v>126.0</v>
      </c>
      <c r="R1895" s="37">
        <v>63.0</v>
      </c>
      <c r="S1895" s="37" t="s">
        <v>63</v>
      </c>
      <c r="T1895" s="69">
        <v>0.537</v>
      </c>
      <c r="U1895" s="37" t="s">
        <v>63</v>
      </c>
      <c r="V1895" s="37" t="s">
        <v>63</v>
      </c>
      <c r="W1895" s="37" t="s">
        <v>63</v>
      </c>
      <c r="X1895" s="37" t="s">
        <v>63</v>
      </c>
      <c r="Y1895" s="53">
        <v>155.0</v>
      </c>
      <c r="Z1895" s="69" t="s">
        <v>63</v>
      </c>
      <c r="AA1895" s="73"/>
      <c r="AB1895" s="73"/>
      <c r="AC1895" s="73"/>
      <c r="AD1895" s="73"/>
      <c r="AE1895" s="73"/>
      <c r="AF1895" s="73"/>
      <c r="AG1895" s="73"/>
      <c r="AH1895" s="73"/>
      <c r="AI1895" s="73"/>
      <c r="AJ1895" s="73"/>
      <c r="AK1895" s="73"/>
    </row>
    <row r="1896">
      <c r="A1896" s="28">
        <v>1895.0</v>
      </c>
      <c r="B1896" s="29"/>
      <c r="C1896" s="29"/>
      <c r="D1896" s="40">
        <v>1.0</v>
      </c>
      <c r="E1896" s="31">
        <v>36.0</v>
      </c>
      <c r="F1896" s="42">
        <v>65.0</v>
      </c>
      <c r="G1896" s="29" t="str">
        <f t="shared" si="1"/>
        <v>36065</v>
      </c>
      <c r="H1896" s="37" t="s">
        <v>685</v>
      </c>
      <c r="I1896" s="37" t="s">
        <v>94</v>
      </c>
      <c r="J1896" s="37" t="s">
        <v>250</v>
      </c>
      <c r="K1896" s="37" t="str">
        <f t="shared" si="33"/>
        <v>Oneida, NY</v>
      </c>
      <c r="L1896" s="37">
        <v>432.0</v>
      </c>
      <c r="M1896" s="652">
        <v>2.218905472636816</v>
      </c>
      <c r="N1896" s="37">
        <v>166.0</v>
      </c>
      <c r="O1896" s="37">
        <v>226.0</v>
      </c>
      <c r="P1896" s="37" t="s">
        <v>63</v>
      </c>
      <c r="Q1896" s="37">
        <v>201.0</v>
      </c>
      <c r="R1896" s="37">
        <v>94.0</v>
      </c>
      <c r="S1896" s="37" t="s">
        <v>63</v>
      </c>
      <c r="T1896" s="69">
        <v>0.727</v>
      </c>
      <c r="U1896" s="37" t="s">
        <v>63</v>
      </c>
      <c r="V1896" s="37" t="s">
        <v>63</v>
      </c>
      <c r="W1896" s="37" t="s">
        <v>63</v>
      </c>
      <c r="X1896" s="37" t="s">
        <v>63</v>
      </c>
      <c r="Y1896" s="53">
        <v>153.0</v>
      </c>
      <c r="Z1896" s="69" t="s">
        <v>63</v>
      </c>
      <c r="AA1896" s="73"/>
      <c r="AB1896" s="73"/>
      <c r="AC1896" s="73"/>
      <c r="AD1896" s="73"/>
      <c r="AE1896" s="73"/>
      <c r="AF1896" s="73"/>
      <c r="AG1896" s="73"/>
      <c r="AH1896" s="73"/>
      <c r="AI1896" s="73"/>
      <c r="AJ1896" s="73"/>
      <c r="AK1896" s="73"/>
    </row>
    <row r="1897">
      <c r="A1897" s="28">
        <v>1896.0</v>
      </c>
      <c r="B1897" s="29"/>
      <c r="C1897" s="29"/>
      <c r="D1897" s="40">
        <v>1.0</v>
      </c>
      <c r="E1897" s="31">
        <v>36.0</v>
      </c>
      <c r="F1897" s="42">
        <v>67.0</v>
      </c>
      <c r="G1897" s="29" t="str">
        <f t="shared" si="1"/>
        <v>36067</v>
      </c>
      <c r="H1897" s="37" t="s">
        <v>1564</v>
      </c>
      <c r="I1897" s="37" t="s">
        <v>94</v>
      </c>
      <c r="J1897" s="37" t="s">
        <v>250</v>
      </c>
      <c r="K1897" s="37" t="str">
        <f t="shared" si="33"/>
        <v>Onondaga, NY</v>
      </c>
      <c r="L1897" s="37">
        <v>602.0</v>
      </c>
      <c r="M1897" s="652">
        <v>2.0764331210191083</v>
      </c>
      <c r="N1897" s="37">
        <v>323.0</v>
      </c>
      <c r="O1897" s="37">
        <v>193.0</v>
      </c>
      <c r="P1897" s="37" t="s">
        <v>63</v>
      </c>
      <c r="Q1897" s="37">
        <v>314.0</v>
      </c>
      <c r="R1897" s="37">
        <v>80.0</v>
      </c>
      <c r="S1897" s="37" t="s">
        <v>63</v>
      </c>
      <c r="T1897" s="69">
        <v>0.448</v>
      </c>
      <c r="U1897" s="37" t="s">
        <v>63</v>
      </c>
      <c r="V1897" s="37" t="s">
        <v>63</v>
      </c>
      <c r="W1897" s="37" t="s">
        <v>63</v>
      </c>
      <c r="X1897" s="37" t="s">
        <v>63</v>
      </c>
      <c r="Y1897" s="53">
        <v>266.0</v>
      </c>
      <c r="Z1897" s="69" t="s">
        <v>63</v>
      </c>
      <c r="AA1897" s="73"/>
      <c r="AB1897" s="73"/>
      <c r="AC1897" s="73"/>
      <c r="AD1897" s="73"/>
      <c r="AE1897" s="73"/>
      <c r="AF1897" s="73"/>
      <c r="AG1897" s="73"/>
      <c r="AH1897" s="73"/>
      <c r="AI1897" s="73"/>
      <c r="AJ1897" s="73"/>
      <c r="AK1897" s="73"/>
    </row>
    <row r="1898">
      <c r="A1898" s="28">
        <v>1897.0</v>
      </c>
      <c r="B1898" s="29"/>
      <c r="C1898" s="29"/>
      <c r="D1898" s="40">
        <v>1.0</v>
      </c>
      <c r="E1898" s="31">
        <v>36.0</v>
      </c>
      <c r="F1898" s="42">
        <v>69.0</v>
      </c>
      <c r="G1898" s="29" t="str">
        <f t="shared" si="1"/>
        <v>36069</v>
      </c>
      <c r="H1898" s="37" t="s">
        <v>1565</v>
      </c>
      <c r="I1898" s="37" t="s">
        <v>94</v>
      </c>
      <c r="J1898" s="37" t="s">
        <v>250</v>
      </c>
      <c r="K1898" s="37" t="str">
        <f t="shared" si="33"/>
        <v>Ontario, NY</v>
      </c>
      <c r="L1898" s="37">
        <v>64.0</v>
      </c>
      <c r="M1898" s="652">
        <v>1.934782608695652</v>
      </c>
      <c r="N1898" s="37">
        <v>28.0</v>
      </c>
      <c r="O1898" s="37">
        <v>13.0</v>
      </c>
      <c r="P1898" s="37" t="s">
        <v>63</v>
      </c>
      <c r="Q1898" s="37">
        <v>46.0</v>
      </c>
      <c r="R1898" s="37">
        <v>11.0</v>
      </c>
      <c r="S1898" s="37" t="s">
        <v>63</v>
      </c>
      <c r="T1898" s="69">
        <v>0.64</v>
      </c>
      <c r="U1898" s="37" t="s">
        <v>63</v>
      </c>
      <c r="V1898" s="37" t="s">
        <v>63</v>
      </c>
      <c r="W1898" s="37" t="s">
        <v>63</v>
      </c>
      <c r="X1898" s="37" t="s">
        <v>63</v>
      </c>
      <c r="Y1898" s="53">
        <v>92.0</v>
      </c>
      <c r="Z1898" s="69" t="s">
        <v>63</v>
      </c>
      <c r="AA1898" s="73"/>
      <c r="AB1898" s="73"/>
      <c r="AC1898" s="73"/>
      <c r="AD1898" s="73"/>
      <c r="AE1898" s="73"/>
      <c r="AF1898" s="73"/>
      <c r="AG1898" s="73"/>
      <c r="AH1898" s="73"/>
      <c r="AI1898" s="73"/>
      <c r="AJ1898" s="73"/>
      <c r="AK1898" s="73"/>
    </row>
    <row r="1899">
      <c r="A1899" s="28">
        <v>1898.0</v>
      </c>
      <c r="B1899" s="29"/>
      <c r="C1899" s="29"/>
      <c r="D1899" s="40">
        <v>1.0</v>
      </c>
      <c r="E1899" s="31">
        <v>36.0</v>
      </c>
      <c r="F1899" s="42">
        <v>71.0</v>
      </c>
      <c r="G1899" s="29" t="str">
        <f t="shared" si="1"/>
        <v>36071</v>
      </c>
      <c r="H1899" s="37" t="s">
        <v>241</v>
      </c>
      <c r="I1899" s="37" t="s">
        <v>94</v>
      </c>
      <c r="J1899" s="37" t="s">
        <v>250</v>
      </c>
      <c r="K1899" s="37" t="str">
        <f t="shared" si="33"/>
        <v>Orange, NY</v>
      </c>
      <c r="L1899" s="37">
        <v>207.0</v>
      </c>
      <c r="M1899" s="652">
        <v>2.007843137254902</v>
      </c>
      <c r="N1899" s="37">
        <v>109.0</v>
      </c>
      <c r="O1899" s="37">
        <v>75.0</v>
      </c>
      <c r="P1899" s="37" t="s">
        <v>63</v>
      </c>
      <c r="Q1899" s="37">
        <v>255.0</v>
      </c>
      <c r="R1899" s="37">
        <v>41.0</v>
      </c>
      <c r="S1899" s="37" t="s">
        <v>63</v>
      </c>
      <c r="T1899" s="69">
        <v>0.646</v>
      </c>
      <c r="U1899" s="37" t="s">
        <v>63</v>
      </c>
      <c r="V1899" s="37" t="s">
        <v>63</v>
      </c>
      <c r="W1899" s="37" t="s">
        <v>63</v>
      </c>
      <c r="X1899" s="37" t="s">
        <v>63</v>
      </c>
      <c r="Y1899" s="53">
        <v>201.0</v>
      </c>
      <c r="Z1899" s="69" t="s">
        <v>63</v>
      </c>
      <c r="AA1899" s="73"/>
      <c r="AB1899" s="73"/>
      <c r="AC1899" s="73"/>
      <c r="AD1899" s="73"/>
      <c r="AE1899" s="73"/>
      <c r="AF1899" s="73"/>
      <c r="AG1899" s="73"/>
      <c r="AH1899" s="73"/>
      <c r="AI1899" s="73"/>
      <c r="AJ1899" s="73"/>
      <c r="AK1899" s="73"/>
    </row>
    <row r="1900">
      <c r="A1900" s="28">
        <v>1899.0</v>
      </c>
      <c r="B1900" s="29"/>
      <c r="C1900" s="29"/>
      <c r="D1900" s="40">
        <v>1.0</v>
      </c>
      <c r="E1900" s="31">
        <v>36.0</v>
      </c>
      <c r="F1900" s="42">
        <v>73.0</v>
      </c>
      <c r="G1900" s="29" t="str">
        <f t="shared" si="1"/>
        <v>36073</v>
      </c>
      <c r="H1900" s="37" t="s">
        <v>1163</v>
      </c>
      <c r="I1900" s="37" t="s">
        <v>94</v>
      </c>
      <c r="J1900" s="37" t="s">
        <v>250</v>
      </c>
      <c r="K1900" s="37" t="str">
        <f t="shared" si="33"/>
        <v>Orleans, NY</v>
      </c>
      <c r="L1900" s="37">
        <v>23.0</v>
      </c>
      <c r="M1900" s="652">
        <v>2.4</v>
      </c>
      <c r="N1900" s="37">
        <v>17.0</v>
      </c>
      <c r="O1900" s="37">
        <v>1.0</v>
      </c>
      <c r="P1900" s="37" t="s">
        <v>63</v>
      </c>
      <c r="Q1900" s="37">
        <v>30.0</v>
      </c>
      <c r="R1900" s="37">
        <v>5.0</v>
      </c>
      <c r="S1900" s="37" t="s">
        <v>63</v>
      </c>
      <c r="T1900" s="69">
        <v>0.25</v>
      </c>
      <c r="U1900" s="37" t="s">
        <v>63</v>
      </c>
      <c r="V1900" s="37" t="s">
        <v>63</v>
      </c>
      <c r="W1900" s="37" t="s">
        <v>63</v>
      </c>
      <c r="X1900" s="37" t="s">
        <v>63</v>
      </c>
      <c r="Y1900" s="53">
        <v>41.0</v>
      </c>
      <c r="Z1900" s="69" t="s">
        <v>63</v>
      </c>
      <c r="AA1900" s="73"/>
      <c r="AB1900" s="73"/>
      <c r="AC1900" s="73"/>
      <c r="AD1900" s="73"/>
      <c r="AE1900" s="73"/>
      <c r="AF1900" s="73"/>
      <c r="AG1900" s="73"/>
      <c r="AH1900" s="73"/>
      <c r="AI1900" s="73"/>
      <c r="AJ1900" s="73"/>
      <c r="AK1900" s="73"/>
    </row>
    <row r="1901">
      <c r="A1901" s="28">
        <v>1900.0</v>
      </c>
      <c r="B1901" s="29"/>
      <c r="C1901" s="29"/>
      <c r="D1901" s="40">
        <v>1.0</v>
      </c>
      <c r="E1901" s="31">
        <v>36.0</v>
      </c>
      <c r="F1901" s="42">
        <v>75.0</v>
      </c>
      <c r="G1901" s="29" t="str">
        <f t="shared" si="1"/>
        <v>36075</v>
      </c>
      <c r="H1901" s="37" t="s">
        <v>1566</v>
      </c>
      <c r="I1901" s="37" t="s">
        <v>94</v>
      </c>
      <c r="J1901" s="37" t="s">
        <v>250</v>
      </c>
      <c r="K1901" s="37" t="str">
        <f t="shared" si="33"/>
        <v>Oswego, NY</v>
      </c>
      <c r="L1901" s="37">
        <v>183.0</v>
      </c>
      <c r="M1901" s="652">
        <v>2.2213740458015265</v>
      </c>
      <c r="N1901" s="37">
        <v>91.0</v>
      </c>
      <c r="O1901" s="37">
        <v>54.0</v>
      </c>
      <c r="P1901" s="37" t="s">
        <v>63</v>
      </c>
      <c r="Q1901" s="37">
        <v>131.0</v>
      </c>
      <c r="R1901" s="37">
        <v>27.0</v>
      </c>
      <c r="S1901" s="37" t="s">
        <v>63</v>
      </c>
      <c r="T1901" s="69">
        <v>0.511</v>
      </c>
      <c r="U1901" s="37" t="s">
        <v>63</v>
      </c>
      <c r="V1901" s="37" t="s">
        <v>63</v>
      </c>
      <c r="W1901" s="37" t="s">
        <v>63</v>
      </c>
      <c r="X1901" s="37" t="s">
        <v>63</v>
      </c>
      <c r="Y1901" s="53">
        <v>85.0</v>
      </c>
      <c r="Z1901" s="69" t="s">
        <v>63</v>
      </c>
      <c r="AA1901" s="73"/>
      <c r="AB1901" s="73"/>
      <c r="AC1901" s="73"/>
      <c r="AD1901" s="73"/>
      <c r="AE1901" s="73"/>
      <c r="AF1901" s="73"/>
      <c r="AG1901" s="73"/>
      <c r="AH1901" s="73"/>
      <c r="AI1901" s="73"/>
      <c r="AJ1901" s="73"/>
      <c r="AK1901" s="73"/>
    </row>
    <row r="1902">
      <c r="A1902" s="28">
        <v>1901.0</v>
      </c>
      <c r="B1902" s="29"/>
      <c r="C1902" s="29"/>
      <c r="D1902" s="40">
        <v>1.0</v>
      </c>
      <c r="E1902" s="31">
        <v>36.0</v>
      </c>
      <c r="F1902" s="42">
        <v>77.0</v>
      </c>
      <c r="G1902" s="29" t="str">
        <f t="shared" si="1"/>
        <v>36077</v>
      </c>
      <c r="H1902" s="37" t="s">
        <v>1286</v>
      </c>
      <c r="I1902" s="37" t="s">
        <v>94</v>
      </c>
      <c r="J1902" s="37" t="s">
        <v>250</v>
      </c>
      <c r="K1902" s="37" t="str">
        <f t="shared" si="33"/>
        <v>Otsego, NY</v>
      </c>
      <c r="L1902" s="37">
        <v>37.0</v>
      </c>
      <c r="M1902" s="652">
        <v>2.4444444444444446</v>
      </c>
      <c r="N1902" s="37">
        <v>25.0</v>
      </c>
      <c r="O1902" s="37">
        <v>5.0</v>
      </c>
      <c r="P1902" s="37" t="s">
        <v>63</v>
      </c>
      <c r="Q1902" s="37">
        <v>27.0</v>
      </c>
      <c r="R1902" s="37">
        <v>7.0</v>
      </c>
      <c r="S1902" s="37" t="s">
        <v>63</v>
      </c>
      <c r="T1902" s="69">
        <v>0.714</v>
      </c>
      <c r="U1902" s="37" t="s">
        <v>63</v>
      </c>
      <c r="V1902" s="37" t="s">
        <v>63</v>
      </c>
      <c r="W1902" s="37" t="s">
        <v>63</v>
      </c>
      <c r="X1902" s="37" t="s">
        <v>63</v>
      </c>
      <c r="Y1902" s="53">
        <v>68.0</v>
      </c>
      <c r="Z1902" s="69" t="s">
        <v>63</v>
      </c>
      <c r="AA1902" s="73"/>
      <c r="AB1902" s="73"/>
      <c r="AC1902" s="73"/>
      <c r="AD1902" s="73"/>
      <c r="AE1902" s="73"/>
      <c r="AF1902" s="73"/>
      <c r="AG1902" s="73"/>
      <c r="AH1902" s="73"/>
      <c r="AI1902" s="73"/>
      <c r="AJ1902" s="73"/>
      <c r="AK1902" s="73"/>
    </row>
    <row r="1903">
      <c r="A1903" s="28">
        <v>1902.0</v>
      </c>
      <c r="B1903" s="29"/>
      <c r="C1903" s="29"/>
      <c r="D1903" s="40">
        <v>1.0</v>
      </c>
      <c r="E1903" s="31">
        <v>36.0</v>
      </c>
      <c r="F1903" s="42">
        <v>79.0</v>
      </c>
      <c r="G1903" s="29" t="str">
        <f t="shared" si="1"/>
        <v>36079</v>
      </c>
      <c r="H1903" s="37" t="s">
        <v>518</v>
      </c>
      <c r="I1903" s="37" t="s">
        <v>94</v>
      </c>
      <c r="J1903" s="37" t="s">
        <v>250</v>
      </c>
      <c r="K1903" s="37" t="str">
        <f t="shared" si="33"/>
        <v>Putnam, NY</v>
      </c>
      <c r="L1903" s="37">
        <v>11.0</v>
      </c>
      <c r="M1903" s="652">
        <v>2.1666666666666665</v>
      </c>
      <c r="N1903" s="37">
        <v>5.0</v>
      </c>
      <c r="O1903" s="37">
        <v>6.0</v>
      </c>
      <c r="P1903" s="37" t="s">
        <v>63</v>
      </c>
      <c r="Q1903" s="37">
        <v>24.0</v>
      </c>
      <c r="R1903" s="37">
        <v>1.0</v>
      </c>
      <c r="S1903" s="37" t="s">
        <v>63</v>
      </c>
      <c r="T1903" s="69">
        <v>0.923</v>
      </c>
      <c r="U1903" s="37" t="s">
        <v>63</v>
      </c>
      <c r="V1903" s="37" t="s">
        <v>63</v>
      </c>
      <c r="W1903" s="37" t="s">
        <v>63</v>
      </c>
      <c r="X1903" s="37" t="s">
        <v>63</v>
      </c>
      <c r="Y1903" s="53">
        <v>37.0</v>
      </c>
      <c r="Z1903" s="69" t="s">
        <v>63</v>
      </c>
      <c r="AA1903" s="73"/>
      <c r="AB1903" s="73"/>
      <c r="AC1903" s="73"/>
      <c r="AD1903" s="73"/>
      <c r="AE1903" s="73"/>
      <c r="AF1903" s="73"/>
      <c r="AG1903" s="73"/>
      <c r="AH1903" s="73"/>
      <c r="AI1903" s="73"/>
      <c r="AJ1903" s="73"/>
      <c r="AK1903" s="73"/>
    </row>
    <row r="1904">
      <c r="A1904" s="28">
        <v>1903.0</v>
      </c>
      <c r="B1904" s="29"/>
      <c r="C1904" s="29"/>
      <c r="D1904" s="40">
        <v>1.0</v>
      </c>
      <c r="E1904" s="31">
        <v>36.0</v>
      </c>
      <c r="F1904" s="42">
        <v>81.0</v>
      </c>
      <c r="G1904" s="29" t="str">
        <f t="shared" si="1"/>
        <v>36081</v>
      </c>
      <c r="H1904" s="37" t="s">
        <v>254</v>
      </c>
      <c r="I1904" s="37" t="s">
        <v>94</v>
      </c>
      <c r="J1904" s="37" t="s">
        <v>250</v>
      </c>
      <c r="K1904" s="37" t="str">
        <f t="shared" si="33"/>
        <v>Queens, NY</v>
      </c>
      <c r="L1904" s="37" t="s">
        <v>63</v>
      </c>
      <c r="M1904" s="37" t="s">
        <v>63</v>
      </c>
      <c r="N1904" s="37" t="s">
        <v>63</v>
      </c>
      <c r="O1904" s="37" t="s">
        <v>63</v>
      </c>
      <c r="P1904" s="37" t="s">
        <v>63</v>
      </c>
      <c r="Q1904" s="37" t="s">
        <v>63</v>
      </c>
      <c r="R1904" s="37" t="s">
        <v>63</v>
      </c>
      <c r="S1904" s="37" t="s">
        <v>63</v>
      </c>
      <c r="T1904" s="69" t="s">
        <v>63</v>
      </c>
      <c r="U1904" s="37" t="s">
        <v>63</v>
      </c>
      <c r="V1904" s="37" t="s">
        <v>63</v>
      </c>
      <c r="W1904" s="37" t="s">
        <v>63</v>
      </c>
      <c r="X1904" s="37" t="s">
        <v>63</v>
      </c>
      <c r="Y1904" s="53">
        <v>694.0</v>
      </c>
      <c r="Z1904" s="69" t="s">
        <v>63</v>
      </c>
      <c r="AA1904" s="73"/>
      <c r="AB1904" s="73"/>
      <c r="AC1904" s="73"/>
      <c r="AD1904" s="73"/>
      <c r="AE1904" s="73"/>
      <c r="AF1904" s="73"/>
      <c r="AG1904" s="73"/>
      <c r="AH1904" s="73"/>
      <c r="AI1904" s="73"/>
      <c r="AJ1904" s="73"/>
      <c r="AK1904" s="73"/>
    </row>
    <row r="1905">
      <c r="A1905" s="28">
        <v>1904.0</v>
      </c>
      <c r="B1905" s="29"/>
      <c r="C1905" s="29"/>
      <c r="D1905" s="40">
        <v>1.0</v>
      </c>
      <c r="E1905" s="31">
        <v>36.0</v>
      </c>
      <c r="F1905" s="42">
        <v>83.0</v>
      </c>
      <c r="G1905" s="29" t="str">
        <f t="shared" si="1"/>
        <v>36083</v>
      </c>
      <c r="H1905" s="37" t="s">
        <v>1567</v>
      </c>
      <c r="I1905" s="37" t="s">
        <v>94</v>
      </c>
      <c r="J1905" s="37" t="s">
        <v>250</v>
      </c>
      <c r="K1905" s="37" t="str">
        <f t="shared" si="33"/>
        <v>Rensselaer, NY</v>
      </c>
      <c r="L1905" s="37">
        <v>72.0</v>
      </c>
      <c r="M1905" s="652">
        <v>2.391891891891892</v>
      </c>
      <c r="N1905" s="37">
        <v>45.0</v>
      </c>
      <c r="O1905" s="37">
        <v>9.0</v>
      </c>
      <c r="P1905" s="37" t="s">
        <v>63</v>
      </c>
      <c r="Q1905" s="37">
        <v>74.0</v>
      </c>
      <c r="R1905" s="37">
        <v>10.0</v>
      </c>
      <c r="S1905" s="37" t="s">
        <v>63</v>
      </c>
      <c r="T1905" s="69">
        <v>0.634</v>
      </c>
      <c r="U1905" s="37" t="s">
        <v>63</v>
      </c>
      <c r="V1905" s="37" t="s">
        <v>63</v>
      </c>
      <c r="W1905" s="37" t="s">
        <v>63</v>
      </c>
      <c r="X1905" s="37" t="s">
        <v>63</v>
      </c>
      <c r="Y1905" s="53">
        <v>108.0</v>
      </c>
      <c r="Z1905" s="69" t="s">
        <v>63</v>
      </c>
      <c r="AA1905" s="73"/>
      <c r="AB1905" s="73"/>
      <c r="AC1905" s="73"/>
      <c r="AD1905" s="73"/>
      <c r="AE1905" s="73"/>
      <c r="AF1905" s="73"/>
      <c r="AG1905" s="73"/>
      <c r="AH1905" s="73"/>
      <c r="AI1905" s="73"/>
      <c r="AJ1905" s="73"/>
      <c r="AK1905" s="73"/>
    </row>
    <row r="1906">
      <c r="A1906" s="28">
        <v>1905.0</v>
      </c>
      <c r="B1906" s="29"/>
      <c r="C1906" s="29"/>
      <c r="D1906" s="40">
        <v>1.0</v>
      </c>
      <c r="E1906" s="31">
        <v>36.0</v>
      </c>
      <c r="F1906" s="42">
        <v>85.0</v>
      </c>
      <c r="G1906" s="29" t="str">
        <f t="shared" si="1"/>
        <v>36085</v>
      </c>
      <c r="H1906" s="37" t="s">
        <v>621</v>
      </c>
      <c r="I1906" s="37" t="s">
        <v>94</v>
      </c>
      <c r="J1906" s="37" t="s">
        <v>250</v>
      </c>
      <c r="K1906" s="37" t="str">
        <f t="shared" si="33"/>
        <v>Richmond, NY</v>
      </c>
      <c r="L1906" s="37" t="s">
        <v>63</v>
      </c>
      <c r="M1906" s="37" t="s">
        <v>63</v>
      </c>
      <c r="N1906" s="37" t="s">
        <v>63</v>
      </c>
      <c r="O1906" s="37" t="s">
        <v>63</v>
      </c>
      <c r="P1906" s="37" t="s">
        <v>63</v>
      </c>
      <c r="Q1906" s="37" t="s">
        <v>63</v>
      </c>
      <c r="R1906" s="37" t="s">
        <v>63</v>
      </c>
      <c r="S1906" s="37" t="s">
        <v>63</v>
      </c>
      <c r="T1906" s="69" t="s">
        <v>63</v>
      </c>
      <c r="U1906" s="37" t="s">
        <v>63</v>
      </c>
      <c r="V1906" s="37" t="s">
        <v>63</v>
      </c>
      <c r="W1906" s="37" t="s">
        <v>63</v>
      </c>
      <c r="X1906" s="37" t="s">
        <v>63</v>
      </c>
      <c r="Y1906" s="53">
        <v>116.0</v>
      </c>
      <c r="Z1906" s="69" t="s">
        <v>63</v>
      </c>
      <c r="AA1906" s="73"/>
      <c r="AB1906" s="73"/>
      <c r="AC1906" s="73"/>
      <c r="AD1906" s="73"/>
      <c r="AE1906" s="73"/>
      <c r="AF1906" s="73"/>
      <c r="AG1906" s="73"/>
      <c r="AH1906" s="73"/>
      <c r="AI1906" s="73"/>
      <c r="AJ1906" s="73"/>
      <c r="AK1906" s="73"/>
    </row>
    <row r="1907">
      <c r="A1907" s="28">
        <v>1906.0</v>
      </c>
      <c r="B1907" s="29"/>
      <c r="C1907" s="29"/>
      <c r="D1907" s="40">
        <v>1.0</v>
      </c>
      <c r="E1907" s="31">
        <v>36.0</v>
      </c>
      <c r="F1907" s="42">
        <v>87.0</v>
      </c>
      <c r="G1907" s="29" t="str">
        <f t="shared" si="1"/>
        <v>36087</v>
      </c>
      <c r="H1907" s="37" t="s">
        <v>1568</v>
      </c>
      <c r="I1907" s="37" t="s">
        <v>94</v>
      </c>
      <c r="J1907" s="37" t="s">
        <v>250</v>
      </c>
      <c r="K1907" s="37" t="str">
        <f t="shared" si="33"/>
        <v>Rockland, NY</v>
      </c>
      <c r="L1907" s="37">
        <v>80.0</v>
      </c>
      <c r="M1907" s="652">
        <v>2.2135922330097086</v>
      </c>
      <c r="N1907" s="37">
        <v>60.0</v>
      </c>
      <c r="O1907" s="37">
        <v>17.0</v>
      </c>
      <c r="P1907" s="37" t="s">
        <v>63</v>
      </c>
      <c r="Q1907" s="37">
        <v>103.0</v>
      </c>
      <c r="R1907" s="37">
        <v>26.0</v>
      </c>
      <c r="S1907" s="37" t="s">
        <v>63</v>
      </c>
      <c r="T1907" s="69">
        <v>0.605</v>
      </c>
      <c r="U1907" s="37" t="s">
        <v>63</v>
      </c>
      <c r="V1907" s="37" t="s">
        <v>63</v>
      </c>
      <c r="W1907" s="37" t="s">
        <v>63</v>
      </c>
      <c r="X1907" s="37" t="s">
        <v>63</v>
      </c>
      <c r="Y1907" s="53">
        <v>130.0</v>
      </c>
      <c r="Z1907" s="69" t="s">
        <v>63</v>
      </c>
      <c r="AA1907" s="73"/>
      <c r="AB1907" s="73"/>
      <c r="AC1907" s="73"/>
      <c r="AD1907" s="73"/>
      <c r="AE1907" s="73"/>
      <c r="AF1907" s="73"/>
      <c r="AG1907" s="73"/>
      <c r="AH1907" s="73"/>
      <c r="AI1907" s="73"/>
      <c r="AJ1907" s="73"/>
      <c r="AK1907" s="73"/>
    </row>
    <row r="1908">
      <c r="A1908" s="28">
        <v>1907.0</v>
      </c>
      <c r="B1908" s="29"/>
      <c r="C1908" s="29"/>
      <c r="D1908" s="40">
        <v>1.0</v>
      </c>
      <c r="E1908" s="31">
        <v>36.0</v>
      </c>
      <c r="F1908" s="42">
        <v>89.0</v>
      </c>
      <c r="G1908" s="29" t="str">
        <f t="shared" si="1"/>
        <v>36089</v>
      </c>
      <c r="H1908" s="37" t="s">
        <v>1569</v>
      </c>
      <c r="I1908" s="37" t="s">
        <v>94</v>
      </c>
      <c r="J1908" s="37" t="s">
        <v>250</v>
      </c>
      <c r="K1908" s="136" t="str">
        <f t="shared" si="33"/>
        <v>St Lawrence, NY</v>
      </c>
      <c r="L1908" s="37">
        <v>218.0</v>
      </c>
      <c r="M1908" s="652">
        <v>2.3625730994152048</v>
      </c>
      <c r="N1908" s="37">
        <v>67.0</v>
      </c>
      <c r="O1908" s="37">
        <v>121.0</v>
      </c>
      <c r="P1908" s="37" t="s">
        <v>63</v>
      </c>
      <c r="Q1908" s="37">
        <v>171.0</v>
      </c>
      <c r="R1908" s="37">
        <v>68.0</v>
      </c>
      <c r="S1908" s="37" t="s">
        <v>63</v>
      </c>
      <c r="T1908" s="69">
        <v>0.307</v>
      </c>
      <c r="U1908" s="37" t="s">
        <v>63</v>
      </c>
      <c r="V1908" s="37" t="s">
        <v>63</v>
      </c>
      <c r="W1908" s="37" t="s">
        <v>63</v>
      </c>
      <c r="X1908" s="37" t="s">
        <v>63</v>
      </c>
      <c r="Y1908" s="53">
        <v>84.0</v>
      </c>
      <c r="Z1908" s="69" t="s">
        <v>63</v>
      </c>
      <c r="AA1908" s="73"/>
      <c r="AB1908" s="73"/>
      <c r="AC1908" s="73"/>
      <c r="AD1908" s="73"/>
      <c r="AE1908" s="73"/>
      <c r="AF1908" s="73"/>
      <c r="AG1908" s="73"/>
      <c r="AH1908" s="73"/>
      <c r="AI1908" s="73"/>
      <c r="AJ1908" s="73"/>
      <c r="AK1908" s="73"/>
    </row>
    <row r="1909">
      <c r="A1909" s="28">
        <v>1908.0</v>
      </c>
      <c r="B1909" s="29"/>
      <c r="C1909" s="29"/>
      <c r="D1909" s="40">
        <v>1.0</v>
      </c>
      <c r="E1909" s="31">
        <v>36.0</v>
      </c>
      <c r="F1909" s="42">
        <v>91.0</v>
      </c>
      <c r="G1909" s="29" t="str">
        <f t="shared" si="1"/>
        <v>36091</v>
      </c>
      <c r="H1909" s="37" t="s">
        <v>1570</v>
      </c>
      <c r="I1909" s="37" t="s">
        <v>94</v>
      </c>
      <c r="J1909" s="37" t="s">
        <v>250</v>
      </c>
      <c r="K1909" s="37" t="str">
        <f t="shared" si="33"/>
        <v>Saratoga, NY</v>
      </c>
      <c r="L1909" s="37">
        <v>27.0</v>
      </c>
      <c r="M1909" s="652">
        <v>2.4050632911392404</v>
      </c>
      <c r="N1909" s="37">
        <v>13.0</v>
      </c>
      <c r="O1909" s="37">
        <v>2.0</v>
      </c>
      <c r="P1909" s="37" t="s">
        <v>63</v>
      </c>
      <c r="Q1909" s="37">
        <v>79.0</v>
      </c>
      <c r="R1909" s="37">
        <v>13.0</v>
      </c>
      <c r="S1909" s="37" t="s">
        <v>63</v>
      </c>
      <c r="T1909" s="69">
        <v>0.5</v>
      </c>
      <c r="U1909" s="37" t="s">
        <v>63</v>
      </c>
      <c r="V1909" s="37" t="s">
        <v>63</v>
      </c>
      <c r="W1909" s="37" t="s">
        <v>63</v>
      </c>
      <c r="X1909" s="37" t="s">
        <v>63</v>
      </c>
      <c r="Y1909" s="53">
        <v>117.0</v>
      </c>
      <c r="Z1909" s="69" t="s">
        <v>63</v>
      </c>
      <c r="AA1909" s="73"/>
      <c r="AB1909" s="73"/>
      <c r="AC1909" s="73"/>
      <c r="AD1909" s="73"/>
      <c r="AE1909" s="73"/>
      <c r="AF1909" s="73"/>
      <c r="AG1909" s="73"/>
      <c r="AH1909" s="73"/>
      <c r="AI1909" s="73"/>
      <c r="AJ1909" s="73"/>
      <c r="AK1909" s="73"/>
    </row>
    <row r="1910">
      <c r="A1910" s="28">
        <v>1909.0</v>
      </c>
      <c r="B1910" s="29"/>
      <c r="C1910" s="29"/>
      <c r="D1910" s="40">
        <v>1.0</v>
      </c>
      <c r="E1910" s="31">
        <v>36.0</v>
      </c>
      <c r="F1910" s="42">
        <v>93.0</v>
      </c>
      <c r="G1910" s="29" t="str">
        <f t="shared" si="1"/>
        <v>36093</v>
      </c>
      <c r="H1910" s="37" t="s">
        <v>1571</v>
      </c>
      <c r="I1910" s="37" t="s">
        <v>94</v>
      </c>
      <c r="J1910" s="37" t="s">
        <v>250</v>
      </c>
      <c r="K1910" s="136" t="str">
        <f t="shared" si="33"/>
        <v>Schenectady, NY</v>
      </c>
      <c r="L1910" s="37">
        <v>231.0</v>
      </c>
      <c r="M1910" s="652">
        <v>2.4123711340206184</v>
      </c>
      <c r="N1910" s="37">
        <v>105.0</v>
      </c>
      <c r="O1910" s="37">
        <v>62.0</v>
      </c>
      <c r="P1910" s="37" t="s">
        <v>63</v>
      </c>
      <c r="Q1910" s="37">
        <v>97.0</v>
      </c>
      <c r="R1910" s="37">
        <v>42.0</v>
      </c>
      <c r="S1910" s="37" t="s">
        <v>63</v>
      </c>
      <c r="T1910" s="69">
        <v>0.643</v>
      </c>
      <c r="U1910" s="37" t="s">
        <v>63</v>
      </c>
      <c r="V1910" s="37" t="s">
        <v>63</v>
      </c>
      <c r="W1910" s="37" t="s">
        <v>63</v>
      </c>
      <c r="X1910" s="37" t="s">
        <v>63</v>
      </c>
      <c r="Y1910" s="53">
        <v>95.0</v>
      </c>
      <c r="Z1910" s="69" t="s">
        <v>63</v>
      </c>
      <c r="AA1910" s="73"/>
      <c r="AB1910" s="73"/>
      <c r="AC1910" s="73"/>
      <c r="AD1910" s="73"/>
      <c r="AE1910" s="73"/>
      <c r="AF1910" s="73"/>
      <c r="AG1910" s="73"/>
      <c r="AH1910" s="73"/>
      <c r="AI1910" s="73"/>
      <c r="AJ1910" s="73"/>
      <c r="AK1910" s="73"/>
    </row>
    <row r="1911">
      <c r="A1911" s="28">
        <v>1910.0</v>
      </c>
      <c r="B1911" s="29"/>
      <c r="C1911" s="29"/>
      <c r="D1911" s="40">
        <v>1.0</v>
      </c>
      <c r="E1911" s="31">
        <v>36.0</v>
      </c>
      <c r="F1911" s="42">
        <v>95.0</v>
      </c>
      <c r="G1911" s="29" t="str">
        <f t="shared" si="1"/>
        <v>36095</v>
      </c>
      <c r="H1911" s="37" t="s">
        <v>1572</v>
      </c>
      <c r="I1911" s="37" t="s">
        <v>94</v>
      </c>
      <c r="J1911" s="37" t="s">
        <v>250</v>
      </c>
      <c r="K1911" s="37" t="str">
        <f t="shared" si="33"/>
        <v>Schoharie, NY</v>
      </c>
      <c r="L1911" s="37">
        <v>45.0</v>
      </c>
      <c r="M1911" s="652">
        <v>2.46875</v>
      </c>
      <c r="N1911" s="37">
        <v>14.0</v>
      </c>
      <c r="O1911" s="37">
        <v>19.0</v>
      </c>
      <c r="P1911" s="37" t="s">
        <v>63</v>
      </c>
      <c r="Q1911" s="37">
        <v>32.0</v>
      </c>
      <c r="R1911" s="37">
        <v>14.0</v>
      </c>
      <c r="S1911" s="37" t="s">
        <v>63</v>
      </c>
      <c r="T1911" s="69">
        <v>0.619</v>
      </c>
      <c r="U1911" s="37" t="s">
        <v>63</v>
      </c>
      <c r="V1911" s="37" t="s">
        <v>63</v>
      </c>
      <c r="W1911" s="37" t="s">
        <v>63</v>
      </c>
      <c r="X1911" s="37" t="s">
        <v>63</v>
      </c>
      <c r="Y1911" s="53">
        <v>37.0</v>
      </c>
      <c r="Z1911" s="69" t="s">
        <v>63</v>
      </c>
      <c r="AA1911" s="73"/>
      <c r="AB1911" s="73"/>
      <c r="AC1911" s="73"/>
      <c r="AD1911" s="73"/>
      <c r="AE1911" s="73"/>
      <c r="AF1911" s="73"/>
      <c r="AG1911" s="73"/>
      <c r="AH1911" s="73"/>
      <c r="AI1911" s="73"/>
      <c r="AJ1911" s="73"/>
      <c r="AK1911" s="73"/>
    </row>
    <row r="1912">
      <c r="A1912" s="28">
        <v>1911.0</v>
      </c>
      <c r="B1912" s="29"/>
      <c r="C1912" s="29"/>
      <c r="D1912" s="40">
        <v>1.0</v>
      </c>
      <c r="E1912" s="31">
        <v>36.0</v>
      </c>
      <c r="F1912" s="42">
        <v>97.0</v>
      </c>
      <c r="G1912" s="29" t="str">
        <f t="shared" si="1"/>
        <v>36097</v>
      </c>
      <c r="H1912" s="37" t="s">
        <v>746</v>
      </c>
      <c r="I1912" s="37" t="s">
        <v>94</v>
      </c>
      <c r="J1912" s="37" t="s">
        <v>250</v>
      </c>
      <c r="K1912" s="37" t="str">
        <f t="shared" si="33"/>
        <v>Schuyler, NY</v>
      </c>
      <c r="L1912" s="37">
        <v>21.0</v>
      </c>
      <c r="M1912" s="652">
        <v>1.9230769230769231</v>
      </c>
      <c r="N1912" s="37">
        <v>15.0</v>
      </c>
      <c r="O1912" s="37">
        <v>4.0</v>
      </c>
      <c r="P1912" s="37" t="s">
        <v>63</v>
      </c>
      <c r="Q1912" s="37">
        <v>13.0</v>
      </c>
      <c r="R1912" s="37">
        <v>14.0</v>
      </c>
      <c r="S1912" s="37" t="s">
        <v>63</v>
      </c>
      <c r="T1912" s="69">
        <v>0.462</v>
      </c>
      <c r="U1912" s="37" t="s">
        <v>63</v>
      </c>
      <c r="V1912" s="37" t="s">
        <v>63</v>
      </c>
      <c r="W1912" s="37" t="s">
        <v>63</v>
      </c>
      <c r="X1912" s="37" t="s">
        <v>63</v>
      </c>
      <c r="Y1912" s="53">
        <v>26.0</v>
      </c>
      <c r="Z1912" s="69" t="s">
        <v>63</v>
      </c>
      <c r="AA1912" s="73"/>
      <c r="AB1912" s="73"/>
      <c r="AC1912" s="73"/>
      <c r="AD1912" s="73"/>
      <c r="AE1912" s="73"/>
      <c r="AF1912" s="73"/>
      <c r="AG1912" s="73"/>
      <c r="AH1912" s="73"/>
      <c r="AI1912" s="73"/>
      <c r="AJ1912" s="73"/>
      <c r="AK1912" s="73"/>
    </row>
    <row r="1913">
      <c r="A1913" s="28">
        <v>1912.0</v>
      </c>
      <c r="B1913" s="29"/>
      <c r="C1913" s="29"/>
      <c r="D1913" s="40">
        <v>1.0</v>
      </c>
      <c r="E1913" s="31">
        <v>36.0</v>
      </c>
      <c r="F1913" s="42">
        <v>99.0</v>
      </c>
      <c r="G1913" s="29" t="str">
        <f t="shared" si="1"/>
        <v>36099</v>
      </c>
      <c r="H1913" s="37" t="s">
        <v>1573</v>
      </c>
      <c r="I1913" s="37" t="s">
        <v>94</v>
      </c>
      <c r="J1913" s="37" t="s">
        <v>250</v>
      </c>
      <c r="K1913" s="37" t="str">
        <f t="shared" si="33"/>
        <v>Seneca, NY</v>
      </c>
      <c r="L1913" s="37">
        <v>17.0</v>
      </c>
      <c r="M1913" s="652">
        <v>2.7777777777777777</v>
      </c>
      <c r="N1913" s="37">
        <v>9.0</v>
      </c>
      <c r="O1913" s="37">
        <v>1.0</v>
      </c>
      <c r="P1913" s="37" t="s">
        <v>63</v>
      </c>
      <c r="Q1913" s="37">
        <v>18.0</v>
      </c>
      <c r="R1913" s="37">
        <v>4.0</v>
      </c>
      <c r="S1913" s="37" t="s">
        <v>63</v>
      </c>
      <c r="T1913" s="69">
        <v>0.308</v>
      </c>
      <c r="U1913" s="37" t="s">
        <v>63</v>
      </c>
      <c r="V1913" s="37" t="s">
        <v>63</v>
      </c>
      <c r="W1913" s="37" t="s">
        <v>63</v>
      </c>
      <c r="X1913" s="37" t="s">
        <v>63</v>
      </c>
      <c r="Y1913" s="53">
        <v>27.0</v>
      </c>
      <c r="Z1913" s="69" t="s">
        <v>63</v>
      </c>
      <c r="AA1913" s="73"/>
      <c r="AB1913" s="73"/>
      <c r="AC1913" s="73"/>
      <c r="AD1913" s="73"/>
      <c r="AE1913" s="73"/>
      <c r="AF1913" s="73"/>
      <c r="AG1913" s="73"/>
      <c r="AH1913" s="73"/>
      <c r="AI1913" s="73"/>
      <c r="AJ1913" s="73"/>
      <c r="AK1913" s="73"/>
    </row>
    <row r="1914">
      <c r="A1914" s="28">
        <v>1913.0</v>
      </c>
      <c r="B1914" s="29"/>
      <c r="C1914" s="29"/>
      <c r="D1914" s="40">
        <v>1.0</v>
      </c>
      <c r="E1914" s="31">
        <v>36.0</v>
      </c>
      <c r="F1914" s="42">
        <v>101.0</v>
      </c>
      <c r="G1914" s="29" t="str">
        <f t="shared" si="1"/>
        <v>36101</v>
      </c>
      <c r="H1914" s="37" t="s">
        <v>859</v>
      </c>
      <c r="I1914" s="37" t="s">
        <v>94</v>
      </c>
      <c r="J1914" s="37" t="s">
        <v>250</v>
      </c>
      <c r="K1914" s="37" t="str">
        <f t="shared" si="33"/>
        <v>Steuben, NY</v>
      </c>
      <c r="L1914" s="37">
        <v>102.0</v>
      </c>
      <c r="M1914" s="652">
        <v>2.5737704918032787</v>
      </c>
      <c r="N1914" s="37">
        <v>71.0</v>
      </c>
      <c r="O1914" s="37">
        <v>10.0</v>
      </c>
      <c r="P1914" s="37" t="s">
        <v>63</v>
      </c>
      <c r="Q1914" s="37">
        <v>61.0</v>
      </c>
      <c r="R1914" s="37">
        <v>20.0</v>
      </c>
      <c r="S1914" s="37" t="s">
        <v>63</v>
      </c>
      <c r="T1914" s="69">
        <v>0.426</v>
      </c>
      <c r="U1914" s="37" t="s">
        <v>63</v>
      </c>
      <c r="V1914" s="37" t="s">
        <v>63</v>
      </c>
      <c r="W1914" s="37" t="s">
        <v>63</v>
      </c>
      <c r="X1914" s="37" t="s">
        <v>63</v>
      </c>
      <c r="Y1914" s="53">
        <v>101.0</v>
      </c>
      <c r="Z1914" s="69" t="s">
        <v>63</v>
      </c>
      <c r="AA1914" s="73"/>
      <c r="AB1914" s="73"/>
      <c r="AC1914" s="73"/>
      <c r="AD1914" s="73"/>
      <c r="AE1914" s="73"/>
      <c r="AF1914" s="73"/>
      <c r="AG1914" s="73"/>
      <c r="AH1914" s="73"/>
      <c r="AI1914" s="73"/>
      <c r="AJ1914" s="73"/>
      <c r="AK1914" s="73"/>
    </row>
    <row r="1915">
      <c r="A1915" s="28">
        <v>1914.0</v>
      </c>
      <c r="B1915" s="29"/>
      <c r="C1915" s="29"/>
      <c r="D1915" s="40">
        <v>1.0</v>
      </c>
      <c r="E1915" s="31">
        <v>36.0</v>
      </c>
      <c r="F1915" s="42">
        <v>103.0</v>
      </c>
      <c r="G1915" s="29" t="str">
        <f t="shared" si="1"/>
        <v>36103</v>
      </c>
      <c r="H1915" s="37" t="s">
        <v>299</v>
      </c>
      <c r="I1915" s="37" t="s">
        <v>94</v>
      </c>
      <c r="J1915" s="37" t="s">
        <v>250</v>
      </c>
      <c r="K1915" s="37" t="str">
        <f t="shared" si="33"/>
        <v>Suffolk, NY</v>
      </c>
      <c r="L1915" s="37">
        <v>518.0</v>
      </c>
      <c r="M1915" s="652">
        <v>1.9534368070953436</v>
      </c>
      <c r="N1915" s="37">
        <v>241.0</v>
      </c>
      <c r="O1915" s="37">
        <v>163.0</v>
      </c>
      <c r="P1915" s="37" t="s">
        <v>63</v>
      </c>
      <c r="Q1915" s="37">
        <v>451.0</v>
      </c>
      <c r="R1915" s="37">
        <v>170.0</v>
      </c>
      <c r="S1915" s="37" t="s">
        <v>63</v>
      </c>
      <c r="T1915" s="69">
        <v>0.597</v>
      </c>
      <c r="U1915" s="37" t="s">
        <v>63</v>
      </c>
      <c r="V1915" s="37" t="s">
        <v>63</v>
      </c>
      <c r="W1915" s="37" t="s">
        <v>63</v>
      </c>
      <c r="X1915" s="37" t="s">
        <v>63</v>
      </c>
      <c r="Y1915" s="53">
        <v>520.0</v>
      </c>
      <c r="Z1915" s="69" t="s">
        <v>63</v>
      </c>
      <c r="AA1915" s="73"/>
      <c r="AB1915" s="73"/>
      <c r="AC1915" s="73"/>
      <c r="AD1915" s="73"/>
      <c r="AE1915" s="73"/>
      <c r="AF1915" s="73"/>
      <c r="AG1915" s="73"/>
      <c r="AH1915" s="73"/>
      <c r="AI1915" s="73"/>
      <c r="AJ1915" s="73"/>
      <c r="AK1915" s="73"/>
    </row>
    <row r="1916">
      <c r="A1916" s="28">
        <v>1915.0</v>
      </c>
      <c r="B1916" s="29"/>
      <c r="C1916" s="29"/>
      <c r="D1916" s="40">
        <v>1.0</v>
      </c>
      <c r="E1916" s="31">
        <v>36.0</v>
      </c>
      <c r="F1916" s="42">
        <v>105.0</v>
      </c>
      <c r="G1916" s="29" t="str">
        <f t="shared" si="1"/>
        <v>36105</v>
      </c>
      <c r="H1916" s="37" t="s">
        <v>860</v>
      </c>
      <c r="I1916" s="37" t="s">
        <v>94</v>
      </c>
      <c r="J1916" s="37" t="s">
        <v>250</v>
      </c>
      <c r="K1916" s="37" t="str">
        <f t="shared" si="33"/>
        <v>Sullivan, NY</v>
      </c>
      <c r="L1916" s="37">
        <v>109.0</v>
      </c>
      <c r="M1916" s="652">
        <v>2.3580246913580245</v>
      </c>
      <c r="N1916" s="37">
        <v>60.0</v>
      </c>
      <c r="O1916" s="37">
        <v>25.0</v>
      </c>
      <c r="P1916" s="37" t="s">
        <v>63</v>
      </c>
      <c r="Q1916" s="37">
        <v>81.0</v>
      </c>
      <c r="R1916" s="37">
        <v>34.0</v>
      </c>
      <c r="S1916" s="37" t="s">
        <v>63</v>
      </c>
      <c r="T1916" s="69">
        <v>0.431</v>
      </c>
      <c r="U1916" s="37" t="s">
        <v>63</v>
      </c>
      <c r="V1916" s="37" t="s">
        <v>63</v>
      </c>
      <c r="W1916" s="37" t="s">
        <v>63</v>
      </c>
      <c r="X1916" s="37" t="s">
        <v>63</v>
      </c>
      <c r="Y1916" s="53">
        <v>57.0</v>
      </c>
      <c r="Z1916" s="69" t="s">
        <v>63</v>
      </c>
      <c r="AA1916" s="73"/>
      <c r="AB1916" s="73"/>
      <c r="AC1916" s="73"/>
      <c r="AD1916" s="73"/>
      <c r="AE1916" s="73"/>
      <c r="AF1916" s="73"/>
      <c r="AG1916" s="73"/>
      <c r="AH1916" s="73"/>
      <c r="AI1916" s="73"/>
      <c r="AJ1916" s="73"/>
      <c r="AK1916" s="73"/>
    </row>
    <row r="1917">
      <c r="A1917" s="28">
        <v>1916.0</v>
      </c>
      <c r="B1917" s="29"/>
      <c r="C1917" s="29"/>
      <c r="D1917" s="40">
        <v>1.0</v>
      </c>
      <c r="E1917" s="31">
        <v>36.0</v>
      </c>
      <c r="F1917" s="42">
        <v>107.0</v>
      </c>
      <c r="G1917" s="29" t="str">
        <f t="shared" si="1"/>
        <v>36107</v>
      </c>
      <c r="H1917" s="37" t="s">
        <v>1574</v>
      </c>
      <c r="I1917" s="37" t="s">
        <v>94</v>
      </c>
      <c r="J1917" s="37" t="s">
        <v>250</v>
      </c>
      <c r="K1917" s="37" t="str">
        <f t="shared" si="33"/>
        <v>Tioga, NY</v>
      </c>
      <c r="L1917" s="37">
        <v>42.0</v>
      </c>
      <c r="M1917" s="652">
        <v>2.433333333333333</v>
      </c>
      <c r="N1917" s="37">
        <v>21.0</v>
      </c>
      <c r="O1917" s="37">
        <v>13.0</v>
      </c>
      <c r="P1917" s="37" t="s">
        <v>63</v>
      </c>
      <c r="Q1917" s="37">
        <v>30.0</v>
      </c>
      <c r="R1917" s="37">
        <v>3.0</v>
      </c>
      <c r="S1917" s="37" t="s">
        <v>63</v>
      </c>
      <c r="T1917" s="69">
        <v>0.5</v>
      </c>
      <c r="U1917" s="37" t="s">
        <v>63</v>
      </c>
      <c r="V1917" s="37" t="s">
        <v>63</v>
      </c>
      <c r="W1917" s="37" t="s">
        <v>63</v>
      </c>
      <c r="X1917" s="37" t="s">
        <v>63</v>
      </c>
      <c r="Y1917" s="53">
        <v>48.0</v>
      </c>
      <c r="Z1917" s="69" t="s">
        <v>63</v>
      </c>
      <c r="AA1917" s="73"/>
      <c r="AB1917" s="73"/>
      <c r="AC1917" s="73"/>
      <c r="AD1917" s="73"/>
      <c r="AE1917" s="73"/>
      <c r="AF1917" s="73"/>
      <c r="AG1917" s="73"/>
      <c r="AH1917" s="73"/>
      <c r="AI1917" s="73"/>
      <c r="AJ1917" s="73"/>
      <c r="AK1917" s="73"/>
    </row>
    <row r="1918">
      <c r="A1918" s="28">
        <v>1917.0</v>
      </c>
      <c r="B1918" s="29"/>
      <c r="C1918" s="29"/>
      <c r="D1918" s="40">
        <v>1.0</v>
      </c>
      <c r="E1918" s="31">
        <v>36.0</v>
      </c>
      <c r="F1918" s="42">
        <v>109.0</v>
      </c>
      <c r="G1918" s="29" t="str">
        <f t="shared" si="1"/>
        <v>36109</v>
      </c>
      <c r="H1918" s="37" t="s">
        <v>1575</v>
      </c>
      <c r="I1918" s="37" t="s">
        <v>94</v>
      </c>
      <c r="J1918" s="37" t="s">
        <v>250</v>
      </c>
      <c r="K1918" s="37" t="str">
        <f t="shared" si="33"/>
        <v>Tompkins, NY</v>
      </c>
      <c r="L1918" s="37">
        <v>74.0</v>
      </c>
      <c r="M1918" s="652">
        <v>1.7307692307692308</v>
      </c>
      <c r="N1918" s="37">
        <v>26.0</v>
      </c>
      <c r="O1918" s="37">
        <v>40.0</v>
      </c>
      <c r="P1918" s="37" t="s">
        <v>63</v>
      </c>
      <c r="Q1918" s="37">
        <v>52.0</v>
      </c>
      <c r="R1918" s="37">
        <v>16.0</v>
      </c>
      <c r="S1918" s="37" t="s">
        <v>63</v>
      </c>
      <c r="T1918" s="69">
        <v>0.516</v>
      </c>
      <c r="U1918" s="37" t="s">
        <v>63</v>
      </c>
      <c r="V1918" s="37" t="s">
        <v>63</v>
      </c>
      <c r="W1918" s="37" t="s">
        <v>63</v>
      </c>
      <c r="X1918" s="37" t="s">
        <v>63</v>
      </c>
      <c r="Y1918" s="53">
        <v>63.0</v>
      </c>
      <c r="Z1918" s="69" t="s">
        <v>63</v>
      </c>
      <c r="AA1918" s="73"/>
      <c r="AB1918" s="73"/>
      <c r="AC1918" s="73"/>
      <c r="AD1918" s="73"/>
      <c r="AE1918" s="73"/>
      <c r="AF1918" s="73"/>
      <c r="AG1918" s="73"/>
      <c r="AH1918" s="73"/>
      <c r="AI1918" s="73"/>
      <c r="AJ1918" s="73"/>
      <c r="AK1918" s="73"/>
    </row>
    <row r="1919">
      <c r="A1919" s="28">
        <v>1918.0</v>
      </c>
      <c r="B1919" s="29"/>
      <c r="C1919" s="29"/>
      <c r="D1919" s="40">
        <v>1.0</v>
      </c>
      <c r="E1919" s="31">
        <v>36.0</v>
      </c>
      <c r="F1919" s="42">
        <v>111.0</v>
      </c>
      <c r="G1919" s="29" t="str">
        <f t="shared" si="1"/>
        <v>36111</v>
      </c>
      <c r="H1919" s="37" t="s">
        <v>1576</v>
      </c>
      <c r="I1919" s="37" t="s">
        <v>94</v>
      </c>
      <c r="J1919" s="37" t="s">
        <v>250</v>
      </c>
      <c r="K1919" s="37" t="str">
        <f t="shared" si="33"/>
        <v>Ulster, NY</v>
      </c>
      <c r="L1919" s="37">
        <v>127.0</v>
      </c>
      <c r="M1919" s="652">
        <v>2.0168067226890756</v>
      </c>
      <c r="N1919" s="37">
        <v>55.0</v>
      </c>
      <c r="O1919" s="37">
        <v>50.0</v>
      </c>
      <c r="P1919" s="37" t="s">
        <v>63</v>
      </c>
      <c r="Q1919" s="37">
        <v>119.0</v>
      </c>
      <c r="R1919" s="37">
        <v>20.0</v>
      </c>
      <c r="S1919" s="37" t="s">
        <v>63</v>
      </c>
      <c r="T1919" s="69">
        <v>0.551</v>
      </c>
      <c r="U1919" s="37" t="s">
        <v>63</v>
      </c>
      <c r="V1919" s="37" t="s">
        <v>63</v>
      </c>
      <c r="W1919" s="37" t="s">
        <v>63</v>
      </c>
      <c r="X1919" s="37" t="s">
        <v>63</v>
      </c>
      <c r="Y1919" s="53">
        <v>124.0</v>
      </c>
      <c r="Z1919" s="69" t="s">
        <v>63</v>
      </c>
      <c r="AA1919" s="73"/>
      <c r="AB1919" s="73"/>
      <c r="AC1919" s="73"/>
      <c r="AD1919" s="73"/>
      <c r="AE1919" s="73"/>
      <c r="AF1919" s="73"/>
      <c r="AG1919" s="73"/>
      <c r="AH1919" s="73"/>
      <c r="AI1919" s="73"/>
      <c r="AJ1919" s="73"/>
      <c r="AK1919" s="73"/>
    </row>
    <row r="1920">
      <c r="A1920" s="28">
        <v>1919.0</v>
      </c>
      <c r="B1920" s="29"/>
      <c r="C1920" s="29"/>
      <c r="D1920" s="40">
        <v>1.0</v>
      </c>
      <c r="E1920" s="31">
        <v>36.0</v>
      </c>
      <c r="F1920" s="42">
        <v>113.0</v>
      </c>
      <c r="G1920" s="29" t="str">
        <f t="shared" si="1"/>
        <v>36113</v>
      </c>
      <c r="H1920" s="37" t="s">
        <v>647</v>
      </c>
      <c r="I1920" s="37" t="s">
        <v>94</v>
      </c>
      <c r="J1920" s="37" t="s">
        <v>250</v>
      </c>
      <c r="K1920" s="37" t="str">
        <f t="shared" si="33"/>
        <v>Warren, NY</v>
      </c>
      <c r="L1920" s="37">
        <v>25.0</v>
      </c>
      <c r="M1920" s="652">
        <v>2.1818181818181817</v>
      </c>
      <c r="N1920" s="37">
        <v>8.0</v>
      </c>
      <c r="O1920" s="37">
        <v>3.0</v>
      </c>
      <c r="P1920" s="37" t="s">
        <v>63</v>
      </c>
      <c r="Q1920" s="37">
        <v>33.0</v>
      </c>
      <c r="R1920" s="37">
        <v>2.0</v>
      </c>
      <c r="S1920" s="37" t="s">
        <v>63</v>
      </c>
      <c r="T1920" s="69">
        <v>0.609</v>
      </c>
      <c r="U1920" s="37" t="s">
        <v>63</v>
      </c>
      <c r="V1920" s="37" t="s">
        <v>63</v>
      </c>
      <c r="W1920" s="37" t="s">
        <v>63</v>
      </c>
      <c r="X1920" s="37" t="s">
        <v>63</v>
      </c>
      <c r="Y1920" s="53">
        <v>44.0</v>
      </c>
      <c r="Z1920" s="69" t="s">
        <v>63</v>
      </c>
      <c r="AA1920" s="73"/>
      <c r="AB1920" s="73"/>
      <c r="AC1920" s="73"/>
      <c r="AD1920" s="73"/>
      <c r="AE1920" s="73"/>
      <c r="AF1920" s="73"/>
      <c r="AG1920" s="73"/>
      <c r="AH1920" s="73"/>
      <c r="AI1920" s="73"/>
      <c r="AJ1920" s="73"/>
      <c r="AK1920" s="73"/>
    </row>
    <row r="1921">
      <c r="A1921" s="28">
        <v>1920.0</v>
      </c>
      <c r="B1921" s="29"/>
      <c r="C1921" s="29"/>
      <c r="D1921" s="40">
        <v>1.0</v>
      </c>
      <c r="E1921" s="31">
        <v>36.0</v>
      </c>
      <c r="F1921" s="42">
        <v>115.0</v>
      </c>
      <c r="G1921" s="29" t="str">
        <f t="shared" si="1"/>
        <v>36115</v>
      </c>
      <c r="H1921" s="37" t="s">
        <v>119</v>
      </c>
      <c r="I1921" s="37" t="s">
        <v>94</v>
      </c>
      <c r="J1921" s="37" t="s">
        <v>250</v>
      </c>
      <c r="K1921" s="37" t="str">
        <f t="shared" si="33"/>
        <v>Washington, NY</v>
      </c>
      <c r="L1921" s="37">
        <v>32.0</v>
      </c>
      <c r="M1921" s="652">
        <v>3.0714285714285716</v>
      </c>
      <c r="N1921" s="37">
        <v>18.0</v>
      </c>
      <c r="O1921" s="37">
        <v>7.0</v>
      </c>
      <c r="P1921" s="37" t="s">
        <v>63</v>
      </c>
      <c r="Q1921" s="37">
        <v>42.0</v>
      </c>
      <c r="R1921" s="37">
        <v>11.0</v>
      </c>
      <c r="S1921" s="37" t="s">
        <v>63</v>
      </c>
      <c r="T1921" s="69">
        <v>0.273</v>
      </c>
      <c r="U1921" s="37" t="s">
        <v>63</v>
      </c>
      <c r="V1921" s="37" t="s">
        <v>63</v>
      </c>
      <c r="W1921" s="37" t="s">
        <v>63</v>
      </c>
      <c r="X1921" s="37" t="s">
        <v>63</v>
      </c>
      <c r="Y1921" s="53">
        <v>51.0</v>
      </c>
      <c r="Z1921" s="69" t="s">
        <v>63</v>
      </c>
      <c r="AA1921" s="73"/>
      <c r="AB1921" s="73"/>
      <c r="AC1921" s="73"/>
      <c r="AD1921" s="73"/>
      <c r="AE1921" s="73"/>
      <c r="AF1921" s="73"/>
      <c r="AG1921" s="73"/>
      <c r="AH1921" s="73"/>
      <c r="AI1921" s="73"/>
      <c r="AJ1921" s="73"/>
      <c r="AK1921" s="73"/>
    </row>
    <row r="1922">
      <c r="A1922" s="28">
        <v>1921.0</v>
      </c>
      <c r="B1922" s="29"/>
      <c r="C1922" s="29"/>
      <c r="D1922" s="40">
        <v>1.0</v>
      </c>
      <c r="E1922" s="31">
        <v>36.0</v>
      </c>
      <c r="F1922" s="42">
        <v>117.0</v>
      </c>
      <c r="G1922" s="29" t="str">
        <f t="shared" si="1"/>
        <v>36117</v>
      </c>
      <c r="H1922" s="37" t="s">
        <v>273</v>
      </c>
      <c r="I1922" s="37" t="s">
        <v>94</v>
      </c>
      <c r="J1922" s="37" t="s">
        <v>250</v>
      </c>
      <c r="K1922" s="37" t="str">
        <f t="shared" si="33"/>
        <v>Wayne, NY</v>
      </c>
      <c r="L1922" s="37">
        <v>34.0</v>
      </c>
      <c r="M1922" s="652">
        <v>2.673469387755102</v>
      </c>
      <c r="N1922" s="37">
        <v>21.0</v>
      </c>
      <c r="O1922" s="37">
        <v>0.0</v>
      </c>
      <c r="P1922" s="37" t="s">
        <v>63</v>
      </c>
      <c r="Q1922" s="37">
        <v>49.0</v>
      </c>
      <c r="R1922" s="37">
        <v>14.0</v>
      </c>
      <c r="S1922" s="37" t="s">
        <v>63</v>
      </c>
      <c r="T1922" s="69">
        <v>0.875</v>
      </c>
      <c r="U1922" s="37" t="s">
        <v>63</v>
      </c>
      <c r="V1922" s="37" t="s">
        <v>63</v>
      </c>
      <c r="W1922" s="37" t="s">
        <v>63</v>
      </c>
      <c r="X1922" s="37" t="s">
        <v>63</v>
      </c>
      <c r="Y1922" s="53">
        <v>79.0</v>
      </c>
      <c r="Z1922" s="69" t="s">
        <v>63</v>
      </c>
      <c r="AA1922" s="73"/>
      <c r="AB1922" s="73"/>
      <c r="AC1922" s="73"/>
      <c r="AD1922" s="73"/>
      <c r="AE1922" s="73"/>
      <c r="AF1922" s="73"/>
      <c r="AG1922" s="73"/>
      <c r="AH1922" s="73"/>
      <c r="AI1922" s="73"/>
      <c r="AJ1922" s="73"/>
      <c r="AK1922" s="73"/>
    </row>
    <row r="1923">
      <c r="A1923" s="28">
        <v>1922.0</v>
      </c>
      <c r="B1923" s="29"/>
      <c r="C1923" s="29"/>
      <c r="D1923" s="40">
        <v>1.0</v>
      </c>
      <c r="E1923" s="31">
        <v>36.0</v>
      </c>
      <c r="F1923" s="42">
        <v>119.0</v>
      </c>
      <c r="G1923" s="29" t="str">
        <f t="shared" si="1"/>
        <v>36119</v>
      </c>
      <c r="H1923" s="37" t="s">
        <v>426</v>
      </c>
      <c r="I1923" s="37" t="s">
        <v>94</v>
      </c>
      <c r="J1923" s="37" t="s">
        <v>250</v>
      </c>
      <c r="K1923" s="136" t="str">
        <f t="shared" si="33"/>
        <v>Westchester, NY</v>
      </c>
      <c r="L1923" s="37">
        <v>315.0</v>
      </c>
      <c r="M1923" s="652">
        <v>1.977961432506887</v>
      </c>
      <c r="N1923" s="37">
        <v>127.0</v>
      </c>
      <c r="O1923" s="37">
        <v>127.0</v>
      </c>
      <c r="P1923" s="37" t="s">
        <v>63</v>
      </c>
      <c r="Q1923" s="37">
        <v>363.0</v>
      </c>
      <c r="R1923" s="37">
        <v>49.0</v>
      </c>
      <c r="S1923" s="37" t="s">
        <v>63</v>
      </c>
      <c r="T1923" s="69">
        <v>0.562</v>
      </c>
      <c r="U1923" s="37" t="s">
        <v>63</v>
      </c>
      <c r="V1923" s="37" t="s">
        <v>63</v>
      </c>
      <c r="W1923" s="37" t="s">
        <v>63</v>
      </c>
      <c r="X1923" s="37" t="s">
        <v>63</v>
      </c>
      <c r="Y1923" s="53">
        <v>418.0</v>
      </c>
      <c r="Z1923" s="69" t="s">
        <v>63</v>
      </c>
      <c r="AA1923" s="73"/>
      <c r="AB1923" s="73"/>
      <c r="AC1923" s="73"/>
      <c r="AD1923" s="73"/>
      <c r="AE1923" s="73"/>
      <c r="AF1923" s="73"/>
      <c r="AG1923" s="73"/>
      <c r="AH1923" s="73"/>
      <c r="AI1923" s="73"/>
      <c r="AJ1923" s="73"/>
      <c r="AK1923" s="73"/>
    </row>
    <row r="1924">
      <c r="A1924" s="28">
        <v>1923.0</v>
      </c>
      <c r="B1924" s="29"/>
      <c r="C1924" s="29"/>
      <c r="D1924" s="40">
        <v>1.0</v>
      </c>
      <c r="E1924" s="31">
        <v>36.0</v>
      </c>
      <c r="F1924" s="42">
        <v>121.0</v>
      </c>
      <c r="G1924" s="29" t="str">
        <f t="shared" si="1"/>
        <v>36121</v>
      </c>
      <c r="H1924" s="37" t="s">
        <v>123</v>
      </c>
      <c r="I1924" s="37" t="s">
        <v>94</v>
      </c>
      <c r="J1924" s="37" t="s">
        <v>250</v>
      </c>
      <c r="K1924" s="37" t="str">
        <f t="shared" si="33"/>
        <v>Wyoming, NY</v>
      </c>
      <c r="L1924" s="37">
        <v>25.0</v>
      </c>
      <c r="M1924" s="652">
        <v>2.238095238095238</v>
      </c>
      <c r="N1924" s="37">
        <v>16.0</v>
      </c>
      <c r="O1924" s="37">
        <v>6.0</v>
      </c>
      <c r="P1924" s="37" t="s">
        <v>63</v>
      </c>
      <c r="Q1924" s="37">
        <v>21.0</v>
      </c>
      <c r="R1924" s="37">
        <v>3.0</v>
      </c>
      <c r="S1924" s="37" t="s">
        <v>63</v>
      </c>
      <c r="T1924" s="69">
        <v>0.571</v>
      </c>
      <c r="U1924" s="37" t="s">
        <v>63</v>
      </c>
      <c r="V1924" s="37" t="s">
        <v>63</v>
      </c>
      <c r="W1924" s="37" t="s">
        <v>63</v>
      </c>
      <c r="X1924" s="37" t="s">
        <v>63</v>
      </c>
      <c r="Y1924" s="53">
        <v>56.0</v>
      </c>
      <c r="Z1924" s="69" t="s">
        <v>63</v>
      </c>
      <c r="AA1924" s="73"/>
      <c r="AB1924" s="73"/>
      <c r="AC1924" s="73"/>
      <c r="AD1924" s="73"/>
      <c r="AE1924" s="73"/>
      <c r="AF1924" s="73"/>
      <c r="AG1924" s="73"/>
      <c r="AH1924" s="73"/>
      <c r="AI1924" s="73"/>
      <c r="AJ1924" s="73"/>
      <c r="AK1924" s="73"/>
    </row>
    <row r="1925">
      <c r="A1925" s="28">
        <v>1924.0</v>
      </c>
      <c r="B1925" s="29"/>
      <c r="C1925" s="29"/>
      <c r="D1925" s="40">
        <v>1.0</v>
      </c>
      <c r="E1925" s="31">
        <v>36.0</v>
      </c>
      <c r="F1925" s="42">
        <v>123.0</v>
      </c>
      <c r="G1925" s="29" t="str">
        <f t="shared" si="1"/>
        <v>36123</v>
      </c>
      <c r="H1925" s="37" t="s">
        <v>1577</v>
      </c>
      <c r="I1925" s="37" t="s">
        <v>94</v>
      </c>
      <c r="J1925" s="37" t="s">
        <v>250</v>
      </c>
      <c r="K1925" s="37" t="str">
        <f t="shared" si="33"/>
        <v>Yates, NY</v>
      </c>
      <c r="L1925" s="37">
        <v>31.0</v>
      </c>
      <c r="M1925" s="652">
        <v>2.55</v>
      </c>
      <c r="N1925" s="37">
        <v>11.0</v>
      </c>
      <c r="O1925" s="37">
        <v>20.0</v>
      </c>
      <c r="P1925" s="37" t="s">
        <v>63</v>
      </c>
      <c r="Q1925" s="37">
        <v>20.0</v>
      </c>
      <c r="R1925" s="37">
        <v>10.0</v>
      </c>
      <c r="S1925" s="37" t="s">
        <v>63</v>
      </c>
      <c r="T1925" s="69">
        <v>0.462</v>
      </c>
      <c r="U1925" s="37" t="s">
        <v>63</v>
      </c>
      <c r="V1925" s="37" t="s">
        <v>63</v>
      </c>
      <c r="W1925" s="37" t="s">
        <v>63</v>
      </c>
      <c r="X1925" s="37" t="s">
        <v>63</v>
      </c>
      <c r="Y1925" s="53">
        <v>31.0</v>
      </c>
      <c r="Z1925" s="69" t="s">
        <v>63</v>
      </c>
      <c r="AA1925" s="73"/>
      <c r="AB1925" s="73"/>
      <c r="AC1925" s="73"/>
      <c r="AD1925" s="73"/>
      <c r="AE1925" s="73"/>
      <c r="AF1925" s="73"/>
      <c r="AG1925" s="73"/>
      <c r="AH1925" s="73"/>
      <c r="AI1925" s="73"/>
      <c r="AJ1925" s="73"/>
      <c r="AK1925" s="73"/>
    </row>
    <row r="1926">
      <c r="A1926" s="99">
        <v>1925.0</v>
      </c>
      <c r="B1926" s="15"/>
      <c r="C1926" s="14" t="s">
        <v>25</v>
      </c>
      <c r="D1926" s="16"/>
      <c r="E1926" s="102">
        <v>37.0</v>
      </c>
      <c r="F1926" s="107">
        <v>0.0</v>
      </c>
      <c r="G1926" s="15" t="str">
        <f t="shared" si="1"/>
        <v>37000</v>
      </c>
      <c r="H1926" s="23"/>
      <c r="I1926" s="23" t="s">
        <v>96</v>
      </c>
      <c r="J1926" s="23" t="s">
        <v>382</v>
      </c>
      <c r="K1926" s="23"/>
      <c r="L1926" s="669">
        <f t="array" ref="L1926:Z1926">'North Carolina'!C104:Q104</f>
        <v>10846</v>
      </c>
      <c r="M1926" s="128" t="s">
        <v>63</v>
      </c>
      <c r="N1926" s="669">
        <v>3889.0</v>
      </c>
      <c r="O1926" s="669">
        <v>1985.0</v>
      </c>
      <c r="P1926" s="128" t="s">
        <v>63</v>
      </c>
      <c r="Q1926" s="131">
        <v>5616.0</v>
      </c>
      <c r="R1926" s="669">
        <v>1154.0</v>
      </c>
      <c r="S1926" s="128" t="s">
        <v>63</v>
      </c>
      <c r="T1926" s="129"/>
      <c r="U1926" s="128" t="s">
        <v>63</v>
      </c>
      <c r="V1926" s="128" t="s">
        <v>63</v>
      </c>
      <c r="W1926" s="128" t="s">
        <v>63</v>
      </c>
      <c r="X1926" s="128" t="s">
        <v>63</v>
      </c>
      <c r="Y1926" s="131">
        <v>12182.0</v>
      </c>
      <c r="Z1926" s="129" t="s">
        <v>63</v>
      </c>
      <c r="AA1926" s="132"/>
      <c r="AB1926" s="132"/>
      <c r="AC1926" s="132"/>
      <c r="AD1926" s="132"/>
      <c r="AE1926" s="132"/>
      <c r="AF1926" s="132"/>
      <c r="AG1926" s="132"/>
      <c r="AH1926" s="132"/>
      <c r="AI1926" s="132"/>
      <c r="AJ1926" s="132"/>
      <c r="AK1926" s="132"/>
    </row>
    <row r="1927">
      <c r="A1927" s="99">
        <v>1926.0</v>
      </c>
      <c r="B1927" s="15"/>
      <c r="C1927" s="15"/>
      <c r="D1927" s="105">
        <v>1.0</v>
      </c>
      <c r="E1927" s="102">
        <v>37.0</v>
      </c>
      <c r="F1927" s="107">
        <v>1.0</v>
      </c>
      <c r="G1927" s="15" t="str">
        <f t="shared" si="1"/>
        <v>37001</v>
      </c>
      <c r="H1927" s="23" t="s">
        <v>1578</v>
      </c>
      <c r="I1927" s="23" t="s">
        <v>96</v>
      </c>
      <c r="J1927" s="23" t="s">
        <v>382</v>
      </c>
      <c r="K1927" s="23" t="str">
        <f t="shared" ref="K1927:K2026" si="34">CONCATENATE(H1927,", ",J1927)</f>
        <v>Alamance, NC</v>
      </c>
      <c r="L1927" s="128">
        <f t="array" ref="L1927:Z2026">'North Carolina'!C3:Q102</f>
        <v>120</v>
      </c>
      <c r="M1927" s="128" t="s">
        <v>63</v>
      </c>
      <c r="N1927" s="128">
        <v>57.0</v>
      </c>
      <c r="O1927" s="128">
        <v>18.0</v>
      </c>
      <c r="P1927" s="128" t="s">
        <v>63</v>
      </c>
      <c r="Q1927" s="128" t="s">
        <v>63</v>
      </c>
      <c r="R1927" s="128" t="s">
        <v>63</v>
      </c>
      <c r="S1927" s="128" t="s">
        <v>63</v>
      </c>
      <c r="T1927" s="129">
        <v>0.0</v>
      </c>
      <c r="U1927" s="128" t="s">
        <v>63</v>
      </c>
      <c r="V1927" s="128" t="s">
        <v>63</v>
      </c>
      <c r="W1927" s="128" t="s">
        <v>63</v>
      </c>
      <c r="X1927" s="128" t="s">
        <v>63</v>
      </c>
      <c r="Y1927" s="131">
        <v>200.0</v>
      </c>
      <c r="Z1927" s="129" t="s">
        <v>63</v>
      </c>
      <c r="AA1927" s="132"/>
      <c r="AB1927" s="132"/>
      <c r="AC1927" s="132"/>
      <c r="AD1927" s="132"/>
      <c r="AE1927" s="132"/>
      <c r="AF1927" s="132"/>
      <c r="AG1927" s="132"/>
      <c r="AH1927" s="132"/>
      <c r="AI1927" s="132"/>
      <c r="AJ1927" s="132"/>
      <c r="AK1927" s="132"/>
    </row>
    <row r="1928">
      <c r="A1928" s="99">
        <v>1927.0</v>
      </c>
      <c r="B1928" s="15"/>
      <c r="C1928" s="15"/>
      <c r="D1928" s="105">
        <v>1.0</v>
      </c>
      <c r="E1928" s="102">
        <v>37.0</v>
      </c>
      <c r="F1928" s="107">
        <v>3.0</v>
      </c>
      <c r="G1928" s="15" t="str">
        <f t="shared" si="1"/>
        <v>37003</v>
      </c>
      <c r="H1928" s="23" t="s">
        <v>704</v>
      </c>
      <c r="I1928" s="23" t="s">
        <v>96</v>
      </c>
      <c r="J1928" s="23" t="s">
        <v>382</v>
      </c>
      <c r="K1928" s="23" t="str">
        <f t="shared" si="34"/>
        <v>Alexander, NC</v>
      </c>
      <c r="L1928" s="128">
        <v>55.0</v>
      </c>
      <c r="M1928" s="128" t="s">
        <v>63</v>
      </c>
      <c r="N1928" s="128">
        <v>14.0</v>
      </c>
      <c r="O1928" s="128">
        <v>17.0</v>
      </c>
      <c r="P1928" s="128" t="s">
        <v>63</v>
      </c>
      <c r="Q1928" s="128" t="s">
        <v>63</v>
      </c>
      <c r="R1928" s="128" t="s">
        <v>63</v>
      </c>
      <c r="S1928" s="128" t="s">
        <v>63</v>
      </c>
      <c r="T1928" s="129">
        <v>0.5</v>
      </c>
      <c r="U1928" s="128" t="s">
        <v>63</v>
      </c>
      <c r="V1928" s="128" t="s">
        <v>63</v>
      </c>
      <c r="W1928" s="128" t="s">
        <v>63</v>
      </c>
      <c r="X1928" s="128" t="s">
        <v>63</v>
      </c>
      <c r="Y1928" s="131">
        <v>62.0</v>
      </c>
      <c r="Z1928" s="129" t="s">
        <v>63</v>
      </c>
      <c r="AA1928" s="132"/>
      <c r="AB1928" s="132"/>
      <c r="AC1928" s="132"/>
      <c r="AD1928" s="132"/>
      <c r="AE1928" s="132"/>
      <c r="AF1928" s="132"/>
      <c r="AG1928" s="132"/>
      <c r="AH1928" s="132"/>
      <c r="AI1928" s="132"/>
      <c r="AJ1928" s="132"/>
      <c r="AK1928" s="132"/>
    </row>
    <row r="1929">
      <c r="A1929" s="99">
        <v>1928.0</v>
      </c>
      <c r="B1929" s="15"/>
      <c r="C1929" s="15"/>
      <c r="D1929" s="105">
        <v>1.0</v>
      </c>
      <c r="E1929" s="102">
        <v>37.0</v>
      </c>
      <c r="F1929" s="107">
        <v>5.0</v>
      </c>
      <c r="G1929" s="15" t="str">
        <f t="shared" si="1"/>
        <v>37005</v>
      </c>
      <c r="H1929" s="23" t="s">
        <v>1579</v>
      </c>
      <c r="I1929" s="23" t="s">
        <v>96</v>
      </c>
      <c r="J1929" s="23" t="s">
        <v>382</v>
      </c>
      <c r="K1929" s="23" t="str">
        <f t="shared" si="34"/>
        <v>Alleghany, NC</v>
      </c>
      <c r="L1929" s="128">
        <v>45.0</v>
      </c>
      <c r="M1929" s="128" t="s">
        <v>63</v>
      </c>
      <c r="N1929" s="128">
        <v>12.0</v>
      </c>
      <c r="O1929" s="128">
        <v>8.0</v>
      </c>
      <c r="P1929" s="128" t="s">
        <v>63</v>
      </c>
      <c r="Q1929" s="128" t="s">
        <v>63</v>
      </c>
      <c r="R1929" s="128" t="s">
        <v>63</v>
      </c>
      <c r="S1929" s="128" t="s">
        <v>63</v>
      </c>
      <c r="T1929" s="129">
        <v>0.75</v>
      </c>
      <c r="U1929" s="128" t="s">
        <v>63</v>
      </c>
      <c r="V1929" s="128" t="s">
        <v>63</v>
      </c>
      <c r="W1929" s="128" t="s">
        <v>63</v>
      </c>
      <c r="X1929" s="128" t="s">
        <v>63</v>
      </c>
      <c r="Y1929" s="131">
        <v>19.0</v>
      </c>
      <c r="Z1929" s="129" t="s">
        <v>63</v>
      </c>
      <c r="AA1929" s="132"/>
      <c r="AB1929" s="132"/>
      <c r="AC1929" s="132"/>
      <c r="AD1929" s="132"/>
      <c r="AE1929" s="132"/>
      <c r="AF1929" s="132"/>
      <c r="AG1929" s="132"/>
      <c r="AH1929" s="132"/>
      <c r="AI1929" s="132"/>
      <c r="AJ1929" s="132"/>
      <c r="AK1929" s="132"/>
    </row>
    <row r="1930">
      <c r="A1930" s="99">
        <v>1929.0</v>
      </c>
      <c r="B1930" s="15"/>
      <c r="C1930" s="15"/>
      <c r="D1930" s="105">
        <v>1.0</v>
      </c>
      <c r="E1930" s="102">
        <v>37.0</v>
      </c>
      <c r="F1930" s="107">
        <v>7.0</v>
      </c>
      <c r="G1930" s="15" t="str">
        <f t="shared" si="1"/>
        <v>37007</v>
      </c>
      <c r="H1930" s="23" t="s">
        <v>1580</v>
      </c>
      <c r="I1930" s="23" t="s">
        <v>96</v>
      </c>
      <c r="J1930" s="23" t="s">
        <v>382</v>
      </c>
      <c r="K1930" s="23" t="str">
        <f t="shared" si="34"/>
        <v>Anson, NC</v>
      </c>
      <c r="L1930" s="128">
        <v>20.0</v>
      </c>
      <c r="M1930" s="128" t="s">
        <v>63</v>
      </c>
      <c r="N1930" s="128">
        <v>5.0</v>
      </c>
      <c r="O1930" s="128">
        <v>4.0</v>
      </c>
      <c r="P1930" s="128" t="s">
        <v>63</v>
      </c>
      <c r="Q1930" s="128" t="s">
        <v>63</v>
      </c>
      <c r="R1930" s="128" t="s">
        <v>63</v>
      </c>
      <c r="S1930" s="128" t="s">
        <v>63</v>
      </c>
      <c r="T1930" s="129">
        <v>0.5</v>
      </c>
      <c r="U1930" s="128" t="s">
        <v>63</v>
      </c>
      <c r="V1930" s="128" t="s">
        <v>63</v>
      </c>
      <c r="W1930" s="128" t="s">
        <v>63</v>
      </c>
      <c r="X1930" s="128" t="s">
        <v>63</v>
      </c>
      <c r="Y1930" s="131">
        <v>80.0</v>
      </c>
      <c r="Z1930" s="129" t="s">
        <v>63</v>
      </c>
      <c r="AA1930" s="132"/>
      <c r="AB1930" s="132"/>
      <c r="AC1930" s="132"/>
      <c r="AD1930" s="132"/>
      <c r="AE1930" s="132"/>
      <c r="AF1930" s="132"/>
      <c r="AG1930" s="132"/>
      <c r="AH1930" s="132"/>
      <c r="AI1930" s="132"/>
      <c r="AJ1930" s="132"/>
      <c r="AK1930" s="132"/>
    </row>
    <row r="1931">
      <c r="A1931" s="99">
        <v>1930.0</v>
      </c>
      <c r="B1931" s="15"/>
      <c r="C1931" s="15"/>
      <c r="D1931" s="105">
        <v>1.0</v>
      </c>
      <c r="E1931" s="102">
        <v>37.0</v>
      </c>
      <c r="F1931" s="107">
        <v>9.0</v>
      </c>
      <c r="G1931" s="15" t="str">
        <f t="shared" si="1"/>
        <v>37009</v>
      </c>
      <c r="H1931" s="23" t="s">
        <v>1581</v>
      </c>
      <c r="I1931" s="23" t="s">
        <v>96</v>
      </c>
      <c r="J1931" s="23" t="s">
        <v>382</v>
      </c>
      <c r="K1931" s="23" t="str">
        <f t="shared" si="34"/>
        <v>Ashe, NC</v>
      </c>
      <c r="L1931" s="23">
        <v>27.0</v>
      </c>
      <c r="M1931" s="23" t="s">
        <v>63</v>
      </c>
      <c r="N1931" s="23">
        <v>6.0</v>
      </c>
      <c r="O1931" s="23">
        <v>3.0</v>
      </c>
      <c r="P1931" s="23" t="s">
        <v>63</v>
      </c>
      <c r="Q1931" s="23" t="s">
        <v>63</v>
      </c>
      <c r="R1931" s="23" t="s">
        <v>63</v>
      </c>
      <c r="S1931" s="23" t="s">
        <v>63</v>
      </c>
      <c r="T1931" s="32">
        <v>0.333</v>
      </c>
      <c r="U1931" s="23" t="s">
        <v>63</v>
      </c>
      <c r="V1931" s="23" t="s">
        <v>63</v>
      </c>
      <c r="W1931" s="23" t="s">
        <v>63</v>
      </c>
      <c r="X1931" s="23" t="s">
        <v>63</v>
      </c>
      <c r="Y1931" s="35">
        <v>51.0</v>
      </c>
      <c r="Z1931" s="32" t="s">
        <v>63</v>
      </c>
      <c r="AA1931" s="38"/>
      <c r="AB1931" s="38"/>
      <c r="AC1931" s="38"/>
      <c r="AD1931" s="38"/>
      <c r="AE1931" s="38"/>
      <c r="AF1931" s="38"/>
      <c r="AG1931" s="38"/>
      <c r="AH1931" s="38"/>
      <c r="AI1931" s="38"/>
      <c r="AJ1931" s="38"/>
      <c r="AK1931" s="38"/>
    </row>
    <row r="1932">
      <c r="A1932" s="99">
        <v>1931.0</v>
      </c>
      <c r="B1932" s="15"/>
      <c r="C1932" s="15"/>
      <c r="D1932" s="105">
        <v>1.0</v>
      </c>
      <c r="E1932" s="102">
        <v>37.0</v>
      </c>
      <c r="F1932" s="107">
        <v>11.0</v>
      </c>
      <c r="G1932" s="15" t="str">
        <f t="shared" si="1"/>
        <v>37011</v>
      </c>
      <c r="H1932" s="23" t="s">
        <v>1582</v>
      </c>
      <c r="I1932" s="23" t="s">
        <v>96</v>
      </c>
      <c r="J1932" s="23" t="s">
        <v>382</v>
      </c>
      <c r="K1932" s="23" t="str">
        <f t="shared" si="34"/>
        <v>Avery, NC</v>
      </c>
      <c r="L1932" s="23">
        <v>25.0</v>
      </c>
      <c r="M1932" s="23" t="s">
        <v>63</v>
      </c>
      <c r="N1932" s="23">
        <v>9.0</v>
      </c>
      <c r="O1932" s="23">
        <v>3.0</v>
      </c>
      <c r="P1932" s="23" t="s">
        <v>63</v>
      </c>
      <c r="Q1932" s="23" t="s">
        <v>63</v>
      </c>
      <c r="R1932" s="23" t="s">
        <v>63</v>
      </c>
      <c r="S1932" s="23" t="s">
        <v>63</v>
      </c>
      <c r="T1932" s="32">
        <v>0.0</v>
      </c>
      <c r="U1932" s="23" t="s">
        <v>63</v>
      </c>
      <c r="V1932" s="23" t="s">
        <v>63</v>
      </c>
      <c r="W1932" s="23" t="s">
        <v>63</v>
      </c>
      <c r="X1932" s="23" t="s">
        <v>63</v>
      </c>
      <c r="Y1932" s="35">
        <v>32.0</v>
      </c>
      <c r="Z1932" s="32" t="s">
        <v>63</v>
      </c>
      <c r="AA1932" s="38"/>
      <c r="AB1932" s="38"/>
      <c r="AC1932" s="38"/>
      <c r="AD1932" s="38"/>
      <c r="AE1932" s="38"/>
      <c r="AF1932" s="38"/>
      <c r="AG1932" s="38"/>
      <c r="AH1932" s="38"/>
      <c r="AI1932" s="38"/>
      <c r="AJ1932" s="38"/>
      <c r="AK1932" s="38"/>
    </row>
    <row r="1933">
      <c r="A1933" s="99">
        <v>1932.0</v>
      </c>
      <c r="B1933" s="15"/>
      <c r="C1933" s="15"/>
      <c r="D1933" s="105">
        <v>1.0</v>
      </c>
      <c r="E1933" s="102">
        <v>37.0</v>
      </c>
      <c r="F1933" s="107">
        <v>13.0</v>
      </c>
      <c r="G1933" s="15" t="str">
        <f t="shared" si="1"/>
        <v>37013</v>
      </c>
      <c r="H1933" s="23" t="s">
        <v>1583</v>
      </c>
      <c r="I1933" s="23" t="s">
        <v>96</v>
      </c>
      <c r="J1933" s="23" t="s">
        <v>382</v>
      </c>
      <c r="K1933" s="23" t="str">
        <f t="shared" si="34"/>
        <v>Beaufort, NC</v>
      </c>
      <c r="L1933" s="23">
        <v>134.0</v>
      </c>
      <c r="M1933" s="23" t="s">
        <v>63</v>
      </c>
      <c r="N1933" s="23">
        <v>54.0</v>
      </c>
      <c r="O1933" s="23">
        <v>41.0</v>
      </c>
      <c r="P1933" s="23" t="s">
        <v>63</v>
      </c>
      <c r="Q1933" s="23" t="s">
        <v>63</v>
      </c>
      <c r="R1933" s="23" t="s">
        <v>63</v>
      </c>
      <c r="S1933" s="23" t="s">
        <v>63</v>
      </c>
      <c r="T1933" s="32">
        <v>0.22</v>
      </c>
      <c r="U1933" s="23" t="s">
        <v>63</v>
      </c>
      <c r="V1933" s="23" t="s">
        <v>63</v>
      </c>
      <c r="W1933" s="23" t="s">
        <v>63</v>
      </c>
      <c r="X1933" s="23" t="s">
        <v>63</v>
      </c>
      <c r="Y1933" s="35">
        <v>115.0</v>
      </c>
      <c r="Z1933" s="32" t="s">
        <v>63</v>
      </c>
      <c r="AA1933" s="38"/>
      <c r="AB1933" s="38"/>
      <c r="AC1933" s="38"/>
      <c r="AD1933" s="38"/>
      <c r="AE1933" s="38"/>
      <c r="AF1933" s="38"/>
      <c r="AG1933" s="38"/>
      <c r="AH1933" s="38"/>
      <c r="AI1933" s="38"/>
      <c r="AJ1933" s="38"/>
      <c r="AK1933" s="38"/>
    </row>
    <row r="1934">
      <c r="A1934" s="99">
        <v>1933.0</v>
      </c>
      <c r="B1934" s="15"/>
      <c r="C1934" s="15"/>
      <c r="D1934" s="105">
        <v>1.0</v>
      </c>
      <c r="E1934" s="102">
        <v>37.0</v>
      </c>
      <c r="F1934" s="107">
        <v>15.0</v>
      </c>
      <c r="G1934" s="15" t="str">
        <f t="shared" si="1"/>
        <v>37015</v>
      </c>
      <c r="H1934" s="23" t="s">
        <v>1584</v>
      </c>
      <c r="I1934" s="23" t="s">
        <v>96</v>
      </c>
      <c r="J1934" s="23" t="s">
        <v>382</v>
      </c>
      <c r="K1934" s="23" t="str">
        <f t="shared" si="34"/>
        <v>Bertie, NC</v>
      </c>
      <c r="L1934" s="23">
        <v>18.0</v>
      </c>
      <c r="M1934" s="23" t="s">
        <v>63</v>
      </c>
      <c r="N1934" s="23">
        <v>6.0</v>
      </c>
      <c r="O1934" s="23">
        <v>7.0</v>
      </c>
      <c r="P1934" s="23" t="s">
        <v>63</v>
      </c>
      <c r="Q1934" s="23" t="s">
        <v>63</v>
      </c>
      <c r="R1934" s="23" t="s">
        <v>63</v>
      </c>
      <c r="S1934" s="23" t="s">
        <v>63</v>
      </c>
      <c r="T1934" s="32" t="s">
        <v>63</v>
      </c>
      <c r="U1934" s="23" t="s">
        <v>63</v>
      </c>
      <c r="V1934" s="23" t="s">
        <v>63</v>
      </c>
      <c r="W1934" s="23" t="s">
        <v>63</v>
      </c>
      <c r="X1934" s="23" t="s">
        <v>63</v>
      </c>
      <c r="Y1934" s="35">
        <v>53.0</v>
      </c>
      <c r="Z1934" s="32" t="s">
        <v>63</v>
      </c>
      <c r="AA1934" s="38"/>
      <c r="AB1934" s="38"/>
      <c r="AC1934" s="38"/>
      <c r="AD1934" s="38"/>
      <c r="AE1934" s="38"/>
      <c r="AF1934" s="38"/>
      <c r="AG1934" s="38"/>
      <c r="AH1934" s="38"/>
      <c r="AI1934" s="38"/>
      <c r="AJ1934" s="38"/>
      <c r="AK1934" s="38"/>
    </row>
    <row r="1935">
      <c r="A1935" s="99">
        <v>1934.0</v>
      </c>
      <c r="B1935" s="15"/>
      <c r="C1935" s="15"/>
      <c r="D1935" s="105">
        <v>1.0</v>
      </c>
      <c r="E1935" s="102">
        <v>37.0</v>
      </c>
      <c r="F1935" s="107">
        <v>17.0</v>
      </c>
      <c r="G1935" s="15" t="str">
        <f t="shared" si="1"/>
        <v>37017</v>
      </c>
      <c r="H1935" s="23" t="s">
        <v>1585</v>
      </c>
      <c r="I1935" s="23" t="s">
        <v>96</v>
      </c>
      <c r="J1935" s="23" t="s">
        <v>382</v>
      </c>
      <c r="K1935" s="23" t="str">
        <f t="shared" si="34"/>
        <v>Bladen, NC</v>
      </c>
      <c r="L1935" s="23">
        <v>40.0</v>
      </c>
      <c r="M1935" s="23" t="s">
        <v>63</v>
      </c>
      <c r="N1935" s="23">
        <v>2.0</v>
      </c>
      <c r="O1935" s="23">
        <v>18.0</v>
      </c>
      <c r="P1935" s="23" t="s">
        <v>63</v>
      </c>
      <c r="Q1935" s="23" t="s">
        <v>63</v>
      </c>
      <c r="R1935" s="23" t="s">
        <v>63</v>
      </c>
      <c r="S1935" s="23" t="s">
        <v>63</v>
      </c>
      <c r="T1935" s="32">
        <v>0.471</v>
      </c>
      <c r="U1935" s="23" t="s">
        <v>63</v>
      </c>
      <c r="V1935" s="23" t="s">
        <v>63</v>
      </c>
      <c r="W1935" s="23" t="s">
        <v>63</v>
      </c>
      <c r="X1935" s="23" t="s">
        <v>63</v>
      </c>
      <c r="Y1935" s="35">
        <v>92.0</v>
      </c>
      <c r="Z1935" s="32" t="s">
        <v>63</v>
      </c>
      <c r="AA1935" s="38"/>
      <c r="AB1935" s="38"/>
      <c r="AC1935" s="38"/>
      <c r="AD1935" s="38"/>
      <c r="AE1935" s="38"/>
      <c r="AF1935" s="38"/>
      <c r="AG1935" s="38"/>
      <c r="AH1935" s="38"/>
      <c r="AI1935" s="38"/>
      <c r="AJ1935" s="38"/>
      <c r="AK1935" s="38"/>
    </row>
    <row r="1936">
      <c r="A1936" s="99">
        <v>1935.0</v>
      </c>
      <c r="B1936" s="15"/>
      <c r="C1936" s="15"/>
      <c r="D1936" s="105">
        <v>1.0</v>
      </c>
      <c r="E1936" s="102">
        <v>37.0</v>
      </c>
      <c r="F1936" s="107">
        <v>19.0</v>
      </c>
      <c r="G1936" s="15" t="str">
        <f t="shared" si="1"/>
        <v>37019</v>
      </c>
      <c r="H1936" s="23" t="s">
        <v>1586</v>
      </c>
      <c r="I1936" s="23" t="s">
        <v>96</v>
      </c>
      <c r="J1936" s="23" t="s">
        <v>382</v>
      </c>
      <c r="K1936" s="23" t="str">
        <f t="shared" si="34"/>
        <v>Brunswick, NC</v>
      </c>
      <c r="L1936" s="23">
        <v>153.0</v>
      </c>
      <c r="M1936" s="23" t="s">
        <v>63</v>
      </c>
      <c r="N1936" s="23">
        <v>49.0</v>
      </c>
      <c r="O1936" s="23">
        <v>52.0</v>
      </c>
      <c r="P1936" s="23" t="s">
        <v>63</v>
      </c>
      <c r="Q1936" s="23" t="s">
        <v>63</v>
      </c>
      <c r="R1936" s="23" t="s">
        <v>63</v>
      </c>
      <c r="S1936" s="23" t="s">
        <v>63</v>
      </c>
      <c r="T1936" s="32">
        <v>0.478</v>
      </c>
      <c r="U1936" s="23" t="s">
        <v>63</v>
      </c>
      <c r="V1936" s="23" t="s">
        <v>63</v>
      </c>
      <c r="W1936" s="23" t="s">
        <v>63</v>
      </c>
      <c r="X1936" s="23" t="s">
        <v>63</v>
      </c>
      <c r="Y1936" s="35">
        <v>135.0</v>
      </c>
      <c r="Z1936" s="32" t="s">
        <v>63</v>
      </c>
      <c r="AA1936" s="38"/>
      <c r="AB1936" s="38"/>
      <c r="AC1936" s="38"/>
      <c r="AD1936" s="38"/>
      <c r="AE1936" s="38"/>
      <c r="AF1936" s="38"/>
      <c r="AG1936" s="38"/>
      <c r="AH1936" s="38"/>
      <c r="AI1936" s="38"/>
      <c r="AJ1936" s="38"/>
      <c r="AK1936" s="38"/>
    </row>
    <row r="1937">
      <c r="A1937" s="99">
        <v>1936.0</v>
      </c>
      <c r="B1937" s="15"/>
      <c r="C1937" s="15"/>
      <c r="D1937" s="105">
        <v>1.0</v>
      </c>
      <c r="E1937" s="102">
        <v>37.0</v>
      </c>
      <c r="F1937" s="107">
        <v>21.0</v>
      </c>
      <c r="G1937" s="15" t="str">
        <f t="shared" si="1"/>
        <v>37021</v>
      </c>
      <c r="H1937" s="23" t="s">
        <v>1587</v>
      </c>
      <c r="I1937" s="23" t="s">
        <v>96</v>
      </c>
      <c r="J1937" s="23" t="s">
        <v>382</v>
      </c>
      <c r="K1937" s="23" t="str">
        <f t="shared" si="34"/>
        <v>Buncombe, NC</v>
      </c>
      <c r="L1937" s="23">
        <v>357.0</v>
      </c>
      <c r="M1937" s="23" t="s">
        <v>63</v>
      </c>
      <c r="N1937" s="23">
        <v>111.0</v>
      </c>
      <c r="O1937" s="23">
        <v>82.0</v>
      </c>
      <c r="P1937" s="23" t="s">
        <v>63</v>
      </c>
      <c r="Q1937" s="23" t="s">
        <v>63</v>
      </c>
      <c r="R1937" s="23" t="s">
        <v>63</v>
      </c>
      <c r="S1937" s="23" t="s">
        <v>63</v>
      </c>
      <c r="T1937" s="32">
        <v>0.45</v>
      </c>
      <c r="U1937" s="23" t="s">
        <v>63</v>
      </c>
      <c r="V1937" s="23" t="s">
        <v>63</v>
      </c>
      <c r="W1937" s="23" t="s">
        <v>63</v>
      </c>
      <c r="X1937" s="23" t="s">
        <v>63</v>
      </c>
      <c r="Y1937" s="35">
        <v>266.0</v>
      </c>
      <c r="Z1937" s="32" t="s">
        <v>63</v>
      </c>
      <c r="AA1937" s="38"/>
      <c r="AB1937" s="38"/>
      <c r="AC1937" s="38"/>
      <c r="AD1937" s="38"/>
      <c r="AE1937" s="38"/>
      <c r="AF1937" s="38"/>
      <c r="AG1937" s="38"/>
      <c r="AH1937" s="38"/>
      <c r="AI1937" s="38"/>
      <c r="AJ1937" s="38"/>
      <c r="AK1937" s="38"/>
    </row>
    <row r="1938">
      <c r="A1938" s="99">
        <v>1937.0</v>
      </c>
      <c r="B1938" s="15"/>
      <c r="C1938" s="15"/>
      <c r="D1938" s="105">
        <v>1.0</v>
      </c>
      <c r="E1938" s="102">
        <v>37.0</v>
      </c>
      <c r="F1938" s="107">
        <v>23.0</v>
      </c>
      <c r="G1938" s="15" t="str">
        <f t="shared" si="1"/>
        <v>37023</v>
      </c>
      <c r="H1938" s="23" t="s">
        <v>546</v>
      </c>
      <c r="I1938" s="23" t="s">
        <v>96</v>
      </c>
      <c r="J1938" s="23" t="s">
        <v>382</v>
      </c>
      <c r="K1938" s="23" t="str">
        <f t="shared" si="34"/>
        <v>Burke, NC</v>
      </c>
      <c r="L1938" s="23">
        <v>204.0</v>
      </c>
      <c r="M1938" s="23" t="s">
        <v>63</v>
      </c>
      <c r="N1938" s="23">
        <v>86.0</v>
      </c>
      <c r="O1938" s="23">
        <v>51.0</v>
      </c>
      <c r="P1938" s="23" t="s">
        <v>63</v>
      </c>
      <c r="Q1938" s="23" t="s">
        <v>63</v>
      </c>
      <c r="R1938" s="23" t="s">
        <v>63</v>
      </c>
      <c r="S1938" s="23" t="s">
        <v>63</v>
      </c>
      <c r="T1938" s="32">
        <v>0.429</v>
      </c>
      <c r="U1938" s="23" t="s">
        <v>63</v>
      </c>
      <c r="V1938" s="23" t="s">
        <v>63</v>
      </c>
      <c r="W1938" s="23" t="s">
        <v>63</v>
      </c>
      <c r="X1938" s="23" t="s">
        <v>63</v>
      </c>
      <c r="Y1938" s="35">
        <v>131.0</v>
      </c>
      <c r="Z1938" s="32" t="s">
        <v>63</v>
      </c>
      <c r="AA1938" s="38"/>
      <c r="AB1938" s="38"/>
      <c r="AC1938" s="38"/>
      <c r="AD1938" s="38"/>
      <c r="AE1938" s="38"/>
      <c r="AF1938" s="38"/>
      <c r="AG1938" s="38"/>
      <c r="AH1938" s="38"/>
      <c r="AI1938" s="38"/>
      <c r="AJ1938" s="38"/>
      <c r="AK1938" s="38"/>
    </row>
    <row r="1939">
      <c r="A1939" s="99">
        <v>1938.0</v>
      </c>
      <c r="B1939" s="15"/>
      <c r="C1939" s="15"/>
      <c r="D1939" s="105">
        <v>1.0</v>
      </c>
      <c r="E1939" s="102">
        <v>37.0</v>
      </c>
      <c r="F1939" s="107">
        <v>25.0</v>
      </c>
      <c r="G1939" s="15" t="str">
        <f t="shared" si="1"/>
        <v>37025</v>
      </c>
      <c r="H1939" s="23" t="s">
        <v>1588</v>
      </c>
      <c r="I1939" s="23" t="s">
        <v>96</v>
      </c>
      <c r="J1939" s="23" t="s">
        <v>382</v>
      </c>
      <c r="K1939" s="23" t="str">
        <f t="shared" si="34"/>
        <v>Cabarrus, NC</v>
      </c>
      <c r="L1939" s="23">
        <v>187.0</v>
      </c>
      <c r="M1939" s="23" t="s">
        <v>63</v>
      </c>
      <c r="N1939" s="23">
        <v>73.0</v>
      </c>
      <c r="O1939" s="23">
        <v>41.0</v>
      </c>
      <c r="P1939" s="23" t="s">
        <v>63</v>
      </c>
      <c r="Q1939" s="23" t="s">
        <v>63</v>
      </c>
      <c r="R1939" s="23" t="s">
        <v>63</v>
      </c>
      <c r="S1939" s="23" t="s">
        <v>63</v>
      </c>
      <c r="T1939" s="32">
        <v>0.273</v>
      </c>
      <c r="U1939" s="23" t="s">
        <v>63</v>
      </c>
      <c r="V1939" s="23" t="s">
        <v>63</v>
      </c>
      <c r="W1939" s="23" t="s">
        <v>63</v>
      </c>
      <c r="X1939" s="23" t="s">
        <v>63</v>
      </c>
      <c r="Y1939" s="35">
        <v>211.0</v>
      </c>
      <c r="Z1939" s="32" t="s">
        <v>63</v>
      </c>
      <c r="AA1939" s="38"/>
      <c r="AB1939" s="38"/>
      <c r="AC1939" s="38"/>
      <c r="AD1939" s="38"/>
      <c r="AE1939" s="38"/>
      <c r="AF1939" s="38"/>
      <c r="AG1939" s="38"/>
      <c r="AH1939" s="38"/>
      <c r="AI1939" s="38"/>
      <c r="AJ1939" s="38"/>
      <c r="AK1939" s="38"/>
    </row>
    <row r="1940">
      <c r="A1940" s="99">
        <v>1939.0</v>
      </c>
      <c r="B1940" s="15"/>
      <c r="C1940" s="15"/>
      <c r="D1940" s="105">
        <v>1.0</v>
      </c>
      <c r="E1940" s="102">
        <v>37.0</v>
      </c>
      <c r="F1940" s="107">
        <v>27.0</v>
      </c>
      <c r="G1940" s="15" t="str">
        <f t="shared" si="1"/>
        <v>37027</v>
      </c>
      <c r="H1940" s="23" t="s">
        <v>1034</v>
      </c>
      <c r="I1940" s="23" t="s">
        <v>96</v>
      </c>
      <c r="J1940" s="23" t="s">
        <v>382</v>
      </c>
      <c r="K1940" s="23" t="str">
        <f t="shared" si="34"/>
        <v>Caldwell, NC</v>
      </c>
      <c r="L1940" s="23">
        <v>166.0</v>
      </c>
      <c r="M1940" s="23" t="s">
        <v>63</v>
      </c>
      <c r="N1940" s="23">
        <v>53.0</v>
      </c>
      <c r="O1940" s="23">
        <v>55.0</v>
      </c>
      <c r="P1940" s="23" t="s">
        <v>63</v>
      </c>
      <c r="Q1940" s="23" t="s">
        <v>63</v>
      </c>
      <c r="R1940" s="23" t="s">
        <v>63</v>
      </c>
      <c r="S1940" s="23" t="s">
        <v>63</v>
      </c>
      <c r="T1940" s="32">
        <v>0.375</v>
      </c>
      <c r="U1940" s="23" t="s">
        <v>63</v>
      </c>
      <c r="V1940" s="23" t="s">
        <v>63</v>
      </c>
      <c r="W1940" s="23" t="s">
        <v>63</v>
      </c>
      <c r="X1940" s="23" t="s">
        <v>63</v>
      </c>
      <c r="Y1940" s="35">
        <v>124.0</v>
      </c>
      <c r="Z1940" s="32" t="s">
        <v>63</v>
      </c>
      <c r="AA1940" s="38"/>
      <c r="AB1940" s="38"/>
      <c r="AC1940" s="38"/>
      <c r="AD1940" s="38"/>
      <c r="AE1940" s="38"/>
      <c r="AF1940" s="38"/>
      <c r="AG1940" s="38"/>
      <c r="AH1940" s="38"/>
      <c r="AI1940" s="38"/>
      <c r="AJ1940" s="38"/>
      <c r="AK1940" s="38"/>
    </row>
    <row r="1941">
      <c r="A1941" s="99">
        <v>1940.0</v>
      </c>
      <c r="B1941" s="15"/>
      <c r="C1941" s="15"/>
      <c r="D1941" s="105">
        <v>1.0</v>
      </c>
      <c r="E1941" s="102">
        <v>37.0</v>
      </c>
      <c r="F1941" s="107">
        <v>29.0</v>
      </c>
      <c r="G1941" s="15" t="str">
        <f t="shared" si="1"/>
        <v>37029</v>
      </c>
      <c r="H1941" s="23" t="s">
        <v>548</v>
      </c>
      <c r="I1941" s="23" t="s">
        <v>96</v>
      </c>
      <c r="J1941" s="23" t="s">
        <v>382</v>
      </c>
      <c r="K1941" s="23" t="str">
        <f t="shared" si="34"/>
        <v>Camden, NC</v>
      </c>
      <c r="L1941" s="23">
        <v>3.0</v>
      </c>
      <c r="M1941" s="23" t="s">
        <v>63</v>
      </c>
      <c r="N1941" s="23">
        <v>1.0</v>
      </c>
      <c r="O1941" s="23">
        <v>0.0</v>
      </c>
      <c r="P1941" s="23" t="s">
        <v>63</v>
      </c>
      <c r="Q1941" s="23" t="s">
        <v>63</v>
      </c>
      <c r="R1941" s="23" t="s">
        <v>63</v>
      </c>
      <c r="S1941" s="23" t="s">
        <v>63</v>
      </c>
      <c r="T1941" s="32" t="s">
        <v>63</v>
      </c>
      <c r="U1941" s="23" t="s">
        <v>63</v>
      </c>
      <c r="V1941" s="23" t="s">
        <v>63</v>
      </c>
      <c r="W1941" s="23" t="s">
        <v>63</v>
      </c>
      <c r="X1941" s="23" t="s">
        <v>63</v>
      </c>
      <c r="Y1941" s="35">
        <v>21.0</v>
      </c>
      <c r="Z1941" s="32" t="s">
        <v>63</v>
      </c>
      <c r="AA1941" s="38"/>
      <c r="AB1941" s="38"/>
      <c r="AC1941" s="38"/>
      <c r="AD1941" s="38"/>
      <c r="AE1941" s="38"/>
      <c r="AF1941" s="38"/>
      <c r="AG1941" s="38"/>
      <c r="AH1941" s="38"/>
      <c r="AI1941" s="38"/>
      <c r="AJ1941" s="38"/>
      <c r="AK1941" s="38"/>
    </row>
    <row r="1942">
      <c r="A1942" s="99">
        <v>1941.0</v>
      </c>
      <c r="B1942" s="15"/>
      <c r="C1942" s="15"/>
      <c r="D1942" s="105">
        <v>1.0</v>
      </c>
      <c r="E1942" s="102">
        <v>37.0</v>
      </c>
      <c r="F1942" s="107">
        <v>31.0</v>
      </c>
      <c r="G1942" s="15" t="str">
        <f t="shared" si="1"/>
        <v>37031</v>
      </c>
      <c r="H1942" s="23" t="s">
        <v>1589</v>
      </c>
      <c r="I1942" s="23" t="s">
        <v>96</v>
      </c>
      <c r="J1942" s="23" t="s">
        <v>382</v>
      </c>
      <c r="K1942" s="23" t="str">
        <f t="shared" si="34"/>
        <v>Carteret, NC</v>
      </c>
      <c r="L1942" s="23">
        <v>68.0</v>
      </c>
      <c r="M1942" s="23" t="s">
        <v>63</v>
      </c>
      <c r="N1942" s="23">
        <v>17.0</v>
      </c>
      <c r="O1942" s="23">
        <v>15.0</v>
      </c>
      <c r="P1942" s="23" t="s">
        <v>63</v>
      </c>
      <c r="Q1942" s="23" t="s">
        <v>63</v>
      </c>
      <c r="R1942" s="23" t="s">
        <v>63</v>
      </c>
      <c r="S1942" s="23" t="s">
        <v>63</v>
      </c>
      <c r="T1942" s="32">
        <v>0.286</v>
      </c>
      <c r="U1942" s="23" t="s">
        <v>63</v>
      </c>
      <c r="V1942" s="23" t="s">
        <v>63</v>
      </c>
      <c r="W1942" s="23" t="s">
        <v>63</v>
      </c>
      <c r="X1942" s="23" t="s">
        <v>63</v>
      </c>
      <c r="Y1942" s="35">
        <v>83.0</v>
      </c>
      <c r="Z1942" s="32" t="s">
        <v>63</v>
      </c>
      <c r="AA1942" s="38"/>
      <c r="AB1942" s="38"/>
      <c r="AC1942" s="38"/>
      <c r="AD1942" s="38"/>
      <c r="AE1942" s="38"/>
      <c r="AF1942" s="38"/>
      <c r="AG1942" s="38"/>
      <c r="AH1942" s="38"/>
      <c r="AI1942" s="38"/>
      <c r="AJ1942" s="38"/>
      <c r="AK1942" s="38"/>
    </row>
    <row r="1943">
      <c r="A1943" s="99">
        <v>1942.0</v>
      </c>
      <c r="B1943" s="15"/>
      <c r="C1943" s="15"/>
      <c r="D1943" s="105">
        <v>1.0</v>
      </c>
      <c r="E1943" s="102">
        <v>37.0</v>
      </c>
      <c r="F1943" s="107">
        <v>33.0</v>
      </c>
      <c r="G1943" s="15" t="str">
        <f t="shared" si="1"/>
        <v>37033</v>
      </c>
      <c r="H1943" s="23" t="s">
        <v>1590</v>
      </c>
      <c r="I1943" s="23" t="s">
        <v>96</v>
      </c>
      <c r="J1943" s="23" t="s">
        <v>382</v>
      </c>
      <c r="K1943" s="23" t="str">
        <f t="shared" si="34"/>
        <v>Caswell, NC</v>
      </c>
      <c r="L1943" s="23">
        <v>24.0</v>
      </c>
      <c r="M1943" s="23" t="s">
        <v>63</v>
      </c>
      <c r="N1943" s="23">
        <v>8.0</v>
      </c>
      <c r="O1943" s="23">
        <v>7.0</v>
      </c>
      <c r="P1943" s="23" t="s">
        <v>63</v>
      </c>
      <c r="Q1943" s="23" t="s">
        <v>63</v>
      </c>
      <c r="R1943" s="23" t="s">
        <v>63</v>
      </c>
      <c r="S1943" s="23" t="s">
        <v>63</v>
      </c>
      <c r="T1943" s="32">
        <v>0.333</v>
      </c>
      <c r="U1943" s="23" t="s">
        <v>63</v>
      </c>
      <c r="V1943" s="23" t="s">
        <v>63</v>
      </c>
      <c r="W1943" s="23" t="s">
        <v>63</v>
      </c>
      <c r="X1943" s="23" t="s">
        <v>63</v>
      </c>
      <c r="Y1943" s="35">
        <v>59.0</v>
      </c>
      <c r="Z1943" s="32" t="s">
        <v>63</v>
      </c>
      <c r="AA1943" s="38"/>
      <c r="AB1943" s="38"/>
      <c r="AC1943" s="38"/>
      <c r="AD1943" s="38"/>
      <c r="AE1943" s="38"/>
      <c r="AF1943" s="38"/>
      <c r="AG1943" s="38"/>
      <c r="AH1943" s="38"/>
      <c r="AI1943" s="38"/>
      <c r="AJ1943" s="38"/>
      <c r="AK1943" s="38"/>
    </row>
    <row r="1944">
      <c r="A1944" s="99">
        <v>1943.0</v>
      </c>
      <c r="B1944" s="15"/>
      <c r="C1944" s="15"/>
      <c r="D1944" s="105">
        <v>1.0</v>
      </c>
      <c r="E1944" s="102">
        <v>37.0</v>
      </c>
      <c r="F1944" s="107">
        <v>35.0</v>
      </c>
      <c r="G1944" s="15" t="str">
        <f t="shared" si="1"/>
        <v>37035</v>
      </c>
      <c r="H1944" s="23" t="s">
        <v>1591</v>
      </c>
      <c r="I1944" s="23" t="s">
        <v>96</v>
      </c>
      <c r="J1944" s="23" t="s">
        <v>382</v>
      </c>
      <c r="K1944" s="23" t="str">
        <f t="shared" si="34"/>
        <v>Catawba, NC</v>
      </c>
      <c r="L1944" s="23">
        <v>193.0</v>
      </c>
      <c r="M1944" s="23" t="s">
        <v>63</v>
      </c>
      <c r="N1944" s="23">
        <v>53.0</v>
      </c>
      <c r="O1944" s="23">
        <v>45.0</v>
      </c>
      <c r="P1944" s="23" t="s">
        <v>63</v>
      </c>
      <c r="Q1944" s="23" t="s">
        <v>63</v>
      </c>
      <c r="R1944" s="23" t="s">
        <v>63</v>
      </c>
      <c r="S1944" s="23" t="s">
        <v>63</v>
      </c>
      <c r="T1944" s="32">
        <v>0.222</v>
      </c>
      <c r="U1944" s="23" t="s">
        <v>63</v>
      </c>
      <c r="V1944" s="23" t="s">
        <v>63</v>
      </c>
      <c r="W1944" s="23" t="s">
        <v>63</v>
      </c>
      <c r="X1944" s="23" t="s">
        <v>63</v>
      </c>
      <c r="Y1944" s="35">
        <v>224.0</v>
      </c>
      <c r="Z1944" s="32" t="s">
        <v>63</v>
      </c>
      <c r="AA1944" s="38"/>
      <c r="AB1944" s="38"/>
      <c r="AC1944" s="38"/>
      <c r="AD1944" s="38"/>
      <c r="AE1944" s="38"/>
      <c r="AF1944" s="38"/>
      <c r="AG1944" s="38"/>
      <c r="AH1944" s="38"/>
      <c r="AI1944" s="38"/>
      <c r="AJ1944" s="38"/>
      <c r="AK1944" s="38"/>
    </row>
    <row r="1945">
      <c r="A1945" s="99">
        <v>1944.0</v>
      </c>
      <c r="B1945" s="15"/>
      <c r="C1945" s="15"/>
      <c r="D1945" s="105">
        <v>1.0</v>
      </c>
      <c r="E1945" s="102">
        <v>37.0</v>
      </c>
      <c r="F1945" s="107">
        <v>37.0</v>
      </c>
      <c r="G1945" s="15" t="str">
        <f t="shared" si="1"/>
        <v>37037</v>
      </c>
      <c r="H1945" s="23" t="s">
        <v>552</v>
      </c>
      <c r="I1945" s="23" t="s">
        <v>96</v>
      </c>
      <c r="J1945" s="23" t="s">
        <v>382</v>
      </c>
      <c r="K1945" s="23" t="str">
        <f t="shared" si="34"/>
        <v>Chatham, NC</v>
      </c>
      <c r="L1945" s="23">
        <v>100.0</v>
      </c>
      <c r="M1945" s="23" t="s">
        <v>63</v>
      </c>
      <c r="N1945" s="23">
        <v>52.0</v>
      </c>
      <c r="O1945" s="23">
        <v>22.0</v>
      </c>
      <c r="P1945" s="23" t="s">
        <v>63</v>
      </c>
      <c r="Q1945" s="23" t="s">
        <v>63</v>
      </c>
      <c r="R1945" s="23" t="s">
        <v>63</v>
      </c>
      <c r="S1945" s="23" t="s">
        <v>63</v>
      </c>
      <c r="T1945" s="32">
        <v>0.3</v>
      </c>
      <c r="U1945" s="23" t="s">
        <v>63</v>
      </c>
      <c r="V1945" s="23" t="s">
        <v>63</v>
      </c>
      <c r="W1945" s="23" t="s">
        <v>63</v>
      </c>
      <c r="X1945" s="23" t="s">
        <v>63</v>
      </c>
      <c r="Y1945" s="35">
        <v>114.0</v>
      </c>
      <c r="Z1945" s="32" t="s">
        <v>63</v>
      </c>
      <c r="AA1945" s="38"/>
      <c r="AB1945" s="38"/>
      <c r="AC1945" s="38"/>
      <c r="AD1945" s="38"/>
      <c r="AE1945" s="38"/>
      <c r="AF1945" s="38"/>
      <c r="AG1945" s="38"/>
      <c r="AH1945" s="38"/>
      <c r="AI1945" s="38"/>
      <c r="AJ1945" s="38"/>
      <c r="AK1945" s="38"/>
    </row>
    <row r="1946">
      <c r="A1946" s="99">
        <v>1945.0</v>
      </c>
      <c r="B1946" s="15"/>
      <c r="C1946" s="15"/>
      <c r="D1946" s="105">
        <v>1.0</v>
      </c>
      <c r="E1946" s="102">
        <v>37.0</v>
      </c>
      <c r="F1946" s="107">
        <v>39.0</v>
      </c>
      <c r="G1946" s="15" t="str">
        <f t="shared" si="1"/>
        <v>37039</v>
      </c>
      <c r="H1946" s="23" t="s">
        <v>101</v>
      </c>
      <c r="I1946" s="23" t="s">
        <v>96</v>
      </c>
      <c r="J1946" s="23" t="s">
        <v>382</v>
      </c>
      <c r="K1946" s="23" t="str">
        <f t="shared" si="34"/>
        <v>Cherokee, NC</v>
      </c>
      <c r="L1946" s="23">
        <v>55.0</v>
      </c>
      <c r="M1946" s="23" t="s">
        <v>63</v>
      </c>
      <c r="N1946" s="23">
        <v>13.0</v>
      </c>
      <c r="O1946" s="23">
        <v>9.0</v>
      </c>
      <c r="P1946" s="23" t="s">
        <v>63</v>
      </c>
      <c r="Q1946" s="23" t="s">
        <v>63</v>
      </c>
      <c r="R1946" s="23" t="s">
        <v>63</v>
      </c>
      <c r="S1946" s="23" t="s">
        <v>63</v>
      </c>
      <c r="T1946" s="32">
        <v>0.6</v>
      </c>
      <c r="U1946" s="23" t="s">
        <v>63</v>
      </c>
      <c r="V1946" s="23" t="s">
        <v>63</v>
      </c>
      <c r="W1946" s="23" t="s">
        <v>63</v>
      </c>
      <c r="X1946" s="23" t="s">
        <v>63</v>
      </c>
      <c r="Y1946" s="35">
        <v>55.0</v>
      </c>
      <c r="Z1946" s="32" t="s">
        <v>63</v>
      </c>
      <c r="AA1946" s="38"/>
      <c r="AB1946" s="38"/>
      <c r="AC1946" s="38"/>
      <c r="AD1946" s="38"/>
      <c r="AE1946" s="38"/>
      <c r="AF1946" s="38"/>
      <c r="AG1946" s="38"/>
      <c r="AH1946" s="38"/>
      <c r="AI1946" s="38"/>
      <c r="AJ1946" s="38"/>
      <c r="AK1946" s="38"/>
    </row>
    <row r="1947">
      <c r="A1947" s="99">
        <v>1946.0</v>
      </c>
      <c r="B1947" s="15"/>
      <c r="C1947" s="15"/>
      <c r="D1947" s="105">
        <v>1.0</v>
      </c>
      <c r="E1947" s="102">
        <v>37.0</v>
      </c>
      <c r="F1947" s="107">
        <v>41.0</v>
      </c>
      <c r="G1947" s="15" t="str">
        <f t="shared" si="1"/>
        <v>37041</v>
      </c>
      <c r="H1947" s="23" t="s">
        <v>1592</v>
      </c>
      <c r="I1947" s="23" t="s">
        <v>96</v>
      </c>
      <c r="J1947" s="23" t="s">
        <v>382</v>
      </c>
      <c r="K1947" s="23" t="str">
        <f t="shared" si="34"/>
        <v>Chowan, NC</v>
      </c>
      <c r="L1947" s="23">
        <v>15.0</v>
      </c>
      <c r="M1947" s="23" t="s">
        <v>63</v>
      </c>
      <c r="N1947" s="23">
        <v>14.0</v>
      </c>
      <c r="O1947" s="23">
        <v>0.0</v>
      </c>
      <c r="P1947" s="23" t="s">
        <v>63</v>
      </c>
      <c r="Q1947" s="23" t="s">
        <v>63</v>
      </c>
      <c r="R1947" s="23" t="s">
        <v>63</v>
      </c>
      <c r="S1947" s="23" t="s">
        <v>63</v>
      </c>
      <c r="T1947" s="32">
        <v>0.25</v>
      </c>
      <c r="U1947" s="23" t="s">
        <v>63</v>
      </c>
      <c r="V1947" s="23" t="s">
        <v>63</v>
      </c>
      <c r="W1947" s="23" t="s">
        <v>63</v>
      </c>
      <c r="X1947" s="23" t="s">
        <v>63</v>
      </c>
      <c r="Y1947" s="35">
        <v>30.0</v>
      </c>
      <c r="Z1947" s="32" t="s">
        <v>63</v>
      </c>
      <c r="AA1947" s="38"/>
      <c r="AB1947" s="38"/>
      <c r="AC1947" s="38"/>
      <c r="AD1947" s="38"/>
      <c r="AE1947" s="38"/>
      <c r="AF1947" s="38"/>
      <c r="AG1947" s="38"/>
      <c r="AH1947" s="38"/>
      <c r="AI1947" s="38"/>
      <c r="AJ1947" s="38"/>
      <c r="AK1947" s="38"/>
    </row>
    <row r="1948">
      <c r="A1948" s="99">
        <v>1947.0</v>
      </c>
      <c r="B1948" s="15"/>
      <c r="C1948" s="15"/>
      <c r="D1948" s="105">
        <v>1.0</v>
      </c>
      <c r="E1948" s="102">
        <v>37.0</v>
      </c>
      <c r="F1948" s="107">
        <v>43.0</v>
      </c>
      <c r="G1948" s="15" t="str">
        <f t="shared" si="1"/>
        <v>37043</v>
      </c>
      <c r="H1948" s="23" t="s">
        <v>112</v>
      </c>
      <c r="I1948" s="23" t="s">
        <v>96</v>
      </c>
      <c r="J1948" s="23" t="s">
        <v>382</v>
      </c>
      <c r="K1948" s="23" t="str">
        <f t="shared" si="34"/>
        <v>Clay, NC</v>
      </c>
      <c r="L1948" s="23">
        <v>22.0</v>
      </c>
      <c r="M1948" s="23" t="s">
        <v>63</v>
      </c>
      <c r="N1948" s="23">
        <v>8.0</v>
      </c>
      <c r="O1948" s="23">
        <v>6.0</v>
      </c>
      <c r="P1948" s="23" t="s">
        <v>63</v>
      </c>
      <c r="Q1948" s="23" t="s">
        <v>63</v>
      </c>
      <c r="R1948" s="23" t="s">
        <v>63</v>
      </c>
      <c r="S1948" s="23" t="s">
        <v>63</v>
      </c>
      <c r="T1948" s="32">
        <v>0.0</v>
      </c>
      <c r="U1948" s="23" t="s">
        <v>63</v>
      </c>
      <c r="V1948" s="23" t="s">
        <v>63</v>
      </c>
      <c r="W1948" s="23" t="s">
        <v>63</v>
      </c>
      <c r="X1948" s="23" t="s">
        <v>63</v>
      </c>
      <c r="Y1948" s="35">
        <v>29.0</v>
      </c>
      <c r="Z1948" s="32" t="s">
        <v>63</v>
      </c>
      <c r="AA1948" s="38"/>
      <c r="AB1948" s="38"/>
      <c r="AC1948" s="38"/>
      <c r="AD1948" s="38"/>
      <c r="AE1948" s="38"/>
      <c r="AF1948" s="38"/>
      <c r="AG1948" s="38"/>
      <c r="AH1948" s="38"/>
      <c r="AI1948" s="38"/>
      <c r="AJ1948" s="38"/>
      <c r="AK1948" s="38"/>
    </row>
    <row r="1949">
      <c r="A1949" s="99">
        <v>1948.0</v>
      </c>
      <c r="B1949" s="15"/>
      <c r="C1949" s="15"/>
      <c r="D1949" s="105">
        <v>1.0</v>
      </c>
      <c r="E1949" s="102">
        <v>37.0</v>
      </c>
      <c r="F1949" s="107">
        <v>45.0</v>
      </c>
      <c r="G1949" s="15" t="str">
        <f t="shared" si="1"/>
        <v>37045</v>
      </c>
      <c r="H1949" s="23" t="s">
        <v>257</v>
      </c>
      <c r="I1949" s="23" t="s">
        <v>96</v>
      </c>
      <c r="J1949" s="23" t="s">
        <v>382</v>
      </c>
      <c r="K1949" s="23" t="str">
        <f t="shared" si="34"/>
        <v>Cleveland, NC</v>
      </c>
      <c r="L1949" s="23">
        <v>223.0</v>
      </c>
      <c r="M1949" s="23" t="s">
        <v>63</v>
      </c>
      <c r="N1949" s="23">
        <v>87.0</v>
      </c>
      <c r="O1949" s="23">
        <v>70.0</v>
      </c>
      <c r="P1949" s="23" t="s">
        <v>63</v>
      </c>
      <c r="Q1949" s="23" t="s">
        <v>63</v>
      </c>
      <c r="R1949" s="23" t="s">
        <v>63</v>
      </c>
      <c r="S1949" s="23" t="s">
        <v>63</v>
      </c>
      <c r="T1949" s="32">
        <v>0.429</v>
      </c>
      <c r="U1949" s="23" t="s">
        <v>63</v>
      </c>
      <c r="V1949" s="23" t="s">
        <v>63</v>
      </c>
      <c r="W1949" s="23" t="s">
        <v>63</v>
      </c>
      <c r="X1949" s="23" t="s">
        <v>63</v>
      </c>
      <c r="Y1949" s="35">
        <v>173.0</v>
      </c>
      <c r="Z1949" s="32" t="s">
        <v>63</v>
      </c>
      <c r="AA1949" s="38"/>
      <c r="AB1949" s="38"/>
      <c r="AC1949" s="38"/>
      <c r="AD1949" s="38"/>
      <c r="AE1949" s="38"/>
      <c r="AF1949" s="38"/>
      <c r="AG1949" s="38"/>
      <c r="AH1949" s="38"/>
      <c r="AI1949" s="38"/>
      <c r="AJ1949" s="38"/>
      <c r="AK1949" s="38"/>
    </row>
    <row r="1950">
      <c r="A1950" s="99">
        <v>1949.0</v>
      </c>
      <c r="B1950" s="15"/>
      <c r="C1950" s="15"/>
      <c r="D1950" s="105">
        <v>1.0</v>
      </c>
      <c r="E1950" s="102">
        <v>37.0</v>
      </c>
      <c r="F1950" s="107">
        <v>47.0</v>
      </c>
      <c r="G1950" s="15" t="str">
        <f t="shared" si="1"/>
        <v>37047</v>
      </c>
      <c r="H1950" s="23" t="s">
        <v>1593</v>
      </c>
      <c r="I1950" s="23" t="s">
        <v>96</v>
      </c>
      <c r="J1950" s="23" t="s">
        <v>382</v>
      </c>
      <c r="K1950" s="23" t="str">
        <f t="shared" si="34"/>
        <v>Columbus, NC</v>
      </c>
      <c r="L1950" s="23">
        <v>98.0</v>
      </c>
      <c r="M1950" s="23" t="s">
        <v>63</v>
      </c>
      <c r="N1950" s="23">
        <v>27.0</v>
      </c>
      <c r="O1950" s="23">
        <v>34.0</v>
      </c>
      <c r="P1950" s="23" t="s">
        <v>63</v>
      </c>
      <c r="Q1950" s="23" t="s">
        <v>63</v>
      </c>
      <c r="R1950" s="23" t="s">
        <v>63</v>
      </c>
      <c r="S1950" s="23" t="s">
        <v>63</v>
      </c>
      <c r="T1950" s="32">
        <v>0.75</v>
      </c>
      <c r="U1950" s="23" t="s">
        <v>63</v>
      </c>
      <c r="V1950" s="23" t="s">
        <v>63</v>
      </c>
      <c r="W1950" s="23" t="s">
        <v>63</v>
      </c>
      <c r="X1950" s="23" t="s">
        <v>63</v>
      </c>
      <c r="Y1950" s="35">
        <v>121.0</v>
      </c>
      <c r="Z1950" s="32" t="s">
        <v>63</v>
      </c>
      <c r="AA1950" s="38"/>
      <c r="AB1950" s="38"/>
      <c r="AC1950" s="38"/>
      <c r="AD1950" s="38"/>
      <c r="AE1950" s="38"/>
      <c r="AF1950" s="38"/>
      <c r="AG1950" s="38"/>
      <c r="AH1950" s="38"/>
      <c r="AI1950" s="38"/>
      <c r="AJ1950" s="38"/>
      <c r="AK1950" s="38"/>
    </row>
    <row r="1951">
      <c r="A1951" s="99">
        <v>1950.0</v>
      </c>
      <c r="B1951" s="15"/>
      <c r="C1951" s="15"/>
      <c r="D1951" s="105">
        <v>1.0</v>
      </c>
      <c r="E1951" s="102">
        <v>37.0</v>
      </c>
      <c r="F1951" s="107">
        <v>49.0</v>
      </c>
      <c r="G1951" s="15" t="str">
        <f t="shared" si="1"/>
        <v>37049</v>
      </c>
      <c r="H1951" s="23" t="s">
        <v>1594</v>
      </c>
      <c r="I1951" s="23" t="s">
        <v>96</v>
      </c>
      <c r="J1951" s="23" t="s">
        <v>382</v>
      </c>
      <c r="K1951" s="23" t="str">
        <f t="shared" si="34"/>
        <v>Craven, NC</v>
      </c>
      <c r="L1951" s="23">
        <v>125.0</v>
      </c>
      <c r="M1951" s="23" t="s">
        <v>63</v>
      </c>
      <c r="N1951" s="23">
        <v>54.0</v>
      </c>
      <c r="O1951" s="23">
        <v>20.0</v>
      </c>
      <c r="P1951" s="23" t="s">
        <v>63</v>
      </c>
      <c r="Q1951" s="23" t="s">
        <v>63</v>
      </c>
      <c r="R1951" s="23" t="s">
        <v>63</v>
      </c>
      <c r="S1951" s="23" t="s">
        <v>63</v>
      </c>
      <c r="T1951" s="32">
        <v>0.19</v>
      </c>
      <c r="U1951" s="23" t="s">
        <v>63</v>
      </c>
      <c r="V1951" s="23" t="s">
        <v>63</v>
      </c>
      <c r="W1951" s="23" t="s">
        <v>63</v>
      </c>
      <c r="X1951" s="23" t="s">
        <v>63</v>
      </c>
      <c r="Y1951" s="35">
        <v>135.0</v>
      </c>
      <c r="Z1951" s="32" t="s">
        <v>63</v>
      </c>
      <c r="AA1951" s="38"/>
      <c r="AB1951" s="38"/>
      <c r="AC1951" s="38"/>
      <c r="AD1951" s="38"/>
      <c r="AE1951" s="38"/>
      <c r="AF1951" s="38"/>
      <c r="AG1951" s="38"/>
      <c r="AH1951" s="38"/>
      <c r="AI1951" s="38"/>
      <c r="AJ1951" s="38"/>
      <c r="AK1951" s="38"/>
    </row>
    <row r="1952">
      <c r="A1952" s="99">
        <v>1951.0</v>
      </c>
      <c r="B1952" s="15"/>
      <c r="C1952" s="15"/>
      <c r="D1952" s="105">
        <v>1.0</v>
      </c>
      <c r="E1952" s="102">
        <v>37.0</v>
      </c>
      <c r="F1952" s="107">
        <v>51.0</v>
      </c>
      <c r="G1952" s="15" t="str">
        <f t="shared" si="1"/>
        <v>37051</v>
      </c>
      <c r="H1952" s="23" t="s">
        <v>713</v>
      </c>
      <c r="I1952" s="23" t="s">
        <v>96</v>
      </c>
      <c r="J1952" s="23" t="s">
        <v>382</v>
      </c>
      <c r="K1952" s="112" t="str">
        <f t="shared" si="34"/>
        <v>Cumberland, NC</v>
      </c>
      <c r="L1952" s="23">
        <v>484.0</v>
      </c>
      <c r="M1952" s="23" t="s">
        <v>63</v>
      </c>
      <c r="N1952" s="23">
        <v>139.0</v>
      </c>
      <c r="O1952" s="23">
        <v>118.0</v>
      </c>
      <c r="P1952" s="23" t="s">
        <v>63</v>
      </c>
      <c r="Q1952" s="23" t="s">
        <v>63</v>
      </c>
      <c r="R1952" s="23" t="s">
        <v>63</v>
      </c>
      <c r="S1952" s="23" t="s">
        <v>63</v>
      </c>
      <c r="T1952" s="32">
        <v>0.209</v>
      </c>
      <c r="U1952" s="23" t="s">
        <v>63</v>
      </c>
      <c r="V1952" s="23" t="s">
        <v>63</v>
      </c>
      <c r="W1952" s="23" t="s">
        <v>63</v>
      </c>
      <c r="X1952" s="23" t="s">
        <v>63</v>
      </c>
      <c r="Y1952" s="35">
        <v>366.0</v>
      </c>
      <c r="Z1952" s="32" t="s">
        <v>63</v>
      </c>
      <c r="AA1952" s="38"/>
      <c r="AB1952" s="38"/>
      <c r="AC1952" s="38"/>
      <c r="AD1952" s="38"/>
      <c r="AE1952" s="38"/>
      <c r="AF1952" s="38"/>
      <c r="AG1952" s="38"/>
      <c r="AH1952" s="38"/>
      <c r="AI1952" s="38"/>
      <c r="AJ1952" s="38"/>
      <c r="AK1952" s="38"/>
    </row>
    <row r="1953">
      <c r="A1953" s="99">
        <v>1952.0</v>
      </c>
      <c r="B1953" s="15"/>
      <c r="C1953" s="15"/>
      <c r="D1953" s="105">
        <v>1.0</v>
      </c>
      <c r="E1953" s="102">
        <v>37.0</v>
      </c>
      <c r="F1953" s="107">
        <v>53.0</v>
      </c>
      <c r="G1953" s="15" t="str">
        <f t="shared" si="1"/>
        <v>37053</v>
      </c>
      <c r="H1953" s="23" t="s">
        <v>1595</v>
      </c>
      <c r="I1953" s="23" t="s">
        <v>96</v>
      </c>
      <c r="J1953" s="23" t="s">
        <v>382</v>
      </c>
      <c r="K1953" s="23" t="str">
        <f t="shared" si="34"/>
        <v>Currituck, NC</v>
      </c>
      <c r="L1953" s="23">
        <v>14.0</v>
      </c>
      <c r="M1953" s="23" t="s">
        <v>63</v>
      </c>
      <c r="N1953" s="23">
        <v>5.0</v>
      </c>
      <c r="O1953" s="23">
        <v>5.0</v>
      </c>
      <c r="P1953" s="23" t="s">
        <v>63</v>
      </c>
      <c r="Q1953" s="23" t="s">
        <v>63</v>
      </c>
      <c r="R1953" s="23" t="s">
        <v>63</v>
      </c>
      <c r="S1953" s="23" t="s">
        <v>63</v>
      </c>
      <c r="T1953" s="32">
        <v>0.714</v>
      </c>
      <c r="U1953" s="23" t="s">
        <v>63</v>
      </c>
      <c r="V1953" s="23" t="s">
        <v>63</v>
      </c>
      <c r="W1953" s="23" t="s">
        <v>63</v>
      </c>
      <c r="X1953" s="23" t="s">
        <v>63</v>
      </c>
      <c r="Y1953" s="35">
        <v>27.0</v>
      </c>
      <c r="Z1953" s="32" t="s">
        <v>63</v>
      </c>
      <c r="AA1953" s="38"/>
      <c r="AB1953" s="38"/>
      <c r="AC1953" s="38"/>
      <c r="AD1953" s="38"/>
      <c r="AE1953" s="38"/>
      <c r="AF1953" s="38"/>
      <c r="AG1953" s="38"/>
      <c r="AH1953" s="38"/>
      <c r="AI1953" s="38"/>
      <c r="AJ1953" s="38"/>
      <c r="AK1953" s="38"/>
    </row>
    <row r="1954">
      <c r="A1954" s="99">
        <v>1953.0</v>
      </c>
      <c r="B1954" s="15"/>
      <c r="C1954" s="15"/>
      <c r="D1954" s="105">
        <v>1.0</v>
      </c>
      <c r="E1954" s="102">
        <v>37.0</v>
      </c>
      <c r="F1954" s="107">
        <v>55.0</v>
      </c>
      <c r="G1954" s="15" t="str">
        <f t="shared" si="1"/>
        <v>37055</v>
      </c>
      <c r="H1954" s="23" t="s">
        <v>1596</v>
      </c>
      <c r="I1954" s="23" t="s">
        <v>96</v>
      </c>
      <c r="J1954" s="23" t="s">
        <v>382</v>
      </c>
      <c r="K1954" s="23" t="str">
        <f t="shared" si="34"/>
        <v>Dare, NC</v>
      </c>
      <c r="L1954" s="23">
        <v>35.0</v>
      </c>
      <c r="M1954" s="23" t="s">
        <v>63</v>
      </c>
      <c r="N1954" s="23">
        <v>16.0</v>
      </c>
      <c r="O1954" s="23">
        <v>10.0</v>
      </c>
      <c r="P1954" s="23" t="s">
        <v>63</v>
      </c>
      <c r="Q1954" s="23" t="s">
        <v>63</v>
      </c>
      <c r="R1954" s="23" t="s">
        <v>63</v>
      </c>
      <c r="S1954" s="23" t="s">
        <v>63</v>
      </c>
      <c r="T1954" s="32">
        <v>0.2</v>
      </c>
      <c r="U1954" s="23" t="s">
        <v>63</v>
      </c>
      <c r="V1954" s="23" t="s">
        <v>63</v>
      </c>
      <c r="W1954" s="23" t="s">
        <v>63</v>
      </c>
      <c r="X1954" s="23" t="s">
        <v>63</v>
      </c>
      <c r="Y1954" s="35">
        <v>40.0</v>
      </c>
      <c r="Z1954" s="32" t="s">
        <v>63</v>
      </c>
      <c r="AA1954" s="38"/>
      <c r="AB1954" s="38"/>
      <c r="AC1954" s="38"/>
      <c r="AD1954" s="38"/>
      <c r="AE1954" s="38"/>
      <c r="AF1954" s="38"/>
      <c r="AG1954" s="38"/>
      <c r="AH1954" s="38"/>
      <c r="AI1954" s="38"/>
      <c r="AJ1954" s="38"/>
      <c r="AK1954" s="38"/>
    </row>
    <row r="1955">
      <c r="A1955" s="99">
        <v>1954.0</v>
      </c>
      <c r="B1955" s="15"/>
      <c r="C1955" s="15"/>
      <c r="D1955" s="105">
        <v>1.0</v>
      </c>
      <c r="E1955" s="102">
        <v>37.0</v>
      </c>
      <c r="F1955" s="107">
        <v>57.0</v>
      </c>
      <c r="G1955" s="15" t="str">
        <f t="shared" si="1"/>
        <v>37057</v>
      </c>
      <c r="H1955" s="23" t="s">
        <v>570</v>
      </c>
      <c r="I1955" s="23" t="s">
        <v>96</v>
      </c>
      <c r="J1955" s="23" t="s">
        <v>382</v>
      </c>
      <c r="K1955" s="23" t="str">
        <f t="shared" si="34"/>
        <v>Davidson, NC</v>
      </c>
      <c r="L1955" s="23">
        <v>164.0</v>
      </c>
      <c r="M1955" s="23" t="s">
        <v>63</v>
      </c>
      <c r="N1955" s="23">
        <v>83.0</v>
      </c>
      <c r="O1955" s="23">
        <v>17.0</v>
      </c>
      <c r="P1955" s="23" t="s">
        <v>63</v>
      </c>
      <c r="Q1955" s="23" t="s">
        <v>63</v>
      </c>
      <c r="R1955" s="23" t="s">
        <v>63</v>
      </c>
      <c r="S1955" s="23" t="s">
        <v>63</v>
      </c>
      <c r="T1955" s="32">
        <v>0.481</v>
      </c>
      <c r="U1955" s="23" t="s">
        <v>63</v>
      </c>
      <c r="V1955" s="23" t="s">
        <v>63</v>
      </c>
      <c r="W1955" s="23" t="s">
        <v>63</v>
      </c>
      <c r="X1955" s="23" t="s">
        <v>63</v>
      </c>
      <c r="Y1955" s="35">
        <v>208.0</v>
      </c>
      <c r="Z1955" s="32" t="s">
        <v>63</v>
      </c>
      <c r="AA1955" s="38"/>
      <c r="AB1955" s="38"/>
      <c r="AC1955" s="38"/>
      <c r="AD1955" s="38"/>
      <c r="AE1955" s="38"/>
      <c r="AF1955" s="38"/>
      <c r="AG1955" s="38"/>
      <c r="AH1955" s="38"/>
      <c r="AI1955" s="38"/>
      <c r="AJ1955" s="38"/>
      <c r="AK1955" s="38"/>
    </row>
    <row r="1956">
      <c r="A1956" s="99">
        <v>1955.0</v>
      </c>
      <c r="B1956" s="15"/>
      <c r="C1956" s="15"/>
      <c r="D1956" s="105">
        <v>1.0</v>
      </c>
      <c r="E1956" s="102">
        <v>37.0</v>
      </c>
      <c r="F1956" s="107">
        <v>59.0</v>
      </c>
      <c r="G1956" s="15" t="str">
        <f t="shared" si="1"/>
        <v>37059</v>
      </c>
      <c r="H1956" s="23" t="s">
        <v>1597</v>
      </c>
      <c r="I1956" s="23" t="s">
        <v>96</v>
      </c>
      <c r="J1956" s="23" t="s">
        <v>382</v>
      </c>
      <c r="K1956" s="23" t="str">
        <f t="shared" si="34"/>
        <v>Davie, NC</v>
      </c>
      <c r="L1956" s="23">
        <v>42.0</v>
      </c>
      <c r="M1956" s="23" t="s">
        <v>63</v>
      </c>
      <c r="N1956" s="23">
        <v>22.0</v>
      </c>
      <c r="O1956" s="23">
        <v>7.0</v>
      </c>
      <c r="P1956" s="23" t="s">
        <v>63</v>
      </c>
      <c r="Q1956" s="23" t="s">
        <v>63</v>
      </c>
      <c r="R1956" s="23" t="s">
        <v>63</v>
      </c>
      <c r="S1956" s="23" t="s">
        <v>63</v>
      </c>
      <c r="T1956" s="32">
        <v>0.667</v>
      </c>
      <c r="U1956" s="23" t="s">
        <v>63</v>
      </c>
      <c r="V1956" s="23" t="s">
        <v>63</v>
      </c>
      <c r="W1956" s="23" t="s">
        <v>63</v>
      </c>
      <c r="X1956" s="23" t="s">
        <v>63</v>
      </c>
      <c r="Y1956" s="35">
        <v>78.0</v>
      </c>
      <c r="Z1956" s="32" t="s">
        <v>63</v>
      </c>
      <c r="AA1956" s="38"/>
      <c r="AB1956" s="38"/>
      <c r="AC1956" s="38"/>
      <c r="AD1956" s="38"/>
      <c r="AE1956" s="38"/>
      <c r="AF1956" s="38"/>
      <c r="AG1956" s="38"/>
      <c r="AH1956" s="38"/>
      <c r="AI1956" s="38"/>
      <c r="AJ1956" s="38"/>
      <c r="AK1956" s="38"/>
    </row>
    <row r="1957">
      <c r="A1957" s="99">
        <v>1956.0</v>
      </c>
      <c r="B1957" s="15"/>
      <c r="C1957" s="15"/>
      <c r="D1957" s="105">
        <v>1.0</v>
      </c>
      <c r="E1957" s="102">
        <v>37.0</v>
      </c>
      <c r="F1957" s="107">
        <v>61.0</v>
      </c>
      <c r="G1957" s="15" t="str">
        <f t="shared" si="1"/>
        <v>37061</v>
      </c>
      <c r="H1957" s="23" t="s">
        <v>1598</v>
      </c>
      <c r="I1957" s="23" t="s">
        <v>96</v>
      </c>
      <c r="J1957" s="23" t="s">
        <v>382</v>
      </c>
      <c r="K1957" s="23" t="str">
        <f t="shared" si="34"/>
        <v>Duplin, NC</v>
      </c>
      <c r="L1957" s="23">
        <v>21.0</v>
      </c>
      <c r="M1957" s="23" t="s">
        <v>63</v>
      </c>
      <c r="N1957" s="23">
        <v>4.0</v>
      </c>
      <c r="O1957" s="23">
        <v>2.0</v>
      </c>
      <c r="P1957" s="23" t="s">
        <v>63</v>
      </c>
      <c r="Q1957" s="23" t="s">
        <v>63</v>
      </c>
      <c r="R1957" s="23" t="s">
        <v>63</v>
      </c>
      <c r="S1957" s="23" t="s">
        <v>63</v>
      </c>
      <c r="T1957" s="32">
        <v>0.429</v>
      </c>
      <c r="U1957" s="23" t="s">
        <v>63</v>
      </c>
      <c r="V1957" s="23" t="s">
        <v>63</v>
      </c>
      <c r="W1957" s="23" t="s">
        <v>63</v>
      </c>
      <c r="X1957" s="23" t="s">
        <v>63</v>
      </c>
      <c r="Y1957" s="35">
        <v>95.0</v>
      </c>
      <c r="Z1957" s="32" t="s">
        <v>63</v>
      </c>
      <c r="AA1957" s="38"/>
      <c r="AB1957" s="38"/>
      <c r="AC1957" s="38"/>
      <c r="AD1957" s="38"/>
      <c r="AE1957" s="38"/>
      <c r="AF1957" s="38"/>
      <c r="AG1957" s="38"/>
      <c r="AH1957" s="38"/>
      <c r="AI1957" s="38"/>
      <c r="AJ1957" s="38"/>
      <c r="AK1957" s="38"/>
    </row>
    <row r="1958">
      <c r="A1958" s="99">
        <v>1957.0</v>
      </c>
      <c r="B1958" s="15"/>
      <c r="C1958" s="15"/>
      <c r="D1958" s="105">
        <v>1.0</v>
      </c>
      <c r="E1958" s="102">
        <v>37.0</v>
      </c>
      <c r="F1958" s="107">
        <v>63.0</v>
      </c>
      <c r="G1958" s="15" t="str">
        <f t="shared" si="1"/>
        <v>37063</v>
      </c>
      <c r="H1958" s="23" t="s">
        <v>1599</v>
      </c>
      <c r="I1958" s="23" t="s">
        <v>96</v>
      </c>
      <c r="J1958" s="23" t="s">
        <v>382</v>
      </c>
      <c r="K1958" s="23" t="str">
        <f t="shared" si="34"/>
        <v>Durham, NC</v>
      </c>
      <c r="L1958" s="23">
        <v>273.0</v>
      </c>
      <c r="M1958" s="23" t="s">
        <v>63</v>
      </c>
      <c r="N1958" s="23">
        <v>79.0</v>
      </c>
      <c r="O1958" s="23">
        <v>82.0</v>
      </c>
      <c r="P1958" s="23" t="s">
        <v>63</v>
      </c>
      <c r="Q1958" s="23" t="s">
        <v>63</v>
      </c>
      <c r="R1958" s="23" t="s">
        <v>63</v>
      </c>
      <c r="S1958" s="23" t="s">
        <v>63</v>
      </c>
      <c r="T1958" s="32">
        <v>0.5</v>
      </c>
      <c r="U1958" s="23" t="s">
        <v>63</v>
      </c>
      <c r="V1958" s="23" t="s">
        <v>63</v>
      </c>
      <c r="W1958" s="23" t="s">
        <v>63</v>
      </c>
      <c r="X1958" s="23" t="s">
        <v>63</v>
      </c>
      <c r="Y1958" s="35">
        <v>251.0</v>
      </c>
      <c r="Z1958" s="32" t="s">
        <v>63</v>
      </c>
      <c r="AA1958" s="38"/>
      <c r="AB1958" s="38"/>
      <c r="AC1958" s="38"/>
      <c r="AD1958" s="38"/>
      <c r="AE1958" s="38"/>
      <c r="AF1958" s="38"/>
      <c r="AG1958" s="38"/>
      <c r="AH1958" s="38"/>
      <c r="AI1958" s="38"/>
      <c r="AJ1958" s="38"/>
      <c r="AK1958" s="38"/>
    </row>
    <row r="1959">
      <c r="A1959" s="99">
        <v>1958.0</v>
      </c>
      <c r="B1959" s="15"/>
      <c r="C1959" s="15"/>
      <c r="D1959" s="105">
        <v>1.0</v>
      </c>
      <c r="E1959" s="102">
        <v>37.0</v>
      </c>
      <c r="F1959" s="107">
        <v>65.0</v>
      </c>
      <c r="G1959" s="15" t="str">
        <f t="shared" si="1"/>
        <v>37065</v>
      </c>
      <c r="H1959" s="23" t="s">
        <v>1600</v>
      </c>
      <c r="I1959" s="23" t="s">
        <v>96</v>
      </c>
      <c r="J1959" s="23" t="s">
        <v>382</v>
      </c>
      <c r="K1959" s="23" t="str">
        <f t="shared" si="34"/>
        <v>Edgecombe, NC</v>
      </c>
      <c r="L1959" s="23">
        <v>48.0</v>
      </c>
      <c r="M1959" s="23" t="s">
        <v>63</v>
      </c>
      <c r="N1959" s="23">
        <v>15.0</v>
      </c>
      <c r="O1959" s="23">
        <v>18.0</v>
      </c>
      <c r="P1959" s="23" t="s">
        <v>63</v>
      </c>
      <c r="Q1959" s="23" t="s">
        <v>63</v>
      </c>
      <c r="R1959" s="23" t="s">
        <v>63</v>
      </c>
      <c r="S1959" s="23" t="s">
        <v>63</v>
      </c>
      <c r="T1959" s="32">
        <v>0.474</v>
      </c>
      <c r="U1959" s="23" t="s">
        <v>63</v>
      </c>
      <c r="V1959" s="23" t="s">
        <v>63</v>
      </c>
      <c r="W1959" s="23" t="s">
        <v>63</v>
      </c>
      <c r="X1959" s="23" t="s">
        <v>63</v>
      </c>
      <c r="Y1959" s="35">
        <v>96.0</v>
      </c>
      <c r="Z1959" s="32" t="s">
        <v>63</v>
      </c>
      <c r="AA1959" s="38"/>
      <c r="AB1959" s="38"/>
      <c r="AC1959" s="38"/>
      <c r="AD1959" s="38"/>
      <c r="AE1959" s="38"/>
      <c r="AF1959" s="38"/>
      <c r="AG1959" s="38"/>
      <c r="AH1959" s="38"/>
      <c r="AI1959" s="38"/>
      <c r="AJ1959" s="38"/>
      <c r="AK1959" s="38"/>
    </row>
    <row r="1960">
      <c r="A1960" s="99">
        <v>1959.0</v>
      </c>
      <c r="B1960" s="15"/>
      <c r="C1960" s="15"/>
      <c r="D1960" s="105">
        <v>1.0</v>
      </c>
      <c r="E1960" s="102">
        <v>37.0</v>
      </c>
      <c r="F1960" s="107">
        <v>67.0</v>
      </c>
      <c r="G1960" s="15" t="str">
        <f t="shared" si="1"/>
        <v>37067</v>
      </c>
      <c r="H1960" s="23" t="s">
        <v>576</v>
      </c>
      <c r="I1960" s="23" t="s">
        <v>96</v>
      </c>
      <c r="J1960" s="23" t="s">
        <v>382</v>
      </c>
      <c r="K1960" s="23" t="str">
        <f t="shared" si="34"/>
        <v>Forsyth, NC</v>
      </c>
      <c r="L1960" s="23">
        <v>239.0</v>
      </c>
      <c r="M1960" s="23" t="s">
        <v>63</v>
      </c>
      <c r="N1960" s="23">
        <v>103.0</v>
      </c>
      <c r="O1960" s="23">
        <v>30.0</v>
      </c>
      <c r="P1960" s="23" t="s">
        <v>63</v>
      </c>
      <c r="Q1960" s="23" t="s">
        <v>63</v>
      </c>
      <c r="R1960" s="23" t="s">
        <v>63</v>
      </c>
      <c r="S1960" s="23" t="s">
        <v>63</v>
      </c>
      <c r="T1960" s="32">
        <v>0.538</v>
      </c>
      <c r="U1960" s="23" t="s">
        <v>63</v>
      </c>
      <c r="V1960" s="23" t="s">
        <v>63</v>
      </c>
      <c r="W1960" s="23" t="s">
        <v>63</v>
      </c>
      <c r="X1960" s="23" t="s">
        <v>63</v>
      </c>
      <c r="Y1960" s="35">
        <v>389.0</v>
      </c>
      <c r="Z1960" s="32" t="s">
        <v>63</v>
      </c>
      <c r="AA1960" s="38"/>
      <c r="AB1960" s="38"/>
      <c r="AC1960" s="38"/>
      <c r="AD1960" s="38"/>
      <c r="AE1960" s="38"/>
      <c r="AF1960" s="38"/>
      <c r="AG1960" s="38"/>
      <c r="AH1960" s="38"/>
      <c r="AI1960" s="38"/>
      <c r="AJ1960" s="38"/>
      <c r="AK1960" s="38"/>
    </row>
    <row r="1961">
      <c r="A1961" s="99">
        <v>1960.0</v>
      </c>
      <c r="B1961" s="15"/>
      <c r="C1961" s="15"/>
      <c r="D1961" s="105">
        <v>1.0</v>
      </c>
      <c r="E1961" s="102">
        <v>37.0</v>
      </c>
      <c r="F1961" s="107">
        <v>69.0</v>
      </c>
      <c r="G1961" s="15" t="str">
        <f t="shared" si="1"/>
        <v>37069</v>
      </c>
      <c r="H1961" s="23" t="s">
        <v>136</v>
      </c>
      <c r="I1961" s="23" t="s">
        <v>96</v>
      </c>
      <c r="J1961" s="23" t="s">
        <v>382</v>
      </c>
      <c r="K1961" s="23" t="str">
        <f t="shared" si="34"/>
        <v>Franklin, NC</v>
      </c>
      <c r="L1961" s="23">
        <v>51.0</v>
      </c>
      <c r="M1961" s="23" t="s">
        <v>63</v>
      </c>
      <c r="N1961" s="23">
        <v>21.0</v>
      </c>
      <c r="O1961" s="23">
        <v>13.0</v>
      </c>
      <c r="P1961" s="23" t="s">
        <v>63</v>
      </c>
      <c r="Q1961" s="23" t="s">
        <v>63</v>
      </c>
      <c r="R1961" s="23" t="s">
        <v>63</v>
      </c>
      <c r="S1961" s="23" t="s">
        <v>63</v>
      </c>
      <c r="T1961" s="32">
        <v>0.429</v>
      </c>
      <c r="U1961" s="23" t="s">
        <v>63</v>
      </c>
      <c r="V1961" s="23" t="s">
        <v>63</v>
      </c>
      <c r="W1961" s="23" t="s">
        <v>63</v>
      </c>
      <c r="X1961" s="23" t="s">
        <v>63</v>
      </c>
      <c r="Y1961" s="35">
        <v>74.0</v>
      </c>
      <c r="Z1961" s="32" t="s">
        <v>63</v>
      </c>
      <c r="AA1961" s="38"/>
      <c r="AB1961" s="38"/>
      <c r="AC1961" s="38"/>
      <c r="AD1961" s="38"/>
      <c r="AE1961" s="38"/>
      <c r="AF1961" s="38"/>
      <c r="AG1961" s="38"/>
      <c r="AH1961" s="38"/>
      <c r="AI1961" s="38"/>
      <c r="AJ1961" s="38"/>
      <c r="AK1961" s="38"/>
    </row>
    <row r="1962">
      <c r="A1962" s="99">
        <v>1961.0</v>
      </c>
      <c r="B1962" s="15"/>
      <c r="C1962" s="15"/>
      <c r="D1962" s="105">
        <v>1.0</v>
      </c>
      <c r="E1962" s="102">
        <v>37.0</v>
      </c>
      <c r="F1962" s="107">
        <v>71.0</v>
      </c>
      <c r="G1962" s="15" t="str">
        <f t="shared" si="1"/>
        <v>37071</v>
      </c>
      <c r="H1962" s="23" t="s">
        <v>1601</v>
      </c>
      <c r="I1962" s="23" t="s">
        <v>96</v>
      </c>
      <c r="J1962" s="23" t="s">
        <v>382</v>
      </c>
      <c r="K1962" s="23" t="str">
        <f t="shared" si="34"/>
        <v>Gaston, NC</v>
      </c>
      <c r="L1962" s="23">
        <v>409.0</v>
      </c>
      <c r="M1962" s="23" t="s">
        <v>63</v>
      </c>
      <c r="N1962" s="23">
        <v>193.0</v>
      </c>
      <c r="O1962" s="23">
        <v>48.0</v>
      </c>
      <c r="P1962" s="23" t="s">
        <v>63</v>
      </c>
      <c r="Q1962" s="23" t="s">
        <v>63</v>
      </c>
      <c r="R1962" s="23" t="s">
        <v>63</v>
      </c>
      <c r="S1962" s="23" t="s">
        <v>63</v>
      </c>
      <c r="T1962" s="32">
        <v>0.5</v>
      </c>
      <c r="U1962" s="23" t="s">
        <v>63</v>
      </c>
      <c r="V1962" s="23" t="s">
        <v>63</v>
      </c>
      <c r="W1962" s="23" t="s">
        <v>63</v>
      </c>
      <c r="X1962" s="23" t="s">
        <v>63</v>
      </c>
      <c r="Y1962" s="35">
        <v>304.0</v>
      </c>
      <c r="Z1962" s="32" t="s">
        <v>63</v>
      </c>
      <c r="AA1962" s="38"/>
      <c r="AB1962" s="38"/>
      <c r="AC1962" s="38"/>
      <c r="AD1962" s="38"/>
      <c r="AE1962" s="38"/>
      <c r="AF1962" s="38"/>
      <c r="AG1962" s="38"/>
      <c r="AH1962" s="38"/>
      <c r="AI1962" s="38"/>
      <c r="AJ1962" s="38"/>
      <c r="AK1962" s="38"/>
    </row>
    <row r="1963">
      <c r="A1963" s="99">
        <v>1962.0</v>
      </c>
      <c r="B1963" s="15"/>
      <c r="C1963" s="15"/>
      <c r="D1963" s="105">
        <v>1.0</v>
      </c>
      <c r="E1963" s="102">
        <v>37.0</v>
      </c>
      <c r="F1963" s="107">
        <v>73.0</v>
      </c>
      <c r="G1963" s="15" t="str">
        <f t="shared" si="1"/>
        <v>37073</v>
      </c>
      <c r="H1963" s="23" t="s">
        <v>1602</v>
      </c>
      <c r="I1963" s="23" t="s">
        <v>96</v>
      </c>
      <c r="J1963" s="23" t="s">
        <v>382</v>
      </c>
      <c r="K1963" s="23" t="str">
        <f t="shared" si="34"/>
        <v>Gates, NC</v>
      </c>
      <c r="L1963" s="23">
        <v>3.0</v>
      </c>
      <c r="M1963" s="23" t="s">
        <v>63</v>
      </c>
      <c r="N1963" s="23">
        <v>0.0</v>
      </c>
      <c r="O1963" s="23">
        <v>3.0</v>
      </c>
      <c r="P1963" s="23" t="s">
        <v>63</v>
      </c>
      <c r="Q1963" s="23" t="s">
        <v>63</v>
      </c>
      <c r="R1963" s="23" t="s">
        <v>63</v>
      </c>
      <c r="S1963" s="23" t="s">
        <v>63</v>
      </c>
      <c r="T1963" s="32" t="s">
        <v>63</v>
      </c>
      <c r="U1963" s="23" t="s">
        <v>63</v>
      </c>
      <c r="V1963" s="23" t="s">
        <v>63</v>
      </c>
      <c r="W1963" s="23" t="s">
        <v>63</v>
      </c>
      <c r="X1963" s="23" t="s">
        <v>63</v>
      </c>
      <c r="Y1963" s="35">
        <v>25.0</v>
      </c>
      <c r="Z1963" s="32" t="s">
        <v>63</v>
      </c>
      <c r="AA1963" s="38"/>
      <c r="AB1963" s="38"/>
      <c r="AC1963" s="38"/>
      <c r="AD1963" s="38"/>
      <c r="AE1963" s="38"/>
      <c r="AF1963" s="38"/>
      <c r="AG1963" s="38"/>
      <c r="AH1963" s="38"/>
      <c r="AI1963" s="38"/>
      <c r="AJ1963" s="38"/>
      <c r="AK1963" s="38"/>
    </row>
    <row r="1964">
      <c r="A1964" s="99">
        <v>1963.0</v>
      </c>
      <c r="B1964" s="15"/>
      <c r="C1964" s="15"/>
      <c r="D1964" s="105">
        <v>1.0</v>
      </c>
      <c r="E1964" s="102">
        <v>37.0</v>
      </c>
      <c r="F1964" s="107">
        <v>75.0</v>
      </c>
      <c r="G1964" s="15" t="str">
        <f t="shared" si="1"/>
        <v>37075</v>
      </c>
      <c r="H1964" s="23" t="s">
        <v>224</v>
      </c>
      <c r="I1964" s="23" t="s">
        <v>96</v>
      </c>
      <c r="J1964" s="23" t="s">
        <v>382</v>
      </c>
      <c r="K1964" s="23" t="str">
        <f t="shared" si="34"/>
        <v>Graham, NC</v>
      </c>
      <c r="L1964" s="23">
        <v>30.0</v>
      </c>
      <c r="M1964" s="23" t="s">
        <v>63</v>
      </c>
      <c r="N1964" s="23">
        <v>7.0</v>
      </c>
      <c r="O1964" s="23">
        <v>4.0</v>
      </c>
      <c r="P1964" s="23" t="s">
        <v>63</v>
      </c>
      <c r="Q1964" s="23" t="s">
        <v>63</v>
      </c>
      <c r="R1964" s="23" t="s">
        <v>63</v>
      </c>
      <c r="S1964" s="23" t="s">
        <v>63</v>
      </c>
      <c r="T1964" s="32">
        <v>0.857</v>
      </c>
      <c r="U1964" s="23" t="s">
        <v>63</v>
      </c>
      <c r="V1964" s="23" t="s">
        <v>63</v>
      </c>
      <c r="W1964" s="23" t="s">
        <v>63</v>
      </c>
      <c r="X1964" s="23" t="s">
        <v>63</v>
      </c>
      <c r="Y1964" s="35">
        <v>14.0</v>
      </c>
      <c r="Z1964" s="32" t="s">
        <v>63</v>
      </c>
      <c r="AA1964" s="38"/>
      <c r="AB1964" s="38"/>
      <c r="AC1964" s="38"/>
      <c r="AD1964" s="38"/>
      <c r="AE1964" s="38"/>
      <c r="AF1964" s="38"/>
      <c r="AG1964" s="38"/>
      <c r="AH1964" s="38"/>
      <c r="AI1964" s="38"/>
      <c r="AJ1964" s="38"/>
      <c r="AK1964" s="38"/>
    </row>
    <row r="1965">
      <c r="A1965" s="99">
        <v>1964.0</v>
      </c>
      <c r="B1965" s="15"/>
      <c r="C1965" s="15"/>
      <c r="D1965" s="105">
        <v>1.0</v>
      </c>
      <c r="E1965" s="102">
        <v>37.0</v>
      </c>
      <c r="F1965" s="107">
        <v>77.0</v>
      </c>
      <c r="G1965" s="15" t="str">
        <f t="shared" si="1"/>
        <v>37077</v>
      </c>
      <c r="H1965" s="23" t="s">
        <v>1603</v>
      </c>
      <c r="I1965" s="23" t="s">
        <v>96</v>
      </c>
      <c r="J1965" s="23" t="s">
        <v>382</v>
      </c>
      <c r="K1965" s="23" t="str">
        <f t="shared" si="34"/>
        <v>Granville, NC</v>
      </c>
      <c r="L1965" s="23">
        <v>29.0</v>
      </c>
      <c r="M1965" s="23" t="s">
        <v>63</v>
      </c>
      <c r="N1965" s="23">
        <v>10.0</v>
      </c>
      <c r="O1965" s="23">
        <v>4.0</v>
      </c>
      <c r="P1965" s="23" t="s">
        <v>63</v>
      </c>
      <c r="Q1965" s="23" t="s">
        <v>63</v>
      </c>
      <c r="R1965" s="23" t="s">
        <v>63</v>
      </c>
      <c r="S1965" s="23" t="s">
        <v>63</v>
      </c>
      <c r="T1965" s="32">
        <v>0.714</v>
      </c>
      <c r="U1965" s="23" t="s">
        <v>63</v>
      </c>
      <c r="V1965" s="23" t="s">
        <v>63</v>
      </c>
      <c r="W1965" s="23" t="s">
        <v>63</v>
      </c>
      <c r="X1965" s="23" t="s">
        <v>63</v>
      </c>
      <c r="Y1965" s="35">
        <v>95.0</v>
      </c>
      <c r="Z1965" s="32" t="s">
        <v>63</v>
      </c>
      <c r="AA1965" s="38"/>
      <c r="AB1965" s="38"/>
      <c r="AC1965" s="38"/>
      <c r="AD1965" s="38"/>
      <c r="AE1965" s="38"/>
      <c r="AF1965" s="38"/>
      <c r="AG1965" s="38"/>
      <c r="AH1965" s="38"/>
      <c r="AI1965" s="38"/>
      <c r="AJ1965" s="38"/>
      <c r="AK1965" s="38"/>
    </row>
    <row r="1966">
      <c r="A1966" s="99">
        <v>1965.0</v>
      </c>
      <c r="B1966" s="15"/>
      <c r="C1966" s="15"/>
      <c r="D1966" s="105">
        <v>1.0</v>
      </c>
      <c r="E1966" s="102">
        <v>37.0</v>
      </c>
      <c r="F1966" s="107">
        <v>79.0</v>
      </c>
      <c r="G1966" s="15" t="str">
        <f t="shared" si="1"/>
        <v>37079</v>
      </c>
      <c r="H1966" s="23" t="s">
        <v>138</v>
      </c>
      <c r="I1966" s="23" t="s">
        <v>96</v>
      </c>
      <c r="J1966" s="23" t="s">
        <v>382</v>
      </c>
      <c r="K1966" s="23" t="str">
        <f t="shared" si="34"/>
        <v>Greene, NC</v>
      </c>
      <c r="L1966" s="23">
        <v>41.0</v>
      </c>
      <c r="M1966" s="23" t="s">
        <v>63</v>
      </c>
      <c r="N1966" s="23">
        <v>11.0</v>
      </c>
      <c r="O1966" s="23">
        <v>20.0</v>
      </c>
      <c r="P1966" s="23" t="s">
        <v>63</v>
      </c>
      <c r="Q1966" s="23" t="s">
        <v>63</v>
      </c>
      <c r="R1966" s="23" t="s">
        <v>63</v>
      </c>
      <c r="S1966" s="23" t="s">
        <v>63</v>
      </c>
      <c r="T1966" s="32">
        <v>0.2</v>
      </c>
      <c r="U1966" s="23" t="s">
        <v>63</v>
      </c>
      <c r="V1966" s="23" t="s">
        <v>63</v>
      </c>
      <c r="W1966" s="23" t="s">
        <v>63</v>
      </c>
      <c r="X1966" s="23" t="s">
        <v>63</v>
      </c>
      <c r="Y1966" s="35">
        <v>31.0</v>
      </c>
      <c r="Z1966" s="32" t="s">
        <v>63</v>
      </c>
      <c r="AA1966" s="38"/>
      <c r="AB1966" s="38"/>
      <c r="AC1966" s="38"/>
      <c r="AD1966" s="38"/>
      <c r="AE1966" s="38"/>
      <c r="AF1966" s="38"/>
      <c r="AG1966" s="38"/>
      <c r="AH1966" s="38"/>
      <c r="AI1966" s="38"/>
      <c r="AJ1966" s="38"/>
      <c r="AK1966" s="38"/>
    </row>
    <row r="1967">
      <c r="A1967" s="99">
        <v>1966.0</v>
      </c>
      <c r="B1967" s="15"/>
      <c r="C1967" s="15"/>
      <c r="D1967" s="105">
        <v>1.0</v>
      </c>
      <c r="E1967" s="102">
        <v>37.0</v>
      </c>
      <c r="F1967" s="107">
        <v>81.0</v>
      </c>
      <c r="G1967" s="15" t="str">
        <f t="shared" si="1"/>
        <v>37081</v>
      </c>
      <c r="H1967" s="23" t="s">
        <v>1604</v>
      </c>
      <c r="I1967" s="23" t="s">
        <v>96</v>
      </c>
      <c r="J1967" s="23" t="s">
        <v>382</v>
      </c>
      <c r="K1967" s="23" t="str">
        <f t="shared" si="34"/>
        <v>Guilford, NC</v>
      </c>
      <c r="L1967" s="23">
        <v>604.0</v>
      </c>
      <c r="M1967" s="23" t="s">
        <v>63</v>
      </c>
      <c r="N1967" s="23">
        <v>314.0</v>
      </c>
      <c r="O1967" s="23">
        <v>54.0</v>
      </c>
      <c r="P1967" s="23" t="s">
        <v>63</v>
      </c>
      <c r="Q1967" s="23" t="s">
        <v>63</v>
      </c>
      <c r="R1967" s="23" t="s">
        <v>63</v>
      </c>
      <c r="S1967" s="23" t="s">
        <v>63</v>
      </c>
      <c r="T1967" s="32">
        <v>0.023</v>
      </c>
      <c r="U1967" s="23" t="s">
        <v>63</v>
      </c>
      <c r="V1967" s="23" t="s">
        <v>63</v>
      </c>
      <c r="W1967" s="23" t="s">
        <v>63</v>
      </c>
      <c r="X1967" s="23" t="s">
        <v>63</v>
      </c>
      <c r="Y1967" s="35">
        <v>532.0</v>
      </c>
      <c r="Z1967" s="32" t="s">
        <v>63</v>
      </c>
      <c r="AA1967" s="38"/>
      <c r="AB1967" s="38"/>
      <c r="AC1967" s="38"/>
      <c r="AD1967" s="38"/>
      <c r="AE1967" s="38"/>
      <c r="AF1967" s="38"/>
      <c r="AG1967" s="38"/>
      <c r="AH1967" s="38"/>
      <c r="AI1967" s="38"/>
      <c r="AJ1967" s="38"/>
      <c r="AK1967" s="38"/>
    </row>
    <row r="1968">
      <c r="A1968" s="99">
        <v>1967.0</v>
      </c>
      <c r="B1968" s="15"/>
      <c r="C1968" s="15"/>
      <c r="D1968" s="105">
        <v>1.0</v>
      </c>
      <c r="E1968" s="102">
        <v>37.0</v>
      </c>
      <c r="F1968" s="107">
        <v>83.0</v>
      </c>
      <c r="G1968" s="15" t="str">
        <f t="shared" si="1"/>
        <v>37083</v>
      </c>
      <c r="H1968" s="23" t="s">
        <v>1605</v>
      </c>
      <c r="I1968" s="23" t="s">
        <v>96</v>
      </c>
      <c r="J1968" s="23" t="s">
        <v>382</v>
      </c>
      <c r="K1968" s="23" t="str">
        <f t="shared" si="34"/>
        <v>Halifax, NC</v>
      </c>
      <c r="L1968" s="23">
        <v>34.0</v>
      </c>
      <c r="M1968" s="23" t="s">
        <v>63</v>
      </c>
      <c r="N1968" s="23">
        <v>14.0</v>
      </c>
      <c r="O1968" s="23">
        <v>2.0</v>
      </c>
      <c r="P1968" s="23" t="s">
        <v>63</v>
      </c>
      <c r="Q1968" s="23" t="s">
        <v>63</v>
      </c>
      <c r="R1968" s="23" t="s">
        <v>63</v>
      </c>
      <c r="S1968" s="23" t="s">
        <v>63</v>
      </c>
      <c r="T1968" s="32">
        <v>0.312</v>
      </c>
      <c r="U1968" s="23" t="s">
        <v>63</v>
      </c>
      <c r="V1968" s="23" t="s">
        <v>63</v>
      </c>
      <c r="W1968" s="23" t="s">
        <v>63</v>
      </c>
      <c r="X1968" s="23" t="s">
        <v>63</v>
      </c>
      <c r="Y1968" s="35">
        <v>135.0</v>
      </c>
      <c r="Z1968" s="32" t="s">
        <v>63</v>
      </c>
      <c r="AA1968" s="38"/>
      <c r="AB1968" s="38"/>
      <c r="AC1968" s="38"/>
      <c r="AD1968" s="38"/>
      <c r="AE1968" s="38"/>
      <c r="AF1968" s="38"/>
      <c r="AG1968" s="38"/>
      <c r="AH1968" s="38"/>
      <c r="AI1968" s="38"/>
      <c r="AJ1968" s="38"/>
      <c r="AK1968" s="38"/>
    </row>
    <row r="1969">
      <c r="A1969" s="99">
        <v>1968.0</v>
      </c>
      <c r="B1969" s="15"/>
      <c r="C1969" s="15"/>
      <c r="D1969" s="105">
        <v>1.0</v>
      </c>
      <c r="E1969" s="102">
        <v>37.0</v>
      </c>
      <c r="F1969" s="107">
        <v>85.0</v>
      </c>
      <c r="G1969" s="15" t="str">
        <f t="shared" si="1"/>
        <v>37085</v>
      </c>
      <c r="H1969" s="23" t="s">
        <v>1606</v>
      </c>
      <c r="I1969" s="23" t="s">
        <v>96</v>
      </c>
      <c r="J1969" s="23" t="s">
        <v>382</v>
      </c>
      <c r="K1969" s="23" t="str">
        <f t="shared" si="34"/>
        <v>Harnett, NC</v>
      </c>
      <c r="L1969" s="23">
        <v>225.0</v>
      </c>
      <c r="M1969" s="23" t="s">
        <v>63</v>
      </c>
      <c r="N1969" s="23">
        <v>77.0</v>
      </c>
      <c r="O1969" s="23">
        <v>61.0</v>
      </c>
      <c r="P1969" s="23" t="s">
        <v>63</v>
      </c>
      <c r="Q1969" s="23" t="s">
        <v>63</v>
      </c>
      <c r="R1969" s="23" t="s">
        <v>63</v>
      </c>
      <c r="S1969" s="23" t="s">
        <v>63</v>
      </c>
      <c r="T1969" s="32">
        <v>0.235</v>
      </c>
      <c r="U1969" s="23" t="s">
        <v>63</v>
      </c>
      <c r="V1969" s="23" t="s">
        <v>63</v>
      </c>
      <c r="W1969" s="23" t="s">
        <v>63</v>
      </c>
      <c r="X1969" s="23" t="s">
        <v>63</v>
      </c>
      <c r="Y1969" s="35">
        <v>164.0</v>
      </c>
      <c r="Z1969" s="32" t="s">
        <v>63</v>
      </c>
      <c r="AA1969" s="38"/>
      <c r="AB1969" s="38"/>
      <c r="AC1969" s="38"/>
      <c r="AD1969" s="38"/>
      <c r="AE1969" s="38"/>
      <c r="AF1969" s="38"/>
      <c r="AG1969" s="38"/>
      <c r="AH1969" s="38"/>
      <c r="AI1969" s="38"/>
      <c r="AJ1969" s="38"/>
      <c r="AK1969" s="38"/>
    </row>
    <row r="1970">
      <c r="A1970" s="99">
        <v>1969.0</v>
      </c>
      <c r="B1970" s="15"/>
      <c r="C1970" s="15"/>
      <c r="D1970" s="105">
        <v>1.0</v>
      </c>
      <c r="E1970" s="102">
        <v>37.0</v>
      </c>
      <c r="F1970" s="107">
        <v>87.0</v>
      </c>
      <c r="G1970" s="15" t="str">
        <f t="shared" si="1"/>
        <v>37087</v>
      </c>
      <c r="H1970" s="23" t="s">
        <v>1607</v>
      </c>
      <c r="I1970" s="23" t="s">
        <v>96</v>
      </c>
      <c r="J1970" s="23" t="s">
        <v>382</v>
      </c>
      <c r="K1970" s="23" t="str">
        <f t="shared" si="34"/>
        <v>Haywood, NC</v>
      </c>
      <c r="L1970" s="23">
        <v>133.0</v>
      </c>
      <c r="M1970" s="23" t="s">
        <v>63</v>
      </c>
      <c r="N1970" s="23">
        <v>39.0</v>
      </c>
      <c r="O1970" s="23">
        <v>16.0</v>
      </c>
      <c r="P1970" s="23" t="s">
        <v>63</v>
      </c>
      <c r="Q1970" s="23" t="s">
        <v>63</v>
      </c>
      <c r="R1970" s="23" t="s">
        <v>63</v>
      </c>
      <c r="S1970" s="23" t="s">
        <v>63</v>
      </c>
      <c r="T1970" s="32">
        <v>0.087</v>
      </c>
      <c r="U1970" s="23" t="s">
        <v>63</v>
      </c>
      <c r="V1970" s="23" t="s">
        <v>63</v>
      </c>
      <c r="W1970" s="23" t="s">
        <v>63</v>
      </c>
      <c r="X1970" s="23" t="s">
        <v>63</v>
      </c>
      <c r="Y1970" s="35">
        <v>85.0</v>
      </c>
      <c r="Z1970" s="32" t="s">
        <v>63</v>
      </c>
      <c r="AA1970" s="38"/>
      <c r="AB1970" s="38"/>
      <c r="AC1970" s="38"/>
      <c r="AD1970" s="38"/>
      <c r="AE1970" s="38"/>
      <c r="AF1970" s="38"/>
      <c r="AG1970" s="38"/>
      <c r="AH1970" s="38"/>
      <c r="AI1970" s="38"/>
      <c r="AJ1970" s="38"/>
      <c r="AK1970" s="38"/>
    </row>
    <row r="1971">
      <c r="A1971" s="99">
        <v>1970.0</v>
      </c>
      <c r="B1971" s="15"/>
      <c r="C1971" s="15"/>
      <c r="D1971" s="105">
        <v>1.0</v>
      </c>
      <c r="E1971" s="102">
        <v>37.0</v>
      </c>
      <c r="F1971" s="107">
        <v>89.0</v>
      </c>
      <c r="G1971" s="15" t="str">
        <f t="shared" si="1"/>
        <v>37089</v>
      </c>
      <c r="H1971" s="23" t="s">
        <v>722</v>
      </c>
      <c r="I1971" s="23" t="s">
        <v>96</v>
      </c>
      <c r="J1971" s="23" t="s">
        <v>382</v>
      </c>
      <c r="K1971" s="23" t="str">
        <f t="shared" si="34"/>
        <v>Henderson, NC</v>
      </c>
      <c r="L1971" s="23">
        <v>122.0</v>
      </c>
      <c r="M1971" s="23" t="s">
        <v>63</v>
      </c>
      <c r="N1971" s="23">
        <v>43.0</v>
      </c>
      <c r="O1971" s="23">
        <v>25.0</v>
      </c>
      <c r="P1971" s="23" t="s">
        <v>63</v>
      </c>
      <c r="Q1971" s="23" t="s">
        <v>63</v>
      </c>
      <c r="R1971" s="23" t="s">
        <v>63</v>
      </c>
      <c r="S1971" s="23" t="s">
        <v>63</v>
      </c>
      <c r="T1971" s="32">
        <v>0.467</v>
      </c>
      <c r="U1971" s="23" t="s">
        <v>63</v>
      </c>
      <c r="V1971" s="23" t="s">
        <v>63</v>
      </c>
      <c r="W1971" s="23" t="s">
        <v>63</v>
      </c>
      <c r="X1971" s="23" t="s">
        <v>63</v>
      </c>
      <c r="Y1971" s="35">
        <v>106.0</v>
      </c>
      <c r="Z1971" s="32" t="s">
        <v>63</v>
      </c>
      <c r="AA1971" s="38"/>
      <c r="AB1971" s="38"/>
      <c r="AC1971" s="38"/>
      <c r="AD1971" s="38"/>
      <c r="AE1971" s="38"/>
      <c r="AF1971" s="38"/>
      <c r="AG1971" s="38"/>
      <c r="AH1971" s="38"/>
      <c r="AI1971" s="38"/>
      <c r="AJ1971" s="38"/>
      <c r="AK1971" s="38"/>
    </row>
    <row r="1972">
      <c r="A1972" s="99">
        <v>1971.0</v>
      </c>
      <c r="B1972" s="15"/>
      <c r="C1972" s="15"/>
      <c r="D1972" s="105">
        <v>1.0</v>
      </c>
      <c r="E1972" s="102">
        <v>37.0</v>
      </c>
      <c r="F1972" s="107">
        <v>91.0</v>
      </c>
      <c r="G1972" s="15" t="str">
        <f t="shared" si="1"/>
        <v>37091</v>
      </c>
      <c r="H1972" s="23" t="s">
        <v>1608</v>
      </c>
      <c r="I1972" s="23" t="s">
        <v>96</v>
      </c>
      <c r="J1972" s="23" t="s">
        <v>382</v>
      </c>
      <c r="K1972" s="23" t="str">
        <f t="shared" si="34"/>
        <v>Hertford, NC</v>
      </c>
      <c r="L1972" s="23">
        <v>5.0</v>
      </c>
      <c r="M1972" s="23" t="s">
        <v>63</v>
      </c>
      <c r="N1972" s="23">
        <v>2.0</v>
      </c>
      <c r="O1972" s="23">
        <v>0.0</v>
      </c>
      <c r="P1972" s="23" t="s">
        <v>63</v>
      </c>
      <c r="Q1972" s="23" t="s">
        <v>63</v>
      </c>
      <c r="R1972" s="23" t="s">
        <v>63</v>
      </c>
      <c r="S1972" s="23" t="s">
        <v>63</v>
      </c>
      <c r="T1972" s="32" t="s">
        <v>63</v>
      </c>
      <c r="U1972" s="23" t="s">
        <v>63</v>
      </c>
      <c r="V1972" s="23" t="s">
        <v>63</v>
      </c>
      <c r="W1972" s="23" t="s">
        <v>63</v>
      </c>
      <c r="X1972" s="23" t="s">
        <v>63</v>
      </c>
      <c r="Y1972" s="35">
        <v>46.0</v>
      </c>
      <c r="Z1972" s="32" t="s">
        <v>63</v>
      </c>
      <c r="AA1972" s="38"/>
      <c r="AB1972" s="38"/>
      <c r="AC1972" s="38"/>
      <c r="AD1972" s="38"/>
      <c r="AE1972" s="38"/>
      <c r="AF1972" s="38"/>
      <c r="AG1972" s="38"/>
      <c r="AH1972" s="38"/>
      <c r="AI1972" s="38"/>
      <c r="AJ1972" s="38"/>
      <c r="AK1972" s="38"/>
    </row>
    <row r="1973">
      <c r="A1973" s="99">
        <v>1972.0</v>
      </c>
      <c r="B1973" s="15"/>
      <c r="C1973" s="15"/>
      <c r="D1973" s="105">
        <v>1.0</v>
      </c>
      <c r="E1973" s="102">
        <v>37.0</v>
      </c>
      <c r="F1973" s="107">
        <v>93.0</v>
      </c>
      <c r="G1973" s="15" t="str">
        <f t="shared" si="1"/>
        <v>37093</v>
      </c>
      <c r="H1973" s="23" t="s">
        <v>1609</v>
      </c>
      <c r="I1973" s="23" t="s">
        <v>96</v>
      </c>
      <c r="J1973" s="23" t="s">
        <v>382</v>
      </c>
      <c r="K1973" s="23" t="str">
        <f t="shared" si="34"/>
        <v>Hoke, NC</v>
      </c>
      <c r="L1973" s="23">
        <v>71.0</v>
      </c>
      <c r="M1973" s="23" t="s">
        <v>63</v>
      </c>
      <c r="N1973" s="23">
        <v>8.0</v>
      </c>
      <c r="O1973" s="23">
        <v>36.0</v>
      </c>
      <c r="P1973" s="23" t="s">
        <v>63</v>
      </c>
      <c r="Q1973" s="23" t="s">
        <v>63</v>
      </c>
      <c r="R1973" s="23" t="s">
        <v>63</v>
      </c>
      <c r="S1973" s="23" t="s">
        <v>63</v>
      </c>
      <c r="T1973" s="32">
        <v>0.444</v>
      </c>
      <c r="U1973" s="23" t="s">
        <v>63</v>
      </c>
      <c r="V1973" s="23" t="s">
        <v>63</v>
      </c>
      <c r="W1973" s="23" t="s">
        <v>63</v>
      </c>
      <c r="X1973" s="23" t="s">
        <v>63</v>
      </c>
      <c r="Y1973" s="35">
        <v>61.0</v>
      </c>
      <c r="Z1973" s="32" t="s">
        <v>63</v>
      </c>
      <c r="AA1973" s="38"/>
      <c r="AB1973" s="38"/>
      <c r="AC1973" s="38"/>
      <c r="AD1973" s="38"/>
      <c r="AE1973" s="38"/>
      <c r="AF1973" s="38"/>
      <c r="AG1973" s="38"/>
      <c r="AH1973" s="38"/>
      <c r="AI1973" s="38"/>
      <c r="AJ1973" s="38"/>
      <c r="AK1973" s="38"/>
    </row>
    <row r="1974">
      <c r="A1974" s="99">
        <v>1973.0</v>
      </c>
      <c r="B1974" s="15"/>
      <c r="C1974" s="15"/>
      <c r="D1974" s="105">
        <v>1.0</v>
      </c>
      <c r="E1974" s="102">
        <v>37.0</v>
      </c>
      <c r="F1974" s="107">
        <v>95.0</v>
      </c>
      <c r="G1974" s="15" t="str">
        <f t="shared" si="1"/>
        <v>37095</v>
      </c>
      <c r="H1974" s="23" t="s">
        <v>1610</v>
      </c>
      <c r="I1974" s="23" t="s">
        <v>96</v>
      </c>
      <c r="J1974" s="23" t="s">
        <v>382</v>
      </c>
      <c r="K1974" s="23" t="str">
        <f t="shared" si="34"/>
        <v>Hyde, NC</v>
      </c>
      <c r="L1974" s="23">
        <v>6.0</v>
      </c>
      <c r="M1974" s="23" t="s">
        <v>63</v>
      </c>
      <c r="N1974" s="23">
        <v>0.0</v>
      </c>
      <c r="O1974" s="23">
        <v>3.0</v>
      </c>
      <c r="P1974" s="23" t="s">
        <v>63</v>
      </c>
      <c r="Q1974" s="23" t="s">
        <v>63</v>
      </c>
      <c r="R1974" s="23" t="s">
        <v>63</v>
      </c>
      <c r="S1974" s="23" t="s">
        <v>63</v>
      </c>
      <c r="T1974" s="32" t="s">
        <v>63</v>
      </c>
      <c r="U1974" s="23" t="s">
        <v>63</v>
      </c>
      <c r="V1974" s="23" t="s">
        <v>63</v>
      </c>
      <c r="W1974" s="23" t="s">
        <v>63</v>
      </c>
      <c r="X1974" s="23" t="s">
        <v>63</v>
      </c>
      <c r="Y1974" s="35">
        <v>7.0</v>
      </c>
      <c r="Z1974" s="32" t="s">
        <v>63</v>
      </c>
      <c r="AA1974" s="38"/>
      <c r="AB1974" s="38"/>
      <c r="AC1974" s="38"/>
      <c r="AD1974" s="38"/>
      <c r="AE1974" s="38"/>
      <c r="AF1974" s="38"/>
      <c r="AG1974" s="38"/>
      <c r="AH1974" s="38"/>
      <c r="AI1974" s="38"/>
      <c r="AJ1974" s="38"/>
      <c r="AK1974" s="38"/>
    </row>
    <row r="1975">
      <c r="A1975" s="99">
        <v>1974.0</v>
      </c>
      <c r="B1975" s="15"/>
      <c r="C1975" s="15"/>
      <c r="D1975" s="105">
        <v>1.0</v>
      </c>
      <c r="E1975" s="102">
        <v>37.0</v>
      </c>
      <c r="F1975" s="107">
        <v>97.0</v>
      </c>
      <c r="G1975" s="15" t="str">
        <f t="shared" si="1"/>
        <v>37097</v>
      </c>
      <c r="H1975" s="23" t="s">
        <v>1611</v>
      </c>
      <c r="I1975" s="23" t="s">
        <v>96</v>
      </c>
      <c r="J1975" s="23" t="s">
        <v>382</v>
      </c>
      <c r="K1975" s="23" t="str">
        <f t="shared" si="34"/>
        <v>Iredell, NC</v>
      </c>
      <c r="L1975" s="23">
        <v>120.0</v>
      </c>
      <c r="M1975" s="23" t="s">
        <v>63</v>
      </c>
      <c r="N1975" s="23">
        <v>56.0</v>
      </c>
      <c r="O1975" s="23">
        <v>32.0</v>
      </c>
      <c r="P1975" s="23" t="s">
        <v>63</v>
      </c>
      <c r="Q1975" s="23" t="s">
        <v>63</v>
      </c>
      <c r="R1975" s="23" t="s">
        <v>63</v>
      </c>
      <c r="S1975" s="23" t="s">
        <v>63</v>
      </c>
      <c r="T1975" s="32">
        <v>0.41</v>
      </c>
      <c r="U1975" s="23" t="s">
        <v>63</v>
      </c>
      <c r="V1975" s="23" t="s">
        <v>63</v>
      </c>
      <c r="W1975" s="23" t="s">
        <v>63</v>
      </c>
      <c r="X1975" s="23" t="s">
        <v>63</v>
      </c>
      <c r="Y1975" s="35">
        <v>213.0</v>
      </c>
      <c r="Z1975" s="32" t="s">
        <v>63</v>
      </c>
      <c r="AA1975" s="38"/>
      <c r="AB1975" s="38"/>
      <c r="AC1975" s="38"/>
      <c r="AD1975" s="38"/>
      <c r="AE1975" s="38"/>
      <c r="AF1975" s="38"/>
      <c r="AG1975" s="38"/>
      <c r="AH1975" s="38"/>
      <c r="AI1975" s="38"/>
      <c r="AJ1975" s="38"/>
      <c r="AK1975" s="38"/>
    </row>
    <row r="1976">
      <c r="A1976" s="99">
        <v>1975.0</v>
      </c>
      <c r="B1976" s="15"/>
      <c r="C1976" s="15"/>
      <c r="D1976" s="105">
        <v>1.0</v>
      </c>
      <c r="E1976" s="102">
        <v>37.0</v>
      </c>
      <c r="F1976" s="107">
        <v>99.0</v>
      </c>
      <c r="G1976" s="15" t="str">
        <f t="shared" si="1"/>
        <v>37099</v>
      </c>
      <c r="H1976" s="23" t="s">
        <v>142</v>
      </c>
      <c r="I1976" s="23" t="s">
        <v>96</v>
      </c>
      <c r="J1976" s="23" t="s">
        <v>382</v>
      </c>
      <c r="K1976" s="23" t="str">
        <f t="shared" si="34"/>
        <v>Jackson, NC</v>
      </c>
      <c r="L1976" s="23">
        <v>88.0</v>
      </c>
      <c r="M1976" s="23" t="s">
        <v>63</v>
      </c>
      <c r="N1976" s="23">
        <v>19.0</v>
      </c>
      <c r="O1976" s="23">
        <v>14.0</v>
      </c>
      <c r="P1976" s="23" t="s">
        <v>63</v>
      </c>
      <c r="Q1976" s="23" t="s">
        <v>63</v>
      </c>
      <c r="R1976" s="23" t="s">
        <v>63</v>
      </c>
      <c r="S1976" s="23" t="s">
        <v>63</v>
      </c>
      <c r="T1976" s="32">
        <v>1.0</v>
      </c>
      <c r="U1976" s="23" t="s">
        <v>63</v>
      </c>
      <c r="V1976" s="23" t="s">
        <v>63</v>
      </c>
      <c r="W1976" s="23" t="s">
        <v>63</v>
      </c>
      <c r="X1976" s="23" t="s">
        <v>63</v>
      </c>
      <c r="Y1976" s="35">
        <v>51.0</v>
      </c>
      <c r="Z1976" s="32" t="s">
        <v>63</v>
      </c>
      <c r="AA1976" s="38"/>
      <c r="AB1976" s="38"/>
      <c r="AC1976" s="38"/>
      <c r="AD1976" s="38"/>
      <c r="AE1976" s="38"/>
      <c r="AF1976" s="38"/>
      <c r="AG1976" s="38"/>
      <c r="AH1976" s="38"/>
      <c r="AI1976" s="38"/>
      <c r="AJ1976" s="38"/>
      <c r="AK1976" s="38"/>
    </row>
    <row r="1977">
      <c r="A1977" s="99">
        <v>1976.0</v>
      </c>
      <c r="B1977" s="15"/>
      <c r="C1977" s="15"/>
      <c r="D1977" s="105">
        <v>1.0</v>
      </c>
      <c r="E1977" s="102">
        <v>37.0</v>
      </c>
      <c r="F1977" s="107">
        <v>101.0</v>
      </c>
      <c r="G1977" s="15" t="str">
        <f t="shared" si="1"/>
        <v>37101</v>
      </c>
      <c r="H1977" s="23" t="s">
        <v>1612</v>
      </c>
      <c r="I1977" s="23" t="s">
        <v>96</v>
      </c>
      <c r="J1977" s="23" t="s">
        <v>382</v>
      </c>
      <c r="K1977" s="23" t="str">
        <f t="shared" si="34"/>
        <v>Johnston, NC</v>
      </c>
      <c r="L1977" s="23">
        <v>310.0</v>
      </c>
      <c r="M1977" s="23" t="s">
        <v>63</v>
      </c>
      <c r="N1977" s="23">
        <v>161.0</v>
      </c>
      <c r="O1977" s="23">
        <v>52.0</v>
      </c>
      <c r="P1977" s="23" t="s">
        <v>63</v>
      </c>
      <c r="Q1977" s="23" t="s">
        <v>63</v>
      </c>
      <c r="R1977" s="23" t="s">
        <v>63</v>
      </c>
      <c r="S1977" s="23" t="s">
        <v>63</v>
      </c>
      <c r="T1977" s="32">
        <v>0.518</v>
      </c>
      <c r="U1977" s="23" t="s">
        <v>63</v>
      </c>
      <c r="V1977" s="23" t="s">
        <v>63</v>
      </c>
      <c r="W1977" s="23" t="s">
        <v>63</v>
      </c>
      <c r="X1977" s="23" t="s">
        <v>63</v>
      </c>
      <c r="Y1977" s="35">
        <v>209.0</v>
      </c>
      <c r="Z1977" s="32" t="s">
        <v>63</v>
      </c>
      <c r="AA1977" s="38"/>
      <c r="AB1977" s="38"/>
      <c r="AC1977" s="38"/>
      <c r="AD1977" s="38"/>
      <c r="AE1977" s="38"/>
      <c r="AF1977" s="38"/>
      <c r="AG1977" s="38"/>
      <c r="AH1977" s="38"/>
      <c r="AI1977" s="38"/>
      <c r="AJ1977" s="38"/>
      <c r="AK1977" s="38"/>
    </row>
    <row r="1978">
      <c r="A1978" s="99">
        <v>1977.0</v>
      </c>
      <c r="B1978" s="15"/>
      <c r="C1978" s="15"/>
      <c r="D1978" s="105">
        <v>1.0</v>
      </c>
      <c r="E1978" s="102">
        <v>37.0</v>
      </c>
      <c r="F1978" s="107">
        <v>103.0</v>
      </c>
      <c r="G1978" s="15" t="str">
        <f t="shared" si="1"/>
        <v>37103</v>
      </c>
      <c r="H1978" s="23" t="s">
        <v>598</v>
      </c>
      <c r="I1978" s="23" t="s">
        <v>96</v>
      </c>
      <c r="J1978" s="23" t="s">
        <v>382</v>
      </c>
      <c r="K1978" s="23" t="str">
        <f t="shared" si="34"/>
        <v>Jones, NC</v>
      </c>
      <c r="L1978" s="23">
        <v>13.0</v>
      </c>
      <c r="M1978" s="23" t="s">
        <v>63</v>
      </c>
      <c r="N1978" s="23">
        <v>3.0</v>
      </c>
      <c r="O1978" s="23">
        <v>7.0</v>
      </c>
      <c r="P1978" s="23" t="s">
        <v>63</v>
      </c>
      <c r="Q1978" s="23" t="s">
        <v>63</v>
      </c>
      <c r="R1978" s="23" t="s">
        <v>63</v>
      </c>
      <c r="S1978" s="23" t="s">
        <v>63</v>
      </c>
      <c r="T1978" s="32">
        <v>0.6</v>
      </c>
      <c r="U1978" s="23" t="s">
        <v>63</v>
      </c>
      <c r="V1978" s="23" t="s">
        <v>63</v>
      </c>
      <c r="W1978" s="23" t="s">
        <v>63</v>
      </c>
      <c r="X1978" s="23" t="s">
        <v>63</v>
      </c>
      <c r="Y1978" s="35">
        <v>26.0</v>
      </c>
      <c r="Z1978" s="32" t="s">
        <v>63</v>
      </c>
      <c r="AA1978" s="38"/>
      <c r="AB1978" s="38"/>
      <c r="AC1978" s="38"/>
      <c r="AD1978" s="38"/>
      <c r="AE1978" s="38"/>
      <c r="AF1978" s="38"/>
      <c r="AG1978" s="38"/>
      <c r="AH1978" s="38"/>
      <c r="AI1978" s="38"/>
      <c r="AJ1978" s="38"/>
      <c r="AK1978" s="38"/>
    </row>
    <row r="1979">
      <c r="A1979" s="99">
        <v>1978.0</v>
      </c>
      <c r="B1979" s="15"/>
      <c r="C1979" s="15"/>
      <c r="D1979" s="105">
        <v>1.0</v>
      </c>
      <c r="E1979" s="102">
        <v>37.0</v>
      </c>
      <c r="F1979" s="107">
        <v>105.0</v>
      </c>
      <c r="G1979" s="15" t="str">
        <f t="shared" si="1"/>
        <v>37105</v>
      </c>
      <c r="H1979" s="23" t="s">
        <v>147</v>
      </c>
      <c r="I1979" s="23" t="s">
        <v>96</v>
      </c>
      <c r="J1979" s="23" t="s">
        <v>382</v>
      </c>
      <c r="K1979" s="23" t="str">
        <f t="shared" si="34"/>
        <v>Lee, NC</v>
      </c>
      <c r="L1979" s="23">
        <v>26.0</v>
      </c>
      <c r="M1979" s="23" t="s">
        <v>63</v>
      </c>
      <c r="N1979" s="23">
        <v>11.0</v>
      </c>
      <c r="O1979" s="23">
        <v>9.0</v>
      </c>
      <c r="P1979" s="23" t="s">
        <v>63</v>
      </c>
      <c r="Q1979" s="23" t="s">
        <v>63</v>
      </c>
      <c r="R1979" s="23" t="s">
        <v>63</v>
      </c>
      <c r="S1979" s="23" t="s">
        <v>63</v>
      </c>
      <c r="T1979" s="32">
        <v>0.5</v>
      </c>
      <c r="U1979" s="23" t="s">
        <v>63</v>
      </c>
      <c r="V1979" s="23" t="s">
        <v>63</v>
      </c>
      <c r="W1979" s="23" t="s">
        <v>63</v>
      </c>
      <c r="X1979" s="23" t="s">
        <v>63</v>
      </c>
      <c r="Y1979" s="35">
        <v>101.0</v>
      </c>
      <c r="Z1979" s="32" t="s">
        <v>63</v>
      </c>
      <c r="AA1979" s="38"/>
      <c r="AB1979" s="38"/>
      <c r="AC1979" s="38"/>
      <c r="AD1979" s="38"/>
      <c r="AE1979" s="38"/>
      <c r="AF1979" s="38"/>
      <c r="AG1979" s="38"/>
      <c r="AH1979" s="38"/>
      <c r="AI1979" s="38"/>
      <c r="AJ1979" s="38"/>
      <c r="AK1979" s="38"/>
    </row>
    <row r="1980">
      <c r="A1980" s="99">
        <v>1979.0</v>
      </c>
      <c r="B1980" s="15"/>
      <c r="C1980" s="15"/>
      <c r="D1980" s="105">
        <v>1.0</v>
      </c>
      <c r="E1980" s="102">
        <v>37.0</v>
      </c>
      <c r="F1980" s="107">
        <v>107.0</v>
      </c>
      <c r="G1980" s="15" t="str">
        <f t="shared" si="1"/>
        <v>37107</v>
      </c>
      <c r="H1980" s="23" t="s">
        <v>1613</v>
      </c>
      <c r="I1980" s="23" t="s">
        <v>96</v>
      </c>
      <c r="J1980" s="23" t="s">
        <v>382</v>
      </c>
      <c r="K1980" s="23" t="str">
        <f t="shared" si="34"/>
        <v>Lenoir, NC</v>
      </c>
      <c r="L1980" s="23">
        <v>63.0</v>
      </c>
      <c r="M1980" s="23" t="s">
        <v>63</v>
      </c>
      <c r="N1980" s="23">
        <v>24.0</v>
      </c>
      <c r="O1980" s="23">
        <v>21.0</v>
      </c>
      <c r="P1980" s="23" t="s">
        <v>63</v>
      </c>
      <c r="Q1980" s="23" t="s">
        <v>63</v>
      </c>
      <c r="R1980" s="23" t="s">
        <v>63</v>
      </c>
      <c r="S1980" s="23" t="s">
        <v>63</v>
      </c>
      <c r="T1980" s="32">
        <v>0.75</v>
      </c>
      <c r="U1980" s="23" t="s">
        <v>63</v>
      </c>
      <c r="V1980" s="23" t="s">
        <v>63</v>
      </c>
      <c r="W1980" s="23" t="s">
        <v>63</v>
      </c>
      <c r="X1980" s="23" t="s">
        <v>63</v>
      </c>
      <c r="Y1980" s="35">
        <v>120.0</v>
      </c>
      <c r="Z1980" s="32" t="s">
        <v>63</v>
      </c>
      <c r="AA1980" s="38"/>
      <c r="AB1980" s="38"/>
      <c r="AC1980" s="38"/>
      <c r="AD1980" s="38"/>
      <c r="AE1980" s="38"/>
      <c r="AF1980" s="38"/>
      <c r="AG1980" s="38"/>
      <c r="AH1980" s="38"/>
      <c r="AI1980" s="38"/>
      <c r="AJ1980" s="38"/>
      <c r="AK1980" s="38"/>
    </row>
    <row r="1981">
      <c r="A1981" s="99">
        <v>1980.0</v>
      </c>
      <c r="B1981" s="15"/>
      <c r="C1981" s="15"/>
      <c r="D1981" s="105">
        <v>1.0</v>
      </c>
      <c r="E1981" s="102">
        <v>37.0</v>
      </c>
      <c r="F1981" s="107">
        <v>109.0</v>
      </c>
      <c r="G1981" s="15" t="str">
        <f t="shared" si="1"/>
        <v>37109</v>
      </c>
      <c r="H1981" s="23" t="s">
        <v>290</v>
      </c>
      <c r="I1981" s="23" t="s">
        <v>96</v>
      </c>
      <c r="J1981" s="23" t="s">
        <v>382</v>
      </c>
      <c r="K1981" s="23" t="str">
        <f t="shared" si="34"/>
        <v>Lincoln, NC</v>
      </c>
      <c r="L1981" s="23">
        <v>79.0</v>
      </c>
      <c r="M1981" s="23" t="s">
        <v>63</v>
      </c>
      <c r="N1981" s="23">
        <v>35.0</v>
      </c>
      <c r="O1981" s="23">
        <v>4.0</v>
      </c>
      <c r="P1981" s="23" t="s">
        <v>63</v>
      </c>
      <c r="Q1981" s="23" t="s">
        <v>63</v>
      </c>
      <c r="R1981" s="23" t="s">
        <v>63</v>
      </c>
      <c r="S1981" s="23" t="s">
        <v>63</v>
      </c>
      <c r="T1981" s="32">
        <v>0.889</v>
      </c>
      <c r="U1981" s="23" t="s">
        <v>63</v>
      </c>
      <c r="V1981" s="23" t="s">
        <v>63</v>
      </c>
      <c r="W1981" s="23" t="s">
        <v>63</v>
      </c>
      <c r="X1981" s="23" t="s">
        <v>63</v>
      </c>
      <c r="Y1981" s="35">
        <v>109.0</v>
      </c>
      <c r="Z1981" s="32" t="s">
        <v>63</v>
      </c>
      <c r="AA1981" s="38"/>
      <c r="AB1981" s="38"/>
      <c r="AC1981" s="38"/>
      <c r="AD1981" s="38"/>
      <c r="AE1981" s="38"/>
      <c r="AF1981" s="38"/>
      <c r="AG1981" s="38"/>
      <c r="AH1981" s="38"/>
      <c r="AI1981" s="38"/>
      <c r="AJ1981" s="38"/>
      <c r="AK1981" s="38"/>
    </row>
    <row r="1982">
      <c r="A1982" s="99">
        <v>1981.0</v>
      </c>
      <c r="B1982" s="15"/>
      <c r="C1982" s="15"/>
      <c r="D1982" s="105">
        <v>1.0</v>
      </c>
      <c r="E1982" s="102">
        <v>37.0</v>
      </c>
      <c r="F1982" s="107">
        <v>111.0</v>
      </c>
      <c r="G1982" s="15" t="str">
        <f t="shared" si="1"/>
        <v>37111</v>
      </c>
      <c r="H1982" s="23" t="s">
        <v>1614</v>
      </c>
      <c r="I1982" s="23" t="s">
        <v>96</v>
      </c>
      <c r="J1982" s="23" t="s">
        <v>382</v>
      </c>
      <c r="K1982" s="23" t="str">
        <f t="shared" si="34"/>
        <v>McDowell, NC</v>
      </c>
      <c r="L1982" s="23">
        <v>67.0</v>
      </c>
      <c r="M1982" s="23" t="s">
        <v>63</v>
      </c>
      <c r="N1982" s="23">
        <v>28.0</v>
      </c>
      <c r="O1982" s="23">
        <v>14.0</v>
      </c>
      <c r="P1982" s="23" t="s">
        <v>63</v>
      </c>
      <c r="Q1982" s="23" t="s">
        <v>63</v>
      </c>
      <c r="R1982" s="23" t="s">
        <v>63</v>
      </c>
      <c r="S1982" s="23" t="s">
        <v>63</v>
      </c>
      <c r="T1982" s="32">
        <v>0.375</v>
      </c>
      <c r="U1982" s="23" t="s">
        <v>63</v>
      </c>
      <c r="V1982" s="23" t="s">
        <v>63</v>
      </c>
      <c r="W1982" s="23" t="s">
        <v>63</v>
      </c>
      <c r="X1982" s="23" t="s">
        <v>63</v>
      </c>
      <c r="Y1982" s="35">
        <v>72.0</v>
      </c>
      <c r="Z1982" s="32" t="s">
        <v>63</v>
      </c>
      <c r="AA1982" s="38"/>
      <c r="AB1982" s="38"/>
      <c r="AC1982" s="38"/>
      <c r="AD1982" s="38"/>
      <c r="AE1982" s="38"/>
      <c r="AF1982" s="38"/>
      <c r="AG1982" s="38"/>
      <c r="AH1982" s="38"/>
      <c r="AI1982" s="38"/>
      <c r="AJ1982" s="38"/>
      <c r="AK1982" s="38"/>
    </row>
    <row r="1983">
      <c r="A1983" s="99">
        <v>1982.0</v>
      </c>
      <c r="B1983" s="15"/>
      <c r="C1983" s="15"/>
      <c r="D1983" s="105">
        <v>1.0</v>
      </c>
      <c r="E1983" s="102">
        <v>37.0</v>
      </c>
      <c r="F1983" s="107">
        <v>113.0</v>
      </c>
      <c r="G1983" s="15" t="str">
        <f t="shared" si="1"/>
        <v>37113</v>
      </c>
      <c r="H1983" s="23" t="s">
        <v>150</v>
      </c>
      <c r="I1983" s="23" t="s">
        <v>96</v>
      </c>
      <c r="J1983" s="23" t="s">
        <v>382</v>
      </c>
      <c r="K1983" s="23" t="str">
        <f t="shared" si="34"/>
        <v>Macon, NC</v>
      </c>
      <c r="L1983" s="23">
        <v>20.0</v>
      </c>
      <c r="M1983" s="23" t="s">
        <v>63</v>
      </c>
      <c r="N1983" s="23">
        <v>6.0</v>
      </c>
      <c r="O1983" s="23">
        <v>1.0</v>
      </c>
      <c r="P1983" s="23" t="s">
        <v>63</v>
      </c>
      <c r="Q1983" s="23" t="s">
        <v>63</v>
      </c>
      <c r="R1983" s="23" t="s">
        <v>63</v>
      </c>
      <c r="S1983" s="23" t="s">
        <v>63</v>
      </c>
      <c r="T1983" s="32">
        <v>0.286</v>
      </c>
      <c r="U1983" s="23" t="s">
        <v>63</v>
      </c>
      <c r="V1983" s="23" t="s">
        <v>63</v>
      </c>
      <c r="W1983" s="23" t="s">
        <v>63</v>
      </c>
      <c r="X1983" s="23" t="s">
        <v>63</v>
      </c>
      <c r="Y1983" s="35">
        <v>63.0</v>
      </c>
      <c r="Z1983" s="32" t="s">
        <v>63</v>
      </c>
      <c r="AA1983" s="38"/>
      <c r="AB1983" s="38"/>
      <c r="AC1983" s="38"/>
      <c r="AD1983" s="38"/>
      <c r="AE1983" s="38"/>
      <c r="AF1983" s="38"/>
      <c r="AG1983" s="38"/>
      <c r="AH1983" s="38"/>
      <c r="AI1983" s="38"/>
      <c r="AJ1983" s="38"/>
      <c r="AK1983" s="38"/>
    </row>
    <row r="1984">
      <c r="A1984" s="99">
        <v>1983.0</v>
      </c>
      <c r="B1984" s="15"/>
      <c r="C1984" s="15"/>
      <c r="D1984" s="105">
        <v>1.0</v>
      </c>
      <c r="E1984" s="102">
        <v>37.0</v>
      </c>
      <c r="F1984" s="107">
        <v>115.0</v>
      </c>
      <c r="G1984" s="15" t="str">
        <f t="shared" si="1"/>
        <v>37115</v>
      </c>
      <c r="H1984" s="23" t="s">
        <v>151</v>
      </c>
      <c r="I1984" s="23" t="s">
        <v>96</v>
      </c>
      <c r="J1984" s="23" t="s">
        <v>382</v>
      </c>
      <c r="K1984" s="23" t="str">
        <f t="shared" si="34"/>
        <v>Madison, NC</v>
      </c>
      <c r="L1984" s="23">
        <v>31.0</v>
      </c>
      <c r="M1984" s="23" t="s">
        <v>63</v>
      </c>
      <c r="N1984" s="23">
        <v>13.0</v>
      </c>
      <c r="O1984" s="23">
        <v>6.0</v>
      </c>
      <c r="P1984" s="23" t="s">
        <v>63</v>
      </c>
      <c r="Q1984" s="23" t="s">
        <v>63</v>
      </c>
      <c r="R1984" s="23" t="s">
        <v>63</v>
      </c>
      <c r="S1984" s="23" t="s">
        <v>63</v>
      </c>
      <c r="T1984" s="32" t="s">
        <v>63</v>
      </c>
      <c r="U1984" s="23" t="s">
        <v>63</v>
      </c>
      <c r="V1984" s="23" t="s">
        <v>63</v>
      </c>
      <c r="W1984" s="23" t="s">
        <v>63</v>
      </c>
      <c r="X1984" s="23" t="s">
        <v>63</v>
      </c>
      <c r="Y1984" s="35">
        <v>23.0</v>
      </c>
      <c r="Z1984" s="32" t="s">
        <v>63</v>
      </c>
      <c r="AA1984" s="38"/>
      <c r="AB1984" s="38"/>
      <c r="AC1984" s="38"/>
      <c r="AD1984" s="38"/>
      <c r="AE1984" s="38"/>
      <c r="AF1984" s="38"/>
      <c r="AG1984" s="38"/>
      <c r="AH1984" s="38"/>
      <c r="AI1984" s="38"/>
      <c r="AJ1984" s="38"/>
      <c r="AK1984" s="38"/>
    </row>
    <row r="1985">
      <c r="A1985" s="99">
        <v>1984.0</v>
      </c>
      <c r="B1985" s="15"/>
      <c r="C1985" s="15"/>
      <c r="D1985" s="105">
        <v>1.0</v>
      </c>
      <c r="E1985" s="102">
        <v>37.0</v>
      </c>
      <c r="F1985" s="107">
        <v>117.0</v>
      </c>
      <c r="G1985" s="15" t="str">
        <f t="shared" si="1"/>
        <v>37117</v>
      </c>
      <c r="H1985" s="23" t="s">
        <v>510</v>
      </c>
      <c r="I1985" s="23" t="s">
        <v>96</v>
      </c>
      <c r="J1985" s="23" t="s">
        <v>382</v>
      </c>
      <c r="K1985" s="23" t="str">
        <f t="shared" si="34"/>
        <v>Martin, NC</v>
      </c>
      <c r="L1985" s="23">
        <v>104.0</v>
      </c>
      <c r="M1985" s="23" t="s">
        <v>63</v>
      </c>
      <c r="N1985" s="23">
        <v>36.0</v>
      </c>
      <c r="O1985" s="23">
        <v>23.0</v>
      </c>
      <c r="P1985" s="23" t="s">
        <v>63</v>
      </c>
      <c r="Q1985" s="23" t="s">
        <v>63</v>
      </c>
      <c r="R1985" s="23" t="s">
        <v>63</v>
      </c>
      <c r="S1985" s="23" t="s">
        <v>63</v>
      </c>
      <c r="T1985" s="32" t="s">
        <v>63</v>
      </c>
      <c r="U1985" s="23" t="s">
        <v>63</v>
      </c>
      <c r="V1985" s="23" t="s">
        <v>63</v>
      </c>
      <c r="W1985" s="23" t="s">
        <v>63</v>
      </c>
      <c r="X1985" s="23" t="s">
        <v>63</v>
      </c>
      <c r="Y1985" s="35">
        <v>66.0</v>
      </c>
      <c r="Z1985" s="32" t="s">
        <v>63</v>
      </c>
      <c r="AA1985" s="38"/>
      <c r="AB1985" s="38"/>
      <c r="AC1985" s="38"/>
      <c r="AD1985" s="38"/>
      <c r="AE1985" s="38"/>
      <c r="AF1985" s="38"/>
      <c r="AG1985" s="38"/>
      <c r="AH1985" s="38"/>
      <c r="AI1985" s="38"/>
      <c r="AJ1985" s="38"/>
      <c r="AK1985" s="38"/>
    </row>
    <row r="1986">
      <c r="A1986" s="99">
        <v>1985.0</v>
      </c>
      <c r="B1986" s="15"/>
      <c r="C1986" s="15"/>
      <c r="D1986" s="105">
        <v>1.0</v>
      </c>
      <c r="E1986" s="102">
        <v>37.0</v>
      </c>
      <c r="F1986" s="107">
        <v>119.0</v>
      </c>
      <c r="G1986" s="15" t="str">
        <f t="shared" si="1"/>
        <v>37119</v>
      </c>
      <c r="H1986" s="23" t="s">
        <v>381</v>
      </c>
      <c r="I1986" s="23" t="s">
        <v>96</v>
      </c>
      <c r="J1986" s="23" t="s">
        <v>382</v>
      </c>
      <c r="K1986" s="112" t="str">
        <f t="shared" si="34"/>
        <v>Mecklenburg, NC</v>
      </c>
      <c r="L1986" s="23">
        <v>455.0</v>
      </c>
      <c r="M1986" s="23" t="s">
        <v>63</v>
      </c>
      <c r="N1986" s="23">
        <v>162.0</v>
      </c>
      <c r="O1986" s="23">
        <v>97.0</v>
      </c>
      <c r="P1986" s="23" t="s">
        <v>63</v>
      </c>
      <c r="Q1986" s="23" t="s">
        <v>63</v>
      </c>
      <c r="R1986" s="23" t="s">
        <v>63</v>
      </c>
      <c r="S1986" s="23" t="s">
        <v>63</v>
      </c>
      <c r="T1986" s="32">
        <v>0.327</v>
      </c>
      <c r="U1986" s="23" t="s">
        <v>63</v>
      </c>
      <c r="V1986" s="23" t="s">
        <v>63</v>
      </c>
      <c r="W1986" s="23" t="s">
        <v>63</v>
      </c>
      <c r="X1986" s="23" t="s">
        <v>63</v>
      </c>
      <c r="Y1986" s="35">
        <v>583.0</v>
      </c>
      <c r="Z1986" s="32" t="s">
        <v>63</v>
      </c>
      <c r="AA1986" s="38"/>
      <c r="AB1986" s="38"/>
      <c r="AC1986" s="38"/>
      <c r="AD1986" s="38"/>
      <c r="AE1986" s="38"/>
      <c r="AF1986" s="38"/>
      <c r="AG1986" s="38"/>
      <c r="AH1986" s="38"/>
      <c r="AI1986" s="38"/>
      <c r="AJ1986" s="38"/>
      <c r="AK1986" s="38"/>
    </row>
    <row r="1987">
      <c r="A1987" s="99">
        <v>1986.0</v>
      </c>
      <c r="B1987" s="15"/>
      <c r="C1987" s="15"/>
      <c r="D1987" s="105">
        <v>1.0</v>
      </c>
      <c r="E1987" s="102">
        <v>37.0</v>
      </c>
      <c r="F1987" s="107">
        <v>121.0</v>
      </c>
      <c r="G1987" s="15" t="str">
        <f t="shared" si="1"/>
        <v>37121</v>
      </c>
      <c r="H1987" s="23" t="s">
        <v>610</v>
      </c>
      <c r="I1987" s="23" t="s">
        <v>96</v>
      </c>
      <c r="J1987" s="23" t="s">
        <v>382</v>
      </c>
      <c r="K1987" s="23" t="str">
        <f t="shared" si="34"/>
        <v>Mitchell, NC</v>
      </c>
      <c r="L1987" s="23">
        <v>41.0</v>
      </c>
      <c r="M1987" s="23" t="s">
        <v>63</v>
      </c>
      <c r="N1987" s="23">
        <v>15.0</v>
      </c>
      <c r="O1987" s="23">
        <v>9.0</v>
      </c>
      <c r="P1987" s="23" t="s">
        <v>63</v>
      </c>
      <c r="Q1987" s="23" t="s">
        <v>63</v>
      </c>
      <c r="R1987" s="23" t="s">
        <v>63</v>
      </c>
      <c r="S1987" s="23" t="s">
        <v>63</v>
      </c>
      <c r="T1987" s="32">
        <v>0.667</v>
      </c>
      <c r="U1987" s="23" t="s">
        <v>63</v>
      </c>
      <c r="V1987" s="23" t="s">
        <v>63</v>
      </c>
      <c r="W1987" s="23" t="s">
        <v>63</v>
      </c>
      <c r="X1987" s="23" t="s">
        <v>63</v>
      </c>
      <c r="Y1987" s="35">
        <v>32.0</v>
      </c>
      <c r="Z1987" s="32" t="s">
        <v>63</v>
      </c>
      <c r="AA1987" s="38"/>
      <c r="AB1987" s="38"/>
      <c r="AC1987" s="38"/>
      <c r="AD1987" s="38"/>
      <c r="AE1987" s="38"/>
      <c r="AF1987" s="38"/>
      <c r="AG1987" s="38"/>
      <c r="AH1987" s="38"/>
      <c r="AI1987" s="38"/>
      <c r="AJ1987" s="38"/>
      <c r="AK1987" s="38"/>
    </row>
    <row r="1988">
      <c r="A1988" s="99">
        <v>1987.0</v>
      </c>
      <c r="B1988" s="15"/>
      <c r="C1988" s="15"/>
      <c r="D1988" s="105">
        <v>1.0</v>
      </c>
      <c r="E1988" s="102">
        <v>37.0</v>
      </c>
      <c r="F1988" s="107">
        <v>123.0</v>
      </c>
      <c r="G1988" s="15" t="str">
        <f t="shared" si="1"/>
        <v>37123</v>
      </c>
      <c r="H1988" s="23" t="s">
        <v>157</v>
      </c>
      <c r="I1988" s="23" t="s">
        <v>96</v>
      </c>
      <c r="J1988" s="23" t="s">
        <v>382</v>
      </c>
      <c r="K1988" s="112" t="str">
        <f t="shared" si="34"/>
        <v>Montgomery, NC</v>
      </c>
      <c r="L1988" s="23">
        <v>20.0</v>
      </c>
      <c r="M1988" s="23" t="s">
        <v>63</v>
      </c>
      <c r="N1988" s="23">
        <v>10.0</v>
      </c>
      <c r="O1988" s="23">
        <v>3.0</v>
      </c>
      <c r="P1988" s="23" t="s">
        <v>63</v>
      </c>
      <c r="Q1988" s="23" t="s">
        <v>63</v>
      </c>
      <c r="R1988" s="23" t="s">
        <v>63</v>
      </c>
      <c r="S1988" s="23" t="s">
        <v>63</v>
      </c>
      <c r="T1988" s="32">
        <v>0.0</v>
      </c>
      <c r="U1988" s="23" t="s">
        <v>63</v>
      </c>
      <c r="V1988" s="23" t="s">
        <v>63</v>
      </c>
      <c r="W1988" s="23" t="s">
        <v>63</v>
      </c>
      <c r="X1988" s="23" t="s">
        <v>63</v>
      </c>
      <c r="Y1988" s="35">
        <v>59.0</v>
      </c>
      <c r="Z1988" s="32" t="s">
        <v>63</v>
      </c>
      <c r="AA1988" s="38"/>
      <c r="AB1988" s="38"/>
      <c r="AC1988" s="38"/>
      <c r="AD1988" s="38"/>
      <c r="AE1988" s="38"/>
      <c r="AF1988" s="38"/>
      <c r="AG1988" s="38"/>
      <c r="AH1988" s="38"/>
      <c r="AI1988" s="38"/>
      <c r="AJ1988" s="38"/>
      <c r="AK1988" s="38"/>
    </row>
    <row r="1989">
      <c r="A1989" s="99">
        <v>1988.0</v>
      </c>
      <c r="B1989" s="15"/>
      <c r="C1989" s="15"/>
      <c r="D1989" s="105">
        <v>1.0</v>
      </c>
      <c r="E1989" s="102">
        <v>37.0</v>
      </c>
      <c r="F1989" s="107">
        <v>125.0</v>
      </c>
      <c r="G1989" s="15" t="str">
        <f t="shared" si="1"/>
        <v>37125</v>
      </c>
      <c r="H1989" s="23" t="s">
        <v>1615</v>
      </c>
      <c r="I1989" s="23" t="s">
        <v>96</v>
      </c>
      <c r="J1989" s="23" t="s">
        <v>382</v>
      </c>
      <c r="K1989" s="23" t="str">
        <f t="shared" si="34"/>
        <v>Moore, NC</v>
      </c>
      <c r="L1989" s="23">
        <v>55.0</v>
      </c>
      <c r="M1989" s="23" t="s">
        <v>63</v>
      </c>
      <c r="N1989" s="23">
        <v>19.0</v>
      </c>
      <c r="O1989" s="23">
        <v>15.0</v>
      </c>
      <c r="P1989" s="23" t="s">
        <v>63</v>
      </c>
      <c r="Q1989" s="23" t="s">
        <v>63</v>
      </c>
      <c r="R1989" s="23" t="s">
        <v>63</v>
      </c>
      <c r="S1989" s="23" t="s">
        <v>63</v>
      </c>
      <c r="T1989" s="32">
        <v>0.5</v>
      </c>
      <c r="U1989" s="23" t="s">
        <v>63</v>
      </c>
      <c r="V1989" s="23" t="s">
        <v>63</v>
      </c>
      <c r="W1989" s="23" t="s">
        <v>63</v>
      </c>
      <c r="X1989" s="23" t="s">
        <v>63</v>
      </c>
      <c r="Y1989" s="35">
        <v>128.0</v>
      </c>
      <c r="Z1989" s="32" t="s">
        <v>63</v>
      </c>
      <c r="AA1989" s="38"/>
      <c r="AB1989" s="38"/>
      <c r="AC1989" s="38"/>
      <c r="AD1989" s="38"/>
      <c r="AE1989" s="38"/>
      <c r="AF1989" s="38"/>
      <c r="AG1989" s="38"/>
      <c r="AH1989" s="38"/>
      <c r="AI1989" s="38"/>
      <c r="AJ1989" s="38"/>
      <c r="AK1989" s="38"/>
    </row>
    <row r="1990">
      <c r="A1990" s="99">
        <v>1989.0</v>
      </c>
      <c r="B1990" s="15"/>
      <c r="C1990" s="15"/>
      <c r="D1990" s="105">
        <v>1.0</v>
      </c>
      <c r="E1990" s="102">
        <v>37.0</v>
      </c>
      <c r="F1990" s="107">
        <v>127.0</v>
      </c>
      <c r="G1990" s="15" t="str">
        <f t="shared" si="1"/>
        <v>37127</v>
      </c>
      <c r="H1990" s="23" t="s">
        <v>1616</v>
      </c>
      <c r="I1990" s="23" t="s">
        <v>96</v>
      </c>
      <c r="J1990" s="23" t="s">
        <v>382</v>
      </c>
      <c r="K1990" s="23" t="str">
        <f t="shared" si="34"/>
        <v>Nash, NC</v>
      </c>
      <c r="L1990" s="23">
        <v>68.0</v>
      </c>
      <c r="M1990" s="23" t="s">
        <v>63</v>
      </c>
      <c r="N1990" s="23">
        <v>23.0</v>
      </c>
      <c r="O1990" s="23">
        <v>14.0</v>
      </c>
      <c r="P1990" s="23" t="s">
        <v>63</v>
      </c>
      <c r="Q1990" s="23" t="s">
        <v>63</v>
      </c>
      <c r="R1990" s="23" t="s">
        <v>63</v>
      </c>
      <c r="S1990" s="23" t="s">
        <v>63</v>
      </c>
      <c r="T1990" s="32">
        <v>0.561</v>
      </c>
      <c r="U1990" s="23" t="s">
        <v>63</v>
      </c>
      <c r="V1990" s="23" t="s">
        <v>63</v>
      </c>
      <c r="W1990" s="23" t="s">
        <v>63</v>
      </c>
      <c r="X1990" s="23" t="s">
        <v>63</v>
      </c>
      <c r="Y1990" s="35">
        <v>168.0</v>
      </c>
      <c r="Z1990" s="32" t="s">
        <v>63</v>
      </c>
      <c r="AA1990" s="38"/>
      <c r="AB1990" s="38"/>
      <c r="AC1990" s="38"/>
      <c r="AD1990" s="38"/>
      <c r="AE1990" s="38"/>
      <c r="AF1990" s="38"/>
      <c r="AG1990" s="38"/>
      <c r="AH1990" s="38"/>
      <c r="AI1990" s="38"/>
      <c r="AJ1990" s="38"/>
      <c r="AK1990" s="38"/>
    </row>
    <row r="1991">
      <c r="A1991" s="99">
        <v>1990.0</v>
      </c>
      <c r="B1991" s="15"/>
      <c r="C1991" s="15"/>
      <c r="D1991" s="105">
        <v>1.0</v>
      </c>
      <c r="E1991" s="102">
        <v>37.0</v>
      </c>
      <c r="F1991" s="107">
        <v>129.0</v>
      </c>
      <c r="G1991" s="15" t="str">
        <f t="shared" si="1"/>
        <v>37129</v>
      </c>
      <c r="H1991" s="23" t="s">
        <v>1617</v>
      </c>
      <c r="I1991" s="23" t="s">
        <v>96</v>
      </c>
      <c r="J1991" s="23" t="s">
        <v>382</v>
      </c>
      <c r="K1991" s="112" t="str">
        <f t="shared" si="34"/>
        <v>New Hanover, NC</v>
      </c>
      <c r="L1991" s="23">
        <v>301.0</v>
      </c>
      <c r="M1991" s="23" t="s">
        <v>63</v>
      </c>
      <c r="N1991" s="23">
        <v>76.0</v>
      </c>
      <c r="O1991" s="23">
        <v>85.0</v>
      </c>
      <c r="P1991" s="23" t="s">
        <v>63</v>
      </c>
      <c r="Q1991" s="23" t="s">
        <v>63</v>
      </c>
      <c r="R1991" s="23" t="s">
        <v>63</v>
      </c>
      <c r="S1991" s="23" t="s">
        <v>63</v>
      </c>
      <c r="T1991" s="32">
        <v>0.451</v>
      </c>
      <c r="U1991" s="23" t="s">
        <v>63</v>
      </c>
      <c r="V1991" s="23" t="s">
        <v>63</v>
      </c>
      <c r="W1991" s="23" t="s">
        <v>63</v>
      </c>
      <c r="X1991" s="23" t="s">
        <v>63</v>
      </c>
      <c r="Y1991" s="35">
        <v>177.0</v>
      </c>
      <c r="Z1991" s="32" t="s">
        <v>63</v>
      </c>
      <c r="AA1991" s="38"/>
      <c r="AB1991" s="38"/>
      <c r="AC1991" s="38"/>
      <c r="AD1991" s="38"/>
      <c r="AE1991" s="38"/>
      <c r="AF1991" s="38"/>
      <c r="AG1991" s="38"/>
      <c r="AH1991" s="38"/>
      <c r="AI1991" s="38"/>
      <c r="AJ1991" s="38"/>
      <c r="AK1991" s="38"/>
    </row>
    <row r="1992">
      <c r="A1992" s="99">
        <v>1991.0</v>
      </c>
      <c r="B1992" s="15"/>
      <c r="C1992" s="15"/>
      <c r="D1992" s="105">
        <v>1.0</v>
      </c>
      <c r="E1992" s="102">
        <v>37.0</v>
      </c>
      <c r="F1992" s="107">
        <v>131.0</v>
      </c>
      <c r="G1992" s="15" t="str">
        <f t="shared" si="1"/>
        <v>37131</v>
      </c>
      <c r="H1992" s="23" t="s">
        <v>1618</v>
      </c>
      <c r="I1992" s="23" t="s">
        <v>96</v>
      </c>
      <c r="J1992" s="23" t="s">
        <v>382</v>
      </c>
      <c r="K1992" s="112" t="str">
        <f t="shared" si="34"/>
        <v>Northampton, NC</v>
      </c>
      <c r="L1992" s="23">
        <v>3.0</v>
      </c>
      <c r="M1992" s="23" t="s">
        <v>63</v>
      </c>
      <c r="N1992" s="23">
        <v>1.0</v>
      </c>
      <c r="O1992" s="23">
        <v>1.0</v>
      </c>
      <c r="P1992" s="23" t="s">
        <v>63</v>
      </c>
      <c r="Q1992" s="23" t="s">
        <v>63</v>
      </c>
      <c r="R1992" s="23" t="s">
        <v>63</v>
      </c>
      <c r="S1992" s="23" t="s">
        <v>63</v>
      </c>
      <c r="T1992" s="32" t="s">
        <v>63</v>
      </c>
      <c r="U1992" s="23" t="s">
        <v>63</v>
      </c>
      <c r="V1992" s="23" t="s">
        <v>63</v>
      </c>
      <c r="W1992" s="23" t="s">
        <v>63</v>
      </c>
      <c r="X1992" s="23" t="s">
        <v>63</v>
      </c>
      <c r="Y1992" s="35">
        <v>39.0</v>
      </c>
      <c r="Z1992" s="32" t="s">
        <v>63</v>
      </c>
      <c r="AA1992" s="38"/>
      <c r="AB1992" s="38"/>
      <c r="AC1992" s="38"/>
      <c r="AD1992" s="38"/>
      <c r="AE1992" s="38"/>
      <c r="AF1992" s="38"/>
      <c r="AG1992" s="38"/>
      <c r="AH1992" s="38"/>
      <c r="AI1992" s="38"/>
      <c r="AJ1992" s="38"/>
      <c r="AK1992" s="38"/>
    </row>
    <row r="1993">
      <c r="A1993" s="99">
        <v>1992.0</v>
      </c>
      <c r="B1993" s="15"/>
      <c r="C1993" s="15"/>
      <c r="D1993" s="105">
        <v>1.0</v>
      </c>
      <c r="E1993" s="102">
        <v>37.0</v>
      </c>
      <c r="F1993" s="107">
        <v>133.0</v>
      </c>
      <c r="G1993" s="15" t="str">
        <f t="shared" si="1"/>
        <v>37133</v>
      </c>
      <c r="H1993" s="23" t="s">
        <v>1619</v>
      </c>
      <c r="I1993" s="23" t="s">
        <v>96</v>
      </c>
      <c r="J1993" s="23" t="s">
        <v>382</v>
      </c>
      <c r="K1993" s="23" t="str">
        <f t="shared" si="34"/>
        <v>Onslow, NC</v>
      </c>
      <c r="L1993" s="23">
        <v>128.0</v>
      </c>
      <c r="M1993" s="23" t="s">
        <v>63</v>
      </c>
      <c r="N1993" s="23">
        <v>45.0</v>
      </c>
      <c r="O1993" s="23">
        <v>30.0</v>
      </c>
      <c r="P1993" s="23" t="s">
        <v>63</v>
      </c>
      <c r="Q1993" s="23" t="s">
        <v>63</v>
      </c>
      <c r="R1993" s="23" t="s">
        <v>63</v>
      </c>
      <c r="S1993" s="23" t="s">
        <v>63</v>
      </c>
      <c r="T1993" s="32">
        <v>0.37</v>
      </c>
      <c r="U1993" s="23" t="s">
        <v>63</v>
      </c>
      <c r="V1993" s="23" t="s">
        <v>63</v>
      </c>
      <c r="W1993" s="23" t="s">
        <v>63</v>
      </c>
      <c r="X1993" s="23" t="s">
        <v>63</v>
      </c>
      <c r="Y1993" s="35">
        <v>146.0</v>
      </c>
      <c r="Z1993" s="32" t="s">
        <v>63</v>
      </c>
      <c r="AA1993" s="38"/>
      <c r="AB1993" s="38"/>
      <c r="AC1993" s="38"/>
      <c r="AD1993" s="38"/>
      <c r="AE1993" s="38"/>
      <c r="AF1993" s="38"/>
      <c r="AG1993" s="38"/>
      <c r="AH1993" s="38"/>
      <c r="AI1993" s="38"/>
      <c r="AJ1993" s="38"/>
      <c r="AK1993" s="38"/>
    </row>
    <row r="1994">
      <c r="A1994" s="99">
        <v>1993.0</v>
      </c>
      <c r="B1994" s="15"/>
      <c r="C1994" s="15"/>
      <c r="D1994" s="105">
        <v>1.0</v>
      </c>
      <c r="E1994" s="102">
        <v>37.0</v>
      </c>
      <c r="F1994" s="107">
        <v>135.0</v>
      </c>
      <c r="G1994" s="15" t="str">
        <f t="shared" si="1"/>
        <v>37135</v>
      </c>
      <c r="H1994" s="23" t="s">
        <v>241</v>
      </c>
      <c r="I1994" s="23" t="s">
        <v>96</v>
      </c>
      <c r="J1994" s="23" t="s">
        <v>382</v>
      </c>
      <c r="K1994" s="23" t="str">
        <f t="shared" si="34"/>
        <v>Orange, NC</v>
      </c>
      <c r="L1994" s="23">
        <v>94.0</v>
      </c>
      <c r="M1994" s="23" t="s">
        <v>63</v>
      </c>
      <c r="N1994" s="23">
        <v>33.0</v>
      </c>
      <c r="O1994" s="23">
        <v>25.0</v>
      </c>
      <c r="P1994" s="23" t="s">
        <v>63</v>
      </c>
      <c r="Q1994" s="23" t="s">
        <v>63</v>
      </c>
      <c r="R1994" s="23" t="s">
        <v>63</v>
      </c>
      <c r="S1994" s="23" t="s">
        <v>63</v>
      </c>
      <c r="T1994" s="32">
        <v>0.0</v>
      </c>
      <c r="U1994" s="23" t="s">
        <v>63</v>
      </c>
      <c r="V1994" s="23" t="s">
        <v>63</v>
      </c>
      <c r="W1994" s="23" t="s">
        <v>63</v>
      </c>
      <c r="X1994" s="23" t="s">
        <v>63</v>
      </c>
      <c r="Y1994" s="35">
        <v>121.0</v>
      </c>
      <c r="Z1994" s="32" t="s">
        <v>63</v>
      </c>
      <c r="AA1994" s="38"/>
      <c r="AB1994" s="38"/>
      <c r="AC1994" s="38"/>
      <c r="AD1994" s="38"/>
      <c r="AE1994" s="38"/>
      <c r="AF1994" s="38"/>
      <c r="AG1994" s="38"/>
      <c r="AH1994" s="38"/>
      <c r="AI1994" s="38"/>
      <c r="AJ1994" s="38"/>
      <c r="AK1994" s="38"/>
    </row>
    <row r="1995">
      <c r="A1995" s="99">
        <v>1994.0</v>
      </c>
      <c r="B1995" s="15"/>
      <c r="C1995" s="15"/>
      <c r="D1995" s="105">
        <v>1.0</v>
      </c>
      <c r="E1995" s="102">
        <v>37.0</v>
      </c>
      <c r="F1995" s="107">
        <v>137.0</v>
      </c>
      <c r="G1995" s="15" t="str">
        <f t="shared" si="1"/>
        <v>37137</v>
      </c>
      <c r="H1995" s="23" t="s">
        <v>1620</v>
      </c>
      <c r="I1995" s="23" t="s">
        <v>96</v>
      </c>
      <c r="J1995" s="23" t="s">
        <v>382</v>
      </c>
      <c r="K1995" s="23" t="str">
        <f t="shared" si="34"/>
        <v>Pamlico, NC</v>
      </c>
      <c r="L1995" s="23">
        <v>6.0</v>
      </c>
      <c r="M1995" s="23" t="s">
        <v>63</v>
      </c>
      <c r="N1995" s="23">
        <v>1.0</v>
      </c>
      <c r="O1995" s="23">
        <v>2.0</v>
      </c>
      <c r="P1995" s="23" t="s">
        <v>63</v>
      </c>
      <c r="Q1995" s="23" t="s">
        <v>63</v>
      </c>
      <c r="R1995" s="23" t="s">
        <v>63</v>
      </c>
      <c r="S1995" s="23" t="s">
        <v>63</v>
      </c>
      <c r="T1995" s="32">
        <v>0.0</v>
      </c>
      <c r="U1995" s="23" t="s">
        <v>63</v>
      </c>
      <c r="V1995" s="23" t="s">
        <v>63</v>
      </c>
      <c r="W1995" s="23" t="s">
        <v>63</v>
      </c>
      <c r="X1995" s="23" t="s">
        <v>63</v>
      </c>
      <c r="Y1995" s="35">
        <v>25.0</v>
      </c>
      <c r="Z1995" s="32" t="s">
        <v>63</v>
      </c>
      <c r="AA1995" s="38"/>
      <c r="AB1995" s="38"/>
      <c r="AC1995" s="38"/>
      <c r="AD1995" s="38"/>
      <c r="AE1995" s="38"/>
      <c r="AF1995" s="38"/>
      <c r="AG1995" s="38"/>
      <c r="AH1995" s="38"/>
      <c r="AI1995" s="38"/>
      <c r="AJ1995" s="38"/>
      <c r="AK1995" s="38"/>
    </row>
    <row r="1996">
      <c r="A1996" s="99">
        <v>1995.0</v>
      </c>
      <c r="B1996" s="15"/>
      <c r="C1996" s="15"/>
      <c r="D1996" s="105">
        <v>1.0</v>
      </c>
      <c r="E1996" s="102">
        <v>37.0</v>
      </c>
      <c r="F1996" s="107">
        <v>139.0</v>
      </c>
      <c r="G1996" s="15" t="str">
        <f t="shared" si="1"/>
        <v>37139</v>
      </c>
      <c r="H1996" s="23" t="s">
        <v>1621</v>
      </c>
      <c r="I1996" s="23" t="s">
        <v>96</v>
      </c>
      <c r="J1996" s="23" t="s">
        <v>382</v>
      </c>
      <c r="K1996" s="23" t="str">
        <f t="shared" si="34"/>
        <v>Pasquotank, NC</v>
      </c>
      <c r="L1996" s="23">
        <v>24.0</v>
      </c>
      <c r="M1996" s="23" t="s">
        <v>63</v>
      </c>
      <c r="N1996" s="23">
        <v>11.0</v>
      </c>
      <c r="O1996" s="23">
        <v>4.0</v>
      </c>
      <c r="P1996" s="23" t="s">
        <v>63</v>
      </c>
      <c r="Q1996" s="23" t="s">
        <v>63</v>
      </c>
      <c r="R1996" s="23" t="s">
        <v>63</v>
      </c>
      <c r="S1996" s="23" t="s">
        <v>63</v>
      </c>
      <c r="T1996" s="32">
        <v>0.5</v>
      </c>
      <c r="U1996" s="23" t="s">
        <v>63</v>
      </c>
      <c r="V1996" s="23" t="s">
        <v>63</v>
      </c>
      <c r="W1996" s="23" t="s">
        <v>63</v>
      </c>
      <c r="X1996" s="23" t="s">
        <v>63</v>
      </c>
      <c r="Y1996" s="35">
        <v>58.0</v>
      </c>
      <c r="Z1996" s="32" t="s">
        <v>63</v>
      </c>
      <c r="AA1996" s="38"/>
      <c r="AB1996" s="38"/>
      <c r="AC1996" s="38"/>
      <c r="AD1996" s="38"/>
      <c r="AE1996" s="38"/>
      <c r="AF1996" s="38"/>
      <c r="AG1996" s="38"/>
      <c r="AH1996" s="38"/>
      <c r="AI1996" s="38"/>
      <c r="AJ1996" s="38"/>
      <c r="AK1996" s="38"/>
    </row>
    <row r="1997">
      <c r="A1997" s="99">
        <v>1996.0</v>
      </c>
      <c r="B1997" s="15"/>
      <c r="C1997" s="15"/>
      <c r="D1997" s="105">
        <v>1.0</v>
      </c>
      <c r="E1997" s="102">
        <v>37.0</v>
      </c>
      <c r="F1997" s="107">
        <v>141.0</v>
      </c>
      <c r="G1997" s="15" t="str">
        <f t="shared" si="1"/>
        <v>37141</v>
      </c>
      <c r="H1997" s="23" t="s">
        <v>1622</v>
      </c>
      <c r="I1997" s="23" t="s">
        <v>96</v>
      </c>
      <c r="J1997" s="23" t="s">
        <v>382</v>
      </c>
      <c r="K1997" s="23" t="str">
        <f t="shared" si="34"/>
        <v>Pender, NC</v>
      </c>
      <c r="L1997" s="23">
        <v>74.0</v>
      </c>
      <c r="M1997" s="23" t="s">
        <v>63</v>
      </c>
      <c r="N1997" s="23">
        <v>30.0</v>
      </c>
      <c r="O1997" s="23">
        <v>27.0</v>
      </c>
      <c r="P1997" s="23" t="s">
        <v>63</v>
      </c>
      <c r="Q1997" s="23" t="s">
        <v>63</v>
      </c>
      <c r="R1997" s="23" t="s">
        <v>63</v>
      </c>
      <c r="S1997" s="23" t="s">
        <v>63</v>
      </c>
      <c r="T1997" s="32">
        <v>0.444</v>
      </c>
      <c r="U1997" s="23" t="s">
        <v>63</v>
      </c>
      <c r="V1997" s="23" t="s">
        <v>63</v>
      </c>
      <c r="W1997" s="23" t="s">
        <v>63</v>
      </c>
      <c r="X1997" s="23" t="s">
        <v>63</v>
      </c>
      <c r="Y1997" s="35">
        <v>63.0</v>
      </c>
      <c r="Z1997" s="32" t="s">
        <v>63</v>
      </c>
      <c r="AA1997" s="38"/>
      <c r="AB1997" s="38"/>
      <c r="AC1997" s="38"/>
      <c r="AD1997" s="38"/>
      <c r="AE1997" s="38"/>
      <c r="AF1997" s="38"/>
      <c r="AG1997" s="38"/>
      <c r="AH1997" s="38"/>
      <c r="AI1997" s="38"/>
      <c r="AJ1997" s="38"/>
      <c r="AK1997" s="38"/>
    </row>
    <row r="1998">
      <c r="A1998" s="99">
        <v>1997.0</v>
      </c>
      <c r="B1998" s="15"/>
      <c r="C1998" s="15"/>
      <c r="D1998" s="105">
        <v>1.0</v>
      </c>
      <c r="E1998" s="102">
        <v>37.0</v>
      </c>
      <c r="F1998" s="107">
        <v>143.0</v>
      </c>
      <c r="G1998" s="15" t="str">
        <f t="shared" si="1"/>
        <v>37143</v>
      </c>
      <c r="H1998" s="23" t="s">
        <v>1623</v>
      </c>
      <c r="I1998" s="23" t="s">
        <v>96</v>
      </c>
      <c r="J1998" s="23" t="s">
        <v>382</v>
      </c>
      <c r="K1998" s="23" t="str">
        <f t="shared" si="34"/>
        <v>Perquimans, NC</v>
      </c>
      <c r="L1998" s="23">
        <v>14.0</v>
      </c>
      <c r="M1998" s="23" t="s">
        <v>63</v>
      </c>
      <c r="N1998" s="23">
        <v>7.0</v>
      </c>
      <c r="O1998" s="23">
        <v>3.0</v>
      </c>
      <c r="P1998" s="23" t="s">
        <v>63</v>
      </c>
      <c r="Q1998" s="23" t="s">
        <v>63</v>
      </c>
      <c r="R1998" s="23" t="s">
        <v>63</v>
      </c>
      <c r="S1998" s="23" t="s">
        <v>63</v>
      </c>
      <c r="T1998" s="32">
        <v>0.333</v>
      </c>
      <c r="U1998" s="23" t="s">
        <v>63</v>
      </c>
      <c r="V1998" s="23" t="s">
        <v>63</v>
      </c>
      <c r="W1998" s="23" t="s">
        <v>63</v>
      </c>
      <c r="X1998" s="23" t="s">
        <v>63</v>
      </c>
      <c r="Y1998" s="35">
        <v>25.0</v>
      </c>
      <c r="Z1998" s="32" t="s">
        <v>63</v>
      </c>
      <c r="AA1998" s="38"/>
      <c r="AB1998" s="38"/>
      <c r="AC1998" s="38"/>
      <c r="AD1998" s="38"/>
      <c r="AE1998" s="38"/>
      <c r="AF1998" s="38"/>
      <c r="AG1998" s="38"/>
      <c r="AH1998" s="38"/>
      <c r="AI1998" s="38"/>
      <c r="AJ1998" s="38"/>
      <c r="AK1998" s="38"/>
    </row>
    <row r="1999">
      <c r="A1999" s="99">
        <v>1998.0</v>
      </c>
      <c r="B1999" s="15"/>
      <c r="C1999" s="15"/>
      <c r="D1999" s="105">
        <v>1.0</v>
      </c>
      <c r="E1999" s="102">
        <v>37.0</v>
      </c>
      <c r="F1999" s="107">
        <v>145.0</v>
      </c>
      <c r="G1999" s="15" t="str">
        <f t="shared" si="1"/>
        <v>37145</v>
      </c>
      <c r="H1999" s="23" t="s">
        <v>1624</v>
      </c>
      <c r="I1999" s="23" t="s">
        <v>96</v>
      </c>
      <c r="J1999" s="23" t="s">
        <v>382</v>
      </c>
      <c r="K1999" s="23" t="str">
        <f t="shared" si="34"/>
        <v>Person, NC</v>
      </c>
      <c r="L1999" s="23">
        <v>85.0</v>
      </c>
      <c r="M1999" s="23" t="s">
        <v>63</v>
      </c>
      <c r="N1999" s="23">
        <v>34.0</v>
      </c>
      <c r="O1999" s="23">
        <v>11.0</v>
      </c>
      <c r="P1999" s="23" t="s">
        <v>63</v>
      </c>
      <c r="Q1999" s="23" t="s">
        <v>63</v>
      </c>
      <c r="R1999" s="23" t="s">
        <v>63</v>
      </c>
      <c r="S1999" s="23" t="s">
        <v>63</v>
      </c>
      <c r="T1999" s="32">
        <v>0.545</v>
      </c>
      <c r="U1999" s="23" t="s">
        <v>63</v>
      </c>
      <c r="V1999" s="23" t="s">
        <v>63</v>
      </c>
      <c r="W1999" s="23" t="s">
        <v>63</v>
      </c>
      <c r="X1999" s="23" t="s">
        <v>63</v>
      </c>
      <c r="Y1999" s="35">
        <v>82.0</v>
      </c>
      <c r="Z1999" s="32" t="s">
        <v>63</v>
      </c>
      <c r="AA1999" s="38"/>
      <c r="AB1999" s="38"/>
      <c r="AC1999" s="38"/>
      <c r="AD1999" s="38"/>
      <c r="AE1999" s="38"/>
      <c r="AF1999" s="38"/>
      <c r="AG1999" s="38"/>
      <c r="AH1999" s="38"/>
      <c r="AI1999" s="38"/>
      <c r="AJ1999" s="38"/>
      <c r="AK1999" s="38"/>
    </row>
    <row r="2000">
      <c r="A2000" s="99">
        <v>1999.0</v>
      </c>
      <c r="B2000" s="15"/>
      <c r="C2000" s="15"/>
      <c r="D2000" s="105">
        <v>1.0</v>
      </c>
      <c r="E2000" s="102">
        <v>37.0</v>
      </c>
      <c r="F2000" s="107">
        <v>147.0</v>
      </c>
      <c r="G2000" s="15" t="str">
        <f t="shared" si="1"/>
        <v>37147</v>
      </c>
      <c r="H2000" s="23" t="s">
        <v>1625</v>
      </c>
      <c r="I2000" s="23" t="s">
        <v>96</v>
      </c>
      <c r="J2000" s="23" t="s">
        <v>382</v>
      </c>
      <c r="K2000" s="23" t="str">
        <f t="shared" si="34"/>
        <v>Pitt, NC</v>
      </c>
      <c r="L2000" s="23">
        <v>203.0</v>
      </c>
      <c r="M2000" s="23" t="s">
        <v>63</v>
      </c>
      <c r="N2000" s="23">
        <v>65.0</v>
      </c>
      <c r="O2000" s="23">
        <v>24.0</v>
      </c>
      <c r="P2000" s="23" t="s">
        <v>63</v>
      </c>
      <c r="Q2000" s="23" t="s">
        <v>63</v>
      </c>
      <c r="R2000" s="23" t="s">
        <v>63</v>
      </c>
      <c r="S2000" s="23" t="s">
        <v>63</v>
      </c>
      <c r="T2000" s="32">
        <v>0.162</v>
      </c>
      <c r="U2000" s="23" t="s">
        <v>63</v>
      </c>
      <c r="V2000" s="23" t="s">
        <v>63</v>
      </c>
      <c r="W2000" s="23" t="s">
        <v>63</v>
      </c>
      <c r="X2000" s="23" t="s">
        <v>63</v>
      </c>
      <c r="Y2000" s="35">
        <v>188.0</v>
      </c>
      <c r="Z2000" s="32" t="s">
        <v>63</v>
      </c>
      <c r="AA2000" s="38"/>
      <c r="AB2000" s="38"/>
      <c r="AC2000" s="38"/>
      <c r="AD2000" s="38"/>
      <c r="AE2000" s="38"/>
      <c r="AF2000" s="38"/>
      <c r="AG2000" s="38"/>
      <c r="AH2000" s="38"/>
      <c r="AI2000" s="38"/>
      <c r="AJ2000" s="38"/>
      <c r="AK2000" s="38"/>
    </row>
    <row r="2001">
      <c r="A2001" s="99">
        <v>2000.0</v>
      </c>
      <c r="B2001" s="15"/>
      <c r="C2001" s="15"/>
      <c r="D2001" s="105">
        <v>1.0</v>
      </c>
      <c r="E2001" s="102">
        <v>37.0</v>
      </c>
      <c r="F2001" s="107">
        <v>149.0</v>
      </c>
      <c r="G2001" s="15" t="str">
        <f t="shared" si="1"/>
        <v>37149</v>
      </c>
      <c r="H2001" s="23" t="s">
        <v>302</v>
      </c>
      <c r="I2001" s="23" t="s">
        <v>96</v>
      </c>
      <c r="J2001" s="23" t="s">
        <v>382</v>
      </c>
      <c r="K2001" s="23" t="str">
        <f t="shared" si="34"/>
        <v>Polk, NC</v>
      </c>
      <c r="L2001" s="23">
        <v>51.0</v>
      </c>
      <c r="M2001" s="23" t="s">
        <v>63</v>
      </c>
      <c r="N2001" s="23">
        <v>17.0</v>
      </c>
      <c r="O2001" s="23">
        <v>11.0</v>
      </c>
      <c r="P2001" s="23" t="s">
        <v>63</v>
      </c>
      <c r="Q2001" s="23" t="s">
        <v>63</v>
      </c>
      <c r="R2001" s="23" t="s">
        <v>63</v>
      </c>
      <c r="S2001" s="23" t="s">
        <v>63</v>
      </c>
      <c r="T2001" s="32">
        <v>0.667</v>
      </c>
      <c r="U2001" s="23" t="s">
        <v>63</v>
      </c>
      <c r="V2001" s="23" t="s">
        <v>63</v>
      </c>
      <c r="W2001" s="23" t="s">
        <v>63</v>
      </c>
      <c r="X2001" s="23" t="s">
        <v>63</v>
      </c>
      <c r="Y2001" s="35">
        <v>40.0</v>
      </c>
      <c r="Z2001" s="32" t="s">
        <v>63</v>
      </c>
      <c r="AA2001" s="38"/>
      <c r="AB2001" s="38"/>
      <c r="AC2001" s="38"/>
      <c r="AD2001" s="38"/>
      <c r="AE2001" s="38"/>
      <c r="AF2001" s="38"/>
      <c r="AG2001" s="38"/>
      <c r="AH2001" s="38"/>
      <c r="AI2001" s="38"/>
      <c r="AJ2001" s="38"/>
      <c r="AK2001" s="38"/>
    </row>
    <row r="2002">
      <c r="A2002" s="99">
        <v>2001.0</v>
      </c>
      <c r="B2002" s="15"/>
      <c r="C2002" s="15"/>
      <c r="D2002" s="105">
        <v>1.0</v>
      </c>
      <c r="E2002" s="102">
        <v>37.0</v>
      </c>
      <c r="F2002" s="107">
        <v>151.0</v>
      </c>
      <c r="G2002" s="15" t="str">
        <f t="shared" si="1"/>
        <v>37151</v>
      </c>
      <c r="H2002" s="23" t="s">
        <v>163</v>
      </c>
      <c r="I2002" s="23" t="s">
        <v>96</v>
      </c>
      <c r="J2002" s="23" t="s">
        <v>382</v>
      </c>
      <c r="K2002" s="23" t="str">
        <f t="shared" si="34"/>
        <v>Randolph, NC</v>
      </c>
      <c r="L2002" s="23">
        <v>185.0</v>
      </c>
      <c r="M2002" s="23" t="s">
        <v>63</v>
      </c>
      <c r="N2002" s="23">
        <v>92.0</v>
      </c>
      <c r="O2002" s="23">
        <v>19.0</v>
      </c>
      <c r="P2002" s="23" t="s">
        <v>63</v>
      </c>
      <c r="Q2002" s="23" t="s">
        <v>63</v>
      </c>
      <c r="R2002" s="23" t="s">
        <v>63</v>
      </c>
      <c r="S2002" s="23" t="s">
        <v>63</v>
      </c>
      <c r="T2002" s="32">
        <v>0.222</v>
      </c>
      <c r="U2002" s="23" t="s">
        <v>63</v>
      </c>
      <c r="V2002" s="23" t="s">
        <v>63</v>
      </c>
      <c r="W2002" s="23" t="s">
        <v>63</v>
      </c>
      <c r="X2002" s="23" t="s">
        <v>63</v>
      </c>
      <c r="Y2002" s="35">
        <v>230.0</v>
      </c>
      <c r="Z2002" s="32" t="s">
        <v>63</v>
      </c>
      <c r="AA2002" s="38"/>
      <c r="AB2002" s="38"/>
      <c r="AC2002" s="38"/>
      <c r="AD2002" s="38"/>
      <c r="AE2002" s="38"/>
      <c r="AF2002" s="38"/>
      <c r="AG2002" s="38"/>
      <c r="AH2002" s="38"/>
      <c r="AI2002" s="38"/>
      <c r="AJ2002" s="38"/>
      <c r="AK2002" s="38"/>
    </row>
    <row r="2003">
      <c r="A2003" s="99">
        <v>2002.0</v>
      </c>
      <c r="B2003" s="15"/>
      <c r="C2003" s="15"/>
      <c r="D2003" s="105">
        <v>1.0</v>
      </c>
      <c r="E2003" s="102">
        <v>37.0</v>
      </c>
      <c r="F2003" s="107">
        <v>153.0</v>
      </c>
      <c r="G2003" s="15" t="str">
        <f t="shared" si="1"/>
        <v>37153</v>
      </c>
      <c r="H2003" s="23" t="s">
        <v>621</v>
      </c>
      <c r="I2003" s="23" t="s">
        <v>96</v>
      </c>
      <c r="J2003" s="23" t="s">
        <v>382</v>
      </c>
      <c r="K2003" s="23" t="str">
        <f t="shared" si="34"/>
        <v>Richmond, NC</v>
      </c>
      <c r="L2003" s="23">
        <v>99.0</v>
      </c>
      <c r="M2003" s="23" t="s">
        <v>63</v>
      </c>
      <c r="N2003" s="23">
        <v>53.0</v>
      </c>
      <c r="O2003" s="23">
        <v>10.0</v>
      </c>
      <c r="P2003" s="23" t="s">
        <v>63</v>
      </c>
      <c r="Q2003" s="23" t="s">
        <v>63</v>
      </c>
      <c r="R2003" s="23" t="s">
        <v>63</v>
      </c>
      <c r="S2003" s="23" t="s">
        <v>63</v>
      </c>
      <c r="T2003" s="32">
        <v>0.0</v>
      </c>
      <c r="U2003" s="23" t="s">
        <v>63</v>
      </c>
      <c r="V2003" s="23" t="s">
        <v>63</v>
      </c>
      <c r="W2003" s="23" t="s">
        <v>63</v>
      </c>
      <c r="X2003" s="23" t="s">
        <v>63</v>
      </c>
      <c r="Y2003" s="35">
        <v>111.0</v>
      </c>
      <c r="Z2003" s="32" t="s">
        <v>63</v>
      </c>
      <c r="AA2003" s="38"/>
      <c r="AB2003" s="38"/>
      <c r="AC2003" s="38"/>
      <c r="AD2003" s="38"/>
      <c r="AE2003" s="38"/>
      <c r="AF2003" s="38"/>
      <c r="AG2003" s="38"/>
      <c r="AH2003" s="38"/>
      <c r="AI2003" s="38"/>
      <c r="AJ2003" s="38"/>
      <c r="AK2003" s="38"/>
    </row>
    <row r="2004">
      <c r="A2004" s="99">
        <v>2003.0</v>
      </c>
      <c r="B2004" s="15"/>
      <c r="C2004" s="15"/>
      <c r="D2004" s="105">
        <v>1.0</v>
      </c>
      <c r="E2004" s="102">
        <v>37.0</v>
      </c>
      <c r="F2004" s="107">
        <v>155.0</v>
      </c>
      <c r="G2004" s="15" t="str">
        <f t="shared" si="1"/>
        <v>37155</v>
      </c>
      <c r="H2004" s="23" t="s">
        <v>1626</v>
      </c>
      <c r="I2004" s="23" t="s">
        <v>96</v>
      </c>
      <c r="J2004" s="23" t="s">
        <v>382</v>
      </c>
      <c r="K2004" s="23" t="str">
        <f t="shared" si="34"/>
        <v>Robeson, NC</v>
      </c>
      <c r="L2004" s="23">
        <v>333.0</v>
      </c>
      <c r="M2004" s="23" t="s">
        <v>63</v>
      </c>
      <c r="N2004" s="23">
        <v>86.0</v>
      </c>
      <c r="O2004" s="23">
        <v>141.0</v>
      </c>
      <c r="P2004" s="23" t="s">
        <v>63</v>
      </c>
      <c r="Q2004" s="23" t="s">
        <v>63</v>
      </c>
      <c r="R2004" s="23" t="s">
        <v>63</v>
      </c>
      <c r="S2004" s="23" t="s">
        <v>63</v>
      </c>
      <c r="T2004" s="32">
        <v>0.442</v>
      </c>
      <c r="U2004" s="23" t="s">
        <v>63</v>
      </c>
      <c r="V2004" s="23" t="s">
        <v>63</v>
      </c>
      <c r="W2004" s="23" t="s">
        <v>63</v>
      </c>
      <c r="X2004" s="23" t="s">
        <v>63</v>
      </c>
      <c r="Y2004" s="35">
        <v>248.0</v>
      </c>
      <c r="Z2004" s="32" t="s">
        <v>63</v>
      </c>
      <c r="AA2004" s="38"/>
      <c r="AB2004" s="38"/>
      <c r="AC2004" s="38"/>
      <c r="AD2004" s="38"/>
      <c r="AE2004" s="38"/>
      <c r="AF2004" s="38"/>
      <c r="AG2004" s="38"/>
      <c r="AH2004" s="38"/>
      <c r="AI2004" s="38"/>
      <c r="AJ2004" s="38"/>
      <c r="AK2004" s="38"/>
    </row>
    <row r="2005">
      <c r="A2005" s="99">
        <v>2004.0</v>
      </c>
      <c r="B2005" s="15"/>
      <c r="C2005" s="15"/>
      <c r="D2005" s="105">
        <v>1.0</v>
      </c>
      <c r="E2005" s="102">
        <v>37.0</v>
      </c>
      <c r="F2005" s="107">
        <v>157.0</v>
      </c>
      <c r="G2005" s="15" t="str">
        <f t="shared" si="1"/>
        <v>37157</v>
      </c>
      <c r="H2005" s="23" t="s">
        <v>1523</v>
      </c>
      <c r="I2005" s="23" t="s">
        <v>96</v>
      </c>
      <c r="J2005" s="23" t="s">
        <v>382</v>
      </c>
      <c r="K2005" s="112" t="str">
        <f t="shared" si="34"/>
        <v>Rockingham, NC</v>
      </c>
      <c r="L2005" s="23">
        <v>163.0</v>
      </c>
      <c r="M2005" s="23" t="s">
        <v>63</v>
      </c>
      <c r="N2005" s="23">
        <v>83.0</v>
      </c>
      <c r="O2005" s="23">
        <v>27.0</v>
      </c>
      <c r="P2005" s="23" t="s">
        <v>63</v>
      </c>
      <c r="Q2005" s="23" t="s">
        <v>63</v>
      </c>
      <c r="R2005" s="23" t="s">
        <v>63</v>
      </c>
      <c r="S2005" s="23" t="s">
        <v>63</v>
      </c>
      <c r="T2005" s="32">
        <v>0.441</v>
      </c>
      <c r="U2005" s="23" t="s">
        <v>63</v>
      </c>
      <c r="V2005" s="23" t="s">
        <v>63</v>
      </c>
      <c r="W2005" s="23" t="s">
        <v>63</v>
      </c>
      <c r="X2005" s="23" t="s">
        <v>63</v>
      </c>
      <c r="Y2005" s="35">
        <v>175.0</v>
      </c>
      <c r="Z2005" s="32" t="s">
        <v>63</v>
      </c>
      <c r="AA2005" s="38"/>
      <c r="AB2005" s="38"/>
      <c r="AC2005" s="38"/>
      <c r="AD2005" s="38"/>
      <c r="AE2005" s="38"/>
      <c r="AF2005" s="38"/>
      <c r="AG2005" s="38"/>
      <c r="AH2005" s="38"/>
      <c r="AI2005" s="38"/>
      <c r="AJ2005" s="38"/>
      <c r="AK2005" s="38"/>
    </row>
    <row r="2006">
      <c r="A2006" s="99">
        <v>2005.0</v>
      </c>
      <c r="B2006" s="15"/>
      <c r="C2006" s="15"/>
      <c r="D2006" s="105">
        <v>1.0</v>
      </c>
      <c r="E2006" s="102">
        <v>37.0</v>
      </c>
      <c r="F2006" s="107">
        <v>159.0</v>
      </c>
      <c r="G2006" s="15" t="str">
        <f t="shared" si="1"/>
        <v>37159</v>
      </c>
      <c r="H2006" s="23" t="s">
        <v>1133</v>
      </c>
      <c r="I2006" s="23" t="s">
        <v>96</v>
      </c>
      <c r="J2006" s="23" t="s">
        <v>382</v>
      </c>
      <c r="K2006" s="23" t="str">
        <f t="shared" si="34"/>
        <v>Rowan, NC</v>
      </c>
      <c r="L2006" s="23">
        <v>169.0</v>
      </c>
      <c r="M2006" s="23" t="s">
        <v>63</v>
      </c>
      <c r="N2006" s="23">
        <v>67.0</v>
      </c>
      <c r="O2006" s="23">
        <v>37.0</v>
      </c>
      <c r="P2006" s="23" t="s">
        <v>63</v>
      </c>
      <c r="Q2006" s="23" t="s">
        <v>63</v>
      </c>
      <c r="R2006" s="23" t="s">
        <v>63</v>
      </c>
      <c r="S2006" s="23" t="s">
        <v>63</v>
      </c>
      <c r="T2006" s="32">
        <v>0.3</v>
      </c>
      <c r="U2006" s="23" t="s">
        <v>63</v>
      </c>
      <c r="V2006" s="23" t="s">
        <v>63</v>
      </c>
      <c r="W2006" s="23" t="s">
        <v>63</v>
      </c>
      <c r="X2006" s="23" t="s">
        <v>63</v>
      </c>
      <c r="Y2006" s="35">
        <v>253.0</v>
      </c>
      <c r="Z2006" s="32" t="s">
        <v>63</v>
      </c>
      <c r="AA2006" s="38"/>
      <c r="AB2006" s="38"/>
      <c r="AC2006" s="38"/>
      <c r="AD2006" s="38"/>
      <c r="AE2006" s="38"/>
      <c r="AF2006" s="38"/>
      <c r="AG2006" s="38"/>
      <c r="AH2006" s="38"/>
      <c r="AI2006" s="38"/>
      <c r="AJ2006" s="38"/>
      <c r="AK2006" s="38"/>
    </row>
    <row r="2007">
      <c r="A2007" s="99">
        <v>2006.0</v>
      </c>
      <c r="B2007" s="15"/>
      <c r="C2007" s="15"/>
      <c r="D2007" s="105">
        <v>1.0</v>
      </c>
      <c r="E2007" s="102">
        <v>37.0</v>
      </c>
      <c r="F2007" s="107">
        <v>161.0</v>
      </c>
      <c r="G2007" s="15" t="str">
        <f t="shared" si="1"/>
        <v>37161</v>
      </c>
      <c r="H2007" s="23" t="s">
        <v>1627</v>
      </c>
      <c r="I2007" s="23" t="s">
        <v>96</v>
      </c>
      <c r="J2007" s="23" t="s">
        <v>382</v>
      </c>
      <c r="K2007" s="23" t="str">
        <f t="shared" si="34"/>
        <v>Rutherford, NC</v>
      </c>
      <c r="L2007" s="23">
        <v>174.0</v>
      </c>
      <c r="M2007" s="23" t="s">
        <v>63</v>
      </c>
      <c r="N2007" s="23">
        <v>61.0</v>
      </c>
      <c r="O2007" s="23">
        <v>47.0</v>
      </c>
      <c r="P2007" s="23" t="s">
        <v>63</v>
      </c>
      <c r="Q2007" s="23" t="s">
        <v>63</v>
      </c>
      <c r="R2007" s="23" t="s">
        <v>63</v>
      </c>
      <c r="S2007" s="23" t="s">
        <v>63</v>
      </c>
      <c r="T2007" s="32">
        <v>0.2</v>
      </c>
      <c r="U2007" s="23" t="s">
        <v>63</v>
      </c>
      <c r="V2007" s="23" t="s">
        <v>63</v>
      </c>
      <c r="W2007" s="23" t="s">
        <v>63</v>
      </c>
      <c r="X2007" s="23" t="s">
        <v>63</v>
      </c>
      <c r="Y2007" s="35">
        <v>119.0</v>
      </c>
      <c r="Z2007" s="32" t="s">
        <v>63</v>
      </c>
      <c r="AA2007" s="38"/>
      <c r="AB2007" s="38"/>
      <c r="AC2007" s="38"/>
      <c r="AD2007" s="38"/>
      <c r="AE2007" s="38"/>
      <c r="AF2007" s="38"/>
      <c r="AG2007" s="38"/>
      <c r="AH2007" s="38"/>
      <c r="AI2007" s="38"/>
      <c r="AJ2007" s="38"/>
      <c r="AK2007" s="38"/>
    </row>
    <row r="2008">
      <c r="A2008" s="99">
        <v>2007.0</v>
      </c>
      <c r="B2008" s="15"/>
      <c r="C2008" s="15"/>
      <c r="D2008" s="105">
        <v>1.0</v>
      </c>
      <c r="E2008" s="102">
        <v>37.0</v>
      </c>
      <c r="F2008" s="107">
        <v>163.0</v>
      </c>
      <c r="G2008" s="15" t="str">
        <f t="shared" si="1"/>
        <v>37163</v>
      </c>
      <c r="H2008" s="23" t="s">
        <v>1628</v>
      </c>
      <c r="I2008" s="23" t="s">
        <v>96</v>
      </c>
      <c r="J2008" s="23" t="s">
        <v>382</v>
      </c>
      <c r="K2008" s="23" t="str">
        <f t="shared" si="34"/>
        <v>Sampson, NC</v>
      </c>
      <c r="L2008" s="23">
        <v>112.0</v>
      </c>
      <c r="M2008" s="23" t="s">
        <v>63</v>
      </c>
      <c r="N2008" s="23">
        <v>47.0</v>
      </c>
      <c r="O2008" s="23">
        <v>7.0</v>
      </c>
      <c r="P2008" s="23" t="s">
        <v>63</v>
      </c>
      <c r="Q2008" s="23" t="s">
        <v>63</v>
      </c>
      <c r="R2008" s="23" t="s">
        <v>63</v>
      </c>
      <c r="S2008" s="23" t="s">
        <v>63</v>
      </c>
      <c r="T2008" s="32">
        <v>0.368</v>
      </c>
      <c r="U2008" s="23" t="s">
        <v>63</v>
      </c>
      <c r="V2008" s="23" t="s">
        <v>63</v>
      </c>
      <c r="W2008" s="23" t="s">
        <v>63</v>
      </c>
      <c r="X2008" s="23" t="s">
        <v>63</v>
      </c>
      <c r="Y2008" s="35">
        <v>182.0</v>
      </c>
      <c r="Z2008" s="32" t="s">
        <v>63</v>
      </c>
      <c r="AA2008" s="38"/>
      <c r="AB2008" s="38"/>
      <c r="AC2008" s="38"/>
      <c r="AD2008" s="38"/>
      <c r="AE2008" s="38"/>
      <c r="AF2008" s="38"/>
      <c r="AG2008" s="38"/>
      <c r="AH2008" s="38"/>
      <c r="AI2008" s="38"/>
      <c r="AJ2008" s="38"/>
      <c r="AK2008" s="38"/>
    </row>
    <row r="2009">
      <c r="A2009" s="99">
        <v>2008.0</v>
      </c>
      <c r="B2009" s="15"/>
      <c r="C2009" s="15"/>
      <c r="D2009" s="105">
        <v>1.0</v>
      </c>
      <c r="E2009" s="102">
        <v>37.0</v>
      </c>
      <c r="F2009" s="107">
        <v>165.0</v>
      </c>
      <c r="G2009" s="15" t="str">
        <f t="shared" si="1"/>
        <v>37165</v>
      </c>
      <c r="H2009" s="23" t="s">
        <v>1425</v>
      </c>
      <c r="I2009" s="23" t="s">
        <v>96</v>
      </c>
      <c r="J2009" s="23" t="s">
        <v>382</v>
      </c>
      <c r="K2009" s="23" t="str">
        <f t="shared" si="34"/>
        <v>Scotland, NC</v>
      </c>
      <c r="L2009" s="23">
        <v>76.0</v>
      </c>
      <c r="M2009" s="23" t="s">
        <v>63</v>
      </c>
      <c r="N2009" s="23">
        <v>35.0</v>
      </c>
      <c r="O2009" s="23">
        <v>10.0</v>
      </c>
      <c r="P2009" s="23" t="s">
        <v>63</v>
      </c>
      <c r="Q2009" s="23" t="s">
        <v>63</v>
      </c>
      <c r="R2009" s="23" t="s">
        <v>63</v>
      </c>
      <c r="S2009" s="23" t="s">
        <v>63</v>
      </c>
      <c r="T2009" s="32">
        <v>0.5</v>
      </c>
      <c r="U2009" s="23" t="s">
        <v>63</v>
      </c>
      <c r="V2009" s="23" t="s">
        <v>63</v>
      </c>
      <c r="W2009" s="23" t="s">
        <v>63</v>
      </c>
      <c r="X2009" s="23" t="s">
        <v>63</v>
      </c>
      <c r="Y2009" s="35">
        <v>65.0</v>
      </c>
      <c r="Z2009" s="32" t="s">
        <v>63</v>
      </c>
      <c r="AA2009" s="38"/>
      <c r="AB2009" s="38"/>
      <c r="AC2009" s="38"/>
      <c r="AD2009" s="38"/>
      <c r="AE2009" s="38"/>
      <c r="AF2009" s="38"/>
      <c r="AG2009" s="38"/>
      <c r="AH2009" s="38"/>
      <c r="AI2009" s="38"/>
      <c r="AJ2009" s="38"/>
      <c r="AK2009" s="38"/>
    </row>
    <row r="2010">
      <c r="A2010" s="99">
        <v>2009.0</v>
      </c>
      <c r="B2010" s="15"/>
      <c r="C2010" s="15"/>
      <c r="D2010" s="105">
        <v>1.0</v>
      </c>
      <c r="E2010" s="102">
        <v>37.0</v>
      </c>
      <c r="F2010" s="107">
        <v>167.0</v>
      </c>
      <c r="G2010" s="15" t="str">
        <f t="shared" si="1"/>
        <v>37167</v>
      </c>
      <c r="H2010" s="23" t="s">
        <v>1629</v>
      </c>
      <c r="I2010" s="23" t="s">
        <v>96</v>
      </c>
      <c r="J2010" s="23" t="s">
        <v>382</v>
      </c>
      <c r="K2010" s="23" t="str">
        <f t="shared" si="34"/>
        <v>Stanly, NC</v>
      </c>
      <c r="L2010" s="23">
        <v>63.0</v>
      </c>
      <c r="M2010" s="23" t="s">
        <v>63</v>
      </c>
      <c r="N2010" s="23">
        <v>29.0</v>
      </c>
      <c r="O2010" s="23">
        <v>14.0</v>
      </c>
      <c r="P2010" s="23" t="s">
        <v>63</v>
      </c>
      <c r="Q2010" s="23" t="s">
        <v>63</v>
      </c>
      <c r="R2010" s="23" t="s">
        <v>63</v>
      </c>
      <c r="S2010" s="23" t="s">
        <v>63</v>
      </c>
      <c r="T2010" s="32">
        <v>1.0</v>
      </c>
      <c r="U2010" s="23" t="s">
        <v>63</v>
      </c>
      <c r="V2010" s="23" t="s">
        <v>63</v>
      </c>
      <c r="W2010" s="23" t="s">
        <v>63</v>
      </c>
      <c r="X2010" s="23" t="s">
        <v>63</v>
      </c>
      <c r="Y2010" s="35">
        <v>130.0</v>
      </c>
      <c r="Z2010" s="32" t="s">
        <v>63</v>
      </c>
      <c r="AA2010" s="38"/>
      <c r="AB2010" s="38"/>
      <c r="AC2010" s="38"/>
      <c r="AD2010" s="38"/>
      <c r="AE2010" s="38"/>
      <c r="AF2010" s="38"/>
      <c r="AG2010" s="38"/>
      <c r="AH2010" s="38"/>
      <c r="AI2010" s="38"/>
      <c r="AJ2010" s="38"/>
      <c r="AK2010" s="38"/>
    </row>
    <row r="2011">
      <c r="A2011" s="99">
        <v>2010.0</v>
      </c>
      <c r="B2011" s="15"/>
      <c r="C2011" s="15"/>
      <c r="D2011" s="105">
        <v>1.0</v>
      </c>
      <c r="E2011" s="102">
        <v>37.0</v>
      </c>
      <c r="F2011" s="107">
        <v>169.0</v>
      </c>
      <c r="G2011" s="15" t="str">
        <f t="shared" si="1"/>
        <v>37169</v>
      </c>
      <c r="H2011" s="23" t="s">
        <v>1630</v>
      </c>
      <c r="I2011" s="23" t="s">
        <v>96</v>
      </c>
      <c r="J2011" s="23" t="s">
        <v>382</v>
      </c>
      <c r="K2011" s="23" t="str">
        <f t="shared" si="34"/>
        <v>Stokes, NC</v>
      </c>
      <c r="L2011" s="23">
        <v>90.0</v>
      </c>
      <c r="M2011" s="23" t="s">
        <v>63</v>
      </c>
      <c r="N2011" s="23">
        <v>38.0</v>
      </c>
      <c r="O2011" s="23">
        <v>18.0</v>
      </c>
      <c r="P2011" s="23" t="s">
        <v>63</v>
      </c>
      <c r="Q2011" s="23" t="s">
        <v>63</v>
      </c>
      <c r="R2011" s="23" t="s">
        <v>63</v>
      </c>
      <c r="S2011" s="23" t="s">
        <v>63</v>
      </c>
      <c r="T2011" s="32">
        <v>0.438</v>
      </c>
      <c r="U2011" s="23" t="s">
        <v>63</v>
      </c>
      <c r="V2011" s="23" t="s">
        <v>63</v>
      </c>
      <c r="W2011" s="23" t="s">
        <v>63</v>
      </c>
      <c r="X2011" s="23" t="s">
        <v>63</v>
      </c>
      <c r="Y2011" s="35">
        <v>66.0</v>
      </c>
      <c r="Z2011" s="32" t="s">
        <v>63</v>
      </c>
      <c r="AA2011" s="38"/>
      <c r="AB2011" s="38"/>
      <c r="AC2011" s="38"/>
      <c r="AD2011" s="38"/>
      <c r="AE2011" s="38"/>
      <c r="AF2011" s="38"/>
      <c r="AG2011" s="38"/>
      <c r="AH2011" s="38"/>
      <c r="AI2011" s="38"/>
      <c r="AJ2011" s="38"/>
      <c r="AK2011" s="38"/>
    </row>
    <row r="2012">
      <c r="A2012" s="99">
        <v>2011.0</v>
      </c>
      <c r="B2012" s="15"/>
      <c r="C2012" s="15"/>
      <c r="D2012" s="105">
        <v>1.0</v>
      </c>
      <c r="E2012" s="102">
        <v>37.0</v>
      </c>
      <c r="F2012" s="107">
        <v>171.0</v>
      </c>
      <c r="G2012" s="15" t="str">
        <f t="shared" si="1"/>
        <v>37171</v>
      </c>
      <c r="H2012" s="23" t="s">
        <v>1631</v>
      </c>
      <c r="I2012" s="23" t="s">
        <v>96</v>
      </c>
      <c r="J2012" s="23" t="s">
        <v>382</v>
      </c>
      <c r="K2012" s="23" t="str">
        <f t="shared" si="34"/>
        <v>Surry, NC</v>
      </c>
      <c r="L2012" s="23">
        <v>121.0</v>
      </c>
      <c r="M2012" s="23" t="s">
        <v>63</v>
      </c>
      <c r="N2012" s="23">
        <v>41.0</v>
      </c>
      <c r="O2012" s="23">
        <v>20.0</v>
      </c>
      <c r="P2012" s="23" t="s">
        <v>63</v>
      </c>
      <c r="Q2012" s="23" t="s">
        <v>63</v>
      </c>
      <c r="R2012" s="23" t="s">
        <v>63</v>
      </c>
      <c r="S2012" s="23" t="s">
        <v>63</v>
      </c>
      <c r="T2012" s="32">
        <v>0.0</v>
      </c>
      <c r="U2012" s="23" t="s">
        <v>63</v>
      </c>
      <c r="V2012" s="23" t="s">
        <v>63</v>
      </c>
      <c r="W2012" s="23" t="s">
        <v>63</v>
      </c>
      <c r="X2012" s="23" t="s">
        <v>63</v>
      </c>
      <c r="Y2012" s="35">
        <v>129.0</v>
      </c>
      <c r="Z2012" s="32" t="s">
        <v>63</v>
      </c>
      <c r="AA2012" s="38"/>
      <c r="AB2012" s="38"/>
      <c r="AC2012" s="38"/>
      <c r="AD2012" s="38"/>
      <c r="AE2012" s="38"/>
      <c r="AF2012" s="38"/>
      <c r="AG2012" s="38"/>
      <c r="AH2012" s="38"/>
      <c r="AI2012" s="38"/>
      <c r="AJ2012" s="38"/>
      <c r="AK2012" s="38"/>
    </row>
    <row r="2013">
      <c r="A2013" s="99">
        <v>2012.0</v>
      </c>
      <c r="B2013" s="15"/>
      <c r="C2013" s="15"/>
      <c r="D2013" s="105">
        <v>1.0</v>
      </c>
      <c r="E2013" s="102">
        <v>37.0</v>
      </c>
      <c r="F2013" s="107">
        <v>173.0</v>
      </c>
      <c r="G2013" s="15" t="str">
        <f t="shared" si="1"/>
        <v>37173</v>
      </c>
      <c r="H2013" s="23" t="s">
        <v>1632</v>
      </c>
      <c r="I2013" s="23" t="s">
        <v>96</v>
      </c>
      <c r="J2013" s="23" t="s">
        <v>382</v>
      </c>
      <c r="K2013" s="23" t="str">
        <f t="shared" si="34"/>
        <v>Swain, NC</v>
      </c>
      <c r="L2013" s="23">
        <v>47.0</v>
      </c>
      <c r="M2013" s="23" t="s">
        <v>63</v>
      </c>
      <c r="N2013" s="23">
        <v>15.0</v>
      </c>
      <c r="O2013" s="23">
        <v>5.0</v>
      </c>
      <c r="P2013" s="23" t="s">
        <v>63</v>
      </c>
      <c r="Q2013" s="23" t="s">
        <v>63</v>
      </c>
      <c r="R2013" s="23" t="s">
        <v>63</v>
      </c>
      <c r="S2013" s="23" t="s">
        <v>63</v>
      </c>
      <c r="T2013" s="32">
        <v>0.6</v>
      </c>
      <c r="U2013" s="23" t="s">
        <v>63</v>
      </c>
      <c r="V2013" s="23" t="s">
        <v>63</v>
      </c>
      <c r="W2013" s="23" t="s">
        <v>63</v>
      </c>
      <c r="X2013" s="23" t="s">
        <v>63</v>
      </c>
      <c r="Y2013" s="35">
        <v>23.0</v>
      </c>
      <c r="Z2013" s="32" t="s">
        <v>63</v>
      </c>
      <c r="AA2013" s="38"/>
      <c r="AB2013" s="38"/>
      <c r="AC2013" s="38"/>
      <c r="AD2013" s="38"/>
      <c r="AE2013" s="38"/>
      <c r="AF2013" s="38"/>
      <c r="AG2013" s="38"/>
      <c r="AH2013" s="38"/>
      <c r="AI2013" s="38"/>
      <c r="AJ2013" s="38"/>
      <c r="AK2013" s="38"/>
    </row>
    <row r="2014">
      <c r="A2014" s="99">
        <v>2013.0</v>
      </c>
      <c r="B2014" s="15"/>
      <c r="C2014" s="15"/>
      <c r="D2014" s="105">
        <v>1.0</v>
      </c>
      <c r="E2014" s="102">
        <v>37.0</v>
      </c>
      <c r="F2014" s="107">
        <v>175.0</v>
      </c>
      <c r="G2014" s="15" t="str">
        <f t="shared" si="1"/>
        <v>37175</v>
      </c>
      <c r="H2014" s="23" t="s">
        <v>1633</v>
      </c>
      <c r="I2014" s="23" t="s">
        <v>96</v>
      </c>
      <c r="J2014" s="23" t="s">
        <v>382</v>
      </c>
      <c r="K2014" s="112" t="str">
        <f t="shared" si="34"/>
        <v>Transylvania, NC</v>
      </c>
      <c r="L2014" s="23">
        <v>50.0</v>
      </c>
      <c r="M2014" s="23" t="s">
        <v>63</v>
      </c>
      <c r="N2014" s="23">
        <v>25.0</v>
      </c>
      <c r="O2014" s="23">
        <v>9.0</v>
      </c>
      <c r="P2014" s="23" t="s">
        <v>63</v>
      </c>
      <c r="Q2014" s="23" t="s">
        <v>63</v>
      </c>
      <c r="R2014" s="23" t="s">
        <v>63</v>
      </c>
      <c r="S2014" s="23" t="s">
        <v>63</v>
      </c>
      <c r="T2014" s="32">
        <v>0.0</v>
      </c>
      <c r="U2014" s="23" t="s">
        <v>63</v>
      </c>
      <c r="V2014" s="23" t="s">
        <v>63</v>
      </c>
      <c r="W2014" s="23" t="s">
        <v>63</v>
      </c>
      <c r="X2014" s="23" t="s">
        <v>63</v>
      </c>
      <c r="Y2014" s="35">
        <v>53.0</v>
      </c>
      <c r="Z2014" s="32" t="s">
        <v>63</v>
      </c>
      <c r="AA2014" s="38"/>
      <c r="AB2014" s="38"/>
      <c r="AC2014" s="38"/>
      <c r="AD2014" s="38"/>
      <c r="AE2014" s="38"/>
      <c r="AF2014" s="38"/>
      <c r="AG2014" s="38"/>
      <c r="AH2014" s="38"/>
      <c r="AI2014" s="38"/>
      <c r="AJ2014" s="38"/>
      <c r="AK2014" s="38"/>
    </row>
    <row r="2015">
      <c r="A2015" s="99">
        <v>2014.0</v>
      </c>
      <c r="B2015" s="15"/>
      <c r="C2015" s="15"/>
      <c r="D2015" s="105">
        <v>1.0</v>
      </c>
      <c r="E2015" s="102">
        <v>37.0</v>
      </c>
      <c r="F2015" s="107">
        <v>177.0</v>
      </c>
      <c r="G2015" s="15" t="str">
        <f t="shared" si="1"/>
        <v>37177</v>
      </c>
      <c r="H2015" s="23" t="s">
        <v>1634</v>
      </c>
      <c r="I2015" s="23" t="s">
        <v>96</v>
      </c>
      <c r="J2015" s="23" t="s">
        <v>382</v>
      </c>
      <c r="K2015" s="23" t="str">
        <f t="shared" si="34"/>
        <v>Tyrrell, NC</v>
      </c>
      <c r="L2015" s="23">
        <v>3.0</v>
      </c>
      <c r="M2015" s="23" t="s">
        <v>63</v>
      </c>
      <c r="N2015" s="23">
        <v>0.0</v>
      </c>
      <c r="O2015" s="23">
        <v>3.0</v>
      </c>
      <c r="P2015" s="23" t="s">
        <v>63</v>
      </c>
      <c r="Q2015" s="23" t="s">
        <v>63</v>
      </c>
      <c r="R2015" s="23" t="s">
        <v>63</v>
      </c>
      <c r="S2015" s="23" t="s">
        <v>63</v>
      </c>
      <c r="T2015" s="32">
        <v>1.0</v>
      </c>
      <c r="U2015" s="23" t="s">
        <v>63</v>
      </c>
      <c r="V2015" s="23" t="s">
        <v>63</v>
      </c>
      <c r="W2015" s="23" t="s">
        <v>63</v>
      </c>
      <c r="X2015" s="23" t="s">
        <v>63</v>
      </c>
      <c r="Y2015" s="35">
        <v>9.0</v>
      </c>
      <c r="Z2015" s="32" t="s">
        <v>63</v>
      </c>
      <c r="AA2015" s="38"/>
      <c r="AB2015" s="38"/>
      <c r="AC2015" s="38"/>
      <c r="AD2015" s="38"/>
      <c r="AE2015" s="38"/>
      <c r="AF2015" s="38"/>
      <c r="AG2015" s="38"/>
      <c r="AH2015" s="38"/>
      <c r="AI2015" s="38"/>
      <c r="AJ2015" s="38"/>
      <c r="AK2015" s="38"/>
    </row>
    <row r="2016">
      <c r="A2016" s="99">
        <v>2015.0</v>
      </c>
      <c r="B2016" s="15"/>
      <c r="C2016" s="15"/>
      <c r="D2016" s="105">
        <v>1.0</v>
      </c>
      <c r="E2016" s="102">
        <v>37.0</v>
      </c>
      <c r="F2016" s="107">
        <v>179.0</v>
      </c>
      <c r="G2016" s="15" t="str">
        <f t="shared" si="1"/>
        <v>37179</v>
      </c>
      <c r="H2016" s="23" t="s">
        <v>316</v>
      </c>
      <c r="I2016" s="23" t="s">
        <v>96</v>
      </c>
      <c r="J2016" s="23" t="s">
        <v>382</v>
      </c>
      <c r="K2016" s="23" t="str">
        <f t="shared" si="34"/>
        <v>Union, NC</v>
      </c>
      <c r="L2016" s="23">
        <v>148.0</v>
      </c>
      <c r="M2016" s="23" t="s">
        <v>63</v>
      </c>
      <c r="N2016" s="23">
        <v>45.0</v>
      </c>
      <c r="O2016" s="23">
        <v>49.0</v>
      </c>
      <c r="P2016" s="23" t="s">
        <v>63</v>
      </c>
      <c r="Q2016" s="23" t="s">
        <v>63</v>
      </c>
      <c r="R2016" s="23" t="s">
        <v>63</v>
      </c>
      <c r="S2016" s="23" t="s">
        <v>63</v>
      </c>
      <c r="T2016" s="32">
        <v>0.485</v>
      </c>
      <c r="U2016" s="23" t="s">
        <v>63</v>
      </c>
      <c r="V2016" s="23" t="s">
        <v>63</v>
      </c>
      <c r="W2016" s="23" t="s">
        <v>63</v>
      </c>
      <c r="X2016" s="23" t="s">
        <v>63</v>
      </c>
      <c r="Y2016" s="35">
        <v>174.0</v>
      </c>
      <c r="Z2016" s="32" t="s">
        <v>63</v>
      </c>
      <c r="AA2016" s="38"/>
      <c r="AB2016" s="38"/>
      <c r="AC2016" s="38"/>
      <c r="AD2016" s="38"/>
      <c r="AE2016" s="38"/>
      <c r="AF2016" s="38"/>
      <c r="AG2016" s="38"/>
      <c r="AH2016" s="38"/>
      <c r="AI2016" s="38"/>
      <c r="AJ2016" s="38"/>
      <c r="AK2016" s="38"/>
    </row>
    <row r="2017">
      <c r="A2017" s="99">
        <v>2016.0</v>
      </c>
      <c r="B2017" s="15"/>
      <c r="C2017" s="15"/>
      <c r="D2017" s="105">
        <v>1.0</v>
      </c>
      <c r="E2017" s="102">
        <v>37.0</v>
      </c>
      <c r="F2017" s="107">
        <v>181.0</v>
      </c>
      <c r="G2017" s="15" t="str">
        <f t="shared" si="1"/>
        <v>37181</v>
      </c>
      <c r="H2017" s="23" t="s">
        <v>1635</v>
      </c>
      <c r="I2017" s="23" t="s">
        <v>96</v>
      </c>
      <c r="J2017" s="23" t="s">
        <v>382</v>
      </c>
      <c r="K2017" s="23" t="str">
        <f t="shared" si="34"/>
        <v>Vance, NC</v>
      </c>
      <c r="L2017" s="23">
        <v>61.0</v>
      </c>
      <c r="M2017" s="23" t="s">
        <v>63</v>
      </c>
      <c r="N2017" s="23">
        <v>23.0</v>
      </c>
      <c r="O2017" s="23">
        <v>13.0</v>
      </c>
      <c r="P2017" s="23" t="s">
        <v>63</v>
      </c>
      <c r="Q2017" s="23" t="s">
        <v>63</v>
      </c>
      <c r="R2017" s="23" t="s">
        <v>63</v>
      </c>
      <c r="S2017" s="23" t="s">
        <v>63</v>
      </c>
      <c r="T2017" s="32">
        <v>0.0</v>
      </c>
      <c r="U2017" s="23" t="s">
        <v>63</v>
      </c>
      <c r="V2017" s="23" t="s">
        <v>63</v>
      </c>
      <c r="W2017" s="23" t="s">
        <v>63</v>
      </c>
      <c r="X2017" s="23" t="s">
        <v>63</v>
      </c>
      <c r="Y2017" s="35">
        <v>89.0</v>
      </c>
      <c r="Z2017" s="32" t="s">
        <v>63</v>
      </c>
      <c r="AA2017" s="38"/>
      <c r="AB2017" s="38"/>
      <c r="AC2017" s="38"/>
      <c r="AD2017" s="38"/>
      <c r="AE2017" s="38"/>
      <c r="AF2017" s="38"/>
      <c r="AG2017" s="38"/>
      <c r="AH2017" s="38"/>
      <c r="AI2017" s="38"/>
      <c r="AJ2017" s="38"/>
      <c r="AK2017" s="38"/>
    </row>
    <row r="2018">
      <c r="A2018" s="99">
        <v>2017.0</v>
      </c>
      <c r="B2018" s="15"/>
      <c r="C2018" s="15"/>
      <c r="D2018" s="105">
        <v>1.0</v>
      </c>
      <c r="E2018" s="102">
        <v>37.0</v>
      </c>
      <c r="F2018" s="107">
        <v>183.0</v>
      </c>
      <c r="G2018" s="15" t="str">
        <f t="shared" si="1"/>
        <v>37183</v>
      </c>
      <c r="H2018" s="23" t="s">
        <v>385</v>
      </c>
      <c r="I2018" s="23" t="s">
        <v>96</v>
      </c>
      <c r="J2018" s="23" t="s">
        <v>382</v>
      </c>
      <c r="K2018" s="23" t="str">
        <f t="shared" si="34"/>
        <v>Wake, NC</v>
      </c>
      <c r="L2018" s="23">
        <v>452.0</v>
      </c>
      <c r="M2018" s="23" t="s">
        <v>63</v>
      </c>
      <c r="N2018" s="23">
        <v>148.0</v>
      </c>
      <c r="O2018" s="23">
        <v>80.0</v>
      </c>
      <c r="P2018" s="23" t="s">
        <v>63</v>
      </c>
      <c r="Q2018" s="23" t="s">
        <v>63</v>
      </c>
      <c r="R2018" s="23" t="s">
        <v>63</v>
      </c>
      <c r="S2018" s="23" t="s">
        <v>63</v>
      </c>
      <c r="T2018" s="32">
        <v>0.435</v>
      </c>
      <c r="U2018" s="23" t="s">
        <v>63</v>
      </c>
      <c r="V2018" s="23" t="s">
        <v>63</v>
      </c>
      <c r="W2018" s="23" t="s">
        <v>63</v>
      </c>
      <c r="X2018" s="23" t="s">
        <v>63</v>
      </c>
      <c r="Y2018" s="35">
        <v>589.0</v>
      </c>
      <c r="Z2018" s="32" t="s">
        <v>63</v>
      </c>
      <c r="AA2018" s="38"/>
      <c r="AB2018" s="38"/>
      <c r="AC2018" s="38"/>
      <c r="AD2018" s="38"/>
      <c r="AE2018" s="38"/>
      <c r="AF2018" s="38"/>
      <c r="AG2018" s="38"/>
      <c r="AH2018" s="38"/>
      <c r="AI2018" s="38"/>
      <c r="AJ2018" s="38"/>
      <c r="AK2018" s="38"/>
    </row>
    <row r="2019">
      <c r="A2019" s="99">
        <v>2018.0</v>
      </c>
      <c r="B2019" s="15"/>
      <c r="C2019" s="15"/>
      <c r="D2019" s="105">
        <v>1.0</v>
      </c>
      <c r="E2019" s="102">
        <v>37.0</v>
      </c>
      <c r="F2019" s="107">
        <v>185.0</v>
      </c>
      <c r="G2019" s="15" t="str">
        <f t="shared" si="1"/>
        <v>37185</v>
      </c>
      <c r="H2019" s="23" t="s">
        <v>647</v>
      </c>
      <c r="I2019" s="23" t="s">
        <v>96</v>
      </c>
      <c r="J2019" s="23" t="s">
        <v>382</v>
      </c>
      <c r="K2019" s="23" t="str">
        <f t="shared" si="34"/>
        <v>Warren, NC</v>
      </c>
      <c r="L2019" s="23">
        <v>4.0</v>
      </c>
      <c r="M2019" s="23" t="s">
        <v>63</v>
      </c>
      <c r="N2019" s="23">
        <v>1.0</v>
      </c>
      <c r="O2019" s="23">
        <v>0.0</v>
      </c>
      <c r="P2019" s="23" t="s">
        <v>63</v>
      </c>
      <c r="Q2019" s="23" t="s">
        <v>63</v>
      </c>
      <c r="R2019" s="23" t="s">
        <v>63</v>
      </c>
      <c r="S2019" s="23" t="s">
        <v>63</v>
      </c>
      <c r="T2019" s="32">
        <v>0.0</v>
      </c>
      <c r="U2019" s="23" t="s">
        <v>63</v>
      </c>
      <c r="V2019" s="23" t="s">
        <v>63</v>
      </c>
      <c r="W2019" s="23" t="s">
        <v>63</v>
      </c>
      <c r="X2019" s="23" t="s">
        <v>63</v>
      </c>
      <c r="Y2019" s="35">
        <v>46.0</v>
      </c>
      <c r="Z2019" s="32" t="s">
        <v>63</v>
      </c>
      <c r="AA2019" s="38"/>
      <c r="AB2019" s="38"/>
      <c r="AC2019" s="38"/>
      <c r="AD2019" s="38"/>
      <c r="AE2019" s="38"/>
      <c r="AF2019" s="38"/>
      <c r="AG2019" s="38"/>
      <c r="AH2019" s="38"/>
      <c r="AI2019" s="38"/>
      <c r="AJ2019" s="38"/>
      <c r="AK2019" s="38"/>
    </row>
    <row r="2020">
      <c r="A2020" s="99">
        <v>2019.0</v>
      </c>
      <c r="B2020" s="15"/>
      <c r="C2020" s="15"/>
      <c r="D2020" s="105">
        <v>1.0</v>
      </c>
      <c r="E2020" s="102">
        <v>37.0</v>
      </c>
      <c r="F2020" s="107">
        <v>187.0</v>
      </c>
      <c r="G2020" s="15" t="str">
        <f t="shared" si="1"/>
        <v>37187</v>
      </c>
      <c r="H2020" s="23" t="s">
        <v>119</v>
      </c>
      <c r="I2020" s="23" t="s">
        <v>96</v>
      </c>
      <c r="J2020" s="23" t="s">
        <v>382</v>
      </c>
      <c r="K2020" s="23" t="str">
        <f t="shared" si="34"/>
        <v>Washington, NC</v>
      </c>
      <c r="L2020" s="23">
        <v>28.0</v>
      </c>
      <c r="M2020" s="23" t="s">
        <v>63</v>
      </c>
      <c r="N2020" s="23">
        <v>1.0</v>
      </c>
      <c r="O2020" s="23">
        <v>13.0</v>
      </c>
      <c r="P2020" s="23" t="s">
        <v>63</v>
      </c>
      <c r="Q2020" s="23" t="s">
        <v>63</v>
      </c>
      <c r="R2020" s="23" t="s">
        <v>63</v>
      </c>
      <c r="S2020" s="23" t="s">
        <v>63</v>
      </c>
      <c r="T2020" s="32">
        <v>0.75</v>
      </c>
      <c r="U2020" s="23" t="s">
        <v>63</v>
      </c>
      <c r="V2020" s="23" t="s">
        <v>63</v>
      </c>
      <c r="W2020" s="23" t="s">
        <v>63</v>
      </c>
      <c r="X2020" s="23" t="s">
        <v>63</v>
      </c>
      <c r="Y2020" s="35">
        <v>32.0</v>
      </c>
      <c r="Z2020" s="32" t="s">
        <v>63</v>
      </c>
      <c r="AA2020" s="38"/>
      <c r="AB2020" s="38"/>
      <c r="AC2020" s="38"/>
      <c r="AD2020" s="38"/>
      <c r="AE2020" s="38"/>
      <c r="AF2020" s="38"/>
      <c r="AG2020" s="38"/>
      <c r="AH2020" s="38"/>
      <c r="AI2020" s="38"/>
      <c r="AJ2020" s="38"/>
      <c r="AK2020" s="38"/>
    </row>
    <row r="2021">
      <c r="A2021" s="99">
        <v>2020.0</v>
      </c>
      <c r="B2021" s="15"/>
      <c r="C2021" s="15"/>
      <c r="D2021" s="105">
        <v>1.0</v>
      </c>
      <c r="E2021" s="102">
        <v>37.0</v>
      </c>
      <c r="F2021" s="107">
        <v>189.0</v>
      </c>
      <c r="G2021" s="15" t="str">
        <f t="shared" si="1"/>
        <v>37189</v>
      </c>
      <c r="H2021" s="23" t="s">
        <v>1636</v>
      </c>
      <c r="I2021" s="23" t="s">
        <v>96</v>
      </c>
      <c r="J2021" s="23" t="s">
        <v>382</v>
      </c>
      <c r="K2021" s="23" t="str">
        <f t="shared" si="34"/>
        <v>Watauga, NC</v>
      </c>
      <c r="L2021" s="23">
        <v>54.0</v>
      </c>
      <c r="M2021" s="23" t="s">
        <v>63</v>
      </c>
      <c r="N2021" s="23">
        <v>20.0</v>
      </c>
      <c r="O2021" s="23">
        <v>14.0</v>
      </c>
      <c r="P2021" s="23" t="s">
        <v>63</v>
      </c>
      <c r="Q2021" s="23" t="s">
        <v>63</v>
      </c>
      <c r="R2021" s="23" t="s">
        <v>63</v>
      </c>
      <c r="S2021" s="23" t="s">
        <v>63</v>
      </c>
      <c r="T2021" s="32">
        <v>0.8</v>
      </c>
      <c r="U2021" s="23" t="s">
        <v>63</v>
      </c>
      <c r="V2021" s="23" t="s">
        <v>63</v>
      </c>
      <c r="W2021" s="23" t="s">
        <v>63</v>
      </c>
      <c r="X2021" s="23" t="s">
        <v>63</v>
      </c>
      <c r="Y2021" s="35">
        <v>62.0</v>
      </c>
      <c r="Z2021" s="32" t="s">
        <v>63</v>
      </c>
      <c r="AA2021" s="38"/>
      <c r="AB2021" s="38"/>
      <c r="AC2021" s="38"/>
      <c r="AD2021" s="38"/>
      <c r="AE2021" s="38"/>
      <c r="AF2021" s="38"/>
      <c r="AG2021" s="38"/>
      <c r="AH2021" s="38"/>
      <c r="AI2021" s="38"/>
      <c r="AJ2021" s="38"/>
      <c r="AK2021" s="38"/>
    </row>
    <row r="2022">
      <c r="A2022" s="99">
        <v>2021.0</v>
      </c>
      <c r="B2022" s="15"/>
      <c r="C2022" s="15"/>
      <c r="D2022" s="105">
        <v>1.0</v>
      </c>
      <c r="E2022" s="102">
        <v>37.0</v>
      </c>
      <c r="F2022" s="107">
        <v>191.0</v>
      </c>
      <c r="G2022" s="15" t="str">
        <f t="shared" si="1"/>
        <v>37191</v>
      </c>
      <c r="H2022" s="23" t="s">
        <v>273</v>
      </c>
      <c r="I2022" s="23" t="s">
        <v>96</v>
      </c>
      <c r="J2022" s="23" t="s">
        <v>382</v>
      </c>
      <c r="K2022" s="23" t="str">
        <f t="shared" si="34"/>
        <v>Wayne, NC</v>
      </c>
      <c r="L2022" s="23">
        <v>73.0</v>
      </c>
      <c r="M2022" s="23" t="s">
        <v>63</v>
      </c>
      <c r="N2022" s="23">
        <v>21.0</v>
      </c>
      <c r="O2022" s="23">
        <v>25.0</v>
      </c>
      <c r="P2022" s="23" t="s">
        <v>63</v>
      </c>
      <c r="Q2022" s="23" t="s">
        <v>63</v>
      </c>
      <c r="R2022" s="23" t="s">
        <v>63</v>
      </c>
      <c r="S2022" s="23" t="s">
        <v>63</v>
      </c>
      <c r="T2022" s="32">
        <v>0.6</v>
      </c>
      <c r="U2022" s="23" t="s">
        <v>63</v>
      </c>
      <c r="V2022" s="23" t="s">
        <v>63</v>
      </c>
      <c r="W2022" s="23" t="s">
        <v>63</v>
      </c>
      <c r="X2022" s="23" t="s">
        <v>63</v>
      </c>
      <c r="Y2022" s="35">
        <v>217.0</v>
      </c>
      <c r="Z2022" s="32" t="s">
        <v>63</v>
      </c>
      <c r="AA2022" s="38"/>
      <c r="AB2022" s="38"/>
      <c r="AC2022" s="38"/>
      <c r="AD2022" s="38"/>
      <c r="AE2022" s="38"/>
      <c r="AF2022" s="38"/>
      <c r="AG2022" s="38"/>
      <c r="AH2022" s="38"/>
      <c r="AI2022" s="38"/>
      <c r="AJ2022" s="38"/>
      <c r="AK2022" s="38"/>
    </row>
    <row r="2023">
      <c r="A2023" s="99">
        <v>2022.0</v>
      </c>
      <c r="B2023" s="15"/>
      <c r="C2023" s="15"/>
      <c r="D2023" s="105">
        <v>1.0</v>
      </c>
      <c r="E2023" s="102">
        <v>37.0</v>
      </c>
      <c r="F2023" s="107">
        <v>193.0</v>
      </c>
      <c r="G2023" s="15" t="str">
        <f t="shared" si="1"/>
        <v>37193</v>
      </c>
      <c r="H2023" s="23" t="s">
        <v>653</v>
      </c>
      <c r="I2023" s="23" t="s">
        <v>96</v>
      </c>
      <c r="J2023" s="23" t="s">
        <v>382</v>
      </c>
      <c r="K2023" s="23" t="str">
        <f t="shared" si="34"/>
        <v>Wilkes, NC</v>
      </c>
      <c r="L2023" s="23">
        <v>214.0</v>
      </c>
      <c r="M2023" s="23" t="s">
        <v>63</v>
      </c>
      <c r="N2023" s="23">
        <v>56.0</v>
      </c>
      <c r="O2023" s="23">
        <v>41.0</v>
      </c>
      <c r="P2023" s="23" t="s">
        <v>63</v>
      </c>
      <c r="Q2023" s="23" t="s">
        <v>63</v>
      </c>
      <c r="R2023" s="23" t="s">
        <v>63</v>
      </c>
      <c r="S2023" s="23" t="s">
        <v>63</v>
      </c>
      <c r="T2023" s="32">
        <v>0.571</v>
      </c>
      <c r="U2023" s="23" t="s">
        <v>63</v>
      </c>
      <c r="V2023" s="23" t="s">
        <v>63</v>
      </c>
      <c r="W2023" s="23" t="s">
        <v>63</v>
      </c>
      <c r="X2023" s="23" t="s">
        <v>63</v>
      </c>
      <c r="Y2023" s="35">
        <v>126.0</v>
      </c>
      <c r="Z2023" s="32" t="s">
        <v>63</v>
      </c>
      <c r="AA2023" s="38"/>
      <c r="AB2023" s="38"/>
      <c r="AC2023" s="38"/>
      <c r="AD2023" s="38"/>
      <c r="AE2023" s="38"/>
      <c r="AF2023" s="38"/>
      <c r="AG2023" s="38"/>
      <c r="AH2023" s="38"/>
      <c r="AI2023" s="38"/>
      <c r="AJ2023" s="38"/>
      <c r="AK2023" s="38"/>
    </row>
    <row r="2024">
      <c r="A2024" s="99">
        <v>2023.0</v>
      </c>
      <c r="B2024" s="15"/>
      <c r="C2024" s="15"/>
      <c r="D2024" s="105">
        <v>1.0</v>
      </c>
      <c r="E2024" s="102">
        <v>37.0</v>
      </c>
      <c r="F2024" s="107">
        <v>195.0</v>
      </c>
      <c r="G2024" s="15" t="str">
        <f t="shared" si="1"/>
        <v>37195</v>
      </c>
      <c r="H2024" s="23" t="s">
        <v>1021</v>
      </c>
      <c r="I2024" s="23" t="s">
        <v>96</v>
      </c>
      <c r="J2024" s="23" t="s">
        <v>382</v>
      </c>
      <c r="K2024" s="23" t="str">
        <f t="shared" si="34"/>
        <v>Wilson, NC</v>
      </c>
      <c r="L2024" s="23">
        <v>42.0</v>
      </c>
      <c r="M2024" s="23" t="s">
        <v>63</v>
      </c>
      <c r="N2024" s="23">
        <v>16.0</v>
      </c>
      <c r="O2024" s="23">
        <v>9.0</v>
      </c>
      <c r="P2024" s="23" t="s">
        <v>63</v>
      </c>
      <c r="Q2024" s="23" t="s">
        <v>63</v>
      </c>
      <c r="R2024" s="23" t="s">
        <v>63</v>
      </c>
      <c r="S2024" s="23" t="s">
        <v>63</v>
      </c>
      <c r="T2024" s="32">
        <v>0.125</v>
      </c>
      <c r="U2024" s="23" t="s">
        <v>63</v>
      </c>
      <c r="V2024" s="23" t="s">
        <v>63</v>
      </c>
      <c r="W2024" s="23" t="s">
        <v>63</v>
      </c>
      <c r="X2024" s="23" t="s">
        <v>63</v>
      </c>
      <c r="Y2024" s="35">
        <v>131.0</v>
      </c>
      <c r="Z2024" s="32" t="s">
        <v>63</v>
      </c>
      <c r="AA2024" s="38"/>
      <c r="AB2024" s="38"/>
      <c r="AC2024" s="38"/>
      <c r="AD2024" s="38"/>
      <c r="AE2024" s="38"/>
      <c r="AF2024" s="38"/>
      <c r="AG2024" s="38"/>
      <c r="AH2024" s="38"/>
      <c r="AI2024" s="38"/>
      <c r="AJ2024" s="38"/>
      <c r="AK2024" s="38"/>
    </row>
    <row r="2025">
      <c r="A2025" s="99">
        <v>2024.0</v>
      </c>
      <c r="B2025" s="15"/>
      <c r="C2025" s="15"/>
      <c r="D2025" s="105">
        <v>1.0</v>
      </c>
      <c r="E2025" s="102">
        <v>37.0</v>
      </c>
      <c r="F2025" s="107">
        <v>197.0</v>
      </c>
      <c r="G2025" s="15" t="str">
        <f t="shared" si="1"/>
        <v>37197</v>
      </c>
      <c r="H2025" s="23" t="s">
        <v>1637</v>
      </c>
      <c r="I2025" s="23" t="s">
        <v>96</v>
      </c>
      <c r="J2025" s="23" t="s">
        <v>382</v>
      </c>
      <c r="K2025" s="23" t="str">
        <f t="shared" si="34"/>
        <v>Yadkin, NC</v>
      </c>
      <c r="L2025" s="23">
        <v>49.0</v>
      </c>
      <c r="M2025" s="23" t="s">
        <v>63</v>
      </c>
      <c r="N2025" s="23">
        <v>16.0</v>
      </c>
      <c r="O2025" s="23">
        <v>11.0</v>
      </c>
      <c r="P2025" s="23" t="s">
        <v>63</v>
      </c>
      <c r="Q2025" s="23" t="s">
        <v>63</v>
      </c>
      <c r="R2025" s="23" t="s">
        <v>63</v>
      </c>
      <c r="S2025" s="23" t="s">
        <v>63</v>
      </c>
      <c r="T2025" s="32">
        <v>0.375</v>
      </c>
      <c r="U2025" s="23" t="s">
        <v>63</v>
      </c>
      <c r="V2025" s="23" t="s">
        <v>63</v>
      </c>
      <c r="W2025" s="23" t="s">
        <v>63</v>
      </c>
      <c r="X2025" s="23" t="s">
        <v>63</v>
      </c>
      <c r="Y2025" s="35">
        <v>75.0</v>
      </c>
      <c r="Z2025" s="32" t="s">
        <v>63</v>
      </c>
      <c r="AA2025" s="38"/>
      <c r="AB2025" s="38"/>
      <c r="AC2025" s="38"/>
      <c r="AD2025" s="38"/>
      <c r="AE2025" s="38"/>
      <c r="AF2025" s="38"/>
      <c r="AG2025" s="38"/>
      <c r="AH2025" s="38"/>
      <c r="AI2025" s="38"/>
      <c r="AJ2025" s="38"/>
      <c r="AK2025" s="38"/>
    </row>
    <row r="2026">
      <c r="A2026" s="99">
        <v>2025.0</v>
      </c>
      <c r="B2026" s="15"/>
      <c r="C2026" s="15"/>
      <c r="D2026" s="105">
        <v>1.0</v>
      </c>
      <c r="E2026" s="102">
        <v>37.0</v>
      </c>
      <c r="F2026" s="107">
        <v>199.0</v>
      </c>
      <c r="G2026" s="15" t="str">
        <f t="shared" si="1"/>
        <v>37199</v>
      </c>
      <c r="H2026" s="23" t="s">
        <v>1638</v>
      </c>
      <c r="I2026" s="23" t="s">
        <v>96</v>
      </c>
      <c r="J2026" s="23" t="s">
        <v>382</v>
      </c>
      <c r="K2026" s="23" t="str">
        <f t="shared" si="34"/>
        <v>Yancey, NC</v>
      </c>
      <c r="L2026" s="23">
        <v>35.0</v>
      </c>
      <c r="M2026" s="23" t="s">
        <v>63</v>
      </c>
      <c r="N2026" s="23">
        <v>8.0</v>
      </c>
      <c r="O2026" s="23">
        <v>9.0</v>
      </c>
      <c r="P2026" s="23" t="s">
        <v>63</v>
      </c>
      <c r="Q2026" s="23" t="s">
        <v>63</v>
      </c>
      <c r="R2026" s="23" t="s">
        <v>63</v>
      </c>
      <c r="S2026" s="23" t="s">
        <v>63</v>
      </c>
      <c r="T2026" s="32">
        <v>0.444</v>
      </c>
      <c r="U2026" s="23" t="s">
        <v>63</v>
      </c>
      <c r="V2026" s="23" t="s">
        <v>63</v>
      </c>
      <c r="W2026" s="23" t="s">
        <v>63</v>
      </c>
      <c r="X2026" s="23" t="s">
        <v>63</v>
      </c>
      <c r="Y2026" s="35">
        <v>17.0</v>
      </c>
      <c r="Z2026" s="32" t="s">
        <v>63</v>
      </c>
      <c r="AA2026" s="38"/>
      <c r="AB2026" s="38"/>
      <c r="AC2026" s="38"/>
      <c r="AD2026" s="38"/>
      <c r="AE2026" s="38"/>
      <c r="AF2026" s="38"/>
      <c r="AG2026" s="38"/>
      <c r="AH2026" s="38"/>
      <c r="AI2026" s="38"/>
      <c r="AJ2026" s="38"/>
      <c r="AK2026" s="38"/>
    </row>
    <row r="2027">
      <c r="A2027" s="28">
        <v>2026.0</v>
      </c>
      <c r="B2027" s="29"/>
      <c r="C2027" s="29" t="s">
        <v>25</v>
      </c>
      <c r="D2027" s="30"/>
      <c r="E2027" s="31">
        <v>38.0</v>
      </c>
      <c r="F2027" s="42">
        <v>0.0</v>
      </c>
      <c r="G2027" s="29" t="str">
        <f t="shared" si="1"/>
        <v>38000</v>
      </c>
      <c r="H2027" s="37"/>
      <c r="I2027" s="37" t="s">
        <v>99</v>
      </c>
      <c r="J2027" s="37" t="s">
        <v>1639</v>
      </c>
      <c r="K2027" s="37"/>
      <c r="L2027" s="70">
        <f t="array" ref="L2027:Z2027">'North Dakota'!C57:Q57</f>
        <v>2091</v>
      </c>
      <c r="M2027" s="37" t="s">
        <v>63</v>
      </c>
      <c r="N2027" s="37" t="s">
        <v>63</v>
      </c>
      <c r="O2027" s="37" t="s">
        <v>63</v>
      </c>
      <c r="P2027" s="37" t="s">
        <v>63</v>
      </c>
      <c r="Q2027" s="53">
        <v>974.0</v>
      </c>
      <c r="R2027" s="37">
        <v>343.0</v>
      </c>
      <c r="S2027" s="37" t="s">
        <v>63</v>
      </c>
      <c r="T2027" s="69" t="s">
        <v>63</v>
      </c>
      <c r="U2027" s="37" t="s">
        <v>63</v>
      </c>
      <c r="V2027" s="37" t="s">
        <v>63</v>
      </c>
      <c r="W2027" s="37" t="s">
        <v>63</v>
      </c>
      <c r="X2027" s="37" t="s">
        <v>63</v>
      </c>
      <c r="Y2027" s="53">
        <v>1005.0</v>
      </c>
      <c r="Z2027" s="69" t="s">
        <v>63</v>
      </c>
      <c r="AA2027" s="73"/>
      <c r="AB2027" s="73"/>
      <c r="AC2027" s="73"/>
      <c r="AD2027" s="73"/>
      <c r="AE2027" s="73"/>
      <c r="AF2027" s="73"/>
      <c r="AG2027" s="73"/>
      <c r="AH2027" s="73"/>
      <c r="AI2027" s="73"/>
      <c r="AJ2027" s="73"/>
      <c r="AK2027" s="73"/>
    </row>
    <row r="2028">
      <c r="A2028" s="28">
        <v>2027.0</v>
      </c>
      <c r="B2028" s="29"/>
      <c r="C2028" s="29"/>
      <c r="D2028" s="40">
        <v>1.0</v>
      </c>
      <c r="E2028" s="31">
        <v>38.0</v>
      </c>
      <c r="F2028" s="42">
        <v>1.0</v>
      </c>
      <c r="G2028" s="29" t="str">
        <f t="shared" si="1"/>
        <v>38001</v>
      </c>
      <c r="H2028" s="37" t="s">
        <v>386</v>
      </c>
      <c r="I2028" s="37" t="s">
        <v>99</v>
      </c>
      <c r="J2028" s="37" t="s">
        <v>1639</v>
      </c>
      <c r="K2028" s="37" t="str">
        <f t="shared" ref="K2028:K2080" si="35">CONCATENATE(H2028,", ",J2028)</f>
        <v>Adams, ND</v>
      </c>
      <c r="L2028" s="37" t="str">
        <f t="array" ref="L2028:Z2080">'North Dakota'!C3:Q55</f>
        <v>NULL</v>
      </c>
      <c r="M2028" s="37" t="s">
        <v>63</v>
      </c>
      <c r="N2028" s="37" t="s">
        <v>63</v>
      </c>
      <c r="O2028" s="37" t="s">
        <v>63</v>
      </c>
      <c r="P2028" s="37" t="s">
        <v>63</v>
      </c>
      <c r="Q2028" s="37" t="s">
        <v>63</v>
      </c>
      <c r="R2028" s="37" t="s">
        <v>63</v>
      </c>
      <c r="S2028" s="37" t="s">
        <v>63</v>
      </c>
      <c r="T2028" s="69" t="s">
        <v>63</v>
      </c>
      <c r="U2028" s="37" t="s">
        <v>63</v>
      </c>
      <c r="V2028" s="37" t="s">
        <v>63</v>
      </c>
      <c r="W2028" s="37" t="s">
        <v>63</v>
      </c>
      <c r="X2028" s="37" t="s">
        <v>63</v>
      </c>
      <c r="Y2028" s="53">
        <v>6.0</v>
      </c>
      <c r="Z2028" s="69" t="s">
        <v>63</v>
      </c>
      <c r="AA2028" s="73"/>
      <c r="AB2028" s="73"/>
      <c r="AC2028" s="73"/>
      <c r="AD2028" s="73"/>
      <c r="AE2028" s="73"/>
      <c r="AF2028" s="73"/>
      <c r="AG2028" s="73"/>
      <c r="AH2028" s="73"/>
      <c r="AI2028" s="73"/>
      <c r="AJ2028" s="73"/>
      <c r="AK2028" s="73"/>
    </row>
    <row r="2029">
      <c r="A2029" s="28">
        <v>2028.0</v>
      </c>
      <c r="B2029" s="29"/>
      <c r="C2029" s="29"/>
      <c r="D2029" s="40">
        <v>1.0</v>
      </c>
      <c r="E2029" s="31">
        <v>38.0</v>
      </c>
      <c r="F2029" s="42">
        <v>3.0</v>
      </c>
      <c r="G2029" s="29" t="str">
        <f t="shared" si="1"/>
        <v>38003</v>
      </c>
      <c r="H2029" s="37" t="s">
        <v>1640</v>
      </c>
      <c r="I2029" s="37" t="s">
        <v>99</v>
      </c>
      <c r="J2029" s="37" t="s">
        <v>1639</v>
      </c>
      <c r="K2029" s="37" t="str">
        <f t="shared" si="35"/>
        <v>Barnes, ND</v>
      </c>
      <c r="L2029" s="37">
        <v>28.0</v>
      </c>
      <c r="M2029" s="37" t="s">
        <v>63</v>
      </c>
      <c r="N2029" s="37" t="s">
        <v>63</v>
      </c>
      <c r="O2029" s="37" t="s">
        <v>63</v>
      </c>
      <c r="P2029" s="37" t="s">
        <v>63</v>
      </c>
      <c r="Q2029" s="37" t="s">
        <v>63</v>
      </c>
      <c r="R2029" s="37" t="s">
        <v>63</v>
      </c>
      <c r="S2029" s="37" t="s">
        <v>63</v>
      </c>
      <c r="T2029" s="69" t="s">
        <v>63</v>
      </c>
      <c r="U2029" s="37" t="s">
        <v>63</v>
      </c>
      <c r="V2029" s="37" t="s">
        <v>63</v>
      </c>
      <c r="W2029" s="37" t="s">
        <v>63</v>
      </c>
      <c r="X2029" s="37" t="s">
        <v>63</v>
      </c>
      <c r="Y2029" s="53">
        <v>26.0</v>
      </c>
      <c r="Z2029" s="69" t="s">
        <v>63</v>
      </c>
      <c r="AA2029" s="73"/>
      <c r="AB2029" s="73"/>
      <c r="AC2029" s="73"/>
      <c r="AD2029" s="73"/>
      <c r="AE2029" s="73"/>
      <c r="AF2029" s="73"/>
      <c r="AG2029" s="73"/>
      <c r="AH2029" s="73"/>
      <c r="AI2029" s="73"/>
      <c r="AJ2029" s="73"/>
      <c r="AK2029" s="73"/>
    </row>
    <row r="2030">
      <c r="A2030" s="28">
        <v>2029.0</v>
      </c>
      <c r="B2030" s="29"/>
      <c r="C2030" s="29"/>
      <c r="D2030" s="40">
        <v>1.0</v>
      </c>
      <c r="E2030" s="31">
        <v>38.0</v>
      </c>
      <c r="F2030" s="42">
        <v>5.0</v>
      </c>
      <c r="G2030" s="29" t="str">
        <f t="shared" si="1"/>
        <v>38005</v>
      </c>
      <c r="H2030" s="37" t="s">
        <v>1641</v>
      </c>
      <c r="I2030" s="37" t="s">
        <v>99</v>
      </c>
      <c r="J2030" s="37" t="s">
        <v>1639</v>
      </c>
      <c r="K2030" s="37" t="str">
        <f t="shared" si="35"/>
        <v>Benson, ND</v>
      </c>
      <c r="L2030" s="37">
        <v>81.0</v>
      </c>
      <c r="M2030" s="37" t="s">
        <v>63</v>
      </c>
      <c r="N2030" s="37" t="s">
        <v>63</v>
      </c>
      <c r="O2030" s="37" t="s">
        <v>63</v>
      </c>
      <c r="P2030" s="37" t="s">
        <v>63</v>
      </c>
      <c r="Q2030" s="37" t="s">
        <v>63</v>
      </c>
      <c r="R2030" s="37" t="s">
        <v>63</v>
      </c>
      <c r="S2030" s="37" t="s">
        <v>63</v>
      </c>
      <c r="T2030" s="69" t="s">
        <v>63</v>
      </c>
      <c r="U2030" s="37" t="s">
        <v>63</v>
      </c>
      <c r="V2030" s="37" t="s">
        <v>63</v>
      </c>
      <c r="W2030" s="37" t="s">
        <v>63</v>
      </c>
      <c r="X2030" s="37" t="s">
        <v>63</v>
      </c>
      <c r="Y2030" s="53">
        <v>13.0</v>
      </c>
      <c r="Z2030" s="69" t="s">
        <v>63</v>
      </c>
      <c r="AA2030" s="73"/>
      <c r="AB2030" s="73"/>
      <c r="AC2030" s="73"/>
      <c r="AD2030" s="73"/>
      <c r="AE2030" s="73"/>
      <c r="AF2030" s="73"/>
      <c r="AG2030" s="73"/>
      <c r="AH2030" s="73"/>
      <c r="AI2030" s="73"/>
      <c r="AJ2030" s="73"/>
      <c r="AK2030" s="73"/>
    </row>
    <row r="2031">
      <c r="A2031" s="28">
        <v>2030.0</v>
      </c>
      <c r="B2031" s="29"/>
      <c r="C2031" s="29"/>
      <c r="D2031" s="40">
        <v>1.0</v>
      </c>
      <c r="E2031" s="31">
        <v>38.0</v>
      </c>
      <c r="F2031" s="42">
        <v>7.0</v>
      </c>
      <c r="G2031" s="29" t="str">
        <f t="shared" si="1"/>
        <v>38007</v>
      </c>
      <c r="H2031" s="37" t="s">
        <v>1642</v>
      </c>
      <c r="I2031" s="37" t="s">
        <v>99</v>
      </c>
      <c r="J2031" s="37" t="s">
        <v>1639</v>
      </c>
      <c r="K2031" s="37" t="str">
        <f t="shared" si="35"/>
        <v>Billings, ND</v>
      </c>
      <c r="L2031" s="37" t="s">
        <v>63</v>
      </c>
      <c r="M2031" s="37" t="s">
        <v>63</v>
      </c>
      <c r="N2031" s="37" t="s">
        <v>63</v>
      </c>
      <c r="O2031" s="37" t="s">
        <v>63</v>
      </c>
      <c r="P2031" s="37" t="s">
        <v>63</v>
      </c>
      <c r="Q2031" s="37" t="s">
        <v>63</v>
      </c>
      <c r="R2031" s="37" t="s">
        <v>63</v>
      </c>
      <c r="S2031" s="37" t="s">
        <v>63</v>
      </c>
      <c r="T2031" s="69" t="s">
        <v>63</v>
      </c>
      <c r="U2031" s="37" t="s">
        <v>63</v>
      </c>
      <c r="V2031" s="37" t="s">
        <v>63</v>
      </c>
      <c r="W2031" s="37" t="s">
        <v>63</v>
      </c>
      <c r="X2031" s="37" t="s">
        <v>63</v>
      </c>
      <c r="Y2031" s="53">
        <v>2.0</v>
      </c>
      <c r="Z2031" s="69" t="s">
        <v>63</v>
      </c>
      <c r="AA2031" s="73"/>
      <c r="AB2031" s="73"/>
      <c r="AC2031" s="73"/>
      <c r="AD2031" s="73"/>
      <c r="AE2031" s="73"/>
      <c r="AF2031" s="73"/>
      <c r="AG2031" s="73"/>
      <c r="AH2031" s="73"/>
      <c r="AI2031" s="73"/>
      <c r="AJ2031" s="73"/>
      <c r="AK2031" s="73"/>
    </row>
    <row r="2032">
      <c r="A2032" s="28">
        <v>2031.0</v>
      </c>
      <c r="B2032" s="29"/>
      <c r="C2032" s="29"/>
      <c r="D2032" s="40">
        <v>1.0</v>
      </c>
      <c r="E2032" s="31">
        <v>38.0</v>
      </c>
      <c r="F2032" s="42">
        <v>9.0</v>
      </c>
      <c r="G2032" s="29" t="str">
        <f t="shared" si="1"/>
        <v>38009</v>
      </c>
      <c r="H2032" s="37" t="s">
        <v>1643</v>
      </c>
      <c r="I2032" s="37" t="s">
        <v>99</v>
      </c>
      <c r="J2032" s="37" t="s">
        <v>1639</v>
      </c>
      <c r="K2032" s="37" t="str">
        <f t="shared" si="35"/>
        <v>Bottineau, ND</v>
      </c>
      <c r="L2032" s="37" t="s">
        <v>63</v>
      </c>
      <c r="M2032" s="37" t="s">
        <v>63</v>
      </c>
      <c r="N2032" s="37" t="s">
        <v>63</v>
      </c>
      <c r="O2032" s="37" t="s">
        <v>63</v>
      </c>
      <c r="P2032" s="37" t="s">
        <v>63</v>
      </c>
      <c r="Q2032" s="37" t="s">
        <v>63</v>
      </c>
      <c r="R2032" s="37" t="s">
        <v>63</v>
      </c>
      <c r="S2032" s="37" t="s">
        <v>63</v>
      </c>
      <c r="T2032" s="69" t="s">
        <v>63</v>
      </c>
      <c r="U2032" s="37" t="s">
        <v>63</v>
      </c>
      <c r="V2032" s="37" t="s">
        <v>63</v>
      </c>
      <c r="W2032" s="37" t="s">
        <v>63</v>
      </c>
      <c r="X2032" s="37" t="s">
        <v>63</v>
      </c>
      <c r="Y2032" s="53">
        <v>16.0</v>
      </c>
      <c r="Z2032" s="69" t="s">
        <v>63</v>
      </c>
      <c r="AA2032" s="73"/>
      <c r="AB2032" s="73"/>
      <c r="AC2032" s="73"/>
      <c r="AD2032" s="73"/>
      <c r="AE2032" s="73"/>
      <c r="AF2032" s="73"/>
      <c r="AG2032" s="73"/>
      <c r="AH2032" s="73"/>
      <c r="AI2032" s="73"/>
      <c r="AJ2032" s="73"/>
      <c r="AK2032" s="73"/>
    </row>
    <row r="2033">
      <c r="A2033" s="28">
        <v>2032.0</v>
      </c>
      <c r="B2033" s="29"/>
      <c r="C2033" s="29"/>
      <c r="D2033" s="40">
        <v>1.0</v>
      </c>
      <c r="E2033" s="31">
        <v>38.0</v>
      </c>
      <c r="F2033" s="42">
        <v>11.0</v>
      </c>
      <c r="G2033" s="29" t="str">
        <f t="shared" si="1"/>
        <v>38011</v>
      </c>
      <c r="H2033" s="37" t="s">
        <v>1644</v>
      </c>
      <c r="I2033" s="37" t="s">
        <v>99</v>
      </c>
      <c r="J2033" s="37" t="s">
        <v>1639</v>
      </c>
      <c r="K2033" s="37" t="str">
        <f t="shared" si="35"/>
        <v>Bowman, ND</v>
      </c>
      <c r="L2033" s="37" t="s">
        <v>63</v>
      </c>
      <c r="M2033" s="37" t="s">
        <v>63</v>
      </c>
      <c r="N2033" s="37" t="s">
        <v>63</v>
      </c>
      <c r="O2033" s="37" t="s">
        <v>63</v>
      </c>
      <c r="P2033" s="37" t="s">
        <v>63</v>
      </c>
      <c r="Q2033" s="37" t="s">
        <v>63</v>
      </c>
      <c r="R2033" s="37" t="s">
        <v>63</v>
      </c>
      <c r="S2033" s="37" t="s">
        <v>63</v>
      </c>
      <c r="T2033" s="69" t="s">
        <v>63</v>
      </c>
      <c r="U2033" s="37" t="s">
        <v>63</v>
      </c>
      <c r="V2033" s="37" t="s">
        <v>63</v>
      </c>
      <c r="W2033" s="37" t="s">
        <v>63</v>
      </c>
      <c r="X2033" s="37" t="s">
        <v>63</v>
      </c>
      <c r="Y2033" s="53">
        <v>10.0</v>
      </c>
      <c r="Z2033" s="69" t="s">
        <v>63</v>
      </c>
      <c r="AA2033" s="73"/>
      <c r="AB2033" s="73"/>
      <c r="AC2033" s="73"/>
      <c r="AD2033" s="73"/>
      <c r="AE2033" s="73"/>
      <c r="AF2033" s="73"/>
      <c r="AG2033" s="73"/>
      <c r="AH2033" s="73"/>
      <c r="AI2033" s="73"/>
      <c r="AJ2033" s="73"/>
      <c r="AK2033" s="73"/>
    </row>
    <row r="2034">
      <c r="A2034" s="28">
        <v>2033.0</v>
      </c>
      <c r="B2034" s="29"/>
      <c r="C2034" s="29"/>
      <c r="D2034" s="40">
        <v>1.0</v>
      </c>
      <c r="E2034" s="31">
        <v>38.0</v>
      </c>
      <c r="F2034" s="42">
        <v>13.0</v>
      </c>
      <c r="G2034" s="29" t="str">
        <f t="shared" si="1"/>
        <v>38013</v>
      </c>
      <c r="H2034" s="37" t="s">
        <v>546</v>
      </c>
      <c r="I2034" s="37" t="s">
        <v>99</v>
      </c>
      <c r="J2034" s="37" t="s">
        <v>1639</v>
      </c>
      <c r="K2034" s="37" t="str">
        <f t="shared" si="35"/>
        <v>Burke, ND</v>
      </c>
      <c r="L2034" s="37" t="s">
        <v>63</v>
      </c>
      <c r="M2034" s="37" t="s">
        <v>63</v>
      </c>
      <c r="N2034" s="37" t="s">
        <v>63</v>
      </c>
      <c r="O2034" s="37" t="s">
        <v>63</v>
      </c>
      <c r="P2034" s="37" t="s">
        <v>63</v>
      </c>
      <c r="Q2034" s="37" t="s">
        <v>63</v>
      </c>
      <c r="R2034" s="37" t="s">
        <v>63</v>
      </c>
      <c r="S2034" s="37" t="s">
        <v>63</v>
      </c>
      <c r="T2034" s="69" t="s">
        <v>63</v>
      </c>
      <c r="U2034" s="37" t="s">
        <v>63</v>
      </c>
      <c r="V2034" s="37" t="s">
        <v>63</v>
      </c>
      <c r="W2034" s="37" t="s">
        <v>63</v>
      </c>
      <c r="X2034" s="37" t="s">
        <v>63</v>
      </c>
      <c r="Y2034" s="53">
        <v>14.0</v>
      </c>
      <c r="Z2034" s="69" t="s">
        <v>63</v>
      </c>
      <c r="AA2034" s="73"/>
      <c r="AB2034" s="73"/>
      <c r="AC2034" s="73"/>
      <c r="AD2034" s="73"/>
      <c r="AE2034" s="73"/>
      <c r="AF2034" s="73"/>
      <c r="AG2034" s="73"/>
      <c r="AH2034" s="73"/>
      <c r="AI2034" s="73"/>
      <c r="AJ2034" s="73"/>
      <c r="AK2034" s="73"/>
    </row>
    <row r="2035">
      <c r="A2035" s="28">
        <v>2034.0</v>
      </c>
      <c r="B2035" s="29"/>
      <c r="C2035" s="29"/>
      <c r="D2035" s="40">
        <v>1.0</v>
      </c>
      <c r="E2035" s="31">
        <v>38.0</v>
      </c>
      <c r="F2035" s="42">
        <v>15.0</v>
      </c>
      <c r="G2035" s="29" t="str">
        <f t="shared" si="1"/>
        <v>38015</v>
      </c>
      <c r="H2035" s="37" t="s">
        <v>1645</v>
      </c>
      <c r="I2035" s="37" t="s">
        <v>99</v>
      </c>
      <c r="J2035" s="37" t="s">
        <v>1639</v>
      </c>
      <c r="K2035" s="37" t="str">
        <f t="shared" si="35"/>
        <v>Burleigh, ND</v>
      </c>
      <c r="L2035" s="37">
        <v>207.0</v>
      </c>
      <c r="M2035" s="37" t="s">
        <v>63</v>
      </c>
      <c r="N2035" s="37" t="s">
        <v>63</v>
      </c>
      <c r="O2035" s="37" t="s">
        <v>63</v>
      </c>
      <c r="P2035" s="37" t="s">
        <v>63</v>
      </c>
      <c r="Q2035" s="37" t="s">
        <v>63</v>
      </c>
      <c r="R2035" s="37" t="s">
        <v>63</v>
      </c>
      <c r="S2035" s="37" t="s">
        <v>63</v>
      </c>
      <c r="T2035" s="69" t="s">
        <v>63</v>
      </c>
      <c r="U2035" s="37" t="s">
        <v>63</v>
      </c>
      <c r="V2035" s="37" t="s">
        <v>63</v>
      </c>
      <c r="W2035" s="37" t="s">
        <v>63</v>
      </c>
      <c r="X2035" s="37" t="s">
        <v>63</v>
      </c>
      <c r="Y2035" s="53">
        <v>58.0</v>
      </c>
      <c r="Z2035" s="69" t="s">
        <v>63</v>
      </c>
      <c r="AA2035" s="73"/>
      <c r="AB2035" s="73"/>
      <c r="AC2035" s="73"/>
      <c r="AD2035" s="73"/>
      <c r="AE2035" s="73"/>
      <c r="AF2035" s="73"/>
      <c r="AG2035" s="73"/>
      <c r="AH2035" s="73"/>
      <c r="AI2035" s="73"/>
      <c r="AJ2035" s="73"/>
      <c r="AK2035" s="73"/>
    </row>
    <row r="2036">
      <c r="A2036" s="28">
        <v>2035.0</v>
      </c>
      <c r="B2036" s="29"/>
      <c r="C2036" s="29"/>
      <c r="D2036" s="40">
        <v>1.0</v>
      </c>
      <c r="E2036" s="31">
        <v>38.0</v>
      </c>
      <c r="F2036" s="42">
        <v>17.0</v>
      </c>
      <c r="G2036" s="29" t="str">
        <f t="shared" si="1"/>
        <v>38017</v>
      </c>
      <c r="H2036" s="37" t="s">
        <v>708</v>
      </c>
      <c r="I2036" s="37" t="s">
        <v>99</v>
      </c>
      <c r="J2036" s="37" t="s">
        <v>1639</v>
      </c>
      <c r="K2036" s="37" t="str">
        <f t="shared" si="35"/>
        <v>Cass, ND</v>
      </c>
      <c r="L2036" s="37">
        <v>340.0</v>
      </c>
      <c r="M2036" s="37" t="s">
        <v>63</v>
      </c>
      <c r="N2036" s="37" t="s">
        <v>63</v>
      </c>
      <c r="O2036" s="37" t="s">
        <v>63</v>
      </c>
      <c r="P2036" s="37" t="s">
        <v>63</v>
      </c>
      <c r="Q2036" s="37" t="s">
        <v>63</v>
      </c>
      <c r="R2036" s="37" t="s">
        <v>63</v>
      </c>
      <c r="S2036" s="37" t="s">
        <v>63</v>
      </c>
      <c r="T2036" s="69" t="s">
        <v>63</v>
      </c>
      <c r="U2036" s="37" t="s">
        <v>63</v>
      </c>
      <c r="V2036" s="37" t="s">
        <v>63</v>
      </c>
      <c r="W2036" s="37" t="s">
        <v>63</v>
      </c>
      <c r="X2036" s="37" t="s">
        <v>63</v>
      </c>
      <c r="Y2036" s="53">
        <v>103.0</v>
      </c>
      <c r="Z2036" s="69" t="s">
        <v>63</v>
      </c>
      <c r="AA2036" s="73"/>
      <c r="AB2036" s="73"/>
      <c r="AC2036" s="73"/>
      <c r="AD2036" s="73"/>
      <c r="AE2036" s="73"/>
      <c r="AF2036" s="73"/>
      <c r="AG2036" s="73"/>
      <c r="AH2036" s="73"/>
      <c r="AI2036" s="73"/>
      <c r="AJ2036" s="73"/>
      <c r="AK2036" s="73"/>
    </row>
    <row r="2037">
      <c r="A2037" s="28">
        <v>2036.0</v>
      </c>
      <c r="B2037" s="29"/>
      <c r="C2037" s="29"/>
      <c r="D2037" s="40">
        <v>1.0</v>
      </c>
      <c r="E2037" s="31">
        <v>38.0</v>
      </c>
      <c r="F2037" s="42">
        <v>19.0</v>
      </c>
      <c r="G2037" s="29" t="str">
        <f t="shared" si="1"/>
        <v>38019</v>
      </c>
      <c r="H2037" s="37" t="s">
        <v>1646</v>
      </c>
      <c r="I2037" s="37" t="s">
        <v>99</v>
      </c>
      <c r="J2037" s="37" t="s">
        <v>1639</v>
      </c>
      <c r="K2037" s="37" t="str">
        <f t="shared" si="35"/>
        <v>Cavalier, ND</v>
      </c>
      <c r="L2037" s="37" t="s">
        <v>63</v>
      </c>
      <c r="M2037" s="37" t="s">
        <v>63</v>
      </c>
      <c r="N2037" s="37" t="s">
        <v>63</v>
      </c>
      <c r="O2037" s="37" t="s">
        <v>63</v>
      </c>
      <c r="P2037" s="37" t="s">
        <v>63</v>
      </c>
      <c r="Q2037" s="37" t="s">
        <v>63</v>
      </c>
      <c r="R2037" s="37" t="s">
        <v>63</v>
      </c>
      <c r="S2037" s="37" t="s">
        <v>63</v>
      </c>
      <c r="T2037" s="69" t="s">
        <v>63</v>
      </c>
      <c r="U2037" s="37" t="s">
        <v>63</v>
      </c>
      <c r="V2037" s="37" t="s">
        <v>63</v>
      </c>
      <c r="W2037" s="37" t="s">
        <v>63</v>
      </c>
      <c r="X2037" s="37" t="s">
        <v>63</v>
      </c>
      <c r="Y2037" s="53">
        <v>13.0</v>
      </c>
      <c r="Z2037" s="69" t="s">
        <v>63</v>
      </c>
      <c r="AA2037" s="73"/>
      <c r="AB2037" s="73"/>
      <c r="AC2037" s="73"/>
      <c r="AD2037" s="73"/>
      <c r="AE2037" s="73"/>
      <c r="AF2037" s="73"/>
      <c r="AG2037" s="73"/>
      <c r="AH2037" s="73"/>
      <c r="AI2037" s="73"/>
      <c r="AJ2037" s="73"/>
      <c r="AK2037" s="73"/>
    </row>
    <row r="2038">
      <c r="A2038" s="28">
        <v>2037.0</v>
      </c>
      <c r="B2038" s="29"/>
      <c r="C2038" s="29"/>
      <c r="D2038" s="40">
        <v>1.0</v>
      </c>
      <c r="E2038" s="31">
        <v>38.0</v>
      </c>
      <c r="F2038" s="42">
        <v>21.0</v>
      </c>
      <c r="G2038" s="29" t="str">
        <f t="shared" si="1"/>
        <v>38021</v>
      </c>
      <c r="H2038" s="37" t="s">
        <v>1647</v>
      </c>
      <c r="I2038" s="37" t="s">
        <v>99</v>
      </c>
      <c r="J2038" s="37" t="s">
        <v>1639</v>
      </c>
      <c r="K2038" s="37" t="str">
        <f t="shared" si="35"/>
        <v>Dickey, ND</v>
      </c>
      <c r="L2038" s="37">
        <v>15.0</v>
      </c>
      <c r="M2038" s="37" t="s">
        <v>63</v>
      </c>
      <c r="N2038" s="37" t="s">
        <v>63</v>
      </c>
      <c r="O2038" s="37" t="s">
        <v>63</v>
      </c>
      <c r="P2038" s="37" t="s">
        <v>63</v>
      </c>
      <c r="Q2038" s="37" t="s">
        <v>63</v>
      </c>
      <c r="R2038" s="37" t="s">
        <v>63</v>
      </c>
      <c r="S2038" s="37" t="s">
        <v>63</v>
      </c>
      <c r="T2038" s="69" t="s">
        <v>63</v>
      </c>
      <c r="U2038" s="37" t="s">
        <v>63</v>
      </c>
      <c r="V2038" s="37" t="s">
        <v>63</v>
      </c>
      <c r="W2038" s="37" t="s">
        <v>63</v>
      </c>
      <c r="X2038" s="37" t="s">
        <v>63</v>
      </c>
      <c r="Y2038" s="53">
        <v>18.0</v>
      </c>
      <c r="Z2038" s="69" t="s">
        <v>63</v>
      </c>
      <c r="AA2038" s="73"/>
      <c r="AB2038" s="73"/>
      <c r="AC2038" s="73"/>
      <c r="AD2038" s="73"/>
      <c r="AE2038" s="73"/>
      <c r="AF2038" s="73"/>
      <c r="AG2038" s="73"/>
      <c r="AH2038" s="73"/>
      <c r="AI2038" s="73"/>
      <c r="AJ2038" s="73"/>
      <c r="AK2038" s="73"/>
    </row>
    <row r="2039">
      <c r="A2039" s="28">
        <v>2038.0</v>
      </c>
      <c r="B2039" s="29"/>
      <c r="C2039" s="29"/>
      <c r="D2039" s="40">
        <v>1.0</v>
      </c>
      <c r="E2039" s="31">
        <v>38.0</v>
      </c>
      <c r="F2039" s="42">
        <v>23.0</v>
      </c>
      <c r="G2039" s="29" t="str">
        <f t="shared" si="1"/>
        <v>38023</v>
      </c>
      <c r="H2039" s="37" t="s">
        <v>1648</v>
      </c>
      <c r="I2039" s="37" t="s">
        <v>99</v>
      </c>
      <c r="J2039" s="37" t="s">
        <v>1639</v>
      </c>
      <c r="K2039" s="37" t="str">
        <f t="shared" si="35"/>
        <v>Divide, ND</v>
      </c>
      <c r="L2039" s="37" t="s">
        <v>63</v>
      </c>
      <c r="M2039" s="37" t="s">
        <v>63</v>
      </c>
      <c r="N2039" s="37" t="s">
        <v>63</v>
      </c>
      <c r="O2039" s="37" t="s">
        <v>63</v>
      </c>
      <c r="P2039" s="37" t="s">
        <v>63</v>
      </c>
      <c r="Q2039" s="37" t="s">
        <v>63</v>
      </c>
      <c r="R2039" s="37" t="s">
        <v>63</v>
      </c>
      <c r="S2039" s="37" t="s">
        <v>63</v>
      </c>
      <c r="T2039" s="69" t="s">
        <v>63</v>
      </c>
      <c r="U2039" s="37" t="s">
        <v>63</v>
      </c>
      <c r="V2039" s="37" t="s">
        <v>63</v>
      </c>
      <c r="W2039" s="37" t="s">
        <v>63</v>
      </c>
      <c r="X2039" s="37" t="s">
        <v>63</v>
      </c>
      <c r="Y2039" s="53">
        <v>8.0</v>
      </c>
      <c r="Z2039" s="69" t="s">
        <v>63</v>
      </c>
      <c r="AA2039" s="73"/>
      <c r="AB2039" s="73"/>
      <c r="AC2039" s="73"/>
      <c r="AD2039" s="73"/>
      <c r="AE2039" s="73"/>
      <c r="AF2039" s="73"/>
      <c r="AG2039" s="73"/>
      <c r="AH2039" s="73"/>
      <c r="AI2039" s="73"/>
      <c r="AJ2039" s="73"/>
      <c r="AK2039" s="73"/>
    </row>
    <row r="2040">
      <c r="A2040" s="28">
        <v>2039.0</v>
      </c>
      <c r="B2040" s="29"/>
      <c r="C2040" s="29"/>
      <c r="D2040" s="40">
        <v>1.0</v>
      </c>
      <c r="E2040" s="31">
        <v>38.0</v>
      </c>
      <c r="F2040" s="42">
        <v>25.0</v>
      </c>
      <c r="G2040" s="29" t="str">
        <f t="shared" si="1"/>
        <v>38025</v>
      </c>
      <c r="H2040" s="37" t="s">
        <v>1649</v>
      </c>
      <c r="I2040" s="37" t="s">
        <v>99</v>
      </c>
      <c r="J2040" s="37" t="s">
        <v>1639</v>
      </c>
      <c r="K2040" s="37" t="str">
        <f t="shared" si="35"/>
        <v>Dunn, ND</v>
      </c>
      <c r="L2040" s="37" t="s">
        <v>63</v>
      </c>
      <c r="M2040" s="37" t="s">
        <v>63</v>
      </c>
      <c r="N2040" s="37" t="s">
        <v>63</v>
      </c>
      <c r="O2040" s="37" t="s">
        <v>63</v>
      </c>
      <c r="P2040" s="37" t="s">
        <v>63</v>
      </c>
      <c r="Q2040" s="37" t="s">
        <v>63</v>
      </c>
      <c r="R2040" s="37" t="s">
        <v>63</v>
      </c>
      <c r="S2040" s="37" t="s">
        <v>63</v>
      </c>
      <c r="T2040" s="69" t="s">
        <v>63</v>
      </c>
      <c r="U2040" s="37" t="s">
        <v>63</v>
      </c>
      <c r="V2040" s="37" t="s">
        <v>63</v>
      </c>
      <c r="W2040" s="37" t="s">
        <v>63</v>
      </c>
      <c r="X2040" s="37" t="s">
        <v>63</v>
      </c>
      <c r="Y2040" s="53">
        <v>7.0</v>
      </c>
      <c r="Z2040" s="69" t="s">
        <v>63</v>
      </c>
      <c r="AA2040" s="73"/>
      <c r="AB2040" s="73"/>
      <c r="AC2040" s="73"/>
      <c r="AD2040" s="73"/>
      <c r="AE2040" s="73"/>
      <c r="AF2040" s="73"/>
      <c r="AG2040" s="73"/>
      <c r="AH2040" s="73"/>
      <c r="AI2040" s="73"/>
      <c r="AJ2040" s="73"/>
      <c r="AK2040" s="73"/>
    </row>
    <row r="2041">
      <c r="A2041" s="28">
        <v>2040.0</v>
      </c>
      <c r="B2041" s="29"/>
      <c r="C2041" s="29"/>
      <c r="D2041" s="40">
        <v>1.0</v>
      </c>
      <c r="E2041" s="31">
        <v>38.0</v>
      </c>
      <c r="F2041" s="42">
        <v>27.0</v>
      </c>
      <c r="G2041" s="29" t="str">
        <f t="shared" si="1"/>
        <v>38027</v>
      </c>
      <c r="H2041" s="37" t="s">
        <v>1538</v>
      </c>
      <c r="I2041" s="37" t="s">
        <v>99</v>
      </c>
      <c r="J2041" s="37" t="s">
        <v>1639</v>
      </c>
      <c r="K2041" s="37" t="str">
        <f t="shared" si="35"/>
        <v>Eddy, ND</v>
      </c>
      <c r="L2041" s="37" t="s">
        <v>63</v>
      </c>
      <c r="M2041" s="37" t="s">
        <v>63</v>
      </c>
      <c r="N2041" s="37" t="s">
        <v>63</v>
      </c>
      <c r="O2041" s="37" t="s">
        <v>63</v>
      </c>
      <c r="P2041" s="37" t="s">
        <v>63</v>
      </c>
      <c r="Q2041" s="37" t="s">
        <v>63</v>
      </c>
      <c r="R2041" s="37" t="s">
        <v>63</v>
      </c>
      <c r="S2041" s="37" t="s">
        <v>63</v>
      </c>
      <c r="T2041" s="69" t="s">
        <v>63</v>
      </c>
      <c r="U2041" s="37" t="s">
        <v>63</v>
      </c>
      <c r="V2041" s="37" t="s">
        <v>63</v>
      </c>
      <c r="W2041" s="37" t="s">
        <v>63</v>
      </c>
      <c r="X2041" s="37" t="s">
        <v>63</v>
      </c>
      <c r="Y2041" s="53">
        <v>7.0</v>
      </c>
      <c r="Z2041" s="69" t="s">
        <v>63</v>
      </c>
      <c r="AA2041" s="73"/>
      <c r="AB2041" s="73"/>
      <c r="AC2041" s="73"/>
      <c r="AD2041" s="73"/>
      <c r="AE2041" s="73"/>
      <c r="AF2041" s="73"/>
      <c r="AG2041" s="73"/>
      <c r="AH2041" s="73"/>
      <c r="AI2041" s="73"/>
      <c r="AJ2041" s="73"/>
      <c r="AK2041" s="73"/>
    </row>
    <row r="2042">
      <c r="A2042" s="28">
        <v>2041.0</v>
      </c>
      <c r="B2042" s="29"/>
      <c r="C2042" s="29"/>
      <c r="D2042" s="40">
        <v>1.0</v>
      </c>
      <c r="E2042" s="31">
        <v>38.0</v>
      </c>
      <c r="F2042" s="42">
        <v>29.0</v>
      </c>
      <c r="G2042" s="29" t="str">
        <f t="shared" si="1"/>
        <v>38029</v>
      </c>
      <c r="H2042" s="37" t="s">
        <v>1650</v>
      </c>
      <c r="I2042" s="37" t="s">
        <v>99</v>
      </c>
      <c r="J2042" s="37" t="s">
        <v>1639</v>
      </c>
      <c r="K2042" s="37" t="str">
        <f t="shared" si="35"/>
        <v>Emmons, ND</v>
      </c>
      <c r="L2042" s="37" t="s">
        <v>63</v>
      </c>
      <c r="M2042" s="37" t="s">
        <v>63</v>
      </c>
      <c r="N2042" s="37" t="s">
        <v>63</v>
      </c>
      <c r="O2042" s="37" t="s">
        <v>63</v>
      </c>
      <c r="P2042" s="37" t="s">
        <v>63</v>
      </c>
      <c r="Q2042" s="37" t="s">
        <v>63</v>
      </c>
      <c r="R2042" s="37" t="s">
        <v>63</v>
      </c>
      <c r="S2042" s="37" t="s">
        <v>63</v>
      </c>
      <c r="T2042" s="69" t="s">
        <v>63</v>
      </c>
      <c r="U2042" s="37" t="s">
        <v>63</v>
      </c>
      <c r="V2042" s="37" t="s">
        <v>63</v>
      </c>
      <c r="W2042" s="37" t="s">
        <v>63</v>
      </c>
      <c r="X2042" s="37" t="s">
        <v>63</v>
      </c>
      <c r="Y2042" s="53">
        <v>11.0</v>
      </c>
      <c r="Z2042" s="69" t="s">
        <v>63</v>
      </c>
      <c r="AA2042" s="73"/>
      <c r="AB2042" s="73"/>
      <c r="AC2042" s="73"/>
      <c r="AD2042" s="73"/>
      <c r="AE2042" s="73"/>
      <c r="AF2042" s="73"/>
      <c r="AG2042" s="73"/>
      <c r="AH2042" s="73"/>
      <c r="AI2042" s="73"/>
      <c r="AJ2042" s="73"/>
      <c r="AK2042" s="73"/>
    </row>
    <row r="2043">
      <c r="A2043" s="28">
        <v>2042.0</v>
      </c>
      <c r="B2043" s="29"/>
      <c r="C2043" s="29"/>
      <c r="D2043" s="40">
        <v>1.0</v>
      </c>
      <c r="E2043" s="31">
        <v>38.0</v>
      </c>
      <c r="F2043" s="42">
        <v>31.0</v>
      </c>
      <c r="G2043" s="29" t="str">
        <f t="shared" si="1"/>
        <v>38031</v>
      </c>
      <c r="H2043" s="37" t="s">
        <v>1651</v>
      </c>
      <c r="I2043" s="37" t="s">
        <v>99</v>
      </c>
      <c r="J2043" s="37" t="s">
        <v>1639</v>
      </c>
      <c r="K2043" s="37" t="str">
        <f t="shared" si="35"/>
        <v>Foster, ND</v>
      </c>
      <c r="L2043" s="37" t="s">
        <v>63</v>
      </c>
      <c r="M2043" s="37" t="s">
        <v>63</v>
      </c>
      <c r="N2043" s="37" t="s">
        <v>63</v>
      </c>
      <c r="O2043" s="37" t="s">
        <v>63</v>
      </c>
      <c r="P2043" s="37" t="s">
        <v>63</v>
      </c>
      <c r="Q2043" s="37" t="s">
        <v>63</v>
      </c>
      <c r="R2043" s="37" t="s">
        <v>63</v>
      </c>
      <c r="S2043" s="37" t="s">
        <v>63</v>
      </c>
      <c r="T2043" s="69" t="s">
        <v>63</v>
      </c>
      <c r="U2043" s="37" t="s">
        <v>63</v>
      </c>
      <c r="V2043" s="37" t="s">
        <v>63</v>
      </c>
      <c r="W2043" s="37" t="s">
        <v>63</v>
      </c>
      <c r="X2043" s="37" t="s">
        <v>63</v>
      </c>
      <c r="Y2043" s="53">
        <v>11.0</v>
      </c>
      <c r="Z2043" s="69" t="s">
        <v>63</v>
      </c>
      <c r="AA2043" s="73"/>
      <c r="AB2043" s="73"/>
      <c r="AC2043" s="73"/>
      <c r="AD2043" s="73"/>
      <c r="AE2043" s="73"/>
      <c r="AF2043" s="73"/>
      <c r="AG2043" s="73"/>
      <c r="AH2043" s="73"/>
      <c r="AI2043" s="73"/>
      <c r="AJ2043" s="73"/>
      <c r="AK2043" s="73"/>
    </row>
    <row r="2044">
      <c r="A2044" s="28">
        <v>2043.0</v>
      </c>
      <c r="B2044" s="29"/>
      <c r="C2044" s="29"/>
      <c r="D2044" s="40">
        <v>1.0</v>
      </c>
      <c r="E2044" s="31">
        <v>38.0</v>
      </c>
      <c r="F2044" s="42">
        <v>33.0</v>
      </c>
      <c r="G2044" s="29" t="str">
        <f t="shared" si="1"/>
        <v>38033</v>
      </c>
      <c r="H2044" s="37" t="s">
        <v>1443</v>
      </c>
      <c r="I2044" s="37" t="s">
        <v>99</v>
      </c>
      <c r="J2044" s="37" t="s">
        <v>1639</v>
      </c>
      <c r="K2044" s="136" t="str">
        <f t="shared" si="35"/>
        <v>Golden Valley, ND</v>
      </c>
      <c r="L2044" s="37" t="s">
        <v>63</v>
      </c>
      <c r="M2044" s="37" t="s">
        <v>63</v>
      </c>
      <c r="N2044" s="37" t="s">
        <v>63</v>
      </c>
      <c r="O2044" s="37" t="s">
        <v>63</v>
      </c>
      <c r="P2044" s="37" t="s">
        <v>63</v>
      </c>
      <c r="Q2044" s="37" t="s">
        <v>63</v>
      </c>
      <c r="R2044" s="37" t="s">
        <v>63</v>
      </c>
      <c r="S2044" s="37" t="s">
        <v>63</v>
      </c>
      <c r="T2044" s="69" t="s">
        <v>63</v>
      </c>
      <c r="U2044" s="37" t="s">
        <v>63</v>
      </c>
      <c r="V2044" s="37" t="s">
        <v>63</v>
      </c>
      <c r="W2044" s="37" t="s">
        <v>63</v>
      </c>
      <c r="X2044" s="37" t="s">
        <v>63</v>
      </c>
      <c r="Y2044" s="53">
        <v>7.0</v>
      </c>
      <c r="Z2044" s="69" t="s">
        <v>63</v>
      </c>
      <c r="AA2044" s="73"/>
      <c r="AB2044" s="73"/>
      <c r="AC2044" s="73"/>
      <c r="AD2044" s="73"/>
      <c r="AE2044" s="73"/>
      <c r="AF2044" s="73"/>
      <c r="AG2044" s="73"/>
      <c r="AH2044" s="73"/>
      <c r="AI2044" s="73"/>
      <c r="AJ2044" s="73"/>
      <c r="AK2044" s="73"/>
    </row>
    <row r="2045">
      <c r="A2045" s="28">
        <v>2044.0</v>
      </c>
      <c r="B2045" s="29"/>
      <c r="C2045" s="29"/>
      <c r="D2045" s="40">
        <v>1.0</v>
      </c>
      <c r="E2045" s="31">
        <v>38.0</v>
      </c>
      <c r="F2045" s="42">
        <v>35.0</v>
      </c>
      <c r="G2045" s="29" t="str">
        <f t="shared" si="1"/>
        <v>38035</v>
      </c>
      <c r="H2045" s="37" t="s">
        <v>1652</v>
      </c>
      <c r="I2045" s="37" t="s">
        <v>99</v>
      </c>
      <c r="J2045" s="37" t="s">
        <v>1639</v>
      </c>
      <c r="K2045" s="136" t="str">
        <f t="shared" si="35"/>
        <v>Grand Forks, ND</v>
      </c>
      <c r="L2045" s="37">
        <v>295.0</v>
      </c>
      <c r="M2045" s="37" t="s">
        <v>63</v>
      </c>
      <c r="N2045" s="37" t="s">
        <v>63</v>
      </c>
      <c r="O2045" s="37" t="s">
        <v>63</v>
      </c>
      <c r="P2045" s="37" t="s">
        <v>63</v>
      </c>
      <c r="Q2045" s="37" t="s">
        <v>63</v>
      </c>
      <c r="R2045" s="37" t="s">
        <v>63</v>
      </c>
      <c r="S2045" s="37" t="s">
        <v>63</v>
      </c>
      <c r="T2045" s="69" t="s">
        <v>63</v>
      </c>
      <c r="U2045" s="37" t="s">
        <v>63</v>
      </c>
      <c r="V2045" s="37" t="s">
        <v>63</v>
      </c>
      <c r="W2045" s="37" t="s">
        <v>63</v>
      </c>
      <c r="X2045" s="37" t="s">
        <v>63</v>
      </c>
      <c r="Y2045" s="53">
        <v>59.0</v>
      </c>
      <c r="Z2045" s="69" t="s">
        <v>63</v>
      </c>
      <c r="AA2045" s="73"/>
      <c r="AB2045" s="73"/>
      <c r="AC2045" s="73"/>
      <c r="AD2045" s="73"/>
      <c r="AE2045" s="73"/>
      <c r="AF2045" s="73"/>
      <c r="AG2045" s="73"/>
      <c r="AH2045" s="73"/>
      <c r="AI2045" s="73"/>
      <c r="AJ2045" s="73"/>
      <c r="AK2045" s="73"/>
    </row>
    <row r="2046">
      <c r="A2046" s="28">
        <v>2045.0</v>
      </c>
      <c r="B2046" s="29"/>
      <c r="C2046" s="29"/>
      <c r="D2046" s="40">
        <v>1.0</v>
      </c>
      <c r="E2046" s="31">
        <v>38.0</v>
      </c>
      <c r="F2046" s="42">
        <v>37.0</v>
      </c>
      <c r="G2046" s="29" t="str">
        <f t="shared" si="1"/>
        <v>38037</v>
      </c>
      <c r="H2046" s="37" t="s">
        <v>278</v>
      </c>
      <c r="I2046" s="37" t="s">
        <v>99</v>
      </c>
      <c r="J2046" s="37" t="s">
        <v>1639</v>
      </c>
      <c r="K2046" s="37" t="str">
        <f t="shared" si="35"/>
        <v>Grant, ND</v>
      </c>
      <c r="L2046" s="37" t="s">
        <v>63</v>
      </c>
      <c r="M2046" s="37" t="s">
        <v>63</v>
      </c>
      <c r="N2046" s="37" t="s">
        <v>63</v>
      </c>
      <c r="O2046" s="37" t="s">
        <v>63</v>
      </c>
      <c r="P2046" s="37" t="s">
        <v>63</v>
      </c>
      <c r="Q2046" s="37" t="s">
        <v>63</v>
      </c>
      <c r="R2046" s="37" t="s">
        <v>63</v>
      </c>
      <c r="S2046" s="37" t="s">
        <v>63</v>
      </c>
      <c r="T2046" s="69" t="s">
        <v>63</v>
      </c>
      <c r="U2046" s="37" t="s">
        <v>63</v>
      </c>
      <c r="V2046" s="37" t="s">
        <v>63</v>
      </c>
      <c r="W2046" s="37" t="s">
        <v>63</v>
      </c>
      <c r="X2046" s="37" t="s">
        <v>63</v>
      </c>
      <c r="Y2046" s="53">
        <v>9.0</v>
      </c>
      <c r="Z2046" s="69" t="s">
        <v>63</v>
      </c>
      <c r="AA2046" s="73"/>
      <c r="AB2046" s="73"/>
      <c r="AC2046" s="73"/>
      <c r="AD2046" s="73"/>
      <c r="AE2046" s="73"/>
      <c r="AF2046" s="73"/>
      <c r="AG2046" s="73"/>
      <c r="AH2046" s="73"/>
      <c r="AI2046" s="73"/>
      <c r="AJ2046" s="73"/>
      <c r="AK2046" s="73"/>
    </row>
    <row r="2047">
      <c r="A2047" s="28">
        <v>2046.0</v>
      </c>
      <c r="B2047" s="29"/>
      <c r="C2047" s="29"/>
      <c r="D2047" s="40">
        <v>1.0</v>
      </c>
      <c r="E2047" s="31">
        <v>38.0</v>
      </c>
      <c r="F2047" s="42">
        <v>39.0</v>
      </c>
      <c r="G2047" s="29" t="str">
        <f t="shared" si="1"/>
        <v>38039</v>
      </c>
      <c r="H2047" s="37" t="s">
        <v>1653</v>
      </c>
      <c r="I2047" s="37" t="s">
        <v>99</v>
      </c>
      <c r="J2047" s="37" t="s">
        <v>1639</v>
      </c>
      <c r="K2047" s="37" t="str">
        <f t="shared" si="35"/>
        <v>Griggs, ND</v>
      </c>
      <c r="L2047" s="37" t="s">
        <v>63</v>
      </c>
      <c r="M2047" s="37" t="s">
        <v>63</v>
      </c>
      <c r="N2047" s="37" t="s">
        <v>63</v>
      </c>
      <c r="O2047" s="37" t="s">
        <v>63</v>
      </c>
      <c r="P2047" s="37" t="s">
        <v>63</v>
      </c>
      <c r="Q2047" s="37" t="s">
        <v>63</v>
      </c>
      <c r="R2047" s="37" t="s">
        <v>63</v>
      </c>
      <c r="S2047" s="37" t="s">
        <v>63</v>
      </c>
      <c r="T2047" s="69" t="s">
        <v>63</v>
      </c>
      <c r="U2047" s="37" t="s">
        <v>63</v>
      </c>
      <c r="V2047" s="37" t="s">
        <v>63</v>
      </c>
      <c r="W2047" s="37" t="s">
        <v>63</v>
      </c>
      <c r="X2047" s="37" t="s">
        <v>63</v>
      </c>
      <c r="Y2047" s="53">
        <v>10.0</v>
      </c>
      <c r="Z2047" s="69" t="s">
        <v>63</v>
      </c>
      <c r="AA2047" s="73"/>
      <c r="AB2047" s="73"/>
      <c r="AC2047" s="73"/>
      <c r="AD2047" s="73"/>
      <c r="AE2047" s="73"/>
      <c r="AF2047" s="73"/>
      <c r="AG2047" s="73"/>
      <c r="AH2047" s="73"/>
      <c r="AI2047" s="73"/>
      <c r="AJ2047" s="73"/>
      <c r="AK2047" s="73"/>
    </row>
    <row r="2048">
      <c r="A2048" s="28">
        <v>2047.0</v>
      </c>
      <c r="B2048" s="29"/>
      <c r="C2048" s="29"/>
      <c r="D2048" s="40">
        <v>1.0</v>
      </c>
      <c r="E2048" s="31">
        <v>38.0</v>
      </c>
      <c r="F2048" s="42">
        <v>41.0</v>
      </c>
      <c r="G2048" s="29" t="str">
        <f t="shared" si="1"/>
        <v>38041</v>
      </c>
      <c r="H2048" s="37" t="s">
        <v>1654</v>
      </c>
      <c r="I2048" s="37" t="s">
        <v>99</v>
      </c>
      <c r="J2048" s="37" t="s">
        <v>1639</v>
      </c>
      <c r="K2048" s="37" t="str">
        <f t="shared" si="35"/>
        <v>Hettinger, ND</v>
      </c>
      <c r="L2048" s="37" t="s">
        <v>63</v>
      </c>
      <c r="M2048" s="37" t="s">
        <v>63</v>
      </c>
      <c r="N2048" s="37" t="s">
        <v>63</v>
      </c>
      <c r="O2048" s="37" t="s">
        <v>63</v>
      </c>
      <c r="P2048" s="37" t="s">
        <v>63</v>
      </c>
      <c r="Q2048" s="37" t="s">
        <v>63</v>
      </c>
      <c r="R2048" s="37" t="s">
        <v>63</v>
      </c>
      <c r="S2048" s="37" t="s">
        <v>63</v>
      </c>
      <c r="T2048" s="69" t="s">
        <v>63</v>
      </c>
      <c r="U2048" s="37" t="s">
        <v>63</v>
      </c>
      <c r="V2048" s="37" t="s">
        <v>63</v>
      </c>
      <c r="W2048" s="37" t="s">
        <v>63</v>
      </c>
      <c r="X2048" s="37" t="s">
        <v>63</v>
      </c>
      <c r="Y2048" s="53">
        <v>7.0</v>
      </c>
      <c r="Z2048" s="69" t="s">
        <v>63</v>
      </c>
      <c r="AA2048" s="73"/>
      <c r="AB2048" s="73"/>
      <c r="AC2048" s="73"/>
      <c r="AD2048" s="73"/>
      <c r="AE2048" s="73"/>
      <c r="AF2048" s="73"/>
      <c r="AG2048" s="73"/>
      <c r="AH2048" s="73"/>
      <c r="AI2048" s="73"/>
      <c r="AJ2048" s="73"/>
      <c r="AK2048" s="73"/>
    </row>
    <row r="2049">
      <c r="A2049" s="28">
        <v>2048.0</v>
      </c>
      <c r="B2049" s="29"/>
      <c r="C2049" s="29"/>
      <c r="D2049" s="40">
        <v>1.0</v>
      </c>
      <c r="E2049" s="31">
        <v>38.0</v>
      </c>
      <c r="F2049" s="42">
        <v>43.0</v>
      </c>
      <c r="G2049" s="29" t="str">
        <f t="shared" si="1"/>
        <v>38043</v>
      </c>
      <c r="H2049" s="37" t="s">
        <v>1655</v>
      </c>
      <c r="I2049" s="37" t="s">
        <v>99</v>
      </c>
      <c r="J2049" s="37" t="s">
        <v>1639</v>
      </c>
      <c r="K2049" s="37" t="str">
        <f t="shared" si="35"/>
        <v>Kidder, ND</v>
      </c>
      <c r="L2049" s="37" t="s">
        <v>63</v>
      </c>
      <c r="M2049" s="37" t="s">
        <v>63</v>
      </c>
      <c r="N2049" s="37" t="s">
        <v>63</v>
      </c>
      <c r="O2049" s="37" t="s">
        <v>63</v>
      </c>
      <c r="P2049" s="37" t="s">
        <v>63</v>
      </c>
      <c r="Q2049" s="37" t="s">
        <v>63</v>
      </c>
      <c r="R2049" s="37" t="s">
        <v>63</v>
      </c>
      <c r="S2049" s="37" t="s">
        <v>63</v>
      </c>
      <c r="T2049" s="69" t="s">
        <v>63</v>
      </c>
      <c r="U2049" s="37" t="s">
        <v>63</v>
      </c>
      <c r="V2049" s="37" t="s">
        <v>63</v>
      </c>
      <c r="W2049" s="37" t="s">
        <v>63</v>
      </c>
      <c r="X2049" s="37" t="s">
        <v>63</v>
      </c>
      <c r="Y2049" s="53">
        <v>9.0</v>
      </c>
      <c r="Z2049" s="69" t="s">
        <v>63</v>
      </c>
      <c r="AA2049" s="73"/>
      <c r="AB2049" s="73"/>
      <c r="AC2049" s="73"/>
      <c r="AD2049" s="73"/>
      <c r="AE2049" s="73"/>
      <c r="AF2049" s="73"/>
      <c r="AG2049" s="73"/>
      <c r="AH2049" s="73"/>
      <c r="AI2049" s="73"/>
      <c r="AJ2049" s="73"/>
      <c r="AK2049" s="73"/>
    </row>
    <row r="2050">
      <c r="A2050" s="28">
        <v>2049.0</v>
      </c>
      <c r="B2050" s="29"/>
      <c r="C2050" s="29"/>
      <c r="D2050" s="40">
        <v>1.0</v>
      </c>
      <c r="E2050" s="31">
        <v>38.0</v>
      </c>
      <c r="F2050" s="42">
        <v>45.0</v>
      </c>
      <c r="G2050" s="29" t="str">
        <f t="shared" si="1"/>
        <v>38045</v>
      </c>
      <c r="H2050" s="37" t="s">
        <v>1656</v>
      </c>
      <c r="I2050" s="37" t="s">
        <v>99</v>
      </c>
      <c r="J2050" s="37" t="s">
        <v>1639</v>
      </c>
      <c r="K2050" s="37" t="str">
        <f t="shared" si="35"/>
        <v>Lamoure, ND</v>
      </c>
      <c r="L2050" s="37" t="s">
        <v>63</v>
      </c>
      <c r="M2050" s="37" t="s">
        <v>63</v>
      </c>
      <c r="N2050" s="37" t="s">
        <v>63</v>
      </c>
      <c r="O2050" s="37" t="s">
        <v>63</v>
      </c>
      <c r="P2050" s="37" t="s">
        <v>63</v>
      </c>
      <c r="Q2050" s="37" t="s">
        <v>63</v>
      </c>
      <c r="R2050" s="37" t="s">
        <v>63</v>
      </c>
      <c r="S2050" s="37" t="s">
        <v>63</v>
      </c>
      <c r="T2050" s="69" t="s">
        <v>63</v>
      </c>
      <c r="U2050" s="37" t="s">
        <v>63</v>
      </c>
      <c r="V2050" s="37" t="s">
        <v>63</v>
      </c>
      <c r="W2050" s="37" t="s">
        <v>63</v>
      </c>
      <c r="X2050" s="37" t="s">
        <v>63</v>
      </c>
      <c r="Y2050" s="53">
        <v>22.0</v>
      </c>
      <c r="Z2050" s="69" t="s">
        <v>63</v>
      </c>
      <c r="AA2050" s="73"/>
      <c r="AB2050" s="73"/>
      <c r="AC2050" s="73"/>
      <c r="AD2050" s="73"/>
      <c r="AE2050" s="73"/>
      <c r="AF2050" s="73"/>
      <c r="AG2050" s="73"/>
      <c r="AH2050" s="73"/>
      <c r="AI2050" s="73"/>
      <c r="AJ2050" s="73"/>
      <c r="AK2050" s="73"/>
    </row>
    <row r="2051">
      <c r="A2051" s="28">
        <v>2050.0</v>
      </c>
      <c r="B2051" s="29"/>
      <c r="C2051" s="29"/>
      <c r="D2051" s="40">
        <v>1.0</v>
      </c>
      <c r="E2051" s="31">
        <v>38.0</v>
      </c>
      <c r="F2051" s="42">
        <v>47.0</v>
      </c>
      <c r="G2051" s="29" t="str">
        <f t="shared" si="1"/>
        <v>38047</v>
      </c>
      <c r="H2051" s="37" t="s">
        <v>293</v>
      </c>
      <c r="I2051" s="37" t="s">
        <v>99</v>
      </c>
      <c r="J2051" s="37" t="s">
        <v>1639</v>
      </c>
      <c r="K2051" s="37" t="str">
        <f t="shared" si="35"/>
        <v>Logan, ND</v>
      </c>
      <c r="L2051" s="37" t="s">
        <v>63</v>
      </c>
      <c r="M2051" s="37" t="s">
        <v>63</v>
      </c>
      <c r="N2051" s="37" t="s">
        <v>63</v>
      </c>
      <c r="O2051" s="37" t="s">
        <v>63</v>
      </c>
      <c r="P2051" s="37" t="s">
        <v>63</v>
      </c>
      <c r="Q2051" s="37" t="s">
        <v>63</v>
      </c>
      <c r="R2051" s="37" t="s">
        <v>63</v>
      </c>
      <c r="S2051" s="37" t="s">
        <v>63</v>
      </c>
      <c r="T2051" s="69" t="s">
        <v>63</v>
      </c>
      <c r="U2051" s="37" t="s">
        <v>63</v>
      </c>
      <c r="V2051" s="37" t="s">
        <v>63</v>
      </c>
      <c r="W2051" s="37" t="s">
        <v>63</v>
      </c>
      <c r="X2051" s="37" t="s">
        <v>63</v>
      </c>
      <c r="Y2051" s="53">
        <v>6.0</v>
      </c>
      <c r="Z2051" s="69" t="s">
        <v>63</v>
      </c>
      <c r="AA2051" s="73"/>
      <c r="AB2051" s="73"/>
      <c r="AC2051" s="73"/>
      <c r="AD2051" s="73"/>
      <c r="AE2051" s="73"/>
      <c r="AF2051" s="73"/>
      <c r="AG2051" s="73"/>
      <c r="AH2051" s="73"/>
      <c r="AI2051" s="73"/>
      <c r="AJ2051" s="73"/>
      <c r="AK2051" s="73"/>
    </row>
    <row r="2052">
      <c r="A2052" s="28">
        <v>2051.0</v>
      </c>
      <c r="B2052" s="29"/>
      <c r="C2052" s="29"/>
      <c r="D2052" s="40">
        <v>1.0</v>
      </c>
      <c r="E2052" s="31">
        <v>38.0</v>
      </c>
      <c r="F2052" s="42">
        <v>49.0</v>
      </c>
      <c r="G2052" s="29" t="str">
        <f t="shared" si="1"/>
        <v>38049</v>
      </c>
      <c r="H2052" s="37" t="s">
        <v>732</v>
      </c>
      <c r="I2052" s="37" t="s">
        <v>99</v>
      </c>
      <c r="J2052" s="37" t="s">
        <v>1639</v>
      </c>
      <c r="K2052" s="37" t="str">
        <f t="shared" si="35"/>
        <v>McHenry, ND</v>
      </c>
      <c r="L2052" s="37">
        <v>9.0</v>
      </c>
      <c r="M2052" s="37" t="s">
        <v>63</v>
      </c>
      <c r="N2052" s="37" t="s">
        <v>63</v>
      </c>
      <c r="O2052" s="37" t="s">
        <v>63</v>
      </c>
      <c r="P2052" s="37" t="s">
        <v>63</v>
      </c>
      <c r="Q2052" s="37" t="s">
        <v>63</v>
      </c>
      <c r="R2052" s="37" t="s">
        <v>63</v>
      </c>
      <c r="S2052" s="37" t="s">
        <v>63</v>
      </c>
      <c r="T2052" s="69" t="s">
        <v>63</v>
      </c>
      <c r="U2052" s="37" t="s">
        <v>63</v>
      </c>
      <c r="V2052" s="37" t="s">
        <v>63</v>
      </c>
      <c r="W2052" s="37" t="s">
        <v>63</v>
      </c>
      <c r="X2052" s="37" t="s">
        <v>63</v>
      </c>
      <c r="Y2052" s="53">
        <v>16.0</v>
      </c>
      <c r="Z2052" s="69" t="s">
        <v>63</v>
      </c>
      <c r="AA2052" s="73"/>
      <c r="AB2052" s="73"/>
      <c r="AC2052" s="73"/>
      <c r="AD2052" s="73"/>
      <c r="AE2052" s="73"/>
      <c r="AF2052" s="73"/>
      <c r="AG2052" s="73"/>
      <c r="AH2052" s="73"/>
      <c r="AI2052" s="73"/>
      <c r="AJ2052" s="73"/>
      <c r="AK2052" s="73"/>
    </row>
    <row r="2053">
      <c r="A2053" s="28">
        <v>2052.0</v>
      </c>
      <c r="B2053" s="29"/>
      <c r="C2053" s="29"/>
      <c r="D2053" s="40">
        <v>1.0</v>
      </c>
      <c r="E2053" s="31">
        <v>38.0</v>
      </c>
      <c r="F2053" s="42">
        <v>51.0</v>
      </c>
      <c r="G2053" s="29" t="str">
        <f t="shared" si="1"/>
        <v>38051</v>
      </c>
      <c r="H2053" s="37" t="s">
        <v>606</v>
      </c>
      <c r="I2053" s="37" t="s">
        <v>99</v>
      </c>
      <c r="J2053" s="37" t="s">
        <v>1639</v>
      </c>
      <c r="K2053" s="37" t="str">
        <f t="shared" si="35"/>
        <v>McIntosh, ND</v>
      </c>
      <c r="L2053" s="37" t="s">
        <v>63</v>
      </c>
      <c r="M2053" s="37" t="s">
        <v>63</v>
      </c>
      <c r="N2053" s="37" t="s">
        <v>63</v>
      </c>
      <c r="O2053" s="37" t="s">
        <v>63</v>
      </c>
      <c r="P2053" s="37" t="s">
        <v>63</v>
      </c>
      <c r="Q2053" s="37" t="s">
        <v>63</v>
      </c>
      <c r="R2053" s="37" t="s">
        <v>63</v>
      </c>
      <c r="S2053" s="37" t="s">
        <v>63</v>
      </c>
      <c r="T2053" s="69" t="s">
        <v>63</v>
      </c>
      <c r="U2053" s="37" t="s">
        <v>63</v>
      </c>
      <c r="V2053" s="37" t="s">
        <v>63</v>
      </c>
      <c r="W2053" s="37" t="s">
        <v>63</v>
      </c>
      <c r="X2053" s="37" t="s">
        <v>63</v>
      </c>
      <c r="Y2053" s="53">
        <v>10.0</v>
      </c>
      <c r="Z2053" s="69" t="s">
        <v>63</v>
      </c>
      <c r="AA2053" s="73"/>
      <c r="AB2053" s="73"/>
      <c r="AC2053" s="73"/>
      <c r="AD2053" s="73"/>
      <c r="AE2053" s="73"/>
      <c r="AF2053" s="73"/>
      <c r="AG2053" s="73"/>
      <c r="AH2053" s="73"/>
      <c r="AI2053" s="73"/>
      <c r="AJ2053" s="73"/>
      <c r="AK2053" s="73"/>
    </row>
    <row r="2054">
      <c r="A2054" s="28">
        <v>2053.0</v>
      </c>
      <c r="B2054" s="29"/>
      <c r="C2054" s="29"/>
      <c r="D2054" s="40">
        <v>1.0</v>
      </c>
      <c r="E2054" s="31">
        <v>38.0</v>
      </c>
      <c r="F2054" s="42">
        <v>53.0</v>
      </c>
      <c r="G2054" s="29" t="str">
        <f t="shared" si="1"/>
        <v>38053</v>
      </c>
      <c r="H2054" s="37" t="s">
        <v>1657</v>
      </c>
      <c r="I2054" s="37" t="s">
        <v>99</v>
      </c>
      <c r="J2054" s="37" t="s">
        <v>1639</v>
      </c>
      <c r="K2054" s="37" t="str">
        <f t="shared" si="35"/>
        <v>Mckenzie, ND</v>
      </c>
      <c r="L2054" s="37" t="s">
        <v>63</v>
      </c>
      <c r="M2054" s="37" t="s">
        <v>63</v>
      </c>
      <c r="N2054" s="37" t="s">
        <v>63</v>
      </c>
      <c r="O2054" s="37" t="s">
        <v>63</v>
      </c>
      <c r="P2054" s="37" t="s">
        <v>63</v>
      </c>
      <c r="Q2054" s="37" t="s">
        <v>63</v>
      </c>
      <c r="R2054" s="37" t="s">
        <v>63</v>
      </c>
      <c r="S2054" s="37" t="s">
        <v>63</v>
      </c>
      <c r="T2054" s="69" t="s">
        <v>63</v>
      </c>
      <c r="U2054" s="37" t="s">
        <v>63</v>
      </c>
      <c r="V2054" s="37" t="s">
        <v>63</v>
      </c>
      <c r="W2054" s="37" t="s">
        <v>63</v>
      </c>
      <c r="X2054" s="37" t="s">
        <v>63</v>
      </c>
      <c r="Y2054" s="53">
        <v>10.0</v>
      </c>
      <c r="Z2054" s="69" t="s">
        <v>63</v>
      </c>
      <c r="AA2054" s="73"/>
      <c r="AB2054" s="73"/>
      <c r="AC2054" s="73"/>
      <c r="AD2054" s="73"/>
      <c r="AE2054" s="73"/>
      <c r="AF2054" s="73"/>
      <c r="AG2054" s="73"/>
      <c r="AH2054" s="73"/>
      <c r="AI2054" s="73"/>
      <c r="AJ2054" s="73"/>
      <c r="AK2054" s="73"/>
    </row>
    <row r="2055">
      <c r="A2055" s="28">
        <v>2054.0</v>
      </c>
      <c r="B2055" s="29"/>
      <c r="C2055" s="29"/>
      <c r="D2055" s="40">
        <v>1.0</v>
      </c>
      <c r="E2055" s="31">
        <v>38.0</v>
      </c>
      <c r="F2055" s="42">
        <v>55.0</v>
      </c>
      <c r="G2055" s="29" t="str">
        <f t="shared" si="1"/>
        <v>38055</v>
      </c>
      <c r="H2055" s="37" t="s">
        <v>733</v>
      </c>
      <c r="I2055" s="37" t="s">
        <v>99</v>
      </c>
      <c r="J2055" s="37" t="s">
        <v>1639</v>
      </c>
      <c r="K2055" s="37" t="str">
        <f t="shared" si="35"/>
        <v>Mclean, ND</v>
      </c>
      <c r="L2055" s="37">
        <v>7.0</v>
      </c>
      <c r="M2055" s="37" t="s">
        <v>63</v>
      </c>
      <c r="N2055" s="37" t="s">
        <v>63</v>
      </c>
      <c r="O2055" s="37" t="s">
        <v>63</v>
      </c>
      <c r="P2055" s="37" t="s">
        <v>63</v>
      </c>
      <c r="Q2055" s="37" t="s">
        <v>63</v>
      </c>
      <c r="R2055" s="37" t="s">
        <v>63</v>
      </c>
      <c r="S2055" s="37" t="s">
        <v>63</v>
      </c>
      <c r="T2055" s="69" t="s">
        <v>63</v>
      </c>
      <c r="U2055" s="37" t="s">
        <v>63</v>
      </c>
      <c r="V2055" s="37" t="s">
        <v>63</v>
      </c>
      <c r="W2055" s="37" t="s">
        <v>63</v>
      </c>
      <c r="X2055" s="37" t="s">
        <v>63</v>
      </c>
      <c r="Y2055" s="53">
        <v>34.0</v>
      </c>
      <c r="Z2055" s="69" t="s">
        <v>63</v>
      </c>
      <c r="AA2055" s="73"/>
      <c r="AB2055" s="73"/>
      <c r="AC2055" s="73"/>
      <c r="AD2055" s="73"/>
      <c r="AE2055" s="73"/>
      <c r="AF2055" s="73"/>
      <c r="AG2055" s="73"/>
      <c r="AH2055" s="73"/>
      <c r="AI2055" s="73"/>
      <c r="AJ2055" s="73"/>
      <c r="AK2055" s="73"/>
    </row>
    <row r="2056">
      <c r="A2056" s="28">
        <v>2055.0</v>
      </c>
      <c r="B2056" s="29"/>
      <c r="C2056" s="29"/>
      <c r="D2056" s="40">
        <v>1.0</v>
      </c>
      <c r="E2056" s="31">
        <v>38.0</v>
      </c>
      <c r="F2056" s="42">
        <v>57.0</v>
      </c>
      <c r="G2056" s="29" t="str">
        <f t="shared" si="1"/>
        <v>38057</v>
      </c>
      <c r="H2056" s="37" t="s">
        <v>738</v>
      </c>
      <c r="I2056" s="37" t="s">
        <v>99</v>
      </c>
      <c r="J2056" s="37" t="s">
        <v>1639</v>
      </c>
      <c r="K2056" s="37" t="str">
        <f t="shared" si="35"/>
        <v>Mercer, ND</v>
      </c>
      <c r="L2056" s="37" t="s">
        <v>63</v>
      </c>
      <c r="M2056" s="37" t="s">
        <v>63</v>
      </c>
      <c r="N2056" s="37" t="s">
        <v>63</v>
      </c>
      <c r="O2056" s="37" t="s">
        <v>63</v>
      </c>
      <c r="P2056" s="37" t="s">
        <v>63</v>
      </c>
      <c r="Q2056" s="37" t="s">
        <v>63</v>
      </c>
      <c r="R2056" s="37" t="s">
        <v>63</v>
      </c>
      <c r="S2056" s="37" t="s">
        <v>63</v>
      </c>
      <c r="T2056" s="69" t="s">
        <v>63</v>
      </c>
      <c r="U2056" s="37" t="s">
        <v>63</v>
      </c>
      <c r="V2056" s="37" t="s">
        <v>63</v>
      </c>
      <c r="W2056" s="37" t="s">
        <v>63</v>
      </c>
      <c r="X2056" s="37" t="s">
        <v>63</v>
      </c>
      <c r="Y2056" s="53">
        <v>27.0</v>
      </c>
      <c r="Z2056" s="69" t="s">
        <v>63</v>
      </c>
      <c r="AA2056" s="73"/>
      <c r="AB2056" s="73"/>
      <c r="AC2056" s="73"/>
      <c r="AD2056" s="73"/>
      <c r="AE2056" s="73"/>
      <c r="AF2056" s="73"/>
      <c r="AG2056" s="73"/>
      <c r="AH2056" s="73"/>
      <c r="AI2056" s="73"/>
      <c r="AJ2056" s="73"/>
      <c r="AK2056" s="73"/>
    </row>
    <row r="2057">
      <c r="A2057" s="28">
        <v>2056.0</v>
      </c>
      <c r="B2057" s="29"/>
      <c r="C2057" s="29"/>
      <c r="D2057" s="40">
        <v>1.0</v>
      </c>
      <c r="E2057" s="31">
        <v>38.0</v>
      </c>
      <c r="F2057" s="42">
        <v>59.0</v>
      </c>
      <c r="G2057" s="29" t="str">
        <f t="shared" si="1"/>
        <v>38059</v>
      </c>
      <c r="H2057" s="37" t="s">
        <v>991</v>
      </c>
      <c r="I2057" s="37" t="s">
        <v>99</v>
      </c>
      <c r="J2057" s="37" t="s">
        <v>1639</v>
      </c>
      <c r="K2057" s="37" t="str">
        <f t="shared" si="35"/>
        <v>Morton, ND</v>
      </c>
      <c r="L2057" s="37">
        <v>89.0</v>
      </c>
      <c r="M2057" s="37" t="s">
        <v>63</v>
      </c>
      <c r="N2057" s="37" t="s">
        <v>63</v>
      </c>
      <c r="O2057" s="37" t="s">
        <v>63</v>
      </c>
      <c r="P2057" s="37" t="s">
        <v>63</v>
      </c>
      <c r="Q2057" s="37" t="s">
        <v>63</v>
      </c>
      <c r="R2057" s="37" t="s">
        <v>63</v>
      </c>
      <c r="S2057" s="37" t="s">
        <v>63</v>
      </c>
      <c r="T2057" s="69" t="s">
        <v>63</v>
      </c>
      <c r="U2057" s="37" t="s">
        <v>63</v>
      </c>
      <c r="V2057" s="37" t="s">
        <v>63</v>
      </c>
      <c r="W2057" s="37" t="s">
        <v>63</v>
      </c>
      <c r="X2057" s="37" t="s">
        <v>63</v>
      </c>
      <c r="Y2057" s="53">
        <v>31.0</v>
      </c>
      <c r="Z2057" s="69" t="s">
        <v>63</v>
      </c>
      <c r="AA2057" s="73"/>
      <c r="AB2057" s="73"/>
      <c r="AC2057" s="73"/>
      <c r="AD2057" s="73"/>
      <c r="AE2057" s="73"/>
      <c r="AF2057" s="73"/>
      <c r="AG2057" s="73"/>
      <c r="AH2057" s="73"/>
      <c r="AI2057" s="73"/>
      <c r="AJ2057" s="73"/>
      <c r="AK2057" s="73"/>
    </row>
    <row r="2058">
      <c r="A2058" s="28">
        <v>2057.0</v>
      </c>
      <c r="B2058" s="29"/>
      <c r="C2058" s="29"/>
      <c r="D2058" s="40">
        <v>1.0</v>
      </c>
      <c r="E2058" s="31">
        <v>38.0</v>
      </c>
      <c r="F2058" s="42">
        <v>61.0</v>
      </c>
      <c r="G2058" s="29" t="str">
        <f t="shared" si="1"/>
        <v>38061</v>
      </c>
      <c r="H2058" s="37" t="s">
        <v>1658</v>
      </c>
      <c r="I2058" s="37" t="s">
        <v>99</v>
      </c>
      <c r="J2058" s="37" t="s">
        <v>1639</v>
      </c>
      <c r="K2058" s="37" t="str">
        <f t="shared" si="35"/>
        <v>Mountrail, ND</v>
      </c>
      <c r="L2058" s="37">
        <v>25.0</v>
      </c>
      <c r="M2058" s="37" t="s">
        <v>63</v>
      </c>
      <c r="N2058" s="37" t="s">
        <v>63</v>
      </c>
      <c r="O2058" s="37" t="s">
        <v>63</v>
      </c>
      <c r="P2058" s="37" t="s">
        <v>63</v>
      </c>
      <c r="Q2058" s="37" t="s">
        <v>63</v>
      </c>
      <c r="R2058" s="37" t="s">
        <v>63</v>
      </c>
      <c r="S2058" s="37" t="s">
        <v>63</v>
      </c>
      <c r="T2058" s="69" t="s">
        <v>63</v>
      </c>
      <c r="U2058" s="37" t="s">
        <v>63</v>
      </c>
      <c r="V2058" s="37" t="s">
        <v>63</v>
      </c>
      <c r="W2058" s="37" t="s">
        <v>63</v>
      </c>
      <c r="X2058" s="37" t="s">
        <v>63</v>
      </c>
      <c r="Y2058" s="53">
        <v>16.0</v>
      </c>
      <c r="Z2058" s="69" t="s">
        <v>63</v>
      </c>
      <c r="AA2058" s="73"/>
      <c r="AB2058" s="73"/>
      <c r="AC2058" s="73"/>
      <c r="AD2058" s="73"/>
      <c r="AE2058" s="73"/>
      <c r="AF2058" s="73"/>
      <c r="AG2058" s="73"/>
      <c r="AH2058" s="73"/>
      <c r="AI2058" s="73"/>
      <c r="AJ2058" s="73"/>
      <c r="AK2058" s="73"/>
    </row>
    <row r="2059">
      <c r="A2059" s="28">
        <v>2058.0</v>
      </c>
      <c r="B2059" s="29"/>
      <c r="C2059" s="29"/>
      <c r="D2059" s="40">
        <v>1.0</v>
      </c>
      <c r="E2059" s="31">
        <v>38.0</v>
      </c>
      <c r="F2059" s="42">
        <v>63.0</v>
      </c>
      <c r="G2059" s="29" t="str">
        <f t="shared" si="1"/>
        <v>38063</v>
      </c>
      <c r="H2059" s="37" t="s">
        <v>1125</v>
      </c>
      <c r="I2059" s="37" t="s">
        <v>99</v>
      </c>
      <c r="J2059" s="37" t="s">
        <v>1639</v>
      </c>
      <c r="K2059" s="37" t="str">
        <f t="shared" si="35"/>
        <v>Nelson, ND</v>
      </c>
      <c r="L2059" s="37" t="s">
        <v>63</v>
      </c>
      <c r="M2059" s="37" t="s">
        <v>63</v>
      </c>
      <c r="N2059" s="37" t="s">
        <v>63</v>
      </c>
      <c r="O2059" s="37" t="s">
        <v>63</v>
      </c>
      <c r="P2059" s="37" t="s">
        <v>63</v>
      </c>
      <c r="Q2059" s="37" t="s">
        <v>63</v>
      </c>
      <c r="R2059" s="37" t="s">
        <v>63</v>
      </c>
      <c r="S2059" s="37" t="s">
        <v>63</v>
      </c>
      <c r="T2059" s="69" t="s">
        <v>63</v>
      </c>
      <c r="U2059" s="37" t="s">
        <v>63</v>
      </c>
      <c r="V2059" s="37" t="s">
        <v>63</v>
      </c>
      <c r="W2059" s="37" t="s">
        <v>63</v>
      </c>
      <c r="X2059" s="37" t="s">
        <v>63</v>
      </c>
      <c r="Y2059" s="53">
        <v>14.0</v>
      </c>
      <c r="Z2059" s="69" t="s">
        <v>63</v>
      </c>
      <c r="AA2059" s="73"/>
      <c r="AB2059" s="73"/>
      <c r="AC2059" s="73"/>
      <c r="AD2059" s="73"/>
      <c r="AE2059" s="73"/>
      <c r="AF2059" s="73"/>
      <c r="AG2059" s="73"/>
      <c r="AH2059" s="73"/>
      <c r="AI2059" s="73"/>
      <c r="AJ2059" s="73"/>
      <c r="AK2059" s="73"/>
    </row>
    <row r="2060">
      <c r="A2060" s="28">
        <v>2059.0</v>
      </c>
      <c r="B2060" s="29"/>
      <c r="C2060" s="29"/>
      <c r="D2060" s="40">
        <v>1.0</v>
      </c>
      <c r="E2060" s="31">
        <v>38.0</v>
      </c>
      <c r="F2060" s="42">
        <v>65.0</v>
      </c>
      <c r="G2060" s="29" t="str">
        <f t="shared" si="1"/>
        <v>38065</v>
      </c>
      <c r="H2060" s="37" t="s">
        <v>1659</v>
      </c>
      <c r="I2060" s="37" t="s">
        <v>99</v>
      </c>
      <c r="J2060" s="37" t="s">
        <v>1639</v>
      </c>
      <c r="K2060" s="37" t="str">
        <f t="shared" si="35"/>
        <v>Oliver, ND</v>
      </c>
      <c r="L2060" s="37" t="s">
        <v>63</v>
      </c>
      <c r="M2060" s="37" t="s">
        <v>63</v>
      </c>
      <c r="N2060" s="37" t="s">
        <v>63</v>
      </c>
      <c r="O2060" s="37" t="s">
        <v>63</v>
      </c>
      <c r="P2060" s="37" t="s">
        <v>63</v>
      </c>
      <c r="Q2060" s="37" t="s">
        <v>63</v>
      </c>
      <c r="R2060" s="37" t="s">
        <v>63</v>
      </c>
      <c r="S2060" s="37" t="s">
        <v>63</v>
      </c>
      <c r="T2060" s="69" t="s">
        <v>63</v>
      </c>
      <c r="U2060" s="37" t="s">
        <v>63</v>
      </c>
      <c r="V2060" s="37" t="s">
        <v>63</v>
      </c>
      <c r="W2060" s="37" t="s">
        <v>63</v>
      </c>
      <c r="X2060" s="37" t="s">
        <v>63</v>
      </c>
      <c r="Y2060" s="53">
        <v>4.0</v>
      </c>
      <c r="Z2060" s="69" t="s">
        <v>63</v>
      </c>
      <c r="AA2060" s="73"/>
      <c r="AB2060" s="73"/>
      <c r="AC2060" s="73"/>
      <c r="AD2060" s="73"/>
      <c r="AE2060" s="73"/>
      <c r="AF2060" s="73"/>
      <c r="AG2060" s="73"/>
      <c r="AH2060" s="73"/>
      <c r="AI2060" s="73"/>
      <c r="AJ2060" s="73"/>
      <c r="AK2060" s="73"/>
    </row>
    <row r="2061">
      <c r="A2061" s="28">
        <v>2060.0</v>
      </c>
      <c r="B2061" s="29"/>
      <c r="C2061" s="29"/>
      <c r="D2061" s="40">
        <v>1.0</v>
      </c>
      <c r="E2061" s="31">
        <v>38.0</v>
      </c>
      <c r="F2061" s="42">
        <v>67.0</v>
      </c>
      <c r="G2061" s="29" t="str">
        <f t="shared" si="1"/>
        <v>38067</v>
      </c>
      <c r="H2061" s="37" t="s">
        <v>1660</v>
      </c>
      <c r="I2061" s="37" t="s">
        <v>99</v>
      </c>
      <c r="J2061" s="37" t="s">
        <v>1639</v>
      </c>
      <c r="K2061" s="37" t="str">
        <f t="shared" si="35"/>
        <v>Pembina, ND</v>
      </c>
      <c r="L2061" s="37" t="s">
        <v>63</v>
      </c>
      <c r="M2061" s="37" t="s">
        <v>63</v>
      </c>
      <c r="N2061" s="37" t="s">
        <v>63</v>
      </c>
      <c r="O2061" s="37" t="s">
        <v>63</v>
      </c>
      <c r="P2061" s="37" t="s">
        <v>63</v>
      </c>
      <c r="Q2061" s="37" t="s">
        <v>63</v>
      </c>
      <c r="R2061" s="37" t="s">
        <v>63</v>
      </c>
      <c r="S2061" s="37" t="s">
        <v>63</v>
      </c>
      <c r="T2061" s="69" t="s">
        <v>63</v>
      </c>
      <c r="U2061" s="37" t="s">
        <v>63</v>
      </c>
      <c r="V2061" s="37" t="s">
        <v>63</v>
      </c>
      <c r="W2061" s="37" t="s">
        <v>63</v>
      </c>
      <c r="X2061" s="37" t="s">
        <v>63</v>
      </c>
      <c r="Y2061" s="53">
        <v>32.0</v>
      </c>
      <c r="Z2061" s="69" t="s">
        <v>63</v>
      </c>
      <c r="AA2061" s="73"/>
      <c r="AB2061" s="73"/>
      <c r="AC2061" s="73"/>
      <c r="AD2061" s="73"/>
      <c r="AE2061" s="73"/>
      <c r="AF2061" s="73"/>
      <c r="AG2061" s="73"/>
      <c r="AH2061" s="73"/>
      <c r="AI2061" s="73"/>
      <c r="AJ2061" s="73"/>
      <c r="AK2061" s="73"/>
    </row>
    <row r="2062">
      <c r="A2062" s="28">
        <v>2061.0</v>
      </c>
      <c r="B2062" s="29"/>
      <c r="C2062" s="29"/>
      <c r="D2062" s="40">
        <v>1.0</v>
      </c>
      <c r="E2062" s="31">
        <v>38.0</v>
      </c>
      <c r="F2062" s="42">
        <v>69.0</v>
      </c>
      <c r="G2062" s="29" t="str">
        <f t="shared" si="1"/>
        <v>38069</v>
      </c>
      <c r="H2062" s="37" t="s">
        <v>473</v>
      </c>
      <c r="I2062" s="37" t="s">
        <v>99</v>
      </c>
      <c r="J2062" s="37" t="s">
        <v>1639</v>
      </c>
      <c r="K2062" s="37" t="str">
        <f t="shared" si="35"/>
        <v>Pierce, ND</v>
      </c>
      <c r="L2062" s="37">
        <v>13.0</v>
      </c>
      <c r="M2062" s="37" t="s">
        <v>63</v>
      </c>
      <c r="N2062" s="37" t="s">
        <v>63</v>
      </c>
      <c r="O2062" s="37" t="s">
        <v>63</v>
      </c>
      <c r="P2062" s="37" t="s">
        <v>63</v>
      </c>
      <c r="Q2062" s="37" t="s">
        <v>63</v>
      </c>
      <c r="R2062" s="37" t="s">
        <v>63</v>
      </c>
      <c r="S2062" s="37" t="s">
        <v>63</v>
      </c>
      <c r="T2062" s="69" t="s">
        <v>63</v>
      </c>
      <c r="U2062" s="37" t="s">
        <v>63</v>
      </c>
      <c r="V2062" s="37" t="s">
        <v>63</v>
      </c>
      <c r="W2062" s="37" t="s">
        <v>63</v>
      </c>
      <c r="X2062" s="37" t="s">
        <v>63</v>
      </c>
      <c r="Y2062" s="53">
        <v>10.0</v>
      </c>
      <c r="Z2062" s="69" t="s">
        <v>63</v>
      </c>
      <c r="AA2062" s="73"/>
      <c r="AB2062" s="73"/>
      <c r="AC2062" s="73"/>
      <c r="AD2062" s="73"/>
      <c r="AE2062" s="73"/>
      <c r="AF2062" s="73"/>
      <c r="AG2062" s="73"/>
      <c r="AH2062" s="73"/>
      <c r="AI2062" s="73"/>
      <c r="AJ2062" s="73"/>
      <c r="AK2062" s="73"/>
    </row>
    <row r="2063">
      <c r="A2063" s="28">
        <v>2062.0</v>
      </c>
      <c r="B2063" s="29"/>
      <c r="C2063" s="29"/>
      <c r="D2063" s="40">
        <v>1.0</v>
      </c>
      <c r="E2063" s="31">
        <v>38.0</v>
      </c>
      <c r="F2063" s="42">
        <v>71.0</v>
      </c>
      <c r="G2063" s="29" t="str">
        <f t="shared" si="1"/>
        <v>38071</v>
      </c>
      <c r="H2063" s="37" t="s">
        <v>645</v>
      </c>
      <c r="I2063" s="37" t="s">
        <v>99</v>
      </c>
      <c r="J2063" s="37" t="s">
        <v>1639</v>
      </c>
      <c r="K2063" s="37" t="str">
        <f t="shared" si="35"/>
        <v>Ramsey, ND</v>
      </c>
      <c r="L2063" s="37">
        <v>53.0</v>
      </c>
      <c r="M2063" s="37" t="s">
        <v>63</v>
      </c>
      <c r="N2063" s="37" t="s">
        <v>63</v>
      </c>
      <c r="O2063" s="37" t="s">
        <v>63</v>
      </c>
      <c r="P2063" s="37" t="s">
        <v>63</v>
      </c>
      <c r="Q2063" s="37" t="s">
        <v>63</v>
      </c>
      <c r="R2063" s="37" t="s">
        <v>63</v>
      </c>
      <c r="S2063" s="37" t="s">
        <v>63</v>
      </c>
      <c r="T2063" s="69" t="s">
        <v>63</v>
      </c>
      <c r="U2063" s="37" t="s">
        <v>63</v>
      </c>
      <c r="V2063" s="37" t="s">
        <v>63</v>
      </c>
      <c r="W2063" s="37" t="s">
        <v>63</v>
      </c>
      <c r="X2063" s="37" t="s">
        <v>63</v>
      </c>
      <c r="Y2063" s="53">
        <v>20.0</v>
      </c>
      <c r="Z2063" s="69" t="s">
        <v>63</v>
      </c>
      <c r="AA2063" s="73"/>
      <c r="AB2063" s="73"/>
      <c r="AC2063" s="73"/>
      <c r="AD2063" s="73"/>
      <c r="AE2063" s="73"/>
      <c r="AF2063" s="73"/>
      <c r="AG2063" s="73"/>
      <c r="AH2063" s="73"/>
      <c r="AI2063" s="73"/>
      <c r="AJ2063" s="73"/>
      <c r="AK2063" s="73"/>
    </row>
    <row r="2064">
      <c r="A2064" s="28">
        <v>2063.0</v>
      </c>
      <c r="B2064" s="29"/>
      <c r="C2064" s="29"/>
      <c r="D2064" s="40">
        <v>1.0</v>
      </c>
      <c r="E2064" s="31">
        <v>38.0</v>
      </c>
      <c r="F2064" s="42">
        <v>73.0</v>
      </c>
      <c r="G2064" s="29" t="str">
        <f t="shared" si="1"/>
        <v>38073</v>
      </c>
      <c r="H2064" s="37" t="s">
        <v>1661</v>
      </c>
      <c r="I2064" s="37" t="s">
        <v>99</v>
      </c>
      <c r="J2064" s="37" t="s">
        <v>1639</v>
      </c>
      <c r="K2064" s="37" t="str">
        <f t="shared" si="35"/>
        <v>Ransom, ND</v>
      </c>
      <c r="L2064" s="37" t="s">
        <v>63</v>
      </c>
      <c r="M2064" s="37" t="s">
        <v>63</v>
      </c>
      <c r="N2064" s="37" t="s">
        <v>63</v>
      </c>
      <c r="O2064" s="37" t="s">
        <v>63</v>
      </c>
      <c r="P2064" s="37" t="s">
        <v>63</v>
      </c>
      <c r="Q2064" s="37" t="s">
        <v>63</v>
      </c>
      <c r="R2064" s="37" t="s">
        <v>63</v>
      </c>
      <c r="S2064" s="37" t="s">
        <v>63</v>
      </c>
      <c r="T2064" s="69" t="s">
        <v>63</v>
      </c>
      <c r="U2064" s="37" t="s">
        <v>63</v>
      </c>
      <c r="V2064" s="37" t="s">
        <v>63</v>
      </c>
      <c r="W2064" s="37" t="s">
        <v>63</v>
      </c>
      <c r="X2064" s="37" t="s">
        <v>63</v>
      </c>
      <c r="Y2064" s="53">
        <v>14.0</v>
      </c>
      <c r="Z2064" s="69" t="s">
        <v>63</v>
      </c>
      <c r="AA2064" s="73"/>
      <c r="AB2064" s="73"/>
      <c r="AC2064" s="73"/>
      <c r="AD2064" s="73"/>
      <c r="AE2064" s="73"/>
      <c r="AF2064" s="73"/>
      <c r="AG2064" s="73"/>
      <c r="AH2064" s="73"/>
      <c r="AI2064" s="73"/>
      <c r="AJ2064" s="73"/>
      <c r="AK2064" s="73"/>
    </row>
    <row r="2065">
      <c r="A2065" s="28">
        <v>2064.0</v>
      </c>
      <c r="B2065" s="29"/>
      <c r="C2065" s="29"/>
      <c r="D2065" s="40">
        <v>1.0</v>
      </c>
      <c r="E2065" s="31">
        <v>38.0</v>
      </c>
      <c r="F2065" s="42">
        <v>75.0</v>
      </c>
      <c r="G2065" s="29" t="str">
        <f t="shared" si="1"/>
        <v>38075</v>
      </c>
      <c r="H2065" s="37" t="s">
        <v>1340</v>
      </c>
      <c r="I2065" s="37" t="s">
        <v>99</v>
      </c>
      <c r="J2065" s="37" t="s">
        <v>1639</v>
      </c>
      <c r="K2065" s="37" t="str">
        <f t="shared" si="35"/>
        <v>Renville, ND</v>
      </c>
      <c r="L2065" s="37" t="s">
        <v>63</v>
      </c>
      <c r="M2065" s="37" t="s">
        <v>63</v>
      </c>
      <c r="N2065" s="37" t="s">
        <v>63</v>
      </c>
      <c r="O2065" s="37" t="s">
        <v>63</v>
      </c>
      <c r="P2065" s="37" t="s">
        <v>63</v>
      </c>
      <c r="Q2065" s="37" t="s">
        <v>63</v>
      </c>
      <c r="R2065" s="37" t="s">
        <v>63</v>
      </c>
      <c r="S2065" s="37" t="s">
        <v>63</v>
      </c>
      <c r="T2065" s="69" t="s">
        <v>63</v>
      </c>
      <c r="U2065" s="37" t="s">
        <v>63</v>
      </c>
      <c r="V2065" s="37" t="s">
        <v>63</v>
      </c>
      <c r="W2065" s="37" t="s">
        <v>63</v>
      </c>
      <c r="X2065" s="37" t="s">
        <v>63</v>
      </c>
      <c r="Y2065" s="53">
        <v>9.0</v>
      </c>
      <c r="Z2065" s="69" t="s">
        <v>63</v>
      </c>
      <c r="AA2065" s="73"/>
      <c r="AB2065" s="73"/>
      <c r="AC2065" s="73"/>
      <c r="AD2065" s="73"/>
      <c r="AE2065" s="73"/>
      <c r="AF2065" s="73"/>
      <c r="AG2065" s="73"/>
      <c r="AH2065" s="73"/>
      <c r="AI2065" s="73"/>
      <c r="AJ2065" s="73"/>
      <c r="AK2065" s="73"/>
    </row>
    <row r="2066">
      <c r="A2066" s="28">
        <v>2065.0</v>
      </c>
      <c r="B2066" s="29"/>
      <c r="C2066" s="29"/>
      <c r="D2066" s="40">
        <v>1.0</v>
      </c>
      <c r="E2066" s="31">
        <v>38.0</v>
      </c>
      <c r="F2066" s="42">
        <v>77.0</v>
      </c>
      <c r="G2066" s="29" t="str">
        <f t="shared" si="1"/>
        <v>38077</v>
      </c>
      <c r="H2066" s="37" t="s">
        <v>743</v>
      </c>
      <c r="I2066" s="37" t="s">
        <v>99</v>
      </c>
      <c r="J2066" s="37" t="s">
        <v>1639</v>
      </c>
      <c r="K2066" s="37" t="str">
        <f t="shared" si="35"/>
        <v>Richland, ND</v>
      </c>
      <c r="L2066" s="37">
        <v>31.0</v>
      </c>
      <c r="M2066" s="37" t="s">
        <v>63</v>
      </c>
      <c r="N2066" s="37" t="s">
        <v>63</v>
      </c>
      <c r="O2066" s="37" t="s">
        <v>63</v>
      </c>
      <c r="P2066" s="37" t="s">
        <v>63</v>
      </c>
      <c r="Q2066" s="37" t="s">
        <v>63</v>
      </c>
      <c r="R2066" s="37" t="s">
        <v>63</v>
      </c>
      <c r="S2066" s="37" t="s">
        <v>63</v>
      </c>
      <c r="T2066" s="69" t="s">
        <v>63</v>
      </c>
      <c r="U2066" s="37" t="s">
        <v>63</v>
      </c>
      <c r="V2066" s="37" t="s">
        <v>63</v>
      </c>
      <c r="W2066" s="37" t="s">
        <v>63</v>
      </c>
      <c r="X2066" s="37" t="s">
        <v>63</v>
      </c>
      <c r="Y2066" s="53">
        <v>28.0</v>
      </c>
      <c r="Z2066" s="69" t="s">
        <v>63</v>
      </c>
      <c r="AA2066" s="73"/>
      <c r="AB2066" s="73"/>
      <c r="AC2066" s="73"/>
      <c r="AD2066" s="73"/>
      <c r="AE2066" s="73"/>
      <c r="AF2066" s="73"/>
      <c r="AG2066" s="73"/>
      <c r="AH2066" s="73"/>
      <c r="AI2066" s="73"/>
      <c r="AJ2066" s="73"/>
      <c r="AK2066" s="73"/>
    </row>
    <row r="2067">
      <c r="A2067" s="28">
        <v>2066.0</v>
      </c>
      <c r="B2067" s="29"/>
      <c r="C2067" s="29"/>
      <c r="D2067" s="40">
        <v>1.0</v>
      </c>
      <c r="E2067" s="31">
        <v>38.0</v>
      </c>
      <c r="F2067" s="42">
        <v>79.0</v>
      </c>
      <c r="G2067" s="29" t="str">
        <f t="shared" si="1"/>
        <v>38079</v>
      </c>
      <c r="H2067" s="37" t="s">
        <v>1662</v>
      </c>
      <c r="I2067" s="37" t="s">
        <v>99</v>
      </c>
      <c r="J2067" s="37" t="s">
        <v>1639</v>
      </c>
      <c r="K2067" s="37" t="str">
        <f t="shared" si="35"/>
        <v>Rolette, ND</v>
      </c>
      <c r="L2067" s="37">
        <v>268.0</v>
      </c>
      <c r="M2067" s="37" t="s">
        <v>63</v>
      </c>
      <c r="N2067" s="37" t="s">
        <v>63</v>
      </c>
      <c r="O2067" s="37" t="s">
        <v>63</v>
      </c>
      <c r="P2067" s="37" t="s">
        <v>63</v>
      </c>
      <c r="Q2067" s="37" t="s">
        <v>63</v>
      </c>
      <c r="R2067" s="37" t="s">
        <v>63</v>
      </c>
      <c r="S2067" s="37" t="s">
        <v>63</v>
      </c>
      <c r="T2067" s="69" t="s">
        <v>63</v>
      </c>
      <c r="U2067" s="37" t="s">
        <v>63</v>
      </c>
      <c r="V2067" s="37" t="s">
        <v>63</v>
      </c>
      <c r="W2067" s="37" t="s">
        <v>63</v>
      </c>
      <c r="X2067" s="37" t="s">
        <v>63</v>
      </c>
      <c r="Y2067" s="53">
        <v>20.0</v>
      </c>
      <c r="Z2067" s="69" t="s">
        <v>63</v>
      </c>
      <c r="AA2067" s="73"/>
      <c r="AB2067" s="73"/>
      <c r="AC2067" s="73"/>
      <c r="AD2067" s="73"/>
      <c r="AE2067" s="73"/>
      <c r="AF2067" s="73"/>
      <c r="AG2067" s="73"/>
      <c r="AH2067" s="73"/>
      <c r="AI2067" s="73"/>
      <c r="AJ2067" s="73"/>
      <c r="AK2067" s="73"/>
    </row>
    <row r="2068">
      <c r="A2068" s="28">
        <v>2067.0</v>
      </c>
      <c r="B2068" s="29"/>
      <c r="C2068" s="29"/>
      <c r="D2068" s="40">
        <v>1.0</v>
      </c>
      <c r="E2068" s="31">
        <v>38.0</v>
      </c>
      <c r="F2068" s="42">
        <v>81.0</v>
      </c>
      <c r="G2068" s="29" t="str">
        <f t="shared" si="1"/>
        <v>38081</v>
      </c>
      <c r="H2068" s="37" t="s">
        <v>1663</v>
      </c>
      <c r="I2068" s="37" t="s">
        <v>99</v>
      </c>
      <c r="J2068" s="37" t="s">
        <v>1639</v>
      </c>
      <c r="K2068" s="37" t="str">
        <f t="shared" si="35"/>
        <v>Sargent, ND</v>
      </c>
      <c r="L2068" s="37" t="s">
        <v>63</v>
      </c>
      <c r="M2068" s="37" t="s">
        <v>63</v>
      </c>
      <c r="N2068" s="37" t="s">
        <v>63</v>
      </c>
      <c r="O2068" s="37" t="s">
        <v>63</v>
      </c>
      <c r="P2068" s="37" t="s">
        <v>63</v>
      </c>
      <c r="Q2068" s="37" t="s">
        <v>63</v>
      </c>
      <c r="R2068" s="37" t="s">
        <v>63</v>
      </c>
      <c r="S2068" s="37" t="s">
        <v>63</v>
      </c>
      <c r="T2068" s="69" t="s">
        <v>63</v>
      </c>
      <c r="U2068" s="37" t="s">
        <v>63</v>
      </c>
      <c r="V2068" s="37" t="s">
        <v>63</v>
      </c>
      <c r="W2068" s="37" t="s">
        <v>63</v>
      </c>
      <c r="X2068" s="37" t="s">
        <v>63</v>
      </c>
      <c r="Y2068" s="53">
        <v>14.0</v>
      </c>
      <c r="Z2068" s="69" t="s">
        <v>63</v>
      </c>
      <c r="AA2068" s="73"/>
      <c r="AB2068" s="73"/>
      <c r="AC2068" s="73"/>
      <c r="AD2068" s="73"/>
      <c r="AE2068" s="73"/>
      <c r="AF2068" s="73"/>
      <c r="AG2068" s="73"/>
      <c r="AH2068" s="73"/>
      <c r="AI2068" s="73"/>
      <c r="AJ2068" s="73"/>
      <c r="AK2068" s="73"/>
    </row>
    <row r="2069">
      <c r="A2069" s="28">
        <v>2068.0</v>
      </c>
      <c r="B2069" s="29"/>
      <c r="C2069" s="29"/>
      <c r="D2069" s="40">
        <v>1.0</v>
      </c>
      <c r="E2069" s="31">
        <v>38.0</v>
      </c>
      <c r="F2069" s="42">
        <v>83.0</v>
      </c>
      <c r="G2069" s="29" t="str">
        <f t="shared" si="1"/>
        <v>38083</v>
      </c>
      <c r="H2069" s="37" t="s">
        <v>1010</v>
      </c>
      <c r="I2069" s="37" t="s">
        <v>99</v>
      </c>
      <c r="J2069" s="37" t="s">
        <v>1639</v>
      </c>
      <c r="K2069" s="37" t="str">
        <f t="shared" si="35"/>
        <v>Sheridan, ND</v>
      </c>
      <c r="L2069" s="37" t="s">
        <v>63</v>
      </c>
      <c r="M2069" s="37" t="s">
        <v>63</v>
      </c>
      <c r="N2069" s="37" t="s">
        <v>63</v>
      </c>
      <c r="O2069" s="37" t="s">
        <v>63</v>
      </c>
      <c r="P2069" s="37" t="s">
        <v>63</v>
      </c>
      <c r="Q2069" s="37" t="s">
        <v>63</v>
      </c>
      <c r="R2069" s="37" t="s">
        <v>63</v>
      </c>
      <c r="S2069" s="37" t="s">
        <v>63</v>
      </c>
      <c r="T2069" s="69" t="s">
        <v>63</v>
      </c>
      <c r="U2069" s="37" t="s">
        <v>63</v>
      </c>
      <c r="V2069" s="37" t="s">
        <v>63</v>
      </c>
      <c r="W2069" s="37" t="s">
        <v>63</v>
      </c>
      <c r="X2069" s="37" t="s">
        <v>63</v>
      </c>
      <c r="Y2069" s="53">
        <v>7.0</v>
      </c>
      <c r="Z2069" s="69" t="s">
        <v>63</v>
      </c>
      <c r="AA2069" s="73"/>
      <c r="AB2069" s="73"/>
      <c r="AC2069" s="73"/>
      <c r="AD2069" s="73"/>
      <c r="AE2069" s="73"/>
      <c r="AF2069" s="73"/>
      <c r="AG2069" s="73"/>
      <c r="AH2069" s="73"/>
      <c r="AI2069" s="73"/>
      <c r="AJ2069" s="73"/>
      <c r="AK2069" s="73"/>
    </row>
    <row r="2070">
      <c r="A2070" s="28">
        <v>2069.0</v>
      </c>
      <c r="B2070" s="29"/>
      <c r="C2070" s="29"/>
      <c r="D2070" s="40">
        <v>1.0</v>
      </c>
      <c r="E2070" s="31">
        <v>38.0</v>
      </c>
      <c r="F2070" s="42">
        <v>85.0</v>
      </c>
      <c r="G2070" s="29" t="str">
        <f t="shared" si="1"/>
        <v>38085</v>
      </c>
      <c r="H2070" s="37" t="s">
        <v>937</v>
      </c>
      <c r="I2070" s="37" t="s">
        <v>99</v>
      </c>
      <c r="J2070" s="37" t="s">
        <v>1639</v>
      </c>
      <c r="K2070" s="37" t="str">
        <f t="shared" si="35"/>
        <v>Sioux, ND</v>
      </c>
      <c r="L2070" s="37">
        <v>72.0</v>
      </c>
      <c r="M2070" s="37" t="s">
        <v>63</v>
      </c>
      <c r="N2070" s="37" t="s">
        <v>63</v>
      </c>
      <c r="O2070" s="37" t="s">
        <v>63</v>
      </c>
      <c r="P2070" s="37" t="s">
        <v>63</v>
      </c>
      <c r="Q2070" s="37" t="s">
        <v>63</v>
      </c>
      <c r="R2070" s="37" t="s">
        <v>63</v>
      </c>
      <c r="S2070" s="37" t="s">
        <v>63</v>
      </c>
      <c r="T2070" s="69" t="s">
        <v>63</v>
      </c>
      <c r="U2070" s="37" t="s">
        <v>63</v>
      </c>
      <c r="V2070" s="37" t="s">
        <v>63</v>
      </c>
      <c r="W2070" s="37" t="s">
        <v>63</v>
      </c>
      <c r="X2070" s="37" t="s">
        <v>63</v>
      </c>
      <c r="Y2070" s="53">
        <v>4.0</v>
      </c>
      <c r="Z2070" s="69" t="s">
        <v>63</v>
      </c>
      <c r="AA2070" s="73"/>
      <c r="AB2070" s="73"/>
      <c r="AC2070" s="73"/>
      <c r="AD2070" s="73"/>
      <c r="AE2070" s="73"/>
      <c r="AF2070" s="73"/>
      <c r="AG2070" s="73"/>
      <c r="AH2070" s="73"/>
      <c r="AI2070" s="73"/>
      <c r="AJ2070" s="73"/>
      <c r="AK2070" s="73"/>
    </row>
    <row r="2071">
      <c r="A2071" s="28">
        <v>2070.0</v>
      </c>
      <c r="B2071" s="29"/>
      <c r="C2071" s="29"/>
      <c r="D2071" s="40">
        <v>1.0</v>
      </c>
      <c r="E2071" s="31">
        <v>38.0</v>
      </c>
      <c r="F2071" s="42">
        <v>87.0</v>
      </c>
      <c r="G2071" s="29" t="str">
        <f t="shared" si="1"/>
        <v>38087</v>
      </c>
      <c r="H2071" s="37" t="s">
        <v>1664</v>
      </c>
      <c r="I2071" s="37" t="s">
        <v>99</v>
      </c>
      <c r="J2071" s="37" t="s">
        <v>1639</v>
      </c>
      <c r="K2071" s="37" t="str">
        <f t="shared" si="35"/>
        <v>Slope, ND</v>
      </c>
      <c r="L2071" s="37" t="s">
        <v>63</v>
      </c>
      <c r="M2071" s="37" t="s">
        <v>63</v>
      </c>
      <c r="N2071" s="37" t="s">
        <v>63</v>
      </c>
      <c r="O2071" s="37" t="s">
        <v>63</v>
      </c>
      <c r="P2071" s="37" t="s">
        <v>63</v>
      </c>
      <c r="Q2071" s="37" t="s">
        <v>63</v>
      </c>
      <c r="R2071" s="37" t="s">
        <v>63</v>
      </c>
      <c r="S2071" s="37" t="s">
        <v>63</v>
      </c>
      <c r="T2071" s="69" t="s">
        <v>63</v>
      </c>
      <c r="U2071" s="37" t="s">
        <v>63</v>
      </c>
      <c r="V2071" s="37" t="s">
        <v>63</v>
      </c>
      <c r="W2071" s="37" t="s">
        <v>63</v>
      </c>
      <c r="X2071" s="37" t="s">
        <v>63</v>
      </c>
      <c r="Y2071" s="53" t="s">
        <v>63</v>
      </c>
      <c r="Z2071" s="69" t="s">
        <v>63</v>
      </c>
      <c r="AA2071" s="73"/>
      <c r="AB2071" s="73"/>
      <c r="AC2071" s="73"/>
      <c r="AD2071" s="73"/>
      <c r="AE2071" s="73"/>
      <c r="AF2071" s="73"/>
      <c r="AG2071" s="73"/>
      <c r="AH2071" s="73"/>
      <c r="AI2071" s="73"/>
      <c r="AJ2071" s="73"/>
      <c r="AK2071" s="73"/>
    </row>
    <row r="2072">
      <c r="A2072" s="28">
        <v>2071.0</v>
      </c>
      <c r="B2072" s="29"/>
      <c r="C2072" s="29"/>
      <c r="D2072" s="40">
        <v>1.0</v>
      </c>
      <c r="E2072" s="31">
        <v>38.0</v>
      </c>
      <c r="F2072" s="42">
        <v>89.0</v>
      </c>
      <c r="G2072" s="29" t="str">
        <f t="shared" si="1"/>
        <v>38089</v>
      </c>
      <c r="H2072" s="37" t="s">
        <v>747</v>
      </c>
      <c r="I2072" s="37" t="s">
        <v>99</v>
      </c>
      <c r="J2072" s="37" t="s">
        <v>1639</v>
      </c>
      <c r="K2072" s="37" t="str">
        <f t="shared" si="35"/>
        <v>Stark, ND</v>
      </c>
      <c r="L2072" s="37">
        <v>54.0</v>
      </c>
      <c r="M2072" s="37" t="s">
        <v>63</v>
      </c>
      <c r="N2072" s="37" t="s">
        <v>63</v>
      </c>
      <c r="O2072" s="37" t="s">
        <v>63</v>
      </c>
      <c r="P2072" s="37" t="s">
        <v>63</v>
      </c>
      <c r="Q2072" s="37" t="s">
        <v>63</v>
      </c>
      <c r="R2072" s="37" t="s">
        <v>63</v>
      </c>
      <c r="S2072" s="37" t="s">
        <v>63</v>
      </c>
      <c r="T2072" s="69" t="s">
        <v>63</v>
      </c>
      <c r="U2072" s="37" t="s">
        <v>63</v>
      </c>
      <c r="V2072" s="37" t="s">
        <v>63</v>
      </c>
      <c r="W2072" s="37" t="s">
        <v>63</v>
      </c>
      <c r="X2072" s="37" t="s">
        <v>63</v>
      </c>
      <c r="Y2072" s="53">
        <v>34.0</v>
      </c>
      <c r="Z2072" s="69" t="s">
        <v>63</v>
      </c>
      <c r="AA2072" s="73"/>
      <c r="AB2072" s="73"/>
      <c r="AC2072" s="73"/>
      <c r="AD2072" s="73"/>
      <c r="AE2072" s="73"/>
      <c r="AF2072" s="73"/>
      <c r="AG2072" s="73"/>
      <c r="AH2072" s="73"/>
      <c r="AI2072" s="73"/>
      <c r="AJ2072" s="73"/>
      <c r="AK2072" s="73"/>
    </row>
    <row r="2073">
      <c r="A2073" s="28">
        <v>2072.0</v>
      </c>
      <c r="B2073" s="29"/>
      <c r="C2073" s="29"/>
      <c r="D2073" s="40">
        <v>1.0</v>
      </c>
      <c r="E2073" s="31">
        <v>38.0</v>
      </c>
      <c r="F2073" s="42">
        <v>91.0</v>
      </c>
      <c r="G2073" s="29" t="str">
        <f t="shared" si="1"/>
        <v>38091</v>
      </c>
      <c r="H2073" s="37" t="s">
        <v>1347</v>
      </c>
      <c r="I2073" s="37" t="s">
        <v>99</v>
      </c>
      <c r="J2073" s="37" t="s">
        <v>1639</v>
      </c>
      <c r="K2073" s="37" t="str">
        <f t="shared" si="35"/>
        <v>Steele, ND</v>
      </c>
      <c r="L2073" s="37" t="s">
        <v>63</v>
      </c>
      <c r="M2073" s="37" t="s">
        <v>63</v>
      </c>
      <c r="N2073" s="37" t="s">
        <v>63</v>
      </c>
      <c r="O2073" s="37" t="s">
        <v>63</v>
      </c>
      <c r="P2073" s="37" t="s">
        <v>63</v>
      </c>
      <c r="Q2073" s="37" t="s">
        <v>63</v>
      </c>
      <c r="R2073" s="37" t="s">
        <v>63</v>
      </c>
      <c r="S2073" s="37" t="s">
        <v>63</v>
      </c>
      <c r="T2073" s="69" t="s">
        <v>63</v>
      </c>
      <c r="U2073" s="37" t="s">
        <v>63</v>
      </c>
      <c r="V2073" s="37" t="s">
        <v>63</v>
      </c>
      <c r="W2073" s="37" t="s">
        <v>63</v>
      </c>
      <c r="X2073" s="37" t="s">
        <v>63</v>
      </c>
      <c r="Y2073" s="53">
        <v>6.0</v>
      </c>
      <c r="Z2073" s="69" t="s">
        <v>63</v>
      </c>
      <c r="AA2073" s="73"/>
      <c r="AB2073" s="73"/>
      <c r="AC2073" s="73"/>
      <c r="AD2073" s="73"/>
      <c r="AE2073" s="73"/>
      <c r="AF2073" s="73"/>
      <c r="AG2073" s="73"/>
      <c r="AH2073" s="73"/>
      <c r="AI2073" s="73"/>
      <c r="AJ2073" s="73"/>
      <c r="AK2073" s="73"/>
    </row>
    <row r="2074">
      <c r="A2074" s="28">
        <v>2073.0</v>
      </c>
      <c r="B2074" s="29"/>
      <c r="C2074" s="29"/>
      <c r="D2074" s="40">
        <v>1.0</v>
      </c>
      <c r="E2074" s="31">
        <v>38.0</v>
      </c>
      <c r="F2074" s="42">
        <v>93.0</v>
      </c>
      <c r="G2074" s="29" t="str">
        <f t="shared" si="1"/>
        <v>38093</v>
      </c>
      <c r="H2074" s="37" t="s">
        <v>1665</v>
      </c>
      <c r="I2074" s="37" t="s">
        <v>99</v>
      </c>
      <c r="J2074" s="37" t="s">
        <v>1639</v>
      </c>
      <c r="K2074" s="37" t="str">
        <f t="shared" si="35"/>
        <v>Stutsman, ND</v>
      </c>
      <c r="L2074" s="37">
        <v>34.0</v>
      </c>
      <c r="M2074" s="37" t="s">
        <v>63</v>
      </c>
      <c r="N2074" s="37" t="s">
        <v>63</v>
      </c>
      <c r="O2074" s="37" t="s">
        <v>63</v>
      </c>
      <c r="P2074" s="37" t="s">
        <v>63</v>
      </c>
      <c r="Q2074" s="37" t="s">
        <v>63</v>
      </c>
      <c r="R2074" s="37" t="s">
        <v>63</v>
      </c>
      <c r="S2074" s="37" t="s">
        <v>63</v>
      </c>
      <c r="T2074" s="69" t="s">
        <v>63</v>
      </c>
      <c r="U2074" s="37" t="s">
        <v>63</v>
      </c>
      <c r="V2074" s="37" t="s">
        <v>63</v>
      </c>
      <c r="W2074" s="37" t="s">
        <v>63</v>
      </c>
      <c r="X2074" s="37" t="s">
        <v>63</v>
      </c>
      <c r="Y2074" s="53">
        <v>31.0</v>
      </c>
      <c r="Z2074" s="69" t="s">
        <v>63</v>
      </c>
      <c r="AA2074" s="73"/>
      <c r="AB2074" s="73"/>
      <c r="AC2074" s="73"/>
      <c r="AD2074" s="73"/>
      <c r="AE2074" s="73"/>
      <c r="AF2074" s="73"/>
      <c r="AG2074" s="73"/>
      <c r="AH2074" s="73"/>
      <c r="AI2074" s="73"/>
      <c r="AJ2074" s="73"/>
      <c r="AK2074" s="73"/>
    </row>
    <row r="2075">
      <c r="A2075" s="28">
        <v>2074.0</v>
      </c>
      <c r="B2075" s="29"/>
      <c r="C2075" s="29"/>
      <c r="D2075" s="40">
        <v>1.0</v>
      </c>
      <c r="E2075" s="31">
        <v>38.0</v>
      </c>
      <c r="F2075" s="42">
        <v>95.0</v>
      </c>
      <c r="G2075" s="29" t="str">
        <f t="shared" si="1"/>
        <v>38095</v>
      </c>
      <c r="H2075" s="37" t="s">
        <v>1666</v>
      </c>
      <c r="I2075" s="37" t="s">
        <v>99</v>
      </c>
      <c r="J2075" s="37" t="s">
        <v>1639</v>
      </c>
      <c r="K2075" s="37" t="str">
        <f t="shared" si="35"/>
        <v>Towner, ND</v>
      </c>
      <c r="L2075" s="37">
        <v>9.0</v>
      </c>
      <c r="M2075" s="37" t="s">
        <v>63</v>
      </c>
      <c r="N2075" s="37" t="s">
        <v>63</v>
      </c>
      <c r="O2075" s="37" t="s">
        <v>63</v>
      </c>
      <c r="P2075" s="37" t="s">
        <v>63</v>
      </c>
      <c r="Q2075" s="37" t="s">
        <v>63</v>
      </c>
      <c r="R2075" s="37" t="s">
        <v>63</v>
      </c>
      <c r="S2075" s="37" t="s">
        <v>63</v>
      </c>
      <c r="T2075" s="69" t="s">
        <v>63</v>
      </c>
      <c r="U2075" s="37" t="s">
        <v>63</v>
      </c>
      <c r="V2075" s="37" t="s">
        <v>63</v>
      </c>
      <c r="W2075" s="37" t="s">
        <v>63</v>
      </c>
      <c r="X2075" s="37" t="s">
        <v>63</v>
      </c>
      <c r="Y2075" s="53">
        <v>9.0</v>
      </c>
      <c r="Z2075" s="69" t="s">
        <v>63</v>
      </c>
      <c r="AA2075" s="73"/>
      <c r="AB2075" s="73"/>
      <c r="AC2075" s="73"/>
      <c r="AD2075" s="73"/>
      <c r="AE2075" s="73"/>
      <c r="AF2075" s="73"/>
      <c r="AG2075" s="73"/>
      <c r="AH2075" s="73"/>
      <c r="AI2075" s="73"/>
      <c r="AJ2075" s="73"/>
      <c r="AK2075" s="73"/>
    </row>
    <row r="2076">
      <c r="A2076" s="28">
        <v>2075.0</v>
      </c>
      <c r="B2076" s="29"/>
      <c r="C2076" s="29"/>
      <c r="D2076" s="40">
        <v>1.0</v>
      </c>
      <c r="E2076" s="31">
        <v>38.0</v>
      </c>
      <c r="F2076" s="42">
        <v>97.0</v>
      </c>
      <c r="G2076" s="29" t="str">
        <f t="shared" si="1"/>
        <v>38097</v>
      </c>
      <c r="H2076" s="37" t="s">
        <v>1667</v>
      </c>
      <c r="I2076" s="37" t="s">
        <v>99</v>
      </c>
      <c r="J2076" s="37" t="s">
        <v>1639</v>
      </c>
      <c r="K2076" s="37" t="str">
        <f t="shared" si="35"/>
        <v>Traill, ND</v>
      </c>
      <c r="L2076" s="37">
        <v>25.0</v>
      </c>
      <c r="M2076" s="37" t="s">
        <v>63</v>
      </c>
      <c r="N2076" s="37" t="s">
        <v>63</v>
      </c>
      <c r="O2076" s="37" t="s">
        <v>63</v>
      </c>
      <c r="P2076" s="37" t="s">
        <v>63</v>
      </c>
      <c r="Q2076" s="37" t="s">
        <v>63</v>
      </c>
      <c r="R2076" s="37" t="s">
        <v>63</v>
      </c>
      <c r="S2076" s="37" t="s">
        <v>63</v>
      </c>
      <c r="T2076" s="69" t="s">
        <v>63</v>
      </c>
      <c r="U2076" s="37" t="s">
        <v>63</v>
      </c>
      <c r="V2076" s="37" t="s">
        <v>63</v>
      </c>
      <c r="W2076" s="37" t="s">
        <v>63</v>
      </c>
      <c r="X2076" s="37" t="s">
        <v>63</v>
      </c>
      <c r="Y2076" s="53">
        <v>14.0</v>
      </c>
      <c r="Z2076" s="69" t="s">
        <v>63</v>
      </c>
      <c r="AA2076" s="73"/>
      <c r="AB2076" s="73"/>
      <c r="AC2076" s="73"/>
      <c r="AD2076" s="73"/>
      <c r="AE2076" s="73"/>
      <c r="AF2076" s="73"/>
      <c r="AG2076" s="73"/>
      <c r="AH2076" s="73"/>
      <c r="AI2076" s="73"/>
      <c r="AJ2076" s="73"/>
      <c r="AK2076" s="73"/>
    </row>
    <row r="2077">
      <c r="A2077" s="28">
        <v>2076.0</v>
      </c>
      <c r="B2077" s="29"/>
      <c r="C2077" s="29"/>
      <c r="D2077" s="40">
        <v>1.0</v>
      </c>
      <c r="E2077" s="31">
        <v>38.0</v>
      </c>
      <c r="F2077" s="42">
        <v>99.0</v>
      </c>
      <c r="G2077" s="29" t="str">
        <f t="shared" si="1"/>
        <v>38099</v>
      </c>
      <c r="H2077" s="37" t="s">
        <v>1668</v>
      </c>
      <c r="I2077" s="37" t="s">
        <v>99</v>
      </c>
      <c r="J2077" s="37" t="s">
        <v>1639</v>
      </c>
      <c r="K2077" s="37" t="str">
        <f t="shared" si="35"/>
        <v>Walsh, ND</v>
      </c>
      <c r="L2077" s="37">
        <v>41.0</v>
      </c>
      <c r="M2077" s="37" t="s">
        <v>63</v>
      </c>
      <c r="N2077" s="37" t="s">
        <v>63</v>
      </c>
      <c r="O2077" s="37" t="s">
        <v>63</v>
      </c>
      <c r="P2077" s="37" t="s">
        <v>63</v>
      </c>
      <c r="Q2077" s="37" t="s">
        <v>63</v>
      </c>
      <c r="R2077" s="37" t="s">
        <v>63</v>
      </c>
      <c r="S2077" s="37" t="s">
        <v>63</v>
      </c>
      <c r="T2077" s="69" t="s">
        <v>63</v>
      </c>
      <c r="U2077" s="37" t="s">
        <v>63</v>
      </c>
      <c r="V2077" s="37" t="s">
        <v>63</v>
      </c>
      <c r="W2077" s="37" t="s">
        <v>63</v>
      </c>
      <c r="X2077" s="37" t="s">
        <v>63</v>
      </c>
      <c r="Y2077" s="53">
        <v>24.0</v>
      </c>
      <c r="Z2077" s="69" t="s">
        <v>63</v>
      </c>
      <c r="AA2077" s="73"/>
      <c r="AB2077" s="73"/>
      <c r="AC2077" s="73"/>
      <c r="AD2077" s="73"/>
      <c r="AE2077" s="73"/>
      <c r="AF2077" s="73"/>
      <c r="AG2077" s="73"/>
      <c r="AH2077" s="73"/>
      <c r="AI2077" s="73"/>
      <c r="AJ2077" s="73"/>
      <c r="AK2077" s="73"/>
    </row>
    <row r="2078">
      <c r="A2078" s="28">
        <v>2077.0</v>
      </c>
      <c r="B2078" s="29"/>
      <c r="C2078" s="29"/>
      <c r="D2078" s="40">
        <v>1.0</v>
      </c>
      <c r="E2078" s="31">
        <v>38.0</v>
      </c>
      <c r="F2078" s="42">
        <v>101.0</v>
      </c>
      <c r="G2078" s="29" t="str">
        <f t="shared" si="1"/>
        <v>38101</v>
      </c>
      <c r="H2078" s="37" t="s">
        <v>1669</v>
      </c>
      <c r="I2078" s="37" t="s">
        <v>99</v>
      </c>
      <c r="J2078" s="37" t="s">
        <v>1639</v>
      </c>
      <c r="K2078" s="37" t="str">
        <f t="shared" si="35"/>
        <v>Ward, ND</v>
      </c>
      <c r="L2078" s="37">
        <v>190.0</v>
      </c>
      <c r="M2078" s="37" t="s">
        <v>63</v>
      </c>
      <c r="N2078" s="37" t="s">
        <v>63</v>
      </c>
      <c r="O2078" s="37" t="s">
        <v>63</v>
      </c>
      <c r="P2078" s="37" t="s">
        <v>63</v>
      </c>
      <c r="Q2078" s="37" t="s">
        <v>63</v>
      </c>
      <c r="R2078" s="37" t="s">
        <v>63</v>
      </c>
      <c r="S2078" s="37" t="s">
        <v>63</v>
      </c>
      <c r="T2078" s="69" t="s">
        <v>63</v>
      </c>
      <c r="U2078" s="37" t="s">
        <v>63</v>
      </c>
      <c r="V2078" s="37" t="s">
        <v>63</v>
      </c>
      <c r="W2078" s="37" t="s">
        <v>63</v>
      </c>
      <c r="X2078" s="37" t="s">
        <v>63</v>
      </c>
      <c r="Y2078" s="53">
        <v>61.0</v>
      </c>
      <c r="Z2078" s="69" t="s">
        <v>63</v>
      </c>
      <c r="AA2078" s="73"/>
      <c r="AB2078" s="73"/>
      <c r="AC2078" s="73"/>
      <c r="AD2078" s="73"/>
      <c r="AE2078" s="73"/>
      <c r="AF2078" s="73"/>
      <c r="AG2078" s="73"/>
      <c r="AH2078" s="73"/>
      <c r="AI2078" s="73"/>
      <c r="AJ2078" s="73"/>
      <c r="AK2078" s="73"/>
    </row>
    <row r="2079">
      <c r="A2079" s="28">
        <v>2078.0</v>
      </c>
      <c r="B2079" s="29"/>
      <c r="C2079" s="29"/>
      <c r="D2079" s="40">
        <v>1.0</v>
      </c>
      <c r="E2079" s="31">
        <v>38.0</v>
      </c>
      <c r="F2079" s="42">
        <v>103.0</v>
      </c>
      <c r="G2079" s="29" t="str">
        <f t="shared" si="1"/>
        <v>38103</v>
      </c>
      <c r="H2079" s="37" t="s">
        <v>876</v>
      </c>
      <c r="I2079" s="37" t="s">
        <v>99</v>
      </c>
      <c r="J2079" s="37" t="s">
        <v>1639</v>
      </c>
      <c r="K2079" s="37" t="str">
        <f t="shared" si="35"/>
        <v>Wells, ND</v>
      </c>
      <c r="L2079" s="37" t="s">
        <v>63</v>
      </c>
      <c r="M2079" s="37" t="s">
        <v>63</v>
      </c>
      <c r="N2079" s="37" t="s">
        <v>63</v>
      </c>
      <c r="O2079" s="37" t="s">
        <v>63</v>
      </c>
      <c r="P2079" s="37" t="s">
        <v>63</v>
      </c>
      <c r="Q2079" s="37" t="s">
        <v>63</v>
      </c>
      <c r="R2079" s="37" t="s">
        <v>63</v>
      </c>
      <c r="S2079" s="37" t="s">
        <v>63</v>
      </c>
      <c r="T2079" s="69" t="s">
        <v>63</v>
      </c>
      <c r="U2079" s="37" t="s">
        <v>63</v>
      </c>
      <c r="V2079" s="37" t="s">
        <v>63</v>
      </c>
      <c r="W2079" s="37" t="s">
        <v>63</v>
      </c>
      <c r="X2079" s="37" t="s">
        <v>63</v>
      </c>
      <c r="Y2079" s="53">
        <v>16.0</v>
      </c>
      <c r="Z2079" s="69" t="s">
        <v>63</v>
      </c>
      <c r="AA2079" s="73"/>
      <c r="AB2079" s="73"/>
      <c r="AC2079" s="73"/>
      <c r="AD2079" s="73"/>
      <c r="AE2079" s="73"/>
      <c r="AF2079" s="73"/>
      <c r="AG2079" s="73"/>
      <c r="AH2079" s="73"/>
      <c r="AI2079" s="73"/>
      <c r="AJ2079" s="73"/>
      <c r="AK2079" s="73"/>
    </row>
    <row r="2080">
      <c r="A2080" s="28">
        <v>2079.0</v>
      </c>
      <c r="B2080" s="29"/>
      <c r="C2080" s="29"/>
      <c r="D2080" s="40">
        <v>1.0</v>
      </c>
      <c r="E2080" s="31">
        <v>38.0</v>
      </c>
      <c r="F2080" s="42">
        <v>105.0</v>
      </c>
      <c r="G2080" s="29" t="str">
        <f t="shared" si="1"/>
        <v>38105</v>
      </c>
      <c r="H2080" s="37" t="s">
        <v>1670</v>
      </c>
      <c r="I2080" s="37" t="s">
        <v>99</v>
      </c>
      <c r="J2080" s="37" t="s">
        <v>1639</v>
      </c>
      <c r="K2080" s="37" t="str">
        <f t="shared" si="35"/>
        <v>Williams, ND</v>
      </c>
      <c r="L2080" s="37">
        <v>105.0</v>
      </c>
      <c r="M2080" s="37" t="s">
        <v>63</v>
      </c>
      <c r="N2080" s="37" t="s">
        <v>63</v>
      </c>
      <c r="O2080" s="37" t="s">
        <v>63</v>
      </c>
      <c r="P2080" s="37" t="s">
        <v>63</v>
      </c>
      <c r="Q2080" s="37" t="s">
        <v>63</v>
      </c>
      <c r="R2080" s="37" t="s">
        <v>63</v>
      </c>
      <c r="S2080" s="37" t="s">
        <v>63</v>
      </c>
      <c r="T2080" s="69" t="s">
        <v>63</v>
      </c>
      <c r="U2080" s="37" t="s">
        <v>63</v>
      </c>
      <c r="V2080" s="37" t="s">
        <v>63</v>
      </c>
      <c r="W2080" s="37" t="s">
        <v>63</v>
      </c>
      <c r="X2080" s="37" t="s">
        <v>63</v>
      </c>
      <c r="Y2080" s="53">
        <v>38.0</v>
      </c>
      <c r="Z2080" s="69" t="s">
        <v>63</v>
      </c>
      <c r="AA2080" s="73"/>
      <c r="AB2080" s="73"/>
      <c r="AC2080" s="73"/>
      <c r="AD2080" s="73"/>
      <c r="AE2080" s="73"/>
      <c r="AF2080" s="73"/>
      <c r="AG2080" s="73"/>
      <c r="AH2080" s="73"/>
      <c r="AI2080" s="73"/>
      <c r="AJ2080" s="73"/>
      <c r="AK2080" s="73"/>
    </row>
    <row r="2081">
      <c r="A2081" s="99">
        <v>2080.0</v>
      </c>
      <c r="B2081" s="15"/>
      <c r="C2081" s="14" t="s">
        <v>25</v>
      </c>
      <c r="D2081" s="16"/>
      <c r="E2081" s="102">
        <v>39.0</v>
      </c>
      <c r="F2081" s="107">
        <v>0.0</v>
      </c>
      <c r="G2081" s="15" t="str">
        <f t="shared" si="1"/>
        <v>39000</v>
      </c>
      <c r="H2081" s="23"/>
      <c r="I2081" s="23" t="s">
        <v>100</v>
      </c>
      <c r="J2081" s="23" t="s">
        <v>339</v>
      </c>
      <c r="K2081" s="23"/>
      <c r="L2081" s="123">
        <f t="array" ref="L2081:Z2081">Ohio!C92:Q92</f>
        <v>14730</v>
      </c>
      <c r="M2081" s="23" t="s">
        <v>63</v>
      </c>
      <c r="N2081" s="35">
        <v>7823.0</v>
      </c>
      <c r="O2081" s="123">
        <v>3913.0</v>
      </c>
      <c r="P2081" s="23" t="s">
        <v>63</v>
      </c>
      <c r="Q2081" s="35">
        <v>7349.0</v>
      </c>
      <c r="R2081" s="123">
        <v>3469.0</v>
      </c>
      <c r="S2081" s="23" t="s">
        <v>63</v>
      </c>
      <c r="T2081" s="32" t="s">
        <v>63</v>
      </c>
      <c r="U2081" s="23" t="s">
        <v>63</v>
      </c>
      <c r="V2081" s="23" t="s">
        <v>63</v>
      </c>
      <c r="W2081" s="23" t="s">
        <v>63</v>
      </c>
      <c r="X2081" s="23" t="s">
        <v>63</v>
      </c>
      <c r="Y2081" s="35">
        <v>10140.0</v>
      </c>
      <c r="Z2081" s="32" t="s">
        <v>63</v>
      </c>
      <c r="AA2081" s="38"/>
      <c r="AB2081" s="38"/>
      <c r="AC2081" s="38"/>
      <c r="AD2081" s="38"/>
      <c r="AE2081" s="38"/>
      <c r="AF2081" s="38"/>
      <c r="AG2081" s="38"/>
      <c r="AH2081" s="38"/>
      <c r="AI2081" s="38"/>
      <c r="AJ2081" s="38"/>
      <c r="AK2081" s="38"/>
    </row>
    <row r="2082">
      <c r="A2082" s="99">
        <v>2081.0</v>
      </c>
      <c r="B2082" s="15"/>
      <c r="C2082" s="15"/>
      <c r="D2082" s="105">
        <v>1.0</v>
      </c>
      <c r="E2082" s="102">
        <v>39.0</v>
      </c>
      <c r="F2082" s="107">
        <v>1.0</v>
      </c>
      <c r="G2082" s="15" t="str">
        <f t="shared" si="1"/>
        <v>39001</v>
      </c>
      <c r="H2082" s="23" t="s">
        <v>386</v>
      </c>
      <c r="I2082" s="23" t="s">
        <v>100</v>
      </c>
      <c r="J2082" s="23" t="s">
        <v>339</v>
      </c>
      <c r="K2082" s="23" t="str">
        <f t="shared" ref="K2082:K2169" si="36">CONCATENATE(H2082,", ",J2082)</f>
        <v>Adams, OH</v>
      </c>
      <c r="L2082" s="23">
        <f t="array" ref="L2082:Z2169">Ohio!C3:Q90</f>
        <v>173</v>
      </c>
      <c r="M2082" s="23" t="s">
        <v>63</v>
      </c>
      <c r="N2082" s="23">
        <v>70.0</v>
      </c>
      <c r="O2082" s="23">
        <v>58.0</v>
      </c>
      <c r="P2082" s="23" t="s">
        <v>63</v>
      </c>
      <c r="Q2082" s="23" t="s">
        <v>63</v>
      </c>
      <c r="R2082" s="23">
        <v>61.0</v>
      </c>
      <c r="S2082" s="23" t="s">
        <v>63</v>
      </c>
      <c r="T2082" s="32">
        <v>0.5053763440860215</v>
      </c>
      <c r="U2082" s="23" t="s">
        <v>63</v>
      </c>
      <c r="V2082" s="23" t="s">
        <v>63</v>
      </c>
      <c r="W2082" s="23" t="s">
        <v>63</v>
      </c>
      <c r="X2082" s="23" t="s">
        <v>63</v>
      </c>
      <c r="Y2082" s="35">
        <v>26.0</v>
      </c>
      <c r="Z2082" s="32" t="s">
        <v>63</v>
      </c>
      <c r="AA2082" s="38"/>
      <c r="AB2082" s="38"/>
      <c r="AC2082" s="38"/>
      <c r="AD2082" s="38"/>
      <c r="AE2082" s="38"/>
      <c r="AF2082" s="38"/>
      <c r="AG2082" s="38"/>
      <c r="AH2082" s="38"/>
      <c r="AI2082" s="38"/>
      <c r="AJ2082" s="38"/>
      <c r="AK2082" s="38"/>
    </row>
    <row r="2083">
      <c r="A2083" s="99">
        <v>2082.0</v>
      </c>
      <c r="B2083" s="15"/>
      <c r="C2083" s="15"/>
      <c r="D2083" s="105">
        <v>1.0</v>
      </c>
      <c r="E2083" s="102">
        <v>39.0</v>
      </c>
      <c r="F2083" s="107">
        <v>3.0</v>
      </c>
      <c r="G2083" s="15" t="str">
        <f t="shared" si="1"/>
        <v>39003</v>
      </c>
      <c r="H2083" s="23" t="s">
        <v>755</v>
      </c>
      <c r="I2083" s="23" t="s">
        <v>100</v>
      </c>
      <c r="J2083" s="23" t="s">
        <v>339</v>
      </c>
      <c r="K2083" s="23" t="str">
        <f t="shared" si="36"/>
        <v>Allen, OH</v>
      </c>
      <c r="L2083" s="23">
        <v>114.0</v>
      </c>
      <c r="M2083" s="23" t="s">
        <v>63</v>
      </c>
      <c r="N2083" s="23">
        <v>64.0</v>
      </c>
      <c r="O2083" s="23">
        <v>36.0</v>
      </c>
      <c r="P2083" s="23" t="s">
        <v>63</v>
      </c>
      <c r="Q2083" s="23" t="s">
        <v>63</v>
      </c>
      <c r="R2083" s="23">
        <v>28.0</v>
      </c>
      <c r="S2083" s="23" t="s">
        <v>63</v>
      </c>
      <c r="T2083" s="32">
        <v>0.2535211267605634</v>
      </c>
      <c r="U2083" s="23" t="s">
        <v>63</v>
      </c>
      <c r="V2083" s="23" t="s">
        <v>63</v>
      </c>
      <c r="W2083" s="23" t="s">
        <v>63</v>
      </c>
      <c r="X2083" s="23" t="s">
        <v>63</v>
      </c>
      <c r="Y2083" s="35">
        <v>128.0</v>
      </c>
      <c r="Z2083" s="32" t="s">
        <v>63</v>
      </c>
      <c r="AA2083" s="38"/>
      <c r="AB2083" s="38"/>
      <c r="AC2083" s="38"/>
      <c r="AD2083" s="38"/>
      <c r="AE2083" s="38"/>
      <c r="AF2083" s="38"/>
      <c r="AG2083" s="38"/>
      <c r="AH2083" s="38"/>
      <c r="AI2083" s="38"/>
      <c r="AJ2083" s="38"/>
      <c r="AK2083" s="38"/>
    </row>
    <row r="2084">
      <c r="A2084" s="99">
        <v>2083.0</v>
      </c>
      <c r="B2084" s="15"/>
      <c r="C2084" s="15"/>
      <c r="D2084" s="105">
        <v>1.0</v>
      </c>
      <c r="E2084" s="102">
        <v>39.0</v>
      </c>
      <c r="F2084" s="107">
        <v>5.0</v>
      </c>
      <c r="G2084" s="15" t="str">
        <f t="shared" si="1"/>
        <v>39005</v>
      </c>
      <c r="H2084" s="23" t="s">
        <v>1671</v>
      </c>
      <c r="I2084" s="23" t="s">
        <v>100</v>
      </c>
      <c r="J2084" s="23" t="s">
        <v>339</v>
      </c>
      <c r="K2084" s="23" t="str">
        <f t="shared" si="36"/>
        <v>Ashland, OH</v>
      </c>
      <c r="L2084" s="23">
        <v>65.0</v>
      </c>
      <c r="M2084" s="23" t="s">
        <v>63</v>
      </c>
      <c r="N2084" s="23">
        <v>38.0</v>
      </c>
      <c r="O2084" s="23">
        <v>15.0</v>
      </c>
      <c r="P2084" s="23" t="s">
        <v>63</v>
      </c>
      <c r="Q2084" s="23" t="s">
        <v>63</v>
      </c>
      <c r="R2084" s="23">
        <v>26.0</v>
      </c>
      <c r="S2084" s="23" t="s">
        <v>63</v>
      </c>
      <c r="T2084" s="32">
        <v>0.5294117647058824</v>
      </c>
      <c r="U2084" s="23" t="s">
        <v>63</v>
      </c>
      <c r="V2084" s="23" t="s">
        <v>63</v>
      </c>
      <c r="W2084" s="23" t="s">
        <v>63</v>
      </c>
      <c r="X2084" s="23" t="s">
        <v>63</v>
      </c>
      <c r="Y2084" s="35">
        <v>68.0</v>
      </c>
      <c r="Z2084" s="32" t="s">
        <v>63</v>
      </c>
      <c r="AA2084" s="38"/>
      <c r="AB2084" s="38"/>
      <c r="AC2084" s="38"/>
      <c r="AD2084" s="38"/>
      <c r="AE2084" s="38"/>
      <c r="AF2084" s="38"/>
      <c r="AG2084" s="38"/>
      <c r="AH2084" s="38"/>
      <c r="AI2084" s="38"/>
      <c r="AJ2084" s="38"/>
      <c r="AK2084" s="38"/>
    </row>
    <row r="2085">
      <c r="A2085" s="99">
        <v>2084.0</v>
      </c>
      <c r="B2085" s="15"/>
      <c r="C2085" s="15"/>
      <c r="D2085" s="105">
        <v>1.0</v>
      </c>
      <c r="E2085" s="102">
        <v>39.0</v>
      </c>
      <c r="F2085" s="107">
        <v>7.0</v>
      </c>
      <c r="G2085" s="15" t="str">
        <f t="shared" si="1"/>
        <v>39007</v>
      </c>
      <c r="H2085" s="23" t="s">
        <v>1672</v>
      </c>
      <c r="I2085" s="23" t="s">
        <v>100</v>
      </c>
      <c r="J2085" s="23" t="s">
        <v>339</v>
      </c>
      <c r="K2085" s="23" t="str">
        <f t="shared" si="36"/>
        <v>Ashtabula, OH</v>
      </c>
      <c r="L2085" s="23">
        <v>119.0</v>
      </c>
      <c r="M2085" s="23" t="s">
        <v>63</v>
      </c>
      <c r="N2085" s="23">
        <v>46.0</v>
      </c>
      <c r="O2085" s="23">
        <v>42.0</v>
      </c>
      <c r="P2085" s="23" t="s">
        <v>63</v>
      </c>
      <c r="Q2085" s="23" t="s">
        <v>63</v>
      </c>
      <c r="R2085" s="23">
        <v>14.0</v>
      </c>
      <c r="S2085" s="23" t="s">
        <v>63</v>
      </c>
      <c r="T2085" s="32">
        <v>0.4032258064516129</v>
      </c>
      <c r="U2085" s="23" t="s">
        <v>63</v>
      </c>
      <c r="V2085" s="23" t="s">
        <v>63</v>
      </c>
      <c r="W2085" s="23" t="s">
        <v>63</v>
      </c>
      <c r="X2085" s="23" t="s">
        <v>63</v>
      </c>
      <c r="Y2085" s="35">
        <v>104.0</v>
      </c>
      <c r="Z2085" s="32" t="s">
        <v>63</v>
      </c>
      <c r="AA2085" s="38"/>
      <c r="AB2085" s="38"/>
      <c r="AC2085" s="38"/>
      <c r="AD2085" s="38"/>
      <c r="AE2085" s="38"/>
      <c r="AF2085" s="38"/>
      <c r="AG2085" s="38"/>
      <c r="AH2085" s="38"/>
      <c r="AI2085" s="38"/>
      <c r="AJ2085" s="38"/>
      <c r="AK2085" s="38"/>
    </row>
    <row r="2086">
      <c r="A2086" s="99">
        <v>2085.0</v>
      </c>
      <c r="B2086" s="15"/>
      <c r="C2086" s="15"/>
      <c r="D2086" s="105">
        <v>1.0</v>
      </c>
      <c r="E2086" s="102">
        <v>39.0</v>
      </c>
      <c r="F2086" s="107">
        <v>9.0</v>
      </c>
      <c r="G2086" s="15" t="str">
        <f t="shared" si="1"/>
        <v>39009</v>
      </c>
      <c r="H2086" s="23" t="s">
        <v>1673</v>
      </c>
      <c r="I2086" s="23" t="s">
        <v>100</v>
      </c>
      <c r="J2086" s="23" t="s">
        <v>339</v>
      </c>
      <c r="K2086" s="23" t="str">
        <f t="shared" si="36"/>
        <v>Athens, OH</v>
      </c>
      <c r="L2086" s="23">
        <v>132.0</v>
      </c>
      <c r="M2086" s="23" t="s">
        <v>63</v>
      </c>
      <c r="N2086" s="23">
        <v>102.0</v>
      </c>
      <c r="O2086" s="23" t="s">
        <v>63</v>
      </c>
      <c r="P2086" s="23" t="s">
        <v>63</v>
      </c>
      <c r="Q2086" s="23" t="s">
        <v>63</v>
      </c>
      <c r="R2086" s="23">
        <v>49.0</v>
      </c>
      <c r="S2086" s="23" t="s">
        <v>63</v>
      </c>
      <c r="T2086" s="32">
        <v>0.5</v>
      </c>
      <c r="U2086" s="23" t="s">
        <v>63</v>
      </c>
      <c r="V2086" s="23" t="s">
        <v>63</v>
      </c>
      <c r="W2086" s="23" t="s">
        <v>63</v>
      </c>
      <c r="X2086" s="23" t="s">
        <v>63</v>
      </c>
      <c r="Y2086" s="35">
        <v>64.0</v>
      </c>
      <c r="Z2086" s="32" t="s">
        <v>63</v>
      </c>
      <c r="AA2086" s="38"/>
      <c r="AB2086" s="38"/>
      <c r="AC2086" s="38"/>
      <c r="AD2086" s="38"/>
      <c r="AE2086" s="38"/>
      <c r="AF2086" s="38"/>
      <c r="AG2086" s="38"/>
      <c r="AH2086" s="38"/>
      <c r="AI2086" s="38"/>
      <c r="AJ2086" s="38"/>
      <c r="AK2086" s="38"/>
    </row>
    <row r="2087">
      <c r="A2087" s="99">
        <v>2086.0</v>
      </c>
      <c r="B2087" s="15"/>
      <c r="C2087" s="15"/>
      <c r="D2087" s="105">
        <v>1.0</v>
      </c>
      <c r="E2087" s="102">
        <v>39.0</v>
      </c>
      <c r="F2087" s="107">
        <v>11.0</v>
      </c>
      <c r="G2087" s="15" t="str">
        <f t="shared" si="1"/>
        <v>39011</v>
      </c>
      <c r="H2087" s="23" t="s">
        <v>1674</v>
      </c>
      <c r="I2087" s="23" t="s">
        <v>100</v>
      </c>
      <c r="J2087" s="23" t="s">
        <v>339</v>
      </c>
      <c r="K2087" s="23" t="str">
        <f t="shared" si="36"/>
        <v>Auglaize, OH</v>
      </c>
      <c r="L2087" s="23">
        <v>21.0</v>
      </c>
      <c r="M2087" s="23" t="s">
        <v>63</v>
      </c>
      <c r="N2087" s="23">
        <v>16.0</v>
      </c>
      <c r="O2087" s="23" t="s">
        <v>63</v>
      </c>
      <c r="P2087" s="23" t="s">
        <v>63</v>
      </c>
      <c r="Q2087" s="23" t="s">
        <v>63</v>
      </c>
      <c r="R2087" s="23" t="s">
        <v>63</v>
      </c>
      <c r="S2087" s="23" t="s">
        <v>63</v>
      </c>
      <c r="T2087" s="32">
        <v>0.6666666666666666</v>
      </c>
      <c r="U2087" s="23" t="s">
        <v>63</v>
      </c>
      <c r="V2087" s="23" t="s">
        <v>63</v>
      </c>
      <c r="W2087" s="23" t="s">
        <v>63</v>
      </c>
      <c r="X2087" s="23" t="s">
        <v>63</v>
      </c>
      <c r="Y2087" s="35">
        <v>42.0</v>
      </c>
      <c r="Z2087" s="32" t="s">
        <v>63</v>
      </c>
      <c r="AA2087" s="38"/>
      <c r="AB2087" s="38"/>
      <c r="AC2087" s="38"/>
      <c r="AD2087" s="38"/>
      <c r="AE2087" s="38"/>
      <c r="AF2087" s="38"/>
      <c r="AG2087" s="38"/>
      <c r="AH2087" s="38"/>
      <c r="AI2087" s="38"/>
      <c r="AJ2087" s="38"/>
      <c r="AK2087" s="38"/>
    </row>
    <row r="2088">
      <c r="A2088" s="99">
        <v>2087.0</v>
      </c>
      <c r="B2088" s="15"/>
      <c r="C2088" s="15"/>
      <c r="D2088" s="105">
        <v>1.0</v>
      </c>
      <c r="E2088" s="102">
        <v>39.0</v>
      </c>
      <c r="F2088" s="107">
        <v>13.0</v>
      </c>
      <c r="G2088" s="15" t="str">
        <f t="shared" si="1"/>
        <v>39013</v>
      </c>
      <c r="H2088" s="23" t="s">
        <v>1675</v>
      </c>
      <c r="I2088" s="23" t="s">
        <v>100</v>
      </c>
      <c r="J2088" s="23" t="s">
        <v>339</v>
      </c>
      <c r="K2088" s="23" t="str">
        <f t="shared" si="36"/>
        <v>Belmont, OH</v>
      </c>
      <c r="L2088" s="23">
        <v>49.0</v>
      </c>
      <c r="M2088" s="23" t="s">
        <v>63</v>
      </c>
      <c r="N2088" s="23">
        <v>31.0</v>
      </c>
      <c r="O2088" s="23">
        <v>15.0</v>
      </c>
      <c r="P2088" s="23" t="s">
        <v>63</v>
      </c>
      <c r="Q2088" s="23" t="s">
        <v>63</v>
      </c>
      <c r="R2088" s="23">
        <v>11.0</v>
      </c>
      <c r="S2088" s="23" t="s">
        <v>63</v>
      </c>
      <c r="T2088" s="32">
        <v>0.5555555555555556</v>
      </c>
      <c r="U2088" s="23" t="s">
        <v>63</v>
      </c>
      <c r="V2088" s="23" t="s">
        <v>63</v>
      </c>
      <c r="W2088" s="23" t="s">
        <v>63</v>
      </c>
      <c r="X2088" s="23" t="s">
        <v>63</v>
      </c>
      <c r="Y2088" s="35">
        <v>84.0</v>
      </c>
      <c r="Z2088" s="32" t="s">
        <v>63</v>
      </c>
      <c r="AA2088" s="38"/>
      <c r="AB2088" s="38"/>
      <c r="AC2088" s="38"/>
      <c r="AD2088" s="38"/>
      <c r="AE2088" s="38"/>
      <c r="AF2088" s="38"/>
      <c r="AG2088" s="38"/>
      <c r="AH2088" s="38"/>
      <c r="AI2088" s="38"/>
      <c r="AJ2088" s="38"/>
      <c r="AK2088" s="38"/>
    </row>
    <row r="2089">
      <c r="A2089" s="99">
        <v>2088.0</v>
      </c>
      <c r="B2089" s="15"/>
      <c r="C2089" s="15"/>
      <c r="D2089" s="105">
        <v>1.0</v>
      </c>
      <c r="E2089" s="102">
        <v>39.0</v>
      </c>
      <c r="F2089" s="107">
        <v>15.0</v>
      </c>
      <c r="G2089" s="15" t="str">
        <f t="shared" si="1"/>
        <v>39015</v>
      </c>
      <c r="H2089" s="23" t="s">
        <v>706</v>
      </c>
      <c r="I2089" s="23" t="s">
        <v>100</v>
      </c>
      <c r="J2089" s="23" t="s">
        <v>339</v>
      </c>
      <c r="K2089" s="23" t="str">
        <f t="shared" si="36"/>
        <v>Brown, OH</v>
      </c>
      <c r="L2089" s="23">
        <v>56.0</v>
      </c>
      <c r="M2089" s="23" t="s">
        <v>63</v>
      </c>
      <c r="N2089" s="23">
        <v>33.0</v>
      </c>
      <c r="O2089" s="23">
        <v>12.0</v>
      </c>
      <c r="P2089" s="23" t="s">
        <v>63</v>
      </c>
      <c r="Q2089" s="23" t="s">
        <v>63</v>
      </c>
      <c r="R2089" s="23">
        <v>11.0</v>
      </c>
      <c r="S2089" s="23" t="s">
        <v>63</v>
      </c>
      <c r="T2089" s="32">
        <v>0.3333333333333333</v>
      </c>
      <c r="U2089" s="23" t="s">
        <v>63</v>
      </c>
      <c r="V2089" s="23" t="s">
        <v>63</v>
      </c>
      <c r="W2089" s="23" t="s">
        <v>63</v>
      </c>
      <c r="X2089" s="23" t="s">
        <v>63</v>
      </c>
      <c r="Y2089" s="35">
        <v>44.0</v>
      </c>
      <c r="Z2089" s="32" t="s">
        <v>63</v>
      </c>
      <c r="AA2089" s="38"/>
      <c r="AB2089" s="38"/>
      <c r="AC2089" s="38"/>
      <c r="AD2089" s="38"/>
      <c r="AE2089" s="38"/>
      <c r="AF2089" s="38"/>
      <c r="AG2089" s="38"/>
      <c r="AH2089" s="38"/>
      <c r="AI2089" s="38"/>
      <c r="AJ2089" s="38"/>
      <c r="AK2089" s="38"/>
    </row>
    <row r="2090">
      <c r="A2090" s="99">
        <v>2089.0</v>
      </c>
      <c r="B2090" s="15"/>
      <c r="C2090" s="15"/>
      <c r="D2090" s="105">
        <v>1.0</v>
      </c>
      <c r="E2090" s="102">
        <v>39.0</v>
      </c>
      <c r="F2090" s="107">
        <v>17.0</v>
      </c>
      <c r="G2090" s="15" t="str">
        <f t="shared" si="1"/>
        <v>39017</v>
      </c>
      <c r="H2090" s="23" t="s">
        <v>87</v>
      </c>
      <c r="I2090" s="23" t="s">
        <v>100</v>
      </c>
      <c r="J2090" s="23" t="s">
        <v>339</v>
      </c>
      <c r="K2090" s="23" t="str">
        <f t="shared" si="36"/>
        <v>Butler, OH</v>
      </c>
      <c r="L2090" s="23">
        <v>256.0</v>
      </c>
      <c r="M2090" s="23" t="s">
        <v>63</v>
      </c>
      <c r="N2090" s="23">
        <v>176.0</v>
      </c>
      <c r="O2090" s="23">
        <v>19.0</v>
      </c>
      <c r="P2090" s="23" t="s">
        <v>63</v>
      </c>
      <c r="Q2090" s="23" t="s">
        <v>63</v>
      </c>
      <c r="R2090" s="23">
        <v>90.0</v>
      </c>
      <c r="S2090" s="23" t="s">
        <v>63</v>
      </c>
      <c r="T2090" s="32">
        <v>0.2215909090909091</v>
      </c>
      <c r="U2090" s="23" t="s">
        <v>63</v>
      </c>
      <c r="V2090" s="23" t="s">
        <v>63</v>
      </c>
      <c r="W2090" s="23" t="s">
        <v>63</v>
      </c>
      <c r="X2090" s="23" t="s">
        <v>63</v>
      </c>
      <c r="Y2090" s="35">
        <v>273.0</v>
      </c>
      <c r="Z2090" s="32" t="s">
        <v>63</v>
      </c>
      <c r="AA2090" s="38"/>
      <c r="AB2090" s="38"/>
      <c r="AC2090" s="38"/>
      <c r="AD2090" s="38"/>
      <c r="AE2090" s="38"/>
      <c r="AF2090" s="38"/>
      <c r="AG2090" s="38"/>
      <c r="AH2090" s="38"/>
      <c r="AI2090" s="38"/>
      <c r="AJ2090" s="38"/>
      <c r="AK2090" s="38"/>
    </row>
    <row r="2091">
      <c r="A2091" s="99">
        <v>2090.0</v>
      </c>
      <c r="B2091" s="15"/>
      <c r="C2091" s="15"/>
      <c r="D2091" s="105">
        <v>1.0</v>
      </c>
      <c r="E2091" s="102">
        <v>39.0</v>
      </c>
      <c r="F2091" s="107">
        <v>19.0</v>
      </c>
      <c r="G2091" s="15" t="str">
        <f t="shared" si="1"/>
        <v>39019</v>
      </c>
      <c r="H2091" s="23" t="s">
        <v>248</v>
      </c>
      <c r="I2091" s="23" t="s">
        <v>100</v>
      </c>
      <c r="J2091" s="23" t="s">
        <v>339</v>
      </c>
      <c r="K2091" s="23" t="str">
        <f t="shared" si="36"/>
        <v>Carroll, OH</v>
      </c>
      <c r="L2091" s="23">
        <v>13.0</v>
      </c>
      <c r="M2091" s="23" t="s">
        <v>63</v>
      </c>
      <c r="N2091" s="23" t="s">
        <v>63</v>
      </c>
      <c r="O2091" s="23" t="s">
        <v>63</v>
      </c>
      <c r="P2091" s="23" t="s">
        <v>63</v>
      </c>
      <c r="Q2091" s="23" t="s">
        <v>63</v>
      </c>
      <c r="R2091" s="23" t="s">
        <v>63</v>
      </c>
      <c r="S2091" s="23" t="s">
        <v>63</v>
      </c>
      <c r="T2091" s="32">
        <v>0.2727272727272727</v>
      </c>
      <c r="U2091" s="23" t="s">
        <v>63</v>
      </c>
      <c r="V2091" s="23" t="s">
        <v>63</v>
      </c>
      <c r="W2091" s="23" t="s">
        <v>63</v>
      </c>
      <c r="X2091" s="23" t="s">
        <v>63</v>
      </c>
      <c r="Y2091" s="35">
        <v>42.0</v>
      </c>
      <c r="Z2091" s="32" t="s">
        <v>63</v>
      </c>
      <c r="AA2091" s="38"/>
      <c r="AB2091" s="38"/>
      <c r="AC2091" s="38"/>
      <c r="AD2091" s="38"/>
      <c r="AE2091" s="38"/>
      <c r="AF2091" s="38"/>
      <c r="AG2091" s="38"/>
      <c r="AH2091" s="38"/>
      <c r="AI2091" s="38"/>
      <c r="AJ2091" s="38"/>
      <c r="AK2091" s="38"/>
    </row>
    <row r="2092">
      <c r="A2092" s="99">
        <v>2091.0</v>
      </c>
      <c r="B2092" s="15"/>
      <c r="C2092" s="15"/>
      <c r="D2092" s="105">
        <v>1.0</v>
      </c>
      <c r="E2092" s="102">
        <v>39.0</v>
      </c>
      <c r="F2092" s="107">
        <v>21.0</v>
      </c>
      <c r="G2092" s="15" t="str">
        <f t="shared" si="1"/>
        <v>39021</v>
      </c>
      <c r="H2092" s="23" t="s">
        <v>709</v>
      </c>
      <c r="I2092" s="23" t="s">
        <v>100</v>
      </c>
      <c r="J2092" s="23" t="s">
        <v>339</v>
      </c>
      <c r="K2092" s="23" t="str">
        <f t="shared" si="36"/>
        <v>Champaign, OH</v>
      </c>
      <c r="L2092" s="23">
        <v>14.0</v>
      </c>
      <c r="M2092" s="23" t="s">
        <v>63</v>
      </c>
      <c r="N2092" s="23" t="s">
        <v>63</v>
      </c>
      <c r="O2092" s="23" t="s">
        <v>63</v>
      </c>
      <c r="P2092" s="23" t="s">
        <v>63</v>
      </c>
      <c r="Q2092" s="23" t="s">
        <v>63</v>
      </c>
      <c r="R2092" s="23" t="s">
        <v>63</v>
      </c>
      <c r="S2092" s="23" t="s">
        <v>63</v>
      </c>
      <c r="T2092" s="32" t="s">
        <v>63</v>
      </c>
      <c r="U2092" s="23" t="s">
        <v>63</v>
      </c>
      <c r="V2092" s="23" t="s">
        <v>63</v>
      </c>
      <c r="W2092" s="23" t="s">
        <v>63</v>
      </c>
      <c r="X2092" s="23" t="s">
        <v>63</v>
      </c>
      <c r="Y2092" s="35">
        <v>55.0</v>
      </c>
      <c r="Z2092" s="32" t="s">
        <v>63</v>
      </c>
      <c r="AA2092" s="38"/>
      <c r="AB2092" s="38"/>
      <c r="AC2092" s="38"/>
      <c r="AD2092" s="38"/>
      <c r="AE2092" s="38"/>
      <c r="AF2092" s="38"/>
      <c r="AG2092" s="38"/>
      <c r="AH2092" s="38"/>
      <c r="AI2092" s="38"/>
      <c r="AJ2092" s="38"/>
      <c r="AK2092" s="38"/>
    </row>
    <row r="2093">
      <c r="A2093" s="99">
        <v>2092.0</v>
      </c>
      <c r="B2093" s="15"/>
      <c r="C2093" s="15"/>
      <c r="D2093" s="105">
        <v>1.0</v>
      </c>
      <c r="E2093" s="102">
        <v>39.0</v>
      </c>
      <c r="F2093" s="107">
        <v>23.0</v>
      </c>
      <c r="G2093" s="15" t="str">
        <f t="shared" si="1"/>
        <v>39023</v>
      </c>
      <c r="H2093" s="23" t="s">
        <v>253</v>
      </c>
      <c r="I2093" s="23" t="s">
        <v>100</v>
      </c>
      <c r="J2093" s="23" t="s">
        <v>339</v>
      </c>
      <c r="K2093" s="23" t="str">
        <f t="shared" si="36"/>
        <v>Clark, OH</v>
      </c>
      <c r="L2093" s="23">
        <v>133.0</v>
      </c>
      <c r="M2093" s="23" t="s">
        <v>63</v>
      </c>
      <c r="N2093" s="23">
        <v>77.0</v>
      </c>
      <c r="O2093" s="23">
        <v>34.0</v>
      </c>
      <c r="P2093" s="23" t="s">
        <v>63</v>
      </c>
      <c r="Q2093" s="23" t="s">
        <v>63</v>
      </c>
      <c r="R2093" s="23">
        <v>12.0</v>
      </c>
      <c r="S2093" s="23" t="s">
        <v>63</v>
      </c>
      <c r="T2093" s="32">
        <v>0.4117647058823529</v>
      </c>
      <c r="U2093" s="23" t="s">
        <v>63</v>
      </c>
      <c r="V2093" s="23" t="s">
        <v>63</v>
      </c>
      <c r="W2093" s="23" t="s">
        <v>63</v>
      </c>
      <c r="X2093" s="23" t="s">
        <v>63</v>
      </c>
      <c r="Y2093" s="35">
        <v>141.0</v>
      </c>
      <c r="Z2093" s="32" t="s">
        <v>63</v>
      </c>
      <c r="AA2093" s="38"/>
      <c r="AB2093" s="38"/>
      <c r="AC2093" s="38"/>
      <c r="AD2093" s="38"/>
      <c r="AE2093" s="38"/>
      <c r="AF2093" s="38"/>
      <c r="AG2093" s="38"/>
      <c r="AH2093" s="38"/>
      <c r="AI2093" s="38"/>
      <c r="AJ2093" s="38"/>
      <c r="AK2093" s="38"/>
    </row>
    <row r="2094">
      <c r="A2094" s="99">
        <v>2093.0</v>
      </c>
      <c r="B2094" s="15"/>
      <c r="C2094" s="15"/>
      <c r="D2094" s="105">
        <v>1.0</v>
      </c>
      <c r="E2094" s="102">
        <v>39.0</v>
      </c>
      <c r="F2094" s="107">
        <v>25.0</v>
      </c>
      <c r="G2094" s="15" t="str">
        <f t="shared" si="1"/>
        <v>39025</v>
      </c>
      <c r="H2094" s="23" t="s">
        <v>1676</v>
      </c>
      <c r="I2094" s="23" t="s">
        <v>100</v>
      </c>
      <c r="J2094" s="23" t="s">
        <v>339</v>
      </c>
      <c r="K2094" s="23" t="str">
        <f t="shared" si="36"/>
        <v>Clermont, OH</v>
      </c>
      <c r="L2094" s="23">
        <v>198.0</v>
      </c>
      <c r="M2094" s="23" t="s">
        <v>63</v>
      </c>
      <c r="N2094" s="23">
        <v>129.0</v>
      </c>
      <c r="O2094" s="23">
        <v>38.0</v>
      </c>
      <c r="P2094" s="23" t="s">
        <v>63</v>
      </c>
      <c r="Q2094" s="23" t="s">
        <v>63</v>
      </c>
      <c r="R2094" s="23">
        <v>63.0</v>
      </c>
      <c r="S2094" s="23" t="s">
        <v>63</v>
      </c>
      <c r="T2094" s="32">
        <v>0.5</v>
      </c>
      <c r="U2094" s="23" t="s">
        <v>63</v>
      </c>
      <c r="V2094" s="23" t="s">
        <v>63</v>
      </c>
      <c r="W2094" s="23" t="s">
        <v>63</v>
      </c>
      <c r="X2094" s="23" t="s">
        <v>63</v>
      </c>
      <c r="Y2094" s="35">
        <v>140.0</v>
      </c>
      <c r="Z2094" s="32" t="s">
        <v>63</v>
      </c>
      <c r="AA2094" s="38"/>
      <c r="AB2094" s="38"/>
      <c r="AC2094" s="38"/>
      <c r="AD2094" s="38"/>
      <c r="AE2094" s="38"/>
      <c r="AF2094" s="38"/>
      <c r="AG2094" s="38"/>
      <c r="AH2094" s="38"/>
      <c r="AI2094" s="38"/>
      <c r="AJ2094" s="38"/>
      <c r="AK2094" s="38"/>
    </row>
    <row r="2095">
      <c r="A2095" s="99">
        <v>2094.0</v>
      </c>
      <c r="B2095" s="15"/>
      <c r="C2095" s="15"/>
      <c r="D2095" s="105">
        <v>1.0</v>
      </c>
      <c r="E2095" s="102">
        <v>39.0</v>
      </c>
      <c r="F2095" s="107">
        <v>27.0</v>
      </c>
      <c r="G2095" s="15" t="str">
        <f t="shared" si="1"/>
        <v>39027</v>
      </c>
      <c r="H2095" s="23" t="s">
        <v>711</v>
      </c>
      <c r="I2095" s="23" t="s">
        <v>100</v>
      </c>
      <c r="J2095" s="23" t="s">
        <v>339</v>
      </c>
      <c r="K2095" s="23" t="str">
        <f t="shared" si="36"/>
        <v>Clinton, OH</v>
      </c>
      <c r="L2095" s="23">
        <v>98.0</v>
      </c>
      <c r="M2095" s="23" t="s">
        <v>63</v>
      </c>
      <c r="N2095" s="23">
        <v>53.0</v>
      </c>
      <c r="O2095" s="23">
        <v>30.0</v>
      </c>
      <c r="P2095" s="23" t="s">
        <v>63</v>
      </c>
      <c r="Q2095" s="23" t="s">
        <v>63</v>
      </c>
      <c r="R2095" s="23">
        <v>13.0</v>
      </c>
      <c r="S2095" s="23" t="s">
        <v>63</v>
      </c>
      <c r="T2095" s="32">
        <v>0.2714285714285714</v>
      </c>
      <c r="U2095" s="23" t="s">
        <v>63</v>
      </c>
      <c r="V2095" s="23" t="s">
        <v>63</v>
      </c>
      <c r="W2095" s="23" t="s">
        <v>63</v>
      </c>
      <c r="X2095" s="23" t="s">
        <v>63</v>
      </c>
      <c r="Y2095" s="35">
        <v>43.0</v>
      </c>
      <c r="Z2095" s="32" t="s">
        <v>63</v>
      </c>
      <c r="AA2095" s="38"/>
      <c r="AB2095" s="38"/>
      <c r="AC2095" s="38"/>
      <c r="AD2095" s="38"/>
      <c r="AE2095" s="38"/>
      <c r="AF2095" s="38"/>
      <c r="AG2095" s="38"/>
      <c r="AH2095" s="38"/>
      <c r="AI2095" s="38"/>
      <c r="AJ2095" s="38"/>
      <c r="AK2095" s="38"/>
    </row>
    <row r="2096">
      <c r="A2096" s="99">
        <v>2095.0</v>
      </c>
      <c r="B2096" s="15"/>
      <c r="C2096" s="15"/>
      <c r="D2096" s="105">
        <v>1.0</v>
      </c>
      <c r="E2096" s="102">
        <v>39.0</v>
      </c>
      <c r="F2096" s="107">
        <v>29.0</v>
      </c>
      <c r="G2096" s="15" t="str">
        <f t="shared" si="1"/>
        <v>39029</v>
      </c>
      <c r="H2096" s="23" t="s">
        <v>1677</v>
      </c>
      <c r="I2096" s="23" t="s">
        <v>100</v>
      </c>
      <c r="J2096" s="23" t="s">
        <v>339</v>
      </c>
      <c r="K2096" s="112" t="str">
        <f t="shared" si="36"/>
        <v>Columbiana, OH</v>
      </c>
      <c r="L2096" s="23">
        <v>87.0</v>
      </c>
      <c r="M2096" s="23" t="s">
        <v>63</v>
      </c>
      <c r="N2096" s="23">
        <v>60.0</v>
      </c>
      <c r="O2096" s="23" t="s">
        <v>63</v>
      </c>
      <c r="P2096" s="23" t="s">
        <v>63</v>
      </c>
      <c r="Q2096" s="23" t="s">
        <v>63</v>
      </c>
      <c r="R2096" s="23">
        <v>18.0</v>
      </c>
      <c r="S2096" s="23" t="s">
        <v>63</v>
      </c>
      <c r="T2096" s="32">
        <v>0.5084745762711864</v>
      </c>
      <c r="U2096" s="23" t="s">
        <v>63</v>
      </c>
      <c r="V2096" s="23" t="s">
        <v>63</v>
      </c>
      <c r="W2096" s="23" t="s">
        <v>63</v>
      </c>
      <c r="X2096" s="23" t="s">
        <v>63</v>
      </c>
      <c r="Y2096" s="35">
        <v>127.0</v>
      </c>
      <c r="Z2096" s="32" t="s">
        <v>63</v>
      </c>
      <c r="AA2096" s="38"/>
      <c r="AB2096" s="38"/>
      <c r="AC2096" s="38"/>
      <c r="AD2096" s="38"/>
      <c r="AE2096" s="38"/>
      <c r="AF2096" s="38"/>
      <c r="AG2096" s="38"/>
      <c r="AH2096" s="38"/>
      <c r="AI2096" s="38"/>
      <c r="AJ2096" s="38"/>
      <c r="AK2096" s="38"/>
    </row>
    <row r="2097">
      <c r="A2097" s="99">
        <v>2096.0</v>
      </c>
      <c r="B2097" s="15"/>
      <c r="C2097" s="15"/>
      <c r="D2097" s="105">
        <v>1.0</v>
      </c>
      <c r="E2097" s="102">
        <v>39.0</v>
      </c>
      <c r="F2097" s="107">
        <v>31.0</v>
      </c>
      <c r="G2097" s="15" t="str">
        <f t="shared" si="1"/>
        <v>39031</v>
      </c>
      <c r="H2097" s="23" t="s">
        <v>1678</v>
      </c>
      <c r="I2097" s="23" t="s">
        <v>100</v>
      </c>
      <c r="J2097" s="23" t="s">
        <v>339</v>
      </c>
      <c r="K2097" s="23" t="str">
        <f t="shared" si="36"/>
        <v>Coshocton, OH</v>
      </c>
      <c r="L2097" s="23">
        <v>44.0</v>
      </c>
      <c r="M2097" s="23" t="s">
        <v>63</v>
      </c>
      <c r="N2097" s="23">
        <v>31.0</v>
      </c>
      <c r="O2097" s="23" t="s">
        <v>63</v>
      </c>
      <c r="P2097" s="23" t="s">
        <v>63</v>
      </c>
      <c r="Q2097" s="23" t="s">
        <v>63</v>
      </c>
      <c r="R2097" s="23" t="s">
        <v>63</v>
      </c>
      <c r="S2097" s="23" t="s">
        <v>63</v>
      </c>
      <c r="T2097" s="32">
        <v>0.3333333333333333</v>
      </c>
      <c r="U2097" s="23" t="s">
        <v>63</v>
      </c>
      <c r="V2097" s="23" t="s">
        <v>63</v>
      </c>
      <c r="W2097" s="23" t="s">
        <v>63</v>
      </c>
      <c r="X2097" s="23" t="s">
        <v>63</v>
      </c>
      <c r="Y2097" s="35">
        <v>52.0</v>
      </c>
      <c r="Z2097" s="32" t="s">
        <v>63</v>
      </c>
      <c r="AA2097" s="38"/>
      <c r="AB2097" s="38"/>
      <c r="AC2097" s="38"/>
      <c r="AD2097" s="38"/>
      <c r="AE2097" s="38"/>
      <c r="AF2097" s="38"/>
      <c r="AG2097" s="38"/>
      <c r="AH2097" s="38"/>
      <c r="AI2097" s="38"/>
      <c r="AJ2097" s="38"/>
      <c r="AK2097" s="38"/>
    </row>
    <row r="2098">
      <c r="A2098" s="99">
        <v>2097.0</v>
      </c>
      <c r="B2098" s="15"/>
      <c r="C2098" s="15"/>
      <c r="D2098" s="105">
        <v>1.0</v>
      </c>
      <c r="E2098" s="102">
        <v>39.0</v>
      </c>
      <c r="F2098" s="107">
        <v>33.0</v>
      </c>
      <c r="G2098" s="15" t="str">
        <f t="shared" si="1"/>
        <v>39033</v>
      </c>
      <c r="H2098" s="23" t="s">
        <v>263</v>
      </c>
      <c r="I2098" s="23" t="s">
        <v>100</v>
      </c>
      <c r="J2098" s="23" t="s">
        <v>339</v>
      </c>
      <c r="K2098" s="23" t="str">
        <f t="shared" si="36"/>
        <v>Crawford, OH</v>
      </c>
      <c r="L2098" s="23">
        <v>46.0</v>
      </c>
      <c r="M2098" s="23" t="s">
        <v>63</v>
      </c>
      <c r="N2098" s="23">
        <v>34.0</v>
      </c>
      <c r="O2098" s="23" t="s">
        <v>63</v>
      </c>
      <c r="P2098" s="23" t="s">
        <v>63</v>
      </c>
      <c r="Q2098" s="23" t="s">
        <v>63</v>
      </c>
      <c r="R2098" s="23">
        <v>18.0</v>
      </c>
      <c r="S2098" s="23" t="s">
        <v>63</v>
      </c>
      <c r="T2098" s="32">
        <v>0.3125</v>
      </c>
      <c r="U2098" s="23" t="s">
        <v>63</v>
      </c>
      <c r="V2098" s="23" t="s">
        <v>63</v>
      </c>
      <c r="W2098" s="23" t="s">
        <v>63</v>
      </c>
      <c r="X2098" s="23" t="s">
        <v>63</v>
      </c>
      <c r="Y2098" s="35">
        <v>70.0</v>
      </c>
      <c r="Z2098" s="32" t="s">
        <v>63</v>
      </c>
      <c r="AA2098" s="38"/>
      <c r="AB2098" s="38"/>
      <c r="AC2098" s="38"/>
      <c r="AD2098" s="38"/>
      <c r="AE2098" s="38"/>
      <c r="AF2098" s="38"/>
      <c r="AG2098" s="38"/>
      <c r="AH2098" s="38"/>
      <c r="AI2098" s="38"/>
      <c r="AJ2098" s="38"/>
      <c r="AK2098" s="38"/>
    </row>
    <row r="2099">
      <c r="A2099" s="99">
        <v>2098.0</v>
      </c>
      <c r="B2099" s="15"/>
      <c r="C2099" s="15"/>
      <c r="D2099" s="105">
        <v>1.0</v>
      </c>
      <c r="E2099" s="102">
        <v>39.0</v>
      </c>
      <c r="F2099" s="107">
        <v>35.0</v>
      </c>
      <c r="G2099" s="15" t="str">
        <f t="shared" si="1"/>
        <v>39035</v>
      </c>
      <c r="H2099" s="23" t="s">
        <v>359</v>
      </c>
      <c r="I2099" s="23" t="s">
        <v>100</v>
      </c>
      <c r="J2099" s="23" t="s">
        <v>339</v>
      </c>
      <c r="K2099" s="23" t="str">
        <f t="shared" si="36"/>
        <v>Cuyahoga, OH</v>
      </c>
      <c r="L2099" s="23">
        <v>2174.0</v>
      </c>
      <c r="M2099" s="23" t="s">
        <v>63</v>
      </c>
      <c r="N2099" s="23">
        <v>1135.0</v>
      </c>
      <c r="O2099" s="23">
        <v>649.0</v>
      </c>
      <c r="P2099" s="23" t="s">
        <v>63</v>
      </c>
      <c r="Q2099" s="23" t="s">
        <v>63</v>
      </c>
      <c r="R2099" s="23">
        <v>798.0</v>
      </c>
      <c r="S2099" s="23" t="s">
        <v>63</v>
      </c>
      <c r="T2099" s="32">
        <v>0.3861003861003861</v>
      </c>
      <c r="U2099" s="23" t="s">
        <v>63</v>
      </c>
      <c r="V2099" s="23" t="s">
        <v>63</v>
      </c>
      <c r="W2099" s="23" t="s">
        <v>63</v>
      </c>
      <c r="X2099" s="23" t="s">
        <v>63</v>
      </c>
      <c r="Y2099" s="35">
        <v>805.0</v>
      </c>
      <c r="Z2099" s="32" t="s">
        <v>63</v>
      </c>
      <c r="AA2099" s="38"/>
      <c r="AB2099" s="38"/>
      <c r="AC2099" s="38"/>
      <c r="AD2099" s="38"/>
      <c r="AE2099" s="38"/>
      <c r="AF2099" s="38"/>
      <c r="AG2099" s="38"/>
      <c r="AH2099" s="38"/>
      <c r="AI2099" s="38"/>
      <c r="AJ2099" s="38"/>
      <c r="AK2099" s="38"/>
    </row>
    <row r="2100">
      <c r="A2100" s="99">
        <v>2099.0</v>
      </c>
      <c r="B2100" s="15"/>
      <c r="C2100" s="15"/>
      <c r="D2100" s="105">
        <v>1.0</v>
      </c>
      <c r="E2100" s="102">
        <v>39.0</v>
      </c>
      <c r="F2100" s="107">
        <v>37.0</v>
      </c>
      <c r="G2100" s="15" t="str">
        <f t="shared" si="1"/>
        <v>39037</v>
      </c>
      <c r="H2100" s="23" t="s">
        <v>1679</v>
      </c>
      <c r="I2100" s="23" t="s">
        <v>100</v>
      </c>
      <c r="J2100" s="23" t="s">
        <v>339</v>
      </c>
      <c r="K2100" s="23" t="str">
        <f t="shared" si="36"/>
        <v>Darke, OH</v>
      </c>
      <c r="L2100" s="23">
        <v>13.0</v>
      </c>
      <c r="M2100" s="23" t="s">
        <v>63</v>
      </c>
      <c r="N2100" s="23" t="s">
        <v>63</v>
      </c>
      <c r="O2100" s="23" t="s">
        <v>63</v>
      </c>
      <c r="P2100" s="23" t="s">
        <v>63</v>
      </c>
      <c r="Q2100" s="23" t="s">
        <v>63</v>
      </c>
      <c r="R2100" s="23" t="s">
        <v>63</v>
      </c>
      <c r="S2100" s="23" t="s">
        <v>63</v>
      </c>
      <c r="T2100" s="32">
        <v>0.36363636363636365</v>
      </c>
      <c r="U2100" s="23" t="s">
        <v>63</v>
      </c>
      <c r="V2100" s="23" t="s">
        <v>63</v>
      </c>
      <c r="W2100" s="23" t="s">
        <v>63</v>
      </c>
      <c r="X2100" s="23" t="s">
        <v>63</v>
      </c>
      <c r="Y2100" s="35">
        <v>71.0</v>
      </c>
      <c r="Z2100" s="32" t="s">
        <v>63</v>
      </c>
      <c r="AA2100" s="38"/>
      <c r="AB2100" s="38"/>
      <c r="AC2100" s="38"/>
      <c r="AD2100" s="38"/>
      <c r="AE2100" s="38"/>
      <c r="AF2100" s="38"/>
      <c r="AG2100" s="38"/>
      <c r="AH2100" s="38"/>
      <c r="AI2100" s="38"/>
      <c r="AJ2100" s="38"/>
      <c r="AK2100" s="38"/>
    </row>
    <row r="2101">
      <c r="A2101" s="99">
        <v>2100.0</v>
      </c>
      <c r="B2101" s="15"/>
      <c r="C2101" s="15"/>
      <c r="D2101" s="105">
        <v>1.0</v>
      </c>
      <c r="E2101" s="102">
        <v>39.0</v>
      </c>
      <c r="F2101" s="107">
        <v>39.0</v>
      </c>
      <c r="G2101" s="15" t="str">
        <f t="shared" si="1"/>
        <v>39039</v>
      </c>
      <c r="H2101" s="23" t="s">
        <v>1680</v>
      </c>
      <c r="I2101" s="23" t="s">
        <v>100</v>
      </c>
      <c r="J2101" s="23" t="s">
        <v>339</v>
      </c>
      <c r="K2101" s="23" t="str">
        <f t="shared" si="36"/>
        <v>Defiance, OH</v>
      </c>
      <c r="L2101" s="23">
        <v>20.0</v>
      </c>
      <c r="M2101" s="23" t="s">
        <v>63</v>
      </c>
      <c r="N2101" s="23">
        <v>15.0</v>
      </c>
      <c r="O2101" s="23" t="s">
        <v>63</v>
      </c>
      <c r="P2101" s="23" t="s">
        <v>63</v>
      </c>
      <c r="Q2101" s="23" t="s">
        <v>63</v>
      </c>
      <c r="R2101" s="23" t="s">
        <v>63</v>
      </c>
      <c r="S2101" s="23" t="s">
        <v>63</v>
      </c>
      <c r="T2101" s="32" t="s">
        <v>63</v>
      </c>
      <c r="U2101" s="23" t="s">
        <v>63</v>
      </c>
      <c r="V2101" s="23" t="s">
        <v>63</v>
      </c>
      <c r="W2101" s="23" t="s">
        <v>63</v>
      </c>
      <c r="X2101" s="23" t="s">
        <v>63</v>
      </c>
      <c r="Y2101" s="35">
        <v>54.0</v>
      </c>
      <c r="Z2101" s="32" t="s">
        <v>63</v>
      </c>
      <c r="AA2101" s="38"/>
      <c r="AB2101" s="38"/>
      <c r="AC2101" s="38"/>
      <c r="AD2101" s="38"/>
      <c r="AE2101" s="38"/>
      <c r="AF2101" s="38"/>
      <c r="AG2101" s="38"/>
      <c r="AH2101" s="38"/>
      <c r="AI2101" s="38"/>
      <c r="AJ2101" s="38"/>
      <c r="AK2101" s="38"/>
    </row>
    <row r="2102">
      <c r="A2102" s="99">
        <v>2101.0</v>
      </c>
      <c r="B2102" s="15"/>
      <c r="C2102" s="15"/>
      <c r="D2102" s="105">
        <v>1.0</v>
      </c>
      <c r="E2102" s="102">
        <v>39.0</v>
      </c>
      <c r="F2102" s="107">
        <v>41.0</v>
      </c>
      <c r="G2102" s="15" t="str">
        <f t="shared" si="1"/>
        <v>39041</v>
      </c>
      <c r="H2102" s="23" t="s">
        <v>40</v>
      </c>
      <c r="I2102" s="23" t="s">
        <v>100</v>
      </c>
      <c r="J2102" s="23" t="s">
        <v>339</v>
      </c>
      <c r="K2102" s="23" t="str">
        <f t="shared" si="36"/>
        <v>Delaware, OH</v>
      </c>
      <c r="L2102" s="23">
        <v>27.0</v>
      </c>
      <c r="M2102" s="23" t="s">
        <v>63</v>
      </c>
      <c r="N2102" s="23">
        <v>22.0</v>
      </c>
      <c r="O2102" s="23" t="s">
        <v>63</v>
      </c>
      <c r="P2102" s="23" t="s">
        <v>63</v>
      </c>
      <c r="Q2102" s="23" t="s">
        <v>63</v>
      </c>
      <c r="R2102" s="23" t="s">
        <v>63</v>
      </c>
      <c r="S2102" s="23" t="s">
        <v>63</v>
      </c>
      <c r="T2102" s="32">
        <v>0.25</v>
      </c>
      <c r="U2102" s="23" t="s">
        <v>63</v>
      </c>
      <c r="V2102" s="23" t="s">
        <v>63</v>
      </c>
      <c r="W2102" s="23" t="s">
        <v>63</v>
      </c>
      <c r="X2102" s="23" t="s">
        <v>63</v>
      </c>
      <c r="Y2102" s="35">
        <v>96.0</v>
      </c>
      <c r="Z2102" s="32" t="s">
        <v>63</v>
      </c>
      <c r="AA2102" s="38"/>
      <c r="AB2102" s="38"/>
      <c r="AC2102" s="38"/>
      <c r="AD2102" s="38"/>
      <c r="AE2102" s="38"/>
      <c r="AF2102" s="38"/>
      <c r="AG2102" s="38"/>
      <c r="AH2102" s="38"/>
      <c r="AI2102" s="38"/>
      <c r="AJ2102" s="38"/>
      <c r="AK2102" s="38"/>
    </row>
    <row r="2103">
      <c r="A2103" s="99">
        <v>2102.0</v>
      </c>
      <c r="B2103" s="15"/>
      <c r="C2103" s="15"/>
      <c r="D2103" s="105">
        <v>1.0</v>
      </c>
      <c r="E2103" s="102">
        <v>39.0</v>
      </c>
      <c r="F2103" s="107">
        <v>43.0</v>
      </c>
      <c r="G2103" s="15" t="str">
        <f t="shared" si="1"/>
        <v>39043</v>
      </c>
      <c r="H2103" s="23" t="s">
        <v>464</v>
      </c>
      <c r="I2103" s="23" t="s">
        <v>100</v>
      </c>
      <c r="J2103" s="23" t="s">
        <v>339</v>
      </c>
      <c r="K2103" s="23" t="str">
        <f t="shared" si="36"/>
        <v>Erie, OH</v>
      </c>
      <c r="L2103" s="23">
        <v>58.0</v>
      </c>
      <c r="M2103" s="23" t="s">
        <v>63</v>
      </c>
      <c r="N2103" s="23">
        <v>41.0</v>
      </c>
      <c r="O2103" s="23" t="s">
        <v>63</v>
      </c>
      <c r="P2103" s="23" t="s">
        <v>63</v>
      </c>
      <c r="Q2103" s="23" t="s">
        <v>63</v>
      </c>
      <c r="R2103" s="23">
        <v>11.0</v>
      </c>
      <c r="S2103" s="23" t="s">
        <v>63</v>
      </c>
      <c r="T2103" s="32">
        <v>0.6122448979591837</v>
      </c>
      <c r="U2103" s="23" t="s">
        <v>63</v>
      </c>
      <c r="V2103" s="23" t="s">
        <v>63</v>
      </c>
      <c r="W2103" s="23" t="s">
        <v>63</v>
      </c>
      <c r="X2103" s="23" t="s">
        <v>63</v>
      </c>
      <c r="Y2103" s="35">
        <v>70.0</v>
      </c>
      <c r="Z2103" s="32" t="s">
        <v>63</v>
      </c>
      <c r="AA2103" s="38"/>
      <c r="AB2103" s="38"/>
      <c r="AC2103" s="38"/>
      <c r="AD2103" s="38"/>
      <c r="AE2103" s="38"/>
      <c r="AF2103" s="38"/>
      <c r="AG2103" s="38"/>
      <c r="AH2103" s="38"/>
      <c r="AI2103" s="38"/>
      <c r="AJ2103" s="38"/>
      <c r="AK2103" s="38"/>
    </row>
    <row r="2104">
      <c r="A2104" s="99">
        <v>2103.0</v>
      </c>
      <c r="B2104" s="15"/>
      <c r="C2104" s="15"/>
      <c r="D2104" s="105">
        <v>1.0</v>
      </c>
      <c r="E2104" s="102">
        <v>39.0</v>
      </c>
      <c r="F2104" s="107">
        <v>45.0</v>
      </c>
      <c r="G2104" s="15" t="str">
        <f t="shared" si="1"/>
        <v>39045</v>
      </c>
      <c r="H2104" s="23" t="s">
        <v>442</v>
      </c>
      <c r="I2104" s="23" t="s">
        <v>100</v>
      </c>
      <c r="J2104" s="23" t="s">
        <v>339</v>
      </c>
      <c r="K2104" s="23" t="str">
        <f t="shared" si="36"/>
        <v>Fairfield, OH</v>
      </c>
      <c r="L2104" s="23">
        <v>187.0</v>
      </c>
      <c r="M2104" s="23" t="s">
        <v>63</v>
      </c>
      <c r="N2104" s="23">
        <v>58.0</v>
      </c>
      <c r="O2104" s="23">
        <v>66.0</v>
      </c>
      <c r="P2104" s="23" t="s">
        <v>63</v>
      </c>
      <c r="Q2104" s="23" t="s">
        <v>63</v>
      </c>
      <c r="R2104" s="23">
        <v>34.0</v>
      </c>
      <c r="S2104" s="23" t="s">
        <v>63</v>
      </c>
      <c r="T2104" s="32">
        <v>0.6068376068376068</v>
      </c>
      <c r="U2104" s="23" t="s">
        <v>63</v>
      </c>
      <c r="V2104" s="23" t="s">
        <v>63</v>
      </c>
      <c r="W2104" s="23" t="s">
        <v>63</v>
      </c>
      <c r="X2104" s="23" t="s">
        <v>63</v>
      </c>
      <c r="Y2104" s="35">
        <v>111.0</v>
      </c>
      <c r="Z2104" s="32" t="s">
        <v>63</v>
      </c>
      <c r="AA2104" s="38"/>
      <c r="AB2104" s="38"/>
      <c r="AC2104" s="38"/>
      <c r="AD2104" s="38"/>
      <c r="AE2104" s="38"/>
      <c r="AF2104" s="38"/>
      <c r="AG2104" s="38"/>
      <c r="AH2104" s="38"/>
      <c r="AI2104" s="38"/>
      <c r="AJ2104" s="38"/>
      <c r="AK2104" s="38"/>
    </row>
    <row r="2105">
      <c r="A2105" s="99">
        <v>2104.0</v>
      </c>
      <c r="B2105" s="15"/>
      <c r="C2105" s="15"/>
      <c r="D2105" s="105">
        <v>1.0</v>
      </c>
      <c r="E2105" s="102">
        <v>39.0</v>
      </c>
      <c r="F2105" s="107">
        <v>47.0</v>
      </c>
      <c r="G2105" s="15" t="str">
        <f t="shared" si="1"/>
        <v>39047</v>
      </c>
      <c r="H2105" s="23" t="s">
        <v>135</v>
      </c>
      <c r="I2105" s="23" t="s">
        <v>100</v>
      </c>
      <c r="J2105" s="23" t="s">
        <v>339</v>
      </c>
      <c r="K2105" s="23" t="str">
        <f t="shared" si="36"/>
        <v>Fayette, OH</v>
      </c>
      <c r="L2105" s="23">
        <v>44.0</v>
      </c>
      <c r="M2105" s="23" t="s">
        <v>63</v>
      </c>
      <c r="N2105" s="23">
        <v>30.0</v>
      </c>
      <c r="O2105" s="23" t="s">
        <v>63</v>
      </c>
      <c r="P2105" s="23" t="s">
        <v>63</v>
      </c>
      <c r="Q2105" s="23" t="s">
        <v>63</v>
      </c>
      <c r="R2105" s="23">
        <v>14.0</v>
      </c>
      <c r="S2105" s="23" t="s">
        <v>63</v>
      </c>
      <c r="T2105" s="32">
        <v>0.19444444444444445</v>
      </c>
      <c r="U2105" s="23" t="s">
        <v>63</v>
      </c>
      <c r="V2105" s="23" t="s">
        <v>63</v>
      </c>
      <c r="W2105" s="23" t="s">
        <v>63</v>
      </c>
      <c r="X2105" s="23" t="s">
        <v>63</v>
      </c>
      <c r="Y2105" s="35">
        <v>30.0</v>
      </c>
      <c r="Z2105" s="32" t="s">
        <v>63</v>
      </c>
      <c r="AA2105" s="38"/>
      <c r="AB2105" s="38"/>
      <c r="AC2105" s="38"/>
      <c r="AD2105" s="38"/>
      <c r="AE2105" s="38"/>
      <c r="AF2105" s="38"/>
      <c r="AG2105" s="38"/>
      <c r="AH2105" s="38"/>
      <c r="AI2105" s="38"/>
      <c r="AJ2105" s="38"/>
      <c r="AK2105" s="38"/>
    </row>
    <row r="2106">
      <c r="A2106" s="99">
        <v>2105.0</v>
      </c>
      <c r="B2106" s="15"/>
      <c r="C2106" s="15"/>
      <c r="D2106" s="105">
        <v>1.0</v>
      </c>
      <c r="E2106" s="102">
        <v>39.0</v>
      </c>
      <c r="F2106" s="107">
        <v>49.0</v>
      </c>
      <c r="G2106" s="15" t="str">
        <f t="shared" si="1"/>
        <v>39049</v>
      </c>
      <c r="H2106" s="23" t="s">
        <v>136</v>
      </c>
      <c r="I2106" s="23" t="s">
        <v>100</v>
      </c>
      <c r="J2106" s="23" t="s">
        <v>339</v>
      </c>
      <c r="K2106" s="23" t="str">
        <f t="shared" si="36"/>
        <v>Franklin, OH</v>
      </c>
      <c r="L2106" s="23">
        <v>1624.0</v>
      </c>
      <c r="M2106" s="23" t="s">
        <v>63</v>
      </c>
      <c r="N2106" s="23">
        <v>819.0</v>
      </c>
      <c r="O2106" s="23">
        <v>453.0</v>
      </c>
      <c r="P2106" s="23" t="s">
        <v>63</v>
      </c>
      <c r="Q2106" s="23" t="s">
        <v>63</v>
      </c>
      <c r="R2106" s="23">
        <v>218.0</v>
      </c>
      <c r="S2106" s="23" t="s">
        <v>63</v>
      </c>
      <c r="T2106" s="32">
        <v>0.46849757673667203</v>
      </c>
      <c r="U2106" s="23" t="s">
        <v>63</v>
      </c>
      <c r="V2106" s="23" t="s">
        <v>63</v>
      </c>
      <c r="W2106" s="23" t="s">
        <v>63</v>
      </c>
      <c r="X2106" s="23" t="s">
        <v>63</v>
      </c>
      <c r="Y2106" s="35">
        <v>685.0</v>
      </c>
      <c r="Z2106" s="32" t="s">
        <v>63</v>
      </c>
      <c r="AA2106" s="38"/>
      <c r="AB2106" s="38"/>
      <c r="AC2106" s="38"/>
      <c r="AD2106" s="38"/>
      <c r="AE2106" s="38"/>
      <c r="AF2106" s="38"/>
      <c r="AG2106" s="38"/>
      <c r="AH2106" s="38"/>
      <c r="AI2106" s="38"/>
      <c r="AJ2106" s="38"/>
      <c r="AK2106" s="38"/>
    </row>
    <row r="2107">
      <c r="A2107" s="99">
        <v>2106.0</v>
      </c>
      <c r="B2107" s="15"/>
      <c r="C2107" s="15"/>
      <c r="D2107" s="105">
        <v>1.0</v>
      </c>
      <c r="E2107" s="102">
        <v>39.0</v>
      </c>
      <c r="F2107" s="107">
        <v>51.0</v>
      </c>
      <c r="G2107" s="15" t="str">
        <f t="shared" si="1"/>
        <v>39051</v>
      </c>
      <c r="H2107" s="23" t="s">
        <v>275</v>
      </c>
      <c r="I2107" s="23" t="s">
        <v>100</v>
      </c>
      <c r="J2107" s="23" t="s">
        <v>339</v>
      </c>
      <c r="K2107" s="23" t="str">
        <f t="shared" si="36"/>
        <v>Fulton, OH</v>
      </c>
      <c r="L2107" s="23" t="s">
        <v>63</v>
      </c>
      <c r="M2107" s="23" t="s">
        <v>63</v>
      </c>
      <c r="N2107" s="23" t="s">
        <v>63</v>
      </c>
      <c r="O2107" s="23" t="s">
        <v>63</v>
      </c>
      <c r="P2107" s="23" t="s">
        <v>63</v>
      </c>
      <c r="Q2107" s="23" t="s">
        <v>63</v>
      </c>
      <c r="R2107" s="23" t="s">
        <v>63</v>
      </c>
      <c r="S2107" s="23" t="s">
        <v>63</v>
      </c>
      <c r="T2107" s="32" t="s">
        <v>63</v>
      </c>
      <c r="U2107" s="23" t="s">
        <v>63</v>
      </c>
      <c r="V2107" s="23" t="s">
        <v>63</v>
      </c>
      <c r="W2107" s="23" t="s">
        <v>63</v>
      </c>
      <c r="X2107" s="23" t="s">
        <v>63</v>
      </c>
      <c r="Y2107" s="35">
        <v>55.0</v>
      </c>
      <c r="Z2107" s="32" t="s">
        <v>63</v>
      </c>
      <c r="AA2107" s="38"/>
      <c r="AB2107" s="38"/>
      <c r="AC2107" s="38"/>
      <c r="AD2107" s="38"/>
      <c r="AE2107" s="38"/>
      <c r="AF2107" s="38"/>
      <c r="AG2107" s="38"/>
      <c r="AH2107" s="38"/>
      <c r="AI2107" s="38"/>
      <c r="AJ2107" s="38"/>
      <c r="AK2107" s="38"/>
    </row>
    <row r="2108">
      <c r="A2108" s="99">
        <v>2107.0</v>
      </c>
      <c r="B2108" s="15"/>
      <c r="C2108" s="15"/>
      <c r="D2108" s="105">
        <v>1.0</v>
      </c>
      <c r="E2108" s="102">
        <v>39.0</v>
      </c>
      <c r="F2108" s="107">
        <v>53.0</v>
      </c>
      <c r="G2108" s="15" t="str">
        <f t="shared" si="1"/>
        <v>39053</v>
      </c>
      <c r="H2108" s="23" t="s">
        <v>1681</v>
      </c>
      <c r="I2108" s="23" t="s">
        <v>100</v>
      </c>
      <c r="J2108" s="23" t="s">
        <v>339</v>
      </c>
      <c r="K2108" s="23" t="str">
        <f t="shared" si="36"/>
        <v>Gallia, OH</v>
      </c>
      <c r="L2108" s="23">
        <v>41.0</v>
      </c>
      <c r="M2108" s="23" t="s">
        <v>63</v>
      </c>
      <c r="N2108" s="23">
        <v>19.0</v>
      </c>
      <c r="O2108" s="23">
        <v>20.0</v>
      </c>
      <c r="P2108" s="23" t="s">
        <v>63</v>
      </c>
      <c r="Q2108" s="23" t="s">
        <v>63</v>
      </c>
      <c r="R2108" s="23" t="s">
        <v>63</v>
      </c>
      <c r="S2108" s="23" t="s">
        <v>63</v>
      </c>
      <c r="T2108" s="32">
        <v>0.6458333333333334</v>
      </c>
      <c r="U2108" s="23" t="s">
        <v>63</v>
      </c>
      <c r="V2108" s="23" t="s">
        <v>63</v>
      </c>
      <c r="W2108" s="23" t="s">
        <v>63</v>
      </c>
      <c r="X2108" s="23" t="s">
        <v>63</v>
      </c>
      <c r="Y2108" s="35">
        <v>45.0</v>
      </c>
      <c r="Z2108" s="32" t="s">
        <v>63</v>
      </c>
      <c r="AA2108" s="38"/>
      <c r="AB2108" s="38"/>
      <c r="AC2108" s="38"/>
      <c r="AD2108" s="38"/>
      <c r="AE2108" s="38"/>
      <c r="AF2108" s="38"/>
      <c r="AG2108" s="38"/>
      <c r="AH2108" s="38"/>
      <c r="AI2108" s="38"/>
      <c r="AJ2108" s="38"/>
      <c r="AK2108" s="38"/>
    </row>
    <row r="2109">
      <c r="A2109" s="99">
        <v>2108.0</v>
      </c>
      <c r="B2109" s="15"/>
      <c r="C2109" s="15"/>
      <c r="D2109" s="105">
        <v>1.0</v>
      </c>
      <c r="E2109" s="102">
        <v>39.0</v>
      </c>
      <c r="F2109" s="107">
        <v>55.0</v>
      </c>
      <c r="G2109" s="15" t="str">
        <f t="shared" si="1"/>
        <v>39055</v>
      </c>
      <c r="H2109" s="23" t="s">
        <v>1682</v>
      </c>
      <c r="I2109" s="23" t="s">
        <v>100</v>
      </c>
      <c r="J2109" s="23" t="s">
        <v>339</v>
      </c>
      <c r="K2109" s="23" t="str">
        <f t="shared" si="36"/>
        <v>Geauga, OH</v>
      </c>
      <c r="L2109" s="23">
        <v>21.0</v>
      </c>
      <c r="M2109" s="23" t="s">
        <v>63</v>
      </c>
      <c r="N2109" s="23">
        <v>10.0</v>
      </c>
      <c r="O2109" s="23" t="s">
        <v>63</v>
      </c>
      <c r="P2109" s="23" t="s">
        <v>63</v>
      </c>
      <c r="Q2109" s="23" t="s">
        <v>63</v>
      </c>
      <c r="R2109" s="23" t="s">
        <v>63</v>
      </c>
      <c r="S2109" s="23" t="s">
        <v>63</v>
      </c>
      <c r="T2109" s="32">
        <v>0.1875</v>
      </c>
      <c r="U2109" s="23" t="s">
        <v>63</v>
      </c>
      <c r="V2109" s="23" t="s">
        <v>63</v>
      </c>
      <c r="W2109" s="23" t="s">
        <v>63</v>
      </c>
      <c r="X2109" s="23" t="s">
        <v>63</v>
      </c>
      <c r="Y2109" s="35">
        <v>68.0</v>
      </c>
      <c r="Z2109" s="32" t="s">
        <v>63</v>
      </c>
      <c r="AA2109" s="38"/>
      <c r="AB2109" s="38"/>
      <c r="AC2109" s="38"/>
      <c r="AD2109" s="38"/>
      <c r="AE2109" s="38"/>
      <c r="AF2109" s="38"/>
      <c r="AG2109" s="38"/>
      <c r="AH2109" s="38"/>
      <c r="AI2109" s="38"/>
      <c r="AJ2109" s="38"/>
      <c r="AK2109" s="38"/>
    </row>
    <row r="2110">
      <c r="A2110" s="99">
        <v>2109.0</v>
      </c>
      <c r="B2110" s="15"/>
      <c r="C2110" s="15"/>
      <c r="D2110" s="105">
        <v>1.0</v>
      </c>
      <c r="E2110" s="102">
        <v>39.0</v>
      </c>
      <c r="F2110" s="107">
        <v>57.0</v>
      </c>
      <c r="G2110" s="15" t="str">
        <f t="shared" si="1"/>
        <v>39057</v>
      </c>
      <c r="H2110" s="23" t="s">
        <v>138</v>
      </c>
      <c r="I2110" s="23" t="s">
        <v>100</v>
      </c>
      <c r="J2110" s="23" t="s">
        <v>339</v>
      </c>
      <c r="K2110" s="23" t="str">
        <f t="shared" si="36"/>
        <v>Greene, OH</v>
      </c>
      <c r="L2110" s="23">
        <v>65.0</v>
      </c>
      <c r="M2110" s="23" t="s">
        <v>63</v>
      </c>
      <c r="N2110" s="23">
        <v>26.0</v>
      </c>
      <c r="O2110" s="23" t="s">
        <v>63</v>
      </c>
      <c r="P2110" s="23" t="s">
        <v>63</v>
      </c>
      <c r="Q2110" s="23" t="s">
        <v>63</v>
      </c>
      <c r="R2110" s="23">
        <v>22.0</v>
      </c>
      <c r="S2110" s="23" t="s">
        <v>63</v>
      </c>
      <c r="T2110" s="32">
        <v>0.46</v>
      </c>
      <c r="U2110" s="23" t="s">
        <v>63</v>
      </c>
      <c r="V2110" s="23" t="s">
        <v>63</v>
      </c>
      <c r="W2110" s="23" t="s">
        <v>63</v>
      </c>
      <c r="X2110" s="23" t="s">
        <v>63</v>
      </c>
      <c r="Y2110" s="35">
        <v>153.0</v>
      </c>
      <c r="Z2110" s="32" t="s">
        <v>63</v>
      </c>
      <c r="AA2110" s="38"/>
      <c r="AB2110" s="38"/>
      <c r="AC2110" s="38"/>
      <c r="AD2110" s="38"/>
      <c r="AE2110" s="38"/>
      <c r="AF2110" s="38"/>
      <c r="AG2110" s="38"/>
      <c r="AH2110" s="38"/>
      <c r="AI2110" s="38"/>
      <c r="AJ2110" s="38"/>
      <c r="AK2110" s="38"/>
    </row>
    <row r="2111">
      <c r="A2111" s="99">
        <v>2110.0</v>
      </c>
      <c r="B2111" s="15"/>
      <c r="C2111" s="15"/>
      <c r="D2111" s="105">
        <v>1.0</v>
      </c>
      <c r="E2111" s="102">
        <v>39.0</v>
      </c>
      <c r="F2111" s="107">
        <v>59.0</v>
      </c>
      <c r="G2111" s="15" t="str">
        <f t="shared" si="1"/>
        <v>39059</v>
      </c>
      <c r="H2111" s="23" t="s">
        <v>1683</v>
      </c>
      <c r="I2111" s="23" t="s">
        <v>100</v>
      </c>
      <c r="J2111" s="23" t="s">
        <v>339</v>
      </c>
      <c r="K2111" s="23" t="str">
        <f t="shared" si="36"/>
        <v>Guernsey, OH</v>
      </c>
      <c r="L2111" s="23">
        <v>80.0</v>
      </c>
      <c r="M2111" s="23" t="s">
        <v>63</v>
      </c>
      <c r="N2111" s="23">
        <v>58.0</v>
      </c>
      <c r="O2111" s="23" t="s">
        <v>63</v>
      </c>
      <c r="P2111" s="23" t="s">
        <v>63</v>
      </c>
      <c r="Q2111" s="23" t="s">
        <v>63</v>
      </c>
      <c r="R2111" s="23">
        <v>34.0</v>
      </c>
      <c r="S2111" s="23" t="s">
        <v>63</v>
      </c>
      <c r="T2111" s="32">
        <v>0.625</v>
      </c>
      <c r="U2111" s="23" t="s">
        <v>63</v>
      </c>
      <c r="V2111" s="23" t="s">
        <v>63</v>
      </c>
      <c r="W2111" s="23" t="s">
        <v>63</v>
      </c>
      <c r="X2111" s="23" t="s">
        <v>63</v>
      </c>
      <c r="Y2111" s="35">
        <v>56.0</v>
      </c>
      <c r="Z2111" s="32" t="s">
        <v>63</v>
      </c>
      <c r="AA2111" s="38"/>
      <c r="AB2111" s="38"/>
      <c r="AC2111" s="38"/>
      <c r="AD2111" s="38"/>
      <c r="AE2111" s="38"/>
      <c r="AF2111" s="38"/>
      <c r="AG2111" s="38"/>
      <c r="AH2111" s="38"/>
      <c r="AI2111" s="38"/>
      <c r="AJ2111" s="38"/>
      <c r="AK2111" s="38"/>
    </row>
    <row r="2112">
      <c r="A2112" s="99">
        <v>2111.0</v>
      </c>
      <c r="B2112" s="15"/>
      <c r="C2112" s="15"/>
      <c r="D2112" s="105">
        <v>1.0</v>
      </c>
      <c r="E2112" s="102">
        <v>39.0</v>
      </c>
      <c r="F2112" s="107">
        <v>61.0</v>
      </c>
      <c r="G2112" s="15" t="str">
        <f t="shared" si="1"/>
        <v>39061</v>
      </c>
      <c r="H2112" s="23" t="s">
        <v>497</v>
      </c>
      <c r="I2112" s="23" t="s">
        <v>100</v>
      </c>
      <c r="J2112" s="23" t="s">
        <v>339</v>
      </c>
      <c r="K2112" s="23" t="str">
        <f t="shared" si="36"/>
        <v>Hamilton, OH</v>
      </c>
      <c r="L2112" s="23">
        <v>1936.0</v>
      </c>
      <c r="M2112" s="23" t="s">
        <v>63</v>
      </c>
      <c r="N2112" s="23">
        <v>814.0</v>
      </c>
      <c r="O2112" s="23">
        <v>721.0</v>
      </c>
      <c r="P2112" s="23" t="s">
        <v>63</v>
      </c>
      <c r="Q2112" s="23" t="s">
        <v>63</v>
      </c>
      <c r="R2112" s="23">
        <v>357.0</v>
      </c>
      <c r="S2112" s="23" t="s">
        <v>63</v>
      </c>
      <c r="T2112" s="32">
        <v>0.49644549763033174</v>
      </c>
      <c r="U2112" s="23" t="s">
        <v>63</v>
      </c>
      <c r="V2112" s="23" t="s">
        <v>63</v>
      </c>
      <c r="W2112" s="23" t="s">
        <v>63</v>
      </c>
      <c r="X2112" s="23" t="s">
        <v>63</v>
      </c>
      <c r="Y2112" s="35">
        <v>660.0</v>
      </c>
      <c r="Z2112" s="32" t="s">
        <v>63</v>
      </c>
      <c r="AA2112" s="38"/>
      <c r="AB2112" s="38"/>
      <c r="AC2112" s="38"/>
      <c r="AD2112" s="38"/>
      <c r="AE2112" s="38"/>
      <c r="AF2112" s="38"/>
      <c r="AG2112" s="38"/>
      <c r="AH2112" s="38"/>
      <c r="AI2112" s="38"/>
      <c r="AJ2112" s="38"/>
      <c r="AK2112" s="38"/>
    </row>
    <row r="2113">
      <c r="A2113" s="99">
        <v>2112.0</v>
      </c>
      <c r="B2113" s="15"/>
      <c r="C2113" s="15"/>
      <c r="D2113" s="105">
        <v>1.0</v>
      </c>
      <c r="E2113" s="102">
        <v>39.0</v>
      </c>
      <c r="F2113" s="107">
        <v>63.0</v>
      </c>
      <c r="G2113" s="15" t="str">
        <f t="shared" si="1"/>
        <v>39063</v>
      </c>
      <c r="H2113" s="23" t="s">
        <v>587</v>
      </c>
      <c r="I2113" s="23" t="s">
        <v>100</v>
      </c>
      <c r="J2113" s="23" t="s">
        <v>339</v>
      </c>
      <c r="K2113" s="23" t="str">
        <f t="shared" si="36"/>
        <v>Hancock, OH</v>
      </c>
      <c r="L2113" s="23">
        <v>85.0</v>
      </c>
      <c r="M2113" s="23" t="s">
        <v>63</v>
      </c>
      <c r="N2113" s="23">
        <v>44.0</v>
      </c>
      <c r="O2113" s="23">
        <v>22.0</v>
      </c>
      <c r="P2113" s="23" t="s">
        <v>63</v>
      </c>
      <c r="Q2113" s="23" t="s">
        <v>63</v>
      </c>
      <c r="R2113" s="23">
        <v>19.0</v>
      </c>
      <c r="S2113" s="23" t="s">
        <v>63</v>
      </c>
      <c r="T2113" s="32">
        <v>0.23880597014925373</v>
      </c>
      <c r="U2113" s="23" t="s">
        <v>63</v>
      </c>
      <c r="V2113" s="23" t="s">
        <v>63</v>
      </c>
      <c r="W2113" s="23" t="s">
        <v>63</v>
      </c>
      <c r="X2113" s="23" t="s">
        <v>63</v>
      </c>
      <c r="Y2113" s="35">
        <v>77.0</v>
      </c>
      <c r="Z2113" s="32" t="s">
        <v>63</v>
      </c>
      <c r="AA2113" s="38"/>
      <c r="AB2113" s="38"/>
      <c r="AC2113" s="38"/>
      <c r="AD2113" s="38"/>
      <c r="AE2113" s="38"/>
      <c r="AF2113" s="38"/>
      <c r="AG2113" s="38"/>
      <c r="AH2113" s="38"/>
      <c r="AI2113" s="38"/>
      <c r="AJ2113" s="38"/>
      <c r="AK2113" s="38"/>
    </row>
    <row r="2114">
      <c r="A2114" s="99">
        <v>2113.0</v>
      </c>
      <c r="B2114" s="15"/>
      <c r="C2114" s="15"/>
      <c r="D2114" s="105">
        <v>1.0</v>
      </c>
      <c r="E2114" s="102">
        <v>39.0</v>
      </c>
      <c r="F2114" s="107">
        <v>65.0</v>
      </c>
      <c r="G2114" s="15" t="str">
        <f t="shared" si="1"/>
        <v>39065</v>
      </c>
      <c r="H2114" s="23" t="s">
        <v>721</v>
      </c>
      <c r="I2114" s="23" t="s">
        <v>100</v>
      </c>
      <c r="J2114" s="23" t="s">
        <v>339</v>
      </c>
      <c r="K2114" s="23" t="str">
        <f t="shared" si="36"/>
        <v>Hardin, OH</v>
      </c>
      <c r="L2114" s="23">
        <v>23.0</v>
      </c>
      <c r="M2114" s="23" t="s">
        <v>63</v>
      </c>
      <c r="N2114" s="23">
        <v>13.0</v>
      </c>
      <c r="O2114" s="23" t="s">
        <v>63</v>
      </c>
      <c r="P2114" s="23" t="s">
        <v>63</v>
      </c>
      <c r="Q2114" s="23" t="s">
        <v>63</v>
      </c>
      <c r="R2114" s="23" t="s">
        <v>63</v>
      </c>
      <c r="S2114" s="23" t="s">
        <v>63</v>
      </c>
      <c r="T2114" s="32" t="s">
        <v>63</v>
      </c>
      <c r="U2114" s="23" t="s">
        <v>63</v>
      </c>
      <c r="V2114" s="23" t="s">
        <v>63</v>
      </c>
      <c r="W2114" s="23" t="s">
        <v>63</v>
      </c>
      <c r="X2114" s="23" t="s">
        <v>63</v>
      </c>
      <c r="Y2114" s="35">
        <v>47.0</v>
      </c>
      <c r="Z2114" s="32" t="s">
        <v>63</v>
      </c>
      <c r="AA2114" s="38"/>
      <c r="AB2114" s="38"/>
      <c r="AC2114" s="38"/>
      <c r="AD2114" s="38"/>
      <c r="AE2114" s="38"/>
      <c r="AF2114" s="38"/>
      <c r="AG2114" s="38"/>
      <c r="AH2114" s="38"/>
      <c r="AI2114" s="38"/>
      <c r="AJ2114" s="38"/>
      <c r="AK2114" s="38"/>
    </row>
    <row r="2115">
      <c r="A2115" s="99">
        <v>2114.0</v>
      </c>
      <c r="B2115" s="15"/>
      <c r="C2115" s="15"/>
      <c r="D2115" s="105">
        <v>1.0</v>
      </c>
      <c r="E2115" s="102">
        <v>39.0</v>
      </c>
      <c r="F2115" s="107">
        <v>67.0</v>
      </c>
      <c r="G2115" s="15" t="str">
        <f t="shared" si="1"/>
        <v>39067</v>
      </c>
      <c r="H2115" s="23" t="s">
        <v>775</v>
      </c>
      <c r="I2115" s="23" t="s">
        <v>100</v>
      </c>
      <c r="J2115" s="23" t="s">
        <v>339</v>
      </c>
      <c r="K2115" s="23" t="str">
        <f t="shared" si="36"/>
        <v>Harrison, OH</v>
      </c>
      <c r="L2115" s="23">
        <v>25.0</v>
      </c>
      <c r="M2115" s="23" t="s">
        <v>63</v>
      </c>
      <c r="N2115" s="23" t="s">
        <v>63</v>
      </c>
      <c r="O2115" s="23">
        <v>14.0</v>
      </c>
      <c r="P2115" s="23" t="s">
        <v>63</v>
      </c>
      <c r="Q2115" s="23" t="s">
        <v>63</v>
      </c>
      <c r="R2115" s="23" t="s">
        <v>63</v>
      </c>
      <c r="S2115" s="23" t="s">
        <v>63</v>
      </c>
      <c r="T2115" s="32">
        <v>0.4782608695652174</v>
      </c>
      <c r="U2115" s="23" t="s">
        <v>63</v>
      </c>
      <c r="V2115" s="23" t="s">
        <v>63</v>
      </c>
      <c r="W2115" s="23" t="s">
        <v>63</v>
      </c>
      <c r="X2115" s="23" t="s">
        <v>63</v>
      </c>
      <c r="Y2115" s="35">
        <v>25.0</v>
      </c>
      <c r="Z2115" s="32" t="s">
        <v>63</v>
      </c>
      <c r="AA2115" s="38"/>
      <c r="AB2115" s="38"/>
      <c r="AC2115" s="38"/>
      <c r="AD2115" s="38"/>
      <c r="AE2115" s="38"/>
      <c r="AF2115" s="38"/>
      <c r="AG2115" s="38"/>
      <c r="AH2115" s="38"/>
      <c r="AI2115" s="38"/>
      <c r="AJ2115" s="38"/>
      <c r="AK2115" s="38"/>
    </row>
    <row r="2116">
      <c r="A2116" s="99">
        <v>2115.0</v>
      </c>
      <c r="B2116" s="15"/>
      <c r="C2116" s="15"/>
      <c r="D2116" s="105">
        <v>1.0</v>
      </c>
      <c r="E2116" s="102">
        <v>39.0</v>
      </c>
      <c r="F2116" s="107">
        <v>69.0</v>
      </c>
      <c r="G2116" s="15" t="str">
        <f t="shared" si="1"/>
        <v>39069</v>
      </c>
      <c r="H2116" s="23" t="s">
        <v>140</v>
      </c>
      <c r="I2116" s="23" t="s">
        <v>100</v>
      </c>
      <c r="J2116" s="23" t="s">
        <v>339</v>
      </c>
      <c r="K2116" s="23" t="str">
        <f t="shared" si="36"/>
        <v>Henry, OH</v>
      </c>
      <c r="L2116" s="23">
        <v>21.0</v>
      </c>
      <c r="M2116" s="23" t="s">
        <v>63</v>
      </c>
      <c r="N2116" s="23">
        <v>11.0</v>
      </c>
      <c r="O2116" s="23" t="s">
        <v>63</v>
      </c>
      <c r="P2116" s="23" t="s">
        <v>63</v>
      </c>
      <c r="Q2116" s="23" t="s">
        <v>63</v>
      </c>
      <c r="R2116" s="23" t="s">
        <v>63</v>
      </c>
      <c r="S2116" s="23" t="s">
        <v>63</v>
      </c>
      <c r="T2116" s="32">
        <v>0.375</v>
      </c>
      <c r="U2116" s="23" t="s">
        <v>63</v>
      </c>
      <c r="V2116" s="23" t="s">
        <v>63</v>
      </c>
      <c r="W2116" s="23" t="s">
        <v>63</v>
      </c>
      <c r="X2116" s="23" t="s">
        <v>63</v>
      </c>
      <c r="Y2116" s="35">
        <v>41.0</v>
      </c>
      <c r="Z2116" s="32" t="s">
        <v>63</v>
      </c>
      <c r="AA2116" s="38"/>
      <c r="AB2116" s="38"/>
      <c r="AC2116" s="38"/>
      <c r="AD2116" s="38"/>
      <c r="AE2116" s="38"/>
      <c r="AF2116" s="38"/>
      <c r="AG2116" s="38"/>
      <c r="AH2116" s="38"/>
      <c r="AI2116" s="38"/>
      <c r="AJ2116" s="38"/>
      <c r="AK2116" s="38"/>
    </row>
    <row r="2117">
      <c r="A2117" s="99">
        <v>2116.0</v>
      </c>
      <c r="B2117" s="15"/>
      <c r="C2117" s="15"/>
      <c r="D2117" s="105">
        <v>1.0</v>
      </c>
      <c r="E2117" s="102">
        <v>39.0</v>
      </c>
      <c r="F2117" s="107">
        <v>71.0</v>
      </c>
      <c r="G2117" s="15" t="str">
        <f t="shared" si="1"/>
        <v>39071</v>
      </c>
      <c r="H2117" s="23" t="s">
        <v>1684</v>
      </c>
      <c r="I2117" s="23" t="s">
        <v>100</v>
      </c>
      <c r="J2117" s="23" t="s">
        <v>339</v>
      </c>
      <c r="K2117" s="23" t="str">
        <f t="shared" si="36"/>
        <v>Highland, OH</v>
      </c>
      <c r="L2117" s="23">
        <v>177.0</v>
      </c>
      <c r="M2117" s="23" t="s">
        <v>63</v>
      </c>
      <c r="N2117" s="23">
        <v>100.0</v>
      </c>
      <c r="O2117" s="23">
        <v>56.0</v>
      </c>
      <c r="P2117" s="23" t="s">
        <v>63</v>
      </c>
      <c r="Q2117" s="23" t="s">
        <v>63</v>
      </c>
      <c r="R2117" s="23">
        <v>28.0</v>
      </c>
      <c r="S2117" s="23" t="s">
        <v>63</v>
      </c>
      <c r="T2117" s="32">
        <v>0.5492957746478874</v>
      </c>
      <c r="U2117" s="23" t="s">
        <v>63</v>
      </c>
      <c r="V2117" s="23" t="s">
        <v>63</v>
      </c>
      <c r="W2117" s="23" t="s">
        <v>63</v>
      </c>
      <c r="X2117" s="23" t="s">
        <v>63</v>
      </c>
      <c r="Y2117" s="35">
        <v>53.0</v>
      </c>
      <c r="Z2117" s="32" t="s">
        <v>63</v>
      </c>
      <c r="AA2117" s="38"/>
      <c r="AB2117" s="38"/>
      <c r="AC2117" s="38"/>
      <c r="AD2117" s="38"/>
      <c r="AE2117" s="38"/>
      <c r="AF2117" s="38"/>
      <c r="AG2117" s="38"/>
      <c r="AH2117" s="38"/>
      <c r="AI2117" s="38"/>
      <c r="AJ2117" s="38"/>
      <c r="AK2117" s="38"/>
    </row>
    <row r="2118">
      <c r="A2118" s="99">
        <v>2117.0</v>
      </c>
      <c r="B2118" s="15"/>
      <c r="C2118" s="15"/>
      <c r="D2118" s="105">
        <v>1.0</v>
      </c>
      <c r="E2118" s="102">
        <v>39.0</v>
      </c>
      <c r="F2118" s="107">
        <v>73.0</v>
      </c>
      <c r="G2118" s="15" t="str">
        <f t="shared" si="1"/>
        <v>39073</v>
      </c>
      <c r="H2118" s="23" t="s">
        <v>1685</v>
      </c>
      <c r="I2118" s="23" t="s">
        <v>100</v>
      </c>
      <c r="J2118" s="23" t="s">
        <v>339</v>
      </c>
      <c r="K2118" s="23" t="str">
        <f t="shared" si="36"/>
        <v>Hocking, OH</v>
      </c>
      <c r="L2118" s="23">
        <v>42.0</v>
      </c>
      <c r="M2118" s="23" t="s">
        <v>63</v>
      </c>
      <c r="N2118" s="23">
        <v>28.0</v>
      </c>
      <c r="O2118" s="23" t="s">
        <v>63</v>
      </c>
      <c r="P2118" s="23" t="s">
        <v>63</v>
      </c>
      <c r="Q2118" s="23" t="s">
        <v>63</v>
      </c>
      <c r="R2118" s="23">
        <v>20.0</v>
      </c>
      <c r="S2118" s="23" t="s">
        <v>63</v>
      </c>
      <c r="T2118" s="32">
        <v>0.3225806451612903</v>
      </c>
      <c r="U2118" s="23" t="s">
        <v>63</v>
      </c>
      <c r="V2118" s="23" t="s">
        <v>63</v>
      </c>
      <c r="W2118" s="23" t="s">
        <v>63</v>
      </c>
      <c r="X2118" s="23" t="s">
        <v>63</v>
      </c>
      <c r="Y2118" s="35">
        <v>36.0</v>
      </c>
      <c r="Z2118" s="32" t="s">
        <v>63</v>
      </c>
      <c r="AA2118" s="38"/>
      <c r="AB2118" s="38"/>
      <c r="AC2118" s="38"/>
      <c r="AD2118" s="38"/>
      <c r="AE2118" s="38"/>
      <c r="AF2118" s="38"/>
      <c r="AG2118" s="38"/>
      <c r="AH2118" s="38"/>
      <c r="AI2118" s="38"/>
      <c r="AJ2118" s="38"/>
      <c r="AK2118" s="38"/>
    </row>
    <row r="2119">
      <c r="A2119" s="99">
        <v>2118.0</v>
      </c>
      <c r="B2119" s="15"/>
      <c r="C2119" s="15"/>
      <c r="D2119" s="105">
        <v>1.0</v>
      </c>
      <c r="E2119" s="102">
        <v>39.0</v>
      </c>
      <c r="F2119" s="107">
        <v>75.0</v>
      </c>
      <c r="G2119" s="15" t="str">
        <f t="shared" si="1"/>
        <v>39075</v>
      </c>
      <c r="H2119" s="23" t="s">
        <v>502</v>
      </c>
      <c r="I2119" s="23" t="s">
        <v>100</v>
      </c>
      <c r="J2119" s="23" t="s">
        <v>339</v>
      </c>
      <c r="K2119" s="23" t="str">
        <f t="shared" si="36"/>
        <v>Holmes, OH</v>
      </c>
      <c r="L2119" s="23">
        <v>43.0</v>
      </c>
      <c r="M2119" s="23" t="s">
        <v>63</v>
      </c>
      <c r="N2119" s="23">
        <v>19.0</v>
      </c>
      <c r="O2119" s="23">
        <v>17.0</v>
      </c>
      <c r="P2119" s="23" t="s">
        <v>63</v>
      </c>
      <c r="Q2119" s="23" t="s">
        <v>63</v>
      </c>
      <c r="R2119" s="23" t="s">
        <v>63</v>
      </c>
      <c r="S2119" s="23" t="s">
        <v>63</v>
      </c>
      <c r="T2119" s="32">
        <v>0.4411764705882353</v>
      </c>
      <c r="U2119" s="23" t="s">
        <v>63</v>
      </c>
      <c r="V2119" s="23" t="s">
        <v>63</v>
      </c>
      <c r="W2119" s="23" t="s">
        <v>63</v>
      </c>
      <c r="X2119" s="23" t="s">
        <v>63</v>
      </c>
      <c r="Y2119" s="35">
        <v>53.0</v>
      </c>
      <c r="Z2119" s="32" t="s">
        <v>63</v>
      </c>
      <c r="AA2119" s="38"/>
      <c r="AB2119" s="38"/>
      <c r="AC2119" s="38"/>
      <c r="AD2119" s="38"/>
      <c r="AE2119" s="38"/>
      <c r="AF2119" s="38"/>
      <c r="AG2119" s="38"/>
      <c r="AH2119" s="38"/>
      <c r="AI2119" s="38"/>
      <c r="AJ2119" s="38"/>
      <c r="AK2119" s="38"/>
    </row>
    <row r="2120">
      <c r="A2120" s="99">
        <v>2119.0</v>
      </c>
      <c r="B2120" s="15"/>
      <c r="C2120" s="15"/>
      <c r="D2120" s="105">
        <v>1.0</v>
      </c>
      <c r="E2120" s="102">
        <v>39.0</v>
      </c>
      <c r="F2120" s="107">
        <v>77.0</v>
      </c>
      <c r="G2120" s="15" t="str">
        <f t="shared" si="1"/>
        <v>39077</v>
      </c>
      <c r="H2120" s="23" t="s">
        <v>1255</v>
      </c>
      <c r="I2120" s="23" t="s">
        <v>100</v>
      </c>
      <c r="J2120" s="23" t="s">
        <v>339</v>
      </c>
      <c r="K2120" s="23" t="str">
        <f t="shared" si="36"/>
        <v>Huron, OH</v>
      </c>
      <c r="L2120" s="23">
        <v>38.0</v>
      </c>
      <c r="M2120" s="23" t="s">
        <v>63</v>
      </c>
      <c r="N2120" s="23">
        <v>29.0</v>
      </c>
      <c r="O2120" s="23" t="s">
        <v>63</v>
      </c>
      <c r="P2120" s="23" t="s">
        <v>63</v>
      </c>
      <c r="Q2120" s="23" t="s">
        <v>63</v>
      </c>
      <c r="R2120" s="23" t="s">
        <v>63</v>
      </c>
      <c r="S2120" s="23" t="s">
        <v>63</v>
      </c>
      <c r="T2120" s="32">
        <v>0.3783783783783784</v>
      </c>
      <c r="U2120" s="23" t="s">
        <v>63</v>
      </c>
      <c r="V2120" s="23" t="s">
        <v>63</v>
      </c>
      <c r="W2120" s="23" t="s">
        <v>63</v>
      </c>
      <c r="X2120" s="23" t="s">
        <v>63</v>
      </c>
      <c r="Y2120" s="35">
        <v>65.0</v>
      </c>
      <c r="Z2120" s="32" t="s">
        <v>63</v>
      </c>
      <c r="AA2120" s="38"/>
      <c r="AB2120" s="38"/>
      <c r="AC2120" s="38"/>
      <c r="AD2120" s="38"/>
      <c r="AE2120" s="38"/>
      <c r="AF2120" s="38"/>
      <c r="AG2120" s="38"/>
      <c r="AH2120" s="38"/>
      <c r="AI2120" s="38"/>
      <c r="AJ2120" s="38"/>
      <c r="AK2120" s="38"/>
    </row>
    <row r="2121">
      <c r="A2121" s="99">
        <v>2120.0</v>
      </c>
      <c r="B2121" s="15"/>
      <c r="C2121" s="15"/>
      <c r="D2121" s="105">
        <v>1.0</v>
      </c>
      <c r="E2121" s="102">
        <v>39.0</v>
      </c>
      <c r="F2121" s="107">
        <v>79.0</v>
      </c>
      <c r="G2121" s="15" t="str">
        <f t="shared" si="1"/>
        <v>39079</v>
      </c>
      <c r="H2121" s="23" t="s">
        <v>142</v>
      </c>
      <c r="I2121" s="23" t="s">
        <v>100</v>
      </c>
      <c r="J2121" s="23" t="s">
        <v>339</v>
      </c>
      <c r="K2121" s="23" t="str">
        <f t="shared" si="36"/>
        <v>Jackson, OH</v>
      </c>
      <c r="L2121" s="23">
        <v>86.0</v>
      </c>
      <c r="M2121" s="23" t="s">
        <v>63</v>
      </c>
      <c r="N2121" s="23">
        <v>47.0</v>
      </c>
      <c r="O2121" s="23">
        <v>28.0</v>
      </c>
      <c r="P2121" s="23" t="s">
        <v>63</v>
      </c>
      <c r="Q2121" s="23" t="s">
        <v>63</v>
      </c>
      <c r="R2121" s="23">
        <v>31.0</v>
      </c>
      <c r="S2121" s="23" t="s">
        <v>63</v>
      </c>
      <c r="T2121" s="32">
        <v>0.37254901960784315</v>
      </c>
      <c r="U2121" s="23" t="s">
        <v>63</v>
      </c>
      <c r="V2121" s="23" t="s">
        <v>63</v>
      </c>
      <c r="W2121" s="23" t="s">
        <v>63</v>
      </c>
      <c r="X2121" s="23" t="s">
        <v>63</v>
      </c>
      <c r="Y2121" s="35">
        <v>50.0</v>
      </c>
      <c r="Z2121" s="32" t="s">
        <v>63</v>
      </c>
      <c r="AA2121" s="38"/>
      <c r="AB2121" s="38"/>
      <c r="AC2121" s="38"/>
      <c r="AD2121" s="38"/>
      <c r="AE2121" s="38"/>
      <c r="AF2121" s="38"/>
      <c r="AG2121" s="38"/>
      <c r="AH2121" s="38"/>
      <c r="AI2121" s="38"/>
      <c r="AJ2121" s="38"/>
      <c r="AK2121" s="38"/>
    </row>
    <row r="2122">
      <c r="A2122" s="99">
        <v>2121.0</v>
      </c>
      <c r="B2122" s="15"/>
      <c r="C2122" s="15"/>
      <c r="D2122" s="105">
        <v>1.0</v>
      </c>
      <c r="E2122" s="102">
        <v>39.0</v>
      </c>
      <c r="F2122" s="107">
        <v>81.0</v>
      </c>
      <c r="G2122" s="15" t="str">
        <f t="shared" si="1"/>
        <v>39081</v>
      </c>
      <c r="H2122" s="23" t="s">
        <v>143</v>
      </c>
      <c r="I2122" s="23" t="s">
        <v>100</v>
      </c>
      <c r="J2122" s="23" t="s">
        <v>339</v>
      </c>
      <c r="K2122" s="23" t="str">
        <f t="shared" si="36"/>
        <v>Jefferson, OH</v>
      </c>
      <c r="L2122" s="23">
        <v>55.0</v>
      </c>
      <c r="M2122" s="23" t="s">
        <v>63</v>
      </c>
      <c r="N2122" s="23">
        <v>19.0</v>
      </c>
      <c r="O2122" s="23">
        <v>14.0</v>
      </c>
      <c r="P2122" s="23" t="s">
        <v>63</v>
      </c>
      <c r="Q2122" s="23" t="s">
        <v>63</v>
      </c>
      <c r="R2122" s="23">
        <v>12.0</v>
      </c>
      <c r="S2122" s="23" t="s">
        <v>63</v>
      </c>
      <c r="T2122" s="32">
        <v>0.3</v>
      </c>
      <c r="U2122" s="23" t="s">
        <v>63</v>
      </c>
      <c r="V2122" s="23" t="s">
        <v>63</v>
      </c>
      <c r="W2122" s="23" t="s">
        <v>63</v>
      </c>
      <c r="X2122" s="23" t="s">
        <v>63</v>
      </c>
      <c r="Y2122" s="35">
        <v>104.0</v>
      </c>
      <c r="Z2122" s="32" t="s">
        <v>63</v>
      </c>
      <c r="AA2122" s="38"/>
      <c r="AB2122" s="38"/>
      <c r="AC2122" s="38"/>
      <c r="AD2122" s="38"/>
      <c r="AE2122" s="38"/>
      <c r="AF2122" s="38"/>
      <c r="AG2122" s="38"/>
      <c r="AH2122" s="38"/>
      <c r="AI2122" s="38"/>
      <c r="AJ2122" s="38"/>
      <c r="AK2122" s="38"/>
    </row>
    <row r="2123">
      <c r="A2123" s="99">
        <v>2122.0</v>
      </c>
      <c r="B2123" s="15"/>
      <c r="C2123" s="15"/>
      <c r="D2123" s="105">
        <v>1.0</v>
      </c>
      <c r="E2123" s="102">
        <v>39.0</v>
      </c>
      <c r="F2123" s="107">
        <v>83.0</v>
      </c>
      <c r="G2123" s="15" t="str">
        <f t="shared" si="1"/>
        <v>39083</v>
      </c>
      <c r="H2123" s="23" t="s">
        <v>728</v>
      </c>
      <c r="I2123" s="23" t="s">
        <v>100</v>
      </c>
      <c r="J2123" s="23" t="s">
        <v>339</v>
      </c>
      <c r="K2123" s="23" t="str">
        <f t="shared" si="36"/>
        <v>Knox, OH</v>
      </c>
      <c r="L2123" s="23">
        <v>68.0</v>
      </c>
      <c r="M2123" s="23" t="s">
        <v>63</v>
      </c>
      <c r="N2123" s="23">
        <v>36.0</v>
      </c>
      <c r="O2123" s="23">
        <v>15.0</v>
      </c>
      <c r="P2123" s="23" t="s">
        <v>63</v>
      </c>
      <c r="Q2123" s="23" t="s">
        <v>63</v>
      </c>
      <c r="R2123" s="23">
        <v>19.0</v>
      </c>
      <c r="S2123" s="23" t="s">
        <v>63</v>
      </c>
      <c r="T2123" s="32">
        <v>0.603448275862069</v>
      </c>
      <c r="U2123" s="23" t="s">
        <v>63</v>
      </c>
      <c r="V2123" s="23" t="s">
        <v>63</v>
      </c>
      <c r="W2123" s="23" t="s">
        <v>63</v>
      </c>
      <c r="X2123" s="23" t="s">
        <v>63</v>
      </c>
      <c r="Y2123" s="35">
        <v>72.0</v>
      </c>
      <c r="Z2123" s="32" t="s">
        <v>63</v>
      </c>
      <c r="AA2123" s="38"/>
      <c r="AB2123" s="38"/>
      <c r="AC2123" s="38"/>
      <c r="AD2123" s="38"/>
      <c r="AE2123" s="38"/>
      <c r="AF2123" s="38"/>
      <c r="AG2123" s="38"/>
      <c r="AH2123" s="38"/>
      <c r="AI2123" s="38"/>
      <c r="AJ2123" s="38"/>
      <c r="AK2123" s="38"/>
    </row>
    <row r="2124">
      <c r="A2124" s="99">
        <v>2123.0</v>
      </c>
      <c r="B2124" s="15"/>
      <c r="C2124" s="15"/>
      <c r="D2124" s="105">
        <v>1.0</v>
      </c>
      <c r="E2124" s="102">
        <v>39.0</v>
      </c>
      <c r="F2124" s="107">
        <v>85.0</v>
      </c>
      <c r="G2124" s="15" t="str">
        <f t="shared" si="1"/>
        <v>39085</v>
      </c>
      <c r="H2124" s="23" t="s">
        <v>337</v>
      </c>
      <c r="I2124" s="23" t="s">
        <v>100</v>
      </c>
      <c r="J2124" s="23" t="s">
        <v>339</v>
      </c>
      <c r="K2124" s="23" t="str">
        <f t="shared" si="36"/>
        <v>Lake, OH</v>
      </c>
      <c r="L2124" s="23">
        <v>70.0</v>
      </c>
      <c r="M2124" s="23" t="s">
        <v>63</v>
      </c>
      <c r="N2124" s="23">
        <v>28.0</v>
      </c>
      <c r="O2124" s="23" t="s">
        <v>63</v>
      </c>
      <c r="P2124" s="23" t="s">
        <v>63</v>
      </c>
      <c r="Q2124" s="23" t="s">
        <v>63</v>
      </c>
      <c r="R2124" s="23" t="s">
        <v>63</v>
      </c>
      <c r="S2124" s="23" t="s">
        <v>63</v>
      </c>
      <c r="T2124" s="32">
        <v>0.3673469387755102</v>
      </c>
      <c r="U2124" s="23" t="s">
        <v>63</v>
      </c>
      <c r="V2124" s="23" t="s">
        <v>63</v>
      </c>
      <c r="W2124" s="23" t="s">
        <v>63</v>
      </c>
      <c r="X2124" s="23" t="s">
        <v>63</v>
      </c>
      <c r="Y2124" s="35">
        <v>133.0</v>
      </c>
      <c r="Z2124" s="32" t="s">
        <v>63</v>
      </c>
      <c r="AA2124" s="38"/>
      <c r="AB2124" s="38"/>
      <c r="AC2124" s="38"/>
      <c r="AD2124" s="38"/>
      <c r="AE2124" s="38"/>
      <c r="AF2124" s="38"/>
      <c r="AG2124" s="38"/>
      <c r="AH2124" s="38"/>
      <c r="AI2124" s="38"/>
      <c r="AJ2124" s="38"/>
      <c r="AK2124" s="38"/>
    </row>
    <row r="2125">
      <c r="A2125" s="99">
        <v>2124.0</v>
      </c>
      <c r="B2125" s="15"/>
      <c r="C2125" s="15"/>
      <c r="D2125" s="105">
        <v>1.0</v>
      </c>
      <c r="E2125" s="102">
        <v>39.0</v>
      </c>
      <c r="F2125" s="107">
        <v>87.0</v>
      </c>
      <c r="G2125" s="15" t="str">
        <f t="shared" si="1"/>
        <v>39087</v>
      </c>
      <c r="H2125" s="23" t="s">
        <v>146</v>
      </c>
      <c r="I2125" s="23" t="s">
        <v>100</v>
      </c>
      <c r="J2125" s="23" t="s">
        <v>339</v>
      </c>
      <c r="K2125" s="23" t="str">
        <f t="shared" si="36"/>
        <v>Lawrence, OH</v>
      </c>
      <c r="L2125" s="23">
        <v>82.0</v>
      </c>
      <c r="M2125" s="23" t="s">
        <v>63</v>
      </c>
      <c r="N2125" s="23">
        <v>57.0</v>
      </c>
      <c r="O2125" s="23">
        <v>14.0</v>
      </c>
      <c r="P2125" s="23" t="s">
        <v>63</v>
      </c>
      <c r="Q2125" s="23" t="s">
        <v>63</v>
      </c>
      <c r="R2125" s="23">
        <v>27.0</v>
      </c>
      <c r="S2125" s="23" t="s">
        <v>63</v>
      </c>
      <c r="T2125" s="32">
        <v>0.4594594594594595</v>
      </c>
      <c r="U2125" s="23" t="s">
        <v>63</v>
      </c>
      <c r="V2125" s="23" t="s">
        <v>63</v>
      </c>
      <c r="W2125" s="23" t="s">
        <v>63</v>
      </c>
      <c r="X2125" s="23" t="s">
        <v>63</v>
      </c>
      <c r="Y2125" s="35">
        <v>65.0</v>
      </c>
      <c r="Z2125" s="32" t="s">
        <v>63</v>
      </c>
      <c r="AA2125" s="38"/>
      <c r="AB2125" s="38"/>
      <c r="AC2125" s="38"/>
      <c r="AD2125" s="38"/>
      <c r="AE2125" s="38"/>
      <c r="AF2125" s="38"/>
      <c r="AG2125" s="38"/>
      <c r="AH2125" s="38"/>
      <c r="AI2125" s="38"/>
      <c r="AJ2125" s="38"/>
      <c r="AK2125" s="38"/>
    </row>
    <row r="2126">
      <c r="A2126" s="99">
        <v>2125.0</v>
      </c>
      <c r="B2126" s="15"/>
      <c r="C2126" s="15"/>
      <c r="D2126" s="105">
        <v>1.0</v>
      </c>
      <c r="E2126" s="102">
        <v>39.0</v>
      </c>
      <c r="F2126" s="107">
        <v>89.0</v>
      </c>
      <c r="G2126" s="15" t="str">
        <f t="shared" si="1"/>
        <v>39089</v>
      </c>
      <c r="H2126" s="23" t="s">
        <v>1686</v>
      </c>
      <c r="I2126" s="23" t="s">
        <v>100</v>
      </c>
      <c r="J2126" s="23" t="s">
        <v>339</v>
      </c>
      <c r="K2126" s="23" t="str">
        <f t="shared" si="36"/>
        <v>Licking, OH</v>
      </c>
      <c r="L2126" s="23">
        <v>286.0</v>
      </c>
      <c r="M2126" s="23" t="s">
        <v>63</v>
      </c>
      <c r="N2126" s="23">
        <v>174.0</v>
      </c>
      <c r="O2126" s="23">
        <v>70.0</v>
      </c>
      <c r="P2126" s="23" t="s">
        <v>63</v>
      </c>
      <c r="Q2126" s="23" t="s">
        <v>63</v>
      </c>
      <c r="R2126" s="23">
        <v>60.0</v>
      </c>
      <c r="S2126" s="23" t="s">
        <v>63</v>
      </c>
      <c r="T2126" s="32">
        <v>0.36423841059602646</v>
      </c>
      <c r="U2126" s="23" t="s">
        <v>63</v>
      </c>
      <c r="V2126" s="23" t="s">
        <v>63</v>
      </c>
      <c r="W2126" s="23" t="s">
        <v>63</v>
      </c>
      <c r="X2126" s="23" t="s">
        <v>63</v>
      </c>
      <c r="Y2126" s="35">
        <v>161.0</v>
      </c>
      <c r="Z2126" s="32" t="s">
        <v>63</v>
      </c>
      <c r="AA2126" s="38"/>
      <c r="AB2126" s="38"/>
      <c r="AC2126" s="38"/>
      <c r="AD2126" s="38"/>
      <c r="AE2126" s="38"/>
      <c r="AF2126" s="38"/>
      <c r="AG2126" s="38"/>
      <c r="AH2126" s="38"/>
      <c r="AI2126" s="38"/>
      <c r="AJ2126" s="38"/>
      <c r="AK2126" s="38"/>
    </row>
    <row r="2127">
      <c r="A2127" s="99">
        <v>2126.0</v>
      </c>
      <c r="B2127" s="15"/>
      <c r="C2127" s="15"/>
      <c r="D2127" s="105">
        <v>1.0</v>
      </c>
      <c r="E2127" s="102">
        <v>39.0</v>
      </c>
      <c r="F2127" s="107">
        <v>91.0</v>
      </c>
      <c r="G2127" s="15" t="str">
        <f t="shared" si="1"/>
        <v>39091</v>
      </c>
      <c r="H2127" s="23" t="s">
        <v>293</v>
      </c>
      <c r="I2127" s="23" t="s">
        <v>100</v>
      </c>
      <c r="J2127" s="23" t="s">
        <v>339</v>
      </c>
      <c r="K2127" s="23" t="str">
        <f t="shared" si="36"/>
        <v>Logan, OH</v>
      </c>
      <c r="L2127" s="23">
        <v>63.0</v>
      </c>
      <c r="M2127" s="23" t="s">
        <v>63</v>
      </c>
      <c r="N2127" s="23">
        <v>37.0</v>
      </c>
      <c r="O2127" s="23">
        <v>11.0</v>
      </c>
      <c r="P2127" s="23" t="s">
        <v>63</v>
      </c>
      <c r="Q2127" s="23" t="s">
        <v>63</v>
      </c>
      <c r="R2127" s="23">
        <v>23.0</v>
      </c>
      <c r="S2127" s="23" t="s">
        <v>63</v>
      </c>
      <c r="T2127" s="32">
        <v>0.30303030303030304</v>
      </c>
      <c r="U2127" s="23" t="s">
        <v>63</v>
      </c>
      <c r="V2127" s="23" t="s">
        <v>63</v>
      </c>
      <c r="W2127" s="23" t="s">
        <v>63</v>
      </c>
      <c r="X2127" s="23" t="s">
        <v>63</v>
      </c>
      <c r="Y2127" s="35">
        <v>56.0</v>
      </c>
      <c r="Z2127" s="32" t="s">
        <v>63</v>
      </c>
      <c r="AA2127" s="38"/>
      <c r="AB2127" s="38"/>
      <c r="AC2127" s="38"/>
      <c r="AD2127" s="38"/>
      <c r="AE2127" s="38"/>
      <c r="AF2127" s="38"/>
      <c r="AG2127" s="38"/>
      <c r="AH2127" s="38"/>
      <c r="AI2127" s="38"/>
      <c r="AJ2127" s="38"/>
      <c r="AK2127" s="38"/>
    </row>
    <row r="2128">
      <c r="A2128" s="99">
        <v>2127.0</v>
      </c>
      <c r="B2128" s="15"/>
      <c r="C2128" s="15"/>
      <c r="D2128" s="105">
        <v>1.0</v>
      </c>
      <c r="E2128" s="102">
        <v>39.0</v>
      </c>
      <c r="F2128" s="107">
        <v>93.0</v>
      </c>
      <c r="G2128" s="15" t="str">
        <f t="shared" si="1"/>
        <v>39093</v>
      </c>
      <c r="H2128" s="23" t="s">
        <v>1687</v>
      </c>
      <c r="I2128" s="23" t="s">
        <v>100</v>
      </c>
      <c r="J2128" s="23" t="s">
        <v>339</v>
      </c>
      <c r="K2128" s="23" t="str">
        <f t="shared" si="36"/>
        <v>Lorain, OH</v>
      </c>
      <c r="L2128" s="23">
        <v>200.0</v>
      </c>
      <c r="M2128" s="23" t="s">
        <v>63</v>
      </c>
      <c r="N2128" s="23">
        <v>114.0</v>
      </c>
      <c r="O2128" s="23">
        <v>53.0</v>
      </c>
      <c r="P2128" s="23" t="s">
        <v>63</v>
      </c>
      <c r="Q2128" s="23" t="s">
        <v>63</v>
      </c>
      <c r="R2128" s="23">
        <v>27.0</v>
      </c>
      <c r="S2128" s="23" t="s">
        <v>63</v>
      </c>
      <c r="T2128" s="32">
        <v>0.3057324840764331</v>
      </c>
      <c r="U2128" s="23" t="s">
        <v>63</v>
      </c>
      <c r="V2128" s="23" t="s">
        <v>63</v>
      </c>
      <c r="W2128" s="23" t="s">
        <v>63</v>
      </c>
      <c r="X2128" s="23" t="s">
        <v>63</v>
      </c>
      <c r="Y2128" s="35">
        <v>247.0</v>
      </c>
      <c r="Z2128" s="32" t="s">
        <v>63</v>
      </c>
      <c r="AA2128" s="38"/>
      <c r="AB2128" s="38"/>
      <c r="AC2128" s="38"/>
      <c r="AD2128" s="38"/>
      <c r="AE2128" s="38"/>
      <c r="AF2128" s="38"/>
      <c r="AG2128" s="38"/>
      <c r="AH2128" s="38"/>
      <c r="AI2128" s="38"/>
      <c r="AJ2128" s="38"/>
      <c r="AK2128" s="38"/>
    </row>
    <row r="2129">
      <c r="A2129" s="99">
        <v>2128.0</v>
      </c>
      <c r="B2129" s="15"/>
      <c r="C2129" s="15"/>
      <c r="D2129" s="105">
        <v>1.0</v>
      </c>
      <c r="E2129" s="102">
        <v>39.0</v>
      </c>
      <c r="F2129" s="107">
        <v>95.0</v>
      </c>
      <c r="G2129" s="15" t="str">
        <f t="shared" si="1"/>
        <v>39095</v>
      </c>
      <c r="H2129" s="23" t="s">
        <v>909</v>
      </c>
      <c r="I2129" s="23" t="s">
        <v>100</v>
      </c>
      <c r="J2129" s="23" t="s">
        <v>339</v>
      </c>
      <c r="K2129" s="23" t="str">
        <f t="shared" si="36"/>
        <v>Lucas, OH</v>
      </c>
      <c r="L2129" s="23">
        <v>831.0</v>
      </c>
      <c r="M2129" s="23" t="s">
        <v>63</v>
      </c>
      <c r="N2129" s="23">
        <v>419.0</v>
      </c>
      <c r="O2129" s="23">
        <v>292.0</v>
      </c>
      <c r="P2129" s="23" t="s">
        <v>63</v>
      </c>
      <c r="Q2129" s="23" t="s">
        <v>63</v>
      </c>
      <c r="R2129" s="23">
        <v>205.0</v>
      </c>
      <c r="S2129" s="23" t="s">
        <v>63</v>
      </c>
      <c r="T2129" s="32">
        <v>0.43151969981238275</v>
      </c>
      <c r="U2129" s="23" t="s">
        <v>63</v>
      </c>
      <c r="V2129" s="23" t="s">
        <v>63</v>
      </c>
      <c r="W2129" s="23" t="s">
        <v>63</v>
      </c>
      <c r="X2129" s="23" t="s">
        <v>63</v>
      </c>
      <c r="Y2129" s="35">
        <v>308.0</v>
      </c>
      <c r="Z2129" s="32" t="s">
        <v>63</v>
      </c>
      <c r="AA2129" s="38"/>
      <c r="AB2129" s="38"/>
      <c r="AC2129" s="38"/>
      <c r="AD2129" s="38"/>
      <c r="AE2129" s="38"/>
      <c r="AF2129" s="38"/>
      <c r="AG2129" s="38"/>
      <c r="AH2129" s="38"/>
      <c r="AI2129" s="38"/>
      <c r="AJ2129" s="38"/>
      <c r="AK2129" s="38"/>
    </row>
    <row r="2130">
      <c r="A2130" s="99">
        <v>2129.0</v>
      </c>
      <c r="B2130" s="15"/>
      <c r="C2130" s="15"/>
      <c r="D2130" s="105">
        <v>1.0</v>
      </c>
      <c r="E2130" s="102">
        <v>39.0</v>
      </c>
      <c r="F2130" s="107">
        <v>97.0</v>
      </c>
      <c r="G2130" s="15" t="str">
        <f t="shared" si="1"/>
        <v>39097</v>
      </c>
      <c r="H2130" s="23" t="s">
        <v>151</v>
      </c>
      <c r="I2130" s="23" t="s">
        <v>100</v>
      </c>
      <c r="J2130" s="23" t="s">
        <v>339</v>
      </c>
      <c r="K2130" s="23" t="str">
        <f t="shared" si="36"/>
        <v>Madison, OH</v>
      </c>
      <c r="L2130" s="23">
        <v>24.0</v>
      </c>
      <c r="M2130" s="23" t="s">
        <v>63</v>
      </c>
      <c r="N2130" s="23">
        <v>16.0</v>
      </c>
      <c r="O2130" s="23" t="s">
        <v>63</v>
      </c>
      <c r="P2130" s="23" t="s">
        <v>63</v>
      </c>
      <c r="Q2130" s="23" t="s">
        <v>63</v>
      </c>
      <c r="R2130" s="23" t="s">
        <v>63</v>
      </c>
      <c r="S2130" s="23" t="s">
        <v>63</v>
      </c>
      <c r="T2130" s="32">
        <v>0.5714285714285714</v>
      </c>
      <c r="U2130" s="23" t="s">
        <v>63</v>
      </c>
      <c r="V2130" s="23" t="s">
        <v>63</v>
      </c>
      <c r="W2130" s="23" t="s">
        <v>63</v>
      </c>
      <c r="X2130" s="23" t="s">
        <v>63</v>
      </c>
      <c r="Y2130" s="35">
        <v>53.0</v>
      </c>
      <c r="Z2130" s="32" t="s">
        <v>63</v>
      </c>
      <c r="AA2130" s="38"/>
      <c r="AB2130" s="38"/>
      <c r="AC2130" s="38"/>
      <c r="AD2130" s="38"/>
      <c r="AE2130" s="38"/>
      <c r="AF2130" s="38"/>
      <c r="AG2130" s="38"/>
      <c r="AH2130" s="38"/>
      <c r="AI2130" s="38"/>
      <c r="AJ2130" s="38"/>
      <c r="AK2130" s="38"/>
    </row>
    <row r="2131">
      <c r="A2131" s="99">
        <v>2130.0</v>
      </c>
      <c r="B2131" s="15"/>
      <c r="C2131" s="15"/>
      <c r="D2131" s="105">
        <v>1.0</v>
      </c>
      <c r="E2131" s="102">
        <v>39.0</v>
      </c>
      <c r="F2131" s="107">
        <v>99.0</v>
      </c>
      <c r="G2131" s="15" t="str">
        <f t="shared" si="1"/>
        <v>39099</v>
      </c>
      <c r="H2131" s="23" t="s">
        <v>1688</v>
      </c>
      <c r="I2131" s="23" t="s">
        <v>100</v>
      </c>
      <c r="J2131" s="23" t="s">
        <v>339</v>
      </c>
      <c r="K2131" s="23" t="str">
        <f t="shared" si="36"/>
        <v>Mahoning, OH</v>
      </c>
      <c r="L2131" s="23">
        <v>277.0</v>
      </c>
      <c r="M2131" s="23" t="s">
        <v>63</v>
      </c>
      <c r="N2131" s="23">
        <v>179.0</v>
      </c>
      <c r="O2131" s="23">
        <v>64.0</v>
      </c>
      <c r="P2131" s="23" t="s">
        <v>63</v>
      </c>
      <c r="Q2131" s="23" t="s">
        <v>63</v>
      </c>
      <c r="R2131" s="23">
        <v>36.0</v>
      </c>
      <c r="S2131" s="23" t="s">
        <v>63</v>
      </c>
      <c r="T2131" s="32">
        <v>0.5360824742268041</v>
      </c>
      <c r="U2131" s="23" t="s">
        <v>63</v>
      </c>
      <c r="V2131" s="23" t="s">
        <v>63</v>
      </c>
      <c r="W2131" s="23" t="s">
        <v>63</v>
      </c>
      <c r="X2131" s="23" t="s">
        <v>63</v>
      </c>
      <c r="Y2131" s="35">
        <v>242.0</v>
      </c>
      <c r="Z2131" s="32" t="s">
        <v>63</v>
      </c>
      <c r="AA2131" s="38"/>
      <c r="AB2131" s="38"/>
      <c r="AC2131" s="38"/>
      <c r="AD2131" s="38"/>
      <c r="AE2131" s="38"/>
      <c r="AF2131" s="38"/>
      <c r="AG2131" s="38"/>
      <c r="AH2131" s="38"/>
      <c r="AI2131" s="38"/>
      <c r="AJ2131" s="38"/>
      <c r="AK2131" s="38"/>
    </row>
    <row r="2132">
      <c r="A2132" s="99">
        <v>2131.0</v>
      </c>
      <c r="B2132" s="15"/>
      <c r="C2132" s="15"/>
      <c r="D2132" s="105">
        <v>1.0</v>
      </c>
      <c r="E2132" s="102">
        <v>39.0</v>
      </c>
      <c r="F2132" s="107">
        <v>101.0</v>
      </c>
      <c r="G2132" s="15" t="str">
        <f t="shared" si="1"/>
        <v>39101</v>
      </c>
      <c r="H2132" s="23" t="s">
        <v>153</v>
      </c>
      <c r="I2132" s="23" t="s">
        <v>100</v>
      </c>
      <c r="J2132" s="23" t="s">
        <v>339</v>
      </c>
      <c r="K2132" s="23" t="str">
        <f t="shared" si="36"/>
        <v>Marion, OH</v>
      </c>
      <c r="L2132" s="23">
        <v>52.0</v>
      </c>
      <c r="M2132" s="23" t="s">
        <v>63</v>
      </c>
      <c r="N2132" s="23">
        <v>35.0</v>
      </c>
      <c r="O2132" s="23" t="s">
        <v>63</v>
      </c>
      <c r="P2132" s="23" t="s">
        <v>63</v>
      </c>
      <c r="Q2132" s="23" t="s">
        <v>63</v>
      </c>
      <c r="R2132" s="23">
        <v>20.0</v>
      </c>
      <c r="S2132" s="23" t="s">
        <v>63</v>
      </c>
      <c r="T2132" s="32">
        <v>0.358974358974359</v>
      </c>
      <c r="U2132" s="23" t="s">
        <v>63</v>
      </c>
      <c r="V2132" s="23" t="s">
        <v>63</v>
      </c>
      <c r="W2132" s="23" t="s">
        <v>63</v>
      </c>
      <c r="X2132" s="23" t="s">
        <v>63</v>
      </c>
      <c r="Y2132" s="35">
        <v>68.0</v>
      </c>
      <c r="Z2132" s="32" t="s">
        <v>63</v>
      </c>
      <c r="AA2132" s="38"/>
      <c r="AB2132" s="38"/>
      <c r="AC2132" s="38"/>
      <c r="AD2132" s="38"/>
      <c r="AE2132" s="38"/>
      <c r="AF2132" s="38"/>
      <c r="AG2132" s="38"/>
      <c r="AH2132" s="38"/>
      <c r="AI2132" s="38"/>
      <c r="AJ2132" s="38"/>
      <c r="AK2132" s="38"/>
    </row>
    <row r="2133">
      <c r="A2133" s="99">
        <v>2132.0</v>
      </c>
      <c r="B2133" s="15"/>
      <c r="C2133" s="15"/>
      <c r="D2133" s="105">
        <v>1.0</v>
      </c>
      <c r="E2133" s="102">
        <v>39.0</v>
      </c>
      <c r="F2133" s="107">
        <v>103.0</v>
      </c>
      <c r="G2133" s="15" t="str">
        <f t="shared" si="1"/>
        <v>39103</v>
      </c>
      <c r="H2133" s="23" t="s">
        <v>1689</v>
      </c>
      <c r="I2133" s="23" t="s">
        <v>100</v>
      </c>
      <c r="J2133" s="23" t="s">
        <v>339</v>
      </c>
      <c r="K2133" s="23" t="str">
        <f t="shared" si="36"/>
        <v>Medina, OH</v>
      </c>
      <c r="L2133" s="23">
        <v>122.0</v>
      </c>
      <c r="M2133" s="23" t="s">
        <v>63</v>
      </c>
      <c r="N2133" s="23">
        <v>58.0</v>
      </c>
      <c r="O2133" s="23">
        <v>37.0</v>
      </c>
      <c r="P2133" s="23" t="s">
        <v>63</v>
      </c>
      <c r="Q2133" s="23" t="s">
        <v>63</v>
      </c>
      <c r="R2133" s="23">
        <v>23.0</v>
      </c>
      <c r="S2133" s="23" t="s">
        <v>63</v>
      </c>
      <c r="T2133" s="32">
        <v>0.5647058823529412</v>
      </c>
      <c r="U2133" s="23" t="s">
        <v>63</v>
      </c>
      <c r="V2133" s="23" t="s">
        <v>63</v>
      </c>
      <c r="W2133" s="23" t="s">
        <v>63</v>
      </c>
      <c r="X2133" s="23" t="s">
        <v>63</v>
      </c>
      <c r="Y2133" s="35">
        <v>118.0</v>
      </c>
      <c r="Z2133" s="32" t="s">
        <v>63</v>
      </c>
      <c r="AA2133" s="38"/>
      <c r="AB2133" s="38"/>
      <c r="AC2133" s="38"/>
      <c r="AD2133" s="38"/>
      <c r="AE2133" s="38"/>
      <c r="AF2133" s="38"/>
      <c r="AG2133" s="38"/>
      <c r="AH2133" s="38"/>
      <c r="AI2133" s="38"/>
      <c r="AJ2133" s="38"/>
      <c r="AK2133" s="38"/>
    </row>
    <row r="2134">
      <c r="A2134" s="99">
        <v>2133.0</v>
      </c>
      <c r="B2134" s="15"/>
      <c r="C2134" s="15"/>
      <c r="D2134" s="105">
        <v>1.0</v>
      </c>
      <c r="E2134" s="102">
        <v>39.0</v>
      </c>
      <c r="F2134" s="107">
        <v>105.0</v>
      </c>
      <c r="G2134" s="15" t="str">
        <f t="shared" si="1"/>
        <v>39105</v>
      </c>
      <c r="H2134" s="23" t="s">
        <v>1690</v>
      </c>
      <c r="I2134" s="23" t="s">
        <v>100</v>
      </c>
      <c r="J2134" s="23" t="s">
        <v>339</v>
      </c>
      <c r="K2134" s="23" t="str">
        <f t="shared" si="36"/>
        <v>Meigs, OH</v>
      </c>
      <c r="L2134" s="23" t="s">
        <v>63</v>
      </c>
      <c r="M2134" s="23" t="s">
        <v>63</v>
      </c>
      <c r="N2134" s="23" t="s">
        <v>63</v>
      </c>
      <c r="O2134" s="23" t="s">
        <v>63</v>
      </c>
      <c r="P2134" s="23" t="s">
        <v>63</v>
      </c>
      <c r="Q2134" s="23" t="s">
        <v>63</v>
      </c>
      <c r="R2134" s="23" t="s">
        <v>63</v>
      </c>
      <c r="S2134" s="23" t="s">
        <v>63</v>
      </c>
      <c r="T2134" s="32">
        <v>0.35714285714285715</v>
      </c>
      <c r="U2134" s="23" t="s">
        <v>63</v>
      </c>
      <c r="V2134" s="23" t="s">
        <v>63</v>
      </c>
      <c r="W2134" s="23" t="s">
        <v>63</v>
      </c>
      <c r="X2134" s="23" t="s">
        <v>63</v>
      </c>
      <c r="Y2134" s="35">
        <v>40.0</v>
      </c>
      <c r="Z2134" s="32" t="s">
        <v>63</v>
      </c>
      <c r="AA2134" s="38"/>
      <c r="AB2134" s="38"/>
      <c r="AC2134" s="38"/>
      <c r="AD2134" s="38"/>
      <c r="AE2134" s="38"/>
      <c r="AF2134" s="38"/>
      <c r="AG2134" s="38"/>
      <c r="AH2134" s="38"/>
      <c r="AI2134" s="38"/>
      <c r="AJ2134" s="38"/>
      <c r="AK2134" s="38"/>
    </row>
    <row r="2135">
      <c r="A2135" s="99">
        <v>2134.0</v>
      </c>
      <c r="B2135" s="15"/>
      <c r="C2135" s="15"/>
      <c r="D2135" s="105">
        <v>1.0</v>
      </c>
      <c r="E2135" s="102">
        <v>39.0</v>
      </c>
      <c r="F2135" s="107">
        <v>107.0</v>
      </c>
      <c r="G2135" s="15" t="str">
        <f t="shared" si="1"/>
        <v>39107</v>
      </c>
      <c r="H2135" s="23" t="s">
        <v>738</v>
      </c>
      <c r="I2135" s="23" t="s">
        <v>100</v>
      </c>
      <c r="J2135" s="23" t="s">
        <v>339</v>
      </c>
      <c r="K2135" s="23" t="str">
        <f t="shared" si="36"/>
        <v>Mercer, OH</v>
      </c>
      <c r="L2135" s="23">
        <v>21.0</v>
      </c>
      <c r="M2135" s="23" t="s">
        <v>63</v>
      </c>
      <c r="N2135" s="23">
        <v>12.0</v>
      </c>
      <c r="O2135" s="23" t="s">
        <v>63</v>
      </c>
      <c r="P2135" s="23" t="s">
        <v>63</v>
      </c>
      <c r="Q2135" s="23" t="s">
        <v>63</v>
      </c>
      <c r="R2135" s="23" t="s">
        <v>63</v>
      </c>
      <c r="S2135" s="23" t="s">
        <v>63</v>
      </c>
      <c r="T2135" s="32">
        <v>0.42857142857142855</v>
      </c>
      <c r="U2135" s="23" t="s">
        <v>63</v>
      </c>
      <c r="V2135" s="23" t="s">
        <v>63</v>
      </c>
      <c r="W2135" s="23" t="s">
        <v>63</v>
      </c>
      <c r="X2135" s="23" t="s">
        <v>63</v>
      </c>
      <c r="Y2135" s="35">
        <v>50.0</v>
      </c>
      <c r="Z2135" s="32" t="s">
        <v>63</v>
      </c>
      <c r="AA2135" s="38"/>
      <c r="AB2135" s="38"/>
      <c r="AC2135" s="38"/>
      <c r="AD2135" s="38"/>
      <c r="AE2135" s="38"/>
      <c r="AF2135" s="38"/>
      <c r="AG2135" s="38"/>
      <c r="AH2135" s="38"/>
      <c r="AI2135" s="38"/>
      <c r="AJ2135" s="38"/>
      <c r="AK2135" s="38"/>
    </row>
    <row r="2136">
      <c r="A2136" s="99">
        <v>2135.0</v>
      </c>
      <c r="B2136" s="15"/>
      <c r="C2136" s="15"/>
      <c r="D2136" s="105">
        <v>1.0</v>
      </c>
      <c r="E2136" s="102">
        <v>39.0</v>
      </c>
      <c r="F2136" s="107">
        <v>109.0</v>
      </c>
      <c r="G2136" s="15" t="str">
        <f t="shared" si="1"/>
        <v>39109</v>
      </c>
      <c r="H2136" s="23" t="s">
        <v>791</v>
      </c>
      <c r="I2136" s="23" t="s">
        <v>100</v>
      </c>
      <c r="J2136" s="23" t="s">
        <v>339</v>
      </c>
      <c r="K2136" s="23" t="str">
        <f t="shared" si="36"/>
        <v>Miami, OH</v>
      </c>
      <c r="L2136" s="23">
        <v>65.0</v>
      </c>
      <c r="M2136" s="23" t="s">
        <v>63</v>
      </c>
      <c r="N2136" s="23">
        <v>29.0</v>
      </c>
      <c r="O2136" s="23" t="s">
        <v>63</v>
      </c>
      <c r="P2136" s="23" t="s">
        <v>63</v>
      </c>
      <c r="Q2136" s="23" t="s">
        <v>63</v>
      </c>
      <c r="R2136" s="23">
        <v>12.0</v>
      </c>
      <c r="S2136" s="23" t="s">
        <v>63</v>
      </c>
      <c r="T2136" s="32">
        <v>0.3684210526315789</v>
      </c>
      <c r="U2136" s="23" t="s">
        <v>63</v>
      </c>
      <c r="V2136" s="23" t="s">
        <v>63</v>
      </c>
      <c r="W2136" s="23" t="s">
        <v>63</v>
      </c>
      <c r="X2136" s="23" t="s">
        <v>63</v>
      </c>
      <c r="Y2136" s="35">
        <v>108.0</v>
      </c>
      <c r="Z2136" s="32" t="s">
        <v>63</v>
      </c>
      <c r="AA2136" s="38"/>
      <c r="AB2136" s="38"/>
      <c r="AC2136" s="38"/>
      <c r="AD2136" s="38"/>
      <c r="AE2136" s="38"/>
      <c r="AF2136" s="38"/>
      <c r="AG2136" s="38"/>
      <c r="AH2136" s="38"/>
      <c r="AI2136" s="38"/>
      <c r="AJ2136" s="38"/>
      <c r="AK2136" s="38"/>
    </row>
    <row r="2137">
      <c r="A2137" s="99">
        <v>2136.0</v>
      </c>
      <c r="B2137" s="15"/>
      <c r="C2137" s="15"/>
      <c r="D2137" s="105">
        <v>1.0</v>
      </c>
      <c r="E2137" s="102">
        <v>39.0</v>
      </c>
      <c r="F2137" s="107">
        <v>111.0</v>
      </c>
      <c r="G2137" s="15" t="str">
        <f t="shared" si="1"/>
        <v>39111</v>
      </c>
      <c r="H2137" s="23" t="s">
        <v>156</v>
      </c>
      <c r="I2137" s="23" t="s">
        <v>100</v>
      </c>
      <c r="J2137" s="23" t="s">
        <v>339</v>
      </c>
      <c r="K2137" s="23" t="str">
        <f t="shared" si="36"/>
        <v>Monroe, OH</v>
      </c>
      <c r="L2137" s="23" t="s">
        <v>63</v>
      </c>
      <c r="M2137" s="23" t="s">
        <v>63</v>
      </c>
      <c r="N2137" s="23" t="s">
        <v>63</v>
      </c>
      <c r="O2137" s="23" t="s">
        <v>63</v>
      </c>
      <c r="P2137" s="23" t="s">
        <v>63</v>
      </c>
      <c r="Q2137" s="23" t="s">
        <v>63</v>
      </c>
      <c r="R2137" s="23" t="s">
        <v>63</v>
      </c>
      <c r="S2137" s="23" t="s">
        <v>63</v>
      </c>
      <c r="T2137" s="32"/>
      <c r="U2137" s="23" t="s">
        <v>63</v>
      </c>
      <c r="V2137" s="23" t="s">
        <v>63</v>
      </c>
      <c r="W2137" s="23" t="s">
        <v>63</v>
      </c>
      <c r="X2137" s="23" t="s">
        <v>63</v>
      </c>
      <c r="Y2137" s="35">
        <v>34.0</v>
      </c>
      <c r="Z2137" s="32" t="s">
        <v>63</v>
      </c>
      <c r="AA2137" s="38"/>
      <c r="AB2137" s="38"/>
      <c r="AC2137" s="38"/>
      <c r="AD2137" s="38"/>
      <c r="AE2137" s="38"/>
      <c r="AF2137" s="38"/>
      <c r="AG2137" s="38"/>
      <c r="AH2137" s="38"/>
      <c r="AI2137" s="38"/>
      <c r="AJ2137" s="38"/>
      <c r="AK2137" s="38"/>
    </row>
    <row r="2138">
      <c r="A2138" s="99">
        <v>2137.0</v>
      </c>
      <c r="B2138" s="15"/>
      <c r="C2138" s="15"/>
      <c r="D2138" s="105">
        <v>1.0</v>
      </c>
      <c r="E2138" s="102">
        <v>39.0</v>
      </c>
      <c r="F2138" s="107">
        <v>113.0</v>
      </c>
      <c r="G2138" s="15" t="str">
        <f t="shared" si="1"/>
        <v>39113</v>
      </c>
      <c r="H2138" s="23" t="s">
        <v>157</v>
      </c>
      <c r="I2138" s="23" t="s">
        <v>100</v>
      </c>
      <c r="J2138" s="23" t="s">
        <v>339</v>
      </c>
      <c r="K2138" s="112" t="str">
        <f t="shared" si="36"/>
        <v>Montgomery, OH</v>
      </c>
      <c r="L2138" s="23">
        <v>776.0</v>
      </c>
      <c r="M2138" s="23" t="s">
        <v>63</v>
      </c>
      <c r="N2138" s="23">
        <v>476.0</v>
      </c>
      <c r="O2138" s="23">
        <v>88.0</v>
      </c>
      <c r="P2138" s="23" t="s">
        <v>63</v>
      </c>
      <c r="Q2138" s="23" t="s">
        <v>63</v>
      </c>
      <c r="R2138" s="23">
        <v>211.0</v>
      </c>
      <c r="S2138" s="23" t="s">
        <v>63</v>
      </c>
      <c r="T2138" s="32">
        <v>0.4322820037105751</v>
      </c>
      <c r="U2138" s="23" t="s">
        <v>63</v>
      </c>
      <c r="V2138" s="23" t="s">
        <v>63</v>
      </c>
      <c r="W2138" s="23" t="s">
        <v>63</v>
      </c>
      <c r="X2138" s="23" t="s">
        <v>63</v>
      </c>
      <c r="Y2138" s="35">
        <v>478.0</v>
      </c>
      <c r="Z2138" s="32" t="s">
        <v>63</v>
      </c>
      <c r="AA2138" s="38"/>
      <c r="AB2138" s="38"/>
      <c r="AC2138" s="38"/>
      <c r="AD2138" s="38"/>
      <c r="AE2138" s="38"/>
      <c r="AF2138" s="38"/>
      <c r="AG2138" s="38"/>
      <c r="AH2138" s="38"/>
      <c r="AI2138" s="38"/>
      <c r="AJ2138" s="38"/>
      <c r="AK2138" s="38"/>
    </row>
    <row r="2139">
      <c r="A2139" s="99">
        <v>2138.0</v>
      </c>
      <c r="B2139" s="15"/>
      <c r="C2139" s="15"/>
      <c r="D2139" s="105">
        <v>1.0</v>
      </c>
      <c r="E2139" s="102">
        <v>39.0</v>
      </c>
      <c r="F2139" s="107">
        <v>115.0</v>
      </c>
      <c r="G2139" s="15" t="str">
        <f t="shared" si="1"/>
        <v>39115</v>
      </c>
      <c r="H2139" s="23" t="s">
        <v>158</v>
      </c>
      <c r="I2139" s="23" t="s">
        <v>100</v>
      </c>
      <c r="J2139" s="23" t="s">
        <v>339</v>
      </c>
      <c r="K2139" s="23" t="str">
        <f t="shared" si="36"/>
        <v>Morgan, OH</v>
      </c>
      <c r="L2139" s="23">
        <v>25.0</v>
      </c>
      <c r="M2139" s="23" t="s">
        <v>63</v>
      </c>
      <c r="N2139" s="23">
        <v>13.0</v>
      </c>
      <c r="O2139" s="23" t="s">
        <v>63</v>
      </c>
      <c r="P2139" s="23" t="s">
        <v>63</v>
      </c>
      <c r="Q2139" s="23" t="s">
        <v>63</v>
      </c>
      <c r="R2139" s="23" t="s">
        <v>63</v>
      </c>
      <c r="S2139" s="23" t="s">
        <v>63</v>
      </c>
      <c r="T2139" s="32">
        <v>0.75</v>
      </c>
      <c r="U2139" s="23" t="s">
        <v>63</v>
      </c>
      <c r="V2139" s="23" t="s">
        <v>63</v>
      </c>
      <c r="W2139" s="23" t="s">
        <v>63</v>
      </c>
      <c r="X2139" s="23" t="s">
        <v>63</v>
      </c>
      <c r="Y2139" s="35">
        <v>24.0</v>
      </c>
      <c r="Z2139" s="32" t="s">
        <v>63</v>
      </c>
      <c r="AA2139" s="38"/>
      <c r="AB2139" s="38"/>
      <c r="AC2139" s="38"/>
      <c r="AD2139" s="38"/>
      <c r="AE2139" s="38"/>
      <c r="AF2139" s="38"/>
      <c r="AG2139" s="38"/>
      <c r="AH2139" s="38"/>
      <c r="AI2139" s="38"/>
      <c r="AJ2139" s="38"/>
      <c r="AK2139" s="38"/>
    </row>
    <row r="2140">
      <c r="A2140" s="99">
        <v>2139.0</v>
      </c>
      <c r="B2140" s="15"/>
      <c r="C2140" s="15"/>
      <c r="D2140" s="105">
        <v>1.0</v>
      </c>
      <c r="E2140" s="102">
        <v>39.0</v>
      </c>
      <c r="F2140" s="107">
        <v>117.0</v>
      </c>
      <c r="G2140" s="15" t="str">
        <f t="shared" si="1"/>
        <v>39117</v>
      </c>
      <c r="H2140" s="23" t="s">
        <v>1691</v>
      </c>
      <c r="I2140" s="23" t="s">
        <v>100</v>
      </c>
      <c r="J2140" s="23" t="s">
        <v>339</v>
      </c>
      <c r="K2140" s="23" t="str">
        <f t="shared" si="36"/>
        <v>Morrow, OH</v>
      </c>
      <c r="L2140" s="23">
        <v>29.0</v>
      </c>
      <c r="M2140" s="23" t="s">
        <v>63</v>
      </c>
      <c r="N2140" s="23">
        <v>17.0</v>
      </c>
      <c r="O2140" s="23" t="s">
        <v>63</v>
      </c>
      <c r="P2140" s="23" t="s">
        <v>63</v>
      </c>
      <c r="Q2140" s="23" t="s">
        <v>63</v>
      </c>
      <c r="R2140" s="23" t="s">
        <v>63</v>
      </c>
      <c r="S2140" s="23" t="s">
        <v>63</v>
      </c>
      <c r="T2140" s="32">
        <v>0.3076923076923077</v>
      </c>
      <c r="U2140" s="23" t="s">
        <v>63</v>
      </c>
      <c r="V2140" s="23" t="s">
        <v>63</v>
      </c>
      <c r="W2140" s="23" t="s">
        <v>63</v>
      </c>
      <c r="X2140" s="23" t="s">
        <v>63</v>
      </c>
      <c r="Y2140" s="35">
        <v>32.0</v>
      </c>
      <c r="Z2140" s="32" t="s">
        <v>63</v>
      </c>
      <c r="AA2140" s="38"/>
      <c r="AB2140" s="38"/>
      <c r="AC2140" s="38"/>
      <c r="AD2140" s="38"/>
      <c r="AE2140" s="38"/>
      <c r="AF2140" s="38"/>
      <c r="AG2140" s="38"/>
      <c r="AH2140" s="38"/>
      <c r="AI2140" s="38"/>
      <c r="AJ2140" s="38"/>
      <c r="AK2140" s="38"/>
    </row>
    <row r="2141">
      <c r="A2141" s="99">
        <v>2140.0</v>
      </c>
      <c r="B2141" s="15"/>
      <c r="C2141" s="15"/>
      <c r="D2141" s="105">
        <v>1.0</v>
      </c>
      <c r="E2141" s="102">
        <v>39.0</v>
      </c>
      <c r="F2141" s="107">
        <v>119.0</v>
      </c>
      <c r="G2141" s="15" t="str">
        <f t="shared" si="1"/>
        <v>39119</v>
      </c>
      <c r="H2141" s="23" t="s">
        <v>1692</v>
      </c>
      <c r="I2141" s="23" t="s">
        <v>100</v>
      </c>
      <c r="J2141" s="23" t="s">
        <v>339</v>
      </c>
      <c r="K2141" s="23" t="str">
        <f t="shared" si="36"/>
        <v>Muskingum, OH</v>
      </c>
      <c r="L2141" s="23">
        <v>184.0</v>
      </c>
      <c r="M2141" s="23" t="s">
        <v>63</v>
      </c>
      <c r="N2141" s="23">
        <v>79.0</v>
      </c>
      <c r="O2141" s="23">
        <v>64.0</v>
      </c>
      <c r="P2141" s="23" t="s">
        <v>63</v>
      </c>
      <c r="Q2141" s="23" t="s">
        <v>63</v>
      </c>
      <c r="R2141" s="23">
        <v>12.0</v>
      </c>
      <c r="S2141" s="23" t="s">
        <v>63</v>
      </c>
      <c r="T2141" s="32">
        <v>0.375</v>
      </c>
      <c r="U2141" s="23" t="s">
        <v>63</v>
      </c>
      <c r="V2141" s="23" t="s">
        <v>63</v>
      </c>
      <c r="W2141" s="23" t="s">
        <v>63</v>
      </c>
      <c r="X2141" s="23" t="s">
        <v>63</v>
      </c>
      <c r="Y2141" s="35">
        <v>102.0</v>
      </c>
      <c r="Z2141" s="32" t="s">
        <v>63</v>
      </c>
      <c r="AA2141" s="38"/>
      <c r="AB2141" s="38"/>
      <c r="AC2141" s="38"/>
      <c r="AD2141" s="38"/>
      <c r="AE2141" s="38"/>
      <c r="AF2141" s="38"/>
      <c r="AG2141" s="38"/>
      <c r="AH2141" s="38"/>
      <c r="AI2141" s="38"/>
      <c r="AJ2141" s="38"/>
      <c r="AK2141" s="38"/>
    </row>
    <row r="2142">
      <c r="A2142" s="99">
        <v>2141.0</v>
      </c>
      <c r="B2142" s="15"/>
      <c r="C2142" s="15"/>
      <c r="D2142" s="105">
        <v>1.0</v>
      </c>
      <c r="E2142" s="102">
        <v>39.0</v>
      </c>
      <c r="F2142" s="107">
        <v>121.0</v>
      </c>
      <c r="G2142" s="15" t="str">
        <f t="shared" si="1"/>
        <v>39121</v>
      </c>
      <c r="H2142" s="23" t="s">
        <v>793</v>
      </c>
      <c r="I2142" s="23" t="s">
        <v>100</v>
      </c>
      <c r="J2142" s="23" t="s">
        <v>339</v>
      </c>
      <c r="K2142" s="23" t="str">
        <f t="shared" si="36"/>
        <v>Noble, OH</v>
      </c>
      <c r="L2142" s="23" t="s">
        <v>63</v>
      </c>
      <c r="M2142" s="23" t="s">
        <v>63</v>
      </c>
      <c r="N2142" s="23" t="s">
        <v>63</v>
      </c>
      <c r="O2142" s="23" t="s">
        <v>63</v>
      </c>
      <c r="P2142" s="23" t="s">
        <v>63</v>
      </c>
      <c r="Q2142" s="23" t="s">
        <v>63</v>
      </c>
      <c r="R2142" s="23" t="s">
        <v>63</v>
      </c>
      <c r="S2142" s="23" t="s">
        <v>63</v>
      </c>
      <c r="T2142" s="32" t="s">
        <v>63</v>
      </c>
      <c r="U2142" s="23" t="s">
        <v>63</v>
      </c>
      <c r="V2142" s="23" t="s">
        <v>63</v>
      </c>
      <c r="W2142" s="23" t="s">
        <v>63</v>
      </c>
      <c r="X2142" s="23" t="s">
        <v>63</v>
      </c>
      <c r="Y2142" s="35">
        <v>19.0</v>
      </c>
      <c r="Z2142" s="32" t="s">
        <v>63</v>
      </c>
      <c r="AA2142" s="38"/>
      <c r="AB2142" s="38"/>
      <c r="AC2142" s="38"/>
      <c r="AD2142" s="38"/>
      <c r="AE2142" s="38"/>
      <c r="AF2142" s="38"/>
      <c r="AG2142" s="38"/>
      <c r="AH2142" s="38"/>
      <c r="AI2142" s="38"/>
      <c r="AJ2142" s="38"/>
      <c r="AK2142" s="38"/>
    </row>
    <row r="2143">
      <c r="A2143" s="99">
        <v>2142.0</v>
      </c>
      <c r="B2143" s="15"/>
      <c r="C2143" s="15"/>
      <c r="D2143" s="105">
        <v>1.0</v>
      </c>
      <c r="E2143" s="102">
        <v>39.0</v>
      </c>
      <c r="F2143" s="107">
        <v>123.0</v>
      </c>
      <c r="G2143" s="15" t="str">
        <f t="shared" si="1"/>
        <v>39123</v>
      </c>
      <c r="H2143" s="23" t="s">
        <v>998</v>
      </c>
      <c r="I2143" s="23" t="s">
        <v>100</v>
      </c>
      <c r="J2143" s="23" t="s">
        <v>339</v>
      </c>
      <c r="K2143" s="23" t="str">
        <f t="shared" si="36"/>
        <v>Ottawa, OH</v>
      </c>
      <c r="L2143" s="23">
        <v>21.0</v>
      </c>
      <c r="M2143" s="23" t="s">
        <v>63</v>
      </c>
      <c r="N2143" s="23" t="s">
        <v>63</v>
      </c>
      <c r="O2143" s="23">
        <v>10.0</v>
      </c>
      <c r="P2143" s="23" t="s">
        <v>63</v>
      </c>
      <c r="Q2143" s="23" t="s">
        <v>63</v>
      </c>
      <c r="R2143" s="23" t="s">
        <v>63</v>
      </c>
      <c r="S2143" s="23" t="s">
        <v>63</v>
      </c>
      <c r="T2143" s="32" t="s">
        <v>63</v>
      </c>
      <c r="U2143" s="23" t="s">
        <v>63</v>
      </c>
      <c r="V2143" s="23" t="s">
        <v>63</v>
      </c>
      <c r="W2143" s="23" t="s">
        <v>63</v>
      </c>
      <c r="X2143" s="23" t="s">
        <v>63</v>
      </c>
      <c r="Y2143" s="35">
        <v>51.0</v>
      </c>
      <c r="Z2143" s="32" t="s">
        <v>63</v>
      </c>
      <c r="AA2143" s="38"/>
      <c r="AB2143" s="38"/>
      <c r="AC2143" s="38"/>
      <c r="AD2143" s="38"/>
      <c r="AE2143" s="38"/>
      <c r="AF2143" s="38"/>
      <c r="AG2143" s="38"/>
      <c r="AH2143" s="38"/>
      <c r="AI2143" s="38"/>
      <c r="AJ2143" s="38"/>
      <c r="AK2143" s="38"/>
    </row>
    <row r="2144">
      <c r="A2144" s="99">
        <v>2143.0</v>
      </c>
      <c r="B2144" s="15"/>
      <c r="C2144" s="15"/>
      <c r="D2144" s="105">
        <v>1.0</v>
      </c>
      <c r="E2144" s="102">
        <v>39.0</v>
      </c>
      <c r="F2144" s="107">
        <v>125.0</v>
      </c>
      <c r="G2144" s="15" t="str">
        <f t="shared" si="1"/>
        <v>39125</v>
      </c>
      <c r="H2144" s="23" t="s">
        <v>616</v>
      </c>
      <c r="I2144" s="23" t="s">
        <v>100</v>
      </c>
      <c r="J2144" s="23" t="s">
        <v>339</v>
      </c>
      <c r="K2144" s="23" t="str">
        <f t="shared" si="36"/>
        <v>Paulding, OH</v>
      </c>
      <c r="L2144" s="23">
        <v>10.0</v>
      </c>
      <c r="M2144" s="23" t="s">
        <v>63</v>
      </c>
      <c r="N2144" s="23" t="s">
        <v>63</v>
      </c>
      <c r="O2144" s="23" t="s">
        <v>63</v>
      </c>
      <c r="P2144" s="23" t="s">
        <v>63</v>
      </c>
      <c r="Q2144" s="23" t="s">
        <v>63</v>
      </c>
      <c r="R2144" s="23" t="s">
        <v>63</v>
      </c>
      <c r="S2144" s="23" t="s">
        <v>63</v>
      </c>
      <c r="T2144" s="32" t="s">
        <v>63</v>
      </c>
      <c r="U2144" s="23" t="s">
        <v>63</v>
      </c>
      <c r="V2144" s="23" t="s">
        <v>63</v>
      </c>
      <c r="W2144" s="23" t="s">
        <v>63</v>
      </c>
      <c r="X2144" s="23" t="s">
        <v>63</v>
      </c>
      <c r="Y2144" s="35">
        <v>27.0</v>
      </c>
      <c r="Z2144" s="32" t="s">
        <v>63</v>
      </c>
      <c r="AA2144" s="38"/>
      <c r="AB2144" s="38"/>
      <c r="AC2144" s="38"/>
      <c r="AD2144" s="38"/>
      <c r="AE2144" s="38"/>
      <c r="AF2144" s="38"/>
      <c r="AG2144" s="38"/>
      <c r="AH2144" s="38"/>
      <c r="AI2144" s="38"/>
      <c r="AJ2144" s="38"/>
      <c r="AK2144" s="38"/>
    </row>
    <row r="2145">
      <c r="A2145" s="99">
        <v>2144.0</v>
      </c>
      <c r="B2145" s="15"/>
      <c r="C2145" s="15"/>
      <c r="D2145" s="105">
        <v>1.0</v>
      </c>
      <c r="E2145" s="102">
        <v>39.0</v>
      </c>
      <c r="F2145" s="107">
        <v>127.0</v>
      </c>
      <c r="G2145" s="15" t="str">
        <f t="shared" si="1"/>
        <v>39127</v>
      </c>
      <c r="H2145" s="23" t="s">
        <v>159</v>
      </c>
      <c r="I2145" s="23" t="s">
        <v>100</v>
      </c>
      <c r="J2145" s="23" t="s">
        <v>339</v>
      </c>
      <c r="K2145" s="23" t="str">
        <f t="shared" si="36"/>
        <v>Perry, OH</v>
      </c>
      <c r="L2145" s="23">
        <v>46.0</v>
      </c>
      <c r="M2145" s="23" t="s">
        <v>63</v>
      </c>
      <c r="N2145" s="23">
        <v>23.0</v>
      </c>
      <c r="O2145" s="23">
        <v>12.0</v>
      </c>
      <c r="P2145" s="23" t="s">
        <v>63</v>
      </c>
      <c r="Q2145" s="23" t="s">
        <v>63</v>
      </c>
      <c r="R2145" s="23" t="s">
        <v>63</v>
      </c>
      <c r="S2145" s="23" t="s">
        <v>63</v>
      </c>
      <c r="T2145" s="32">
        <v>0.4482758620689655</v>
      </c>
      <c r="U2145" s="23" t="s">
        <v>63</v>
      </c>
      <c r="V2145" s="23" t="s">
        <v>63</v>
      </c>
      <c r="W2145" s="23" t="s">
        <v>63</v>
      </c>
      <c r="X2145" s="23" t="s">
        <v>63</v>
      </c>
      <c r="Y2145" s="35">
        <v>46.0</v>
      </c>
      <c r="Z2145" s="32" t="s">
        <v>63</v>
      </c>
      <c r="AA2145" s="38"/>
      <c r="AB2145" s="38"/>
      <c r="AC2145" s="38"/>
      <c r="AD2145" s="38"/>
      <c r="AE2145" s="38"/>
      <c r="AF2145" s="38"/>
      <c r="AG2145" s="38"/>
      <c r="AH2145" s="38"/>
      <c r="AI2145" s="38"/>
      <c r="AJ2145" s="38"/>
      <c r="AK2145" s="38"/>
    </row>
    <row r="2146">
      <c r="A2146" s="99">
        <v>2145.0</v>
      </c>
      <c r="B2146" s="15"/>
      <c r="C2146" s="15"/>
      <c r="D2146" s="105">
        <v>1.0</v>
      </c>
      <c r="E2146" s="102">
        <v>39.0</v>
      </c>
      <c r="F2146" s="107">
        <v>129.0</v>
      </c>
      <c r="G2146" s="15" t="str">
        <f t="shared" si="1"/>
        <v>39129</v>
      </c>
      <c r="H2146" s="23" t="s">
        <v>1693</v>
      </c>
      <c r="I2146" s="23" t="s">
        <v>100</v>
      </c>
      <c r="J2146" s="23" t="s">
        <v>339</v>
      </c>
      <c r="K2146" s="23" t="str">
        <f t="shared" si="36"/>
        <v>Pickaway, OH</v>
      </c>
      <c r="L2146" s="23">
        <v>26.0</v>
      </c>
      <c r="M2146" s="23" t="s">
        <v>63</v>
      </c>
      <c r="N2146" s="23">
        <v>18.0</v>
      </c>
      <c r="O2146" s="23" t="s">
        <v>63</v>
      </c>
      <c r="P2146" s="23" t="s">
        <v>63</v>
      </c>
      <c r="Q2146" s="23" t="s">
        <v>63</v>
      </c>
      <c r="R2146" s="23" t="s">
        <v>63</v>
      </c>
      <c r="S2146" s="23" t="s">
        <v>63</v>
      </c>
      <c r="T2146" s="32">
        <v>0.5357142857142857</v>
      </c>
      <c r="U2146" s="23" t="s">
        <v>63</v>
      </c>
      <c r="V2146" s="23" t="s">
        <v>63</v>
      </c>
      <c r="W2146" s="23" t="s">
        <v>63</v>
      </c>
      <c r="X2146" s="23" t="s">
        <v>63</v>
      </c>
      <c r="Y2146" s="35">
        <v>54.0</v>
      </c>
      <c r="Z2146" s="32" t="s">
        <v>63</v>
      </c>
      <c r="AA2146" s="38"/>
      <c r="AB2146" s="38"/>
      <c r="AC2146" s="38"/>
      <c r="AD2146" s="38"/>
      <c r="AE2146" s="38"/>
      <c r="AF2146" s="38"/>
      <c r="AG2146" s="38"/>
      <c r="AH2146" s="38"/>
      <c r="AI2146" s="38"/>
      <c r="AJ2146" s="38"/>
      <c r="AK2146" s="38"/>
    </row>
    <row r="2147">
      <c r="A2147" s="99">
        <v>2146.0</v>
      </c>
      <c r="B2147" s="15"/>
      <c r="C2147" s="15"/>
      <c r="D2147" s="105">
        <v>1.0</v>
      </c>
      <c r="E2147" s="102">
        <v>39.0</v>
      </c>
      <c r="F2147" s="107">
        <v>131.0</v>
      </c>
      <c r="G2147" s="15" t="str">
        <f t="shared" si="1"/>
        <v>39131</v>
      </c>
      <c r="H2147" s="23" t="s">
        <v>162</v>
      </c>
      <c r="I2147" s="23" t="s">
        <v>100</v>
      </c>
      <c r="J2147" s="23" t="s">
        <v>339</v>
      </c>
      <c r="K2147" s="23" t="str">
        <f t="shared" si="36"/>
        <v>Pike, OH</v>
      </c>
      <c r="L2147" s="23">
        <v>27.0</v>
      </c>
      <c r="M2147" s="23" t="s">
        <v>63</v>
      </c>
      <c r="N2147" s="23">
        <v>13.0</v>
      </c>
      <c r="O2147" s="23" t="s">
        <v>63</v>
      </c>
      <c r="P2147" s="23" t="s">
        <v>63</v>
      </c>
      <c r="Q2147" s="23" t="s">
        <v>63</v>
      </c>
      <c r="R2147" s="23" t="s">
        <v>63</v>
      </c>
      <c r="S2147" s="23" t="s">
        <v>63</v>
      </c>
      <c r="T2147" s="32">
        <v>0.5517241379310345</v>
      </c>
      <c r="U2147" s="23" t="s">
        <v>63</v>
      </c>
      <c r="V2147" s="23" t="s">
        <v>63</v>
      </c>
      <c r="W2147" s="23" t="s">
        <v>63</v>
      </c>
      <c r="X2147" s="23" t="s">
        <v>63</v>
      </c>
      <c r="Y2147" s="35">
        <v>32.0</v>
      </c>
      <c r="Z2147" s="32" t="s">
        <v>63</v>
      </c>
      <c r="AA2147" s="38"/>
      <c r="AB2147" s="38"/>
      <c r="AC2147" s="38"/>
      <c r="AD2147" s="38"/>
      <c r="AE2147" s="38"/>
      <c r="AF2147" s="38"/>
      <c r="AG2147" s="38"/>
      <c r="AH2147" s="38"/>
      <c r="AI2147" s="38"/>
      <c r="AJ2147" s="38"/>
      <c r="AK2147" s="38"/>
    </row>
    <row r="2148">
      <c r="A2148" s="99">
        <v>2147.0</v>
      </c>
      <c r="B2148" s="15"/>
      <c r="C2148" s="15"/>
      <c r="D2148" s="105">
        <v>1.0</v>
      </c>
      <c r="E2148" s="102">
        <v>39.0</v>
      </c>
      <c r="F2148" s="107">
        <v>133.0</v>
      </c>
      <c r="G2148" s="15" t="str">
        <f t="shared" si="1"/>
        <v>39133</v>
      </c>
      <c r="H2148" s="23" t="s">
        <v>1694</v>
      </c>
      <c r="I2148" s="23" t="s">
        <v>100</v>
      </c>
      <c r="J2148" s="23" t="s">
        <v>339</v>
      </c>
      <c r="K2148" s="23" t="str">
        <f t="shared" si="36"/>
        <v>Portage, OH</v>
      </c>
      <c r="L2148" s="23">
        <v>165.0</v>
      </c>
      <c r="M2148" s="23" t="s">
        <v>63</v>
      </c>
      <c r="N2148" s="23">
        <v>99.0</v>
      </c>
      <c r="O2148" s="23">
        <v>38.0</v>
      </c>
      <c r="P2148" s="23" t="s">
        <v>63</v>
      </c>
      <c r="Q2148" s="23" t="s">
        <v>63</v>
      </c>
      <c r="R2148" s="23">
        <v>40.0</v>
      </c>
      <c r="S2148" s="23" t="s">
        <v>63</v>
      </c>
      <c r="T2148" s="32">
        <v>0.589041095890411</v>
      </c>
      <c r="U2148" s="23" t="s">
        <v>63</v>
      </c>
      <c r="V2148" s="23" t="s">
        <v>63</v>
      </c>
      <c r="W2148" s="23" t="s">
        <v>63</v>
      </c>
      <c r="X2148" s="23" t="s">
        <v>63</v>
      </c>
      <c r="Y2148" s="35">
        <v>109.0</v>
      </c>
      <c r="Z2148" s="32" t="s">
        <v>63</v>
      </c>
      <c r="AA2148" s="38"/>
      <c r="AB2148" s="38"/>
      <c r="AC2148" s="38"/>
      <c r="AD2148" s="38"/>
      <c r="AE2148" s="38"/>
      <c r="AF2148" s="38"/>
      <c r="AG2148" s="38"/>
      <c r="AH2148" s="38"/>
      <c r="AI2148" s="38"/>
      <c r="AJ2148" s="38"/>
      <c r="AK2148" s="38"/>
    </row>
    <row r="2149">
      <c r="A2149" s="99">
        <v>2148.0</v>
      </c>
      <c r="B2149" s="15"/>
      <c r="C2149" s="15"/>
      <c r="D2149" s="105">
        <v>1.0</v>
      </c>
      <c r="E2149" s="102">
        <v>39.0</v>
      </c>
      <c r="F2149" s="107">
        <v>135.0</v>
      </c>
      <c r="G2149" s="15" t="str">
        <f t="shared" si="1"/>
        <v>39135</v>
      </c>
      <c r="H2149" s="23" t="s">
        <v>1695</v>
      </c>
      <c r="I2149" s="23" t="s">
        <v>100</v>
      </c>
      <c r="J2149" s="23" t="s">
        <v>339</v>
      </c>
      <c r="K2149" s="23" t="str">
        <f t="shared" si="36"/>
        <v>Preble, OH</v>
      </c>
      <c r="L2149" s="23">
        <v>55.0</v>
      </c>
      <c r="M2149" s="23" t="s">
        <v>63</v>
      </c>
      <c r="N2149" s="23">
        <v>40.0</v>
      </c>
      <c r="O2149" s="23" t="s">
        <v>63</v>
      </c>
      <c r="P2149" s="23" t="s">
        <v>63</v>
      </c>
      <c r="Q2149" s="23" t="s">
        <v>63</v>
      </c>
      <c r="R2149" s="23">
        <v>27.0</v>
      </c>
      <c r="S2149" s="23" t="s">
        <v>63</v>
      </c>
      <c r="T2149" s="32">
        <v>0.574468085106383</v>
      </c>
      <c r="U2149" s="23" t="s">
        <v>63</v>
      </c>
      <c r="V2149" s="23" t="s">
        <v>63</v>
      </c>
      <c r="W2149" s="23" t="s">
        <v>63</v>
      </c>
      <c r="X2149" s="23" t="s">
        <v>63</v>
      </c>
      <c r="Y2149" s="35">
        <v>46.0</v>
      </c>
      <c r="Z2149" s="32" t="s">
        <v>63</v>
      </c>
      <c r="AA2149" s="38"/>
      <c r="AB2149" s="38"/>
      <c r="AC2149" s="38"/>
      <c r="AD2149" s="38"/>
      <c r="AE2149" s="38"/>
      <c r="AF2149" s="38"/>
      <c r="AG2149" s="38"/>
      <c r="AH2149" s="38"/>
      <c r="AI2149" s="38"/>
      <c r="AJ2149" s="38"/>
      <c r="AK2149" s="38"/>
    </row>
    <row r="2150">
      <c r="A2150" s="99">
        <v>2149.0</v>
      </c>
      <c r="B2150" s="15"/>
      <c r="C2150" s="15"/>
      <c r="D2150" s="105">
        <v>1.0</v>
      </c>
      <c r="E2150" s="102">
        <v>39.0</v>
      </c>
      <c r="F2150" s="107">
        <v>137.0</v>
      </c>
      <c r="G2150" s="15" t="str">
        <f t="shared" si="1"/>
        <v>39137</v>
      </c>
      <c r="H2150" s="23" t="s">
        <v>518</v>
      </c>
      <c r="I2150" s="23" t="s">
        <v>100</v>
      </c>
      <c r="J2150" s="23" t="s">
        <v>339</v>
      </c>
      <c r="K2150" s="23" t="str">
        <f t="shared" si="36"/>
        <v>Putnam, OH</v>
      </c>
      <c r="L2150" s="23">
        <v>17.0</v>
      </c>
      <c r="M2150" s="23" t="s">
        <v>63</v>
      </c>
      <c r="N2150" s="23">
        <v>11.0</v>
      </c>
      <c r="O2150" s="23" t="s">
        <v>63</v>
      </c>
      <c r="P2150" s="23" t="s">
        <v>63</v>
      </c>
      <c r="Q2150" s="23" t="s">
        <v>63</v>
      </c>
      <c r="R2150" s="23" t="s">
        <v>63</v>
      </c>
      <c r="S2150" s="23" t="s">
        <v>63</v>
      </c>
      <c r="T2150" s="32">
        <v>0.7894736842105263</v>
      </c>
      <c r="U2150" s="23" t="s">
        <v>63</v>
      </c>
      <c r="V2150" s="23" t="s">
        <v>63</v>
      </c>
      <c r="W2150" s="23" t="s">
        <v>63</v>
      </c>
      <c r="X2150" s="23" t="s">
        <v>63</v>
      </c>
      <c r="Y2150" s="35">
        <v>35.0</v>
      </c>
      <c r="Z2150" s="32" t="s">
        <v>63</v>
      </c>
      <c r="AA2150" s="38"/>
      <c r="AB2150" s="38"/>
      <c r="AC2150" s="38"/>
      <c r="AD2150" s="38"/>
      <c r="AE2150" s="38"/>
      <c r="AF2150" s="38"/>
      <c r="AG2150" s="38"/>
      <c r="AH2150" s="38"/>
      <c r="AI2150" s="38"/>
      <c r="AJ2150" s="38"/>
      <c r="AK2150" s="38"/>
    </row>
    <row r="2151">
      <c r="A2151" s="99">
        <v>2150.0</v>
      </c>
      <c r="B2151" s="15"/>
      <c r="C2151" s="15"/>
      <c r="D2151" s="105">
        <v>1.0</v>
      </c>
      <c r="E2151" s="102">
        <v>39.0</v>
      </c>
      <c r="F2151" s="107">
        <v>139.0</v>
      </c>
      <c r="G2151" s="15" t="str">
        <f t="shared" si="1"/>
        <v>39139</v>
      </c>
      <c r="H2151" s="23" t="s">
        <v>743</v>
      </c>
      <c r="I2151" s="23" t="s">
        <v>100</v>
      </c>
      <c r="J2151" s="23" t="s">
        <v>339</v>
      </c>
      <c r="K2151" s="23" t="str">
        <f t="shared" si="36"/>
        <v>Richland, OH</v>
      </c>
      <c r="L2151" s="23">
        <v>129.0</v>
      </c>
      <c r="M2151" s="23" t="s">
        <v>63</v>
      </c>
      <c r="N2151" s="23">
        <v>108.0</v>
      </c>
      <c r="O2151" s="23" t="s">
        <v>63</v>
      </c>
      <c r="P2151" s="23" t="s">
        <v>63</v>
      </c>
      <c r="Q2151" s="23" t="s">
        <v>63</v>
      </c>
      <c r="R2151" s="23">
        <v>45.0</v>
      </c>
      <c r="S2151" s="23" t="s">
        <v>63</v>
      </c>
      <c r="T2151" s="32">
        <v>0.14102564102564102</v>
      </c>
      <c r="U2151" s="23" t="s">
        <v>63</v>
      </c>
      <c r="V2151" s="23" t="s">
        <v>63</v>
      </c>
      <c r="W2151" s="23" t="s">
        <v>63</v>
      </c>
      <c r="X2151" s="23" t="s">
        <v>63</v>
      </c>
      <c r="Y2151" s="35">
        <v>144.0</v>
      </c>
      <c r="Z2151" s="32" t="s">
        <v>63</v>
      </c>
      <c r="AA2151" s="38"/>
      <c r="AB2151" s="38"/>
      <c r="AC2151" s="38"/>
      <c r="AD2151" s="38"/>
      <c r="AE2151" s="38"/>
      <c r="AF2151" s="38"/>
      <c r="AG2151" s="38"/>
      <c r="AH2151" s="38"/>
      <c r="AI2151" s="38"/>
      <c r="AJ2151" s="38"/>
      <c r="AK2151" s="38"/>
    </row>
    <row r="2152">
      <c r="A2152" s="99">
        <v>2151.0</v>
      </c>
      <c r="B2152" s="15"/>
      <c r="C2152" s="15"/>
      <c r="D2152" s="105">
        <v>1.0</v>
      </c>
      <c r="E2152" s="102">
        <v>39.0</v>
      </c>
      <c r="F2152" s="107">
        <v>141.0</v>
      </c>
      <c r="G2152" s="15" t="str">
        <f t="shared" si="1"/>
        <v>39141</v>
      </c>
      <c r="H2152" s="23" t="s">
        <v>1696</v>
      </c>
      <c r="I2152" s="23" t="s">
        <v>100</v>
      </c>
      <c r="J2152" s="23" t="s">
        <v>339</v>
      </c>
      <c r="K2152" s="23" t="str">
        <f t="shared" si="36"/>
        <v>Ross, OH</v>
      </c>
      <c r="L2152" s="23">
        <v>121.0</v>
      </c>
      <c r="M2152" s="23" t="s">
        <v>63</v>
      </c>
      <c r="N2152" s="23">
        <v>90.0</v>
      </c>
      <c r="O2152" s="23" t="s">
        <v>63</v>
      </c>
      <c r="P2152" s="23" t="s">
        <v>63</v>
      </c>
      <c r="Q2152" s="23" t="s">
        <v>63</v>
      </c>
      <c r="R2152" s="23">
        <v>35.0</v>
      </c>
      <c r="S2152" s="23" t="s">
        <v>63</v>
      </c>
      <c r="T2152" s="32">
        <v>0.39823008849557523</v>
      </c>
      <c r="U2152" s="23" t="s">
        <v>63</v>
      </c>
      <c r="V2152" s="23" t="s">
        <v>63</v>
      </c>
      <c r="W2152" s="23" t="s">
        <v>63</v>
      </c>
      <c r="X2152" s="23" t="s">
        <v>63</v>
      </c>
      <c r="Y2152" s="35">
        <v>77.0</v>
      </c>
      <c r="Z2152" s="32" t="s">
        <v>63</v>
      </c>
      <c r="AA2152" s="38"/>
      <c r="AB2152" s="38"/>
      <c r="AC2152" s="38"/>
      <c r="AD2152" s="38"/>
      <c r="AE2152" s="38"/>
      <c r="AF2152" s="38"/>
      <c r="AG2152" s="38"/>
      <c r="AH2152" s="38"/>
      <c r="AI2152" s="38"/>
      <c r="AJ2152" s="38"/>
      <c r="AK2152" s="38"/>
    </row>
    <row r="2153">
      <c r="A2153" s="99">
        <v>2152.0</v>
      </c>
      <c r="B2153" s="15"/>
      <c r="C2153" s="15"/>
      <c r="D2153" s="105">
        <v>1.0</v>
      </c>
      <c r="E2153" s="102">
        <v>39.0</v>
      </c>
      <c r="F2153" s="107">
        <v>143.0</v>
      </c>
      <c r="G2153" s="15" t="str">
        <f t="shared" si="1"/>
        <v>39143</v>
      </c>
      <c r="H2153" s="23" t="s">
        <v>1697</v>
      </c>
      <c r="I2153" s="23" t="s">
        <v>100</v>
      </c>
      <c r="J2153" s="23" t="s">
        <v>339</v>
      </c>
      <c r="K2153" s="23" t="str">
        <f t="shared" si="36"/>
        <v>Sandusky, OH</v>
      </c>
      <c r="L2153" s="23">
        <v>37.0</v>
      </c>
      <c r="M2153" s="23" t="s">
        <v>63</v>
      </c>
      <c r="N2153" s="23">
        <v>23.0</v>
      </c>
      <c r="O2153" s="23" t="s">
        <v>63</v>
      </c>
      <c r="P2153" s="23" t="s">
        <v>63</v>
      </c>
      <c r="Q2153" s="23" t="s">
        <v>63</v>
      </c>
      <c r="R2153" s="23" t="s">
        <v>63</v>
      </c>
      <c r="S2153" s="23" t="s">
        <v>63</v>
      </c>
      <c r="T2153" s="32">
        <v>0.5161290322580645</v>
      </c>
      <c r="U2153" s="23" t="s">
        <v>63</v>
      </c>
      <c r="V2153" s="23" t="s">
        <v>63</v>
      </c>
      <c r="W2153" s="23" t="s">
        <v>63</v>
      </c>
      <c r="X2153" s="23" t="s">
        <v>63</v>
      </c>
      <c r="Y2153" s="35">
        <v>68.0</v>
      </c>
      <c r="Z2153" s="32" t="s">
        <v>63</v>
      </c>
      <c r="AA2153" s="38"/>
      <c r="AB2153" s="38"/>
      <c r="AC2153" s="38"/>
      <c r="AD2153" s="38"/>
      <c r="AE2153" s="38"/>
      <c r="AF2153" s="38"/>
      <c r="AG2153" s="38"/>
      <c r="AH2153" s="38"/>
      <c r="AI2153" s="38"/>
      <c r="AJ2153" s="38"/>
      <c r="AK2153" s="38"/>
    </row>
    <row r="2154">
      <c r="A2154" s="99">
        <v>2153.0</v>
      </c>
      <c r="B2154" s="15"/>
      <c r="C2154" s="15"/>
      <c r="D2154" s="105">
        <v>1.0</v>
      </c>
      <c r="E2154" s="102">
        <v>39.0</v>
      </c>
      <c r="F2154" s="107">
        <v>145.0</v>
      </c>
      <c r="G2154" s="15" t="str">
        <f t="shared" si="1"/>
        <v>39145</v>
      </c>
      <c r="H2154" s="23" t="s">
        <v>1698</v>
      </c>
      <c r="I2154" s="23" t="s">
        <v>100</v>
      </c>
      <c r="J2154" s="23" t="s">
        <v>339</v>
      </c>
      <c r="K2154" s="23" t="str">
        <f t="shared" si="36"/>
        <v>Scioto, OH</v>
      </c>
      <c r="L2154" s="23">
        <v>260.0</v>
      </c>
      <c r="M2154" s="23" t="s">
        <v>63</v>
      </c>
      <c r="N2154" s="23">
        <v>131.0</v>
      </c>
      <c r="O2154" s="23">
        <v>70.0</v>
      </c>
      <c r="P2154" s="23" t="s">
        <v>63</v>
      </c>
      <c r="Q2154" s="23" t="s">
        <v>63</v>
      </c>
      <c r="R2154" s="23">
        <v>54.0</v>
      </c>
      <c r="S2154" s="23" t="s">
        <v>63</v>
      </c>
      <c r="T2154" s="32">
        <v>0.3469387755102041</v>
      </c>
      <c r="U2154" s="23" t="s">
        <v>63</v>
      </c>
      <c r="V2154" s="23" t="s">
        <v>63</v>
      </c>
      <c r="W2154" s="23" t="s">
        <v>63</v>
      </c>
      <c r="X2154" s="23" t="s">
        <v>63</v>
      </c>
      <c r="Y2154" s="35">
        <v>118.0</v>
      </c>
      <c r="Z2154" s="32" t="s">
        <v>63</v>
      </c>
      <c r="AA2154" s="38"/>
      <c r="AB2154" s="38"/>
      <c r="AC2154" s="38"/>
      <c r="AD2154" s="38"/>
      <c r="AE2154" s="38"/>
      <c r="AF2154" s="38"/>
      <c r="AG2154" s="38"/>
      <c r="AH2154" s="38"/>
      <c r="AI2154" s="38"/>
      <c r="AJ2154" s="38"/>
      <c r="AK2154" s="38"/>
    </row>
    <row r="2155">
      <c r="A2155" s="99">
        <v>2154.0</v>
      </c>
      <c r="B2155" s="15"/>
      <c r="C2155" s="15"/>
      <c r="D2155" s="105">
        <v>1.0</v>
      </c>
      <c r="E2155" s="102">
        <v>39.0</v>
      </c>
      <c r="F2155" s="107">
        <v>147.0</v>
      </c>
      <c r="G2155" s="15" t="str">
        <f t="shared" si="1"/>
        <v>39147</v>
      </c>
      <c r="H2155" s="23" t="s">
        <v>1573</v>
      </c>
      <c r="I2155" s="23" t="s">
        <v>100</v>
      </c>
      <c r="J2155" s="23" t="s">
        <v>339</v>
      </c>
      <c r="K2155" s="23" t="str">
        <f t="shared" si="36"/>
        <v>Seneca, OH</v>
      </c>
      <c r="L2155" s="23">
        <v>42.0</v>
      </c>
      <c r="M2155" s="23" t="s">
        <v>63</v>
      </c>
      <c r="N2155" s="23">
        <v>29.0</v>
      </c>
      <c r="O2155" s="23" t="s">
        <v>63</v>
      </c>
      <c r="P2155" s="23" t="s">
        <v>63</v>
      </c>
      <c r="Q2155" s="23" t="s">
        <v>63</v>
      </c>
      <c r="R2155" s="23" t="s">
        <v>63</v>
      </c>
      <c r="S2155" s="23" t="s">
        <v>63</v>
      </c>
      <c r="T2155" s="32">
        <v>0.3076923076923077</v>
      </c>
      <c r="U2155" s="23" t="s">
        <v>63</v>
      </c>
      <c r="V2155" s="23" t="s">
        <v>63</v>
      </c>
      <c r="W2155" s="23" t="s">
        <v>63</v>
      </c>
      <c r="X2155" s="23" t="s">
        <v>63</v>
      </c>
      <c r="Y2155" s="35">
        <v>56.0</v>
      </c>
      <c r="Z2155" s="32" t="s">
        <v>63</v>
      </c>
      <c r="AA2155" s="38"/>
      <c r="AB2155" s="38"/>
      <c r="AC2155" s="38"/>
      <c r="AD2155" s="38"/>
      <c r="AE2155" s="38"/>
      <c r="AF2155" s="38"/>
      <c r="AG2155" s="38"/>
      <c r="AH2155" s="38"/>
      <c r="AI2155" s="38"/>
      <c r="AJ2155" s="38"/>
      <c r="AK2155" s="38"/>
    </row>
    <row r="2156">
      <c r="A2156" s="99">
        <v>2155.0</v>
      </c>
      <c r="B2156" s="15"/>
      <c r="C2156" s="15"/>
      <c r="D2156" s="105">
        <v>1.0</v>
      </c>
      <c r="E2156" s="102">
        <v>39.0</v>
      </c>
      <c r="F2156" s="107">
        <v>149.0</v>
      </c>
      <c r="G2156" s="15" t="str">
        <f t="shared" si="1"/>
        <v>39149</v>
      </c>
      <c r="H2156" s="23" t="s">
        <v>168</v>
      </c>
      <c r="I2156" s="23" t="s">
        <v>100</v>
      </c>
      <c r="J2156" s="23" t="s">
        <v>339</v>
      </c>
      <c r="K2156" s="23" t="str">
        <f t="shared" si="36"/>
        <v>Shelby, OH</v>
      </c>
      <c r="L2156" s="23">
        <v>20.0</v>
      </c>
      <c r="M2156" s="23" t="s">
        <v>63</v>
      </c>
      <c r="N2156" s="23">
        <v>16.0</v>
      </c>
      <c r="O2156" s="23" t="s">
        <v>63</v>
      </c>
      <c r="P2156" s="23" t="s">
        <v>63</v>
      </c>
      <c r="Q2156" s="23" t="s">
        <v>63</v>
      </c>
      <c r="R2156" s="23" t="s">
        <v>63</v>
      </c>
      <c r="S2156" s="23" t="s">
        <v>63</v>
      </c>
      <c r="T2156" s="32">
        <v>0.42857142857142855</v>
      </c>
      <c r="U2156" s="23" t="s">
        <v>63</v>
      </c>
      <c r="V2156" s="23" t="s">
        <v>63</v>
      </c>
      <c r="W2156" s="23" t="s">
        <v>63</v>
      </c>
      <c r="X2156" s="23" t="s">
        <v>63</v>
      </c>
      <c r="Y2156" s="35">
        <v>50.0</v>
      </c>
      <c r="Z2156" s="32" t="s">
        <v>63</v>
      </c>
      <c r="AA2156" s="38"/>
      <c r="AB2156" s="38"/>
      <c r="AC2156" s="38"/>
      <c r="AD2156" s="38"/>
      <c r="AE2156" s="38"/>
      <c r="AF2156" s="38"/>
      <c r="AG2156" s="38"/>
      <c r="AH2156" s="38"/>
      <c r="AI2156" s="38"/>
      <c r="AJ2156" s="38"/>
      <c r="AK2156" s="38"/>
    </row>
    <row r="2157">
      <c r="A2157" s="99">
        <v>2156.0</v>
      </c>
      <c r="B2157" s="15"/>
      <c r="C2157" s="15"/>
      <c r="D2157" s="105">
        <v>1.0</v>
      </c>
      <c r="E2157" s="102">
        <v>39.0</v>
      </c>
      <c r="F2157" s="107">
        <v>151.0</v>
      </c>
      <c r="G2157" s="15" t="str">
        <f t="shared" si="1"/>
        <v>39151</v>
      </c>
      <c r="H2157" s="23" t="s">
        <v>747</v>
      </c>
      <c r="I2157" s="23" t="s">
        <v>100</v>
      </c>
      <c r="J2157" s="23" t="s">
        <v>339</v>
      </c>
      <c r="K2157" s="23" t="str">
        <f t="shared" si="36"/>
        <v>Stark, OH</v>
      </c>
      <c r="L2157" s="23">
        <v>478.0</v>
      </c>
      <c r="M2157" s="23" t="s">
        <v>63</v>
      </c>
      <c r="N2157" s="23">
        <v>276.0</v>
      </c>
      <c r="O2157" s="23">
        <v>150.0</v>
      </c>
      <c r="P2157" s="23" t="s">
        <v>63</v>
      </c>
      <c r="Q2157" s="23" t="s">
        <v>63</v>
      </c>
      <c r="R2157" s="23">
        <v>95.0</v>
      </c>
      <c r="S2157" s="23" t="s">
        <v>63</v>
      </c>
      <c r="T2157" s="32">
        <v>0.3757396449704142</v>
      </c>
      <c r="U2157" s="23" t="s">
        <v>63</v>
      </c>
      <c r="V2157" s="23" t="s">
        <v>63</v>
      </c>
      <c r="W2157" s="23" t="s">
        <v>63</v>
      </c>
      <c r="X2157" s="23" t="s">
        <v>63</v>
      </c>
      <c r="Y2157" s="35">
        <v>391.0</v>
      </c>
      <c r="Z2157" s="32" t="s">
        <v>63</v>
      </c>
      <c r="AA2157" s="38"/>
      <c r="AB2157" s="38"/>
      <c r="AC2157" s="38"/>
      <c r="AD2157" s="38"/>
      <c r="AE2157" s="38"/>
      <c r="AF2157" s="38"/>
      <c r="AG2157" s="38"/>
      <c r="AH2157" s="38"/>
      <c r="AI2157" s="38"/>
      <c r="AJ2157" s="38"/>
      <c r="AK2157" s="38"/>
    </row>
    <row r="2158">
      <c r="A2158" s="99">
        <v>2157.0</v>
      </c>
      <c r="B2158" s="15"/>
      <c r="C2158" s="15"/>
      <c r="D2158" s="105">
        <v>1.0</v>
      </c>
      <c r="E2158" s="102">
        <v>39.0</v>
      </c>
      <c r="F2158" s="107">
        <v>153.0</v>
      </c>
      <c r="G2158" s="15" t="str">
        <f t="shared" si="1"/>
        <v>39153</v>
      </c>
      <c r="H2158" s="23" t="s">
        <v>461</v>
      </c>
      <c r="I2158" s="23" t="s">
        <v>100</v>
      </c>
      <c r="J2158" s="23" t="s">
        <v>339</v>
      </c>
      <c r="K2158" s="23" t="str">
        <f t="shared" si="36"/>
        <v>Summit, OH</v>
      </c>
      <c r="L2158" s="23">
        <v>872.0</v>
      </c>
      <c r="M2158" s="23" t="s">
        <v>63</v>
      </c>
      <c r="N2158" s="23">
        <v>399.0</v>
      </c>
      <c r="O2158" s="23">
        <v>361.0</v>
      </c>
      <c r="P2158" s="23" t="s">
        <v>63</v>
      </c>
      <c r="Q2158" s="23" t="s">
        <v>63</v>
      </c>
      <c r="R2158" s="23">
        <v>174.0</v>
      </c>
      <c r="S2158" s="23" t="s">
        <v>63</v>
      </c>
      <c r="T2158" s="32">
        <v>0.575</v>
      </c>
      <c r="U2158" s="23" t="s">
        <v>63</v>
      </c>
      <c r="V2158" s="23" t="s">
        <v>63</v>
      </c>
      <c r="W2158" s="23" t="s">
        <v>63</v>
      </c>
      <c r="X2158" s="23" t="s">
        <v>63</v>
      </c>
      <c r="Y2158" s="35">
        <v>420.0</v>
      </c>
      <c r="Z2158" s="32" t="s">
        <v>63</v>
      </c>
      <c r="AA2158" s="38"/>
      <c r="AB2158" s="38"/>
      <c r="AC2158" s="38"/>
      <c r="AD2158" s="38"/>
      <c r="AE2158" s="38"/>
      <c r="AF2158" s="38"/>
      <c r="AG2158" s="38"/>
      <c r="AH2158" s="38"/>
      <c r="AI2158" s="38"/>
      <c r="AJ2158" s="38"/>
      <c r="AK2158" s="38"/>
    </row>
    <row r="2159">
      <c r="A2159" s="99">
        <v>2158.0</v>
      </c>
      <c r="B2159" s="15"/>
      <c r="C2159" s="15"/>
      <c r="D2159" s="105">
        <v>1.0</v>
      </c>
      <c r="E2159" s="102">
        <v>39.0</v>
      </c>
      <c r="F2159" s="107">
        <v>155.0</v>
      </c>
      <c r="G2159" s="15" t="str">
        <f t="shared" si="1"/>
        <v>39155</v>
      </c>
      <c r="H2159" s="23" t="s">
        <v>1699</v>
      </c>
      <c r="I2159" s="23" t="s">
        <v>100</v>
      </c>
      <c r="J2159" s="23" t="s">
        <v>339</v>
      </c>
      <c r="K2159" s="23" t="str">
        <f t="shared" si="36"/>
        <v>Trumbull, OH</v>
      </c>
      <c r="L2159" s="23">
        <v>136.0</v>
      </c>
      <c r="M2159" s="23" t="s">
        <v>63</v>
      </c>
      <c r="N2159" s="23">
        <v>76.0</v>
      </c>
      <c r="O2159" s="23" t="s">
        <v>63</v>
      </c>
      <c r="P2159" s="23" t="s">
        <v>63</v>
      </c>
      <c r="Q2159" s="23" t="s">
        <v>63</v>
      </c>
      <c r="R2159" s="23">
        <v>24.0</v>
      </c>
      <c r="S2159" s="23" t="s">
        <v>63</v>
      </c>
      <c r="T2159" s="32">
        <v>0.3854166666666667</v>
      </c>
      <c r="U2159" s="23" t="s">
        <v>63</v>
      </c>
      <c r="V2159" s="23" t="s">
        <v>63</v>
      </c>
      <c r="W2159" s="23" t="s">
        <v>63</v>
      </c>
      <c r="X2159" s="23" t="s">
        <v>63</v>
      </c>
      <c r="Y2159" s="35">
        <v>217.0</v>
      </c>
      <c r="Z2159" s="32" t="s">
        <v>63</v>
      </c>
      <c r="AA2159" s="38"/>
      <c r="AB2159" s="38"/>
      <c r="AC2159" s="38"/>
      <c r="AD2159" s="38"/>
      <c r="AE2159" s="38"/>
      <c r="AF2159" s="38"/>
      <c r="AG2159" s="38"/>
      <c r="AH2159" s="38"/>
      <c r="AI2159" s="38"/>
      <c r="AJ2159" s="38"/>
      <c r="AK2159" s="38"/>
    </row>
    <row r="2160">
      <c r="A2160" s="99">
        <v>2159.0</v>
      </c>
      <c r="B2160" s="15"/>
      <c r="C2160" s="15"/>
      <c r="D2160" s="105">
        <v>1.0</v>
      </c>
      <c r="E2160" s="102">
        <v>39.0</v>
      </c>
      <c r="F2160" s="107">
        <v>157.0</v>
      </c>
      <c r="G2160" s="15" t="str">
        <f t="shared" si="1"/>
        <v>39157</v>
      </c>
      <c r="H2160" s="23" t="s">
        <v>1700</v>
      </c>
      <c r="I2160" s="23" t="s">
        <v>100</v>
      </c>
      <c r="J2160" s="23" t="s">
        <v>339</v>
      </c>
      <c r="K2160" s="112" t="str">
        <f t="shared" si="36"/>
        <v>Tuscarawas, OH</v>
      </c>
      <c r="L2160" s="23">
        <v>117.0</v>
      </c>
      <c r="M2160" s="23" t="s">
        <v>63</v>
      </c>
      <c r="N2160" s="23">
        <v>67.0</v>
      </c>
      <c r="O2160" s="23">
        <v>21.0</v>
      </c>
      <c r="P2160" s="23" t="s">
        <v>63</v>
      </c>
      <c r="Q2160" s="23" t="s">
        <v>63</v>
      </c>
      <c r="R2160" s="23">
        <v>31.0</v>
      </c>
      <c r="S2160" s="23" t="s">
        <v>63</v>
      </c>
      <c r="T2160" s="32">
        <v>0.2875</v>
      </c>
      <c r="U2160" s="23" t="s">
        <v>63</v>
      </c>
      <c r="V2160" s="23" t="s">
        <v>63</v>
      </c>
      <c r="W2160" s="23" t="s">
        <v>63</v>
      </c>
      <c r="X2160" s="23" t="s">
        <v>63</v>
      </c>
      <c r="Y2160" s="35">
        <v>128.0</v>
      </c>
      <c r="Z2160" s="32" t="s">
        <v>63</v>
      </c>
      <c r="AA2160" s="38"/>
      <c r="AB2160" s="38"/>
      <c r="AC2160" s="38"/>
      <c r="AD2160" s="38"/>
      <c r="AE2160" s="38"/>
      <c r="AF2160" s="38"/>
      <c r="AG2160" s="38"/>
      <c r="AH2160" s="38"/>
      <c r="AI2160" s="38"/>
      <c r="AJ2160" s="38"/>
      <c r="AK2160" s="38"/>
    </row>
    <row r="2161">
      <c r="A2161" s="99">
        <v>2160.0</v>
      </c>
      <c r="B2161" s="15"/>
      <c r="C2161" s="15"/>
      <c r="D2161" s="105">
        <v>1.0</v>
      </c>
      <c r="E2161" s="102">
        <v>39.0</v>
      </c>
      <c r="F2161" s="107">
        <v>159.0</v>
      </c>
      <c r="G2161" s="15" t="str">
        <f t="shared" si="1"/>
        <v>39159</v>
      </c>
      <c r="H2161" s="23" t="s">
        <v>316</v>
      </c>
      <c r="I2161" s="23" t="s">
        <v>100</v>
      </c>
      <c r="J2161" s="23" t="s">
        <v>339</v>
      </c>
      <c r="K2161" s="23" t="str">
        <f t="shared" si="36"/>
        <v>Union, OH</v>
      </c>
      <c r="L2161" s="23">
        <v>41.0</v>
      </c>
      <c r="M2161" s="23" t="s">
        <v>63</v>
      </c>
      <c r="N2161" s="23">
        <v>24.0</v>
      </c>
      <c r="O2161" s="23">
        <v>11.0</v>
      </c>
      <c r="P2161" s="23" t="s">
        <v>63</v>
      </c>
      <c r="Q2161" s="23" t="s">
        <v>63</v>
      </c>
      <c r="R2161" s="23" t="s">
        <v>63</v>
      </c>
      <c r="S2161" s="23" t="s">
        <v>63</v>
      </c>
      <c r="T2161" s="32">
        <v>0.6071428571428571</v>
      </c>
      <c r="U2161" s="23" t="s">
        <v>63</v>
      </c>
      <c r="V2161" s="23" t="s">
        <v>63</v>
      </c>
      <c r="W2161" s="23" t="s">
        <v>63</v>
      </c>
      <c r="X2161" s="23" t="s">
        <v>63</v>
      </c>
      <c r="Y2161" s="35">
        <v>43.0</v>
      </c>
      <c r="Z2161" s="32" t="s">
        <v>63</v>
      </c>
      <c r="AA2161" s="38"/>
      <c r="AB2161" s="38"/>
      <c r="AC2161" s="38"/>
      <c r="AD2161" s="38"/>
      <c r="AE2161" s="38"/>
      <c r="AF2161" s="38"/>
      <c r="AG2161" s="38"/>
      <c r="AH2161" s="38"/>
      <c r="AI2161" s="38"/>
      <c r="AJ2161" s="38"/>
      <c r="AK2161" s="38"/>
    </row>
    <row r="2162">
      <c r="A2162" s="99">
        <v>2161.0</v>
      </c>
      <c r="B2162" s="15"/>
      <c r="C2162" s="15"/>
      <c r="D2162" s="105">
        <v>1.0</v>
      </c>
      <c r="E2162" s="102">
        <v>39.0</v>
      </c>
      <c r="F2162" s="107">
        <v>161.0</v>
      </c>
      <c r="G2162" s="15" t="str">
        <f t="shared" si="1"/>
        <v>39161</v>
      </c>
      <c r="H2162" s="23" t="s">
        <v>1701</v>
      </c>
      <c r="I2162" s="23" t="s">
        <v>100</v>
      </c>
      <c r="J2162" s="23" t="s">
        <v>339</v>
      </c>
      <c r="K2162" s="23" t="str">
        <f t="shared" si="36"/>
        <v>Van Wert, OH</v>
      </c>
      <c r="L2162" s="23" t="s">
        <v>63</v>
      </c>
      <c r="M2162" s="23" t="s">
        <v>63</v>
      </c>
      <c r="N2162" s="23" t="s">
        <v>63</v>
      </c>
      <c r="O2162" s="23" t="s">
        <v>63</v>
      </c>
      <c r="P2162" s="23" t="s">
        <v>63</v>
      </c>
      <c r="Q2162" s="23" t="s">
        <v>63</v>
      </c>
      <c r="R2162" s="23" t="s">
        <v>63</v>
      </c>
      <c r="S2162" s="23" t="s">
        <v>63</v>
      </c>
      <c r="T2162" s="32" t="s">
        <v>63</v>
      </c>
      <c r="U2162" s="23" t="s">
        <v>63</v>
      </c>
      <c r="V2162" s="23" t="s">
        <v>63</v>
      </c>
      <c r="W2162" s="23" t="s">
        <v>63</v>
      </c>
      <c r="X2162" s="23" t="s">
        <v>63</v>
      </c>
      <c r="Y2162" s="35">
        <v>38.0</v>
      </c>
      <c r="Z2162" s="32" t="s">
        <v>63</v>
      </c>
      <c r="AA2162" s="38"/>
      <c r="AB2162" s="38"/>
      <c r="AC2162" s="38"/>
      <c r="AD2162" s="38"/>
      <c r="AE2162" s="38"/>
      <c r="AF2162" s="38"/>
      <c r="AG2162" s="38"/>
      <c r="AH2162" s="38"/>
      <c r="AI2162" s="38"/>
      <c r="AJ2162" s="38"/>
      <c r="AK2162" s="38"/>
    </row>
    <row r="2163">
      <c r="A2163" s="99">
        <v>2162.0</v>
      </c>
      <c r="B2163" s="15"/>
      <c r="C2163" s="15"/>
      <c r="D2163" s="105">
        <v>1.0</v>
      </c>
      <c r="E2163" s="102">
        <v>39.0</v>
      </c>
      <c r="F2163" s="107">
        <v>163.0</v>
      </c>
      <c r="G2163" s="15" t="str">
        <f t="shared" si="1"/>
        <v>39163</v>
      </c>
      <c r="H2163" s="23" t="s">
        <v>1702</v>
      </c>
      <c r="I2163" s="23" t="s">
        <v>100</v>
      </c>
      <c r="J2163" s="23" t="s">
        <v>339</v>
      </c>
      <c r="K2163" s="23" t="str">
        <f t="shared" si="36"/>
        <v>Vinton, OH</v>
      </c>
      <c r="L2163" s="23">
        <v>22.0</v>
      </c>
      <c r="M2163" s="23" t="s">
        <v>63</v>
      </c>
      <c r="N2163" s="23">
        <v>18.0</v>
      </c>
      <c r="O2163" s="23" t="s">
        <v>63</v>
      </c>
      <c r="P2163" s="23" t="s">
        <v>63</v>
      </c>
      <c r="Q2163" s="23" t="s">
        <v>63</v>
      </c>
      <c r="R2163" s="23" t="s">
        <v>63</v>
      </c>
      <c r="S2163" s="23" t="s">
        <v>63</v>
      </c>
      <c r="T2163" s="32" t="s">
        <v>63</v>
      </c>
      <c r="U2163" s="23" t="s">
        <v>63</v>
      </c>
      <c r="V2163" s="23" t="s">
        <v>63</v>
      </c>
      <c r="W2163" s="23" t="s">
        <v>63</v>
      </c>
      <c r="X2163" s="23" t="s">
        <v>63</v>
      </c>
      <c r="Y2163" s="35">
        <v>12.0</v>
      </c>
      <c r="Z2163" s="32" t="s">
        <v>63</v>
      </c>
      <c r="AA2163" s="38"/>
      <c r="AB2163" s="38"/>
      <c r="AC2163" s="38"/>
      <c r="AD2163" s="38"/>
      <c r="AE2163" s="38"/>
      <c r="AF2163" s="38"/>
      <c r="AG2163" s="38"/>
      <c r="AH2163" s="38"/>
      <c r="AI2163" s="38"/>
      <c r="AJ2163" s="38"/>
      <c r="AK2163" s="38"/>
    </row>
    <row r="2164">
      <c r="A2164" s="99">
        <v>2163.0</v>
      </c>
      <c r="B2164" s="15"/>
      <c r="C2164" s="15"/>
      <c r="D2164" s="105">
        <v>1.0</v>
      </c>
      <c r="E2164" s="102">
        <v>39.0</v>
      </c>
      <c r="F2164" s="107">
        <v>165.0</v>
      </c>
      <c r="G2164" s="15" t="str">
        <f t="shared" si="1"/>
        <v>39165</v>
      </c>
      <c r="H2164" s="23" t="s">
        <v>647</v>
      </c>
      <c r="I2164" s="23" t="s">
        <v>100</v>
      </c>
      <c r="J2164" s="23" t="s">
        <v>339</v>
      </c>
      <c r="K2164" s="23" t="str">
        <f t="shared" si="36"/>
        <v>Warren, OH</v>
      </c>
      <c r="L2164" s="23">
        <v>114.0</v>
      </c>
      <c r="M2164" s="23" t="s">
        <v>63</v>
      </c>
      <c r="N2164" s="23">
        <v>61.0</v>
      </c>
      <c r="O2164" s="23">
        <v>22.0</v>
      </c>
      <c r="P2164" s="23" t="s">
        <v>63</v>
      </c>
      <c r="Q2164" s="23" t="s">
        <v>63</v>
      </c>
      <c r="R2164" s="23">
        <v>34.0</v>
      </c>
      <c r="S2164" s="23" t="s">
        <v>63</v>
      </c>
      <c r="T2164" s="32">
        <v>0.6125</v>
      </c>
      <c r="U2164" s="23" t="s">
        <v>63</v>
      </c>
      <c r="V2164" s="23" t="s">
        <v>63</v>
      </c>
      <c r="W2164" s="23" t="s">
        <v>63</v>
      </c>
      <c r="X2164" s="23" t="s">
        <v>63</v>
      </c>
      <c r="Y2164" s="35">
        <v>155.0</v>
      </c>
      <c r="Z2164" s="32" t="s">
        <v>63</v>
      </c>
      <c r="AA2164" s="38"/>
      <c r="AB2164" s="38"/>
      <c r="AC2164" s="38"/>
      <c r="AD2164" s="38"/>
      <c r="AE2164" s="38"/>
      <c r="AF2164" s="38"/>
      <c r="AG2164" s="38"/>
      <c r="AH2164" s="38"/>
      <c r="AI2164" s="38"/>
      <c r="AJ2164" s="38"/>
      <c r="AK2164" s="38"/>
    </row>
    <row r="2165">
      <c r="A2165" s="99">
        <v>2164.0</v>
      </c>
      <c r="B2165" s="15"/>
      <c r="C2165" s="15"/>
      <c r="D2165" s="105">
        <v>1.0</v>
      </c>
      <c r="E2165" s="102">
        <v>39.0</v>
      </c>
      <c r="F2165" s="107">
        <v>167.0</v>
      </c>
      <c r="G2165" s="15" t="str">
        <f t="shared" si="1"/>
        <v>39167</v>
      </c>
      <c r="H2165" s="23" t="s">
        <v>119</v>
      </c>
      <c r="I2165" s="23" t="s">
        <v>100</v>
      </c>
      <c r="J2165" s="23" t="s">
        <v>339</v>
      </c>
      <c r="K2165" s="23" t="str">
        <f t="shared" si="36"/>
        <v>Washington, OH</v>
      </c>
      <c r="L2165" s="23">
        <v>88.0</v>
      </c>
      <c r="M2165" s="23" t="s">
        <v>63</v>
      </c>
      <c r="N2165" s="23">
        <v>59.0</v>
      </c>
      <c r="O2165" s="23" t="s">
        <v>63</v>
      </c>
      <c r="P2165" s="23" t="s">
        <v>63</v>
      </c>
      <c r="Q2165" s="23" t="s">
        <v>63</v>
      </c>
      <c r="R2165" s="23">
        <v>29.0</v>
      </c>
      <c r="S2165" s="23" t="s">
        <v>63</v>
      </c>
      <c r="T2165" s="32">
        <v>0.42857142857142855</v>
      </c>
      <c r="U2165" s="23" t="s">
        <v>63</v>
      </c>
      <c r="V2165" s="23" t="s">
        <v>63</v>
      </c>
      <c r="W2165" s="23" t="s">
        <v>63</v>
      </c>
      <c r="X2165" s="23" t="s">
        <v>63</v>
      </c>
      <c r="Y2165" s="35">
        <v>91.0</v>
      </c>
      <c r="Z2165" s="32" t="s">
        <v>63</v>
      </c>
      <c r="AA2165" s="38"/>
      <c r="AB2165" s="38"/>
      <c r="AC2165" s="38"/>
      <c r="AD2165" s="38"/>
      <c r="AE2165" s="38"/>
      <c r="AF2165" s="38"/>
      <c r="AG2165" s="38"/>
      <c r="AH2165" s="38"/>
      <c r="AI2165" s="38"/>
      <c r="AJ2165" s="38"/>
      <c r="AK2165" s="38"/>
    </row>
    <row r="2166">
      <c r="A2166" s="99">
        <v>2165.0</v>
      </c>
      <c r="B2166" s="15"/>
      <c r="C2166" s="15"/>
      <c r="D2166" s="105">
        <v>1.0</v>
      </c>
      <c r="E2166" s="102">
        <v>39.0</v>
      </c>
      <c r="F2166" s="107">
        <v>169.0</v>
      </c>
      <c r="G2166" s="15" t="str">
        <f t="shared" si="1"/>
        <v>39169</v>
      </c>
      <c r="H2166" s="23" t="s">
        <v>273</v>
      </c>
      <c r="I2166" s="23" t="s">
        <v>100</v>
      </c>
      <c r="J2166" s="23" t="s">
        <v>339</v>
      </c>
      <c r="K2166" s="23" t="str">
        <f t="shared" si="36"/>
        <v>Wayne, OH</v>
      </c>
      <c r="L2166" s="23">
        <v>118.0</v>
      </c>
      <c r="M2166" s="23" t="s">
        <v>63</v>
      </c>
      <c r="N2166" s="23">
        <v>42.0</v>
      </c>
      <c r="O2166" s="23">
        <v>45.0</v>
      </c>
      <c r="P2166" s="23" t="s">
        <v>63</v>
      </c>
      <c r="Q2166" s="23" t="s">
        <v>63</v>
      </c>
      <c r="R2166" s="23">
        <v>30.0</v>
      </c>
      <c r="S2166" s="23" t="s">
        <v>63</v>
      </c>
      <c r="T2166" s="32">
        <v>0.3728813559322034</v>
      </c>
      <c r="U2166" s="23" t="s">
        <v>63</v>
      </c>
      <c r="V2166" s="23" t="s">
        <v>63</v>
      </c>
      <c r="W2166" s="23" t="s">
        <v>63</v>
      </c>
      <c r="X2166" s="23" t="s">
        <v>63</v>
      </c>
      <c r="Y2166" s="35">
        <v>131.0</v>
      </c>
      <c r="Z2166" s="32" t="s">
        <v>63</v>
      </c>
      <c r="AA2166" s="38"/>
      <c r="AB2166" s="38"/>
      <c r="AC2166" s="38"/>
      <c r="AD2166" s="38"/>
      <c r="AE2166" s="38"/>
      <c r="AF2166" s="38"/>
      <c r="AG2166" s="38"/>
      <c r="AH2166" s="38"/>
      <c r="AI2166" s="38"/>
      <c r="AJ2166" s="38"/>
      <c r="AK2166" s="38"/>
    </row>
    <row r="2167">
      <c r="A2167" s="99">
        <v>2166.0</v>
      </c>
      <c r="B2167" s="15"/>
      <c r="C2167" s="15"/>
      <c r="D2167" s="105">
        <v>1.0</v>
      </c>
      <c r="E2167" s="102">
        <v>39.0</v>
      </c>
      <c r="F2167" s="107">
        <v>171.0</v>
      </c>
      <c r="G2167" s="15" t="str">
        <f t="shared" si="1"/>
        <v>39171</v>
      </c>
      <c r="H2167" s="23" t="s">
        <v>1670</v>
      </c>
      <c r="I2167" s="23" t="s">
        <v>100</v>
      </c>
      <c r="J2167" s="23" t="s">
        <v>339</v>
      </c>
      <c r="K2167" s="23" t="str">
        <f t="shared" si="36"/>
        <v>Williams, OH</v>
      </c>
      <c r="L2167" s="23">
        <v>30.0</v>
      </c>
      <c r="M2167" s="23" t="s">
        <v>63</v>
      </c>
      <c r="N2167" s="23">
        <v>23.0</v>
      </c>
      <c r="O2167" s="23" t="s">
        <v>63</v>
      </c>
      <c r="P2167" s="23" t="s">
        <v>63</v>
      </c>
      <c r="Q2167" s="23" t="s">
        <v>63</v>
      </c>
      <c r="R2167" s="23" t="s">
        <v>63</v>
      </c>
      <c r="S2167" s="23" t="s">
        <v>63</v>
      </c>
      <c r="T2167" s="32">
        <v>0.6956521739130435</v>
      </c>
      <c r="U2167" s="23" t="s">
        <v>63</v>
      </c>
      <c r="V2167" s="23" t="s">
        <v>63</v>
      </c>
      <c r="W2167" s="23" t="s">
        <v>63</v>
      </c>
      <c r="X2167" s="23" t="s">
        <v>63</v>
      </c>
      <c r="Y2167" s="35">
        <v>53.0</v>
      </c>
      <c r="Z2167" s="32" t="s">
        <v>63</v>
      </c>
      <c r="AA2167" s="38"/>
      <c r="AB2167" s="38"/>
      <c r="AC2167" s="38"/>
      <c r="AD2167" s="38"/>
      <c r="AE2167" s="38"/>
      <c r="AF2167" s="38"/>
      <c r="AG2167" s="38"/>
      <c r="AH2167" s="38"/>
      <c r="AI2167" s="38"/>
      <c r="AJ2167" s="38"/>
      <c r="AK2167" s="38"/>
    </row>
    <row r="2168">
      <c r="A2168" s="99">
        <v>2167.0</v>
      </c>
      <c r="B2168" s="15"/>
      <c r="C2168" s="15"/>
      <c r="D2168" s="105">
        <v>1.0</v>
      </c>
      <c r="E2168" s="102">
        <v>39.0</v>
      </c>
      <c r="F2168" s="107">
        <v>173.0</v>
      </c>
      <c r="G2168" s="15" t="str">
        <f t="shared" si="1"/>
        <v>39173</v>
      </c>
      <c r="H2168" s="23" t="s">
        <v>1703</v>
      </c>
      <c r="I2168" s="23" t="s">
        <v>100</v>
      </c>
      <c r="J2168" s="23" t="s">
        <v>339</v>
      </c>
      <c r="K2168" s="23" t="str">
        <f t="shared" si="36"/>
        <v>Wood, OH</v>
      </c>
      <c r="L2168" s="23">
        <v>46.0</v>
      </c>
      <c r="M2168" s="23" t="s">
        <v>63</v>
      </c>
      <c r="N2168" s="23">
        <v>17.0</v>
      </c>
      <c r="O2168" s="23" t="s">
        <v>63</v>
      </c>
      <c r="P2168" s="23" t="s">
        <v>63</v>
      </c>
      <c r="Q2168" s="23" t="s">
        <v>63</v>
      </c>
      <c r="R2168" s="23" t="s">
        <v>63</v>
      </c>
      <c r="S2168" s="23" t="s">
        <v>63</v>
      </c>
      <c r="T2168" s="32">
        <v>0.3076923076923077</v>
      </c>
      <c r="U2168" s="23" t="s">
        <v>63</v>
      </c>
      <c r="V2168" s="23" t="s">
        <v>63</v>
      </c>
      <c r="W2168" s="23" t="s">
        <v>63</v>
      </c>
      <c r="X2168" s="23" t="s">
        <v>63</v>
      </c>
      <c r="Y2168" s="35">
        <v>94.0</v>
      </c>
      <c r="Z2168" s="32" t="s">
        <v>63</v>
      </c>
      <c r="AA2168" s="38"/>
      <c r="AB2168" s="38"/>
      <c r="AC2168" s="38"/>
      <c r="AD2168" s="38"/>
      <c r="AE2168" s="38"/>
      <c r="AF2168" s="38"/>
      <c r="AG2168" s="38"/>
      <c r="AH2168" s="38"/>
      <c r="AI2168" s="38"/>
      <c r="AJ2168" s="38"/>
      <c r="AK2168" s="38"/>
    </row>
    <row r="2169">
      <c r="A2169" s="99">
        <v>2168.0</v>
      </c>
      <c r="B2169" s="15"/>
      <c r="C2169" s="15"/>
      <c r="D2169" s="105">
        <v>1.0</v>
      </c>
      <c r="E2169" s="102">
        <v>39.0</v>
      </c>
      <c r="F2169" s="107">
        <v>175.0</v>
      </c>
      <c r="G2169" s="15" t="str">
        <f t="shared" si="1"/>
        <v>39175</v>
      </c>
      <c r="H2169" s="23" t="s">
        <v>1704</v>
      </c>
      <c r="I2169" s="23" t="s">
        <v>100</v>
      </c>
      <c r="J2169" s="23" t="s">
        <v>339</v>
      </c>
      <c r="K2169" s="23" t="str">
        <f t="shared" si="36"/>
        <v>Wyandot, OH</v>
      </c>
      <c r="L2169" s="23">
        <v>14.0</v>
      </c>
      <c r="M2169" s="23" t="s">
        <v>63</v>
      </c>
      <c r="N2169" s="23" t="s">
        <v>63</v>
      </c>
      <c r="O2169" s="23" t="s">
        <v>63</v>
      </c>
      <c r="P2169" s="23" t="s">
        <v>63</v>
      </c>
      <c r="Q2169" s="23" t="s">
        <v>63</v>
      </c>
      <c r="R2169" s="23" t="s">
        <v>63</v>
      </c>
      <c r="S2169" s="23" t="s">
        <v>63</v>
      </c>
      <c r="T2169" s="32" t="s">
        <v>63</v>
      </c>
      <c r="U2169" s="23" t="s">
        <v>63</v>
      </c>
      <c r="V2169" s="23" t="s">
        <v>63</v>
      </c>
      <c r="W2169" s="23" t="s">
        <v>63</v>
      </c>
      <c r="X2169" s="23" t="s">
        <v>63</v>
      </c>
      <c r="Y2169" s="35">
        <v>31.0</v>
      </c>
      <c r="Z2169" s="32" t="s">
        <v>63</v>
      </c>
      <c r="AA2169" s="38"/>
      <c r="AB2169" s="38"/>
      <c r="AC2169" s="38"/>
      <c r="AD2169" s="38"/>
      <c r="AE2169" s="38"/>
      <c r="AF2169" s="38"/>
      <c r="AG2169" s="38"/>
      <c r="AH2169" s="38"/>
      <c r="AI2169" s="38"/>
      <c r="AJ2169" s="38"/>
      <c r="AK2169" s="38"/>
    </row>
    <row r="2170">
      <c r="A2170" s="28">
        <v>2169.0</v>
      </c>
      <c r="B2170" s="29"/>
      <c r="C2170" s="29" t="s">
        <v>25</v>
      </c>
      <c r="D2170" s="30"/>
      <c r="E2170" s="31">
        <v>40.0</v>
      </c>
      <c r="F2170" s="42">
        <v>0.0</v>
      </c>
      <c r="G2170" s="29" t="str">
        <f t="shared" si="1"/>
        <v>40000</v>
      </c>
      <c r="H2170" s="37"/>
      <c r="I2170" s="37" t="s">
        <v>102</v>
      </c>
      <c r="J2170" s="37" t="s">
        <v>519</v>
      </c>
      <c r="K2170" s="37"/>
      <c r="L2170" s="70">
        <f t="array" ref="L2170:Z2170">Oklahoma!C81:Q81</f>
        <v>5971</v>
      </c>
      <c r="M2170" s="37" t="s">
        <v>63</v>
      </c>
      <c r="N2170" s="37" t="s">
        <v>63</v>
      </c>
      <c r="O2170" s="37" t="s">
        <v>63</v>
      </c>
      <c r="P2170" s="70">
        <v>1399.0</v>
      </c>
      <c r="Q2170" s="70">
        <v>3319.0</v>
      </c>
      <c r="R2170" s="70">
        <v>386.0</v>
      </c>
      <c r="S2170" s="70" t="s">
        <v>63</v>
      </c>
      <c r="T2170" s="69" t="s">
        <v>63</v>
      </c>
      <c r="U2170" s="70">
        <v>450.0</v>
      </c>
      <c r="V2170" s="37" t="s">
        <v>63</v>
      </c>
      <c r="W2170" s="37" t="s">
        <v>63</v>
      </c>
      <c r="X2170" s="37" t="s">
        <v>63</v>
      </c>
      <c r="Y2170" s="53">
        <v>4397.0</v>
      </c>
      <c r="Z2170" s="69" t="s">
        <v>63</v>
      </c>
      <c r="AA2170" s="73"/>
      <c r="AB2170" s="73"/>
      <c r="AC2170" s="73"/>
      <c r="AD2170" s="73"/>
      <c r="AE2170" s="73"/>
      <c r="AF2170" s="73"/>
      <c r="AG2170" s="73"/>
      <c r="AH2170" s="73"/>
      <c r="AI2170" s="73"/>
      <c r="AJ2170" s="73"/>
      <c r="AK2170" s="73"/>
    </row>
    <row r="2171">
      <c r="A2171" s="28">
        <v>2170.0</v>
      </c>
      <c r="B2171" s="29"/>
      <c r="C2171" s="29"/>
      <c r="D2171" s="40">
        <v>1.0</v>
      </c>
      <c r="E2171" s="31">
        <v>40.0</v>
      </c>
      <c r="F2171" s="42">
        <v>1.0</v>
      </c>
      <c r="G2171" s="29" t="str">
        <f t="shared" si="1"/>
        <v>40001</v>
      </c>
      <c r="H2171" s="37" t="s">
        <v>882</v>
      </c>
      <c r="I2171" s="37" t="s">
        <v>102</v>
      </c>
      <c r="J2171" s="37" t="s">
        <v>519</v>
      </c>
      <c r="K2171" s="37" t="str">
        <f t="shared" ref="K2171:K2247" si="37">CONCATENATE(H2171,", ",J2171)</f>
        <v>Adair, OK</v>
      </c>
      <c r="L2171" s="70">
        <f t="array" ref="L2171:Z2247">Oklahoma!C3:Q79</f>
        <v>41</v>
      </c>
      <c r="M2171" s="37" t="s">
        <v>63</v>
      </c>
      <c r="N2171" s="37" t="s">
        <v>63</v>
      </c>
      <c r="O2171" s="37" t="s">
        <v>63</v>
      </c>
      <c r="P2171" s="37">
        <v>13.0</v>
      </c>
      <c r="Q2171" s="30">
        <v>19.0</v>
      </c>
      <c r="R2171" s="37">
        <v>3.0</v>
      </c>
      <c r="S2171" s="37" t="s">
        <v>63</v>
      </c>
      <c r="T2171" s="69" t="s">
        <v>63</v>
      </c>
      <c r="U2171" s="70">
        <v>5.0</v>
      </c>
      <c r="V2171" s="37" t="s">
        <v>63</v>
      </c>
      <c r="W2171" s="37" t="s">
        <v>63</v>
      </c>
      <c r="X2171" s="37" t="s">
        <v>63</v>
      </c>
      <c r="Y2171" s="53">
        <v>21.0</v>
      </c>
      <c r="Z2171" s="69" t="s">
        <v>63</v>
      </c>
      <c r="AA2171" s="73"/>
      <c r="AB2171" s="73"/>
      <c r="AC2171" s="73"/>
      <c r="AD2171" s="73"/>
      <c r="AE2171" s="73"/>
      <c r="AF2171" s="73"/>
      <c r="AG2171" s="73"/>
      <c r="AH2171" s="73"/>
      <c r="AI2171" s="73"/>
      <c r="AJ2171" s="73"/>
      <c r="AK2171" s="73"/>
    </row>
    <row r="2172">
      <c r="A2172" s="28">
        <v>2171.0</v>
      </c>
      <c r="B2172" s="29"/>
      <c r="C2172" s="29"/>
      <c r="D2172" s="40">
        <v>1.0</v>
      </c>
      <c r="E2172" s="31">
        <v>40.0</v>
      </c>
      <c r="F2172" s="42">
        <v>3.0</v>
      </c>
      <c r="G2172" s="29" t="str">
        <f t="shared" si="1"/>
        <v>40003</v>
      </c>
      <c r="H2172" s="37" t="s">
        <v>1705</v>
      </c>
      <c r="I2172" s="37" t="s">
        <v>102</v>
      </c>
      <c r="J2172" s="37" t="s">
        <v>519</v>
      </c>
      <c r="K2172" s="37" t="str">
        <f t="shared" si="37"/>
        <v>Alfalfa, OK</v>
      </c>
      <c r="L2172" s="70">
        <v>0.0</v>
      </c>
      <c r="M2172" s="37" t="s">
        <v>63</v>
      </c>
      <c r="N2172" s="37" t="s">
        <v>63</v>
      </c>
      <c r="O2172" s="37" t="s">
        <v>63</v>
      </c>
      <c r="P2172" s="37">
        <v>0.0</v>
      </c>
      <c r="Q2172" s="30">
        <v>10.0</v>
      </c>
      <c r="R2172" s="37">
        <v>0.0</v>
      </c>
      <c r="S2172" s="37" t="s">
        <v>63</v>
      </c>
      <c r="T2172" s="69" t="s">
        <v>63</v>
      </c>
      <c r="U2172" s="70">
        <v>0.0</v>
      </c>
      <c r="V2172" s="37" t="s">
        <v>63</v>
      </c>
      <c r="W2172" s="37" t="s">
        <v>63</v>
      </c>
      <c r="X2172" s="37" t="s">
        <v>63</v>
      </c>
      <c r="Y2172" s="53">
        <v>19.0</v>
      </c>
      <c r="Z2172" s="69" t="s">
        <v>63</v>
      </c>
      <c r="AA2172" s="73"/>
      <c r="AB2172" s="73"/>
      <c r="AC2172" s="73"/>
      <c r="AD2172" s="73"/>
      <c r="AE2172" s="73"/>
      <c r="AF2172" s="73"/>
      <c r="AG2172" s="73"/>
      <c r="AH2172" s="73"/>
      <c r="AI2172" s="73"/>
      <c r="AJ2172" s="73"/>
      <c r="AK2172" s="73"/>
    </row>
    <row r="2173">
      <c r="A2173" s="28">
        <v>2172.0</v>
      </c>
      <c r="B2173" s="29"/>
      <c r="C2173" s="29"/>
      <c r="D2173" s="40">
        <v>1.0</v>
      </c>
      <c r="E2173" s="31">
        <v>40.0</v>
      </c>
      <c r="F2173" s="42">
        <v>5.0</v>
      </c>
      <c r="G2173" s="29" t="str">
        <f t="shared" si="1"/>
        <v>40005</v>
      </c>
      <c r="H2173" s="37" t="s">
        <v>1708</v>
      </c>
      <c r="I2173" s="37" t="s">
        <v>102</v>
      </c>
      <c r="J2173" s="37" t="s">
        <v>519</v>
      </c>
      <c r="K2173" s="37" t="str">
        <f t="shared" si="37"/>
        <v>Atoka, OK</v>
      </c>
      <c r="L2173" s="70">
        <v>42.0</v>
      </c>
      <c r="M2173" s="37" t="s">
        <v>63</v>
      </c>
      <c r="N2173" s="37" t="s">
        <v>63</v>
      </c>
      <c r="O2173" s="37" t="s">
        <v>63</v>
      </c>
      <c r="P2173" s="37">
        <v>14.0</v>
      </c>
      <c r="Q2173" s="30">
        <v>12.0</v>
      </c>
      <c r="R2173" s="37">
        <v>3.0</v>
      </c>
      <c r="S2173" s="37" t="s">
        <v>63</v>
      </c>
      <c r="T2173" s="69" t="s">
        <v>63</v>
      </c>
      <c r="U2173" s="70">
        <v>1.0</v>
      </c>
      <c r="V2173" s="37" t="s">
        <v>63</v>
      </c>
      <c r="W2173" s="37" t="s">
        <v>63</v>
      </c>
      <c r="X2173" s="37" t="s">
        <v>63</v>
      </c>
      <c r="Y2173" s="53">
        <v>17.0</v>
      </c>
      <c r="Z2173" s="69" t="s">
        <v>63</v>
      </c>
      <c r="AA2173" s="73"/>
      <c r="AB2173" s="73"/>
      <c r="AC2173" s="73"/>
      <c r="AD2173" s="73"/>
      <c r="AE2173" s="73"/>
      <c r="AF2173" s="73"/>
      <c r="AG2173" s="73"/>
      <c r="AH2173" s="73"/>
      <c r="AI2173" s="73"/>
      <c r="AJ2173" s="73"/>
      <c r="AK2173" s="73"/>
    </row>
    <row r="2174">
      <c r="A2174" s="28">
        <v>2173.0</v>
      </c>
      <c r="B2174" s="29"/>
      <c r="C2174" s="29"/>
      <c r="D2174" s="40">
        <v>1.0</v>
      </c>
      <c r="E2174" s="31">
        <v>40.0</v>
      </c>
      <c r="F2174" s="42">
        <v>7.0</v>
      </c>
      <c r="G2174" s="29" t="str">
        <f t="shared" si="1"/>
        <v>40007</v>
      </c>
      <c r="H2174" s="37" t="s">
        <v>1710</v>
      </c>
      <c r="I2174" s="37" t="s">
        <v>102</v>
      </c>
      <c r="J2174" s="37" t="s">
        <v>519</v>
      </c>
      <c r="K2174" s="37" t="str">
        <f t="shared" si="37"/>
        <v>Beaver, OK</v>
      </c>
      <c r="L2174" s="70">
        <v>0.0</v>
      </c>
      <c r="M2174" s="37" t="s">
        <v>63</v>
      </c>
      <c r="N2174" s="37" t="s">
        <v>63</v>
      </c>
      <c r="O2174" s="37" t="s">
        <v>63</v>
      </c>
      <c r="P2174" s="37">
        <v>0.0</v>
      </c>
      <c r="Q2174" s="30">
        <v>0.0</v>
      </c>
      <c r="R2174" s="37">
        <v>0.0</v>
      </c>
      <c r="S2174" s="37" t="s">
        <v>63</v>
      </c>
      <c r="T2174" s="69" t="s">
        <v>63</v>
      </c>
      <c r="U2174" s="70">
        <v>0.0</v>
      </c>
      <c r="V2174" s="37" t="s">
        <v>63</v>
      </c>
      <c r="W2174" s="37" t="s">
        <v>63</v>
      </c>
      <c r="X2174" s="37" t="s">
        <v>63</v>
      </c>
      <c r="Y2174" s="53">
        <v>16.0</v>
      </c>
      <c r="Z2174" s="69" t="s">
        <v>63</v>
      </c>
      <c r="AA2174" s="73"/>
      <c r="AB2174" s="73"/>
      <c r="AC2174" s="73"/>
      <c r="AD2174" s="73"/>
      <c r="AE2174" s="73"/>
      <c r="AF2174" s="73"/>
      <c r="AG2174" s="73"/>
      <c r="AH2174" s="73"/>
      <c r="AI2174" s="73"/>
      <c r="AJ2174" s="73"/>
      <c r="AK2174" s="73"/>
    </row>
    <row r="2175">
      <c r="A2175" s="28">
        <v>2174.0</v>
      </c>
      <c r="B2175" s="29"/>
      <c r="C2175" s="29"/>
      <c r="D2175" s="40">
        <v>1.0</v>
      </c>
      <c r="E2175" s="31">
        <v>40.0</v>
      </c>
      <c r="F2175" s="42">
        <v>9.0</v>
      </c>
      <c r="G2175" s="29" t="str">
        <f t="shared" si="1"/>
        <v>40009</v>
      </c>
      <c r="H2175" s="37" t="s">
        <v>1711</v>
      </c>
      <c r="I2175" s="37" t="s">
        <v>102</v>
      </c>
      <c r="J2175" s="37" t="s">
        <v>519</v>
      </c>
      <c r="K2175" s="37" t="str">
        <f t="shared" si="37"/>
        <v>Beckham, OK</v>
      </c>
      <c r="L2175" s="70">
        <v>100.0</v>
      </c>
      <c r="M2175" s="37" t="s">
        <v>63</v>
      </c>
      <c r="N2175" s="37" t="s">
        <v>63</v>
      </c>
      <c r="O2175" s="37" t="s">
        <v>63</v>
      </c>
      <c r="P2175" s="37">
        <v>36.0</v>
      </c>
      <c r="Q2175" s="30">
        <v>40.0</v>
      </c>
      <c r="R2175" s="37">
        <v>2.0</v>
      </c>
      <c r="S2175" s="37" t="s">
        <v>63</v>
      </c>
      <c r="T2175" s="69" t="s">
        <v>63</v>
      </c>
      <c r="U2175" s="70">
        <v>0.0</v>
      </c>
      <c r="V2175" s="37" t="s">
        <v>63</v>
      </c>
      <c r="W2175" s="37" t="s">
        <v>63</v>
      </c>
      <c r="X2175" s="37" t="s">
        <v>63</v>
      </c>
      <c r="Y2175" s="53">
        <v>37.0</v>
      </c>
      <c r="Z2175" s="69" t="s">
        <v>63</v>
      </c>
      <c r="AA2175" s="73"/>
      <c r="AB2175" s="73"/>
      <c r="AC2175" s="73"/>
      <c r="AD2175" s="73"/>
      <c r="AE2175" s="73"/>
      <c r="AF2175" s="73"/>
      <c r="AG2175" s="73"/>
      <c r="AH2175" s="73"/>
      <c r="AI2175" s="73"/>
      <c r="AJ2175" s="73"/>
      <c r="AK2175" s="73"/>
    </row>
    <row r="2176">
      <c r="A2176" s="28">
        <v>2175.0</v>
      </c>
      <c r="B2176" s="29"/>
      <c r="C2176" s="29"/>
      <c r="D2176" s="40">
        <v>1.0</v>
      </c>
      <c r="E2176" s="31">
        <v>40.0</v>
      </c>
      <c r="F2176" s="42">
        <v>11.0</v>
      </c>
      <c r="G2176" s="29" t="str">
        <f t="shared" si="1"/>
        <v>40011</v>
      </c>
      <c r="H2176" s="37" t="s">
        <v>666</v>
      </c>
      <c r="I2176" s="37" t="s">
        <v>102</v>
      </c>
      <c r="J2176" s="37" t="s">
        <v>519</v>
      </c>
      <c r="K2176" s="37" t="str">
        <f t="shared" si="37"/>
        <v>Blaine, OK</v>
      </c>
      <c r="L2176" s="70">
        <v>51.0</v>
      </c>
      <c r="M2176" s="37" t="s">
        <v>63</v>
      </c>
      <c r="N2176" s="37" t="s">
        <v>63</v>
      </c>
      <c r="O2176" s="37" t="s">
        <v>63</v>
      </c>
      <c r="P2176" s="37">
        <v>9.0</v>
      </c>
      <c r="Q2176" s="30">
        <v>8.0</v>
      </c>
      <c r="R2176" s="37">
        <v>1.0</v>
      </c>
      <c r="S2176" s="37" t="s">
        <v>63</v>
      </c>
      <c r="T2176" s="69" t="s">
        <v>63</v>
      </c>
      <c r="U2176" s="70">
        <v>0.0</v>
      </c>
      <c r="V2176" s="37" t="s">
        <v>63</v>
      </c>
      <c r="W2176" s="37" t="s">
        <v>63</v>
      </c>
      <c r="X2176" s="37" t="s">
        <v>63</v>
      </c>
      <c r="Y2176" s="53">
        <v>34.0</v>
      </c>
      <c r="Z2176" s="69" t="s">
        <v>63</v>
      </c>
      <c r="AA2176" s="73"/>
      <c r="AB2176" s="73"/>
      <c r="AC2176" s="73"/>
      <c r="AD2176" s="73"/>
      <c r="AE2176" s="73"/>
      <c r="AF2176" s="73"/>
      <c r="AG2176" s="73"/>
      <c r="AH2176" s="73"/>
      <c r="AI2176" s="73"/>
      <c r="AJ2176" s="73"/>
      <c r="AK2176" s="73"/>
    </row>
    <row r="2177">
      <c r="A2177" s="28">
        <v>2176.0</v>
      </c>
      <c r="B2177" s="29"/>
      <c r="C2177" s="29"/>
      <c r="D2177" s="40">
        <v>1.0</v>
      </c>
      <c r="E2177" s="31">
        <v>40.0</v>
      </c>
      <c r="F2177" s="42">
        <v>13.0</v>
      </c>
      <c r="G2177" s="29" t="str">
        <f t="shared" si="1"/>
        <v>40013</v>
      </c>
      <c r="H2177" s="37" t="s">
        <v>544</v>
      </c>
      <c r="I2177" s="37" t="s">
        <v>102</v>
      </c>
      <c r="J2177" s="37" t="s">
        <v>519</v>
      </c>
      <c r="K2177" s="37" t="str">
        <f t="shared" si="37"/>
        <v>Bryan, OK</v>
      </c>
      <c r="L2177" s="70">
        <v>87.0</v>
      </c>
      <c r="M2177" s="37" t="s">
        <v>63</v>
      </c>
      <c r="N2177" s="37" t="s">
        <v>63</v>
      </c>
      <c r="O2177" s="37" t="s">
        <v>63</v>
      </c>
      <c r="P2177" s="37">
        <v>30.0</v>
      </c>
      <c r="Q2177" s="30">
        <v>37.0</v>
      </c>
      <c r="R2177" s="37">
        <v>2.0</v>
      </c>
      <c r="S2177" s="37" t="s">
        <v>63</v>
      </c>
      <c r="T2177" s="69" t="s">
        <v>63</v>
      </c>
      <c r="U2177" s="70">
        <v>1.0</v>
      </c>
      <c r="V2177" s="37" t="s">
        <v>63</v>
      </c>
      <c r="W2177" s="37" t="s">
        <v>63</v>
      </c>
      <c r="X2177" s="37" t="s">
        <v>63</v>
      </c>
      <c r="Y2177" s="53">
        <v>51.0</v>
      </c>
      <c r="Z2177" s="69" t="s">
        <v>63</v>
      </c>
      <c r="AA2177" s="73"/>
      <c r="AB2177" s="73"/>
      <c r="AC2177" s="73"/>
      <c r="AD2177" s="73"/>
      <c r="AE2177" s="73"/>
      <c r="AF2177" s="73"/>
      <c r="AG2177" s="73"/>
      <c r="AH2177" s="73"/>
      <c r="AI2177" s="73"/>
      <c r="AJ2177" s="73"/>
      <c r="AK2177" s="73"/>
    </row>
    <row r="2178">
      <c r="A2178" s="28">
        <v>2177.0</v>
      </c>
      <c r="B2178" s="29"/>
      <c r="C2178" s="29"/>
      <c r="D2178" s="40">
        <v>1.0</v>
      </c>
      <c r="E2178" s="31">
        <v>40.0</v>
      </c>
      <c r="F2178" s="42">
        <v>15.0</v>
      </c>
      <c r="G2178" s="29" t="str">
        <f t="shared" si="1"/>
        <v>40015</v>
      </c>
      <c r="H2178" s="37" t="s">
        <v>1147</v>
      </c>
      <c r="I2178" s="37" t="s">
        <v>102</v>
      </c>
      <c r="J2178" s="37" t="s">
        <v>519</v>
      </c>
      <c r="K2178" s="37" t="str">
        <f t="shared" si="37"/>
        <v>Caddo, OK</v>
      </c>
      <c r="L2178" s="70">
        <v>43.0</v>
      </c>
      <c r="M2178" s="37" t="s">
        <v>63</v>
      </c>
      <c r="N2178" s="37" t="s">
        <v>63</v>
      </c>
      <c r="O2178" s="37" t="s">
        <v>63</v>
      </c>
      <c r="P2178" s="37">
        <v>9.0</v>
      </c>
      <c r="Q2178" s="30">
        <v>19.0</v>
      </c>
      <c r="R2178" s="37">
        <v>8.0</v>
      </c>
      <c r="S2178" s="37" t="s">
        <v>63</v>
      </c>
      <c r="T2178" s="69" t="s">
        <v>63</v>
      </c>
      <c r="U2178" s="70">
        <v>2.0</v>
      </c>
      <c r="V2178" s="37" t="s">
        <v>63</v>
      </c>
      <c r="W2178" s="37" t="s">
        <v>63</v>
      </c>
      <c r="X2178" s="37" t="s">
        <v>63</v>
      </c>
      <c r="Y2178" s="53">
        <v>58.0</v>
      </c>
      <c r="Z2178" s="69" t="s">
        <v>63</v>
      </c>
      <c r="AA2178" s="73"/>
      <c r="AB2178" s="73"/>
      <c r="AC2178" s="73"/>
      <c r="AD2178" s="73"/>
      <c r="AE2178" s="73"/>
      <c r="AF2178" s="73"/>
      <c r="AG2178" s="73"/>
      <c r="AH2178" s="73"/>
      <c r="AI2178" s="73"/>
      <c r="AJ2178" s="73"/>
      <c r="AK2178" s="73"/>
    </row>
    <row r="2179">
      <c r="A2179" s="28">
        <v>2178.0</v>
      </c>
      <c r="B2179" s="29"/>
      <c r="C2179" s="29"/>
      <c r="D2179" s="40">
        <v>1.0</v>
      </c>
      <c r="E2179" s="31">
        <v>40.0</v>
      </c>
      <c r="F2179" s="42">
        <v>17.0</v>
      </c>
      <c r="G2179" s="29" t="str">
        <f t="shared" si="1"/>
        <v>40017</v>
      </c>
      <c r="H2179" s="37" t="s">
        <v>1716</v>
      </c>
      <c r="I2179" s="37" t="s">
        <v>102</v>
      </c>
      <c r="J2179" s="37" t="s">
        <v>519</v>
      </c>
      <c r="K2179" s="37" t="str">
        <f t="shared" si="37"/>
        <v>Canadian, OK</v>
      </c>
      <c r="L2179" s="70">
        <v>180.0</v>
      </c>
      <c r="M2179" s="37" t="s">
        <v>63</v>
      </c>
      <c r="N2179" s="37" t="s">
        <v>63</v>
      </c>
      <c r="O2179" s="37" t="s">
        <v>63</v>
      </c>
      <c r="P2179" s="37">
        <v>32.0</v>
      </c>
      <c r="Q2179" s="30">
        <v>188.0</v>
      </c>
      <c r="R2179" s="37">
        <v>7.0</v>
      </c>
      <c r="S2179" s="37" t="s">
        <v>63</v>
      </c>
      <c r="T2179" s="69" t="s">
        <v>63</v>
      </c>
      <c r="U2179" s="70">
        <v>19.0</v>
      </c>
      <c r="V2179" s="37" t="s">
        <v>63</v>
      </c>
      <c r="W2179" s="37" t="s">
        <v>63</v>
      </c>
      <c r="X2179" s="37" t="s">
        <v>63</v>
      </c>
      <c r="Y2179" s="53">
        <v>100.0</v>
      </c>
      <c r="Z2179" s="69" t="s">
        <v>63</v>
      </c>
      <c r="AA2179" s="73"/>
      <c r="AB2179" s="73"/>
      <c r="AC2179" s="73"/>
      <c r="AD2179" s="73"/>
      <c r="AE2179" s="73"/>
      <c r="AF2179" s="73"/>
      <c r="AG2179" s="73"/>
      <c r="AH2179" s="73"/>
      <c r="AI2179" s="73"/>
      <c r="AJ2179" s="73"/>
      <c r="AK2179" s="73"/>
    </row>
    <row r="2180">
      <c r="A2180" s="28">
        <v>2179.0</v>
      </c>
      <c r="B2180" s="29"/>
      <c r="C2180" s="29"/>
      <c r="D2180" s="40">
        <v>1.0</v>
      </c>
      <c r="E2180" s="31">
        <v>40.0</v>
      </c>
      <c r="F2180" s="42">
        <v>19.0</v>
      </c>
      <c r="G2180" s="29" t="str">
        <f t="shared" si="1"/>
        <v>40019</v>
      </c>
      <c r="H2180" s="37" t="s">
        <v>1038</v>
      </c>
      <c r="I2180" s="37" t="s">
        <v>102</v>
      </c>
      <c r="J2180" s="37" t="s">
        <v>519</v>
      </c>
      <c r="K2180" s="37" t="str">
        <f t="shared" si="37"/>
        <v>Carter, OK</v>
      </c>
      <c r="L2180" s="70">
        <v>171.0</v>
      </c>
      <c r="M2180" s="37" t="s">
        <v>63</v>
      </c>
      <c r="N2180" s="37" t="s">
        <v>63</v>
      </c>
      <c r="O2180" s="37" t="s">
        <v>63</v>
      </c>
      <c r="P2180" s="37">
        <v>49.0</v>
      </c>
      <c r="Q2180" s="30">
        <v>56.0</v>
      </c>
      <c r="R2180" s="37">
        <v>20.0</v>
      </c>
      <c r="S2180" s="37" t="s">
        <v>63</v>
      </c>
      <c r="T2180" s="69" t="s">
        <v>63</v>
      </c>
      <c r="U2180" s="70">
        <v>10.0</v>
      </c>
      <c r="V2180" s="37" t="s">
        <v>63</v>
      </c>
      <c r="W2180" s="37" t="s">
        <v>63</v>
      </c>
      <c r="X2180" s="37" t="s">
        <v>63</v>
      </c>
      <c r="Y2180" s="53">
        <v>78.0</v>
      </c>
      <c r="Z2180" s="69" t="s">
        <v>63</v>
      </c>
      <c r="AA2180" s="73"/>
      <c r="AB2180" s="73"/>
      <c r="AC2180" s="73"/>
      <c r="AD2180" s="73"/>
      <c r="AE2180" s="73"/>
      <c r="AF2180" s="73"/>
      <c r="AG2180" s="73"/>
      <c r="AH2180" s="73"/>
      <c r="AI2180" s="73"/>
      <c r="AJ2180" s="73"/>
      <c r="AK2180" s="73"/>
    </row>
    <row r="2181">
      <c r="A2181" s="28">
        <v>2180.0</v>
      </c>
      <c r="B2181" s="29"/>
      <c r="C2181" s="29"/>
      <c r="D2181" s="40">
        <v>1.0</v>
      </c>
      <c r="E2181" s="31">
        <v>40.0</v>
      </c>
      <c r="F2181" s="42">
        <v>21.0</v>
      </c>
      <c r="G2181" s="29" t="str">
        <f t="shared" si="1"/>
        <v>40021</v>
      </c>
      <c r="H2181" s="37" t="s">
        <v>101</v>
      </c>
      <c r="I2181" s="37" t="s">
        <v>102</v>
      </c>
      <c r="J2181" s="37" t="s">
        <v>519</v>
      </c>
      <c r="K2181" s="37" t="str">
        <f t="shared" si="37"/>
        <v>Cherokee, OK</v>
      </c>
      <c r="L2181" s="70">
        <v>66.0</v>
      </c>
      <c r="M2181" s="37" t="s">
        <v>63</v>
      </c>
      <c r="N2181" s="37" t="s">
        <v>63</v>
      </c>
      <c r="O2181" s="37" t="s">
        <v>63</v>
      </c>
      <c r="P2181" s="37">
        <v>22.0</v>
      </c>
      <c r="Q2181" s="30">
        <v>34.0</v>
      </c>
      <c r="R2181" s="37">
        <v>3.0</v>
      </c>
      <c r="S2181" s="37" t="s">
        <v>63</v>
      </c>
      <c r="T2181" s="69" t="s">
        <v>63</v>
      </c>
      <c r="U2181" s="70">
        <v>0.0</v>
      </c>
      <c r="V2181" s="37" t="s">
        <v>63</v>
      </c>
      <c r="W2181" s="37" t="s">
        <v>63</v>
      </c>
      <c r="X2181" s="37" t="s">
        <v>63</v>
      </c>
      <c r="Y2181" s="53">
        <v>32.0</v>
      </c>
      <c r="Z2181" s="69" t="s">
        <v>63</v>
      </c>
      <c r="AA2181" s="73"/>
      <c r="AB2181" s="73"/>
      <c r="AC2181" s="73"/>
      <c r="AD2181" s="73"/>
      <c r="AE2181" s="73"/>
      <c r="AF2181" s="73"/>
      <c r="AG2181" s="73"/>
      <c r="AH2181" s="73"/>
      <c r="AI2181" s="73"/>
      <c r="AJ2181" s="73"/>
      <c r="AK2181" s="73"/>
    </row>
    <row r="2182">
      <c r="A2182" s="28">
        <v>2181.0</v>
      </c>
      <c r="B2182" s="29"/>
      <c r="C2182" s="29"/>
      <c r="D2182" s="40">
        <v>1.0</v>
      </c>
      <c r="E2182" s="31">
        <v>40.0</v>
      </c>
      <c r="F2182" s="42">
        <v>23.0</v>
      </c>
      <c r="G2182" s="29" t="str">
        <f t="shared" si="1"/>
        <v>40023</v>
      </c>
      <c r="H2182" s="37" t="s">
        <v>107</v>
      </c>
      <c r="I2182" s="37" t="s">
        <v>102</v>
      </c>
      <c r="J2182" s="37" t="s">
        <v>519</v>
      </c>
      <c r="K2182" s="37" t="str">
        <f t="shared" si="37"/>
        <v>Choctaw, OK</v>
      </c>
      <c r="L2182" s="70">
        <v>34.0</v>
      </c>
      <c r="M2182" s="37" t="s">
        <v>63</v>
      </c>
      <c r="N2182" s="37" t="s">
        <v>63</v>
      </c>
      <c r="O2182" s="37" t="s">
        <v>63</v>
      </c>
      <c r="P2182" s="37">
        <v>9.0</v>
      </c>
      <c r="Q2182" s="30">
        <v>7.0</v>
      </c>
      <c r="R2182" s="37">
        <v>1.0</v>
      </c>
      <c r="S2182" s="37" t="s">
        <v>63</v>
      </c>
      <c r="T2182" s="69" t="s">
        <v>63</v>
      </c>
      <c r="U2182" s="70">
        <v>3.0</v>
      </c>
      <c r="V2182" s="37" t="s">
        <v>63</v>
      </c>
      <c r="W2182" s="37" t="s">
        <v>63</v>
      </c>
      <c r="X2182" s="37" t="s">
        <v>63</v>
      </c>
      <c r="Y2182" s="53">
        <v>17.0</v>
      </c>
      <c r="Z2182" s="69" t="s">
        <v>63</v>
      </c>
      <c r="AA2182" s="73"/>
      <c r="AB2182" s="73"/>
      <c r="AC2182" s="73"/>
      <c r="AD2182" s="73"/>
      <c r="AE2182" s="73"/>
      <c r="AF2182" s="73"/>
      <c r="AG2182" s="73"/>
      <c r="AH2182" s="73"/>
      <c r="AI2182" s="73"/>
      <c r="AJ2182" s="73"/>
      <c r="AK2182" s="73"/>
    </row>
    <row r="2183">
      <c r="A2183" s="28">
        <v>2182.0</v>
      </c>
      <c r="B2183" s="29"/>
      <c r="C2183" s="29"/>
      <c r="D2183" s="40">
        <v>1.0</v>
      </c>
      <c r="E2183" s="31">
        <v>40.0</v>
      </c>
      <c r="F2183" s="42">
        <v>25.0</v>
      </c>
      <c r="G2183" s="29" t="str">
        <f t="shared" si="1"/>
        <v>40025</v>
      </c>
      <c r="H2183" s="37" t="s">
        <v>1717</v>
      </c>
      <c r="I2183" s="37" t="s">
        <v>102</v>
      </c>
      <c r="J2183" s="37" t="s">
        <v>519</v>
      </c>
      <c r="K2183" s="37" t="str">
        <f t="shared" si="37"/>
        <v>Cimarron, OK</v>
      </c>
      <c r="L2183" s="70">
        <v>0.0</v>
      </c>
      <c r="M2183" s="37" t="s">
        <v>63</v>
      </c>
      <c r="N2183" s="37" t="s">
        <v>63</v>
      </c>
      <c r="O2183" s="37" t="s">
        <v>63</v>
      </c>
      <c r="P2183" s="37">
        <v>0.0</v>
      </c>
      <c r="Q2183" s="30">
        <v>0.0</v>
      </c>
      <c r="R2183" s="37">
        <v>0.0</v>
      </c>
      <c r="S2183" s="37" t="s">
        <v>63</v>
      </c>
      <c r="T2183" s="69" t="s">
        <v>63</v>
      </c>
      <c r="U2183" s="70">
        <v>0.0</v>
      </c>
      <c r="V2183" s="37" t="s">
        <v>63</v>
      </c>
      <c r="W2183" s="37" t="s">
        <v>63</v>
      </c>
      <c r="X2183" s="37" t="s">
        <v>63</v>
      </c>
      <c r="Y2183" s="53">
        <v>10.0</v>
      </c>
      <c r="Z2183" s="69" t="s">
        <v>63</v>
      </c>
      <c r="AA2183" s="73"/>
      <c r="AB2183" s="73"/>
      <c r="AC2183" s="73"/>
      <c r="AD2183" s="73"/>
      <c r="AE2183" s="73"/>
      <c r="AF2183" s="73"/>
      <c r="AG2183" s="73"/>
      <c r="AH2183" s="73"/>
      <c r="AI2183" s="73"/>
      <c r="AJ2183" s="73"/>
      <c r="AK2183" s="73"/>
    </row>
    <row r="2184">
      <c r="A2184" s="28">
        <v>2183.0</v>
      </c>
      <c r="B2184" s="29"/>
      <c r="C2184" s="29"/>
      <c r="D2184" s="40">
        <v>1.0</v>
      </c>
      <c r="E2184" s="31">
        <v>40.0</v>
      </c>
      <c r="F2184" s="42">
        <v>27.0</v>
      </c>
      <c r="G2184" s="29" t="str">
        <f t="shared" si="1"/>
        <v>40027</v>
      </c>
      <c r="H2184" s="37" t="s">
        <v>257</v>
      </c>
      <c r="I2184" s="37" t="s">
        <v>102</v>
      </c>
      <c r="J2184" s="37" t="s">
        <v>519</v>
      </c>
      <c r="K2184" s="37" t="str">
        <f t="shared" si="37"/>
        <v>Cleveland, OK</v>
      </c>
      <c r="L2184" s="70">
        <v>334.0</v>
      </c>
      <c r="M2184" s="37" t="s">
        <v>63</v>
      </c>
      <c r="N2184" s="37" t="s">
        <v>63</v>
      </c>
      <c r="O2184" s="37" t="s">
        <v>63</v>
      </c>
      <c r="P2184" s="37">
        <v>80.0</v>
      </c>
      <c r="Q2184" s="30">
        <v>194.0</v>
      </c>
      <c r="R2184" s="37">
        <v>40.0</v>
      </c>
      <c r="S2184" s="37" t="s">
        <v>63</v>
      </c>
      <c r="T2184" s="69" t="s">
        <v>63</v>
      </c>
      <c r="U2184" s="70">
        <v>22.0</v>
      </c>
      <c r="V2184" s="37" t="s">
        <v>63</v>
      </c>
      <c r="W2184" s="37" t="s">
        <v>63</v>
      </c>
      <c r="X2184" s="37" t="s">
        <v>63</v>
      </c>
      <c r="Y2184" s="53">
        <v>180.0</v>
      </c>
      <c r="Z2184" s="69" t="s">
        <v>63</v>
      </c>
      <c r="AA2184" s="73"/>
      <c r="AB2184" s="73"/>
      <c r="AC2184" s="73"/>
      <c r="AD2184" s="73"/>
      <c r="AE2184" s="73"/>
      <c r="AF2184" s="73"/>
      <c r="AG2184" s="73"/>
      <c r="AH2184" s="73"/>
      <c r="AI2184" s="73"/>
      <c r="AJ2184" s="73"/>
      <c r="AK2184" s="73"/>
    </row>
    <row r="2185">
      <c r="A2185" s="28">
        <v>2184.0</v>
      </c>
      <c r="B2185" s="29"/>
      <c r="C2185" s="29"/>
      <c r="D2185" s="40">
        <v>1.0</v>
      </c>
      <c r="E2185" s="31">
        <v>40.0</v>
      </c>
      <c r="F2185" s="42">
        <v>29.0</v>
      </c>
      <c r="G2185" s="29" t="str">
        <f t="shared" si="1"/>
        <v>40029</v>
      </c>
      <c r="H2185" s="37" t="s">
        <v>1718</v>
      </c>
      <c r="I2185" s="37" t="s">
        <v>102</v>
      </c>
      <c r="J2185" s="37" t="s">
        <v>519</v>
      </c>
      <c r="K2185" s="37" t="str">
        <f t="shared" si="37"/>
        <v>Coal, OK</v>
      </c>
      <c r="L2185" s="70">
        <v>13.0</v>
      </c>
      <c r="M2185" s="37" t="s">
        <v>63</v>
      </c>
      <c r="N2185" s="37" t="s">
        <v>63</v>
      </c>
      <c r="O2185" s="37" t="s">
        <v>63</v>
      </c>
      <c r="P2185" s="37">
        <v>1.0</v>
      </c>
      <c r="Q2185" s="30">
        <v>8.0</v>
      </c>
      <c r="R2185" s="37">
        <v>3.0</v>
      </c>
      <c r="S2185" s="37" t="s">
        <v>63</v>
      </c>
      <c r="T2185" s="69" t="s">
        <v>63</v>
      </c>
      <c r="U2185" s="70">
        <v>1.0</v>
      </c>
      <c r="V2185" s="37" t="s">
        <v>63</v>
      </c>
      <c r="W2185" s="37" t="s">
        <v>63</v>
      </c>
      <c r="X2185" s="37" t="s">
        <v>63</v>
      </c>
      <c r="Y2185" s="53">
        <v>10.0</v>
      </c>
      <c r="Z2185" s="69" t="s">
        <v>63</v>
      </c>
      <c r="AA2185" s="73"/>
      <c r="AB2185" s="73"/>
      <c r="AC2185" s="73"/>
      <c r="AD2185" s="73"/>
      <c r="AE2185" s="73"/>
      <c r="AF2185" s="73"/>
      <c r="AG2185" s="73"/>
      <c r="AH2185" s="73"/>
      <c r="AI2185" s="73"/>
      <c r="AJ2185" s="73"/>
      <c r="AK2185" s="73"/>
    </row>
    <row r="2186">
      <c r="A2186" s="28">
        <v>2185.0</v>
      </c>
      <c r="B2186" s="29"/>
      <c r="C2186" s="29"/>
      <c r="D2186" s="40">
        <v>1.0</v>
      </c>
      <c r="E2186" s="31">
        <v>40.0</v>
      </c>
      <c r="F2186" s="42">
        <v>31.0</v>
      </c>
      <c r="G2186" s="29" t="str">
        <f t="shared" si="1"/>
        <v>40031</v>
      </c>
      <c r="H2186" s="37" t="s">
        <v>964</v>
      </c>
      <c r="I2186" s="37" t="s">
        <v>102</v>
      </c>
      <c r="J2186" s="37" t="s">
        <v>519</v>
      </c>
      <c r="K2186" s="37" t="str">
        <f t="shared" si="37"/>
        <v>Comanche, OK</v>
      </c>
      <c r="L2186" s="70">
        <v>267.0</v>
      </c>
      <c r="M2186" s="37" t="s">
        <v>63</v>
      </c>
      <c r="N2186" s="37" t="s">
        <v>63</v>
      </c>
      <c r="O2186" s="37" t="s">
        <v>63</v>
      </c>
      <c r="P2186" s="37">
        <v>66.0</v>
      </c>
      <c r="Q2186" s="30">
        <v>113.0</v>
      </c>
      <c r="R2186" s="37">
        <v>17.0</v>
      </c>
      <c r="S2186" s="37" t="s">
        <v>63</v>
      </c>
      <c r="T2186" s="69" t="s">
        <v>63</v>
      </c>
      <c r="U2186" s="70">
        <v>3.0</v>
      </c>
      <c r="V2186" s="37" t="s">
        <v>63</v>
      </c>
      <c r="W2186" s="37" t="s">
        <v>63</v>
      </c>
      <c r="X2186" s="37" t="s">
        <v>63</v>
      </c>
      <c r="Y2186" s="53">
        <v>125.0</v>
      </c>
      <c r="Z2186" s="69" t="s">
        <v>63</v>
      </c>
      <c r="AA2186" s="73"/>
      <c r="AB2186" s="73"/>
      <c r="AC2186" s="73"/>
      <c r="AD2186" s="73"/>
      <c r="AE2186" s="73"/>
      <c r="AF2186" s="73"/>
      <c r="AG2186" s="73"/>
      <c r="AH2186" s="73"/>
      <c r="AI2186" s="73"/>
      <c r="AJ2186" s="73"/>
      <c r="AK2186" s="73"/>
    </row>
    <row r="2187">
      <c r="A2187" s="28">
        <v>2186.0</v>
      </c>
      <c r="B2187" s="29"/>
      <c r="C2187" s="29"/>
      <c r="D2187" s="40">
        <v>1.0</v>
      </c>
      <c r="E2187" s="31">
        <v>40.0</v>
      </c>
      <c r="F2187" s="42">
        <v>33.0</v>
      </c>
      <c r="G2187" s="29" t="str">
        <f t="shared" si="1"/>
        <v>40033</v>
      </c>
      <c r="H2187" s="37" t="s">
        <v>1720</v>
      </c>
      <c r="I2187" s="37" t="s">
        <v>102</v>
      </c>
      <c r="J2187" s="37" t="s">
        <v>519</v>
      </c>
      <c r="K2187" s="37" t="str">
        <f t="shared" si="37"/>
        <v>Cotton, OK</v>
      </c>
      <c r="L2187" s="70">
        <v>0.0</v>
      </c>
      <c r="M2187" s="37" t="s">
        <v>63</v>
      </c>
      <c r="N2187" s="37" t="s">
        <v>63</v>
      </c>
      <c r="O2187" s="37" t="s">
        <v>63</v>
      </c>
      <c r="P2187" s="37">
        <v>0.0</v>
      </c>
      <c r="Q2187" s="30">
        <v>3.0</v>
      </c>
      <c r="R2187" s="37">
        <v>0.0</v>
      </c>
      <c r="S2187" s="37" t="s">
        <v>63</v>
      </c>
      <c r="T2187" s="69" t="s">
        <v>63</v>
      </c>
      <c r="U2187" s="70">
        <v>1.0</v>
      </c>
      <c r="V2187" s="37" t="s">
        <v>63</v>
      </c>
      <c r="W2187" s="37" t="s">
        <v>63</v>
      </c>
      <c r="X2187" s="37" t="s">
        <v>63</v>
      </c>
      <c r="Y2187" s="53">
        <v>12.0</v>
      </c>
      <c r="Z2187" s="69" t="s">
        <v>63</v>
      </c>
      <c r="AA2187" s="73"/>
      <c r="AB2187" s="73"/>
      <c r="AC2187" s="73"/>
      <c r="AD2187" s="73"/>
      <c r="AE2187" s="73"/>
      <c r="AF2187" s="73"/>
      <c r="AG2187" s="73"/>
      <c r="AH2187" s="73"/>
      <c r="AI2187" s="73"/>
      <c r="AJ2187" s="73"/>
      <c r="AK2187" s="73"/>
    </row>
    <row r="2188">
      <c r="A2188" s="28">
        <v>2187.0</v>
      </c>
      <c r="B2188" s="29"/>
      <c r="C2188" s="29"/>
      <c r="D2188" s="40">
        <v>1.0</v>
      </c>
      <c r="E2188" s="31">
        <v>40.0</v>
      </c>
      <c r="F2188" s="42">
        <v>35.0</v>
      </c>
      <c r="G2188" s="29" t="str">
        <f t="shared" si="1"/>
        <v>40035</v>
      </c>
      <c r="H2188" s="37" t="s">
        <v>1721</v>
      </c>
      <c r="I2188" s="37" t="s">
        <v>102</v>
      </c>
      <c r="J2188" s="37" t="s">
        <v>519</v>
      </c>
      <c r="K2188" s="37" t="str">
        <f t="shared" si="37"/>
        <v>Craig, OK</v>
      </c>
      <c r="L2188" s="70">
        <v>102.0</v>
      </c>
      <c r="M2188" s="37" t="s">
        <v>63</v>
      </c>
      <c r="N2188" s="37" t="s">
        <v>63</v>
      </c>
      <c r="O2188" s="37" t="s">
        <v>63</v>
      </c>
      <c r="P2188" s="37">
        <v>19.0</v>
      </c>
      <c r="Q2188" s="30">
        <v>80.0</v>
      </c>
      <c r="R2188" s="37">
        <v>4.0</v>
      </c>
      <c r="S2188" s="37" t="s">
        <v>63</v>
      </c>
      <c r="T2188" s="69" t="s">
        <v>63</v>
      </c>
      <c r="U2188" s="70">
        <v>4.0</v>
      </c>
      <c r="V2188" s="37" t="s">
        <v>63</v>
      </c>
      <c r="W2188" s="37" t="s">
        <v>63</v>
      </c>
      <c r="X2188" s="37" t="s">
        <v>63</v>
      </c>
      <c r="Y2188" s="53">
        <v>29.0</v>
      </c>
      <c r="Z2188" s="69" t="s">
        <v>63</v>
      </c>
      <c r="AA2188" s="73"/>
      <c r="AB2188" s="73"/>
      <c r="AC2188" s="73"/>
      <c r="AD2188" s="73"/>
      <c r="AE2188" s="73"/>
      <c r="AF2188" s="73"/>
      <c r="AG2188" s="73"/>
      <c r="AH2188" s="73"/>
      <c r="AI2188" s="73"/>
      <c r="AJ2188" s="73"/>
      <c r="AK2188" s="73"/>
    </row>
    <row r="2189">
      <c r="A2189" s="28">
        <v>2188.0</v>
      </c>
      <c r="B2189" s="29"/>
      <c r="C2189" s="29"/>
      <c r="D2189" s="40">
        <v>1.0</v>
      </c>
      <c r="E2189" s="31">
        <v>40.0</v>
      </c>
      <c r="F2189" s="42">
        <v>37.0</v>
      </c>
      <c r="G2189" s="29" t="str">
        <f t="shared" si="1"/>
        <v>40037</v>
      </c>
      <c r="H2189" s="37" t="s">
        <v>1722</v>
      </c>
      <c r="I2189" s="37" t="s">
        <v>102</v>
      </c>
      <c r="J2189" s="37" t="s">
        <v>519</v>
      </c>
      <c r="K2189" s="37" t="str">
        <f t="shared" si="37"/>
        <v>Creek, OK</v>
      </c>
      <c r="L2189" s="70">
        <v>38.0</v>
      </c>
      <c r="M2189" s="37" t="s">
        <v>63</v>
      </c>
      <c r="N2189" s="37" t="s">
        <v>63</v>
      </c>
      <c r="O2189" s="37" t="s">
        <v>63</v>
      </c>
      <c r="P2189" s="37">
        <v>12.0</v>
      </c>
      <c r="Q2189" s="30">
        <v>16.0</v>
      </c>
      <c r="R2189" s="37">
        <v>2.0</v>
      </c>
      <c r="S2189" s="37" t="s">
        <v>63</v>
      </c>
      <c r="T2189" s="69" t="s">
        <v>63</v>
      </c>
      <c r="U2189" s="70">
        <v>1.0</v>
      </c>
      <c r="V2189" s="37" t="s">
        <v>63</v>
      </c>
      <c r="W2189" s="37" t="s">
        <v>63</v>
      </c>
      <c r="X2189" s="37" t="s">
        <v>63</v>
      </c>
      <c r="Y2189" s="53">
        <v>96.0</v>
      </c>
      <c r="Z2189" s="69" t="s">
        <v>63</v>
      </c>
      <c r="AA2189" s="73"/>
      <c r="AB2189" s="73"/>
      <c r="AC2189" s="73"/>
      <c r="AD2189" s="73"/>
      <c r="AE2189" s="73"/>
      <c r="AF2189" s="73"/>
      <c r="AG2189" s="73"/>
      <c r="AH2189" s="73"/>
      <c r="AI2189" s="73"/>
      <c r="AJ2189" s="73"/>
      <c r="AK2189" s="73"/>
    </row>
    <row r="2190">
      <c r="A2190" s="28">
        <v>2189.0</v>
      </c>
      <c r="B2190" s="29"/>
      <c r="C2190" s="29"/>
      <c r="D2190" s="40">
        <v>1.0</v>
      </c>
      <c r="E2190" s="31">
        <v>40.0</v>
      </c>
      <c r="F2190" s="42">
        <v>39.0</v>
      </c>
      <c r="G2190" s="29" t="str">
        <f t="shared" si="1"/>
        <v>40039</v>
      </c>
      <c r="H2190" s="37" t="s">
        <v>406</v>
      </c>
      <c r="I2190" s="37" t="s">
        <v>102</v>
      </c>
      <c r="J2190" s="37" t="s">
        <v>519</v>
      </c>
      <c r="K2190" s="37" t="str">
        <f t="shared" si="37"/>
        <v>Custer, OK</v>
      </c>
      <c r="L2190" s="70">
        <v>80.0</v>
      </c>
      <c r="M2190" s="37" t="s">
        <v>63</v>
      </c>
      <c r="N2190" s="37" t="s">
        <v>63</v>
      </c>
      <c r="O2190" s="37" t="s">
        <v>63</v>
      </c>
      <c r="P2190" s="37">
        <v>25.0</v>
      </c>
      <c r="Q2190" s="30">
        <v>32.0</v>
      </c>
      <c r="R2190" s="37">
        <v>8.0</v>
      </c>
      <c r="S2190" s="37" t="s">
        <v>63</v>
      </c>
      <c r="T2190" s="69" t="s">
        <v>63</v>
      </c>
      <c r="U2190" s="70">
        <v>3.0</v>
      </c>
      <c r="V2190" s="37" t="s">
        <v>63</v>
      </c>
      <c r="W2190" s="37" t="s">
        <v>63</v>
      </c>
      <c r="X2190" s="37" t="s">
        <v>63</v>
      </c>
      <c r="Y2190" s="53">
        <v>44.0</v>
      </c>
      <c r="Z2190" s="69" t="s">
        <v>63</v>
      </c>
      <c r="AA2190" s="73"/>
      <c r="AB2190" s="73"/>
      <c r="AC2190" s="73"/>
      <c r="AD2190" s="73"/>
      <c r="AE2190" s="73"/>
      <c r="AF2190" s="73"/>
      <c r="AG2190" s="73"/>
      <c r="AH2190" s="73"/>
      <c r="AI2190" s="73"/>
      <c r="AJ2190" s="73"/>
      <c r="AK2190" s="73"/>
    </row>
    <row r="2191">
      <c r="A2191" s="28">
        <v>2190.0</v>
      </c>
      <c r="B2191" s="29"/>
      <c r="C2191" s="29"/>
      <c r="D2191" s="40">
        <v>1.0</v>
      </c>
      <c r="E2191" s="31">
        <v>40.0</v>
      </c>
      <c r="F2191" s="42">
        <v>41.0</v>
      </c>
      <c r="G2191" s="29" t="str">
        <f t="shared" si="1"/>
        <v>40041</v>
      </c>
      <c r="H2191" s="37" t="s">
        <v>40</v>
      </c>
      <c r="I2191" s="37" t="s">
        <v>102</v>
      </c>
      <c r="J2191" s="37" t="s">
        <v>519</v>
      </c>
      <c r="K2191" s="37" t="str">
        <f t="shared" si="37"/>
        <v>Delaware, OK</v>
      </c>
      <c r="L2191" s="70">
        <v>31.0</v>
      </c>
      <c r="M2191" s="37" t="s">
        <v>63</v>
      </c>
      <c r="N2191" s="37" t="s">
        <v>63</v>
      </c>
      <c r="O2191" s="37" t="s">
        <v>63</v>
      </c>
      <c r="P2191" s="37">
        <v>7.0</v>
      </c>
      <c r="Q2191" s="30">
        <v>24.0</v>
      </c>
      <c r="R2191" s="37">
        <v>3.0</v>
      </c>
      <c r="S2191" s="37" t="s">
        <v>63</v>
      </c>
      <c r="T2191" s="69" t="s">
        <v>63</v>
      </c>
      <c r="U2191" s="70">
        <v>2.0</v>
      </c>
      <c r="V2191" s="37" t="s">
        <v>63</v>
      </c>
      <c r="W2191" s="37" t="s">
        <v>63</v>
      </c>
      <c r="X2191" s="37" t="s">
        <v>63</v>
      </c>
      <c r="Y2191" s="53">
        <v>54.0</v>
      </c>
      <c r="Z2191" s="69" t="s">
        <v>63</v>
      </c>
      <c r="AA2191" s="73"/>
      <c r="AB2191" s="73"/>
      <c r="AC2191" s="73"/>
      <c r="AD2191" s="73"/>
      <c r="AE2191" s="73"/>
      <c r="AF2191" s="73"/>
      <c r="AG2191" s="73"/>
      <c r="AH2191" s="73"/>
      <c r="AI2191" s="73"/>
      <c r="AJ2191" s="73"/>
      <c r="AK2191" s="73"/>
    </row>
    <row r="2192">
      <c r="A2192" s="28">
        <v>2191.0</v>
      </c>
      <c r="B2192" s="29"/>
      <c r="C2192" s="29"/>
      <c r="D2192" s="40">
        <v>1.0</v>
      </c>
      <c r="E2192" s="31">
        <v>40.0</v>
      </c>
      <c r="F2192" s="42">
        <v>43.0</v>
      </c>
      <c r="G2192" s="29" t="str">
        <f t="shared" si="1"/>
        <v>40043</v>
      </c>
      <c r="H2192" s="37" t="s">
        <v>1723</v>
      </c>
      <c r="I2192" s="37" t="s">
        <v>102</v>
      </c>
      <c r="J2192" s="37" t="s">
        <v>519</v>
      </c>
      <c r="K2192" s="37" t="str">
        <f t="shared" si="37"/>
        <v>Dewey, OK</v>
      </c>
      <c r="L2192" s="70">
        <v>0.0</v>
      </c>
      <c r="M2192" s="37" t="s">
        <v>63</v>
      </c>
      <c r="N2192" s="37" t="s">
        <v>63</v>
      </c>
      <c r="O2192" s="37" t="s">
        <v>63</v>
      </c>
      <c r="P2192" s="37">
        <v>0.0</v>
      </c>
      <c r="Q2192" s="30">
        <v>7.0</v>
      </c>
      <c r="R2192" s="37">
        <v>0.0</v>
      </c>
      <c r="S2192" s="37" t="s">
        <v>63</v>
      </c>
      <c r="T2192" s="69" t="s">
        <v>63</v>
      </c>
      <c r="U2192" s="70">
        <v>0.0</v>
      </c>
      <c r="V2192" s="37" t="s">
        <v>63</v>
      </c>
      <c r="W2192" s="37" t="s">
        <v>63</v>
      </c>
      <c r="X2192" s="37" t="s">
        <v>63</v>
      </c>
      <c r="Y2192" s="53">
        <v>19.0</v>
      </c>
      <c r="Z2192" s="69" t="s">
        <v>63</v>
      </c>
      <c r="AA2192" s="73"/>
      <c r="AB2192" s="73"/>
      <c r="AC2192" s="73"/>
      <c r="AD2192" s="73"/>
      <c r="AE2192" s="73"/>
      <c r="AF2192" s="73"/>
      <c r="AG2192" s="73"/>
      <c r="AH2192" s="73"/>
      <c r="AI2192" s="73"/>
      <c r="AJ2192" s="73"/>
      <c r="AK2192" s="73"/>
    </row>
    <row r="2193">
      <c r="A2193" s="28">
        <v>2192.0</v>
      </c>
      <c r="B2193" s="29"/>
      <c r="C2193" s="29"/>
      <c r="D2193" s="40">
        <v>1.0</v>
      </c>
      <c r="E2193" s="31">
        <v>40.0</v>
      </c>
      <c r="F2193" s="42">
        <v>45.0</v>
      </c>
      <c r="G2193" s="29" t="str">
        <f t="shared" si="1"/>
        <v>40045</v>
      </c>
      <c r="H2193" s="37" t="s">
        <v>969</v>
      </c>
      <c r="I2193" s="37" t="s">
        <v>102</v>
      </c>
      <c r="J2193" s="37" t="s">
        <v>519</v>
      </c>
      <c r="K2193" s="37" t="str">
        <f t="shared" si="37"/>
        <v>Ellis, OK</v>
      </c>
      <c r="L2193" s="70">
        <v>0.0</v>
      </c>
      <c r="M2193" s="37" t="s">
        <v>63</v>
      </c>
      <c r="N2193" s="37" t="s">
        <v>63</v>
      </c>
      <c r="O2193" s="37" t="s">
        <v>63</v>
      </c>
      <c r="P2193" s="37">
        <v>0.0</v>
      </c>
      <c r="Q2193" s="30">
        <v>1.0</v>
      </c>
      <c r="R2193" s="37">
        <v>0.0</v>
      </c>
      <c r="S2193" s="37" t="s">
        <v>63</v>
      </c>
      <c r="T2193" s="69" t="s">
        <v>63</v>
      </c>
      <c r="U2193" s="70">
        <v>0.0</v>
      </c>
      <c r="V2193" s="37" t="s">
        <v>63</v>
      </c>
      <c r="W2193" s="37" t="s">
        <v>63</v>
      </c>
      <c r="X2193" s="37" t="s">
        <v>63</v>
      </c>
      <c r="Y2193" s="53">
        <v>13.0</v>
      </c>
      <c r="Z2193" s="69" t="s">
        <v>63</v>
      </c>
      <c r="AA2193" s="73"/>
      <c r="AB2193" s="73"/>
      <c r="AC2193" s="73"/>
      <c r="AD2193" s="73"/>
      <c r="AE2193" s="73"/>
      <c r="AF2193" s="73"/>
      <c r="AG2193" s="73"/>
      <c r="AH2193" s="73"/>
      <c r="AI2193" s="73"/>
      <c r="AJ2193" s="73"/>
      <c r="AK2193" s="73"/>
    </row>
    <row r="2194">
      <c r="A2194" s="28">
        <v>2193.0</v>
      </c>
      <c r="B2194" s="29"/>
      <c r="C2194" s="29"/>
      <c r="D2194" s="40">
        <v>1.0</v>
      </c>
      <c r="E2194" s="31">
        <v>40.0</v>
      </c>
      <c r="F2194" s="42">
        <v>47.0</v>
      </c>
      <c r="G2194" s="29" t="str">
        <f t="shared" si="1"/>
        <v>40047</v>
      </c>
      <c r="H2194" s="37" t="s">
        <v>417</v>
      </c>
      <c r="I2194" s="37" t="s">
        <v>102</v>
      </c>
      <c r="J2194" s="37" t="s">
        <v>519</v>
      </c>
      <c r="K2194" s="37" t="str">
        <f t="shared" si="37"/>
        <v>Garfield, OK</v>
      </c>
      <c r="L2194" s="70">
        <v>83.0</v>
      </c>
      <c r="M2194" s="37" t="s">
        <v>63</v>
      </c>
      <c r="N2194" s="37" t="s">
        <v>63</v>
      </c>
      <c r="O2194" s="37" t="s">
        <v>63</v>
      </c>
      <c r="P2194" s="37">
        <v>19.0</v>
      </c>
      <c r="Q2194" s="30">
        <v>61.0</v>
      </c>
      <c r="R2194" s="37">
        <v>14.0</v>
      </c>
      <c r="S2194" s="37" t="s">
        <v>63</v>
      </c>
      <c r="T2194" s="69" t="s">
        <v>63</v>
      </c>
      <c r="U2194" s="70">
        <v>12.0</v>
      </c>
      <c r="V2194" s="37" t="s">
        <v>63</v>
      </c>
      <c r="W2194" s="37" t="s">
        <v>63</v>
      </c>
      <c r="X2194" s="37" t="s">
        <v>63</v>
      </c>
      <c r="Y2194" s="53">
        <v>79.0</v>
      </c>
      <c r="Z2194" s="69" t="s">
        <v>63</v>
      </c>
      <c r="AA2194" s="73"/>
      <c r="AB2194" s="73"/>
      <c r="AC2194" s="73"/>
      <c r="AD2194" s="73"/>
      <c r="AE2194" s="73"/>
      <c r="AF2194" s="73"/>
      <c r="AG2194" s="73"/>
      <c r="AH2194" s="73"/>
      <c r="AI2194" s="73"/>
      <c r="AJ2194" s="73"/>
      <c r="AK2194" s="73"/>
    </row>
    <row r="2195">
      <c r="A2195" s="28">
        <v>2194.0</v>
      </c>
      <c r="B2195" s="29"/>
      <c r="C2195" s="29"/>
      <c r="D2195" s="40">
        <v>1.0</v>
      </c>
      <c r="E2195" s="31">
        <v>40.0</v>
      </c>
      <c r="F2195" s="42">
        <v>49.0</v>
      </c>
      <c r="G2195" s="29" t="str">
        <f t="shared" si="1"/>
        <v>40049</v>
      </c>
      <c r="H2195" s="37" t="s">
        <v>1726</v>
      </c>
      <c r="I2195" s="37" t="s">
        <v>102</v>
      </c>
      <c r="J2195" s="37" t="s">
        <v>519</v>
      </c>
      <c r="K2195" s="37" t="str">
        <f t="shared" si="37"/>
        <v>Garvin, OK</v>
      </c>
      <c r="L2195" s="70">
        <v>29.0</v>
      </c>
      <c r="M2195" s="37" t="s">
        <v>63</v>
      </c>
      <c r="N2195" s="37" t="s">
        <v>63</v>
      </c>
      <c r="O2195" s="37" t="s">
        <v>63</v>
      </c>
      <c r="P2195" s="37">
        <v>13.0</v>
      </c>
      <c r="Q2195" s="30">
        <v>23.0</v>
      </c>
      <c r="R2195" s="37">
        <v>2.0</v>
      </c>
      <c r="S2195" s="37" t="s">
        <v>63</v>
      </c>
      <c r="T2195" s="69" t="s">
        <v>63</v>
      </c>
      <c r="U2195" s="70">
        <v>0.0</v>
      </c>
      <c r="V2195" s="37" t="s">
        <v>63</v>
      </c>
      <c r="W2195" s="37" t="s">
        <v>63</v>
      </c>
      <c r="X2195" s="37" t="s">
        <v>63</v>
      </c>
      <c r="Y2195" s="53">
        <v>56.0</v>
      </c>
      <c r="Z2195" s="69" t="s">
        <v>63</v>
      </c>
      <c r="AA2195" s="73"/>
      <c r="AB2195" s="73"/>
      <c r="AC2195" s="73"/>
      <c r="AD2195" s="73"/>
      <c r="AE2195" s="73"/>
      <c r="AF2195" s="73"/>
      <c r="AG2195" s="73"/>
      <c r="AH2195" s="73"/>
      <c r="AI2195" s="73"/>
      <c r="AJ2195" s="73"/>
      <c r="AK2195" s="73"/>
    </row>
    <row r="2196">
      <c r="A2196" s="28">
        <v>2195.0</v>
      </c>
      <c r="B2196" s="29"/>
      <c r="C2196" s="29"/>
      <c r="D2196" s="40">
        <v>1.0</v>
      </c>
      <c r="E2196" s="31">
        <v>40.0</v>
      </c>
      <c r="F2196" s="42">
        <v>51.0</v>
      </c>
      <c r="G2196" s="29" t="str">
        <f t="shared" si="1"/>
        <v>40051</v>
      </c>
      <c r="H2196" s="37" t="s">
        <v>584</v>
      </c>
      <c r="I2196" s="37" t="s">
        <v>102</v>
      </c>
      <c r="J2196" s="37" t="s">
        <v>519</v>
      </c>
      <c r="K2196" s="37" t="str">
        <f t="shared" si="37"/>
        <v>Grady, OK</v>
      </c>
      <c r="L2196" s="70">
        <v>38.0</v>
      </c>
      <c r="M2196" s="37" t="s">
        <v>63</v>
      </c>
      <c r="N2196" s="37" t="s">
        <v>63</v>
      </c>
      <c r="O2196" s="37" t="s">
        <v>63</v>
      </c>
      <c r="P2196" s="37">
        <v>20.0</v>
      </c>
      <c r="Q2196" s="30">
        <v>51.0</v>
      </c>
      <c r="R2196" s="37">
        <v>1.0</v>
      </c>
      <c r="S2196" s="37" t="s">
        <v>63</v>
      </c>
      <c r="T2196" s="69" t="s">
        <v>63</v>
      </c>
      <c r="U2196" s="70">
        <v>1.0</v>
      </c>
      <c r="V2196" s="37" t="s">
        <v>63</v>
      </c>
      <c r="W2196" s="37" t="s">
        <v>63</v>
      </c>
      <c r="X2196" s="37" t="s">
        <v>63</v>
      </c>
      <c r="Y2196" s="53">
        <v>78.0</v>
      </c>
      <c r="Z2196" s="69" t="s">
        <v>63</v>
      </c>
      <c r="AA2196" s="73"/>
      <c r="AB2196" s="73"/>
      <c r="AC2196" s="73"/>
      <c r="AD2196" s="73"/>
      <c r="AE2196" s="73"/>
      <c r="AF2196" s="73"/>
      <c r="AG2196" s="73"/>
      <c r="AH2196" s="73"/>
      <c r="AI2196" s="73"/>
      <c r="AJ2196" s="73"/>
      <c r="AK2196" s="73"/>
    </row>
    <row r="2197">
      <c r="A2197" s="28">
        <v>2196.0</v>
      </c>
      <c r="B2197" s="29"/>
      <c r="C2197" s="29"/>
      <c r="D2197" s="40">
        <v>1.0</v>
      </c>
      <c r="E2197" s="31">
        <v>40.0</v>
      </c>
      <c r="F2197" s="42">
        <v>53.0</v>
      </c>
      <c r="G2197" s="29" t="str">
        <f t="shared" si="1"/>
        <v>40053</v>
      </c>
      <c r="H2197" s="37" t="s">
        <v>278</v>
      </c>
      <c r="I2197" s="37" t="s">
        <v>102</v>
      </c>
      <c r="J2197" s="37" t="s">
        <v>519</v>
      </c>
      <c r="K2197" s="37" t="str">
        <f t="shared" si="37"/>
        <v>Grant, OK</v>
      </c>
      <c r="L2197" s="70">
        <v>0.0</v>
      </c>
      <c r="M2197" s="37" t="s">
        <v>63</v>
      </c>
      <c r="N2197" s="37" t="s">
        <v>63</v>
      </c>
      <c r="O2197" s="37" t="s">
        <v>63</v>
      </c>
      <c r="P2197" s="37">
        <v>0.0</v>
      </c>
      <c r="Q2197" s="30">
        <v>5.0</v>
      </c>
      <c r="R2197" s="37">
        <v>0.0</v>
      </c>
      <c r="S2197" s="37" t="s">
        <v>63</v>
      </c>
      <c r="T2197" s="69" t="s">
        <v>63</v>
      </c>
      <c r="U2197" s="70">
        <v>0.0</v>
      </c>
      <c r="V2197" s="37" t="s">
        <v>63</v>
      </c>
      <c r="W2197" s="37" t="s">
        <v>63</v>
      </c>
      <c r="X2197" s="37" t="s">
        <v>63</v>
      </c>
      <c r="Y2197" s="53">
        <v>20.0</v>
      </c>
      <c r="Z2197" s="69" t="s">
        <v>63</v>
      </c>
      <c r="AA2197" s="73"/>
      <c r="AB2197" s="73"/>
      <c r="AC2197" s="73"/>
      <c r="AD2197" s="73"/>
      <c r="AE2197" s="73"/>
      <c r="AF2197" s="73"/>
      <c r="AG2197" s="73"/>
      <c r="AH2197" s="73"/>
      <c r="AI2197" s="73"/>
      <c r="AJ2197" s="73"/>
      <c r="AK2197" s="73"/>
    </row>
    <row r="2198">
      <c r="A2198" s="28">
        <v>2197.0</v>
      </c>
      <c r="B2198" s="29"/>
      <c r="C2198" s="29"/>
      <c r="D2198" s="40">
        <v>1.0</v>
      </c>
      <c r="E2198" s="31">
        <v>40.0</v>
      </c>
      <c r="F2198" s="42">
        <v>55.0</v>
      </c>
      <c r="G2198" s="29" t="str">
        <f t="shared" si="1"/>
        <v>40055</v>
      </c>
      <c r="H2198" s="37" t="s">
        <v>1727</v>
      </c>
      <c r="I2198" s="37" t="s">
        <v>102</v>
      </c>
      <c r="J2198" s="37" t="s">
        <v>519</v>
      </c>
      <c r="K2198" s="37" t="str">
        <f t="shared" si="37"/>
        <v>Greer, OK</v>
      </c>
      <c r="L2198" s="70">
        <v>0.0</v>
      </c>
      <c r="M2198" s="37" t="s">
        <v>63</v>
      </c>
      <c r="N2198" s="37" t="s">
        <v>63</v>
      </c>
      <c r="O2198" s="37" t="s">
        <v>63</v>
      </c>
      <c r="P2198" s="37">
        <v>0.0</v>
      </c>
      <c r="Q2198" s="30">
        <v>9.0</v>
      </c>
      <c r="R2198" s="37">
        <v>0.0</v>
      </c>
      <c r="S2198" s="37" t="s">
        <v>63</v>
      </c>
      <c r="T2198" s="69" t="s">
        <v>63</v>
      </c>
      <c r="U2198" s="70">
        <v>1.0</v>
      </c>
      <c r="V2198" s="37" t="s">
        <v>63</v>
      </c>
      <c r="W2198" s="37" t="s">
        <v>63</v>
      </c>
      <c r="X2198" s="37" t="s">
        <v>63</v>
      </c>
      <c r="Y2198" s="53">
        <v>12.0</v>
      </c>
      <c r="Z2198" s="69" t="s">
        <v>63</v>
      </c>
      <c r="AA2198" s="73"/>
      <c r="AB2198" s="73"/>
      <c r="AC2198" s="73"/>
      <c r="AD2198" s="73"/>
      <c r="AE2198" s="73"/>
      <c r="AF2198" s="73"/>
      <c r="AG2198" s="73"/>
      <c r="AH2198" s="73"/>
      <c r="AI2198" s="73"/>
      <c r="AJ2198" s="73"/>
      <c r="AK2198" s="73"/>
    </row>
    <row r="2199">
      <c r="A2199" s="28">
        <v>2198.0</v>
      </c>
      <c r="B2199" s="29"/>
      <c r="C2199" s="29"/>
      <c r="D2199" s="40">
        <v>1.0</v>
      </c>
      <c r="E2199" s="31">
        <v>40.0</v>
      </c>
      <c r="F2199" s="42">
        <v>57.0</v>
      </c>
      <c r="G2199" s="29" t="str">
        <f t="shared" si="1"/>
        <v>40057</v>
      </c>
      <c r="H2199" s="37" t="s">
        <v>1729</v>
      </c>
      <c r="I2199" s="37" t="s">
        <v>102</v>
      </c>
      <c r="J2199" s="37" t="s">
        <v>519</v>
      </c>
      <c r="K2199" s="37" t="str">
        <f t="shared" si="37"/>
        <v>Harmon, OK</v>
      </c>
      <c r="L2199" s="70">
        <v>0.0</v>
      </c>
      <c r="M2199" s="37" t="s">
        <v>63</v>
      </c>
      <c r="N2199" s="37" t="s">
        <v>63</v>
      </c>
      <c r="O2199" s="37" t="s">
        <v>63</v>
      </c>
      <c r="P2199" s="37">
        <v>0.0</v>
      </c>
      <c r="Q2199" s="30">
        <v>2.0</v>
      </c>
      <c r="R2199" s="37">
        <v>0.0</v>
      </c>
      <c r="S2199" s="37" t="s">
        <v>63</v>
      </c>
      <c r="T2199" s="69" t="s">
        <v>63</v>
      </c>
      <c r="U2199" s="70">
        <v>0.0</v>
      </c>
      <c r="V2199" s="37" t="s">
        <v>63</v>
      </c>
      <c r="W2199" s="37" t="s">
        <v>63</v>
      </c>
      <c r="X2199" s="37" t="s">
        <v>63</v>
      </c>
      <c r="Y2199" s="53">
        <v>7.0</v>
      </c>
      <c r="Z2199" s="69" t="s">
        <v>63</v>
      </c>
      <c r="AA2199" s="73"/>
      <c r="AB2199" s="73"/>
      <c r="AC2199" s="73"/>
      <c r="AD2199" s="73"/>
      <c r="AE2199" s="73"/>
      <c r="AF2199" s="73"/>
      <c r="AG2199" s="73"/>
      <c r="AH2199" s="73"/>
      <c r="AI2199" s="73"/>
      <c r="AJ2199" s="73"/>
      <c r="AK2199" s="73"/>
    </row>
    <row r="2200">
      <c r="A2200" s="28">
        <v>2199.0</v>
      </c>
      <c r="B2200" s="29"/>
      <c r="C2200" s="29"/>
      <c r="D2200" s="40">
        <v>1.0</v>
      </c>
      <c r="E2200" s="31">
        <v>40.0</v>
      </c>
      <c r="F2200" s="42">
        <v>59.0</v>
      </c>
      <c r="G2200" s="29" t="str">
        <f t="shared" si="1"/>
        <v>40059</v>
      </c>
      <c r="H2200" s="37" t="s">
        <v>978</v>
      </c>
      <c r="I2200" s="37" t="s">
        <v>102</v>
      </c>
      <c r="J2200" s="37" t="s">
        <v>519</v>
      </c>
      <c r="K2200" s="37" t="str">
        <f t="shared" si="37"/>
        <v>Harper, OK</v>
      </c>
      <c r="L2200" s="70">
        <v>0.0</v>
      </c>
      <c r="M2200" s="37" t="s">
        <v>63</v>
      </c>
      <c r="N2200" s="37" t="s">
        <v>63</v>
      </c>
      <c r="O2200" s="37" t="s">
        <v>63</v>
      </c>
      <c r="P2200" s="37">
        <v>0.0</v>
      </c>
      <c r="Q2200" s="30">
        <v>4.0</v>
      </c>
      <c r="R2200" s="37">
        <v>0.0</v>
      </c>
      <c r="S2200" s="37" t="s">
        <v>63</v>
      </c>
      <c r="T2200" s="69" t="s">
        <v>63</v>
      </c>
      <c r="U2200" s="70">
        <v>0.0</v>
      </c>
      <c r="V2200" s="37" t="s">
        <v>63</v>
      </c>
      <c r="W2200" s="37" t="s">
        <v>63</v>
      </c>
      <c r="X2200" s="37" t="s">
        <v>63</v>
      </c>
      <c r="Y2200" s="53">
        <v>9.0</v>
      </c>
      <c r="Z2200" s="69" t="s">
        <v>63</v>
      </c>
      <c r="AA2200" s="73"/>
      <c r="AB2200" s="73"/>
      <c r="AC2200" s="73"/>
      <c r="AD2200" s="73"/>
      <c r="AE2200" s="73"/>
      <c r="AF2200" s="73"/>
      <c r="AG2200" s="73"/>
      <c r="AH2200" s="73"/>
      <c r="AI2200" s="73"/>
      <c r="AJ2200" s="73"/>
      <c r="AK2200" s="73"/>
    </row>
    <row r="2201">
      <c r="A2201" s="28">
        <v>2200.0</v>
      </c>
      <c r="B2201" s="29"/>
      <c r="C2201" s="29"/>
      <c r="D2201" s="40">
        <v>1.0</v>
      </c>
      <c r="E2201" s="31">
        <v>40.0</v>
      </c>
      <c r="F2201" s="42">
        <v>61.0</v>
      </c>
      <c r="G2201" s="29" t="str">
        <f t="shared" si="1"/>
        <v>40061</v>
      </c>
      <c r="H2201" s="37" t="s">
        <v>980</v>
      </c>
      <c r="I2201" s="37" t="s">
        <v>102</v>
      </c>
      <c r="J2201" s="37" t="s">
        <v>519</v>
      </c>
      <c r="K2201" s="37" t="str">
        <f t="shared" si="37"/>
        <v>Haskell, OK</v>
      </c>
      <c r="L2201" s="70">
        <v>22.0</v>
      </c>
      <c r="M2201" s="37" t="s">
        <v>63</v>
      </c>
      <c r="N2201" s="37" t="s">
        <v>63</v>
      </c>
      <c r="O2201" s="37" t="s">
        <v>63</v>
      </c>
      <c r="P2201" s="37">
        <v>3.0</v>
      </c>
      <c r="Q2201" s="30">
        <v>25.0</v>
      </c>
      <c r="R2201" s="37">
        <v>1.0</v>
      </c>
      <c r="S2201" s="37" t="s">
        <v>63</v>
      </c>
      <c r="T2201" s="69" t="s">
        <v>63</v>
      </c>
      <c r="U2201" s="70">
        <v>0.0</v>
      </c>
      <c r="V2201" s="37" t="s">
        <v>63</v>
      </c>
      <c r="W2201" s="37" t="s">
        <v>63</v>
      </c>
      <c r="X2201" s="37" t="s">
        <v>63</v>
      </c>
      <c r="Y2201" s="53">
        <v>18.0</v>
      </c>
      <c r="Z2201" s="69" t="s">
        <v>63</v>
      </c>
      <c r="AA2201" s="73"/>
      <c r="AB2201" s="73"/>
      <c r="AC2201" s="73"/>
      <c r="AD2201" s="73"/>
      <c r="AE2201" s="73"/>
      <c r="AF2201" s="73"/>
      <c r="AG2201" s="73"/>
      <c r="AH2201" s="73"/>
      <c r="AI2201" s="73"/>
      <c r="AJ2201" s="73"/>
      <c r="AK2201" s="73"/>
    </row>
    <row r="2202">
      <c r="A2202" s="28">
        <v>2201.0</v>
      </c>
      <c r="B2202" s="29"/>
      <c r="C2202" s="29"/>
      <c r="D2202" s="40">
        <v>1.0</v>
      </c>
      <c r="E2202" s="31">
        <v>40.0</v>
      </c>
      <c r="F2202" s="42">
        <v>63.0</v>
      </c>
      <c r="G2202" s="29" t="str">
        <f t="shared" si="1"/>
        <v>40063</v>
      </c>
      <c r="H2202" s="37" t="s">
        <v>1730</v>
      </c>
      <c r="I2202" s="37" t="s">
        <v>102</v>
      </c>
      <c r="J2202" s="37" t="s">
        <v>519</v>
      </c>
      <c r="K2202" s="37" t="str">
        <f t="shared" si="37"/>
        <v>Hughes, OK</v>
      </c>
      <c r="L2202" s="70">
        <v>0.0</v>
      </c>
      <c r="M2202" s="37" t="s">
        <v>63</v>
      </c>
      <c r="N2202" s="37" t="s">
        <v>63</v>
      </c>
      <c r="O2202" s="37" t="s">
        <v>63</v>
      </c>
      <c r="P2202" s="37">
        <v>0.0</v>
      </c>
      <c r="Q2202" s="30">
        <v>12.0</v>
      </c>
      <c r="R2202" s="37">
        <v>0.0</v>
      </c>
      <c r="S2202" s="37" t="s">
        <v>63</v>
      </c>
      <c r="T2202" s="69" t="s">
        <v>63</v>
      </c>
      <c r="U2202" s="70">
        <v>0.0</v>
      </c>
      <c r="V2202" s="37" t="s">
        <v>63</v>
      </c>
      <c r="W2202" s="37" t="s">
        <v>63</v>
      </c>
      <c r="X2202" s="37" t="s">
        <v>63</v>
      </c>
      <c r="Y2202" s="53">
        <v>22.0</v>
      </c>
      <c r="Z2202" s="69" t="s">
        <v>63</v>
      </c>
      <c r="AA2202" s="73"/>
      <c r="AB2202" s="73"/>
      <c r="AC2202" s="73"/>
      <c r="AD2202" s="73"/>
      <c r="AE2202" s="73"/>
      <c r="AF2202" s="73"/>
      <c r="AG2202" s="73"/>
      <c r="AH2202" s="73"/>
      <c r="AI2202" s="73"/>
      <c r="AJ2202" s="73"/>
      <c r="AK2202" s="73"/>
    </row>
    <row r="2203">
      <c r="A2203" s="28">
        <v>2202.0</v>
      </c>
      <c r="B2203" s="29"/>
      <c r="C2203" s="29"/>
      <c r="D2203" s="40">
        <v>1.0</v>
      </c>
      <c r="E2203" s="31">
        <v>40.0</v>
      </c>
      <c r="F2203" s="42">
        <v>65.0</v>
      </c>
      <c r="G2203" s="29" t="str">
        <f t="shared" si="1"/>
        <v>40065</v>
      </c>
      <c r="H2203" s="37" t="s">
        <v>142</v>
      </c>
      <c r="I2203" s="37" t="s">
        <v>102</v>
      </c>
      <c r="J2203" s="37" t="s">
        <v>519</v>
      </c>
      <c r="K2203" s="37" t="str">
        <f t="shared" si="37"/>
        <v>Jackson, OK</v>
      </c>
      <c r="L2203" s="70">
        <v>89.0</v>
      </c>
      <c r="M2203" s="37" t="s">
        <v>63</v>
      </c>
      <c r="N2203" s="37" t="s">
        <v>63</v>
      </c>
      <c r="O2203" s="37" t="s">
        <v>63</v>
      </c>
      <c r="P2203" s="37">
        <v>37.0</v>
      </c>
      <c r="Q2203" s="30">
        <v>16.0</v>
      </c>
      <c r="R2203" s="37">
        <v>8.0</v>
      </c>
      <c r="S2203" s="37" t="s">
        <v>63</v>
      </c>
      <c r="T2203" s="69" t="s">
        <v>63</v>
      </c>
      <c r="U2203" s="70">
        <v>3.0</v>
      </c>
      <c r="V2203" s="37" t="s">
        <v>63</v>
      </c>
      <c r="W2203" s="37" t="s">
        <v>63</v>
      </c>
      <c r="X2203" s="37" t="s">
        <v>63</v>
      </c>
      <c r="Y2203" s="53">
        <v>38.0</v>
      </c>
      <c r="Z2203" s="69" t="s">
        <v>63</v>
      </c>
      <c r="AA2203" s="73"/>
      <c r="AB2203" s="73"/>
      <c r="AC2203" s="73"/>
      <c r="AD2203" s="73"/>
      <c r="AE2203" s="73"/>
      <c r="AF2203" s="73"/>
      <c r="AG2203" s="73"/>
      <c r="AH2203" s="73"/>
      <c r="AI2203" s="73"/>
      <c r="AJ2203" s="73"/>
      <c r="AK2203" s="73"/>
    </row>
    <row r="2204">
      <c r="A2204" s="28">
        <v>2203.0</v>
      </c>
      <c r="B2204" s="29"/>
      <c r="C2204" s="29"/>
      <c r="D2204" s="40">
        <v>1.0</v>
      </c>
      <c r="E2204" s="31">
        <v>40.0</v>
      </c>
      <c r="F2204" s="42">
        <v>67.0</v>
      </c>
      <c r="G2204" s="29" t="str">
        <f t="shared" si="1"/>
        <v>40067</v>
      </c>
      <c r="H2204" s="37" t="s">
        <v>143</v>
      </c>
      <c r="I2204" s="37" t="s">
        <v>102</v>
      </c>
      <c r="J2204" s="37" t="s">
        <v>519</v>
      </c>
      <c r="K2204" s="37" t="str">
        <f t="shared" si="37"/>
        <v>Jefferson, OK</v>
      </c>
      <c r="L2204" s="70">
        <v>0.0</v>
      </c>
      <c r="M2204" s="37" t="s">
        <v>63</v>
      </c>
      <c r="N2204" s="37" t="s">
        <v>63</v>
      </c>
      <c r="O2204" s="37" t="s">
        <v>63</v>
      </c>
      <c r="P2204" s="37">
        <v>0.0</v>
      </c>
      <c r="Q2204" s="30">
        <v>3.0</v>
      </c>
      <c r="R2204" s="37">
        <v>0.0</v>
      </c>
      <c r="S2204" s="37" t="s">
        <v>63</v>
      </c>
      <c r="T2204" s="69" t="s">
        <v>63</v>
      </c>
      <c r="U2204" s="70">
        <v>0.0</v>
      </c>
      <c r="V2204" s="37" t="s">
        <v>63</v>
      </c>
      <c r="W2204" s="37" t="s">
        <v>63</v>
      </c>
      <c r="X2204" s="37" t="s">
        <v>63</v>
      </c>
      <c r="Y2204" s="53">
        <v>12.0</v>
      </c>
      <c r="Z2204" s="69" t="s">
        <v>63</v>
      </c>
      <c r="AA2204" s="73"/>
      <c r="AB2204" s="73"/>
      <c r="AC2204" s="73"/>
      <c r="AD2204" s="73"/>
      <c r="AE2204" s="73"/>
      <c r="AF2204" s="73"/>
      <c r="AG2204" s="73"/>
      <c r="AH2204" s="73"/>
      <c r="AI2204" s="73"/>
      <c r="AJ2204" s="73"/>
      <c r="AK2204" s="73"/>
    </row>
    <row r="2205">
      <c r="A2205" s="28">
        <v>2204.0</v>
      </c>
      <c r="B2205" s="29"/>
      <c r="C2205" s="29"/>
      <c r="D2205" s="40">
        <v>1.0</v>
      </c>
      <c r="E2205" s="31">
        <v>40.0</v>
      </c>
      <c r="F2205" s="42">
        <v>69.0</v>
      </c>
      <c r="G2205" s="29" t="str">
        <f t="shared" si="1"/>
        <v>40069</v>
      </c>
      <c r="H2205" s="37" t="s">
        <v>1612</v>
      </c>
      <c r="I2205" s="37" t="s">
        <v>102</v>
      </c>
      <c r="J2205" s="37" t="s">
        <v>519</v>
      </c>
      <c r="K2205" s="37" t="str">
        <f t="shared" si="37"/>
        <v>Johnston, OK</v>
      </c>
      <c r="L2205" s="70">
        <v>45.0</v>
      </c>
      <c r="M2205" s="37" t="s">
        <v>63</v>
      </c>
      <c r="N2205" s="37" t="s">
        <v>63</v>
      </c>
      <c r="O2205" s="37" t="s">
        <v>63</v>
      </c>
      <c r="P2205" s="37">
        <v>7.0</v>
      </c>
      <c r="Q2205" s="30">
        <v>6.0</v>
      </c>
      <c r="R2205" s="37">
        <v>5.0</v>
      </c>
      <c r="S2205" s="37" t="s">
        <v>63</v>
      </c>
      <c r="T2205" s="69" t="s">
        <v>63</v>
      </c>
      <c r="U2205" s="70">
        <v>6.0</v>
      </c>
      <c r="V2205" s="37" t="s">
        <v>63</v>
      </c>
      <c r="W2205" s="37" t="s">
        <v>63</v>
      </c>
      <c r="X2205" s="37" t="s">
        <v>63</v>
      </c>
      <c r="Y2205" s="53">
        <v>17.0</v>
      </c>
      <c r="Z2205" s="69" t="s">
        <v>63</v>
      </c>
      <c r="AA2205" s="73"/>
      <c r="AB2205" s="73"/>
      <c r="AC2205" s="73"/>
      <c r="AD2205" s="73"/>
      <c r="AE2205" s="73"/>
      <c r="AF2205" s="73"/>
      <c r="AG2205" s="73"/>
      <c r="AH2205" s="73"/>
      <c r="AI2205" s="73"/>
      <c r="AJ2205" s="73"/>
      <c r="AK2205" s="73"/>
    </row>
    <row r="2206">
      <c r="A2206" s="28">
        <v>2205.0</v>
      </c>
      <c r="B2206" s="29"/>
      <c r="C2206" s="29"/>
      <c r="D2206" s="40">
        <v>1.0</v>
      </c>
      <c r="E2206" s="31">
        <v>40.0</v>
      </c>
      <c r="F2206" s="42">
        <v>71.0</v>
      </c>
      <c r="G2206" s="29" t="str">
        <f t="shared" si="1"/>
        <v>40071</v>
      </c>
      <c r="H2206" s="37" t="s">
        <v>1732</v>
      </c>
      <c r="I2206" s="37" t="s">
        <v>102</v>
      </c>
      <c r="J2206" s="37" t="s">
        <v>519</v>
      </c>
      <c r="K2206" s="37" t="str">
        <f t="shared" si="37"/>
        <v>Kay, OK</v>
      </c>
      <c r="L2206" s="70">
        <v>91.0</v>
      </c>
      <c r="M2206" s="37" t="s">
        <v>63</v>
      </c>
      <c r="N2206" s="37" t="s">
        <v>63</v>
      </c>
      <c r="O2206" s="37" t="s">
        <v>63</v>
      </c>
      <c r="P2206" s="37">
        <v>18.0</v>
      </c>
      <c r="Q2206" s="30">
        <v>48.0</v>
      </c>
      <c r="R2206" s="37">
        <v>12.0</v>
      </c>
      <c r="S2206" s="37" t="s">
        <v>63</v>
      </c>
      <c r="T2206" s="69" t="s">
        <v>63</v>
      </c>
      <c r="U2206" s="70">
        <v>10.0</v>
      </c>
      <c r="V2206" s="37" t="s">
        <v>63</v>
      </c>
      <c r="W2206" s="37" t="s">
        <v>63</v>
      </c>
      <c r="X2206" s="37" t="s">
        <v>63</v>
      </c>
      <c r="Y2206" s="53">
        <v>71.0</v>
      </c>
      <c r="Z2206" s="69" t="s">
        <v>63</v>
      </c>
      <c r="AA2206" s="73"/>
      <c r="AB2206" s="73"/>
      <c r="AC2206" s="73"/>
      <c r="AD2206" s="73"/>
      <c r="AE2206" s="73"/>
      <c r="AF2206" s="73"/>
      <c r="AG2206" s="73"/>
      <c r="AH2206" s="73"/>
      <c r="AI2206" s="73"/>
      <c r="AJ2206" s="73"/>
      <c r="AK2206" s="73"/>
    </row>
    <row r="2207">
      <c r="A2207" s="28">
        <v>2206.0</v>
      </c>
      <c r="B2207" s="29"/>
      <c r="C2207" s="29"/>
      <c r="D2207" s="40">
        <v>1.0</v>
      </c>
      <c r="E2207" s="31">
        <v>40.0</v>
      </c>
      <c r="F2207" s="42">
        <v>73.0</v>
      </c>
      <c r="G2207" s="29" t="str">
        <f t="shared" si="1"/>
        <v>40073</v>
      </c>
      <c r="H2207" s="37" t="s">
        <v>1733</v>
      </c>
      <c r="I2207" s="37" t="s">
        <v>102</v>
      </c>
      <c r="J2207" s="37" t="s">
        <v>519</v>
      </c>
      <c r="K2207" s="37" t="str">
        <f t="shared" si="37"/>
        <v>Kingfisher, OK</v>
      </c>
      <c r="L2207" s="70">
        <v>28.0</v>
      </c>
      <c r="M2207" s="37" t="s">
        <v>63</v>
      </c>
      <c r="N2207" s="37" t="s">
        <v>63</v>
      </c>
      <c r="O2207" s="37" t="s">
        <v>63</v>
      </c>
      <c r="P2207" s="37">
        <v>7.0</v>
      </c>
      <c r="Q2207" s="30">
        <v>8.0</v>
      </c>
      <c r="R2207" s="37">
        <v>2.0</v>
      </c>
      <c r="S2207" s="37" t="s">
        <v>63</v>
      </c>
      <c r="T2207" s="69" t="s">
        <v>63</v>
      </c>
      <c r="U2207" s="70">
        <v>0.0</v>
      </c>
      <c r="V2207" s="37" t="s">
        <v>63</v>
      </c>
      <c r="W2207" s="37" t="s">
        <v>63</v>
      </c>
      <c r="X2207" s="37" t="s">
        <v>63</v>
      </c>
      <c r="Y2207" s="53">
        <v>33.0</v>
      </c>
      <c r="Z2207" s="69" t="s">
        <v>63</v>
      </c>
      <c r="AA2207" s="73"/>
      <c r="AB2207" s="73"/>
      <c r="AC2207" s="73"/>
      <c r="AD2207" s="73"/>
      <c r="AE2207" s="73"/>
      <c r="AF2207" s="73"/>
      <c r="AG2207" s="73"/>
      <c r="AH2207" s="73"/>
      <c r="AI2207" s="73"/>
      <c r="AJ2207" s="73"/>
      <c r="AK2207" s="73"/>
    </row>
    <row r="2208">
      <c r="A2208" s="28">
        <v>2207.0</v>
      </c>
      <c r="B2208" s="29"/>
      <c r="C2208" s="29"/>
      <c r="D2208" s="40">
        <v>1.0</v>
      </c>
      <c r="E2208" s="31">
        <v>40.0</v>
      </c>
      <c r="F2208" s="42">
        <v>75.0</v>
      </c>
      <c r="G2208" s="29" t="str">
        <f t="shared" si="1"/>
        <v>40075</v>
      </c>
      <c r="H2208" s="37" t="s">
        <v>427</v>
      </c>
      <c r="I2208" s="37" t="s">
        <v>102</v>
      </c>
      <c r="J2208" s="37" t="s">
        <v>519</v>
      </c>
      <c r="K2208" s="37" t="str">
        <f t="shared" si="37"/>
        <v>Kiowa, OK</v>
      </c>
      <c r="L2208" s="70">
        <v>0.0</v>
      </c>
      <c r="M2208" s="37" t="s">
        <v>63</v>
      </c>
      <c r="N2208" s="37" t="s">
        <v>63</v>
      </c>
      <c r="O2208" s="37" t="s">
        <v>63</v>
      </c>
      <c r="P2208" s="37">
        <v>0.0</v>
      </c>
      <c r="Q2208" s="30">
        <v>10.0</v>
      </c>
      <c r="R2208" s="37">
        <v>0.0</v>
      </c>
      <c r="S2208" s="37" t="s">
        <v>63</v>
      </c>
      <c r="T2208" s="69" t="s">
        <v>63</v>
      </c>
      <c r="U2208" s="70">
        <v>0.0</v>
      </c>
      <c r="V2208" s="37" t="s">
        <v>63</v>
      </c>
      <c r="W2208" s="37" t="s">
        <v>63</v>
      </c>
      <c r="X2208" s="37" t="s">
        <v>63</v>
      </c>
      <c r="Y2208" s="53">
        <v>20.0</v>
      </c>
      <c r="Z2208" s="69" t="s">
        <v>63</v>
      </c>
      <c r="AA2208" s="73"/>
      <c r="AB2208" s="73"/>
      <c r="AC2208" s="73"/>
      <c r="AD2208" s="73"/>
      <c r="AE2208" s="73"/>
      <c r="AF2208" s="73"/>
      <c r="AG2208" s="73"/>
      <c r="AH2208" s="73"/>
      <c r="AI2208" s="73"/>
      <c r="AJ2208" s="73"/>
      <c r="AK2208" s="73"/>
    </row>
    <row r="2209">
      <c r="A2209" s="28">
        <v>2208.0</v>
      </c>
      <c r="B2209" s="29"/>
      <c r="C2209" s="29"/>
      <c r="D2209" s="40">
        <v>1.0</v>
      </c>
      <c r="E2209" s="31">
        <v>40.0</v>
      </c>
      <c r="F2209" s="42">
        <v>77.0</v>
      </c>
      <c r="G2209" s="29" t="str">
        <f t="shared" si="1"/>
        <v>40077</v>
      </c>
      <c r="H2209" s="37" t="s">
        <v>1735</v>
      </c>
      <c r="I2209" s="37" t="s">
        <v>102</v>
      </c>
      <c r="J2209" s="37" t="s">
        <v>519</v>
      </c>
      <c r="K2209" s="37" t="str">
        <f t="shared" si="37"/>
        <v>Latimer, OK</v>
      </c>
      <c r="L2209" s="70">
        <v>55.0</v>
      </c>
      <c r="M2209" s="37" t="s">
        <v>63</v>
      </c>
      <c r="N2209" s="37" t="s">
        <v>63</v>
      </c>
      <c r="O2209" s="37" t="s">
        <v>63</v>
      </c>
      <c r="P2209" s="37">
        <v>12.0</v>
      </c>
      <c r="Q2209" s="30">
        <v>42.0</v>
      </c>
      <c r="R2209" s="37">
        <v>3.0</v>
      </c>
      <c r="S2209" s="37" t="s">
        <v>63</v>
      </c>
      <c r="T2209" s="69" t="s">
        <v>63</v>
      </c>
      <c r="U2209" s="70">
        <v>8.0</v>
      </c>
      <c r="V2209" s="37" t="s">
        <v>63</v>
      </c>
      <c r="W2209" s="37" t="s">
        <v>63</v>
      </c>
      <c r="X2209" s="37" t="s">
        <v>63</v>
      </c>
      <c r="Y2209" s="53">
        <v>22.0</v>
      </c>
      <c r="Z2209" s="69" t="s">
        <v>63</v>
      </c>
      <c r="AA2209" s="73"/>
      <c r="AB2209" s="73"/>
      <c r="AC2209" s="73"/>
      <c r="AD2209" s="73"/>
      <c r="AE2209" s="73"/>
      <c r="AF2209" s="73"/>
      <c r="AG2209" s="73"/>
      <c r="AH2209" s="73"/>
      <c r="AI2209" s="73"/>
      <c r="AJ2209" s="73"/>
      <c r="AK2209" s="73"/>
    </row>
    <row r="2210">
      <c r="A2210" s="28">
        <v>2209.0</v>
      </c>
      <c r="B2210" s="29"/>
      <c r="C2210" s="29"/>
      <c r="D2210" s="40">
        <v>1.0</v>
      </c>
      <c r="E2210" s="31">
        <v>40.0</v>
      </c>
      <c r="F2210" s="42">
        <v>79.0</v>
      </c>
      <c r="G2210" s="29" t="str">
        <f t="shared" si="1"/>
        <v>40079</v>
      </c>
      <c r="H2210" s="37" t="s">
        <v>1736</v>
      </c>
      <c r="I2210" s="37" t="s">
        <v>102</v>
      </c>
      <c r="J2210" s="37" t="s">
        <v>519</v>
      </c>
      <c r="K2210" s="37" t="str">
        <f t="shared" si="37"/>
        <v>Le Flore, OK</v>
      </c>
      <c r="L2210" s="70">
        <v>60.0</v>
      </c>
      <c r="M2210" s="37" t="s">
        <v>63</v>
      </c>
      <c r="N2210" s="37" t="s">
        <v>63</v>
      </c>
      <c r="O2210" s="37" t="s">
        <v>63</v>
      </c>
      <c r="P2210" s="37">
        <v>21.0</v>
      </c>
      <c r="Q2210" s="30">
        <v>20.0</v>
      </c>
      <c r="R2210" s="37">
        <v>0.0</v>
      </c>
      <c r="S2210" s="37" t="s">
        <v>63</v>
      </c>
      <c r="T2210" s="69" t="s">
        <v>63</v>
      </c>
      <c r="U2210" s="70">
        <v>6.0</v>
      </c>
      <c r="V2210" s="37" t="s">
        <v>63</v>
      </c>
      <c r="W2210" s="37" t="s">
        <v>63</v>
      </c>
      <c r="X2210" s="37" t="s">
        <v>63</v>
      </c>
      <c r="Y2210" s="53">
        <v>67.0</v>
      </c>
      <c r="Z2210" s="69" t="s">
        <v>63</v>
      </c>
      <c r="AA2210" s="73"/>
      <c r="AB2210" s="73"/>
      <c r="AC2210" s="73"/>
      <c r="AD2210" s="73"/>
      <c r="AE2210" s="73"/>
      <c r="AF2210" s="73"/>
      <c r="AG2210" s="73"/>
      <c r="AH2210" s="73"/>
      <c r="AI2210" s="73"/>
      <c r="AJ2210" s="73"/>
      <c r="AK2210" s="73"/>
    </row>
    <row r="2211">
      <c r="A2211" s="28">
        <v>2210.0</v>
      </c>
      <c r="B2211" s="29"/>
      <c r="C2211" s="29"/>
      <c r="D2211" s="40">
        <v>1.0</v>
      </c>
      <c r="E2211" s="31">
        <v>40.0</v>
      </c>
      <c r="F2211" s="42">
        <v>81.0</v>
      </c>
      <c r="G2211" s="29" t="str">
        <f t="shared" si="1"/>
        <v>40081</v>
      </c>
      <c r="H2211" s="37" t="s">
        <v>290</v>
      </c>
      <c r="I2211" s="37" t="s">
        <v>102</v>
      </c>
      <c r="J2211" s="37" t="s">
        <v>519</v>
      </c>
      <c r="K2211" s="37" t="str">
        <f t="shared" si="37"/>
        <v>Lincoln, OK</v>
      </c>
      <c r="L2211" s="70">
        <v>92.0</v>
      </c>
      <c r="M2211" s="37" t="s">
        <v>63</v>
      </c>
      <c r="N2211" s="37" t="s">
        <v>63</v>
      </c>
      <c r="O2211" s="37" t="s">
        <v>63</v>
      </c>
      <c r="P2211" s="37">
        <v>28.0</v>
      </c>
      <c r="Q2211" s="30">
        <v>29.0</v>
      </c>
      <c r="R2211" s="37">
        <v>2.0</v>
      </c>
      <c r="S2211" s="37" t="s">
        <v>63</v>
      </c>
      <c r="T2211" s="69" t="s">
        <v>63</v>
      </c>
      <c r="U2211" s="70">
        <v>0.0</v>
      </c>
      <c r="V2211" s="37" t="s">
        <v>63</v>
      </c>
      <c r="W2211" s="37" t="s">
        <v>63</v>
      </c>
      <c r="X2211" s="37" t="s">
        <v>63</v>
      </c>
      <c r="Y2211" s="53">
        <v>55.0</v>
      </c>
      <c r="Z2211" s="69" t="s">
        <v>63</v>
      </c>
      <c r="AA2211" s="73"/>
      <c r="AB2211" s="73"/>
      <c r="AC2211" s="73"/>
      <c r="AD2211" s="73"/>
      <c r="AE2211" s="73"/>
      <c r="AF2211" s="73"/>
      <c r="AG2211" s="73"/>
      <c r="AH2211" s="73"/>
      <c r="AI2211" s="73"/>
      <c r="AJ2211" s="73"/>
      <c r="AK2211" s="73"/>
    </row>
    <row r="2212">
      <c r="A2212" s="28">
        <v>2211.0</v>
      </c>
      <c r="B2212" s="29"/>
      <c r="C2212" s="29"/>
      <c r="D2212" s="40">
        <v>1.0</v>
      </c>
      <c r="E2212" s="31">
        <v>40.0</v>
      </c>
      <c r="F2212" s="42">
        <v>83.0</v>
      </c>
      <c r="G2212" s="29" t="str">
        <f t="shared" si="1"/>
        <v>40083</v>
      </c>
      <c r="H2212" s="37" t="s">
        <v>293</v>
      </c>
      <c r="I2212" s="37" t="s">
        <v>102</v>
      </c>
      <c r="J2212" s="37" t="s">
        <v>519</v>
      </c>
      <c r="K2212" s="37" t="str">
        <f t="shared" si="37"/>
        <v>Logan, OK</v>
      </c>
      <c r="L2212" s="70">
        <v>115.0</v>
      </c>
      <c r="M2212" s="37" t="s">
        <v>63</v>
      </c>
      <c r="N2212" s="37" t="s">
        <v>63</v>
      </c>
      <c r="O2212" s="37" t="s">
        <v>63</v>
      </c>
      <c r="P2212" s="37">
        <v>27.0</v>
      </c>
      <c r="Q2212" s="30">
        <v>72.0</v>
      </c>
      <c r="R2212" s="37">
        <v>9.0</v>
      </c>
      <c r="S2212" s="37" t="s">
        <v>63</v>
      </c>
      <c r="T2212" s="69" t="s">
        <v>63</v>
      </c>
      <c r="U2212" s="70">
        <v>2.0</v>
      </c>
      <c r="V2212" s="37" t="s">
        <v>63</v>
      </c>
      <c r="W2212" s="37" t="s">
        <v>63</v>
      </c>
      <c r="X2212" s="37" t="s">
        <v>63</v>
      </c>
      <c r="Y2212" s="53">
        <v>46.0</v>
      </c>
      <c r="Z2212" s="69" t="s">
        <v>63</v>
      </c>
      <c r="AA2212" s="73"/>
      <c r="AB2212" s="73"/>
      <c r="AC2212" s="73"/>
      <c r="AD2212" s="73"/>
      <c r="AE2212" s="73"/>
      <c r="AF2212" s="73"/>
      <c r="AG2212" s="73"/>
      <c r="AH2212" s="73"/>
      <c r="AI2212" s="73"/>
      <c r="AJ2212" s="73"/>
      <c r="AK2212" s="73"/>
    </row>
    <row r="2213">
      <c r="A2213" s="28">
        <v>2212.0</v>
      </c>
      <c r="B2213" s="29"/>
      <c r="C2213" s="29"/>
      <c r="D2213" s="40">
        <v>1.0</v>
      </c>
      <c r="E2213" s="31">
        <v>40.0</v>
      </c>
      <c r="F2213" s="42">
        <v>85.0</v>
      </c>
      <c r="G2213" s="29" t="str">
        <f t="shared" si="1"/>
        <v>40085</v>
      </c>
      <c r="H2213" s="37" t="s">
        <v>1739</v>
      </c>
      <c r="I2213" s="37" t="s">
        <v>102</v>
      </c>
      <c r="J2213" s="37" t="s">
        <v>519</v>
      </c>
      <c r="K2213" s="37" t="str">
        <f t="shared" si="37"/>
        <v>Love, OK</v>
      </c>
      <c r="L2213" s="70">
        <v>0.0</v>
      </c>
      <c r="M2213" s="37" t="s">
        <v>63</v>
      </c>
      <c r="N2213" s="37" t="s">
        <v>63</v>
      </c>
      <c r="O2213" s="37" t="s">
        <v>63</v>
      </c>
      <c r="P2213" s="37">
        <v>0.0</v>
      </c>
      <c r="Q2213" s="30">
        <v>5.0</v>
      </c>
      <c r="R2213" s="37">
        <v>0.0</v>
      </c>
      <c r="S2213" s="37" t="s">
        <v>63</v>
      </c>
      <c r="T2213" s="69" t="s">
        <v>63</v>
      </c>
      <c r="U2213" s="70">
        <v>0.0</v>
      </c>
      <c r="V2213" s="37" t="s">
        <v>63</v>
      </c>
      <c r="W2213" s="37" t="s">
        <v>63</v>
      </c>
      <c r="X2213" s="37" t="s">
        <v>63</v>
      </c>
      <c r="Y2213" s="53">
        <v>12.0</v>
      </c>
      <c r="Z2213" s="69" t="s">
        <v>63</v>
      </c>
      <c r="AA2213" s="73"/>
      <c r="AB2213" s="73"/>
      <c r="AC2213" s="73"/>
      <c r="AD2213" s="73"/>
      <c r="AE2213" s="73"/>
      <c r="AF2213" s="73"/>
      <c r="AG2213" s="73"/>
      <c r="AH2213" s="73"/>
      <c r="AI2213" s="73"/>
      <c r="AJ2213" s="73"/>
      <c r="AK2213" s="73"/>
    </row>
    <row r="2214">
      <c r="A2214" s="28">
        <v>2213.0</v>
      </c>
      <c r="B2214" s="29"/>
      <c r="C2214" s="29"/>
      <c r="D2214" s="40">
        <v>1.0</v>
      </c>
      <c r="E2214" s="31">
        <v>40.0</v>
      </c>
      <c r="F2214" s="42">
        <v>87.0</v>
      </c>
      <c r="G2214" s="29" t="str">
        <f t="shared" si="1"/>
        <v>40087</v>
      </c>
      <c r="H2214" s="37" t="s">
        <v>1741</v>
      </c>
      <c r="I2214" s="37" t="s">
        <v>102</v>
      </c>
      <c r="J2214" s="37" t="s">
        <v>519</v>
      </c>
      <c r="K2214" s="37" t="str">
        <f t="shared" si="37"/>
        <v>Mcclain, OK</v>
      </c>
      <c r="L2214" s="70">
        <v>31.0</v>
      </c>
      <c r="M2214" s="37" t="s">
        <v>63</v>
      </c>
      <c r="N2214" s="37" t="s">
        <v>63</v>
      </c>
      <c r="O2214" s="37" t="s">
        <v>63</v>
      </c>
      <c r="P2214" s="37">
        <v>7.0</v>
      </c>
      <c r="Q2214" s="30">
        <v>41.0</v>
      </c>
      <c r="R2214" s="37">
        <v>0.0</v>
      </c>
      <c r="S2214" s="37" t="s">
        <v>63</v>
      </c>
      <c r="T2214" s="69" t="s">
        <v>63</v>
      </c>
      <c r="U2214" s="70">
        <v>0.0</v>
      </c>
      <c r="V2214" s="37" t="s">
        <v>63</v>
      </c>
      <c r="W2214" s="37" t="s">
        <v>63</v>
      </c>
      <c r="X2214" s="37" t="s">
        <v>63</v>
      </c>
      <c r="Y2214" s="53">
        <v>54.0</v>
      </c>
      <c r="Z2214" s="69" t="s">
        <v>63</v>
      </c>
      <c r="AA2214" s="73"/>
      <c r="AB2214" s="73"/>
      <c r="AC2214" s="73"/>
      <c r="AD2214" s="73"/>
      <c r="AE2214" s="73"/>
      <c r="AF2214" s="73"/>
      <c r="AG2214" s="73"/>
      <c r="AH2214" s="73"/>
      <c r="AI2214" s="73"/>
      <c r="AJ2214" s="73"/>
      <c r="AK2214" s="73"/>
    </row>
    <row r="2215">
      <c r="A2215" s="28">
        <v>2214.0</v>
      </c>
      <c r="B2215" s="29"/>
      <c r="C2215" s="29"/>
      <c r="D2215" s="40">
        <v>1.0</v>
      </c>
      <c r="E2215" s="31">
        <v>40.0</v>
      </c>
      <c r="F2215" s="42">
        <v>89.0</v>
      </c>
      <c r="G2215" s="29" t="str">
        <f t="shared" si="1"/>
        <v>40089</v>
      </c>
      <c r="H2215" s="37" t="s">
        <v>1742</v>
      </c>
      <c r="I2215" s="37" t="s">
        <v>102</v>
      </c>
      <c r="J2215" s="37" t="s">
        <v>519</v>
      </c>
      <c r="K2215" s="37" t="str">
        <f t="shared" si="37"/>
        <v>McCurtain, OK</v>
      </c>
      <c r="L2215" s="70">
        <v>57.0</v>
      </c>
      <c r="M2215" s="37" t="s">
        <v>63</v>
      </c>
      <c r="N2215" s="37" t="s">
        <v>63</v>
      </c>
      <c r="O2215" s="37" t="s">
        <v>63</v>
      </c>
      <c r="P2215" s="37">
        <v>18.0</v>
      </c>
      <c r="Q2215" s="30">
        <v>14.0</v>
      </c>
      <c r="R2215" s="37">
        <v>0.0</v>
      </c>
      <c r="S2215" s="37" t="s">
        <v>63</v>
      </c>
      <c r="T2215" s="69" t="s">
        <v>63</v>
      </c>
      <c r="U2215" s="70">
        <v>2.0</v>
      </c>
      <c r="V2215" s="37" t="s">
        <v>63</v>
      </c>
      <c r="W2215" s="37" t="s">
        <v>63</v>
      </c>
      <c r="X2215" s="37" t="s">
        <v>63</v>
      </c>
      <c r="Y2215" s="53">
        <v>64.0</v>
      </c>
      <c r="Z2215" s="69" t="s">
        <v>63</v>
      </c>
      <c r="AA2215" s="73"/>
      <c r="AB2215" s="73"/>
      <c r="AC2215" s="73"/>
      <c r="AD2215" s="73"/>
      <c r="AE2215" s="73"/>
      <c r="AF2215" s="73"/>
      <c r="AG2215" s="73"/>
      <c r="AH2215" s="73"/>
      <c r="AI2215" s="73"/>
      <c r="AJ2215" s="73"/>
      <c r="AK2215" s="73"/>
    </row>
    <row r="2216">
      <c r="A2216" s="28">
        <v>2215.0</v>
      </c>
      <c r="B2216" s="29"/>
      <c r="C2216" s="29"/>
      <c r="D2216" s="40">
        <v>1.0</v>
      </c>
      <c r="E2216" s="31">
        <v>40.0</v>
      </c>
      <c r="F2216" s="42">
        <v>91.0</v>
      </c>
      <c r="G2216" s="29" t="str">
        <f t="shared" si="1"/>
        <v>40091</v>
      </c>
      <c r="H2216" s="37" t="s">
        <v>606</v>
      </c>
      <c r="I2216" s="37" t="s">
        <v>102</v>
      </c>
      <c r="J2216" s="37" t="s">
        <v>519</v>
      </c>
      <c r="K2216" s="37" t="str">
        <f t="shared" si="37"/>
        <v>McIntosh, OK</v>
      </c>
      <c r="L2216" s="70">
        <v>178.0</v>
      </c>
      <c r="M2216" s="37" t="s">
        <v>63</v>
      </c>
      <c r="N2216" s="37" t="s">
        <v>63</v>
      </c>
      <c r="O2216" s="37" t="s">
        <v>63</v>
      </c>
      <c r="P2216" s="37">
        <v>31.0</v>
      </c>
      <c r="Q2216" s="30">
        <v>50.0</v>
      </c>
      <c r="R2216" s="37">
        <v>12.0</v>
      </c>
      <c r="S2216" s="37" t="s">
        <v>63</v>
      </c>
      <c r="T2216" s="69" t="s">
        <v>63</v>
      </c>
      <c r="U2216" s="70">
        <v>3.0</v>
      </c>
      <c r="V2216" s="37" t="s">
        <v>63</v>
      </c>
      <c r="W2216" s="37" t="s">
        <v>63</v>
      </c>
      <c r="X2216" s="37" t="s">
        <v>63</v>
      </c>
      <c r="Y2216" s="53">
        <v>30.0</v>
      </c>
      <c r="Z2216" s="69" t="s">
        <v>63</v>
      </c>
      <c r="AA2216" s="73"/>
      <c r="AB2216" s="73"/>
      <c r="AC2216" s="73"/>
      <c r="AD2216" s="73"/>
      <c r="AE2216" s="73"/>
      <c r="AF2216" s="73"/>
      <c r="AG2216" s="73"/>
      <c r="AH2216" s="73"/>
      <c r="AI2216" s="73"/>
      <c r="AJ2216" s="73"/>
      <c r="AK2216" s="73"/>
    </row>
    <row r="2217">
      <c r="A2217" s="28">
        <v>2216.0</v>
      </c>
      <c r="B2217" s="29"/>
      <c r="C2217" s="29"/>
      <c r="D2217" s="40">
        <v>1.0</v>
      </c>
      <c r="E2217" s="31">
        <v>40.0</v>
      </c>
      <c r="F2217" s="42">
        <v>93.0</v>
      </c>
      <c r="G2217" s="29" t="str">
        <f t="shared" si="1"/>
        <v>40093</v>
      </c>
      <c r="H2217" s="37" t="s">
        <v>1744</v>
      </c>
      <c r="I2217" s="37" t="s">
        <v>102</v>
      </c>
      <c r="J2217" s="37" t="s">
        <v>519</v>
      </c>
      <c r="K2217" s="37" t="str">
        <f t="shared" si="37"/>
        <v>Major, OK</v>
      </c>
      <c r="L2217" s="70">
        <v>28.0</v>
      </c>
      <c r="M2217" s="37" t="s">
        <v>63</v>
      </c>
      <c r="N2217" s="37" t="s">
        <v>63</v>
      </c>
      <c r="O2217" s="37" t="s">
        <v>63</v>
      </c>
      <c r="P2217" s="37">
        <v>0.0</v>
      </c>
      <c r="Q2217" s="30">
        <v>8.0</v>
      </c>
      <c r="R2217" s="37">
        <v>0.0</v>
      </c>
      <c r="S2217" s="37" t="s">
        <v>63</v>
      </c>
      <c r="T2217" s="69" t="s">
        <v>63</v>
      </c>
      <c r="U2217" s="70">
        <v>3.0</v>
      </c>
      <c r="V2217" s="37" t="s">
        <v>63</v>
      </c>
      <c r="W2217" s="37" t="s">
        <v>63</v>
      </c>
      <c r="X2217" s="37" t="s">
        <v>63</v>
      </c>
      <c r="Y2217" s="53">
        <v>24.0</v>
      </c>
      <c r="Z2217" s="69" t="s">
        <v>63</v>
      </c>
      <c r="AA2217" s="73"/>
      <c r="AB2217" s="73"/>
      <c r="AC2217" s="73"/>
      <c r="AD2217" s="73"/>
      <c r="AE2217" s="73"/>
      <c r="AF2217" s="73"/>
      <c r="AG2217" s="73"/>
      <c r="AH2217" s="73"/>
      <c r="AI2217" s="73"/>
      <c r="AJ2217" s="73"/>
      <c r="AK2217" s="73"/>
    </row>
    <row r="2218">
      <c r="A2218" s="28">
        <v>2217.0</v>
      </c>
      <c r="B2218" s="29"/>
      <c r="C2218" s="29"/>
      <c r="D2218" s="40">
        <v>1.0</v>
      </c>
      <c r="E2218" s="31">
        <v>40.0</v>
      </c>
      <c r="F2218" s="42">
        <v>95.0</v>
      </c>
      <c r="G2218" s="29" t="str">
        <f t="shared" si="1"/>
        <v>40095</v>
      </c>
      <c r="H2218" s="37" t="s">
        <v>154</v>
      </c>
      <c r="I2218" s="37" t="s">
        <v>102</v>
      </c>
      <c r="J2218" s="37" t="s">
        <v>519</v>
      </c>
      <c r="K2218" s="37" t="str">
        <f t="shared" si="37"/>
        <v>Marshall, OK</v>
      </c>
      <c r="L2218" s="70">
        <v>0.0</v>
      </c>
      <c r="M2218" s="37" t="s">
        <v>63</v>
      </c>
      <c r="N2218" s="37" t="s">
        <v>63</v>
      </c>
      <c r="O2218" s="37" t="s">
        <v>63</v>
      </c>
      <c r="P2218" s="37">
        <v>0.0</v>
      </c>
      <c r="Q2218" s="30">
        <v>11.0</v>
      </c>
      <c r="R2218" s="37">
        <v>0.0</v>
      </c>
      <c r="S2218" s="37" t="s">
        <v>63</v>
      </c>
      <c r="T2218" s="69" t="s">
        <v>63</v>
      </c>
      <c r="U2218" s="70">
        <v>0.0</v>
      </c>
      <c r="V2218" s="37" t="s">
        <v>63</v>
      </c>
      <c r="W2218" s="37" t="s">
        <v>63</v>
      </c>
      <c r="X2218" s="37" t="s">
        <v>63</v>
      </c>
      <c r="Y2218" s="53">
        <v>17.0</v>
      </c>
      <c r="Z2218" s="69" t="s">
        <v>63</v>
      </c>
      <c r="AA2218" s="73"/>
      <c r="AB2218" s="73"/>
      <c r="AC2218" s="73"/>
      <c r="AD2218" s="73"/>
      <c r="AE2218" s="73"/>
      <c r="AF2218" s="73"/>
      <c r="AG2218" s="73"/>
      <c r="AH2218" s="73"/>
      <c r="AI2218" s="73"/>
      <c r="AJ2218" s="73"/>
      <c r="AK2218" s="73"/>
    </row>
    <row r="2219">
      <c r="A2219" s="28">
        <v>2218.0</v>
      </c>
      <c r="B2219" s="29"/>
      <c r="C2219" s="29"/>
      <c r="D2219" s="40">
        <v>1.0</v>
      </c>
      <c r="E2219" s="31">
        <v>40.0</v>
      </c>
      <c r="F2219" s="42">
        <v>97.0</v>
      </c>
      <c r="G2219" s="29" t="str">
        <f t="shared" si="1"/>
        <v>40097</v>
      </c>
      <c r="H2219" s="37" t="s">
        <v>1746</v>
      </c>
      <c r="I2219" s="37" t="s">
        <v>102</v>
      </c>
      <c r="J2219" s="37" t="s">
        <v>519</v>
      </c>
      <c r="K2219" s="37" t="str">
        <f t="shared" si="37"/>
        <v>Mayes, OK</v>
      </c>
      <c r="L2219" s="70">
        <v>56.0</v>
      </c>
      <c r="M2219" s="37" t="s">
        <v>63</v>
      </c>
      <c r="N2219" s="37" t="s">
        <v>63</v>
      </c>
      <c r="O2219" s="37" t="s">
        <v>63</v>
      </c>
      <c r="P2219" s="37">
        <v>15.0</v>
      </c>
      <c r="Q2219" s="30">
        <v>37.0</v>
      </c>
      <c r="R2219" s="37">
        <v>4.0</v>
      </c>
      <c r="S2219" s="37" t="s">
        <v>63</v>
      </c>
      <c r="T2219" s="69" t="s">
        <v>63</v>
      </c>
      <c r="U2219" s="70">
        <v>0.0</v>
      </c>
      <c r="V2219" s="37" t="s">
        <v>63</v>
      </c>
      <c r="W2219" s="37" t="s">
        <v>63</v>
      </c>
      <c r="X2219" s="37" t="s">
        <v>63</v>
      </c>
      <c r="Y2219" s="53">
        <v>71.0</v>
      </c>
      <c r="Z2219" s="69" t="s">
        <v>63</v>
      </c>
      <c r="AA2219" s="73"/>
      <c r="AB2219" s="73"/>
      <c r="AC2219" s="73"/>
      <c r="AD2219" s="73"/>
      <c r="AE2219" s="73"/>
      <c r="AF2219" s="73"/>
      <c r="AG2219" s="73"/>
      <c r="AH2219" s="73"/>
      <c r="AI2219" s="73"/>
      <c r="AJ2219" s="73"/>
      <c r="AK2219" s="73"/>
    </row>
    <row r="2220">
      <c r="A2220" s="28">
        <v>2219.0</v>
      </c>
      <c r="B2220" s="29"/>
      <c r="C2220" s="29"/>
      <c r="D2220" s="40">
        <v>1.0</v>
      </c>
      <c r="E2220" s="31">
        <v>40.0</v>
      </c>
      <c r="F2220" s="42">
        <v>99.0</v>
      </c>
      <c r="G2220" s="29" t="str">
        <f t="shared" si="1"/>
        <v>40099</v>
      </c>
      <c r="H2220" s="37" t="s">
        <v>611</v>
      </c>
      <c r="I2220" s="37" t="s">
        <v>102</v>
      </c>
      <c r="J2220" s="37" t="s">
        <v>519</v>
      </c>
      <c r="K2220" s="37" t="str">
        <f t="shared" si="37"/>
        <v>Murray, OK</v>
      </c>
      <c r="L2220" s="70">
        <v>51.0</v>
      </c>
      <c r="M2220" s="37" t="s">
        <v>63</v>
      </c>
      <c r="N2220" s="37" t="s">
        <v>63</v>
      </c>
      <c r="O2220" s="37" t="s">
        <v>63</v>
      </c>
      <c r="P2220" s="37">
        <v>18.0</v>
      </c>
      <c r="Q2220" s="30">
        <v>12.0</v>
      </c>
      <c r="R2220" s="37">
        <v>5.0</v>
      </c>
      <c r="S2220" s="37" t="s">
        <v>63</v>
      </c>
      <c r="T2220" s="69" t="s">
        <v>63</v>
      </c>
      <c r="U2220" s="70">
        <v>0.0</v>
      </c>
      <c r="V2220" s="37" t="s">
        <v>63</v>
      </c>
      <c r="W2220" s="37" t="s">
        <v>63</v>
      </c>
      <c r="X2220" s="37" t="s">
        <v>63</v>
      </c>
      <c r="Y2220" s="53">
        <v>25.0</v>
      </c>
      <c r="Z2220" s="69" t="s">
        <v>63</v>
      </c>
      <c r="AA2220" s="73"/>
      <c r="AB2220" s="73"/>
      <c r="AC2220" s="73"/>
      <c r="AD2220" s="73"/>
      <c r="AE2220" s="73"/>
      <c r="AF2220" s="73"/>
      <c r="AG2220" s="73"/>
      <c r="AH2220" s="73"/>
      <c r="AI2220" s="73"/>
      <c r="AJ2220" s="73"/>
      <c r="AK2220" s="73"/>
    </row>
    <row r="2221">
      <c r="A2221" s="28">
        <v>2220.0</v>
      </c>
      <c r="B2221" s="29"/>
      <c r="C2221" s="29"/>
      <c r="D2221" s="40">
        <v>1.0</v>
      </c>
      <c r="E2221" s="31">
        <v>40.0</v>
      </c>
      <c r="F2221" s="42">
        <v>101.0</v>
      </c>
      <c r="G2221" s="29" t="str">
        <f t="shared" si="1"/>
        <v>40101</v>
      </c>
      <c r="H2221" s="37" t="s">
        <v>1747</v>
      </c>
      <c r="I2221" s="37" t="s">
        <v>102</v>
      </c>
      <c r="J2221" s="37" t="s">
        <v>519</v>
      </c>
      <c r="K2221" s="37" t="str">
        <f t="shared" si="37"/>
        <v>Muskogee, OK</v>
      </c>
      <c r="L2221" s="70">
        <v>44.0</v>
      </c>
      <c r="M2221" s="37" t="s">
        <v>63</v>
      </c>
      <c r="N2221" s="37" t="s">
        <v>63</v>
      </c>
      <c r="O2221" s="37" t="s">
        <v>63</v>
      </c>
      <c r="P2221" s="37">
        <v>15.0</v>
      </c>
      <c r="Q2221" s="30">
        <v>12.0</v>
      </c>
      <c r="R2221" s="37">
        <v>2.0</v>
      </c>
      <c r="S2221" s="37" t="s">
        <v>63</v>
      </c>
      <c r="T2221" s="69" t="s">
        <v>63</v>
      </c>
      <c r="U2221" s="70">
        <v>1.0</v>
      </c>
      <c r="V2221" s="37" t="s">
        <v>63</v>
      </c>
      <c r="W2221" s="37" t="s">
        <v>63</v>
      </c>
      <c r="X2221" s="37" t="s">
        <v>63</v>
      </c>
      <c r="Y2221" s="53">
        <v>92.0</v>
      </c>
      <c r="Z2221" s="69" t="s">
        <v>63</v>
      </c>
      <c r="AA2221" s="73"/>
      <c r="AB2221" s="73"/>
      <c r="AC2221" s="73"/>
      <c r="AD2221" s="73"/>
      <c r="AE2221" s="73"/>
      <c r="AF2221" s="73"/>
      <c r="AG2221" s="73"/>
      <c r="AH2221" s="73"/>
      <c r="AI2221" s="73"/>
      <c r="AJ2221" s="73"/>
      <c r="AK2221" s="73"/>
    </row>
    <row r="2222">
      <c r="A2222" s="28">
        <v>2221.0</v>
      </c>
      <c r="B2222" s="29"/>
      <c r="C2222" s="29"/>
      <c r="D2222" s="40">
        <v>1.0</v>
      </c>
      <c r="E2222" s="31">
        <v>40.0</v>
      </c>
      <c r="F2222" s="42">
        <v>103.0</v>
      </c>
      <c r="G2222" s="29" t="str">
        <f t="shared" si="1"/>
        <v>40103</v>
      </c>
      <c r="H2222" s="37" t="s">
        <v>793</v>
      </c>
      <c r="I2222" s="37" t="s">
        <v>102</v>
      </c>
      <c r="J2222" s="37" t="s">
        <v>519</v>
      </c>
      <c r="K2222" s="37" t="str">
        <f t="shared" si="37"/>
        <v>Noble, OK</v>
      </c>
      <c r="L2222" s="70">
        <v>37.0</v>
      </c>
      <c r="M2222" s="37" t="s">
        <v>63</v>
      </c>
      <c r="N2222" s="37" t="s">
        <v>63</v>
      </c>
      <c r="O2222" s="37" t="s">
        <v>63</v>
      </c>
      <c r="P2222" s="37">
        <v>4.0</v>
      </c>
      <c r="Q2222" s="30">
        <v>11.0</v>
      </c>
      <c r="R2222" s="37">
        <v>3.0</v>
      </c>
      <c r="S2222" s="37" t="s">
        <v>63</v>
      </c>
      <c r="T2222" s="69" t="s">
        <v>63</v>
      </c>
      <c r="U2222" s="70">
        <v>2.0</v>
      </c>
      <c r="V2222" s="37" t="s">
        <v>63</v>
      </c>
      <c r="W2222" s="37" t="s">
        <v>63</v>
      </c>
      <c r="X2222" s="37" t="s">
        <v>63</v>
      </c>
      <c r="Y2222" s="53">
        <v>17.0</v>
      </c>
      <c r="Z2222" s="69" t="s">
        <v>63</v>
      </c>
      <c r="AA2222" s="73"/>
      <c r="AB2222" s="73"/>
      <c r="AC2222" s="73"/>
      <c r="AD2222" s="73"/>
      <c r="AE2222" s="73"/>
      <c r="AF2222" s="73"/>
      <c r="AG2222" s="73"/>
      <c r="AH2222" s="73"/>
      <c r="AI2222" s="73"/>
      <c r="AJ2222" s="73"/>
      <c r="AK2222" s="73"/>
    </row>
    <row r="2223">
      <c r="A2223" s="28">
        <v>2222.0</v>
      </c>
      <c r="B2223" s="29"/>
      <c r="C2223" s="29"/>
      <c r="D2223" s="40">
        <v>1.0</v>
      </c>
      <c r="E2223" s="31">
        <v>40.0</v>
      </c>
      <c r="F2223" s="42">
        <v>105.0</v>
      </c>
      <c r="G2223" s="29" t="str">
        <f t="shared" si="1"/>
        <v>40105</v>
      </c>
      <c r="H2223" s="37" t="s">
        <v>1749</v>
      </c>
      <c r="I2223" s="37" t="s">
        <v>102</v>
      </c>
      <c r="J2223" s="37" t="s">
        <v>519</v>
      </c>
      <c r="K2223" s="37" t="str">
        <f t="shared" si="37"/>
        <v>Nowata, OK</v>
      </c>
      <c r="L2223" s="70">
        <v>15.0</v>
      </c>
      <c r="M2223" s="37" t="s">
        <v>63</v>
      </c>
      <c r="N2223" s="37" t="s">
        <v>63</v>
      </c>
      <c r="O2223" s="37" t="s">
        <v>63</v>
      </c>
      <c r="P2223" s="37">
        <v>0.0</v>
      </c>
      <c r="Q2223" s="30">
        <v>15.0</v>
      </c>
      <c r="R2223" s="37">
        <v>0.0</v>
      </c>
      <c r="S2223" s="37" t="s">
        <v>63</v>
      </c>
      <c r="T2223" s="69" t="s">
        <v>63</v>
      </c>
      <c r="U2223" s="70">
        <v>0.0</v>
      </c>
      <c r="V2223" s="37" t="s">
        <v>63</v>
      </c>
      <c r="W2223" s="37" t="s">
        <v>63</v>
      </c>
      <c r="X2223" s="37" t="s">
        <v>63</v>
      </c>
      <c r="Y2223" s="53">
        <v>16.0</v>
      </c>
      <c r="Z2223" s="69" t="s">
        <v>63</v>
      </c>
      <c r="AA2223" s="73"/>
      <c r="AB2223" s="73"/>
      <c r="AC2223" s="73"/>
      <c r="AD2223" s="73"/>
      <c r="AE2223" s="73"/>
      <c r="AF2223" s="73"/>
      <c r="AG2223" s="73"/>
      <c r="AH2223" s="73"/>
      <c r="AI2223" s="73"/>
      <c r="AJ2223" s="73"/>
      <c r="AK2223" s="73"/>
    </row>
    <row r="2224">
      <c r="A2224" s="28">
        <v>2223.0</v>
      </c>
      <c r="B2224" s="29"/>
      <c r="C2224" s="29"/>
      <c r="D2224" s="40">
        <v>1.0</v>
      </c>
      <c r="E2224" s="31">
        <v>40.0</v>
      </c>
      <c r="F2224" s="42">
        <v>107.0</v>
      </c>
      <c r="G2224" s="29" t="str">
        <f t="shared" si="1"/>
        <v>40107</v>
      </c>
      <c r="H2224" s="37" t="s">
        <v>1750</v>
      </c>
      <c r="I2224" s="37" t="s">
        <v>102</v>
      </c>
      <c r="J2224" s="37" t="s">
        <v>519</v>
      </c>
      <c r="K2224" s="37" t="str">
        <f t="shared" si="37"/>
        <v>Okfuskee, OK</v>
      </c>
      <c r="L2224" s="70">
        <v>91.0</v>
      </c>
      <c r="M2224" s="37" t="s">
        <v>63</v>
      </c>
      <c r="N2224" s="37" t="s">
        <v>63</v>
      </c>
      <c r="O2224" s="37" t="s">
        <v>63</v>
      </c>
      <c r="P2224" s="37">
        <v>26.0</v>
      </c>
      <c r="Q2224" s="30">
        <v>42.0</v>
      </c>
      <c r="R2224" s="37">
        <v>0.0</v>
      </c>
      <c r="S2224" s="37" t="s">
        <v>63</v>
      </c>
      <c r="T2224" s="69" t="s">
        <v>63</v>
      </c>
      <c r="U2224" s="70">
        <v>1.0</v>
      </c>
      <c r="V2224" s="37" t="s">
        <v>63</v>
      </c>
      <c r="W2224" s="37" t="s">
        <v>63</v>
      </c>
      <c r="X2224" s="37" t="s">
        <v>63</v>
      </c>
      <c r="Y2224" s="53">
        <v>18.0</v>
      </c>
      <c r="Z2224" s="69" t="s">
        <v>63</v>
      </c>
      <c r="AA2224" s="73"/>
      <c r="AB2224" s="73"/>
      <c r="AC2224" s="73"/>
      <c r="AD2224" s="73"/>
      <c r="AE2224" s="73"/>
      <c r="AF2224" s="73"/>
      <c r="AG2224" s="73"/>
      <c r="AH2224" s="73"/>
      <c r="AI2224" s="73"/>
      <c r="AJ2224" s="73"/>
      <c r="AK2224" s="73"/>
    </row>
    <row r="2225">
      <c r="A2225" s="28">
        <v>2224.0</v>
      </c>
      <c r="B2225" s="29"/>
      <c r="C2225" s="29"/>
      <c r="D2225" s="40">
        <v>1.0</v>
      </c>
      <c r="E2225" s="31">
        <v>40.0</v>
      </c>
      <c r="F2225" s="42">
        <v>109.0</v>
      </c>
      <c r="G2225" s="29" t="str">
        <f t="shared" si="1"/>
        <v>40109</v>
      </c>
      <c r="H2225" s="37" t="s">
        <v>102</v>
      </c>
      <c r="I2225" s="37" t="s">
        <v>102</v>
      </c>
      <c r="J2225" s="37" t="s">
        <v>519</v>
      </c>
      <c r="K2225" s="37" t="str">
        <f t="shared" si="37"/>
        <v>Oklahoma, OK</v>
      </c>
      <c r="L2225" s="70">
        <v>923.0</v>
      </c>
      <c r="M2225" s="37" t="s">
        <v>63</v>
      </c>
      <c r="N2225" s="37" t="s">
        <v>63</v>
      </c>
      <c r="O2225" s="37" t="s">
        <v>63</v>
      </c>
      <c r="P2225" s="37">
        <v>183.0</v>
      </c>
      <c r="Q2225" s="30">
        <v>499.0</v>
      </c>
      <c r="R2225" s="37">
        <v>54.0</v>
      </c>
      <c r="S2225" s="37" t="s">
        <v>63</v>
      </c>
      <c r="T2225" s="69" t="s">
        <v>63</v>
      </c>
      <c r="U2225" s="70">
        <v>108.0</v>
      </c>
      <c r="V2225" s="37" t="s">
        <v>63</v>
      </c>
      <c r="W2225" s="37" t="s">
        <v>63</v>
      </c>
      <c r="X2225" s="37" t="s">
        <v>63</v>
      </c>
      <c r="Y2225" s="53">
        <v>643.0</v>
      </c>
      <c r="Z2225" s="69" t="s">
        <v>63</v>
      </c>
      <c r="AA2225" s="73"/>
      <c r="AB2225" s="73"/>
      <c r="AC2225" s="73"/>
      <c r="AD2225" s="73"/>
      <c r="AE2225" s="73"/>
      <c r="AF2225" s="73"/>
      <c r="AG2225" s="73"/>
      <c r="AH2225" s="73"/>
      <c r="AI2225" s="73"/>
      <c r="AJ2225" s="73"/>
      <c r="AK2225" s="73"/>
    </row>
    <row r="2226">
      <c r="A2226" s="28">
        <v>2225.0</v>
      </c>
      <c r="B2226" s="29"/>
      <c r="C2226" s="29"/>
      <c r="D2226" s="40">
        <v>1.0</v>
      </c>
      <c r="E2226" s="31">
        <v>40.0</v>
      </c>
      <c r="F2226" s="42">
        <v>111.0</v>
      </c>
      <c r="G2226" s="29" t="str">
        <f t="shared" si="1"/>
        <v>40111</v>
      </c>
      <c r="H2226" s="37" t="s">
        <v>1751</v>
      </c>
      <c r="I2226" s="37" t="s">
        <v>102</v>
      </c>
      <c r="J2226" s="37" t="s">
        <v>519</v>
      </c>
      <c r="K2226" s="37" t="str">
        <f t="shared" si="37"/>
        <v>Okmulgee, OK</v>
      </c>
      <c r="L2226" s="70">
        <v>51.0</v>
      </c>
      <c r="M2226" s="37" t="s">
        <v>63</v>
      </c>
      <c r="N2226" s="37" t="s">
        <v>63</v>
      </c>
      <c r="O2226" s="37" t="s">
        <v>63</v>
      </c>
      <c r="P2226" s="37">
        <v>12.0</v>
      </c>
      <c r="Q2226" s="30">
        <v>23.0</v>
      </c>
      <c r="R2226" s="37">
        <v>8.0</v>
      </c>
      <c r="S2226" s="37" t="s">
        <v>63</v>
      </c>
      <c r="T2226" s="69" t="s">
        <v>63</v>
      </c>
      <c r="U2226" s="70">
        <v>1.0</v>
      </c>
      <c r="V2226" s="37" t="s">
        <v>63</v>
      </c>
      <c r="W2226" s="37" t="s">
        <v>63</v>
      </c>
      <c r="X2226" s="37" t="s">
        <v>63</v>
      </c>
      <c r="Y2226" s="53">
        <v>63.0</v>
      </c>
      <c r="Z2226" s="69" t="s">
        <v>63</v>
      </c>
      <c r="AA2226" s="73"/>
      <c r="AB2226" s="73"/>
      <c r="AC2226" s="73"/>
      <c r="AD2226" s="73"/>
      <c r="AE2226" s="73"/>
      <c r="AF2226" s="73"/>
      <c r="AG2226" s="73"/>
      <c r="AH2226" s="73"/>
      <c r="AI2226" s="73"/>
      <c r="AJ2226" s="73"/>
      <c r="AK2226" s="73"/>
    </row>
    <row r="2227">
      <c r="A2227" s="28">
        <v>2226.0</v>
      </c>
      <c r="B2227" s="29"/>
      <c r="C2227" s="29"/>
      <c r="D2227" s="40">
        <v>1.0</v>
      </c>
      <c r="E2227" s="31">
        <v>40.0</v>
      </c>
      <c r="F2227" s="42">
        <v>113.0</v>
      </c>
      <c r="G2227" s="29" t="str">
        <f t="shared" si="1"/>
        <v>40113</v>
      </c>
      <c r="H2227" s="37" t="s">
        <v>996</v>
      </c>
      <c r="I2227" s="37" t="s">
        <v>102</v>
      </c>
      <c r="J2227" s="37" t="s">
        <v>519</v>
      </c>
      <c r="K2227" s="37" t="str">
        <f t="shared" si="37"/>
        <v>Osage, OK</v>
      </c>
      <c r="L2227" s="70">
        <v>50.0</v>
      </c>
      <c r="M2227" s="37" t="s">
        <v>63</v>
      </c>
      <c r="N2227" s="37" t="s">
        <v>63</v>
      </c>
      <c r="O2227" s="37" t="s">
        <v>63</v>
      </c>
      <c r="P2227" s="37">
        <v>17.0</v>
      </c>
      <c r="Q2227" s="30">
        <v>40.0</v>
      </c>
      <c r="R2227" s="37">
        <v>2.0</v>
      </c>
      <c r="S2227" s="37" t="s">
        <v>63</v>
      </c>
      <c r="T2227" s="69" t="s">
        <v>63</v>
      </c>
      <c r="U2227" s="70">
        <v>1.0</v>
      </c>
      <c r="V2227" s="37" t="s">
        <v>63</v>
      </c>
      <c r="W2227" s="37" t="s">
        <v>63</v>
      </c>
      <c r="X2227" s="37" t="s">
        <v>63</v>
      </c>
      <c r="Y2227" s="53">
        <v>58.0</v>
      </c>
      <c r="Z2227" s="69" t="s">
        <v>63</v>
      </c>
      <c r="AA2227" s="73"/>
      <c r="AB2227" s="73"/>
      <c r="AC2227" s="73"/>
      <c r="AD2227" s="73"/>
      <c r="AE2227" s="73"/>
      <c r="AF2227" s="73"/>
      <c r="AG2227" s="73"/>
      <c r="AH2227" s="73"/>
      <c r="AI2227" s="73"/>
      <c r="AJ2227" s="73"/>
      <c r="AK2227" s="73"/>
    </row>
    <row r="2228">
      <c r="A2228" s="28">
        <v>2227.0</v>
      </c>
      <c r="B2228" s="29"/>
      <c r="C2228" s="29"/>
      <c r="D2228" s="40">
        <v>1.0</v>
      </c>
      <c r="E2228" s="31">
        <v>40.0</v>
      </c>
      <c r="F2228" s="42">
        <v>115.0</v>
      </c>
      <c r="G2228" s="29" t="str">
        <f t="shared" si="1"/>
        <v>40115</v>
      </c>
      <c r="H2228" s="37" t="s">
        <v>998</v>
      </c>
      <c r="I2228" s="37" t="s">
        <v>102</v>
      </c>
      <c r="J2228" s="37" t="s">
        <v>519</v>
      </c>
      <c r="K2228" s="37" t="str">
        <f t="shared" si="37"/>
        <v>Ottawa, OK</v>
      </c>
      <c r="L2228" s="70">
        <v>31.0</v>
      </c>
      <c r="M2228" s="37" t="s">
        <v>63</v>
      </c>
      <c r="N2228" s="37" t="s">
        <v>63</v>
      </c>
      <c r="O2228" s="37" t="s">
        <v>63</v>
      </c>
      <c r="P2228" s="37">
        <v>6.0</v>
      </c>
      <c r="Q2228" s="30">
        <v>23.0</v>
      </c>
      <c r="R2228" s="37">
        <v>1.0</v>
      </c>
      <c r="S2228" s="37" t="s">
        <v>63</v>
      </c>
      <c r="T2228" s="69" t="s">
        <v>63</v>
      </c>
      <c r="U2228" s="70">
        <v>2.0</v>
      </c>
      <c r="V2228" s="37" t="s">
        <v>63</v>
      </c>
      <c r="W2228" s="37" t="s">
        <v>63</v>
      </c>
      <c r="X2228" s="37" t="s">
        <v>63</v>
      </c>
      <c r="Y2228" s="53">
        <v>52.0</v>
      </c>
      <c r="Z2228" s="69" t="s">
        <v>63</v>
      </c>
      <c r="AA2228" s="73"/>
      <c r="AB2228" s="73"/>
      <c r="AC2228" s="73"/>
      <c r="AD2228" s="73"/>
      <c r="AE2228" s="73"/>
      <c r="AF2228" s="73"/>
      <c r="AG2228" s="73"/>
      <c r="AH2228" s="73"/>
      <c r="AI2228" s="73"/>
      <c r="AJ2228" s="73"/>
      <c r="AK2228" s="73"/>
    </row>
    <row r="2229">
      <c r="A2229" s="28">
        <v>2228.0</v>
      </c>
      <c r="B2229" s="29"/>
      <c r="C2229" s="29"/>
      <c r="D2229" s="40">
        <v>1.0</v>
      </c>
      <c r="E2229" s="31">
        <v>40.0</v>
      </c>
      <c r="F2229" s="42">
        <v>117.0</v>
      </c>
      <c r="G2229" s="29" t="str">
        <f t="shared" si="1"/>
        <v>40117</v>
      </c>
      <c r="H2229" s="37" t="s">
        <v>999</v>
      </c>
      <c r="I2229" s="37" t="s">
        <v>102</v>
      </c>
      <c r="J2229" s="37" t="s">
        <v>519</v>
      </c>
      <c r="K2229" s="37" t="str">
        <f t="shared" si="37"/>
        <v>Pawnee, OK</v>
      </c>
      <c r="L2229" s="70">
        <v>21.0</v>
      </c>
      <c r="M2229" s="37" t="s">
        <v>63</v>
      </c>
      <c r="N2229" s="37" t="s">
        <v>63</v>
      </c>
      <c r="O2229" s="37" t="s">
        <v>63</v>
      </c>
      <c r="P2229" s="37">
        <v>7.0</v>
      </c>
      <c r="Q2229" s="30">
        <v>21.0</v>
      </c>
      <c r="R2229" s="37">
        <v>2.0</v>
      </c>
      <c r="S2229" s="37" t="s">
        <v>63</v>
      </c>
      <c r="T2229" s="69" t="s">
        <v>63</v>
      </c>
      <c r="U2229" s="70">
        <v>1.0</v>
      </c>
      <c r="V2229" s="37" t="s">
        <v>63</v>
      </c>
      <c r="W2229" s="37" t="s">
        <v>63</v>
      </c>
      <c r="X2229" s="37" t="s">
        <v>63</v>
      </c>
      <c r="Y2229" s="53">
        <v>35.0</v>
      </c>
      <c r="Z2229" s="69" t="s">
        <v>63</v>
      </c>
      <c r="AA2229" s="73"/>
      <c r="AB2229" s="73"/>
      <c r="AC2229" s="73"/>
      <c r="AD2229" s="73"/>
      <c r="AE2229" s="73"/>
      <c r="AF2229" s="73"/>
      <c r="AG2229" s="73"/>
      <c r="AH2229" s="73"/>
      <c r="AI2229" s="73"/>
      <c r="AJ2229" s="73"/>
      <c r="AK2229" s="73"/>
    </row>
    <row r="2230">
      <c r="A2230" s="28">
        <v>2229.0</v>
      </c>
      <c r="B2230" s="29"/>
      <c r="C2230" s="29"/>
      <c r="D2230" s="40">
        <v>1.0</v>
      </c>
      <c r="E2230" s="31">
        <v>40.0</v>
      </c>
      <c r="F2230" s="42">
        <v>119.0</v>
      </c>
      <c r="G2230" s="29" t="str">
        <f t="shared" si="1"/>
        <v>40119</v>
      </c>
      <c r="H2230" s="37" t="s">
        <v>1752</v>
      </c>
      <c r="I2230" s="37" t="s">
        <v>102</v>
      </c>
      <c r="J2230" s="37" t="s">
        <v>519</v>
      </c>
      <c r="K2230" s="37" t="str">
        <f t="shared" si="37"/>
        <v>Payne, OK</v>
      </c>
      <c r="L2230" s="70">
        <v>111.0</v>
      </c>
      <c r="M2230" s="37" t="s">
        <v>63</v>
      </c>
      <c r="N2230" s="37" t="s">
        <v>63</v>
      </c>
      <c r="O2230" s="37" t="s">
        <v>63</v>
      </c>
      <c r="P2230" s="37">
        <v>19.0</v>
      </c>
      <c r="Q2230" s="30">
        <v>74.0</v>
      </c>
      <c r="R2230" s="37">
        <v>6.0</v>
      </c>
      <c r="S2230" s="37" t="s">
        <v>63</v>
      </c>
      <c r="T2230" s="69" t="s">
        <v>63</v>
      </c>
      <c r="U2230" s="70">
        <v>8.0</v>
      </c>
      <c r="V2230" s="37" t="s">
        <v>63</v>
      </c>
      <c r="W2230" s="37" t="s">
        <v>63</v>
      </c>
      <c r="X2230" s="37" t="s">
        <v>63</v>
      </c>
      <c r="Y2230" s="53">
        <v>82.0</v>
      </c>
      <c r="Z2230" s="69" t="s">
        <v>63</v>
      </c>
      <c r="AA2230" s="73"/>
      <c r="AB2230" s="73"/>
      <c r="AC2230" s="73"/>
      <c r="AD2230" s="73"/>
      <c r="AE2230" s="73"/>
      <c r="AF2230" s="73"/>
      <c r="AG2230" s="73"/>
      <c r="AH2230" s="73"/>
      <c r="AI2230" s="73"/>
      <c r="AJ2230" s="73"/>
      <c r="AK2230" s="73"/>
    </row>
    <row r="2231">
      <c r="A2231" s="28">
        <v>2230.0</v>
      </c>
      <c r="B2231" s="29"/>
      <c r="C2231" s="29"/>
      <c r="D2231" s="40">
        <v>1.0</v>
      </c>
      <c r="E2231" s="31">
        <v>40.0</v>
      </c>
      <c r="F2231" s="42">
        <v>121.0</v>
      </c>
      <c r="G2231" s="29" t="str">
        <f t="shared" si="1"/>
        <v>40121</v>
      </c>
      <c r="H2231" s="37" t="s">
        <v>1755</v>
      </c>
      <c r="I2231" s="37" t="s">
        <v>102</v>
      </c>
      <c r="J2231" s="37" t="s">
        <v>519</v>
      </c>
      <c r="K2231" s="37" t="str">
        <f t="shared" si="37"/>
        <v>Pittsburg, OK</v>
      </c>
      <c r="L2231" s="70">
        <v>61.0</v>
      </c>
      <c r="M2231" s="37" t="s">
        <v>63</v>
      </c>
      <c r="N2231" s="37" t="s">
        <v>63</v>
      </c>
      <c r="O2231" s="37" t="s">
        <v>63</v>
      </c>
      <c r="P2231" s="37">
        <v>12.0</v>
      </c>
      <c r="Q2231" s="30">
        <v>42.0</v>
      </c>
      <c r="R2231" s="37">
        <v>1.0</v>
      </c>
      <c r="S2231" s="37" t="s">
        <v>63</v>
      </c>
      <c r="T2231" s="69" t="s">
        <v>63</v>
      </c>
      <c r="U2231" s="70">
        <v>0.0</v>
      </c>
      <c r="V2231" s="37" t="s">
        <v>63</v>
      </c>
      <c r="W2231" s="37" t="s">
        <v>63</v>
      </c>
      <c r="X2231" s="37" t="s">
        <v>63</v>
      </c>
      <c r="Y2231" s="53">
        <v>59.0</v>
      </c>
      <c r="Z2231" s="69" t="s">
        <v>63</v>
      </c>
      <c r="AA2231" s="73"/>
      <c r="AB2231" s="73"/>
      <c r="AC2231" s="73"/>
      <c r="AD2231" s="73"/>
      <c r="AE2231" s="73"/>
      <c r="AF2231" s="73"/>
      <c r="AG2231" s="73"/>
      <c r="AH2231" s="73"/>
      <c r="AI2231" s="73"/>
      <c r="AJ2231" s="73"/>
      <c r="AK2231" s="73"/>
    </row>
    <row r="2232">
      <c r="A2232" s="28">
        <v>2231.0</v>
      </c>
      <c r="B2232" s="29"/>
      <c r="C2232" s="29"/>
      <c r="D2232" s="40">
        <v>1.0</v>
      </c>
      <c r="E2232" s="31">
        <v>40.0</v>
      </c>
      <c r="F2232" s="42">
        <v>123.0</v>
      </c>
      <c r="G2232" s="29" t="str">
        <f t="shared" si="1"/>
        <v>40123</v>
      </c>
      <c r="H2232" s="37" t="s">
        <v>1379</v>
      </c>
      <c r="I2232" s="37" t="s">
        <v>102</v>
      </c>
      <c r="J2232" s="37" t="s">
        <v>519</v>
      </c>
      <c r="K2232" s="37" t="str">
        <f t="shared" si="37"/>
        <v>Pontotoc, OK</v>
      </c>
      <c r="L2232" s="70">
        <v>20.0</v>
      </c>
      <c r="M2232" s="37" t="s">
        <v>63</v>
      </c>
      <c r="N2232" s="37" t="s">
        <v>63</v>
      </c>
      <c r="O2232" s="37" t="s">
        <v>63</v>
      </c>
      <c r="P2232" s="37">
        <v>6.0</v>
      </c>
      <c r="Q2232" s="30">
        <v>12.0</v>
      </c>
      <c r="R2232" s="37">
        <v>0.0</v>
      </c>
      <c r="S2232" s="37" t="s">
        <v>63</v>
      </c>
      <c r="T2232" s="69" t="s">
        <v>63</v>
      </c>
      <c r="U2232" s="70">
        <v>0.0</v>
      </c>
      <c r="V2232" s="37" t="s">
        <v>63</v>
      </c>
      <c r="W2232" s="37" t="s">
        <v>63</v>
      </c>
      <c r="X2232" s="37" t="s">
        <v>63</v>
      </c>
      <c r="Y2232" s="53">
        <v>47.0</v>
      </c>
      <c r="Z2232" s="69" t="s">
        <v>63</v>
      </c>
      <c r="AA2232" s="73"/>
      <c r="AB2232" s="73"/>
      <c r="AC2232" s="73"/>
      <c r="AD2232" s="73"/>
      <c r="AE2232" s="73"/>
      <c r="AF2232" s="73"/>
      <c r="AG2232" s="73"/>
      <c r="AH2232" s="73"/>
      <c r="AI2232" s="73"/>
      <c r="AJ2232" s="73"/>
      <c r="AK2232" s="73"/>
    </row>
    <row r="2233">
      <c r="A2233" s="28">
        <v>2232.0</v>
      </c>
      <c r="B2233" s="29"/>
      <c r="C2233" s="29"/>
      <c r="D2233" s="40">
        <v>1.0</v>
      </c>
      <c r="E2233" s="31">
        <v>40.0</v>
      </c>
      <c r="F2233" s="42">
        <v>125.0</v>
      </c>
      <c r="G2233" s="29" t="str">
        <f t="shared" si="1"/>
        <v>40125</v>
      </c>
      <c r="H2233" s="37" t="s">
        <v>1000</v>
      </c>
      <c r="I2233" s="37" t="s">
        <v>102</v>
      </c>
      <c r="J2233" s="37" t="s">
        <v>519</v>
      </c>
      <c r="K2233" s="136" t="str">
        <f t="shared" si="37"/>
        <v>Pottawatomie, OK</v>
      </c>
      <c r="L2233" s="70">
        <v>105.0</v>
      </c>
      <c r="M2233" s="37" t="s">
        <v>63</v>
      </c>
      <c r="N2233" s="37" t="s">
        <v>63</v>
      </c>
      <c r="O2233" s="37" t="s">
        <v>63</v>
      </c>
      <c r="P2233" s="37">
        <v>24.0</v>
      </c>
      <c r="Q2233" s="30">
        <v>71.0</v>
      </c>
      <c r="R2233" s="37">
        <v>7.0</v>
      </c>
      <c r="S2233" s="37" t="s">
        <v>63</v>
      </c>
      <c r="T2233" s="69" t="s">
        <v>63</v>
      </c>
      <c r="U2233" s="70">
        <v>8.0</v>
      </c>
      <c r="V2233" s="37" t="s">
        <v>63</v>
      </c>
      <c r="W2233" s="37" t="s">
        <v>63</v>
      </c>
      <c r="X2233" s="37" t="s">
        <v>63</v>
      </c>
      <c r="Y2233" s="53">
        <v>92.0</v>
      </c>
      <c r="Z2233" s="69" t="s">
        <v>63</v>
      </c>
      <c r="AA2233" s="73"/>
      <c r="AB2233" s="73"/>
      <c r="AC2233" s="73"/>
      <c r="AD2233" s="73"/>
      <c r="AE2233" s="73"/>
      <c r="AF2233" s="73"/>
      <c r="AG2233" s="73"/>
      <c r="AH2233" s="73"/>
      <c r="AI2233" s="73"/>
      <c r="AJ2233" s="73"/>
      <c r="AK2233" s="73"/>
    </row>
    <row r="2234">
      <c r="A2234" s="28">
        <v>2233.0</v>
      </c>
      <c r="B2234" s="29"/>
      <c r="C2234" s="29"/>
      <c r="D2234" s="40">
        <v>1.0</v>
      </c>
      <c r="E2234" s="31">
        <v>40.0</v>
      </c>
      <c r="F2234" s="42">
        <v>127.0</v>
      </c>
      <c r="G2234" s="29" t="str">
        <f t="shared" si="1"/>
        <v>40127</v>
      </c>
      <c r="H2234" s="37" t="s">
        <v>1757</v>
      </c>
      <c r="I2234" s="37" t="s">
        <v>102</v>
      </c>
      <c r="J2234" s="37" t="s">
        <v>519</v>
      </c>
      <c r="K2234" s="136" t="str">
        <f t="shared" si="37"/>
        <v>Pushmataha, OK</v>
      </c>
      <c r="L2234" s="70">
        <v>87.0</v>
      </c>
      <c r="M2234" s="37" t="s">
        <v>63</v>
      </c>
      <c r="N2234" s="37" t="s">
        <v>63</v>
      </c>
      <c r="O2234" s="37" t="s">
        <v>63</v>
      </c>
      <c r="P2234" s="37">
        <v>24.0</v>
      </c>
      <c r="Q2234" s="30">
        <v>50.0</v>
      </c>
      <c r="R2234" s="37">
        <v>2.0</v>
      </c>
      <c r="S2234" s="37" t="s">
        <v>63</v>
      </c>
      <c r="T2234" s="69" t="s">
        <v>63</v>
      </c>
      <c r="U2234" s="70">
        <v>8.0</v>
      </c>
      <c r="V2234" s="37" t="s">
        <v>63</v>
      </c>
      <c r="W2234" s="37" t="s">
        <v>63</v>
      </c>
      <c r="X2234" s="37" t="s">
        <v>63</v>
      </c>
      <c r="Y2234" s="53">
        <v>17.0</v>
      </c>
      <c r="Z2234" s="69" t="s">
        <v>63</v>
      </c>
      <c r="AA2234" s="73"/>
      <c r="AB2234" s="73"/>
      <c r="AC2234" s="73"/>
      <c r="AD2234" s="73"/>
      <c r="AE2234" s="73"/>
      <c r="AF2234" s="73"/>
      <c r="AG2234" s="73"/>
      <c r="AH2234" s="73"/>
      <c r="AI2234" s="73"/>
      <c r="AJ2234" s="73"/>
      <c r="AK2234" s="73"/>
    </row>
    <row r="2235">
      <c r="A2235" s="28">
        <v>2234.0</v>
      </c>
      <c r="B2235" s="29"/>
      <c r="C2235" s="29"/>
      <c r="D2235" s="40">
        <v>1.0</v>
      </c>
      <c r="E2235" s="31">
        <v>40.0</v>
      </c>
      <c r="F2235" s="42">
        <v>129.0</v>
      </c>
      <c r="G2235" s="29" t="str">
        <f t="shared" si="1"/>
        <v>40129</v>
      </c>
      <c r="H2235" s="37" t="s">
        <v>1758</v>
      </c>
      <c r="I2235" s="37" t="s">
        <v>102</v>
      </c>
      <c r="J2235" s="37" t="s">
        <v>519</v>
      </c>
      <c r="K2235" s="37" t="str">
        <f t="shared" si="37"/>
        <v>Roger Mills, OK</v>
      </c>
      <c r="L2235" s="70">
        <v>0.0</v>
      </c>
      <c r="M2235" s="37" t="s">
        <v>63</v>
      </c>
      <c r="N2235" s="37" t="s">
        <v>63</v>
      </c>
      <c r="O2235" s="37" t="s">
        <v>63</v>
      </c>
      <c r="P2235" s="37">
        <v>0.0</v>
      </c>
      <c r="Q2235" s="30">
        <v>5.0</v>
      </c>
      <c r="R2235" s="37">
        <v>0.0</v>
      </c>
      <c r="S2235" s="37" t="s">
        <v>63</v>
      </c>
      <c r="T2235" s="69" t="s">
        <v>63</v>
      </c>
      <c r="U2235" s="70">
        <v>0.0</v>
      </c>
      <c r="V2235" s="37" t="s">
        <v>63</v>
      </c>
      <c r="W2235" s="37" t="s">
        <v>63</v>
      </c>
      <c r="X2235" s="37" t="s">
        <v>63</v>
      </c>
      <c r="Y2235" s="53">
        <v>10.0</v>
      </c>
      <c r="Z2235" s="69" t="s">
        <v>63</v>
      </c>
      <c r="AA2235" s="73"/>
      <c r="AB2235" s="73"/>
      <c r="AC2235" s="73"/>
      <c r="AD2235" s="73"/>
      <c r="AE2235" s="73"/>
      <c r="AF2235" s="73"/>
      <c r="AG2235" s="73"/>
      <c r="AH2235" s="73"/>
      <c r="AI2235" s="73"/>
      <c r="AJ2235" s="73"/>
      <c r="AK2235" s="73"/>
    </row>
    <row r="2236">
      <c r="A2236" s="28">
        <v>2235.0</v>
      </c>
      <c r="B2236" s="29"/>
      <c r="C2236" s="29"/>
      <c r="D2236" s="40">
        <v>1.0</v>
      </c>
      <c r="E2236" s="31">
        <v>40.0</v>
      </c>
      <c r="F2236" s="42">
        <v>131.0</v>
      </c>
      <c r="G2236" s="29" t="str">
        <f t="shared" si="1"/>
        <v>40131</v>
      </c>
      <c r="H2236" s="37" t="s">
        <v>1759</v>
      </c>
      <c r="I2236" s="37" t="s">
        <v>102</v>
      </c>
      <c r="J2236" s="37" t="s">
        <v>519</v>
      </c>
      <c r="K2236" s="37" t="str">
        <f t="shared" si="37"/>
        <v>Rogers, OK</v>
      </c>
      <c r="L2236" s="70">
        <v>99.0</v>
      </c>
      <c r="M2236" s="37" t="s">
        <v>63</v>
      </c>
      <c r="N2236" s="37" t="s">
        <v>63</v>
      </c>
      <c r="O2236" s="37" t="s">
        <v>63</v>
      </c>
      <c r="P2236" s="37">
        <v>28.0</v>
      </c>
      <c r="Q2236" s="30">
        <v>80.0</v>
      </c>
      <c r="R2236" s="37">
        <v>3.0</v>
      </c>
      <c r="S2236" s="37" t="s">
        <v>63</v>
      </c>
      <c r="T2236" s="69" t="s">
        <v>63</v>
      </c>
      <c r="U2236" s="70">
        <v>2.0</v>
      </c>
      <c r="V2236" s="37" t="s">
        <v>63</v>
      </c>
      <c r="W2236" s="37" t="s">
        <v>63</v>
      </c>
      <c r="X2236" s="37" t="s">
        <v>63</v>
      </c>
      <c r="Y2236" s="53">
        <v>83.0</v>
      </c>
      <c r="Z2236" s="69" t="s">
        <v>63</v>
      </c>
      <c r="AA2236" s="73"/>
      <c r="AB2236" s="73"/>
      <c r="AC2236" s="73"/>
      <c r="AD2236" s="73"/>
      <c r="AE2236" s="73"/>
      <c r="AF2236" s="73"/>
      <c r="AG2236" s="73"/>
      <c r="AH2236" s="73"/>
      <c r="AI2236" s="73"/>
      <c r="AJ2236" s="73"/>
      <c r="AK2236" s="73"/>
    </row>
    <row r="2237">
      <c r="A2237" s="28">
        <v>2236.0</v>
      </c>
      <c r="B2237" s="29"/>
      <c r="C2237" s="29"/>
      <c r="D2237" s="40">
        <v>1.0</v>
      </c>
      <c r="E2237" s="31">
        <v>40.0</v>
      </c>
      <c r="F2237" s="42">
        <v>133.0</v>
      </c>
      <c r="G2237" s="29" t="str">
        <f t="shared" si="1"/>
        <v>40133</v>
      </c>
      <c r="H2237" s="37" t="s">
        <v>524</v>
      </c>
      <c r="I2237" s="37" t="s">
        <v>102</v>
      </c>
      <c r="J2237" s="37" t="s">
        <v>519</v>
      </c>
      <c r="K2237" s="37" t="str">
        <f t="shared" si="37"/>
        <v>Seminole, OK</v>
      </c>
      <c r="L2237" s="70">
        <v>62.0</v>
      </c>
      <c r="M2237" s="37" t="s">
        <v>63</v>
      </c>
      <c r="N2237" s="37" t="s">
        <v>63</v>
      </c>
      <c r="O2237" s="37" t="s">
        <v>63</v>
      </c>
      <c r="P2237" s="37">
        <v>15.0</v>
      </c>
      <c r="Q2237" s="30">
        <v>46.0</v>
      </c>
      <c r="R2237" s="37">
        <v>1.0</v>
      </c>
      <c r="S2237" s="37" t="s">
        <v>63</v>
      </c>
      <c r="T2237" s="69" t="s">
        <v>63</v>
      </c>
      <c r="U2237" s="70">
        <v>0.0</v>
      </c>
      <c r="V2237" s="37" t="s">
        <v>63</v>
      </c>
      <c r="W2237" s="37" t="s">
        <v>63</v>
      </c>
      <c r="X2237" s="37" t="s">
        <v>63</v>
      </c>
      <c r="Y2237" s="53">
        <v>39.0</v>
      </c>
      <c r="Z2237" s="69" t="s">
        <v>63</v>
      </c>
      <c r="AA2237" s="73"/>
      <c r="AB2237" s="73"/>
      <c r="AC2237" s="73"/>
      <c r="AD2237" s="73"/>
      <c r="AE2237" s="73"/>
      <c r="AF2237" s="73"/>
      <c r="AG2237" s="73"/>
      <c r="AH2237" s="73"/>
      <c r="AI2237" s="73"/>
      <c r="AJ2237" s="73"/>
      <c r="AK2237" s="73"/>
    </row>
    <row r="2238">
      <c r="A2238" s="28">
        <v>2237.0</v>
      </c>
      <c r="B2238" s="29"/>
      <c r="C2238" s="29"/>
      <c r="D2238" s="40">
        <v>1.0</v>
      </c>
      <c r="E2238" s="31">
        <v>40.0</v>
      </c>
      <c r="F2238" s="42">
        <v>135.0</v>
      </c>
      <c r="G2238" s="29" t="str">
        <f t="shared" si="1"/>
        <v>40135</v>
      </c>
      <c r="H2238" s="37" t="s">
        <v>1761</v>
      </c>
      <c r="I2238" s="37" t="s">
        <v>102</v>
      </c>
      <c r="J2238" s="37" t="s">
        <v>519</v>
      </c>
      <c r="K2238" s="37" t="str">
        <f t="shared" si="37"/>
        <v>Sequoyah, OK</v>
      </c>
      <c r="L2238" s="70">
        <v>66.0</v>
      </c>
      <c r="M2238" s="37" t="s">
        <v>63</v>
      </c>
      <c r="N2238" s="37" t="s">
        <v>63</v>
      </c>
      <c r="O2238" s="37" t="s">
        <v>63</v>
      </c>
      <c r="P2238" s="37">
        <v>15.0</v>
      </c>
      <c r="Q2238" s="30">
        <v>78.0</v>
      </c>
      <c r="R2238" s="37">
        <v>4.0</v>
      </c>
      <c r="S2238" s="37" t="s">
        <v>63</v>
      </c>
      <c r="T2238" s="69" t="s">
        <v>63</v>
      </c>
      <c r="U2238" s="70">
        <v>11.0</v>
      </c>
      <c r="V2238" s="37" t="s">
        <v>63</v>
      </c>
      <c r="W2238" s="37" t="s">
        <v>63</v>
      </c>
      <c r="X2238" s="37" t="s">
        <v>63</v>
      </c>
      <c r="Y2238" s="53">
        <v>49.0</v>
      </c>
      <c r="Z2238" s="69" t="s">
        <v>63</v>
      </c>
      <c r="AA2238" s="73"/>
      <c r="AB2238" s="73"/>
      <c r="AC2238" s="73"/>
      <c r="AD2238" s="73"/>
      <c r="AE2238" s="73"/>
      <c r="AF2238" s="73"/>
      <c r="AG2238" s="73"/>
      <c r="AH2238" s="73"/>
      <c r="AI2238" s="73"/>
      <c r="AJ2238" s="73"/>
      <c r="AK2238" s="73"/>
    </row>
    <row r="2239">
      <c r="A2239" s="28">
        <v>2238.0</v>
      </c>
      <c r="B2239" s="29"/>
      <c r="C2239" s="29"/>
      <c r="D2239" s="40">
        <v>1.0</v>
      </c>
      <c r="E2239" s="31">
        <v>40.0</v>
      </c>
      <c r="F2239" s="42">
        <v>137.0</v>
      </c>
      <c r="G2239" s="29" t="str">
        <f t="shared" si="1"/>
        <v>40137</v>
      </c>
      <c r="H2239" s="37" t="s">
        <v>628</v>
      </c>
      <c r="I2239" s="37" t="s">
        <v>102</v>
      </c>
      <c r="J2239" s="37" t="s">
        <v>519</v>
      </c>
      <c r="K2239" s="37" t="str">
        <f t="shared" si="37"/>
        <v>Stephens, OK</v>
      </c>
      <c r="L2239" s="70">
        <v>88.0</v>
      </c>
      <c r="M2239" s="37" t="s">
        <v>63</v>
      </c>
      <c r="N2239" s="37" t="s">
        <v>63</v>
      </c>
      <c r="O2239" s="37" t="s">
        <v>63</v>
      </c>
      <c r="P2239" s="37">
        <v>20.0</v>
      </c>
      <c r="Q2239" s="30">
        <v>27.0</v>
      </c>
      <c r="R2239" s="37">
        <v>1.0</v>
      </c>
      <c r="S2239" s="37" t="s">
        <v>63</v>
      </c>
      <c r="T2239" s="69" t="s">
        <v>63</v>
      </c>
      <c r="U2239" s="70">
        <v>7.0</v>
      </c>
      <c r="V2239" s="37" t="s">
        <v>63</v>
      </c>
      <c r="W2239" s="37" t="s">
        <v>63</v>
      </c>
      <c r="X2239" s="37" t="s">
        <v>63</v>
      </c>
      <c r="Y2239" s="53">
        <v>76.0</v>
      </c>
      <c r="Z2239" s="69" t="s">
        <v>63</v>
      </c>
      <c r="AA2239" s="73"/>
      <c r="AB2239" s="73"/>
      <c r="AC2239" s="73"/>
      <c r="AD2239" s="73"/>
      <c r="AE2239" s="73"/>
      <c r="AF2239" s="73"/>
      <c r="AG2239" s="73"/>
      <c r="AH2239" s="73"/>
      <c r="AI2239" s="73"/>
      <c r="AJ2239" s="73"/>
      <c r="AK2239" s="73"/>
    </row>
    <row r="2240">
      <c r="A2240" s="28">
        <v>2239.0</v>
      </c>
      <c r="B2240" s="29"/>
      <c r="C2240" s="29"/>
      <c r="D2240" s="40">
        <v>1.0</v>
      </c>
      <c r="E2240" s="31">
        <v>40.0</v>
      </c>
      <c r="F2240" s="42">
        <v>139.0</v>
      </c>
      <c r="G2240" s="29" t="str">
        <f t="shared" si="1"/>
        <v>40139</v>
      </c>
      <c r="H2240" s="37" t="s">
        <v>113</v>
      </c>
      <c r="I2240" s="37" t="s">
        <v>102</v>
      </c>
      <c r="J2240" s="37" t="s">
        <v>519</v>
      </c>
      <c r="K2240" s="37" t="str">
        <f t="shared" si="37"/>
        <v>Texas, OK</v>
      </c>
      <c r="L2240" s="70">
        <v>30.0</v>
      </c>
      <c r="M2240" s="37" t="s">
        <v>63</v>
      </c>
      <c r="N2240" s="37" t="s">
        <v>63</v>
      </c>
      <c r="O2240" s="37" t="s">
        <v>63</v>
      </c>
      <c r="P2240" s="37">
        <v>11.0</v>
      </c>
      <c r="Q2240" s="30">
        <v>8.0</v>
      </c>
      <c r="R2240" s="37">
        <v>4.0</v>
      </c>
      <c r="S2240" s="37" t="s">
        <v>63</v>
      </c>
      <c r="T2240" s="69" t="s">
        <v>63</v>
      </c>
      <c r="U2240" s="70">
        <v>0.0</v>
      </c>
      <c r="V2240" s="37" t="s">
        <v>63</v>
      </c>
      <c r="W2240" s="37" t="s">
        <v>63</v>
      </c>
      <c r="X2240" s="37" t="s">
        <v>63</v>
      </c>
      <c r="Y2240" s="53">
        <v>32.0</v>
      </c>
      <c r="Z2240" s="69" t="s">
        <v>63</v>
      </c>
      <c r="AA2240" s="73"/>
      <c r="AB2240" s="73"/>
      <c r="AC2240" s="73"/>
      <c r="AD2240" s="73"/>
      <c r="AE2240" s="73"/>
      <c r="AF2240" s="73"/>
      <c r="AG2240" s="73"/>
      <c r="AH2240" s="73"/>
      <c r="AI2240" s="73"/>
      <c r="AJ2240" s="73"/>
      <c r="AK2240" s="73"/>
    </row>
    <row r="2241">
      <c r="A2241" s="28">
        <v>2240.0</v>
      </c>
      <c r="B2241" s="29"/>
      <c r="C2241" s="29"/>
      <c r="D2241" s="40">
        <v>1.0</v>
      </c>
      <c r="E2241" s="31">
        <v>40.0</v>
      </c>
      <c r="F2241" s="42">
        <v>141.0</v>
      </c>
      <c r="G2241" s="29" t="str">
        <f t="shared" si="1"/>
        <v>40141</v>
      </c>
      <c r="H2241" s="37" t="s">
        <v>1762</v>
      </c>
      <c r="I2241" s="37" t="s">
        <v>102</v>
      </c>
      <c r="J2241" s="37" t="s">
        <v>519</v>
      </c>
      <c r="K2241" s="37" t="str">
        <f t="shared" si="37"/>
        <v>Tillman, OK</v>
      </c>
      <c r="L2241" s="70">
        <v>0.0</v>
      </c>
      <c r="M2241" s="37" t="s">
        <v>63</v>
      </c>
      <c r="N2241" s="37" t="s">
        <v>63</v>
      </c>
      <c r="O2241" s="37" t="s">
        <v>63</v>
      </c>
      <c r="P2241" s="37">
        <v>0.0</v>
      </c>
      <c r="Q2241" s="30">
        <v>3.0</v>
      </c>
      <c r="R2241" s="37">
        <v>0.0</v>
      </c>
      <c r="S2241" s="37" t="s">
        <v>63</v>
      </c>
      <c r="T2241" s="69" t="s">
        <v>63</v>
      </c>
      <c r="U2241" s="70">
        <v>0.0</v>
      </c>
      <c r="V2241" s="37" t="s">
        <v>63</v>
      </c>
      <c r="W2241" s="37" t="s">
        <v>63</v>
      </c>
      <c r="X2241" s="37" t="s">
        <v>63</v>
      </c>
      <c r="Y2241" s="53">
        <v>25.0</v>
      </c>
      <c r="Z2241" s="69" t="s">
        <v>63</v>
      </c>
      <c r="AA2241" s="73"/>
      <c r="AB2241" s="73"/>
      <c r="AC2241" s="73"/>
      <c r="AD2241" s="73"/>
      <c r="AE2241" s="73"/>
      <c r="AF2241" s="73"/>
      <c r="AG2241" s="73"/>
      <c r="AH2241" s="73"/>
      <c r="AI2241" s="73"/>
      <c r="AJ2241" s="73"/>
      <c r="AK2241" s="73"/>
    </row>
    <row r="2242">
      <c r="A2242" s="28">
        <v>2241.0</v>
      </c>
      <c r="B2242" s="29"/>
      <c r="C2242" s="29"/>
      <c r="D2242" s="40">
        <v>1.0</v>
      </c>
      <c r="E2242" s="31">
        <v>40.0</v>
      </c>
      <c r="F2242" s="42">
        <v>143.0</v>
      </c>
      <c r="G2242" s="29" t="str">
        <f t="shared" si="1"/>
        <v>40143</v>
      </c>
      <c r="H2242" s="37" t="s">
        <v>592</v>
      </c>
      <c r="I2242" s="37" t="s">
        <v>102</v>
      </c>
      <c r="J2242" s="37" t="s">
        <v>519</v>
      </c>
      <c r="K2242" s="37" t="str">
        <f t="shared" si="37"/>
        <v>Tulsa, OK</v>
      </c>
      <c r="L2242" s="70">
        <v>1006.0</v>
      </c>
      <c r="M2242" s="37" t="s">
        <v>63</v>
      </c>
      <c r="N2242" s="37" t="s">
        <v>63</v>
      </c>
      <c r="O2242" s="37" t="s">
        <v>63</v>
      </c>
      <c r="P2242" s="37">
        <v>188.0</v>
      </c>
      <c r="Q2242" s="30">
        <v>492.0</v>
      </c>
      <c r="R2242" s="37">
        <v>68.0</v>
      </c>
      <c r="S2242" s="37" t="s">
        <v>63</v>
      </c>
      <c r="T2242" s="69" t="s">
        <v>63</v>
      </c>
      <c r="U2242" s="70">
        <v>126.0</v>
      </c>
      <c r="V2242" s="37" t="s">
        <v>63</v>
      </c>
      <c r="W2242" s="37" t="s">
        <v>63</v>
      </c>
      <c r="X2242" s="37" t="s">
        <v>63</v>
      </c>
      <c r="Y2242" s="53">
        <v>519.0</v>
      </c>
      <c r="Z2242" s="69" t="s">
        <v>63</v>
      </c>
      <c r="AA2242" s="73"/>
      <c r="AB2242" s="73"/>
      <c r="AC2242" s="73"/>
      <c r="AD2242" s="73"/>
      <c r="AE2242" s="73"/>
      <c r="AF2242" s="73"/>
      <c r="AG2242" s="73"/>
      <c r="AH2242" s="73"/>
      <c r="AI2242" s="73"/>
      <c r="AJ2242" s="73"/>
      <c r="AK2242" s="73"/>
    </row>
    <row r="2243">
      <c r="A2243" s="28">
        <v>2242.0</v>
      </c>
      <c r="B2243" s="29"/>
      <c r="C2243" s="29"/>
      <c r="D2243" s="40">
        <v>1.0</v>
      </c>
      <c r="E2243" s="31">
        <v>40.0</v>
      </c>
      <c r="F2243" s="42">
        <v>145.0</v>
      </c>
      <c r="G2243" s="29" t="str">
        <f t="shared" si="1"/>
        <v>40145</v>
      </c>
      <c r="H2243" s="37" t="s">
        <v>1763</v>
      </c>
      <c r="I2243" s="37" t="s">
        <v>102</v>
      </c>
      <c r="J2243" s="37" t="s">
        <v>519</v>
      </c>
      <c r="K2243" s="37" t="str">
        <f t="shared" si="37"/>
        <v>Wagoner, OK</v>
      </c>
      <c r="L2243" s="70">
        <v>1498.0</v>
      </c>
      <c r="M2243" s="37" t="s">
        <v>63</v>
      </c>
      <c r="N2243" s="37" t="s">
        <v>63</v>
      </c>
      <c r="O2243" s="37" t="s">
        <v>63</v>
      </c>
      <c r="P2243" s="37">
        <v>309.0</v>
      </c>
      <c r="Q2243" s="30">
        <v>882.0</v>
      </c>
      <c r="R2243" s="37">
        <v>88.0</v>
      </c>
      <c r="S2243" s="37" t="s">
        <v>63</v>
      </c>
      <c r="T2243" s="69" t="s">
        <v>63</v>
      </c>
      <c r="U2243" s="70">
        <v>158.0</v>
      </c>
      <c r="V2243" s="37" t="s">
        <v>63</v>
      </c>
      <c r="W2243" s="37" t="s">
        <v>63</v>
      </c>
      <c r="X2243" s="37" t="s">
        <v>63</v>
      </c>
      <c r="Y2243" s="53">
        <v>67.0</v>
      </c>
      <c r="Z2243" s="69" t="s">
        <v>63</v>
      </c>
      <c r="AA2243" s="73"/>
      <c r="AB2243" s="73"/>
      <c r="AC2243" s="73"/>
      <c r="AD2243" s="73"/>
      <c r="AE2243" s="73"/>
      <c r="AF2243" s="73"/>
      <c r="AG2243" s="73"/>
      <c r="AH2243" s="73"/>
      <c r="AI2243" s="73"/>
      <c r="AJ2243" s="73"/>
      <c r="AK2243" s="73"/>
    </row>
    <row r="2244">
      <c r="A2244" s="28">
        <v>2243.0</v>
      </c>
      <c r="B2244" s="29"/>
      <c r="C2244" s="29"/>
      <c r="D2244" s="40">
        <v>1.0</v>
      </c>
      <c r="E2244" s="31">
        <v>40.0</v>
      </c>
      <c r="F2244" s="42">
        <v>147.0</v>
      </c>
      <c r="G2244" s="29" t="str">
        <f t="shared" si="1"/>
        <v>40147</v>
      </c>
      <c r="H2244" s="37" t="s">
        <v>119</v>
      </c>
      <c r="I2244" s="37" t="s">
        <v>102</v>
      </c>
      <c r="J2244" s="37" t="s">
        <v>519</v>
      </c>
      <c r="K2244" s="37" t="str">
        <f t="shared" si="37"/>
        <v>Washington, OK</v>
      </c>
      <c r="L2244" s="70">
        <v>67.0</v>
      </c>
      <c r="M2244" s="37" t="s">
        <v>63</v>
      </c>
      <c r="N2244" s="37" t="s">
        <v>63</v>
      </c>
      <c r="O2244" s="37" t="s">
        <v>63</v>
      </c>
      <c r="P2244" s="37">
        <v>14.0</v>
      </c>
      <c r="Q2244" s="30">
        <v>63.0</v>
      </c>
      <c r="R2244" s="37">
        <v>1.0</v>
      </c>
      <c r="S2244" s="37" t="s">
        <v>63</v>
      </c>
      <c r="T2244" s="69" t="s">
        <v>63</v>
      </c>
      <c r="U2244" s="70">
        <v>18.0</v>
      </c>
      <c r="V2244" s="37" t="s">
        <v>63</v>
      </c>
      <c r="W2244" s="37" t="s">
        <v>63</v>
      </c>
      <c r="X2244" s="37" t="s">
        <v>63</v>
      </c>
      <c r="Y2244" s="53">
        <v>78.0</v>
      </c>
      <c r="Z2244" s="69" t="s">
        <v>63</v>
      </c>
      <c r="AA2244" s="73"/>
      <c r="AB2244" s="73"/>
      <c r="AC2244" s="73"/>
      <c r="AD2244" s="73"/>
      <c r="AE2244" s="73"/>
      <c r="AF2244" s="73"/>
      <c r="AG2244" s="73"/>
      <c r="AH2244" s="73"/>
      <c r="AI2244" s="73"/>
      <c r="AJ2244" s="73"/>
      <c r="AK2244" s="73"/>
    </row>
    <row r="2245">
      <c r="A2245" s="28">
        <v>2244.0</v>
      </c>
      <c r="B2245" s="29"/>
      <c r="C2245" s="29"/>
      <c r="D2245" s="40">
        <v>1.0</v>
      </c>
      <c r="E2245" s="31">
        <v>40.0</v>
      </c>
      <c r="F2245" s="42">
        <v>149.0</v>
      </c>
      <c r="G2245" s="29" t="str">
        <f t="shared" si="1"/>
        <v>40149</v>
      </c>
      <c r="H2245" s="37" t="s">
        <v>1765</v>
      </c>
      <c r="I2245" s="37" t="s">
        <v>102</v>
      </c>
      <c r="J2245" s="37" t="s">
        <v>519</v>
      </c>
      <c r="K2245" s="37" t="str">
        <f t="shared" si="37"/>
        <v>Washita, OK</v>
      </c>
      <c r="L2245" s="70">
        <v>0.0</v>
      </c>
      <c r="M2245" s="37" t="s">
        <v>63</v>
      </c>
      <c r="N2245" s="37" t="s">
        <v>63</v>
      </c>
      <c r="O2245" s="37" t="s">
        <v>63</v>
      </c>
      <c r="P2245" s="37">
        <v>0.0</v>
      </c>
      <c r="Q2245" s="30">
        <v>12.0</v>
      </c>
      <c r="R2245" s="37">
        <v>0.0</v>
      </c>
      <c r="S2245" s="37" t="s">
        <v>63</v>
      </c>
      <c r="T2245" s="69" t="s">
        <v>63</v>
      </c>
      <c r="U2245" s="70">
        <v>1.0</v>
      </c>
      <c r="V2245" s="37" t="s">
        <v>63</v>
      </c>
      <c r="W2245" s="37" t="s">
        <v>63</v>
      </c>
      <c r="X2245" s="37" t="s">
        <v>63</v>
      </c>
      <c r="Y2245" s="53">
        <v>20.0</v>
      </c>
      <c r="Z2245" s="69" t="s">
        <v>63</v>
      </c>
      <c r="AA2245" s="73"/>
      <c r="AB2245" s="73"/>
      <c r="AC2245" s="73"/>
      <c r="AD2245" s="73"/>
      <c r="AE2245" s="73"/>
      <c r="AF2245" s="73"/>
      <c r="AG2245" s="73"/>
      <c r="AH2245" s="73"/>
      <c r="AI2245" s="73"/>
      <c r="AJ2245" s="73"/>
      <c r="AK2245" s="73"/>
    </row>
    <row r="2246">
      <c r="A2246" s="28">
        <v>2245.0</v>
      </c>
      <c r="B2246" s="29"/>
      <c r="C2246" s="29"/>
      <c r="D2246" s="40">
        <v>1.0</v>
      </c>
      <c r="E2246" s="31">
        <v>40.0</v>
      </c>
      <c r="F2246" s="42">
        <v>151.0</v>
      </c>
      <c r="G2246" s="29" t="str">
        <f t="shared" si="1"/>
        <v>40151</v>
      </c>
      <c r="H2246" s="37" t="s">
        <v>1766</v>
      </c>
      <c r="I2246" s="37" t="s">
        <v>102</v>
      </c>
      <c r="J2246" s="37" t="s">
        <v>519</v>
      </c>
      <c r="K2246" s="37" t="str">
        <f t="shared" si="37"/>
        <v>Woods, OK</v>
      </c>
      <c r="L2246" s="70">
        <v>20.0</v>
      </c>
      <c r="M2246" s="37" t="s">
        <v>63</v>
      </c>
      <c r="N2246" s="37" t="s">
        <v>63</v>
      </c>
      <c r="O2246" s="37" t="s">
        <v>63</v>
      </c>
      <c r="P2246" s="37">
        <v>3.0</v>
      </c>
      <c r="Q2246" s="30">
        <v>9.0</v>
      </c>
      <c r="R2246" s="37">
        <v>4.0</v>
      </c>
      <c r="S2246" s="37" t="s">
        <v>63</v>
      </c>
      <c r="T2246" s="69" t="s">
        <v>63</v>
      </c>
      <c r="U2246" s="70">
        <v>1.0</v>
      </c>
      <c r="V2246" s="37" t="s">
        <v>63</v>
      </c>
      <c r="W2246" s="37" t="s">
        <v>63</v>
      </c>
      <c r="X2246" s="37" t="s">
        <v>63</v>
      </c>
      <c r="Y2246" s="53">
        <v>22.0</v>
      </c>
      <c r="Z2246" s="69" t="s">
        <v>63</v>
      </c>
      <c r="AA2246" s="73"/>
      <c r="AB2246" s="73"/>
      <c r="AC2246" s="73"/>
      <c r="AD2246" s="73"/>
      <c r="AE2246" s="73"/>
      <c r="AF2246" s="73"/>
      <c r="AG2246" s="73"/>
      <c r="AH2246" s="73"/>
      <c r="AI2246" s="73"/>
      <c r="AJ2246" s="73"/>
      <c r="AK2246" s="73"/>
    </row>
    <row r="2247">
      <c r="A2247" s="28">
        <v>2246.0</v>
      </c>
      <c r="B2247" s="29"/>
      <c r="C2247" s="29"/>
      <c r="D2247" s="40">
        <v>1.0</v>
      </c>
      <c r="E2247" s="31">
        <v>40.0</v>
      </c>
      <c r="F2247" s="42">
        <v>153.0</v>
      </c>
      <c r="G2247" s="29" t="str">
        <f t="shared" si="1"/>
        <v>40153</v>
      </c>
      <c r="H2247" s="37" t="s">
        <v>1767</v>
      </c>
      <c r="I2247" s="37" t="s">
        <v>102</v>
      </c>
      <c r="J2247" s="37" t="s">
        <v>519</v>
      </c>
      <c r="K2247" s="37" t="str">
        <f t="shared" si="37"/>
        <v>Woodward, OK</v>
      </c>
      <c r="L2247" s="70">
        <v>35.0</v>
      </c>
      <c r="M2247" s="37" t="s">
        <v>63</v>
      </c>
      <c r="N2247" s="37" t="s">
        <v>63</v>
      </c>
      <c r="O2247" s="37" t="s">
        <v>63</v>
      </c>
      <c r="P2247" s="37">
        <v>8.0</v>
      </c>
      <c r="Q2247" s="30">
        <v>22.0</v>
      </c>
      <c r="R2247" s="37">
        <v>4.0</v>
      </c>
      <c r="S2247" s="37" t="s">
        <v>63</v>
      </c>
      <c r="T2247" s="69" t="s">
        <v>63</v>
      </c>
      <c r="U2247" s="70">
        <v>2.0</v>
      </c>
      <c r="V2247" s="37" t="s">
        <v>63</v>
      </c>
      <c r="W2247" s="37" t="s">
        <v>63</v>
      </c>
      <c r="X2247" s="37" t="s">
        <v>63</v>
      </c>
      <c r="Y2247" s="53">
        <v>35.0</v>
      </c>
      <c r="Z2247" s="69" t="s">
        <v>63</v>
      </c>
      <c r="AA2247" s="73"/>
      <c r="AB2247" s="73"/>
      <c r="AC2247" s="73"/>
      <c r="AD2247" s="73"/>
      <c r="AE2247" s="73"/>
      <c r="AF2247" s="73"/>
      <c r="AG2247" s="73"/>
      <c r="AH2247" s="73"/>
      <c r="AI2247" s="73"/>
      <c r="AJ2247" s="73"/>
      <c r="AK2247" s="73"/>
    </row>
    <row r="2248">
      <c r="A2248" s="99">
        <v>2247.0</v>
      </c>
      <c r="B2248" s="15"/>
      <c r="C2248" s="14" t="s">
        <v>25</v>
      </c>
      <c r="D2248" s="16"/>
      <c r="E2248" s="102">
        <v>41.0</v>
      </c>
      <c r="F2248" s="107">
        <v>0.0</v>
      </c>
      <c r="G2248" s="15" t="str">
        <f t="shared" si="1"/>
        <v>41000</v>
      </c>
      <c r="H2248" s="23"/>
      <c r="I2248" s="23" t="s">
        <v>103</v>
      </c>
      <c r="J2248" s="23" t="s">
        <v>512</v>
      </c>
      <c r="K2248" s="23"/>
      <c r="L2248" s="35">
        <f t="array" ref="L2248:Z2248">Oregon!C40:Q40</f>
        <v>3755</v>
      </c>
      <c r="M2248" s="23" t="s">
        <v>63</v>
      </c>
      <c r="N2248" s="35">
        <v>1697.0</v>
      </c>
      <c r="O2248" s="123">
        <v>1960.0</v>
      </c>
      <c r="P2248" s="23" t="s">
        <v>63</v>
      </c>
      <c r="Q2248" s="35">
        <v>2770.0</v>
      </c>
      <c r="R2248" s="35">
        <v>700.0</v>
      </c>
      <c r="S2248" s="23" t="s">
        <v>63</v>
      </c>
      <c r="T2248" s="32" t="s">
        <v>63</v>
      </c>
      <c r="U2248" s="123">
        <v>1250.0</v>
      </c>
      <c r="V2248" s="23" t="s">
        <v>63</v>
      </c>
      <c r="W2248" s="23" t="s">
        <v>63</v>
      </c>
      <c r="X2248" s="23" t="s">
        <v>63</v>
      </c>
      <c r="Y2248" s="35">
        <v>2533.0</v>
      </c>
      <c r="Z2248" s="32" t="s">
        <v>63</v>
      </c>
      <c r="AA2248" s="38"/>
      <c r="AB2248" s="38"/>
      <c r="AC2248" s="38"/>
      <c r="AD2248" s="38"/>
      <c r="AE2248" s="38"/>
      <c r="AF2248" s="38"/>
      <c r="AG2248" s="38"/>
      <c r="AH2248" s="38"/>
      <c r="AI2248" s="38"/>
      <c r="AJ2248" s="38"/>
      <c r="AK2248" s="38"/>
    </row>
    <row r="2249">
      <c r="A2249" s="99">
        <v>2248.0</v>
      </c>
      <c r="B2249" s="15"/>
      <c r="C2249" s="15"/>
      <c r="D2249" s="105">
        <v>1.0</v>
      </c>
      <c r="E2249" s="102">
        <v>41.0</v>
      </c>
      <c r="F2249" s="107">
        <v>1.0</v>
      </c>
      <c r="G2249" s="15" t="str">
        <f t="shared" si="1"/>
        <v>41001</v>
      </c>
      <c r="H2249" s="23" t="s">
        <v>481</v>
      </c>
      <c r="I2249" s="23" t="s">
        <v>103</v>
      </c>
      <c r="J2249" s="23" t="s">
        <v>512</v>
      </c>
      <c r="K2249" s="23" t="str">
        <f t="shared" ref="K2249:K2284" si="38">CONCATENATE(H2249,", ",J2249)</f>
        <v>Baker, OR</v>
      </c>
      <c r="L2249" s="23">
        <f t="array" ref="L2249:Z2284">Oregon!C3:Q38</f>
        <v>32</v>
      </c>
      <c r="M2249" s="23" t="s">
        <v>63</v>
      </c>
      <c r="N2249" s="23">
        <v>18.0</v>
      </c>
      <c r="O2249" s="23">
        <v>6.0</v>
      </c>
      <c r="P2249" s="23" t="s">
        <v>63</v>
      </c>
      <c r="Q2249" s="23">
        <v>18.0</v>
      </c>
      <c r="R2249" s="23" t="s">
        <v>63</v>
      </c>
      <c r="S2249" s="23" t="s">
        <v>63</v>
      </c>
      <c r="T2249" s="32" t="s">
        <v>63</v>
      </c>
      <c r="U2249" s="23" t="s">
        <v>63</v>
      </c>
      <c r="V2249" s="23" t="s">
        <v>63</v>
      </c>
      <c r="W2249" s="23" t="s">
        <v>63</v>
      </c>
      <c r="X2249" s="23" t="s">
        <v>63</v>
      </c>
      <c r="Y2249" s="35">
        <v>17.0</v>
      </c>
      <c r="Z2249" s="32" t="s">
        <v>63</v>
      </c>
      <c r="AA2249" s="38"/>
      <c r="AB2249" s="38"/>
      <c r="AC2249" s="38"/>
      <c r="AD2249" s="38"/>
      <c r="AE2249" s="38"/>
      <c r="AF2249" s="38"/>
      <c r="AG2249" s="38"/>
      <c r="AH2249" s="38"/>
      <c r="AI2249" s="38"/>
      <c r="AJ2249" s="38"/>
      <c r="AK2249" s="38"/>
    </row>
    <row r="2250">
      <c r="A2250" s="99">
        <v>2249.0</v>
      </c>
      <c r="B2250" s="15"/>
      <c r="C2250" s="15"/>
      <c r="D2250" s="105">
        <v>1.0</v>
      </c>
      <c r="E2250" s="102">
        <v>41.0</v>
      </c>
      <c r="F2250" s="107">
        <v>3.0</v>
      </c>
      <c r="G2250" s="15" t="str">
        <f t="shared" si="1"/>
        <v>41003</v>
      </c>
      <c r="H2250" s="23" t="s">
        <v>243</v>
      </c>
      <c r="I2250" s="23" t="s">
        <v>103</v>
      </c>
      <c r="J2250" s="23" t="s">
        <v>512</v>
      </c>
      <c r="K2250" s="23" t="str">
        <f t="shared" si="38"/>
        <v>Benton, OR</v>
      </c>
      <c r="L2250" s="23">
        <v>58.0</v>
      </c>
      <c r="M2250" s="23" t="s">
        <v>63</v>
      </c>
      <c r="N2250" s="23">
        <v>38.0</v>
      </c>
      <c r="O2250" s="23">
        <v>12.0</v>
      </c>
      <c r="P2250" s="23" t="s">
        <v>63</v>
      </c>
      <c r="Q2250" s="23">
        <v>34.0</v>
      </c>
      <c r="R2250" s="23" t="s">
        <v>63</v>
      </c>
      <c r="S2250" s="23" t="s">
        <v>63</v>
      </c>
      <c r="T2250" s="32" t="s">
        <v>63</v>
      </c>
      <c r="U2250" s="15" t="s">
        <v>2489</v>
      </c>
      <c r="V2250" s="23" t="s">
        <v>63</v>
      </c>
      <c r="W2250" s="23" t="s">
        <v>63</v>
      </c>
      <c r="X2250" s="23" t="s">
        <v>63</v>
      </c>
      <c r="Y2250" s="35">
        <v>58.0</v>
      </c>
      <c r="Z2250" s="32" t="s">
        <v>63</v>
      </c>
      <c r="AA2250" s="38"/>
      <c r="AB2250" s="38"/>
      <c r="AC2250" s="38"/>
      <c r="AD2250" s="38"/>
      <c r="AE2250" s="38"/>
      <c r="AF2250" s="38"/>
      <c r="AG2250" s="38"/>
      <c r="AH2250" s="38"/>
      <c r="AI2250" s="38"/>
      <c r="AJ2250" s="38"/>
      <c r="AK2250" s="38"/>
    </row>
    <row r="2251">
      <c r="A2251" s="99">
        <v>2250.0</v>
      </c>
      <c r="B2251" s="15"/>
      <c r="C2251" s="15"/>
      <c r="D2251" s="105">
        <v>1.0</v>
      </c>
      <c r="E2251" s="102">
        <v>41.0</v>
      </c>
      <c r="F2251" s="107">
        <v>5.0</v>
      </c>
      <c r="G2251" s="15" t="str">
        <f t="shared" si="1"/>
        <v>41005</v>
      </c>
      <c r="H2251" s="23" t="s">
        <v>1768</v>
      </c>
      <c r="I2251" s="23" t="s">
        <v>103</v>
      </c>
      <c r="J2251" s="23" t="s">
        <v>512</v>
      </c>
      <c r="K2251" s="23" t="str">
        <f t="shared" si="38"/>
        <v>Clackamas, OR</v>
      </c>
      <c r="L2251" s="23">
        <v>265.0</v>
      </c>
      <c r="M2251" s="23" t="s">
        <v>63</v>
      </c>
      <c r="N2251" s="23">
        <v>83.0</v>
      </c>
      <c r="O2251" s="23">
        <v>98.0</v>
      </c>
      <c r="P2251" s="23" t="s">
        <v>63</v>
      </c>
      <c r="Q2251" s="23">
        <v>240.0</v>
      </c>
      <c r="R2251" s="23" t="s">
        <v>63</v>
      </c>
      <c r="S2251" s="23" t="s">
        <v>63</v>
      </c>
      <c r="T2251" s="32" t="s">
        <v>63</v>
      </c>
      <c r="U2251" s="15" t="s">
        <v>2490</v>
      </c>
      <c r="V2251" s="23" t="s">
        <v>63</v>
      </c>
      <c r="W2251" s="23" t="s">
        <v>63</v>
      </c>
      <c r="X2251" s="23" t="s">
        <v>63</v>
      </c>
      <c r="Y2251" s="35">
        <v>203.0</v>
      </c>
      <c r="Z2251" s="32" t="s">
        <v>63</v>
      </c>
      <c r="AA2251" s="38"/>
      <c r="AB2251" s="38"/>
      <c r="AC2251" s="38"/>
      <c r="AD2251" s="38"/>
      <c r="AE2251" s="38"/>
      <c r="AF2251" s="38"/>
      <c r="AG2251" s="38"/>
      <c r="AH2251" s="38"/>
      <c r="AI2251" s="38"/>
      <c r="AJ2251" s="38"/>
      <c r="AK2251" s="38"/>
    </row>
    <row r="2252">
      <c r="A2252" s="99">
        <v>2251.0</v>
      </c>
      <c r="B2252" s="15"/>
      <c r="C2252" s="15"/>
      <c r="D2252" s="105">
        <v>1.0</v>
      </c>
      <c r="E2252" s="102">
        <v>41.0</v>
      </c>
      <c r="F2252" s="107">
        <v>7.0</v>
      </c>
      <c r="G2252" s="15" t="str">
        <f t="shared" si="1"/>
        <v>41007</v>
      </c>
      <c r="H2252" s="23" t="s">
        <v>1769</v>
      </c>
      <c r="I2252" s="23" t="s">
        <v>103</v>
      </c>
      <c r="J2252" s="23" t="s">
        <v>512</v>
      </c>
      <c r="K2252" s="23" t="str">
        <f t="shared" si="38"/>
        <v>Clatsop, OR</v>
      </c>
      <c r="L2252" s="23">
        <v>47.0</v>
      </c>
      <c r="M2252" s="23" t="s">
        <v>63</v>
      </c>
      <c r="N2252" s="23">
        <v>17.0</v>
      </c>
      <c r="O2252" s="23">
        <v>25.0</v>
      </c>
      <c r="P2252" s="23" t="s">
        <v>63</v>
      </c>
      <c r="Q2252" s="23">
        <v>28.0</v>
      </c>
      <c r="R2252" s="23" t="s">
        <v>63</v>
      </c>
      <c r="S2252" s="23" t="s">
        <v>63</v>
      </c>
      <c r="T2252" s="32" t="s">
        <v>63</v>
      </c>
      <c r="U2252" s="23" t="s">
        <v>63</v>
      </c>
      <c r="V2252" s="23" t="s">
        <v>63</v>
      </c>
      <c r="W2252" s="23" t="s">
        <v>63</v>
      </c>
      <c r="X2252" s="23" t="s">
        <v>63</v>
      </c>
      <c r="Y2252" s="35">
        <v>39.0</v>
      </c>
      <c r="Z2252" s="32" t="s">
        <v>63</v>
      </c>
      <c r="AA2252" s="38"/>
      <c r="AB2252" s="38"/>
      <c r="AC2252" s="38"/>
      <c r="AD2252" s="38"/>
      <c r="AE2252" s="38"/>
      <c r="AF2252" s="38"/>
      <c r="AG2252" s="38"/>
      <c r="AH2252" s="38"/>
      <c r="AI2252" s="38"/>
      <c r="AJ2252" s="38"/>
      <c r="AK2252" s="38"/>
    </row>
    <row r="2253">
      <c r="A2253" s="99">
        <v>2252.0</v>
      </c>
      <c r="B2253" s="15"/>
      <c r="C2253" s="15"/>
      <c r="D2253" s="105">
        <v>1.0</v>
      </c>
      <c r="E2253" s="102">
        <v>41.0</v>
      </c>
      <c r="F2253" s="107">
        <v>9.0</v>
      </c>
      <c r="G2253" s="15" t="str">
        <f t="shared" si="1"/>
        <v>41009</v>
      </c>
      <c r="H2253" s="23" t="s">
        <v>258</v>
      </c>
      <c r="I2253" s="23" t="s">
        <v>103</v>
      </c>
      <c r="J2253" s="23" t="s">
        <v>512</v>
      </c>
      <c r="K2253" s="23" t="str">
        <f t="shared" si="38"/>
        <v>Columbia, OR</v>
      </c>
      <c r="L2253" s="23">
        <v>66.0</v>
      </c>
      <c r="M2253" s="23" t="s">
        <v>63</v>
      </c>
      <c r="N2253" s="23">
        <v>25.0</v>
      </c>
      <c r="O2253" s="23">
        <v>23.0</v>
      </c>
      <c r="P2253" s="23" t="s">
        <v>63</v>
      </c>
      <c r="Q2253" s="23">
        <v>69.0</v>
      </c>
      <c r="R2253" s="23" t="s">
        <v>63</v>
      </c>
      <c r="S2253" s="23" t="s">
        <v>63</v>
      </c>
      <c r="T2253" s="32" t="s">
        <v>63</v>
      </c>
      <c r="U2253" s="15" t="s">
        <v>2491</v>
      </c>
      <c r="V2253" s="23" t="s">
        <v>63</v>
      </c>
      <c r="W2253" s="23" t="s">
        <v>63</v>
      </c>
      <c r="X2253" s="23" t="s">
        <v>63</v>
      </c>
      <c r="Y2253" s="35">
        <v>47.0</v>
      </c>
      <c r="Z2253" s="32" t="s">
        <v>63</v>
      </c>
      <c r="AA2253" s="38"/>
      <c r="AB2253" s="38"/>
      <c r="AC2253" s="38"/>
      <c r="AD2253" s="38"/>
      <c r="AE2253" s="38"/>
      <c r="AF2253" s="38"/>
      <c r="AG2253" s="38"/>
      <c r="AH2253" s="38"/>
      <c r="AI2253" s="38"/>
      <c r="AJ2253" s="38"/>
      <c r="AK2253" s="38"/>
    </row>
    <row r="2254">
      <c r="A2254" s="99">
        <v>2253.0</v>
      </c>
      <c r="B2254" s="15"/>
      <c r="C2254" s="15"/>
      <c r="D2254" s="105">
        <v>1.0</v>
      </c>
      <c r="E2254" s="102">
        <v>41.0</v>
      </c>
      <c r="F2254" s="107">
        <v>11.0</v>
      </c>
      <c r="G2254" s="15" t="str">
        <f t="shared" si="1"/>
        <v>41011</v>
      </c>
      <c r="H2254" s="23" t="s">
        <v>1520</v>
      </c>
      <c r="I2254" s="23" t="s">
        <v>103</v>
      </c>
      <c r="J2254" s="23" t="s">
        <v>512</v>
      </c>
      <c r="K2254" s="23" t="str">
        <f t="shared" si="38"/>
        <v>Coos, OR</v>
      </c>
      <c r="L2254" s="23">
        <v>94.0</v>
      </c>
      <c r="M2254" s="23" t="s">
        <v>63</v>
      </c>
      <c r="N2254" s="23">
        <v>30.0</v>
      </c>
      <c r="O2254" s="23">
        <v>34.0</v>
      </c>
      <c r="P2254" s="23" t="s">
        <v>63</v>
      </c>
      <c r="Q2254" s="23">
        <v>64.0</v>
      </c>
      <c r="R2254" s="23" t="s">
        <v>63</v>
      </c>
      <c r="S2254" s="23" t="s">
        <v>63</v>
      </c>
      <c r="T2254" s="32" t="s">
        <v>63</v>
      </c>
      <c r="U2254" s="15" t="s">
        <v>2492</v>
      </c>
      <c r="V2254" s="23" t="s">
        <v>63</v>
      </c>
      <c r="W2254" s="23" t="s">
        <v>63</v>
      </c>
      <c r="X2254" s="23" t="s">
        <v>63</v>
      </c>
      <c r="Y2254" s="35">
        <v>68.0</v>
      </c>
      <c r="Z2254" s="32" t="s">
        <v>63</v>
      </c>
      <c r="AA2254" s="38"/>
      <c r="AB2254" s="38"/>
      <c r="AC2254" s="38"/>
      <c r="AD2254" s="38"/>
      <c r="AE2254" s="38"/>
      <c r="AF2254" s="38"/>
      <c r="AG2254" s="38"/>
      <c r="AH2254" s="38"/>
      <c r="AI2254" s="38"/>
      <c r="AJ2254" s="38"/>
      <c r="AK2254" s="38"/>
    </row>
    <row r="2255">
      <c r="A2255" s="99">
        <v>2254.0</v>
      </c>
      <c r="B2255" s="15"/>
      <c r="C2255" s="15"/>
      <c r="D2255" s="105">
        <v>1.0</v>
      </c>
      <c r="E2255" s="102">
        <v>41.0</v>
      </c>
      <c r="F2255" s="107">
        <v>13.0</v>
      </c>
      <c r="G2255" s="15" t="str">
        <f t="shared" si="1"/>
        <v>41013</v>
      </c>
      <c r="H2255" s="23" t="s">
        <v>1770</v>
      </c>
      <c r="I2255" s="23" t="s">
        <v>103</v>
      </c>
      <c r="J2255" s="23" t="s">
        <v>512</v>
      </c>
      <c r="K2255" s="23" t="str">
        <f t="shared" si="38"/>
        <v>Crook, OR</v>
      </c>
      <c r="L2255" s="23">
        <v>35.0</v>
      </c>
      <c r="M2255" s="23" t="s">
        <v>63</v>
      </c>
      <c r="N2255" s="23">
        <v>11.0</v>
      </c>
      <c r="O2255" s="23">
        <v>15.0</v>
      </c>
      <c r="P2255" s="23" t="s">
        <v>63</v>
      </c>
      <c r="Q2255" s="23">
        <v>21.0</v>
      </c>
      <c r="R2255" s="23" t="s">
        <v>63</v>
      </c>
      <c r="S2255" s="23" t="s">
        <v>63</v>
      </c>
      <c r="T2255" s="32" t="s">
        <v>63</v>
      </c>
      <c r="U2255" s="23" t="s">
        <v>63</v>
      </c>
      <c r="V2255" s="23" t="s">
        <v>63</v>
      </c>
      <c r="W2255" s="23" t="s">
        <v>63</v>
      </c>
      <c r="X2255" s="23" t="s">
        <v>63</v>
      </c>
      <c r="Y2255" s="35">
        <v>21.0</v>
      </c>
      <c r="Z2255" s="32" t="s">
        <v>63</v>
      </c>
      <c r="AA2255" s="38"/>
      <c r="AB2255" s="38"/>
      <c r="AC2255" s="38"/>
      <c r="AD2255" s="38"/>
      <c r="AE2255" s="38"/>
      <c r="AF2255" s="38"/>
      <c r="AG2255" s="38"/>
      <c r="AH2255" s="38"/>
      <c r="AI2255" s="38"/>
      <c r="AJ2255" s="38"/>
      <c r="AK2255" s="38"/>
    </row>
    <row r="2256">
      <c r="A2256" s="99">
        <v>2255.0</v>
      </c>
      <c r="B2256" s="15"/>
      <c r="C2256" s="15"/>
      <c r="D2256" s="105">
        <v>1.0</v>
      </c>
      <c r="E2256" s="102">
        <v>41.0</v>
      </c>
      <c r="F2256" s="107">
        <v>15.0</v>
      </c>
      <c r="G2256" s="15" t="str">
        <f t="shared" si="1"/>
        <v>41015</v>
      </c>
      <c r="H2256" s="23" t="s">
        <v>1535</v>
      </c>
      <c r="I2256" s="23" t="s">
        <v>103</v>
      </c>
      <c r="J2256" s="23" t="s">
        <v>512</v>
      </c>
      <c r="K2256" s="23" t="str">
        <f t="shared" si="38"/>
        <v>Curry, OR</v>
      </c>
      <c r="L2256" s="23">
        <v>15.0</v>
      </c>
      <c r="M2256" s="23" t="s">
        <v>63</v>
      </c>
      <c r="N2256" s="23">
        <v>65.0</v>
      </c>
      <c r="O2256" s="23">
        <v>73.0</v>
      </c>
      <c r="P2256" s="23" t="s">
        <v>63</v>
      </c>
      <c r="Q2256" s="23">
        <v>10.0</v>
      </c>
      <c r="R2256" s="23" t="s">
        <v>63</v>
      </c>
      <c r="S2256" s="23" t="s">
        <v>63</v>
      </c>
      <c r="T2256" s="32" t="s">
        <v>63</v>
      </c>
      <c r="U2256" s="23" t="s">
        <v>63</v>
      </c>
      <c r="V2256" s="23" t="s">
        <v>63</v>
      </c>
      <c r="W2256" s="23" t="s">
        <v>63</v>
      </c>
      <c r="X2256" s="23" t="s">
        <v>63</v>
      </c>
      <c r="Y2256" s="35">
        <v>29.0</v>
      </c>
      <c r="Z2256" s="32" t="s">
        <v>63</v>
      </c>
      <c r="AA2256" s="38"/>
      <c r="AB2256" s="38"/>
      <c r="AC2256" s="38"/>
      <c r="AD2256" s="38"/>
      <c r="AE2256" s="38"/>
      <c r="AF2256" s="38"/>
      <c r="AG2256" s="38"/>
      <c r="AH2256" s="38"/>
      <c r="AI2256" s="38"/>
      <c r="AJ2256" s="38"/>
      <c r="AK2256" s="38"/>
    </row>
    <row r="2257">
      <c r="A2257" s="99">
        <v>2256.0</v>
      </c>
      <c r="B2257" s="15"/>
      <c r="C2257" s="15"/>
      <c r="D2257" s="105">
        <v>1.0</v>
      </c>
      <c r="E2257" s="102">
        <v>41.0</v>
      </c>
      <c r="F2257" s="107">
        <v>17.0</v>
      </c>
      <c r="G2257" s="15" t="str">
        <f t="shared" si="1"/>
        <v>41017</v>
      </c>
      <c r="H2257" s="23" t="s">
        <v>1771</v>
      </c>
      <c r="I2257" s="23" t="s">
        <v>103</v>
      </c>
      <c r="J2257" s="23" t="s">
        <v>512</v>
      </c>
      <c r="K2257" s="23" t="str">
        <f t="shared" si="38"/>
        <v>Deschutes, OR</v>
      </c>
      <c r="L2257" s="23">
        <v>197.0</v>
      </c>
      <c r="M2257" s="23" t="s">
        <v>63</v>
      </c>
      <c r="N2257" s="23" t="s">
        <v>2493</v>
      </c>
      <c r="O2257" s="23">
        <v>94.0</v>
      </c>
      <c r="P2257" s="23" t="s">
        <v>63</v>
      </c>
      <c r="Q2257" s="23">
        <v>117.0</v>
      </c>
      <c r="R2257" s="23" t="s">
        <v>63</v>
      </c>
      <c r="S2257" s="23" t="s">
        <v>63</v>
      </c>
      <c r="T2257" s="32" t="s">
        <v>63</v>
      </c>
      <c r="U2257" s="15" t="s">
        <v>2494</v>
      </c>
      <c r="V2257" s="23" t="s">
        <v>63</v>
      </c>
      <c r="W2257" s="23" t="s">
        <v>63</v>
      </c>
      <c r="X2257" s="23" t="s">
        <v>63</v>
      </c>
      <c r="Y2257" s="35">
        <v>94.0</v>
      </c>
      <c r="Z2257" s="32" t="s">
        <v>63</v>
      </c>
      <c r="AA2257" s="38"/>
      <c r="AB2257" s="38"/>
      <c r="AC2257" s="38"/>
      <c r="AD2257" s="38"/>
      <c r="AE2257" s="38"/>
      <c r="AF2257" s="38"/>
      <c r="AG2257" s="38"/>
      <c r="AH2257" s="38"/>
      <c r="AI2257" s="38"/>
      <c r="AJ2257" s="38"/>
      <c r="AK2257" s="38"/>
    </row>
    <row r="2258">
      <c r="A2258" s="99">
        <v>2257.0</v>
      </c>
      <c r="B2258" s="15"/>
      <c r="C2258" s="15"/>
      <c r="D2258" s="105">
        <v>1.0</v>
      </c>
      <c r="E2258" s="102">
        <v>41.0</v>
      </c>
      <c r="F2258" s="107">
        <v>19.0</v>
      </c>
      <c r="G2258" s="15" t="str">
        <f t="shared" si="1"/>
        <v>41019</v>
      </c>
      <c r="H2258" s="23" t="s">
        <v>412</v>
      </c>
      <c r="I2258" s="23" t="s">
        <v>103</v>
      </c>
      <c r="J2258" s="23" t="s">
        <v>512</v>
      </c>
      <c r="K2258" s="23" t="str">
        <f t="shared" si="38"/>
        <v>Douglas, OR</v>
      </c>
      <c r="L2258" s="35">
        <v>124.0</v>
      </c>
      <c r="M2258" s="23" t="s">
        <v>63</v>
      </c>
      <c r="N2258" s="35">
        <v>71.0</v>
      </c>
      <c r="O2258" s="23">
        <v>53.0</v>
      </c>
      <c r="P2258" s="23" t="s">
        <v>63</v>
      </c>
      <c r="Q2258" s="23">
        <v>132.0</v>
      </c>
      <c r="R2258" s="23" t="s">
        <v>63</v>
      </c>
      <c r="S2258" s="23" t="s">
        <v>63</v>
      </c>
      <c r="T2258" s="32" t="s">
        <v>63</v>
      </c>
      <c r="U2258" s="15" t="s">
        <v>2495</v>
      </c>
      <c r="V2258" s="23" t="s">
        <v>63</v>
      </c>
      <c r="W2258" s="23" t="s">
        <v>63</v>
      </c>
      <c r="X2258" s="23" t="s">
        <v>63</v>
      </c>
      <c r="Y2258" s="35">
        <v>110.0</v>
      </c>
      <c r="Z2258" s="32" t="s">
        <v>63</v>
      </c>
      <c r="AA2258" s="38"/>
      <c r="AB2258" s="38"/>
      <c r="AC2258" s="38"/>
      <c r="AD2258" s="38"/>
      <c r="AE2258" s="38"/>
      <c r="AF2258" s="38"/>
      <c r="AG2258" s="38"/>
      <c r="AH2258" s="38"/>
      <c r="AI2258" s="38"/>
      <c r="AJ2258" s="38"/>
      <c r="AK2258" s="38"/>
    </row>
    <row r="2259">
      <c r="A2259" s="99">
        <v>2258.0</v>
      </c>
      <c r="B2259" s="15"/>
      <c r="C2259" s="15"/>
      <c r="D2259" s="105">
        <v>1.0</v>
      </c>
      <c r="E2259" s="102">
        <v>41.0</v>
      </c>
      <c r="F2259" s="107">
        <v>21.0</v>
      </c>
      <c r="G2259" s="15" t="str">
        <f t="shared" si="1"/>
        <v>41021</v>
      </c>
      <c r="H2259" s="23" t="s">
        <v>1772</v>
      </c>
      <c r="I2259" s="23" t="s">
        <v>103</v>
      </c>
      <c r="J2259" s="23" t="s">
        <v>512</v>
      </c>
      <c r="K2259" s="23" t="str">
        <f t="shared" si="38"/>
        <v>Gilliam, OR</v>
      </c>
      <c r="L2259" s="23" t="s">
        <v>2493</v>
      </c>
      <c r="M2259" s="23" t="s">
        <v>63</v>
      </c>
      <c r="N2259" s="23" t="s">
        <v>2493</v>
      </c>
      <c r="O2259" s="23" t="s">
        <v>2493</v>
      </c>
      <c r="P2259" s="23" t="s">
        <v>63</v>
      </c>
      <c r="Q2259" s="23">
        <v>0.0</v>
      </c>
      <c r="R2259" s="23" t="s">
        <v>63</v>
      </c>
      <c r="S2259" s="23" t="s">
        <v>63</v>
      </c>
      <c r="T2259" s="32" t="s">
        <v>63</v>
      </c>
      <c r="U2259" s="23" t="s">
        <v>63</v>
      </c>
      <c r="V2259" s="23" t="s">
        <v>63</v>
      </c>
      <c r="W2259" s="23" t="s">
        <v>63</v>
      </c>
      <c r="X2259" s="23" t="s">
        <v>63</v>
      </c>
      <c r="Y2259" s="35">
        <v>4.0</v>
      </c>
      <c r="Z2259" s="32" t="s">
        <v>63</v>
      </c>
      <c r="AA2259" s="38"/>
      <c r="AB2259" s="38"/>
      <c r="AC2259" s="38"/>
      <c r="AD2259" s="38"/>
      <c r="AE2259" s="38"/>
      <c r="AF2259" s="38"/>
      <c r="AG2259" s="38"/>
      <c r="AH2259" s="38"/>
      <c r="AI2259" s="38"/>
      <c r="AJ2259" s="38"/>
      <c r="AK2259" s="38"/>
    </row>
    <row r="2260">
      <c r="A2260" s="99">
        <v>2259.0</v>
      </c>
      <c r="B2260" s="15"/>
      <c r="C2260" s="15"/>
      <c r="D2260" s="105">
        <v>1.0</v>
      </c>
      <c r="E2260" s="102">
        <v>41.0</v>
      </c>
      <c r="F2260" s="107">
        <v>23.0</v>
      </c>
      <c r="G2260" s="15" t="str">
        <f t="shared" si="1"/>
        <v>41023</v>
      </c>
      <c r="H2260" s="23" t="s">
        <v>278</v>
      </c>
      <c r="I2260" s="23" t="s">
        <v>103</v>
      </c>
      <c r="J2260" s="23" t="s">
        <v>512</v>
      </c>
      <c r="K2260" s="23" t="str">
        <f t="shared" si="38"/>
        <v>Grant, OR</v>
      </c>
      <c r="L2260" s="23">
        <v>13.0</v>
      </c>
      <c r="M2260" s="23" t="s">
        <v>63</v>
      </c>
      <c r="N2260" s="23">
        <v>6.0</v>
      </c>
      <c r="O2260" s="23" t="s">
        <v>2493</v>
      </c>
      <c r="P2260" s="23" t="s">
        <v>63</v>
      </c>
      <c r="Q2260" s="23">
        <v>11.0</v>
      </c>
      <c r="R2260" s="23" t="s">
        <v>63</v>
      </c>
      <c r="S2260" s="23" t="s">
        <v>63</v>
      </c>
      <c r="T2260" s="32" t="s">
        <v>63</v>
      </c>
      <c r="U2260" s="23" t="s">
        <v>63</v>
      </c>
      <c r="V2260" s="23" t="s">
        <v>63</v>
      </c>
      <c r="W2260" s="23" t="s">
        <v>63</v>
      </c>
      <c r="X2260" s="23" t="s">
        <v>63</v>
      </c>
      <c r="Y2260" s="35">
        <v>12.0</v>
      </c>
      <c r="Z2260" s="32" t="s">
        <v>63</v>
      </c>
      <c r="AA2260" s="38"/>
      <c r="AB2260" s="38"/>
      <c r="AC2260" s="38"/>
      <c r="AD2260" s="38"/>
      <c r="AE2260" s="38"/>
      <c r="AF2260" s="38"/>
      <c r="AG2260" s="38"/>
      <c r="AH2260" s="38"/>
      <c r="AI2260" s="38"/>
      <c r="AJ2260" s="38"/>
      <c r="AK2260" s="38"/>
    </row>
    <row r="2261">
      <c r="A2261" s="99">
        <v>2260.0</v>
      </c>
      <c r="B2261" s="15"/>
      <c r="C2261" s="15"/>
      <c r="D2261" s="105">
        <v>1.0</v>
      </c>
      <c r="E2261" s="102">
        <v>41.0</v>
      </c>
      <c r="F2261" s="107">
        <v>25.0</v>
      </c>
      <c r="G2261" s="15" t="str">
        <f t="shared" si="1"/>
        <v>41025</v>
      </c>
      <c r="H2261" s="23" t="s">
        <v>1773</v>
      </c>
      <c r="I2261" s="23" t="s">
        <v>103</v>
      </c>
      <c r="J2261" s="23" t="s">
        <v>512</v>
      </c>
      <c r="K2261" s="23" t="str">
        <f t="shared" si="38"/>
        <v>Harney, OR</v>
      </c>
      <c r="L2261" s="23">
        <v>11.0</v>
      </c>
      <c r="M2261" s="23" t="s">
        <v>63</v>
      </c>
      <c r="N2261" s="23" t="s">
        <v>2493</v>
      </c>
      <c r="O2261" s="23">
        <v>7.0</v>
      </c>
      <c r="P2261" s="23" t="s">
        <v>63</v>
      </c>
      <c r="Q2261" s="23">
        <v>23.0</v>
      </c>
      <c r="R2261" s="23" t="s">
        <v>63</v>
      </c>
      <c r="S2261" s="23" t="s">
        <v>63</v>
      </c>
      <c r="T2261" s="32" t="s">
        <v>63</v>
      </c>
      <c r="U2261" s="23" t="s">
        <v>63</v>
      </c>
      <c r="V2261" s="23" t="s">
        <v>63</v>
      </c>
      <c r="W2261" s="23" t="s">
        <v>63</v>
      </c>
      <c r="X2261" s="23" t="s">
        <v>63</v>
      </c>
      <c r="Y2261" s="35">
        <v>12.0</v>
      </c>
      <c r="Z2261" s="32" t="s">
        <v>63</v>
      </c>
      <c r="AA2261" s="38"/>
      <c r="AB2261" s="38"/>
      <c r="AC2261" s="38"/>
      <c r="AD2261" s="38"/>
      <c r="AE2261" s="38"/>
      <c r="AF2261" s="38"/>
      <c r="AG2261" s="38"/>
      <c r="AH2261" s="38"/>
      <c r="AI2261" s="38"/>
      <c r="AJ2261" s="38"/>
      <c r="AK2261" s="38"/>
    </row>
    <row r="2262">
      <c r="A2262" s="99">
        <v>2261.0</v>
      </c>
      <c r="B2262" s="15"/>
      <c r="C2262" s="15"/>
      <c r="D2262" s="105">
        <v>1.0</v>
      </c>
      <c r="E2262" s="102">
        <v>41.0</v>
      </c>
      <c r="F2262" s="107">
        <v>27.0</v>
      </c>
      <c r="G2262" s="15" t="str">
        <f t="shared" si="1"/>
        <v>41027</v>
      </c>
      <c r="H2262" s="23" t="s">
        <v>1774</v>
      </c>
      <c r="I2262" s="23" t="s">
        <v>103</v>
      </c>
      <c r="J2262" s="23" t="s">
        <v>512</v>
      </c>
      <c r="K2262" s="23" t="str">
        <f t="shared" si="38"/>
        <v>Hood River, OR</v>
      </c>
      <c r="L2262" s="23">
        <v>25.0</v>
      </c>
      <c r="M2262" s="23" t="s">
        <v>63</v>
      </c>
      <c r="N2262" s="23">
        <v>15.0</v>
      </c>
      <c r="O2262" s="23" t="s">
        <v>2493</v>
      </c>
      <c r="P2262" s="23" t="s">
        <v>63</v>
      </c>
      <c r="Q2262" s="23">
        <v>9.0</v>
      </c>
      <c r="R2262" s="23" t="s">
        <v>63</v>
      </c>
      <c r="S2262" s="23" t="s">
        <v>63</v>
      </c>
      <c r="T2262" s="32" t="s">
        <v>63</v>
      </c>
      <c r="U2262" s="23" t="s">
        <v>63</v>
      </c>
      <c r="V2262" s="23" t="s">
        <v>63</v>
      </c>
      <c r="W2262" s="23" t="s">
        <v>63</v>
      </c>
      <c r="X2262" s="23" t="s">
        <v>63</v>
      </c>
      <c r="Y2262" s="35">
        <v>27.0</v>
      </c>
      <c r="Z2262" s="32" t="s">
        <v>63</v>
      </c>
      <c r="AA2262" s="38"/>
      <c r="AB2262" s="38"/>
      <c r="AC2262" s="38"/>
      <c r="AD2262" s="38"/>
      <c r="AE2262" s="38"/>
      <c r="AF2262" s="38"/>
      <c r="AG2262" s="38"/>
      <c r="AH2262" s="38"/>
      <c r="AI2262" s="38"/>
      <c r="AJ2262" s="38"/>
      <c r="AK2262" s="38"/>
    </row>
    <row r="2263">
      <c r="A2263" s="99">
        <v>2262.0</v>
      </c>
      <c r="B2263" s="15"/>
      <c r="C2263" s="15"/>
      <c r="D2263" s="105">
        <v>1.0</v>
      </c>
      <c r="E2263" s="102">
        <v>41.0</v>
      </c>
      <c r="F2263" s="107">
        <v>29.0</v>
      </c>
      <c r="G2263" s="15" t="str">
        <f t="shared" si="1"/>
        <v>41029</v>
      </c>
      <c r="H2263" s="23" t="s">
        <v>142</v>
      </c>
      <c r="I2263" s="23" t="s">
        <v>103</v>
      </c>
      <c r="J2263" s="23" t="s">
        <v>512</v>
      </c>
      <c r="K2263" s="23" t="str">
        <f t="shared" si="38"/>
        <v>Jackson, OR</v>
      </c>
      <c r="L2263" s="23">
        <v>287.0</v>
      </c>
      <c r="M2263" s="23" t="s">
        <v>63</v>
      </c>
      <c r="N2263" s="23">
        <v>80.0</v>
      </c>
      <c r="O2263" s="23">
        <v>161.0</v>
      </c>
      <c r="P2263" s="23" t="s">
        <v>63</v>
      </c>
      <c r="Q2263" s="23">
        <v>182.0</v>
      </c>
      <c r="R2263" s="23" t="s">
        <v>63</v>
      </c>
      <c r="S2263" s="23" t="s">
        <v>63</v>
      </c>
      <c r="T2263" s="32" t="s">
        <v>63</v>
      </c>
      <c r="U2263" s="15" t="s">
        <v>2496</v>
      </c>
      <c r="V2263" s="23" t="s">
        <v>63</v>
      </c>
      <c r="W2263" s="23" t="s">
        <v>63</v>
      </c>
      <c r="X2263" s="23" t="s">
        <v>63</v>
      </c>
      <c r="Y2263" s="35">
        <v>112.0</v>
      </c>
      <c r="Z2263" s="32" t="s">
        <v>63</v>
      </c>
      <c r="AA2263" s="38"/>
      <c r="AB2263" s="38"/>
      <c r="AC2263" s="38"/>
      <c r="AD2263" s="38"/>
      <c r="AE2263" s="38"/>
      <c r="AF2263" s="38"/>
      <c r="AG2263" s="38"/>
      <c r="AH2263" s="38"/>
      <c r="AI2263" s="38"/>
      <c r="AJ2263" s="38"/>
      <c r="AK2263" s="38"/>
    </row>
    <row r="2264">
      <c r="A2264" s="99">
        <v>2263.0</v>
      </c>
      <c r="B2264" s="15"/>
      <c r="C2264" s="15"/>
      <c r="D2264" s="105">
        <v>1.0</v>
      </c>
      <c r="E2264" s="102">
        <v>41.0</v>
      </c>
      <c r="F2264" s="107">
        <v>31.0</v>
      </c>
      <c r="G2264" s="15" t="str">
        <f t="shared" si="1"/>
        <v>41031</v>
      </c>
      <c r="H2264" s="23" t="s">
        <v>143</v>
      </c>
      <c r="I2264" s="23" t="s">
        <v>103</v>
      </c>
      <c r="J2264" s="23" t="s">
        <v>512</v>
      </c>
      <c r="K2264" s="23" t="str">
        <f t="shared" si="38"/>
        <v>Jefferson, OR</v>
      </c>
      <c r="L2264" s="23">
        <v>50.0</v>
      </c>
      <c r="M2264" s="23" t="s">
        <v>63</v>
      </c>
      <c r="N2264" s="23">
        <v>10.0</v>
      </c>
      <c r="O2264" s="23">
        <v>26.0</v>
      </c>
      <c r="P2264" s="23" t="s">
        <v>63</v>
      </c>
      <c r="Q2264" s="23">
        <v>24.0</v>
      </c>
      <c r="R2264" s="23" t="s">
        <v>63</v>
      </c>
      <c r="S2264" s="23" t="s">
        <v>63</v>
      </c>
      <c r="T2264" s="32" t="s">
        <v>63</v>
      </c>
      <c r="U2264" s="15" t="s">
        <v>2497</v>
      </c>
      <c r="V2264" s="23" t="s">
        <v>63</v>
      </c>
      <c r="W2264" s="23" t="s">
        <v>63</v>
      </c>
      <c r="X2264" s="23" t="s">
        <v>63</v>
      </c>
      <c r="Y2264" s="35">
        <v>15.0</v>
      </c>
      <c r="Z2264" s="32" t="s">
        <v>63</v>
      </c>
      <c r="AA2264" s="38"/>
      <c r="AB2264" s="38"/>
      <c r="AC2264" s="38"/>
      <c r="AD2264" s="38"/>
      <c r="AE2264" s="38"/>
      <c r="AF2264" s="38"/>
      <c r="AG2264" s="38"/>
      <c r="AH2264" s="38"/>
      <c r="AI2264" s="38"/>
      <c r="AJ2264" s="38"/>
      <c r="AK2264" s="38"/>
    </row>
    <row r="2265">
      <c r="A2265" s="99">
        <v>2264.0</v>
      </c>
      <c r="B2265" s="15"/>
      <c r="C2265" s="15"/>
      <c r="D2265" s="105">
        <v>1.0</v>
      </c>
      <c r="E2265" s="102">
        <v>41.0</v>
      </c>
      <c r="F2265" s="107">
        <v>33.0</v>
      </c>
      <c r="G2265" s="15" t="str">
        <f t="shared" si="1"/>
        <v>41033</v>
      </c>
      <c r="H2265" s="23" t="s">
        <v>1775</v>
      </c>
      <c r="I2265" s="23" t="s">
        <v>103</v>
      </c>
      <c r="J2265" s="23" t="s">
        <v>512</v>
      </c>
      <c r="K2265" s="23" t="str">
        <f t="shared" si="38"/>
        <v>Josephine, OR</v>
      </c>
      <c r="L2265" s="23">
        <v>90.0</v>
      </c>
      <c r="M2265" s="23" t="s">
        <v>63</v>
      </c>
      <c r="N2265" s="23">
        <v>40.0</v>
      </c>
      <c r="O2265" s="23">
        <v>26.0</v>
      </c>
      <c r="P2265" s="23" t="s">
        <v>63</v>
      </c>
      <c r="Q2265" s="23">
        <v>94.0</v>
      </c>
      <c r="R2265" s="23" t="s">
        <v>63</v>
      </c>
      <c r="S2265" s="23" t="s">
        <v>63</v>
      </c>
      <c r="T2265" s="32" t="s">
        <v>63</v>
      </c>
      <c r="U2265" s="15" t="s">
        <v>2498</v>
      </c>
      <c r="V2265" s="23" t="s">
        <v>63</v>
      </c>
      <c r="W2265" s="23" t="s">
        <v>63</v>
      </c>
      <c r="X2265" s="23" t="s">
        <v>63</v>
      </c>
      <c r="Y2265" s="35">
        <v>49.0</v>
      </c>
      <c r="Z2265" s="32" t="s">
        <v>63</v>
      </c>
      <c r="AA2265" s="38"/>
      <c r="AB2265" s="38"/>
      <c r="AC2265" s="38"/>
      <c r="AD2265" s="38"/>
      <c r="AE2265" s="38"/>
      <c r="AF2265" s="38"/>
      <c r="AG2265" s="38"/>
      <c r="AH2265" s="38"/>
      <c r="AI2265" s="38"/>
      <c r="AJ2265" s="38"/>
      <c r="AK2265" s="38"/>
    </row>
    <row r="2266">
      <c r="A2266" s="99">
        <v>2265.0</v>
      </c>
      <c r="B2266" s="15"/>
      <c r="C2266" s="15"/>
      <c r="D2266" s="105">
        <v>1.0</v>
      </c>
      <c r="E2266" s="102">
        <v>41.0</v>
      </c>
      <c r="F2266" s="107">
        <v>35.0</v>
      </c>
      <c r="G2266" s="15" t="str">
        <f t="shared" si="1"/>
        <v>41035</v>
      </c>
      <c r="H2266" s="23" t="s">
        <v>1776</v>
      </c>
      <c r="I2266" s="23" t="s">
        <v>103</v>
      </c>
      <c r="J2266" s="23" t="s">
        <v>512</v>
      </c>
      <c r="K2266" s="23" t="str">
        <f t="shared" si="38"/>
        <v>Klamath, OR</v>
      </c>
      <c r="L2266" s="23">
        <v>138.0</v>
      </c>
      <c r="M2266" s="23" t="s">
        <v>63</v>
      </c>
      <c r="N2266" s="23">
        <v>41.0</v>
      </c>
      <c r="O2266" s="23">
        <v>62.0</v>
      </c>
      <c r="P2266" s="23" t="s">
        <v>63</v>
      </c>
      <c r="Q2266" s="23">
        <v>53.0</v>
      </c>
      <c r="R2266" s="23" t="s">
        <v>63</v>
      </c>
      <c r="S2266" s="23" t="s">
        <v>63</v>
      </c>
      <c r="T2266" s="32" t="s">
        <v>63</v>
      </c>
      <c r="U2266" s="15" t="s">
        <v>2499</v>
      </c>
      <c r="V2266" s="23" t="s">
        <v>63</v>
      </c>
      <c r="W2266" s="23" t="s">
        <v>63</v>
      </c>
      <c r="X2266" s="23" t="s">
        <v>63</v>
      </c>
      <c r="Y2266" s="35">
        <v>62.0</v>
      </c>
      <c r="Z2266" s="32" t="s">
        <v>63</v>
      </c>
      <c r="AA2266" s="38"/>
      <c r="AB2266" s="38"/>
      <c r="AC2266" s="38"/>
      <c r="AD2266" s="38"/>
      <c r="AE2266" s="38"/>
      <c r="AF2266" s="38"/>
      <c r="AG2266" s="38"/>
      <c r="AH2266" s="38"/>
      <c r="AI2266" s="38"/>
      <c r="AJ2266" s="38"/>
      <c r="AK2266" s="38"/>
    </row>
    <row r="2267">
      <c r="A2267" s="99">
        <v>2266.0</v>
      </c>
      <c r="B2267" s="15"/>
      <c r="C2267" s="15"/>
      <c r="D2267" s="105">
        <v>1.0</v>
      </c>
      <c r="E2267" s="102">
        <v>41.0</v>
      </c>
      <c r="F2267" s="107">
        <v>37.0</v>
      </c>
      <c r="G2267" s="15" t="str">
        <f t="shared" si="1"/>
        <v>41037</v>
      </c>
      <c r="H2267" s="23" t="s">
        <v>337</v>
      </c>
      <c r="I2267" s="23" t="s">
        <v>103</v>
      </c>
      <c r="J2267" s="23" t="s">
        <v>512</v>
      </c>
      <c r="K2267" s="23" t="str">
        <f t="shared" si="38"/>
        <v>Lake, OR</v>
      </c>
      <c r="L2267" s="23">
        <v>11.0</v>
      </c>
      <c r="M2267" s="23" t="s">
        <v>63</v>
      </c>
      <c r="N2267" s="23" t="s">
        <v>2493</v>
      </c>
      <c r="O2267" s="23">
        <v>6.0</v>
      </c>
      <c r="P2267" s="23" t="s">
        <v>63</v>
      </c>
      <c r="Q2267" s="23">
        <v>7.0</v>
      </c>
      <c r="R2267" s="23" t="s">
        <v>63</v>
      </c>
      <c r="S2267" s="23" t="s">
        <v>63</v>
      </c>
      <c r="T2267" s="32" t="s">
        <v>63</v>
      </c>
      <c r="U2267" s="23" t="s">
        <v>63</v>
      </c>
      <c r="V2267" s="23" t="s">
        <v>63</v>
      </c>
      <c r="W2267" s="23" t="s">
        <v>63</v>
      </c>
      <c r="X2267" s="23" t="s">
        <v>63</v>
      </c>
      <c r="Y2267" s="35">
        <v>14.0</v>
      </c>
      <c r="Z2267" s="32" t="s">
        <v>63</v>
      </c>
      <c r="AA2267" s="38"/>
      <c r="AB2267" s="38"/>
      <c r="AC2267" s="38"/>
      <c r="AD2267" s="38"/>
      <c r="AE2267" s="38"/>
      <c r="AF2267" s="38"/>
      <c r="AG2267" s="38"/>
      <c r="AH2267" s="38"/>
      <c r="AI2267" s="38"/>
      <c r="AJ2267" s="38"/>
      <c r="AK2267" s="38"/>
    </row>
    <row r="2268">
      <c r="A2268" s="99">
        <v>2267.0</v>
      </c>
      <c r="B2268" s="15"/>
      <c r="C2268" s="15"/>
      <c r="D2268" s="105">
        <v>1.0</v>
      </c>
      <c r="E2268" s="102">
        <v>41.0</v>
      </c>
      <c r="F2268" s="107">
        <v>39.0</v>
      </c>
      <c r="G2268" s="15" t="str">
        <f t="shared" si="1"/>
        <v>41039</v>
      </c>
      <c r="H2268" s="23" t="s">
        <v>986</v>
      </c>
      <c r="I2268" s="23" t="s">
        <v>103</v>
      </c>
      <c r="J2268" s="23" t="s">
        <v>512</v>
      </c>
      <c r="K2268" s="23" t="str">
        <f t="shared" si="38"/>
        <v>Lane, OR</v>
      </c>
      <c r="L2268" s="23">
        <v>640.0</v>
      </c>
      <c r="M2268" s="23" t="s">
        <v>63</v>
      </c>
      <c r="N2268" s="23">
        <v>182.0</v>
      </c>
      <c r="O2268" s="23">
        <v>300.0</v>
      </c>
      <c r="P2268" s="23" t="s">
        <v>63</v>
      </c>
      <c r="Q2268" s="23">
        <v>249.0</v>
      </c>
      <c r="R2268" s="23" t="s">
        <v>63</v>
      </c>
      <c r="S2268" s="23" t="s">
        <v>63</v>
      </c>
      <c r="T2268" s="32" t="s">
        <v>63</v>
      </c>
      <c r="U2268" s="15" t="s">
        <v>2500</v>
      </c>
      <c r="V2268" s="23" t="s">
        <v>63</v>
      </c>
      <c r="W2268" s="23" t="s">
        <v>63</v>
      </c>
      <c r="X2268" s="23" t="s">
        <v>63</v>
      </c>
      <c r="Y2268" s="35">
        <v>222.0</v>
      </c>
      <c r="Z2268" s="32" t="s">
        <v>63</v>
      </c>
      <c r="AA2268" s="38"/>
      <c r="AB2268" s="38"/>
      <c r="AC2268" s="38"/>
      <c r="AD2268" s="38"/>
      <c r="AE2268" s="38"/>
      <c r="AF2268" s="38"/>
      <c r="AG2268" s="38"/>
      <c r="AH2268" s="38"/>
      <c r="AI2268" s="38"/>
      <c r="AJ2268" s="38"/>
      <c r="AK2268" s="38"/>
    </row>
    <row r="2269">
      <c r="A2269" s="99">
        <v>2268.0</v>
      </c>
      <c r="B2269" s="15"/>
      <c r="C2269" s="15"/>
      <c r="D2269" s="105">
        <v>1.0</v>
      </c>
      <c r="E2269" s="102">
        <v>41.0</v>
      </c>
      <c r="F2269" s="107">
        <v>41.0</v>
      </c>
      <c r="G2269" s="15" t="str">
        <f t="shared" si="1"/>
        <v>41041</v>
      </c>
      <c r="H2269" s="23" t="s">
        <v>290</v>
      </c>
      <c r="I2269" s="23" t="s">
        <v>103</v>
      </c>
      <c r="J2269" s="23" t="s">
        <v>512</v>
      </c>
      <c r="K2269" s="23" t="str">
        <f t="shared" si="38"/>
        <v>Lincoln, OR</v>
      </c>
      <c r="L2269" s="23">
        <v>91.0</v>
      </c>
      <c r="M2269" s="23" t="s">
        <v>63</v>
      </c>
      <c r="N2269" s="23">
        <v>25.0</v>
      </c>
      <c r="O2269" s="23">
        <v>32.0</v>
      </c>
      <c r="P2269" s="23" t="s">
        <v>63</v>
      </c>
      <c r="Q2269" s="23">
        <v>33.0</v>
      </c>
      <c r="R2269" s="23" t="s">
        <v>63</v>
      </c>
      <c r="S2269" s="23" t="s">
        <v>63</v>
      </c>
      <c r="T2269" s="32" t="s">
        <v>63</v>
      </c>
      <c r="U2269" s="15" t="s">
        <v>2501</v>
      </c>
      <c r="V2269" s="23" t="s">
        <v>63</v>
      </c>
      <c r="W2269" s="23" t="s">
        <v>63</v>
      </c>
      <c r="X2269" s="23" t="s">
        <v>63</v>
      </c>
      <c r="Y2269" s="35">
        <v>57.0</v>
      </c>
      <c r="Z2269" s="32" t="s">
        <v>63</v>
      </c>
      <c r="AA2269" s="38"/>
      <c r="AB2269" s="38"/>
      <c r="AC2269" s="38"/>
      <c r="AD2269" s="38"/>
      <c r="AE2269" s="38"/>
      <c r="AF2269" s="38"/>
      <c r="AG2269" s="38"/>
      <c r="AH2269" s="38"/>
      <c r="AI2269" s="38"/>
      <c r="AJ2269" s="38"/>
      <c r="AK2269" s="38"/>
    </row>
    <row r="2270">
      <c r="A2270" s="99">
        <v>2269.0</v>
      </c>
      <c r="B2270" s="15"/>
      <c r="C2270" s="15"/>
      <c r="D2270" s="105">
        <v>1.0</v>
      </c>
      <c r="E2270" s="102">
        <v>41.0</v>
      </c>
      <c r="F2270" s="107">
        <v>43.0</v>
      </c>
      <c r="G2270" s="15" t="str">
        <f t="shared" si="1"/>
        <v>41043</v>
      </c>
      <c r="H2270" s="23" t="s">
        <v>907</v>
      </c>
      <c r="I2270" s="23" t="s">
        <v>103</v>
      </c>
      <c r="J2270" s="23" t="s">
        <v>512</v>
      </c>
      <c r="K2270" s="23" t="str">
        <f t="shared" si="38"/>
        <v>Linn, OR</v>
      </c>
      <c r="L2270" s="23">
        <v>170.0</v>
      </c>
      <c r="M2270" s="23" t="s">
        <v>63</v>
      </c>
      <c r="N2270" s="23">
        <v>68.0</v>
      </c>
      <c r="O2270" s="23">
        <v>59.0</v>
      </c>
      <c r="P2270" s="23" t="s">
        <v>63</v>
      </c>
      <c r="Q2270" s="23">
        <v>141.0</v>
      </c>
      <c r="R2270" s="23" t="s">
        <v>63</v>
      </c>
      <c r="S2270" s="23" t="s">
        <v>63</v>
      </c>
      <c r="T2270" s="32" t="s">
        <v>63</v>
      </c>
      <c r="U2270" s="15" t="s">
        <v>2502</v>
      </c>
      <c r="V2270" s="23" t="s">
        <v>63</v>
      </c>
      <c r="W2270" s="23" t="s">
        <v>63</v>
      </c>
      <c r="X2270" s="23" t="s">
        <v>63</v>
      </c>
      <c r="Y2270" s="35">
        <v>109.0</v>
      </c>
      <c r="Z2270" s="32" t="s">
        <v>63</v>
      </c>
      <c r="AA2270" s="38"/>
      <c r="AB2270" s="38"/>
      <c r="AC2270" s="38"/>
      <c r="AD2270" s="38"/>
      <c r="AE2270" s="38"/>
      <c r="AF2270" s="38"/>
      <c r="AG2270" s="38"/>
      <c r="AH2270" s="38"/>
      <c r="AI2270" s="38"/>
      <c r="AJ2270" s="38"/>
      <c r="AK2270" s="38"/>
    </row>
    <row r="2271">
      <c r="A2271" s="99">
        <v>2270.0</v>
      </c>
      <c r="B2271" s="15"/>
      <c r="C2271" s="15"/>
      <c r="D2271" s="105">
        <v>1.0</v>
      </c>
      <c r="E2271" s="102">
        <v>41.0</v>
      </c>
      <c r="F2271" s="107">
        <v>45.0</v>
      </c>
      <c r="G2271" s="15" t="str">
        <f t="shared" si="1"/>
        <v>41045</v>
      </c>
      <c r="H2271" s="23" t="s">
        <v>1777</v>
      </c>
      <c r="I2271" s="23" t="s">
        <v>103</v>
      </c>
      <c r="J2271" s="23" t="s">
        <v>512</v>
      </c>
      <c r="K2271" s="23" t="str">
        <f t="shared" si="38"/>
        <v>Malheur, OR</v>
      </c>
      <c r="L2271" s="23">
        <v>144.0</v>
      </c>
      <c r="M2271" s="23" t="s">
        <v>63</v>
      </c>
      <c r="N2271" s="23">
        <v>50.0</v>
      </c>
      <c r="O2271" s="23">
        <v>65.0</v>
      </c>
      <c r="P2271" s="23" t="s">
        <v>63</v>
      </c>
      <c r="Q2271" s="23">
        <v>59.0</v>
      </c>
      <c r="R2271" s="23" t="s">
        <v>63</v>
      </c>
      <c r="S2271" s="23" t="s">
        <v>63</v>
      </c>
      <c r="T2271" s="32" t="s">
        <v>63</v>
      </c>
      <c r="U2271" s="23" t="s">
        <v>63</v>
      </c>
      <c r="V2271" s="23" t="s">
        <v>63</v>
      </c>
      <c r="W2271" s="23" t="s">
        <v>63</v>
      </c>
      <c r="X2271" s="23" t="s">
        <v>63</v>
      </c>
      <c r="Y2271" s="35">
        <v>38.0</v>
      </c>
      <c r="Z2271" s="32" t="s">
        <v>63</v>
      </c>
      <c r="AA2271" s="38"/>
      <c r="AB2271" s="38"/>
      <c r="AC2271" s="38"/>
      <c r="AD2271" s="38"/>
      <c r="AE2271" s="38"/>
      <c r="AF2271" s="38"/>
      <c r="AG2271" s="38"/>
      <c r="AH2271" s="38"/>
      <c r="AI2271" s="38"/>
      <c r="AJ2271" s="38"/>
      <c r="AK2271" s="38"/>
    </row>
    <row r="2272">
      <c r="A2272" s="99">
        <v>2271.0</v>
      </c>
      <c r="B2272" s="15"/>
      <c r="C2272" s="15"/>
      <c r="D2272" s="105">
        <v>1.0</v>
      </c>
      <c r="E2272" s="102">
        <v>41.0</v>
      </c>
      <c r="F2272" s="107">
        <v>47.0</v>
      </c>
      <c r="G2272" s="15" t="str">
        <f t="shared" si="1"/>
        <v>41047</v>
      </c>
      <c r="H2272" s="23" t="s">
        <v>153</v>
      </c>
      <c r="I2272" s="23" t="s">
        <v>103</v>
      </c>
      <c r="J2272" s="23" t="s">
        <v>512</v>
      </c>
      <c r="K2272" s="23" t="str">
        <f t="shared" si="38"/>
        <v>Marion, OR</v>
      </c>
      <c r="L2272" s="23">
        <v>274.0</v>
      </c>
      <c r="M2272" s="23" t="s">
        <v>63</v>
      </c>
      <c r="N2272" s="23">
        <v>86.0</v>
      </c>
      <c r="O2272" s="23">
        <v>99.0</v>
      </c>
      <c r="P2272" s="23" t="s">
        <v>63</v>
      </c>
      <c r="Q2272" s="23">
        <v>150.0</v>
      </c>
      <c r="R2272" s="23" t="s">
        <v>63</v>
      </c>
      <c r="S2272" s="23" t="s">
        <v>63</v>
      </c>
      <c r="T2272" s="32" t="s">
        <v>63</v>
      </c>
      <c r="U2272" s="15" t="s">
        <v>2503</v>
      </c>
      <c r="V2272" s="23" t="s">
        <v>63</v>
      </c>
      <c r="W2272" s="23" t="s">
        <v>63</v>
      </c>
      <c r="X2272" s="23" t="s">
        <v>63</v>
      </c>
      <c r="Y2272" s="35">
        <v>194.0</v>
      </c>
      <c r="Z2272" s="32" t="s">
        <v>63</v>
      </c>
      <c r="AA2272" s="38"/>
      <c r="AB2272" s="38"/>
      <c r="AC2272" s="38"/>
      <c r="AD2272" s="38"/>
      <c r="AE2272" s="38"/>
      <c r="AF2272" s="38"/>
      <c r="AG2272" s="38"/>
      <c r="AH2272" s="38"/>
      <c r="AI2272" s="38"/>
      <c r="AJ2272" s="38"/>
      <c r="AK2272" s="38"/>
    </row>
    <row r="2273">
      <c r="A2273" s="99">
        <v>2272.0</v>
      </c>
      <c r="B2273" s="15"/>
      <c r="C2273" s="15"/>
      <c r="D2273" s="105">
        <v>1.0</v>
      </c>
      <c r="E2273" s="102">
        <v>41.0</v>
      </c>
      <c r="F2273" s="107">
        <v>49.0</v>
      </c>
      <c r="G2273" s="15" t="str">
        <f t="shared" si="1"/>
        <v>41049</v>
      </c>
      <c r="H2273" s="23" t="s">
        <v>1691</v>
      </c>
      <c r="I2273" s="23" t="s">
        <v>103</v>
      </c>
      <c r="J2273" s="23" t="s">
        <v>512</v>
      </c>
      <c r="K2273" s="23" t="str">
        <f t="shared" si="38"/>
        <v>Morrow, OR</v>
      </c>
      <c r="L2273" s="23" t="s">
        <v>2493</v>
      </c>
      <c r="M2273" s="23" t="s">
        <v>63</v>
      </c>
      <c r="N2273" s="23" t="s">
        <v>2493</v>
      </c>
      <c r="O2273" s="23" t="s">
        <v>2493</v>
      </c>
      <c r="P2273" s="23" t="s">
        <v>63</v>
      </c>
      <c r="Q2273" s="23">
        <v>10.0</v>
      </c>
      <c r="R2273" s="23" t="s">
        <v>63</v>
      </c>
      <c r="S2273" s="23" t="s">
        <v>63</v>
      </c>
      <c r="T2273" s="32" t="s">
        <v>63</v>
      </c>
      <c r="U2273" s="23" t="s">
        <v>63</v>
      </c>
      <c r="V2273" s="23" t="s">
        <v>63</v>
      </c>
      <c r="W2273" s="23" t="s">
        <v>63</v>
      </c>
      <c r="X2273" s="23" t="s">
        <v>63</v>
      </c>
      <c r="Y2273" s="35">
        <v>12.0</v>
      </c>
      <c r="Z2273" s="32" t="s">
        <v>63</v>
      </c>
      <c r="AA2273" s="38"/>
      <c r="AB2273" s="38"/>
      <c r="AC2273" s="38"/>
      <c r="AD2273" s="38"/>
      <c r="AE2273" s="38"/>
      <c r="AF2273" s="38"/>
      <c r="AG2273" s="38"/>
      <c r="AH2273" s="38"/>
      <c r="AI2273" s="38"/>
      <c r="AJ2273" s="38"/>
      <c r="AK2273" s="38"/>
    </row>
    <row r="2274">
      <c r="A2274" s="99">
        <v>2273.0</v>
      </c>
      <c r="B2274" s="15"/>
      <c r="C2274" s="15"/>
      <c r="D2274" s="105">
        <v>1.0</v>
      </c>
      <c r="E2274" s="102">
        <v>41.0</v>
      </c>
      <c r="F2274" s="107">
        <v>51.0</v>
      </c>
      <c r="G2274" s="15" t="str">
        <f t="shared" si="1"/>
        <v>41051</v>
      </c>
      <c r="H2274" s="23" t="s">
        <v>511</v>
      </c>
      <c r="I2274" s="23" t="s">
        <v>103</v>
      </c>
      <c r="J2274" s="23" t="s">
        <v>512</v>
      </c>
      <c r="K2274" s="23" t="str">
        <f t="shared" si="38"/>
        <v>Multnomah, OR</v>
      </c>
      <c r="L2274" s="23">
        <v>762.0</v>
      </c>
      <c r="M2274" s="23" t="s">
        <v>63</v>
      </c>
      <c r="N2274" s="23">
        <v>324.0</v>
      </c>
      <c r="O2274" s="23">
        <v>263.0</v>
      </c>
      <c r="P2274" s="23" t="s">
        <v>63</v>
      </c>
      <c r="Q2274" s="23">
        <v>435.0</v>
      </c>
      <c r="R2274" s="23" t="s">
        <v>63</v>
      </c>
      <c r="S2274" s="23" t="s">
        <v>63</v>
      </c>
      <c r="T2274" s="32" t="s">
        <v>63</v>
      </c>
      <c r="U2274" s="15" t="s">
        <v>2504</v>
      </c>
      <c r="V2274" s="23" t="s">
        <v>63</v>
      </c>
      <c r="W2274" s="23" t="s">
        <v>63</v>
      </c>
      <c r="X2274" s="23" t="s">
        <v>63</v>
      </c>
      <c r="Y2274" s="35">
        <v>366.0</v>
      </c>
      <c r="Z2274" s="32" t="s">
        <v>63</v>
      </c>
      <c r="AA2274" s="38"/>
      <c r="AB2274" s="38"/>
      <c r="AC2274" s="38"/>
      <c r="AD2274" s="38"/>
      <c r="AE2274" s="38"/>
      <c r="AF2274" s="38"/>
      <c r="AG2274" s="38"/>
      <c r="AH2274" s="38"/>
      <c r="AI2274" s="38"/>
      <c r="AJ2274" s="38"/>
      <c r="AK2274" s="38"/>
    </row>
    <row r="2275">
      <c r="A2275" s="99">
        <v>2274.0</v>
      </c>
      <c r="B2275" s="15"/>
      <c r="C2275" s="15"/>
      <c r="D2275" s="105">
        <v>1.0</v>
      </c>
      <c r="E2275" s="102">
        <v>41.0</v>
      </c>
      <c r="F2275" s="107">
        <v>53.0</v>
      </c>
      <c r="G2275" s="15" t="str">
        <f t="shared" si="1"/>
        <v>41053</v>
      </c>
      <c r="H2275" s="23" t="s">
        <v>302</v>
      </c>
      <c r="I2275" s="23" t="s">
        <v>103</v>
      </c>
      <c r="J2275" s="23" t="s">
        <v>512</v>
      </c>
      <c r="K2275" s="23" t="str">
        <f t="shared" si="38"/>
        <v>Polk, OR</v>
      </c>
      <c r="L2275" s="23">
        <v>114.0</v>
      </c>
      <c r="M2275" s="23" t="s">
        <v>63</v>
      </c>
      <c r="N2275" s="23">
        <v>40.0</v>
      </c>
      <c r="O2275" s="23">
        <v>34.0</v>
      </c>
      <c r="P2275" s="23" t="s">
        <v>63</v>
      </c>
      <c r="Q2275" s="23">
        <v>90.0</v>
      </c>
      <c r="R2275" s="23" t="s">
        <v>63</v>
      </c>
      <c r="S2275" s="23" t="s">
        <v>63</v>
      </c>
      <c r="T2275" s="32" t="s">
        <v>63</v>
      </c>
      <c r="U2275" s="15" t="s">
        <v>2505</v>
      </c>
      <c r="V2275" s="23" t="s">
        <v>63</v>
      </c>
      <c r="W2275" s="23" t="s">
        <v>63</v>
      </c>
      <c r="X2275" s="23" t="s">
        <v>63</v>
      </c>
      <c r="Y2275" s="35">
        <v>53.0</v>
      </c>
      <c r="Z2275" s="32" t="s">
        <v>63</v>
      </c>
      <c r="AA2275" s="38"/>
      <c r="AB2275" s="38"/>
      <c r="AC2275" s="38"/>
      <c r="AD2275" s="38"/>
      <c r="AE2275" s="38"/>
      <c r="AF2275" s="38"/>
      <c r="AG2275" s="38"/>
      <c r="AH2275" s="38"/>
      <c r="AI2275" s="38"/>
      <c r="AJ2275" s="38"/>
      <c r="AK2275" s="38"/>
    </row>
    <row r="2276">
      <c r="A2276" s="99">
        <v>2275.0</v>
      </c>
      <c r="B2276" s="15"/>
      <c r="C2276" s="15"/>
      <c r="D2276" s="105">
        <v>1.0</v>
      </c>
      <c r="E2276" s="102">
        <v>41.0</v>
      </c>
      <c r="F2276" s="107">
        <v>55.0</v>
      </c>
      <c r="G2276" s="15" t="str">
        <f t="shared" si="1"/>
        <v>41055</v>
      </c>
      <c r="H2276" s="23" t="s">
        <v>1011</v>
      </c>
      <c r="I2276" s="23" t="s">
        <v>103</v>
      </c>
      <c r="J2276" s="23" t="s">
        <v>512</v>
      </c>
      <c r="K2276" s="23" t="str">
        <f t="shared" si="38"/>
        <v>Sherman, OR</v>
      </c>
      <c r="L2276" s="23" t="s">
        <v>2493</v>
      </c>
      <c r="M2276" s="23" t="s">
        <v>63</v>
      </c>
      <c r="N2276" s="23" t="s">
        <v>2493</v>
      </c>
      <c r="O2276" s="23" t="s">
        <v>2493</v>
      </c>
      <c r="P2276" s="23" t="s">
        <v>63</v>
      </c>
      <c r="Q2276" s="23" t="s">
        <v>63</v>
      </c>
      <c r="R2276" s="23" t="s">
        <v>63</v>
      </c>
      <c r="S2276" s="23" t="s">
        <v>63</v>
      </c>
      <c r="T2276" s="32" t="s">
        <v>63</v>
      </c>
      <c r="U2276" s="23" t="s">
        <v>63</v>
      </c>
      <c r="V2276" s="23" t="s">
        <v>63</v>
      </c>
      <c r="W2276" s="23" t="s">
        <v>63</v>
      </c>
      <c r="X2276" s="23" t="s">
        <v>63</v>
      </c>
      <c r="Y2276" s="35">
        <v>5.0</v>
      </c>
      <c r="Z2276" s="32" t="s">
        <v>63</v>
      </c>
      <c r="AA2276" s="38"/>
      <c r="AB2276" s="38"/>
      <c r="AC2276" s="38"/>
      <c r="AD2276" s="38"/>
      <c r="AE2276" s="38"/>
      <c r="AF2276" s="38"/>
      <c r="AG2276" s="38"/>
      <c r="AH2276" s="38"/>
      <c r="AI2276" s="38"/>
      <c r="AJ2276" s="38"/>
      <c r="AK2276" s="38"/>
    </row>
    <row r="2277">
      <c r="A2277" s="99">
        <v>2276.0</v>
      </c>
      <c r="B2277" s="15"/>
      <c r="C2277" s="15"/>
      <c r="D2277" s="105">
        <v>1.0</v>
      </c>
      <c r="E2277" s="102">
        <v>41.0</v>
      </c>
      <c r="F2277" s="107">
        <v>57.0</v>
      </c>
      <c r="G2277" s="15" t="str">
        <f t="shared" si="1"/>
        <v>41057</v>
      </c>
      <c r="H2277" s="23" t="s">
        <v>1778</v>
      </c>
      <c r="I2277" s="23" t="s">
        <v>103</v>
      </c>
      <c r="J2277" s="23" t="s">
        <v>512</v>
      </c>
      <c r="K2277" s="23" t="str">
        <f t="shared" si="38"/>
        <v>Tillamook, OR</v>
      </c>
      <c r="L2277" s="23">
        <v>17.0</v>
      </c>
      <c r="M2277" s="23" t="s">
        <v>63</v>
      </c>
      <c r="N2277" s="23">
        <v>11.0</v>
      </c>
      <c r="O2277" s="23" t="s">
        <v>2493</v>
      </c>
      <c r="P2277" s="23" t="s">
        <v>63</v>
      </c>
      <c r="Q2277" s="23">
        <v>15.0</v>
      </c>
      <c r="R2277" s="23" t="s">
        <v>63</v>
      </c>
      <c r="S2277" s="23" t="s">
        <v>63</v>
      </c>
      <c r="T2277" s="32" t="s">
        <v>63</v>
      </c>
      <c r="U2277" s="23" t="s">
        <v>63</v>
      </c>
      <c r="V2277" s="23" t="s">
        <v>63</v>
      </c>
      <c r="W2277" s="23" t="s">
        <v>63</v>
      </c>
      <c r="X2277" s="23" t="s">
        <v>63</v>
      </c>
      <c r="Y2277" s="35">
        <v>34.0</v>
      </c>
      <c r="Z2277" s="32" t="s">
        <v>63</v>
      </c>
      <c r="AA2277" s="38"/>
      <c r="AB2277" s="38"/>
      <c r="AC2277" s="38"/>
      <c r="AD2277" s="38"/>
      <c r="AE2277" s="38"/>
      <c r="AF2277" s="38"/>
      <c r="AG2277" s="38"/>
      <c r="AH2277" s="38"/>
      <c r="AI2277" s="38"/>
      <c r="AJ2277" s="38"/>
      <c r="AK2277" s="38"/>
    </row>
    <row r="2278">
      <c r="A2278" s="99">
        <v>2277.0</v>
      </c>
      <c r="B2278" s="15"/>
      <c r="C2278" s="15"/>
      <c r="D2278" s="105">
        <v>1.0</v>
      </c>
      <c r="E2278" s="102">
        <v>41.0</v>
      </c>
      <c r="F2278" s="107">
        <v>59.0</v>
      </c>
      <c r="G2278" s="15" t="str">
        <f t="shared" si="1"/>
        <v>41059</v>
      </c>
      <c r="H2278" s="23" t="s">
        <v>1779</v>
      </c>
      <c r="I2278" s="23" t="s">
        <v>103</v>
      </c>
      <c r="J2278" s="23" t="s">
        <v>512</v>
      </c>
      <c r="K2278" s="23" t="str">
        <f t="shared" si="38"/>
        <v>Umatilla, OR</v>
      </c>
      <c r="L2278" s="23">
        <v>160.0</v>
      </c>
      <c r="M2278" s="23" t="s">
        <v>63</v>
      </c>
      <c r="N2278" s="23">
        <v>61.0</v>
      </c>
      <c r="O2278" s="23">
        <v>68.0</v>
      </c>
      <c r="P2278" s="23" t="s">
        <v>63</v>
      </c>
      <c r="Q2278" s="23">
        <v>99.0</v>
      </c>
      <c r="R2278" s="23" t="s">
        <v>63</v>
      </c>
      <c r="S2278" s="23" t="s">
        <v>63</v>
      </c>
      <c r="T2278" s="32" t="s">
        <v>63</v>
      </c>
      <c r="U2278" s="15" t="s">
        <v>2506</v>
      </c>
      <c r="V2278" s="23" t="s">
        <v>63</v>
      </c>
      <c r="W2278" s="23" t="s">
        <v>63</v>
      </c>
      <c r="X2278" s="23" t="s">
        <v>63</v>
      </c>
      <c r="Y2278" s="35">
        <v>71.0</v>
      </c>
      <c r="Z2278" s="32" t="s">
        <v>63</v>
      </c>
      <c r="AA2278" s="38"/>
      <c r="AB2278" s="38"/>
      <c r="AC2278" s="38"/>
      <c r="AD2278" s="38"/>
      <c r="AE2278" s="38"/>
      <c r="AF2278" s="38"/>
      <c r="AG2278" s="38"/>
      <c r="AH2278" s="38"/>
      <c r="AI2278" s="38"/>
      <c r="AJ2278" s="38"/>
      <c r="AK2278" s="38"/>
    </row>
    <row r="2279">
      <c r="A2279" s="99">
        <v>2278.0</v>
      </c>
      <c r="B2279" s="15"/>
      <c r="C2279" s="15"/>
      <c r="D2279" s="105">
        <v>1.0</v>
      </c>
      <c r="E2279" s="102">
        <v>41.0</v>
      </c>
      <c r="F2279" s="107">
        <v>61.0</v>
      </c>
      <c r="G2279" s="15" t="str">
        <f t="shared" si="1"/>
        <v>41061</v>
      </c>
      <c r="H2279" s="23" t="s">
        <v>316</v>
      </c>
      <c r="I2279" s="23" t="s">
        <v>103</v>
      </c>
      <c r="J2279" s="23" t="s">
        <v>512</v>
      </c>
      <c r="K2279" s="23" t="str">
        <f t="shared" si="38"/>
        <v>Union, OR</v>
      </c>
      <c r="L2279" s="23">
        <v>42.0</v>
      </c>
      <c r="M2279" s="23" t="s">
        <v>63</v>
      </c>
      <c r="N2279" s="23">
        <v>9.0</v>
      </c>
      <c r="O2279" s="23">
        <v>17.0</v>
      </c>
      <c r="P2279" s="23" t="s">
        <v>63</v>
      </c>
      <c r="Q2279" s="23">
        <v>18.0</v>
      </c>
      <c r="R2279" s="23" t="s">
        <v>63</v>
      </c>
      <c r="S2279" s="23" t="s">
        <v>63</v>
      </c>
      <c r="T2279" s="32" t="s">
        <v>63</v>
      </c>
      <c r="U2279" s="23" t="s">
        <v>63</v>
      </c>
      <c r="V2279" s="23" t="s">
        <v>63</v>
      </c>
      <c r="W2279" s="23" t="s">
        <v>63</v>
      </c>
      <c r="X2279" s="23" t="s">
        <v>63</v>
      </c>
      <c r="Y2279" s="35">
        <v>38.0</v>
      </c>
      <c r="Z2279" s="32" t="s">
        <v>63</v>
      </c>
      <c r="AA2279" s="38"/>
      <c r="AB2279" s="38"/>
      <c r="AC2279" s="38"/>
      <c r="AD2279" s="38"/>
      <c r="AE2279" s="38"/>
      <c r="AF2279" s="38"/>
      <c r="AG2279" s="38"/>
      <c r="AH2279" s="38"/>
      <c r="AI2279" s="38"/>
      <c r="AJ2279" s="38"/>
      <c r="AK2279" s="38"/>
    </row>
    <row r="2280">
      <c r="A2280" s="99">
        <v>2279.0</v>
      </c>
      <c r="B2280" s="15"/>
      <c r="C2280" s="15"/>
      <c r="D2280" s="105">
        <v>1.0</v>
      </c>
      <c r="E2280" s="102">
        <v>41.0</v>
      </c>
      <c r="F2280" s="107">
        <v>63.0</v>
      </c>
      <c r="G2280" s="15" t="str">
        <f t="shared" si="1"/>
        <v>41063</v>
      </c>
      <c r="H2280" s="23" t="s">
        <v>1780</v>
      </c>
      <c r="I2280" s="23" t="s">
        <v>103</v>
      </c>
      <c r="J2280" s="23" t="s">
        <v>512</v>
      </c>
      <c r="K2280" s="23" t="str">
        <f t="shared" si="38"/>
        <v>Wallowa, OR</v>
      </c>
      <c r="L2280" s="23" t="s">
        <v>2493</v>
      </c>
      <c r="M2280" s="23" t="s">
        <v>63</v>
      </c>
      <c r="N2280" s="23" t="s">
        <v>2493</v>
      </c>
      <c r="O2280" s="23" t="s">
        <v>2493</v>
      </c>
      <c r="P2280" s="23" t="s">
        <v>63</v>
      </c>
      <c r="Q2280" s="23" t="s">
        <v>63</v>
      </c>
      <c r="R2280" s="23" t="s">
        <v>63</v>
      </c>
      <c r="S2280" s="23" t="s">
        <v>63</v>
      </c>
      <c r="T2280" s="32" t="s">
        <v>63</v>
      </c>
      <c r="U2280" s="23" t="s">
        <v>63</v>
      </c>
      <c r="V2280" s="23" t="s">
        <v>63</v>
      </c>
      <c r="W2280" s="23" t="s">
        <v>63</v>
      </c>
      <c r="X2280" s="23" t="s">
        <v>63</v>
      </c>
      <c r="Y2280" s="35">
        <v>11.0</v>
      </c>
      <c r="Z2280" s="32" t="s">
        <v>63</v>
      </c>
      <c r="AA2280" s="38"/>
      <c r="AB2280" s="38"/>
      <c r="AC2280" s="38"/>
      <c r="AD2280" s="38"/>
      <c r="AE2280" s="38"/>
      <c r="AF2280" s="38"/>
      <c r="AG2280" s="38"/>
      <c r="AH2280" s="38"/>
      <c r="AI2280" s="38"/>
      <c r="AJ2280" s="38"/>
      <c r="AK2280" s="38"/>
    </row>
    <row r="2281">
      <c r="A2281" s="99">
        <v>2280.0</v>
      </c>
      <c r="B2281" s="15"/>
      <c r="C2281" s="15"/>
      <c r="D2281" s="105">
        <v>1.0</v>
      </c>
      <c r="E2281" s="102">
        <v>41.0</v>
      </c>
      <c r="F2281" s="107">
        <v>65.0</v>
      </c>
      <c r="G2281" s="15" t="str">
        <f t="shared" si="1"/>
        <v>41065</v>
      </c>
      <c r="H2281" s="23" t="s">
        <v>1781</v>
      </c>
      <c r="I2281" s="23" t="s">
        <v>103</v>
      </c>
      <c r="J2281" s="23" t="s">
        <v>512</v>
      </c>
      <c r="K2281" s="23" t="str">
        <f t="shared" si="38"/>
        <v>Wasco, OR</v>
      </c>
      <c r="L2281" s="23">
        <v>56.0</v>
      </c>
      <c r="M2281" s="23" t="s">
        <v>63</v>
      </c>
      <c r="N2281" s="23">
        <v>17.0</v>
      </c>
      <c r="O2281" s="23">
        <v>25.0</v>
      </c>
      <c r="P2281" s="23" t="s">
        <v>63</v>
      </c>
      <c r="Q2281" s="23">
        <v>27.0</v>
      </c>
      <c r="R2281" s="23" t="s">
        <v>63</v>
      </c>
      <c r="S2281" s="23" t="s">
        <v>63</v>
      </c>
      <c r="T2281" s="32" t="s">
        <v>63</v>
      </c>
      <c r="U2281" s="23" t="s">
        <v>63</v>
      </c>
      <c r="V2281" s="23" t="s">
        <v>63</v>
      </c>
      <c r="W2281" s="23" t="s">
        <v>63</v>
      </c>
      <c r="X2281" s="23" t="s">
        <v>63</v>
      </c>
      <c r="Y2281" s="35">
        <v>29.0</v>
      </c>
      <c r="Z2281" s="32" t="s">
        <v>63</v>
      </c>
      <c r="AA2281" s="38"/>
      <c r="AB2281" s="38"/>
      <c r="AC2281" s="38"/>
      <c r="AD2281" s="38"/>
      <c r="AE2281" s="38"/>
      <c r="AF2281" s="38"/>
      <c r="AG2281" s="38"/>
      <c r="AH2281" s="38"/>
      <c r="AI2281" s="38"/>
      <c r="AJ2281" s="38"/>
      <c r="AK2281" s="38"/>
    </row>
    <row r="2282">
      <c r="A2282" s="99">
        <v>2281.0</v>
      </c>
      <c r="B2282" s="15"/>
      <c r="C2282" s="15"/>
      <c r="D2282" s="105">
        <v>1.0</v>
      </c>
      <c r="E2282" s="102">
        <v>41.0</v>
      </c>
      <c r="F2282" s="107">
        <v>67.0</v>
      </c>
      <c r="G2282" s="15" t="str">
        <f t="shared" si="1"/>
        <v>41067</v>
      </c>
      <c r="H2282" s="23" t="s">
        <v>119</v>
      </c>
      <c r="I2282" s="23" t="s">
        <v>103</v>
      </c>
      <c r="J2282" s="23" t="s">
        <v>512</v>
      </c>
      <c r="K2282" s="23" t="str">
        <f t="shared" si="38"/>
        <v>Washington, OR</v>
      </c>
      <c r="L2282" s="23">
        <v>274.0</v>
      </c>
      <c r="M2282" s="23" t="s">
        <v>63</v>
      </c>
      <c r="N2282" s="23">
        <v>87.0</v>
      </c>
      <c r="O2282" s="23">
        <v>121.0</v>
      </c>
      <c r="P2282" s="23" t="s">
        <v>63</v>
      </c>
      <c r="Q2282" s="23">
        <v>230.0</v>
      </c>
      <c r="R2282" s="23" t="s">
        <v>63</v>
      </c>
      <c r="S2282" s="23" t="s">
        <v>63</v>
      </c>
      <c r="T2282" s="32" t="s">
        <v>63</v>
      </c>
      <c r="U2282" s="15" t="s">
        <v>2507</v>
      </c>
      <c r="V2282" s="23" t="s">
        <v>63</v>
      </c>
      <c r="W2282" s="23" t="s">
        <v>63</v>
      </c>
      <c r="X2282" s="23" t="s">
        <v>63</v>
      </c>
      <c r="Y2282" s="35">
        <v>220.0</v>
      </c>
      <c r="Z2282" s="32" t="s">
        <v>63</v>
      </c>
      <c r="AA2282" s="38"/>
      <c r="AB2282" s="38"/>
      <c r="AC2282" s="38"/>
      <c r="AD2282" s="38"/>
      <c r="AE2282" s="38"/>
      <c r="AF2282" s="38"/>
      <c r="AG2282" s="38"/>
      <c r="AH2282" s="38"/>
      <c r="AI2282" s="38"/>
      <c r="AJ2282" s="38"/>
      <c r="AK2282" s="38"/>
    </row>
    <row r="2283">
      <c r="A2283" s="99">
        <v>2282.0</v>
      </c>
      <c r="B2283" s="15"/>
      <c r="C2283" s="15"/>
      <c r="D2283" s="105">
        <v>1.0</v>
      </c>
      <c r="E2283" s="102">
        <v>41.0</v>
      </c>
      <c r="F2283" s="107">
        <v>69.0</v>
      </c>
      <c r="G2283" s="15" t="str">
        <f t="shared" si="1"/>
        <v>41069</v>
      </c>
      <c r="H2283" s="23" t="s">
        <v>649</v>
      </c>
      <c r="I2283" s="23" t="s">
        <v>103</v>
      </c>
      <c r="J2283" s="23" t="s">
        <v>512</v>
      </c>
      <c r="K2283" s="23" t="str">
        <f t="shared" si="38"/>
        <v>Wheeler, OR</v>
      </c>
      <c r="L2283" s="23" t="s">
        <v>63</v>
      </c>
      <c r="M2283" s="23" t="s">
        <v>63</v>
      </c>
      <c r="N2283" s="23" t="s">
        <v>63</v>
      </c>
      <c r="O2283" s="23" t="s">
        <v>63</v>
      </c>
      <c r="P2283" s="23" t="s">
        <v>63</v>
      </c>
      <c r="Q2283" s="23" t="s">
        <v>63</v>
      </c>
      <c r="R2283" s="23" t="s">
        <v>63</v>
      </c>
      <c r="S2283" s="23" t="s">
        <v>63</v>
      </c>
      <c r="T2283" s="32" t="s">
        <v>63</v>
      </c>
      <c r="U2283" s="23" t="s">
        <v>63</v>
      </c>
      <c r="V2283" s="23" t="s">
        <v>63</v>
      </c>
      <c r="W2283" s="23" t="s">
        <v>63</v>
      </c>
      <c r="X2283" s="23" t="s">
        <v>63</v>
      </c>
      <c r="Y2283" s="35">
        <v>6.0</v>
      </c>
      <c r="Z2283" s="32" t="s">
        <v>63</v>
      </c>
      <c r="AA2283" s="38"/>
      <c r="AB2283" s="38"/>
      <c r="AC2283" s="38"/>
      <c r="AD2283" s="38"/>
      <c r="AE2283" s="38"/>
      <c r="AF2283" s="38"/>
      <c r="AG2283" s="38"/>
      <c r="AH2283" s="38"/>
      <c r="AI2283" s="38"/>
      <c r="AJ2283" s="38"/>
      <c r="AK2283" s="38"/>
    </row>
    <row r="2284">
      <c r="A2284" s="99">
        <v>2283.0</v>
      </c>
      <c r="B2284" s="15"/>
      <c r="C2284" s="15"/>
      <c r="D2284" s="105">
        <v>1.0</v>
      </c>
      <c r="E2284" s="102">
        <v>41.0</v>
      </c>
      <c r="F2284" s="107">
        <v>71.0</v>
      </c>
      <c r="G2284" s="15" t="str">
        <f t="shared" si="1"/>
        <v>41071</v>
      </c>
      <c r="H2284" s="23" t="s">
        <v>1782</v>
      </c>
      <c r="I2284" s="23" t="s">
        <v>103</v>
      </c>
      <c r="J2284" s="23" t="s">
        <v>512</v>
      </c>
      <c r="K2284" s="23" t="str">
        <f t="shared" si="38"/>
        <v>Yamhill, OR</v>
      </c>
      <c r="L2284" s="23">
        <v>75.0</v>
      </c>
      <c r="M2284" s="23" t="s">
        <v>63</v>
      </c>
      <c r="N2284" s="23">
        <v>22.0</v>
      </c>
      <c r="O2284" s="23">
        <v>23.0</v>
      </c>
      <c r="P2284" s="23" t="s">
        <v>63</v>
      </c>
      <c r="Q2284" s="23">
        <v>71.0</v>
      </c>
      <c r="R2284" s="23" t="s">
        <v>63</v>
      </c>
      <c r="S2284" s="23" t="s">
        <v>63</v>
      </c>
      <c r="T2284" s="32" t="s">
        <v>63</v>
      </c>
      <c r="U2284" s="15" t="s">
        <v>2508</v>
      </c>
      <c r="V2284" s="23" t="s">
        <v>63</v>
      </c>
      <c r="W2284" s="23" t="s">
        <v>63</v>
      </c>
      <c r="X2284" s="23" t="s">
        <v>63</v>
      </c>
      <c r="Y2284" s="35">
        <v>75.0</v>
      </c>
      <c r="Z2284" s="32" t="s">
        <v>63</v>
      </c>
      <c r="AA2284" s="38"/>
      <c r="AB2284" s="38"/>
      <c r="AC2284" s="38"/>
      <c r="AD2284" s="38"/>
      <c r="AE2284" s="38"/>
      <c r="AF2284" s="38"/>
      <c r="AG2284" s="38"/>
      <c r="AH2284" s="38"/>
      <c r="AI2284" s="38"/>
      <c r="AJ2284" s="38"/>
      <c r="AK2284" s="38"/>
    </row>
    <row r="2285">
      <c r="A2285" s="28">
        <v>2284.0</v>
      </c>
      <c r="B2285" s="29"/>
      <c r="C2285" s="29" t="s">
        <v>25</v>
      </c>
      <c r="D2285" s="30"/>
      <c r="E2285" s="31">
        <v>42.0</v>
      </c>
      <c r="F2285" s="42">
        <v>0.0</v>
      </c>
      <c r="G2285" s="29" t="str">
        <f t="shared" si="1"/>
        <v>42000</v>
      </c>
      <c r="H2285" s="37"/>
      <c r="I2285" s="37" t="s">
        <v>105</v>
      </c>
      <c r="J2285" s="37" t="s">
        <v>287</v>
      </c>
      <c r="K2285" s="37"/>
      <c r="L2285" s="53">
        <f t="array" ref="L2285:Z2285">Pennsylvania!C71:Q71</f>
        <v>12465</v>
      </c>
      <c r="M2285" s="37" t="s">
        <v>63</v>
      </c>
      <c r="N2285" s="37" t="s">
        <v>63</v>
      </c>
      <c r="O2285" s="37" t="s">
        <v>63</v>
      </c>
      <c r="P2285" s="37" t="s">
        <v>63</v>
      </c>
      <c r="Q2285" s="53">
        <v>12616.0</v>
      </c>
      <c r="R2285" s="53">
        <v>1794.0</v>
      </c>
      <c r="S2285" s="37" t="s">
        <v>63</v>
      </c>
      <c r="T2285" s="69" t="s">
        <v>63</v>
      </c>
      <c r="U2285" s="37" t="s">
        <v>63</v>
      </c>
      <c r="V2285" s="37" t="s">
        <v>63</v>
      </c>
      <c r="W2285" s="37" t="s">
        <v>63</v>
      </c>
      <c r="X2285" s="37" t="s">
        <v>63</v>
      </c>
      <c r="Y2285" s="53">
        <v>11191.0</v>
      </c>
      <c r="Z2285" s="69" t="s">
        <v>63</v>
      </c>
      <c r="AA2285" s="73"/>
      <c r="AB2285" s="73"/>
      <c r="AC2285" s="73"/>
      <c r="AD2285" s="73"/>
      <c r="AE2285" s="73"/>
      <c r="AF2285" s="73"/>
      <c r="AG2285" s="73"/>
      <c r="AH2285" s="73"/>
      <c r="AI2285" s="73"/>
      <c r="AJ2285" s="73"/>
      <c r="AK2285" s="73"/>
    </row>
    <row r="2286">
      <c r="A2286" s="28">
        <v>2285.0</v>
      </c>
      <c r="B2286" s="29"/>
      <c r="C2286" s="29"/>
      <c r="D2286" s="40">
        <v>1.0</v>
      </c>
      <c r="E2286" s="31">
        <v>42.0</v>
      </c>
      <c r="F2286" s="42">
        <v>1.0</v>
      </c>
      <c r="G2286" s="29" t="str">
        <f t="shared" si="1"/>
        <v>42001</v>
      </c>
      <c r="H2286" s="37" t="s">
        <v>386</v>
      </c>
      <c r="I2286" s="37" t="s">
        <v>105</v>
      </c>
      <c r="J2286" s="37" t="s">
        <v>287</v>
      </c>
      <c r="K2286" s="37" t="str">
        <f t="shared" ref="K2286:K2352" si="39">CONCATENATE(H2286,", ",J2286)</f>
        <v>Adams, PA</v>
      </c>
      <c r="L2286" s="37">
        <f t="array" ref="L2286:Z2352">Pennsylvania!C3:Q69</f>
        <v>40</v>
      </c>
      <c r="M2286" s="37" t="s">
        <v>63</v>
      </c>
      <c r="N2286" s="37">
        <v>18.0</v>
      </c>
      <c r="O2286" s="37">
        <v>18.0</v>
      </c>
      <c r="P2286" s="37" t="s">
        <v>63</v>
      </c>
      <c r="Q2286" s="37" t="s">
        <v>63</v>
      </c>
      <c r="R2286" s="37" t="s">
        <v>63</v>
      </c>
      <c r="S2286" s="37" t="s">
        <v>63</v>
      </c>
      <c r="T2286" s="69" t="s">
        <v>63</v>
      </c>
      <c r="U2286" s="37" t="s">
        <v>63</v>
      </c>
      <c r="V2286" s="37" t="s">
        <v>63</v>
      </c>
      <c r="W2286" s="37" t="s">
        <v>63</v>
      </c>
      <c r="X2286" s="37" t="s">
        <v>63</v>
      </c>
      <c r="Y2286" s="53">
        <v>90.0</v>
      </c>
      <c r="Z2286" s="69" t="s">
        <v>63</v>
      </c>
      <c r="AA2286" s="73"/>
      <c r="AB2286" s="73"/>
      <c r="AC2286" s="73"/>
      <c r="AD2286" s="73"/>
      <c r="AE2286" s="73"/>
      <c r="AF2286" s="73"/>
      <c r="AG2286" s="73"/>
      <c r="AH2286" s="73"/>
      <c r="AI2286" s="73"/>
      <c r="AJ2286" s="73"/>
      <c r="AK2286" s="73"/>
    </row>
    <row r="2287">
      <c r="A2287" s="28">
        <v>2286.0</v>
      </c>
      <c r="B2287" s="29"/>
      <c r="C2287" s="29"/>
      <c r="D2287" s="40">
        <v>1.0</v>
      </c>
      <c r="E2287" s="31">
        <v>42.0</v>
      </c>
      <c r="F2287" s="42">
        <v>3.0</v>
      </c>
      <c r="G2287" s="29" t="str">
        <f t="shared" si="1"/>
        <v>42003</v>
      </c>
      <c r="H2287" s="37" t="s">
        <v>363</v>
      </c>
      <c r="I2287" s="37" t="s">
        <v>105</v>
      </c>
      <c r="J2287" s="37" t="s">
        <v>287</v>
      </c>
      <c r="K2287" s="37" t="str">
        <f t="shared" si="39"/>
        <v>Allegheny, PA</v>
      </c>
      <c r="L2287" s="37">
        <v>1607.0</v>
      </c>
      <c r="M2287" s="37" t="s">
        <v>63</v>
      </c>
      <c r="N2287" s="37">
        <v>379.0</v>
      </c>
      <c r="O2287" s="37">
        <v>973.0</v>
      </c>
      <c r="P2287" s="37" t="s">
        <v>63</v>
      </c>
      <c r="Q2287" s="37" t="s">
        <v>63</v>
      </c>
      <c r="R2287" s="37" t="s">
        <v>63</v>
      </c>
      <c r="S2287" s="37" t="s">
        <v>63</v>
      </c>
      <c r="T2287" s="69" t="s">
        <v>63</v>
      </c>
      <c r="U2287" s="37" t="s">
        <v>63</v>
      </c>
      <c r="V2287" s="37" t="s">
        <v>63</v>
      </c>
      <c r="W2287" s="37" t="s">
        <v>63</v>
      </c>
      <c r="X2287" s="37" t="s">
        <v>63</v>
      </c>
      <c r="Y2287" s="53">
        <v>837.0</v>
      </c>
      <c r="Z2287" s="69" t="s">
        <v>63</v>
      </c>
      <c r="AA2287" s="73"/>
      <c r="AB2287" s="73"/>
      <c r="AC2287" s="73"/>
      <c r="AD2287" s="73"/>
      <c r="AE2287" s="73"/>
      <c r="AF2287" s="73"/>
      <c r="AG2287" s="73"/>
      <c r="AH2287" s="73"/>
      <c r="AI2287" s="73"/>
      <c r="AJ2287" s="73"/>
      <c r="AK2287" s="73"/>
    </row>
    <row r="2288">
      <c r="A2288" s="28">
        <v>2287.0</v>
      </c>
      <c r="B2288" s="29"/>
      <c r="C2288" s="29"/>
      <c r="D2288" s="40">
        <v>1.0</v>
      </c>
      <c r="E2288" s="31">
        <v>42.0</v>
      </c>
      <c r="F2288" s="42">
        <v>5.0</v>
      </c>
      <c r="G2288" s="29" t="str">
        <f t="shared" si="1"/>
        <v>42005</v>
      </c>
      <c r="H2288" s="37" t="s">
        <v>1783</v>
      </c>
      <c r="I2288" s="37" t="s">
        <v>105</v>
      </c>
      <c r="J2288" s="37" t="s">
        <v>287</v>
      </c>
      <c r="K2288" s="37" t="str">
        <f t="shared" si="39"/>
        <v>Armstrong, PA</v>
      </c>
      <c r="L2288" s="37">
        <v>21.0</v>
      </c>
      <c r="M2288" s="37" t="s">
        <v>63</v>
      </c>
      <c r="N2288" s="37" t="s">
        <v>2509</v>
      </c>
      <c r="O2288" s="37" t="s">
        <v>2509</v>
      </c>
      <c r="P2288" s="37" t="s">
        <v>63</v>
      </c>
      <c r="Q2288" s="37" t="s">
        <v>63</v>
      </c>
      <c r="R2288" s="37" t="s">
        <v>63</v>
      </c>
      <c r="S2288" s="37" t="s">
        <v>63</v>
      </c>
      <c r="T2288" s="69" t="s">
        <v>63</v>
      </c>
      <c r="U2288" s="37" t="s">
        <v>63</v>
      </c>
      <c r="V2288" s="37" t="s">
        <v>63</v>
      </c>
      <c r="W2288" s="37" t="s">
        <v>63</v>
      </c>
      <c r="X2288" s="37" t="s">
        <v>63</v>
      </c>
      <c r="Y2288" s="53">
        <v>108.0</v>
      </c>
      <c r="Z2288" s="69" t="s">
        <v>63</v>
      </c>
      <c r="AA2288" s="73"/>
      <c r="AB2288" s="73"/>
      <c r="AC2288" s="73"/>
      <c r="AD2288" s="73"/>
      <c r="AE2288" s="73"/>
      <c r="AF2288" s="73"/>
      <c r="AG2288" s="73"/>
      <c r="AH2288" s="73"/>
      <c r="AI2288" s="73"/>
      <c r="AJ2288" s="73"/>
      <c r="AK2288" s="73"/>
    </row>
    <row r="2289">
      <c r="A2289" s="28">
        <v>2288.0</v>
      </c>
      <c r="B2289" s="29"/>
      <c r="C2289" s="29"/>
      <c r="D2289" s="40">
        <v>1.0</v>
      </c>
      <c r="E2289" s="31">
        <v>42.0</v>
      </c>
      <c r="F2289" s="42">
        <v>7.0</v>
      </c>
      <c r="G2289" s="29" t="str">
        <f t="shared" si="1"/>
        <v>42007</v>
      </c>
      <c r="H2289" s="37" t="s">
        <v>1710</v>
      </c>
      <c r="I2289" s="37" t="s">
        <v>105</v>
      </c>
      <c r="J2289" s="37" t="s">
        <v>287</v>
      </c>
      <c r="K2289" s="37" t="str">
        <f t="shared" si="39"/>
        <v>Beaver, PA</v>
      </c>
      <c r="L2289" s="37">
        <v>27.0</v>
      </c>
      <c r="M2289" s="37" t="s">
        <v>63</v>
      </c>
      <c r="N2289" s="37">
        <v>12.0</v>
      </c>
      <c r="O2289" s="37">
        <v>12.0</v>
      </c>
      <c r="P2289" s="37" t="s">
        <v>63</v>
      </c>
      <c r="Q2289" s="37" t="s">
        <v>63</v>
      </c>
      <c r="R2289" s="37" t="s">
        <v>63</v>
      </c>
      <c r="S2289" s="37" t="s">
        <v>63</v>
      </c>
      <c r="T2289" s="69" t="s">
        <v>63</v>
      </c>
      <c r="U2289" s="37" t="s">
        <v>63</v>
      </c>
      <c r="V2289" s="37" t="s">
        <v>63</v>
      </c>
      <c r="W2289" s="37" t="s">
        <v>63</v>
      </c>
      <c r="X2289" s="37" t="s">
        <v>63</v>
      </c>
      <c r="Y2289" s="53">
        <v>181.0</v>
      </c>
      <c r="Z2289" s="69" t="s">
        <v>63</v>
      </c>
      <c r="AA2289" s="73"/>
      <c r="AB2289" s="73"/>
      <c r="AC2289" s="73"/>
      <c r="AD2289" s="73"/>
      <c r="AE2289" s="73"/>
      <c r="AF2289" s="73"/>
      <c r="AG2289" s="73"/>
      <c r="AH2289" s="73"/>
      <c r="AI2289" s="73"/>
      <c r="AJ2289" s="73"/>
      <c r="AK2289" s="73"/>
    </row>
    <row r="2290">
      <c r="A2290" s="28">
        <v>2289.0</v>
      </c>
      <c r="B2290" s="29"/>
      <c r="C2290" s="29"/>
      <c r="D2290" s="40">
        <v>1.0</v>
      </c>
      <c r="E2290" s="31">
        <v>42.0</v>
      </c>
      <c r="F2290" s="42">
        <v>9.0</v>
      </c>
      <c r="G2290" s="29" t="str">
        <f t="shared" si="1"/>
        <v>42009</v>
      </c>
      <c r="H2290" s="37" t="s">
        <v>1784</v>
      </c>
      <c r="I2290" s="37" t="s">
        <v>105</v>
      </c>
      <c r="J2290" s="37" t="s">
        <v>287</v>
      </c>
      <c r="K2290" s="37" t="str">
        <f t="shared" si="39"/>
        <v>Bedford, PA</v>
      </c>
      <c r="L2290" s="37">
        <v>36.0</v>
      </c>
      <c r="M2290" s="37" t="s">
        <v>63</v>
      </c>
      <c r="N2290" s="37">
        <v>20.0</v>
      </c>
      <c r="O2290" s="37">
        <v>12.0</v>
      </c>
      <c r="P2290" s="37" t="s">
        <v>63</v>
      </c>
      <c r="Q2290" s="37" t="s">
        <v>63</v>
      </c>
      <c r="R2290" s="37" t="s">
        <v>63</v>
      </c>
      <c r="S2290" s="37" t="s">
        <v>63</v>
      </c>
      <c r="T2290" s="69" t="s">
        <v>63</v>
      </c>
      <c r="U2290" s="37" t="s">
        <v>63</v>
      </c>
      <c r="V2290" s="37" t="s">
        <v>63</v>
      </c>
      <c r="W2290" s="37" t="s">
        <v>63</v>
      </c>
      <c r="X2290" s="37" t="s">
        <v>63</v>
      </c>
      <c r="Y2290" s="53">
        <v>113.0</v>
      </c>
      <c r="Z2290" s="69" t="s">
        <v>63</v>
      </c>
      <c r="AA2290" s="73"/>
      <c r="AB2290" s="73"/>
      <c r="AC2290" s="73"/>
      <c r="AD2290" s="73"/>
      <c r="AE2290" s="73"/>
      <c r="AF2290" s="73"/>
      <c r="AG2290" s="73"/>
      <c r="AH2290" s="73"/>
      <c r="AI2290" s="73"/>
      <c r="AJ2290" s="73"/>
      <c r="AK2290" s="73"/>
    </row>
    <row r="2291">
      <c r="A2291" s="28">
        <v>2290.0</v>
      </c>
      <c r="B2291" s="29"/>
      <c r="C2291" s="29"/>
      <c r="D2291" s="40">
        <v>1.0</v>
      </c>
      <c r="E2291" s="31">
        <v>42.0</v>
      </c>
      <c r="F2291" s="42">
        <v>11.0</v>
      </c>
      <c r="G2291" s="29" t="str">
        <f t="shared" si="1"/>
        <v>42011</v>
      </c>
      <c r="H2291" s="37" t="s">
        <v>1785</v>
      </c>
      <c r="I2291" s="37" t="s">
        <v>105</v>
      </c>
      <c r="J2291" s="37" t="s">
        <v>287</v>
      </c>
      <c r="K2291" s="37" t="str">
        <f t="shared" si="39"/>
        <v>Berks, PA</v>
      </c>
      <c r="L2291" s="37">
        <v>312.0</v>
      </c>
      <c r="M2291" s="37" t="s">
        <v>63</v>
      </c>
      <c r="N2291" s="37">
        <v>184.0</v>
      </c>
      <c r="O2291" s="37">
        <v>74.0</v>
      </c>
      <c r="P2291" s="37" t="s">
        <v>63</v>
      </c>
      <c r="Q2291" s="37" t="s">
        <v>63</v>
      </c>
      <c r="R2291" s="37" t="s">
        <v>63</v>
      </c>
      <c r="S2291" s="37" t="s">
        <v>63</v>
      </c>
      <c r="T2291" s="69" t="s">
        <v>63</v>
      </c>
      <c r="U2291" s="37" t="s">
        <v>63</v>
      </c>
      <c r="V2291" s="37" t="s">
        <v>63</v>
      </c>
      <c r="W2291" s="37" t="s">
        <v>63</v>
      </c>
      <c r="X2291" s="37" t="s">
        <v>63</v>
      </c>
      <c r="Y2291" s="53">
        <v>314.0</v>
      </c>
      <c r="Z2291" s="69" t="s">
        <v>63</v>
      </c>
      <c r="AA2291" s="73"/>
      <c r="AB2291" s="73"/>
      <c r="AC2291" s="73"/>
      <c r="AD2291" s="73"/>
      <c r="AE2291" s="73"/>
      <c r="AF2291" s="73"/>
      <c r="AG2291" s="73"/>
      <c r="AH2291" s="73"/>
      <c r="AI2291" s="73"/>
      <c r="AJ2291" s="73"/>
      <c r="AK2291" s="73"/>
    </row>
    <row r="2292">
      <c r="A2292" s="28">
        <v>2291.0</v>
      </c>
      <c r="B2292" s="29"/>
      <c r="C2292" s="29"/>
      <c r="D2292" s="40">
        <v>1.0</v>
      </c>
      <c r="E2292" s="31">
        <v>42.0</v>
      </c>
      <c r="F2292" s="42">
        <v>13.0</v>
      </c>
      <c r="G2292" s="29" t="str">
        <f t="shared" si="1"/>
        <v>42013</v>
      </c>
      <c r="H2292" s="37" t="s">
        <v>1786</v>
      </c>
      <c r="I2292" s="37" t="s">
        <v>105</v>
      </c>
      <c r="J2292" s="37" t="s">
        <v>287</v>
      </c>
      <c r="K2292" s="37" t="str">
        <f t="shared" si="39"/>
        <v>Blair, PA</v>
      </c>
      <c r="L2292" s="37">
        <v>84.0</v>
      </c>
      <c r="M2292" s="37" t="s">
        <v>63</v>
      </c>
      <c r="N2292" s="37">
        <v>38.0</v>
      </c>
      <c r="O2292" s="37">
        <v>32.0</v>
      </c>
      <c r="P2292" s="37" t="s">
        <v>63</v>
      </c>
      <c r="Q2292" s="37" t="s">
        <v>63</v>
      </c>
      <c r="R2292" s="37" t="s">
        <v>63</v>
      </c>
      <c r="S2292" s="37" t="s">
        <v>63</v>
      </c>
      <c r="T2292" s="69" t="s">
        <v>63</v>
      </c>
      <c r="U2292" s="37" t="s">
        <v>63</v>
      </c>
      <c r="V2292" s="37" t="s">
        <v>63</v>
      </c>
      <c r="W2292" s="37" t="s">
        <v>63</v>
      </c>
      <c r="X2292" s="37" t="s">
        <v>63</v>
      </c>
      <c r="Y2292" s="53">
        <v>164.0</v>
      </c>
      <c r="Z2292" s="69" t="s">
        <v>63</v>
      </c>
      <c r="AA2292" s="73"/>
      <c r="AB2292" s="73"/>
      <c r="AC2292" s="73"/>
      <c r="AD2292" s="73"/>
      <c r="AE2292" s="73"/>
      <c r="AF2292" s="73"/>
      <c r="AG2292" s="73"/>
      <c r="AH2292" s="73"/>
      <c r="AI2292" s="73"/>
      <c r="AJ2292" s="73"/>
      <c r="AK2292" s="73"/>
    </row>
    <row r="2293">
      <c r="A2293" s="28">
        <v>2292.0</v>
      </c>
      <c r="B2293" s="29"/>
      <c r="C2293" s="29"/>
      <c r="D2293" s="40">
        <v>1.0</v>
      </c>
      <c r="E2293" s="31">
        <v>42.0</v>
      </c>
      <c r="F2293" s="42">
        <v>15.0</v>
      </c>
      <c r="G2293" s="29" t="str">
        <f t="shared" si="1"/>
        <v>42015</v>
      </c>
      <c r="H2293" s="37" t="s">
        <v>483</v>
      </c>
      <c r="I2293" s="37" t="s">
        <v>105</v>
      </c>
      <c r="J2293" s="37" t="s">
        <v>287</v>
      </c>
      <c r="K2293" s="37" t="str">
        <f t="shared" si="39"/>
        <v>Bradford, PA</v>
      </c>
      <c r="L2293" s="37">
        <v>90.0</v>
      </c>
      <c r="M2293" s="37" t="s">
        <v>63</v>
      </c>
      <c r="N2293" s="37">
        <v>39.0</v>
      </c>
      <c r="O2293" s="37">
        <v>18.0</v>
      </c>
      <c r="P2293" s="37" t="s">
        <v>63</v>
      </c>
      <c r="Q2293" s="37" t="s">
        <v>63</v>
      </c>
      <c r="R2293" s="37" t="s">
        <v>63</v>
      </c>
      <c r="S2293" s="37" t="s">
        <v>63</v>
      </c>
      <c r="T2293" s="69" t="s">
        <v>63</v>
      </c>
      <c r="U2293" s="37" t="s">
        <v>63</v>
      </c>
      <c r="V2293" s="37" t="s">
        <v>63</v>
      </c>
      <c r="W2293" s="37" t="s">
        <v>63</v>
      </c>
      <c r="X2293" s="37" t="s">
        <v>63</v>
      </c>
      <c r="Y2293" s="53">
        <v>84.0</v>
      </c>
      <c r="Z2293" s="69" t="s">
        <v>63</v>
      </c>
      <c r="AA2293" s="73"/>
      <c r="AB2293" s="73"/>
      <c r="AC2293" s="73"/>
      <c r="AD2293" s="73"/>
      <c r="AE2293" s="73"/>
      <c r="AF2293" s="73"/>
      <c r="AG2293" s="73"/>
      <c r="AH2293" s="73"/>
      <c r="AI2293" s="73"/>
      <c r="AJ2293" s="73"/>
      <c r="AK2293" s="73"/>
    </row>
    <row r="2294">
      <c r="A2294" s="28">
        <v>2293.0</v>
      </c>
      <c r="B2294" s="29"/>
      <c r="C2294" s="29"/>
      <c r="D2294" s="40">
        <v>1.0</v>
      </c>
      <c r="E2294" s="31">
        <v>42.0</v>
      </c>
      <c r="F2294" s="42">
        <v>17.0</v>
      </c>
      <c r="G2294" s="29" t="str">
        <f t="shared" si="1"/>
        <v>42017</v>
      </c>
      <c r="H2294" s="37" t="s">
        <v>599</v>
      </c>
      <c r="I2294" s="37" t="s">
        <v>105</v>
      </c>
      <c r="J2294" s="37" t="s">
        <v>287</v>
      </c>
      <c r="K2294" s="37" t="str">
        <f t="shared" si="39"/>
        <v>Bucks, PA</v>
      </c>
      <c r="L2294" s="37">
        <v>201.0</v>
      </c>
      <c r="M2294" s="37" t="s">
        <v>63</v>
      </c>
      <c r="N2294" s="37">
        <v>70.0</v>
      </c>
      <c r="O2294" s="37">
        <v>99.0</v>
      </c>
      <c r="P2294" s="37" t="s">
        <v>63</v>
      </c>
      <c r="Q2294" s="37" t="s">
        <v>63</v>
      </c>
      <c r="R2294" s="37" t="s">
        <v>63</v>
      </c>
      <c r="S2294" s="37" t="s">
        <v>63</v>
      </c>
      <c r="T2294" s="69" t="s">
        <v>63</v>
      </c>
      <c r="U2294" s="37" t="s">
        <v>63</v>
      </c>
      <c r="V2294" s="37" t="s">
        <v>63</v>
      </c>
      <c r="W2294" s="37" t="s">
        <v>63</v>
      </c>
      <c r="X2294" s="37" t="s">
        <v>63</v>
      </c>
      <c r="Y2294" s="53">
        <v>318.0</v>
      </c>
      <c r="Z2294" s="69" t="s">
        <v>63</v>
      </c>
      <c r="AA2294" s="73"/>
      <c r="AB2294" s="73"/>
      <c r="AC2294" s="73"/>
      <c r="AD2294" s="73"/>
      <c r="AE2294" s="73"/>
      <c r="AF2294" s="73"/>
      <c r="AG2294" s="73"/>
      <c r="AH2294" s="73"/>
      <c r="AI2294" s="73"/>
      <c r="AJ2294" s="73"/>
      <c r="AK2294" s="73"/>
    </row>
    <row r="2295">
      <c r="A2295" s="28">
        <v>2294.0</v>
      </c>
      <c r="B2295" s="29"/>
      <c r="C2295" s="29"/>
      <c r="D2295" s="40">
        <v>1.0</v>
      </c>
      <c r="E2295" s="31">
        <v>42.0</v>
      </c>
      <c r="F2295" s="42">
        <v>19.0</v>
      </c>
      <c r="G2295" s="29" t="str">
        <f t="shared" si="1"/>
        <v>42019</v>
      </c>
      <c r="H2295" s="37" t="s">
        <v>87</v>
      </c>
      <c r="I2295" s="37" t="s">
        <v>105</v>
      </c>
      <c r="J2295" s="37" t="s">
        <v>287</v>
      </c>
      <c r="K2295" s="37" t="str">
        <f t="shared" si="39"/>
        <v>Butler, PA</v>
      </c>
      <c r="L2295" s="37">
        <v>86.0</v>
      </c>
      <c r="M2295" s="37" t="s">
        <v>63</v>
      </c>
      <c r="N2295" s="37">
        <v>28.0</v>
      </c>
      <c r="O2295" s="37">
        <v>48.0</v>
      </c>
      <c r="P2295" s="37" t="s">
        <v>63</v>
      </c>
      <c r="Q2295" s="37" t="s">
        <v>63</v>
      </c>
      <c r="R2295" s="37" t="s">
        <v>63</v>
      </c>
      <c r="S2295" s="37" t="s">
        <v>63</v>
      </c>
      <c r="T2295" s="69" t="s">
        <v>63</v>
      </c>
      <c r="U2295" s="37" t="s">
        <v>63</v>
      </c>
      <c r="V2295" s="37" t="s">
        <v>63</v>
      </c>
      <c r="W2295" s="37" t="s">
        <v>63</v>
      </c>
      <c r="X2295" s="37" t="s">
        <v>63</v>
      </c>
      <c r="Y2295" s="53">
        <v>200.0</v>
      </c>
      <c r="Z2295" s="69" t="s">
        <v>63</v>
      </c>
      <c r="AA2295" s="73"/>
      <c r="AB2295" s="73"/>
      <c r="AC2295" s="73"/>
      <c r="AD2295" s="73"/>
      <c r="AE2295" s="73"/>
      <c r="AF2295" s="73"/>
      <c r="AG2295" s="73"/>
      <c r="AH2295" s="73"/>
      <c r="AI2295" s="73"/>
      <c r="AJ2295" s="73"/>
      <c r="AK2295" s="73"/>
    </row>
    <row r="2296">
      <c r="A2296" s="28">
        <v>2295.0</v>
      </c>
      <c r="B2296" s="29"/>
      <c r="C2296" s="29"/>
      <c r="D2296" s="40">
        <v>1.0</v>
      </c>
      <c r="E2296" s="31">
        <v>42.0</v>
      </c>
      <c r="F2296" s="42">
        <v>21.0</v>
      </c>
      <c r="G2296" s="29" t="str">
        <f t="shared" si="1"/>
        <v>42021</v>
      </c>
      <c r="H2296" s="37" t="s">
        <v>1787</v>
      </c>
      <c r="I2296" s="37" t="s">
        <v>105</v>
      </c>
      <c r="J2296" s="37" t="s">
        <v>287</v>
      </c>
      <c r="K2296" s="37" t="str">
        <f t="shared" si="39"/>
        <v>Cambria, PA</v>
      </c>
      <c r="L2296" s="37">
        <v>81.0</v>
      </c>
      <c r="M2296" s="37" t="s">
        <v>63</v>
      </c>
      <c r="N2296" s="37">
        <v>54.0</v>
      </c>
      <c r="O2296" s="37">
        <v>18.0</v>
      </c>
      <c r="P2296" s="37" t="s">
        <v>63</v>
      </c>
      <c r="Q2296" s="37" t="s">
        <v>63</v>
      </c>
      <c r="R2296" s="37" t="s">
        <v>63</v>
      </c>
      <c r="S2296" s="37" t="s">
        <v>63</v>
      </c>
      <c r="T2296" s="69" t="s">
        <v>63</v>
      </c>
      <c r="U2296" s="37" t="s">
        <v>63</v>
      </c>
      <c r="V2296" s="37" t="s">
        <v>63</v>
      </c>
      <c r="W2296" s="37" t="s">
        <v>63</v>
      </c>
      <c r="X2296" s="37" t="s">
        <v>63</v>
      </c>
      <c r="Y2296" s="53">
        <v>180.0</v>
      </c>
      <c r="Z2296" s="69" t="s">
        <v>63</v>
      </c>
      <c r="AA2296" s="73"/>
      <c r="AB2296" s="73"/>
      <c r="AC2296" s="73"/>
      <c r="AD2296" s="73"/>
      <c r="AE2296" s="73"/>
      <c r="AF2296" s="73"/>
      <c r="AG2296" s="73"/>
      <c r="AH2296" s="73"/>
      <c r="AI2296" s="73"/>
      <c r="AJ2296" s="73"/>
      <c r="AK2296" s="73"/>
    </row>
    <row r="2297">
      <c r="A2297" s="28">
        <v>2296.0</v>
      </c>
      <c r="B2297" s="29"/>
      <c r="C2297" s="29"/>
      <c r="D2297" s="40">
        <v>1.0</v>
      </c>
      <c r="E2297" s="31">
        <v>42.0</v>
      </c>
      <c r="F2297" s="42">
        <v>23.0</v>
      </c>
      <c r="G2297" s="29" t="str">
        <f t="shared" si="1"/>
        <v>42023</v>
      </c>
      <c r="H2297" s="37" t="s">
        <v>1149</v>
      </c>
      <c r="I2297" s="37" t="s">
        <v>105</v>
      </c>
      <c r="J2297" s="37" t="s">
        <v>287</v>
      </c>
      <c r="K2297" s="37" t="str">
        <f t="shared" si="39"/>
        <v>Cameron, PA</v>
      </c>
      <c r="L2297" s="37">
        <v>13.0</v>
      </c>
      <c r="M2297" s="37" t="s">
        <v>63</v>
      </c>
      <c r="N2297" s="37" t="s">
        <v>2509</v>
      </c>
      <c r="O2297" s="37" t="s">
        <v>2509</v>
      </c>
      <c r="P2297" s="37" t="s">
        <v>63</v>
      </c>
      <c r="Q2297" s="37" t="s">
        <v>63</v>
      </c>
      <c r="R2297" s="37" t="s">
        <v>63</v>
      </c>
      <c r="S2297" s="37" t="s">
        <v>63</v>
      </c>
      <c r="T2297" s="69" t="s">
        <v>63</v>
      </c>
      <c r="U2297" s="37" t="s">
        <v>63</v>
      </c>
      <c r="V2297" s="37" t="s">
        <v>63</v>
      </c>
      <c r="W2297" s="37" t="s">
        <v>63</v>
      </c>
      <c r="X2297" s="37" t="s">
        <v>63</v>
      </c>
      <c r="Y2297" s="53">
        <v>8.0</v>
      </c>
      <c r="Z2297" s="69" t="s">
        <v>63</v>
      </c>
      <c r="AA2297" s="73"/>
      <c r="AB2297" s="73"/>
      <c r="AC2297" s="73"/>
      <c r="AD2297" s="73"/>
      <c r="AE2297" s="73"/>
      <c r="AF2297" s="73"/>
      <c r="AG2297" s="73"/>
      <c r="AH2297" s="73"/>
      <c r="AI2297" s="73"/>
      <c r="AJ2297" s="73"/>
      <c r="AK2297" s="73"/>
    </row>
    <row r="2298">
      <c r="A2298" s="28">
        <v>2297.0</v>
      </c>
      <c r="B2298" s="29"/>
      <c r="C2298" s="29"/>
      <c r="D2298" s="40">
        <v>1.0</v>
      </c>
      <c r="E2298" s="31">
        <v>42.0</v>
      </c>
      <c r="F2298" s="42">
        <v>25.0</v>
      </c>
      <c r="G2298" s="29" t="str">
        <f t="shared" si="1"/>
        <v>42025</v>
      </c>
      <c r="H2298" s="37" t="s">
        <v>1434</v>
      </c>
      <c r="I2298" s="37" t="s">
        <v>105</v>
      </c>
      <c r="J2298" s="37" t="s">
        <v>287</v>
      </c>
      <c r="K2298" s="37" t="str">
        <f t="shared" si="39"/>
        <v>Carbon, PA</v>
      </c>
      <c r="L2298" s="37">
        <v>125.0</v>
      </c>
      <c r="M2298" s="37" t="s">
        <v>63</v>
      </c>
      <c r="N2298" s="37">
        <v>49.0</v>
      </c>
      <c r="O2298" s="37">
        <v>59.0</v>
      </c>
      <c r="P2298" s="37" t="s">
        <v>63</v>
      </c>
      <c r="Q2298" s="37" t="s">
        <v>63</v>
      </c>
      <c r="R2298" s="37" t="s">
        <v>63</v>
      </c>
      <c r="S2298" s="37" t="s">
        <v>63</v>
      </c>
      <c r="T2298" s="69" t="s">
        <v>63</v>
      </c>
      <c r="U2298" s="37" t="s">
        <v>63</v>
      </c>
      <c r="V2298" s="37" t="s">
        <v>63</v>
      </c>
      <c r="W2298" s="37" t="s">
        <v>63</v>
      </c>
      <c r="X2298" s="37" t="s">
        <v>63</v>
      </c>
      <c r="Y2298" s="53">
        <v>65.0</v>
      </c>
      <c r="Z2298" s="69" t="s">
        <v>63</v>
      </c>
      <c r="AA2298" s="73"/>
      <c r="AB2298" s="73"/>
      <c r="AC2298" s="73"/>
      <c r="AD2298" s="73"/>
      <c r="AE2298" s="73"/>
      <c r="AF2298" s="73"/>
      <c r="AG2298" s="73"/>
      <c r="AH2298" s="73"/>
      <c r="AI2298" s="73"/>
      <c r="AJ2298" s="73"/>
      <c r="AK2298" s="73"/>
    </row>
    <row r="2299">
      <c r="A2299" s="28">
        <v>2298.0</v>
      </c>
      <c r="B2299" s="29"/>
      <c r="C2299" s="29"/>
      <c r="D2299" s="40">
        <v>1.0</v>
      </c>
      <c r="E2299" s="31">
        <v>42.0</v>
      </c>
      <c r="F2299" s="42">
        <v>27.0</v>
      </c>
      <c r="G2299" s="29" t="str">
        <f t="shared" si="1"/>
        <v>42027</v>
      </c>
      <c r="H2299" s="37" t="s">
        <v>1788</v>
      </c>
      <c r="I2299" s="37" t="s">
        <v>105</v>
      </c>
      <c r="J2299" s="37" t="s">
        <v>287</v>
      </c>
      <c r="K2299" s="37" t="str">
        <f t="shared" si="39"/>
        <v>Centre, PA</v>
      </c>
      <c r="L2299" s="37">
        <v>66.0</v>
      </c>
      <c r="M2299" s="37" t="s">
        <v>63</v>
      </c>
      <c r="N2299" s="37">
        <v>33.0</v>
      </c>
      <c r="O2299" s="37">
        <v>16.0</v>
      </c>
      <c r="P2299" s="37" t="s">
        <v>63</v>
      </c>
      <c r="Q2299" s="37" t="s">
        <v>63</v>
      </c>
      <c r="R2299" s="37" t="s">
        <v>63</v>
      </c>
      <c r="S2299" s="37" t="s">
        <v>63</v>
      </c>
      <c r="T2299" s="69" t="s">
        <v>63</v>
      </c>
      <c r="U2299" s="37" t="s">
        <v>63</v>
      </c>
      <c r="V2299" s="37" t="s">
        <v>63</v>
      </c>
      <c r="W2299" s="37" t="s">
        <v>63</v>
      </c>
      <c r="X2299" s="37" t="s">
        <v>63</v>
      </c>
      <c r="Y2299" s="53">
        <v>123.0</v>
      </c>
      <c r="Z2299" s="69" t="s">
        <v>63</v>
      </c>
      <c r="AA2299" s="73"/>
      <c r="AB2299" s="73"/>
      <c r="AC2299" s="73"/>
      <c r="AD2299" s="73"/>
      <c r="AE2299" s="73"/>
      <c r="AF2299" s="73"/>
      <c r="AG2299" s="73"/>
      <c r="AH2299" s="73"/>
      <c r="AI2299" s="73"/>
      <c r="AJ2299" s="73"/>
      <c r="AK2299" s="73"/>
    </row>
    <row r="2300">
      <c r="A2300" s="28">
        <v>2299.0</v>
      </c>
      <c r="B2300" s="29"/>
      <c r="C2300" s="29"/>
      <c r="D2300" s="40">
        <v>1.0</v>
      </c>
      <c r="E2300" s="31">
        <v>42.0</v>
      </c>
      <c r="F2300" s="42">
        <v>29.0</v>
      </c>
      <c r="G2300" s="29" t="str">
        <f t="shared" si="1"/>
        <v>42029</v>
      </c>
      <c r="H2300" s="37" t="s">
        <v>1789</v>
      </c>
      <c r="I2300" s="37" t="s">
        <v>105</v>
      </c>
      <c r="J2300" s="37" t="s">
        <v>287</v>
      </c>
      <c r="K2300" s="37" t="str">
        <f t="shared" si="39"/>
        <v>Chester, PA</v>
      </c>
      <c r="L2300" s="37">
        <v>49.0</v>
      </c>
      <c r="M2300" s="37" t="s">
        <v>63</v>
      </c>
      <c r="N2300" s="37">
        <v>32.0</v>
      </c>
      <c r="O2300" s="37" t="s">
        <v>2509</v>
      </c>
      <c r="P2300" s="37" t="s">
        <v>63</v>
      </c>
      <c r="Q2300" s="37" t="s">
        <v>63</v>
      </c>
      <c r="R2300" s="37" t="s">
        <v>63</v>
      </c>
      <c r="S2300" s="37" t="s">
        <v>63</v>
      </c>
      <c r="T2300" s="69" t="s">
        <v>63</v>
      </c>
      <c r="U2300" s="37" t="s">
        <v>63</v>
      </c>
      <c r="V2300" s="37" t="s">
        <v>63</v>
      </c>
      <c r="W2300" s="37" t="s">
        <v>63</v>
      </c>
      <c r="X2300" s="37" t="s">
        <v>63</v>
      </c>
      <c r="Y2300" s="53">
        <v>338.0</v>
      </c>
      <c r="Z2300" s="69" t="s">
        <v>63</v>
      </c>
      <c r="AA2300" s="73"/>
      <c r="AB2300" s="73"/>
      <c r="AC2300" s="73"/>
      <c r="AD2300" s="73"/>
      <c r="AE2300" s="73"/>
      <c r="AF2300" s="73"/>
      <c r="AG2300" s="73"/>
      <c r="AH2300" s="73"/>
      <c r="AI2300" s="73"/>
      <c r="AJ2300" s="73"/>
      <c r="AK2300" s="73"/>
    </row>
    <row r="2301">
      <c r="A2301" s="28">
        <v>2300.0</v>
      </c>
      <c r="B2301" s="29"/>
      <c r="C2301" s="29"/>
      <c r="D2301" s="40">
        <v>1.0</v>
      </c>
      <c r="E2301" s="31">
        <v>42.0</v>
      </c>
      <c r="F2301" s="42">
        <v>31.0</v>
      </c>
      <c r="G2301" s="29" t="str">
        <f t="shared" si="1"/>
        <v>42031</v>
      </c>
      <c r="H2301" s="37" t="s">
        <v>1790</v>
      </c>
      <c r="I2301" s="37" t="s">
        <v>105</v>
      </c>
      <c r="J2301" s="37" t="s">
        <v>287</v>
      </c>
      <c r="K2301" s="37" t="str">
        <f t="shared" si="39"/>
        <v>Clarion, PA</v>
      </c>
      <c r="L2301" s="37">
        <v>36.0</v>
      </c>
      <c r="M2301" s="37" t="s">
        <v>63</v>
      </c>
      <c r="N2301" s="37">
        <v>21.0</v>
      </c>
      <c r="O2301" s="37" t="s">
        <v>2509</v>
      </c>
      <c r="P2301" s="37" t="s">
        <v>63</v>
      </c>
      <c r="Q2301" s="37" t="s">
        <v>63</v>
      </c>
      <c r="R2301" s="37" t="s">
        <v>63</v>
      </c>
      <c r="S2301" s="37" t="s">
        <v>63</v>
      </c>
      <c r="T2301" s="69" t="s">
        <v>63</v>
      </c>
      <c r="U2301" s="37" t="s">
        <v>63</v>
      </c>
      <c r="V2301" s="37" t="s">
        <v>63</v>
      </c>
      <c r="W2301" s="37" t="s">
        <v>63</v>
      </c>
      <c r="X2301" s="37" t="s">
        <v>63</v>
      </c>
      <c r="Y2301" s="53">
        <v>72.0</v>
      </c>
      <c r="Z2301" s="69" t="s">
        <v>63</v>
      </c>
      <c r="AA2301" s="73"/>
      <c r="AB2301" s="73"/>
      <c r="AC2301" s="73"/>
      <c r="AD2301" s="73"/>
      <c r="AE2301" s="73"/>
      <c r="AF2301" s="73"/>
      <c r="AG2301" s="73"/>
      <c r="AH2301" s="73"/>
      <c r="AI2301" s="73"/>
      <c r="AJ2301" s="73"/>
      <c r="AK2301" s="73"/>
    </row>
    <row r="2302">
      <c r="A2302" s="28">
        <v>2301.0</v>
      </c>
      <c r="B2302" s="29"/>
      <c r="C2302" s="29"/>
      <c r="D2302" s="40">
        <v>1.0</v>
      </c>
      <c r="E2302" s="31">
        <v>42.0</v>
      </c>
      <c r="F2302" s="42">
        <v>33.0</v>
      </c>
      <c r="G2302" s="29" t="str">
        <f t="shared" si="1"/>
        <v>42033</v>
      </c>
      <c r="H2302" s="37" t="s">
        <v>1791</v>
      </c>
      <c r="I2302" s="37" t="s">
        <v>105</v>
      </c>
      <c r="J2302" s="37" t="s">
        <v>287</v>
      </c>
      <c r="K2302" s="37" t="str">
        <f t="shared" si="39"/>
        <v>Clearfield, PA</v>
      </c>
      <c r="L2302" s="37">
        <v>85.0</v>
      </c>
      <c r="M2302" s="37" t="s">
        <v>63</v>
      </c>
      <c r="N2302" s="37">
        <v>53.0</v>
      </c>
      <c r="O2302" s="37">
        <v>22.0</v>
      </c>
      <c r="P2302" s="37" t="s">
        <v>63</v>
      </c>
      <c r="Q2302" s="37" t="s">
        <v>63</v>
      </c>
      <c r="R2302" s="37" t="s">
        <v>63</v>
      </c>
      <c r="S2302" s="37" t="s">
        <v>63</v>
      </c>
      <c r="T2302" s="69" t="s">
        <v>63</v>
      </c>
      <c r="U2302" s="37" t="s">
        <v>63</v>
      </c>
      <c r="V2302" s="37" t="s">
        <v>63</v>
      </c>
      <c r="W2302" s="37" t="s">
        <v>63</v>
      </c>
      <c r="X2302" s="37" t="s">
        <v>63</v>
      </c>
      <c r="Y2302" s="53">
        <v>121.0</v>
      </c>
      <c r="Z2302" s="69" t="s">
        <v>63</v>
      </c>
      <c r="AA2302" s="73"/>
      <c r="AB2302" s="73"/>
      <c r="AC2302" s="73"/>
      <c r="AD2302" s="73"/>
      <c r="AE2302" s="73"/>
      <c r="AF2302" s="73"/>
      <c r="AG2302" s="73"/>
      <c r="AH2302" s="73"/>
      <c r="AI2302" s="73"/>
      <c r="AJ2302" s="73"/>
      <c r="AK2302" s="73"/>
    </row>
    <row r="2303">
      <c r="A2303" s="28">
        <v>2302.0</v>
      </c>
      <c r="B2303" s="29"/>
      <c r="C2303" s="29"/>
      <c r="D2303" s="40">
        <v>1.0</v>
      </c>
      <c r="E2303" s="31">
        <v>42.0</v>
      </c>
      <c r="F2303" s="42">
        <v>35.0</v>
      </c>
      <c r="G2303" s="29" t="str">
        <f t="shared" si="1"/>
        <v>42035</v>
      </c>
      <c r="H2303" s="37" t="s">
        <v>711</v>
      </c>
      <c r="I2303" s="37" t="s">
        <v>105</v>
      </c>
      <c r="J2303" s="37" t="s">
        <v>287</v>
      </c>
      <c r="K2303" s="37" t="str">
        <f t="shared" si="39"/>
        <v>Clinton, PA</v>
      </c>
      <c r="L2303" s="37">
        <v>19.0</v>
      </c>
      <c r="M2303" s="37" t="s">
        <v>63</v>
      </c>
      <c r="N2303" s="37">
        <v>12.0</v>
      </c>
      <c r="O2303" s="37" t="s">
        <v>2509</v>
      </c>
      <c r="P2303" s="37" t="s">
        <v>63</v>
      </c>
      <c r="Q2303" s="37" t="s">
        <v>63</v>
      </c>
      <c r="R2303" s="37" t="s">
        <v>63</v>
      </c>
      <c r="S2303" s="37" t="s">
        <v>63</v>
      </c>
      <c r="T2303" s="69" t="s">
        <v>63</v>
      </c>
      <c r="U2303" s="37" t="s">
        <v>63</v>
      </c>
      <c r="V2303" s="37" t="s">
        <v>63</v>
      </c>
      <c r="W2303" s="37" t="s">
        <v>63</v>
      </c>
      <c r="X2303" s="37" t="s">
        <v>63</v>
      </c>
      <c r="Y2303" s="53">
        <v>48.0</v>
      </c>
      <c r="Z2303" s="69" t="s">
        <v>63</v>
      </c>
      <c r="AA2303" s="73"/>
      <c r="AB2303" s="73"/>
      <c r="AC2303" s="73"/>
      <c r="AD2303" s="73"/>
      <c r="AE2303" s="73"/>
      <c r="AF2303" s="73"/>
      <c r="AG2303" s="73"/>
      <c r="AH2303" s="73"/>
      <c r="AI2303" s="73"/>
      <c r="AJ2303" s="73"/>
      <c r="AK2303" s="73"/>
    </row>
    <row r="2304">
      <c r="A2304" s="28">
        <v>2303.0</v>
      </c>
      <c r="B2304" s="29"/>
      <c r="C2304" s="29"/>
      <c r="D2304" s="40">
        <v>1.0</v>
      </c>
      <c r="E2304" s="31">
        <v>42.0</v>
      </c>
      <c r="F2304" s="42">
        <v>37.0</v>
      </c>
      <c r="G2304" s="29" t="str">
        <f t="shared" si="1"/>
        <v>42037</v>
      </c>
      <c r="H2304" s="37" t="s">
        <v>258</v>
      </c>
      <c r="I2304" s="37" t="s">
        <v>105</v>
      </c>
      <c r="J2304" s="37" t="s">
        <v>287</v>
      </c>
      <c r="K2304" s="37" t="str">
        <f t="shared" si="39"/>
        <v>Columbia, PA</v>
      </c>
      <c r="L2304" s="37">
        <v>93.0</v>
      </c>
      <c r="M2304" s="37" t="s">
        <v>63</v>
      </c>
      <c r="N2304" s="37">
        <v>70.0</v>
      </c>
      <c r="O2304" s="37">
        <v>13.0</v>
      </c>
      <c r="P2304" s="37" t="s">
        <v>63</v>
      </c>
      <c r="Q2304" s="37" t="s">
        <v>63</v>
      </c>
      <c r="R2304" s="37" t="s">
        <v>63</v>
      </c>
      <c r="S2304" s="37" t="s">
        <v>63</v>
      </c>
      <c r="T2304" s="69" t="s">
        <v>63</v>
      </c>
      <c r="U2304" s="37" t="s">
        <v>63</v>
      </c>
      <c r="V2304" s="37" t="s">
        <v>63</v>
      </c>
      <c r="W2304" s="37" t="s">
        <v>63</v>
      </c>
      <c r="X2304" s="37" t="s">
        <v>63</v>
      </c>
      <c r="Y2304" s="53">
        <v>81.0</v>
      </c>
      <c r="Z2304" s="69" t="s">
        <v>63</v>
      </c>
      <c r="AA2304" s="73"/>
      <c r="AB2304" s="73"/>
      <c r="AC2304" s="73"/>
      <c r="AD2304" s="73"/>
      <c r="AE2304" s="73"/>
      <c r="AF2304" s="73"/>
      <c r="AG2304" s="73"/>
      <c r="AH2304" s="73"/>
      <c r="AI2304" s="73"/>
      <c r="AJ2304" s="73"/>
      <c r="AK2304" s="73"/>
    </row>
    <row r="2305">
      <c r="A2305" s="28">
        <v>2304.0</v>
      </c>
      <c r="B2305" s="29"/>
      <c r="C2305" s="29"/>
      <c r="D2305" s="40">
        <v>1.0</v>
      </c>
      <c r="E2305" s="31">
        <v>42.0</v>
      </c>
      <c r="F2305" s="42">
        <v>39.0</v>
      </c>
      <c r="G2305" s="29" t="str">
        <f t="shared" si="1"/>
        <v>42039</v>
      </c>
      <c r="H2305" s="37" t="s">
        <v>263</v>
      </c>
      <c r="I2305" s="37" t="s">
        <v>105</v>
      </c>
      <c r="J2305" s="37" t="s">
        <v>287</v>
      </c>
      <c r="K2305" s="37" t="str">
        <f t="shared" si="39"/>
        <v>Crawford, PA</v>
      </c>
      <c r="L2305" s="37">
        <v>56.0</v>
      </c>
      <c r="M2305" s="37" t="s">
        <v>63</v>
      </c>
      <c r="N2305" s="37">
        <v>23.0</v>
      </c>
      <c r="O2305" s="37">
        <v>24.0</v>
      </c>
      <c r="P2305" s="37" t="s">
        <v>63</v>
      </c>
      <c r="Q2305" s="37" t="s">
        <v>63</v>
      </c>
      <c r="R2305" s="37" t="s">
        <v>63</v>
      </c>
      <c r="S2305" s="37" t="s">
        <v>63</v>
      </c>
      <c r="T2305" s="69" t="s">
        <v>63</v>
      </c>
      <c r="U2305" s="37" t="s">
        <v>63</v>
      </c>
      <c r="V2305" s="37" t="s">
        <v>63</v>
      </c>
      <c r="W2305" s="37" t="s">
        <v>63</v>
      </c>
      <c r="X2305" s="37" t="s">
        <v>63</v>
      </c>
      <c r="Y2305" s="53">
        <v>118.0</v>
      </c>
      <c r="Z2305" s="69" t="s">
        <v>63</v>
      </c>
      <c r="AA2305" s="73"/>
      <c r="AB2305" s="73"/>
      <c r="AC2305" s="73"/>
      <c r="AD2305" s="73"/>
      <c r="AE2305" s="73"/>
      <c r="AF2305" s="73"/>
      <c r="AG2305" s="73"/>
      <c r="AH2305" s="73"/>
      <c r="AI2305" s="73"/>
      <c r="AJ2305" s="73"/>
      <c r="AK2305" s="73"/>
    </row>
    <row r="2306">
      <c r="A2306" s="28">
        <v>2305.0</v>
      </c>
      <c r="B2306" s="29"/>
      <c r="C2306" s="29"/>
      <c r="D2306" s="40">
        <v>1.0</v>
      </c>
      <c r="E2306" s="31">
        <v>42.0</v>
      </c>
      <c r="F2306" s="42">
        <v>41.0</v>
      </c>
      <c r="G2306" s="29" t="str">
        <f t="shared" si="1"/>
        <v>42041</v>
      </c>
      <c r="H2306" s="37" t="s">
        <v>713</v>
      </c>
      <c r="I2306" s="37" t="s">
        <v>105</v>
      </c>
      <c r="J2306" s="37" t="s">
        <v>287</v>
      </c>
      <c r="K2306" s="37" t="str">
        <f t="shared" si="39"/>
        <v>Cumberland, PA</v>
      </c>
      <c r="L2306" s="37">
        <v>179.0</v>
      </c>
      <c r="M2306" s="37" t="s">
        <v>63</v>
      </c>
      <c r="N2306" s="37">
        <v>85.0</v>
      </c>
      <c r="O2306" s="37">
        <v>65.0</v>
      </c>
      <c r="P2306" s="37" t="s">
        <v>63</v>
      </c>
      <c r="Q2306" s="37" t="s">
        <v>63</v>
      </c>
      <c r="R2306" s="37" t="s">
        <v>63</v>
      </c>
      <c r="S2306" s="37" t="s">
        <v>63</v>
      </c>
      <c r="T2306" s="69" t="s">
        <v>63</v>
      </c>
      <c r="U2306" s="37" t="s">
        <v>63</v>
      </c>
      <c r="V2306" s="37" t="s">
        <v>63</v>
      </c>
      <c r="W2306" s="37" t="s">
        <v>63</v>
      </c>
      <c r="X2306" s="37" t="s">
        <v>63</v>
      </c>
      <c r="Y2306" s="53">
        <v>214.0</v>
      </c>
      <c r="Z2306" s="69" t="s">
        <v>63</v>
      </c>
      <c r="AA2306" s="73"/>
      <c r="AB2306" s="73"/>
      <c r="AC2306" s="73"/>
      <c r="AD2306" s="73"/>
      <c r="AE2306" s="73"/>
      <c r="AF2306" s="73"/>
      <c r="AG2306" s="73"/>
      <c r="AH2306" s="73"/>
      <c r="AI2306" s="73"/>
      <c r="AJ2306" s="73"/>
      <c r="AK2306" s="73"/>
    </row>
    <row r="2307">
      <c r="A2307" s="28">
        <v>2306.0</v>
      </c>
      <c r="B2307" s="29"/>
      <c r="C2307" s="29"/>
      <c r="D2307" s="40">
        <v>1.0</v>
      </c>
      <c r="E2307" s="31">
        <v>42.0</v>
      </c>
      <c r="F2307" s="42">
        <v>43.0</v>
      </c>
      <c r="G2307" s="29" t="str">
        <f t="shared" si="1"/>
        <v>42043</v>
      </c>
      <c r="H2307" s="37" t="s">
        <v>1792</v>
      </c>
      <c r="I2307" s="37" t="s">
        <v>105</v>
      </c>
      <c r="J2307" s="37" t="s">
        <v>287</v>
      </c>
      <c r="K2307" s="37" t="str">
        <f t="shared" si="39"/>
        <v>Dauphin, PA</v>
      </c>
      <c r="L2307" s="37">
        <v>267.0</v>
      </c>
      <c r="M2307" s="37" t="s">
        <v>63</v>
      </c>
      <c r="N2307" s="37">
        <v>139.0</v>
      </c>
      <c r="O2307" s="37">
        <v>84.0</v>
      </c>
      <c r="P2307" s="37" t="s">
        <v>63</v>
      </c>
      <c r="Q2307" s="37" t="s">
        <v>63</v>
      </c>
      <c r="R2307" s="37" t="s">
        <v>63</v>
      </c>
      <c r="S2307" s="37" t="s">
        <v>63</v>
      </c>
      <c r="T2307" s="69" t="s">
        <v>63</v>
      </c>
      <c r="U2307" s="37" t="s">
        <v>63</v>
      </c>
      <c r="V2307" s="37" t="s">
        <v>63</v>
      </c>
      <c r="W2307" s="37" t="s">
        <v>63</v>
      </c>
      <c r="X2307" s="37" t="s">
        <v>63</v>
      </c>
      <c r="Y2307" s="53">
        <v>278.0</v>
      </c>
      <c r="Z2307" s="69" t="s">
        <v>63</v>
      </c>
      <c r="AA2307" s="73"/>
      <c r="AB2307" s="73"/>
      <c r="AC2307" s="73"/>
      <c r="AD2307" s="73"/>
      <c r="AE2307" s="73"/>
      <c r="AF2307" s="73"/>
      <c r="AG2307" s="73"/>
      <c r="AH2307" s="73"/>
      <c r="AI2307" s="73"/>
      <c r="AJ2307" s="73"/>
      <c r="AK2307" s="73"/>
    </row>
    <row r="2308">
      <c r="A2308" s="28">
        <v>2307.0</v>
      </c>
      <c r="B2308" s="29"/>
      <c r="C2308" s="29"/>
      <c r="D2308" s="40">
        <v>1.0</v>
      </c>
      <c r="E2308" s="31">
        <v>42.0</v>
      </c>
      <c r="F2308" s="42">
        <v>45.0</v>
      </c>
      <c r="G2308" s="29" t="str">
        <f t="shared" si="1"/>
        <v>42045</v>
      </c>
      <c r="H2308" s="37" t="s">
        <v>40</v>
      </c>
      <c r="I2308" s="37" t="s">
        <v>105</v>
      </c>
      <c r="J2308" s="37" t="s">
        <v>287</v>
      </c>
      <c r="K2308" s="37" t="str">
        <f t="shared" si="39"/>
        <v>Delaware, PA</v>
      </c>
      <c r="L2308" s="37">
        <v>283.0</v>
      </c>
      <c r="M2308" s="37" t="s">
        <v>63</v>
      </c>
      <c r="N2308" s="37">
        <v>173.0</v>
      </c>
      <c r="O2308" s="37">
        <v>68.0</v>
      </c>
      <c r="P2308" s="37" t="s">
        <v>63</v>
      </c>
      <c r="Q2308" s="37" t="s">
        <v>63</v>
      </c>
      <c r="R2308" s="37" t="s">
        <v>63</v>
      </c>
      <c r="S2308" s="37" t="s">
        <v>63</v>
      </c>
      <c r="T2308" s="69" t="s">
        <v>63</v>
      </c>
      <c r="U2308" s="37" t="s">
        <v>63</v>
      </c>
      <c r="V2308" s="37" t="s">
        <v>63</v>
      </c>
      <c r="W2308" s="37" t="s">
        <v>63</v>
      </c>
      <c r="X2308" s="37" t="s">
        <v>63</v>
      </c>
      <c r="Y2308" s="53">
        <v>315.0</v>
      </c>
      <c r="Z2308" s="69" t="s">
        <v>63</v>
      </c>
      <c r="AA2308" s="73"/>
      <c r="AB2308" s="73"/>
      <c r="AC2308" s="73"/>
      <c r="AD2308" s="73"/>
      <c r="AE2308" s="73"/>
      <c r="AF2308" s="73"/>
      <c r="AG2308" s="73"/>
      <c r="AH2308" s="73"/>
      <c r="AI2308" s="73"/>
      <c r="AJ2308" s="73"/>
      <c r="AK2308" s="73"/>
    </row>
    <row r="2309">
      <c r="A2309" s="28">
        <v>2308.0</v>
      </c>
      <c r="B2309" s="29"/>
      <c r="C2309" s="29"/>
      <c r="D2309" s="40">
        <v>1.0</v>
      </c>
      <c r="E2309" s="31">
        <v>42.0</v>
      </c>
      <c r="F2309" s="42">
        <v>47.0</v>
      </c>
      <c r="G2309" s="29" t="str">
        <f t="shared" si="1"/>
        <v>42047</v>
      </c>
      <c r="H2309" s="37" t="s">
        <v>968</v>
      </c>
      <c r="I2309" s="37" t="s">
        <v>105</v>
      </c>
      <c r="J2309" s="37" t="s">
        <v>287</v>
      </c>
      <c r="K2309" s="37" t="str">
        <f t="shared" si="39"/>
        <v>Elk, PA</v>
      </c>
      <c r="L2309" s="37">
        <v>24.0</v>
      </c>
      <c r="M2309" s="37" t="s">
        <v>63</v>
      </c>
      <c r="N2309" s="37">
        <v>11.0</v>
      </c>
      <c r="O2309" s="37" t="s">
        <v>2509</v>
      </c>
      <c r="P2309" s="37" t="s">
        <v>63</v>
      </c>
      <c r="Q2309" s="37" t="s">
        <v>63</v>
      </c>
      <c r="R2309" s="37" t="s">
        <v>63</v>
      </c>
      <c r="S2309" s="37" t="s">
        <v>63</v>
      </c>
      <c r="T2309" s="69" t="s">
        <v>63</v>
      </c>
      <c r="U2309" s="37" t="s">
        <v>63</v>
      </c>
      <c r="V2309" s="37" t="s">
        <v>63</v>
      </c>
      <c r="W2309" s="37" t="s">
        <v>63</v>
      </c>
      <c r="X2309" s="37" t="s">
        <v>63</v>
      </c>
      <c r="Y2309" s="53">
        <v>35.0</v>
      </c>
      <c r="Z2309" s="69" t="s">
        <v>63</v>
      </c>
      <c r="AA2309" s="73"/>
      <c r="AB2309" s="73"/>
      <c r="AC2309" s="73"/>
      <c r="AD2309" s="73"/>
      <c r="AE2309" s="73"/>
      <c r="AF2309" s="73"/>
      <c r="AG2309" s="73"/>
      <c r="AH2309" s="73"/>
      <c r="AI2309" s="73"/>
      <c r="AJ2309" s="73"/>
      <c r="AK2309" s="73"/>
    </row>
    <row r="2310">
      <c r="A2310" s="28">
        <v>2309.0</v>
      </c>
      <c r="B2310" s="29"/>
      <c r="C2310" s="29"/>
      <c r="D2310" s="40">
        <v>1.0</v>
      </c>
      <c r="E2310" s="31">
        <v>42.0</v>
      </c>
      <c r="F2310" s="42">
        <v>49.0</v>
      </c>
      <c r="G2310" s="29" t="str">
        <f t="shared" si="1"/>
        <v>42049</v>
      </c>
      <c r="H2310" s="37" t="s">
        <v>464</v>
      </c>
      <c r="I2310" s="37" t="s">
        <v>105</v>
      </c>
      <c r="J2310" s="37" t="s">
        <v>287</v>
      </c>
      <c r="K2310" s="37" t="str">
        <f t="shared" si="39"/>
        <v>Erie, PA</v>
      </c>
      <c r="L2310" s="37">
        <v>393.0</v>
      </c>
      <c r="M2310" s="37" t="s">
        <v>63</v>
      </c>
      <c r="N2310" s="37">
        <v>219.0</v>
      </c>
      <c r="O2310" s="37">
        <v>90.0</v>
      </c>
      <c r="P2310" s="37" t="s">
        <v>63</v>
      </c>
      <c r="Q2310" s="37" t="s">
        <v>63</v>
      </c>
      <c r="R2310" s="37" t="s">
        <v>63</v>
      </c>
      <c r="S2310" s="37" t="s">
        <v>63</v>
      </c>
      <c r="T2310" s="69" t="s">
        <v>63</v>
      </c>
      <c r="U2310" s="37" t="s">
        <v>63</v>
      </c>
      <c r="V2310" s="37" t="s">
        <v>63</v>
      </c>
      <c r="W2310" s="37" t="s">
        <v>63</v>
      </c>
      <c r="X2310" s="37" t="s">
        <v>63</v>
      </c>
      <c r="Y2310" s="53">
        <v>230.0</v>
      </c>
      <c r="Z2310" s="69" t="s">
        <v>63</v>
      </c>
      <c r="AA2310" s="73"/>
      <c r="AB2310" s="73"/>
      <c r="AC2310" s="73"/>
      <c r="AD2310" s="73"/>
      <c r="AE2310" s="73"/>
      <c r="AF2310" s="73"/>
      <c r="AG2310" s="73"/>
      <c r="AH2310" s="73"/>
      <c r="AI2310" s="73"/>
      <c r="AJ2310" s="73"/>
      <c r="AK2310" s="73"/>
    </row>
    <row r="2311">
      <c r="A2311" s="28">
        <v>2310.0</v>
      </c>
      <c r="B2311" s="29"/>
      <c r="C2311" s="29"/>
      <c r="D2311" s="40">
        <v>1.0</v>
      </c>
      <c r="E2311" s="31">
        <v>42.0</v>
      </c>
      <c r="F2311" s="42">
        <v>51.0</v>
      </c>
      <c r="G2311" s="29" t="str">
        <f t="shared" si="1"/>
        <v>42051</v>
      </c>
      <c r="H2311" s="37" t="s">
        <v>135</v>
      </c>
      <c r="I2311" s="37" t="s">
        <v>105</v>
      </c>
      <c r="J2311" s="37" t="s">
        <v>287</v>
      </c>
      <c r="K2311" s="37" t="str">
        <f t="shared" si="39"/>
        <v>Fayette, PA</v>
      </c>
      <c r="L2311" s="37">
        <v>173.0</v>
      </c>
      <c r="M2311" s="37" t="s">
        <v>63</v>
      </c>
      <c r="N2311" s="37">
        <v>62.0</v>
      </c>
      <c r="O2311" s="37">
        <v>99.0</v>
      </c>
      <c r="P2311" s="37" t="s">
        <v>63</v>
      </c>
      <c r="Q2311" s="37" t="s">
        <v>63</v>
      </c>
      <c r="R2311" s="37" t="s">
        <v>63</v>
      </c>
      <c r="S2311" s="37" t="s">
        <v>63</v>
      </c>
      <c r="T2311" s="69" t="s">
        <v>63</v>
      </c>
      <c r="U2311" s="37" t="s">
        <v>63</v>
      </c>
      <c r="V2311" s="37" t="s">
        <v>63</v>
      </c>
      <c r="W2311" s="37" t="s">
        <v>63</v>
      </c>
      <c r="X2311" s="37" t="s">
        <v>63</v>
      </c>
      <c r="Y2311" s="53">
        <v>171.0</v>
      </c>
      <c r="Z2311" s="69" t="s">
        <v>63</v>
      </c>
      <c r="AA2311" s="73"/>
      <c r="AB2311" s="73"/>
      <c r="AC2311" s="73"/>
      <c r="AD2311" s="73"/>
      <c r="AE2311" s="73"/>
      <c r="AF2311" s="73"/>
      <c r="AG2311" s="73"/>
      <c r="AH2311" s="73"/>
      <c r="AI2311" s="73"/>
      <c r="AJ2311" s="73"/>
      <c r="AK2311" s="73"/>
    </row>
    <row r="2312">
      <c r="A2312" s="28">
        <v>2311.0</v>
      </c>
      <c r="B2312" s="29"/>
      <c r="C2312" s="29"/>
      <c r="D2312" s="40">
        <v>1.0</v>
      </c>
      <c r="E2312" s="31">
        <v>42.0</v>
      </c>
      <c r="F2312" s="42">
        <v>53.0</v>
      </c>
      <c r="G2312" s="29" t="str">
        <f t="shared" si="1"/>
        <v>42053</v>
      </c>
      <c r="H2312" s="37" t="s">
        <v>1793</v>
      </c>
      <c r="I2312" s="37" t="s">
        <v>105</v>
      </c>
      <c r="J2312" s="37" t="s">
        <v>287</v>
      </c>
      <c r="K2312" s="37" t="str">
        <f t="shared" si="39"/>
        <v>Forest, PA</v>
      </c>
      <c r="L2312" s="37">
        <v>0.0</v>
      </c>
      <c r="M2312" s="37" t="s">
        <v>63</v>
      </c>
      <c r="N2312" s="37">
        <v>0.0</v>
      </c>
      <c r="O2312" s="37">
        <v>0.0</v>
      </c>
      <c r="P2312" s="37" t="s">
        <v>63</v>
      </c>
      <c r="Q2312" s="37" t="s">
        <v>63</v>
      </c>
      <c r="R2312" s="37" t="s">
        <v>63</v>
      </c>
      <c r="S2312" s="37" t="s">
        <v>63</v>
      </c>
      <c r="T2312" s="69" t="s">
        <v>63</v>
      </c>
      <c r="U2312" s="37" t="s">
        <v>63</v>
      </c>
      <c r="V2312" s="37" t="s">
        <v>63</v>
      </c>
      <c r="W2312" s="37" t="s">
        <v>63</v>
      </c>
      <c r="X2312" s="37" t="s">
        <v>63</v>
      </c>
      <c r="Y2312" s="53">
        <v>12.0</v>
      </c>
      <c r="Z2312" s="69" t="s">
        <v>63</v>
      </c>
      <c r="AA2312" s="73"/>
      <c r="AB2312" s="73"/>
      <c r="AC2312" s="73"/>
      <c r="AD2312" s="73"/>
      <c r="AE2312" s="73"/>
      <c r="AF2312" s="73"/>
      <c r="AG2312" s="73"/>
      <c r="AH2312" s="73"/>
      <c r="AI2312" s="73"/>
      <c r="AJ2312" s="73"/>
      <c r="AK2312" s="73"/>
    </row>
    <row r="2313">
      <c r="A2313" s="28">
        <v>2312.0</v>
      </c>
      <c r="B2313" s="29"/>
      <c r="C2313" s="29"/>
      <c r="D2313" s="40">
        <v>1.0</v>
      </c>
      <c r="E2313" s="31">
        <v>42.0</v>
      </c>
      <c r="F2313" s="42">
        <v>55.0</v>
      </c>
      <c r="G2313" s="29" t="str">
        <f t="shared" si="1"/>
        <v>42055</v>
      </c>
      <c r="H2313" s="37" t="s">
        <v>136</v>
      </c>
      <c r="I2313" s="37" t="s">
        <v>105</v>
      </c>
      <c r="J2313" s="37" t="s">
        <v>287</v>
      </c>
      <c r="K2313" s="37" t="str">
        <f t="shared" si="39"/>
        <v>Franklin, PA</v>
      </c>
      <c r="L2313" s="37">
        <v>92.0</v>
      </c>
      <c r="M2313" s="37" t="s">
        <v>63</v>
      </c>
      <c r="N2313" s="37">
        <v>53.0</v>
      </c>
      <c r="O2313" s="37">
        <v>16.0</v>
      </c>
      <c r="P2313" s="37" t="s">
        <v>63</v>
      </c>
      <c r="Q2313" s="37" t="s">
        <v>63</v>
      </c>
      <c r="R2313" s="37" t="s">
        <v>63</v>
      </c>
      <c r="S2313" s="37" t="s">
        <v>63</v>
      </c>
      <c r="T2313" s="69" t="s">
        <v>63</v>
      </c>
      <c r="U2313" s="37" t="s">
        <v>63</v>
      </c>
      <c r="V2313" s="37" t="s">
        <v>63</v>
      </c>
      <c r="W2313" s="37" t="s">
        <v>63</v>
      </c>
      <c r="X2313" s="37" t="s">
        <v>63</v>
      </c>
      <c r="Y2313" s="53">
        <v>187.0</v>
      </c>
      <c r="Z2313" s="69" t="s">
        <v>63</v>
      </c>
      <c r="AA2313" s="73"/>
      <c r="AB2313" s="73"/>
      <c r="AC2313" s="73"/>
      <c r="AD2313" s="73"/>
      <c r="AE2313" s="73"/>
      <c r="AF2313" s="73"/>
      <c r="AG2313" s="73"/>
      <c r="AH2313" s="73"/>
      <c r="AI2313" s="73"/>
      <c r="AJ2313" s="73"/>
      <c r="AK2313" s="73"/>
    </row>
    <row r="2314">
      <c r="A2314" s="28">
        <v>2313.0</v>
      </c>
      <c r="B2314" s="29"/>
      <c r="C2314" s="29"/>
      <c r="D2314" s="40">
        <v>1.0</v>
      </c>
      <c r="E2314" s="31">
        <v>42.0</v>
      </c>
      <c r="F2314" s="42">
        <v>57.0</v>
      </c>
      <c r="G2314" s="29" t="str">
        <f t="shared" si="1"/>
        <v>42057</v>
      </c>
      <c r="H2314" s="37" t="s">
        <v>275</v>
      </c>
      <c r="I2314" s="37" t="s">
        <v>105</v>
      </c>
      <c r="J2314" s="37" t="s">
        <v>287</v>
      </c>
      <c r="K2314" s="37" t="str">
        <f t="shared" si="39"/>
        <v>Fulton, PA</v>
      </c>
      <c r="L2314" s="37" t="s">
        <v>2509</v>
      </c>
      <c r="M2314" s="37" t="s">
        <v>63</v>
      </c>
      <c r="N2314" s="37" t="s">
        <v>2509</v>
      </c>
      <c r="O2314" s="37">
        <v>0.0</v>
      </c>
      <c r="P2314" s="37" t="s">
        <v>63</v>
      </c>
      <c r="Q2314" s="37" t="s">
        <v>63</v>
      </c>
      <c r="R2314" s="37" t="s">
        <v>63</v>
      </c>
      <c r="S2314" s="37" t="s">
        <v>63</v>
      </c>
      <c r="T2314" s="69" t="s">
        <v>63</v>
      </c>
      <c r="U2314" s="37" t="s">
        <v>63</v>
      </c>
      <c r="V2314" s="37" t="s">
        <v>63</v>
      </c>
      <c r="W2314" s="37" t="s">
        <v>63</v>
      </c>
      <c r="X2314" s="37" t="s">
        <v>63</v>
      </c>
      <c r="Y2314" s="53">
        <v>23.0</v>
      </c>
      <c r="Z2314" s="69" t="s">
        <v>63</v>
      </c>
      <c r="AA2314" s="73"/>
      <c r="AB2314" s="73"/>
      <c r="AC2314" s="73"/>
      <c r="AD2314" s="73"/>
      <c r="AE2314" s="73"/>
      <c r="AF2314" s="73"/>
      <c r="AG2314" s="73"/>
      <c r="AH2314" s="73"/>
      <c r="AI2314" s="73"/>
      <c r="AJ2314" s="73"/>
      <c r="AK2314" s="73"/>
    </row>
    <row r="2315">
      <c r="A2315" s="28">
        <v>2314.0</v>
      </c>
      <c r="B2315" s="29"/>
      <c r="C2315" s="29"/>
      <c r="D2315" s="40">
        <v>1.0</v>
      </c>
      <c r="E2315" s="31">
        <v>42.0</v>
      </c>
      <c r="F2315" s="42">
        <v>59.0</v>
      </c>
      <c r="G2315" s="29" t="str">
        <f t="shared" si="1"/>
        <v>42059</v>
      </c>
      <c r="H2315" s="37" t="s">
        <v>138</v>
      </c>
      <c r="I2315" s="37" t="s">
        <v>105</v>
      </c>
      <c r="J2315" s="37" t="s">
        <v>287</v>
      </c>
      <c r="K2315" s="37" t="str">
        <f t="shared" si="39"/>
        <v>Greene, PA</v>
      </c>
      <c r="L2315" s="37">
        <v>57.0</v>
      </c>
      <c r="M2315" s="37" t="s">
        <v>63</v>
      </c>
      <c r="N2315" s="37">
        <v>19.0</v>
      </c>
      <c r="O2315" s="37">
        <v>30.0</v>
      </c>
      <c r="P2315" s="37" t="s">
        <v>63</v>
      </c>
      <c r="Q2315" s="37" t="s">
        <v>63</v>
      </c>
      <c r="R2315" s="37" t="s">
        <v>63</v>
      </c>
      <c r="S2315" s="37" t="s">
        <v>63</v>
      </c>
      <c r="T2315" s="69" t="s">
        <v>63</v>
      </c>
      <c r="U2315" s="37" t="s">
        <v>63</v>
      </c>
      <c r="V2315" s="37" t="s">
        <v>63</v>
      </c>
      <c r="W2315" s="37" t="s">
        <v>63</v>
      </c>
      <c r="X2315" s="37" t="s">
        <v>63</v>
      </c>
      <c r="Y2315" s="53">
        <v>52.0</v>
      </c>
      <c r="Z2315" s="69" t="s">
        <v>63</v>
      </c>
      <c r="AA2315" s="73"/>
      <c r="AB2315" s="73"/>
      <c r="AC2315" s="73"/>
      <c r="AD2315" s="73"/>
      <c r="AE2315" s="73"/>
      <c r="AF2315" s="73"/>
      <c r="AG2315" s="73"/>
      <c r="AH2315" s="73"/>
      <c r="AI2315" s="73"/>
      <c r="AJ2315" s="73"/>
      <c r="AK2315" s="73"/>
    </row>
    <row r="2316">
      <c r="A2316" s="28">
        <v>2315.0</v>
      </c>
      <c r="B2316" s="29"/>
      <c r="C2316" s="29"/>
      <c r="D2316" s="40">
        <v>1.0</v>
      </c>
      <c r="E2316" s="31">
        <v>42.0</v>
      </c>
      <c r="F2316" s="42">
        <v>61.0</v>
      </c>
      <c r="G2316" s="29" t="str">
        <f t="shared" si="1"/>
        <v>42061</v>
      </c>
      <c r="H2316" s="37" t="s">
        <v>1794</v>
      </c>
      <c r="I2316" s="37" t="s">
        <v>105</v>
      </c>
      <c r="J2316" s="37" t="s">
        <v>287</v>
      </c>
      <c r="K2316" s="37" t="str">
        <f t="shared" si="39"/>
        <v>Huntingdon, PA</v>
      </c>
      <c r="L2316" s="37">
        <v>58.0</v>
      </c>
      <c r="M2316" s="37" t="s">
        <v>63</v>
      </c>
      <c r="N2316" s="37">
        <v>28.0</v>
      </c>
      <c r="O2316" s="37">
        <v>24.0</v>
      </c>
      <c r="P2316" s="37" t="s">
        <v>63</v>
      </c>
      <c r="Q2316" s="37" t="s">
        <v>63</v>
      </c>
      <c r="R2316" s="37" t="s">
        <v>63</v>
      </c>
      <c r="S2316" s="37" t="s">
        <v>63</v>
      </c>
      <c r="T2316" s="69" t="s">
        <v>63</v>
      </c>
      <c r="U2316" s="37" t="s">
        <v>63</v>
      </c>
      <c r="V2316" s="37" t="s">
        <v>63</v>
      </c>
      <c r="W2316" s="37" t="s">
        <v>63</v>
      </c>
      <c r="X2316" s="37" t="s">
        <v>63</v>
      </c>
      <c r="Y2316" s="53">
        <v>93.0</v>
      </c>
      <c r="Z2316" s="69" t="s">
        <v>63</v>
      </c>
      <c r="AA2316" s="73"/>
      <c r="AB2316" s="73"/>
      <c r="AC2316" s="73"/>
      <c r="AD2316" s="73"/>
      <c r="AE2316" s="73"/>
      <c r="AF2316" s="73"/>
      <c r="AG2316" s="73"/>
      <c r="AH2316" s="73"/>
      <c r="AI2316" s="73"/>
      <c r="AJ2316" s="73"/>
      <c r="AK2316" s="73"/>
    </row>
    <row r="2317">
      <c r="A2317" s="28">
        <v>2316.0</v>
      </c>
      <c r="B2317" s="29"/>
      <c r="C2317" s="29"/>
      <c r="D2317" s="40">
        <v>1.0</v>
      </c>
      <c r="E2317" s="31">
        <v>42.0</v>
      </c>
      <c r="F2317" s="42">
        <v>63.0</v>
      </c>
      <c r="G2317" s="29" t="str">
        <f t="shared" si="1"/>
        <v>42063</v>
      </c>
      <c r="H2317" s="37" t="s">
        <v>49</v>
      </c>
      <c r="I2317" s="37" t="s">
        <v>105</v>
      </c>
      <c r="J2317" s="37" t="s">
        <v>287</v>
      </c>
      <c r="K2317" s="37" t="str">
        <f t="shared" si="39"/>
        <v>Indiana, PA</v>
      </c>
      <c r="L2317" s="37">
        <v>73.0</v>
      </c>
      <c r="M2317" s="37" t="s">
        <v>63</v>
      </c>
      <c r="N2317" s="37">
        <v>47.0</v>
      </c>
      <c r="O2317" s="37" t="s">
        <v>2509</v>
      </c>
      <c r="P2317" s="37" t="s">
        <v>63</v>
      </c>
      <c r="Q2317" s="37" t="s">
        <v>63</v>
      </c>
      <c r="R2317" s="37" t="s">
        <v>63</v>
      </c>
      <c r="S2317" s="37" t="s">
        <v>63</v>
      </c>
      <c r="T2317" s="69" t="s">
        <v>63</v>
      </c>
      <c r="U2317" s="37" t="s">
        <v>63</v>
      </c>
      <c r="V2317" s="37" t="s">
        <v>63</v>
      </c>
      <c r="W2317" s="37" t="s">
        <v>63</v>
      </c>
      <c r="X2317" s="37" t="s">
        <v>63</v>
      </c>
      <c r="Y2317" s="53">
        <v>112.0</v>
      </c>
      <c r="Z2317" s="69" t="s">
        <v>63</v>
      </c>
      <c r="AA2317" s="73"/>
      <c r="AB2317" s="73"/>
      <c r="AC2317" s="73"/>
      <c r="AD2317" s="73"/>
      <c r="AE2317" s="73"/>
      <c r="AF2317" s="73"/>
      <c r="AG2317" s="73"/>
      <c r="AH2317" s="73"/>
      <c r="AI2317" s="73"/>
      <c r="AJ2317" s="73"/>
      <c r="AK2317" s="73"/>
    </row>
    <row r="2318">
      <c r="A2318" s="28">
        <v>2317.0</v>
      </c>
      <c r="B2318" s="29"/>
      <c r="C2318" s="29"/>
      <c r="D2318" s="40">
        <v>1.0</v>
      </c>
      <c r="E2318" s="31">
        <v>42.0</v>
      </c>
      <c r="F2318" s="42">
        <v>65.0</v>
      </c>
      <c r="G2318" s="29" t="str">
        <f t="shared" si="1"/>
        <v>42065</v>
      </c>
      <c r="H2318" s="37" t="s">
        <v>143</v>
      </c>
      <c r="I2318" s="37" t="s">
        <v>105</v>
      </c>
      <c r="J2318" s="37" t="s">
        <v>287</v>
      </c>
      <c r="K2318" s="37" t="str">
        <f t="shared" si="39"/>
        <v>Jefferson, PA</v>
      </c>
      <c r="L2318" s="37">
        <v>82.0</v>
      </c>
      <c r="M2318" s="37" t="s">
        <v>63</v>
      </c>
      <c r="N2318" s="37">
        <v>35.0</v>
      </c>
      <c r="O2318" s="37">
        <v>29.0</v>
      </c>
      <c r="P2318" s="37" t="s">
        <v>63</v>
      </c>
      <c r="Q2318" s="37" t="s">
        <v>63</v>
      </c>
      <c r="R2318" s="37" t="s">
        <v>63</v>
      </c>
      <c r="S2318" s="37" t="s">
        <v>63</v>
      </c>
      <c r="T2318" s="69" t="s">
        <v>63</v>
      </c>
      <c r="U2318" s="37" t="s">
        <v>63</v>
      </c>
      <c r="V2318" s="37" t="s">
        <v>63</v>
      </c>
      <c r="W2318" s="37" t="s">
        <v>63</v>
      </c>
      <c r="X2318" s="37" t="s">
        <v>63</v>
      </c>
      <c r="Y2318" s="53">
        <v>74.0</v>
      </c>
      <c r="Z2318" s="69" t="s">
        <v>63</v>
      </c>
      <c r="AA2318" s="73"/>
      <c r="AB2318" s="73"/>
      <c r="AC2318" s="73"/>
      <c r="AD2318" s="73"/>
      <c r="AE2318" s="73"/>
      <c r="AF2318" s="73"/>
      <c r="AG2318" s="73"/>
      <c r="AH2318" s="73"/>
      <c r="AI2318" s="73"/>
      <c r="AJ2318" s="73"/>
      <c r="AK2318" s="73"/>
    </row>
    <row r="2319">
      <c r="A2319" s="28">
        <v>2318.0</v>
      </c>
      <c r="B2319" s="29"/>
      <c r="C2319" s="29"/>
      <c r="D2319" s="40">
        <v>1.0</v>
      </c>
      <c r="E2319" s="31">
        <v>42.0</v>
      </c>
      <c r="F2319" s="42">
        <v>67.0</v>
      </c>
      <c r="G2319" s="29" t="str">
        <f t="shared" si="1"/>
        <v>42067</v>
      </c>
      <c r="H2319" s="37" t="s">
        <v>1795</v>
      </c>
      <c r="I2319" s="37" t="s">
        <v>105</v>
      </c>
      <c r="J2319" s="37" t="s">
        <v>287</v>
      </c>
      <c r="K2319" s="37" t="str">
        <f t="shared" si="39"/>
        <v>Juniata, PA</v>
      </c>
      <c r="L2319" s="37">
        <v>21.0</v>
      </c>
      <c r="M2319" s="37" t="s">
        <v>63</v>
      </c>
      <c r="N2319" s="37">
        <v>13.0</v>
      </c>
      <c r="O2319" s="37" t="s">
        <v>2509</v>
      </c>
      <c r="P2319" s="37" t="s">
        <v>63</v>
      </c>
      <c r="Q2319" s="37" t="s">
        <v>63</v>
      </c>
      <c r="R2319" s="37" t="s">
        <v>63</v>
      </c>
      <c r="S2319" s="37" t="s">
        <v>63</v>
      </c>
      <c r="T2319" s="69" t="s">
        <v>63</v>
      </c>
      <c r="U2319" s="37" t="s">
        <v>63</v>
      </c>
      <c r="V2319" s="37" t="s">
        <v>63</v>
      </c>
      <c r="W2319" s="37" t="s">
        <v>63</v>
      </c>
      <c r="X2319" s="37" t="s">
        <v>63</v>
      </c>
      <c r="Y2319" s="53">
        <v>43.0</v>
      </c>
      <c r="Z2319" s="69" t="s">
        <v>63</v>
      </c>
      <c r="AA2319" s="73"/>
      <c r="AB2319" s="73"/>
      <c r="AC2319" s="73"/>
      <c r="AD2319" s="73"/>
      <c r="AE2319" s="73"/>
      <c r="AF2319" s="73"/>
      <c r="AG2319" s="73"/>
      <c r="AH2319" s="73"/>
      <c r="AI2319" s="73"/>
      <c r="AJ2319" s="73"/>
      <c r="AK2319" s="73"/>
    </row>
    <row r="2320">
      <c r="A2320" s="28">
        <v>2319.0</v>
      </c>
      <c r="B2320" s="29"/>
      <c r="C2320" s="29"/>
      <c r="D2320" s="40">
        <v>1.0</v>
      </c>
      <c r="E2320" s="31">
        <v>42.0</v>
      </c>
      <c r="F2320" s="42">
        <v>69.0</v>
      </c>
      <c r="G2320" s="29" t="str">
        <f t="shared" si="1"/>
        <v>42069</v>
      </c>
      <c r="H2320" s="37" t="s">
        <v>1796</v>
      </c>
      <c r="I2320" s="37" t="s">
        <v>105</v>
      </c>
      <c r="J2320" s="37" t="s">
        <v>287</v>
      </c>
      <c r="K2320" s="136" t="str">
        <f t="shared" si="39"/>
        <v>Lackawanna, PA</v>
      </c>
      <c r="L2320" s="37">
        <v>171.0</v>
      </c>
      <c r="M2320" s="37" t="s">
        <v>63</v>
      </c>
      <c r="N2320" s="37">
        <v>73.0</v>
      </c>
      <c r="O2320" s="37">
        <v>71.0</v>
      </c>
      <c r="P2320" s="37" t="s">
        <v>63</v>
      </c>
      <c r="Q2320" s="37" t="s">
        <v>63</v>
      </c>
      <c r="R2320" s="37" t="s">
        <v>63</v>
      </c>
      <c r="S2320" s="37" t="s">
        <v>63</v>
      </c>
      <c r="T2320" s="69" t="s">
        <v>63</v>
      </c>
      <c r="U2320" s="37" t="s">
        <v>63</v>
      </c>
      <c r="V2320" s="37" t="s">
        <v>63</v>
      </c>
      <c r="W2320" s="37" t="s">
        <v>63</v>
      </c>
      <c r="X2320" s="37" t="s">
        <v>63</v>
      </c>
      <c r="Y2320" s="53">
        <v>170.0</v>
      </c>
      <c r="Z2320" s="69" t="s">
        <v>63</v>
      </c>
      <c r="AA2320" s="73"/>
      <c r="AB2320" s="73"/>
      <c r="AC2320" s="73"/>
      <c r="AD2320" s="73"/>
      <c r="AE2320" s="73"/>
      <c r="AF2320" s="73"/>
      <c r="AG2320" s="73"/>
      <c r="AH2320" s="73"/>
      <c r="AI2320" s="73"/>
      <c r="AJ2320" s="73"/>
      <c r="AK2320" s="73"/>
    </row>
    <row r="2321">
      <c r="A2321" s="28">
        <v>2320.0</v>
      </c>
      <c r="B2321" s="29"/>
      <c r="C2321" s="29"/>
      <c r="D2321" s="40">
        <v>1.0</v>
      </c>
      <c r="E2321" s="31">
        <v>42.0</v>
      </c>
      <c r="F2321" s="42">
        <v>71.0</v>
      </c>
      <c r="G2321" s="29" t="str">
        <f t="shared" si="1"/>
        <v>42071</v>
      </c>
      <c r="H2321" s="37" t="s">
        <v>650</v>
      </c>
      <c r="I2321" s="37" t="s">
        <v>105</v>
      </c>
      <c r="J2321" s="37" t="s">
        <v>287</v>
      </c>
      <c r="K2321" s="37" t="str">
        <f t="shared" si="39"/>
        <v>Lancaster, PA</v>
      </c>
      <c r="L2321" s="37">
        <v>342.0</v>
      </c>
      <c r="M2321" s="37" t="s">
        <v>63</v>
      </c>
      <c r="N2321" s="37">
        <v>152.0</v>
      </c>
      <c r="O2321" s="37">
        <v>121.0</v>
      </c>
      <c r="P2321" s="37" t="s">
        <v>63</v>
      </c>
      <c r="Q2321" s="37" t="s">
        <v>63</v>
      </c>
      <c r="R2321" s="37" t="s">
        <v>63</v>
      </c>
      <c r="S2321" s="37" t="s">
        <v>63</v>
      </c>
      <c r="T2321" s="69" t="s">
        <v>63</v>
      </c>
      <c r="U2321" s="37" t="s">
        <v>63</v>
      </c>
      <c r="V2321" s="37" t="s">
        <v>63</v>
      </c>
      <c r="W2321" s="37" t="s">
        <v>63</v>
      </c>
      <c r="X2321" s="37" t="s">
        <v>63</v>
      </c>
      <c r="Y2321" s="53">
        <v>542.0</v>
      </c>
      <c r="Z2321" s="69" t="s">
        <v>63</v>
      </c>
      <c r="AA2321" s="73"/>
      <c r="AB2321" s="73"/>
      <c r="AC2321" s="73"/>
      <c r="AD2321" s="73"/>
      <c r="AE2321" s="73"/>
      <c r="AF2321" s="73"/>
      <c r="AG2321" s="73"/>
      <c r="AH2321" s="73"/>
      <c r="AI2321" s="73"/>
      <c r="AJ2321" s="73"/>
      <c r="AK2321" s="73"/>
    </row>
    <row r="2322">
      <c r="A2322" s="28">
        <v>2321.0</v>
      </c>
      <c r="B2322" s="29"/>
      <c r="C2322" s="29"/>
      <c r="D2322" s="40">
        <v>1.0</v>
      </c>
      <c r="E2322" s="31">
        <v>42.0</v>
      </c>
      <c r="F2322" s="42">
        <v>73.0</v>
      </c>
      <c r="G2322" s="29" t="str">
        <f t="shared" si="1"/>
        <v>42073</v>
      </c>
      <c r="H2322" s="37" t="s">
        <v>146</v>
      </c>
      <c r="I2322" s="37" t="s">
        <v>105</v>
      </c>
      <c r="J2322" s="37" t="s">
        <v>287</v>
      </c>
      <c r="K2322" s="37" t="str">
        <f t="shared" si="39"/>
        <v>Lawrence, PA</v>
      </c>
      <c r="L2322" s="37">
        <v>232.0</v>
      </c>
      <c r="M2322" s="37" t="s">
        <v>63</v>
      </c>
      <c r="N2322" s="37">
        <v>104.0</v>
      </c>
      <c r="O2322" s="37">
        <v>97.0</v>
      </c>
      <c r="P2322" s="37" t="s">
        <v>63</v>
      </c>
      <c r="Q2322" s="37" t="s">
        <v>63</v>
      </c>
      <c r="R2322" s="37" t="s">
        <v>63</v>
      </c>
      <c r="S2322" s="37" t="s">
        <v>63</v>
      </c>
      <c r="T2322" s="69" t="s">
        <v>63</v>
      </c>
      <c r="U2322" s="37" t="s">
        <v>63</v>
      </c>
      <c r="V2322" s="37" t="s">
        <v>63</v>
      </c>
      <c r="W2322" s="37" t="s">
        <v>63</v>
      </c>
      <c r="X2322" s="37" t="s">
        <v>63</v>
      </c>
      <c r="Y2322" s="53">
        <v>118.0</v>
      </c>
      <c r="Z2322" s="69" t="s">
        <v>63</v>
      </c>
      <c r="AA2322" s="73"/>
      <c r="AB2322" s="73"/>
      <c r="AC2322" s="73"/>
      <c r="AD2322" s="73"/>
      <c r="AE2322" s="73"/>
      <c r="AF2322" s="73"/>
      <c r="AG2322" s="73"/>
      <c r="AH2322" s="73"/>
      <c r="AI2322" s="73"/>
      <c r="AJ2322" s="73"/>
      <c r="AK2322" s="73"/>
    </row>
    <row r="2323">
      <c r="A2323" s="28">
        <v>2322.0</v>
      </c>
      <c r="B2323" s="29"/>
      <c r="C2323" s="29"/>
      <c r="D2323" s="40">
        <v>1.0</v>
      </c>
      <c r="E2323" s="31">
        <v>42.0</v>
      </c>
      <c r="F2323" s="42">
        <v>75.0</v>
      </c>
      <c r="G2323" s="29" t="str">
        <f t="shared" si="1"/>
        <v>42075</v>
      </c>
      <c r="H2323" s="37" t="s">
        <v>1797</v>
      </c>
      <c r="I2323" s="37" t="s">
        <v>105</v>
      </c>
      <c r="J2323" s="37" t="s">
        <v>287</v>
      </c>
      <c r="K2323" s="37" t="str">
        <f t="shared" si="39"/>
        <v>Lebanon, PA</v>
      </c>
      <c r="L2323" s="37">
        <v>136.0</v>
      </c>
      <c r="M2323" s="37" t="s">
        <v>63</v>
      </c>
      <c r="N2323" s="37">
        <v>77.0</v>
      </c>
      <c r="O2323" s="37">
        <v>29.0</v>
      </c>
      <c r="P2323" s="37" t="s">
        <v>63</v>
      </c>
      <c r="Q2323" s="37" t="s">
        <v>63</v>
      </c>
      <c r="R2323" s="37" t="s">
        <v>63</v>
      </c>
      <c r="S2323" s="37" t="s">
        <v>63</v>
      </c>
      <c r="T2323" s="69" t="s">
        <v>63</v>
      </c>
      <c r="U2323" s="37" t="s">
        <v>63</v>
      </c>
      <c r="V2323" s="37" t="s">
        <v>63</v>
      </c>
      <c r="W2323" s="37" t="s">
        <v>63</v>
      </c>
      <c r="X2323" s="37" t="s">
        <v>63</v>
      </c>
      <c r="Y2323" s="53">
        <v>144.0</v>
      </c>
      <c r="Z2323" s="69" t="s">
        <v>63</v>
      </c>
      <c r="AA2323" s="73"/>
      <c r="AB2323" s="73"/>
      <c r="AC2323" s="73"/>
      <c r="AD2323" s="73"/>
      <c r="AE2323" s="73"/>
      <c r="AF2323" s="73"/>
      <c r="AG2323" s="73"/>
      <c r="AH2323" s="73"/>
      <c r="AI2323" s="73"/>
      <c r="AJ2323" s="73"/>
      <c r="AK2323" s="73"/>
    </row>
    <row r="2324">
      <c r="A2324" s="28">
        <v>2323.0</v>
      </c>
      <c r="B2324" s="29"/>
      <c r="C2324" s="29"/>
      <c r="D2324" s="40">
        <v>1.0</v>
      </c>
      <c r="E2324" s="31">
        <v>42.0</v>
      </c>
      <c r="F2324" s="42">
        <v>77.0</v>
      </c>
      <c r="G2324" s="29" t="str">
        <f t="shared" si="1"/>
        <v>42077</v>
      </c>
      <c r="H2324" s="37" t="s">
        <v>1798</v>
      </c>
      <c r="I2324" s="37" t="s">
        <v>105</v>
      </c>
      <c r="J2324" s="37" t="s">
        <v>287</v>
      </c>
      <c r="K2324" s="37" t="str">
        <f t="shared" si="39"/>
        <v>Lehigh, PA</v>
      </c>
      <c r="L2324" s="37">
        <v>282.0</v>
      </c>
      <c r="M2324" s="37" t="s">
        <v>63</v>
      </c>
      <c r="N2324" s="37">
        <v>126.0</v>
      </c>
      <c r="O2324" s="37">
        <v>121.0</v>
      </c>
      <c r="P2324" s="37" t="s">
        <v>63</v>
      </c>
      <c r="Q2324" s="37" t="s">
        <v>63</v>
      </c>
      <c r="R2324" s="37" t="s">
        <v>63</v>
      </c>
      <c r="S2324" s="37" t="s">
        <v>63</v>
      </c>
      <c r="T2324" s="69" t="s">
        <v>63</v>
      </c>
      <c r="U2324" s="37" t="s">
        <v>63</v>
      </c>
      <c r="V2324" s="37" t="s">
        <v>63</v>
      </c>
      <c r="W2324" s="37" t="s">
        <v>63</v>
      </c>
      <c r="X2324" s="37" t="s">
        <v>63</v>
      </c>
      <c r="Y2324" s="53">
        <v>235.0</v>
      </c>
      <c r="Z2324" s="69" t="s">
        <v>63</v>
      </c>
      <c r="AA2324" s="73"/>
      <c r="AB2324" s="73"/>
      <c r="AC2324" s="73"/>
      <c r="AD2324" s="73"/>
      <c r="AE2324" s="73"/>
      <c r="AF2324" s="73"/>
      <c r="AG2324" s="73"/>
      <c r="AH2324" s="73"/>
      <c r="AI2324" s="73"/>
      <c r="AJ2324" s="73"/>
      <c r="AK2324" s="73"/>
    </row>
    <row r="2325">
      <c r="A2325" s="28">
        <v>2324.0</v>
      </c>
      <c r="B2325" s="29"/>
      <c r="C2325" s="29"/>
      <c r="D2325" s="40">
        <v>1.0</v>
      </c>
      <c r="E2325" s="31">
        <v>42.0</v>
      </c>
      <c r="F2325" s="42">
        <v>79.0</v>
      </c>
      <c r="G2325" s="29" t="str">
        <f t="shared" si="1"/>
        <v>42079</v>
      </c>
      <c r="H2325" s="37" t="s">
        <v>1799</v>
      </c>
      <c r="I2325" s="37" t="s">
        <v>105</v>
      </c>
      <c r="J2325" s="37" t="s">
        <v>287</v>
      </c>
      <c r="K2325" s="37" t="str">
        <f t="shared" si="39"/>
        <v>Luzerne, PA</v>
      </c>
      <c r="L2325" s="37">
        <v>524.0</v>
      </c>
      <c r="M2325" s="37" t="s">
        <v>63</v>
      </c>
      <c r="N2325" s="37">
        <v>254.0</v>
      </c>
      <c r="O2325" s="37">
        <v>242.0</v>
      </c>
      <c r="P2325" s="37" t="s">
        <v>63</v>
      </c>
      <c r="Q2325" s="37" t="s">
        <v>63</v>
      </c>
      <c r="R2325" s="37" t="s">
        <v>63</v>
      </c>
      <c r="S2325" s="37" t="s">
        <v>63</v>
      </c>
      <c r="T2325" s="69" t="s">
        <v>63</v>
      </c>
      <c r="U2325" s="37" t="s">
        <v>63</v>
      </c>
      <c r="V2325" s="37" t="s">
        <v>63</v>
      </c>
      <c r="W2325" s="37" t="s">
        <v>63</v>
      </c>
      <c r="X2325" s="37" t="s">
        <v>63</v>
      </c>
      <c r="Y2325" s="53">
        <v>271.0</v>
      </c>
      <c r="Z2325" s="69" t="s">
        <v>63</v>
      </c>
      <c r="AA2325" s="73"/>
      <c r="AB2325" s="73"/>
      <c r="AC2325" s="73"/>
      <c r="AD2325" s="73"/>
      <c r="AE2325" s="73"/>
      <c r="AF2325" s="73"/>
      <c r="AG2325" s="73"/>
      <c r="AH2325" s="73"/>
      <c r="AI2325" s="73"/>
      <c r="AJ2325" s="73"/>
      <c r="AK2325" s="73"/>
    </row>
    <row r="2326">
      <c r="A2326" s="28">
        <v>2325.0</v>
      </c>
      <c r="B2326" s="29"/>
      <c r="C2326" s="29"/>
      <c r="D2326" s="40">
        <v>1.0</v>
      </c>
      <c r="E2326" s="31">
        <v>42.0</v>
      </c>
      <c r="F2326" s="42">
        <v>81.0</v>
      </c>
      <c r="G2326" s="29" t="str">
        <f t="shared" si="1"/>
        <v>42081</v>
      </c>
      <c r="H2326" s="37" t="s">
        <v>1800</v>
      </c>
      <c r="I2326" s="37" t="s">
        <v>105</v>
      </c>
      <c r="J2326" s="37" t="s">
        <v>287</v>
      </c>
      <c r="K2326" s="37" t="str">
        <f t="shared" si="39"/>
        <v>Lycoming, PA</v>
      </c>
      <c r="L2326" s="37">
        <v>44.0</v>
      </c>
      <c r="M2326" s="37" t="s">
        <v>63</v>
      </c>
      <c r="N2326" s="37">
        <v>25.0</v>
      </c>
      <c r="O2326" s="37">
        <v>17.0</v>
      </c>
      <c r="P2326" s="37" t="s">
        <v>63</v>
      </c>
      <c r="Q2326" s="37" t="s">
        <v>63</v>
      </c>
      <c r="R2326" s="37" t="s">
        <v>63</v>
      </c>
      <c r="S2326" s="37" t="s">
        <v>63</v>
      </c>
      <c r="T2326" s="69" t="s">
        <v>63</v>
      </c>
      <c r="U2326" s="37" t="s">
        <v>63</v>
      </c>
      <c r="V2326" s="37" t="s">
        <v>63</v>
      </c>
      <c r="W2326" s="37" t="s">
        <v>63</v>
      </c>
      <c r="X2326" s="37" t="s">
        <v>63</v>
      </c>
      <c r="Y2326" s="53">
        <v>145.0</v>
      </c>
      <c r="Z2326" s="69" t="s">
        <v>63</v>
      </c>
      <c r="AA2326" s="73"/>
      <c r="AB2326" s="73"/>
      <c r="AC2326" s="73"/>
      <c r="AD2326" s="73"/>
      <c r="AE2326" s="73"/>
      <c r="AF2326" s="73"/>
      <c r="AG2326" s="73"/>
      <c r="AH2326" s="73"/>
      <c r="AI2326" s="73"/>
      <c r="AJ2326" s="73"/>
      <c r="AK2326" s="73"/>
    </row>
    <row r="2327">
      <c r="A2327" s="28">
        <v>2326.0</v>
      </c>
      <c r="B2327" s="29"/>
      <c r="C2327" s="29"/>
      <c r="D2327" s="40">
        <v>1.0</v>
      </c>
      <c r="E2327" s="31">
        <v>42.0</v>
      </c>
      <c r="F2327" s="42">
        <v>83.0</v>
      </c>
      <c r="G2327" s="29" t="str">
        <f t="shared" si="1"/>
        <v>42083</v>
      </c>
      <c r="H2327" s="37" t="s">
        <v>1801</v>
      </c>
      <c r="I2327" s="37" t="s">
        <v>105</v>
      </c>
      <c r="J2327" s="37" t="s">
        <v>287</v>
      </c>
      <c r="K2327" s="37" t="str">
        <f t="shared" si="39"/>
        <v>McKean, PA</v>
      </c>
      <c r="L2327" s="37">
        <v>87.0</v>
      </c>
      <c r="M2327" s="37" t="s">
        <v>63</v>
      </c>
      <c r="N2327" s="37">
        <v>45.0</v>
      </c>
      <c r="O2327" s="37">
        <v>20.0</v>
      </c>
      <c r="P2327" s="37" t="s">
        <v>63</v>
      </c>
      <c r="Q2327" s="37" t="s">
        <v>63</v>
      </c>
      <c r="R2327" s="37" t="s">
        <v>63</v>
      </c>
      <c r="S2327" s="37" t="s">
        <v>63</v>
      </c>
      <c r="T2327" s="69" t="s">
        <v>63</v>
      </c>
      <c r="U2327" s="37" t="s">
        <v>63</v>
      </c>
      <c r="V2327" s="37" t="s">
        <v>63</v>
      </c>
      <c r="W2327" s="37" t="s">
        <v>63</v>
      </c>
      <c r="X2327" s="37" t="s">
        <v>63</v>
      </c>
      <c r="Y2327" s="53">
        <v>60.0</v>
      </c>
      <c r="Z2327" s="69" t="s">
        <v>63</v>
      </c>
      <c r="AA2327" s="73"/>
      <c r="AB2327" s="73"/>
      <c r="AC2327" s="73"/>
      <c r="AD2327" s="73"/>
      <c r="AE2327" s="73"/>
      <c r="AF2327" s="73"/>
      <c r="AG2327" s="73"/>
      <c r="AH2327" s="73"/>
      <c r="AI2327" s="73"/>
      <c r="AJ2327" s="73"/>
      <c r="AK2327" s="73"/>
    </row>
    <row r="2328">
      <c r="A2328" s="28">
        <v>2327.0</v>
      </c>
      <c r="B2328" s="29"/>
      <c r="C2328" s="29"/>
      <c r="D2328" s="40">
        <v>1.0</v>
      </c>
      <c r="E2328" s="31">
        <v>42.0</v>
      </c>
      <c r="F2328" s="42">
        <v>85.0</v>
      </c>
      <c r="G2328" s="29" t="str">
        <f t="shared" si="1"/>
        <v>42085</v>
      </c>
      <c r="H2328" s="37" t="s">
        <v>738</v>
      </c>
      <c r="I2328" s="37" t="s">
        <v>105</v>
      </c>
      <c r="J2328" s="37" t="s">
        <v>287</v>
      </c>
      <c r="K2328" s="37" t="str">
        <f t="shared" si="39"/>
        <v>Mercer, PA</v>
      </c>
      <c r="L2328" s="37">
        <v>46.0</v>
      </c>
      <c r="M2328" s="37" t="s">
        <v>63</v>
      </c>
      <c r="N2328" s="37">
        <v>17.0</v>
      </c>
      <c r="O2328" s="37">
        <v>27.0</v>
      </c>
      <c r="P2328" s="37" t="s">
        <v>63</v>
      </c>
      <c r="Q2328" s="37" t="s">
        <v>63</v>
      </c>
      <c r="R2328" s="37" t="s">
        <v>63</v>
      </c>
      <c r="S2328" s="37" t="s">
        <v>63</v>
      </c>
      <c r="T2328" s="69" t="s">
        <v>63</v>
      </c>
      <c r="U2328" s="37" t="s">
        <v>63</v>
      </c>
      <c r="V2328" s="37" t="s">
        <v>63</v>
      </c>
      <c r="W2328" s="37" t="s">
        <v>63</v>
      </c>
      <c r="X2328" s="37" t="s">
        <v>63</v>
      </c>
      <c r="Y2328" s="53">
        <v>159.0</v>
      </c>
      <c r="Z2328" s="69" t="s">
        <v>63</v>
      </c>
      <c r="AA2328" s="73"/>
      <c r="AB2328" s="73"/>
      <c r="AC2328" s="73"/>
      <c r="AD2328" s="73"/>
      <c r="AE2328" s="73"/>
      <c r="AF2328" s="73"/>
      <c r="AG2328" s="73"/>
      <c r="AH2328" s="73"/>
      <c r="AI2328" s="73"/>
      <c r="AJ2328" s="73"/>
      <c r="AK2328" s="73"/>
    </row>
    <row r="2329">
      <c r="A2329" s="28">
        <v>2328.0</v>
      </c>
      <c r="B2329" s="29"/>
      <c r="C2329" s="29"/>
      <c r="D2329" s="40">
        <v>1.0</v>
      </c>
      <c r="E2329" s="31">
        <v>42.0</v>
      </c>
      <c r="F2329" s="42">
        <v>87.0</v>
      </c>
      <c r="G2329" s="29" t="str">
        <f t="shared" si="1"/>
        <v>42087</v>
      </c>
      <c r="H2329" s="37" t="s">
        <v>1802</v>
      </c>
      <c r="I2329" s="37" t="s">
        <v>105</v>
      </c>
      <c r="J2329" s="37" t="s">
        <v>287</v>
      </c>
      <c r="K2329" s="37" t="str">
        <f t="shared" si="39"/>
        <v>Mifflin, PA</v>
      </c>
      <c r="L2329" s="37">
        <v>36.0</v>
      </c>
      <c r="M2329" s="37" t="s">
        <v>63</v>
      </c>
      <c r="N2329" s="37">
        <v>18.0</v>
      </c>
      <c r="O2329" s="37">
        <v>11.0</v>
      </c>
      <c r="P2329" s="37" t="s">
        <v>63</v>
      </c>
      <c r="Q2329" s="37" t="s">
        <v>63</v>
      </c>
      <c r="R2329" s="37" t="s">
        <v>63</v>
      </c>
      <c r="S2329" s="37" t="s">
        <v>63</v>
      </c>
      <c r="T2329" s="69" t="s">
        <v>63</v>
      </c>
      <c r="U2329" s="37" t="s">
        <v>63</v>
      </c>
      <c r="V2329" s="37" t="s">
        <v>63</v>
      </c>
      <c r="W2329" s="37" t="s">
        <v>63</v>
      </c>
      <c r="X2329" s="37" t="s">
        <v>63</v>
      </c>
      <c r="Y2329" s="53">
        <v>71.0</v>
      </c>
      <c r="Z2329" s="69" t="s">
        <v>63</v>
      </c>
      <c r="AA2329" s="73"/>
      <c r="AB2329" s="73"/>
      <c r="AC2329" s="73"/>
      <c r="AD2329" s="73"/>
      <c r="AE2329" s="73"/>
      <c r="AF2329" s="73"/>
      <c r="AG2329" s="73"/>
      <c r="AH2329" s="73"/>
      <c r="AI2329" s="73"/>
      <c r="AJ2329" s="73"/>
      <c r="AK2329" s="73"/>
    </row>
    <row r="2330">
      <c r="A2330" s="28">
        <v>2329.0</v>
      </c>
      <c r="B2330" s="29"/>
      <c r="C2330" s="29"/>
      <c r="D2330" s="40">
        <v>1.0</v>
      </c>
      <c r="E2330" s="31">
        <v>42.0</v>
      </c>
      <c r="F2330" s="42">
        <v>89.0</v>
      </c>
      <c r="G2330" s="29" t="str">
        <f t="shared" si="1"/>
        <v>42089</v>
      </c>
      <c r="H2330" s="37" t="s">
        <v>156</v>
      </c>
      <c r="I2330" s="37" t="s">
        <v>105</v>
      </c>
      <c r="J2330" s="37" t="s">
        <v>287</v>
      </c>
      <c r="K2330" s="37" t="str">
        <f t="shared" si="39"/>
        <v>Monroe, PA</v>
      </c>
      <c r="L2330" s="37">
        <v>157.0</v>
      </c>
      <c r="M2330" s="37" t="s">
        <v>63</v>
      </c>
      <c r="N2330" s="37">
        <v>72.0</v>
      </c>
      <c r="O2330" s="37">
        <v>49.0</v>
      </c>
      <c r="P2330" s="37" t="s">
        <v>63</v>
      </c>
      <c r="Q2330" s="37" t="s">
        <v>63</v>
      </c>
      <c r="R2330" s="37" t="s">
        <v>63</v>
      </c>
      <c r="S2330" s="37" t="s">
        <v>63</v>
      </c>
      <c r="T2330" s="69" t="s">
        <v>63</v>
      </c>
      <c r="U2330" s="37" t="s">
        <v>63</v>
      </c>
      <c r="V2330" s="37" t="s">
        <v>63</v>
      </c>
      <c r="W2330" s="37" t="s">
        <v>63</v>
      </c>
      <c r="X2330" s="37" t="s">
        <v>63</v>
      </c>
      <c r="Y2330" s="53">
        <v>91.0</v>
      </c>
      <c r="Z2330" s="69" t="s">
        <v>63</v>
      </c>
      <c r="AA2330" s="73"/>
      <c r="AB2330" s="73"/>
      <c r="AC2330" s="73"/>
      <c r="AD2330" s="73"/>
      <c r="AE2330" s="73"/>
      <c r="AF2330" s="73"/>
      <c r="AG2330" s="73"/>
      <c r="AH2330" s="73"/>
      <c r="AI2330" s="73"/>
      <c r="AJ2330" s="73"/>
      <c r="AK2330" s="73"/>
    </row>
    <row r="2331">
      <c r="A2331" s="28">
        <v>2330.0</v>
      </c>
      <c r="B2331" s="29"/>
      <c r="C2331" s="29"/>
      <c r="D2331" s="40">
        <v>1.0</v>
      </c>
      <c r="E2331" s="31">
        <v>42.0</v>
      </c>
      <c r="F2331" s="42">
        <v>91.0</v>
      </c>
      <c r="G2331" s="29" t="str">
        <f t="shared" si="1"/>
        <v>42091</v>
      </c>
      <c r="H2331" s="37" t="s">
        <v>157</v>
      </c>
      <c r="I2331" s="37" t="s">
        <v>105</v>
      </c>
      <c r="J2331" s="37" t="s">
        <v>287</v>
      </c>
      <c r="K2331" s="37" t="str">
        <f t="shared" si="39"/>
        <v>Montgomery, PA</v>
      </c>
      <c r="L2331" s="37">
        <v>265.0</v>
      </c>
      <c r="M2331" s="37" t="s">
        <v>63</v>
      </c>
      <c r="N2331" s="37">
        <v>130.0</v>
      </c>
      <c r="O2331" s="37">
        <v>84.0</v>
      </c>
      <c r="P2331" s="37" t="s">
        <v>63</v>
      </c>
      <c r="Q2331" s="37" t="s">
        <v>63</v>
      </c>
      <c r="R2331" s="37" t="s">
        <v>63</v>
      </c>
      <c r="S2331" s="37" t="s">
        <v>63</v>
      </c>
      <c r="T2331" s="69" t="s">
        <v>63</v>
      </c>
      <c r="U2331" s="37" t="s">
        <v>63</v>
      </c>
      <c r="V2331" s="37" t="s">
        <v>63</v>
      </c>
      <c r="W2331" s="37" t="s">
        <v>63</v>
      </c>
      <c r="X2331" s="37" t="s">
        <v>63</v>
      </c>
      <c r="Y2331" s="53">
        <v>479.0</v>
      </c>
      <c r="Z2331" s="69" t="s">
        <v>63</v>
      </c>
      <c r="AA2331" s="73"/>
      <c r="AB2331" s="73"/>
      <c r="AC2331" s="73"/>
      <c r="AD2331" s="73"/>
      <c r="AE2331" s="73"/>
      <c r="AF2331" s="73"/>
      <c r="AG2331" s="73"/>
      <c r="AH2331" s="73"/>
      <c r="AI2331" s="73"/>
      <c r="AJ2331" s="73"/>
      <c r="AK2331" s="73"/>
    </row>
    <row r="2332">
      <c r="A2332" s="28">
        <v>2331.0</v>
      </c>
      <c r="B2332" s="29"/>
      <c r="C2332" s="29"/>
      <c r="D2332" s="40">
        <v>1.0</v>
      </c>
      <c r="E2332" s="31">
        <v>42.0</v>
      </c>
      <c r="F2332" s="42">
        <v>93.0</v>
      </c>
      <c r="G2332" s="29" t="str">
        <f t="shared" si="1"/>
        <v>42093</v>
      </c>
      <c r="H2332" s="37" t="s">
        <v>1803</v>
      </c>
      <c r="I2332" s="37" t="s">
        <v>105</v>
      </c>
      <c r="J2332" s="37" t="s">
        <v>287</v>
      </c>
      <c r="K2332" s="37" t="str">
        <f t="shared" si="39"/>
        <v>Montour, PA</v>
      </c>
      <c r="L2332" s="37" t="s">
        <v>2509</v>
      </c>
      <c r="M2332" s="37" t="s">
        <v>63</v>
      </c>
      <c r="N2332" s="37" t="s">
        <v>2509</v>
      </c>
      <c r="O2332" s="37">
        <v>0.0</v>
      </c>
      <c r="P2332" s="37" t="s">
        <v>63</v>
      </c>
      <c r="Q2332" s="37" t="s">
        <v>63</v>
      </c>
      <c r="R2332" s="37" t="s">
        <v>63</v>
      </c>
      <c r="S2332" s="37" t="s">
        <v>63</v>
      </c>
      <c r="T2332" s="69" t="s">
        <v>63</v>
      </c>
      <c r="U2332" s="37" t="s">
        <v>63</v>
      </c>
      <c r="V2332" s="37" t="s">
        <v>63</v>
      </c>
      <c r="W2332" s="37" t="s">
        <v>63</v>
      </c>
      <c r="X2332" s="37" t="s">
        <v>63</v>
      </c>
      <c r="Y2332" s="53">
        <v>20.0</v>
      </c>
      <c r="Z2332" s="69" t="s">
        <v>63</v>
      </c>
      <c r="AA2332" s="73"/>
      <c r="AB2332" s="73"/>
      <c r="AC2332" s="73"/>
      <c r="AD2332" s="73"/>
      <c r="AE2332" s="73"/>
      <c r="AF2332" s="73"/>
      <c r="AG2332" s="73"/>
      <c r="AH2332" s="73"/>
      <c r="AI2332" s="73"/>
      <c r="AJ2332" s="73"/>
      <c r="AK2332" s="73"/>
    </row>
    <row r="2333">
      <c r="A2333" s="28">
        <v>2332.0</v>
      </c>
      <c r="B2333" s="29"/>
      <c r="C2333" s="29"/>
      <c r="D2333" s="40">
        <v>1.0</v>
      </c>
      <c r="E2333" s="31">
        <v>42.0</v>
      </c>
      <c r="F2333" s="42">
        <v>95.0</v>
      </c>
      <c r="G2333" s="29" t="str">
        <f t="shared" si="1"/>
        <v>42095</v>
      </c>
      <c r="H2333" s="37" t="s">
        <v>1618</v>
      </c>
      <c r="I2333" s="37" t="s">
        <v>105</v>
      </c>
      <c r="J2333" s="37" t="s">
        <v>287</v>
      </c>
      <c r="K2333" s="136" t="str">
        <f t="shared" si="39"/>
        <v>Northampton, PA</v>
      </c>
      <c r="L2333" s="37">
        <v>288.0</v>
      </c>
      <c r="M2333" s="37" t="s">
        <v>63</v>
      </c>
      <c r="N2333" s="37">
        <v>99.0</v>
      </c>
      <c r="O2333" s="37">
        <v>147.0</v>
      </c>
      <c r="P2333" s="37" t="s">
        <v>63</v>
      </c>
      <c r="Q2333" s="37" t="s">
        <v>63</v>
      </c>
      <c r="R2333" s="37" t="s">
        <v>63</v>
      </c>
      <c r="S2333" s="37" t="s">
        <v>63</v>
      </c>
      <c r="T2333" s="69" t="s">
        <v>63</v>
      </c>
      <c r="U2333" s="37" t="s">
        <v>63</v>
      </c>
      <c r="V2333" s="37" t="s">
        <v>63</v>
      </c>
      <c r="W2333" s="37" t="s">
        <v>63</v>
      </c>
      <c r="X2333" s="37" t="s">
        <v>63</v>
      </c>
      <c r="Y2333" s="53">
        <v>196.0</v>
      </c>
      <c r="Z2333" s="69" t="s">
        <v>63</v>
      </c>
      <c r="AA2333" s="73"/>
      <c r="AB2333" s="73"/>
      <c r="AC2333" s="73"/>
      <c r="AD2333" s="73"/>
      <c r="AE2333" s="73"/>
      <c r="AF2333" s="73"/>
      <c r="AG2333" s="73"/>
      <c r="AH2333" s="73"/>
      <c r="AI2333" s="73"/>
      <c r="AJ2333" s="73"/>
      <c r="AK2333" s="73"/>
    </row>
    <row r="2334">
      <c r="A2334" s="28">
        <v>2333.0</v>
      </c>
      <c r="B2334" s="29"/>
      <c r="C2334" s="29"/>
      <c r="D2334" s="40">
        <v>1.0</v>
      </c>
      <c r="E2334" s="31">
        <v>42.0</v>
      </c>
      <c r="F2334" s="42">
        <v>97.0</v>
      </c>
      <c r="G2334" s="29" t="str">
        <f t="shared" si="1"/>
        <v>42097</v>
      </c>
      <c r="H2334" s="37" t="s">
        <v>1804</v>
      </c>
      <c r="I2334" s="37" t="s">
        <v>105</v>
      </c>
      <c r="J2334" s="37" t="s">
        <v>287</v>
      </c>
      <c r="K2334" s="136" t="str">
        <f t="shared" si="39"/>
        <v>Northumberland, PA</v>
      </c>
      <c r="L2334" s="37">
        <v>83.0</v>
      </c>
      <c r="M2334" s="37" t="s">
        <v>63</v>
      </c>
      <c r="N2334" s="37">
        <v>40.0</v>
      </c>
      <c r="O2334" s="37">
        <v>31.0</v>
      </c>
      <c r="P2334" s="37" t="s">
        <v>63</v>
      </c>
      <c r="Q2334" s="37" t="s">
        <v>63</v>
      </c>
      <c r="R2334" s="37" t="s">
        <v>63</v>
      </c>
      <c r="S2334" s="37" t="s">
        <v>63</v>
      </c>
      <c r="T2334" s="69" t="s">
        <v>63</v>
      </c>
      <c r="U2334" s="37" t="s">
        <v>63</v>
      </c>
      <c r="V2334" s="37" t="s">
        <v>63</v>
      </c>
      <c r="W2334" s="37" t="s">
        <v>63</v>
      </c>
      <c r="X2334" s="37" t="s">
        <v>63</v>
      </c>
      <c r="Y2334" s="53">
        <v>132.0</v>
      </c>
      <c r="Z2334" s="69" t="s">
        <v>63</v>
      </c>
      <c r="AA2334" s="73"/>
      <c r="AB2334" s="73"/>
      <c r="AC2334" s="73"/>
      <c r="AD2334" s="73"/>
      <c r="AE2334" s="73"/>
      <c r="AF2334" s="73"/>
      <c r="AG2334" s="73"/>
      <c r="AH2334" s="73"/>
      <c r="AI2334" s="73"/>
      <c r="AJ2334" s="73"/>
      <c r="AK2334" s="73"/>
    </row>
    <row r="2335">
      <c r="A2335" s="28">
        <v>2334.0</v>
      </c>
      <c r="B2335" s="29"/>
      <c r="C2335" s="29"/>
      <c r="D2335" s="40">
        <v>1.0</v>
      </c>
      <c r="E2335" s="31">
        <v>42.0</v>
      </c>
      <c r="F2335" s="42">
        <v>99.0</v>
      </c>
      <c r="G2335" s="29" t="str">
        <f t="shared" si="1"/>
        <v>42099</v>
      </c>
      <c r="H2335" s="37" t="s">
        <v>159</v>
      </c>
      <c r="I2335" s="37" t="s">
        <v>105</v>
      </c>
      <c r="J2335" s="37" t="s">
        <v>287</v>
      </c>
      <c r="K2335" s="37" t="str">
        <f t="shared" si="39"/>
        <v>Perry, PA</v>
      </c>
      <c r="L2335" s="37">
        <v>23.0</v>
      </c>
      <c r="M2335" s="37" t="s">
        <v>63</v>
      </c>
      <c r="N2335" s="37">
        <v>12.0</v>
      </c>
      <c r="O2335" s="37" t="s">
        <v>2509</v>
      </c>
      <c r="P2335" s="37" t="s">
        <v>63</v>
      </c>
      <c r="Q2335" s="37" t="s">
        <v>63</v>
      </c>
      <c r="R2335" s="37" t="s">
        <v>63</v>
      </c>
      <c r="S2335" s="37" t="s">
        <v>63</v>
      </c>
      <c r="T2335" s="69" t="s">
        <v>63</v>
      </c>
      <c r="U2335" s="37" t="s">
        <v>63</v>
      </c>
      <c r="V2335" s="37" t="s">
        <v>63</v>
      </c>
      <c r="W2335" s="37" t="s">
        <v>63</v>
      </c>
      <c r="X2335" s="37" t="s">
        <v>63</v>
      </c>
      <c r="Y2335" s="53">
        <v>63.0</v>
      </c>
      <c r="Z2335" s="69" t="s">
        <v>63</v>
      </c>
      <c r="AA2335" s="73"/>
      <c r="AB2335" s="73"/>
      <c r="AC2335" s="73"/>
      <c r="AD2335" s="73"/>
      <c r="AE2335" s="73"/>
      <c r="AF2335" s="73"/>
      <c r="AG2335" s="73"/>
      <c r="AH2335" s="73"/>
      <c r="AI2335" s="73"/>
      <c r="AJ2335" s="73"/>
      <c r="AK2335" s="73"/>
    </row>
    <row r="2336">
      <c r="A2336" s="28">
        <v>2335.0</v>
      </c>
      <c r="B2336" s="29"/>
      <c r="C2336" s="29"/>
      <c r="D2336" s="40">
        <v>1.0</v>
      </c>
      <c r="E2336" s="31">
        <v>42.0</v>
      </c>
      <c r="F2336" s="42">
        <v>101.0</v>
      </c>
      <c r="G2336" s="29" t="str">
        <f t="shared" si="1"/>
        <v>42101</v>
      </c>
      <c r="H2336" s="37" t="s">
        <v>286</v>
      </c>
      <c r="I2336" s="37" t="s">
        <v>105</v>
      </c>
      <c r="J2336" s="37" t="s">
        <v>287</v>
      </c>
      <c r="K2336" s="37" t="str">
        <f t="shared" si="39"/>
        <v>Philadelphia, PA</v>
      </c>
      <c r="L2336" s="37">
        <v>3753.0</v>
      </c>
      <c r="M2336" s="37" t="s">
        <v>63</v>
      </c>
      <c r="N2336" s="37">
        <v>1452.0</v>
      </c>
      <c r="O2336" s="37">
        <v>1850.0</v>
      </c>
      <c r="P2336" s="37" t="s">
        <v>63</v>
      </c>
      <c r="Q2336" s="37" t="s">
        <v>63</v>
      </c>
      <c r="R2336" s="37" t="s">
        <v>63</v>
      </c>
      <c r="S2336" s="37" t="s">
        <v>63</v>
      </c>
      <c r="T2336" s="69" t="s">
        <v>63</v>
      </c>
      <c r="U2336" s="37" t="s">
        <v>63</v>
      </c>
      <c r="V2336" s="37" t="s">
        <v>63</v>
      </c>
      <c r="W2336" s="37" t="s">
        <v>63</v>
      </c>
      <c r="X2336" s="37" t="s">
        <v>63</v>
      </c>
      <c r="Y2336" s="53">
        <v>1010.0</v>
      </c>
      <c r="Z2336" s="69" t="s">
        <v>63</v>
      </c>
      <c r="AA2336" s="73"/>
      <c r="AB2336" s="73"/>
      <c r="AC2336" s="73"/>
      <c r="AD2336" s="73"/>
      <c r="AE2336" s="73"/>
      <c r="AF2336" s="73"/>
      <c r="AG2336" s="73"/>
      <c r="AH2336" s="73"/>
      <c r="AI2336" s="73"/>
      <c r="AJ2336" s="73"/>
      <c r="AK2336" s="73"/>
    </row>
    <row r="2337">
      <c r="A2337" s="28">
        <v>2336.0</v>
      </c>
      <c r="B2337" s="29"/>
      <c r="C2337" s="29"/>
      <c r="D2337" s="40">
        <v>1.0</v>
      </c>
      <c r="E2337" s="31">
        <v>42.0</v>
      </c>
      <c r="F2337" s="42">
        <v>103.0</v>
      </c>
      <c r="G2337" s="29" t="str">
        <f t="shared" si="1"/>
        <v>42103</v>
      </c>
      <c r="H2337" s="37" t="s">
        <v>162</v>
      </c>
      <c r="I2337" s="37" t="s">
        <v>105</v>
      </c>
      <c r="J2337" s="37" t="s">
        <v>287</v>
      </c>
      <c r="K2337" s="37" t="str">
        <f t="shared" si="39"/>
        <v>Pike, PA</v>
      </c>
      <c r="L2337" s="37">
        <v>34.0</v>
      </c>
      <c r="M2337" s="37" t="s">
        <v>63</v>
      </c>
      <c r="N2337" s="37">
        <v>20.0</v>
      </c>
      <c r="O2337" s="37" t="s">
        <v>2509</v>
      </c>
      <c r="P2337" s="37" t="s">
        <v>63</v>
      </c>
      <c r="Q2337" s="37" t="s">
        <v>63</v>
      </c>
      <c r="R2337" s="37" t="s">
        <v>63</v>
      </c>
      <c r="S2337" s="37" t="s">
        <v>63</v>
      </c>
      <c r="T2337" s="69" t="s">
        <v>63</v>
      </c>
      <c r="U2337" s="37" t="s">
        <v>63</v>
      </c>
      <c r="V2337" s="37" t="s">
        <v>63</v>
      </c>
      <c r="W2337" s="37" t="s">
        <v>63</v>
      </c>
      <c r="X2337" s="37" t="s">
        <v>63</v>
      </c>
      <c r="Y2337" s="53">
        <v>28.0</v>
      </c>
      <c r="Z2337" s="69" t="s">
        <v>63</v>
      </c>
      <c r="AA2337" s="73"/>
      <c r="AB2337" s="73"/>
      <c r="AC2337" s="73"/>
      <c r="AD2337" s="73"/>
      <c r="AE2337" s="73"/>
      <c r="AF2337" s="73"/>
      <c r="AG2337" s="73"/>
      <c r="AH2337" s="73"/>
      <c r="AI2337" s="73"/>
      <c r="AJ2337" s="73"/>
      <c r="AK2337" s="73"/>
    </row>
    <row r="2338">
      <c r="A2338" s="28">
        <v>2337.0</v>
      </c>
      <c r="B2338" s="29"/>
      <c r="C2338" s="29"/>
      <c r="D2338" s="40">
        <v>1.0</v>
      </c>
      <c r="E2338" s="31">
        <v>42.0</v>
      </c>
      <c r="F2338" s="42">
        <v>105.0</v>
      </c>
      <c r="G2338" s="29" t="str">
        <f t="shared" si="1"/>
        <v>42105</v>
      </c>
      <c r="H2338" s="37" t="s">
        <v>1805</v>
      </c>
      <c r="I2338" s="37" t="s">
        <v>105</v>
      </c>
      <c r="J2338" s="37" t="s">
        <v>287</v>
      </c>
      <c r="K2338" s="37" t="str">
        <f t="shared" si="39"/>
        <v>Potter, PA</v>
      </c>
      <c r="L2338" s="37" t="s">
        <v>2509</v>
      </c>
      <c r="M2338" s="37" t="s">
        <v>63</v>
      </c>
      <c r="N2338" s="37" t="s">
        <v>2509</v>
      </c>
      <c r="O2338" s="37" t="s">
        <v>2509</v>
      </c>
      <c r="P2338" s="37" t="s">
        <v>63</v>
      </c>
      <c r="Q2338" s="37" t="s">
        <v>63</v>
      </c>
      <c r="R2338" s="37" t="s">
        <v>63</v>
      </c>
      <c r="S2338" s="37" t="s">
        <v>63</v>
      </c>
      <c r="T2338" s="69" t="s">
        <v>63</v>
      </c>
      <c r="U2338" s="37" t="s">
        <v>63</v>
      </c>
      <c r="V2338" s="37" t="s">
        <v>63</v>
      </c>
      <c r="W2338" s="37" t="s">
        <v>63</v>
      </c>
      <c r="X2338" s="37" t="s">
        <v>63</v>
      </c>
      <c r="Y2338" s="53">
        <v>36.0</v>
      </c>
      <c r="Z2338" s="69" t="s">
        <v>63</v>
      </c>
      <c r="AA2338" s="73"/>
      <c r="AB2338" s="73"/>
      <c r="AC2338" s="73"/>
      <c r="AD2338" s="73"/>
      <c r="AE2338" s="73"/>
      <c r="AF2338" s="73"/>
      <c r="AG2338" s="73"/>
      <c r="AH2338" s="73"/>
      <c r="AI2338" s="73"/>
      <c r="AJ2338" s="73"/>
      <c r="AK2338" s="73"/>
    </row>
    <row r="2339">
      <c r="A2339" s="28">
        <v>2338.0</v>
      </c>
      <c r="B2339" s="29"/>
      <c r="C2339" s="29"/>
      <c r="D2339" s="40">
        <v>1.0</v>
      </c>
      <c r="E2339" s="31">
        <v>42.0</v>
      </c>
      <c r="F2339" s="42">
        <v>107.0</v>
      </c>
      <c r="G2339" s="29" t="str">
        <f t="shared" si="1"/>
        <v>42107</v>
      </c>
      <c r="H2339" s="37" t="s">
        <v>1806</v>
      </c>
      <c r="I2339" s="37" t="s">
        <v>105</v>
      </c>
      <c r="J2339" s="37" t="s">
        <v>287</v>
      </c>
      <c r="K2339" s="37" t="str">
        <f t="shared" si="39"/>
        <v>Schuylkill, PA</v>
      </c>
      <c r="L2339" s="37">
        <v>306.0</v>
      </c>
      <c r="M2339" s="37" t="s">
        <v>63</v>
      </c>
      <c r="N2339" s="37">
        <v>218.0</v>
      </c>
      <c r="O2339" s="37">
        <v>61.0</v>
      </c>
      <c r="P2339" s="37" t="s">
        <v>63</v>
      </c>
      <c r="Q2339" s="37" t="s">
        <v>63</v>
      </c>
      <c r="R2339" s="37" t="s">
        <v>63</v>
      </c>
      <c r="S2339" s="37" t="s">
        <v>63</v>
      </c>
      <c r="T2339" s="69" t="s">
        <v>63</v>
      </c>
      <c r="U2339" s="37" t="s">
        <v>63</v>
      </c>
      <c r="V2339" s="37" t="s">
        <v>63</v>
      </c>
      <c r="W2339" s="37" t="s">
        <v>63</v>
      </c>
      <c r="X2339" s="37" t="s">
        <v>63</v>
      </c>
      <c r="Y2339" s="53">
        <v>167.0</v>
      </c>
      <c r="Z2339" s="69" t="s">
        <v>63</v>
      </c>
      <c r="AA2339" s="73"/>
      <c r="AB2339" s="73"/>
      <c r="AC2339" s="73"/>
      <c r="AD2339" s="73"/>
      <c r="AE2339" s="73"/>
      <c r="AF2339" s="73"/>
      <c r="AG2339" s="73"/>
      <c r="AH2339" s="73"/>
      <c r="AI2339" s="73"/>
      <c r="AJ2339" s="73"/>
      <c r="AK2339" s="73"/>
    </row>
    <row r="2340">
      <c r="A2340" s="28">
        <v>2339.0</v>
      </c>
      <c r="B2340" s="29"/>
      <c r="C2340" s="29"/>
      <c r="D2340" s="40">
        <v>1.0</v>
      </c>
      <c r="E2340" s="31">
        <v>42.0</v>
      </c>
      <c r="F2340" s="42">
        <v>109.0</v>
      </c>
      <c r="G2340" s="29" t="str">
        <f t="shared" si="1"/>
        <v>42109</v>
      </c>
      <c r="H2340" s="37" t="s">
        <v>1807</v>
      </c>
      <c r="I2340" s="37" t="s">
        <v>105</v>
      </c>
      <c r="J2340" s="37" t="s">
        <v>287</v>
      </c>
      <c r="K2340" s="37" t="str">
        <f t="shared" si="39"/>
        <v>Snyder, PA</v>
      </c>
      <c r="L2340" s="37">
        <v>0.0</v>
      </c>
      <c r="M2340" s="37" t="s">
        <v>63</v>
      </c>
      <c r="N2340" s="37">
        <v>0.0</v>
      </c>
      <c r="O2340" s="37">
        <v>0.0</v>
      </c>
      <c r="P2340" s="37" t="s">
        <v>63</v>
      </c>
      <c r="Q2340" s="37" t="s">
        <v>63</v>
      </c>
      <c r="R2340" s="37" t="s">
        <v>63</v>
      </c>
      <c r="S2340" s="37" t="s">
        <v>63</v>
      </c>
      <c r="T2340" s="69" t="s">
        <v>63</v>
      </c>
      <c r="U2340" s="37" t="s">
        <v>63</v>
      </c>
      <c r="V2340" s="37" t="s">
        <v>63</v>
      </c>
      <c r="W2340" s="37" t="s">
        <v>63</v>
      </c>
      <c r="X2340" s="37" t="s">
        <v>63</v>
      </c>
      <c r="Y2340" s="53">
        <v>59.0</v>
      </c>
      <c r="Z2340" s="69" t="s">
        <v>63</v>
      </c>
      <c r="AA2340" s="73"/>
      <c r="AB2340" s="73"/>
      <c r="AC2340" s="73"/>
      <c r="AD2340" s="73"/>
      <c r="AE2340" s="73"/>
      <c r="AF2340" s="73"/>
      <c r="AG2340" s="73"/>
      <c r="AH2340" s="73"/>
      <c r="AI2340" s="73"/>
      <c r="AJ2340" s="73"/>
      <c r="AK2340" s="73"/>
    </row>
    <row r="2341">
      <c r="A2341" s="28">
        <v>2340.0</v>
      </c>
      <c r="B2341" s="29"/>
      <c r="C2341" s="29"/>
      <c r="D2341" s="40">
        <v>1.0</v>
      </c>
      <c r="E2341" s="31">
        <v>42.0</v>
      </c>
      <c r="F2341" s="42">
        <v>111.0</v>
      </c>
      <c r="G2341" s="29" t="str">
        <f t="shared" si="1"/>
        <v>42111</v>
      </c>
      <c r="H2341" s="37" t="s">
        <v>1194</v>
      </c>
      <c r="I2341" s="37" t="s">
        <v>105</v>
      </c>
      <c r="J2341" s="37" t="s">
        <v>287</v>
      </c>
      <c r="K2341" s="37" t="str">
        <f t="shared" si="39"/>
        <v>Somerset, PA</v>
      </c>
      <c r="L2341" s="37">
        <v>133.0</v>
      </c>
      <c r="M2341" s="37" t="s">
        <v>63</v>
      </c>
      <c r="N2341" s="37">
        <v>50.0</v>
      </c>
      <c r="O2341" s="37">
        <v>66.0</v>
      </c>
      <c r="P2341" s="37" t="s">
        <v>63</v>
      </c>
      <c r="Q2341" s="37" t="s">
        <v>63</v>
      </c>
      <c r="R2341" s="37" t="s">
        <v>63</v>
      </c>
      <c r="S2341" s="37" t="s">
        <v>63</v>
      </c>
      <c r="T2341" s="69" t="s">
        <v>63</v>
      </c>
      <c r="U2341" s="37" t="s">
        <v>63</v>
      </c>
      <c r="V2341" s="37" t="s">
        <v>63</v>
      </c>
      <c r="W2341" s="37" t="s">
        <v>63</v>
      </c>
      <c r="X2341" s="37" t="s">
        <v>63</v>
      </c>
      <c r="Y2341" s="53">
        <v>140.0</v>
      </c>
      <c r="Z2341" s="69" t="s">
        <v>63</v>
      </c>
      <c r="AA2341" s="73"/>
      <c r="AB2341" s="73"/>
      <c r="AC2341" s="73"/>
      <c r="AD2341" s="73"/>
      <c r="AE2341" s="73"/>
      <c r="AF2341" s="73"/>
      <c r="AG2341" s="73"/>
      <c r="AH2341" s="73"/>
      <c r="AI2341" s="73"/>
      <c r="AJ2341" s="73"/>
      <c r="AK2341" s="73"/>
    </row>
    <row r="2342">
      <c r="A2342" s="28">
        <v>2341.0</v>
      </c>
      <c r="B2342" s="29"/>
      <c r="C2342" s="29"/>
      <c r="D2342" s="40">
        <v>1.0</v>
      </c>
      <c r="E2342" s="31">
        <v>42.0</v>
      </c>
      <c r="F2342" s="42">
        <v>113.0</v>
      </c>
      <c r="G2342" s="29" t="str">
        <f t="shared" si="1"/>
        <v>42113</v>
      </c>
      <c r="H2342" s="37" t="s">
        <v>860</v>
      </c>
      <c r="I2342" s="37" t="s">
        <v>105</v>
      </c>
      <c r="J2342" s="37" t="s">
        <v>287</v>
      </c>
      <c r="K2342" s="37" t="str">
        <f t="shared" si="39"/>
        <v>Sullivan, PA</v>
      </c>
      <c r="L2342" s="37">
        <v>0.0</v>
      </c>
      <c r="M2342" s="37" t="s">
        <v>63</v>
      </c>
      <c r="N2342" s="37">
        <v>0.0</v>
      </c>
      <c r="O2342" s="37">
        <v>0.0</v>
      </c>
      <c r="P2342" s="37" t="s">
        <v>63</v>
      </c>
      <c r="Q2342" s="37" t="s">
        <v>63</v>
      </c>
      <c r="R2342" s="37" t="s">
        <v>63</v>
      </c>
      <c r="S2342" s="37" t="s">
        <v>63</v>
      </c>
      <c r="T2342" s="69" t="s">
        <v>63</v>
      </c>
      <c r="U2342" s="37" t="s">
        <v>63</v>
      </c>
      <c r="V2342" s="37" t="s">
        <v>63</v>
      </c>
      <c r="W2342" s="37" t="s">
        <v>63</v>
      </c>
      <c r="X2342" s="37" t="s">
        <v>63</v>
      </c>
      <c r="Y2342" s="53">
        <v>14.0</v>
      </c>
      <c r="Z2342" s="69" t="s">
        <v>63</v>
      </c>
      <c r="AA2342" s="73"/>
      <c r="AB2342" s="73"/>
      <c r="AC2342" s="73"/>
      <c r="AD2342" s="73"/>
      <c r="AE2342" s="73"/>
      <c r="AF2342" s="73"/>
      <c r="AG2342" s="73"/>
      <c r="AH2342" s="73"/>
      <c r="AI2342" s="73"/>
      <c r="AJ2342" s="73"/>
      <c r="AK2342" s="73"/>
    </row>
    <row r="2343">
      <c r="A2343" s="28">
        <v>2342.0</v>
      </c>
      <c r="B2343" s="29"/>
      <c r="C2343" s="29"/>
      <c r="D2343" s="40">
        <v>1.0</v>
      </c>
      <c r="E2343" s="31">
        <v>42.0</v>
      </c>
      <c r="F2343" s="42">
        <v>115.0</v>
      </c>
      <c r="G2343" s="29" t="str">
        <f t="shared" si="1"/>
        <v>42115</v>
      </c>
      <c r="H2343" s="37" t="s">
        <v>1808</v>
      </c>
      <c r="I2343" s="37" t="s">
        <v>105</v>
      </c>
      <c r="J2343" s="37" t="s">
        <v>287</v>
      </c>
      <c r="K2343" s="136" t="str">
        <f t="shared" si="39"/>
        <v>Susquehanna, PA</v>
      </c>
      <c r="L2343" s="37">
        <v>41.0</v>
      </c>
      <c r="M2343" s="37" t="s">
        <v>63</v>
      </c>
      <c r="N2343" s="37">
        <v>26.0</v>
      </c>
      <c r="O2343" s="37">
        <v>14.0</v>
      </c>
      <c r="P2343" s="37" t="s">
        <v>63</v>
      </c>
      <c r="Q2343" s="37" t="s">
        <v>63</v>
      </c>
      <c r="R2343" s="37" t="s">
        <v>63</v>
      </c>
      <c r="S2343" s="37" t="s">
        <v>63</v>
      </c>
      <c r="T2343" s="69" t="s">
        <v>63</v>
      </c>
      <c r="U2343" s="37" t="s">
        <v>63</v>
      </c>
      <c r="V2343" s="37" t="s">
        <v>63</v>
      </c>
      <c r="W2343" s="37" t="s">
        <v>63</v>
      </c>
      <c r="X2343" s="37" t="s">
        <v>63</v>
      </c>
      <c r="Y2343" s="53">
        <v>67.0</v>
      </c>
      <c r="Z2343" s="69" t="s">
        <v>63</v>
      </c>
      <c r="AA2343" s="73"/>
      <c r="AB2343" s="73"/>
      <c r="AC2343" s="73"/>
      <c r="AD2343" s="73"/>
      <c r="AE2343" s="73"/>
      <c r="AF2343" s="73"/>
      <c r="AG2343" s="73"/>
      <c r="AH2343" s="73"/>
      <c r="AI2343" s="73"/>
      <c r="AJ2343" s="73"/>
      <c r="AK2343" s="73"/>
    </row>
    <row r="2344">
      <c r="A2344" s="28">
        <v>2343.0</v>
      </c>
      <c r="B2344" s="29"/>
      <c r="C2344" s="29"/>
      <c r="D2344" s="40">
        <v>1.0</v>
      </c>
      <c r="E2344" s="31">
        <v>42.0</v>
      </c>
      <c r="F2344" s="42">
        <v>117.0</v>
      </c>
      <c r="G2344" s="29" t="str">
        <f t="shared" si="1"/>
        <v>42117</v>
      </c>
      <c r="H2344" s="37" t="s">
        <v>1574</v>
      </c>
      <c r="I2344" s="37" t="s">
        <v>105</v>
      </c>
      <c r="J2344" s="37" t="s">
        <v>287</v>
      </c>
      <c r="K2344" s="37" t="str">
        <f t="shared" si="39"/>
        <v>Tioga, PA</v>
      </c>
      <c r="L2344" s="37">
        <v>88.0</v>
      </c>
      <c r="M2344" s="37" t="s">
        <v>63</v>
      </c>
      <c r="N2344" s="37">
        <v>27.0</v>
      </c>
      <c r="O2344" s="37">
        <v>48.0</v>
      </c>
      <c r="P2344" s="37" t="s">
        <v>63</v>
      </c>
      <c r="Q2344" s="37" t="s">
        <v>63</v>
      </c>
      <c r="R2344" s="37" t="s">
        <v>63</v>
      </c>
      <c r="S2344" s="37" t="s">
        <v>63</v>
      </c>
      <c r="T2344" s="69" t="s">
        <v>63</v>
      </c>
      <c r="U2344" s="37" t="s">
        <v>63</v>
      </c>
      <c r="V2344" s="37" t="s">
        <v>63</v>
      </c>
      <c r="W2344" s="37" t="s">
        <v>63</v>
      </c>
      <c r="X2344" s="37" t="s">
        <v>63</v>
      </c>
      <c r="Y2344" s="53">
        <v>88.0</v>
      </c>
      <c r="Z2344" s="69" t="s">
        <v>63</v>
      </c>
      <c r="AA2344" s="73"/>
      <c r="AB2344" s="73"/>
      <c r="AC2344" s="73"/>
      <c r="AD2344" s="73"/>
      <c r="AE2344" s="73"/>
      <c r="AF2344" s="73"/>
      <c r="AG2344" s="73"/>
      <c r="AH2344" s="73"/>
      <c r="AI2344" s="73"/>
      <c r="AJ2344" s="73"/>
      <c r="AK2344" s="73"/>
    </row>
    <row r="2345">
      <c r="A2345" s="28">
        <v>2344.0</v>
      </c>
      <c r="B2345" s="29"/>
      <c r="C2345" s="29"/>
      <c r="D2345" s="40">
        <v>1.0</v>
      </c>
      <c r="E2345" s="31">
        <v>42.0</v>
      </c>
      <c r="F2345" s="42">
        <v>119.0</v>
      </c>
      <c r="G2345" s="29" t="str">
        <f t="shared" si="1"/>
        <v>42119</v>
      </c>
      <c r="H2345" s="37" t="s">
        <v>316</v>
      </c>
      <c r="I2345" s="37" t="s">
        <v>105</v>
      </c>
      <c r="J2345" s="37" t="s">
        <v>287</v>
      </c>
      <c r="K2345" s="37" t="str">
        <f t="shared" si="39"/>
        <v>Union, PA</v>
      </c>
      <c r="L2345" s="37" t="s">
        <v>2509</v>
      </c>
      <c r="M2345" s="37" t="s">
        <v>63</v>
      </c>
      <c r="N2345" s="37">
        <v>0.0</v>
      </c>
      <c r="O2345" s="37" t="s">
        <v>2509</v>
      </c>
      <c r="P2345" s="37" t="s">
        <v>63</v>
      </c>
      <c r="Q2345" s="37" t="s">
        <v>63</v>
      </c>
      <c r="R2345" s="37" t="s">
        <v>63</v>
      </c>
      <c r="S2345" s="37" t="s">
        <v>63</v>
      </c>
      <c r="T2345" s="69" t="s">
        <v>63</v>
      </c>
      <c r="U2345" s="37" t="s">
        <v>63</v>
      </c>
      <c r="V2345" s="37" t="s">
        <v>63</v>
      </c>
      <c r="W2345" s="37" t="s">
        <v>63</v>
      </c>
      <c r="X2345" s="37" t="s">
        <v>63</v>
      </c>
      <c r="Y2345" s="53">
        <v>55.0</v>
      </c>
      <c r="Z2345" s="69" t="s">
        <v>63</v>
      </c>
      <c r="AA2345" s="73"/>
      <c r="AB2345" s="73"/>
      <c r="AC2345" s="73"/>
      <c r="AD2345" s="73"/>
      <c r="AE2345" s="73"/>
      <c r="AF2345" s="73"/>
      <c r="AG2345" s="73"/>
      <c r="AH2345" s="73"/>
      <c r="AI2345" s="73"/>
      <c r="AJ2345" s="73"/>
      <c r="AK2345" s="73"/>
    </row>
    <row r="2346">
      <c r="A2346" s="28">
        <v>2345.0</v>
      </c>
      <c r="B2346" s="29"/>
      <c r="C2346" s="29"/>
      <c r="D2346" s="40">
        <v>1.0</v>
      </c>
      <c r="E2346" s="31">
        <v>42.0</v>
      </c>
      <c r="F2346" s="42">
        <v>121.0</v>
      </c>
      <c r="G2346" s="29" t="str">
        <f t="shared" si="1"/>
        <v>42121</v>
      </c>
      <c r="H2346" s="37" t="s">
        <v>1809</v>
      </c>
      <c r="I2346" s="37" t="s">
        <v>105</v>
      </c>
      <c r="J2346" s="37" t="s">
        <v>287</v>
      </c>
      <c r="K2346" s="37" t="str">
        <f t="shared" si="39"/>
        <v>Venango, PA</v>
      </c>
      <c r="L2346" s="37">
        <v>116.0</v>
      </c>
      <c r="M2346" s="37" t="s">
        <v>63</v>
      </c>
      <c r="N2346" s="37">
        <v>38.0</v>
      </c>
      <c r="O2346" s="37">
        <v>65.0</v>
      </c>
      <c r="P2346" s="37" t="s">
        <v>63</v>
      </c>
      <c r="Q2346" s="37" t="s">
        <v>63</v>
      </c>
      <c r="R2346" s="37" t="s">
        <v>63</v>
      </c>
      <c r="S2346" s="37" t="s">
        <v>63</v>
      </c>
      <c r="T2346" s="69" t="s">
        <v>63</v>
      </c>
      <c r="U2346" s="37" t="s">
        <v>63</v>
      </c>
      <c r="V2346" s="37" t="s">
        <v>63</v>
      </c>
      <c r="W2346" s="37" t="s">
        <v>63</v>
      </c>
      <c r="X2346" s="37" t="s">
        <v>63</v>
      </c>
      <c r="Y2346" s="53">
        <v>92.0</v>
      </c>
      <c r="Z2346" s="69" t="s">
        <v>63</v>
      </c>
      <c r="AA2346" s="73"/>
      <c r="AB2346" s="73"/>
      <c r="AC2346" s="73"/>
      <c r="AD2346" s="73"/>
      <c r="AE2346" s="73"/>
      <c r="AF2346" s="73"/>
      <c r="AG2346" s="73"/>
      <c r="AH2346" s="73"/>
      <c r="AI2346" s="73"/>
      <c r="AJ2346" s="73"/>
      <c r="AK2346" s="73"/>
    </row>
    <row r="2347">
      <c r="A2347" s="28">
        <v>2346.0</v>
      </c>
      <c r="B2347" s="29"/>
      <c r="C2347" s="29"/>
      <c r="D2347" s="40">
        <v>1.0</v>
      </c>
      <c r="E2347" s="31">
        <v>42.0</v>
      </c>
      <c r="F2347" s="42">
        <v>123.0</v>
      </c>
      <c r="G2347" s="29" t="str">
        <f t="shared" si="1"/>
        <v>42123</v>
      </c>
      <c r="H2347" s="37" t="s">
        <v>647</v>
      </c>
      <c r="I2347" s="37" t="s">
        <v>105</v>
      </c>
      <c r="J2347" s="37" t="s">
        <v>287</v>
      </c>
      <c r="K2347" s="37" t="str">
        <f t="shared" si="39"/>
        <v>Warren, PA</v>
      </c>
      <c r="L2347" s="37">
        <v>35.0</v>
      </c>
      <c r="M2347" s="37" t="s">
        <v>63</v>
      </c>
      <c r="N2347" s="37">
        <v>19.0</v>
      </c>
      <c r="O2347" s="37" t="s">
        <v>2509</v>
      </c>
      <c r="P2347" s="37" t="s">
        <v>63</v>
      </c>
      <c r="Q2347" s="37" t="s">
        <v>63</v>
      </c>
      <c r="R2347" s="37" t="s">
        <v>63</v>
      </c>
      <c r="S2347" s="37" t="s">
        <v>63</v>
      </c>
      <c r="T2347" s="69" t="s">
        <v>63</v>
      </c>
      <c r="U2347" s="37" t="s">
        <v>63</v>
      </c>
      <c r="V2347" s="37" t="s">
        <v>63</v>
      </c>
      <c r="W2347" s="37" t="s">
        <v>63</v>
      </c>
      <c r="X2347" s="37" t="s">
        <v>63</v>
      </c>
      <c r="Y2347" s="53">
        <v>55.0</v>
      </c>
      <c r="Z2347" s="69" t="s">
        <v>63</v>
      </c>
      <c r="AA2347" s="73"/>
      <c r="AB2347" s="73"/>
      <c r="AC2347" s="73"/>
      <c r="AD2347" s="73"/>
      <c r="AE2347" s="73"/>
      <c r="AF2347" s="73"/>
      <c r="AG2347" s="73"/>
      <c r="AH2347" s="73"/>
      <c r="AI2347" s="73"/>
      <c r="AJ2347" s="73"/>
      <c r="AK2347" s="73"/>
    </row>
    <row r="2348">
      <c r="A2348" s="28">
        <v>2347.0</v>
      </c>
      <c r="B2348" s="29"/>
      <c r="C2348" s="29"/>
      <c r="D2348" s="40">
        <v>1.0</v>
      </c>
      <c r="E2348" s="31">
        <v>42.0</v>
      </c>
      <c r="F2348" s="42">
        <v>125.0</v>
      </c>
      <c r="G2348" s="29" t="str">
        <f t="shared" si="1"/>
        <v>42125</v>
      </c>
      <c r="H2348" s="37" t="s">
        <v>119</v>
      </c>
      <c r="I2348" s="37" t="s">
        <v>105</v>
      </c>
      <c r="J2348" s="37" t="s">
        <v>287</v>
      </c>
      <c r="K2348" s="37" t="str">
        <f t="shared" si="39"/>
        <v>Washington, PA</v>
      </c>
      <c r="L2348" s="37">
        <v>227.0</v>
      </c>
      <c r="M2348" s="37" t="s">
        <v>63</v>
      </c>
      <c r="N2348" s="37">
        <v>80.0</v>
      </c>
      <c r="O2348" s="37">
        <v>131.0</v>
      </c>
      <c r="P2348" s="37" t="s">
        <v>63</v>
      </c>
      <c r="Q2348" s="37" t="s">
        <v>63</v>
      </c>
      <c r="R2348" s="37" t="s">
        <v>63</v>
      </c>
      <c r="S2348" s="37" t="s">
        <v>63</v>
      </c>
      <c r="T2348" s="69" t="s">
        <v>63</v>
      </c>
      <c r="U2348" s="37" t="s">
        <v>63</v>
      </c>
      <c r="V2348" s="37" t="s">
        <v>63</v>
      </c>
      <c r="W2348" s="37" t="s">
        <v>63</v>
      </c>
      <c r="X2348" s="37" t="s">
        <v>63</v>
      </c>
      <c r="Y2348" s="53">
        <v>202.0</v>
      </c>
      <c r="Z2348" s="69" t="s">
        <v>63</v>
      </c>
      <c r="AA2348" s="73"/>
      <c r="AB2348" s="73"/>
      <c r="AC2348" s="73"/>
      <c r="AD2348" s="73"/>
      <c r="AE2348" s="73"/>
      <c r="AF2348" s="73"/>
      <c r="AG2348" s="73"/>
      <c r="AH2348" s="73"/>
      <c r="AI2348" s="73"/>
      <c r="AJ2348" s="73"/>
      <c r="AK2348" s="73"/>
    </row>
    <row r="2349">
      <c r="A2349" s="28">
        <v>2348.0</v>
      </c>
      <c r="B2349" s="29"/>
      <c r="C2349" s="29"/>
      <c r="D2349" s="40">
        <v>1.0</v>
      </c>
      <c r="E2349" s="31">
        <v>42.0</v>
      </c>
      <c r="F2349" s="42">
        <v>127.0</v>
      </c>
      <c r="G2349" s="29" t="str">
        <f t="shared" si="1"/>
        <v>42127</v>
      </c>
      <c r="H2349" s="37" t="s">
        <v>273</v>
      </c>
      <c r="I2349" s="37" t="s">
        <v>105</v>
      </c>
      <c r="J2349" s="37" t="s">
        <v>287</v>
      </c>
      <c r="K2349" s="37" t="str">
        <f t="shared" si="39"/>
        <v>Wayne, PA</v>
      </c>
      <c r="L2349" s="37">
        <v>52.0</v>
      </c>
      <c r="M2349" s="37" t="s">
        <v>63</v>
      </c>
      <c r="N2349" s="37">
        <v>25.0</v>
      </c>
      <c r="O2349" s="37">
        <v>13.0</v>
      </c>
      <c r="P2349" s="37" t="s">
        <v>63</v>
      </c>
      <c r="Q2349" s="37" t="s">
        <v>63</v>
      </c>
      <c r="R2349" s="37" t="s">
        <v>63</v>
      </c>
      <c r="S2349" s="37" t="s">
        <v>63</v>
      </c>
      <c r="T2349" s="69" t="s">
        <v>63</v>
      </c>
      <c r="U2349" s="37" t="s">
        <v>63</v>
      </c>
      <c r="V2349" s="37" t="s">
        <v>63</v>
      </c>
      <c r="W2349" s="37" t="s">
        <v>63</v>
      </c>
      <c r="X2349" s="37" t="s">
        <v>63</v>
      </c>
      <c r="Y2349" s="53">
        <v>56.0</v>
      </c>
      <c r="Z2349" s="69" t="s">
        <v>63</v>
      </c>
      <c r="AA2349" s="73"/>
      <c r="AB2349" s="73"/>
      <c r="AC2349" s="73"/>
      <c r="AD2349" s="73"/>
      <c r="AE2349" s="73"/>
      <c r="AF2349" s="73"/>
      <c r="AG2349" s="73"/>
      <c r="AH2349" s="73"/>
      <c r="AI2349" s="73"/>
      <c r="AJ2349" s="73"/>
      <c r="AK2349" s="73"/>
    </row>
    <row r="2350">
      <c r="A2350" s="28">
        <v>2349.0</v>
      </c>
      <c r="B2350" s="29"/>
      <c r="C2350" s="29"/>
      <c r="D2350" s="40">
        <v>1.0</v>
      </c>
      <c r="E2350" s="31">
        <v>42.0</v>
      </c>
      <c r="F2350" s="42">
        <v>129.0</v>
      </c>
      <c r="G2350" s="29" t="str">
        <f t="shared" si="1"/>
        <v>42129</v>
      </c>
      <c r="H2350" s="37" t="s">
        <v>1810</v>
      </c>
      <c r="I2350" s="37" t="s">
        <v>105</v>
      </c>
      <c r="J2350" s="37" t="s">
        <v>287</v>
      </c>
      <c r="K2350" s="136" t="str">
        <f t="shared" si="39"/>
        <v>Westmoreland, PA</v>
      </c>
      <c r="L2350" s="37">
        <v>243.0</v>
      </c>
      <c r="M2350" s="37" t="s">
        <v>63</v>
      </c>
      <c r="N2350" s="37">
        <v>104.0</v>
      </c>
      <c r="O2350" s="37">
        <v>94.0</v>
      </c>
      <c r="P2350" s="37" t="s">
        <v>63</v>
      </c>
      <c r="Q2350" s="37" t="s">
        <v>63</v>
      </c>
      <c r="R2350" s="37" t="s">
        <v>63</v>
      </c>
      <c r="S2350" s="37" t="s">
        <v>63</v>
      </c>
      <c r="T2350" s="69" t="s">
        <v>63</v>
      </c>
      <c r="U2350" s="37" t="s">
        <v>63</v>
      </c>
      <c r="V2350" s="37" t="s">
        <v>63</v>
      </c>
      <c r="W2350" s="37" t="s">
        <v>63</v>
      </c>
      <c r="X2350" s="37" t="s">
        <v>63</v>
      </c>
      <c r="Y2350" s="53">
        <v>380.0</v>
      </c>
      <c r="Z2350" s="69" t="s">
        <v>63</v>
      </c>
      <c r="AA2350" s="73"/>
      <c r="AB2350" s="73"/>
      <c r="AC2350" s="73"/>
      <c r="AD2350" s="73"/>
      <c r="AE2350" s="73"/>
      <c r="AF2350" s="73"/>
      <c r="AG2350" s="73"/>
      <c r="AH2350" s="73"/>
      <c r="AI2350" s="73"/>
      <c r="AJ2350" s="73"/>
      <c r="AK2350" s="73"/>
    </row>
    <row r="2351">
      <c r="A2351" s="28">
        <v>2350.0</v>
      </c>
      <c r="B2351" s="29"/>
      <c r="C2351" s="29"/>
      <c r="D2351" s="40">
        <v>1.0</v>
      </c>
      <c r="E2351" s="31">
        <v>42.0</v>
      </c>
      <c r="F2351" s="42">
        <v>131.0</v>
      </c>
      <c r="G2351" s="29" t="str">
        <f t="shared" si="1"/>
        <v>42131</v>
      </c>
      <c r="H2351" s="37" t="s">
        <v>123</v>
      </c>
      <c r="I2351" s="37" t="s">
        <v>105</v>
      </c>
      <c r="J2351" s="37" t="s">
        <v>287</v>
      </c>
      <c r="K2351" s="37" t="str">
        <f t="shared" si="39"/>
        <v>Wyoming, PA</v>
      </c>
      <c r="L2351" s="37">
        <v>42.0</v>
      </c>
      <c r="M2351" s="37" t="s">
        <v>63</v>
      </c>
      <c r="N2351" s="37">
        <v>23.0</v>
      </c>
      <c r="O2351" s="37">
        <v>11.0</v>
      </c>
      <c r="P2351" s="37" t="s">
        <v>63</v>
      </c>
      <c r="Q2351" s="37" t="s">
        <v>63</v>
      </c>
      <c r="R2351" s="37" t="s">
        <v>63</v>
      </c>
      <c r="S2351" s="37" t="s">
        <v>63</v>
      </c>
      <c r="T2351" s="69" t="s">
        <v>63</v>
      </c>
      <c r="U2351" s="37" t="s">
        <v>63</v>
      </c>
      <c r="V2351" s="37" t="s">
        <v>63</v>
      </c>
      <c r="W2351" s="37" t="s">
        <v>63</v>
      </c>
      <c r="X2351" s="37" t="s">
        <v>63</v>
      </c>
      <c r="Y2351" s="53">
        <v>45.0</v>
      </c>
      <c r="Z2351" s="69" t="s">
        <v>63</v>
      </c>
      <c r="AA2351" s="73"/>
      <c r="AB2351" s="73"/>
      <c r="AC2351" s="73"/>
      <c r="AD2351" s="73"/>
      <c r="AE2351" s="73"/>
      <c r="AF2351" s="73"/>
      <c r="AG2351" s="73"/>
      <c r="AH2351" s="73"/>
      <c r="AI2351" s="73"/>
      <c r="AJ2351" s="73"/>
      <c r="AK2351" s="73"/>
    </row>
    <row r="2352">
      <c r="A2352" s="28">
        <v>2351.0</v>
      </c>
      <c r="B2352" s="29"/>
      <c r="C2352" s="29"/>
      <c r="D2352" s="40">
        <v>1.0</v>
      </c>
      <c r="E2352" s="31">
        <v>42.0</v>
      </c>
      <c r="F2352" s="42">
        <v>133.0</v>
      </c>
      <c r="G2352" s="29" t="str">
        <f t="shared" si="1"/>
        <v>42133</v>
      </c>
      <c r="H2352" s="37" t="s">
        <v>1196</v>
      </c>
      <c r="I2352" s="37" t="s">
        <v>105</v>
      </c>
      <c r="J2352" s="37" t="s">
        <v>287</v>
      </c>
      <c r="K2352" s="37" t="str">
        <f t="shared" si="39"/>
        <v>York, PA</v>
      </c>
      <c r="L2352" s="37">
        <v>402.0</v>
      </c>
      <c r="M2352" s="37" t="s">
        <v>63</v>
      </c>
      <c r="N2352" s="37">
        <v>162.0</v>
      </c>
      <c r="O2352" s="37">
        <v>166.0</v>
      </c>
      <c r="P2352" s="37" t="s">
        <v>63</v>
      </c>
      <c r="Q2352" s="37" t="s">
        <v>63</v>
      </c>
      <c r="R2352" s="37" t="s">
        <v>63</v>
      </c>
      <c r="S2352" s="37" t="s">
        <v>63</v>
      </c>
      <c r="T2352" s="69" t="s">
        <v>63</v>
      </c>
      <c r="U2352" s="37" t="s">
        <v>63</v>
      </c>
      <c r="V2352" s="37" t="s">
        <v>63</v>
      </c>
      <c r="W2352" s="37" t="s">
        <v>63</v>
      </c>
      <c r="X2352" s="37" t="s">
        <v>63</v>
      </c>
      <c r="Y2352" s="53">
        <v>399.0</v>
      </c>
      <c r="Z2352" s="69" t="s">
        <v>63</v>
      </c>
      <c r="AA2352" s="73"/>
      <c r="AB2352" s="73"/>
      <c r="AC2352" s="73"/>
      <c r="AD2352" s="73"/>
      <c r="AE2352" s="73"/>
      <c r="AF2352" s="73"/>
      <c r="AG2352" s="73"/>
      <c r="AH2352" s="73"/>
      <c r="AI2352" s="73"/>
      <c r="AJ2352" s="73"/>
      <c r="AK2352" s="73"/>
    </row>
    <row r="2353">
      <c r="A2353" s="99">
        <v>2352.0</v>
      </c>
      <c r="B2353" s="15"/>
      <c r="C2353" s="14" t="s">
        <v>25</v>
      </c>
      <c r="D2353" s="16"/>
      <c r="E2353" s="102">
        <v>44.0</v>
      </c>
      <c r="F2353" s="107">
        <v>0.0</v>
      </c>
      <c r="G2353" s="15" t="str">
        <f t="shared" si="1"/>
        <v>44000</v>
      </c>
      <c r="H2353" s="23"/>
      <c r="I2353" s="23" t="s">
        <v>106</v>
      </c>
      <c r="J2353" s="23" t="s">
        <v>596</v>
      </c>
      <c r="K2353" s="23"/>
      <c r="L2353" s="23">
        <f t="array" ref="L2353:Z2353">'Rhode Island'!C9:Q9</f>
        <v>1567</v>
      </c>
      <c r="M2353" s="23" t="s">
        <v>63</v>
      </c>
      <c r="N2353" s="23">
        <v>287.0</v>
      </c>
      <c r="O2353" s="23">
        <v>666.0</v>
      </c>
      <c r="P2353" s="23">
        <v>80.0</v>
      </c>
      <c r="Q2353" s="23">
        <v>767.0</v>
      </c>
      <c r="R2353" s="23">
        <v>33.0</v>
      </c>
      <c r="S2353" s="23" t="s">
        <v>63</v>
      </c>
      <c r="T2353" s="32">
        <v>0.723</v>
      </c>
      <c r="U2353" s="23" t="s">
        <v>63</v>
      </c>
      <c r="V2353" s="23" t="s">
        <v>63</v>
      </c>
      <c r="W2353" s="23" t="s">
        <v>63</v>
      </c>
      <c r="X2353" s="23" t="s">
        <v>63</v>
      </c>
      <c r="Y2353" s="123">
        <v>550.0</v>
      </c>
      <c r="Z2353" s="32" t="s">
        <v>63</v>
      </c>
      <c r="AA2353" s="38"/>
      <c r="AB2353" s="38"/>
      <c r="AC2353" s="38"/>
      <c r="AD2353" s="38"/>
      <c r="AE2353" s="38"/>
      <c r="AF2353" s="38"/>
      <c r="AG2353" s="38"/>
      <c r="AH2353" s="38"/>
      <c r="AI2353" s="38"/>
      <c r="AJ2353" s="38"/>
      <c r="AK2353" s="38"/>
    </row>
    <row r="2354">
      <c r="A2354" s="99">
        <v>2353.0</v>
      </c>
      <c r="B2354" s="15"/>
      <c r="C2354" s="15"/>
      <c r="D2354" s="105">
        <v>1.0</v>
      </c>
      <c r="E2354" s="102">
        <v>44.0</v>
      </c>
      <c r="F2354" s="107">
        <v>1.0</v>
      </c>
      <c r="G2354" s="15" t="str">
        <f t="shared" si="1"/>
        <v>44001</v>
      </c>
      <c r="H2354" s="23" t="s">
        <v>634</v>
      </c>
      <c r="I2354" s="23" t="s">
        <v>106</v>
      </c>
      <c r="J2354" s="23" t="s">
        <v>596</v>
      </c>
      <c r="K2354" s="23" t="str">
        <f t="shared" ref="K2354:K2358" si="40">CONCATENATE(H2354,", ",J2354)</f>
        <v>Bristol, RI</v>
      </c>
      <c r="L2354" s="23" t="str">
        <f t="array" ref="L2354:Z2358">'Rhode Island'!C3:Q7</f>
        <v>NULL</v>
      </c>
      <c r="M2354" s="23" t="s">
        <v>63</v>
      </c>
      <c r="N2354" s="23" t="s">
        <v>63</v>
      </c>
      <c r="O2354" s="23" t="s">
        <v>63</v>
      </c>
      <c r="P2354" s="23" t="s">
        <v>63</v>
      </c>
      <c r="Q2354" s="23" t="s">
        <v>63</v>
      </c>
      <c r="R2354" s="23" t="s">
        <v>63</v>
      </c>
      <c r="S2354" s="23" t="s">
        <v>63</v>
      </c>
      <c r="T2354" s="32" t="s">
        <v>63</v>
      </c>
      <c r="U2354" s="23" t="s">
        <v>63</v>
      </c>
      <c r="V2354" s="23" t="s">
        <v>63</v>
      </c>
      <c r="W2354" s="23" t="s">
        <v>63</v>
      </c>
      <c r="X2354" s="23" t="s">
        <v>63</v>
      </c>
      <c r="Y2354" s="35">
        <v>22.0</v>
      </c>
      <c r="Z2354" s="32" t="s">
        <v>63</v>
      </c>
      <c r="AA2354" s="38"/>
      <c r="AB2354" s="38"/>
      <c r="AC2354" s="38"/>
      <c r="AD2354" s="38"/>
      <c r="AE2354" s="38"/>
      <c r="AF2354" s="38"/>
      <c r="AG2354" s="38"/>
      <c r="AH2354" s="38"/>
      <c r="AI2354" s="38"/>
      <c r="AJ2354" s="38"/>
      <c r="AK2354" s="38"/>
    </row>
    <row r="2355">
      <c r="A2355" s="99">
        <v>2354.0</v>
      </c>
      <c r="B2355" s="15"/>
      <c r="C2355" s="15"/>
      <c r="D2355" s="105">
        <v>1.0</v>
      </c>
      <c r="E2355" s="102">
        <v>44.0</v>
      </c>
      <c r="F2355" s="107">
        <v>3.0</v>
      </c>
      <c r="G2355" s="15" t="str">
        <f t="shared" si="1"/>
        <v>44003</v>
      </c>
      <c r="H2355" s="23" t="s">
        <v>474</v>
      </c>
      <c r="I2355" s="23" t="s">
        <v>106</v>
      </c>
      <c r="J2355" s="23" t="s">
        <v>596</v>
      </c>
      <c r="K2355" s="23" t="str">
        <f t="shared" si="40"/>
        <v>Kent, RI</v>
      </c>
      <c r="L2355" s="23" t="s">
        <v>63</v>
      </c>
      <c r="M2355" s="23" t="s">
        <v>63</v>
      </c>
      <c r="N2355" s="23" t="s">
        <v>63</v>
      </c>
      <c r="O2355" s="23" t="s">
        <v>63</v>
      </c>
      <c r="P2355" s="23" t="s">
        <v>63</v>
      </c>
      <c r="Q2355" s="23" t="s">
        <v>63</v>
      </c>
      <c r="R2355" s="23" t="s">
        <v>63</v>
      </c>
      <c r="S2355" s="23" t="s">
        <v>63</v>
      </c>
      <c r="T2355" s="32" t="s">
        <v>63</v>
      </c>
      <c r="U2355" s="23" t="s">
        <v>63</v>
      </c>
      <c r="V2355" s="23" t="s">
        <v>63</v>
      </c>
      <c r="W2355" s="23" t="s">
        <v>63</v>
      </c>
      <c r="X2355" s="23" t="s">
        <v>63</v>
      </c>
      <c r="Y2355" s="35">
        <v>67.0</v>
      </c>
      <c r="Z2355" s="32" t="s">
        <v>63</v>
      </c>
      <c r="AA2355" s="38"/>
      <c r="AB2355" s="38"/>
      <c r="AC2355" s="38"/>
      <c r="AD2355" s="38"/>
      <c r="AE2355" s="38"/>
      <c r="AF2355" s="38"/>
      <c r="AG2355" s="38"/>
      <c r="AH2355" s="38"/>
      <c r="AI2355" s="38"/>
      <c r="AJ2355" s="38"/>
      <c r="AK2355" s="38"/>
    </row>
    <row r="2356">
      <c r="A2356" s="99">
        <v>2355.0</v>
      </c>
      <c r="B2356" s="15"/>
      <c r="C2356" s="15"/>
      <c r="D2356" s="105">
        <v>1.0</v>
      </c>
      <c r="E2356" s="102">
        <v>44.0</v>
      </c>
      <c r="F2356" s="107">
        <v>5.0</v>
      </c>
      <c r="G2356" s="15" t="str">
        <f t="shared" si="1"/>
        <v>44005</v>
      </c>
      <c r="H2356" s="23" t="s">
        <v>1811</v>
      </c>
      <c r="I2356" s="23" t="s">
        <v>106</v>
      </c>
      <c r="J2356" s="23" t="s">
        <v>596</v>
      </c>
      <c r="K2356" s="23" t="str">
        <f t="shared" si="40"/>
        <v>Newport, RI</v>
      </c>
      <c r="L2356" s="23" t="s">
        <v>63</v>
      </c>
      <c r="M2356" s="23" t="s">
        <v>63</v>
      </c>
      <c r="N2356" s="23" t="s">
        <v>63</v>
      </c>
      <c r="O2356" s="23" t="s">
        <v>63</v>
      </c>
      <c r="P2356" s="23" t="s">
        <v>63</v>
      </c>
      <c r="Q2356" s="23" t="s">
        <v>63</v>
      </c>
      <c r="R2356" s="23" t="s">
        <v>63</v>
      </c>
      <c r="S2356" s="23" t="s">
        <v>63</v>
      </c>
      <c r="T2356" s="32" t="s">
        <v>63</v>
      </c>
      <c r="U2356" s="23" t="s">
        <v>63</v>
      </c>
      <c r="V2356" s="23" t="s">
        <v>63</v>
      </c>
      <c r="W2356" s="23" t="s">
        <v>63</v>
      </c>
      <c r="X2356" s="23" t="s">
        <v>63</v>
      </c>
      <c r="Y2356" s="35">
        <v>58.0</v>
      </c>
      <c r="Z2356" s="32" t="s">
        <v>63</v>
      </c>
      <c r="AA2356" s="38"/>
      <c r="AB2356" s="38"/>
      <c r="AC2356" s="38"/>
      <c r="AD2356" s="38"/>
      <c r="AE2356" s="38"/>
      <c r="AF2356" s="38"/>
      <c r="AG2356" s="38"/>
      <c r="AH2356" s="38"/>
      <c r="AI2356" s="38"/>
      <c r="AJ2356" s="38"/>
      <c r="AK2356" s="38"/>
    </row>
    <row r="2357">
      <c r="A2357" s="99">
        <v>2356.0</v>
      </c>
      <c r="B2357" s="15"/>
      <c r="C2357" s="15"/>
      <c r="D2357" s="105">
        <v>1.0</v>
      </c>
      <c r="E2357" s="102">
        <v>44.0</v>
      </c>
      <c r="F2357" s="107">
        <v>7.0</v>
      </c>
      <c r="G2357" s="15" t="str">
        <f t="shared" si="1"/>
        <v>44007</v>
      </c>
      <c r="H2357" s="23" t="s">
        <v>595</v>
      </c>
      <c r="I2357" s="23" t="s">
        <v>106</v>
      </c>
      <c r="J2357" s="23" t="s">
        <v>596</v>
      </c>
      <c r="K2357" s="23" t="str">
        <f t="shared" si="40"/>
        <v>Providence, RI</v>
      </c>
      <c r="L2357" s="23" t="s">
        <v>63</v>
      </c>
      <c r="M2357" s="23" t="s">
        <v>63</v>
      </c>
      <c r="N2357" s="23" t="s">
        <v>63</v>
      </c>
      <c r="O2357" s="23" t="s">
        <v>63</v>
      </c>
      <c r="P2357" s="23" t="s">
        <v>63</v>
      </c>
      <c r="Q2357" s="23" t="s">
        <v>63</v>
      </c>
      <c r="R2357" s="23" t="s">
        <v>63</v>
      </c>
      <c r="S2357" s="23" t="s">
        <v>63</v>
      </c>
      <c r="T2357" s="32" t="s">
        <v>63</v>
      </c>
      <c r="U2357" s="23" t="s">
        <v>63</v>
      </c>
      <c r="V2357" s="23" t="s">
        <v>63</v>
      </c>
      <c r="W2357" s="23" t="s">
        <v>63</v>
      </c>
      <c r="X2357" s="23" t="s">
        <v>63</v>
      </c>
      <c r="Y2357" s="35">
        <v>323.0</v>
      </c>
      <c r="Z2357" s="32" t="s">
        <v>63</v>
      </c>
      <c r="AA2357" s="38"/>
      <c r="AB2357" s="38"/>
      <c r="AC2357" s="38"/>
      <c r="AD2357" s="38"/>
      <c r="AE2357" s="38"/>
      <c r="AF2357" s="38"/>
      <c r="AG2357" s="38"/>
      <c r="AH2357" s="38"/>
      <c r="AI2357" s="38"/>
      <c r="AJ2357" s="38"/>
      <c r="AK2357" s="38"/>
    </row>
    <row r="2358">
      <c r="A2358" s="99">
        <v>2357.0</v>
      </c>
      <c r="B2358" s="15"/>
      <c r="C2358" s="15"/>
      <c r="D2358" s="105">
        <v>1.0</v>
      </c>
      <c r="E2358" s="102">
        <v>44.0</v>
      </c>
      <c r="F2358" s="107">
        <v>9.0</v>
      </c>
      <c r="G2358" s="15" t="str">
        <f t="shared" si="1"/>
        <v>44009</v>
      </c>
      <c r="H2358" s="23" t="s">
        <v>119</v>
      </c>
      <c r="I2358" s="23" t="s">
        <v>106</v>
      </c>
      <c r="J2358" s="23" t="s">
        <v>596</v>
      </c>
      <c r="K2358" s="23" t="str">
        <f t="shared" si="40"/>
        <v>Washington, RI</v>
      </c>
      <c r="L2358" s="23" t="s">
        <v>63</v>
      </c>
      <c r="M2358" s="23" t="s">
        <v>63</v>
      </c>
      <c r="N2358" s="23" t="s">
        <v>63</v>
      </c>
      <c r="O2358" s="23" t="s">
        <v>63</v>
      </c>
      <c r="P2358" s="23" t="s">
        <v>63</v>
      </c>
      <c r="Q2358" s="23" t="s">
        <v>63</v>
      </c>
      <c r="R2358" s="23" t="s">
        <v>63</v>
      </c>
      <c r="S2358" s="23" t="s">
        <v>63</v>
      </c>
      <c r="T2358" s="32" t="s">
        <v>63</v>
      </c>
      <c r="U2358" s="23" t="s">
        <v>63</v>
      </c>
      <c r="V2358" s="23" t="s">
        <v>63</v>
      </c>
      <c r="W2358" s="23" t="s">
        <v>63</v>
      </c>
      <c r="X2358" s="23" t="s">
        <v>63</v>
      </c>
      <c r="Y2358" s="35">
        <v>80.0</v>
      </c>
      <c r="Z2358" s="32" t="s">
        <v>63</v>
      </c>
      <c r="AA2358" s="38"/>
      <c r="AB2358" s="38"/>
      <c r="AC2358" s="38"/>
      <c r="AD2358" s="38"/>
      <c r="AE2358" s="38"/>
      <c r="AF2358" s="38"/>
      <c r="AG2358" s="38"/>
      <c r="AH2358" s="38"/>
      <c r="AI2358" s="38"/>
      <c r="AJ2358" s="38"/>
      <c r="AK2358" s="38"/>
    </row>
    <row r="2359">
      <c r="A2359" s="28">
        <v>2358.0</v>
      </c>
      <c r="B2359" s="29"/>
      <c r="C2359" s="29" t="s">
        <v>25</v>
      </c>
      <c r="D2359" s="30"/>
      <c r="E2359" s="31">
        <v>45.0</v>
      </c>
      <c r="F2359" s="42">
        <v>0.0</v>
      </c>
      <c r="G2359" s="29" t="str">
        <f t="shared" si="1"/>
        <v>45000</v>
      </c>
      <c r="H2359" s="37"/>
      <c r="I2359" s="37" t="s">
        <v>108</v>
      </c>
      <c r="J2359" s="37" t="s">
        <v>1812</v>
      </c>
      <c r="K2359" s="37"/>
      <c r="L2359" s="70">
        <f t="array" ref="L2359:Z2359">'South Carolina'!C50:Q50</f>
        <v>3456</v>
      </c>
      <c r="M2359" s="37">
        <v>2.0</v>
      </c>
      <c r="N2359" s="70">
        <v>2022.0</v>
      </c>
      <c r="O2359" s="37">
        <v>975.0</v>
      </c>
      <c r="P2359" s="70">
        <v>1538.0</v>
      </c>
      <c r="Q2359" s="70">
        <v>2250.0</v>
      </c>
      <c r="R2359" s="37">
        <v>935.0</v>
      </c>
      <c r="S2359" s="37" t="s">
        <v>63</v>
      </c>
      <c r="T2359" s="69">
        <v>0.736</v>
      </c>
      <c r="U2359" s="70">
        <v>4149.0</v>
      </c>
      <c r="V2359" s="37" t="s">
        <v>63</v>
      </c>
      <c r="W2359" s="37" t="s">
        <v>63</v>
      </c>
      <c r="X2359" s="37" t="s">
        <v>63</v>
      </c>
      <c r="Y2359" s="53">
        <v>6514.0</v>
      </c>
      <c r="Z2359" s="69" t="s">
        <v>63</v>
      </c>
      <c r="AA2359" s="73"/>
      <c r="AB2359" s="73"/>
      <c r="AC2359" s="73"/>
      <c r="AD2359" s="73"/>
      <c r="AE2359" s="73"/>
      <c r="AF2359" s="73"/>
      <c r="AG2359" s="73"/>
      <c r="AH2359" s="73"/>
      <c r="AI2359" s="73"/>
      <c r="AJ2359" s="73"/>
      <c r="AK2359" s="73"/>
    </row>
    <row r="2360">
      <c r="A2360" s="28">
        <v>2359.0</v>
      </c>
      <c r="B2360" s="29"/>
      <c r="C2360" s="29"/>
      <c r="D2360" s="40">
        <v>1.0</v>
      </c>
      <c r="E2360" s="31">
        <v>45.0</v>
      </c>
      <c r="F2360" s="42">
        <v>1.0</v>
      </c>
      <c r="G2360" s="29" t="str">
        <f t="shared" si="1"/>
        <v>45001</v>
      </c>
      <c r="H2360" s="37" t="s">
        <v>1813</v>
      </c>
      <c r="I2360" s="37" t="s">
        <v>108</v>
      </c>
      <c r="J2360" s="37" t="s">
        <v>1812</v>
      </c>
      <c r="K2360" s="37" t="str">
        <f t="shared" ref="K2360:K2405" si="41">CONCATENATE(H2360,", ",J2360)</f>
        <v>Abbeville, SC</v>
      </c>
      <c r="L2360" s="37">
        <f t="array" ref="L2360:Z2405">'South Carolina'!C3:Q48</f>
        <v>18</v>
      </c>
      <c r="M2360" s="37" t="s">
        <v>63</v>
      </c>
      <c r="N2360" s="37">
        <v>9.0</v>
      </c>
      <c r="O2360" s="37">
        <v>7.0</v>
      </c>
      <c r="P2360" s="37" t="s">
        <v>2510</v>
      </c>
      <c r="Q2360" s="37">
        <v>10.0</v>
      </c>
      <c r="R2360" s="37">
        <v>5.0</v>
      </c>
      <c r="S2360" s="37" t="s">
        <v>63</v>
      </c>
      <c r="T2360" s="69">
        <v>0.857</v>
      </c>
      <c r="U2360" s="37">
        <v>12.0</v>
      </c>
      <c r="V2360" s="37" t="s">
        <v>63</v>
      </c>
      <c r="W2360" s="37" t="s">
        <v>63</v>
      </c>
      <c r="X2360" s="37" t="s">
        <v>63</v>
      </c>
      <c r="Y2360" s="53">
        <v>77.0</v>
      </c>
      <c r="Z2360" s="69" t="s">
        <v>63</v>
      </c>
      <c r="AA2360" s="73"/>
      <c r="AB2360" s="73"/>
      <c r="AC2360" s="73"/>
      <c r="AD2360" s="73"/>
      <c r="AE2360" s="73"/>
      <c r="AF2360" s="73"/>
      <c r="AG2360" s="73"/>
      <c r="AH2360" s="73"/>
      <c r="AI2360" s="73"/>
      <c r="AJ2360" s="73"/>
      <c r="AK2360" s="73"/>
    </row>
    <row r="2361">
      <c r="A2361" s="28">
        <v>2360.0</v>
      </c>
      <c r="B2361" s="29"/>
      <c r="C2361" s="29"/>
      <c r="D2361" s="40">
        <v>1.0</v>
      </c>
      <c r="E2361" s="31">
        <v>45.0</v>
      </c>
      <c r="F2361" s="42">
        <v>3.0</v>
      </c>
      <c r="G2361" s="29" t="str">
        <f t="shared" si="1"/>
        <v>45003</v>
      </c>
      <c r="H2361" s="37" t="s">
        <v>1814</v>
      </c>
      <c r="I2361" s="37" t="s">
        <v>108</v>
      </c>
      <c r="J2361" s="37" t="s">
        <v>1812</v>
      </c>
      <c r="K2361" s="37" t="str">
        <f t="shared" si="41"/>
        <v>Aiken, SC</v>
      </c>
      <c r="L2361" s="37">
        <v>96.0</v>
      </c>
      <c r="M2361" s="37" t="s">
        <v>63</v>
      </c>
      <c r="N2361" s="37">
        <v>40.0</v>
      </c>
      <c r="O2361" s="37">
        <v>42.0</v>
      </c>
      <c r="P2361" s="37">
        <v>40.0</v>
      </c>
      <c r="Q2361" s="37">
        <v>59.0</v>
      </c>
      <c r="R2361" s="37">
        <v>24.0</v>
      </c>
      <c r="S2361" s="37" t="s">
        <v>63</v>
      </c>
      <c r="T2361" s="69">
        <v>0.625</v>
      </c>
      <c r="U2361" s="37">
        <v>60.0</v>
      </c>
      <c r="V2361" s="37" t="s">
        <v>63</v>
      </c>
      <c r="W2361" s="37" t="s">
        <v>63</v>
      </c>
      <c r="X2361" s="37" t="s">
        <v>63</v>
      </c>
      <c r="Y2361" s="53">
        <v>219.0</v>
      </c>
      <c r="Z2361" s="69" t="s">
        <v>63</v>
      </c>
      <c r="AA2361" s="73"/>
      <c r="AB2361" s="73"/>
      <c r="AC2361" s="73"/>
      <c r="AD2361" s="73"/>
      <c r="AE2361" s="73"/>
      <c r="AF2361" s="73"/>
      <c r="AG2361" s="73"/>
      <c r="AH2361" s="73"/>
      <c r="AI2361" s="73"/>
      <c r="AJ2361" s="73"/>
      <c r="AK2361" s="73"/>
    </row>
    <row r="2362">
      <c r="A2362" s="28">
        <v>2361.0</v>
      </c>
      <c r="B2362" s="29"/>
      <c r="C2362" s="29"/>
      <c r="D2362" s="40">
        <v>1.0</v>
      </c>
      <c r="E2362" s="31">
        <v>45.0</v>
      </c>
      <c r="F2362" s="42">
        <v>5.0</v>
      </c>
      <c r="G2362" s="29" t="str">
        <f t="shared" si="1"/>
        <v>45005</v>
      </c>
      <c r="H2362" s="37" t="s">
        <v>1815</v>
      </c>
      <c r="I2362" s="37" t="s">
        <v>108</v>
      </c>
      <c r="J2362" s="37" t="s">
        <v>1812</v>
      </c>
      <c r="K2362" s="37" t="str">
        <f t="shared" si="41"/>
        <v>Allendale, SC</v>
      </c>
      <c r="L2362" s="37">
        <v>1.0</v>
      </c>
      <c r="M2362" s="37" t="s">
        <v>63</v>
      </c>
      <c r="N2362" s="37">
        <v>0.0</v>
      </c>
      <c r="O2362" s="37">
        <v>1.0</v>
      </c>
      <c r="P2362" s="37" t="s">
        <v>63</v>
      </c>
      <c r="Q2362" s="37">
        <v>1.0</v>
      </c>
      <c r="R2362" s="37" t="s">
        <v>63</v>
      </c>
      <c r="S2362" s="37" t="s">
        <v>63</v>
      </c>
      <c r="T2362" s="69">
        <v>0.8</v>
      </c>
      <c r="U2362" s="37">
        <v>3.0</v>
      </c>
      <c r="V2362" s="37" t="s">
        <v>63</v>
      </c>
      <c r="W2362" s="37" t="s">
        <v>63</v>
      </c>
      <c r="X2362" s="37" t="s">
        <v>63</v>
      </c>
      <c r="Y2362" s="53">
        <v>29.0</v>
      </c>
      <c r="Z2362" s="69" t="s">
        <v>63</v>
      </c>
      <c r="AA2362" s="73"/>
      <c r="AB2362" s="73"/>
      <c r="AC2362" s="73"/>
      <c r="AD2362" s="73"/>
      <c r="AE2362" s="73"/>
      <c r="AF2362" s="73"/>
      <c r="AG2362" s="73"/>
      <c r="AH2362" s="73"/>
      <c r="AI2362" s="73"/>
      <c r="AJ2362" s="73"/>
      <c r="AK2362" s="73"/>
    </row>
    <row r="2363">
      <c r="A2363" s="28">
        <v>2362.0</v>
      </c>
      <c r="B2363" s="29"/>
      <c r="C2363" s="29"/>
      <c r="D2363" s="40">
        <v>1.0</v>
      </c>
      <c r="E2363" s="31">
        <v>45.0</v>
      </c>
      <c r="F2363" s="42">
        <v>7.0</v>
      </c>
      <c r="G2363" s="29" t="str">
        <f t="shared" si="1"/>
        <v>45007</v>
      </c>
      <c r="H2363" s="37" t="s">
        <v>954</v>
      </c>
      <c r="I2363" s="37" t="s">
        <v>108</v>
      </c>
      <c r="J2363" s="37" t="s">
        <v>1812</v>
      </c>
      <c r="K2363" s="37" t="str">
        <f t="shared" si="41"/>
        <v>Anderson, SC</v>
      </c>
      <c r="L2363" s="37">
        <v>105.0</v>
      </c>
      <c r="M2363" s="37" t="s">
        <v>63</v>
      </c>
      <c r="N2363" s="53">
        <v>75.0</v>
      </c>
      <c r="O2363" s="37">
        <v>17.0</v>
      </c>
      <c r="P2363" s="37" t="s">
        <v>2511</v>
      </c>
      <c r="Q2363" s="37">
        <v>86.0</v>
      </c>
      <c r="R2363" s="37">
        <v>21.0</v>
      </c>
      <c r="S2363" s="37" t="s">
        <v>63</v>
      </c>
      <c r="T2363" s="69">
        <v>0.518</v>
      </c>
      <c r="U2363" s="37">
        <v>217.0</v>
      </c>
      <c r="V2363" s="37" t="s">
        <v>63</v>
      </c>
      <c r="W2363" s="37" t="s">
        <v>63</v>
      </c>
      <c r="X2363" s="37" t="s">
        <v>63</v>
      </c>
      <c r="Y2363" s="53">
        <v>256.0</v>
      </c>
      <c r="Z2363" s="69" t="s">
        <v>63</v>
      </c>
      <c r="AA2363" s="73"/>
      <c r="AB2363" s="73"/>
      <c r="AC2363" s="73"/>
      <c r="AD2363" s="73"/>
      <c r="AE2363" s="73"/>
      <c r="AF2363" s="73"/>
      <c r="AG2363" s="73"/>
      <c r="AH2363" s="73"/>
      <c r="AI2363" s="73"/>
      <c r="AJ2363" s="73"/>
      <c r="AK2363" s="73"/>
    </row>
    <row r="2364">
      <c r="A2364" s="28">
        <v>2363.0</v>
      </c>
      <c r="B2364" s="29"/>
      <c r="C2364" s="29"/>
      <c r="D2364" s="40">
        <v>1.0</v>
      </c>
      <c r="E2364" s="31">
        <v>45.0</v>
      </c>
      <c r="F2364" s="42">
        <v>9.0</v>
      </c>
      <c r="G2364" s="29" t="str">
        <f t="shared" si="1"/>
        <v>45009</v>
      </c>
      <c r="H2364" s="37" t="s">
        <v>1816</v>
      </c>
      <c r="I2364" s="37" t="s">
        <v>108</v>
      </c>
      <c r="J2364" s="37" t="s">
        <v>1812</v>
      </c>
      <c r="K2364" s="37" t="str">
        <f t="shared" si="41"/>
        <v>Bamberg, SC</v>
      </c>
      <c r="L2364" s="37">
        <v>7.0</v>
      </c>
      <c r="M2364" s="37" t="s">
        <v>63</v>
      </c>
      <c r="N2364" s="37">
        <v>3.0</v>
      </c>
      <c r="O2364" s="37">
        <v>2.0</v>
      </c>
      <c r="P2364" s="37">
        <v>5.0</v>
      </c>
      <c r="Q2364" s="37">
        <v>8.0</v>
      </c>
      <c r="R2364" s="37" t="s">
        <v>63</v>
      </c>
      <c r="S2364" s="37" t="s">
        <v>63</v>
      </c>
      <c r="T2364" s="69">
        <v>0.222</v>
      </c>
      <c r="U2364" s="37">
        <v>3.0</v>
      </c>
      <c r="V2364" s="37" t="s">
        <v>63</v>
      </c>
      <c r="W2364" s="37" t="s">
        <v>63</v>
      </c>
      <c r="X2364" s="37" t="s">
        <v>63</v>
      </c>
      <c r="Y2364" s="53">
        <v>35.0</v>
      </c>
      <c r="Z2364" s="69" t="s">
        <v>63</v>
      </c>
      <c r="AA2364" s="73"/>
      <c r="AB2364" s="73"/>
      <c r="AC2364" s="73"/>
      <c r="AD2364" s="73"/>
      <c r="AE2364" s="73"/>
      <c r="AF2364" s="73"/>
      <c r="AG2364" s="73"/>
      <c r="AH2364" s="73"/>
      <c r="AI2364" s="73"/>
      <c r="AJ2364" s="73"/>
      <c r="AK2364" s="73"/>
    </row>
    <row r="2365">
      <c r="A2365" s="28">
        <v>2364.0</v>
      </c>
      <c r="B2365" s="29"/>
      <c r="C2365" s="29"/>
      <c r="D2365" s="40">
        <v>1.0</v>
      </c>
      <c r="E2365" s="31">
        <v>45.0</v>
      </c>
      <c r="F2365" s="42">
        <v>11.0</v>
      </c>
      <c r="G2365" s="29" t="str">
        <f t="shared" si="1"/>
        <v>45011</v>
      </c>
      <c r="H2365" s="37" t="s">
        <v>1817</v>
      </c>
      <c r="I2365" s="37" t="s">
        <v>108</v>
      </c>
      <c r="J2365" s="37" t="s">
        <v>1812</v>
      </c>
      <c r="K2365" s="37" t="str">
        <f t="shared" si="41"/>
        <v>Barnwell, SC</v>
      </c>
      <c r="L2365" s="37">
        <v>7.0</v>
      </c>
      <c r="M2365" s="37" t="s">
        <v>63</v>
      </c>
      <c r="N2365" s="37">
        <v>4.0</v>
      </c>
      <c r="O2365" s="37">
        <v>3.0</v>
      </c>
      <c r="P2365" s="37">
        <v>4.0</v>
      </c>
      <c r="Q2365" s="37">
        <v>2.0</v>
      </c>
      <c r="R2365" s="37">
        <v>1.0</v>
      </c>
      <c r="S2365" s="37" t="s">
        <v>63</v>
      </c>
      <c r="T2365" s="69">
        <v>0.667</v>
      </c>
      <c r="U2365" s="37">
        <v>16.0</v>
      </c>
      <c r="V2365" s="37" t="s">
        <v>63</v>
      </c>
      <c r="W2365" s="37" t="s">
        <v>63</v>
      </c>
      <c r="X2365" s="37" t="s">
        <v>63</v>
      </c>
      <c r="Y2365" s="53">
        <v>55.0</v>
      </c>
      <c r="Z2365" s="69" t="s">
        <v>63</v>
      </c>
      <c r="AA2365" s="73"/>
      <c r="AB2365" s="73"/>
      <c r="AC2365" s="73"/>
      <c r="AD2365" s="73"/>
      <c r="AE2365" s="73"/>
      <c r="AF2365" s="73"/>
      <c r="AG2365" s="73"/>
      <c r="AH2365" s="73"/>
      <c r="AI2365" s="73"/>
      <c r="AJ2365" s="73"/>
      <c r="AK2365" s="73"/>
    </row>
    <row r="2366">
      <c r="A2366" s="28">
        <v>2365.0</v>
      </c>
      <c r="B2366" s="29"/>
      <c r="C2366" s="29"/>
      <c r="D2366" s="40">
        <v>1.0</v>
      </c>
      <c r="E2366" s="31">
        <v>45.0</v>
      </c>
      <c r="F2366" s="42">
        <v>13.0</v>
      </c>
      <c r="G2366" s="29" t="str">
        <f t="shared" si="1"/>
        <v>45013</v>
      </c>
      <c r="H2366" s="37" t="s">
        <v>1583</v>
      </c>
      <c r="I2366" s="37" t="s">
        <v>108</v>
      </c>
      <c r="J2366" s="37" t="s">
        <v>1812</v>
      </c>
      <c r="K2366" s="37" t="str">
        <f t="shared" si="41"/>
        <v>Beaufort, SC</v>
      </c>
      <c r="L2366" s="37">
        <v>48.0</v>
      </c>
      <c r="M2366" s="37" t="s">
        <v>63</v>
      </c>
      <c r="N2366" s="37">
        <v>32.0</v>
      </c>
      <c r="O2366" s="37">
        <v>6.0</v>
      </c>
      <c r="P2366" s="37">
        <v>31.0</v>
      </c>
      <c r="Q2366" s="37">
        <v>44.0</v>
      </c>
      <c r="R2366" s="37">
        <v>5.0</v>
      </c>
      <c r="S2366" s="37" t="s">
        <v>63</v>
      </c>
      <c r="T2366" s="69">
        <v>0.92</v>
      </c>
      <c r="U2366" s="37">
        <v>75.0</v>
      </c>
      <c r="V2366" s="37" t="s">
        <v>63</v>
      </c>
      <c r="W2366" s="37" t="s">
        <v>63</v>
      </c>
      <c r="X2366" s="37" t="s">
        <v>63</v>
      </c>
      <c r="Y2366" s="53">
        <v>137.0</v>
      </c>
      <c r="Z2366" s="69" t="s">
        <v>63</v>
      </c>
      <c r="AA2366" s="73"/>
      <c r="AB2366" s="73"/>
      <c r="AC2366" s="73"/>
      <c r="AD2366" s="73"/>
      <c r="AE2366" s="73"/>
      <c r="AF2366" s="73"/>
      <c r="AG2366" s="73"/>
      <c r="AH2366" s="73"/>
      <c r="AI2366" s="73"/>
      <c r="AJ2366" s="73"/>
      <c r="AK2366" s="73"/>
    </row>
    <row r="2367">
      <c r="A2367" s="28">
        <v>2366.0</v>
      </c>
      <c r="B2367" s="29"/>
      <c r="C2367" s="29"/>
      <c r="D2367" s="40">
        <v>1.0</v>
      </c>
      <c r="E2367" s="31">
        <v>45.0</v>
      </c>
      <c r="F2367" s="42">
        <v>15.0</v>
      </c>
      <c r="G2367" s="29" t="str">
        <f t="shared" si="1"/>
        <v>45015</v>
      </c>
      <c r="H2367" s="37" t="s">
        <v>1818</v>
      </c>
      <c r="I2367" s="37" t="s">
        <v>108</v>
      </c>
      <c r="J2367" s="37" t="s">
        <v>1812</v>
      </c>
      <c r="K2367" s="37" t="str">
        <f t="shared" si="41"/>
        <v>Berkeley, SC</v>
      </c>
      <c r="L2367" s="37">
        <v>145.0</v>
      </c>
      <c r="M2367" s="37" t="s">
        <v>63</v>
      </c>
      <c r="N2367" s="37">
        <v>80.0</v>
      </c>
      <c r="O2367" s="37">
        <v>44.0</v>
      </c>
      <c r="P2367" s="37">
        <v>79.0</v>
      </c>
      <c r="Q2367" s="37">
        <v>92.0</v>
      </c>
      <c r="R2367" s="37">
        <v>27.0</v>
      </c>
      <c r="S2367" s="37" t="s">
        <v>63</v>
      </c>
      <c r="T2367" s="69">
        <v>0.82</v>
      </c>
      <c r="U2367" s="37">
        <v>220.0</v>
      </c>
      <c r="V2367" s="37" t="s">
        <v>63</v>
      </c>
      <c r="W2367" s="37" t="s">
        <v>63</v>
      </c>
      <c r="X2367" s="37" t="s">
        <v>63</v>
      </c>
      <c r="Y2367" s="53">
        <v>198.0</v>
      </c>
      <c r="Z2367" s="69" t="s">
        <v>63</v>
      </c>
      <c r="AA2367" s="73"/>
      <c r="AB2367" s="73"/>
      <c r="AC2367" s="73"/>
      <c r="AD2367" s="73"/>
      <c r="AE2367" s="73"/>
      <c r="AF2367" s="73"/>
      <c r="AG2367" s="73"/>
      <c r="AH2367" s="73"/>
      <c r="AI2367" s="73"/>
      <c r="AJ2367" s="73"/>
      <c r="AK2367" s="73"/>
    </row>
    <row r="2368">
      <c r="A2368" s="28">
        <v>2367.0</v>
      </c>
      <c r="B2368" s="29"/>
      <c r="C2368" s="29"/>
      <c r="D2368" s="40">
        <v>1.0</v>
      </c>
      <c r="E2368" s="31">
        <v>45.0</v>
      </c>
      <c r="F2368" s="42">
        <v>17.0</v>
      </c>
      <c r="G2368" s="29" t="str">
        <f t="shared" si="1"/>
        <v>45017</v>
      </c>
      <c r="H2368" s="37" t="s">
        <v>93</v>
      </c>
      <c r="I2368" s="37" t="s">
        <v>108</v>
      </c>
      <c r="J2368" s="37" t="s">
        <v>1812</v>
      </c>
      <c r="K2368" s="37" t="str">
        <f t="shared" si="41"/>
        <v>Calhoun, SC</v>
      </c>
      <c r="L2368" s="37">
        <v>1.0</v>
      </c>
      <c r="M2368" s="37" t="s">
        <v>63</v>
      </c>
      <c r="N2368" s="37">
        <v>1.0</v>
      </c>
      <c r="O2368" s="37" t="s">
        <v>63</v>
      </c>
      <c r="P2368" s="37">
        <v>1.0</v>
      </c>
      <c r="Q2368" s="37">
        <v>5.0</v>
      </c>
      <c r="R2368" s="37" t="s">
        <v>63</v>
      </c>
      <c r="S2368" s="37" t="s">
        <v>63</v>
      </c>
      <c r="T2368" s="69" t="s">
        <v>63</v>
      </c>
      <c r="U2368" s="37">
        <v>5.0</v>
      </c>
      <c r="V2368" s="37" t="s">
        <v>63</v>
      </c>
      <c r="W2368" s="37" t="s">
        <v>63</v>
      </c>
      <c r="X2368" s="37" t="s">
        <v>63</v>
      </c>
      <c r="Y2368" s="53">
        <v>42.0</v>
      </c>
      <c r="Z2368" s="69" t="s">
        <v>63</v>
      </c>
      <c r="AA2368" s="73"/>
      <c r="AB2368" s="73"/>
      <c r="AC2368" s="73"/>
      <c r="AD2368" s="73"/>
      <c r="AE2368" s="73"/>
      <c r="AF2368" s="73"/>
      <c r="AG2368" s="73"/>
      <c r="AH2368" s="73"/>
      <c r="AI2368" s="73"/>
      <c r="AJ2368" s="73"/>
      <c r="AK2368" s="73"/>
    </row>
    <row r="2369">
      <c r="A2369" s="28">
        <v>2368.0</v>
      </c>
      <c r="B2369" s="29"/>
      <c r="C2369" s="29"/>
      <c r="D2369" s="40">
        <v>1.0</v>
      </c>
      <c r="E2369" s="31">
        <v>45.0</v>
      </c>
      <c r="F2369" s="42">
        <v>19.0</v>
      </c>
      <c r="G2369" s="29" t="str">
        <f t="shared" si="1"/>
        <v>45019</v>
      </c>
      <c r="H2369" s="37" t="s">
        <v>1819</v>
      </c>
      <c r="I2369" s="37" t="s">
        <v>108</v>
      </c>
      <c r="J2369" s="37" t="s">
        <v>1812</v>
      </c>
      <c r="K2369" s="37" t="str">
        <f t="shared" si="41"/>
        <v>Charleston, SC</v>
      </c>
      <c r="L2369" s="37">
        <v>186.0</v>
      </c>
      <c r="M2369" s="37" t="s">
        <v>63</v>
      </c>
      <c r="N2369" s="37">
        <v>99.0</v>
      </c>
      <c r="O2369" s="37">
        <v>45.0</v>
      </c>
      <c r="P2369" s="37">
        <v>108.0</v>
      </c>
      <c r="Q2369" s="37">
        <v>93.0</v>
      </c>
      <c r="R2369" s="37">
        <v>41.0</v>
      </c>
      <c r="S2369" s="37" t="s">
        <v>63</v>
      </c>
      <c r="T2369" s="69">
        <v>0.875</v>
      </c>
      <c r="U2369" s="37">
        <v>334.0</v>
      </c>
      <c r="V2369" s="37" t="s">
        <v>63</v>
      </c>
      <c r="W2369" s="37" t="s">
        <v>63</v>
      </c>
      <c r="X2369" s="37" t="s">
        <v>63</v>
      </c>
      <c r="Y2369" s="53">
        <v>394.0</v>
      </c>
      <c r="Z2369" s="69" t="s">
        <v>63</v>
      </c>
      <c r="AA2369" s="73"/>
      <c r="AB2369" s="73"/>
      <c r="AC2369" s="73"/>
      <c r="AD2369" s="73"/>
      <c r="AE2369" s="73"/>
      <c r="AF2369" s="73"/>
      <c r="AG2369" s="73"/>
      <c r="AH2369" s="73"/>
      <c r="AI2369" s="73"/>
      <c r="AJ2369" s="73"/>
      <c r="AK2369" s="73"/>
    </row>
    <row r="2370">
      <c r="A2370" s="28">
        <v>2369.0</v>
      </c>
      <c r="B2370" s="29"/>
      <c r="C2370" s="29"/>
      <c r="D2370" s="40">
        <v>1.0</v>
      </c>
      <c r="E2370" s="31">
        <v>45.0</v>
      </c>
      <c r="F2370" s="42">
        <v>21.0</v>
      </c>
      <c r="G2370" s="29" t="str">
        <f t="shared" si="1"/>
        <v>45021</v>
      </c>
      <c r="H2370" s="37" t="s">
        <v>101</v>
      </c>
      <c r="I2370" s="37" t="s">
        <v>108</v>
      </c>
      <c r="J2370" s="37" t="s">
        <v>1812</v>
      </c>
      <c r="K2370" s="37" t="str">
        <f t="shared" si="41"/>
        <v>Cherokee, SC</v>
      </c>
      <c r="L2370" s="37">
        <v>37.0</v>
      </c>
      <c r="M2370" s="37" t="s">
        <v>63</v>
      </c>
      <c r="N2370" s="37">
        <v>24.0</v>
      </c>
      <c r="O2370" s="37">
        <v>7.0</v>
      </c>
      <c r="P2370" s="37">
        <v>26.0</v>
      </c>
      <c r="Q2370" s="37">
        <v>11.0</v>
      </c>
      <c r="R2370" s="37">
        <v>7.0</v>
      </c>
      <c r="S2370" s="37" t="s">
        <v>63</v>
      </c>
      <c r="T2370" s="69">
        <v>0.813</v>
      </c>
      <c r="U2370" s="37">
        <v>93.0</v>
      </c>
      <c r="V2370" s="37" t="s">
        <v>63</v>
      </c>
      <c r="W2370" s="37" t="s">
        <v>63</v>
      </c>
      <c r="X2370" s="37" t="s">
        <v>63</v>
      </c>
      <c r="Y2370" s="53">
        <v>86.0</v>
      </c>
      <c r="Z2370" s="69" t="s">
        <v>63</v>
      </c>
      <c r="AA2370" s="73"/>
      <c r="AB2370" s="73"/>
      <c r="AC2370" s="73"/>
      <c r="AD2370" s="73"/>
      <c r="AE2370" s="73"/>
      <c r="AF2370" s="73"/>
      <c r="AG2370" s="73"/>
      <c r="AH2370" s="73"/>
      <c r="AI2370" s="73"/>
      <c r="AJ2370" s="73"/>
      <c r="AK2370" s="73"/>
    </row>
    <row r="2371">
      <c r="A2371" s="28">
        <v>2370.0</v>
      </c>
      <c r="B2371" s="29"/>
      <c r="C2371" s="29"/>
      <c r="D2371" s="40">
        <v>1.0</v>
      </c>
      <c r="E2371" s="31">
        <v>45.0</v>
      </c>
      <c r="F2371" s="42">
        <v>23.0</v>
      </c>
      <c r="G2371" s="29" t="str">
        <f t="shared" si="1"/>
        <v>45023</v>
      </c>
      <c r="H2371" s="37" t="s">
        <v>1789</v>
      </c>
      <c r="I2371" s="37" t="s">
        <v>108</v>
      </c>
      <c r="J2371" s="37" t="s">
        <v>1812</v>
      </c>
      <c r="K2371" s="37" t="str">
        <f t="shared" si="41"/>
        <v>Chester, SC</v>
      </c>
      <c r="L2371" s="37">
        <v>37.0</v>
      </c>
      <c r="M2371" s="37" t="s">
        <v>63</v>
      </c>
      <c r="N2371" s="37">
        <v>14.0</v>
      </c>
      <c r="O2371" s="37">
        <v>18.0</v>
      </c>
      <c r="P2371" s="37">
        <v>18.0</v>
      </c>
      <c r="Q2371" s="37">
        <v>11.0</v>
      </c>
      <c r="R2371" s="37">
        <v>2.0</v>
      </c>
      <c r="S2371" s="37" t="s">
        <v>63</v>
      </c>
      <c r="T2371" s="69">
        <v>0.882</v>
      </c>
      <c r="U2371" s="37">
        <v>56.0</v>
      </c>
      <c r="V2371" s="37" t="s">
        <v>63</v>
      </c>
      <c r="W2371" s="37" t="s">
        <v>63</v>
      </c>
      <c r="X2371" s="37" t="s">
        <v>63</v>
      </c>
      <c r="Y2371" s="53">
        <v>114.0</v>
      </c>
      <c r="Z2371" s="69" t="s">
        <v>63</v>
      </c>
      <c r="AA2371" s="73"/>
      <c r="AB2371" s="73"/>
      <c r="AC2371" s="73"/>
      <c r="AD2371" s="73"/>
      <c r="AE2371" s="73"/>
      <c r="AF2371" s="73"/>
      <c r="AG2371" s="73"/>
      <c r="AH2371" s="73"/>
      <c r="AI2371" s="73"/>
      <c r="AJ2371" s="73"/>
      <c r="AK2371" s="73"/>
    </row>
    <row r="2372">
      <c r="A2372" s="28">
        <v>2371.0</v>
      </c>
      <c r="B2372" s="29"/>
      <c r="C2372" s="29"/>
      <c r="D2372" s="40">
        <v>1.0</v>
      </c>
      <c r="E2372" s="31">
        <v>45.0</v>
      </c>
      <c r="F2372" s="42">
        <v>25.0</v>
      </c>
      <c r="G2372" s="29" t="str">
        <f t="shared" si="1"/>
        <v>45025</v>
      </c>
      <c r="H2372" s="37" t="s">
        <v>1820</v>
      </c>
      <c r="I2372" s="37" t="s">
        <v>108</v>
      </c>
      <c r="J2372" s="37" t="s">
        <v>1812</v>
      </c>
      <c r="K2372" s="37" t="str">
        <f t="shared" si="41"/>
        <v>Chesterfield, SC</v>
      </c>
      <c r="L2372" s="37">
        <v>12.0</v>
      </c>
      <c r="M2372" s="37" t="s">
        <v>63</v>
      </c>
      <c r="N2372" s="37">
        <v>5.0</v>
      </c>
      <c r="O2372" s="37">
        <v>4.0</v>
      </c>
      <c r="P2372" s="37">
        <v>6.0</v>
      </c>
      <c r="Q2372" s="37">
        <v>17.0</v>
      </c>
      <c r="R2372" s="37">
        <v>1.0</v>
      </c>
      <c r="S2372" s="37" t="s">
        <v>63</v>
      </c>
      <c r="T2372" s="69">
        <v>0.769</v>
      </c>
      <c r="U2372" s="37">
        <v>16.0</v>
      </c>
      <c r="V2372" s="37" t="s">
        <v>63</v>
      </c>
      <c r="W2372" s="37" t="s">
        <v>63</v>
      </c>
      <c r="X2372" s="37" t="s">
        <v>63</v>
      </c>
      <c r="Y2372" s="53">
        <v>110.0</v>
      </c>
      <c r="Z2372" s="69" t="s">
        <v>63</v>
      </c>
      <c r="AA2372" s="73"/>
      <c r="AB2372" s="73"/>
      <c r="AC2372" s="73"/>
      <c r="AD2372" s="73"/>
      <c r="AE2372" s="73"/>
      <c r="AF2372" s="73"/>
      <c r="AG2372" s="73"/>
      <c r="AH2372" s="73"/>
      <c r="AI2372" s="73"/>
      <c r="AJ2372" s="73"/>
      <c r="AK2372" s="73"/>
    </row>
    <row r="2373">
      <c r="A2373" s="28">
        <v>2372.0</v>
      </c>
      <c r="B2373" s="29"/>
      <c r="C2373" s="29"/>
      <c r="D2373" s="40">
        <v>1.0</v>
      </c>
      <c r="E2373" s="31">
        <v>45.0</v>
      </c>
      <c r="F2373" s="42">
        <v>27.0</v>
      </c>
      <c r="G2373" s="29" t="str">
        <f t="shared" si="1"/>
        <v>45027</v>
      </c>
      <c r="H2373" s="37" t="s">
        <v>1821</v>
      </c>
      <c r="I2373" s="37" t="s">
        <v>108</v>
      </c>
      <c r="J2373" s="37" t="s">
        <v>1812</v>
      </c>
      <c r="K2373" s="37" t="str">
        <f t="shared" si="41"/>
        <v>Clarendon, SC</v>
      </c>
      <c r="L2373" s="37">
        <v>24.0</v>
      </c>
      <c r="M2373" s="37" t="s">
        <v>63</v>
      </c>
      <c r="N2373" s="37">
        <v>9.0</v>
      </c>
      <c r="O2373" s="37">
        <v>12.0</v>
      </c>
      <c r="P2373" s="37">
        <v>12.0</v>
      </c>
      <c r="Q2373" s="37">
        <v>18.0</v>
      </c>
      <c r="R2373" s="37">
        <v>6.0</v>
      </c>
      <c r="S2373" s="37" t="s">
        <v>63</v>
      </c>
      <c r="T2373" s="69">
        <v>0.727</v>
      </c>
      <c r="U2373" s="37">
        <v>10.0</v>
      </c>
      <c r="V2373" s="37" t="s">
        <v>63</v>
      </c>
      <c r="W2373" s="37" t="s">
        <v>63</v>
      </c>
      <c r="X2373" s="37" t="s">
        <v>63</v>
      </c>
      <c r="Y2373" s="53">
        <v>110.0</v>
      </c>
      <c r="Z2373" s="69" t="s">
        <v>63</v>
      </c>
      <c r="AA2373" s="73"/>
      <c r="AB2373" s="73"/>
      <c r="AC2373" s="73"/>
      <c r="AD2373" s="73"/>
      <c r="AE2373" s="73"/>
      <c r="AF2373" s="73"/>
      <c r="AG2373" s="73"/>
      <c r="AH2373" s="73"/>
      <c r="AI2373" s="73"/>
      <c r="AJ2373" s="73"/>
      <c r="AK2373" s="73"/>
    </row>
    <row r="2374">
      <c r="A2374" s="28">
        <v>2373.0</v>
      </c>
      <c r="B2374" s="29"/>
      <c r="C2374" s="29"/>
      <c r="D2374" s="40">
        <v>1.0</v>
      </c>
      <c r="E2374" s="31">
        <v>45.0</v>
      </c>
      <c r="F2374" s="42">
        <v>29.0</v>
      </c>
      <c r="G2374" s="29" t="str">
        <f t="shared" si="1"/>
        <v>45029</v>
      </c>
      <c r="H2374" s="37" t="s">
        <v>1822</v>
      </c>
      <c r="I2374" s="37" t="s">
        <v>108</v>
      </c>
      <c r="J2374" s="37" t="s">
        <v>1812</v>
      </c>
      <c r="K2374" s="37" t="str">
        <f t="shared" si="41"/>
        <v>Colleton, SC</v>
      </c>
      <c r="L2374" s="37">
        <v>41.0</v>
      </c>
      <c r="M2374" s="37" t="s">
        <v>63</v>
      </c>
      <c r="N2374" s="37">
        <v>26.0</v>
      </c>
      <c r="O2374" s="37">
        <v>12.0</v>
      </c>
      <c r="P2374" s="37">
        <v>26.0</v>
      </c>
      <c r="Q2374" s="37">
        <v>9.0</v>
      </c>
      <c r="R2374" s="37">
        <v>7.0</v>
      </c>
      <c r="S2374" s="37" t="s">
        <v>63</v>
      </c>
      <c r="T2374" s="69">
        <v>0.412</v>
      </c>
      <c r="U2374" s="37">
        <v>29.0</v>
      </c>
      <c r="V2374" s="37" t="s">
        <v>63</v>
      </c>
      <c r="W2374" s="37" t="s">
        <v>63</v>
      </c>
      <c r="X2374" s="37" t="s">
        <v>63</v>
      </c>
      <c r="Y2374" s="53">
        <v>114.0</v>
      </c>
      <c r="Z2374" s="69" t="s">
        <v>63</v>
      </c>
      <c r="AA2374" s="73"/>
      <c r="AB2374" s="73"/>
      <c r="AC2374" s="73"/>
      <c r="AD2374" s="73"/>
      <c r="AE2374" s="73"/>
      <c r="AF2374" s="73"/>
      <c r="AG2374" s="73"/>
      <c r="AH2374" s="73"/>
      <c r="AI2374" s="73"/>
      <c r="AJ2374" s="73"/>
      <c r="AK2374" s="73"/>
    </row>
    <row r="2375">
      <c r="A2375" s="28">
        <v>2374.0</v>
      </c>
      <c r="B2375" s="29"/>
      <c r="C2375" s="29"/>
      <c r="D2375" s="40">
        <v>1.0</v>
      </c>
      <c r="E2375" s="31">
        <v>45.0</v>
      </c>
      <c r="F2375" s="42">
        <v>31.0</v>
      </c>
      <c r="G2375" s="29" t="str">
        <f t="shared" si="1"/>
        <v>45031</v>
      </c>
      <c r="H2375" s="37" t="s">
        <v>1823</v>
      </c>
      <c r="I2375" s="37" t="s">
        <v>108</v>
      </c>
      <c r="J2375" s="37" t="s">
        <v>1812</v>
      </c>
      <c r="K2375" s="37" t="str">
        <f t="shared" si="41"/>
        <v>Darlington, SC</v>
      </c>
      <c r="L2375" s="37">
        <v>61.0</v>
      </c>
      <c r="M2375" s="37" t="s">
        <v>63</v>
      </c>
      <c r="N2375" s="37">
        <v>33.0</v>
      </c>
      <c r="O2375" s="37">
        <v>21.0</v>
      </c>
      <c r="P2375" s="37">
        <v>37.0</v>
      </c>
      <c r="Q2375" s="37">
        <v>21.0</v>
      </c>
      <c r="R2375" s="37">
        <v>13.0</v>
      </c>
      <c r="S2375" s="37" t="s">
        <v>63</v>
      </c>
      <c r="T2375" s="69">
        <v>0.804</v>
      </c>
      <c r="U2375" s="37">
        <v>114.0</v>
      </c>
      <c r="V2375" s="37" t="s">
        <v>63</v>
      </c>
      <c r="W2375" s="37" t="s">
        <v>63</v>
      </c>
      <c r="X2375" s="37" t="s">
        <v>63</v>
      </c>
      <c r="Y2375" s="53">
        <v>129.0</v>
      </c>
      <c r="Z2375" s="69" t="s">
        <v>63</v>
      </c>
      <c r="AA2375" s="73"/>
      <c r="AB2375" s="73"/>
      <c r="AC2375" s="73"/>
      <c r="AD2375" s="73"/>
      <c r="AE2375" s="73"/>
      <c r="AF2375" s="73"/>
      <c r="AG2375" s="73"/>
      <c r="AH2375" s="73"/>
      <c r="AI2375" s="73"/>
      <c r="AJ2375" s="73"/>
      <c r="AK2375" s="73"/>
    </row>
    <row r="2376">
      <c r="A2376" s="28">
        <v>2375.0</v>
      </c>
      <c r="B2376" s="29"/>
      <c r="C2376" s="29"/>
      <c r="D2376" s="40">
        <v>1.0</v>
      </c>
      <c r="E2376" s="31">
        <v>45.0</v>
      </c>
      <c r="F2376" s="42">
        <v>33.0</v>
      </c>
      <c r="G2376" s="29" t="str">
        <f t="shared" si="1"/>
        <v>45033</v>
      </c>
      <c r="H2376" s="37" t="s">
        <v>1824</v>
      </c>
      <c r="I2376" s="37" t="s">
        <v>108</v>
      </c>
      <c r="J2376" s="37" t="s">
        <v>1812</v>
      </c>
      <c r="K2376" s="37" t="str">
        <f t="shared" si="41"/>
        <v>Dillon, SC</v>
      </c>
      <c r="L2376" s="37">
        <v>31.0</v>
      </c>
      <c r="M2376" s="37" t="s">
        <v>63</v>
      </c>
      <c r="N2376" s="37">
        <v>21.0</v>
      </c>
      <c r="O2376" s="37">
        <v>9.0</v>
      </c>
      <c r="P2376" s="37">
        <v>21.0</v>
      </c>
      <c r="Q2376" s="37">
        <v>13.0</v>
      </c>
      <c r="R2376" s="37">
        <v>0.0</v>
      </c>
      <c r="S2376" s="37" t="s">
        <v>63</v>
      </c>
      <c r="T2376" s="69">
        <v>1.0</v>
      </c>
      <c r="U2376" s="37">
        <v>46.0</v>
      </c>
      <c r="V2376" s="37" t="s">
        <v>63</v>
      </c>
      <c r="W2376" s="37" t="s">
        <v>63</v>
      </c>
      <c r="X2376" s="37" t="s">
        <v>63</v>
      </c>
      <c r="Y2376" s="53">
        <v>68.0</v>
      </c>
      <c r="Z2376" s="69" t="s">
        <v>63</v>
      </c>
      <c r="AA2376" s="73"/>
      <c r="AB2376" s="73"/>
      <c r="AC2376" s="73"/>
      <c r="AD2376" s="73"/>
      <c r="AE2376" s="73"/>
      <c r="AF2376" s="73"/>
      <c r="AG2376" s="73"/>
      <c r="AH2376" s="73"/>
      <c r="AI2376" s="73"/>
      <c r="AJ2376" s="73"/>
      <c r="AK2376" s="73"/>
    </row>
    <row r="2377">
      <c r="A2377" s="28">
        <v>2376.0</v>
      </c>
      <c r="B2377" s="29"/>
      <c r="C2377" s="29"/>
      <c r="D2377" s="40">
        <v>1.0</v>
      </c>
      <c r="E2377" s="31">
        <v>45.0</v>
      </c>
      <c r="F2377" s="42">
        <v>35.0</v>
      </c>
      <c r="G2377" s="29" t="str">
        <f t="shared" si="1"/>
        <v>45035</v>
      </c>
      <c r="H2377" s="37" t="s">
        <v>1204</v>
      </c>
      <c r="I2377" s="37" t="s">
        <v>108</v>
      </c>
      <c r="J2377" s="37" t="s">
        <v>1812</v>
      </c>
      <c r="K2377" s="37" t="str">
        <f t="shared" si="41"/>
        <v>Dorchester, SC</v>
      </c>
      <c r="L2377" s="37">
        <v>63.0</v>
      </c>
      <c r="M2377" s="37" t="s">
        <v>63</v>
      </c>
      <c r="N2377" s="37">
        <v>37.0</v>
      </c>
      <c r="O2377" s="37">
        <v>11.0</v>
      </c>
      <c r="P2377" s="37">
        <v>40.0</v>
      </c>
      <c r="Q2377" s="37">
        <v>63.0</v>
      </c>
      <c r="R2377" s="37">
        <v>5.0</v>
      </c>
      <c r="S2377" s="37" t="s">
        <v>63</v>
      </c>
      <c r="T2377" s="69">
        <v>0.64</v>
      </c>
      <c r="U2377" s="37">
        <v>138.0</v>
      </c>
      <c r="V2377" s="37" t="s">
        <v>63</v>
      </c>
      <c r="W2377" s="37" t="s">
        <v>63</v>
      </c>
      <c r="X2377" s="37" t="s">
        <v>63</v>
      </c>
      <c r="Y2377" s="53">
        <v>126.0</v>
      </c>
      <c r="Z2377" s="69" t="s">
        <v>63</v>
      </c>
      <c r="AA2377" s="73"/>
      <c r="AB2377" s="73"/>
      <c r="AC2377" s="73"/>
      <c r="AD2377" s="73"/>
      <c r="AE2377" s="73"/>
      <c r="AF2377" s="73"/>
      <c r="AG2377" s="73"/>
      <c r="AH2377" s="73"/>
      <c r="AI2377" s="73"/>
      <c r="AJ2377" s="73"/>
      <c r="AK2377" s="73"/>
    </row>
    <row r="2378">
      <c r="A2378" s="28">
        <v>2377.0</v>
      </c>
      <c r="B2378" s="29"/>
      <c r="C2378" s="29"/>
      <c r="D2378" s="40">
        <v>1.0</v>
      </c>
      <c r="E2378" s="31">
        <v>45.0</v>
      </c>
      <c r="F2378" s="42">
        <v>37.0</v>
      </c>
      <c r="G2378" s="29" t="str">
        <f t="shared" si="1"/>
        <v>45037</v>
      </c>
      <c r="H2378" s="37" t="s">
        <v>1825</v>
      </c>
      <c r="I2378" s="37" t="s">
        <v>108</v>
      </c>
      <c r="J2378" s="37" t="s">
        <v>1812</v>
      </c>
      <c r="K2378" s="37" t="str">
        <f t="shared" si="41"/>
        <v>Edgefield, SC</v>
      </c>
      <c r="L2378" s="37">
        <v>8.0</v>
      </c>
      <c r="M2378" s="37" t="s">
        <v>63</v>
      </c>
      <c r="N2378" s="37">
        <v>6.0</v>
      </c>
      <c r="O2378" s="37">
        <v>1.0</v>
      </c>
      <c r="P2378" s="37">
        <v>7.0</v>
      </c>
      <c r="Q2378" s="37">
        <v>4.0</v>
      </c>
      <c r="R2378" s="37">
        <v>4.0</v>
      </c>
      <c r="S2378" s="37" t="s">
        <v>63</v>
      </c>
      <c r="T2378" s="69">
        <v>1.0</v>
      </c>
      <c r="U2378" s="37">
        <v>16.0</v>
      </c>
      <c r="V2378" s="37" t="s">
        <v>63</v>
      </c>
      <c r="W2378" s="37" t="s">
        <v>63</v>
      </c>
      <c r="X2378" s="37" t="s">
        <v>63</v>
      </c>
      <c r="Y2378" s="53">
        <v>40.0</v>
      </c>
      <c r="Z2378" s="69" t="s">
        <v>63</v>
      </c>
      <c r="AA2378" s="73"/>
      <c r="AB2378" s="73"/>
      <c r="AC2378" s="73"/>
      <c r="AD2378" s="73"/>
      <c r="AE2378" s="73"/>
      <c r="AF2378" s="73"/>
      <c r="AG2378" s="73"/>
      <c r="AH2378" s="73"/>
      <c r="AI2378" s="73"/>
      <c r="AJ2378" s="73"/>
      <c r="AK2378" s="73"/>
    </row>
    <row r="2379">
      <c r="A2379" s="28">
        <v>2378.0</v>
      </c>
      <c r="B2379" s="29"/>
      <c r="C2379" s="29"/>
      <c r="D2379" s="40">
        <v>1.0</v>
      </c>
      <c r="E2379" s="31">
        <v>45.0</v>
      </c>
      <c r="F2379" s="42">
        <v>39.0</v>
      </c>
      <c r="G2379" s="29" t="str">
        <f t="shared" si="1"/>
        <v>45039</v>
      </c>
      <c r="H2379" s="37" t="s">
        <v>442</v>
      </c>
      <c r="I2379" s="37" t="s">
        <v>108</v>
      </c>
      <c r="J2379" s="37" t="s">
        <v>1812</v>
      </c>
      <c r="K2379" s="37" t="str">
        <f t="shared" si="41"/>
        <v>Fairfield, SC</v>
      </c>
      <c r="L2379" s="37">
        <v>16.0</v>
      </c>
      <c r="M2379" s="37" t="s">
        <v>63</v>
      </c>
      <c r="N2379" s="37">
        <v>7.0</v>
      </c>
      <c r="O2379" s="37">
        <v>9.0</v>
      </c>
      <c r="P2379" s="37">
        <v>7.0</v>
      </c>
      <c r="Q2379" s="37">
        <v>6.0</v>
      </c>
      <c r="R2379" s="37">
        <v>2.0</v>
      </c>
      <c r="S2379" s="37" t="s">
        <v>63</v>
      </c>
      <c r="T2379" s="69">
        <v>0.778</v>
      </c>
      <c r="U2379" s="37">
        <v>11.0</v>
      </c>
      <c r="V2379" s="37" t="s">
        <v>63</v>
      </c>
      <c r="W2379" s="37" t="s">
        <v>63</v>
      </c>
      <c r="X2379" s="37" t="s">
        <v>63</v>
      </c>
      <c r="Y2379" s="53">
        <v>75.0</v>
      </c>
      <c r="Z2379" s="69" t="s">
        <v>63</v>
      </c>
      <c r="AA2379" s="73"/>
      <c r="AB2379" s="73"/>
      <c r="AC2379" s="73"/>
      <c r="AD2379" s="73"/>
      <c r="AE2379" s="73"/>
      <c r="AF2379" s="73"/>
      <c r="AG2379" s="73"/>
      <c r="AH2379" s="73"/>
      <c r="AI2379" s="73"/>
      <c r="AJ2379" s="73"/>
      <c r="AK2379" s="73"/>
    </row>
    <row r="2380">
      <c r="A2380" s="28">
        <v>2379.0</v>
      </c>
      <c r="B2380" s="29"/>
      <c r="C2380" s="29"/>
      <c r="D2380" s="40">
        <v>1.0</v>
      </c>
      <c r="E2380" s="31">
        <v>45.0</v>
      </c>
      <c r="F2380" s="42">
        <v>41.0</v>
      </c>
      <c r="G2380" s="29" t="str">
        <f t="shared" si="1"/>
        <v>45041</v>
      </c>
      <c r="H2380" s="37" t="s">
        <v>1826</v>
      </c>
      <c r="I2380" s="37" t="s">
        <v>108</v>
      </c>
      <c r="J2380" s="37" t="s">
        <v>1812</v>
      </c>
      <c r="K2380" s="37" t="str">
        <f t="shared" si="41"/>
        <v>Florence, SC</v>
      </c>
      <c r="L2380" s="37">
        <v>68.0</v>
      </c>
      <c r="M2380" s="37" t="s">
        <v>63</v>
      </c>
      <c r="N2380" s="37">
        <v>23.0</v>
      </c>
      <c r="O2380" s="37">
        <v>32.0</v>
      </c>
      <c r="P2380" s="37">
        <v>26.0</v>
      </c>
      <c r="Q2380" s="37">
        <v>119.0</v>
      </c>
      <c r="R2380" s="37">
        <v>2.0</v>
      </c>
      <c r="S2380" s="37" t="s">
        <v>63</v>
      </c>
      <c r="T2380" s="69">
        <v>0.718</v>
      </c>
      <c r="U2380" s="37">
        <v>107.0</v>
      </c>
      <c r="V2380" s="37" t="s">
        <v>63</v>
      </c>
      <c r="W2380" s="37" t="s">
        <v>63</v>
      </c>
      <c r="X2380" s="37" t="s">
        <v>63</v>
      </c>
      <c r="Y2380" s="53">
        <v>218.0</v>
      </c>
      <c r="Z2380" s="69" t="s">
        <v>63</v>
      </c>
      <c r="AA2380" s="73"/>
      <c r="AB2380" s="73"/>
      <c r="AC2380" s="73"/>
      <c r="AD2380" s="73"/>
      <c r="AE2380" s="73"/>
      <c r="AF2380" s="73"/>
      <c r="AG2380" s="73"/>
      <c r="AH2380" s="73"/>
      <c r="AI2380" s="73"/>
      <c r="AJ2380" s="73"/>
      <c r="AK2380" s="73"/>
    </row>
    <row r="2381">
      <c r="A2381" s="28">
        <v>2380.0</v>
      </c>
      <c r="B2381" s="29"/>
      <c r="C2381" s="29"/>
      <c r="D2381" s="40">
        <v>1.0</v>
      </c>
      <c r="E2381" s="31">
        <v>45.0</v>
      </c>
      <c r="F2381" s="42">
        <v>43.0</v>
      </c>
      <c r="G2381" s="29" t="str">
        <f t="shared" si="1"/>
        <v>45043</v>
      </c>
      <c r="H2381" s="37" t="s">
        <v>1827</v>
      </c>
      <c r="I2381" s="37" t="s">
        <v>108</v>
      </c>
      <c r="J2381" s="37" t="s">
        <v>1812</v>
      </c>
      <c r="K2381" s="136" t="str">
        <f t="shared" si="41"/>
        <v>Georgetown, SC</v>
      </c>
      <c r="L2381" s="37">
        <v>20.0</v>
      </c>
      <c r="M2381" s="37" t="s">
        <v>63</v>
      </c>
      <c r="N2381" s="37">
        <v>4.0</v>
      </c>
      <c r="O2381" s="37">
        <v>14.0</v>
      </c>
      <c r="P2381" s="37">
        <v>6.0</v>
      </c>
      <c r="Q2381" s="37">
        <v>38.0</v>
      </c>
      <c r="R2381" s="37">
        <v>1.0</v>
      </c>
      <c r="S2381" s="37" t="s">
        <v>63</v>
      </c>
      <c r="T2381" s="69">
        <v>0.9</v>
      </c>
      <c r="U2381" s="37">
        <v>30.0</v>
      </c>
      <c r="V2381" s="37" t="s">
        <v>63</v>
      </c>
      <c r="W2381" s="37" t="s">
        <v>63</v>
      </c>
      <c r="X2381" s="37" t="s">
        <v>63</v>
      </c>
      <c r="Y2381" s="53">
        <v>112.0</v>
      </c>
      <c r="Z2381" s="69" t="s">
        <v>63</v>
      </c>
      <c r="AA2381" s="73"/>
      <c r="AB2381" s="73"/>
      <c r="AC2381" s="73"/>
      <c r="AD2381" s="73"/>
      <c r="AE2381" s="73"/>
      <c r="AF2381" s="73"/>
      <c r="AG2381" s="73"/>
      <c r="AH2381" s="73"/>
      <c r="AI2381" s="73"/>
      <c r="AJ2381" s="73"/>
      <c r="AK2381" s="73"/>
    </row>
    <row r="2382">
      <c r="A2382" s="28">
        <v>2381.0</v>
      </c>
      <c r="B2382" s="29"/>
      <c r="C2382" s="29"/>
      <c r="D2382" s="40">
        <v>1.0</v>
      </c>
      <c r="E2382" s="31">
        <v>45.0</v>
      </c>
      <c r="F2382" s="42">
        <v>45.0</v>
      </c>
      <c r="G2382" s="29" t="str">
        <f t="shared" si="1"/>
        <v>45045</v>
      </c>
      <c r="H2382" s="37" t="s">
        <v>1828</v>
      </c>
      <c r="I2382" s="37" t="s">
        <v>108</v>
      </c>
      <c r="J2382" s="37" t="s">
        <v>1812</v>
      </c>
      <c r="K2382" s="37" t="str">
        <f t="shared" si="41"/>
        <v>Greenville, SC</v>
      </c>
      <c r="L2382" s="37">
        <v>191.0</v>
      </c>
      <c r="M2382" s="37" t="s">
        <v>63</v>
      </c>
      <c r="N2382" s="37">
        <v>119.0</v>
      </c>
      <c r="O2382" s="37">
        <v>45.0</v>
      </c>
      <c r="P2382" s="37">
        <v>111.0</v>
      </c>
      <c r="Q2382" s="37">
        <v>263.0</v>
      </c>
      <c r="R2382" s="37">
        <v>19.0</v>
      </c>
      <c r="S2382" s="37" t="s">
        <v>63</v>
      </c>
      <c r="T2382" s="69">
        <v>0.848</v>
      </c>
      <c r="U2382" s="37">
        <v>470.0</v>
      </c>
      <c r="V2382" s="37" t="s">
        <v>63</v>
      </c>
      <c r="W2382" s="37" t="s">
        <v>63</v>
      </c>
      <c r="X2382" s="37" t="s">
        <v>63</v>
      </c>
      <c r="Y2382" s="53">
        <v>478.0</v>
      </c>
      <c r="Z2382" s="69" t="s">
        <v>63</v>
      </c>
      <c r="AA2382" s="73"/>
      <c r="AB2382" s="73"/>
      <c r="AC2382" s="73"/>
      <c r="AD2382" s="73"/>
      <c r="AE2382" s="73"/>
      <c r="AF2382" s="73"/>
      <c r="AG2382" s="73"/>
      <c r="AH2382" s="73"/>
      <c r="AI2382" s="73"/>
      <c r="AJ2382" s="73"/>
      <c r="AK2382" s="73"/>
    </row>
    <row r="2383">
      <c r="A2383" s="28">
        <v>2382.0</v>
      </c>
      <c r="B2383" s="29"/>
      <c r="C2383" s="29"/>
      <c r="D2383" s="40">
        <v>1.0</v>
      </c>
      <c r="E2383" s="31">
        <v>45.0</v>
      </c>
      <c r="F2383" s="42">
        <v>47.0</v>
      </c>
      <c r="G2383" s="29" t="str">
        <f t="shared" si="1"/>
        <v>45047</v>
      </c>
      <c r="H2383" s="37" t="s">
        <v>977</v>
      </c>
      <c r="I2383" s="37" t="s">
        <v>108</v>
      </c>
      <c r="J2383" s="37" t="s">
        <v>1812</v>
      </c>
      <c r="K2383" s="37" t="str">
        <f t="shared" si="41"/>
        <v>Greenwood, SC</v>
      </c>
      <c r="L2383" s="37">
        <v>61.0</v>
      </c>
      <c r="M2383" s="37" t="s">
        <v>63</v>
      </c>
      <c r="N2383" s="37">
        <v>36.0</v>
      </c>
      <c r="O2383" s="37">
        <v>17.0</v>
      </c>
      <c r="P2383" s="37">
        <v>40.0</v>
      </c>
      <c r="Q2383" s="37">
        <v>19.0</v>
      </c>
      <c r="R2383" s="37">
        <v>10.0</v>
      </c>
      <c r="S2383" s="37" t="s">
        <v>63</v>
      </c>
      <c r="T2383" s="69">
        <v>0.88</v>
      </c>
      <c r="U2383" s="37">
        <v>59.0</v>
      </c>
      <c r="V2383" s="37" t="s">
        <v>63</v>
      </c>
      <c r="W2383" s="37" t="s">
        <v>63</v>
      </c>
      <c r="X2383" s="37" t="s">
        <v>63</v>
      </c>
      <c r="Y2383" s="53">
        <v>133.0</v>
      </c>
      <c r="Z2383" s="69" t="s">
        <v>63</v>
      </c>
      <c r="AA2383" s="73"/>
      <c r="AB2383" s="73"/>
      <c r="AC2383" s="73"/>
      <c r="AD2383" s="73"/>
      <c r="AE2383" s="73"/>
      <c r="AF2383" s="73"/>
      <c r="AG2383" s="73"/>
      <c r="AH2383" s="73"/>
      <c r="AI2383" s="73"/>
      <c r="AJ2383" s="73"/>
      <c r="AK2383" s="73"/>
    </row>
    <row r="2384">
      <c r="A2384" s="28">
        <v>2383.0</v>
      </c>
      <c r="B2384" s="29"/>
      <c r="C2384" s="29"/>
      <c r="D2384" s="40">
        <v>1.0</v>
      </c>
      <c r="E2384" s="31">
        <v>45.0</v>
      </c>
      <c r="F2384" s="42">
        <v>49.0</v>
      </c>
      <c r="G2384" s="29" t="str">
        <f t="shared" si="1"/>
        <v>45049</v>
      </c>
      <c r="H2384" s="37" t="s">
        <v>1829</v>
      </c>
      <c r="I2384" s="37" t="s">
        <v>108</v>
      </c>
      <c r="J2384" s="37" t="s">
        <v>1812</v>
      </c>
      <c r="K2384" s="37" t="str">
        <f t="shared" si="41"/>
        <v>Hampton, SC</v>
      </c>
      <c r="L2384" s="37">
        <v>13.0</v>
      </c>
      <c r="M2384" s="37" t="s">
        <v>63</v>
      </c>
      <c r="N2384" s="37">
        <v>7.0</v>
      </c>
      <c r="O2384" s="37">
        <v>3.0</v>
      </c>
      <c r="P2384" s="37">
        <v>8.0</v>
      </c>
      <c r="Q2384" s="37">
        <v>8.0</v>
      </c>
      <c r="R2384" s="37">
        <v>0.0</v>
      </c>
      <c r="S2384" s="37" t="s">
        <v>63</v>
      </c>
      <c r="T2384" s="69">
        <v>0.909</v>
      </c>
      <c r="U2384" s="37">
        <v>35.0</v>
      </c>
      <c r="V2384" s="37" t="s">
        <v>63</v>
      </c>
      <c r="W2384" s="37" t="s">
        <v>63</v>
      </c>
      <c r="X2384" s="37" t="s">
        <v>63</v>
      </c>
      <c r="Y2384" s="53">
        <v>70.0</v>
      </c>
      <c r="Z2384" s="69" t="s">
        <v>63</v>
      </c>
      <c r="AA2384" s="73"/>
      <c r="AB2384" s="73"/>
      <c r="AC2384" s="73"/>
      <c r="AD2384" s="73"/>
      <c r="AE2384" s="73"/>
      <c r="AF2384" s="73"/>
      <c r="AG2384" s="73"/>
      <c r="AH2384" s="73"/>
      <c r="AI2384" s="73"/>
      <c r="AJ2384" s="73"/>
      <c r="AK2384" s="73"/>
    </row>
    <row r="2385">
      <c r="A2385" s="28">
        <v>2384.0</v>
      </c>
      <c r="B2385" s="29"/>
      <c r="C2385" s="29"/>
      <c r="D2385" s="40">
        <v>1.0</v>
      </c>
      <c r="E2385" s="31">
        <v>45.0</v>
      </c>
      <c r="F2385" s="42">
        <v>51.0</v>
      </c>
      <c r="G2385" s="29" t="str">
        <f t="shared" si="1"/>
        <v>45051</v>
      </c>
      <c r="H2385" s="37" t="s">
        <v>1830</v>
      </c>
      <c r="I2385" s="37" t="s">
        <v>108</v>
      </c>
      <c r="J2385" s="37" t="s">
        <v>1812</v>
      </c>
      <c r="K2385" s="37" t="str">
        <f t="shared" si="41"/>
        <v>Horry, SC</v>
      </c>
      <c r="L2385" s="37">
        <v>164.0</v>
      </c>
      <c r="M2385" s="37" t="s">
        <v>63</v>
      </c>
      <c r="N2385" s="37">
        <v>95.0</v>
      </c>
      <c r="O2385" s="37">
        <v>49.0</v>
      </c>
      <c r="P2385" s="37">
        <v>58.0</v>
      </c>
      <c r="Q2385" s="37">
        <v>125.0</v>
      </c>
      <c r="R2385" s="37">
        <v>25.0</v>
      </c>
      <c r="S2385" s="37" t="s">
        <v>63</v>
      </c>
      <c r="T2385" s="69">
        <v>0.731</v>
      </c>
      <c r="U2385" s="37">
        <v>235.0</v>
      </c>
      <c r="V2385" s="37" t="s">
        <v>63</v>
      </c>
      <c r="W2385" s="37" t="s">
        <v>63</v>
      </c>
      <c r="X2385" s="37" t="s">
        <v>63</v>
      </c>
      <c r="Y2385" s="53">
        <v>316.0</v>
      </c>
      <c r="Z2385" s="69" t="s">
        <v>63</v>
      </c>
      <c r="AA2385" s="73"/>
      <c r="AB2385" s="73"/>
      <c r="AC2385" s="73"/>
      <c r="AD2385" s="73"/>
      <c r="AE2385" s="73"/>
      <c r="AF2385" s="73"/>
      <c r="AG2385" s="73"/>
      <c r="AH2385" s="73"/>
      <c r="AI2385" s="73"/>
      <c r="AJ2385" s="73"/>
      <c r="AK2385" s="73"/>
    </row>
    <row r="2386">
      <c r="A2386" s="28">
        <v>2385.0</v>
      </c>
      <c r="B2386" s="29"/>
      <c r="C2386" s="29"/>
      <c r="D2386" s="40">
        <v>1.0</v>
      </c>
      <c r="E2386" s="31">
        <v>45.0</v>
      </c>
      <c r="F2386" s="42">
        <v>53.0</v>
      </c>
      <c r="G2386" s="29" t="str">
        <f t="shared" si="1"/>
        <v>45053</v>
      </c>
      <c r="H2386" s="37" t="s">
        <v>593</v>
      </c>
      <c r="I2386" s="37" t="s">
        <v>108</v>
      </c>
      <c r="J2386" s="37" t="s">
        <v>1812</v>
      </c>
      <c r="K2386" s="37" t="str">
        <f t="shared" si="41"/>
        <v>Jasper, SC</v>
      </c>
      <c r="L2386" s="37">
        <v>31.0</v>
      </c>
      <c r="M2386" s="37" t="s">
        <v>63</v>
      </c>
      <c r="N2386" s="37">
        <v>23.0</v>
      </c>
      <c r="O2386" s="37">
        <v>5.0</v>
      </c>
      <c r="P2386" s="37">
        <v>25.0</v>
      </c>
      <c r="Q2386" s="37">
        <v>8.0</v>
      </c>
      <c r="R2386" s="37">
        <v>2.0</v>
      </c>
      <c r="S2386" s="37" t="s">
        <v>63</v>
      </c>
      <c r="T2386" s="69">
        <v>0.5</v>
      </c>
      <c r="U2386" s="37">
        <v>38.0</v>
      </c>
      <c r="V2386" s="37" t="s">
        <v>63</v>
      </c>
      <c r="W2386" s="37" t="s">
        <v>63</v>
      </c>
      <c r="X2386" s="37" t="s">
        <v>63</v>
      </c>
      <c r="Y2386" s="53">
        <v>55.0</v>
      </c>
      <c r="Z2386" s="69" t="s">
        <v>63</v>
      </c>
      <c r="AA2386" s="73"/>
      <c r="AB2386" s="73"/>
      <c r="AC2386" s="73"/>
      <c r="AD2386" s="73"/>
      <c r="AE2386" s="73"/>
      <c r="AF2386" s="73"/>
      <c r="AG2386" s="73"/>
      <c r="AH2386" s="73"/>
      <c r="AI2386" s="73"/>
      <c r="AJ2386" s="73"/>
      <c r="AK2386" s="73"/>
    </row>
    <row r="2387">
      <c r="A2387" s="28">
        <v>2386.0</v>
      </c>
      <c r="B2387" s="29"/>
      <c r="C2387" s="29"/>
      <c r="D2387" s="40">
        <v>1.0</v>
      </c>
      <c r="E2387" s="31">
        <v>45.0</v>
      </c>
      <c r="F2387" s="42">
        <v>55.0</v>
      </c>
      <c r="G2387" s="29" t="str">
        <f t="shared" si="1"/>
        <v>45055</v>
      </c>
      <c r="H2387" s="37" t="s">
        <v>1831</v>
      </c>
      <c r="I2387" s="37" t="s">
        <v>108</v>
      </c>
      <c r="J2387" s="37" t="s">
        <v>1812</v>
      </c>
      <c r="K2387" s="37" t="str">
        <f t="shared" si="41"/>
        <v>Kershaw, SC</v>
      </c>
      <c r="L2387" s="37">
        <v>87.0</v>
      </c>
      <c r="M2387" s="37" t="s">
        <v>63</v>
      </c>
      <c r="N2387" s="37">
        <v>45.0</v>
      </c>
      <c r="O2387" s="37">
        <v>34.0</v>
      </c>
      <c r="P2387" s="37">
        <v>45.0</v>
      </c>
      <c r="Q2387" s="37">
        <v>49.0</v>
      </c>
      <c r="R2387" s="37">
        <v>15.0</v>
      </c>
      <c r="S2387" s="37" t="s">
        <v>63</v>
      </c>
      <c r="T2387" s="69">
        <v>0.686</v>
      </c>
      <c r="U2387" s="37">
        <v>76.0</v>
      </c>
      <c r="V2387" s="37" t="s">
        <v>63</v>
      </c>
      <c r="W2387" s="37" t="s">
        <v>63</v>
      </c>
      <c r="X2387" s="37" t="s">
        <v>63</v>
      </c>
      <c r="Y2387" s="53">
        <v>108.0</v>
      </c>
      <c r="Z2387" s="69" t="s">
        <v>63</v>
      </c>
      <c r="AA2387" s="73"/>
      <c r="AB2387" s="73"/>
      <c r="AC2387" s="73"/>
      <c r="AD2387" s="73"/>
      <c r="AE2387" s="73"/>
      <c r="AF2387" s="73"/>
      <c r="AG2387" s="73"/>
      <c r="AH2387" s="73"/>
      <c r="AI2387" s="73"/>
      <c r="AJ2387" s="73"/>
      <c r="AK2387" s="73"/>
    </row>
    <row r="2388">
      <c r="A2388" s="28">
        <v>2387.0</v>
      </c>
      <c r="B2388" s="29"/>
      <c r="C2388" s="29"/>
      <c r="D2388" s="40">
        <v>1.0</v>
      </c>
      <c r="E2388" s="31">
        <v>45.0</v>
      </c>
      <c r="F2388" s="42">
        <v>57.0</v>
      </c>
      <c r="G2388" s="29" t="str">
        <f t="shared" si="1"/>
        <v>45057</v>
      </c>
      <c r="H2388" s="37" t="s">
        <v>650</v>
      </c>
      <c r="I2388" s="37" t="s">
        <v>108</v>
      </c>
      <c r="J2388" s="37" t="s">
        <v>1812</v>
      </c>
      <c r="K2388" s="37" t="str">
        <f t="shared" si="41"/>
        <v>Lancaster, SC</v>
      </c>
      <c r="L2388" s="37">
        <v>47.0</v>
      </c>
      <c r="M2388" s="37" t="s">
        <v>63</v>
      </c>
      <c r="N2388" s="37">
        <v>36.0</v>
      </c>
      <c r="O2388" s="37">
        <v>8.0</v>
      </c>
      <c r="P2388" s="37">
        <v>32.0</v>
      </c>
      <c r="Q2388" s="37">
        <v>32.0</v>
      </c>
      <c r="R2388" s="37">
        <v>12.0</v>
      </c>
      <c r="S2388" s="37" t="s">
        <v>63</v>
      </c>
      <c r="T2388" s="69">
        <v>0.75</v>
      </c>
      <c r="U2388" s="37">
        <v>72.0</v>
      </c>
      <c r="V2388" s="37" t="s">
        <v>63</v>
      </c>
      <c r="W2388" s="37" t="s">
        <v>63</v>
      </c>
      <c r="X2388" s="37" t="s">
        <v>63</v>
      </c>
      <c r="Y2388" s="53">
        <v>140.0</v>
      </c>
      <c r="Z2388" s="69" t="s">
        <v>63</v>
      </c>
      <c r="AA2388" s="73"/>
      <c r="AB2388" s="73"/>
      <c r="AC2388" s="73"/>
      <c r="AD2388" s="73"/>
      <c r="AE2388" s="73"/>
      <c r="AF2388" s="73"/>
      <c r="AG2388" s="73"/>
      <c r="AH2388" s="73"/>
      <c r="AI2388" s="73"/>
      <c r="AJ2388" s="73"/>
      <c r="AK2388" s="73"/>
    </row>
    <row r="2389">
      <c r="A2389" s="28">
        <v>2388.0</v>
      </c>
      <c r="B2389" s="29"/>
      <c r="C2389" s="29"/>
      <c r="D2389" s="40">
        <v>1.0</v>
      </c>
      <c r="E2389" s="31">
        <v>45.0</v>
      </c>
      <c r="F2389" s="42">
        <v>59.0</v>
      </c>
      <c r="G2389" s="29" t="str">
        <f t="shared" si="1"/>
        <v>45059</v>
      </c>
      <c r="H2389" s="37" t="s">
        <v>601</v>
      </c>
      <c r="I2389" s="37" t="s">
        <v>108</v>
      </c>
      <c r="J2389" s="37" t="s">
        <v>1812</v>
      </c>
      <c r="K2389" s="37" t="str">
        <f t="shared" si="41"/>
        <v>Laurens, SC</v>
      </c>
      <c r="L2389" s="37">
        <v>108.0</v>
      </c>
      <c r="M2389" s="37" t="s">
        <v>63</v>
      </c>
      <c r="N2389" s="37">
        <v>72.0</v>
      </c>
      <c r="O2389" s="37">
        <v>21.0</v>
      </c>
      <c r="P2389" s="37">
        <v>82.0</v>
      </c>
      <c r="Q2389" s="37">
        <v>27.0</v>
      </c>
      <c r="R2389" s="37">
        <v>25.0</v>
      </c>
      <c r="S2389" s="37" t="s">
        <v>63</v>
      </c>
      <c r="T2389" s="69">
        <v>0.681</v>
      </c>
      <c r="U2389" s="37">
        <v>83.0</v>
      </c>
      <c r="V2389" s="37" t="s">
        <v>63</v>
      </c>
      <c r="W2389" s="37" t="s">
        <v>63</v>
      </c>
      <c r="X2389" s="37" t="s">
        <v>63</v>
      </c>
      <c r="Y2389" s="53">
        <v>129.0</v>
      </c>
      <c r="Z2389" s="69" t="s">
        <v>63</v>
      </c>
      <c r="AA2389" s="73"/>
      <c r="AB2389" s="73"/>
      <c r="AC2389" s="73"/>
      <c r="AD2389" s="73"/>
      <c r="AE2389" s="73"/>
      <c r="AF2389" s="73"/>
      <c r="AG2389" s="73"/>
      <c r="AH2389" s="73"/>
      <c r="AI2389" s="73"/>
      <c r="AJ2389" s="73"/>
      <c r="AK2389" s="73"/>
    </row>
    <row r="2390">
      <c r="A2390" s="28">
        <v>2389.0</v>
      </c>
      <c r="B2390" s="29"/>
      <c r="C2390" s="29"/>
      <c r="D2390" s="40">
        <v>1.0</v>
      </c>
      <c r="E2390" s="31">
        <v>45.0</v>
      </c>
      <c r="F2390" s="42">
        <v>61.0</v>
      </c>
      <c r="G2390" s="29" t="str">
        <f t="shared" si="1"/>
        <v>45061</v>
      </c>
      <c r="H2390" s="37" t="s">
        <v>147</v>
      </c>
      <c r="I2390" s="37" t="s">
        <v>108</v>
      </c>
      <c r="J2390" s="37" t="s">
        <v>1812</v>
      </c>
      <c r="K2390" s="37" t="str">
        <f t="shared" si="41"/>
        <v>Lee, SC</v>
      </c>
      <c r="L2390" s="37">
        <v>16.0</v>
      </c>
      <c r="M2390" s="37" t="s">
        <v>63</v>
      </c>
      <c r="N2390" s="37">
        <v>9.0</v>
      </c>
      <c r="O2390" s="37">
        <v>6.0</v>
      </c>
      <c r="P2390" s="37">
        <v>10.0</v>
      </c>
      <c r="Q2390" s="37">
        <v>5.0</v>
      </c>
      <c r="R2390" s="37">
        <v>1.0</v>
      </c>
      <c r="S2390" s="37" t="s">
        <v>63</v>
      </c>
      <c r="T2390" s="69" t="s">
        <v>63</v>
      </c>
      <c r="U2390" s="37">
        <v>24.0</v>
      </c>
      <c r="V2390" s="37" t="s">
        <v>63</v>
      </c>
      <c r="W2390" s="37" t="s">
        <v>63</v>
      </c>
      <c r="X2390" s="37" t="s">
        <v>63</v>
      </c>
      <c r="Y2390" s="53">
        <v>58.0</v>
      </c>
      <c r="Z2390" s="69" t="s">
        <v>63</v>
      </c>
      <c r="AA2390" s="73"/>
      <c r="AB2390" s="73"/>
      <c r="AC2390" s="73"/>
      <c r="AD2390" s="73"/>
      <c r="AE2390" s="73"/>
      <c r="AF2390" s="73"/>
      <c r="AG2390" s="73"/>
      <c r="AH2390" s="73"/>
      <c r="AI2390" s="73"/>
      <c r="AJ2390" s="73"/>
      <c r="AK2390" s="73"/>
    </row>
    <row r="2391">
      <c r="A2391" s="28">
        <v>2390.0</v>
      </c>
      <c r="B2391" s="29"/>
      <c r="C2391" s="29"/>
      <c r="D2391" s="40">
        <v>1.0</v>
      </c>
      <c r="E2391" s="31">
        <v>45.0</v>
      </c>
      <c r="F2391" s="42">
        <v>63.0</v>
      </c>
      <c r="G2391" s="29" t="str">
        <f t="shared" si="1"/>
        <v>45063</v>
      </c>
      <c r="H2391" s="37" t="s">
        <v>1832</v>
      </c>
      <c r="I2391" s="37" t="s">
        <v>108</v>
      </c>
      <c r="J2391" s="37" t="s">
        <v>1812</v>
      </c>
      <c r="K2391" s="37" t="str">
        <f t="shared" si="41"/>
        <v>Lexington, SC</v>
      </c>
      <c r="L2391" s="37">
        <v>124.0</v>
      </c>
      <c r="M2391" s="37" t="s">
        <v>63</v>
      </c>
      <c r="N2391" s="37">
        <v>79.0</v>
      </c>
      <c r="O2391" s="37">
        <v>31.0</v>
      </c>
      <c r="P2391" s="37">
        <v>74.0</v>
      </c>
      <c r="Q2391" s="37">
        <v>129.0</v>
      </c>
      <c r="R2391" s="37">
        <v>23.0</v>
      </c>
      <c r="S2391" s="37" t="s">
        <v>63</v>
      </c>
      <c r="T2391" s="69">
        <v>0.627</v>
      </c>
      <c r="U2391" s="37">
        <v>114.0</v>
      </c>
      <c r="V2391" s="37" t="s">
        <v>63</v>
      </c>
      <c r="W2391" s="37" t="s">
        <v>63</v>
      </c>
      <c r="X2391" s="37" t="s">
        <v>63</v>
      </c>
      <c r="Y2391" s="53">
        <v>254.0</v>
      </c>
      <c r="Z2391" s="69" t="s">
        <v>63</v>
      </c>
      <c r="AA2391" s="73"/>
      <c r="AB2391" s="73"/>
      <c r="AC2391" s="73"/>
      <c r="AD2391" s="73"/>
      <c r="AE2391" s="73"/>
      <c r="AF2391" s="73"/>
      <c r="AG2391" s="73"/>
      <c r="AH2391" s="73"/>
      <c r="AI2391" s="73"/>
      <c r="AJ2391" s="73"/>
      <c r="AK2391" s="73"/>
    </row>
    <row r="2392">
      <c r="A2392" s="28">
        <v>2391.0</v>
      </c>
      <c r="B2392" s="29"/>
      <c r="C2392" s="29"/>
      <c r="D2392" s="40">
        <v>1.0</v>
      </c>
      <c r="E2392" s="31">
        <v>45.0</v>
      </c>
      <c r="F2392" s="42">
        <v>65.0</v>
      </c>
      <c r="G2392" s="29" t="str">
        <f t="shared" si="1"/>
        <v>45065</v>
      </c>
      <c r="H2392" s="37" t="s">
        <v>1833</v>
      </c>
      <c r="I2392" s="37" t="s">
        <v>108</v>
      </c>
      <c r="J2392" s="37" t="s">
        <v>1812</v>
      </c>
      <c r="K2392" s="37" t="str">
        <f t="shared" si="41"/>
        <v>McCormick, SC</v>
      </c>
      <c r="L2392" s="37">
        <v>1.0</v>
      </c>
      <c r="M2392" s="37" t="s">
        <v>63</v>
      </c>
      <c r="N2392" s="37">
        <v>1.0</v>
      </c>
      <c r="O2392" s="37" t="s">
        <v>63</v>
      </c>
      <c r="P2392" s="37">
        <v>1.0</v>
      </c>
      <c r="Q2392" s="37">
        <v>2.0</v>
      </c>
      <c r="R2392" s="37" t="s">
        <v>63</v>
      </c>
      <c r="S2392" s="37" t="s">
        <v>63</v>
      </c>
      <c r="T2392" s="69">
        <v>1.0</v>
      </c>
      <c r="U2392" s="37">
        <v>8.0</v>
      </c>
      <c r="V2392" s="37" t="s">
        <v>63</v>
      </c>
      <c r="W2392" s="37" t="s">
        <v>63</v>
      </c>
      <c r="X2392" s="37" t="s">
        <v>63</v>
      </c>
      <c r="Y2392" s="53">
        <v>32.0</v>
      </c>
      <c r="Z2392" s="69" t="s">
        <v>63</v>
      </c>
      <c r="AA2392" s="73"/>
      <c r="AB2392" s="73"/>
      <c r="AC2392" s="73"/>
      <c r="AD2392" s="73"/>
      <c r="AE2392" s="73"/>
      <c r="AF2392" s="73"/>
      <c r="AG2392" s="73"/>
      <c r="AH2392" s="73"/>
      <c r="AI2392" s="73"/>
      <c r="AJ2392" s="73"/>
      <c r="AK2392" s="73"/>
    </row>
    <row r="2393">
      <c r="A2393" s="28">
        <v>2392.0</v>
      </c>
      <c r="B2393" s="29"/>
      <c r="C2393" s="29"/>
      <c r="D2393" s="40">
        <v>1.0</v>
      </c>
      <c r="E2393" s="31">
        <v>45.0</v>
      </c>
      <c r="F2393" s="42">
        <v>67.0</v>
      </c>
      <c r="G2393" s="29" t="str">
        <f t="shared" si="1"/>
        <v>45067</v>
      </c>
      <c r="H2393" s="37" t="s">
        <v>153</v>
      </c>
      <c r="I2393" s="37" t="s">
        <v>108</v>
      </c>
      <c r="J2393" s="37" t="s">
        <v>1812</v>
      </c>
      <c r="K2393" s="37" t="str">
        <f t="shared" si="41"/>
        <v>Marion, SC</v>
      </c>
      <c r="L2393" s="37">
        <v>29.0</v>
      </c>
      <c r="M2393" s="37" t="s">
        <v>63</v>
      </c>
      <c r="N2393" s="37">
        <v>13.0</v>
      </c>
      <c r="O2393" s="37">
        <v>12.0</v>
      </c>
      <c r="P2393" s="37">
        <v>14.0</v>
      </c>
      <c r="Q2393" s="37">
        <v>19.0</v>
      </c>
      <c r="R2393" s="37">
        <v>3.0</v>
      </c>
      <c r="S2393" s="37" t="s">
        <v>63</v>
      </c>
      <c r="T2393" s="69">
        <v>0.75</v>
      </c>
      <c r="U2393" s="37">
        <v>35.0</v>
      </c>
      <c r="V2393" s="37" t="s">
        <v>63</v>
      </c>
      <c r="W2393" s="37" t="s">
        <v>63</v>
      </c>
      <c r="X2393" s="37" t="s">
        <v>63</v>
      </c>
      <c r="Y2393" s="53">
        <v>63.0</v>
      </c>
      <c r="Z2393" s="69" t="s">
        <v>63</v>
      </c>
      <c r="AA2393" s="73"/>
      <c r="AB2393" s="73"/>
      <c r="AC2393" s="73"/>
      <c r="AD2393" s="73"/>
      <c r="AE2393" s="73"/>
      <c r="AF2393" s="73"/>
      <c r="AG2393" s="73"/>
      <c r="AH2393" s="73"/>
      <c r="AI2393" s="73"/>
      <c r="AJ2393" s="73"/>
      <c r="AK2393" s="73"/>
    </row>
    <row r="2394">
      <c r="A2394" s="28">
        <v>2393.0</v>
      </c>
      <c r="B2394" s="29"/>
      <c r="C2394" s="29"/>
      <c r="D2394" s="40">
        <v>1.0</v>
      </c>
      <c r="E2394" s="31">
        <v>45.0</v>
      </c>
      <c r="F2394" s="42">
        <v>69.0</v>
      </c>
      <c r="G2394" s="29" t="str">
        <f t="shared" si="1"/>
        <v>45069</v>
      </c>
      <c r="H2394" s="37" t="s">
        <v>1834</v>
      </c>
      <c r="I2394" s="37" t="s">
        <v>108</v>
      </c>
      <c r="J2394" s="37" t="s">
        <v>1812</v>
      </c>
      <c r="K2394" s="37" t="str">
        <f t="shared" si="41"/>
        <v>Marlboro, SC</v>
      </c>
      <c r="L2394" s="37">
        <v>11.0</v>
      </c>
      <c r="M2394" s="37" t="s">
        <v>63</v>
      </c>
      <c r="N2394" s="37">
        <v>9.0</v>
      </c>
      <c r="O2394" s="37">
        <v>2.0</v>
      </c>
      <c r="P2394" s="37">
        <v>9.0</v>
      </c>
      <c r="Q2394" s="37">
        <v>7.0</v>
      </c>
      <c r="R2394" s="37">
        <v>2.0</v>
      </c>
      <c r="S2394" s="37" t="s">
        <v>63</v>
      </c>
      <c r="T2394" s="69">
        <v>0.923</v>
      </c>
      <c r="U2394" s="37">
        <v>27.0</v>
      </c>
      <c r="V2394" s="37" t="s">
        <v>63</v>
      </c>
      <c r="W2394" s="37" t="s">
        <v>63</v>
      </c>
      <c r="X2394" s="37" t="s">
        <v>63</v>
      </c>
      <c r="Y2394" s="53">
        <v>48.0</v>
      </c>
      <c r="Z2394" s="69" t="s">
        <v>63</v>
      </c>
      <c r="AA2394" s="73"/>
      <c r="AB2394" s="73"/>
      <c r="AC2394" s="73"/>
      <c r="AD2394" s="73"/>
      <c r="AE2394" s="73"/>
      <c r="AF2394" s="73"/>
      <c r="AG2394" s="73"/>
      <c r="AH2394" s="73"/>
      <c r="AI2394" s="73"/>
      <c r="AJ2394" s="73"/>
      <c r="AK2394" s="73"/>
    </row>
    <row r="2395">
      <c r="A2395" s="28">
        <v>2394.0</v>
      </c>
      <c r="B2395" s="29"/>
      <c r="C2395" s="29"/>
      <c r="D2395" s="40">
        <v>1.0</v>
      </c>
      <c r="E2395" s="31">
        <v>45.0</v>
      </c>
      <c r="F2395" s="42">
        <v>71.0</v>
      </c>
      <c r="G2395" s="29" t="str">
        <f t="shared" si="1"/>
        <v>45071</v>
      </c>
      <c r="H2395" s="37" t="s">
        <v>1835</v>
      </c>
      <c r="I2395" s="37" t="s">
        <v>108</v>
      </c>
      <c r="J2395" s="37" t="s">
        <v>1812</v>
      </c>
      <c r="K2395" s="37" t="str">
        <f t="shared" si="41"/>
        <v>Newberry, SC</v>
      </c>
      <c r="L2395" s="37">
        <v>11.0</v>
      </c>
      <c r="M2395" s="37" t="s">
        <v>63</v>
      </c>
      <c r="N2395" s="37">
        <v>9.0</v>
      </c>
      <c r="O2395" s="37">
        <v>2.0</v>
      </c>
      <c r="P2395" s="37">
        <v>9.0</v>
      </c>
      <c r="Q2395" s="37">
        <v>11.0</v>
      </c>
      <c r="R2395" s="37">
        <v>0.0</v>
      </c>
      <c r="S2395" s="37" t="s">
        <v>63</v>
      </c>
      <c r="T2395" s="69">
        <v>0.643</v>
      </c>
      <c r="U2395" s="37">
        <v>29.0</v>
      </c>
      <c r="V2395" s="37" t="s">
        <v>63</v>
      </c>
      <c r="W2395" s="37" t="s">
        <v>63</v>
      </c>
      <c r="X2395" s="37" t="s">
        <v>63</v>
      </c>
      <c r="Y2395" s="53">
        <v>65.0</v>
      </c>
      <c r="Z2395" s="69" t="s">
        <v>63</v>
      </c>
      <c r="AA2395" s="73"/>
      <c r="AB2395" s="73"/>
      <c r="AC2395" s="73"/>
      <c r="AD2395" s="73"/>
      <c r="AE2395" s="73"/>
      <c r="AF2395" s="73"/>
      <c r="AG2395" s="73"/>
      <c r="AH2395" s="73"/>
      <c r="AI2395" s="73"/>
      <c r="AJ2395" s="73"/>
      <c r="AK2395" s="73"/>
    </row>
    <row r="2396">
      <c r="A2396" s="28">
        <v>2395.0</v>
      </c>
      <c r="B2396" s="29"/>
      <c r="C2396" s="29"/>
      <c r="D2396" s="40">
        <v>1.0</v>
      </c>
      <c r="E2396" s="31">
        <v>45.0</v>
      </c>
      <c r="F2396" s="42">
        <v>73.0</v>
      </c>
      <c r="G2396" s="29" t="str">
        <f t="shared" si="1"/>
        <v>45073</v>
      </c>
      <c r="H2396" s="37" t="s">
        <v>614</v>
      </c>
      <c r="I2396" s="37" t="s">
        <v>108</v>
      </c>
      <c r="J2396" s="37" t="s">
        <v>1812</v>
      </c>
      <c r="K2396" s="37" t="str">
        <f t="shared" si="41"/>
        <v>Oconee, SC</v>
      </c>
      <c r="L2396" s="37">
        <v>45.0</v>
      </c>
      <c r="M2396" s="37" t="s">
        <v>63</v>
      </c>
      <c r="N2396" s="37">
        <v>29.0</v>
      </c>
      <c r="O2396" s="37">
        <v>12.0</v>
      </c>
      <c r="P2396" s="37">
        <v>21.0</v>
      </c>
      <c r="Q2396" s="37">
        <v>23.0</v>
      </c>
      <c r="R2396" s="37">
        <v>9.0</v>
      </c>
      <c r="S2396" s="37" t="s">
        <v>63</v>
      </c>
      <c r="T2396" s="69">
        <v>0.783</v>
      </c>
      <c r="U2396" s="37">
        <v>70.0</v>
      </c>
      <c r="V2396" s="37" t="s">
        <v>63</v>
      </c>
      <c r="W2396" s="37" t="s">
        <v>63</v>
      </c>
      <c r="X2396" s="37" t="s">
        <v>63</v>
      </c>
      <c r="Y2396" s="53">
        <v>88.0</v>
      </c>
      <c r="Z2396" s="69" t="s">
        <v>63</v>
      </c>
      <c r="AA2396" s="73"/>
      <c r="AB2396" s="73"/>
      <c r="AC2396" s="73"/>
      <c r="AD2396" s="73"/>
      <c r="AE2396" s="73"/>
      <c r="AF2396" s="73"/>
      <c r="AG2396" s="73"/>
      <c r="AH2396" s="73"/>
      <c r="AI2396" s="73"/>
      <c r="AJ2396" s="73"/>
      <c r="AK2396" s="73"/>
    </row>
    <row r="2397">
      <c r="A2397" s="28">
        <v>2396.0</v>
      </c>
      <c r="B2397" s="29"/>
      <c r="C2397" s="29"/>
      <c r="D2397" s="40">
        <v>1.0</v>
      </c>
      <c r="E2397" s="31">
        <v>45.0</v>
      </c>
      <c r="F2397" s="42">
        <v>75.0</v>
      </c>
      <c r="G2397" s="29" t="str">
        <f t="shared" si="1"/>
        <v>45075</v>
      </c>
      <c r="H2397" s="37" t="s">
        <v>1836</v>
      </c>
      <c r="I2397" s="37" t="s">
        <v>108</v>
      </c>
      <c r="J2397" s="37" t="s">
        <v>1812</v>
      </c>
      <c r="K2397" s="37" t="str">
        <f t="shared" si="41"/>
        <v>Orangeburg, SC</v>
      </c>
      <c r="L2397" s="37">
        <v>90.0</v>
      </c>
      <c r="M2397" s="37" t="s">
        <v>63</v>
      </c>
      <c r="N2397" s="37">
        <v>49.0</v>
      </c>
      <c r="O2397" s="37">
        <v>33.0</v>
      </c>
      <c r="P2397" s="37">
        <v>44.0</v>
      </c>
      <c r="Q2397" s="37">
        <v>46.0</v>
      </c>
      <c r="R2397" s="37">
        <v>6.0</v>
      </c>
      <c r="S2397" s="37" t="s">
        <v>63</v>
      </c>
      <c r="T2397" s="69">
        <v>0.744</v>
      </c>
      <c r="U2397" s="37">
        <v>90.0</v>
      </c>
      <c r="V2397" s="37" t="s">
        <v>63</v>
      </c>
      <c r="W2397" s="37" t="s">
        <v>63</v>
      </c>
      <c r="X2397" s="37" t="s">
        <v>63</v>
      </c>
      <c r="Y2397" s="53">
        <v>185.0</v>
      </c>
      <c r="Z2397" s="69" t="s">
        <v>63</v>
      </c>
      <c r="AA2397" s="73"/>
      <c r="AB2397" s="73"/>
      <c r="AC2397" s="73"/>
      <c r="AD2397" s="73"/>
      <c r="AE2397" s="73"/>
      <c r="AF2397" s="73"/>
      <c r="AG2397" s="73"/>
      <c r="AH2397" s="73"/>
      <c r="AI2397" s="73"/>
      <c r="AJ2397" s="73"/>
      <c r="AK2397" s="73"/>
    </row>
    <row r="2398">
      <c r="A2398" s="28">
        <v>2397.0</v>
      </c>
      <c r="B2398" s="29"/>
      <c r="C2398" s="29"/>
      <c r="D2398" s="40">
        <v>1.0</v>
      </c>
      <c r="E2398" s="31">
        <v>45.0</v>
      </c>
      <c r="F2398" s="42">
        <v>77.0</v>
      </c>
      <c r="G2398" s="29" t="str">
        <f t="shared" si="1"/>
        <v>45077</v>
      </c>
      <c r="H2398" s="37" t="s">
        <v>160</v>
      </c>
      <c r="I2398" s="37" t="s">
        <v>108</v>
      </c>
      <c r="J2398" s="37" t="s">
        <v>1812</v>
      </c>
      <c r="K2398" s="37" t="str">
        <f t="shared" si="41"/>
        <v>Pickens, SC</v>
      </c>
      <c r="L2398" s="37">
        <v>35.0</v>
      </c>
      <c r="M2398" s="37" t="s">
        <v>63</v>
      </c>
      <c r="N2398" s="37">
        <v>19.0</v>
      </c>
      <c r="O2398" s="37">
        <v>7.0</v>
      </c>
      <c r="P2398" s="37">
        <v>21.0</v>
      </c>
      <c r="Q2398" s="37">
        <v>52.0</v>
      </c>
      <c r="R2398" s="37">
        <v>1.0</v>
      </c>
      <c r="S2398" s="37" t="s">
        <v>63</v>
      </c>
      <c r="T2398" s="69">
        <v>0.933</v>
      </c>
      <c r="U2398" s="37">
        <v>78.0</v>
      </c>
      <c r="V2398" s="37" t="s">
        <v>63</v>
      </c>
      <c r="W2398" s="37" t="s">
        <v>63</v>
      </c>
      <c r="X2398" s="37" t="s">
        <v>63</v>
      </c>
      <c r="Y2398" s="53">
        <v>145.0</v>
      </c>
      <c r="Z2398" s="69" t="s">
        <v>63</v>
      </c>
      <c r="AA2398" s="73"/>
      <c r="AB2398" s="73"/>
      <c r="AC2398" s="73"/>
      <c r="AD2398" s="73"/>
      <c r="AE2398" s="73"/>
      <c r="AF2398" s="73"/>
      <c r="AG2398" s="73"/>
      <c r="AH2398" s="73"/>
      <c r="AI2398" s="73"/>
      <c r="AJ2398" s="73"/>
      <c r="AK2398" s="73"/>
    </row>
    <row r="2399">
      <c r="A2399" s="28">
        <v>2398.0</v>
      </c>
      <c r="B2399" s="29"/>
      <c r="C2399" s="29"/>
      <c r="D2399" s="40">
        <v>1.0</v>
      </c>
      <c r="E2399" s="31">
        <v>45.0</v>
      </c>
      <c r="F2399" s="42">
        <v>79.0</v>
      </c>
      <c r="G2399" s="29" t="str">
        <f t="shared" si="1"/>
        <v>45079</v>
      </c>
      <c r="H2399" s="37" t="s">
        <v>743</v>
      </c>
      <c r="I2399" s="37" t="s">
        <v>108</v>
      </c>
      <c r="J2399" s="37" t="s">
        <v>1812</v>
      </c>
      <c r="K2399" s="37" t="str">
        <f t="shared" si="41"/>
        <v>Richland, SC</v>
      </c>
      <c r="L2399" s="37">
        <v>444.0</v>
      </c>
      <c r="M2399" s="37" t="s">
        <v>63</v>
      </c>
      <c r="N2399" s="37">
        <v>234.0</v>
      </c>
      <c r="O2399" s="37">
        <v>169.0</v>
      </c>
      <c r="P2399" s="37">
        <v>180.0</v>
      </c>
      <c r="Q2399" s="37">
        <v>279.0</v>
      </c>
      <c r="R2399" s="37">
        <v>55.0</v>
      </c>
      <c r="S2399" s="37" t="s">
        <v>63</v>
      </c>
      <c r="T2399" s="69">
        <v>0.688</v>
      </c>
      <c r="U2399" s="37">
        <v>444.0</v>
      </c>
      <c r="V2399" s="37" t="s">
        <v>63</v>
      </c>
      <c r="W2399" s="37" t="s">
        <v>63</v>
      </c>
      <c r="X2399" s="37" t="s">
        <v>63</v>
      </c>
      <c r="Y2399" s="53">
        <v>375.0</v>
      </c>
      <c r="Z2399" s="69" t="s">
        <v>63</v>
      </c>
      <c r="AA2399" s="73"/>
      <c r="AB2399" s="73"/>
      <c r="AC2399" s="73"/>
      <c r="AD2399" s="73"/>
      <c r="AE2399" s="73"/>
      <c r="AF2399" s="73"/>
      <c r="AG2399" s="73"/>
      <c r="AH2399" s="73"/>
      <c r="AI2399" s="73"/>
      <c r="AJ2399" s="73"/>
      <c r="AK2399" s="73"/>
    </row>
    <row r="2400">
      <c r="A2400" s="28">
        <v>2399.0</v>
      </c>
      <c r="B2400" s="29"/>
      <c r="C2400" s="29"/>
      <c r="D2400" s="40">
        <v>1.0</v>
      </c>
      <c r="E2400" s="31">
        <v>45.0</v>
      </c>
      <c r="F2400" s="42">
        <v>81.0</v>
      </c>
      <c r="G2400" s="29" t="str">
        <f t="shared" si="1"/>
        <v>45081</v>
      </c>
      <c r="H2400" s="37" t="s">
        <v>1837</v>
      </c>
      <c r="I2400" s="37" t="s">
        <v>108</v>
      </c>
      <c r="J2400" s="37" t="s">
        <v>1812</v>
      </c>
      <c r="K2400" s="37" t="str">
        <f t="shared" si="41"/>
        <v>Saluda, SC</v>
      </c>
      <c r="L2400" s="37">
        <v>8.0</v>
      </c>
      <c r="M2400" s="37" t="s">
        <v>63</v>
      </c>
      <c r="N2400" s="37">
        <v>6.0</v>
      </c>
      <c r="O2400" s="37" t="s">
        <v>63</v>
      </c>
      <c r="P2400" s="37">
        <v>8.0</v>
      </c>
      <c r="Q2400" s="37">
        <v>2.0</v>
      </c>
      <c r="R2400" s="37">
        <v>0.0</v>
      </c>
      <c r="S2400" s="37" t="s">
        <v>63</v>
      </c>
      <c r="T2400" s="69">
        <v>0.778</v>
      </c>
      <c r="U2400" s="37">
        <v>14.0</v>
      </c>
      <c r="V2400" s="37" t="s">
        <v>63</v>
      </c>
      <c r="W2400" s="37" t="s">
        <v>63</v>
      </c>
      <c r="X2400" s="37" t="s">
        <v>63</v>
      </c>
      <c r="Y2400" s="53">
        <v>41.0</v>
      </c>
      <c r="Z2400" s="69" t="s">
        <v>63</v>
      </c>
      <c r="AA2400" s="73"/>
      <c r="AB2400" s="73"/>
      <c r="AC2400" s="73"/>
      <c r="AD2400" s="73"/>
      <c r="AE2400" s="73"/>
      <c r="AF2400" s="73"/>
      <c r="AG2400" s="73"/>
      <c r="AH2400" s="73"/>
      <c r="AI2400" s="73"/>
      <c r="AJ2400" s="73"/>
      <c r="AK2400" s="73"/>
    </row>
    <row r="2401">
      <c r="A2401" s="28">
        <v>2400.0</v>
      </c>
      <c r="B2401" s="29"/>
      <c r="C2401" s="29"/>
      <c r="D2401" s="40">
        <v>1.0</v>
      </c>
      <c r="E2401" s="31">
        <v>45.0</v>
      </c>
      <c r="F2401" s="42">
        <v>83.0</v>
      </c>
      <c r="G2401" s="29" t="str">
        <f t="shared" si="1"/>
        <v>45083</v>
      </c>
      <c r="H2401" s="37" t="s">
        <v>1838</v>
      </c>
      <c r="I2401" s="37" t="s">
        <v>108</v>
      </c>
      <c r="J2401" s="37" t="s">
        <v>1812</v>
      </c>
      <c r="K2401" s="136" t="str">
        <f t="shared" si="41"/>
        <v>Spartanburg, SC</v>
      </c>
      <c r="L2401" s="37">
        <v>200.0</v>
      </c>
      <c r="M2401" s="37" t="s">
        <v>63</v>
      </c>
      <c r="N2401" s="37">
        <v>103.0</v>
      </c>
      <c r="O2401" s="37">
        <v>55.0</v>
      </c>
      <c r="P2401" s="37">
        <v>90.0</v>
      </c>
      <c r="Q2401" s="37">
        <v>194.0</v>
      </c>
      <c r="R2401" s="37">
        <v>37.0</v>
      </c>
      <c r="S2401" s="37" t="s">
        <v>63</v>
      </c>
      <c r="T2401" s="69">
        <v>0.698</v>
      </c>
      <c r="U2401" s="37">
        <v>217.0</v>
      </c>
      <c r="V2401" s="37" t="s">
        <v>63</v>
      </c>
      <c r="W2401" s="37" t="s">
        <v>63</v>
      </c>
      <c r="X2401" s="37" t="s">
        <v>63</v>
      </c>
      <c r="Y2401" s="53">
        <v>365.0</v>
      </c>
      <c r="Z2401" s="69" t="s">
        <v>63</v>
      </c>
      <c r="AA2401" s="73"/>
      <c r="AB2401" s="73"/>
      <c r="AC2401" s="73"/>
      <c r="AD2401" s="73"/>
      <c r="AE2401" s="73"/>
      <c r="AF2401" s="73"/>
      <c r="AG2401" s="73"/>
      <c r="AH2401" s="73"/>
      <c r="AI2401" s="73"/>
      <c r="AJ2401" s="73"/>
      <c r="AK2401" s="73"/>
    </row>
    <row r="2402">
      <c r="A2402" s="28">
        <v>2401.0</v>
      </c>
      <c r="B2402" s="29"/>
      <c r="C2402" s="29"/>
      <c r="D2402" s="40">
        <v>1.0</v>
      </c>
      <c r="E2402" s="31">
        <v>45.0</v>
      </c>
      <c r="F2402" s="42">
        <v>85.0</v>
      </c>
      <c r="G2402" s="29" t="str">
        <f t="shared" si="1"/>
        <v>45085</v>
      </c>
      <c r="H2402" s="37" t="s">
        <v>169</v>
      </c>
      <c r="I2402" s="37" t="s">
        <v>108</v>
      </c>
      <c r="J2402" s="37" t="s">
        <v>1812</v>
      </c>
      <c r="K2402" s="37" t="str">
        <f t="shared" si="41"/>
        <v>Sumter, SC</v>
      </c>
      <c r="L2402" s="37">
        <v>40.0</v>
      </c>
      <c r="M2402" s="37" t="s">
        <v>63</v>
      </c>
      <c r="N2402" s="37">
        <v>19.0</v>
      </c>
      <c r="O2402" s="37">
        <v>10.0</v>
      </c>
      <c r="P2402" s="37">
        <v>17.0</v>
      </c>
      <c r="Q2402" s="37">
        <v>63.0</v>
      </c>
      <c r="R2402" s="37">
        <v>5.0</v>
      </c>
      <c r="S2402" s="37" t="s">
        <v>63</v>
      </c>
      <c r="T2402" s="69">
        <v>0.7</v>
      </c>
      <c r="U2402" s="37">
        <v>57.0</v>
      </c>
      <c r="V2402" s="37" t="s">
        <v>63</v>
      </c>
      <c r="W2402" s="37" t="s">
        <v>63</v>
      </c>
      <c r="X2402" s="37" t="s">
        <v>63</v>
      </c>
      <c r="Y2402" s="53">
        <v>177.0</v>
      </c>
      <c r="Z2402" s="69" t="s">
        <v>63</v>
      </c>
      <c r="AA2402" s="73"/>
      <c r="AB2402" s="73"/>
      <c r="AC2402" s="73"/>
      <c r="AD2402" s="73"/>
      <c r="AE2402" s="73"/>
      <c r="AF2402" s="73"/>
      <c r="AG2402" s="73"/>
      <c r="AH2402" s="73"/>
      <c r="AI2402" s="73"/>
      <c r="AJ2402" s="73"/>
      <c r="AK2402" s="73"/>
    </row>
    <row r="2403">
      <c r="A2403" s="28">
        <v>2402.0</v>
      </c>
      <c r="B2403" s="29"/>
      <c r="C2403" s="29"/>
      <c r="D2403" s="40">
        <v>1.0</v>
      </c>
      <c r="E2403" s="31">
        <v>45.0</v>
      </c>
      <c r="F2403" s="42">
        <v>87.0</v>
      </c>
      <c r="G2403" s="29" t="str">
        <f t="shared" si="1"/>
        <v>45087</v>
      </c>
      <c r="H2403" s="37" t="s">
        <v>316</v>
      </c>
      <c r="I2403" s="37" t="s">
        <v>108</v>
      </c>
      <c r="J2403" s="37" t="s">
        <v>1812</v>
      </c>
      <c r="K2403" s="37" t="str">
        <f t="shared" si="41"/>
        <v>Union, SC</v>
      </c>
      <c r="L2403" s="37">
        <v>16.0</v>
      </c>
      <c r="M2403" s="37" t="s">
        <v>63</v>
      </c>
      <c r="N2403" s="37">
        <v>8.0</v>
      </c>
      <c r="O2403" s="37">
        <v>8.0</v>
      </c>
      <c r="P2403" s="37">
        <v>8.0</v>
      </c>
      <c r="Q2403" s="37">
        <v>1.0</v>
      </c>
      <c r="R2403" s="37">
        <v>3.0</v>
      </c>
      <c r="S2403" s="37" t="s">
        <v>63</v>
      </c>
      <c r="T2403" s="69">
        <v>1.0</v>
      </c>
      <c r="U2403" s="37">
        <v>36.0</v>
      </c>
      <c r="V2403" s="37" t="s">
        <v>63</v>
      </c>
      <c r="W2403" s="37" t="s">
        <v>63</v>
      </c>
      <c r="X2403" s="37" t="s">
        <v>63</v>
      </c>
      <c r="Y2403" s="53">
        <v>63.0</v>
      </c>
      <c r="Z2403" s="69" t="s">
        <v>63</v>
      </c>
      <c r="AA2403" s="73"/>
      <c r="AB2403" s="73"/>
      <c r="AC2403" s="73"/>
      <c r="AD2403" s="73"/>
      <c r="AE2403" s="73"/>
      <c r="AF2403" s="73"/>
      <c r="AG2403" s="73"/>
      <c r="AH2403" s="73"/>
      <c r="AI2403" s="73"/>
      <c r="AJ2403" s="73"/>
      <c r="AK2403" s="73"/>
    </row>
    <row r="2404">
      <c r="A2404" s="28">
        <v>2403.0</v>
      </c>
      <c r="B2404" s="29"/>
      <c r="C2404" s="29"/>
      <c r="D2404" s="40">
        <v>1.0</v>
      </c>
      <c r="E2404" s="31">
        <v>45.0</v>
      </c>
      <c r="F2404" s="42">
        <v>89.0</v>
      </c>
      <c r="G2404" s="29" t="str">
        <f t="shared" si="1"/>
        <v>45089</v>
      </c>
      <c r="H2404" s="37" t="s">
        <v>1839</v>
      </c>
      <c r="I2404" s="37" t="s">
        <v>108</v>
      </c>
      <c r="J2404" s="37" t="s">
        <v>1812</v>
      </c>
      <c r="K2404" s="136" t="str">
        <f t="shared" si="41"/>
        <v>Williamsburg, SC</v>
      </c>
      <c r="L2404" s="37">
        <v>11.0</v>
      </c>
      <c r="M2404" s="37" t="s">
        <v>63</v>
      </c>
      <c r="N2404" s="37">
        <v>4.0</v>
      </c>
      <c r="O2404" s="37">
        <v>4.0</v>
      </c>
      <c r="P2404" s="37">
        <v>5.0</v>
      </c>
      <c r="Q2404" s="37">
        <v>55.0</v>
      </c>
      <c r="R2404" s="37">
        <v>2.0</v>
      </c>
      <c r="S2404" s="37" t="s">
        <v>63</v>
      </c>
      <c r="T2404" s="69">
        <v>0.7</v>
      </c>
      <c r="U2404" s="37">
        <v>21.0</v>
      </c>
      <c r="V2404" s="37" t="s">
        <v>63</v>
      </c>
      <c r="W2404" s="37" t="s">
        <v>63</v>
      </c>
      <c r="X2404" s="37" t="s">
        <v>63</v>
      </c>
      <c r="Y2404" s="53">
        <v>112.0</v>
      </c>
      <c r="Z2404" s="69" t="s">
        <v>63</v>
      </c>
      <c r="AA2404" s="73"/>
      <c r="AB2404" s="73"/>
      <c r="AC2404" s="73"/>
      <c r="AD2404" s="73"/>
      <c r="AE2404" s="73"/>
      <c r="AF2404" s="73"/>
      <c r="AG2404" s="73"/>
      <c r="AH2404" s="73"/>
      <c r="AI2404" s="73"/>
      <c r="AJ2404" s="73"/>
      <c r="AK2404" s="73"/>
    </row>
    <row r="2405">
      <c r="A2405" s="28">
        <v>2404.0</v>
      </c>
      <c r="B2405" s="29"/>
      <c r="C2405" s="29"/>
      <c r="D2405" s="40">
        <v>1.0</v>
      </c>
      <c r="E2405" s="31">
        <v>45.0</v>
      </c>
      <c r="F2405" s="42">
        <v>91.0</v>
      </c>
      <c r="G2405" s="29" t="str">
        <f t="shared" si="1"/>
        <v>45091</v>
      </c>
      <c r="H2405" s="37" t="s">
        <v>1196</v>
      </c>
      <c r="I2405" s="37" t="s">
        <v>108</v>
      </c>
      <c r="J2405" s="37" t="s">
        <v>1812</v>
      </c>
      <c r="K2405" s="37" t="str">
        <f t="shared" si="41"/>
        <v>York, SC</v>
      </c>
      <c r="L2405" s="37">
        <v>116.0</v>
      </c>
      <c r="M2405" s="37" t="s">
        <v>63</v>
      </c>
      <c r="N2405" s="37">
        <v>76.0</v>
      </c>
      <c r="O2405" s="37">
        <v>30.0</v>
      </c>
      <c r="P2405" s="37">
        <v>50.0</v>
      </c>
      <c r="Q2405" s="37">
        <v>98.0</v>
      </c>
      <c r="R2405" s="37">
        <v>28.0</v>
      </c>
      <c r="S2405" s="37" t="s">
        <v>63</v>
      </c>
      <c r="T2405" s="69">
        <v>0.641</v>
      </c>
      <c r="U2405" s="37">
        <v>208.0</v>
      </c>
      <c r="V2405" s="37" t="s">
        <v>63</v>
      </c>
      <c r="W2405" s="37" t="s">
        <v>63</v>
      </c>
      <c r="X2405" s="37" t="s">
        <v>63</v>
      </c>
      <c r="Y2405" s="53">
        <v>270.0</v>
      </c>
      <c r="Z2405" s="69" t="s">
        <v>63</v>
      </c>
      <c r="AA2405" s="73"/>
      <c r="AB2405" s="73"/>
      <c r="AC2405" s="73"/>
      <c r="AD2405" s="73"/>
      <c r="AE2405" s="73"/>
      <c r="AF2405" s="73"/>
      <c r="AG2405" s="73"/>
      <c r="AH2405" s="73"/>
      <c r="AI2405" s="73"/>
      <c r="AJ2405" s="73"/>
      <c r="AK2405" s="73"/>
    </row>
    <row r="2406">
      <c r="A2406" s="99">
        <v>2405.0</v>
      </c>
      <c r="B2406" s="15"/>
      <c r="C2406" s="14" t="s">
        <v>25</v>
      </c>
      <c r="D2406" s="16"/>
      <c r="E2406" s="102">
        <v>46.0</v>
      </c>
      <c r="F2406" s="107">
        <v>0.0</v>
      </c>
      <c r="G2406" s="15" t="str">
        <f t="shared" si="1"/>
        <v>46000</v>
      </c>
      <c r="H2406" s="23"/>
      <c r="I2406" s="23" t="s">
        <v>109</v>
      </c>
      <c r="J2406" s="23" t="s">
        <v>1840</v>
      </c>
      <c r="K2406" s="23"/>
      <c r="L2406" s="35">
        <f t="array" ref="L2406:Z2406">'South Dakota'!C23:Q23</f>
        <v>1615</v>
      </c>
      <c r="M2406" s="23" t="s">
        <v>63</v>
      </c>
      <c r="N2406" s="23" t="s">
        <v>63</v>
      </c>
      <c r="O2406" s="23" t="s">
        <v>63</v>
      </c>
      <c r="P2406" s="23" t="s">
        <v>63</v>
      </c>
      <c r="Q2406" s="35">
        <v>835.0</v>
      </c>
      <c r="R2406" s="23">
        <v>440.0</v>
      </c>
      <c r="S2406" s="23" t="s">
        <v>63</v>
      </c>
      <c r="T2406" s="32" t="s">
        <v>63</v>
      </c>
      <c r="U2406" s="23" t="s">
        <v>63</v>
      </c>
      <c r="V2406" s="23" t="s">
        <v>63</v>
      </c>
      <c r="W2406" s="23" t="s">
        <v>63</v>
      </c>
      <c r="X2406" s="23" t="s">
        <v>63</v>
      </c>
      <c r="Y2406" s="35">
        <v>67.0</v>
      </c>
      <c r="Z2406" s="32" t="s">
        <v>63</v>
      </c>
      <c r="AA2406" s="38"/>
      <c r="AB2406" s="38"/>
      <c r="AC2406" s="38"/>
      <c r="AD2406" s="38"/>
      <c r="AE2406" s="38"/>
      <c r="AF2406" s="38"/>
      <c r="AG2406" s="38"/>
      <c r="AH2406" s="38"/>
      <c r="AI2406" s="38"/>
      <c r="AJ2406" s="38"/>
      <c r="AK2406" s="38"/>
    </row>
    <row r="2407">
      <c r="A2407" s="99">
        <v>2406.0</v>
      </c>
      <c r="B2407" s="15"/>
      <c r="C2407" s="15"/>
      <c r="D2407" s="105">
        <v>1.0</v>
      </c>
      <c r="E2407" s="102">
        <v>46.0</v>
      </c>
      <c r="F2407" s="107">
        <v>3.0</v>
      </c>
      <c r="G2407" s="15" t="str">
        <f t="shared" si="1"/>
        <v>46003</v>
      </c>
      <c r="H2407" s="23" t="s">
        <v>1841</v>
      </c>
      <c r="I2407" s="23" t="s">
        <v>109</v>
      </c>
      <c r="J2407" s="23" t="s">
        <v>1840</v>
      </c>
      <c r="K2407" s="23" t="str">
        <f t="shared" ref="K2407:K2472" si="42">CONCATENATE(H2407,", ",J2407)</f>
        <v>Aurora, SD</v>
      </c>
      <c r="L2407" s="23">
        <f t="array" ref="L2407:Z2425">'South Dakota'!C3:Q21</f>
        <v>11</v>
      </c>
      <c r="M2407" s="23" t="s">
        <v>63</v>
      </c>
      <c r="N2407" s="23">
        <v>7.0</v>
      </c>
      <c r="O2407" s="23">
        <v>2.0</v>
      </c>
      <c r="P2407" s="23" t="s">
        <v>63</v>
      </c>
      <c r="Q2407" s="23">
        <v>7.0</v>
      </c>
      <c r="R2407" s="23">
        <v>0.0</v>
      </c>
      <c r="S2407" s="23" t="s">
        <v>63</v>
      </c>
      <c r="T2407" s="32" t="s">
        <v>63</v>
      </c>
      <c r="U2407" s="23">
        <v>0.0</v>
      </c>
      <c r="V2407" s="23" t="s">
        <v>63</v>
      </c>
      <c r="W2407" s="23" t="s">
        <v>63</v>
      </c>
      <c r="X2407" s="23" t="s">
        <v>63</v>
      </c>
      <c r="Y2407" s="35" t="s">
        <v>63</v>
      </c>
      <c r="Z2407" s="32" t="s">
        <v>63</v>
      </c>
      <c r="AA2407" s="38"/>
      <c r="AB2407" s="38"/>
      <c r="AC2407" s="38"/>
      <c r="AD2407" s="38"/>
      <c r="AE2407" s="38"/>
      <c r="AF2407" s="38"/>
      <c r="AG2407" s="38"/>
      <c r="AH2407" s="38"/>
      <c r="AI2407" s="38"/>
      <c r="AJ2407" s="38"/>
      <c r="AK2407" s="38"/>
    </row>
    <row r="2408">
      <c r="A2408" s="99">
        <v>2407.0</v>
      </c>
      <c r="B2408" s="15"/>
      <c r="C2408" s="15"/>
      <c r="D2408" s="105">
        <v>1.0</v>
      </c>
      <c r="E2408" s="102">
        <v>46.0</v>
      </c>
      <c r="F2408" s="107">
        <v>5.0</v>
      </c>
      <c r="G2408" s="15" t="str">
        <f t="shared" si="1"/>
        <v>46005</v>
      </c>
      <c r="H2408" s="23" t="s">
        <v>1842</v>
      </c>
      <c r="I2408" s="23" t="s">
        <v>109</v>
      </c>
      <c r="J2408" s="23" t="s">
        <v>1840</v>
      </c>
      <c r="K2408" s="23" t="str">
        <f t="shared" si="42"/>
        <v>Beadle, SD</v>
      </c>
      <c r="L2408" s="23">
        <v>679.0</v>
      </c>
      <c r="M2408" s="23" t="s">
        <v>63</v>
      </c>
      <c r="N2408" s="23">
        <v>495.0</v>
      </c>
      <c r="O2408" s="23">
        <v>134.0</v>
      </c>
      <c r="P2408" s="23" t="s">
        <v>63</v>
      </c>
      <c r="Q2408" s="23">
        <v>200.0</v>
      </c>
      <c r="R2408" s="23">
        <v>28.0</v>
      </c>
      <c r="S2408" s="23" t="s">
        <v>63</v>
      </c>
      <c r="T2408" s="32" t="s">
        <v>63</v>
      </c>
      <c r="U2408" s="23">
        <v>10.0</v>
      </c>
      <c r="V2408" s="23" t="s">
        <v>63</v>
      </c>
      <c r="W2408" s="23" t="s">
        <v>63</v>
      </c>
      <c r="X2408" s="23" t="s">
        <v>63</v>
      </c>
      <c r="Y2408" s="35" t="s">
        <v>63</v>
      </c>
      <c r="Z2408" s="32" t="s">
        <v>63</v>
      </c>
      <c r="AA2408" s="38"/>
      <c r="AB2408" s="38"/>
      <c r="AC2408" s="38"/>
      <c r="AD2408" s="38"/>
      <c r="AE2408" s="38"/>
      <c r="AF2408" s="38"/>
      <c r="AG2408" s="38"/>
      <c r="AH2408" s="38"/>
      <c r="AI2408" s="38"/>
      <c r="AJ2408" s="38"/>
      <c r="AK2408" s="38"/>
    </row>
    <row r="2409">
      <c r="A2409" s="99">
        <v>2408.0</v>
      </c>
      <c r="B2409" s="15"/>
      <c r="C2409" s="15"/>
      <c r="D2409" s="105">
        <v>1.0</v>
      </c>
      <c r="E2409" s="102">
        <v>46.0</v>
      </c>
      <c r="F2409" s="107">
        <v>7.0</v>
      </c>
      <c r="G2409" s="15" t="str">
        <f t="shared" si="1"/>
        <v>46007</v>
      </c>
      <c r="H2409" s="23" t="s">
        <v>1843</v>
      </c>
      <c r="I2409" s="23" t="s">
        <v>109</v>
      </c>
      <c r="J2409" s="23" t="s">
        <v>1840</v>
      </c>
      <c r="K2409" s="23" t="str">
        <f t="shared" si="42"/>
        <v>Bennett, SD</v>
      </c>
      <c r="L2409" s="23">
        <v>11.0</v>
      </c>
      <c r="M2409" s="23" t="s">
        <v>63</v>
      </c>
      <c r="N2409" s="23">
        <v>7.0</v>
      </c>
      <c r="O2409" s="23">
        <v>4.0</v>
      </c>
      <c r="P2409" s="23" t="s">
        <v>63</v>
      </c>
      <c r="Q2409" s="23">
        <v>23.0</v>
      </c>
      <c r="R2409" s="23">
        <v>0.0</v>
      </c>
      <c r="S2409" s="23" t="s">
        <v>63</v>
      </c>
      <c r="T2409" s="32" t="s">
        <v>63</v>
      </c>
      <c r="U2409" s="23">
        <v>1.0</v>
      </c>
      <c r="V2409" s="23" t="s">
        <v>63</v>
      </c>
      <c r="W2409" s="23" t="s">
        <v>63</v>
      </c>
      <c r="X2409" s="23" t="s">
        <v>63</v>
      </c>
      <c r="Y2409" s="35" t="s">
        <v>63</v>
      </c>
      <c r="Z2409" s="32" t="s">
        <v>63</v>
      </c>
      <c r="AA2409" s="38"/>
      <c r="AB2409" s="38"/>
      <c r="AC2409" s="38"/>
      <c r="AD2409" s="38"/>
      <c r="AE2409" s="38"/>
      <c r="AF2409" s="38"/>
      <c r="AG2409" s="38"/>
      <c r="AH2409" s="38"/>
      <c r="AI2409" s="38"/>
      <c r="AJ2409" s="38"/>
      <c r="AK2409" s="38"/>
    </row>
    <row r="2410">
      <c r="A2410" s="99">
        <v>2409.0</v>
      </c>
      <c r="B2410" s="15"/>
      <c r="C2410" s="15"/>
      <c r="D2410" s="105">
        <v>1.0</v>
      </c>
      <c r="E2410" s="102">
        <v>46.0</v>
      </c>
      <c r="F2410" s="107">
        <v>9.0</v>
      </c>
      <c r="G2410" s="15" t="str">
        <f t="shared" si="1"/>
        <v>46009</v>
      </c>
      <c r="H2410" s="23" t="s">
        <v>1844</v>
      </c>
      <c r="I2410" s="23" t="s">
        <v>109</v>
      </c>
      <c r="J2410" s="23" t="s">
        <v>1840</v>
      </c>
      <c r="K2410" s="112" t="str">
        <f t="shared" si="42"/>
        <v>Bon Homme, SD</v>
      </c>
      <c r="L2410" s="23">
        <v>131.0</v>
      </c>
      <c r="M2410" s="23" t="s">
        <v>63</v>
      </c>
      <c r="N2410" s="23">
        <v>82.0</v>
      </c>
      <c r="O2410" s="23">
        <v>14.0</v>
      </c>
      <c r="P2410" s="23" t="s">
        <v>63</v>
      </c>
      <c r="Q2410" s="23">
        <v>10.0</v>
      </c>
      <c r="R2410" s="23">
        <v>11.0</v>
      </c>
      <c r="S2410" s="23" t="s">
        <v>63</v>
      </c>
      <c r="T2410" s="32" t="s">
        <v>63</v>
      </c>
      <c r="U2410" s="23">
        <v>3.0</v>
      </c>
      <c r="V2410" s="23" t="s">
        <v>63</v>
      </c>
      <c r="W2410" s="23" t="s">
        <v>63</v>
      </c>
      <c r="X2410" s="23" t="s">
        <v>63</v>
      </c>
      <c r="Y2410" s="35" t="s">
        <v>63</v>
      </c>
      <c r="Z2410" s="32" t="s">
        <v>63</v>
      </c>
      <c r="AA2410" s="38"/>
      <c r="AB2410" s="38"/>
      <c r="AC2410" s="38"/>
      <c r="AD2410" s="38"/>
      <c r="AE2410" s="38"/>
      <c r="AF2410" s="38"/>
      <c r="AG2410" s="38"/>
      <c r="AH2410" s="38"/>
      <c r="AI2410" s="38"/>
      <c r="AJ2410" s="38"/>
      <c r="AK2410" s="38"/>
    </row>
    <row r="2411">
      <c r="A2411" s="99">
        <v>2410.0</v>
      </c>
      <c r="B2411" s="15"/>
      <c r="C2411" s="15"/>
      <c r="D2411" s="105">
        <v>1.0</v>
      </c>
      <c r="E2411" s="102">
        <v>46.0</v>
      </c>
      <c r="F2411" s="107">
        <v>11.0</v>
      </c>
      <c r="G2411" s="15" t="str">
        <f t="shared" si="1"/>
        <v>46011</v>
      </c>
      <c r="H2411" s="23" t="s">
        <v>1845</v>
      </c>
      <c r="I2411" s="23" t="s">
        <v>109</v>
      </c>
      <c r="J2411" s="23" t="s">
        <v>1840</v>
      </c>
      <c r="K2411" s="23" t="str">
        <f t="shared" si="42"/>
        <v>Brookings, SD</v>
      </c>
      <c r="L2411" s="23">
        <v>108.0</v>
      </c>
      <c r="M2411" s="23" t="s">
        <v>63</v>
      </c>
      <c r="N2411" s="23">
        <v>82.0</v>
      </c>
      <c r="O2411" s="23">
        <v>8.0</v>
      </c>
      <c r="P2411" s="23" t="s">
        <v>63</v>
      </c>
      <c r="Q2411" s="23">
        <v>46.0</v>
      </c>
      <c r="R2411" s="23">
        <v>7.0</v>
      </c>
      <c r="S2411" s="23" t="s">
        <v>63</v>
      </c>
      <c r="T2411" s="32" t="s">
        <v>63</v>
      </c>
      <c r="U2411" s="23">
        <v>3.0</v>
      </c>
      <c r="V2411" s="23" t="s">
        <v>63</v>
      </c>
      <c r="W2411" s="23" t="s">
        <v>63</v>
      </c>
      <c r="X2411" s="23" t="s">
        <v>63</v>
      </c>
      <c r="Y2411" s="35" t="s">
        <v>63</v>
      </c>
      <c r="Z2411" s="32" t="s">
        <v>63</v>
      </c>
      <c r="AA2411" s="38"/>
      <c r="AB2411" s="38"/>
      <c r="AC2411" s="38"/>
      <c r="AD2411" s="38"/>
      <c r="AE2411" s="38"/>
      <c r="AF2411" s="38"/>
      <c r="AG2411" s="38"/>
      <c r="AH2411" s="38"/>
      <c r="AI2411" s="38"/>
      <c r="AJ2411" s="38"/>
      <c r="AK2411" s="38"/>
    </row>
    <row r="2412">
      <c r="A2412" s="99">
        <v>2411.0</v>
      </c>
      <c r="B2412" s="15"/>
      <c r="C2412" s="15"/>
      <c r="D2412" s="105">
        <v>1.0</v>
      </c>
      <c r="E2412" s="102">
        <v>46.0</v>
      </c>
      <c r="F2412" s="107">
        <v>13.0</v>
      </c>
      <c r="G2412" s="15" t="str">
        <f t="shared" si="1"/>
        <v>46013</v>
      </c>
      <c r="H2412" s="23" t="s">
        <v>706</v>
      </c>
      <c r="I2412" s="23" t="s">
        <v>109</v>
      </c>
      <c r="J2412" s="23" t="s">
        <v>1840</v>
      </c>
      <c r="K2412" s="23" t="str">
        <f t="shared" si="42"/>
        <v>Brown, SD</v>
      </c>
      <c r="L2412" s="23">
        <v>31.0</v>
      </c>
      <c r="M2412" s="23" t="s">
        <v>63</v>
      </c>
      <c r="N2412" s="23">
        <v>16.0</v>
      </c>
      <c r="O2412" s="23">
        <v>2.0</v>
      </c>
      <c r="P2412" s="23" t="s">
        <v>63</v>
      </c>
      <c r="Q2412" s="23">
        <v>24.0</v>
      </c>
      <c r="R2412" s="23">
        <v>0.0</v>
      </c>
      <c r="S2412" s="23" t="s">
        <v>63</v>
      </c>
      <c r="T2412" s="32" t="s">
        <v>63</v>
      </c>
      <c r="U2412" s="23">
        <v>2.0</v>
      </c>
      <c r="V2412" s="23" t="s">
        <v>63</v>
      </c>
      <c r="W2412" s="23" t="s">
        <v>63</v>
      </c>
      <c r="X2412" s="23" t="s">
        <v>63</v>
      </c>
      <c r="Y2412" s="35" t="s">
        <v>63</v>
      </c>
      <c r="Z2412" s="32" t="s">
        <v>63</v>
      </c>
      <c r="AA2412" s="38"/>
      <c r="AB2412" s="38"/>
      <c r="AC2412" s="38"/>
      <c r="AD2412" s="38"/>
      <c r="AE2412" s="38"/>
      <c r="AF2412" s="38"/>
      <c r="AG2412" s="38"/>
      <c r="AH2412" s="38"/>
      <c r="AI2412" s="38"/>
      <c r="AJ2412" s="38"/>
      <c r="AK2412" s="38"/>
    </row>
    <row r="2413">
      <c r="A2413" s="99">
        <v>2412.0</v>
      </c>
      <c r="B2413" s="15"/>
      <c r="C2413" s="15"/>
      <c r="D2413" s="105">
        <v>1.0</v>
      </c>
      <c r="E2413" s="102">
        <v>46.0</v>
      </c>
      <c r="F2413" s="107">
        <v>15.0</v>
      </c>
      <c r="G2413" s="15" t="str">
        <f t="shared" si="1"/>
        <v>46015</v>
      </c>
      <c r="H2413" s="23" t="s">
        <v>1846</v>
      </c>
      <c r="I2413" s="23" t="s">
        <v>109</v>
      </c>
      <c r="J2413" s="23" t="s">
        <v>1840</v>
      </c>
      <c r="K2413" s="23" t="str">
        <f t="shared" si="42"/>
        <v>Brule, SD</v>
      </c>
      <c r="L2413" s="23">
        <v>65.0</v>
      </c>
      <c r="M2413" s="23" t="s">
        <v>63</v>
      </c>
      <c r="N2413" s="23">
        <v>38.0</v>
      </c>
      <c r="O2413" s="23">
        <v>9.0</v>
      </c>
      <c r="P2413" s="23" t="s">
        <v>63</v>
      </c>
      <c r="Q2413" s="23">
        <v>38.0</v>
      </c>
      <c r="R2413" s="23">
        <v>3.0</v>
      </c>
      <c r="S2413" s="23" t="s">
        <v>63</v>
      </c>
      <c r="T2413" s="32" t="s">
        <v>63</v>
      </c>
      <c r="U2413" s="23">
        <v>0.0</v>
      </c>
      <c r="V2413" s="23" t="s">
        <v>63</v>
      </c>
      <c r="W2413" s="23" t="s">
        <v>63</v>
      </c>
      <c r="X2413" s="23" t="s">
        <v>63</v>
      </c>
      <c r="Y2413" s="35" t="s">
        <v>63</v>
      </c>
      <c r="Z2413" s="32" t="s">
        <v>63</v>
      </c>
      <c r="AA2413" s="38"/>
      <c r="AB2413" s="38"/>
      <c r="AC2413" s="38"/>
      <c r="AD2413" s="38"/>
      <c r="AE2413" s="38"/>
      <c r="AF2413" s="38"/>
      <c r="AG2413" s="38"/>
      <c r="AH2413" s="38"/>
      <c r="AI2413" s="38"/>
      <c r="AJ2413" s="38"/>
      <c r="AK2413" s="38"/>
    </row>
    <row r="2414">
      <c r="A2414" s="99">
        <v>2413.0</v>
      </c>
      <c r="B2414" s="15"/>
      <c r="C2414" s="15"/>
      <c r="D2414" s="105">
        <v>1.0</v>
      </c>
      <c r="E2414" s="102">
        <v>46.0</v>
      </c>
      <c r="F2414" s="107">
        <v>17.0</v>
      </c>
      <c r="G2414" s="15" t="str">
        <f t="shared" si="1"/>
        <v>46017</v>
      </c>
      <c r="H2414" s="23" t="s">
        <v>1471</v>
      </c>
      <c r="I2414" s="23" t="s">
        <v>109</v>
      </c>
      <c r="J2414" s="23" t="s">
        <v>1840</v>
      </c>
      <c r="K2414" s="23" t="str">
        <f t="shared" si="42"/>
        <v>Buffalo, SD</v>
      </c>
      <c r="L2414" s="23">
        <v>152.0</v>
      </c>
      <c r="M2414" s="23" t="s">
        <v>63</v>
      </c>
      <c r="N2414" s="23">
        <v>116.0</v>
      </c>
      <c r="O2414" s="23">
        <v>21.0</v>
      </c>
      <c r="P2414" s="23" t="s">
        <v>63</v>
      </c>
      <c r="Q2414" s="23">
        <v>34.0</v>
      </c>
      <c r="R2414" s="23">
        <v>19.0</v>
      </c>
      <c r="S2414" s="23" t="s">
        <v>63</v>
      </c>
      <c r="T2414" s="32" t="s">
        <v>63</v>
      </c>
      <c r="U2414" s="23">
        <v>6.0</v>
      </c>
      <c r="V2414" s="23" t="s">
        <v>63</v>
      </c>
      <c r="W2414" s="23" t="s">
        <v>63</v>
      </c>
      <c r="X2414" s="23" t="s">
        <v>63</v>
      </c>
      <c r="Y2414" s="35" t="s">
        <v>63</v>
      </c>
      <c r="Z2414" s="32" t="s">
        <v>63</v>
      </c>
      <c r="AA2414" s="38"/>
      <c r="AB2414" s="38"/>
      <c r="AC2414" s="38"/>
      <c r="AD2414" s="38"/>
      <c r="AE2414" s="38"/>
      <c r="AF2414" s="38"/>
      <c r="AG2414" s="38"/>
      <c r="AH2414" s="38"/>
      <c r="AI2414" s="38"/>
      <c r="AJ2414" s="38"/>
      <c r="AK2414" s="38"/>
    </row>
    <row r="2415">
      <c r="A2415" s="99">
        <v>2414.0</v>
      </c>
      <c r="B2415" s="15"/>
      <c r="C2415" s="15"/>
      <c r="D2415" s="105">
        <v>1.0</v>
      </c>
      <c r="E2415" s="102">
        <v>46.0</v>
      </c>
      <c r="F2415" s="107">
        <v>19.0</v>
      </c>
      <c r="G2415" s="15" t="str">
        <f t="shared" si="1"/>
        <v>46019</v>
      </c>
      <c r="H2415" s="23" t="s">
        <v>324</v>
      </c>
      <c r="I2415" s="23" t="s">
        <v>109</v>
      </c>
      <c r="J2415" s="23" t="s">
        <v>1840</v>
      </c>
      <c r="K2415" s="23" t="str">
        <f t="shared" si="42"/>
        <v>Butte, SD</v>
      </c>
      <c r="L2415" s="23">
        <v>135.0</v>
      </c>
      <c r="M2415" s="23" t="s">
        <v>63</v>
      </c>
      <c r="N2415" s="23">
        <v>105.0</v>
      </c>
      <c r="O2415" s="23">
        <v>30.0</v>
      </c>
      <c r="P2415" s="23" t="s">
        <v>63</v>
      </c>
      <c r="Q2415" s="23">
        <v>29.0</v>
      </c>
      <c r="R2415" s="23">
        <v>0.0</v>
      </c>
      <c r="S2415" s="23" t="s">
        <v>63</v>
      </c>
      <c r="T2415" s="32" t="s">
        <v>63</v>
      </c>
      <c r="U2415" s="23">
        <v>0.0</v>
      </c>
      <c r="V2415" s="23" t="s">
        <v>63</v>
      </c>
      <c r="W2415" s="23" t="s">
        <v>63</v>
      </c>
      <c r="X2415" s="23" t="s">
        <v>63</v>
      </c>
      <c r="Y2415" s="35" t="s">
        <v>63</v>
      </c>
      <c r="Z2415" s="32" t="s">
        <v>63</v>
      </c>
      <c r="AA2415" s="38"/>
      <c r="AB2415" s="38"/>
      <c r="AC2415" s="38"/>
      <c r="AD2415" s="38"/>
      <c r="AE2415" s="38"/>
      <c r="AF2415" s="38"/>
      <c r="AG2415" s="38"/>
      <c r="AH2415" s="38"/>
      <c r="AI2415" s="38"/>
      <c r="AJ2415" s="38"/>
      <c r="AK2415" s="38"/>
    </row>
    <row r="2416">
      <c r="A2416" s="99">
        <v>2415.0</v>
      </c>
      <c r="B2416" s="15"/>
      <c r="C2416" s="15"/>
      <c r="D2416" s="105">
        <v>1.0</v>
      </c>
      <c r="E2416" s="102">
        <v>46.0</v>
      </c>
      <c r="F2416" s="107">
        <v>21.0</v>
      </c>
      <c r="G2416" s="15" t="str">
        <f t="shared" si="1"/>
        <v>46021</v>
      </c>
      <c r="H2416" s="23" t="s">
        <v>1036</v>
      </c>
      <c r="I2416" s="23" t="s">
        <v>109</v>
      </c>
      <c r="J2416" s="23" t="s">
        <v>1840</v>
      </c>
      <c r="K2416" s="23" t="str">
        <f t="shared" si="42"/>
        <v>Campbell, SD</v>
      </c>
      <c r="L2416" s="23">
        <v>13.0</v>
      </c>
      <c r="M2416" s="23" t="s">
        <v>63</v>
      </c>
      <c r="N2416" s="23">
        <v>1.0</v>
      </c>
      <c r="O2416" s="23">
        <v>0.0</v>
      </c>
      <c r="P2416" s="23" t="s">
        <v>63</v>
      </c>
      <c r="Q2416" s="23">
        <v>11.0</v>
      </c>
      <c r="R2416" s="23">
        <v>0.0</v>
      </c>
      <c r="S2416" s="23" t="s">
        <v>63</v>
      </c>
      <c r="T2416" s="32" t="s">
        <v>63</v>
      </c>
      <c r="U2416" s="23">
        <v>0.0</v>
      </c>
      <c r="V2416" s="23" t="s">
        <v>63</v>
      </c>
      <c r="W2416" s="23" t="s">
        <v>63</v>
      </c>
      <c r="X2416" s="23" t="s">
        <v>63</v>
      </c>
      <c r="Y2416" s="35" t="s">
        <v>63</v>
      </c>
      <c r="Z2416" s="32" t="s">
        <v>63</v>
      </c>
      <c r="AA2416" s="38"/>
      <c r="AB2416" s="38"/>
      <c r="AC2416" s="38"/>
      <c r="AD2416" s="38"/>
      <c r="AE2416" s="38"/>
      <c r="AF2416" s="38"/>
      <c r="AG2416" s="38"/>
      <c r="AH2416" s="38"/>
      <c r="AI2416" s="38"/>
      <c r="AJ2416" s="38"/>
      <c r="AK2416" s="38"/>
    </row>
    <row r="2417">
      <c r="A2417" s="99">
        <v>2416.0</v>
      </c>
      <c r="B2417" s="15"/>
      <c r="C2417" s="15"/>
      <c r="D2417" s="105">
        <v>1.0</v>
      </c>
      <c r="E2417" s="102">
        <v>46.0</v>
      </c>
      <c r="F2417" s="107">
        <v>23.0</v>
      </c>
      <c r="G2417" s="15" t="str">
        <f t="shared" si="1"/>
        <v>46023</v>
      </c>
      <c r="H2417" s="23" t="s">
        <v>1847</v>
      </c>
      <c r="I2417" s="23" t="s">
        <v>109</v>
      </c>
      <c r="J2417" s="23" t="s">
        <v>1840</v>
      </c>
      <c r="K2417" s="23" t="str">
        <f t="shared" si="42"/>
        <v>Charles Mix, SD</v>
      </c>
      <c r="L2417" s="23">
        <v>61.0</v>
      </c>
      <c r="M2417" s="23" t="s">
        <v>63</v>
      </c>
      <c r="N2417" s="23">
        <v>38.0</v>
      </c>
      <c r="O2417" s="23">
        <v>19.0</v>
      </c>
      <c r="P2417" s="23" t="s">
        <v>63</v>
      </c>
      <c r="Q2417" s="23">
        <v>39.0</v>
      </c>
      <c r="R2417" s="23">
        <v>0.0</v>
      </c>
      <c r="S2417" s="23" t="s">
        <v>63</v>
      </c>
      <c r="T2417" s="32" t="s">
        <v>63</v>
      </c>
      <c r="U2417" s="23">
        <v>4.0</v>
      </c>
      <c r="V2417" s="23" t="s">
        <v>63</v>
      </c>
      <c r="W2417" s="23" t="s">
        <v>63</v>
      </c>
      <c r="X2417" s="23" t="s">
        <v>63</v>
      </c>
      <c r="Y2417" s="35" t="s">
        <v>63</v>
      </c>
      <c r="Z2417" s="32" t="s">
        <v>63</v>
      </c>
      <c r="AA2417" s="38"/>
      <c r="AB2417" s="38"/>
      <c r="AC2417" s="38"/>
      <c r="AD2417" s="38"/>
      <c r="AE2417" s="38"/>
      <c r="AF2417" s="38"/>
      <c r="AG2417" s="38"/>
      <c r="AH2417" s="38"/>
      <c r="AI2417" s="38"/>
      <c r="AJ2417" s="38"/>
      <c r="AK2417" s="38"/>
    </row>
    <row r="2418">
      <c r="A2418" s="99">
        <v>2417.0</v>
      </c>
      <c r="B2418" s="15"/>
      <c r="C2418" s="15"/>
      <c r="D2418" s="105">
        <v>1.0</v>
      </c>
      <c r="E2418" s="102">
        <v>46.0</v>
      </c>
      <c r="F2418" s="107">
        <v>25.0</v>
      </c>
      <c r="G2418" s="15" t="str">
        <f t="shared" si="1"/>
        <v>46025</v>
      </c>
      <c r="H2418" s="23" t="s">
        <v>253</v>
      </c>
      <c r="I2418" s="23" t="s">
        <v>109</v>
      </c>
      <c r="J2418" s="23" t="s">
        <v>1840</v>
      </c>
      <c r="K2418" s="23" t="str">
        <f t="shared" si="42"/>
        <v>Clark, SD</v>
      </c>
      <c r="L2418" s="23">
        <v>100.0</v>
      </c>
      <c r="M2418" s="23" t="s">
        <v>63</v>
      </c>
      <c r="N2418" s="23">
        <v>58.0</v>
      </c>
      <c r="O2418" s="23">
        <v>8.0</v>
      </c>
      <c r="P2418" s="23" t="s">
        <v>63</v>
      </c>
      <c r="Q2418" s="23">
        <v>52.0</v>
      </c>
      <c r="R2418" s="23">
        <v>1.0</v>
      </c>
      <c r="S2418" s="23" t="s">
        <v>63</v>
      </c>
      <c r="T2418" s="32" t="s">
        <v>63</v>
      </c>
      <c r="U2418" s="23">
        <v>11.0</v>
      </c>
      <c r="V2418" s="23" t="s">
        <v>63</v>
      </c>
      <c r="W2418" s="23" t="s">
        <v>63</v>
      </c>
      <c r="X2418" s="23" t="s">
        <v>63</v>
      </c>
      <c r="Y2418" s="35" t="s">
        <v>63</v>
      </c>
      <c r="Z2418" s="32" t="s">
        <v>63</v>
      </c>
      <c r="AA2418" s="38"/>
      <c r="AB2418" s="38"/>
      <c r="AC2418" s="38"/>
      <c r="AD2418" s="38"/>
      <c r="AE2418" s="38"/>
      <c r="AF2418" s="38"/>
      <c r="AG2418" s="38"/>
      <c r="AH2418" s="38"/>
      <c r="AI2418" s="38"/>
      <c r="AJ2418" s="38"/>
      <c r="AK2418" s="38"/>
    </row>
    <row r="2419">
      <c r="A2419" s="99">
        <v>2418.0</v>
      </c>
      <c r="B2419" s="15"/>
      <c r="C2419" s="15"/>
      <c r="D2419" s="105">
        <v>1.0</v>
      </c>
      <c r="E2419" s="102">
        <v>46.0</v>
      </c>
      <c r="F2419" s="107">
        <v>27.0</v>
      </c>
      <c r="G2419" s="15" t="str">
        <f t="shared" si="1"/>
        <v>46027</v>
      </c>
      <c r="H2419" s="23" t="s">
        <v>112</v>
      </c>
      <c r="I2419" s="23" t="s">
        <v>109</v>
      </c>
      <c r="J2419" s="23" t="s">
        <v>1840</v>
      </c>
      <c r="K2419" s="23" t="str">
        <f t="shared" si="42"/>
        <v>Clay, SD</v>
      </c>
      <c r="L2419" s="23">
        <v>1.0</v>
      </c>
      <c r="M2419" s="23" t="s">
        <v>63</v>
      </c>
      <c r="N2419" s="23">
        <v>0.0</v>
      </c>
      <c r="O2419" s="23">
        <v>0.0</v>
      </c>
      <c r="P2419" s="23" t="s">
        <v>63</v>
      </c>
      <c r="Q2419" s="23">
        <v>16.0</v>
      </c>
      <c r="R2419" s="23">
        <v>0.0</v>
      </c>
      <c r="S2419" s="23" t="s">
        <v>63</v>
      </c>
      <c r="T2419" s="32" t="s">
        <v>63</v>
      </c>
      <c r="U2419" s="23">
        <v>0.0</v>
      </c>
      <c r="V2419" s="23" t="s">
        <v>63</v>
      </c>
      <c r="W2419" s="23" t="s">
        <v>63</v>
      </c>
      <c r="X2419" s="23" t="s">
        <v>63</v>
      </c>
      <c r="Y2419" s="35" t="s">
        <v>63</v>
      </c>
      <c r="Z2419" s="32" t="s">
        <v>63</v>
      </c>
      <c r="AA2419" s="38"/>
      <c r="AB2419" s="38"/>
      <c r="AC2419" s="38"/>
      <c r="AD2419" s="38"/>
      <c r="AE2419" s="38"/>
      <c r="AF2419" s="38"/>
      <c r="AG2419" s="38"/>
      <c r="AH2419" s="38"/>
      <c r="AI2419" s="38"/>
      <c r="AJ2419" s="38"/>
      <c r="AK2419" s="38"/>
    </row>
    <row r="2420">
      <c r="A2420" s="99">
        <v>2419.0</v>
      </c>
      <c r="B2420" s="15"/>
      <c r="C2420" s="15"/>
      <c r="D2420" s="105">
        <v>1.0</v>
      </c>
      <c r="E2420" s="102">
        <v>46.0</v>
      </c>
      <c r="F2420" s="107">
        <v>29.0</v>
      </c>
      <c r="G2420" s="15" t="str">
        <f t="shared" si="1"/>
        <v>46029</v>
      </c>
      <c r="H2420" s="23" t="s">
        <v>1848</v>
      </c>
      <c r="I2420" s="23" t="s">
        <v>109</v>
      </c>
      <c r="J2420" s="23" t="s">
        <v>1840</v>
      </c>
      <c r="K2420" s="23" t="str">
        <f t="shared" si="42"/>
        <v>Codington, SD</v>
      </c>
      <c r="L2420" s="23">
        <v>56.0</v>
      </c>
      <c r="M2420" s="23" t="s">
        <v>63</v>
      </c>
      <c r="N2420" s="23">
        <v>40.0</v>
      </c>
      <c r="O2420" s="23">
        <v>4.0</v>
      </c>
      <c r="P2420" s="23" t="s">
        <v>63</v>
      </c>
      <c r="Q2420" s="23">
        <v>23.0</v>
      </c>
      <c r="R2420" s="23">
        <v>4.0</v>
      </c>
      <c r="S2420" s="23" t="s">
        <v>63</v>
      </c>
      <c r="T2420" s="32" t="s">
        <v>63</v>
      </c>
      <c r="U2420" s="23">
        <v>4.0</v>
      </c>
      <c r="V2420" s="23" t="s">
        <v>63</v>
      </c>
      <c r="W2420" s="23" t="s">
        <v>63</v>
      </c>
      <c r="X2420" s="23" t="s">
        <v>63</v>
      </c>
      <c r="Y2420" s="35">
        <v>40.0</v>
      </c>
      <c r="Z2420" s="32" t="s">
        <v>63</v>
      </c>
      <c r="AA2420" s="38"/>
      <c r="AB2420" s="38"/>
      <c r="AC2420" s="38"/>
      <c r="AD2420" s="38"/>
      <c r="AE2420" s="38"/>
      <c r="AF2420" s="38"/>
      <c r="AG2420" s="38"/>
      <c r="AH2420" s="38"/>
      <c r="AI2420" s="38"/>
      <c r="AJ2420" s="38"/>
      <c r="AK2420" s="38"/>
    </row>
    <row r="2421">
      <c r="A2421" s="99">
        <v>2420.0</v>
      </c>
      <c r="B2421" s="15"/>
      <c r="C2421" s="15"/>
      <c r="D2421" s="105">
        <v>1.0</v>
      </c>
      <c r="E2421" s="102">
        <v>46.0</v>
      </c>
      <c r="F2421" s="107">
        <v>31.0</v>
      </c>
      <c r="G2421" s="15" t="str">
        <f t="shared" si="1"/>
        <v>46031</v>
      </c>
      <c r="H2421" s="23" t="s">
        <v>1849</v>
      </c>
      <c r="I2421" s="23" t="s">
        <v>109</v>
      </c>
      <c r="J2421" s="23" t="s">
        <v>1840</v>
      </c>
      <c r="K2421" s="23" t="str">
        <f t="shared" si="42"/>
        <v>Corson, SD</v>
      </c>
      <c r="L2421" s="23">
        <v>48.0</v>
      </c>
      <c r="M2421" s="23" t="s">
        <v>63</v>
      </c>
      <c r="N2421" s="23">
        <v>26.0</v>
      </c>
      <c r="O2421" s="23">
        <v>4.0</v>
      </c>
      <c r="P2421" s="23" t="s">
        <v>63</v>
      </c>
      <c r="Q2421" s="23">
        <v>35.0</v>
      </c>
      <c r="R2421" s="23">
        <v>0.0</v>
      </c>
      <c r="S2421" s="23" t="s">
        <v>63</v>
      </c>
      <c r="T2421" s="32" t="s">
        <v>63</v>
      </c>
      <c r="U2421" s="23">
        <v>5.0</v>
      </c>
      <c r="V2421" s="23" t="s">
        <v>63</v>
      </c>
      <c r="W2421" s="23" t="s">
        <v>63</v>
      </c>
      <c r="X2421" s="23" t="s">
        <v>63</v>
      </c>
      <c r="Y2421" s="35" t="s">
        <v>63</v>
      </c>
      <c r="Z2421" s="32" t="s">
        <v>63</v>
      </c>
      <c r="AA2421" s="38"/>
      <c r="AB2421" s="38"/>
      <c r="AC2421" s="38"/>
      <c r="AD2421" s="38"/>
      <c r="AE2421" s="38"/>
      <c r="AF2421" s="38"/>
      <c r="AG2421" s="38"/>
      <c r="AH2421" s="38"/>
      <c r="AI2421" s="38"/>
      <c r="AJ2421" s="38"/>
      <c r="AK2421" s="38"/>
    </row>
    <row r="2422">
      <c r="A2422" s="99">
        <v>2421.0</v>
      </c>
      <c r="B2422" s="15"/>
      <c r="C2422" s="15"/>
      <c r="D2422" s="105">
        <v>1.0</v>
      </c>
      <c r="E2422" s="102">
        <v>46.0</v>
      </c>
      <c r="F2422" s="107">
        <v>33.0</v>
      </c>
      <c r="G2422" s="15" t="str">
        <f t="shared" si="1"/>
        <v>46033</v>
      </c>
      <c r="H2422" s="23" t="s">
        <v>406</v>
      </c>
      <c r="I2422" s="23" t="s">
        <v>109</v>
      </c>
      <c r="J2422" s="23" t="s">
        <v>1840</v>
      </c>
      <c r="K2422" s="23" t="str">
        <f t="shared" si="42"/>
        <v>Custer, SD</v>
      </c>
      <c r="L2422" s="23">
        <v>62.0</v>
      </c>
      <c r="M2422" s="23" t="s">
        <v>63</v>
      </c>
      <c r="N2422" s="23">
        <v>30.0</v>
      </c>
      <c r="O2422" s="23">
        <v>2.0</v>
      </c>
      <c r="P2422" s="23" t="s">
        <v>63</v>
      </c>
      <c r="Q2422" s="23">
        <v>38.0</v>
      </c>
      <c r="R2422" s="23">
        <v>5.0</v>
      </c>
      <c r="S2422" s="23" t="s">
        <v>63</v>
      </c>
      <c r="T2422" s="32" t="s">
        <v>63</v>
      </c>
      <c r="U2422" s="23">
        <v>1.0</v>
      </c>
      <c r="V2422" s="23" t="s">
        <v>63</v>
      </c>
      <c r="W2422" s="23" t="s">
        <v>63</v>
      </c>
      <c r="X2422" s="23" t="s">
        <v>63</v>
      </c>
      <c r="Y2422" s="35" t="s">
        <v>63</v>
      </c>
      <c r="Z2422" s="32" t="s">
        <v>63</v>
      </c>
      <c r="AA2422" s="38"/>
      <c r="AB2422" s="38"/>
      <c r="AC2422" s="38"/>
      <c r="AD2422" s="38"/>
      <c r="AE2422" s="38"/>
      <c r="AF2422" s="38"/>
      <c r="AG2422" s="38"/>
      <c r="AH2422" s="38"/>
      <c r="AI2422" s="38"/>
      <c r="AJ2422" s="38"/>
      <c r="AK2422" s="38"/>
    </row>
    <row r="2423">
      <c r="A2423" s="99">
        <v>2422.0</v>
      </c>
      <c r="B2423" s="15"/>
      <c r="C2423" s="15"/>
      <c r="D2423" s="105">
        <v>1.0</v>
      </c>
      <c r="E2423" s="102">
        <v>46.0</v>
      </c>
      <c r="F2423" s="107">
        <v>35.0</v>
      </c>
      <c r="G2423" s="15" t="str">
        <f t="shared" si="1"/>
        <v>46035</v>
      </c>
      <c r="H2423" s="23" t="s">
        <v>1850</v>
      </c>
      <c r="I2423" s="23" t="s">
        <v>109</v>
      </c>
      <c r="J2423" s="23" t="s">
        <v>1840</v>
      </c>
      <c r="K2423" s="23" t="str">
        <f t="shared" si="42"/>
        <v>Davison, SD</v>
      </c>
      <c r="L2423" s="23">
        <v>681.0</v>
      </c>
      <c r="M2423" s="23" t="s">
        <v>63</v>
      </c>
      <c r="N2423" s="23">
        <v>389.0</v>
      </c>
      <c r="O2423" s="23">
        <v>70.0</v>
      </c>
      <c r="P2423" s="23" t="s">
        <v>63</v>
      </c>
      <c r="Q2423" s="23">
        <v>390.0</v>
      </c>
      <c r="R2423" s="23">
        <v>15.0</v>
      </c>
      <c r="S2423" s="23" t="s">
        <v>63</v>
      </c>
      <c r="T2423" s="32" t="s">
        <v>63</v>
      </c>
      <c r="U2423" s="23">
        <v>7.0</v>
      </c>
      <c r="V2423" s="23" t="s">
        <v>63</v>
      </c>
      <c r="W2423" s="23" t="s">
        <v>63</v>
      </c>
      <c r="X2423" s="23" t="s">
        <v>63</v>
      </c>
      <c r="Y2423" s="35" t="s">
        <v>63</v>
      </c>
      <c r="Z2423" s="32" t="s">
        <v>63</v>
      </c>
      <c r="AA2423" s="38"/>
      <c r="AB2423" s="38"/>
      <c r="AC2423" s="38"/>
      <c r="AD2423" s="38"/>
      <c r="AE2423" s="38"/>
      <c r="AF2423" s="38"/>
      <c r="AG2423" s="38"/>
      <c r="AH2423" s="38"/>
      <c r="AI2423" s="38"/>
      <c r="AJ2423" s="38"/>
      <c r="AK2423" s="38"/>
    </row>
    <row r="2424">
      <c r="A2424" s="99">
        <v>2423.0</v>
      </c>
      <c r="B2424" s="15"/>
      <c r="C2424" s="15"/>
      <c r="D2424" s="105">
        <v>1.0</v>
      </c>
      <c r="E2424" s="102">
        <v>46.0</v>
      </c>
      <c r="F2424" s="107">
        <v>37.0</v>
      </c>
      <c r="G2424" s="15" t="str">
        <f t="shared" si="1"/>
        <v>46037</v>
      </c>
      <c r="H2424" s="23" t="s">
        <v>1851</v>
      </c>
      <c r="I2424" s="23" t="s">
        <v>109</v>
      </c>
      <c r="J2424" s="23" t="s">
        <v>1840</v>
      </c>
      <c r="K2424" s="23" t="str">
        <f t="shared" si="42"/>
        <v>Day, SD</v>
      </c>
      <c r="L2424" s="23">
        <v>61.0</v>
      </c>
      <c r="M2424" s="23" t="s">
        <v>63</v>
      </c>
      <c r="N2424" s="23">
        <v>45.0</v>
      </c>
      <c r="O2424" s="23">
        <v>15.0</v>
      </c>
      <c r="P2424" s="23" t="s">
        <v>63</v>
      </c>
      <c r="Q2424" s="23">
        <v>33.0</v>
      </c>
      <c r="R2424" s="23">
        <v>4.0</v>
      </c>
      <c r="S2424" s="23" t="s">
        <v>63</v>
      </c>
      <c r="T2424" s="32" t="s">
        <v>63</v>
      </c>
      <c r="U2424" s="23">
        <v>2.0</v>
      </c>
      <c r="V2424" s="23" t="s">
        <v>63</v>
      </c>
      <c r="W2424" s="23" t="s">
        <v>63</v>
      </c>
      <c r="X2424" s="23" t="s">
        <v>63</v>
      </c>
      <c r="Y2424" s="35">
        <v>27.0</v>
      </c>
      <c r="Z2424" s="32" t="s">
        <v>63</v>
      </c>
      <c r="AA2424" s="38"/>
      <c r="AB2424" s="38"/>
      <c r="AC2424" s="38"/>
      <c r="AD2424" s="38"/>
      <c r="AE2424" s="38"/>
      <c r="AF2424" s="38"/>
      <c r="AG2424" s="38"/>
      <c r="AH2424" s="38"/>
      <c r="AI2424" s="38"/>
      <c r="AJ2424" s="38"/>
      <c r="AK2424" s="38"/>
    </row>
    <row r="2425">
      <c r="A2425" s="99">
        <v>2424.0</v>
      </c>
      <c r="B2425" s="15"/>
      <c r="C2425" s="15"/>
      <c r="D2425" s="105">
        <v>1.0</v>
      </c>
      <c r="E2425" s="102">
        <v>46.0</v>
      </c>
      <c r="F2425" s="107">
        <v>39.0</v>
      </c>
      <c r="G2425" s="15" t="str">
        <f t="shared" si="1"/>
        <v>46039</v>
      </c>
      <c r="H2425" s="23" t="s">
        <v>1477</v>
      </c>
      <c r="I2425" s="23" t="s">
        <v>109</v>
      </c>
      <c r="J2425" s="23" t="s">
        <v>1840</v>
      </c>
      <c r="K2425" s="23" t="str">
        <f t="shared" si="42"/>
        <v>Deuel, SD</v>
      </c>
      <c r="L2425" s="23">
        <v>36.0</v>
      </c>
      <c r="M2425" s="23" t="s">
        <v>63</v>
      </c>
      <c r="N2425" s="23">
        <v>28.0</v>
      </c>
      <c r="O2425" s="23">
        <v>3.0</v>
      </c>
      <c r="P2425" s="23" t="s">
        <v>63</v>
      </c>
      <c r="Q2425" s="23">
        <v>31.0</v>
      </c>
      <c r="R2425" s="23">
        <v>1.0</v>
      </c>
      <c r="S2425" s="23" t="s">
        <v>63</v>
      </c>
      <c r="T2425" s="32" t="s">
        <v>63</v>
      </c>
      <c r="U2425" s="23">
        <v>1.0</v>
      </c>
      <c r="V2425" s="23" t="s">
        <v>63</v>
      </c>
      <c r="W2425" s="23" t="s">
        <v>63</v>
      </c>
      <c r="X2425" s="23" t="s">
        <v>63</v>
      </c>
      <c r="Y2425" s="35" t="s">
        <v>63</v>
      </c>
      <c r="Z2425" s="32" t="s">
        <v>63</v>
      </c>
      <c r="AA2425" s="38"/>
      <c r="AB2425" s="38"/>
      <c r="AC2425" s="38"/>
      <c r="AD2425" s="38"/>
      <c r="AE2425" s="38"/>
      <c r="AF2425" s="38"/>
      <c r="AG2425" s="38"/>
      <c r="AH2425" s="38"/>
      <c r="AI2425" s="38"/>
      <c r="AJ2425" s="38"/>
      <c r="AK2425" s="38"/>
    </row>
    <row r="2426">
      <c r="A2426" s="99">
        <v>2425.0</v>
      </c>
      <c r="B2426" s="15"/>
      <c r="C2426" s="15"/>
      <c r="D2426" s="105">
        <v>1.0</v>
      </c>
      <c r="E2426" s="102">
        <v>46.0</v>
      </c>
      <c r="F2426" s="107">
        <v>41.0</v>
      </c>
      <c r="G2426" s="15" t="str">
        <f t="shared" si="1"/>
        <v>46041</v>
      </c>
      <c r="H2426" s="23" t="s">
        <v>1723</v>
      </c>
      <c r="I2426" s="23" t="s">
        <v>109</v>
      </c>
      <c r="J2426" s="23" t="s">
        <v>1840</v>
      </c>
      <c r="K2426" s="23" t="str">
        <f t="shared" si="42"/>
        <v>Dewey, SD</v>
      </c>
      <c r="L2426" s="23"/>
      <c r="M2426" s="23"/>
      <c r="N2426" s="23"/>
      <c r="O2426" s="23"/>
      <c r="P2426" s="23"/>
      <c r="Q2426" s="23"/>
      <c r="R2426" s="23"/>
      <c r="S2426" s="23"/>
      <c r="T2426" s="32"/>
      <c r="U2426" s="23"/>
      <c r="V2426" s="23"/>
      <c r="W2426" s="23"/>
      <c r="X2426" s="23"/>
      <c r="Y2426" s="23"/>
      <c r="Z2426" s="32"/>
      <c r="AA2426" s="38"/>
      <c r="AB2426" s="38"/>
      <c r="AC2426" s="38"/>
      <c r="AD2426" s="38"/>
      <c r="AE2426" s="38"/>
      <c r="AF2426" s="38"/>
      <c r="AG2426" s="38"/>
      <c r="AH2426" s="38"/>
      <c r="AI2426" s="38"/>
      <c r="AJ2426" s="38"/>
      <c r="AK2426" s="38"/>
    </row>
    <row r="2427">
      <c r="A2427" s="99">
        <v>2426.0</v>
      </c>
      <c r="B2427" s="15"/>
      <c r="C2427" s="15"/>
      <c r="D2427" s="105">
        <v>1.0</v>
      </c>
      <c r="E2427" s="102">
        <v>46.0</v>
      </c>
      <c r="F2427" s="107">
        <v>43.0</v>
      </c>
      <c r="G2427" s="15" t="str">
        <f t="shared" si="1"/>
        <v>46043</v>
      </c>
      <c r="H2427" s="23" t="s">
        <v>412</v>
      </c>
      <c r="I2427" s="23" t="s">
        <v>109</v>
      </c>
      <c r="J2427" s="23" t="s">
        <v>1840</v>
      </c>
      <c r="K2427" s="23" t="str">
        <f t="shared" si="42"/>
        <v>Douglas, SD</v>
      </c>
      <c r="L2427" s="23"/>
      <c r="M2427" s="23"/>
      <c r="N2427" s="23"/>
      <c r="O2427" s="23"/>
      <c r="P2427" s="23"/>
      <c r="Q2427" s="23"/>
      <c r="R2427" s="23"/>
      <c r="S2427" s="23"/>
      <c r="T2427" s="32"/>
      <c r="U2427" s="23"/>
      <c r="V2427" s="23"/>
      <c r="W2427" s="23"/>
      <c r="X2427" s="23"/>
      <c r="Y2427" s="23"/>
      <c r="Z2427" s="32"/>
      <c r="AA2427" s="38"/>
      <c r="AB2427" s="38"/>
      <c r="AC2427" s="38"/>
      <c r="AD2427" s="38"/>
      <c r="AE2427" s="38"/>
      <c r="AF2427" s="38"/>
      <c r="AG2427" s="38"/>
      <c r="AH2427" s="38"/>
      <c r="AI2427" s="38"/>
      <c r="AJ2427" s="38"/>
      <c r="AK2427" s="38"/>
    </row>
    <row r="2428">
      <c r="A2428" s="99">
        <v>2427.0</v>
      </c>
      <c r="B2428" s="15"/>
      <c r="C2428" s="15"/>
      <c r="D2428" s="105">
        <v>1.0</v>
      </c>
      <c r="E2428" s="102">
        <v>46.0</v>
      </c>
      <c r="F2428" s="107">
        <v>45.0</v>
      </c>
      <c r="G2428" s="15" t="str">
        <f t="shared" si="1"/>
        <v>46045</v>
      </c>
      <c r="H2428" s="23" t="s">
        <v>1852</v>
      </c>
      <c r="I2428" s="23" t="s">
        <v>109</v>
      </c>
      <c r="J2428" s="23" t="s">
        <v>1840</v>
      </c>
      <c r="K2428" s="23" t="str">
        <f t="shared" si="42"/>
        <v>Edmunds, SD</v>
      </c>
      <c r="L2428" s="23"/>
      <c r="M2428" s="23"/>
      <c r="N2428" s="23"/>
      <c r="O2428" s="23"/>
      <c r="P2428" s="23"/>
      <c r="Q2428" s="23"/>
      <c r="R2428" s="23"/>
      <c r="S2428" s="23"/>
      <c r="T2428" s="32"/>
      <c r="U2428" s="23"/>
      <c r="V2428" s="23"/>
      <c r="W2428" s="23"/>
      <c r="X2428" s="23"/>
      <c r="Y2428" s="23"/>
      <c r="Z2428" s="32"/>
      <c r="AA2428" s="38"/>
      <c r="AB2428" s="38"/>
      <c r="AC2428" s="38"/>
      <c r="AD2428" s="38"/>
      <c r="AE2428" s="38"/>
      <c r="AF2428" s="38"/>
      <c r="AG2428" s="38"/>
      <c r="AH2428" s="38"/>
      <c r="AI2428" s="38"/>
      <c r="AJ2428" s="38"/>
      <c r="AK2428" s="38"/>
    </row>
    <row r="2429">
      <c r="A2429" s="99">
        <v>2428.0</v>
      </c>
      <c r="B2429" s="15"/>
      <c r="C2429" s="15"/>
      <c r="D2429" s="105">
        <v>1.0</v>
      </c>
      <c r="E2429" s="102">
        <v>46.0</v>
      </c>
      <c r="F2429" s="107">
        <v>47.0</v>
      </c>
      <c r="G2429" s="15" t="str">
        <f t="shared" si="1"/>
        <v>46047</v>
      </c>
      <c r="H2429" s="23" t="s">
        <v>1853</v>
      </c>
      <c r="I2429" s="23" t="s">
        <v>109</v>
      </c>
      <c r="J2429" s="23" t="s">
        <v>1840</v>
      </c>
      <c r="K2429" s="23" t="str">
        <f t="shared" si="42"/>
        <v>Fall River, SD</v>
      </c>
      <c r="L2429" s="23"/>
      <c r="M2429" s="23"/>
      <c r="N2429" s="23"/>
      <c r="O2429" s="23"/>
      <c r="P2429" s="23"/>
      <c r="Q2429" s="23"/>
      <c r="R2429" s="23"/>
      <c r="S2429" s="23"/>
      <c r="T2429" s="32"/>
      <c r="U2429" s="23"/>
      <c r="V2429" s="23"/>
      <c r="W2429" s="23"/>
      <c r="X2429" s="23"/>
      <c r="Y2429" s="23"/>
      <c r="Z2429" s="32"/>
      <c r="AA2429" s="38"/>
      <c r="AB2429" s="38"/>
      <c r="AC2429" s="38"/>
      <c r="AD2429" s="38"/>
      <c r="AE2429" s="38"/>
      <c r="AF2429" s="38"/>
      <c r="AG2429" s="38"/>
      <c r="AH2429" s="38"/>
      <c r="AI2429" s="38"/>
      <c r="AJ2429" s="38"/>
      <c r="AK2429" s="38"/>
    </row>
    <row r="2430">
      <c r="A2430" s="99">
        <v>2429.0</v>
      </c>
      <c r="B2430" s="15"/>
      <c r="C2430" s="15"/>
      <c r="D2430" s="105">
        <v>1.0</v>
      </c>
      <c r="E2430" s="102">
        <v>46.0</v>
      </c>
      <c r="F2430" s="107">
        <v>49.0</v>
      </c>
      <c r="G2430" s="15" t="str">
        <f t="shared" si="1"/>
        <v>46049</v>
      </c>
      <c r="H2430" s="23" t="s">
        <v>1854</v>
      </c>
      <c r="I2430" s="23" t="s">
        <v>109</v>
      </c>
      <c r="J2430" s="23" t="s">
        <v>1840</v>
      </c>
      <c r="K2430" s="23" t="str">
        <f t="shared" si="42"/>
        <v>Faulk, SD</v>
      </c>
      <c r="L2430" s="23"/>
      <c r="M2430" s="23"/>
      <c r="N2430" s="23"/>
      <c r="O2430" s="23"/>
      <c r="P2430" s="23"/>
      <c r="Q2430" s="23"/>
      <c r="R2430" s="23"/>
      <c r="S2430" s="23"/>
      <c r="T2430" s="32"/>
      <c r="U2430" s="23"/>
      <c r="V2430" s="23"/>
      <c r="W2430" s="23"/>
      <c r="X2430" s="23"/>
      <c r="Y2430" s="23"/>
      <c r="Z2430" s="32"/>
      <c r="AA2430" s="38"/>
      <c r="AB2430" s="38"/>
      <c r="AC2430" s="38"/>
      <c r="AD2430" s="38"/>
      <c r="AE2430" s="38"/>
      <c r="AF2430" s="38"/>
      <c r="AG2430" s="38"/>
      <c r="AH2430" s="38"/>
      <c r="AI2430" s="38"/>
      <c r="AJ2430" s="38"/>
      <c r="AK2430" s="38"/>
    </row>
    <row r="2431">
      <c r="A2431" s="99">
        <v>2430.0</v>
      </c>
      <c r="B2431" s="15"/>
      <c r="C2431" s="15"/>
      <c r="D2431" s="105">
        <v>1.0</v>
      </c>
      <c r="E2431" s="102">
        <v>46.0</v>
      </c>
      <c r="F2431" s="107">
        <v>51.0</v>
      </c>
      <c r="G2431" s="15" t="str">
        <f t="shared" si="1"/>
        <v>46051</v>
      </c>
      <c r="H2431" s="23" t="s">
        <v>278</v>
      </c>
      <c r="I2431" s="23" t="s">
        <v>109</v>
      </c>
      <c r="J2431" s="23" t="s">
        <v>1840</v>
      </c>
      <c r="K2431" s="23" t="str">
        <f t="shared" si="42"/>
        <v>Grant, SD</v>
      </c>
      <c r="L2431" s="23"/>
      <c r="M2431" s="23"/>
      <c r="N2431" s="23"/>
      <c r="O2431" s="23"/>
      <c r="P2431" s="23"/>
      <c r="Q2431" s="23"/>
      <c r="R2431" s="23"/>
      <c r="S2431" s="23"/>
      <c r="T2431" s="32"/>
      <c r="U2431" s="23"/>
      <c r="V2431" s="23"/>
      <c r="W2431" s="23"/>
      <c r="X2431" s="23"/>
      <c r="Y2431" s="23"/>
      <c r="Z2431" s="32"/>
      <c r="AA2431" s="38"/>
      <c r="AB2431" s="38"/>
      <c r="AC2431" s="38"/>
      <c r="AD2431" s="38"/>
      <c r="AE2431" s="38"/>
      <c r="AF2431" s="38"/>
      <c r="AG2431" s="38"/>
      <c r="AH2431" s="38"/>
      <c r="AI2431" s="38"/>
      <c r="AJ2431" s="38"/>
      <c r="AK2431" s="38"/>
    </row>
    <row r="2432">
      <c r="A2432" s="99">
        <v>2431.0</v>
      </c>
      <c r="B2432" s="15"/>
      <c r="C2432" s="15"/>
      <c r="D2432" s="105">
        <v>1.0</v>
      </c>
      <c r="E2432" s="102">
        <v>46.0</v>
      </c>
      <c r="F2432" s="107">
        <v>53.0</v>
      </c>
      <c r="G2432" s="15" t="str">
        <f t="shared" si="1"/>
        <v>46053</v>
      </c>
      <c r="H2432" s="23" t="s">
        <v>1855</v>
      </c>
      <c r="I2432" s="23" t="s">
        <v>109</v>
      </c>
      <c r="J2432" s="23" t="s">
        <v>1840</v>
      </c>
      <c r="K2432" s="23" t="str">
        <f t="shared" si="42"/>
        <v>Gregory, SD</v>
      </c>
      <c r="L2432" s="23"/>
      <c r="M2432" s="23"/>
      <c r="N2432" s="23"/>
      <c r="O2432" s="23"/>
      <c r="P2432" s="23"/>
      <c r="Q2432" s="23"/>
      <c r="R2432" s="23"/>
      <c r="S2432" s="23"/>
      <c r="T2432" s="32"/>
      <c r="U2432" s="23"/>
      <c r="V2432" s="23"/>
      <c r="W2432" s="23"/>
      <c r="X2432" s="23"/>
      <c r="Y2432" s="23"/>
      <c r="Z2432" s="32"/>
      <c r="AA2432" s="38"/>
      <c r="AB2432" s="38"/>
      <c r="AC2432" s="38"/>
      <c r="AD2432" s="38"/>
      <c r="AE2432" s="38"/>
      <c r="AF2432" s="38"/>
      <c r="AG2432" s="38"/>
      <c r="AH2432" s="38"/>
      <c r="AI2432" s="38"/>
      <c r="AJ2432" s="38"/>
      <c r="AK2432" s="38"/>
    </row>
    <row r="2433">
      <c r="A2433" s="99">
        <v>2432.0</v>
      </c>
      <c r="B2433" s="15"/>
      <c r="C2433" s="15"/>
      <c r="D2433" s="105">
        <v>1.0</v>
      </c>
      <c r="E2433" s="102">
        <v>46.0</v>
      </c>
      <c r="F2433" s="107">
        <v>55.0</v>
      </c>
      <c r="G2433" s="15" t="str">
        <f t="shared" si="1"/>
        <v>46055</v>
      </c>
      <c r="H2433" s="23" t="s">
        <v>1856</v>
      </c>
      <c r="I2433" s="23" t="s">
        <v>109</v>
      </c>
      <c r="J2433" s="23" t="s">
        <v>1840</v>
      </c>
      <c r="K2433" s="23" t="str">
        <f t="shared" si="42"/>
        <v>Haakon, SD</v>
      </c>
      <c r="L2433" s="23"/>
      <c r="M2433" s="23"/>
      <c r="N2433" s="23"/>
      <c r="O2433" s="23"/>
      <c r="P2433" s="23"/>
      <c r="Q2433" s="23"/>
      <c r="R2433" s="23"/>
      <c r="S2433" s="23"/>
      <c r="T2433" s="32"/>
      <c r="U2433" s="23"/>
      <c r="V2433" s="23"/>
      <c r="W2433" s="23"/>
      <c r="X2433" s="23"/>
      <c r="Y2433" s="23"/>
      <c r="Z2433" s="32"/>
      <c r="AA2433" s="38"/>
      <c r="AB2433" s="38"/>
      <c r="AC2433" s="38"/>
      <c r="AD2433" s="38"/>
      <c r="AE2433" s="38"/>
      <c r="AF2433" s="38"/>
      <c r="AG2433" s="38"/>
      <c r="AH2433" s="38"/>
      <c r="AI2433" s="38"/>
      <c r="AJ2433" s="38"/>
      <c r="AK2433" s="38"/>
    </row>
    <row r="2434">
      <c r="A2434" s="99">
        <v>2433.0</v>
      </c>
      <c r="B2434" s="15"/>
      <c r="C2434" s="15"/>
      <c r="D2434" s="105">
        <v>1.0</v>
      </c>
      <c r="E2434" s="102">
        <v>46.0</v>
      </c>
      <c r="F2434" s="107">
        <v>57.0</v>
      </c>
      <c r="G2434" s="15" t="str">
        <f t="shared" si="1"/>
        <v>46057</v>
      </c>
      <c r="H2434" s="23" t="s">
        <v>1857</v>
      </c>
      <c r="I2434" s="23" t="s">
        <v>109</v>
      </c>
      <c r="J2434" s="23" t="s">
        <v>1840</v>
      </c>
      <c r="K2434" s="23" t="str">
        <f t="shared" si="42"/>
        <v>Hamlin, SD</v>
      </c>
      <c r="L2434" s="23"/>
      <c r="M2434" s="23"/>
      <c r="N2434" s="23"/>
      <c r="O2434" s="23"/>
      <c r="P2434" s="23"/>
      <c r="Q2434" s="23"/>
      <c r="R2434" s="23"/>
      <c r="S2434" s="23"/>
      <c r="T2434" s="32"/>
      <c r="U2434" s="23"/>
      <c r="V2434" s="23"/>
      <c r="W2434" s="23"/>
      <c r="X2434" s="23"/>
      <c r="Y2434" s="23"/>
      <c r="Z2434" s="32"/>
      <c r="AA2434" s="38"/>
      <c r="AB2434" s="38"/>
      <c r="AC2434" s="38"/>
      <c r="AD2434" s="38"/>
      <c r="AE2434" s="38"/>
      <c r="AF2434" s="38"/>
      <c r="AG2434" s="38"/>
      <c r="AH2434" s="38"/>
      <c r="AI2434" s="38"/>
      <c r="AJ2434" s="38"/>
      <c r="AK2434" s="38"/>
    </row>
    <row r="2435">
      <c r="A2435" s="99">
        <v>2434.0</v>
      </c>
      <c r="B2435" s="15"/>
      <c r="C2435" s="15"/>
      <c r="D2435" s="105">
        <v>1.0</v>
      </c>
      <c r="E2435" s="102">
        <v>46.0</v>
      </c>
      <c r="F2435" s="107">
        <v>59.0</v>
      </c>
      <c r="G2435" s="15" t="str">
        <f t="shared" si="1"/>
        <v>46059</v>
      </c>
      <c r="H2435" s="23" t="s">
        <v>1858</v>
      </c>
      <c r="I2435" s="23" t="s">
        <v>109</v>
      </c>
      <c r="J2435" s="23" t="s">
        <v>1840</v>
      </c>
      <c r="K2435" s="23" t="str">
        <f t="shared" si="42"/>
        <v>Hand, SD</v>
      </c>
      <c r="L2435" s="23"/>
      <c r="M2435" s="23"/>
      <c r="N2435" s="23"/>
      <c r="O2435" s="23"/>
      <c r="P2435" s="23"/>
      <c r="Q2435" s="23"/>
      <c r="R2435" s="23"/>
      <c r="S2435" s="23"/>
      <c r="T2435" s="32"/>
      <c r="U2435" s="23"/>
      <c r="V2435" s="23"/>
      <c r="W2435" s="23"/>
      <c r="X2435" s="23"/>
      <c r="Y2435" s="23"/>
      <c r="Z2435" s="32"/>
      <c r="AA2435" s="38"/>
      <c r="AB2435" s="38"/>
      <c r="AC2435" s="38"/>
      <c r="AD2435" s="38"/>
      <c r="AE2435" s="38"/>
      <c r="AF2435" s="38"/>
      <c r="AG2435" s="38"/>
      <c r="AH2435" s="38"/>
      <c r="AI2435" s="38"/>
      <c r="AJ2435" s="38"/>
      <c r="AK2435" s="38"/>
    </row>
    <row r="2436">
      <c r="A2436" s="99">
        <v>2435.0</v>
      </c>
      <c r="B2436" s="15"/>
      <c r="C2436" s="15"/>
      <c r="D2436" s="105">
        <v>1.0</v>
      </c>
      <c r="E2436" s="102">
        <v>46.0</v>
      </c>
      <c r="F2436" s="107">
        <v>61.0</v>
      </c>
      <c r="G2436" s="15" t="str">
        <f t="shared" si="1"/>
        <v>46061</v>
      </c>
      <c r="H2436" s="23" t="s">
        <v>1859</v>
      </c>
      <c r="I2436" s="23" t="s">
        <v>109</v>
      </c>
      <c r="J2436" s="23" t="s">
        <v>1840</v>
      </c>
      <c r="K2436" s="23" t="str">
        <f t="shared" si="42"/>
        <v>Hanson, SD</v>
      </c>
      <c r="L2436" s="23"/>
      <c r="M2436" s="23"/>
      <c r="N2436" s="23"/>
      <c r="O2436" s="23"/>
      <c r="P2436" s="23"/>
      <c r="Q2436" s="23"/>
      <c r="R2436" s="23"/>
      <c r="S2436" s="23"/>
      <c r="T2436" s="32"/>
      <c r="U2436" s="23"/>
      <c r="V2436" s="23"/>
      <c r="W2436" s="23"/>
      <c r="X2436" s="23"/>
      <c r="Y2436" s="23"/>
      <c r="Z2436" s="32"/>
      <c r="AA2436" s="38"/>
      <c r="AB2436" s="38"/>
      <c r="AC2436" s="38"/>
      <c r="AD2436" s="38"/>
      <c r="AE2436" s="38"/>
      <c r="AF2436" s="38"/>
      <c r="AG2436" s="38"/>
      <c r="AH2436" s="38"/>
      <c r="AI2436" s="38"/>
      <c r="AJ2436" s="38"/>
      <c r="AK2436" s="38"/>
    </row>
    <row r="2437">
      <c r="A2437" s="99">
        <v>2436.0</v>
      </c>
      <c r="B2437" s="15"/>
      <c r="C2437" s="15"/>
      <c r="D2437" s="105">
        <v>1.0</v>
      </c>
      <c r="E2437" s="102">
        <v>46.0</v>
      </c>
      <c r="F2437" s="107">
        <v>63.0</v>
      </c>
      <c r="G2437" s="15" t="str">
        <f t="shared" si="1"/>
        <v>46063</v>
      </c>
      <c r="H2437" s="23" t="s">
        <v>1540</v>
      </c>
      <c r="I2437" s="23" t="s">
        <v>109</v>
      </c>
      <c r="J2437" s="23" t="s">
        <v>1840</v>
      </c>
      <c r="K2437" s="23" t="str">
        <f t="shared" si="42"/>
        <v>Harding, SD</v>
      </c>
      <c r="L2437" s="23"/>
      <c r="M2437" s="23"/>
      <c r="N2437" s="23"/>
      <c r="O2437" s="23"/>
      <c r="P2437" s="23"/>
      <c r="Q2437" s="23"/>
      <c r="R2437" s="23"/>
      <c r="S2437" s="23"/>
      <c r="T2437" s="32"/>
      <c r="U2437" s="23"/>
      <c r="V2437" s="23"/>
      <c r="W2437" s="23"/>
      <c r="X2437" s="23"/>
      <c r="Y2437" s="23"/>
      <c r="Z2437" s="32"/>
      <c r="AA2437" s="38"/>
      <c r="AB2437" s="38"/>
      <c r="AC2437" s="38"/>
      <c r="AD2437" s="38"/>
      <c r="AE2437" s="38"/>
      <c r="AF2437" s="38"/>
      <c r="AG2437" s="38"/>
      <c r="AH2437" s="38"/>
      <c r="AI2437" s="38"/>
      <c r="AJ2437" s="38"/>
      <c r="AK2437" s="38"/>
    </row>
    <row r="2438">
      <c r="A2438" s="99">
        <v>2437.0</v>
      </c>
      <c r="B2438" s="15"/>
      <c r="C2438" s="15"/>
      <c r="D2438" s="105">
        <v>1.0</v>
      </c>
      <c r="E2438" s="102">
        <v>46.0</v>
      </c>
      <c r="F2438" s="107">
        <v>65.0</v>
      </c>
      <c r="G2438" s="15" t="str">
        <f t="shared" si="1"/>
        <v>46065</v>
      </c>
      <c r="H2438" s="23" t="s">
        <v>1730</v>
      </c>
      <c r="I2438" s="23" t="s">
        <v>109</v>
      </c>
      <c r="J2438" s="23" t="s">
        <v>1840</v>
      </c>
      <c r="K2438" s="23" t="str">
        <f t="shared" si="42"/>
        <v>Hughes, SD</v>
      </c>
      <c r="L2438" s="23"/>
      <c r="M2438" s="23"/>
      <c r="N2438" s="23"/>
      <c r="O2438" s="23"/>
      <c r="P2438" s="23"/>
      <c r="Q2438" s="23"/>
      <c r="R2438" s="23"/>
      <c r="S2438" s="23"/>
      <c r="T2438" s="32"/>
      <c r="U2438" s="23"/>
      <c r="V2438" s="23"/>
      <c r="W2438" s="23"/>
      <c r="X2438" s="23"/>
      <c r="Y2438" s="23"/>
      <c r="Z2438" s="32"/>
      <c r="AA2438" s="38"/>
      <c r="AB2438" s="38"/>
      <c r="AC2438" s="38"/>
      <c r="AD2438" s="38"/>
      <c r="AE2438" s="38"/>
      <c r="AF2438" s="38"/>
      <c r="AG2438" s="38"/>
      <c r="AH2438" s="38"/>
      <c r="AI2438" s="38"/>
      <c r="AJ2438" s="38"/>
      <c r="AK2438" s="38"/>
    </row>
    <row r="2439">
      <c r="A2439" s="99">
        <v>2438.0</v>
      </c>
      <c r="B2439" s="15"/>
      <c r="C2439" s="15"/>
      <c r="D2439" s="105">
        <v>1.0</v>
      </c>
      <c r="E2439" s="102">
        <v>46.0</v>
      </c>
      <c r="F2439" s="107">
        <v>67.0</v>
      </c>
      <c r="G2439" s="15" t="str">
        <f t="shared" si="1"/>
        <v>46067</v>
      </c>
      <c r="H2439" s="23" t="s">
        <v>1860</v>
      </c>
      <c r="I2439" s="23" t="s">
        <v>109</v>
      </c>
      <c r="J2439" s="23" t="s">
        <v>1840</v>
      </c>
      <c r="K2439" s="23" t="str">
        <f t="shared" si="42"/>
        <v>Hutchinson, SD</v>
      </c>
      <c r="L2439" s="23"/>
      <c r="M2439" s="23"/>
      <c r="N2439" s="23"/>
      <c r="O2439" s="23"/>
      <c r="P2439" s="23"/>
      <c r="Q2439" s="23"/>
      <c r="R2439" s="23"/>
      <c r="S2439" s="23"/>
      <c r="T2439" s="32"/>
      <c r="U2439" s="23"/>
      <c r="V2439" s="23"/>
      <c r="W2439" s="23"/>
      <c r="X2439" s="23"/>
      <c r="Y2439" s="23"/>
      <c r="Z2439" s="32"/>
      <c r="AA2439" s="38"/>
      <c r="AB2439" s="38"/>
      <c r="AC2439" s="38"/>
      <c r="AD2439" s="38"/>
      <c r="AE2439" s="38"/>
      <c r="AF2439" s="38"/>
      <c r="AG2439" s="38"/>
      <c r="AH2439" s="38"/>
      <c r="AI2439" s="38"/>
      <c r="AJ2439" s="38"/>
      <c r="AK2439" s="38"/>
    </row>
    <row r="2440">
      <c r="A2440" s="99">
        <v>2439.0</v>
      </c>
      <c r="B2440" s="15"/>
      <c r="C2440" s="15"/>
      <c r="D2440" s="105">
        <v>1.0</v>
      </c>
      <c r="E2440" s="102">
        <v>46.0</v>
      </c>
      <c r="F2440" s="107">
        <v>69.0</v>
      </c>
      <c r="G2440" s="15" t="str">
        <f t="shared" si="1"/>
        <v>46069</v>
      </c>
      <c r="H2440" s="23" t="s">
        <v>1610</v>
      </c>
      <c r="I2440" s="23" t="s">
        <v>109</v>
      </c>
      <c r="J2440" s="23" t="s">
        <v>1840</v>
      </c>
      <c r="K2440" s="23" t="str">
        <f t="shared" si="42"/>
        <v>Hyde, SD</v>
      </c>
      <c r="L2440" s="23"/>
      <c r="M2440" s="23"/>
      <c r="N2440" s="23"/>
      <c r="O2440" s="23"/>
      <c r="P2440" s="23"/>
      <c r="Q2440" s="23"/>
      <c r="R2440" s="23"/>
      <c r="S2440" s="23"/>
      <c r="T2440" s="32"/>
      <c r="U2440" s="23"/>
      <c r="V2440" s="23"/>
      <c r="W2440" s="23"/>
      <c r="X2440" s="23"/>
      <c r="Y2440" s="23"/>
      <c r="Z2440" s="32"/>
      <c r="AA2440" s="38"/>
      <c r="AB2440" s="38"/>
      <c r="AC2440" s="38"/>
      <c r="AD2440" s="38"/>
      <c r="AE2440" s="38"/>
      <c r="AF2440" s="38"/>
      <c r="AG2440" s="38"/>
      <c r="AH2440" s="38"/>
      <c r="AI2440" s="38"/>
      <c r="AJ2440" s="38"/>
      <c r="AK2440" s="38"/>
    </row>
    <row r="2441">
      <c r="A2441" s="99">
        <v>2440.0</v>
      </c>
      <c r="B2441" s="15"/>
      <c r="C2441" s="15"/>
      <c r="D2441" s="105">
        <v>1.0</v>
      </c>
      <c r="E2441" s="102">
        <v>46.0</v>
      </c>
      <c r="F2441" s="107">
        <v>71.0</v>
      </c>
      <c r="G2441" s="15" t="str">
        <f t="shared" si="1"/>
        <v>46071</v>
      </c>
      <c r="H2441" s="23" t="s">
        <v>142</v>
      </c>
      <c r="I2441" s="23" t="s">
        <v>109</v>
      </c>
      <c r="J2441" s="23" t="s">
        <v>1840</v>
      </c>
      <c r="K2441" s="23" t="str">
        <f t="shared" si="42"/>
        <v>Jackson, SD</v>
      </c>
      <c r="L2441" s="23"/>
      <c r="M2441" s="23"/>
      <c r="N2441" s="23"/>
      <c r="O2441" s="23"/>
      <c r="P2441" s="23"/>
      <c r="Q2441" s="23"/>
      <c r="R2441" s="23"/>
      <c r="S2441" s="23"/>
      <c r="T2441" s="32"/>
      <c r="U2441" s="23"/>
      <c r="V2441" s="23"/>
      <c r="W2441" s="23"/>
      <c r="X2441" s="23"/>
      <c r="Y2441" s="23"/>
      <c r="Z2441" s="32"/>
      <c r="AA2441" s="38"/>
      <c r="AB2441" s="38"/>
      <c r="AC2441" s="38"/>
      <c r="AD2441" s="38"/>
      <c r="AE2441" s="38"/>
      <c r="AF2441" s="38"/>
      <c r="AG2441" s="38"/>
      <c r="AH2441" s="38"/>
      <c r="AI2441" s="38"/>
      <c r="AJ2441" s="38"/>
      <c r="AK2441" s="38"/>
    </row>
    <row r="2442">
      <c r="A2442" s="99">
        <v>2441.0</v>
      </c>
      <c r="B2442" s="15"/>
      <c r="C2442" s="15"/>
      <c r="D2442" s="105">
        <v>1.0</v>
      </c>
      <c r="E2442" s="102">
        <v>46.0</v>
      </c>
      <c r="F2442" s="107">
        <v>73.0</v>
      </c>
      <c r="G2442" s="15" t="str">
        <f t="shared" si="1"/>
        <v>46073</v>
      </c>
      <c r="H2442" s="23" t="s">
        <v>1861</v>
      </c>
      <c r="I2442" s="23" t="s">
        <v>109</v>
      </c>
      <c r="J2442" s="23" t="s">
        <v>1840</v>
      </c>
      <c r="K2442" s="23" t="str">
        <f t="shared" si="42"/>
        <v>Jerauld, SD</v>
      </c>
      <c r="L2442" s="23"/>
      <c r="M2442" s="23"/>
      <c r="N2442" s="23"/>
      <c r="O2442" s="23"/>
      <c r="P2442" s="23"/>
      <c r="Q2442" s="23"/>
      <c r="R2442" s="23"/>
      <c r="S2442" s="23"/>
      <c r="T2442" s="32"/>
      <c r="U2442" s="23"/>
      <c r="V2442" s="23"/>
      <c r="W2442" s="23"/>
      <c r="X2442" s="23"/>
      <c r="Y2442" s="23"/>
      <c r="Z2442" s="32"/>
      <c r="AA2442" s="38"/>
      <c r="AB2442" s="38"/>
      <c r="AC2442" s="38"/>
      <c r="AD2442" s="38"/>
      <c r="AE2442" s="38"/>
      <c r="AF2442" s="38"/>
      <c r="AG2442" s="38"/>
      <c r="AH2442" s="38"/>
      <c r="AI2442" s="38"/>
      <c r="AJ2442" s="38"/>
      <c r="AK2442" s="38"/>
    </row>
    <row r="2443">
      <c r="A2443" s="99">
        <v>2442.0</v>
      </c>
      <c r="B2443" s="15"/>
      <c r="C2443" s="15"/>
      <c r="D2443" s="105">
        <v>1.0</v>
      </c>
      <c r="E2443" s="102">
        <v>46.0</v>
      </c>
      <c r="F2443" s="107">
        <v>75.0</v>
      </c>
      <c r="G2443" s="15" t="str">
        <f t="shared" si="1"/>
        <v>46075</v>
      </c>
      <c r="H2443" s="23" t="s">
        <v>598</v>
      </c>
      <c r="I2443" s="23" t="s">
        <v>109</v>
      </c>
      <c r="J2443" s="23" t="s">
        <v>1840</v>
      </c>
      <c r="K2443" s="23" t="str">
        <f t="shared" si="42"/>
        <v>Jones, SD</v>
      </c>
      <c r="L2443" s="23"/>
      <c r="M2443" s="23"/>
      <c r="N2443" s="23"/>
      <c r="O2443" s="23"/>
      <c r="P2443" s="23"/>
      <c r="Q2443" s="23"/>
      <c r="R2443" s="23"/>
      <c r="S2443" s="23"/>
      <c r="T2443" s="32"/>
      <c r="U2443" s="23"/>
      <c r="V2443" s="23"/>
      <c r="W2443" s="23"/>
      <c r="X2443" s="23"/>
      <c r="Y2443" s="23"/>
      <c r="Z2443" s="32"/>
      <c r="AA2443" s="38"/>
      <c r="AB2443" s="38"/>
      <c r="AC2443" s="38"/>
      <c r="AD2443" s="38"/>
      <c r="AE2443" s="38"/>
      <c r="AF2443" s="38"/>
      <c r="AG2443" s="38"/>
      <c r="AH2443" s="38"/>
      <c r="AI2443" s="38"/>
      <c r="AJ2443" s="38"/>
      <c r="AK2443" s="38"/>
    </row>
    <row r="2444">
      <c r="A2444" s="99">
        <v>2443.0</v>
      </c>
      <c r="B2444" s="15"/>
      <c r="C2444" s="15"/>
      <c r="D2444" s="105">
        <v>1.0</v>
      </c>
      <c r="E2444" s="102">
        <v>46.0</v>
      </c>
      <c r="F2444" s="107">
        <v>77.0</v>
      </c>
      <c r="G2444" s="15" t="str">
        <f t="shared" si="1"/>
        <v>46077</v>
      </c>
      <c r="H2444" s="23" t="s">
        <v>1862</v>
      </c>
      <c r="I2444" s="23" t="s">
        <v>109</v>
      </c>
      <c r="J2444" s="23" t="s">
        <v>1840</v>
      </c>
      <c r="K2444" s="23" t="str">
        <f t="shared" si="42"/>
        <v>Kingsbury, SD</v>
      </c>
      <c r="L2444" s="23"/>
      <c r="M2444" s="23"/>
      <c r="N2444" s="23"/>
      <c r="O2444" s="23"/>
      <c r="P2444" s="23"/>
      <c r="Q2444" s="23"/>
      <c r="R2444" s="23"/>
      <c r="S2444" s="23"/>
      <c r="T2444" s="32"/>
      <c r="U2444" s="23"/>
      <c r="V2444" s="23"/>
      <c r="W2444" s="23"/>
      <c r="X2444" s="23"/>
      <c r="Y2444" s="23"/>
      <c r="Z2444" s="32"/>
      <c r="AA2444" s="38"/>
      <c r="AB2444" s="38"/>
      <c r="AC2444" s="38"/>
      <c r="AD2444" s="38"/>
      <c r="AE2444" s="38"/>
      <c r="AF2444" s="38"/>
      <c r="AG2444" s="38"/>
      <c r="AH2444" s="38"/>
      <c r="AI2444" s="38"/>
      <c r="AJ2444" s="38"/>
      <c r="AK2444" s="38"/>
    </row>
    <row r="2445">
      <c r="A2445" s="99">
        <v>2444.0</v>
      </c>
      <c r="B2445" s="15"/>
      <c r="C2445" s="15"/>
      <c r="D2445" s="105">
        <v>1.0</v>
      </c>
      <c r="E2445" s="102">
        <v>46.0</v>
      </c>
      <c r="F2445" s="107">
        <v>79.0</v>
      </c>
      <c r="G2445" s="15" t="str">
        <f t="shared" si="1"/>
        <v>46079</v>
      </c>
      <c r="H2445" s="23" t="s">
        <v>337</v>
      </c>
      <c r="I2445" s="23" t="s">
        <v>109</v>
      </c>
      <c r="J2445" s="23" t="s">
        <v>1840</v>
      </c>
      <c r="K2445" s="23" t="str">
        <f t="shared" si="42"/>
        <v>Lake, SD</v>
      </c>
      <c r="L2445" s="23"/>
      <c r="M2445" s="23"/>
      <c r="N2445" s="23"/>
      <c r="O2445" s="23"/>
      <c r="P2445" s="23"/>
      <c r="Q2445" s="23"/>
      <c r="R2445" s="23"/>
      <c r="S2445" s="23"/>
      <c r="T2445" s="32"/>
      <c r="U2445" s="23"/>
      <c r="V2445" s="23"/>
      <c r="W2445" s="23"/>
      <c r="X2445" s="23"/>
      <c r="Y2445" s="23"/>
      <c r="Z2445" s="32"/>
      <c r="AA2445" s="38"/>
      <c r="AB2445" s="38"/>
      <c r="AC2445" s="38"/>
      <c r="AD2445" s="38"/>
      <c r="AE2445" s="38"/>
      <c r="AF2445" s="38"/>
      <c r="AG2445" s="38"/>
      <c r="AH2445" s="38"/>
      <c r="AI2445" s="38"/>
      <c r="AJ2445" s="38"/>
      <c r="AK2445" s="38"/>
    </row>
    <row r="2446">
      <c r="A2446" s="99">
        <v>2445.0</v>
      </c>
      <c r="B2446" s="15"/>
      <c r="C2446" s="15"/>
      <c r="D2446" s="105">
        <v>1.0</v>
      </c>
      <c r="E2446" s="102">
        <v>46.0</v>
      </c>
      <c r="F2446" s="107">
        <v>81.0</v>
      </c>
      <c r="G2446" s="15" t="str">
        <f t="shared" si="1"/>
        <v>46081</v>
      </c>
      <c r="H2446" s="23" t="s">
        <v>146</v>
      </c>
      <c r="I2446" s="23" t="s">
        <v>109</v>
      </c>
      <c r="J2446" s="23" t="s">
        <v>1840</v>
      </c>
      <c r="K2446" s="23" t="str">
        <f t="shared" si="42"/>
        <v>Lawrence, SD</v>
      </c>
      <c r="L2446" s="23"/>
      <c r="M2446" s="23"/>
      <c r="N2446" s="23"/>
      <c r="O2446" s="23"/>
      <c r="P2446" s="23"/>
      <c r="Q2446" s="23"/>
      <c r="R2446" s="23"/>
      <c r="S2446" s="23"/>
      <c r="T2446" s="32"/>
      <c r="U2446" s="23"/>
      <c r="V2446" s="23"/>
      <c r="W2446" s="23"/>
      <c r="X2446" s="23"/>
      <c r="Y2446" s="23"/>
      <c r="Z2446" s="32"/>
      <c r="AA2446" s="38"/>
      <c r="AB2446" s="38"/>
      <c r="AC2446" s="38"/>
      <c r="AD2446" s="38"/>
      <c r="AE2446" s="38"/>
      <c r="AF2446" s="38"/>
      <c r="AG2446" s="38"/>
      <c r="AH2446" s="38"/>
      <c r="AI2446" s="38"/>
      <c r="AJ2446" s="38"/>
      <c r="AK2446" s="38"/>
    </row>
    <row r="2447">
      <c r="A2447" s="99">
        <v>2446.0</v>
      </c>
      <c r="B2447" s="15"/>
      <c r="C2447" s="15"/>
      <c r="D2447" s="105">
        <v>1.0</v>
      </c>
      <c r="E2447" s="102">
        <v>46.0</v>
      </c>
      <c r="F2447" s="107">
        <v>83.0</v>
      </c>
      <c r="G2447" s="15" t="str">
        <f t="shared" si="1"/>
        <v>46083</v>
      </c>
      <c r="H2447" s="23" t="s">
        <v>290</v>
      </c>
      <c r="I2447" s="23" t="s">
        <v>109</v>
      </c>
      <c r="J2447" s="23" t="s">
        <v>1840</v>
      </c>
      <c r="K2447" s="23" t="str">
        <f t="shared" si="42"/>
        <v>Lincoln, SD</v>
      </c>
      <c r="L2447" s="23"/>
      <c r="M2447" s="23"/>
      <c r="N2447" s="23"/>
      <c r="O2447" s="23"/>
      <c r="P2447" s="23"/>
      <c r="Q2447" s="23"/>
      <c r="R2447" s="23"/>
      <c r="S2447" s="23"/>
      <c r="T2447" s="32"/>
      <c r="U2447" s="23"/>
      <c r="V2447" s="23"/>
      <c r="W2447" s="23"/>
      <c r="X2447" s="23"/>
      <c r="Y2447" s="23"/>
      <c r="Z2447" s="32"/>
      <c r="AA2447" s="38"/>
      <c r="AB2447" s="38"/>
      <c r="AC2447" s="38"/>
      <c r="AD2447" s="38"/>
      <c r="AE2447" s="38"/>
      <c r="AF2447" s="38"/>
      <c r="AG2447" s="38"/>
      <c r="AH2447" s="38"/>
      <c r="AI2447" s="38"/>
      <c r="AJ2447" s="38"/>
      <c r="AK2447" s="38"/>
    </row>
    <row r="2448">
      <c r="A2448" s="99">
        <v>2447.0</v>
      </c>
      <c r="B2448" s="15"/>
      <c r="C2448" s="15"/>
      <c r="D2448" s="105">
        <v>1.0</v>
      </c>
      <c r="E2448" s="102">
        <v>46.0</v>
      </c>
      <c r="F2448" s="107">
        <v>85.0</v>
      </c>
      <c r="G2448" s="15" t="str">
        <f t="shared" si="1"/>
        <v>46085</v>
      </c>
      <c r="H2448" s="23" t="s">
        <v>1863</v>
      </c>
      <c r="I2448" s="23" t="s">
        <v>109</v>
      </c>
      <c r="J2448" s="23" t="s">
        <v>1840</v>
      </c>
      <c r="K2448" s="23" t="str">
        <f t="shared" si="42"/>
        <v>Lyman, SD</v>
      </c>
      <c r="L2448" s="23"/>
      <c r="M2448" s="23"/>
      <c r="N2448" s="23"/>
      <c r="O2448" s="23"/>
      <c r="P2448" s="23"/>
      <c r="Q2448" s="23"/>
      <c r="R2448" s="23"/>
      <c r="S2448" s="23"/>
      <c r="T2448" s="32"/>
      <c r="U2448" s="23"/>
      <c r="V2448" s="23"/>
      <c r="W2448" s="23"/>
      <c r="X2448" s="23"/>
      <c r="Y2448" s="23"/>
      <c r="Z2448" s="32"/>
      <c r="AA2448" s="38"/>
      <c r="AB2448" s="38"/>
      <c r="AC2448" s="38"/>
      <c r="AD2448" s="38"/>
      <c r="AE2448" s="38"/>
      <c r="AF2448" s="38"/>
      <c r="AG2448" s="38"/>
      <c r="AH2448" s="38"/>
      <c r="AI2448" s="38"/>
      <c r="AJ2448" s="38"/>
      <c r="AK2448" s="38"/>
    </row>
    <row r="2449">
      <c r="A2449" s="99">
        <v>2448.0</v>
      </c>
      <c r="B2449" s="15"/>
      <c r="C2449" s="15"/>
      <c r="D2449" s="105">
        <v>1.0</v>
      </c>
      <c r="E2449" s="102">
        <v>46.0</v>
      </c>
      <c r="F2449" s="107">
        <v>87.0</v>
      </c>
      <c r="G2449" s="15" t="str">
        <f t="shared" si="1"/>
        <v>46087</v>
      </c>
      <c r="H2449" s="23" t="s">
        <v>1864</v>
      </c>
      <c r="I2449" s="23" t="s">
        <v>109</v>
      </c>
      <c r="J2449" s="23" t="s">
        <v>1840</v>
      </c>
      <c r="K2449" s="23" t="str">
        <f t="shared" si="42"/>
        <v>McCook, SD</v>
      </c>
      <c r="L2449" s="23"/>
      <c r="M2449" s="23"/>
      <c r="N2449" s="23"/>
      <c r="O2449" s="23"/>
      <c r="P2449" s="23"/>
      <c r="Q2449" s="23"/>
      <c r="R2449" s="23"/>
      <c r="S2449" s="23"/>
      <c r="T2449" s="32"/>
      <c r="U2449" s="23"/>
      <c r="V2449" s="23"/>
      <c r="W2449" s="23"/>
      <c r="X2449" s="23"/>
      <c r="Y2449" s="23"/>
      <c r="Z2449" s="32"/>
      <c r="AA2449" s="38"/>
      <c r="AB2449" s="38"/>
      <c r="AC2449" s="38"/>
      <c r="AD2449" s="38"/>
      <c r="AE2449" s="38"/>
      <c r="AF2449" s="38"/>
      <c r="AG2449" s="38"/>
      <c r="AH2449" s="38"/>
      <c r="AI2449" s="38"/>
      <c r="AJ2449" s="38"/>
      <c r="AK2449" s="38"/>
    </row>
    <row r="2450">
      <c r="A2450" s="99">
        <v>2449.0</v>
      </c>
      <c r="B2450" s="15"/>
      <c r="C2450" s="15"/>
      <c r="D2450" s="105">
        <v>1.0</v>
      </c>
      <c r="E2450" s="102">
        <v>46.0</v>
      </c>
      <c r="F2450" s="107">
        <v>89.0</v>
      </c>
      <c r="G2450" s="15" t="str">
        <f t="shared" si="1"/>
        <v>46089</v>
      </c>
      <c r="H2450" s="23" t="s">
        <v>988</v>
      </c>
      <c r="I2450" s="23" t="s">
        <v>109</v>
      </c>
      <c r="J2450" s="23" t="s">
        <v>1840</v>
      </c>
      <c r="K2450" s="23" t="str">
        <f t="shared" si="42"/>
        <v>McPherson, SD</v>
      </c>
      <c r="L2450" s="23"/>
      <c r="M2450" s="23"/>
      <c r="N2450" s="23"/>
      <c r="O2450" s="23"/>
      <c r="P2450" s="23"/>
      <c r="Q2450" s="23"/>
      <c r="R2450" s="23"/>
      <c r="S2450" s="23"/>
      <c r="T2450" s="32"/>
      <c r="U2450" s="23"/>
      <c r="V2450" s="23"/>
      <c r="W2450" s="23"/>
      <c r="X2450" s="23"/>
      <c r="Y2450" s="23"/>
      <c r="Z2450" s="32"/>
      <c r="AA2450" s="38"/>
      <c r="AB2450" s="38"/>
      <c r="AC2450" s="38"/>
      <c r="AD2450" s="38"/>
      <c r="AE2450" s="38"/>
      <c r="AF2450" s="38"/>
      <c r="AG2450" s="38"/>
      <c r="AH2450" s="38"/>
      <c r="AI2450" s="38"/>
      <c r="AJ2450" s="38"/>
      <c r="AK2450" s="38"/>
    </row>
    <row r="2451">
      <c r="A2451" s="99">
        <v>2450.0</v>
      </c>
      <c r="B2451" s="15"/>
      <c r="C2451" s="15"/>
      <c r="D2451" s="105">
        <v>1.0</v>
      </c>
      <c r="E2451" s="102">
        <v>46.0</v>
      </c>
      <c r="F2451" s="107">
        <v>91.0</v>
      </c>
      <c r="G2451" s="15" t="str">
        <f t="shared" si="1"/>
        <v>46091</v>
      </c>
      <c r="H2451" s="23" t="s">
        <v>154</v>
      </c>
      <c r="I2451" s="23" t="s">
        <v>109</v>
      </c>
      <c r="J2451" s="23" t="s">
        <v>1840</v>
      </c>
      <c r="K2451" s="23" t="str">
        <f t="shared" si="42"/>
        <v>Marshall, SD</v>
      </c>
      <c r="L2451" s="23"/>
      <c r="M2451" s="23"/>
      <c r="N2451" s="23"/>
      <c r="O2451" s="23"/>
      <c r="P2451" s="23"/>
      <c r="Q2451" s="23"/>
      <c r="R2451" s="23"/>
      <c r="S2451" s="23"/>
      <c r="T2451" s="32"/>
      <c r="U2451" s="23"/>
      <c r="V2451" s="23"/>
      <c r="W2451" s="23"/>
      <c r="X2451" s="23"/>
      <c r="Y2451" s="23"/>
      <c r="Z2451" s="32"/>
      <c r="AA2451" s="38"/>
      <c r="AB2451" s="38"/>
      <c r="AC2451" s="38"/>
      <c r="AD2451" s="38"/>
      <c r="AE2451" s="38"/>
      <c r="AF2451" s="38"/>
      <c r="AG2451" s="38"/>
      <c r="AH2451" s="38"/>
      <c r="AI2451" s="38"/>
      <c r="AJ2451" s="38"/>
      <c r="AK2451" s="38"/>
    </row>
    <row r="2452">
      <c r="A2452" s="99">
        <v>2451.0</v>
      </c>
      <c r="B2452" s="15"/>
      <c r="C2452" s="15"/>
      <c r="D2452" s="105">
        <v>1.0</v>
      </c>
      <c r="E2452" s="102">
        <v>46.0</v>
      </c>
      <c r="F2452" s="107">
        <v>93.0</v>
      </c>
      <c r="G2452" s="15" t="str">
        <f t="shared" si="1"/>
        <v>46093</v>
      </c>
      <c r="H2452" s="23" t="s">
        <v>989</v>
      </c>
      <c r="I2452" s="23" t="s">
        <v>109</v>
      </c>
      <c r="J2452" s="23" t="s">
        <v>1840</v>
      </c>
      <c r="K2452" s="23" t="str">
        <f t="shared" si="42"/>
        <v>Meade, SD</v>
      </c>
      <c r="L2452" s="23"/>
      <c r="M2452" s="23"/>
      <c r="N2452" s="23"/>
      <c r="O2452" s="23"/>
      <c r="P2452" s="23"/>
      <c r="Q2452" s="23"/>
      <c r="R2452" s="23"/>
      <c r="S2452" s="23"/>
      <c r="T2452" s="32"/>
      <c r="U2452" s="23"/>
      <c r="V2452" s="23"/>
      <c r="W2452" s="23"/>
      <c r="X2452" s="23"/>
      <c r="Y2452" s="23"/>
      <c r="Z2452" s="32"/>
      <c r="AA2452" s="38"/>
      <c r="AB2452" s="38"/>
      <c r="AC2452" s="38"/>
      <c r="AD2452" s="38"/>
      <c r="AE2452" s="38"/>
      <c r="AF2452" s="38"/>
      <c r="AG2452" s="38"/>
      <c r="AH2452" s="38"/>
      <c r="AI2452" s="38"/>
      <c r="AJ2452" s="38"/>
      <c r="AK2452" s="38"/>
    </row>
    <row r="2453">
      <c r="A2453" s="99">
        <v>2452.0</v>
      </c>
      <c r="B2453" s="15"/>
      <c r="C2453" s="15"/>
      <c r="D2453" s="105">
        <v>1.0</v>
      </c>
      <c r="E2453" s="102">
        <v>46.0</v>
      </c>
      <c r="F2453" s="107">
        <v>95.0</v>
      </c>
      <c r="G2453" s="15" t="str">
        <f t="shared" si="1"/>
        <v>46095</v>
      </c>
      <c r="H2453" s="23" t="s">
        <v>1872</v>
      </c>
      <c r="I2453" s="23" t="s">
        <v>109</v>
      </c>
      <c r="J2453" s="23" t="s">
        <v>1840</v>
      </c>
      <c r="K2453" s="23" t="str">
        <f t="shared" si="42"/>
        <v>Mellette, SD</v>
      </c>
      <c r="L2453" s="23"/>
      <c r="M2453" s="23"/>
      <c r="N2453" s="23"/>
      <c r="O2453" s="23"/>
      <c r="P2453" s="23"/>
      <c r="Q2453" s="23"/>
      <c r="R2453" s="23"/>
      <c r="S2453" s="23"/>
      <c r="T2453" s="32"/>
      <c r="U2453" s="23"/>
      <c r="V2453" s="23"/>
      <c r="W2453" s="23"/>
      <c r="X2453" s="23"/>
      <c r="Y2453" s="23"/>
      <c r="Z2453" s="32"/>
      <c r="AA2453" s="38"/>
      <c r="AB2453" s="38"/>
      <c r="AC2453" s="38"/>
      <c r="AD2453" s="38"/>
      <c r="AE2453" s="38"/>
      <c r="AF2453" s="38"/>
      <c r="AG2453" s="38"/>
      <c r="AH2453" s="38"/>
      <c r="AI2453" s="38"/>
      <c r="AJ2453" s="38"/>
      <c r="AK2453" s="38"/>
    </row>
    <row r="2454">
      <c r="A2454" s="99">
        <v>2453.0</v>
      </c>
      <c r="B2454" s="15"/>
      <c r="C2454" s="15"/>
      <c r="D2454" s="105">
        <v>1.0</v>
      </c>
      <c r="E2454" s="102">
        <v>46.0</v>
      </c>
      <c r="F2454" s="107">
        <v>97.0</v>
      </c>
      <c r="G2454" s="15" t="str">
        <f t="shared" si="1"/>
        <v>46097</v>
      </c>
      <c r="H2454" s="23" t="s">
        <v>1874</v>
      </c>
      <c r="I2454" s="23" t="s">
        <v>109</v>
      </c>
      <c r="J2454" s="23" t="s">
        <v>1840</v>
      </c>
      <c r="K2454" s="23" t="str">
        <f t="shared" si="42"/>
        <v>Miner, SD</v>
      </c>
      <c r="L2454" s="23"/>
      <c r="M2454" s="23"/>
      <c r="N2454" s="23"/>
      <c r="O2454" s="23"/>
      <c r="P2454" s="23"/>
      <c r="Q2454" s="23"/>
      <c r="R2454" s="23"/>
      <c r="S2454" s="23"/>
      <c r="T2454" s="32"/>
      <c r="U2454" s="23"/>
      <c r="V2454" s="23"/>
      <c r="W2454" s="23"/>
      <c r="X2454" s="23"/>
      <c r="Y2454" s="23"/>
      <c r="Z2454" s="32"/>
      <c r="AA2454" s="38"/>
      <c r="AB2454" s="38"/>
      <c r="AC2454" s="38"/>
      <c r="AD2454" s="38"/>
      <c r="AE2454" s="38"/>
      <c r="AF2454" s="38"/>
      <c r="AG2454" s="38"/>
      <c r="AH2454" s="38"/>
      <c r="AI2454" s="38"/>
      <c r="AJ2454" s="38"/>
      <c r="AK2454" s="38"/>
    </row>
    <row r="2455">
      <c r="A2455" s="99">
        <v>2454.0</v>
      </c>
      <c r="B2455" s="15"/>
      <c r="C2455" s="15"/>
      <c r="D2455" s="105">
        <v>1.0</v>
      </c>
      <c r="E2455" s="102">
        <v>46.0</v>
      </c>
      <c r="F2455" s="107">
        <v>99.0</v>
      </c>
      <c r="G2455" s="15" t="str">
        <f t="shared" si="1"/>
        <v>46099</v>
      </c>
      <c r="H2455" s="23" t="s">
        <v>1875</v>
      </c>
      <c r="I2455" s="23" t="s">
        <v>109</v>
      </c>
      <c r="J2455" s="23" t="s">
        <v>1840</v>
      </c>
      <c r="K2455" s="23" t="str">
        <f t="shared" si="42"/>
        <v>Minnehaha, SD</v>
      </c>
      <c r="L2455" s="23"/>
      <c r="M2455" s="23"/>
      <c r="N2455" s="23"/>
      <c r="O2455" s="23"/>
      <c r="P2455" s="23"/>
      <c r="Q2455" s="23"/>
      <c r="R2455" s="23"/>
      <c r="S2455" s="23"/>
      <c r="T2455" s="32"/>
      <c r="U2455" s="23"/>
      <c r="V2455" s="23"/>
      <c r="W2455" s="23"/>
      <c r="X2455" s="23"/>
      <c r="Y2455" s="23"/>
      <c r="Z2455" s="32"/>
      <c r="AA2455" s="38"/>
      <c r="AB2455" s="38"/>
      <c r="AC2455" s="38"/>
      <c r="AD2455" s="38"/>
      <c r="AE2455" s="38"/>
      <c r="AF2455" s="38"/>
      <c r="AG2455" s="38"/>
      <c r="AH2455" s="38"/>
      <c r="AI2455" s="38"/>
      <c r="AJ2455" s="38"/>
      <c r="AK2455" s="38"/>
    </row>
    <row r="2456">
      <c r="A2456" s="99">
        <v>2455.0</v>
      </c>
      <c r="B2456" s="15"/>
      <c r="C2456" s="15"/>
      <c r="D2456" s="105">
        <v>1.0</v>
      </c>
      <c r="E2456" s="102">
        <v>46.0</v>
      </c>
      <c r="F2456" s="107">
        <v>101.0</v>
      </c>
      <c r="G2456" s="15" t="str">
        <f t="shared" si="1"/>
        <v>46101</v>
      </c>
      <c r="H2456" s="23" t="s">
        <v>1876</v>
      </c>
      <c r="I2456" s="23" t="s">
        <v>109</v>
      </c>
      <c r="J2456" s="23" t="s">
        <v>1840</v>
      </c>
      <c r="K2456" s="23" t="str">
        <f t="shared" si="42"/>
        <v>Moody, SD</v>
      </c>
      <c r="L2456" s="23"/>
      <c r="M2456" s="23"/>
      <c r="N2456" s="23"/>
      <c r="O2456" s="23"/>
      <c r="P2456" s="23"/>
      <c r="Q2456" s="23"/>
      <c r="R2456" s="23"/>
      <c r="S2456" s="23"/>
      <c r="T2456" s="32"/>
      <c r="U2456" s="23"/>
      <c r="V2456" s="23"/>
      <c r="W2456" s="23"/>
      <c r="X2456" s="23"/>
      <c r="Y2456" s="23"/>
      <c r="Z2456" s="32"/>
      <c r="AA2456" s="38"/>
      <c r="AB2456" s="38"/>
      <c r="AC2456" s="38"/>
      <c r="AD2456" s="38"/>
      <c r="AE2456" s="38"/>
      <c r="AF2456" s="38"/>
      <c r="AG2456" s="38"/>
      <c r="AH2456" s="38"/>
      <c r="AI2456" s="38"/>
      <c r="AJ2456" s="38"/>
      <c r="AK2456" s="38"/>
    </row>
    <row r="2457">
      <c r="A2457" s="99">
        <v>2456.0</v>
      </c>
      <c r="B2457" s="15"/>
      <c r="C2457" s="15"/>
      <c r="D2457" s="105">
        <v>1.0</v>
      </c>
      <c r="E2457" s="102">
        <v>46.0</v>
      </c>
      <c r="F2457" s="107">
        <v>102.0</v>
      </c>
      <c r="G2457" s="15" t="str">
        <f t="shared" si="1"/>
        <v>46102</v>
      </c>
      <c r="H2457" s="23" t="s">
        <v>1877</v>
      </c>
      <c r="I2457" s="23" t="s">
        <v>109</v>
      </c>
      <c r="J2457" s="23" t="s">
        <v>1840</v>
      </c>
      <c r="K2457" s="112" t="str">
        <f t="shared" si="42"/>
        <v>Oglala Lakota, SD</v>
      </c>
      <c r="L2457" s="23"/>
      <c r="M2457" s="23"/>
      <c r="N2457" s="23"/>
      <c r="O2457" s="23"/>
      <c r="P2457" s="23"/>
      <c r="Q2457" s="23"/>
      <c r="R2457" s="23"/>
      <c r="S2457" s="23"/>
      <c r="T2457" s="32"/>
      <c r="U2457" s="23"/>
      <c r="V2457" s="23"/>
      <c r="W2457" s="23"/>
      <c r="X2457" s="23"/>
      <c r="Y2457" s="23"/>
      <c r="Z2457" s="32"/>
      <c r="AA2457" s="38"/>
      <c r="AB2457" s="38"/>
      <c r="AC2457" s="38"/>
      <c r="AD2457" s="38"/>
      <c r="AE2457" s="38"/>
      <c r="AF2457" s="38"/>
      <c r="AG2457" s="38"/>
      <c r="AH2457" s="38"/>
      <c r="AI2457" s="38"/>
      <c r="AJ2457" s="38"/>
      <c r="AK2457" s="38"/>
    </row>
    <row r="2458">
      <c r="A2458" s="99">
        <v>2457.0</v>
      </c>
      <c r="B2458" s="15"/>
      <c r="C2458" s="15"/>
      <c r="D2458" s="105">
        <v>1.0</v>
      </c>
      <c r="E2458" s="102">
        <v>46.0</v>
      </c>
      <c r="F2458" s="107">
        <v>103.0</v>
      </c>
      <c r="G2458" s="15" t="str">
        <f t="shared" si="1"/>
        <v>46103</v>
      </c>
      <c r="H2458" s="23" t="s">
        <v>1334</v>
      </c>
      <c r="I2458" s="23" t="s">
        <v>109</v>
      </c>
      <c r="J2458" s="23" t="s">
        <v>1840</v>
      </c>
      <c r="K2458" s="23" t="str">
        <f t="shared" si="42"/>
        <v>Pennington, SD</v>
      </c>
      <c r="L2458" s="23"/>
      <c r="M2458" s="23"/>
      <c r="N2458" s="23"/>
      <c r="O2458" s="23"/>
      <c r="P2458" s="23"/>
      <c r="Q2458" s="23"/>
      <c r="R2458" s="23"/>
      <c r="S2458" s="23"/>
      <c r="T2458" s="32"/>
      <c r="U2458" s="23"/>
      <c r="V2458" s="23"/>
      <c r="W2458" s="23"/>
      <c r="X2458" s="23"/>
      <c r="Y2458" s="23"/>
      <c r="Z2458" s="32"/>
      <c r="AA2458" s="38"/>
      <c r="AB2458" s="38"/>
      <c r="AC2458" s="38"/>
      <c r="AD2458" s="38"/>
      <c r="AE2458" s="38"/>
      <c r="AF2458" s="38"/>
      <c r="AG2458" s="38"/>
      <c r="AH2458" s="38"/>
      <c r="AI2458" s="38"/>
      <c r="AJ2458" s="38"/>
      <c r="AK2458" s="38"/>
    </row>
    <row r="2459">
      <c r="A2459" s="99">
        <v>2458.0</v>
      </c>
      <c r="B2459" s="15"/>
      <c r="C2459" s="15"/>
      <c r="D2459" s="105">
        <v>1.0</v>
      </c>
      <c r="E2459" s="102">
        <v>46.0</v>
      </c>
      <c r="F2459" s="107">
        <v>105.0</v>
      </c>
      <c r="G2459" s="15" t="str">
        <f t="shared" si="1"/>
        <v>46105</v>
      </c>
      <c r="H2459" s="23" t="s">
        <v>1498</v>
      </c>
      <c r="I2459" s="23" t="s">
        <v>109</v>
      </c>
      <c r="J2459" s="23" t="s">
        <v>1840</v>
      </c>
      <c r="K2459" s="23" t="str">
        <f t="shared" si="42"/>
        <v>Perkins, SD</v>
      </c>
      <c r="L2459" s="23"/>
      <c r="M2459" s="23"/>
      <c r="N2459" s="23"/>
      <c r="O2459" s="23"/>
      <c r="P2459" s="23"/>
      <c r="Q2459" s="23"/>
      <c r="R2459" s="23"/>
      <c r="S2459" s="23"/>
      <c r="T2459" s="32"/>
      <c r="U2459" s="23"/>
      <c r="V2459" s="23"/>
      <c r="W2459" s="23"/>
      <c r="X2459" s="23"/>
      <c r="Y2459" s="23"/>
      <c r="Z2459" s="32"/>
      <c r="AA2459" s="38"/>
      <c r="AB2459" s="38"/>
      <c r="AC2459" s="38"/>
      <c r="AD2459" s="38"/>
      <c r="AE2459" s="38"/>
      <c r="AF2459" s="38"/>
      <c r="AG2459" s="38"/>
      <c r="AH2459" s="38"/>
      <c r="AI2459" s="38"/>
      <c r="AJ2459" s="38"/>
      <c r="AK2459" s="38"/>
    </row>
    <row r="2460">
      <c r="A2460" s="99">
        <v>2459.0</v>
      </c>
      <c r="B2460" s="15"/>
      <c r="C2460" s="15"/>
      <c r="D2460" s="105">
        <v>1.0</v>
      </c>
      <c r="E2460" s="102">
        <v>46.0</v>
      </c>
      <c r="F2460" s="107">
        <v>107.0</v>
      </c>
      <c r="G2460" s="15" t="str">
        <f t="shared" si="1"/>
        <v>46107</v>
      </c>
      <c r="H2460" s="23" t="s">
        <v>1805</v>
      </c>
      <c r="I2460" s="23" t="s">
        <v>109</v>
      </c>
      <c r="J2460" s="23" t="s">
        <v>1840</v>
      </c>
      <c r="K2460" s="23" t="str">
        <f t="shared" si="42"/>
        <v>Potter, SD</v>
      </c>
      <c r="L2460" s="23"/>
      <c r="M2460" s="23"/>
      <c r="N2460" s="23"/>
      <c r="O2460" s="23"/>
      <c r="P2460" s="23"/>
      <c r="Q2460" s="23"/>
      <c r="R2460" s="23"/>
      <c r="S2460" s="23"/>
      <c r="T2460" s="32"/>
      <c r="U2460" s="23"/>
      <c r="V2460" s="23"/>
      <c r="W2460" s="23"/>
      <c r="X2460" s="23"/>
      <c r="Y2460" s="23"/>
      <c r="Z2460" s="32"/>
      <c r="AA2460" s="38"/>
      <c r="AB2460" s="38"/>
      <c r="AC2460" s="38"/>
      <c r="AD2460" s="38"/>
      <c r="AE2460" s="38"/>
      <c r="AF2460" s="38"/>
      <c r="AG2460" s="38"/>
      <c r="AH2460" s="38"/>
      <c r="AI2460" s="38"/>
      <c r="AJ2460" s="38"/>
      <c r="AK2460" s="38"/>
    </row>
    <row r="2461">
      <c r="A2461" s="99">
        <v>2460.0</v>
      </c>
      <c r="B2461" s="15"/>
      <c r="C2461" s="15"/>
      <c r="D2461" s="105">
        <v>1.0</v>
      </c>
      <c r="E2461" s="102">
        <v>46.0</v>
      </c>
      <c r="F2461" s="107">
        <v>109.0</v>
      </c>
      <c r="G2461" s="15" t="str">
        <f t="shared" si="1"/>
        <v>46109</v>
      </c>
      <c r="H2461" s="23" t="s">
        <v>1879</v>
      </c>
      <c r="I2461" s="23" t="s">
        <v>109</v>
      </c>
      <c r="J2461" s="23" t="s">
        <v>1840</v>
      </c>
      <c r="K2461" s="23" t="str">
        <f t="shared" si="42"/>
        <v>Roberts, SD</v>
      </c>
      <c r="L2461" s="23"/>
      <c r="M2461" s="23"/>
      <c r="N2461" s="23"/>
      <c r="O2461" s="23"/>
      <c r="P2461" s="23"/>
      <c r="Q2461" s="23"/>
      <c r="R2461" s="23"/>
      <c r="S2461" s="23"/>
      <c r="T2461" s="32"/>
      <c r="U2461" s="23"/>
      <c r="V2461" s="23"/>
      <c r="W2461" s="23"/>
      <c r="X2461" s="23"/>
      <c r="Y2461" s="23"/>
      <c r="Z2461" s="32"/>
      <c r="AA2461" s="38"/>
      <c r="AB2461" s="38"/>
      <c r="AC2461" s="38"/>
      <c r="AD2461" s="38"/>
      <c r="AE2461" s="38"/>
      <c r="AF2461" s="38"/>
      <c r="AG2461" s="38"/>
      <c r="AH2461" s="38"/>
      <c r="AI2461" s="38"/>
      <c r="AJ2461" s="38"/>
      <c r="AK2461" s="38"/>
    </row>
    <row r="2462">
      <c r="A2462" s="99">
        <v>2461.0</v>
      </c>
      <c r="B2462" s="15"/>
      <c r="C2462" s="15"/>
      <c r="D2462" s="105">
        <v>1.0</v>
      </c>
      <c r="E2462" s="102">
        <v>46.0</v>
      </c>
      <c r="F2462" s="107">
        <v>111.0</v>
      </c>
      <c r="G2462" s="15" t="str">
        <f t="shared" si="1"/>
        <v>46111</v>
      </c>
      <c r="H2462" s="23" t="s">
        <v>1880</v>
      </c>
      <c r="I2462" s="23" t="s">
        <v>109</v>
      </c>
      <c r="J2462" s="23" t="s">
        <v>1840</v>
      </c>
      <c r="K2462" s="23" t="str">
        <f t="shared" si="42"/>
        <v>Sanborn, SD</v>
      </c>
      <c r="L2462" s="23"/>
      <c r="M2462" s="23"/>
      <c r="N2462" s="23"/>
      <c r="O2462" s="23"/>
      <c r="P2462" s="23"/>
      <c r="Q2462" s="23"/>
      <c r="R2462" s="23"/>
      <c r="S2462" s="23"/>
      <c r="T2462" s="32"/>
      <c r="U2462" s="23"/>
      <c r="V2462" s="23"/>
      <c r="W2462" s="23"/>
      <c r="X2462" s="23"/>
      <c r="Y2462" s="23"/>
      <c r="Z2462" s="32"/>
      <c r="AA2462" s="38"/>
      <c r="AB2462" s="38"/>
      <c r="AC2462" s="38"/>
      <c r="AD2462" s="38"/>
      <c r="AE2462" s="38"/>
      <c r="AF2462" s="38"/>
      <c r="AG2462" s="38"/>
      <c r="AH2462" s="38"/>
      <c r="AI2462" s="38"/>
      <c r="AJ2462" s="38"/>
      <c r="AK2462" s="38"/>
    </row>
    <row r="2463">
      <c r="A2463" s="99">
        <v>2462.0</v>
      </c>
      <c r="B2463" s="15"/>
      <c r="C2463" s="15"/>
      <c r="D2463" s="105">
        <v>1.0</v>
      </c>
      <c r="E2463" s="102">
        <v>46.0</v>
      </c>
      <c r="F2463" s="107">
        <v>115.0</v>
      </c>
      <c r="G2463" s="15" t="str">
        <f t="shared" si="1"/>
        <v>46115</v>
      </c>
      <c r="H2463" s="23" t="s">
        <v>1881</v>
      </c>
      <c r="I2463" s="23" t="s">
        <v>109</v>
      </c>
      <c r="J2463" s="23" t="s">
        <v>1840</v>
      </c>
      <c r="K2463" s="23" t="str">
        <f t="shared" si="42"/>
        <v>Spink, SD</v>
      </c>
      <c r="L2463" s="23"/>
      <c r="M2463" s="23"/>
      <c r="N2463" s="23"/>
      <c r="O2463" s="23"/>
      <c r="P2463" s="23"/>
      <c r="Q2463" s="23"/>
      <c r="R2463" s="23"/>
      <c r="S2463" s="23"/>
      <c r="T2463" s="32"/>
      <c r="U2463" s="23"/>
      <c r="V2463" s="23"/>
      <c r="W2463" s="23"/>
      <c r="X2463" s="23"/>
      <c r="Y2463" s="23"/>
      <c r="Z2463" s="32"/>
      <c r="AA2463" s="38"/>
      <c r="AB2463" s="38"/>
      <c r="AC2463" s="38"/>
      <c r="AD2463" s="38"/>
      <c r="AE2463" s="38"/>
      <c r="AF2463" s="38"/>
      <c r="AG2463" s="38"/>
      <c r="AH2463" s="38"/>
      <c r="AI2463" s="38"/>
      <c r="AJ2463" s="38"/>
      <c r="AK2463" s="38"/>
    </row>
    <row r="2464">
      <c r="A2464" s="99">
        <v>2463.0</v>
      </c>
      <c r="B2464" s="15"/>
      <c r="C2464" s="15"/>
      <c r="D2464" s="105">
        <v>1.0</v>
      </c>
      <c r="E2464" s="102">
        <v>46.0</v>
      </c>
      <c r="F2464" s="107">
        <v>117.0</v>
      </c>
      <c r="G2464" s="15" t="str">
        <f t="shared" si="1"/>
        <v>46117</v>
      </c>
      <c r="H2464" s="23" t="s">
        <v>1882</v>
      </c>
      <c r="I2464" s="23" t="s">
        <v>109</v>
      </c>
      <c r="J2464" s="23" t="s">
        <v>1840</v>
      </c>
      <c r="K2464" s="23" t="str">
        <f t="shared" si="42"/>
        <v>Stanley, SD</v>
      </c>
      <c r="L2464" s="23"/>
      <c r="M2464" s="23"/>
      <c r="N2464" s="23"/>
      <c r="O2464" s="23"/>
      <c r="P2464" s="23"/>
      <c r="Q2464" s="23"/>
      <c r="R2464" s="23"/>
      <c r="S2464" s="23"/>
      <c r="T2464" s="32"/>
      <c r="U2464" s="23"/>
      <c r="V2464" s="23"/>
      <c r="W2464" s="23"/>
      <c r="X2464" s="23"/>
      <c r="Y2464" s="23"/>
      <c r="Z2464" s="32"/>
      <c r="AA2464" s="38"/>
      <c r="AB2464" s="38"/>
      <c r="AC2464" s="38"/>
      <c r="AD2464" s="38"/>
      <c r="AE2464" s="38"/>
      <c r="AF2464" s="38"/>
      <c r="AG2464" s="38"/>
      <c r="AH2464" s="38"/>
      <c r="AI2464" s="38"/>
      <c r="AJ2464" s="38"/>
      <c r="AK2464" s="38"/>
    </row>
    <row r="2465">
      <c r="A2465" s="99">
        <v>2464.0</v>
      </c>
      <c r="B2465" s="15"/>
      <c r="C2465" s="15"/>
      <c r="D2465" s="105">
        <v>1.0</v>
      </c>
      <c r="E2465" s="102">
        <v>46.0</v>
      </c>
      <c r="F2465" s="107">
        <v>119.0</v>
      </c>
      <c r="G2465" s="15" t="str">
        <f t="shared" si="1"/>
        <v>46119</v>
      </c>
      <c r="H2465" s="23" t="s">
        <v>1884</v>
      </c>
      <c r="I2465" s="23" t="s">
        <v>109</v>
      </c>
      <c r="J2465" s="23" t="s">
        <v>1840</v>
      </c>
      <c r="K2465" s="23" t="str">
        <f t="shared" si="42"/>
        <v>Sully, SD</v>
      </c>
      <c r="L2465" s="23"/>
      <c r="M2465" s="23"/>
      <c r="N2465" s="23"/>
      <c r="O2465" s="23"/>
      <c r="P2465" s="23"/>
      <c r="Q2465" s="23"/>
      <c r="R2465" s="23"/>
      <c r="S2465" s="23"/>
      <c r="T2465" s="32"/>
      <c r="U2465" s="23"/>
      <c r="V2465" s="23"/>
      <c r="W2465" s="23"/>
      <c r="X2465" s="23"/>
      <c r="Y2465" s="23"/>
      <c r="Z2465" s="32"/>
      <c r="AA2465" s="38"/>
      <c r="AB2465" s="38"/>
      <c r="AC2465" s="38"/>
      <c r="AD2465" s="38"/>
      <c r="AE2465" s="38"/>
      <c r="AF2465" s="38"/>
      <c r="AG2465" s="38"/>
      <c r="AH2465" s="38"/>
      <c r="AI2465" s="38"/>
      <c r="AJ2465" s="38"/>
      <c r="AK2465" s="38"/>
    </row>
    <row r="2466">
      <c r="A2466" s="99">
        <v>2465.0</v>
      </c>
      <c r="B2466" s="15"/>
      <c r="C2466" s="15"/>
      <c r="D2466" s="105">
        <v>1.0</v>
      </c>
      <c r="E2466" s="102">
        <v>46.0</v>
      </c>
      <c r="F2466" s="107">
        <v>121.0</v>
      </c>
      <c r="G2466" s="15" t="str">
        <f t="shared" si="1"/>
        <v>46121</v>
      </c>
      <c r="H2466" s="23" t="s">
        <v>1135</v>
      </c>
      <c r="I2466" s="23" t="s">
        <v>109</v>
      </c>
      <c r="J2466" s="23" t="s">
        <v>1840</v>
      </c>
      <c r="K2466" s="23" t="str">
        <f t="shared" si="42"/>
        <v>Todd, SD</v>
      </c>
      <c r="L2466" s="23"/>
      <c r="M2466" s="23"/>
      <c r="N2466" s="23"/>
      <c r="O2466" s="23"/>
      <c r="P2466" s="23"/>
      <c r="Q2466" s="23"/>
      <c r="R2466" s="23"/>
      <c r="S2466" s="23"/>
      <c r="T2466" s="32"/>
      <c r="U2466" s="23"/>
      <c r="V2466" s="23"/>
      <c r="W2466" s="23"/>
      <c r="X2466" s="23"/>
      <c r="Y2466" s="23"/>
      <c r="Z2466" s="32"/>
      <c r="AA2466" s="38"/>
      <c r="AB2466" s="38"/>
      <c r="AC2466" s="38"/>
      <c r="AD2466" s="38"/>
      <c r="AE2466" s="38"/>
      <c r="AF2466" s="38"/>
      <c r="AG2466" s="38"/>
      <c r="AH2466" s="38"/>
      <c r="AI2466" s="38"/>
      <c r="AJ2466" s="38"/>
      <c r="AK2466" s="38"/>
    </row>
    <row r="2467">
      <c r="A2467" s="99">
        <v>2466.0</v>
      </c>
      <c r="B2467" s="15"/>
      <c r="C2467" s="15"/>
      <c r="D2467" s="105">
        <v>1.0</v>
      </c>
      <c r="E2467" s="102">
        <v>46.0</v>
      </c>
      <c r="F2467" s="107">
        <v>123.0</v>
      </c>
      <c r="G2467" s="15" t="str">
        <f t="shared" si="1"/>
        <v>46123</v>
      </c>
      <c r="H2467" s="23" t="s">
        <v>1885</v>
      </c>
      <c r="I2467" s="23" t="s">
        <v>109</v>
      </c>
      <c r="J2467" s="23" t="s">
        <v>1840</v>
      </c>
      <c r="K2467" s="23" t="str">
        <f t="shared" si="42"/>
        <v>Tripp, SD</v>
      </c>
      <c r="L2467" s="23"/>
      <c r="M2467" s="23"/>
      <c r="N2467" s="23"/>
      <c r="O2467" s="23"/>
      <c r="P2467" s="23"/>
      <c r="Q2467" s="23"/>
      <c r="R2467" s="23"/>
      <c r="S2467" s="23"/>
      <c r="T2467" s="32"/>
      <c r="U2467" s="23"/>
      <c r="V2467" s="23"/>
      <c r="W2467" s="23"/>
      <c r="X2467" s="23"/>
      <c r="Y2467" s="23"/>
      <c r="Z2467" s="32"/>
      <c r="AA2467" s="38"/>
      <c r="AB2467" s="38"/>
      <c r="AC2467" s="38"/>
      <c r="AD2467" s="38"/>
      <c r="AE2467" s="38"/>
      <c r="AF2467" s="38"/>
      <c r="AG2467" s="38"/>
      <c r="AH2467" s="38"/>
      <c r="AI2467" s="38"/>
      <c r="AJ2467" s="38"/>
      <c r="AK2467" s="38"/>
    </row>
    <row r="2468">
      <c r="A2468" s="99">
        <v>2467.0</v>
      </c>
      <c r="B2468" s="15"/>
      <c r="C2468" s="15"/>
      <c r="D2468" s="105">
        <v>1.0</v>
      </c>
      <c r="E2468" s="102">
        <v>46.0</v>
      </c>
      <c r="F2468" s="107">
        <v>125.0</v>
      </c>
      <c r="G2468" s="15" t="str">
        <f t="shared" si="1"/>
        <v>46125</v>
      </c>
      <c r="H2468" s="23" t="s">
        <v>642</v>
      </c>
      <c r="I2468" s="23" t="s">
        <v>109</v>
      </c>
      <c r="J2468" s="23" t="s">
        <v>1840</v>
      </c>
      <c r="K2468" s="23" t="str">
        <f t="shared" si="42"/>
        <v>Turner, SD</v>
      </c>
      <c r="L2468" s="23"/>
      <c r="M2468" s="23"/>
      <c r="N2468" s="23"/>
      <c r="O2468" s="23"/>
      <c r="P2468" s="23"/>
      <c r="Q2468" s="23"/>
      <c r="R2468" s="23"/>
      <c r="S2468" s="23"/>
      <c r="T2468" s="32"/>
      <c r="U2468" s="23"/>
      <c r="V2468" s="23"/>
      <c r="W2468" s="23"/>
      <c r="X2468" s="23"/>
      <c r="Y2468" s="23"/>
      <c r="Z2468" s="32"/>
      <c r="AA2468" s="38"/>
      <c r="AB2468" s="38"/>
      <c r="AC2468" s="38"/>
      <c r="AD2468" s="38"/>
      <c r="AE2468" s="38"/>
      <c r="AF2468" s="38"/>
      <c r="AG2468" s="38"/>
      <c r="AH2468" s="38"/>
      <c r="AI2468" s="38"/>
      <c r="AJ2468" s="38"/>
      <c r="AK2468" s="38"/>
    </row>
    <row r="2469">
      <c r="A2469" s="99">
        <v>2468.0</v>
      </c>
      <c r="B2469" s="15"/>
      <c r="C2469" s="15"/>
      <c r="D2469" s="105">
        <v>1.0</v>
      </c>
      <c r="E2469" s="102">
        <v>46.0</v>
      </c>
      <c r="F2469" s="107">
        <v>127.0</v>
      </c>
      <c r="G2469" s="15" t="str">
        <f t="shared" si="1"/>
        <v>46127</v>
      </c>
      <c r="H2469" s="23" t="s">
        <v>316</v>
      </c>
      <c r="I2469" s="23" t="s">
        <v>109</v>
      </c>
      <c r="J2469" s="23" t="s">
        <v>1840</v>
      </c>
      <c r="K2469" s="23" t="str">
        <f t="shared" si="42"/>
        <v>Union, SD</v>
      </c>
      <c r="L2469" s="23"/>
      <c r="M2469" s="23"/>
      <c r="N2469" s="23"/>
      <c r="O2469" s="23"/>
      <c r="P2469" s="23"/>
      <c r="Q2469" s="23"/>
      <c r="R2469" s="23"/>
      <c r="S2469" s="23"/>
      <c r="T2469" s="32"/>
      <c r="U2469" s="23"/>
      <c r="V2469" s="23"/>
      <c r="W2469" s="23"/>
      <c r="X2469" s="23"/>
      <c r="Y2469" s="23"/>
      <c r="Z2469" s="32"/>
      <c r="AA2469" s="38"/>
      <c r="AB2469" s="38"/>
      <c r="AC2469" s="38"/>
      <c r="AD2469" s="38"/>
      <c r="AE2469" s="38"/>
      <c r="AF2469" s="38"/>
      <c r="AG2469" s="38"/>
      <c r="AH2469" s="38"/>
      <c r="AI2469" s="38"/>
      <c r="AJ2469" s="38"/>
      <c r="AK2469" s="38"/>
    </row>
    <row r="2470">
      <c r="A2470" s="99">
        <v>2469.0</v>
      </c>
      <c r="B2470" s="15"/>
      <c r="C2470" s="15"/>
      <c r="D2470" s="105">
        <v>1.0</v>
      </c>
      <c r="E2470" s="102">
        <v>46.0</v>
      </c>
      <c r="F2470" s="107">
        <v>129.0</v>
      </c>
      <c r="G2470" s="15" t="str">
        <f t="shared" si="1"/>
        <v>46129</v>
      </c>
      <c r="H2470" s="23" t="s">
        <v>1887</v>
      </c>
      <c r="I2470" s="23" t="s">
        <v>109</v>
      </c>
      <c r="J2470" s="23" t="s">
        <v>1840</v>
      </c>
      <c r="K2470" s="23" t="str">
        <f t="shared" si="42"/>
        <v>Walworth, SD</v>
      </c>
      <c r="L2470" s="23"/>
      <c r="M2470" s="23"/>
      <c r="N2470" s="23"/>
      <c r="O2470" s="23"/>
      <c r="P2470" s="23"/>
      <c r="Q2470" s="23"/>
      <c r="R2470" s="23"/>
      <c r="S2470" s="23"/>
      <c r="T2470" s="32"/>
      <c r="U2470" s="23"/>
      <c r="V2470" s="23"/>
      <c r="W2470" s="23"/>
      <c r="X2470" s="23"/>
      <c r="Y2470" s="23"/>
      <c r="Z2470" s="32"/>
      <c r="AA2470" s="38"/>
      <c r="AB2470" s="38"/>
      <c r="AC2470" s="38"/>
      <c r="AD2470" s="38"/>
      <c r="AE2470" s="38"/>
      <c r="AF2470" s="38"/>
      <c r="AG2470" s="38"/>
      <c r="AH2470" s="38"/>
      <c r="AI2470" s="38"/>
      <c r="AJ2470" s="38"/>
      <c r="AK2470" s="38"/>
    </row>
    <row r="2471">
      <c r="A2471" s="99">
        <v>2470.0</v>
      </c>
      <c r="B2471" s="15"/>
      <c r="C2471" s="15"/>
      <c r="D2471" s="105">
        <v>1.0</v>
      </c>
      <c r="E2471" s="102">
        <v>46.0</v>
      </c>
      <c r="F2471" s="107">
        <v>135.0</v>
      </c>
      <c r="G2471" s="15" t="str">
        <f t="shared" si="1"/>
        <v>46135</v>
      </c>
      <c r="H2471" s="23" t="s">
        <v>1889</v>
      </c>
      <c r="I2471" s="23" t="s">
        <v>109</v>
      </c>
      <c r="J2471" s="23" t="s">
        <v>1840</v>
      </c>
      <c r="K2471" s="23" t="str">
        <f t="shared" si="42"/>
        <v>Yankton, SD</v>
      </c>
      <c r="L2471" s="23"/>
      <c r="M2471" s="23"/>
      <c r="N2471" s="23"/>
      <c r="O2471" s="23"/>
      <c r="P2471" s="23"/>
      <c r="Q2471" s="23"/>
      <c r="R2471" s="23"/>
      <c r="S2471" s="23"/>
      <c r="T2471" s="32"/>
      <c r="U2471" s="23"/>
      <c r="V2471" s="23"/>
      <c r="W2471" s="23"/>
      <c r="X2471" s="23"/>
      <c r="Y2471" s="23"/>
      <c r="Z2471" s="32"/>
      <c r="AA2471" s="38"/>
      <c r="AB2471" s="38"/>
      <c r="AC2471" s="38"/>
      <c r="AD2471" s="38"/>
      <c r="AE2471" s="38"/>
      <c r="AF2471" s="38"/>
      <c r="AG2471" s="38"/>
      <c r="AH2471" s="38"/>
      <c r="AI2471" s="38"/>
      <c r="AJ2471" s="38"/>
      <c r="AK2471" s="38"/>
    </row>
    <row r="2472">
      <c r="A2472" s="99">
        <v>2471.0</v>
      </c>
      <c r="B2472" s="15"/>
      <c r="C2472" s="15"/>
      <c r="D2472" s="105">
        <v>1.0</v>
      </c>
      <c r="E2472" s="102">
        <v>46.0</v>
      </c>
      <c r="F2472" s="107">
        <v>137.0</v>
      </c>
      <c r="G2472" s="15" t="str">
        <f t="shared" si="1"/>
        <v>46137</v>
      </c>
      <c r="H2472" s="23" t="s">
        <v>1890</v>
      </c>
      <c r="I2472" s="23" t="s">
        <v>109</v>
      </c>
      <c r="J2472" s="23" t="s">
        <v>1840</v>
      </c>
      <c r="K2472" s="23" t="str">
        <f t="shared" si="42"/>
        <v>Ziebach, SD</v>
      </c>
      <c r="L2472" s="23"/>
      <c r="M2472" s="23"/>
      <c r="N2472" s="23"/>
      <c r="O2472" s="23"/>
      <c r="P2472" s="23"/>
      <c r="Q2472" s="23"/>
      <c r="R2472" s="23"/>
      <c r="S2472" s="23"/>
      <c r="T2472" s="32"/>
      <c r="U2472" s="23"/>
      <c r="V2472" s="23"/>
      <c r="W2472" s="23"/>
      <c r="X2472" s="23"/>
      <c r="Y2472" s="23"/>
      <c r="Z2472" s="32"/>
      <c r="AA2472" s="38"/>
      <c r="AB2472" s="38"/>
      <c r="AC2472" s="38"/>
      <c r="AD2472" s="38"/>
      <c r="AE2472" s="38"/>
      <c r="AF2472" s="38"/>
      <c r="AG2472" s="38"/>
      <c r="AH2472" s="38"/>
      <c r="AI2472" s="38"/>
      <c r="AJ2472" s="38"/>
      <c r="AK2472" s="38"/>
    </row>
    <row r="2473">
      <c r="A2473" s="28">
        <v>2472.0</v>
      </c>
      <c r="B2473" s="29"/>
      <c r="C2473" s="29" t="s">
        <v>25</v>
      </c>
      <c r="D2473" s="30"/>
      <c r="E2473" s="31">
        <v>47.0</v>
      </c>
      <c r="F2473" s="42">
        <v>0.0</v>
      </c>
      <c r="G2473" s="29" t="str">
        <f t="shared" si="1"/>
        <v>47000</v>
      </c>
      <c r="H2473" s="37"/>
      <c r="I2473" s="37" t="s">
        <v>111</v>
      </c>
      <c r="J2473" s="37" t="s">
        <v>452</v>
      </c>
      <c r="K2473" s="37"/>
      <c r="L2473" s="53">
        <f t="array" ref="L2473:Z2473">Tennessee!C99:Q99</f>
        <v>9053</v>
      </c>
      <c r="M2473" s="37" t="s">
        <v>63</v>
      </c>
      <c r="N2473" s="37" t="s">
        <v>63</v>
      </c>
      <c r="O2473" s="37" t="s">
        <v>63</v>
      </c>
      <c r="P2473" s="37" t="s">
        <v>63</v>
      </c>
      <c r="Q2473" s="53">
        <v>4509.0</v>
      </c>
      <c r="R2473" s="53">
        <v>1155.0</v>
      </c>
      <c r="S2473" s="37" t="s">
        <v>63</v>
      </c>
      <c r="T2473" s="69" t="s">
        <v>63</v>
      </c>
      <c r="U2473" s="37" t="s">
        <v>63</v>
      </c>
      <c r="V2473" s="37" t="s">
        <v>63</v>
      </c>
      <c r="W2473" s="37" t="s">
        <v>63</v>
      </c>
      <c r="X2473" s="37" t="s">
        <v>63</v>
      </c>
      <c r="Y2473" s="53">
        <v>7293.0</v>
      </c>
      <c r="Z2473" s="69" t="s">
        <v>63</v>
      </c>
      <c r="AA2473" s="73"/>
      <c r="AB2473" s="73"/>
      <c r="AC2473" s="73"/>
      <c r="AD2473" s="73"/>
      <c r="AE2473" s="73"/>
      <c r="AF2473" s="73"/>
      <c r="AG2473" s="73"/>
      <c r="AH2473" s="73"/>
      <c r="AI2473" s="73"/>
      <c r="AJ2473" s="73"/>
      <c r="AK2473" s="73"/>
    </row>
    <row r="2474">
      <c r="A2474" s="28">
        <v>2473.0</v>
      </c>
      <c r="B2474" s="29"/>
      <c r="C2474" s="29"/>
      <c r="D2474" s="40">
        <v>1.0</v>
      </c>
      <c r="E2474" s="31">
        <v>47.0</v>
      </c>
      <c r="F2474" s="42">
        <v>1.0</v>
      </c>
      <c r="G2474" s="29" t="str">
        <f t="shared" si="1"/>
        <v>47001</v>
      </c>
      <c r="H2474" s="37" t="s">
        <v>954</v>
      </c>
      <c r="I2474" s="37" t="s">
        <v>111</v>
      </c>
      <c r="J2474" s="37" t="s">
        <v>452</v>
      </c>
      <c r="K2474" s="37" t="str">
        <f t="shared" ref="K2474:K2568" si="43">CONCATENATE(H2474,", ",J2474)</f>
        <v>Anderson, TN</v>
      </c>
      <c r="L2474" s="37" t="str">
        <f t="array" ref="L2474:Z2568">Tennessee!C3:Q97</f>
        <v>NULL</v>
      </c>
      <c r="M2474" s="37" t="s">
        <v>63</v>
      </c>
      <c r="N2474" s="37">
        <v>130.0</v>
      </c>
      <c r="O2474" s="37" t="s">
        <v>63</v>
      </c>
      <c r="P2474" s="37" t="s">
        <v>63</v>
      </c>
      <c r="Q2474" s="37">
        <v>130.0</v>
      </c>
      <c r="R2474" s="37">
        <v>18.0</v>
      </c>
      <c r="S2474" s="37" t="s">
        <v>63</v>
      </c>
      <c r="T2474" s="69" t="s">
        <v>63</v>
      </c>
      <c r="U2474" s="37" t="s">
        <v>63</v>
      </c>
      <c r="V2474" s="37" t="s">
        <v>63</v>
      </c>
      <c r="W2474" s="37" t="s">
        <v>63</v>
      </c>
      <c r="X2474" s="37" t="s">
        <v>63</v>
      </c>
      <c r="Y2474" s="53">
        <v>93.0</v>
      </c>
      <c r="Z2474" s="69" t="s">
        <v>63</v>
      </c>
      <c r="AA2474" s="73"/>
      <c r="AB2474" s="73"/>
      <c r="AC2474" s="73"/>
      <c r="AD2474" s="73"/>
      <c r="AE2474" s="73"/>
      <c r="AF2474" s="73"/>
      <c r="AG2474" s="73"/>
      <c r="AH2474" s="73"/>
      <c r="AI2474" s="73"/>
      <c r="AJ2474" s="73"/>
      <c r="AK2474" s="73"/>
    </row>
    <row r="2475">
      <c r="A2475" s="28">
        <v>2474.0</v>
      </c>
      <c r="B2475" s="29"/>
      <c r="C2475" s="29"/>
      <c r="D2475" s="40">
        <v>1.0</v>
      </c>
      <c r="E2475" s="31">
        <v>47.0</v>
      </c>
      <c r="F2475" s="42">
        <v>3.0</v>
      </c>
      <c r="G2475" s="29" t="str">
        <f t="shared" si="1"/>
        <v>47003</v>
      </c>
      <c r="H2475" s="37" t="s">
        <v>1784</v>
      </c>
      <c r="I2475" s="37" t="s">
        <v>111</v>
      </c>
      <c r="J2475" s="37" t="s">
        <v>452</v>
      </c>
      <c r="K2475" s="37" t="str">
        <f t="shared" si="43"/>
        <v>Bedford, TN</v>
      </c>
      <c r="L2475" s="37" t="s">
        <v>63</v>
      </c>
      <c r="M2475" s="37" t="s">
        <v>63</v>
      </c>
      <c r="N2475" s="37">
        <v>44.0</v>
      </c>
      <c r="O2475" s="37" t="s">
        <v>63</v>
      </c>
      <c r="P2475" s="37" t="s">
        <v>63</v>
      </c>
      <c r="Q2475" s="37">
        <v>44.0</v>
      </c>
      <c r="R2475" s="37">
        <v>3.0</v>
      </c>
      <c r="S2475" s="37" t="s">
        <v>63</v>
      </c>
      <c r="T2475" s="69" t="s">
        <v>63</v>
      </c>
      <c r="U2475" s="37" t="s">
        <v>63</v>
      </c>
      <c r="V2475" s="37" t="s">
        <v>63</v>
      </c>
      <c r="W2475" s="37" t="s">
        <v>63</v>
      </c>
      <c r="X2475" s="37" t="s">
        <v>63</v>
      </c>
      <c r="Y2475" s="53">
        <v>59.0</v>
      </c>
      <c r="Z2475" s="69" t="s">
        <v>63</v>
      </c>
      <c r="AA2475" s="73"/>
      <c r="AB2475" s="73"/>
      <c r="AC2475" s="73"/>
      <c r="AD2475" s="73"/>
      <c r="AE2475" s="73"/>
      <c r="AF2475" s="73"/>
      <c r="AG2475" s="73"/>
      <c r="AH2475" s="73"/>
      <c r="AI2475" s="73"/>
      <c r="AJ2475" s="73"/>
      <c r="AK2475" s="73"/>
    </row>
    <row r="2476">
      <c r="A2476" s="28">
        <v>2475.0</v>
      </c>
      <c r="B2476" s="29"/>
      <c r="C2476" s="29"/>
      <c r="D2476" s="40">
        <v>1.0</v>
      </c>
      <c r="E2476" s="31">
        <v>47.0</v>
      </c>
      <c r="F2476" s="42">
        <v>5.0</v>
      </c>
      <c r="G2476" s="29" t="str">
        <f t="shared" si="1"/>
        <v>47005</v>
      </c>
      <c r="H2476" s="37" t="s">
        <v>243</v>
      </c>
      <c r="I2476" s="37" t="s">
        <v>111</v>
      </c>
      <c r="J2476" s="37" t="s">
        <v>452</v>
      </c>
      <c r="K2476" s="37" t="str">
        <f t="shared" si="43"/>
        <v>Benton, TN</v>
      </c>
      <c r="L2476" s="37" t="s">
        <v>63</v>
      </c>
      <c r="M2476" s="37" t="s">
        <v>63</v>
      </c>
      <c r="N2476" s="37">
        <v>14.0</v>
      </c>
      <c r="O2476" s="37" t="s">
        <v>63</v>
      </c>
      <c r="P2476" s="37" t="s">
        <v>63</v>
      </c>
      <c r="Q2476" s="37">
        <v>14.0</v>
      </c>
      <c r="R2476" s="37">
        <v>1.0</v>
      </c>
      <c r="S2476" s="37" t="s">
        <v>63</v>
      </c>
      <c r="T2476" s="69" t="s">
        <v>63</v>
      </c>
      <c r="U2476" s="37" t="s">
        <v>63</v>
      </c>
      <c r="V2476" s="37" t="s">
        <v>63</v>
      </c>
      <c r="W2476" s="37" t="s">
        <v>63</v>
      </c>
      <c r="X2476" s="37" t="s">
        <v>63</v>
      </c>
      <c r="Y2476" s="53">
        <v>23.0</v>
      </c>
      <c r="Z2476" s="69" t="s">
        <v>63</v>
      </c>
      <c r="AA2476" s="73"/>
      <c r="AB2476" s="73"/>
      <c r="AC2476" s="73"/>
      <c r="AD2476" s="73"/>
      <c r="AE2476" s="73"/>
      <c r="AF2476" s="73"/>
      <c r="AG2476" s="73"/>
      <c r="AH2476" s="73"/>
      <c r="AI2476" s="73"/>
      <c r="AJ2476" s="73"/>
      <c r="AK2476" s="73"/>
    </row>
    <row r="2477">
      <c r="A2477" s="28">
        <v>2476.0</v>
      </c>
      <c r="B2477" s="29"/>
      <c r="C2477" s="29"/>
      <c r="D2477" s="40">
        <v>1.0</v>
      </c>
      <c r="E2477" s="31">
        <v>47.0</v>
      </c>
      <c r="F2477" s="42">
        <v>7.0</v>
      </c>
      <c r="G2477" s="29" t="str">
        <f t="shared" si="1"/>
        <v>47007</v>
      </c>
      <c r="H2477" s="37" t="s">
        <v>1893</v>
      </c>
      <c r="I2477" s="37" t="s">
        <v>111</v>
      </c>
      <c r="J2477" s="37" t="s">
        <v>452</v>
      </c>
      <c r="K2477" s="37" t="str">
        <f t="shared" si="43"/>
        <v>Bledsoe, TN</v>
      </c>
      <c r="L2477" s="37" t="s">
        <v>63</v>
      </c>
      <c r="M2477" s="37" t="s">
        <v>63</v>
      </c>
      <c r="N2477" s="37">
        <v>15.0</v>
      </c>
      <c r="O2477" s="37" t="s">
        <v>63</v>
      </c>
      <c r="P2477" s="37" t="s">
        <v>63</v>
      </c>
      <c r="Q2477" s="37">
        <v>15.0</v>
      </c>
      <c r="R2477" s="37" t="s">
        <v>63</v>
      </c>
      <c r="S2477" s="37" t="s">
        <v>63</v>
      </c>
      <c r="T2477" s="69" t="s">
        <v>63</v>
      </c>
      <c r="U2477" s="37" t="s">
        <v>63</v>
      </c>
      <c r="V2477" s="37" t="s">
        <v>63</v>
      </c>
      <c r="W2477" s="37" t="s">
        <v>63</v>
      </c>
      <c r="X2477" s="37" t="s">
        <v>63</v>
      </c>
      <c r="Y2477" s="53">
        <v>23.0</v>
      </c>
      <c r="Z2477" s="69" t="s">
        <v>63</v>
      </c>
      <c r="AA2477" s="73"/>
      <c r="AB2477" s="73"/>
      <c r="AC2477" s="73"/>
      <c r="AD2477" s="73"/>
      <c r="AE2477" s="73"/>
      <c r="AF2477" s="73"/>
      <c r="AG2477" s="73"/>
      <c r="AH2477" s="73"/>
      <c r="AI2477" s="73"/>
      <c r="AJ2477" s="73"/>
      <c r="AK2477" s="73"/>
    </row>
    <row r="2478">
      <c r="A2478" s="28">
        <v>2477.0</v>
      </c>
      <c r="B2478" s="29"/>
      <c r="C2478" s="29"/>
      <c r="D2478" s="40">
        <v>1.0</v>
      </c>
      <c r="E2478" s="31">
        <v>47.0</v>
      </c>
      <c r="F2478" s="42">
        <v>9.0</v>
      </c>
      <c r="G2478" s="29" t="str">
        <f t="shared" si="1"/>
        <v>47009</v>
      </c>
      <c r="H2478" s="37" t="s">
        <v>77</v>
      </c>
      <c r="I2478" s="37" t="s">
        <v>111</v>
      </c>
      <c r="J2478" s="37" t="s">
        <v>452</v>
      </c>
      <c r="K2478" s="37" t="str">
        <f t="shared" si="43"/>
        <v>Blount, TN</v>
      </c>
      <c r="L2478" s="37" t="s">
        <v>63</v>
      </c>
      <c r="M2478" s="37" t="s">
        <v>63</v>
      </c>
      <c r="N2478" s="37">
        <v>88.0</v>
      </c>
      <c r="O2478" s="37" t="s">
        <v>63</v>
      </c>
      <c r="P2478" s="37" t="s">
        <v>63</v>
      </c>
      <c r="Q2478" s="37">
        <v>88.0</v>
      </c>
      <c r="R2478" s="37">
        <v>11.0</v>
      </c>
      <c r="S2478" s="37" t="s">
        <v>63</v>
      </c>
      <c r="T2478" s="69" t="s">
        <v>63</v>
      </c>
      <c r="U2478" s="37" t="s">
        <v>63</v>
      </c>
      <c r="V2478" s="37" t="s">
        <v>63</v>
      </c>
      <c r="W2478" s="37" t="s">
        <v>63</v>
      </c>
      <c r="X2478" s="37" t="s">
        <v>63</v>
      </c>
      <c r="Y2478" s="53">
        <v>132.0</v>
      </c>
      <c r="Z2478" s="69" t="s">
        <v>63</v>
      </c>
      <c r="AA2478" s="73"/>
      <c r="AB2478" s="73"/>
      <c r="AC2478" s="73"/>
      <c r="AD2478" s="73"/>
      <c r="AE2478" s="73"/>
      <c r="AF2478" s="73"/>
      <c r="AG2478" s="73"/>
      <c r="AH2478" s="73"/>
      <c r="AI2478" s="73"/>
      <c r="AJ2478" s="73"/>
      <c r="AK2478" s="73"/>
    </row>
    <row r="2479">
      <c r="A2479" s="28">
        <v>2478.0</v>
      </c>
      <c r="B2479" s="29"/>
      <c r="C2479" s="29"/>
      <c r="D2479" s="40">
        <v>1.0</v>
      </c>
      <c r="E2479" s="31">
        <v>47.0</v>
      </c>
      <c r="F2479" s="42">
        <v>11.0</v>
      </c>
      <c r="G2479" s="29" t="str">
        <f t="shared" si="1"/>
        <v>47011</v>
      </c>
      <c r="H2479" s="37" t="s">
        <v>247</v>
      </c>
      <c r="I2479" s="37" t="s">
        <v>111</v>
      </c>
      <c r="J2479" s="37" t="s">
        <v>452</v>
      </c>
      <c r="K2479" s="37" t="str">
        <f t="shared" si="43"/>
        <v>Bradley, TN</v>
      </c>
      <c r="L2479" s="37" t="s">
        <v>63</v>
      </c>
      <c r="M2479" s="37" t="s">
        <v>63</v>
      </c>
      <c r="N2479" s="37">
        <v>147.0</v>
      </c>
      <c r="O2479" s="37" t="s">
        <v>63</v>
      </c>
      <c r="P2479" s="37" t="s">
        <v>63</v>
      </c>
      <c r="Q2479" s="37">
        <v>147.0</v>
      </c>
      <c r="R2479" s="37">
        <v>18.0</v>
      </c>
      <c r="S2479" s="37" t="s">
        <v>63</v>
      </c>
      <c r="T2479" s="69" t="s">
        <v>63</v>
      </c>
      <c r="U2479" s="37" t="s">
        <v>63</v>
      </c>
      <c r="V2479" s="37" t="s">
        <v>63</v>
      </c>
      <c r="W2479" s="37" t="s">
        <v>63</v>
      </c>
      <c r="X2479" s="37" t="s">
        <v>63</v>
      </c>
      <c r="Y2479" s="53">
        <v>129.0</v>
      </c>
      <c r="Z2479" s="69" t="s">
        <v>63</v>
      </c>
      <c r="AA2479" s="73"/>
      <c r="AB2479" s="73"/>
      <c r="AC2479" s="73"/>
      <c r="AD2479" s="73"/>
      <c r="AE2479" s="73"/>
      <c r="AF2479" s="73"/>
      <c r="AG2479" s="73"/>
      <c r="AH2479" s="73"/>
      <c r="AI2479" s="73"/>
      <c r="AJ2479" s="73"/>
      <c r="AK2479" s="73"/>
    </row>
    <row r="2480">
      <c r="A2480" s="28">
        <v>2479.0</v>
      </c>
      <c r="B2480" s="29"/>
      <c r="C2480" s="29"/>
      <c r="D2480" s="40">
        <v>1.0</v>
      </c>
      <c r="E2480" s="31">
        <v>47.0</v>
      </c>
      <c r="F2480" s="42">
        <v>13.0</v>
      </c>
      <c r="G2480" s="29" t="str">
        <f t="shared" si="1"/>
        <v>47013</v>
      </c>
      <c r="H2480" s="37" t="s">
        <v>1036</v>
      </c>
      <c r="I2480" s="37" t="s">
        <v>111</v>
      </c>
      <c r="J2480" s="37" t="s">
        <v>452</v>
      </c>
      <c r="K2480" s="37" t="str">
        <f t="shared" si="43"/>
        <v>Campbell, TN</v>
      </c>
      <c r="L2480" s="37" t="s">
        <v>63</v>
      </c>
      <c r="M2480" s="37" t="s">
        <v>63</v>
      </c>
      <c r="N2480" s="37">
        <v>54.0</v>
      </c>
      <c r="O2480" s="37" t="s">
        <v>63</v>
      </c>
      <c r="P2480" s="37" t="s">
        <v>63</v>
      </c>
      <c r="Q2480" s="37">
        <v>54.0</v>
      </c>
      <c r="R2480" s="37">
        <v>18.0</v>
      </c>
      <c r="S2480" s="37" t="s">
        <v>63</v>
      </c>
      <c r="T2480" s="69" t="s">
        <v>63</v>
      </c>
      <c r="U2480" s="37" t="s">
        <v>63</v>
      </c>
      <c r="V2480" s="37" t="s">
        <v>63</v>
      </c>
      <c r="W2480" s="37" t="s">
        <v>63</v>
      </c>
      <c r="X2480" s="37" t="s">
        <v>63</v>
      </c>
      <c r="Y2480" s="53">
        <v>39.0</v>
      </c>
      <c r="Z2480" s="69" t="s">
        <v>63</v>
      </c>
      <c r="AA2480" s="73"/>
      <c r="AB2480" s="73"/>
      <c r="AC2480" s="73"/>
      <c r="AD2480" s="73"/>
      <c r="AE2480" s="73"/>
      <c r="AF2480" s="73"/>
      <c r="AG2480" s="73"/>
      <c r="AH2480" s="73"/>
      <c r="AI2480" s="73"/>
      <c r="AJ2480" s="73"/>
      <c r="AK2480" s="73"/>
    </row>
    <row r="2481">
      <c r="A2481" s="28">
        <v>2480.0</v>
      </c>
      <c r="B2481" s="29"/>
      <c r="C2481" s="29"/>
      <c r="D2481" s="40">
        <v>1.0</v>
      </c>
      <c r="E2481" s="31">
        <v>47.0</v>
      </c>
      <c r="F2481" s="42">
        <v>15.0</v>
      </c>
      <c r="G2481" s="29" t="str">
        <f t="shared" si="1"/>
        <v>47015</v>
      </c>
      <c r="H2481" s="37" t="s">
        <v>1896</v>
      </c>
      <c r="I2481" s="37" t="s">
        <v>111</v>
      </c>
      <c r="J2481" s="37" t="s">
        <v>452</v>
      </c>
      <c r="K2481" s="37" t="str">
        <f t="shared" si="43"/>
        <v>Cannon, TN</v>
      </c>
      <c r="L2481" s="37" t="s">
        <v>63</v>
      </c>
      <c r="M2481" s="37" t="s">
        <v>63</v>
      </c>
      <c r="N2481" s="37">
        <v>24.0</v>
      </c>
      <c r="O2481" s="37" t="s">
        <v>63</v>
      </c>
      <c r="P2481" s="37" t="s">
        <v>63</v>
      </c>
      <c r="Q2481" s="37">
        <v>24.0</v>
      </c>
      <c r="R2481" s="37">
        <v>5.0</v>
      </c>
      <c r="S2481" s="37" t="s">
        <v>63</v>
      </c>
      <c r="T2481" s="69" t="s">
        <v>63</v>
      </c>
      <c r="U2481" s="37" t="s">
        <v>63</v>
      </c>
      <c r="V2481" s="37" t="s">
        <v>63</v>
      </c>
      <c r="W2481" s="37" t="s">
        <v>63</v>
      </c>
      <c r="X2481" s="37" t="s">
        <v>63</v>
      </c>
      <c r="Y2481" s="53">
        <v>22.0</v>
      </c>
      <c r="Z2481" s="69" t="s">
        <v>63</v>
      </c>
      <c r="AA2481" s="73"/>
      <c r="AB2481" s="73"/>
      <c r="AC2481" s="73"/>
      <c r="AD2481" s="73"/>
      <c r="AE2481" s="73"/>
      <c r="AF2481" s="73"/>
      <c r="AG2481" s="73"/>
      <c r="AH2481" s="73"/>
      <c r="AI2481" s="73"/>
      <c r="AJ2481" s="73"/>
      <c r="AK2481" s="73"/>
    </row>
    <row r="2482">
      <c r="A2482" s="28">
        <v>2481.0</v>
      </c>
      <c r="B2482" s="29"/>
      <c r="C2482" s="29"/>
      <c r="D2482" s="40">
        <v>1.0</v>
      </c>
      <c r="E2482" s="31">
        <v>47.0</v>
      </c>
      <c r="F2482" s="42">
        <v>17.0</v>
      </c>
      <c r="G2482" s="29" t="str">
        <f t="shared" si="1"/>
        <v>47017</v>
      </c>
      <c r="H2482" s="37" t="s">
        <v>248</v>
      </c>
      <c r="I2482" s="37" t="s">
        <v>111</v>
      </c>
      <c r="J2482" s="37" t="s">
        <v>452</v>
      </c>
      <c r="K2482" s="37" t="str">
        <f t="shared" si="43"/>
        <v>Carroll, TN</v>
      </c>
      <c r="L2482" s="37" t="s">
        <v>63</v>
      </c>
      <c r="M2482" s="37" t="s">
        <v>63</v>
      </c>
      <c r="N2482" s="37">
        <v>41.0</v>
      </c>
      <c r="O2482" s="37" t="s">
        <v>63</v>
      </c>
      <c r="P2482" s="37" t="s">
        <v>63</v>
      </c>
      <c r="Q2482" s="37">
        <v>41.0</v>
      </c>
      <c r="R2482" s="37">
        <v>9.0</v>
      </c>
      <c r="S2482" s="37" t="s">
        <v>63</v>
      </c>
      <c r="T2482" s="69" t="s">
        <v>63</v>
      </c>
      <c r="U2482" s="37" t="s">
        <v>63</v>
      </c>
      <c r="V2482" s="37" t="s">
        <v>63</v>
      </c>
      <c r="W2482" s="37" t="s">
        <v>63</v>
      </c>
      <c r="X2482" s="37" t="s">
        <v>63</v>
      </c>
      <c r="Y2482" s="53">
        <v>39.0</v>
      </c>
      <c r="Z2482" s="69" t="s">
        <v>63</v>
      </c>
      <c r="AA2482" s="73"/>
      <c r="AB2482" s="73"/>
      <c r="AC2482" s="73"/>
      <c r="AD2482" s="73"/>
      <c r="AE2482" s="73"/>
      <c r="AF2482" s="73"/>
      <c r="AG2482" s="73"/>
      <c r="AH2482" s="73"/>
      <c r="AI2482" s="73"/>
      <c r="AJ2482" s="73"/>
      <c r="AK2482" s="73"/>
    </row>
    <row r="2483">
      <c r="A2483" s="28">
        <v>2482.0</v>
      </c>
      <c r="B2483" s="29"/>
      <c r="C2483" s="29"/>
      <c r="D2483" s="40">
        <v>1.0</v>
      </c>
      <c r="E2483" s="31">
        <v>47.0</v>
      </c>
      <c r="F2483" s="42">
        <v>19.0</v>
      </c>
      <c r="G2483" s="29" t="str">
        <f t="shared" si="1"/>
        <v>47019</v>
      </c>
      <c r="H2483" s="37" t="s">
        <v>1038</v>
      </c>
      <c r="I2483" s="37" t="s">
        <v>111</v>
      </c>
      <c r="J2483" s="37" t="s">
        <v>452</v>
      </c>
      <c r="K2483" s="37" t="str">
        <f t="shared" si="43"/>
        <v>Carter, TN</v>
      </c>
      <c r="L2483" s="37" t="s">
        <v>63</v>
      </c>
      <c r="M2483" s="37" t="s">
        <v>63</v>
      </c>
      <c r="N2483" s="37">
        <v>65.0</v>
      </c>
      <c r="O2483" s="37" t="s">
        <v>63</v>
      </c>
      <c r="P2483" s="37" t="s">
        <v>63</v>
      </c>
      <c r="Q2483" s="37">
        <v>65.0</v>
      </c>
      <c r="R2483" s="37">
        <v>12.0</v>
      </c>
      <c r="S2483" s="37" t="s">
        <v>63</v>
      </c>
      <c r="T2483" s="69" t="s">
        <v>63</v>
      </c>
      <c r="U2483" s="37" t="s">
        <v>63</v>
      </c>
      <c r="V2483" s="37" t="s">
        <v>63</v>
      </c>
      <c r="W2483" s="37" t="s">
        <v>63</v>
      </c>
      <c r="X2483" s="37" t="s">
        <v>63</v>
      </c>
      <c r="Y2483" s="53">
        <v>82.0</v>
      </c>
      <c r="Z2483" s="69" t="s">
        <v>63</v>
      </c>
      <c r="AA2483" s="73"/>
      <c r="AB2483" s="73"/>
      <c r="AC2483" s="73"/>
      <c r="AD2483" s="73"/>
      <c r="AE2483" s="73"/>
      <c r="AF2483" s="73"/>
      <c r="AG2483" s="73"/>
      <c r="AH2483" s="73"/>
      <c r="AI2483" s="73"/>
      <c r="AJ2483" s="73"/>
      <c r="AK2483" s="73"/>
    </row>
    <row r="2484">
      <c r="A2484" s="28">
        <v>2483.0</v>
      </c>
      <c r="B2484" s="29"/>
      <c r="C2484" s="29"/>
      <c r="D2484" s="40">
        <v>1.0</v>
      </c>
      <c r="E2484" s="31">
        <v>47.0</v>
      </c>
      <c r="F2484" s="42">
        <v>21.0</v>
      </c>
      <c r="G2484" s="29" t="str">
        <f t="shared" si="1"/>
        <v>47021</v>
      </c>
      <c r="H2484" s="37" t="s">
        <v>1898</v>
      </c>
      <c r="I2484" s="37" t="s">
        <v>111</v>
      </c>
      <c r="J2484" s="37" t="s">
        <v>452</v>
      </c>
      <c r="K2484" s="37" t="str">
        <f t="shared" si="43"/>
        <v>Cheatham, TN</v>
      </c>
      <c r="L2484" s="37" t="s">
        <v>63</v>
      </c>
      <c r="M2484" s="37" t="s">
        <v>63</v>
      </c>
      <c r="N2484" s="37">
        <v>20.0</v>
      </c>
      <c r="O2484" s="37" t="s">
        <v>63</v>
      </c>
      <c r="P2484" s="37" t="s">
        <v>63</v>
      </c>
      <c r="Q2484" s="37">
        <v>20.0</v>
      </c>
      <c r="R2484" s="37">
        <v>4.0</v>
      </c>
      <c r="S2484" s="37" t="s">
        <v>63</v>
      </c>
      <c r="T2484" s="69" t="s">
        <v>63</v>
      </c>
      <c r="U2484" s="37" t="s">
        <v>63</v>
      </c>
      <c r="V2484" s="37" t="s">
        <v>63</v>
      </c>
      <c r="W2484" s="37" t="s">
        <v>63</v>
      </c>
      <c r="X2484" s="37" t="s">
        <v>63</v>
      </c>
      <c r="Y2484" s="53">
        <v>37.0</v>
      </c>
      <c r="Z2484" s="69" t="s">
        <v>63</v>
      </c>
      <c r="AA2484" s="73"/>
      <c r="AB2484" s="73"/>
      <c r="AC2484" s="73"/>
      <c r="AD2484" s="73"/>
      <c r="AE2484" s="73"/>
      <c r="AF2484" s="73"/>
      <c r="AG2484" s="73"/>
      <c r="AH2484" s="73"/>
      <c r="AI2484" s="73"/>
      <c r="AJ2484" s="73"/>
      <c r="AK2484" s="73"/>
    </row>
    <row r="2485">
      <c r="A2485" s="28">
        <v>2484.0</v>
      </c>
      <c r="B2485" s="29"/>
      <c r="C2485" s="29"/>
      <c r="D2485" s="40">
        <v>1.0</v>
      </c>
      <c r="E2485" s="31">
        <v>47.0</v>
      </c>
      <c r="F2485" s="42">
        <v>23.0</v>
      </c>
      <c r="G2485" s="29" t="str">
        <f t="shared" si="1"/>
        <v>47023</v>
      </c>
      <c r="H2485" s="37" t="s">
        <v>1789</v>
      </c>
      <c r="I2485" s="37" t="s">
        <v>111</v>
      </c>
      <c r="J2485" s="37" t="s">
        <v>452</v>
      </c>
      <c r="K2485" s="37" t="str">
        <f t="shared" si="43"/>
        <v>Chester, TN</v>
      </c>
      <c r="L2485" s="37" t="s">
        <v>63</v>
      </c>
      <c r="M2485" s="37" t="s">
        <v>63</v>
      </c>
      <c r="N2485" s="37">
        <v>8.0</v>
      </c>
      <c r="O2485" s="37" t="s">
        <v>63</v>
      </c>
      <c r="P2485" s="37" t="s">
        <v>63</v>
      </c>
      <c r="Q2485" s="37">
        <v>8.0</v>
      </c>
      <c r="R2485" s="37" t="s">
        <v>63</v>
      </c>
      <c r="S2485" s="37" t="s">
        <v>63</v>
      </c>
      <c r="T2485" s="69" t="s">
        <v>63</v>
      </c>
      <c r="U2485" s="37" t="s">
        <v>63</v>
      </c>
      <c r="V2485" s="37" t="s">
        <v>63</v>
      </c>
      <c r="W2485" s="37" t="s">
        <v>63</v>
      </c>
      <c r="X2485" s="37" t="s">
        <v>63</v>
      </c>
      <c r="Y2485" s="53">
        <v>25.0</v>
      </c>
      <c r="Z2485" s="69" t="s">
        <v>63</v>
      </c>
      <c r="AA2485" s="73"/>
      <c r="AB2485" s="73"/>
      <c r="AC2485" s="73"/>
      <c r="AD2485" s="73"/>
      <c r="AE2485" s="73"/>
      <c r="AF2485" s="73"/>
      <c r="AG2485" s="73"/>
      <c r="AH2485" s="73"/>
      <c r="AI2485" s="73"/>
      <c r="AJ2485" s="73"/>
      <c r="AK2485" s="73"/>
    </row>
    <row r="2486">
      <c r="A2486" s="28">
        <v>2485.0</v>
      </c>
      <c r="B2486" s="29"/>
      <c r="C2486" s="29"/>
      <c r="D2486" s="40">
        <v>1.0</v>
      </c>
      <c r="E2486" s="31">
        <v>47.0</v>
      </c>
      <c r="F2486" s="42">
        <v>25.0</v>
      </c>
      <c r="G2486" s="29" t="str">
        <f t="shared" si="1"/>
        <v>47025</v>
      </c>
      <c r="H2486" s="37" t="s">
        <v>1151</v>
      </c>
      <c r="I2486" s="37" t="s">
        <v>111</v>
      </c>
      <c r="J2486" s="37" t="s">
        <v>452</v>
      </c>
      <c r="K2486" s="37" t="str">
        <f t="shared" si="43"/>
        <v>Claiborne, TN</v>
      </c>
      <c r="L2486" s="37" t="s">
        <v>63</v>
      </c>
      <c r="M2486" s="37" t="s">
        <v>63</v>
      </c>
      <c r="N2486" s="37">
        <v>70.0</v>
      </c>
      <c r="O2486" s="37" t="s">
        <v>63</v>
      </c>
      <c r="P2486" s="37" t="s">
        <v>63</v>
      </c>
      <c r="Q2486" s="37">
        <v>70.0</v>
      </c>
      <c r="R2486" s="37">
        <v>14.0</v>
      </c>
      <c r="S2486" s="37" t="s">
        <v>63</v>
      </c>
      <c r="T2486" s="69" t="s">
        <v>63</v>
      </c>
      <c r="U2486" s="37" t="s">
        <v>63</v>
      </c>
      <c r="V2486" s="37" t="s">
        <v>63</v>
      </c>
      <c r="W2486" s="37" t="s">
        <v>63</v>
      </c>
      <c r="X2486" s="37" t="s">
        <v>63</v>
      </c>
      <c r="Y2486" s="53">
        <v>31.0</v>
      </c>
      <c r="Z2486" s="69" t="s">
        <v>63</v>
      </c>
      <c r="AA2486" s="73"/>
      <c r="AB2486" s="73"/>
      <c r="AC2486" s="73"/>
      <c r="AD2486" s="73"/>
      <c r="AE2486" s="73"/>
      <c r="AF2486" s="73"/>
      <c r="AG2486" s="73"/>
      <c r="AH2486" s="73"/>
      <c r="AI2486" s="73"/>
      <c r="AJ2486" s="73"/>
      <c r="AK2486" s="73"/>
    </row>
    <row r="2487">
      <c r="A2487" s="28">
        <v>2486.0</v>
      </c>
      <c r="B2487" s="29"/>
      <c r="C2487" s="29"/>
      <c r="D2487" s="40">
        <v>1.0</v>
      </c>
      <c r="E2487" s="31">
        <v>47.0</v>
      </c>
      <c r="F2487" s="42">
        <v>27.0</v>
      </c>
      <c r="G2487" s="29" t="str">
        <f t="shared" si="1"/>
        <v>47027</v>
      </c>
      <c r="H2487" s="37" t="s">
        <v>112</v>
      </c>
      <c r="I2487" s="37" t="s">
        <v>111</v>
      </c>
      <c r="J2487" s="37" t="s">
        <v>452</v>
      </c>
      <c r="K2487" s="37" t="str">
        <f t="shared" si="43"/>
        <v>Clay, TN</v>
      </c>
      <c r="L2487" s="37" t="s">
        <v>63</v>
      </c>
      <c r="M2487" s="37" t="s">
        <v>63</v>
      </c>
      <c r="N2487" s="37">
        <v>15.0</v>
      </c>
      <c r="O2487" s="37" t="s">
        <v>63</v>
      </c>
      <c r="P2487" s="37" t="s">
        <v>63</v>
      </c>
      <c r="Q2487" s="37">
        <v>15.0</v>
      </c>
      <c r="R2487" s="37" t="s">
        <v>63</v>
      </c>
      <c r="S2487" s="37" t="s">
        <v>63</v>
      </c>
      <c r="T2487" s="69" t="s">
        <v>63</v>
      </c>
      <c r="U2487" s="37" t="s">
        <v>63</v>
      </c>
      <c r="V2487" s="37" t="s">
        <v>63</v>
      </c>
      <c r="W2487" s="37" t="s">
        <v>63</v>
      </c>
      <c r="X2487" s="37" t="s">
        <v>63</v>
      </c>
      <c r="Y2487" s="53">
        <v>9.0</v>
      </c>
      <c r="Z2487" s="69" t="s">
        <v>63</v>
      </c>
      <c r="AA2487" s="73"/>
      <c r="AB2487" s="73"/>
      <c r="AC2487" s="73"/>
      <c r="AD2487" s="73"/>
      <c r="AE2487" s="73"/>
      <c r="AF2487" s="73"/>
      <c r="AG2487" s="73"/>
      <c r="AH2487" s="73"/>
      <c r="AI2487" s="73"/>
      <c r="AJ2487" s="73"/>
      <c r="AK2487" s="73"/>
    </row>
    <row r="2488">
      <c r="A2488" s="28">
        <v>2487.0</v>
      </c>
      <c r="B2488" s="29"/>
      <c r="C2488" s="29"/>
      <c r="D2488" s="40">
        <v>1.0</v>
      </c>
      <c r="E2488" s="31">
        <v>47.0</v>
      </c>
      <c r="F2488" s="42">
        <v>29.0</v>
      </c>
      <c r="G2488" s="29" t="str">
        <f t="shared" si="1"/>
        <v>47029</v>
      </c>
      <c r="H2488" s="37" t="s">
        <v>1899</v>
      </c>
      <c r="I2488" s="37" t="s">
        <v>111</v>
      </c>
      <c r="J2488" s="37" t="s">
        <v>452</v>
      </c>
      <c r="K2488" s="37" t="str">
        <f t="shared" si="43"/>
        <v>Cocke, TN</v>
      </c>
      <c r="L2488" s="37" t="s">
        <v>63</v>
      </c>
      <c r="M2488" s="37" t="s">
        <v>63</v>
      </c>
      <c r="N2488" s="37">
        <v>77.0</v>
      </c>
      <c r="O2488" s="37" t="s">
        <v>63</v>
      </c>
      <c r="P2488" s="37" t="s">
        <v>63</v>
      </c>
      <c r="Q2488" s="37">
        <v>77.0</v>
      </c>
      <c r="R2488" s="37">
        <v>14.0</v>
      </c>
      <c r="S2488" s="37" t="s">
        <v>63</v>
      </c>
      <c r="T2488" s="69" t="s">
        <v>63</v>
      </c>
      <c r="U2488" s="37" t="s">
        <v>63</v>
      </c>
      <c r="V2488" s="37" t="s">
        <v>63</v>
      </c>
      <c r="W2488" s="37" t="s">
        <v>63</v>
      </c>
      <c r="X2488" s="37" t="s">
        <v>63</v>
      </c>
      <c r="Y2488" s="53">
        <v>42.0</v>
      </c>
      <c r="Z2488" s="69" t="s">
        <v>63</v>
      </c>
      <c r="AA2488" s="73"/>
      <c r="AB2488" s="73"/>
      <c r="AC2488" s="73"/>
      <c r="AD2488" s="73"/>
      <c r="AE2488" s="73"/>
      <c r="AF2488" s="73"/>
      <c r="AG2488" s="73"/>
      <c r="AH2488" s="73"/>
      <c r="AI2488" s="73"/>
      <c r="AJ2488" s="73"/>
      <c r="AK2488" s="73"/>
    </row>
    <row r="2489">
      <c r="A2489" s="28">
        <v>2488.0</v>
      </c>
      <c r="B2489" s="29"/>
      <c r="C2489" s="29"/>
      <c r="D2489" s="40">
        <v>1.0</v>
      </c>
      <c r="E2489" s="31">
        <v>47.0</v>
      </c>
      <c r="F2489" s="42">
        <v>31.0</v>
      </c>
      <c r="G2489" s="29" t="str">
        <f t="shared" si="1"/>
        <v>47031</v>
      </c>
      <c r="H2489" s="37" t="s">
        <v>118</v>
      </c>
      <c r="I2489" s="37" t="s">
        <v>111</v>
      </c>
      <c r="J2489" s="37" t="s">
        <v>452</v>
      </c>
      <c r="K2489" s="37" t="str">
        <f t="shared" si="43"/>
        <v>Coffee, TN</v>
      </c>
      <c r="L2489" s="37" t="s">
        <v>63</v>
      </c>
      <c r="M2489" s="37" t="s">
        <v>63</v>
      </c>
      <c r="N2489" s="37">
        <v>73.0</v>
      </c>
      <c r="O2489" s="37" t="s">
        <v>63</v>
      </c>
      <c r="P2489" s="37" t="s">
        <v>63</v>
      </c>
      <c r="Q2489" s="37">
        <v>73.0</v>
      </c>
      <c r="R2489" s="37">
        <v>13.0</v>
      </c>
      <c r="S2489" s="37" t="s">
        <v>63</v>
      </c>
      <c r="T2489" s="69" t="s">
        <v>63</v>
      </c>
      <c r="U2489" s="37" t="s">
        <v>63</v>
      </c>
      <c r="V2489" s="37" t="s">
        <v>63</v>
      </c>
      <c r="W2489" s="37" t="s">
        <v>63</v>
      </c>
      <c r="X2489" s="37" t="s">
        <v>63</v>
      </c>
      <c r="Y2489" s="53">
        <v>71.0</v>
      </c>
      <c r="Z2489" s="69" t="s">
        <v>63</v>
      </c>
      <c r="AA2489" s="73"/>
      <c r="AB2489" s="73"/>
      <c r="AC2489" s="73"/>
      <c r="AD2489" s="73"/>
      <c r="AE2489" s="73"/>
      <c r="AF2489" s="73"/>
      <c r="AG2489" s="73"/>
      <c r="AH2489" s="73"/>
      <c r="AI2489" s="73"/>
      <c r="AJ2489" s="73"/>
      <c r="AK2489" s="73"/>
    </row>
    <row r="2490">
      <c r="A2490" s="28">
        <v>2489.0</v>
      </c>
      <c r="B2490" s="29"/>
      <c r="C2490" s="29"/>
      <c r="D2490" s="40">
        <v>1.0</v>
      </c>
      <c r="E2490" s="31">
        <v>47.0</v>
      </c>
      <c r="F2490" s="42">
        <v>33.0</v>
      </c>
      <c r="G2490" s="29" t="str">
        <f t="shared" si="1"/>
        <v>47033</v>
      </c>
      <c r="H2490" s="37" t="s">
        <v>1900</v>
      </c>
      <c r="I2490" s="37" t="s">
        <v>111</v>
      </c>
      <c r="J2490" s="37" t="s">
        <v>452</v>
      </c>
      <c r="K2490" s="37" t="str">
        <f t="shared" si="43"/>
        <v>Crockett, TN</v>
      </c>
      <c r="L2490" s="37" t="s">
        <v>63</v>
      </c>
      <c r="M2490" s="37" t="s">
        <v>63</v>
      </c>
      <c r="N2490" s="37">
        <v>7.0</v>
      </c>
      <c r="O2490" s="37" t="s">
        <v>63</v>
      </c>
      <c r="P2490" s="37" t="s">
        <v>63</v>
      </c>
      <c r="Q2490" s="37">
        <v>7.0</v>
      </c>
      <c r="R2490" s="37" t="s">
        <v>63</v>
      </c>
      <c r="S2490" s="37" t="s">
        <v>63</v>
      </c>
      <c r="T2490" s="69" t="s">
        <v>63</v>
      </c>
      <c r="U2490" s="37" t="s">
        <v>63</v>
      </c>
      <c r="V2490" s="37" t="s">
        <v>63</v>
      </c>
      <c r="W2490" s="37" t="s">
        <v>63</v>
      </c>
      <c r="X2490" s="37" t="s">
        <v>63</v>
      </c>
      <c r="Y2490" s="53">
        <v>29.0</v>
      </c>
      <c r="Z2490" s="69" t="s">
        <v>63</v>
      </c>
      <c r="AA2490" s="73"/>
      <c r="AB2490" s="73"/>
      <c r="AC2490" s="73"/>
      <c r="AD2490" s="73"/>
      <c r="AE2490" s="73"/>
      <c r="AF2490" s="73"/>
      <c r="AG2490" s="73"/>
      <c r="AH2490" s="73"/>
      <c r="AI2490" s="73"/>
      <c r="AJ2490" s="73"/>
      <c r="AK2490" s="73"/>
    </row>
    <row r="2491">
      <c r="A2491" s="28">
        <v>2490.0</v>
      </c>
      <c r="B2491" s="29"/>
      <c r="C2491" s="29"/>
      <c r="D2491" s="40">
        <v>1.0</v>
      </c>
      <c r="E2491" s="31">
        <v>47.0</v>
      </c>
      <c r="F2491" s="42">
        <v>35.0</v>
      </c>
      <c r="G2491" s="29" t="str">
        <f t="shared" si="1"/>
        <v>47035</v>
      </c>
      <c r="H2491" s="37" t="s">
        <v>713</v>
      </c>
      <c r="I2491" s="37" t="s">
        <v>111</v>
      </c>
      <c r="J2491" s="37" t="s">
        <v>452</v>
      </c>
      <c r="K2491" s="37" t="str">
        <f t="shared" si="43"/>
        <v>Cumberland, TN</v>
      </c>
      <c r="L2491" s="37" t="s">
        <v>63</v>
      </c>
      <c r="M2491" s="37" t="s">
        <v>63</v>
      </c>
      <c r="N2491" s="37">
        <v>88.0</v>
      </c>
      <c r="O2491" s="37" t="s">
        <v>63</v>
      </c>
      <c r="P2491" s="37" t="s">
        <v>63</v>
      </c>
      <c r="Q2491" s="37">
        <v>88.0</v>
      </c>
      <c r="R2491" s="37">
        <v>4.0</v>
      </c>
      <c r="S2491" s="37" t="s">
        <v>63</v>
      </c>
      <c r="T2491" s="69" t="s">
        <v>63</v>
      </c>
      <c r="U2491" s="37" t="s">
        <v>63</v>
      </c>
      <c r="V2491" s="37" t="s">
        <v>63</v>
      </c>
      <c r="W2491" s="37" t="s">
        <v>63</v>
      </c>
      <c r="X2491" s="37" t="s">
        <v>63</v>
      </c>
      <c r="Y2491" s="53">
        <v>65.0</v>
      </c>
      <c r="Z2491" s="69" t="s">
        <v>63</v>
      </c>
      <c r="AA2491" s="73"/>
      <c r="AB2491" s="73"/>
      <c r="AC2491" s="73"/>
      <c r="AD2491" s="73"/>
      <c r="AE2491" s="73"/>
      <c r="AF2491" s="73"/>
      <c r="AG2491" s="73"/>
      <c r="AH2491" s="73"/>
      <c r="AI2491" s="73"/>
      <c r="AJ2491" s="73"/>
      <c r="AK2491" s="73"/>
    </row>
    <row r="2492">
      <c r="A2492" s="28">
        <v>2491.0</v>
      </c>
      <c r="B2492" s="29"/>
      <c r="C2492" s="29"/>
      <c r="D2492" s="40">
        <v>1.0</v>
      </c>
      <c r="E2492" s="31">
        <v>47.0</v>
      </c>
      <c r="F2492" s="42">
        <v>37.0</v>
      </c>
      <c r="G2492" s="29" t="str">
        <f t="shared" si="1"/>
        <v>47037</v>
      </c>
      <c r="H2492" s="37" t="s">
        <v>570</v>
      </c>
      <c r="I2492" s="37" t="s">
        <v>111</v>
      </c>
      <c r="J2492" s="37" t="s">
        <v>452</v>
      </c>
      <c r="K2492" s="37" t="str">
        <f t="shared" si="43"/>
        <v>Davidson, TN</v>
      </c>
      <c r="L2492" s="37" t="s">
        <v>63</v>
      </c>
      <c r="M2492" s="37" t="s">
        <v>63</v>
      </c>
      <c r="N2492" s="37">
        <v>516.0</v>
      </c>
      <c r="O2492" s="37" t="s">
        <v>63</v>
      </c>
      <c r="P2492" s="37" t="s">
        <v>63</v>
      </c>
      <c r="Q2492" s="37">
        <v>516.0</v>
      </c>
      <c r="R2492" s="37">
        <v>51.0</v>
      </c>
      <c r="S2492" s="37" t="s">
        <v>63</v>
      </c>
      <c r="T2492" s="69" t="s">
        <v>63</v>
      </c>
      <c r="U2492" s="37" t="s">
        <v>63</v>
      </c>
      <c r="V2492" s="37" t="s">
        <v>63</v>
      </c>
      <c r="W2492" s="37" t="s">
        <v>63</v>
      </c>
      <c r="X2492" s="37" t="s">
        <v>63</v>
      </c>
      <c r="Y2492" s="53">
        <v>598.0</v>
      </c>
      <c r="Z2492" s="69" t="s">
        <v>63</v>
      </c>
      <c r="AA2492" s="73"/>
      <c r="AB2492" s="73"/>
      <c r="AC2492" s="73"/>
      <c r="AD2492" s="73"/>
      <c r="AE2492" s="73"/>
      <c r="AF2492" s="73"/>
      <c r="AG2492" s="73"/>
      <c r="AH2492" s="73"/>
      <c r="AI2492" s="73"/>
      <c r="AJ2492" s="73"/>
      <c r="AK2492" s="73"/>
    </row>
    <row r="2493">
      <c r="A2493" s="28">
        <v>2492.0</v>
      </c>
      <c r="B2493" s="29"/>
      <c r="C2493" s="29"/>
      <c r="D2493" s="40">
        <v>1.0</v>
      </c>
      <c r="E2493" s="31">
        <v>47.0</v>
      </c>
      <c r="F2493" s="42">
        <v>39.0</v>
      </c>
      <c r="G2493" s="29" t="str">
        <f t="shared" si="1"/>
        <v>47039</v>
      </c>
      <c r="H2493" s="37" t="s">
        <v>563</v>
      </c>
      <c r="I2493" s="37" t="s">
        <v>111</v>
      </c>
      <c r="J2493" s="37" t="s">
        <v>452</v>
      </c>
      <c r="K2493" s="37" t="str">
        <f t="shared" si="43"/>
        <v>Decatur, TN</v>
      </c>
      <c r="L2493" s="37" t="s">
        <v>63</v>
      </c>
      <c r="M2493" s="37" t="s">
        <v>63</v>
      </c>
      <c r="N2493" s="37">
        <v>26.0</v>
      </c>
      <c r="O2493" s="37" t="s">
        <v>63</v>
      </c>
      <c r="P2493" s="37" t="s">
        <v>63</v>
      </c>
      <c r="Q2493" s="37">
        <v>26.0</v>
      </c>
      <c r="R2493" s="37">
        <v>1.0</v>
      </c>
      <c r="S2493" s="37" t="s">
        <v>63</v>
      </c>
      <c r="T2493" s="69" t="s">
        <v>63</v>
      </c>
      <c r="U2493" s="37" t="s">
        <v>63</v>
      </c>
      <c r="V2493" s="37" t="s">
        <v>63</v>
      </c>
      <c r="W2493" s="37" t="s">
        <v>63</v>
      </c>
      <c r="X2493" s="37" t="s">
        <v>63</v>
      </c>
      <c r="Y2493" s="53">
        <v>29.0</v>
      </c>
      <c r="Z2493" s="69" t="s">
        <v>63</v>
      </c>
      <c r="AA2493" s="73"/>
      <c r="AB2493" s="73"/>
      <c r="AC2493" s="73"/>
      <c r="AD2493" s="73"/>
      <c r="AE2493" s="73"/>
      <c r="AF2493" s="73"/>
      <c r="AG2493" s="73"/>
      <c r="AH2493" s="73"/>
      <c r="AI2493" s="73"/>
      <c r="AJ2493" s="73"/>
      <c r="AK2493" s="73"/>
    </row>
    <row r="2494">
      <c r="A2494" s="28">
        <v>2493.0</v>
      </c>
      <c r="B2494" s="29"/>
      <c r="C2494" s="29"/>
      <c r="D2494" s="40">
        <v>1.0</v>
      </c>
      <c r="E2494" s="31">
        <v>47.0</v>
      </c>
      <c r="F2494" s="42">
        <v>41.0</v>
      </c>
      <c r="G2494" s="29" t="str">
        <f t="shared" si="1"/>
        <v>47041</v>
      </c>
      <c r="H2494" s="37" t="s">
        <v>1401</v>
      </c>
      <c r="I2494" s="37" t="s">
        <v>111</v>
      </c>
      <c r="J2494" s="37" t="s">
        <v>452</v>
      </c>
      <c r="K2494" s="37" t="str">
        <f t="shared" si="43"/>
        <v>Dekalb, TN</v>
      </c>
      <c r="L2494" s="37" t="s">
        <v>63</v>
      </c>
      <c r="M2494" s="37" t="s">
        <v>63</v>
      </c>
      <c r="N2494" s="37">
        <v>41.0</v>
      </c>
      <c r="O2494" s="37" t="s">
        <v>63</v>
      </c>
      <c r="P2494" s="37" t="s">
        <v>63</v>
      </c>
      <c r="Q2494" s="37">
        <v>41.0</v>
      </c>
      <c r="R2494" s="37">
        <v>1.0</v>
      </c>
      <c r="S2494" s="37" t="s">
        <v>63</v>
      </c>
      <c r="T2494" s="69" t="s">
        <v>63</v>
      </c>
      <c r="U2494" s="37" t="s">
        <v>63</v>
      </c>
      <c r="V2494" s="37" t="s">
        <v>63</v>
      </c>
      <c r="W2494" s="37" t="s">
        <v>63</v>
      </c>
      <c r="X2494" s="37" t="s">
        <v>63</v>
      </c>
      <c r="Y2494" s="53">
        <v>43.0</v>
      </c>
      <c r="Z2494" s="69" t="s">
        <v>63</v>
      </c>
      <c r="AA2494" s="73"/>
      <c r="AB2494" s="73"/>
      <c r="AC2494" s="73"/>
      <c r="AD2494" s="73"/>
      <c r="AE2494" s="73"/>
      <c r="AF2494" s="73"/>
      <c r="AG2494" s="73"/>
      <c r="AH2494" s="73"/>
      <c r="AI2494" s="73"/>
      <c r="AJ2494" s="73"/>
      <c r="AK2494" s="73"/>
    </row>
    <row r="2495">
      <c r="A2495" s="28">
        <v>2494.0</v>
      </c>
      <c r="B2495" s="29"/>
      <c r="C2495" s="29"/>
      <c r="D2495" s="40">
        <v>1.0</v>
      </c>
      <c r="E2495" s="31">
        <v>47.0</v>
      </c>
      <c r="F2495" s="42">
        <v>43.0</v>
      </c>
      <c r="G2495" s="29" t="str">
        <f t="shared" si="1"/>
        <v>47043</v>
      </c>
      <c r="H2495" s="37" t="s">
        <v>1902</v>
      </c>
      <c r="I2495" s="37" t="s">
        <v>111</v>
      </c>
      <c r="J2495" s="37" t="s">
        <v>452</v>
      </c>
      <c r="K2495" s="37" t="str">
        <f t="shared" si="43"/>
        <v>Dickson, TN</v>
      </c>
      <c r="L2495" s="37" t="s">
        <v>63</v>
      </c>
      <c r="M2495" s="37" t="s">
        <v>63</v>
      </c>
      <c r="N2495" s="37">
        <v>80.0</v>
      </c>
      <c r="O2495" s="37" t="s">
        <v>63</v>
      </c>
      <c r="P2495" s="37" t="s">
        <v>63</v>
      </c>
      <c r="Q2495" s="37">
        <v>80.0</v>
      </c>
      <c r="R2495" s="37">
        <v>12.0</v>
      </c>
      <c r="S2495" s="37" t="s">
        <v>63</v>
      </c>
      <c r="T2495" s="69" t="s">
        <v>63</v>
      </c>
      <c r="U2495" s="37" t="s">
        <v>63</v>
      </c>
      <c r="V2495" s="37" t="s">
        <v>63</v>
      </c>
      <c r="W2495" s="37" t="s">
        <v>63</v>
      </c>
      <c r="X2495" s="37" t="s">
        <v>63</v>
      </c>
      <c r="Y2495" s="53">
        <v>55.0</v>
      </c>
      <c r="Z2495" s="69" t="s">
        <v>63</v>
      </c>
      <c r="AA2495" s="73"/>
      <c r="AB2495" s="73"/>
      <c r="AC2495" s="73"/>
      <c r="AD2495" s="73"/>
      <c r="AE2495" s="73"/>
      <c r="AF2495" s="73"/>
      <c r="AG2495" s="73"/>
      <c r="AH2495" s="73"/>
      <c r="AI2495" s="73"/>
      <c r="AJ2495" s="73"/>
      <c r="AK2495" s="73"/>
    </row>
    <row r="2496">
      <c r="A2496" s="28">
        <v>2495.0</v>
      </c>
      <c r="B2496" s="29"/>
      <c r="C2496" s="29"/>
      <c r="D2496" s="40">
        <v>1.0</v>
      </c>
      <c r="E2496" s="31">
        <v>47.0</v>
      </c>
      <c r="F2496" s="42">
        <v>45.0</v>
      </c>
      <c r="G2496" s="29" t="str">
        <f t="shared" si="1"/>
        <v>47045</v>
      </c>
      <c r="H2496" s="37" t="s">
        <v>1903</v>
      </c>
      <c r="I2496" s="37" t="s">
        <v>111</v>
      </c>
      <c r="J2496" s="37" t="s">
        <v>452</v>
      </c>
      <c r="K2496" s="37" t="str">
        <f t="shared" si="43"/>
        <v>Dyer, TN</v>
      </c>
      <c r="L2496" s="37" t="s">
        <v>63</v>
      </c>
      <c r="M2496" s="37" t="s">
        <v>63</v>
      </c>
      <c r="N2496" s="37">
        <v>54.0</v>
      </c>
      <c r="O2496" s="37" t="s">
        <v>63</v>
      </c>
      <c r="P2496" s="37" t="s">
        <v>63</v>
      </c>
      <c r="Q2496" s="37">
        <v>54.0</v>
      </c>
      <c r="R2496" s="37">
        <v>3.0</v>
      </c>
      <c r="S2496" s="37" t="s">
        <v>63</v>
      </c>
      <c r="T2496" s="69" t="s">
        <v>63</v>
      </c>
      <c r="U2496" s="37" t="s">
        <v>63</v>
      </c>
      <c r="V2496" s="37" t="s">
        <v>63</v>
      </c>
      <c r="W2496" s="37" t="s">
        <v>63</v>
      </c>
      <c r="X2496" s="37" t="s">
        <v>63</v>
      </c>
      <c r="Y2496" s="53">
        <v>58.0</v>
      </c>
      <c r="Z2496" s="69" t="s">
        <v>63</v>
      </c>
      <c r="AA2496" s="73"/>
      <c r="AB2496" s="73"/>
      <c r="AC2496" s="73"/>
      <c r="AD2496" s="73"/>
      <c r="AE2496" s="73"/>
      <c r="AF2496" s="73"/>
      <c r="AG2496" s="73"/>
      <c r="AH2496" s="73"/>
      <c r="AI2496" s="73"/>
      <c r="AJ2496" s="73"/>
      <c r="AK2496" s="73"/>
    </row>
    <row r="2497">
      <c r="A2497" s="28">
        <v>2496.0</v>
      </c>
      <c r="B2497" s="29"/>
      <c r="C2497" s="29"/>
      <c r="D2497" s="40">
        <v>1.0</v>
      </c>
      <c r="E2497" s="31">
        <v>47.0</v>
      </c>
      <c r="F2497" s="42">
        <v>47.0</v>
      </c>
      <c r="G2497" s="29" t="str">
        <f t="shared" si="1"/>
        <v>47047</v>
      </c>
      <c r="H2497" s="37" t="s">
        <v>135</v>
      </c>
      <c r="I2497" s="37" t="s">
        <v>111</v>
      </c>
      <c r="J2497" s="37" t="s">
        <v>452</v>
      </c>
      <c r="K2497" s="37" t="str">
        <f t="shared" si="43"/>
        <v>Fayette, TN</v>
      </c>
      <c r="L2497" s="37" t="s">
        <v>63</v>
      </c>
      <c r="M2497" s="37" t="s">
        <v>63</v>
      </c>
      <c r="N2497" s="37">
        <v>13.0</v>
      </c>
      <c r="O2497" s="37" t="s">
        <v>63</v>
      </c>
      <c r="P2497" s="37" t="s">
        <v>63</v>
      </c>
      <c r="Q2497" s="37">
        <v>13.0</v>
      </c>
      <c r="R2497" s="37" t="s">
        <v>63</v>
      </c>
      <c r="S2497" s="37" t="s">
        <v>63</v>
      </c>
      <c r="T2497" s="69" t="s">
        <v>63</v>
      </c>
      <c r="U2497" s="37" t="s">
        <v>63</v>
      </c>
      <c r="V2497" s="37" t="s">
        <v>63</v>
      </c>
      <c r="W2497" s="37" t="s">
        <v>63</v>
      </c>
      <c r="X2497" s="37" t="s">
        <v>63</v>
      </c>
      <c r="Y2497" s="53">
        <v>76.0</v>
      </c>
      <c r="Z2497" s="69" t="s">
        <v>63</v>
      </c>
      <c r="AA2497" s="73"/>
      <c r="AB2497" s="73"/>
      <c r="AC2497" s="73"/>
      <c r="AD2497" s="73"/>
      <c r="AE2497" s="73"/>
      <c r="AF2497" s="73"/>
      <c r="AG2497" s="73"/>
      <c r="AH2497" s="73"/>
      <c r="AI2497" s="73"/>
      <c r="AJ2497" s="73"/>
      <c r="AK2497" s="73"/>
    </row>
    <row r="2498">
      <c r="A2498" s="28">
        <v>2497.0</v>
      </c>
      <c r="B2498" s="29"/>
      <c r="C2498" s="29"/>
      <c r="D2498" s="40">
        <v>1.0</v>
      </c>
      <c r="E2498" s="31">
        <v>47.0</v>
      </c>
      <c r="F2498" s="42">
        <v>49.0</v>
      </c>
      <c r="G2498" s="29" t="str">
        <f t="shared" si="1"/>
        <v>47049</v>
      </c>
      <c r="H2498" s="37" t="s">
        <v>1905</v>
      </c>
      <c r="I2498" s="37" t="s">
        <v>111</v>
      </c>
      <c r="J2498" s="37" t="s">
        <v>452</v>
      </c>
      <c r="K2498" s="37" t="str">
        <f t="shared" si="43"/>
        <v>Fentress, TN</v>
      </c>
      <c r="L2498" s="37" t="s">
        <v>63</v>
      </c>
      <c r="M2498" s="37" t="s">
        <v>63</v>
      </c>
      <c r="N2498" s="37">
        <v>12.0</v>
      </c>
      <c r="O2498" s="37" t="s">
        <v>63</v>
      </c>
      <c r="P2498" s="37" t="s">
        <v>63</v>
      </c>
      <c r="Q2498" s="37">
        <v>12.0</v>
      </c>
      <c r="R2498" s="37" t="s">
        <v>63</v>
      </c>
      <c r="S2498" s="37" t="s">
        <v>63</v>
      </c>
      <c r="T2498" s="69" t="s">
        <v>63</v>
      </c>
      <c r="U2498" s="37" t="s">
        <v>63</v>
      </c>
      <c r="V2498" s="37" t="s">
        <v>63</v>
      </c>
      <c r="W2498" s="37" t="s">
        <v>63</v>
      </c>
      <c r="X2498" s="37" t="s">
        <v>63</v>
      </c>
      <c r="Y2498" s="53">
        <v>29.0</v>
      </c>
      <c r="Z2498" s="69" t="s">
        <v>63</v>
      </c>
      <c r="AA2498" s="73"/>
      <c r="AB2498" s="73"/>
      <c r="AC2498" s="73"/>
      <c r="AD2498" s="73"/>
      <c r="AE2498" s="73"/>
      <c r="AF2498" s="73"/>
      <c r="AG2498" s="73"/>
      <c r="AH2498" s="73"/>
      <c r="AI2498" s="73"/>
      <c r="AJ2498" s="73"/>
      <c r="AK2498" s="73"/>
    </row>
    <row r="2499">
      <c r="A2499" s="28">
        <v>2498.0</v>
      </c>
      <c r="B2499" s="29"/>
      <c r="C2499" s="29"/>
      <c r="D2499" s="40">
        <v>1.0</v>
      </c>
      <c r="E2499" s="31">
        <v>47.0</v>
      </c>
      <c r="F2499" s="42">
        <v>51.0</v>
      </c>
      <c r="G2499" s="29" t="str">
        <f t="shared" si="1"/>
        <v>47051</v>
      </c>
      <c r="H2499" s="37" t="s">
        <v>136</v>
      </c>
      <c r="I2499" s="37" t="s">
        <v>111</v>
      </c>
      <c r="J2499" s="37" t="s">
        <v>452</v>
      </c>
      <c r="K2499" s="37" t="str">
        <f t="shared" si="43"/>
        <v>Franklin, TN</v>
      </c>
      <c r="L2499" s="37" t="s">
        <v>63</v>
      </c>
      <c r="M2499" s="37" t="s">
        <v>63</v>
      </c>
      <c r="N2499" s="37">
        <v>75.0</v>
      </c>
      <c r="O2499" s="37" t="s">
        <v>63</v>
      </c>
      <c r="P2499" s="37" t="s">
        <v>63</v>
      </c>
      <c r="Q2499" s="37">
        <v>75.0</v>
      </c>
      <c r="R2499" s="37">
        <v>16.0</v>
      </c>
      <c r="S2499" s="37" t="s">
        <v>63</v>
      </c>
      <c r="T2499" s="69" t="s">
        <v>63</v>
      </c>
      <c r="U2499" s="37" t="s">
        <v>63</v>
      </c>
      <c r="V2499" s="37" t="s">
        <v>63</v>
      </c>
      <c r="W2499" s="37" t="s">
        <v>63</v>
      </c>
      <c r="X2499" s="37" t="s">
        <v>63</v>
      </c>
      <c r="Y2499" s="53">
        <v>59.0</v>
      </c>
      <c r="Z2499" s="69" t="s">
        <v>63</v>
      </c>
      <c r="AA2499" s="73"/>
      <c r="AB2499" s="73"/>
      <c r="AC2499" s="73"/>
      <c r="AD2499" s="73"/>
      <c r="AE2499" s="73"/>
      <c r="AF2499" s="73"/>
      <c r="AG2499" s="73"/>
      <c r="AH2499" s="73"/>
      <c r="AI2499" s="73"/>
      <c r="AJ2499" s="73"/>
      <c r="AK2499" s="73"/>
    </row>
    <row r="2500">
      <c r="A2500" s="28">
        <v>2499.0</v>
      </c>
      <c r="B2500" s="29"/>
      <c r="C2500" s="29"/>
      <c r="D2500" s="40">
        <v>1.0</v>
      </c>
      <c r="E2500" s="31">
        <v>47.0</v>
      </c>
      <c r="F2500" s="42">
        <v>53.0</v>
      </c>
      <c r="G2500" s="29" t="str">
        <f t="shared" si="1"/>
        <v>47053</v>
      </c>
      <c r="H2500" s="37" t="s">
        <v>763</v>
      </c>
      <c r="I2500" s="37" t="s">
        <v>111</v>
      </c>
      <c r="J2500" s="37" t="s">
        <v>452</v>
      </c>
      <c r="K2500" s="37" t="str">
        <f t="shared" si="43"/>
        <v>Gibson, TN</v>
      </c>
      <c r="L2500" s="37" t="s">
        <v>63</v>
      </c>
      <c r="M2500" s="37" t="s">
        <v>63</v>
      </c>
      <c r="N2500" s="37">
        <v>39.0</v>
      </c>
      <c r="O2500" s="37" t="s">
        <v>63</v>
      </c>
      <c r="P2500" s="37" t="s">
        <v>63</v>
      </c>
      <c r="Q2500" s="37">
        <v>39.0</v>
      </c>
      <c r="R2500" s="37">
        <v>8.0</v>
      </c>
      <c r="S2500" s="37" t="s">
        <v>63</v>
      </c>
      <c r="T2500" s="69" t="s">
        <v>63</v>
      </c>
      <c r="U2500" s="37" t="s">
        <v>63</v>
      </c>
      <c r="V2500" s="37" t="s">
        <v>63</v>
      </c>
      <c r="W2500" s="37" t="s">
        <v>63</v>
      </c>
      <c r="X2500" s="37" t="s">
        <v>63</v>
      </c>
      <c r="Y2500" s="53">
        <v>93.0</v>
      </c>
      <c r="Z2500" s="69" t="s">
        <v>63</v>
      </c>
      <c r="AA2500" s="73"/>
      <c r="AB2500" s="73"/>
      <c r="AC2500" s="73"/>
      <c r="AD2500" s="73"/>
      <c r="AE2500" s="73"/>
      <c r="AF2500" s="73"/>
      <c r="AG2500" s="73"/>
      <c r="AH2500" s="73"/>
      <c r="AI2500" s="73"/>
      <c r="AJ2500" s="73"/>
      <c r="AK2500" s="73"/>
    </row>
    <row r="2501">
      <c r="A2501" s="28">
        <v>2500.0</v>
      </c>
      <c r="B2501" s="29"/>
      <c r="C2501" s="29"/>
      <c r="D2501" s="40">
        <v>1.0</v>
      </c>
      <c r="E2501" s="31">
        <v>47.0</v>
      </c>
      <c r="F2501" s="42">
        <v>55.0</v>
      </c>
      <c r="G2501" s="29" t="str">
        <f t="shared" si="1"/>
        <v>47055</v>
      </c>
      <c r="H2501" s="37" t="s">
        <v>1907</v>
      </c>
      <c r="I2501" s="37" t="s">
        <v>111</v>
      </c>
      <c r="J2501" s="37" t="s">
        <v>452</v>
      </c>
      <c r="K2501" s="37" t="str">
        <f t="shared" si="43"/>
        <v>Giles, TN</v>
      </c>
      <c r="L2501" s="37" t="s">
        <v>63</v>
      </c>
      <c r="M2501" s="37" t="s">
        <v>63</v>
      </c>
      <c r="N2501" s="37">
        <v>82.0</v>
      </c>
      <c r="O2501" s="37" t="s">
        <v>63</v>
      </c>
      <c r="P2501" s="37" t="s">
        <v>63</v>
      </c>
      <c r="Q2501" s="37">
        <v>82.0</v>
      </c>
      <c r="R2501" s="37">
        <v>4.0</v>
      </c>
      <c r="S2501" s="37" t="s">
        <v>63</v>
      </c>
      <c r="T2501" s="69" t="s">
        <v>63</v>
      </c>
      <c r="U2501" s="37" t="s">
        <v>63</v>
      </c>
      <c r="V2501" s="37" t="s">
        <v>63</v>
      </c>
      <c r="W2501" s="37" t="s">
        <v>63</v>
      </c>
      <c r="X2501" s="37" t="s">
        <v>63</v>
      </c>
      <c r="Y2501" s="53">
        <v>48.0</v>
      </c>
      <c r="Z2501" s="69" t="s">
        <v>63</v>
      </c>
      <c r="AA2501" s="73"/>
      <c r="AB2501" s="73"/>
      <c r="AC2501" s="73"/>
      <c r="AD2501" s="73"/>
      <c r="AE2501" s="73"/>
      <c r="AF2501" s="73"/>
      <c r="AG2501" s="73"/>
      <c r="AH2501" s="73"/>
      <c r="AI2501" s="73"/>
      <c r="AJ2501" s="73"/>
      <c r="AK2501" s="73"/>
    </row>
    <row r="2502">
      <c r="A2502" s="28">
        <v>2501.0</v>
      </c>
      <c r="B2502" s="29"/>
      <c r="C2502" s="29"/>
      <c r="D2502" s="40">
        <v>1.0</v>
      </c>
      <c r="E2502" s="31">
        <v>47.0</v>
      </c>
      <c r="F2502" s="42">
        <v>57.0</v>
      </c>
      <c r="G2502" s="29" t="str">
        <f t="shared" si="1"/>
        <v>47057</v>
      </c>
      <c r="H2502" s="37" t="s">
        <v>1908</v>
      </c>
      <c r="I2502" s="37" t="s">
        <v>111</v>
      </c>
      <c r="J2502" s="37" t="s">
        <v>452</v>
      </c>
      <c r="K2502" s="37" t="str">
        <f t="shared" si="43"/>
        <v>Grainger, TN</v>
      </c>
      <c r="L2502" s="37" t="s">
        <v>63</v>
      </c>
      <c r="M2502" s="37" t="s">
        <v>63</v>
      </c>
      <c r="N2502" s="37">
        <v>31.0</v>
      </c>
      <c r="O2502" s="37" t="s">
        <v>63</v>
      </c>
      <c r="P2502" s="37" t="s">
        <v>63</v>
      </c>
      <c r="Q2502" s="37">
        <v>31.0</v>
      </c>
      <c r="R2502" s="37">
        <v>1.0</v>
      </c>
      <c r="S2502" s="37" t="s">
        <v>63</v>
      </c>
      <c r="T2502" s="69" t="s">
        <v>63</v>
      </c>
      <c r="U2502" s="37" t="s">
        <v>63</v>
      </c>
      <c r="V2502" s="37" t="s">
        <v>63</v>
      </c>
      <c r="W2502" s="37" t="s">
        <v>63</v>
      </c>
      <c r="X2502" s="37" t="s">
        <v>63</v>
      </c>
      <c r="Y2502" s="53">
        <v>31.0</v>
      </c>
      <c r="Z2502" s="69" t="s">
        <v>63</v>
      </c>
      <c r="AA2502" s="73"/>
      <c r="AB2502" s="73"/>
      <c r="AC2502" s="73"/>
      <c r="AD2502" s="73"/>
      <c r="AE2502" s="73"/>
      <c r="AF2502" s="73"/>
      <c r="AG2502" s="73"/>
      <c r="AH2502" s="73"/>
      <c r="AI2502" s="73"/>
      <c r="AJ2502" s="73"/>
      <c r="AK2502" s="73"/>
    </row>
    <row r="2503">
      <c r="A2503" s="28">
        <v>2502.0</v>
      </c>
      <c r="B2503" s="29"/>
      <c r="C2503" s="29"/>
      <c r="D2503" s="40">
        <v>1.0</v>
      </c>
      <c r="E2503" s="31">
        <v>47.0</v>
      </c>
      <c r="F2503" s="42">
        <v>59.0</v>
      </c>
      <c r="G2503" s="29" t="str">
        <f t="shared" si="1"/>
        <v>47059</v>
      </c>
      <c r="H2503" s="37" t="s">
        <v>138</v>
      </c>
      <c r="I2503" s="37" t="s">
        <v>111</v>
      </c>
      <c r="J2503" s="37" t="s">
        <v>452</v>
      </c>
      <c r="K2503" s="37" t="str">
        <f t="shared" si="43"/>
        <v>Greene, TN</v>
      </c>
      <c r="L2503" s="37" t="s">
        <v>63</v>
      </c>
      <c r="M2503" s="37" t="s">
        <v>63</v>
      </c>
      <c r="N2503" s="37">
        <v>148.0</v>
      </c>
      <c r="O2503" s="37" t="s">
        <v>63</v>
      </c>
      <c r="P2503" s="37" t="s">
        <v>63</v>
      </c>
      <c r="Q2503" s="37">
        <v>148.0</v>
      </c>
      <c r="R2503" s="37">
        <v>26.0</v>
      </c>
      <c r="S2503" s="37" t="s">
        <v>63</v>
      </c>
      <c r="T2503" s="69" t="s">
        <v>63</v>
      </c>
      <c r="U2503" s="37" t="s">
        <v>63</v>
      </c>
      <c r="V2503" s="37" t="s">
        <v>63</v>
      </c>
      <c r="W2503" s="37" t="s">
        <v>63</v>
      </c>
      <c r="X2503" s="37" t="s">
        <v>63</v>
      </c>
      <c r="Y2503" s="53">
        <v>77.0</v>
      </c>
      <c r="Z2503" s="69" t="s">
        <v>63</v>
      </c>
      <c r="AA2503" s="73"/>
      <c r="AB2503" s="73"/>
      <c r="AC2503" s="73"/>
      <c r="AD2503" s="73"/>
      <c r="AE2503" s="73"/>
      <c r="AF2503" s="73"/>
      <c r="AG2503" s="73"/>
      <c r="AH2503" s="73"/>
      <c r="AI2503" s="73"/>
      <c r="AJ2503" s="73"/>
      <c r="AK2503" s="73"/>
    </row>
    <row r="2504">
      <c r="A2504" s="28">
        <v>2503.0</v>
      </c>
      <c r="B2504" s="29"/>
      <c r="C2504" s="29"/>
      <c r="D2504" s="40">
        <v>1.0</v>
      </c>
      <c r="E2504" s="31">
        <v>47.0</v>
      </c>
      <c r="F2504" s="42">
        <v>61.0</v>
      </c>
      <c r="G2504" s="29" t="str">
        <f t="shared" si="1"/>
        <v>47061</v>
      </c>
      <c r="H2504" s="37" t="s">
        <v>720</v>
      </c>
      <c r="I2504" s="37" t="s">
        <v>111</v>
      </c>
      <c r="J2504" s="37" t="s">
        <v>452</v>
      </c>
      <c r="K2504" s="37" t="str">
        <f t="shared" si="43"/>
        <v>Grundy, TN</v>
      </c>
      <c r="L2504" s="37" t="s">
        <v>63</v>
      </c>
      <c r="M2504" s="37" t="s">
        <v>63</v>
      </c>
      <c r="N2504" s="37">
        <v>36.0</v>
      </c>
      <c r="O2504" s="37" t="s">
        <v>63</v>
      </c>
      <c r="P2504" s="37" t="s">
        <v>63</v>
      </c>
      <c r="Q2504" s="37">
        <v>36.0</v>
      </c>
      <c r="R2504" s="37">
        <v>6.0</v>
      </c>
      <c r="S2504" s="37" t="s">
        <v>63</v>
      </c>
      <c r="T2504" s="69" t="s">
        <v>63</v>
      </c>
      <c r="U2504" s="37" t="s">
        <v>63</v>
      </c>
      <c r="V2504" s="37" t="s">
        <v>63</v>
      </c>
      <c r="W2504" s="37" t="s">
        <v>63</v>
      </c>
      <c r="X2504" s="37" t="s">
        <v>63</v>
      </c>
      <c r="Y2504" s="53">
        <v>25.0</v>
      </c>
      <c r="Z2504" s="69" t="s">
        <v>63</v>
      </c>
      <c r="AA2504" s="73"/>
      <c r="AB2504" s="73"/>
      <c r="AC2504" s="73"/>
      <c r="AD2504" s="73"/>
      <c r="AE2504" s="73"/>
      <c r="AF2504" s="73"/>
      <c r="AG2504" s="73"/>
      <c r="AH2504" s="73"/>
      <c r="AI2504" s="73"/>
      <c r="AJ2504" s="73"/>
      <c r="AK2504" s="73"/>
    </row>
    <row r="2505">
      <c r="A2505" s="28">
        <v>2504.0</v>
      </c>
      <c r="B2505" s="29"/>
      <c r="C2505" s="29"/>
      <c r="D2505" s="40">
        <v>1.0</v>
      </c>
      <c r="E2505" s="31">
        <v>47.0</v>
      </c>
      <c r="F2505" s="42">
        <v>63.0</v>
      </c>
      <c r="G2505" s="29" t="str">
        <f t="shared" si="1"/>
        <v>47063</v>
      </c>
      <c r="H2505" s="37" t="s">
        <v>1911</v>
      </c>
      <c r="I2505" s="37" t="s">
        <v>111</v>
      </c>
      <c r="J2505" s="37" t="s">
        <v>452</v>
      </c>
      <c r="K2505" s="37" t="str">
        <f t="shared" si="43"/>
        <v>Hamblen, TN</v>
      </c>
      <c r="L2505" s="37" t="s">
        <v>63</v>
      </c>
      <c r="M2505" s="37" t="s">
        <v>63</v>
      </c>
      <c r="N2505" s="37">
        <v>89.0</v>
      </c>
      <c r="O2505" s="37" t="s">
        <v>63</v>
      </c>
      <c r="P2505" s="37" t="s">
        <v>63</v>
      </c>
      <c r="Q2505" s="37">
        <v>89.0</v>
      </c>
      <c r="R2505" s="37">
        <v>18.0</v>
      </c>
      <c r="S2505" s="37" t="s">
        <v>63</v>
      </c>
      <c r="T2505" s="69" t="s">
        <v>63</v>
      </c>
      <c r="U2505" s="37" t="s">
        <v>63</v>
      </c>
      <c r="V2505" s="37" t="s">
        <v>63</v>
      </c>
      <c r="W2505" s="37" t="s">
        <v>63</v>
      </c>
      <c r="X2505" s="37" t="s">
        <v>63</v>
      </c>
      <c r="Y2505" s="53">
        <v>66.0</v>
      </c>
      <c r="Z2505" s="69" t="s">
        <v>63</v>
      </c>
      <c r="AA2505" s="73"/>
      <c r="AB2505" s="73"/>
      <c r="AC2505" s="73"/>
      <c r="AD2505" s="73"/>
      <c r="AE2505" s="73"/>
      <c r="AF2505" s="73"/>
      <c r="AG2505" s="73"/>
      <c r="AH2505" s="73"/>
      <c r="AI2505" s="73"/>
      <c r="AJ2505" s="73"/>
      <c r="AK2505" s="73"/>
    </row>
    <row r="2506">
      <c r="A2506" s="28">
        <v>2505.0</v>
      </c>
      <c r="B2506" s="29"/>
      <c r="C2506" s="29"/>
      <c r="D2506" s="40">
        <v>1.0</v>
      </c>
      <c r="E2506" s="31">
        <v>47.0</v>
      </c>
      <c r="F2506" s="42">
        <v>65.0</v>
      </c>
      <c r="G2506" s="29" t="str">
        <f t="shared" si="1"/>
        <v>47065</v>
      </c>
      <c r="H2506" s="37" t="s">
        <v>497</v>
      </c>
      <c r="I2506" s="37" t="s">
        <v>111</v>
      </c>
      <c r="J2506" s="37" t="s">
        <v>452</v>
      </c>
      <c r="K2506" s="37" t="str">
        <f t="shared" si="43"/>
        <v>Hamilton, TN</v>
      </c>
      <c r="L2506" s="37" t="s">
        <v>63</v>
      </c>
      <c r="M2506" s="37" t="s">
        <v>63</v>
      </c>
      <c r="N2506" s="37">
        <v>287.0</v>
      </c>
      <c r="O2506" s="37" t="s">
        <v>63</v>
      </c>
      <c r="P2506" s="37" t="s">
        <v>63</v>
      </c>
      <c r="Q2506" s="37">
        <v>287.0</v>
      </c>
      <c r="R2506" s="37">
        <v>24.0</v>
      </c>
      <c r="S2506" s="37" t="s">
        <v>63</v>
      </c>
      <c r="T2506" s="69" t="s">
        <v>63</v>
      </c>
      <c r="U2506" s="37" t="s">
        <v>63</v>
      </c>
      <c r="V2506" s="37" t="s">
        <v>63</v>
      </c>
      <c r="W2506" s="37" t="s">
        <v>63</v>
      </c>
      <c r="X2506" s="37" t="s">
        <v>63</v>
      </c>
      <c r="Y2506" s="53">
        <v>414.0</v>
      </c>
      <c r="Z2506" s="69" t="s">
        <v>63</v>
      </c>
      <c r="AA2506" s="73"/>
      <c r="AB2506" s="73"/>
      <c r="AC2506" s="73"/>
      <c r="AD2506" s="73"/>
      <c r="AE2506" s="73"/>
      <c r="AF2506" s="73"/>
      <c r="AG2506" s="73"/>
      <c r="AH2506" s="73"/>
      <c r="AI2506" s="73"/>
      <c r="AJ2506" s="73"/>
      <c r="AK2506" s="73"/>
    </row>
    <row r="2507">
      <c r="A2507" s="28">
        <v>2506.0</v>
      </c>
      <c r="B2507" s="29"/>
      <c r="C2507" s="29"/>
      <c r="D2507" s="40">
        <v>1.0</v>
      </c>
      <c r="E2507" s="31">
        <v>47.0</v>
      </c>
      <c r="F2507" s="42">
        <v>67.0</v>
      </c>
      <c r="G2507" s="29" t="str">
        <f t="shared" si="1"/>
        <v>47067</v>
      </c>
      <c r="H2507" s="37" t="s">
        <v>587</v>
      </c>
      <c r="I2507" s="37" t="s">
        <v>111</v>
      </c>
      <c r="J2507" s="37" t="s">
        <v>452</v>
      </c>
      <c r="K2507" s="37" t="str">
        <f t="shared" si="43"/>
        <v>Hancock, TN</v>
      </c>
      <c r="L2507" s="37" t="s">
        <v>63</v>
      </c>
      <c r="M2507" s="37" t="s">
        <v>63</v>
      </c>
      <c r="N2507" s="37">
        <v>4.0</v>
      </c>
      <c r="O2507" s="37" t="s">
        <v>63</v>
      </c>
      <c r="P2507" s="37" t="s">
        <v>63</v>
      </c>
      <c r="Q2507" s="37">
        <v>4.0</v>
      </c>
      <c r="R2507" s="37" t="s">
        <v>63</v>
      </c>
      <c r="S2507" s="37" t="s">
        <v>63</v>
      </c>
      <c r="T2507" s="69" t="s">
        <v>63</v>
      </c>
      <c r="U2507" s="37" t="s">
        <v>63</v>
      </c>
      <c r="V2507" s="37" t="s">
        <v>63</v>
      </c>
      <c r="W2507" s="37" t="s">
        <v>63</v>
      </c>
      <c r="X2507" s="37" t="s">
        <v>63</v>
      </c>
      <c r="Y2507" s="53">
        <v>4.0</v>
      </c>
      <c r="Z2507" s="69" t="s">
        <v>63</v>
      </c>
      <c r="AA2507" s="73"/>
      <c r="AB2507" s="73"/>
      <c r="AC2507" s="73"/>
      <c r="AD2507" s="73"/>
      <c r="AE2507" s="73"/>
      <c r="AF2507" s="73"/>
      <c r="AG2507" s="73"/>
      <c r="AH2507" s="73"/>
      <c r="AI2507" s="73"/>
      <c r="AJ2507" s="73"/>
      <c r="AK2507" s="73"/>
    </row>
    <row r="2508">
      <c r="A2508" s="28">
        <v>2507.0</v>
      </c>
      <c r="B2508" s="29"/>
      <c r="C2508" s="29"/>
      <c r="D2508" s="40">
        <v>1.0</v>
      </c>
      <c r="E2508" s="31">
        <v>47.0</v>
      </c>
      <c r="F2508" s="42">
        <v>69.0</v>
      </c>
      <c r="G2508" s="29" t="str">
        <f t="shared" si="1"/>
        <v>47069</v>
      </c>
      <c r="H2508" s="37" t="s">
        <v>1915</v>
      </c>
      <c r="I2508" s="37" t="s">
        <v>111</v>
      </c>
      <c r="J2508" s="37" t="s">
        <v>452</v>
      </c>
      <c r="K2508" s="37" t="str">
        <f t="shared" si="43"/>
        <v>Hardeman, TN</v>
      </c>
      <c r="L2508" s="37" t="s">
        <v>63</v>
      </c>
      <c r="M2508" s="37" t="s">
        <v>63</v>
      </c>
      <c r="N2508" s="37">
        <v>17.0</v>
      </c>
      <c r="O2508" s="37" t="s">
        <v>63</v>
      </c>
      <c r="P2508" s="37" t="s">
        <v>63</v>
      </c>
      <c r="Q2508" s="37">
        <v>17.0</v>
      </c>
      <c r="R2508" s="37">
        <v>3.0</v>
      </c>
      <c r="S2508" s="37" t="s">
        <v>63</v>
      </c>
      <c r="T2508" s="69" t="s">
        <v>63</v>
      </c>
      <c r="U2508" s="37" t="s">
        <v>63</v>
      </c>
      <c r="V2508" s="37" t="s">
        <v>63</v>
      </c>
      <c r="W2508" s="37" t="s">
        <v>63</v>
      </c>
      <c r="X2508" s="37" t="s">
        <v>63</v>
      </c>
      <c r="Y2508" s="53">
        <v>42.0</v>
      </c>
      <c r="Z2508" s="69" t="s">
        <v>63</v>
      </c>
      <c r="AA2508" s="73"/>
      <c r="AB2508" s="73"/>
      <c r="AC2508" s="73"/>
      <c r="AD2508" s="73"/>
      <c r="AE2508" s="73"/>
      <c r="AF2508" s="73"/>
      <c r="AG2508" s="73"/>
      <c r="AH2508" s="73"/>
      <c r="AI2508" s="73"/>
      <c r="AJ2508" s="73"/>
      <c r="AK2508" s="73"/>
    </row>
    <row r="2509">
      <c r="A2509" s="28">
        <v>2508.0</v>
      </c>
      <c r="B2509" s="29"/>
      <c r="C2509" s="29"/>
      <c r="D2509" s="40">
        <v>1.0</v>
      </c>
      <c r="E2509" s="31">
        <v>47.0</v>
      </c>
      <c r="F2509" s="42">
        <v>71.0</v>
      </c>
      <c r="G2509" s="29" t="str">
        <f t="shared" si="1"/>
        <v>47071</v>
      </c>
      <c r="H2509" s="37" t="s">
        <v>721</v>
      </c>
      <c r="I2509" s="37" t="s">
        <v>111</v>
      </c>
      <c r="J2509" s="37" t="s">
        <v>452</v>
      </c>
      <c r="K2509" s="37" t="str">
        <f t="shared" si="43"/>
        <v>Hardin, TN</v>
      </c>
      <c r="L2509" s="37" t="s">
        <v>63</v>
      </c>
      <c r="M2509" s="37" t="s">
        <v>63</v>
      </c>
      <c r="N2509" s="37">
        <v>34.0</v>
      </c>
      <c r="O2509" s="37" t="s">
        <v>63</v>
      </c>
      <c r="P2509" s="37" t="s">
        <v>63</v>
      </c>
      <c r="Q2509" s="37">
        <v>34.0</v>
      </c>
      <c r="R2509" s="37">
        <v>6.0</v>
      </c>
      <c r="S2509" s="37" t="s">
        <v>63</v>
      </c>
      <c r="T2509" s="69" t="s">
        <v>63</v>
      </c>
      <c r="U2509" s="37" t="s">
        <v>63</v>
      </c>
      <c r="V2509" s="37" t="s">
        <v>63</v>
      </c>
      <c r="W2509" s="37" t="s">
        <v>63</v>
      </c>
      <c r="X2509" s="37" t="s">
        <v>63</v>
      </c>
      <c r="Y2509" s="53">
        <v>50.0</v>
      </c>
      <c r="Z2509" s="69" t="s">
        <v>63</v>
      </c>
      <c r="AA2509" s="73"/>
      <c r="AB2509" s="73"/>
      <c r="AC2509" s="73"/>
      <c r="AD2509" s="73"/>
      <c r="AE2509" s="73"/>
      <c r="AF2509" s="73"/>
      <c r="AG2509" s="73"/>
      <c r="AH2509" s="73"/>
      <c r="AI2509" s="73"/>
      <c r="AJ2509" s="73"/>
      <c r="AK2509" s="73"/>
    </row>
    <row r="2510">
      <c r="A2510" s="28">
        <v>2509.0</v>
      </c>
      <c r="B2510" s="29"/>
      <c r="C2510" s="29"/>
      <c r="D2510" s="40">
        <v>1.0</v>
      </c>
      <c r="E2510" s="31">
        <v>47.0</v>
      </c>
      <c r="F2510" s="42">
        <v>73.0</v>
      </c>
      <c r="G2510" s="29" t="str">
        <f t="shared" si="1"/>
        <v>47073</v>
      </c>
      <c r="H2510" s="37" t="s">
        <v>1917</v>
      </c>
      <c r="I2510" s="37" t="s">
        <v>111</v>
      </c>
      <c r="J2510" s="37" t="s">
        <v>452</v>
      </c>
      <c r="K2510" s="37" t="str">
        <f t="shared" si="43"/>
        <v>Hawkins, TN</v>
      </c>
      <c r="L2510" s="37" t="s">
        <v>63</v>
      </c>
      <c r="M2510" s="37" t="s">
        <v>63</v>
      </c>
      <c r="N2510" s="37">
        <v>52.0</v>
      </c>
      <c r="O2510" s="37" t="s">
        <v>63</v>
      </c>
      <c r="P2510" s="37" t="s">
        <v>63</v>
      </c>
      <c r="Q2510" s="37">
        <v>52.0</v>
      </c>
      <c r="R2510" s="37">
        <v>12.0</v>
      </c>
      <c r="S2510" s="37" t="s">
        <v>63</v>
      </c>
      <c r="T2510" s="69" t="s">
        <v>63</v>
      </c>
      <c r="U2510" s="37" t="s">
        <v>63</v>
      </c>
      <c r="V2510" s="37" t="s">
        <v>63</v>
      </c>
      <c r="W2510" s="37" t="s">
        <v>63</v>
      </c>
      <c r="X2510" s="37" t="s">
        <v>63</v>
      </c>
      <c r="Y2510" s="53">
        <v>54.0</v>
      </c>
      <c r="Z2510" s="69" t="s">
        <v>63</v>
      </c>
      <c r="AA2510" s="73"/>
      <c r="AB2510" s="73"/>
      <c r="AC2510" s="73"/>
      <c r="AD2510" s="73"/>
      <c r="AE2510" s="73"/>
      <c r="AF2510" s="73"/>
      <c r="AG2510" s="73"/>
      <c r="AH2510" s="73"/>
      <c r="AI2510" s="73"/>
      <c r="AJ2510" s="73"/>
      <c r="AK2510" s="73"/>
    </row>
    <row r="2511">
      <c r="A2511" s="28">
        <v>2510.0</v>
      </c>
      <c r="B2511" s="29"/>
      <c r="C2511" s="29"/>
      <c r="D2511" s="40">
        <v>1.0</v>
      </c>
      <c r="E2511" s="31">
        <v>47.0</v>
      </c>
      <c r="F2511" s="42">
        <v>75.0</v>
      </c>
      <c r="G2511" s="29" t="str">
        <f t="shared" si="1"/>
        <v>47075</v>
      </c>
      <c r="H2511" s="37" t="s">
        <v>1607</v>
      </c>
      <c r="I2511" s="37" t="s">
        <v>111</v>
      </c>
      <c r="J2511" s="37" t="s">
        <v>452</v>
      </c>
      <c r="K2511" s="37" t="str">
        <f t="shared" si="43"/>
        <v>Haywood, TN</v>
      </c>
      <c r="L2511" s="37" t="s">
        <v>63</v>
      </c>
      <c r="M2511" s="37" t="s">
        <v>63</v>
      </c>
      <c r="N2511" s="37">
        <v>9.0</v>
      </c>
      <c r="O2511" s="37" t="s">
        <v>63</v>
      </c>
      <c r="P2511" s="37" t="s">
        <v>63</v>
      </c>
      <c r="Q2511" s="37">
        <v>9.0</v>
      </c>
      <c r="R2511" s="37">
        <v>1.0</v>
      </c>
      <c r="S2511" s="37" t="s">
        <v>63</v>
      </c>
      <c r="T2511" s="69" t="s">
        <v>63</v>
      </c>
      <c r="U2511" s="37" t="s">
        <v>63</v>
      </c>
      <c r="V2511" s="37" t="s">
        <v>63</v>
      </c>
      <c r="W2511" s="37" t="s">
        <v>63</v>
      </c>
      <c r="X2511" s="37" t="s">
        <v>63</v>
      </c>
      <c r="Y2511" s="53">
        <v>43.0</v>
      </c>
      <c r="Z2511" s="69" t="s">
        <v>63</v>
      </c>
      <c r="AA2511" s="73"/>
      <c r="AB2511" s="73"/>
      <c r="AC2511" s="73"/>
      <c r="AD2511" s="73"/>
      <c r="AE2511" s="73"/>
      <c r="AF2511" s="73"/>
      <c r="AG2511" s="73"/>
      <c r="AH2511" s="73"/>
      <c r="AI2511" s="73"/>
      <c r="AJ2511" s="73"/>
      <c r="AK2511" s="73"/>
    </row>
    <row r="2512">
      <c r="A2512" s="28">
        <v>2511.0</v>
      </c>
      <c r="B2512" s="29"/>
      <c r="C2512" s="29"/>
      <c r="D2512" s="40">
        <v>1.0</v>
      </c>
      <c r="E2512" s="31">
        <v>47.0</v>
      </c>
      <c r="F2512" s="42">
        <v>77.0</v>
      </c>
      <c r="G2512" s="29" t="str">
        <f t="shared" si="1"/>
        <v>47077</v>
      </c>
      <c r="H2512" s="37" t="s">
        <v>722</v>
      </c>
      <c r="I2512" s="37" t="s">
        <v>111</v>
      </c>
      <c r="J2512" s="37" t="s">
        <v>452</v>
      </c>
      <c r="K2512" s="37" t="str">
        <f t="shared" si="43"/>
        <v>Henderson, TN</v>
      </c>
      <c r="L2512" s="37" t="s">
        <v>63</v>
      </c>
      <c r="M2512" s="37" t="s">
        <v>63</v>
      </c>
      <c r="N2512" s="37">
        <v>23.0</v>
      </c>
      <c r="O2512" s="37" t="s">
        <v>63</v>
      </c>
      <c r="P2512" s="37" t="s">
        <v>63</v>
      </c>
      <c r="Q2512" s="37">
        <v>23.0</v>
      </c>
      <c r="R2512" s="37">
        <v>4.0</v>
      </c>
      <c r="S2512" s="37" t="s">
        <v>63</v>
      </c>
      <c r="T2512" s="69" t="s">
        <v>63</v>
      </c>
      <c r="U2512" s="37" t="s">
        <v>63</v>
      </c>
      <c r="V2512" s="37" t="s">
        <v>63</v>
      </c>
      <c r="W2512" s="37" t="s">
        <v>63</v>
      </c>
      <c r="X2512" s="37" t="s">
        <v>63</v>
      </c>
      <c r="Y2512" s="53">
        <v>31.0</v>
      </c>
      <c r="Z2512" s="69" t="s">
        <v>63</v>
      </c>
      <c r="AA2512" s="73"/>
      <c r="AB2512" s="73"/>
      <c r="AC2512" s="73"/>
      <c r="AD2512" s="73"/>
      <c r="AE2512" s="73"/>
      <c r="AF2512" s="73"/>
      <c r="AG2512" s="73"/>
      <c r="AH2512" s="73"/>
      <c r="AI2512" s="73"/>
      <c r="AJ2512" s="73"/>
      <c r="AK2512" s="73"/>
    </row>
    <row r="2513">
      <c r="A2513" s="28">
        <v>2512.0</v>
      </c>
      <c r="B2513" s="29"/>
      <c r="C2513" s="29"/>
      <c r="D2513" s="40">
        <v>1.0</v>
      </c>
      <c r="E2513" s="31">
        <v>47.0</v>
      </c>
      <c r="F2513" s="42">
        <v>79.0</v>
      </c>
      <c r="G2513" s="29" t="str">
        <f t="shared" si="1"/>
        <v>47079</v>
      </c>
      <c r="H2513" s="37" t="s">
        <v>140</v>
      </c>
      <c r="I2513" s="37" t="s">
        <v>111</v>
      </c>
      <c r="J2513" s="37" t="s">
        <v>452</v>
      </c>
      <c r="K2513" s="37" t="str">
        <f t="shared" si="43"/>
        <v>Henry, TN</v>
      </c>
      <c r="L2513" s="37" t="s">
        <v>63</v>
      </c>
      <c r="M2513" s="37" t="s">
        <v>63</v>
      </c>
      <c r="N2513" s="37">
        <v>26.0</v>
      </c>
      <c r="O2513" s="37" t="s">
        <v>63</v>
      </c>
      <c r="P2513" s="37" t="s">
        <v>63</v>
      </c>
      <c r="Q2513" s="37">
        <v>26.0</v>
      </c>
      <c r="R2513" s="37">
        <v>2.0</v>
      </c>
      <c r="S2513" s="37" t="s">
        <v>63</v>
      </c>
      <c r="T2513" s="69" t="s">
        <v>63</v>
      </c>
      <c r="U2513" s="37" t="s">
        <v>63</v>
      </c>
      <c r="V2513" s="37" t="s">
        <v>63</v>
      </c>
      <c r="W2513" s="37" t="s">
        <v>63</v>
      </c>
      <c r="X2513" s="37" t="s">
        <v>63</v>
      </c>
      <c r="Y2513" s="53">
        <v>52.0</v>
      </c>
      <c r="Z2513" s="69" t="s">
        <v>63</v>
      </c>
      <c r="AA2513" s="73"/>
      <c r="AB2513" s="73"/>
      <c r="AC2513" s="73"/>
      <c r="AD2513" s="73"/>
      <c r="AE2513" s="73"/>
      <c r="AF2513" s="73"/>
      <c r="AG2513" s="73"/>
      <c r="AH2513" s="73"/>
      <c r="AI2513" s="73"/>
      <c r="AJ2513" s="73"/>
      <c r="AK2513" s="73"/>
    </row>
    <row r="2514">
      <c r="A2514" s="28">
        <v>2513.0</v>
      </c>
      <c r="B2514" s="29"/>
      <c r="C2514" s="29"/>
      <c r="D2514" s="40">
        <v>1.0</v>
      </c>
      <c r="E2514" s="31">
        <v>47.0</v>
      </c>
      <c r="F2514" s="42">
        <v>81.0</v>
      </c>
      <c r="G2514" s="29" t="str">
        <f t="shared" si="1"/>
        <v>47081</v>
      </c>
      <c r="H2514" s="37" t="s">
        <v>1097</v>
      </c>
      <c r="I2514" s="37" t="s">
        <v>111</v>
      </c>
      <c r="J2514" s="37" t="s">
        <v>452</v>
      </c>
      <c r="K2514" s="37" t="str">
        <f t="shared" si="43"/>
        <v>Hickman, TN</v>
      </c>
      <c r="L2514" s="37" t="s">
        <v>63</v>
      </c>
      <c r="M2514" s="37" t="s">
        <v>63</v>
      </c>
      <c r="N2514" s="37">
        <v>40.0</v>
      </c>
      <c r="O2514" s="37" t="s">
        <v>63</v>
      </c>
      <c r="P2514" s="37" t="s">
        <v>63</v>
      </c>
      <c r="Q2514" s="37">
        <v>40.0</v>
      </c>
      <c r="R2514" s="37">
        <v>6.0</v>
      </c>
      <c r="S2514" s="37" t="s">
        <v>63</v>
      </c>
      <c r="T2514" s="69" t="s">
        <v>63</v>
      </c>
      <c r="U2514" s="37" t="s">
        <v>63</v>
      </c>
      <c r="V2514" s="37" t="s">
        <v>63</v>
      </c>
      <c r="W2514" s="37" t="s">
        <v>63</v>
      </c>
      <c r="X2514" s="37" t="s">
        <v>63</v>
      </c>
      <c r="Y2514" s="53">
        <v>30.0</v>
      </c>
      <c r="Z2514" s="69" t="s">
        <v>63</v>
      </c>
      <c r="AA2514" s="73"/>
      <c r="AB2514" s="73"/>
      <c r="AC2514" s="73"/>
      <c r="AD2514" s="73"/>
      <c r="AE2514" s="73"/>
      <c r="AF2514" s="73"/>
      <c r="AG2514" s="73"/>
      <c r="AH2514" s="73"/>
      <c r="AI2514" s="73"/>
      <c r="AJ2514" s="73"/>
      <c r="AK2514" s="73"/>
    </row>
    <row r="2515">
      <c r="A2515" s="28">
        <v>2514.0</v>
      </c>
      <c r="B2515" s="29"/>
      <c r="C2515" s="29"/>
      <c r="D2515" s="40">
        <v>1.0</v>
      </c>
      <c r="E2515" s="31">
        <v>47.0</v>
      </c>
      <c r="F2515" s="42">
        <v>83.0</v>
      </c>
      <c r="G2515" s="29" t="str">
        <f t="shared" si="1"/>
        <v>47083</v>
      </c>
      <c r="H2515" s="37" t="s">
        <v>141</v>
      </c>
      <c r="I2515" s="37" t="s">
        <v>111</v>
      </c>
      <c r="J2515" s="37" t="s">
        <v>452</v>
      </c>
      <c r="K2515" s="37" t="str">
        <f t="shared" si="43"/>
        <v>Houston, TN</v>
      </c>
      <c r="L2515" s="37" t="s">
        <v>63</v>
      </c>
      <c r="M2515" s="37" t="s">
        <v>63</v>
      </c>
      <c r="N2515" s="37">
        <v>9.0</v>
      </c>
      <c r="O2515" s="37" t="s">
        <v>63</v>
      </c>
      <c r="P2515" s="37" t="s">
        <v>63</v>
      </c>
      <c r="Q2515" s="37">
        <v>9.0</v>
      </c>
      <c r="R2515" s="37">
        <v>2.0</v>
      </c>
      <c r="S2515" s="37" t="s">
        <v>63</v>
      </c>
      <c r="T2515" s="69" t="s">
        <v>63</v>
      </c>
      <c r="U2515" s="37" t="s">
        <v>63</v>
      </c>
      <c r="V2515" s="37" t="s">
        <v>63</v>
      </c>
      <c r="W2515" s="37" t="s">
        <v>63</v>
      </c>
      <c r="X2515" s="37" t="s">
        <v>63</v>
      </c>
      <c r="Y2515" s="53">
        <v>19.0</v>
      </c>
      <c r="Z2515" s="69" t="s">
        <v>63</v>
      </c>
      <c r="AA2515" s="73"/>
      <c r="AB2515" s="73"/>
      <c r="AC2515" s="73"/>
      <c r="AD2515" s="73"/>
      <c r="AE2515" s="73"/>
      <c r="AF2515" s="73"/>
      <c r="AG2515" s="73"/>
      <c r="AH2515" s="73"/>
      <c r="AI2515" s="73"/>
      <c r="AJ2515" s="73"/>
      <c r="AK2515" s="73"/>
    </row>
    <row r="2516">
      <c r="A2516" s="28">
        <v>2515.0</v>
      </c>
      <c r="B2516" s="29"/>
      <c r="C2516" s="29"/>
      <c r="D2516" s="40">
        <v>1.0</v>
      </c>
      <c r="E2516" s="31">
        <v>47.0</v>
      </c>
      <c r="F2516" s="42">
        <v>85.0</v>
      </c>
      <c r="G2516" s="29" t="str">
        <f t="shared" si="1"/>
        <v>47085</v>
      </c>
      <c r="H2516" s="37" t="s">
        <v>1368</v>
      </c>
      <c r="I2516" s="37" t="s">
        <v>111</v>
      </c>
      <c r="J2516" s="37" t="s">
        <v>452</v>
      </c>
      <c r="K2516" s="37" t="str">
        <f t="shared" si="43"/>
        <v>Humphreys, TN</v>
      </c>
      <c r="L2516" s="37" t="s">
        <v>63</v>
      </c>
      <c r="M2516" s="37" t="s">
        <v>63</v>
      </c>
      <c r="N2516" s="37">
        <v>23.0</v>
      </c>
      <c r="O2516" s="37" t="s">
        <v>63</v>
      </c>
      <c r="P2516" s="37" t="s">
        <v>63</v>
      </c>
      <c r="Q2516" s="37">
        <v>23.0</v>
      </c>
      <c r="R2516" s="37">
        <v>3.0</v>
      </c>
      <c r="S2516" s="37" t="s">
        <v>63</v>
      </c>
      <c r="T2516" s="69" t="s">
        <v>63</v>
      </c>
      <c r="U2516" s="37" t="s">
        <v>63</v>
      </c>
      <c r="V2516" s="37" t="s">
        <v>63</v>
      </c>
      <c r="W2516" s="37" t="s">
        <v>63</v>
      </c>
      <c r="X2516" s="37" t="s">
        <v>63</v>
      </c>
      <c r="Y2516" s="53">
        <v>32.0</v>
      </c>
      <c r="Z2516" s="69" t="s">
        <v>63</v>
      </c>
      <c r="AA2516" s="73"/>
      <c r="AB2516" s="73"/>
      <c r="AC2516" s="73"/>
      <c r="AD2516" s="73"/>
      <c r="AE2516" s="73"/>
      <c r="AF2516" s="73"/>
      <c r="AG2516" s="73"/>
      <c r="AH2516" s="73"/>
      <c r="AI2516" s="73"/>
      <c r="AJ2516" s="73"/>
      <c r="AK2516" s="73"/>
    </row>
    <row r="2517">
      <c r="A2517" s="28">
        <v>2516.0</v>
      </c>
      <c r="B2517" s="29"/>
      <c r="C2517" s="29"/>
      <c r="D2517" s="40">
        <v>1.0</v>
      </c>
      <c r="E2517" s="31">
        <v>47.0</v>
      </c>
      <c r="F2517" s="42">
        <v>87.0</v>
      </c>
      <c r="G2517" s="29" t="str">
        <f t="shared" si="1"/>
        <v>47087</v>
      </c>
      <c r="H2517" s="37" t="s">
        <v>142</v>
      </c>
      <c r="I2517" s="37" t="s">
        <v>111</v>
      </c>
      <c r="J2517" s="37" t="s">
        <v>452</v>
      </c>
      <c r="K2517" s="37" t="str">
        <f t="shared" si="43"/>
        <v>Jackson, TN</v>
      </c>
      <c r="L2517" s="37" t="s">
        <v>63</v>
      </c>
      <c r="M2517" s="37" t="s">
        <v>63</v>
      </c>
      <c r="N2517" s="37">
        <v>17.0</v>
      </c>
      <c r="O2517" s="37" t="s">
        <v>63</v>
      </c>
      <c r="P2517" s="37" t="s">
        <v>63</v>
      </c>
      <c r="Q2517" s="37">
        <v>17.0</v>
      </c>
      <c r="R2517" s="37">
        <v>3.0</v>
      </c>
      <c r="S2517" s="37" t="s">
        <v>63</v>
      </c>
      <c r="T2517" s="69" t="s">
        <v>63</v>
      </c>
      <c r="U2517" s="37" t="s">
        <v>63</v>
      </c>
      <c r="V2517" s="37" t="s">
        <v>63</v>
      </c>
      <c r="W2517" s="37" t="s">
        <v>63</v>
      </c>
      <c r="X2517" s="37" t="s">
        <v>63</v>
      </c>
      <c r="Y2517" s="53">
        <v>16.0</v>
      </c>
      <c r="Z2517" s="69" t="s">
        <v>63</v>
      </c>
      <c r="AA2517" s="73"/>
      <c r="AB2517" s="73"/>
      <c r="AC2517" s="73"/>
      <c r="AD2517" s="73"/>
      <c r="AE2517" s="73"/>
      <c r="AF2517" s="73"/>
      <c r="AG2517" s="73"/>
      <c r="AH2517" s="73"/>
      <c r="AI2517" s="73"/>
      <c r="AJ2517" s="73"/>
      <c r="AK2517" s="73"/>
    </row>
    <row r="2518">
      <c r="A2518" s="28">
        <v>2517.0</v>
      </c>
      <c r="B2518" s="29"/>
      <c r="C2518" s="29"/>
      <c r="D2518" s="40">
        <v>1.0</v>
      </c>
      <c r="E2518" s="31">
        <v>47.0</v>
      </c>
      <c r="F2518" s="42">
        <v>89.0</v>
      </c>
      <c r="G2518" s="29" t="str">
        <f t="shared" si="1"/>
        <v>47089</v>
      </c>
      <c r="H2518" s="37" t="s">
        <v>143</v>
      </c>
      <c r="I2518" s="37" t="s">
        <v>111</v>
      </c>
      <c r="J2518" s="37" t="s">
        <v>452</v>
      </c>
      <c r="K2518" s="37" t="str">
        <f t="shared" si="43"/>
        <v>Jefferson, TN</v>
      </c>
      <c r="L2518" s="37" t="s">
        <v>63</v>
      </c>
      <c r="M2518" s="37" t="s">
        <v>63</v>
      </c>
      <c r="N2518" s="37">
        <v>69.0</v>
      </c>
      <c r="O2518" s="37" t="s">
        <v>63</v>
      </c>
      <c r="P2518" s="37" t="s">
        <v>63</v>
      </c>
      <c r="Q2518" s="37">
        <v>69.0</v>
      </c>
      <c r="R2518" s="37">
        <v>16.0</v>
      </c>
      <c r="S2518" s="37" t="s">
        <v>63</v>
      </c>
      <c r="T2518" s="69" t="s">
        <v>63</v>
      </c>
      <c r="U2518" s="37" t="s">
        <v>63</v>
      </c>
      <c r="V2518" s="37" t="s">
        <v>63</v>
      </c>
      <c r="W2518" s="37" t="s">
        <v>63</v>
      </c>
      <c r="X2518" s="37" t="s">
        <v>63</v>
      </c>
      <c r="Y2518" s="53">
        <v>61.0</v>
      </c>
      <c r="Z2518" s="69" t="s">
        <v>63</v>
      </c>
      <c r="AA2518" s="73"/>
      <c r="AB2518" s="73"/>
      <c r="AC2518" s="73"/>
      <c r="AD2518" s="73"/>
      <c r="AE2518" s="73"/>
      <c r="AF2518" s="73"/>
      <c r="AG2518" s="73"/>
      <c r="AH2518" s="73"/>
      <c r="AI2518" s="73"/>
      <c r="AJ2518" s="73"/>
      <c r="AK2518" s="73"/>
    </row>
    <row r="2519">
      <c r="A2519" s="28">
        <v>2518.0</v>
      </c>
      <c r="B2519" s="29"/>
      <c r="C2519" s="29"/>
      <c r="D2519" s="40">
        <v>1.0</v>
      </c>
      <c r="E2519" s="31">
        <v>47.0</v>
      </c>
      <c r="F2519" s="42">
        <v>91.0</v>
      </c>
      <c r="G2519" s="29" t="str">
        <f t="shared" si="1"/>
        <v>47091</v>
      </c>
      <c r="H2519" s="37" t="s">
        <v>288</v>
      </c>
      <c r="I2519" s="37" t="s">
        <v>111</v>
      </c>
      <c r="J2519" s="37" t="s">
        <v>452</v>
      </c>
      <c r="K2519" s="37" t="str">
        <f t="shared" si="43"/>
        <v>Johnson, TN</v>
      </c>
      <c r="L2519" s="37" t="s">
        <v>63</v>
      </c>
      <c r="M2519" s="37" t="s">
        <v>63</v>
      </c>
      <c r="N2519" s="37">
        <v>19.0</v>
      </c>
      <c r="O2519" s="37" t="s">
        <v>63</v>
      </c>
      <c r="P2519" s="37" t="s">
        <v>63</v>
      </c>
      <c r="Q2519" s="37">
        <v>19.0</v>
      </c>
      <c r="R2519" s="37">
        <v>11.0</v>
      </c>
      <c r="S2519" s="37" t="s">
        <v>63</v>
      </c>
      <c r="T2519" s="69" t="s">
        <v>63</v>
      </c>
      <c r="U2519" s="37" t="s">
        <v>63</v>
      </c>
      <c r="V2519" s="37" t="s">
        <v>63</v>
      </c>
      <c r="W2519" s="37" t="s">
        <v>63</v>
      </c>
      <c r="X2519" s="37" t="s">
        <v>63</v>
      </c>
      <c r="Y2519" s="53">
        <v>26.0</v>
      </c>
      <c r="Z2519" s="69" t="s">
        <v>63</v>
      </c>
      <c r="AA2519" s="73"/>
      <c r="AB2519" s="73"/>
      <c r="AC2519" s="73"/>
      <c r="AD2519" s="73"/>
      <c r="AE2519" s="73"/>
      <c r="AF2519" s="73"/>
      <c r="AG2519" s="73"/>
      <c r="AH2519" s="73"/>
      <c r="AI2519" s="73"/>
      <c r="AJ2519" s="73"/>
      <c r="AK2519" s="73"/>
    </row>
    <row r="2520">
      <c r="A2520" s="28">
        <v>2519.0</v>
      </c>
      <c r="B2520" s="29"/>
      <c r="C2520" s="29"/>
      <c r="D2520" s="40">
        <v>1.0</v>
      </c>
      <c r="E2520" s="31">
        <v>47.0</v>
      </c>
      <c r="F2520" s="42">
        <v>93.0</v>
      </c>
      <c r="G2520" s="29" t="str">
        <f t="shared" si="1"/>
        <v>47093</v>
      </c>
      <c r="H2520" s="37" t="s">
        <v>728</v>
      </c>
      <c r="I2520" s="37" t="s">
        <v>111</v>
      </c>
      <c r="J2520" s="37" t="s">
        <v>452</v>
      </c>
      <c r="K2520" s="37" t="str">
        <f t="shared" si="43"/>
        <v>Knox, TN</v>
      </c>
      <c r="L2520" s="37" t="s">
        <v>63</v>
      </c>
      <c r="M2520" s="37" t="s">
        <v>63</v>
      </c>
      <c r="N2520" s="37">
        <v>450.0</v>
      </c>
      <c r="O2520" s="37" t="s">
        <v>63</v>
      </c>
      <c r="P2520" s="37" t="s">
        <v>63</v>
      </c>
      <c r="Q2520" s="37">
        <v>450.0</v>
      </c>
      <c r="R2520" s="37">
        <v>48.0</v>
      </c>
      <c r="S2520" s="37" t="s">
        <v>63</v>
      </c>
      <c r="T2520" s="69" t="s">
        <v>63</v>
      </c>
      <c r="U2520" s="37" t="s">
        <v>63</v>
      </c>
      <c r="V2520" s="37" t="s">
        <v>63</v>
      </c>
      <c r="W2520" s="37" t="s">
        <v>63</v>
      </c>
      <c r="X2520" s="37" t="s">
        <v>63</v>
      </c>
      <c r="Y2520" s="53">
        <v>430.0</v>
      </c>
      <c r="Z2520" s="69" t="s">
        <v>63</v>
      </c>
      <c r="AA2520" s="73"/>
      <c r="AB2520" s="73"/>
      <c r="AC2520" s="73"/>
      <c r="AD2520" s="73"/>
      <c r="AE2520" s="73"/>
      <c r="AF2520" s="73"/>
      <c r="AG2520" s="73"/>
      <c r="AH2520" s="73"/>
      <c r="AI2520" s="73"/>
      <c r="AJ2520" s="73"/>
      <c r="AK2520" s="73"/>
    </row>
    <row r="2521">
      <c r="A2521" s="28">
        <v>2520.0</v>
      </c>
      <c r="B2521" s="29"/>
      <c r="C2521" s="29"/>
      <c r="D2521" s="40">
        <v>1.0</v>
      </c>
      <c r="E2521" s="31">
        <v>47.0</v>
      </c>
      <c r="F2521" s="42">
        <v>95.0</v>
      </c>
      <c r="G2521" s="29" t="str">
        <f t="shared" si="1"/>
        <v>47095</v>
      </c>
      <c r="H2521" s="37" t="s">
        <v>337</v>
      </c>
      <c r="I2521" s="37" t="s">
        <v>111</v>
      </c>
      <c r="J2521" s="37" t="s">
        <v>452</v>
      </c>
      <c r="K2521" s="37" t="str">
        <f t="shared" si="43"/>
        <v>Lake, TN</v>
      </c>
      <c r="L2521" s="37" t="s">
        <v>63</v>
      </c>
      <c r="M2521" s="37" t="s">
        <v>63</v>
      </c>
      <c r="N2521" s="37">
        <v>18.0</v>
      </c>
      <c r="O2521" s="37" t="s">
        <v>63</v>
      </c>
      <c r="P2521" s="37" t="s">
        <v>63</v>
      </c>
      <c r="Q2521" s="37">
        <v>18.0</v>
      </c>
      <c r="R2521" s="37" t="s">
        <v>63</v>
      </c>
      <c r="S2521" s="37" t="s">
        <v>63</v>
      </c>
      <c r="T2521" s="69" t="s">
        <v>63</v>
      </c>
      <c r="U2521" s="37" t="s">
        <v>63</v>
      </c>
      <c r="V2521" s="37" t="s">
        <v>63</v>
      </c>
      <c r="W2521" s="37" t="s">
        <v>63</v>
      </c>
      <c r="X2521" s="37" t="s">
        <v>63</v>
      </c>
      <c r="Y2521" s="53">
        <v>10.0</v>
      </c>
      <c r="Z2521" s="69" t="s">
        <v>63</v>
      </c>
      <c r="AA2521" s="73"/>
      <c r="AB2521" s="73"/>
      <c r="AC2521" s="73"/>
      <c r="AD2521" s="73"/>
      <c r="AE2521" s="73"/>
      <c r="AF2521" s="73"/>
      <c r="AG2521" s="73"/>
      <c r="AH2521" s="73"/>
      <c r="AI2521" s="73"/>
      <c r="AJ2521" s="73"/>
      <c r="AK2521" s="73"/>
    </row>
    <row r="2522">
      <c r="A2522" s="28">
        <v>2521.0</v>
      </c>
      <c r="B2522" s="29"/>
      <c r="C2522" s="29"/>
      <c r="D2522" s="40">
        <v>1.0</v>
      </c>
      <c r="E2522" s="31">
        <v>47.0</v>
      </c>
      <c r="F2522" s="42">
        <v>97.0</v>
      </c>
      <c r="G2522" s="29" t="str">
        <f t="shared" si="1"/>
        <v>47097</v>
      </c>
      <c r="H2522" s="37" t="s">
        <v>145</v>
      </c>
      <c r="I2522" s="37" t="s">
        <v>111</v>
      </c>
      <c r="J2522" s="37" t="s">
        <v>452</v>
      </c>
      <c r="K2522" s="37" t="str">
        <f t="shared" si="43"/>
        <v>Lauderdale, TN</v>
      </c>
      <c r="L2522" s="37" t="s">
        <v>63</v>
      </c>
      <c r="M2522" s="37" t="s">
        <v>63</v>
      </c>
      <c r="N2522" s="37">
        <v>31.0</v>
      </c>
      <c r="O2522" s="37" t="s">
        <v>63</v>
      </c>
      <c r="P2522" s="37" t="s">
        <v>63</v>
      </c>
      <c r="Q2522" s="37">
        <v>31.0</v>
      </c>
      <c r="R2522" s="37">
        <v>5.0</v>
      </c>
      <c r="S2522" s="37" t="s">
        <v>63</v>
      </c>
      <c r="T2522" s="69" t="s">
        <v>63</v>
      </c>
      <c r="U2522" s="37" t="s">
        <v>63</v>
      </c>
      <c r="V2522" s="37" t="s">
        <v>63</v>
      </c>
      <c r="W2522" s="37" t="s">
        <v>63</v>
      </c>
      <c r="X2522" s="37" t="s">
        <v>63</v>
      </c>
      <c r="Y2522" s="53">
        <v>38.0</v>
      </c>
      <c r="Z2522" s="69" t="s">
        <v>63</v>
      </c>
      <c r="AA2522" s="73"/>
      <c r="AB2522" s="73"/>
      <c r="AC2522" s="73"/>
      <c r="AD2522" s="73"/>
      <c r="AE2522" s="73"/>
      <c r="AF2522" s="73"/>
      <c r="AG2522" s="73"/>
      <c r="AH2522" s="73"/>
      <c r="AI2522" s="73"/>
      <c r="AJ2522" s="73"/>
      <c r="AK2522" s="73"/>
    </row>
    <row r="2523">
      <c r="A2523" s="28">
        <v>2522.0</v>
      </c>
      <c r="B2523" s="29"/>
      <c r="C2523" s="29"/>
      <c r="D2523" s="40">
        <v>1.0</v>
      </c>
      <c r="E2523" s="31">
        <v>47.0</v>
      </c>
      <c r="F2523" s="42">
        <v>99.0</v>
      </c>
      <c r="G2523" s="29" t="str">
        <f t="shared" si="1"/>
        <v>47099</v>
      </c>
      <c r="H2523" s="37" t="s">
        <v>146</v>
      </c>
      <c r="I2523" s="37" t="s">
        <v>111</v>
      </c>
      <c r="J2523" s="37" t="s">
        <v>452</v>
      </c>
      <c r="K2523" s="37" t="str">
        <f t="shared" si="43"/>
        <v>Lawrence, TN</v>
      </c>
      <c r="L2523" s="37" t="s">
        <v>63</v>
      </c>
      <c r="M2523" s="37" t="s">
        <v>63</v>
      </c>
      <c r="N2523" s="37">
        <v>166.0</v>
      </c>
      <c r="O2523" s="37" t="s">
        <v>63</v>
      </c>
      <c r="P2523" s="37" t="s">
        <v>63</v>
      </c>
      <c r="Q2523" s="37">
        <v>166.0</v>
      </c>
      <c r="R2523" s="37">
        <v>11.0</v>
      </c>
      <c r="S2523" s="37" t="s">
        <v>63</v>
      </c>
      <c r="T2523" s="69" t="s">
        <v>63</v>
      </c>
      <c r="U2523" s="37" t="s">
        <v>63</v>
      </c>
      <c r="V2523" s="37" t="s">
        <v>63</v>
      </c>
      <c r="W2523" s="37" t="s">
        <v>63</v>
      </c>
      <c r="X2523" s="37" t="s">
        <v>63</v>
      </c>
      <c r="Y2523" s="53">
        <v>67.0</v>
      </c>
      <c r="Z2523" s="69" t="s">
        <v>63</v>
      </c>
      <c r="AA2523" s="73"/>
      <c r="AB2523" s="73"/>
      <c r="AC2523" s="73"/>
      <c r="AD2523" s="73"/>
      <c r="AE2523" s="73"/>
      <c r="AF2523" s="73"/>
      <c r="AG2523" s="73"/>
      <c r="AH2523" s="73"/>
      <c r="AI2523" s="73"/>
      <c r="AJ2523" s="73"/>
      <c r="AK2523" s="73"/>
    </row>
    <row r="2524">
      <c r="A2524" s="28">
        <v>2523.0</v>
      </c>
      <c r="B2524" s="29"/>
      <c r="C2524" s="29"/>
      <c r="D2524" s="40">
        <v>1.0</v>
      </c>
      <c r="E2524" s="31">
        <v>47.0</v>
      </c>
      <c r="F2524" s="42">
        <v>101.0</v>
      </c>
      <c r="G2524" s="29" t="str">
        <f t="shared" si="1"/>
        <v>47101</v>
      </c>
      <c r="H2524" s="37" t="s">
        <v>682</v>
      </c>
      <c r="I2524" s="37" t="s">
        <v>111</v>
      </c>
      <c r="J2524" s="37" t="s">
        <v>452</v>
      </c>
      <c r="K2524" s="37" t="str">
        <f t="shared" si="43"/>
        <v>Lewis, TN</v>
      </c>
      <c r="L2524" s="37" t="s">
        <v>63</v>
      </c>
      <c r="M2524" s="37" t="s">
        <v>63</v>
      </c>
      <c r="N2524" s="37">
        <v>20.0</v>
      </c>
      <c r="O2524" s="37" t="s">
        <v>63</v>
      </c>
      <c r="P2524" s="37" t="s">
        <v>63</v>
      </c>
      <c r="Q2524" s="37">
        <v>20.0</v>
      </c>
      <c r="R2524" s="37">
        <v>2.0</v>
      </c>
      <c r="S2524" s="37" t="s">
        <v>63</v>
      </c>
      <c r="T2524" s="69" t="s">
        <v>63</v>
      </c>
      <c r="U2524" s="37" t="s">
        <v>63</v>
      </c>
      <c r="V2524" s="37" t="s">
        <v>63</v>
      </c>
      <c r="W2524" s="37" t="s">
        <v>63</v>
      </c>
      <c r="X2524" s="37" t="s">
        <v>63</v>
      </c>
      <c r="Y2524" s="53">
        <v>17.0</v>
      </c>
      <c r="Z2524" s="69" t="s">
        <v>63</v>
      </c>
      <c r="AA2524" s="73"/>
      <c r="AB2524" s="73"/>
      <c r="AC2524" s="73"/>
      <c r="AD2524" s="73"/>
      <c r="AE2524" s="73"/>
      <c r="AF2524" s="73"/>
      <c r="AG2524" s="73"/>
      <c r="AH2524" s="73"/>
      <c r="AI2524" s="73"/>
      <c r="AJ2524" s="73"/>
      <c r="AK2524" s="73"/>
    </row>
    <row r="2525">
      <c r="A2525" s="28">
        <v>2524.0</v>
      </c>
      <c r="B2525" s="29"/>
      <c r="C2525" s="29"/>
      <c r="D2525" s="40">
        <v>1.0</v>
      </c>
      <c r="E2525" s="31">
        <v>47.0</v>
      </c>
      <c r="F2525" s="42">
        <v>103.0</v>
      </c>
      <c r="G2525" s="29" t="str">
        <f t="shared" si="1"/>
        <v>47103</v>
      </c>
      <c r="H2525" s="37" t="s">
        <v>290</v>
      </c>
      <c r="I2525" s="37" t="s">
        <v>111</v>
      </c>
      <c r="J2525" s="37" t="s">
        <v>452</v>
      </c>
      <c r="K2525" s="37" t="str">
        <f t="shared" si="43"/>
        <v>Lincoln, TN</v>
      </c>
      <c r="L2525" s="37" t="s">
        <v>63</v>
      </c>
      <c r="M2525" s="37" t="s">
        <v>63</v>
      </c>
      <c r="N2525" s="37">
        <v>17.0</v>
      </c>
      <c r="O2525" s="37" t="s">
        <v>63</v>
      </c>
      <c r="P2525" s="37" t="s">
        <v>63</v>
      </c>
      <c r="Q2525" s="37">
        <v>17.0</v>
      </c>
      <c r="R2525" s="37">
        <v>3.0</v>
      </c>
      <c r="S2525" s="37" t="s">
        <v>63</v>
      </c>
      <c r="T2525" s="69" t="s">
        <v>63</v>
      </c>
      <c r="U2525" s="37" t="s">
        <v>63</v>
      </c>
      <c r="V2525" s="37" t="s">
        <v>63</v>
      </c>
      <c r="W2525" s="37" t="s">
        <v>63</v>
      </c>
      <c r="X2525" s="37" t="s">
        <v>63</v>
      </c>
      <c r="Y2525" s="53">
        <v>46.0</v>
      </c>
      <c r="Z2525" s="69" t="s">
        <v>63</v>
      </c>
      <c r="AA2525" s="73"/>
      <c r="AB2525" s="73"/>
      <c r="AC2525" s="73"/>
      <c r="AD2525" s="73"/>
      <c r="AE2525" s="73"/>
      <c r="AF2525" s="73"/>
      <c r="AG2525" s="73"/>
      <c r="AH2525" s="73"/>
      <c r="AI2525" s="73"/>
      <c r="AJ2525" s="73"/>
      <c r="AK2525" s="73"/>
    </row>
    <row r="2526">
      <c r="A2526" s="28">
        <v>2525.0</v>
      </c>
      <c r="B2526" s="29"/>
      <c r="C2526" s="29"/>
      <c r="D2526" s="40">
        <v>1.0</v>
      </c>
      <c r="E2526" s="31">
        <v>47.0</v>
      </c>
      <c r="F2526" s="42">
        <v>105.0</v>
      </c>
      <c r="G2526" s="29" t="str">
        <f t="shared" si="1"/>
        <v>47105</v>
      </c>
      <c r="H2526" s="37" t="s">
        <v>1930</v>
      </c>
      <c r="I2526" s="37" t="s">
        <v>111</v>
      </c>
      <c r="J2526" s="37" t="s">
        <v>452</v>
      </c>
      <c r="K2526" s="37" t="str">
        <f t="shared" si="43"/>
        <v>Loudon, TN</v>
      </c>
      <c r="L2526" s="37" t="s">
        <v>63</v>
      </c>
      <c r="M2526" s="37" t="s">
        <v>63</v>
      </c>
      <c r="N2526" s="37">
        <v>22.0</v>
      </c>
      <c r="O2526" s="37" t="s">
        <v>63</v>
      </c>
      <c r="P2526" s="37" t="s">
        <v>63</v>
      </c>
      <c r="Q2526" s="37">
        <v>22.0</v>
      </c>
      <c r="R2526" s="37">
        <v>8.0</v>
      </c>
      <c r="S2526" s="37" t="s">
        <v>63</v>
      </c>
      <c r="T2526" s="69" t="s">
        <v>63</v>
      </c>
      <c r="U2526" s="37" t="s">
        <v>63</v>
      </c>
      <c r="V2526" s="37" t="s">
        <v>63</v>
      </c>
      <c r="W2526" s="37" t="s">
        <v>63</v>
      </c>
      <c r="X2526" s="37" t="s">
        <v>63</v>
      </c>
      <c r="Y2526" s="53">
        <v>61.0</v>
      </c>
      <c r="Z2526" s="69" t="s">
        <v>63</v>
      </c>
      <c r="AA2526" s="73"/>
      <c r="AB2526" s="73"/>
      <c r="AC2526" s="73"/>
      <c r="AD2526" s="73"/>
      <c r="AE2526" s="73"/>
      <c r="AF2526" s="73"/>
      <c r="AG2526" s="73"/>
      <c r="AH2526" s="73"/>
      <c r="AI2526" s="73"/>
      <c r="AJ2526" s="73"/>
      <c r="AK2526" s="73"/>
    </row>
    <row r="2527">
      <c r="A2527" s="28">
        <v>2526.0</v>
      </c>
      <c r="B2527" s="29"/>
      <c r="C2527" s="29"/>
      <c r="D2527" s="40">
        <v>1.0</v>
      </c>
      <c r="E2527" s="31">
        <v>47.0</v>
      </c>
      <c r="F2527" s="42">
        <v>107.0</v>
      </c>
      <c r="G2527" s="29" t="str">
        <f t="shared" si="1"/>
        <v>47107</v>
      </c>
      <c r="H2527" s="37" t="s">
        <v>1933</v>
      </c>
      <c r="I2527" s="37" t="s">
        <v>111</v>
      </c>
      <c r="J2527" s="37" t="s">
        <v>452</v>
      </c>
      <c r="K2527" s="37" t="str">
        <f t="shared" si="43"/>
        <v>McMinn, TN</v>
      </c>
      <c r="L2527" s="37" t="s">
        <v>63</v>
      </c>
      <c r="M2527" s="37" t="s">
        <v>63</v>
      </c>
      <c r="N2527" s="37">
        <v>56.0</v>
      </c>
      <c r="O2527" s="37" t="s">
        <v>63</v>
      </c>
      <c r="P2527" s="37" t="s">
        <v>63</v>
      </c>
      <c r="Q2527" s="37">
        <v>56.0</v>
      </c>
      <c r="R2527" s="37">
        <v>10.0</v>
      </c>
      <c r="S2527" s="37" t="s">
        <v>63</v>
      </c>
      <c r="T2527" s="69" t="s">
        <v>63</v>
      </c>
      <c r="U2527" s="37" t="s">
        <v>63</v>
      </c>
      <c r="V2527" s="37" t="s">
        <v>63</v>
      </c>
      <c r="W2527" s="37" t="s">
        <v>63</v>
      </c>
      <c r="X2527" s="37" t="s">
        <v>63</v>
      </c>
      <c r="Y2527" s="53">
        <v>68.0</v>
      </c>
      <c r="Z2527" s="69" t="s">
        <v>63</v>
      </c>
      <c r="AA2527" s="73"/>
      <c r="AB2527" s="73"/>
      <c r="AC2527" s="73"/>
      <c r="AD2527" s="73"/>
      <c r="AE2527" s="73"/>
      <c r="AF2527" s="73"/>
      <c r="AG2527" s="73"/>
      <c r="AH2527" s="73"/>
      <c r="AI2527" s="73"/>
      <c r="AJ2527" s="73"/>
      <c r="AK2527" s="73"/>
    </row>
    <row r="2528">
      <c r="A2528" s="28">
        <v>2527.0</v>
      </c>
      <c r="B2528" s="29"/>
      <c r="C2528" s="29"/>
      <c r="D2528" s="40">
        <v>1.0</v>
      </c>
      <c r="E2528" s="31">
        <v>47.0</v>
      </c>
      <c r="F2528" s="42">
        <v>109.0</v>
      </c>
      <c r="G2528" s="29" t="str">
        <f t="shared" si="1"/>
        <v>47109</v>
      </c>
      <c r="H2528" s="37" t="s">
        <v>1935</v>
      </c>
      <c r="I2528" s="37" t="s">
        <v>111</v>
      </c>
      <c r="J2528" s="37" t="s">
        <v>452</v>
      </c>
      <c r="K2528" s="37" t="str">
        <f t="shared" si="43"/>
        <v>McNairy, TN</v>
      </c>
      <c r="L2528" s="37" t="s">
        <v>63</v>
      </c>
      <c r="M2528" s="37" t="s">
        <v>63</v>
      </c>
      <c r="N2528" s="37">
        <v>17.0</v>
      </c>
      <c r="O2528" s="37" t="s">
        <v>63</v>
      </c>
      <c r="P2528" s="37" t="s">
        <v>63</v>
      </c>
      <c r="Q2528" s="37">
        <v>17.0</v>
      </c>
      <c r="R2528" s="37" t="s">
        <v>63</v>
      </c>
      <c r="S2528" s="37" t="s">
        <v>63</v>
      </c>
      <c r="T2528" s="69" t="s">
        <v>63</v>
      </c>
      <c r="U2528" s="37" t="s">
        <v>63</v>
      </c>
      <c r="V2528" s="37" t="s">
        <v>63</v>
      </c>
      <c r="W2528" s="37" t="s">
        <v>63</v>
      </c>
      <c r="X2528" s="37" t="s">
        <v>63</v>
      </c>
      <c r="Y2528" s="53">
        <v>38.0</v>
      </c>
      <c r="Z2528" s="69" t="s">
        <v>63</v>
      </c>
      <c r="AA2528" s="73"/>
      <c r="AB2528" s="73"/>
      <c r="AC2528" s="73"/>
      <c r="AD2528" s="73"/>
      <c r="AE2528" s="73"/>
      <c r="AF2528" s="73"/>
      <c r="AG2528" s="73"/>
      <c r="AH2528" s="73"/>
      <c r="AI2528" s="73"/>
      <c r="AJ2528" s="73"/>
      <c r="AK2528" s="73"/>
    </row>
    <row r="2529">
      <c r="A2529" s="28">
        <v>2528.0</v>
      </c>
      <c r="B2529" s="29"/>
      <c r="C2529" s="29"/>
      <c r="D2529" s="40">
        <v>1.0</v>
      </c>
      <c r="E2529" s="31">
        <v>47.0</v>
      </c>
      <c r="F2529" s="42">
        <v>111.0</v>
      </c>
      <c r="G2529" s="29" t="str">
        <f t="shared" si="1"/>
        <v>47111</v>
      </c>
      <c r="H2529" s="37" t="s">
        <v>150</v>
      </c>
      <c r="I2529" s="37" t="s">
        <v>111</v>
      </c>
      <c r="J2529" s="37" t="s">
        <v>452</v>
      </c>
      <c r="K2529" s="37" t="str">
        <f t="shared" si="43"/>
        <v>Macon, TN</v>
      </c>
      <c r="L2529" s="37" t="s">
        <v>63</v>
      </c>
      <c r="M2529" s="37" t="s">
        <v>63</v>
      </c>
      <c r="N2529" s="37">
        <v>46.0</v>
      </c>
      <c r="O2529" s="37" t="s">
        <v>63</v>
      </c>
      <c r="P2529" s="37" t="s">
        <v>63</v>
      </c>
      <c r="Q2529" s="37">
        <v>46.0</v>
      </c>
      <c r="R2529" s="37">
        <v>7.0</v>
      </c>
      <c r="S2529" s="37" t="s">
        <v>63</v>
      </c>
      <c r="T2529" s="69" t="s">
        <v>63</v>
      </c>
      <c r="U2529" s="37" t="s">
        <v>63</v>
      </c>
      <c r="V2529" s="37" t="s">
        <v>63</v>
      </c>
      <c r="W2529" s="37" t="s">
        <v>63</v>
      </c>
      <c r="X2529" s="37" t="s">
        <v>63</v>
      </c>
      <c r="Y2529" s="53">
        <v>18.0</v>
      </c>
      <c r="Z2529" s="69" t="s">
        <v>63</v>
      </c>
      <c r="AA2529" s="73"/>
      <c r="AB2529" s="73"/>
      <c r="AC2529" s="73"/>
      <c r="AD2529" s="73"/>
      <c r="AE2529" s="73"/>
      <c r="AF2529" s="73"/>
      <c r="AG2529" s="73"/>
      <c r="AH2529" s="73"/>
      <c r="AI2529" s="73"/>
      <c r="AJ2529" s="73"/>
      <c r="AK2529" s="73"/>
    </row>
    <row r="2530">
      <c r="A2530" s="28">
        <v>2529.0</v>
      </c>
      <c r="B2530" s="29"/>
      <c r="C2530" s="29"/>
      <c r="D2530" s="40">
        <v>1.0</v>
      </c>
      <c r="E2530" s="31">
        <v>47.0</v>
      </c>
      <c r="F2530" s="42">
        <v>113.0</v>
      </c>
      <c r="G2530" s="29" t="str">
        <f t="shared" si="1"/>
        <v>47113</v>
      </c>
      <c r="H2530" s="37" t="s">
        <v>151</v>
      </c>
      <c r="I2530" s="37" t="s">
        <v>111</v>
      </c>
      <c r="J2530" s="37" t="s">
        <v>452</v>
      </c>
      <c r="K2530" s="37" t="str">
        <f t="shared" si="43"/>
        <v>Madison, TN</v>
      </c>
      <c r="L2530" s="37" t="s">
        <v>63</v>
      </c>
      <c r="M2530" s="37" t="s">
        <v>63</v>
      </c>
      <c r="N2530" s="37">
        <v>63.0</v>
      </c>
      <c r="O2530" s="37" t="s">
        <v>63</v>
      </c>
      <c r="P2530" s="37" t="s">
        <v>63</v>
      </c>
      <c r="Q2530" s="37">
        <v>63.0</v>
      </c>
      <c r="R2530" s="37">
        <v>1.0</v>
      </c>
      <c r="S2530" s="37" t="s">
        <v>63</v>
      </c>
      <c r="T2530" s="69" t="s">
        <v>63</v>
      </c>
      <c r="U2530" s="37" t="s">
        <v>63</v>
      </c>
      <c r="V2530" s="37" t="s">
        <v>63</v>
      </c>
      <c r="W2530" s="37" t="s">
        <v>63</v>
      </c>
      <c r="X2530" s="37" t="s">
        <v>63</v>
      </c>
      <c r="Y2530" s="53">
        <v>141.0</v>
      </c>
      <c r="Z2530" s="69" t="s">
        <v>63</v>
      </c>
      <c r="AA2530" s="73"/>
      <c r="AB2530" s="73"/>
      <c r="AC2530" s="73"/>
      <c r="AD2530" s="73"/>
      <c r="AE2530" s="73"/>
      <c r="AF2530" s="73"/>
      <c r="AG2530" s="73"/>
      <c r="AH2530" s="73"/>
      <c r="AI2530" s="73"/>
      <c r="AJ2530" s="73"/>
      <c r="AK2530" s="73"/>
    </row>
    <row r="2531">
      <c r="A2531" s="28">
        <v>2530.0</v>
      </c>
      <c r="B2531" s="29"/>
      <c r="C2531" s="29"/>
      <c r="D2531" s="40">
        <v>1.0</v>
      </c>
      <c r="E2531" s="31">
        <v>47.0</v>
      </c>
      <c r="F2531" s="42">
        <v>115.0</v>
      </c>
      <c r="G2531" s="29" t="str">
        <f t="shared" si="1"/>
        <v>47115</v>
      </c>
      <c r="H2531" s="37" t="s">
        <v>153</v>
      </c>
      <c r="I2531" s="37" t="s">
        <v>111</v>
      </c>
      <c r="J2531" s="37" t="s">
        <v>452</v>
      </c>
      <c r="K2531" s="37" t="str">
        <f t="shared" si="43"/>
        <v>Marion, TN</v>
      </c>
      <c r="L2531" s="37" t="s">
        <v>63</v>
      </c>
      <c r="M2531" s="37" t="s">
        <v>63</v>
      </c>
      <c r="N2531" s="37">
        <v>14.0</v>
      </c>
      <c r="O2531" s="37" t="s">
        <v>63</v>
      </c>
      <c r="P2531" s="37" t="s">
        <v>63</v>
      </c>
      <c r="Q2531" s="37">
        <v>14.0</v>
      </c>
      <c r="R2531" s="37">
        <v>3.0</v>
      </c>
      <c r="S2531" s="37" t="s">
        <v>63</v>
      </c>
      <c r="T2531" s="69" t="s">
        <v>63</v>
      </c>
      <c r="U2531" s="37" t="s">
        <v>63</v>
      </c>
      <c r="V2531" s="37" t="s">
        <v>63</v>
      </c>
      <c r="W2531" s="37" t="s">
        <v>63</v>
      </c>
      <c r="X2531" s="37" t="s">
        <v>63</v>
      </c>
      <c r="Y2531" s="53">
        <v>45.0</v>
      </c>
      <c r="Z2531" s="69" t="s">
        <v>63</v>
      </c>
      <c r="AA2531" s="73"/>
      <c r="AB2531" s="73"/>
      <c r="AC2531" s="73"/>
      <c r="AD2531" s="73"/>
      <c r="AE2531" s="73"/>
      <c r="AF2531" s="73"/>
      <c r="AG2531" s="73"/>
      <c r="AH2531" s="73"/>
      <c r="AI2531" s="73"/>
      <c r="AJ2531" s="73"/>
      <c r="AK2531" s="73"/>
    </row>
    <row r="2532">
      <c r="A2532" s="28">
        <v>2531.0</v>
      </c>
      <c r="B2532" s="29"/>
      <c r="C2532" s="29"/>
      <c r="D2532" s="40">
        <v>1.0</v>
      </c>
      <c r="E2532" s="31">
        <v>47.0</v>
      </c>
      <c r="F2532" s="42">
        <v>117.0</v>
      </c>
      <c r="G2532" s="29" t="str">
        <f t="shared" si="1"/>
        <v>47117</v>
      </c>
      <c r="H2532" s="37" t="s">
        <v>154</v>
      </c>
      <c r="I2532" s="37" t="s">
        <v>111</v>
      </c>
      <c r="J2532" s="37" t="s">
        <v>452</v>
      </c>
      <c r="K2532" s="37" t="str">
        <f t="shared" si="43"/>
        <v>Marshall, TN</v>
      </c>
      <c r="L2532" s="37" t="s">
        <v>63</v>
      </c>
      <c r="M2532" s="37" t="s">
        <v>63</v>
      </c>
      <c r="N2532" s="37">
        <v>25.0</v>
      </c>
      <c r="O2532" s="37" t="s">
        <v>63</v>
      </c>
      <c r="P2532" s="37" t="s">
        <v>63</v>
      </c>
      <c r="Q2532" s="37">
        <v>25.0</v>
      </c>
      <c r="R2532" s="37" t="s">
        <v>63</v>
      </c>
      <c r="S2532" s="37" t="s">
        <v>63</v>
      </c>
      <c r="T2532" s="69" t="s">
        <v>63</v>
      </c>
      <c r="U2532" s="37" t="s">
        <v>63</v>
      </c>
      <c r="V2532" s="37" t="s">
        <v>63</v>
      </c>
      <c r="W2532" s="37" t="s">
        <v>63</v>
      </c>
      <c r="X2532" s="37" t="s">
        <v>63</v>
      </c>
      <c r="Y2532" s="53">
        <v>43.0</v>
      </c>
      <c r="Z2532" s="69" t="s">
        <v>63</v>
      </c>
      <c r="AA2532" s="73"/>
      <c r="AB2532" s="73"/>
      <c r="AC2532" s="73"/>
      <c r="AD2532" s="73"/>
      <c r="AE2532" s="73"/>
      <c r="AF2532" s="73"/>
      <c r="AG2532" s="73"/>
      <c r="AH2532" s="73"/>
      <c r="AI2532" s="73"/>
      <c r="AJ2532" s="73"/>
      <c r="AK2532" s="73"/>
    </row>
    <row r="2533">
      <c r="A2533" s="28">
        <v>2532.0</v>
      </c>
      <c r="B2533" s="29"/>
      <c r="C2533" s="29"/>
      <c r="D2533" s="40">
        <v>1.0</v>
      </c>
      <c r="E2533" s="31">
        <v>47.0</v>
      </c>
      <c r="F2533" s="42">
        <v>119.0</v>
      </c>
      <c r="G2533" s="29" t="str">
        <f t="shared" si="1"/>
        <v>47119</v>
      </c>
      <c r="H2533" s="37" t="s">
        <v>1942</v>
      </c>
      <c r="I2533" s="37" t="s">
        <v>111</v>
      </c>
      <c r="J2533" s="37" t="s">
        <v>452</v>
      </c>
      <c r="K2533" s="37" t="str">
        <f t="shared" si="43"/>
        <v>Maury, TN</v>
      </c>
      <c r="L2533" s="37" t="s">
        <v>63</v>
      </c>
      <c r="M2533" s="37" t="s">
        <v>63</v>
      </c>
      <c r="N2533" s="37">
        <v>84.0</v>
      </c>
      <c r="O2533" s="37" t="s">
        <v>63</v>
      </c>
      <c r="P2533" s="37" t="s">
        <v>63</v>
      </c>
      <c r="Q2533" s="37">
        <v>84.0</v>
      </c>
      <c r="R2533" s="37">
        <v>12.0</v>
      </c>
      <c r="S2533" s="37" t="s">
        <v>63</v>
      </c>
      <c r="T2533" s="69" t="s">
        <v>63</v>
      </c>
      <c r="U2533" s="37" t="s">
        <v>63</v>
      </c>
      <c r="V2533" s="37" t="s">
        <v>63</v>
      </c>
      <c r="W2533" s="37" t="s">
        <v>63</v>
      </c>
      <c r="X2533" s="37" t="s">
        <v>63</v>
      </c>
      <c r="Y2533" s="53">
        <v>124.0</v>
      </c>
      <c r="Z2533" s="69" t="s">
        <v>63</v>
      </c>
      <c r="AA2533" s="73"/>
      <c r="AB2533" s="73"/>
      <c r="AC2533" s="73"/>
      <c r="AD2533" s="73"/>
      <c r="AE2533" s="73"/>
      <c r="AF2533" s="73"/>
      <c r="AG2533" s="73"/>
      <c r="AH2533" s="73"/>
      <c r="AI2533" s="73"/>
      <c r="AJ2533" s="73"/>
      <c r="AK2533" s="73"/>
    </row>
    <row r="2534">
      <c r="A2534" s="28">
        <v>2533.0</v>
      </c>
      <c r="B2534" s="29"/>
      <c r="C2534" s="29"/>
      <c r="D2534" s="40">
        <v>1.0</v>
      </c>
      <c r="E2534" s="31">
        <v>47.0</v>
      </c>
      <c r="F2534" s="42">
        <v>121.0</v>
      </c>
      <c r="G2534" s="29" t="str">
        <f t="shared" si="1"/>
        <v>47121</v>
      </c>
      <c r="H2534" s="37" t="s">
        <v>1690</v>
      </c>
      <c r="I2534" s="37" t="s">
        <v>111</v>
      </c>
      <c r="J2534" s="37" t="s">
        <v>452</v>
      </c>
      <c r="K2534" s="37" t="str">
        <f t="shared" si="43"/>
        <v>Meigs, TN</v>
      </c>
      <c r="L2534" s="37" t="s">
        <v>63</v>
      </c>
      <c r="M2534" s="37" t="s">
        <v>63</v>
      </c>
      <c r="N2534" s="37">
        <v>22.0</v>
      </c>
      <c r="O2534" s="37" t="s">
        <v>63</v>
      </c>
      <c r="P2534" s="37" t="s">
        <v>63</v>
      </c>
      <c r="Q2534" s="37">
        <v>22.0</v>
      </c>
      <c r="R2534" s="37">
        <v>5.0</v>
      </c>
      <c r="S2534" s="37" t="s">
        <v>63</v>
      </c>
      <c r="T2534" s="69" t="s">
        <v>63</v>
      </c>
      <c r="U2534" s="37" t="s">
        <v>63</v>
      </c>
      <c r="V2534" s="37" t="s">
        <v>63</v>
      </c>
      <c r="W2534" s="37" t="s">
        <v>63</v>
      </c>
      <c r="X2534" s="37" t="s">
        <v>63</v>
      </c>
      <c r="Y2534" s="53">
        <v>9.0</v>
      </c>
      <c r="Z2534" s="69" t="s">
        <v>63</v>
      </c>
      <c r="AA2534" s="73"/>
      <c r="AB2534" s="73"/>
      <c r="AC2534" s="73"/>
      <c r="AD2534" s="73"/>
      <c r="AE2534" s="73"/>
      <c r="AF2534" s="73"/>
      <c r="AG2534" s="73"/>
      <c r="AH2534" s="73"/>
      <c r="AI2534" s="73"/>
      <c r="AJ2534" s="73"/>
      <c r="AK2534" s="73"/>
    </row>
    <row r="2535">
      <c r="A2535" s="28">
        <v>2534.0</v>
      </c>
      <c r="B2535" s="29"/>
      <c r="C2535" s="29"/>
      <c r="D2535" s="40">
        <v>1.0</v>
      </c>
      <c r="E2535" s="31">
        <v>47.0</v>
      </c>
      <c r="F2535" s="42">
        <v>123.0</v>
      </c>
      <c r="G2535" s="29" t="str">
        <f t="shared" si="1"/>
        <v>47123</v>
      </c>
      <c r="H2535" s="37" t="s">
        <v>156</v>
      </c>
      <c r="I2535" s="37" t="s">
        <v>111</v>
      </c>
      <c r="J2535" s="37" t="s">
        <v>452</v>
      </c>
      <c r="K2535" s="37" t="str">
        <f t="shared" si="43"/>
        <v>Monroe, TN</v>
      </c>
      <c r="L2535" s="37" t="s">
        <v>63</v>
      </c>
      <c r="M2535" s="37" t="s">
        <v>63</v>
      </c>
      <c r="N2535" s="37">
        <v>34.0</v>
      </c>
      <c r="O2535" s="37" t="s">
        <v>63</v>
      </c>
      <c r="P2535" s="37" t="s">
        <v>63</v>
      </c>
      <c r="Q2535" s="37">
        <v>34.0</v>
      </c>
      <c r="R2535" s="37">
        <v>9.0</v>
      </c>
      <c r="S2535" s="37" t="s">
        <v>63</v>
      </c>
      <c r="T2535" s="69" t="s">
        <v>63</v>
      </c>
      <c r="U2535" s="37" t="s">
        <v>63</v>
      </c>
      <c r="V2535" s="37" t="s">
        <v>63</v>
      </c>
      <c r="W2535" s="37" t="s">
        <v>63</v>
      </c>
      <c r="X2535" s="37" t="s">
        <v>63</v>
      </c>
      <c r="Y2535" s="53">
        <v>54.0</v>
      </c>
      <c r="Z2535" s="69" t="s">
        <v>63</v>
      </c>
      <c r="AA2535" s="73"/>
      <c r="AB2535" s="73"/>
      <c r="AC2535" s="73"/>
      <c r="AD2535" s="73"/>
      <c r="AE2535" s="73"/>
      <c r="AF2535" s="73"/>
      <c r="AG2535" s="73"/>
      <c r="AH2535" s="73"/>
      <c r="AI2535" s="73"/>
      <c r="AJ2535" s="73"/>
      <c r="AK2535" s="73"/>
    </row>
    <row r="2536">
      <c r="A2536" s="28">
        <v>2535.0</v>
      </c>
      <c r="B2536" s="29"/>
      <c r="C2536" s="29"/>
      <c r="D2536" s="40">
        <v>1.0</v>
      </c>
      <c r="E2536" s="31">
        <v>47.0</v>
      </c>
      <c r="F2536" s="42">
        <v>125.0</v>
      </c>
      <c r="G2536" s="29" t="str">
        <f t="shared" si="1"/>
        <v>47125</v>
      </c>
      <c r="H2536" s="37" t="s">
        <v>157</v>
      </c>
      <c r="I2536" s="37" t="s">
        <v>111</v>
      </c>
      <c r="J2536" s="37" t="s">
        <v>452</v>
      </c>
      <c r="K2536" s="37" t="str">
        <f t="shared" si="43"/>
        <v>Montgomery, TN</v>
      </c>
      <c r="L2536" s="37" t="s">
        <v>63</v>
      </c>
      <c r="M2536" s="37" t="s">
        <v>63</v>
      </c>
      <c r="N2536" s="37">
        <v>233.0</v>
      </c>
      <c r="O2536" s="37" t="s">
        <v>63</v>
      </c>
      <c r="P2536" s="37" t="s">
        <v>63</v>
      </c>
      <c r="Q2536" s="37">
        <v>233.0</v>
      </c>
      <c r="R2536" s="37">
        <v>22.0</v>
      </c>
      <c r="S2536" s="37" t="s">
        <v>63</v>
      </c>
      <c r="T2536" s="69" t="s">
        <v>63</v>
      </c>
      <c r="U2536" s="37" t="s">
        <v>63</v>
      </c>
      <c r="V2536" s="37" t="s">
        <v>63</v>
      </c>
      <c r="W2536" s="37" t="s">
        <v>63</v>
      </c>
      <c r="X2536" s="37" t="s">
        <v>63</v>
      </c>
      <c r="Y2536" s="53">
        <v>148.0</v>
      </c>
      <c r="Z2536" s="69" t="s">
        <v>63</v>
      </c>
      <c r="AA2536" s="73"/>
      <c r="AB2536" s="73"/>
      <c r="AC2536" s="73"/>
      <c r="AD2536" s="73"/>
      <c r="AE2536" s="73"/>
      <c r="AF2536" s="73"/>
      <c r="AG2536" s="73"/>
      <c r="AH2536" s="73"/>
      <c r="AI2536" s="73"/>
      <c r="AJ2536" s="73"/>
      <c r="AK2536" s="73"/>
    </row>
    <row r="2537">
      <c r="A2537" s="28">
        <v>2536.0</v>
      </c>
      <c r="B2537" s="29"/>
      <c r="C2537" s="29"/>
      <c r="D2537" s="40">
        <v>1.0</v>
      </c>
      <c r="E2537" s="31">
        <v>47.0</v>
      </c>
      <c r="F2537" s="42">
        <v>127.0</v>
      </c>
      <c r="G2537" s="29" t="str">
        <f t="shared" si="1"/>
        <v>47127</v>
      </c>
      <c r="H2537" s="37" t="s">
        <v>1615</v>
      </c>
      <c r="I2537" s="37" t="s">
        <v>111</v>
      </c>
      <c r="J2537" s="37" t="s">
        <v>452</v>
      </c>
      <c r="K2537" s="37" t="str">
        <f t="shared" si="43"/>
        <v>Moore, TN</v>
      </c>
      <c r="L2537" s="37" t="s">
        <v>63</v>
      </c>
      <c r="M2537" s="37" t="s">
        <v>63</v>
      </c>
      <c r="N2537" s="37">
        <v>1.0</v>
      </c>
      <c r="O2537" s="37" t="s">
        <v>63</v>
      </c>
      <c r="P2537" s="37" t="s">
        <v>63</v>
      </c>
      <c r="Q2537" s="37">
        <v>1.0</v>
      </c>
      <c r="R2537" s="37" t="s">
        <v>63</v>
      </c>
      <c r="S2537" s="37" t="s">
        <v>63</v>
      </c>
      <c r="T2537" s="69" t="s">
        <v>63</v>
      </c>
      <c r="U2537" s="37" t="s">
        <v>63</v>
      </c>
      <c r="V2537" s="37" t="s">
        <v>63</v>
      </c>
      <c r="W2537" s="37" t="s">
        <v>63</v>
      </c>
      <c r="X2537" s="37" t="s">
        <v>63</v>
      </c>
      <c r="Y2537" s="53">
        <v>7.0</v>
      </c>
      <c r="Z2537" s="69" t="s">
        <v>63</v>
      </c>
      <c r="AA2537" s="73"/>
      <c r="AB2537" s="73"/>
      <c r="AC2537" s="73"/>
      <c r="AD2537" s="73"/>
      <c r="AE2537" s="73"/>
      <c r="AF2537" s="73"/>
      <c r="AG2537" s="73"/>
      <c r="AH2537" s="73"/>
      <c r="AI2537" s="73"/>
      <c r="AJ2537" s="73"/>
      <c r="AK2537" s="73"/>
    </row>
    <row r="2538">
      <c r="A2538" s="28">
        <v>2537.0</v>
      </c>
      <c r="B2538" s="29"/>
      <c r="C2538" s="29"/>
      <c r="D2538" s="40">
        <v>1.0</v>
      </c>
      <c r="E2538" s="31">
        <v>47.0</v>
      </c>
      <c r="F2538" s="42">
        <v>129.0</v>
      </c>
      <c r="G2538" s="29" t="str">
        <f t="shared" si="1"/>
        <v>47129</v>
      </c>
      <c r="H2538" s="37" t="s">
        <v>158</v>
      </c>
      <c r="I2538" s="37" t="s">
        <v>111</v>
      </c>
      <c r="J2538" s="37" t="s">
        <v>452</v>
      </c>
      <c r="K2538" s="37" t="str">
        <f t="shared" si="43"/>
        <v>Morgan, TN</v>
      </c>
      <c r="L2538" s="37" t="s">
        <v>63</v>
      </c>
      <c r="M2538" s="37" t="s">
        <v>63</v>
      </c>
      <c r="N2538" s="37">
        <v>10.0</v>
      </c>
      <c r="O2538" s="37" t="s">
        <v>63</v>
      </c>
      <c r="P2538" s="37" t="s">
        <v>63</v>
      </c>
      <c r="Q2538" s="37">
        <v>10.0</v>
      </c>
      <c r="R2538" s="37">
        <v>2.0</v>
      </c>
      <c r="S2538" s="37" t="s">
        <v>63</v>
      </c>
      <c r="T2538" s="69" t="s">
        <v>63</v>
      </c>
      <c r="U2538" s="37" t="s">
        <v>63</v>
      </c>
      <c r="V2538" s="37" t="s">
        <v>63</v>
      </c>
      <c r="W2538" s="37" t="s">
        <v>63</v>
      </c>
      <c r="X2538" s="37" t="s">
        <v>63</v>
      </c>
      <c r="Y2538" s="53">
        <v>33.0</v>
      </c>
      <c r="Z2538" s="69" t="s">
        <v>63</v>
      </c>
      <c r="AA2538" s="73"/>
      <c r="AB2538" s="73"/>
      <c r="AC2538" s="73"/>
      <c r="AD2538" s="73"/>
      <c r="AE2538" s="73"/>
      <c r="AF2538" s="73"/>
      <c r="AG2538" s="73"/>
      <c r="AH2538" s="73"/>
      <c r="AI2538" s="73"/>
      <c r="AJ2538" s="73"/>
      <c r="AK2538" s="73"/>
    </row>
    <row r="2539">
      <c r="A2539" s="28">
        <v>2538.0</v>
      </c>
      <c r="B2539" s="29"/>
      <c r="C2539" s="29"/>
      <c r="D2539" s="40">
        <v>1.0</v>
      </c>
      <c r="E2539" s="31">
        <v>47.0</v>
      </c>
      <c r="F2539" s="42">
        <v>131.0</v>
      </c>
      <c r="G2539" s="29" t="str">
        <f t="shared" si="1"/>
        <v>47131</v>
      </c>
      <c r="H2539" s="37" t="s">
        <v>1957</v>
      </c>
      <c r="I2539" s="37" t="s">
        <v>111</v>
      </c>
      <c r="J2539" s="37" t="s">
        <v>452</v>
      </c>
      <c r="K2539" s="37" t="str">
        <f t="shared" si="43"/>
        <v>Obion, TN</v>
      </c>
      <c r="L2539" s="37" t="s">
        <v>63</v>
      </c>
      <c r="M2539" s="37" t="s">
        <v>63</v>
      </c>
      <c r="N2539" s="37">
        <v>27.0</v>
      </c>
      <c r="O2539" s="37" t="s">
        <v>63</v>
      </c>
      <c r="P2539" s="37" t="s">
        <v>63</v>
      </c>
      <c r="Q2539" s="37">
        <v>27.0</v>
      </c>
      <c r="R2539" s="37">
        <v>4.0</v>
      </c>
      <c r="S2539" s="37" t="s">
        <v>63</v>
      </c>
      <c r="T2539" s="69" t="s">
        <v>63</v>
      </c>
      <c r="U2539" s="37" t="s">
        <v>63</v>
      </c>
      <c r="V2539" s="37" t="s">
        <v>63</v>
      </c>
      <c r="W2539" s="37" t="s">
        <v>63</v>
      </c>
      <c r="X2539" s="37" t="s">
        <v>63</v>
      </c>
      <c r="Y2539" s="53">
        <v>55.0</v>
      </c>
      <c r="Z2539" s="69" t="s">
        <v>63</v>
      </c>
      <c r="AA2539" s="73"/>
      <c r="AB2539" s="73"/>
      <c r="AC2539" s="73"/>
      <c r="AD2539" s="73"/>
      <c r="AE2539" s="73"/>
      <c r="AF2539" s="73"/>
      <c r="AG2539" s="73"/>
      <c r="AH2539" s="73"/>
      <c r="AI2539" s="73"/>
      <c r="AJ2539" s="73"/>
      <c r="AK2539" s="73"/>
    </row>
    <row r="2540">
      <c r="A2540" s="28">
        <v>2539.0</v>
      </c>
      <c r="B2540" s="29"/>
      <c r="C2540" s="29"/>
      <c r="D2540" s="40">
        <v>1.0</v>
      </c>
      <c r="E2540" s="31">
        <v>47.0</v>
      </c>
      <c r="F2540" s="42">
        <v>133.0</v>
      </c>
      <c r="G2540" s="29" t="str">
        <f t="shared" si="1"/>
        <v>47133</v>
      </c>
      <c r="H2540" s="37" t="s">
        <v>1960</v>
      </c>
      <c r="I2540" s="37" t="s">
        <v>111</v>
      </c>
      <c r="J2540" s="37" t="s">
        <v>452</v>
      </c>
      <c r="K2540" s="37" t="str">
        <f t="shared" si="43"/>
        <v>Overton, TN</v>
      </c>
      <c r="L2540" s="37" t="s">
        <v>63</v>
      </c>
      <c r="M2540" s="37" t="s">
        <v>63</v>
      </c>
      <c r="N2540" s="37">
        <v>54.0</v>
      </c>
      <c r="O2540" s="37" t="s">
        <v>63</v>
      </c>
      <c r="P2540" s="37" t="s">
        <v>63</v>
      </c>
      <c r="Q2540" s="37">
        <v>54.0</v>
      </c>
      <c r="R2540" s="37">
        <v>8.0</v>
      </c>
      <c r="S2540" s="37" t="s">
        <v>63</v>
      </c>
      <c r="T2540" s="69" t="s">
        <v>63</v>
      </c>
      <c r="U2540" s="37" t="s">
        <v>63</v>
      </c>
      <c r="V2540" s="37" t="s">
        <v>63</v>
      </c>
      <c r="W2540" s="37" t="s">
        <v>63</v>
      </c>
      <c r="X2540" s="37" t="s">
        <v>63</v>
      </c>
      <c r="Y2540" s="53">
        <v>26.0</v>
      </c>
      <c r="Z2540" s="69" t="s">
        <v>63</v>
      </c>
      <c r="AA2540" s="73"/>
      <c r="AB2540" s="73"/>
      <c r="AC2540" s="73"/>
      <c r="AD2540" s="73"/>
      <c r="AE2540" s="73"/>
      <c r="AF2540" s="73"/>
      <c r="AG2540" s="73"/>
      <c r="AH2540" s="73"/>
      <c r="AI2540" s="73"/>
      <c r="AJ2540" s="73"/>
      <c r="AK2540" s="73"/>
    </row>
    <row r="2541">
      <c r="A2541" s="28">
        <v>2540.0</v>
      </c>
      <c r="B2541" s="29"/>
      <c r="C2541" s="29"/>
      <c r="D2541" s="40">
        <v>1.0</v>
      </c>
      <c r="E2541" s="31">
        <v>47.0</v>
      </c>
      <c r="F2541" s="42">
        <v>135.0</v>
      </c>
      <c r="G2541" s="29" t="str">
        <f t="shared" si="1"/>
        <v>47135</v>
      </c>
      <c r="H2541" s="37" t="s">
        <v>159</v>
      </c>
      <c r="I2541" s="37" t="s">
        <v>111</v>
      </c>
      <c r="J2541" s="37" t="s">
        <v>452</v>
      </c>
      <c r="K2541" s="37" t="str">
        <f t="shared" si="43"/>
        <v>Perry, TN</v>
      </c>
      <c r="L2541" s="37" t="s">
        <v>63</v>
      </c>
      <c r="M2541" s="37" t="s">
        <v>63</v>
      </c>
      <c r="N2541" s="37">
        <v>21.0</v>
      </c>
      <c r="O2541" s="37" t="s">
        <v>63</v>
      </c>
      <c r="P2541" s="37" t="s">
        <v>63</v>
      </c>
      <c r="Q2541" s="37">
        <v>21.0</v>
      </c>
      <c r="R2541" s="37">
        <v>2.0</v>
      </c>
      <c r="S2541" s="37" t="s">
        <v>63</v>
      </c>
      <c r="T2541" s="69" t="s">
        <v>63</v>
      </c>
      <c r="U2541" s="37" t="s">
        <v>63</v>
      </c>
      <c r="V2541" s="37" t="s">
        <v>63</v>
      </c>
      <c r="W2541" s="37" t="s">
        <v>63</v>
      </c>
      <c r="X2541" s="37" t="s">
        <v>63</v>
      </c>
      <c r="Y2541" s="53">
        <v>11.0</v>
      </c>
      <c r="Z2541" s="69" t="s">
        <v>63</v>
      </c>
      <c r="AA2541" s="73"/>
      <c r="AB2541" s="73"/>
      <c r="AC2541" s="73"/>
      <c r="AD2541" s="73"/>
      <c r="AE2541" s="73"/>
      <c r="AF2541" s="73"/>
      <c r="AG2541" s="73"/>
      <c r="AH2541" s="73"/>
      <c r="AI2541" s="73"/>
      <c r="AJ2541" s="73"/>
      <c r="AK2541" s="73"/>
    </row>
    <row r="2542">
      <c r="A2542" s="28">
        <v>2541.0</v>
      </c>
      <c r="B2542" s="29"/>
      <c r="C2542" s="29"/>
      <c r="D2542" s="40">
        <v>1.0</v>
      </c>
      <c r="E2542" s="31">
        <v>47.0</v>
      </c>
      <c r="F2542" s="42">
        <v>137.0</v>
      </c>
      <c r="G2542" s="29" t="str">
        <f t="shared" si="1"/>
        <v>47137</v>
      </c>
      <c r="H2542" s="37" t="s">
        <v>1965</v>
      </c>
      <c r="I2542" s="37" t="s">
        <v>111</v>
      </c>
      <c r="J2542" s="37" t="s">
        <v>452</v>
      </c>
      <c r="K2542" s="37" t="str">
        <f t="shared" si="43"/>
        <v>Pickett, TN</v>
      </c>
      <c r="L2542" s="37" t="s">
        <v>63</v>
      </c>
      <c r="M2542" s="37" t="s">
        <v>63</v>
      </c>
      <c r="N2542" s="37">
        <v>10.0</v>
      </c>
      <c r="O2542" s="37" t="s">
        <v>63</v>
      </c>
      <c r="P2542" s="37" t="s">
        <v>63</v>
      </c>
      <c r="Q2542" s="37">
        <v>10.0</v>
      </c>
      <c r="R2542" s="37">
        <v>1.0</v>
      </c>
      <c r="S2542" s="37" t="s">
        <v>63</v>
      </c>
      <c r="T2542" s="69" t="s">
        <v>63</v>
      </c>
      <c r="U2542" s="37" t="s">
        <v>63</v>
      </c>
      <c r="V2542" s="37" t="s">
        <v>63</v>
      </c>
      <c r="W2542" s="37" t="s">
        <v>63</v>
      </c>
      <c r="X2542" s="37" t="s">
        <v>63</v>
      </c>
      <c r="Y2542" s="53">
        <v>6.0</v>
      </c>
      <c r="Z2542" s="69" t="s">
        <v>63</v>
      </c>
      <c r="AA2542" s="73"/>
      <c r="AB2542" s="73"/>
      <c r="AC2542" s="73"/>
      <c r="AD2542" s="73"/>
      <c r="AE2542" s="73"/>
      <c r="AF2542" s="73"/>
      <c r="AG2542" s="73"/>
      <c r="AH2542" s="73"/>
      <c r="AI2542" s="73"/>
      <c r="AJ2542" s="73"/>
      <c r="AK2542" s="73"/>
    </row>
    <row r="2543">
      <c r="A2543" s="28">
        <v>2542.0</v>
      </c>
      <c r="B2543" s="29"/>
      <c r="C2543" s="29"/>
      <c r="D2543" s="40">
        <v>1.0</v>
      </c>
      <c r="E2543" s="31">
        <v>47.0</v>
      </c>
      <c r="F2543" s="42">
        <v>139.0</v>
      </c>
      <c r="G2543" s="29" t="str">
        <f t="shared" si="1"/>
        <v>47139</v>
      </c>
      <c r="H2543" s="37" t="s">
        <v>302</v>
      </c>
      <c r="I2543" s="37" t="s">
        <v>111</v>
      </c>
      <c r="J2543" s="37" t="s">
        <v>452</v>
      </c>
      <c r="K2543" s="37" t="str">
        <f t="shared" si="43"/>
        <v>Polk, TN</v>
      </c>
      <c r="L2543" s="37" t="s">
        <v>63</v>
      </c>
      <c r="M2543" s="37" t="s">
        <v>63</v>
      </c>
      <c r="N2543" s="37">
        <v>16.0</v>
      </c>
      <c r="O2543" s="37" t="s">
        <v>63</v>
      </c>
      <c r="P2543" s="37" t="s">
        <v>63</v>
      </c>
      <c r="Q2543" s="37">
        <v>16.0</v>
      </c>
      <c r="R2543" s="37">
        <v>1.0</v>
      </c>
      <c r="S2543" s="37" t="s">
        <v>63</v>
      </c>
      <c r="T2543" s="69" t="s">
        <v>63</v>
      </c>
      <c r="U2543" s="37" t="s">
        <v>63</v>
      </c>
      <c r="V2543" s="37" t="s">
        <v>63</v>
      </c>
      <c r="W2543" s="37" t="s">
        <v>63</v>
      </c>
      <c r="X2543" s="37" t="s">
        <v>63</v>
      </c>
      <c r="Y2543" s="53">
        <v>28.0</v>
      </c>
      <c r="Z2543" s="69" t="s">
        <v>63</v>
      </c>
      <c r="AA2543" s="73"/>
      <c r="AB2543" s="73"/>
      <c r="AC2543" s="73"/>
      <c r="AD2543" s="73"/>
      <c r="AE2543" s="73"/>
      <c r="AF2543" s="73"/>
      <c r="AG2543" s="73"/>
      <c r="AH2543" s="73"/>
      <c r="AI2543" s="73"/>
      <c r="AJ2543" s="73"/>
      <c r="AK2543" s="73"/>
    </row>
    <row r="2544">
      <c r="A2544" s="28">
        <v>2543.0</v>
      </c>
      <c r="B2544" s="29"/>
      <c r="C2544" s="29"/>
      <c r="D2544" s="40">
        <v>1.0</v>
      </c>
      <c r="E2544" s="31">
        <v>47.0</v>
      </c>
      <c r="F2544" s="42">
        <v>141.0</v>
      </c>
      <c r="G2544" s="29" t="str">
        <f t="shared" si="1"/>
        <v>47141</v>
      </c>
      <c r="H2544" s="37" t="s">
        <v>518</v>
      </c>
      <c r="I2544" s="37" t="s">
        <v>111</v>
      </c>
      <c r="J2544" s="37" t="s">
        <v>452</v>
      </c>
      <c r="K2544" s="37" t="str">
        <f t="shared" si="43"/>
        <v>Putnam, TN</v>
      </c>
      <c r="L2544" s="37" t="s">
        <v>63</v>
      </c>
      <c r="M2544" s="37" t="s">
        <v>63</v>
      </c>
      <c r="N2544" s="37">
        <v>93.0</v>
      </c>
      <c r="O2544" s="37" t="s">
        <v>63</v>
      </c>
      <c r="P2544" s="37" t="s">
        <v>63</v>
      </c>
      <c r="Q2544" s="37">
        <v>93.0</v>
      </c>
      <c r="R2544" s="37">
        <v>10.0</v>
      </c>
      <c r="S2544" s="37" t="s">
        <v>63</v>
      </c>
      <c r="T2544" s="69" t="s">
        <v>63</v>
      </c>
      <c r="U2544" s="37" t="s">
        <v>63</v>
      </c>
      <c r="V2544" s="37" t="s">
        <v>63</v>
      </c>
      <c r="W2544" s="37" t="s">
        <v>63</v>
      </c>
      <c r="X2544" s="37" t="s">
        <v>63</v>
      </c>
      <c r="Y2544" s="53">
        <v>78.0</v>
      </c>
      <c r="Z2544" s="69" t="s">
        <v>63</v>
      </c>
      <c r="AA2544" s="73"/>
      <c r="AB2544" s="73"/>
      <c r="AC2544" s="73"/>
      <c r="AD2544" s="73"/>
      <c r="AE2544" s="73"/>
      <c r="AF2544" s="73"/>
      <c r="AG2544" s="73"/>
      <c r="AH2544" s="73"/>
      <c r="AI2544" s="73"/>
      <c r="AJ2544" s="73"/>
      <c r="AK2544" s="73"/>
    </row>
    <row r="2545">
      <c r="A2545" s="28">
        <v>2544.0</v>
      </c>
      <c r="B2545" s="29"/>
      <c r="C2545" s="29"/>
      <c r="D2545" s="40">
        <v>1.0</v>
      </c>
      <c r="E2545" s="31">
        <v>47.0</v>
      </c>
      <c r="F2545" s="42">
        <v>143.0</v>
      </c>
      <c r="G2545" s="29" t="str">
        <f t="shared" si="1"/>
        <v>47143</v>
      </c>
      <c r="H2545" s="37" t="s">
        <v>1973</v>
      </c>
      <c r="I2545" s="37" t="s">
        <v>111</v>
      </c>
      <c r="J2545" s="37" t="s">
        <v>452</v>
      </c>
      <c r="K2545" s="37" t="str">
        <f t="shared" si="43"/>
        <v>Rhea, TN</v>
      </c>
      <c r="L2545" s="37" t="s">
        <v>63</v>
      </c>
      <c r="M2545" s="37" t="s">
        <v>63</v>
      </c>
      <c r="N2545" s="37">
        <v>50.0</v>
      </c>
      <c r="O2545" s="37" t="s">
        <v>63</v>
      </c>
      <c r="P2545" s="37" t="s">
        <v>63</v>
      </c>
      <c r="Q2545" s="37">
        <v>50.0</v>
      </c>
      <c r="R2545" s="37">
        <v>9.0</v>
      </c>
      <c r="S2545" s="37" t="s">
        <v>63</v>
      </c>
      <c r="T2545" s="69" t="s">
        <v>63</v>
      </c>
      <c r="U2545" s="37" t="s">
        <v>63</v>
      </c>
      <c r="V2545" s="37" t="s">
        <v>63</v>
      </c>
      <c r="W2545" s="37" t="s">
        <v>63</v>
      </c>
      <c r="X2545" s="37" t="s">
        <v>63</v>
      </c>
      <c r="Y2545" s="53">
        <v>46.0</v>
      </c>
      <c r="Z2545" s="69" t="s">
        <v>63</v>
      </c>
      <c r="AA2545" s="73"/>
      <c r="AB2545" s="73"/>
      <c r="AC2545" s="73"/>
      <c r="AD2545" s="73"/>
      <c r="AE2545" s="73"/>
      <c r="AF2545" s="73"/>
      <c r="AG2545" s="73"/>
      <c r="AH2545" s="73"/>
      <c r="AI2545" s="73"/>
      <c r="AJ2545" s="73"/>
      <c r="AK2545" s="73"/>
    </row>
    <row r="2546">
      <c r="A2546" s="28">
        <v>2545.0</v>
      </c>
      <c r="B2546" s="29"/>
      <c r="C2546" s="29"/>
      <c r="D2546" s="40">
        <v>1.0</v>
      </c>
      <c r="E2546" s="31">
        <v>47.0</v>
      </c>
      <c r="F2546" s="42">
        <v>145.0</v>
      </c>
      <c r="G2546" s="29" t="str">
        <f t="shared" si="1"/>
        <v>47145</v>
      </c>
      <c r="H2546" s="37" t="s">
        <v>1976</v>
      </c>
      <c r="I2546" s="37" t="s">
        <v>111</v>
      </c>
      <c r="J2546" s="37" t="s">
        <v>452</v>
      </c>
      <c r="K2546" s="37" t="str">
        <f t="shared" si="43"/>
        <v>Roane, TN</v>
      </c>
      <c r="L2546" s="37" t="s">
        <v>63</v>
      </c>
      <c r="M2546" s="37" t="s">
        <v>63</v>
      </c>
      <c r="N2546" s="37">
        <v>42.0</v>
      </c>
      <c r="O2546" s="37" t="s">
        <v>63</v>
      </c>
      <c r="P2546" s="37" t="s">
        <v>63</v>
      </c>
      <c r="Q2546" s="37">
        <v>42.0</v>
      </c>
      <c r="R2546" s="37">
        <v>9.0</v>
      </c>
      <c r="S2546" s="37" t="s">
        <v>63</v>
      </c>
      <c r="T2546" s="69" t="s">
        <v>63</v>
      </c>
      <c r="U2546" s="37" t="s">
        <v>63</v>
      </c>
      <c r="V2546" s="37" t="s">
        <v>63</v>
      </c>
      <c r="W2546" s="37" t="s">
        <v>63</v>
      </c>
      <c r="X2546" s="37" t="s">
        <v>63</v>
      </c>
      <c r="Y2546" s="53">
        <v>73.0</v>
      </c>
      <c r="Z2546" s="69" t="s">
        <v>63</v>
      </c>
      <c r="AA2546" s="73"/>
      <c r="AB2546" s="73"/>
      <c r="AC2546" s="73"/>
      <c r="AD2546" s="73"/>
      <c r="AE2546" s="73"/>
      <c r="AF2546" s="73"/>
      <c r="AG2546" s="73"/>
      <c r="AH2546" s="73"/>
      <c r="AI2546" s="73"/>
      <c r="AJ2546" s="73"/>
      <c r="AK2546" s="73"/>
    </row>
    <row r="2547">
      <c r="A2547" s="28">
        <v>2546.0</v>
      </c>
      <c r="B2547" s="29"/>
      <c r="C2547" s="29"/>
      <c r="D2547" s="40">
        <v>1.0</v>
      </c>
      <c r="E2547" s="31">
        <v>47.0</v>
      </c>
      <c r="F2547" s="42">
        <v>147.0</v>
      </c>
      <c r="G2547" s="29" t="str">
        <f t="shared" si="1"/>
        <v>47147</v>
      </c>
      <c r="H2547" s="37" t="s">
        <v>1131</v>
      </c>
      <c r="I2547" s="37" t="s">
        <v>111</v>
      </c>
      <c r="J2547" s="37" t="s">
        <v>452</v>
      </c>
      <c r="K2547" s="37" t="str">
        <f t="shared" si="43"/>
        <v>Robertson, TN</v>
      </c>
      <c r="L2547" s="37" t="s">
        <v>63</v>
      </c>
      <c r="M2547" s="37" t="s">
        <v>63</v>
      </c>
      <c r="N2547" s="37">
        <v>50.0</v>
      </c>
      <c r="O2547" s="37" t="s">
        <v>63</v>
      </c>
      <c r="P2547" s="37" t="s">
        <v>63</v>
      </c>
      <c r="Q2547" s="37">
        <v>50.0</v>
      </c>
      <c r="R2547" s="37">
        <v>2.0</v>
      </c>
      <c r="S2547" s="37" t="s">
        <v>63</v>
      </c>
      <c r="T2547" s="69" t="s">
        <v>63</v>
      </c>
      <c r="U2547" s="37" t="s">
        <v>63</v>
      </c>
      <c r="V2547" s="37" t="s">
        <v>63</v>
      </c>
      <c r="W2547" s="37" t="s">
        <v>63</v>
      </c>
      <c r="X2547" s="37" t="s">
        <v>63</v>
      </c>
      <c r="Y2547" s="53">
        <v>94.0</v>
      </c>
      <c r="Z2547" s="69" t="s">
        <v>63</v>
      </c>
      <c r="AA2547" s="73"/>
      <c r="AB2547" s="73"/>
      <c r="AC2547" s="73"/>
      <c r="AD2547" s="73"/>
      <c r="AE2547" s="73"/>
      <c r="AF2547" s="73"/>
      <c r="AG2547" s="73"/>
      <c r="AH2547" s="73"/>
      <c r="AI2547" s="73"/>
      <c r="AJ2547" s="73"/>
      <c r="AK2547" s="73"/>
    </row>
    <row r="2548">
      <c r="A2548" s="28">
        <v>2547.0</v>
      </c>
      <c r="B2548" s="29"/>
      <c r="C2548" s="29"/>
      <c r="D2548" s="40">
        <v>1.0</v>
      </c>
      <c r="E2548" s="31">
        <v>47.0</v>
      </c>
      <c r="F2548" s="42">
        <v>149.0</v>
      </c>
      <c r="G2548" s="29" t="str">
        <f t="shared" si="1"/>
        <v>47149</v>
      </c>
      <c r="H2548" s="37" t="s">
        <v>1627</v>
      </c>
      <c r="I2548" s="37" t="s">
        <v>111</v>
      </c>
      <c r="J2548" s="37" t="s">
        <v>452</v>
      </c>
      <c r="K2548" s="37" t="str">
        <f t="shared" si="43"/>
        <v>Rutherford, TN</v>
      </c>
      <c r="L2548" s="37" t="s">
        <v>63</v>
      </c>
      <c r="M2548" s="37" t="s">
        <v>63</v>
      </c>
      <c r="N2548" s="37">
        <v>222.0</v>
      </c>
      <c r="O2548" s="37" t="s">
        <v>63</v>
      </c>
      <c r="P2548" s="37" t="s">
        <v>63</v>
      </c>
      <c r="Q2548" s="37">
        <v>222.0</v>
      </c>
      <c r="R2548" s="37">
        <v>19.0</v>
      </c>
      <c r="S2548" s="37" t="s">
        <v>63</v>
      </c>
      <c r="T2548" s="69" t="s">
        <v>63</v>
      </c>
      <c r="U2548" s="37" t="s">
        <v>63</v>
      </c>
      <c r="V2548" s="37" t="s">
        <v>63</v>
      </c>
      <c r="W2548" s="37" t="s">
        <v>63</v>
      </c>
      <c r="X2548" s="37" t="s">
        <v>63</v>
      </c>
      <c r="Y2548" s="53">
        <v>200.0</v>
      </c>
      <c r="Z2548" s="69" t="s">
        <v>63</v>
      </c>
      <c r="AA2548" s="73"/>
      <c r="AB2548" s="73"/>
      <c r="AC2548" s="73"/>
      <c r="AD2548" s="73"/>
      <c r="AE2548" s="73"/>
      <c r="AF2548" s="73"/>
      <c r="AG2548" s="73"/>
      <c r="AH2548" s="73"/>
      <c r="AI2548" s="73"/>
      <c r="AJ2548" s="73"/>
      <c r="AK2548" s="73"/>
    </row>
    <row r="2549">
      <c r="A2549" s="28">
        <v>2548.0</v>
      </c>
      <c r="B2549" s="29"/>
      <c r="C2549" s="29"/>
      <c r="D2549" s="40">
        <v>1.0</v>
      </c>
      <c r="E2549" s="31">
        <v>47.0</v>
      </c>
      <c r="F2549" s="42">
        <v>151.0</v>
      </c>
      <c r="G2549" s="29" t="str">
        <f t="shared" si="1"/>
        <v>47151</v>
      </c>
      <c r="H2549" s="37" t="s">
        <v>309</v>
      </c>
      <c r="I2549" s="37" t="s">
        <v>111</v>
      </c>
      <c r="J2549" s="37" t="s">
        <v>452</v>
      </c>
      <c r="K2549" s="37" t="str">
        <f t="shared" si="43"/>
        <v>Scott, TN</v>
      </c>
      <c r="L2549" s="37" t="s">
        <v>63</v>
      </c>
      <c r="M2549" s="37" t="s">
        <v>63</v>
      </c>
      <c r="N2549" s="37">
        <v>26.0</v>
      </c>
      <c r="O2549" s="37" t="s">
        <v>63</v>
      </c>
      <c r="P2549" s="37" t="s">
        <v>63</v>
      </c>
      <c r="Q2549" s="37">
        <v>26.0</v>
      </c>
      <c r="R2549" s="37">
        <v>10.0</v>
      </c>
      <c r="S2549" s="37" t="s">
        <v>63</v>
      </c>
      <c r="T2549" s="69" t="s">
        <v>63</v>
      </c>
      <c r="U2549" s="37" t="s">
        <v>63</v>
      </c>
      <c r="V2549" s="37" t="s">
        <v>63</v>
      </c>
      <c r="W2549" s="37" t="s">
        <v>63</v>
      </c>
      <c r="X2549" s="37" t="s">
        <v>63</v>
      </c>
      <c r="Y2549" s="53">
        <v>29.0</v>
      </c>
      <c r="Z2549" s="69" t="s">
        <v>63</v>
      </c>
      <c r="AA2549" s="73"/>
      <c r="AB2549" s="73"/>
      <c r="AC2549" s="73"/>
      <c r="AD2549" s="73"/>
      <c r="AE2549" s="73"/>
      <c r="AF2549" s="73"/>
      <c r="AG2549" s="73"/>
      <c r="AH2549" s="73"/>
      <c r="AI2549" s="73"/>
      <c r="AJ2549" s="73"/>
      <c r="AK2549" s="73"/>
    </row>
    <row r="2550">
      <c r="A2550" s="28">
        <v>2549.0</v>
      </c>
      <c r="B2550" s="29"/>
      <c r="C2550" s="29"/>
      <c r="D2550" s="40">
        <v>1.0</v>
      </c>
      <c r="E2550" s="31">
        <v>47.0</v>
      </c>
      <c r="F2550" s="42">
        <v>153.0</v>
      </c>
      <c r="G2550" s="29" t="str">
        <f t="shared" si="1"/>
        <v>47153</v>
      </c>
      <c r="H2550" s="37" t="s">
        <v>1985</v>
      </c>
      <c r="I2550" s="37" t="s">
        <v>111</v>
      </c>
      <c r="J2550" s="37" t="s">
        <v>452</v>
      </c>
      <c r="K2550" s="37" t="str">
        <f t="shared" si="43"/>
        <v>Sequatchie, TN</v>
      </c>
      <c r="L2550" s="37" t="s">
        <v>63</v>
      </c>
      <c r="M2550" s="37" t="s">
        <v>63</v>
      </c>
      <c r="N2550" s="37">
        <v>10.0</v>
      </c>
      <c r="O2550" s="37" t="s">
        <v>63</v>
      </c>
      <c r="P2550" s="37" t="s">
        <v>63</v>
      </c>
      <c r="Q2550" s="37">
        <v>10.0</v>
      </c>
      <c r="R2550" s="37" t="s">
        <v>63</v>
      </c>
      <c r="S2550" s="37" t="s">
        <v>63</v>
      </c>
      <c r="T2550" s="69" t="s">
        <v>63</v>
      </c>
      <c r="U2550" s="37" t="s">
        <v>63</v>
      </c>
      <c r="V2550" s="37" t="s">
        <v>63</v>
      </c>
      <c r="W2550" s="37" t="s">
        <v>63</v>
      </c>
      <c r="X2550" s="37" t="s">
        <v>63</v>
      </c>
      <c r="Y2550" s="53">
        <v>22.0</v>
      </c>
      <c r="Z2550" s="69" t="s">
        <v>63</v>
      </c>
      <c r="AA2550" s="73"/>
      <c r="AB2550" s="73"/>
      <c r="AC2550" s="73"/>
      <c r="AD2550" s="73"/>
      <c r="AE2550" s="73"/>
      <c r="AF2550" s="73"/>
      <c r="AG2550" s="73"/>
      <c r="AH2550" s="73"/>
      <c r="AI2550" s="73"/>
      <c r="AJ2550" s="73"/>
      <c r="AK2550" s="73"/>
    </row>
    <row r="2551">
      <c r="A2551" s="28">
        <v>2550.0</v>
      </c>
      <c r="B2551" s="29"/>
      <c r="C2551" s="29"/>
      <c r="D2551" s="40">
        <v>1.0</v>
      </c>
      <c r="E2551" s="31">
        <v>47.0</v>
      </c>
      <c r="F2551" s="42">
        <v>155.0</v>
      </c>
      <c r="G2551" s="29" t="str">
        <f t="shared" si="1"/>
        <v>47155</v>
      </c>
      <c r="H2551" s="37" t="s">
        <v>312</v>
      </c>
      <c r="I2551" s="37" t="s">
        <v>111</v>
      </c>
      <c r="J2551" s="37" t="s">
        <v>452</v>
      </c>
      <c r="K2551" s="37" t="str">
        <f t="shared" si="43"/>
        <v>Sevier, TN</v>
      </c>
      <c r="L2551" s="37" t="s">
        <v>63</v>
      </c>
      <c r="M2551" s="37" t="s">
        <v>63</v>
      </c>
      <c r="N2551" s="37">
        <v>159.0</v>
      </c>
      <c r="O2551" s="37" t="s">
        <v>63</v>
      </c>
      <c r="P2551" s="37" t="s">
        <v>63</v>
      </c>
      <c r="Q2551" s="37">
        <v>159.0</v>
      </c>
      <c r="R2551" s="37">
        <v>21.0</v>
      </c>
      <c r="S2551" s="37" t="s">
        <v>63</v>
      </c>
      <c r="T2551" s="69" t="s">
        <v>63</v>
      </c>
      <c r="U2551" s="37" t="s">
        <v>63</v>
      </c>
      <c r="V2551" s="37" t="s">
        <v>63</v>
      </c>
      <c r="W2551" s="37" t="s">
        <v>63</v>
      </c>
      <c r="X2551" s="37" t="s">
        <v>63</v>
      </c>
      <c r="Y2551" s="53">
        <v>99.0</v>
      </c>
      <c r="Z2551" s="69" t="s">
        <v>63</v>
      </c>
      <c r="AA2551" s="73"/>
      <c r="AB2551" s="73"/>
      <c r="AC2551" s="73"/>
      <c r="AD2551" s="73"/>
      <c r="AE2551" s="73"/>
      <c r="AF2551" s="73"/>
      <c r="AG2551" s="73"/>
      <c r="AH2551" s="73"/>
      <c r="AI2551" s="73"/>
      <c r="AJ2551" s="73"/>
      <c r="AK2551" s="73"/>
    </row>
    <row r="2552">
      <c r="A2552" s="28">
        <v>2551.0</v>
      </c>
      <c r="B2552" s="29"/>
      <c r="C2552" s="29"/>
      <c r="D2552" s="40">
        <v>1.0</v>
      </c>
      <c r="E2552" s="31">
        <v>47.0</v>
      </c>
      <c r="F2552" s="42">
        <v>157.0</v>
      </c>
      <c r="G2552" s="29" t="str">
        <f t="shared" si="1"/>
        <v>47157</v>
      </c>
      <c r="H2552" s="37" t="s">
        <v>168</v>
      </c>
      <c r="I2552" s="37" t="s">
        <v>111</v>
      </c>
      <c r="J2552" s="37" t="s">
        <v>452</v>
      </c>
      <c r="K2552" s="37" t="str">
        <f t="shared" si="43"/>
        <v>Shelby, TN</v>
      </c>
      <c r="L2552" s="37" t="s">
        <v>63</v>
      </c>
      <c r="M2552" s="37" t="s">
        <v>63</v>
      </c>
      <c r="N2552" s="37">
        <v>936.0</v>
      </c>
      <c r="O2552" s="37" t="s">
        <v>63</v>
      </c>
      <c r="P2552" s="37" t="s">
        <v>63</v>
      </c>
      <c r="Q2552" s="37">
        <v>936.0</v>
      </c>
      <c r="R2552" s="37">
        <v>91.0</v>
      </c>
      <c r="S2552" s="37" t="s">
        <v>63</v>
      </c>
      <c r="T2552" s="69" t="s">
        <v>63</v>
      </c>
      <c r="U2552" s="37" t="s">
        <v>63</v>
      </c>
      <c r="V2552" s="37" t="s">
        <v>63</v>
      </c>
      <c r="W2552" s="37" t="s">
        <v>63</v>
      </c>
      <c r="X2552" s="37" t="s">
        <v>63</v>
      </c>
      <c r="Y2552" s="53">
        <v>849.0</v>
      </c>
      <c r="Z2552" s="69" t="s">
        <v>63</v>
      </c>
      <c r="AA2552" s="73"/>
      <c r="AB2552" s="73"/>
      <c r="AC2552" s="73"/>
      <c r="AD2552" s="73"/>
      <c r="AE2552" s="73"/>
      <c r="AF2552" s="73"/>
      <c r="AG2552" s="73"/>
      <c r="AH2552" s="73"/>
      <c r="AI2552" s="73"/>
      <c r="AJ2552" s="73"/>
      <c r="AK2552" s="73"/>
    </row>
    <row r="2553">
      <c r="A2553" s="28">
        <v>2552.0</v>
      </c>
      <c r="B2553" s="29"/>
      <c r="C2553" s="29"/>
      <c r="D2553" s="40">
        <v>1.0</v>
      </c>
      <c r="E2553" s="31">
        <v>47.0</v>
      </c>
      <c r="F2553" s="42">
        <v>159.0</v>
      </c>
      <c r="G2553" s="29" t="str">
        <f t="shared" si="1"/>
        <v>47159</v>
      </c>
      <c r="H2553" s="37" t="s">
        <v>1012</v>
      </c>
      <c r="I2553" s="37" t="s">
        <v>111</v>
      </c>
      <c r="J2553" s="37" t="s">
        <v>452</v>
      </c>
      <c r="K2553" s="37" t="str">
        <f t="shared" si="43"/>
        <v>Smith, TN</v>
      </c>
      <c r="L2553" s="37" t="s">
        <v>63</v>
      </c>
      <c r="M2553" s="37" t="s">
        <v>63</v>
      </c>
      <c r="N2553" s="37">
        <v>46.0</v>
      </c>
      <c r="O2553" s="37" t="s">
        <v>63</v>
      </c>
      <c r="P2553" s="37" t="s">
        <v>63</v>
      </c>
      <c r="Q2553" s="37">
        <v>46.0</v>
      </c>
      <c r="R2553" s="37">
        <v>5.0</v>
      </c>
      <c r="S2553" s="37" t="s">
        <v>63</v>
      </c>
      <c r="T2553" s="69" t="s">
        <v>63</v>
      </c>
      <c r="U2553" s="37" t="s">
        <v>63</v>
      </c>
      <c r="V2553" s="37" t="s">
        <v>63</v>
      </c>
      <c r="W2553" s="37" t="s">
        <v>63</v>
      </c>
      <c r="X2553" s="37" t="s">
        <v>63</v>
      </c>
      <c r="Y2553" s="53">
        <v>34.0</v>
      </c>
      <c r="Z2553" s="69" t="s">
        <v>63</v>
      </c>
      <c r="AA2553" s="73"/>
      <c r="AB2553" s="73"/>
      <c r="AC2553" s="73"/>
      <c r="AD2553" s="73"/>
      <c r="AE2553" s="73"/>
      <c r="AF2553" s="73"/>
      <c r="AG2553" s="73"/>
      <c r="AH2553" s="73"/>
      <c r="AI2553" s="73"/>
      <c r="AJ2553" s="73"/>
      <c r="AK2553" s="73"/>
    </row>
    <row r="2554">
      <c r="A2554" s="28">
        <v>2553.0</v>
      </c>
      <c r="B2554" s="29"/>
      <c r="C2554" s="29"/>
      <c r="D2554" s="40">
        <v>1.0</v>
      </c>
      <c r="E2554" s="31">
        <v>47.0</v>
      </c>
      <c r="F2554" s="42">
        <v>161.0</v>
      </c>
      <c r="G2554" s="29" t="str">
        <f t="shared" si="1"/>
        <v>47161</v>
      </c>
      <c r="H2554" s="37" t="s">
        <v>629</v>
      </c>
      <c r="I2554" s="37" t="s">
        <v>111</v>
      </c>
      <c r="J2554" s="37" t="s">
        <v>452</v>
      </c>
      <c r="K2554" s="37" t="str">
        <f t="shared" si="43"/>
        <v>Stewart, TN</v>
      </c>
      <c r="L2554" s="37" t="s">
        <v>63</v>
      </c>
      <c r="M2554" s="37" t="s">
        <v>63</v>
      </c>
      <c r="N2554" s="37">
        <v>22.0</v>
      </c>
      <c r="O2554" s="37" t="s">
        <v>63</v>
      </c>
      <c r="P2554" s="37" t="s">
        <v>63</v>
      </c>
      <c r="Q2554" s="37">
        <v>22.0</v>
      </c>
      <c r="R2554" s="37">
        <v>6.0</v>
      </c>
      <c r="S2554" s="37" t="s">
        <v>63</v>
      </c>
      <c r="T2554" s="69" t="s">
        <v>63</v>
      </c>
      <c r="U2554" s="37" t="s">
        <v>63</v>
      </c>
      <c r="V2554" s="37" t="s">
        <v>63</v>
      </c>
      <c r="W2554" s="37" t="s">
        <v>63</v>
      </c>
      <c r="X2554" s="37" t="s">
        <v>63</v>
      </c>
      <c r="Y2554" s="53">
        <v>29.0</v>
      </c>
      <c r="Z2554" s="69" t="s">
        <v>63</v>
      </c>
      <c r="AA2554" s="73"/>
      <c r="AB2554" s="73"/>
      <c r="AC2554" s="73"/>
      <c r="AD2554" s="73"/>
      <c r="AE2554" s="73"/>
      <c r="AF2554" s="73"/>
      <c r="AG2554" s="73"/>
      <c r="AH2554" s="73"/>
      <c r="AI2554" s="73"/>
      <c r="AJ2554" s="73"/>
      <c r="AK2554" s="73"/>
    </row>
    <row r="2555">
      <c r="A2555" s="28">
        <v>2554.0</v>
      </c>
      <c r="B2555" s="29"/>
      <c r="C2555" s="29"/>
      <c r="D2555" s="40">
        <v>1.0</v>
      </c>
      <c r="E2555" s="31">
        <v>47.0</v>
      </c>
      <c r="F2555" s="42">
        <v>163.0</v>
      </c>
      <c r="G2555" s="29" t="str">
        <f t="shared" si="1"/>
        <v>47163</v>
      </c>
      <c r="H2555" s="37" t="s">
        <v>860</v>
      </c>
      <c r="I2555" s="37" t="s">
        <v>111</v>
      </c>
      <c r="J2555" s="37" t="s">
        <v>452</v>
      </c>
      <c r="K2555" s="37" t="str">
        <f t="shared" si="43"/>
        <v>Sullivan, TN</v>
      </c>
      <c r="L2555" s="37" t="s">
        <v>63</v>
      </c>
      <c r="M2555" s="37" t="s">
        <v>63</v>
      </c>
      <c r="N2555" s="37">
        <v>204.0</v>
      </c>
      <c r="O2555" s="37" t="s">
        <v>63</v>
      </c>
      <c r="P2555" s="37" t="s">
        <v>63</v>
      </c>
      <c r="Q2555" s="37">
        <v>204.0</v>
      </c>
      <c r="R2555" s="37">
        <v>20.0</v>
      </c>
      <c r="S2555" s="37" t="s">
        <v>63</v>
      </c>
      <c r="T2555" s="69" t="s">
        <v>63</v>
      </c>
      <c r="U2555" s="37" t="s">
        <v>63</v>
      </c>
      <c r="V2555" s="37" t="s">
        <v>63</v>
      </c>
      <c r="W2555" s="37" t="s">
        <v>63</v>
      </c>
      <c r="X2555" s="37" t="s">
        <v>63</v>
      </c>
      <c r="Y2555" s="53">
        <v>204.0</v>
      </c>
      <c r="Z2555" s="69" t="s">
        <v>63</v>
      </c>
      <c r="AA2555" s="73"/>
      <c r="AB2555" s="73"/>
      <c r="AC2555" s="73"/>
      <c r="AD2555" s="73"/>
      <c r="AE2555" s="73"/>
      <c r="AF2555" s="73"/>
      <c r="AG2555" s="73"/>
      <c r="AH2555" s="73"/>
      <c r="AI2555" s="73"/>
      <c r="AJ2555" s="73"/>
      <c r="AK2555" s="73"/>
    </row>
    <row r="2556">
      <c r="A2556" s="28">
        <v>2555.0</v>
      </c>
      <c r="B2556" s="29"/>
      <c r="C2556" s="29"/>
      <c r="D2556" s="40">
        <v>1.0</v>
      </c>
      <c r="E2556" s="31">
        <v>47.0</v>
      </c>
      <c r="F2556" s="42">
        <v>165.0</v>
      </c>
      <c r="G2556" s="29" t="str">
        <f t="shared" si="1"/>
        <v>47165</v>
      </c>
      <c r="H2556" s="37" t="s">
        <v>1016</v>
      </c>
      <c r="I2556" s="37" t="s">
        <v>111</v>
      </c>
      <c r="J2556" s="37" t="s">
        <v>452</v>
      </c>
      <c r="K2556" s="37" t="str">
        <f t="shared" si="43"/>
        <v>Sumner, TN</v>
      </c>
      <c r="L2556" s="37" t="s">
        <v>63</v>
      </c>
      <c r="M2556" s="37" t="s">
        <v>63</v>
      </c>
      <c r="N2556" s="37">
        <v>116.0</v>
      </c>
      <c r="O2556" s="37" t="s">
        <v>63</v>
      </c>
      <c r="P2556" s="37" t="s">
        <v>63</v>
      </c>
      <c r="Q2556" s="37">
        <v>116.0</v>
      </c>
      <c r="R2556" s="37">
        <v>11.0</v>
      </c>
      <c r="S2556" s="37" t="s">
        <v>63</v>
      </c>
      <c r="T2556" s="69" t="s">
        <v>63</v>
      </c>
      <c r="U2556" s="37" t="s">
        <v>63</v>
      </c>
      <c r="V2556" s="37" t="s">
        <v>63</v>
      </c>
      <c r="W2556" s="37" t="s">
        <v>63</v>
      </c>
      <c r="X2556" s="37" t="s">
        <v>63</v>
      </c>
      <c r="Y2556" s="53">
        <v>148.0</v>
      </c>
      <c r="Z2556" s="69" t="s">
        <v>63</v>
      </c>
      <c r="AA2556" s="73"/>
      <c r="AB2556" s="73"/>
      <c r="AC2556" s="73"/>
      <c r="AD2556" s="73"/>
      <c r="AE2556" s="73"/>
      <c r="AF2556" s="73"/>
      <c r="AG2556" s="73"/>
      <c r="AH2556" s="73"/>
      <c r="AI2556" s="73"/>
      <c r="AJ2556" s="73"/>
      <c r="AK2556" s="73"/>
    </row>
    <row r="2557">
      <c r="A2557" s="28">
        <v>2556.0</v>
      </c>
      <c r="B2557" s="29"/>
      <c r="C2557" s="29"/>
      <c r="D2557" s="40">
        <v>1.0</v>
      </c>
      <c r="E2557" s="31">
        <v>47.0</v>
      </c>
      <c r="F2557" s="42">
        <v>167.0</v>
      </c>
      <c r="G2557" s="29" t="str">
        <f t="shared" si="1"/>
        <v>47167</v>
      </c>
      <c r="H2557" s="37" t="s">
        <v>865</v>
      </c>
      <c r="I2557" s="37" t="s">
        <v>111</v>
      </c>
      <c r="J2557" s="37" t="s">
        <v>452</v>
      </c>
      <c r="K2557" s="37" t="str">
        <f t="shared" si="43"/>
        <v>Tipton, TN</v>
      </c>
      <c r="L2557" s="37" t="s">
        <v>63</v>
      </c>
      <c r="M2557" s="37" t="s">
        <v>63</v>
      </c>
      <c r="N2557" s="37">
        <v>22.0</v>
      </c>
      <c r="O2557" s="37" t="s">
        <v>63</v>
      </c>
      <c r="P2557" s="37" t="s">
        <v>63</v>
      </c>
      <c r="Q2557" s="37">
        <v>22.0</v>
      </c>
      <c r="R2557" s="37">
        <v>2.0</v>
      </c>
      <c r="S2557" s="37" t="s">
        <v>63</v>
      </c>
      <c r="T2557" s="69" t="s">
        <v>63</v>
      </c>
      <c r="U2557" s="37" t="s">
        <v>63</v>
      </c>
      <c r="V2557" s="37" t="s">
        <v>63</v>
      </c>
      <c r="W2557" s="37" t="s">
        <v>63</v>
      </c>
      <c r="X2557" s="37" t="s">
        <v>63</v>
      </c>
      <c r="Y2557" s="53">
        <v>82.0</v>
      </c>
      <c r="Z2557" s="69" t="s">
        <v>63</v>
      </c>
      <c r="AA2557" s="73"/>
      <c r="AB2557" s="73"/>
      <c r="AC2557" s="73"/>
      <c r="AD2557" s="73"/>
      <c r="AE2557" s="73"/>
      <c r="AF2557" s="73"/>
      <c r="AG2557" s="73"/>
      <c r="AH2557" s="73"/>
      <c r="AI2557" s="73"/>
      <c r="AJ2557" s="73"/>
      <c r="AK2557" s="73"/>
    </row>
    <row r="2558">
      <c r="A2558" s="28">
        <v>2557.0</v>
      </c>
      <c r="B2558" s="29"/>
      <c r="C2558" s="29"/>
      <c r="D2558" s="40">
        <v>1.0</v>
      </c>
      <c r="E2558" s="31">
        <v>47.0</v>
      </c>
      <c r="F2558" s="42">
        <v>169.0</v>
      </c>
      <c r="G2558" s="29" t="str">
        <f t="shared" si="1"/>
        <v>47169</v>
      </c>
      <c r="H2558" s="37" t="s">
        <v>1994</v>
      </c>
      <c r="I2558" s="37" t="s">
        <v>111</v>
      </c>
      <c r="J2558" s="37" t="s">
        <v>452</v>
      </c>
      <c r="K2558" s="37" t="str">
        <f t="shared" si="43"/>
        <v>Trousdale, TN</v>
      </c>
      <c r="L2558" s="37" t="s">
        <v>63</v>
      </c>
      <c r="M2558" s="37" t="s">
        <v>63</v>
      </c>
      <c r="N2558" s="37">
        <v>8.0</v>
      </c>
      <c r="O2558" s="37" t="s">
        <v>63</v>
      </c>
      <c r="P2558" s="37" t="s">
        <v>63</v>
      </c>
      <c r="Q2558" s="37">
        <v>8.0</v>
      </c>
      <c r="R2558" s="37">
        <v>2.0</v>
      </c>
      <c r="S2558" s="37" t="s">
        <v>63</v>
      </c>
      <c r="T2558" s="69" t="s">
        <v>63</v>
      </c>
      <c r="U2558" s="37" t="s">
        <v>63</v>
      </c>
      <c r="V2558" s="37" t="s">
        <v>63</v>
      </c>
      <c r="W2558" s="37" t="s">
        <v>63</v>
      </c>
      <c r="X2558" s="37" t="s">
        <v>63</v>
      </c>
      <c r="Y2558" s="53">
        <v>9.0</v>
      </c>
      <c r="Z2558" s="69" t="s">
        <v>63</v>
      </c>
      <c r="AA2558" s="73"/>
      <c r="AB2558" s="73"/>
      <c r="AC2558" s="73"/>
      <c r="AD2558" s="73"/>
      <c r="AE2558" s="73"/>
      <c r="AF2558" s="73"/>
      <c r="AG2558" s="73"/>
      <c r="AH2558" s="73"/>
      <c r="AI2558" s="73"/>
      <c r="AJ2558" s="73"/>
      <c r="AK2558" s="73"/>
    </row>
    <row r="2559">
      <c r="A2559" s="28">
        <v>2558.0</v>
      </c>
      <c r="B2559" s="29"/>
      <c r="C2559" s="29"/>
      <c r="D2559" s="40">
        <v>1.0</v>
      </c>
      <c r="E2559" s="31">
        <v>47.0</v>
      </c>
      <c r="F2559" s="42">
        <v>171.0</v>
      </c>
      <c r="G2559" s="29" t="str">
        <f t="shared" si="1"/>
        <v>47171</v>
      </c>
      <c r="H2559" s="37" t="s">
        <v>1995</v>
      </c>
      <c r="I2559" s="37" t="s">
        <v>111</v>
      </c>
      <c r="J2559" s="37" t="s">
        <v>452</v>
      </c>
      <c r="K2559" s="37" t="str">
        <f t="shared" si="43"/>
        <v>Unicoi, TN</v>
      </c>
      <c r="L2559" s="37" t="s">
        <v>63</v>
      </c>
      <c r="M2559" s="37" t="s">
        <v>63</v>
      </c>
      <c r="N2559" s="37">
        <v>24.0</v>
      </c>
      <c r="O2559" s="37" t="s">
        <v>63</v>
      </c>
      <c r="P2559" s="37" t="s">
        <v>63</v>
      </c>
      <c r="Q2559" s="37">
        <v>24.0</v>
      </c>
      <c r="R2559" s="37">
        <v>2.0</v>
      </c>
      <c r="S2559" s="37" t="s">
        <v>63</v>
      </c>
      <c r="T2559" s="69" t="s">
        <v>63</v>
      </c>
      <c r="U2559" s="37" t="s">
        <v>63</v>
      </c>
      <c r="V2559" s="37" t="s">
        <v>63</v>
      </c>
      <c r="W2559" s="37" t="s">
        <v>63</v>
      </c>
      <c r="X2559" s="37" t="s">
        <v>63</v>
      </c>
      <c r="Y2559" s="53">
        <v>31.0</v>
      </c>
      <c r="Z2559" s="69" t="s">
        <v>63</v>
      </c>
      <c r="AA2559" s="73"/>
      <c r="AB2559" s="73"/>
      <c r="AC2559" s="73"/>
      <c r="AD2559" s="73"/>
      <c r="AE2559" s="73"/>
      <c r="AF2559" s="73"/>
      <c r="AG2559" s="73"/>
      <c r="AH2559" s="73"/>
      <c r="AI2559" s="73"/>
      <c r="AJ2559" s="73"/>
      <c r="AK2559" s="73"/>
    </row>
    <row r="2560">
      <c r="A2560" s="28">
        <v>2559.0</v>
      </c>
      <c r="B2560" s="29"/>
      <c r="C2560" s="29"/>
      <c r="D2560" s="40">
        <v>1.0</v>
      </c>
      <c r="E2560" s="31">
        <v>47.0</v>
      </c>
      <c r="F2560" s="42">
        <v>173.0</v>
      </c>
      <c r="G2560" s="29" t="str">
        <f t="shared" si="1"/>
        <v>47173</v>
      </c>
      <c r="H2560" s="37" t="s">
        <v>316</v>
      </c>
      <c r="I2560" s="37" t="s">
        <v>111</v>
      </c>
      <c r="J2560" s="37" t="s">
        <v>452</v>
      </c>
      <c r="K2560" s="37" t="str">
        <f t="shared" si="43"/>
        <v>Union, TN</v>
      </c>
      <c r="L2560" s="37" t="s">
        <v>63</v>
      </c>
      <c r="M2560" s="37" t="s">
        <v>63</v>
      </c>
      <c r="N2560" s="37">
        <v>29.0</v>
      </c>
      <c r="O2560" s="37" t="s">
        <v>63</v>
      </c>
      <c r="P2560" s="37" t="s">
        <v>63</v>
      </c>
      <c r="Q2560" s="37">
        <v>29.0</v>
      </c>
      <c r="R2560" s="37">
        <v>10.0</v>
      </c>
      <c r="S2560" s="37" t="s">
        <v>63</v>
      </c>
      <c r="T2560" s="69" t="s">
        <v>63</v>
      </c>
      <c r="U2560" s="37" t="s">
        <v>63</v>
      </c>
      <c r="V2560" s="37" t="s">
        <v>63</v>
      </c>
      <c r="W2560" s="37" t="s">
        <v>63</v>
      </c>
      <c r="X2560" s="37" t="s">
        <v>63</v>
      </c>
      <c r="Y2560" s="53">
        <v>11.0</v>
      </c>
      <c r="Z2560" s="69" t="s">
        <v>63</v>
      </c>
      <c r="AA2560" s="73"/>
      <c r="AB2560" s="73"/>
      <c r="AC2560" s="73"/>
      <c r="AD2560" s="73"/>
      <c r="AE2560" s="73"/>
      <c r="AF2560" s="73"/>
      <c r="AG2560" s="73"/>
      <c r="AH2560" s="73"/>
      <c r="AI2560" s="73"/>
      <c r="AJ2560" s="73"/>
      <c r="AK2560" s="73"/>
    </row>
    <row r="2561">
      <c r="A2561" s="28">
        <v>2560.0</v>
      </c>
      <c r="B2561" s="29"/>
      <c r="C2561" s="29"/>
      <c r="D2561" s="40">
        <v>1.0</v>
      </c>
      <c r="E2561" s="31">
        <v>47.0</v>
      </c>
      <c r="F2561" s="42">
        <v>175.0</v>
      </c>
      <c r="G2561" s="29" t="str">
        <f t="shared" si="1"/>
        <v>47175</v>
      </c>
      <c r="H2561" s="37" t="s">
        <v>317</v>
      </c>
      <c r="I2561" s="37" t="s">
        <v>111</v>
      </c>
      <c r="J2561" s="37" t="s">
        <v>452</v>
      </c>
      <c r="K2561" s="37" t="str">
        <f t="shared" si="43"/>
        <v>Van Buren, TN</v>
      </c>
      <c r="L2561" s="37" t="s">
        <v>63</v>
      </c>
      <c r="M2561" s="37" t="s">
        <v>63</v>
      </c>
      <c r="N2561" s="37">
        <v>18.0</v>
      </c>
      <c r="O2561" s="37" t="s">
        <v>63</v>
      </c>
      <c r="P2561" s="37" t="s">
        <v>63</v>
      </c>
      <c r="Q2561" s="37">
        <v>18.0</v>
      </c>
      <c r="R2561" s="37" t="s">
        <v>63</v>
      </c>
      <c r="S2561" s="37" t="s">
        <v>63</v>
      </c>
      <c r="T2561" s="69" t="s">
        <v>63</v>
      </c>
      <c r="U2561" s="37" t="s">
        <v>63</v>
      </c>
      <c r="V2561" s="37" t="s">
        <v>63</v>
      </c>
      <c r="W2561" s="37" t="s">
        <v>63</v>
      </c>
      <c r="X2561" s="37" t="s">
        <v>63</v>
      </c>
      <c r="Y2561" s="53">
        <v>8.0</v>
      </c>
      <c r="Z2561" s="69" t="s">
        <v>63</v>
      </c>
      <c r="AA2561" s="73"/>
      <c r="AB2561" s="73"/>
      <c r="AC2561" s="73"/>
      <c r="AD2561" s="73"/>
      <c r="AE2561" s="73"/>
      <c r="AF2561" s="73"/>
      <c r="AG2561" s="73"/>
      <c r="AH2561" s="73"/>
      <c r="AI2561" s="73"/>
      <c r="AJ2561" s="73"/>
      <c r="AK2561" s="73"/>
    </row>
    <row r="2562">
      <c r="A2562" s="28">
        <v>2561.0</v>
      </c>
      <c r="B2562" s="29"/>
      <c r="C2562" s="29"/>
      <c r="D2562" s="40">
        <v>1.0</v>
      </c>
      <c r="E2562" s="31">
        <v>47.0</v>
      </c>
      <c r="F2562" s="42">
        <v>177.0</v>
      </c>
      <c r="G2562" s="29" t="str">
        <f t="shared" si="1"/>
        <v>47177</v>
      </c>
      <c r="H2562" s="37" t="s">
        <v>647</v>
      </c>
      <c r="I2562" s="37" t="s">
        <v>111</v>
      </c>
      <c r="J2562" s="37" t="s">
        <v>452</v>
      </c>
      <c r="K2562" s="37" t="str">
        <f t="shared" si="43"/>
        <v>Warren, TN</v>
      </c>
      <c r="L2562" s="37" t="s">
        <v>63</v>
      </c>
      <c r="M2562" s="37" t="s">
        <v>63</v>
      </c>
      <c r="N2562" s="37">
        <v>91.0</v>
      </c>
      <c r="O2562" s="37" t="s">
        <v>63</v>
      </c>
      <c r="P2562" s="37" t="s">
        <v>63</v>
      </c>
      <c r="Q2562" s="37">
        <v>91.0</v>
      </c>
      <c r="R2562" s="37">
        <v>15.0</v>
      </c>
      <c r="S2562" s="37" t="s">
        <v>63</v>
      </c>
      <c r="T2562" s="69" t="s">
        <v>63</v>
      </c>
      <c r="U2562" s="37" t="s">
        <v>63</v>
      </c>
      <c r="V2562" s="37" t="s">
        <v>63</v>
      </c>
      <c r="W2562" s="37" t="s">
        <v>63</v>
      </c>
      <c r="X2562" s="37" t="s">
        <v>63</v>
      </c>
      <c r="Y2562" s="53">
        <v>77.0</v>
      </c>
      <c r="Z2562" s="69" t="s">
        <v>63</v>
      </c>
      <c r="AA2562" s="73"/>
      <c r="AB2562" s="73"/>
      <c r="AC2562" s="73"/>
      <c r="AD2562" s="73"/>
      <c r="AE2562" s="73"/>
      <c r="AF2562" s="73"/>
      <c r="AG2562" s="73"/>
      <c r="AH2562" s="73"/>
      <c r="AI2562" s="73"/>
      <c r="AJ2562" s="73"/>
      <c r="AK2562" s="73"/>
    </row>
    <row r="2563">
      <c r="A2563" s="28">
        <v>2562.0</v>
      </c>
      <c r="B2563" s="29"/>
      <c r="C2563" s="29"/>
      <c r="D2563" s="40">
        <v>1.0</v>
      </c>
      <c r="E2563" s="31">
        <v>47.0</v>
      </c>
      <c r="F2563" s="42">
        <v>179.0</v>
      </c>
      <c r="G2563" s="29" t="str">
        <f t="shared" si="1"/>
        <v>47179</v>
      </c>
      <c r="H2563" s="37" t="s">
        <v>119</v>
      </c>
      <c r="I2563" s="37" t="s">
        <v>111</v>
      </c>
      <c r="J2563" s="37" t="s">
        <v>452</v>
      </c>
      <c r="K2563" s="37" t="str">
        <f t="shared" si="43"/>
        <v>Washington, TN</v>
      </c>
      <c r="L2563" s="37" t="s">
        <v>63</v>
      </c>
      <c r="M2563" s="37" t="s">
        <v>63</v>
      </c>
      <c r="N2563" s="37">
        <v>180.0</v>
      </c>
      <c r="O2563" s="37" t="s">
        <v>63</v>
      </c>
      <c r="P2563" s="37" t="s">
        <v>63</v>
      </c>
      <c r="Q2563" s="37">
        <v>180.0</v>
      </c>
      <c r="R2563" s="37">
        <v>27.0</v>
      </c>
      <c r="S2563" s="37" t="s">
        <v>63</v>
      </c>
      <c r="T2563" s="69" t="s">
        <v>63</v>
      </c>
      <c r="U2563" s="37" t="s">
        <v>63</v>
      </c>
      <c r="V2563" s="37" t="s">
        <v>63</v>
      </c>
      <c r="W2563" s="37" t="s">
        <v>63</v>
      </c>
      <c r="X2563" s="37" t="s">
        <v>63</v>
      </c>
      <c r="Y2563" s="53">
        <v>150.0</v>
      </c>
      <c r="Z2563" s="69" t="s">
        <v>63</v>
      </c>
      <c r="AA2563" s="73"/>
      <c r="AB2563" s="73"/>
      <c r="AC2563" s="73"/>
      <c r="AD2563" s="73"/>
      <c r="AE2563" s="73"/>
      <c r="AF2563" s="73"/>
      <c r="AG2563" s="73"/>
      <c r="AH2563" s="73"/>
      <c r="AI2563" s="73"/>
      <c r="AJ2563" s="73"/>
      <c r="AK2563" s="73"/>
    </row>
    <row r="2564">
      <c r="A2564" s="28">
        <v>2563.0</v>
      </c>
      <c r="B2564" s="29"/>
      <c r="C2564" s="29"/>
      <c r="D2564" s="40">
        <v>1.0</v>
      </c>
      <c r="E2564" s="31">
        <v>47.0</v>
      </c>
      <c r="F2564" s="42">
        <v>181.0</v>
      </c>
      <c r="G2564" s="29" t="str">
        <f t="shared" si="1"/>
        <v>47181</v>
      </c>
      <c r="H2564" s="37" t="s">
        <v>273</v>
      </c>
      <c r="I2564" s="37" t="s">
        <v>111</v>
      </c>
      <c r="J2564" s="37" t="s">
        <v>452</v>
      </c>
      <c r="K2564" s="37" t="str">
        <f t="shared" si="43"/>
        <v>Wayne, TN</v>
      </c>
      <c r="L2564" s="37" t="s">
        <v>63</v>
      </c>
      <c r="M2564" s="37" t="s">
        <v>63</v>
      </c>
      <c r="N2564" s="37">
        <v>39.0</v>
      </c>
      <c r="O2564" s="37" t="s">
        <v>63</v>
      </c>
      <c r="P2564" s="37" t="s">
        <v>63</v>
      </c>
      <c r="Q2564" s="37">
        <v>39.0</v>
      </c>
      <c r="R2564" s="37">
        <v>5.0</v>
      </c>
      <c r="S2564" s="37" t="s">
        <v>63</v>
      </c>
      <c r="T2564" s="69" t="s">
        <v>63</v>
      </c>
      <c r="U2564" s="37" t="s">
        <v>63</v>
      </c>
      <c r="V2564" s="37" t="s">
        <v>63</v>
      </c>
      <c r="W2564" s="37" t="s">
        <v>63</v>
      </c>
      <c r="X2564" s="37" t="s">
        <v>63</v>
      </c>
      <c r="Y2564" s="53">
        <v>21.0</v>
      </c>
      <c r="Z2564" s="69" t="s">
        <v>63</v>
      </c>
      <c r="AA2564" s="73"/>
      <c r="AB2564" s="73"/>
      <c r="AC2564" s="73"/>
      <c r="AD2564" s="73"/>
      <c r="AE2564" s="73"/>
      <c r="AF2564" s="73"/>
      <c r="AG2564" s="73"/>
      <c r="AH2564" s="73"/>
      <c r="AI2564" s="73"/>
      <c r="AJ2564" s="73"/>
      <c r="AK2564" s="73"/>
    </row>
    <row r="2565">
      <c r="A2565" s="28">
        <v>2564.0</v>
      </c>
      <c r="B2565" s="29"/>
      <c r="C2565" s="29"/>
      <c r="D2565" s="40">
        <v>1.0</v>
      </c>
      <c r="E2565" s="31">
        <v>47.0</v>
      </c>
      <c r="F2565" s="42">
        <v>183.0</v>
      </c>
      <c r="G2565" s="29" t="str">
        <f t="shared" si="1"/>
        <v>47183</v>
      </c>
      <c r="H2565" s="37" t="s">
        <v>1999</v>
      </c>
      <c r="I2565" s="37" t="s">
        <v>111</v>
      </c>
      <c r="J2565" s="37" t="s">
        <v>452</v>
      </c>
      <c r="K2565" s="37" t="str">
        <f t="shared" si="43"/>
        <v>Weakley, TN</v>
      </c>
      <c r="L2565" s="37" t="s">
        <v>63</v>
      </c>
      <c r="M2565" s="37" t="s">
        <v>63</v>
      </c>
      <c r="N2565" s="37">
        <v>15.0</v>
      </c>
      <c r="O2565" s="37" t="s">
        <v>63</v>
      </c>
      <c r="P2565" s="37" t="s">
        <v>63</v>
      </c>
      <c r="Q2565" s="37">
        <v>15.0</v>
      </c>
      <c r="R2565" s="37">
        <v>1.0</v>
      </c>
      <c r="S2565" s="37" t="s">
        <v>63</v>
      </c>
      <c r="T2565" s="69" t="s">
        <v>63</v>
      </c>
      <c r="U2565" s="37" t="s">
        <v>63</v>
      </c>
      <c r="V2565" s="37" t="s">
        <v>63</v>
      </c>
      <c r="W2565" s="37" t="s">
        <v>63</v>
      </c>
      <c r="X2565" s="37" t="s">
        <v>63</v>
      </c>
      <c r="Y2565" s="53">
        <v>56.0</v>
      </c>
      <c r="Z2565" s="69" t="s">
        <v>63</v>
      </c>
      <c r="AA2565" s="73"/>
      <c r="AB2565" s="73"/>
      <c r="AC2565" s="73"/>
      <c r="AD2565" s="73"/>
      <c r="AE2565" s="73"/>
      <c r="AF2565" s="73"/>
      <c r="AG2565" s="73"/>
      <c r="AH2565" s="73"/>
      <c r="AI2565" s="73"/>
      <c r="AJ2565" s="73"/>
      <c r="AK2565" s="73"/>
    </row>
    <row r="2566">
      <c r="A2566" s="28">
        <v>2565.0</v>
      </c>
      <c r="B2566" s="29"/>
      <c r="C2566" s="29"/>
      <c r="D2566" s="40">
        <v>1.0</v>
      </c>
      <c r="E2566" s="31">
        <v>47.0</v>
      </c>
      <c r="F2566" s="42">
        <v>185.0</v>
      </c>
      <c r="G2566" s="29" t="str">
        <f t="shared" si="1"/>
        <v>47185</v>
      </c>
      <c r="H2566" s="37" t="s">
        <v>66</v>
      </c>
      <c r="I2566" s="37" t="s">
        <v>111</v>
      </c>
      <c r="J2566" s="37" t="s">
        <v>452</v>
      </c>
      <c r="K2566" s="37" t="str">
        <f t="shared" si="43"/>
        <v>White, TN</v>
      </c>
      <c r="L2566" s="37" t="s">
        <v>63</v>
      </c>
      <c r="M2566" s="37" t="s">
        <v>63</v>
      </c>
      <c r="N2566" s="37">
        <v>82.0</v>
      </c>
      <c r="O2566" s="37" t="s">
        <v>63</v>
      </c>
      <c r="P2566" s="37" t="s">
        <v>63</v>
      </c>
      <c r="Q2566" s="37">
        <v>82.0</v>
      </c>
      <c r="R2566" s="37">
        <v>7.0</v>
      </c>
      <c r="S2566" s="37" t="s">
        <v>63</v>
      </c>
      <c r="T2566" s="69" t="s">
        <v>63</v>
      </c>
      <c r="U2566" s="37" t="s">
        <v>63</v>
      </c>
      <c r="V2566" s="37" t="s">
        <v>63</v>
      </c>
      <c r="W2566" s="37" t="s">
        <v>63</v>
      </c>
      <c r="X2566" s="37" t="s">
        <v>63</v>
      </c>
      <c r="Y2566" s="53">
        <v>43.0</v>
      </c>
      <c r="Z2566" s="69" t="s">
        <v>63</v>
      </c>
      <c r="AA2566" s="73"/>
      <c r="AB2566" s="73"/>
      <c r="AC2566" s="73"/>
      <c r="AD2566" s="73"/>
      <c r="AE2566" s="73"/>
      <c r="AF2566" s="73"/>
      <c r="AG2566" s="73"/>
      <c r="AH2566" s="73"/>
      <c r="AI2566" s="73"/>
      <c r="AJ2566" s="73"/>
      <c r="AK2566" s="73"/>
    </row>
    <row r="2567">
      <c r="A2567" s="28">
        <v>2566.0</v>
      </c>
      <c r="B2567" s="29"/>
      <c r="C2567" s="29"/>
      <c r="D2567" s="40">
        <v>1.0</v>
      </c>
      <c r="E2567" s="31">
        <v>47.0</v>
      </c>
      <c r="F2567" s="42">
        <v>187.0</v>
      </c>
      <c r="G2567" s="29" t="str">
        <f t="shared" si="1"/>
        <v>47187</v>
      </c>
      <c r="H2567" s="37" t="s">
        <v>627</v>
      </c>
      <c r="I2567" s="37" t="s">
        <v>111</v>
      </c>
      <c r="J2567" s="37" t="s">
        <v>452</v>
      </c>
      <c r="K2567" s="37" t="str">
        <f t="shared" si="43"/>
        <v>Williamson, TN</v>
      </c>
      <c r="L2567" s="37" t="s">
        <v>63</v>
      </c>
      <c r="M2567" s="37" t="s">
        <v>63</v>
      </c>
      <c r="N2567" s="37">
        <v>46.0</v>
      </c>
      <c r="O2567" s="37" t="s">
        <v>63</v>
      </c>
      <c r="P2567" s="37" t="s">
        <v>63</v>
      </c>
      <c r="Q2567" s="37">
        <v>46.0</v>
      </c>
      <c r="R2567" s="37">
        <v>14.0</v>
      </c>
      <c r="S2567" s="37" t="s">
        <v>63</v>
      </c>
      <c r="T2567" s="69" t="s">
        <v>63</v>
      </c>
      <c r="U2567" s="37" t="s">
        <v>63</v>
      </c>
      <c r="V2567" s="37" t="s">
        <v>63</v>
      </c>
      <c r="W2567" s="37" t="s">
        <v>63</v>
      </c>
      <c r="X2567" s="37" t="s">
        <v>63</v>
      </c>
      <c r="Y2567" s="53">
        <v>157.0</v>
      </c>
      <c r="Z2567" s="69" t="s">
        <v>63</v>
      </c>
      <c r="AA2567" s="73"/>
      <c r="AB2567" s="73"/>
      <c r="AC2567" s="73"/>
      <c r="AD2567" s="73"/>
      <c r="AE2567" s="73"/>
      <c r="AF2567" s="73"/>
      <c r="AG2567" s="73"/>
      <c r="AH2567" s="73"/>
      <c r="AI2567" s="73"/>
      <c r="AJ2567" s="73"/>
      <c r="AK2567" s="73"/>
    </row>
    <row r="2568">
      <c r="A2568" s="28">
        <v>2567.0</v>
      </c>
      <c r="B2568" s="29"/>
      <c r="C2568" s="29"/>
      <c r="D2568" s="40">
        <v>1.0</v>
      </c>
      <c r="E2568" s="31">
        <v>47.0</v>
      </c>
      <c r="F2568" s="42">
        <v>189.0</v>
      </c>
      <c r="G2568" s="29" t="str">
        <f t="shared" si="1"/>
        <v>47189</v>
      </c>
      <c r="H2568" s="37" t="s">
        <v>1021</v>
      </c>
      <c r="I2568" s="37" t="s">
        <v>111</v>
      </c>
      <c r="J2568" s="37" t="s">
        <v>452</v>
      </c>
      <c r="K2568" s="37" t="str">
        <f t="shared" si="43"/>
        <v>Wilson, TN</v>
      </c>
      <c r="L2568" s="37" t="s">
        <v>63</v>
      </c>
      <c r="M2568" s="37" t="s">
        <v>63</v>
      </c>
      <c r="N2568" s="37">
        <v>75.0</v>
      </c>
      <c r="O2568" s="37" t="s">
        <v>63</v>
      </c>
      <c r="P2568" s="37" t="s">
        <v>63</v>
      </c>
      <c r="Q2568" s="37">
        <v>75.0</v>
      </c>
      <c r="R2568" s="37">
        <v>1.0</v>
      </c>
      <c r="S2568" s="37" t="s">
        <v>63</v>
      </c>
      <c r="T2568" s="69" t="s">
        <v>63</v>
      </c>
      <c r="U2568" s="37" t="s">
        <v>63</v>
      </c>
      <c r="V2568" s="37" t="s">
        <v>63</v>
      </c>
      <c r="W2568" s="37" t="s">
        <v>63</v>
      </c>
      <c r="X2568" s="37" t="s">
        <v>63</v>
      </c>
      <c r="Y2568" s="53">
        <v>109.0</v>
      </c>
      <c r="Z2568" s="69" t="s">
        <v>63</v>
      </c>
      <c r="AA2568" s="73"/>
      <c r="AB2568" s="73"/>
      <c r="AC2568" s="73"/>
      <c r="AD2568" s="73"/>
      <c r="AE2568" s="73"/>
      <c r="AF2568" s="73"/>
      <c r="AG2568" s="73"/>
      <c r="AH2568" s="73"/>
      <c r="AI2568" s="73"/>
      <c r="AJ2568" s="73"/>
      <c r="AK2568" s="73"/>
    </row>
    <row r="2569">
      <c r="A2569" s="99">
        <v>2568.0</v>
      </c>
      <c r="B2569" s="15"/>
      <c r="C2569" s="14" t="s">
        <v>25</v>
      </c>
      <c r="D2569" s="16"/>
      <c r="E2569" s="102">
        <v>48.0</v>
      </c>
      <c r="F2569" s="107">
        <v>0.0</v>
      </c>
      <c r="G2569" s="15" t="str">
        <f t="shared" si="1"/>
        <v>48000</v>
      </c>
      <c r="H2569" s="23"/>
      <c r="I2569" s="23" t="s">
        <v>113</v>
      </c>
      <c r="J2569" s="23" t="s">
        <v>219</v>
      </c>
      <c r="K2569" s="23"/>
      <c r="L2569" s="123">
        <f t="array" ref="L2569:Z2569">Texas!C258:Q258</f>
        <v>19788</v>
      </c>
      <c r="M2569" s="23" t="s">
        <v>63</v>
      </c>
      <c r="N2569" s="123">
        <v>7794.0</v>
      </c>
      <c r="O2569" s="123">
        <v>7837.0</v>
      </c>
      <c r="P2569" s="23" t="s">
        <v>63</v>
      </c>
      <c r="Q2569" s="123">
        <v>7610.0</v>
      </c>
      <c r="R2569" s="35">
        <v>4679.0</v>
      </c>
      <c r="S2569" s="23" t="s">
        <v>63</v>
      </c>
      <c r="T2569" s="32" t="s">
        <v>63</v>
      </c>
      <c r="U2569" s="123">
        <v>49231.0</v>
      </c>
      <c r="V2569" s="23" t="s">
        <v>63</v>
      </c>
      <c r="W2569" s="23" t="s">
        <v>63</v>
      </c>
      <c r="X2569" s="23" t="s">
        <v>63</v>
      </c>
      <c r="Y2569" s="35">
        <v>17127.0</v>
      </c>
      <c r="Z2569" s="32" t="s">
        <v>63</v>
      </c>
      <c r="AA2569" s="38"/>
      <c r="AB2569" s="38"/>
      <c r="AC2569" s="38"/>
      <c r="AD2569" s="38"/>
      <c r="AE2569" s="38"/>
      <c r="AF2569" s="38"/>
      <c r="AG2569" s="38"/>
      <c r="AH2569" s="38"/>
      <c r="AI2569" s="38"/>
      <c r="AJ2569" s="38"/>
      <c r="AK2569" s="38"/>
    </row>
    <row r="2570">
      <c r="A2570" s="99">
        <v>2569.0</v>
      </c>
      <c r="B2570" s="15"/>
      <c r="C2570" s="15"/>
      <c r="D2570" s="105">
        <v>1.0</v>
      </c>
      <c r="E2570" s="102">
        <v>48.0</v>
      </c>
      <c r="F2570" s="107">
        <v>1.0</v>
      </c>
      <c r="G2570" s="15" t="str">
        <f t="shared" si="1"/>
        <v>48001</v>
      </c>
      <c r="H2570" s="23" t="s">
        <v>954</v>
      </c>
      <c r="I2570" s="23" t="s">
        <v>113</v>
      </c>
      <c r="J2570" s="23" t="s">
        <v>219</v>
      </c>
      <c r="K2570" s="23" t="str">
        <f t="shared" ref="K2570:K2823" si="44">CONCATENATE(H2570,", ",J2570)</f>
        <v>Anderson, TX</v>
      </c>
      <c r="L2570" s="23">
        <f t="array" ref="L2570:Z2823">Texas!C3:Q256</f>
        <v>51</v>
      </c>
      <c r="M2570" s="23" t="s">
        <v>63</v>
      </c>
      <c r="N2570" s="23">
        <v>21.0</v>
      </c>
      <c r="O2570" s="23">
        <v>24.0</v>
      </c>
      <c r="P2570" s="23" t="s">
        <v>63</v>
      </c>
      <c r="Q2570" s="23">
        <v>15.0</v>
      </c>
      <c r="R2570" s="23">
        <v>17.0</v>
      </c>
      <c r="S2570" s="23" t="s">
        <v>63</v>
      </c>
      <c r="T2570" s="32" t="s">
        <v>63</v>
      </c>
      <c r="U2570" s="23">
        <v>70.0</v>
      </c>
      <c r="V2570" s="23" t="s">
        <v>63</v>
      </c>
      <c r="W2570" s="23" t="s">
        <v>63</v>
      </c>
      <c r="X2570" s="23" t="s">
        <v>63</v>
      </c>
      <c r="Y2570" s="35">
        <v>81.0</v>
      </c>
      <c r="Z2570" s="32" t="s">
        <v>63</v>
      </c>
      <c r="AA2570" s="38"/>
      <c r="AB2570" s="38"/>
      <c r="AC2570" s="38"/>
      <c r="AD2570" s="38"/>
      <c r="AE2570" s="38"/>
      <c r="AF2570" s="38"/>
      <c r="AG2570" s="38"/>
      <c r="AH2570" s="38"/>
      <c r="AI2570" s="38"/>
      <c r="AJ2570" s="38"/>
      <c r="AK2570" s="38"/>
    </row>
    <row r="2571">
      <c r="A2571" s="99">
        <v>2570.0</v>
      </c>
      <c r="B2571" s="15"/>
      <c r="C2571" s="15"/>
      <c r="D2571" s="105">
        <v>1.0</v>
      </c>
      <c r="E2571" s="102">
        <v>48.0</v>
      </c>
      <c r="F2571" s="107">
        <v>3.0</v>
      </c>
      <c r="G2571" s="15" t="str">
        <f t="shared" si="1"/>
        <v>48003</v>
      </c>
      <c r="H2571" s="23" t="s">
        <v>2005</v>
      </c>
      <c r="I2571" s="23" t="s">
        <v>113</v>
      </c>
      <c r="J2571" s="23" t="s">
        <v>219</v>
      </c>
      <c r="K2571" s="23" t="str">
        <f t="shared" si="44"/>
        <v>Andrews, TX</v>
      </c>
      <c r="L2571" s="23">
        <v>9.0</v>
      </c>
      <c r="M2571" s="23" t="s">
        <v>63</v>
      </c>
      <c r="N2571" s="23">
        <v>1.0</v>
      </c>
      <c r="O2571" s="23">
        <v>5.0</v>
      </c>
      <c r="P2571" s="23" t="s">
        <v>63</v>
      </c>
      <c r="Q2571" s="23">
        <v>2.0</v>
      </c>
      <c r="R2571" s="23">
        <v>3.0</v>
      </c>
      <c r="S2571" s="23" t="s">
        <v>63</v>
      </c>
      <c r="T2571" s="32" t="s">
        <v>63</v>
      </c>
      <c r="U2571" s="23">
        <v>41.0</v>
      </c>
      <c r="V2571" s="23" t="s">
        <v>63</v>
      </c>
      <c r="W2571" s="23" t="s">
        <v>63</v>
      </c>
      <c r="X2571" s="23" t="s">
        <v>63</v>
      </c>
      <c r="Y2571" s="35">
        <v>21.0</v>
      </c>
      <c r="Z2571" s="32" t="s">
        <v>63</v>
      </c>
      <c r="AA2571" s="38"/>
      <c r="AB2571" s="38"/>
      <c r="AC2571" s="38"/>
      <c r="AD2571" s="38"/>
      <c r="AE2571" s="38"/>
      <c r="AF2571" s="38"/>
      <c r="AG2571" s="38"/>
      <c r="AH2571" s="38"/>
      <c r="AI2571" s="38"/>
      <c r="AJ2571" s="38"/>
      <c r="AK2571" s="38"/>
    </row>
    <row r="2572">
      <c r="A2572" s="99">
        <v>2571.0</v>
      </c>
      <c r="B2572" s="15"/>
      <c r="C2572" s="15"/>
      <c r="D2572" s="105">
        <v>1.0</v>
      </c>
      <c r="E2572" s="102">
        <v>48.0</v>
      </c>
      <c r="F2572" s="107">
        <v>5.0</v>
      </c>
      <c r="G2572" s="15" t="str">
        <f t="shared" si="1"/>
        <v>48005</v>
      </c>
      <c r="H2572" s="23" t="s">
        <v>2006</v>
      </c>
      <c r="I2572" s="23" t="s">
        <v>113</v>
      </c>
      <c r="J2572" s="23" t="s">
        <v>219</v>
      </c>
      <c r="K2572" s="23" t="str">
        <f t="shared" si="44"/>
        <v>Angelina, TX</v>
      </c>
      <c r="L2572" s="23">
        <v>158.0</v>
      </c>
      <c r="M2572" s="23" t="s">
        <v>63</v>
      </c>
      <c r="N2572" s="23">
        <v>58.0</v>
      </c>
      <c r="O2572" s="23">
        <v>73.0</v>
      </c>
      <c r="P2572" s="23" t="s">
        <v>63</v>
      </c>
      <c r="Q2572" s="23">
        <v>33.0</v>
      </c>
      <c r="R2572" s="23">
        <v>23.0</v>
      </c>
      <c r="S2572" s="23" t="s">
        <v>63</v>
      </c>
      <c r="T2572" s="32" t="s">
        <v>63</v>
      </c>
      <c r="U2572" s="23">
        <v>330.0</v>
      </c>
      <c r="V2572" s="23" t="s">
        <v>63</v>
      </c>
      <c r="W2572" s="23" t="s">
        <v>63</v>
      </c>
      <c r="X2572" s="23" t="s">
        <v>63</v>
      </c>
      <c r="Y2572" s="35">
        <v>115.0</v>
      </c>
      <c r="Z2572" s="32" t="s">
        <v>63</v>
      </c>
      <c r="AA2572" s="38"/>
      <c r="AB2572" s="38"/>
      <c r="AC2572" s="38"/>
      <c r="AD2572" s="38"/>
      <c r="AE2572" s="38"/>
      <c r="AF2572" s="38"/>
      <c r="AG2572" s="38"/>
      <c r="AH2572" s="38"/>
      <c r="AI2572" s="38"/>
      <c r="AJ2572" s="38"/>
      <c r="AK2572" s="38"/>
    </row>
    <row r="2573">
      <c r="A2573" s="99">
        <v>2572.0</v>
      </c>
      <c r="B2573" s="15"/>
      <c r="C2573" s="15"/>
      <c r="D2573" s="105">
        <v>1.0</v>
      </c>
      <c r="E2573" s="102">
        <v>48.0</v>
      </c>
      <c r="F2573" s="107">
        <v>7.0</v>
      </c>
      <c r="G2573" s="15" t="str">
        <f t="shared" si="1"/>
        <v>48007</v>
      </c>
      <c r="H2573" s="23" t="s">
        <v>2007</v>
      </c>
      <c r="I2573" s="23" t="s">
        <v>113</v>
      </c>
      <c r="J2573" s="23" t="s">
        <v>219</v>
      </c>
      <c r="K2573" s="23" t="str">
        <f t="shared" si="44"/>
        <v>Aransas, TX</v>
      </c>
      <c r="L2573" s="23">
        <v>21.0</v>
      </c>
      <c r="M2573" s="23" t="s">
        <v>63</v>
      </c>
      <c r="N2573" s="23">
        <v>13.0</v>
      </c>
      <c r="O2573" s="23">
        <v>5.0</v>
      </c>
      <c r="P2573" s="23" t="s">
        <v>63</v>
      </c>
      <c r="Q2573" s="23">
        <v>3.0</v>
      </c>
      <c r="R2573" s="23">
        <v>5.0</v>
      </c>
      <c r="S2573" s="23" t="s">
        <v>63</v>
      </c>
      <c r="T2573" s="32" t="s">
        <v>63</v>
      </c>
      <c r="U2573" s="23">
        <v>90.0</v>
      </c>
      <c r="V2573" s="23" t="s">
        <v>63</v>
      </c>
      <c r="W2573" s="23" t="s">
        <v>63</v>
      </c>
      <c r="X2573" s="23" t="s">
        <v>63</v>
      </c>
      <c r="Y2573" s="35">
        <v>16.0</v>
      </c>
      <c r="Z2573" s="32" t="s">
        <v>63</v>
      </c>
      <c r="AA2573" s="38"/>
      <c r="AB2573" s="38"/>
      <c r="AC2573" s="38"/>
      <c r="AD2573" s="38"/>
      <c r="AE2573" s="38"/>
      <c r="AF2573" s="38"/>
      <c r="AG2573" s="38"/>
      <c r="AH2573" s="38"/>
      <c r="AI2573" s="38"/>
      <c r="AJ2573" s="38"/>
      <c r="AK2573" s="38"/>
    </row>
    <row r="2574">
      <c r="A2574" s="99">
        <v>2573.0</v>
      </c>
      <c r="B2574" s="15"/>
      <c r="C2574" s="15"/>
      <c r="D2574" s="105">
        <v>1.0</v>
      </c>
      <c r="E2574" s="102">
        <v>48.0</v>
      </c>
      <c r="F2574" s="107">
        <v>9.0</v>
      </c>
      <c r="G2574" s="15" t="str">
        <f t="shared" si="1"/>
        <v>48009</v>
      </c>
      <c r="H2574" s="23" t="s">
        <v>2008</v>
      </c>
      <c r="I2574" s="23" t="s">
        <v>113</v>
      </c>
      <c r="J2574" s="23" t="s">
        <v>219</v>
      </c>
      <c r="K2574" s="23" t="str">
        <f t="shared" si="44"/>
        <v>Archer, TX</v>
      </c>
      <c r="L2574" s="23">
        <v>7.0</v>
      </c>
      <c r="M2574" s="23" t="s">
        <v>63</v>
      </c>
      <c r="N2574" s="23">
        <v>4.0</v>
      </c>
      <c r="O2574" s="23">
        <v>2.0</v>
      </c>
      <c r="P2574" s="23" t="s">
        <v>63</v>
      </c>
      <c r="Q2574" s="23">
        <v>4.0</v>
      </c>
      <c r="R2574" s="23">
        <v>3.0</v>
      </c>
      <c r="S2574" s="23" t="s">
        <v>63</v>
      </c>
      <c r="T2574" s="32" t="s">
        <v>63</v>
      </c>
      <c r="U2574" s="23">
        <v>15.0</v>
      </c>
      <c r="V2574" s="23" t="s">
        <v>63</v>
      </c>
      <c r="W2574" s="23" t="s">
        <v>63</v>
      </c>
      <c r="X2574" s="23" t="s">
        <v>63</v>
      </c>
      <c r="Y2574" s="35">
        <v>18.0</v>
      </c>
      <c r="Z2574" s="32" t="s">
        <v>63</v>
      </c>
      <c r="AA2574" s="38"/>
      <c r="AB2574" s="38"/>
      <c r="AC2574" s="38"/>
      <c r="AD2574" s="38"/>
      <c r="AE2574" s="38"/>
      <c r="AF2574" s="38"/>
      <c r="AG2574" s="38"/>
      <c r="AH2574" s="38"/>
      <c r="AI2574" s="38"/>
      <c r="AJ2574" s="38"/>
      <c r="AK2574" s="38"/>
    </row>
    <row r="2575">
      <c r="A2575" s="99">
        <v>2574.0</v>
      </c>
      <c r="B2575" s="15"/>
      <c r="C2575" s="15"/>
      <c r="D2575" s="105">
        <v>1.0</v>
      </c>
      <c r="E2575" s="102">
        <v>48.0</v>
      </c>
      <c r="F2575" s="107">
        <v>11.0</v>
      </c>
      <c r="G2575" s="15" t="str">
        <f t="shared" si="1"/>
        <v>48011</v>
      </c>
      <c r="H2575" s="23" t="s">
        <v>1783</v>
      </c>
      <c r="I2575" s="23" t="s">
        <v>113</v>
      </c>
      <c r="J2575" s="23" t="s">
        <v>219</v>
      </c>
      <c r="K2575" s="23" t="str">
        <f t="shared" si="44"/>
        <v>Armstrong, TX</v>
      </c>
      <c r="L2575" s="23">
        <v>3.0</v>
      </c>
      <c r="M2575" s="23" t="s">
        <v>63</v>
      </c>
      <c r="N2575" s="23">
        <v>1.0</v>
      </c>
      <c r="O2575" s="23">
        <v>2.0</v>
      </c>
      <c r="P2575" s="23" t="s">
        <v>63</v>
      </c>
      <c r="Q2575" s="23">
        <v>1.0</v>
      </c>
      <c r="R2575" s="23" t="s">
        <v>63</v>
      </c>
      <c r="S2575" s="23" t="s">
        <v>63</v>
      </c>
      <c r="T2575" s="32" t="s">
        <v>63</v>
      </c>
      <c r="U2575" s="23">
        <v>6.0</v>
      </c>
      <c r="V2575" s="23" t="s">
        <v>63</v>
      </c>
      <c r="W2575" s="23" t="s">
        <v>63</v>
      </c>
      <c r="X2575" s="23" t="s">
        <v>63</v>
      </c>
      <c r="Y2575" s="35">
        <v>3.0</v>
      </c>
      <c r="Z2575" s="32" t="s">
        <v>63</v>
      </c>
      <c r="AA2575" s="38"/>
      <c r="AB2575" s="38"/>
      <c r="AC2575" s="38"/>
      <c r="AD2575" s="38"/>
      <c r="AE2575" s="38"/>
      <c r="AF2575" s="38"/>
      <c r="AG2575" s="38"/>
      <c r="AH2575" s="38"/>
      <c r="AI2575" s="38"/>
      <c r="AJ2575" s="38"/>
      <c r="AK2575" s="38"/>
    </row>
    <row r="2576">
      <c r="A2576" s="99">
        <v>2575.0</v>
      </c>
      <c r="B2576" s="15"/>
      <c r="C2576" s="15"/>
      <c r="D2576" s="105">
        <v>1.0</v>
      </c>
      <c r="E2576" s="102">
        <v>48.0</v>
      </c>
      <c r="F2576" s="107">
        <v>13.0</v>
      </c>
      <c r="G2576" s="15" t="str">
        <f t="shared" si="1"/>
        <v>48013</v>
      </c>
      <c r="H2576" s="23" t="s">
        <v>2010</v>
      </c>
      <c r="I2576" s="23" t="s">
        <v>113</v>
      </c>
      <c r="J2576" s="23" t="s">
        <v>219</v>
      </c>
      <c r="K2576" s="23" t="str">
        <f t="shared" si="44"/>
        <v>Atascosa, TX</v>
      </c>
      <c r="L2576" s="23">
        <v>84.0</v>
      </c>
      <c r="M2576" s="23" t="s">
        <v>63</v>
      </c>
      <c r="N2576" s="23">
        <v>20.0</v>
      </c>
      <c r="O2576" s="23">
        <v>31.0</v>
      </c>
      <c r="P2576" s="23" t="s">
        <v>63</v>
      </c>
      <c r="Q2576" s="23">
        <v>11.0</v>
      </c>
      <c r="R2576" s="23">
        <v>38.0</v>
      </c>
      <c r="S2576" s="23" t="s">
        <v>63</v>
      </c>
      <c r="T2576" s="32" t="s">
        <v>63</v>
      </c>
      <c r="U2576" s="23">
        <v>247.0</v>
      </c>
      <c r="V2576" s="23" t="s">
        <v>63</v>
      </c>
      <c r="W2576" s="23" t="s">
        <v>63</v>
      </c>
      <c r="X2576" s="23" t="s">
        <v>63</v>
      </c>
      <c r="Y2576" s="35">
        <v>36.0</v>
      </c>
      <c r="Z2576" s="32" t="s">
        <v>63</v>
      </c>
      <c r="AA2576" s="38"/>
      <c r="AB2576" s="38"/>
      <c r="AC2576" s="38"/>
      <c r="AD2576" s="38"/>
      <c r="AE2576" s="38"/>
      <c r="AF2576" s="38"/>
      <c r="AG2576" s="38"/>
      <c r="AH2576" s="38"/>
      <c r="AI2576" s="38"/>
      <c r="AJ2576" s="38"/>
      <c r="AK2576" s="38"/>
    </row>
    <row r="2577">
      <c r="A2577" s="99">
        <v>2576.0</v>
      </c>
      <c r="B2577" s="15"/>
      <c r="C2577" s="15"/>
      <c r="D2577" s="105">
        <v>1.0</v>
      </c>
      <c r="E2577" s="102">
        <v>48.0</v>
      </c>
      <c r="F2577" s="107">
        <v>15.0</v>
      </c>
      <c r="G2577" s="15" t="str">
        <f t="shared" si="1"/>
        <v>48015</v>
      </c>
      <c r="H2577" s="23" t="s">
        <v>2011</v>
      </c>
      <c r="I2577" s="23" t="s">
        <v>113</v>
      </c>
      <c r="J2577" s="23" t="s">
        <v>219</v>
      </c>
      <c r="K2577" s="23" t="str">
        <f t="shared" si="44"/>
        <v>Austin, TX</v>
      </c>
      <c r="L2577" s="23">
        <v>5.0</v>
      </c>
      <c r="M2577" s="23" t="s">
        <v>63</v>
      </c>
      <c r="N2577" s="23">
        <v>3.0</v>
      </c>
      <c r="O2577" s="23">
        <v>0.0</v>
      </c>
      <c r="P2577" s="23" t="s">
        <v>63</v>
      </c>
      <c r="Q2577" s="23">
        <v>7.0</v>
      </c>
      <c r="R2577" s="23" t="s">
        <v>63</v>
      </c>
      <c r="S2577" s="23" t="s">
        <v>63</v>
      </c>
      <c r="T2577" s="32" t="s">
        <v>63</v>
      </c>
      <c r="U2577" s="23">
        <v>39.0</v>
      </c>
      <c r="V2577" s="23" t="s">
        <v>63</v>
      </c>
      <c r="W2577" s="23" t="s">
        <v>63</v>
      </c>
      <c r="X2577" s="23" t="s">
        <v>63</v>
      </c>
      <c r="Y2577" s="35">
        <v>41.0</v>
      </c>
      <c r="Z2577" s="32" t="s">
        <v>63</v>
      </c>
      <c r="AA2577" s="38"/>
      <c r="AB2577" s="38"/>
      <c r="AC2577" s="38"/>
      <c r="AD2577" s="38"/>
      <c r="AE2577" s="38"/>
      <c r="AF2577" s="38"/>
      <c r="AG2577" s="38"/>
      <c r="AH2577" s="38"/>
      <c r="AI2577" s="38"/>
      <c r="AJ2577" s="38"/>
      <c r="AK2577" s="38"/>
    </row>
    <row r="2578">
      <c r="A2578" s="99">
        <v>2577.0</v>
      </c>
      <c r="B2578" s="15"/>
      <c r="C2578" s="15"/>
      <c r="D2578" s="105">
        <v>1.0</v>
      </c>
      <c r="E2578" s="102">
        <v>48.0</v>
      </c>
      <c r="F2578" s="107">
        <v>17.0</v>
      </c>
      <c r="G2578" s="15" t="str">
        <f t="shared" si="1"/>
        <v>48017</v>
      </c>
      <c r="H2578" s="23" t="s">
        <v>2012</v>
      </c>
      <c r="I2578" s="23" t="s">
        <v>113</v>
      </c>
      <c r="J2578" s="23" t="s">
        <v>219</v>
      </c>
      <c r="K2578" s="23" t="str">
        <f t="shared" si="44"/>
        <v>Bailey, TX</v>
      </c>
      <c r="L2578" s="23">
        <v>15.0</v>
      </c>
      <c r="M2578" s="23" t="s">
        <v>63</v>
      </c>
      <c r="N2578" s="23">
        <v>8.0</v>
      </c>
      <c r="O2578" s="23">
        <v>1.0</v>
      </c>
      <c r="P2578" s="23" t="s">
        <v>63</v>
      </c>
      <c r="Q2578" s="23">
        <v>4.0</v>
      </c>
      <c r="R2578" s="23">
        <v>5.0</v>
      </c>
      <c r="S2578" s="23" t="s">
        <v>63</v>
      </c>
      <c r="T2578" s="32" t="s">
        <v>63</v>
      </c>
      <c r="U2578" s="23">
        <v>12.0</v>
      </c>
      <c r="V2578" s="23" t="s">
        <v>63</v>
      </c>
      <c r="W2578" s="23" t="s">
        <v>63</v>
      </c>
      <c r="X2578" s="23" t="s">
        <v>63</v>
      </c>
      <c r="Y2578" s="35">
        <v>13.0</v>
      </c>
      <c r="Z2578" s="32" t="s">
        <v>63</v>
      </c>
      <c r="AA2578" s="38"/>
      <c r="AB2578" s="38"/>
      <c r="AC2578" s="38"/>
      <c r="AD2578" s="38"/>
      <c r="AE2578" s="38"/>
      <c r="AF2578" s="38"/>
      <c r="AG2578" s="38"/>
      <c r="AH2578" s="38"/>
      <c r="AI2578" s="38"/>
      <c r="AJ2578" s="38"/>
      <c r="AK2578" s="38"/>
    </row>
    <row r="2579">
      <c r="A2579" s="99">
        <v>2578.0</v>
      </c>
      <c r="B2579" s="15"/>
      <c r="C2579" s="15"/>
      <c r="D2579" s="105">
        <v>1.0</v>
      </c>
      <c r="E2579" s="102">
        <v>48.0</v>
      </c>
      <c r="F2579" s="107">
        <v>19.0</v>
      </c>
      <c r="G2579" s="15" t="str">
        <f t="shared" si="1"/>
        <v>48019</v>
      </c>
      <c r="H2579" s="23" t="s">
        <v>2013</v>
      </c>
      <c r="I2579" s="23" t="s">
        <v>113</v>
      </c>
      <c r="J2579" s="23" t="s">
        <v>219</v>
      </c>
      <c r="K2579" s="23" t="str">
        <f t="shared" si="44"/>
        <v>Bandera, TX</v>
      </c>
      <c r="L2579" s="23">
        <v>20.0</v>
      </c>
      <c r="M2579" s="23" t="s">
        <v>63</v>
      </c>
      <c r="N2579" s="23">
        <v>4.0</v>
      </c>
      <c r="O2579" s="23">
        <v>6.0</v>
      </c>
      <c r="P2579" s="23" t="s">
        <v>63</v>
      </c>
      <c r="Q2579" s="23">
        <v>9.0</v>
      </c>
      <c r="R2579" s="23">
        <v>9.0</v>
      </c>
      <c r="S2579" s="23" t="s">
        <v>63</v>
      </c>
      <c r="T2579" s="32" t="s">
        <v>63</v>
      </c>
      <c r="U2579" s="23">
        <v>52.0</v>
      </c>
      <c r="V2579" s="23" t="s">
        <v>63</v>
      </c>
      <c r="W2579" s="23" t="s">
        <v>63</v>
      </c>
      <c r="X2579" s="23" t="s">
        <v>63</v>
      </c>
      <c r="Y2579" s="35">
        <v>25.0</v>
      </c>
      <c r="Z2579" s="32" t="s">
        <v>63</v>
      </c>
      <c r="AA2579" s="38"/>
      <c r="AB2579" s="38"/>
      <c r="AC2579" s="38"/>
      <c r="AD2579" s="38"/>
      <c r="AE2579" s="38"/>
      <c r="AF2579" s="38"/>
      <c r="AG2579" s="38"/>
      <c r="AH2579" s="38"/>
      <c r="AI2579" s="38"/>
      <c r="AJ2579" s="38"/>
      <c r="AK2579" s="38"/>
    </row>
    <row r="2580">
      <c r="A2580" s="99">
        <v>2579.0</v>
      </c>
      <c r="B2580" s="15"/>
      <c r="C2580" s="15"/>
      <c r="D2580" s="105">
        <v>1.0</v>
      </c>
      <c r="E2580" s="102">
        <v>48.0</v>
      </c>
      <c r="F2580" s="107">
        <v>21.0</v>
      </c>
      <c r="G2580" s="15" t="str">
        <f t="shared" si="1"/>
        <v>48021</v>
      </c>
      <c r="H2580" s="23" t="s">
        <v>2014</v>
      </c>
      <c r="I2580" s="23" t="s">
        <v>113</v>
      </c>
      <c r="J2580" s="23" t="s">
        <v>219</v>
      </c>
      <c r="K2580" s="23" t="str">
        <f t="shared" si="44"/>
        <v>Bastrop, TX</v>
      </c>
      <c r="L2580" s="23">
        <v>66.0</v>
      </c>
      <c r="M2580" s="23" t="s">
        <v>63</v>
      </c>
      <c r="N2580" s="23">
        <v>16.0</v>
      </c>
      <c r="O2580" s="23">
        <v>40.0</v>
      </c>
      <c r="P2580" s="23" t="s">
        <v>63</v>
      </c>
      <c r="Q2580" s="23">
        <v>16.0</v>
      </c>
      <c r="R2580" s="23">
        <v>30.0</v>
      </c>
      <c r="S2580" s="23" t="s">
        <v>63</v>
      </c>
      <c r="T2580" s="32" t="s">
        <v>63</v>
      </c>
      <c r="U2580" s="23">
        <v>91.0</v>
      </c>
      <c r="V2580" s="23" t="s">
        <v>63</v>
      </c>
      <c r="W2580" s="23" t="s">
        <v>63</v>
      </c>
      <c r="X2580" s="23" t="s">
        <v>63</v>
      </c>
      <c r="Y2580" s="35">
        <v>75.0</v>
      </c>
      <c r="Z2580" s="32" t="s">
        <v>63</v>
      </c>
      <c r="AA2580" s="38"/>
      <c r="AB2580" s="38"/>
      <c r="AC2580" s="38"/>
      <c r="AD2580" s="38"/>
      <c r="AE2580" s="38"/>
      <c r="AF2580" s="38"/>
      <c r="AG2580" s="38"/>
      <c r="AH2580" s="38"/>
      <c r="AI2580" s="38"/>
      <c r="AJ2580" s="38"/>
      <c r="AK2580" s="38"/>
    </row>
    <row r="2581">
      <c r="A2581" s="99">
        <v>2580.0</v>
      </c>
      <c r="B2581" s="15"/>
      <c r="C2581" s="15"/>
      <c r="D2581" s="105">
        <v>1.0</v>
      </c>
      <c r="E2581" s="102">
        <v>48.0</v>
      </c>
      <c r="F2581" s="107">
        <v>23.0</v>
      </c>
      <c r="G2581" s="15" t="str">
        <f t="shared" si="1"/>
        <v>48023</v>
      </c>
      <c r="H2581" s="23" t="s">
        <v>2015</v>
      </c>
      <c r="I2581" s="23" t="s">
        <v>113</v>
      </c>
      <c r="J2581" s="23" t="s">
        <v>219</v>
      </c>
      <c r="K2581" s="23" t="str">
        <f t="shared" si="44"/>
        <v>Baylor, TX</v>
      </c>
      <c r="L2581" s="23">
        <v>5.0</v>
      </c>
      <c r="M2581" s="23" t="s">
        <v>63</v>
      </c>
      <c r="N2581" s="23">
        <v>2.0</v>
      </c>
      <c r="O2581" s="23">
        <v>3.0</v>
      </c>
      <c r="P2581" s="23" t="s">
        <v>63</v>
      </c>
      <c r="Q2581" s="23">
        <v>2.0</v>
      </c>
      <c r="R2581" s="23" t="s">
        <v>63</v>
      </c>
      <c r="S2581" s="23" t="s">
        <v>63</v>
      </c>
      <c r="T2581" s="32" t="s">
        <v>63</v>
      </c>
      <c r="U2581" s="23" t="s">
        <v>63</v>
      </c>
      <c r="V2581" s="23" t="s">
        <v>63</v>
      </c>
      <c r="W2581" s="23" t="s">
        <v>63</v>
      </c>
      <c r="X2581" s="23" t="s">
        <v>63</v>
      </c>
      <c r="Y2581" s="35">
        <v>9.0</v>
      </c>
      <c r="Z2581" s="32" t="s">
        <v>63</v>
      </c>
      <c r="AA2581" s="38"/>
      <c r="AB2581" s="38"/>
      <c r="AC2581" s="38"/>
      <c r="AD2581" s="38"/>
      <c r="AE2581" s="38"/>
      <c r="AF2581" s="38"/>
      <c r="AG2581" s="38"/>
      <c r="AH2581" s="38"/>
      <c r="AI2581" s="38"/>
      <c r="AJ2581" s="38"/>
      <c r="AK2581" s="38"/>
    </row>
    <row r="2582">
      <c r="A2582" s="99">
        <v>2581.0</v>
      </c>
      <c r="B2582" s="15"/>
      <c r="C2582" s="15"/>
      <c r="D2582" s="105">
        <v>1.0</v>
      </c>
      <c r="E2582" s="102">
        <v>48.0</v>
      </c>
      <c r="F2582" s="107">
        <v>25.0</v>
      </c>
      <c r="G2582" s="15" t="str">
        <f t="shared" si="1"/>
        <v>48025</v>
      </c>
      <c r="H2582" s="23" t="s">
        <v>2016</v>
      </c>
      <c r="I2582" s="23" t="s">
        <v>113</v>
      </c>
      <c r="J2582" s="23" t="s">
        <v>219</v>
      </c>
      <c r="K2582" s="23" t="str">
        <f t="shared" si="44"/>
        <v>Bee, TX</v>
      </c>
      <c r="L2582" s="23">
        <v>59.0</v>
      </c>
      <c r="M2582" s="23" t="s">
        <v>63</v>
      </c>
      <c r="N2582" s="23">
        <v>16.0</v>
      </c>
      <c r="O2582" s="23">
        <v>30.0</v>
      </c>
      <c r="P2582" s="23" t="s">
        <v>63</v>
      </c>
      <c r="Q2582" s="23">
        <v>5.0</v>
      </c>
      <c r="R2582" s="23">
        <v>20.0</v>
      </c>
      <c r="S2582" s="23" t="s">
        <v>63</v>
      </c>
      <c r="T2582" s="32" t="s">
        <v>63</v>
      </c>
      <c r="U2582" s="23">
        <v>113.0</v>
      </c>
      <c r="V2582" s="23" t="s">
        <v>63</v>
      </c>
      <c r="W2582" s="23" t="s">
        <v>63</v>
      </c>
      <c r="X2582" s="23" t="s">
        <v>63</v>
      </c>
      <c r="Y2582" s="35">
        <v>24.0</v>
      </c>
      <c r="Z2582" s="32" t="s">
        <v>63</v>
      </c>
      <c r="AA2582" s="38"/>
      <c r="AB2582" s="38"/>
      <c r="AC2582" s="38"/>
      <c r="AD2582" s="38"/>
      <c r="AE2582" s="38"/>
      <c r="AF2582" s="38"/>
      <c r="AG2582" s="38"/>
      <c r="AH2582" s="38"/>
      <c r="AI2582" s="38"/>
      <c r="AJ2582" s="38"/>
      <c r="AK2582" s="38"/>
    </row>
    <row r="2583">
      <c r="A2583" s="99">
        <v>2582.0</v>
      </c>
      <c r="B2583" s="15"/>
      <c r="C2583" s="15"/>
      <c r="D2583" s="105">
        <v>1.0</v>
      </c>
      <c r="E2583" s="102">
        <v>48.0</v>
      </c>
      <c r="F2583" s="107">
        <v>27.0</v>
      </c>
      <c r="G2583" s="15" t="str">
        <f t="shared" si="1"/>
        <v>48027</v>
      </c>
      <c r="H2583" s="23" t="s">
        <v>1027</v>
      </c>
      <c r="I2583" s="23" t="s">
        <v>113</v>
      </c>
      <c r="J2583" s="23" t="s">
        <v>219</v>
      </c>
      <c r="K2583" s="23" t="str">
        <f t="shared" si="44"/>
        <v>Bell, TX</v>
      </c>
      <c r="L2583" s="23">
        <v>565.0</v>
      </c>
      <c r="M2583" s="23" t="s">
        <v>63</v>
      </c>
      <c r="N2583" s="23">
        <v>167.0</v>
      </c>
      <c r="O2583" s="23">
        <v>291.0</v>
      </c>
      <c r="P2583" s="23" t="s">
        <v>63</v>
      </c>
      <c r="Q2583" s="23">
        <v>151.0</v>
      </c>
      <c r="R2583" s="23">
        <v>137.0</v>
      </c>
      <c r="S2583" s="23" t="s">
        <v>63</v>
      </c>
      <c r="T2583" s="32" t="s">
        <v>63</v>
      </c>
      <c r="U2583" s="23">
        <v>906.0</v>
      </c>
      <c r="V2583" s="23" t="s">
        <v>63</v>
      </c>
      <c r="W2583" s="23" t="s">
        <v>63</v>
      </c>
      <c r="X2583" s="23" t="s">
        <v>63</v>
      </c>
      <c r="Y2583" s="35">
        <v>216.0</v>
      </c>
      <c r="Z2583" s="32" t="s">
        <v>63</v>
      </c>
      <c r="AA2583" s="38"/>
      <c r="AB2583" s="38"/>
      <c r="AC2583" s="38"/>
      <c r="AD2583" s="38"/>
      <c r="AE2583" s="38"/>
      <c r="AF2583" s="38"/>
      <c r="AG2583" s="38"/>
      <c r="AH2583" s="38"/>
      <c r="AI2583" s="38"/>
      <c r="AJ2583" s="38"/>
      <c r="AK2583" s="38"/>
    </row>
    <row r="2584">
      <c r="A2584" s="99">
        <v>2583.0</v>
      </c>
      <c r="B2584" s="15"/>
      <c r="C2584" s="15"/>
      <c r="D2584" s="105">
        <v>1.0</v>
      </c>
      <c r="E2584" s="102">
        <v>48.0</v>
      </c>
      <c r="F2584" s="107">
        <v>29.0</v>
      </c>
      <c r="G2584" s="15" t="str">
        <f t="shared" si="1"/>
        <v>48029</v>
      </c>
      <c r="H2584" s="23" t="s">
        <v>267</v>
      </c>
      <c r="I2584" s="23" t="s">
        <v>113</v>
      </c>
      <c r="J2584" s="23" t="s">
        <v>219</v>
      </c>
      <c r="K2584" s="23" t="str">
        <f t="shared" si="44"/>
        <v>Bexar, TX</v>
      </c>
      <c r="L2584" s="23">
        <v>2087.0</v>
      </c>
      <c r="M2584" s="23" t="s">
        <v>63</v>
      </c>
      <c r="N2584" s="23">
        <v>744.0</v>
      </c>
      <c r="O2584" s="23">
        <v>810.0</v>
      </c>
      <c r="P2584" s="23" t="s">
        <v>63</v>
      </c>
      <c r="Q2584" s="23">
        <v>657.0</v>
      </c>
      <c r="R2584" s="23">
        <v>672.0</v>
      </c>
      <c r="S2584" s="23" t="s">
        <v>63</v>
      </c>
      <c r="T2584" s="32" t="s">
        <v>63</v>
      </c>
      <c r="U2584" s="23">
        <v>5652.0</v>
      </c>
      <c r="V2584" s="23" t="s">
        <v>63</v>
      </c>
      <c r="W2584" s="23" t="s">
        <v>63</v>
      </c>
      <c r="X2584" s="23" t="s">
        <v>63</v>
      </c>
      <c r="Y2584" s="35">
        <v>742.0</v>
      </c>
      <c r="Z2584" s="32" t="s">
        <v>63</v>
      </c>
      <c r="AA2584" s="38"/>
      <c r="AB2584" s="38"/>
      <c r="AC2584" s="38"/>
      <c r="AD2584" s="38"/>
      <c r="AE2584" s="38"/>
      <c r="AF2584" s="38"/>
      <c r="AG2584" s="38"/>
      <c r="AH2584" s="38"/>
      <c r="AI2584" s="38"/>
      <c r="AJ2584" s="38"/>
      <c r="AK2584" s="38"/>
    </row>
    <row r="2585">
      <c r="A2585" s="99">
        <v>2584.0</v>
      </c>
      <c r="B2585" s="15"/>
      <c r="C2585" s="15"/>
      <c r="D2585" s="105">
        <v>1.0</v>
      </c>
      <c r="E2585" s="102">
        <v>48.0</v>
      </c>
      <c r="F2585" s="107">
        <v>31.0</v>
      </c>
      <c r="G2585" s="15" t="str">
        <f t="shared" si="1"/>
        <v>48031</v>
      </c>
      <c r="H2585" s="23" t="s">
        <v>2017</v>
      </c>
      <c r="I2585" s="23" t="s">
        <v>113</v>
      </c>
      <c r="J2585" s="23" t="s">
        <v>219</v>
      </c>
      <c r="K2585" s="23" t="str">
        <f t="shared" si="44"/>
        <v>Blanco, TX</v>
      </c>
      <c r="L2585" s="23">
        <v>7.0</v>
      </c>
      <c r="M2585" s="23" t="s">
        <v>63</v>
      </c>
      <c r="N2585" s="23">
        <v>1.0</v>
      </c>
      <c r="O2585" s="23">
        <v>3.0</v>
      </c>
      <c r="P2585" s="23" t="s">
        <v>63</v>
      </c>
      <c r="Q2585" s="23">
        <v>1.0</v>
      </c>
      <c r="R2585" s="23">
        <v>1.0</v>
      </c>
      <c r="S2585" s="23" t="s">
        <v>63</v>
      </c>
      <c r="T2585" s="32" t="s">
        <v>63</v>
      </c>
      <c r="U2585" s="23">
        <v>8.0</v>
      </c>
      <c r="V2585" s="23" t="s">
        <v>63</v>
      </c>
      <c r="W2585" s="23" t="s">
        <v>63</v>
      </c>
      <c r="X2585" s="23" t="s">
        <v>63</v>
      </c>
      <c r="Y2585" s="35">
        <v>20.0</v>
      </c>
      <c r="Z2585" s="32" t="s">
        <v>63</v>
      </c>
      <c r="AA2585" s="38"/>
      <c r="AB2585" s="38"/>
      <c r="AC2585" s="38"/>
      <c r="AD2585" s="38"/>
      <c r="AE2585" s="38"/>
      <c r="AF2585" s="38"/>
      <c r="AG2585" s="38"/>
      <c r="AH2585" s="38"/>
      <c r="AI2585" s="38"/>
      <c r="AJ2585" s="38"/>
      <c r="AK2585" s="38"/>
    </row>
    <row r="2586">
      <c r="A2586" s="99">
        <v>2585.0</v>
      </c>
      <c r="B2586" s="15"/>
      <c r="C2586" s="15"/>
      <c r="D2586" s="105">
        <v>1.0</v>
      </c>
      <c r="E2586" s="102">
        <v>48.0</v>
      </c>
      <c r="F2586" s="107">
        <v>33.0</v>
      </c>
      <c r="G2586" s="15" t="str">
        <f t="shared" si="1"/>
        <v>48033</v>
      </c>
      <c r="H2586" s="23" t="s">
        <v>2018</v>
      </c>
      <c r="I2586" s="23" t="s">
        <v>113</v>
      </c>
      <c r="J2586" s="23" t="s">
        <v>219</v>
      </c>
      <c r="K2586" s="23" t="str">
        <f t="shared" si="44"/>
        <v>Borden, TX</v>
      </c>
      <c r="L2586" s="23" t="s">
        <v>63</v>
      </c>
      <c r="M2586" s="23" t="s">
        <v>63</v>
      </c>
      <c r="N2586" s="23">
        <v>0.0</v>
      </c>
      <c r="O2586" s="23">
        <v>0.0</v>
      </c>
      <c r="P2586" s="23" t="s">
        <v>63</v>
      </c>
      <c r="Q2586" s="23" t="s">
        <v>63</v>
      </c>
      <c r="R2586" s="23" t="s">
        <v>63</v>
      </c>
      <c r="S2586" s="23" t="s">
        <v>63</v>
      </c>
      <c r="T2586" s="32" t="s">
        <v>63</v>
      </c>
      <c r="U2586" s="23" t="s">
        <v>63</v>
      </c>
      <c r="V2586" s="23" t="s">
        <v>63</v>
      </c>
      <c r="W2586" s="23" t="s">
        <v>63</v>
      </c>
      <c r="X2586" s="23" t="s">
        <v>63</v>
      </c>
      <c r="Y2586" s="35">
        <v>2.0</v>
      </c>
      <c r="Z2586" s="32" t="s">
        <v>63</v>
      </c>
      <c r="AA2586" s="38"/>
      <c r="AB2586" s="38"/>
      <c r="AC2586" s="38"/>
      <c r="AD2586" s="38"/>
      <c r="AE2586" s="38"/>
      <c r="AF2586" s="38"/>
      <c r="AG2586" s="38"/>
      <c r="AH2586" s="38"/>
      <c r="AI2586" s="38"/>
      <c r="AJ2586" s="38"/>
      <c r="AK2586" s="38"/>
    </row>
    <row r="2587">
      <c r="A2587" s="99">
        <v>2586.0</v>
      </c>
      <c r="B2587" s="15"/>
      <c r="C2587" s="15"/>
      <c r="D2587" s="105">
        <v>1.0</v>
      </c>
      <c r="E2587" s="102">
        <v>48.0</v>
      </c>
      <c r="F2587" s="107">
        <v>35.0</v>
      </c>
      <c r="G2587" s="15" t="str">
        <f t="shared" si="1"/>
        <v>48035</v>
      </c>
      <c r="H2587" s="23" t="s">
        <v>2019</v>
      </c>
      <c r="I2587" s="23" t="s">
        <v>113</v>
      </c>
      <c r="J2587" s="23" t="s">
        <v>219</v>
      </c>
      <c r="K2587" s="23" t="str">
        <f t="shared" si="44"/>
        <v>Bosque, TX</v>
      </c>
      <c r="L2587" s="23">
        <v>27.0</v>
      </c>
      <c r="M2587" s="23" t="s">
        <v>63</v>
      </c>
      <c r="N2587" s="23">
        <v>3.0</v>
      </c>
      <c r="O2587" s="23">
        <v>20.0</v>
      </c>
      <c r="P2587" s="23" t="s">
        <v>63</v>
      </c>
      <c r="Q2587" s="23">
        <v>3.0</v>
      </c>
      <c r="R2587" s="23">
        <v>10.0</v>
      </c>
      <c r="S2587" s="23" t="s">
        <v>63</v>
      </c>
      <c r="T2587" s="32" t="s">
        <v>63</v>
      </c>
      <c r="U2587" s="23">
        <v>44.0</v>
      </c>
      <c r="V2587" s="23" t="s">
        <v>63</v>
      </c>
      <c r="W2587" s="23" t="s">
        <v>63</v>
      </c>
      <c r="X2587" s="23" t="s">
        <v>63</v>
      </c>
      <c r="Y2587" s="35">
        <v>36.0</v>
      </c>
      <c r="Z2587" s="32" t="s">
        <v>63</v>
      </c>
      <c r="AA2587" s="38"/>
      <c r="AB2587" s="38"/>
      <c r="AC2587" s="38"/>
      <c r="AD2587" s="38"/>
      <c r="AE2587" s="38"/>
      <c r="AF2587" s="38"/>
      <c r="AG2587" s="38"/>
      <c r="AH2587" s="38"/>
      <c r="AI2587" s="38"/>
      <c r="AJ2587" s="38"/>
      <c r="AK2587" s="38"/>
    </row>
    <row r="2588">
      <c r="A2588" s="99">
        <v>2587.0</v>
      </c>
      <c r="B2588" s="15"/>
      <c r="C2588" s="15"/>
      <c r="D2588" s="105">
        <v>1.0</v>
      </c>
      <c r="E2588" s="102">
        <v>48.0</v>
      </c>
      <c r="F2588" s="107">
        <v>37.0</v>
      </c>
      <c r="G2588" s="15" t="str">
        <f t="shared" si="1"/>
        <v>48037</v>
      </c>
      <c r="H2588" s="23" t="s">
        <v>2020</v>
      </c>
      <c r="I2588" s="23" t="s">
        <v>113</v>
      </c>
      <c r="J2588" s="23" t="s">
        <v>219</v>
      </c>
      <c r="K2588" s="23" t="str">
        <f t="shared" si="44"/>
        <v>Bowie, TX</v>
      </c>
      <c r="L2588" s="23">
        <v>45.0</v>
      </c>
      <c r="M2588" s="23" t="s">
        <v>63</v>
      </c>
      <c r="N2588" s="23">
        <v>23.0</v>
      </c>
      <c r="O2588" s="23">
        <v>8.0</v>
      </c>
      <c r="P2588" s="23" t="s">
        <v>63</v>
      </c>
      <c r="Q2588" s="23">
        <v>8.0</v>
      </c>
      <c r="R2588" s="23">
        <v>18.0</v>
      </c>
      <c r="S2588" s="23" t="s">
        <v>63</v>
      </c>
      <c r="T2588" s="32" t="s">
        <v>63</v>
      </c>
      <c r="U2588" s="23">
        <v>234.0</v>
      </c>
      <c r="V2588" s="23" t="s">
        <v>63</v>
      </c>
      <c r="W2588" s="23" t="s">
        <v>63</v>
      </c>
      <c r="X2588" s="23" t="s">
        <v>63</v>
      </c>
      <c r="Y2588" s="35">
        <v>147.0</v>
      </c>
      <c r="Z2588" s="32" t="s">
        <v>63</v>
      </c>
      <c r="AA2588" s="38"/>
      <c r="AB2588" s="38"/>
      <c r="AC2588" s="38"/>
      <c r="AD2588" s="38"/>
      <c r="AE2588" s="38"/>
      <c r="AF2588" s="38"/>
      <c r="AG2588" s="38"/>
      <c r="AH2588" s="38"/>
      <c r="AI2588" s="38"/>
      <c r="AJ2588" s="38"/>
      <c r="AK2588" s="38"/>
    </row>
    <row r="2589">
      <c r="A2589" s="99">
        <v>2588.0</v>
      </c>
      <c r="B2589" s="15"/>
      <c r="C2589" s="15"/>
      <c r="D2589" s="105">
        <v>1.0</v>
      </c>
      <c r="E2589" s="102">
        <v>48.0</v>
      </c>
      <c r="F2589" s="107">
        <v>39.0</v>
      </c>
      <c r="G2589" s="15" t="str">
        <f t="shared" si="1"/>
        <v>48039</v>
      </c>
      <c r="H2589" s="23" t="s">
        <v>2021</v>
      </c>
      <c r="I2589" s="23" t="s">
        <v>113</v>
      </c>
      <c r="J2589" s="23" t="s">
        <v>219</v>
      </c>
      <c r="K2589" s="23" t="str">
        <f t="shared" si="44"/>
        <v>Brazoria, TX</v>
      </c>
      <c r="L2589" s="23">
        <v>114.0</v>
      </c>
      <c r="M2589" s="23" t="s">
        <v>63</v>
      </c>
      <c r="N2589" s="23">
        <v>46.0</v>
      </c>
      <c r="O2589" s="23">
        <v>38.0</v>
      </c>
      <c r="P2589" s="23" t="s">
        <v>63</v>
      </c>
      <c r="Q2589" s="23">
        <v>130.0</v>
      </c>
      <c r="R2589" s="23">
        <v>25.0</v>
      </c>
      <c r="S2589" s="23" t="s">
        <v>63</v>
      </c>
      <c r="T2589" s="32" t="s">
        <v>63</v>
      </c>
      <c r="U2589" s="23">
        <v>433.0</v>
      </c>
      <c r="V2589" s="23" t="s">
        <v>63</v>
      </c>
      <c r="W2589" s="23" t="s">
        <v>63</v>
      </c>
      <c r="X2589" s="23" t="s">
        <v>63</v>
      </c>
      <c r="Y2589" s="35">
        <v>236.0</v>
      </c>
      <c r="Z2589" s="32" t="s">
        <v>63</v>
      </c>
      <c r="AA2589" s="38"/>
      <c r="AB2589" s="38"/>
      <c r="AC2589" s="38"/>
      <c r="AD2589" s="38"/>
      <c r="AE2589" s="38"/>
      <c r="AF2589" s="38"/>
      <c r="AG2589" s="38"/>
      <c r="AH2589" s="38"/>
      <c r="AI2589" s="38"/>
      <c r="AJ2589" s="38"/>
      <c r="AK2589" s="38"/>
    </row>
    <row r="2590">
      <c r="A2590" s="99">
        <v>2589.0</v>
      </c>
      <c r="B2590" s="15"/>
      <c r="C2590" s="15"/>
      <c r="D2590" s="105">
        <v>1.0</v>
      </c>
      <c r="E2590" s="102">
        <v>48.0</v>
      </c>
      <c r="F2590" s="107">
        <v>41.0</v>
      </c>
      <c r="G2590" s="15" t="str">
        <f t="shared" si="1"/>
        <v>48041</v>
      </c>
      <c r="H2590" s="23" t="s">
        <v>2022</v>
      </c>
      <c r="I2590" s="23" t="s">
        <v>113</v>
      </c>
      <c r="J2590" s="23" t="s">
        <v>219</v>
      </c>
      <c r="K2590" s="23" t="str">
        <f t="shared" si="44"/>
        <v>Brazos, TX</v>
      </c>
      <c r="L2590" s="23">
        <v>145.0</v>
      </c>
      <c r="M2590" s="23" t="s">
        <v>63</v>
      </c>
      <c r="N2590" s="23">
        <v>44.0</v>
      </c>
      <c r="O2590" s="23">
        <v>89.0</v>
      </c>
      <c r="P2590" s="23" t="s">
        <v>63</v>
      </c>
      <c r="Q2590" s="23">
        <v>70.0</v>
      </c>
      <c r="R2590" s="23">
        <v>26.0</v>
      </c>
      <c r="S2590" s="23" t="s">
        <v>63</v>
      </c>
      <c r="T2590" s="32" t="s">
        <v>63</v>
      </c>
      <c r="U2590" s="23">
        <v>194.0</v>
      </c>
      <c r="V2590" s="23" t="s">
        <v>63</v>
      </c>
      <c r="W2590" s="23" t="s">
        <v>63</v>
      </c>
      <c r="X2590" s="23" t="s">
        <v>63</v>
      </c>
      <c r="Y2590" s="35">
        <v>130.0</v>
      </c>
      <c r="Z2590" s="32" t="s">
        <v>63</v>
      </c>
      <c r="AA2590" s="38"/>
      <c r="AB2590" s="38"/>
      <c r="AC2590" s="38"/>
      <c r="AD2590" s="38"/>
      <c r="AE2590" s="38"/>
      <c r="AF2590" s="38"/>
      <c r="AG2590" s="38"/>
      <c r="AH2590" s="38"/>
      <c r="AI2590" s="38"/>
      <c r="AJ2590" s="38"/>
      <c r="AK2590" s="38"/>
    </row>
    <row r="2591">
      <c r="A2591" s="99">
        <v>2590.0</v>
      </c>
      <c r="B2591" s="15"/>
      <c r="C2591" s="15"/>
      <c r="D2591" s="105">
        <v>1.0</v>
      </c>
      <c r="E2591" s="102">
        <v>48.0</v>
      </c>
      <c r="F2591" s="107">
        <v>43.0</v>
      </c>
      <c r="G2591" s="15" t="str">
        <f t="shared" si="1"/>
        <v>48043</v>
      </c>
      <c r="H2591" s="23" t="s">
        <v>2023</v>
      </c>
      <c r="I2591" s="23" t="s">
        <v>113</v>
      </c>
      <c r="J2591" s="23" t="s">
        <v>219</v>
      </c>
      <c r="K2591" s="23" t="str">
        <f t="shared" si="44"/>
        <v>Brewster, TX</v>
      </c>
      <c r="L2591" s="23">
        <v>3.0</v>
      </c>
      <c r="M2591" s="23" t="s">
        <v>63</v>
      </c>
      <c r="N2591" s="23">
        <v>2.0</v>
      </c>
      <c r="O2591" s="23">
        <v>0.0</v>
      </c>
      <c r="P2591" s="23" t="s">
        <v>63</v>
      </c>
      <c r="Q2591" s="23" t="s">
        <v>63</v>
      </c>
      <c r="R2591" s="23" t="s">
        <v>63</v>
      </c>
      <c r="S2591" s="23" t="s">
        <v>63</v>
      </c>
      <c r="T2591" s="32" t="s">
        <v>63</v>
      </c>
      <c r="U2591" s="23">
        <v>8.0</v>
      </c>
      <c r="V2591" s="23" t="s">
        <v>63</v>
      </c>
      <c r="W2591" s="23" t="s">
        <v>63</v>
      </c>
      <c r="X2591" s="23" t="s">
        <v>63</v>
      </c>
      <c r="Y2591" s="35">
        <v>14.0</v>
      </c>
      <c r="Z2591" s="32" t="s">
        <v>63</v>
      </c>
      <c r="AA2591" s="38"/>
      <c r="AB2591" s="38"/>
      <c r="AC2591" s="38"/>
      <c r="AD2591" s="38"/>
      <c r="AE2591" s="38"/>
      <c r="AF2591" s="38"/>
      <c r="AG2591" s="38"/>
      <c r="AH2591" s="38"/>
      <c r="AI2591" s="38"/>
      <c r="AJ2591" s="38"/>
      <c r="AK2591" s="38"/>
    </row>
    <row r="2592">
      <c r="A2592" s="99">
        <v>2591.0</v>
      </c>
      <c r="B2592" s="15"/>
      <c r="C2592" s="15"/>
      <c r="D2592" s="105">
        <v>1.0</v>
      </c>
      <c r="E2592" s="102">
        <v>48.0</v>
      </c>
      <c r="F2592" s="107">
        <v>45.0</v>
      </c>
      <c r="G2592" s="15" t="str">
        <f t="shared" si="1"/>
        <v>48045</v>
      </c>
      <c r="H2592" s="23" t="s">
        <v>2025</v>
      </c>
      <c r="I2592" s="23" t="s">
        <v>113</v>
      </c>
      <c r="J2592" s="23" t="s">
        <v>219</v>
      </c>
      <c r="K2592" s="23" t="str">
        <f t="shared" si="44"/>
        <v>Briscoe, TX</v>
      </c>
      <c r="L2592" s="23">
        <v>3.0</v>
      </c>
      <c r="M2592" s="23" t="s">
        <v>63</v>
      </c>
      <c r="N2592" s="23">
        <v>1.0</v>
      </c>
      <c r="O2592" s="23">
        <v>2.0</v>
      </c>
      <c r="P2592" s="23" t="s">
        <v>63</v>
      </c>
      <c r="Q2592" s="23">
        <v>1.0</v>
      </c>
      <c r="R2592" s="23" t="s">
        <v>63</v>
      </c>
      <c r="S2592" s="23" t="s">
        <v>63</v>
      </c>
      <c r="T2592" s="32" t="s">
        <v>63</v>
      </c>
      <c r="U2592" s="23" t="s">
        <v>63</v>
      </c>
      <c r="V2592" s="23" t="s">
        <v>63</v>
      </c>
      <c r="W2592" s="23" t="s">
        <v>63</v>
      </c>
      <c r="X2592" s="23" t="s">
        <v>63</v>
      </c>
      <c r="Y2592" s="35">
        <v>7.0</v>
      </c>
      <c r="Z2592" s="32" t="s">
        <v>63</v>
      </c>
      <c r="AA2592" s="38"/>
      <c r="AB2592" s="38"/>
      <c r="AC2592" s="38"/>
      <c r="AD2592" s="38"/>
      <c r="AE2592" s="38"/>
      <c r="AF2592" s="38"/>
      <c r="AG2592" s="38"/>
      <c r="AH2592" s="38"/>
      <c r="AI2592" s="38"/>
      <c r="AJ2592" s="38"/>
      <c r="AK2592" s="38"/>
    </row>
    <row r="2593">
      <c r="A2593" s="99">
        <v>2592.0</v>
      </c>
      <c r="B2593" s="15"/>
      <c r="C2593" s="15"/>
      <c r="D2593" s="105">
        <v>1.0</v>
      </c>
      <c r="E2593" s="102">
        <v>48.0</v>
      </c>
      <c r="F2593" s="107">
        <v>47.0</v>
      </c>
      <c r="G2593" s="15" t="str">
        <f t="shared" si="1"/>
        <v>48047</v>
      </c>
      <c r="H2593" s="23" t="s">
        <v>543</v>
      </c>
      <c r="I2593" s="23" t="s">
        <v>113</v>
      </c>
      <c r="J2593" s="23" t="s">
        <v>219</v>
      </c>
      <c r="K2593" s="23" t="str">
        <f t="shared" si="44"/>
        <v>Brooks, TX</v>
      </c>
      <c r="L2593" s="23">
        <v>9.0</v>
      </c>
      <c r="M2593" s="23" t="s">
        <v>63</v>
      </c>
      <c r="N2593" s="23">
        <v>5.0</v>
      </c>
      <c r="O2593" s="23">
        <v>2.0</v>
      </c>
      <c r="P2593" s="23" t="s">
        <v>63</v>
      </c>
      <c r="Q2593" s="23">
        <v>1.0</v>
      </c>
      <c r="R2593" s="23">
        <v>3.0</v>
      </c>
      <c r="S2593" s="23" t="s">
        <v>63</v>
      </c>
      <c r="T2593" s="32" t="s">
        <v>63</v>
      </c>
      <c r="U2593" s="23">
        <v>72.0</v>
      </c>
      <c r="V2593" s="23" t="s">
        <v>63</v>
      </c>
      <c r="W2593" s="23" t="s">
        <v>63</v>
      </c>
      <c r="X2593" s="23" t="s">
        <v>63</v>
      </c>
      <c r="Y2593" s="35">
        <v>7.0</v>
      </c>
      <c r="Z2593" s="32" t="s">
        <v>63</v>
      </c>
      <c r="AA2593" s="38"/>
      <c r="AB2593" s="38"/>
      <c r="AC2593" s="38"/>
      <c r="AD2593" s="38"/>
      <c r="AE2593" s="38"/>
      <c r="AF2593" s="38"/>
      <c r="AG2593" s="38"/>
      <c r="AH2593" s="38"/>
      <c r="AI2593" s="38"/>
      <c r="AJ2593" s="38"/>
      <c r="AK2593" s="38"/>
    </row>
    <row r="2594">
      <c r="A2594" s="99">
        <v>2593.0</v>
      </c>
      <c r="B2594" s="15"/>
      <c r="C2594" s="15"/>
      <c r="D2594" s="105">
        <v>1.0</v>
      </c>
      <c r="E2594" s="102">
        <v>48.0</v>
      </c>
      <c r="F2594" s="107">
        <v>49.0</v>
      </c>
      <c r="G2594" s="15" t="str">
        <f t="shared" si="1"/>
        <v>48049</v>
      </c>
      <c r="H2594" s="23" t="s">
        <v>706</v>
      </c>
      <c r="I2594" s="23" t="s">
        <v>113</v>
      </c>
      <c r="J2594" s="23" t="s">
        <v>219</v>
      </c>
      <c r="K2594" s="23" t="str">
        <f t="shared" si="44"/>
        <v>Brown, TX</v>
      </c>
      <c r="L2594" s="23">
        <v>62.0</v>
      </c>
      <c r="M2594" s="23" t="s">
        <v>63</v>
      </c>
      <c r="N2594" s="23">
        <v>22.0</v>
      </c>
      <c r="O2594" s="23">
        <v>28.0</v>
      </c>
      <c r="P2594" s="23" t="s">
        <v>63</v>
      </c>
      <c r="Q2594" s="23">
        <v>29.0</v>
      </c>
      <c r="R2594" s="23">
        <v>15.0</v>
      </c>
      <c r="S2594" s="23" t="s">
        <v>63</v>
      </c>
      <c r="T2594" s="32" t="s">
        <v>63</v>
      </c>
      <c r="U2594" s="23">
        <v>137.0</v>
      </c>
      <c r="V2594" s="23" t="s">
        <v>63</v>
      </c>
      <c r="W2594" s="23" t="s">
        <v>63</v>
      </c>
      <c r="X2594" s="23" t="s">
        <v>63</v>
      </c>
      <c r="Y2594" s="35">
        <v>48.0</v>
      </c>
      <c r="Z2594" s="32" t="s">
        <v>63</v>
      </c>
      <c r="AA2594" s="38"/>
      <c r="AB2594" s="38"/>
      <c r="AC2594" s="38"/>
      <c r="AD2594" s="38"/>
      <c r="AE2594" s="38"/>
      <c r="AF2594" s="38"/>
      <c r="AG2594" s="38"/>
      <c r="AH2594" s="38"/>
      <c r="AI2594" s="38"/>
      <c r="AJ2594" s="38"/>
      <c r="AK2594" s="38"/>
    </row>
    <row r="2595">
      <c r="A2595" s="99">
        <v>2594.0</v>
      </c>
      <c r="B2595" s="15"/>
      <c r="C2595" s="15"/>
      <c r="D2595" s="105">
        <v>1.0</v>
      </c>
      <c r="E2595" s="102">
        <v>48.0</v>
      </c>
      <c r="F2595" s="107">
        <v>51.0</v>
      </c>
      <c r="G2595" s="15" t="str">
        <f t="shared" si="1"/>
        <v>48051</v>
      </c>
      <c r="H2595" s="23" t="s">
        <v>2027</v>
      </c>
      <c r="I2595" s="23" t="s">
        <v>113</v>
      </c>
      <c r="J2595" s="23" t="s">
        <v>219</v>
      </c>
      <c r="K2595" s="23" t="str">
        <f t="shared" si="44"/>
        <v>Burleson, TX</v>
      </c>
      <c r="L2595" s="23">
        <v>11.0</v>
      </c>
      <c r="M2595" s="23" t="s">
        <v>63</v>
      </c>
      <c r="N2595" s="23">
        <v>6.0</v>
      </c>
      <c r="O2595" s="23">
        <v>4.0</v>
      </c>
      <c r="P2595" s="23" t="s">
        <v>63</v>
      </c>
      <c r="Q2595" s="23">
        <v>4.0</v>
      </c>
      <c r="R2595" s="23">
        <v>4.0</v>
      </c>
      <c r="S2595" s="23" t="s">
        <v>63</v>
      </c>
      <c r="T2595" s="32" t="s">
        <v>63</v>
      </c>
      <c r="U2595" s="23">
        <v>22.0</v>
      </c>
      <c r="V2595" s="23" t="s">
        <v>63</v>
      </c>
      <c r="W2595" s="23" t="s">
        <v>63</v>
      </c>
      <c r="X2595" s="23" t="s">
        <v>63</v>
      </c>
      <c r="Y2595" s="35">
        <v>32.0</v>
      </c>
      <c r="Z2595" s="32" t="s">
        <v>63</v>
      </c>
      <c r="AA2595" s="38"/>
      <c r="AB2595" s="38"/>
      <c r="AC2595" s="38"/>
      <c r="AD2595" s="38"/>
      <c r="AE2595" s="38"/>
      <c r="AF2595" s="38"/>
      <c r="AG2595" s="38"/>
      <c r="AH2595" s="38"/>
      <c r="AI2595" s="38"/>
      <c r="AJ2595" s="38"/>
      <c r="AK2595" s="38"/>
    </row>
    <row r="2596">
      <c r="A2596" s="99">
        <v>2595.0</v>
      </c>
      <c r="B2596" s="15"/>
      <c r="C2596" s="15"/>
      <c r="D2596" s="105">
        <v>1.0</v>
      </c>
      <c r="E2596" s="102">
        <v>48.0</v>
      </c>
      <c r="F2596" s="107">
        <v>53.0</v>
      </c>
      <c r="G2596" s="15" t="str">
        <f t="shared" si="1"/>
        <v>48053</v>
      </c>
      <c r="H2596" s="23" t="s">
        <v>2028</v>
      </c>
      <c r="I2596" s="23" t="s">
        <v>113</v>
      </c>
      <c r="J2596" s="23" t="s">
        <v>219</v>
      </c>
      <c r="K2596" s="23" t="str">
        <f t="shared" si="44"/>
        <v>Burnet, TX</v>
      </c>
      <c r="L2596" s="23">
        <v>56.0</v>
      </c>
      <c r="M2596" s="23" t="s">
        <v>63</v>
      </c>
      <c r="N2596" s="23">
        <v>16.0</v>
      </c>
      <c r="O2596" s="23">
        <v>24.0</v>
      </c>
      <c r="P2596" s="23" t="s">
        <v>63</v>
      </c>
      <c r="Q2596" s="23">
        <v>19.0</v>
      </c>
      <c r="R2596" s="23">
        <v>19.0</v>
      </c>
      <c r="S2596" s="23" t="s">
        <v>63</v>
      </c>
      <c r="T2596" s="32" t="s">
        <v>63</v>
      </c>
      <c r="U2596" s="23" t="s">
        <v>63</v>
      </c>
      <c r="V2596" s="23" t="s">
        <v>63</v>
      </c>
      <c r="W2596" s="23" t="s">
        <v>63</v>
      </c>
      <c r="X2596" s="23" t="s">
        <v>63</v>
      </c>
      <c r="Y2596" s="35">
        <v>47.0</v>
      </c>
      <c r="Z2596" s="32" t="s">
        <v>63</v>
      </c>
      <c r="AA2596" s="38"/>
      <c r="AB2596" s="38"/>
      <c r="AC2596" s="38"/>
      <c r="AD2596" s="38"/>
      <c r="AE2596" s="38"/>
      <c r="AF2596" s="38"/>
      <c r="AG2596" s="38"/>
      <c r="AH2596" s="38"/>
      <c r="AI2596" s="38"/>
      <c r="AJ2596" s="38"/>
      <c r="AK2596" s="38"/>
    </row>
    <row r="2597">
      <c r="A2597" s="99">
        <v>2596.0</v>
      </c>
      <c r="B2597" s="15"/>
      <c r="C2597" s="15"/>
      <c r="D2597" s="105">
        <v>1.0</v>
      </c>
      <c r="E2597" s="102">
        <v>48.0</v>
      </c>
      <c r="F2597" s="107">
        <v>55.0</v>
      </c>
      <c r="G2597" s="15" t="str">
        <f t="shared" si="1"/>
        <v>48055</v>
      </c>
      <c r="H2597" s="23" t="s">
        <v>1034</v>
      </c>
      <c r="I2597" s="23" t="s">
        <v>113</v>
      </c>
      <c r="J2597" s="23" t="s">
        <v>219</v>
      </c>
      <c r="K2597" s="23" t="str">
        <f t="shared" si="44"/>
        <v>Caldwell, TX</v>
      </c>
      <c r="L2597" s="23">
        <v>32.0</v>
      </c>
      <c r="M2597" s="23" t="s">
        <v>63</v>
      </c>
      <c r="N2597" s="23">
        <v>7.0</v>
      </c>
      <c r="O2597" s="23">
        <v>22.0</v>
      </c>
      <c r="P2597" s="23" t="s">
        <v>63</v>
      </c>
      <c r="Q2597" s="23">
        <v>13.0</v>
      </c>
      <c r="R2597" s="23">
        <v>8.0</v>
      </c>
      <c r="S2597" s="23" t="s">
        <v>63</v>
      </c>
      <c r="T2597" s="32" t="s">
        <v>63</v>
      </c>
      <c r="U2597" s="23">
        <v>94.0</v>
      </c>
      <c r="V2597" s="23" t="s">
        <v>63</v>
      </c>
      <c r="W2597" s="23" t="s">
        <v>63</v>
      </c>
      <c r="X2597" s="23" t="s">
        <v>63</v>
      </c>
      <c r="Y2597" s="35">
        <v>44.0</v>
      </c>
      <c r="Z2597" s="32" t="s">
        <v>63</v>
      </c>
      <c r="AA2597" s="38"/>
      <c r="AB2597" s="38"/>
      <c r="AC2597" s="38"/>
      <c r="AD2597" s="38"/>
      <c r="AE2597" s="38"/>
      <c r="AF2597" s="38"/>
      <c r="AG2597" s="38"/>
      <c r="AH2597" s="38"/>
      <c r="AI2597" s="38"/>
      <c r="AJ2597" s="38"/>
      <c r="AK2597" s="38"/>
    </row>
    <row r="2598">
      <c r="A2598" s="99">
        <v>2597.0</v>
      </c>
      <c r="B2598" s="15"/>
      <c r="C2598" s="15"/>
      <c r="D2598" s="105">
        <v>1.0</v>
      </c>
      <c r="E2598" s="102">
        <v>48.0</v>
      </c>
      <c r="F2598" s="107">
        <v>57.0</v>
      </c>
      <c r="G2598" s="15" t="str">
        <f t="shared" si="1"/>
        <v>48057</v>
      </c>
      <c r="H2598" s="23" t="s">
        <v>93</v>
      </c>
      <c r="I2598" s="23" t="s">
        <v>113</v>
      </c>
      <c r="J2598" s="23" t="s">
        <v>219</v>
      </c>
      <c r="K2598" s="23" t="str">
        <f t="shared" si="44"/>
        <v>Calhoun, TX</v>
      </c>
      <c r="L2598" s="23">
        <v>14.0</v>
      </c>
      <c r="M2598" s="23" t="s">
        <v>63</v>
      </c>
      <c r="N2598" s="23">
        <v>5.0</v>
      </c>
      <c r="O2598" s="23">
        <v>5.0</v>
      </c>
      <c r="P2598" s="23" t="s">
        <v>63</v>
      </c>
      <c r="Q2598" s="23">
        <v>5.0</v>
      </c>
      <c r="R2598" s="23">
        <v>6.0</v>
      </c>
      <c r="S2598" s="23" t="s">
        <v>63</v>
      </c>
      <c r="T2598" s="32" t="s">
        <v>63</v>
      </c>
      <c r="U2598" s="23">
        <v>26.0</v>
      </c>
      <c r="V2598" s="23" t="s">
        <v>63</v>
      </c>
      <c r="W2598" s="23" t="s">
        <v>63</v>
      </c>
      <c r="X2598" s="23" t="s">
        <v>63</v>
      </c>
      <c r="Y2598" s="35">
        <v>25.0</v>
      </c>
      <c r="Z2598" s="32" t="s">
        <v>63</v>
      </c>
      <c r="AA2598" s="38"/>
      <c r="AB2598" s="38"/>
      <c r="AC2598" s="38"/>
      <c r="AD2598" s="38"/>
      <c r="AE2598" s="38"/>
      <c r="AF2598" s="38"/>
      <c r="AG2598" s="38"/>
      <c r="AH2598" s="38"/>
      <c r="AI2598" s="38"/>
      <c r="AJ2598" s="38"/>
      <c r="AK2598" s="38"/>
    </row>
    <row r="2599">
      <c r="A2599" s="99">
        <v>2598.0</v>
      </c>
      <c r="B2599" s="15"/>
      <c r="C2599" s="15"/>
      <c r="D2599" s="105">
        <v>1.0</v>
      </c>
      <c r="E2599" s="102">
        <v>48.0</v>
      </c>
      <c r="F2599" s="107">
        <v>59.0</v>
      </c>
      <c r="G2599" s="15" t="str">
        <f t="shared" si="1"/>
        <v>48059</v>
      </c>
      <c r="H2599" s="23" t="s">
        <v>2029</v>
      </c>
      <c r="I2599" s="23" t="s">
        <v>113</v>
      </c>
      <c r="J2599" s="23" t="s">
        <v>219</v>
      </c>
      <c r="K2599" s="23" t="str">
        <f t="shared" si="44"/>
        <v>Callahan, TX</v>
      </c>
      <c r="L2599" s="23">
        <v>30.0</v>
      </c>
      <c r="M2599" s="23" t="s">
        <v>63</v>
      </c>
      <c r="N2599" s="23">
        <v>20.0</v>
      </c>
      <c r="O2599" s="23">
        <v>8.0</v>
      </c>
      <c r="P2599" s="23" t="s">
        <v>63</v>
      </c>
      <c r="Q2599" s="23">
        <v>8.0</v>
      </c>
      <c r="R2599" s="23">
        <v>9.0</v>
      </c>
      <c r="S2599" s="23" t="s">
        <v>63</v>
      </c>
      <c r="T2599" s="32" t="s">
        <v>63</v>
      </c>
      <c r="U2599" s="23">
        <v>92.0</v>
      </c>
      <c r="V2599" s="23" t="s">
        <v>63</v>
      </c>
      <c r="W2599" s="23" t="s">
        <v>63</v>
      </c>
      <c r="X2599" s="23" t="s">
        <v>63</v>
      </c>
      <c r="Y2599" s="35">
        <v>22.0</v>
      </c>
      <c r="Z2599" s="32" t="s">
        <v>63</v>
      </c>
      <c r="AA2599" s="38"/>
      <c r="AB2599" s="38"/>
      <c r="AC2599" s="38"/>
      <c r="AD2599" s="38"/>
      <c r="AE2599" s="38"/>
      <c r="AF2599" s="38"/>
      <c r="AG2599" s="38"/>
      <c r="AH2599" s="38"/>
      <c r="AI2599" s="38"/>
      <c r="AJ2599" s="38"/>
      <c r="AK2599" s="38"/>
    </row>
    <row r="2600">
      <c r="A2600" s="99">
        <v>2599.0</v>
      </c>
      <c r="B2600" s="15"/>
      <c r="C2600" s="15"/>
      <c r="D2600" s="105">
        <v>1.0</v>
      </c>
      <c r="E2600" s="102">
        <v>48.0</v>
      </c>
      <c r="F2600" s="107">
        <v>61.0</v>
      </c>
      <c r="G2600" s="15" t="str">
        <f t="shared" si="1"/>
        <v>48061</v>
      </c>
      <c r="H2600" s="23" t="s">
        <v>1149</v>
      </c>
      <c r="I2600" s="23" t="s">
        <v>113</v>
      </c>
      <c r="J2600" s="23" t="s">
        <v>219</v>
      </c>
      <c r="K2600" s="23" t="str">
        <f t="shared" si="44"/>
        <v>Cameron, TX</v>
      </c>
      <c r="L2600" s="23">
        <v>236.0</v>
      </c>
      <c r="M2600" s="23" t="s">
        <v>63</v>
      </c>
      <c r="N2600" s="23">
        <v>108.0</v>
      </c>
      <c r="O2600" s="23">
        <v>77.0</v>
      </c>
      <c r="P2600" s="23" t="s">
        <v>63</v>
      </c>
      <c r="Q2600" s="23">
        <v>116.0</v>
      </c>
      <c r="R2600" s="23">
        <v>52.0</v>
      </c>
      <c r="S2600" s="23" t="s">
        <v>63</v>
      </c>
      <c r="T2600" s="32" t="s">
        <v>63</v>
      </c>
      <c r="U2600" s="23">
        <v>1038.0</v>
      </c>
      <c r="V2600" s="23" t="s">
        <v>63</v>
      </c>
      <c r="W2600" s="23" t="s">
        <v>63</v>
      </c>
      <c r="X2600" s="23" t="s">
        <v>63</v>
      </c>
      <c r="Y2600" s="35">
        <v>159.0</v>
      </c>
      <c r="Z2600" s="32" t="s">
        <v>63</v>
      </c>
      <c r="AA2600" s="38"/>
      <c r="AB2600" s="38"/>
      <c r="AC2600" s="38"/>
      <c r="AD2600" s="38"/>
      <c r="AE2600" s="38"/>
      <c r="AF2600" s="38"/>
      <c r="AG2600" s="38"/>
      <c r="AH2600" s="38"/>
      <c r="AI2600" s="38"/>
      <c r="AJ2600" s="38"/>
      <c r="AK2600" s="38"/>
    </row>
    <row r="2601">
      <c r="A2601" s="99">
        <v>2600.0</v>
      </c>
      <c r="B2601" s="15"/>
      <c r="C2601" s="15"/>
      <c r="D2601" s="105">
        <v>1.0</v>
      </c>
      <c r="E2601" s="102">
        <v>48.0</v>
      </c>
      <c r="F2601" s="107">
        <v>63.0</v>
      </c>
      <c r="G2601" s="15" t="str">
        <f t="shared" si="1"/>
        <v>48063</v>
      </c>
      <c r="H2601" s="23" t="s">
        <v>2031</v>
      </c>
      <c r="I2601" s="23" t="s">
        <v>113</v>
      </c>
      <c r="J2601" s="23" t="s">
        <v>219</v>
      </c>
      <c r="K2601" s="23" t="str">
        <f t="shared" si="44"/>
        <v>Camp, TX</v>
      </c>
      <c r="L2601" s="23">
        <v>12.0</v>
      </c>
      <c r="M2601" s="23" t="s">
        <v>63</v>
      </c>
      <c r="N2601" s="23">
        <v>5.0</v>
      </c>
      <c r="O2601" s="23">
        <v>3.0</v>
      </c>
      <c r="P2601" s="23" t="s">
        <v>63</v>
      </c>
      <c r="Q2601" s="23">
        <v>6.0</v>
      </c>
      <c r="R2601" s="23">
        <v>4.0</v>
      </c>
      <c r="S2601" s="23" t="s">
        <v>63</v>
      </c>
      <c r="T2601" s="32" t="s">
        <v>63</v>
      </c>
      <c r="U2601" s="23">
        <v>41.0</v>
      </c>
      <c r="V2601" s="23" t="s">
        <v>63</v>
      </c>
      <c r="W2601" s="23" t="s">
        <v>63</v>
      </c>
      <c r="X2601" s="23" t="s">
        <v>63</v>
      </c>
      <c r="Y2601" s="35">
        <v>18.0</v>
      </c>
      <c r="Z2601" s="32" t="s">
        <v>63</v>
      </c>
      <c r="AA2601" s="38"/>
      <c r="AB2601" s="38"/>
      <c r="AC2601" s="38"/>
      <c r="AD2601" s="38"/>
      <c r="AE2601" s="38"/>
      <c r="AF2601" s="38"/>
      <c r="AG2601" s="38"/>
      <c r="AH2601" s="38"/>
      <c r="AI2601" s="38"/>
      <c r="AJ2601" s="38"/>
      <c r="AK2601" s="38"/>
    </row>
    <row r="2602">
      <c r="A2602" s="99">
        <v>2601.0</v>
      </c>
      <c r="B2602" s="15"/>
      <c r="C2602" s="15"/>
      <c r="D2602" s="105">
        <v>1.0</v>
      </c>
      <c r="E2602" s="102">
        <v>48.0</v>
      </c>
      <c r="F2602" s="107">
        <v>65.0</v>
      </c>
      <c r="G2602" s="15" t="str">
        <f t="shared" si="1"/>
        <v>48065</v>
      </c>
      <c r="H2602" s="23" t="s">
        <v>2032</v>
      </c>
      <c r="I2602" s="23" t="s">
        <v>113</v>
      </c>
      <c r="J2602" s="23" t="s">
        <v>219</v>
      </c>
      <c r="K2602" s="23" t="str">
        <f t="shared" si="44"/>
        <v>Carson, TX</v>
      </c>
      <c r="L2602" s="23">
        <v>2.0</v>
      </c>
      <c r="M2602" s="23" t="s">
        <v>63</v>
      </c>
      <c r="N2602" s="23">
        <v>0.0</v>
      </c>
      <c r="O2602" s="23">
        <v>0.0</v>
      </c>
      <c r="P2602" s="23" t="s">
        <v>63</v>
      </c>
      <c r="Q2602" s="23">
        <v>5.0</v>
      </c>
      <c r="R2602" s="23">
        <v>1.0</v>
      </c>
      <c r="S2602" s="23" t="s">
        <v>63</v>
      </c>
      <c r="T2602" s="32" t="s">
        <v>63</v>
      </c>
      <c r="U2602" s="23">
        <v>4.0</v>
      </c>
      <c r="V2602" s="23" t="s">
        <v>63</v>
      </c>
      <c r="W2602" s="23" t="s">
        <v>63</v>
      </c>
      <c r="X2602" s="23" t="s">
        <v>63</v>
      </c>
      <c r="Y2602" s="35">
        <v>12.0</v>
      </c>
      <c r="Z2602" s="32" t="s">
        <v>63</v>
      </c>
      <c r="AA2602" s="38"/>
      <c r="AB2602" s="38"/>
      <c r="AC2602" s="38"/>
      <c r="AD2602" s="38"/>
      <c r="AE2602" s="38"/>
      <c r="AF2602" s="38"/>
      <c r="AG2602" s="38"/>
      <c r="AH2602" s="38"/>
      <c r="AI2602" s="38"/>
      <c r="AJ2602" s="38"/>
      <c r="AK2602" s="38"/>
    </row>
    <row r="2603">
      <c r="A2603" s="99">
        <v>2602.0</v>
      </c>
      <c r="B2603" s="15"/>
      <c r="C2603" s="15"/>
      <c r="D2603" s="105">
        <v>1.0</v>
      </c>
      <c r="E2603" s="102">
        <v>48.0</v>
      </c>
      <c r="F2603" s="107">
        <v>67.0</v>
      </c>
      <c r="G2603" s="15" t="str">
        <f t="shared" si="1"/>
        <v>48067</v>
      </c>
      <c r="H2603" s="23" t="s">
        <v>708</v>
      </c>
      <c r="I2603" s="23" t="s">
        <v>113</v>
      </c>
      <c r="J2603" s="23" t="s">
        <v>219</v>
      </c>
      <c r="K2603" s="23" t="str">
        <f t="shared" si="44"/>
        <v>Cass, TX</v>
      </c>
      <c r="L2603" s="23">
        <v>17.0</v>
      </c>
      <c r="M2603" s="23" t="s">
        <v>63</v>
      </c>
      <c r="N2603" s="23">
        <v>5.0</v>
      </c>
      <c r="O2603" s="23">
        <v>8.0</v>
      </c>
      <c r="P2603" s="23" t="s">
        <v>63</v>
      </c>
      <c r="Q2603" s="23">
        <v>6.0</v>
      </c>
      <c r="R2603" s="23">
        <v>3.0</v>
      </c>
      <c r="S2603" s="23" t="s">
        <v>63</v>
      </c>
      <c r="T2603" s="32" t="s">
        <v>63</v>
      </c>
      <c r="U2603" s="23">
        <v>76.0</v>
      </c>
      <c r="V2603" s="23" t="s">
        <v>63</v>
      </c>
      <c r="W2603" s="23" t="s">
        <v>63</v>
      </c>
      <c r="X2603" s="23" t="s">
        <v>63</v>
      </c>
      <c r="Y2603" s="35">
        <v>64.0</v>
      </c>
      <c r="Z2603" s="32" t="s">
        <v>63</v>
      </c>
      <c r="AA2603" s="38"/>
      <c r="AB2603" s="38"/>
      <c r="AC2603" s="38"/>
      <c r="AD2603" s="38"/>
      <c r="AE2603" s="38"/>
      <c r="AF2603" s="38"/>
      <c r="AG2603" s="38"/>
      <c r="AH2603" s="38"/>
      <c r="AI2603" s="38"/>
      <c r="AJ2603" s="38"/>
      <c r="AK2603" s="38"/>
    </row>
    <row r="2604">
      <c r="A2604" s="99">
        <v>2603.0</v>
      </c>
      <c r="B2604" s="15"/>
      <c r="C2604" s="15"/>
      <c r="D2604" s="105">
        <v>1.0</v>
      </c>
      <c r="E2604" s="102">
        <v>48.0</v>
      </c>
      <c r="F2604" s="107">
        <v>69.0</v>
      </c>
      <c r="G2604" s="15" t="str">
        <f t="shared" si="1"/>
        <v>48069</v>
      </c>
      <c r="H2604" s="23" t="s">
        <v>2033</v>
      </c>
      <c r="I2604" s="23" t="s">
        <v>113</v>
      </c>
      <c r="J2604" s="23" t="s">
        <v>219</v>
      </c>
      <c r="K2604" s="23" t="str">
        <f t="shared" si="44"/>
        <v>Castro, TX</v>
      </c>
      <c r="L2604" s="23">
        <v>7.0</v>
      </c>
      <c r="M2604" s="23" t="s">
        <v>63</v>
      </c>
      <c r="N2604" s="23">
        <v>4.0</v>
      </c>
      <c r="O2604" s="23">
        <v>1.0</v>
      </c>
      <c r="P2604" s="23" t="s">
        <v>63</v>
      </c>
      <c r="Q2604" s="23">
        <v>2.0</v>
      </c>
      <c r="R2604" s="23">
        <v>3.0</v>
      </c>
      <c r="S2604" s="23" t="s">
        <v>63</v>
      </c>
      <c r="T2604" s="32" t="s">
        <v>63</v>
      </c>
      <c r="U2604" s="23" t="s">
        <v>63</v>
      </c>
      <c r="V2604" s="23" t="s">
        <v>63</v>
      </c>
      <c r="W2604" s="23" t="s">
        <v>63</v>
      </c>
      <c r="X2604" s="23" t="s">
        <v>63</v>
      </c>
      <c r="Y2604" s="35">
        <v>14.0</v>
      </c>
      <c r="Z2604" s="32" t="s">
        <v>63</v>
      </c>
      <c r="AA2604" s="38"/>
      <c r="AB2604" s="38"/>
      <c r="AC2604" s="38"/>
      <c r="AD2604" s="38"/>
      <c r="AE2604" s="38"/>
      <c r="AF2604" s="38"/>
      <c r="AG2604" s="38"/>
      <c r="AH2604" s="38"/>
      <c r="AI2604" s="38"/>
      <c r="AJ2604" s="38"/>
      <c r="AK2604" s="38"/>
    </row>
    <row r="2605">
      <c r="A2605" s="99">
        <v>2604.0</v>
      </c>
      <c r="B2605" s="15"/>
      <c r="C2605" s="15"/>
      <c r="D2605" s="105">
        <v>1.0</v>
      </c>
      <c r="E2605" s="102">
        <v>48.0</v>
      </c>
      <c r="F2605" s="107">
        <v>71.0</v>
      </c>
      <c r="G2605" s="15" t="str">
        <f t="shared" si="1"/>
        <v>48071</v>
      </c>
      <c r="H2605" s="23" t="s">
        <v>98</v>
      </c>
      <c r="I2605" s="23" t="s">
        <v>113</v>
      </c>
      <c r="J2605" s="23" t="s">
        <v>219</v>
      </c>
      <c r="K2605" s="23" t="str">
        <f t="shared" si="44"/>
        <v>Chambers, TX</v>
      </c>
      <c r="L2605" s="23">
        <v>10.0</v>
      </c>
      <c r="M2605" s="23" t="s">
        <v>63</v>
      </c>
      <c r="N2605" s="23">
        <v>2.0</v>
      </c>
      <c r="O2605" s="23">
        <v>5.0</v>
      </c>
      <c r="P2605" s="23" t="s">
        <v>63</v>
      </c>
      <c r="Q2605" s="23">
        <v>13.0</v>
      </c>
      <c r="R2605" s="23">
        <v>2.0</v>
      </c>
      <c r="S2605" s="23" t="s">
        <v>63</v>
      </c>
      <c r="T2605" s="32" t="s">
        <v>63</v>
      </c>
      <c r="U2605" s="23">
        <v>58.0</v>
      </c>
      <c r="V2605" s="23" t="s">
        <v>63</v>
      </c>
      <c r="W2605" s="23" t="s">
        <v>63</v>
      </c>
      <c r="X2605" s="23" t="s">
        <v>63</v>
      </c>
      <c r="Y2605" s="35">
        <v>31.0</v>
      </c>
      <c r="Z2605" s="32" t="s">
        <v>63</v>
      </c>
      <c r="AA2605" s="38"/>
      <c r="AB2605" s="38"/>
      <c r="AC2605" s="38"/>
      <c r="AD2605" s="38"/>
      <c r="AE2605" s="38"/>
      <c r="AF2605" s="38"/>
      <c r="AG2605" s="38"/>
      <c r="AH2605" s="38"/>
      <c r="AI2605" s="38"/>
      <c r="AJ2605" s="38"/>
      <c r="AK2605" s="38"/>
    </row>
    <row r="2606">
      <c r="A2606" s="99">
        <v>2605.0</v>
      </c>
      <c r="B2606" s="15"/>
      <c r="C2606" s="15"/>
      <c r="D2606" s="105">
        <v>1.0</v>
      </c>
      <c r="E2606" s="102">
        <v>48.0</v>
      </c>
      <c r="F2606" s="107">
        <v>73.0</v>
      </c>
      <c r="G2606" s="15" t="str">
        <f t="shared" si="1"/>
        <v>48073</v>
      </c>
      <c r="H2606" s="23" t="s">
        <v>101</v>
      </c>
      <c r="I2606" s="23" t="s">
        <v>113</v>
      </c>
      <c r="J2606" s="23" t="s">
        <v>219</v>
      </c>
      <c r="K2606" s="23" t="str">
        <f t="shared" si="44"/>
        <v>Cherokee, TX</v>
      </c>
      <c r="L2606" s="23">
        <v>76.0</v>
      </c>
      <c r="M2606" s="23" t="s">
        <v>63</v>
      </c>
      <c r="N2606" s="23">
        <v>21.0</v>
      </c>
      <c r="O2606" s="23">
        <v>34.0</v>
      </c>
      <c r="P2606" s="23" t="s">
        <v>63</v>
      </c>
      <c r="Q2606" s="23">
        <v>20.0</v>
      </c>
      <c r="R2606" s="23">
        <v>14.0</v>
      </c>
      <c r="S2606" s="23" t="s">
        <v>63</v>
      </c>
      <c r="T2606" s="32" t="s">
        <v>63</v>
      </c>
      <c r="U2606" s="23">
        <v>157.0</v>
      </c>
      <c r="V2606" s="23" t="s">
        <v>63</v>
      </c>
      <c r="W2606" s="23" t="s">
        <v>63</v>
      </c>
      <c r="X2606" s="23" t="s">
        <v>63</v>
      </c>
      <c r="Y2606" s="35">
        <v>82.0</v>
      </c>
      <c r="Z2606" s="32" t="s">
        <v>63</v>
      </c>
      <c r="AA2606" s="38"/>
      <c r="AB2606" s="38"/>
      <c r="AC2606" s="38"/>
      <c r="AD2606" s="38"/>
      <c r="AE2606" s="38"/>
      <c r="AF2606" s="38"/>
      <c r="AG2606" s="38"/>
      <c r="AH2606" s="38"/>
      <c r="AI2606" s="38"/>
      <c r="AJ2606" s="38"/>
      <c r="AK2606" s="38"/>
    </row>
    <row r="2607">
      <c r="A2607" s="99">
        <v>2606.0</v>
      </c>
      <c r="B2607" s="15"/>
      <c r="C2607" s="15"/>
      <c r="D2607" s="105">
        <v>1.0</v>
      </c>
      <c r="E2607" s="102">
        <v>48.0</v>
      </c>
      <c r="F2607" s="107">
        <v>75.0</v>
      </c>
      <c r="G2607" s="15" t="str">
        <f t="shared" si="1"/>
        <v>48075</v>
      </c>
      <c r="H2607" s="23" t="s">
        <v>2034</v>
      </c>
      <c r="I2607" s="23" t="s">
        <v>113</v>
      </c>
      <c r="J2607" s="23" t="s">
        <v>219</v>
      </c>
      <c r="K2607" s="23" t="str">
        <f t="shared" si="44"/>
        <v>Childress, TX</v>
      </c>
      <c r="L2607" s="23">
        <v>4.0</v>
      </c>
      <c r="M2607" s="23" t="s">
        <v>63</v>
      </c>
      <c r="N2607" s="23">
        <v>1.0</v>
      </c>
      <c r="O2607" s="23">
        <v>0.0</v>
      </c>
      <c r="P2607" s="23" t="s">
        <v>63</v>
      </c>
      <c r="Q2607" s="23">
        <v>2.0</v>
      </c>
      <c r="R2607" s="23">
        <v>3.0</v>
      </c>
      <c r="S2607" s="23" t="s">
        <v>63</v>
      </c>
      <c r="T2607" s="32" t="s">
        <v>63</v>
      </c>
      <c r="U2607" s="23">
        <v>35.0</v>
      </c>
      <c r="V2607" s="23" t="s">
        <v>63</v>
      </c>
      <c r="W2607" s="23" t="s">
        <v>63</v>
      </c>
      <c r="X2607" s="23" t="s">
        <v>63</v>
      </c>
      <c r="Y2607" s="35">
        <v>7.0</v>
      </c>
      <c r="Z2607" s="32" t="s">
        <v>63</v>
      </c>
      <c r="AA2607" s="38"/>
      <c r="AB2607" s="38"/>
      <c r="AC2607" s="38"/>
      <c r="AD2607" s="38"/>
      <c r="AE2607" s="38"/>
      <c r="AF2607" s="38"/>
      <c r="AG2607" s="38"/>
      <c r="AH2607" s="38"/>
      <c r="AI2607" s="38"/>
      <c r="AJ2607" s="38"/>
      <c r="AK2607" s="38"/>
    </row>
    <row r="2608">
      <c r="A2608" s="99">
        <v>2607.0</v>
      </c>
      <c r="B2608" s="15"/>
      <c r="C2608" s="15"/>
      <c r="D2608" s="105">
        <v>1.0</v>
      </c>
      <c r="E2608" s="102">
        <v>48.0</v>
      </c>
      <c r="F2608" s="107">
        <v>77.0</v>
      </c>
      <c r="G2608" s="15" t="str">
        <f t="shared" si="1"/>
        <v>48077</v>
      </c>
      <c r="H2608" s="23" t="s">
        <v>112</v>
      </c>
      <c r="I2608" s="23" t="s">
        <v>113</v>
      </c>
      <c r="J2608" s="23" t="s">
        <v>219</v>
      </c>
      <c r="K2608" s="23" t="str">
        <f t="shared" si="44"/>
        <v>Clay, TX</v>
      </c>
      <c r="L2608" s="23">
        <v>6.0</v>
      </c>
      <c r="M2608" s="23" t="s">
        <v>63</v>
      </c>
      <c r="N2608" s="23">
        <v>3.0</v>
      </c>
      <c r="O2608" s="23">
        <v>2.0</v>
      </c>
      <c r="P2608" s="23" t="s">
        <v>63</v>
      </c>
      <c r="Q2608" s="23">
        <v>7.0</v>
      </c>
      <c r="R2608" s="23" t="s">
        <v>63</v>
      </c>
      <c r="S2608" s="23" t="s">
        <v>63</v>
      </c>
      <c r="T2608" s="32" t="s">
        <v>63</v>
      </c>
      <c r="U2608" s="23">
        <v>25.0</v>
      </c>
      <c r="V2608" s="23" t="s">
        <v>63</v>
      </c>
      <c r="W2608" s="23" t="s">
        <v>63</v>
      </c>
      <c r="X2608" s="23" t="s">
        <v>63</v>
      </c>
      <c r="Y2608" s="35">
        <v>18.0</v>
      </c>
      <c r="Z2608" s="32" t="s">
        <v>63</v>
      </c>
      <c r="AA2608" s="38"/>
      <c r="AB2608" s="38"/>
      <c r="AC2608" s="38"/>
      <c r="AD2608" s="38"/>
      <c r="AE2608" s="38"/>
      <c r="AF2608" s="38"/>
      <c r="AG2608" s="38"/>
      <c r="AH2608" s="38"/>
      <c r="AI2608" s="38"/>
      <c r="AJ2608" s="38"/>
      <c r="AK2608" s="38"/>
    </row>
    <row r="2609">
      <c r="A2609" s="99">
        <v>2608.0</v>
      </c>
      <c r="B2609" s="15"/>
      <c r="C2609" s="15"/>
      <c r="D2609" s="105">
        <v>1.0</v>
      </c>
      <c r="E2609" s="102">
        <v>48.0</v>
      </c>
      <c r="F2609" s="107">
        <v>79.0</v>
      </c>
      <c r="G2609" s="15" t="str">
        <f t="shared" si="1"/>
        <v>48079</v>
      </c>
      <c r="H2609" s="23" t="s">
        <v>2035</v>
      </c>
      <c r="I2609" s="23" t="s">
        <v>113</v>
      </c>
      <c r="J2609" s="23" t="s">
        <v>219</v>
      </c>
      <c r="K2609" s="23" t="str">
        <f t="shared" si="44"/>
        <v>Cochran, TX</v>
      </c>
      <c r="L2609" s="23">
        <v>1.0</v>
      </c>
      <c r="M2609" s="23" t="s">
        <v>63</v>
      </c>
      <c r="N2609" s="23">
        <v>0.0</v>
      </c>
      <c r="O2609" s="23">
        <v>0.0</v>
      </c>
      <c r="P2609" s="23" t="s">
        <v>63</v>
      </c>
      <c r="Q2609" s="23">
        <v>1.0</v>
      </c>
      <c r="R2609" s="23" t="s">
        <v>63</v>
      </c>
      <c r="S2609" s="23" t="s">
        <v>63</v>
      </c>
      <c r="T2609" s="32" t="s">
        <v>63</v>
      </c>
      <c r="U2609" s="23" t="s">
        <v>63</v>
      </c>
      <c r="V2609" s="23" t="s">
        <v>63</v>
      </c>
      <c r="W2609" s="23" t="s">
        <v>63</v>
      </c>
      <c r="X2609" s="23" t="s">
        <v>63</v>
      </c>
      <c r="Y2609" s="35">
        <v>10.0</v>
      </c>
      <c r="Z2609" s="32" t="s">
        <v>63</v>
      </c>
      <c r="AA2609" s="38"/>
      <c r="AB2609" s="38"/>
      <c r="AC2609" s="38"/>
      <c r="AD2609" s="38"/>
      <c r="AE2609" s="38"/>
      <c r="AF2609" s="38"/>
      <c r="AG2609" s="38"/>
      <c r="AH2609" s="38"/>
      <c r="AI2609" s="38"/>
      <c r="AJ2609" s="38"/>
      <c r="AK2609" s="38"/>
    </row>
    <row r="2610">
      <c r="A2610" s="99">
        <v>2609.0</v>
      </c>
      <c r="B2610" s="15"/>
      <c r="C2610" s="15"/>
      <c r="D2610" s="105">
        <v>1.0</v>
      </c>
      <c r="E2610" s="102">
        <v>48.0</v>
      </c>
      <c r="F2610" s="107">
        <v>81.0</v>
      </c>
      <c r="G2610" s="15" t="str">
        <f t="shared" si="1"/>
        <v>48081</v>
      </c>
      <c r="H2610" s="23" t="s">
        <v>2036</v>
      </c>
      <c r="I2610" s="23" t="s">
        <v>113</v>
      </c>
      <c r="J2610" s="23" t="s">
        <v>219</v>
      </c>
      <c r="K2610" s="23" t="str">
        <f t="shared" si="44"/>
        <v>Coke, TX</v>
      </c>
      <c r="L2610" s="23">
        <v>4.0</v>
      </c>
      <c r="M2610" s="23" t="s">
        <v>63</v>
      </c>
      <c r="N2610" s="23">
        <v>0.0</v>
      </c>
      <c r="O2610" s="23">
        <v>3.0</v>
      </c>
      <c r="P2610" s="23" t="s">
        <v>63</v>
      </c>
      <c r="Q2610" s="23" t="s">
        <v>63</v>
      </c>
      <c r="R2610" s="23" t="s">
        <v>63</v>
      </c>
      <c r="S2610" s="23" t="s">
        <v>63</v>
      </c>
      <c r="T2610" s="32" t="s">
        <v>63</v>
      </c>
      <c r="U2610" s="23">
        <v>3.0</v>
      </c>
      <c r="V2610" s="23" t="s">
        <v>63</v>
      </c>
      <c r="W2610" s="23" t="s">
        <v>63</v>
      </c>
      <c r="X2610" s="23" t="s">
        <v>63</v>
      </c>
      <c r="Y2610" s="35">
        <v>8.0</v>
      </c>
      <c r="Z2610" s="32" t="s">
        <v>63</v>
      </c>
      <c r="AA2610" s="38"/>
      <c r="AB2610" s="38"/>
      <c r="AC2610" s="38"/>
      <c r="AD2610" s="38"/>
      <c r="AE2610" s="38"/>
      <c r="AF2610" s="38"/>
      <c r="AG2610" s="38"/>
      <c r="AH2610" s="38"/>
      <c r="AI2610" s="38"/>
      <c r="AJ2610" s="38"/>
      <c r="AK2610" s="38"/>
    </row>
    <row r="2611">
      <c r="A2611" s="99">
        <v>2610.0</v>
      </c>
      <c r="B2611" s="15"/>
      <c r="C2611" s="15"/>
      <c r="D2611" s="105">
        <v>1.0</v>
      </c>
      <c r="E2611" s="102">
        <v>48.0</v>
      </c>
      <c r="F2611" s="107">
        <v>83.0</v>
      </c>
      <c r="G2611" s="15" t="str">
        <f t="shared" si="1"/>
        <v>48083</v>
      </c>
      <c r="H2611" s="23" t="s">
        <v>2037</v>
      </c>
      <c r="I2611" s="23" t="s">
        <v>113</v>
      </c>
      <c r="J2611" s="23" t="s">
        <v>219</v>
      </c>
      <c r="K2611" s="23" t="str">
        <f t="shared" si="44"/>
        <v>Coleman, TX</v>
      </c>
      <c r="L2611" s="23">
        <v>19.0</v>
      </c>
      <c r="M2611" s="23" t="s">
        <v>63</v>
      </c>
      <c r="N2611" s="23">
        <v>8.0</v>
      </c>
      <c r="O2611" s="23">
        <v>8.0</v>
      </c>
      <c r="P2611" s="23" t="s">
        <v>63</v>
      </c>
      <c r="Q2611" s="23">
        <v>7.0</v>
      </c>
      <c r="R2611" s="23">
        <v>2.0</v>
      </c>
      <c r="S2611" s="23" t="s">
        <v>63</v>
      </c>
      <c r="T2611" s="32" t="s">
        <v>63</v>
      </c>
      <c r="U2611" s="23">
        <v>18.0</v>
      </c>
      <c r="V2611" s="23" t="s">
        <v>63</v>
      </c>
      <c r="W2611" s="23" t="s">
        <v>63</v>
      </c>
      <c r="X2611" s="23" t="s">
        <v>63</v>
      </c>
      <c r="Y2611" s="35">
        <v>18.0</v>
      </c>
      <c r="Z2611" s="32" t="s">
        <v>63</v>
      </c>
      <c r="AA2611" s="38"/>
      <c r="AB2611" s="38"/>
      <c r="AC2611" s="38"/>
      <c r="AD2611" s="38"/>
      <c r="AE2611" s="38"/>
      <c r="AF2611" s="38"/>
      <c r="AG2611" s="38"/>
      <c r="AH2611" s="38"/>
      <c r="AI2611" s="38"/>
      <c r="AJ2611" s="38"/>
      <c r="AK2611" s="38"/>
    </row>
    <row r="2612">
      <c r="A2612" s="99">
        <v>2611.0</v>
      </c>
      <c r="B2612" s="15"/>
      <c r="C2612" s="15"/>
      <c r="D2612" s="105">
        <v>1.0</v>
      </c>
      <c r="E2612" s="102">
        <v>48.0</v>
      </c>
      <c r="F2612" s="107">
        <v>85.0</v>
      </c>
      <c r="G2612" s="15" t="str">
        <f t="shared" si="1"/>
        <v>48085</v>
      </c>
      <c r="H2612" s="23" t="s">
        <v>405</v>
      </c>
      <c r="I2612" s="23" t="s">
        <v>113</v>
      </c>
      <c r="J2612" s="23" t="s">
        <v>219</v>
      </c>
      <c r="K2612" s="23" t="str">
        <f t="shared" si="44"/>
        <v>Collin, TX</v>
      </c>
      <c r="L2612" s="23">
        <v>189.0</v>
      </c>
      <c r="M2612" s="23" t="s">
        <v>63</v>
      </c>
      <c r="N2612" s="23">
        <v>72.0</v>
      </c>
      <c r="O2612" s="23">
        <v>73.0</v>
      </c>
      <c r="P2612" s="23" t="s">
        <v>63</v>
      </c>
      <c r="Q2612" s="23">
        <v>200.0</v>
      </c>
      <c r="R2612" s="23">
        <v>35.0</v>
      </c>
      <c r="S2612" s="23" t="s">
        <v>63</v>
      </c>
      <c r="T2612" s="32" t="s">
        <v>63</v>
      </c>
      <c r="U2612" s="23">
        <v>602.0</v>
      </c>
      <c r="V2612" s="23" t="s">
        <v>63</v>
      </c>
      <c r="W2612" s="23" t="s">
        <v>63</v>
      </c>
      <c r="X2612" s="23" t="s">
        <v>63</v>
      </c>
      <c r="Y2612" s="35">
        <v>326.0</v>
      </c>
      <c r="Z2612" s="32" t="s">
        <v>63</v>
      </c>
      <c r="AA2612" s="38"/>
      <c r="AB2612" s="38"/>
      <c r="AC2612" s="38"/>
      <c r="AD2612" s="38"/>
      <c r="AE2612" s="38"/>
      <c r="AF2612" s="38"/>
      <c r="AG2612" s="38"/>
      <c r="AH2612" s="38"/>
      <c r="AI2612" s="38"/>
      <c r="AJ2612" s="38"/>
      <c r="AK2612" s="38"/>
    </row>
    <row r="2613">
      <c r="A2613" s="99">
        <v>2612.0</v>
      </c>
      <c r="B2613" s="15"/>
      <c r="C2613" s="15"/>
      <c r="D2613" s="105">
        <v>1.0</v>
      </c>
      <c r="E2613" s="102">
        <v>48.0</v>
      </c>
      <c r="F2613" s="107">
        <v>87.0</v>
      </c>
      <c r="G2613" s="15" t="str">
        <f t="shared" si="1"/>
        <v>48087</v>
      </c>
      <c r="H2613" s="23" t="s">
        <v>2038</v>
      </c>
      <c r="I2613" s="23" t="s">
        <v>113</v>
      </c>
      <c r="J2613" s="23" t="s">
        <v>219</v>
      </c>
      <c r="K2613" s="112" t="str">
        <f t="shared" si="44"/>
        <v>Collingsworth, TX</v>
      </c>
      <c r="L2613" s="23">
        <v>3.0</v>
      </c>
      <c r="M2613" s="23" t="s">
        <v>63</v>
      </c>
      <c r="N2613" s="23">
        <v>1.0</v>
      </c>
      <c r="O2613" s="23">
        <v>0.0</v>
      </c>
      <c r="P2613" s="23" t="s">
        <v>63</v>
      </c>
      <c r="Q2613" s="23" t="s">
        <v>63</v>
      </c>
      <c r="R2613" s="23" t="s">
        <v>63</v>
      </c>
      <c r="S2613" s="23" t="s">
        <v>63</v>
      </c>
      <c r="T2613" s="32" t="s">
        <v>63</v>
      </c>
      <c r="U2613" s="23">
        <v>15.0</v>
      </c>
      <c r="V2613" s="23" t="s">
        <v>63</v>
      </c>
      <c r="W2613" s="23" t="s">
        <v>63</v>
      </c>
      <c r="X2613" s="23" t="s">
        <v>63</v>
      </c>
      <c r="Y2613" s="35">
        <v>9.0</v>
      </c>
      <c r="Z2613" s="32" t="s">
        <v>63</v>
      </c>
      <c r="AA2613" s="38"/>
      <c r="AB2613" s="38"/>
      <c r="AC2613" s="38"/>
      <c r="AD2613" s="38"/>
      <c r="AE2613" s="38"/>
      <c r="AF2613" s="38"/>
      <c r="AG2613" s="38"/>
      <c r="AH2613" s="38"/>
      <c r="AI2613" s="38"/>
      <c r="AJ2613" s="38"/>
      <c r="AK2613" s="38"/>
    </row>
    <row r="2614">
      <c r="A2614" s="99">
        <v>2613.0</v>
      </c>
      <c r="B2614" s="15"/>
      <c r="C2614" s="15"/>
      <c r="D2614" s="105">
        <v>1.0</v>
      </c>
      <c r="E2614" s="102">
        <v>48.0</v>
      </c>
      <c r="F2614" s="107">
        <v>89.0</v>
      </c>
      <c r="G2614" s="15" t="str">
        <f t="shared" si="1"/>
        <v>48089</v>
      </c>
      <c r="H2614" s="23" t="s">
        <v>36</v>
      </c>
      <c r="I2614" s="23" t="s">
        <v>113</v>
      </c>
      <c r="J2614" s="23" t="s">
        <v>219</v>
      </c>
      <c r="K2614" s="23" t="str">
        <f t="shared" si="44"/>
        <v>Colorado, TX</v>
      </c>
      <c r="L2614" s="23">
        <v>1.0</v>
      </c>
      <c r="M2614" s="23" t="s">
        <v>63</v>
      </c>
      <c r="N2614" s="23">
        <v>0.0</v>
      </c>
      <c r="O2614" s="23">
        <v>0.0</v>
      </c>
      <c r="P2614" s="23" t="s">
        <v>63</v>
      </c>
      <c r="Q2614" s="23">
        <v>1.0</v>
      </c>
      <c r="R2614" s="23">
        <v>1.0</v>
      </c>
      <c r="S2614" s="23" t="s">
        <v>63</v>
      </c>
      <c r="T2614" s="32" t="s">
        <v>63</v>
      </c>
      <c r="U2614" s="23">
        <v>35.0</v>
      </c>
      <c r="V2614" s="23" t="s">
        <v>63</v>
      </c>
      <c r="W2614" s="23" t="s">
        <v>63</v>
      </c>
      <c r="X2614" s="23" t="s">
        <v>63</v>
      </c>
      <c r="Y2614" s="35">
        <v>33.0</v>
      </c>
      <c r="Z2614" s="32" t="s">
        <v>63</v>
      </c>
      <c r="AA2614" s="38"/>
      <c r="AB2614" s="38"/>
      <c r="AC2614" s="38"/>
      <c r="AD2614" s="38"/>
      <c r="AE2614" s="38"/>
      <c r="AF2614" s="38"/>
      <c r="AG2614" s="38"/>
      <c r="AH2614" s="38"/>
      <c r="AI2614" s="38"/>
      <c r="AJ2614" s="38"/>
      <c r="AK2614" s="38"/>
    </row>
    <row r="2615">
      <c r="A2615" s="99">
        <v>2614.0</v>
      </c>
      <c r="B2615" s="15"/>
      <c r="C2615" s="15"/>
      <c r="D2615" s="105">
        <v>1.0</v>
      </c>
      <c r="E2615" s="102">
        <v>48.0</v>
      </c>
      <c r="F2615" s="107">
        <v>91.0</v>
      </c>
      <c r="G2615" s="15" t="str">
        <f t="shared" si="1"/>
        <v>48091</v>
      </c>
      <c r="H2615" s="23" t="s">
        <v>2039</v>
      </c>
      <c r="I2615" s="23" t="s">
        <v>113</v>
      </c>
      <c r="J2615" s="23" t="s">
        <v>219</v>
      </c>
      <c r="K2615" s="23" t="str">
        <f t="shared" si="44"/>
        <v>Comal, TX</v>
      </c>
      <c r="L2615" s="23">
        <v>126.0</v>
      </c>
      <c r="M2615" s="23" t="s">
        <v>63</v>
      </c>
      <c r="N2615" s="23">
        <v>36.0</v>
      </c>
      <c r="O2615" s="23">
        <v>59.0</v>
      </c>
      <c r="P2615" s="23" t="s">
        <v>63</v>
      </c>
      <c r="Q2615" s="23">
        <v>87.0</v>
      </c>
      <c r="R2615" s="23">
        <v>39.0</v>
      </c>
      <c r="S2615" s="23" t="s">
        <v>63</v>
      </c>
      <c r="T2615" s="32" t="s">
        <v>63</v>
      </c>
      <c r="U2615" s="23">
        <v>355.0</v>
      </c>
      <c r="V2615" s="23" t="s">
        <v>63</v>
      </c>
      <c r="W2615" s="23" t="s">
        <v>63</v>
      </c>
      <c r="X2615" s="23" t="s">
        <v>63</v>
      </c>
      <c r="Y2615" s="35">
        <v>70.0</v>
      </c>
      <c r="Z2615" s="32" t="s">
        <v>63</v>
      </c>
      <c r="AA2615" s="38"/>
      <c r="AB2615" s="38"/>
      <c r="AC2615" s="38"/>
      <c r="AD2615" s="38"/>
      <c r="AE2615" s="38"/>
      <c r="AF2615" s="38"/>
      <c r="AG2615" s="38"/>
      <c r="AH2615" s="38"/>
      <c r="AI2615" s="38"/>
      <c r="AJ2615" s="38"/>
      <c r="AK2615" s="38"/>
    </row>
    <row r="2616">
      <c r="A2616" s="99">
        <v>2615.0</v>
      </c>
      <c r="B2616" s="15"/>
      <c r="C2616" s="15"/>
      <c r="D2616" s="105">
        <v>1.0</v>
      </c>
      <c r="E2616" s="102">
        <v>48.0</v>
      </c>
      <c r="F2616" s="107">
        <v>93.0</v>
      </c>
      <c r="G2616" s="15" t="str">
        <f t="shared" si="1"/>
        <v>48093</v>
      </c>
      <c r="H2616" s="23" t="s">
        <v>964</v>
      </c>
      <c r="I2616" s="23" t="s">
        <v>113</v>
      </c>
      <c r="J2616" s="23" t="s">
        <v>219</v>
      </c>
      <c r="K2616" s="23" t="str">
        <f t="shared" si="44"/>
        <v>Comanche, TX</v>
      </c>
      <c r="L2616" s="23">
        <v>46.0</v>
      </c>
      <c r="M2616" s="23" t="s">
        <v>63</v>
      </c>
      <c r="N2616" s="23">
        <v>18.0</v>
      </c>
      <c r="O2616" s="23">
        <v>15.0</v>
      </c>
      <c r="P2616" s="23" t="s">
        <v>63</v>
      </c>
      <c r="Q2616" s="23">
        <v>6.0</v>
      </c>
      <c r="R2616" s="23">
        <v>8.0</v>
      </c>
      <c r="S2616" s="23" t="s">
        <v>63</v>
      </c>
      <c r="T2616" s="32" t="s">
        <v>63</v>
      </c>
      <c r="U2616" s="23">
        <v>47.0</v>
      </c>
      <c r="V2616" s="23" t="s">
        <v>63</v>
      </c>
      <c r="W2616" s="23" t="s">
        <v>63</v>
      </c>
      <c r="X2616" s="23" t="s">
        <v>63</v>
      </c>
      <c r="Y2616" s="35">
        <v>19.0</v>
      </c>
      <c r="Z2616" s="32" t="s">
        <v>63</v>
      </c>
      <c r="AA2616" s="38"/>
      <c r="AB2616" s="38"/>
      <c r="AC2616" s="38"/>
      <c r="AD2616" s="38"/>
      <c r="AE2616" s="38"/>
      <c r="AF2616" s="38"/>
      <c r="AG2616" s="38"/>
      <c r="AH2616" s="38"/>
      <c r="AI2616" s="38"/>
      <c r="AJ2616" s="38"/>
      <c r="AK2616" s="38"/>
    </row>
    <row r="2617">
      <c r="A2617" s="99">
        <v>2616.0</v>
      </c>
      <c r="B2617" s="15"/>
      <c r="C2617" s="15"/>
      <c r="D2617" s="105">
        <v>1.0</v>
      </c>
      <c r="E2617" s="102">
        <v>48.0</v>
      </c>
      <c r="F2617" s="107">
        <v>95.0</v>
      </c>
      <c r="G2617" s="15" t="str">
        <f t="shared" si="1"/>
        <v>48095</v>
      </c>
      <c r="H2617" s="23" t="s">
        <v>2041</v>
      </c>
      <c r="I2617" s="23" t="s">
        <v>113</v>
      </c>
      <c r="J2617" s="23" t="s">
        <v>219</v>
      </c>
      <c r="K2617" s="23" t="str">
        <f t="shared" si="44"/>
        <v>Concho, TX</v>
      </c>
      <c r="L2617" s="23">
        <v>0.0</v>
      </c>
      <c r="M2617" s="23" t="s">
        <v>63</v>
      </c>
      <c r="N2617" s="23">
        <v>0.0</v>
      </c>
      <c r="O2617" s="23">
        <v>0.0</v>
      </c>
      <c r="P2617" s="23" t="s">
        <v>63</v>
      </c>
      <c r="Q2617" s="23" t="s">
        <v>63</v>
      </c>
      <c r="R2617" s="23" t="s">
        <v>63</v>
      </c>
      <c r="S2617" s="23" t="s">
        <v>63</v>
      </c>
      <c r="T2617" s="32" t="s">
        <v>63</v>
      </c>
      <c r="U2617" s="23" t="s">
        <v>63</v>
      </c>
      <c r="V2617" s="23" t="s">
        <v>63</v>
      </c>
      <c r="W2617" s="23" t="s">
        <v>63</v>
      </c>
      <c r="X2617" s="23" t="s">
        <v>63</v>
      </c>
      <c r="Y2617" s="35">
        <v>3.0</v>
      </c>
      <c r="Z2617" s="32" t="s">
        <v>63</v>
      </c>
      <c r="AA2617" s="38"/>
      <c r="AB2617" s="38"/>
      <c r="AC2617" s="38"/>
      <c r="AD2617" s="38"/>
      <c r="AE2617" s="38"/>
      <c r="AF2617" s="38"/>
      <c r="AG2617" s="38"/>
      <c r="AH2617" s="38"/>
      <c r="AI2617" s="38"/>
      <c r="AJ2617" s="38"/>
      <c r="AK2617" s="38"/>
    </row>
    <row r="2618">
      <c r="A2618" s="99">
        <v>2617.0</v>
      </c>
      <c r="B2618" s="15"/>
      <c r="C2618" s="15"/>
      <c r="D2618" s="105">
        <v>1.0</v>
      </c>
      <c r="E2618" s="102">
        <v>48.0</v>
      </c>
      <c r="F2618" s="107">
        <v>97.0</v>
      </c>
      <c r="G2618" s="15" t="str">
        <f t="shared" si="1"/>
        <v>48097</v>
      </c>
      <c r="H2618" s="23" t="s">
        <v>2042</v>
      </c>
      <c r="I2618" s="23" t="s">
        <v>113</v>
      </c>
      <c r="J2618" s="23" t="s">
        <v>219</v>
      </c>
      <c r="K2618" s="23" t="str">
        <f t="shared" si="44"/>
        <v>Cooke, TX</v>
      </c>
      <c r="L2618" s="23">
        <v>37.0</v>
      </c>
      <c r="M2618" s="23" t="s">
        <v>63</v>
      </c>
      <c r="N2618" s="23">
        <v>13.0</v>
      </c>
      <c r="O2618" s="23">
        <v>18.0</v>
      </c>
      <c r="P2618" s="23" t="s">
        <v>63</v>
      </c>
      <c r="Q2618" s="23">
        <v>6.0</v>
      </c>
      <c r="R2618" s="23">
        <v>8.0</v>
      </c>
      <c r="S2618" s="23" t="s">
        <v>63</v>
      </c>
      <c r="T2618" s="32" t="s">
        <v>63</v>
      </c>
      <c r="U2618" s="23">
        <v>116.0</v>
      </c>
      <c r="V2618" s="23" t="s">
        <v>63</v>
      </c>
      <c r="W2618" s="23" t="s">
        <v>63</v>
      </c>
      <c r="X2618" s="23" t="s">
        <v>63</v>
      </c>
      <c r="Y2618" s="35">
        <v>50.0</v>
      </c>
      <c r="Z2618" s="32" t="s">
        <v>63</v>
      </c>
      <c r="AA2618" s="38"/>
      <c r="AB2618" s="38"/>
      <c r="AC2618" s="38"/>
      <c r="AD2618" s="38"/>
      <c r="AE2618" s="38"/>
      <c r="AF2618" s="38"/>
      <c r="AG2618" s="38"/>
      <c r="AH2618" s="38"/>
      <c r="AI2618" s="38"/>
      <c r="AJ2618" s="38"/>
      <c r="AK2618" s="38"/>
    </row>
    <row r="2619">
      <c r="A2619" s="99">
        <v>2618.0</v>
      </c>
      <c r="B2619" s="15"/>
      <c r="C2619" s="15"/>
      <c r="D2619" s="105">
        <v>1.0</v>
      </c>
      <c r="E2619" s="102">
        <v>48.0</v>
      </c>
      <c r="F2619" s="107">
        <v>99.0</v>
      </c>
      <c r="G2619" s="15" t="str">
        <f t="shared" si="1"/>
        <v>48099</v>
      </c>
      <c r="H2619" s="23" t="s">
        <v>2043</v>
      </c>
      <c r="I2619" s="23" t="s">
        <v>113</v>
      </c>
      <c r="J2619" s="23" t="s">
        <v>219</v>
      </c>
      <c r="K2619" s="23" t="str">
        <f t="shared" si="44"/>
        <v>Coryell, TX</v>
      </c>
      <c r="L2619" s="23">
        <v>56.0</v>
      </c>
      <c r="M2619" s="23" t="s">
        <v>63</v>
      </c>
      <c r="N2619" s="23">
        <v>19.0</v>
      </c>
      <c r="O2619" s="23">
        <v>26.0</v>
      </c>
      <c r="P2619" s="23" t="s">
        <v>63</v>
      </c>
      <c r="Q2619" s="23">
        <v>21.0</v>
      </c>
      <c r="R2619" s="23">
        <v>6.0</v>
      </c>
      <c r="S2619" s="23" t="s">
        <v>63</v>
      </c>
      <c r="T2619" s="32" t="s">
        <v>63</v>
      </c>
      <c r="U2619" s="23">
        <v>219.0</v>
      </c>
      <c r="V2619" s="23" t="s">
        <v>63</v>
      </c>
      <c r="W2619" s="23" t="s">
        <v>63</v>
      </c>
      <c r="X2619" s="23" t="s">
        <v>63</v>
      </c>
      <c r="Y2619" s="35">
        <v>56.0</v>
      </c>
      <c r="Z2619" s="32" t="s">
        <v>63</v>
      </c>
      <c r="AA2619" s="38"/>
      <c r="AB2619" s="38"/>
      <c r="AC2619" s="38"/>
      <c r="AD2619" s="38"/>
      <c r="AE2619" s="38"/>
      <c r="AF2619" s="38"/>
      <c r="AG2619" s="38"/>
      <c r="AH2619" s="38"/>
      <c r="AI2619" s="38"/>
      <c r="AJ2619" s="38"/>
      <c r="AK2619" s="38"/>
    </row>
    <row r="2620">
      <c r="A2620" s="99">
        <v>2619.0</v>
      </c>
      <c r="B2620" s="15"/>
      <c r="C2620" s="15"/>
      <c r="D2620" s="105">
        <v>1.0</v>
      </c>
      <c r="E2620" s="102">
        <v>48.0</v>
      </c>
      <c r="F2620" s="107">
        <v>101.0</v>
      </c>
      <c r="G2620" s="15" t="str">
        <f t="shared" si="1"/>
        <v>48101</v>
      </c>
      <c r="H2620" s="23" t="s">
        <v>2044</v>
      </c>
      <c r="I2620" s="23" t="s">
        <v>113</v>
      </c>
      <c r="J2620" s="23" t="s">
        <v>219</v>
      </c>
      <c r="K2620" s="23" t="str">
        <f t="shared" si="44"/>
        <v>Cottle, TX</v>
      </c>
      <c r="L2620" s="23">
        <v>7.0</v>
      </c>
      <c r="M2620" s="23" t="s">
        <v>63</v>
      </c>
      <c r="N2620" s="23">
        <v>2.0</v>
      </c>
      <c r="O2620" s="23">
        <v>5.0</v>
      </c>
      <c r="P2620" s="23" t="s">
        <v>63</v>
      </c>
      <c r="Q2620" s="23" t="s">
        <v>63</v>
      </c>
      <c r="R2620" s="23" t="s">
        <v>63</v>
      </c>
      <c r="S2620" s="23" t="s">
        <v>63</v>
      </c>
      <c r="T2620" s="32" t="s">
        <v>63</v>
      </c>
      <c r="U2620" s="23" t="s">
        <v>63</v>
      </c>
      <c r="V2620" s="23" t="s">
        <v>63</v>
      </c>
      <c r="W2620" s="23" t="s">
        <v>63</v>
      </c>
      <c r="X2620" s="23" t="s">
        <v>63</v>
      </c>
      <c r="Y2620" s="35">
        <v>7.0</v>
      </c>
      <c r="Z2620" s="32" t="s">
        <v>63</v>
      </c>
      <c r="AA2620" s="38"/>
      <c r="AB2620" s="38"/>
      <c r="AC2620" s="38"/>
      <c r="AD2620" s="38"/>
      <c r="AE2620" s="38"/>
      <c r="AF2620" s="38"/>
      <c r="AG2620" s="38"/>
      <c r="AH2620" s="38"/>
      <c r="AI2620" s="38"/>
      <c r="AJ2620" s="38"/>
      <c r="AK2620" s="38"/>
    </row>
    <row r="2621">
      <c r="A2621" s="99">
        <v>2620.0</v>
      </c>
      <c r="B2621" s="15"/>
      <c r="C2621" s="15"/>
      <c r="D2621" s="105">
        <v>1.0</v>
      </c>
      <c r="E2621" s="102">
        <v>48.0</v>
      </c>
      <c r="F2621" s="107">
        <v>103.0</v>
      </c>
      <c r="G2621" s="15" t="str">
        <f t="shared" si="1"/>
        <v>48103</v>
      </c>
      <c r="H2621" s="23" t="s">
        <v>2046</v>
      </c>
      <c r="I2621" s="23" t="s">
        <v>113</v>
      </c>
      <c r="J2621" s="23" t="s">
        <v>219</v>
      </c>
      <c r="K2621" s="23" t="str">
        <f t="shared" si="44"/>
        <v>Crane, TX</v>
      </c>
      <c r="L2621" s="23">
        <v>0.0</v>
      </c>
      <c r="M2621" s="23" t="s">
        <v>63</v>
      </c>
      <c r="N2621" s="23">
        <v>0.0</v>
      </c>
      <c r="O2621" s="23">
        <v>0.0</v>
      </c>
      <c r="P2621" s="23" t="s">
        <v>63</v>
      </c>
      <c r="Q2621" s="23" t="s">
        <v>63</v>
      </c>
      <c r="R2621" s="23">
        <v>0.0</v>
      </c>
      <c r="S2621" s="23" t="s">
        <v>63</v>
      </c>
      <c r="T2621" s="32" t="s">
        <v>63</v>
      </c>
      <c r="U2621" s="23" t="s">
        <v>63</v>
      </c>
      <c r="V2621" s="23" t="s">
        <v>63</v>
      </c>
      <c r="W2621" s="23" t="s">
        <v>63</v>
      </c>
      <c r="X2621" s="23" t="s">
        <v>63</v>
      </c>
      <c r="Y2621" s="35">
        <v>6.0</v>
      </c>
      <c r="Z2621" s="32" t="s">
        <v>63</v>
      </c>
      <c r="AA2621" s="38"/>
      <c r="AB2621" s="38"/>
      <c r="AC2621" s="38"/>
      <c r="AD2621" s="38"/>
      <c r="AE2621" s="38"/>
      <c r="AF2621" s="38"/>
      <c r="AG2621" s="38"/>
      <c r="AH2621" s="38"/>
      <c r="AI2621" s="38"/>
      <c r="AJ2621" s="38"/>
      <c r="AK2621" s="38"/>
    </row>
    <row r="2622">
      <c r="A2622" s="99">
        <v>2621.0</v>
      </c>
      <c r="B2622" s="15"/>
      <c r="C2622" s="15"/>
      <c r="D2622" s="105">
        <v>1.0</v>
      </c>
      <c r="E2622" s="102">
        <v>48.0</v>
      </c>
      <c r="F2622" s="107">
        <v>105.0</v>
      </c>
      <c r="G2622" s="15" t="str">
        <f t="shared" si="1"/>
        <v>48105</v>
      </c>
      <c r="H2622" s="23" t="s">
        <v>1900</v>
      </c>
      <c r="I2622" s="23" t="s">
        <v>113</v>
      </c>
      <c r="J2622" s="23" t="s">
        <v>219</v>
      </c>
      <c r="K2622" s="23" t="str">
        <f t="shared" si="44"/>
        <v>Crockett, TX</v>
      </c>
      <c r="L2622" s="23">
        <v>4.0</v>
      </c>
      <c r="M2622" s="23" t="s">
        <v>63</v>
      </c>
      <c r="N2622" s="23">
        <v>2.0</v>
      </c>
      <c r="O2622" s="23">
        <v>1.0</v>
      </c>
      <c r="P2622" s="23" t="s">
        <v>63</v>
      </c>
      <c r="Q2622" s="23" t="s">
        <v>63</v>
      </c>
      <c r="R2622" s="23">
        <v>1.0</v>
      </c>
      <c r="S2622" s="23" t="s">
        <v>63</v>
      </c>
      <c r="T2622" s="32" t="s">
        <v>63</v>
      </c>
      <c r="U2622" s="23">
        <v>8.0</v>
      </c>
      <c r="V2622" s="23" t="s">
        <v>63</v>
      </c>
      <c r="W2622" s="23" t="s">
        <v>63</v>
      </c>
      <c r="X2622" s="23" t="s">
        <v>63</v>
      </c>
      <c r="Y2622" s="35">
        <v>6.0</v>
      </c>
      <c r="Z2622" s="32" t="s">
        <v>63</v>
      </c>
      <c r="AA2622" s="38"/>
      <c r="AB2622" s="38"/>
      <c r="AC2622" s="38"/>
      <c r="AD2622" s="38"/>
      <c r="AE2622" s="38"/>
      <c r="AF2622" s="38"/>
      <c r="AG2622" s="38"/>
      <c r="AH2622" s="38"/>
      <c r="AI2622" s="38"/>
      <c r="AJ2622" s="38"/>
      <c r="AK2622" s="38"/>
    </row>
    <row r="2623">
      <c r="A2623" s="99">
        <v>2622.0</v>
      </c>
      <c r="B2623" s="15"/>
      <c r="C2623" s="15"/>
      <c r="D2623" s="105">
        <v>1.0</v>
      </c>
      <c r="E2623" s="102">
        <v>48.0</v>
      </c>
      <c r="F2623" s="107">
        <v>107.0</v>
      </c>
      <c r="G2623" s="15" t="str">
        <f t="shared" si="1"/>
        <v>48107</v>
      </c>
      <c r="H2623" s="23" t="s">
        <v>2047</v>
      </c>
      <c r="I2623" s="23" t="s">
        <v>113</v>
      </c>
      <c r="J2623" s="23" t="s">
        <v>219</v>
      </c>
      <c r="K2623" s="23" t="str">
        <f t="shared" si="44"/>
        <v>Crosby, TX</v>
      </c>
      <c r="L2623" s="23">
        <v>6.0</v>
      </c>
      <c r="M2623" s="23" t="s">
        <v>63</v>
      </c>
      <c r="N2623" s="23">
        <v>0.0</v>
      </c>
      <c r="O2623" s="23">
        <v>6.0</v>
      </c>
      <c r="P2623" s="23" t="s">
        <v>63</v>
      </c>
      <c r="Q2623" s="23">
        <v>2.0</v>
      </c>
      <c r="R2623" s="23" t="s">
        <v>63</v>
      </c>
      <c r="S2623" s="23" t="s">
        <v>63</v>
      </c>
      <c r="T2623" s="32" t="s">
        <v>63</v>
      </c>
      <c r="U2623" s="23">
        <v>18.0</v>
      </c>
      <c r="V2623" s="23" t="s">
        <v>63</v>
      </c>
      <c r="W2623" s="23" t="s">
        <v>63</v>
      </c>
      <c r="X2623" s="23" t="s">
        <v>63</v>
      </c>
      <c r="Y2623" s="35">
        <v>19.0</v>
      </c>
      <c r="Z2623" s="32" t="s">
        <v>63</v>
      </c>
      <c r="AA2623" s="38"/>
      <c r="AB2623" s="38"/>
      <c r="AC2623" s="38"/>
      <c r="AD2623" s="38"/>
      <c r="AE2623" s="38"/>
      <c r="AF2623" s="38"/>
      <c r="AG2623" s="38"/>
      <c r="AH2623" s="38"/>
      <c r="AI2623" s="38"/>
      <c r="AJ2623" s="38"/>
      <c r="AK2623" s="38"/>
    </row>
    <row r="2624">
      <c r="A2624" s="99">
        <v>2623.0</v>
      </c>
      <c r="B2624" s="15"/>
      <c r="C2624" s="15"/>
      <c r="D2624" s="105">
        <v>1.0</v>
      </c>
      <c r="E2624" s="102">
        <v>48.0</v>
      </c>
      <c r="F2624" s="107">
        <v>109.0</v>
      </c>
      <c r="G2624" s="15" t="str">
        <f t="shared" si="1"/>
        <v>48109</v>
      </c>
      <c r="H2624" s="23" t="s">
        <v>2049</v>
      </c>
      <c r="I2624" s="23" t="s">
        <v>113</v>
      </c>
      <c r="J2624" s="23" t="s">
        <v>219</v>
      </c>
      <c r="K2624" s="23" t="str">
        <f t="shared" si="44"/>
        <v>Culberson, TX</v>
      </c>
      <c r="L2624" s="23">
        <v>13.0</v>
      </c>
      <c r="M2624" s="23" t="s">
        <v>63</v>
      </c>
      <c r="N2624" s="23">
        <v>8.0</v>
      </c>
      <c r="O2624" s="23">
        <v>1.0</v>
      </c>
      <c r="P2624" s="23" t="s">
        <v>63</v>
      </c>
      <c r="Q2624" s="23" t="s">
        <v>63</v>
      </c>
      <c r="R2624" s="23" t="s">
        <v>63</v>
      </c>
      <c r="S2624" s="23" t="s">
        <v>63</v>
      </c>
      <c r="T2624" s="32" t="s">
        <v>63</v>
      </c>
      <c r="U2624" s="23" t="s">
        <v>63</v>
      </c>
      <c r="V2624" s="23" t="s">
        <v>63</v>
      </c>
      <c r="W2624" s="23" t="s">
        <v>63</v>
      </c>
      <c r="X2624" s="23" t="s">
        <v>63</v>
      </c>
      <c r="Y2624" s="35">
        <v>4.0</v>
      </c>
      <c r="Z2624" s="32" t="s">
        <v>63</v>
      </c>
      <c r="AA2624" s="38"/>
      <c r="AB2624" s="38"/>
      <c r="AC2624" s="38"/>
      <c r="AD2624" s="38"/>
      <c r="AE2624" s="38"/>
      <c r="AF2624" s="38"/>
      <c r="AG2624" s="38"/>
      <c r="AH2624" s="38"/>
      <c r="AI2624" s="38"/>
      <c r="AJ2624" s="38"/>
      <c r="AK2624" s="38"/>
    </row>
    <row r="2625">
      <c r="A2625" s="99">
        <v>2624.0</v>
      </c>
      <c r="B2625" s="15"/>
      <c r="C2625" s="15"/>
      <c r="D2625" s="105">
        <v>1.0</v>
      </c>
      <c r="E2625" s="102">
        <v>48.0</v>
      </c>
      <c r="F2625" s="107">
        <v>111.0</v>
      </c>
      <c r="G2625" s="15" t="str">
        <f t="shared" si="1"/>
        <v>48111</v>
      </c>
      <c r="H2625" s="23" t="s">
        <v>2050</v>
      </c>
      <c r="I2625" s="23" t="s">
        <v>113</v>
      </c>
      <c r="J2625" s="23" t="s">
        <v>219</v>
      </c>
      <c r="K2625" s="23" t="str">
        <f t="shared" si="44"/>
        <v>Dallam, TX</v>
      </c>
      <c r="L2625" s="23">
        <v>27.0</v>
      </c>
      <c r="M2625" s="23" t="s">
        <v>63</v>
      </c>
      <c r="N2625" s="23">
        <v>14.0</v>
      </c>
      <c r="O2625" s="23">
        <v>6.0</v>
      </c>
      <c r="P2625" s="23" t="s">
        <v>63</v>
      </c>
      <c r="Q2625" s="23">
        <v>3.0</v>
      </c>
      <c r="R2625" s="23">
        <v>7.0</v>
      </c>
      <c r="S2625" s="23" t="s">
        <v>63</v>
      </c>
      <c r="T2625" s="32" t="s">
        <v>63</v>
      </c>
      <c r="U2625" s="23">
        <v>27.0</v>
      </c>
      <c r="V2625" s="23" t="s">
        <v>63</v>
      </c>
      <c r="W2625" s="23" t="s">
        <v>63</v>
      </c>
      <c r="X2625" s="23" t="s">
        <v>63</v>
      </c>
      <c r="Y2625" s="35">
        <v>16.0</v>
      </c>
      <c r="Z2625" s="32" t="s">
        <v>63</v>
      </c>
      <c r="AA2625" s="38"/>
      <c r="AB2625" s="38"/>
      <c r="AC2625" s="38"/>
      <c r="AD2625" s="38"/>
      <c r="AE2625" s="38"/>
      <c r="AF2625" s="38"/>
      <c r="AG2625" s="38"/>
      <c r="AH2625" s="38"/>
      <c r="AI2625" s="38"/>
      <c r="AJ2625" s="38"/>
      <c r="AK2625" s="38"/>
    </row>
    <row r="2626">
      <c r="A2626" s="99">
        <v>2625.0</v>
      </c>
      <c r="B2626" s="15"/>
      <c r="C2626" s="15"/>
      <c r="D2626" s="105">
        <v>1.0</v>
      </c>
      <c r="E2626" s="102">
        <v>48.0</v>
      </c>
      <c r="F2626" s="107">
        <v>113.0</v>
      </c>
      <c r="G2626" s="15" t="str">
        <f t="shared" si="1"/>
        <v>48113</v>
      </c>
      <c r="H2626" s="23" t="s">
        <v>130</v>
      </c>
      <c r="I2626" s="23" t="s">
        <v>113</v>
      </c>
      <c r="J2626" s="23" t="s">
        <v>219</v>
      </c>
      <c r="K2626" s="23" t="str">
        <f t="shared" si="44"/>
        <v>Dallas, TX</v>
      </c>
      <c r="L2626" s="23">
        <v>1212.0</v>
      </c>
      <c r="M2626" s="23" t="s">
        <v>63</v>
      </c>
      <c r="N2626" s="23">
        <v>535.0</v>
      </c>
      <c r="O2626" s="23">
        <v>485.0</v>
      </c>
      <c r="P2626" s="23" t="s">
        <v>63</v>
      </c>
      <c r="Q2626" s="23">
        <v>499.0</v>
      </c>
      <c r="R2626" s="23">
        <v>206.0</v>
      </c>
      <c r="S2626" s="23" t="s">
        <v>63</v>
      </c>
      <c r="T2626" s="32" t="s">
        <v>63</v>
      </c>
      <c r="U2626" s="23">
        <v>3426.0</v>
      </c>
      <c r="V2626" s="23" t="s">
        <v>63</v>
      </c>
      <c r="W2626" s="23" t="s">
        <v>63</v>
      </c>
      <c r="X2626" s="23" t="s">
        <v>63</v>
      </c>
      <c r="Y2626" s="35">
        <v>1368.0</v>
      </c>
      <c r="Z2626" s="32" t="s">
        <v>63</v>
      </c>
      <c r="AA2626" s="38"/>
      <c r="AB2626" s="38"/>
      <c r="AC2626" s="38"/>
      <c r="AD2626" s="38"/>
      <c r="AE2626" s="38"/>
      <c r="AF2626" s="38"/>
      <c r="AG2626" s="38"/>
      <c r="AH2626" s="38"/>
      <c r="AI2626" s="38"/>
      <c r="AJ2626" s="38"/>
      <c r="AK2626" s="38"/>
    </row>
    <row r="2627">
      <c r="A2627" s="99">
        <v>2626.0</v>
      </c>
      <c r="B2627" s="15"/>
      <c r="C2627" s="15"/>
      <c r="D2627" s="105">
        <v>1.0</v>
      </c>
      <c r="E2627" s="102">
        <v>48.0</v>
      </c>
      <c r="F2627" s="107">
        <v>115.0</v>
      </c>
      <c r="G2627" s="15" t="str">
        <f t="shared" si="1"/>
        <v>48115</v>
      </c>
      <c r="H2627" s="23" t="s">
        <v>562</v>
      </c>
      <c r="I2627" s="23" t="s">
        <v>113</v>
      </c>
      <c r="J2627" s="23" t="s">
        <v>219</v>
      </c>
      <c r="K2627" s="23" t="str">
        <f t="shared" si="44"/>
        <v>Dawson, TX</v>
      </c>
      <c r="L2627" s="23">
        <v>8.0</v>
      </c>
      <c r="M2627" s="23" t="s">
        <v>63</v>
      </c>
      <c r="N2627" s="23">
        <v>4.0</v>
      </c>
      <c r="O2627" s="23">
        <v>4.0</v>
      </c>
      <c r="P2627" s="23" t="s">
        <v>63</v>
      </c>
      <c r="Q2627" s="23">
        <v>2.0</v>
      </c>
      <c r="R2627" s="23">
        <v>0.0</v>
      </c>
      <c r="S2627" s="23" t="s">
        <v>63</v>
      </c>
      <c r="T2627" s="32" t="s">
        <v>63</v>
      </c>
      <c r="U2627" s="23">
        <v>18.0</v>
      </c>
      <c r="V2627" s="23" t="s">
        <v>63</v>
      </c>
      <c r="W2627" s="23" t="s">
        <v>63</v>
      </c>
      <c r="X2627" s="23" t="s">
        <v>63</v>
      </c>
      <c r="Y2627" s="35">
        <v>25.0</v>
      </c>
      <c r="Z2627" s="32" t="s">
        <v>63</v>
      </c>
      <c r="AA2627" s="38"/>
      <c r="AB2627" s="38"/>
      <c r="AC2627" s="38"/>
      <c r="AD2627" s="38"/>
      <c r="AE2627" s="38"/>
      <c r="AF2627" s="38"/>
      <c r="AG2627" s="38"/>
      <c r="AH2627" s="38"/>
      <c r="AI2627" s="38"/>
      <c r="AJ2627" s="38"/>
      <c r="AK2627" s="38"/>
    </row>
    <row r="2628">
      <c r="A2628" s="99">
        <v>2627.0</v>
      </c>
      <c r="B2628" s="15"/>
      <c r="C2628" s="15"/>
      <c r="D2628" s="105">
        <v>1.0</v>
      </c>
      <c r="E2628" s="102">
        <v>48.0</v>
      </c>
      <c r="F2628" s="107">
        <v>117.0</v>
      </c>
      <c r="G2628" s="15" t="str">
        <f t="shared" si="1"/>
        <v>48117</v>
      </c>
      <c r="H2628" s="23" t="s">
        <v>2052</v>
      </c>
      <c r="I2628" s="23" t="s">
        <v>113</v>
      </c>
      <c r="J2628" s="23" t="s">
        <v>219</v>
      </c>
      <c r="K2628" s="23" t="str">
        <f t="shared" si="44"/>
        <v>Deaf Smith, TX</v>
      </c>
      <c r="L2628" s="23">
        <v>8.0</v>
      </c>
      <c r="M2628" s="23" t="s">
        <v>63</v>
      </c>
      <c r="N2628" s="23">
        <v>2.0</v>
      </c>
      <c r="O2628" s="23">
        <v>4.0</v>
      </c>
      <c r="P2628" s="23" t="s">
        <v>63</v>
      </c>
      <c r="Q2628" s="23">
        <v>2.0</v>
      </c>
      <c r="R2628" s="23">
        <v>2.0</v>
      </c>
      <c r="S2628" s="23" t="s">
        <v>63</v>
      </c>
      <c r="T2628" s="32" t="s">
        <v>63</v>
      </c>
      <c r="U2628" s="23">
        <v>64.0</v>
      </c>
      <c r="V2628" s="23" t="s">
        <v>63</v>
      </c>
      <c r="W2628" s="23" t="s">
        <v>63</v>
      </c>
      <c r="X2628" s="23" t="s">
        <v>63</v>
      </c>
      <c r="Y2628" s="35">
        <v>19.0</v>
      </c>
      <c r="Z2628" s="32" t="s">
        <v>63</v>
      </c>
      <c r="AA2628" s="38"/>
      <c r="AB2628" s="38"/>
      <c r="AC2628" s="38"/>
      <c r="AD2628" s="38"/>
      <c r="AE2628" s="38"/>
      <c r="AF2628" s="38"/>
      <c r="AG2628" s="38"/>
      <c r="AH2628" s="38"/>
      <c r="AI2628" s="38"/>
      <c r="AJ2628" s="38"/>
      <c r="AK2628" s="38"/>
    </row>
    <row r="2629">
      <c r="A2629" s="99">
        <v>2628.0</v>
      </c>
      <c r="B2629" s="15"/>
      <c r="C2629" s="15"/>
      <c r="D2629" s="105">
        <v>1.0</v>
      </c>
      <c r="E2629" s="102">
        <v>48.0</v>
      </c>
      <c r="F2629" s="107">
        <v>119.0</v>
      </c>
      <c r="G2629" s="15" t="str">
        <f t="shared" si="1"/>
        <v>48119</v>
      </c>
      <c r="H2629" s="23" t="s">
        <v>407</v>
      </c>
      <c r="I2629" s="23" t="s">
        <v>113</v>
      </c>
      <c r="J2629" s="23" t="s">
        <v>219</v>
      </c>
      <c r="K2629" s="23" t="str">
        <f t="shared" si="44"/>
        <v>Delta, TX</v>
      </c>
      <c r="L2629" s="23">
        <v>2.0</v>
      </c>
      <c r="M2629" s="23" t="s">
        <v>63</v>
      </c>
      <c r="N2629" s="23">
        <v>1.0</v>
      </c>
      <c r="O2629" s="23">
        <v>0.0</v>
      </c>
      <c r="P2629" s="23" t="s">
        <v>63</v>
      </c>
      <c r="Q2629" s="23">
        <v>4.0</v>
      </c>
      <c r="R2629" s="23" t="s">
        <v>63</v>
      </c>
      <c r="S2629" s="23" t="s">
        <v>63</v>
      </c>
      <c r="T2629" s="32" t="s">
        <v>63</v>
      </c>
      <c r="U2629" s="23" t="s">
        <v>63</v>
      </c>
      <c r="V2629" s="23" t="s">
        <v>63</v>
      </c>
      <c r="W2629" s="23" t="s">
        <v>63</v>
      </c>
      <c r="X2629" s="23" t="s">
        <v>63</v>
      </c>
      <c r="Y2629" s="35">
        <v>11.0</v>
      </c>
      <c r="Z2629" s="32" t="s">
        <v>63</v>
      </c>
      <c r="AA2629" s="38"/>
      <c r="AB2629" s="38"/>
      <c r="AC2629" s="38"/>
      <c r="AD2629" s="38"/>
      <c r="AE2629" s="38"/>
      <c r="AF2629" s="38"/>
      <c r="AG2629" s="38"/>
      <c r="AH2629" s="38"/>
      <c r="AI2629" s="38"/>
      <c r="AJ2629" s="38"/>
      <c r="AK2629" s="38"/>
    </row>
    <row r="2630">
      <c r="A2630" s="99">
        <v>2629.0</v>
      </c>
      <c r="B2630" s="15"/>
      <c r="C2630" s="15"/>
      <c r="D2630" s="105">
        <v>1.0</v>
      </c>
      <c r="E2630" s="102">
        <v>48.0</v>
      </c>
      <c r="F2630" s="107">
        <v>121.0</v>
      </c>
      <c r="G2630" s="15" t="str">
        <f t="shared" si="1"/>
        <v>48121</v>
      </c>
      <c r="H2630" s="23" t="s">
        <v>485</v>
      </c>
      <c r="I2630" s="23" t="s">
        <v>113</v>
      </c>
      <c r="J2630" s="23" t="s">
        <v>219</v>
      </c>
      <c r="K2630" s="23" t="str">
        <f t="shared" si="44"/>
        <v>Denton, TX</v>
      </c>
      <c r="L2630" s="23">
        <v>292.0</v>
      </c>
      <c r="M2630" s="23" t="s">
        <v>63</v>
      </c>
      <c r="N2630" s="23">
        <v>134.0</v>
      </c>
      <c r="O2630" s="23">
        <v>106.0</v>
      </c>
      <c r="P2630" s="23" t="s">
        <v>63</v>
      </c>
      <c r="Q2630" s="23">
        <v>209.0</v>
      </c>
      <c r="R2630" s="23">
        <v>79.0</v>
      </c>
      <c r="S2630" s="23" t="s">
        <v>63</v>
      </c>
      <c r="T2630" s="32" t="s">
        <v>63</v>
      </c>
      <c r="U2630" s="23">
        <v>932.0</v>
      </c>
      <c r="V2630" s="23" t="s">
        <v>63</v>
      </c>
      <c r="W2630" s="23" t="s">
        <v>63</v>
      </c>
      <c r="X2630" s="23" t="s">
        <v>63</v>
      </c>
      <c r="Y2630" s="35">
        <v>306.0</v>
      </c>
      <c r="Z2630" s="32" t="s">
        <v>63</v>
      </c>
      <c r="AA2630" s="38"/>
      <c r="AB2630" s="38"/>
      <c r="AC2630" s="38"/>
      <c r="AD2630" s="38"/>
      <c r="AE2630" s="38"/>
      <c r="AF2630" s="38"/>
      <c r="AG2630" s="38"/>
      <c r="AH2630" s="38"/>
      <c r="AI2630" s="38"/>
      <c r="AJ2630" s="38"/>
      <c r="AK2630" s="38"/>
    </row>
    <row r="2631">
      <c r="A2631" s="99">
        <v>2630.0</v>
      </c>
      <c r="B2631" s="15"/>
      <c r="C2631" s="15"/>
      <c r="D2631" s="105">
        <v>1.0</v>
      </c>
      <c r="E2631" s="102">
        <v>48.0</v>
      </c>
      <c r="F2631" s="107">
        <v>123.0</v>
      </c>
      <c r="G2631" s="15" t="str">
        <f t="shared" si="1"/>
        <v>48123</v>
      </c>
      <c r="H2631" s="23" t="s">
        <v>2055</v>
      </c>
      <c r="I2631" s="23" t="s">
        <v>113</v>
      </c>
      <c r="J2631" s="23" t="s">
        <v>219</v>
      </c>
      <c r="K2631" s="23" t="str">
        <f t="shared" si="44"/>
        <v>De Witt, TX</v>
      </c>
      <c r="L2631" s="23">
        <v>23.0</v>
      </c>
      <c r="M2631" s="23" t="s">
        <v>63</v>
      </c>
      <c r="N2631" s="23">
        <v>5.0</v>
      </c>
      <c r="O2631" s="23">
        <v>8.0</v>
      </c>
      <c r="P2631" s="23" t="s">
        <v>63</v>
      </c>
      <c r="Q2631" s="23" t="s">
        <v>63</v>
      </c>
      <c r="R2631" s="23">
        <v>8.0</v>
      </c>
      <c r="S2631" s="23" t="s">
        <v>63</v>
      </c>
      <c r="T2631" s="32" t="s">
        <v>63</v>
      </c>
      <c r="U2631" s="23">
        <v>39.0</v>
      </c>
      <c r="V2631" s="23" t="s">
        <v>63</v>
      </c>
      <c r="W2631" s="23" t="s">
        <v>63</v>
      </c>
      <c r="X2631" s="23" t="s">
        <v>63</v>
      </c>
      <c r="Y2631" s="35">
        <v>24.0</v>
      </c>
      <c r="Z2631" s="32" t="s">
        <v>63</v>
      </c>
      <c r="AA2631" s="38"/>
      <c r="AB2631" s="38"/>
      <c r="AC2631" s="38"/>
      <c r="AD2631" s="38"/>
      <c r="AE2631" s="38"/>
      <c r="AF2631" s="38"/>
      <c r="AG2631" s="38"/>
      <c r="AH2631" s="38"/>
      <c r="AI2631" s="38"/>
      <c r="AJ2631" s="38"/>
      <c r="AK2631" s="38"/>
    </row>
    <row r="2632">
      <c r="A2632" s="99">
        <v>2631.0</v>
      </c>
      <c r="B2632" s="15"/>
      <c r="C2632" s="15"/>
      <c r="D2632" s="105">
        <v>1.0</v>
      </c>
      <c r="E2632" s="102">
        <v>48.0</v>
      </c>
      <c r="F2632" s="107">
        <v>125.0</v>
      </c>
      <c r="G2632" s="15" t="str">
        <f t="shared" si="1"/>
        <v>48125</v>
      </c>
      <c r="H2632" s="23" t="s">
        <v>2056</v>
      </c>
      <c r="I2632" s="23" t="s">
        <v>113</v>
      </c>
      <c r="J2632" s="23" t="s">
        <v>219</v>
      </c>
      <c r="K2632" s="23" t="str">
        <f t="shared" si="44"/>
        <v>Dickens, TX</v>
      </c>
      <c r="L2632" s="23">
        <v>0.0</v>
      </c>
      <c r="M2632" s="23" t="s">
        <v>63</v>
      </c>
      <c r="N2632" s="23">
        <v>0.0</v>
      </c>
      <c r="O2632" s="23">
        <v>0.0</v>
      </c>
      <c r="P2632" s="23" t="s">
        <v>63</v>
      </c>
      <c r="Q2632" s="23">
        <v>1.0</v>
      </c>
      <c r="R2632" s="23" t="s">
        <v>63</v>
      </c>
      <c r="S2632" s="23" t="s">
        <v>63</v>
      </c>
      <c r="T2632" s="32" t="s">
        <v>63</v>
      </c>
      <c r="U2632" s="23" t="s">
        <v>63</v>
      </c>
      <c r="V2632" s="23" t="s">
        <v>63</v>
      </c>
      <c r="W2632" s="23" t="s">
        <v>63</v>
      </c>
      <c r="X2632" s="23" t="s">
        <v>63</v>
      </c>
      <c r="Y2632" s="35">
        <v>5.0</v>
      </c>
      <c r="Z2632" s="32" t="s">
        <v>63</v>
      </c>
      <c r="AA2632" s="38"/>
      <c r="AB2632" s="38"/>
      <c r="AC2632" s="38"/>
      <c r="AD2632" s="38"/>
      <c r="AE2632" s="38"/>
      <c r="AF2632" s="38"/>
      <c r="AG2632" s="38"/>
      <c r="AH2632" s="38"/>
      <c r="AI2632" s="38"/>
      <c r="AJ2632" s="38"/>
      <c r="AK2632" s="38"/>
    </row>
    <row r="2633">
      <c r="A2633" s="99">
        <v>2632.0</v>
      </c>
      <c r="B2633" s="15"/>
      <c r="C2633" s="15"/>
      <c r="D2633" s="105">
        <v>1.0</v>
      </c>
      <c r="E2633" s="102">
        <v>48.0</v>
      </c>
      <c r="F2633" s="107">
        <v>127.0</v>
      </c>
      <c r="G2633" s="15" t="str">
        <f t="shared" si="1"/>
        <v>48127</v>
      </c>
      <c r="H2633" s="23" t="s">
        <v>2057</v>
      </c>
      <c r="I2633" s="23" t="s">
        <v>113</v>
      </c>
      <c r="J2633" s="23" t="s">
        <v>219</v>
      </c>
      <c r="K2633" s="23" t="str">
        <f t="shared" si="44"/>
        <v>Dimmit, TX</v>
      </c>
      <c r="L2633" s="23">
        <v>20.0</v>
      </c>
      <c r="M2633" s="23" t="s">
        <v>63</v>
      </c>
      <c r="N2633" s="23">
        <v>1.0</v>
      </c>
      <c r="O2633" s="23">
        <v>15.0</v>
      </c>
      <c r="P2633" s="23" t="s">
        <v>63</v>
      </c>
      <c r="Q2633" s="23">
        <v>1.0</v>
      </c>
      <c r="R2633" s="23">
        <v>0.0</v>
      </c>
      <c r="S2633" s="23" t="s">
        <v>63</v>
      </c>
      <c r="T2633" s="32" t="s">
        <v>63</v>
      </c>
      <c r="U2633" s="23">
        <v>43.0</v>
      </c>
      <c r="V2633" s="23" t="s">
        <v>63</v>
      </c>
      <c r="W2633" s="23" t="s">
        <v>63</v>
      </c>
      <c r="X2633" s="23" t="s">
        <v>63</v>
      </c>
      <c r="Y2633" s="35">
        <v>7.0</v>
      </c>
      <c r="Z2633" s="32" t="s">
        <v>63</v>
      </c>
      <c r="AA2633" s="38"/>
      <c r="AB2633" s="38"/>
      <c r="AC2633" s="38"/>
      <c r="AD2633" s="38"/>
      <c r="AE2633" s="38"/>
      <c r="AF2633" s="38"/>
      <c r="AG2633" s="38"/>
      <c r="AH2633" s="38"/>
      <c r="AI2633" s="38"/>
      <c r="AJ2633" s="38"/>
      <c r="AK2633" s="38"/>
    </row>
    <row r="2634">
      <c r="A2634" s="99">
        <v>2633.0</v>
      </c>
      <c r="B2634" s="15"/>
      <c r="C2634" s="15"/>
      <c r="D2634" s="105">
        <v>1.0</v>
      </c>
      <c r="E2634" s="102">
        <v>48.0</v>
      </c>
      <c r="F2634" s="107">
        <v>129.0</v>
      </c>
      <c r="G2634" s="15" t="str">
        <f t="shared" si="1"/>
        <v>48129</v>
      </c>
      <c r="H2634" s="23" t="s">
        <v>2059</v>
      </c>
      <c r="I2634" s="23" t="s">
        <v>113</v>
      </c>
      <c r="J2634" s="23" t="s">
        <v>219</v>
      </c>
      <c r="K2634" s="23" t="str">
        <f t="shared" si="44"/>
        <v>Donley, TX</v>
      </c>
      <c r="L2634" s="23">
        <v>0.0</v>
      </c>
      <c r="M2634" s="23" t="s">
        <v>63</v>
      </c>
      <c r="N2634" s="23">
        <v>0.0</v>
      </c>
      <c r="O2634" s="23">
        <v>0.0</v>
      </c>
      <c r="P2634" s="23" t="s">
        <v>63</v>
      </c>
      <c r="Q2634" s="23">
        <v>2.0</v>
      </c>
      <c r="R2634" s="23">
        <v>0.0</v>
      </c>
      <c r="S2634" s="23" t="s">
        <v>63</v>
      </c>
      <c r="T2634" s="32" t="s">
        <v>63</v>
      </c>
      <c r="U2634" s="23">
        <v>17.0</v>
      </c>
      <c r="V2634" s="23" t="s">
        <v>63</v>
      </c>
      <c r="W2634" s="23" t="s">
        <v>63</v>
      </c>
      <c r="X2634" s="23" t="s">
        <v>63</v>
      </c>
      <c r="Y2634" s="35">
        <v>9.0</v>
      </c>
      <c r="Z2634" s="32" t="s">
        <v>63</v>
      </c>
      <c r="AA2634" s="38"/>
      <c r="AB2634" s="38"/>
      <c r="AC2634" s="38"/>
      <c r="AD2634" s="38"/>
      <c r="AE2634" s="38"/>
      <c r="AF2634" s="38"/>
      <c r="AG2634" s="38"/>
      <c r="AH2634" s="38"/>
      <c r="AI2634" s="38"/>
      <c r="AJ2634" s="38"/>
      <c r="AK2634" s="38"/>
    </row>
    <row r="2635">
      <c r="A2635" s="99">
        <v>2634.0</v>
      </c>
      <c r="B2635" s="15"/>
      <c r="C2635" s="15"/>
      <c r="D2635" s="105">
        <v>1.0</v>
      </c>
      <c r="E2635" s="102">
        <v>48.0</v>
      </c>
      <c r="F2635" s="107">
        <v>131.0</v>
      </c>
      <c r="G2635" s="15" t="str">
        <f t="shared" si="1"/>
        <v>48131</v>
      </c>
      <c r="H2635" s="23" t="s">
        <v>433</v>
      </c>
      <c r="I2635" s="23" t="s">
        <v>113</v>
      </c>
      <c r="J2635" s="23" t="s">
        <v>219</v>
      </c>
      <c r="K2635" s="23" t="str">
        <f t="shared" si="44"/>
        <v>Duval, TX</v>
      </c>
      <c r="L2635" s="23">
        <v>39.0</v>
      </c>
      <c r="M2635" s="23" t="s">
        <v>63</v>
      </c>
      <c r="N2635" s="23">
        <v>17.0</v>
      </c>
      <c r="O2635" s="23">
        <v>16.0</v>
      </c>
      <c r="P2635" s="23" t="s">
        <v>63</v>
      </c>
      <c r="Q2635" s="23">
        <v>1.0</v>
      </c>
      <c r="R2635" s="23">
        <v>14.0</v>
      </c>
      <c r="S2635" s="23" t="s">
        <v>63</v>
      </c>
      <c r="T2635" s="32" t="s">
        <v>63</v>
      </c>
      <c r="U2635" s="23">
        <v>68.0</v>
      </c>
      <c r="V2635" s="23" t="s">
        <v>63</v>
      </c>
      <c r="W2635" s="23" t="s">
        <v>63</v>
      </c>
      <c r="X2635" s="23" t="s">
        <v>63</v>
      </c>
      <c r="Y2635" s="35">
        <v>6.0</v>
      </c>
      <c r="Z2635" s="32" t="s">
        <v>63</v>
      </c>
      <c r="AA2635" s="38"/>
      <c r="AB2635" s="38"/>
      <c r="AC2635" s="38"/>
      <c r="AD2635" s="38"/>
      <c r="AE2635" s="38"/>
      <c r="AF2635" s="38"/>
      <c r="AG2635" s="38"/>
      <c r="AH2635" s="38"/>
      <c r="AI2635" s="38"/>
      <c r="AJ2635" s="38"/>
      <c r="AK2635" s="38"/>
    </row>
    <row r="2636">
      <c r="A2636" s="99">
        <v>2635.0</v>
      </c>
      <c r="B2636" s="15"/>
      <c r="C2636" s="15"/>
      <c r="D2636" s="105">
        <v>1.0</v>
      </c>
      <c r="E2636" s="102">
        <v>48.0</v>
      </c>
      <c r="F2636" s="107">
        <v>133.0</v>
      </c>
      <c r="G2636" s="15" t="str">
        <f t="shared" si="1"/>
        <v>48133</v>
      </c>
      <c r="H2636" s="23" t="s">
        <v>2061</v>
      </c>
      <c r="I2636" s="23" t="s">
        <v>113</v>
      </c>
      <c r="J2636" s="23" t="s">
        <v>219</v>
      </c>
      <c r="K2636" s="23" t="str">
        <f t="shared" si="44"/>
        <v>Eastland, TX</v>
      </c>
      <c r="L2636" s="23">
        <v>31.0</v>
      </c>
      <c r="M2636" s="23" t="s">
        <v>63</v>
      </c>
      <c r="N2636" s="23">
        <v>18.0</v>
      </c>
      <c r="O2636" s="23">
        <v>7.0</v>
      </c>
      <c r="P2636" s="23" t="s">
        <v>63</v>
      </c>
      <c r="Q2636" s="23">
        <v>5.0</v>
      </c>
      <c r="R2636" s="23">
        <v>8.0</v>
      </c>
      <c r="S2636" s="23" t="s">
        <v>63</v>
      </c>
      <c r="T2636" s="32" t="s">
        <v>63</v>
      </c>
      <c r="U2636" s="23">
        <v>68.0</v>
      </c>
      <c r="V2636" s="23" t="s">
        <v>63</v>
      </c>
      <c r="W2636" s="23" t="s">
        <v>63</v>
      </c>
      <c r="X2636" s="23" t="s">
        <v>63</v>
      </c>
      <c r="Y2636" s="35">
        <v>29.0</v>
      </c>
      <c r="Z2636" s="32" t="s">
        <v>63</v>
      </c>
      <c r="AA2636" s="38"/>
      <c r="AB2636" s="38"/>
      <c r="AC2636" s="38"/>
      <c r="AD2636" s="38"/>
      <c r="AE2636" s="38"/>
      <c r="AF2636" s="38"/>
      <c r="AG2636" s="38"/>
      <c r="AH2636" s="38"/>
      <c r="AI2636" s="38"/>
      <c r="AJ2636" s="38"/>
      <c r="AK2636" s="38"/>
    </row>
    <row r="2637">
      <c r="A2637" s="99">
        <v>2636.0</v>
      </c>
      <c r="B2637" s="15"/>
      <c r="C2637" s="15"/>
      <c r="D2637" s="105">
        <v>1.0</v>
      </c>
      <c r="E2637" s="102">
        <v>48.0</v>
      </c>
      <c r="F2637" s="107">
        <v>135.0</v>
      </c>
      <c r="G2637" s="15" t="str">
        <f t="shared" si="1"/>
        <v>48135</v>
      </c>
      <c r="H2637" s="23" t="s">
        <v>2062</v>
      </c>
      <c r="I2637" s="23" t="s">
        <v>113</v>
      </c>
      <c r="J2637" s="23" t="s">
        <v>219</v>
      </c>
      <c r="K2637" s="23" t="str">
        <f t="shared" si="44"/>
        <v>Ector, TX</v>
      </c>
      <c r="L2637" s="23">
        <v>186.0</v>
      </c>
      <c r="M2637" s="23" t="s">
        <v>63</v>
      </c>
      <c r="N2637" s="23">
        <v>63.0</v>
      </c>
      <c r="O2637" s="23">
        <v>87.0</v>
      </c>
      <c r="P2637" s="23" t="s">
        <v>63</v>
      </c>
      <c r="Q2637" s="23">
        <v>22.0</v>
      </c>
      <c r="R2637" s="23">
        <v>72.0</v>
      </c>
      <c r="S2637" s="23" t="s">
        <v>63</v>
      </c>
      <c r="T2637" s="32" t="s">
        <v>63</v>
      </c>
      <c r="U2637" s="23">
        <v>480.0</v>
      </c>
      <c r="V2637" s="23" t="s">
        <v>63</v>
      </c>
      <c r="W2637" s="23" t="s">
        <v>63</v>
      </c>
      <c r="X2637" s="23" t="s">
        <v>63</v>
      </c>
      <c r="Y2637" s="35">
        <v>89.0</v>
      </c>
      <c r="Z2637" s="32" t="s">
        <v>63</v>
      </c>
      <c r="AA2637" s="38"/>
      <c r="AB2637" s="38"/>
      <c r="AC2637" s="38"/>
      <c r="AD2637" s="38"/>
      <c r="AE2637" s="38"/>
      <c r="AF2637" s="38"/>
      <c r="AG2637" s="38"/>
      <c r="AH2637" s="38"/>
      <c r="AI2637" s="38"/>
      <c r="AJ2637" s="38"/>
      <c r="AK2637" s="38"/>
    </row>
    <row r="2638">
      <c r="A2638" s="99">
        <v>2637.0</v>
      </c>
      <c r="B2638" s="15"/>
      <c r="C2638" s="15"/>
      <c r="D2638" s="105">
        <v>1.0</v>
      </c>
      <c r="E2638" s="102">
        <v>48.0</v>
      </c>
      <c r="F2638" s="107">
        <v>137.0</v>
      </c>
      <c r="G2638" s="15" t="str">
        <f t="shared" si="1"/>
        <v>48137</v>
      </c>
      <c r="H2638" s="23" t="s">
        <v>717</v>
      </c>
      <c r="I2638" s="23" t="s">
        <v>113</v>
      </c>
      <c r="J2638" s="23" t="s">
        <v>219</v>
      </c>
      <c r="K2638" s="23" t="str">
        <f t="shared" si="44"/>
        <v>Edwards, TX</v>
      </c>
      <c r="L2638" s="23" t="s">
        <v>63</v>
      </c>
      <c r="M2638" s="23" t="s">
        <v>63</v>
      </c>
      <c r="N2638" s="23">
        <v>0.0</v>
      </c>
      <c r="O2638" s="23">
        <v>0.0</v>
      </c>
      <c r="P2638" s="23" t="s">
        <v>63</v>
      </c>
      <c r="Q2638" s="23" t="s">
        <v>63</v>
      </c>
      <c r="R2638" s="23" t="s">
        <v>63</v>
      </c>
      <c r="S2638" s="23" t="s">
        <v>63</v>
      </c>
      <c r="T2638" s="32" t="s">
        <v>63</v>
      </c>
      <c r="U2638" s="23">
        <v>9.0</v>
      </c>
      <c r="V2638" s="23" t="s">
        <v>63</v>
      </c>
      <c r="W2638" s="23" t="s">
        <v>63</v>
      </c>
      <c r="X2638" s="23" t="s">
        <v>63</v>
      </c>
      <c r="Y2638" s="35">
        <v>7.0</v>
      </c>
      <c r="Z2638" s="32" t="s">
        <v>63</v>
      </c>
      <c r="AA2638" s="38"/>
      <c r="AB2638" s="38"/>
      <c r="AC2638" s="38"/>
      <c r="AD2638" s="38"/>
      <c r="AE2638" s="38"/>
      <c r="AF2638" s="38"/>
      <c r="AG2638" s="38"/>
      <c r="AH2638" s="38"/>
      <c r="AI2638" s="38"/>
      <c r="AJ2638" s="38"/>
      <c r="AK2638" s="38"/>
    </row>
    <row r="2639">
      <c r="A2639" s="99">
        <v>2638.0</v>
      </c>
      <c r="B2639" s="15"/>
      <c r="C2639" s="15"/>
      <c r="D2639" s="105">
        <v>1.0</v>
      </c>
      <c r="E2639" s="102">
        <v>48.0</v>
      </c>
      <c r="F2639" s="107">
        <v>139.0</v>
      </c>
      <c r="G2639" s="15" t="str">
        <f t="shared" si="1"/>
        <v>48139</v>
      </c>
      <c r="H2639" s="23" t="s">
        <v>969</v>
      </c>
      <c r="I2639" s="23" t="s">
        <v>113</v>
      </c>
      <c r="J2639" s="23" t="s">
        <v>219</v>
      </c>
      <c r="K2639" s="23" t="str">
        <f t="shared" si="44"/>
        <v>Ellis, TX</v>
      </c>
      <c r="L2639" s="23">
        <v>45.0</v>
      </c>
      <c r="M2639" s="23" t="s">
        <v>63</v>
      </c>
      <c r="N2639" s="23">
        <v>26.0</v>
      </c>
      <c r="O2639" s="23">
        <v>14.0</v>
      </c>
      <c r="P2639" s="23" t="s">
        <v>63</v>
      </c>
      <c r="Q2639" s="23">
        <v>120.0</v>
      </c>
      <c r="R2639" s="23">
        <v>14.0</v>
      </c>
      <c r="S2639" s="23" t="s">
        <v>63</v>
      </c>
      <c r="T2639" s="32" t="s">
        <v>63</v>
      </c>
      <c r="U2639" s="23">
        <v>295.0</v>
      </c>
      <c r="V2639" s="23" t="s">
        <v>63</v>
      </c>
      <c r="W2639" s="23" t="s">
        <v>63</v>
      </c>
      <c r="X2639" s="23" t="s">
        <v>63</v>
      </c>
      <c r="Y2639" s="35">
        <v>133.0</v>
      </c>
      <c r="Z2639" s="32" t="s">
        <v>63</v>
      </c>
      <c r="AA2639" s="38"/>
      <c r="AB2639" s="38"/>
      <c r="AC2639" s="38"/>
      <c r="AD2639" s="38"/>
      <c r="AE2639" s="38"/>
      <c r="AF2639" s="38"/>
      <c r="AG2639" s="38"/>
      <c r="AH2639" s="38"/>
      <c r="AI2639" s="38"/>
      <c r="AJ2639" s="38"/>
      <c r="AK2639" s="38"/>
    </row>
    <row r="2640">
      <c r="A2640" s="99">
        <v>2639.0</v>
      </c>
      <c r="B2640" s="15"/>
      <c r="C2640" s="15"/>
      <c r="D2640" s="105">
        <v>1.0</v>
      </c>
      <c r="E2640" s="102">
        <v>48.0</v>
      </c>
      <c r="F2640" s="107">
        <v>141.0</v>
      </c>
      <c r="G2640" s="15" t="str">
        <f t="shared" si="1"/>
        <v>48141</v>
      </c>
      <c r="H2640" s="23" t="s">
        <v>415</v>
      </c>
      <c r="I2640" s="23" t="s">
        <v>113</v>
      </c>
      <c r="J2640" s="23" t="s">
        <v>219</v>
      </c>
      <c r="K2640" s="23" t="str">
        <f t="shared" si="44"/>
        <v>El Paso, TX</v>
      </c>
      <c r="L2640" s="23">
        <v>276.0</v>
      </c>
      <c r="M2640" s="23" t="s">
        <v>63</v>
      </c>
      <c r="N2640" s="23">
        <v>124.0</v>
      </c>
      <c r="O2640" s="23">
        <v>93.0</v>
      </c>
      <c r="P2640" s="23" t="s">
        <v>63</v>
      </c>
      <c r="Q2640" s="23">
        <v>96.0</v>
      </c>
      <c r="R2640" s="23">
        <v>108.0</v>
      </c>
      <c r="S2640" s="23" t="s">
        <v>63</v>
      </c>
      <c r="T2640" s="32" t="s">
        <v>63</v>
      </c>
      <c r="U2640" s="23">
        <v>2490.0</v>
      </c>
      <c r="V2640" s="23" t="s">
        <v>63</v>
      </c>
      <c r="W2640" s="23" t="s">
        <v>63</v>
      </c>
      <c r="X2640" s="23" t="s">
        <v>63</v>
      </c>
      <c r="Y2640" s="35">
        <v>231.0</v>
      </c>
      <c r="Z2640" s="32" t="s">
        <v>63</v>
      </c>
      <c r="AA2640" s="38"/>
      <c r="AB2640" s="38"/>
      <c r="AC2640" s="38"/>
      <c r="AD2640" s="38"/>
      <c r="AE2640" s="38"/>
      <c r="AF2640" s="38"/>
      <c r="AG2640" s="38"/>
      <c r="AH2640" s="38"/>
      <c r="AI2640" s="38"/>
      <c r="AJ2640" s="38"/>
      <c r="AK2640" s="38"/>
    </row>
    <row r="2641">
      <c r="A2641" s="99">
        <v>2640.0</v>
      </c>
      <c r="B2641" s="15"/>
      <c r="C2641" s="15"/>
      <c r="D2641" s="105">
        <v>1.0</v>
      </c>
      <c r="E2641" s="102">
        <v>48.0</v>
      </c>
      <c r="F2641" s="107">
        <v>143.0</v>
      </c>
      <c r="G2641" s="15" t="str">
        <f t="shared" si="1"/>
        <v>48143</v>
      </c>
      <c r="H2641" s="23" t="s">
        <v>2064</v>
      </c>
      <c r="I2641" s="23" t="s">
        <v>113</v>
      </c>
      <c r="J2641" s="23" t="s">
        <v>219</v>
      </c>
      <c r="K2641" s="23" t="str">
        <f t="shared" si="44"/>
        <v>Erath, TX</v>
      </c>
      <c r="L2641" s="23">
        <v>11.0</v>
      </c>
      <c r="M2641" s="23" t="s">
        <v>63</v>
      </c>
      <c r="N2641" s="23">
        <v>3.0</v>
      </c>
      <c r="O2641" s="23">
        <v>4.0</v>
      </c>
      <c r="P2641" s="23" t="s">
        <v>63</v>
      </c>
      <c r="Q2641" s="23">
        <v>9.0</v>
      </c>
      <c r="R2641" s="23">
        <v>8.0</v>
      </c>
      <c r="S2641" s="23" t="s">
        <v>63</v>
      </c>
      <c r="T2641" s="32" t="s">
        <v>63</v>
      </c>
      <c r="U2641" s="23">
        <v>78.0</v>
      </c>
      <c r="V2641" s="23" t="s">
        <v>63</v>
      </c>
      <c r="W2641" s="23" t="s">
        <v>63</v>
      </c>
      <c r="X2641" s="23" t="s">
        <v>63</v>
      </c>
      <c r="Y2641" s="35">
        <v>50.0</v>
      </c>
      <c r="Z2641" s="32" t="s">
        <v>63</v>
      </c>
      <c r="AA2641" s="38"/>
      <c r="AB2641" s="38"/>
      <c r="AC2641" s="38"/>
      <c r="AD2641" s="38"/>
      <c r="AE2641" s="38"/>
      <c r="AF2641" s="38"/>
      <c r="AG2641" s="38"/>
      <c r="AH2641" s="38"/>
      <c r="AI2641" s="38"/>
      <c r="AJ2641" s="38"/>
      <c r="AK2641" s="38"/>
    </row>
    <row r="2642">
      <c r="A2642" s="99">
        <v>2641.0</v>
      </c>
      <c r="B2642" s="15"/>
      <c r="C2642" s="15"/>
      <c r="D2642" s="105">
        <v>1.0</v>
      </c>
      <c r="E2642" s="102">
        <v>48.0</v>
      </c>
      <c r="F2642" s="107">
        <v>145.0</v>
      </c>
      <c r="G2642" s="15" t="str">
        <f t="shared" si="1"/>
        <v>48145</v>
      </c>
      <c r="H2642" s="23" t="s">
        <v>2065</v>
      </c>
      <c r="I2642" s="23" t="s">
        <v>113</v>
      </c>
      <c r="J2642" s="23" t="s">
        <v>219</v>
      </c>
      <c r="K2642" s="23" t="str">
        <f t="shared" si="44"/>
        <v>Falls, TX</v>
      </c>
      <c r="L2642" s="23">
        <v>22.0</v>
      </c>
      <c r="M2642" s="23" t="s">
        <v>63</v>
      </c>
      <c r="N2642" s="23">
        <v>4.0</v>
      </c>
      <c r="O2642" s="23">
        <v>12.0</v>
      </c>
      <c r="P2642" s="23" t="s">
        <v>63</v>
      </c>
      <c r="Q2642" s="23">
        <v>6.0</v>
      </c>
      <c r="R2642" s="23">
        <v>9.0</v>
      </c>
      <c r="S2642" s="23" t="s">
        <v>63</v>
      </c>
      <c r="T2642" s="32" t="s">
        <v>63</v>
      </c>
      <c r="U2642" s="23">
        <v>11.0</v>
      </c>
      <c r="V2642" s="23" t="s">
        <v>63</v>
      </c>
      <c r="W2642" s="23" t="s">
        <v>63</v>
      </c>
      <c r="X2642" s="23" t="s">
        <v>63</v>
      </c>
      <c r="Y2642" s="35">
        <v>26.0</v>
      </c>
      <c r="Z2642" s="32" t="s">
        <v>63</v>
      </c>
      <c r="AA2642" s="38"/>
      <c r="AB2642" s="38"/>
      <c r="AC2642" s="38"/>
      <c r="AD2642" s="38"/>
      <c r="AE2642" s="38"/>
      <c r="AF2642" s="38"/>
      <c r="AG2642" s="38"/>
      <c r="AH2642" s="38"/>
      <c r="AI2642" s="38"/>
      <c r="AJ2642" s="38"/>
      <c r="AK2642" s="38"/>
    </row>
    <row r="2643">
      <c r="A2643" s="99">
        <v>2642.0</v>
      </c>
      <c r="B2643" s="15"/>
      <c r="C2643" s="15"/>
      <c r="D2643" s="105">
        <v>1.0</v>
      </c>
      <c r="E2643" s="102">
        <v>48.0</v>
      </c>
      <c r="F2643" s="107">
        <v>147.0</v>
      </c>
      <c r="G2643" s="15" t="str">
        <f t="shared" si="1"/>
        <v>48147</v>
      </c>
      <c r="H2643" s="23" t="s">
        <v>574</v>
      </c>
      <c r="I2643" s="23" t="s">
        <v>113</v>
      </c>
      <c r="J2643" s="23" t="s">
        <v>219</v>
      </c>
      <c r="K2643" s="23" t="str">
        <f t="shared" si="44"/>
        <v>Fannin, TX</v>
      </c>
      <c r="L2643" s="23">
        <v>22.0</v>
      </c>
      <c r="M2643" s="23" t="s">
        <v>63</v>
      </c>
      <c r="N2643" s="23">
        <v>10.0</v>
      </c>
      <c r="O2643" s="23">
        <v>7.0</v>
      </c>
      <c r="P2643" s="23" t="s">
        <v>63</v>
      </c>
      <c r="Q2643" s="23">
        <v>13.0</v>
      </c>
      <c r="R2643" s="23">
        <v>9.0</v>
      </c>
      <c r="S2643" s="23" t="s">
        <v>63</v>
      </c>
      <c r="T2643" s="32" t="s">
        <v>63</v>
      </c>
      <c r="U2643" s="23">
        <v>17.0</v>
      </c>
      <c r="V2643" s="23" t="s">
        <v>63</v>
      </c>
      <c r="W2643" s="23" t="s">
        <v>63</v>
      </c>
      <c r="X2643" s="23" t="s">
        <v>63</v>
      </c>
      <c r="Y2643" s="35">
        <v>53.0</v>
      </c>
      <c r="Z2643" s="32" t="s">
        <v>63</v>
      </c>
      <c r="AA2643" s="38"/>
      <c r="AB2643" s="38"/>
      <c r="AC2643" s="38"/>
      <c r="AD2643" s="38"/>
      <c r="AE2643" s="38"/>
      <c r="AF2643" s="38"/>
      <c r="AG2643" s="38"/>
      <c r="AH2643" s="38"/>
      <c r="AI2643" s="38"/>
      <c r="AJ2643" s="38"/>
      <c r="AK2643" s="38"/>
    </row>
    <row r="2644">
      <c r="A2644" s="99">
        <v>2643.0</v>
      </c>
      <c r="B2644" s="15"/>
      <c r="C2644" s="15"/>
      <c r="D2644" s="105">
        <v>1.0</v>
      </c>
      <c r="E2644" s="102">
        <v>48.0</v>
      </c>
      <c r="F2644" s="107">
        <v>149.0</v>
      </c>
      <c r="G2644" s="15" t="str">
        <f t="shared" si="1"/>
        <v>48149</v>
      </c>
      <c r="H2644" s="23" t="s">
        <v>135</v>
      </c>
      <c r="I2644" s="23" t="s">
        <v>113</v>
      </c>
      <c r="J2644" s="23" t="s">
        <v>219</v>
      </c>
      <c r="K2644" s="23" t="str">
        <f t="shared" si="44"/>
        <v>Fayette, TX</v>
      </c>
      <c r="L2644" s="23">
        <v>5.0</v>
      </c>
      <c r="M2644" s="23" t="s">
        <v>63</v>
      </c>
      <c r="N2644" s="23">
        <v>2.0</v>
      </c>
      <c r="O2644" s="23">
        <v>2.0</v>
      </c>
      <c r="P2644" s="23" t="s">
        <v>63</v>
      </c>
      <c r="Q2644" s="23">
        <v>5.0</v>
      </c>
      <c r="R2644" s="23">
        <v>3.0</v>
      </c>
      <c r="S2644" s="23" t="s">
        <v>63</v>
      </c>
      <c r="T2644" s="32" t="s">
        <v>63</v>
      </c>
      <c r="U2644" s="23">
        <v>23.0</v>
      </c>
      <c r="V2644" s="23" t="s">
        <v>63</v>
      </c>
      <c r="W2644" s="23" t="s">
        <v>63</v>
      </c>
      <c r="X2644" s="23" t="s">
        <v>63</v>
      </c>
      <c r="Y2644" s="35">
        <v>44.0</v>
      </c>
      <c r="Z2644" s="32" t="s">
        <v>63</v>
      </c>
      <c r="AA2644" s="38"/>
      <c r="AB2644" s="38"/>
      <c r="AC2644" s="38"/>
      <c r="AD2644" s="38"/>
      <c r="AE2644" s="38"/>
      <c r="AF2644" s="38"/>
      <c r="AG2644" s="38"/>
      <c r="AH2644" s="38"/>
      <c r="AI2644" s="38"/>
      <c r="AJ2644" s="38"/>
      <c r="AK2644" s="38"/>
    </row>
    <row r="2645">
      <c r="A2645" s="99">
        <v>2644.0</v>
      </c>
      <c r="B2645" s="15"/>
      <c r="C2645" s="15"/>
      <c r="D2645" s="105">
        <v>1.0</v>
      </c>
      <c r="E2645" s="102">
        <v>48.0</v>
      </c>
      <c r="F2645" s="107">
        <v>151.0</v>
      </c>
      <c r="G2645" s="15" t="str">
        <f t="shared" si="1"/>
        <v>48151</v>
      </c>
      <c r="H2645" s="23" t="s">
        <v>2066</v>
      </c>
      <c r="I2645" s="23" t="s">
        <v>113</v>
      </c>
      <c r="J2645" s="23" t="s">
        <v>219</v>
      </c>
      <c r="K2645" s="23" t="str">
        <f t="shared" si="44"/>
        <v>Fisher, TX</v>
      </c>
      <c r="L2645" s="23">
        <v>3.0</v>
      </c>
      <c r="M2645" s="23" t="s">
        <v>63</v>
      </c>
      <c r="N2645" s="23">
        <v>0.0</v>
      </c>
      <c r="O2645" s="23">
        <v>3.0</v>
      </c>
      <c r="P2645" s="23" t="s">
        <v>63</v>
      </c>
      <c r="Q2645" s="23" t="s">
        <v>63</v>
      </c>
      <c r="R2645" s="23" t="s">
        <v>63</v>
      </c>
      <c r="S2645" s="23" t="s">
        <v>63</v>
      </c>
      <c r="T2645" s="32" t="s">
        <v>63</v>
      </c>
      <c r="U2645" s="23" t="s">
        <v>63</v>
      </c>
      <c r="V2645" s="23" t="s">
        <v>63</v>
      </c>
      <c r="W2645" s="23" t="s">
        <v>63</v>
      </c>
      <c r="X2645" s="23" t="s">
        <v>63</v>
      </c>
      <c r="Y2645" s="35">
        <v>8.0</v>
      </c>
      <c r="Z2645" s="32" t="s">
        <v>63</v>
      </c>
      <c r="AA2645" s="38"/>
      <c r="AB2645" s="38"/>
      <c r="AC2645" s="38"/>
      <c r="AD2645" s="38"/>
      <c r="AE2645" s="38"/>
      <c r="AF2645" s="38"/>
      <c r="AG2645" s="38"/>
      <c r="AH2645" s="38"/>
      <c r="AI2645" s="38"/>
      <c r="AJ2645" s="38"/>
      <c r="AK2645" s="38"/>
    </row>
    <row r="2646">
      <c r="A2646" s="99">
        <v>2645.0</v>
      </c>
      <c r="B2646" s="15"/>
      <c r="C2646" s="15"/>
      <c r="D2646" s="105">
        <v>1.0</v>
      </c>
      <c r="E2646" s="102">
        <v>48.0</v>
      </c>
      <c r="F2646" s="107">
        <v>153.0</v>
      </c>
      <c r="G2646" s="15" t="str">
        <f t="shared" si="1"/>
        <v>48153</v>
      </c>
      <c r="H2646" s="23" t="s">
        <v>575</v>
      </c>
      <c r="I2646" s="23" t="s">
        <v>113</v>
      </c>
      <c r="J2646" s="23" t="s">
        <v>219</v>
      </c>
      <c r="K2646" s="23" t="str">
        <f t="shared" si="44"/>
        <v>Floyd, TX</v>
      </c>
      <c r="L2646" s="23">
        <v>0.0</v>
      </c>
      <c r="M2646" s="23" t="s">
        <v>63</v>
      </c>
      <c r="N2646" s="23">
        <v>0.0</v>
      </c>
      <c r="O2646" s="23">
        <v>0.0</v>
      </c>
      <c r="P2646" s="23" t="s">
        <v>63</v>
      </c>
      <c r="Q2646" s="23">
        <v>4.0</v>
      </c>
      <c r="R2646" s="23" t="s">
        <v>63</v>
      </c>
      <c r="S2646" s="23" t="s">
        <v>63</v>
      </c>
      <c r="T2646" s="32" t="s">
        <v>63</v>
      </c>
      <c r="U2646" s="23">
        <v>22.0</v>
      </c>
      <c r="V2646" s="23" t="s">
        <v>63</v>
      </c>
      <c r="W2646" s="23" t="s">
        <v>63</v>
      </c>
      <c r="X2646" s="23" t="s">
        <v>63</v>
      </c>
      <c r="Y2646" s="35">
        <v>15.0</v>
      </c>
      <c r="Z2646" s="32" t="s">
        <v>63</v>
      </c>
      <c r="AA2646" s="38"/>
      <c r="AB2646" s="38"/>
      <c r="AC2646" s="38"/>
      <c r="AD2646" s="38"/>
      <c r="AE2646" s="38"/>
      <c r="AF2646" s="38"/>
      <c r="AG2646" s="38"/>
      <c r="AH2646" s="38"/>
      <c r="AI2646" s="38"/>
      <c r="AJ2646" s="38"/>
      <c r="AK2646" s="38"/>
    </row>
    <row r="2647">
      <c r="A2647" s="99">
        <v>2646.0</v>
      </c>
      <c r="B2647" s="15"/>
      <c r="C2647" s="15"/>
      <c r="D2647" s="105">
        <v>1.0</v>
      </c>
      <c r="E2647" s="102">
        <v>48.0</v>
      </c>
      <c r="F2647" s="107">
        <v>155.0</v>
      </c>
      <c r="G2647" s="15" t="str">
        <f t="shared" si="1"/>
        <v>48155</v>
      </c>
      <c r="H2647" s="23" t="s">
        <v>2067</v>
      </c>
      <c r="I2647" s="23" t="s">
        <v>113</v>
      </c>
      <c r="J2647" s="23" t="s">
        <v>219</v>
      </c>
      <c r="K2647" s="23" t="str">
        <f t="shared" si="44"/>
        <v>Foard, TX</v>
      </c>
      <c r="L2647" s="23">
        <v>3.0</v>
      </c>
      <c r="M2647" s="23" t="s">
        <v>63</v>
      </c>
      <c r="N2647" s="23">
        <v>3.0</v>
      </c>
      <c r="O2647" s="23">
        <v>0.0</v>
      </c>
      <c r="P2647" s="23" t="s">
        <v>63</v>
      </c>
      <c r="Q2647" s="23" t="s">
        <v>63</v>
      </c>
      <c r="R2647" s="23" t="s">
        <v>63</v>
      </c>
      <c r="S2647" s="23" t="s">
        <v>63</v>
      </c>
      <c r="T2647" s="32" t="s">
        <v>63</v>
      </c>
      <c r="U2647" s="23" t="s">
        <v>63</v>
      </c>
      <c r="V2647" s="23" t="s">
        <v>63</v>
      </c>
      <c r="W2647" s="23" t="s">
        <v>63</v>
      </c>
      <c r="X2647" s="23" t="s">
        <v>63</v>
      </c>
      <c r="Y2647" s="35">
        <v>3.0</v>
      </c>
      <c r="Z2647" s="32" t="s">
        <v>63</v>
      </c>
      <c r="AA2647" s="38"/>
      <c r="AB2647" s="38"/>
      <c r="AC2647" s="38"/>
      <c r="AD2647" s="38"/>
      <c r="AE2647" s="38"/>
      <c r="AF2647" s="38"/>
      <c r="AG2647" s="38"/>
      <c r="AH2647" s="38"/>
      <c r="AI2647" s="38"/>
      <c r="AJ2647" s="38"/>
      <c r="AK2647" s="38"/>
    </row>
    <row r="2648">
      <c r="A2648" s="99">
        <v>2647.0</v>
      </c>
      <c r="B2648" s="15"/>
      <c r="C2648" s="15"/>
      <c r="D2648" s="105">
        <v>1.0</v>
      </c>
      <c r="E2648" s="102">
        <v>48.0</v>
      </c>
      <c r="F2648" s="107">
        <v>157.0</v>
      </c>
      <c r="G2648" s="15" t="str">
        <f t="shared" si="1"/>
        <v>48157</v>
      </c>
      <c r="H2648" s="23" t="s">
        <v>527</v>
      </c>
      <c r="I2648" s="23" t="s">
        <v>113</v>
      </c>
      <c r="J2648" s="23" t="s">
        <v>219</v>
      </c>
      <c r="K2648" s="23" t="str">
        <f t="shared" si="44"/>
        <v>Fort Bend, TX</v>
      </c>
      <c r="L2648" s="23">
        <v>104.0</v>
      </c>
      <c r="M2648" s="23" t="s">
        <v>63</v>
      </c>
      <c r="N2648" s="23">
        <v>45.0</v>
      </c>
      <c r="O2648" s="23">
        <v>35.0</v>
      </c>
      <c r="P2648" s="23" t="s">
        <v>63</v>
      </c>
      <c r="Q2648" s="23">
        <v>270.0</v>
      </c>
      <c r="R2648" s="23">
        <v>8.0</v>
      </c>
      <c r="S2648" s="23" t="s">
        <v>63</v>
      </c>
      <c r="T2648" s="32" t="s">
        <v>63</v>
      </c>
      <c r="U2648" s="23">
        <v>441.0</v>
      </c>
      <c r="V2648" s="23" t="s">
        <v>63</v>
      </c>
      <c r="W2648" s="23" t="s">
        <v>63</v>
      </c>
      <c r="X2648" s="23" t="s">
        <v>63</v>
      </c>
      <c r="Y2648" s="35">
        <v>271.0</v>
      </c>
      <c r="Z2648" s="32" t="s">
        <v>63</v>
      </c>
      <c r="AA2648" s="38"/>
      <c r="AB2648" s="38"/>
      <c r="AC2648" s="38"/>
      <c r="AD2648" s="38"/>
      <c r="AE2648" s="38"/>
      <c r="AF2648" s="38"/>
      <c r="AG2648" s="38"/>
      <c r="AH2648" s="38"/>
      <c r="AI2648" s="38"/>
      <c r="AJ2648" s="38"/>
      <c r="AK2648" s="38"/>
    </row>
    <row r="2649">
      <c r="A2649" s="99">
        <v>2648.0</v>
      </c>
      <c r="B2649" s="15"/>
      <c r="C2649" s="15"/>
      <c r="D2649" s="105">
        <v>1.0</v>
      </c>
      <c r="E2649" s="102">
        <v>48.0</v>
      </c>
      <c r="F2649" s="107">
        <v>159.0</v>
      </c>
      <c r="G2649" s="15" t="str">
        <f t="shared" si="1"/>
        <v>48159</v>
      </c>
      <c r="H2649" s="23" t="s">
        <v>136</v>
      </c>
      <c r="I2649" s="23" t="s">
        <v>113</v>
      </c>
      <c r="J2649" s="23" t="s">
        <v>219</v>
      </c>
      <c r="K2649" s="23" t="str">
        <f t="shared" si="44"/>
        <v>Franklin, TX</v>
      </c>
      <c r="L2649" s="23">
        <v>4.0</v>
      </c>
      <c r="M2649" s="23" t="s">
        <v>63</v>
      </c>
      <c r="N2649" s="23">
        <v>2.0</v>
      </c>
      <c r="O2649" s="23">
        <v>2.0</v>
      </c>
      <c r="P2649" s="23" t="s">
        <v>63</v>
      </c>
      <c r="Q2649" s="23">
        <v>3.0</v>
      </c>
      <c r="R2649" s="23">
        <v>2.0</v>
      </c>
      <c r="S2649" s="23" t="s">
        <v>63</v>
      </c>
      <c r="T2649" s="32" t="s">
        <v>63</v>
      </c>
      <c r="U2649" s="23" t="s">
        <v>63</v>
      </c>
      <c r="V2649" s="23" t="s">
        <v>63</v>
      </c>
      <c r="W2649" s="23" t="s">
        <v>63</v>
      </c>
      <c r="X2649" s="23" t="s">
        <v>63</v>
      </c>
      <c r="Y2649" s="35">
        <v>17.0</v>
      </c>
      <c r="Z2649" s="32" t="s">
        <v>63</v>
      </c>
      <c r="AA2649" s="38"/>
      <c r="AB2649" s="38"/>
      <c r="AC2649" s="38"/>
      <c r="AD2649" s="38"/>
      <c r="AE2649" s="38"/>
      <c r="AF2649" s="38"/>
      <c r="AG2649" s="38"/>
      <c r="AH2649" s="38"/>
      <c r="AI2649" s="38"/>
      <c r="AJ2649" s="38"/>
      <c r="AK2649" s="38"/>
    </row>
    <row r="2650">
      <c r="A2650" s="99">
        <v>2649.0</v>
      </c>
      <c r="B2650" s="15"/>
      <c r="C2650" s="15"/>
      <c r="D2650" s="105">
        <v>1.0</v>
      </c>
      <c r="E2650" s="102">
        <v>48.0</v>
      </c>
      <c r="F2650" s="107">
        <v>161.0</v>
      </c>
      <c r="G2650" s="15" t="str">
        <f t="shared" si="1"/>
        <v>48161</v>
      </c>
      <c r="H2650" s="23" t="s">
        <v>2068</v>
      </c>
      <c r="I2650" s="23" t="s">
        <v>113</v>
      </c>
      <c r="J2650" s="23" t="s">
        <v>219</v>
      </c>
      <c r="K2650" s="23" t="str">
        <f t="shared" si="44"/>
        <v>Freestone, TX</v>
      </c>
      <c r="L2650" s="23">
        <v>19.0</v>
      </c>
      <c r="M2650" s="23" t="s">
        <v>63</v>
      </c>
      <c r="N2650" s="23">
        <v>5.0</v>
      </c>
      <c r="O2650" s="23">
        <v>9.0</v>
      </c>
      <c r="P2650" s="23" t="s">
        <v>63</v>
      </c>
      <c r="Q2650" s="23">
        <v>1.0</v>
      </c>
      <c r="R2650" s="23">
        <v>8.0</v>
      </c>
      <c r="S2650" s="23" t="s">
        <v>63</v>
      </c>
      <c r="T2650" s="32" t="s">
        <v>63</v>
      </c>
      <c r="U2650" s="23">
        <v>27.0</v>
      </c>
      <c r="V2650" s="23" t="s">
        <v>63</v>
      </c>
      <c r="W2650" s="23" t="s">
        <v>63</v>
      </c>
      <c r="X2650" s="23" t="s">
        <v>63</v>
      </c>
      <c r="Y2650" s="35">
        <v>32.0</v>
      </c>
      <c r="Z2650" s="32" t="s">
        <v>63</v>
      </c>
      <c r="AA2650" s="38"/>
      <c r="AB2650" s="38"/>
      <c r="AC2650" s="38"/>
      <c r="AD2650" s="38"/>
      <c r="AE2650" s="38"/>
      <c r="AF2650" s="38"/>
      <c r="AG2650" s="38"/>
      <c r="AH2650" s="38"/>
      <c r="AI2650" s="38"/>
      <c r="AJ2650" s="38"/>
      <c r="AK2650" s="38"/>
    </row>
    <row r="2651">
      <c r="A2651" s="99">
        <v>2650.0</v>
      </c>
      <c r="B2651" s="15"/>
      <c r="C2651" s="15"/>
      <c r="D2651" s="105">
        <v>1.0</v>
      </c>
      <c r="E2651" s="102">
        <v>48.0</v>
      </c>
      <c r="F2651" s="107">
        <v>163.0</v>
      </c>
      <c r="G2651" s="15" t="str">
        <f t="shared" si="1"/>
        <v>48163</v>
      </c>
      <c r="H2651" s="23" t="s">
        <v>2069</v>
      </c>
      <c r="I2651" s="23" t="s">
        <v>113</v>
      </c>
      <c r="J2651" s="23" t="s">
        <v>219</v>
      </c>
      <c r="K2651" s="23" t="str">
        <f t="shared" si="44"/>
        <v>Frio, TX</v>
      </c>
      <c r="L2651" s="23">
        <v>42.0</v>
      </c>
      <c r="M2651" s="23" t="s">
        <v>63</v>
      </c>
      <c r="N2651" s="23">
        <v>7.0</v>
      </c>
      <c r="O2651" s="23">
        <v>16.0</v>
      </c>
      <c r="P2651" s="23" t="s">
        <v>63</v>
      </c>
      <c r="Q2651" s="23">
        <v>2.0</v>
      </c>
      <c r="R2651" s="23">
        <v>19.0</v>
      </c>
      <c r="S2651" s="23" t="s">
        <v>63</v>
      </c>
      <c r="T2651" s="32" t="s">
        <v>63</v>
      </c>
      <c r="U2651" s="23">
        <v>115.0</v>
      </c>
      <c r="V2651" s="23" t="s">
        <v>63</v>
      </c>
      <c r="W2651" s="23" t="s">
        <v>63</v>
      </c>
      <c r="X2651" s="23" t="s">
        <v>63</v>
      </c>
      <c r="Y2651" s="35">
        <v>14.0</v>
      </c>
      <c r="Z2651" s="32" t="s">
        <v>63</v>
      </c>
      <c r="AA2651" s="38"/>
      <c r="AB2651" s="38"/>
      <c r="AC2651" s="38"/>
      <c r="AD2651" s="38"/>
      <c r="AE2651" s="38"/>
      <c r="AF2651" s="38"/>
      <c r="AG2651" s="38"/>
      <c r="AH2651" s="38"/>
      <c r="AI2651" s="38"/>
      <c r="AJ2651" s="38"/>
      <c r="AK2651" s="38"/>
    </row>
    <row r="2652">
      <c r="A2652" s="99">
        <v>2651.0</v>
      </c>
      <c r="B2652" s="15"/>
      <c r="C2652" s="15"/>
      <c r="D2652" s="105">
        <v>1.0</v>
      </c>
      <c r="E2652" s="102">
        <v>48.0</v>
      </c>
      <c r="F2652" s="107">
        <v>165.0</v>
      </c>
      <c r="G2652" s="15" t="str">
        <f t="shared" si="1"/>
        <v>48165</v>
      </c>
      <c r="H2652" s="23" t="s">
        <v>2070</v>
      </c>
      <c r="I2652" s="23" t="s">
        <v>113</v>
      </c>
      <c r="J2652" s="23" t="s">
        <v>219</v>
      </c>
      <c r="K2652" s="23" t="str">
        <f t="shared" si="44"/>
        <v>Gaines, TX</v>
      </c>
      <c r="L2652" s="23">
        <v>5.0</v>
      </c>
      <c r="M2652" s="23" t="s">
        <v>63</v>
      </c>
      <c r="N2652" s="23">
        <v>2.0</v>
      </c>
      <c r="O2652" s="23">
        <v>1.0</v>
      </c>
      <c r="P2652" s="23" t="s">
        <v>63</v>
      </c>
      <c r="Q2652" s="23">
        <v>12.0</v>
      </c>
      <c r="R2652" s="23">
        <v>0.0</v>
      </c>
      <c r="S2652" s="23" t="s">
        <v>63</v>
      </c>
      <c r="T2652" s="32" t="s">
        <v>63</v>
      </c>
      <c r="U2652" s="23">
        <v>38.0</v>
      </c>
      <c r="V2652" s="23" t="s">
        <v>63</v>
      </c>
      <c r="W2652" s="23" t="s">
        <v>63</v>
      </c>
      <c r="X2652" s="23" t="s">
        <v>63</v>
      </c>
      <c r="Y2652" s="35">
        <v>18.0</v>
      </c>
      <c r="Z2652" s="32" t="s">
        <v>63</v>
      </c>
      <c r="AA2652" s="38"/>
      <c r="AB2652" s="38"/>
      <c r="AC2652" s="38"/>
      <c r="AD2652" s="38"/>
      <c r="AE2652" s="38"/>
      <c r="AF2652" s="38"/>
      <c r="AG2652" s="38"/>
      <c r="AH2652" s="38"/>
      <c r="AI2652" s="38"/>
      <c r="AJ2652" s="38"/>
      <c r="AK2652" s="38"/>
    </row>
    <row r="2653">
      <c r="A2653" s="99">
        <v>2652.0</v>
      </c>
      <c r="B2653" s="15"/>
      <c r="C2653" s="15"/>
      <c r="D2653" s="105">
        <v>1.0</v>
      </c>
      <c r="E2653" s="102">
        <v>48.0</v>
      </c>
      <c r="F2653" s="107">
        <v>167.0</v>
      </c>
      <c r="G2653" s="15" t="str">
        <f t="shared" si="1"/>
        <v>48167</v>
      </c>
      <c r="H2653" s="23" t="s">
        <v>2071</v>
      </c>
      <c r="I2653" s="23" t="s">
        <v>113</v>
      </c>
      <c r="J2653" s="23" t="s">
        <v>219</v>
      </c>
      <c r="K2653" s="23" t="str">
        <f t="shared" si="44"/>
        <v>Galveston, TX</v>
      </c>
      <c r="L2653" s="23">
        <v>149.0</v>
      </c>
      <c r="M2653" s="23" t="s">
        <v>63</v>
      </c>
      <c r="N2653" s="23">
        <v>65.0</v>
      </c>
      <c r="O2653" s="23">
        <v>52.0</v>
      </c>
      <c r="P2653" s="23" t="s">
        <v>63</v>
      </c>
      <c r="Q2653" s="23">
        <v>83.0</v>
      </c>
      <c r="R2653" s="23">
        <v>36.0</v>
      </c>
      <c r="S2653" s="23" t="s">
        <v>63</v>
      </c>
      <c r="T2653" s="32" t="s">
        <v>63</v>
      </c>
      <c r="U2653" s="23">
        <v>766.0</v>
      </c>
      <c r="V2653" s="23" t="s">
        <v>63</v>
      </c>
      <c r="W2653" s="23" t="s">
        <v>63</v>
      </c>
      <c r="X2653" s="23" t="s">
        <v>63</v>
      </c>
      <c r="Y2653" s="35">
        <v>202.0</v>
      </c>
      <c r="Z2653" s="32" t="s">
        <v>63</v>
      </c>
      <c r="AA2653" s="38"/>
      <c r="AB2653" s="38"/>
      <c r="AC2653" s="38"/>
      <c r="AD2653" s="38"/>
      <c r="AE2653" s="38"/>
      <c r="AF2653" s="38"/>
      <c r="AG2653" s="38"/>
      <c r="AH2653" s="38"/>
      <c r="AI2653" s="38"/>
      <c r="AJ2653" s="38"/>
      <c r="AK2653" s="38"/>
    </row>
    <row r="2654">
      <c r="A2654" s="99">
        <v>2653.0</v>
      </c>
      <c r="B2654" s="15"/>
      <c r="C2654" s="15"/>
      <c r="D2654" s="105">
        <v>1.0</v>
      </c>
      <c r="E2654" s="102">
        <v>48.0</v>
      </c>
      <c r="F2654" s="107">
        <v>169.0</v>
      </c>
      <c r="G2654" s="15" t="str">
        <f t="shared" si="1"/>
        <v>48169</v>
      </c>
      <c r="H2654" s="23" t="s">
        <v>2072</v>
      </c>
      <c r="I2654" s="23" t="s">
        <v>113</v>
      </c>
      <c r="J2654" s="23" t="s">
        <v>219</v>
      </c>
      <c r="K2654" s="23" t="str">
        <f t="shared" si="44"/>
        <v>Garza, TX</v>
      </c>
      <c r="L2654" s="23">
        <v>1.0</v>
      </c>
      <c r="M2654" s="23" t="s">
        <v>63</v>
      </c>
      <c r="N2654" s="23">
        <v>0.0</v>
      </c>
      <c r="O2654" s="23">
        <v>1.0</v>
      </c>
      <c r="P2654" s="23" t="s">
        <v>63</v>
      </c>
      <c r="Q2654" s="23">
        <v>2.0</v>
      </c>
      <c r="R2654" s="23">
        <v>1.0</v>
      </c>
      <c r="S2654" s="23" t="s">
        <v>63</v>
      </c>
      <c r="T2654" s="32" t="s">
        <v>63</v>
      </c>
      <c r="U2654" s="23">
        <v>24.0</v>
      </c>
      <c r="V2654" s="23" t="s">
        <v>63</v>
      </c>
      <c r="W2654" s="23" t="s">
        <v>63</v>
      </c>
      <c r="X2654" s="23" t="s">
        <v>63</v>
      </c>
      <c r="Y2654" s="35">
        <v>10.0</v>
      </c>
      <c r="Z2654" s="32" t="s">
        <v>63</v>
      </c>
      <c r="AA2654" s="38"/>
      <c r="AB2654" s="38"/>
      <c r="AC2654" s="38"/>
      <c r="AD2654" s="38"/>
      <c r="AE2654" s="38"/>
      <c r="AF2654" s="38"/>
      <c r="AG2654" s="38"/>
      <c r="AH2654" s="38"/>
      <c r="AI2654" s="38"/>
      <c r="AJ2654" s="38"/>
      <c r="AK2654" s="38"/>
    </row>
    <row r="2655">
      <c r="A2655" s="99">
        <v>2654.0</v>
      </c>
      <c r="B2655" s="15"/>
      <c r="C2655" s="15"/>
      <c r="D2655" s="105">
        <v>1.0</v>
      </c>
      <c r="E2655" s="102">
        <v>48.0</v>
      </c>
      <c r="F2655" s="107">
        <v>171.0</v>
      </c>
      <c r="G2655" s="15" t="str">
        <f t="shared" si="1"/>
        <v>48171</v>
      </c>
      <c r="H2655" s="23" t="s">
        <v>2073</v>
      </c>
      <c r="I2655" s="23" t="s">
        <v>113</v>
      </c>
      <c r="J2655" s="23" t="s">
        <v>219</v>
      </c>
      <c r="K2655" s="23" t="str">
        <f t="shared" si="44"/>
        <v>Gillespie, TX</v>
      </c>
      <c r="L2655" s="23">
        <v>15.0</v>
      </c>
      <c r="M2655" s="23" t="s">
        <v>63</v>
      </c>
      <c r="N2655" s="23">
        <v>1.0</v>
      </c>
      <c r="O2655" s="23">
        <v>13.0</v>
      </c>
      <c r="P2655" s="23" t="s">
        <v>63</v>
      </c>
      <c r="Q2655" s="23">
        <v>3.0</v>
      </c>
      <c r="R2655" s="23">
        <v>0.0</v>
      </c>
      <c r="S2655" s="23" t="s">
        <v>63</v>
      </c>
      <c r="T2655" s="32" t="s">
        <v>63</v>
      </c>
      <c r="U2655" s="23">
        <v>52.0</v>
      </c>
      <c r="V2655" s="23" t="s">
        <v>63</v>
      </c>
      <c r="W2655" s="23" t="s">
        <v>63</v>
      </c>
      <c r="X2655" s="23" t="s">
        <v>63</v>
      </c>
      <c r="Y2655" s="35">
        <v>28.0</v>
      </c>
      <c r="Z2655" s="32" t="s">
        <v>63</v>
      </c>
      <c r="AA2655" s="38"/>
      <c r="AB2655" s="38"/>
      <c r="AC2655" s="38"/>
      <c r="AD2655" s="38"/>
      <c r="AE2655" s="38"/>
      <c r="AF2655" s="38"/>
      <c r="AG2655" s="38"/>
      <c r="AH2655" s="38"/>
      <c r="AI2655" s="38"/>
      <c r="AJ2655" s="38"/>
      <c r="AK2655" s="38"/>
    </row>
    <row r="2656">
      <c r="A2656" s="99">
        <v>2655.0</v>
      </c>
      <c r="B2656" s="15"/>
      <c r="C2656" s="15"/>
      <c r="D2656" s="105">
        <v>1.0</v>
      </c>
      <c r="E2656" s="102">
        <v>48.0</v>
      </c>
      <c r="F2656" s="107">
        <v>173.0</v>
      </c>
      <c r="G2656" s="15" t="str">
        <f t="shared" si="1"/>
        <v>48173</v>
      </c>
      <c r="H2656" s="23" t="s">
        <v>2074</v>
      </c>
      <c r="I2656" s="23" t="s">
        <v>113</v>
      </c>
      <c r="J2656" s="23" t="s">
        <v>219</v>
      </c>
      <c r="K2656" s="23" t="str">
        <f t="shared" si="44"/>
        <v>Glasscock, TX</v>
      </c>
      <c r="L2656" s="23" t="s">
        <v>63</v>
      </c>
      <c r="M2656" s="23" t="s">
        <v>63</v>
      </c>
      <c r="N2656" s="23">
        <v>0.0</v>
      </c>
      <c r="O2656" s="23">
        <v>0.0</v>
      </c>
      <c r="P2656" s="23" t="s">
        <v>63</v>
      </c>
      <c r="Q2656" s="23">
        <v>1.0</v>
      </c>
      <c r="R2656" s="23" t="s">
        <v>63</v>
      </c>
      <c r="S2656" s="23" t="s">
        <v>63</v>
      </c>
      <c r="T2656" s="32" t="s">
        <v>63</v>
      </c>
      <c r="U2656" s="23" t="s">
        <v>63</v>
      </c>
      <c r="V2656" s="23" t="s">
        <v>63</v>
      </c>
      <c r="W2656" s="23" t="s">
        <v>63</v>
      </c>
      <c r="X2656" s="23" t="s">
        <v>63</v>
      </c>
      <c r="Y2656" s="35">
        <v>1.0</v>
      </c>
      <c r="Z2656" s="32" t="s">
        <v>63</v>
      </c>
      <c r="AA2656" s="38"/>
      <c r="AB2656" s="38"/>
      <c r="AC2656" s="38"/>
      <c r="AD2656" s="38"/>
      <c r="AE2656" s="38"/>
      <c r="AF2656" s="38"/>
      <c r="AG2656" s="38"/>
      <c r="AH2656" s="38"/>
      <c r="AI2656" s="38"/>
      <c r="AJ2656" s="38"/>
      <c r="AK2656" s="38"/>
    </row>
    <row r="2657">
      <c r="A2657" s="99">
        <v>2656.0</v>
      </c>
      <c r="B2657" s="15"/>
      <c r="C2657" s="15"/>
      <c r="D2657" s="105">
        <v>1.0</v>
      </c>
      <c r="E2657" s="102">
        <v>48.0</v>
      </c>
      <c r="F2657" s="107">
        <v>175.0</v>
      </c>
      <c r="G2657" s="15" t="str">
        <f t="shared" si="1"/>
        <v>48175</v>
      </c>
      <c r="H2657" s="23" t="s">
        <v>2075</v>
      </c>
      <c r="I2657" s="23" t="s">
        <v>113</v>
      </c>
      <c r="J2657" s="23" t="s">
        <v>219</v>
      </c>
      <c r="K2657" s="23" t="str">
        <f t="shared" si="44"/>
        <v>Goliad, TX</v>
      </c>
      <c r="L2657" s="23">
        <v>3.0</v>
      </c>
      <c r="M2657" s="23" t="s">
        <v>63</v>
      </c>
      <c r="N2657" s="23">
        <v>2.0</v>
      </c>
      <c r="O2657" s="23">
        <v>0.0</v>
      </c>
      <c r="P2657" s="23" t="s">
        <v>63</v>
      </c>
      <c r="Q2657" s="23">
        <v>1.0</v>
      </c>
      <c r="R2657" s="23">
        <v>3.0</v>
      </c>
      <c r="S2657" s="23" t="s">
        <v>63</v>
      </c>
      <c r="T2657" s="32" t="s">
        <v>63</v>
      </c>
      <c r="U2657" s="23">
        <v>6.0</v>
      </c>
      <c r="V2657" s="23" t="s">
        <v>63</v>
      </c>
      <c r="W2657" s="23" t="s">
        <v>63</v>
      </c>
      <c r="X2657" s="23" t="s">
        <v>63</v>
      </c>
      <c r="Y2657" s="35">
        <v>12.0</v>
      </c>
      <c r="Z2657" s="32" t="s">
        <v>63</v>
      </c>
      <c r="AA2657" s="38"/>
      <c r="AB2657" s="38"/>
      <c r="AC2657" s="38"/>
      <c r="AD2657" s="38"/>
      <c r="AE2657" s="38"/>
      <c r="AF2657" s="38"/>
      <c r="AG2657" s="38"/>
      <c r="AH2657" s="38"/>
      <c r="AI2657" s="38"/>
      <c r="AJ2657" s="38"/>
      <c r="AK2657" s="38"/>
    </row>
    <row r="2658">
      <c r="A2658" s="99">
        <v>2657.0</v>
      </c>
      <c r="B2658" s="15"/>
      <c r="C2658" s="15"/>
      <c r="D2658" s="105">
        <v>1.0</v>
      </c>
      <c r="E2658" s="102">
        <v>48.0</v>
      </c>
      <c r="F2658" s="107">
        <v>177.0</v>
      </c>
      <c r="G2658" s="15" t="str">
        <f t="shared" si="1"/>
        <v>48177</v>
      </c>
      <c r="H2658" s="23" t="s">
        <v>2076</v>
      </c>
      <c r="I2658" s="23" t="s">
        <v>113</v>
      </c>
      <c r="J2658" s="23" t="s">
        <v>219</v>
      </c>
      <c r="K2658" s="23" t="str">
        <f t="shared" si="44"/>
        <v>Gonzales, TX</v>
      </c>
      <c r="L2658" s="23">
        <v>15.0</v>
      </c>
      <c r="M2658" s="23" t="s">
        <v>63</v>
      </c>
      <c r="N2658" s="23">
        <v>4.0</v>
      </c>
      <c r="O2658" s="23">
        <v>9.0</v>
      </c>
      <c r="P2658" s="23" t="s">
        <v>63</v>
      </c>
      <c r="Q2658" s="23">
        <v>4.0</v>
      </c>
      <c r="R2658" s="23">
        <v>6.0</v>
      </c>
      <c r="S2658" s="23" t="s">
        <v>63</v>
      </c>
      <c r="T2658" s="32" t="s">
        <v>63</v>
      </c>
      <c r="U2658" s="23">
        <v>13.0</v>
      </c>
      <c r="V2658" s="23" t="s">
        <v>63</v>
      </c>
      <c r="W2658" s="23" t="s">
        <v>63</v>
      </c>
      <c r="X2658" s="23" t="s">
        <v>63</v>
      </c>
      <c r="Y2658" s="35">
        <v>34.0</v>
      </c>
      <c r="Z2658" s="32" t="s">
        <v>63</v>
      </c>
      <c r="AA2658" s="38"/>
      <c r="AB2658" s="38"/>
      <c r="AC2658" s="38"/>
      <c r="AD2658" s="38"/>
      <c r="AE2658" s="38"/>
      <c r="AF2658" s="38"/>
      <c r="AG2658" s="38"/>
      <c r="AH2658" s="38"/>
      <c r="AI2658" s="38"/>
      <c r="AJ2658" s="38"/>
      <c r="AK2658" s="38"/>
    </row>
    <row r="2659">
      <c r="A2659" s="99">
        <v>2658.0</v>
      </c>
      <c r="B2659" s="15"/>
      <c r="C2659" s="15"/>
      <c r="D2659" s="105">
        <v>1.0</v>
      </c>
      <c r="E2659" s="102">
        <v>48.0</v>
      </c>
      <c r="F2659" s="107">
        <v>179.0</v>
      </c>
      <c r="G2659" s="15" t="str">
        <f t="shared" si="1"/>
        <v>48179</v>
      </c>
      <c r="H2659" s="23" t="s">
        <v>975</v>
      </c>
      <c r="I2659" s="23" t="s">
        <v>113</v>
      </c>
      <c r="J2659" s="23" t="s">
        <v>219</v>
      </c>
      <c r="K2659" s="23" t="str">
        <f t="shared" si="44"/>
        <v>Gray, TX</v>
      </c>
      <c r="L2659" s="23">
        <v>33.0</v>
      </c>
      <c r="M2659" s="23" t="s">
        <v>63</v>
      </c>
      <c r="N2659" s="23">
        <v>14.0</v>
      </c>
      <c r="O2659" s="23">
        <v>10.0</v>
      </c>
      <c r="P2659" s="23" t="s">
        <v>63</v>
      </c>
      <c r="Q2659" s="23">
        <v>8.0</v>
      </c>
      <c r="R2659" s="23">
        <v>12.0</v>
      </c>
      <c r="S2659" s="23" t="s">
        <v>63</v>
      </c>
      <c r="T2659" s="32" t="s">
        <v>63</v>
      </c>
      <c r="U2659" s="23">
        <v>93.0</v>
      </c>
      <c r="V2659" s="23" t="s">
        <v>63</v>
      </c>
      <c r="W2659" s="23" t="s">
        <v>63</v>
      </c>
      <c r="X2659" s="23" t="s">
        <v>63</v>
      </c>
      <c r="Y2659" s="35">
        <v>31.0</v>
      </c>
      <c r="Z2659" s="32" t="s">
        <v>63</v>
      </c>
      <c r="AA2659" s="38"/>
      <c r="AB2659" s="38"/>
      <c r="AC2659" s="38"/>
      <c r="AD2659" s="38"/>
      <c r="AE2659" s="38"/>
      <c r="AF2659" s="38"/>
      <c r="AG2659" s="38"/>
      <c r="AH2659" s="38"/>
      <c r="AI2659" s="38"/>
      <c r="AJ2659" s="38"/>
      <c r="AK2659" s="38"/>
    </row>
    <row r="2660">
      <c r="A2660" s="99">
        <v>2659.0</v>
      </c>
      <c r="B2660" s="15"/>
      <c r="C2660" s="15"/>
      <c r="D2660" s="105">
        <v>1.0</v>
      </c>
      <c r="E2660" s="102">
        <v>48.0</v>
      </c>
      <c r="F2660" s="107">
        <v>181.0</v>
      </c>
      <c r="G2660" s="15" t="str">
        <f t="shared" si="1"/>
        <v>48181</v>
      </c>
      <c r="H2660" s="23" t="s">
        <v>1072</v>
      </c>
      <c r="I2660" s="23" t="s">
        <v>113</v>
      </c>
      <c r="J2660" s="23" t="s">
        <v>219</v>
      </c>
      <c r="K2660" s="23" t="str">
        <f t="shared" si="44"/>
        <v>Grayson, TX</v>
      </c>
      <c r="L2660" s="23">
        <v>90.0</v>
      </c>
      <c r="M2660" s="23" t="s">
        <v>63</v>
      </c>
      <c r="N2660" s="23">
        <v>45.0</v>
      </c>
      <c r="O2660" s="23">
        <v>31.0</v>
      </c>
      <c r="P2660" s="23" t="s">
        <v>63</v>
      </c>
      <c r="Q2660" s="23">
        <v>37.0</v>
      </c>
      <c r="R2660" s="23">
        <v>33.0</v>
      </c>
      <c r="S2660" s="23" t="s">
        <v>63</v>
      </c>
      <c r="T2660" s="32" t="s">
        <v>63</v>
      </c>
      <c r="U2660" s="23">
        <v>144.0</v>
      </c>
      <c r="V2660" s="23" t="s">
        <v>63</v>
      </c>
      <c r="W2660" s="23" t="s">
        <v>63</v>
      </c>
      <c r="X2660" s="23" t="s">
        <v>63</v>
      </c>
      <c r="Y2660" s="35">
        <v>154.0</v>
      </c>
      <c r="Z2660" s="32" t="s">
        <v>63</v>
      </c>
      <c r="AA2660" s="38"/>
      <c r="AB2660" s="38"/>
      <c r="AC2660" s="38"/>
      <c r="AD2660" s="38"/>
      <c r="AE2660" s="38"/>
      <c r="AF2660" s="38"/>
      <c r="AG2660" s="38"/>
      <c r="AH2660" s="38"/>
      <c r="AI2660" s="38"/>
      <c r="AJ2660" s="38"/>
      <c r="AK2660" s="38"/>
    </row>
    <row r="2661">
      <c r="A2661" s="99">
        <v>2660.0</v>
      </c>
      <c r="B2661" s="15"/>
      <c r="C2661" s="15"/>
      <c r="D2661" s="105">
        <v>1.0</v>
      </c>
      <c r="E2661" s="102">
        <v>48.0</v>
      </c>
      <c r="F2661" s="107">
        <v>183.0</v>
      </c>
      <c r="G2661" s="15" t="str">
        <f t="shared" si="1"/>
        <v>48183</v>
      </c>
      <c r="H2661" s="23" t="s">
        <v>2078</v>
      </c>
      <c r="I2661" s="23" t="s">
        <v>113</v>
      </c>
      <c r="J2661" s="23" t="s">
        <v>219</v>
      </c>
      <c r="K2661" s="23" t="str">
        <f t="shared" si="44"/>
        <v>Gregg, TX</v>
      </c>
      <c r="L2661" s="23">
        <v>155.0</v>
      </c>
      <c r="M2661" s="23" t="s">
        <v>63</v>
      </c>
      <c r="N2661" s="23">
        <v>49.0</v>
      </c>
      <c r="O2661" s="23">
        <v>77.0</v>
      </c>
      <c r="P2661" s="23" t="s">
        <v>63</v>
      </c>
      <c r="Q2661" s="23">
        <v>37.0</v>
      </c>
      <c r="R2661" s="23">
        <v>57.0</v>
      </c>
      <c r="S2661" s="23" t="s">
        <v>63</v>
      </c>
      <c r="T2661" s="32" t="s">
        <v>63</v>
      </c>
      <c r="U2661" s="23">
        <v>269.0</v>
      </c>
      <c r="V2661" s="23" t="s">
        <v>63</v>
      </c>
      <c r="W2661" s="23" t="s">
        <v>63</v>
      </c>
      <c r="X2661" s="23" t="s">
        <v>63</v>
      </c>
      <c r="Y2661" s="35">
        <v>171.0</v>
      </c>
      <c r="Z2661" s="32" t="s">
        <v>63</v>
      </c>
      <c r="AA2661" s="38"/>
      <c r="AB2661" s="38"/>
      <c r="AC2661" s="38"/>
      <c r="AD2661" s="38"/>
      <c r="AE2661" s="38"/>
      <c r="AF2661" s="38"/>
      <c r="AG2661" s="38"/>
      <c r="AH2661" s="38"/>
      <c r="AI2661" s="38"/>
      <c r="AJ2661" s="38"/>
      <c r="AK2661" s="38"/>
    </row>
    <row r="2662">
      <c r="A2662" s="99">
        <v>2661.0</v>
      </c>
      <c r="B2662" s="15"/>
      <c r="C2662" s="15"/>
      <c r="D2662" s="105">
        <v>1.0</v>
      </c>
      <c r="E2662" s="102">
        <v>48.0</v>
      </c>
      <c r="F2662" s="107">
        <v>185.0</v>
      </c>
      <c r="G2662" s="15" t="str">
        <f t="shared" si="1"/>
        <v>48185</v>
      </c>
      <c r="H2662" s="23" t="s">
        <v>2079</v>
      </c>
      <c r="I2662" s="23" t="s">
        <v>113</v>
      </c>
      <c r="J2662" s="23" t="s">
        <v>219</v>
      </c>
      <c r="K2662" s="23" t="str">
        <f t="shared" si="44"/>
        <v>Grimes, TX</v>
      </c>
      <c r="L2662" s="23">
        <v>7.0</v>
      </c>
      <c r="M2662" s="23" t="s">
        <v>63</v>
      </c>
      <c r="N2662" s="23">
        <v>1.0</v>
      </c>
      <c r="O2662" s="23">
        <v>5.0</v>
      </c>
      <c r="P2662" s="23" t="s">
        <v>63</v>
      </c>
      <c r="Q2662" s="23">
        <v>6.0</v>
      </c>
      <c r="R2662" s="23">
        <v>2.0</v>
      </c>
      <c r="S2662" s="23" t="s">
        <v>63</v>
      </c>
      <c r="T2662" s="32" t="s">
        <v>63</v>
      </c>
      <c r="U2662" s="23" t="s">
        <v>63</v>
      </c>
      <c r="V2662" s="23" t="s">
        <v>63</v>
      </c>
      <c r="W2662" s="23" t="s">
        <v>63</v>
      </c>
      <c r="X2662" s="23" t="s">
        <v>63</v>
      </c>
      <c r="Y2662" s="35">
        <v>33.0</v>
      </c>
      <c r="Z2662" s="32" t="s">
        <v>63</v>
      </c>
      <c r="AA2662" s="38"/>
      <c r="AB2662" s="38"/>
      <c r="AC2662" s="38"/>
      <c r="AD2662" s="38"/>
      <c r="AE2662" s="38"/>
      <c r="AF2662" s="38"/>
      <c r="AG2662" s="38"/>
      <c r="AH2662" s="38"/>
      <c r="AI2662" s="38"/>
      <c r="AJ2662" s="38"/>
      <c r="AK2662" s="38"/>
    </row>
    <row r="2663">
      <c r="A2663" s="99">
        <v>2662.0</v>
      </c>
      <c r="B2663" s="15"/>
      <c r="C2663" s="15"/>
      <c r="D2663" s="105">
        <v>1.0</v>
      </c>
      <c r="E2663" s="102">
        <v>48.0</v>
      </c>
      <c r="F2663" s="107">
        <v>187.0</v>
      </c>
      <c r="G2663" s="15" t="str">
        <f t="shared" si="1"/>
        <v>48187</v>
      </c>
      <c r="H2663" s="23" t="s">
        <v>1539</v>
      </c>
      <c r="I2663" s="23" t="s">
        <v>113</v>
      </c>
      <c r="J2663" s="23" t="s">
        <v>219</v>
      </c>
      <c r="K2663" s="23" t="str">
        <f t="shared" si="44"/>
        <v>Guadalupe, TX</v>
      </c>
      <c r="L2663" s="23">
        <v>68.0</v>
      </c>
      <c r="M2663" s="23" t="s">
        <v>63</v>
      </c>
      <c r="N2663" s="23">
        <v>21.0</v>
      </c>
      <c r="O2663" s="23">
        <v>16.0</v>
      </c>
      <c r="P2663" s="23" t="s">
        <v>63</v>
      </c>
      <c r="Q2663" s="23">
        <v>64.0</v>
      </c>
      <c r="R2663" s="23">
        <v>13.0</v>
      </c>
      <c r="S2663" s="23" t="s">
        <v>63</v>
      </c>
      <c r="T2663" s="32" t="s">
        <v>63</v>
      </c>
      <c r="U2663" s="23">
        <v>255.0</v>
      </c>
      <c r="V2663" s="23" t="s">
        <v>63</v>
      </c>
      <c r="W2663" s="23" t="s">
        <v>63</v>
      </c>
      <c r="X2663" s="23" t="s">
        <v>63</v>
      </c>
      <c r="Y2663" s="35">
        <v>79.0</v>
      </c>
      <c r="Z2663" s="32" t="s">
        <v>63</v>
      </c>
      <c r="AA2663" s="38"/>
      <c r="AB2663" s="38"/>
      <c r="AC2663" s="38"/>
      <c r="AD2663" s="38"/>
      <c r="AE2663" s="38"/>
      <c r="AF2663" s="38"/>
      <c r="AG2663" s="38"/>
      <c r="AH2663" s="38"/>
      <c r="AI2663" s="38"/>
      <c r="AJ2663" s="38"/>
      <c r="AK2663" s="38"/>
    </row>
    <row r="2664">
      <c r="A2664" s="99">
        <v>2663.0</v>
      </c>
      <c r="B2664" s="15"/>
      <c r="C2664" s="15"/>
      <c r="D2664" s="105">
        <v>1.0</v>
      </c>
      <c r="E2664" s="102">
        <v>48.0</v>
      </c>
      <c r="F2664" s="107">
        <v>189.0</v>
      </c>
      <c r="G2664" s="15" t="str">
        <f t="shared" si="1"/>
        <v>48189</v>
      </c>
      <c r="H2664" s="23" t="s">
        <v>139</v>
      </c>
      <c r="I2664" s="23" t="s">
        <v>113</v>
      </c>
      <c r="J2664" s="23" t="s">
        <v>219</v>
      </c>
      <c r="K2664" s="23" t="str">
        <f t="shared" si="44"/>
        <v>Hale, TX</v>
      </c>
      <c r="L2664" s="23">
        <v>26.0</v>
      </c>
      <c r="M2664" s="23" t="s">
        <v>63</v>
      </c>
      <c r="N2664" s="23">
        <v>8.0</v>
      </c>
      <c r="O2664" s="23">
        <v>4.0</v>
      </c>
      <c r="P2664" s="23" t="s">
        <v>63</v>
      </c>
      <c r="Q2664" s="23">
        <v>14.0</v>
      </c>
      <c r="R2664" s="23">
        <v>13.0</v>
      </c>
      <c r="S2664" s="23" t="s">
        <v>63</v>
      </c>
      <c r="T2664" s="32" t="s">
        <v>63</v>
      </c>
      <c r="U2664" s="23">
        <v>166.0</v>
      </c>
      <c r="V2664" s="23" t="s">
        <v>63</v>
      </c>
      <c r="W2664" s="23" t="s">
        <v>63</v>
      </c>
      <c r="X2664" s="23" t="s">
        <v>63</v>
      </c>
      <c r="Y2664" s="35">
        <v>46.0</v>
      </c>
      <c r="Z2664" s="32" t="s">
        <v>63</v>
      </c>
      <c r="AA2664" s="38"/>
      <c r="AB2664" s="38"/>
      <c r="AC2664" s="38"/>
      <c r="AD2664" s="38"/>
      <c r="AE2664" s="38"/>
      <c r="AF2664" s="38"/>
      <c r="AG2664" s="38"/>
      <c r="AH2664" s="38"/>
      <c r="AI2664" s="38"/>
      <c r="AJ2664" s="38"/>
      <c r="AK2664" s="38"/>
    </row>
    <row r="2665">
      <c r="A2665" s="99">
        <v>2664.0</v>
      </c>
      <c r="B2665" s="15"/>
      <c r="C2665" s="15"/>
      <c r="D2665" s="105">
        <v>1.0</v>
      </c>
      <c r="E2665" s="102">
        <v>48.0</v>
      </c>
      <c r="F2665" s="107">
        <v>191.0</v>
      </c>
      <c r="G2665" s="15" t="str">
        <f t="shared" si="1"/>
        <v>48191</v>
      </c>
      <c r="H2665" s="23" t="s">
        <v>586</v>
      </c>
      <c r="I2665" s="23" t="s">
        <v>113</v>
      </c>
      <c r="J2665" s="23" t="s">
        <v>219</v>
      </c>
      <c r="K2665" s="23" t="str">
        <f t="shared" si="44"/>
        <v>Hall, TX</v>
      </c>
      <c r="L2665" s="23">
        <v>8.0</v>
      </c>
      <c r="M2665" s="23" t="s">
        <v>63</v>
      </c>
      <c r="N2665" s="23">
        <v>0.0</v>
      </c>
      <c r="O2665" s="23">
        <v>2.0</v>
      </c>
      <c r="P2665" s="23" t="s">
        <v>63</v>
      </c>
      <c r="Q2665" s="23">
        <v>2.0</v>
      </c>
      <c r="R2665" s="23">
        <v>0.0</v>
      </c>
      <c r="S2665" s="23" t="s">
        <v>63</v>
      </c>
      <c r="T2665" s="32" t="s">
        <v>63</v>
      </c>
      <c r="U2665" s="23">
        <v>20.0</v>
      </c>
      <c r="V2665" s="23" t="s">
        <v>63</v>
      </c>
      <c r="W2665" s="23" t="s">
        <v>63</v>
      </c>
      <c r="X2665" s="23" t="s">
        <v>63</v>
      </c>
      <c r="Y2665" s="35">
        <v>7.0</v>
      </c>
      <c r="Z2665" s="32" t="s">
        <v>63</v>
      </c>
      <c r="AA2665" s="38"/>
      <c r="AB2665" s="38"/>
      <c r="AC2665" s="38"/>
      <c r="AD2665" s="38"/>
      <c r="AE2665" s="38"/>
      <c r="AF2665" s="38"/>
      <c r="AG2665" s="38"/>
      <c r="AH2665" s="38"/>
      <c r="AI2665" s="38"/>
      <c r="AJ2665" s="38"/>
      <c r="AK2665" s="38"/>
    </row>
    <row r="2666">
      <c r="A2666" s="99">
        <v>2665.0</v>
      </c>
      <c r="B2666" s="15"/>
      <c r="C2666" s="15"/>
      <c r="D2666" s="105">
        <v>1.0</v>
      </c>
      <c r="E2666" s="102">
        <v>48.0</v>
      </c>
      <c r="F2666" s="107">
        <v>193.0</v>
      </c>
      <c r="G2666" s="15" t="str">
        <f t="shared" si="1"/>
        <v>48193</v>
      </c>
      <c r="H2666" s="23" t="s">
        <v>497</v>
      </c>
      <c r="I2666" s="23" t="s">
        <v>113</v>
      </c>
      <c r="J2666" s="23" t="s">
        <v>219</v>
      </c>
      <c r="K2666" s="23" t="str">
        <f t="shared" si="44"/>
        <v>Hamilton, TX</v>
      </c>
      <c r="L2666" s="23">
        <v>10.0</v>
      </c>
      <c r="M2666" s="23" t="s">
        <v>63</v>
      </c>
      <c r="N2666" s="23">
        <v>5.0</v>
      </c>
      <c r="O2666" s="23">
        <v>3.0</v>
      </c>
      <c r="P2666" s="23" t="s">
        <v>63</v>
      </c>
      <c r="Q2666" s="23">
        <v>2.0</v>
      </c>
      <c r="R2666" s="23">
        <v>2.0</v>
      </c>
      <c r="S2666" s="23" t="s">
        <v>63</v>
      </c>
      <c r="T2666" s="32" t="s">
        <v>63</v>
      </c>
      <c r="U2666" s="23" t="s">
        <v>63</v>
      </c>
      <c r="V2666" s="23" t="s">
        <v>63</v>
      </c>
      <c r="W2666" s="23" t="s">
        <v>63</v>
      </c>
      <c r="X2666" s="23" t="s">
        <v>63</v>
      </c>
      <c r="Y2666" s="35">
        <v>13.0</v>
      </c>
      <c r="Z2666" s="32" t="s">
        <v>63</v>
      </c>
      <c r="AA2666" s="38"/>
      <c r="AB2666" s="38"/>
      <c r="AC2666" s="38"/>
      <c r="AD2666" s="38"/>
      <c r="AE2666" s="38"/>
      <c r="AF2666" s="38"/>
      <c r="AG2666" s="38"/>
      <c r="AH2666" s="38"/>
      <c r="AI2666" s="38"/>
      <c r="AJ2666" s="38"/>
      <c r="AK2666" s="38"/>
    </row>
    <row r="2667">
      <c r="A2667" s="99">
        <v>2666.0</v>
      </c>
      <c r="B2667" s="15"/>
      <c r="C2667" s="15"/>
      <c r="D2667" s="105">
        <v>1.0</v>
      </c>
      <c r="E2667" s="102">
        <v>48.0</v>
      </c>
      <c r="F2667" s="107">
        <v>195.0</v>
      </c>
      <c r="G2667" s="15" t="str">
        <f t="shared" si="1"/>
        <v>48195</v>
      </c>
      <c r="H2667" s="23" t="s">
        <v>2080</v>
      </c>
      <c r="I2667" s="23" t="s">
        <v>113</v>
      </c>
      <c r="J2667" s="23" t="s">
        <v>219</v>
      </c>
      <c r="K2667" s="23" t="str">
        <f t="shared" si="44"/>
        <v>Hansford, TX</v>
      </c>
      <c r="L2667" s="23">
        <v>1.0</v>
      </c>
      <c r="M2667" s="23" t="s">
        <v>63</v>
      </c>
      <c r="N2667" s="23">
        <v>1.0</v>
      </c>
      <c r="O2667" s="23">
        <v>0.0</v>
      </c>
      <c r="P2667" s="23" t="s">
        <v>63</v>
      </c>
      <c r="Q2667" s="23" t="s">
        <v>63</v>
      </c>
      <c r="R2667" s="23" t="s">
        <v>63</v>
      </c>
      <c r="S2667" s="23" t="s">
        <v>63</v>
      </c>
      <c r="T2667" s="32" t="s">
        <v>63</v>
      </c>
      <c r="U2667" s="23">
        <v>10.0</v>
      </c>
      <c r="V2667" s="23" t="s">
        <v>63</v>
      </c>
      <c r="W2667" s="23" t="s">
        <v>63</v>
      </c>
      <c r="X2667" s="23" t="s">
        <v>63</v>
      </c>
      <c r="Y2667" s="35">
        <v>11.0</v>
      </c>
      <c r="Z2667" s="32" t="s">
        <v>63</v>
      </c>
      <c r="AA2667" s="38"/>
      <c r="AB2667" s="38"/>
      <c r="AC2667" s="38"/>
      <c r="AD2667" s="38"/>
      <c r="AE2667" s="38"/>
      <c r="AF2667" s="38"/>
      <c r="AG2667" s="38"/>
      <c r="AH2667" s="38"/>
      <c r="AI2667" s="38"/>
      <c r="AJ2667" s="38"/>
      <c r="AK2667" s="38"/>
    </row>
    <row r="2668">
      <c r="A2668" s="99">
        <v>2667.0</v>
      </c>
      <c r="B2668" s="15"/>
      <c r="C2668" s="15"/>
      <c r="D2668" s="105">
        <v>1.0</v>
      </c>
      <c r="E2668" s="102">
        <v>48.0</v>
      </c>
      <c r="F2668" s="107">
        <v>197.0</v>
      </c>
      <c r="G2668" s="15" t="str">
        <f t="shared" si="1"/>
        <v>48197</v>
      </c>
      <c r="H2668" s="23" t="s">
        <v>1915</v>
      </c>
      <c r="I2668" s="23" t="s">
        <v>113</v>
      </c>
      <c r="J2668" s="23" t="s">
        <v>219</v>
      </c>
      <c r="K2668" s="23" t="str">
        <f t="shared" si="44"/>
        <v>Hardeman, TX</v>
      </c>
      <c r="L2668" s="23">
        <v>1.0</v>
      </c>
      <c r="M2668" s="23" t="s">
        <v>63</v>
      </c>
      <c r="N2668" s="23">
        <v>0.0</v>
      </c>
      <c r="O2668" s="23">
        <v>1.0</v>
      </c>
      <c r="P2668" s="23" t="s">
        <v>63</v>
      </c>
      <c r="Q2668" s="23">
        <v>1.0</v>
      </c>
      <c r="R2668" s="23">
        <v>0.0</v>
      </c>
      <c r="S2668" s="23" t="s">
        <v>63</v>
      </c>
      <c r="T2668" s="32" t="s">
        <v>63</v>
      </c>
      <c r="U2668" s="23" t="s">
        <v>63</v>
      </c>
      <c r="V2668" s="23" t="s">
        <v>63</v>
      </c>
      <c r="W2668" s="23" t="s">
        <v>63</v>
      </c>
      <c r="X2668" s="23" t="s">
        <v>63</v>
      </c>
      <c r="Y2668" s="35">
        <v>8.0</v>
      </c>
      <c r="Z2668" s="32" t="s">
        <v>63</v>
      </c>
      <c r="AA2668" s="38"/>
      <c r="AB2668" s="38"/>
      <c r="AC2668" s="38"/>
      <c r="AD2668" s="38"/>
      <c r="AE2668" s="38"/>
      <c r="AF2668" s="38"/>
      <c r="AG2668" s="38"/>
      <c r="AH2668" s="38"/>
      <c r="AI2668" s="38"/>
      <c r="AJ2668" s="38"/>
      <c r="AK2668" s="38"/>
    </row>
    <row r="2669">
      <c r="A2669" s="99">
        <v>2668.0</v>
      </c>
      <c r="B2669" s="15"/>
      <c r="C2669" s="15"/>
      <c r="D2669" s="105">
        <v>1.0</v>
      </c>
      <c r="E2669" s="102">
        <v>48.0</v>
      </c>
      <c r="F2669" s="107">
        <v>199.0</v>
      </c>
      <c r="G2669" s="15" t="str">
        <f t="shared" si="1"/>
        <v>48199</v>
      </c>
      <c r="H2669" s="23" t="s">
        <v>721</v>
      </c>
      <c r="I2669" s="23" t="s">
        <v>113</v>
      </c>
      <c r="J2669" s="23" t="s">
        <v>219</v>
      </c>
      <c r="K2669" s="23" t="str">
        <f t="shared" si="44"/>
        <v>Hardin, TX</v>
      </c>
      <c r="L2669" s="23">
        <v>54.0</v>
      </c>
      <c r="M2669" s="23" t="s">
        <v>63</v>
      </c>
      <c r="N2669" s="23">
        <v>23.0</v>
      </c>
      <c r="O2669" s="23">
        <v>20.0</v>
      </c>
      <c r="P2669" s="23" t="s">
        <v>63</v>
      </c>
      <c r="Q2669" s="23">
        <v>18.0</v>
      </c>
      <c r="R2669" s="23">
        <v>9.0</v>
      </c>
      <c r="S2669" s="23" t="s">
        <v>63</v>
      </c>
      <c r="T2669" s="32" t="s">
        <v>63</v>
      </c>
      <c r="U2669" s="23">
        <v>93.0</v>
      </c>
      <c r="V2669" s="23" t="s">
        <v>63</v>
      </c>
      <c r="W2669" s="23" t="s">
        <v>63</v>
      </c>
      <c r="X2669" s="23" t="s">
        <v>63</v>
      </c>
      <c r="Y2669" s="35">
        <v>70.0</v>
      </c>
      <c r="Z2669" s="32" t="s">
        <v>63</v>
      </c>
      <c r="AA2669" s="38"/>
      <c r="AB2669" s="38"/>
      <c r="AC2669" s="38"/>
      <c r="AD2669" s="38"/>
      <c r="AE2669" s="38"/>
      <c r="AF2669" s="38"/>
      <c r="AG2669" s="38"/>
      <c r="AH2669" s="38"/>
      <c r="AI2669" s="38"/>
      <c r="AJ2669" s="38"/>
      <c r="AK2669" s="38"/>
    </row>
    <row r="2670">
      <c r="A2670" s="99">
        <v>2669.0</v>
      </c>
      <c r="B2670" s="15"/>
      <c r="C2670" s="15"/>
      <c r="D2670" s="105">
        <v>1.0</v>
      </c>
      <c r="E2670" s="102">
        <v>48.0</v>
      </c>
      <c r="F2670" s="107">
        <v>201.0</v>
      </c>
      <c r="G2670" s="15" t="str">
        <f t="shared" si="1"/>
        <v>48201</v>
      </c>
      <c r="H2670" s="23" t="s">
        <v>218</v>
      </c>
      <c r="I2670" s="23" t="s">
        <v>113</v>
      </c>
      <c r="J2670" s="23" t="s">
        <v>219</v>
      </c>
      <c r="K2670" s="23" t="str">
        <f t="shared" si="44"/>
        <v>Harris, TX</v>
      </c>
      <c r="L2670" s="23">
        <v>1841.0</v>
      </c>
      <c r="M2670" s="23" t="s">
        <v>63</v>
      </c>
      <c r="N2670" s="23">
        <v>923.0</v>
      </c>
      <c r="O2670" s="23">
        <v>538.0</v>
      </c>
      <c r="P2670" s="23" t="s">
        <v>63</v>
      </c>
      <c r="Q2670" s="23">
        <v>1075.0</v>
      </c>
      <c r="R2670" s="23">
        <v>411.0</v>
      </c>
      <c r="S2670" s="23" t="s">
        <v>63</v>
      </c>
      <c r="T2670" s="32" t="s">
        <v>63</v>
      </c>
      <c r="U2670" s="23">
        <v>3992.0</v>
      </c>
      <c r="V2670" s="23" t="s">
        <v>63</v>
      </c>
      <c r="W2670" s="23" t="s">
        <v>63</v>
      </c>
      <c r="X2670" s="23" t="s">
        <v>63</v>
      </c>
      <c r="Y2670" s="35">
        <v>1795.0</v>
      </c>
      <c r="Z2670" s="32" t="s">
        <v>63</v>
      </c>
      <c r="AA2670" s="38"/>
      <c r="AB2670" s="38"/>
      <c r="AC2670" s="38"/>
      <c r="AD2670" s="38"/>
      <c r="AE2670" s="38"/>
      <c r="AF2670" s="38"/>
      <c r="AG2670" s="38"/>
      <c r="AH2670" s="38"/>
      <c r="AI2670" s="38"/>
      <c r="AJ2670" s="38"/>
      <c r="AK2670" s="38"/>
    </row>
    <row r="2671">
      <c r="A2671" s="99">
        <v>2670.0</v>
      </c>
      <c r="B2671" s="15"/>
      <c r="C2671" s="15"/>
      <c r="D2671" s="105">
        <v>1.0</v>
      </c>
      <c r="E2671" s="102">
        <v>48.0</v>
      </c>
      <c r="F2671" s="107">
        <v>203.0</v>
      </c>
      <c r="G2671" s="15" t="str">
        <f t="shared" si="1"/>
        <v>48203</v>
      </c>
      <c r="H2671" s="23" t="s">
        <v>775</v>
      </c>
      <c r="I2671" s="23" t="s">
        <v>113</v>
      </c>
      <c r="J2671" s="23" t="s">
        <v>219</v>
      </c>
      <c r="K2671" s="23" t="str">
        <f t="shared" si="44"/>
        <v>Harrison, TX</v>
      </c>
      <c r="L2671" s="23">
        <v>52.0</v>
      </c>
      <c r="M2671" s="23" t="s">
        <v>63</v>
      </c>
      <c r="N2671" s="23">
        <v>16.0</v>
      </c>
      <c r="O2671" s="23">
        <v>25.0</v>
      </c>
      <c r="P2671" s="23" t="s">
        <v>63</v>
      </c>
      <c r="Q2671" s="23">
        <v>27.0</v>
      </c>
      <c r="R2671" s="23">
        <v>14.0</v>
      </c>
      <c r="S2671" s="23" t="s">
        <v>63</v>
      </c>
      <c r="T2671" s="32" t="s">
        <v>63</v>
      </c>
      <c r="U2671" s="23">
        <v>94.0</v>
      </c>
      <c r="V2671" s="23" t="s">
        <v>63</v>
      </c>
      <c r="W2671" s="23" t="s">
        <v>63</v>
      </c>
      <c r="X2671" s="23" t="s">
        <v>63</v>
      </c>
      <c r="Y2671" s="35">
        <v>112.0</v>
      </c>
      <c r="Z2671" s="32" t="s">
        <v>63</v>
      </c>
      <c r="AA2671" s="38"/>
      <c r="AB2671" s="38"/>
      <c r="AC2671" s="38"/>
      <c r="AD2671" s="38"/>
      <c r="AE2671" s="38"/>
      <c r="AF2671" s="38"/>
      <c r="AG2671" s="38"/>
      <c r="AH2671" s="38"/>
      <c r="AI2671" s="38"/>
      <c r="AJ2671" s="38"/>
      <c r="AK2671" s="38"/>
    </row>
    <row r="2672">
      <c r="A2672" s="99">
        <v>2671.0</v>
      </c>
      <c r="B2672" s="15"/>
      <c r="C2672" s="15"/>
      <c r="D2672" s="105">
        <v>1.0</v>
      </c>
      <c r="E2672" s="102">
        <v>48.0</v>
      </c>
      <c r="F2672" s="107">
        <v>205.0</v>
      </c>
      <c r="G2672" s="15" t="str">
        <f t="shared" si="1"/>
        <v>48205</v>
      </c>
      <c r="H2672" s="23" t="s">
        <v>2082</v>
      </c>
      <c r="I2672" s="23" t="s">
        <v>113</v>
      </c>
      <c r="J2672" s="23" t="s">
        <v>219</v>
      </c>
      <c r="K2672" s="23" t="str">
        <f t="shared" si="44"/>
        <v>Hartley, TX</v>
      </c>
      <c r="L2672" s="23">
        <v>3.0</v>
      </c>
      <c r="M2672" s="23" t="s">
        <v>63</v>
      </c>
      <c r="N2672" s="23">
        <v>1.0</v>
      </c>
      <c r="O2672" s="23">
        <v>0.0</v>
      </c>
      <c r="P2672" s="23" t="s">
        <v>63</v>
      </c>
      <c r="Q2672" s="23" t="s">
        <v>63</v>
      </c>
      <c r="R2672" s="23" t="s">
        <v>63</v>
      </c>
      <c r="S2672" s="23" t="s">
        <v>63</v>
      </c>
      <c r="T2672" s="32" t="s">
        <v>63</v>
      </c>
      <c r="U2672" s="23">
        <v>11.0</v>
      </c>
      <c r="V2672" s="23" t="s">
        <v>63</v>
      </c>
      <c r="W2672" s="23" t="s">
        <v>63</v>
      </c>
      <c r="X2672" s="23" t="s">
        <v>63</v>
      </c>
      <c r="Y2672" s="35">
        <v>10.0</v>
      </c>
      <c r="Z2672" s="32" t="s">
        <v>63</v>
      </c>
      <c r="AA2672" s="38"/>
      <c r="AB2672" s="38"/>
      <c r="AC2672" s="38"/>
      <c r="AD2672" s="38"/>
      <c r="AE2672" s="38"/>
      <c r="AF2672" s="38"/>
      <c r="AG2672" s="38"/>
      <c r="AH2672" s="38"/>
      <c r="AI2672" s="38"/>
      <c r="AJ2672" s="38"/>
      <c r="AK2672" s="38"/>
    </row>
    <row r="2673">
      <c r="A2673" s="99">
        <v>2672.0</v>
      </c>
      <c r="B2673" s="15"/>
      <c r="C2673" s="15"/>
      <c r="D2673" s="105">
        <v>1.0</v>
      </c>
      <c r="E2673" s="102">
        <v>48.0</v>
      </c>
      <c r="F2673" s="107">
        <v>207.0</v>
      </c>
      <c r="G2673" s="15" t="str">
        <f t="shared" si="1"/>
        <v>48207</v>
      </c>
      <c r="H2673" s="23" t="s">
        <v>980</v>
      </c>
      <c r="I2673" s="23" t="s">
        <v>113</v>
      </c>
      <c r="J2673" s="23" t="s">
        <v>219</v>
      </c>
      <c r="K2673" s="23" t="str">
        <f t="shared" si="44"/>
        <v>Haskell, TX</v>
      </c>
      <c r="L2673" s="23">
        <v>15.0</v>
      </c>
      <c r="M2673" s="23" t="s">
        <v>63</v>
      </c>
      <c r="N2673" s="23">
        <v>11.0</v>
      </c>
      <c r="O2673" s="23">
        <v>4.0</v>
      </c>
      <c r="P2673" s="23" t="s">
        <v>63</v>
      </c>
      <c r="Q2673" s="23">
        <v>1.0</v>
      </c>
      <c r="R2673" s="23">
        <v>2.0</v>
      </c>
      <c r="S2673" s="23" t="s">
        <v>63</v>
      </c>
      <c r="T2673" s="32" t="s">
        <v>63</v>
      </c>
      <c r="U2673" s="23">
        <v>2.0</v>
      </c>
      <c r="V2673" s="23" t="s">
        <v>63</v>
      </c>
      <c r="W2673" s="23" t="s">
        <v>63</v>
      </c>
      <c r="X2673" s="23" t="s">
        <v>63</v>
      </c>
      <c r="Y2673" s="35">
        <v>19.0</v>
      </c>
      <c r="Z2673" s="32" t="s">
        <v>63</v>
      </c>
      <c r="AA2673" s="38"/>
      <c r="AB2673" s="38"/>
      <c r="AC2673" s="38"/>
      <c r="AD2673" s="38"/>
      <c r="AE2673" s="38"/>
      <c r="AF2673" s="38"/>
      <c r="AG2673" s="38"/>
      <c r="AH2673" s="38"/>
      <c r="AI2673" s="38"/>
      <c r="AJ2673" s="38"/>
      <c r="AK2673" s="38"/>
    </row>
    <row r="2674">
      <c r="A2674" s="99">
        <v>2673.0</v>
      </c>
      <c r="B2674" s="15"/>
      <c r="C2674" s="15"/>
      <c r="D2674" s="105">
        <v>1.0</v>
      </c>
      <c r="E2674" s="102">
        <v>48.0</v>
      </c>
      <c r="F2674" s="107">
        <v>209.0</v>
      </c>
      <c r="G2674" s="15" t="str">
        <f t="shared" si="1"/>
        <v>48209</v>
      </c>
      <c r="H2674" s="23" t="s">
        <v>2083</v>
      </c>
      <c r="I2674" s="23" t="s">
        <v>113</v>
      </c>
      <c r="J2674" s="23" t="s">
        <v>219</v>
      </c>
      <c r="K2674" s="23" t="str">
        <f t="shared" si="44"/>
        <v>Hays, TX</v>
      </c>
      <c r="L2674" s="23">
        <v>106.0</v>
      </c>
      <c r="M2674" s="23" t="s">
        <v>63</v>
      </c>
      <c r="N2674" s="23">
        <v>44.0</v>
      </c>
      <c r="O2674" s="23">
        <v>40.0</v>
      </c>
      <c r="P2674" s="23" t="s">
        <v>63</v>
      </c>
      <c r="Q2674" s="23">
        <v>77.0</v>
      </c>
      <c r="R2674" s="23">
        <v>25.0</v>
      </c>
      <c r="S2674" s="23" t="s">
        <v>63</v>
      </c>
      <c r="T2674" s="32" t="s">
        <v>63</v>
      </c>
      <c r="U2674" s="23">
        <v>294.0</v>
      </c>
      <c r="V2674" s="23" t="s">
        <v>63</v>
      </c>
      <c r="W2674" s="23" t="s">
        <v>63</v>
      </c>
      <c r="X2674" s="23" t="s">
        <v>63</v>
      </c>
      <c r="Y2674" s="35">
        <v>89.0</v>
      </c>
      <c r="Z2674" s="32" t="s">
        <v>63</v>
      </c>
      <c r="AA2674" s="38"/>
      <c r="AB2674" s="38"/>
      <c r="AC2674" s="38"/>
      <c r="AD2674" s="38"/>
      <c r="AE2674" s="38"/>
      <c r="AF2674" s="38"/>
      <c r="AG2674" s="38"/>
      <c r="AH2674" s="38"/>
      <c r="AI2674" s="38"/>
      <c r="AJ2674" s="38"/>
      <c r="AK2674" s="38"/>
    </row>
    <row r="2675">
      <c r="A2675" s="99">
        <v>2674.0</v>
      </c>
      <c r="B2675" s="15"/>
      <c r="C2675" s="15"/>
      <c r="D2675" s="105">
        <v>1.0</v>
      </c>
      <c r="E2675" s="102">
        <v>48.0</v>
      </c>
      <c r="F2675" s="107">
        <v>211.0</v>
      </c>
      <c r="G2675" s="15" t="str">
        <f t="shared" si="1"/>
        <v>48211</v>
      </c>
      <c r="H2675" s="23" t="s">
        <v>2084</v>
      </c>
      <c r="I2675" s="23" t="s">
        <v>113</v>
      </c>
      <c r="J2675" s="23" t="s">
        <v>219</v>
      </c>
      <c r="K2675" s="23" t="str">
        <f t="shared" si="44"/>
        <v>Hemphill, TX</v>
      </c>
      <c r="L2675" s="23">
        <v>2.0</v>
      </c>
      <c r="M2675" s="23" t="s">
        <v>63</v>
      </c>
      <c r="N2675" s="23">
        <v>1.0</v>
      </c>
      <c r="O2675" s="23">
        <v>0.0</v>
      </c>
      <c r="P2675" s="23" t="s">
        <v>63</v>
      </c>
      <c r="Q2675" s="23">
        <v>3.0</v>
      </c>
      <c r="R2675" s="23" t="s">
        <v>63</v>
      </c>
      <c r="S2675" s="23" t="s">
        <v>63</v>
      </c>
      <c r="T2675" s="32" t="s">
        <v>63</v>
      </c>
      <c r="U2675" s="23">
        <v>5.0</v>
      </c>
      <c r="V2675" s="23" t="s">
        <v>63</v>
      </c>
      <c r="W2675" s="23" t="s">
        <v>63</v>
      </c>
      <c r="X2675" s="23" t="s">
        <v>63</v>
      </c>
      <c r="Y2675" s="35">
        <v>9.0</v>
      </c>
      <c r="Z2675" s="32" t="s">
        <v>63</v>
      </c>
      <c r="AA2675" s="38"/>
      <c r="AB2675" s="38"/>
      <c r="AC2675" s="38"/>
      <c r="AD2675" s="38"/>
      <c r="AE2675" s="38"/>
      <c r="AF2675" s="38"/>
      <c r="AG2675" s="38"/>
      <c r="AH2675" s="38"/>
      <c r="AI2675" s="38"/>
      <c r="AJ2675" s="38"/>
      <c r="AK2675" s="38"/>
    </row>
    <row r="2676">
      <c r="A2676" s="99">
        <v>2675.0</v>
      </c>
      <c r="B2676" s="15"/>
      <c r="C2676" s="15"/>
      <c r="D2676" s="105">
        <v>1.0</v>
      </c>
      <c r="E2676" s="102">
        <v>48.0</v>
      </c>
      <c r="F2676" s="107">
        <v>213.0</v>
      </c>
      <c r="G2676" s="15" t="str">
        <f t="shared" si="1"/>
        <v>48213</v>
      </c>
      <c r="H2676" s="23" t="s">
        <v>722</v>
      </c>
      <c r="I2676" s="23" t="s">
        <v>113</v>
      </c>
      <c r="J2676" s="23" t="s">
        <v>219</v>
      </c>
      <c r="K2676" s="23" t="str">
        <f t="shared" si="44"/>
        <v>Henderson, TX</v>
      </c>
      <c r="L2676" s="23">
        <v>111.0</v>
      </c>
      <c r="M2676" s="23" t="s">
        <v>63</v>
      </c>
      <c r="N2676" s="23">
        <v>35.0</v>
      </c>
      <c r="O2676" s="23">
        <v>51.0</v>
      </c>
      <c r="P2676" s="23" t="s">
        <v>63</v>
      </c>
      <c r="Q2676" s="23">
        <v>33.0</v>
      </c>
      <c r="R2676" s="23">
        <v>36.0</v>
      </c>
      <c r="S2676" s="23" t="s">
        <v>63</v>
      </c>
      <c r="T2676" s="32" t="s">
        <v>63</v>
      </c>
      <c r="U2676" s="23">
        <v>275.0</v>
      </c>
      <c r="V2676" s="23" t="s">
        <v>63</v>
      </c>
      <c r="W2676" s="23" t="s">
        <v>63</v>
      </c>
      <c r="X2676" s="23" t="s">
        <v>63</v>
      </c>
      <c r="Y2676" s="35">
        <v>114.0</v>
      </c>
      <c r="Z2676" s="32" t="s">
        <v>63</v>
      </c>
      <c r="AA2676" s="38"/>
      <c r="AB2676" s="38"/>
      <c r="AC2676" s="38"/>
      <c r="AD2676" s="38"/>
      <c r="AE2676" s="38"/>
      <c r="AF2676" s="38"/>
      <c r="AG2676" s="38"/>
      <c r="AH2676" s="38"/>
      <c r="AI2676" s="38"/>
      <c r="AJ2676" s="38"/>
      <c r="AK2676" s="38"/>
    </row>
    <row r="2677">
      <c r="A2677" s="99">
        <v>2676.0</v>
      </c>
      <c r="B2677" s="15"/>
      <c r="C2677" s="15"/>
      <c r="D2677" s="105">
        <v>1.0</v>
      </c>
      <c r="E2677" s="102">
        <v>48.0</v>
      </c>
      <c r="F2677" s="107">
        <v>215.0</v>
      </c>
      <c r="G2677" s="15" t="str">
        <f t="shared" si="1"/>
        <v>48215</v>
      </c>
      <c r="H2677" s="23" t="s">
        <v>480</v>
      </c>
      <c r="I2677" s="23" t="s">
        <v>113</v>
      </c>
      <c r="J2677" s="23" t="s">
        <v>219</v>
      </c>
      <c r="K2677" s="23" t="str">
        <f t="shared" si="44"/>
        <v>Hidalgo, TX</v>
      </c>
      <c r="L2677" s="23">
        <v>235.0</v>
      </c>
      <c r="M2677" s="23" t="s">
        <v>63</v>
      </c>
      <c r="N2677" s="23">
        <v>99.0</v>
      </c>
      <c r="O2677" s="23">
        <v>82.0</v>
      </c>
      <c r="P2677" s="23" t="s">
        <v>63</v>
      </c>
      <c r="Q2677" s="23">
        <v>100.0</v>
      </c>
      <c r="R2677" s="23">
        <v>27.0</v>
      </c>
      <c r="S2677" s="23" t="s">
        <v>63</v>
      </c>
      <c r="T2677" s="32" t="s">
        <v>63</v>
      </c>
      <c r="U2677" s="23">
        <v>1647.0</v>
      </c>
      <c r="V2677" s="23" t="s">
        <v>63</v>
      </c>
      <c r="W2677" s="23" t="s">
        <v>63</v>
      </c>
      <c r="X2677" s="23" t="s">
        <v>63</v>
      </c>
      <c r="Y2677" s="35">
        <v>210.0</v>
      </c>
      <c r="Z2677" s="32" t="s">
        <v>63</v>
      </c>
      <c r="AA2677" s="38"/>
      <c r="AB2677" s="38"/>
      <c r="AC2677" s="38"/>
      <c r="AD2677" s="38"/>
      <c r="AE2677" s="38"/>
      <c r="AF2677" s="38"/>
      <c r="AG2677" s="38"/>
      <c r="AH2677" s="38"/>
      <c r="AI2677" s="38"/>
      <c r="AJ2677" s="38"/>
      <c r="AK2677" s="38"/>
    </row>
    <row r="2678">
      <c r="A2678" s="99">
        <v>2677.0</v>
      </c>
      <c r="B2678" s="15"/>
      <c r="C2678" s="15"/>
      <c r="D2678" s="105">
        <v>1.0</v>
      </c>
      <c r="E2678" s="102">
        <v>48.0</v>
      </c>
      <c r="F2678" s="107">
        <v>217.0</v>
      </c>
      <c r="G2678" s="15" t="str">
        <f t="shared" si="1"/>
        <v>48217</v>
      </c>
      <c r="H2678" s="23" t="s">
        <v>1445</v>
      </c>
      <c r="I2678" s="23" t="s">
        <v>113</v>
      </c>
      <c r="J2678" s="23" t="s">
        <v>219</v>
      </c>
      <c r="K2678" s="23" t="str">
        <f t="shared" si="44"/>
        <v>Hill, TX</v>
      </c>
      <c r="L2678" s="23">
        <v>68.0</v>
      </c>
      <c r="M2678" s="23" t="s">
        <v>63</v>
      </c>
      <c r="N2678" s="23">
        <v>13.0</v>
      </c>
      <c r="O2678" s="23">
        <v>41.0</v>
      </c>
      <c r="P2678" s="23" t="s">
        <v>63</v>
      </c>
      <c r="Q2678" s="23">
        <v>12.0</v>
      </c>
      <c r="R2678" s="23">
        <v>23.0</v>
      </c>
      <c r="S2678" s="23" t="s">
        <v>63</v>
      </c>
      <c r="T2678" s="32" t="s">
        <v>63</v>
      </c>
      <c r="U2678" s="23">
        <v>96.0</v>
      </c>
      <c r="V2678" s="23" t="s">
        <v>63</v>
      </c>
      <c r="W2678" s="23" t="s">
        <v>63</v>
      </c>
      <c r="X2678" s="23" t="s">
        <v>63</v>
      </c>
      <c r="Y2678" s="35">
        <v>54.0</v>
      </c>
      <c r="Z2678" s="32" t="s">
        <v>63</v>
      </c>
      <c r="AA2678" s="38"/>
      <c r="AB2678" s="38"/>
      <c r="AC2678" s="38"/>
      <c r="AD2678" s="38"/>
      <c r="AE2678" s="38"/>
      <c r="AF2678" s="38"/>
      <c r="AG2678" s="38"/>
      <c r="AH2678" s="38"/>
      <c r="AI2678" s="38"/>
      <c r="AJ2678" s="38"/>
      <c r="AK2678" s="38"/>
    </row>
    <row r="2679">
      <c r="A2679" s="99">
        <v>2678.0</v>
      </c>
      <c r="B2679" s="15"/>
      <c r="C2679" s="15"/>
      <c r="D2679" s="105">
        <v>1.0</v>
      </c>
      <c r="E2679" s="102">
        <v>48.0</v>
      </c>
      <c r="F2679" s="107">
        <v>219.0</v>
      </c>
      <c r="G2679" s="15" t="str">
        <f t="shared" si="1"/>
        <v>48219</v>
      </c>
      <c r="H2679" s="23" t="s">
        <v>2087</v>
      </c>
      <c r="I2679" s="23" t="s">
        <v>113</v>
      </c>
      <c r="J2679" s="23" t="s">
        <v>219</v>
      </c>
      <c r="K2679" s="23" t="str">
        <f t="shared" si="44"/>
        <v>Hockley, TX</v>
      </c>
      <c r="L2679" s="23">
        <v>22.0</v>
      </c>
      <c r="M2679" s="23" t="s">
        <v>63</v>
      </c>
      <c r="N2679" s="23">
        <v>3.0</v>
      </c>
      <c r="O2679" s="23">
        <v>14.0</v>
      </c>
      <c r="P2679" s="23" t="s">
        <v>63</v>
      </c>
      <c r="Q2679" s="23">
        <v>9.0</v>
      </c>
      <c r="R2679" s="23">
        <v>9.0</v>
      </c>
      <c r="S2679" s="23" t="s">
        <v>63</v>
      </c>
      <c r="T2679" s="32" t="s">
        <v>63</v>
      </c>
      <c r="U2679" s="23">
        <v>68.0</v>
      </c>
      <c r="V2679" s="23" t="s">
        <v>63</v>
      </c>
      <c r="W2679" s="23" t="s">
        <v>63</v>
      </c>
      <c r="X2679" s="23" t="s">
        <v>63</v>
      </c>
      <c r="Y2679" s="35">
        <v>34.0</v>
      </c>
      <c r="Z2679" s="32" t="s">
        <v>63</v>
      </c>
      <c r="AA2679" s="38"/>
      <c r="AB2679" s="38"/>
      <c r="AC2679" s="38"/>
      <c r="AD2679" s="38"/>
      <c r="AE2679" s="38"/>
      <c r="AF2679" s="38"/>
      <c r="AG2679" s="38"/>
      <c r="AH2679" s="38"/>
      <c r="AI2679" s="38"/>
      <c r="AJ2679" s="38"/>
      <c r="AK2679" s="38"/>
    </row>
    <row r="2680">
      <c r="A2680" s="99">
        <v>2679.0</v>
      </c>
      <c r="B2680" s="15"/>
      <c r="C2680" s="15"/>
      <c r="D2680" s="105">
        <v>1.0</v>
      </c>
      <c r="E2680" s="102">
        <v>48.0</v>
      </c>
      <c r="F2680" s="107">
        <v>221.0</v>
      </c>
      <c r="G2680" s="15" t="str">
        <f t="shared" si="1"/>
        <v>48221</v>
      </c>
      <c r="H2680" s="23" t="s">
        <v>2088</v>
      </c>
      <c r="I2680" s="23" t="s">
        <v>113</v>
      </c>
      <c r="J2680" s="23" t="s">
        <v>219</v>
      </c>
      <c r="K2680" s="23" t="str">
        <f t="shared" si="44"/>
        <v>Hood, TX</v>
      </c>
      <c r="L2680" s="23">
        <v>48.0</v>
      </c>
      <c r="M2680" s="23" t="s">
        <v>63</v>
      </c>
      <c r="N2680" s="23">
        <v>19.0</v>
      </c>
      <c r="O2680" s="23">
        <v>15.0</v>
      </c>
      <c r="P2680" s="23" t="s">
        <v>63</v>
      </c>
      <c r="Q2680" s="23">
        <v>18.0</v>
      </c>
      <c r="R2680" s="23">
        <v>11.0</v>
      </c>
      <c r="S2680" s="23" t="s">
        <v>63</v>
      </c>
      <c r="T2680" s="32" t="s">
        <v>63</v>
      </c>
      <c r="U2680" s="23">
        <v>133.0</v>
      </c>
      <c r="V2680" s="23" t="s">
        <v>63</v>
      </c>
      <c r="W2680" s="23" t="s">
        <v>63</v>
      </c>
      <c r="X2680" s="23" t="s">
        <v>63</v>
      </c>
      <c r="Y2680" s="35">
        <v>43.0</v>
      </c>
      <c r="Z2680" s="32" t="s">
        <v>63</v>
      </c>
      <c r="AA2680" s="38"/>
      <c r="AB2680" s="38"/>
      <c r="AC2680" s="38"/>
      <c r="AD2680" s="38"/>
      <c r="AE2680" s="38"/>
      <c r="AF2680" s="38"/>
      <c r="AG2680" s="38"/>
      <c r="AH2680" s="38"/>
      <c r="AI2680" s="38"/>
      <c r="AJ2680" s="38"/>
      <c r="AK2680" s="38"/>
    </row>
    <row r="2681">
      <c r="A2681" s="99">
        <v>2680.0</v>
      </c>
      <c r="B2681" s="15"/>
      <c r="C2681" s="15"/>
      <c r="D2681" s="105">
        <v>1.0</v>
      </c>
      <c r="E2681" s="102">
        <v>48.0</v>
      </c>
      <c r="F2681" s="107">
        <v>223.0</v>
      </c>
      <c r="G2681" s="15" t="str">
        <f t="shared" si="1"/>
        <v>48223</v>
      </c>
      <c r="H2681" s="23" t="s">
        <v>1099</v>
      </c>
      <c r="I2681" s="23" t="s">
        <v>113</v>
      </c>
      <c r="J2681" s="23" t="s">
        <v>219</v>
      </c>
      <c r="K2681" s="23" t="str">
        <f t="shared" si="44"/>
        <v>Hopkins, TX</v>
      </c>
      <c r="L2681" s="23">
        <v>45.0</v>
      </c>
      <c r="M2681" s="23" t="s">
        <v>63</v>
      </c>
      <c r="N2681" s="23">
        <v>18.0</v>
      </c>
      <c r="O2681" s="23">
        <v>21.0</v>
      </c>
      <c r="P2681" s="23" t="s">
        <v>63</v>
      </c>
      <c r="Q2681" s="23">
        <v>19.0</v>
      </c>
      <c r="R2681" s="23">
        <v>15.0</v>
      </c>
      <c r="S2681" s="23" t="s">
        <v>63</v>
      </c>
      <c r="T2681" s="32" t="s">
        <v>63</v>
      </c>
      <c r="U2681" s="23">
        <v>119.0</v>
      </c>
      <c r="V2681" s="23" t="s">
        <v>63</v>
      </c>
      <c r="W2681" s="23" t="s">
        <v>63</v>
      </c>
      <c r="X2681" s="23" t="s">
        <v>63</v>
      </c>
      <c r="Y2681" s="35">
        <v>47.0</v>
      </c>
      <c r="Z2681" s="32" t="s">
        <v>63</v>
      </c>
      <c r="AA2681" s="38"/>
      <c r="AB2681" s="38"/>
      <c r="AC2681" s="38"/>
      <c r="AD2681" s="38"/>
      <c r="AE2681" s="38"/>
      <c r="AF2681" s="38"/>
      <c r="AG2681" s="38"/>
      <c r="AH2681" s="38"/>
      <c r="AI2681" s="38"/>
      <c r="AJ2681" s="38"/>
      <c r="AK2681" s="38"/>
    </row>
    <row r="2682">
      <c r="A2682" s="99">
        <v>2681.0</v>
      </c>
      <c r="B2682" s="15"/>
      <c r="C2682" s="15"/>
      <c r="D2682" s="105">
        <v>1.0</v>
      </c>
      <c r="E2682" s="102">
        <v>48.0</v>
      </c>
      <c r="F2682" s="107">
        <v>225.0</v>
      </c>
      <c r="G2682" s="15" t="str">
        <f t="shared" si="1"/>
        <v>48225</v>
      </c>
      <c r="H2682" s="23" t="s">
        <v>141</v>
      </c>
      <c r="I2682" s="23" t="s">
        <v>113</v>
      </c>
      <c r="J2682" s="23" t="s">
        <v>219</v>
      </c>
      <c r="K2682" s="23" t="str">
        <f t="shared" si="44"/>
        <v>Houston, TX</v>
      </c>
      <c r="L2682" s="23">
        <v>24.0</v>
      </c>
      <c r="M2682" s="23" t="s">
        <v>63</v>
      </c>
      <c r="N2682" s="23">
        <v>9.0</v>
      </c>
      <c r="O2682" s="23">
        <v>12.0</v>
      </c>
      <c r="P2682" s="23" t="s">
        <v>63</v>
      </c>
      <c r="Q2682" s="23">
        <v>2.0</v>
      </c>
      <c r="R2682" s="23">
        <v>6.0</v>
      </c>
      <c r="S2682" s="23" t="s">
        <v>63</v>
      </c>
      <c r="T2682" s="32" t="s">
        <v>63</v>
      </c>
      <c r="U2682" s="23">
        <v>18.0</v>
      </c>
      <c r="V2682" s="23" t="s">
        <v>63</v>
      </c>
      <c r="W2682" s="23" t="s">
        <v>63</v>
      </c>
      <c r="X2682" s="23" t="s">
        <v>63</v>
      </c>
      <c r="Y2682" s="35">
        <v>48.0</v>
      </c>
      <c r="Z2682" s="32" t="s">
        <v>63</v>
      </c>
      <c r="AA2682" s="38"/>
      <c r="AB2682" s="38"/>
      <c r="AC2682" s="38"/>
      <c r="AD2682" s="38"/>
      <c r="AE2682" s="38"/>
      <c r="AF2682" s="38"/>
      <c r="AG2682" s="38"/>
      <c r="AH2682" s="38"/>
      <c r="AI2682" s="38"/>
      <c r="AJ2682" s="38"/>
      <c r="AK2682" s="38"/>
    </row>
    <row r="2683">
      <c r="A2683" s="99">
        <v>2682.0</v>
      </c>
      <c r="B2683" s="15"/>
      <c r="C2683" s="15"/>
      <c r="D2683" s="105">
        <v>1.0</v>
      </c>
      <c r="E2683" s="102">
        <v>48.0</v>
      </c>
      <c r="F2683" s="107">
        <v>227.0</v>
      </c>
      <c r="G2683" s="15" t="str">
        <f t="shared" si="1"/>
        <v>48227</v>
      </c>
      <c r="H2683" s="23" t="s">
        <v>283</v>
      </c>
      <c r="I2683" s="23" t="s">
        <v>113</v>
      </c>
      <c r="J2683" s="23" t="s">
        <v>219</v>
      </c>
      <c r="K2683" s="23" t="str">
        <f t="shared" si="44"/>
        <v>Howard, TX</v>
      </c>
      <c r="L2683" s="23">
        <v>31.0</v>
      </c>
      <c r="M2683" s="23" t="s">
        <v>63</v>
      </c>
      <c r="N2683" s="23">
        <v>13.0</v>
      </c>
      <c r="O2683" s="23">
        <v>14.0</v>
      </c>
      <c r="P2683" s="23" t="s">
        <v>63</v>
      </c>
      <c r="Q2683" s="23">
        <v>5.0</v>
      </c>
      <c r="R2683" s="23">
        <v>5.0</v>
      </c>
      <c r="S2683" s="23" t="s">
        <v>63</v>
      </c>
      <c r="T2683" s="32" t="s">
        <v>63</v>
      </c>
      <c r="U2683" s="23">
        <v>58.0</v>
      </c>
      <c r="V2683" s="23" t="s">
        <v>63</v>
      </c>
      <c r="W2683" s="23" t="s">
        <v>63</v>
      </c>
      <c r="X2683" s="23" t="s">
        <v>63</v>
      </c>
      <c r="Y2683" s="35">
        <v>32.0</v>
      </c>
      <c r="Z2683" s="32" t="s">
        <v>63</v>
      </c>
      <c r="AA2683" s="38"/>
      <c r="AB2683" s="38"/>
      <c r="AC2683" s="38"/>
      <c r="AD2683" s="38"/>
      <c r="AE2683" s="38"/>
      <c r="AF2683" s="38"/>
      <c r="AG2683" s="38"/>
      <c r="AH2683" s="38"/>
      <c r="AI2683" s="38"/>
      <c r="AJ2683" s="38"/>
      <c r="AK2683" s="38"/>
    </row>
    <row r="2684">
      <c r="A2684" s="99">
        <v>2683.0</v>
      </c>
      <c r="B2684" s="15"/>
      <c r="C2684" s="15"/>
      <c r="D2684" s="105">
        <v>1.0</v>
      </c>
      <c r="E2684" s="102">
        <v>48.0</v>
      </c>
      <c r="F2684" s="107">
        <v>229.0</v>
      </c>
      <c r="G2684" s="15" t="str">
        <f t="shared" si="1"/>
        <v>48229</v>
      </c>
      <c r="H2684" s="23" t="s">
        <v>2089</v>
      </c>
      <c r="I2684" s="23" t="s">
        <v>113</v>
      </c>
      <c r="J2684" s="23" t="s">
        <v>219</v>
      </c>
      <c r="K2684" s="23" t="str">
        <f t="shared" si="44"/>
        <v>Hudspeth, TX</v>
      </c>
      <c r="L2684" s="23">
        <v>0.0</v>
      </c>
      <c r="M2684" s="23" t="s">
        <v>63</v>
      </c>
      <c r="N2684" s="23">
        <v>0.0</v>
      </c>
      <c r="O2684" s="23">
        <v>0.0</v>
      </c>
      <c r="P2684" s="23" t="s">
        <v>63</v>
      </c>
      <c r="Q2684" s="23">
        <v>1.0</v>
      </c>
      <c r="R2684" s="23" t="s">
        <v>63</v>
      </c>
      <c r="S2684" s="23" t="s">
        <v>63</v>
      </c>
      <c r="T2684" s="32" t="s">
        <v>63</v>
      </c>
      <c r="U2684" s="23" t="s">
        <v>63</v>
      </c>
      <c r="V2684" s="23" t="s">
        <v>63</v>
      </c>
      <c r="W2684" s="23" t="s">
        <v>63</v>
      </c>
      <c r="X2684" s="23" t="s">
        <v>63</v>
      </c>
      <c r="Y2684" s="35">
        <v>4.0</v>
      </c>
      <c r="Z2684" s="32" t="s">
        <v>63</v>
      </c>
      <c r="AA2684" s="38"/>
      <c r="AB2684" s="38"/>
      <c r="AC2684" s="38"/>
      <c r="AD2684" s="38"/>
      <c r="AE2684" s="38"/>
      <c r="AF2684" s="38"/>
      <c r="AG2684" s="38"/>
      <c r="AH2684" s="38"/>
      <c r="AI2684" s="38"/>
      <c r="AJ2684" s="38"/>
      <c r="AK2684" s="38"/>
    </row>
    <row r="2685">
      <c r="A2685" s="99">
        <v>2684.0</v>
      </c>
      <c r="B2685" s="15"/>
      <c r="C2685" s="15"/>
      <c r="D2685" s="105">
        <v>1.0</v>
      </c>
      <c r="E2685" s="102">
        <v>48.0</v>
      </c>
      <c r="F2685" s="107">
        <v>231.0</v>
      </c>
      <c r="G2685" s="15" t="str">
        <f t="shared" si="1"/>
        <v>48231</v>
      </c>
      <c r="H2685" s="23" t="s">
        <v>2090</v>
      </c>
      <c r="I2685" s="23" t="s">
        <v>113</v>
      </c>
      <c r="J2685" s="23" t="s">
        <v>219</v>
      </c>
      <c r="K2685" s="23" t="str">
        <f t="shared" si="44"/>
        <v>Hunt, TX</v>
      </c>
      <c r="L2685" s="23">
        <v>73.0</v>
      </c>
      <c r="M2685" s="23" t="s">
        <v>63</v>
      </c>
      <c r="N2685" s="23">
        <v>24.0</v>
      </c>
      <c r="O2685" s="23">
        <v>36.0</v>
      </c>
      <c r="P2685" s="23" t="s">
        <v>63</v>
      </c>
      <c r="Q2685" s="23">
        <v>31.0</v>
      </c>
      <c r="R2685" s="23">
        <v>21.0</v>
      </c>
      <c r="S2685" s="23" t="s">
        <v>63</v>
      </c>
      <c r="T2685" s="32" t="s">
        <v>63</v>
      </c>
      <c r="U2685" s="23">
        <v>118.0</v>
      </c>
      <c r="V2685" s="23" t="s">
        <v>63</v>
      </c>
      <c r="W2685" s="23" t="s">
        <v>63</v>
      </c>
      <c r="X2685" s="23" t="s">
        <v>63</v>
      </c>
      <c r="Y2685" s="35">
        <v>117.0</v>
      </c>
      <c r="Z2685" s="32" t="s">
        <v>63</v>
      </c>
      <c r="AA2685" s="38"/>
      <c r="AB2685" s="38"/>
      <c r="AC2685" s="38"/>
      <c r="AD2685" s="38"/>
      <c r="AE2685" s="38"/>
      <c r="AF2685" s="38"/>
      <c r="AG2685" s="38"/>
      <c r="AH2685" s="38"/>
      <c r="AI2685" s="38"/>
      <c r="AJ2685" s="38"/>
      <c r="AK2685" s="38"/>
    </row>
    <row r="2686">
      <c r="A2686" s="99">
        <v>2685.0</v>
      </c>
      <c r="B2686" s="15"/>
      <c r="C2686" s="15"/>
      <c r="D2686" s="105">
        <v>1.0</v>
      </c>
      <c r="E2686" s="102">
        <v>48.0</v>
      </c>
      <c r="F2686" s="107">
        <v>233.0</v>
      </c>
      <c r="G2686" s="15" t="str">
        <f t="shared" si="1"/>
        <v>48233</v>
      </c>
      <c r="H2686" s="23" t="s">
        <v>1860</v>
      </c>
      <c r="I2686" s="23" t="s">
        <v>113</v>
      </c>
      <c r="J2686" s="23" t="s">
        <v>219</v>
      </c>
      <c r="K2686" s="23" t="str">
        <f t="shared" si="44"/>
        <v>Hutchinson, TX</v>
      </c>
      <c r="L2686" s="23">
        <v>44.0</v>
      </c>
      <c r="M2686" s="23" t="s">
        <v>63</v>
      </c>
      <c r="N2686" s="23">
        <v>14.0</v>
      </c>
      <c r="O2686" s="23">
        <v>12.0</v>
      </c>
      <c r="P2686" s="23" t="s">
        <v>63</v>
      </c>
      <c r="Q2686" s="23">
        <v>5.0</v>
      </c>
      <c r="R2686" s="23">
        <v>14.0</v>
      </c>
      <c r="S2686" s="23" t="s">
        <v>63</v>
      </c>
      <c r="T2686" s="32" t="s">
        <v>63</v>
      </c>
      <c r="U2686" s="23">
        <v>117.0</v>
      </c>
      <c r="V2686" s="23" t="s">
        <v>63</v>
      </c>
      <c r="W2686" s="23" t="s">
        <v>63</v>
      </c>
      <c r="X2686" s="23" t="s">
        <v>63</v>
      </c>
      <c r="Y2686" s="35">
        <v>43.0</v>
      </c>
      <c r="Z2686" s="32" t="s">
        <v>63</v>
      </c>
      <c r="AA2686" s="38"/>
      <c r="AB2686" s="38"/>
      <c r="AC2686" s="38"/>
      <c r="AD2686" s="38"/>
      <c r="AE2686" s="38"/>
      <c r="AF2686" s="38"/>
      <c r="AG2686" s="38"/>
      <c r="AH2686" s="38"/>
      <c r="AI2686" s="38"/>
      <c r="AJ2686" s="38"/>
      <c r="AK2686" s="38"/>
    </row>
    <row r="2687">
      <c r="A2687" s="99">
        <v>2686.0</v>
      </c>
      <c r="B2687" s="15"/>
      <c r="C2687" s="15"/>
      <c r="D2687" s="105">
        <v>1.0</v>
      </c>
      <c r="E2687" s="102">
        <v>48.0</v>
      </c>
      <c r="F2687" s="107">
        <v>235.0</v>
      </c>
      <c r="G2687" s="15" t="str">
        <f t="shared" si="1"/>
        <v>48235</v>
      </c>
      <c r="H2687" s="23" t="s">
        <v>2093</v>
      </c>
      <c r="I2687" s="23" t="s">
        <v>113</v>
      </c>
      <c r="J2687" s="23" t="s">
        <v>219</v>
      </c>
      <c r="K2687" s="23" t="str">
        <f t="shared" si="44"/>
        <v>Irion, TX</v>
      </c>
      <c r="L2687" s="23">
        <v>0.0</v>
      </c>
      <c r="M2687" s="23" t="s">
        <v>63</v>
      </c>
      <c r="N2687" s="23">
        <v>0.0</v>
      </c>
      <c r="O2687" s="23">
        <v>0.0</v>
      </c>
      <c r="P2687" s="23" t="s">
        <v>63</v>
      </c>
      <c r="Q2687" s="23" t="s">
        <v>63</v>
      </c>
      <c r="R2687" s="23">
        <v>0.0</v>
      </c>
      <c r="S2687" s="23" t="s">
        <v>63</v>
      </c>
      <c r="T2687" s="32" t="s">
        <v>63</v>
      </c>
      <c r="U2687" s="23">
        <v>1.0</v>
      </c>
      <c r="V2687" s="23" t="s">
        <v>63</v>
      </c>
      <c r="W2687" s="23" t="s">
        <v>63</v>
      </c>
      <c r="X2687" s="23" t="s">
        <v>63</v>
      </c>
      <c r="Y2687" s="35">
        <v>2.0</v>
      </c>
      <c r="Z2687" s="32" t="s">
        <v>63</v>
      </c>
      <c r="AA2687" s="38"/>
      <c r="AB2687" s="38"/>
      <c r="AC2687" s="38"/>
      <c r="AD2687" s="38"/>
      <c r="AE2687" s="38"/>
      <c r="AF2687" s="38"/>
      <c r="AG2687" s="38"/>
      <c r="AH2687" s="38"/>
      <c r="AI2687" s="38"/>
      <c r="AJ2687" s="38"/>
      <c r="AK2687" s="38"/>
    </row>
    <row r="2688">
      <c r="A2688" s="99">
        <v>2687.0</v>
      </c>
      <c r="B2688" s="15"/>
      <c r="C2688" s="15"/>
      <c r="D2688" s="105">
        <v>1.0</v>
      </c>
      <c r="E2688" s="102">
        <v>48.0</v>
      </c>
      <c r="F2688" s="107">
        <v>237.0</v>
      </c>
      <c r="G2688" s="15" t="str">
        <f t="shared" si="1"/>
        <v>48237</v>
      </c>
      <c r="H2688" s="23" t="s">
        <v>2094</v>
      </c>
      <c r="I2688" s="23" t="s">
        <v>113</v>
      </c>
      <c r="J2688" s="23" t="s">
        <v>219</v>
      </c>
      <c r="K2688" s="23" t="str">
        <f t="shared" si="44"/>
        <v>Jack, TX</v>
      </c>
      <c r="L2688" s="23">
        <v>7.0</v>
      </c>
      <c r="M2688" s="23" t="s">
        <v>63</v>
      </c>
      <c r="N2688" s="23">
        <v>4.0</v>
      </c>
      <c r="O2688" s="23">
        <v>0.0</v>
      </c>
      <c r="P2688" s="23" t="s">
        <v>63</v>
      </c>
      <c r="Q2688" s="23">
        <v>4.0</v>
      </c>
      <c r="R2688" s="23">
        <v>3.0</v>
      </c>
      <c r="S2688" s="23" t="s">
        <v>63</v>
      </c>
      <c r="T2688" s="32" t="s">
        <v>63</v>
      </c>
      <c r="U2688" s="23">
        <v>19.0</v>
      </c>
      <c r="V2688" s="23" t="s">
        <v>63</v>
      </c>
      <c r="W2688" s="23" t="s">
        <v>63</v>
      </c>
      <c r="X2688" s="23" t="s">
        <v>63</v>
      </c>
      <c r="Y2688" s="35">
        <v>17.0</v>
      </c>
      <c r="Z2688" s="32" t="s">
        <v>63</v>
      </c>
      <c r="AA2688" s="38"/>
      <c r="AB2688" s="38"/>
      <c r="AC2688" s="38"/>
      <c r="AD2688" s="38"/>
      <c r="AE2688" s="38"/>
      <c r="AF2688" s="38"/>
      <c r="AG2688" s="38"/>
      <c r="AH2688" s="38"/>
      <c r="AI2688" s="38"/>
      <c r="AJ2688" s="38"/>
      <c r="AK2688" s="38"/>
    </row>
    <row r="2689">
      <c r="A2689" s="99">
        <v>2688.0</v>
      </c>
      <c r="B2689" s="15"/>
      <c r="C2689" s="15"/>
      <c r="D2689" s="105">
        <v>1.0</v>
      </c>
      <c r="E2689" s="102">
        <v>48.0</v>
      </c>
      <c r="F2689" s="107">
        <v>239.0</v>
      </c>
      <c r="G2689" s="15" t="str">
        <f t="shared" si="1"/>
        <v>48239</v>
      </c>
      <c r="H2689" s="23" t="s">
        <v>142</v>
      </c>
      <c r="I2689" s="23" t="s">
        <v>113</v>
      </c>
      <c r="J2689" s="23" t="s">
        <v>219</v>
      </c>
      <c r="K2689" s="23" t="str">
        <f t="shared" si="44"/>
        <v>Jackson, TX</v>
      </c>
      <c r="L2689" s="23">
        <v>3.0</v>
      </c>
      <c r="M2689" s="23" t="s">
        <v>63</v>
      </c>
      <c r="N2689" s="23">
        <v>2.0</v>
      </c>
      <c r="O2689" s="23">
        <v>1.0</v>
      </c>
      <c r="P2689" s="23" t="s">
        <v>63</v>
      </c>
      <c r="Q2689" s="23">
        <v>1.0</v>
      </c>
      <c r="R2689" s="23">
        <v>1.0</v>
      </c>
      <c r="S2689" s="23" t="s">
        <v>63</v>
      </c>
      <c r="T2689" s="32" t="s">
        <v>63</v>
      </c>
      <c r="U2689" s="23">
        <v>30.0</v>
      </c>
      <c r="V2689" s="23" t="s">
        <v>63</v>
      </c>
      <c r="W2689" s="23" t="s">
        <v>63</v>
      </c>
      <c r="X2689" s="23" t="s">
        <v>63</v>
      </c>
      <c r="Y2689" s="35">
        <v>29.0</v>
      </c>
      <c r="Z2689" s="32" t="s">
        <v>63</v>
      </c>
      <c r="AA2689" s="38"/>
      <c r="AB2689" s="38"/>
      <c r="AC2689" s="38"/>
      <c r="AD2689" s="38"/>
      <c r="AE2689" s="38"/>
      <c r="AF2689" s="38"/>
      <c r="AG2689" s="38"/>
      <c r="AH2689" s="38"/>
      <c r="AI2689" s="38"/>
      <c r="AJ2689" s="38"/>
      <c r="AK2689" s="38"/>
    </row>
    <row r="2690">
      <c r="A2690" s="99">
        <v>2689.0</v>
      </c>
      <c r="B2690" s="15"/>
      <c r="C2690" s="15"/>
      <c r="D2690" s="105">
        <v>1.0</v>
      </c>
      <c r="E2690" s="102">
        <v>48.0</v>
      </c>
      <c r="F2690" s="107">
        <v>241.0</v>
      </c>
      <c r="G2690" s="15" t="str">
        <f t="shared" si="1"/>
        <v>48241</v>
      </c>
      <c r="H2690" s="23" t="s">
        <v>593</v>
      </c>
      <c r="I2690" s="23" t="s">
        <v>113</v>
      </c>
      <c r="J2690" s="23" t="s">
        <v>219</v>
      </c>
      <c r="K2690" s="23" t="str">
        <f t="shared" si="44"/>
        <v>Jasper, TX</v>
      </c>
      <c r="L2690" s="23">
        <v>50.0</v>
      </c>
      <c r="M2690" s="23" t="s">
        <v>63</v>
      </c>
      <c r="N2690" s="23">
        <v>16.0</v>
      </c>
      <c r="O2690" s="23">
        <v>30.0</v>
      </c>
      <c r="P2690" s="23" t="s">
        <v>63</v>
      </c>
      <c r="Q2690" s="23">
        <v>9.0</v>
      </c>
      <c r="R2690" s="23">
        <v>13.0</v>
      </c>
      <c r="S2690" s="23" t="s">
        <v>63</v>
      </c>
      <c r="T2690" s="32" t="s">
        <v>63</v>
      </c>
      <c r="U2690" s="23">
        <v>58.0</v>
      </c>
      <c r="V2690" s="23" t="s">
        <v>63</v>
      </c>
      <c r="W2690" s="23" t="s">
        <v>63</v>
      </c>
      <c r="X2690" s="23" t="s">
        <v>63</v>
      </c>
      <c r="Y2690" s="35">
        <v>50.0</v>
      </c>
      <c r="Z2690" s="32" t="s">
        <v>63</v>
      </c>
      <c r="AA2690" s="38"/>
      <c r="AB2690" s="38"/>
      <c r="AC2690" s="38"/>
      <c r="AD2690" s="38"/>
      <c r="AE2690" s="38"/>
      <c r="AF2690" s="38"/>
      <c r="AG2690" s="38"/>
      <c r="AH2690" s="38"/>
      <c r="AI2690" s="38"/>
      <c r="AJ2690" s="38"/>
      <c r="AK2690" s="38"/>
    </row>
    <row r="2691">
      <c r="A2691" s="99">
        <v>2690.0</v>
      </c>
      <c r="B2691" s="15"/>
      <c r="C2691" s="15"/>
      <c r="D2691" s="105">
        <v>1.0</v>
      </c>
      <c r="E2691" s="102">
        <v>48.0</v>
      </c>
      <c r="F2691" s="107">
        <v>243.0</v>
      </c>
      <c r="G2691" s="15" t="str">
        <f t="shared" si="1"/>
        <v>48243</v>
      </c>
      <c r="H2691" s="23" t="s">
        <v>594</v>
      </c>
      <c r="I2691" s="23" t="s">
        <v>113</v>
      </c>
      <c r="J2691" s="23" t="s">
        <v>219</v>
      </c>
      <c r="K2691" s="23" t="str">
        <f t="shared" si="44"/>
        <v>Jeff Davis, TX</v>
      </c>
      <c r="L2691" s="23" t="s">
        <v>63</v>
      </c>
      <c r="M2691" s="23" t="s">
        <v>63</v>
      </c>
      <c r="N2691" s="23">
        <v>0.0</v>
      </c>
      <c r="O2691" s="23">
        <v>0.0</v>
      </c>
      <c r="P2691" s="23" t="s">
        <v>63</v>
      </c>
      <c r="Q2691" s="23" t="s">
        <v>63</v>
      </c>
      <c r="R2691" s="23" t="s">
        <v>63</v>
      </c>
      <c r="S2691" s="23" t="s">
        <v>63</v>
      </c>
      <c r="T2691" s="32" t="s">
        <v>63</v>
      </c>
      <c r="U2691" s="23" t="s">
        <v>63</v>
      </c>
      <c r="V2691" s="23" t="s">
        <v>63</v>
      </c>
      <c r="W2691" s="23" t="s">
        <v>63</v>
      </c>
      <c r="X2691" s="23" t="s">
        <v>63</v>
      </c>
      <c r="Y2691" s="35">
        <v>4.0</v>
      </c>
      <c r="Z2691" s="32" t="s">
        <v>63</v>
      </c>
      <c r="AA2691" s="38"/>
      <c r="AB2691" s="38"/>
      <c r="AC2691" s="38"/>
      <c r="AD2691" s="38"/>
      <c r="AE2691" s="38"/>
      <c r="AF2691" s="38"/>
      <c r="AG2691" s="38"/>
      <c r="AH2691" s="38"/>
      <c r="AI2691" s="38"/>
      <c r="AJ2691" s="38"/>
      <c r="AK2691" s="38"/>
    </row>
    <row r="2692">
      <c r="A2692" s="99">
        <v>2691.0</v>
      </c>
      <c r="B2692" s="15"/>
      <c r="C2692" s="15"/>
      <c r="D2692" s="105">
        <v>1.0</v>
      </c>
      <c r="E2692" s="102">
        <v>48.0</v>
      </c>
      <c r="F2692" s="107">
        <v>245.0</v>
      </c>
      <c r="G2692" s="15" t="str">
        <f t="shared" si="1"/>
        <v>48245</v>
      </c>
      <c r="H2692" s="23" t="s">
        <v>143</v>
      </c>
      <c r="I2692" s="23" t="s">
        <v>113</v>
      </c>
      <c r="J2692" s="23" t="s">
        <v>219</v>
      </c>
      <c r="K2692" s="23" t="str">
        <f t="shared" si="44"/>
        <v>Jefferson, TX</v>
      </c>
      <c r="L2692" s="23">
        <v>264.0</v>
      </c>
      <c r="M2692" s="23" t="s">
        <v>63</v>
      </c>
      <c r="N2692" s="23">
        <v>101.0</v>
      </c>
      <c r="O2692" s="23">
        <v>126.0</v>
      </c>
      <c r="P2692" s="23" t="s">
        <v>63</v>
      </c>
      <c r="Q2692" s="23">
        <v>65.0</v>
      </c>
      <c r="R2692" s="23">
        <v>121.0</v>
      </c>
      <c r="S2692" s="23" t="s">
        <v>63</v>
      </c>
      <c r="T2692" s="32" t="s">
        <v>63</v>
      </c>
      <c r="U2692" s="23">
        <v>328.0</v>
      </c>
      <c r="V2692" s="23" t="s">
        <v>63</v>
      </c>
      <c r="W2692" s="23" t="s">
        <v>63</v>
      </c>
      <c r="X2692" s="23" t="s">
        <v>63</v>
      </c>
      <c r="Y2692" s="35">
        <v>273.0</v>
      </c>
      <c r="Z2692" s="32" t="s">
        <v>63</v>
      </c>
      <c r="AA2692" s="38"/>
      <c r="AB2692" s="38"/>
      <c r="AC2692" s="38"/>
      <c r="AD2692" s="38"/>
      <c r="AE2692" s="38"/>
      <c r="AF2692" s="38"/>
      <c r="AG2692" s="38"/>
      <c r="AH2692" s="38"/>
      <c r="AI2692" s="38"/>
      <c r="AJ2692" s="38"/>
      <c r="AK2692" s="38"/>
    </row>
    <row r="2693">
      <c r="A2693" s="99">
        <v>2692.0</v>
      </c>
      <c r="B2693" s="15"/>
      <c r="C2693" s="15"/>
      <c r="D2693" s="105">
        <v>1.0</v>
      </c>
      <c r="E2693" s="102">
        <v>48.0</v>
      </c>
      <c r="F2693" s="107">
        <v>247.0</v>
      </c>
      <c r="G2693" s="15" t="str">
        <f t="shared" si="1"/>
        <v>48247</v>
      </c>
      <c r="H2693" s="23" t="s">
        <v>2095</v>
      </c>
      <c r="I2693" s="23" t="s">
        <v>113</v>
      </c>
      <c r="J2693" s="23" t="s">
        <v>219</v>
      </c>
      <c r="K2693" s="23" t="str">
        <f t="shared" si="44"/>
        <v>Jim Hogg, TX</v>
      </c>
      <c r="L2693" s="23">
        <v>12.0</v>
      </c>
      <c r="M2693" s="23" t="s">
        <v>63</v>
      </c>
      <c r="N2693" s="23">
        <v>4.0</v>
      </c>
      <c r="O2693" s="23">
        <v>5.0</v>
      </c>
      <c r="P2693" s="23" t="s">
        <v>63</v>
      </c>
      <c r="Q2693" s="23" t="s">
        <v>63</v>
      </c>
      <c r="R2693" s="23">
        <v>3.0</v>
      </c>
      <c r="S2693" s="23" t="s">
        <v>63</v>
      </c>
      <c r="T2693" s="32" t="s">
        <v>63</v>
      </c>
      <c r="U2693" s="23">
        <v>26.0</v>
      </c>
      <c r="V2693" s="23" t="s">
        <v>63</v>
      </c>
      <c r="W2693" s="23" t="s">
        <v>63</v>
      </c>
      <c r="X2693" s="23" t="s">
        <v>63</v>
      </c>
      <c r="Y2693" s="35">
        <v>3.0</v>
      </c>
      <c r="Z2693" s="32" t="s">
        <v>63</v>
      </c>
      <c r="AA2693" s="38"/>
      <c r="AB2693" s="38"/>
      <c r="AC2693" s="38"/>
      <c r="AD2693" s="38"/>
      <c r="AE2693" s="38"/>
      <c r="AF2693" s="38"/>
      <c r="AG2693" s="38"/>
      <c r="AH2693" s="38"/>
      <c r="AI2693" s="38"/>
      <c r="AJ2693" s="38"/>
      <c r="AK2693" s="38"/>
    </row>
    <row r="2694">
      <c r="A2694" s="99">
        <v>2693.0</v>
      </c>
      <c r="B2694" s="15"/>
      <c r="C2694" s="15"/>
      <c r="D2694" s="105">
        <v>1.0</v>
      </c>
      <c r="E2694" s="102">
        <v>48.0</v>
      </c>
      <c r="F2694" s="107">
        <v>249.0</v>
      </c>
      <c r="G2694" s="15" t="str">
        <f t="shared" si="1"/>
        <v>48249</v>
      </c>
      <c r="H2694" s="23" t="s">
        <v>2096</v>
      </c>
      <c r="I2694" s="23" t="s">
        <v>113</v>
      </c>
      <c r="J2694" s="23" t="s">
        <v>219</v>
      </c>
      <c r="K2694" s="23" t="str">
        <f t="shared" si="44"/>
        <v>Jim Wells, TX</v>
      </c>
      <c r="L2694" s="23">
        <v>62.0</v>
      </c>
      <c r="M2694" s="23" t="s">
        <v>63</v>
      </c>
      <c r="N2694" s="23">
        <v>20.0</v>
      </c>
      <c r="O2694" s="23">
        <v>32.0</v>
      </c>
      <c r="P2694" s="23" t="s">
        <v>63</v>
      </c>
      <c r="Q2694" s="23">
        <v>3.0</v>
      </c>
      <c r="R2694" s="23">
        <v>24.0</v>
      </c>
      <c r="S2694" s="23" t="s">
        <v>63</v>
      </c>
      <c r="T2694" s="32" t="s">
        <v>63</v>
      </c>
      <c r="U2694" s="23">
        <v>197.0</v>
      </c>
      <c r="V2694" s="23" t="s">
        <v>63</v>
      </c>
      <c r="W2694" s="23" t="s">
        <v>63</v>
      </c>
      <c r="X2694" s="23" t="s">
        <v>63</v>
      </c>
      <c r="Y2694" s="35">
        <v>32.0</v>
      </c>
      <c r="Z2694" s="32" t="s">
        <v>63</v>
      </c>
      <c r="AA2694" s="38"/>
      <c r="AB2694" s="38"/>
      <c r="AC2694" s="38"/>
      <c r="AD2694" s="38"/>
      <c r="AE2694" s="38"/>
      <c r="AF2694" s="38"/>
      <c r="AG2694" s="38"/>
      <c r="AH2694" s="38"/>
      <c r="AI2694" s="38"/>
      <c r="AJ2694" s="38"/>
      <c r="AK2694" s="38"/>
    </row>
    <row r="2695">
      <c r="A2695" s="99">
        <v>2694.0</v>
      </c>
      <c r="B2695" s="15"/>
      <c r="C2695" s="15"/>
      <c r="D2695" s="105">
        <v>1.0</v>
      </c>
      <c r="E2695" s="102">
        <v>48.0</v>
      </c>
      <c r="F2695" s="107">
        <v>251.0</v>
      </c>
      <c r="G2695" s="15" t="str">
        <f t="shared" si="1"/>
        <v>48251</v>
      </c>
      <c r="H2695" s="23" t="s">
        <v>288</v>
      </c>
      <c r="I2695" s="23" t="s">
        <v>113</v>
      </c>
      <c r="J2695" s="23" t="s">
        <v>219</v>
      </c>
      <c r="K2695" s="23" t="str">
        <f t="shared" si="44"/>
        <v>Johnson, TX</v>
      </c>
      <c r="L2695" s="23">
        <v>117.0</v>
      </c>
      <c r="M2695" s="23" t="s">
        <v>63</v>
      </c>
      <c r="N2695" s="23">
        <v>53.0</v>
      </c>
      <c r="O2695" s="23">
        <v>37.0</v>
      </c>
      <c r="P2695" s="23" t="s">
        <v>63</v>
      </c>
      <c r="Q2695" s="23">
        <v>61.0</v>
      </c>
      <c r="R2695" s="23">
        <v>24.0</v>
      </c>
      <c r="S2695" s="23" t="s">
        <v>63</v>
      </c>
      <c r="T2695" s="32" t="s">
        <v>63</v>
      </c>
      <c r="U2695" s="23">
        <v>472.0</v>
      </c>
      <c r="V2695" s="23" t="s">
        <v>63</v>
      </c>
      <c r="W2695" s="23" t="s">
        <v>63</v>
      </c>
      <c r="X2695" s="23" t="s">
        <v>63</v>
      </c>
      <c r="Y2695" s="35">
        <v>123.0</v>
      </c>
      <c r="Z2695" s="32" t="s">
        <v>63</v>
      </c>
      <c r="AA2695" s="38"/>
      <c r="AB2695" s="38"/>
      <c r="AC2695" s="38"/>
      <c r="AD2695" s="38"/>
      <c r="AE2695" s="38"/>
      <c r="AF2695" s="38"/>
      <c r="AG2695" s="38"/>
      <c r="AH2695" s="38"/>
      <c r="AI2695" s="38"/>
      <c r="AJ2695" s="38"/>
      <c r="AK2695" s="38"/>
    </row>
    <row r="2696">
      <c r="A2696" s="99">
        <v>2695.0</v>
      </c>
      <c r="B2696" s="15"/>
      <c r="C2696" s="15"/>
      <c r="D2696" s="105">
        <v>1.0</v>
      </c>
      <c r="E2696" s="102">
        <v>48.0</v>
      </c>
      <c r="F2696" s="107">
        <v>253.0</v>
      </c>
      <c r="G2696" s="15" t="str">
        <f t="shared" si="1"/>
        <v>48253</v>
      </c>
      <c r="H2696" s="23" t="s">
        <v>598</v>
      </c>
      <c r="I2696" s="23" t="s">
        <v>113</v>
      </c>
      <c r="J2696" s="23" t="s">
        <v>219</v>
      </c>
      <c r="K2696" s="23" t="str">
        <f t="shared" si="44"/>
        <v>Jones, TX</v>
      </c>
      <c r="L2696" s="23">
        <v>19.0</v>
      </c>
      <c r="M2696" s="23" t="s">
        <v>63</v>
      </c>
      <c r="N2696" s="23">
        <v>9.0</v>
      </c>
      <c r="O2696" s="23">
        <v>7.0</v>
      </c>
      <c r="P2696" s="23" t="s">
        <v>63</v>
      </c>
      <c r="Q2696" s="23">
        <v>4.0</v>
      </c>
      <c r="R2696" s="23">
        <v>9.0</v>
      </c>
      <c r="S2696" s="23" t="s">
        <v>63</v>
      </c>
      <c r="T2696" s="32" t="s">
        <v>63</v>
      </c>
      <c r="U2696" s="23">
        <v>28.0</v>
      </c>
      <c r="V2696" s="23" t="s">
        <v>63</v>
      </c>
      <c r="W2696" s="23" t="s">
        <v>63</v>
      </c>
      <c r="X2696" s="23" t="s">
        <v>63</v>
      </c>
      <c r="Y2696" s="35">
        <v>29.0</v>
      </c>
      <c r="Z2696" s="32" t="s">
        <v>63</v>
      </c>
      <c r="AA2696" s="38"/>
      <c r="AB2696" s="38"/>
      <c r="AC2696" s="38"/>
      <c r="AD2696" s="38"/>
      <c r="AE2696" s="38"/>
      <c r="AF2696" s="38"/>
      <c r="AG2696" s="38"/>
      <c r="AH2696" s="38"/>
      <c r="AI2696" s="38"/>
      <c r="AJ2696" s="38"/>
      <c r="AK2696" s="38"/>
    </row>
    <row r="2697">
      <c r="A2697" s="99">
        <v>2696.0</v>
      </c>
      <c r="B2697" s="15"/>
      <c r="C2697" s="15"/>
      <c r="D2697" s="105">
        <v>1.0</v>
      </c>
      <c r="E2697" s="102">
        <v>48.0</v>
      </c>
      <c r="F2697" s="107">
        <v>255.0</v>
      </c>
      <c r="G2697" s="15" t="str">
        <f t="shared" si="1"/>
        <v>48255</v>
      </c>
      <c r="H2697" s="23" t="s">
        <v>2097</v>
      </c>
      <c r="I2697" s="23" t="s">
        <v>113</v>
      </c>
      <c r="J2697" s="23" t="s">
        <v>219</v>
      </c>
      <c r="K2697" s="23" t="str">
        <f t="shared" si="44"/>
        <v>Karnes, TX</v>
      </c>
      <c r="L2697" s="23">
        <v>14.0</v>
      </c>
      <c r="M2697" s="23" t="s">
        <v>63</v>
      </c>
      <c r="N2697" s="23">
        <v>3.0</v>
      </c>
      <c r="O2697" s="23">
        <v>0.0</v>
      </c>
      <c r="P2697" s="23" t="s">
        <v>63</v>
      </c>
      <c r="Q2697" s="23">
        <v>2.0</v>
      </c>
      <c r="R2697" s="23">
        <v>7.0</v>
      </c>
      <c r="S2697" s="23" t="s">
        <v>63</v>
      </c>
      <c r="T2697" s="32" t="s">
        <v>63</v>
      </c>
      <c r="U2697" s="23">
        <v>30.0</v>
      </c>
      <c r="V2697" s="23" t="s">
        <v>63</v>
      </c>
      <c r="W2697" s="23" t="s">
        <v>63</v>
      </c>
      <c r="X2697" s="23" t="s">
        <v>63</v>
      </c>
      <c r="Y2697" s="35">
        <v>17.0</v>
      </c>
      <c r="Z2697" s="32" t="s">
        <v>63</v>
      </c>
      <c r="AA2697" s="38"/>
      <c r="AB2697" s="38"/>
      <c r="AC2697" s="38"/>
      <c r="AD2697" s="38"/>
      <c r="AE2697" s="38"/>
      <c r="AF2697" s="38"/>
      <c r="AG2697" s="38"/>
      <c r="AH2697" s="38"/>
      <c r="AI2697" s="38"/>
      <c r="AJ2697" s="38"/>
      <c r="AK2697" s="38"/>
    </row>
    <row r="2698">
      <c r="A2698" s="99">
        <v>2697.0</v>
      </c>
      <c r="B2698" s="15"/>
      <c r="C2698" s="15"/>
      <c r="D2698" s="105">
        <v>1.0</v>
      </c>
      <c r="E2698" s="102">
        <v>48.0</v>
      </c>
      <c r="F2698" s="107">
        <v>257.0</v>
      </c>
      <c r="G2698" s="15" t="str">
        <f t="shared" si="1"/>
        <v>48257</v>
      </c>
      <c r="H2698" s="23" t="s">
        <v>2098</v>
      </c>
      <c r="I2698" s="23" t="s">
        <v>113</v>
      </c>
      <c r="J2698" s="23" t="s">
        <v>219</v>
      </c>
      <c r="K2698" s="23" t="str">
        <f t="shared" si="44"/>
        <v>Kaufman, TX</v>
      </c>
      <c r="L2698" s="23">
        <v>72.0</v>
      </c>
      <c r="M2698" s="23" t="s">
        <v>63</v>
      </c>
      <c r="N2698" s="23">
        <v>36.0</v>
      </c>
      <c r="O2698" s="23">
        <v>27.0</v>
      </c>
      <c r="P2698" s="23" t="s">
        <v>63</v>
      </c>
      <c r="Q2698" s="23">
        <v>89.0</v>
      </c>
      <c r="R2698" s="23">
        <v>6.0</v>
      </c>
      <c r="S2698" s="23" t="s">
        <v>63</v>
      </c>
      <c r="T2698" s="32" t="s">
        <v>63</v>
      </c>
      <c r="U2698" s="23">
        <v>173.0</v>
      </c>
      <c r="V2698" s="23" t="s">
        <v>63</v>
      </c>
      <c r="W2698" s="23" t="s">
        <v>63</v>
      </c>
      <c r="X2698" s="23" t="s">
        <v>63</v>
      </c>
      <c r="Y2698" s="35">
        <v>114.0</v>
      </c>
      <c r="Z2698" s="32" t="s">
        <v>63</v>
      </c>
      <c r="AA2698" s="38"/>
      <c r="AB2698" s="38"/>
      <c r="AC2698" s="38"/>
      <c r="AD2698" s="38"/>
      <c r="AE2698" s="38"/>
      <c r="AF2698" s="38"/>
      <c r="AG2698" s="38"/>
      <c r="AH2698" s="38"/>
      <c r="AI2698" s="38"/>
      <c r="AJ2698" s="38"/>
      <c r="AK2698" s="38"/>
    </row>
    <row r="2699">
      <c r="A2699" s="99">
        <v>2698.0</v>
      </c>
      <c r="B2699" s="15"/>
      <c r="C2699" s="15"/>
      <c r="D2699" s="105">
        <v>1.0</v>
      </c>
      <c r="E2699" s="102">
        <v>48.0</v>
      </c>
      <c r="F2699" s="107">
        <v>259.0</v>
      </c>
      <c r="G2699" s="15" t="str">
        <f t="shared" si="1"/>
        <v>48259</v>
      </c>
      <c r="H2699" s="23" t="s">
        <v>727</v>
      </c>
      <c r="I2699" s="23" t="s">
        <v>113</v>
      </c>
      <c r="J2699" s="23" t="s">
        <v>219</v>
      </c>
      <c r="K2699" s="23" t="str">
        <f t="shared" si="44"/>
        <v>Kendall, TX</v>
      </c>
      <c r="L2699" s="23">
        <v>8.0</v>
      </c>
      <c r="M2699" s="23" t="s">
        <v>63</v>
      </c>
      <c r="N2699" s="23">
        <v>1.0</v>
      </c>
      <c r="O2699" s="23">
        <v>5.0</v>
      </c>
      <c r="P2699" s="23" t="s">
        <v>63</v>
      </c>
      <c r="Q2699" s="23">
        <v>29.0</v>
      </c>
      <c r="R2699" s="23">
        <v>3.0</v>
      </c>
      <c r="S2699" s="23" t="s">
        <v>63</v>
      </c>
      <c r="T2699" s="32" t="s">
        <v>63</v>
      </c>
      <c r="U2699" s="23">
        <v>64.0</v>
      </c>
      <c r="V2699" s="23" t="s">
        <v>63</v>
      </c>
      <c r="W2699" s="23" t="s">
        <v>63</v>
      </c>
      <c r="X2699" s="23" t="s">
        <v>63</v>
      </c>
      <c r="Y2699" s="35">
        <v>27.0</v>
      </c>
      <c r="Z2699" s="32" t="s">
        <v>63</v>
      </c>
      <c r="AA2699" s="38"/>
      <c r="AB2699" s="38"/>
      <c r="AC2699" s="38"/>
      <c r="AD2699" s="38"/>
      <c r="AE2699" s="38"/>
      <c r="AF2699" s="38"/>
      <c r="AG2699" s="38"/>
      <c r="AH2699" s="38"/>
      <c r="AI2699" s="38"/>
      <c r="AJ2699" s="38"/>
      <c r="AK2699" s="38"/>
    </row>
    <row r="2700">
      <c r="A2700" s="99">
        <v>2699.0</v>
      </c>
      <c r="B2700" s="15"/>
      <c r="C2700" s="15"/>
      <c r="D2700" s="105">
        <v>1.0</v>
      </c>
      <c r="E2700" s="102">
        <v>48.0</v>
      </c>
      <c r="F2700" s="107">
        <v>261.0</v>
      </c>
      <c r="G2700" s="15" t="str">
        <f t="shared" si="1"/>
        <v>48261</v>
      </c>
      <c r="H2700" s="23" t="s">
        <v>2099</v>
      </c>
      <c r="I2700" s="23" t="s">
        <v>113</v>
      </c>
      <c r="J2700" s="23" t="s">
        <v>219</v>
      </c>
      <c r="K2700" s="23" t="str">
        <f t="shared" si="44"/>
        <v>Kenedy, TX</v>
      </c>
      <c r="L2700" s="23" t="s">
        <v>63</v>
      </c>
      <c r="M2700" s="23" t="s">
        <v>63</v>
      </c>
      <c r="N2700" s="23">
        <v>0.0</v>
      </c>
      <c r="O2700" s="23">
        <v>0.0</v>
      </c>
      <c r="P2700" s="23" t="s">
        <v>63</v>
      </c>
      <c r="Q2700" s="23" t="s">
        <v>63</v>
      </c>
      <c r="R2700" s="23" t="s">
        <v>63</v>
      </c>
      <c r="S2700" s="23" t="s">
        <v>63</v>
      </c>
      <c r="T2700" s="32" t="s">
        <v>63</v>
      </c>
      <c r="U2700" s="23" t="s">
        <v>63</v>
      </c>
      <c r="V2700" s="23" t="s">
        <v>63</v>
      </c>
      <c r="W2700" s="23" t="s">
        <v>63</v>
      </c>
      <c r="X2700" s="23" t="s">
        <v>63</v>
      </c>
      <c r="Y2700" s="35">
        <v>1.0</v>
      </c>
      <c r="Z2700" s="32" t="s">
        <v>63</v>
      </c>
      <c r="AA2700" s="38"/>
      <c r="AB2700" s="38"/>
      <c r="AC2700" s="38"/>
      <c r="AD2700" s="38"/>
      <c r="AE2700" s="38"/>
      <c r="AF2700" s="38"/>
      <c r="AG2700" s="38"/>
      <c r="AH2700" s="38"/>
      <c r="AI2700" s="38"/>
      <c r="AJ2700" s="38"/>
      <c r="AK2700" s="38"/>
    </row>
    <row r="2701">
      <c r="A2701" s="99">
        <v>2700.0</v>
      </c>
      <c r="B2701" s="15"/>
      <c r="C2701" s="15"/>
      <c r="D2701" s="105">
        <v>1.0</v>
      </c>
      <c r="E2701" s="102">
        <v>48.0</v>
      </c>
      <c r="F2701" s="107">
        <v>263.0</v>
      </c>
      <c r="G2701" s="15" t="str">
        <f t="shared" si="1"/>
        <v>48263</v>
      </c>
      <c r="H2701" s="23" t="s">
        <v>474</v>
      </c>
      <c r="I2701" s="23" t="s">
        <v>113</v>
      </c>
      <c r="J2701" s="23" t="s">
        <v>219</v>
      </c>
      <c r="K2701" s="23" t="str">
        <f t="shared" si="44"/>
        <v>Kent, TX</v>
      </c>
      <c r="L2701" s="23" t="s">
        <v>63</v>
      </c>
      <c r="M2701" s="23" t="s">
        <v>63</v>
      </c>
      <c r="N2701" s="23">
        <v>0.0</v>
      </c>
      <c r="O2701" s="23">
        <v>0.0</v>
      </c>
      <c r="P2701" s="23" t="s">
        <v>63</v>
      </c>
      <c r="Q2701" s="23">
        <v>1.0</v>
      </c>
      <c r="R2701" s="23" t="s">
        <v>63</v>
      </c>
      <c r="S2701" s="23" t="s">
        <v>63</v>
      </c>
      <c r="T2701" s="32" t="s">
        <v>63</v>
      </c>
      <c r="U2701" s="23" t="s">
        <v>63</v>
      </c>
      <c r="V2701" s="23" t="s">
        <v>63</v>
      </c>
      <c r="W2701" s="23" t="s">
        <v>63</v>
      </c>
      <c r="X2701" s="23" t="s">
        <v>63</v>
      </c>
      <c r="Y2701" s="35">
        <v>2.0</v>
      </c>
      <c r="Z2701" s="32" t="s">
        <v>63</v>
      </c>
      <c r="AA2701" s="38"/>
      <c r="AB2701" s="38"/>
      <c r="AC2701" s="38"/>
      <c r="AD2701" s="38"/>
      <c r="AE2701" s="38"/>
      <c r="AF2701" s="38"/>
      <c r="AG2701" s="38"/>
      <c r="AH2701" s="38"/>
      <c r="AI2701" s="38"/>
      <c r="AJ2701" s="38"/>
      <c r="AK2701" s="38"/>
    </row>
    <row r="2702">
      <c r="A2702" s="99">
        <v>2701.0</v>
      </c>
      <c r="B2702" s="15"/>
      <c r="C2702" s="15"/>
      <c r="D2702" s="105">
        <v>1.0</v>
      </c>
      <c r="E2702" s="102">
        <v>48.0</v>
      </c>
      <c r="F2702" s="107">
        <v>265.0</v>
      </c>
      <c r="G2702" s="15" t="str">
        <f t="shared" si="1"/>
        <v>48265</v>
      </c>
      <c r="H2702" s="23" t="s">
        <v>2100</v>
      </c>
      <c r="I2702" s="23" t="s">
        <v>113</v>
      </c>
      <c r="J2702" s="23" t="s">
        <v>219</v>
      </c>
      <c r="K2702" s="23" t="str">
        <f t="shared" si="44"/>
        <v>Kerr, TX</v>
      </c>
      <c r="L2702" s="23">
        <v>29.0</v>
      </c>
      <c r="M2702" s="23" t="s">
        <v>63</v>
      </c>
      <c r="N2702" s="23">
        <v>6.0</v>
      </c>
      <c r="O2702" s="23">
        <v>13.0</v>
      </c>
      <c r="P2702" s="23" t="s">
        <v>63</v>
      </c>
      <c r="Q2702" s="23">
        <v>14.0</v>
      </c>
      <c r="R2702" s="23">
        <v>7.0</v>
      </c>
      <c r="S2702" s="23" t="s">
        <v>63</v>
      </c>
      <c r="T2702" s="32" t="s">
        <v>63</v>
      </c>
      <c r="U2702" s="23">
        <v>158.0</v>
      </c>
      <c r="V2702" s="23" t="s">
        <v>63</v>
      </c>
      <c r="W2702" s="23" t="s">
        <v>63</v>
      </c>
      <c r="X2702" s="23" t="s">
        <v>63</v>
      </c>
      <c r="Y2702" s="35">
        <v>52.0</v>
      </c>
      <c r="Z2702" s="32" t="s">
        <v>63</v>
      </c>
      <c r="AA2702" s="38"/>
      <c r="AB2702" s="38"/>
      <c r="AC2702" s="38"/>
      <c r="AD2702" s="38"/>
      <c r="AE2702" s="38"/>
      <c r="AF2702" s="38"/>
      <c r="AG2702" s="38"/>
      <c r="AH2702" s="38"/>
      <c r="AI2702" s="38"/>
      <c r="AJ2702" s="38"/>
      <c r="AK2702" s="38"/>
    </row>
    <row r="2703">
      <c r="A2703" s="99">
        <v>2702.0</v>
      </c>
      <c r="B2703" s="15"/>
      <c r="C2703" s="15"/>
      <c r="D2703" s="105">
        <v>1.0</v>
      </c>
      <c r="E2703" s="102">
        <v>48.0</v>
      </c>
      <c r="F2703" s="107">
        <v>267.0</v>
      </c>
      <c r="G2703" s="15" t="str">
        <f t="shared" si="1"/>
        <v>48267</v>
      </c>
      <c r="H2703" s="23" t="s">
        <v>2101</v>
      </c>
      <c r="I2703" s="23" t="s">
        <v>113</v>
      </c>
      <c r="J2703" s="23" t="s">
        <v>219</v>
      </c>
      <c r="K2703" s="23" t="str">
        <f t="shared" si="44"/>
        <v>Kimble, TX</v>
      </c>
      <c r="L2703" s="23">
        <v>6.0</v>
      </c>
      <c r="M2703" s="23" t="s">
        <v>63</v>
      </c>
      <c r="N2703" s="23">
        <v>3.0</v>
      </c>
      <c r="O2703" s="23">
        <v>0.0</v>
      </c>
      <c r="P2703" s="23" t="s">
        <v>63</v>
      </c>
      <c r="Q2703" s="23" t="s">
        <v>63</v>
      </c>
      <c r="R2703" s="23">
        <v>1.0</v>
      </c>
      <c r="S2703" s="23" t="s">
        <v>63</v>
      </c>
      <c r="T2703" s="32" t="s">
        <v>63</v>
      </c>
      <c r="U2703" s="23">
        <v>20.0</v>
      </c>
      <c r="V2703" s="23" t="s">
        <v>63</v>
      </c>
      <c r="W2703" s="23" t="s">
        <v>63</v>
      </c>
      <c r="X2703" s="23" t="s">
        <v>63</v>
      </c>
      <c r="Y2703" s="35">
        <v>7.0</v>
      </c>
      <c r="Z2703" s="32" t="s">
        <v>63</v>
      </c>
      <c r="AA2703" s="38"/>
      <c r="AB2703" s="38"/>
      <c r="AC2703" s="38"/>
      <c r="AD2703" s="38"/>
      <c r="AE2703" s="38"/>
      <c r="AF2703" s="38"/>
      <c r="AG2703" s="38"/>
      <c r="AH2703" s="38"/>
      <c r="AI2703" s="38"/>
      <c r="AJ2703" s="38"/>
      <c r="AK2703" s="38"/>
    </row>
    <row r="2704">
      <c r="A2704" s="99">
        <v>2703.0</v>
      </c>
      <c r="B2704" s="15"/>
      <c r="C2704" s="15"/>
      <c r="D2704" s="105">
        <v>1.0</v>
      </c>
      <c r="E2704" s="102">
        <v>48.0</v>
      </c>
      <c r="F2704" s="107">
        <v>269.0</v>
      </c>
      <c r="G2704" s="15" t="str">
        <f t="shared" si="1"/>
        <v>48269</v>
      </c>
      <c r="H2704" s="23" t="s">
        <v>255</v>
      </c>
      <c r="I2704" s="23" t="s">
        <v>113</v>
      </c>
      <c r="J2704" s="23" t="s">
        <v>219</v>
      </c>
      <c r="K2704" s="23" t="str">
        <f t="shared" si="44"/>
        <v>King, TX</v>
      </c>
      <c r="L2704" s="23" t="s">
        <v>63</v>
      </c>
      <c r="M2704" s="23" t="s">
        <v>63</v>
      </c>
      <c r="N2704" s="23">
        <v>0.0</v>
      </c>
      <c r="O2704" s="23">
        <v>0.0</v>
      </c>
      <c r="P2704" s="23" t="s">
        <v>63</v>
      </c>
      <c r="Q2704" s="23" t="s">
        <v>63</v>
      </c>
      <c r="R2704" s="23" t="s">
        <v>63</v>
      </c>
      <c r="S2704" s="23" t="s">
        <v>63</v>
      </c>
      <c r="T2704" s="32" t="s">
        <v>63</v>
      </c>
      <c r="U2704" s="23" t="s">
        <v>63</v>
      </c>
      <c r="V2704" s="23" t="s">
        <v>63</v>
      </c>
      <c r="W2704" s="23" t="s">
        <v>63</v>
      </c>
      <c r="X2704" s="23" t="s">
        <v>63</v>
      </c>
      <c r="Y2704" s="35" t="s">
        <v>63</v>
      </c>
      <c r="Z2704" s="32" t="s">
        <v>63</v>
      </c>
      <c r="AA2704" s="38"/>
      <c r="AB2704" s="38"/>
      <c r="AC2704" s="38"/>
      <c r="AD2704" s="38"/>
      <c r="AE2704" s="38"/>
      <c r="AF2704" s="38"/>
      <c r="AG2704" s="38"/>
      <c r="AH2704" s="38"/>
      <c r="AI2704" s="38"/>
      <c r="AJ2704" s="38"/>
      <c r="AK2704" s="38"/>
    </row>
    <row r="2705">
      <c r="A2705" s="99">
        <v>2704.0</v>
      </c>
      <c r="B2705" s="15"/>
      <c r="C2705" s="15"/>
      <c r="D2705" s="105">
        <v>1.0</v>
      </c>
      <c r="E2705" s="102">
        <v>48.0</v>
      </c>
      <c r="F2705" s="107">
        <v>271.0</v>
      </c>
      <c r="G2705" s="15" t="str">
        <f t="shared" si="1"/>
        <v>48271</v>
      </c>
      <c r="H2705" s="23" t="s">
        <v>2102</v>
      </c>
      <c r="I2705" s="23" t="s">
        <v>113</v>
      </c>
      <c r="J2705" s="23" t="s">
        <v>219</v>
      </c>
      <c r="K2705" s="23" t="str">
        <f t="shared" si="44"/>
        <v>Kinney, TX</v>
      </c>
      <c r="L2705" s="23" t="s">
        <v>63</v>
      </c>
      <c r="M2705" s="23" t="s">
        <v>63</v>
      </c>
      <c r="N2705" s="23">
        <v>0.0</v>
      </c>
      <c r="O2705" s="23">
        <v>0.0</v>
      </c>
      <c r="P2705" s="23" t="s">
        <v>63</v>
      </c>
      <c r="Q2705" s="23" t="s">
        <v>63</v>
      </c>
      <c r="R2705" s="23" t="s">
        <v>63</v>
      </c>
      <c r="S2705" s="23" t="s">
        <v>63</v>
      </c>
      <c r="T2705" s="32" t="s">
        <v>63</v>
      </c>
      <c r="U2705" s="23" t="s">
        <v>63</v>
      </c>
      <c r="V2705" s="23" t="s">
        <v>63</v>
      </c>
      <c r="W2705" s="23" t="s">
        <v>63</v>
      </c>
      <c r="X2705" s="23" t="s">
        <v>63</v>
      </c>
      <c r="Y2705" s="35">
        <v>2.0</v>
      </c>
      <c r="Z2705" s="32" t="s">
        <v>63</v>
      </c>
      <c r="AA2705" s="38"/>
      <c r="AB2705" s="38"/>
      <c r="AC2705" s="38"/>
      <c r="AD2705" s="38"/>
      <c r="AE2705" s="38"/>
      <c r="AF2705" s="38"/>
      <c r="AG2705" s="38"/>
      <c r="AH2705" s="38"/>
      <c r="AI2705" s="38"/>
      <c r="AJ2705" s="38"/>
      <c r="AK2705" s="38"/>
    </row>
    <row r="2706">
      <c r="A2706" s="99">
        <v>2705.0</v>
      </c>
      <c r="B2706" s="15"/>
      <c r="C2706" s="15"/>
      <c r="D2706" s="105">
        <v>1.0</v>
      </c>
      <c r="E2706" s="102">
        <v>48.0</v>
      </c>
      <c r="F2706" s="107">
        <v>273.0</v>
      </c>
      <c r="G2706" s="15" t="str">
        <f t="shared" si="1"/>
        <v>48273</v>
      </c>
      <c r="H2706" s="23" t="s">
        <v>2103</v>
      </c>
      <c r="I2706" s="23" t="s">
        <v>113</v>
      </c>
      <c r="J2706" s="23" t="s">
        <v>219</v>
      </c>
      <c r="K2706" s="23" t="str">
        <f t="shared" si="44"/>
        <v>Kleberg, TX</v>
      </c>
      <c r="L2706" s="23">
        <v>33.0</v>
      </c>
      <c r="M2706" s="23" t="s">
        <v>63</v>
      </c>
      <c r="N2706" s="23">
        <v>20.0</v>
      </c>
      <c r="O2706" s="23">
        <v>9.0</v>
      </c>
      <c r="P2706" s="23" t="s">
        <v>63</v>
      </c>
      <c r="Q2706" s="23">
        <v>7.0</v>
      </c>
      <c r="R2706" s="23">
        <v>5.0</v>
      </c>
      <c r="S2706" s="23" t="s">
        <v>63</v>
      </c>
      <c r="T2706" s="32" t="s">
        <v>63</v>
      </c>
      <c r="U2706" s="23">
        <v>165.0</v>
      </c>
      <c r="V2706" s="23" t="s">
        <v>63</v>
      </c>
      <c r="W2706" s="23" t="s">
        <v>63</v>
      </c>
      <c r="X2706" s="23" t="s">
        <v>63</v>
      </c>
      <c r="Y2706" s="35">
        <v>21.0</v>
      </c>
      <c r="Z2706" s="32" t="s">
        <v>63</v>
      </c>
      <c r="AA2706" s="38"/>
      <c r="AB2706" s="38"/>
      <c r="AC2706" s="38"/>
      <c r="AD2706" s="38"/>
      <c r="AE2706" s="38"/>
      <c r="AF2706" s="38"/>
      <c r="AG2706" s="38"/>
      <c r="AH2706" s="38"/>
      <c r="AI2706" s="38"/>
      <c r="AJ2706" s="38"/>
      <c r="AK2706" s="38"/>
    </row>
    <row r="2707">
      <c r="A2707" s="99">
        <v>2706.0</v>
      </c>
      <c r="B2707" s="15"/>
      <c r="C2707" s="15"/>
      <c r="D2707" s="105">
        <v>1.0</v>
      </c>
      <c r="E2707" s="102">
        <v>48.0</v>
      </c>
      <c r="F2707" s="107">
        <v>275.0</v>
      </c>
      <c r="G2707" s="15" t="str">
        <f t="shared" si="1"/>
        <v>48275</v>
      </c>
      <c r="H2707" s="23" t="s">
        <v>728</v>
      </c>
      <c r="I2707" s="23" t="s">
        <v>113</v>
      </c>
      <c r="J2707" s="23" t="s">
        <v>219</v>
      </c>
      <c r="K2707" s="23" t="str">
        <f t="shared" si="44"/>
        <v>Knox, TX</v>
      </c>
      <c r="L2707" s="23">
        <v>3.0</v>
      </c>
      <c r="M2707" s="23" t="s">
        <v>63</v>
      </c>
      <c r="N2707" s="23">
        <v>2.0</v>
      </c>
      <c r="O2707" s="23">
        <v>1.0</v>
      </c>
      <c r="P2707" s="23" t="s">
        <v>63</v>
      </c>
      <c r="Q2707" s="23" t="s">
        <v>63</v>
      </c>
      <c r="R2707" s="23" t="s">
        <v>63</v>
      </c>
      <c r="S2707" s="23" t="s">
        <v>63</v>
      </c>
      <c r="T2707" s="32" t="s">
        <v>63</v>
      </c>
      <c r="U2707" s="23" t="s">
        <v>63</v>
      </c>
      <c r="V2707" s="23" t="s">
        <v>63</v>
      </c>
      <c r="W2707" s="23" t="s">
        <v>63</v>
      </c>
      <c r="X2707" s="23" t="s">
        <v>63</v>
      </c>
      <c r="Y2707" s="35">
        <v>14.0</v>
      </c>
      <c r="Z2707" s="32" t="s">
        <v>63</v>
      </c>
      <c r="AA2707" s="38"/>
      <c r="AB2707" s="38"/>
      <c r="AC2707" s="38"/>
      <c r="AD2707" s="38"/>
      <c r="AE2707" s="38"/>
      <c r="AF2707" s="38"/>
      <c r="AG2707" s="38"/>
      <c r="AH2707" s="38"/>
      <c r="AI2707" s="38"/>
      <c r="AJ2707" s="38"/>
      <c r="AK2707" s="38"/>
    </row>
    <row r="2708">
      <c r="A2708" s="99">
        <v>2707.0</v>
      </c>
      <c r="B2708" s="15"/>
      <c r="C2708" s="15"/>
      <c r="D2708" s="105">
        <v>1.0</v>
      </c>
      <c r="E2708" s="102">
        <v>48.0</v>
      </c>
      <c r="F2708" s="107">
        <v>277.0</v>
      </c>
      <c r="G2708" s="15" t="str">
        <f t="shared" si="1"/>
        <v>48277</v>
      </c>
      <c r="H2708" s="23" t="s">
        <v>144</v>
      </c>
      <c r="I2708" s="23" t="s">
        <v>113</v>
      </c>
      <c r="J2708" s="23" t="s">
        <v>219</v>
      </c>
      <c r="K2708" s="23" t="str">
        <f t="shared" si="44"/>
        <v>Lamar, TX</v>
      </c>
      <c r="L2708" s="23">
        <v>79.0</v>
      </c>
      <c r="M2708" s="23" t="s">
        <v>63</v>
      </c>
      <c r="N2708" s="23">
        <v>40.0</v>
      </c>
      <c r="O2708" s="23">
        <v>23.0</v>
      </c>
      <c r="P2708" s="23" t="s">
        <v>63</v>
      </c>
      <c r="Q2708" s="23">
        <v>6.0</v>
      </c>
      <c r="R2708" s="23">
        <v>32.0</v>
      </c>
      <c r="S2708" s="23" t="s">
        <v>63</v>
      </c>
      <c r="T2708" s="32" t="s">
        <v>63</v>
      </c>
      <c r="U2708" s="23">
        <v>182.0</v>
      </c>
      <c r="V2708" s="23" t="s">
        <v>63</v>
      </c>
      <c r="W2708" s="23" t="s">
        <v>63</v>
      </c>
      <c r="X2708" s="23" t="s">
        <v>63</v>
      </c>
      <c r="Y2708" s="35">
        <v>81.0</v>
      </c>
      <c r="Z2708" s="32" t="s">
        <v>63</v>
      </c>
      <c r="AA2708" s="38"/>
      <c r="AB2708" s="38"/>
      <c r="AC2708" s="38"/>
      <c r="AD2708" s="38"/>
      <c r="AE2708" s="38"/>
      <c r="AF2708" s="38"/>
      <c r="AG2708" s="38"/>
      <c r="AH2708" s="38"/>
      <c r="AI2708" s="38"/>
      <c r="AJ2708" s="38"/>
      <c r="AK2708" s="38"/>
    </row>
    <row r="2709">
      <c r="A2709" s="99">
        <v>2708.0</v>
      </c>
      <c r="B2709" s="15"/>
      <c r="C2709" s="15"/>
      <c r="D2709" s="105">
        <v>1.0</v>
      </c>
      <c r="E2709" s="102">
        <v>48.0</v>
      </c>
      <c r="F2709" s="107">
        <v>279.0</v>
      </c>
      <c r="G2709" s="15" t="str">
        <f t="shared" si="1"/>
        <v>48279</v>
      </c>
      <c r="H2709" s="23" t="s">
        <v>2104</v>
      </c>
      <c r="I2709" s="23" t="s">
        <v>113</v>
      </c>
      <c r="J2709" s="23" t="s">
        <v>219</v>
      </c>
      <c r="K2709" s="23" t="str">
        <f t="shared" si="44"/>
        <v>Lamb, TX</v>
      </c>
      <c r="L2709" s="23">
        <v>13.0</v>
      </c>
      <c r="M2709" s="23" t="s">
        <v>63</v>
      </c>
      <c r="N2709" s="23">
        <v>5.0</v>
      </c>
      <c r="O2709" s="23">
        <v>4.0</v>
      </c>
      <c r="P2709" s="23" t="s">
        <v>63</v>
      </c>
      <c r="Q2709" s="23">
        <v>4.0</v>
      </c>
      <c r="R2709" s="23">
        <v>3.0</v>
      </c>
      <c r="S2709" s="23" t="s">
        <v>63</v>
      </c>
      <c r="T2709" s="32" t="s">
        <v>63</v>
      </c>
      <c r="U2709" s="23">
        <v>41.0</v>
      </c>
      <c r="V2709" s="23" t="s">
        <v>63</v>
      </c>
      <c r="W2709" s="23" t="s">
        <v>63</v>
      </c>
      <c r="X2709" s="23" t="s">
        <v>63</v>
      </c>
      <c r="Y2709" s="35">
        <v>30.0</v>
      </c>
      <c r="Z2709" s="32" t="s">
        <v>63</v>
      </c>
      <c r="AA2709" s="38"/>
      <c r="AB2709" s="38"/>
      <c r="AC2709" s="38"/>
      <c r="AD2709" s="38"/>
      <c r="AE2709" s="38"/>
      <c r="AF2709" s="38"/>
      <c r="AG2709" s="38"/>
      <c r="AH2709" s="38"/>
      <c r="AI2709" s="38"/>
      <c r="AJ2709" s="38"/>
      <c r="AK2709" s="38"/>
    </row>
    <row r="2710">
      <c r="A2710" s="99">
        <v>2709.0</v>
      </c>
      <c r="B2710" s="15"/>
      <c r="C2710" s="15"/>
      <c r="D2710" s="105">
        <v>1.0</v>
      </c>
      <c r="E2710" s="102">
        <v>48.0</v>
      </c>
      <c r="F2710" s="107">
        <v>281.0</v>
      </c>
      <c r="G2710" s="15" t="str">
        <f t="shared" si="1"/>
        <v>48281</v>
      </c>
      <c r="H2710" s="23" t="s">
        <v>2105</v>
      </c>
      <c r="I2710" s="23" t="s">
        <v>113</v>
      </c>
      <c r="J2710" s="23" t="s">
        <v>219</v>
      </c>
      <c r="K2710" s="23" t="str">
        <f t="shared" si="44"/>
        <v>Lampasas, TX</v>
      </c>
      <c r="L2710" s="23">
        <v>33.0</v>
      </c>
      <c r="M2710" s="23" t="s">
        <v>63</v>
      </c>
      <c r="N2710" s="23">
        <v>6.0</v>
      </c>
      <c r="O2710" s="23">
        <v>23.0</v>
      </c>
      <c r="P2710" s="23" t="s">
        <v>63</v>
      </c>
      <c r="Q2710" s="23">
        <v>11.0</v>
      </c>
      <c r="R2710" s="23">
        <v>13.0</v>
      </c>
      <c r="S2710" s="23" t="s">
        <v>63</v>
      </c>
      <c r="T2710" s="32" t="s">
        <v>63</v>
      </c>
      <c r="U2710" s="23">
        <v>27.0</v>
      </c>
      <c r="V2710" s="23" t="s">
        <v>63</v>
      </c>
      <c r="W2710" s="23" t="s">
        <v>63</v>
      </c>
      <c r="X2710" s="23" t="s">
        <v>63</v>
      </c>
      <c r="Y2710" s="35">
        <v>20.0</v>
      </c>
      <c r="Z2710" s="32" t="s">
        <v>63</v>
      </c>
      <c r="AA2710" s="38"/>
      <c r="AB2710" s="38"/>
      <c r="AC2710" s="38"/>
      <c r="AD2710" s="38"/>
      <c r="AE2710" s="38"/>
      <c r="AF2710" s="38"/>
      <c r="AG2710" s="38"/>
      <c r="AH2710" s="38"/>
      <c r="AI2710" s="38"/>
      <c r="AJ2710" s="38"/>
      <c r="AK2710" s="38"/>
    </row>
    <row r="2711">
      <c r="A2711" s="99">
        <v>2710.0</v>
      </c>
      <c r="B2711" s="15"/>
      <c r="C2711" s="15"/>
      <c r="D2711" s="105">
        <v>1.0</v>
      </c>
      <c r="E2711" s="102">
        <v>48.0</v>
      </c>
      <c r="F2711" s="107">
        <v>283.0</v>
      </c>
      <c r="G2711" s="15" t="str">
        <f t="shared" si="1"/>
        <v>48283</v>
      </c>
      <c r="H2711" s="23" t="s">
        <v>729</v>
      </c>
      <c r="I2711" s="23" t="s">
        <v>113</v>
      </c>
      <c r="J2711" s="23" t="s">
        <v>219</v>
      </c>
      <c r="K2711" s="23" t="str">
        <f t="shared" si="44"/>
        <v>La Salle, TX</v>
      </c>
      <c r="L2711" s="23">
        <v>12.0</v>
      </c>
      <c r="M2711" s="23" t="s">
        <v>63</v>
      </c>
      <c r="N2711" s="23">
        <v>3.0</v>
      </c>
      <c r="O2711" s="23">
        <v>4.0</v>
      </c>
      <c r="P2711" s="23" t="s">
        <v>63</v>
      </c>
      <c r="Q2711" s="23" t="s">
        <v>63</v>
      </c>
      <c r="R2711" s="23">
        <v>2.0</v>
      </c>
      <c r="S2711" s="23" t="s">
        <v>63</v>
      </c>
      <c r="T2711" s="32" t="s">
        <v>63</v>
      </c>
      <c r="U2711" s="23" t="s">
        <v>63</v>
      </c>
      <c r="V2711" s="23" t="s">
        <v>63</v>
      </c>
      <c r="W2711" s="23" t="s">
        <v>63</v>
      </c>
      <c r="X2711" s="23" t="s">
        <v>63</v>
      </c>
      <c r="Y2711" s="35">
        <v>6.0</v>
      </c>
      <c r="Z2711" s="32" t="s">
        <v>63</v>
      </c>
      <c r="AA2711" s="38"/>
      <c r="AB2711" s="38"/>
      <c r="AC2711" s="38"/>
      <c r="AD2711" s="38"/>
      <c r="AE2711" s="38"/>
      <c r="AF2711" s="38"/>
      <c r="AG2711" s="38"/>
      <c r="AH2711" s="38"/>
      <c r="AI2711" s="38"/>
      <c r="AJ2711" s="38"/>
      <c r="AK2711" s="38"/>
    </row>
    <row r="2712">
      <c r="A2712" s="99">
        <v>2711.0</v>
      </c>
      <c r="B2712" s="15"/>
      <c r="C2712" s="15"/>
      <c r="D2712" s="105">
        <v>1.0</v>
      </c>
      <c r="E2712" s="102">
        <v>48.0</v>
      </c>
      <c r="F2712" s="107">
        <v>285.0</v>
      </c>
      <c r="G2712" s="15" t="str">
        <f t="shared" si="1"/>
        <v>48285</v>
      </c>
      <c r="H2712" s="23" t="s">
        <v>2106</v>
      </c>
      <c r="I2712" s="23" t="s">
        <v>113</v>
      </c>
      <c r="J2712" s="23" t="s">
        <v>219</v>
      </c>
      <c r="K2712" s="23" t="str">
        <f t="shared" si="44"/>
        <v>Lavaca, TX</v>
      </c>
      <c r="L2712" s="23">
        <v>2.0</v>
      </c>
      <c r="M2712" s="23" t="s">
        <v>63</v>
      </c>
      <c r="N2712" s="23">
        <v>0.0</v>
      </c>
      <c r="O2712" s="23">
        <v>0.0</v>
      </c>
      <c r="P2712" s="23" t="s">
        <v>63</v>
      </c>
      <c r="Q2712" s="23">
        <v>1.0</v>
      </c>
      <c r="R2712" s="23">
        <v>1.0</v>
      </c>
      <c r="S2712" s="23" t="s">
        <v>63</v>
      </c>
      <c r="T2712" s="32" t="s">
        <v>63</v>
      </c>
      <c r="U2712" s="23">
        <v>25.0</v>
      </c>
      <c r="V2712" s="23" t="s">
        <v>63</v>
      </c>
      <c r="W2712" s="23" t="s">
        <v>63</v>
      </c>
      <c r="X2712" s="23" t="s">
        <v>63</v>
      </c>
      <c r="Y2712" s="35">
        <v>32.0</v>
      </c>
      <c r="Z2712" s="32" t="s">
        <v>63</v>
      </c>
      <c r="AA2712" s="38"/>
      <c r="AB2712" s="38"/>
      <c r="AC2712" s="38"/>
      <c r="AD2712" s="38"/>
      <c r="AE2712" s="38"/>
      <c r="AF2712" s="38"/>
      <c r="AG2712" s="38"/>
      <c r="AH2712" s="38"/>
      <c r="AI2712" s="38"/>
      <c r="AJ2712" s="38"/>
      <c r="AK2712" s="38"/>
    </row>
    <row r="2713">
      <c r="A2713" s="99">
        <v>2712.0</v>
      </c>
      <c r="B2713" s="15"/>
      <c r="C2713" s="15"/>
      <c r="D2713" s="105">
        <v>1.0</v>
      </c>
      <c r="E2713" s="102">
        <v>48.0</v>
      </c>
      <c r="F2713" s="107">
        <v>287.0</v>
      </c>
      <c r="G2713" s="15" t="str">
        <f t="shared" si="1"/>
        <v>48287</v>
      </c>
      <c r="H2713" s="23" t="s">
        <v>147</v>
      </c>
      <c r="I2713" s="23" t="s">
        <v>113</v>
      </c>
      <c r="J2713" s="23" t="s">
        <v>219</v>
      </c>
      <c r="K2713" s="23" t="str">
        <f t="shared" si="44"/>
        <v>Lee, TX</v>
      </c>
      <c r="L2713" s="23">
        <v>12.0</v>
      </c>
      <c r="M2713" s="23" t="s">
        <v>63</v>
      </c>
      <c r="N2713" s="23">
        <v>1.0</v>
      </c>
      <c r="O2713" s="23">
        <v>8.0</v>
      </c>
      <c r="P2713" s="23" t="s">
        <v>63</v>
      </c>
      <c r="Q2713" s="23">
        <v>4.0</v>
      </c>
      <c r="R2713" s="23">
        <v>2.0</v>
      </c>
      <c r="S2713" s="23" t="s">
        <v>63</v>
      </c>
      <c r="T2713" s="32" t="s">
        <v>63</v>
      </c>
      <c r="U2713" s="23">
        <v>7.0</v>
      </c>
      <c r="V2713" s="23" t="s">
        <v>63</v>
      </c>
      <c r="W2713" s="23" t="s">
        <v>63</v>
      </c>
      <c r="X2713" s="23" t="s">
        <v>63</v>
      </c>
      <c r="Y2713" s="35">
        <v>30.0</v>
      </c>
      <c r="Z2713" s="32" t="s">
        <v>63</v>
      </c>
      <c r="AA2713" s="38"/>
      <c r="AB2713" s="38"/>
      <c r="AC2713" s="38"/>
      <c r="AD2713" s="38"/>
      <c r="AE2713" s="38"/>
      <c r="AF2713" s="38"/>
      <c r="AG2713" s="38"/>
      <c r="AH2713" s="38"/>
      <c r="AI2713" s="38"/>
      <c r="AJ2713" s="38"/>
      <c r="AK2713" s="38"/>
    </row>
    <row r="2714">
      <c r="A2714" s="99">
        <v>2713.0</v>
      </c>
      <c r="B2714" s="15"/>
      <c r="C2714" s="15"/>
      <c r="D2714" s="105">
        <v>1.0</v>
      </c>
      <c r="E2714" s="102">
        <v>48.0</v>
      </c>
      <c r="F2714" s="107">
        <v>289.0</v>
      </c>
      <c r="G2714" s="15" t="str">
        <f t="shared" si="1"/>
        <v>48289</v>
      </c>
      <c r="H2714" s="23" t="s">
        <v>505</v>
      </c>
      <c r="I2714" s="23" t="s">
        <v>113</v>
      </c>
      <c r="J2714" s="23" t="s">
        <v>219</v>
      </c>
      <c r="K2714" s="23" t="str">
        <f t="shared" si="44"/>
        <v>Leon, TX</v>
      </c>
      <c r="L2714" s="23">
        <v>26.0</v>
      </c>
      <c r="M2714" s="23" t="s">
        <v>63</v>
      </c>
      <c r="N2714" s="23">
        <v>5.0</v>
      </c>
      <c r="O2714" s="23">
        <v>19.0</v>
      </c>
      <c r="P2714" s="23" t="s">
        <v>63</v>
      </c>
      <c r="Q2714" s="23">
        <v>1.0</v>
      </c>
      <c r="R2714" s="23">
        <v>1.0</v>
      </c>
      <c r="S2714" s="23" t="s">
        <v>63</v>
      </c>
      <c r="T2714" s="32" t="s">
        <v>63</v>
      </c>
      <c r="U2714" s="23">
        <v>16.0</v>
      </c>
      <c r="V2714" s="23" t="s">
        <v>63</v>
      </c>
      <c r="W2714" s="23" t="s">
        <v>63</v>
      </c>
      <c r="X2714" s="23" t="s">
        <v>63</v>
      </c>
      <c r="Y2714" s="35">
        <v>44.0</v>
      </c>
      <c r="Z2714" s="32" t="s">
        <v>63</v>
      </c>
      <c r="AA2714" s="38"/>
      <c r="AB2714" s="38"/>
      <c r="AC2714" s="38"/>
      <c r="AD2714" s="38"/>
      <c r="AE2714" s="38"/>
      <c r="AF2714" s="38"/>
      <c r="AG2714" s="38"/>
      <c r="AH2714" s="38"/>
      <c r="AI2714" s="38"/>
      <c r="AJ2714" s="38"/>
      <c r="AK2714" s="38"/>
    </row>
    <row r="2715">
      <c r="A2715" s="99">
        <v>2714.0</v>
      </c>
      <c r="B2715" s="15"/>
      <c r="C2715" s="15"/>
      <c r="D2715" s="105">
        <v>1.0</v>
      </c>
      <c r="E2715" s="102">
        <v>48.0</v>
      </c>
      <c r="F2715" s="107">
        <v>291.0</v>
      </c>
      <c r="G2715" s="15" t="str">
        <f t="shared" si="1"/>
        <v>48291</v>
      </c>
      <c r="H2715" s="23" t="s">
        <v>508</v>
      </c>
      <c r="I2715" s="23" t="s">
        <v>113</v>
      </c>
      <c r="J2715" s="23" t="s">
        <v>219</v>
      </c>
      <c r="K2715" s="23" t="str">
        <f t="shared" si="44"/>
        <v>Liberty, TX</v>
      </c>
      <c r="L2715" s="23">
        <v>34.0</v>
      </c>
      <c r="M2715" s="23" t="s">
        <v>63</v>
      </c>
      <c r="N2715" s="23">
        <v>12.0</v>
      </c>
      <c r="O2715" s="23">
        <v>8.0</v>
      </c>
      <c r="P2715" s="23" t="s">
        <v>63</v>
      </c>
      <c r="Q2715" s="23">
        <v>16.0</v>
      </c>
      <c r="R2715" s="23">
        <v>8.0</v>
      </c>
      <c r="S2715" s="23" t="s">
        <v>63</v>
      </c>
      <c r="T2715" s="32" t="s">
        <v>63</v>
      </c>
      <c r="U2715" s="23">
        <v>95.0</v>
      </c>
      <c r="V2715" s="23" t="s">
        <v>63</v>
      </c>
      <c r="W2715" s="23" t="s">
        <v>63</v>
      </c>
      <c r="X2715" s="23" t="s">
        <v>63</v>
      </c>
      <c r="Y2715" s="35">
        <v>78.0</v>
      </c>
      <c r="Z2715" s="32" t="s">
        <v>63</v>
      </c>
      <c r="AA2715" s="38"/>
      <c r="AB2715" s="38"/>
      <c r="AC2715" s="38"/>
      <c r="AD2715" s="38"/>
      <c r="AE2715" s="38"/>
      <c r="AF2715" s="38"/>
      <c r="AG2715" s="38"/>
      <c r="AH2715" s="38"/>
      <c r="AI2715" s="38"/>
      <c r="AJ2715" s="38"/>
      <c r="AK2715" s="38"/>
    </row>
    <row r="2716">
      <c r="A2716" s="99">
        <v>2715.0</v>
      </c>
      <c r="B2716" s="15"/>
      <c r="C2716" s="15"/>
      <c r="D2716" s="105">
        <v>1.0</v>
      </c>
      <c r="E2716" s="102">
        <v>48.0</v>
      </c>
      <c r="F2716" s="107">
        <v>293.0</v>
      </c>
      <c r="G2716" s="15" t="str">
        <f t="shared" si="1"/>
        <v>48293</v>
      </c>
      <c r="H2716" s="23" t="s">
        <v>148</v>
      </c>
      <c r="I2716" s="23" t="s">
        <v>113</v>
      </c>
      <c r="J2716" s="23" t="s">
        <v>219</v>
      </c>
      <c r="K2716" s="23" t="str">
        <f t="shared" si="44"/>
        <v>Limestone, TX</v>
      </c>
      <c r="L2716" s="23">
        <v>36.0</v>
      </c>
      <c r="M2716" s="23" t="s">
        <v>63</v>
      </c>
      <c r="N2716" s="23">
        <v>13.0</v>
      </c>
      <c r="O2716" s="23">
        <v>21.0</v>
      </c>
      <c r="P2716" s="23" t="s">
        <v>63</v>
      </c>
      <c r="Q2716" s="23">
        <v>5.0</v>
      </c>
      <c r="R2716" s="23">
        <v>11.0</v>
      </c>
      <c r="S2716" s="23" t="s">
        <v>63</v>
      </c>
      <c r="T2716" s="32" t="s">
        <v>63</v>
      </c>
      <c r="U2716" s="23">
        <v>33.0</v>
      </c>
      <c r="V2716" s="23" t="s">
        <v>63</v>
      </c>
      <c r="W2716" s="23" t="s">
        <v>63</v>
      </c>
      <c r="X2716" s="23" t="s">
        <v>63</v>
      </c>
      <c r="Y2716" s="35">
        <v>41.0</v>
      </c>
      <c r="Z2716" s="32" t="s">
        <v>63</v>
      </c>
      <c r="AA2716" s="38"/>
      <c r="AB2716" s="38"/>
      <c r="AC2716" s="38"/>
      <c r="AD2716" s="38"/>
      <c r="AE2716" s="38"/>
      <c r="AF2716" s="38"/>
      <c r="AG2716" s="38"/>
      <c r="AH2716" s="38"/>
      <c r="AI2716" s="38"/>
      <c r="AJ2716" s="38"/>
      <c r="AK2716" s="38"/>
    </row>
    <row r="2717">
      <c r="A2717" s="99">
        <v>2716.0</v>
      </c>
      <c r="B2717" s="15"/>
      <c r="C2717" s="15"/>
      <c r="D2717" s="105">
        <v>1.0</v>
      </c>
      <c r="E2717" s="102">
        <v>48.0</v>
      </c>
      <c r="F2717" s="107">
        <v>295.0</v>
      </c>
      <c r="G2717" s="15" t="str">
        <f t="shared" si="1"/>
        <v>48295</v>
      </c>
      <c r="H2717" s="23" t="s">
        <v>2107</v>
      </c>
      <c r="I2717" s="23" t="s">
        <v>113</v>
      </c>
      <c r="J2717" s="23" t="s">
        <v>219</v>
      </c>
      <c r="K2717" s="23" t="str">
        <f t="shared" si="44"/>
        <v>Lipscomb, TX</v>
      </c>
      <c r="L2717" s="23">
        <v>1.0</v>
      </c>
      <c r="M2717" s="23" t="s">
        <v>63</v>
      </c>
      <c r="N2717" s="23">
        <v>0.0</v>
      </c>
      <c r="O2717" s="23">
        <v>0.0</v>
      </c>
      <c r="P2717" s="23" t="s">
        <v>63</v>
      </c>
      <c r="Q2717" s="23">
        <v>2.0</v>
      </c>
      <c r="R2717" s="23" t="s">
        <v>63</v>
      </c>
      <c r="S2717" s="23" t="s">
        <v>63</v>
      </c>
      <c r="T2717" s="32" t="s">
        <v>63</v>
      </c>
      <c r="U2717" s="23">
        <v>6.0</v>
      </c>
      <c r="V2717" s="23" t="s">
        <v>63</v>
      </c>
      <c r="W2717" s="23" t="s">
        <v>63</v>
      </c>
      <c r="X2717" s="23" t="s">
        <v>63</v>
      </c>
      <c r="Y2717" s="35">
        <v>15.0</v>
      </c>
      <c r="Z2717" s="32" t="s">
        <v>63</v>
      </c>
      <c r="AA2717" s="38"/>
      <c r="AB2717" s="38"/>
      <c r="AC2717" s="38"/>
      <c r="AD2717" s="38"/>
      <c r="AE2717" s="38"/>
      <c r="AF2717" s="38"/>
      <c r="AG2717" s="38"/>
      <c r="AH2717" s="38"/>
      <c r="AI2717" s="38"/>
      <c r="AJ2717" s="38"/>
      <c r="AK2717" s="38"/>
    </row>
    <row r="2718">
      <c r="A2718" s="99">
        <v>2717.0</v>
      </c>
      <c r="B2718" s="15"/>
      <c r="C2718" s="15"/>
      <c r="D2718" s="105">
        <v>1.0</v>
      </c>
      <c r="E2718" s="102">
        <v>48.0</v>
      </c>
      <c r="F2718" s="107">
        <v>297.0</v>
      </c>
      <c r="G2718" s="15" t="str">
        <f t="shared" si="1"/>
        <v>48297</v>
      </c>
      <c r="H2718" s="23" t="s">
        <v>2108</v>
      </c>
      <c r="I2718" s="23" t="s">
        <v>113</v>
      </c>
      <c r="J2718" s="23" t="s">
        <v>219</v>
      </c>
      <c r="K2718" s="23" t="str">
        <f t="shared" si="44"/>
        <v>Live Oak, TX</v>
      </c>
      <c r="L2718" s="23">
        <v>6.0</v>
      </c>
      <c r="M2718" s="23" t="s">
        <v>63</v>
      </c>
      <c r="N2718" s="23">
        <v>3.0</v>
      </c>
      <c r="O2718" s="23">
        <v>2.0</v>
      </c>
      <c r="P2718" s="23" t="s">
        <v>63</v>
      </c>
      <c r="Q2718" s="23">
        <v>2.0</v>
      </c>
      <c r="R2718" s="23">
        <v>0.0</v>
      </c>
      <c r="S2718" s="23" t="s">
        <v>63</v>
      </c>
      <c r="T2718" s="32" t="s">
        <v>63</v>
      </c>
      <c r="U2718" s="23">
        <v>20.0</v>
      </c>
      <c r="V2718" s="23" t="s">
        <v>63</v>
      </c>
      <c r="W2718" s="23" t="s">
        <v>63</v>
      </c>
      <c r="X2718" s="23" t="s">
        <v>63</v>
      </c>
      <c r="Y2718" s="35">
        <v>11.0</v>
      </c>
      <c r="Z2718" s="32" t="s">
        <v>63</v>
      </c>
      <c r="AA2718" s="38"/>
      <c r="AB2718" s="38"/>
      <c r="AC2718" s="38"/>
      <c r="AD2718" s="38"/>
      <c r="AE2718" s="38"/>
      <c r="AF2718" s="38"/>
      <c r="AG2718" s="38"/>
      <c r="AH2718" s="38"/>
      <c r="AI2718" s="38"/>
      <c r="AJ2718" s="38"/>
      <c r="AK2718" s="38"/>
    </row>
    <row r="2719">
      <c r="A2719" s="99">
        <v>2718.0</v>
      </c>
      <c r="B2719" s="15"/>
      <c r="C2719" s="15"/>
      <c r="D2719" s="105">
        <v>1.0</v>
      </c>
      <c r="E2719" s="102">
        <v>48.0</v>
      </c>
      <c r="F2719" s="107">
        <v>299.0</v>
      </c>
      <c r="G2719" s="15" t="str">
        <f t="shared" si="1"/>
        <v>48299</v>
      </c>
      <c r="H2719" s="23" t="s">
        <v>2109</v>
      </c>
      <c r="I2719" s="23" t="s">
        <v>113</v>
      </c>
      <c r="J2719" s="23" t="s">
        <v>219</v>
      </c>
      <c r="K2719" s="23" t="str">
        <f t="shared" si="44"/>
        <v>Llano, TX</v>
      </c>
      <c r="L2719" s="23">
        <v>42.0</v>
      </c>
      <c r="M2719" s="23" t="s">
        <v>63</v>
      </c>
      <c r="N2719" s="23">
        <v>6.0</v>
      </c>
      <c r="O2719" s="23">
        <v>28.0</v>
      </c>
      <c r="P2719" s="23" t="s">
        <v>63</v>
      </c>
      <c r="Q2719" s="23">
        <v>3.0</v>
      </c>
      <c r="R2719" s="23">
        <v>10.0</v>
      </c>
      <c r="S2719" s="23" t="s">
        <v>63</v>
      </c>
      <c r="T2719" s="32" t="s">
        <v>63</v>
      </c>
      <c r="U2719" s="23">
        <v>12.0</v>
      </c>
      <c r="V2719" s="23" t="s">
        <v>63</v>
      </c>
      <c r="W2719" s="23" t="s">
        <v>63</v>
      </c>
      <c r="X2719" s="23" t="s">
        <v>63</v>
      </c>
      <c r="Y2719" s="35">
        <v>23.0</v>
      </c>
      <c r="Z2719" s="32" t="s">
        <v>63</v>
      </c>
      <c r="AA2719" s="38"/>
      <c r="AB2719" s="38"/>
      <c r="AC2719" s="38"/>
      <c r="AD2719" s="38"/>
      <c r="AE2719" s="38"/>
      <c r="AF2719" s="38"/>
      <c r="AG2719" s="38"/>
      <c r="AH2719" s="38"/>
      <c r="AI2719" s="38"/>
      <c r="AJ2719" s="38"/>
      <c r="AK2719" s="38"/>
    </row>
    <row r="2720">
      <c r="A2720" s="99">
        <v>2719.0</v>
      </c>
      <c r="B2720" s="15"/>
      <c r="C2720" s="15"/>
      <c r="D2720" s="105">
        <v>1.0</v>
      </c>
      <c r="E2720" s="102">
        <v>48.0</v>
      </c>
      <c r="F2720" s="107">
        <v>301.0</v>
      </c>
      <c r="G2720" s="15" t="str">
        <f t="shared" si="1"/>
        <v>48301</v>
      </c>
      <c r="H2720" s="23" t="s">
        <v>2110</v>
      </c>
      <c r="I2720" s="23" t="s">
        <v>113</v>
      </c>
      <c r="J2720" s="23" t="s">
        <v>219</v>
      </c>
      <c r="K2720" s="23" t="str">
        <f t="shared" si="44"/>
        <v>Loving, TX</v>
      </c>
      <c r="L2720" s="23" t="s">
        <v>63</v>
      </c>
      <c r="M2720" s="23" t="s">
        <v>63</v>
      </c>
      <c r="N2720" s="23">
        <v>0.0</v>
      </c>
      <c r="O2720" s="23">
        <v>0.0</v>
      </c>
      <c r="P2720" s="23" t="s">
        <v>63</v>
      </c>
      <c r="Q2720" s="23" t="s">
        <v>63</v>
      </c>
      <c r="R2720" s="23" t="s">
        <v>63</v>
      </c>
      <c r="S2720" s="23" t="s">
        <v>63</v>
      </c>
      <c r="T2720" s="32" t="s">
        <v>63</v>
      </c>
      <c r="U2720" s="23" t="s">
        <v>63</v>
      </c>
      <c r="V2720" s="23" t="s">
        <v>63</v>
      </c>
      <c r="W2720" s="23" t="s">
        <v>63</v>
      </c>
      <c r="X2720" s="23" t="s">
        <v>63</v>
      </c>
      <c r="Y2720" s="35" t="s">
        <v>63</v>
      </c>
      <c r="Z2720" s="32" t="s">
        <v>63</v>
      </c>
      <c r="AA2720" s="38"/>
      <c r="AB2720" s="38"/>
      <c r="AC2720" s="38"/>
      <c r="AD2720" s="38"/>
      <c r="AE2720" s="38"/>
      <c r="AF2720" s="38"/>
      <c r="AG2720" s="38"/>
      <c r="AH2720" s="38"/>
      <c r="AI2720" s="38"/>
      <c r="AJ2720" s="38"/>
      <c r="AK2720" s="38"/>
    </row>
    <row r="2721">
      <c r="A2721" s="99">
        <v>2720.0</v>
      </c>
      <c r="B2721" s="15"/>
      <c r="C2721" s="15"/>
      <c r="D2721" s="105">
        <v>1.0</v>
      </c>
      <c r="E2721" s="102">
        <v>48.0</v>
      </c>
      <c r="F2721" s="107">
        <v>303.0</v>
      </c>
      <c r="G2721" s="15" t="str">
        <f t="shared" si="1"/>
        <v>48303</v>
      </c>
      <c r="H2721" s="23" t="s">
        <v>2111</v>
      </c>
      <c r="I2721" s="23" t="s">
        <v>113</v>
      </c>
      <c r="J2721" s="23" t="s">
        <v>219</v>
      </c>
      <c r="K2721" s="23" t="str">
        <f t="shared" si="44"/>
        <v>Lubbock, TX</v>
      </c>
      <c r="L2721" s="23">
        <v>404.0</v>
      </c>
      <c r="M2721" s="23" t="s">
        <v>63</v>
      </c>
      <c r="N2721" s="23">
        <v>178.0</v>
      </c>
      <c r="O2721" s="23">
        <v>116.0</v>
      </c>
      <c r="P2721" s="23" t="s">
        <v>63</v>
      </c>
      <c r="Q2721" s="23">
        <v>176.0</v>
      </c>
      <c r="R2721" s="23">
        <v>125.0</v>
      </c>
      <c r="S2721" s="23" t="s">
        <v>63</v>
      </c>
      <c r="T2721" s="32" t="s">
        <v>63</v>
      </c>
      <c r="U2721" s="23">
        <v>1145.0</v>
      </c>
      <c r="V2721" s="23" t="s">
        <v>63</v>
      </c>
      <c r="W2721" s="23" t="s">
        <v>63</v>
      </c>
      <c r="X2721" s="23" t="s">
        <v>63</v>
      </c>
      <c r="Y2721" s="35">
        <v>209.0</v>
      </c>
      <c r="Z2721" s="32" t="s">
        <v>63</v>
      </c>
      <c r="AA2721" s="38"/>
      <c r="AB2721" s="38"/>
      <c r="AC2721" s="38"/>
      <c r="AD2721" s="38"/>
      <c r="AE2721" s="38"/>
      <c r="AF2721" s="38"/>
      <c r="AG2721" s="38"/>
      <c r="AH2721" s="38"/>
      <c r="AI2721" s="38"/>
      <c r="AJ2721" s="38"/>
      <c r="AK2721" s="38"/>
    </row>
    <row r="2722">
      <c r="A2722" s="99">
        <v>2721.0</v>
      </c>
      <c r="B2722" s="15"/>
      <c r="C2722" s="15"/>
      <c r="D2722" s="105">
        <v>1.0</v>
      </c>
      <c r="E2722" s="102">
        <v>48.0</v>
      </c>
      <c r="F2722" s="107">
        <v>305.0</v>
      </c>
      <c r="G2722" s="15" t="str">
        <f t="shared" si="1"/>
        <v>48305</v>
      </c>
      <c r="H2722" s="23" t="s">
        <v>2112</v>
      </c>
      <c r="I2722" s="23" t="s">
        <v>113</v>
      </c>
      <c r="J2722" s="23" t="s">
        <v>219</v>
      </c>
      <c r="K2722" s="23" t="str">
        <f t="shared" si="44"/>
        <v>Lynn, TX</v>
      </c>
      <c r="L2722" s="23">
        <v>9.0</v>
      </c>
      <c r="M2722" s="23" t="s">
        <v>63</v>
      </c>
      <c r="N2722" s="23">
        <v>3.0</v>
      </c>
      <c r="O2722" s="23">
        <v>5.0</v>
      </c>
      <c r="P2722" s="23" t="s">
        <v>63</v>
      </c>
      <c r="Q2722" s="23">
        <v>1.0</v>
      </c>
      <c r="R2722" s="23">
        <v>4.0</v>
      </c>
      <c r="S2722" s="23" t="s">
        <v>63</v>
      </c>
      <c r="T2722" s="32" t="s">
        <v>63</v>
      </c>
      <c r="U2722" s="23" t="s">
        <v>63</v>
      </c>
      <c r="V2722" s="23" t="s">
        <v>63</v>
      </c>
      <c r="W2722" s="23" t="s">
        <v>63</v>
      </c>
      <c r="X2722" s="23" t="s">
        <v>63</v>
      </c>
      <c r="Y2722" s="35">
        <v>14.0</v>
      </c>
      <c r="Z2722" s="32" t="s">
        <v>63</v>
      </c>
      <c r="AA2722" s="38"/>
      <c r="AB2722" s="38"/>
      <c r="AC2722" s="38"/>
      <c r="AD2722" s="38"/>
      <c r="AE2722" s="38"/>
      <c r="AF2722" s="38"/>
      <c r="AG2722" s="38"/>
      <c r="AH2722" s="38"/>
      <c r="AI2722" s="38"/>
      <c r="AJ2722" s="38"/>
      <c r="AK2722" s="38"/>
    </row>
    <row r="2723">
      <c r="A2723" s="99">
        <v>2722.0</v>
      </c>
      <c r="B2723" s="15"/>
      <c r="C2723" s="15"/>
      <c r="D2723" s="105">
        <v>1.0</v>
      </c>
      <c r="E2723" s="102">
        <v>48.0</v>
      </c>
      <c r="F2723" s="107">
        <v>307.0</v>
      </c>
      <c r="G2723" s="15" t="str">
        <f t="shared" si="1"/>
        <v>48307</v>
      </c>
      <c r="H2723" s="23" t="s">
        <v>2113</v>
      </c>
      <c r="I2723" s="23" t="s">
        <v>113</v>
      </c>
      <c r="J2723" s="23" t="s">
        <v>219</v>
      </c>
      <c r="K2723" s="23" t="str">
        <f t="shared" si="44"/>
        <v>McCulloch, TX</v>
      </c>
      <c r="L2723" s="23">
        <v>22.0</v>
      </c>
      <c r="M2723" s="23" t="s">
        <v>63</v>
      </c>
      <c r="N2723" s="23">
        <v>5.0</v>
      </c>
      <c r="O2723" s="23">
        <v>13.0</v>
      </c>
      <c r="P2723" s="23" t="s">
        <v>63</v>
      </c>
      <c r="Q2723" s="23">
        <v>7.0</v>
      </c>
      <c r="R2723" s="23">
        <v>12.0</v>
      </c>
      <c r="S2723" s="23" t="s">
        <v>63</v>
      </c>
      <c r="T2723" s="32" t="s">
        <v>63</v>
      </c>
      <c r="U2723" s="23">
        <v>28.0</v>
      </c>
      <c r="V2723" s="23" t="s">
        <v>63</v>
      </c>
      <c r="W2723" s="23" t="s">
        <v>63</v>
      </c>
      <c r="X2723" s="23" t="s">
        <v>63</v>
      </c>
      <c r="Y2723" s="35">
        <v>19.0</v>
      </c>
      <c r="Z2723" s="32" t="s">
        <v>63</v>
      </c>
      <c r="AA2723" s="38"/>
      <c r="AB2723" s="38"/>
      <c r="AC2723" s="38"/>
      <c r="AD2723" s="38"/>
      <c r="AE2723" s="38"/>
      <c r="AF2723" s="38"/>
      <c r="AG2723" s="38"/>
      <c r="AH2723" s="38"/>
      <c r="AI2723" s="38"/>
      <c r="AJ2723" s="38"/>
      <c r="AK2723" s="38"/>
    </row>
    <row r="2724">
      <c r="A2724" s="99">
        <v>2723.0</v>
      </c>
      <c r="B2724" s="15"/>
      <c r="C2724" s="15"/>
      <c r="D2724" s="105">
        <v>1.0</v>
      </c>
      <c r="E2724" s="102">
        <v>48.0</v>
      </c>
      <c r="F2724" s="107">
        <v>309.0</v>
      </c>
      <c r="G2724" s="15" t="str">
        <f t="shared" si="1"/>
        <v>48309</v>
      </c>
      <c r="H2724" s="23" t="s">
        <v>2114</v>
      </c>
      <c r="I2724" s="23" t="s">
        <v>113</v>
      </c>
      <c r="J2724" s="23" t="s">
        <v>219</v>
      </c>
      <c r="K2724" s="23" t="str">
        <f t="shared" si="44"/>
        <v>McLennan, TX</v>
      </c>
      <c r="L2724" s="23">
        <v>363.0</v>
      </c>
      <c r="M2724" s="23" t="s">
        <v>63</v>
      </c>
      <c r="N2724" s="23">
        <v>92.0</v>
      </c>
      <c r="O2724" s="23">
        <v>201.0</v>
      </c>
      <c r="P2724" s="23" t="s">
        <v>63</v>
      </c>
      <c r="Q2724" s="23">
        <v>83.0</v>
      </c>
      <c r="R2724" s="23">
        <v>87.0</v>
      </c>
      <c r="S2724" s="23" t="s">
        <v>63</v>
      </c>
      <c r="T2724" s="32" t="s">
        <v>63</v>
      </c>
      <c r="U2724" s="23">
        <v>531.0</v>
      </c>
      <c r="V2724" s="23" t="s">
        <v>63</v>
      </c>
      <c r="W2724" s="23" t="s">
        <v>63</v>
      </c>
      <c r="X2724" s="23" t="s">
        <v>63</v>
      </c>
      <c r="Y2724" s="35">
        <v>254.0</v>
      </c>
      <c r="Z2724" s="32" t="s">
        <v>63</v>
      </c>
      <c r="AA2724" s="38"/>
      <c r="AB2724" s="38"/>
      <c r="AC2724" s="38"/>
      <c r="AD2724" s="38"/>
      <c r="AE2724" s="38"/>
      <c r="AF2724" s="38"/>
      <c r="AG2724" s="38"/>
      <c r="AH2724" s="38"/>
      <c r="AI2724" s="38"/>
      <c r="AJ2724" s="38"/>
      <c r="AK2724" s="38"/>
    </row>
    <row r="2725">
      <c r="A2725" s="99">
        <v>2724.0</v>
      </c>
      <c r="B2725" s="15"/>
      <c r="C2725" s="15"/>
      <c r="D2725" s="105">
        <v>1.0</v>
      </c>
      <c r="E2725" s="102">
        <v>48.0</v>
      </c>
      <c r="F2725" s="107">
        <v>311.0</v>
      </c>
      <c r="G2725" s="15" t="str">
        <f t="shared" si="1"/>
        <v>48311</v>
      </c>
      <c r="H2725" s="23" t="s">
        <v>2115</v>
      </c>
      <c r="I2725" s="23" t="s">
        <v>113</v>
      </c>
      <c r="J2725" s="23" t="s">
        <v>219</v>
      </c>
      <c r="K2725" s="23" t="str">
        <f t="shared" si="44"/>
        <v>McMullen, TX</v>
      </c>
      <c r="L2725" s="23" t="s">
        <v>63</v>
      </c>
      <c r="M2725" s="23" t="s">
        <v>63</v>
      </c>
      <c r="N2725" s="23">
        <v>0.0</v>
      </c>
      <c r="O2725" s="23">
        <v>0.0</v>
      </c>
      <c r="P2725" s="23" t="s">
        <v>63</v>
      </c>
      <c r="Q2725" s="23" t="s">
        <v>63</v>
      </c>
      <c r="R2725" s="23" t="s">
        <v>63</v>
      </c>
      <c r="S2725" s="23" t="s">
        <v>63</v>
      </c>
      <c r="T2725" s="32" t="s">
        <v>63</v>
      </c>
      <c r="U2725" s="23" t="s">
        <v>63</v>
      </c>
      <c r="V2725" s="23" t="s">
        <v>63</v>
      </c>
      <c r="W2725" s="23" t="s">
        <v>63</v>
      </c>
      <c r="X2725" s="23" t="s">
        <v>63</v>
      </c>
      <c r="Y2725" s="35">
        <v>2.0</v>
      </c>
      <c r="Z2725" s="32" t="s">
        <v>63</v>
      </c>
      <c r="AA2725" s="38"/>
      <c r="AB2725" s="38"/>
      <c r="AC2725" s="38"/>
      <c r="AD2725" s="38"/>
      <c r="AE2725" s="38"/>
      <c r="AF2725" s="38"/>
      <c r="AG2725" s="38"/>
      <c r="AH2725" s="38"/>
      <c r="AI2725" s="38"/>
      <c r="AJ2725" s="38"/>
      <c r="AK2725" s="38"/>
    </row>
    <row r="2726">
      <c r="A2726" s="99">
        <v>2725.0</v>
      </c>
      <c r="B2726" s="15"/>
      <c r="C2726" s="15"/>
      <c r="D2726" s="105">
        <v>1.0</v>
      </c>
      <c r="E2726" s="102">
        <v>48.0</v>
      </c>
      <c r="F2726" s="107">
        <v>313.0</v>
      </c>
      <c r="G2726" s="15" t="str">
        <f t="shared" si="1"/>
        <v>48313</v>
      </c>
      <c r="H2726" s="23" t="s">
        <v>151</v>
      </c>
      <c r="I2726" s="23" t="s">
        <v>113</v>
      </c>
      <c r="J2726" s="23" t="s">
        <v>219</v>
      </c>
      <c r="K2726" s="23" t="str">
        <f t="shared" si="44"/>
        <v>Madison, TX</v>
      </c>
      <c r="L2726" s="23">
        <v>16.0</v>
      </c>
      <c r="M2726" s="23" t="s">
        <v>63</v>
      </c>
      <c r="N2726" s="23">
        <v>2.0</v>
      </c>
      <c r="O2726" s="23">
        <v>12.0</v>
      </c>
      <c r="P2726" s="23" t="s">
        <v>63</v>
      </c>
      <c r="Q2726" s="23">
        <v>6.0</v>
      </c>
      <c r="R2726" s="23">
        <v>2.0</v>
      </c>
      <c r="S2726" s="23" t="s">
        <v>63</v>
      </c>
      <c r="T2726" s="32" t="s">
        <v>63</v>
      </c>
      <c r="U2726" s="23" t="s">
        <v>63</v>
      </c>
      <c r="V2726" s="23" t="s">
        <v>63</v>
      </c>
      <c r="W2726" s="23" t="s">
        <v>63</v>
      </c>
      <c r="X2726" s="23" t="s">
        <v>63</v>
      </c>
      <c r="Y2726" s="35">
        <v>17.0</v>
      </c>
      <c r="Z2726" s="32" t="s">
        <v>63</v>
      </c>
      <c r="AA2726" s="38"/>
      <c r="AB2726" s="38"/>
      <c r="AC2726" s="38"/>
      <c r="AD2726" s="38"/>
      <c r="AE2726" s="38"/>
      <c r="AF2726" s="38"/>
      <c r="AG2726" s="38"/>
      <c r="AH2726" s="38"/>
      <c r="AI2726" s="38"/>
      <c r="AJ2726" s="38"/>
      <c r="AK2726" s="38"/>
    </row>
    <row r="2727">
      <c r="A2727" s="99">
        <v>2726.0</v>
      </c>
      <c r="B2727" s="15"/>
      <c r="C2727" s="15"/>
      <c r="D2727" s="105">
        <v>1.0</v>
      </c>
      <c r="E2727" s="102">
        <v>48.0</v>
      </c>
      <c r="F2727" s="107">
        <v>315.0</v>
      </c>
      <c r="G2727" s="15" t="str">
        <f t="shared" si="1"/>
        <v>48315</v>
      </c>
      <c r="H2727" s="23" t="s">
        <v>153</v>
      </c>
      <c r="I2727" s="23" t="s">
        <v>113</v>
      </c>
      <c r="J2727" s="23" t="s">
        <v>219</v>
      </c>
      <c r="K2727" s="23" t="str">
        <f t="shared" si="44"/>
        <v>Marion, TX</v>
      </c>
      <c r="L2727" s="23">
        <v>15.0</v>
      </c>
      <c r="M2727" s="23" t="s">
        <v>63</v>
      </c>
      <c r="N2727" s="23">
        <v>4.0</v>
      </c>
      <c r="O2727" s="23">
        <v>9.0</v>
      </c>
      <c r="P2727" s="23" t="s">
        <v>63</v>
      </c>
      <c r="Q2727" s="23">
        <v>2.0</v>
      </c>
      <c r="R2727" s="23">
        <v>2.0</v>
      </c>
      <c r="S2727" s="23" t="s">
        <v>63</v>
      </c>
      <c r="T2727" s="32" t="s">
        <v>63</v>
      </c>
      <c r="U2727" s="23">
        <v>31.0</v>
      </c>
      <c r="V2727" s="23" t="s">
        <v>63</v>
      </c>
      <c r="W2727" s="23" t="s">
        <v>63</v>
      </c>
      <c r="X2727" s="23" t="s">
        <v>63</v>
      </c>
      <c r="Y2727" s="35">
        <v>22.0</v>
      </c>
      <c r="Z2727" s="32" t="s">
        <v>63</v>
      </c>
      <c r="AA2727" s="38"/>
      <c r="AB2727" s="38"/>
      <c r="AC2727" s="38"/>
      <c r="AD2727" s="38"/>
      <c r="AE2727" s="38"/>
      <c r="AF2727" s="38"/>
      <c r="AG2727" s="38"/>
      <c r="AH2727" s="38"/>
      <c r="AI2727" s="38"/>
      <c r="AJ2727" s="38"/>
      <c r="AK2727" s="38"/>
    </row>
    <row r="2728">
      <c r="A2728" s="99">
        <v>2727.0</v>
      </c>
      <c r="B2728" s="15"/>
      <c r="C2728" s="15"/>
      <c r="D2728" s="105">
        <v>1.0</v>
      </c>
      <c r="E2728" s="102">
        <v>48.0</v>
      </c>
      <c r="F2728" s="107">
        <v>317.0</v>
      </c>
      <c r="G2728" s="15" t="str">
        <f t="shared" si="1"/>
        <v>48317</v>
      </c>
      <c r="H2728" s="23" t="s">
        <v>510</v>
      </c>
      <c r="I2728" s="23" t="s">
        <v>113</v>
      </c>
      <c r="J2728" s="23" t="s">
        <v>219</v>
      </c>
      <c r="K2728" s="23" t="str">
        <f t="shared" si="44"/>
        <v>Martin, TX</v>
      </c>
      <c r="L2728" s="23">
        <v>6.0</v>
      </c>
      <c r="M2728" s="23" t="s">
        <v>63</v>
      </c>
      <c r="N2728" s="23">
        <v>0.0</v>
      </c>
      <c r="O2728" s="23">
        <v>6.0</v>
      </c>
      <c r="P2728" s="23" t="s">
        <v>63</v>
      </c>
      <c r="Q2728" s="23">
        <v>2.0</v>
      </c>
      <c r="R2728" s="23" t="s">
        <v>63</v>
      </c>
      <c r="S2728" s="23" t="s">
        <v>63</v>
      </c>
      <c r="T2728" s="32" t="s">
        <v>63</v>
      </c>
      <c r="U2728" s="23" t="s">
        <v>63</v>
      </c>
      <c r="V2728" s="23" t="s">
        <v>63</v>
      </c>
      <c r="W2728" s="23" t="s">
        <v>63</v>
      </c>
      <c r="X2728" s="23" t="s">
        <v>63</v>
      </c>
      <c r="Y2728" s="35">
        <v>7.0</v>
      </c>
      <c r="Z2728" s="32" t="s">
        <v>63</v>
      </c>
      <c r="AA2728" s="38"/>
      <c r="AB2728" s="38"/>
      <c r="AC2728" s="38"/>
      <c r="AD2728" s="38"/>
      <c r="AE2728" s="38"/>
      <c r="AF2728" s="38"/>
      <c r="AG2728" s="38"/>
      <c r="AH2728" s="38"/>
      <c r="AI2728" s="38"/>
      <c r="AJ2728" s="38"/>
      <c r="AK2728" s="38"/>
    </row>
    <row r="2729">
      <c r="A2729" s="99">
        <v>2728.0</v>
      </c>
      <c r="B2729" s="15"/>
      <c r="C2729" s="15"/>
      <c r="D2729" s="105">
        <v>1.0</v>
      </c>
      <c r="E2729" s="102">
        <v>48.0</v>
      </c>
      <c r="F2729" s="107">
        <v>319.0</v>
      </c>
      <c r="G2729" s="15" t="str">
        <f t="shared" si="1"/>
        <v>48319</v>
      </c>
      <c r="H2729" s="23" t="s">
        <v>735</v>
      </c>
      <c r="I2729" s="23" t="s">
        <v>113</v>
      </c>
      <c r="J2729" s="23" t="s">
        <v>219</v>
      </c>
      <c r="K2729" s="23" t="str">
        <f t="shared" si="44"/>
        <v>Mason, TX</v>
      </c>
      <c r="L2729" s="23">
        <v>1.0</v>
      </c>
      <c r="M2729" s="23" t="s">
        <v>63</v>
      </c>
      <c r="N2729" s="23">
        <v>0.0</v>
      </c>
      <c r="O2729" s="23">
        <v>0.0</v>
      </c>
      <c r="P2729" s="23" t="s">
        <v>63</v>
      </c>
      <c r="Q2729" s="23" t="s">
        <v>63</v>
      </c>
      <c r="R2729" s="23" t="s">
        <v>63</v>
      </c>
      <c r="S2729" s="23" t="s">
        <v>63</v>
      </c>
      <c r="T2729" s="32" t="s">
        <v>63</v>
      </c>
      <c r="U2729" s="23" t="s">
        <v>63</v>
      </c>
      <c r="V2729" s="23" t="s">
        <v>63</v>
      </c>
      <c r="W2729" s="23" t="s">
        <v>63</v>
      </c>
      <c r="X2729" s="23" t="s">
        <v>63</v>
      </c>
      <c r="Y2729" s="35">
        <v>7.0</v>
      </c>
      <c r="Z2729" s="32" t="s">
        <v>63</v>
      </c>
      <c r="AA2729" s="38"/>
      <c r="AB2729" s="38"/>
      <c r="AC2729" s="38"/>
      <c r="AD2729" s="38"/>
      <c r="AE2729" s="38"/>
      <c r="AF2729" s="38"/>
      <c r="AG2729" s="38"/>
      <c r="AH2729" s="38"/>
      <c r="AI2729" s="38"/>
      <c r="AJ2729" s="38"/>
      <c r="AK2729" s="38"/>
    </row>
    <row r="2730">
      <c r="A2730" s="99">
        <v>2729.0</v>
      </c>
      <c r="B2730" s="15"/>
      <c r="C2730" s="15"/>
      <c r="D2730" s="105">
        <v>1.0</v>
      </c>
      <c r="E2730" s="102">
        <v>48.0</v>
      </c>
      <c r="F2730" s="107">
        <v>321.0</v>
      </c>
      <c r="G2730" s="15" t="str">
        <f t="shared" si="1"/>
        <v>48321</v>
      </c>
      <c r="H2730" s="23" t="s">
        <v>2116</v>
      </c>
      <c r="I2730" s="23" t="s">
        <v>113</v>
      </c>
      <c r="J2730" s="23" t="s">
        <v>219</v>
      </c>
      <c r="K2730" s="23" t="str">
        <f t="shared" si="44"/>
        <v>Matagorda, TX</v>
      </c>
      <c r="L2730" s="23">
        <v>48.0</v>
      </c>
      <c r="M2730" s="23" t="s">
        <v>63</v>
      </c>
      <c r="N2730" s="23">
        <v>25.0</v>
      </c>
      <c r="O2730" s="23">
        <v>14.0</v>
      </c>
      <c r="P2730" s="23" t="s">
        <v>63</v>
      </c>
      <c r="Q2730" s="23">
        <v>6.0</v>
      </c>
      <c r="R2730" s="23">
        <v>3.0</v>
      </c>
      <c r="S2730" s="23" t="s">
        <v>63</v>
      </c>
      <c r="T2730" s="32" t="s">
        <v>63</v>
      </c>
      <c r="U2730" s="23">
        <v>181.0</v>
      </c>
      <c r="V2730" s="23" t="s">
        <v>63</v>
      </c>
      <c r="W2730" s="23" t="s">
        <v>63</v>
      </c>
      <c r="X2730" s="23" t="s">
        <v>63</v>
      </c>
      <c r="Y2730" s="35">
        <v>51.0</v>
      </c>
      <c r="Z2730" s="32" t="s">
        <v>63</v>
      </c>
      <c r="AA2730" s="38"/>
      <c r="AB2730" s="38"/>
      <c r="AC2730" s="38"/>
      <c r="AD2730" s="38"/>
      <c r="AE2730" s="38"/>
      <c r="AF2730" s="38"/>
      <c r="AG2730" s="38"/>
      <c r="AH2730" s="38"/>
      <c r="AI2730" s="38"/>
      <c r="AJ2730" s="38"/>
      <c r="AK2730" s="38"/>
    </row>
    <row r="2731">
      <c r="A2731" s="99">
        <v>2730.0</v>
      </c>
      <c r="B2731" s="15"/>
      <c r="C2731" s="15"/>
      <c r="D2731" s="105">
        <v>1.0</v>
      </c>
      <c r="E2731" s="102">
        <v>48.0</v>
      </c>
      <c r="F2731" s="107">
        <v>323.0</v>
      </c>
      <c r="G2731" s="15" t="str">
        <f t="shared" si="1"/>
        <v>48323</v>
      </c>
      <c r="H2731" s="23" t="s">
        <v>2117</v>
      </c>
      <c r="I2731" s="23" t="s">
        <v>113</v>
      </c>
      <c r="J2731" s="23" t="s">
        <v>219</v>
      </c>
      <c r="K2731" s="23" t="str">
        <f t="shared" si="44"/>
        <v>Maverick, TX</v>
      </c>
      <c r="L2731" s="23">
        <v>38.0</v>
      </c>
      <c r="M2731" s="23" t="s">
        <v>63</v>
      </c>
      <c r="N2731" s="23">
        <v>9.0</v>
      </c>
      <c r="O2731" s="23">
        <v>13.0</v>
      </c>
      <c r="P2731" s="23" t="s">
        <v>63</v>
      </c>
      <c r="Q2731" s="23">
        <v>5.0</v>
      </c>
      <c r="R2731" s="23">
        <v>12.0</v>
      </c>
      <c r="S2731" s="23" t="s">
        <v>63</v>
      </c>
      <c r="T2731" s="32" t="s">
        <v>63</v>
      </c>
      <c r="U2731" s="23">
        <v>149.0</v>
      </c>
      <c r="V2731" s="23" t="s">
        <v>63</v>
      </c>
      <c r="W2731" s="23" t="s">
        <v>63</v>
      </c>
      <c r="X2731" s="23" t="s">
        <v>63</v>
      </c>
      <c r="Y2731" s="35">
        <v>15.0</v>
      </c>
      <c r="Z2731" s="32" t="s">
        <v>63</v>
      </c>
      <c r="AA2731" s="38"/>
      <c r="AB2731" s="38"/>
      <c r="AC2731" s="38"/>
      <c r="AD2731" s="38"/>
      <c r="AE2731" s="38"/>
      <c r="AF2731" s="38"/>
      <c r="AG2731" s="38"/>
      <c r="AH2731" s="38"/>
      <c r="AI2731" s="38"/>
      <c r="AJ2731" s="38"/>
      <c r="AK2731" s="38"/>
    </row>
    <row r="2732">
      <c r="A2732" s="99">
        <v>2731.0</v>
      </c>
      <c r="B2732" s="15"/>
      <c r="C2732" s="15"/>
      <c r="D2732" s="105">
        <v>1.0</v>
      </c>
      <c r="E2732" s="102">
        <v>48.0</v>
      </c>
      <c r="F2732" s="107">
        <v>325.0</v>
      </c>
      <c r="G2732" s="15" t="str">
        <f t="shared" si="1"/>
        <v>48325</v>
      </c>
      <c r="H2732" s="23" t="s">
        <v>1689</v>
      </c>
      <c r="I2732" s="23" t="s">
        <v>113</v>
      </c>
      <c r="J2732" s="23" t="s">
        <v>219</v>
      </c>
      <c r="K2732" s="23" t="str">
        <f t="shared" si="44"/>
        <v>Medina, TX</v>
      </c>
      <c r="L2732" s="23">
        <v>36.0</v>
      </c>
      <c r="M2732" s="23" t="s">
        <v>63</v>
      </c>
      <c r="N2732" s="23">
        <v>10.0</v>
      </c>
      <c r="O2732" s="23">
        <v>12.0</v>
      </c>
      <c r="P2732" s="23" t="s">
        <v>63</v>
      </c>
      <c r="Q2732" s="23">
        <v>20.0</v>
      </c>
      <c r="R2732" s="23">
        <v>13.0</v>
      </c>
      <c r="S2732" s="23" t="s">
        <v>63</v>
      </c>
      <c r="T2732" s="32" t="s">
        <v>63</v>
      </c>
      <c r="U2732" s="23">
        <v>189.0</v>
      </c>
      <c r="V2732" s="23" t="s">
        <v>63</v>
      </c>
      <c r="W2732" s="23" t="s">
        <v>63</v>
      </c>
      <c r="X2732" s="23" t="s">
        <v>63</v>
      </c>
      <c r="Y2732" s="35">
        <v>37.0</v>
      </c>
      <c r="Z2732" s="32" t="s">
        <v>63</v>
      </c>
      <c r="AA2732" s="38"/>
      <c r="AB2732" s="38"/>
      <c r="AC2732" s="38"/>
      <c r="AD2732" s="38"/>
      <c r="AE2732" s="38"/>
      <c r="AF2732" s="38"/>
      <c r="AG2732" s="38"/>
      <c r="AH2732" s="38"/>
      <c r="AI2732" s="38"/>
      <c r="AJ2732" s="38"/>
      <c r="AK2732" s="38"/>
    </row>
    <row r="2733">
      <c r="A2733" s="99">
        <v>2732.0</v>
      </c>
      <c r="B2733" s="15"/>
      <c r="C2733" s="15"/>
      <c r="D2733" s="105">
        <v>1.0</v>
      </c>
      <c r="E2733" s="102">
        <v>48.0</v>
      </c>
      <c r="F2733" s="107">
        <v>327.0</v>
      </c>
      <c r="G2733" s="15" t="str">
        <f t="shared" si="1"/>
        <v>48327</v>
      </c>
      <c r="H2733" s="23" t="s">
        <v>737</v>
      </c>
      <c r="I2733" s="23" t="s">
        <v>113</v>
      </c>
      <c r="J2733" s="23" t="s">
        <v>219</v>
      </c>
      <c r="K2733" s="23" t="str">
        <f t="shared" si="44"/>
        <v>Menard, TX</v>
      </c>
      <c r="L2733" s="23">
        <v>0.0</v>
      </c>
      <c r="M2733" s="23" t="s">
        <v>63</v>
      </c>
      <c r="N2733" s="23">
        <v>0.0</v>
      </c>
      <c r="O2733" s="23">
        <v>0.0</v>
      </c>
      <c r="P2733" s="23" t="s">
        <v>63</v>
      </c>
      <c r="Q2733" s="23" t="s">
        <v>63</v>
      </c>
      <c r="R2733" s="23" t="s">
        <v>63</v>
      </c>
      <c r="S2733" s="23" t="s">
        <v>63</v>
      </c>
      <c r="T2733" s="32" t="s">
        <v>63</v>
      </c>
      <c r="U2733" s="23" t="s">
        <v>63</v>
      </c>
      <c r="V2733" s="23" t="s">
        <v>63</v>
      </c>
      <c r="W2733" s="23" t="s">
        <v>63</v>
      </c>
      <c r="X2733" s="23" t="s">
        <v>63</v>
      </c>
      <c r="Y2733" s="35">
        <v>6.0</v>
      </c>
      <c r="Z2733" s="32" t="s">
        <v>63</v>
      </c>
      <c r="AA2733" s="38"/>
      <c r="AB2733" s="38"/>
      <c r="AC2733" s="38"/>
      <c r="AD2733" s="38"/>
      <c r="AE2733" s="38"/>
      <c r="AF2733" s="38"/>
      <c r="AG2733" s="38"/>
      <c r="AH2733" s="38"/>
      <c r="AI2733" s="38"/>
      <c r="AJ2733" s="38"/>
      <c r="AK2733" s="38"/>
    </row>
    <row r="2734">
      <c r="A2734" s="99">
        <v>2733.0</v>
      </c>
      <c r="B2734" s="15"/>
      <c r="C2734" s="15"/>
      <c r="D2734" s="105">
        <v>1.0</v>
      </c>
      <c r="E2734" s="102">
        <v>48.0</v>
      </c>
      <c r="F2734" s="107">
        <v>329.0</v>
      </c>
      <c r="G2734" s="15" t="str">
        <f t="shared" si="1"/>
        <v>48329</v>
      </c>
      <c r="H2734" s="23" t="s">
        <v>1273</v>
      </c>
      <c r="I2734" s="23" t="s">
        <v>113</v>
      </c>
      <c r="J2734" s="23" t="s">
        <v>219</v>
      </c>
      <c r="K2734" s="23" t="str">
        <f t="shared" si="44"/>
        <v>Midland, TX</v>
      </c>
      <c r="L2734" s="23">
        <v>52.0</v>
      </c>
      <c r="M2734" s="23" t="s">
        <v>63</v>
      </c>
      <c r="N2734" s="23">
        <v>16.0</v>
      </c>
      <c r="O2734" s="23">
        <v>21.0</v>
      </c>
      <c r="P2734" s="23" t="s">
        <v>63</v>
      </c>
      <c r="Q2734" s="23">
        <v>39.0</v>
      </c>
      <c r="R2734" s="23">
        <v>23.0</v>
      </c>
      <c r="S2734" s="23" t="s">
        <v>63</v>
      </c>
      <c r="T2734" s="32" t="s">
        <v>63</v>
      </c>
      <c r="U2734" s="23">
        <v>361.0</v>
      </c>
      <c r="V2734" s="23" t="s">
        <v>63</v>
      </c>
      <c r="W2734" s="23" t="s">
        <v>63</v>
      </c>
      <c r="X2734" s="23" t="s">
        <v>63</v>
      </c>
      <c r="Y2734" s="35">
        <v>98.0</v>
      </c>
      <c r="Z2734" s="32" t="s">
        <v>63</v>
      </c>
      <c r="AA2734" s="38"/>
      <c r="AB2734" s="38"/>
      <c r="AC2734" s="38"/>
      <c r="AD2734" s="38"/>
      <c r="AE2734" s="38"/>
      <c r="AF2734" s="38"/>
      <c r="AG2734" s="38"/>
      <c r="AH2734" s="38"/>
      <c r="AI2734" s="38"/>
      <c r="AJ2734" s="38"/>
      <c r="AK2734" s="38"/>
    </row>
    <row r="2735">
      <c r="A2735" s="99">
        <v>2734.0</v>
      </c>
      <c r="B2735" s="15"/>
      <c r="C2735" s="15"/>
      <c r="D2735" s="105">
        <v>1.0</v>
      </c>
      <c r="E2735" s="102">
        <v>48.0</v>
      </c>
      <c r="F2735" s="107">
        <v>331.0</v>
      </c>
      <c r="G2735" s="15" t="str">
        <f t="shared" si="1"/>
        <v>48331</v>
      </c>
      <c r="H2735" s="23" t="s">
        <v>2118</v>
      </c>
      <c r="I2735" s="23" t="s">
        <v>113</v>
      </c>
      <c r="J2735" s="23" t="s">
        <v>219</v>
      </c>
      <c r="K2735" s="23" t="str">
        <f t="shared" si="44"/>
        <v>Milam, TX</v>
      </c>
      <c r="L2735" s="23">
        <v>59.0</v>
      </c>
      <c r="M2735" s="23" t="s">
        <v>63</v>
      </c>
      <c r="N2735" s="23">
        <v>16.0</v>
      </c>
      <c r="O2735" s="23">
        <v>37.0</v>
      </c>
      <c r="P2735" s="23" t="s">
        <v>63</v>
      </c>
      <c r="Q2735" s="23">
        <v>7.0</v>
      </c>
      <c r="R2735" s="23">
        <v>17.0</v>
      </c>
      <c r="S2735" s="23" t="s">
        <v>63</v>
      </c>
      <c r="T2735" s="32" t="s">
        <v>63</v>
      </c>
      <c r="U2735" s="23">
        <v>33.0</v>
      </c>
      <c r="V2735" s="23" t="s">
        <v>63</v>
      </c>
      <c r="W2735" s="23" t="s">
        <v>63</v>
      </c>
      <c r="X2735" s="23" t="s">
        <v>63</v>
      </c>
      <c r="Y2735" s="35">
        <v>45.0</v>
      </c>
      <c r="Z2735" s="32" t="s">
        <v>63</v>
      </c>
      <c r="AA2735" s="38"/>
      <c r="AB2735" s="38"/>
      <c r="AC2735" s="38"/>
      <c r="AD2735" s="38"/>
      <c r="AE2735" s="38"/>
      <c r="AF2735" s="38"/>
      <c r="AG2735" s="38"/>
      <c r="AH2735" s="38"/>
      <c r="AI2735" s="38"/>
      <c r="AJ2735" s="38"/>
      <c r="AK2735" s="38"/>
    </row>
    <row r="2736">
      <c r="A2736" s="99">
        <v>2735.0</v>
      </c>
      <c r="B2736" s="15"/>
      <c r="C2736" s="15"/>
      <c r="D2736" s="105">
        <v>1.0</v>
      </c>
      <c r="E2736" s="102">
        <v>48.0</v>
      </c>
      <c r="F2736" s="107">
        <v>333.0</v>
      </c>
      <c r="G2736" s="15" t="str">
        <f t="shared" si="1"/>
        <v>48333</v>
      </c>
      <c r="H2736" s="23" t="s">
        <v>913</v>
      </c>
      <c r="I2736" s="23" t="s">
        <v>113</v>
      </c>
      <c r="J2736" s="23" t="s">
        <v>219</v>
      </c>
      <c r="K2736" s="23" t="str">
        <f t="shared" si="44"/>
        <v>Mills, TX</v>
      </c>
      <c r="L2736" s="23">
        <v>6.0</v>
      </c>
      <c r="M2736" s="23" t="s">
        <v>63</v>
      </c>
      <c r="N2736" s="23">
        <v>0.0</v>
      </c>
      <c r="O2736" s="23">
        <v>1.0</v>
      </c>
      <c r="P2736" s="23" t="s">
        <v>63</v>
      </c>
      <c r="Q2736" s="23">
        <v>1.0</v>
      </c>
      <c r="R2736" s="23">
        <v>5.0</v>
      </c>
      <c r="S2736" s="23" t="s">
        <v>63</v>
      </c>
      <c r="T2736" s="32" t="s">
        <v>63</v>
      </c>
      <c r="U2736" s="23" t="s">
        <v>63</v>
      </c>
      <c r="V2736" s="23" t="s">
        <v>63</v>
      </c>
      <c r="W2736" s="23" t="s">
        <v>63</v>
      </c>
      <c r="X2736" s="23" t="s">
        <v>63</v>
      </c>
      <c r="Y2736" s="35">
        <v>10.0</v>
      </c>
      <c r="Z2736" s="32" t="s">
        <v>63</v>
      </c>
      <c r="AA2736" s="38"/>
      <c r="AB2736" s="38"/>
      <c r="AC2736" s="38"/>
      <c r="AD2736" s="38"/>
      <c r="AE2736" s="38"/>
      <c r="AF2736" s="38"/>
      <c r="AG2736" s="38"/>
      <c r="AH2736" s="38"/>
      <c r="AI2736" s="38"/>
      <c r="AJ2736" s="38"/>
      <c r="AK2736" s="38"/>
    </row>
    <row r="2737">
      <c r="A2737" s="99">
        <v>2736.0</v>
      </c>
      <c r="B2737" s="15"/>
      <c r="C2737" s="15"/>
      <c r="D2737" s="105">
        <v>1.0</v>
      </c>
      <c r="E2737" s="102">
        <v>48.0</v>
      </c>
      <c r="F2737" s="107">
        <v>335.0</v>
      </c>
      <c r="G2737" s="15" t="str">
        <f t="shared" si="1"/>
        <v>48335</v>
      </c>
      <c r="H2737" s="23" t="s">
        <v>610</v>
      </c>
      <c r="I2737" s="23" t="s">
        <v>113</v>
      </c>
      <c r="J2737" s="23" t="s">
        <v>219</v>
      </c>
      <c r="K2737" s="23" t="str">
        <f t="shared" si="44"/>
        <v>Mitchell, TX</v>
      </c>
      <c r="L2737" s="23">
        <v>9.0</v>
      </c>
      <c r="M2737" s="23" t="s">
        <v>63</v>
      </c>
      <c r="N2737" s="23">
        <v>4.0</v>
      </c>
      <c r="O2737" s="23">
        <v>2.0</v>
      </c>
      <c r="P2737" s="23" t="s">
        <v>63</v>
      </c>
      <c r="Q2737" s="23">
        <v>2.0</v>
      </c>
      <c r="R2737" s="23" t="s">
        <v>63</v>
      </c>
      <c r="S2737" s="23" t="s">
        <v>63</v>
      </c>
      <c r="T2737" s="32" t="s">
        <v>63</v>
      </c>
      <c r="U2737" s="23">
        <v>34.0</v>
      </c>
      <c r="V2737" s="23" t="s">
        <v>63</v>
      </c>
      <c r="W2737" s="23" t="s">
        <v>63</v>
      </c>
      <c r="X2737" s="23" t="s">
        <v>63</v>
      </c>
      <c r="Y2737" s="35">
        <v>11.0</v>
      </c>
      <c r="Z2737" s="32" t="s">
        <v>63</v>
      </c>
      <c r="AA2737" s="38"/>
      <c r="AB2737" s="38"/>
      <c r="AC2737" s="38"/>
      <c r="AD2737" s="38"/>
      <c r="AE2737" s="38"/>
      <c r="AF2737" s="38"/>
      <c r="AG2737" s="38"/>
      <c r="AH2737" s="38"/>
      <c r="AI2737" s="38"/>
      <c r="AJ2737" s="38"/>
      <c r="AK2737" s="38"/>
    </row>
    <row r="2738">
      <c r="A2738" s="99">
        <v>2737.0</v>
      </c>
      <c r="B2738" s="15"/>
      <c r="C2738" s="15"/>
      <c r="D2738" s="105">
        <v>1.0</v>
      </c>
      <c r="E2738" s="102">
        <v>48.0</v>
      </c>
      <c r="F2738" s="107">
        <v>337.0</v>
      </c>
      <c r="G2738" s="15" t="str">
        <f t="shared" si="1"/>
        <v>48337</v>
      </c>
      <c r="H2738" s="23" t="s">
        <v>2119</v>
      </c>
      <c r="I2738" s="23" t="s">
        <v>113</v>
      </c>
      <c r="J2738" s="23" t="s">
        <v>219</v>
      </c>
      <c r="K2738" s="23" t="str">
        <f t="shared" si="44"/>
        <v>Montague, TX</v>
      </c>
      <c r="L2738" s="23">
        <v>17.0</v>
      </c>
      <c r="M2738" s="23" t="s">
        <v>63</v>
      </c>
      <c r="N2738" s="23">
        <v>4.0</v>
      </c>
      <c r="O2738" s="23">
        <v>9.0</v>
      </c>
      <c r="P2738" s="23" t="s">
        <v>63</v>
      </c>
      <c r="Q2738" s="23">
        <v>11.0</v>
      </c>
      <c r="R2738" s="23">
        <v>2.0</v>
      </c>
      <c r="S2738" s="23" t="s">
        <v>63</v>
      </c>
      <c r="T2738" s="32" t="s">
        <v>63</v>
      </c>
      <c r="U2738" s="23">
        <v>90.0</v>
      </c>
      <c r="V2738" s="23" t="s">
        <v>63</v>
      </c>
      <c r="W2738" s="23" t="s">
        <v>63</v>
      </c>
      <c r="X2738" s="23" t="s">
        <v>63</v>
      </c>
      <c r="Y2738" s="35">
        <v>33.0</v>
      </c>
      <c r="Z2738" s="32" t="s">
        <v>63</v>
      </c>
      <c r="AA2738" s="38"/>
      <c r="AB2738" s="38"/>
      <c r="AC2738" s="38"/>
      <c r="AD2738" s="38"/>
      <c r="AE2738" s="38"/>
      <c r="AF2738" s="38"/>
      <c r="AG2738" s="38"/>
      <c r="AH2738" s="38"/>
      <c r="AI2738" s="38"/>
      <c r="AJ2738" s="38"/>
      <c r="AK2738" s="38"/>
    </row>
    <row r="2739">
      <c r="A2739" s="99">
        <v>2738.0</v>
      </c>
      <c r="B2739" s="15"/>
      <c r="C2739" s="15"/>
      <c r="D2739" s="105">
        <v>1.0</v>
      </c>
      <c r="E2739" s="102">
        <v>48.0</v>
      </c>
      <c r="F2739" s="107">
        <v>339.0</v>
      </c>
      <c r="G2739" s="15" t="str">
        <f t="shared" si="1"/>
        <v>48339</v>
      </c>
      <c r="H2739" s="23" t="s">
        <v>157</v>
      </c>
      <c r="I2739" s="23" t="s">
        <v>113</v>
      </c>
      <c r="J2739" s="23" t="s">
        <v>219</v>
      </c>
      <c r="K2739" s="23" t="str">
        <f t="shared" si="44"/>
        <v>Montgomery, TX</v>
      </c>
      <c r="L2739" s="23">
        <v>266.0</v>
      </c>
      <c r="M2739" s="23" t="s">
        <v>63</v>
      </c>
      <c r="N2739" s="23">
        <v>116.0</v>
      </c>
      <c r="O2739" s="23">
        <v>105.0</v>
      </c>
      <c r="P2739" s="23" t="s">
        <v>63</v>
      </c>
      <c r="Q2739" s="23">
        <v>185.0</v>
      </c>
      <c r="R2739" s="23">
        <v>98.0</v>
      </c>
      <c r="S2739" s="23" t="s">
        <v>63</v>
      </c>
      <c r="T2739" s="32" t="s">
        <v>63</v>
      </c>
      <c r="U2739" s="23">
        <v>393.0</v>
      </c>
      <c r="V2739" s="23" t="s">
        <v>63</v>
      </c>
      <c r="W2739" s="23" t="s">
        <v>63</v>
      </c>
      <c r="X2739" s="23" t="s">
        <v>63</v>
      </c>
      <c r="Y2739" s="35">
        <v>262.0</v>
      </c>
      <c r="Z2739" s="32" t="s">
        <v>63</v>
      </c>
      <c r="AA2739" s="38"/>
      <c r="AB2739" s="38"/>
      <c r="AC2739" s="38"/>
      <c r="AD2739" s="38"/>
      <c r="AE2739" s="38"/>
      <c r="AF2739" s="38"/>
      <c r="AG2739" s="38"/>
      <c r="AH2739" s="38"/>
      <c r="AI2739" s="38"/>
      <c r="AJ2739" s="38"/>
      <c r="AK2739" s="38"/>
    </row>
    <row r="2740">
      <c r="A2740" s="99">
        <v>2739.0</v>
      </c>
      <c r="B2740" s="15"/>
      <c r="C2740" s="15"/>
      <c r="D2740" s="105">
        <v>1.0</v>
      </c>
      <c r="E2740" s="102">
        <v>48.0</v>
      </c>
      <c r="F2740" s="107">
        <v>341.0</v>
      </c>
      <c r="G2740" s="15" t="str">
        <f t="shared" si="1"/>
        <v>48341</v>
      </c>
      <c r="H2740" s="23" t="s">
        <v>1615</v>
      </c>
      <c r="I2740" s="23" t="s">
        <v>113</v>
      </c>
      <c r="J2740" s="23" t="s">
        <v>219</v>
      </c>
      <c r="K2740" s="23" t="str">
        <f t="shared" si="44"/>
        <v>Moore, TX</v>
      </c>
      <c r="L2740" s="23">
        <v>29.0</v>
      </c>
      <c r="M2740" s="23" t="s">
        <v>63</v>
      </c>
      <c r="N2740" s="23">
        <v>19.0</v>
      </c>
      <c r="O2740" s="23">
        <v>3.0</v>
      </c>
      <c r="P2740" s="23" t="s">
        <v>63</v>
      </c>
      <c r="Q2740" s="23">
        <v>3.0</v>
      </c>
      <c r="R2740" s="23">
        <v>11.0</v>
      </c>
      <c r="S2740" s="23" t="s">
        <v>63</v>
      </c>
      <c r="T2740" s="32" t="s">
        <v>63</v>
      </c>
      <c r="U2740" s="23">
        <v>79.0</v>
      </c>
      <c r="V2740" s="23" t="s">
        <v>63</v>
      </c>
      <c r="W2740" s="23" t="s">
        <v>63</v>
      </c>
      <c r="X2740" s="23" t="s">
        <v>63</v>
      </c>
      <c r="Y2740" s="35">
        <v>28.0</v>
      </c>
      <c r="Z2740" s="32" t="s">
        <v>63</v>
      </c>
      <c r="AA2740" s="38"/>
      <c r="AB2740" s="38"/>
      <c r="AC2740" s="38"/>
      <c r="AD2740" s="38"/>
      <c r="AE2740" s="38"/>
      <c r="AF2740" s="38"/>
      <c r="AG2740" s="38"/>
      <c r="AH2740" s="38"/>
      <c r="AI2740" s="38"/>
      <c r="AJ2740" s="38"/>
      <c r="AK2740" s="38"/>
    </row>
    <row r="2741">
      <c r="A2741" s="99">
        <v>2740.0</v>
      </c>
      <c r="B2741" s="15"/>
      <c r="C2741" s="15"/>
      <c r="D2741" s="105">
        <v>1.0</v>
      </c>
      <c r="E2741" s="102">
        <v>48.0</v>
      </c>
      <c r="F2741" s="107">
        <v>343.0</v>
      </c>
      <c r="G2741" s="15" t="str">
        <f t="shared" si="1"/>
        <v>48343</v>
      </c>
      <c r="H2741" s="23" t="s">
        <v>990</v>
      </c>
      <c r="I2741" s="23" t="s">
        <v>113</v>
      </c>
      <c r="J2741" s="23" t="s">
        <v>219</v>
      </c>
      <c r="K2741" s="23" t="str">
        <f t="shared" si="44"/>
        <v>Morris, TX</v>
      </c>
      <c r="L2741" s="23">
        <v>13.0</v>
      </c>
      <c r="M2741" s="23" t="s">
        <v>63</v>
      </c>
      <c r="N2741" s="23">
        <v>6.0</v>
      </c>
      <c r="O2741" s="23">
        <v>6.0</v>
      </c>
      <c r="P2741" s="23" t="s">
        <v>63</v>
      </c>
      <c r="Q2741" s="23">
        <v>3.0</v>
      </c>
      <c r="R2741" s="23">
        <v>1.0</v>
      </c>
      <c r="S2741" s="23" t="s">
        <v>63</v>
      </c>
      <c r="T2741" s="32" t="s">
        <v>63</v>
      </c>
      <c r="U2741" s="23" t="s">
        <v>63</v>
      </c>
      <c r="V2741" s="23" t="s">
        <v>63</v>
      </c>
      <c r="W2741" s="23" t="s">
        <v>63</v>
      </c>
      <c r="X2741" s="23" t="s">
        <v>63</v>
      </c>
      <c r="Y2741" s="35">
        <v>23.0</v>
      </c>
      <c r="Z2741" s="32" t="s">
        <v>63</v>
      </c>
      <c r="AA2741" s="38"/>
      <c r="AB2741" s="38"/>
      <c r="AC2741" s="38"/>
      <c r="AD2741" s="38"/>
      <c r="AE2741" s="38"/>
      <c r="AF2741" s="38"/>
      <c r="AG2741" s="38"/>
      <c r="AH2741" s="38"/>
      <c r="AI2741" s="38"/>
      <c r="AJ2741" s="38"/>
      <c r="AK2741" s="38"/>
    </row>
    <row r="2742">
      <c r="A2742" s="99">
        <v>2741.0</v>
      </c>
      <c r="B2742" s="15"/>
      <c r="C2742" s="15"/>
      <c r="D2742" s="105">
        <v>1.0</v>
      </c>
      <c r="E2742" s="102">
        <v>48.0</v>
      </c>
      <c r="F2742" s="107">
        <v>345.0</v>
      </c>
      <c r="G2742" s="15" t="str">
        <f t="shared" si="1"/>
        <v>48345</v>
      </c>
      <c r="H2742" s="23" t="s">
        <v>2120</v>
      </c>
      <c r="I2742" s="23" t="s">
        <v>113</v>
      </c>
      <c r="J2742" s="23" t="s">
        <v>219</v>
      </c>
      <c r="K2742" s="23" t="str">
        <f t="shared" si="44"/>
        <v>Motley, TX</v>
      </c>
      <c r="L2742" s="23" t="s">
        <v>63</v>
      </c>
      <c r="M2742" s="23" t="s">
        <v>63</v>
      </c>
      <c r="N2742" s="23">
        <v>0.0</v>
      </c>
      <c r="O2742" s="23">
        <v>0.0</v>
      </c>
      <c r="P2742" s="23" t="s">
        <v>63</v>
      </c>
      <c r="Q2742" s="23" t="s">
        <v>63</v>
      </c>
      <c r="R2742" s="23" t="s">
        <v>63</v>
      </c>
      <c r="S2742" s="23" t="s">
        <v>63</v>
      </c>
      <c r="T2742" s="32" t="s">
        <v>63</v>
      </c>
      <c r="U2742" s="23" t="s">
        <v>63</v>
      </c>
      <c r="V2742" s="23" t="s">
        <v>63</v>
      </c>
      <c r="W2742" s="23" t="s">
        <v>63</v>
      </c>
      <c r="X2742" s="23" t="s">
        <v>63</v>
      </c>
      <c r="Y2742" s="35">
        <v>4.0</v>
      </c>
      <c r="Z2742" s="32" t="s">
        <v>63</v>
      </c>
      <c r="AA2742" s="38"/>
      <c r="AB2742" s="38"/>
      <c r="AC2742" s="38"/>
      <c r="AD2742" s="38"/>
      <c r="AE2742" s="38"/>
      <c r="AF2742" s="38"/>
      <c r="AG2742" s="38"/>
      <c r="AH2742" s="38"/>
      <c r="AI2742" s="38"/>
      <c r="AJ2742" s="38"/>
      <c r="AK2742" s="38"/>
    </row>
    <row r="2743">
      <c r="A2743" s="99">
        <v>2742.0</v>
      </c>
      <c r="B2743" s="15"/>
      <c r="C2743" s="15"/>
      <c r="D2743" s="105">
        <v>1.0</v>
      </c>
      <c r="E2743" s="102">
        <v>48.0</v>
      </c>
      <c r="F2743" s="107">
        <v>347.0</v>
      </c>
      <c r="G2743" s="15" t="str">
        <f t="shared" si="1"/>
        <v>48347</v>
      </c>
      <c r="H2743" s="23" t="s">
        <v>2121</v>
      </c>
      <c r="I2743" s="23" t="s">
        <v>113</v>
      </c>
      <c r="J2743" s="23" t="s">
        <v>219</v>
      </c>
      <c r="K2743" s="112" t="str">
        <f t="shared" si="44"/>
        <v>Nacogdoches, TX</v>
      </c>
      <c r="L2743" s="23">
        <v>72.0</v>
      </c>
      <c r="M2743" s="23" t="s">
        <v>63</v>
      </c>
      <c r="N2743" s="23">
        <v>38.0</v>
      </c>
      <c r="O2743" s="23">
        <v>20.0</v>
      </c>
      <c r="P2743" s="23" t="s">
        <v>63</v>
      </c>
      <c r="Q2743" s="23">
        <v>28.0</v>
      </c>
      <c r="R2743" s="23">
        <v>25.0</v>
      </c>
      <c r="S2743" s="23" t="s">
        <v>63</v>
      </c>
      <c r="T2743" s="32" t="s">
        <v>63</v>
      </c>
      <c r="U2743" s="23">
        <v>174.0</v>
      </c>
      <c r="V2743" s="23" t="s">
        <v>63</v>
      </c>
      <c r="W2743" s="23" t="s">
        <v>63</v>
      </c>
      <c r="X2743" s="23" t="s">
        <v>63</v>
      </c>
      <c r="Y2743" s="35">
        <v>88.0</v>
      </c>
      <c r="Z2743" s="32" t="s">
        <v>63</v>
      </c>
      <c r="AA2743" s="38"/>
      <c r="AB2743" s="38"/>
      <c r="AC2743" s="38"/>
      <c r="AD2743" s="38"/>
      <c r="AE2743" s="38"/>
      <c r="AF2743" s="38"/>
      <c r="AG2743" s="38"/>
      <c r="AH2743" s="38"/>
      <c r="AI2743" s="38"/>
      <c r="AJ2743" s="38"/>
      <c r="AK2743" s="38"/>
    </row>
    <row r="2744">
      <c r="A2744" s="99">
        <v>2743.0</v>
      </c>
      <c r="B2744" s="15"/>
      <c r="C2744" s="15"/>
      <c r="D2744" s="105">
        <v>1.0</v>
      </c>
      <c r="E2744" s="102">
        <v>48.0</v>
      </c>
      <c r="F2744" s="107">
        <v>349.0</v>
      </c>
      <c r="G2744" s="15" t="str">
        <f t="shared" si="1"/>
        <v>48349</v>
      </c>
      <c r="H2744" s="23" t="s">
        <v>2122</v>
      </c>
      <c r="I2744" s="23" t="s">
        <v>113</v>
      </c>
      <c r="J2744" s="23" t="s">
        <v>219</v>
      </c>
      <c r="K2744" s="23" t="str">
        <f t="shared" si="44"/>
        <v>Navarro, TX</v>
      </c>
      <c r="L2744" s="23">
        <v>20.0</v>
      </c>
      <c r="M2744" s="23" t="s">
        <v>63</v>
      </c>
      <c r="N2744" s="23">
        <v>10.0</v>
      </c>
      <c r="O2744" s="23">
        <v>5.0</v>
      </c>
      <c r="P2744" s="23" t="s">
        <v>63</v>
      </c>
      <c r="Q2744" s="23">
        <v>17.0</v>
      </c>
      <c r="R2744" s="23">
        <v>7.0</v>
      </c>
      <c r="S2744" s="23" t="s">
        <v>63</v>
      </c>
      <c r="T2744" s="32" t="s">
        <v>63</v>
      </c>
      <c r="U2744" s="23">
        <v>83.0</v>
      </c>
      <c r="V2744" s="23" t="s">
        <v>63</v>
      </c>
      <c r="W2744" s="23" t="s">
        <v>63</v>
      </c>
      <c r="X2744" s="23" t="s">
        <v>63</v>
      </c>
      <c r="Y2744" s="35">
        <v>77.0</v>
      </c>
      <c r="Z2744" s="32" t="s">
        <v>63</v>
      </c>
      <c r="AA2744" s="38"/>
      <c r="AB2744" s="38"/>
      <c r="AC2744" s="38"/>
      <c r="AD2744" s="38"/>
      <c r="AE2744" s="38"/>
      <c r="AF2744" s="38"/>
      <c r="AG2744" s="38"/>
      <c r="AH2744" s="38"/>
      <c r="AI2744" s="38"/>
      <c r="AJ2744" s="38"/>
      <c r="AK2744" s="38"/>
    </row>
    <row r="2745">
      <c r="A2745" s="99">
        <v>2744.0</v>
      </c>
      <c r="B2745" s="15"/>
      <c r="C2745" s="15"/>
      <c r="D2745" s="105">
        <v>1.0</v>
      </c>
      <c r="E2745" s="102">
        <v>48.0</v>
      </c>
      <c r="F2745" s="107">
        <v>351.0</v>
      </c>
      <c r="G2745" s="15" t="str">
        <f t="shared" si="1"/>
        <v>48351</v>
      </c>
      <c r="H2745" s="23" t="s">
        <v>297</v>
      </c>
      <c r="I2745" s="23" t="s">
        <v>113</v>
      </c>
      <c r="J2745" s="23" t="s">
        <v>219</v>
      </c>
      <c r="K2745" s="23" t="str">
        <f t="shared" si="44"/>
        <v>Newton, TX</v>
      </c>
      <c r="L2745" s="23">
        <v>6.0</v>
      </c>
      <c r="M2745" s="23" t="s">
        <v>63</v>
      </c>
      <c r="N2745" s="23">
        <v>3.0</v>
      </c>
      <c r="O2745" s="23">
        <v>2.0</v>
      </c>
      <c r="P2745" s="23" t="s">
        <v>63</v>
      </c>
      <c r="Q2745" s="23">
        <v>2.0</v>
      </c>
      <c r="R2745" s="23">
        <v>0.0</v>
      </c>
      <c r="S2745" s="23" t="s">
        <v>63</v>
      </c>
      <c r="T2745" s="32" t="s">
        <v>63</v>
      </c>
      <c r="U2745" s="23">
        <v>24.0</v>
      </c>
      <c r="V2745" s="23" t="s">
        <v>63</v>
      </c>
      <c r="W2745" s="23" t="s">
        <v>63</v>
      </c>
      <c r="X2745" s="23" t="s">
        <v>63</v>
      </c>
      <c r="Y2745" s="35">
        <v>23.0</v>
      </c>
      <c r="Z2745" s="32" t="s">
        <v>63</v>
      </c>
      <c r="AA2745" s="38"/>
      <c r="AB2745" s="38"/>
      <c r="AC2745" s="38"/>
      <c r="AD2745" s="38"/>
      <c r="AE2745" s="38"/>
      <c r="AF2745" s="38"/>
      <c r="AG2745" s="38"/>
      <c r="AH2745" s="38"/>
      <c r="AI2745" s="38"/>
      <c r="AJ2745" s="38"/>
      <c r="AK2745" s="38"/>
    </row>
    <row r="2746">
      <c r="A2746" s="99">
        <v>2745.0</v>
      </c>
      <c r="B2746" s="15"/>
      <c r="C2746" s="15"/>
      <c r="D2746" s="105">
        <v>1.0</v>
      </c>
      <c r="E2746" s="102">
        <v>48.0</v>
      </c>
      <c r="F2746" s="107">
        <v>353.0</v>
      </c>
      <c r="G2746" s="15" t="str">
        <f t="shared" si="1"/>
        <v>48353</v>
      </c>
      <c r="H2746" s="23" t="s">
        <v>2123</v>
      </c>
      <c r="I2746" s="23" t="s">
        <v>113</v>
      </c>
      <c r="J2746" s="23" t="s">
        <v>219</v>
      </c>
      <c r="K2746" s="23" t="str">
        <f t="shared" si="44"/>
        <v>Nolan, TX</v>
      </c>
      <c r="L2746" s="23">
        <v>26.0</v>
      </c>
      <c r="M2746" s="23" t="s">
        <v>63</v>
      </c>
      <c r="N2746" s="23">
        <v>11.0</v>
      </c>
      <c r="O2746" s="23">
        <v>9.0</v>
      </c>
      <c r="P2746" s="23" t="s">
        <v>63</v>
      </c>
      <c r="Q2746" s="23">
        <v>2.0</v>
      </c>
      <c r="R2746" s="23">
        <v>4.0</v>
      </c>
      <c r="S2746" s="23" t="s">
        <v>63</v>
      </c>
      <c r="T2746" s="32" t="s">
        <v>63</v>
      </c>
      <c r="U2746" s="23">
        <v>105.0</v>
      </c>
      <c r="V2746" s="23" t="s">
        <v>63</v>
      </c>
      <c r="W2746" s="23" t="s">
        <v>63</v>
      </c>
      <c r="X2746" s="23" t="s">
        <v>63</v>
      </c>
      <c r="Y2746" s="35">
        <v>28.0</v>
      </c>
      <c r="Z2746" s="32" t="s">
        <v>63</v>
      </c>
      <c r="AA2746" s="38"/>
      <c r="AB2746" s="38"/>
      <c r="AC2746" s="38"/>
      <c r="AD2746" s="38"/>
      <c r="AE2746" s="38"/>
      <c r="AF2746" s="38"/>
      <c r="AG2746" s="38"/>
      <c r="AH2746" s="38"/>
      <c r="AI2746" s="38"/>
      <c r="AJ2746" s="38"/>
      <c r="AK2746" s="38"/>
    </row>
    <row r="2747">
      <c r="A2747" s="99">
        <v>2746.0</v>
      </c>
      <c r="B2747" s="15"/>
      <c r="C2747" s="15"/>
      <c r="D2747" s="105">
        <v>1.0</v>
      </c>
      <c r="E2747" s="102">
        <v>48.0</v>
      </c>
      <c r="F2747" s="107">
        <v>355.0</v>
      </c>
      <c r="G2747" s="15" t="str">
        <f t="shared" si="1"/>
        <v>48355</v>
      </c>
      <c r="H2747" s="23" t="s">
        <v>2124</v>
      </c>
      <c r="I2747" s="23" t="s">
        <v>113</v>
      </c>
      <c r="J2747" s="23" t="s">
        <v>219</v>
      </c>
      <c r="K2747" s="23" t="str">
        <f t="shared" si="44"/>
        <v>Nueces, TX</v>
      </c>
      <c r="L2747" s="23">
        <v>386.0</v>
      </c>
      <c r="M2747" s="23" t="s">
        <v>63</v>
      </c>
      <c r="N2747" s="23">
        <v>128.0</v>
      </c>
      <c r="O2747" s="23">
        <v>182.0</v>
      </c>
      <c r="P2747" s="23" t="s">
        <v>63</v>
      </c>
      <c r="Q2747" s="23">
        <v>105.0</v>
      </c>
      <c r="R2747" s="23">
        <v>84.0</v>
      </c>
      <c r="S2747" s="23" t="s">
        <v>63</v>
      </c>
      <c r="T2747" s="32" t="s">
        <v>63</v>
      </c>
      <c r="U2747" s="23">
        <v>894.0</v>
      </c>
      <c r="V2747" s="23" t="s">
        <v>63</v>
      </c>
      <c r="W2747" s="23" t="s">
        <v>63</v>
      </c>
      <c r="X2747" s="23" t="s">
        <v>63</v>
      </c>
      <c r="Y2747" s="35">
        <v>185.0</v>
      </c>
      <c r="Z2747" s="32" t="s">
        <v>63</v>
      </c>
      <c r="AA2747" s="38"/>
      <c r="AB2747" s="38"/>
      <c r="AC2747" s="38"/>
      <c r="AD2747" s="38"/>
      <c r="AE2747" s="38"/>
      <c r="AF2747" s="38"/>
      <c r="AG2747" s="38"/>
      <c r="AH2747" s="38"/>
      <c r="AI2747" s="38"/>
      <c r="AJ2747" s="38"/>
      <c r="AK2747" s="38"/>
    </row>
    <row r="2748">
      <c r="A2748" s="99">
        <v>2747.0</v>
      </c>
      <c r="B2748" s="15"/>
      <c r="C2748" s="15"/>
      <c r="D2748" s="105">
        <v>1.0</v>
      </c>
      <c r="E2748" s="102">
        <v>48.0</v>
      </c>
      <c r="F2748" s="107">
        <v>357.0</v>
      </c>
      <c r="G2748" s="15" t="str">
        <f t="shared" si="1"/>
        <v>48357</v>
      </c>
      <c r="H2748" s="23" t="s">
        <v>2125</v>
      </c>
      <c r="I2748" s="23" t="s">
        <v>113</v>
      </c>
      <c r="J2748" s="23" t="s">
        <v>219</v>
      </c>
      <c r="K2748" s="23" t="str">
        <f t="shared" si="44"/>
        <v>Ochiltree, TX</v>
      </c>
      <c r="L2748" s="23">
        <v>7.0</v>
      </c>
      <c r="M2748" s="23" t="s">
        <v>63</v>
      </c>
      <c r="N2748" s="23">
        <v>3.0</v>
      </c>
      <c r="O2748" s="23">
        <v>4.0</v>
      </c>
      <c r="P2748" s="23" t="s">
        <v>63</v>
      </c>
      <c r="Q2748" s="23">
        <v>1.0</v>
      </c>
      <c r="R2748" s="23" t="s">
        <v>63</v>
      </c>
      <c r="S2748" s="23" t="s">
        <v>63</v>
      </c>
      <c r="T2748" s="32" t="s">
        <v>63</v>
      </c>
      <c r="U2748" s="23">
        <v>33.0</v>
      </c>
      <c r="V2748" s="23" t="s">
        <v>63</v>
      </c>
      <c r="W2748" s="23" t="s">
        <v>63</v>
      </c>
      <c r="X2748" s="23" t="s">
        <v>63</v>
      </c>
      <c r="Y2748" s="35">
        <v>17.0</v>
      </c>
      <c r="Z2748" s="32" t="s">
        <v>63</v>
      </c>
      <c r="AA2748" s="38"/>
      <c r="AB2748" s="38"/>
      <c r="AC2748" s="38"/>
      <c r="AD2748" s="38"/>
      <c r="AE2748" s="38"/>
      <c r="AF2748" s="38"/>
      <c r="AG2748" s="38"/>
      <c r="AH2748" s="38"/>
      <c r="AI2748" s="38"/>
      <c r="AJ2748" s="38"/>
      <c r="AK2748" s="38"/>
    </row>
    <row r="2749">
      <c r="A2749" s="99">
        <v>2748.0</v>
      </c>
      <c r="B2749" s="15"/>
      <c r="C2749" s="15"/>
      <c r="D2749" s="105">
        <v>1.0</v>
      </c>
      <c r="E2749" s="102">
        <v>48.0</v>
      </c>
      <c r="F2749" s="107">
        <v>359.0</v>
      </c>
      <c r="G2749" s="15" t="str">
        <f t="shared" si="1"/>
        <v>48359</v>
      </c>
      <c r="H2749" s="23" t="s">
        <v>1127</v>
      </c>
      <c r="I2749" s="23" t="s">
        <v>113</v>
      </c>
      <c r="J2749" s="23" t="s">
        <v>219</v>
      </c>
      <c r="K2749" s="23" t="str">
        <f t="shared" si="44"/>
        <v>Oldham, TX</v>
      </c>
      <c r="L2749" s="23" t="s">
        <v>63</v>
      </c>
      <c r="M2749" s="23" t="s">
        <v>63</v>
      </c>
      <c r="N2749" s="23">
        <v>0.0</v>
      </c>
      <c r="O2749" s="23">
        <v>0.0</v>
      </c>
      <c r="P2749" s="23" t="s">
        <v>63</v>
      </c>
      <c r="Q2749" s="23">
        <v>1.0</v>
      </c>
      <c r="R2749" s="23" t="s">
        <v>63</v>
      </c>
      <c r="S2749" s="23" t="s">
        <v>63</v>
      </c>
      <c r="T2749" s="32" t="s">
        <v>63</v>
      </c>
      <c r="U2749" s="23" t="s">
        <v>63</v>
      </c>
      <c r="V2749" s="23" t="s">
        <v>63</v>
      </c>
      <c r="W2749" s="23" t="s">
        <v>63</v>
      </c>
      <c r="X2749" s="23" t="s">
        <v>63</v>
      </c>
      <c r="Y2749" s="35">
        <v>4.0</v>
      </c>
      <c r="Z2749" s="32" t="s">
        <v>63</v>
      </c>
      <c r="AA2749" s="38"/>
      <c r="AB2749" s="38"/>
      <c r="AC2749" s="38"/>
      <c r="AD2749" s="38"/>
      <c r="AE2749" s="38"/>
      <c r="AF2749" s="38"/>
      <c r="AG2749" s="38"/>
      <c r="AH2749" s="38"/>
      <c r="AI2749" s="38"/>
      <c r="AJ2749" s="38"/>
      <c r="AK2749" s="38"/>
    </row>
    <row r="2750">
      <c r="A2750" s="99">
        <v>2749.0</v>
      </c>
      <c r="B2750" s="15"/>
      <c r="C2750" s="15"/>
      <c r="D2750" s="105">
        <v>1.0</v>
      </c>
      <c r="E2750" s="102">
        <v>48.0</v>
      </c>
      <c r="F2750" s="107">
        <v>361.0</v>
      </c>
      <c r="G2750" s="15" t="str">
        <f t="shared" si="1"/>
        <v>48361</v>
      </c>
      <c r="H2750" s="23" t="s">
        <v>241</v>
      </c>
      <c r="I2750" s="23" t="s">
        <v>113</v>
      </c>
      <c r="J2750" s="23" t="s">
        <v>219</v>
      </c>
      <c r="K2750" s="23" t="str">
        <f t="shared" si="44"/>
        <v>Orange, TX</v>
      </c>
      <c r="L2750" s="23">
        <v>101.0</v>
      </c>
      <c r="M2750" s="23" t="s">
        <v>63</v>
      </c>
      <c r="N2750" s="23">
        <v>47.0</v>
      </c>
      <c r="O2750" s="23">
        <v>49.0</v>
      </c>
      <c r="P2750" s="23" t="s">
        <v>63</v>
      </c>
      <c r="Q2750" s="23">
        <v>24.0</v>
      </c>
      <c r="R2750" s="23">
        <v>28.0</v>
      </c>
      <c r="S2750" s="23" t="s">
        <v>63</v>
      </c>
      <c r="T2750" s="32" t="s">
        <v>63</v>
      </c>
      <c r="U2750" s="23">
        <v>126.0</v>
      </c>
      <c r="V2750" s="23" t="s">
        <v>63</v>
      </c>
      <c r="W2750" s="23" t="s">
        <v>63</v>
      </c>
      <c r="X2750" s="23" t="s">
        <v>63</v>
      </c>
      <c r="Y2750" s="35">
        <v>98.0</v>
      </c>
      <c r="Z2750" s="32" t="s">
        <v>63</v>
      </c>
      <c r="AA2750" s="38"/>
      <c r="AB2750" s="38"/>
      <c r="AC2750" s="38"/>
      <c r="AD2750" s="38"/>
      <c r="AE2750" s="38"/>
      <c r="AF2750" s="38"/>
      <c r="AG2750" s="38"/>
      <c r="AH2750" s="38"/>
      <c r="AI2750" s="38"/>
      <c r="AJ2750" s="38"/>
      <c r="AK2750" s="38"/>
    </row>
    <row r="2751">
      <c r="A2751" s="99">
        <v>2750.0</v>
      </c>
      <c r="B2751" s="15"/>
      <c r="C2751" s="15"/>
      <c r="D2751" s="105">
        <v>1.0</v>
      </c>
      <c r="E2751" s="102">
        <v>48.0</v>
      </c>
      <c r="F2751" s="107">
        <v>363.0</v>
      </c>
      <c r="G2751" s="15" t="str">
        <f t="shared" si="1"/>
        <v>48363</v>
      </c>
      <c r="H2751" s="23" t="s">
        <v>2126</v>
      </c>
      <c r="I2751" s="23" t="s">
        <v>113</v>
      </c>
      <c r="J2751" s="23" t="s">
        <v>219</v>
      </c>
      <c r="K2751" s="23" t="str">
        <f t="shared" si="44"/>
        <v>Palo Pinto, TX</v>
      </c>
      <c r="L2751" s="23">
        <v>42.0</v>
      </c>
      <c r="M2751" s="23" t="s">
        <v>63</v>
      </c>
      <c r="N2751" s="23">
        <v>22.0</v>
      </c>
      <c r="O2751" s="23">
        <v>9.0</v>
      </c>
      <c r="P2751" s="23" t="s">
        <v>63</v>
      </c>
      <c r="Q2751" s="23">
        <v>7.0</v>
      </c>
      <c r="R2751" s="23">
        <v>14.0</v>
      </c>
      <c r="S2751" s="23" t="s">
        <v>63</v>
      </c>
      <c r="T2751" s="32" t="s">
        <v>63</v>
      </c>
      <c r="U2751" s="23">
        <v>93.0</v>
      </c>
      <c r="V2751" s="23" t="s">
        <v>63</v>
      </c>
      <c r="W2751" s="23" t="s">
        <v>63</v>
      </c>
      <c r="X2751" s="23" t="s">
        <v>63</v>
      </c>
      <c r="Y2751" s="35">
        <v>40.0</v>
      </c>
      <c r="Z2751" s="32" t="s">
        <v>63</v>
      </c>
      <c r="AA2751" s="38"/>
      <c r="AB2751" s="38"/>
      <c r="AC2751" s="38"/>
      <c r="AD2751" s="38"/>
      <c r="AE2751" s="38"/>
      <c r="AF2751" s="38"/>
      <c r="AG2751" s="38"/>
      <c r="AH2751" s="38"/>
      <c r="AI2751" s="38"/>
      <c r="AJ2751" s="38"/>
      <c r="AK2751" s="38"/>
    </row>
    <row r="2752">
      <c r="A2752" s="99">
        <v>2751.0</v>
      </c>
      <c r="B2752" s="15"/>
      <c r="C2752" s="15"/>
      <c r="D2752" s="105">
        <v>1.0</v>
      </c>
      <c r="E2752" s="102">
        <v>48.0</v>
      </c>
      <c r="F2752" s="107">
        <v>365.0</v>
      </c>
      <c r="G2752" s="15" t="str">
        <f t="shared" si="1"/>
        <v>48365</v>
      </c>
      <c r="H2752" s="23" t="s">
        <v>1377</v>
      </c>
      <c r="I2752" s="23" t="s">
        <v>113</v>
      </c>
      <c r="J2752" s="23" t="s">
        <v>219</v>
      </c>
      <c r="K2752" s="23" t="str">
        <f t="shared" si="44"/>
        <v>Panola, TX</v>
      </c>
      <c r="L2752" s="23">
        <v>35.0</v>
      </c>
      <c r="M2752" s="23" t="s">
        <v>63</v>
      </c>
      <c r="N2752" s="23">
        <v>12.0</v>
      </c>
      <c r="O2752" s="23">
        <v>13.0</v>
      </c>
      <c r="P2752" s="23" t="s">
        <v>63</v>
      </c>
      <c r="Q2752" s="23">
        <v>4.0</v>
      </c>
      <c r="R2752" s="23">
        <v>11.0</v>
      </c>
      <c r="S2752" s="23" t="s">
        <v>63</v>
      </c>
      <c r="T2752" s="32" t="s">
        <v>63</v>
      </c>
      <c r="U2752" s="23">
        <v>21.0</v>
      </c>
      <c r="V2752" s="23" t="s">
        <v>63</v>
      </c>
      <c r="W2752" s="23" t="s">
        <v>63</v>
      </c>
      <c r="X2752" s="23" t="s">
        <v>63</v>
      </c>
      <c r="Y2752" s="35">
        <v>40.0</v>
      </c>
      <c r="Z2752" s="32" t="s">
        <v>63</v>
      </c>
      <c r="AA2752" s="38"/>
      <c r="AB2752" s="38"/>
      <c r="AC2752" s="38"/>
      <c r="AD2752" s="38"/>
      <c r="AE2752" s="38"/>
      <c r="AF2752" s="38"/>
      <c r="AG2752" s="38"/>
      <c r="AH2752" s="38"/>
      <c r="AI2752" s="38"/>
      <c r="AJ2752" s="38"/>
      <c r="AK2752" s="38"/>
    </row>
    <row r="2753">
      <c r="A2753" s="99">
        <v>2752.0</v>
      </c>
      <c r="B2753" s="15"/>
      <c r="C2753" s="15"/>
      <c r="D2753" s="105">
        <v>1.0</v>
      </c>
      <c r="E2753" s="102">
        <v>48.0</v>
      </c>
      <c r="F2753" s="107">
        <v>367.0</v>
      </c>
      <c r="G2753" s="15" t="str">
        <f t="shared" si="1"/>
        <v>48367</v>
      </c>
      <c r="H2753" s="23" t="s">
        <v>2127</v>
      </c>
      <c r="I2753" s="23" t="s">
        <v>113</v>
      </c>
      <c r="J2753" s="23" t="s">
        <v>219</v>
      </c>
      <c r="K2753" s="23" t="str">
        <f t="shared" si="44"/>
        <v>Parker, TX</v>
      </c>
      <c r="L2753" s="23">
        <v>118.0</v>
      </c>
      <c r="M2753" s="23" t="s">
        <v>63</v>
      </c>
      <c r="N2753" s="23">
        <v>51.0</v>
      </c>
      <c r="O2753" s="23">
        <v>39.0</v>
      </c>
      <c r="P2753" s="23" t="s">
        <v>63</v>
      </c>
      <c r="Q2753" s="23">
        <v>49.0</v>
      </c>
      <c r="R2753" s="23">
        <v>37.0</v>
      </c>
      <c r="S2753" s="23" t="s">
        <v>63</v>
      </c>
      <c r="T2753" s="32" t="s">
        <v>63</v>
      </c>
      <c r="U2753" s="23">
        <v>407.0</v>
      </c>
      <c r="V2753" s="23" t="s">
        <v>63</v>
      </c>
      <c r="W2753" s="23" t="s">
        <v>63</v>
      </c>
      <c r="X2753" s="23" t="s">
        <v>63</v>
      </c>
      <c r="Y2753" s="35">
        <v>98.0</v>
      </c>
      <c r="Z2753" s="32" t="s">
        <v>63</v>
      </c>
      <c r="AA2753" s="38"/>
      <c r="AB2753" s="38"/>
      <c r="AC2753" s="38"/>
      <c r="AD2753" s="38"/>
      <c r="AE2753" s="38"/>
      <c r="AF2753" s="38"/>
      <c r="AG2753" s="38"/>
      <c r="AH2753" s="38"/>
      <c r="AI2753" s="38"/>
      <c r="AJ2753" s="38"/>
      <c r="AK2753" s="38"/>
    </row>
    <row r="2754">
      <c r="A2754" s="99">
        <v>2753.0</v>
      </c>
      <c r="B2754" s="15"/>
      <c r="C2754" s="15"/>
      <c r="D2754" s="105">
        <v>1.0</v>
      </c>
      <c r="E2754" s="102">
        <v>48.0</v>
      </c>
      <c r="F2754" s="107">
        <v>369.0</v>
      </c>
      <c r="G2754" s="15" t="str">
        <f t="shared" si="1"/>
        <v>48369</v>
      </c>
      <c r="H2754" s="23" t="s">
        <v>2128</v>
      </c>
      <c r="I2754" s="23" t="s">
        <v>113</v>
      </c>
      <c r="J2754" s="23" t="s">
        <v>219</v>
      </c>
      <c r="K2754" s="23" t="str">
        <f t="shared" si="44"/>
        <v>Parmer, TX</v>
      </c>
      <c r="L2754" s="23">
        <v>6.0</v>
      </c>
      <c r="M2754" s="23" t="s">
        <v>63</v>
      </c>
      <c r="N2754" s="23">
        <v>6.0</v>
      </c>
      <c r="O2754" s="23">
        <v>0.0</v>
      </c>
      <c r="P2754" s="23" t="s">
        <v>63</v>
      </c>
      <c r="Q2754" s="23">
        <v>1.0</v>
      </c>
      <c r="R2754" s="23">
        <v>3.0</v>
      </c>
      <c r="S2754" s="23" t="s">
        <v>63</v>
      </c>
      <c r="T2754" s="32" t="s">
        <v>63</v>
      </c>
      <c r="U2754" s="23">
        <v>30.0</v>
      </c>
      <c r="V2754" s="23" t="s">
        <v>63</v>
      </c>
      <c r="W2754" s="23" t="s">
        <v>63</v>
      </c>
      <c r="X2754" s="23" t="s">
        <v>63</v>
      </c>
      <c r="Y2754" s="35">
        <v>23.0</v>
      </c>
      <c r="Z2754" s="32" t="s">
        <v>63</v>
      </c>
      <c r="AA2754" s="38"/>
      <c r="AB2754" s="38"/>
      <c r="AC2754" s="38"/>
      <c r="AD2754" s="38"/>
      <c r="AE2754" s="38"/>
      <c r="AF2754" s="38"/>
      <c r="AG2754" s="38"/>
      <c r="AH2754" s="38"/>
      <c r="AI2754" s="38"/>
      <c r="AJ2754" s="38"/>
      <c r="AK2754" s="38"/>
    </row>
    <row r="2755">
      <c r="A2755" s="99">
        <v>2754.0</v>
      </c>
      <c r="B2755" s="15"/>
      <c r="C2755" s="15"/>
      <c r="D2755" s="105">
        <v>1.0</v>
      </c>
      <c r="E2755" s="102">
        <v>48.0</v>
      </c>
      <c r="F2755" s="107">
        <v>371.0</v>
      </c>
      <c r="G2755" s="15" t="str">
        <f t="shared" si="1"/>
        <v>48371</v>
      </c>
      <c r="H2755" s="23" t="s">
        <v>2129</v>
      </c>
      <c r="I2755" s="23" t="s">
        <v>113</v>
      </c>
      <c r="J2755" s="23" t="s">
        <v>219</v>
      </c>
      <c r="K2755" s="23" t="str">
        <f t="shared" si="44"/>
        <v>Pecos, TX</v>
      </c>
      <c r="L2755" s="23">
        <v>21.0</v>
      </c>
      <c r="M2755" s="23" t="s">
        <v>63</v>
      </c>
      <c r="N2755" s="23">
        <v>6.0</v>
      </c>
      <c r="O2755" s="23">
        <v>13.0</v>
      </c>
      <c r="P2755" s="23" t="s">
        <v>63</v>
      </c>
      <c r="Q2755" s="23">
        <v>2.0</v>
      </c>
      <c r="R2755" s="23">
        <v>11.0</v>
      </c>
      <c r="S2755" s="23" t="s">
        <v>63</v>
      </c>
      <c r="T2755" s="32" t="s">
        <v>63</v>
      </c>
      <c r="U2755" s="23">
        <v>29.0</v>
      </c>
      <c r="V2755" s="23" t="s">
        <v>63</v>
      </c>
      <c r="W2755" s="23" t="s">
        <v>63</v>
      </c>
      <c r="X2755" s="23" t="s">
        <v>63</v>
      </c>
      <c r="Y2755" s="35">
        <v>15.0</v>
      </c>
      <c r="Z2755" s="32" t="s">
        <v>63</v>
      </c>
      <c r="AA2755" s="38"/>
      <c r="AB2755" s="38"/>
      <c r="AC2755" s="38"/>
      <c r="AD2755" s="38"/>
      <c r="AE2755" s="38"/>
      <c r="AF2755" s="38"/>
      <c r="AG2755" s="38"/>
      <c r="AH2755" s="38"/>
      <c r="AI2755" s="38"/>
      <c r="AJ2755" s="38"/>
      <c r="AK2755" s="38"/>
    </row>
    <row r="2756">
      <c r="A2756" s="99">
        <v>2755.0</v>
      </c>
      <c r="B2756" s="15"/>
      <c r="C2756" s="15"/>
      <c r="D2756" s="105">
        <v>1.0</v>
      </c>
      <c r="E2756" s="102">
        <v>48.0</v>
      </c>
      <c r="F2756" s="107">
        <v>373.0</v>
      </c>
      <c r="G2756" s="15" t="str">
        <f t="shared" si="1"/>
        <v>48373</v>
      </c>
      <c r="H2756" s="23" t="s">
        <v>302</v>
      </c>
      <c r="I2756" s="23" t="s">
        <v>113</v>
      </c>
      <c r="J2756" s="23" t="s">
        <v>219</v>
      </c>
      <c r="K2756" s="23" t="str">
        <f t="shared" si="44"/>
        <v>Polk, TX</v>
      </c>
      <c r="L2756" s="23">
        <v>46.0</v>
      </c>
      <c r="M2756" s="23" t="s">
        <v>63</v>
      </c>
      <c r="N2756" s="23">
        <v>15.0</v>
      </c>
      <c r="O2756" s="23">
        <v>26.0</v>
      </c>
      <c r="P2756" s="23" t="s">
        <v>63</v>
      </c>
      <c r="Q2756" s="23">
        <v>9.0</v>
      </c>
      <c r="R2756" s="23">
        <v>6.0</v>
      </c>
      <c r="S2756" s="23" t="s">
        <v>63</v>
      </c>
      <c r="T2756" s="32" t="s">
        <v>63</v>
      </c>
      <c r="U2756" s="23">
        <v>103.0</v>
      </c>
      <c r="V2756" s="23" t="s">
        <v>63</v>
      </c>
      <c r="W2756" s="23" t="s">
        <v>63</v>
      </c>
      <c r="X2756" s="23" t="s">
        <v>63</v>
      </c>
      <c r="Y2756" s="35">
        <v>66.0</v>
      </c>
      <c r="Z2756" s="32" t="s">
        <v>63</v>
      </c>
      <c r="AA2756" s="38"/>
      <c r="AB2756" s="38"/>
      <c r="AC2756" s="38"/>
      <c r="AD2756" s="38"/>
      <c r="AE2756" s="38"/>
      <c r="AF2756" s="38"/>
      <c r="AG2756" s="38"/>
      <c r="AH2756" s="38"/>
      <c r="AI2756" s="38"/>
      <c r="AJ2756" s="38"/>
      <c r="AK2756" s="38"/>
    </row>
    <row r="2757">
      <c r="A2757" s="99">
        <v>2756.0</v>
      </c>
      <c r="B2757" s="15"/>
      <c r="C2757" s="15"/>
      <c r="D2757" s="105">
        <v>1.0</v>
      </c>
      <c r="E2757" s="102">
        <v>48.0</v>
      </c>
      <c r="F2757" s="107">
        <v>375.0</v>
      </c>
      <c r="G2757" s="15" t="str">
        <f t="shared" si="1"/>
        <v>48375</v>
      </c>
      <c r="H2757" s="23" t="s">
        <v>1805</v>
      </c>
      <c r="I2757" s="23" t="s">
        <v>113</v>
      </c>
      <c r="J2757" s="23" t="s">
        <v>219</v>
      </c>
      <c r="K2757" s="23" t="str">
        <f t="shared" si="44"/>
        <v>Potter, TX</v>
      </c>
      <c r="L2757" s="23">
        <v>254.0</v>
      </c>
      <c r="M2757" s="23" t="s">
        <v>63</v>
      </c>
      <c r="N2757" s="23">
        <v>100.0</v>
      </c>
      <c r="O2757" s="23">
        <v>76.0</v>
      </c>
      <c r="P2757" s="23" t="s">
        <v>63</v>
      </c>
      <c r="Q2757" s="23">
        <v>34.0</v>
      </c>
      <c r="R2757" s="23">
        <v>95.0</v>
      </c>
      <c r="S2757" s="23" t="s">
        <v>63</v>
      </c>
      <c r="T2757" s="32" t="s">
        <v>63</v>
      </c>
      <c r="U2757" s="23">
        <v>462.0</v>
      </c>
      <c r="V2757" s="23" t="s">
        <v>63</v>
      </c>
      <c r="W2757" s="23" t="s">
        <v>63</v>
      </c>
      <c r="X2757" s="23" t="s">
        <v>63</v>
      </c>
      <c r="Y2757" s="35">
        <v>109.0</v>
      </c>
      <c r="Z2757" s="32" t="s">
        <v>63</v>
      </c>
      <c r="AA2757" s="38"/>
      <c r="AB2757" s="38"/>
      <c r="AC2757" s="38"/>
      <c r="AD2757" s="38"/>
      <c r="AE2757" s="38"/>
      <c r="AF2757" s="38"/>
      <c r="AG2757" s="38"/>
      <c r="AH2757" s="38"/>
      <c r="AI2757" s="38"/>
      <c r="AJ2757" s="38"/>
      <c r="AK2757" s="38"/>
    </row>
    <row r="2758">
      <c r="A2758" s="99">
        <v>2757.0</v>
      </c>
      <c r="B2758" s="15"/>
      <c r="C2758" s="15"/>
      <c r="D2758" s="105">
        <v>1.0</v>
      </c>
      <c r="E2758" s="102">
        <v>48.0</v>
      </c>
      <c r="F2758" s="107">
        <v>377.0</v>
      </c>
      <c r="G2758" s="15" t="str">
        <f t="shared" si="1"/>
        <v>48377</v>
      </c>
      <c r="H2758" s="23" t="s">
        <v>2130</v>
      </c>
      <c r="I2758" s="23" t="s">
        <v>113</v>
      </c>
      <c r="J2758" s="23" t="s">
        <v>219</v>
      </c>
      <c r="K2758" s="23" t="str">
        <f t="shared" si="44"/>
        <v>Presidio, TX</v>
      </c>
      <c r="L2758" s="23" t="s">
        <v>63</v>
      </c>
      <c r="M2758" s="23" t="s">
        <v>63</v>
      </c>
      <c r="N2758" s="23">
        <v>0.0</v>
      </c>
      <c r="O2758" s="23">
        <v>0.0</v>
      </c>
      <c r="P2758" s="23" t="s">
        <v>63</v>
      </c>
      <c r="Q2758" s="23" t="s">
        <v>63</v>
      </c>
      <c r="R2758" s="23" t="s">
        <v>63</v>
      </c>
      <c r="S2758" s="23" t="s">
        <v>63</v>
      </c>
      <c r="T2758" s="32" t="s">
        <v>63</v>
      </c>
      <c r="U2758" s="23" t="s">
        <v>63</v>
      </c>
      <c r="V2758" s="23" t="s">
        <v>63</v>
      </c>
      <c r="W2758" s="23" t="s">
        <v>63</v>
      </c>
      <c r="X2758" s="23" t="s">
        <v>63</v>
      </c>
      <c r="Y2758" s="35">
        <v>3.0</v>
      </c>
      <c r="Z2758" s="32" t="s">
        <v>63</v>
      </c>
      <c r="AA2758" s="38"/>
      <c r="AB2758" s="38"/>
      <c r="AC2758" s="38"/>
      <c r="AD2758" s="38"/>
      <c r="AE2758" s="38"/>
      <c r="AF2758" s="38"/>
      <c r="AG2758" s="38"/>
      <c r="AH2758" s="38"/>
      <c r="AI2758" s="38"/>
      <c r="AJ2758" s="38"/>
      <c r="AK2758" s="38"/>
    </row>
    <row r="2759">
      <c r="A2759" s="99">
        <v>2758.0</v>
      </c>
      <c r="B2759" s="15"/>
      <c r="C2759" s="15"/>
      <c r="D2759" s="105">
        <v>1.0</v>
      </c>
      <c r="E2759" s="102">
        <v>48.0</v>
      </c>
      <c r="F2759" s="107">
        <v>379.0</v>
      </c>
      <c r="G2759" s="15" t="str">
        <f t="shared" si="1"/>
        <v>48379</v>
      </c>
      <c r="H2759" s="23" t="s">
        <v>2131</v>
      </c>
      <c r="I2759" s="23" t="s">
        <v>113</v>
      </c>
      <c r="J2759" s="23" t="s">
        <v>219</v>
      </c>
      <c r="K2759" s="23" t="str">
        <f t="shared" si="44"/>
        <v>Rains, TX</v>
      </c>
      <c r="L2759" s="23">
        <v>12.0</v>
      </c>
      <c r="M2759" s="23" t="s">
        <v>63</v>
      </c>
      <c r="N2759" s="23">
        <v>2.0</v>
      </c>
      <c r="O2759" s="23">
        <v>6.0</v>
      </c>
      <c r="P2759" s="23" t="s">
        <v>63</v>
      </c>
      <c r="Q2759" s="23">
        <v>4.0</v>
      </c>
      <c r="R2759" s="23">
        <v>4.0</v>
      </c>
      <c r="S2759" s="23" t="s">
        <v>63</v>
      </c>
      <c r="T2759" s="32" t="s">
        <v>63</v>
      </c>
      <c r="U2759" s="23">
        <v>21.0</v>
      </c>
      <c r="V2759" s="23" t="s">
        <v>63</v>
      </c>
      <c r="W2759" s="23" t="s">
        <v>63</v>
      </c>
      <c r="X2759" s="23" t="s">
        <v>63</v>
      </c>
      <c r="Y2759" s="35">
        <v>16.0</v>
      </c>
      <c r="Z2759" s="32" t="s">
        <v>63</v>
      </c>
      <c r="AA2759" s="38"/>
      <c r="AB2759" s="38"/>
      <c r="AC2759" s="38"/>
      <c r="AD2759" s="38"/>
      <c r="AE2759" s="38"/>
      <c r="AF2759" s="38"/>
      <c r="AG2759" s="38"/>
      <c r="AH2759" s="38"/>
      <c r="AI2759" s="38"/>
      <c r="AJ2759" s="38"/>
      <c r="AK2759" s="38"/>
    </row>
    <row r="2760">
      <c r="A2760" s="99">
        <v>2759.0</v>
      </c>
      <c r="B2760" s="15"/>
      <c r="C2760" s="15"/>
      <c r="D2760" s="105">
        <v>1.0</v>
      </c>
      <c r="E2760" s="102">
        <v>48.0</v>
      </c>
      <c r="F2760" s="107">
        <v>381.0</v>
      </c>
      <c r="G2760" s="15" t="str">
        <f t="shared" si="1"/>
        <v>48381</v>
      </c>
      <c r="H2760" s="23" t="s">
        <v>2132</v>
      </c>
      <c r="I2760" s="23" t="s">
        <v>113</v>
      </c>
      <c r="J2760" s="23" t="s">
        <v>219</v>
      </c>
      <c r="K2760" s="23" t="str">
        <f t="shared" si="44"/>
        <v>Randall, TX</v>
      </c>
      <c r="L2760" s="23">
        <v>124.0</v>
      </c>
      <c r="M2760" s="23" t="s">
        <v>63</v>
      </c>
      <c r="N2760" s="23">
        <v>36.0</v>
      </c>
      <c r="O2760" s="23">
        <v>33.0</v>
      </c>
      <c r="P2760" s="23" t="s">
        <v>63</v>
      </c>
      <c r="Q2760" s="23">
        <v>64.0</v>
      </c>
      <c r="R2760" s="23">
        <v>36.0</v>
      </c>
      <c r="S2760" s="23" t="s">
        <v>63</v>
      </c>
      <c r="T2760" s="32" t="s">
        <v>63</v>
      </c>
      <c r="U2760" s="23">
        <v>241.0</v>
      </c>
      <c r="V2760" s="23" t="s">
        <v>63</v>
      </c>
      <c r="W2760" s="23" t="s">
        <v>63</v>
      </c>
      <c r="X2760" s="23" t="s">
        <v>63</v>
      </c>
      <c r="Y2760" s="35">
        <v>83.0</v>
      </c>
      <c r="Z2760" s="32" t="s">
        <v>63</v>
      </c>
      <c r="AA2760" s="38"/>
      <c r="AB2760" s="38"/>
      <c r="AC2760" s="38"/>
      <c r="AD2760" s="38"/>
      <c r="AE2760" s="38"/>
      <c r="AF2760" s="38"/>
      <c r="AG2760" s="38"/>
      <c r="AH2760" s="38"/>
      <c r="AI2760" s="38"/>
      <c r="AJ2760" s="38"/>
      <c r="AK2760" s="38"/>
    </row>
    <row r="2761">
      <c r="A2761" s="99">
        <v>2760.0</v>
      </c>
      <c r="B2761" s="15"/>
      <c r="C2761" s="15"/>
      <c r="D2761" s="105">
        <v>1.0</v>
      </c>
      <c r="E2761" s="102">
        <v>48.0</v>
      </c>
      <c r="F2761" s="107">
        <v>383.0</v>
      </c>
      <c r="G2761" s="15" t="str">
        <f t="shared" si="1"/>
        <v>48383</v>
      </c>
      <c r="H2761" s="23" t="s">
        <v>2133</v>
      </c>
      <c r="I2761" s="23" t="s">
        <v>113</v>
      </c>
      <c r="J2761" s="23" t="s">
        <v>219</v>
      </c>
      <c r="K2761" s="23" t="str">
        <f t="shared" si="44"/>
        <v>Reagan, TX</v>
      </c>
      <c r="L2761" s="23">
        <v>0.0</v>
      </c>
      <c r="M2761" s="23" t="s">
        <v>63</v>
      </c>
      <c r="N2761" s="23">
        <v>0.0</v>
      </c>
      <c r="O2761" s="23">
        <v>0.0</v>
      </c>
      <c r="P2761" s="23" t="s">
        <v>63</v>
      </c>
      <c r="Q2761" s="23">
        <v>1.0</v>
      </c>
      <c r="R2761" s="23">
        <v>0.0</v>
      </c>
      <c r="S2761" s="23" t="s">
        <v>63</v>
      </c>
      <c r="T2761" s="32" t="s">
        <v>63</v>
      </c>
      <c r="U2761" s="23" t="s">
        <v>63</v>
      </c>
      <c r="V2761" s="23" t="s">
        <v>63</v>
      </c>
      <c r="W2761" s="23" t="s">
        <v>63</v>
      </c>
      <c r="X2761" s="23" t="s">
        <v>63</v>
      </c>
      <c r="Y2761" s="35">
        <v>10.0</v>
      </c>
      <c r="Z2761" s="32" t="s">
        <v>63</v>
      </c>
      <c r="AA2761" s="38"/>
      <c r="AB2761" s="38"/>
      <c r="AC2761" s="38"/>
      <c r="AD2761" s="38"/>
      <c r="AE2761" s="38"/>
      <c r="AF2761" s="38"/>
      <c r="AG2761" s="38"/>
      <c r="AH2761" s="38"/>
      <c r="AI2761" s="38"/>
      <c r="AJ2761" s="38"/>
      <c r="AK2761" s="38"/>
    </row>
    <row r="2762">
      <c r="A2762" s="99">
        <v>2761.0</v>
      </c>
      <c r="B2762" s="15"/>
      <c r="C2762" s="15"/>
      <c r="D2762" s="105">
        <v>1.0</v>
      </c>
      <c r="E2762" s="102">
        <v>48.0</v>
      </c>
      <c r="F2762" s="107">
        <v>385.0</v>
      </c>
      <c r="G2762" s="15" t="str">
        <f t="shared" si="1"/>
        <v>48385</v>
      </c>
      <c r="H2762" s="23" t="s">
        <v>2134</v>
      </c>
      <c r="I2762" s="23" t="s">
        <v>113</v>
      </c>
      <c r="J2762" s="23" t="s">
        <v>219</v>
      </c>
      <c r="K2762" s="23" t="str">
        <f t="shared" si="44"/>
        <v>Real, TX</v>
      </c>
      <c r="L2762" s="23">
        <v>0.0</v>
      </c>
      <c r="M2762" s="23" t="s">
        <v>63</v>
      </c>
      <c r="N2762" s="23">
        <v>0.0</v>
      </c>
      <c r="O2762" s="23">
        <v>0.0</v>
      </c>
      <c r="P2762" s="23" t="s">
        <v>63</v>
      </c>
      <c r="Q2762" s="23" t="s">
        <v>63</v>
      </c>
      <c r="R2762" s="23">
        <v>0.0</v>
      </c>
      <c r="S2762" s="23" t="s">
        <v>63</v>
      </c>
      <c r="T2762" s="32" t="s">
        <v>63</v>
      </c>
      <c r="U2762" s="23">
        <v>14.0</v>
      </c>
      <c r="V2762" s="23" t="s">
        <v>63</v>
      </c>
      <c r="W2762" s="23" t="s">
        <v>63</v>
      </c>
      <c r="X2762" s="23" t="s">
        <v>63</v>
      </c>
      <c r="Y2762" s="35">
        <v>13.0</v>
      </c>
      <c r="Z2762" s="32" t="s">
        <v>63</v>
      </c>
      <c r="AA2762" s="38"/>
      <c r="AB2762" s="38"/>
      <c r="AC2762" s="38"/>
      <c r="AD2762" s="38"/>
      <c r="AE2762" s="38"/>
      <c r="AF2762" s="38"/>
      <c r="AG2762" s="38"/>
      <c r="AH2762" s="38"/>
      <c r="AI2762" s="38"/>
      <c r="AJ2762" s="38"/>
      <c r="AK2762" s="38"/>
    </row>
    <row r="2763">
      <c r="A2763" s="99">
        <v>2762.0</v>
      </c>
      <c r="B2763" s="15"/>
      <c r="C2763" s="15"/>
      <c r="D2763" s="105">
        <v>1.0</v>
      </c>
      <c r="E2763" s="102">
        <v>48.0</v>
      </c>
      <c r="F2763" s="107">
        <v>387.0</v>
      </c>
      <c r="G2763" s="15" t="str">
        <f t="shared" si="1"/>
        <v>48387</v>
      </c>
      <c r="H2763" s="23" t="s">
        <v>1167</v>
      </c>
      <c r="I2763" s="23" t="s">
        <v>113</v>
      </c>
      <c r="J2763" s="23" t="s">
        <v>219</v>
      </c>
      <c r="K2763" s="23" t="str">
        <f t="shared" si="44"/>
        <v>Red River, TX</v>
      </c>
      <c r="L2763" s="23">
        <v>14.0</v>
      </c>
      <c r="M2763" s="23" t="s">
        <v>63</v>
      </c>
      <c r="N2763" s="23">
        <v>11.0</v>
      </c>
      <c r="O2763" s="23">
        <v>2.0</v>
      </c>
      <c r="P2763" s="23" t="s">
        <v>63</v>
      </c>
      <c r="Q2763" s="23">
        <v>2.0</v>
      </c>
      <c r="R2763" s="23">
        <v>2.0</v>
      </c>
      <c r="S2763" s="23" t="s">
        <v>63</v>
      </c>
      <c r="T2763" s="32" t="s">
        <v>63</v>
      </c>
      <c r="U2763" s="23">
        <v>39.0</v>
      </c>
      <c r="V2763" s="23" t="s">
        <v>63</v>
      </c>
      <c r="W2763" s="23" t="s">
        <v>63</v>
      </c>
      <c r="X2763" s="23" t="s">
        <v>63</v>
      </c>
      <c r="Y2763" s="35">
        <v>27.0</v>
      </c>
      <c r="Z2763" s="32" t="s">
        <v>63</v>
      </c>
      <c r="AA2763" s="38"/>
      <c r="AB2763" s="38"/>
      <c r="AC2763" s="38"/>
      <c r="AD2763" s="38"/>
      <c r="AE2763" s="38"/>
      <c r="AF2763" s="38"/>
      <c r="AG2763" s="38"/>
      <c r="AH2763" s="38"/>
      <c r="AI2763" s="38"/>
      <c r="AJ2763" s="38"/>
      <c r="AK2763" s="38"/>
    </row>
    <row r="2764">
      <c r="A2764" s="99">
        <v>2763.0</v>
      </c>
      <c r="B2764" s="15"/>
      <c r="C2764" s="15"/>
      <c r="D2764" s="105">
        <v>1.0</v>
      </c>
      <c r="E2764" s="102">
        <v>48.0</v>
      </c>
      <c r="F2764" s="107">
        <v>389.0</v>
      </c>
      <c r="G2764" s="15" t="str">
        <f t="shared" si="1"/>
        <v>48389</v>
      </c>
      <c r="H2764" s="23" t="s">
        <v>2135</v>
      </c>
      <c r="I2764" s="23" t="s">
        <v>113</v>
      </c>
      <c r="J2764" s="23" t="s">
        <v>219</v>
      </c>
      <c r="K2764" s="23" t="str">
        <f t="shared" si="44"/>
        <v>Reeves, TX</v>
      </c>
      <c r="L2764" s="23">
        <v>10.0</v>
      </c>
      <c r="M2764" s="23" t="s">
        <v>63</v>
      </c>
      <c r="N2764" s="23">
        <v>2.0</v>
      </c>
      <c r="O2764" s="23">
        <v>8.0</v>
      </c>
      <c r="P2764" s="23" t="s">
        <v>63</v>
      </c>
      <c r="Q2764" s="23" t="s">
        <v>63</v>
      </c>
      <c r="R2764" s="23">
        <v>5.0</v>
      </c>
      <c r="S2764" s="23" t="s">
        <v>63</v>
      </c>
      <c r="T2764" s="32" t="s">
        <v>63</v>
      </c>
      <c r="U2764" s="23">
        <v>33.0</v>
      </c>
      <c r="V2764" s="23" t="s">
        <v>63</v>
      </c>
      <c r="W2764" s="23" t="s">
        <v>63</v>
      </c>
      <c r="X2764" s="23" t="s">
        <v>63</v>
      </c>
      <c r="Y2764" s="35">
        <v>17.0</v>
      </c>
      <c r="Z2764" s="32" t="s">
        <v>63</v>
      </c>
      <c r="AA2764" s="38"/>
      <c r="AB2764" s="38"/>
      <c r="AC2764" s="38"/>
      <c r="AD2764" s="38"/>
      <c r="AE2764" s="38"/>
      <c r="AF2764" s="38"/>
      <c r="AG2764" s="38"/>
      <c r="AH2764" s="38"/>
      <c r="AI2764" s="38"/>
      <c r="AJ2764" s="38"/>
      <c r="AK2764" s="38"/>
    </row>
    <row r="2765">
      <c r="A2765" s="99">
        <v>2764.0</v>
      </c>
      <c r="B2765" s="15"/>
      <c r="C2765" s="15"/>
      <c r="D2765" s="105">
        <v>1.0</v>
      </c>
      <c r="E2765" s="102">
        <v>48.0</v>
      </c>
      <c r="F2765" s="107">
        <v>391.0</v>
      </c>
      <c r="G2765" s="15" t="str">
        <f t="shared" si="1"/>
        <v>48391</v>
      </c>
      <c r="H2765" s="23" t="s">
        <v>2136</v>
      </c>
      <c r="I2765" s="23" t="s">
        <v>113</v>
      </c>
      <c r="J2765" s="23" t="s">
        <v>219</v>
      </c>
      <c r="K2765" s="23" t="str">
        <f t="shared" si="44"/>
        <v>Refugio, TX</v>
      </c>
      <c r="L2765" s="23">
        <v>3.0</v>
      </c>
      <c r="M2765" s="23" t="s">
        <v>63</v>
      </c>
      <c r="N2765" s="23">
        <v>1.0</v>
      </c>
      <c r="O2765" s="23">
        <v>2.0</v>
      </c>
      <c r="P2765" s="23" t="s">
        <v>63</v>
      </c>
      <c r="Q2765" s="23">
        <v>1.0</v>
      </c>
      <c r="R2765" s="23" t="s">
        <v>63</v>
      </c>
      <c r="S2765" s="23" t="s">
        <v>63</v>
      </c>
      <c r="T2765" s="32" t="s">
        <v>63</v>
      </c>
      <c r="U2765" s="23" t="s">
        <v>63</v>
      </c>
      <c r="V2765" s="23" t="s">
        <v>63</v>
      </c>
      <c r="W2765" s="23" t="s">
        <v>63</v>
      </c>
      <c r="X2765" s="23" t="s">
        <v>63</v>
      </c>
      <c r="Y2765" s="35">
        <v>10.0</v>
      </c>
      <c r="Z2765" s="32" t="s">
        <v>63</v>
      </c>
      <c r="AA2765" s="38"/>
      <c r="AB2765" s="38"/>
      <c r="AC2765" s="38"/>
      <c r="AD2765" s="38"/>
      <c r="AE2765" s="38"/>
      <c r="AF2765" s="38"/>
      <c r="AG2765" s="38"/>
      <c r="AH2765" s="38"/>
      <c r="AI2765" s="38"/>
      <c r="AJ2765" s="38"/>
      <c r="AK2765" s="38"/>
    </row>
    <row r="2766">
      <c r="A2766" s="99">
        <v>2765.0</v>
      </c>
      <c r="B2766" s="15"/>
      <c r="C2766" s="15"/>
      <c r="D2766" s="105">
        <v>1.0</v>
      </c>
      <c r="E2766" s="102">
        <v>48.0</v>
      </c>
      <c r="F2766" s="107">
        <v>393.0</v>
      </c>
      <c r="G2766" s="15" t="str">
        <f t="shared" si="1"/>
        <v>48393</v>
      </c>
      <c r="H2766" s="23" t="s">
        <v>1879</v>
      </c>
      <c r="I2766" s="23" t="s">
        <v>113</v>
      </c>
      <c r="J2766" s="23" t="s">
        <v>219</v>
      </c>
      <c r="K2766" s="23" t="str">
        <f t="shared" si="44"/>
        <v>Roberts, TX</v>
      </c>
      <c r="L2766" s="23" t="s">
        <v>63</v>
      </c>
      <c r="M2766" s="23" t="s">
        <v>63</v>
      </c>
      <c r="N2766" s="23">
        <v>0.0</v>
      </c>
      <c r="O2766" s="23">
        <v>0.0</v>
      </c>
      <c r="P2766" s="23" t="s">
        <v>63</v>
      </c>
      <c r="Q2766" s="23">
        <v>1.0</v>
      </c>
      <c r="R2766" s="23" t="s">
        <v>63</v>
      </c>
      <c r="S2766" s="23" t="s">
        <v>63</v>
      </c>
      <c r="T2766" s="32" t="s">
        <v>63</v>
      </c>
      <c r="U2766" s="23">
        <v>1.0</v>
      </c>
      <c r="V2766" s="23" t="s">
        <v>63</v>
      </c>
      <c r="W2766" s="23" t="s">
        <v>63</v>
      </c>
      <c r="X2766" s="23" t="s">
        <v>63</v>
      </c>
      <c r="Y2766" s="35">
        <v>5.0</v>
      </c>
      <c r="Z2766" s="32" t="s">
        <v>63</v>
      </c>
      <c r="AA2766" s="38"/>
      <c r="AB2766" s="38"/>
      <c r="AC2766" s="38"/>
      <c r="AD2766" s="38"/>
      <c r="AE2766" s="38"/>
      <c r="AF2766" s="38"/>
      <c r="AG2766" s="38"/>
      <c r="AH2766" s="38"/>
      <c r="AI2766" s="38"/>
      <c r="AJ2766" s="38"/>
      <c r="AK2766" s="38"/>
    </row>
    <row r="2767">
      <c r="A2767" s="99">
        <v>2766.0</v>
      </c>
      <c r="B2767" s="15"/>
      <c r="C2767" s="15"/>
      <c r="D2767" s="105">
        <v>1.0</v>
      </c>
      <c r="E2767" s="102">
        <v>48.0</v>
      </c>
      <c r="F2767" s="107">
        <v>395.0</v>
      </c>
      <c r="G2767" s="15" t="str">
        <f t="shared" si="1"/>
        <v>48395</v>
      </c>
      <c r="H2767" s="23" t="s">
        <v>1131</v>
      </c>
      <c r="I2767" s="23" t="s">
        <v>113</v>
      </c>
      <c r="J2767" s="23" t="s">
        <v>219</v>
      </c>
      <c r="K2767" s="23" t="str">
        <f t="shared" si="44"/>
        <v>Robertson, TX</v>
      </c>
      <c r="L2767" s="23">
        <v>68.0</v>
      </c>
      <c r="M2767" s="23" t="s">
        <v>63</v>
      </c>
      <c r="N2767" s="23">
        <v>21.0</v>
      </c>
      <c r="O2767" s="23">
        <v>40.0</v>
      </c>
      <c r="P2767" s="23" t="s">
        <v>63</v>
      </c>
      <c r="Q2767" s="23">
        <v>2.0</v>
      </c>
      <c r="R2767" s="23">
        <v>19.0</v>
      </c>
      <c r="S2767" s="23" t="s">
        <v>63</v>
      </c>
      <c r="T2767" s="32" t="s">
        <v>63</v>
      </c>
      <c r="U2767" s="23">
        <v>36.0</v>
      </c>
      <c r="V2767" s="23" t="s">
        <v>63</v>
      </c>
      <c r="W2767" s="23" t="s">
        <v>63</v>
      </c>
      <c r="X2767" s="23" t="s">
        <v>63</v>
      </c>
      <c r="Y2767" s="35">
        <v>26.0</v>
      </c>
      <c r="Z2767" s="32" t="s">
        <v>63</v>
      </c>
      <c r="AA2767" s="38"/>
      <c r="AB2767" s="38"/>
      <c r="AC2767" s="38"/>
      <c r="AD2767" s="38"/>
      <c r="AE2767" s="38"/>
      <c r="AF2767" s="38"/>
      <c r="AG2767" s="38"/>
      <c r="AH2767" s="38"/>
      <c r="AI2767" s="38"/>
      <c r="AJ2767" s="38"/>
      <c r="AK2767" s="38"/>
    </row>
    <row r="2768">
      <c r="A2768" s="99">
        <v>2767.0</v>
      </c>
      <c r="B2768" s="15"/>
      <c r="C2768" s="15"/>
      <c r="D2768" s="105">
        <v>1.0</v>
      </c>
      <c r="E2768" s="102">
        <v>48.0</v>
      </c>
      <c r="F2768" s="107">
        <v>397.0</v>
      </c>
      <c r="G2768" s="15" t="str">
        <f t="shared" si="1"/>
        <v>48397</v>
      </c>
      <c r="H2768" s="23" t="s">
        <v>2137</v>
      </c>
      <c r="I2768" s="23" t="s">
        <v>113</v>
      </c>
      <c r="J2768" s="23" t="s">
        <v>219</v>
      </c>
      <c r="K2768" s="23" t="str">
        <f t="shared" si="44"/>
        <v>Rockwall, TX</v>
      </c>
      <c r="L2768" s="23">
        <v>23.0</v>
      </c>
      <c r="M2768" s="23" t="s">
        <v>63</v>
      </c>
      <c r="N2768" s="23">
        <v>9.0</v>
      </c>
      <c r="O2768" s="23">
        <v>6.0</v>
      </c>
      <c r="P2768" s="23" t="s">
        <v>63</v>
      </c>
      <c r="Q2768" s="23">
        <v>49.0</v>
      </c>
      <c r="R2768" s="23">
        <v>4.0</v>
      </c>
      <c r="S2768" s="23" t="s">
        <v>63</v>
      </c>
      <c r="T2768" s="32" t="s">
        <v>63</v>
      </c>
      <c r="U2768" s="23">
        <v>122.0</v>
      </c>
      <c r="V2768" s="23" t="s">
        <v>63</v>
      </c>
      <c r="W2768" s="23" t="s">
        <v>63</v>
      </c>
      <c r="X2768" s="23" t="s">
        <v>63</v>
      </c>
      <c r="Y2768" s="35">
        <v>46.0</v>
      </c>
      <c r="Z2768" s="32" t="s">
        <v>63</v>
      </c>
      <c r="AA2768" s="38"/>
      <c r="AB2768" s="38"/>
      <c r="AC2768" s="38"/>
      <c r="AD2768" s="38"/>
      <c r="AE2768" s="38"/>
      <c r="AF2768" s="38"/>
      <c r="AG2768" s="38"/>
      <c r="AH2768" s="38"/>
      <c r="AI2768" s="38"/>
      <c r="AJ2768" s="38"/>
      <c r="AK2768" s="38"/>
    </row>
    <row r="2769">
      <c r="A2769" s="99">
        <v>2768.0</v>
      </c>
      <c r="B2769" s="15"/>
      <c r="C2769" s="15"/>
      <c r="D2769" s="105">
        <v>1.0</v>
      </c>
      <c r="E2769" s="102">
        <v>48.0</v>
      </c>
      <c r="F2769" s="107">
        <v>399.0</v>
      </c>
      <c r="G2769" s="15" t="str">
        <f t="shared" si="1"/>
        <v>48399</v>
      </c>
      <c r="H2769" s="23" t="s">
        <v>2138</v>
      </c>
      <c r="I2769" s="23" t="s">
        <v>113</v>
      </c>
      <c r="J2769" s="23" t="s">
        <v>219</v>
      </c>
      <c r="K2769" s="23" t="str">
        <f t="shared" si="44"/>
        <v>Runnels, TX</v>
      </c>
      <c r="L2769" s="23">
        <v>9.0</v>
      </c>
      <c r="M2769" s="23" t="s">
        <v>63</v>
      </c>
      <c r="N2769" s="23">
        <v>3.0</v>
      </c>
      <c r="O2769" s="23">
        <v>4.0</v>
      </c>
      <c r="P2769" s="23" t="s">
        <v>63</v>
      </c>
      <c r="Q2769" s="23">
        <v>5.0</v>
      </c>
      <c r="R2769" s="23">
        <v>4.0</v>
      </c>
      <c r="S2769" s="23" t="s">
        <v>63</v>
      </c>
      <c r="T2769" s="32" t="s">
        <v>63</v>
      </c>
      <c r="U2769" s="23">
        <v>24.0</v>
      </c>
      <c r="V2769" s="23" t="s">
        <v>63</v>
      </c>
      <c r="W2769" s="23" t="s">
        <v>63</v>
      </c>
      <c r="X2769" s="23" t="s">
        <v>63</v>
      </c>
      <c r="Y2769" s="35">
        <v>22.0</v>
      </c>
      <c r="Z2769" s="32" t="s">
        <v>63</v>
      </c>
      <c r="AA2769" s="38"/>
      <c r="AB2769" s="38"/>
      <c r="AC2769" s="38"/>
      <c r="AD2769" s="38"/>
      <c r="AE2769" s="38"/>
      <c r="AF2769" s="38"/>
      <c r="AG2769" s="38"/>
      <c r="AH2769" s="38"/>
      <c r="AI2769" s="38"/>
      <c r="AJ2769" s="38"/>
      <c r="AK2769" s="38"/>
    </row>
    <row r="2770">
      <c r="A2770" s="99">
        <v>2769.0</v>
      </c>
      <c r="B2770" s="15"/>
      <c r="C2770" s="15"/>
      <c r="D2770" s="105">
        <v>1.0</v>
      </c>
      <c r="E2770" s="102">
        <v>48.0</v>
      </c>
      <c r="F2770" s="107">
        <v>401.0</v>
      </c>
      <c r="G2770" s="15" t="str">
        <f t="shared" si="1"/>
        <v>48401</v>
      </c>
      <c r="H2770" s="23" t="s">
        <v>2139</v>
      </c>
      <c r="I2770" s="23" t="s">
        <v>113</v>
      </c>
      <c r="J2770" s="23" t="s">
        <v>219</v>
      </c>
      <c r="K2770" s="23" t="str">
        <f t="shared" si="44"/>
        <v>Rusk, TX</v>
      </c>
      <c r="L2770" s="23">
        <v>40.0</v>
      </c>
      <c r="M2770" s="23" t="s">
        <v>63</v>
      </c>
      <c r="N2770" s="23">
        <v>10.0</v>
      </c>
      <c r="O2770" s="23">
        <v>22.0</v>
      </c>
      <c r="P2770" s="23" t="s">
        <v>63</v>
      </c>
      <c r="Q2770" s="23">
        <v>20.0</v>
      </c>
      <c r="R2770" s="23">
        <v>6.0</v>
      </c>
      <c r="S2770" s="23" t="s">
        <v>63</v>
      </c>
      <c r="T2770" s="32" t="s">
        <v>63</v>
      </c>
      <c r="U2770" s="23">
        <v>69.0</v>
      </c>
      <c r="V2770" s="23" t="s">
        <v>63</v>
      </c>
      <c r="W2770" s="23" t="s">
        <v>63</v>
      </c>
      <c r="X2770" s="23" t="s">
        <v>63</v>
      </c>
      <c r="Y2770" s="35">
        <v>103.0</v>
      </c>
      <c r="Z2770" s="32" t="s">
        <v>63</v>
      </c>
      <c r="AA2770" s="38"/>
      <c r="AB2770" s="38"/>
      <c r="AC2770" s="38"/>
      <c r="AD2770" s="38"/>
      <c r="AE2770" s="38"/>
      <c r="AF2770" s="38"/>
      <c r="AG2770" s="38"/>
      <c r="AH2770" s="38"/>
      <c r="AI2770" s="38"/>
      <c r="AJ2770" s="38"/>
      <c r="AK2770" s="38"/>
    </row>
    <row r="2771">
      <c r="A2771" s="99">
        <v>2770.0</v>
      </c>
      <c r="B2771" s="15"/>
      <c r="C2771" s="15"/>
      <c r="D2771" s="105">
        <v>1.0</v>
      </c>
      <c r="E2771" s="102">
        <v>48.0</v>
      </c>
      <c r="F2771" s="107">
        <v>403.0</v>
      </c>
      <c r="G2771" s="15" t="str">
        <f t="shared" si="1"/>
        <v>48403</v>
      </c>
      <c r="H2771" s="23" t="s">
        <v>1168</v>
      </c>
      <c r="I2771" s="23" t="s">
        <v>113</v>
      </c>
      <c r="J2771" s="23" t="s">
        <v>219</v>
      </c>
      <c r="K2771" s="23" t="str">
        <f t="shared" si="44"/>
        <v>Sabine, TX</v>
      </c>
      <c r="L2771" s="23">
        <v>12.0</v>
      </c>
      <c r="M2771" s="23" t="s">
        <v>63</v>
      </c>
      <c r="N2771" s="23">
        <v>4.0</v>
      </c>
      <c r="O2771" s="23">
        <v>8.0</v>
      </c>
      <c r="P2771" s="23" t="s">
        <v>63</v>
      </c>
      <c r="Q2771" s="23">
        <v>2.0</v>
      </c>
      <c r="R2771" s="23">
        <v>0.0</v>
      </c>
      <c r="S2771" s="23" t="s">
        <v>63</v>
      </c>
      <c r="T2771" s="32" t="s">
        <v>63</v>
      </c>
      <c r="U2771" s="23">
        <v>26.0</v>
      </c>
      <c r="V2771" s="23" t="s">
        <v>63</v>
      </c>
      <c r="W2771" s="23" t="s">
        <v>63</v>
      </c>
      <c r="X2771" s="23" t="s">
        <v>63</v>
      </c>
      <c r="Y2771" s="35">
        <v>24.0</v>
      </c>
      <c r="Z2771" s="32" t="s">
        <v>63</v>
      </c>
      <c r="AA2771" s="38"/>
      <c r="AB2771" s="38"/>
      <c r="AC2771" s="38"/>
      <c r="AD2771" s="38"/>
      <c r="AE2771" s="38"/>
      <c r="AF2771" s="38"/>
      <c r="AG2771" s="38"/>
      <c r="AH2771" s="38"/>
      <c r="AI2771" s="38"/>
      <c r="AJ2771" s="38"/>
      <c r="AK2771" s="38"/>
    </row>
    <row r="2772">
      <c r="A2772" s="99">
        <v>2771.0</v>
      </c>
      <c r="B2772" s="15"/>
      <c r="C2772" s="15"/>
      <c r="D2772" s="105">
        <v>1.0</v>
      </c>
      <c r="E2772" s="102">
        <v>48.0</v>
      </c>
      <c r="F2772" s="107">
        <v>405.0</v>
      </c>
      <c r="G2772" s="15" t="str">
        <f t="shared" si="1"/>
        <v>48405</v>
      </c>
      <c r="H2772" s="23" t="s">
        <v>2140</v>
      </c>
      <c r="I2772" s="23" t="s">
        <v>113</v>
      </c>
      <c r="J2772" s="23" t="s">
        <v>219</v>
      </c>
      <c r="K2772" s="112" t="str">
        <f t="shared" si="44"/>
        <v>San Augustine, TX</v>
      </c>
      <c r="L2772" s="23">
        <v>12.0</v>
      </c>
      <c r="M2772" s="23" t="s">
        <v>63</v>
      </c>
      <c r="N2772" s="23">
        <v>4.0</v>
      </c>
      <c r="O2772" s="23">
        <v>6.0</v>
      </c>
      <c r="P2772" s="23" t="s">
        <v>63</v>
      </c>
      <c r="Q2772" s="23">
        <v>3.0</v>
      </c>
      <c r="R2772" s="23" t="s">
        <v>63</v>
      </c>
      <c r="S2772" s="23" t="s">
        <v>63</v>
      </c>
      <c r="T2772" s="32" t="s">
        <v>63</v>
      </c>
      <c r="U2772" s="23">
        <v>15.0</v>
      </c>
      <c r="V2772" s="23" t="s">
        <v>63</v>
      </c>
      <c r="W2772" s="23" t="s">
        <v>63</v>
      </c>
      <c r="X2772" s="23" t="s">
        <v>63</v>
      </c>
      <c r="Y2772" s="35">
        <v>21.0</v>
      </c>
      <c r="Z2772" s="32" t="s">
        <v>63</v>
      </c>
      <c r="AA2772" s="38"/>
      <c r="AB2772" s="38"/>
      <c r="AC2772" s="38"/>
      <c r="AD2772" s="38"/>
      <c r="AE2772" s="38"/>
      <c r="AF2772" s="38"/>
      <c r="AG2772" s="38"/>
      <c r="AH2772" s="38"/>
      <c r="AI2772" s="38"/>
      <c r="AJ2772" s="38"/>
      <c r="AK2772" s="38"/>
    </row>
    <row r="2773">
      <c r="A2773" s="99">
        <v>2772.0</v>
      </c>
      <c r="B2773" s="15"/>
      <c r="C2773" s="15"/>
      <c r="D2773" s="105">
        <v>1.0</v>
      </c>
      <c r="E2773" s="102">
        <v>48.0</v>
      </c>
      <c r="F2773" s="107">
        <v>407.0</v>
      </c>
      <c r="G2773" s="15" t="str">
        <f t="shared" si="1"/>
        <v>48407</v>
      </c>
      <c r="H2773" s="23" t="s">
        <v>2142</v>
      </c>
      <c r="I2773" s="23" t="s">
        <v>113</v>
      </c>
      <c r="J2773" s="23" t="s">
        <v>219</v>
      </c>
      <c r="K2773" s="23" t="str">
        <f t="shared" si="44"/>
        <v>San Jacinto, TX</v>
      </c>
      <c r="L2773" s="23">
        <v>42.0</v>
      </c>
      <c r="M2773" s="23" t="s">
        <v>63</v>
      </c>
      <c r="N2773" s="23">
        <v>17.0</v>
      </c>
      <c r="O2773" s="23">
        <v>12.0</v>
      </c>
      <c r="P2773" s="23" t="s">
        <v>63</v>
      </c>
      <c r="Q2773" s="23">
        <v>5.0</v>
      </c>
      <c r="R2773" s="23">
        <v>11.0</v>
      </c>
      <c r="S2773" s="23" t="s">
        <v>63</v>
      </c>
      <c r="T2773" s="32" t="s">
        <v>63</v>
      </c>
      <c r="U2773" s="23">
        <v>48.0</v>
      </c>
      <c r="V2773" s="23" t="s">
        <v>63</v>
      </c>
      <c r="W2773" s="23" t="s">
        <v>63</v>
      </c>
      <c r="X2773" s="23" t="s">
        <v>63</v>
      </c>
      <c r="Y2773" s="35">
        <v>32.0</v>
      </c>
      <c r="Z2773" s="32" t="s">
        <v>63</v>
      </c>
      <c r="AA2773" s="38"/>
      <c r="AB2773" s="38"/>
      <c r="AC2773" s="38"/>
      <c r="AD2773" s="38"/>
      <c r="AE2773" s="38"/>
      <c r="AF2773" s="38"/>
      <c r="AG2773" s="38"/>
      <c r="AH2773" s="38"/>
      <c r="AI2773" s="38"/>
      <c r="AJ2773" s="38"/>
      <c r="AK2773" s="38"/>
    </row>
    <row r="2774">
      <c r="A2774" s="99">
        <v>2773.0</v>
      </c>
      <c r="B2774" s="15"/>
      <c r="C2774" s="15"/>
      <c r="D2774" s="105">
        <v>1.0</v>
      </c>
      <c r="E2774" s="102">
        <v>48.0</v>
      </c>
      <c r="F2774" s="107">
        <v>409.0</v>
      </c>
      <c r="G2774" s="15" t="str">
        <f t="shared" si="1"/>
        <v>48409</v>
      </c>
      <c r="H2774" s="23" t="s">
        <v>2143</v>
      </c>
      <c r="I2774" s="23" t="s">
        <v>113</v>
      </c>
      <c r="J2774" s="23" t="s">
        <v>219</v>
      </c>
      <c r="K2774" s="23" t="str">
        <f t="shared" si="44"/>
        <v>San Patricio, TX</v>
      </c>
      <c r="L2774" s="23">
        <v>45.0</v>
      </c>
      <c r="M2774" s="23" t="s">
        <v>63</v>
      </c>
      <c r="N2774" s="23">
        <v>20.0</v>
      </c>
      <c r="O2774" s="23">
        <v>16.0</v>
      </c>
      <c r="P2774" s="23" t="s">
        <v>63</v>
      </c>
      <c r="Q2774" s="23">
        <v>21.0</v>
      </c>
      <c r="R2774" s="23">
        <v>11.0</v>
      </c>
      <c r="S2774" s="23" t="s">
        <v>63</v>
      </c>
      <c r="T2774" s="32" t="s">
        <v>63</v>
      </c>
      <c r="U2774" s="23">
        <v>235.0</v>
      </c>
      <c r="V2774" s="23" t="s">
        <v>63</v>
      </c>
      <c r="W2774" s="23" t="s">
        <v>63</v>
      </c>
      <c r="X2774" s="23" t="s">
        <v>63</v>
      </c>
      <c r="Y2774" s="35">
        <v>65.0</v>
      </c>
      <c r="Z2774" s="32" t="s">
        <v>63</v>
      </c>
      <c r="AA2774" s="38"/>
      <c r="AB2774" s="38"/>
      <c r="AC2774" s="38"/>
      <c r="AD2774" s="38"/>
      <c r="AE2774" s="38"/>
      <c r="AF2774" s="38"/>
      <c r="AG2774" s="38"/>
      <c r="AH2774" s="38"/>
      <c r="AI2774" s="38"/>
      <c r="AJ2774" s="38"/>
      <c r="AK2774" s="38"/>
    </row>
    <row r="2775">
      <c r="A2775" s="99">
        <v>2774.0</v>
      </c>
      <c r="B2775" s="15"/>
      <c r="C2775" s="15"/>
      <c r="D2775" s="105">
        <v>1.0</v>
      </c>
      <c r="E2775" s="102">
        <v>48.0</v>
      </c>
      <c r="F2775" s="107">
        <v>411.0</v>
      </c>
      <c r="G2775" s="15" t="str">
        <f t="shared" si="1"/>
        <v>48411</v>
      </c>
      <c r="H2775" s="23" t="s">
        <v>2144</v>
      </c>
      <c r="I2775" s="23" t="s">
        <v>113</v>
      </c>
      <c r="J2775" s="23" t="s">
        <v>219</v>
      </c>
      <c r="K2775" s="23" t="str">
        <f t="shared" si="44"/>
        <v>San Saba, TX</v>
      </c>
      <c r="L2775" s="23">
        <v>9.0</v>
      </c>
      <c r="M2775" s="23" t="s">
        <v>63</v>
      </c>
      <c r="N2775" s="23">
        <v>3.0</v>
      </c>
      <c r="O2775" s="23">
        <v>5.0</v>
      </c>
      <c r="P2775" s="23" t="s">
        <v>63</v>
      </c>
      <c r="Q2775" s="23">
        <v>3.0</v>
      </c>
      <c r="R2775" s="23">
        <v>4.0</v>
      </c>
      <c r="S2775" s="23" t="s">
        <v>63</v>
      </c>
      <c r="T2775" s="32" t="s">
        <v>63</v>
      </c>
      <c r="U2775" s="23" t="s">
        <v>63</v>
      </c>
      <c r="V2775" s="23" t="s">
        <v>63</v>
      </c>
      <c r="W2775" s="23" t="s">
        <v>63</v>
      </c>
      <c r="X2775" s="23" t="s">
        <v>63</v>
      </c>
      <c r="Y2775" s="35">
        <v>15.0</v>
      </c>
      <c r="Z2775" s="32" t="s">
        <v>63</v>
      </c>
      <c r="AA2775" s="38"/>
      <c r="AB2775" s="38"/>
      <c r="AC2775" s="38"/>
      <c r="AD2775" s="38"/>
      <c r="AE2775" s="38"/>
      <c r="AF2775" s="38"/>
      <c r="AG2775" s="38"/>
      <c r="AH2775" s="38"/>
      <c r="AI2775" s="38"/>
      <c r="AJ2775" s="38"/>
      <c r="AK2775" s="38"/>
    </row>
    <row r="2776">
      <c r="A2776" s="99">
        <v>2775.0</v>
      </c>
      <c r="B2776" s="15"/>
      <c r="C2776" s="15"/>
      <c r="D2776" s="105">
        <v>1.0</v>
      </c>
      <c r="E2776" s="102">
        <v>48.0</v>
      </c>
      <c r="F2776" s="107">
        <v>413.0</v>
      </c>
      <c r="G2776" s="15" t="str">
        <f t="shared" si="1"/>
        <v>48413</v>
      </c>
      <c r="H2776" s="23" t="s">
        <v>2145</v>
      </c>
      <c r="I2776" s="23" t="s">
        <v>113</v>
      </c>
      <c r="J2776" s="23" t="s">
        <v>219</v>
      </c>
      <c r="K2776" s="23" t="str">
        <f t="shared" si="44"/>
        <v>Schleicher, TX</v>
      </c>
      <c r="L2776" s="23">
        <v>0.0</v>
      </c>
      <c r="M2776" s="23" t="s">
        <v>63</v>
      </c>
      <c r="N2776" s="23">
        <v>0.0</v>
      </c>
      <c r="O2776" s="23">
        <v>0.0</v>
      </c>
      <c r="P2776" s="23" t="s">
        <v>63</v>
      </c>
      <c r="Q2776" s="23">
        <v>1.0</v>
      </c>
      <c r="R2776" s="23" t="s">
        <v>63</v>
      </c>
      <c r="S2776" s="23" t="s">
        <v>63</v>
      </c>
      <c r="T2776" s="32" t="s">
        <v>63</v>
      </c>
      <c r="U2776" s="23" t="s">
        <v>63</v>
      </c>
      <c r="V2776" s="23" t="s">
        <v>63</v>
      </c>
      <c r="W2776" s="23" t="s">
        <v>63</v>
      </c>
      <c r="X2776" s="23" t="s">
        <v>63</v>
      </c>
      <c r="Y2776" s="35">
        <v>8.0</v>
      </c>
      <c r="Z2776" s="32" t="s">
        <v>63</v>
      </c>
      <c r="AA2776" s="38"/>
      <c r="AB2776" s="38"/>
      <c r="AC2776" s="38"/>
      <c r="AD2776" s="38"/>
      <c r="AE2776" s="38"/>
      <c r="AF2776" s="38"/>
      <c r="AG2776" s="38"/>
      <c r="AH2776" s="38"/>
      <c r="AI2776" s="38"/>
      <c r="AJ2776" s="38"/>
      <c r="AK2776" s="38"/>
    </row>
    <row r="2777">
      <c r="A2777" s="99">
        <v>2776.0</v>
      </c>
      <c r="B2777" s="15"/>
      <c r="C2777" s="15"/>
      <c r="D2777" s="105">
        <v>1.0</v>
      </c>
      <c r="E2777" s="102">
        <v>48.0</v>
      </c>
      <c r="F2777" s="107">
        <v>415.0</v>
      </c>
      <c r="G2777" s="15" t="str">
        <f t="shared" si="1"/>
        <v>48415</v>
      </c>
      <c r="H2777" s="23" t="s">
        <v>2146</v>
      </c>
      <c r="I2777" s="23" t="s">
        <v>113</v>
      </c>
      <c r="J2777" s="23" t="s">
        <v>219</v>
      </c>
      <c r="K2777" s="23" t="str">
        <f t="shared" si="44"/>
        <v>Scurry, TX</v>
      </c>
      <c r="L2777" s="23">
        <v>39.0</v>
      </c>
      <c r="M2777" s="23" t="s">
        <v>63</v>
      </c>
      <c r="N2777" s="23">
        <v>14.0</v>
      </c>
      <c r="O2777" s="23">
        <v>13.0</v>
      </c>
      <c r="P2777" s="23" t="s">
        <v>63</v>
      </c>
      <c r="Q2777" s="23">
        <v>8.0</v>
      </c>
      <c r="R2777" s="23">
        <v>9.0</v>
      </c>
      <c r="S2777" s="23" t="s">
        <v>63</v>
      </c>
      <c r="T2777" s="32" t="s">
        <v>63</v>
      </c>
      <c r="U2777" s="23">
        <v>108.0</v>
      </c>
      <c r="V2777" s="23" t="s">
        <v>63</v>
      </c>
      <c r="W2777" s="23" t="s">
        <v>63</v>
      </c>
      <c r="X2777" s="23" t="s">
        <v>63</v>
      </c>
      <c r="Y2777" s="35">
        <v>23.0</v>
      </c>
      <c r="Z2777" s="32" t="s">
        <v>63</v>
      </c>
      <c r="AA2777" s="38"/>
      <c r="AB2777" s="38"/>
      <c r="AC2777" s="38"/>
      <c r="AD2777" s="38"/>
      <c r="AE2777" s="38"/>
      <c r="AF2777" s="38"/>
      <c r="AG2777" s="38"/>
      <c r="AH2777" s="38"/>
      <c r="AI2777" s="38"/>
      <c r="AJ2777" s="38"/>
      <c r="AK2777" s="38"/>
    </row>
    <row r="2778">
      <c r="A2778" s="99">
        <v>2777.0</v>
      </c>
      <c r="B2778" s="15"/>
      <c r="C2778" s="15"/>
      <c r="D2778" s="105">
        <v>1.0</v>
      </c>
      <c r="E2778" s="102">
        <v>48.0</v>
      </c>
      <c r="F2778" s="107">
        <v>417.0</v>
      </c>
      <c r="G2778" s="15" t="str">
        <f t="shared" si="1"/>
        <v>48417</v>
      </c>
      <c r="H2778" s="23" t="s">
        <v>2148</v>
      </c>
      <c r="I2778" s="23" t="s">
        <v>113</v>
      </c>
      <c r="J2778" s="23" t="s">
        <v>219</v>
      </c>
      <c r="K2778" s="23" t="str">
        <f t="shared" si="44"/>
        <v>Shackelford, TX</v>
      </c>
      <c r="L2778" s="23">
        <v>0.0</v>
      </c>
      <c r="M2778" s="23" t="s">
        <v>63</v>
      </c>
      <c r="N2778" s="23">
        <v>0.0</v>
      </c>
      <c r="O2778" s="23">
        <v>0.0</v>
      </c>
      <c r="P2778" s="23" t="s">
        <v>63</v>
      </c>
      <c r="Q2778" s="23">
        <v>2.0</v>
      </c>
      <c r="R2778" s="23" t="s">
        <v>63</v>
      </c>
      <c r="S2778" s="23" t="s">
        <v>63</v>
      </c>
      <c r="T2778" s="32" t="s">
        <v>63</v>
      </c>
      <c r="U2778" s="23" t="s">
        <v>63</v>
      </c>
      <c r="V2778" s="23" t="s">
        <v>63</v>
      </c>
      <c r="W2778" s="23" t="s">
        <v>63</v>
      </c>
      <c r="X2778" s="23" t="s">
        <v>63</v>
      </c>
      <c r="Y2778" s="35">
        <v>6.0</v>
      </c>
      <c r="Z2778" s="32" t="s">
        <v>63</v>
      </c>
      <c r="AA2778" s="38"/>
      <c r="AB2778" s="38"/>
      <c r="AC2778" s="38"/>
      <c r="AD2778" s="38"/>
      <c r="AE2778" s="38"/>
      <c r="AF2778" s="38"/>
      <c r="AG2778" s="38"/>
      <c r="AH2778" s="38"/>
      <c r="AI2778" s="38"/>
      <c r="AJ2778" s="38"/>
      <c r="AK2778" s="38"/>
    </row>
    <row r="2779">
      <c r="A2779" s="99">
        <v>2778.0</v>
      </c>
      <c r="B2779" s="15"/>
      <c r="C2779" s="15"/>
      <c r="D2779" s="105">
        <v>1.0</v>
      </c>
      <c r="E2779" s="102">
        <v>48.0</v>
      </c>
      <c r="F2779" s="107">
        <v>419.0</v>
      </c>
      <c r="G2779" s="15" t="str">
        <f t="shared" si="1"/>
        <v>48419</v>
      </c>
      <c r="H2779" s="23" t="s">
        <v>168</v>
      </c>
      <c r="I2779" s="23" t="s">
        <v>113</v>
      </c>
      <c r="J2779" s="23" t="s">
        <v>219</v>
      </c>
      <c r="K2779" s="23" t="str">
        <f t="shared" si="44"/>
        <v>Shelby, TX</v>
      </c>
      <c r="L2779" s="23">
        <v>28.0</v>
      </c>
      <c r="M2779" s="23" t="s">
        <v>63</v>
      </c>
      <c r="N2779" s="23">
        <v>13.0</v>
      </c>
      <c r="O2779" s="23">
        <v>13.0</v>
      </c>
      <c r="P2779" s="23" t="s">
        <v>63</v>
      </c>
      <c r="Q2779" s="23">
        <v>18.0</v>
      </c>
      <c r="R2779" s="23">
        <v>4.0</v>
      </c>
      <c r="S2779" s="23" t="s">
        <v>63</v>
      </c>
      <c r="T2779" s="32" t="s">
        <v>63</v>
      </c>
      <c r="U2779" s="23">
        <v>67.0</v>
      </c>
      <c r="V2779" s="23" t="s">
        <v>63</v>
      </c>
      <c r="W2779" s="23" t="s">
        <v>63</v>
      </c>
      <c r="X2779" s="23" t="s">
        <v>63</v>
      </c>
      <c r="Y2779" s="35">
        <v>46.0</v>
      </c>
      <c r="Z2779" s="32" t="s">
        <v>63</v>
      </c>
      <c r="AA2779" s="38"/>
      <c r="AB2779" s="38"/>
      <c r="AC2779" s="38"/>
      <c r="AD2779" s="38"/>
      <c r="AE2779" s="38"/>
      <c r="AF2779" s="38"/>
      <c r="AG2779" s="38"/>
      <c r="AH2779" s="38"/>
      <c r="AI2779" s="38"/>
      <c r="AJ2779" s="38"/>
      <c r="AK2779" s="38"/>
    </row>
    <row r="2780">
      <c r="A2780" s="99">
        <v>2779.0</v>
      </c>
      <c r="B2780" s="15"/>
      <c r="C2780" s="15"/>
      <c r="D2780" s="105">
        <v>1.0</v>
      </c>
      <c r="E2780" s="102">
        <v>48.0</v>
      </c>
      <c r="F2780" s="107">
        <v>421.0</v>
      </c>
      <c r="G2780" s="15" t="str">
        <f t="shared" si="1"/>
        <v>48421</v>
      </c>
      <c r="H2780" s="23" t="s">
        <v>1011</v>
      </c>
      <c r="I2780" s="23" t="s">
        <v>113</v>
      </c>
      <c r="J2780" s="23" t="s">
        <v>219</v>
      </c>
      <c r="K2780" s="23" t="str">
        <f t="shared" si="44"/>
        <v>Sherman, TX</v>
      </c>
      <c r="L2780" s="23">
        <v>6.0</v>
      </c>
      <c r="M2780" s="23" t="s">
        <v>63</v>
      </c>
      <c r="N2780" s="23">
        <v>1.0</v>
      </c>
      <c r="O2780" s="23">
        <v>4.0</v>
      </c>
      <c r="P2780" s="23" t="s">
        <v>63</v>
      </c>
      <c r="Q2780" s="23" t="s">
        <v>63</v>
      </c>
      <c r="R2780" s="23">
        <v>1.0</v>
      </c>
      <c r="S2780" s="23" t="s">
        <v>63</v>
      </c>
      <c r="T2780" s="32" t="s">
        <v>63</v>
      </c>
      <c r="U2780" s="23">
        <v>10.0</v>
      </c>
      <c r="V2780" s="23" t="s">
        <v>63</v>
      </c>
      <c r="W2780" s="23" t="s">
        <v>63</v>
      </c>
      <c r="X2780" s="23" t="s">
        <v>63</v>
      </c>
      <c r="Y2780" s="35">
        <v>6.0</v>
      </c>
      <c r="Z2780" s="32" t="s">
        <v>63</v>
      </c>
      <c r="AA2780" s="38"/>
      <c r="AB2780" s="38"/>
      <c r="AC2780" s="38"/>
      <c r="AD2780" s="38"/>
      <c r="AE2780" s="38"/>
      <c r="AF2780" s="38"/>
      <c r="AG2780" s="38"/>
      <c r="AH2780" s="38"/>
      <c r="AI2780" s="38"/>
      <c r="AJ2780" s="38"/>
      <c r="AK2780" s="38"/>
    </row>
    <row r="2781">
      <c r="A2781" s="99">
        <v>2780.0</v>
      </c>
      <c r="B2781" s="15"/>
      <c r="C2781" s="15"/>
      <c r="D2781" s="105">
        <v>1.0</v>
      </c>
      <c r="E2781" s="102">
        <v>48.0</v>
      </c>
      <c r="F2781" s="107">
        <v>423.0</v>
      </c>
      <c r="G2781" s="15" t="str">
        <f t="shared" si="1"/>
        <v>48423</v>
      </c>
      <c r="H2781" s="23" t="s">
        <v>1012</v>
      </c>
      <c r="I2781" s="23" t="s">
        <v>113</v>
      </c>
      <c r="J2781" s="23" t="s">
        <v>219</v>
      </c>
      <c r="K2781" s="23" t="str">
        <f t="shared" si="44"/>
        <v>Smith, TX</v>
      </c>
      <c r="L2781" s="23">
        <v>252.0</v>
      </c>
      <c r="M2781" s="23" t="s">
        <v>63</v>
      </c>
      <c r="N2781" s="23">
        <v>85.0</v>
      </c>
      <c r="O2781" s="23">
        <v>116.0</v>
      </c>
      <c r="P2781" s="23" t="s">
        <v>63</v>
      </c>
      <c r="Q2781" s="23">
        <v>112.0</v>
      </c>
      <c r="R2781" s="23">
        <v>53.0</v>
      </c>
      <c r="S2781" s="23" t="s">
        <v>63</v>
      </c>
      <c r="T2781" s="32" t="s">
        <v>63</v>
      </c>
      <c r="U2781" s="23">
        <v>523.0</v>
      </c>
      <c r="V2781" s="23" t="s">
        <v>63</v>
      </c>
      <c r="W2781" s="23" t="s">
        <v>63</v>
      </c>
      <c r="X2781" s="23" t="s">
        <v>63</v>
      </c>
      <c r="Y2781" s="35">
        <v>270.0</v>
      </c>
      <c r="Z2781" s="32" t="s">
        <v>63</v>
      </c>
      <c r="AA2781" s="38"/>
      <c r="AB2781" s="38"/>
      <c r="AC2781" s="38"/>
      <c r="AD2781" s="38"/>
      <c r="AE2781" s="38"/>
      <c r="AF2781" s="38"/>
      <c r="AG2781" s="38"/>
      <c r="AH2781" s="38"/>
      <c r="AI2781" s="38"/>
      <c r="AJ2781" s="38"/>
      <c r="AK2781" s="38"/>
    </row>
    <row r="2782">
      <c r="A2782" s="99">
        <v>2781.0</v>
      </c>
      <c r="B2782" s="15"/>
      <c r="C2782" s="15"/>
      <c r="D2782" s="105">
        <v>1.0</v>
      </c>
      <c r="E2782" s="102">
        <v>48.0</v>
      </c>
      <c r="F2782" s="107">
        <v>425.0</v>
      </c>
      <c r="G2782" s="15" t="str">
        <f t="shared" si="1"/>
        <v>48425</v>
      </c>
      <c r="H2782" s="23" t="s">
        <v>2149</v>
      </c>
      <c r="I2782" s="23" t="s">
        <v>113</v>
      </c>
      <c r="J2782" s="23" t="s">
        <v>219</v>
      </c>
      <c r="K2782" s="23" t="str">
        <f t="shared" si="44"/>
        <v>Somervell, TX</v>
      </c>
      <c r="L2782" s="23">
        <v>5.0</v>
      </c>
      <c r="M2782" s="23" t="s">
        <v>63</v>
      </c>
      <c r="N2782" s="23">
        <v>4.0</v>
      </c>
      <c r="O2782" s="23">
        <v>0.0</v>
      </c>
      <c r="P2782" s="23" t="s">
        <v>63</v>
      </c>
      <c r="Q2782" s="23" t="s">
        <v>63</v>
      </c>
      <c r="R2782" s="23">
        <v>1.0</v>
      </c>
      <c r="S2782" s="23" t="s">
        <v>63</v>
      </c>
      <c r="T2782" s="32" t="s">
        <v>63</v>
      </c>
      <c r="U2782" s="23">
        <v>24.0</v>
      </c>
      <c r="V2782" s="23" t="s">
        <v>63</v>
      </c>
      <c r="W2782" s="23" t="s">
        <v>63</v>
      </c>
      <c r="X2782" s="23" t="s">
        <v>63</v>
      </c>
      <c r="Y2782" s="35">
        <v>9.0</v>
      </c>
      <c r="Z2782" s="32" t="s">
        <v>63</v>
      </c>
      <c r="AA2782" s="38"/>
      <c r="AB2782" s="38"/>
      <c r="AC2782" s="38"/>
      <c r="AD2782" s="38"/>
      <c r="AE2782" s="38"/>
      <c r="AF2782" s="38"/>
      <c r="AG2782" s="38"/>
      <c r="AH2782" s="38"/>
      <c r="AI2782" s="38"/>
      <c r="AJ2782" s="38"/>
      <c r="AK2782" s="38"/>
    </row>
    <row r="2783">
      <c r="A2783" s="99">
        <v>2782.0</v>
      </c>
      <c r="B2783" s="15"/>
      <c r="C2783" s="15"/>
      <c r="D2783" s="105">
        <v>1.0</v>
      </c>
      <c r="E2783" s="102">
        <v>48.0</v>
      </c>
      <c r="F2783" s="107">
        <v>427.0</v>
      </c>
      <c r="G2783" s="15" t="str">
        <f t="shared" si="1"/>
        <v>48427</v>
      </c>
      <c r="H2783" s="23" t="s">
        <v>2150</v>
      </c>
      <c r="I2783" s="23" t="s">
        <v>113</v>
      </c>
      <c r="J2783" s="23" t="s">
        <v>219</v>
      </c>
      <c r="K2783" s="23" t="str">
        <f t="shared" si="44"/>
        <v>Starr, TX</v>
      </c>
      <c r="L2783" s="23">
        <v>31.0</v>
      </c>
      <c r="M2783" s="23" t="s">
        <v>63</v>
      </c>
      <c r="N2783" s="23">
        <v>8.0</v>
      </c>
      <c r="O2783" s="23">
        <v>16.0</v>
      </c>
      <c r="P2783" s="23" t="s">
        <v>63</v>
      </c>
      <c r="Q2783" s="23">
        <v>5.0</v>
      </c>
      <c r="R2783" s="23">
        <v>3.0</v>
      </c>
      <c r="S2783" s="23" t="s">
        <v>63</v>
      </c>
      <c r="T2783" s="32" t="s">
        <v>63</v>
      </c>
      <c r="U2783" s="23">
        <v>133.0</v>
      </c>
      <c r="V2783" s="23" t="s">
        <v>63</v>
      </c>
      <c r="W2783" s="23" t="s">
        <v>63</v>
      </c>
      <c r="X2783" s="23" t="s">
        <v>63</v>
      </c>
      <c r="Y2783" s="35">
        <v>26.0</v>
      </c>
      <c r="Z2783" s="32" t="s">
        <v>63</v>
      </c>
      <c r="AA2783" s="38"/>
      <c r="AB2783" s="38"/>
      <c r="AC2783" s="38"/>
      <c r="AD2783" s="38"/>
      <c r="AE2783" s="38"/>
      <c r="AF2783" s="38"/>
      <c r="AG2783" s="38"/>
      <c r="AH2783" s="38"/>
      <c r="AI2783" s="38"/>
      <c r="AJ2783" s="38"/>
      <c r="AK2783" s="38"/>
    </row>
    <row r="2784">
      <c r="A2784" s="99">
        <v>2783.0</v>
      </c>
      <c r="B2784" s="15"/>
      <c r="C2784" s="15"/>
      <c r="D2784" s="105">
        <v>1.0</v>
      </c>
      <c r="E2784" s="102">
        <v>48.0</v>
      </c>
      <c r="F2784" s="107">
        <v>429.0</v>
      </c>
      <c r="G2784" s="15" t="str">
        <f t="shared" si="1"/>
        <v>48429</v>
      </c>
      <c r="H2784" s="23" t="s">
        <v>628</v>
      </c>
      <c r="I2784" s="23" t="s">
        <v>113</v>
      </c>
      <c r="J2784" s="23" t="s">
        <v>219</v>
      </c>
      <c r="K2784" s="23" t="str">
        <f t="shared" si="44"/>
        <v>Stephens, TX</v>
      </c>
      <c r="L2784" s="23">
        <v>25.0</v>
      </c>
      <c r="M2784" s="23" t="s">
        <v>63</v>
      </c>
      <c r="N2784" s="23">
        <v>11.0</v>
      </c>
      <c r="O2784" s="23">
        <v>13.0</v>
      </c>
      <c r="P2784" s="23" t="s">
        <v>63</v>
      </c>
      <c r="Q2784" s="23">
        <v>2.0</v>
      </c>
      <c r="R2784" s="23">
        <v>12.0</v>
      </c>
      <c r="S2784" s="23" t="s">
        <v>63</v>
      </c>
      <c r="T2784" s="32" t="s">
        <v>63</v>
      </c>
      <c r="U2784" s="23">
        <v>31.0</v>
      </c>
      <c r="V2784" s="23" t="s">
        <v>63</v>
      </c>
      <c r="W2784" s="23" t="s">
        <v>63</v>
      </c>
      <c r="X2784" s="23" t="s">
        <v>63</v>
      </c>
      <c r="Y2784" s="35">
        <v>16.0</v>
      </c>
      <c r="Z2784" s="32" t="s">
        <v>63</v>
      </c>
      <c r="AA2784" s="38"/>
      <c r="AB2784" s="38"/>
      <c r="AC2784" s="38"/>
      <c r="AD2784" s="38"/>
      <c r="AE2784" s="38"/>
      <c r="AF2784" s="38"/>
      <c r="AG2784" s="38"/>
      <c r="AH2784" s="38"/>
      <c r="AI2784" s="38"/>
      <c r="AJ2784" s="38"/>
      <c r="AK2784" s="38"/>
    </row>
    <row r="2785">
      <c r="A2785" s="99">
        <v>2784.0</v>
      </c>
      <c r="B2785" s="15"/>
      <c r="C2785" s="15"/>
      <c r="D2785" s="105">
        <v>1.0</v>
      </c>
      <c r="E2785" s="102">
        <v>48.0</v>
      </c>
      <c r="F2785" s="107">
        <v>431.0</v>
      </c>
      <c r="G2785" s="15" t="str">
        <f t="shared" si="1"/>
        <v>48431</v>
      </c>
      <c r="H2785" s="23" t="s">
        <v>2151</v>
      </c>
      <c r="I2785" s="23" t="s">
        <v>113</v>
      </c>
      <c r="J2785" s="23" t="s">
        <v>219</v>
      </c>
      <c r="K2785" s="23" t="str">
        <f t="shared" si="44"/>
        <v>Sterling, TX</v>
      </c>
      <c r="L2785" s="23">
        <v>3.0</v>
      </c>
      <c r="M2785" s="23" t="s">
        <v>63</v>
      </c>
      <c r="N2785" s="23">
        <v>0.0</v>
      </c>
      <c r="O2785" s="23">
        <v>3.0</v>
      </c>
      <c r="P2785" s="23" t="s">
        <v>63</v>
      </c>
      <c r="Q2785" s="23">
        <v>1.0</v>
      </c>
      <c r="R2785" s="23" t="s">
        <v>63</v>
      </c>
      <c r="S2785" s="23" t="s">
        <v>63</v>
      </c>
      <c r="T2785" s="32" t="s">
        <v>63</v>
      </c>
      <c r="U2785" s="23" t="s">
        <v>63</v>
      </c>
      <c r="V2785" s="23" t="s">
        <v>63</v>
      </c>
      <c r="W2785" s="23" t="s">
        <v>63</v>
      </c>
      <c r="X2785" s="23" t="s">
        <v>63</v>
      </c>
      <c r="Y2785" s="35">
        <v>3.0</v>
      </c>
      <c r="Z2785" s="32" t="s">
        <v>63</v>
      </c>
      <c r="AA2785" s="38"/>
      <c r="AB2785" s="38"/>
      <c r="AC2785" s="38"/>
      <c r="AD2785" s="38"/>
      <c r="AE2785" s="38"/>
      <c r="AF2785" s="38"/>
      <c r="AG2785" s="38"/>
      <c r="AH2785" s="38"/>
      <c r="AI2785" s="38"/>
      <c r="AJ2785" s="38"/>
      <c r="AK2785" s="38"/>
    </row>
    <row r="2786">
      <c r="A2786" s="99">
        <v>2785.0</v>
      </c>
      <c r="B2786" s="15"/>
      <c r="C2786" s="15"/>
      <c r="D2786" s="105">
        <v>1.0</v>
      </c>
      <c r="E2786" s="102">
        <v>48.0</v>
      </c>
      <c r="F2786" s="107">
        <v>433.0</v>
      </c>
      <c r="G2786" s="15" t="str">
        <f t="shared" si="1"/>
        <v>48433</v>
      </c>
      <c r="H2786" s="23" t="s">
        <v>2152</v>
      </c>
      <c r="I2786" s="23" t="s">
        <v>113</v>
      </c>
      <c r="J2786" s="23" t="s">
        <v>219</v>
      </c>
      <c r="K2786" s="23" t="str">
        <f t="shared" si="44"/>
        <v>Stonewall, TX</v>
      </c>
      <c r="L2786" s="23">
        <v>0.0</v>
      </c>
      <c r="M2786" s="23" t="s">
        <v>63</v>
      </c>
      <c r="N2786" s="23">
        <v>0.0</v>
      </c>
      <c r="O2786" s="23">
        <v>0.0</v>
      </c>
      <c r="P2786" s="23" t="s">
        <v>63</v>
      </c>
      <c r="Q2786" s="23">
        <v>1.0</v>
      </c>
      <c r="R2786" s="23" t="s">
        <v>63</v>
      </c>
      <c r="S2786" s="23" t="s">
        <v>63</v>
      </c>
      <c r="T2786" s="32" t="s">
        <v>63</v>
      </c>
      <c r="U2786" s="23" t="s">
        <v>63</v>
      </c>
      <c r="V2786" s="23" t="s">
        <v>63</v>
      </c>
      <c r="W2786" s="23" t="s">
        <v>63</v>
      </c>
      <c r="X2786" s="23" t="s">
        <v>63</v>
      </c>
      <c r="Y2786" s="35">
        <v>5.0</v>
      </c>
      <c r="Z2786" s="32" t="s">
        <v>63</v>
      </c>
      <c r="AA2786" s="38"/>
      <c r="AB2786" s="38"/>
      <c r="AC2786" s="38"/>
      <c r="AD2786" s="38"/>
      <c r="AE2786" s="38"/>
      <c r="AF2786" s="38"/>
      <c r="AG2786" s="38"/>
      <c r="AH2786" s="38"/>
      <c r="AI2786" s="38"/>
      <c r="AJ2786" s="38"/>
      <c r="AK2786" s="38"/>
    </row>
    <row r="2787">
      <c r="A2787" s="99">
        <v>2786.0</v>
      </c>
      <c r="B2787" s="15"/>
      <c r="C2787" s="15"/>
      <c r="D2787" s="105">
        <v>1.0</v>
      </c>
      <c r="E2787" s="102">
        <v>48.0</v>
      </c>
      <c r="F2787" s="107">
        <v>435.0</v>
      </c>
      <c r="G2787" s="15" t="str">
        <f t="shared" si="1"/>
        <v>48435</v>
      </c>
      <c r="H2787" s="23" t="s">
        <v>2153</v>
      </c>
      <c r="I2787" s="23" t="s">
        <v>113</v>
      </c>
      <c r="J2787" s="23" t="s">
        <v>219</v>
      </c>
      <c r="K2787" s="23" t="str">
        <f t="shared" si="44"/>
        <v>Sutton, TX</v>
      </c>
      <c r="L2787" s="23">
        <v>3.0</v>
      </c>
      <c r="M2787" s="23" t="s">
        <v>63</v>
      </c>
      <c r="N2787" s="23">
        <v>1.0</v>
      </c>
      <c r="O2787" s="23">
        <v>2.0</v>
      </c>
      <c r="P2787" s="23" t="s">
        <v>63</v>
      </c>
      <c r="Q2787" s="23">
        <v>1.0</v>
      </c>
      <c r="R2787" s="23">
        <v>3.0</v>
      </c>
      <c r="S2787" s="23" t="s">
        <v>63</v>
      </c>
      <c r="T2787" s="32" t="s">
        <v>63</v>
      </c>
      <c r="U2787" s="23" t="s">
        <v>63</v>
      </c>
      <c r="V2787" s="23" t="s">
        <v>63</v>
      </c>
      <c r="W2787" s="23" t="s">
        <v>63</v>
      </c>
      <c r="X2787" s="23" t="s">
        <v>63</v>
      </c>
      <c r="Y2787" s="35">
        <v>7.0</v>
      </c>
      <c r="Z2787" s="32" t="s">
        <v>63</v>
      </c>
      <c r="AA2787" s="38"/>
      <c r="AB2787" s="38"/>
      <c r="AC2787" s="38"/>
      <c r="AD2787" s="38"/>
      <c r="AE2787" s="38"/>
      <c r="AF2787" s="38"/>
      <c r="AG2787" s="38"/>
      <c r="AH2787" s="38"/>
      <c r="AI2787" s="38"/>
      <c r="AJ2787" s="38"/>
      <c r="AK2787" s="38"/>
    </row>
    <row r="2788">
      <c r="A2788" s="99">
        <v>2787.0</v>
      </c>
      <c r="B2788" s="15"/>
      <c r="C2788" s="15"/>
      <c r="D2788" s="105">
        <v>1.0</v>
      </c>
      <c r="E2788" s="102">
        <v>48.0</v>
      </c>
      <c r="F2788" s="107">
        <v>437.0</v>
      </c>
      <c r="G2788" s="15" t="str">
        <f t="shared" si="1"/>
        <v>48437</v>
      </c>
      <c r="H2788" s="23" t="s">
        <v>2154</v>
      </c>
      <c r="I2788" s="23" t="s">
        <v>113</v>
      </c>
      <c r="J2788" s="23" t="s">
        <v>219</v>
      </c>
      <c r="K2788" s="23" t="str">
        <f t="shared" si="44"/>
        <v>Swisher, TX</v>
      </c>
      <c r="L2788" s="23">
        <v>8.0</v>
      </c>
      <c r="M2788" s="23" t="s">
        <v>63</v>
      </c>
      <c r="N2788" s="23">
        <v>4.0</v>
      </c>
      <c r="O2788" s="23">
        <v>4.0</v>
      </c>
      <c r="P2788" s="23" t="s">
        <v>63</v>
      </c>
      <c r="Q2788" s="23">
        <v>3.0</v>
      </c>
      <c r="R2788" s="23">
        <v>0.0</v>
      </c>
      <c r="S2788" s="23" t="s">
        <v>63</v>
      </c>
      <c r="T2788" s="32" t="s">
        <v>63</v>
      </c>
      <c r="U2788" s="23">
        <v>29.0</v>
      </c>
      <c r="V2788" s="23" t="s">
        <v>63</v>
      </c>
      <c r="W2788" s="23" t="s">
        <v>63</v>
      </c>
      <c r="X2788" s="23" t="s">
        <v>63</v>
      </c>
      <c r="Y2788" s="35">
        <v>14.0</v>
      </c>
      <c r="Z2788" s="32" t="s">
        <v>63</v>
      </c>
      <c r="AA2788" s="38"/>
      <c r="AB2788" s="38"/>
      <c r="AC2788" s="38"/>
      <c r="AD2788" s="38"/>
      <c r="AE2788" s="38"/>
      <c r="AF2788" s="38"/>
      <c r="AG2788" s="38"/>
      <c r="AH2788" s="38"/>
      <c r="AI2788" s="38"/>
      <c r="AJ2788" s="38"/>
      <c r="AK2788" s="38"/>
    </row>
    <row r="2789">
      <c r="A2789" s="99">
        <v>2788.0</v>
      </c>
      <c r="B2789" s="15"/>
      <c r="C2789" s="15"/>
      <c r="D2789" s="105">
        <v>1.0</v>
      </c>
      <c r="E2789" s="102">
        <v>48.0</v>
      </c>
      <c r="F2789" s="107">
        <v>439.0</v>
      </c>
      <c r="G2789" s="15" t="str">
        <f t="shared" si="1"/>
        <v>48439</v>
      </c>
      <c r="H2789" s="23" t="s">
        <v>265</v>
      </c>
      <c r="I2789" s="23" t="s">
        <v>113</v>
      </c>
      <c r="J2789" s="23" t="s">
        <v>219</v>
      </c>
      <c r="K2789" s="23" t="str">
        <f t="shared" si="44"/>
        <v>Tarrant, TX</v>
      </c>
      <c r="L2789" s="23">
        <v>1073.0</v>
      </c>
      <c r="M2789" s="23" t="s">
        <v>63</v>
      </c>
      <c r="N2789" s="23">
        <v>499.0</v>
      </c>
      <c r="O2789" s="23">
        <v>321.0</v>
      </c>
      <c r="P2789" s="23" t="s">
        <v>63</v>
      </c>
      <c r="Q2789" s="23">
        <v>471.0</v>
      </c>
      <c r="R2789" s="23">
        <v>218.0</v>
      </c>
      <c r="S2789" s="23" t="s">
        <v>63</v>
      </c>
      <c r="T2789" s="32" t="s">
        <v>63</v>
      </c>
      <c r="U2789" s="23">
        <v>3901.0</v>
      </c>
      <c r="V2789" s="23" t="s">
        <v>63</v>
      </c>
      <c r="W2789" s="23" t="s">
        <v>63</v>
      </c>
      <c r="X2789" s="23" t="s">
        <v>63</v>
      </c>
      <c r="Y2789" s="35">
        <v>998.0</v>
      </c>
      <c r="Z2789" s="32" t="s">
        <v>63</v>
      </c>
      <c r="AA2789" s="38"/>
      <c r="AB2789" s="38"/>
      <c r="AC2789" s="38"/>
      <c r="AD2789" s="38"/>
      <c r="AE2789" s="38"/>
      <c r="AF2789" s="38"/>
      <c r="AG2789" s="38"/>
      <c r="AH2789" s="38"/>
      <c r="AI2789" s="38"/>
      <c r="AJ2789" s="38"/>
      <c r="AK2789" s="38"/>
    </row>
    <row r="2790">
      <c r="A2790" s="99">
        <v>2789.0</v>
      </c>
      <c r="B2790" s="15"/>
      <c r="C2790" s="15"/>
      <c r="D2790" s="105">
        <v>1.0</v>
      </c>
      <c r="E2790" s="102">
        <v>48.0</v>
      </c>
      <c r="F2790" s="107">
        <v>441.0</v>
      </c>
      <c r="G2790" s="15" t="str">
        <f t="shared" si="1"/>
        <v>48441</v>
      </c>
      <c r="H2790" s="23" t="s">
        <v>526</v>
      </c>
      <c r="I2790" s="23" t="s">
        <v>113</v>
      </c>
      <c r="J2790" s="23" t="s">
        <v>219</v>
      </c>
      <c r="K2790" s="23" t="str">
        <f t="shared" si="44"/>
        <v>Taylor, TX</v>
      </c>
      <c r="L2790" s="23">
        <v>363.0</v>
      </c>
      <c r="M2790" s="23" t="s">
        <v>63</v>
      </c>
      <c r="N2790" s="23">
        <v>159.0</v>
      </c>
      <c r="O2790" s="23">
        <v>135.0</v>
      </c>
      <c r="P2790" s="23" t="s">
        <v>63</v>
      </c>
      <c r="Q2790" s="23">
        <v>95.0</v>
      </c>
      <c r="R2790" s="23">
        <v>73.0</v>
      </c>
      <c r="S2790" s="23" t="s">
        <v>63</v>
      </c>
      <c r="T2790" s="32" t="s">
        <v>63</v>
      </c>
      <c r="U2790" s="23">
        <v>1017.0</v>
      </c>
      <c r="V2790" s="23" t="s">
        <v>63</v>
      </c>
      <c r="W2790" s="23" t="s">
        <v>63</v>
      </c>
      <c r="X2790" s="23" t="s">
        <v>63</v>
      </c>
      <c r="Y2790" s="35">
        <v>139.0</v>
      </c>
      <c r="Z2790" s="32" t="s">
        <v>63</v>
      </c>
      <c r="AA2790" s="38"/>
      <c r="AB2790" s="38"/>
      <c r="AC2790" s="38"/>
      <c r="AD2790" s="38"/>
      <c r="AE2790" s="38"/>
      <c r="AF2790" s="38"/>
      <c r="AG2790" s="38"/>
      <c r="AH2790" s="38"/>
      <c r="AI2790" s="38"/>
      <c r="AJ2790" s="38"/>
      <c r="AK2790" s="38"/>
    </row>
    <row r="2791">
      <c r="A2791" s="99">
        <v>2790.0</v>
      </c>
      <c r="B2791" s="15"/>
      <c r="C2791" s="15"/>
      <c r="D2791" s="105">
        <v>1.0</v>
      </c>
      <c r="E2791" s="102">
        <v>48.0</v>
      </c>
      <c r="F2791" s="107">
        <v>443.0</v>
      </c>
      <c r="G2791" s="15" t="str">
        <f t="shared" si="1"/>
        <v>48443</v>
      </c>
      <c r="H2791" s="23" t="s">
        <v>635</v>
      </c>
      <c r="I2791" s="23" t="s">
        <v>113</v>
      </c>
      <c r="J2791" s="23" t="s">
        <v>219</v>
      </c>
      <c r="K2791" s="23" t="str">
        <f t="shared" si="44"/>
        <v>Terrell, TX</v>
      </c>
      <c r="L2791" s="23" t="s">
        <v>63</v>
      </c>
      <c r="M2791" s="23" t="s">
        <v>63</v>
      </c>
      <c r="N2791" s="23">
        <v>0.0</v>
      </c>
      <c r="O2791" s="23">
        <v>0.0</v>
      </c>
      <c r="P2791" s="23" t="s">
        <v>63</v>
      </c>
      <c r="Q2791" s="23" t="s">
        <v>63</v>
      </c>
      <c r="R2791" s="23" t="s">
        <v>63</v>
      </c>
      <c r="S2791" s="23" t="s">
        <v>63</v>
      </c>
      <c r="T2791" s="32" t="s">
        <v>63</v>
      </c>
      <c r="U2791" s="23" t="s">
        <v>63</v>
      </c>
      <c r="V2791" s="23" t="s">
        <v>63</v>
      </c>
      <c r="W2791" s="23" t="s">
        <v>63</v>
      </c>
      <c r="X2791" s="23" t="s">
        <v>63</v>
      </c>
      <c r="Y2791" s="35">
        <v>3.0</v>
      </c>
      <c r="Z2791" s="32" t="s">
        <v>63</v>
      </c>
      <c r="AA2791" s="38"/>
      <c r="AB2791" s="38"/>
      <c r="AC2791" s="38"/>
      <c r="AD2791" s="38"/>
      <c r="AE2791" s="38"/>
      <c r="AF2791" s="38"/>
      <c r="AG2791" s="38"/>
      <c r="AH2791" s="38"/>
      <c r="AI2791" s="38"/>
      <c r="AJ2791" s="38"/>
      <c r="AK2791" s="38"/>
    </row>
    <row r="2792">
      <c r="A2792" s="99">
        <v>2791.0</v>
      </c>
      <c r="B2792" s="15"/>
      <c r="C2792" s="15"/>
      <c r="D2792" s="105">
        <v>1.0</v>
      </c>
      <c r="E2792" s="102">
        <v>48.0</v>
      </c>
      <c r="F2792" s="107">
        <v>445.0</v>
      </c>
      <c r="G2792" s="15" t="str">
        <f t="shared" si="1"/>
        <v>48445</v>
      </c>
      <c r="H2792" s="23" t="s">
        <v>2156</v>
      </c>
      <c r="I2792" s="23" t="s">
        <v>113</v>
      </c>
      <c r="J2792" s="23" t="s">
        <v>219</v>
      </c>
      <c r="K2792" s="23" t="str">
        <f t="shared" si="44"/>
        <v>Terry, TX</v>
      </c>
      <c r="L2792" s="23">
        <v>6.0</v>
      </c>
      <c r="M2792" s="23" t="s">
        <v>63</v>
      </c>
      <c r="N2792" s="23">
        <v>1.0</v>
      </c>
      <c r="O2792" s="23">
        <v>1.0</v>
      </c>
      <c r="P2792" s="23" t="s">
        <v>63</v>
      </c>
      <c r="Q2792" s="23">
        <v>3.0</v>
      </c>
      <c r="R2792" s="23">
        <v>1.0</v>
      </c>
      <c r="S2792" s="23" t="s">
        <v>63</v>
      </c>
      <c r="T2792" s="32" t="s">
        <v>63</v>
      </c>
      <c r="U2792" s="23">
        <v>59.0</v>
      </c>
      <c r="V2792" s="23" t="s">
        <v>63</v>
      </c>
      <c r="W2792" s="23" t="s">
        <v>63</v>
      </c>
      <c r="X2792" s="23" t="s">
        <v>63</v>
      </c>
      <c r="Y2792" s="35">
        <v>19.0</v>
      </c>
      <c r="Z2792" s="32" t="s">
        <v>63</v>
      </c>
      <c r="AA2792" s="38"/>
      <c r="AB2792" s="38"/>
      <c r="AC2792" s="38"/>
      <c r="AD2792" s="38"/>
      <c r="AE2792" s="38"/>
      <c r="AF2792" s="38"/>
      <c r="AG2792" s="38"/>
      <c r="AH2792" s="38"/>
      <c r="AI2792" s="38"/>
      <c r="AJ2792" s="38"/>
      <c r="AK2792" s="38"/>
    </row>
    <row r="2793">
      <c r="A2793" s="99">
        <v>2792.0</v>
      </c>
      <c r="B2793" s="15"/>
      <c r="C2793" s="15"/>
      <c r="D2793" s="105">
        <v>1.0</v>
      </c>
      <c r="E2793" s="102">
        <v>48.0</v>
      </c>
      <c r="F2793" s="107">
        <v>447.0</v>
      </c>
      <c r="G2793" s="15" t="str">
        <f t="shared" si="1"/>
        <v>48447</v>
      </c>
      <c r="H2793" s="23" t="s">
        <v>2157</v>
      </c>
      <c r="I2793" s="23" t="s">
        <v>113</v>
      </c>
      <c r="J2793" s="23" t="s">
        <v>219</v>
      </c>
      <c r="K2793" s="112" t="str">
        <f t="shared" si="44"/>
        <v>Throckmorton, TX</v>
      </c>
      <c r="L2793" s="23">
        <v>1.0</v>
      </c>
      <c r="M2793" s="23" t="s">
        <v>63</v>
      </c>
      <c r="N2793" s="23">
        <v>0.0</v>
      </c>
      <c r="O2793" s="23">
        <v>0.0</v>
      </c>
      <c r="P2793" s="23" t="s">
        <v>63</v>
      </c>
      <c r="Q2793" s="23" t="s">
        <v>63</v>
      </c>
      <c r="R2793" s="23">
        <v>0.0</v>
      </c>
      <c r="S2793" s="23" t="s">
        <v>63</v>
      </c>
      <c r="T2793" s="32" t="s">
        <v>63</v>
      </c>
      <c r="U2793" s="23" t="s">
        <v>63</v>
      </c>
      <c r="V2793" s="23" t="s">
        <v>63</v>
      </c>
      <c r="W2793" s="23" t="s">
        <v>63</v>
      </c>
      <c r="X2793" s="23" t="s">
        <v>63</v>
      </c>
      <c r="Y2793" s="35">
        <v>7.0</v>
      </c>
      <c r="Z2793" s="32" t="s">
        <v>63</v>
      </c>
      <c r="AA2793" s="38"/>
      <c r="AB2793" s="38"/>
      <c r="AC2793" s="38"/>
      <c r="AD2793" s="38"/>
      <c r="AE2793" s="38"/>
      <c r="AF2793" s="38"/>
      <c r="AG2793" s="38"/>
      <c r="AH2793" s="38"/>
      <c r="AI2793" s="38"/>
      <c r="AJ2793" s="38"/>
      <c r="AK2793" s="38"/>
    </row>
    <row r="2794">
      <c r="A2794" s="99">
        <v>2793.0</v>
      </c>
      <c r="B2794" s="15"/>
      <c r="C2794" s="15"/>
      <c r="D2794" s="105">
        <v>1.0</v>
      </c>
      <c r="E2794" s="102">
        <v>48.0</v>
      </c>
      <c r="F2794" s="107">
        <v>449.0</v>
      </c>
      <c r="G2794" s="15" t="str">
        <f t="shared" si="1"/>
        <v>48449</v>
      </c>
      <c r="H2794" s="23" t="s">
        <v>2159</v>
      </c>
      <c r="I2794" s="23" t="s">
        <v>113</v>
      </c>
      <c r="J2794" s="23" t="s">
        <v>219</v>
      </c>
      <c r="K2794" s="23" t="str">
        <f t="shared" si="44"/>
        <v>Titus, TX</v>
      </c>
      <c r="L2794" s="23">
        <v>19.0</v>
      </c>
      <c r="M2794" s="23" t="s">
        <v>63</v>
      </c>
      <c r="N2794" s="23">
        <v>10.0</v>
      </c>
      <c r="O2794" s="23">
        <v>1.0</v>
      </c>
      <c r="P2794" s="23" t="s">
        <v>63</v>
      </c>
      <c r="Q2794" s="23">
        <v>6.0</v>
      </c>
      <c r="R2794" s="23">
        <v>5.0</v>
      </c>
      <c r="S2794" s="23" t="s">
        <v>63</v>
      </c>
      <c r="T2794" s="32" t="s">
        <v>63</v>
      </c>
      <c r="U2794" s="23">
        <v>75.0</v>
      </c>
      <c r="V2794" s="23" t="s">
        <v>63</v>
      </c>
      <c r="W2794" s="23" t="s">
        <v>63</v>
      </c>
      <c r="X2794" s="23" t="s">
        <v>63</v>
      </c>
      <c r="Y2794" s="35">
        <v>47.0</v>
      </c>
      <c r="Z2794" s="32" t="s">
        <v>63</v>
      </c>
      <c r="AA2794" s="38"/>
      <c r="AB2794" s="38"/>
      <c r="AC2794" s="38"/>
      <c r="AD2794" s="38"/>
      <c r="AE2794" s="38"/>
      <c r="AF2794" s="38"/>
      <c r="AG2794" s="38"/>
      <c r="AH2794" s="38"/>
      <c r="AI2794" s="38"/>
      <c r="AJ2794" s="38"/>
      <c r="AK2794" s="38"/>
    </row>
    <row r="2795">
      <c r="A2795" s="99">
        <v>2794.0</v>
      </c>
      <c r="B2795" s="15"/>
      <c r="C2795" s="15"/>
      <c r="D2795" s="105">
        <v>1.0</v>
      </c>
      <c r="E2795" s="102">
        <v>48.0</v>
      </c>
      <c r="F2795" s="107">
        <v>451.0</v>
      </c>
      <c r="G2795" s="15" t="str">
        <f t="shared" si="1"/>
        <v>48451</v>
      </c>
      <c r="H2795" s="23" t="s">
        <v>2160</v>
      </c>
      <c r="I2795" s="23" t="s">
        <v>113</v>
      </c>
      <c r="J2795" s="23" t="s">
        <v>219</v>
      </c>
      <c r="K2795" s="23" t="str">
        <f t="shared" si="44"/>
        <v>Tom Green, TX</v>
      </c>
      <c r="L2795" s="23">
        <v>101.0</v>
      </c>
      <c r="M2795" s="23" t="s">
        <v>63</v>
      </c>
      <c r="N2795" s="23">
        <v>27.0</v>
      </c>
      <c r="O2795" s="23">
        <v>56.0</v>
      </c>
      <c r="P2795" s="23" t="s">
        <v>63</v>
      </c>
      <c r="Q2795" s="23">
        <v>55.0</v>
      </c>
      <c r="R2795" s="23">
        <v>37.0</v>
      </c>
      <c r="S2795" s="23" t="s">
        <v>63</v>
      </c>
      <c r="T2795" s="32" t="s">
        <v>63</v>
      </c>
      <c r="U2795" s="23">
        <v>392.0</v>
      </c>
      <c r="V2795" s="23" t="s">
        <v>63</v>
      </c>
      <c r="W2795" s="23" t="s">
        <v>63</v>
      </c>
      <c r="X2795" s="23" t="s">
        <v>63</v>
      </c>
      <c r="Y2795" s="35">
        <v>100.0</v>
      </c>
      <c r="Z2795" s="32" t="s">
        <v>63</v>
      </c>
      <c r="AA2795" s="38"/>
      <c r="AB2795" s="38"/>
      <c r="AC2795" s="38"/>
      <c r="AD2795" s="38"/>
      <c r="AE2795" s="38"/>
      <c r="AF2795" s="38"/>
      <c r="AG2795" s="38"/>
      <c r="AH2795" s="38"/>
      <c r="AI2795" s="38"/>
      <c r="AJ2795" s="38"/>
      <c r="AK2795" s="38"/>
    </row>
    <row r="2796">
      <c r="A2796" s="99">
        <v>2795.0</v>
      </c>
      <c r="B2796" s="15"/>
      <c r="C2796" s="15"/>
      <c r="D2796" s="105">
        <v>1.0</v>
      </c>
      <c r="E2796" s="102">
        <v>48.0</v>
      </c>
      <c r="F2796" s="107">
        <v>453.0</v>
      </c>
      <c r="G2796" s="15" t="str">
        <f t="shared" si="1"/>
        <v>48453</v>
      </c>
      <c r="H2796" s="23" t="s">
        <v>355</v>
      </c>
      <c r="I2796" s="23" t="s">
        <v>113</v>
      </c>
      <c r="J2796" s="23" t="s">
        <v>219</v>
      </c>
      <c r="K2796" s="23" t="str">
        <f t="shared" si="44"/>
        <v>Travis, TX</v>
      </c>
      <c r="L2796" s="23">
        <v>442.0</v>
      </c>
      <c r="M2796" s="23" t="s">
        <v>63</v>
      </c>
      <c r="N2796" s="23">
        <v>157.0</v>
      </c>
      <c r="O2796" s="23">
        <v>181.0</v>
      </c>
      <c r="P2796" s="23" t="s">
        <v>63</v>
      </c>
      <c r="Q2796" s="23">
        <v>220.0</v>
      </c>
      <c r="R2796" s="23">
        <v>101.0</v>
      </c>
      <c r="S2796" s="23" t="s">
        <v>63</v>
      </c>
      <c r="T2796" s="32" t="s">
        <v>63</v>
      </c>
      <c r="U2796" s="23">
        <v>931.0</v>
      </c>
      <c r="V2796" s="23" t="s">
        <v>63</v>
      </c>
      <c r="W2796" s="23" t="s">
        <v>63</v>
      </c>
      <c r="X2796" s="23" t="s">
        <v>63</v>
      </c>
      <c r="Y2796" s="35">
        <v>424.0</v>
      </c>
      <c r="Z2796" s="32" t="s">
        <v>63</v>
      </c>
      <c r="AA2796" s="38"/>
      <c r="AB2796" s="38"/>
      <c r="AC2796" s="38"/>
      <c r="AD2796" s="38"/>
      <c r="AE2796" s="38"/>
      <c r="AF2796" s="38"/>
      <c r="AG2796" s="38"/>
      <c r="AH2796" s="38"/>
      <c r="AI2796" s="38"/>
      <c r="AJ2796" s="38"/>
      <c r="AK2796" s="38"/>
    </row>
    <row r="2797">
      <c r="A2797" s="99">
        <v>2796.0</v>
      </c>
      <c r="B2797" s="15"/>
      <c r="C2797" s="15"/>
      <c r="D2797" s="105">
        <v>1.0</v>
      </c>
      <c r="E2797" s="102">
        <v>48.0</v>
      </c>
      <c r="F2797" s="107">
        <v>455.0</v>
      </c>
      <c r="G2797" s="15" t="str">
        <f t="shared" si="1"/>
        <v>48455</v>
      </c>
      <c r="H2797" s="23" t="s">
        <v>376</v>
      </c>
      <c r="I2797" s="23" t="s">
        <v>113</v>
      </c>
      <c r="J2797" s="23" t="s">
        <v>219</v>
      </c>
      <c r="K2797" s="23" t="str">
        <f t="shared" si="44"/>
        <v>Trinity, TX</v>
      </c>
      <c r="L2797" s="23">
        <v>24.0</v>
      </c>
      <c r="M2797" s="23" t="s">
        <v>63</v>
      </c>
      <c r="N2797" s="23">
        <v>2.0</v>
      </c>
      <c r="O2797" s="23">
        <v>19.0</v>
      </c>
      <c r="P2797" s="23" t="s">
        <v>63</v>
      </c>
      <c r="Q2797" s="23">
        <v>5.0</v>
      </c>
      <c r="R2797" s="23">
        <v>11.0</v>
      </c>
      <c r="S2797" s="23" t="s">
        <v>63</v>
      </c>
      <c r="T2797" s="32" t="s">
        <v>63</v>
      </c>
      <c r="U2797" s="23">
        <v>43.0</v>
      </c>
      <c r="V2797" s="23" t="s">
        <v>63</v>
      </c>
      <c r="W2797" s="23" t="s">
        <v>63</v>
      </c>
      <c r="X2797" s="23" t="s">
        <v>63</v>
      </c>
      <c r="Y2797" s="35">
        <v>40.0</v>
      </c>
      <c r="Z2797" s="32" t="s">
        <v>63</v>
      </c>
      <c r="AA2797" s="38"/>
      <c r="AB2797" s="38"/>
      <c r="AC2797" s="38"/>
      <c r="AD2797" s="38"/>
      <c r="AE2797" s="38"/>
      <c r="AF2797" s="38"/>
      <c r="AG2797" s="38"/>
      <c r="AH2797" s="38"/>
      <c r="AI2797" s="38"/>
      <c r="AJ2797" s="38"/>
      <c r="AK2797" s="38"/>
    </row>
    <row r="2798">
      <c r="A2798" s="99">
        <v>2797.0</v>
      </c>
      <c r="B2798" s="15"/>
      <c r="C2798" s="15"/>
      <c r="D2798" s="105">
        <v>1.0</v>
      </c>
      <c r="E2798" s="102">
        <v>48.0</v>
      </c>
      <c r="F2798" s="107">
        <v>457.0</v>
      </c>
      <c r="G2798" s="15" t="str">
        <f t="shared" si="1"/>
        <v>48457</v>
      </c>
      <c r="H2798" s="23" t="s">
        <v>2161</v>
      </c>
      <c r="I2798" s="23" t="s">
        <v>113</v>
      </c>
      <c r="J2798" s="23" t="s">
        <v>219</v>
      </c>
      <c r="K2798" s="23" t="str">
        <f t="shared" si="44"/>
        <v>Tyler, TX</v>
      </c>
      <c r="L2798" s="23">
        <v>46.0</v>
      </c>
      <c r="M2798" s="23" t="s">
        <v>63</v>
      </c>
      <c r="N2798" s="23">
        <v>6.0</v>
      </c>
      <c r="O2798" s="23">
        <v>30.0</v>
      </c>
      <c r="P2798" s="23" t="s">
        <v>63</v>
      </c>
      <c r="Q2798" s="23">
        <v>6.0</v>
      </c>
      <c r="R2798" s="23">
        <v>10.0</v>
      </c>
      <c r="S2798" s="23" t="s">
        <v>63</v>
      </c>
      <c r="T2798" s="32" t="s">
        <v>63</v>
      </c>
      <c r="U2798" s="23">
        <v>59.0</v>
      </c>
      <c r="V2798" s="23" t="s">
        <v>63</v>
      </c>
      <c r="W2798" s="23" t="s">
        <v>63</v>
      </c>
      <c r="X2798" s="23" t="s">
        <v>63</v>
      </c>
      <c r="Y2798" s="35">
        <v>34.0</v>
      </c>
      <c r="Z2798" s="32" t="s">
        <v>63</v>
      </c>
      <c r="AA2798" s="38"/>
      <c r="AB2798" s="38"/>
      <c r="AC2798" s="38"/>
      <c r="AD2798" s="38"/>
      <c r="AE2798" s="38"/>
      <c r="AF2798" s="38"/>
      <c r="AG2798" s="38"/>
      <c r="AH2798" s="38"/>
      <c r="AI2798" s="38"/>
      <c r="AJ2798" s="38"/>
      <c r="AK2798" s="38"/>
    </row>
    <row r="2799">
      <c r="A2799" s="99">
        <v>2798.0</v>
      </c>
      <c r="B2799" s="15"/>
      <c r="C2799" s="15"/>
      <c r="D2799" s="105">
        <v>1.0</v>
      </c>
      <c r="E2799" s="102">
        <v>48.0</v>
      </c>
      <c r="F2799" s="107">
        <v>459.0</v>
      </c>
      <c r="G2799" s="15" t="str">
        <f t="shared" si="1"/>
        <v>48459</v>
      </c>
      <c r="H2799" s="23" t="s">
        <v>2162</v>
      </c>
      <c r="I2799" s="23" t="s">
        <v>113</v>
      </c>
      <c r="J2799" s="23" t="s">
        <v>219</v>
      </c>
      <c r="K2799" s="23" t="str">
        <f t="shared" si="44"/>
        <v>Upshur, TX</v>
      </c>
      <c r="L2799" s="23">
        <v>113.0</v>
      </c>
      <c r="M2799" s="23" t="s">
        <v>63</v>
      </c>
      <c r="N2799" s="23">
        <v>49.0</v>
      </c>
      <c r="O2799" s="23">
        <v>47.0</v>
      </c>
      <c r="P2799" s="23" t="s">
        <v>63</v>
      </c>
      <c r="Q2799" s="23">
        <v>15.0</v>
      </c>
      <c r="R2799" s="23">
        <v>9.0</v>
      </c>
      <c r="S2799" s="23" t="s">
        <v>63</v>
      </c>
      <c r="T2799" s="32" t="s">
        <v>63</v>
      </c>
      <c r="U2799" s="23">
        <v>100.0</v>
      </c>
      <c r="V2799" s="23" t="s">
        <v>63</v>
      </c>
      <c r="W2799" s="23" t="s">
        <v>63</v>
      </c>
      <c r="X2799" s="23" t="s">
        <v>63</v>
      </c>
      <c r="Y2799" s="35">
        <v>58.0</v>
      </c>
      <c r="Z2799" s="32" t="s">
        <v>63</v>
      </c>
      <c r="AA2799" s="38"/>
      <c r="AB2799" s="38"/>
      <c r="AC2799" s="38"/>
      <c r="AD2799" s="38"/>
      <c r="AE2799" s="38"/>
      <c r="AF2799" s="38"/>
      <c r="AG2799" s="38"/>
      <c r="AH2799" s="38"/>
      <c r="AI2799" s="38"/>
      <c r="AJ2799" s="38"/>
      <c r="AK2799" s="38"/>
    </row>
    <row r="2800">
      <c r="A2800" s="99">
        <v>2799.0</v>
      </c>
      <c r="B2800" s="15"/>
      <c r="C2800" s="15"/>
      <c r="D2800" s="105">
        <v>1.0</v>
      </c>
      <c r="E2800" s="102">
        <v>48.0</v>
      </c>
      <c r="F2800" s="107">
        <v>461.0</v>
      </c>
      <c r="G2800" s="15" t="str">
        <f t="shared" si="1"/>
        <v>48461</v>
      </c>
      <c r="H2800" s="23" t="s">
        <v>2164</v>
      </c>
      <c r="I2800" s="23" t="s">
        <v>113</v>
      </c>
      <c r="J2800" s="23" t="s">
        <v>219</v>
      </c>
      <c r="K2800" s="23" t="str">
        <f t="shared" si="44"/>
        <v>Upton, TX</v>
      </c>
      <c r="L2800" s="23">
        <v>12.0</v>
      </c>
      <c r="M2800" s="23" t="s">
        <v>63</v>
      </c>
      <c r="N2800" s="23">
        <v>1.0</v>
      </c>
      <c r="O2800" s="23">
        <v>11.0</v>
      </c>
      <c r="P2800" s="23" t="s">
        <v>63</v>
      </c>
      <c r="Q2800" s="23" t="s">
        <v>63</v>
      </c>
      <c r="R2800" s="23" t="s">
        <v>63</v>
      </c>
      <c r="S2800" s="23" t="s">
        <v>63</v>
      </c>
      <c r="T2800" s="32" t="s">
        <v>63</v>
      </c>
      <c r="U2800" s="23" t="s">
        <v>63</v>
      </c>
      <c r="V2800" s="23" t="s">
        <v>63</v>
      </c>
      <c r="W2800" s="23" t="s">
        <v>63</v>
      </c>
      <c r="X2800" s="23" t="s">
        <v>63</v>
      </c>
      <c r="Y2800" s="35">
        <v>4.0</v>
      </c>
      <c r="Z2800" s="32" t="s">
        <v>63</v>
      </c>
      <c r="AA2800" s="38"/>
      <c r="AB2800" s="38"/>
      <c r="AC2800" s="38"/>
      <c r="AD2800" s="38"/>
      <c r="AE2800" s="38"/>
      <c r="AF2800" s="38"/>
      <c r="AG2800" s="38"/>
      <c r="AH2800" s="38"/>
      <c r="AI2800" s="38"/>
      <c r="AJ2800" s="38"/>
      <c r="AK2800" s="38"/>
    </row>
    <row r="2801">
      <c r="A2801" s="99">
        <v>2800.0</v>
      </c>
      <c r="B2801" s="15"/>
      <c r="C2801" s="15"/>
      <c r="D2801" s="105">
        <v>1.0</v>
      </c>
      <c r="E2801" s="102">
        <v>48.0</v>
      </c>
      <c r="F2801" s="107">
        <v>463.0</v>
      </c>
      <c r="G2801" s="15" t="str">
        <f t="shared" si="1"/>
        <v>48463</v>
      </c>
      <c r="H2801" s="23" t="s">
        <v>2166</v>
      </c>
      <c r="I2801" s="23" t="s">
        <v>113</v>
      </c>
      <c r="J2801" s="23" t="s">
        <v>219</v>
      </c>
      <c r="K2801" s="23" t="str">
        <f t="shared" si="44"/>
        <v>Uvalde, TX</v>
      </c>
      <c r="L2801" s="23">
        <v>45.0</v>
      </c>
      <c r="M2801" s="23" t="s">
        <v>63</v>
      </c>
      <c r="N2801" s="23">
        <v>14.0</v>
      </c>
      <c r="O2801" s="23">
        <v>18.0</v>
      </c>
      <c r="P2801" s="23" t="s">
        <v>63</v>
      </c>
      <c r="Q2801" s="23">
        <v>5.0</v>
      </c>
      <c r="R2801" s="23">
        <v>3.0</v>
      </c>
      <c r="S2801" s="23" t="s">
        <v>63</v>
      </c>
      <c r="T2801" s="32" t="s">
        <v>63</v>
      </c>
      <c r="U2801" s="23">
        <v>96.0</v>
      </c>
      <c r="V2801" s="23" t="s">
        <v>63</v>
      </c>
      <c r="W2801" s="23" t="s">
        <v>63</v>
      </c>
      <c r="X2801" s="23" t="s">
        <v>63</v>
      </c>
      <c r="Y2801" s="35">
        <v>39.0</v>
      </c>
      <c r="Z2801" s="32" t="s">
        <v>63</v>
      </c>
      <c r="AA2801" s="38"/>
      <c r="AB2801" s="38"/>
      <c r="AC2801" s="38"/>
      <c r="AD2801" s="38"/>
      <c r="AE2801" s="38"/>
      <c r="AF2801" s="38"/>
      <c r="AG2801" s="38"/>
      <c r="AH2801" s="38"/>
      <c r="AI2801" s="38"/>
      <c r="AJ2801" s="38"/>
      <c r="AK2801" s="38"/>
    </row>
    <row r="2802">
      <c r="A2802" s="99">
        <v>2801.0</v>
      </c>
      <c r="B2802" s="15"/>
      <c r="C2802" s="15"/>
      <c r="D2802" s="105">
        <v>1.0</v>
      </c>
      <c r="E2802" s="102">
        <v>48.0</v>
      </c>
      <c r="F2802" s="107">
        <v>465.0</v>
      </c>
      <c r="G2802" s="15" t="str">
        <f t="shared" si="1"/>
        <v>48465</v>
      </c>
      <c r="H2802" s="23" t="s">
        <v>2167</v>
      </c>
      <c r="I2802" s="23" t="s">
        <v>113</v>
      </c>
      <c r="J2802" s="23" t="s">
        <v>219</v>
      </c>
      <c r="K2802" s="23" t="str">
        <f t="shared" si="44"/>
        <v>Val Verde, TX</v>
      </c>
      <c r="L2802" s="23">
        <v>76.0</v>
      </c>
      <c r="M2802" s="23" t="s">
        <v>63</v>
      </c>
      <c r="N2802" s="23">
        <v>34.0</v>
      </c>
      <c r="O2802" s="23">
        <v>29.0</v>
      </c>
      <c r="P2802" s="23" t="s">
        <v>63</v>
      </c>
      <c r="Q2802" s="23">
        <v>4.0</v>
      </c>
      <c r="R2802" s="23">
        <v>11.0</v>
      </c>
      <c r="S2802" s="23" t="s">
        <v>63</v>
      </c>
      <c r="T2802" s="32" t="s">
        <v>63</v>
      </c>
      <c r="U2802" s="23">
        <v>153.0</v>
      </c>
      <c r="V2802" s="23" t="s">
        <v>63</v>
      </c>
      <c r="W2802" s="23" t="s">
        <v>63</v>
      </c>
      <c r="X2802" s="23" t="s">
        <v>63</v>
      </c>
      <c r="Y2802" s="35">
        <v>26.0</v>
      </c>
      <c r="Z2802" s="32" t="s">
        <v>63</v>
      </c>
      <c r="AA2802" s="38"/>
      <c r="AB2802" s="38"/>
      <c r="AC2802" s="38"/>
      <c r="AD2802" s="38"/>
      <c r="AE2802" s="38"/>
      <c r="AF2802" s="38"/>
      <c r="AG2802" s="38"/>
      <c r="AH2802" s="38"/>
      <c r="AI2802" s="38"/>
      <c r="AJ2802" s="38"/>
      <c r="AK2802" s="38"/>
    </row>
    <row r="2803">
      <c r="A2803" s="99">
        <v>2802.0</v>
      </c>
      <c r="B2803" s="15"/>
      <c r="C2803" s="15"/>
      <c r="D2803" s="105">
        <v>1.0</v>
      </c>
      <c r="E2803" s="102">
        <v>48.0</v>
      </c>
      <c r="F2803" s="107">
        <v>467.0</v>
      </c>
      <c r="G2803" s="15" t="str">
        <f t="shared" si="1"/>
        <v>48467</v>
      </c>
      <c r="H2803" s="23" t="s">
        <v>2168</v>
      </c>
      <c r="I2803" s="23" t="s">
        <v>113</v>
      </c>
      <c r="J2803" s="23" t="s">
        <v>219</v>
      </c>
      <c r="K2803" s="23" t="str">
        <f t="shared" si="44"/>
        <v>Van Zandt, TX</v>
      </c>
      <c r="L2803" s="23">
        <v>222.0</v>
      </c>
      <c r="M2803" s="23" t="s">
        <v>63</v>
      </c>
      <c r="N2803" s="23">
        <v>91.0</v>
      </c>
      <c r="O2803" s="23">
        <v>85.0</v>
      </c>
      <c r="P2803" s="23" t="s">
        <v>63</v>
      </c>
      <c r="Q2803" s="23">
        <v>21.0</v>
      </c>
      <c r="R2803" s="23">
        <v>27.0</v>
      </c>
      <c r="S2803" s="23" t="s">
        <v>63</v>
      </c>
      <c r="T2803" s="32" t="s">
        <v>63</v>
      </c>
      <c r="U2803" s="23">
        <v>106.0</v>
      </c>
      <c r="V2803" s="23" t="s">
        <v>63</v>
      </c>
      <c r="W2803" s="23" t="s">
        <v>63</v>
      </c>
      <c r="X2803" s="23" t="s">
        <v>63</v>
      </c>
      <c r="Y2803" s="35">
        <v>69.0</v>
      </c>
      <c r="Z2803" s="32" t="s">
        <v>63</v>
      </c>
      <c r="AA2803" s="38"/>
      <c r="AB2803" s="38"/>
      <c r="AC2803" s="38"/>
      <c r="AD2803" s="38"/>
      <c r="AE2803" s="38"/>
      <c r="AF2803" s="38"/>
      <c r="AG2803" s="38"/>
      <c r="AH2803" s="38"/>
      <c r="AI2803" s="38"/>
      <c r="AJ2803" s="38"/>
      <c r="AK2803" s="38"/>
    </row>
    <row r="2804">
      <c r="A2804" s="99">
        <v>2803.0</v>
      </c>
      <c r="B2804" s="15"/>
      <c r="C2804" s="15"/>
      <c r="D2804" s="105">
        <v>1.0</v>
      </c>
      <c r="E2804" s="102">
        <v>48.0</v>
      </c>
      <c r="F2804" s="107">
        <v>469.0</v>
      </c>
      <c r="G2804" s="15" t="str">
        <f t="shared" si="1"/>
        <v>48469</v>
      </c>
      <c r="H2804" s="23" t="s">
        <v>2169</v>
      </c>
      <c r="I2804" s="23" t="s">
        <v>113</v>
      </c>
      <c r="J2804" s="23" t="s">
        <v>219</v>
      </c>
      <c r="K2804" s="23" t="str">
        <f t="shared" si="44"/>
        <v>Victoria, TX</v>
      </c>
      <c r="L2804" s="23">
        <v>204.0</v>
      </c>
      <c r="M2804" s="23" t="s">
        <v>63</v>
      </c>
      <c r="N2804" s="23">
        <v>86.0</v>
      </c>
      <c r="O2804" s="23">
        <v>63.0</v>
      </c>
      <c r="P2804" s="23" t="s">
        <v>63</v>
      </c>
      <c r="Q2804" s="23">
        <v>15.0</v>
      </c>
      <c r="R2804" s="23">
        <v>24.0</v>
      </c>
      <c r="S2804" s="23" t="s">
        <v>63</v>
      </c>
      <c r="T2804" s="32" t="s">
        <v>63</v>
      </c>
      <c r="U2804" s="23">
        <v>249.0</v>
      </c>
      <c r="V2804" s="23" t="s">
        <v>63</v>
      </c>
      <c r="W2804" s="23" t="s">
        <v>63</v>
      </c>
      <c r="X2804" s="23" t="s">
        <v>63</v>
      </c>
      <c r="Y2804" s="35">
        <v>72.0</v>
      </c>
      <c r="Z2804" s="32" t="s">
        <v>63</v>
      </c>
      <c r="AA2804" s="38"/>
      <c r="AB2804" s="38"/>
      <c r="AC2804" s="38"/>
      <c r="AD2804" s="38"/>
      <c r="AE2804" s="38"/>
      <c r="AF2804" s="38"/>
      <c r="AG2804" s="38"/>
      <c r="AH2804" s="38"/>
      <c r="AI2804" s="38"/>
      <c r="AJ2804" s="38"/>
      <c r="AK2804" s="38"/>
    </row>
    <row r="2805">
      <c r="A2805" s="99">
        <v>2804.0</v>
      </c>
      <c r="B2805" s="15"/>
      <c r="C2805" s="15"/>
      <c r="D2805" s="105">
        <v>1.0</v>
      </c>
      <c r="E2805" s="102">
        <v>48.0</v>
      </c>
      <c r="F2805" s="107">
        <v>471.0</v>
      </c>
      <c r="G2805" s="15" t="str">
        <f t="shared" si="1"/>
        <v>48471</v>
      </c>
      <c r="H2805" s="23" t="s">
        <v>175</v>
      </c>
      <c r="I2805" s="23" t="s">
        <v>113</v>
      </c>
      <c r="J2805" s="23" t="s">
        <v>219</v>
      </c>
      <c r="K2805" s="23" t="str">
        <f t="shared" si="44"/>
        <v>Walker, TX</v>
      </c>
      <c r="L2805" s="23">
        <v>62.0</v>
      </c>
      <c r="M2805" s="23" t="s">
        <v>63</v>
      </c>
      <c r="N2805" s="23">
        <v>22.0</v>
      </c>
      <c r="O2805" s="23">
        <v>32.0</v>
      </c>
      <c r="P2805" s="23" t="s">
        <v>63</v>
      </c>
      <c r="Q2805" s="23">
        <v>12.0</v>
      </c>
      <c r="R2805" s="23">
        <v>2.0</v>
      </c>
      <c r="S2805" s="23" t="s">
        <v>63</v>
      </c>
      <c r="T2805" s="32" t="s">
        <v>63</v>
      </c>
      <c r="U2805" s="23">
        <v>49.0</v>
      </c>
      <c r="V2805" s="23" t="s">
        <v>63</v>
      </c>
      <c r="W2805" s="23" t="s">
        <v>63</v>
      </c>
      <c r="X2805" s="23" t="s">
        <v>63</v>
      </c>
      <c r="Y2805" s="35">
        <v>56.0</v>
      </c>
      <c r="Z2805" s="32" t="s">
        <v>63</v>
      </c>
      <c r="AA2805" s="38"/>
      <c r="AB2805" s="38"/>
      <c r="AC2805" s="38"/>
      <c r="AD2805" s="38"/>
      <c r="AE2805" s="38"/>
      <c r="AF2805" s="38"/>
      <c r="AG2805" s="38"/>
      <c r="AH2805" s="38"/>
      <c r="AI2805" s="38"/>
      <c r="AJ2805" s="38"/>
      <c r="AK2805" s="38"/>
    </row>
    <row r="2806">
      <c r="A2806" s="99">
        <v>2805.0</v>
      </c>
      <c r="B2806" s="15"/>
      <c r="C2806" s="15"/>
      <c r="D2806" s="105">
        <v>1.0</v>
      </c>
      <c r="E2806" s="102">
        <v>48.0</v>
      </c>
      <c r="F2806" s="107">
        <v>473.0</v>
      </c>
      <c r="G2806" s="15" t="str">
        <f t="shared" si="1"/>
        <v>48473</v>
      </c>
      <c r="H2806" s="23" t="s">
        <v>2170</v>
      </c>
      <c r="I2806" s="23" t="s">
        <v>113</v>
      </c>
      <c r="J2806" s="23" t="s">
        <v>219</v>
      </c>
      <c r="K2806" s="23" t="str">
        <f t="shared" si="44"/>
        <v>Waller, TX</v>
      </c>
      <c r="L2806" s="23">
        <v>43.0</v>
      </c>
      <c r="M2806" s="23" t="s">
        <v>63</v>
      </c>
      <c r="N2806" s="23">
        <v>20.0</v>
      </c>
      <c r="O2806" s="23">
        <v>9.0</v>
      </c>
      <c r="P2806" s="23" t="s">
        <v>63</v>
      </c>
      <c r="Q2806" s="23">
        <v>16.0</v>
      </c>
      <c r="R2806" s="23">
        <v>2.0</v>
      </c>
      <c r="S2806" s="23" t="s">
        <v>63</v>
      </c>
      <c r="T2806" s="32" t="s">
        <v>63</v>
      </c>
      <c r="U2806" s="23">
        <v>35.0</v>
      </c>
      <c r="V2806" s="23" t="s">
        <v>63</v>
      </c>
      <c r="W2806" s="23" t="s">
        <v>63</v>
      </c>
      <c r="X2806" s="23" t="s">
        <v>63</v>
      </c>
      <c r="Y2806" s="35">
        <v>35.0</v>
      </c>
      <c r="Z2806" s="32" t="s">
        <v>63</v>
      </c>
      <c r="AA2806" s="38"/>
      <c r="AB2806" s="38"/>
      <c r="AC2806" s="38"/>
      <c r="AD2806" s="38"/>
      <c r="AE2806" s="38"/>
      <c r="AF2806" s="38"/>
      <c r="AG2806" s="38"/>
      <c r="AH2806" s="38"/>
      <c r="AI2806" s="38"/>
      <c r="AJ2806" s="38"/>
      <c r="AK2806" s="38"/>
    </row>
    <row r="2807">
      <c r="A2807" s="99">
        <v>2806.0</v>
      </c>
      <c r="B2807" s="15"/>
      <c r="C2807" s="15"/>
      <c r="D2807" s="105">
        <v>1.0</v>
      </c>
      <c r="E2807" s="102">
        <v>48.0</v>
      </c>
      <c r="F2807" s="107">
        <v>475.0</v>
      </c>
      <c r="G2807" s="15" t="str">
        <f t="shared" si="1"/>
        <v>48475</v>
      </c>
      <c r="H2807" s="23" t="s">
        <v>1669</v>
      </c>
      <c r="I2807" s="23" t="s">
        <v>113</v>
      </c>
      <c r="J2807" s="23" t="s">
        <v>219</v>
      </c>
      <c r="K2807" s="23" t="str">
        <f t="shared" si="44"/>
        <v>Ward, TX</v>
      </c>
      <c r="L2807" s="23">
        <v>52.0</v>
      </c>
      <c r="M2807" s="23" t="s">
        <v>63</v>
      </c>
      <c r="N2807" s="23">
        <v>20.0</v>
      </c>
      <c r="O2807" s="23">
        <v>18.0</v>
      </c>
      <c r="P2807" s="23" t="s">
        <v>63</v>
      </c>
      <c r="Q2807" s="23">
        <v>1.0</v>
      </c>
      <c r="R2807" s="23">
        <v>8.0</v>
      </c>
      <c r="S2807" s="23" t="s">
        <v>63</v>
      </c>
      <c r="T2807" s="32" t="s">
        <v>63</v>
      </c>
      <c r="U2807" s="23">
        <v>28.0</v>
      </c>
      <c r="V2807" s="23" t="s">
        <v>63</v>
      </c>
      <c r="W2807" s="23" t="s">
        <v>63</v>
      </c>
      <c r="X2807" s="23" t="s">
        <v>63</v>
      </c>
      <c r="Y2807" s="35">
        <v>15.0</v>
      </c>
      <c r="Z2807" s="32" t="s">
        <v>63</v>
      </c>
      <c r="AA2807" s="38"/>
      <c r="AB2807" s="38"/>
      <c r="AC2807" s="38"/>
      <c r="AD2807" s="38"/>
      <c r="AE2807" s="38"/>
      <c r="AF2807" s="38"/>
      <c r="AG2807" s="38"/>
      <c r="AH2807" s="38"/>
      <c r="AI2807" s="38"/>
      <c r="AJ2807" s="38"/>
      <c r="AK2807" s="38"/>
    </row>
    <row r="2808">
      <c r="A2808" s="99">
        <v>2807.0</v>
      </c>
      <c r="B2808" s="15"/>
      <c r="C2808" s="15"/>
      <c r="D2808" s="105">
        <v>1.0</v>
      </c>
      <c r="E2808" s="102">
        <v>48.0</v>
      </c>
      <c r="F2808" s="107">
        <v>477.0</v>
      </c>
      <c r="G2808" s="15" t="str">
        <f t="shared" si="1"/>
        <v>48477</v>
      </c>
      <c r="H2808" s="23" t="s">
        <v>119</v>
      </c>
      <c r="I2808" s="23" t="s">
        <v>113</v>
      </c>
      <c r="J2808" s="23" t="s">
        <v>219</v>
      </c>
      <c r="K2808" s="23" t="str">
        <f t="shared" si="44"/>
        <v>Washington, TX</v>
      </c>
      <c r="L2808" s="23">
        <v>62.0</v>
      </c>
      <c r="M2808" s="23" t="s">
        <v>63</v>
      </c>
      <c r="N2808" s="23">
        <v>15.0</v>
      </c>
      <c r="O2808" s="23">
        <v>38.0</v>
      </c>
      <c r="P2808" s="23" t="s">
        <v>63</v>
      </c>
      <c r="Q2808" s="23">
        <v>9.0</v>
      </c>
      <c r="R2808" s="23">
        <v>5.0</v>
      </c>
      <c r="S2808" s="23" t="s">
        <v>63</v>
      </c>
      <c r="T2808" s="32" t="s">
        <v>63</v>
      </c>
      <c r="U2808" s="23">
        <v>48.0</v>
      </c>
      <c r="V2808" s="23" t="s">
        <v>63</v>
      </c>
      <c r="W2808" s="23" t="s">
        <v>63</v>
      </c>
      <c r="X2808" s="23" t="s">
        <v>63</v>
      </c>
      <c r="Y2808" s="35">
        <v>56.0</v>
      </c>
      <c r="Z2808" s="32" t="s">
        <v>63</v>
      </c>
      <c r="AA2808" s="38"/>
      <c r="AB2808" s="38"/>
      <c r="AC2808" s="38"/>
      <c r="AD2808" s="38"/>
      <c r="AE2808" s="38"/>
      <c r="AF2808" s="38"/>
      <c r="AG2808" s="38"/>
      <c r="AH2808" s="38"/>
      <c r="AI2808" s="38"/>
      <c r="AJ2808" s="38"/>
      <c r="AK2808" s="38"/>
    </row>
    <row r="2809">
      <c r="A2809" s="99">
        <v>2808.0</v>
      </c>
      <c r="B2809" s="15"/>
      <c r="C2809" s="15"/>
      <c r="D2809" s="105">
        <v>1.0</v>
      </c>
      <c r="E2809" s="102">
        <v>48.0</v>
      </c>
      <c r="F2809" s="107">
        <v>479.0</v>
      </c>
      <c r="G2809" s="15" t="str">
        <f t="shared" si="1"/>
        <v>48479</v>
      </c>
      <c r="H2809" s="23" t="s">
        <v>2172</v>
      </c>
      <c r="I2809" s="23" t="s">
        <v>113</v>
      </c>
      <c r="J2809" s="23" t="s">
        <v>219</v>
      </c>
      <c r="K2809" s="23" t="str">
        <f t="shared" si="44"/>
        <v>Webb, TX</v>
      </c>
      <c r="L2809" s="23">
        <v>539.0</v>
      </c>
      <c r="M2809" s="23" t="s">
        <v>63</v>
      </c>
      <c r="N2809" s="23">
        <v>257.0</v>
      </c>
      <c r="O2809" s="23">
        <v>225.0</v>
      </c>
      <c r="P2809" s="23" t="s">
        <v>63</v>
      </c>
      <c r="Q2809" s="23">
        <v>64.0</v>
      </c>
      <c r="R2809" s="23">
        <v>63.0</v>
      </c>
      <c r="S2809" s="23" t="s">
        <v>63</v>
      </c>
      <c r="T2809" s="32" t="s">
        <v>63</v>
      </c>
      <c r="U2809" s="23">
        <v>776.0</v>
      </c>
      <c r="V2809" s="23" t="s">
        <v>63</v>
      </c>
      <c r="W2809" s="23" t="s">
        <v>63</v>
      </c>
      <c r="X2809" s="23" t="s">
        <v>63</v>
      </c>
      <c r="Y2809" s="35">
        <v>66.0</v>
      </c>
      <c r="Z2809" s="32" t="s">
        <v>63</v>
      </c>
      <c r="AA2809" s="38"/>
      <c r="AB2809" s="38"/>
      <c r="AC2809" s="38"/>
      <c r="AD2809" s="38"/>
      <c r="AE2809" s="38"/>
      <c r="AF2809" s="38"/>
      <c r="AG2809" s="38"/>
      <c r="AH2809" s="38"/>
      <c r="AI2809" s="38"/>
      <c r="AJ2809" s="38"/>
      <c r="AK2809" s="38"/>
    </row>
    <row r="2810">
      <c r="A2810" s="99">
        <v>2809.0</v>
      </c>
      <c r="B2810" s="15"/>
      <c r="C2810" s="15"/>
      <c r="D2810" s="105">
        <v>1.0</v>
      </c>
      <c r="E2810" s="102">
        <v>48.0</v>
      </c>
      <c r="F2810" s="107">
        <v>481.0</v>
      </c>
      <c r="G2810" s="15" t="str">
        <f t="shared" si="1"/>
        <v>48481</v>
      </c>
      <c r="H2810" s="23" t="s">
        <v>2173</v>
      </c>
      <c r="I2810" s="23" t="s">
        <v>113</v>
      </c>
      <c r="J2810" s="23" t="s">
        <v>219</v>
      </c>
      <c r="K2810" s="23" t="str">
        <f t="shared" si="44"/>
        <v>Wharton, TX</v>
      </c>
      <c r="L2810" s="23">
        <v>79.0</v>
      </c>
      <c r="M2810" s="23" t="s">
        <v>63</v>
      </c>
      <c r="N2810" s="23">
        <v>30.0</v>
      </c>
      <c r="O2810" s="23">
        <v>45.0</v>
      </c>
      <c r="P2810" s="23" t="s">
        <v>63</v>
      </c>
      <c r="Q2810" s="23">
        <v>10.0</v>
      </c>
      <c r="R2810" s="23">
        <v>5.0</v>
      </c>
      <c r="S2810" s="23" t="s">
        <v>63</v>
      </c>
      <c r="T2810" s="32" t="s">
        <v>63</v>
      </c>
      <c r="U2810" s="23">
        <v>148.0</v>
      </c>
      <c r="V2810" s="23" t="s">
        <v>63</v>
      </c>
      <c r="W2810" s="23" t="s">
        <v>63</v>
      </c>
      <c r="X2810" s="23" t="s">
        <v>63</v>
      </c>
      <c r="Y2810" s="35">
        <v>63.0</v>
      </c>
      <c r="Z2810" s="32" t="s">
        <v>63</v>
      </c>
      <c r="AA2810" s="38"/>
      <c r="AB2810" s="38"/>
      <c r="AC2810" s="38"/>
      <c r="AD2810" s="38"/>
      <c r="AE2810" s="38"/>
      <c r="AF2810" s="38"/>
      <c r="AG2810" s="38"/>
      <c r="AH2810" s="38"/>
      <c r="AI2810" s="38"/>
      <c r="AJ2810" s="38"/>
      <c r="AK2810" s="38"/>
    </row>
    <row r="2811">
      <c r="A2811" s="99">
        <v>2810.0</v>
      </c>
      <c r="B2811" s="15"/>
      <c r="C2811" s="15"/>
      <c r="D2811" s="105">
        <v>1.0</v>
      </c>
      <c r="E2811" s="102">
        <v>48.0</v>
      </c>
      <c r="F2811" s="107">
        <v>483.0</v>
      </c>
      <c r="G2811" s="15" t="str">
        <f t="shared" si="1"/>
        <v>48483</v>
      </c>
      <c r="H2811" s="23" t="s">
        <v>649</v>
      </c>
      <c r="I2811" s="23" t="s">
        <v>113</v>
      </c>
      <c r="J2811" s="23" t="s">
        <v>219</v>
      </c>
      <c r="K2811" s="23" t="str">
        <f t="shared" si="44"/>
        <v>Wheeler, TX</v>
      </c>
      <c r="L2811" s="23">
        <v>12.0</v>
      </c>
      <c r="M2811" s="23" t="s">
        <v>63</v>
      </c>
      <c r="N2811" s="23">
        <v>7.0</v>
      </c>
      <c r="O2811" s="23">
        <v>4.0</v>
      </c>
      <c r="P2811" s="23" t="s">
        <v>63</v>
      </c>
      <c r="Q2811" s="23" t="s">
        <v>63</v>
      </c>
      <c r="R2811" s="23" t="s">
        <v>63</v>
      </c>
      <c r="S2811" s="23" t="s">
        <v>63</v>
      </c>
      <c r="T2811" s="32" t="s">
        <v>63</v>
      </c>
      <c r="U2811" s="23">
        <v>28.0</v>
      </c>
      <c r="V2811" s="23" t="s">
        <v>63</v>
      </c>
      <c r="W2811" s="23" t="s">
        <v>63</v>
      </c>
      <c r="X2811" s="23" t="s">
        <v>63</v>
      </c>
      <c r="Y2811" s="35">
        <v>14.0</v>
      </c>
      <c r="Z2811" s="32" t="s">
        <v>63</v>
      </c>
      <c r="AA2811" s="38"/>
      <c r="AB2811" s="38"/>
      <c r="AC2811" s="38"/>
      <c r="AD2811" s="38"/>
      <c r="AE2811" s="38"/>
      <c r="AF2811" s="38"/>
      <c r="AG2811" s="38"/>
      <c r="AH2811" s="38"/>
      <c r="AI2811" s="38"/>
      <c r="AJ2811" s="38"/>
      <c r="AK2811" s="38"/>
    </row>
    <row r="2812">
      <c r="A2812" s="99">
        <v>2811.0</v>
      </c>
      <c r="B2812" s="15"/>
      <c r="C2812" s="15"/>
      <c r="D2812" s="105">
        <v>1.0</v>
      </c>
      <c r="E2812" s="102">
        <v>48.0</v>
      </c>
      <c r="F2812" s="107">
        <v>485.0</v>
      </c>
      <c r="G2812" s="15" t="str">
        <f t="shared" si="1"/>
        <v>48485</v>
      </c>
      <c r="H2812" s="23" t="s">
        <v>1020</v>
      </c>
      <c r="I2812" s="23" t="s">
        <v>113</v>
      </c>
      <c r="J2812" s="23" t="s">
        <v>219</v>
      </c>
      <c r="K2812" s="23" t="str">
        <f t="shared" si="44"/>
        <v>Wichita, TX</v>
      </c>
      <c r="L2812" s="23">
        <v>474.0</v>
      </c>
      <c r="M2812" s="23" t="s">
        <v>63</v>
      </c>
      <c r="N2812" s="23">
        <v>207.0</v>
      </c>
      <c r="O2812" s="23">
        <v>180.0</v>
      </c>
      <c r="P2812" s="23" t="s">
        <v>63</v>
      </c>
      <c r="Q2812" s="23">
        <v>77.0</v>
      </c>
      <c r="R2812" s="23">
        <v>45.0</v>
      </c>
      <c r="S2812" s="23" t="s">
        <v>63</v>
      </c>
      <c r="T2812" s="32" t="s">
        <v>63</v>
      </c>
      <c r="U2812" s="23">
        <v>506.0</v>
      </c>
      <c r="V2812" s="23" t="s">
        <v>63</v>
      </c>
      <c r="W2812" s="23" t="s">
        <v>63</v>
      </c>
      <c r="X2812" s="23" t="s">
        <v>63</v>
      </c>
      <c r="Y2812" s="35">
        <v>134.0</v>
      </c>
      <c r="Z2812" s="32" t="s">
        <v>63</v>
      </c>
      <c r="AA2812" s="38"/>
      <c r="AB2812" s="38"/>
      <c r="AC2812" s="38"/>
      <c r="AD2812" s="38"/>
      <c r="AE2812" s="38"/>
      <c r="AF2812" s="38"/>
      <c r="AG2812" s="38"/>
      <c r="AH2812" s="38"/>
      <c r="AI2812" s="38"/>
      <c r="AJ2812" s="38"/>
      <c r="AK2812" s="38"/>
    </row>
    <row r="2813">
      <c r="A2813" s="99">
        <v>2812.0</v>
      </c>
      <c r="B2813" s="15"/>
      <c r="C2813" s="15"/>
      <c r="D2813" s="105">
        <v>1.0</v>
      </c>
      <c r="E2813" s="102">
        <v>48.0</v>
      </c>
      <c r="F2813" s="107">
        <v>487.0</v>
      </c>
      <c r="G2813" s="15" t="str">
        <f t="shared" si="1"/>
        <v>48487</v>
      </c>
      <c r="H2813" s="23" t="s">
        <v>2174</v>
      </c>
      <c r="I2813" s="23" t="s">
        <v>113</v>
      </c>
      <c r="J2813" s="23" t="s">
        <v>219</v>
      </c>
      <c r="K2813" s="23" t="str">
        <f t="shared" si="44"/>
        <v>Wilbarger, TX</v>
      </c>
      <c r="L2813" s="23">
        <v>65.0</v>
      </c>
      <c r="M2813" s="23" t="s">
        <v>63</v>
      </c>
      <c r="N2813" s="23">
        <v>33.0</v>
      </c>
      <c r="O2813" s="23">
        <v>21.0</v>
      </c>
      <c r="P2813" s="23" t="s">
        <v>63</v>
      </c>
      <c r="Q2813" s="23">
        <v>7.0</v>
      </c>
      <c r="R2813" s="23">
        <v>10.0</v>
      </c>
      <c r="S2813" s="23" t="s">
        <v>63</v>
      </c>
      <c r="T2813" s="32" t="s">
        <v>63</v>
      </c>
      <c r="U2813" s="23">
        <v>34.0</v>
      </c>
      <c r="V2813" s="23" t="s">
        <v>63</v>
      </c>
      <c r="W2813" s="23" t="s">
        <v>63</v>
      </c>
      <c r="X2813" s="23" t="s">
        <v>63</v>
      </c>
      <c r="Y2813" s="35">
        <v>16.0</v>
      </c>
      <c r="Z2813" s="32" t="s">
        <v>63</v>
      </c>
      <c r="AA2813" s="38"/>
      <c r="AB2813" s="38"/>
      <c r="AC2813" s="38"/>
      <c r="AD2813" s="38"/>
      <c r="AE2813" s="38"/>
      <c r="AF2813" s="38"/>
      <c r="AG2813" s="38"/>
      <c r="AH2813" s="38"/>
      <c r="AI2813" s="38"/>
      <c r="AJ2813" s="38"/>
      <c r="AK2813" s="38"/>
    </row>
    <row r="2814">
      <c r="A2814" s="99">
        <v>2813.0</v>
      </c>
      <c r="B2814" s="15"/>
      <c r="C2814" s="15"/>
      <c r="D2814" s="105">
        <v>1.0</v>
      </c>
      <c r="E2814" s="102">
        <v>48.0</v>
      </c>
      <c r="F2814" s="107">
        <v>489.0</v>
      </c>
      <c r="G2814" s="15" t="str">
        <f t="shared" si="1"/>
        <v>48489</v>
      </c>
      <c r="H2814" s="23" t="s">
        <v>2176</v>
      </c>
      <c r="I2814" s="23" t="s">
        <v>113</v>
      </c>
      <c r="J2814" s="23" t="s">
        <v>219</v>
      </c>
      <c r="K2814" s="23" t="str">
        <f t="shared" si="44"/>
        <v>Willacy, TX</v>
      </c>
      <c r="L2814" s="23">
        <v>47.0</v>
      </c>
      <c r="M2814" s="23" t="s">
        <v>63</v>
      </c>
      <c r="N2814" s="23">
        <v>22.0</v>
      </c>
      <c r="O2814" s="23">
        <v>21.0</v>
      </c>
      <c r="P2814" s="23" t="s">
        <v>63</v>
      </c>
      <c r="Q2814" s="23" t="s">
        <v>63</v>
      </c>
      <c r="R2814" s="23">
        <v>4.0</v>
      </c>
      <c r="S2814" s="23" t="s">
        <v>63</v>
      </c>
      <c r="T2814" s="32" t="s">
        <v>63</v>
      </c>
      <c r="U2814" s="23">
        <v>88.0</v>
      </c>
      <c r="V2814" s="23" t="s">
        <v>63</v>
      </c>
      <c r="W2814" s="23" t="s">
        <v>63</v>
      </c>
      <c r="X2814" s="23" t="s">
        <v>63</v>
      </c>
      <c r="Y2814" s="35">
        <v>14.0</v>
      </c>
      <c r="Z2814" s="32" t="s">
        <v>63</v>
      </c>
      <c r="AA2814" s="38"/>
      <c r="AB2814" s="38"/>
      <c r="AC2814" s="38"/>
      <c r="AD2814" s="38"/>
      <c r="AE2814" s="38"/>
      <c r="AF2814" s="38"/>
      <c r="AG2814" s="38"/>
      <c r="AH2814" s="38"/>
      <c r="AI2814" s="38"/>
      <c r="AJ2814" s="38"/>
      <c r="AK2814" s="38"/>
    </row>
    <row r="2815">
      <c r="A2815" s="99">
        <v>2814.0</v>
      </c>
      <c r="B2815" s="15"/>
      <c r="C2815" s="15"/>
      <c r="D2815" s="105">
        <v>1.0</v>
      </c>
      <c r="E2815" s="102">
        <v>48.0</v>
      </c>
      <c r="F2815" s="107">
        <v>491.0</v>
      </c>
      <c r="G2815" s="15" t="str">
        <f t="shared" si="1"/>
        <v>48491</v>
      </c>
      <c r="H2815" s="23" t="s">
        <v>627</v>
      </c>
      <c r="I2815" s="23" t="s">
        <v>113</v>
      </c>
      <c r="J2815" s="23" t="s">
        <v>219</v>
      </c>
      <c r="K2815" s="23" t="str">
        <f t="shared" si="44"/>
        <v>Williamson, TX</v>
      </c>
      <c r="L2815" s="23">
        <v>381.0</v>
      </c>
      <c r="M2815" s="23" t="s">
        <v>63</v>
      </c>
      <c r="N2815" s="23">
        <v>100.0</v>
      </c>
      <c r="O2815" s="23">
        <v>195.0</v>
      </c>
      <c r="P2815" s="23" t="s">
        <v>63</v>
      </c>
      <c r="Q2815" s="23">
        <v>178.0</v>
      </c>
      <c r="R2815" s="23">
        <v>32.0</v>
      </c>
      <c r="S2815" s="23" t="s">
        <v>63</v>
      </c>
      <c r="T2815" s="32" t="s">
        <v>63</v>
      </c>
      <c r="U2815" s="23">
        <v>316.0</v>
      </c>
      <c r="V2815" s="23" t="s">
        <v>63</v>
      </c>
      <c r="W2815" s="23" t="s">
        <v>63</v>
      </c>
      <c r="X2815" s="23" t="s">
        <v>63</v>
      </c>
      <c r="Y2815" s="35">
        <v>203.0</v>
      </c>
      <c r="Z2815" s="32" t="s">
        <v>63</v>
      </c>
      <c r="AA2815" s="38"/>
      <c r="AB2815" s="38"/>
      <c r="AC2815" s="38"/>
      <c r="AD2815" s="38"/>
      <c r="AE2815" s="38"/>
      <c r="AF2815" s="38"/>
      <c r="AG2815" s="38"/>
      <c r="AH2815" s="38"/>
      <c r="AI2815" s="38"/>
      <c r="AJ2815" s="38"/>
      <c r="AK2815" s="38"/>
    </row>
    <row r="2816">
      <c r="A2816" s="99">
        <v>2815.0</v>
      </c>
      <c r="B2816" s="15"/>
      <c r="C2816" s="15"/>
      <c r="D2816" s="105">
        <v>1.0</v>
      </c>
      <c r="E2816" s="102">
        <v>48.0</v>
      </c>
      <c r="F2816" s="107">
        <v>493.0</v>
      </c>
      <c r="G2816" s="15" t="str">
        <f t="shared" si="1"/>
        <v>48493</v>
      </c>
      <c r="H2816" s="23" t="s">
        <v>1021</v>
      </c>
      <c r="I2816" s="23" t="s">
        <v>113</v>
      </c>
      <c r="J2816" s="23" t="s">
        <v>219</v>
      </c>
      <c r="K2816" s="23" t="str">
        <f t="shared" si="44"/>
        <v>Wilson, TX</v>
      </c>
      <c r="L2816" s="23">
        <v>80.0</v>
      </c>
      <c r="M2816" s="23" t="s">
        <v>63</v>
      </c>
      <c r="N2816" s="23">
        <v>25.0</v>
      </c>
      <c r="O2816" s="23">
        <v>27.0</v>
      </c>
      <c r="P2816" s="23" t="s">
        <v>63</v>
      </c>
      <c r="Q2816" s="23">
        <v>16.0</v>
      </c>
      <c r="R2816" s="23">
        <v>8.0</v>
      </c>
      <c r="S2816" s="23" t="s">
        <v>63</v>
      </c>
      <c r="T2816" s="32" t="s">
        <v>63</v>
      </c>
      <c r="U2816" s="23">
        <v>91.0</v>
      </c>
      <c r="V2816" s="23" t="s">
        <v>63</v>
      </c>
      <c r="W2816" s="23" t="s">
        <v>63</v>
      </c>
      <c r="X2816" s="23" t="s">
        <v>63</v>
      </c>
      <c r="Y2816" s="35">
        <v>31.0</v>
      </c>
      <c r="Z2816" s="32" t="s">
        <v>63</v>
      </c>
      <c r="AA2816" s="38"/>
      <c r="AB2816" s="38"/>
      <c r="AC2816" s="38"/>
      <c r="AD2816" s="38"/>
      <c r="AE2816" s="38"/>
      <c r="AF2816" s="38"/>
      <c r="AG2816" s="38"/>
      <c r="AH2816" s="38"/>
      <c r="AI2816" s="38"/>
      <c r="AJ2816" s="38"/>
      <c r="AK2816" s="38"/>
    </row>
    <row r="2817">
      <c r="A2817" s="99">
        <v>2816.0</v>
      </c>
      <c r="B2817" s="15"/>
      <c r="C2817" s="15"/>
      <c r="D2817" s="105">
        <v>1.0</v>
      </c>
      <c r="E2817" s="102">
        <v>48.0</v>
      </c>
      <c r="F2817" s="107">
        <v>495.0</v>
      </c>
      <c r="G2817" s="15" t="str">
        <f t="shared" si="1"/>
        <v>48495</v>
      </c>
      <c r="H2817" s="23" t="s">
        <v>2177</v>
      </c>
      <c r="I2817" s="23" t="s">
        <v>113</v>
      </c>
      <c r="J2817" s="23" t="s">
        <v>219</v>
      </c>
      <c r="K2817" s="23" t="str">
        <f t="shared" si="44"/>
        <v>Winkler, TX</v>
      </c>
      <c r="L2817" s="23">
        <v>16.0</v>
      </c>
      <c r="M2817" s="23" t="s">
        <v>63</v>
      </c>
      <c r="N2817" s="23">
        <v>12.0</v>
      </c>
      <c r="O2817" s="23">
        <v>4.0</v>
      </c>
      <c r="P2817" s="23" t="s">
        <v>63</v>
      </c>
      <c r="Q2817" s="23" t="s">
        <v>63</v>
      </c>
      <c r="R2817" s="23">
        <v>1.0</v>
      </c>
      <c r="S2817" s="23" t="s">
        <v>63</v>
      </c>
      <c r="T2817" s="32" t="s">
        <v>63</v>
      </c>
      <c r="U2817" s="23">
        <v>8.0</v>
      </c>
      <c r="V2817" s="23" t="s">
        <v>63</v>
      </c>
      <c r="W2817" s="23" t="s">
        <v>63</v>
      </c>
      <c r="X2817" s="23" t="s">
        <v>63</v>
      </c>
      <c r="Y2817" s="35">
        <v>12.0</v>
      </c>
      <c r="Z2817" s="32" t="s">
        <v>63</v>
      </c>
      <c r="AA2817" s="38"/>
      <c r="AB2817" s="38"/>
      <c r="AC2817" s="38"/>
      <c r="AD2817" s="38"/>
      <c r="AE2817" s="38"/>
      <c r="AF2817" s="38"/>
      <c r="AG2817" s="38"/>
      <c r="AH2817" s="38"/>
      <c r="AI2817" s="38"/>
      <c r="AJ2817" s="38"/>
      <c r="AK2817" s="38"/>
    </row>
    <row r="2818">
      <c r="A2818" s="99">
        <v>2817.0</v>
      </c>
      <c r="B2818" s="15"/>
      <c r="C2818" s="15"/>
      <c r="D2818" s="105">
        <v>1.0</v>
      </c>
      <c r="E2818" s="102">
        <v>48.0</v>
      </c>
      <c r="F2818" s="107">
        <v>497.0</v>
      </c>
      <c r="G2818" s="15" t="str">
        <f t="shared" si="1"/>
        <v>48497</v>
      </c>
      <c r="H2818" s="23" t="s">
        <v>2178</v>
      </c>
      <c r="I2818" s="23" t="s">
        <v>113</v>
      </c>
      <c r="J2818" s="23" t="s">
        <v>219</v>
      </c>
      <c r="K2818" s="23" t="str">
        <f t="shared" si="44"/>
        <v>Wise, TX</v>
      </c>
      <c r="L2818" s="23">
        <v>160.0</v>
      </c>
      <c r="M2818" s="23" t="s">
        <v>63</v>
      </c>
      <c r="N2818" s="23">
        <v>66.0</v>
      </c>
      <c r="O2818" s="23">
        <v>72.0</v>
      </c>
      <c r="P2818" s="23" t="s">
        <v>63</v>
      </c>
      <c r="Q2818" s="23">
        <v>22.0</v>
      </c>
      <c r="R2818" s="23">
        <v>19.0</v>
      </c>
      <c r="S2818" s="23" t="s">
        <v>63</v>
      </c>
      <c r="T2818" s="32" t="s">
        <v>63</v>
      </c>
      <c r="U2818" s="23">
        <v>87.0</v>
      </c>
      <c r="V2818" s="23" t="s">
        <v>63</v>
      </c>
      <c r="W2818" s="23" t="s">
        <v>63</v>
      </c>
      <c r="X2818" s="23" t="s">
        <v>63</v>
      </c>
      <c r="Y2818" s="35">
        <v>74.0</v>
      </c>
      <c r="Z2818" s="32" t="s">
        <v>63</v>
      </c>
      <c r="AA2818" s="38"/>
      <c r="AB2818" s="38"/>
      <c r="AC2818" s="38"/>
      <c r="AD2818" s="38"/>
      <c r="AE2818" s="38"/>
      <c r="AF2818" s="38"/>
      <c r="AG2818" s="38"/>
      <c r="AH2818" s="38"/>
      <c r="AI2818" s="38"/>
      <c r="AJ2818" s="38"/>
      <c r="AK2818" s="38"/>
    </row>
    <row r="2819">
      <c r="A2819" s="99">
        <v>2818.0</v>
      </c>
      <c r="B2819" s="15"/>
      <c r="C2819" s="15"/>
      <c r="D2819" s="105">
        <v>1.0</v>
      </c>
      <c r="E2819" s="102">
        <v>48.0</v>
      </c>
      <c r="F2819" s="107">
        <v>499.0</v>
      </c>
      <c r="G2819" s="15" t="str">
        <f t="shared" si="1"/>
        <v>48499</v>
      </c>
      <c r="H2819" s="23" t="s">
        <v>1703</v>
      </c>
      <c r="I2819" s="23" t="s">
        <v>113</v>
      </c>
      <c r="J2819" s="23" t="s">
        <v>219</v>
      </c>
      <c r="K2819" s="23" t="str">
        <f t="shared" si="44"/>
        <v>Wood, TX</v>
      </c>
      <c r="L2819" s="23">
        <v>76.0</v>
      </c>
      <c r="M2819" s="23" t="s">
        <v>63</v>
      </c>
      <c r="N2819" s="23">
        <v>36.0</v>
      </c>
      <c r="O2819" s="23">
        <v>32.0</v>
      </c>
      <c r="P2819" s="23" t="s">
        <v>63</v>
      </c>
      <c r="Q2819" s="23">
        <v>13.0</v>
      </c>
      <c r="R2819" s="23">
        <v>5.0</v>
      </c>
      <c r="S2819" s="23" t="s">
        <v>63</v>
      </c>
      <c r="T2819" s="32" t="s">
        <v>63</v>
      </c>
      <c r="U2819" s="23">
        <v>87.0</v>
      </c>
      <c r="V2819" s="23" t="s">
        <v>63</v>
      </c>
      <c r="W2819" s="23" t="s">
        <v>63</v>
      </c>
      <c r="X2819" s="23" t="s">
        <v>63</v>
      </c>
      <c r="Y2819" s="35">
        <v>82.0</v>
      </c>
      <c r="Z2819" s="32" t="s">
        <v>63</v>
      </c>
      <c r="AA2819" s="38"/>
      <c r="AB2819" s="38"/>
      <c r="AC2819" s="38"/>
      <c r="AD2819" s="38"/>
      <c r="AE2819" s="38"/>
      <c r="AF2819" s="38"/>
      <c r="AG2819" s="38"/>
      <c r="AH2819" s="38"/>
      <c r="AI2819" s="38"/>
      <c r="AJ2819" s="38"/>
      <c r="AK2819" s="38"/>
    </row>
    <row r="2820">
      <c r="A2820" s="99">
        <v>2819.0</v>
      </c>
      <c r="B2820" s="15"/>
      <c r="C2820" s="15"/>
      <c r="D2820" s="105">
        <v>1.0</v>
      </c>
      <c r="E2820" s="102">
        <v>48.0</v>
      </c>
      <c r="F2820" s="107">
        <v>501.0</v>
      </c>
      <c r="G2820" s="15" t="str">
        <f t="shared" si="1"/>
        <v>48501</v>
      </c>
      <c r="H2820" s="23" t="s">
        <v>2179</v>
      </c>
      <c r="I2820" s="23" t="s">
        <v>113</v>
      </c>
      <c r="J2820" s="23" t="s">
        <v>219</v>
      </c>
      <c r="K2820" s="23" t="str">
        <f t="shared" si="44"/>
        <v>Yoakum, TX</v>
      </c>
      <c r="L2820" s="23">
        <v>17.0</v>
      </c>
      <c r="M2820" s="23" t="s">
        <v>63</v>
      </c>
      <c r="N2820" s="23">
        <v>1.0</v>
      </c>
      <c r="O2820" s="23">
        <v>7.0</v>
      </c>
      <c r="P2820" s="23" t="s">
        <v>63</v>
      </c>
      <c r="Q2820" s="23" t="s">
        <v>63</v>
      </c>
      <c r="R2820" s="23">
        <v>5.0</v>
      </c>
      <c r="S2820" s="23" t="s">
        <v>63</v>
      </c>
      <c r="T2820" s="32" t="s">
        <v>63</v>
      </c>
      <c r="U2820" s="23" t="s">
        <v>63</v>
      </c>
      <c r="V2820" s="23" t="s">
        <v>63</v>
      </c>
      <c r="W2820" s="23" t="s">
        <v>63</v>
      </c>
      <c r="X2820" s="23" t="s">
        <v>63</v>
      </c>
      <c r="Y2820" s="35">
        <v>11.0</v>
      </c>
      <c r="Z2820" s="32" t="s">
        <v>63</v>
      </c>
      <c r="AA2820" s="38"/>
      <c r="AB2820" s="38"/>
      <c r="AC2820" s="38"/>
      <c r="AD2820" s="38"/>
      <c r="AE2820" s="38"/>
      <c r="AF2820" s="38"/>
      <c r="AG2820" s="38"/>
      <c r="AH2820" s="38"/>
      <c r="AI2820" s="38"/>
      <c r="AJ2820" s="38"/>
      <c r="AK2820" s="38"/>
    </row>
    <row r="2821">
      <c r="A2821" s="99">
        <v>2820.0</v>
      </c>
      <c r="B2821" s="15"/>
      <c r="C2821" s="15"/>
      <c r="D2821" s="105">
        <v>1.0</v>
      </c>
      <c r="E2821" s="102">
        <v>48.0</v>
      </c>
      <c r="F2821" s="107">
        <v>503.0</v>
      </c>
      <c r="G2821" s="15" t="str">
        <f t="shared" si="1"/>
        <v>48503</v>
      </c>
      <c r="H2821" s="23" t="s">
        <v>2181</v>
      </c>
      <c r="I2821" s="23" t="s">
        <v>113</v>
      </c>
      <c r="J2821" s="23" t="s">
        <v>219</v>
      </c>
      <c r="K2821" s="23" t="str">
        <f t="shared" si="44"/>
        <v>Young, TX</v>
      </c>
      <c r="L2821" s="23">
        <v>50.0</v>
      </c>
      <c r="M2821" s="23" t="s">
        <v>63</v>
      </c>
      <c r="N2821" s="23">
        <v>29.0</v>
      </c>
      <c r="O2821" s="23">
        <v>16.0</v>
      </c>
      <c r="P2821" s="23" t="s">
        <v>63</v>
      </c>
      <c r="Q2821" s="23">
        <v>21.0</v>
      </c>
      <c r="R2821" s="23">
        <v>1.0</v>
      </c>
      <c r="S2821" s="23" t="s">
        <v>63</v>
      </c>
      <c r="T2821" s="32" t="s">
        <v>63</v>
      </c>
      <c r="U2821" s="23">
        <v>80.0</v>
      </c>
      <c r="V2821" s="23" t="s">
        <v>63</v>
      </c>
      <c r="W2821" s="23" t="s">
        <v>63</v>
      </c>
      <c r="X2821" s="23" t="s">
        <v>63</v>
      </c>
      <c r="Y2821" s="35">
        <v>39.0</v>
      </c>
      <c r="Z2821" s="32" t="s">
        <v>63</v>
      </c>
      <c r="AA2821" s="38"/>
      <c r="AB2821" s="38"/>
      <c r="AC2821" s="38"/>
      <c r="AD2821" s="38"/>
      <c r="AE2821" s="38"/>
      <c r="AF2821" s="38"/>
      <c r="AG2821" s="38"/>
      <c r="AH2821" s="38"/>
      <c r="AI2821" s="38"/>
      <c r="AJ2821" s="38"/>
      <c r="AK2821" s="38"/>
    </row>
    <row r="2822">
      <c r="A2822" s="99">
        <v>2821.0</v>
      </c>
      <c r="B2822" s="15"/>
      <c r="C2822" s="15"/>
      <c r="D2822" s="105">
        <v>1.0</v>
      </c>
      <c r="E2822" s="102">
        <v>48.0</v>
      </c>
      <c r="F2822" s="107">
        <v>505.0</v>
      </c>
      <c r="G2822" s="15" t="str">
        <f t="shared" si="1"/>
        <v>48505</v>
      </c>
      <c r="H2822" s="23" t="s">
        <v>2182</v>
      </c>
      <c r="I2822" s="23" t="s">
        <v>113</v>
      </c>
      <c r="J2822" s="23" t="s">
        <v>219</v>
      </c>
      <c r="K2822" s="23" t="str">
        <f t="shared" si="44"/>
        <v>Zapata, TX</v>
      </c>
      <c r="L2822" s="23">
        <v>49.0</v>
      </c>
      <c r="M2822" s="23" t="s">
        <v>63</v>
      </c>
      <c r="N2822" s="23">
        <v>14.0</v>
      </c>
      <c r="O2822" s="23">
        <v>33.0</v>
      </c>
      <c r="P2822" s="23" t="s">
        <v>63</v>
      </c>
      <c r="Q2822" s="23">
        <v>1.0</v>
      </c>
      <c r="R2822" s="23">
        <v>9.0</v>
      </c>
      <c r="S2822" s="23" t="s">
        <v>63</v>
      </c>
      <c r="T2822" s="32" t="s">
        <v>63</v>
      </c>
      <c r="U2822" s="23">
        <v>36.0</v>
      </c>
      <c r="V2822" s="23" t="s">
        <v>63</v>
      </c>
      <c r="W2822" s="23" t="s">
        <v>63</v>
      </c>
      <c r="X2822" s="23" t="s">
        <v>63</v>
      </c>
      <c r="Y2822" s="35">
        <v>4.0</v>
      </c>
      <c r="Z2822" s="32" t="s">
        <v>63</v>
      </c>
      <c r="AA2822" s="38"/>
      <c r="AB2822" s="38"/>
      <c r="AC2822" s="38"/>
      <c r="AD2822" s="38"/>
      <c r="AE2822" s="38"/>
      <c r="AF2822" s="38"/>
      <c r="AG2822" s="38"/>
      <c r="AH2822" s="38"/>
      <c r="AI2822" s="38"/>
      <c r="AJ2822" s="38"/>
      <c r="AK2822" s="38"/>
    </row>
    <row r="2823">
      <c r="A2823" s="99">
        <v>2822.0</v>
      </c>
      <c r="B2823" s="15"/>
      <c r="C2823" s="15"/>
      <c r="D2823" s="105">
        <v>1.0</v>
      </c>
      <c r="E2823" s="102">
        <v>48.0</v>
      </c>
      <c r="F2823" s="107">
        <v>507.0</v>
      </c>
      <c r="G2823" s="15" t="str">
        <f t="shared" si="1"/>
        <v>48507</v>
      </c>
      <c r="H2823" s="23" t="s">
        <v>2183</v>
      </c>
      <c r="I2823" s="23" t="s">
        <v>113</v>
      </c>
      <c r="J2823" s="23" t="s">
        <v>219</v>
      </c>
      <c r="K2823" s="23" t="str">
        <f t="shared" si="44"/>
        <v>Zavala, TX</v>
      </c>
      <c r="L2823" s="23">
        <v>50.0</v>
      </c>
      <c r="M2823" s="23" t="s">
        <v>63</v>
      </c>
      <c r="N2823" s="23">
        <v>7.0</v>
      </c>
      <c r="O2823" s="23">
        <v>36.0</v>
      </c>
      <c r="P2823" s="23" t="s">
        <v>63</v>
      </c>
      <c r="Q2823" s="23">
        <v>3.0</v>
      </c>
      <c r="R2823" s="23">
        <v>3.0</v>
      </c>
      <c r="S2823" s="23" t="s">
        <v>63</v>
      </c>
      <c r="T2823" s="32" t="s">
        <v>63</v>
      </c>
      <c r="U2823" s="23">
        <v>79.0</v>
      </c>
      <c r="V2823" s="23" t="s">
        <v>63</v>
      </c>
      <c r="W2823" s="23" t="s">
        <v>63</v>
      </c>
      <c r="X2823" s="23" t="s">
        <v>63</v>
      </c>
      <c r="Y2823" s="35">
        <v>4.0</v>
      </c>
      <c r="Z2823" s="32" t="s">
        <v>63</v>
      </c>
      <c r="AA2823" s="38"/>
      <c r="AB2823" s="38"/>
      <c r="AC2823" s="38"/>
      <c r="AD2823" s="38"/>
      <c r="AE2823" s="38"/>
      <c r="AF2823" s="38"/>
      <c r="AG2823" s="38"/>
      <c r="AH2823" s="38"/>
      <c r="AI2823" s="38"/>
      <c r="AJ2823" s="38"/>
      <c r="AK2823" s="38"/>
    </row>
    <row r="2824">
      <c r="A2824" s="28">
        <v>2823.0</v>
      </c>
      <c r="B2824" s="29"/>
      <c r="C2824" s="29" t="s">
        <v>25</v>
      </c>
      <c r="D2824" s="30"/>
      <c r="E2824" s="31">
        <v>49.0</v>
      </c>
      <c r="F2824" s="42">
        <v>0.0</v>
      </c>
      <c r="G2824" s="29" t="str">
        <f t="shared" si="1"/>
        <v>49000</v>
      </c>
      <c r="H2824" s="37"/>
      <c r="I2824" s="37" t="s">
        <v>114</v>
      </c>
      <c r="J2824" s="37" t="s">
        <v>368</v>
      </c>
      <c r="K2824" s="37"/>
      <c r="L2824" s="53">
        <f t="array" ref="L2824:Z2824">Utah!C33:Q33</f>
        <v>2067</v>
      </c>
      <c r="M2824" s="37" t="s">
        <v>63</v>
      </c>
      <c r="N2824" s="37" t="s">
        <v>63</v>
      </c>
      <c r="O2824" s="37" t="s">
        <v>63</v>
      </c>
      <c r="P2824" s="37" t="s">
        <v>63</v>
      </c>
      <c r="Q2824" s="53">
        <v>1120.0</v>
      </c>
      <c r="R2824" s="37">
        <v>257.0</v>
      </c>
      <c r="S2824" s="37" t="s">
        <v>63</v>
      </c>
      <c r="T2824" s="69" t="s">
        <v>63</v>
      </c>
      <c r="U2824" s="37" t="s">
        <v>63</v>
      </c>
      <c r="V2824" s="37" t="s">
        <v>63</v>
      </c>
      <c r="W2824" s="37" t="s">
        <v>63</v>
      </c>
      <c r="X2824" s="37" t="s">
        <v>63</v>
      </c>
      <c r="Y2824" s="53">
        <v>1329.0</v>
      </c>
      <c r="Z2824" s="69" t="s">
        <v>63</v>
      </c>
      <c r="AA2824" s="73"/>
      <c r="AB2824" s="73"/>
      <c r="AC2824" s="73"/>
      <c r="AD2824" s="73"/>
      <c r="AE2824" s="73"/>
      <c r="AF2824" s="73"/>
      <c r="AG2824" s="73"/>
      <c r="AH2824" s="73"/>
      <c r="AI2824" s="73"/>
      <c r="AJ2824" s="73"/>
      <c r="AK2824" s="73"/>
    </row>
    <row r="2825">
      <c r="A2825" s="28">
        <v>2824.0</v>
      </c>
      <c r="B2825" s="29"/>
      <c r="C2825" s="29"/>
      <c r="D2825" s="40">
        <v>1.0</v>
      </c>
      <c r="E2825" s="31">
        <v>49.0</v>
      </c>
      <c r="F2825" s="42">
        <v>1.0</v>
      </c>
      <c r="G2825" s="29" t="str">
        <f t="shared" si="1"/>
        <v>49001</v>
      </c>
      <c r="H2825" s="37" t="s">
        <v>1710</v>
      </c>
      <c r="I2825" s="37" t="s">
        <v>114</v>
      </c>
      <c r="J2825" s="37" t="s">
        <v>368</v>
      </c>
      <c r="K2825" s="37" t="str">
        <f t="shared" ref="K2825:K2853" si="45">CONCATENATE(H2825,", ",J2825)</f>
        <v>Beaver, UT</v>
      </c>
      <c r="L2825" s="37" t="str">
        <f t="array" ref="L2825:Z2853">Utah!C3:Q31</f>
        <v>NULL</v>
      </c>
      <c r="M2825" s="37" t="s">
        <v>63</v>
      </c>
      <c r="N2825" s="37" t="s">
        <v>63</v>
      </c>
      <c r="O2825" s="37" t="s">
        <v>63</v>
      </c>
      <c r="P2825" s="37" t="s">
        <v>63</v>
      </c>
      <c r="Q2825" s="37" t="s">
        <v>63</v>
      </c>
      <c r="R2825" s="37" t="s">
        <v>63</v>
      </c>
      <c r="S2825" s="37" t="s">
        <v>63</v>
      </c>
      <c r="T2825" s="69" t="s">
        <v>63</v>
      </c>
      <c r="U2825" s="37" t="s">
        <v>63</v>
      </c>
      <c r="V2825" s="37" t="s">
        <v>63</v>
      </c>
      <c r="W2825" s="37" t="s">
        <v>63</v>
      </c>
      <c r="X2825" s="37" t="s">
        <v>63</v>
      </c>
      <c r="Y2825" s="53">
        <v>7.0</v>
      </c>
      <c r="Z2825" s="69" t="s">
        <v>63</v>
      </c>
      <c r="AA2825" s="73"/>
      <c r="AB2825" s="73"/>
      <c r="AC2825" s="73"/>
      <c r="AD2825" s="73"/>
      <c r="AE2825" s="73"/>
      <c r="AF2825" s="73"/>
      <c r="AG2825" s="73"/>
      <c r="AH2825" s="73"/>
      <c r="AI2825" s="73"/>
      <c r="AJ2825" s="73"/>
      <c r="AK2825" s="73"/>
    </row>
    <row r="2826">
      <c r="A2826" s="28">
        <v>2825.0</v>
      </c>
      <c r="B2826" s="29"/>
      <c r="C2826" s="29"/>
      <c r="D2826" s="40">
        <v>1.0</v>
      </c>
      <c r="E2826" s="31">
        <v>49.0</v>
      </c>
      <c r="F2826" s="42">
        <v>3.0</v>
      </c>
      <c r="G2826" s="29" t="str">
        <f t="shared" si="1"/>
        <v>49003</v>
      </c>
      <c r="H2826" s="37" t="s">
        <v>2185</v>
      </c>
      <c r="I2826" s="37" t="s">
        <v>114</v>
      </c>
      <c r="J2826" s="37" t="s">
        <v>368</v>
      </c>
      <c r="K2826" s="37" t="str">
        <f t="shared" si="45"/>
        <v>Box Elder, UT</v>
      </c>
      <c r="L2826" s="37" t="s">
        <v>63</v>
      </c>
      <c r="M2826" s="37" t="s">
        <v>63</v>
      </c>
      <c r="N2826" s="37" t="s">
        <v>63</v>
      </c>
      <c r="O2826" s="37" t="s">
        <v>63</v>
      </c>
      <c r="P2826" s="37" t="s">
        <v>63</v>
      </c>
      <c r="Q2826" s="37" t="s">
        <v>63</v>
      </c>
      <c r="R2826" s="37" t="s">
        <v>63</v>
      </c>
      <c r="S2826" s="37" t="s">
        <v>63</v>
      </c>
      <c r="T2826" s="69" t="s">
        <v>63</v>
      </c>
      <c r="U2826" s="37" t="s">
        <v>63</v>
      </c>
      <c r="V2826" s="37" t="s">
        <v>63</v>
      </c>
      <c r="W2826" s="37" t="s">
        <v>63</v>
      </c>
      <c r="X2826" s="37" t="s">
        <v>63</v>
      </c>
      <c r="Y2826" s="53">
        <v>39.0</v>
      </c>
      <c r="Z2826" s="69" t="s">
        <v>63</v>
      </c>
      <c r="AA2826" s="73"/>
      <c r="AB2826" s="73"/>
      <c r="AC2826" s="73"/>
      <c r="AD2826" s="73"/>
      <c r="AE2826" s="73"/>
      <c r="AF2826" s="73"/>
      <c r="AG2826" s="73"/>
      <c r="AH2826" s="73"/>
      <c r="AI2826" s="73"/>
      <c r="AJ2826" s="73"/>
      <c r="AK2826" s="73"/>
    </row>
    <row r="2827">
      <c r="A2827" s="28">
        <v>2826.0</v>
      </c>
      <c r="B2827" s="29"/>
      <c r="C2827" s="29"/>
      <c r="D2827" s="40">
        <v>1.0</v>
      </c>
      <c r="E2827" s="31">
        <v>49.0</v>
      </c>
      <c r="F2827" s="42">
        <v>5.0</v>
      </c>
      <c r="G2827" s="29" t="str">
        <f t="shared" si="1"/>
        <v>49005</v>
      </c>
      <c r="H2827" s="37" t="s">
        <v>2186</v>
      </c>
      <c r="I2827" s="37" t="s">
        <v>114</v>
      </c>
      <c r="J2827" s="37" t="s">
        <v>368</v>
      </c>
      <c r="K2827" s="37" t="str">
        <f t="shared" si="45"/>
        <v>Cache, UT</v>
      </c>
      <c r="L2827" s="37" t="s">
        <v>63</v>
      </c>
      <c r="M2827" s="37" t="s">
        <v>63</v>
      </c>
      <c r="N2827" s="37" t="s">
        <v>63</v>
      </c>
      <c r="O2827" s="37" t="s">
        <v>63</v>
      </c>
      <c r="P2827" s="37" t="s">
        <v>63</v>
      </c>
      <c r="Q2827" s="37" t="s">
        <v>63</v>
      </c>
      <c r="R2827" s="37" t="s">
        <v>63</v>
      </c>
      <c r="S2827" s="37" t="s">
        <v>63</v>
      </c>
      <c r="T2827" s="69" t="s">
        <v>63</v>
      </c>
      <c r="U2827" s="37" t="s">
        <v>63</v>
      </c>
      <c r="V2827" s="37" t="s">
        <v>63</v>
      </c>
      <c r="W2827" s="37" t="s">
        <v>63</v>
      </c>
      <c r="X2827" s="37" t="s">
        <v>63</v>
      </c>
      <c r="Y2827" s="53">
        <v>43.0</v>
      </c>
      <c r="Z2827" s="69" t="s">
        <v>63</v>
      </c>
      <c r="AA2827" s="73"/>
      <c r="AB2827" s="73"/>
      <c r="AC2827" s="73"/>
      <c r="AD2827" s="73"/>
      <c r="AE2827" s="73"/>
      <c r="AF2827" s="73"/>
      <c r="AG2827" s="73"/>
      <c r="AH2827" s="73"/>
      <c r="AI2827" s="73"/>
      <c r="AJ2827" s="73"/>
      <c r="AK2827" s="73"/>
    </row>
    <row r="2828">
      <c r="A2828" s="28">
        <v>2827.0</v>
      </c>
      <c r="B2828" s="29"/>
      <c r="C2828" s="29"/>
      <c r="D2828" s="40">
        <v>1.0</v>
      </c>
      <c r="E2828" s="31">
        <v>49.0</v>
      </c>
      <c r="F2828" s="42">
        <v>7.0</v>
      </c>
      <c r="G2828" s="29" t="str">
        <f t="shared" si="1"/>
        <v>49007</v>
      </c>
      <c r="H2828" s="37" t="s">
        <v>1434</v>
      </c>
      <c r="I2828" s="37" t="s">
        <v>114</v>
      </c>
      <c r="J2828" s="37" t="s">
        <v>368</v>
      </c>
      <c r="K2828" s="37" t="str">
        <f t="shared" si="45"/>
        <v>Carbon, UT</v>
      </c>
      <c r="L2828" s="37" t="s">
        <v>63</v>
      </c>
      <c r="M2828" s="37" t="s">
        <v>63</v>
      </c>
      <c r="N2828" s="37" t="s">
        <v>63</v>
      </c>
      <c r="O2828" s="37" t="s">
        <v>63</v>
      </c>
      <c r="P2828" s="37" t="s">
        <v>63</v>
      </c>
      <c r="Q2828" s="37" t="s">
        <v>63</v>
      </c>
      <c r="R2828" s="37" t="s">
        <v>63</v>
      </c>
      <c r="S2828" s="37" t="s">
        <v>63</v>
      </c>
      <c r="T2828" s="69" t="s">
        <v>63</v>
      </c>
      <c r="U2828" s="37" t="s">
        <v>63</v>
      </c>
      <c r="V2828" s="37" t="s">
        <v>63</v>
      </c>
      <c r="W2828" s="37" t="s">
        <v>63</v>
      </c>
      <c r="X2828" s="37" t="s">
        <v>63</v>
      </c>
      <c r="Y2828" s="53">
        <v>28.0</v>
      </c>
      <c r="Z2828" s="69" t="s">
        <v>63</v>
      </c>
      <c r="AA2828" s="73"/>
      <c r="AB2828" s="73"/>
      <c r="AC2828" s="73"/>
      <c r="AD2828" s="73"/>
      <c r="AE2828" s="73"/>
      <c r="AF2828" s="73"/>
      <c r="AG2828" s="73"/>
      <c r="AH2828" s="73"/>
      <c r="AI2828" s="73"/>
      <c r="AJ2828" s="73"/>
      <c r="AK2828" s="73"/>
    </row>
    <row r="2829">
      <c r="A2829" s="28">
        <v>2828.0</v>
      </c>
      <c r="B2829" s="29"/>
      <c r="C2829" s="29"/>
      <c r="D2829" s="40">
        <v>1.0</v>
      </c>
      <c r="E2829" s="31">
        <v>49.0</v>
      </c>
      <c r="F2829" s="42">
        <v>9.0</v>
      </c>
      <c r="G2829" s="29" t="str">
        <f t="shared" si="1"/>
        <v>49009</v>
      </c>
      <c r="H2829" s="37" t="s">
        <v>2187</v>
      </c>
      <c r="I2829" s="37" t="s">
        <v>114</v>
      </c>
      <c r="J2829" s="37" t="s">
        <v>368</v>
      </c>
      <c r="K2829" s="37" t="str">
        <f t="shared" si="45"/>
        <v>Daggett, UT</v>
      </c>
      <c r="L2829" s="37" t="s">
        <v>63</v>
      </c>
      <c r="M2829" s="37" t="s">
        <v>63</v>
      </c>
      <c r="N2829" s="37" t="s">
        <v>63</v>
      </c>
      <c r="O2829" s="37" t="s">
        <v>63</v>
      </c>
      <c r="P2829" s="37" t="s">
        <v>63</v>
      </c>
      <c r="Q2829" s="37" t="s">
        <v>63</v>
      </c>
      <c r="R2829" s="37" t="s">
        <v>63</v>
      </c>
      <c r="S2829" s="37" t="s">
        <v>63</v>
      </c>
      <c r="T2829" s="69" t="s">
        <v>63</v>
      </c>
      <c r="U2829" s="37" t="s">
        <v>63</v>
      </c>
      <c r="V2829" s="37" t="s">
        <v>63</v>
      </c>
      <c r="W2829" s="37" t="s">
        <v>63</v>
      </c>
      <c r="X2829" s="37" t="s">
        <v>63</v>
      </c>
      <c r="Y2829" s="53">
        <v>2.0</v>
      </c>
      <c r="Z2829" s="69" t="s">
        <v>63</v>
      </c>
      <c r="AA2829" s="73"/>
      <c r="AB2829" s="73"/>
      <c r="AC2829" s="73"/>
      <c r="AD2829" s="73"/>
      <c r="AE2829" s="73"/>
      <c r="AF2829" s="73"/>
      <c r="AG2829" s="73"/>
      <c r="AH2829" s="73"/>
      <c r="AI2829" s="73"/>
      <c r="AJ2829" s="73"/>
      <c r="AK2829" s="73"/>
    </row>
    <row r="2830">
      <c r="A2830" s="28">
        <v>2829.0</v>
      </c>
      <c r="B2830" s="29"/>
      <c r="C2830" s="29"/>
      <c r="D2830" s="40">
        <v>1.0</v>
      </c>
      <c r="E2830" s="31">
        <v>49.0</v>
      </c>
      <c r="F2830" s="42">
        <v>11.0</v>
      </c>
      <c r="G2830" s="29" t="str">
        <f t="shared" si="1"/>
        <v>49011</v>
      </c>
      <c r="H2830" s="37" t="s">
        <v>897</v>
      </c>
      <c r="I2830" s="37" t="s">
        <v>114</v>
      </c>
      <c r="J2830" s="37" t="s">
        <v>368</v>
      </c>
      <c r="K2830" s="37" t="str">
        <f t="shared" si="45"/>
        <v>Davis, UT</v>
      </c>
      <c r="L2830" s="37" t="s">
        <v>63</v>
      </c>
      <c r="M2830" s="37" t="s">
        <v>63</v>
      </c>
      <c r="N2830" s="37" t="s">
        <v>63</v>
      </c>
      <c r="O2830" s="37" t="s">
        <v>63</v>
      </c>
      <c r="P2830" s="37" t="s">
        <v>63</v>
      </c>
      <c r="Q2830" s="37" t="s">
        <v>63</v>
      </c>
      <c r="R2830" s="37" t="s">
        <v>63</v>
      </c>
      <c r="S2830" s="37" t="s">
        <v>63</v>
      </c>
      <c r="T2830" s="69" t="s">
        <v>63</v>
      </c>
      <c r="U2830" s="37" t="s">
        <v>63</v>
      </c>
      <c r="V2830" s="37" t="s">
        <v>63</v>
      </c>
      <c r="W2830" s="37" t="s">
        <v>63</v>
      </c>
      <c r="X2830" s="37" t="s">
        <v>63</v>
      </c>
      <c r="Y2830" s="53">
        <v>126.0</v>
      </c>
      <c r="Z2830" s="69" t="s">
        <v>63</v>
      </c>
      <c r="AA2830" s="73"/>
      <c r="AB2830" s="73"/>
      <c r="AC2830" s="73"/>
      <c r="AD2830" s="73"/>
      <c r="AE2830" s="73"/>
      <c r="AF2830" s="73"/>
      <c r="AG2830" s="73"/>
      <c r="AH2830" s="73"/>
      <c r="AI2830" s="73"/>
      <c r="AJ2830" s="73"/>
      <c r="AK2830" s="73"/>
    </row>
    <row r="2831">
      <c r="A2831" s="28">
        <v>2830.0</v>
      </c>
      <c r="B2831" s="29"/>
      <c r="C2831" s="29"/>
      <c r="D2831" s="40">
        <v>1.0</v>
      </c>
      <c r="E2831" s="31">
        <v>49.0</v>
      </c>
      <c r="F2831" s="42">
        <v>13.0</v>
      </c>
      <c r="G2831" s="29" t="str">
        <f t="shared" si="1"/>
        <v>49013</v>
      </c>
      <c r="H2831" s="37" t="s">
        <v>2188</v>
      </c>
      <c r="I2831" s="37" t="s">
        <v>114</v>
      </c>
      <c r="J2831" s="37" t="s">
        <v>368</v>
      </c>
      <c r="K2831" s="37" t="str">
        <f t="shared" si="45"/>
        <v>Duchesne, UT</v>
      </c>
      <c r="L2831" s="37" t="s">
        <v>63</v>
      </c>
      <c r="M2831" s="37" t="s">
        <v>63</v>
      </c>
      <c r="N2831" s="37" t="s">
        <v>63</v>
      </c>
      <c r="O2831" s="37" t="s">
        <v>63</v>
      </c>
      <c r="P2831" s="37" t="s">
        <v>63</v>
      </c>
      <c r="Q2831" s="37" t="s">
        <v>63</v>
      </c>
      <c r="R2831" s="37" t="s">
        <v>63</v>
      </c>
      <c r="S2831" s="37" t="s">
        <v>63</v>
      </c>
      <c r="T2831" s="69" t="s">
        <v>63</v>
      </c>
      <c r="U2831" s="37" t="s">
        <v>63</v>
      </c>
      <c r="V2831" s="37" t="s">
        <v>63</v>
      </c>
      <c r="W2831" s="37" t="s">
        <v>63</v>
      </c>
      <c r="X2831" s="37" t="s">
        <v>63</v>
      </c>
      <c r="Y2831" s="53">
        <v>15.0</v>
      </c>
      <c r="Z2831" s="69" t="s">
        <v>63</v>
      </c>
      <c r="AA2831" s="73"/>
      <c r="AB2831" s="73"/>
      <c r="AC2831" s="73"/>
      <c r="AD2831" s="73"/>
      <c r="AE2831" s="73"/>
      <c r="AF2831" s="73"/>
      <c r="AG2831" s="73"/>
      <c r="AH2831" s="73"/>
      <c r="AI2831" s="73"/>
      <c r="AJ2831" s="73"/>
      <c r="AK2831" s="73"/>
    </row>
    <row r="2832">
      <c r="A2832" s="28">
        <v>2831.0</v>
      </c>
      <c r="B2832" s="29"/>
      <c r="C2832" s="29"/>
      <c r="D2832" s="40">
        <v>1.0</v>
      </c>
      <c r="E2832" s="31">
        <v>49.0</v>
      </c>
      <c r="F2832" s="42">
        <v>15.0</v>
      </c>
      <c r="G2832" s="29" t="str">
        <f t="shared" si="1"/>
        <v>49015</v>
      </c>
      <c r="H2832" s="37" t="s">
        <v>2190</v>
      </c>
      <c r="I2832" s="37" t="s">
        <v>114</v>
      </c>
      <c r="J2832" s="37" t="s">
        <v>368</v>
      </c>
      <c r="K2832" s="37" t="str">
        <f t="shared" si="45"/>
        <v>Emery, UT</v>
      </c>
      <c r="L2832" s="37" t="s">
        <v>63</v>
      </c>
      <c r="M2832" s="37" t="s">
        <v>63</v>
      </c>
      <c r="N2832" s="37" t="s">
        <v>63</v>
      </c>
      <c r="O2832" s="37" t="s">
        <v>63</v>
      </c>
      <c r="P2832" s="37" t="s">
        <v>63</v>
      </c>
      <c r="Q2832" s="37" t="s">
        <v>63</v>
      </c>
      <c r="R2832" s="37" t="s">
        <v>63</v>
      </c>
      <c r="S2832" s="37" t="s">
        <v>63</v>
      </c>
      <c r="T2832" s="69" t="s">
        <v>63</v>
      </c>
      <c r="U2832" s="37" t="s">
        <v>63</v>
      </c>
      <c r="V2832" s="37" t="s">
        <v>63</v>
      </c>
      <c r="W2832" s="37" t="s">
        <v>63</v>
      </c>
      <c r="X2832" s="37" t="s">
        <v>63</v>
      </c>
      <c r="Y2832" s="53">
        <v>11.0</v>
      </c>
      <c r="Z2832" s="69" t="s">
        <v>63</v>
      </c>
      <c r="AA2832" s="73"/>
      <c r="AB2832" s="73"/>
      <c r="AC2832" s="73"/>
      <c r="AD2832" s="73"/>
      <c r="AE2832" s="73"/>
      <c r="AF2832" s="73"/>
      <c r="AG2832" s="73"/>
      <c r="AH2832" s="73"/>
      <c r="AI2832" s="73"/>
      <c r="AJ2832" s="73"/>
      <c r="AK2832" s="73"/>
    </row>
    <row r="2833">
      <c r="A2833" s="28">
        <v>2832.0</v>
      </c>
      <c r="B2833" s="29"/>
      <c r="C2833" s="29"/>
      <c r="D2833" s="40">
        <v>1.0</v>
      </c>
      <c r="E2833" s="31">
        <v>49.0</v>
      </c>
      <c r="F2833" s="42">
        <v>17.0</v>
      </c>
      <c r="G2833" s="29" t="str">
        <f t="shared" si="1"/>
        <v>49017</v>
      </c>
      <c r="H2833" s="37" t="s">
        <v>417</v>
      </c>
      <c r="I2833" s="37" t="s">
        <v>114</v>
      </c>
      <c r="J2833" s="37" t="s">
        <v>368</v>
      </c>
      <c r="K2833" s="37" t="str">
        <f t="shared" si="45"/>
        <v>Garfield, UT</v>
      </c>
      <c r="L2833" s="37" t="s">
        <v>63</v>
      </c>
      <c r="M2833" s="37" t="s">
        <v>63</v>
      </c>
      <c r="N2833" s="37" t="s">
        <v>63</v>
      </c>
      <c r="O2833" s="37" t="s">
        <v>63</v>
      </c>
      <c r="P2833" s="37" t="s">
        <v>63</v>
      </c>
      <c r="Q2833" s="37" t="s">
        <v>63</v>
      </c>
      <c r="R2833" s="37" t="s">
        <v>63</v>
      </c>
      <c r="S2833" s="37" t="s">
        <v>63</v>
      </c>
      <c r="T2833" s="69" t="s">
        <v>63</v>
      </c>
      <c r="U2833" s="37" t="s">
        <v>63</v>
      </c>
      <c r="V2833" s="37" t="s">
        <v>63</v>
      </c>
      <c r="W2833" s="37" t="s">
        <v>63</v>
      </c>
      <c r="X2833" s="37" t="s">
        <v>63</v>
      </c>
      <c r="Y2833" s="53">
        <v>8.0</v>
      </c>
      <c r="Z2833" s="69" t="s">
        <v>63</v>
      </c>
      <c r="AA2833" s="73"/>
      <c r="AB2833" s="73"/>
      <c r="AC2833" s="73"/>
      <c r="AD2833" s="73"/>
      <c r="AE2833" s="73"/>
      <c r="AF2833" s="73"/>
      <c r="AG2833" s="73"/>
      <c r="AH2833" s="73"/>
      <c r="AI2833" s="73"/>
      <c r="AJ2833" s="73"/>
      <c r="AK2833" s="73"/>
    </row>
    <row r="2834">
      <c r="A2834" s="28">
        <v>2833.0</v>
      </c>
      <c r="B2834" s="29"/>
      <c r="C2834" s="29"/>
      <c r="D2834" s="40">
        <v>1.0</v>
      </c>
      <c r="E2834" s="31">
        <v>49.0</v>
      </c>
      <c r="F2834" s="42">
        <v>19.0</v>
      </c>
      <c r="G2834" s="29" t="str">
        <f t="shared" si="1"/>
        <v>49019</v>
      </c>
      <c r="H2834" s="37" t="s">
        <v>421</v>
      </c>
      <c r="I2834" s="37" t="s">
        <v>114</v>
      </c>
      <c r="J2834" s="37" t="s">
        <v>368</v>
      </c>
      <c r="K2834" s="37" t="str">
        <f t="shared" si="45"/>
        <v>Grand, UT</v>
      </c>
      <c r="L2834" s="37" t="s">
        <v>63</v>
      </c>
      <c r="M2834" s="37" t="s">
        <v>63</v>
      </c>
      <c r="N2834" s="37" t="s">
        <v>63</v>
      </c>
      <c r="O2834" s="37" t="s">
        <v>63</v>
      </c>
      <c r="P2834" s="37" t="s">
        <v>63</v>
      </c>
      <c r="Q2834" s="37" t="s">
        <v>63</v>
      </c>
      <c r="R2834" s="37" t="s">
        <v>63</v>
      </c>
      <c r="S2834" s="37" t="s">
        <v>63</v>
      </c>
      <c r="T2834" s="69" t="s">
        <v>63</v>
      </c>
      <c r="U2834" s="37" t="s">
        <v>63</v>
      </c>
      <c r="V2834" s="37" t="s">
        <v>63</v>
      </c>
      <c r="W2834" s="37" t="s">
        <v>63</v>
      </c>
      <c r="X2834" s="37" t="s">
        <v>63</v>
      </c>
      <c r="Y2834" s="53">
        <v>10.0</v>
      </c>
      <c r="Z2834" s="69" t="s">
        <v>63</v>
      </c>
      <c r="AA2834" s="73"/>
      <c r="AB2834" s="73"/>
      <c r="AC2834" s="73"/>
      <c r="AD2834" s="73"/>
      <c r="AE2834" s="73"/>
      <c r="AF2834" s="73"/>
      <c r="AG2834" s="73"/>
      <c r="AH2834" s="73"/>
      <c r="AI2834" s="73"/>
      <c r="AJ2834" s="73"/>
      <c r="AK2834" s="73"/>
    </row>
    <row r="2835">
      <c r="A2835" s="28">
        <v>2834.0</v>
      </c>
      <c r="B2835" s="29"/>
      <c r="C2835" s="29"/>
      <c r="D2835" s="40">
        <v>1.0</v>
      </c>
      <c r="E2835" s="31">
        <v>49.0</v>
      </c>
      <c r="F2835" s="42">
        <v>21.0</v>
      </c>
      <c r="G2835" s="29" t="str">
        <f t="shared" si="1"/>
        <v>49021</v>
      </c>
      <c r="H2835" s="37" t="s">
        <v>1259</v>
      </c>
      <c r="I2835" s="37" t="s">
        <v>114</v>
      </c>
      <c r="J2835" s="37" t="s">
        <v>368</v>
      </c>
      <c r="K2835" s="37" t="str">
        <f t="shared" si="45"/>
        <v>Iron, UT</v>
      </c>
      <c r="L2835" s="37" t="s">
        <v>63</v>
      </c>
      <c r="M2835" s="37" t="s">
        <v>63</v>
      </c>
      <c r="N2835" s="37" t="s">
        <v>63</v>
      </c>
      <c r="O2835" s="37" t="s">
        <v>63</v>
      </c>
      <c r="P2835" s="37" t="s">
        <v>63</v>
      </c>
      <c r="Q2835" s="37" t="s">
        <v>63</v>
      </c>
      <c r="R2835" s="37" t="s">
        <v>63</v>
      </c>
      <c r="S2835" s="37" t="s">
        <v>63</v>
      </c>
      <c r="T2835" s="69" t="s">
        <v>63</v>
      </c>
      <c r="U2835" s="37" t="s">
        <v>63</v>
      </c>
      <c r="V2835" s="37" t="s">
        <v>63</v>
      </c>
      <c r="W2835" s="37" t="s">
        <v>63</v>
      </c>
      <c r="X2835" s="37" t="s">
        <v>63</v>
      </c>
      <c r="Y2835" s="53">
        <v>28.0</v>
      </c>
      <c r="Z2835" s="69" t="s">
        <v>63</v>
      </c>
      <c r="AA2835" s="73"/>
      <c r="AB2835" s="73"/>
      <c r="AC2835" s="73"/>
      <c r="AD2835" s="73"/>
      <c r="AE2835" s="73"/>
      <c r="AF2835" s="73"/>
      <c r="AG2835" s="73"/>
      <c r="AH2835" s="73"/>
      <c r="AI2835" s="73"/>
      <c r="AJ2835" s="73"/>
      <c r="AK2835" s="73"/>
    </row>
    <row r="2836">
      <c r="A2836" s="28">
        <v>2835.0</v>
      </c>
      <c r="B2836" s="29"/>
      <c r="C2836" s="29"/>
      <c r="D2836" s="40">
        <v>1.0</v>
      </c>
      <c r="E2836" s="31">
        <v>49.0</v>
      </c>
      <c r="F2836" s="42">
        <v>23.0</v>
      </c>
      <c r="G2836" s="29" t="str">
        <f t="shared" si="1"/>
        <v>49023</v>
      </c>
      <c r="H2836" s="37" t="s">
        <v>2191</v>
      </c>
      <c r="I2836" s="37" t="s">
        <v>114</v>
      </c>
      <c r="J2836" s="37" t="s">
        <v>368</v>
      </c>
      <c r="K2836" s="37" t="str">
        <f t="shared" si="45"/>
        <v>Juab, UT</v>
      </c>
      <c r="L2836" s="37" t="s">
        <v>63</v>
      </c>
      <c r="M2836" s="37" t="s">
        <v>63</v>
      </c>
      <c r="N2836" s="37" t="s">
        <v>63</v>
      </c>
      <c r="O2836" s="37" t="s">
        <v>63</v>
      </c>
      <c r="P2836" s="37" t="s">
        <v>63</v>
      </c>
      <c r="Q2836" s="37" t="s">
        <v>63</v>
      </c>
      <c r="R2836" s="37" t="s">
        <v>63</v>
      </c>
      <c r="S2836" s="37" t="s">
        <v>63</v>
      </c>
      <c r="T2836" s="69" t="s">
        <v>63</v>
      </c>
      <c r="U2836" s="37" t="s">
        <v>63</v>
      </c>
      <c r="V2836" s="37" t="s">
        <v>63</v>
      </c>
      <c r="W2836" s="37" t="s">
        <v>63</v>
      </c>
      <c r="X2836" s="37" t="s">
        <v>63</v>
      </c>
      <c r="Y2836" s="53">
        <v>5.0</v>
      </c>
      <c r="Z2836" s="69" t="s">
        <v>63</v>
      </c>
      <c r="AA2836" s="73"/>
      <c r="AB2836" s="73"/>
      <c r="AC2836" s="73"/>
      <c r="AD2836" s="73"/>
      <c r="AE2836" s="73"/>
      <c r="AF2836" s="73"/>
      <c r="AG2836" s="73"/>
      <c r="AH2836" s="73"/>
      <c r="AI2836" s="73"/>
      <c r="AJ2836" s="73"/>
      <c r="AK2836" s="73"/>
    </row>
    <row r="2837">
      <c r="A2837" s="28">
        <v>2836.0</v>
      </c>
      <c r="B2837" s="29"/>
      <c r="C2837" s="29"/>
      <c r="D2837" s="40">
        <v>1.0</v>
      </c>
      <c r="E2837" s="31">
        <v>49.0</v>
      </c>
      <c r="F2837" s="42">
        <v>25.0</v>
      </c>
      <c r="G2837" s="29" t="str">
        <f t="shared" si="1"/>
        <v>49025</v>
      </c>
      <c r="H2837" s="37" t="s">
        <v>656</v>
      </c>
      <c r="I2837" s="37" t="s">
        <v>114</v>
      </c>
      <c r="J2837" s="37" t="s">
        <v>368</v>
      </c>
      <c r="K2837" s="37" t="str">
        <f t="shared" si="45"/>
        <v>Kane, UT</v>
      </c>
      <c r="L2837" s="37" t="s">
        <v>63</v>
      </c>
      <c r="M2837" s="37" t="s">
        <v>63</v>
      </c>
      <c r="N2837" s="37" t="s">
        <v>63</v>
      </c>
      <c r="O2837" s="37" t="s">
        <v>63</v>
      </c>
      <c r="P2837" s="37" t="s">
        <v>63</v>
      </c>
      <c r="Q2837" s="37" t="s">
        <v>63</v>
      </c>
      <c r="R2837" s="37" t="s">
        <v>63</v>
      </c>
      <c r="S2837" s="37" t="s">
        <v>63</v>
      </c>
      <c r="T2837" s="69" t="s">
        <v>63</v>
      </c>
      <c r="U2837" s="37" t="s">
        <v>63</v>
      </c>
      <c r="V2837" s="37" t="s">
        <v>63</v>
      </c>
      <c r="W2837" s="37" t="s">
        <v>63</v>
      </c>
      <c r="X2837" s="37" t="s">
        <v>63</v>
      </c>
      <c r="Y2837" s="53">
        <v>12.0</v>
      </c>
      <c r="Z2837" s="69" t="s">
        <v>63</v>
      </c>
      <c r="AA2837" s="73"/>
      <c r="AB2837" s="73"/>
      <c r="AC2837" s="73"/>
      <c r="AD2837" s="73"/>
      <c r="AE2837" s="73"/>
      <c r="AF2837" s="73"/>
      <c r="AG2837" s="73"/>
      <c r="AH2837" s="73"/>
      <c r="AI2837" s="73"/>
      <c r="AJ2837" s="73"/>
      <c r="AK2837" s="73"/>
    </row>
    <row r="2838">
      <c r="A2838" s="28">
        <v>2837.0</v>
      </c>
      <c r="B2838" s="29"/>
      <c r="C2838" s="29"/>
      <c r="D2838" s="40">
        <v>1.0</v>
      </c>
      <c r="E2838" s="31">
        <v>49.0</v>
      </c>
      <c r="F2838" s="42">
        <v>27.0</v>
      </c>
      <c r="G2838" s="29" t="str">
        <f t="shared" si="1"/>
        <v>49027</v>
      </c>
      <c r="H2838" s="37" t="s">
        <v>2193</v>
      </c>
      <c r="I2838" s="37" t="s">
        <v>114</v>
      </c>
      <c r="J2838" s="37" t="s">
        <v>368</v>
      </c>
      <c r="K2838" s="37" t="str">
        <f t="shared" si="45"/>
        <v>Millard, UT</v>
      </c>
      <c r="L2838" s="37" t="s">
        <v>63</v>
      </c>
      <c r="M2838" s="37" t="s">
        <v>63</v>
      </c>
      <c r="N2838" s="37" t="s">
        <v>63</v>
      </c>
      <c r="O2838" s="37" t="s">
        <v>63</v>
      </c>
      <c r="P2838" s="37" t="s">
        <v>63</v>
      </c>
      <c r="Q2838" s="37" t="s">
        <v>63</v>
      </c>
      <c r="R2838" s="37" t="s">
        <v>63</v>
      </c>
      <c r="S2838" s="37" t="s">
        <v>63</v>
      </c>
      <c r="T2838" s="69" t="s">
        <v>63</v>
      </c>
      <c r="U2838" s="37" t="s">
        <v>63</v>
      </c>
      <c r="V2838" s="37" t="s">
        <v>63</v>
      </c>
      <c r="W2838" s="37" t="s">
        <v>63</v>
      </c>
      <c r="X2838" s="37" t="s">
        <v>63</v>
      </c>
      <c r="Y2838" s="53">
        <v>15.0</v>
      </c>
      <c r="Z2838" s="69" t="s">
        <v>63</v>
      </c>
      <c r="AA2838" s="73"/>
      <c r="AB2838" s="73"/>
      <c r="AC2838" s="73"/>
      <c r="AD2838" s="73"/>
      <c r="AE2838" s="73"/>
      <c r="AF2838" s="73"/>
      <c r="AG2838" s="73"/>
      <c r="AH2838" s="73"/>
      <c r="AI2838" s="73"/>
      <c r="AJ2838" s="73"/>
      <c r="AK2838" s="73"/>
    </row>
    <row r="2839">
      <c r="A2839" s="28">
        <v>2838.0</v>
      </c>
      <c r="B2839" s="29"/>
      <c r="C2839" s="29"/>
      <c r="D2839" s="40">
        <v>1.0</v>
      </c>
      <c r="E2839" s="31">
        <v>49.0</v>
      </c>
      <c r="F2839" s="42">
        <v>29.0</v>
      </c>
      <c r="G2839" s="29" t="str">
        <f t="shared" si="1"/>
        <v>49029</v>
      </c>
      <c r="H2839" s="37" t="s">
        <v>158</v>
      </c>
      <c r="I2839" s="37" t="s">
        <v>114</v>
      </c>
      <c r="J2839" s="37" t="s">
        <v>368</v>
      </c>
      <c r="K2839" s="37" t="str">
        <f t="shared" si="45"/>
        <v>Morgan, UT</v>
      </c>
      <c r="L2839" s="37" t="s">
        <v>63</v>
      </c>
      <c r="M2839" s="37" t="s">
        <v>63</v>
      </c>
      <c r="N2839" s="37" t="s">
        <v>63</v>
      </c>
      <c r="O2839" s="37" t="s">
        <v>63</v>
      </c>
      <c r="P2839" s="37" t="s">
        <v>63</v>
      </c>
      <c r="Q2839" s="37" t="s">
        <v>63</v>
      </c>
      <c r="R2839" s="37" t="s">
        <v>63</v>
      </c>
      <c r="S2839" s="37" t="s">
        <v>63</v>
      </c>
      <c r="T2839" s="69" t="s">
        <v>63</v>
      </c>
      <c r="U2839" s="37" t="s">
        <v>63</v>
      </c>
      <c r="V2839" s="37" t="s">
        <v>63</v>
      </c>
      <c r="W2839" s="37" t="s">
        <v>63</v>
      </c>
      <c r="X2839" s="37" t="s">
        <v>63</v>
      </c>
      <c r="Y2839" s="53">
        <v>5.0</v>
      </c>
      <c r="Z2839" s="69" t="s">
        <v>63</v>
      </c>
      <c r="AA2839" s="73"/>
      <c r="AB2839" s="73"/>
      <c r="AC2839" s="73"/>
      <c r="AD2839" s="73"/>
      <c r="AE2839" s="73"/>
      <c r="AF2839" s="73"/>
      <c r="AG2839" s="73"/>
      <c r="AH2839" s="73"/>
      <c r="AI2839" s="73"/>
      <c r="AJ2839" s="73"/>
      <c r="AK2839" s="73"/>
    </row>
    <row r="2840">
      <c r="A2840" s="28">
        <v>2839.0</v>
      </c>
      <c r="B2840" s="29"/>
      <c r="C2840" s="29"/>
      <c r="D2840" s="40">
        <v>1.0</v>
      </c>
      <c r="E2840" s="31">
        <v>49.0</v>
      </c>
      <c r="F2840" s="42">
        <v>31.0</v>
      </c>
      <c r="G2840" s="29" t="str">
        <f t="shared" si="1"/>
        <v>49031</v>
      </c>
      <c r="H2840" s="37" t="s">
        <v>2194</v>
      </c>
      <c r="I2840" s="37" t="s">
        <v>114</v>
      </c>
      <c r="J2840" s="37" t="s">
        <v>368</v>
      </c>
      <c r="K2840" s="37" t="str">
        <f t="shared" si="45"/>
        <v>Piute, UT</v>
      </c>
      <c r="L2840" s="37" t="s">
        <v>63</v>
      </c>
      <c r="M2840" s="37" t="s">
        <v>63</v>
      </c>
      <c r="N2840" s="37" t="s">
        <v>63</v>
      </c>
      <c r="O2840" s="37" t="s">
        <v>63</v>
      </c>
      <c r="P2840" s="37" t="s">
        <v>63</v>
      </c>
      <c r="Q2840" s="37" t="s">
        <v>63</v>
      </c>
      <c r="R2840" s="37" t="s">
        <v>63</v>
      </c>
      <c r="S2840" s="37" t="s">
        <v>63</v>
      </c>
      <c r="T2840" s="69" t="s">
        <v>63</v>
      </c>
      <c r="U2840" s="37" t="s">
        <v>63</v>
      </c>
      <c r="V2840" s="37" t="s">
        <v>63</v>
      </c>
      <c r="W2840" s="37" t="s">
        <v>63</v>
      </c>
      <c r="X2840" s="37" t="s">
        <v>63</v>
      </c>
      <c r="Y2840" s="53">
        <v>2.0</v>
      </c>
      <c r="Z2840" s="69" t="s">
        <v>63</v>
      </c>
      <c r="AA2840" s="73"/>
      <c r="AB2840" s="73"/>
      <c r="AC2840" s="73"/>
      <c r="AD2840" s="73"/>
      <c r="AE2840" s="73"/>
      <c r="AF2840" s="73"/>
      <c r="AG2840" s="73"/>
      <c r="AH2840" s="73"/>
      <c r="AI2840" s="73"/>
      <c r="AJ2840" s="73"/>
      <c r="AK2840" s="73"/>
    </row>
    <row r="2841">
      <c r="A2841" s="28">
        <v>2840.0</v>
      </c>
      <c r="B2841" s="29"/>
      <c r="C2841" s="29"/>
      <c r="D2841" s="40">
        <v>1.0</v>
      </c>
      <c r="E2841" s="31">
        <v>49.0</v>
      </c>
      <c r="F2841" s="42">
        <v>33.0</v>
      </c>
      <c r="G2841" s="29" t="str">
        <f t="shared" si="1"/>
        <v>49033</v>
      </c>
      <c r="H2841" s="37" t="s">
        <v>2195</v>
      </c>
      <c r="I2841" s="37" t="s">
        <v>114</v>
      </c>
      <c r="J2841" s="37" t="s">
        <v>368</v>
      </c>
      <c r="K2841" s="37" t="str">
        <f t="shared" si="45"/>
        <v>Rich, UT</v>
      </c>
      <c r="L2841" s="37" t="s">
        <v>63</v>
      </c>
      <c r="M2841" s="37" t="s">
        <v>63</v>
      </c>
      <c r="N2841" s="37" t="s">
        <v>63</v>
      </c>
      <c r="O2841" s="37" t="s">
        <v>63</v>
      </c>
      <c r="P2841" s="37" t="s">
        <v>63</v>
      </c>
      <c r="Q2841" s="37" t="s">
        <v>63</v>
      </c>
      <c r="R2841" s="37" t="s">
        <v>63</v>
      </c>
      <c r="S2841" s="37" t="s">
        <v>63</v>
      </c>
      <c r="T2841" s="69" t="s">
        <v>63</v>
      </c>
      <c r="U2841" s="37" t="s">
        <v>63</v>
      </c>
      <c r="V2841" s="37" t="s">
        <v>63</v>
      </c>
      <c r="W2841" s="37" t="s">
        <v>63</v>
      </c>
      <c r="X2841" s="37" t="s">
        <v>63</v>
      </c>
      <c r="Y2841" s="53">
        <v>5.0</v>
      </c>
      <c r="Z2841" s="69" t="s">
        <v>63</v>
      </c>
      <c r="AA2841" s="73"/>
      <c r="AB2841" s="73"/>
      <c r="AC2841" s="73"/>
      <c r="AD2841" s="73"/>
      <c r="AE2841" s="73"/>
      <c r="AF2841" s="73"/>
      <c r="AG2841" s="73"/>
      <c r="AH2841" s="73"/>
      <c r="AI2841" s="73"/>
      <c r="AJ2841" s="73"/>
      <c r="AK2841" s="73"/>
    </row>
    <row r="2842">
      <c r="A2842" s="28">
        <v>2841.0</v>
      </c>
      <c r="B2842" s="29"/>
      <c r="C2842" s="29"/>
      <c r="D2842" s="40">
        <v>1.0</v>
      </c>
      <c r="E2842" s="31">
        <v>49.0</v>
      </c>
      <c r="F2842" s="42">
        <v>35.0</v>
      </c>
      <c r="G2842" s="29" t="str">
        <f t="shared" si="1"/>
        <v>49035</v>
      </c>
      <c r="H2842" s="37" t="s">
        <v>367</v>
      </c>
      <c r="I2842" s="37" t="s">
        <v>114</v>
      </c>
      <c r="J2842" s="37" t="s">
        <v>368</v>
      </c>
      <c r="K2842" s="37" t="str">
        <f t="shared" si="45"/>
        <v>Salt Lake, UT</v>
      </c>
      <c r="L2842" s="37" t="s">
        <v>63</v>
      </c>
      <c r="M2842" s="37" t="s">
        <v>63</v>
      </c>
      <c r="N2842" s="37" t="s">
        <v>63</v>
      </c>
      <c r="O2842" s="37" t="s">
        <v>63</v>
      </c>
      <c r="P2842" s="37" t="s">
        <v>63</v>
      </c>
      <c r="Q2842" s="37" t="s">
        <v>63</v>
      </c>
      <c r="R2842" s="37" t="s">
        <v>63</v>
      </c>
      <c r="S2842" s="37" t="s">
        <v>63</v>
      </c>
      <c r="T2842" s="69" t="s">
        <v>63</v>
      </c>
      <c r="U2842" s="37" t="s">
        <v>63</v>
      </c>
      <c r="V2842" s="37" t="s">
        <v>63</v>
      </c>
      <c r="W2842" s="37" t="s">
        <v>63</v>
      </c>
      <c r="X2842" s="37" t="s">
        <v>63</v>
      </c>
      <c r="Y2842" s="53">
        <v>510.0</v>
      </c>
      <c r="Z2842" s="69" t="s">
        <v>63</v>
      </c>
      <c r="AA2842" s="73"/>
      <c r="AB2842" s="73"/>
      <c r="AC2842" s="73"/>
      <c r="AD2842" s="73"/>
      <c r="AE2842" s="73"/>
      <c r="AF2842" s="73"/>
      <c r="AG2842" s="73"/>
      <c r="AH2842" s="73"/>
      <c r="AI2842" s="73"/>
      <c r="AJ2842" s="73"/>
      <c r="AK2842" s="73"/>
    </row>
    <row r="2843">
      <c r="A2843" s="28">
        <v>2842.0</v>
      </c>
      <c r="B2843" s="29"/>
      <c r="C2843" s="29"/>
      <c r="D2843" s="40">
        <v>1.0</v>
      </c>
      <c r="E2843" s="31">
        <v>49.0</v>
      </c>
      <c r="F2843" s="42">
        <v>37.0</v>
      </c>
      <c r="G2843" s="29" t="str">
        <f t="shared" si="1"/>
        <v>49037</v>
      </c>
      <c r="H2843" s="37" t="s">
        <v>457</v>
      </c>
      <c r="I2843" s="37" t="s">
        <v>114</v>
      </c>
      <c r="J2843" s="37" t="s">
        <v>368</v>
      </c>
      <c r="K2843" s="37" t="str">
        <f t="shared" si="45"/>
        <v>San Juan, UT</v>
      </c>
      <c r="L2843" s="37" t="s">
        <v>63</v>
      </c>
      <c r="M2843" s="37" t="s">
        <v>63</v>
      </c>
      <c r="N2843" s="37" t="s">
        <v>63</v>
      </c>
      <c r="O2843" s="37" t="s">
        <v>63</v>
      </c>
      <c r="P2843" s="37" t="s">
        <v>63</v>
      </c>
      <c r="Q2843" s="37" t="s">
        <v>63</v>
      </c>
      <c r="R2843" s="37" t="s">
        <v>63</v>
      </c>
      <c r="S2843" s="37" t="s">
        <v>63</v>
      </c>
      <c r="T2843" s="69" t="s">
        <v>63</v>
      </c>
      <c r="U2843" s="37" t="s">
        <v>63</v>
      </c>
      <c r="V2843" s="37" t="s">
        <v>63</v>
      </c>
      <c r="W2843" s="37" t="s">
        <v>63</v>
      </c>
      <c r="X2843" s="37" t="s">
        <v>63</v>
      </c>
      <c r="Y2843" s="53">
        <v>7.0</v>
      </c>
      <c r="Z2843" s="69" t="s">
        <v>63</v>
      </c>
      <c r="AA2843" s="73"/>
      <c r="AB2843" s="73"/>
      <c r="AC2843" s="73"/>
      <c r="AD2843" s="73"/>
      <c r="AE2843" s="73"/>
      <c r="AF2843" s="73"/>
      <c r="AG2843" s="73"/>
      <c r="AH2843" s="73"/>
      <c r="AI2843" s="73"/>
      <c r="AJ2843" s="73"/>
      <c r="AK2843" s="73"/>
    </row>
    <row r="2844">
      <c r="A2844" s="28">
        <v>2843.0</v>
      </c>
      <c r="B2844" s="29"/>
      <c r="C2844" s="29"/>
      <c r="D2844" s="40">
        <v>1.0</v>
      </c>
      <c r="E2844" s="31">
        <v>49.0</v>
      </c>
      <c r="F2844" s="42">
        <v>39.0</v>
      </c>
      <c r="G2844" s="29" t="str">
        <f t="shared" si="1"/>
        <v>49039</v>
      </c>
      <c r="H2844" s="37" t="s">
        <v>2197</v>
      </c>
      <c r="I2844" s="37" t="s">
        <v>114</v>
      </c>
      <c r="J2844" s="37" t="s">
        <v>368</v>
      </c>
      <c r="K2844" s="37" t="str">
        <f t="shared" si="45"/>
        <v>Sanpete, UT</v>
      </c>
      <c r="L2844" s="37" t="s">
        <v>63</v>
      </c>
      <c r="M2844" s="37" t="s">
        <v>63</v>
      </c>
      <c r="N2844" s="37" t="s">
        <v>63</v>
      </c>
      <c r="O2844" s="37" t="s">
        <v>63</v>
      </c>
      <c r="P2844" s="37" t="s">
        <v>63</v>
      </c>
      <c r="Q2844" s="37" t="s">
        <v>63</v>
      </c>
      <c r="R2844" s="37" t="s">
        <v>63</v>
      </c>
      <c r="S2844" s="37" t="s">
        <v>63</v>
      </c>
      <c r="T2844" s="69" t="s">
        <v>63</v>
      </c>
      <c r="U2844" s="37" t="s">
        <v>63</v>
      </c>
      <c r="V2844" s="37" t="s">
        <v>63</v>
      </c>
      <c r="W2844" s="37" t="s">
        <v>63</v>
      </c>
      <c r="X2844" s="37" t="s">
        <v>63</v>
      </c>
      <c r="Y2844" s="53">
        <v>15.0</v>
      </c>
      <c r="Z2844" s="69" t="s">
        <v>63</v>
      </c>
      <c r="AA2844" s="73"/>
      <c r="AB2844" s="73"/>
      <c r="AC2844" s="73"/>
      <c r="AD2844" s="73"/>
      <c r="AE2844" s="73"/>
      <c r="AF2844" s="73"/>
      <c r="AG2844" s="73"/>
      <c r="AH2844" s="73"/>
      <c r="AI2844" s="73"/>
      <c r="AJ2844" s="73"/>
      <c r="AK2844" s="73"/>
    </row>
    <row r="2845">
      <c r="A2845" s="28">
        <v>2844.0</v>
      </c>
      <c r="B2845" s="29"/>
      <c r="C2845" s="29"/>
      <c r="D2845" s="40">
        <v>1.0</v>
      </c>
      <c r="E2845" s="31">
        <v>49.0</v>
      </c>
      <c r="F2845" s="42">
        <v>41.0</v>
      </c>
      <c r="G2845" s="29" t="str">
        <f t="shared" si="1"/>
        <v>49041</v>
      </c>
      <c r="H2845" s="37" t="s">
        <v>312</v>
      </c>
      <c r="I2845" s="37" t="s">
        <v>114</v>
      </c>
      <c r="J2845" s="37" t="s">
        <v>368</v>
      </c>
      <c r="K2845" s="37" t="str">
        <f t="shared" si="45"/>
        <v>Sevier, UT</v>
      </c>
      <c r="L2845" s="37" t="s">
        <v>63</v>
      </c>
      <c r="M2845" s="37" t="s">
        <v>63</v>
      </c>
      <c r="N2845" s="37" t="s">
        <v>63</v>
      </c>
      <c r="O2845" s="37" t="s">
        <v>63</v>
      </c>
      <c r="P2845" s="37" t="s">
        <v>63</v>
      </c>
      <c r="Q2845" s="37" t="s">
        <v>63</v>
      </c>
      <c r="R2845" s="37" t="s">
        <v>63</v>
      </c>
      <c r="S2845" s="37" t="s">
        <v>63</v>
      </c>
      <c r="T2845" s="69" t="s">
        <v>63</v>
      </c>
      <c r="U2845" s="37" t="s">
        <v>63</v>
      </c>
      <c r="V2845" s="37" t="s">
        <v>63</v>
      </c>
      <c r="W2845" s="37" t="s">
        <v>63</v>
      </c>
      <c r="X2845" s="37" t="s">
        <v>63</v>
      </c>
      <c r="Y2845" s="53">
        <v>19.0</v>
      </c>
      <c r="Z2845" s="69" t="s">
        <v>63</v>
      </c>
      <c r="AA2845" s="73"/>
      <c r="AB2845" s="73"/>
      <c r="AC2845" s="73"/>
      <c r="AD2845" s="73"/>
      <c r="AE2845" s="73"/>
      <c r="AF2845" s="73"/>
      <c r="AG2845" s="73"/>
      <c r="AH2845" s="73"/>
      <c r="AI2845" s="73"/>
      <c r="AJ2845" s="73"/>
      <c r="AK2845" s="73"/>
    </row>
    <row r="2846">
      <c r="A2846" s="28">
        <v>2845.0</v>
      </c>
      <c r="B2846" s="29"/>
      <c r="C2846" s="29"/>
      <c r="D2846" s="40">
        <v>1.0</v>
      </c>
      <c r="E2846" s="31">
        <v>49.0</v>
      </c>
      <c r="F2846" s="42">
        <v>43.0</v>
      </c>
      <c r="G2846" s="29" t="str">
        <f t="shared" si="1"/>
        <v>49043</v>
      </c>
      <c r="H2846" s="37" t="s">
        <v>461</v>
      </c>
      <c r="I2846" s="37" t="s">
        <v>114</v>
      </c>
      <c r="J2846" s="37" t="s">
        <v>368</v>
      </c>
      <c r="K2846" s="37" t="str">
        <f t="shared" si="45"/>
        <v>Summit, UT</v>
      </c>
      <c r="L2846" s="37" t="s">
        <v>63</v>
      </c>
      <c r="M2846" s="37" t="s">
        <v>63</v>
      </c>
      <c r="N2846" s="37" t="s">
        <v>63</v>
      </c>
      <c r="O2846" s="37" t="s">
        <v>63</v>
      </c>
      <c r="P2846" s="37" t="s">
        <v>63</v>
      </c>
      <c r="Q2846" s="37" t="s">
        <v>63</v>
      </c>
      <c r="R2846" s="37" t="s">
        <v>63</v>
      </c>
      <c r="S2846" s="37" t="s">
        <v>63</v>
      </c>
      <c r="T2846" s="69" t="s">
        <v>63</v>
      </c>
      <c r="U2846" s="37" t="s">
        <v>63</v>
      </c>
      <c r="V2846" s="37" t="s">
        <v>63</v>
      </c>
      <c r="W2846" s="37" t="s">
        <v>63</v>
      </c>
      <c r="X2846" s="37" t="s">
        <v>63</v>
      </c>
      <c r="Y2846" s="53">
        <v>20.0</v>
      </c>
      <c r="Z2846" s="69" t="s">
        <v>63</v>
      </c>
      <c r="AA2846" s="73"/>
      <c r="AB2846" s="73"/>
      <c r="AC2846" s="73"/>
      <c r="AD2846" s="73"/>
      <c r="AE2846" s="73"/>
      <c r="AF2846" s="73"/>
      <c r="AG2846" s="73"/>
      <c r="AH2846" s="73"/>
      <c r="AI2846" s="73"/>
      <c r="AJ2846" s="73"/>
      <c r="AK2846" s="73"/>
    </row>
    <row r="2847">
      <c r="A2847" s="28">
        <v>2846.0</v>
      </c>
      <c r="B2847" s="29"/>
      <c r="C2847" s="29"/>
      <c r="D2847" s="40">
        <v>1.0</v>
      </c>
      <c r="E2847" s="31">
        <v>49.0</v>
      </c>
      <c r="F2847" s="42">
        <v>45.0</v>
      </c>
      <c r="G2847" s="29" t="str">
        <f t="shared" si="1"/>
        <v>49045</v>
      </c>
      <c r="H2847" s="37" t="s">
        <v>2198</v>
      </c>
      <c r="I2847" s="37" t="s">
        <v>114</v>
      </c>
      <c r="J2847" s="37" t="s">
        <v>368</v>
      </c>
      <c r="K2847" s="37" t="str">
        <f t="shared" si="45"/>
        <v>Tooele, UT</v>
      </c>
      <c r="L2847" s="37" t="s">
        <v>63</v>
      </c>
      <c r="M2847" s="37" t="s">
        <v>63</v>
      </c>
      <c r="N2847" s="37" t="s">
        <v>63</v>
      </c>
      <c r="O2847" s="37" t="s">
        <v>63</v>
      </c>
      <c r="P2847" s="37" t="s">
        <v>63</v>
      </c>
      <c r="Q2847" s="37" t="s">
        <v>63</v>
      </c>
      <c r="R2847" s="37" t="s">
        <v>63</v>
      </c>
      <c r="S2847" s="37" t="s">
        <v>63</v>
      </c>
      <c r="T2847" s="69" t="s">
        <v>63</v>
      </c>
      <c r="U2847" s="37" t="s">
        <v>63</v>
      </c>
      <c r="V2847" s="37" t="s">
        <v>63</v>
      </c>
      <c r="W2847" s="37" t="s">
        <v>63</v>
      </c>
      <c r="X2847" s="37" t="s">
        <v>63</v>
      </c>
      <c r="Y2847" s="53">
        <v>42.0</v>
      </c>
      <c r="Z2847" s="69" t="s">
        <v>63</v>
      </c>
      <c r="AA2847" s="73"/>
      <c r="AB2847" s="73"/>
      <c r="AC2847" s="73"/>
      <c r="AD2847" s="73"/>
      <c r="AE2847" s="73"/>
      <c r="AF2847" s="73"/>
      <c r="AG2847" s="73"/>
      <c r="AH2847" s="73"/>
      <c r="AI2847" s="73"/>
      <c r="AJ2847" s="73"/>
      <c r="AK2847" s="73"/>
    </row>
    <row r="2848">
      <c r="A2848" s="28">
        <v>2847.0</v>
      </c>
      <c r="B2848" s="29"/>
      <c r="C2848" s="29"/>
      <c r="D2848" s="40">
        <v>1.0</v>
      </c>
      <c r="E2848" s="31">
        <v>49.0</v>
      </c>
      <c r="F2848" s="42">
        <v>47.0</v>
      </c>
      <c r="G2848" s="29" t="str">
        <f t="shared" si="1"/>
        <v>49047</v>
      </c>
      <c r="H2848" s="37" t="s">
        <v>2199</v>
      </c>
      <c r="I2848" s="37" t="s">
        <v>114</v>
      </c>
      <c r="J2848" s="37" t="s">
        <v>368</v>
      </c>
      <c r="K2848" s="37" t="str">
        <f t="shared" si="45"/>
        <v>Uintah, UT</v>
      </c>
      <c r="L2848" s="37" t="s">
        <v>63</v>
      </c>
      <c r="M2848" s="37" t="s">
        <v>63</v>
      </c>
      <c r="N2848" s="37" t="s">
        <v>63</v>
      </c>
      <c r="O2848" s="37" t="s">
        <v>63</v>
      </c>
      <c r="P2848" s="37" t="s">
        <v>63</v>
      </c>
      <c r="Q2848" s="37" t="s">
        <v>63</v>
      </c>
      <c r="R2848" s="37" t="s">
        <v>63</v>
      </c>
      <c r="S2848" s="37" t="s">
        <v>63</v>
      </c>
      <c r="T2848" s="69" t="s">
        <v>63</v>
      </c>
      <c r="U2848" s="37" t="s">
        <v>63</v>
      </c>
      <c r="V2848" s="37" t="s">
        <v>63</v>
      </c>
      <c r="W2848" s="37" t="s">
        <v>63</v>
      </c>
      <c r="X2848" s="37" t="s">
        <v>63</v>
      </c>
      <c r="Y2848" s="53">
        <v>23.0</v>
      </c>
      <c r="Z2848" s="69" t="s">
        <v>63</v>
      </c>
      <c r="AA2848" s="73"/>
      <c r="AB2848" s="73"/>
      <c r="AC2848" s="73"/>
      <c r="AD2848" s="73"/>
      <c r="AE2848" s="73"/>
      <c r="AF2848" s="73"/>
      <c r="AG2848" s="73"/>
      <c r="AH2848" s="73"/>
      <c r="AI2848" s="73"/>
      <c r="AJ2848" s="73"/>
      <c r="AK2848" s="73"/>
    </row>
    <row r="2849">
      <c r="A2849" s="28">
        <v>2848.0</v>
      </c>
      <c r="B2849" s="29"/>
      <c r="C2849" s="29"/>
      <c r="D2849" s="40">
        <v>1.0</v>
      </c>
      <c r="E2849" s="31">
        <v>49.0</v>
      </c>
      <c r="F2849" s="42">
        <v>49.0</v>
      </c>
      <c r="G2849" s="29" t="str">
        <f t="shared" si="1"/>
        <v>49049</v>
      </c>
      <c r="H2849" s="37" t="s">
        <v>114</v>
      </c>
      <c r="I2849" s="37" t="s">
        <v>114</v>
      </c>
      <c r="J2849" s="37" t="s">
        <v>368</v>
      </c>
      <c r="K2849" s="37" t="str">
        <f t="shared" si="45"/>
        <v>Utah, UT</v>
      </c>
      <c r="L2849" s="37" t="s">
        <v>63</v>
      </c>
      <c r="M2849" s="37" t="s">
        <v>63</v>
      </c>
      <c r="N2849" s="37" t="s">
        <v>63</v>
      </c>
      <c r="O2849" s="37" t="s">
        <v>63</v>
      </c>
      <c r="P2849" s="37" t="s">
        <v>63</v>
      </c>
      <c r="Q2849" s="37" t="s">
        <v>63</v>
      </c>
      <c r="R2849" s="37" t="s">
        <v>63</v>
      </c>
      <c r="S2849" s="37" t="s">
        <v>63</v>
      </c>
      <c r="T2849" s="69" t="s">
        <v>63</v>
      </c>
      <c r="U2849" s="37" t="s">
        <v>63</v>
      </c>
      <c r="V2849" s="37" t="s">
        <v>63</v>
      </c>
      <c r="W2849" s="37" t="s">
        <v>63</v>
      </c>
      <c r="X2849" s="37" t="s">
        <v>63</v>
      </c>
      <c r="Y2849" s="53">
        <v>106.0</v>
      </c>
      <c r="Z2849" s="69" t="s">
        <v>63</v>
      </c>
      <c r="AA2849" s="73"/>
      <c r="AB2849" s="73"/>
      <c r="AC2849" s="73"/>
      <c r="AD2849" s="73"/>
      <c r="AE2849" s="73"/>
      <c r="AF2849" s="73"/>
      <c r="AG2849" s="73"/>
      <c r="AH2849" s="73"/>
      <c r="AI2849" s="73"/>
      <c r="AJ2849" s="73"/>
      <c r="AK2849" s="73"/>
    </row>
    <row r="2850">
      <c r="A2850" s="28">
        <v>2849.0</v>
      </c>
      <c r="B2850" s="29"/>
      <c r="C2850" s="29"/>
      <c r="D2850" s="40">
        <v>1.0</v>
      </c>
      <c r="E2850" s="31">
        <v>49.0</v>
      </c>
      <c r="F2850" s="42">
        <v>51.0</v>
      </c>
      <c r="G2850" s="29" t="str">
        <f t="shared" si="1"/>
        <v>49051</v>
      </c>
      <c r="H2850" s="37" t="s">
        <v>2200</v>
      </c>
      <c r="I2850" s="37" t="s">
        <v>114</v>
      </c>
      <c r="J2850" s="37" t="s">
        <v>368</v>
      </c>
      <c r="K2850" s="37" t="str">
        <f t="shared" si="45"/>
        <v>Wasatch, UT</v>
      </c>
      <c r="L2850" s="37" t="s">
        <v>63</v>
      </c>
      <c r="M2850" s="37" t="s">
        <v>63</v>
      </c>
      <c r="N2850" s="37" t="s">
        <v>63</v>
      </c>
      <c r="O2850" s="37" t="s">
        <v>63</v>
      </c>
      <c r="P2850" s="37" t="s">
        <v>63</v>
      </c>
      <c r="Q2850" s="37" t="s">
        <v>63</v>
      </c>
      <c r="R2850" s="37" t="s">
        <v>63</v>
      </c>
      <c r="S2850" s="37" t="s">
        <v>63</v>
      </c>
      <c r="T2850" s="69" t="s">
        <v>63</v>
      </c>
      <c r="U2850" s="37" t="s">
        <v>63</v>
      </c>
      <c r="V2850" s="37" t="s">
        <v>63</v>
      </c>
      <c r="W2850" s="37" t="s">
        <v>63</v>
      </c>
      <c r="X2850" s="37" t="s">
        <v>63</v>
      </c>
      <c r="Y2850" s="53">
        <v>14.0</v>
      </c>
      <c r="Z2850" s="69" t="s">
        <v>63</v>
      </c>
      <c r="AA2850" s="73"/>
      <c r="AB2850" s="73"/>
      <c r="AC2850" s="73"/>
      <c r="AD2850" s="73"/>
      <c r="AE2850" s="73"/>
      <c r="AF2850" s="73"/>
      <c r="AG2850" s="73"/>
      <c r="AH2850" s="73"/>
      <c r="AI2850" s="73"/>
      <c r="AJ2850" s="73"/>
      <c r="AK2850" s="73"/>
    </row>
    <row r="2851">
      <c r="A2851" s="28">
        <v>2850.0</v>
      </c>
      <c r="B2851" s="29"/>
      <c r="C2851" s="29"/>
      <c r="D2851" s="40">
        <v>1.0</v>
      </c>
      <c r="E2851" s="31">
        <v>49.0</v>
      </c>
      <c r="F2851" s="42">
        <v>53.0</v>
      </c>
      <c r="G2851" s="29" t="str">
        <f t="shared" si="1"/>
        <v>49053</v>
      </c>
      <c r="H2851" s="37" t="s">
        <v>119</v>
      </c>
      <c r="I2851" s="37" t="s">
        <v>114</v>
      </c>
      <c r="J2851" s="37" t="s">
        <v>368</v>
      </c>
      <c r="K2851" s="37" t="str">
        <f t="shared" si="45"/>
        <v>Washington, UT</v>
      </c>
      <c r="L2851" s="37" t="s">
        <v>63</v>
      </c>
      <c r="M2851" s="37" t="s">
        <v>63</v>
      </c>
      <c r="N2851" s="37" t="s">
        <v>63</v>
      </c>
      <c r="O2851" s="37" t="s">
        <v>63</v>
      </c>
      <c r="P2851" s="37" t="s">
        <v>63</v>
      </c>
      <c r="Q2851" s="37" t="s">
        <v>63</v>
      </c>
      <c r="R2851" s="37" t="s">
        <v>63</v>
      </c>
      <c r="S2851" s="37" t="s">
        <v>63</v>
      </c>
      <c r="T2851" s="69" t="s">
        <v>63</v>
      </c>
      <c r="U2851" s="37" t="s">
        <v>63</v>
      </c>
      <c r="V2851" s="37" t="s">
        <v>63</v>
      </c>
      <c r="W2851" s="37" t="s">
        <v>63</v>
      </c>
      <c r="X2851" s="37" t="s">
        <v>63</v>
      </c>
      <c r="Y2851" s="53">
        <v>102.0</v>
      </c>
      <c r="Z2851" s="69" t="s">
        <v>63</v>
      </c>
      <c r="AA2851" s="73"/>
      <c r="AB2851" s="73"/>
      <c r="AC2851" s="73"/>
      <c r="AD2851" s="73"/>
      <c r="AE2851" s="73"/>
      <c r="AF2851" s="73"/>
      <c r="AG2851" s="73"/>
      <c r="AH2851" s="73"/>
      <c r="AI2851" s="73"/>
      <c r="AJ2851" s="73"/>
      <c r="AK2851" s="73"/>
    </row>
    <row r="2852">
      <c r="A2852" s="28">
        <v>2851.0</v>
      </c>
      <c r="B2852" s="29"/>
      <c r="C2852" s="29"/>
      <c r="D2852" s="40">
        <v>1.0</v>
      </c>
      <c r="E2852" s="31">
        <v>49.0</v>
      </c>
      <c r="F2852" s="42">
        <v>55.0</v>
      </c>
      <c r="G2852" s="29" t="str">
        <f t="shared" si="1"/>
        <v>49055</v>
      </c>
      <c r="H2852" s="37" t="s">
        <v>273</v>
      </c>
      <c r="I2852" s="37" t="s">
        <v>114</v>
      </c>
      <c r="J2852" s="37" t="s">
        <v>368</v>
      </c>
      <c r="K2852" s="37" t="str">
        <f t="shared" si="45"/>
        <v>Wayne, UT</v>
      </c>
      <c r="L2852" s="37" t="s">
        <v>63</v>
      </c>
      <c r="M2852" s="37" t="s">
        <v>63</v>
      </c>
      <c r="N2852" s="37" t="s">
        <v>63</v>
      </c>
      <c r="O2852" s="37" t="s">
        <v>63</v>
      </c>
      <c r="P2852" s="37" t="s">
        <v>63</v>
      </c>
      <c r="Q2852" s="37" t="s">
        <v>63</v>
      </c>
      <c r="R2852" s="37" t="s">
        <v>63</v>
      </c>
      <c r="S2852" s="37" t="s">
        <v>63</v>
      </c>
      <c r="T2852" s="69" t="s">
        <v>63</v>
      </c>
      <c r="U2852" s="37" t="s">
        <v>63</v>
      </c>
      <c r="V2852" s="37" t="s">
        <v>63</v>
      </c>
      <c r="W2852" s="37" t="s">
        <v>63</v>
      </c>
      <c r="X2852" s="37" t="s">
        <v>63</v>
      </c>
      <c r="Y2852" s="53">
        <v>5.0</v>
      </c>
      <c r="Z2852" s="69" t="s">
        <v>63</v>
      </c>
      <c r="AA2852" s="73"/>
      <c r="AB2852" s="73"/>
      <c r="AC2852" s="73"/>
      <c r="AD2852" s="73"/>
      <c r="AE2852" s="73"/>
      <c r="AF2852" s="73"/>
      <c r="AG2852" s="73"/>
      <c r="AH2852" s="73"/>
      <c r="AI2852" s="73"/>
      <c r="AJ2852" s="73"/>
      <c r="AK2852" s="73"/>
    </row>
    <row r="2853">
      <c r="A2853" s="28">
        <v>2852.0</v>
      </c>
      <c r="B2853" s="29"/>
      <c r="C2853" s="29"/>
      <c r="D2853" s="40">
        <v>1.0</v>
      </c>
      <c r="E2853" s="31">
        <v>49.0</v>
      </c>
      <c r="F2853" s="42">
        <v>57.0</v>
      </c>
      <c r="G2853" s="29" t="str">
        <f t="shared" si="1"/>
        <v>49057</v>
      </c>
      <c r="H2853" s="37" t="s">
        <v>2202</v>
      </c>
      <c r="I2853" s="37" t="s">
        <v>114</v>
      </c>
      <c r="J2853" s="37" t="s">
        <v>368</v>
      </c>
      <c r="K2853" s="37" t="str">
        <f t="shared" si="45"/>
        <v>Weber, UT</v>
      </c>
      <c r="L2853" s="37" t="s">
        <v>63</v>
      </c>
      <c r="M2853" s="37" t="s">
        <v>63</v>
      </c>
      <c r="N2853" s="37" t="s">
        <v>63</v>
      </c>
      <c r="O2853" s="37" t="s">
        <v>63</v>
      </c>
      <c r="P2853" s="37" t="s">
        <v>63</v>
      </c>
      <c r="Q2853" s="37" t="s">
        <v>63</v>
      </c>
      <c r="R2853" s="37" t="s">
        <v>63</v>
      </c>
      <c r="S2853" s="37" t="s">
        <v>63</v>
      </c>
      <c r="T2853" s="69" t="s">
        <v>63</v>
      </c>
      <c r="U2853" s="37" t="s">
        <v>63</v>
      </c>
      <c r="V2853" s="37" t="s">
        <v>63</v>
      </c>
      <c r="W2853" s="37" t="s">
        <v>63</v>
      </c>
      <c r="X2853" s="37" t="s">
        <v>63</v>
      </c>
      <c r="Y2853" s="53">
        <v>105.0</v>
      </c>
      <c r="Z2853" s="69" t="s">
        <v>63</v>
      </c>
      <c r="AA2853" s="73"/>
      <c r="AB2853" s="73"/>
      <c r="AC2853" s="73"/>
      <c r="AD2853" s="73"/>
      <c r="AE2853" s="73"/>
      <c r="AF2853" s="73"/>
      <c r="AG2853" s="73"/>
      <c r="AH2853" s="73"/>
      <c r="AI2853" s="73"/>
      <c r="AJ2853" s="73"/>
      <c r="AK2853" s="73"/>
    </row>
    <row r="2854">
      <c r="A2854" s="99">
        <v>2853.0</v>
      </c>
      <c r="B2854" s="15"/>
      <c r="C2854" s="14" t="s">
        <v>25</v>
      </c>
      <c r="D2854" s="16"/>
      <c r="E2854" s="102">
        <v>50.0</v>
      </c>
      <c r="F2854" s="107">
        <v>0.0</v>
      </c>
      <c r="G2854" s="15" t="str">
        <f t="shared" si="1"/>
        <v>50000</v>
      </c>
      <c r="H2854" s="23"/>
      <c r="I2854" s="23" t="s">
        <v>116</v>
      </c>
      <c r="J2854" s="23" t="s">
        <v>2203</v>
      </c>
      <c r="K2854" s="23"/>
      <c r="L2854" s="35">
        <f t="array" ref="L2854:Z2854">Vermont!C16:Q16</f>
        <v>1096</v>
      </c>
      <c r="M2854" s="23" t="s">
        <v>63</v>
      </c>
      <c r="N2854" s="23" t="s">
        <v>63</v>
      </c>
      <c r="O2854" s="23" t="s">
        <v>63</v>
      </c>
      <c r="P2854" s="23" t="s">
        <v>63</v>
      </c>
      <c r="Q2854" s="35">
        <v>810.0</v>
      </c>
      <c r="R2854" s="23">
        <v>159.0</v>
      </c>
      <c r="S2854" s="23" t="s">
        <v>63</v>
      </c>
      <c r="T2854" s="32" t="s">
        <v>63</v>
      </c>
      <c r="U2854" s="23" t="s">
        <v>63</v>
      </c>
      <c r="V2854" s="23" t="s">
        <v>63</v>
      </c>
      <c r="W2854" s="23" t="s">
        <v>63</v>
      </c>
      <c r="X2854" s="23" t="s">
        <v>63</v>
      </c>
      <c r="Y2854" s="123">
        <v>93.0</v>
      </c>
      <c r="Z2854" s="32" t="s">
        <v>63</v>
      </c>
      <c r="AA2854" s="38"/>
      <c r="AB2854" s="38"/>
      <c r="AC2854" s="38"/>
      <c r="AD2854" s="38"/>
      <c r="AE2854" s="38"/>
      <c r="AF2854" s="38"/>
      <c r="AG2854" s="38"/>
      <c r="AH2854" s="38"/>
      <c r="AI2854" s="38"/>
      <c r="AJ2854" s="38"/>
      <c r="AK2854" s="38"/>
    </row>
    <row r="2855">
      <c r="A2855" s="99">
        <v>2854.0</v>
      </c>
      <c r="B2855" s="15"/>
      <c r="C2855" s="15"/>
      <c r="D2855" s="105">
        <v>1.0</v>
      </c>
      <c r="E2855" s="102">
        <v>50.0</v>
      </c>
      <c r="F2855" s="107">
        <v>1.0</v>
      </c>
      <c r="G2855" s="15" t="str">
        <f t="shared" si="1"/>
        <v>50001</v>
      </c>
      <c r="H2855" s="23" t="s">
        <v>2204</v>
      </c>
      <c r="I2855" s="23" t="s">
        <v>116</v>
      </c>
      <c r="J2855" s="23" t="s">
        <v>2203</v>
      </c>
      <c r="K2855" s="23" t="str">
        <f t="shared" ref="K2855:K2868" si="46">CONCATENATE(H2855,", ",J2855)</f>
        <v>Addison, VT</v>
      </c>
      <c r="L2855" s="23">
        <f t="array" ref="L2855:Z2866">Vermont!C3:Q14</f>
        <v>118</v>
      </c>
      <c r="M2855" s="23" t="s">
        <v>63</v>
      </c>
      <c r="N2855" s="23">
        <v>54.0</v>
      </c>
      <c r="O2855" s="23">
        <v>51.0</v>
      </c>
      <c r="P2855" s="23" t="s">
        <v>63</v>
      </c>
      <c r="Q2855" s="23">
        <v>84.0</v>
      </c>
      <c r="R2855" s="23">
        <v>35.0</v>
      </c>
      <c r="S2855" s="23" t="s">
        <v>63</v>
      </c>
      <c r="T2855" s="32">
        <v>0.507</v>
      </c>
      <c r="U2855" s="23">
        <v>22.0</v>
      </c>
      <c r="V2855" s="23" t="s">
        <v>63</v>
      </c>
      <c r="W2855" s="23" t="s">
        <v>63</v>
      </c>
      <c r="X2855" s="23" t="s">
        <v>63</v>
      </c>
      <c r="Y2855" s="23" t="s">
        <v>63</v>
      </c>
      <c r="Z2855" s="32" t="s">
        <v>63</v>
      </c>
      <c r="AA2855" s="38"/>
      <c r="AB2855" s="38"/>
      <c r="AC2855" s="38"/>
      <c r="AD2855" s="38"/>
      <c r="AE2855" s="38"/>
      <c r="AF2855" s="38"/>
      <c r="AG2855" s="38"/>
      <c r="AH2855" s="38"/>
      <c r="AI2855" s="38"/>
      <c r="AJ2855" s="38"/>
      <c r="AK2855" s="38"/>
    </row>
    <row r="2856">
      <c r="A2856" s="99">
        <v>2855.0</v>
      </c>
      <c r="B2856" s="15"/>
      <c r="C2856" s="15"/>
      <c r="D2856" s="105">
        <v>1.0</v>
      </c>
      <c r="E2856" s="102">
        <v>50.0</v>
      </c>
      <c r="F2856" s="107">
        <v>3.0</v>
      </c>
      <c r="G2856" s="15" t="str">
        <f t="shared" si="1"/>
        <v>50003</v>
      </c>
      <c r="H2856" s="23" t="s">
        <v>2205</v>
      </c>
      <c r="I2856" s="23" t="s">
        <v>116</v>
      </c>
      <c r="J2856" s="23" t="s">
        <v>2203</v>
      </c>
      <c r="K2856" s="23" t="str">
        <f t="shared" si="46"/>
        <v>Bennington, VT</v>
      </c>
      <c r="L2856" s="23">
        <v>139.0</v>
      </c>
      <c r="M2856" s="23" t="s">
        <v>63</v>
      </c>
      <c r="N2856" s="23">
        <v>65.0</v>
      </c>
      <c r="O2856" s="23">
        <v>61.0</v>
      </c>
      <c r="P2856" s="23" t="s">
        <v>63</v>
      </c>
      <c r="Q2856" s="23">
        <v>130.0</v>
      </c>
      <c r="R2856" s="23">
        <v>27.0</v>
      </c>
      <c r="S2856" s="23" t="s">
        <v>63</v>
      </c>
      <c r="T2856" s="32">
        <v>0.55</v>
      </c>
      <c r="U2856" s="23">
        <v>53.0</v>
      </c>
      <c r="V2856" s="23" t="s">
        <v>63</v>
      </c>
      <c r="W2856" s="23" t="s">
        <v>63</v>
      </c>
      <c r="X2856" s="23" t="s">
        <v>63</v>
      </c>
      <c r="Y2856" s="23" t="s">
        <v>63</v>
      </c>
      <c r="Z2856" s="32" t="s">
        <v>63</v>
      </c>
      <c r="AA2856" s="38"/>
      <c r="AB2856" s="38"/>
      <c r="AC2856" s="38"/>
      <c r="AD2856" s="38"/>
      <c r="AE2856" s="38"/>
      <c r="AF2856" s="38"/>
      <c r="AG2856" s="38"/>
      <c r="AH2856" s="38"/>
      <c r="AI2856" s="38"/>
      <c r="AJ2856" s="38"/>
      <c r="AK2856" s="38"/>
    </row>
    <row r="2857">
      <c r="A2857" s="99">
        <v>2856.0</v>
      </c>
      <c r="B2857" s="15"/>
      <c r="C2857" s="15"/>
      <c r="D2857" s="105">
        <v>1.0</v>
      </c>
      <c r="E2857" s="102">
        <v>50.0</v>
      </c>
      <c r="F2857" s="107">
        <v>5.0</v>
      </c>
      <c r="G2857" s="15" t="str">
        <f t="shared" si="1"/>
        <v>50005</v>
      </c>
      <c r="H2857" s="23" t="s">
        <v>2206</v>
      </c>
      <c r="I2857" s="23" t="s">
        <v>116</v>
      </c>
      <c r="J2857" s="23" t="s">
        <v>2203</v>
      </c>
      <c r="K2857" s="23" t="str">
        <f t="shared" si="46"/>
        <v>Caledonia, VT</v>
      </c>
      <c r="L2857" s="23">
        <v>30.0</v>
      </c>
      <c r="M2857" s="23" t="s">
        <v>63</v>
      </c>
      <c r="N2857" s="23">
        <v>19.0</v>
      </c>
      <c r="O2857" s="23">
        <v>7.0</v>
      </c>
      <c r="P2857" s="23" t="s">
        <v>63</v>
      </c>
      <c r="Q2857" s="23">
        <v>42.0</v>
      </c>
      <c r="R2857" s="23">
        <v>12.0</v>
      </c>
      <c r="S2857" s="23" t="s">
        <v>63</v>
      </c>
      <c r="T2857" s="32">
        <v>0.077</v>
      </c>
      <c r="U2857" s="23">
        <v>1.0</v>
      </c>
      <c r="V2857" s="23" t="s">
        <v>63</v>
      </c>
      <c r="W2857" s="23" t="s">
        <v>63</v>
      </c>
      <c r="X2857" s="23" t="s">
        <v>63</v>
      </c>
      <c r="Y2857" s="23" t="s">
        <v>63</v>
      </c>
      <c r="Z2857" s="32" t="s">
        <v>63</v>
      </c>
      <c r="AA2857" s="38"/>
      <c r="AB2857" s="38"/>
      <c r="AC2857" s="38"/>
      <c r="AD2857" s="38"/>
      <c r="AE2857" s="38"/>
      <c r="AF2857" s="38"/>
      <c r="AG2857" s="38"/>
      <c r="AH2857" s="38"/>
      <c r="AI2857" s="38"/>
      <c r="AJ2857" s="38"/>
      <c r="AK2857" s="38"/>
    </row>
    <row r="2858">
      <c r="A2858" s="99">
        <v>2857.0</v>
      </c>
      <c r="B2858" s="15"/>
      <c r="C2858" s="15"/>
      <c r="D2858" s="105">
        <v>1.0</v>
      </c>
      <c r="E2858" s="102">
        <v>50.0</v>
      </c>
      <c r="F2858" s="107">
        <v>7.0</v>
      </c>
      <c r="G2858" s="15" t="str">
        <f t="shared" si="1"/>
        <v>50007</v>
      </c>
      <c r="H2858" s="23" t="s">
        <v>2207</v>
      </c>
      <c r="I2858" s="23" t="s">
        <v>116</v>
      </c>
      <c r="J2858" s="23" t="s">
        <v>2203</v>
      </c>
      <c r="K2858" s="23" t="str">
        <f t="shared" si="46"/>
        <v>Chittenden, VT</v>
      </c>
      <c r="L2858" s="23">
        <v>46.0</v>
      </c>
      <c r="M2858" s="23" t="s">
        <v>63</v>
      </c>
      <c r="N2858" s="23">
        <v>15.0</v>
      </c>
      <c r="O2858" s="23">
        <v>28.0</v>
      </c>
      <c r="P2858" s="23" t="s">
        <v>63</v>
      </c>
      <c r="Q2858" s="23">
        <v>76.0</v>
      </c>
      <c r="R2858" s="23">
        <v>15.0</v>
      </c>
      <c r="S2858" s="23" t="s">
        <v>63</v>
      </c>
      <c r="T2858" s="32">
        <v>0.537</v>
      </c>
      <c r="U2858" s="23">
        <v>0.0</v>
      </c>
      <c r="V2858" s="23" t="s">
        <v>63</v>
      </c>
      <c r="W2858" s="23" t="s">
        <v>63</v>
      </c>
      <c r="X2858" s="23" t="s">
        <v>63</v>
      </c>
      <c r="Y2858" s="23" t="s">
        <v>63</v>
      </c>
      <c r="Z2858" s="32" t="s">
        <v>63</v>
      </c>
      <c r="AA2858" s="38"/>
      <c r="AB2858" s="38"/>
      <c r="AC2858" s="38"/>
      <c r="AD2858" s="38"/>
      <c r="AE2858" s="38"/>
      <c r="AF2858" s="38"/>
      <c r="AG2858" s="38"/>
      <c r="AH2858" s="38"/>
      <c r="AI2858" s="38"/>
      <c r="AJ2858" s="38"/>
      <c r="AK2858" s="38"/>
    </row>
    <row r="2859">
      <c r="A2859" s="99">
        <v>2858.0</v>
      </c>
      <c r="B2859" s="15"/>
      <c r="C2859" s="15"/>
      <c r="D2859" s="105">
        <v>1.0</v>
      </c>
      <c r="E2859" s="102">
        <v>50.0</v>
      </c>
      <c r="F2859" s="107">
        <v>9.0</v>
      </c>
      <c r="G2859" s="15" t="str">
        <f t="shared" si="1"/>
        <v>50009</v>
      </c>
      <c r="H2859" s="23" t="s">
        <v>516</v>
      </c>
      <c r="I2859" s="23" t="s">
        <v>116</v>
      </c>
      <c r="J2859" s="23" t="s">
        <v>2203</v>
      </c>
      <c r="K2859" s="23" t="str">
        <f t="shared" si="46"/>
        <v>Essex, VT</v>
      </c>
      <c r="L2859" s="23">
        <v>81.0</v>
      </c>
      <c r="M2859" s="23" t="s">
        <v>63</v>
      </c>
      <c r="N2859" s="23">
        <v>35.0</v>
      </c>
      <c r="O2859" s="23">
        <v>28.0</v>
      </c>
      <c r="P2859" s="23" t="s">
        <v>63</v>
      </c>
      <c r="Q2859" s="23">
        <v>71.0</v>
      </c>
      <c r="R2859" s="23">
        <v>31.0</v>
      </c>
      <c r="S2859" s="23" t="s">
        <v>63</v>
      </c>
      <c r="T2859" s="32">
        <v>0.357</v>
      </c>
      <c r="U2859" s="23">
        <v>11.0</v>
      </c>
      <c r="V2859" s="23" t="s">
        <v>63</v>
      </c>
      <c r="W2859" s="23" t="s">
        <v>63</v>
      </c>
      <c r="X2859" s="23" t="s">
        <v>63</v>
      </c>
      <c r="Y2859" s="23" t="s">
        <v>63</v>
      </c>
      <c r="Z2859" s="32" t="s">
        <v>63</v>
      </c>
      <c r="AA2859" s="38"/>
      <c r="AB2859" s="38"/>
      <c r="AC2859" s="38"/>
      <c r="AD2859" s="38"/>
      <c r="AE2859" s="38"/>
      <c r="AF2859" s="38"/>
      <c r="AG2859" s="38"/>
      <c r="AH2859" s="38"/>
      <c r="AI2859" s="38"/>
      <c r="AJ2859" s="38"/>
      <c r="AK2859" s="38"/>
    </row>
    <row r="2860">
      <c r="A2860" s="99">
        <v>2859.0</v>
      </c>
      <c r="B2860" s="15"/>
      <c r="C2860" s="15"/>
      <c r="D2860" s="105">
        <v>1.0</v>
      </c>
      <c r="E2860" s="102">
        <v>50.0</v>
      </c>
      <c r="F2860" s="107">
        <v>11.0</v>
      </c>
      <c r="G2860" s="15" t="str">
        <f t="shared" si="1"/>
        <v>50011</v>
      </c>
      <c r="H2860" s="23" t="s">
        <v>136</v>
      </c>
      <c r="I2860" s="23" t="s">
        <v>116</v>
      </c>
      <c r="J2860" s="23" t="s">
        <v>2203</v>
      </c>
      <c r="K2860" s="23" t="str">
        <f t="shared" si="46"/>
        <v>Franklin, VT</v>
      </c>
      <c r="L2860" s="23">
        <v>73.0</v>
      </c>
      <c r="M2860" s="23" t="s">
        <v>63</v>
      </c>
      <c r="N2860" s="23">
        <v>31.0</v>
      </c>
      <c r="O2860" s="23">
        <v>29.0</v>
      </c>
      <c r="P2860" s="23" t="s">
        <v>63</v>
      </c>
      <c r="Q2860" s="23">
        <v>75.0</v>
      </c>
      <c r="R2860" s="23">
        <v>23.0</v>
      </c>
      <c r="S2860" s="23" t="s">
        <v>63</v>
      </c>
      <c r="T2860" s="32">
        <v>0.448</v>
      </c>
      <c r="U2860" s="23">
        <v>5.0</v>
      </c>
      <c r="V2860" s="23" t="s">
        <v>63</v>
      </c>
      <c r="W2860" s="23" t="s">
        <v>63</v>
      </c>
      <c r="X2860" s="23" t="s">
        <v>63</v>
      </c>
      <c r="Y2860" s="23" t="s">
        <v>63</v>
      </c>
      <c r="Z2860" s="32" t="s">
        <v>63</v>
      </c>
      <c r="AA2860" s="38"/>
      <c r="AB2860" s="38"/>
      <c r="AC2860" s="38"/>
      <c r="AD2860" s="38"/>
      <c r="AE2860" s="38"/>
      <c r="AF2860" s="38"/>
      <c r="AG2860" s="38"/>
      <c r="AH2860" s="38"/>
      <c r="AI2860" s="38"/>
      <c r="AJ2860" s="38"/>
      <c r="AK2860" s="38"/>
    </row>
    <row r="2861">
      <c r="A2861" s="99">
        <v>2860.0</v>
      </c>
      <c r="B2861" s="15"/>
      <c r="C2861" s="15"/>
      <c r="D2861" s="105">
        <v>1.0</v>
      </c>
      <c r="E2861" s="102">
        <v>50.0</v>
      </c>
      <c r="F2861" s="107">
        <v>13.0</v>
      </c>
      <c r="G2861" s="15" t="str">
        <f t="shared" si="1"/>
        <v>50013</v>
      </c>
      <c r="H2861" s="23" t="s">
        <v>2209</v>
      </c>
      <c r="I2861" s="23" t="s">
        <v>116</v>
      </c>
      <c r="J2861" s="23" t="s">
        <v>2203</v>
      </c>
      <c r="K2861" s="23" t="str">
        <f t="shared" si="46"/>
        <v>Grand Isle, VT</v>
      </c>
      <c r="L2861" s="23">
        <v>76.0</v>
      </c>
      <c r="M2861" s="23" t="s">
        <v>63</v>
      </c>
      <c r="N2861" s="23">
        <v>41.0</v>
      </c>
      <c r="O2861" s="23">
        <v>25.0</v>
      </c>
      <c r="P2861" s="23" t="s">
        <v>63</v>
      </c>
      <c r="Q2861" s="23">
        <v>59.0</v>
      </c>
      <c r="R2861" s="23">
        <v>21.0</v>
      </c>
      <c r="S2861" s="23" t="s">
        <v>63</v>
      </c>
      <c r="T2861" s="32">
        <v>0.383</v>
      </c>
      <c r="U2861" s="23">
        <v>5.0</v>
      </c>
      <c r="V2861" s="23" t="s">
        <v>63</v>
      </c>
      <c r="W2861" s="23" t="s">
        <v>63</v>
      </c>
      <c r="X2861" s="23" t="s">
        <v>63</v>
      </c>
      <c r="Y2861" s="23" t="s">
        <v>63</v>
      </c>
      <c r="Z2861" s="32" t="s">
        <v>63</v>
      </c>
      <c r="AA2861" s="38"/>
      <c r="AB2861" s="38"/>
      <c r="AC2861" s="38"/>
      <c r="AD2861" s="38"/>
      <c r="AE2861" s="38"/>
      <c r="AF2861" s="38"/>
      <c r="AG2861" s="38"/>
      <c r="AH2861" s="38"/>
      <c r="AI2861" s="38"/>
      <c r="AJ2861" s="38"/>
      <c r="AK2861" s="38"/>
    </row>
    <row r="2862">
      <c r="A2862" s="99">
        <v>2861.0</v>
      </c>
      <c r="B2862" s="15"/>
      <c r="C2862" s="15"/>
      <c r="D2862" s="105">
        <v>1.0</v>
      </c>
      <c r="E2862" s="102">
        <v>50.0</v>
      </c>
      <c r="F2862" s="107">
        <v>15.0</v>
      </c>
      <c r="G2862" s="15" t="str">
        <f t="shared" si="1"/>
        <v>50015</v>
      </c>
      <c r="H2862" s="23" t="s">
        <v>2210</v>
      </c>
      <c r="I2862" s="23" t="s">
        <v>116</v>
      </c>
      <c r="J2862" s="23" t="s">
        <v>2203</v>
      </c>
      <c r="K2862" s="23" t="str">
        <f t="shared" si="46"/>
        <v>Lamoille, VT</v>
      </c>
      <c r="L2862" s="23">
        <v>142.0</v>
      </c>
      <c r="M2862" s="23" t="s">
        <v>63</v>
      </c>
      <c r="N2862" s="23">
        <v>62.0</v>
      </c>
      <c r="O2862" s="23">
        <v>66.0</v>
      </c>
      <c r="P2862" s="23" t="s">
        <v>63</v>
      </c>
      <c r="Q2862" s="23">
        <v>92.0</v>
      </c>
      <c r="R2862" s="23">
        <v>31.0</v>
      </c>
      <c r="S2862" s="23" t="s">
        <v>63</v>
      </c>
      <c r="T2862" s="32">
        <v>0.525</v>
      </c>
      <c r="U2862" s="23">
        <v>8.0</v>
      </c>
      <c r="V2862" s="23" t="s">
        <v>63</v>
      </c>
      <c r="W2862" s="23" t="s">
        <v>63</v>
      </c>
      <c r="X2862" s="23" t="s">
        <v>63</v>
      </c>
      <c r="Y2862" s="23">
        <v>57.0</v>
      </c>
      <c r="Z2862" s="32" t="s">
        <v>63</v>
      </c>
      <c r="AA2862" s="38"/>
      <c r="AB2862" s="38"/>
      <c r="AC2862" s="38"/>
      <c r="AD2862" s="38"/>
      <c r="AE2862" s="38"/>
      <c r="AF2862" s="38"/>
      <c r="AG2862" s="38"/>
      <c r="AH2862" s="38"/>
      <c r="AI2862" s="38"/>
      <c r="AJ2862" s="38"/>
      <c r="AK2862" s="38"/>
    </row>
    <row r="2863">
      <c r="A2863" s="99">
        <v>2862.0</v>
      </c>
      <c r="B2863" s="15"/>
      <c r="C2863" s="15"/>
      <c r="D2863" s="105">
        <v>1.0</v>
      </c>
      <c r="E2863" s="102">
        <v>50.0</v>
      </c>
      <c r="F2863" s="107">
        <v>17.0</v>
      </c>
      <c r="G2863" s="15" t="str">
        <f t="shared" si="1"/>
        <v>50017</v>
      </c>
      <c r="H2863" s="23" t="s">
        <v>241</v>
      </c>
      <c r="I2863" s="23" t="s">
        <v>116</v>
      </c>
      <c r="J2863" s="23" t="s">
        <v>2203</v>
      </c>
      <c r="K2863" s="23" t="str">
        <f t="shared" si="46"/>
        <v>Orange, VT</v>
      </c>
      <c r="L2863" s="23">
        <v>38.0</v>
      </c>
      <c r="M2863" s="23" t="s">
        <v>63</v>
      </c>
      <c r="N2863" s="23">
        <v>16.0</v>
      </c>
      <c r="O2863" s="23">
        <v>18.0</v>
      </c>
      <c r="P2863" s="23" t="s">
        <v>63</v>
      </c>
      <c r="Q2863" s="23">
        <v>38.0</v>
      </c>
      <c r="R2863" s="23">
        <v>13.0</v>
      </c>
      <c r="S2863" s="23" t="s">
        <v>63</v>
      </c>
      <c r="T2863" s="32">
        <v>0.586</v>
      </c>
      <c r="U2863" s="23">
        <v>9.0</v>
      </c>
      <c r="V2863" s="23" t="s">
        <v>63</v>
      </c>
      <c r="W2863" s="23" t="s">
        <v>63</v>
      </c>
      <c r="X2863" s="23" t="s">
        <v>63</v>
      </c>
      <c r="Y2863" s="23" t="s">
        <v>63</v>
      </c>
      <c r="Z2863" s="32" t="s">
        <v>63</v>
      </c>
      <c r="AA2863" s="38"/>
      <c r="AB2863" s="38"/>
      <c r="AC2863" s="38"/>
      <c r="AD2863" s="38"/>
      <c r="AE2863" s="38"/>
      <c r="AF2863" s="38"/>
      <c r="AG2863" s="38"/>
      <c r="AH2863" s="38"/>
      <c r="AI2863" s="38"/>
      <c r="AJ2863" s="38"/>
      <c r="AK2863" s="38"/>
    </row>
    <row r="2864">
      <c r="A2864" s="99">
        <v>2863.0</v>
      </c>
      <c r="B2864" s="15"/>
      <c r="C2864" s="15"/>
      <c r="D2864" s="105">
        <v>1.0</v>
      </c>
      <c r="E2864" s="102">
        <v>50.0</v>
      </c>
      <c r="F2864" s="107">
        <v>19.0</v>
      </c>
      <c r="G2864" s="15" t="str">
        <f t="shared" si="1"/>
        <v>50019</v>
      </c>
      <c r="H2864" s="23" t="s">
        <v>1163</v>
      </c>
      <c r="I2864" s="23" t="s">
        <v>116</v>
      </c>
      <c r="J2864" s="23" t="s">
        <v>2203</v>
      </c>
      <c r="K2864" s="23" t="str">
        <f t="shared" si="46"/>
        <v>Orleans, VT</v>
      </c>
      <c r="L2864" s="23">
        <v>88.0</v>
      </c>
      <c r="M2864" s="23" t="s">
        <v>63</v>
      </c>
      <c r="N2864" s="23">
        <v>43.0</v>
      </c>
      <c r="O2864" s="23">
        <v>36.0</v>
      </c>
      <c r="P2864" s="23" t="s">
        <v>63</v>
      </c>
      <c r="Q2864" s="23">
        <v>63.0</v>
      </c>
      <c r="R2864" s="23">
        <v>31.0</v>
      </c>
      <c r="S2864" s="23" t="s">
        <v>63</v>
      </c>
      <c r="T2864" s="32">
        <v>0.404</v>
      </c>
      <c r="U2864" s="23">
        <v>24.0</v>
      </c>
      <c r="V2864" s="23" t="s">
        <v>63</v>
      </c>
      <c r="W2864" s="23" t="s">
        <v>63</v>
      </c>
      <c r="X2864" s="23" t="s">
        <v>63</v>
      </c>
      <c r="Y2864" s="23">
        <v>36.0</v>
      </c>
      <c r="Z2864" s="32" t="s">
        <v>63</v>
      </c>
      <c r="AA2864" s="38"/>
      <c r="AB2864" s="38"/>
      <c r="AC2864" s="38"/>
      <c r="AD2864" s="38"/>
      <c r="AE2864" s="38"/>
      <c r="AF2864" s="38"/>
      <c r="AG2864" s="38"/>
      <c r="AH2864" s="38"/>
      <c r="AI2864" s="38"/>
      <c r="AJ2864" s="38"/>
      <c r="AK2864" s="38"/>
    </row>
    <row r="2865">
      <c r="A2865" s="99">
        <v>2864.0</v>
      </c>
      <c r="B2865" s="15"/>
      <c r="C2865" s="15"/>
      <c r="D2865" s="105">
        <v>1.0</v>
      </c>
      <c r="E2865" s="102">
        <v>50.0</v>
      </c>
      <c r="F2865" s="107">
        <v>21.0</v>
      </c>
      <c r="G2865" s="15" t="str">
        <f t="shared" si="1"/>
        <v>50021</v>
      </c>
      <c r="H2865" s="23" t="s">
        <v>2211</v>
      </c>
      <c r="I2865" s="23" t="s">
        <v>116</v>
      </c>
      <c r="J2865" s="23" t="s">
        <v>2203</v>
      </c>
      <c r="K2865" s="23" t="str">
        <f t="shared" si="46"/>
        <v>Rutland, VT</v>
      </c>
      <c r="L2865" s="23">
        <v>42.0</v>
      </c>
      <c r="M2865" s="23" t="s">
        <v>63</v>
      </c>
      <c r="N2865" s="23">
        <v>26.0</v>
      </c>
      <c r="O2865" s="23">
        <v>12.0</v>
      </c>
      <c r="P2865" s="23" t="s">
        <v>63</v>
      </c>
      <c r="Q2865" s="23">
        <v>38.0</v>
      </c>
      <c r="R2865" s="23">
        <v>14.0</v>
      </c>
      <c r="S2865" s="23" t="s">
        <v>63</v>
      </c>
      <c r="T2865" s="32">
        <v>0.421</v>
      </c>
      <c r="U2865" s="23">
        <v>10.0</v>
      </c>
      <c r="V2865" s="23" t="s">
        <v>63</v>
      </c>
      <c r="W2865" s="23" t="s">
        <v>63</v>
      </c>
      <c r="X2865" s="23" t="s">
        <v>63</v>
      </c>
      <c r="Y2865" s="23" t="s">
        <v>63</v>
      </c>
      <c r="Z2865" s="32" t="s">
        <v>63</v>
      </c>
      <c r="AA2865" s="38"/>
      <c r="AB2865" s="38"/>
      <c r="AC2865" s="38"/>
      <c r="AD2865" s="38"/>
      <c r="AE2865" s="38"/>
      <c r="AF2865" s="38"/>
      <c r="AG2865" s="38"/>
      <c r="AH2865" s="38"/>
      <c r="AI2865" s="38"/>
      <c r="AJ2865" s="38"/>
      <c r="AK2865" s="38"/>
    </row>
    <row r="2866">
      <c r="A2866" s="99">
        <v>2865.0</v>
      </c>
      <c r="B2866" s="15"/>
      <c r="C2866" s="15"/>
      <c r="D2866" s="105">
        <v>1.0</v>
      </c>
      <c r="E2866" s="102">
        <v>50.0</v>
      </c>
      <c r="F2866" s="107">
        <v>23.0</v>
      </c>
      <c r="G2866" s="15" t="str">
        <f t="shared" si="1"/>
        <v>50023</v>
      </c>
      <c r="H2866" s="23" t="s">
        <v>119</v>
      </c>
      <c r="I2866" s="23" t="s">
        <v>116</v>
      </c>
      <c r="J2866" s="23" t="s">
        <v>2203</v>
      </c>
      <c r="K2866" s="23" t="str">
        <f t="shared" si="46"/>
        <v>Washington, VT</v>
      </c>
      <c r="L2866" s="23">
        <v>59.0</v>
      </c>
      <c r="M2866" s="23" t="s">
        <v>63</v>
      </c>
      <c r="N2866" s="23">
        <v>16.0</v>
      </c>
      <c r="O2866" s="23">
        <v>34.0</v>
      </c>
      <c r="P2866" s="23" t="s">
        <v>63</v>
      </c>
      <c r="Q2866" s="23">
        <v>53.0</v>
      </c>
      <c r="R2866" s="23">
        <v>13.0</v>
      </c>
      <c r="S2866" s="23" t="s">
        <v>63</v>
      </c>
      <c r="T2866" s="32">
        <v>0.548</v>
      </c>
      <c r="U2866" s="23">
        <v>11.0</v>
      </c>
      <c r="V2866" s="23" t="s">
        <v>63</v>
      </c>
      <c r="W2866" s="23" t="s">
        <v>63</v>
      </c>
      <c r="X2866" s="23" t="s">
        <v>63</v>
      </c>
      <c r="Y2866" s="23" t="s">
        <v>63</v>
      </c>
      <c r="Z2866" s="32" t="s">
        <v>63</v>
      </c>
      <c r="AA2866" s="38"/>
      <c r="AB2866" s="38"/>
      <c r="AC2866" s="38"/>
      <c r="AD2866" s="38"/>
      <c r="AE2866" s="38"/>
      <c r="AF2866" s="38"/>
      <c r="AG2866" s="38"/>
      <c r="AH2866" s="38"/>
      <c r="AI2866" s="38"/>
      <c r="AJ2866" s="38"/>
      <c r="AK2866" s="38"/>
    </row>
    <row r="2867">
      <c r="A2867" s="99">
        <v>2866.0</v>
      </c>
      <c r="B2867" s="15"/>
      <c r="C2867" s="15"/>
      <c r="D2867" s="105">
        <v>1.0</v>
      </c>
      <c r="E2867" s="102">
        <v>50.0</v>
      </c>
      <c r="F2867" s="107">
        <v>25.0</v>
      </c>
      <c r="G2867" s="15" t="str">
        <f t="shared" si="1"/>
        <v>50025</v>
      </c>
      <c r="H2867" s="23" t="s">
        <v>471</v>
      </c>
      <c r="I2867" s="23" t="s">
        <v>116</v>
      </c>
      <c r="J2867" s="23" t="s">
        <v>2203</v>
      </c>
      <c r="K2867" s="23" t="str">
        <f t="shared" si="46"/>
        <v>Windham, VT</v>
      </c>
      <c r="L2867" s="23"/>
      <c r="M2867" s="23"/>
      <c r="N2867" s="23"/>
      <c r="O2867" s="23"/>
      <c r="P2867" s="23"/>
      <c r="Q2867" s="23"/>
      <c r="R2867" s="23"/>
      <c r="S2867" s="23"/>
      <c r="T2867" s="32"/>
      <c r="U2867" s="23"/>
      <c r="V2867" s="23"/>
      <c r="W2867" s="23"/>
      <c r="X2867" s="23"/>
      <c r="Y2867" s="23"/>
      <c r="Z2867" s="32"/>
      <c r="AA2867" s="38"/>
      <c r="AB2867" s="38"/>
      <c r="AC2867" s="38"/>
      <c r="AD2867" s="38"/>
      <c r="AE2867" s="38"/>
      <c r="AF2867" s="38"/>
      <c r="AG2867" s="38"/>
      <c r="AH2867" s="38"/>
      <c r="AI2867" s="38"/>
      <c r="AJ2867" s="38"/>
      <c r="AK2867" s="38"/>
    </row>
    <row r="2868">
      <c r="A2868" s="99">
        <v>2867.0</v>
      </c>
      <c r="B2868" s="15"/>
      <c r="C2868" s="15"/>
      <c r="D2868" s="105">
        <v>1.0</v>
      </c>
      <c r="E2868" s="102">
        <v>50.0</v>
      </c>
      <c r="F2868" s="107">
        <v>27.0</v>
      </c>
      <c r="G2868" s="15" t="str">
        <f t="shared" si="1"/>
        <v>50027</v>
      </c>
      <c r="H2868" s="23" t="s">
        <v>2212</v>
      </c>
      <c r="I2868" s="23" t="s">
        <v>116</v>
      </c>
      <c r="J2868" s="23" t="s">
        <v>2203</v>
      </c>
      <c r="K2868" s="23" t="str">
        <f t="shared" si="46"/>
        <v>Windsor, VT</v>
      </c>
      <c r="L2868" s="23"/>
      <c r="M2868" s="23"/>
      <c r="N2868" s="23"/>
      <c r="O2868" s="23"/>
      <c r="P2868" s="23"/>
      <c r="Q2868" s="23"/>
      <c r="R2868" s="23"/>
      <c r="S2868" s="23"/>
      <c r="T2868" s="32"/>
      <c r="U2868" s="23"/>
      <c r="V2868" s="23"/>
      <c r="W2868" s="23"/>
      <c r="X2868" s="23"/>
      <c r="Y2868" s="23"/>
      <c r="Z2868" s="32"/>
      <c r="AA2868" s="38"/>
      <c r="AB2868" s="38"/>
      <c r="AC2868" s="38"/>
      <c r="AD2868" s="38"/>
      <c r="AE2868" s="38"/>
      <c r="AF2868" s="38"/>
      <c r="AG2868" s="38"/>
      <c r="AH2868" s="38"/>
      <c r="AI2868" s="38"/>
      <c r="AJ2868" s="38"/>
      <c r="AK2868" s="38"/>
    </row>
    <row r="2869">
      <c r="A2869" s="28">
        <v>2868.0</v>
      </c>
      <c r="B2869" s="29"/>
      <c r="C2869" s="29" t="s">
        <v>25</v>
      </c>
      <c r="D2869" s="30"/>
      <c r="E2869" s="31">
        <v>51.0</v>
      </c>
      <c r="F2869" s="42">
        <v>0.0</v>
      </c>
      <c r="G2869" s="29" t="str">
        <f t="shared" si="1"/>
        <v>51000</v>
      </c>
      <c r="H2869" s="37"/>
      <c r="I2869" s="37" t="s">
        <v>117</v>
      </c>
      <c r="J2869" s="37" t="s">
        <v>375</v>
      </c>
      <c r="K2869" s="37"/>
      <c r="L2869" s="53">
        <f t="array" ref="L2869:Z2869">Virginia!C137:Q137</f>
        <v>5185</v>
      </c>
      <c r="M2869" s="37" t="s">
        <v>63</v>
      </c>
      <c r="N2869" s="70">
        <v>2934.0</v>
      </c>
      <c r="O2869" s="37">
        <v>682.0</v>
      </c>
      <c r="P2869" s="37" t="s">
        <v>63</v>
      </c>
      <c r="Q2869" s="53">
        <v>4735.0</v>
      </c>
      <c r="R2869" s="70">
        <v>1675.0</v>
      </c>
      <c r="S2869" s="37" t="s">
        <v>63</v>
      </c>
      <c r="T2869" s="69">
        <v>0.289</v>
      </c>
      <c r="U2869" s="37" t="s">
        <v>63</v>
      </c>
      <c r="V2869" s="37" t="s">
        <v>63</v>
      </c>
      <c r="W2869" s="37" t="s">
        <v>63</v>
      </c>
      <c r="X2869" s="37" t="s">
        <v>63</v>
      </c>
      <c r="Y2869" s="53">
        <v>7855.0</v>
      </c>
      <c r="Z2869" s="69" t="s">
        <v>63</v>
      </c>
      <c r="AA2869" s="73"/>
      <c r="AB2869" s="73"/>
      <c r="AC2869" s="73"/>
      <c r="AD2869" s="73"/>
      <c r="AE2869" s="73"/>
      <c r="AF2869" s="73"/>
      <c r="AG2869" s="73"/>
      <c r="AH2869" s="73"/>
      <c r="AI2869" s="73"/>
      <c r="AJ2869" s="73"/>
      <c r="AK2869" s="73"/>
    </row>
    <row r="2870">
      <c r="A2870" s="28">
        <v>2869.0</v>
      </c>
      <c r="B2870" s="29"/>
      <c r="C2870" s="29"/>
      <c r="D2870" s="40">
        <v>1.0</v>
      </c>
      <c r="E2870" s="31">
        <v>51.0</v>
      </c>
      <c r="F2870" s="42">
        <v>1.0</v>
      </c>
      <c r="G2870" s="29" t="str">
        <f t="shared" si="1"/>
        <v>51001</v>
      </c>
      <c r="H2870" s="37" t="s">
        <v>2213</v>
      </c>
      <c r="I2870" s="37" t="s">
        <v>117</v>
      </c>
      <c r="J2870" s="37" t="s">
        <v>375</v>
      </c>
      <c r="K2870" s="37" t="str">
        <f t="shared" ref="K2870:K3002" si="47">CONCATENATE(H2870,", ",J2870)</f>
        <v>Accomack, VA</v>
      </c>
      <c r="L2870" s="37">
        <f t="array" ref="L2870:Z3002">Virginia!C3:Q135</f>
        <v>13</v>
      </c>
      <c r="M2870" s="37" t="s">
        <v>63</v>
      </c>
      <c r="N2870" s="37">
        <v>7.0</v>
      </c>
      <c r="O2870" s="37">
        <v>2.0</v>
      </c>
      <c r="P2870" s="37" t="s">
        <v>63</v>
      </c>
      <c r="Q2870" s="37" t="s">
        <v>63</v>
      </c>
      <c r="R2870" s="37">
        <v>1.0</v>
      </c>
      <c r="S2870" s="37" t="s">
        <v>63</v>
      </c>
      <c r="T2870" s="69">
        <v>0.5</v>
      </c>
      <c r="U2870" s="37" t="s">
        <v>63</v>
      </c>
      <c r="V2870" s="37" t="s">
        <v>63</v>
      </c>
      <c r="W2870" s="37" t="s">
        <v>63</v>
      </c>
      <c r="X2870" s="37" t="s">
        <v>63</v>
      </c>
      <c r="Y2870" s="53">
        <v>62.0</v>
      </c>
      <c r="Z2870" s="69" t="s">
        <v>63</v>
      </c>
      <c r="AA2870" s="73"/>
      <c r="AB2870" s="73"/>
      <c r="AC2870" s="73"/>
      <c r="AD2870" s="73"/>
      <c r="AE2870" s="73"/>
      <c r="AF2870" s="73"/>
      <c r="AG2870" s="73"/>
      <c r="AH2870" s="73"/>
      <c r="AI2870" s="73"/>
      <c r="AJ2870" s="73"/>
      <c r="AK2870" s="73"/>
    </row>
    <row r="2871">
      <c r="A2871" s="28">
        <v>2870.0</v>
      </c>
      <c r="B2871" s="29"/>
      <c r="C2871" s="29"/>
      <c r="D2871" s="40">
        <v>1.0</v>
      </c>
      <c r="E2871" s="31">
        <v>51.0</v>
      </c>
      <c r="F2871" s="42">
        <v>3.0</v>
      </c>
      <c r="G2871" s="29" t="str">
        <f t="shared" si="1"/>
        <v>51003</v>
      </c>
      <c r="H2871" s="37" t="s">
        <v>2214</v>
      </c>
      <c r="I2871" s="37" t="s">
        <v>117</v>
      </c>
      <c r="J2871" s="37" t="s">
        <v>375</v>
      </c>
      <c r="K2871" s="37" t="str">
        <f t="shared" si="47"/>
        <v>Albemarle, VA</v>
      </c>
      <c r="L2871" s="37">
        <v>89.0</v>
      </c>
      <c r="M2871" s="37" t="s">
        <v>63</v>
      </c>
      <c r="N2871" s="37">
        <v>42.0</v>
      </c>
      <c r="O2871" s="37">
        <v>29.0</v>
      </c>
      <c r="P2871" s="37" t="s">
        <v>63</v>
      </c>
      <c r="Q2871" s="37" t="s">
        <v>63</v>
      </c>
      <c r="R2871" s="37">
        <v>23.0</v>
      </c>
      <c r="S2871" s="37" t="s">
        <v>63</v>
      </c>
      <c r="T2871" s="69">
        <v>0.568</v>
      </c>
      <c r="U2871" s="37" t="s">
        <v>63</v>
      </c>
      <c r="V2871" s="37" t="s">
        <v>63</v>
      </c>
      <c r="W2871" s="37" t="s">
        <v>63</v>
      </c>
      <c r="X2871" s="37" t="s">
        <v>63</v>
      </c>
      <c r="Y2871" s="53">
        <v>106.0</v>
      </c>
      <c r="Z2871" s="69" t="s">
        <v>63</v>
      </c>
      <c r="AA2871" s="73"/>
      <c r="AB2871" s="73"/>
      <c r="AC2871" s="73"/>
      <c r="AD2871" s="73"/>
      <c r="AE2871" s="73"/>
      <c r="AF2871" s="73"/>
      <c r="AG2871" s="73"/>
      <c r="AH2871" s="73"/>
      <c r="AI2871" s="73"/>
      <c r="AJ2871" s="73"/>
      <c r="AK2871" s="73"/>
    </row>
    <row r="2872">
      <c r="A2872" s="28">
        <v>2871.0</v>
      </c>
      <c r="B2872" s="29"/>
      <c r="C2872" s="29"/>
      <c r="D2872" s="40">
        <v>1.0</v>
      </c>
      <c r="E2872" s="31">
        <v>51.0</v>
      </c>
      <c r="F2872" s="42">
        <v>5.0</v>
      </c>
      <c r="G2872" s="29" t="str">
        <f t="shared" si="1"/>
        <v>51005</v>
      </c>
      <c r="H2872" s="37" t="s">
        <v>1579</v>
      </c>
      <c r="I2872" s="37" t="s">
        <v>117</v>
      </c>
      <c r="J2872" s="37" t="s">
        <v>375</v>
      </c>
      <c r="K2872" s="37" t="str">
        <f t="shared" si="47"/>
        <v>Alleghany, VA</v>
      </c>
      <c r="L2872" s="37">
        <v>16.0</v>
      </c>
      <c r="M2872" s="37" t="s">
        <v>63</v>
      </c>
      <c r="N2872" s="37">
        <v>8.0</v>
      </c>
      <c r="O2872" s="37">
        <v>2.0</v>
      </c>
      <c r="P2872" s="37" t="s">
        <v>63</v>
      </c>
      <c r="Q2872" s="37" t="s">
        <v>63</v>
      </c>
      <c r="R2872" s="37">
        <v>8.0</v>
      </c>
      <c r="S2872" s="37" t="s">
        <v>63</v>
      </c>
      <c r="T2872" s="69">
        <v>0.667</v>
      </c>
      <c r="U2872" s="37" t="s">
        <v>63</v>
      </c>
      <c r="V2872" s="37" t="s">
        <v>63</v>
      </c>
      <c r="W2872" s="37" t="s">
        <v>63</v>
      </c>
      <c r="X2872" s="37" t="s">
        <v>63</v>
      </c>
      <c r="Y2872" s="53">
        <v>36.0</v>
      </c>
      <c r="Z2872" s="69" t="s">
        <v>63</v>
      </c>
      <c r="AA2872" s="73"/>
      <c r="AB2872" s="73"/>
      <c r="AC2872" s="73"/>
      <c r="AD2872" s="73"/>
      <c r="AE2872" s="73"/>
      <c r="AF2872" s="73"/>
      <c r="AG2872" s="73"/>
      <c r="AH2872" s="73"/>
      <c r="AI2872" s="73"/>
      <c r="AJ2872" s="73"/>
      <c r="AK2872" s="73"/>
    </row>
    <row r="2873">
      <c r="A2873" s="28">
        <v>2872.0</v>
      </c>
      <c r="B2873" s="29"/>
      <c r="C2873" s="29"/>
      <c r="D2873" s="40">
        <v>1.0</v>
      </c>
      <c r="E2873" s="31">
        <v>51.0</v>
      </c>
      <c r="F2873" s="42">
        <v>7.0</v>
      </c>
      <c r="G2873" s="29" t="str">
        <f t="shared" si="1"/>
        <v>51007</v>
      </c>
      <c r="H2873" s="37" t="s">
        <v>2216</v>
      </c>
      <c r="I2873" s="37" t="s">
        <v>117</v>
      </c>
      <c r="J2873" s="37" t="s">
        <v>375</v>
      </c>
      <c r="K2873" s="37" t="str">
        <f t="shared" si="47"/>
        <v>Amelia, VA</v>
      </c>
      <c r="L2873" s="37">
        <v>5.0</v>
      </c>
      <c r="M2873" s="37" t="s">
        <v>63</v>
      </c>
      <c r="N2873" s="37">
        <v>1.0</v>
      </c>
      <c r="O2873" s="37" t="s">
        <v>63</v>
      </c>
      <c r="P2873" s="37" t="s">
        <v>63</v>
      </c>
      <c r="Q2873" s="37" t="s">
        <v>63</v>
      </c>
      <c r="R2873" s="37">
        <v>2.0</v>
      </c>
      <c r="S2873" s="37" t="s">
        <v>63</v>
      </c>
      <c r="T2873" s="69">
        <v>0.0</v>
      </c>
      <c r="U2873" s="37" t="s">
        <v>63</v>
      </c>
      <c r="V2873" s="37" t="s">
        <v>63</v>
      </c>
      <c r="W2873" s="37" t="s">
        <v>63</v>
      </c>
      <c r="X2873" s="37" t="s">
        <v>63</v>
      </c>
      <c r="Y2873" s="53">
        <v>37.0</v>
      </c>
      <c r="Z2873" s="69" t="s">
        <v>63</v>
      </c>
      <c r="AA2873" s="73"/>
      <c r="AB2873" s="73"/>
      <c r="AC2873" s="73"/>
      <c r="AD2873" s="73"/>
      <c r="AE2873" s="73"/>
      <c r="AF2873" s="73"/>
      <c r="AG2873" s="73"/>
      <c r="AH2873" s="73"/>
      <c r="AI2873" s="73"/>
      <c r="AJ2873" s="73"/>
      <c r="AK2873" s="73"/>
    </row>
    <row r="2874">
      <c r="A2874" s="28">
        <v>2873.0</v>
      </c>
      <c r="B2874" s="29"/>
      <c r="C2874" s="29"/>
      <c r="D2874" s="40">
        <v>1.0</v>
      </c>
      <c r="E2874" s="31">
        <v>51.0</v>
      </c>
      <c r="F2874" s="42">
        <v>9.0</v>
      </c>
      <c r="G2874" s="29" t="str">
        <f t="shared" si="1"/>
        <v>51009</v>
      </c>
      <c r="H2874" s="37" t="s">
        <v>2217</v>
      </c>
      <c r="I2874" s="37" t="s">
        <v>117</v>
      </c>
      <c r="J2874" s="37" t="s">
        <v>375</v>
      </c>
      <c r="K2874" s="37" t="str">
        <f t="shared" si="47"/>
        <v>Amherst, VA</v>
      </c>
      <c r="L2874" s="37">
        <v>25.0</v>
      </c>
      <c r="M2874" s="37" t="s">
        <v>63</v>
      </c>
      <c r="N2874" s="37">
        <v>16.0</v>
      </c>
      <c r="O2874" s="37">
        <v>8.0</v>
      </c>
      <c r="P2874" s="37" t="s">
        <v>63</v>
      </c>
      <c r="Q2874" s="37" t="s">
        <v>63</v>
      </c>
      <c r="R2874" s="37">
        <v>12.0</v>
      </c>
      <c r="S2874" s="37" t="s">
        <v>63</v>
      </c>
      <c r="T2874" s="69">
        <v>0.333</v>
      </c>
      <c r="U2874" s="37" t="s">
        <v>63</v>
      </c>
      <c r="V2874" s="37" t="s">
        <v>63</v>
      </c>
      <c r="W2874" s="37" t="s">
        <v>63</v>
      </c>
      <c r="X2874" s="37" t="s">
        <v>63</v>
      </c>
      <c r="Y2874" s="53">
        <v>60.0</v>
      </c>
      <c r="Z2874" s="69" t="s">
        <v>63</v>
      </c>
      <c r="AA2874" s="73"/>
      <c r="AB2874" s="73"/>
      <c r="AC2874" s="73"/>
      <c r="AD2874" s="73"/>
      <c r="AE2874" s="73"/>
      <c r="AF2874" s="73"/>
      <c r="AG2874" s="73"/>
      <c r="AH2874" s="73"/>
      <c r="AI2874" s="73"/>
      <c r="AJ2874" s="73"/>
      <c r="AK2874" s="73"/>
    </row>
    <row r="2875">
      <c r="A2875" s="28">
        <v>2874.0</v>
      </c>
      <c r="B2875" s="29"/>
      <c r="C2875" s="29"/>
      <c r="D2875" s="40">
        <v>1.0</v>
      </c>
      <c r="E2875" s="31">
        <v>51.0</v>
      </c>
      <c r="F2875" s="42">
        <v>11.0</v>
      </c>
      <c r="G2875" s="29" t="str">
        <f t="shared" si="1"/>
        <v>51011</v>
      </c>
      <c r="H2875" s="37" t="s">
        <v>2218</v>
      </c>
      <c r="I2875" s="37" t="s">
        <v>117</v>
      </c>
      <c r="J2875" s="37" t="s">
        <v>375</v>
      </c>
      <c r="K2875" s="37" t="str">
        <f t="shared" si="47"/>
        <v>Appomattox, VA</v>
      </c>
      <c r="L2875" s="37">
        <v>20.0</v>
      </c>
      <c r="M2875" s="37" t="s">
        <v>63</v>
      </c>
      <c r="N2875" s="37">
        <v>11.0</v>
      </c>
      <c r="O2875" s="37">
        <v>1.0</v>
      </c>
      <c r="P2875" s="37" t="s">
        <v>63</v>
      </c>
      <c r="Q2875" s="37" t="s">
        <v>63</v>
      </c>
      <c r="R2875" s="37">
        <v>8.0</v>
      </c>
      <c r="S2875" s="37" t="s">
        <v>63</v>
      </c>
      <c r="T2875" s="69">
        <v>0.333</v>
      </c>
      <c r="U2875" s="37" t="s">
        <v>63</v>
      </c>
      <c r="V2875" s="37" t="s">
        <v>63</v>
      </c>
      <c r="W2875" s="37" t="s">
        <v>63</v>
      </c>
      <c r="X2875" s="37" t="s">
        <v>63</v>
      </c>
      <c r="Y2875" s="53">
        <v>39.0</v>
      </c>
      <c r="Z2875" s="69" t="s">
        <v>63</v>
      </c>
      <c r="AA2875" s="73"/>
      <c r="AB2875" s="73"/>
      <c r="AC2875" s="73"/>
      <c r="AD2875" s="73"/>
      <c r="AE2875" s="73"/>
      <c r="AF2875" s="73"/>
      <c r="AG2875" s="73"/>
      <c r="AH2875" s="73"/>
      <c r="AI2875" s="73"/>
      <c r="AJ2875" s="73"/>
      <c r="AK2875" s="73"/>
    </row>
    <row r="2876">
      <c r="A2876" s="28">
        <v>2875.0</v>
      </c>
      <c r="B2876" s="29"/>
      <c r="C2876" s="29"/>
      <c r="D2876" s="40">
        <v>1.0</v>
      </c>
      <c r="E2876" s="31">
        <v>51.0</v>
      </c>
      <c r="F2876" s="42">
        <v>13.0</v>
      </c>
      <c r="G2876" s="29" t="str">
        <f t="shared" si="1"/>
        <v>51013</v>
      </c>
      <c r="H2876" s="37" t="s">
        <v>2219</v>
      </c>
      <c r="I2876" s="37" t="s">
        <v>117</v>
      </c>
      <c r="J2876" s="37" t="s">
        <v>375</v>
      </c>
      <c r="K2876" s="37" t="str">
        <f t="shared" si="47"/>
        <v>Arlington, VA</v>
      </c>
      <c r="L2876" s="37">
        <v>70.0</v>
      </c>
      <c r="M2876" s="37" t="s">
        <v>63</v>
      </c>
      <c r="N2876" s="37">
        <v>29.0</v>
      </c>
      <c r="O2876" s="37">
        <v>16.0</v>
      </c>
      <c r="P2876" s="37" t="s">
        <v>63</v>
      </c>
      <c r="Q2876" s="37" t="s">
        <v>63</v>
      </c>
      <c r="R2876" s="37">
        <v>17.0</v>
      </c>
      <c r="S2876" s="37" t="s">
        <v>63</v>
      </c>
      <c r="T2876" s="69">
        <v>0.429</v>
      </c>
      <c r="U2876" s="37" t="s">
        <v>63</v>
      </c>
      <c r="V2876" s="37" t="s">
        <v>63</v>
      </c>
      <c r="W2876" s="37" t="s">
        <v>63</v>
      </c>
      <c r="X2876" s="37" t="s">
        <v>63</v>
      </c>
      <c r="Y2876" s="53">
        <v>80.0</v>
      </c>
      <c r="Z2876" s="69" t="s">
        <v>63</v>
      </c>
      <c r="AA2876" s="73"/>
      <c r="AB2876" s="73"/>
      <c r="AC2876" s="73"/>
      <c r="AD2876" s="73"/>
      <c r="AE2876" s="73"/>
      <c r="AF2876" s="73"/>
      <c r="AG2876" s="73"/>
      <c r="AH2876" s="73"/>
      <c r="AI2876" s="73"/>
      <c r="AJ2876" s="73"/>
      <c r="AK2876" s="73"/>
    </row>
    <row r="2877">
      <c r="A2877" s="28">
        <v>2876.0</v>
      </c>
      <c r="B2877" s="29"/>
      <c r="C2877" s="29"/>
      <c r="D2877" s="40">
        <v>1.0</v>
      </c>
      <c r="E2877" s="31">
        <v>51.0</v>
      </c>
      <c r="F2877" s="42">
        <v>15.0</v>
      </c>
      <c r="G2877" s="29" t="str">
        <f t="shared" si="1"/>
        <v>51015</v>
      </c>
      <c r="H2877" s="37" t="s">
        <v>2220</v>
      </c>
      <c r="I2877" s="37" t="s">
        <v>117</v>
      </c>
      <c r="J2877" s="37" t="s">
        <v>375</v>
      </c>
      <c r="K2877" s="37" t="str">
        <f t="shared" si="47"/>
        <v>Augusta, VA</v>
      </c>
      <c r="L2877" s="37">
        <v>50.0</v>
      </c>
      <c r="M2877" s="37" t="s">
        <v>63</v>
      </c>
      <c r="N2877" s="37">
        <v>4.0</v>
      </c>
      <c r="O2877" s="37" t="s">
        <v>63</v>
      </c>
      <c r="P2877" s="37" t="s">
        <v>63</v>
      </c>
      <c r="Q2877" s="37" t="s">
        <v>63</v>
      </c>
      <c r="R2877" s="37">
        <v>21.0</v>
      </c>
      <c r="S2877" s="37" t="s">
        <v>63</v>
      </c>
      <c r="T2877" s="69">
        <v>0.545</v>
      </c>
      <c r="U2877" s="37" t="s">
        <v>63</v>
      </c>
      <c r="V2877" s="37" t="s">
        <v>63</v>
      </c>
      <c r="W2877" s="37" t="s">
        <v>63</v>
      </c>
      <c r="X2877" s="37" t="s">
        <v>63</v>
      </c>
      <c r="Y2877" s="53">
        <v>117.0</v>
      </c>
      <c r="Z2877" s="69" t="s">
        <v>63</v>
      </c>
      <c r="AA2877" s="73"/>
      <c r="AB2877" s="73"/>
      <c r="AC2877" s="73"/>
      <c r="AD2877" s="73"/>
      <c r="AE2877" s="73"/>
      <c r="AF2877" s="73"/>
      <c r="AG2877" s="73"/>
      <c r="AH2877" s="73"/>
      <c r="AI2877" s="73"/>
      <c r="AJ2877" s="73"/>
      <c r="AK2877" s="73"/>
    </row>
    <row r="2878">
      <c r="A2878" s="28">
        <v>2877.0</v>
      </c>
      <c r="B2878" s="29"/>
      <c r="C2878" s="29"/>
      <c r="D2878" s="40">
        <v>1.0</v>
      </c>
      <c r="E2878" s="31">
        <v>51.0</v>
      </c>
      <c r="F2878" s="42">
        <v>17.0</v>
      </c>
      <c r="G2878" s="29" t="str">
        <f t="shared" si="1"/>
        <v>51017</v>
      </c>
      <c r="H2878" s="37" t="s">
        <v>1026</v>
      </c>
      <c r="I2878" s="37" t="s">
        <v>117</v>
      </c>
      <c r="J2878" s="37" t="s">
        <v>375</v>
      </c>
      <c r="K2878" s="37" t="str">
        <f t="shared" si="47"/>
        <v>Bath, VA</v>
      </c>
      <c r="L2878" s="37">
        <v>0.0</v>
      </c>
      <c r="M2878" s="37" t="s">
        <v>63</v>
      </c>
      <c r="N2878" s="37" t="s">
        <v>63</v>
      </c>
      <c r="O2878" s="37" t="s">
        <v>63</v>
      </c>
      <c r="P2878" s="37" t="s">
        <v>63</v>
      </c>
      <c r="Q2878" s="37" t="s">
        <v>63</v>
      </c>
      <c r="R2878" s="37">
        <v>0.0</v>
      </c>
      <c r="S2878" s="37" t="s">
        <v>63</v>
      </c>
      <c r="T2878" s="69">
        <v>0.0</v>
      </c>
      <c r="U2878" s="37" t="s">
        <v>63</v>
      </c>
      <c r="V2878" s="37" t="s">
        <v>63</v>
      </c>
      <c r="W2878" s="37" t="s">
        <v>63</v>
      </c>
      <c r="X2878" s="37" t="s">
        <v>63</v>
      </c>
      <c r="Y2878" s="53">
        <v>21.0</v>
      </c>
      <c r="Z2878" s="69" t="s">
        <v>63</v>
      </c>
      <c r="AA2878" s="73"/>
      <c r="AB2878" s="73"/>
      <c r="AC2878" s="73"/>
      <c r="AD2878" s="73"/>
      <c r="AE2878" s="73"/>
      <c r="AF2878" s="73"/>
      <c r="AG2878" s="73"/>
      <c r="AH2878" s="73"/>
      <c r="AI2878" s="73"/>
      <c r="AJ2878" s="73"/>
      <c r="AK2878" s="73"/>
    </row>
    <row r="2879">
      <c r="A2879" s="28">
        <v>2878.0</v>
      </c>
      <c r="B2879" s="29"/>
      <c r="C2879" s="29"/>
      <c r="D2879" s="40">
        <v>1.0</v>
      </c>
      <c r="E2879" s="31">
        <v>51.0</v>
      </c>
      <c r="F2879" s="42">
        <v>19.0</v>
      </c>
      <c r="G2879" s="29" t="str">
        <f t="shared" si="1"/>
        <v>51019</v>
      </c>
      <c r="H2879" s="37" t="s">
        <v>1784</v>
      </c>
      <c r="I2879" s="37" t="s">
        <v>117</v>
      </c>
      <c r="J2879" s="37" t="s">
        <v>375</v>
      </c>
      <c r="K2879" s="37" t="str">
        <f t="shared" si="47"/>
        <v>Bedford, VA</v>
      </c>
      <c r="L2879" s="37">
        <v>72.0</v>
      </c>
      <c r="M2879" s="37" t="s">
        <v>63</v>
      </c>
      <c r="N2879" s="37">
        <v>22.0</v>
      </c>
      <c r="O2879" s="37">
        <v>12.0</v>
      </c>
      <c r="P2879" s="37" t="s">
        <v>63</v>
      </c>
      <c r="Q2879" s="37" t="s">
        <v>63</v>
      </c>
      <c r="R2879" s="37">
        <v>21.0</v>
      </c>
      <c r="S2879" s="37" t="s">
        <v>63</v>
      </c>
      <c r="T2879" s="69">
        <v>0.257</v>
      </c>
      <c r="U2879" s="37" t="s">
        <v>63</v>
      </c>
      <c r="V2879" s="37" t="s">
        <v>63</v>
      </c>
      <c r="W2879" s="37" t="s">
        <v>63</v>
      </c>
      <c r="X2879" s="37" t="s">
        <v>63</v>
      </c>
      <c r="Y2879" s="53">
        <v>101.0</v>
      </c>
      <c r="Z2879" s="69" t="s">
        <v>63</v>
      </c>
      <c r="AA2879" s="73"/>
      <c r="AB2879" s="73"/>
      <c r="AC2879" s="73"/>
      <c r="AD2879" s="73"/>
      <c r="AE2879" s="73"/>
      <c r="AF2879" s="73"/>
      <c r="AG2879" s="73"/>
      <c r="AH2879" s="73"/>
      <c r="AI2879" s="73"/>
      <c r="AJ2879" s="73"/>
      <c r="AK2879" s="73"/>
    </row>
    <row r="2880">
      <c r="A2880" s="28">
        <v>2879.0</v>
      </c>
      <c r="B2880" s="29"/>
      <c r="C2880" s="29"/>
      <c r="D2880" s="40">
        <v>1.0</v>
      </c>
      <c r="E2880" s="31">
        <v>51.0</v>
      </c>
      <c r="F2880" s="42">
        <v>21.0</v>
      </c>
      <c r="G2880" s="29" t="str">
        <f t="shared" si="1"/>
        <v>51021</v>
      </c>
      <c r="H2880" s="37" t="s">
        <v>2222</v>
      </c>
      <c r="I2880" s="37" t="s">
        <v>117</v>
      </c>
      <c r="J2880" s="37" t="s">
        <v>375</v>
      </c>
      <c r="K2880" s="37" t="str">
        <f t="shared" si="47"/>
        <v>Bland, VA</v>
      </c>
      <c r="L2880" s="37">
        <v>4.0</v>
      </c>
      <c r="M2880" s="37" t="s">
        <v>63</v>
      </c>
      <c r="N2880" s="37">
        <v>1.0</v>
      </c>
      <c r="O2880" s="37">
        <v>1.0</v>
      </c>
      <c r="P2880" s="37" t="s">
        <v>63</v>
      </c>
      <c r="Q2880" s="37" t="s">
        <v>63</v>
      </c>
      <c r="R2880" s="37">
        <v>3.0</v>
      </c>
      <c r="S2880" s="37" t="s">
        <v>63</v>
      </c>
      <c r="T2880" s="69">
        <v>0.0</v>
      </c>
      <c r="U2880" s="37" t="s">
        <v>63</v>
      </c>
      <c r="V2880" s="37" t="s">
        <v>63</v>
      </c>
      <c r="W2880" s="37" t="s">
        <v>63</v>
      </c>
      <c r="X2880" s="37" t="s">
        <v>63</v>
      </c>
      <c r="Y2880" s="53">
        <v>8.0</v>
      </c>
      <c r="Z2880" s="69" t="s">
        <v>63</v>
      </c>
      <c r="AA2880" s="73"/>
      <c r="AB2880" s="73"/>
      <c r="AC2880" s="73"/>
      <c r="AD2880" s="73"/>
      <c r="AE2880" s="73"/>
      <c r="AF2880" s="73"/>
      <c r="AG2880" s="73"/>
      <c r="AH2880" s="73"/>
      <c r="AI2880" s="73"/>
      <c r="AJ2880" s="73"/>
      <c r="AK2880" s="73"/>
    </row>
    <row r="2881">
      <c r="A2881" s="28">
        <v>2880.0</v>
      </c>
      <c r="B2881" s="29"/>
      <c r="C2881" s="29"/>
      <c r="D2881" s="40">
        <v>1.0</v>
      </c>
      <c r="E2881" s="31">
        <v>51.0</v>
      </c>
      <c r="F2881" s="42">
        <v>23.0</v>
      </c>
      <c r="G2881" s="29" t="str">
        <f t="shared" si="1"/>
        <v>51023</v>
      </c>
      <c r="H2881" s="37" t="s">
        <v>2223</v>
      </c>
      <c r="I2881" s="37" t="s">
        <v>117</v>
      </c>
      <c r="J2881" s="37" t="s">
        <v>375</v>
      </c>
      <c r="K2881" s="37" t="str">
        <f t="shared" si="47"/>
        <v>Botetourt, VA</v>
      </c>
      <c r="L2881" s="37">
        <v>6.0</v>
      </c>
      <c r="M2881" s="37" t="s">
        <v>63</v>
      </c>
      <c r="N2881" s="37">
        <v>3.0</v>
      </c>
      <c r="O2881" s="37">
        <v>1.0</v>
      </c>
      <c r="P2881" s="37" t="s">
        <v>63</v>
      </c>
      <c r="Q2881" s="37" t="s">
        <v>63</v>
      </c>
      <c r="R2881" s="37">
        <v>2.0</v>
      </c>
      <c r="S2881" s="37" t="s">
        <v>63</v>
      </c>
      <c r="T2881" s="69">
        <v>0.333</v>
      </c>
      <c r="U2881" s="37" t="s">
        <v>63</v>
      </c>
      <c r="V2881" s="37" t="s">
        <v>63</v>
      </c>
      <c r="W2881" s="37" t="s">
        <v>63</v>
      </c>
      <c r="X2881" s="37" t="s">
        <v>63</v>
      </c>
      <c r="Y2881" s="53">
        <v>56.0</v>
      </c>
      <c r="Z2881" s="69" t="s">
        <v>63</v>
      </c>
      <c r="AA2881" s="73"/>
      <c r="AB2881" s="73"/>
      <c r="AC2881" s="73"/>
      <c r="AD2881" s="73"/>
      <c r="AE2881" s="73"/>
      <c r="AF2881" s="73"/>
      <c r="AG2881" s="73"/>
      <c r="AH2881" s="73"/>
      <c r="AI2881" s="73"/>
      <c r="AJ2881" s="73"/>
      <c r="AK2881" s="73"/>
    </row>
    <row r="2882">
      <c r="A2882" s="28">
        <v>2881.0</v>
      </c>
      <c r="B2882" s="29"/>
      <c r="C2882" s="29"/>
      <c r="D2882" s="40">
        <v>1.0</v>
      </c>
      <c r="E2882" s="31">
        <v>51.0</v>
      </c>
      <c r="F2882" s="42">
        <v>25.0</v>
      </c>
      <c r="G2882" s="29" t="str">
        <f t="shared" si="1"/>
        <v>51025</v>
      </c>
      <c r="H2882" s="37" t="s">
        <v>1586</v>
      </c>
      <c r="I2882" s="37" t="s">
        <v>117</v>
      </c>
      <c r="J2882" s="37" t="s">
        <v>375</v>
      </c>
      <c r="K2882" s="37" t="str">
        <f t="shared" si="47"/>
        <v>Brunswick, VA</v>
      </c>
      <c r="L2882" s="37">
        <v>6.0</v>
      </c>
      <c r="M2882" s="37" t="s">
        <v>63</v>
      </c>
      <c r="N2882" s="37">
        <v>3.0</v>
      </c>
      <c r="O2882" s="37" t="s">
        <v>63</v>
      </c>
      <c r="P2882" s="37" t="s">
        <v>63</v>
      </c>
      <c r="Q2882" s="37" t="s">
        <v>63</v>
      </c>
      <c r="R2882" s="37">
        <v>1.0</v>
      </c>
      <c r="S2882" s="37" t="s">
        <v>63</v>
      </c>
      <c r="T2882" s="69">
        <v>0.0</v>
      </c>
      <c r="U2882" s="37" t="s">
        <v>63</v>
      </c>
      <c r="V2882" s="37" t="s">
        <v>63</v>
      </c>
      <c r="W2882" s="37" t="s">
        <v>63</v>
      </c>
      <c r="X2882" s="37" t="s">
        <v>63</v>
      </c>
      <c r="Y2882" s="53">
        <v>42.0</v>
      </c>
      <c r="Z2882" s="69" t="s">
        <v>63</v>
      </c>
      <c r="AA2882" s="73"/>
      <c r="AB2882" s="73"/>
      <c r="AC2882" s="73"/>
      <c r="AD2882" s="73"/>
      <c r="AE2882" s="73"/>
      <c r="AF2882" s="73"/>
      <c r="AG2882" s="73"/>
      <c r="AH2882" s="73"/>
      <c r="AI2882" s="73"/>
      <c r="AJ2882" s="73"/>
      <c r="AK2882" s="73"/>
    </row>
    <row r="2883">
      <c r="A2883" s="28">
        <v>2882.0</v>
      </c>
      <c r="B2883" s="29"/>
      <c r="C2883" s="29"/>
      <c r="D2883" s="40">
        <v>1.0</v>
      </c>
      <c r="E2883" s="31">
        <v>51.0</v>
      </c>
      <c r="F2883" s="42">
        <v>27.0</v>
      </c>
      <c r="G2883" s="29" t="str">
        <f t="shared" si="1"/>
        <v>51027</v>
      </c>
      <c r="H2883" s="37" t="s">
        <v>892</v>
      </c>
      <c r="I2883" s="37" t="s">
        <v>117</v>
      </c>
      <c r="J2883" s="37" t="s">
        <v>375</v>
      </c>
      <c r="K2883" s="37" t="str">
        <f t="shared" si="47"/>
        <v>Buchanan, VA</v>
      </c>
      <c r="L2883" s="37">
        <v>75.0</v>
      </c>
      <c r="M2883" s="37" t="s">
        <v>63</v>
      </c>
      <c r="N2883" s="37">
        <v>52.0</v>
      </c>
      <c r="O2883" s="37">
        <v>9.0</v>
      </c>
      <c r="P2883" s="37" t="s">
        <v>63</v>
      </c>
      <c r="Q2883" s="37" t="s">
        <v>63</v>
      </c>
      <c r="R2883" s="37">
        <v>31.0</v>
      </c>
      <c r="S2883" s="37" t="s">
        <v>63</v>
      </c>
      <c r="T2883" s="69">
        <v>0.25</v>
      </c>
      <c r="U2883" s="37" t="s">
        <v>63</v>
      </c>
      <c r="V2883" s="37" t="s">
        <v>63</v>
      </c>
      <c r="W2883" s="37" t="s">
        <v>63</v>
      </c>
      <c r="X2883" s="37" t="s">
        <v>63</v>
      </c>
      <c r="Y2883" s="53">
        <v>27.0</v>
      </c>
      <c r="Z2883" s="69" t="s">
        <v>63</v>
      </c>
      <c r="AA2883" s="73"/>
      <c r="AB2883" s="73"/>
      <c r="AC2883" s="73"/>
      <c r="AD2883" s="73"/>
      <c r="AE2883" s="73"/>
      <c r="AF2883" s="73"/>
      <c r="AG2883" s="73"/>
      <c r="AH2883" s="73"/>
      <c r="AI2883" s="73"/>
      <c r="AJ2883" s="73"/>
      <c r="AK2883" s="73"/>
    </row>
    <row r="2884">
      <c r="A2884" s="28">
        <v>2883.0</v>
      </c>
      <c r="B2884" s="29"/>
      <c r="C2884" s="29"/>
      <c r="D2884" s="40">
        <v>1.0</v>
      </c>
      <c r="E2884" s="31">
        <v>51.0</v>
      </c>
      <c r="F2884" s="42">
        <v>29.0</v>
      </c>
      <c r="G2884" s="29" t="str">
        <f t="shared" si="1"/>
        <v>51029</v>
      </c>
      <c r="H2884" s="37" t="s">
        <v>2224</v>
      </c>
      <c r="I2884" s="37" t="s">
        <v>117</v>
      </c>
      <c r="J2884" s="37" t="s">
        <v>375</v>
      </c>
      <c r="K2884" s="37" t="str">
        <f t="shared" si="47"/>
        <v>Buckingham, VA</v>
      </c>
      <c r="L2884" s="37">
        <v>9.0</v>
      </c>
      <c r="M2884" s="37" t="s">
        <v>63</v>
      </c>
      <c r="N2884" s="37">
        <v>6.0</v>
      </c>
      <c r="O2884" s="37" t="s">
        <v>63</v>
      </c>
      <c r="P2884" s="37" t="s">
        <v>63</v>
      </c>
      <c r="Q2884" s="37" t="s">
        <v>63</v>
      </c>
      <c r="R2884" s="37">
        <v>6.0</v>
      </c>
      <c r="S2884" s="37" t="s">
        <v>63</v>
      </c>
      <c r="T2884" s="69">
        <v>0.0</v>
      </c>
      <c r="U2884" s="37" t="s">
        <v>63</v>
      </c>
      <c r="V2884" s="37" t="s">
        <v>63</v>
      </c>
      <c r="W2884" s="37" t="s">
        <v>63</v>
      </c>
      <c r="X2884" s="37" t="s">
        <v>63</v>
      </c>
      <c r="Y2884" s="53">
        <v>37.0</v>
      </c>
      <c r="Z2884" s="69" t="s">
        <v>63</v>
      </c>
      <c r="AA2884" s="73"/>
      <c r="AB2884" s="73"/>
      <c r="AC2884" s="73"/>
      <c r="AD2884" s="73"/>
      <c r="AE2884" s="73"/>
      <c r="AF2884" s="73"/>
      <c r="AG2884" s="73"/>
      <c r="AH2884" s="73"/>
      <c r="AI2884" s="73"/>
      <c r="AJ2884" s="73"/>
      <c r="AK2884" s="73"/>
    </row>
    <row r="2885">
      <c r="A2885" s="28">
        <v>2884.0</v>
      </c>
      <c r="B2885" s="29"/>
      <c r="C2885" s="29"/>
      <c r="D2885" s="40">
        <v>1.0</v>
      </c>
      <c r="E2885" s="31">
        <v>51.0</v>
      </c>
      <c r="F2885" s="42">
        <v>31.0</v>
      </c>
      <c r="G2885" s="29" t="str">
        <f t="shared" si="1"/>
        <v>51031</v>
      </c>
      <c r="H2885" s="37" t="s">
        <v>1036</v>
      </c>
      <c r="I2885" s="37" t="s">
        <v>117</v>
      </c>
      <c r="J2885" s="37" t="s">
        <v>375</v>
      </c>
      <c r="K2885" s="37" t="str">
        <f t="shared" si="47"/>
        <v>Campbell, VA</v>
      </c>
      <c r="L2885" s="37">
        <v>44.0</v>
      </c>
      <c r="M2885" s="37" t="s">
        <v>63</v>
      </c>
      <c r="N2885" s="37">
        <v>27.0</v>
      </c>
      <c r="O2885" s="37">
        <v>3.0</v>
      </c>
      <c r="P2885" s="37" t="s">
        <v>63</v>
      </c>
      <c r="Q2885" s="37" t="s">
        <v>63</v>
      </c>
      <c r="R2885" s="37">
        <v>11.0</v>
      </c>
      <c r="S2885" s="37" t="s">
        <v>63</v>
      </c>
      <c r="T2885" s="69">
        <v>0.269</v>
      </c>
      <c r="U2885" s="37" t="s">
        <v>63</v>
      </c>
      <c r="V2885" s="37" t="s">
        <v>63</v>
      </c>
      <c r="W2885" s="37" t="s">
        <v>63</v>
      </c>
      <c r="X2885" s="37" t="s">
        <v>63</v>
      </c>
      <c r="Y2885" s="53">
        <v>91.0</v>
      </c>
      <c r="Z2885" s="69" t="s">
        <v>63</v>
      </c>
      <c r="AA2885" s="73"/>
      <c r="AB2885" s="73"/>
      <c r="AC2885" s="73"/>
      <c r="AD2885" s="73"/>
      <c r="AE2885" s="73"/>
      <c r="AF2885" s="73"/>
      <c r="AG2885" s="73"/>
      <c r="AH2885" s="73"/>
      <c r="AI2885" s="73"/>
      <c r="AJ2885" s="73"/>
      <c r="AK2885" s="73"/>
    </row>
    <row r="2886">
      <c r="A2886" s="28">
        <v>2885.0</v>
      </c>
      <c r="B2886" s="29"/>
      <c r="C2886" s="29"/>
      <c r="D2886" s="40">
        <v>1.0</v>
      </c>
      <c r="E2886" s="31">
        <v>51.0</v>
      </c>
      <c r="F2886" s="42">
        <v>33.0</v>
      </c>
      <c r="G2886" s="29" t="str">
        <f t="shared" si="1"/>
        <v>51033</v>
      </c>
      <c r="H2886" s="37" t="s">
        <v>1200</v>
      </c>
      <c r="I2886" s="37" t="s">
        <v>117</v>
      </c>
      <c r="J2886" s="37" t="s">
        <v>375</v>
      </c>
      <c r="K2886" s="37" t="str">
        <f t="shared" si="47"/>
        <v>Caroline, VA</v>
      </c>
      <c r="L2886" s="37">
        <v>5.0</v>
      </c>
      <c r="M2886" s="37" t="s">
        <v>63</v>
      </c>
      <c r="N2886" s="37">
        <v>2.0</v>
      </c>
      <c r="O2886" s="37">
        <v>1.0</v>
      </c>
      <c r="P2886" s="37" t="s">
        <v>63</v>
      </c>
      <c r="Q2886" s="37" t="s">
        <v>63</v>
      </c>
      <c r="R2886" s="37">
        <v>3.0</v>
      </c>
      <c r="S2886" s="37" t="s">
        <v>63</v>
      </c>
      <c r="T2886" s="69">
        <v>1.0</v>
      </c>
      <c r="U2886" s="37" t="s">
        <v>63</v>
      </c>
      <c r="V2886" s="37" t="s">
        <v>63</v>
      </c>
      <c r="W2886" s="37" t="s">
        <v>63</v>
      </c>
      <c r="X2886" s="37" t="s">
        <v>63</v>
      </c>
      <c r="Y2886" s="53">
        <v>48.0</v>
      </c>
      <c r="Z2886" s="69" t="s">
        <v>63</v>
      </c>
      <c r="AA2886" s="73"/>
      <c r="AB2886" s="73"/>
      <c r="AC2886" s="73"/>
      <c r="AD2886" s="73"/>
      <c r="AE2886" s="73"/>
      <c r="AF2886" s="73"/>
      <c r="AG2886" s="73"/>
      <c r="AH2886" s="73"/>
      <c r="AI2886" s="73"/>
      <c r="AJ2886" s="73"/>
      <c r="AK2886" s="73"/>
    </row>
    <row r="2887">
      <c r="A2887" s="28">
        <v>2886.0</v>
      </c>
      <c r="B2887" s="29"/>
      <c r="C2887" s="29"/>
      <c r="D2887" s="40">
        <v>1.0</v>
      </c>
      <c r="E2887" s="31">
        <v>51.0</v>
      </c>
      <c r="F2887" s="42">
        <v>35.0</v>
      </c>
      <c r="G2887" s="29" t="str">
        <f t="shared" si="1"/>
        <v>51035</v>
      </c>
      <c r="H2887" s="37" t="s">
        <v>248</v>
      </c>
      <c r="I2887" s="37" t="s">
        <v>117</v>
      </c>
      <c r="J2887" s="37" t="s">
        <v>375</v>
      </c>
      <c r="K2887" s="37" t="str">
        <f t="shared" si="47"/>
        <v>Carroll, VA</v>
      </c>
      <c r="L2887" s="37">
        <v>38.0</v>
      </c>
      <c r="M2887" s="37" t="s">
        <v>63</v>
      </c>
      <c r="N2887" s="37">
        <v>20.0</v>
      </c>
      <c r="O2887" s="37">
        <v>6.0</v>
      </c>
      <c r="P2887" s="37" t="s">
        <v>63</v>
      </c>
      <c r="Q2887" s="37" t="s">
        <v>63</v>
      </c>
      <c r="R2887" s="37">
        <v>16.0</v>
      </c>
      <c r="S2887" s="37" t="s">
        <v>63</v>
      </c>
      <c r="T2887" s="69">
        <v>0.212</v>
      </c>
      <c r="U2887" s="37" t="s">
        <v>63</v>
      </c>
      <c r="V2887" s="37" t="s">
        <v>63</v>
      </c>
      <c r="W2887" s="37" t="s">
        <v>63</v>
      </c>
      <c r="X2887" s="37" t="s">
        <v>63</v>
      </c>
      <c r="Y2887" s="53">
        <v>46.0</v>
      </c>
      <c r="Z2887" s="69" t="s">
        <v>63</v>
      </c>
      <c r="AA2887" s="73"/>
      <c r="AB2887" s="73"/>
      <c r="AC2887" s="73"/>
      <c r="AD2887" s="73"/>
      <c r="AE2887" s="73"/>
      <c r="AF2887" s="73"/>
      <c r="AG2887" s="73"/>
      <c r="AH2887" s="73"/>
      <c r="AI2887" s="73"/>
      <c r="AJ2887" s="73"/>
      <c r="AK2887" s="73"/>
    </row>
    <row r="2888">
      <c r="A2888" s="28">
        <v>2887.0</v>
      </c>
      <c r="B2888" s="29"/>
      <c r="C2888" s="29"/>
      <c r="D2888" s="40">
        <v>1.0</v>
      </c>
      <c r="E2888" s="31">
        <v>51.0</v>
      </c>
      <c r="F2888" s="42">
        <v>36.0</v>
      </c>
      <c r="G2888" s="29" t="str">
        <f t="shared" si="1"/>
        <v>51036</v>
      </c>
      <c r="H2888" s="37" t="s">
        <v>2226</v>
      </c>
      <c r="I2888" s="37" t="s">
        <v>117</v>
      </c>
      <c r="J2888" s="37" t="s">
        <v>375</v>
      </c>
      <c r="K2888" s="37" t="str">
        <f t="shared" si="47"/>
        <v>Charles City, VA</v>
      </c>
      <c r="L2888" s="37">
        <v>0.0</v>
      </c>
      <c r="M2888" s="37" t="s">
        <v>63</v>
      </c>
      <c r="N2888" s="37" t="s">
        <v>63</v>
      </c>
      <c r="O2888" s="37" t="s">
        <v>63</v>
      </c>
      <c r="P2888" s="37" t="s">
        <v>63</v>
      </c>
      <c r="Q2888" s="37" t="s">
        <v>63</v>
      </c>
      <c r="R2888" s="37">
        <v>0.0</v>
      </c>
      <c r="S2888" s="37" t="s">
        <v>63</v>
      </c>
      <c r="T2888" s="69">
        <v>0.0</v>
      </c>
      <c r="U2888" s="37" t="s">
        <v>63</v>
      </c>
      <c r="V2888" s="37" t="s">
        <v>63</v>
      </c>
      <c r="W2888" s="37" t="s">
        <v>63</v>
      </c>
      <c r="X2888" s="37" t="s">
        <v>63</v>
      </c>
      <c r="Y2888" s="53">
        <v>14.0</v>
      </c>
      <c r="Z2888" s="69" t="s">
        <v>63</v>
      </c>
      <c r="AA2888" s="73"/>
      <c r="AB2888" s="73"/>
      <c r="AC2888" s="73"/>
      <c r="AD2888" s="73"/>
      <c r="AE2888" s="73"/>
      <c r="AF2888" s="73"/>
      <c r="AG2888" s="73"/>
      <c r="AH2888" s="73"/>
      <c r="AI2888" s="73"/>
      <c r="AJ2888" s="73"/>
      <c r="AK2888" s="73"/>
    </row>
    <row r="2889">
      <c r="A2889" s="28">
        <v>2888.0</v>
      </c>
      <c r="B2889" s="29"/>
      <c r="C2889" s="29"/>
      <c r="D2889" s="40">
        <v>1.0</v>
      </c>
      <c r="E2889" s="31">
        <v>51.0</v>
      </c>
      <c r="F2889" s="42">
        <v>37.0</v>
      </c>
      <c r="G2889" s="29" t="str">
        <f t="shared" si="1"/>
        <v>51037</v>
      </c>
      <c r="H2889" s="37" t="s">
        <v>486</v>
      </c>
      <c r="I2889" s="37" t="s">
        <v>117</v>
      </c>
      <c r="J2889" s="37" t="s">
        <v>375</v>
      </c>
      <c r="K2889" s="37" t="str">
        <f t="shared" si="47"/>
        <v>Charlotte, VA</v>
      </c>
      <c r="L2889" s="37">
        <v>6.0</v>
      </c>
      <c r="M2889" s="37" t="s">
        <v>63</v>
      </c>
      <c r="N2889" s="37">
        <v>3.0</v>
      </c>
      <c r="O2889" s="37">
        <v>1.0</v>
      </c>
      <c r="P2889" s="37" t="s">
        <v>63</v>
      </c>
      <c r="Q2889" s="37" t="s">
        <v>63</v>
      </c>
      <c r="R2889" s="37">
        <v>3.0</v>
      </c>
      <c r="S2889" s="37" t="s">
        <v>63</v>
      </c>
      <c r="T2889" s="69">
        <v>0.2</v>
      </c>
      <c r="U2889" s="37" t="s">
        <v>63</v>
      </c>
      <c r="V2889" s="37" t="s">
        <v>63</v>
      </c>
      <c r="W2889" s="37" t="s">
        <v>63</v>
      </c>
      <c r="X2889" s="37" t="s">
        <v>63</v>
      </c>
      <c r="Y2889" s="53">
        <v>33.0</v>
      </c>
      <c r="Z2889" s="69" t="s">
        <v>63</v>
      </c>
      <c r="AA2889" s="73"/>
      <c r="AB2889" s="73"/>
      <c r="AC2889" s="73"/>
      <c r="AD2889" s="73"/>
      <c r="AE2889" s="73"/>
      <c r="AF2889" s="73"/>
      <c r="AG2889" s="73"/>
      <c r="AH2889" s="73"/>
      <c r="AI2889" s="73"/>
      <c r="AJ2889" s="73"/>
      <c r="AK2889" s="73"/>
    </row>
    <row r="2890">
      <c r="A2890" s="28">
        <v>2889.0</v>
      </c>
      <c r="B2890" s="29"/>
      <c r="C2890" s="29"/>
      <c r="D2890" s="40">
        <v>1.0</v>
      </c>
      <c r="E2890" s="31">
        <v>51.0</v>
      </c>
      <c r="F2890" s="42">
        <v>41.0</v>
      </c>
      <c r="G2890" s="29" t="str">
        <f t="shared" si="1"/>
        <v>51041</v>
      </c>
      <c r="H2890" s="37" t="s">
        <v>1820</v>
      </c>
      <c r="I2890" s="37" t="s">
        <v>117</v>
      </c>
      <c r="J2890" s="37" t="s">
        <v>375</v>
      </c>
      <c r="K2890" s="37" t="str">
        <f t="shared" si="47"/>
        <v>Chesterfield, VA</v>
      </c>
      <c r="L2890" s="37">
        <v>105.0</v>
      </c>
      <c r="M2890" s="37" t="s">
        <v>63</v>
      </c>
      <c r="N2890" s="37">
        <v>69.0</v>
      </c>
      <c r="O2890" s="37">
        <v>7.0</v>
      </c>
      <c r="P2890" s="37" t="s">
        <v>63</v>
      </c>
      <c r="Q2890" s="37" t="s">
        <v>63</v>
      </c>
      <c r="R2890" s="37">
        <v>49.0</v>
      </c>
      <c r="S2890" s="37" t="s">
        <v>63</v>
      </c>
      <c r="T2890" s="69">
        <v>0.286</v>
      </c>
      <c r="U2890" s="37" t="s">
        <v>63</v>
      </c>
      <c r="V2890" s="37" t="s">
        <v>63</v>
      </c>
      <c r="W2890" s="37" t="s">
        <v>63</v>
      </c>
      <c r="X2890" s="37" t="s">
        <v>63</v>
      </c>
      <c r="Y2890" s="53">
        <v>207.0</v>
      </c>
      <c r="Z2890" s="69" t="s">
        <v>63</v>
      </c>
      <c r="AA2890" s="73"/>
      <c r="AB2890" s="73"/>
      <c r="AC2890" s="73"/>
      <c r="AD2890" s="73"/>
      <c r="AE2890" s="73"/>
      <c r="AF2890" s="73"/>
      <c r="AG2890" s="73"/>
      <c r="AH2890" s="73"/>
      <c r="AI2890" s="73"/>
      <c r="AJ2890" s="73"/>
      <c r="AK2890" s="73"/>
    </row>
    <row r="2891">
      <c r="A2891" s="28">
        <v>2890.0</v>
      </c>
      <c r="B2891" s="29"/>
      <c r="C2891" s="29"/>
      <c r="D2891" s="40">
        <v>1.0</v>
      </c>
      <c r="E2891" s="31">
        <v>51.0</v>
      </c>
      <c r="F2891" s="42">
        <v>43.0</v>
      </c>
      <c r="G2891" s="29" t="str">
        <f t="shared" si="1"/>
        <v>51043</v>
      </c>
      <c r="H2891" s="37" t="s">
        <v>110</v>
      </c>
      <c r="I2891" s="37" t="s">
        <v>117</v>
      </c>
      <c r="J2891" s="37" t="s">
        <v>375</v>
      </c>
      <c r="K2891" s="37" t="str">
        <f t="shared" si="47"/>
        <v>Clarke, VA</v>
      </c>
      <c r="L2891" s="37">
        <v>5.0</v>
      </c>
      <c r="M2891" s="37" t="s">
        <v>63</v>
      </c>
      <c r="N2891" s="37">
        <v>2.0</v>
      </c>
      <c r="O2891" s="37">
        <v>2.0</v>
      </c>
      <c r="P2891" s="37" t="s">
        <v>63</v>
      </c>
      <c r="Q2891" s="37" t="s">
        <v>63</v>
      </c>
      <c r="R2891" s="37">
        <v>1.0</v>
      </c>
      <c r="S2891" s="37" t="s">
        <v>63</v>
      </c>
      <c r="T2891" s="69">
        <v>0.5</v>
      </c>
      <c r="U2891" s="37" t="s">
        <v>63</v>
      </c>
      <c r="V2891" s="37" t="s">
        <v>63</v>
      </c>
      <c r="W2891" s="37" t="s">
        <v>63</v>
      </c>
      <c r="X2891" s="37" t="s">
        <v>63</v>
      </c>
      <c r="Y2891" s="53">
        <v>15.0</v>
      </c>
      <c r="Z2891" s="69" t="s">
        <v>63</v>
      </c>
      <c r="AA2891" s="73"/>
      <c r="AB2891" s="73"/>
      <c r="AC2891" s="73"/>
      <c r="AD2891" s="73"/>
      <c r="AE2891" s="73"/>
      <c r="AF2891" s="73"/>
      <c r="AG2891" s="73"/>
      <c r="AH2891" s="73"/>
      <c r="AI2891" s="73"/>
      <c r="AJ2891" s="73"/>
      <c r="AK2891" s="73"/>
    </row>
    <row r="2892">
      <c r="A2892" s="28">
        <v>2891.0</v>
      </c>
      <c r="B2892" s="29"/>
      <c r="C2892" s="29"/>
      <c r="D2892" s="40">
        <v>1.0</v>
      </c>
      <c r="E2892" s="31">
        <v>51.0</v>
      </c>
      <c r="F2892" s="42">
        <v>45.0</v>
      </c>
      <c r="G2892" s="29" t="str">
        <f t="shared" si="1"/>
        <v>51045</v>
      </c>
      <c r="H2892" s="37" t="s">
        <v>1721</v>
      </c>
      <c r="I2892" s="37" t="s">
        <v>117</v>
      </c>
      <c r="J2892" s="37" t="s">
        <v>375</v>
      </c>
      <c r="K2892" s="37" t="str">
        <f t="shared" si="47"/>
        <v>Craig, VA</v>
      </c>
      <c r="L2892" s="37">
        <v>11.0</v>
      </c>
      <c r="M2892" s="37" t="s">
        <v>63</v>
      </c>
      <c r="N2892" s="37">
        <v>8.0</v>
      </c>
      <c r="O2892" s="37">
        <v>1.0</v>
      </c>
      <c r="P2892" s="37" t="s">
        <v>63</v>
      </c>
      <c r="Q2892" s="37" t="s">
        <v>63</v>
      </c>
      <c r="R2892" s="37">
        <v>6.0</v>
      </c>
      <c r="S2892" s="37" t="s">
        <v>63</v>
      </c>
      <c r="T2892" s="69">
        <v>0.0</v>
      </c>
      <c r="U2892" s="37" t="s">
        <v>63</v>
      </c>
      <c r="V2892" s="37" t="s">
        <v>63</v>
      </c>
      <c r="W2892" s="37" t="s">
        <v>63</v>
      </c>
      <c r="X2892" s="37" t="s">
        <v>63</v>
      </c>
      <c r="Y2892" s="53">
        <v>7.0</v>
      </c>
      <c r="Z2892" s="69" t="s">
        <v>63</v>
      </c>
      <c r="AA2892" s="73"/>
      <c r="AB2892" s="73"/>
      <c r="AC2892" s="73"/>
      <c r="AD2892" s="73"/>
      <c r="AE2892" s="73"/>
      <c r="AF2892" s="73"/>
      <c r="AG2892" s="73"/>
      <c r="AH2892" s="73"/>
      <c r="AI2892" s="73"/>
      <c r="AJ2892" s="73"/>
      <c r="AK2892" s="73"/>
    </row>
    <row r="2893">
      <c r="A2893" s="28">
        <v>2892.0</v>
      </c>
      <c r="B2893" s="29"/>
      <c r="C2893" s="29"/>
      <c r="D2893" s="40">
        <v>1.0</v>
      </c>
      <c r="E2893" s="31">
        <v>51.0</v>
      </c>
      <c r="F2893" s="42">
        <v>47.0</v>
      </c>
      <c r="G2893" s="29" t="str">
        <f t="shared" si="1"/>
        <v>51047</v>
      </c>
      <c r="H2893" s="37" t="s">
        <v>2228</v>
      </c>
      <c r="I2893" s="37" t="s">
        <v>117</v>
      </c>
      <c r="J2893" s="37" t="s">
        <v>375</v>
      </c>
      <c r="K2893" s="37" t="str">
        <f t="shared" si="47"/>
        <v>Culpeper, VA</v>
      </c>
      <c r="L2893" s="37">
        <v>12.0</v>
      </c>
      <c r="M2893" s="37" t="s">
        <v>63</v>
      </c>
      <c r="N2893" s="37">
        <v>9.0</v>
      </c>
      <c r="O2893" s="37" t="s">
        <v>63</v>
      </c>
      <c r="P2893" s="37" t="s">
        <v>63</v>
      </c>
      <c r="Q2893" s="37" t="s">
        <v>63</v>
      </c>
      <c r="R2893" s="37">
        <v>4.0</v>
      </c>
      <c r="S2893" s="37" t="s">
        <v>63</v>
      </c>
      <c r="T2893" s="69">
        <v>0.063</v>
      </c>
      <c r="U2893" s="37" t="s">
        <v>63</v>
      </c>
      <c r="V2893" s="37" t="s">
        <v>63</v>
      </c>
      <c r="W2893" s="37" t="s">
        <v>63</v>
      </c>
      <c r="X2893" s="37" t="s">
        <v>63</v>
      </c>
      <c r="Y2893" s="53">
        <v>60.0</v>
      </c>
      <c r="Z2893" s="69" t="s">
        <v>63</v>
      </c>
      <c r="AA2893" s="73"/>
      <c r="AB2893" s="73"/>
      <c r="AC2893" s="73"/>
      <c r="AD2893" s="73"/>
      <c r="AE2893" s="73"/>
      <c r="AF2893" s="73"/>
      <c r="AG2893" s="73"/>
      <c r="AH2893" s="73"/>
      <c r="AI2893" s="73"/>
      <c r="AJ2893" s="73"/>
      <c r="AK2893" s="73"/>
    </row>
    <row r="2894">
      <c r="A2894" s="28">
        <v>2893.0</v>
      </c>
      <c r="B2894" s="29"/>
      <c r="C2894" s="29"/>
      <c r="D2894" s="40">
        <v>1.0</v>
      </c>
      <c r="E2894" s="31">
        <v>51.0</v>
      </c>
      <c r="F2894" s="42">
        <v>49.0</v>
      </c>
      <c r="G2894" s="29" t="str">
        <f t="shared" si="1"/>
        <v>51049</v>
      </c>
      <c r="H2894" s="37" t="s">
        <v>713</v>
      </c>
      <c r="I2894" s="37" t="s">
        <v>117</v>
      </c>
      <c r="J2894" s="37" t="s">
        <v>375</v>
      </c>
      <c r="K2894" s="37" t="str">
        <f t="shared" si="47"/>
        <v>Cumberland, VA</v>
      </c>
      <c r="L2894" s="37">
        <v>1.0</v>
      </c>
      <c r="M2894" s="37" t="s">
        <v>63</v>
      </c>
      <c r="N2894" s="37" t="s">
        <v>63</v>
      </c>
      <c r="O2894" s="37">
        <v>1.0</v>
      </c>
      <c r="P2894" s="37" t="s">
        <v>63</v>
      </c>
      <c r="Q2894" s="37" t="s">
        <v>63</v>
      </c>
      <c r="R2894" s="37">
        <v>0.0</v>
      </c>
      <c r="S2894" s="37" t="s">
        <v>63</v>
      </c>
      <c r="T2894" s="69">
        <v>0.571</v>
      </c>
      <c r="U2894" s="37" t="s">
        <v>63</v>
      </c>
      <c r="V2894" s="37" t="s">
        <v>63</v>
      </c>
      <c r="W2894" s="37" t="s">
        <v>63</v>
      </c>
      <c r="X2894" s="37" t="s">
        <v>63</v>
      </c>
      <c r="Y2894" s="53">
        <v>16.0</v>
      </c>
      <c r="Z2894" s="69" t="s">
        <v>63</v>
      </c>
      <c r="AA2894" s="73"/>
      <c r="AB2894" s="73"/>
      <c r="AC2894" s="73"/>
      <c r="AD2894" s="73"/>
      <c r="AE2894" s="73"/>
      <c r="AF2894" s="73"/>
      <c r="AG2894" s="73"/>
      <c r="AH2894" s="73"/>
      <c r="AI2894" s="73"/>
      <c r="AJ2894" s="73"/>
      <c r="AK2894" s="73"/>
    </row>
    <row r="2895">
      <c r="A2895" s="28">
        <v>2894.0</v>
      </c>
      <c r="B2895" s="29"/>
      <c r="C2895" s="29"/>
      <c r="D2895" s="40">
        <v>1.0</v>
      </c>
      <c r="E2895" s="31">
        <v>51.0</v>
      </c>
      <c r="F2895" s="42">
        <v>51.0</v>
      </c>
      <c r="G2895" s="29" t="str">
        <f t="shared" si="1"/>
        <v>51051</v>
      </c>
      <c r="H2895" s="37" t="s">
        <v>2229</v>
      </c>
      <c r="I2895" s="37" t="s">
        <v>117</v>
      </c>
      <c r="J2895" s="37" t="s">
        <v>375</v>
      </c>
      <c r="K2895" s="37" t="str">
        <f t="shared" si="47"/>
        <v>Dickenson, VA</v>
      </c>
      <c r="L2895" s="37">
        <v>13.0</v>
      </c>
      <c r="M2895" s="37" t="s">
        <v>63</v>
      </c>
      <c r="N2895" s="37">
        <v>8.0</v>
      </c>
      <c r="O2895" s="37">
        <v>2.0</v>
      </c>
      <c r="P2895" s="37" t="s">
        <v>63</v>
      </c>
      <c r="Q2895" s="37" t="s">
        <v>63</v>
      </c>
      <c r="R2895" s="37">
        <v>3.0</v>
      </c>
      <c r="S2895" s="37" t="s">
        <v>63</v>
      </c>
      <c r="T2895" s="69">
        <v>0.368</v>
      </c>
      <c r="U2895" s="37" t="s">
        <v>63</v>
      </c>
      <c r="V2895" s="37" t="s">
        <v>63</v>
      </c>
      <c r="W2895" s="37" t="s">
        <v>63</v>
      </c>
      <c r="X2895" s="37" t="s">
        <v>63</v>
      </c>
      <c r="Y2895" s="53">
        <v>14.0</v>
      </c>
      <c r="Z2895" s="69" t="s">
        <v>63</v>
      </c>
      <c r="AA2895" s="73"/>
      <c r="AB2895" s="73"/>
      <c r="AC2895" s="73"/>
      <c r="AD2895" s="73"/>
      <c r="AE2895" s="73"/>
      <c r="AF2895" s="73"/>
      <c r="AG2895" s="73"/>
      <c r="AH2895" s="73"/>
      <c r="AI2895" s="73"/>
      <c r="AJ2895" s="73"/>
      <c r="AK2895" s="73"/>
    </row>
    <row r="2896">
      <c r="A2896" s="28">
        <v>2895.0</v>
      </c>
      <c r="B2896" s="29"/>
      <c r="C2896" s="29"/>
      <c r="D2896" s="40">
        <v>1.0</v>
      </c>
      <c r="E2896" s="31">
        <v>51.0</v>
      </c>
      <c r="F2896" s="42">
        <v>53.0</v>
      </c>
      <c r="G2896" s="29" t="str">
        <f t="shared" si="1"/>
        <v>51053</v>
      </c>
      <c r="H2896" s="37" t="s">
        <v>2230</v>
      </c>
      <c r="I2896" s="37" t="s">
        <v>117</v>
      </c>
      <c r="J2896" s="37" t="s">
        <v>375</v>
      </c>
      <c r="K2896" s="37" t="str">
        <f t="shared" si="47"/>
        <v>Dinwiddie, VA</v>
      </c>
      <c r="L2896" s="37">
        <v>20.0</v>
      </c>
      <c r="M2896" s="37" t="s">
        <v>63</v>
      </c>
      <c r="N2896" s="37">
        <v>15.0</v>
      </c>
      <c r="O2896" s="37">
        <v>1.0</v>
      </c>
      <c r="P2896" s="37" t="s">
        <v>63</v>
      </c>
      <c r="Q2896" s="37" t="s">
        <v>63</v>
      </c>
      <c r="R2896" s="37">
        <v>6.0</v>
      </c>
      <c r="S2896" s="37" t="s">
        <v>63</v>
      </c>
      <c r="T2896" s="69">
        <v>0.0</v>
      </c>
      <c r="U2896" s="37" t="s">
        <v>63</v>
      </c>
      <c r="V2896" s="37" t="s">
        <v>63</v>
      </c>
      <c r="W2896" s="37" t="s">
        <v>63</v>
      </c>
      <c r="X2896" s="37" t="s">
        <v>63</v>
      </c>
      <c r="Y2896" s="53">
        <v>40.0</v>
      </c>
      <c r="Z2896" s="69" t="s">
        <v>63</v>
      </c>
      <c r="AA2896" s="73"/>
      <c r="AB2896" s="73"/>
      <c r="AC2896" s="73"/>
      <c r="AD2896" s="73"/>
      <c r="AE2896" s="73"/>
      <c r="AF2896" s="73"/>
      <c r="AG2896" s="73"/>
      <c r="AH2896" s="73"/>
      <c r="AI2896" s="73"/>
      <c r="AJ2896" s="73"/>
      <c r="AK2896" s="73"/>
    </row>
    <row r="2897">
      <c r="A2897" s="28">
        <v>2896.0</v>
      </c>
      <c r="B2897" s="29"/>
      <c r="C2897" s="29"/>
      <c r="D2897" s="40">
        <v>1.0</v>
      </c>
      <c r="E2897" s="31">
        <v>51.0</v>
      </c>
      <c r="F2897" s="42">
        <v>57.0</v>
      </c>
      <c r="G2897" s="29" t="str">
        <f t="shared" si="1"/>
        <v>51057</v>
      </c>
      <c r="H2897" s="37" t="s">
        <v>516</v>
      </c>
      <c r="I2897" s="37" t="s">
        <v>117</v>
      </c>
      <c r="J2897" s="37" t="s">
        <v>375</v>
      </c>
      <c r="K2897" s="37" t="str">
        <f t="shared" si="47"/>
        <v>Essex, VA</v>
      </c>
      <c r="L2897" s="37">
        <v>6.0</v>
      </c>
      <c r="M2897" s="37" t="s">
        <v>63</v>
      </c>
      <c r="N2897" s="37">
        <v>5.0</v>
      </c>
      <c r="O2897" s="37">
        <v>1.0</v>
      </c>
      <c r="P2897" s="37" t="s">
        <v>63</v>
      </c>
      <c r="Q2897" s="37" t="s">
        <v>63</v>
      </c>
      <c r="R2897" s="37">
        <v>3.0</v>
      </c>
      <c r="S2897" s="37" t="s">
        <v>63</v>
      </c>
      <c r="T2897" s="69">
        <v>0.286</v>
      </c>
      <c r="U2897" s="37" t="s">
        <v>63</v>
      </c>
      <c r="V2897" s="37" t="s">
        <v>63</v>
      </c>
      <c r="W2897" s="37" t="s">
        <v>63</v>
      </c>
      <c r="X2897" s="37" t="s">
        <v>63</v>
      </c>
      <c r="Y2897" s="53">
        <v>24.0</v>
      </c>
      <c r="Z2897" s="69" t="s">
        <v>63</v>
      </c>
      <c r="AA2897" s="73"/>
      <c r="AB2897" s="73"/>
      <c r="AC2897" s="73"/>
      <c r="AD2897" s="73"/>
      <c r="AE2897" s="73"/>
      <c r="AF2897" s="73"/>
      <c r="AG2897" s="73"/>
      <c r="AH2897" s="73"/>
      <c r="AI2897" s="73"/>
      <c r="AJ2897" s="73"/>
      <c r="AK2897" s="73"/>
    </row>
    <row r="2898">
      <c r="A2898" s="28">
        <v>2897.0</v>
      </c>
      <c r="B2898" s="29"/>
      <c r="C2898" s="29"/>
      <c r="D2898" s="40">
        <v>1.0</v>
      </c>
      <c r="E2898" s="31">
        <v>51.0</v>
      </c>
      <c r="F2898" s="42">
        <v>59.0</v>
      </c>
      <c r="G2898" s="29" t="str">
        <f t="shared" si="1"/>
        <v>51059</v>
      </c>
      <c r="H2898" s="37" t="s">
        <v>2231</v>
      </c>
      <c r="I2898" s="37" t="s">
        <v>117</v>
      </c>
      <c r="J2898" s="37" t="s">
        <v>375</v>
      </c>
      <c r="K2898" s="37" t="str">
        <f t="shared" si="47"/>
        <v>Fairfax, VA</v>
      </c>
      <c r="L2898" s="37">
        <v>218.0</v>
      </c>
      <c r="M2898" s="37" t="s">
        <v>63</v>
      </c>
      <c r="N2898" s="37">
        <v>113.0</v>
      </c>
      <c r="O2898" s="37">
        <v>30.0</v>
      </c>
      <c r="P2898" s="37" t="s">
        <v>63</v>
      </c>
      <c r="Q2898" s="37" t="s">
        <v>63</v>
      </c>
      <c r="R2898" s="37">
        <v>56.0</v>
      </c>
      <c r="S2898" s="37" t="s">
        <v>63</v>
      </c>
      <c r="T2898" s="69">
        <v>0.263</v>
      </c>
      <c r="U2898" s="37" t="s">
        <v>63</v>
      </c>
      <c r="V2898" s="37" t="s">
        <v>63</v>
      </c>
      <c r="W2898" s="37" t="s">
        <v>63</v>
      </c>
      <c r="X2898" s="37" t="s">
        <v>63</v>
      </c>
      <c r="Y2898" s="53">
        <v>440.0</v>
      </c>
      <c r="Z2898" s="69" t="s">
        <v>63</v>
      </c>
      <c r="AA2898" s="73"/>
      <c r="AB2898" s="73"/>
      <c r="AC2898" s="73"/>
      <c r="AD2898" s="73"/>
      <c r="AE2898" s="73"/>
      <c r="AF2898" s="73"/>
      <c r="AG2898" s="73"/>
      <c r="AH2898" s="73"/>
      <c r="AI2898" s="73"/>
      <c r="AJ2898" s="73"/>
      <c r="AK2898" s="73"/>
    </row>
    <row r="2899">
      <c r="A2899" s="28">
        <v>2898.0</v>
      </c>
      <c r="B2899" s="29"/>
      <c r="C2899" s="29"/>
      <c r="D2899" s="40">
        <v>1.0</v>
      </c>
      <c r="E2899" s="31">
        <v>51.0</v>
      </c>
      <c r="F2899" s="42">
        <v>61.0</v>
      </c>
      <c r="G2899" s="29" t="str">
        <f t="shared" si="1"/>
        <v>51061</v>
      </c>
      <c r="H2899" s="37" t="s">
        <v>2232</v>
      </c>
      <c r="I2899" s="37" t="s">
        <v>117</v>
      </c>
      <c r="J2899" s="37" t="s">
        <v>375</v>
      </c>
      <c r="K2899" s="37" t="str">
        <f t="shared" si="47"/>
        <v>Fauquier, VA</v>
      </c>
      <c r="L2899" s="37">
        <v>31.0</v>
      </c>
      <c r="M2899" s="37" t="s">
        <v>63</v>
      </c>
      <c r="N2899" s="37">
        <v>19.0</v>
      </c>
      <c r="O2899" s="37">
        <v>3.0</v>
      </c>
      <c r="P2899" s="37" t="s">
        <v>63</v>
      </c>
      <c r="Q2899" s="37" t="s">
        <v>63</v>
      </c>
      <c r="R2899" s="37">
        <v>8.0</v>
      </c>
      <c r="S2899" s="37" t="s">
        <v>63</v>
      </c>
      <c r="T2899" s="69">
        <v>0.1</v>
      </c>
      <c r="U2899" s="37" t="s">
        <v>63</v>
      </c>
      <c r="V2899" s="37" t="s">
        <v>63</v>
      </c>
      <c r="W2899" s="37" t="s">
        <v>63</v>
      </c>
      <c r="X2899" s="37" t="s">
        <v>63</v>
      </c>
      <c r="Y2899" s="53">
        <v>93.0</v>
      </c>
      <c r="Z2899" s="69" t="s">
        <v>63</v>
      </c>
      <c r="AA2899" s="73"/>
      <c r="AB2899" s="73"/>
      <c r="AC2899" s="73"/>
      <c r="AD2899" s="73"/>
      <c r="AE2899" s="73"/>
      <c r="AF2899" s="73"/>
      <c r="AG2899" s="73"/>
      <c r="AH2899" s="73"/>
      <c r="AI2899" s="73"/>
      <c r="AJ2899" s="73"/>
      <c r="AK2899" s="73"/>
    </row>
    <row r="2900">
      <c r="A2900" s="28">
        <v>2899.0</v>
      </c>
      <c r="B2900" s="29"/>
      <c r="C2900" s="29"/>
      <c r="D2900" s="40">
        <v>1.0</v>
      </c>
      <c r="E2900" s="31">
        <v>51.0</v>
      </c>
      <c r="F2900" s="42">
        <v>63.0</v>
      </c>
      <c r="G2900" s="29" t="str">
        <f t="shared" si="1"/>
        <v>51063</v>
      </c>
      <c r="H2900" s="37" t="s">
        <v>575</v>
      </c>
      <c r="I2900" s="37" t="s">
        <v>117</v>
      </c>
      <c r="J2900" s="37" t="s">
        <v>375</v>
      </c>
      <c r="K2900" s="37" t="str">
        <f t="shared" si="47"/>
        <v>Floyd, VA</v>
      </c>
      <c r="L2900" s="37">
        <v>13.0</v>
      </c>
      <c r="M2900" s="37" t="s">
        <v>63</v>
      </c>
      <c r="N2900" s="37">
        <v>7.0</v>
      </c>
      <c r="O2900" s="37">
        <v>1.0</v>
      </c>
      <c r="P2900" s="37" t="s">
        <v>63</v>
      </c>
      <c r="Q2900" s="37" t="s">
        <v>63</v>
      </c>
      <c r="R2900" s="37">
        <v>3.0</v>
      </c>
      <c r="S2900" s="37" t="s">
        <v>63</v>
      </c>
      <c r="T2900" s="69">
        <v>0.333</v>
      </c>
      <c r="U2900" s="37" t="s">
        <v>63</v>
      </c>
      <c r="V2900" s="37" t="s">
        <v>63</v>
      </c>
      <c r="W2900" s="37" t="s">
        <v>63</v>
      </c>
      <c r="X2900" s="37" t="s">
        <v>63</v>
      </c>
      <c r="Y2900" s="53">
        <v>34.0</v>
      </c>
      <c r="Z2900" s="69" t="s">
        <v>63</v>
      </c>
      <c r="AA2900" s="73"/>
      <c r="AB2900" s="73"/>
      <c r="AC2900" s="73"/>
      <c r="AD2900" s="73"/>
      <c r="AE2900" s="73"/>
      <c r="AF2900" s="73"/>
      <c r="AG2900" s="73"/>
      <c r="AH2900" s="73"/>
      <c r="AI2900" s="73"/>
      <c r="AJ2900" s="73"/>
      <c r="AK2900" s="73"/>
    </row>
    <row r="2901">
      <c r="A2901" s="28">
        <v>2900.0</v>
      </c>
      <c r="B2901" s="29"/>
      <c r="C2901" s="29"/>
      <c r="D2901" s="40">
        <v>1.0</v>
      </c>
      <c r="E2901" s="31">
        <v>51.0</v>
      </c>
      <c r="F2901" s="42">
        <v>65.0</v>
      </c>
      <c r="G2901" s="29" t="str">
        <f t="shared" si="1"/>
        <v>51065</v>
      </c>
      <c r="H2901" s="37" t="s">
        <v>2234</v>
      </c>
      <c r="I2901" s="37" t="s">
        <v>117</v>
      </c>
      <c r="J2901" s="37" t="s">
        <v>375</v>
      </c>
      <c r="K2901" s="37" t="str">
        <f t="shared" si="47"/>
        <v>Fluvanna, VA</v>
      </c>
      <c r="L2901" s="37">
        <v>24.0</v>
      </c>
      <c r="M2901" s="37" t="s">
        <v>63</v>
      </c>
      <c r="N2901" s="37">
        <v>9.0</v>
      </c>
      <c r="O2901" s="37">
        <v>6.0</v>
      </c>
      <c r="P2901" s="37" t="s">
        <v>63</v>
      </c>
      <c r="Q2901" s="37" t="s">
        <v>63</v>
      </c>
      <c r="R2901" s="37">
        <v>5.0</v>
      </c>
      <c r="S2901" s="37" t="s">
        <v>63</v>
      </c>
      <c r="T2901" s="69">
        <v>0.111</v>
      </c>
      <c r="U2901" s="37" t="s">
        <v>63</v>
      </c>
      <c r="V2901" s="37" t="s">
        <v>63</v>
      </c>
      <c r="W2901" s="37" t="s">
        <v>63</v>
      </c>
      <c r="X2901" s="37" t="s">
        <v>63</v>
      </c>
      <c r="Y2901" s="53">
        <v>32.0</v>
      </c>
      <c r="Z2901" s="69" t="s">
        <v>63</v>
      </c>
      <c r="AA2901" s="73"/>
      <c r="AB2901" s="73"/>
      <c r="AC2901" s="73"/>
      <c r="AD2901" s="73"/>
      <c r="AE2901" s="73"/>
      <c r="AF2901" s="73"/>
      <c r="AG2901" s="73"/>
      <c r="AH2901" s="73"/>
      <c r="AI2901" s="73"/>
      <c r="AJ2901" s="73"/>
      <c r="AK2901" s="73"/>
    </row>
    <row r="2902">
      <c r="A2902" s="28">
        <v>2901.0</v>
      </c>
      <c r="B2902" s="29"/>
      <c r="C2902" s="29"/>
      <c r="D2902" s="40">
        <v>1.0</v>
      </c>
      <c r="E2902" s="31">
        <v>51.0</v>
      </c>
      <c r="F2902" s="42">
        <v>67.0</v>
      </c>
      <c r="G2902" s="29" t="str">
        <f t="shared" si="1"/>
        <v>51067</v>
      </c>
      <c r="H2902" s="37" t="s">
        <v>136</v>
      </c>
      <c r="I2902" s="37" t="s">
        <v>117</v>
      </c>
      <c r="J2902" s="37" t="s">
        <v>375</v>
      </c>
      <c r="K2902" s="37" t="str">
        <f t="shared" si="47"/>
        <v>Franklin, VA</v>
      </c>
      <c r="L2902" s="37">
        <v>74.0</v>
      </c>
      <c r="M2902" s="37" t="s">
        <v>63</v>
      </c>
      <c r="N2902" s="37">
        <v>31.0</v>
      </c>
      <c r="O2902" s="37">
        <v>15.0</v>
      </c>
      <c r="P2902" s="37" t="s">
        <v>63</v>
      </c>
      <c r="Q2902" s="37" t="s">
        <v>63</v>
      </c>
      <c r="R2902" s="37">
        <v>24.0</v>
      </c>
      <c r="S2902" s="37" t="s">
        <v>63</v>
      </c>
      <c r="T2902" s="69">
        <v>0.244</v>
      </c>
      <c r="U2902" s="37" t="s">
        <v>63</v>
      </c>
      <c r="V2902" s="37" t="s">
        <v>63</v>
      </c>
      <c r="W2902" s="37" t="s">
        <v>63</v>
      </c>
      <c r="X2902" s="37" t="s">
        <v>63</v>
      </c>
      <c r="Y2902" s="53">
        <v>82.0</v>
      </c>
      <c r="Z2902" s="69" t="s">
        <v>63</v>
      </c>
      <c r="AA2902" s="73"/>
      <c r="AB2902" s="73"/>
      <c r="AC2902" s="73"/>
      <c r="AD2902" s="73"/>
      <c r="AE2902" s="73"/>
      <c r="AF2902" s="73"/>
      <c r="AG2902" s="73"/>
      <c r="AH2902" s="73"/>
      <c r="AI2902" s="73"/>
      <c r="AJ2902" s="73"/>
      <c r="AK2902" s="73"/>
    </row>
    <row r="2903">
      <c r="A2903" s="28">
        <v>2902.0</v>
      </c>
      <c r="B2903" s="29"/>
      <c r="C2903" s="29"/>
      <c r="D2903" s="40">
        <v>1.0</v>
      </c>
      <c r="E2903" s="31">
        <v>51.0</v>
      </c>
      <c r="F2903" s="42">
        <v>69.0</v>
      </c>
      <c r="G2903" s="29" t="str">
        <f t="shared" si="1"/>
        <v>51069</v>
      </c>
      <c r="H2903" s="37" t="s">
        <v>1206</v>
      </c>
      <c r="I2903" s="37" t="s">
        <v>117</v>
      </c>
      <c r="J2903" s="37" t="s">
        <v>375</v>
      </c>
      <c r="K2903" s="37" t="str">
        <f t="shared" si="47"/>
        <v>Frederick, VA</v>
      </c>
      <c r="L2903" s="37">
        <v>42.0</v>
      </c>
      <c r="M2903" s="37" t="s">
        <v>63</v>
      </c>
      <c r="N2903" s="37">
        <v>28.0</v>
      </c>
      <c r="O2903" s="37">
        <v>3.0</v>
      </c>
      <c r="P2903" s="37" t="s">
        <v>63</v>
      </c>
      <c r="Q2903" s="37" t="s">
        <v>63</v>
      </c>
      <c r="R2903" s="37">
        <v>22.0</v>
      </c>
      <c r="S2903" s="37" t="s">
        <v>63</v>
      </c>
      <c r="T2903" s="69">
        <v>0.5</v>
      </c>
      <c r="U2903" s="37" t="s">
        <v>63</v>
      </c>
      <c r="V2903" s="37" t="s">
        <v>63</v>
      </c>
      <c r="W2903" s="37" t="s">
        <v>63</v>
      </c>
      <c r="X2903" s="37" t="s">
        <v>63</v>
      </c>
      <c r="Y2903" s="53">
        <v>71.0</v>
      </c>
      <c r="Z2903" s="69" t="s">
        <v>63</v>
      </c>
      <c r="AA2903" s="73"/>
      <c r="AB2903" s="73"/>
      <c r="AC2903" s="73"/>
      <c r="AD2903" s="73"/>
      <c r="AE2903" s="73"/>
      <c r="AF2903" s="73"/>
      <c r="AG2903" s="73"/>
      <c r="AH2903" s="73"/>
      <c r="AI2903" s="73"/>
      <c r="AJ2903" s="73"/>
      <c r="AK2903" s="73"/>
    </row>
    <row r="2904">
      <c r="A2904" s="28">
        <v>2903.0</v>
      </c>
      <c r="B2904" s="29"/>
      <c r="C2904" s="29"/>
      <c r="D2904" s="40">
        <v>1.0</v>
      </c>
      <c r="E2904" s="31">
        <v>51.0</v>
      </c>
      <c r="F2904" s="42">
        <v>71.0</v>
      </c>
      <c r="G2904" s="29" t="str">
        <f t="shared" si="1"/>
        <v>51071</v>
      </c>
      <c r="H2904" s="37" t="s">
        <v>1907</v>
      </c>
      <c r="I2904" s="37" t="s">
        <v>117</v>
      </c>
      <c r="J2904" s="37" t="s">
        <v>375</v>
      </c>
      <c r="K2904" s="37" t="str">
        <f t="shared" si="47"/>
        <v>Giles, VA</v>
      </c>
      <c r="L2904" s="37">
        <v>15.0</v>
      </c>
      <c r="M2904" s="37" t="s">
        <v>63</v>
      </c>
      <c r="N2904" s="37">
        <v>7.0</v>
      </c>
      <c r="O2904" s="37">
        <v>2.0</v>
      </c>
      <c r="P2904" s="37" t="s">
        <v>63</v>
      </c>
      <c r="Q2904" s="37" t="s">
        <v>63</v>
      </c>
      <c r="R2904" s="37">
        <v>7.0</v>
      </c>
      <c r="S2904" s="37" t="s">
        <v>63</v>
      </c>
      <c r="T2904" s="69">
        <v>0.167</v>
      </c>
      <c r="U2904" s="37" t="s">
        <v>63</v>
      </c>
      <c r="V2904" s="37" t="s">
        <v>63</v>
      </c>
      <c r="W2904" s="37" t="s">
        <v>63</v>
      </c>
      <c r="X2904" s="37" t="s">
        <v>63</v>
      </c>
      <c r="Y2904" s="53">
        <v>28.0</v>
      </c>
      <c r="Z2904" s="69" t="s">
        <v>63</v>
      </c>
      <c r="AA2904" s="73"/>
      <c r="AB2904" s="73"/>
      <c r="AC2904" s="73"/>
      <c r="AD2904" s="73"/>
      <c r="AE2904" s="73"/>
      <c r="AF2904" s="73"/>
      <c r="AG2904" s="73"/>
      <c r="AH2904" s="73"/>
      <c r="AI2904" s="73"/>
      <c r="AJ2904" s="73"/>
      <c r="AK2904" s="73"/>
    </row>
    <row r="2905">
      <c r="A2905" s="28">
        <v>2904.0</v>
      </c>
      <c r="B2905" s="29"/>
      <c r="C2905" s="29"/>
      <c r="D2905" s="40">
        <v>1.0</v>
      </c>
      <c r="E2905" s="31">
        <v>51.0</v>
      </c>
      <c r="F2905" s="42">
        <v>73.0</v>
      </c>
      <c r="G2905" s="29" t="str">
        <f t="shared" si="1"/>
        <v>51073</v>
      </c>
      <c r="H2905" s="37" t="s">
        <v>1528</v>
      </c>
      <c r="I2905" s="37" t="s">
        <v>117</v>
      </c>
      <c r="J2905" s="37" t="s">
        <v>375</v>
      </c>
      <c r="K2905" s="37" t="str">
        <f t="shared" si="47"/>
        <v>Gloucester, VA</v>
      </c>
      <c r="L2905" s="37">
        <v>17.0</v>
      </c>
      <c r="M2905" s="37" t="s">
        <v>63</v>
      </c>
      <c r="N2905" s="37">
        <v>10.0</v>
      </c>
      <c r="O2905" s="37">
        <v>1.0</v>
      </c>
      <c r="P2905" s="37" t="s">
        <v>63</v>
      </c>
      <c r="Q2905" s="37" t="s">
        <v>63</v>
      </c>
      <c r="R2905" s="37">
        <v>7.0</v>
      </c>
      <c r="S2905" s="37" t="s">
        <v>63</v>
      </c>
      <c r="T2905" s="69">
        <v>0.0</v>
      </c>
      <c r="U2905" s="37" t="s">
        <v>63</v>
      </c>
      <c r="V2905" s="37" t="s">
        <v>63</v>
      </c>
      <c r="W2905" s="37" t="s">
        <v>63</v>
      </c>
      <c r="X2905" s="37" t="s">
        <v>63</v>
      </c>
      <c r="Y2905" s="53">
        <v>40.0</v>
      </c>
      <c r="Z2905" s="69" t="s">
        <v>63</v>
      </c>
      <c r="AA2905" s="73"/>
      <c r="AB2905" s="73"/>
      <c r="AC2905" s="73"/>
      <c r="AD2905" s="73"/>
      <c r="AE2905" s="73"/>
      <c r="AF2905" s="73"/>
      <c r="AG2905" s="73"/>
      <c r="AH2905" s="73"/>
      <c r="AI2905" s="73"/>
      <c r="AJ2905" s="73"/>
      <c r="AK2905" s="73"/>
    </row>
    <row r="2906">
      <c r="A2906" s="28">
        <v>2905.0</v>
      </c>
      <c r="B2906" s="29"/>
      <c r="C2906" s="29"/>
      <c r="D2906" s="40">
        <v>1.0</v>
      </c>
      <c r="E2906" s="31">
        <v>51.0</v>
      </c>
      <c r="F2906" s="42">
        <v>75.0</v>
      </c>
      <c r="G2906" s="29" t="str">
        <f t="shared" si="1"/>
        <v>51075</v>
      </c>
      <c r="H2906" s="37" t="s">
        <v>2236</v>
      </c>
      <c r="I2906" s="37" t="s">
        <v>117</v>
      </c>
      <c r="J2906" s="37" t="s">
        <v>375</v>
      </c>
      <c r="K2906" s="37" t="str">
        <f t="shared" si="47"/>
        <v>Goochland, VA</v>
      </c>
      <c r="L2906" s="37">
        <v>10.0</v>
      </c>
      <c r="M2906" s="37" t="s">
        <v>63</v>
      </c>
      <c r="N2906" s="37">
        <v>2.0</v>
      </c>
      <c r="O2906" s="37">
        <v>1.0</v>
      </c>
      <c r="P2906" s="37" t="s">
        <v>63</v>
      </c>
      <c r="Q2906" s="37" t="s">
        <v>63</v>
      </c>
      <c r="R2906" s="37">
        <v>0.0</v>
      </c>
      <c r="S2906" s="37" t="s">
        <v>63</v>
      </c>
      <c r="T2906" s="69">
        <v>0.25</v>
      </c>
      <c r="U2906" s="37" t="s">
        <v>63</v>
      </c>
      <c r="V2906" s="37" t="s">
        <v>63</v>
      </c>
      <c r="W2906" s="37" t="s">
        <v>63</v>
      </c>
      <c r="X2906" s="37" t="s">
        <v>63</v>
      </c>
      <c r="Y2906" s="53">
        <v>33.0</v>
      </c>
      <c r="Z2906" s="69" t="s">
        <v>63</v>
      </c>
      <c r="AA2906" s="73"/>
      <c r="AB2906" s="73"/>
      <c r="AC2906" s="73"/>
      <c r="AD2906" s="73"/>
      <c r="AE2906" s="73"/>
      <c r="AF2906" s="73"/>
      <c r="AG2906" s="73"/>
      <c r="AH2906" s="73"/>
      <c r="AI2906" s="73"/>
      <c r="AJ2906" s="73"/>
      <c r="AK2906" s="73"/>
    </row>
    <row r="2907">
      <c r="A2907" s="28">
        <v>2906.0</v>
      </c>
      <c r="B2907" s="29"/>
      <c r="C2907" s="29"/>
      <c r="D2907" s="40">
        <v>1.0</v>
      </c>
      <c r="E2907" s="31">
        <v>51.0</v>
      </c>
      <c r="F2907" s="42">
        <v>77.0</v>
      </c>
      <c r="G2907" s="29" t="str">
        <f t="shared" si="1"/>
        <v>51077</v>
      </c>
      <c r="H2907" s="37" t="s">
        <v>1072</v>
      </c>
      <c r="I2907" s="37" t="s">
        <v>117</v>
      </c>
      <c r="J2907" s="37" t="s">
        <v>375</v>
      </c>
      <c r="K2907" s="37" t="str">
        <f t="shared" si="47"/>
        <v>Grayson, VA</v>
      </c>
      <c r="L2907" s="37">
        <v>21.0</v>
      </c>
      <c r="M2907" s="37" t="s">
        <v>63</v>
      </c>
      <c r="N2907" s="37">
        <v>19.0</v>
      </c>
      <c r="O2907" s="37">
        <v>1.0</v>
      </c>
      <c r="P2907" s="37" t="s">
        <v>63</v>
      </c>
      <c r="Q2907" s="37" t="s">
        <v>63</v>
      </c>
      <c r="R2907" s="37">
        <v>4.0</v>
      </c>
      <c r="S2907" s="37" t="s">
        <v>63</v>
      </c>
      <c r="T2907" s="69">
        <v>0.375</v>
      </c>
      <c r="U2907" s="37" t="s">
        <v>63</v>
      </c>
      <c r="V2907" s="37" t="s">
        <v>63</v>
      </c>
      <c r="W2907" s="37" t="s">
        <v>63</v>
      </c>
      <c r="X2907" s="37" t="s">
        <v>63</v>
      </c>
      <c r="Y2907" s="53">
        <v>21.0</v>
      </c>
      <c r="Z2907" s="69" t="s">
        <v>63</v>
      </c>
      <c r="AA2907" s="73"/>
      <c r="AB2907" s="73"/>
      <c r="AC2907" s="73"/>
      <c r="AD2907" s="73"/>
      <c r="AE2907" s="73"/>
      <c r="AF2907" s="73"/>
      <c r="AG2907" s="73"/>
      <c r="AH2907" s="73"/>
      <c r="AI2907" s="73"/>
      <c r="AJ2907" s="73"/>
      <c r="AK2907" s="73"/>
    </row>
    <row r="2908">
      <c r="A2908" s="28">
        <v>2907.0</v>
      </c>
      <c r="B2908" s="29"/>
      <c r="C2908" s="29"/>
      <c r="D2908" s="40">
        <v>1.0</v>
      </c>
      <c r="E2908" s="31">
        <v>51.0</v>
      </c>
      <c r="F2908" s="42">
        <v>79.0</v>
      </c>
      <c r="G2908" s="29" t="str">
        <f t="shared" si="1"/>
        <v>51079</v>
      </c>
      <c r="H2908" s="37" t="s">
        <v>138</v>
      </c>
      <c r="I2908" s="37" t="s">
        <v>117</v>
      </c>
      <c r="J2908" s="37" t="s">
        <v>375</v>
      </c>
      <c r="K2908" s="37" t="str">
        <f t="shared" si="47"/>
        <v>Greene, VA</v>
      </c>
      <c r="L2908" s="37">
        <v>36.0</v>
      </c>
      <c r="M2908" s="37" t="s">
        <v>63</v>
      </c>
      <c r="N2908" s="37">
        <v>20.0</v>
      </c>
      <c r="O2908" s="37">
        <v>6.0</v>
      </c>
      <c r="P2908" s="37" t="s">
        <v>63</v>
      </c>
      <c r="Q2908" s="37" t="s">
        <v>63</v>
      </c>
      <c r="R2908" s="37">
        <v>21.0</v>
      </c>
      <c r="S2908" s="37" t="s">
        <v>63</v>
      </c>
      <c r="T2908" s="69">
        <v>0.067</v>
      </c>
      <c r="U2908" s="37" t="s">
        <v>63</v>
      </c>
      <c r="V2908" s="37" t="s">
        <v>63</v>
      </c>
      <c r="W2908" s="37" t="s">
        <v>63</v>
      </c>
      <c r="X2908" s="37" t="s">
        <v>63</v>
      </c>
      <c r="Y2908" s="53">
        <v>16.0</v>
      </c>
      <c r="Z2908" s="69" t="s">
        <v>63</v>
      </c>
      <c r="AA2908" s="73"/>
      <c r="AB2908" s="73"/>
      <c r="AC2908" s="73"/>
      <c r="AD2908" s="73"/>
      <c r="AE2908" s="73"/>
      <c r="AF2908" s="73"/>
      <c r="AG2908" s="73"/>
      <c r="AH2908" s="73"/>
      <c r="AI2908" s="73"/>
      <c r="AJ2908" s="73"/>
      <c r="AK2908" s="73"/>
    </row>
    <row r="2909">
      <c r="A2909" s="28">
        <v>2908.0</v>
      </c>
      <c r="B2909" s="29"/>
      <c r="C2909" s="29"/>
      <c r="D2909" s="40">
        <v>1.0</v>
      </c>
      <c r="E2909" s="31">
        <v>51.0</v>
      </c>
      <c r="F2909" s="42">
        <v>81.0</v>
      </c>
      <c r="G2909" s="29" t="str">
        <f t="shared" si="1"/>
        <v>51081</v>
      </c>
      <c r="H2909" s="37" t="s">
        <v>2237</v>
      </c>
      <c r="I2909" s="37" t="s">
        <v>117</v>
      </c>
      <c r="J2909" s="37" t="s">
        <v>375</v>
      </c>
      <c r="K2909" s="37" t="str">
        <f t="shared" si="47"/>
        <v>Greensville, VA</v>
      </c>
      <c r="L2909" s="37">
        <v>19.0</v>
      </c>
      <c r="M2909" s="37" t="s">
        <v>63</v>
      </c>
      <c r="N2909" s="37">
        <v>13.0</v>
      </c>
      <c r="O2909" s="37">
        <v>3.0</v>
      </c>
      <c r="P2909" s="37" t="s">
        <v>63</v>
      </c>
      <c r="Q2909" s="37" t="s">
        <v>63</v>
      </c>
      <c r="R2909" s="37">
        <v>10.0</v>
      </c>
      <c r="S2909" s="37" t="s">
        <v>63</v>
      </c>
      <c r="T2909" s="69">
        <v>0.0</v>
      </c>
      <c r="U2909" s="37" t="s">
        <v>63</v>
      </c>
      <c r="V2909" s="37" t="s">
        <v>63</v>
      </c>
      <c r="W2909" s="37" t="s">
        <v>63</v>
      </c>
      <c r="X2909" s="37" t="s">
        <v>63</v>
      </c>
      <c r="Y2909" s="53">
        <v>22.0</v>
      </c>
      <c r="Z2909" s="69" t="s">
        <v>63</v>
      </c>
      <c r="AA2909" s="73"/>
      <c r="AB2909" s="73"/>
      <c r="AC2909" s="73"/>
      <c r="AD2909" s="73"/>
      <c r="AE2909" s="73"/>
      <c r="AF2909" s="73"/>
      <c r="AG2909" s="73"/>
      <c r="AH2909" s="73"/>
      <c r="AI2909" s="73"/>
      <c r="AJ2909" s="73"/>
      <c r="AK2909" s="73"/>
    </row>
    <row r="2910">
      <c r="A2910" s="28">
        <v>2909.0</v>
      </c>
      <c r="B2910" s="29"/>
      <c r="C2910" s="29"/>
      <c r="D2910" s="40">
        <v>1.0</v>
      </c>
      <c r="E2910" s="31">
        <v>51.0</v>
      </c>
      <c r="F2910" s="42">
        <v>83.0</v>
      </c>
      <c r="G2910" s="29" t="str">
        <f t="shared" si="1"/>
        <v>51083</v>
      </c>
      <c r="H2910" s="37" t="s">
        <v>1605</v>
      </c>
      <c r="I2910" s="37" t="s">
        <v>117</v>
      </c>
      <c r="J2910" s="37" t="s">
        <v>375</v>
      </c>
      <c r="K2910" s="37" t="str">
        <f t="shared" si="47"/>
        <v>Halifax, VA</v>
      </c>
      <c r="L2910" s="37">
        <v>17.0</v>
      </c>
      <c r="M2910" s="37" t="s">
        <v>63</v>
      </c>
      <c r="N2910" s="37">
        <v>3.0</v>
      </c>
      <c r="O2910" s="37">
        <v>4.0</v>
      </c>
      <c r="P2910" s="37" t="s">
        <v>63</v>
      </c>
      <c r="Q2910" s="37" t="s">
        <v>63</v>
      </c>
      <c r="R2910" s="37">
        <v>5.0</v>
      </c>
      <c r="S2910" s="37" t="s">
        <v>63</v>
      </c>
      <c r="T2910" s="69">
        <v>0.222</v>
      </c>
      <c r="U2910" s="37" t="s">
        <v>63</v>
      </c>
      <c r="V2910" s="37" t="s">
        <v>63</v>
      </c>
      <c r="W2910" s="37" t="s">
        <v>63</v>
      </c>
      <c r="X2910" s="37" t="s">
        <v>63</v>
      </c>
      <c r="Y2910" s="53">
        <v>81.0</v>
      </c>
      <c r="Z2910" s="69" t="s">
        <v>63</v>
      </c>
      <c r="AA2910" s="73"/>
      <c r="AB2910" s="73"/>
      <c r="AC2910" s="73"/>
      <c r="AD2910" s="73"/>
      <c r="AE2910" s="73"/>
      <c r="AF2910" s="73"/>
      <c r="AG2910" s="73"/>
      <c r="AH2910" s="73"/>
      <c r="AI2910" s="73"/>
      <c r="AJ2910" s="73"/>
      <c r="AK2910" s="73"/>
    </row>
    <row r="2911">
      <c r="A2911" s="28">
        <v>2910.0</v>
      </c>
      <c r="B2911" s="29"/>
      <c r="C2911" s="29"/>
      <c r="D2911" s="40">
        <v>1.0</v>
      </c>
      <c r="E2911" s="31">
        <v>51.0</v>
      </c>
      <c r="F2911" s="42">
        <v>85.0</v>
      </c>
      <c r="G2911" s="29" t="str">
        <f t="shared" si="1"/>
        <v>51085</v>
      </c>
      <c r="H2911" s="37" t="s">
        <v>2238</v>
      </c>
      <c r="I2911" s="37" t="s">
        <v>117</v>
      </c>
      <c r="J2911" s="37" t="s">
        <v>375</v>
      </c>
      <c r="K2911" s="37" t="str">
        <f t="shared" si="47"/>
        <v>Hanover, VA</v>
      </c>
      <c r="L2911" s="37">
        <v>63.0</v>
      </c>
      <c r="M2911" s="37" t="s">
        <v>63</v>
      </c>
      <c r="N2911" s="37">
        <v>35.0</v>
      </c>
      <c r="O2911" s="37">
        <v>6.0</v>
      </c>
      <c r="P2911" s="37" t="s">
        <v>63</v>
      </c>
      <c r="Q2911" s="37" t="s">
        <v>63</v>
      </c>
      <c r="R2911" s="37">
        <v>10.0</v>
      </c>
      <c r="S2911" s="37" t="s">
        <v>63</v>
      </c>
      <c r="T2911" s="69">
        <v>0.375</v>
      </c>
      <c r="U2911" s="37" t="s">
        <v>63</v>
      </c>
      <c r="V2911" s="37" t="s">
        <v>63</v>
      </c>
      <c r="W2911" s="37" t="s">
        <v>63</v>
      </c>
      <c r="X2911" s="37" t="s">
        <v>63</v>
      </c>
      <c r="Y2911" s="53">
        <v>116.0</v>
      </c>
      <c r="Z2911" s="69" t="s">
        <v>63</v>
      </c>
      <c r="AA2911" s="73"/>
      <c r="AB2911" s="73"/>
      <c r="AC2911" s="73"/>
      <c r="AD2911" s="73"/>
      <c r="AE2911" s="73"/>
      <c r="AF2911" s="73"/>
      <c r="AG2911" s="73"/>
      <c r="AH2911" s="73"/>
      <c r="AI2911" s="73"/>
      <c r="AJ2911" s="73"/>
      <c r="AK2911" s="73"/>
    </row>
    <row r="2912">
      <c r="A2912" s="28">
        <v>2911.0</v>
      </c>
      <c r="B2912" s="29"/>
      <c r="C2912" s="29"/>
      <c r="D2912" s="40">
        <v>1.0</v>
      </c>
      <c r="E2912" s="31">
        <v>51.0</v>
      </c>
      <c r="F2912" s="42">
        <v>87.0</v>
      </c>
      <c r="G2912" s="29" t="str">
        <f t="shared" si="1"/>
        <v>51087</v>
      </c>
      <c r="H2912" s="37" t="s">
        <v>2239</v>
      </c>
      <c r="I2912" s="37" t="s">
        <v>117</v>
      </c>
      <c r="J2912" s="37" t="s">
        <v>375</v>
      </c>
      <c r="K2912" s="37" t="str">
        <f t="shared" si="47"/>
        <v>Henrico, VA</v>
      </c>
      <c r="L2912" s="37">
        <v>144.0</v>
      </c>
      <c r="M2912" s="37" t="s">
        <v>63</v>
      </c>
      <c r="N2912" s="37">
        <v>67.0</v>
      </c>
      <c r="O2912" s="37">
        <v>45.0</v>
      </c>
      <c r="P2912" s="37" t="s">
        <v>63</v>
      </c>
      <c r="Q2912" s="37" t="s">
        <v>63</v>
      </c>
      <c r="R2912" s="37">
        <v>37.0</v>
      </c>
      <c r="S2912" s="37" t="s">
        <v>63</v>
      </c>
      <c r="T2912" s="69">
        <v>0.188</v>
      </c>
      <c r="U2912" s="37" t="s">
        <v>63</v>
      </c>
      <c r="V2912" s="37" t="s">
        <v>63</v>
      </c>
      <c r="W2912" s="37" t="s">
        <v>63</v>
      </c>
      <c r="X2912" s="37" t="s">
        <v>63</v>
      </c>
      <c r="Y2912" s="53">
        <v>184.0</v>
      </c>
      <c r="Z2912" s="69" t="s">
        <v>63</v>
      </c>
      <c r="AA2912" s="73"/>
      <c r="AB2912" s="73"/>
      <c r="AC2912" s="73"/>
      <c r="AD2912" s="73"/>
      <c r="AE2912" s="73"/>
      <c r="AF2912" s="73"/>
      <c r="AG2912" s="73"/>
      <c r="AH2912" s="73"/>
      <c r="AI2912" s="73"/>
      <c r="AJ2912" s="73"/>
      <c r="AK2912" s="73"/>
    </row>
    <row r="2913">
      <c r="A2913" s="28">
        <v>2912.0</v>
      </c>
      <c r="B2913" s="29"/>
      <c r="C2913" s="29"/>
      <c r="D2913" s="40">
        <v>1.0</v>
      </c>
      <c r="E2913" s="31">
        <v>51.0</v>
      </c>
      <c r="F2913" s="42">
        <v>89.0</v>
      </c>
      <c r="G2913" s="29" t="str">
        <f t="shared" si="1"/>
        <v>51089</v>
      </c>
      <c r="H2913" s="37" t="s">
        <v>140</v>
      </c>
      <c r="I2913" s="37" t="s">
        <v>117</v>
      </c>
      <c r="J2913" s="37" t="s">
        <v>375</v>
      </c>
      <c r="K2913" s="37" t="str">
        <f t="shared" si="47"/>
        <v>Henry, VA</v>
      </c>
      <c r="L2913" s="37">
        <v>88.0</v>
      </c>
      <c r="M2913" s="37" t="s">
        <v>63</v>
      </c>
      <c r="N2913" s="37">
        <v>48.0</v>
      </c>
      <c r="O2913" s="37">
        <v>4.0</v>
      </c>
      <c r="P2913" s="37" t="s">
        <v>63</v>
      </c>
      <c r="Q2913" s="37" t="s">
        <v>63</v>
      </c>
      <c r="R2913" s="37">
        <v>24.0</v>
      </c>
      <c r="S2913" s="37" t="s">
        <v>63</v>
      </c>
      <c r="T2913" s="69">
        <v>0.375</v>
      </c>
      <c r="U2913" s="37" t="s">
        <v>63</v>
      </c>
      <c r="V2913" s="37" t="s">
        <v>63</v>
      </c>
      <c r="W2913" s="37" t="s">
        <v>63</v>
      </c>
      <c r="X2913" s="37" t="s">
        <v>63</v>
      </c>
      <c r="Y2913" s="53">
        <v>118.0</v>
      </c>
      <c r="Z2913" s="69" t="s">
        <v>63</v>
      </c>
      <c r="AA2913" s="73"/>
      <c r="AB2913" s="73"/>
      <c r="AC2913" s="73"/>
      <c r="AD2913" s="73"/>
      <c r="AE2913" s="73"/>
      <c r="AF2913" s="73"/>
      <c r="AG2913" s="73"/>
      <c r="AH2913" s="73"/>
      <c r="AI2913" s="73"/>
      <c r="AJ2913" s="73"/>
      <c r="AK2913" s="73"/>
    </row>
    <row r="2914">
      <c r="A2914" s="28">
        <v>2913.0</v>
      </c>
      <c r="B2914" s="29"/>
      <c r="C2914" s="29"/>
      <c r="D2914" s="40">
        <v>1.0</v>
      </c>
      <c r="E2914" s="31">
        <v>51.0</v>
      </c>
      <c r="F2914" s="42">
        <v>91.0</v>
      </c>
      <c r="G2914" s="29" t="str">
        <f t="shared" si="1"/>
        <v>51091</v>
      </c>
      <c r="H2914" s="37" t="s">
        <v>1684</v>
      </c>
      <c r="I2914" s="37" t="s">
        <v>117</v>
      </c>
      <c r="J2914" s="37" t="s">
        <v>375</v>
      </c>
      <c r="K2914" s="37" t="str">
        <f t="shared" si="47"/>
        <v>Highland, VA</v>
      </c>
      <c r="L2914" s="37">
        <v>0.0</v>
      </c>
      <c r="M2914" s="37" t="s">
        <v>63</v>
      </c>
      <c r="N2914" s="37" t="s">
        <v>63</v>
      </c>
      <c r="O2914" s="37" t="s">
        <v>63</v>
      </c>
      <c r="P2914" s="37" t="s">
        <v>63</v>
      </c>
      <c r="Q2914" s="37" t="s">
        <v>63</v>
      </c>
      <c r="R2914" s="37">
        <v>0.0</v>
      </c>
      <c r="S2914" s="37" t="s">
        <v>63</v>
      </c>
      <c r="T2914" s="69">
        <v>0.0</v>
      </c>
      <c r="U2914" s="37" t="s">
        <v>63</v>
      </c>
      <c r="V2914" s="37" t="s">
        <v>63</v>
      </c>
      <c r="W2914" s="37" t="s">
        <v>63</v>
      </c>
      <c r="X2914" s="37" t="s">
        <v>63</v>
      </c>
      <c r="Y2914" s="53">
        <v>13.0</v>
      </c>
      <c r="Z2914" s="69" t="s">
        <v>63</v>
      </c>
      <c r="AA2914" s="73"/>
      <c r="AB2914" s="73"/>
      <c r="AC2914" s="73"/>
      <c r="AD2914" s="73"/>
      <c r="AE2914" s="73"/>
      <c r="AF2914" s="73"/>
      <c r="AG2914" s="73"/>
      <c r="AH2914" s="73"/>
      <c r="AI2914" s="73"/>
      <c r="AJ2914" s="73"/>
      <c r="AK2914" s="73"/>
    </row>
    <row r="2915">
      <c r="A2915" s="28">
        <v>2914.0</v>
      </c>
      <c r="B2915" s="29"/>
      <c r="C2915" s="29"/>
      <c r="D2915" s="40">
        <v>1.0</v>
      </c>
      <c r="E2915" s="31">
        <v>51.0</v>
      </c>
      <c r="F2915" s="42">
        <v>93.0</v>
      </c>
      <c r="G2915" s="29" t="str">
        <f t="shared" si="1"/>
        <v>51093</v>
      </c>
      <c r="H2915" s="37" t="s">
        <v>2241</v>
      </c>
      <c r="I2915" s="37" t="s">
        <v>117</v>
      </c>
      <c r="J2915" s="37" t="s">
        <v>375</v>
      </c>
      <c r="K2915" s="37" t="str">
        <f t="shared" si="47"/>
        <v>Isle of Wight, VA</v>
      </c>
      <c r="L2915" s="37">
        <v>15.0</v>
      </c>
      <c r="M2915" s="37" t="s">
        <v>63</v>
      </c>
      <c r="N2915" s="37">
        <v>12.0</v>
      </c>
      <c r="O2915" s="37">
        <v>2.0</v>
      </c>
      <c r="P2915" s="37" t="s">
        <v>63</v>
      </c>
      <c r="Q2915" s="37" t="s">
        <v>63</v>
      </c>
      <c r="R2915" s="37">
        <v>8.0</v>
      </c>
      <c r="S2915" s="37" t="s">
        <v>63</v>
      </c>
      <c r="T2915" s="69">
        <v>0.0</v>
      </c>
      <c r="U2915" s="37" t="s">
        <v>63</v>
      </c>
      <c r="V2915" s="37" t="s">
        <v>63</v>
      </c>
      <c r="W2915" s="37" t="s">
        <v>63</v>
      </c>
      <c r="X2915" s="37" t="s">
        <v>63</v>
      </c>
      <c r="Y2915" s="53">
        <v>57.0</v>
      </c>
      <c r="Z2915" s="69" t="s">
        <v>63</v>
      </c>
      <c r="AA2915" s="73"/>
      <c r="AB2915" s="73"/>
      <c r="AC2915" s="73"/>
      <c r="AD2915" s="73"/>
      <c r="AE2915" s="73"/>
      <c r="AF2915" s="73"/>
      <c r="AG2915" s="73"/>
      <c r="AH2915" s="73"/>
      <c r="AI2915" s="73"/>
      <c r="AJ2915" s="73"/>
      <c r="AK2915" s="73"/>
    </row>
    <row r="2916">
      <c r="A2916" s="28">
        <v>2915.0</v>
      </c>
      <c r="B2916" s="29"/>
      <c r="C2916" s="29"/>
      <c r="D2916" s="40">
        <v>1.0</v>
      </c>
      <c r="E2916" s="31">
        <v>51.0</v>
      </c>
      <c r="F2916" s="42">
        <v>95.0</v>
      </c>
      <c r="G2916" s="29" t="str">
        <f t="shared" si="1"/>
        <v>51095</v>
      </c>
      <c r="H2916" s="37" t="s">
        <v>2242</v>
      </c>
      <c r="I2916" s="37" t="s">
        <v>117</v>
      </c>
      <c r="J2916" s="37" t="s">
        <v>375</v>
      </c>
      <c r="K2916" s="37" t="str">
        <f t="shared" si="47"/>
        <v>James City, VA</v>
      </c>
      <c r="L2916" s="37">
        <v>25.0</v>
      </c>
      <c r="M2916" s="37" t="s">
        <v>63</v>
      </c>
      <c r="N2916" s="37">
        <v>2.0</v>
      </c>
      <c r="O2916" s="37">
        <v>19.0</v>
      </c>
      <c r="P2916" s="37" t="s">
        <v>63</v>
      </c>
      <c r="Q2916" s="37" t="s">
        <v>63</v>
      </c>
      <c r="R2916" s="37">
        <v>8.0</v>
      </c>
      <c r="S2916" s="37" t="s">
        <v>63</v>
      </c>
      <c r="T2916" s="69">
        <v>0.4</v>
      </c>
      <c r="U2916" s="37" t="s">
        <v>63</v>
      </c>
      <c r="V2916" s="37" t="s">
        <v>63</v>
      </c>
      <c r="W2916" s="37" t="s">
        <v>63</v>
      </c>
      <c r="X2916" s="37" t="s">
        <v>63</v>
      </c>
      <c r="Y2916" s="53">
        <v>45.0</v>
      </c>
      <c r="Z2916" s="69" t="s">
        <v>63</v>
      </c>
      <c r="AA2916" s="73"/>
      <c r="AB2916" s="73"/>
      <c r="AC2916" s="73"/>
      <c r="AD2916" s="73"/>
      <c r="AE2916" s="73"/>
      <c r="AF2916" s="73"/>
      <c r="AG2916" s="73"/>
      <c r="AH2916" s="73"/>
      <c r="AI2916" s="73"/>
      <c r="AJ2916" s="73"/>
      <c r="AK2916" s="73"/>
    </row>
    <row r="2917">
      <c r="A2917" s="28">
        <v>2916.0</v>
      </c>
      <c r="B2917" s="29"/>
      <c r="C2917" s="29"/>
      <c r="D2917" s="40">
        <v>1.0</v>
      </c>
      <c r="E2917" s="31">
        <v>51.0</v>
      </c>
      <c r="F2917" s="42">
        <v>97.0</v>
      </c>
      <c r="G2917" s="29" t="str">
        <f t="shared" si="1"/>
        <v>51097</v>
      </c>
      <c r="H2917" s="37" t="s">
        <v>2243</v>
      </c>
      <c r="I2917" s="37" t="s">
        <v>117</v>
      </c>
      <c r="J2917" s="37" t="s">
        <v>375</v>
      </c>
      <c r="K2917" s="136" t="str">
        <f t="shared" si="47"/>
        <v>King and Queen, VA</v>
      </c>
      <c r="L2917" s="37">
        <v>9.0</v>
      </c>
      <c r="M2917" s="37" t="s">
        <v>63</v>
      </c>
      <c r="N2917" s="37">
        <v>9.0</v>
      </c>
      <c r="O2917" s="37" t="s">
        <v>63</v>
      </c>
      <c r="P2917" s="37" t="s">
        <v>63</v>
      </c>
      <c r="Q2917" s="37" t="s">
        <v>63</v>
      </c>
      <c r="R2917" s="37">
        <v>2.0</v>
      </c>
      <c r="S2917" s="37" t="s">
        <v>63</v>
      </c>
      <c r="T2917" s="69">
        <v>0.0</v>
      </c>
      <c r="U2917" s="37" t="s">
        <v>63</v>
      </c>
      <c r="V2917" s="37" t="s">
        <v>63</v>
      </c>
      <c r="W2917" s="37" t="s">
        <v>63</v>
      </c>
      <c r="X2917" s="37" t="s">
        <v>63</v>
      </c>
      <c r="Y2917" s="53">
        <v>14.0</v>
      </c>
      <c r="Z2917" s="69" t="s">
        <v>63</v>
      </c>
      <c r="AA2917" s="73"/>
      <c r="AB2917" s="73"/>
      <c r="AC2917" s="73"/>
      <c r="AD2917" s="73"/>
      <c r="AE2917" s="73"/>
      <c r="AF2917" s="73"/>
      <c r="AG2917" s="73"/>
      <c r="AH2917" s="73"/>
      <c r="AI2917" s="73"/>
      <c r="AJ2917" s="73"/>
      <c r="AK2917" s="73"/>
    </row>
    <row r="2918">
      <c r="A2918" s="28">
        <v>2917.0</v>
      </c>
      <c r="B2918" s="29"/>
      <c r="C2918" s="29"/>
      <c r="D2918" s="40">
        <v>1.0</v>
      </c>
      <c r="E2918" s="31">
        <v>51.0</v>
      </c>
      <c r="F2918" s="42">
        <v>99.0</v>
      </c>
      <c r="G2918" s="29" t="str">
        <f t="shared" si="1"/>
        <v>51099</v>
      </c>
      <c r="H2918" s="37" t="s">
        <v>2244</v>
      </c>
      <c r="I2918" s="37" t="s">
        <v>117</v>
      </c>
      <c r="J2918" s="37" t="s">
        <v>375</v>
      </c>
      <c r="K2918" s="136" t="str">
        <f t="shared" si="47"/>
        <v>King George, VA</v>
      </c>
      <c r="L2918" s="37">
        <v>11.0</v>
      </c>
      <c r="M2918" s="37" t="s">
        <v>63</v>
      </c>
      <c r="N2918" s="37">
        <v>3.0</v>
      </c>
      <c r="O2918" s="37">
        <v>4.0</v>
      </c>
      <c r="P2918" s="37" t="s">
        <v>63</v>
      </c>
      <c r="Q2918" s="37" t="s">
        <v>63</v>
      </c>
      <c r="R2918" s="37">
        <v>1.0</v>
      </c>
      <c r="S2918" s="37" t="s">
        <v>63</v>
      </c>
      <c r="T2918" s="69">
        <v>0.0</v>
      </c>
      <c r="U2918" s="37" t="s">
        <v>63</v>
      </c>
      <c r="V2918" s="37" t="s">
        <v>63</v>
      </c>
      <c r="W2918" s="37" t="s">
        <v>63</v>
      </c>
      <c r="X2918" s="37" t="s">
        <v>63</v>
      </c>
      <c r="Y2918" s="53">
        <v>25.0</v>
      </c>
      <c r="Z2918" s="69" t="s">
        <v>63</v>
      </c>
      <c r="AA2918" s="73"/>
      <c r="AB2918" s="73"/>
      <c r="AC2918" s="73"/>
      <c r="AD2918" s="73"/>
      <c r="AE2918" s="73"/>
      <c r="AF2918" s="73"/>
      <c r="AG2918" s="73"/>
      <c r="AH2918" s="73"/>
      <c r="AI2918" s="73"/>
      <c r="AJ2918" s="73"/>
      <c r="AK2918" s="73"/>
    </row>
    <row r="2919">
      <c r="A2919" s="28">
        <v>2918.0</v>
      </c>
      <c r="B2919" s="29"/>
      <c r="C2919" s="29"/>
      <c r="D2919" s="40">
        <v>1.0</v>
      </c>
      <c r="E2919" s="31">
        <v>51.0</v>
      </c>
      <c r="F2919" s="42">
        <v>101.0</v>
      </c>
      <c r="G2919" s="29" t="str">
        <f t="shared" si="1"/>
        <v>51101</v>
      </c>
      <c r="H2919" s="37" t="s">
        <v>2245</v>
      </c>
      <c r="I2919" s="37" t="s">
        <v>117</v>
      </c>
      <c r="J2919" s="37" t="s">
        <v>375</v>
      </c>
      <c r="K2919" s="37" t="str">
        <f t="shared" si="47"/>
        <v>King William, VA</v>
      </c>
      <c r="L2919" s="37">
        <v>5.0</v>
      </c>
      <c r="M2919" s="37" t="s">
        <v>63</v>
      </c>
      <c r="N2919" s="37">
        <v>3.0</v>
      </c>
      <c r="O2919" s="37" t="s">
        <v>63</v>
      </c>
      <c r="P2919" s="37" t="s">
        <v>63</v>
      </c>
      <c r="Q2919" s="37" t="s">
        <v>63</v>
      </c>
      <c r="R2919" s="37">
        <v>3.0</v>
      </c>
      <c r="S2919" s="37" t="s">
        <v>63</v>
      </c>
      <c r="T2919" s="69">
        <v>0.0</v>
      </c>
      <c r="U2919" s="37" t="s">
        <v>63</v>
      </c>
      <c r="V2919" s="37" t="s">
        <v>63</v>
      </c>
      <c r="W2919" s="37" t="s">
        <v>63</v>
      </c>
      <c r="X2919" s="37" t="s">
        <v>63</v>
      </c>
      <c r="Y2919" s="53">
        <v>29.0</v>
      </c>
      <c r="Z2919" s="69" t="s">
        <v>63</v>
      </c>
      <c r="AA2919" s="73"/>
      <c r="AB2919" s="73"/>
      <c r="AC2919" s="73"/>
      <c r="AD2919" s="73"/>
      <c r="AE2919" s="73"/>
      <c r="AF2919" s="73"/>
      <c r="AG2919" s="73"/>
      <c r="AH2919" s="73"/>
      <c r="AI2919" s="73"/>
      <c r="AJ2919" s="73"/>
      <c r="AK2919" s="73"/>
    </row>
    <row r="2920">
      <c r="A2920" s="28">
        <v>2919.0</v>
      </c>
      <c r="B2920" s="29"/>
      <c r="C2920" s="29"/>
      <c r="D2920" s="40">
        <v>1.0</v>
      </c>
      <c r="E2920" s="31">
        <v>51.0</v>
      </c>
      <c r="F2920" s="42">
        <v>103.0</v>
      </c>
      <c r="G2920" s="29" t="str">
        <f t="shared" si="1"/>
        <v>51103</v>
      </c>
      <c r="H2920" s="37" t="s">
        <v>650</v>
      </c>
      <c r="I2920" s="37" t="s">
        <v>117</v>
      </c>
      <c r="J2920" s="37" t="s">
        <v>375</v>
      </c>
      <c r="K2920" s="37" t="str">
        <f t="shared" si="47"/>
        <v>Lancaster, VA</v>
      </c>
      <c r="L2920" s="37">
        <v>4.0</v>
      </c>
      <c r="M2920" s="37" t="s">
        <v>63</v>
      </c>
      <c r="N2920" s="37">
        <v>2.0</v>
      </c>
      <c r="O2920" s="37" t="s">
        <v>63</v>
      </c>
      <c r="P2920" s="37" t="s">
        <v>63</v>
      </c>
      <c r="Q2920" s="37" t="s">
        <v>63</v>
      </c>
      <c r="R2920" s="37">
        <v>0.0</v>
      </c>
      <c r="S2920" s="37" t="s">
        <v>63</v>
      </c>
      <c r="T2920" s="69">
        <v>0.0</v>
      </c>
      <c r="U2920" s="37" t="s">
        <v>63</v>
      </c>
      <c r="V2920" s="37" t="s">
        <v>63</v>
      </c>
      <c r="W2920" s="37" t="s">
        <v>63</v>
      </c>
      <c r="X2920" s="37" t="s">
        <v>63</v>
      </c>
      <c r="Y2920" s="53">
        <v>26.0</v>
      </c>
      <c r="Z2920" s="69" t="s">
        <v>63</v>
      </c>
      <c r="AA2920" s="73"/>
      <c r="AB2920" s="73"/>
      <c r="AC2920" s="73"/>
      <c r="AD2920" s="73"/>
      <c r="AE2920" s="73"/>
      <c r="AF2920" s="73"/>
      <c r="AG2920" s="73"/>
      <c r="AH2920" s="73"/>
      <c r="AI2920" s="73"/>
      <c r="AJ2920" s="73"/>
      <c r="AK2920" s="73"/>
    </row>
    <row r="2921">
      <c r="A2921" s="28">
        <v>2920.0</v>
      </c>
      <c r="B2921" s="29"/>
      <c r="C2921" s="29"/>
      <c r="D2921" s="40">
        <v>1.0</v>
      </c>
      <c r="E2921" s="31">
        <v>51.0</v>
      </c>
      <c r="F2921" s="42">
        <v>105.0</v>
      </c>
      <c r="G2921" s="29" t="str">
        <f t="shared" si="1"/>
        <v>51105</v>
      </c>
      <c r="H2921" s="37" t="s">
        <v>147</v>
      </c>
      <c r="I2921" s="37" t="s">
        <v>117</v>
      </c>
      <c r="J2921" s="37" t="s">
        <v>375</v>
      </c>
      <c r="K2921" s="37" t="str">
        <f t="shared" si="47"/>
        <v>Lee, VA</v>
      </c>
      <c r="L2921" s="37">
        <v>72.0</v>
      </c>
      <c r="M2921" s="37" t="s">
        <v>63</v>
      </c>
      <c r="N2921" s="37">
        <v>43.0</v>
      </c>
      <c r="O2921" s="37">
        <v>9.0</v>
      </c>
      <c r="P2921" s="37" t="s">
        <v>63</v>
      </c>
      <c r="Q2921" s="37" t="s">
        <v>63</v>
      </c>
      <c r="R2921" s="37">
        <v>28.0</v>
      </c>
      <c r="S2921" s="37" t="s">
        <v>63</v>
      </c>
      <c r="T2921" s="69">
        <v>0.542</v>
      </c>
      <c r="U2921" s="37" t="s">
        <v>63</v>
      </c>
      <c r="V2921" s="37" t="s">
        <v>63</v>
      </c>
      <c r="W2921" s="37" t="s">
        <v>63</v>
      </c>
      <c r="X2921" s="37" t="s">
        <v>63</v>
      </c>
      <c r="Y2921" s="53">
        <v>23.0</v>
      </c>
      <c r="Z2921" s="69" t="s">
        <v>63</v>
      </c>
      <c r="AA2921" s="73"/>
      <c r="AB2921" s="73"/>
      <c r="AC2921" s="73"/>
      <c r="AD2921" s="73"/>
      <c r="AE2921" s="73"/>
      <c r="AF2921" s="73"/>
      <c r="AG2921" s="73"/>
      <c r="AH2921" s="73"/>
      <c r="AI2921" s="73"/>
      <c r="AJ2921" s="73"/>
      <c r="AK2921" s="73"/>
    </row>
    <row r="2922">
      <c r="A2922" s="28">
        <v>2921.0</v>
      </c>
      <c r="B2922" s="29"/>
      <c r="C2922" s="29"/>
      <c r="D2922" s="40">
        <v>1.0</v>
      </c>
      <c r="E2922" s="31">
        <v>51.0</v>
      </c>
      <c r="F2922" s="42">
        <v>107.0</v>
      </c>
      <c r="G2922" s="29" t="str">
        <f t="shared" si="1"/>
        <v>51107</v>
      </c>
      <c r="H2922" s="37" t="s">
        <v>2247</v>
      </c>
      <c r="I2922" s="37" t="s">
        <v>117</v>
      </c>
      <c r="J2922" s="37" t="s">
        <v>375</v>
      </c>
      <c r="K2922" s="37" t="str">
        <f t="shared" si="47"/>
        <v>Loudoun, VA</v>
      </c>
      <c r="L2922" s="37">
        <v>42.0</v>
      </c>
      <c r="M2922" s="37" t="s">
        <v>63</v>
      </c>
      <c r="N2922" s="37">
        <v>24.0</v>
      </c>
      <c r="O2922" s="37">
        <v>9.0</v>
      </c>
      <c r="P2922" s="37" t="s">
        <v>63</v>
      </c>
      <c r="Q2922" s="37" t="s">
        <v>63</v>
      </c>
      <c r="R2922" s="37">
        <v>21.0</v>
      </c>
      <c r="S2922" s="37" t="s">
        <v>63</v>
      </c>
      <c r="T2922" s="69">
        <v>0.227</v>
      </c>
      <c r="U2922" s="37" t="s">
        <v>63</v>
      </c>
      <c r="V2922" s="37" t="s">
        <v>63</v>
      </c>
      <c r="W2922" s="37" t="s">
        <v>63</v>
      </c>
      <c r="X2922" s="37" t="s">
        <v>63</v>
      </c>
      <c r="Y2922" s="53">
        <v>125.0</v>
      </c>
      <c r="Z2922" s="69" t="s">
        <v>63</v>
      </c>
      <c r="AA2922" s="73"/>
      <c r="AB2922" s="73"/>
      <c r="AC2922" s="73"/>
      <c r="AD2922" s="73"/>
      <c r="AE2922" s="73"/>
      <c r="AF2922" s="73"/>
      <c r="AG2922" s="73"/>
      <c r="AH2922" s="73"/>
      <c r="AI2922" s="73"/>
      <c r="AJ2922" s="73"/>
      <c r="AK2922" s="73"/>
    </row>
    <row r="2923">
      <c r="A2923" s="28">
        <v>2922.0</v>
      </c>
      <c r="B2923" s="29"/>
      <c r="C2923" s="29"/>
      <c r="D2923" s="40">
        <v>1.0</v>
      </c>
      <c r="E2923" s="31">
        <v>51.0</v>
      </c>
      <c r="F2923" s="42">
        <v>109.0</v>
      </c>
      <c r="G2923" s="29" t="str">
        <f t="shared" si="1"/>
        <v>51109</v>
      </c>
      <c r="H2923" s="37" t="s">
        <v>908</v>
      </c>
      <c r="I2923" s="37" t="s">
        <v>117</v>
      </c>
      <c r="J2923" s="37" t="s">
        <v>375</v>
      </c>
      <c r="K2923" s="37" t="str">
        <f t="shared" si="47"/>
        <v>Louisa, VA</v>
      </c>
      <c r="L2923" s="37">
        <v>21.0</v>
      </c>
      <c r="M2923" s="37" t="s">
        <v>63</v>
      </c>
      <c r="N2923" s="37">
        <v>5.0</v>
      </c>
      <c r="O2923" s="37">
        <v>2.0</v>
      </c>
      <c r="P2923" s="37" t="s">
        <v>63</v>
      </c>
      <c r="Q2923" s="37" t="s">
        <v>63</v>
      </c>
      <c r="R2923" s="37">
        <v>3.0</v>
      </c>
      <c r="S2923" s="37" t="s">
        <v>63</v>
      </c>
      <c r="T2923" s="69">
        <v>0.222</v>
      </c>
      <c r="U2923" s="37" t="s">
        <v>63</v>
      </c>
      <c r="V2923" s="37" t="s">
        <v>63</v>
      </c>
      <c r="W2923" s="37" t="s">
        <v>63</v>
      </c>
      <c r="X2923" s="37" t="s">
        <v>63</v>
      </c>
      <c r="Y2923" s="53">
        <v>58.0</v>
      </c>
      <c r="Z2923" s="69" t="s">
        <v>63</v>
      </c>
      <c r="AA2923" s="73"/>
      <c r="AB2923" s="73"/>
      <c r="AC2923" s="73"/>
      <c r="AD2923" s="73"/>
      <c r="AE2923" s="73"/>
      <c r="AF2923" s="73"/>
      <c r="AG2923" s="73"/>
      <c r="AH2923" s="73"/>
      <c r="AI2923" s="73"/>
      <c r="AJ2923" s="73"/>
      <c r="AK2923" s="73"/>
    </row>
    <row r="2924">
      <c r="A2924" s="28">
        <v>2923.0</v>
      </c>
      <c r="B2924" s="29"/>
      <c r="C2924" s="29"/>
      <c r="D2924" s="40">
        <v>1.0</v>
      </c>
      <c r="E2924" s="31">
        <v>51.0</v>
      </c>
      <c r="F2924" s="42">
        <v>111.0</v>
      </c>
      <c r="G2924" s="29" t="str">
        <f t="shared" si="1"/>
        <v>51111</v>
      </c>
      <c r="H2924" s="37" t="s">
        <v>2248</v>
      </c>
      <c r="I2924" s="37" t="s">
        <v>117</v>
      </c>
      <c r="J2924" s="37" t="s">
        <v>375</v>
      </c>
      <c r="K2924" s="37" t="str">
        <f t="shared" si="47"/>
        <v>Lunenburg, VA</v>
      </c>
      <c r="L2924" s="37">
        <v>8.0</v>
      </c>
      <c r="M2924" s="37" t="s">
        <v>63</v>
      </c>
      <c r="N2924" s="37">
        <v>3.0</v>
      </c>
      <c r="O2924" s="37">
        <v>1.0</v>
      </c>
      <c r="P2924" s="37" t="s">
        <v>63</v>
      </c>
      <c r="Q2924" s="37" t="s">
        <v>63</v>
      </c>
      <c r="R2924" s="37">
        <v>4.0</v>
      </c>
      <c r="S2924" s="37" t="s">
        <v>63</v>
      </c>
      <c r="T2924" s="69">
        <v>0.5</v>
      </c>
      <c r="U2924" s="37" t="s">
        <v>63</v>
      </c>
      <c r="V2924" s="37" t="s">
        <v>63</v>
      </c>
      <c r="W2924" s="37" t="s">
        <v>63</v>
      </c>
      <c r="X2924" s="37" t="s">
        <v>63</v>
      </c>
      <c r="Y2924" s="53">
        <v>35.0</v>
      </c>
      <c r="Z2924" s="69" t="s">
        <v>63</v>
      </c>
      <c r="AA2924" s="73"/>
      <c r="AB2924" s="73"/>
      <c r="AC2924" s="73"/>
      <c r="AD2924" s="73"/>
      <c r="AE2924" s="73"/>
      <c r="AF2924" s="73"/>
      <c r="AG2924" s="73"/>
      <c r="AH2924" s="73"/>
      <c r="AI2924" s="73"/>
      <c r="AJ2924" s="73"/>
      <c r="AK2924" s="73"/>
    </row>
    <row r="2925">
      <c r="A2925" s="28">
        <v>2924.0</v>
      </c>
      <c r="B2925" s="29"/>
      <c r="C2925" s="29"/>
      <c r="D2925" s="40">
        <v>1.0</v>
      </c>
      <c r="E2925" s="31">
        <v>51.0</v>
      </c>
      <c r="F2925" s="42">
        <v>113.0</v>
      </c>
      <c r="G2925" s="29" t="str">
        <f t="shared" si="1"/>
        <v>51113</v>
      </c>
      <c r="H2925" s="37" t="s">
        <v>151</v>
      </c>
      <c r="I2925" s="37" t="s">
        <v>117</v>
      </c>
      <c r="J2925" s="37" t="s">
        <v>375</v>
      </c>
      <c r="K2925" s="37" t="str">
        <f t="shared" si="47"/>
        <v>Madison, VA</v>
      </c>
      <c r="L2925" s="37">
        <v>13.0</v>
      </c>
      <c r="M2925" s="37" t="s">
        <v>63</v>
      </c>
      <c r="N2925" s="37">
        <v>5.0</v>
      </c>
      <c r="O2925" s="37">
        <v>4.0</v>
      </c>
      <c r="P2925" s="37" t="s">
        <v>63</v>
      </c>
      <c r="Q2925" s="37" t="s">
        <v>63</v>
      </c>
      <c r="R2925" s="37">
        <v>1.0</v>
      </c>
      <c r="S2925" s="37" t="s">
        <v>63</v>
      </c>
      <c r="T2925" s="69">
        <v>0.0</v>
      </c>
      <c r="U2925" s="37" t="s">
        <v>63</v>
      </c>
      <c r="V2925" s="37" t="s">
        <v>63</v>
      </c>
      <c r="W2925" s="37" t="s">
        <v>63</v>
      </c>
      <c r="X2925" s="37" t="s">
        <v>63</v>
      </c>
      <c r="Y2925" s="53">
        <v>22.0</v>
      </c>
      <c r="Z2925" s="69" t="s">
        <v>63</v>
      </c>
      <c r="AA2925" s="73"/>
      <c r="AB2925" s="73"/>
      <c r="AC2925" s="73"/>
      <c r="AD2925" s="73"/>
      <c r="AE2925" s="73"/>
      <c r="AF2925" s="73"/>
      <c r="AG2925" s="73"/>
      <c r="AH2925" s="73"/>
      <c r="AI2925" s="73"/>
      <c r="AJ2925" s="73"/>
      <c r="AK2925" s="73"/>
    </row>
    <row r="2926">
      <c r="A2926" s="28">
        <v>2925.0</v>
      </c>
      <c r="B2926" s="29"/>
      <c r="C2926" s="29"/>
      <c r="D2926" s="40">
        <v>1.0</v>
      </c>
      <c r="E2926" s="31">
        <v>51.0</v>
      </c>
      <c r="F2926" s="42">
        <v>115.0</v>
      </c>
      <c r="G2926" s="29" t="str">
        <f t="shared" si="1"/>
        <v>51115</v>
      </c>
      <c r="H2926" s="37" t="s">
        <v>2249</v>
      </c>
      <c r="I2926" s="37" t="s">
        <v>117</v>
      </c>
      <c r="J2926" s="37" t="s">
        <v>375</v>
      </c>
      <c r="K2926" s="37" t="str">
        <f t="shared" si="47"/>
        <v>Mathews, VA</v>
      </c>
      <c r="L2926" s="37">
        <v>6.0</v>
      </c>
      <c r="M2926" s="37" t="s">
        <v>63</v>
      </c>
      <c r="N2926" s="37">
        <v>5.0</v>
      </c>
      <c r="O2926" s="37">
        <v>1.0</v>
      </c>
      <c r="P2926" s="37" t="s">
        <v>63</v>
      </c>
      <c r="Q2926" s="37" t="s">
        <v>63</v>
      </c>
      <c r="R2926" s="37">
        <v>1.0</v>
      </c>
      <c r="S2926" s="37" t="s">
        <v>63</v>
      </c>
      <c r="T2926" s="69">
        <v>0.0</v>
      </c>
      <c r="U2926" s="37" t="s">
        <v>63</v>
      </c>
      <c r="V2926" s="37" t="s">
        <v>63</v>
      </c>
      <c r="W2926" s="37" t="s">
        <v>63</v>
      </c>
      <c r="X2926" s="37" t="s">
        <v>63</v>
      </c>
      <c r="Y2926" s="53">
        <v>24.0</v>
      </c>
      <c r="Z2926" s="69" t="s">
        <v>63</v>
      </c>
      <c r="AA2926" s="73"/>
      <c r="AB2926" s="73"/>
      <c r="AC2926" s="73"/>
      <c r="AD2926" s="73"/>
      <c r="AE2926" s="73"/>
      <c r="AF2926" s="73"/>
      <c r="AG2926" s="73"/>
      <c r="AH2926" s="73"/>
      <c r="AI2926" s="73"/>
      <c r="AJ2926" s="73"/>
      <c r="AK2926" s="73"/>
    </row>
    <row r="2927">
      <c r="A2927" s="28">
        <v>2926.0</v>
      </c>
      <c r="B2927" s="29"/>
      <c r="C2927" s="29"/>
      <c r="D2927" s="40">
        <v>1.0</v>
      </c>
      <c r="E2927" s="31">
        <v>51.0</v>
      </c>
      <c r="F2927" s="42">
        <v>117.0</v>
      </c>
      <c r="G2927" s="29" t="str">
        <f t="shared" si="1"/>
        <v>51117</v>
      </c>
      <c r="H2927" s="37" t="s">
        <v>381</v>
      </c>
      <c r="I2927" s="37" t="s">
        <v>117</v>
      </c>
      <c r="J2927" s="37" t="s">
        <v>375</v>
      </c>
      <c r="K2927" s="136" t="str">
        <f t="shared" si="47"/>
        <v>Mecklenburg, VA</v>
      </c>
      <c r="L2927" s="37">
        <v>17.0</v>
      </c>
      <c r="M2927" s="37" t="s">
        <v>63</v>
      </c>
      <c r="N2927" s="37">
        <v>10.0</v>
      </c>
      <c r="O2927" s="37" t="s">
        <v>63</v>
      </c>
      <c r="P2927" s="37" t="s">
        <v>63</v>
      </c>
      <c r="Q2927" s="37" t="s">
        <v>63</v>
      </c>
      <c r="R2927" s="37">
        <v>4.0</v>
      </c>
      <c r="S2927" s="37" t="s">
        <v>63</v>
      </c>
      <c r="T2927" s="69">
        <v>0.133</v>
      </c>
      <c r="U2927" s="37" t="s">
        <v>63</v>
      </c>
      <c r="V2927" s="37" t="s">
        <v>63</v>
      </c>
      <c r="W2927" s="37" t="s">
        <v>63</v>
      </c>
      <c r="X2927" s="37" t="s">
        <v>63</v>
      </c>
      <c r="Y2927" s="53">
        <v>59.0</v>
      </c>
      <c r="Z2927" s="69" t="s">
        <v>63</v>
      </c>
      <c r="AA2927" s="73"/>
      <c r="AB2927" s="73"/>
      <c r="AC2927" s="73"/>
      <c r="AD2927" s="73"/>
      <c r="AE2927" s="73"/>
      <c r="AF2927" s="73"/>
      <c r="AG2927" s="73"/>
      <c r="AH2927" s="73"/>
      <c r="AI2927" s="73"/>
      <c r="AJ2927" s="73"/>
      <c r="AK2927" s="73"/>
    </row>
    <row r="2928">
      <c r="A2928" s="28">
        <v>2927.0</v>
      </c>
      <c r="B2928" s="29"/>
      <c r="C2928" s="29"/>
      <c r="D2928" s="40">
        <v>1.0</v>
      </c>
      <c r="E2928" s="31">
        <v>51.0</v>
      </c>
      <c r="F2928" s="42">
        <v>119.0</v>
      </c>
      <c r="G2928" s="29" t="str">
        <f t="shared" si="1"/>
        <v>51119</v>
      </c>
      <c r="H2928" s="37" t="s">
        <v>281</v>
      </c>
      <c r="I2928" s="37" t="s">
        <v>117</v>
      </c>
      <c r="J2928" s="37" t="s">
        <v>375</v>
      </c>
      <c r="K2928" s="37" t="str">
        <f t="shared" si="47"/>
        <v>Middlesex, VA</v>
      </c>
      <c r="L2928" s="37">
        <v>2.0</v>
      </c>
      <c r="M2928" s="37" t="s">
        <v>63</v>
      </c>
      <c r="N2928" s="37">
        <v>2.0</v>
      </c>
      <c r="O2928" s="37" t="s">
        <v>63</v>
      </c>
      <c r="P2928" s="37" t="s">
        <v>63</v>
      </c>
      <c r="Q2928" s="37" t="s">
        <v>63</v>
      </c>
      <c r="R2928" s="37">
        <v>0.0</v>
      </c>
      <c r="S2928" s="37" t="s">
        <v>63</v>
      </c>
      <c r="T2928" s="69">
        <v>0.0</v>
      </c>
      <c r="U2928" s="37" t="s">
        <v>63</v>
      </c>
      <c r="V2928" s="37" t="s">
        <v>63</v>
      </c>
      <c r="W2928" s="37" t="s">
        <v>63</v>
      </c>
      <c r="X2928" s="37" t="s">
        <v>63</v>
      </c>
      <c r="Y2928" s="53">
        <v>17.0</v>
      </c>
      <c r="Z2928" s="69" t="s">
        <v>63</v>
      </c>
      <c r="AA2928" s="73"/>
      <c r="AB2928" s="73"/>
      <c r="AC2928" s="73"/>
      <c r="AD2928" s="73"/>
      <c r="AE2928" s="73"/>
      <c r="AF2928" s="73"/>
      <c r="AG2928" s="73"/>
      <c r="AH2928" s="73"/>
      <c r="AI2928" s="73"/>
      <c r="AJ2928" s="73"/>
      <c r="AK2928" s="73"/>
    </row>
    <row r="2929">
      <c r="A2929" s="28">
        <v>2928.0</v>
      </c>
      <c r="B2929" s="29"/>
      <c r="C2929" s="29"/>
      <c r="D2929" s="40">
        <v>1.0</v>
      </c>
      <c r="E2929" s="31">
        <v>51.0</v>
      </c>
      <c r="F2929" s="42">
        <v>121.0</v>
      </c>
      <c r="G2929" s="29" t="str">
        <f t="shared" si="1"/>
        <v>51121</v>
      </c>
      <c r="H2929" s="37" t="s">
        <v>157</v>
      </c>
      <c r="I2929" s="37" t="s">
        <v>117</v>
      </c>
      <c r="J2929" s="37" t="s">
        <v>375</v>
      </c>
      <c r="K2929" s="37" t="str">
        <f t="shared" si="47"/>
        <v>Montgomery, VA</v>
      </c>
      <c r="L2929" s="37">
        <v>18.0</v>
      </c>
      <c r="M2929" s="37" t="s">
        <v>63</v>
      </c>
      <c r="N2929" s="37">
        <v>6.0</v>
      </c>
      <c r="O2929" s="37">
        <v>2.0</v>
      </c>
      <c r="P2929" s="37" t="s">
        <v>63</v>
      </c>
      <c r="Q2929" s="37" t="s">
        <v>63</v>
      </c>
      <c r="R2929" s="37">
        <v>5.0</v>
      </c>
      <c r="S2929" s="37" t="s">
        <v>63</v>
      </c>
      <c r="T2929" s="69">
        <v>0.273</v>
      </c>
      <c r="U2929" s="37" t="s">
        <v>63</v>
      </c>
      <c r="V2929" s="37" t="s">
        <v>63</v>
      </c>
      <c r="W2929" s="37" t="s">
        <v>63</v>
      </c>
      <c r="X2929" s="37" t="s">
        <v>63</v>
      </c>
      <c r="Y2929" s="53">
        <v>92.0</v>
      </c>
      <c r="Z2929" s="69" t="s">
        <v>63</v>
      </c>
      <c r="AA2929" s="73"/>
      <c r="AB2929" s="73"/>
      <c r="AC2929" s="73"/>
      <c r="AD2929" s="73"/>
      <c r="AE2929" s="73"/>
      <c r="AF2929" s="73"/>
      <c r="AG2929" s="73"/>
      <c r="AH2929" s="73"/>
      <c r="AI2929" s="73"/>
      <c r="AJ2929" s="73"/>
      <c r="AK2929" s="73"/>
    </row>
    <row r="2930">
      <c r="A2930" s="28">
        <v>2929.0</v>
      </c>
      <c r="B2930" s="29"/>
      <c r="C2930" s="29"/>
      <c r="D2930" s="40">
        <v>1.0</v>
      </c>
      <c r="E2930" s="31">
        <v>51.0</v>
      </c>
      <c r="F2930" s="42">
        <v>125.0</v>
      </c>
      <c r="G2930" s="29" t="str">
        <f t="shared" si="1"/>
        <v>51125</v>
      </c>
      <c r="H2930" s="37" t="s">
        <v>1125</v>
      </c>
      <c r="I2930" s="37" t="s">
        <v>117</v>
      </c>
      <c r="J2930" s="37" t="s">
        <v>375</v>
      </c>
      <c r="K2930" s="37" t="str">
        <f t="shared" si="47"/>
        <v>Nelson, VA</v>
      </c>
      <c r="L2930" s="37">
        <v>17.0</v>
      </c>
      <c r="M2930" s="37" t="s">
        <v>63</v>
      </c>
      <c r="N2930" s="37">
        <v>15.0</v>
      </c>
      <c r="O2930" s="37" t="s">
        <v>63</v>
      </c>
      <c r="P2930" s="37" t="s">
        <v>63</v>
      </c>
      <c r="Q2930" s="37" t="s">
        <v>63</v>
      </c>
      <c r="R2930" s="37">
        <v>8.0</v>
      </c>
      <c r="S2930" s="37" t="s">
        <v>63</v>
      </c>
      <c r="T2930" s="69">
        <v>0.571</v>
      </c>
      <c r="U2930" s="37" t="s">
        <v>63</v>
      </c>
      <c r="V2930" s="37" t="s">
        <v>63</v>
      </c>
      <c r="W2930" s="37" t="s">
        <v>63</v>
      </c>
      <c r="X2930" s="37" t="s">
        <v>63</v>
      </c>
      <c r="Y2930" s="53">
        <v>42.0</v>
      </c>
      <c r="Z2930" s="69" t="s">
        <v>63</v>
      </c>
      <c r="AA2930" s="73"/>
      <c r="AB2930" s="73"/>
      <c r="AC2930" s="73"/>
      <c r="AD2930" s="73"/>
      <c r="AE2930" s="73"/>
      <c r="AF2930" s="73"/>
      <c r="AG2930" s="73"/>
      <c r="AH2930" s="73"/>
      <c r="AI2930" s="73"/>
      <c r="AJ2930" s="73"/>
      <c r="AK2930" s="73"/>
    </row>
    <row r="2931">
      <c r="A2931" s="28">
        <v>2930.0</v>
      </c>
      <c r="B2931" s="29"/>
      <c r="C2931" s="29"/>
      <c r="D2931" s="40">
        <v>1.0</v>
      </c>
      <c r="E2931" s="31">
        <v>51.0</v>
      </c>
      <c r="F2931" s="42">
        <v>127.0</v>
      </c>
      <c r="G2931" s="29" t="str">
        <f t="shared" si="1"/>
        <v>51127</v>
      </c>
      <c r="H2931" s="37" t="s">
        <v>2250</v>
      </c>
      <c r="I2931" s="37" t="s">
        <v>117</v>
      </c>
      <c r="J2931" s="37" t="s">
        <v>375</v>
      </c>
      <c r="K2931" s="37" t="str">
        <f t="shared" si="47"/>
        <v>New Kent, VA</v>
      </c>
      <c r="L2931" s="37">
        <v>6.0</v>
      </c>
      <c r="M2931" s="37" t="s">
        <v>63</v>
      </c>
      <c r="N2931" s="37">
        <v>3.0</v>
      </c>
      <c r="O2931" s="37">
        <v>1.0</v>
      </c>
      <c r="P2931" s="37" t="s">
        <v>63</v>
      </c>
      <c r="Q2931" s="37" t="s">
        <v>63</v>
      </c>
      <c r="R2931" s="37">
        <v>0.0</v>
      </c>
      <c r="S2931" s="37" t="s">
        <v>63</v>
      </c>
      <c r="T2931" s="69">
        <v>0.0</v>
      </c>
      <c r="U2931" s="37" t="s">
        <v>63</v>
      </c>
      <c r="V2931" s="37" t="s">
        <v>63</v>
      </c>
      <c r="W2931" s="37" t="s">
        <v>63</v>
      </c>
      <c r="X2931" s="37" t="s">
        <v>63</v>
      </c>
      <c r="Y2931" s="53">
        <v>25.0</v>
      </c>
      <c r="Z2931" s="69" t="s">
        <v>63</v>
      </c>
      <c r="AA2931" s="73"/>
      <c r="AB2931" s="73"/>
      <c r="AC2931" s="73"/>
      <c r="AD2931" s="73"/>
      <c r="AE2931" s="73"/>
      <c r="AF2931" s="73"/>
      <c r="AG2931" s="73"/>
      <c r="AH2931" s="73"/>
      <c r="AI2931" s="73"/>
      <c r="AJ2931" s="73"/>
      <c r="AK2931" s="73"/>
    </row>
    <row r="2932">
      <c r="A2932" s="28">
        <v>2931.0</v>
      </c>
      <c r="B2932" s="29"/>
      <c r="C2932" s="29"/>
      <c r="D2932" s="40">
        <v>1.0</v>
      </c>
      <c r="E2932" s="31">
        <v>51.0</v>
      </c>
      <c r="F2932" s="42">
        <v>131.0</v>
      </c>
      <c r="G2932" s="29" t="str">
        <f t="shared" si="1"/>
        <v>51131</v>
      </c>
      <c r="H2932" s="37" t="s">
        <v>1618</v>
      </c>
      <c r="I2932" s="37" t="s">
        <v>117</v>
      </c>
      <c r="J2932" s="37" t="s">
        <v>375</v>
      </c>
      <c r="K2932" s="136" t="str">
        <f t="shared" si="47"/>
        <v>Northampton, VA</v>
      </c>
      <c r="L2932" s="37">
        <v>1.0</v>
      </c>
      <c r="M2932" s="37" t="s">
        <v>63</v>
      </c>
      <c r="N2932" s="37">
        <v>4.0</v>
      </c>
      <c r="O2932" s="37" t="s">
        <v>63</v>
      </c>
      <c r="P2932" s="37" t="s">
        <v>63</v>
      </c>
      <c r="Q2932" s="37" t="s">
        <v>63</v>
      </c>
      <c r="R2932" s="37">
        <v>1.0</v>
      </c>
      <c r="S2932" s="37" t="s">
        <v>63</v>
      </c>
      <c r="T2932" s="69">
        <v>1.0</v>
      </c>
      <c r="U2932" s="37" t="s">
        <v>63</v>
      </c>
      <c r="V2932" s="37" t="s">
        <v>63</v>
      </c>
      <c r="W2932" s="37" t="s">
        <v>63</v>
      </c>
      <c r="X2932" s="37" t="s">
        <v>63</v>
      </c>
      <c r="Y2932" s="53">
        <v>31.0</v>
      </c>
      <c r="Z2932" s="69" t="s">
        <v>63</v>
      </c>
      <c r="AA2932" s="73"/>
      <c r="AB2932" s="73"/>
      <c r="AC2932" s="73"/>
      <c r="AD2932" s="73"/>
      <c r="AE2932" s="73"/>
      <c r="AF2932" s="73"/>
      <c r="AG2932" s="73"/>
      <c r="AH2932" s="73"/>
      <c r="AI2932" s="73"/>
      <c r="AJ2932" s="73"/>
      <c r="AK2932" s="73"/>
    </row>
    <row r="2933">
      <c r="A2933" s="28">
        <v>2932.0</v>
      </c>
      <c r="B2933" s="29"/>
      <c r="C2933" s="29"/>
      <c r="D2933" s="40">
        <v>1.0</v>
      </c>
      <c r="E2933" s="31">
        <v>51.0</v>
      </c>
      <c r="F2933" s="42">
        <v>133.0</v>
      </c>
      <c r="G2933" s="29" t="str">
        <f t="shared" si="1"/>
        <v>51133</v>
      </c>
      <c r="H2933" s="37" t="s">
        <v>1804</v>
      </c>
      <c r="I2933" s="37" t="s">
        <v>117</v>
      </c>
      <c r="J2933" s="37" t="s">
        <v>375</v>
      </c>
      <c r="K2933" s="136" t="str">
        <f t="shared" si="47"/>
        <v>Northumberland, VA</v>
      </c>
      <c r="L2933" s="37">
        <v>2.0</v>
      </c>
      <c r="M2933" s="37" t="s">
        <v>63</v>
      </c>
      <c r="N2933" s="37">
        <v>1.0</v>
      </c>
      <c r="O2933" s="37" t="s">
        <v>63</v>
      </c>
      <c r="P2933" s="37" t="s">
        <v>63</v>
      </c>
      <c r="Q2933" s="37" t="s">
        <v>63</v>
      </c>
      <c r="R2933" s="37">
        <v>0.0</v>
      </c>
      <c r="S2933" s="37" t="s">
        <v>63</v>
      </c>
      <c r="T2933" s="69">
        <v>0.0</v>
      </c>
      <c r="U2933" s="37" t="s">
        <v>63</v>
      </c>
      <c r="V2933" s="37" t="s">
        <v>63</v>
      </c>
      <c r="W2933" s="37" t="s">
        <v>63</v>
      </c>
      <c r="X2933" s="37" t="s">
        <v>63</v>
      </c>
      <c r="Y2933" s="53">
        <v>27.0</v>
      </c>
      <c r="Z2933" s="69" t="s">
        <v>63</v>
      </c>
      <c r="AA2933" s="73"/>
      <c r="AB2933" s="73"/>
      <c r="AC2933" s="73"/>
      <c r="AD2933" s="73"/>
      <c r="AE2933" s="73"/>
      <c r="AF2933" s="73"/>
      <c r="AG2933" s="73"/>
      <c r="AH2933" s="73"/>
      <c r="AI2933" s="73"/>
      <c r="AJ2933" s="73"/>
      <c r="AK2933" s="73"/>
    </row>
    <row r="2934">
      <c r="A2934" s="28">
        <v>2933.0</v>
      </c>
      <c r="B2934" s="29"/>
      <c r="C2934" s="29"/>
      <c r="D2934" s="40">
        <v>1.0</v>
      </c>
      <c r="E2934" s="31">
        <v>51.0</v>
      </c>
      <c r="F2934" s="42">
        <v>135.0</v>
      </c>
      <c r="G2934" s="29" t="str">
        <f t="shared" si="1"/>
        <v>51135</v>
      </c>
      <c r="H2934" s="37" t="s">
        <v>2251</v>
      </c>
      <c r="I2934" s="37" t="s">
        <v>117</v>
      </c>
      <c r="J2934" s="37" t="s">
        <v>375</v>
      </c>
      <c r="K2934" s="37" t="str">
        <f t="shared" si="47"/>
        <v>Nottoway, VA</v>
      </c>
      <c r="L2934" s="37">
        <v>7.0</v>
      </c>
      <c r="M2934" s="37" t="s">
        <v>63</v>
      </c>
      <c r="N2934" s="37">
        <v>5.0</v>
      </c>
      <c r="O2934" s="37" t="s">
        <v>63</v>
      </c>
      <c r="P2934" s="37" t="s">
        <v>63</v>
      </c>
      <c r="Q2934" s="37" t="s">
        <v>63</v>
      </c>
      <c r="R2934" s="37">
        <v>6.0</v>
      </c>
      <c r="S2934" s="37" t="s">
        <v>63</v>
      </c>
      <c r="T2934" s="69">
        <v>0.375</v>
      </c>
      <c r="U2934" s="37" t="s">
        <v>63</v>
      </c>
      <c r="V2934" s="37" t="s">
        <v>63</v>
      </c>
      <c r="W2934" s="37" t="s">
        <v>63</v>
      </c>
      <c r="X2934" s="37" t="s">
        <v>63</v>
      </c>
      <c r="Y2934" s="53">
        <v>38.0</v>
      </c>
      <c r="Z2934" s="69" t="s">
        <v>63</v>
      </c>
      <c r="AA2934" s="73"/>
      <c r="AB2934" s="73"/>
      <c r="AC2934" s="73"/>
      <c r="AD2934" s="73"/>
      <c r="AE2934" s="73"/>
      <c r="AF2934" s="73"/>
      <c r="AG2934" s="73"/>
      <c r="AH2934" s="73"/>
      <c r="AI2934" s="73"/>
      <c r="AJ2934" s="73"/>
      <c r="AK2934" s="73"/>
    </row>
    <row r="2935">
      <c r="A2935" s="28">
        <v>2934.0</v>
      </c>
      <c r="B2935" s="29"/>
      <c r="C2935" s="29"/>
      <c r="D2935" s="40">
        <v>1.0</v>
      </c>
      <c r="E2935" s="31">
        <v>51.0</v>
      </c>
      <c r="F2935" s="42">
        <v>137.0</v>
      </c>
      <c r="G2935" s="29" t="str">
        <f t="shared" si="1"/>
        <v>51137</v>
      </c>
      <c r="H2935" s="37" t="s">
        <v>241</v>
      </c>
      <c r="I2935" s="37" t="s">
        <v>117</v>
      </c>
      <c r="J2935" s="37" t="s">
        <v>375</v>
      </c>
      <c r="K2935" s="37" t="str">
        <f t="shared" si="47"/>
        <v>Orange, VA</v>
      </c>
      <c r="L2935" s="37">
        <v>38.0</v>
      </c>
      <c r="M2935" s="37" t="s">
        <v>63</v>
      </c>
      <c r="N2935" s="37">
        <v>20.0</v>
      </c>
      <c r="O2935" s="37">
        <v>1.0</v>
      </c>
      <c r="P2935" s="37" t="s">
        <v>63</v>
      </c>
      <c r="Q2935" s="37" t="s">
        <v>63</v>
      </c>
      <c r="R2935" s="37">
        <v>13.0</v>
      </c>
      <c r="S2935" s="37" t="s">
        <v>63</v>
      </c>
      <c r="T2935" s="69">
        <v>0.714</v>
      </c>
      <c r="U2935" s="37" t="s">
        <v>63</v>
      </c>
      <c r="V2935" s="37" t="s">
        <v>63</v>
      </c>
      <c r="W2935" s="37" t="s">
        <v>63</v>
      </c>
      <c r="X2935" s="37" t="s">
        <v>63</v>
      </c>
      <c r="Y2935" s="53">
        <v>51.0</v>
      </c>
      <c r="Z2935" s="69" t="s">
        <v>63</v>
      </c>
      <c r="AA2935" s="73"/>
      <c r="AB2935" s="73"/>
      <c r="AC2935" s="73"/>
      <c r="AD2935" s="73"/>
      <c r="AE2935" s="73"/>
      <c r="AF2935" s="73"/>
      <c r="AG2935" s="73"/>
      <c r="AH2935" s="73"/>
      <c r="AI2935" s="73"/>
      <c r="AJ2935" s="73"/>
      <c r="AK2935" s="73"/>
    </row>
    <row r="2936">
      <c r="A2936" s="28">
        <v>2935.0</v>
      </c>
      <c r="B2936" s="29"/>
      <c r="C2936" s="29"/>
      <c r="D2936" s="40">
        <v>1.0</v>
      </c>
      <c r="E2936" s="31">
        <v>51.0</v>
      </c>
      <c r="F2936" s="42">
        <v>139.0</v>
      </c>
      <c r="G2936" s="29" t="str">
        <f t="shared" si="1"/>
        <v>51139</v>
      </c>
      <c r="H2936" s="37" t="s">
        <v>927</v>
      </c>
      <c r="I2936" s="37" t="s">
        <v>117</v>
      </c>
      <c r="J2936" s="37" t="s">
        <v>375</v>
      </c>
      <c r="K2936" s="37" t="str">
        <f t="shared" si="47"/>
        <v>Page, VA</v>
      </c>
      <c r="L2936" s="37">
        <v>37.0</v>
      </c>
      <c r="M2936" s="37" t="s">
        <v>63</v>
      </c>
      <c r="N2936" s="37">
        <v>23.0</v>
      </c>
      <c r="O2936" s="37">
        <v>5.0</v>
      </c>
      <c r="P2936" s="37" t="s">
        <v>63</v>
      </c>
      <c r="Q2936" s="37" t="s">
        <v>63</v>
      </c>
      <c r="R2936" s="37">
        <v>9.0</v>
      </c>
      <c r="S2936" s="37" t="s">
        <v>63</v>
      </c>
      <c r="T2936" s="69">
        <v>0.222</v>
      </c>
      <c r="U2936" s="37" t="s">
        <v>63</v>
      </c>
      <c r="V2936" s="37" t="s">
        <v>63</v>
      </c>
      <c r="W2936" s="37" t="s">
        <v>63</v>
      </c>
      <c r="X2936" s="37" t="s">
        <v>63</v>
      </c>
      <c r="Y2936" s="53">
        <v>37.0</v>
      </c>
      <c r="Z2936" s="69" t="s">
        <v>63</v>
      </c>
      <c r="AA2936" s="73"/>
      <c r="AB2936" s="73"/>
      <c r="AC2936" s="73"/>
      <c r="AD2936" s="73"/>
      <c r="AE2936" s="73"/>
      <c r="AF2936" s="73"/>
      <c r="AG2936" s="73"/>
      <c r="AH2936" s="73"/>
      <c r="AI2936" s="73"/>
      <c r="AJ2936" s="73"/>
      <c r="AK2936" s="73"/>
    </row>
    <row r="2937">
      <c r="A2937" s="28">
        <v>2936.0</v>
      </c>
      <c r="B2937" s="29"/>
      <c r="C2937" s="29"/>
      <c r="D2937" s="40">
        <v>1.0</v>
      </c>
      <c r="E2937" s="31">
        <v>51.0</v>
      </c>
      <c r="F2937" s="42">
        <v>141.0</v>
      </c>
      <c r="G2937" s="29" t="str">
        <f t="shared" si="1"/>
        <v>51141</v>
      </c>
      <c r="H2937" s="37" t="s">
        <v>2252</v>
      </c>
      <c r="I2937" s="37" t="s">
        <v>117</v>
      </c>
      <c r="J2937" s="37" t="s">
        <v>375</v>
      </c>
      <c r="K2937" s="37" t="str">
        <f t="shared" si="47"/>
        <v>Patrick, VA</v>
      </c>
      <c r="L2937" s="37">
        <v>43.0</v>
      </c>
      <c r="M2937" s="37" t="s">
        <v>63</v>
      </c>
      <c r="N2937" s="37">
        <v>23.0</v>
      </c>
      <c r="O2937" s="37">
        <v>6.0</v>
      </c>
      <c r="P2937" s="37" t="s">
        <v>63</v>
      </c>
      <c r="Q2937" s="37" t="s">
        <v>63</v>
      </c>
      <c r="R2937" s="37">
        <v>8.0</v>
      </c>
      <c r="S2937" s="37" t="s">
        <v>63</v>
      </c>
      <c r="T2937" s="69">
        <v>0.5</v>
      </c>
      <c r="U2937" s="37" t="s">
        <v>63</v>
      </c>
      <c r="V2937" s="37" t="s">
        <v>63</v>
      </c>
      <c r="W2937" s="37" t="s">
        <v>63</v>
      </c>
      <c r="X2937" s="37" t="s">
        <v>63</v>
      </c>
      <c r="Y2937" s="53">
        <v>42.0</v>
      </c>
      <c r="Z2937" s="69" t="s">
        <v>63</v>
      </c>
      <c r="AA2937" s="73"/>
      <c r="AB2937" s="73"/>
      <c r="AC2937" s="73"/>
      <c r="AD2937" s="73"/>
      <c r="AE2937" s="73"/>
      <c r="AF2937" s="73"/>
      <c r="AG2937" s="73"/>
      <c r="AH2937" s="73"/>
      <c r="AI2937" s="73"/>
      <c r="AJ2937" s="73"/>
      <c r="AK2937" s="73"/>
    </row>
    <row r="2938">
      <c r="A2938" s="28">
        <v>2937.0</v>
      </c>
      <c r="B2938" s="29"/>
      <c r="C2938" s="29"/>
      <c r="D2938" s="40">
        <v>1.0</v>
      </c>
      <c r="E2938" s="31">
        <v>51.0</v>
      </c>
      <c r="F2938" s="42">
        <v>143.0</v>
      </c>
      <c r="G2938" s="29" t="str">
        <f t="shared" si="1"/>
        <v>51143</v>
      </c>
      <c r="H2938" s="37" t="s">
        <v>2254</v>
      </c>
      <c r="I2938" s="37" t="s">
        <v>117</v>
      </c>
      <c r="J2938" s="37" t="s">
        <v>375</v>
      </c>
      <c r="K2938" s="37" t="str">
        <f t="shared" si="47"/>
        <v>Pittsylvania, VA</v>
      </c>
      <c r="L2938" s="37">
        <v>57.0</v>
      </c>
      <c r="M2938" s="37" t="s">
        <v>63</v>
      </c>
      <c r="N2938" s="37">
        <v>31.0</v>
      </c>
      <c r="O2938" s="37">
        <v>1.0</v>
      </c>
      <c r="P2938" s="37" t="s">
        <v>63</v>
      </c>
      <c r="Q2938" s="37" t="s">
        <v>63</v>
      </c>
      <c r="R2938" s="37">
        <v>11.0</v>
      </c>
      <c r="S2938" s="37" t="s">
        <v>63</v>
      </c>
      <c r="T2938" s="69">
        <v>0.267</v>
      </c>
      <c r="U2938" s="37" t="s">
        <v>63</v>
      </c>
      <c r="V2938" s="37" t="s">
        <v>63</v>
      </c>
      <c r="W2938" s="37" t="s">
        <v>63</v>
      </c>
      <c r="X2938" s="37" t="s">
        <v>63</v>
      </c>
      <c r="Y2938" s="53">
        <v>147.0</v>
      </c>
      <c r="Z2938" s="69" t="s">
        <v>63</v>
      </c>
      <c r="AA2938" s="73"/>
      <c r="AB2938" s="73"/>
      <c r="AC2938" s="73"/>
      <c r="AD2938" s="73"/>
      <c r="AE2938" s="73"/>
      <c r="AF2938" s="73"/>
      <c r="AG2938" s="73"/>
      <c r="AH2938" s="73"/>
      <c r="AI2938" s="73"/>
      <c r="AJ2938" s="73"/>
      <c r="AK2938" s="73"/>
    </row>
    <row r="2939">
      <c r="A2939" s="28">
        <v>2938.0</v>
      </c>
      <c r="B2939" s="29"/>
      <c r="C2939" s="29"/>
      <c r="D2939" s="40">
        <v>1.0</v>
      </c>
      <c r="E2939" s="31">
        <v>51.0</v>
      </c>
      <c r="F2939" s="42">
        <v>145.0</v>
      </c>
      <c r="G2939" s="29" t="str">
        <f t="shared" si="1"/>
        <v>51145</v>
      </c>
      <c r="H2939" s="37" t="s">
        <v>2255</v>
      </c>
      <c r="I2939" s="37" t="s">
        <v>117</v>
      </c>
      <c r="J2939" s="37" t="s">
        <v>375</v>
      </c>
      <c r="K2939" s="37" t="str">
        <f t="shared" si="47"/>
        <v>Powhatan, VA</v>
      </c>
      <c r="L2939" s="37">
        <v>4.0</v>
      </c>
      <c r="M2939" s="37" t="s">
        <v>63</v>
      </c>
      <c r="N2939" s="37">
        <v>1.0</v>
      </c>
      <c r="O2939" s="37">
        <v>1.0</v>
      </c>
      <c r="P2939" s="37" t="s">
        <v>63</v>
      </c>
      <c r="Q2939" s="37" t="s">
        <v>63</v>
      </c>
      <c r="R2939" s="37">
        <v>1.0</v>
      </c>
      <c r="S2939" s="37" t="s">
        <v>63</v>
      </c>
      <c r="T2939" s="69">
        <v>0.0</v>
      </c>
      <c r="U2939" s="37" t="s">
        <v>63</v>
      </c>
      <c r="V2939" s="37" t="s">
        <v>63</v>
      </c>
      <c r="W2939" s="37" t="s">
        <v>63</v>
      </c>
      <c r="X2939" s="37" t="s">
        <v>63</v>
      </c>
      <c r="Y2939" s="53">
        <v>33.0</v>
      </c>
      <c r="Z2939" s="69" t="s">
        <v>63</v>
      </c>
      <c r="AA2939" s="73"/>
      <c r="AB2939" s="73"/>
      <c r="AC2939" s="73"/>
      <c r="AD2939" s="73"/>
      <c r="AE2939" s="73"/>
      <c r="AF2939" s="73"/>
      <c r="AG2939" s="73"/>
      <c r="AH2939" s="73"/>
      <c r="AI2939" s="73"/>
      <c r="AJ2939" s="73"/>
      <c r="AK2939" s="73"/>
    </row>
    <row r="2940">
      <c r="A2940" s="28">
        <v>2939.0</v>
      </c>
      <c r="B2940" s="29"/>
      <c r="C2940" s="29"/>
      <c r="D2940" s="40">
        <v>1.0</v>
      </c>
      <c r="E2940" s="31">
        <v>51.0</v>
      </c>
      <c r="F2940" s="42">
        <v>147.0</v>
      </c>
      <c r="G2940" s="29" t="str">
        <f t="shared" si="1"/>
        <v>51147</v>
      </c>
      <c r="H2940" s="37" t="s">
        <v>2256</v>
      </c>
      <c r="I2940" s="37" t="s">
        <v>117</v>
      </c>
      <c r="J2940" s="37" t="s">
        <v>375</v>
      </c>
      <c r="K2940" s="136" t="str">
        <f t="shared" si="47"/>
        <v>Prince Edward, VA</v>
      </c>
      <c r="L2940" s="37">
        <v>4.0</v>
      </c>
      <c r="M2940" s="37" t="s">
        <v>63</v>
      </c>
      <c r="N2940" s="37">
        <v>3.0</v>
      </c>
      <c r="O2940" s="37" t="s">
        <v>63</v>
      </c>
      <c r="P2940" s="37" t="s">
        <v>63</v>
      </c>
      <c r="Q2940" s="37" t="s">
        <v>63</v>
      </c>
      <c r="R2940" s="37">
        <v>2.0</v>
      </c>
      <c r="S2940" s="37" t="s">
        <v>63</v>
      </c>
      <c r="T2940" s="69">
        <v>0.667</v>
      </c>
      <c r="U2940" s="37" t="s">
        <v>63</v>
      </c>
      <c r="V2940" s="37" t="s">
        <v>63</v>
      </c>
      <c r="W2940" s="37" t="s">
        <v>63</v>
      </c>
      <c r="X2940" s="37" t="s">
        <v>63</v>
      </c>
      <c r="Y2940" s="53">
        <v>42.0</v>
      </c>
      <c r="Z2940" s="69" t="s">
        <v>63</v>
      </c>
      <c r="AA2940" s="73"/>
      <c r="AB2940" s="73"/>
      <c r="AC2940" s="73"/>
      <c r="AD2940" s="73"/>
      <c r="AE2940" s="73"/>
      <c r="AF2940" s="73"/>
      <c r="AG2940" s="73"/>
      <c r="AH2940" s="73"/>
      <c r="AI2940" s="73"/>
      <c r="AJ2940" s="73"/>
      <c r="AK2940" s="73"/>
    </row>
    <row r="2941">
      <c r="A2941" s="28">
        <v>2940.0</v>
      </c>
      <c r="B2941" s="29"/>
      <c r="C2941" s="29"/>
      <c r="D2941" s="40">
        <v>1.0</v>
      </c>
      <c r="E2941" s="31">
        <v>51.0</v>
      </c>
      <c r="F2941" s="42">
        <v>149.0</v>
      </c>
      <c r="G2941" s="29" t="str">
        <f t="shared" si="1"/>
        <v>51149</v>
      </c>
      <c r="H2941" s="37" t="s">
        <v>2257</v>
      </c>
      <c r="I2941" s="37" t="s">
        <v>117</v>
      </c>
      <c r="J2941" s="37" t="s">
        <v>375</v>
      </c>
      <c r="K2941" s="136" t="str">
        <f t="shared" si="47"/>
        <v>Prince George, VA</v>
      </c>
      <c r="L2941" s="37">
        <v>8.0</v>
      </c>
      <c r="M2941" s="37" t="s">
        <v>63</v>
      </c>
      <c r="N2941" s="37">
        <v>6.0</v>
      </c>
      <c r="O2941" s="37" t="s">
        <v>63</v>
      </c>
      <c r="P2941" s="37" t="s">
        <v>63</v>
      </c>
      <c r="Q2941" s="37" t="s">
        <v>63</v>
      </c>
      <c r="R2941" s="37">
        <v>6.0</v>
      </c>
      <c r="S2941" s="37" t="s">
        <v>63</v>
      </c>
      <c r="T2941" s="69">
        <v>0.167</v>
      </c>
      <c r="U2941" s="37" t="s">
        <v>63</v>
      </c>
      <c r="V2941" s="37" t="s">
        <v>63</v>
      </c>
      <c r="W2941" s="37" t="s">
        <v>63</v>
      </c>
      <c r="X2941" s="37" t="s">
        <v>63</v>
      </c>
      <c r="Y2941" s="53">
        <v>30.0</v>
      </c>
      <c r="Z2941" s="69" t="s">
        <v>63</v>
      </c>
      <c r="AA2941" s="73"/>
      <c r="AB2941" s="73"/>
      <c r="AC2941" s="73"/>
      <c r="AD2941" s="73"/>
      <c r="AE2941" s="73"/>
      <c r="AF2941" s="73"/>
      <c r="AG2941" s="73"/>
      <c r="AH2941" s="73"/>
      <c r="AI2941" s="73"/>
      <c r="AJ2941" s="73"/>
      <c r="AK2941" s="73"/>
    </row>
    <row r="2942">
      <c r="A2942" s="28">
        <v>2941.0</v>
      </c>
      <c r="B2942" s="29"/>
      <c r="C2942" s="29"/>
      <c r="D2942" s="40">
        <v>1.0</v>
      </c>
      <c r="E2942" s="31">
        <v>51.0</v>
      </c>
      <c r="F2942" s="42">
        <v>153.0</v>
      </c>
      <c r="G2942" s="29" t="str">
        <f t="shared" si="1"/>
        <v>51153</v>
      </c>
      <c r="H2942" s="37" t="s">
        <v>2258</v>
      </c>
      <c r="I2942" s="37" t="s">
        <v>117</v>
      </c>
      <c r="J2942" s="37" t="s">
        <v>375</v>
      </c>
      <c r="K2942" s="136" t="str">
        <f t="shared" si="47"/>
        <v>Prince William, VA</v>
      </c>
      <c r="L2942" s="37">
        <v>91.0</v>
      </c>
      <c r="M2942" s="37" t="s">
        <v>63</v>
      </c>
      <c r="N2942" s="37">
        <v>49.0</v>
      </c>
      <c r="O2942" s="37">
        <v>2.0</v>
      </c>
      <c r="P2942" s="37" t="s">
        <v>63</v>
      </c>
      <c r="Q2942" s="37" t="s">
        <v>63</v>
      </c>
      <c r="R2942" s="37">
        <v>17.0</v>
      </c>
      <c r="S2942" s="37" t="s">
        <v>63</v>
      </c>
      <c r="T2942" s="69">
        <v>0.094</v>
      </c>
      <c r="U2942" s="37" t="s">
        <v>63</v>
      </c>
      <c r="V2942" s="37" t="s">
        <v>63</v>
      </c>
      <c r="W2942" s="37" t="s">
        <v>63</v>
      </c>
      <c r="X2942" s="37" t="s">
        <v>63</v>
      </c>
      <c r="Y2942" s="53">
        <v>190.0</v>
      </c>
      <c r="Z2942" s="69" t="s">
        <v>63</v>
      </c>
      <c r="AA2942" s="73"/>
      <c r="AB2942" s="73"/>
      <c r="AC2942" s="73"/>
      <c r="AD2942" s="73"/>
      <c r="AE2942" s="73"/>
      <c r="AF2942" s="73"/>
      <c r="AG2942" s="73"/>
      <c r="AH2942" s="73"/>
      <c r="AI2942" s="73"/>
      <c r="AJ2942" s="73"/>
      <c r="AK2942" s="73"/>
    </row>
    <row r="2943">
      <c r="A2943" s="28">
        <v>2942.0</v>
      </c>
      <c r="B2943" s="29"/>
      <c r="C2943" s="29"/>
      <c r="D2943" s="40">
        <v>1.0</v>
      </c>
      <c r="E2943" s="31">
        <v>51.0</v>
      </c>
      <c r="F2943" s="42">
        <v>155.0</v>
      </c>
      <c r="G2943" s="29" t="str">
        <f t="shared" si="1"/>
        <v>51155</v>
      </c>
      <c r="H2943" s="37" t="s">
        <v>305</v>
      </c>
      <c r="I2943" s="37" t="s">
        <v>117</v>
      </c>
      <c r="J2943" s="37" t="s">
        <v>375</v>
      </c>
      <c r="K2943" s="37" t="str">
        <f t="shared" si="47"/>
        <v>Pulaski, VA</v>
      </c>
      <c r="L2943" s="37">
        <v>30.0</v>
      </c>
      <c r="M2943" s="37" t="s">
        <v>63</v>
      </c>
      <c r="N2943" s="37">
        <v>18.0</v>
      </c>
      <c r="O2943" s="37" t="s">
        <v>63</v>
      </c>
      <c r="P2943" s="37" t="s">
        <v>63</v>
      </c>
      <c r="Q2943" s="37" t="s">
        <v>63</v>
      </c>
      <c r="R2943" s="37">
        <v>7.0</v>
      </c>
      <c r="S2943" s="37" t="s">
        <v>63</v>
      </c>
      <c r="T2943" s="69">
        <v>0.125</v>
      </c>
      <c r="U2943" s="37" t="s">
        <v>63</v>
      </c>
      <c r="V2943" s="37" t="s">
        <v>63</v>
      </c>
      <c r="W2943" s="37" t="s">
        <v>63</v>
      </c>
      <c r="X2943" s="37" t="s">
        <v>63</v>
      </c>
      <c r="Y2943" s="53">
        <v>55.0</v>
      </c>
      <c r="Z2943" s="69" t="s">
        <v>63</v>
      </c>
      <c r="AA2943" s="73"/>
      <c r="AB2943" s="73"/>
      <c r="AC2943" s="73"/>
      <c r="AD2943" s="73"/>
      <c r="AE2943" s="73"/>
      <c r="AF2943" s="73"/>
      <c r="AG2943" s="73"/>
      <c r="AH2943" s="73"/>
      <c r="AI2943" s="73"/>
      <c r="AJ2943" s="73"/>
      <c r="AK2943" s="73"/>
    </row>
    <row r="2944">
      <c r="A2944" s="28">
        <v>2943.0</v>
      </c>
      <c r="B2944" s="29"/>
      <c r="C2944" s="29"/>
      <c r="D2944" s="40">
        <v>1.0</v>
      </c>
      <c r="E2944" s="31">
        <v>51.0</v>
      </c>
      <c r="F2944" s="42">
        <v>157.0</v>
      </c>
      <c r="G2944" s="29" t="str">
        <f t="shared" si="1"/>
        <v>51157</v>
      </c>
      <c r="H2944" s="37" t="s">
        <v>2259</v>
      </c>
      <c r="I2944" s="37" t="s">
        <v>117</v>
      </c>
      <c r="J2944" s="37" t="s">
        <v>375</v>
      </c>
      <c r="K2944" s="136" t="str">
        <f t="shared" si="47"/>
        <v>Rappahannock, VA</v>
      </c>
      <c r="L2944" s="37">
        <v>2.0</v>
      </c>
      <c r="M2944" s="37" t="s">
        <v>63</v>
      </c>
      <c r="N2944" s="37">
        <v>1.0</v>
      </c>
      <c r="O2944" s="37" t="s">
        <v>63</v>
      </c>
      <c r="P2944" s="37" t="s">
        <v>63</v>
      </c>
      <c r="Q2944" s="37" t="s">
        <v>63</v>
      </c>
      <c r="R2944" s="37">
        <v>1.0</v>
      </c>
      <c r="S2944" s="37" t="s">
        <v>63</v>
      </c>
      <c r="T2944" s="69">
        <v>0.0</v>
      </c>
      <c r="U2944" s="37" t="s">
        <v>63</v>
      </c>
      <c r="V2944" s="37" t="s">
        <v>63</v>
      </c>
      <c r="W2944" s="37" t="s">
        <v>63</v>
      </c>
      <c r="X2944" s="37" t="s">
        <v>63</v>
      </c>
      <c r="Y2944" s="53">
        <v>20.0</v>
      </c>
      <c r="Z2944" s="69" t="s">
        <v>63</v>
      </c>
      <c r="AA2944" s="73"/>
      <c r="AB2944" s="73"/>
      <c r="AC2944" s="73"/>
      <c r="AD2944" s="73"/>
      <c r="AE2944" s="73"/>
      <c r="AF2944" s="73"/>
      <c r="AG2944" s="73"/>
      <c r="AH2944" s="73"/>
      <c r="AI2944" s="73"/>
      <c r="AJ2944" s="73"/>
      <c r="AK2944" s="73"/>
    </row>
    <row r="2945">
      <c r="A2945" s="28">
        <v>2944.0</v>
      </c>
      <c r="B2945" s="29"/>
      <c r="C2945" s="29"/>
      <c r="D2945" s="40">
        <v>1.0</v>
      </c>
      <c r="E2945" s="31">
        <v>51.0</v>
      </c>
      <c r="F2945" s="42">
        <v>159.0</v>
      </c>
      <c r="G2945" s="29" t="str">
        <f t="shared" si="1"/>
        <v>51159</v>
      </c>
      <c r="H2945" s="37" t="s">
        <v>621</v>
      </c>
      <c r="I2945" s="37" t="s">
        <v>117</v>
      </c>
      <c r="J2945" s="37" t="s">
        <v>375</v>
      </c>
      <c r="K2945" s="37" t="str">
        <f t="shared" si="47"/>
        <v>Richmond, VA</v>
      </c>
      <c r="L2945" s="37">
        <v>2.0</v>
      </c>
      <c r="M2945" s="37" t="s">
        <v>63</v>
      </c>
      <c r="N2945" s="37">
        <v>2.0</v>
      </c>
      <c r="O2945" s="37" t="s">
        <v>63</v>
      </c>
      <c r="P2945" s="37" t="s">
        <v>63</v>
      </c>
      <c r="Q2945" s="37" t="s">
        <v>63</v>
      </c>
      <c r="R2945" s="37">
        <v>2.0</v>
      </c>
      <c r="S2945" s="37" t="s">
        <v>63</v>
      </c>
      <c r="T2945" s="69">
        <v>0.0</v>
      </c>
      <c r="U2945" s="37" t="s">
        <v>63</v>
      </c>
      <c r="V2945" s="37" t="s">
        <v>63</v>
      </c>
      <c r="W2945" s="37" t="s">
        <v>63</v>
      </c>
      <c r="X2945" s="37" t="s">
        <v>63</v>
      </c>
      <c r="Y2945" s="53">
        <v>16.0</v>
      </c>
      <c r="Z2945" s="69" t="s">
        <v>63</v>
      </c>
      <c r="AA2945" s="73"/>
      <c r="AB2945" s="73"/>
      <c r="AC2945" s="73"/>
      <c r="AD2945" s="73"/>
      <c r="AE2945" s="73"/>
      <c r="AF2945" s="73"/>
      <c r="AG2945" s="73"/>
      <c r="AH2945" s="73"/>
      <c r="AI2945" s="73"/>
      <c r="AJ2945" s="73"/>
      <c r="AK2945" s="73"/>
    </row>
    <row r="2946">
      <c r="A2946" s="28">
        <v>2945.0</v>
      </c>
      <c r="B2946" s="29"/>
      <c r="C2946" s="29"/>
      <c r="D2946" s="40">
        <v>1.0</v>
      </c>
      <c r="E2946" s="31">
        <v>51.0</v>
      </c>
      <c r="F2946" s="42">
        <v>161.0</v>
      </c>
      <c r="G2946" s="29" t="str">
        <f t="shared" si="1"/>
        <v>51161</v>
      </c>
      <c r="H2946" s="37" t="s">
        <v>2260</v>
      </c>
      <c r="I2946" s="37" t="s">
        <v>117</v>
      </c>
      <c r="J2946" s="37" t="s">
        <v>375</v>
      </c>
      <c r="K2946" s="37" t="str">
        <f t="shared" si="47"/>
        <v>Roanoke, VA</v>
      </c>
      <c r="L2946" s="37">
        <v>116.0</v>
      </c>
      <c r="M2946" s="37" t="s">
        <v>63</v>
      </c>
      <c r="N2946" s="37">
        <v>66.0</v>
      </c>
      <c r="O2946" s="37">
        <v>10.0</v>
      </c>
      <c r="P2946" s="37" t="s">
        <v>63</v>
      </c>
      <c r="Q2946" s="37" t="s">
        <v>63</v>
      </c>
      <c r="R2946" s="37">
        <v>36.0</v>
      </c>
      <c r="S2946" s="37" t="s">
        <v>63</v>
      </c>
      <c r="T2946" s="69">
        <v>0.569</v>
      </c>
      <c r="U2946" s="37" t="s">
        <v>63</v>
      </c>
      <c r="V2946" s="37" t="s">
        <v>63</v>
      </c>
      <c r="W2946" s="37" t="s">
        <v>63</v>
      </c>
      <c r="X2946" s="37" t="s">
        <v>63</v>
      </c>
      <c r="Y2946" s="53">
        <v>107.0</v>
      </c>
      <c r="Z2946" s="69" t="s">
        <v>63</v>
      </c>
      <c r="AA2946" s="73"/>
      <c r="AB2946" s="73"/>
      <c r="AC2946" s="73"/>
      <c r="AD2946" s="73"/>
      <c r="AE2946" s="73"/>
      <c r="AF2946" s="73"/>
      <c r="AG2946" s="73"/>
      <c r="AH2946" s="73"/>
      <c r="AI2946" s="73"/>
      <c r="AJ2946" s="73"/>
      <c r="AK2946" s="73"/>
    </row>
    <row r="2947">
      <c r="A2947" s="28">
        <v>2946.0</v>
      </c>
      <c r="B2947" s="29"/>
      <c r="C2947" s="29"/>
      <c r="D2947" s="40">
        <v>1.0</v>
      </c>
      <c r="E2947" s="31">
        <v>51.0</v>
      </c>
      <c r="F2947" s="42">
        <v>163.0</v>
      </c>
      <c r="G2947" s="29" t="str">
        <f t="shared" si="1"/>
        <v>51163</v>
      </c>
      <c r="H2947" s="37" t="s">
        <v>2261</v>
      </c>
      <c r="I2947" s="37" t="s">
        <v>117</v>
      </c>
      <c r="J2947" s="37" t="s">
        <v>375</v>
      </c>
      <c r="K2947" s="37" t="str">
        <f t="shared" si="47"/>
        <v>Rockbridge, VA</v>
      </c>
      <c r="L2947" s="37">
        <v>11.0</v>
      </c>
      <c r="M2947" s="37" t="s">
        <v>63</v>
      </c>
      <c r="N2947" s="37">
        <v>9.0</v>
      </c>
      <c r="O2947" s="37">
        <v>6.0</v>
      </c>
      <c r="P2947" s="37" t="s">
        <v>63</v>
      </c>
      <c r="Q2947" s="37" t="s">
        <v>63</v>
      </c>
      <c r="R2947" s="37">
        <v>2.0</v>
      </c>
      <c r="S2947" s="37" t="s">
        <v>63</v>
      </c>
      <c r="T2947" s="69">
        <v>0.611</v>
      </c>
      <c r="U2947" s="37" t="s">
        <v>63</v>
      </c>
      <c r="V2947" s="37" t="s">
        <v>63</v>
      </c>
      <c r="W2947" s="37" t="s">
        <v>63</v>
      </c>
      <c r="X2947" s="37" t="s">
        <v>63</v>
      </c>
      <c r="Y2947" s="53">
        <v>39.0</v>
      </c>
      <c r="Z2947" s="69" t="s">
        <v>63</v>
      </c>
      <c r="AA2947" s="73"/>
      <c r="AB2947" s="73"/>
      <c r="AC2947" s="73"/>
      <c r="AD2947" s="73"/>
      <c r="AE2947" s="73"/>
      <c r="AF2947" s="73"/>
      <c r="AG2947" s="73"/>
      <c r="AH2947" s="73"/>
      <c r="AI2947" s="73"/>
      <c r="AJ2947" s="73"/>
      <c r="AK2947" s="73"/>
    </row>
    <row r="2948">
      <c r="A2948" s="28">
        <v>2947.0</v>
      </c>
      <c r="B2948" s="29"/>
      <c r="C2948" s="29"/>
      <c r="D2948" s="40">
        <v>1.0</v>
      </c>
      <c r="E2948" s="31">
        <v>51.0</v>
      </c>
      <c r="F2948" s="42">
        <v>165.0</v>
      </c>
      <c r="G2948" s="29" t="str">
        <f t="shared" si="1"/>
        <v>51165</v>
      </c>
      <c r="H2948" s="37" t="s">
        <v>1523</v>
      </c>
      <c r="I2948" s="37" t="s">
        <v>117</v>
      </c>
      <c r="J2948" s="37" t="s">
        <v>375</v>
      </c>
      <c r="K2948" s="37" t="str">
        <f t="shared" si="47"/>
        <v>Rockingham, VA</v>
      </c>
      <c r="L2948" s="37">
        <v>158.0</v>
      </c>
      <c r="M2948" s="37" t="s">
        <v>63</v>
      </c>
      <c r="N2948" s="37">
        <v>100.0</v>
      </c>
      <c r="O2948" s="37">
        <v>5.0</v>
      </c>
      <c r="P2948" s="37" t="s">
        <v>63</v>
      </c>
      <c r="Q2948" s="37" t="s">
        <v>63</v>
      </c>
      <c r="R2948" s="37">
        <v>46.0</v>
      </c>
      <c r="S2948" s="37" t="s">
        <v>63</v>
      </c>
      <c r="T2948" s="69">
        <v>0.161</v>
      </c>
      <c r="U2948" s="37" t="s">
        <v>63</v>
      </c>
      <c r="V2948" s="37" t="s">
        <v>63</v>
      </c>
      <c r="W2948" s="37" t="s">
        <v>63</v>
      </c>
      <c r="X2948" s="37" t="s">
        <v>63</v>
      </c>
      <c r="Y2948" s="53">
        <v>131.0</v>
      </c>
      <c r="Z2948" s="69" t="s">
        <v>63</v>
      </c>
      <c r="AA2948" s="73"/>
      <c r="AB2948" s="73"/>
      <c r="AC2948" s="73"/>
      <c r="AD2948" s="73"/>
      <c r="AE2948" s="73"/>
      <c r="AF2948" s="73"/>
      <c r="AG2948" s="73"/>
      <c r="AH2948" s="73"/>
      <c r="AI2948" s="73"/>
      <c r="AJ2948" s="73"/>
      <c r="AK2948" s="73"/>
    </row>
    <row r="2949">
      <c r="A2949" s="28">
        <v>2948.0</v>
      </c>
      <c r="B2949" s="29"/>
      <c r="C2949" s="29"/>
      <c r="D2949" s="40">
        <v>1.0</v>
      </c>
      <c r="E2949" s="31">
        <v>51.0</v>
      </c>
      <c r="F2949" s="42">
        <v>167.0</v>
      </c>
      <c r="G2949" s="29" t="str">
        <f t="shared" si="1"/>
        <v>51167</v>
      </c>
      <c r="H2949" s="37" t="s">
        <v>165</v>
      </c>
      <c r="I2949" s="37" t="s">
        <v>117</v>
      </c>
      <c r="J2949" s="37" t="s">
        <v>375</v>
      </c>
      <c r="K2949" s="37" t="str">
        <f t="shared" si="47"/>
        <v>Russell, VA</v>
      </c>
      <c r="L2949" s="37">
        <v>74.0</v>
      </c>
      <c r="M2949" s="37" t="s">
        <v>63</v>
      </c>
      <c r="N2949" s="37">
        <v>45.0</v>
      </c>
      <c r="O2949" s="37">
        <v>10.0</v>
      </c>
      <c r="P2949" s="37" t="s">
        <v>63</v>
      </c>
      <c r="Q2949" s="37" t="s">
        <v>63</v>
      </c>
      <c r="R2949" s="37">
        <v>24.0</v>
      </c>
      <c r="S2949" s="37" t="s">
        <v>63</v>
      </c>
      <c r="T2949" s="69">
        <v>0.3</v>
      </c>
      <c r="U2949" s="37" t="s">
        <v>63</v>
      </c>
      <c r="V2949" s="37" t="s">
        <v>63</v>
      </c>
      <c r="W2949" s="37" t="s">
        <v>63</v>
      </c>
      <c r="X2949" s="37" t="s">
        <v>63</v>
      </c>
      <c r="Y2949" s="53">
        <v>39.0</v>
      </c>
      <c r="Z2949" s="69" t="s">
        <v>63</v>
      </c>
      <c r="AA2949" s="73"/>
      <c r="AB2949" s="73"/>
      <c r="AC2949" s="73"/>
      <c r="AD2949" s="73"/>
      <c r="AE2949" s="73"/>
      <c r="AF2949" s="73"/>
      <c r="AG2949" s="73"/>
      <c r="AH2949" s="73"/>
      <c r="AI2949" s="73"/>
      <c r="AJ2949" s="73"/>
      <c r="AK2949" s="73"/>
    </row>
    <row r="2950">
      <c r="A2950" s="28">
        <v>2949.0</v>
      </c>
      <c r="B2950" s="29"/>
      <c r="C2950" s="29"/>
      <c r="D2950" s="40">
        <v>1.0</v>
      </c>
      <c r="E2950" s="31">
        <v>51.0</v>
      </c>
      <c r="F2950" s="42">
        <v>169.0</v>
      </c>
      <c r="G2950" s="29" t="str">
        <f t="shared" si="1"/>
        <v>51169</v>
      </c>
      <c r="H2950" s="37" t="s">
        <v>309</v>
      </c>
      <c r="I2950" s="37" t="s">
        <v>117</v>
      </c>
      <c r="J2950" s="37" t="s">
        <v>375</v>
      </c>
      <c r="K2950" s="37" t="str">
        <f t="shared" si="47"/>
        <v>Scott, VA</v>
      </c>
      <c r="L2950" s="37">
        <v>42.0</v>
      </c>
      <c r="M2950" s="37" t="s">
        <v>63</v>
      </c>
      <c r="N2950" s="37">
        <v>29.0</v>
      </c>
      <c r="O2950" s="37">
        <v>1.0</v>
      </c>
      <c r="P2950" s="37" t="s">
        <v>63</v>
      </c>
      <c r="Q2950" s="37" t="s">
        <v>63</v>
      </c>
      <c r="R2950" s="37">
        <v>10.0</v>
      </c>
      <c r="S2950" s="37" t="s">
        <v>63</v>
      </c>
      <c r="T2950" s="69">
        <v>0.412</v>
      </c>
      <c r="U2950" s="37" t="s">
        <v>63</v>
      </c>
      <c r="V2950" s="37" t="s">
        <v>63</v>
      </c>
      <c r="W2950" s="37" t="s">
        <v>63</v>
      </c>
      <c r="X2950" s="37" t="s">
        <v>63</v>
      </c>
      <c r="Y2950" s="53">
        <v>44.0</v>
      </c>
      <c r="Z2950" s="69" t="s">
        <v>63</v>
      </c>
      <c r="AA2950" s="73"/>
      <c r="AB2950" s="73"/>
      <c r="AC2950" s="73"/>
      <c r="AD2950" s="73"/>
      <c r="AE2950" s="73"/>
      <c r="AF2950" s="73"/>
      <c r="AG2950" s="73"/>
      <c r="AH2950" s="73"/>
      <c r="AI2950" s="73"/>
      <c r="AJ2950" s="73"/>
      <c r="AK2950" s="73"/>
    </row>
    <row r="2951">
      <c r="A2951" s="28">
        <v>2950.0</v>
      </c>
      <c r="B2951" s="29"/>
      <c r="C2951" s="29"/>
      <c r="D2951" s="40">
        <v>1.0</v>
      </c>
      <c r="E2951" s="31">
        <v>51.0</v>
      </c>
      <c r="F2951" s="42">
        <v>171.0</v>
      </c>
      <c r="G2951" s="29" t="str">
        <f t="shared" si="1"/>
        <v>51171</v>
      </c>
      <c r="H2951" s="37" t="s">
        <v>2263</v>
      </c>
      <c r="I2951" s="37" t="s">
        <v>117</v>
      </c>
      <c r="J2951" s="37" t="s">
        <v>375</v>
      </c>
      <c r="K2951" s="136" t="str">
        <f t="shared" si="47"/>
        <v>Shenandoah, VA</v>
      </c>
      <c r="L2951" s="37">
        <v>23.0</v>
      </c>
      <c r="M2951" s="37" t="s">
        <v>63</v>
      </c>
      <c r="N2951" s="37">
        <v>8.0</v>
      </c>
      <c r="O2951" s="37">
        <v>7.0</v>
      </c>
      <c r="P2951" s="37" t="s">
        <v>63</v>
      </c>
      <c r="Q2951" s="37" t="s">
        <v>63</v>
      </c>
      <c r="R2951" s="37">
        <v>6.0</v>
      </c>
      <c r="S2951" s="37" t="s">
        <v>63</v>
      </c>
      <c r="T2951" s="69">
        <v>0.267</v>
      </c>
      <c r="U2951" s="37" t="s">
        <v>63</v>
      </c>
      <c r="V2951" s="37" t="s">
        <v>63</v>
      </c>
      <c r="W2951" s="37" t="s">
        <v>63</v>
      </c>
      <c r="X2951" s="37" t="s">
        <v>63</v>
      </c>
      <c r="Y2951" s="53">
        <v>90.0</v>
      </c>
      <c r="Z2951" s="69" t="s">
        <v>63</v>
      </c>
      <c r="AA2951" s="73"/>
      <c r="AB2951" s="73"/>
      <c r="AC2951" s="73"/>
      <c r="AD2951" s="73"/>
      <c r="AE2951" s="73"/>
      <c r="AF2951" s="73"/>
      <c r="AG2951" s="73"/>
      <c r="AH2951" s="73"/>
      <c r="AI2951" s="73"/>
      <c r="AJ2951" s="73"/>
      <c r="AK2951" s="73"/>
    </row>
    <row r="2952">
      <c r="A2952" s="28">
        <v>2951.0</v>
      </c>
      <c r="B2952" s="29"/>
      <c r="C2952" s="29"/>
      <c r="D2952" s="40">
        <v>1.0</v>
      </c>
      <c r="E2952" s="31">
        <v>51.0</v>
      </c>
      <c r="F2952" s="42">
        <v>173.0</v>
      </c>
      <c r="G2952" s="29" t="str">
        <f t="shared" si="1"/>
        <v>51173</v>
      </c>
      <c r="H2952" s="37" t="s">
        <v>2264</v>
      </c>
      <c r="I2952" s="37" t="s">
        <v>117</v>
      </c>
      <c r="J2952" s="37" t="s">
        <v>375</v>
      </c>
      <c r="K2952" s="37" t="str">
        <f t="shared" si="47"/>
        <v>Smyth, VA</v>
      </c>
      <c r="L2952" s="37">
        <v>39.0</v>
      </c>
      <c r="M2952" s="37" t="s">
        <v>63</v>
      </c>
      <c r="N2952" s="37">
        <v>28.0</v>
      </c>
      <c r="O2952" s="37">
        <v>7.0</v>
      </c>
      <c r="P2952" s="37" t="s">
        <v>63</v>
      </c>
      <c r="Q2952" s="37" t="s">
        <v>63</v>
      </c>
      <c r="R2952" s="37">
        <v>18.0</v>
      </c>
      <c r="S2952" s="37" t="s">
        <v>63</v>
      </c>
      <c r="T2952" s="69">
        <v>0.286</v>
      </c>
      <c r="U2952" s="37" t="s">
        <v>63</v>
      </c>
      <c r="V2952" s="37" t="s">
        <v>63</v>
      </c>
      <c r="W2952" s="37" t="s">
        <v>63</v>
      </c>
      <c r="X2952" s="37" t="s">
        <v>63</v>
      </c>
      <c r="Y2952" s="53">
        <v>47.0</v>
      </c>
      <c r="Z2952" s="69" t="s">
        <v>63</v>
      </c>
      <c r="AA2952" s="73"/>
      <c r="AB2952" s="73"/>
      <c r="AC2952" s="73"/>
      <c r="AD2952" s="73"/>
      <c r="AE2952" s="73"/>
      <c r="AF2952" s="73"/>
      <c r="AG2952" s="73"/>
      <c r="AH2952" s="73"/>
      <c r="AI2952" s="73"/>
      <c r="AJ2952" s="73"/>
      <c r="AK2952" s="73"/>
    </row>
    <row r="2953">
      <c r="A2953" s="28">
        <v>2952.0</v>
      </c>
      <c r="B2953" s="29"/>
      <c r="C2953" s="29"/>
      <c r="D2953" s="40">
        <v>1.0</v>
      </c>
      <c r="E2953" s="31">
        <v>51.0</v>
      </c>
      <c r="F2953" s="42">
        <v>175.0</v>
      </c>
      <c r="G2953" s="29" t="str">
        <f t="shared" si="1"/>
        <v>51175</v>
      </c>
      <c r="H2953" s="37" t="s">
        <v>2265</v>
      </c>
      <c r="I2953" s="37" t="s">
        <v>117</v>
      </c>
      <c r="J2953" s="37" t="s">
        <v>375</v>
      </c>
      <c r="K2953" s="136" t="str">
        <f t="shared" si="47"/>
        <v>Southampton, VA</v>
      </c>
      <c r="L2953" s="37">
        <v>1.0</v>
      </c>
      <c r="M2953" s="37" t="s">
        <v>63</v>
      </c>
      <c r="N2953" s="37" t="s">
        <v>63</v>
      </c>
      <c r="O2953" s="37" t="s">
        <v>63</v>
      </c>
      <c r="P2953" s="37" t="s">
        <v>63</v>
      </c>
      <c r="Q2953" s="37" t="s">
        <v>63</v>
      </c>
      <c r="R2953" s="37">
        <v>1.0</v>
      </c>
      <c r="S2953" s="37" t="s">
        <v>63</v>
      </c>
      <c r="T2953" s="69">
        <v>0.0</v>
      </c>
      <c r="U2953" s="37" t="s">
        <v>63</v>
      </c>
      <c r="V2953" s="37" t="s">
        <v>63</v>
      </c>
      <c r="W2953" s="37" t="s">
        <v>63</v>
      </c>
      <c r="X2953" s="37" t="s">
        <v>63</v>
      </c>
      <c r="Y2953" s="53">
        <v>56.0</v>
      </c>
      <c r="Z2953" s="69" t="s">
        <v>63</v>
      </c>
      <c r="AA2953" s="73"/>
      <c r="AB2953" s="73"/>
      <c r="AC2953" s="73"/>
      <c r="AD2953" s="73"/>
      <c r="AE2953" s="73"/>
      <c r="AF2953" s="73"/>
      <c r="AG2953" s="73"/>
      <c r="AH2953" s="73"/>
      <c r="AI2953" s="73"/>
      <c r="AJ2953" s="73"/>
      <c r="AK2953" s="73"/>
    </row>
    <row r="2954">
      <c r="A2954" s="28">
        <v>2953.0</v>
      </c>
      <c r="B2954" s="29"/>
      <c r="C2954" s="29"/>
      <c r="D2954" s="40">
        <v>1.0</v>
      </c>
      <c r="E2954" s="31">
        <v>51.0</v>
      </c>
      <c r="F2954" s="42">
        <v>177.0</v>
      </c>
      <c r="G2954" s="29" t="str">
        <f t="shared" si="1"/>
        <v>51177</v>
      </c>
      <c r="H2954" s="37" t="s">
        <v>2266</v>
      </c>
      <c r="I2954" s="37" t="s">
        <v>117</v>
      </c>
      <c r="J2954" s="37" t="s">
        <v>375</v>
      </c>
      <c r="K2954" s="136" t="str">
        <f t="shared" si="47"/>
        <v>Spotsylvania, VA</v>
      </c>
      <c r="L2954" s="37">
        <v>63.0</v>
      </c>
      <c r="M2954" s="37" t="s">
        <v>63</v>
      </c>
      <c r="N2954" s="37">
        <v>30.0</v>
      </c>
      <c r="O2954" s="37">
        <v>3.0</v>
      </c>
      <c r="P2954" s="37" t="s">
        <v>63</v>
      </c>
      <c r="Q2954" s="37" t="s">
        <v>63</v>
      </c>
      <c r="R2954" s="37">
        <v>22.0</v>
      </c>
      <c r="S2954" s="37" t="s">
        <v>63</v>
      </c>
      <c r="T2954" s="69">
        <v>0.407</v>
      </c>
      <c r="U2954" s="37" t="s">
        <v>63</v>
      </c>
      <c r="V2954" s="37" t="s">
        <v>63</v>
      </c>
      <c r="W2954" s="37" t="s">
        <v>63</v>
      </c>
      <c r="X2954" s="37" t="s">
        <v>63</v>
      </c>
      <c r="Y2954" s="53">
        <v>77.0</v>
      </c>
      <c r="Z2954" s="69" t="s">
        <v>63</v>
      </c>
      <c r="AA2954" s="73"/>
      <c r="AB2954" s="73"/>
      <c r="AC2954" s="73"/>
      <c r="AD2954" s="73"/>
      <c r="AE2954" s="73"/>
      <c r="AF2954" s="73"/>
      <c r="AG2954" s="73"/>
      <c r="AH2954" s="73"/>
      <c r="AI2954" s="73"/>
      <c r="AJ2954" s="73"/>
      <c r="AK2954" s="73"/>
    </row>
    <row r="2955">
      <c r="A2955" s="28">
        <v>2954.0</v>
      </c>
      <c r="B2955" s="29"/>
      <c r="C2955" s="29"/>
      <c r="D2955" s="40">
        <v>1.0</v>
      </c>
      <c r="E2955" s="31">
        <v>51.0</v>
      </c>
      <c r="F2955" s="42">
        <v>179.0</v>
      </c>
      <c r="G2955" s="29" t="str">
        <f t="shared" si="1"/>
        <v>51179</v>
      </c>
      <c r="H2955" s="37" t="s">
        <v>1013</v>
      </c>
      <c r="I2955" s="37" t="s">
        <v>117</v>
      </c>
      <c r="J2955" s="37" t="s">
        <v>375</v>
      </c>
      <c r="K2955" s="37" t="str">
        <f t="shared" si="47"/>
        <v>Stafford, VA</v>
      </c>
      <c r="L2955" s="37">
        <v>59.0</v>
      </c>
      <c r="M2955" s="37" t="s">
        <v>63</v>
      </c>
      <c r="N2955" s="37">
        <v>50.0</v>
      </c>
      <c r="O2955" s="37">
        <v>4.0</v>
      </c>
      <c r="P2955" s="37" t="s">
        <v>63</v>
      </c>
      <c r="Q2955" s="37" t="s">
        <v>63</v>
      </c>
      <c r="R2955" s="37">
        <v>22.0</v>
      </c>
      <c r="S2955" s="37" t="s">
        <v>63</v>
      </c>
      <c r="T2955" s="69">
        <v>0.5</v>
      </c>
      <c r="U2955" s="37" t="s">
        <v>63</v>
      </c>
      <c r="V2955" s="37" t="s">
        <v>63</v>
      </c>
      <c r="W2955" s="37" t="s">
        <v>63</v>
      </c>
      <c r="X2955" s="37" t="s">
        <v>63</v>
      </c>
      <c r="Y2955" s="53">
        <v>89.0</v>
      </c>
      <c r="Z2955" s="69" t="s">
        <v>63</v>
      </c>
      <c r="AA2955" s="73"/>
      <c r="AB2955" s="73"/>
      <c r="AC2955" s="73"/>
      <c r="AD2955" s="73"/>
      <c r="AE2955" s="73"/>
      <c r="AF2955" s="73"/>
      <c r="AG2955" s="73"/>
      <c r="AH2955" s="73"/>
      <c r="AI2955" s="73"/>
      <c r="AJ2955" s="73"/>
      <c r="AK2955" s="73"/>
    </row>
    <row r="2956">
      <c r="A2956" s="28">
        <v>2955.0</v>
      </c>
      <c r="B2956" s="29"/>
      <c r="C2956" s="29"/>
      <c r="D2956" s="40">
        <v>1.0</v>
      </c>
      <c r="E2956" s="31">
        <v>51.0</v>
      </c>
      <c r="F2956" s="42">
        <v>181.0</v>
      </c>
      <c r="G2956" s="29" t="str">
        <f t="shared" si="1"/>
        <v>51181</v>
      </c>
      <c r="H2956" s="37" t="s">
        <v>1631</v>
      </c>
      <c r="I2956" s="37" t="s">
        <v>117</v>
      </c>
      <c r="J2956" s="37" t="s">
        <v>375</v>
      </c>
      <c r="K2956" s="37" t="str">
        <f t="shared" si="47"/>
        <v>Surry, VA</v>
      </c>
      <c r="L2956" s="37">
        <v>1.0</v>
      </c>
      <c r="M2956" s="37" t="s">
        <v>63</v>
      </c>
      <c r="N2956" s="37" t="s">
        <v>63</v>
      </c>
      <c r="O2956" s="37">
        <v>1.0</v>
      </c>
      <c r="P2956" s="37" t="s">
        <v>63</v>
      </c>
      <c r="Q2956" s="37" t="s">
        <v>63</v>
      </c>
      <c r="R2956" s="37">
        <v>1.0</v>
      </c>
      <c r="S2956" s="37" t="s">
        <v>63</v>
      </c>
      <c r="T2956" s="69">
        <v>0.0</v>
      </c>
      <c r="U2956" s="37" t="s">
        <v>63</v>
      </c>
      <c r="V2956" s="37" t="s">
        <v>63</v>
      </c>
      <c r="W2956" s="37" t="s">
        <v>63</v>
      </c>
      <c r="X2956" s="37" t="s">
        <v>63</v>
      </c>
      <c r="Y2956" s="53">
        <v>25.0</v>
      </c>
      <c r="Z2956" s="69" t="s">
        <v>63</v>
      </c>
      <c r="AA2956" s="73"/>
      <c r="AB2956" s="73"/>
      <c r="AC2956" s="73"/>
      <c r="AD2956" s="73"/>
      <c r="AE2956" s="73"/>
      <c r="AF2956" s="73"/>
      <c r="AG2956" s="73"/>
      <c r="AH2956" s="73"/>
      <c r="AI2956" s="73"/>
      <c r="AJ2956" s="73"/>
      <c r="AK2956" s="73"/>
    </row>
    <row r="2957">
      <c r="A2957" s="28">
        <v>2956.0</v>
      </c>
      <c r="B2957" s="29"/>
      <c r="C2957" s="29"/>
      <c r="D2957" s="40">
        <v>1.0</v>
      </c>
      <c r="E2957" s="31">
        <v>51.0</v>
      </c>
      <c r="F2957" s="42">
        <v>183.0</v>
      </c>
      <c r="G2957" s="29" t="str">
        <f t="shared" si="1"/>
        <v>51183</v>
      </c>
      <c r="H2957" s="37" t="s">
        <v>476</v>
      </c>
      <c r="I2957" s="37" t="s">
        <v>117</v>
      </c>
      <c r="J2957" s="37" t="s">
        <v>375</v>
      </c>
      <c r="K2957" s="37" t="str">
        <f t="shared" si="47"/>
        <v>Sussex, VA</v>
      </c>
      <c r="L2957" s="37">
        <v>27.0</v>
      </c>
      <c r="M2957" s="37" t="s">
        <v>63</v>
      </c>
      <c r="N2957" s="37">
        <v>17.0</v>
      </c>
      <c r="O2957" s="37">
        <v>3.0</v>
      </c>
      <c r="P2957" s="37" t="s">
        <v>63</v>
      </c>
      <c r="Q2957" s="37" t="s">
        <v>63</v>
      </c>
      <c r="R2957" s="37">
        <v>5.0</v>
      </c>
      <c r="S2957" s="37" t="s">
        <v>63</v>
      </c>
      <c r="T2957" s="69">
        <v>0.6</v>
      </c>
      <c r="U2957" s="37" t="s">
        <v>63</v>
      </c>
      <c r="V2957" s="37" t="s">
        <v>63</v>
      </c>
      <c r="W2957" s="37" t="s">
        <v>63</v>
      </c>
      <c r="X2957" s="37" t="s">
        <v>63</v>
      </c>
      <c r="Y2957" s="53">
        <v>37.0</v>
      </c>
      <c r="Z2957" s="69" t="s">
        <v>63</v>
      </c>
      <c r="AA2957" s="73"/>
      <c r="AB2957" s="73"/>
      <c r="AC2957" s="73"/>
      <c r="AD2957" s="73"/>
      <c r="AE2957" s="73"/>
      <c r="AF2957" s="73"/>
      <c r="AG2957" s="73"/>
      <c r="AH2957" s="73"/>
      <c r="AI2957" s="73"/>
      <c r="AJ2957" s="73"/>
      <c r="AK2957" s="73"/>
    </row>
    <row r="2958">
      <c r="A2958" s="28">
        <v>2957.0</v>
      </c>
      <c r="B2958" s="29"/>
      <c r="C2958" s="29"/>
      <c r="D2958" s="40">
        <v>1.0</v>
      </c>
      <c r="E2958" s="31">
        <v>51.0</v>
      </c>
      <c r="F2958" s="42">
        <v>185.0</v>
      </c>
      <c r="G2958" s="29" t="str">
        <f t="shared" si="1"/>
        <v>51185</v>
      </c>
      <c r="H2958" s="37" t="s">
        <v>749</v>
      </c>
      <c r="I2958" s="37" t="s">
        <v>117</v>
      </c>
      <c r="J2958" s="37" t="s">
        <v>375</v>
      </c>
      <c r="K2958" s="37" t="str">
        <f t="shared" si="47"/>
        <v>Tazewell, VA</v>
      </c>
      <c r="L2958" s="37">
        <v>55.0</v>
      </c>
      <c r="M2958" s="37" t="s">
        <v>63</v>
      </c>
      <c r="N2958" s="37">
        <v>23.0</v>
      </c>
      <c r="O2958" s="37">
        <v>8.0</v>
      </c>
      <c r="P2958" s="37" t="s">
        <v>63</v>
      </c>
      <c r="Q2958" s="37" t="s">
        <v>63</v>
      </c>
      <c r="R2958" s="37">
        <v>14.0</v>
      </c>
      <c r="S2958" s="37" t="s">
        <v>63</v>
      </c>
      <c r="T2958" s="69">
        <v>0.211</v>
      </c>
      <c r="U2958" s="37" t="s">
        <v>63</v>
      </c>
      <c r="V2958" s="37" t="s">
        <v>63</v>
      </c>
      <c r="W2958" s="37" t="s">
        <v>63</v>
      </c>
      <c r="X2958" s="37" t="s">
        <v>63</v>
      </c>
      <c r="Y2958" s="53">
        <v>75.0</v>
      </c>
      <c r="Z2958" s="69" t="s">
        <v>63</v>
      </c>
      <c r="AA2958" s="73"/>
      <c r="AB2958" s="73"/>
      <c r="AC2958" s="73"/>
      <c r="AD2958" s="73"/>
      <c r="AE2958" s="73"/>
      <c r="AF2958" s="73"/>
      <c r="AG2958" s="73"/>
      <c r="AH2958" s="73"/>
      <c r="AI2958" s="73"/>
      <c r="AJ2958" s="73"/>
      <c r="AK2958" s="73"/>
    </row>
    <row r="2959">
      <c r="A2959" s="28">
        <v>2958.0</v>
      </c>
      <c r="B2959" s="29"/>
      <c r="C2959" s="29"/>
      <c r="D2959" s="40">
        <v>1.0</v>
      </c>
      <c r="E2959" s="31">
        <v>51.0</v>
      </c>
      <c r="F2959" s="42">
        <v>187.0</v>
      </c>
      <c r="G2959" s="29" t="str">
        <f t="shared" si="1"/>
        <v>51187</v>
      </c>
      <c r="H2959" s="37" t="s">
        <v>647</v>
      </c>
      <c r="I2959" s="37" t="s">
        <v>117</v>
      </c>
      <c r="J2959" s="37" t="s">
        <v>375</v>
      </c>
      <c r="K2959" s="37" t="str">
        <f t="shared" si="47"/>
        <v>Warren, VA</v>
      </c>
      <c r="L2959" s="37">
        <v>44.0</v>
      </c>
      <c r="M2959" s="37" t="s">
        <v>63</v>
      </c>
      <c r="N2959" s="37">
        <v>35.0</v>
      </c>
      <c r="O2959" s="37">
        <v>3.0</v>
      </c>
      <c r="P2959" s="37" t="s">
        <v>63</v>
      </c>
      <c r="Q2959" s="37" t="s">
        <v>63</v>
      </c>
      <c r="R2959" s="37">
        <v>7.0</v>
      </c>
      <c r="S2959" s="37" t="s">
        <v>63</v>
      </c>
      <c r="T2959" s="69">
        <v>0.25</v>
      </c>
      <c r="U2959" s="37" t="s">
        <v>63</v>
      </c>
      <c r="V2959" s="37" t="s">
        <v>63</v>
      </c>
      <c r="W2959" s="37" t="s">
        <v>63</v>
      </c>
      <c r="X2959" s="37" t="s">
        <v>63</v>
      </c>
      <c r="Y2959" s="53">
        <v>37.0</v>
      </c>
      <c r="Z2959" s="69" t="s">
        <v>63</v>
      </c>
      <c r="AA2959" s="73"/>
      <c r="AB2959" s="73"/>
      <c r="AC2959" s="73"/>
      <c r="AD2959" s="73"/>
      <c r="AE2959" s="73"/>
      <c r="AF2959" s="73"/>
      <c r="AG2959" s="73"/>
      <c r="AH2959" s="73"/>
      <c r="AI2959" s="73"/>
      <c r="AJ2959" s="73"/>
      <c r="AK2959" s="73"/>
    </row>
    <row r="2960">
      <c r="A2960" s="28">
        <v>2959.0</v>
      </c>
      <c r="B2960" s="29"/>
      <c r="C2960" s="29"/>
      <c r="D2960" s="40">
        <v>1.0</v>
      </c>
      <c r="E2960" s="31">
        <v>51.0</v>
      </c>
      <c r="F2960" s="42">
        <v>191.0</v>
      </c>
      <c r="G2960" s="29" t="str">
        <f t="shared" si="1"/>
        <v>51191</v>
      </c>
      <c r="H2960" s="37" t="s">
        <v>119</v>
      </c>
      <c r="I2960" s="37" t="s">
        <v>117</v>
      </c>
      <c r="J2960" s="37" t="s">
        <v>375</v>
      </c>
      <c r="K2960" s="37" t="str">
        <f t="shared" si="47"/>
        <v>Washington, VA</v>
      </c>
      <c r="L2960" s="37">
        <v>114.0</v>
      </c>
      <c r="M2960" s="37" t="s">
        <v>63</v>
      </c>
      <c r="N2960" s="37">
        <v>61.0</v>
      </c>
      <c r="O2960" s="37">
        <v>10.0</v>
      </c>
      <c r="P2960" s="37" t="s">
        <v>63</v>
      </c>
      <c r="Q2960" s="37" t="s">
        <v>63</v>
      </c>
      <c r="R2960" s="37">
        <v>31.0</v>
      </c>
      <c r="S2960" s="37" t="s">
        <v>63</v>
      </c>
      <c r="T2960" s="69">
        <v>0.043</v>
      </c>
      <c r="U2960" s="37" t="s">
        <v>63</v>
      </c>
      <c r="V2960" s="37" t="s">
        <v>63</v>
      </c>
      <c r="W2960" s="37" t="s">
        <v>63</v>
      </c>
      <c r="X2960" s="37" t="s">
        <v>63</v>
      </c>
      <c r="Y2960" s="53">
        <v>89.0</v>
      </c>
      <c r="Z2960" s="69" t="s">
        <v>63</v>
      </c>
      <c r="AA2960" s="73"/>
      <c r="AB2960" s="73"/>
      <c r="AC2960" s="73"/>
      <c r="AD2960" s="73"/>
      <c r="AE2960" s="73"/>
      <c r="AF2960" s="73"/>
      <c r="AG2960" s="73"/>
      <c r="AH2960" s="73"/>
      <c r="AI2960" s="73"/>
      <c r="AJ2960" s="73"/>
      <c r="AK2960" s="73"/>
    </row>
    <row r="2961">
      <c r="A2961" s="28">
        <v>2960.0</v>
      </c>
      <c r="B2961" s="29"/>
      <c r="C2961" s="29"/>
      <c r="D2961" s="40">
        <v>1.0</v>
      </c>
      <c r="E2961" s="31">
        <v>51.0</v>
      </c>
      <c r="F2961" s="42">
        <v>193.0</v>
      </c>
      <c r="G2961" s="29" t="str">
        <f t="shared" si="1"/>
        <v>51193</v>
      </c>
      <c r="H2961" s="37" t="s">
        <v>1810</v>
      </c>
      <c r="I2961" s="37" t="s">
        <v>117</v>
      </c>
      <c r="J2961" s="37" t="s">
        <v>375</v>
      </c>
      <c r="K2961" s="136" t="str">
        <f t="shared" si="47"/>
        <v>Westmoreland, VA</v>
      </c>
      <c r="L2961" s="37">
        <v>10.0</v>
      </c>
      <c r="M2961" s="37" t="s">
        <v>63</v>
      </c>
      <c r="N2961" s="37">
        <v>4.0</v>
      </c>
      <c r="O2961" s="37">
        <v>2.0</v>
      </c>
      <c r="P2961" s="37" t="s">
        <v>63</v>
      </c>
      <c r="Q2961" s="37" t="s">
        <v>63</v>
      </c>
      <c r="R2961" s="37">
        <v>3.0</v>
      </c>
      <c r="S2961" s="37" t="s">
        <v>63</v>
      </c>
      <c r="T2961" s="69">
        <v>0.25</v>
      </c>
      <c r="U2961" s="37" t="s">
        <v>63</v>
      </c>
      <c r="V2961" s="37" t="s">
        <v>63</v>
      </c>
      <c r="W2961" s="37" t="s">
        <v>63</v>
      </c>
      <c r="X2961" s="37" t="s">
        <v>63</v>
      </c>
      <c r="Y2961" s="53">
        <v>39.0</v>
      </c>
      <c r="Z2961" s="69" t="s">
        <v>63</v>
      </c>
      <c r="AA2961" s="73"/>
      <c r="AB2961" s="73"/>
      <c r="AC2961" s="73"/>
      <c r="AD2961" s="73"/>
      <c r="AE2961" s="73"/>
      <c r="AF2961" s="73"/>
      <c r="AG2961" s="73"/>
      <c r="AH2961" s="73"/>
      <c r="AI2961" s="73"/>
      <c r="AJ2961" s="73"/>
      <c r="AK2961" s="73"/>
    </row>
    <row r="2962">
      <c r="A2962" s="28">
        <v>2961.0</v>
      </c>
      <c r="B2962" s="29"/>
      <c r="C2962" s="29"/>
      <c r="D2962" s="40">
        <v>1.0</v>
      </c>
      <c r="E2962" s="31">
        <v>51.0</v>
      </c>
      <c r="F2962" s="42">
        <v>195.0</v>
      </c>
      <c r="G2962" s="29" t="str">
        <f t="shared" si="1"/>
        <v>51195</v>
      </c>
      <c r="H2962" s="37" t="s">
        <v>2178</v>
      </c>
      <c r="I2962" s="37" t="s">
        <v>117</v>
      </c>
      <c r="J2962" s="37" t="s">
        <v>375</v>
      </c>
      <c r="K2962" s="37" t="str">
        <f t="shared" si="47"/>
        <v>Wise, VA</v>
      </c>
      <c r="L2962" s="37">
        <v>84.0</v>
      </c>
      <c r="M2962" s="37" t="s">
        <v>63</v>
      </c>
      <c r="N2962" s="37">
        <v>59.0</v>
      </c>
      <c r="O2962" s="37">
        <v>11.0</v>
      </c>
      <c r="P2962" s="37" t="s">
        <v>63</v>
      </c>
      <c r="Q2962" s="37" t="s">
        <v>63</v>
      </c>
      <c r="R2962" s="37">
        <v>30.0</v>
      </c>
      <c r="S2962" s="37" t="s">
        <v>63</v>
      </c>
      <c r="T2962" s="69">
        <v>0.304</v>
      </c>
      <c r="U2962" s="37" t="s">
        <v>63</v>
      </c>
      <c r="V2962" s="37" t="s">
        <v>63</v>
      </c>
      <c r="W2962" s="37" t="s">
        <v>63</v>
      </c>
      <c r="X2962" s="37" t="s">
        <v>63</v>
      </c>
      <c r="Y2962" s="53">
        <v>55.0</v>
      </c>
      <c r="Z2962" s="69" t="s">
        <v>63</v>
      </c>
      <c r="AA2962" s="73"/>
      <c r="AB2962" s="73"/>
      <c r="AC2962" s="73"/>
      <c r="AD2962" s="73"/>
      <c r="AE2962" s="73"/>
      <c r="AF2962" s="73"/>
      <c r="AG2962" s="73"/>
      <c r="AH2962" s="73"/>
      <c r="AI2962" s="73"/>
      <c r="AJ2962" s="73"/>
      <c r="AK2962" s="73"/>
    </row>
    <row r="2963">
      <c r="A2963" s="28">
        <v>2962.0</v>
      </c>
      <c r="B2963" s="29"/>
      <c r="C2963" s="29"/>
      <c r="D2963" s="40">
        <v>1.0</v>
      </c>
      <c r="E2963" s="31">
        <v>51.0</v>
      </c>
      <c r="F2963" s="42">
        <v>197.0</v>
      </c>
      <c r="G2963" s="29" t="str">
        <f t="shared" si="1"/>
        <v>51197</v>
      </c>
      <c r="H2963" s="37" t="s">
        <v>2267</v>
      </c>
      <c r="I2963" s="37" t="s">
        <v>117</v>
      </c>
      <c r="J2963" s="37" t="s">
        <v>375</v>
      </c>
      <c r="K2963" s="37" t="str">
        <f t="shared" si="47"/>
        <v>Wythe, VA</v>
      </c>
      <c r="L2963" s="37">
        <v>40.0</v>
      </c>
      <c r="M2963" s="37" t="s">
        <v>63</v>
      </c>
      <c r="N2963" s="37">
        <v>20.0</v>
      </c>
      <c r="O2963" s="37">
        <v>8.0</v>
      </c>
      <c r="P2963" s="37" t="s">
        <v>63</v>
      </c>
      <c r="Q2963" s="37" t="s">
        <v>63</v>
      </c>
      <c r="R2963" s="37">
        <v>11.0</v>
      </c>
      <c r="S2963" s="37" t="s">
        <v>63</v>
      </c>
      <c r="T2963" s="69">
        <v>0.19</v>
      </c>
      <c r="U2963" s="37" t="s">
        <v>63</v>
      </c>
      <c r="V2963" s="37" t="s">
        <v>63</v>
      </c>
      <c r="W2963" s="37" t="s">
        <v>63</v>
      </c>
      <c r="X2963" s="37" t="s">
        <v>63</v>
      </c>
      <c r="Y2963" s="53">
        <v>41.0</v>
      </c>
      <c r="Z2963" s="69" t="s">
        <v>63</v>
      </c>
      <c r="AA2963" s="73"/>
      <c r="AB2963" s="73"/>
      <c r="AC2963" s="73"/>
      <c r="AD2963" s="73"/>
      <c r="AE2963" s="73"/>
      <c r="AF2963" s="73"/>
      <c r="AG2963" s="73"/>
      <c r="AH2963" s="73"/>
      <c r="AI2963" s="73"/>
      <c r="AJ2963" s="73"/>
      <c r="AK2963" s="73"/>
    </row>
    <row r="2964">
      <c r="A2964" s="28">
        <v>2963.0</v>
      </c>
      <c r="B2964" s="29"/>
      <c r="C2964" s="29"/>
      <c r="D2964" s="40">
        <v>1.0</v>
      </c>
      <c r="E2964" s="31">
        <v>51.0</v>
      </c>
      <c r="F2964" s="42">
        <v>199.0</v>
      </c>
      <c r="G2964" s="29" t="str">
        <f t="shared" si="1"/>
        <v>51199</v>
      </c>
      <c r="H2964" s="37" t="s">
        <v>1196</v>
      </c>
      <c r="I2964" s="37" t="s">
        <v>117</v>
      </c>
      <c r="J2964" s="37" t="s">
        <v>375</v>
      </c>
      <c r="K2964" s="37" t="str">
        <f t="shared" si="47"/>
        <v>York, VA</v>
      </c>
      <c r="L2964" s="37">
        <v>24.0</v>
      </c>
      <c r="M2964" s="37" t="s">
        <v>63</v>
      </c>
      <c r="N2964" s="37">
        <v>11.0</v>
      </c>
      <c r="O2964" s="37" t="s">
        <v>63</v>
      </c>
      <c r="P2964" s="37" t="s">
        <v>63</v>
      </c>
      <c r="Q2964" s="37" t="s">
        <v>63</v>
      </c>
      <c r="R2964" s="37">
        <v>8.0</v>
      </c>
      <c r="S2964" s="37" t="s">
        <v>63</v>
      </c>
      <c r="T2964" s="69">
        <v>0.6</v>
      </c>
      <c r="U2964" s="37" t="s">
        <v>63</v>
      </c>
      <c r="V2964" s="37" t="s">
        <v>63</v>
      </c>
      <c r="W2964" s="37" t="s">
        <v>63</v>
      </c>
      <c r="X2964" s="37" t="s">
        <v>63</v>
      </c>
      <c r="Y2964" s="53">
        <v>52.0</v>
      </c>
      <c r="Z2964" s="69" t="s">
        <v>63</v>
      </c>
      <c r="AA2964" s="73"/>
      <c r="AB2964" s="73"/>
      <c r="AC2964" s="73"/>
      <c r="AD2964" s="73"/>
      <c r="AE2964" s="73"/>
      <c r="AF2964" s="73"/>
      <c r="AG2964" s="73"/>
      <c r="AH2964" s="73"/>
      <c r="AI2964" s="73"/>
      <c r="AJ2964" s="73"/>
      <c r="AK2964" s="73"/>
    </row>
    <row r="2965">
      <c r="A2965" s="28">
        <v>2964.0</v>
      </c>
      <c r="B2965" s="29"/>
      <c r="C2965" s="29"/>
      <c r="D2965" s="40">
        <v>1.0</v>
      </c>
      <c r="E2965" s="31">
        <v>51.0</v>
      </c>
      <c r="F2965" s="42">
        <v>510.0</v>
      </c>
      <c r="G2965" s="29" t="str">
        <f t="shared" si="1"/>
        <v>51510</v>
      </c>
      <c r="H2965" s="37" t="s">
        <v>2269</v>
      </c>
      <c r="I2965" s="37" t="s">
        <v>117</v>
      </c>
      <c r="J2965" s="37" t="s">
        <v>375</v>
      </c>
      <c r="K2965" s="136" t="str">
        <f t="shared" si="47"/>
        <v>Alexandria City, VA</v>
      </c>
      <c r="L2965" s="37">
        <v>75.0</v>
      </c>
      <c r="M2965" s="37" t="s">
        <v>63</v>
      </c>
      <c r="N2965" s="37">
        <v>38.0</v>
      </c>
      <c r="O2965" s="37">
        <v>13.0</v>
      </c>
      <c r="P2965" s="37" t="s">
        <v>63</v>
      </c>
      <c r="Q2965" s="37" t="s">
        <v>63</v>
      </c>
      <c r="R2965" s="37">
        <v>26.0</v>
      </c>
      <c r="S2965" s="37" t="s">
        <v>63</v>
      </c>
      <c r="T2965" s="69">
        <v>0.075</v>
      </c>
      <c r="U2965" s="37" t="s">
        <v>63</v>
      </c>
      <c r="V2965" s="37" t="s">
        <v>63</v>
      </c>
      <c r="W2965" s="37" t="s">
        <v>63</v>
      </c>
      <c r="X2965" s="37" t="s">
        <v>63</v>
      </c>
      <c r="Y2965" s="53">
        <v>63.0</v>
      </c>
      <c r="Z2965" s="69" t="s">
        <v>63</v>
      </c>
      <c r="AA2965" s="73"/>
      <c r="AB2965" s="73"/>
      <c r="AC2965" s="73"/>
      <c r="AD2965" s="73"/>
      <c r="AE2965" s="73"/>
      <c r="AF2965" s="73"/>
      <c r="AG2965" s="73"/>
      <c r="AH2965" s="73"/>
      <c r="AI2965" s="73"/>
      <c r="AJ2965" s="73"/>
      <c r="AK2965" s="73"/>
    </row>
    <row r="2966">
      <c r="A2966" s="28">
        <v>2965.0</v>
      </c>
      <c r="B2966" s="29"/>
      <c r="C2966" s="29"/>
      <c r="D2966" s="40">
        <v>1.0</v>
      </c>
      <c r="E2966" s="31">
        <v>51.0</v>
      </c>
      <c r="F2966" s="42">
        <v>520.0</v>
      </c>
      <c r="G2966" s="29" t="str">
        <f t="shared" si="1"/>
        <v>51520</v>
      </c>
      <c r="H2966" s="37" t="s">
        <v>2270</v>
      </c>
      <c r="I2966" s="37" t="s">
        <v>117</v>
      </c>
      <c r="J2966" s="37" t="s">
        <v>375</v>
      </c>
      <c r="K2966" s="37" t="str">
        <f t="shared" si="47"/>
        <v>Bristol City, VA</v>
      </c>
      <c r="L2966" s="37">
        <v>47.0</v>
      </c>
      <c r="M2966" s="37" t="s">
        <v>63</v>
      </c>
      <c r="N2966" s="37">
        <v>26.0</v>
      </c>
      <c r="O2966" s="37">
        <v>2.0</v>
      </c>
      <c r="P2966" s="37" t="s">
        <v>63</v>
      </c>
      <c r="Q2966" s="37" t="s">
        <v>63</v>
      </c>
      <c r="R2966" s="37">
        <v>18.0</v>
      </c>
      <c r="S2966" s="37" t="s">
        <v>63</v>
      </c>
      <c r="T2966" s="69">
        <v>0.056</v>
      </c>
      <c r="U2966" s="37" t="s">
        <v>63</v>
      </c>
      <c r="V2966" s="37" t="s">
        <v>63</v>
      </c>
      <c r="W2966" s="37" t="s">
        <v>63</v>
      </c>
      <c r="X2966" s="37" t="s">
        <v>63</v>
      </c>
      <c r="Y2966" s="53">
        <v>44.0</v>
      </c>
      <c r="Z2966" s="69" t="s">
        <v>63</v>
      </c>
      <c r="AA2966" s="73"/>
      <c r="AB2966" s="73"/>
      <c r="AC2966" s="73"/>
      <c r="AD2966" s="73"/>
      <c r="AE2966" s="73"/>
      <c r="AF2966" s="73"/>
      <c r="AG2966" s="73"/>
      <c r="AH2966" s="73"/>
      <c r="AI2966" s="73"/>
      <c r="AJ2966" s="73"/>
      <c r="AK2966" s="73"/>
    </row>
    <row r="2967">
      <c r="A2967" s="28">
        <v>2966.0</v>
      </c>
      <c r="B2967" s="29"/>
      <c r="C2967" s="29"/>
      <c r="D2967" s="40">
        <v>1.0</v>
      </c>
      <c r="E2967" s="31">
        <v>51.0</v>
      </c>
      <c r="F2967" s="42">
        <v>530.0</v>
      </c>
      <c r="G2967" s="29" t="str">
        <f t="shared" si="1"/>
        <v>51530</v>
      </c>
      <c r="H2967" s="37" t="s">
        <v>2271</v>
      </c>
      <c r="I2967" s="37" t="s">
        <v>117</v>
      </c>
      <c r="J2967" s="37" t="s">
        <v>375</v>
      </c>
      <c r="K2967" s="136" t="str">
        <f t="shared" si="47"/>
        <v>Buena Vista City, VA</v>
      </c>
      <c r="L2967" s="37">
        <v>12.0</v>
      </c>
      <c r="M2967" s="37" t="s">
        <v>63</v>
      </c>
      <c r="N2967" s="37" t="s">
        <v>63</v>
      </c>
      <c r="O2967" s="37" t="s">
        <v>63</v>
      </c>
      <c r="P2967" s="37" t="s">
        <v>63</v>
      </c>
      <c r="Q2967" s="37" t="s">
        <v>63</v>
      </c>
      <c r="R2967" s="37">
        <v>1.0</v>
      </c>
      <c r="S2967" s="37" t="s">
        <v>63</v>
      </c>
      <c r="T2967" s="69">
        <v>0.0</v>
      </c>
      <c r="U2967" s="37" t="s">
        <v>63</v>
      </c>
      <c r="V2967" s="37" t="s">
        <v>63</v>
      </c>
      <c r="W2967" s="37" t="s">
        <v>63</v>
      </c>
      <c r="X2967" s="37" t="s">
        <v>63</v>
      </c>
      <c r="Y2967" s="53">
        <v>13.0</v>
      </c>
      <c r="Z2967" s="69" t="s">
        <v>63</v>
      </c>
      <c r="AA2967" s="73"/>
      <c r="AB2967" s="73"/>
      <c r="AC2967" s="73"/>
      <c r="AD2967" s="73"/>
      <c r="AE2967" s="73"/>
      <c r="AF2967" s="73"/>
      <c r="AG2967" s="73"/>
      <c r="AH2967" s="73"/>
      <c r="AI2967" s="73"/>
      <c r="AJ2967" s="73"/>
      <c r="AK2967" s="73"/>
    </row>
    <row r="2968">
      <c r="A2968" s="28">
        <v>2967.0</v>
      </c>
      <c r="B2968" s="29"/>
      <c r="C2968" s="29"/>
      <c r="D2968" s="40">
        <v>1.0</v>
      </c>
      <c r="E2968" s="31">
        <v>51.0</v>
      </c>
      <c r="F2968" s="42">
        <v>540.0</v>
      </c>
      <c r="G2968" s="29" t="str">
        <f t="shared" si="1"/>
        <v>51540</v>
      </c>
      <c r="H2968" s="37" t="s">
        <v>2272</v>
      </c>
      <c r="I2968" s="37" t="s">
        <v>117</v>
      </c>
      <c r="J2968" s="37" t="s">
        <v>375</v>
      </c>
      <c r="K2968" s="136" t="str">
        <f t="shared" si="47"/>
        <v>Charlottesville City, VA</v>
      </c>
      <c r="L2968" s="37">
        <v>56.0</v>
      </c>
      <c r="M2968" s="37" t="s">
        <v>63</v>
      </c>
      <c r="N2968" s="37">
        <v>15.0</v>
      </c>
      <c r="O2968" s="37">
        <v>17.0</v>
      </c>
      <c r="P2968" s="37" t="s">
        <v>63</v>
      </c>
      <c r="Q2968" s="37" t="s">
        <v>63</v>
      </c>
      <c r="R2968" s="37">
        <v>9.0</v>
      </c>
      <c r="S2968" s="37" t="s">
        <v>63</v>
      </c>
      <c r="T2968" s="69">
        <v>0.565</v>
      </c>
      <c r="U2968" s="37" t="s">
        <v>63</v>
      </c>
      <c r="V2968" s="37" t="s">
        <v>63</v>
      </c>
      <c r="W2968" s="37" t="s">
        <v>63</v>
      </c>
      <c r="X2968" s="37" t="s">
        <v>63</v>
      </c>
      <c r="Y2968" s="53">
        <v>44.0</v>
      </c>
      <c r="Z2968" s="69" t="s">
        <v>63</v>
      </c>
      <c r="AA2968" s="73"/>
      <c r="AB2968" s="73"/>
      <c r="AC2968" s="73"/>
      <c r="AD2968" s="73"/>
      <c r="AE2968" s="73"/>
      <c r="AF2968" s="73"/>
      <c r="AG2968" s="73"/>
      <c r="AH2968" s="73"/>
      <c r="AI2968" s="73"/>
      <c r="AJ2968" s="73"/>
      <c r="AK2968" s="73"/>
    </row>
    <row r="2969">
      <c r="A2969" s="28">
        <v>2968.0</v>
      </c>
      <c r="B2969" s="29"/>
      <c r="C2969" s="29"/>
      <c r="D2969" s="40">
        <v>1.0</v>
      </c>
      <c r="E2969" s="31">
        <v>51.0</v>
      </c>
      <c r="F2969" s="42">
        <v>550.0</v>
      </c>
      <c r="G2969" s="29" t="str">
        <f t="shared" si="1"/>
        <v>51550</v>
      </c>
      <c r="H2969" s="37" t="s">
        <v>2273</v>
      </c>
      <c r="I2969" s="37" t="s">
        <v>117</v>
      </c>
      <c r="J2969" s="37" t="s">
        <v>375</v>
      </c>
      <c r="K2969" s="136" t="str">
        <f t="shared" si="47"/>
        <v>Chesapeake City, VA</v>
      </c>
      <c r="L2969" s="37">
        <v>65.0</v>
      </c>
      <c r="M2969" s="37" t="s">
        <v>63</v>
      </c>
      <c r="N2969" s="37">
        <v>39.0</v>
      </c>
      <c r="O2969" s="37">
        <v>9.0</v>
      </c>
      <c r="P2969" s="37" t="s">
        <v>63</v>
      </c>
      <c r="Q2969" s="37" t="s">
        <v>63</v>
      </c>
      <c r="R2969" s="37">
        <v>38.0</v>
      </c>
      <c r="S2969" s="37" t="s">
        <v>63</v>
      </c>
      <c r="T2969" s="69">
        <v>0.273</v>
      </c>
      <c r="U2969" s="37" t="s">
        <v>63</v>
      </c>
      <c r="V2969" s="37" t="s">
        <v>63</v>
      </c>
      <c r="W2969" s="37" t="s">
        <v>63</v>
      </c>
      <c r="X2969" s="37" t="s">
        <v>63</v>
      </c>
      <c r="Y2969" s="53">
        <v>190.0</v>
      </c>
      <c r="Z2969" s="69" t="s">
        <v>63</v>
      </c>
      <c r="AA2969" s="73"/>
      <c r="AB2969" s="73"/>
      <c r="AC2969" s="73"/>
      <c r="AD2969" s="73"/>
      <c r="AE2969" s="73"/>
      <c r="AF2969" s="73"/>
      <c r="AG2969" s="73"/>
      <c r="AH2969" s="73"/>
      <c r="AI2969" s="73"/>
      <c r="AJ2969" s="73"/>
      <c r="AK2969" s="73"/>
    </row>
    <row r="2970">
      <c r="A2970" s="28">
        <v>2969.0</v>
      </c>
      <c r="B2970" s="29"/>
      <c r="C2970" s="29"/>
      <c r="D2970" s="40">
        <v>1.0</v>
      </c>
      <c r="E2970" s="31">
        <v>51.0</v>
      </c>
      <c r="F2970" s="42">
        <v>570.0</v>
      </c>
      <c r="G2970" s="29" t="str">
        <f t="shared" si="1"/>
        <v>51570</v>
      </c>
      <c r="H2970" s="37" t="s">
        <v>2274</v>
      </c>
      <c r="I2970" s="37" t="s">
        <v>117</v>
      </c>
      <c r="J2970" s="37" t="s">
        <v>375</v>
      </c>
      <c r="K2970" s="136" t="str">
        <f t="shared" si="47"/>
        <v>Colonial Heights City, VA</v>
      </c>
      <c r="L2970" s="37">
        <v>14.0</v>
      </c>
      <c r="M2970" s="37" t="s">
        <v>63</v>
      </c>
      <c r="N2970" s="37" t="s">
        <v>63</v>
      </c>
      <c r="O2970" s="37" t="s">
        <v>63</v>
      </c>
      <c r="P2970" s="37" t="s">
        <v>63</v>
      </c>
      <c r="Q2970" s="37" t="s">
        <v>63</v>
      </c>
      <c r="R2970" s="37">
        <v>14.0</v>
      </c>
      <c r="S2970" s="37" t="s">
        <v>63</v>
      </c>
      <c r="T2970" s="69">
        <v>0.0</v>
      </c>
      <c r="U2970" s="37" t="s">
        <v>63</v>
      </c>
      <c r="V2970" s="37" t="s">
        <v>63</v>
      </c>
      <c r="W2970" s="37" t="s">
        <v>63</v>
      </c>
      <c r="X2970" s="37" t="s">
        <v>63</v>
      </c>
      <c r="Y2970" s="53">
        <v>17.0</v>
      </c>
      <c r="Z2970" s="69" t="s">
        <v>63</v>
      </c>
      <c r="AA2970" s="73"/>
      <c r="AB2970" s="73"/>
      <c r="AC2970" s="73"/>
      <c r="AD2970" s="73"/>
      <c r="AE2970" s="73"/>
      <c r="AF2970" s="73"/>
      <c r="AG2970" s="73"/>
      <c r="AH2970" s="73"/>
      <c r="AI2970" s="73"/>
      <c r="AJ2970" s="73"/>
      <c r="AK2970" s="73"/>
    </row>
    <row r="2971">
      <c r="A2971" s="28">
        <v>2970.0</v>
      </c>
      <c r="B2971" s="29"/>
      <c r="C2971" s="29"/>
      <c r="D2971" s="40">
        <v>1.0</v>
      </c>
      <c r="E2971" s="31">
        <v>51.0</v>
      </c>
      <c r="F2971" s="42">
        <v>580.0</v>
      </c>
      <c r="G2971" s="29" t="str">
        <f t="shared" si="1"/>
        <v>51580</v>
      </c>
      <c r="H2971" s="37" t="s">
        <v>2275</v>
      </c>
      <c r="I2971" s="37" t="s">
        <v>117</v>
      </c>
      <c r="J2971" s="37" t="s">
        <v>375</v>
      </c>
      <c r="K2971" s="136" t="str">
        <f t="shared" si="47"/>
        <v>Covington City, VA</v>
      </c>
      <c r="L2971" s="37">
        <v>0.0</v>
      </c>
      <c r="M2971" s="37" t="s">
        <v>63</v>
      </c>
      <c r="N2971" s="37" t="s">
        <v>63</v>
      </c>
      <c r="O2971" s="37" t="s">
        <v>63</v>
      </c>
      <c r="P2971" s="37" t="s">
        <v>63</v>
      </c>
      <c r="Q2971" s="37" t="s">
        <v>63</v>
      </c>
      <c r="R2971" s="37">
        <v>0.0</v>
      </c>
      <c r="S2971" s="37" t="s">
        <v>63</v>
      </c>
      <c r="T2971" s="69">
        <v>0.0</v>
      </c>
      <c r="U2971" s="37" t="s">
        <v>63</v>
      </c>
      <c r="V2971" s="37" t="s">
        <v>63</v>
      </c>
      <c r="W2971" s="37" t="s">
        <v>63</v>
      </c>
      <c r="X2971" s="37" t="s">
        <v>63</v>
      </c>
      <c r="Y2971" s="53">
        <v>28.0</v>
      </c>
      <c r="Z2971" s="69" t="s">
        <v>63</v>
      </c>
      <c r="AA2971" s="73"/>
      <c r="AB2971" s="73"/>
      <c r="AC2971" s="73"/>
      <c r="AD2971" s="73"/>
      <c r="AE2971" s="73"/>
      <c r="AF2971" s="73"/>
      <c r="AG2971" s="73"/>
      <c r="AH2971" s="73"/>
      <c r="AI2971" s="73"/>
      <c r="AJ2971" s="73"/>
      <c r="AK2971" s="73"/>
    </row>
    <row r="2972">
      <c r="A2972" s="28">
        <v>2971.0</v>
      </c>
      <c r="B2972" s="29"/>
      <c r="C2972" s="29"/>
      <c r="D2972" s="40">
        <v>1.0</v>
      </c>
      <c r="E2972" s="31">
        <v>51.0</v>
      </c>
      <c r="F2972" s="42">
        <v>590.0</v>
      </c>
      <c r="G2972" s="29" t="str">
        <f t="shared" si="1"/>
        <v>51590</v>
      </c>
      <c r="H2972" s="37" t="s">
        <v>2276</v>
      </c>
      <c r="I2972" s="37" t="s">
        <v>117</v>
      </c>
      <c r="J2972" s="37" t="s">
        <v>375</v>
      </c>
      <c r="K2972" s="37" t="str">
        <f t="shared" si="47"/>
        <v>Danville City, VA</v>
      </c>
      <c r="L2972" s="37">
        <v>39.0</v>
      </c>
      <c r="M2972" s="37" t="s">
        <v>63</v>
      </c>
      <c r="N2972" s="37">
        <v>24.0</v>
      </c>
      <c r="O2972" s="37">
        <v>1.0</v>
      </c>
      <c r="P2972" s="37" t="s">
        <v>63</v>
      </c>
      <c r="Q2972" s="37" t="s">
        <v>63</v>
      </c>
      <c r="R2972" s="37">
        <v>12.0</v>
      </c>
      <c r="S2972" s="37" t="s">
        <v>63</v>
      </c>
      <c r="T2972" s="69">
        <v>0.412</v>
      </c>
      <c r="U2972" s="37" t="s">
        <v>63</v>
      </c>
      <c r="V2972" s="37" t="s">
        <v>63</v>
      </c>
      <c r="W2972" s="37" t="s">
        <v>63</v>
      </c>
      <c r="X2972" s="37" t="s">
        <v>63</v>
      </c>
      <c r="Y2972" s="53">
        <v>94.0</v>
      </c>
      <c r="Z2972" s="69" t="s">
        <v>63</v>
      </c>
      <c r="AA2972" s="73"/>
      <c r="AB2972" s="73"/>
      <c r="AC2972" s="73"/>
      <c r="AD2972" s="73"/>
      <c r="AE2972" s="73"/>
      <c r="AF2972" s="73"/>
      <c r="AG2972" s="73"/>
      <c r="AH2972" s="73"/>
      <c r="AI2972" s="73"/>
      <c r="AJ2972" s="73"/>
      <c r="AK2972" s="73"/>
    </row>
    <row r="2973">
      <c r="A2973" s="28">
        <v>2972.0</v>
      </c>
      <c r="B2973" s="29"/>
      <c r="C2973" s="29"/>
      <c r="D2973" s="40">
        <v>1.0</v>
      </c>
      <c r="E2973" s="31">
        <v>51.0</v>
      </c>
      <c r="F2973" s="42">
        <v>595.0</v>
      </c>
      <c r="G2973" s="29" t="str">
        <f t="shared" si="1"/>
        <v>51595</v>
      </c>
      <c r="H2973" s="37" t="s">
        <v>2277</v>
      </c>
      <c r="I2973" s="37" t="s">
        <v>117</v>
      </c>
      <c r="J2973" s="37" t="s">
        <v>375</v>
      </c>
      <c r="K2973" s="136" t="str">
        <f t="shared" si="47"/>
        <v>Emporia City, VA</v>
      </c>
      <c r="L2973" s="37">
        <v>0.0</v>
      </c>
      <c r="M2973" s="37" t="s">
        <v>63</v>
      </c>
      <c r="N2973" s="37" t="s">
        <v>63</v>
      </c>
      <c r="O2973" s="37" t="s">
        <v>63</v>
      </c>
      <c r="P2973" s="37" t="s">
        <v>63</v>
      </c>
      <c r="Q2973" s="37" t="s">
        <v>63</v>
      </c>
      <c r="R2973" s="37">
        <v>0.0</v>
      </c>
      <c r="S2973" s="37" t="s">
        <v>63</v>
      </c>
      <c r="T2973" s="69">
        <v>0.0</v>
      </c>
      <c r="U2973" s="37" t="s">
        <v>63</v>
      </c>
      <c r="V2973" s="37" t="s">
        <v>63</v>
      </c>
      <c r="W2973" s="37" t="s">
        <v>63</v>
      </c>
      <c r="X2973" s="37" t="s">
        <v>63</v>
      </c>
      <c r="Y2973" s="53">
        <v>16.0</v>
      </c>
      <c r="Z2973" s="69" t="s">
        <v>63</v>
      </c>
      <c r="AA2973" s="73"/>
      <c r="AB2973" s="73"/>
      <c r="AC2973" s="73"/>
      <c r="AD2973" s="73"/>
      <c r="AE2973" s="73"/>
      <c r="AF2973" s="73"/>
      <c r="AG2973" s="73"/>
      <c r="AH2973" s="73"/>
      <c r="AI2973" s="73"/>
      <c r="AJ2973" s="73"/>
      <c r="AK2973" s="73"/>
    </row>
    <row r="2974">
      <c r="A2974" s="28">
        <v>2973.0</v>
      </c>
      <c r="B2974" s="29"/>
      <c r="C2974" s="29"/>
      <c r="D2974" s="40">
        <v>1.0</v>
      </c>
      <c r="E2974" s="31">
        <v>51.0</v>
      </c>
      <c r="F2974" s="42">
        <v>600.0</v>
      </c>
      <c r="G2974" s="29" t="str">
        <f t="shared" si="1"/>
        <v>51600</v>
      </c>
      <c r="H2974" s="37" t="s">
        <v>2279</v>
      </c>
      <c r="I2974" s="37" t="s">
        <v>117</v>
      </c>
      <c r="J2974" s="37" t="s">
        <v>375</v>
      </c>
      <c r="K2974" s="37" t="str">
        <f t="shared" si="47"/>
        <v>Fairfax City, VA</v>
      </c>
      <c r="L2974" s="37">
        <v>0.0</v>
      </c>
      <c r="M2974" s="37" t="s">
        <v>63</v>
      </c>
      <c r="N2974" s="37" t="s">
        <v>63</v>
      </c>
      <c r="O2974" s="37" t="s">
        <v>63</v>
      </c>
      <c r="P2974" s="37" t="s">
        <v>63</v>
      </c>
      <c r="Q2974" s="37" t="s">
        <v>63</v>
      </c>
      <c r="R2974" s="37">
        <v>0.0</v>
      </c>
      <c r="S2974" s="37" t="s">
        <v>63</v>
      </c>
      <c r="T2974" s="69">
        <v>0.0</v>
      </c>
      <c r="U2974" s="37" t="s">
        <v>63</v>
      </c>
      <c r="V2974" s="37" t="s">
        <v>63</v>
      </c>
      <c r="W2974" s="37" t="s">
        <v>63</v>
      </c>
      <c r="X2974" s="37" t="s">
        <v>63</v>
      </c>
      <c r="Y2974" s="53">
        <v>22.0</v>
      </c>
      <c r="Z2974" s="69" t="s">
        <v>63</v>
      </c>
      <c r="AA2974" s="73"/>
      <c r="AB2974" s="73"/>
      <c r="AC2974" s="73"/>
      <c r="AD2974" s="73"/>
      <c r="AE2974" s="73"/>
      <c r="AF2974" s="73"/>
      <c r="AG2974" s="73"/>
      <c r="AH2974" s="73"/>
      <c r="AI2974" s="73"/>
      <c r="AJ2974" s="73"/>
      <c r="AK2974" s="73"/>
    </row>
    <row r="2975">
      <c r="A2975" s="28">
        <v>2974.0</v>
      </c>
      <c r="B2975" s="29"/>
      <c r="C2975" s="29"/>
      <c r="D2975" s="40">
        <v>1.0</v>
      </c>
      <c r="E2975" s="31">
        <v>51.0</v>
      </c>
      <c r="F2975" s="42">
        <v>610.0</v>
      </c>
      <c r="G2975" s="29" t="str">
        <f t="shared" si="1"/>
        <v>51610</v>
      </c>
      <c r="H2975" s="37" t="s">
        <v>2280</v>
      </c>
      <c r="I2975" s="37" t="s">
        <v>117</v>
      </c>
      <c r="J2975" s="37" t="s">
        <v>375</v>
      </c>
      <c r="K2975" s="136" t="str">
        <f t="shared" si="47"/>
        <v>Falls Church City, VA</v>
      </c>
      <c r="L2975" s="37">
        <v>0.0</v>
      </c>
      <c r="M2975" s="37" t="s">
        <v>63</v>
      </c>
      <c r="N2975" s="37" t="s">
        <v>63</v>
      </c>
      <c r="O2975" s="37" t="s">
        <v>63</v>
      </c>
      <c r="P2975" s="37" t="s">
        <v>63</v>
      </c>
      <c r="Q2975" s="37" t="s">
        <v>63</v>
      </c>
      <c r="R2975" s="37">
        <v>0.0</v>
      </c>
      <c r="S2975" s="37" t="s">
        <v>63</v>
      </c>
      <c r="T2975" s="69">
        <v>0.0</v>
      </c>
      <c r="U2975" s="37" t="s">
        <v>63</v>
      </c>
      <c r="V2975" s="37" t="s">
        <v>63</v>
      </c>
      <c r="W2975" s="37" t="s">
        <v>63</v>
      </c>
      <c r="X2975" s="37" t="s">
        <v>63</v>
      </c>
      <c r="Y2975" s="53">
        <v>11.0</v>
      </c>
      <c r="Z2975" s="69" t="s">
        <v>63</v>
      </c>
      <c r="AA2975" s="73"/>
      <c r="AB2975" s="73"/>
      <c r="AC2975" s="73"/>
      <c r="AD2975" s="73"/>
      <c r="AE2975" s="73"/>
      <c r="AF2975" s="73"/>
      <c r="AG2975" s="73"/>
      <c r="AH2975" s="73"/>
      <c r="AI2975" s="73"/>
      <c r="AJ2975" s="73"/>
      <c r="AK2975" s="73"/>
    </row>
    <row r="2976">
      <c r="A2976" s="28">
        <v>2975.0</v>
      </c>
      <c r="B2976" s="29"/>
      <c r="C2976" s="29"/>
      <c r="D2976" s="40">
        <v>1.0</v>
      </c>
      <c r="E2976" s="31">
        <v>51.0</v>
      </c>
      <c r="F2976" s="42">
        <v>620.0</v>
      </c>
      <c r="G2976" s="29" t="str">
        <f t="shared" si="1"/>
        <v>51620</v>
      </c>
      <c r="H2976" s="37" t="s">
        <v>2281</v>
      </c>
      <c r="I2976" s="37" t="s">
        <v>117</v>
      </c>
      <c r="J2976" s="37" t="s">
        <v>375</v>
      </c>
      <c r="K2976" s="37" t="str">
        <f t="shared" si="47"/>
        <v>Franklin City, VA</v>
      </c>
      <c r="L2976" s="37">
        <v>18.0</v>
      </c>
      <c r="M2976" s="37" t="s">
        <v>63</v>
      </c>
      <c r="N2976" s="37">
        <v>11.0</v>
      </c>
      <c r="O2976" s="37" t="s">
        <v>63</v>
      </c>
      <c r="P2976" s="37" t="s">
        <v>63</v>
      </c>
      <c r="Q2976" s="37" t="s">
        <v>63</v>
      </c>
      <c r="R2976" s="37">
        <v>4.0</v>
      </c>
      <c r="S2976" s="37" t="s">
        <v>63</v>
      </c>
      <c r="T2976" s="69">
        <v>0.5</v>
      </c>
      <c r="U2976" s="37" t="s">
        <v>63</v>
      </c>
      <c r="V2976" s="37" t="s">
        <v>63</v>
      </c>
      <c r="W2976" s="37" t="s">
        <v>63</v>
      </c>
      <c r="X2976" s="37" t="s">
        <v>63</v>
      </c>
      <c r="Y2976" s="53">
        <v>18.0</v>
      </c>
      <c r="Z2976" s="69" t="s">
        <v>63</v>
      </c>
      <c r="AA2976" s="73"/>
      <c r="AB2976" s="73"/>
      <c r="AC2976" s="73"/>
      <c r="AD2976" s="73"/>
      <c r="AE2976" s="73"/>
      <c r="AF2976" s="73"/>
      <c r="AG2976" s="73"/>
      <c r="AH2976" s="73"/>
      <c r="AI2976" s="73"/>
      <c r="AJ2976" s="73"/>
      <c r="AK2976" s="73"/>
    </row>
    <row r="2977">
      <c r="A2977" s="28">
        <v>2976.0</v>
      </c>
      <c r="B2977" s="29"/>
      <c r="C2977" s="29"/>
      <c r="D2977" s="40">
        <v>1.0</v>
      </c>
      <c r="E2977" s="31">
        <v>51.0</v>
      </c>
      <c r="F2977" s="42">
        <v>630.0</v>
      </c>
      <c r="G2977" s="29" t="str">
        <f t="shared" si="1"/>
        <v>51630</v>
      </c>
      <c r="H2977" s="37" t="s">
        <v>2282</v>
      </c>
      <c r="I2977" s="37" t="s">
        <v>117</v>
      </c>
      <c r="J2977" s="37" t="s">
        <v>375</v>
      </c>
      <c r="K2977" s="136" t="str">
        <f t="shared" si="47"/>
        <v>Fredericksburg City, VA</v>
      </c>
      <c r="L2977" s="37">
        <v>52.0</v>
      </c>
      <c r="M2977" s="37" t="s">
        <v>63</v>
      </c>
      <c r="N2977" s="37">
        <v>29.0</v>
      </c>
      <c r="O2977" s="37">
        <v>5.0</v>
      </c>
      <c r="P2977" s="37" t="s">
        <v>63</v>
      </c>
      <c r="Q2977" s="37" t="s">
        <v>63</v>
      </c>
      <c r="R2977" s="37">
        <v>14.0</v>
      </c>
      <c r="S2977" s="37" t="s">
        <v>63</v>
      </c>
      <c r="T2977" s="69">
        <v>0.25</v>
      </c>
      <c r="U2977" s="37" t="s">
        <v>63</v>
      </c>
      <c r="V2977" s="37" t="s">
        <v>63</v>
      </c>
      <c r="W2977" s="37" t="s">
        <v>63</v>
      </c>
      <c r="X2977" s="37" t="s">
        <v>63</v>
      </c>
      <c r="Y2977" s="53">
        <v>32.0</v>
      </c>
      <c r="Z2977" s="69" t="s">
        <v>63</v>
      </c>
      <c r="AA2977" s="73"/>
      <c r="AB2977" s="73"/>
      <c r="AC2977" s="73"/>
      <c r="AD2977" s="73"/>
      <c r="AE2977" s="73"/>
      <c r="AF2977" s="73"/>
      <c r="AG2977" s="73"/>
      <c r="AH2977" s="73"/>
      <c r="AI2977" s="73"/>
      <c r="AJ2977" s="73"/>
      <c r="AK2977" s="73"/>
    </row>
    <row r="2978">
      <c r="A2978" s="28">
        <v>2977.0</v>
      </c>
      <c r="B2978" s="29"/>
      <c r="C2978" s="29"/>
      <c r="D2978" s="40">
        <v>1.0</v>
      </c>
      <c r="E2978" s="31">
        <v>51.0</v>
      </c>
      <c r="F2978" s="42">
        <v>640.0</v>
      </c>
      <c r="G2978" s="29" t="str">
        <f t="shared" si="1"/>
        <v>51640</v>
      </c>
      <c r="H2978" s="37" t="s">
        <v>2283</v>
      </c>
      <c r="I2978" s="37" t="s">
        <v>117</v>
      </c>
      <c r="J2978" s="37" t="s">
        <v>375</v>
      </c>
      <c r="K2978" s="37" t="str">
        <f t="shared" si="47"/>
        <v>Galax City, VA</v>
      </c>
      <c r="L2978" s="37">
        <v>30.0</v>
      </c>
      <c r="M2978" s="37" t="s">
        <v>63</v>
      </c>
      <c r="N2978" s="37">
        <v>15.0</v>
      </c>
      <c r="O2978" s="37">
        <v>6.0</v>
      </c>
      <c r="P2978" s="37" t="s">
        <v>63</v>
      </c>
      <c r="Q2978" s="37" t="s">
        <v>63</v>
      </c>
      <c r="R2978" s="37">
        <v>12.0</v>
      </c>
      <c r="S2978" s="37" t="s">
        <v>63</v>
      </c>
      <c r="T2978" s="69">
        <v>0.125</v>
      </c>
      <c r="U2978" s="37" t="s">
        <v>63</v>
      </c>
      <c r="V2978" s="37" t="s">
        <v>63</v>
      </c>
      <c r="W2978" s="37" t="s">
        <v>63</v>
      </c>
      <c r="X2978" s="37" t="s">
        <v>63</v>
      </c>
      <c r="Y2978" s="53">
        <v>13.0</v>
      </c>
      <c r="Z2978" s="69" t="s">
        <v>63</v>
      </c>
      <c r="AA2978" s="73"/>
      <c r="AB2978" s="73"/>
      <c r="AC2978" s="73"/>
      <c r="AD2978" s="73"/>
      <c r="AE2978" s="73"/>
      <c r="AF2978" s="73"/>
      <c r="AG2978" s="73"/>
      <c r="AH2978" s="73"/>
      <c r="AI2978" s="73"/>
      <c r="AJ2978" s="73"/>
      <c r="AK2978" s="73"/>
    </row>
    <row r="2979">
      <c r="A2979" s="28">
        <v>2978.0</v>
      </c>
      <c r="B2979" s="29"/>
      <c r="C2979" s="29"/>
      <c r="D2979" s="40">
        <v>1.0</v>
      </c>
      <c r="E2979" s="31">
        <v>51.0</v>
      </c>
      <c r="F2979" s="42">
        <v>650.0</v>
      </c>
      <c r="G2979" s="29" t="str">
        <f t="shared" si="1"/>
        <v>51650</v>
      </c>
      <c r="H2979" s="37" t="s">
        <v>2284</v>
      </c>
      <c r="I2979" s="37" t="s">
        <v>117</v>
      </c>
      <c r="J2979" s="37" t="s">
        <v>375</v>
      </c>
      <c r="K2979" s="136" t="str">
        <f t="shared" si="47"/>
        <v>Hampton City, VA</v>
      </c>
      <c r="L2979" s="37">
        <v>86.0</v>
      </c>
      <c r="M2979" s="37" t="s">
        <v>63</v>
      </c>
      <c r="N2979" s="37">
        <v>68.0</v>
      </c>
      <c r="O2979" s="37">
        <v>14.0</v>
      </c>
      <c r="P2979" s="37" t="s">
        <v>63</v>
      </c>
      <c r="Q2979" s="37" t="s">
        <v>63</v>
      </c>
      <c r="R2979" s="37">
        <v>20.0</v>
      </c>
      <c r="S2979" s="37" t="s">
        <v>63</v>
      </c>
      <c r="T2979" s="69">
        <v>0.552</v>
      </c>
      <c r="U2979" s="37" t="s">
        <v>63</v>
      </c>
      <c r="V2979" s="37" t="s">
        <v>63</v>
      </c>
      <c r="W2979" s="37" t="s">
        <v>63</v>
      </c>
      <c r="X2979" s="37" t="s">
        <v>63</v>
      </c>
      <c r="Y2979" s="53">
        <v>115.0</v>
      </c>
      <c r="Z2979" s="69" t="s">
        <v>63</v>
      </c>
      <c r="AA2979" s="73"/>
      <c r="AB2979" s="73"/>
      <c r="AC2979" s="73"/>
      <c r="AD2979" s="73"/>
      <c r="AE2979" s="73"/>
      <c r="AF2979" s="73"/>
      <c r="AG2979" s="73"/>
      <c r="AH2979" s="73"/>
      <c r="AI2979" s="73"/>
      <c r="AJ2979" s="73"/>
      <c r="AK2979" s="73"/>
    </row>
    <row r="2980">
      <c r="A2980" s="28">
        <v>2979.0</v>
      </c>
      <c r="B2980" s="29"/>
      <c r="C2980" s="29"/>
      <c r="D2980" s="40">
        <v>1.0</v>
      </c>
      <c r="E2980" s="31">
        <v>51.0</v>
      </c>
      <c r="F2980" s="42">
        <v>660.0</v>
      </c>
      <c r="G2980" s="29" t="str">
        <f t="shared" si="1"/>
        <v>51660</v>
      </c>
      <c r="H2980" s="37" t="s">
        <v>2285</v>
      </c>
      <c r="I2980" s="37" t="s">
        <v>117</v>
      </c>
      <c r="J2980" s="37" t="s">
        <v>375</v>
      </c>
      <c r="K2980" s="136" t="str">
        <f t="shared" si="47"/>
        <v>Harrisonburg City, VA</v>
      </c>
      <c r="L2980" s="37">
        <v>0.0</v>
      </c>
      <c r="M2980" s="37" t="s">
        <v>63</v>
      </c>
      <c r="N2980" s="37" t="s">
        <v>63</v>
      </c>
      <c r="O2980" s="37" t="s">
        <v>63</v>
      </c>
      <c r="P2980" s="37" t="s">
        <v>63</v>
      </c>
      <c r="Q2980" s="37" t="s">
        <v>63</v>
      </c>
      <c r="R2980" s="37">
        <v>0.0</v>
      </c>
      <c r="S2980" s="37" t="s">
        <v>63</v>
      </c>
      <c r="T2980" s="69">
        <v>0.0</v>
      </c>
      <c r="U2980" s="37" t="s">
        <v>63</v>
      </c>
      <c r="V2980" s="37" t="s">
        <v>63</v>
      </c>
      <c r="W2980" s="37" t="s">
        <v>63</v>
      </c>
      <c r="X2980" s="37" t="s">
        <v>63</v>
      </c>
      <c r="Y2980" s="53">
        <v>54.0</v>
      </c>
      <c r="Z2980" s="69" t="s">
        <v>63</v>
      </c>
      <c r="AA2980" s="73"/>
      <c r="AB2980" s="73"/>
      <c r="AC2980" s="73"/>
      <c r="AD2980" s="73"/>
      <c r="AE2980" s="73"/>
      <c r="AF2980" s="73"/>
      <c r="AG2980" s="73"/>
      <c r="AH2980" s="73"/>
      <c r="AI2980" s="73"/>
      <c r="AJ2980" s="73"/>
      <c r="AK2980" s="73"/>
    </row>
    <row r="2981">
      <c r="A2981" s="28">
        <v>2980.0</v>
      </c>
      <c r="B2981" s="29"/>
      <c r="C2981" s="29"/>
      <c r="D2981" s="40">
        <v>1.0</v>
      </c>
      <c r="E2981" s="31">
        <v>51.0</v>
      </c>
      <c r="F2981" s="42">
        <v>670.0</v>
      </c>
      <c r="G2981" s="29" t="str">
        <f t="shared" si="1"/>
        <v>51670</v>
      </c>
      <c r="H2981" s="37" t="s">
        <v>2286</v>
      </c>
      <c r="I2981" s="37" t="s">
        <v>117</v>
      </c>
      <c r="J2981" s="37" t="s">
        <v>375</v>
      </c>
      <c r="K2981" s="136" t="str">
        <f t="shared" si="47"/>
        <v>Hopewell City, VA</v>
      </c>
      <c r="L2981" s="37">
        <v>41.0</v>
      </c>
      <c r="M2981" s="37" t="s">
        <v>63</v>
      </c>
      <c r="N2981" s="37">
        <v>21.0</v>
      </c>
      <c r="O2981" s="37">
        <v>8.0</v>
      </c>
      <c r="P2981" s="37" t="s">
        <v>63</v>
      </c>
      <c r="Q2981" s="37" t="s">
        <v>63</v>
      </c>
      <c r="R2981" s="37">
        <v>16.0</v>
      </c>
      <c r="S2981" s="37" t="s">
        <v>63</v>
      </c>
      <c r="T2981" s="69">
        <v>0.0</v>
      </c>
      <c r="U2981" s="37" t="s">
        <v>63</v>
      </c>
      <c r="V2981" s="37" t="s">
        <v>63</v>
      </c>
      <c r="W2981" s="37" t="s">
        <v>63</v>
      </c>
      <c r="X2981" s="37" t="s">
        <v>63</v>
      </c>
      <c r="Y2981" s="53">
        <v>32.0</v>
      </c>
      <c r="Z2981" s="69" t="s">
        <v>63</v>
      </c>
      <c r="AA2981" s="73"/>
      <c r="AB2981" s="73"/>
      <c r="AC2981" s="73"/>
      <c r="AD2981" s="73"/>
      <c r="AE2981" s="73"/>
      <c r="AF2981" s="73"/>
      <c r="AG2981" s="73"/>
      <c r="AH2981" s="73"/>
      <c r="AI2981" s="73"/>
      <c r="AJ2981" s="73"/>
      <c r="AK2981" s="73"/>
    </row>
    <row r="2982">
      <c r="A2982" s="28">
        <v>2981.0</v>
      </c>
      <c r="B2982" s="29"/>
      <c r="C2982" s="29"/>
      <c r="D2982" s="40">
        <v>1.0</v>
      </c>
      <c r="E2982" s="31">
        <v>51.0</v>
      </c>
      <c r="F2982" s="42">
        <v>678.0</v>
      </c>
      <c r="G2982" s="29" t="str">
        <f t="shared" si="1"/>
        <v>51678</v>
      </c>
      <c r="H2982" s="37" t="s">
        <v>2287</v>
      </c>
      <c r="I2982" s="37" t="s">
        <v>117</v>
      </c>
      <c r="J2982" s="37" t="s">
        <v>375</v>
      </c>
      <c r="K2982" s="136" t="str">
        <f t="shared" si="47"/>
        <v>Lexington City, VA</v>
      </c>
      <c r="L2982" s="37">
        <v>2.0</v>
      </c>
      <c r="M2982" s="37" t="s">
        <v>63</v>
      </c>
      <c r="N2982" s="37" t="s">
        <v>63</v>
      </c>
      <c r="O2982" s="37" t="s">
        <v>63</v>
      </c>
      <c r="P2982" s="37" t="s">
        <v>63</v>
      </c>
      <c r="Q2982" s="37" t="s">
        <v>63</v>
      </c>
      <c r="R2982" s="37">
        <v>0.0</v>
      </c>
      <c r="S2982" s="37" t="s">
        <v>63</v>
      </c>
      <c r="T2982" s="69">
        <v>0.0</v>
      </c>
      <c r="U2982" s="37" t="s">
        <v>63</v>
      </c>
      <c r="V2982" s="37" t="s">
        <v>63</v>
      </c>
      <c r="W2982" s="37" t="s">
        <v>63</v>
      </c>
      <c r="X2982" s="37" t="s">
        <v>63</v>
      </c>
      <c r="Y2982" s="53">
        <v>15.0</v>
      </c>
      <c r="Z2982" s="69" t="s">
        <v>63</v>
      </c>
      <c r="AA2982" s="73"/>
      <c r="AB2982" s="73"/>
      <c r="AC2982" s="73"/>
      <c r="AD2982" s="73"/>
      <c r="AE2982" s="73"/>
      <c r="AF2982" s="73"/>
      <c r="AG2982" s="73"/>
      <c r="AH2982" s="73"/>
      <c r="AI2982" s="73"/>
      <c r="AJ2982" s="73"/>
      <c r="AK2982" s="73"/>
    </row>
    <row r="2983">
      <c r="A2983" s="28">
        <v>2982.0</v>
      </c>
      <c r="B2983" s="29"/>
      <c r="C2983" s="29"/>
      <c r="D2983" s="40">
        <v>1.0</v>
      </c>
      <c r="E2983" s="31">
        <v>51.0</v>
      </c>
      <c r="F2983" s="42">
        <v>680.0</v>
      </c>
      <c r="G2983" s="29" t="str">
        <f t="shared" si="1"/>
        <v>51680</v>
      </c>
      <c r="H2983" s="37" t="s">
        <v>2288</v>
      </c>
      <c r="I2983" s="37" t="s">
        <v>117</v>
      </c>
      <c r="J2983" s="37" t="s">
        <v>375</v>
      </c>
      <c r="K2983" s="136" t="str">
        <f t="shared" si="47"/>
        <v>Lynchburg City, VA</v>
      </c>
      <c r="L2983" s="37">
        <v>186.0</v>
      </c>
      <c r="M2983" s="37" t="s">
        <v>63</v>
      </c>
      <c r="N2983" s="37">
        <v>91.0</v>
      </c>
      <c r="O2983" s="37">
        <v>42.0</v>
      </c>
      <c r="P2983" s="37" t="s">
        <v>63</v>
      </c>
      <c r="Q2983" s="37" t="s">
        <v>63</v>
      </c>
      <c r="R2983" s="37">
        <v>85.0</v>
      </c>
      <c r="S2983" s="37" t="s">
        <v>63</v>
      </c>
      <c r="T2983" s="69">
        <v>0.276</v>
      </c>
      <c r="U2983" s="37" t="s">
        <v>63</v>
      </c>
      <c r="V2983" s="37" t="s">
        <v>63</v>
      </c>
      <c r="W2983" s="37" t="s">
        <v>63</v>
      </c>
      <c r="X2983" s="37" t="s">
        <v>63</v>
      </c>
      <c r="Y2983" s="53">
        <v>95.0</v>
      </c>
      <c r="Z2983" s="69" t="s">
        <v>63</v>
      </c>
      <c r="AA2983" s="73"/>
      <c r="AB2983" s="73"/>
      <c r="AC2983" s="73"/>
      <c r="AD2983" s="73"/>
      <c r="AE2983" s="73"/>
      <c r="AF2983" s="73"/>
      <c r="AG2983" s="73"/>
      <c r="AH2983" s="73"/>
      <c r="AI2983" s="73"/>
      <c r="AJ2983" s="73"/>
      <c r="AK2983" s="73"/>
    </row>
    <row r="2984">
      <c r="A2984" s="28">
        <v>2983.0</v>
      </c>
      <c r="B2984" s="29"/>
      <c r="C2984" s="29"/>
      <c r="D2984" s="40">
        <v>1.0</v>
      </c>
      <c r="E2984" s="31">
        <v>51.0</v>
      </c>
      <c r="F2984" s="42">
        <v>683.0</v>
      </c>
      <c r="G2984" s="29" t="str">
        <f t="shared" si="1"/>
        <v>51683</v>
      </c>
      <c r="H2984" s="37" t="s">
        <v>2289</v>
      </c>
      <c r="I2984" s="37" t="s">
        <v>117</v>
      </c>
      <c r="J2984" s="37" t="s">
        <v>375</v>
      </c>
      <c r="K2984" s="136" t="str">
        <f t="shared" si="47"/>
        <v>Manassas City, VA</v>
      </c>
      <c r="L2984" s="37">
        <v>14.0</v>
      </c>
      <c r="M2984" s="37" t="s">
        <v>63</v>
      </c>
      <c r="N2984" s="37">
        <v>10.0</v>
      </c>
      <c r="O2984" s="37">
        <v>3.0</v>
      </c>
      <c r="P2984" s="37" t="s">
        <v>63</v>
      </c>
      <c r="Q2984" s="37" t="s">
        <v>63</v>
      </c>
      <c r="R2984" s="37">
        <v>6.0</v>
      </c>
      <c r="S2984" s="37" t="s">
        <v>63</v>
      </c>
      <c r="T2984" s="69">
        <v>0.75</v>
      </c>
      <c r="U2984" s="37" t="s">
        <v>63</v>
      </c>
      <c r="V2984" s="37" t="s">
        <v>63</v>
      </c>
      <c r="W2984" s="37" t="s">
        <v>63</v>
      </c>
      <c r="X2984" s="37" t="s">
        <v>63</v>
      </c>
      <c r="Y2984" s="53">
        <v>22.0</v>
      </c>
      <c r="Z2984" s="69" t="s">
        <v>63</v>
      </c>
      <c r="AA2984" s="73"/>
      <c r="AB2984" s="73"/>
      <c r="AC2984" s="73"/>
      <c r="AD2984" s="73"/>
      <c r="AE2984" s="73"/>
      <c r="AF2984" s="73"/>
      <c r="AG2984" s="73"/>
      <c r="AH2984" s="73"/>
      <c r="AI2984" s="73"/>
      <c r="AJ2984" s="73"/>
      <c r="AK2984" s="73"/>
    </row>
    <row r="2985">
      <c r="A2985" s="28">
        <v>2984.0</v>
      </c>
      <c r="B2985" s="29"/>
      <c r="C2985" s="29"/>
      <c r="D2985" s="40">
        <v>1.0</v>
      </c>
      <c r="E2985" s="31">
        <v>51.0</v>
      </c>
      <c r="F2985" s="42">
        <v>685.0</v>
      </c>
      <c r="G2985" s="29" t="str">
        <f t="shared" si="1"/>
        <v>51685</v>
      </c>
      <c r="H2985" s="37" t="s">
        <v>2290</v>
      </c>
      <c r="I2985" s="37" t="s">
        <v>117</v>
      </c>
      <c r="J2985" s="37" t="s">
        <v>375</v>
      </c>
      <c r="K2985" s="136" t="str">
        <f t="shared" si="47"/>
        <v>Manassas Park City, VA</v>
      </c>
      <c r="L2985" s="37">
        <v>16.0</v>
      </c>
      <c r="M2985" s="37" t="s">
        <v>63</v>
      </c>
      <c r="N2985" s="37">
        <v>10.0</v>
      </c>
      <c r="O2985" s="37">
        <v>1.0</v>
      </c>
      <c r="P2985" s="37" t="s">
        <v>63</v>
      </c>
      <c r="Q2985" s="37" t="s">
        <v>63</v>
      </c>
      <c r="R2985" s="37">
        <v>10.0</v>
      </c>
      <c r="S2985" s="37" t="s">
        <v>63</v>
      </c>
      <c r="T2985" s="69">
        <v>0.5</v>
      </c>
      <c r="U2985" s="37" t="s">
        <v>63</v>
      </c>
      <c r="V2985" s="37" t="s">
        <v>63</v>
      </c>
      <c r="W2985" s="37" t="s">
        <v>63</v>
      </c>
      <c r="X2985" s="37" t="s">
        <v>63</v>
      </c>
      <c r="Y2985" s="53">
        <v>3.0</v>
      </c>
      <c r="Z2985" s="69" t="s">
        <v>63</v>
      </c>
      <c r="AA2985" s="73"/>
      <c r="AB2985" s="73"/>
      <c r="AC2985" s="73"/>
      <c r="AD2985" s="73"/>
      <c r="AE2985" s="73"/>
      <c r="AF2985" s="73"/>
      <c r="AG2985" s="73"/>
      <c r="AH2985" s="73"/>
      <c r="AI2985" s="73"/>
      <c r="AJ2985" s="73"/>
      <c r="AK2985" s="73"/>
    </row>
    <row r="2986">
      <c r="A2986" s="28">
        <v>2985.0</v>
      </c>
      <c r="B2986" s="29"/>
      <c r="C2986" s="29"/>
      <c r="D2986" s="40">
        <v>1.0</v>
      </c>
      <c r="E2986" s="31">
        <v>51.0</v>
      </c>
      <c r="F2986" s="42">
        <v>690.0</v>
      </c>
      <c r="G2986" s="29" t="str">
        <f t="shared" si="1"/>
        <v>51690</v>
      </c>
      <c r="H2986" s="37" t="s">
        <v>2291</v>
      </c>
      <c r="I2986" s="37" t="s">
        <v>117</v>
      </c>
      <c r="J2986" s="37" t="s">
        <v>375</v>
      </c>
      <c r="K2986" s="136" t="str">
        <f t="shared" si="47"/>
        <v>Martinsville City, VA</v>
      </c>
      <c r="L2986" s="37">
        <v>0.0</v>
      </c>
      <c r="M2986" s="37" t="s">
        <v>63</v>
      </c>
      <c r="N2986" s="37" t="s">
        <v>63</v>
      </c>
      <c r="O2986" s="37" t="s">
        <v>63</v>
      </c>
      <c r="P2986" s="37" t="s">
        <v>63</v>
      </c>
      <c r="Q2986" s="37" t="s">
        <v>63</v>
      </c>
      <c r="R2986" s="37">
        <v>0.0</v>
      </c>
      <c r="S2986" s="37" t="s">
        <v>63</v>
      </c>
      <c r="T2986" s="69">
        <v>0.0</v>
      </c>
      <c r="U2986" s="37" t="s">
        <v>63</v>
      </c>
      <c r="V2986" s="37" t="s">
        <v>63</v>
      </c>
      <c r="W2986" s="37" t="s">
        <v>63</v>
      </c>
      <c r="X2986" s="37" t="s">
        <v>63</v>
      </c>
      <c r="Y2986" s="53">
        <v>33.0</v>
      </c>
      <c r="Z2986" s="69" t="s">
        <v>63</v>
      </c>
      <c r="AA2986" s="73"/>
      <c r="AB2986" s="73"/>
      <c r="AC2986" s="73"/>
      <c r="AD2986" s="73"/>
      <c r="AE2986" s="73"/>
      <c r="AF2986" s="73"/>
      <c r="AG2986" s="73"/>
      <c r="AH2986" s="73"/>
      <c r="AI2986" s="73"/>
      <c r="AJ2986" s="73"/>
      <c r="AK2986" s="73"/>
    </row>
    <row r="2987">
      <c r="A2987" s="28">
        <v>2986.0</v>
      </c>
      <c r="B2987" s="29"/>
      <c r="C2987" s="29"/>
      <c r="D2987" s="40">
        <v>1.0</v>
      </c>
      <c r="E2987" s="31">
        <v>51.0</v>
      </c>
      <c r="F2987" s="42">
        <v>700.0</v>
      </c>
      <c r="G2987" s="29" t="str">
        <f t="shared" si="1"/>
        <v>51700</v>
      </c>
      <c r="H2987" s="37" t="s">
        <v>2292</v>
      </c>
      <c r="I2987" s="37" t="s">
        <v>117</v>
      </c>
      <c r="J2987" s="37" t="s">
        <v>375</v>
      </c>
      <c r="K2987" s="136" t="str">
        <f t="shared" si="47"/>
        <v>Newport News City, VA</v>
      </c>
      <c r="L2987" s="37">
        <v>112.0</v>
      </c>
      <c r="M2987" s="37" t="s">
        <v>63</v>
      </c>
      <c r="N2987" s="37">
        <v>72.0</v>
      </c>
      <c r="O2987" s="37">
        <v>13.0</v>
      </c>
      <c r="P2987" s="37" t="s">
        <v>63</v>
      </c>
      <c r="Q2987" s="37" t="s">
        <v>63</v>
      </c>
      <c r="R2987" s="37">
        <v>35.0</v>
      </c>
      <c r="S2987" s="37" t="s">
        <v>63</v>
      </c>
      <c r="T2987" s="69">
        <v>0.158</v>
      </c>
      <c r="U2987" s="37" t="s">
        <v>63</v>
      </c>
      <c r="V2987" s="37" t="s">
        <v>63</v>
      </c>
      <c r="W2987" s="37" t="s">
        <v>63</v>
      </c>
      <c r="X2987" s="37" t="s">
        <v>63</v>
      </c>
      <c r="Y2987" s="53">
        <v>139.0</v>
      </c>
      <c r="Z2987" s="69" t="s">
        <v>63</v>
      </c>
      <c r="AA2987" s="73"/>
      <c r="AB2987" s="73"/>
      <c r="AC2987" s="73"/>
      <c r="AD2987" s="73"/>
      <c r="AE2987" s="73"/>
      <c r="AF2987" s="73"/>
      <c r="AG2987" s="73"/>
      <c r="AH2987" s="73"/>
      <c r="AI2987" s="73"/>
      <c r="AJ2987" s="73"/>
      <c r="AK2987" s="73"/>
    </row>
    <row r="2988">
      <c r="A2988" s="28">
        <v>2987.0</v>
      </c>
      <c r="B2988" s="29"/>
      <c r="C2988" s="29"/>
      <c r="D2988" s="40">
        <v>1.0</v>
      </c>
      <c r="E2988" s="31">
        <v>51.0</v>
      </c>
      <c r="F2988" s="42">
        <v>710.0</v>
      </c>
      <c r="G2988" s="29" t="str">
        <f t="shared" si="1"/>
        <v>51710</v>
      </c>
      <c r="H2988" s="37" t="s">
        <v>2293</v>
      </c>
      <c r="I2988" s="37" t="s">
        <v>117</v>
      </c>
      <c r="J2988" s="37" t="s">
        <v>375</v>
      </c>
      <c r="K2988" s="37" t="str">
        <f t="shared" si="47"/>
        <v>Norfolk City, VA</v>
      </c>
      <c r="L2988" s="37">
        <v>201.0</v>
      </c>
      <c r="M2988" s="37" t="s">
        <v>63</v>
      </c>
      <c r="N2988" s="37">
        <v>138.0</v>
      </c>
      <c r="O2988" s="37">
        <v>22.0</v>
      </c>
      <c r="P2988" s="37" t="s">
        <v>63</v>
      </c>
      <c r="Q2988" s="37" t="s">
        <v>63</v>
      </c>
      <c r="R2988" s="37">
        <v>37.0</v>
      </c>
      <c r="S2988" s="37" t="s">
        <v>63</v>
      </c>
      <c r="T2988" s="69">
        <v>0.358</v>
      </c>
      <c r="U2988" s="37" t="s">
        <v>63</v>
      </c>
      <c r="V2988" s="37" t="s">
        <v>63</v>
      </c>
      <c r="W2988" s="37" t="s">
        <v>63</v>
      </c>
      <c r="X2988" s="37" t="s">
        <v>63</v>
      </c>
      <c r="Y2988" s="53">
        <v>200.0</v>
      </c>
      <c r="Z2988" s="69" t="s">
        <v>63</v>
      </c>
      <c r="AA2988" s="73"/>
      <c r="AB2988" s="73"/>
      <c r="AC2988" s="73"/>
      <c r="AD2988" s="73"/>
      <c r="AE2988" s="73"/>
      <c r="AF2988" s="73"/>
      <c r="AG2988" s="73"/>
      <c r="AH2988" s="73"/>
      <c r="AI2988" s="73"/>
      <c r="AJ2988" s="73"/>
      <c r="AK2988" s="73"/>
    </row>
    <row r="2989">
      <c r="A2989" s="28">
        <v>2988.0</v>
      </c>
      <c r="B2989" s="29"/>
      <c r="C2989" s="29"/>
      <c r="D2989" s="40">
        <v>1.0</v>
      </c>
      <c r="E2989" s="31">
        <v>51.0</v>
      </c>
      <c r="F2989" s="42">
        <v>720.0</v>
      </c>
      <c r="G2989" s="29" t="str">
        <f t="shared" si="1"/>
        <v>51720</v>
      </c>
      <c r="H2989" s="37" t="s">
        <v>2294</v>
      </c>
      <c r="I2989" s="37" t="s">
        <v>117</v>
      </c>
      <c r="J2989" s="37" t="s">
        <v>375</v>
      </c>
      <c r="K2989" s="37" t="str">
        <f t="shared" si="47"/>
        <v>Norton City, VA</v>
      </c>
      <c r="L2989" s="37">
        <v>11.0</v>
      </c>
      <c r="M2989" s="37" t="s">
        <v>63</v>
      </c>
      <c r="N2989" s="37">
        <v>7.0</v>
      </c>
      <c r="O2989" s="37">
        <v>2.0</v>
      </c>
      <c r="P2989" s="37" t="s">
        <v>63</v>
      </c>
      <c r="Q2989" s="37" t="s">
        <v>63</v>
      </c>
      <c r="R2989" s="37">
        <v>5.0</v>
      </c>
      <c r="S2989" s="37" t="s">
        <v>63</v>
      </c>
      <c r="T2989" s="69">
        <v>0.0</v>
      </c>
      <c r="U2989" s="37" t="s">
        <v>63</v>
      </c>
      <c r="V2989" s="37" t="s">
        <v>63</v>
      </c>
      <c r="W2989" s="37" t="s">
        <v>63</v>
      </c>
      <c r="X2989" s="37" t="s">
        <v>63</v>
      </c>
      <c r="Y2989" s="53">
        <v>7.0</v>
      </c>
      <c r="Z2989" s="69" t="s">
        <v>63</v>
      </c>
      <c r="AA2989" s="73"/>
      <c r="AB2989" s="73"/>
      <c r="AC2989" s="73"/>
      <c r="AD2989" s="73"/>
      <c r="AE2989" s="73"/>
      <c r="AF2989" s="73"/>
      <c r="AG2989" s="73"/>
      <c r="AH2989" s="73"/>
      <c r="AI2989" s="73"/>
      <c r="AJ2989" s="73"/>
      <c r="AK2989" s="73"/>
    </row>
    <row r="2990">
      <c r="A2990" s="28">
        <v>2989.0</v>
      </c>
      <c r="B2990" s="29"/>
      <c r="C2990" s="29"/>
      <c r="D2990" s="40">
        <v>1.0</v>
      </c>
      <c r="E2990" s="31">
        <v>51.0</v>
      </c>
      <c r="F2990" s="42">
        <v>730.0</v>
      </c>
      <c r="G2990" s="29" t="str">
        <f t="shared" si="1"/>
        <v>51730</v>
      </c>
      <c r="H2990" s="37" t="s">
        <v>2295</v>
      </c>
      <c r="I2990" s="37" t="s">
        <v>117</v>
      </c>
      <c r="J2990" s="37" t="s">
        <v>375</v>
      </c>
      <c r="K2990" s="136" t="str">
        <f t="shared" si="47"/>
        <v>Petersburg City, VA</v>
      </c>
      <c r="L2990" s="37">
        <v>18.0</v>
      </c>
      <c r="M2990" s="37" t="s">
        <v>63</v>
      </c>
      <c r="N2990" s="37">
        <v>13.0</v>
      </c>
      <c r="O2990" s="37" t="s">
        <v>63</v>
      </c>
      <c r="P2990" s="37" t="s">
        <v>63</v>
      </c>
      <c r="Q2990" s="37" t="s">
        <v>63</v>
      </c>
      <c r="R2990" s="37">
        <v>6.0</v>
      </c>
      <c r="S2990" s="37" t="s">
        <v>63</v>
      </c>
      <c r="T2990" s="69">
        <v>0.4</v>
      </c>
      <c r="U2990" s="37" t="s">
        <v>63</v>
      </c>
      <c r="V2990" s="37" t="s">
        <v>63</v>
      </c>
      <c r="W2990" s="37" t="s">
        <v>63</v>
      </c>
      <c r="X2990" s="37" t="s">
        <v>63</v>
      </c>
      <c r="Y2990" s="53">
        <v>61.0</v>
      </c>
      <c r="Z2990" s="69" t="s">
        <v>63</v>
      </c>
      <c r="AA2990" s="73"/>
      <c r="AB2990" s="73"/>
      <c r="AC2990" s="73"/>
      <c r="AD2990" s="73"/>
      <c r="AE2990" s="73"/>
      <c r="AF2990" s="73"/>
      <c r="AG2990" s="73"/>
      <c r="AH2990" s="73"/>
      <c r="AI2990" s="73"/>
      <c r="AJ2990" s="73"/>
      <c r="AK2990" s="73"/>
    </row>
    <row r="2991">
      <c r="A2991" s="28">
        <v>2990.0</v>
      </c>
      <c r="B2991" s="29"/>
      <c r="C2991" s="29"/>
      <c r="D2991" s="40">
        <v>1.0</v>
      </c>
      <c r="E2991" s="31">
        <v>51.0</v>
      </c>
      <c r="F2991" s="42">
        <v>735.0</v>
      </c>
      <c r="G2991" s="29" t="str">
        <f t="shared" si="1"/>
        <v>51735</v>
      </c>
      <c r="H2991" s="37" t="s">
        <v>2296</v>
      </c>
      <c r="I2991" s="37" t="s">
        <v>117</v>
      </c>
      <c r="J2991" s="37" t="s">
        <v>375</v>
      </c>
      <c r="K2991" s="136" t="str">
        <f t="shared" si="47"/>
        <v>Poquoson City, VA</v>
      </c>
      <c r="L2991" s="37">
        <v>0.0</v>
      </c>
      <c r="M2991" s="37" t="s">
        <v>63</v>
      </c>
      <c r="N2991" s="37" t="s">
        <v>63</v>
      </c>
      <c r="O2991" s="37" t="s">
        <v>63</v>
      </c>
      <c r="P2991" s="37" t="s">
        <v>63</v>
      </c>
      <c r="Q2991" s="37" t="s">
        <v>63</v>
      </c>
      <c r="R2991" s="37">
        <v>0.0</v>
      </c>
      <c r="S2991" s="37" t="s">
        <v>63</v>
      </c>
      <c r="T2991" s="69">
        <v>0.0</v>
      </c>
      <c r="U2991" s="37" t="s">
        <v>63</v>
      </c>
      <c r="V2991" s="37" t="s">
        <v>63</v>
      </c>
      <c r="W2991" s="37" t="s">
        <v>63</v>
      </c>
      <c r="X2991" s="37" t="s">
        <v>63</v>
      </c>
      <c r="Y2991" s="53">
        <v>9.0</v>
      </c>
      <c r="Z2991" s="69" t="s">
        <v>63</v>
      </c>
      <c r="AA2991" s="73"/>
      <c r="AB2991" s="73"/>
      <c r="AC2991" s="73"/>
      <c r="AD2991" s="73"/>
      <c r="AE2991" s="73"/>
      <c r="AF2991" s="73"/>
      <c r="AG2991" s="73"/>
      <c r="AH2991" s="73"/>
      <c r="AI2991" s="73"/>
      <c r="AJ2991" s="73"/>
      <c r="AK2991" s="73"/>
    </row>
    <row r="2992">
      <c r="A2992" s="28">
        <v>2991.0</v>
      </c>
      <c r="B2992" s="29"/>
      <c r="C2992" s="29"/>
      <c r="D2992" s="40">
        <v>1.0</v>
      </c>
      <c r="E2992" s="31">
        <v>51.0</v>
      </c>
      <c r="F2992" s="42">
        <v>740.0</v>
      </c>
      <c r="G2992" s="29" t="str">
        <f t="shared" si="1"/>
        <v>51740</v>
      </c>
      <c r="H2992" s="37" t="s">
        <v>2297</v>
      </c>
      <c r="I2992" s="37" t="s">
        <v>117</v>
      </c>
      <c r="J2992" s="37" t="s">
        <v>375</v>
      </c>
      <c r="K2992" s="136" t="str">
        <f t="shared" si="47"/>
        <v>Portsmouth City, VA</v>
      </c>
      <c r="L2992" s="37">
        <v>33.0</v>
      </c>
      <c r="M2992" s="37" t="s">
        <v>63</v>
      </c>
      <c r="N2992" s="37">
        <v>11.0</v>
      </c>
      <c r="O2992" s="37">
        <v>2.0</v>
      </c>
      <c r="P2992" s="37" t="s">
        <v>63</v>
      </c>
      <c r="Q2992" s="37" t="s">
        <v>63</v>
      </c>
      <c r="R2992" s="37">
        <v>5.0</v>
      </c>
      <c r="S2992" s="37" t="s">
        <v>63</v>
      </c>
      <c r="T2992" s="69">
        <v>0.1</v>
      </c>
      <c r="U2992" s="37" t="s">
        <v>63</v>
      </c>
      <c r="V2992" s="37" t="s">
        <v>63</v>
      </c>
      <c r="W2992" s="37" t="s">
        <v>63</v>
      </c>
      <c r="X2992" s="37" t="s">
        <v>63</v>
      </c>
      <c r="Y2992" s="53">
        <v>95.0</v>
      </c>
      <c r="Z2992" s="69" t="s">
        <v>63</v>
      </c>
      <c r="AA2992" s="73"/>
      <c r="AB2992" s="73"/>
      <c r="AC2992" s="73"/>
      <c r="AD2992" s="73"/>
      <c r="AE2992" s="73"/>
      <c r="AF2992" s="73"/>
      <c r="AG2992" s="73"/>
      <c r="AH2992" s="73"/>
      <c r="AI2992" s="73"/>
      <c r="AJ2992" s="73"/>
      <c r="AK2992" s="73"/>
    </row>
    <row r="2993">
      <c r="A2993" s="28">
        <v>2992.0</v>
      </c>
      <c r="B2993" s="29"/>
      <c r="C2993" s="29"/>
      <c r="D2993" s="40">
        <v>1.0</v>
      </c>
      <c r="E2993" s="31">
        <v>51.0</v>
      </c>
      <c r="F2993" s="42">
        <v>750.0</v>
      </c>
      <c r="G2993" s="29" t="str">
        <f t="shared" si="1"/>
        <v>51750</v>
      </c>
      <c r="H2993" s="37" t="s">
        <v>2298</v>
      </c>
      <c r="I2993" s="37" t="s">
        <v>117</v>
      </c>
      <c r="J2993" s="37" t="s">
        <v>375</v>
      </c>
      <c r="K2993" s="37" t="str">
        <f t="shared" si="47"/>
        <v>Radford, VA</v>
      </c>
      <c r="L2993" s="37">
        <v>10.0</v>
      </c>
      <c r="M2993" s="37" t="s">
        <v>63</v>
      </c>
      <c r="N2993" s="37">
        <v>7.0</v>
      </c>
      <c r="O2993" s="37">
        <v>1.0</v>
      </c>
      <c r="P2993" s="37" t="s">
        <v>63</v>
      </c>
      <c r="Q2993" s="37" t="s">
        <v>63</v>
      </c>
      <c r="R2993" s="37">
        <v>7.0</v>
      </c>
      <c r="S2993" s="37" t="s">
        <v>63</v>
      </c>
      <c r="T2993" s="69">
        <v>0.308</v>
      </c>
      <c r="U2993" s="37" t="s">
        <v>63</v>
      </c>
      <c r="V2993" s="37" t="s">
        <v>63</v>
      </c>
      <c r="W2993" s="37" t="s">
        <v>63</v>
      </c>
      <c r="X2993" s="37" t="s">
        <v>63</v>
      </c>
      <c r="Y2993" s="53">
        <v>17.0</v>
      </c>
      <c r="Z2993" s="69" t="s">
        <v>63</v>
      </c>
      <c r="AA2993" s="73"/>
      <c r="AB2993" s="73"/>
      <c r="AC2993" s="73"/>
      <c r="AD2993" s="73"/>
      <c r="AE2993" s="73"/>
      <c r="AF2993" s="73"/>
      <c r="AG2993" s="73"/>
      <c r="AH2993" s="73"/>
      <c r="AI2993" s="73"/>
      <c r="AJ2993" s="73"/>
      <c r="AK2993" s="73"/>
    </row>
    <row r="2994">
      <c r="A2994" s="28">
        <v>2993.0</v>
      </c>
      <c r="B2994" s="29"/>
      <c r="C2994" s="29"/>
      <c r="D2994" s="40">
        <v>1.0</v>
      </c>
      <c r="E2994" s="31">
        <v>51.0</v>
      </c>
      <c r="F2994" s="42">
        <v>760.0</v>
      </c>
      <c r="G2994" s="29" t="str">
        <f t="shared" si="1"/>
        <v>51760</v>
      </c>
      <c r="H2994" s="37" t="s">
        <v>2299</v>
      </c>
      <c r="I2994" s="37" t="s">
        <v>117</v>
      </c>
      <c r="J2994" s="37" t="s">
        <v>375</v>
      </c>
      <c r="K2994" s="136" t="str">
        <f t="shared" si="47"/>
        <v>Richmond City, VA</v>
      </c>
      <c r="L2994" s="37">
        <v>214.0</v>
      </c>
      <c r="M2994" s="37" t="s">
        <v>63</v>
      </c>
      <c r="N2994" s="37">
        <v>102.0</v>
      </c>
      <c r="O2994" s="37">
        <v>28.0</v>
      </c>
      <c r="P2994" s="37" t="s">
        <v>63</v>
      </c>
      <c r="Q2994" s="37" t="s">
        <v>63</v>
      </c>
      <c r="R2994" s="37">
        <v>69.0</v>
      </c>
      <c r="S2994" s="37" t="s">
        <v>63</v>
      </c>
      <c r="T2994" s="69">
        <v>0.143</v>
      </c>
      <c r="U2994" s="37" t="s">
        <v>63</v>
      </c>
      <c r="V2994" s="37" t="s">
        <v>63</v>
      </c>
      <c r="W2994" s="37" t="s">
        <v>63</v>
      </c>
      <c r="X2994" s="37" t="s">
        <v>63</v>
      </c>
      <c r="Y2994" s="53">
        <v>220.0</v>
      </c>
      <c r="Z2994" s="69" t="s">
        <v>63</v>
      </c>
      <c r="AA2994" s="73"/>
      <c r="AB2994" s="73"/>
      <c r="AC2994" s="73"/>
      <c r="AD2994" s="73"/>
      <c r="AE2994" s="73"/>
      <c r="AF2994" s="73"/>
      <c r="AG2994" s="73"/>
      <c r="AH2994" s="73"/>
      <c r="AI2994" s="73"/>
      <c r="AJ2994" s="73"/>
      <c r="AK2994" s="73"/>
    </row>
    <row r="2995">
      <c r="A2995" s="28">
        <v>2994.0</v>
      </c>
      <c r="B2995" s="29"/>
      <c r="C2995" s="29"/>
      <c r="D2995" s="40">
        <v>1.0</v>
      </c>
      <c r="E2995" s="31">
        <v>51.0</v>
      </c>
      <c r="F2995" s="42">
        <v>770.0</v>
      </c>
      <c r="G2995" s="29" t="str">
        <f t="shared" si="1"/>
        <v>51770</v>
      </c>
      <c r="H2995" s="37" t="s">
        <v>2300</v>
      </c>
      <c r="I2995" s="37" t="s">
        <v>117</v>
      </c>
      <c r="J2995" s="37" t="s">
        <v>375</v>
      </c>
      <c r="K2995" s="136" t="str">
        <f t="shared" si="47"/>
        <v>Roanoke City, VA</v>
      </c>
      <c r="L2995" s="37">
        <v>279.0</v>
      </c>
      <c r="M2995" s="37" t="s">
        <v>63</v>
      </c>
      <c r="N2995" s="37">
        <v>189.0</v>
      </c>
      <c r="O2995" s="37">
        <v>42.0</v>
      </c>
      <c r="P2995" s="37" t="s">
        <v>63</v>
      </c>
      <c r="Q2995" s="37" t="s">
        <v>63</v>
      </c>
      <c r="R2995" s="37">
        <v>95.0</v>
      </c>
      <c r="S2995" s="37" t="s">
        <v>63</v>
      </c>
      <c r="T2995" s="69">
        <v>0.27</v>
      </c>
      <c r="U2995" s="37" t="s">
        <v>63</v>
      </c>
      <c r="V2995" s="37" t="s">
        <v>63</v>
      </c>
      <c r="W2995" s="37" t="s">
        <v>63</v>
      </c>
      <c r="X2995" s="37" t="s">
        <v>63</v>
      </c>
      <c r="Y2995" s="53">
        <v>135.0</v>
      </c>
      <c r="Z2995" s="69" t="s">
        <v>63</v>
      </c>
      <c r="AA2995" s="73"/>
      <c r="AB2995" s="73"/>
      <c r="AC2995" s="73"/>
      <c r="AD2995" s="73"/>
      <c r="AE2995" s="73"/>
      <c r="AF2995" s="73"/>
      <c r="AG2995" s="73"/>
      <c r="AH2995" s="73"/>
      <c r="AI2995" s="73"/>
      <c r="AJ2995" s="73"/>
      <c r="AK2995" s="73"/>
    </row>
    <row r="2996">
      <c r="A2996" s="28">
        <v>2995.0</v>
      </c>
      <c r="B2996" s="29"/>
      <c r="C2996" s="29"/>
      <c r="D2996" s="40">
        <v>1.0</v>
      </c>
      <c r="E2996" s="31">
        <v>51.0</v>
      </c>
      <c r="F2996" s="42">
        <v>775.0</v>
      </c>
      <c r="G2996" s="29" t="str">
        <f t="shared" si="1"/>
        <v>51775</v>
      </c>
      <c r="H2996" s="37" t="s">
        <v>2301</v>
      </c>
      <c r="I2996" s="37" t="s">
        <v>117</v>
      </c>
      <c r="J2996" s="37" t="s">
        <v>375</v>
      </c>
      <c r="K2996" s="37" t="str">
        <f t="shared" si="47"/>
        <v>Salem City, VA</v>
      </c>
      <c r="L2996" s="37">
        <v>12.0</v>
      </c>
      <c r="M2996" s="37" t="s">
        <v>63</v>
      </c>
      <c r="N2996" s="37" t="s">
        <v>63</v>
      </c>
      <c r="O2996" s="37" t="s">
        <v>63</v>
      </c>
      <c r="P2996" s="37" t="s">
        <v>63</v>
      </c>
      <c r="Q2996" s="37" t="s">
        <v>63</v>
      </c>
      <c r="R2996" s="37">
        <v>1.0</v>
      </c>
      <c r="S2996" s="37" t="s">
        <v>63</v>
      </c>
      <c r="T2996" s="69">
        <v>0.0</v>
      </c>
      <c r="U2996" s="37" t="s">
        <v>63</v>
      </c>
      <c r="V2996" s="37" t="s">
        <v>63</v>
      </c>
      <c r="W2996" s="37" t="s">
        <v>63</v>
      </c>
      <c r="X2996" s="37" t="s">
        <v>63</v>
      </c>
      <c r="Y2996" s="53">
        <v>34.0</v>
      </c>
      <c r="Z2996" s="69" t="s">
        <v>63</v>
      </c>
      <c r="AA2996" s="73"/>
      <c r="AB2996" s="73"/>
      <c r="AC2996" s="73"/>
      <c r="AD2996" s="73"/>
      <c r="AE2996" s="73"/>
      <c r="AF2996" s="73"/>
      <c r="AG2996" s="73"/>
      <c r="AH2996" s="73"/>
      <c r="AI2996" s="73"/>
      <c r="AJ2996" s="73"/>
      <c r="AK2996" s="73"/>
    </row>
    <row r="2997">
      <c r="A2997" s="28">
        <v>2996.0</v>
      </c>
      <c r="B2997" s="29"/>
      <c r="C2997" s="29"/>
      <c r="D2997" s="40">
        <v>1.0</v>
      </c>
      <c r="E2997" s="31">
        <v>51.0</v>
      </c>
      <c r="F2997" s="42">
        <v>790.0</v>
      </c>
      <c r="G2997" s="29" t="str">
        <f t="shared" si="1"/>
        <v>51790</v>
      </c>
      <c r="H2997" s="37" t="s">
        <v>2302</v>
      </c>
      <c r="I2997" s="37" t="s">
        <v>117</v>
      </c>
      <c r="J2997" s="37" t="s">
        <v>375</v>
      </c>
      <c r="K2997" s="136" t="str">
        <f t="shared" si="47"/>
        <v>Staunton City, VA</v>
      </c>
      <c r="L2997" s="37">
        <v>81.0</v>
      </c>
      <c r="M2997" s="37" t="s">
        <v>63</v>
      </c>
      <c r="N2997" s="37">
        <v>87.0</v>
      </c>
      <c r="O2997" s="37">
        <v>11.0</v>
      </c>
      <c r="P2997" s="37" t="s">
        <v>63</v>
      </c>
      <c r="Q2997" s="37" t="s">
        <v>63</v>
      </c>
      <c r="R2997" s="37">
        <v>47.0</v>
      </c>
      <c r="S2997" s="37" t="s">
        <v>63</v>
      </c>
      <c r="T2997" s="69">
        <v>0.304</v>
      </c>
      <c r="U2997" s="37" t="s">
        <v>63</v>
      </c>
      <c r="V2997" s="37" t="s">
        <v>63</v>
      </c>
      <c r="W2997" s="37" t="s">
        <v>63</v>
      </c>
      <c r="X2997" s="37" t="s">
        <v>63</v>
      </c>
      <c r="Y2997" s="53">
        <v>46.0</v>
      </c>
      <c r="Z2997" s="69" t="s">
        <v>63</v>
      </c>
      <c r="AA2997" s="73"/>
      <c r="AB2997" s="73"/>
      <c r="AC2997" s="73"/>
      <c r="AD2997" s="73"/>
      <c r="AE2997" s="73"/>
      <c r="AF2997" s="73"/>
      <c r="AG2997" s="73"/>
      <c r="AH2997" s="73"/>
      <c r="AI2997" s="73"/>
      <c r="AJ2997" s="73"/>
      <c r="AK2997" s="73"/>
    </row>
    <row r="2998">
      <c r="A2998" s="28">
        <v>2997.0</v>
      </c>
      <c r="B2998" s="29"/>
      <c r="C2998" s="29"/>
      <c r="D2998" s="40">
        <v>1.0</v>
      </c>
      <c r="E2998" s="31">
        <v>51.0</v>
      </c>
      <c r="F2998" s="42">
        <v>800.0</v>
      </c>
      <c r="G2998" s="29" t="str">
        <f t="shared" si="1"/>
        <v>51800</v>
      </c>
      <c r="H2998" s="37" t="s">
        <v>2303</v>
      </c>
      <c r="I2998" s="37" t="s">
        <v>117</v>
      </c>
      <c r="J2998" s="37" t="s">
        <v>375</v>
      </c>
      <c r="K2998" s="37" t="str">
        <f t="shared" si="47"/>
        <v>Suffolk City, VA</v>
      </c>
      <c r="L2998" s="37">
        <v>35.0</v>
      </c>
      <c r="M2998" s="37" t="s">
        <v>63</v>
      </c>
      <c r="N2998" s="37">
        <v>16.0</v>
      </c>
      <c r="O2998" s="37">
        <v>1.0</v>
      </c>
      <c r="P2998" s="37" t="s">
        <v>63</v>
      </c>
      <c r="Q2998" s="37" t="s">
        <v>63</v>
      </c>
      <c r="R2998" s="37">
        <v>10.0</v>
      </c>
      <c r="S2998" s="37" t="s">
        <v>63</v>
      </c>
      <c r="T2998" s="69">
        <v>0.0</v>
      </c>
      <c r="U2998" s="37" t="s">
        <v>63</v>
      </c>
      <c r="V2998" s="37" t="s">
        <v>63</v>
      </c>
      <c r="W2998" s="37" t="s">
        <v>63</v>
      </c>
      <c r="X2998" s="37" t="s">
        <v>63</v>
      </c>
      <c r="Y2998" s="53">
        <v>108.0</v>
      </c>
      <c r="Z2998" s="69" t="s">
        <v>63</v>
      </c>
      <c r="AA2998" s="73"/>
      <c r="AB2998" s="73"/>
      <c r="AC2998" s="73"/>
      <c r="AD2998" s="73"/>
      <c r="AE2998" s="73"/>
      <c r="AF2998" s="73"/>
      <c r="AG2998" s="73"/>
      <c r="AH2998" s="73"/>
      <c r="AI2998" s="73"/>
      <c r="AJ2998" s="73"/>
      <c r="AK2998" s="73"/>
    </row>
    <row r="2999">
      <c r="A2999" s="28">
        <v>2998.0</v>
      </c>
      <c r="B2999" s="29"/>
      <c r="C2999" s="29"/>
      <c r="D2999" s="40">
        <v>1.0</v>
      </c>
      <c r="E2999" s="31">
        <v>51.0</v>
      </c>
      <c r="F2999" s="42">
        <v>810.0</v>
      </c>
      <c r="G2999" s="29" t="str">
        <f t="shared" si="1"/>
        <v>51810</v>
      </c>
      <c r="H2999" s="37" t="s">
        <v>2304</v>
      </c>
      <c r="I2999" s="37" t="s">
        <v>117</v>
      </c>
      <c r="J2999" s="37" t="s">
        <v>375</v>
      </c>
      <c r="K2999" s="136" t="str">
        <f t="shared" si="47"/>
        <v>Virginia Beach City, VA</v>
      </c>
      <c r="L2999" s="37">
        <v>199.0</v>
      </c>
      <c r="M2999" s="37" t="s">
        <v>63</v>
      </c>
      <c r="N2999" s="37">
        <v>127.0</v>
      </c>
      <c r="O2999" s="37">
        <v>28.0</v>
      </c>
      <c r="P2999" s="37" t="s">
        <v>63</v>
      </c>
      <c r="Q2999" s="37" t="s">
        <v>63</v>
      </c>
      <c r="R2999" s="37">
        <v>70.0</v>
      </c>
      <c r="S2999" s="37" t="s">
        <v>63</v>
      </c>
      <c r="T2999" s="69">
        <v>0.324</v>
      </c>
      <c r="U2999" s="37" t="s">
        <v>63</v>
      </c>
      <c r="V2999" s="37" t="s">
        <v>63</v>
      </c>
      <c r="W2999" s="37" t="s">
        <v>63</v>
      </c>
      <c r="X2999" s="37" t="s">
        <v>63</v>
      </c>
      <c r="Y2999" s="53">
        <v>211.0</v>
      </c>
      <c r="Z2999" s="69" t="s">
        <v>63</v>
      </c>
      <c r="AA2999" s="73"/>
      <c r="AB2999" s="73"/>
      <c r="AC2999" s="73"/>
      <c r="AD2999" s="73"/>
      <c r="AE2999" s="73"/>
      <c r="AF2999" s="73"/>
      <c r="AG2999" s="73"/>
      <c r="AH2999" s="73"/>
      <c r="AI2999" s="73"/>
      <c r="AJ2999" s="73"/>
      <c r="AK2999" s="73"/>
    </row>
    <row r="3000">
      <c r="A3000" s="28">
        <v>2999.0</v>
      </c>
      <c r="B3000" s="29"/>
      <c r="C3000" s="29"/>
      <c r="D3000" s="40">
        <v>1.0</v>
      </c>
      <c r="E3000" s="31">
        <v>51.0</v>
      </c>
      <c r="F3000" s="42">
        <v>820.0</v>
      </c>
      <c r="G3000" s="29" t="str">
        <f t="shared" si="1"/>
        <v>51820</v>
      </c>
      <c r="H3000" s="37" t="s">
        <v>2305</v>
      </c>
      <c r="I3000" s="37" t="s">
        <v>117</v>
      </c>
      <c r="J3000" s="37" t="s">
        <v>375</v>
      </c>
      <c r="K3000" s="136" t="str">
        <f t="shared" si="47"/>
        <v>Waynesboro City, VA</v>
      </c>
      <c r="L3000" s="37">
        <v>22.0</v>
      </c>
      <c r="M3000" s="37" t="s">
        <v>63</v>
      </c>
      <c r="N3000" s="37" t="s">
        <v>63</v>
      </c>
      <c r="O3000" s="37" t="s">
        <v>63</v>
      </c>
      <c r="P3000" s="37" t="s">
        <v>63</v>
      </c>
      <c r="Q3000" s="37" t="s">
        <v>63</v>
      </c>
      <c r="R3000" s="37">
        <v>5.0</v>
      </c>
      <c r="S3000" s="37" t="s">
        <v>63</v>
      </c>
      <c r="T3000" s="69">
        <v>0.0</v>
      </c>
      <c r="U3000" s="37" t="s">
        <v>63</v>
      </c>
      <c r="V3000" s="37" t="s">
        <v>63</v>
      </c>
      <c r="W3000" s="37" t="s">
        <v>63</v>
      </c>
      <c r="X3000" s="37" t="s">
        <v>63</v>
      </c>
      <c r="Y3000" s="53">
        <v>37.0</v>
      </c>
      <c r="Z3000" s="69" t="s">
        <v>63</v>
      </c>
      <c r="AA3000" s="73"/>
      <c r="AB3000" s="73"/>
      <c r="AC3000" s="73"/>
      <c r="AD3000" s="73"/>
      <c r="AE3000" s="73"/>
      <c r="AF3000" s="73"/>
      <c r="AG3000" s="73"/>
      <c r="AH3000" s="73"/>
      <c r="AI3000" s="73"/>
      <c r="AJ3000" s="73"/>
      <c r="AK3000" s="73"/>
    </row>
    <row r="3001">
      <c r="A3001" s="28">
        <v>3000.0</v>
      </c>
      <c r="B3001" s="29"/>
      <c r="C3001" s="29"/>
      <c r="D3001" s="40">
        <v>1.0</v>
      </c>
      <c r="E3001" s="31">
        <v>51.0</v>
      </c>
      <c r="F3001" s="42">
        <v>830.0</v>
      </c>
      <c r="G3001" s="29" t="str">
        <f t="shared" si="1"/>
        <v>51830</v>
      </c>
      <c r="H3001" s="37" t="s">
        <v>2306</v>
      </c>
      <c r="I3001" s="37" t="s">
        <v>117</v>
      </c>
      <c r="J3001" s="37" t="s">
        <v>375</v>
      </c>
      <c r="K3001" s="136" t="str">
        <f t="shared" si="47"/>
        <v>Williamsburg City, VA</v>
      </c>
      <c r="L3001" s="37">
        <v>2.0</v>
      </c>
      <c r="M3001" s="37" t="s">
        <v>63</v>
      </c>
      <c r="N3001" s="37">
        <v>1.0</v>
      </c>
      <c r="O3001" s="37" t="s">
        <v>63</v>
      </c>
      <c r="P3001" s="37" t="s">
        <v>63</v>
      </c>
      <c r="Q3001" s="37" t="s">
        <v>63</v>
      </c>
      <c r="R3001" s="37">
        <v>0.0</v>
      </c>
      <c r="S3001" s="37" t="s">
        <v>63</v>
      </c>
      <c r="T3001" s="69">
        <v>0.5</v>
      </c>
      <c r="U3001" s="37" t="s">
        <v>63</v>
      </c>
      <c r="V3001" s="37" t="s">
        <v>63</v>
      </c>
      <c r="W3001" s="37" t="s">
        <v>63</v>
      </c>
      <c r="X3001" s="37" t="s">
        <v>63</v>
      </c>
      <c r="Y3001" s="53">
        <v>15.0</v>
      </c>
      <c r="Z3001" s="69" t="s">
        <v>63</v>
      </c>
      <c r="AA3001" s="73"/>
      <c r="AB3001" s="73"/>
      <c r="AC3001" s="73"/>
      <c r="AD3001" s="73"/>
      <c r="AE3001" s="73"/>
      <c r="AF3001" s="73"/>
      <c r="AG3001" s="73"/>
      <c r="AH3001" s="73"/>
      <c r="AI3001" s="73"/>
      <c r="AJ3001" s="73"/>
      <c r="AK3001" s="73"/>
    </row>
    <row r="3002">
      <c r="A3002" s="28">
        <v>3001.0</v>
      </c>
      <c r="B3002" s="29"/>
      <c r="C3002" s="29"/>
      <c r="D3002" s="40">
        <v>1.0</v>
      </c>
      <c r="E3002" s="31">
        <v>51.0</v>
      </c>
      <c r="F3002" s="42">
        <v>840.0</v>
      </c>
      <c r="G3002" s="29" t="str">
        <f t="shared" si="1"/>
        <v>51840</v>
      </c>
      <c r="H3002" s="37" t="s">
        <v>2307</v>
      </c>
      <c r="I3002" s="37" t="s">
        <v>117</v>
      </c>
      <c r="J3002" s="37" t="s">
        <v>375</v>
      </c>
      <c r="K3002" s="136" t="str">
        <f t="shared" si="47"/>
        <v>Winchester City, VA</v>
      </c>
      <c r="L3002" s="37">
        <v>43.0</v>
      </c>
      <c r="M3002" s="37" t="s">
        <v>63</v>
      </c>
      <c r="N3002" s="37">
        <v>29.0</v>
      </c>
      <c r="O3002" s="37">
        <v>4.0</v>
      </c>
      <c r="P3002" s="37" t="s">
        <v>63</v>
      </c>
      <c r="Q3002" s="37" t="s">
        <v>63</v>
      </c>
      <c r="R3002" s="37">
        <v>16.0</v>
      </c>
      <c r="S3002" s="37" t="s">
        <v>63</v>
      </c>
      <c r="T3002" s="69">
        <v>0.276</v>
      </c>
      <c r="U3002" s="37" t="s">
        <v>63</v>
      </c>
      <c r="V3002" s="37" t="s">
        <v>63</v>
      </c>
      <c r="W3002" s="37" t="s">
        <v>63</v>
      </c>
      <c r="X3002" s="37" t="s">
        <v>63</v>
      </c>
      <c r="Y3002" s="53">
        <v>33.0</v>
      </c>
      <c r="Z3002" s="69" t="s">
        <v>63</v>
      </c>
      <c r="AA3002" s="73"/>
      <c r="AB3002" s="73"/>
      <c r="AC3002" s="73"/>
      <c r="AD3002" s="73"/>
      <c r="AE3002" s="73"/>
      <c r="AF3002" s="73"/>
      <c r="AG3002" s="73"/>
      <c r="AH3002" s="73"/>
      <c r="AI3002" s="73"/>
      <c r="AJ3002" s="73"/>
      <c r="AK3002" s="73"/>
    </row>
    <row r="3003">
      <c r="A3003" s="99">
        <v>3002.0</v>
      </c>
      <c r="B3003" s="15"/>
      <c r="C3003" s="14" t="s">
        <v>25</v>
      </c>
      <c r="D3003" s="16"/>
      <c r="E3003" s="102">
        <v>53.0</v>
      </c>
      <c r="F3003" s="107">
        <v>0.0</v>
      </c>
      <c r="G3003" s="15" t="str">
        <f t="shared" si="1"/>
        <v>53000</v>
      </c>
      <c r="H3003" s="23"/>
      <c r="I3003" s="23" t="s">
        <v>119</v>
      </c>
      <c r="J3003" s="23" t="s">
        <v>256</v>
      </c>
      <c r="K3003" s="23"/>
      <c r="L3003" s="35">
        <f t="array" ref="L3003:Z3003">Washington!C43:Q43</f>
        <v>8049</v>
      </c>
      <c r="M3003" s="23" t="s">
        <v>63</v>
      </c>
      <c r="N3003" s="23" t="s">
        <v>63</v>
      </c>
      <c r="O3003" s="23" t="s">
        <v>63</v>
      </c>
      <c r="P3003" s="23" t="s">
        <v>63</v>
      </c>
      <c r="Q3003" s="35">
        <v>4341.0</v>
      </c>
      <c r="R3003" s="35">
        <v>997.0</v>
      </c>
      <c r="S3003" s="23" t="s">
        <v>63</v>
      </c>
      <c r="T3003" s="32" t="s">
        <v>63</v>
      </c>
      <c r="U3003" s="23" t="s">
        <v>63</v>
      </c>
      <c r="V3003" s="23" t="s">
        <v>63</v>
      </c>
      <c r="W3003" s="23" t="s">
        <v>63</v>
      </c>
      <c r="X3003" s="23" t="s">
        <v>63</v>
      </c>
      <c r="Y3003" s="35">
        <v>3832.0</v>
      </c>
      <c r="Z3003" s="32" t="s">
        <v>63</v>
      </c>
      <c r="AA3003" s="38"/>
      <c r="AB3003" s="38"/>
      <c r="AC3003" s="38"/>
      <c r="AD3003" s="38"/>
      <c r="AE3003" s="38"/>
      <c r="AF3003" s="38"/>
      <c r="AG3003" s="38"/>
      <c r="AH3003" s="38"/>
      <c r="AI3003" s="38"/>
      <c r="AJ3003" s="38"/>
      <c r="AK3003" s="38"/>
    </row>
    <row r="3004">
      <c r="A3004" s="99">
        <v>3003.0</v>
      </c>
      <c r="B3004" s="15"/>
      <c r="C3004" s="15"/>
      <c r="D3004" s="105">
        <v>1.0</v>
      </c>
      <c r="E3004" s="102">
        <v>53.0</v>
      </c>
      <c r="F3004" s="107">
        <v>1.0</v>
      </c>
      <c r="G3004" s="15" t="str">
        <f t="shared" si="1"/>
        <v>53001</v>
      </c>
      <c r="H3004" s="23" t="s">
        <v>386</v>
      </c>
      <c r="I3004" s="23" t="s">
        <v>119</v>
      </c>
      <c r="J3004" s="23" t="s">
        <v>256</v>
      </c>
      <c r="K3004" s="23" t="str">
        <f t="shared" ref="K3004:K3042" si="48">CONCATENATE(H3004,", ",J3004)</f>
        <v>Adams, WA</v>
      </c>
      <c r="L3004" s="23" t="str">
        <f t="array" ref="L3004:Z3042">Washington!C3:Q41</f>
        <v>NULL</v>
      </c>
      <c r="M3004" s="23" t="s">
        <v>63</v>
      </c>
      <c r="N3004" s="23" t="s">
        <v>63</v>
      </c>
      <c r="O3004" s="23" t="s">
        <v>63</v>
      </c>
      <c r="P3004" s="23" t="s">
        <v>63</v>
      </c>
      <c r="Q3004" s="23" t="s">
        <v>63</v>
      </c>
      <c r="R3004" s="23" t="s">
        <v>63</v>
      </c>
      <c r="S3004" s="23" t="s">
        <v>63</v>
      </c>
      <c r="T3004" s="32" t="s">
        <v>63</v>
      </c>
      <c r="U3004" s="23" t="s">
        <v>63</v>
      </c>
      <c r="V3004" s="23" t="s">
        <v>63</v>
      </c>
      <c r="W3004" s="23" t="s">
        <v>63</v>
      </c>
      <c r="X3004" s="23" t="s">
        <v>63</v>
      </c>
      <c r="Y3004" s="35">
        <v>24.0</v>
      </c>
      <c r="Z3004" s="32" t="s">
        <v>63</v>
      </c>
      <c r="AA3004" s="38"/>
      <c r="AB3004" s="38"/>
      <c r="AC3004" s="38"/>
      <c r="AD3004" s="38"/>
      <c r="AE3004" s="38"/>
      <c r="AF3004" s="38"/>
      <c r="AG3004" s="38"/>
      <c r="AH3004" s="38"/>
      <c r="AI3004" s="38"/>
      <c r="AJ3004" s="38"/>
      <c r="AK3004" s="38"/>
    </row>
    <row r="3005">
      <c r="A3005" s="99">
        <v>3004.0</v>
      </c>
      <c r="B3005" s="15"/>
      <c r="C3005" s="15"/>
      <c r="D3005" s="105">
        <v>1.0</v>
      </c>
      <c r="E3005" s="102">
        <v>53.0</v>
      </c>
      <c r="F3005" s="107">
        <v>3.0</v>
      </c>
      <c r="G3005" s="15" t="str">
        <f t="shared" si="1"/>
        <v>53003</v>
      </c>
      <c r="H3005" s="23" t="s">
        <v>2308</v>
      </c>
      <c r="I3005" s="23" t="s">
        <v>119</v>
      </c>
      <c r="J3005" s="23" t="s">
        <v>256</v>
      </c>
      <c r="K3005" s="23" t="str">
        <f t="shared" si="48"/>
        <v>Asotin, WA</v>
      </c>
      <c r="L3005" s="23" t="s">
        <v>63</v>
      </c>
      <c r="M3005" s="23" t="s">
        <v>63</v>
      </c>
      <c r="N3005" s="23" t="s">
        <v>63</v>
      </c>
      <c r="O3005" s="23" t="s">
        <v>63</v>
      </c>
      <c r="P3005" s="23" t="s">
        <v>63</v>
      </c>
      <c r="Q3005" s="23" t="s">
        <v>63</v>
      </c>
      <c r="R3005" s="23" t="s">
        <v>63</v>
      </c>
      <c r="S3005" s="23" t="s">
        <v>63</v>
      </c>
      <c r="T3005" s="32" t="s">
        <v>63</v>
      </c>
      <c r="U3005" s="23" t="s">
        <v>63</v>
      </c>
      <c r="V3005" s="23" t="s">
        <v>63</v>
      </c>
      <c r="W3005" s="23" t="s">
        <v>63</v>
      </c>
      <c r="X3005" s="23" t="s">
        <v>63</v>
      </c>
      <c r="Y3005" s="35">
        <v>17.0</v>
      </c>
      <c r="Z3005" s="32" t="s">
        <v>63</v>
      </c>
      <c r="AA3005" s="38"/>
      <c r="AB3005" s="38"/>
      <c r="AC3005" s="38"/>
      <c r="AD3005" s="38"/>
      <c r="AE3005" s="38"/>
      <c r="AF3005" s="38"/>
      <c r="AG3005" s="38"/>
      <c r="AH3005" s="38"/>
      <c r="AI3005" s="38"/>
      <c r="AJ3005" s="38"/>
      <c r="AK3005" s="38"/>
    </row>
    <row r="3006">
      <c r="A3006" s="99">
        <v>3005.0</v>
      </c>
      <c r="B3006" s="15"/>
      <c r="C3006" s="15"/>
      <c r="D3006" s="105">
        <v>1.0</v>
      </c>
      <c r="E3006" s="102">
        <v>53.0</v>
      </c>
      <c r="F3006" s="107">
        <v>5.0</v>
      </c>
      <c r="G3006" s="15" t="str">
        <f t="shared" si="1"/>
        <v>53005</v>
      </c>
      <c r="H3006" s="23" t="s">
        <v>243</v>
      </c>
      <c r="I3006" s="23" t="s">
        <v>119</v>
      </c>
      <c r="J3006" s="23" t="s">
        <v>256</v>
      </c>
      <c r="K3006" s="23" t="str">
        <f t="shared" si="48"/>
        <v>Benton, WA</v>
      </c>
      <c r="L3006" s="23" t="s">
        <v>63</v>
      </c>
      <c r="M3006" s="23" t="s">
        <v>63</v>
      </c>
      <c r="N3006" s="23" t="s">
        <v>63</v>
      </c>
      <c r="O3006" s="23" t="s">
        <v>63</v>
      </c>
      <c r="P3006" s="23" t="s">
        <v>63</v>
      </c>
      <c r="Q3006" s="23" t="s">
        <v>63</v>
      </c>
      <c r="R3006" s="23" t="s">
        <v>63</v>
      </c>
      <c r="S3006" s="23" t="s">
        <v>63</v>
      </c>
      <c r="T3006" s="32" t="s">
        <v>63</v>
      </c>
      <c r="U3006" s="23" t="s">
        <v>63</v>
      </c>
      <c r="V3006" s="23" t="s">
        <v>63</v>
      </c>
      <c r="W3006" s="23" t="s">
        <v>63</v>
      </c>
      <c r="X3006" s="23" t="s">
        <v>63</v>
      </c>
      <c r="Y3006" s="35">
        <v>98.0</v>
      </c>
      <c r="Z3006" s="32" t="s">
        <v>63</v>
      </c>
      <c r="AA3006" s="38"/>
      <c r="AB3006" s="38"/>
      <c r="AC3006" s="38"/>
      <c r="AD3006" s="38"/>
      <c r="AE3006" s="38"/>
      <c r="AF3006" s="38"/>
      <c r="AG3006" s="38"/>
      <c r="AH3006" s="38"/>
      <c r="AI3006" s="38"/>
      <c r="AJ3006" s="38"/>
      <c r="AK3006" s="38"/>
    </row>
    <row r="3007">
      <c r="A3007" s="99">
        <v>3006.0</v>
      </c>
      <c r="B3007" s="15"/>
      <c r="C3007" s="15"/>
      <c r="D3007" s="105">
        <v>1.0</v>
      </c>
      <c r="E3007" s="102">
        <v>53.0</v>
      </c>
      <c r="F3007" s="107">
        <v>7.0</v>
      </c>
      <c r="G3007" s="15" t="str">
        <f t="shared" si="1"/>
        <v>53007</v>
      </c>
      <c r="H3007" s="23" t="s">
        <v>2309</v>
      </c>
      <c r="I3007" s="23" t="s">
        <v>119</v>
      </c>
      <c r="J3007" s="23" t="s">
        <v>256</v>
      </c>
      <c r="K3007" s="23" t="str">
        <f t="shared" si="48"/>
        <v>Chelan, WA</v>
      </c>
      <c r="L3007" s="23" t="s">
        <v>63</v>
      </c>
      <c r="M3007" s="23" t="s">
        <v>63</v>
      </c>
      <c r="N3007" s="23" t="s">
        <v>63</v>
      </c>
      <c r="O3007" s="23" t="s">
        <v>63</v>
      </c>
      <c r="P3007" s="23" t="s">
        <v>63</v>
      </c>
      <c r="Q3007" s="23" t="s">
        <v>63</v>
      </c>
      <c r="R3007" s="23" t="s">
        <v>63</v>
      </c>
      <c r="S3007" s="23" t="s">
        <v>63</v>
      </c>
      <c r="T3007" s="32" t="s">
        <v>63</v>
      </c>
      <c r="U3007" s="23" t="s">
        <v>63</v>
      </c>
      <c r="V3007" s="23" t="s">
        <v>63</v>
      </c>
      <c r="W3007" s="23" t="s">
        <v>63</v>
      </c>
      <c r="X3007" s="23" t="s">
        <v>63</v>
      </c>
      <c r="Y3007" s="35">
        <v>63.0</v>
      </c>
      <c r="Z3007" s="32" t="s">
        <v>63</v>
      </c>
      <c r="AA3007" s="38"/>
      <c r="AB3007" s="38"/>
      <c r="AC3007" s="38"/>
      <c r="AD3007" s="38"/>
      <c r="AE3007" s="38"/>
      <c r="AF3007" s="38"/>
      <c r="AG3007" s="38"/>
      <c r="AH3007" s="38"/>
      <c r="AI3007" s="38"/>
      <c r="AJ3007" s="38"/>
      <c r="AK3007" s="38"/>
    </row>
    <row r="3008">
      <c r="A3008" s="99">
        <v>3007.0</v>
      </c>
      <c r="B3008" s="15"/>
      <c r="C3008" s="15"/>
      <c r="D3008" s="105">
        <v>1.0</v>
      </c>
      <c r="E3008" s="102">
        <v>53.0</v>
      </c>
      <c r="F3008" s="107">
        <v>9.0</v>
      </c>
      <c r="G3008" s="15" t="str">
        <f t="shared" si="1"/>
        <v>53009</v>
      </c>
      <c r="H3008" s="23" t="s">
        <v>2310</v>
      </c>
      <c r="I3008" s="23" t="s">
        <v>119</v>
      </c>
      <c r="J3008" s="23" t="s">
        <v>256</v>
      </c>
      <c r="K3008" s="23" t="str">
        <f t="shared" si="48"/>
        <v>Clallam, WA</v>
      </c>
      <c r="L3008" s="23" t="s">
        <v>63</v>
      </c>
      <c r="M3008" s="23" t="s">
        <v>63</v>
      </c>
      <c r="N3008" s="23" t="s">
        <v>63</v>
      </c>
      <c r="O3008" s="23" t="s">
        <v>63</v>
      </c>
      <c r="P3008" s="23" t="s">
        <v>63</v>
      </c>
      <c r="Q3008" s="23" t="s">
        <v>63</v>
      </c>
      <c r="R3008" s="23" t="s">
        <v>63</v>
      </c>
      <c r="S3008" s="23" t="s">
        <v>63</v>
      </c>
      <c r="T3008" s="32" t="s">
        <v>63</v>
      </c>
      <c r="U3008" s="23" t="s">
        <v>63</v>
      </c>
      <c r="V3008" s="23" t="s">
        <v>63</v>
      </c>
      <c r="W3008" s="23" t="s">
        <v>63</v>
      </c>
      <c r="X3008" s="23" t="s">
        <v>63</v>
      </c>
      <c r="Y3008" s="35">
        <v>61.0</v>
      </c>
      <c r="Z3008" s="32" t="s">
        <v>63</v>
      </c>
      <c r="AA3008" s="38"/>
      <c r="AB3008" s="38"/>
      <c r="AC3008" s="38"/>
      <c r="AD3008" s="38"/>
      <c r="AE3008" s="38"/>
      <c r="AF3008" s="38"/>
      <c r="AG3008" s="38"/>
      <c r="AH3008" s="38"/>
      <c r="AI3008" s="38"/>
      <c r="AJ3008" s="38"/>
      <c r="AK3008" s="38"/>
    </row>
    <row r="3009">
      <c r="A3009" s="99">
        <v>3008.0</v>
      </c>
      <c r="B3009" s="15"/>
      <c r="C3009" s="15"/>
      <c r="D3009" s="105">
        <v>1.0</v>
      </c>
      <c r="E3009" s="102">
        <v>53.0</v>
      </c>
      <c r="F3009" s="107">
        <v>11.0</v>
      </c>
      <c r="G3009" s="15" t="str">
        <f t="shared" si="1"/>
        <v>53011</v>
      </c>
      <c r="H3009" s="23" t="s">
        <v>253</v>
      </c>
      <c r="I3009" s="23" t="s">
        <v>119</v>
      </c>
      <c r="J3009" s="23" t="s">
        <v>256</v>
      </c>
      <c r="K3009" s="23" t="str">
        <f t="shared" si="48"/>
        <v>Clark, WA</v>
      </c>
      <c r="L3009" s="23" t="s">
        <v>63</v>
      </c>
      <c r="M3009" s="23" t="s">
        <v>63</v>
      </c>
      <c r="N3009" s="23" t="s">
        <v>63</v>
      </c>
      <c r="O3009" s="23" t="s">
        <v>63</v>
      </c>
      <c r="P3009" s="23" t="s">
        <v>63</v>
      </c>
      <c r="Q3009" s="23" t="s">
        <v>63</v>
      </c>
      <c r="R3009" s="23" t="s">
        <v>63</v>
      </c>
      <c r="S3009" s="23" t="s">
        <v>63</v>
      </c>
      <c r="T3009" s="32" t="s">
        <v>63</v>
      </c>
      <c r="U3009" s="23" t="s">
        <v>63</v>
      </c>
      <c r="V3009" s="23" t="s">
        <v>63</v>
      </c>
      <c r="W3009" s="23" t="s">
        <v>63</v>
      </c>
      <c r="X3009" s="23" t="s">
        <v>63</v>
      </c>
      <c r="Y3009" s="35">
        <v>181.0</v>
      </c>
      <c r="Z3009" s="32" t="s">
        <v>63</v>
      </c>
      <c r="AA3009" s="38"/>
      <c r="AB3009" s="38"/>
      <c r="AC3009" s="38"/>
      <c r="AD3009" s="38"/>
      <c r="AE3009" s="38"/>
      <c r="AF3009" s="38"/>
      <c r="AG3009" s="38"/>
      <c r="AH3009" s="38"/>
      <c r="AI3009" s="38"/>
      <c r="AJ3009" s="38"/>
      <c r="AK3009" s="38"/>
    </row>
    <row r="3010">
      <c r="A3010" s="99">
        <v>3009.0</v>
      </c>
      <c r="B3010" s="15"/>
      <c r="C3010" s="15"/>
      <c r="D3010" s="105">
        <v>1.0</v>
      </c>
      <c r="E3010" s="102">
        <v>53.0</v>
      </c>
      <c r="F3010" s="107">
        <v>13.0</v>
      </c>
      <c r="G3010" s="15" t="str">
        <f t="shared" si="1"/>
        <v>53013</v>
      </c>
      <c r="H3010" s="23" t="s">
        <v>258</v>
      </c>
      <c r="I3010" s="23" t="s">
        <v>119</v>
      </c>
      <c r="J3010" s="23" t="s">
        <v>256</v>
      </c>
      <c r="K3010" s="23" t="str">
        <f t="shared" si="48"/>
        <v>Columbia, WA</v>
      </c>
      <c r="L3010" s="23" t="s">
        <v>63</v>
      </c>
      <c r="M3010" s="23" t="s">
        <v>63</v>
      </c>
      <c r="N3010" s="23" t="s">
        <v>63</v>
      </c>
      <c r="O3010" s="23" t="s">
        <v>63</v>
      </c>
      <c r="P3010" s="23" t="s">
        <v>63</v>
      </c>
      <c r="Q3010" s="23" t="s">
        <v>63</v>
      </c>
      <c r="R3010" s="23" t="s">
        <v>63</v>
      </c>
      <c r="S3010" s="23" t="s">
        <v>63</v>
      </c>
      <c r="T3010" s="32" t="s">
        <v>63</v>
      </c>
      <c r="U3010" s="23" t="s">
        <v>63</v>
      </c>
      <c r="V3010" s="23" t="s">
        <v>63</v>
      </c>
      <c r="W3010" s="23" t="s">
        <v>63</v>
      </c>
      <c r="X3010" s="23" t="s">
        <v>63</v>
      </c>
      <c r="Y3010" s="35">
        <v>8.0</v>
      </c>
      <c r="Z3010" s="32" t="s">
        <v>63</v>
      </c>
      <c r="AA3010" s="38"/>
      <c r="AB3010" s="38"/>
      <c r="AC3010" s="38"/>
      <c r="AD3010" s="38"/>
      <c r="AE3010" s="38"/>
      <c r="AF3010" s="38"/>
      <c r="AG3010" s="38"/>
      <c r="AH3010" s="38"/>
      <c r="AI3010" s="38"/>
      <c r="AJ3010" s="38"/>
      <c r="AK3010" s="38"/>
    </row>
    <row r="3011">
      <c r="A3011" s="99">
        <v>3010.0</v>
      </c>
      <c r="B3011" s="15"/>
      <c r="C3011" s="15"/>
      <c r="D3011" s="105">
        <v>1.0</v>
      </c>
      <c r="E3011" s="102">
        <v>53.0</v>
      </c>
      <c r="F3011" s="107">
        <v>15.0</v>
      </c>
      <c r="G3011" s="15" t="str">
        <f t="shared" si="1"/>
        <v>53015</v>
      </c>
      <c r="H3011" s="23" t="s">
        <v>2311</v>
      </c>
      <c r="I3011" s="23" t="s">
        <v>119</v>
      </c>
      <c r="J3011" s="23" t="s">
        <v>256</v>
      </c>
      <c r="K3011" s="23" t="str">
        <f t="shared" si="48"/>
        <v>Cowlitz, WA</v>
      </c>
      <c r="L3011" s="23" t="s">
        <v>63</v>
      </c>
      <c r="M3011" s="23" t="s">
        <v>63</v>
      </c>
      <c r="N3011" s="23" t="s">
        <v>63</v>
      </c>
      <c r="O3011" s="23" t="s">
        <v>63</v>
      </c>
      <c r="P3011" s="23" t="s">
        <v>63</v>
      </c>
      <c r="Q3011" s="23" t="s">
        <v>63</v>
      </c>
      <c r="R3011" s="23" t="s">
        <v>63</v>
      </c>
      <c r="S3011" s="23" t="s">
        <v>63</v>
      </c>
      <c r="T3011" s="32" t="s">
        <v>63</v>
      </c>
      <c r="U3011" s="23" t="s">
        <v>63</v>
      </c>
      <c r="V3011" s="23" t="s">
        <v>63</v>
      </c>
      <c r="W3011" s="23" t="s">
        <v>63</v>
      </c>
      <c r="X3011" s="23" t="s">
        <v>63</v>
      </c>
      <c r="Y3011" s="35">
        <v>92.0</v>
      </c>
      <c r="Z3011" s="32" t="s">
        <v>63</v>
      </c>
      <c r="AA3011" s="38"/>
      <c r="AB3011" s="38"/>
      <c r="AC3011" s="38"/>
      <c r="AD3011" s="38"/>
      <c r="AE3011" s="38"/>
      <c r="AF3011" s="38"/>
      <c r="AG3011" s="38"/>
      <c r="AH3011" s="38"/>
      <c r="AI3011" s="38"/>
      <c r="AJ3011" s="38"/>
      <c r="AK3011" s="38"/>
    </row>
    <row r="3012">
      <c r="A3012" s="99">
        <v>3011.0</v>
      </c>
      <c r="B3012" s="15"/>
      <c r="C3012" s="15"/>
      <c r="D3012" s="105">
        <v>1.0</v>
      </c>
      <c r="E3012" s="102">
        <v>53.0</v>
      </c>
      <c r="F3012" s="107">
        <v>17.0</v>
      </c>
      <c r="G3012" s="15" t="str">
        <f t="shared" si="1"/>
        <v>53017</v>
      </c>
      <c r="H3012" s="23" t="s">
        <v>412</v>
      </c>
      <c r="I3012" s="23" t="s">
        <v>119</v>
      </c>
      <c r="J3012" s="23" t="s">
        <v>256</v>
      </c>
      <c r="K3012" s="23" t="str">
        <f t="shared" si="48"/>
        <v>Douglas, WA</v>
      </c>
      <c r="L3012" s="23" t="s">
        <v>63</v>
      </c>
      <c r="M3012" s="23" t="s">
        <v>63</v>
      </c>
      <c r="N3012" s="23" t="s">
        <v>63</v>
      </c>
      <c r="O3012" s="23" t="s">
        <v>63</v>
      </c>
      <c r="P3012" s="23" t="s">
        <v>63</v>
      </c>
      <c r="Q3012" s="23" t="s">
        <v>63</v>
      </c>
      <c r="R3012" s="23" t="s">
        <v>63</v>
      </c>
      <c r="S3012" s="23" t="s">
        <v>63</v>
      </c>
      <c r="T3012" s="32" t="s">
        <v>63</v>
      </c>
      <c r="U3012" s="23" t="s">
        <v>63</v>
      </c>
      <c r="V3012" s="23" t="s">
        <v>63</v>
      </c>
      <c r="W3012" s="23" t="s">
        <v>63</v>
      </c>
      <c r="X3012" s="23" t="s">
        <v>63</v>
      </c>
      <c r="Y3012" s="35">
        <v>27.0</v>
      </c>
      <c r="Z3012" s="32" t="s">
        <v>63</v>
      </c>
      <c r="AA3012" s="38"/>
      <c r="AB3012" s="38"/>
      <c r="AC3012" s="38"/>
      <c r="AD3012" s="38"/>
      <c r="AE3012" s="38"/>
      <c r="AF3012" s="38"/>
      <c r="AG3012" s="38"/>
      <c r="AH3012" s="38"/>
      <c r="AI3012" s="38"/>
      <c r="AJ3012" s="38"/>
      <c r="AK3012" s="38"/>
    </row>
    <row r="3013">
      <c r="A3013" s="99">
        <v>3012.0</v>
      </c>
      <c r="B3013" s="15"/>
      <c r="C3013" s="15"/>
      <c r="D3013" s="105">
        <v>1.0</v>
      </c>
      <c r="E3013" s="102">
        <v>53.0</v>
      </c>
      <c r="F3013" s="107">
        <v>19.0</v>
      </c>
      <c r="G3013" s="15" t="str">
        <f t="shared" si="1"/>
        <v>53019</v>
      </c>
      <c r="H3013" s="23" t="s">
        <v>2312</v>
      </c>
      <c r="I3013" s="23" t="s">
        <v>119</v>
      </c>
      <c r="J3013" s="23" t="s">
        <v>256</v>
      </c>
      <c r="K3013" s="23" t="str">
        <f t="shared" si="48"/>
        <v>Ferry, WA</v>
      </c>
      <c r="L3013" s="23" t="s">
        <v>63</v>
      </c>
      <c r="M3013" s="23" t="s">
        <v>63</v>
      </c>
      <c r="N3013" s="23" t="s">
        <v>63</v>
      </c>
      <c r="O3013" s="23" t="s">
        <v>63</v>
      </c>
      <c r="P3013" s="23" t="s">
        <v>63</v>
      </c>
      <c r="Q3013" s="23" t="s">
        <v>63</v>
      </c>
      <c r="R3013" s="23" t="s">
        <v>63</v>
      </c>
      <c r="S3013" s="23" t="s">
        <v>63</v>
      </c>
      <c r="T3013" s="32" t="s">
        <v>63</v>
      </c>
      <c r="U3013" s="23" t="s">
        <v>63</v>
      </c>
      <c r="V3013" s="23" t="s">
        <v>63</v>
      </c>
      <c r="W3013" s="23" t="s">
        <v>63</v>
      </c>
      <c r="X3013" s="23" t="s">
        <v>63</v>
      </c>
      <c r="Y3013" s="35">
        <v>9.0</v>
      </c>
      <c r="Z3013" s="32" t="s">
        <v>63</v>
      </c>
      <c r="AA3013" s="38"/>
      <c r="AB3013" s="38"/>
      <c r="AC3013" s="38"/>
      <c r="AD3013" s="38"/>
      <c r="AE3013" s="38"/>
      <c r="AF3013" s="38"/>
      <c r="AG3013" s="38"/>
      <c r="AH3013" s="38"/>
      <c r="AI3013" s="38"/>
      <c r="AJ3013" s="38"/>
      <c r="AK3013" s="38"/>
    </row>
    <row r="3014">
      <c r="A3014" s="99">
        <v>3013.0</v>
      </c>
      <c r="B3014" s="15"/>
      <c r="C3014" s="15"/>
      <c r="D3014" s="105">
        <v>1.0</v>
      </c>
      <c r="E3014" s="102">
        <v>53.0</v>
      </c>
      <c r="F3014" s="107">
        <v>21.0</v>
      </c>
      <c r="G3014" s="15" t="str">
        <f t="shared" si="1"/>
        <v>53021</v>
      </c>
      <c r="H3014" s="23" t="s">
        <v>136</v>
      </c>
      <c r="I3014" s="23" t="s">
        <v>119</v>
      </c>
      <c r="J3014" s="23" t="s">
        <v>256</v>
      </c>
      <c r="K3014" s="23" t="str">
        <f t="shared" si="48"/>
        <v>Franklin, WA</v>
      </c>
      <c r="L3014" s="23" t="s">
        <v>63</v>
      </c>
      <c r="M3014" s="23" t="s">
        <v>63</v>
      </c>
      <c r="N3014" s="23" t="s">
        <v>63</v>
      </c>
      <c r="O3014" s="23" t="s">
        <v>63</v>
      </c>
      <c r="P3014" s="23" t="s">
        <v>63</v>
      </c>
      <c r="Q3014" s="23" t="s">
        <v>63</v>
      </c>
      <c r="R3014" s="23" t="s">
        <v>63</v>
      </c>
      <c r="S3014" s="23" t="s">
        <v>63</v>
      </c>
      <c r="T3014" s="32" t="s">
        <v>63</v>
      </c>
      <c r="U3014" s="23" t="s">
        <v>63</v>
      </c>
      <c r="V3014" s="23" t="s">
        <v>63</v>
      </c>
      <c r="W3014" s="23" t="s">
        <v>63</v>
      </c>
      <c r="X3014" s="23" t="s">
        <v>63</v>
      </c>
      <c r="Y3014" s="35">
        <v>39.0</v>
      </c>
      <c r="Z3014" s="32" t="s">
        <v>63</v>
      </c>
      <c r="AA3014" s="38"/>
      <c r="AB3014" s="38"/>
      <c r="AC3014" s="38"/>
      <c r="AD3014" s="38"/>
      <c r="AE3014" s="38"/>
      <c r="AF3014" s="38"/>
      <c r="AG3014" s="38"/>
      <c r="AH3014" s="38"/>
      <c r="AI3014" s="38"/>
      <c r="AJ3014" s="38"/>
      <c r="AK3014" s="38"/>
    </row>
    <row r="3015">
      <c r="A3015" s="99">
        <v>3014.0</v>
      </c>
      <c r="B3015" s="15"/>
      <c r="C3015" s="15"/>
      <c r="D3015" s="105">
        <v>1.0</v>
      </c>
      <c r="E3015" s="102">
        <v>53.0</v>
      </c>
      <c r="F3015" s="107">
        <v>23.0</v>
      </c>
      <c r="G3015" s="15" t="str">
        <f t="shared" si="1"/>
        <v>53023</v>
      </c>
      <c r="H3015" s="23" t="s">
        <v>417</v>
      </c>
      <c r="I3015" s="23" t="s">
        <v>119</v>
      </c>
      <c r="J3015" s="23" t="s">
        <v>256</v>
      </c>
      <c r="K3015" s="23" t="str">
        <f t="shared" si="48"/>
        <v>Garfield, WA</v>
      </c>
      <c r="L3015" s="23" t="s">
        <v>63</v>
      </c>
      <c r="M3015" s="23" t="s">
        <v>63</v>
      </c>
      <c r="N3015" s="23" t="s">
        <v>63</v>
      </c>
      <c r="O3015" s="23" t="s">
        <v>63</v>
      </c>
      <c r="P3015" s="23" t="s">
        <v>63</v>
      </c>
      <c r="Q3015" s="23" t="s">
        <v>63</v>
      </c>
      <c r="R3015" s="23" t="s">
        <v>63</v>
      </c>
      <c r="S3015" s="23" t="s">
        <v>63</v>
      </c>
      <c r="T3015" s="32" t="s">
        <v>63</v>
      </c>
      <c r="U3015" s="23" t="s">
        <v>63</v>
      </c>
      <c r="V3015" s="23" t="s">
        <v>63</v>
      </c>
      <c r="W3015" s="23" t="s">
        <v>63</v>
      </c>
      <c r="X3015" s="23" t="s">
        <v>63</v>
      </c>
      <c r="Y3015" s="35">
        <v>5.0</v>
      </c>
      <c r="Z3015" s="32" t="s">
        <v>63</v>
      </c>
      <c r="AA3015" s="38"/>
      <c r="AB3015" s="38"/>
      <c r="AC3015" s="38"/>
      <c r="AD3015" s="38"/>
      <c r="AE3015" s="38"/>
      <c r="AF3015" s="38"/>
      <c r="AG3015" s="38"/>
      <c r="AH3015" s="38"/>
      <c r="AI3015" s="38"/>
      <c r="AJ3015" s="38"/>
      <c r="AK3015" s="38"/>
    </row>
    <row r="3016">
      <c r="A3016" s="99">
        <v>3015.0</v>
      </c>
      <c r="B3016" s="15"/>
      <c r="C3016" s="15"/>
      <c r="D3016" s="105">
        <v>1.0</v>
      </c>
      <c r="E3016" s="102">
        <v>53.0</v>
      </c>
      <c r="F3016" s="107">
        <v>25.0</v>
      </c>
      <c r="G3016" s="15" t="str">
        <f t="shared" si="1"/>
        <v>53025</v>
      </c>
      <c r="H3016" s="23" t="s">
        <v>278</v>
      </c>
      <c r="I3016" s="23" t="s">
        <v>119</v>
      </c>
      <c r="J3016" s="23" t="s">
        <v>256</v>
      </c>
      <c r="K3016" s="23" t="str">
        <f t="shared" si="48"/>
        <v>Grant, WA</v>
      </c>
      <c r="L3016" s="23" t="s">
        <v>63</v>
      </c>
      <c r="M3016" s="23" t="s">
        <v>63</v>
      </c>
      <c r="N3016" s="23" t="s">
        <v>63</v>
      </c>
      <c r="O3016" s="23" t="s">
        <v>63</v>
      </c>
      <c r="P3016" s="23" t="s">
        <v>63</v>
      </c>
      <c r="Q3016" s="23" t="s">
        <v>63</v>
      </c>
      <c r="R3016" s="23" t="s">
        <v>63</v>
      </c>
      <c r="S3016" s="23" t="s">
        <v>63</v>
      </c>
      <c r="T3016" s="32" t="s">
        <v>63</v>
      </c>
      <c r="U3016" s="23" t="s">
        <v>63</v>
      </c>
      <c r="V3016" s="23" t="s">
        <v>63</v>
      </c>
      <c r="W3016" s="23" t="s">
        <v>63</v>
      </c>
      <c r="X3016" s="23" t="s">
        <v>63</v>
      </c>
      <c r="Y3016" s="35">
        <v>78.0</v>
      </c>
      <c r="Z3016" s="32" t="s">
        <v>63</v>
      </c>
      <c r="AA3016" s="38"/>
      <c r="AB3016" s="38"/>
      <c r="AC3016" s="38"/>
      <c r="AD3016" s="38"/>
      <c r="AE3016" s="38"/>
      <c r="AF3016" s="38"/>
      <c r="AG3016" s="38"/>
      <c r="AH3016" s="38"/>
      <c r="AI3016" s="38"/>
      <c r="AJ3016" s="38"/>
      <c r="AK3016" s="38"/>
    </row>
    <row r="3017">
      <c r="A3017" s="99">
        <v>3016.0</v>
      </c>
      <c r="B3017" s="15"/>
      <c r="C3017" s="15"/>
      <c r="D3017" s="105">
        <v>1.0</v>
      </c>
      <c r="E3017" s="102">
        <v>53.0</v>
      </c>
      <c r="F3017" s="107">
        <v>27.0</v>
      </c>
      <c r="G3017" s="15" t="str">
        <f t="shared" si="1"/>
        <v>53027</v>
      </c>
      <c r="H3017" s="23" t="s">
        <v>2313</v>
      </c>
      <c r="I3017" s="23" t="s">
        <v>119</v>
      </c>
      <c r="J3017" s="23" t="s">
        <v>256</v>
      </c>
      <c r="K3017" s="112" t="str">
        <f t="shared" si="48"/>
        <v>Grays Harbor, WA</v>
      </c>
      <c r="L3017" s="23" t="s">
        <v>63</v>
      </c>
      <c r="M3017" s="23" t="s">
        <v>63</v>
      </c>
      <c r="N3017" s="23" t="s">
        <v>63</v>
      </c>
      <c r="O3017" s="23" t="s">
        <v>63</v>
      </c>
      <c r="P3017" s="23" t="s">
        <v>63</v>
      </c>
      <c r="Q3017" s="23" t="s">
        <v>63</v>
      </c>
      <c r="R3017" s="23" t="s">
        <v>63</v>
      </c>
      <c r="S3017" s="23" t="s">
        <v>63</v>
      </c>
      <c r="T3017" s="32" t="s">
        <v>63</v>
      </c>
      <c r="U3017" s="23" t="s">
        <v>63</v>
      </c>
      <c r="V3017" s="23" t="s">
        <v>63</v>
      </c>
      <c r="W3017" s="23" t="s">
        <v>63</v>
      </c>
      <c r="X3017" s="23" t="s">
        <v>63</v>
      </c>
      <c r="Y3017" s="35">
        <v>75.0</v>
      </c>
      <c r="Z3017" s="32" t="s">
        <v>63</v>
      </c>
      <c r="AA3017" s="38"/>
      <c r="AB3017" s="38"/>
      <c r="AC3017" s="38"/>
      <c r="AD3017" s="38"/>
      <c r="AE3017" s="38"/>
      <c r="AF3017" s="38"/>
      <c r="AG3017" s="38"/>
      <c r="AH3017" s="38"/>
      <c r="AI3017" s="38"/>
      <c r="AJ3017" s="38"/>
      <c r="AK3017" s="38"/>
    </row>
    <row r="3018">
      <c r="A3018" s="99">
        <v>3017.0</v>
      </c>
      <c r="B3018" s="15"/>
      <c r="C3018" s="15"/>
      <c r="D3018" s="105">
        <v>1.0</v>
      </c>
      <c r="E3018" s="102">
        <v>53.0</v>
      </c>
      <c r="F3018" s="107">
        <v>29.0</v>
      </c>
      <c r="G3018" s="15" t="str">
        <f t="shared" si="1"/>
        <v>53029</v>
      </c>
      <c r="H3018" s="23" t="s">
        <v>2314</v>
      </c>
      <c r="I3018" s="23" t="s">
        <v>119</v>
      </c>
      <c r="J3018" s="23" t="s">
        <v>256</v>
      </c>
      <c r="K3018" s="23" t="str">
        <f t="shared" si="48"/>
        <v>Island, WA</v>
      </c>
      <c r="L3018" s="23" t="s">
        <v>63</v>
      </c>
      <c r="M3018" s="23" t="s">
        <v>63</v>
      </c>
      <c r="N3018" s="23" t="s">
        <v>63</v>
      </c>
      <c r="O3018" s="23" t="s">
        <v>63</v>
      </c>
      <c r="P3018" s="23" t="s">
        <v>63</v>
      </c>
      <c r="Q3018" s="23" t="s">
        <v>63</v>
      </c>
      <c r="R3018" s="23" t="s">
        <v>63</v>
      </c>
      <c r="S3018" s="23" t="s">
        <v>63</v>
      </c>
      <c r="T3018" s="32" t="s">
        <v>63</v>
      </c>
      <c r="U3018" s="23" t="s">
        <v>63</v>
      </c>
      <c r="V3018" s="23" t="s">
        <v>63</v>
      </c>
      <c r="W3018" s="23" t="s">
        <v>63</v>
      </c>
      <c r="X3018" s="23" t="s">
        <v>63</v>
      </c>
      <c r="Y3018" s="35">
        <v>51.0</v>
      </c>
      <c r="Z3018" s="32" t="s">
        <v>63</v>
      </c>
      <c r="AA3018" s="38"/>
      <c r="AB3018" s="38"/>
      <c r="AC3018" s="38"/>
      <c r="AD3018" s="38"/>
      <c r="AE3018" s="38"/>
      <c r="AF3018" s="38"/>
      <c r="AG3018" s="38"/>
      <c r="AH3018" s="38"/>
      <c r="AI3018" s="38"/>
      <c r="AJ3018" s="38"/>
      <c r="AK3018" s="38"/>
    </row>
    <row r="3019">
      <c r="A3019" s="99">
        <v>3018.0</v>
      </c>
      <c r="B3019" s="15"/>
      <c r="C3019" s="15"/>
      <c r="D3019" s="105">
        <v>1.0</v>
      </c>
      <c r="E3019" s="102">
        <v>53.0</v>
      </c>
      <c r="F3019" s="107">
        <v>31.0</v>
      </c>
      <c r="G3019" s="15" t="str">
        <f t="shared" si="1"/>
        <v>53031</v>
      </c>
      <c r="H3019" s="23" t="s">
        <v>143</v>
      </c>
      <c r="I3019" s="23" t="s">
        <v>119</v>
      </c>
      <c r="J3019" s="23" t="s">
        <v>256</v>
      </c>
      <c r="K3019" s="23" t="str">
        <f t="shared" si="48"/>
        <v>Jefferson, WA</v>
      </c>
      <c r="L3019" s="23" t="s">
        <v>63</v>
      </c>
      <c r="M3019" s="23" t="s">
        <v>63</v>
      </c>
      <c r="N3019" s="23" t="s">
        <v>63</v>
      </c>
      <c r="O3019" s="23" t="s">
        <v>63</v>
      </c>
      <c r="P3019" s="23" t="s">
        <v>63</v>
      </c>
      <c r="Q3019" s="23" t="s">
        <v>63</v>
      </c>
      <c r="R3019" s="23" t="s">
        <v>63</v>
      </c>
      <c r="S3019" s="23" t="s">
        <v>63</v>
      </c>
      <c r="T3019" s="32" t="s">
        <v>63</v>
      </c>
      <c r="U3019" s="23" t="s">
        <v>63</v>
      </c>
      <c r="V3019" s="23" t="s">
        <v>63</v>
      </c>
      <c r="W3019" s="23" t="s">
        <v>63</v>
      </c>
      <c r="X3019" s="23" t="s">
        <v>63</v>
      </c>
      <c r="Y3019" s="35">
        <v>24.0</v>
      </c>
      <c r="Z3019" s="32" t="s">
        <v>63</v>
      </c>
      <c r="AA3019" s="38"/>
      <c r="AB3019" s="38"/>
      <c r="AC3019" s="38"/>
      <c r="AD3019" s="38"/>
      <c r="AE3019" s="38"/>
      <c r="AF3019" s="38"/>
      <c r="AG3019" s="38"/>
      <c r="AH3019" s="38"/>
      <c r="AI3019" s="38"/>
      <c r="AJ3019" s="38"/>
      <c r="AK3019" s="38"/>
    </row>
    <row r="3020">
      <c r="A3020" s="99">
        <v>3019.0</v>
      </c>
      <c r="B3020" s="15"/>
      <c r="C3020" s="15"/>
      <c r="D3020" s="105">
        <v>1.0</v>
      </c>
      <c r="E3020" s="102">
        <v>53.0</v>
      </c>
      <c r="F3020" s="107">
        <v>33.0</v>
      </c>
      <c r="G3020" s="15" t="str">
        <f t="shared" si="1"/>
        <v>53033</v>
      </c>
      <c r="H3020" s="23" t="s">
        <v>255</v>
      </c>
      <c r="I3020" s="23" t="s">
        <v>119</v>
      </c>
      <c r="J3020" s="23" t="s">
        <v>256</v>
      </c>
      <c r="K3020" s="23" t="str">
        <f t="shared" si="48"/>
        <v>King, WA</v>
      </c>
      <c r="L3020" s="23" t="s">
        <v>63</v>
      </c>
      <c r="M3020" s="23" t="s">
        <v>63</v>
      </c>
      <c r="N3020" s="23" t="s">
        <v>63</v>
      </c>
      <c r="O3020" s="23" t="s">
        <v>63</v>
      </c>
      <c r="P3020" s="23" t="s">
        <v>63</v>
      </c>
      <c r="Q3020" s="23" t="s">
        <v>63</v>
      </c>
      <c r="R3020" s="23" t="s">
        <v>63</v>
      </c>
      <c r="S3020" s="23" t="s">
        <v>63</v>
      </c>
      <c r="T3020" s="32" t="s">
        <v>63</v>
      </c>
      <c r="U3020" s="23" t="s">
        <v>63</v>
      </c>
      <c r="V3020" s="23" t="s">
        <v>63</v>
      </c>
      <c r="W3020" s="23" t="s">
        <v>63</v>
      </c>
      <c r="X3020" s="23" t="s">
        <v>63</v>
      </c>
      <c r="Y3020" s="35">
        <v>828.0</v>
      </c>
      <c r="Z3020" s="32" t="s">
        <v>63</v>
      </c>
      <c r="AA3020" s="38"/>
      <c r="AB3020" s="38"/>
      <c r="AC3020" s="38"/>
      <c r="AD3020" s="38"/>
      <c r="AE3020" s="38"/>
      <c r="AF3020" s="38"/>
      <c r="AG3020" s="38"/>
      <c r="AH3020" s="38"/>
      <c r="AI3020" s="38"/>
      <c r="AJ3020" s="38"/>
      <c r="AK3020" s="38"/>
    </row>
    <row r="3021">
      <c r="A3021" s="99">
        <v>3020.0</v>
      </c>
      <c r="B3021" s="15"/>
      <c r="C3021" s="15"/>
      <c r="D3021" s="105">
        <v>1.0</v>
      </c>
      <c r="E3021" s="102">
        <v>53.0</v>
      </c>
      <c r="F3021" s="107">
        <v>35.0</v>
      </c>
      <c r="G3021" s="15" t="str">
        <f t="shared" si="1"/>
        <v>53035</v>
      </c>
      <c r="H3021" s="23" t="s">
        <v>2315</v>
      </c>
      <c r="I3021" s="23" t="s">
        <v>119</v>
      </c>
      <c r="J3021" s="23" t="s">
        <v>256</v>
      </c>
      <c r="K3021" s="23" t="str">
        <f t="shared" si="48"/>
        <v>Kitsap, WA</v>
      </c>
      <c r="L3021" s="23" t="s">
        <v>63</v>
      </c>
      <c r="M3021" s="23" t="s">
        <v>63</v>
      </c>
      <c r="N3021" s="23" t="s">
        <v>63</v>
      </c>
      <c r="O3021" s="23" t="s">
        <v>63</v>
      </c>
      <c r="P3021" s="23" t="s">
        <v>63</v>
      </c>
      <c r="Q3021" s="23" t="s">
        <v>63</v>
      </c>
      <c r="R3021" s="23" t="s">
        <v>63</v>
      </c>
      <c r="S3021" s="23" t="s">
        <v>63</v>
      </c>
      <c r="T3021" s="32" t="s">
        <v>63</v>
      </c>
      <c r="U3021" s="23" t="s">
        <v>63</v>
      </c>
      <c r="V3021" s="23" t="s">
        <v>63</v>
      </c>
      <c r="W3021" s="23" t="s">
        <v>63</v>
      </c>
      <c r="X3021" s="23" t="s">
        <v>63</v>
      </c>
      <c r="Y3021" s="35">
        <v>151.0</v>
      </c>
      <c r="Z3021" s="32" t="s">
        <v>63</v>
      </c>
      <c r="AA3021" s="38"/>
      <c r="AB3021" s="38"/>
      <c r="AC3021" s="38"/>
      <c r="AD3021" s="38"/>
      <c r="AE3021" s="38"/>
      <c r="AF3021" s="38"/>
      <c r="AG3021" s="38"/>
      <c r="AH3021" s="38"/>
      <c r="AI3021" s="38"/>
      <c r="AJ3021" s="38"/>
      <c r="AK3021" s="38"/>
    </row>
    <row r="3022">
      <c r="A3022" s="99">
        <v>3021.0</v>
      </c>
      <c r="B3022" s="15"/>
      <c r="C3022" s="15"/>
      <c r="D3022" s="105">
        <v>1.0</v>
      </c>
      <c r="E3022" s="102">
        <v>53.0</v>
      </c>
      <c r="F3022" s="107">
        <v>37.0</v>
      </c>
      <c r="G3022" s="15" t="str">
        <f t="shared" si="1"/>
        <v>53037</v>
      </c>
      <c r="H3022" s="23" t="s">
        <v>2316</v>
      </c>
      <c r="I3022" s="23" t="s">
        <v>119</v>
      </c>
      <c r="J3022" s="23" t="s">
        <v>256</v>
      </c>
      <c r="K3022" s="23" t="str">
        <f t="shared" si="48"/>
        <v>Kittitas, WA</v>
      </c>
      <c r="L3022" s="23" t="s">
        <v>63</v>
      </c>
      <c r="M3022" s="23" t="s">
        <v>63</v>
      </c>
      <c r="N3022" s="23" t="s">
        <v>63</v>
      </c>
      <c r="O3022" s="23" t="s">
        <v>63</v>
      </c>
      <c r="P3022" s="23" t="s">
        <v>63</v>
      </c>
      <c r="Q3022" s="23" t="s">
        <v>63</v>
      </c>
      <c r="R3022" s="23" t="s">
        <v>63</v>
      </c>
      <c r="S3022" s="23" t="s">
        <v>63</v>
      </c>
      <c r="T3022" s="32" t="s">
        <v>63</v>
      </c>
      <c r="U3022" s="23" t="s">
        <v>63</v>
      </c>
      <c r="V3022" s="23" t="s">
        <v>63</v>
      </c>
      <c r="W3022" s="23" t="s">
        <v>63</v>
      </c>
      <c r="X3022" s="23" t="s">
        <v>63</v>
      </c>
      <c r="Y3022" s="35">
        <v>32.0</v>
      </c>
      <c r="Z3022" s="32" t="s">
        <v>63</v>
      </c>
      <c r="AA3022" s="38"/>
      <c r="AB3022" s="38"/>
      <c r="AC3022" s="38"/>
      <c r="AD3022" s="38"/>
      <c r="AE3022" s="38"/>
      <c r="AF3022" s="38"/>
      <c r="AG3022" s="38"/>
      <c r="AH3022" s="38"/>
      <c r="AI3022" s="38"/>
      <c r="AJ3022" s="38"/>
      <c r="AK3022" s="38"/>
    </row>
    <row r="3023">
      <c r="A3023" s="99">
        <v>3022.0</v>
      </c>
      <c r="B3023" s="15"/>
      <c r="C3023" s="15"/>
      <c r="D3023" s="105">
        <v>1.0</v>
      </c>
      <c r="E3023" s="102">
        <v>53.0</v>
      </c>
      <c r="F3023" s="107">
        <v>39.0</v>
      </c>
      <c r="G3023" s="15" t="str">
        <f t="shared" si="1"/>
        <v>53039</v>
      </c>
      <c r="H3023" s="23" t="s">
        <v>2317</v>
      </c>
      <c r="I3023" s="23" t="s">
        <v>119</v>
      </c>
      <c r="J3023" s="23" t="s">
        <v>256</v>
      </c>
      <c r="K3023" s="23" t="str">
        <f t="shared" si="48"/>
        <v>Klickitat, WA</v>
      </c>
      <c r="L3023" s="23" t="s">
        <v>63</v>
      </c>
      <c r="M3023" s="23" t="s">
        <v>63</v>
      </c>
      <c r="N3023" s="23" t="s">
        <v>63</v>
      </c>
      <c r="O3023" s="23" t="s">
        <v>63</v>
      </c>
      <c r="P3023" s="23" t="s">
        <v>63</v>
      </c>
      <c r="Q3023" s="23" t="s">
        <v>63</v>
      </c>
      <c r="R3023" s="23" t="s">
        <v>63</v>
      </c>
      <c r="S3023" s="23" t="s">
        <v>63</v>
      </c>
      <c r="T3023" s="32" t="s">
        <v>63</v>
      </c>
      <c r="U3023" s="23" t="s">
        <v>63</v>
      </c>
      <c r="V3023" s="23" t="s">
        <v>63</v>
      </c>
      <c r="W3023" s="23" t="s">
        <v>63</v>
      </c>
      <c r="X3023" s="23" t="s">
        <v>63</v>
      </c>
      <c r="Y3023" s="35">
        <v>28.0</v>
      </c>
      <c r="Z3023" s="32" t="s">
        <v>63</v>
      </c>
      <c r="AA3023" s="38"/>
      <c r="AB3023" s="38"/>
      <c r="AC3023" s="38"/>
      <c r="AD3023" s="38"/>
      <c r="AE3023" s="38"/>
      <c r="AF3023" s="38"/>
      <c r="AG3023" s="38"/>
      <c r="AH3023" s="38"/>
      <c r="AI3023" s="38"/>
      <c r="AJ3023" s="38"/>
      <c r="AK3023" s="38"/>
    </row>
    <row r="3024">
      <c r="A3024" s="99">
        <v>3023.0</v>
      </c>
      <c r="B3024" s="15"/>
      <c r="C3024" s="15"/>
      <c r="D3024" s="105">
        <v>1.0</v>
      </c>
      <c r="E3024" s="102">
        <v>53.0</v>
      </c>
      <c r="F3024" s="107">
        <v>41.0</v>
      </c>
      <c r="G3024" s="15" t="str">
        <f t="shared" si="1"/>
        <v>53041</v>
      </c>
      <c r="H3024" s="23" t="s">
        <v>682</v>
      </c>
      <c r="I3024" s="23" t="s">
        <v>119</v>
      </c>
      <c r="J3024" s="23" t="s">
        <v>256</v>
      </c>
      <c r="K3024" s="23" t="str">
        <f t="shared" si="48"/>
        <v>Lewis, WA</v>
      </c>
      <c r="L3024" s="23" t="s">
        <v>63</v>
      </c>
      <c r="M3024" s="23" t="s">
        <v>63</v>
      </c>
      <c r="N3024" s="23" t="s">
        <v>63</v>
      </c>
      <c r="O3024" s="23" t="s">
        <v>63</v>
      </c>
      <c r="P3024" s="23" t="s">
        <v>63</v>
      </c>
      <c r="Q3024" s="23" t="s">
        <v>63</v>
      </c>
      <c r="R3024" s="23" t="s">
        <v>63</v>
      </c>
      <c r="S3024" s="23" t="s">
        <v>63</v>
      </c>
      <c r="T3024" s="32" t="s">
        <v>63</v>
      </c>
      <c r="U3024" s="23" t="s">
        <v>63</v>
      </c>
      <c r="V3024" s="23" t="s">
        <v>63</v>
      </c>
      <c r="W3024" s="23" t="s">
        <v>63</v>
      </c>
      <c r="X3024" s="23" t="s">
        <v>63</v>
      </c>
      <c r="Y3024" s="35">
        <v>77.0</v>
      </c>
      <c r="Z3024" s="32" t="s">
        <v>63</v>
      </c>
      <c r="AA3024" s="38"/>
      <c r="AB3024" s="38"/>
      <c r="AC3024" s="38"/>
      <c r="AD3024" s="38"/>
      <c r="AE3024" s="38"/>
      <c r="AF3024" s="38"/>
      <c r="AG3024" s="38"/>
      <c r="AH3024" s="38"/>
      <c r="AI3024" s="38"/>
      <c r="AJ3024" s="38"/>
      <c r="AK3024" s="38"/>
    </row>
    <row r="3025">
      <c r="A3025" s="99">
        <v>3024.0</v>
      </c>
      <c r="B3025" s="15"/>
      <c r="C3025" s="15"/>
      <c r="D3025" s="105">
        <v>1.0</v>
      </c>
      <c r="E3025" s="102">
        <v>53.0</v>
      </c>
      <c r="F3025" s="107">
        <v>43.0</v>
      </c>
      <c r="G3025" s="15" t="str">
        <f t="shared" si="1"/>
        <v>53043</v>
      </c>
      <c r="H3025" s="23" t="s">
        <v>290</v>
      </c>
      <c r="I3025" s="23" t="s">
        <v>119</v>
      </c>
      <c r="J3025" s="23" t="s">
        <v>256</v>
      </c>
      <c r="K3025" s="23" t="str">
        <f t="shared" si="48"/>
        <v>Lincoln, WA</v>
      </c>
      <c r="L3025" s="23" t="s">
        <v>63</v>
      </c>
      <c r="M3025" s="23" t="s">
        <v>63</v>
      </c>
      <c r="N3025" s="23" t="s">
        <v>63</v>
      </c>
      <c r="O3025" s="23" t="s">
        <v>63</v>
      </c>
      <c r="P3025" s="23" t="s">
        <v>63</v>
      </c>
      <c r="Q3025" s="23" t="s">
        <v>63</v>
      </c>
      <c r="R3025" s="23" t="s">
        <v>63</v>
      </c>
      <c r="S3025" s="23" t="s">
        <v>63</v>
      </c>
      <c r="T3025" s="32" t="s">
        <v>63</v>
      </c>
      <c r="U3025" s="23" t="s">
        <v>63</v>
      </c>
      <c r="V3025" s="23" t="s">
        <v>63</v>
      </c>
      <c r="W3025" s="23" t="s">
        <v>63</v>
      </c>
      <c r="X3025" s="23" t="s">
        <v>63</v>
      </c>
      <c r="Y3025" s="35">
        <v>29.0</v>
      </c>
      <c r="Z3025" s="32" t="s">
        <v>63</v>
      </c>
      <c r="AA3025" s="38"/>
      <c r="AB3025" s="38"/>
      <c r="AC3025" s="38"/>
      <c r="AD3025" s="38"/>
      <c r="AE3025" s="38"/>
      <c r="AF3025" s="38"/>
      <c r="AG3025" s="38"/>
      <c r="AH3025" s="38"/>
      <c r="AI3025" s="38"/>
      <c r="AJ3025" s="38"/>
      <c r="AK3025" s="38"/>
    </row>
    <row r="3026">
      <c r="A3026" s="99">
        <v>3025.0</v>
      </c>
      <c r="B3026" s="15"/>
      <c r="C3026" s="15"/>
      <c r="D3026" s="105">
        <v>1.0</v>
      </c>
      <c r="E3026" s="102">
        <v>53.0</v>
      </c>
      <c r="F3026" s="107">
        <v>45.0</v>
      </c>
      <c r="G3026" s="15" t="str">
        <f t="shared" si="1"/>
        <v>53045</v>
      </c>
      <c r="H3026" s="23" t="s">
        <v>735</v>
      </c>
      <c r="I3026" s="23" t="s">
        <v>119</v>
      </c>
      <c r="J3026" s="23" t="s">
        <v>256</v>
      </c>
      <c r="K3026" s="23" t="str">
        <f t="shared" si="48"/>
        <v>Mason, WA</v>
      </c>
      <c r="L3026" s="23" t="s">
        <v>63</v>
      </c>
      <c r="M3026" s="23" t="s">
        <v>63</v>
      </c>
      <c r="N3026" s="23" t="s">
        <v>63</v>
      </c>
      <c r="O3026" s="23" t="s">
        <v>63</v>
      </c>
      <c r="P3026" s="23" t="s">
        <v>63</v>
      </c>
      <c r="Q3026" s="23" t="s">
        <v>63</v>
      </c>
      <c r="R3026" s="23" t="s">
        <v>63</v>
      </c>
      <c r="S3026" s="23" t="s">
        <v>63</v>
      </c>
      <c r="T3026" s="32" t="s">
        <v>63</v>
      </c>
      <c r="U3026" s="23" t="s">
        <v>63</v>
      </c>
      <c r="V3026" s="23" t="s">
        <v>63</v>
      </c>
      <c r="W3026" s="23" t="s">
        <v>63</v>
      </c>
      <c r="X3026" s="23" t="s">
        <v>63</v>
      </c>
      <c r="Y3026" s="35">
        <v>42.0</v>
      </c>
      <c r="Z3026" s="32" t="s">
        <v>63</v>
      </c>
      <c r="AA3026" s="38"/>
      <c r="AB3026" s="38"/>
      <c r="AC3026" s="38"/>
      <c r="AD3026" s="38"/>
      <c r="AE3026" s="38"/>
      <c r="AF3026" s="38"/>
      <c r="AG3026" s="38"/>
      <c r="AH3026" s="38"/>
      <c r="AI3026" s="38"/>
      <c r="AJ3026" s="38"/>
      <c r="AK3026" s="38"/>
    </row>
    <row r="3027">
      <c r="A3027" s="99">
        <v>3026.0</v>
      </c>
      <c r="B3027" s="15"/>
      <c r="C3027" s="15"/>
      <c r="D3027" s="105">
        <v>1.0</v>
      </c>
      <c r="E3027" s="102">
        <v>53.0</v>
      </c>
      <c r="F3027" s="107">
        <v>47.0</v>
      </c>
      <c r="G3027" s="15" t="str">
        <f t="shared" si="1"/>
        <v>53047</v>
      </c>
      <c r="H3027" s="23" t="s">
        <v>2318</v>
      </c>
      <c r="I3027" s="23" t="s">
        <v>119</v>
      </c>
      <c r="J3027" s="23" t="s">
        <v>256</v>
      </c>
      <c r="K3027" s="23" t="str">
        <f t="shared" si="48"/>
        <v>Okanogan, WA</v>
      </c>
      <c r="L3027" s="23" t="s">
        <v>63</v>
      </c>
      <c r="M3027" s="23" t="s">
        <v>63</v>
      </c>
      <c r="N3027" s="23" t="s">
        <v>63</v>
      </c>
      <c r="O3027" s="23" t="s">
        <v>63</v>
      </c>
      <c r="P3027" s="23" t="s">
        <v>63</v>
      </c>
      <c r="Q3027" s="23" t="s">
        <v>63</v>
      </c>
      <c r="R3027" s="23" t="s">
        <v>63</v>
      </c>
      <c r="S3027" s="23" t="s">
        <v>63</v>
      </c>
      <c r="T3027" s="32" t="s">
        <v>63</v>
      </c>
      <c r="U3027" s="23" t="s">
        <v>63</v>
      </c>
      <c r="V3027" s="23" t="s">
        <v>63</v>
      </c>
      <c r="W3027" s="23" t="s">
        <v>63</v>
      </c>
      <c r="X3027" s="23" t="s">
        <v>63</v>
      </c>
      <c r="Y3027" s="35">
        <v>56.0</v>
      </c>
      <c r="Z3027" s="32" t="s">
        <v>63</v>
      </c>
      <c r="AA3027" s="38"/>
      <c r="AB3027" s="38"/>
      <c r="AC3027" s="38"/>
      <c r="AD3027" s="38"/>
      <c r="AE3027" s="38"/>
      <c r="AF3027" s="38"/>
      <c r="AG3027" s="38"/>
      <c r="AH3027" s="38"/>
      <c r="AI3027" s="38"/>
      <c r="AJ3027" s="38"/>
      <c r="AK3027" s="38"/>
    </row>
    <row r="3028">
      <c r="A3028" s="99">
        <v>3027.0</v>
      </c>
      <c r="B3028" s="15"/>
      <c r="C3028" s="15"/>
      <c r="D3028" s="105">
        <v>1.0</v>
      </c>
      <c r="E3028" s="102">
        <v>53.0</v>
      </c>
      <c r="F3028" s="107">
        <v>49.0</v>
      </c>
      <c r="G3028" s="15" t="str">
        <f t="shared" si="1"/>
        <v>53049</v>
      </c>
      <c r="H3028" s="23" t="s">
        <v>2319</v>
      </c>
      <c r="I3028" s="23" t="s">
        <v>119</v>
      </c>
      <c r="J3028" s="23" t="s">
        <v>256</v>
      </c>
      <c r="K3028" s="23" t="str">
        <f t="shared" si="48"/>
        <v>Pacific, WA</v>
      </c>
      <c r="L3028" s="23" t="s">
        <v>63</v>
      </c>
      <c r="M3028" s="23" t="s">
        <v>63</v>
      </c>
      <c r="N3028" s="23" t="s">
        <v>63</v>
      </c>
      <c r="O3028" s="23" t="s">
        <v>63</v>
      </c>
      <c r="P3028" s="23" t="s">
        <v>63</v>
      </c>
      <c r="Q3028" s="23" t="s">
        <v>63</v>
      </c>
      <c r="R3028" s="23" t="s">
        <v>63</v>
      </c>
      <c r="S3028" s="23" t="s">
        <v>63</v>
      </c>
      <c r="T3028" s="32" t="s">
        <v>63</v>
      </c>
      <c r="U3028" s="23" t="s">
        <v>63</v>
      </c>
      <c r="V3028" s="23" t="s">
        <v>63</v>
      </c>
      <c r="W3028" s="23" t="s">
        <v>63</v>
      </c>
      <c r="X3028" s="23" t="s">
        <v>63</v>
      </c>
      <c r="Y3028" s="35">
        <v>31.0</v>
      </c>
      <c r="Z3028" s="32" t="s">
        <v>63</v>
      </c>
      <c r="AA3028" s="38"/>
      <c r="AB3028" s="38"/>
      <c r="AC3028" s="38"/>
      <c r="AD3028" s="38"/>
      <c r="AE3028" s="38"/>
      <c r="AF3028" s="38"/>
      <c r="AG3028" s="38"/>
      <c r="AH3028" s="38"/>
      <c r="AI3028" s="38"/>
      <c r="AJ3028" s="38"/>
      <c r="AK3028" s="38"/>
    </row>
    <row r="3029">
      <c r="A3029" s="99">
        <v>3028.0</v>
      </c>
      <c r="B3029" s="15"/>
      <c r="C3029" s="15"/>
      <c r="D3029" s="105">
        <v>1.0</v>
      </c>
      <c r="E3029" s="102">
        <v>53.0</v>
      </c>
      <c r="F3029" s="107">
        <v>51.0</v>
      </c>
      <c r="G3029" s="15" t="str">
        <f t="shared" si="1"/>
        <v>53051</v>
      </c>
      <c r="H3029" s="23" t="s">
        <v>2320</v>
      </c>
      <c r="I3029" s="23" t="s">
        <v>119</v>
      </c>
      <c r="J3029" s="23" t="s">
        <v>256</v>
      </c>
      <c r="K3029" s="112" t="str">
        <f t="shared" si="48"/>
        <v>Pend Oreille, WA</v>
      </c>
      <c r="L3029" s="23" t="s">
        <v>63</v>
      </c>
      <c r="M3029" s="23" t="s">
        <v>63</v>
      </c>
      <c r="N3029" s="23" t="s">
        <v>63</v>
      </c>
      <c r="O3029" s="23" t="s">
        <v>63</v>
      </c>
      <c r="P3029" s="23" t="s">
        <v>63</v>
      </c>
      <c r="Q3029" s="23" t="s">
        <v>63</v>
      </c>
      <c r="R3029" s="23" t="s">
        <v>63</v>
      </c>
      <c r="S3029" s="23" t="s">
        <v>63</v>
      </c>
      <c r="T3029" s="32" t="s">
        <v>63</v>
      </c>
      <c r="U3029" s="23" t="s">
        <v>63</v>
      </c>
      <c r="V3029" s="23" t="s">
        <v>63</v>
      </c>
      <c r="W3029" s="23" t="s">
        <v>63</v>
      </c>
      <c r="X3029" s="23" t="s">
        <v>63</v>
      </c>
      <c r="Y3029" s="35">
        <v>15.0</v>
      </c>
      <c r="Z3029" s="32" t="s">
        <v>63</v>
      </c>
      <c r="AA3029" s="38"/>
      <c r="AB3029" s="38"/>
      <c r="AC3029" s="38"/>
      <c r="AD3029" s="38"/>
      <c r="AE3029" s="38"/>
      <c r="AF3029" s="38"/>
      <c r="AG3029" s="38"/>
      <c r="AH3029" s="38"/>
      <c r="AI3029" s="38"/>
      <c r="AJ3029" s="38"/>
      <c r="AK3029" s="38"/>
    </row>
    <row r="3030">
      <c r="A3030" s="99">
        <v>3029.0</v>
      </c>
      <c r="B3030" s="15"/>
      <c r="C3030" s="15"/>
      <c r="D3030" s="105">
        <v>1.0</v>
      </c>
      <c r="E3030" s="102">
        <v>53.0</v>
      </c>
      <c r="F3030" s="107">
        <v>53.0</v>
      </c>
      <c r="G3030" s="15" t="str">
        <f t="shared" si="1"/>
        <v>53053</v>
      </c>
      <c r="H3030" s="23" t="s">
        <v>473</v>
      </c>
      <c r="I3030" s="23" t="s">
        <v>119</v>
      </c>
      <c r="J3030" s="23" t="s">
        <v>256</v>
      </c>
      <c r="K3030" s="23" t="str">
        <f t="shared" si="48"/>
        <v>Pierce, WA</v>
      </c>
      <c r="L3030" s="23" t="s">
        <v>63</v>
      </c>
      <c r="M3030" s="23" t="s">
        <v>63</v>
      </c>
      <c r="N3030" s="23" t="s">
        <v>63</v>
      </c>
      <c r="O3030" s="23" t="s">
        <v>63</v>
      </c>
      <c r="P3030" s="23" t="s">
        <v>63</v>
      </c>
      <c r="Q3030" s="23" t="s">
        <v>63</v>
      </c>
      <c r="R3030" s="23" t="s">
        <v>63</v>
      </c>
      <c r="S3030" s="23" t="s">
        <v>63</v>
      </c>
      <c r="T3030" s="32" t="s">
        <v>63</v>
      </c>
      <c r="U3030" s="23" t="s">
        <v>63</v>
      </c>
      <c r="V3030" s="23" t="s">
        <v>63</v>
      </c>
      <c r="W3030" s="23" t="s">
        <v>63</v>
      </c>
      <c r="X3030" s="23" t="s">
        <v>63</v>
      </c>
      <c r="Y3030" s="35">
        <v>426.0</v>
      </c>
      <c r="Z3030" s="32" t="s">
        <v>63</v>
      </c>
      <c r="AA3030" s="38"/>
      <c r="AB3030" s="38"/>
      <c r="AC3030" s="38"/>
      <c r="AD3030" s="38"/>
      <c r="AE3030" s="38"/>
      <c r="AF3030" s="38"/>
      <c r="AG3030" s="38"/>
      <c r="AH3030" s="38"/>
      <c r="AI3030" s="38"/>
      <c r="AJ3030" s="38"/>
      <c r="AK3030" s="38"/>
    </row>
    <row r="3031">
      <c r="A3031" s="99">
        <v>3030.0</v>
      </c>
      <c r="B3031" s="15"/>
      <c r="C3031" s="15"/>
      <c r="D3031" s="105">
        <v>1.0</v>
      </c>
      <c r="E3031" s="102">
        <v>53.0</v>
      </c>
      <c r="F3031" s="107">
        <v>55.0</v>
      </c>
      <c r="G3031" s="15" t="str">
        <f t="shared" si="1"/>
        <v>53055</v>
      </c>
      <c r="H3031" s="23" t="s">
        <v>457</v>
      </c>
      <c r="I3031" s="23" t="s">
        <v>119</v>
      </c>
      <c r="J3031" s="23" t="s">
        <v>256</v>
      </c>
      <c r="K3031" s="23" t="str">
        <f t="shared" si="48"/>
        <v>San Juan, WA</v>
      </c>
      <c r="L3031" s="23" t="s">
        <v>63</v>
      </c>
      <c r="M3031" s="23" t="s">
        <v>63</v>
      </c>
      <c r="N3031" s="23" t="s">
        <v>63</v>
      </c>
      <c r="O3031" s="23" t="s">
        <v>63</v>
      </c>
      <c r="P3031" s="23" t="s">
        <v>63</v>
      </c>
      <c r="Q3031" s="23" t="s">
        <v>63</v>
      </c>
      <c r="R3031" s="23" t="s">
        <v>63</v>
      </c>
      <c r="S3031" s="23" t="s">
        <v>63</v>
      </c>
      <c r="T3031" s="32" t="s">
        <v>63</v>
      </c>
      <c r="U3031" s="23" t="s">
        <v>63</v>
      </c>
      <c r="V3031" s="23" t="s">
        <v>63</v>
      </c>
      <c r="W3031" s="23" t="s">
        <v>63</v>
      </c>
      <c r="X3031" s="23" t="s">
        <v>63</v>
      </c>
      <c r="Y3031" s="35">
        <v>10.0</v>
      </c>
      <c r="Z3031" s="32" t="s">
        <v>63</v>
      </c>
      <c r="AA3031" s="38"/>
      <c r="AB3031" s="38"/>
      <c r="AC3031" s="38"/>
      <c r="AD3031" s="38"/>
      <c r="AE3031" s="38"/>
      <c r="AF3031" s="38"/>
      <c r="AG3031" s="38"/>
      <c r="AH3031" s="38"/>
      <c r="AI3031" s="38"/>
      <c r="AJ3031" s="38"/>
      <c r="AK3031" s="38"/>
    </row>
    <row r="3032">
      <c r="A3032" s="99">
        <v>3031.0</v>
      </c>
      <c r="B3032" s="15"/>
      <c r="C3032" s="15"/>
      <c r="D3032" s="105">
        <v>1.0</v>
      </c>
      <c r="E3032" s="102">
        <v>53.0</v>
      </c>
      <c r="F3032" s="107">
        <v>57.0</v>
      </c>
      <c r="G3032" s="15" t="str">
        <f t="shared" si="1"/>
        <v>53057</v>
      </c>
      <c r="H3032" s="23" t="s">
        <v>2321</v>
      </c>
      <c r="I3032" s="23" t="s">
        <v>119</v>
      </c>
      <c r="J3032" s="23" t="s">
        <v>256</v>
      </c>
      <c r="K3032" s="23" t="str">
        <f t="shared" si="48"/>
        <v>Skagit, WA</v>
      </c>
      <c r="L3032" s="23" t="s">
        <v>63</v>
      </c>
      <c r="M3032" s="23" t="s">
        <v>63</v>
      </c>
      <c r="N3032" s="23" t="s">
        <v>63</v>
      </c>
      <c r="O3032" s="23" t="s">
        <v>63</v>
      </c>
      <c r="P3032" s="23" t="s">
        <v>63</v>
      </c>
      <c r="Q3032" s="23" t="s">
        <v>63</v>
      </c>
      <c r="R3032" s="23" t="s">
        <v>63</v>
      </c>
      <c r="S3032" s="23" t="s">
        <v>63</v>
      </c>
      <c r="T3032" s="32" t="s">
        <v>63</v>
      </c>
      <c r="U3032" s="23" t="s">
        <v>63</v>
      </c>
      <c r="V3032" s="23" t="s">
        <v>63</v>
      </c>
      <c r="W3032" s="23" t="s">
        <v>63</v>
      </c>
      <c r="X3032" s="23" t="s">
        <v>63</v>
      </c>
      <c r="Y3032" s="35">
        <v>90.0</v>
      </c>
      <c r="Z3032" s="32" t="s">
        <v>63</v>
      </c>
      <c r="AA3032" s="38"/>
      <c r="AB3032" s="38"/>
      <c r="AC3032" s="38"/>
      <c r="AD3032" s="38"/>
      <c r="AE3032" s="38"/>
      <c r="AF3032" s="38"/>
      <c r="AG3032" s="38"/>
      <c r="AH3032" s="38"/>
      <c r="AI3032" s="38"/>
      <c r="AJ3032" s="38"/>
      <c r="AK3032" s="38"/>
    </row>
    <row r="3033">
      <c r="A3033" s="99">
        <v>3032.0</v>
      </c>
      <c r="B3033" s="15"/>
      <c r="C3033" s="15"/>
      <c r="D3033" s="105">
        <v>1.0</v>
      </c>
      <c r="E3033" s="102">
        <v>53.0</v>
      </c>
      <c r="F3033" s="107">
        <v>59.0</v>
      </c>
      <c r="G3033" s="15" t="str">
        <f t="shared" si="1"/>
        <v>53059</v>
      </c>
      <c r="H3033" s="23" t="s">
        <v>2322</v>
      </c>
      <c r="I3033" s="23" t="s">
        <v>119</v>
      </c>
      <c r="J3033" s="23" t="s">
        <v>256</v>
      </c>
      <c r="K3033" s="23" t="str">
        <f t="shared" si="48"/>
        <v>Skamania, WA</v>
      </c>
      <c r="L3033" s="23" t="s">
        <v>63</v>
      </c>
      <c r="M3033" s="23" t="s">
        <v>63</v>
      </c>
      <c r="N3033" s="23" t="s">
        <v>63</v>
      </c>
      <c r="O3033" s="23" t="s">
        <v>63</v>
      </c>
      <c r="P3033" s="23" t="s">
        <v>63</v>
      </c>
      <c r="Q3033" s="23" t="s">
        <v>63</v>
      </c>
      <c r="R3033" s="23" t="s">
        <v>63</v>
      </c>
      <c r="S3033" s="23" t="s">
        <v>63</v>
      </c>
      <c r="T3033" s="32" t="s">
        <v>63</v>
      </c>
      <c r="U3033" s="23" t="s">
        <v>63</v>
      </c>
      <c r="V3033" s="23" t="s">
        <v>63</v>
      </c>
      <c r="W3033" s="23" t="s">
        <v>63</v>
      </c>
      <c r="X3033" s="23" t="s">
        <v>63</v>
      </c>
      <c r="Y3033" s="35">
        <v>11.0</v>
      </c>
      <c r="Z3033" s="32" t="s">
        <v>63</v>
      </c>
      <c r="AA3033" s="38"/>
      <c r="AB3033" s="38"/>
      <c r="AC3033" s="38"/>
      <c r="AD3033" s="38"/>
      <c r="AE3033" s="38"/>
      <c r="AF3033" s="38"/>
      <c r="AG3033" s="38"/>
      <c r="AH3033" s="38"/>
      <c r="AI3033" s="38"/>
      <c r="AJ3033" s="38"/>
      <c r="AK3033" s="38"/>
    </row>
    <row r="3034">
      <c r="A3034" s="99">
        <v>3033.0</v>
      </c>
      <c r="B3034" s="15"/>
      <c r="C3034" s="15"/>
      <c r="D3034" s="105">
        <v>1.0</v>
      </c>
      <c r="E3034" s="102">
        <v>53.0</v>
      </c>
      <c r="F3034" s="107">
        <v>61.0</v>
      </c>
      <c r="G3034" s="15" t="str">
        <f t="shared" si="1"/>
        <v>53061</v>
      </c>
      <c r="H3034" s="23" t="s">
        <v>507</v>
      </c>
      <c r="I3034" s="23" t="s">
        <v>119</v>
      </c>
      <c r="J3034" s="23" t="s">
        <v>256</v>
      </c>
      <c r="K3034" s="23" t="str">
        <f t="shared" si="48"/>
        <v>Snohomish, WA</v>
      </c>
      <c r="L3034" s="23" t="s">
        <v>63</v>
      </c>
      <c r="M3034" s="23" t="s">
        <v>63</v>
      </c>
      <c r="N3034" s="23" t="s">
        <v>63</v>
      </c>
      <c r="O3034" s="23" t="s">
        <v>63</v>
      </c>
      <c r="P3034" s="23" t="s">
        <v>63</v>
      </c>
      <c r="Q3034" s="23" t="s">
        <v>63</v>
      </c>
      <c r="R3034" s="23" t="s">
        <v>63</v>
      </c>
      <c r="S3034" s="23" t="s">
        <v>63</v>
      </c>
      <c r="T3034" s="32" t="s">
        <v>63</v>
      </c>
      <c r="U3034" s="23" t="s">
        <v>63</v>
      </c>
      <c r="V3034" s="23" t="s">
        <v>63</v>
      </c>
      <c r="W3034" s="23" t="s">
        <v>63</v>
      </c>
      <c r="X3034" s="23" t="s">
        <v>63</v>
      </c>
      <c r="Y3034" s="35">
        <v>321.0</v>
      </c>
      <c r="Z3034" s="32" t="s">
        <v>63</v>
      </c>
      <c r="AA3034" s="38"/>
      <c r="AB3034" s="38"/>
      <c r="AC3034" s="38"/>
      <c r="AD3034" s="38"/>
      <c r="AE3034" s="38"/>
      <c r="AF3034" s="38"/>
      <c r="AG3034" s="38"/>
      <c r="AH3034" s="38"/>
      <c r="AI3034" s="38"/>
      <c r="AJ3034" s="38"/>
      <c r="AK3034" s="38"/>
    </row>
    <row r="3035">
      <c r="A3035" s="99">
        <v>3034.0</v>
      </c>
      <c r="B3035" s="15"/>
      <c r="C3035" s="15"/>
      <c r="D3035" s="105">
        <v>1.0</v>
      </c>
      <c r="E3035" s="102">
        <v>53.0</v>
      </c>
      <c r="F3035" s="107">
        <v>63.0</v>
      </c>
      <c r="G3035" s="15" t="str">
        <f t="shared" si="1"/>
        <v>53063</v>
      </c>
      <c r="H3035" s="23" t="s">
        <v>2323</v>
      </c>
      <c r="I3035" s="23" t="s">
        <v>119</v>
      </c>
      <c r="J3035" s="23" t="s">
        <v>256</v>
      </c>
      <c r="K3035" s="23" t="str">
        <f t="shared" si="48"/>
        <v>Spokane, WA</v>
      </c>
      <c r="L3035" s="23" t="s">
        <v>63</v>
      </c>
      <c r="M3035" s="23" t="s">
        <v>63</v>
      </c>
      <c r="N3035" s="23" t="s">
        <v>63</v>
      </c>
      <c r="O3035" s="23" t="s">
        <v>63</v>
      </c>
      <c r="P3035" s="23" t="s">
        <v>63</v>
      </c>
      <c r="Q3035" s="23" t="s">
        <v>63</v>
      </c>
      <c r="R3035" s="23" t="s">
        <v>63</v>
      </c>
      <c r="S3035" s="23" t="s">
        <v>63</v>
      </c>
      <c r="T3035" s="32" t="s">
        <v>63</v>
      </c>
      <c r="U3035" s="23" t="s">
        <v>63</v>
      </c>
      <c r="V3035" s="23" t="s">
        <v>63</v>
      </c>
      <c r="W3035" s="23" t="s">
        <v>63</v>
      </c>
      <c r="X3035" s="23" t="s">
        <v>63</v>
      </c>
      <c r="Y3035" s="35">
        <v>283.0</v>
      </c>
      <c r="Z3035" s="32" t="s">
        <v>63</v>
      </c>
      <c r="AA3035" s="38"/>
      <c r="AB3035" s="38"/>
      <c r="AC3035" s="38"/>
      <c r="AD3035" s="38"/>
      <c r="AE3035" s="38"/>
      <c r="AF3035" s="38"/>
      <c r="AG3035" s="38"/>
      <c r="AH3035" s="38"/>
      <c r="AI3035" s="38"/>
      <c r="AJ3035" s="38"/>
      <c r="AK3035" s="38"/>
    </row>
    <row r="3036">
      <c r="A3036" s="99">
        <v>3035.0</v>
      </c>
      <c r="B3036" s="15"/>
      <c r="C3036" s="15"/>
      <c r="D3036" s="105">
        <v>1.0</v>
      </c>
      <c r="E3036" s="102">
        <v>53.0</v>
      </c>
      <c r="F3036" s="107">
        <v>65.0</v>
      </c>
      <c r="G3036" s="15" t="str">
        <f t="shared" si="1"/>
        <v>53065</v>
      </c>
      <c r="H3036" s="23" t="s">
        <v>1015</v>
      </c>
      <c r="I3036" s="23" t="s">
        <v>119</v>
      </c>
      <c r="J3036" s="23" t="s">
        <v>256</v>
      </c>
      <c r="K3036" s="23" t="str">
        <f t="shared" si="48"/>
        <v>Stevens, WA</v>
      </c>
      <c r="L3036" s="23" t="s">
        <v>63</v>
      </c>
      <c r="M3036" s="23" t="s">
        <v>63</v>
      </c>
      <c r="N3036" s="23" t="s">
        <v>63</v>
      </c>
      <c r="O3036" s="23" t="s">
        <v>63</v>
      </c>
      <c r="P3036" s="23" t="s">
        <v>63</v>
      </c>
      <c r="Q3036" s="23" t="s">
        <v>63</v>
      </c>
      <c r="R3036" s="23" t="s">
        <v>63</v>
      </c>
      <c r="S3036" s="23" t="s">
        <v>63</v>
      </c>
      <c r="T3036" s="32" t="s">
        <v>63</v>
      </c>
      <c r="U3036" s="23" t="s">
        <v>63</v>
      </c>
      <c r="V3036" s="23" t="s">
        <v>63</v>
      </c>
      <c r="W3036" s="23" t="s">
        <v>63</v>
      </c>
      <c r="X3036" s="23" t="s">
        <v>63</v>
      </c>
      <c r="Y3036" s="35">
        <v>45.0</v>
      </c>
      <c r="Z3036" s="32" t="s">
        <v>63</v>
      </c>
      <c r="AA3036" s="38"/>
      <c r="AB3036" s="38"/>
      <c r="AC3036" s="38"/>
      <c r="AD3036" s="38"/>
      <c r="AE3036" s="38"/>
      <c r="AF3036" s="38"/>
      <c r="AG3036" s="38"/>
      <c r="AH3036" s="38"/>
      <c r="AI3036" s="38"/>
      <c r="AJ3036" s="38"/>
      <c r="AK3036" s="38"/>
    </row>
    <row r="3037">
      <c r="A3037" s="99">
        <v>3036.0</v>
      </c>
      <c r="B3037" s="15"/>
      <c r="C3037" s="15"/>
      <c r="D3037" s="105">
        <v>1.0</v>
      </c>
      <c r="E3037" s="102">
        <v>53.0</v>
      </c>
      <c r="F3037" s="107">
        <v>67.0</v>
      </c>
      <c r="G3037" s="15" t="str">
        <f t="shared" si="1"/>
        <v>53067</v>
      </c>
      <c r="H3037" s="23" t="s">
        <v>1505</v>
      </c>
      <c r="I3037" s="23" t="s">
        <v>119</v>
      </c>
      <c r="J3037" s="23" t="s">
        <v>256</v>
      </c>
      <c r="K3037" s="23" t="str">
        <f t="shared" si="48"/>
        <v>Thurston, WA</v>
      </c>
      <c r="L3037" s="23" t="s">
        <v>63</v>
      </c>
      <c r="M3037" s="23" t="s">
        <v>63</v>
      </c>
      <c r="N3037" s="23" t="s">
        <v>63</v>
      </c>
      <c r="O3037" s="23" t="s">
        <v>63</v>
      </c>
      <c r="P3037" s="23" t="s">
        <v>63</v>
      </c>
      <c r="Q3037" s="23" t="s">
        <v>63</v>
      </c>
      <c r="R3037" s="23" t="s">
        <v>63</v>
      </c>
      <c r="S3037" s="23" t="s">
        <v>63</v>
      </c>
      <c r="T3037" s="32" t="s">
        <v>63</v>
      </c>
      <c r="U3037" s="23" t="s">
        <v>63</v>
      </c>
      <c r="V3037" s="23" t="s">
        <v>63</v>
      </c>
      <c r="W3037" s="23" t="s">
        <v>63</v>
      </c>
      <c r="X3037" s="23" t="s">
        <v>63</v>
      </c>
      <c r="Y3037" s="35">
        <v>124.0</v>
      </c>
      <c r="Z3037" s="32" t="s">
        <v>63</v>
      </c>
      <c r="AA3037" s="38"/>
      <c r="AB3037" s="38"/>
      <c r="AC3037" s="38"/>
      <c r="AD3037" s="38"/>
      <c r="AE3037" s="38"/>
      <c r="AF3037" s="38"/>
      <c r="AG3037" s="38"/>
      <c r="AH3037" s="38"/>
      <c r="AI3037" s="38"/>
      <c r="AJ3037" s="38"/>
      <c r="AK3037" s="38"/>
    </row>
    <row r="3038">
      <c r="A3038" s="99">
        <v>3037.0</v>
      </c>
      <c r="B3038" s="15"/>
      <c r="C3038" s="15"/>
      <c r="D3038" s="105">
        <v>1.0</v>
      </c>
      <c r="E3038" s="102">
        <v>53.0</v>
      </c>
      <c r="F3038" s="107">
        <v>69.0</v>
      </c>
      <c r="G3038" s="15" t="str">
        <f t="shared" si="1"/>
        <v>53069</v>
      </c>
      <c r="H3038" s="23" t="s">
        <v>2324</v>
      </c>
      <c r="I3038" s="23" t="s">
        <v>119</v>
      </c>
      <c r="J3038" s="23" t="s">
        <v>256</v>
      </c>
      <c r="K3038" s="23" t="str">
        <f t="shared" si="48"/>
        <v>Wahkiakum, WA</v>
      </c>
      <c r="L3038" s="23" t="s">
        <v>63</v>
      </c>
      <c r="M3038" s="23" t="s">
        <v>63</v>
      </c>
      <c r="N3038" s="23" t="s">
        <v>63</v>
      </c>
      <c r="O3038" s="23" t="s">
        <v>63</v>
      </c>
      <c r="P3038" s="23" t="s">
        <v>63</v>
      </c>
      <c r="Q3038" s="23" t="s">
        <v>63</v>
      </c>
      <c r="R3038" s="23" t="s">
        <v>63</v>
      </c>
      <c r="S3038" s="23" t="s">
        <v>63</v>
      </c>
      <c r="T3038" s="32" t="s">
        <v>63</v>
      </c>
      <c r="U3038" s="23" t="s">
        <v>63</v>
      </c>
      <c r="V3038" s="23" t="s">
        <v>63</v>
      </c>
      <c r="W3038" s="23" t="s">
        <v>63</v>
      </c>
      <c r="X3038" s="23" t="s">
        <v>63</v>
      </c>
      <c r="Y3038" s="35">
        <v>7.0</v>
      </c>
      <c r="Z3038" s="32" t="s">
        <v>63</v>
      </c>
      <c r="AA3038" s="38"/>
      <c r="AB3038" s="38"/>
      <c r="AC3038" s="38"/>
      <c r="AD3038" s="38"/>
      <c r="AE3038" s="38"/>
      <c r="AF3038" s="38"/>
      <c r="AG3038" s="38"/>
      <c r="AH3038" s="38"/>
      <c r="AI3038" s="38"/>
      <c r="AJ3038" s="38"/>
      <c r="AK3038" s="38"/>
    </row>
    <row r="3039">
      <c r="A3039" s="99">
        <v>3038.0</v>
      </c>
      <c r="B3039" s="15"/>
      <c r="C3039" s="15"/>
      <c r="D3039" s="105">
        <v>1.0</v>
      </c>
      <c r="E3039" s="102">
        <v>53.0</v>
      </c>
      <c r="F3039" s="107">
        <v>71.0</v>
      </c>
      <c r="G3039" s="15" t="str">
        <f t="shared" si="1"/>
        <v>53071</v>
      </c>
      <c r="H3039" s="23" t="s">
        <v>2325</v>
      </c>
      <c r="I3039" s="23" t="s">
        <v>119</v>
      </c>
      <c r="J3039" s="23" t="s">
        <v>256</v>
      </c>
      <c r="K3039" s="23" t="str">
        <f t="shared" si="48"/>
        <v>Walla Walla, WA</v>
      </c>
      <c r="L3039" s="23" t="s">
        <v>63</v>
      </c>
      <c r="M3039" s="23" t="s">
        <v>63</v>
      </c>
      <c r="N3039" s="23" t="s">
        <v>63</v>
      </c>
      <c r="O3039" s="23" t="s">
        <v>63</v>
      </c>
      <c r="P3039" s="23" t="s">
        <v>63</v>
      </c>
      <c r="Q3039" s="23" t="s">
        <v>63</v>
      </c>
      <c r="R3039" s="23" t="s">
        <v>63</v>
      </c>
      <c r="S3039" s="23" t="s">
        <v>63</v>
      </c>
      <c r="T3039" s="32" t="s">
        <v>63</v>
      </c>
      <c r="U3039" s="23" t="s">
        <v>63</v>
      </c>
      <c r="V3039" s="23" t="s">
        <v>63</v>
      </c>
      <c r="W3039" s="23" t="s">
        <v>63</v>
      </c>
      <c r="X3039" s="23" t="s">
        <v>63</v>
      </c>
      <c r="Y3039" s="35">
        <v>41.0</v>
      </c>
      <c r="Z3039" s="32" t="s">
        <v>63</v>
      </c>
      <c r="AA3039" s="38"/>
      <c r="AB3039" s="38"/>
      <c r="AC3039" s="38"/>
      <c r="AD3039" s="38"/>
      <c r="AE3039" s="38"/>
      <c r="AF3039" s="38"/>
      <c r="AG3039" s="38"/>
      <c r="AH3039" s="38"/>
      <c r="AI3039" s="38"/>
      <c r="AJ3039" s="38"/>
      <c r="AK3039" s="38"/>
    </row>
    <row r="3040">
      <c r="A3040" s="99">
        <v>3039.0</v>
      </c>
      <c r="B3040" s="15"/>
      <c r="C3040" s="15"/>
      <c r="D3040" s="105">
        <v>1.0</v>
      </c>
      <c r="E3040" s="102">
        <v>53.0</v>
      </c>
      <c r="F3040" s="107">
        <v>73.0</v>
      </c>
      <c r="G3040" s="15" t="str">
        <f t="shared" si="1"/>
        <v>53073</v>
      </c>
      <c r="H3040" s="23" t="s">
        <v>2326</v>
      </c>
      <c r="I3040" s="23" t="s">
        <v>119</v>
      </c>
      <c r="J3040" s="23" t="s">
        <v>256</v>
      </c>
      <c r="K3040" s="23" t="str">
        <f t="shared" si="48"/>
        <v>Whatcom, WA</v>
      </c>
      <c r="L3040" s="23" t="s">
        <v>63</v>
      </c>
      <c r="M3040" s="23" t="s">
        <v>63</v>
      </c>
      <c r="N3040" s="23" t="s">
        <v>63</v>
      </c>
      <c r="O3040" s="23" t="s">
        <v>63</v>
      </c>
      <c r="P3040" s="23" t="s">
        <v>63</v>
      </c>
      <c r="Q3040" s="23" t="s">
        <v>63</v>
      </c>
      <c r="R3040" s="23" t="s">
        <v>63</v>
      </c>
      <c r="S3040" s="23" t="s">
        <v>63</v>
      </c>
      <c r="T3040" s="32" t="s">
        <v>63</v>
      </c>
      <c r="U3040" s="23" t="s">
        <v>63</v>
      </c>
      <c r="V3040" s="23" t="s">
        <v>63</v>
      </c>
      <c r="W3040" s="23" t="s">
        <v>63</v>
      </c>
      <c r="X3040" s="23" t="s">
        <v>63</v>
      </c>
      <c r="Y3040" s="35">
        <v>129.0</v>
      </c>
      <c r="Z3040" s="32" t="s">
        <v>63</v>
      </c>
      <c r="AA3040" s="38"/>
      <c r="AB3040" s="38"/>
      <c r="AC3040" s="38"/>
      <c r="AD3040" s="38"/>
      <c r="AE3040" s="38"/>
      <c r="AF3040" s="38"/>
      <c r="AG3040" s="38"/>
      <c r="AH3040" s="38"/>
      <c r="AI3040" s="38"/>
      <c r="AJ3040" s="38"/>
      <c r="AK3040" s="38"/>
    </row>
    <row r="3041">
      <c r="A3041" s="99">
        <v>3040.0</v>
      </c>
      <c r="B3041" s="15"/>
      <c r="C3041" s="15"/>
      <c r="D3041" s="105">
        <v>1.0</v>
      </c>
      <c r="E3041" s="102">
        <v>53.0</v>
      </c>
      <c r="F3041" s="107">
        <v>75.0</v>
      </c>
      <c r="G3041" s="15" t="str">
        <f t="shared" si="1"/>
        <v>53075</v>
      </c>
      <c r="H3041" s="23" t="s">
        <v>2327</v>
      </c>
      <c r="I3041" s="23" t="s">
        <v>119</v>
      </c>
      <c r="J3041" s="23" t="s">
        <v>256</v>
      </c>
      <c r="K3041" s="23" t="str">
        <f t="shared" si="48"/>
        <v>Whitman, WA</v>
      </c>
      <c r="L3041" s="23" t="s">
        <v>63</v>
      </c>
      <c r="M3041" s="23" t="s">
        <v>63</v>
      </c>
      <c r="N3041" s="23" t="s">
        <v>63</v>
      </c>
      <c r="O3041" s="23" t="s">
        <v>63</v>
      </c>
      <c r="P3041" s="23" t="s">
        <v>63</v>
      </c>
      <c r="Q3041" s="23" t="s">
        <v>63</v>
      </c>
      <c r="R3041" s="23" t="s">
        <v>63</v>
      </c>
      <c r="S3041" s="23" t="s">
        <v>63</v>
      </c>
      <c r="T3041" s="32" t="s">
        <v>63</v>
      </c>
      <c r="U3041" s="23" t="s">
        <v>63</v>
      </c>
      <c r="V3041" s="23" t="s">
        <v>63</v>
      </c>
      <c r="W3041" s="23" t="s">
        <v>63</v>
      </c>
      <c r="X3041" s="23" t="s">
        <v>63</v>
      </c>
      <c r="Y3041" s="35">
        <v>49.0</v>
      </c>
      <c r="Z3041" s="32" t="s">
        <v>63</v>
      </c>
      <c r="AA3041" s="38"/>
      <c r="AB3041" s="38"/>
      <c r="AC3041" s="38"/>
      <c r="AD3041" s="38"/>
      <c r="AE3041" s="38"/>
      <c r="AF3041" s="38"/>
      <c r="AG3041" s="38"/>
      <c r="AH3041" s="38"/>
      <c r="AI3041" s="38"/>
      <c r="AJ3041" s="38"/>
      <c r="AK3041" s="38"/>
    </row>
    <row r="3042">
      <c r="A3042" s="99">
        <v>3041.0</v>
      </c>
      <c r="B3042" s="15"/>
      <c r="C3042" s="15"/>
      <c r="D3042" s="105">
        <v>1.0</v>
      </c>
      <c r="E3042" s="102">
        <v>53.0</v>
      </c>
      <c r="F3042" s="107">
        <v>77.0</v>
      </c>
      <c r="G3042" s="15" t="str">
        <f t="shared" si="1"/>
        <v>53077</v>
      </c>
      <c r="H3042" s="23" t="s">
        <v>2328</v>
      </c>
      <c r="I3042" s="23" t="s">
        <v>119</v>
      </c>
      <c r="J3042" s="23" t="s">
        <v>256</v>
      </c>
      <c r="K3042" s="23" t="str">
        <f t="shared" si="48"/>
        <v>Yakima, WA</v>
      </c>
      <c r="L3042" s="23" t="s">
        <v>63</v>
      </c>
      <c r="M3042" s="23" t="s">
        <v>63</v>
      </c>
      <c r="N3042" s="23" t="s">
        <v>63</v>
      </c>
      <c r="O3042" s="23" t="s">
        <v>63</v>
      </c>
      <c r="P3042" s="23" t="s">
        <v>63</v>
      </c>
      <c r="Q3042" s="23" t="s">
        <v>63</v>
      </c>
      <c r="R3042" s="23" t="s">
        <v>63</v>
      </c>
      <c r="S3042" s="23" t="s">
        <v>63</v>
      </c>
      <c r="T3042" s="32" t="s">
        <v>63</v>
      </c>
      <c r="U3042" s="23" t="s">
        <v>63</v>
      </c>
      <c r="V3042" s="23" t="s">
        <v>63</v>
      </c>
      <c r="W3042" s="23" t="s">
        <v>63</v>
      </c>
      <c r="X3042" s="23" t="s">
        <v>63</v>
      </c>
      <c r="Y3042" s="35">
        <v>155.0</v>
      </c>
      <c r="Z3042" s="32" t="s">
        <v>63</v>
      </c>
      <c r="AA3042" s="38"/>
      <c r="AB3042" s="38"/>
      <c r="AC3042" s="38"/>
      <c r="AD3042" s="38"/>
      <c r="AE3042" s="38"/>
      <c r="AF3042" s="38"/>
      <c r="AG3042" s="38"/>
      <c r="AH3042" s="38"/>
      <c r="AI3042" s="38"/>
      <c r="AJ3042" s="38"/>
      <c r="AK3042" s="38"/>
    </row>
    <row r="3043">
      <c r="A3043" s="28">
        <v>3042.0</v>
      </c>
      <c r="B3043" s="29"/>
      <c r="C3043" s="29" t="s">
        <v>25</v>
      </c>
      <c r="D3043" s="30"/>
      <c r="E3043" s="31">
        <v>54.0</v>
      </c>
      <c r="F3043" s="42">
        <v>0.0</v>
      </c>
      <c r="G3043" s="29" t="str">
        <f t="shared" si="1"/>
        <v>54000</v>
      </c>
      <c r="H3043" s="37"/>
      <c r="I3043" s="37" t="s">
        <v>120</v>
      </c>
      <c r="J3043" s="37" t="s">
        <v>2329</v>
      </c>
      <c r="K3043" s="37"/>
      <c r="L3043" s="53">
        <f t="array" ref="L3043:Z3043">'West Virginia'!C59:Q59</f>
        <v>6094</v>
      </c>
      <c r="M3043" s="37" t="s">
        <v>63</v>
      </c>
      <c r="N3043" s="37" t="s">
        <v>63</v>
      </c>
      <c r="O3043" s="37" t="s">
        <v>63</v>
      </c>
      <c r="P3043" s="37" t="s">
        <v>63</v>
      </c>
      <c r="Q3043" s="53">
        <v>3148.0</v>
      </c>
      <c r="R3043" s="53">
        <v>1748.0</v>
      </c>
      <c r="S3043" s="37" t="s">
        <v>63</v>
      </c>
      <c r="T3043" s="69" t="s">
        <v>63</v>
      </c>
      <c r="U3043" s="37" t="s">
        <v>63</v>
      </c>
      <c r="V3043" s="37" t="s">
        <v>63</v>
      </c>
      <c r="W3043" s="37" t="s">
        <v>63</v>
      </c>
      <c r="X3043" s="37" t="s">
        <v>63</v>
      </c>
      <c r="Y3043" s="53">
        <v>2220.0</v>
      </c>
      <c r="Z3043" s="69" t="s">
        <v>63</v>
      </c>
      <c r="AA3043" s="73"/>
      <c r="AB3043" s="73"/>
      <c r="AC3043" s="73"/>
      <c r="AD3043" s="73"/>
      <c r="AE3043" s="73"/>
      <c r="AF3043" s="73"/>
      <c r="AG3043" s="73"/>
      <c r="AH3043" s="73"/>
      <c r="AI3043" s="73"/>
      <c r="AJ3043" s="73"/>
      <c r="AK3043" s="73"/>
    </row>
    <row r="3044">
      <c r="A3044" s="28">
        <v>3043.0</v>
      </c>
      <c r="B3044" s="29"/>
      <c r="C3044" s="29"/>
      <c r="D3044" s="40">
        <v>1.0</v>
      </c>
      <c r="E3044" s="31">
        <v>54.0</v>
      </c>
      <c r="F3044" s="42">
        <v>1.0</v>
      </c>
      <c r="G3044" s="29" t="str">
        <f t="shared" si="1"/>
        <v>54001</v>
      </c>
      <c r="H3044" s="37" t="s">
        <v>62</v>
      </c>
      <c r="I3044" s="37" t="s">
        <v>120</v>
      </c>
      <c r="J3044" s="37" t="s">
        <v>2329</v>
      </c>
      <c r="K3044" s="37" t="str">
        <f t="shared" ref="K3044:K3098" si="49">CONCATENATE(H3044,", ",J3044)</f>
        <v>Barbour, WV</v>
      </c>
      <c r="L3044" s="37">
        <f t="array" ref="L3044:Z3098">'West Virginia'!C3:Q57</f>
        <v>110</v>
      </c>
      <c r="M3044" s="37" t="s">
        <v>63</v>
      </c>
      <c r="N3044" s="37" t="s">
        <v>63</v>
      </c>
      <c r="O3044" s="37" t="s">
        <v>63</v>
      </c>
      <c r="P3044" s="37" t="s">
        <v>63</v>
      </c>
      <c r="Q3044" s="37">
        <v>21.0</v>
      </c>
      <c r="R3044" s="37" t="s">
        <v>63</v>
      </c>
      <c r="S3044" s="37" t="s">
        <v>63</v>
      </c>
      <c r="T3044" s="69" t="s">
        <v>63</v>
      </c>
      <c r="U3044" s="37" t="s">
        <v>63</v>
      </c>
      <c r="V3044" s="37" t="s">
        <v>63</v>
      </c>
      <c r="W3044" s="37" t="s">
        <v>63</v>
      </c>
      <c r="X3044" s="37" t="s">
        <v>63</v>
      </c>
      <c r="Y3044" s="53">
        <v>22.0</v>
      </c>
      <c r="Z3044" s="69" t="s">
        <v>63</v>
      </c>
      <c r="AA3044" s="73"/>
      <c r="AB3044" s="73"/>
      <c r="AC3044" s="73"/>
      <c r="AD3044" s="73"/>
      <c r="AE3044" s="73"/>
      <c r="AF3044" s="73"/>
      <c r="AG3044" s="73"/>
      <c r="AH3044" s="73"/>
      <c r="AI3044" s="73"/>
      <c r="AJ3044" s="73"/>
      <c r="AK3044" s="73"/>
    </row>
    <row r="3045">
      <c r="A3045" s="28">
        <v>3044.0</v>
      </c>
      <c r="B3045" s="29"/>
      <c r="C3045" s="29"/>
      <c r="D3045" s="40">
        <v>1.0</v>
      </c>
      <c r="E3045" s="31">
        <v>54.0</v>
      </c>
      <c r="F3045" s="42">
        <v>3.0</v>
      </c>
      <c r="G3045" s="29" t="str">
        <f t="shared" si="1"/>
        <v>54003</v>
      </c>
      <c r="H3045" s="37" t="s">
        <v>1818</v>
      </c>
      <c r="I3045" s="37" t="s">
        <v>120</v>
      </c>
      <c r="J3045" s="37" t="s">
        <v>2329</v>
      </c>
      <c r="K3045" s="37" t="str">
        <f t="shared" si="49"/>
        <v>Berkeley, WV</v>
      </c>
      <c r="L3045" s="37">
        <v>245.0</v>
      </c>
      <c r="M3045" s="37" t="s">
        <v>63</v>
      </c>
      <c r="N3045" s="37" t="s">
        <v>63</v>
      </c>
      <c r="O3045" s="37" t="s">
        <v>63</v>
      </c>
      <c r="P3045" s="37" t="s">
        <v>63</v>
      </c>
      <c r="Q3045" s="37">
        <v>88.0</v>
      </c>
      <c r="R3045" s="37" t="s">
        <v>63</v>
      </c>
      <c r="S3045" s="37" t="s">
        <v>63</v>
      </c>
      <c r="T3045" s="69" t="s">
        <v>63</v>
      </c>
      <c r="U3045" s="37" t="s">
        <v>63</v>
      </c>
      <c r="V3045" s="37" t="s">
        <v>63</v>
      </c>
      <c r="W3045" s="37" t="s">
        <v>63</v>
      </c>
      <c r="X3045" s="37" t="s">
        <v>63</v>
      </c>
      <c r="Y3045" s="53">
        <v>86.0</v>
      </c>
      <c r="Z3045" s="69" t="s">
        <v>63</v>
      </c>
      <c r="AA3045" s="73"/>
      <c r="AB3045" s="73"/>
      <c r="AC3045" s="73"/>
      <c r="AD3045" s="73"/>
      <c r="AE3045" s="73"/>
      <c r="AF3045" s="73"/>
      <c r="AG3045" s="73"/>
      <c r="AH3045" s="73"/>
      <c r="AI3045" s="73"/>
      <c r="AJ3045" s="73"/>
      <c r="AK3045" s="73"/>
    </row>
    <row r="3046">
      <c r="A3046" s="28">
        <v>3045.0</v>
      </c>
      <c r="B3046" s="29"/>
      <c r="C3046" s="29"/>
      <c r="D3046" s="40">
        <v>1.0</v>
      </c>
      <c r="E3046" s="31">
        <v>54.0</v>
      </c>
      <c r="F3046" s="42">
        <v>5.0</v>
      </c>
      <c r="G3046" s="29" t="str">
        <f t="shared" si="1"/>
        <v>54005</v>
      </c>
      <c r="H3046" s="37" t="s">
        <v>246</v>
      </c>
      <c r="I3046" s="37" t="s">
        <v>120</v>
      </c>
      <c r="J3046" s="37" t="s">
        <v>2329</v>
      </c>
      <c r="K3046" s="37" t="str">
        <f t="shared" si="49"/>
        <v>Boone, WV</v>
      </c>
      <c r="L3046" s="37">
        <v>87.0</v>
      </c>
      <c r="M3046" s="37" t="s">
        <v>63</v>
      </c>
      <c r="N3046" s="37" t="s">
        <v>63</v>
      </c>
      <c r="O3046" s="37" t="s">
        <v>63</v>
      </c>
      <c r="P3046" s="37" t="s">
        <v>63</v>
      </c>
      <c r="Q3046" s="37">
        <v>16.0</v>
      </c>
      <c r="R3046" s="37" t="s">
        <v>63</v>
      </c>
      <c r="S3046" s="37" t="s">
        <v>63</v>
      </c>
      <c r="T3046" s="69" t="s">
        <v>63</v>
      </c>
      <c r="U3046" s="37" t="s">
        <v>63</v>
      </c>
      <c r="V3046" s="37" t="s">
        <v>63</v>
      </c>
      <c r="W3046" s="37" t="s">
        <v>63</v>
      </c>
      <c r="X3046" s="37" t="s">
        <v>63</v>
      </c>
      <c r="Y3046" s="53">
        <v>29.0</v>
      </c>
      <c r="Z3046" s="69" t="s">
        <v>63</v>
      </c>
      <c r="AA3046" s="73"/>
      <c r="AB3046" s="73"/>
      <c r="AC3046" s="73"/>
      <c r="AD3046" s="73"/>
      <c r="AE3046" s="73"/>
      <c r="AF3046" s="73"/>
      <c r="AG3046" s="73"/>
      <c r="AH3046" s="73"/>
      <c r="AI3046" s="73"/>
      <c r="AJ3046" s="73"/>
      <c r="AK3046" s="73"/>
    </row>
    <row r="3047">
      <c r="A3047" s="28">
        <v>3046.0</v>
      </c>
      <c r="B3047" s="29"/>
      <c r="C3047" s="29"/>
      <c r="D3047" s="40">
        <v>1.0</v>
      </c>
      <c r="E3047" s="31">
        <v>54.0</v>
      </c>
      <c r="F3047" s="42">
        <v>7.0</v>
      </c>
      <c r="G3047" s="29" t="str">
        <f t="shared" si="1"/>
        <v>54007</v>
      </c>
      <c r="H3047" s="37" t="s">
        <v>2330</v>
      </c>
      <c r="I3047" s="37" t="s">
        <v>120</v>
      </c>
      <c r="J3047" s="37" t="s">
        <v>2329</v>
      </c>
      <c r="K3047" s="37" t="str">
        <f t="shared" si="49"/>
        <v>Braxton, WV</v>
      </c>
      <c r="L3047" s="37">
        <v>119.0</v>
      </c>
      <c r="M3047" s="37" t="s">
        <v>63</v>
      </c>
      <c r="N3047" s="37" t="s">
        <v>63</v>
      </c>
      <c r="O3047" s="37" t="s">
        <v>63</v>
      </c>
      <c r="P3047" s="37" t="s">
        <v>63</v>
      </c>
      <c r="Q3047" s="37">
        <v>6.0</v>
      </c>
      <c r="R3047" s="37" t="s">
        <v>63</v>
      </c>
      <c r="S3047" s="37" t="s">
        <v>63</v>
      </c>
      <c r="T3047" s="69" t="s">
        <v>63</v>
      </c>
      <c r="U3047" s="37" t="s">
        <v>63</v>
      </c>
      <c r="V3047" s="37" t="s">
        <v>63</v>
      </c>
      <c r="W3047" s="37" t="s">
        <v>63</v>
      </c>
      <c r="X3047" s="37" t="s">
        <v>63</v>
      </c>
      <c r="Y3047" s="53">
        <v>14.0</v>
      </c>
      <c r="Z3047" s="69" t="s">
        <v>63</v>
      </c>
      <c r="AA3047" s="73"/>
      <c r="AB3047" s="73"/>
      <c r="AC3047" s="73"/>
      <c r="AD3047" s="73"/>
      <c r="AE3047" s="73"/>
      <c r="AF3047" s="73"/>
      <c r="AG3047" s="73"/>
      <c r="AH3047" s="73"/>
      <c r="AI3047" s="73"/>
      <c r="AJ3047" s="73"/>
      <c r="AK3047" s="73"/>
    </row>
    <row r="3048">
      <c r="A3048" s="28">
        <v>3047.0</v>
      </c>
      <c r="B3048" s="29"/>
      <c r="C3048" s="29"/>
      <c r="D3048" s="40">
        <v>1.0</v>
      </c>
      <c r="E3048" s="31">
        <v>54.0</v>
      </c>
      <c r="F3048" s="42">
        <v>9.0</v>
      </c>
      <c r="G3048" s="29" t="str">
        <f t="shared" si="1"/>
        <v>54009</v>
      </c>
      <c r="H3048" s="37" t="s">
        <v>2331</v>
      </c>
      <c r="I3048" s="37" t="s">
        <v>120</v>
      </c>
      <c r="J3048" s="37" t="s">
        <v>2329</v>
      </c>
      <c r="K3048" s="37" t="str">
        <f t="shared" si="49"/>
        <v>Brooke, WV</v>
      </c>
      <c r="L3048" s="37" t="s">
        <v>63</v>
      </c>
      <c r="M3048" s="37" t="s">
        <v>63</v>
      </c>
      <c r="N3048" s="37" t="s">
        <v>63</v>
      </c>
      <c r="O3048" s="37" t="s">
        <v>63</v>
      </c>
      <c r="P3048" s="37" t="s">
        <v>63</v>
      </c>
      <c r="Q3048" s="37">
        <v>7.0</v>
      </c>
      <c r="R3048" s="37" t="s">
        <v>63</v>
      </c>
      <c r="S3048" s="37" t="s">
        <v>63</v>
      </c>
      <c r="T3048" s="69" t="s">
        <v>63</v>
      </c>
      <c r="U3048" s="37" t="s">
        <v>63</v>
      </c>
      <c r="V3048" s="37" t="s">
        <v>63</v>
      </c>
      <c r="W3048" s="37" t="s">
        <v>63</v>
      </c>
      <c r="X3048" s="37" t="s">
        <v>63</v>
      </c>
      <c r="Y3048" s="53">
        <v>30.0</v>
      </c>
      <c r="Z3048" s="69" t="s">
        <v>63</v>
      </c>
      <c r="AA3048" s="73"/>
      <c r="AB3048" s="73"/>
      <c r="AC3048" s="73"/>
      <c r="AD3048" s="73"/>
      <c r="AE3048" s="73"/>
      <c r="AF3048" s="73"/>
      <c r="AG3048" s="73"/>
      <c r="AH3048" s="73"/>
      <c r="AI3048" s="73"/>
      <c r="AJ3048" s="73"/>
      <c r="AK3048" s="73"/>
    </row>
    <row r="3049">
      <c r="A3049" s="28">
        <v>3048.0</v>
      </c>
      <c r="B3049" s="29"/>
      <c r="C3049" s="29"/>
      <c r="D3049" s="40">
        <v>1.0</v>
      </c>
      <c r="E3049" s="31">
        <v>54.0</v>
      </c>
      <c r="F3049" s="42">
        <v>11.0</v>
      </c>
      <c r="G3049" s="29" t="str">
        <f t="shared" si="1"/>
        <v>54011</v>
      </c>
      <c r="H3049" s="37" t="s">
        <v>2332</v>
      </c>
      <c r="I3049" s="37" t="s">
        <v>120</v>
      </c>
      <c r="J3049" s="37" t="s">
        <v>2329</v>
      </c>
      <c r="K3049" s="37" t="str">
        <f t="shared" si="49"/>
        <v>Cabell, WV</v>
      </c>
      <c r="L3049" s="37">
        <v>251.0</v>
      </c>
      <c r="M3049" s="37" t="s">
        <v>63</v>
      </c>
      <c r="N3049" s="37" t="s">
        <v>63</v>
      </c>
      <c r="O3049" s="37" t="s">
        <v>63</v>
      </c>
      <c r="P3049" s="37" t="s">
        <v>63</v>
      </c>
      <c r="Q3049" s="37">
        <v>24.0</v>
      </c>
      <c r="R3049" s="37" t="s">
        <v>63</v>
      </c>
      <c r="S3049" s="37" t="s">
        <v>63</v>
      </c>
      <c r="T3049" s="69" t="s">
        <v>63</v>
      </c>
      <c r="U3049" s="37" t="s">
        <v>63</v>
      </c>
      <c r="V3049" s="37" t="s">
        <v>63</v>
      </c>
      <c r="W3049" s="37" t="s">
        <v>63</v>
      </c>
      <c r="X3049" s="37" t="s">
        <v>63</v>
      </c>
      <c r="Y3049" s="53">
        <v>120.0</v>
      </c>
      <c r="Z3049" s="69" t="s">
        <v>63</v>
      </c>
      <c r="AA3049" s="73"/>
      <c r="AB3049" s="73"/>
      <c r="AC3049" s="73"/>
      <c r="AD3049" s="73"/>
      <c r="AE3049" s="73"/>
      <c r="AF3049" s="73"/>
      <c r="AG3049" s="73"/>
      <c r="AH3049" s="73"/>
      <c r="AI3049" s="73"/>
      <c r="AJ3049" s="73"/>
      <c r="AK3049" s="73"/>
    </row>
    <row r="3050">
      <c r="A3050" s="28">
        <v>3049.0</v>
      </c>
      <c r="B3050" s="29"/>
      <c r="C3050" s="29"/>
      <c r="D3050" s="40">
        <v>1.0</v>
      </c>
      <c r="E3050" s="31">
        <v>54.0</v>
      </c>
      <c r="F3050" s="42">
        <v>13.0</v>
      </c>
      <c r="G3050" s="29" t="str">
        <f t="shared" si="1"/>
        <v>54013</v>
      </c>
      <c r="H3050" s="37" t="s">
        <v>93</v>
      </c>
      <c r="I3050" s="37" t="s">
        <v>120</v>
      </c>
      <c r="J3050" s="37" t="s">
        <v>2329</v>
      </c>
      <c r="K3050" s="37" t="str">
        <f t="shared" si="49"/>
        <v>Calhoun, WV</v>
      </c>
      <c r="L3050" s="37">
        <v>22.0</v>
      </c>
      <c r="M3050" s="37" t="s">
        <v>63</v>
      </c>
      <c r="N3050" s="37" t="s">
        <v>63</v>
      </c>
      <c r="O3050" s="37" t="s">
        <v>63</v>
      </c>
      <c r="P3050" s="37" t="s">
        <v>63</v>
      </c>
      <c r="Q3050" s="37">
        <v>5.0</v>
      </c>
      <c r="R3050" s="37" t="s">
        <v>63</v>
      </c>
      <c r="S3050" s="37" t="s">
        <v>63</v>
      </c>
      <c r="T3050" s="69" t="s">
        <v>63</v>
      </c>
      <c r="U3050" s="37" t="s">
        <v>63</v>
      </c>
      <c r="V3050" s="37" t="s">
        <v>63</v>
      </c>
      <c r="W3050" s="37" t="s">
        <v>63</v>
      </c>
      <c r="X3050" s="37" t="s">
        <v>63</v>
      </c>
      <c r="Y3050" s="53">
        <v>7.0</v>
      </c>
      <c r="Z3050" s="69" t="s">
        <v>63</v>
      </c>
      <c r="AA3050" s="73"/>
      <c r="AB3050" s="73"/>
      <c r="AC3050" s="73"/>
      <c r="AD3050" s="73"/>
      <c r="AE3050" s="73"/>
      <c r="AF3050" s="73"/>
      <c r="AG3050" s="73"/>
      <c r="AH3050" s="73"/>
      <c r="AI3050" s="73"/>
      <c r="AJ3050" s="73"/>
      <c r="AK3050" s="73"/>
    </row>
    <row r="3051">
      <c r="A3051" s="28">
        <v>3050.0</v>
      </c>
      <c r="B3051" s="29"/>
      <c r="C3051" s="29"/>
      <c r="D3051" s="40">
        <v>1.0</v>
      </c>
      <c r="E3051" s="31">
        <v>54.0</v>
      </c>
      <c r="F3051" s="42">
        <v>15.0</v>
      </c>
      <c r="G3051" s="29" t="str">
        <f t="shared" si="1"/>
        <v>54015</v>
      </c>
      <c r="H3051" s="37" t="s">
        <v>112</v>
      </c>
      <c r="I3051" s="37" t="s">
        <v>120</v>
      </c>
      <c r="J3051" s="37" t="s">
        <v>2329</v>
      </c>
      <c r="K3051" s="37" t="str">
        <f t="shared" si="49"/>
        <v>Clay, WV</v>
      </c>
      <c r="L3051" s="37">
        <v>24.0</v>
      </c>
      <c r="M3051" s="37" t="s">
        <v>63</v>
      </c>
      <c r="N3051" s="37" t="s">
        <v>63</v>
      </c>
      <c r="O3051" s="37" t="s">
        <v>63</v>
      </c>
      <c r="P3051" s="37" t="s">
        <v>63</v>
      </c>
      <c r="Q3051" s="37">
        <v>9.0</v>
      </c>
      <c r="R3051" s="37" t="s">
        <v>63</v>
      </c>
      <c r="S3051" s="37" t="s">
        <v>63</v>
      </c>
      <c r="T3051" s="69" t="s">
        <v>63</v>
      </c>
      <c r="U3051" s="37" t="s">
        <v>63</v>
      </c>
      <c r="V3051" s="37" t="s">
        <v>63</v>
      </c>
      <c r="W3051" s="37" t="s">
        <v>63</v>
      </c>
      <c r="X3051" s="37" t="s">
        <v>63</v>
      </c>
      <c r="Y3051" s="53">
        <v>9.0</v>
      </c>
      <c r="Z3051" s="69" t="s">
        <v>63</v>
      </c>
      <c r="AA3051" s="73"/>
      <c r="AB3051" s="73"/>
      <c r="AC3051" s="73"/>
      <c r="AD3051" s="73"/>
      <c r="AE3051" s="73"/>
      <c r="AF3051" s="73"/>
      <c r="AG3051" s="73"/>
      <c r="AH3051" s="73"/>
      <c r="AI3051" s="73"/>
      <c r="AJ3051" s="73"/>
      <c r="AK3051" s="73"/>
    </row>
    <row r="3052">
      <c r="A3052" s="28">
        <v>3051.0</v>
      </c>
      <c r="B3052" s="29"/>
      <c r="C3052" s="29"/>
      <c r="D3052" s="40">
        <v>1.0</v>
      </c>
      <c r="E3052" s="31">
        <v>54.0</v>
      </c>
      <c r="F3052" s="42">
        <v>17.0</v>
      </c>
      <c r="G3052" s="29" t="str">
        <f t="shared" si="1"/>
        <v>54017</v>
      </c>
      <c r="H3052" s="37" t="s">
        <v>2333</v>
      </c>
      <c r="I3052" s="37" t="s">
        <v>120</v>
      </c>
      <c r="J3052" s="37" t="s">
        <v>2329</v>
      </c>
      <c r="K3052" s="37" t="str">
        <f t="shared" si="49"/>
        <v>Doddridge, WV</v>
      </c>
      <c r="L3052" s="37">
        <v>8.0</v>
      </c>
      <c r="M3052" s="37" t="s">
        <v>63</v>
      </c>
      <c r="N3052" s="37" t="s">
        <v>63</v>
      </c>
      <c r="O3052" s="37" t="s">
        <v>63</v>
      </c>
      <c r="P3052" s="37" t="s">
        <v>63</v>
      </c>
      <c r="Q3052" s="37">
        <v>2.0</v>
      </c>
      <c r="R3052" s="37" t="s">
        <v>63</v>
      </c>
      <c r="S3052" s="37" t="s">
        <v>63</v>
      </c>
      <c r="T3052" s="69" t="s">
        <v>63</v>
      </c>
      <c r="U3052" s="37" t="s">
        <v>63</v>
      </c>
      <c r="V3052" s="37" t="s">
        <v>63</v>
      </c>
      <c r="W3052" s="37" t="s">
        <v>63</v>
      </c>
      <c r="X3052" s="37" t="s">
        <v>63</v>
      </c>
      <c r="Y3052" s="53">
        <v>16.0</v>
      </c>
      <c r="Z3052" s="69" t="s">
        <v>63</v>
      </c>
      <c r="AA3052" s="73"/>
      <c r="AB3052" s="73"/>
      <c r="AC3052" s="73"/>
      <c r="AD3052" s="73"/>
      <c r="AE3052" s="73"/>
      <c r="AF3052" s="73"/>
      <c r="AG3052" s="73"/>
      <c r="AH3052" s="73"/>
      <c r="AI3052" s="73"/>
      <c r="AJ3052" s="73"/>
      <c r="AK3052" s="73"/>
    </row>
    <row r="3053">
      <c r="A3053" s="28">
        <v>3052.0</v>
      </c>
      <c r="B3053" s="29"/>
      <c r="C3053" s="29"/>
      <c r="D3053" s="40">
        <v>1.0</v>
      </c>
      <c r="E3053" s="31">
        <v>54.0</v>
      </c>
      <c r="F3053" s="42">
        <v>19.0</v>
      </c>
      <c r="G3053" s="29" t="str">
        <f t="shared" si="1"/>
        <v>54019</v>
      </c>
      <c r="H3053" s="37" t="s">
        <v>135</v>
      </c>
      <c r="I3053" s="37" t="s">
        <v>120</v>
      </c>
      <c r="J3053" s="37" t="s">
        <v>2329</v>
      </c>
      <c r="K3053" s="37" t="str">
        <f t="shared" si="49"/>
        <v>Fayette, WV</v>
      </c>
      <c r="L3053" s="37" t="s">
        <v>63</v>
      </c>
      <c r="M3053" s="37" t="s">
        <v>63</v>
      </c>
      <c r="N3053" s="37" t="s">
        <v>63</v>
      </c>
      <c r="O3053" s="37" t="s">
        <v>63</v>
      </c>
      <c r="P3053" s="37" t="s">
        <v>63</v>
      </c>
      <c r="Q3053" s="37">
        <v>20.0</v>
      </c>
      <c r="R3053" s="37" t="s">
        <v>63</v>
      </c>
      <c r="S3053" s="37" t="s">
        <v>63</v>
      </c>
      <c r="T3053" s="69" t="s">
        <v>63</v>
      </c>
      <c r="U3053" s="37" t="s">
        <v>63</v>
      </c>
      <c r="V3053" s="37" t="s">
        <v>63</v>
      </c>
      <c r="W3053" s="37" t="s">
        <v>63</v>
      </c>
      <c r="X3053" s="37" t="s">
        <v>63</v>
      </c>
      <c r="Y3053" s="53">
        <v>65.0</v>
      </c>
      <c r="Z3053" s="69" t="s">
        <v>63</v>
      </c>
      <c r="AA3053" s="73"/>
      <c r="AB3053" s="73"/>
      <c r="AC3053" s="73"/>
      <c r="AD3053" s="73"/>
      <c r="AE3053" s="73"/>
      <c r="AF3053" s="73"/>
      <c r="AG3053" s="73"/>
      <c r="AH3053" s="73"/>
      <c r="AI3053" s="73"/>
      <c r="AJ3053" s="73"/>
      <c r="AK3053" s="73"/>
    </row>
    <row r="3054">
      <c r="A3054" s="28">
        <v>3053.0</v>
      </c>
      <c r="B3054" s="29"/>
      <c r="C3054" s="29"/>
      <c r="D3054" s="40">
        <v>1.0</v>
      </c>
      <c r="E3054" s="31">
        <v>54.0</v>
      </c>
      <c r="F3054" s="42">
        <v>21.0</v>
      </c>
      <c r="G3054" s="29" t="str">
        <f t="shared" si="1"/>
        <v>54021</v>
      </c>
      <c r="H3054" s="37" t="s">
        <v>579</v>
      </c>
      <c r="I3054" s="37" t="s">
        <v>120</v>
      </c>
      <c r="J3054" s="37" t="s">
        <v>2329</v>
      </c>
      <c r="K3054" s="37" t="str">
        <f t="shared" si="49"/>
        <v>Gilmer, WV</v>
      </c>
      <c r="L3054" s="37">
        <v>29.0</v>
      </c>
      <c r="M3054" s="37" t="s">
        <v>63</v>
      </c>
      <c r="N3054" s="37" t="s">
        <v>63</v>
      </c>
      <c r="O3054" s="37" t="s">
        <v>63</v>
      </c>
      <c r="P3054" s="37" t="s">
        <v>63</v>
      </c>
      <c r="Q3054" s="37">
        <v>2.0</v>
      </c>
      <c r="R3054" s="37" t="s">
        <v>63</v>
      </c>
      <c r="S3054" s="37" t="s">
        <v>63</v>
      </c>
      <c r="T3054" s="69" t="s">
        <v>63</v>
      </c>
      <c r="U3054" s="37" t="s">
        <v>63</v>
      </c>
      <c r="V3054" s="37" t="s">
        <v>63</v>
      </c>
      <c r="W3054" s="37" t="s">
        <v>63</v>
      </c>
      <c r="X3054" s="37" t="s">
        <v>63</v>
      </c>
      <c r="Y3054" s="53">
        <v>11.0</v>
      </c>
      <c r="Z3054" s="69" t="s">
        <v>63</v>
      </c>
      <c r="AA3054" s="73"/>
      <c r="AB3054" s="73"/>
      <c r="AC3054" s="73"/>
      <c r="AD3054" s="73"/>
      <c r="AE3054" s="73"/>
      <c r="AF3054" s="73"/>
      <c r="AG3054" s="73"/>
      <c r="AH3054" s="73"/>
      <c r="AI3054" s="73"/>
      <c r="AJ3054" s="73"/>
      <c r="AK3054" s="73"/>
    </row>
    <row r="3055">
      <c r="A3055" s="28">
        <v>3054.0</v>
      </c>
      <c r="B3055" s="29"/>
      <c r="C3055" s="29"/>
      <c r="D3055" s="40">
        <v>1.0</v>
      </c>
      <c r="E3055" s="31">
        <v>54.0</v>
      </c>
      <c r="F3055" s="42">
        <v>23.0</v>
      </c>
      <c r="G3055" s="29" t="str">
        <f t="shared" si="1"/>
        <v>54023</v>
      </c>
      <c r="H3055" s="37" t="s">
        <v>278</v>
      </c>
      <c r="I3055" s="37" t="s">
        <v>120</v>
      </c>
      <c r="J3055" s="37" t="s">
        <v>2329</v>
      </c>
      <c r="K3055" s="37" t="str">
        <f t="shared" si="49"/>
        <v>Grant, WV</v>
      </c>
      <c r="L3055" s="37">
        <v>131.0</v>
      </c>
      <c r="M3055" s="37" t="s">
        <v>63</v>
      </c>
      <c r="N3055" s="37" t="s">
        <v>63</v>
      </c>
      <c r="O3055" s="37" t="s">
        <v>63</v>
      </c>
      <c r="P3055" s="37" t="s">
        <v>63</v>
      </c>
      <c r="Q3055" s="37">
        <v>8.0</v>
      </c>
      <c r="R3055" s="37" t="s">
        <v>63</v>
      </c>
      <c r="S3055" s="37" t="s">
        <v>63</v>
      </c>
      <c r="T3055" s="69" t="s">
        <v>63</v>
      </c>
      <c r="U3055" s="37" t="s">
        <v>63</v>
      </c>
      <c r="V3055" s="37" t="s">
        <v>63</v>
      </c>
      <c r="W3055" s="37" t="s">
        <v>63</v>
      </c>
      <c r="X3055" s="37" t="s">
        <v>63</v>
      </c>
      <c r="Y3055" s="53">
        <v>23.0</v>
      </c>
      <c r="Z3055" s="69" t="s">
        <v>63</v>
      </c>
      <c r="AA3055" s="73"/>
      <c r="AB3055" s="73"/>
      <c r="AC3055" s="73"/>
      <c r="AD3055" s="73"/>
      <c r="AE3055" s="73"/>
      <c r="AF3055" s="73"/>
      <c r="AG3055" s="73"/>
      <c r="AH3055" s="73"/>
      <c r="AI3055" s="73"/>
      <c r="AJ3055" s="73"/>
      <c r="AK3055" s="73"/>
    </row>
    <row r="3056">
      <c r="A3056" s="28">
        <v>3055.0</v>
      </c>
      <c r="B3056" s="29"/>
      <c r="C3056" s="29"/>
      <c r="D3056" s="40">
        <v>1.0</v>
      </c>
      <c r="E3056" s="31">
        <v>54.0</v>
      </c>
      <c r="F3056" s="42">
        <v>25.0</v>
      </c>
      <c r="G3056" s="29" t="str">
        <f t="shared" si="1"/>
        <v>54025</v>
      </c>
      <c r="H3056" s="37" t="s">
        <v>2334</v>
      </c>
      <c r="I3056" s="37" t="s">
        <v>120</v>
      </c>
      <c r="J3056" s="37" t="s">
        <v>2329</v>
      </c>
      <c r="K3056" s="37" t="str">
        <f t="shared" si="49"/>
        <v>Greenbrier, WV</v>
      </c>
      <c r="L3056" s="37">
        <v>135.0</v>
      </c>
      <c r="M3056" s="37" t="s">
        <v>63</v>
      </c>
      <c r="N3056" s="37" t="s">
        <v>63</v>
      </c>
      <c r="O3056" s="37" t="s">
        <v>63</v>
      </c>
      <c r="P3056" s="37" t="s">
        <v>63</v>
      </c>
      <c r="Q3056" s="37">
        <v>18.0</v>
      </c>
      <c r="R3056" s="37" t="s">
        <v>63</v>
      </c>
      <c r="S3056" s="37" t="s">
        <v>63</v>
      </c>
      <c r="T3056" s="69" t="s">
        <v>63</v>
      </c>
      <c r="U3056" s="37" t="s">
        <v>63</v>
      </c>
      <c r="V3056" s="37" t="s">
        <v>63</v>
      </c>
      <c r="W3056" s="37" t="s">
        <v>63</v>
      </c>
      <c r="X3056" s="37" t="s">
        <v>63</v>
      </c>
      <c r="Y3056" s="53">
        <v>71.0</v>
      </c>
      <c r="Z3056" s="69" t="s">
        <v>63</v>
      </c>
      <c r="AA3056" s="73"/>
      <c r="AB3056" s="73"/>
      <c r="AC3056" s="73"/>
      <c r="AD3056" s="73"/>
      <c r="AE3056" s="73"/>
      <c r="AF3056" s="73"/>
      <c r="AG3056" s="73"/>
      <c r="AH3056" s="73"/>
      <c r="AI3056" s="73"/>
      <c r="AJ3056" s="73"/>
      <c r="AK3056" s="73"/>
    </row>
    <row r="3057">
      <c r="A3057" s="28">
        <v>3056.0</v>
      </c>
      <c r="B3057" s="29"/>
      <c r="C3057" s="29"/>
      <c r="D3057" s="40">
        <v>1.0</v>
      </c>
      <c r="E3057" s="31">
        <v>54.0</v>
      </c>
      <c r="F3057" s="42">
        <v>27.0</v>
      </c>
      <c r="G3057" s="29" t="str">
        <f t="shared" si="1"/>
        <v>54027</v>
      </c>
      <c r="H3057" s="37" t="s">
        <v>1231</v>
      </c>
      <c r="I3057" s="37" t="s">
        <v>120</v>
      </c>
      <c r="J3057" s="37" t="s">
        <v>2329</v>
      </c>
      <c r="K3057" s="37" t="str">
        <f t="shared" si="49"/>
        <v>Hampshire, WV</v>
      </c>
      <c r="L3057" s="37">
        <v>45.0</v>
      </c>
      <c r="M3057" s="37" t="s">
        <v>63</v>
      </c>
      <c r="N3057" s="37" t="s">
        <v>63</v>
      </c>
      <c r="O3057" s="37" t="s">
        <v>63</v>
      </c>
      <c r="P3057" s="37" t="s">
        <v>63</v>
      </c>
      <c r="Q3057" s="37">
        <v>14.0</v>
      </c>
      <c r="R3057" s="37" t="s">
        <v>63</v>
      </c>
      <c r="S3057" s="37" t="s">
        <v>63</v>
      </c>
      <c r="T3057" s="69" t="s">
        <v>63</v>
      </c>
      <c r="U3057" s="37" t="s">
        <v>63</v>
      </c>
      <c r="V3057" s="37" t="s">
        <v>63</v>
      </c>
      <c r="W3057" s="37" t="s">
        <v>63</v>
      </c>
      <c r="X3057" s="37" t="s">
        <v>63</v>
      </c>
      <c r="Y3057" s="53">
        <v>34.0</v>
      </c>
      <c r="Z3057" s="69" t="s">
        <v>63</v>
      </c>
      <c r="AA3057" s="73"/>
      <c r="AB3057" s="73"/>
      <c r="AC3057" s="73"/>
      <c r="AD3057" s="73"/>
      <c r="AE3057" s="73"/>
      <c r="AF3057" s="73"/>
      <c r="AG3057" s="73"/>
      <c r="AH3057" s="73"/>
      <c r="AI3057" s="73"/>
      <c r="AJ3057" s="73"/>
      <c r="AK3057" s="73"/>
    </row>
    <row r="3058">
      <c r="A3058" s="28">
        <v>3057.0</v>
      </c>
      <c r="B3058" s="29"/>
      <c r="C3058" s="29"/>
      <c r="D3058" s="40">
        <v>1.0</v>
      </c>
      <c r="E3058" s="31">
        <v>54.0</v>
      </c>
      <c r="F3058" s="42">
        <v>29.0</v>
      </c>
      <c r="G3058" s="29" t="str">
        <f t="shared" si="1"/>
        <v>54029</v>
      </c>
      <c r="H3058" s="37" t="s">
        <v>587</v>
      </c>
      <c r="I3058" s="37" t="s">
        <v>120</v>
      </c>
      <c r="J3058" s="37" t="s">
        <v>2329</v>
      </c>
      <c r="K3058" s="37" t="str">
        <f t="shared" si="49"/>
        <v>Hancock, WV</v>
      </c>
      <c r="L3058" s="37">
        <v>110.0</v>
      </c>
      <c r="M3058" s="37" t="s">
        <v>63</v>
      </c>
      <c r="N3058" s="37" t="s">
        <v>63</v>
      </c>
      <c r="O3058" s="37" t="s">
        <v>63</v>
      </c>
      <c r="P3058" s="37" t="s">
        <v>63</v>
      </c>
      <c r="Q3058" s="37">
        <v>7.0</v>
      </c>
      <c r="R3058" s="37" t="s">
        <v>63</v>
      </c>
      <c r="S3058" s="37" t="s">
        <v>63</v>
      </c>
      <c r="T3058" s="69" t="s">
        <v>63</v>
      </c>
      <c r="U3058" s="37" t="s">
        <v>63</v>
      </c>
      <c r="V3058" s="37" t="s">
        <v>63</v>
      </c>
      <c r="W3058" s="37" t="s">
        <v>63</v>
      </c>
      <c r="X3058" s="37" t="s">
        <v>63</v>
      </c>
      <c r="Y3058" s="53">
        <v>38.0</v>
      </c>
      <c r="Z3058" s="69" t="s">
        <v>63</v>
      </c>
      <c r="AA3058" s="73"/>
      <c r="AB3058" s="73"/>
      <c r="AC3058" s="73"/>
      <c r="AD3058" s="73"/>
      <c r="AE3058" s="73"/>
      <c r="AF3058" s="73"/>
      <c r="AG3058" s="73"/>
      <c r="AH3058" s="73"/>
      <c r="AI3058" s="73"/>
      <c r="AJ3058" s="73"/>
      <c r="AK3058" s="73"/>
    </row>
    <row r="3059">
      <c r="A3059" s="28">
        <v>3058.0</v>
      </c>
      <c r="B3059" s="29"/>
      <c r="C3059" s="29"/>
      <c r="D3059" s="40">
        <v>1.0</v>
      </c>
      <c r="E3059" s="31">
        <v>54.0</v>
      </c>
      <c r="F3059" s="42">
        <v>31.0</v>
      </c>
      <c r="G3059" s="29" t="str">
        <f t="shared" si="1"/>
        <v>54031</v>
      </c>
      <c r="H3059" s="37" t="s">
        <v>2335</v>
      </c>
      <c r="I3059" s="37" t="s">
        <v>120</v>
      </c>
      <c r="J3059" s="37" t="s">
        <v>2329</v>
      </c>
      <c r="K3059" s="37" t="str">
        <f t="shared" si="49"/>
        <v>Hardy, WV</v>
      </c>
      <c r="L3059" s="37">
        <v>52.0</v>
      </c>
      <c r="M3059" s="37" t="s">
        <v>63</v>
      </c>
      <c r="N3059" s="37" t="s">
        <v>63</v>
      </c>
      <c r="O3059" s="37" t="s">
        <v>63</v>
      </c>
      <c r="P3059" s="37" t="s">
        <v>63</v>
      </c>
      <c r="Q3059" s="37">
        <v>11.0</v>
      </c>
      <c r="R3059" s="37" t="s">
        <v>63</v>
      </c>
      <c r="S3059" s="37" t="s">
        <v>63</v>
      </c>
      <c r="T3059" s="69" t="s">
        <v>63</v>
      </c>
      <c r="U3059" s="37" t="s">
        <v>63</v>
      </c>
      <c r="V3059" s="37" t="s">
        <v>63</v>
      </c>
      <c r="W3059" s="37" t="s">
        <v>63</v>
      </c>
      <c r="X3059" s="37" t="s">
        <v>63</v>
      </c>
      <c r="Y3059" s="53">
        <v>33.0</v>
      </c>
      <c r="Z3059" s="69" t="s">
        <v>63</v>
      </c>
      <c r="AA3059" s="73"/>
      <c r="AB3059" s="73"/>
      <c r="AC3059" s="73"/>
      <c r="AD3059" s="73"/>
      <c r="AE3059" s="73"/>
      <c r="AF3059" s="73"/>
      <c r="AG3059" s="73"/>
      <c r="AH3059" s="73"/>
      <c r="AI3059" s="73"/>
      <c r="AJ3059" s="73"/>
      <c r="AK3059" s="73"/>
    </row>
    <row r="3060">
      <c r="A3060" s="28">
        <v>3059.0</v>
      </c>
      <c r="B3060" s="29"/>
      <c r="C3060" s="29"/>
      <c r="D3060" s="40">
        <v>1.0</v>
      </c>
      <c r="E3060" s="31">
        <v>54.0</v>
      </c>
      <c r="F3060" s="42">
        <v>33.0</v>
      </c>
      <c r="G3060" s="29" t="str">
        <f t="shared" si="1"/>
        <v>54033</v>
      </c>
      <c r="H3060" s="37" t="s">
        <v>775</v>
      </c>
      <c r="I3060" s="37" t="s">
        <v>120</v>
      </c>
      <c r="J3060" s="37" t="s">
        <v>2329</v>
      </c>
      <c r="K3060" s="37" t="str">
        <f t="shared" si="49"/>
        <v>Harrison, WV</v>
      </c>
      <c r="L3060" s="37">
        <v>185.0</v>
      </c>
      <c r="M3060" s="37" t="s">
        <v>63</v>
      </c>
      <c r="N3060" s="37" t="s">
        <v>63</v>
      </c>
      <c r="O3060" s="37" t="s">
        <v>63</v>
      </c>
      <c r="P3060" s="37" t="s">
        <v>63</v>
      </c>
      <c r="Q3060" s="37">
        <v>39.0</v>
      </c>
      <c r="R3060" s="37" t="s">
        <v>63</v>
      </c>
      <c r="S3060" s="37" t="s">
        <v>63</v>
      </c>
      <c r="T3060" s="69" t="s">
        <v>63</v>
      </c>
      <c r="U3060" s="37" t="s">
        <v>63</v>
      </c>
      <c r="V3060" s="37" t="s">
        <v>63</v>
      </c>
      <c r="W3060" s="37" t="s">
        <v>63</v>
      </c>
      <c r="X3060" s="37" t="s">
        <v>63</v>
      </c>
      <c r="Y3060" s="53">
        <v>99.0</v>
      </c>
      <c r="Z3060" s="69" t="s">
        <v>63</v>
      </c>
      <c r="AA3060" s="73"/>
      <c r="AB3060" s="73"/>
      <c r="AC3060" s="73"/>
      <c r="AD3060" s="73"/>
      <c r="AE3060" s="73"/>
      <c r="AF3060" s="73"/>
      <c r="AG3060" s="73"/>
      <c r="AH3060" s="73"/>
      <c r="AI3060" s="73"/>
      <c r="AJ3060" s="73"/>
      <c r="AK3060" s="73"/>
    </row>
    <row r="3061">
      <c r="A3061" s="28">
        <v>3060.0</v>
      </c>
      <c r="B3061" s="29"/>
      <c r="C3061" s="29"/>
      <c r="D3061" s="40">
        <v>1.0</v>
      </c>
      <c r="E3061" s="31">
        <v>54.0</v>
      </c>
      <c r="F3061" s="42">
        <v>35.0</v>
      </c>
      <c r="G3061" s="29" t="str">
        <f t="shared" si="1"/>
        <v>54035</v>
      </c>
      <c r="H3061" s="37" t="s">
        <v>142</v>
      </c>
      <c r="I3061" s="37" t="s">
        <v>120</v>
      </c>
      <c r="J3061" s="37" t="s">
        <v>2329</v>
      </c>
      <c r="K3061" s="37" t="str">
        <f t="shared" si="49"/>
        <v>Jackson, WV</v>
      </c>
      <c r="L3061" s="37">
        <v>98.0</v>
      </c>
      <c r="M3061" s="37" t="s">
        <v>63</v>
      </c>
      <c r="N3061" s="37" t="s">
        <v>63</v>
      </c>
      <c r="O3061" s="37" t="s">
        <v>63</v>
      </c>
      <c r="P3061" s="37" t="s">
        <v>63</v>
      </c>
      <c r="Q3061" s="37">
        <v>25.0</v>
      </c>
      <c r="R3061" s="37" t="s">
        <v>63</v>
      </c>
      <c r="S3061" s="37" t="s">
        <v>63</v>
      </c>
      <c r="T3061" s="69" t="s">
        <v>63</v>
      </c>
      <c r="U3061" s="37" t="s">
        <v>63</v>
      </c>
      <c r="V3061" s="37" t="s">
        <v>63</v>
      </c>
      <c r="W3061" s="37" t="s">
        <v>63</v>
      </c>
      <c r="X3061" s="37" t="s">
        <v>63</v>
      </c>
      <c r="Y3061" s="53">
        <v>44.0</v>
      </c>
      <c r="Z3061" s="69" t="s">
        <v>63</v>
      </c>
      <c r="AA3061" s="73"/>
      <c r="AB3061" s="73"/>
      <c r="AC3061" s="73"/>
      <c r="AD3061" s="73"/>
      <c r="AE3061" s="73"/>
      <c r="AF3061" s="73"/>
      <c r="AG3061" s="73"/>
      <c r="AH3061" s="73"/>
      <c r="AI3061" s="73"/>
      <c r="AJ3061" s="73"/>
      <c r="AK3061" s="73"/>
    </row>
    <row r="3062">
      <c r="A3062" s="28">
        <v>3061.0</v>
      </c>
      <c r="B3062" s="29"/>
      <c r="C3062" s="29"/>
      <c r="D3062" s="40">
        <v>1.0</v>
      </c>
      <c r="E3062" s="31">
        <v>54.0</v>
      </c>
      <c r="F3062" s="42">
        <v>37.0</v>
      </c>
      <c r="G3062" s="29" t="str">
        <f t="shared" si="1"/>
        <v>54037</v>
      </c>
      <c r="H3062" s="37" t="s">
        <v>143</v>
      </c>
      <c r="I3062" s="37" t="s">
        <v>120</v>
      </c>
      <c r="J3062" s="37" t="s">
        <v>2329</v>
      </c>
      <c r="K3062" s="37" t="str">
        <f t="shared" si="49"/>
        <v>Jefferson, WV</v>
      </c>
      <c r="L3062" s="37">
        <v>48.0</v>
      </c>
      <c r="M3062" s="37" t="s">
        <v>63</v>
      </c>
      <c r="N3062" s="37" t="s">
        <v>63</v>
      </c>
      <c r="O3062" s="37" t="s">
        <v>63</v>
      </c>
      <c r="P3062" s="37" t="s">
        <v>63</v>
      </c>
      <c r="Q3062" s="37">
        <v>34.0</v>
      </c>
      <c r="R3062" s="37" t="s">
        <v>63</v>
      </c>
      <c r="S3062" s="37" t="s">
        <v>63</v>
      </c>
      <c r="T3062" s="69" t="s">
        <v>63</v>
      </c>
      <c r="U3062" s="37" t="s">
        <v>63</v>
      </c>
      <c r="V3062" s="37" t="s">
        <v>63</v>
      </c>
      <c r="W3062" s="37" t="s">
        <v>63</v>
      </c>
      <c r="X3062" s="37" t="s">
        <v>63</v>
      </c>
      <c r="Y3062" s="53">
        <v>53.0</v>
      </c>
      <c r="Z3062" s="69" t="s">
        <v>63</v>
      </c>
      <c r="AA3062" s="73"/>
      <c r="AB3062" s="73"/>
      <c r="AC3062" s="73"/>
      <c r="AD3062" s="73"/>
      <c r="AE3062" s="73"/>
      <c r="AF3062" s="73"/>
      <c r="AG3062" s="73"/>
      <c r="AH3062" s="73"/>
      <c r="AI3062" s="73"/>
      <c r="AJ3062" s="73"/>
      <c r="AK3062" s="73"/>
    </row>
    <row r="3063">
      <c r="A3063" s="28">
        <v>3062.0</v>
      </c>
      <c r="B3063" s="29"/>
      <c r="C3063" s="29"/>
      <c r="D3063" s="40">
        <v>1.0</v>
      </c>
      <c r="E3063" s="31">
        <v>54.0</v>
      </c>
      <c r="F3063" s="42">
        <v>39.0</v>
      </c>
      <c r="G3063" s="29" t="str">
        <f t="shared" si="1"/>
        <v>54039</v>
      </c>
      <c r="H3063" s="37" t="s">
        <v>2336</v>
      </c>
      <c r="I3063" s="37" t="s">
        <v>120</v>
      </c>
      <c r="J3063" s="37" t="s">
        <v>2329</v>
      </c>
      <c r="K3063" s="37" t="str">
        <f t="shared" si="49"/>
        <v>Kanawha, WV</v>
      </c>
      <c r="L3063" s="37">
        <v>1319.0</v>
      </c>
      <c r="M3063" s="37" t="s">
        <v>63</v>
      </c>
      <c r="N3063" s="37" t="s">
        <v>63</v>
      </c>
      <c r="O3063" s="37" t="s">
        <v>63</v>
      </c>
      <c r="P3063" s="37" t="s">
        <v>63</v>
      </c>
      <c r="Q3063" s="37">
        <v>69.0</v>
      </c>
      <c r="R3063" s="37" t="s">
        <v>63</v>
      </c>
      <c r="S3063" s="37" t="s">
        <v>63</v>
      </c>
      <c r="T3063" s="69" t="s">
        <v>63</v>
      </c>
      <c r="U3063" s="37" t="s">
        <v>63</v>
      </c>
      <c r="V3063" s="37" t="s">
        <v>63</v>
      </c>
      <c r="W3063" s="37" t="s">
        <v>63</v>
      </c>
      <c r="X3063" s="37" t="s">
        <v>63</v>
      </c>
      <c r="Y3063" s="53">
        <v>246.0</v>
      </c>
      <c r="Z3063" s="69" t="s">
        <v>63</v>
      </c>
      <c r="AA3063" s="73"/>
      <c r="AB3063" s="73"/>
      <c r="AC3063" s="73"/>
      <c r="AD3063" s="73"/>
      <c r="AE3063" s="73"/>
      <c r="AF3063" s="73"/>
      <c r="AG3063" s="73"/>
      <c r="AH3063" s="73"/>
      <c r="AI3063" s="73"/>
      <c r="AJ3063" s="73"/>
      <c r="AK3063" s="73"/>
    </row>
    <row r="3064">
      <c r="A3064" s="28">
        <v>3063.0</v>
      </c>
      <c r="B3064" s="29"/>
      <c r="C3064" s="29"/>
      <c r="D3064" s="40">
        <v>1.0</v>
      </c>
      <c r="E3064" s="31">
        <v>54.0</v>
      </c>
      <c r="F3064" s="42">
        <v>41.0</v>
      </c>
      <c r="G3064" s="29" t="str">
        <f t="shared" si="1"/>
        <v>54041</v>
      </c>
      <c r="H3064" s="37" t="s">
        <v>682</v>
      </c>
      <c r="I3064" s="37" t="s">
        <v>120</v>
      </c>
      <c r="J3064" s="37" t="s">
        <v>2329</v>
      </c>
      <c r="K3064" s="37" t="str">
        <f t="shared" si="49"/>
        <v>Lewis, WV</v>
      </c>
      <c r="L3064" s="37">
        <v>20.0</v>
      </c>
      <c r="M3064" s="37" t="s">
        <v>63</v>
      </c>
      <c r="N3064" s="37" t="s">
        <v>63</v>
      </c>
      <c r="O3064" s="37" t="s">
        <v>63</v>
      </c>
      <c r="P3064" s="37" t="s">
        <v>63</v>
      </c>
      <c r="Q3064" s="37">
        <v>12.0</v>
      </c>
      <c r="R3064" s="37" t="s">
        <v>63</v>
      </c>
      <c r="S3064" s="37" t="s">
        <v>63</v>
      </c>
      <c r="T3064" s="69" t="s">
        <v>63</v>
      </c>
      <c r="U3064" s="37" t="s">
        <v>63</v>
      </c>
      <c r="V3064" s="37" t="s">
        <v>63</v>
      </c>
      <c r="W3064" s="37" t="s">
        <v>63</v>
      </c>
      <c r="X3064" s="37" t="s">
        <v>63</v>
      </c>
      <c r="Y3064" s="53">
        <v>22.0</v>
      </c>
      <c r="Z3064" s="69" t="s">
        <v>63</v>
      </c>
      <c r="AA3064" s="73"/>
      <c r="AB3064" s="73"/>
      <c r="AC3064" s="73"/>
      <c r="AD3064" s="73"/>
      <c r="AE3064" s="73"/>
      <c r="AF3064" s="73"/>
      <c r="AG3064" s="73"/>
      <c r="AH3064" s="73"/>
      <c r="AI3064" s="73"/>
      <c r="AJ3064" s="73"/>
      <c r="AK3064" s="73"/>
    </row>
    <row r="3065">
      <c r="A3065" s="28">
        <v>3064.0</v>
      </c>
      <c r="B3065" s="29"/>
      <c r="C3065" s="29"/>
      <c r="D3065" s="40">
        <v>1.0</v>
      </c>
      <c r="E3065" s="31">
        <v>54.0</v>
      </c>
      <c r="F3065" s="42">
        <v>43.0</v>
      </c>
      <c r="G3065" s="29" t="str">
        <f t="shared" si="1"/>
        <v>54043</v>
      </c>
      <c r="H3065" s="37" t="s">
        <v>290</v>
      </c>
      <c r="I3065" s="37" t="s">
        <v>120</v>
      </c>
      <c r="J3065" s="37" t="s">
        <v>2329</v>
      </c>
      <c r="K3065" s="37" t="str">
        <f t="shared" si="49"/>
        <v>Lincoln, WV</v>
      </c>
      <c r="L3065" s="37">
        <v>87.0</v>
      </c>
      <c r="M3065" s="37" t="s">
        <v>63</v>
      </c>
      <c r="N3065" s="37" t="s">
        <v>63</v>
      </c>
      <c r="O3065" s="37" t="s">
        <v>63</v>
      </c>
      <c r="P3065" s="37" t="s">
        <v>63</v>
      </c>
      <c r="Q3065" s="37">
        <v>22.0</v>
      </c>
      <c r="R3065" s="37" t="s">
        <v>63</v>
      </c>
      <c r="S3065" s="37" t="s">
        <v>63</v>
      </c>
      <c r="T3065" s="69" t="s">
        <v>63</v>
      </c>
      <c r="U3065" s="37" t="s">
        <v>63</v>
      </c>
      <c r="V3065" s="37" t="s">
        <v>63</v>
      </c>
      <c r="W3065" s="37" t="s">
        <v>63</v>
      </c>
      <c r="X3065" s="37" t="s">
        <v>63</v>
      </c>
      <c r="Y3065" s="53">
        <v>21.0</v>
      </c>
      <c r="Z3065" s="69" t="s">
        <v>63</v>
      </c>
      <c r="AA3065" s="73"/>
      <c r="AB3065" s="73"/>
      <c r="AC3065" s="73"/>
      <c r="AD3065" s="73"/>
      <c r="AE3065" s="73"/>
      <c r="AF3065" s="73"/>
      <c r="AG3065" s="73"/>
      <c r="AH3065" s="73"/>
      <c r="AI3065" s="73"/>
      <c r="AJ3065" s="73"/>
      <c r="AK3065" s="73"/>
    </row>
    <row r="3066">
      <c r="A3066" s="28">
        <v>3065.0</v>
      </c>
      <c r="B3066" s="29"/>
      <c r="C3066" s="29"/>
      <c r="D3066" s="40">
        <v>1.0</v>
      </c>
      <c r="E3066" s="31">
        <v>54.0</v>
      </c>
      <c r="F3066" s="42">
        <v>45.0</v>
      </c>
      <c r="G3066" s="29" t="str">
        <f t="shared" si="1"/>
        <v>54045</v>
      </c>
      <c r="H3066" s="37" t="s">
        <v>293</v>
      </c>
      <c r="I3066" s="37" t="s">
        <v>120</v>
      </c>
      <c r="J3066" s="37" t="s">
        <v>2329</v>
      </c>
      <c r="K3066" s="37" t="str">
        <f t="shared" si="49"/>
        <v>Logan, WV</v>
      </c>
      <c r="L3066" s="37">
        <v>145.0</v>
      </c>
      <c r="M3066" s="37" t="s">
        <v>63</v>
      </c>
      <c r="N3066" s="37" t="s">
        <v>63</v>
      </c>
      <c r="O3066" s="37" t="s">
        <v>63</v>
      </c>
      <c r="P3066" s="37" t="s">
        <v>63</v>
      </c>
      <c r="Q3066" s="37">
        <v>38.0</v>
      </c>
      <c r="R3066" s="37" t="s">
        <v>63</v>
      </c>
      <c r="S3066" s="37" t="s">
        <v>63</v>
      </c>
      <c r="T3066" s="69" t="s">
        <v>63</v>
      </c>
      <c r="U3066" s="37" t="s">
        <v>63</v>
      </c>
      <c r="V3066" s="37" t="s">
        <v>63</v>
      </c>
      <c r="W3066" s="37" t="s">
        <v>63</v>
      </c>
      <c r="X3066" s="37" t="s">
        <v>63</v>
      </c>
      <c r="Y3066" s="53">
        <v>49.0</v>
      </c>
      <c r="Z3066" s="69" t="s">
        <v>63</v>
      </c>
      <c r="AA3066" s="73"/>
      <c r="AB3066" s="73"/>
      <c r="AC3066" s="73"/>
      <c r="AD3066" s="73"/>
      <c r="AE3066" s="73"/>
      <c r="AF3066" s="73"/>
      <c r="AG3066" s="73"/>
      <c r="AH3066" s="73"/>
      <c r="AI3066" s="73"/>
      <c r="AJ3066" s="73"/>
      <c r="AK3066" s="73"/>
    </row>
    <row r="3067">
      <c r="A3067" s="28">
        <v>3066.0</v>
      </c>
      <c r="B3067" s="29"/>
      <c r="C3067" s="29"/>
      <c r="D3067" s="40">
        <v>1.0</v>
      </c>
      <c r="E3067" s="31">
        <v>54.0</v>
      </c>
      <c r="F3067" s="42">
        <v>47.0</v>
      </c>
      <c r="G3067" s="29" t="str">
        <f t="shared" si="1"/>
        <v>54047</v>
      </c>
      <c r="H3067" s="37" t="s">
        <v>1614</v>
      </c>
      <c r="I3067" s="37" t="s">
        <v>120</v>
      </c>
      <c r="J3067" s="37" t="s">
        <v>2329</v>
      </c>
      <c r="K3067" s="37" t="str">
        <f t="shared" si="49"/>
        <v>McDowell, WV</v>
      </c>
      <c r="L3067" s="37">
        <v>63.0</v>
      </c>
      <c r="M3067" s="37" t="s">
        <v>63</v>
      </c>
      <c r="N3067" s="37" t="s">
        <v>63</v>
      </c>
      <c r="O3067" s="37" t="s">
        <v>63</v>
      </c>
      <c r="P3067" s="37" t="s">
        <v>63</v>
      </c>
      <c r="Q3067" s="37">
        <v>12.0</v>
      </c>
      <c r="R3067" s="37" t="s">
        <v>63</v>
      </c>
      <c r="S3067" s="37" t="s">
        <v>63</v>
      </c>
      <c r="T3067" s="69" t="s">
        <v>63</v>
      </c>
      <c r="U3067" s="37" t="s">
        <v>63</v>
      </c>
      <c r="V3067" s="37" t="s">
        <v>63</v>
      </c>
      <c r="W3067" s="37" t="s">
        <v>63</v>
      </c>
      <c r="X3067" s="37" t="s">
        <v>63</v>
      </c>
      <c r="Y3067" s="53">
        <v>42.0</v>
      </c>
      <c r="Z3067" s="69" t="s">
        <v>63</v>
      </c>
      <c r="AA3067" s="73"/>
      <c r="AB3067" s="73"/>
      <c r="AC3067" s="73"/>
      <c r="AD3067" s="73"/>
      <c r="AE3067" s="73"/>
      <c r="AF3067" s="73"/>
      <c r="AG3067" s="73"/>
      <c r="AH3067" s="73"/>
      <c r="AI3067" s="73"/>
      <c r="AJ3067" s="73"/>
      <c r="AK3067" s="73"/>
    </row>
    <row r="3068">
      <c r="A3068" s="28">
        <v>3067.0</v>
      </c>
      <c r="B3068" s="29"/>
      <c r="C3068" s="29"/>
      <c r="D3068" s="40">
        <v>1.0</v>
      </c>
      <c r="E3068" s="31">
        <v>54.0</v>
      </c>
      <c r="F3068" s="42">
        <v>49.0</v>
      </c>
      <c r="G3068" s="29" t="str">
        <f t="shared" si="1"/>
        <v>54049</v>
      </c>
      <c r="H3068" s="37" t="s">
        <v>153</v>
      </c>
      <c r="I3068" s="37" t="s">
        <v>120</v>
      </c>
      <c r="J3068" s="37" t="s">
        <v>2329</v>
      </c>
      <c r="K3068" s="37" t="str">
        <f t="shared" si="49"/>
        <v>Marion, WV</v>
      </c>
      <c r="L3068" s="37">
        <v>200.0</v>
      </c>
      <c r="M3068" s="37" t="s">
        <v>63</v>
      </c>
      <c r="N3068" s="37" t="s">
        <v>63</v>
      </c>
      <c r="O3068" s="37" t="s">
        <v>63</v>
      </c>
      <c r="P3068" s="37" t="s">
        <v>63</v>
      </c>
      <c r="Q3068" s="37">
        <v>32.0</v>
      </c>
      <c r="R3068" s="37" t="s">
        <v>63</v>
      </c>
      <c r="S3068" s="37" t="s">
        <v>63</v>
      </c>
      <c r="T3068" s="69" t="s">
        <v>63</v>
      </c>
      <c r="U3068" s="37" t="s">
        <v>63</v>
      </c>
      <c r="V3068" s="37" t="s">
        <v>63</v>
      </c>
      <c r="W3068" s="37" t="s">
        <v>63</v>
      </c>
      <c r="X3068" s="37" t="s">
        <v>63</v>
      </c>
      <c r="Y3068" s="53">
        <v>72.0</v>
      </c>
      <c r="Z3068" s="69" t="s">
        <v>63</v>
      </c>
      <c r="AA3068" s="73"/>
      <c r="AB3068" s="73"/>
      <c r="AC3068" s="73"/>
      <c r="AD3068" s="73"/>
      <c r="AE3068" s="73"/>
      <c r="AF3068" s="73"/>
      <c r="AG3068" s="73"/>
      <c r="AH3068" s="73"/>
      <c r="AI3068" s="73"/>
      <c r="AJ3068" s="73"/>
      <c r="AK3068" s="73"/>
    </row>
    <row r="3069">
      <c r="A3069" s="28">
        <v>3068.0</v>
      </c>
      <c r="B3069" s="29"/>
      <c r="C3069" s="29"/>
      <c r="D3069" s="40">
        <v>1.0</v>
      </c>
      <c r="E3069" s="31">
        <v>54.0</v>
      </c>
      <c r="F3069" s="42">
        <v>51.0</v>
      </c>
      <c r="G3069" s="29" t="str">
        <f t="shared" si="1"/>
        <v>54051</v>
      </c>
      <c r="H3069" s="37" t="s">
        <v>154</v>
      </c>
      <c r="I3069" s="37" t="s">
        <v>120</v>
      </c>
      <c r="J3069" s="37" t="s">
        <v>2329</v>
      </c>
      <c r="K3069" s="37" t="str">
        <f t="shared" si="49"/>
        <v>Marshall, WV</v>
      </c>
      <c r="L3069" s="37">
        <v>96.0</v>
      </c>
      <c r="M3069" s="37" t="s">
        <v>63</v>
      </c>
      <c r="N3069" s="37" t="s">
        <v>63</v>
      </c>
      <c r="O3069" s="37" t="s">
        <v>63</v>
      </c>
      <c r="P3069" s="37" t="s">
        <v>63</v>
      </c>
      <c r="Q3069" s="37">
        <v>12.0</v>
      </c>
      <c r="R3069" s="37" t="s">
        <v>63</v>
      </c>
      <c r="S3069" s="37" t="s">
        <v>63</v>
      </c>
      <c r="T3069" s="69" t="s">
        <v>63</v>
      </c>
      <c r="U3069" s="37" t="s">
        <v>63</v>
      </c>
      <c r="V3069" s="37" t="s">
        <v>63</v>
      </c>
      <c r="W3069" s="37" t="s">
        <v>63</v>
      </c>
      <c r="X3069" s="37" t="s">
        <v>63</v>
      </c>
      <c r="Y3069" s="53">
        <v>39.0</v>
      </c>
      <c r="Z3069" s="69" t="s">
        <v>63</v>
      </c>
      <c r="AA3069" s="73"/>
      <c r="AB3069" s="73"/>
      <c r="AC3069" s="73"/>
      <c r="AD3069" s="73"/>
      <c r="AE3069" s="73"/>
      <c r="AF3069" s="73"/>
      <c r="AG3069" s="73"/>
      <c r="AH3069" s="73"/>
      <c r="AI3069" s="73"/>
      <c r="AJ3069" s="73"/>
      <c r="AK3069" s="73"/>
    </row>
    <row r="3070">
      <c r="A3070" s="28">
        <v>3069.0</v>
      </c>
      <c r="B3070" s="29"/>
      <c r="C3070" s="29"/>
      <c r="D3070" s="40">
        <v>1.0</v>
      </c>
      <c r="E3070" s="31">
        <v>54.0</v>
      </c>
      <c r="F3070" s="42">
        <v>53.0</v>
      </c>
      <c r="G3070" s="29" t="str">
        <f t="shared" si="1"/>
        <v>54053</v>
      </c>
      <c r="H3070" s="37" t="s">
        <v>735</v>
      </c>
      <c r="I3070" s="37" t="s">
        <v>120</v>
      </c>
      <c r="J3070" s="37" t="s">
        <v>2329</v>
      </c>
      <c r="K3070" s="37" t="str">
        <f t="shared" si="49"/>
        <v>Mason, WV</v>
      </c>
      <c r="L3070" s="37">
        <v>200.0</v>
      </c>
      <c r="M3070" s="37" t="s">
        <v>63</v>
      </c>
      <c r="N3070" s="37" t="s">
        <v>63</v>
      </c>
      <c r="O3070" s="37" t="s">
        <v>63</v>
      </c>
      <c r="P3070" s="37" t="s">
        <v>63</v>
      </c>
      <c r="Q3070" s="37">
        <v>11.0</v>
      </c>
      <c r="R3070" s="37" t="s">
        <v>63</v>
      </c>
      <c r="S3070" s="37" t="s">
        <v>63</v>
      </c>
      <c r="T3070" s="69" t="s">
        <v>63</v>
      </c>
      <c r="U3070" s="37" t="s">
        <v>63</v>
      </c>
      <c r="V3070" s="37" t="s">
        <v>63</v>
      </c>
      <c r="W3070" s="37" t="s">
        <v>63</v>
      </c>
      <c r="X3070" s="37" t="s">
        <v>63</v>
      </c>
      <c r="Y3070" s="53">
        <v>27.0</v>
      </c>
      <c r="Z3070" s="69" t="s">
        <v>63</v>
      </c>
      <c r="AA3070" s="73"/>
      <c r="AB3070" s="73"/>
      <c r="AC3070" s="73"/>
      <c r="AD3070" s="73"/>
      <c r="AE3070" s="73"/>
      <c r="AF3070" s="73"/>
      <c r="AG3070" s="73"/>
      <c r="AH3070" s="73"/>
      <c r="AI3070" s="73"/>
      <c r="AJ3070" s="73"/>
      <c r="AK3070" s="73"/>
    </row>
    <row r="3071">
      <c r="A3071" s="28">
        <v>3070.0</v>
      </c>
      <c r="B3071" s="29"/>
      <c r="C3071" s="29"/>
      <c r="D3071" s="40">
        <v>1.0</v>
      </c>
      <c r="E3071" s="31">
        <v>54.0</v>
      </c>
      <c r="F3071" s="42">
        <v>55.0</v>
      </c>
      <c r="G3071" s="29" t="str">
        <f t="shared" si="1"/>
        <v>54055</v>
      </c>
      <c r="H3071" s="37" t="s">
        <v>738</v>
      </c>
      <c r="I3071" s="37" t="s">
        <v>120</v>
      </c>
      <c r="J3071" s="37" t="s">
        <v>2329</v>
      </c>
      <c r="K3071" s="37" t="str">
        <f t="shared" si="49"/>
        <v>Mercer, WV</v>
      </c>
      <c r="L3071" s="37">
        <v>190.0</v>
      </c>
      <c r="M3071" s="37" t="s">
        <v>63</v>
      </c>
      <c r="N3071" s="37" t="s">
        <v>63</v>
      </c>
      <c r="O3071" s="37" t="s">
        <v>63</v>
      </c>
      <c r="P3071" s="37" t="s">
        <v>63</v>
      </c>
      <c r="Q3071" s="37">
        <v>37.0</v>
      </c>
      <c r="R3071" s="37" t="s">
        <v>63</v>
      </c>
      <c r="S3071" s="37" t="s">
        <v>63</v>
      </c>
      <c r="T3071" s="69" t="s">
        <v>63</v>
      </c>
      <c r="U3071" s="37" t="s">
        <v>63</v>
      </c>
      <c r="V3071" s="37" t="s">
        <v>63</v>
      </c>
      <c r="W3071" s="37" t="s">
        <v>63</v>
      </c>
      <c r="X3071" s="37" t="s">
        <v>63</v>
      </c>
      <c r="Y3071" s="53">
        <v>97.0</v>
      </c>
      <c r="Z3071" s="69" t="s">
        <v>63</v>
      </c>
      <c r="AA3071" s="73"/>
      <c r="AB3071" s="73"/>
      <c r="AC3071" s="73"/>
      <c r="AD3071" s="73"/>
      <c r="AE3071" s="73"/>
      <c r="AF3071" s="73"/>
      <c r="AG3071" s="73"/>
      <c r="AH3071" s="73"/>
      <c r="AI3071" s="73"/>
      <c r="AJ3071" s="73"/>
      <c r="AK3071" s="73"/>
    </row>
    <row r="3072">
      <c r="A3072" s="28">
        <v>3071.0</v>
      </c>
      <c r="B3072" s="29"/>
      <c r="C3072" s="29"/>
      <c r="D3072" s="40">
        <v>1.0</v>
      </c>
      <c r="E3072" s="31">
        <v>54.0</v>
      </c>
      <c r="F3072" s="42">
        <v>57.0</v>
      </c>
      <c r="G3072" s="29" t="str">
        <f t="shared" si="1"/>
        <v>54057</v>
      </c>
      <c r="H3072" s="37" t="s">
        <v>435</v>
      </c>
      <c r="I3072" s="37" t="s">
        <v>120</v>
      </c>
      <c r="J3072" s="37" t="s">
        <v>2329</v>
      </c>
      <c r="K3072" s="37" t="str">
        <f t="shared" si="49"/>
        <v>Mineral, WV</v>
      </c>
      <c r="L3072" s="37">
        <v>11.0</v>
      </c>
      <c r="M3072" s="37" t="s">
        <v>63</v>
      </c>
      <c r="N3072" s="37" t="s">
        <v>63</v>
      </c>
      <c r="O3072" s="37" t="s">
        <v>63</v>
      </c>
      <c r="P3072" s="37" t="s">
        <v>63</v>
      </c>
      <c r="Q3072" s="37">
        <v>19.0</v>
      </c>
      <c r="R3072" s="37" t="s">
        <v>63</v>
      </c>
      <c r="S3072" s="37" t="s">
        <v>63</v>
      </c>
      <c r="T3072" s="69" t="s">
        <v>63</v>
      </c>
      <c r="U3072" s="37" t="s">
        <v>63</v>
      </c>
      <c r="V3072" s="37" t="s">
        <v>63</v>
      </c>
      <c r="W3072" s="37" t="s">
        <v>63</v>
      </c>
      <c r="X3072" s="37" t="s">
        <v>63</v>
      </c>
      <c r="Y3072" s="53">
        <v>50.0</v>
      </c>
      <c r="Z3072" s="69" t="s">
        <v>63</v>
      </c>
      <c r="AA3072" s="73"/>
      <c r="AB3072" s="73"/>
      <c r="AC3072" s="73"/>
      <c r="AD3072" s="73"/>
      <c r="AE3072" s="73"/>
      <c r="AF3072" s="73"/>
      <c r="AG3072" s="73"/>
      <c r="AH3072" s="73"/>
      <c r="AI3072" s="73"/>
      <c r="AJ3072" s="73"/>
      <c r="AK3072" s="73"/>
    </row>
    <row r="3073">
      <c r="A3073" s="28">
        <v>3072.0</v>
      </c>
      <c r="B3073" s="29"/>
      <c r="C3073" s="29"/>
      <c r="D3073" s="40">
        <v>1.0</v>
      </c>
      <c r="E3073" s="31">
        <v>54.0</v>
      </c>
      <c r="F3073" s="42">
        <v>59.0</v>
      </c>
      <c r="G3073" s="29" t="str">
        <f t="shared" si="1"/>
        <v>54059</v>
      </c>
      <c r="H3073" s="37" t="s">
        <v>2337</v>
      </c>
      <c r="I3073" s="37" t="s">
        <v>120</v>
      </c>
      <c r="J3073" s="37" t="s">
        <v>2329</v>
      </c>
      <c r="K3073" s="37" t="str">
        <f t="shared" si="49"/>
        <v>Mingo, WV</v>
      </c>
      <c r="L3073" s="37">
        <v>85.0</v>
      </c>
      <c r="M3073" s="37" t="s">
        <v>63</v>
      </c>
      <c r="N3073" s="37" t="s">
        <v>63</v>
      </c>
      <c r="O3073" s="37" t="s">
        <v>63</v>
      </c>
      <c r="P3073" s="37" t="s">
        <v>63</v>
      </c>
      <c r="Q3073" s="37">
        <v>26.0</v>
      </c>
      <c r="R3073" s="37" t="s">
        <v>63</v>
      </c>
      <c r="S3073" s="37" t="s">
        <v>63</v>
      </c>
      <c r="T3073" s="69" t="s">
        <v>63</v>
      </c>
      <c r="U3073" s="37" t="s">
        <v>63</v>
      </c>
      <c r="V3073" s="37" t="s">
        <v>63</v>
      </c>
      <c r="W3073" s="37" t="s">
        <v>63</v>
      </c>
      <c r="X3073" s="37" t="s">
        <v>63</v>
      </c>
      <c r="Y3073" s="53">
        <v>47.0</v>
      </c>
      <c r="Z3073" s="69" t="s">
        <v>63</v>
      </c>
      <c r="AA3073" s="73"/>
      <c r="AB3073" s="73"/>
      <c r="AC3073" s="73"/>
      <c r="AD3073" s="73"/>
      <c r="AE3073" s="73"/>
      <c r="AF3073" s="73"/>
      <c r="AG3073" s="73"/>
      <c r="AH3073" s="73"/>
      <c r="AI3073" s="73"/>
      <c r="AJ3073" s="73"/>
      <c r="AK3073" s="73"/>
    </row>
    <row r="3074">
      <c r="A3074" s="28">
        <v>3073.0</v>
      </c>
      <c r="B3074" s="29"/>
      <c r="C3074" s="29"/>
      <c r="D3074" s="40">
        <v>1.0</v>
      </c>
      <c r="E3074" s="31">
        <v>54.0</v>
      </c>
      <c r="F3074" s="42">
        <v>61.0</v>
      </c>
      <c r="G3074" s="29" t="str">
        <f t="shared" si="1"/>
        <v>54061</v>
      </c>
      <c r="H3074" s="37" t="s">
        <v>2338</v>
      </c>
      <c r="I3074" s="37" t="s">
        <v>120</v>
      </c>
      <c r="J3074" s="37" t="s">
        <v>2329</v>
      </c>
      <c r="K3074" s="37" t="str">
        <f t="shared" si="49"/>
        <v>Monongalia, WV</v>
      </c>
      <c r="L3074" s="37">
        <v>196.0</v>
      </c>
      <c r="M3074" s="37" t="s">
        <v>63</v>
      </c>
      <c r="N3074" s="37" t="s">
        <v>63</v>
      </c>
      <c r="O3074" s="37" t="s">
        <v>63</v>
      </c>
      <c r="P3074" s="37" t="s">
        <v>63</v>
      </c>
      <c r="Q3074" s="37">
        <v>12.0</v>
      </c>
      <c r="R3074" s="37" t="s">
        <v>63</v>
      </c>
      <c r="S3074" s="37" t="s">
        <v>63</v>
      </c>
      <c r="T3074" s="69" t="s">
        <v>63</v>
      </c>
      <c r="U3074" s="37" t="s">
        <v>63</v>
      </c>
      <c r="V3074" s="37" t="s">
        <v>63</v>
      </c>
      <c r="W3074" s="37" t="s">
        <v>63</v>
      </c>
      <c r="X3074" s="37" t="s">
        <v>63</v>
      </c>
      <c r="Y3074" s="53">
        <v>71.0</v>
      </c>
      <c r="Z3074" s="69" t="s">
        <v>63</v>
      </c>
      <c r="AA3074" s="73"/>
      <c r="AB3074" s="73"/>
      <c r="AC3074" s="73"/>
      <c r="AD3074" s="73"/>
      <c r="AE3074" s="73"/>
      <c r="AF3074" s="73"/>
      <c r="AG3074" s="73"/>
      <c r="AH3074" s="73"/>
      <c r="AI3074" s="73"/>
      <c r="AJ3074" s="73"/>
      <c r="AK3074" s="73"/>
    </row>
    <row r="3075">
      <c r="A3075" s="28">
        <v>3074.0</v>
      </c>
      <c r="B3075" s="29"/>
      <c r="C3075" s="29"/>
      <c r="D3075" s="40">
        <v>1.0</v>
      </c>
      <c r="E3075" s="31">
        <v>54.0</v>
      </c>
      <c r="F3075" s="42">
        <v>63.0</v>
      </c>
      <c r="G3075" s="29" t="str">
        <f t="shared" si="1"/>
        <v>54063</v>
      </c>
      <c r="H3075" s="37" t="s">
        <v>156</v>
      </c>
      <c r="I3075" s="37" t="s">
        <v>120</v>
      </c>
      <c r="J3075" s="37" t="s">
        <v>2329</v>
      </c>
      <c r="K3075" s="37" t="str">
        <f t="shared" si="49"/>
        <v>Monroe, WV</v>
      </c>
      <c r="L3075" s="37" t="s">
        <v>63</v>
      </c>
      <c r="M3075" s="37" t="s">
        <v>63</v>
      </c>
      <c r="N3075" s="37" t="s">
        <v>63</v>
      </c>
      <c r="O3075" s="37" t="s">
        <v>63</v>
      </c>
      <c r="P3075" s="37" t="s">
        <v>63</v>
      </c>
      <c r="Q3075" s="37">
        <v>10.0</v>
      </c>
      <c r="R3075" s="37" t="s">
        <v>63</v>
      </c>
      <c r="S3075" s="37" t="s">
        <v>63</v>
      </c>
      <c r="T3075" s="69" t="s">
        <v>63</v>
      </c>
      <c r="U3075" s="37" t="s">
        <v>63</v>
      </c>
      <c r="V3075" s="37" t="s">
        <v>63</v>
      </c>
      <c r="W3075" s="37" t="s">
        <v>63</v>
      </c>
      <c r="X3075" s="37" t="s">
        <v>63</v>
      </c>
      <c r="Y3075" s="53">
        <v>12.0</v>
      </c>
      <c r="Z3075" s="69" t="s">
        <v>63</v>
      </c>
      <c r="AA3075" s="73"/>
      <c r="AB3075" s="73"/>
      <c r="AC3075" s="73"/>
      <c r="AD3075" s="73"/>
      <c r="AE3075" s="73"/>
      <c r="AF3075" s="73"/>
      <c r="AG3075" s="73"/>
      <c r="AH3075" s="73"/>
      <c r="AI3075" s="73"/>
      <c r="AJ3075" s="73"/>
      <c r="AK3075" s="73"/>
    </row>
    <row r="3076">
      <c r="A3076" s="28">
        <v>3075.0</v>
      </c>
      <c r="B3076" s="29"/>
      <c r="C3076" s="29"/>
      <c r="D3076" s="40">
        <v>1.0</v>
      </c>
      <c r="E3076" s="31">
        <v>54.0</v>
      </c>
      <c r="F3076" s="42">
        <v>65.0</v>
      </c>
      <c r="G3076" s="29" t="str">
        <f t="shared" si="1"/>
        <v>54065</v>
      </c>
      <c r="H3076" s="37" t="s">
        <v>158</v>
      </c>
      <c r="I3076" s="37" t="s">
        <v>120</v>
      </c>
      <c r="J3076" s="37" t="s">
        <v>2329</v>
      </c>
      <c r="K3076" s="37" t="str">
        <f t="shared" si="49"/>
        <v>Morgan, WV</v>
      </c>
      <c r="L3076" s="37" t="s">
        <v>63</v>
      </c>
      <c r="M3076" s="37" t="s">
        <v>63</v>
      </c>
      <c r="N3076" s="37" t="s">
        <v>63</v>
      </c>
      <c r="O3076" s="37" t="s">
        <v>63</v>
      </c>
      <c r="P3076" s="37" t="s">
        <v>63</v>
      </c>
      <c r="Q3076" s="37">
        <v>5.0</v>
      </c>
      <c r="R3076" s="37" t="s">
        <v>63</v>
      </c>
      <c r="S3076" s="37" t="s">
        <v>63</v>
      </c>
      <c r="T3076" s="69" t="s">
        <v>63</v>
      </c>
      <c r="U3076" s="37" t="s">
        <v>63</v>
      </c>
      <c r="V3076" s="37" t="s">
        <v>63</v>
      </c>
      <c r="W3076" s="37" t="s">
        <v>63</v>
      </c>
      <c r="X3076" s="37" t="s">
        <v>63</v>
      </c>
      <c r="Y3076" s="53">
        <v>24.0</v>
      </c>
      <c r="Z3076" s="69" t="s">
        <v>63</v>
      </c>
      <c r="AA3076" s="73"/>
      <c r="AB3076" s="73"/>
      <c r="AC3076" s="73"/>
      <c r="AD3076" s="73"/>
      <c r="AE3076" s="73"/>
      <c r="AF3076" s="73"/>
      <c r="AG3076" s="73"/>
      <c r="AH3076" s="73"/>
      <c r="AI3076" s="73"/>
      <c r="AJ3076" s="73"/>
      <c r="AK3076" s="73"/>
    </row>
    <row r="3077">
      <c r="A3077" s="28">
        <v>3076.0</v>
      </c>
      <c r="B3077" s="29"/>
      <c r="C3077" s="29"/>
      <c r="D3077" s="40">
        <v>1.0</v>
      </c>
      <c r="E3077" s="31">
        <v>54.0</v>
      </c>
      <c r="F3077" s="42">
        <v>67.0</v>
      </c>
      <c r="G3077" s="29" t="str">
        <f t="shared" si="1"/>
        <v>54067</v>
      </c>
      <c r="H3077" s="37" t="s">
        <v>1126</v>
      </c>
      <c r="I3077" s="37" t="s">
        <v>120</v>
      </c>
      <c r="J3077" s="37" t="s">
        <v>2329</v>
      </c>
      <c r="K3077" s="37" t="str">
        <f t="shared" si="49"/>
        <v>Nicholas, WV</v>
      </c>
      <c r="L3077" s="37">
        <v>99.0</v>
      </c>
      <c r="M3077" s="37" t="s">
        <v>63</v>
      </c>
      <c r="N3077" s="37" t="s">
        <v>63</v>
      </c>
      <c r="O3077" s="37" t="s">
        <v>63</v>
      </c>
      <c r="P3077" s="37" t="s">
        <v>63</v>
      </c>
      <c r="Q3077" s="37">
        <v>10.0</v>
      </c>
      <c r="R3077" s="37" t="s">
        <v>63</v>
      </c>
      <c r="S3077" s="37" t="s">
        <v>63</v>
      </c>
      <c r="T3077" s="69" t="s">
        <v>63</v>
      </c>
      <c r="U3077" s="37" t="s">
        <v>63</v>
      </c>
      <c r="V3077" s="37" t="s">
        <v>63</v>
      </c>
      <c r="W3077" s="37" t="s">
        <v>63</v>
      </c>
      <c r="X3077" s="37" t="s">
        <v>63</v>
      </c>
      <c r="Y3077" s="53">
        <v>34.0</v>
      </c>
      <c r="Z3077" s="69" t="s">
        <v>63</v>
      </c>
      <c r="AA3077" s="73"/>
      <c r="AB3077" s="73"/>
      <c r="AC3077" s="73"/>
      <c r="AD3077" s="73"/>
      <c r="AE3077" s="73"/>
      <c r="AF3077" s="73"/>
      <c r="AG3077" s="73"/>
      <c r="AH3077" s="73"/>
      <c r="AI3077" s="73"/>
      <c r="AJ3077" s="73"/>
      <c r="AK3077" s="73"/>
    </row>
    <row r="3078">
      <c r="A3078" s="28">
        <v>3077.0</v>
      </c>
      <c r="B3078" s="29"/>
      <c r="C3078" s="29"/>
      <c r="D3078" s="40">
        <v>1.0</v>
      </c>
      <c r="E3078" s="31">
        <v>54.0</v>
      </c>
      <c r="F3078" s="42">
        <v>69.0</v>
      </c>
      <c r="G3078" s="29" t="str">
        <f t="shared" si="1"/>
        <v>54069</v>
      </c>
      <c r="H3078" s="37" t="s">
        <v>100</v>
      </c>
      <c r="I3078" s="37" t="s">
        <v>120</v>
      </c>
      <c r="J3078" s="37" t="s">
        <v>2329</v>
      </c>
      <c r="K3078" s="37" t="str">
        <f t="shared" si="49"/>
        <v>Ohio, WV</v>
      </c>
      <c r="L3078" s="37">
        <v>161.0</v>
      </c>
      <c r="M3078" s="37" t="s">
        <v>63</v>
      </c>
      <c r="N3078" s="37" t="s">
        <v>63</v>
      </c>
      <c r="O3078" s="37" t="s">
        <v>63</v>
      </c>
      <c r="P3078" s="37" t="s">
        <v>63</v>
      </c>
      <c r="Q3078" s="37">
        <v>7.0</v>
      </c>
      <c r="R3078" s="37" t="s">
        <v>63</v>
      </c>
      <c r="S3078" s="37" t="s">
        <v>63</v>
      </c>
      <c r="T3078" s="69" t="s">
        <v>63</v>
      </c>
      <c r="U3078" s="37" t="s">
        <v>63</v>
      </c>
      <c r="V3078" s="37" t="s">
        <v>63</v>
      </c>
      <c r="W3078" s="37" t="s">
        <v>63</v>
      </c>
      <c r="X3078" s="37" t="s">
        <v>63</v>
      </c>
      <c r="Y3078" s="53">
        <v>61.0</v>
      </c>
      <c r="Z3078" s="69" t="s">
        <v>63</v>
      </c>
      <c r="AA3078" s="73"/>
      <c r="AB3078" s="73"/>
      <c r="AC3078" s="73"/>
      <c r="AD3078" s="73"/>
      <c r="AE3078" s="73"/>
      <c r="AF3078" s="73"/>
      <c r="AG3078" s="73"/>
      <c r="AH3078" s="73"/>
      <c r="AI3078" s="73"/>
      <c r="AJ3078" s="73"/>
      <c r="AK3078" s="73"/>
    </row>
    <row r="3079">
      <c r="A3079" s="28">
        <v>3078.0</v>
      </c>
      <c r="B3079" s="29"/>
      <c r="C3079" s="29"/>
      <c r="D3079" s="40">
        <v>1.0</v>
      </c>
      <c r="E3079" s="31">
        <v>54.0</v>
      </c>
      <c r="F3079" s="42">
        <v>71.0</v>
      </c>
      <c r="G3079" s="29" t="str">
        <f t="shared" si="1"/>
        <v>54071</v>
      </c>
      <c r="H3079" s="37" t="s">
        <v>1129</v>
      </c>
      <c r="I3079" s="37" t="s">
        <v>120</v>
      </c>
      <c r="J3079" s="37" t="s">
        <v>2329</v>
      </c>
      <c r="K3079" s="37" t="str">
        <f t="shared" si="49"/>
        <v>Pendleton, WV</v>
      </c>
      <c r="L3079" s="37" t="s">
        <v>63</v>
      </c>
      <c r="M3079" s="37" t="s">
        <v>63</v>
      </c>
      <c r="N3079" s="37" t="s">
        <v>63</v>
      </c>
      <c r="O3079" s="37" t="s">
        <v>63</v>
      </c>
      <c r="P3079" s="37" t="s">
        <v>63</v>
      </c>
      <c r="Q3079" s="37">
        <v>5.0</v>
      </c>
      <c r="R3079" s="37" t="s">
        <v>63</v>
      </c>
      <c r="S3079" s="37" t="s">
        <v>63</v>
      </c>
      <c r="T3079" s="69" t="s">
        <v>63</v>
      </c>
      <c r="U3079" s="37" t="s">
        <v>63</v>
      </c>
      <c r="V3079" s="37" t="s">
        <v>63</v>
      </c>
      <c r="W3079" s="37" t="s">
        <v>63</v>
      </c>
      <c r="X3079" s="37" t="s">
        <v>63</v>
      </c>
      <c r="Y3079" s="53">
        <v>18.0</v>
      </c>
      <c r="Z3079" s="69" t="s">
        <v>63</v>
      </c>
      <c r="AA3079" s="73"/>
      <c r="AB3079" s="73"/>
      <c r="AC3079" s="73"/>
      <c r="AD3079" s="73"/>
      <c r="AE3079" s="73"/>
      <c r="AF3079" s="73"/>
      <c r="AG3079" s="73"/>
      <c r="AH3079" s="73"/>
      <c r="AI3079" s="73"/>
      <c r="AJ3079" s="73"/>
      <c r="AK3079" s="73"/>
    </row>
    <row r="3080">
      <c r="A3080" s="28">
        <v>3079.0</v>
      </c>
      <c r="B3080" s="29"/>
      <c r="C3080" s="29"/>
      <c r="D3080" s="40">
        <v>1.0</v>
      </c>
      <c r="E3080" s="31">
        <v>54.0</v>
      </c>
      <c r="F3080" s="42">
        <v>73.0</v>
      </c>
      <c r="G3080" s="29" t="str">
        <f t="shared" si="1"/>
        <v>54073</v>
      </c>
      <c r="H3080" s="37" t="s">
        <v>2339</v>
      </c>
      <c r="I3080" s="37" t="s">
        <v>120</v>
      </c>
      <c r="J3080" s="37" t="s">
        <v>2329</v>
      </c>
      <c r="K3080" s="37" t="str">
        <f t="shared" si="49"/>
        <v>Pleasants, WV</v>
      </c>
      <c r="L3080" s="37" t="s">
        <v>63</v>
      </c>
      <c r="M3080" s="37" t="s">
        <v>63</v>
      </c>
      <c r="N3080" s="37" t="s">
        <v>63</v>
      </c>
      <c r="O3080" s="37" t="s">
        <v>63</v>
      </c>
      <c r="P3080" s="37" t="s">
        <v>63</v>
      </c>
      <c r="Q3080" s="37">
        <v>5.0</v>
      </c>
      <c r="R3080" s="37" t="s">
        <v>63</v>
      </c>
      <c r="S3080" s="37" t="s">
        <v>63</v>
      </c>
      <c r="T3080" s="69" t="s">
        <v>63</v>
      </c>
      <c r="U3080" s="37" t="s">
        <v>63</v>
      </c>
      <c r="V3080" s="37" t="s">
        <v>63</v>
      </c>
      <c r="W3080" s="37" t="s">
        <v>63</v>
      </c>
      <c r="X3080" s="37" t="s">
        <v>63</v>
      </c>
      <c r="Y3080" s="53">
        <v>12.0</v>
      </c>
      <c r="Z3080" s="69" t="s">
        <v>63</v>
      </c>
      <c r="AA3080" s="73"/>
      <c r="AB3080" s="73"/>
      <c r="AC3080" s="73"/>
      <c r="AD3080" s="73"/>
      <c r="AE3080" s="73"/>
      <c r="AF3080" s="73"/>
      <c r="AG3080" s="73"/>
      <c r="AH3080" s="73"/>
      <c r="AI3080" s="73"/>
      <c r="AJ3080" s="73"/>
      <c r="AK3080" s="73"/>
    </row>
    <row r="3081">
      <c r="A3081" s="28">
        <v>3080.0</v>
      </c>
      <c r="B3081" s="29"/>
      <c r="C3081" s="29"/>
      <c r="D3081" s="40">
        <v>1.0</v>
      </c>
      <c r="E3081" s="31">
        <v>54.0</v>
      </c>
      <c r="F3081" s="42">
        <v>75.0</v>
      </c>
      <c r="G3081" s="29" t="str">
        <f t="shared" si="1"/>
        <v>54075</v>
      </c>
      <c r="H3081" s="37" t="s">
        <v>930</v>
      </c>
      <c r="I3081" s="37" t="s">
        <v>120</v>
      </c>
      <c r="J3081" s="37" t="s">
        <v>2329</v>
      </c>
      <c r="K3081" s="136" t="str">
        <f t="shared" si="49"/>
        <v>Pocahontas, WV</v>
      </c>
      <c r="L3081" s="37" t="s">
        <v>63</v>
      </c>
      <c r="M3081" s="37" t="s">
        <v>63</v>
      </c>
      <c r="N3081" s="37" t="s">
        <v>63</v>
      </c>
      <c r="O3081" s="37" t="s">
        <v>63</v>
      </c>
      <c r="P3081" s="37" t="s">
        <v>63</v>
      </c>
      <c r="Q3081" s="37">
        <v>2.0</v>
      </c>
      <c r="R3081" s="37" t="s">
        <v>63</v>
      </c>
      <c r="S3081" s="37" t="s">
        <v>63</v>
      </c>
      <c r="T3081" s="69" t="s">
        <v>63</v>
      </c>
      <c r="U3081" s="37" t="s">
        <v>63</v>
      </c>
      <c r="V3081" s="37" t="s">
        <v>63</v>
      </c>
      <c r="W3081" s="37" t="s">
        <v>63</v>
      </c>
      <c r="X3081" s="37" t="s">
        <v>63</v>
      </c>
      <c r="Y3081" s="53">
        <v>19.0</v>
      </c>
      <c r="Z3081" s="69" t="s">
        <v>63</v>
      </c>
      <c r="AA3081" s="73"/>
      <c r="AB3081" s="73"/>
      <c r="AC3081" s="73"/>
      <c r="AD3081" s="73"/>
      <c r="AE3081" s="73"/>
      <c r="AF3081" s="73"/>
      <c r="AG3081" s="73"/>
      <c r="AH3081" s="73"/>
      <c r="AI3081" s="73"/>
      <c r="AJ3081" s="73"/>
      <c r="AK3081" s="73"/>
    </row>
    <row r="3082">
      <c r="A3082" s="28">
        <v>3081.0</v>
      </c>
      <c r="B3082" s="29"/>
      <c r="C3082" s="29"/>
      <c r="D3082" s="40">
        <v>1.0</v>
      </c>
      <c r="E3082" s="31">
        <v>54.0</v>
      </c>
      <c r="F3082" s="42">
        <v>77.0</v>
      </c>
      <c r="G3082" s="29" t="str">
        <f t="shared" si="1"/>
        <v>54077</v>
      </c>
      <c r="H3082" s="37" t="s">
        <v>2340</v>
      </c>
      <c r="I3082" s="37" t="s">
        <v>120</v>
      </c>
      <c r="J3082" s="37" t="s">
        <v>2329</v>
      </c>
      <c r="K3082" s="37" t="str">
        <f t="shared" si="49"/>
        <v>Preston, WV</v>
      </c>
      <c r="L3082" s="37">
        <v>114.0</v>
      </c>
      <c r="M3082" s="37" t="s">
        <v>63</v>
      </c>
      <c r="N3082" s="37" t="s">
        <v>63</v>
      </c>
      <c r="O3082" s="37" t="s">
        <v>63</v>
      </c>
      <c r="P3082" s="37" t="s">
        <v>63</v>
      </c>
      <c r="Q3082" s="37">
        <v>21.0</v>
      </c>
      <c r="R3082" s="37" t="s">
        <v>63</v>
      </c>
      <c r="S3082" s="37" t="s">
        <v>63</v>
      </c>
      <c r="T3082" s="69" t="s">
        <v>63</v>
      </c>
      <c r="U3082" s="37" t="s">
        <v>63</v>
      </c>
      <c r="V3082" s="37" t="s">
        <v>63</v>
      </c>
      <c r="W3082" s="37" t="s">
        <v>63</v>
      </c>
      <c r="X3082" s="37" t="s">
        <v>63</v>
      </c>
      <c r="Y3082" s="53">
        <v>34.0</v>
      </c>
      <c r="Z3082" s="69" t="s">
        <v>63</v>
      </c>
      <c r="AA3082" s="73"/>
      <c r="AB3082" s="73"/>
      <c r="AC3082" s="73"/>
      <c r="AD3082" s="73"/>
      <c r="AE3082" s="73"/>
      <c r="AF3082" s="73"/>
      <c r="AG3082" s="73"/>
      <c r="AH3082" s="73"/>
      <c r="AI3082" s="73"/>
      <c r="AJ3082" s="73"/>
      <c r="AK3082" s="73"/>
    </row>
    <row r="3083">
      <c r="A3083" s="28">
        <v>3082.0</v>
      </c>
      <c r="B3083" s="29"/>
      <c r="C3083" s="29"/>
      <c r="D3083" s="40">
        <v>1.0</v>
      </c>
      <c r="E3083" s="31">
        <v>54.0</v>
      </c>
      <c r="F3083" s="42">
        <v>79.0</v>
      </c>
      <c r="G3083" s="29" t="str">
        <f t="shared" si="1"/>
        <v>54079</v>
      </c>
      <c r="H3083" s="37" t="s">
        <v>518</v>
      </c>
      <c r="I3083" s="37" t="s">
        <v>120</v>
      </c>
      <c r="J3083" s="37" t="s">
        <v>2329</v>
      </c>
      <c r="K3083" s="37" t="str">
        <f t="shared" si="49"/>
        <v>Putnam, WV</v>
      </c>
      <c r="L3083" s="37">
        <v>136.0</v>
      </c>
      <c r="M3083" s="37" t="s">
        <v>63</v>
      </c>
      <c r="N3083" s="37" t="s">
        <v>63</v>
      </c>
      <c r="O3083" s="37" t="s">
        <v>63</v>
      </c>
      <c r="P3083" s="37" t="s">
        <v>63</v>
      </c>
      <c r="Q3083" s="37">
        <v>23.0</v>
      </c>
      <c r="R3083" s="37" t="s">
        <v>63</v>
      </c>
      <c r="S3083" s="37" t="s">
        <v>63</v>
      </c>
      <c r="T3083" s="69" t="s">
        <v>63</v>
      </c>
      <c r="U3083" s="37" t="s">
        <v>63</v>
      </c>
      <c r="V3083" s="37" t="s">
        <v>63</v>
      </c>
      <c r="W3083" s="37" t="s">
        <v>63</v>
      </c>
      <c r="X3083" s="37" t="s">
        <v>63</v>
      </c>
      <c r="Y3083" s="53">
        <v>53.0</v>
      </c>
      <c r="Z3083" s="69" t="s">
        <v>63</v>
      </c>
      <c r="AA3083" s="73"/>
      <c r="AB3083" s="73"/>
      <c r="AC3083" s="73"/>
      <c r="AD3083" s="73"/>
      <c r="AE3083" s="73"/>
      <c r="AF3083" s="73"/>
      <c r="AG3083" s="73"/>
      <c r="AH3083" s="73"/>
      <c r="AI3083" s="73"/>
      <c r="AJ3083" s="73"/>
      <c r="AK3083" s="73"/>
    </row>
    <row r="3084">
      <c r="A3084" s="28">
        <v>3083.0</v>
      </c>
      <c r="B3084" s="29"/>
      <c r="C3084" s="29"/>
      <c r="D3084" s="40">
        <v>1.0</v>
      </c>
      <c r="E3084" s="31">
        <v>54.0</v>
      </c>
      <c r="F3084" s="42">
        <v>81.0</v>
      </c>
      <c r="G3084" s="29" t="str">
        <f t="shared" si="1"/>
        <v>54081</v>
      </c>
      <c r="H3084" s="37" t="s">
        <v>2341</v>
      </c>
      <c r="I3084" s="37" t="s">
        <v>120</v>
      </c>
      <c r="J3084" s="37" t="s">
        <v>2329</v>
      </c>
      <c r="K3084" s="37" t="str">
        <f t="shared" si="49"/>
        <v>Raleigh, WV</v>
      </c>
      <c r="L3084" s="37">
        <v>120.0</v>
      </c>
      <c r="M3084" s="37" t="s">
        <v>63</v>
      </c>
      <c r="N3084" s="37" t="s">
        <v>63</v>
      </c>
      <c r="O3084" s="37" t="s">
        <v>63</v>
      </c>
      <c r="P3084" s="37" t="s">
        <v>63</v>
      </c>
      <c r="Q3084" s="37">
        <v>48.0</v>
      </c>
      <c r="R3084" s="37" t="s">
        <v>63</v>
      </c>
      <c r="S3084" s="37" t="s">
        <v>63</v>
      </c>
      <c r="T3084" s="69" t="s">
        <v>63</v>
      </c>
      <c r="U3084" s="37" t="s">
        <v>63</v>
      </c>
      <c r="V3084" s="37" t="s">
        <v>63</v>
      </c>
      <c r="W3084" s="37" t="s">
        <v>63</v>
      </c>
      <c r="X3084" s="37" t="s">
        <v>63</v>
      </c>
      <c r="Y3084" s="53">
        <v>117.0</v>
      </c>
      <c r="Z3084" s="69" t="s">
        <v>63</v>
      </c>
      <c r="AA3084" s="73"/>
      <c r="AB3084" s="73"/>
      <c r="AC3084" s="73"/>
      <c r="AD3084" s="73"/>
      <c r="AE3084" s="73"/>
      <c r="AF3084" s="73"/>
      <c r="AG3084" s="73"/>
      <c r="AH3084" s="73"/>
      <c r="AI3084" s="73"/>
      <c r="AJ3084" s="73"/>
      <c r="AK3084" s="73"/>
    </row>
    <row r="3085">
      <c r="A3085" s="28">
        <v>3084.0</v>
      </c>
      <c r="B3085" s="29"/>
      <c r="C3085" s="29"/>
      <c r="D3085" s="40">
        <v>1.0</v>
      </c>
      <c r="E3085" s="31">
        <v>54.0</v>
      </c>
      <c r="F3085" s="42">
        <v>83.0</v>
      </c>
      <c r="G3085" s="29" t="str">
        <f t="shared" si="1"/>
        <v>54083</v>
      </c>
      <c r="H3085" s="37" t="s">
        <v>163</v>
      </c>
      <c r="I3085" s="37" t="s">
        <v>120</v>
      </c>
      <c r="J3085" s="37" t="s">
        <v>2329</v>
      </c>
      <c r="K3085" s="37" t="str">
        <f t="shared" si="49"/>
        <v>Randolph, WV</v>
      </c>
      <c r="L3085" s="37">
        <v>113.0</v>
      </c>
      <c r="M3085" s="37" t="s">
        <v>63</v>
      </c>
      <c r="N3085" s="37" t="s">
        <v>63</v>
      </c>
      <c r="O3085" s="37" t="s">
        <v>63</v>
      </c>
      <c r="P3085" s="37" t="s">
        <v>63</v>
      </c>
      <c r="Q3085" s="37">
        <v>12.0</v>
      </c>
      <c r="R3085" s="37" t="s">
        <v>63</v>
      </c>
      <c r="S3085" s="37" t="s">
        <v>63</v>
      </c>
      <c r="T3085" s="69" t="s">
        <v>63</v>
      </c>
      <c r="U3085" s="37" t="s">
        <v>63</v>
      </c>
      <c r="V3085" s="37" t="s">
        <v>63</v>
      </c>
      <c r="W3085" s="37" t="s">
        <v>63</v>
      </c>
      <c r="X3085" s="37" t="s">
        <v>63</v>
      </c>
      <c r="Y3085" s="53">
        <v>33.0</v>
      </c>
      <c r="Z3085" s="69" t="s">
        <v>63</v>
      </c>
      <c r="AA3085" s="73"/>
      <c r="AB3085" s="73"/>
      <c r="AC3085" s="73"/>
      <c r="AD3085" s="73"/>
      <c r="AE3085" s="73"/>
      <c r="AF3085" s="73"/>
      <c r="AG3085" s="73"/>
      <c r="AH3085" s="73"/>
      <c r="AI3085" s="73"/>
      <c r="AJ3085" s="73"/>
      <c r="AK3085" s="73"/>
    </row>
    <row r="3086">
      <c r="A3086" s="28">
        <v>3085.0</v>
      </c>
      <c r="B3086" s="29"/>
      <c r="C3086" s="29"/>
      <c r="D3086" s="40">
        <v>1.0</v>
      </c>
      <c r="E3086" s="31">
        <v>54.0</v>
      </c>
      <c r="F3086" s="42">
        <v>85.0</v>
      </c>
      <c r="G3086" s="29" t="str">
        <f t="shared" si="1"/>
        <v>54085</v>
      </c>
      <c r="H3086" s="37" t="s">
        <v>2342</v>
      </c>
      <c r="I3086" s="37" t="s">
        <v>120</v>
      </c>
      <c r="J3086" s="37" t="s">
        <v>2329</v>
      </c>
      <c r="K3086" s="37" t="str">
        <f t="shared" si="49"/>
        <v>Ritchie, WV</v>
      </c>
      <c r="L3086" s="37">
        <v>73.0</v>
      </c>
      <c r="M3086" s="37" t="s">
        <v>63</v>
      </c>
      <c r="N3086" s="37" t="s">
        <v>63</v>
      </c>
      <c r="O3086" s="37" t="s">
        <v>63</v>
      </c>
      <c r="P3086" s="37" t="s">
        <v>63</v>
      </c>
      <c r="Q3086" s="37">
        <v>11.0</v>
      </c>
      <c r="R3086" s="37" t="s">
        <v>63</v>
      </c>
      <c r="S3086" s="37" t="s">
        <v>63</v>
      </c>
      <c r="T3086" s="69" t="s">
        <v>63</v>
      </c>
      <c r="U3086" s="37" t="s">
        <v>63</v>
      </c>
      <c r="V3086" s="37" t="s">
        <v>63</v>
      </c>
      <c r="W3086" s="37" t="s">
        <v>63</v>
      </c>
      <c r="X3086" s="37" t="s">
        <v>63</v>
      </c>
      <c r="Y3086" s="53">
        <v>17.0</v>
      </c>
      <c r="Z3086" s="69" t="s">
        <v>63</v>
      </c>
      <c r="AA3086" s="73"/>
      <c r="AB3086" s="73"/>
      <c r="AC3086" s="73"/>
      <c r="AD3086" s="73"/>
      <c r="AE3086" s="73"/>
      <c r="AF3086" s="73"/>
      <c r="AG3086" s="73"/>
      <c r="AH3086" s="73"/>
      <c r="AI3086" s="73"/>
      <c r="AJ3086" s="73"/>
      <c r="AK3086" s="73"/>
    </row>
    <row r="3087">
      <c r="A3087" s="28">
        <v>3086.0</v>
      </c>
      <c r="B3087" s="29"/>
      <c r="C3087" s="29"/>
      <c r="D3087" s="40">
        <v>1.0</v>
      </c>
      <c r="E3087" s="31">
        <v>54.0</v>
      </c>
      <c r="F3087" s="42">
        <v>87.0</v>
      </c>
      <c r="G3087" s="29" t="str">
        <f t="shared" si="1"/>
        <v>54087</v>
      </c>
      <c r="H3087" s="37" t="s">
        <v>1976</v>
      </c>
      <c r="I3087" s="37" t="s">
        <v>120</v>
      </c>
      <c r="J3087" s="37" t="s">
        <v>2329</v>
      </c>
      <c r="K3087" s="37" t="str">
        <f t="shared" si="49"/>
        <v>Roane, WV</v>
      </c>
      <c r="L3087" s="37">
        <v>81.0</v>
      </c>
      <c r="M3087" s="37" t="s">
        <v>63</v>
      </c>
      <c r="N3087" s="37" t="s">
        <v>63</v>
      </c>
      <c r="O3087" s="37" t="s">
        <v>63</v>
      </c>
      <c r="P3087" s="37" t="s">
        <v>63</v>
      </c>
      <c r="Q3087" s="37">
        <v>13.0</v>
      </c>
      <c r="R3087" s="37" t="s">
        <v>63</v>
      </c>
      <c r="S3087" s="37" t="s">
        <v>63</v>
      </c>
      <c r="T3087" s="69" t="s">
        <v>63</v>
      </c>
      <c r="U3087" s="37" t="s">
        <v>63</v>
      </c>
      <c r="V3087" s="37" t="s">
        <v>63</v>
      </c>
      <c r="W3087" s="37" t="s">
        <v>63</v>
      </c>
      <c r="X3087" s="37" t="s">
        <v>63</v>
      </c>
      <c r="Y3087" s="53">
        <v>16.0</v>
      </c>
      <c r="Z3087" s="69" t="s">
        <v>63</v>
      </c>
      <c r="AA3087" s="73"/>
      <c r="AB3087" s="73"/>
      <c r="AC3087" s="73"/>
      <c r="AD3087" s="73"/>
      <c r="AE3087" s="73"/>
      <c r="AF3087" s="73"/>
      <c r="AG3087" s="73"/>
      <c r="AH3087" s="73"/>
      <c r="AI3087" s="73"/>
      <c r="AJ3087" s="73"/>
      <c r="AK3087" s="73"/>
    </row>
    <row r="3088">
      <c r="A3088" s="28">
        <v>3087.0</v>
      </c>
      <c r="B3088" s="29"/>
      <c r="C3088" s="29"/>
      <c r="D3088" s="40">
        <v>1.0</v>
      </c>
      <c r="E3088" s="31">
        <v>54.0</v>
      </c>
      <c r="F3088" s="42">
        <v>89.0</v>
      </c>
      <c r="G3088" s="29" t="str">
        <f t="shared" si="1"/>
        <v>54089</v>
      </c>
      <c r="H3088" s="37" t="s">
        <v>2343</v>
      </c>
      <c r="I3088" s="37" t="s">
        <v>120</v>
      </c>
      <c r="J3088" s="37" t="s">
        <v>2329</v>
      </c>
      <c r="K3088" s="37" t="str">
        <f t="shared" si="49"/>
        <v>Summers, WV</v>
      </c>
      <c r="L3088" s="37">
        <v>4.0</v>
      </c>
      <c r="M3088" s="37" t="s">
        <v>63</v>
      </c>
      <c r="N3088" s="37" t="s">
        <v>63</v>
      </c>
      <c r="O3088" s="37" t="s">
        <v>63</v>
      </c>
      <c r="P3088" s="37" t="s">
        <v>63</v>
      </c>
      <c r="Q3088" s="37">
        <v>3.0</v>
      </c>
      <c r="R3088" s="37" t="s">
        <v>63</v>
      </c>
      <c r="S3088" s="37" t="s">
        <v>63</v>
      </c>
      <c r="T3088" s="69" t="s">
        <v>63</v>
      </c>
      <c r="U3088" s="37" t="s">
        <v>63</v>
      </c>
      <c r="V3088" s="37" t="s">
        <v>63</v>
      </c>
      <c r="W3088" s="37" t="s">
        <v>63</v>
      </c>
      <c r="X3088" s="37" t="s">
        <v>63</v>
      </c>
      <c r="Y3088" s="53">
        <v>16.0</v>
      </c>
      <c r="Z3088" s="69" t="s">
        <v>63</v>
      </c>
      <c r="AA3088" s="73"/>
      <c r="AB3088" s="73"/>
      <c r="AC3088" s="73"/>
      <c r="AD3088" s="73"/>
      <c r="AE3088" s="73"/>
      <c r="AF3088" s="73"/>
      <c r="AG3088" s="73"/>
      <c r="AH3088" s="73"/>
      <c r="AI3088" s="73"/>
      <c r="AJ3088" s="73"/>
      <c r="AK3088" s="73"/>
    </row>
    <row r="3089">
      <c r="A3089" s="28">
        <v>3088.0</v>
      </c>
      <c r="B3089" s="29"/>
      <c r="C3089" s="29"/>
      <c r="D3089" s="40">
        <v>1.0</v>
      </c>
      <c r="E3089" s="31">
        <v>54.0</v>
      </c>
      <c r="F3089" s="42">
        <v>91.0</v>
      </c>
      <c r="G3089" s="29" t="str">
        <f t="shared" si="1"/>
        <v>54091</v>
      </c>
      <c r="H3089" s="37" t="s">
        <v>526</v>
      </c>
      <c r="I3089" s="37" t="s">
        <v>120</v>
      </c>
      <c r="J3089" s="37" t="s">
        <v>2329</v>
      </c>
      <c r="K3089" s="37" t="str">
        <f t="shared" si="49"/>
        <v>Taylor, WV</v>
      </c>
      <c r="L3089" s="37">
        <v>77.0</v>
      </c>
      <c r="M3089" s="37" t="s">
        <v>63</v>
      </c>
      <c r="N3089" s="37" t="s">
        <v>63</v>
      </c>
      <c r="O3089" s="37" t="s">
        <v>63</v>
      </c>
      <c r="P3089" s="37" t="s">
        <v>63</v>
      </c>
      <c r="Q3089" s="37">
        <v>9.0</v>
      </c>
      <c r="R3089" s="37" t="s">
        <v>63</v>
      </c>
      <c r="S3089" s="37" t="s">
        <v>63</v>
      </c>
      <c r="T3089" s="69" t="s">
        <v>63</v>
      </c>
      <c r="U3089" s="37" t="s">
        <v>63</v>
      </c>
      <c r="V3089" s="37" t="s">
        <v>63</v>
      </c>
      <c r="W3089" s="37" t="s">
        <v>63</v>
      </c>
      <c r="X3089" s="37" t="s">
        <v>63</v>
      </c>
      <c r="Y3089" s="53">
        <v>22.0</v>
      </c>
      <c r="Z3089" s="69" t="s">
        <v>63</v>
      </c>
      <c r="AA3089" s="73"/>
      <c r="AB3089" s="73"/>
      <c r="AC3089" s="73"/>
      <c r="AD3089" s="73"/>
      <c r="AE3089" s="73"/>
      <c r="AF3089" s="73"/>
      <c r="AG3089" s="73"/>
      <c r="AH3089" s="73"/>
      <c r="AI3089" s="73"/>
      <c r="AJ3089" s="73"/>
      <c r="AK3089" s="73"/>
    </row>
    <row r="3090">
      <c r="A3090" s="28">
        <v>3089.0</v>
      </c>
      <c r="B3090" s="29"/>
      <c r="C3090" s="29"/>
      <c r="D3090" s="40">
        <v>1.0</v>
      </c>
      <c r="E3090" s="31">
        <v>54.0</v>
      </c>
      <c r="F3090" s="42">
        <v>93.0</v>
      </c>
      <c r="G3090" s="29" t="str">
        <f t="shared" si="1"/>
        <v>54093</v>
      </c>
      <c r="H3090" s="37" t="s">
        <v>2344</v>
      </c>
      <c r="I3090" s="37" t="s">
        <v>120</v>
      </c>
      <c r="J3090" s="37" t="s">
        <v>2329</v>
      </c>
      <c r="K3090" s="37" t="str">
        <f t="shared" si="49"/>
        <v>Tucker, WV</v>
      </c>
      <c r="L3090" s="37" t="s">
        <v>63</v>
      </c>
      <c r="M3090" s="37" t="s">
        <v>63</v>
      </c>
      <c r="N3090" s="37" t="s">
        <v>63</v>
      </c>
      <c r="O3090" s="37" t="s">
        <v>63</v>
      </c>
      <c r="P3090" s="37" t="s">
        <v>63</v>
      </c>
      <c r="Q3090" s="37">
        <v>9.0</v>
      </c>
      <c r="R3090" s="37" t="s">
        <v>63</v>
      </c>
      <c r="S3090" s="37" t="s">
        <v>63</v>
      </c>
      <c r="T3090" s="69" t="s">
        <v>63</v>
      </c>
      <c r="U3090" s="37" t="s">
        <v>63</v>
      </c>
      <c r="V3090" s="37" t="s">
        <v>63</v>
      </c>
      <c r="W3090" s="37" t="s">
        <v>63</v>
      </c>
      <c r="X3090" s="37" t="s">
        <v>63</v>
      </c>
      <c r="Y3090" s="53">
        <v>16.0</v>
      </c>
      <c r="Z3090" s="69" t="s">
        <v>63</v>
      </c>
      <c r="AA3090" s="73"/>
      <c r="AB3090" s="73"/>
      <c r="AC3090" s="73"/>
      <c r="AD3090" s="73"/>
      <c r="AE3090" s="73"/>
      <c r="AF3090" s="73"/>
      <c r="AG3090" s="73"/>
      <c r="AH3090" s="73"/>
      <c r="AI3090" s="73"/>
      <c r="AJ3090" s="73"/>
      <c r="AK3090" s="73"/>
    </row>
    <row r="3091">
      <c r="A3091" s="28">
        <v>3090.0</v>
      </c>
      <c r="B3091" s="29"/>
      <c r="C3091" s="29"/>
      <c r="D3091" s="40">
        <v>1.0</v>
      </c>
      <c r="E3091" s="31">
        <v>54.0</v>
      </c>
      <c r="F3091" s="42">
        <v>95.0</v>
      </c>
      <c r="G3091" s="29" t="str">
        <f t="shared" si="1"/>
        <v>54095</v>
      </c>
      <c r="H3091" s="37" t="s">
        <v>2161</v>
      </c>
      <c r="I3091" s="37" t="s">
        <v>120</v>
      </c>
      <c r="J3091" s="37" t="s">
        <v>2329</v>
      </c>
      <c r="K3091" s="37" t="str">
        <f t="shared" si="49"/>
        <v>Tyler, WV</v>
      </c>
      <c r="L3091" s="37" t="s">
        <v>63</v>
      </c>
      <c r="M3091" s="37" t="s">
        <v>63</v>
      </c>
      <c r="N3091" s="37" t="s">
        <v>63</v>
      </c>
      <c r="O3091" s="37" t="s">
        <v>63</v>
      </c>
      <c r="P3091" s="37" t="s">
        <v>63</v>
      </c>
      <c r="Q3091" s="37">
        <v>3.0</v>
      </c>
      <c r="R3091" s="37" t="s">
        <v>63</v>
      </c>
      <c r="S3091" s="37" t="s">
        <v>63</v>
      </c>
      <c r="T3091" s="69" t="s">
        <v>63</v>
      </c>
      <c r="U3091" s="37" t="s">
        <v>63</v>
      </c>
      <c r="V3091" s="37" t="s">
        <v>63</v>
      </c>
      <c r="W3091" s="37" t="s">
        <v>63</v>
      </c>
      <c r="X3091" s="37" t="s">
        <v>63</v>
      </c>
      <c r="Y3091" s="53">
        <v>22.0</v>
      </c>
      <c r="Z3091" s="69" t="s">
        <v>63</v>
      </c>
      <c r="AA3091" s="73"/>
      <c r="AB3091" s="73"/>
      <c r="AC3091" s="73"/>
      <c r="AD3091" s="73"/>
      <c r="AE3091" s="73"/>
      <c r="AF3091" s="73"/>
      <c r="AG3091" s="73"/>
      <c r="AH3091" s="73"/>
      <c r="AI3091" s="73"/>
      <c r="AJ3091" s="73"/>
      <c r="AK3091" s="73"/>
    </row>
    <row r="3092">
      <c r="A3092" s="28">
        <v>3091.0</v>
      </c>
      <c r="B3092" s="29"/>
      <c r="C3092" s="29"/>
      <c r="D3092" s="40">
        <v>1.0</v>
      </c>
      <c r="E3092" s="31">
        <v>54.0</v>
      </c>
      <c r="F3092" s="42">
        <v>97.0</v>
      </c>
      <c r="G3092" s="29" t="str">
        <f t="shared" si="1"/>
        <v>54097</v>
      </c>
      <c r="H3092" s="37" t="s">
        <v>2162</v>
      </c>
      <c r="I3092" s="37" t="s">
        <v>120</v>
      </c>
      <c r="J3092" s="37" t="s">
        <v>2329</v>
      </c>
      <c r="K3092" s="37" t="str">
        <f t="shared" si="49"/>
        <v>Upshur, WV</v>
      </c>
      <c r="L3092" s="37">
        <v>98.0</v>
      </c>
      <c r="M3092" s="37" t="s">
        <v>63</v>
      </c>
      <c r="N3092" s="37" t="s">
        <v>63</v>
      </c>
      <c r="O3092" s="37" t="s">
        <v>63</v>
      </c>
      <c r="P3092" s="37" t="s">
        <v>63</v>
      </c>
      <c r="Q3092" s="37">
        <v>24.0</v>
      </c>
      <c r="R3092" s="37" t="s">
        <v>63</v>
      </c>
      <c r="S3092" s="37" t="s">
        <v>63</v>
      </c>
      <c r="T3092" s="69" t="s">
        <v>63</v>
      </c>
      <c r="U3092" s="37" t="s">
        <v>63</v>
      </c>
      <c r="V3092" s="37" t="s">
        <v>63</v>
      </c>
      <c r="W3092" s="37" t="s">
        <v>63</v>
      </c>
      <c r="X3092" s="37" t="s">
        <v>63</v>
      </c>
      <c r="Y3092" s="53">
        <v>20.0</v>
      </c>
      <c r="Z3092" s="69" t="s">
        <v>63</v>
      </c>
      <c r="AA3092" s="73"/>
      <c r="AB3092" s="73"/>
      <c r="AC3092" s="73"/>
      <c r="AD3092" s="73"/>
      <c r="AE3092" s="73"/>
      <c r="AF3092" s="73"/>
      <c r="AG3092" s="73"/>
      <c r="AH3092" s="73"/>
      <c r="AI3092" s="73"/>
      <c r="AJ3092" s="73"/>
      <c r="AK3092" s="73"/>
    </row>
    <row r="3093">
      <c r="A3093" s="28">
        <v>3092.0</v>
      </c>
      <c r="B3093" s="29"/>
      <c r="C3093" s="29"/>
      <c r="D3093" s="40">
        <v>1.0</v>
      </c>
      <c r="E3093" s="31">
        <v>54.0</v>
      </c>
      <c r="F3093" s="42">
        <v>99.0</v>
      </c>
      <c r="G3093" s="29" t="str">
        <f t="shared" si="1"/>
        <v>54099</v>
      </c>
      <c r="H3093" s="37" t="s">
        <v>273</v>
      </c>
      <c r="I3093" s="37" t="s">
        <v>120</v>
      </c>
      <c r="J3093" s="37" t="s">
        <v>2329</v>
      </c>
      <c r="K3093" s="37" t="str">
        <f t="shared" si="49"/>
        <v>Wayne, WV</v>
      </c>
      <c r="L3093" s="37">
        <v>158.0</v>
      </c>
      <c r="M3093" s="37" t="s">
        <v>63</v>
      </c>
      <c r="N3093" s="37" t="s">
        <v>63</v>
      </c>
      <c r="O3093" s="37" t="s">
        <v>63</v>
      </c>
      <c r="P3093" s="37" t="s">
        <v>63</v>
      </c>
      <c r="Q3093" s="37">
        <v>23.0</v>
      </c>
      <c r="R3093" s="37" t="s">
        <v>63</v>
      </c>
      <c r="S3093" s="37" t="s">
        <v>63</v>
      </c>
      <c r="T3093" s="69" t="s">
        <v>63</v>
      </c>
      <c r="U3093" s="37" t="s">
        <v>63</v>
      </c>
      <c r="V3093" s="37" t="s">
        <v>63</v>
      </c>
      <c r="W3093" s="37" t="s">
        <v>63</v>
      </c>
      <c r="X3093" s="37" t="s">
        <v>63</v>
      </c>
      <c r="Y3093" s="53">
        <v>41.0</v>
      </c>
      <c r="Z3093" s="69" t="s">
        <v>63</v>
      </c>
      <c r="AA3093" s="73"/>
      <c r="AB3093" s="73"/>
      <c r="AC3093" s="73"/>
      <c r="AD3093" s="73"/>
      <c r="AE3093" s="73"/>
      <c r="AF3093" s="73"/>
      <c r="AG3093" s="73"/>
      <c r="AH3093" s="73"/>
      <c r="AI3093" s="73"/>
      <c r="AJ3093" s="73"/>
      <c r="AK3093" s="73"/>
    </row>
    <row r="3094">
      <c r="A3094" s="28">
        <v>3093.0</v>
      </c>
      <c r="B3094" s="29"/>
      <c r="C3094" s="29"/>
      <c r="D3094" s="40">
        <v>1.0</v>
      </c>
      <c r="E3094" s="31">
        <v>54.0</v>
      </c>
      <c r="F3094" s="42">
        <v>101.0</v>
      </c>
      <c r="G3094" s="29" t="str">
        <f t="shared" si="1"/>
        <v>54101</v>
      </c>
      <c r="H3094" s="37" t="s">
        <v>648</v>
      </c>
      <c r="I3094" s="37" t="s">
        <v>120</v>
      </c>
      <c r="J3094" s="37" t="s">
        <v>2329</v>
      </c>
      <c r="K3094" s="37" t="str">
        <f t="shared" si="49"/>
        <v>Webster, WV</v>
      </c>
      <c r="L3094" s="37">
        <v>21.0</v>
      </c>
      <c r="M3094" s="37" t="s">
        <v>63</v>
      </c>
      <c r="N3094" s="37" t="s">
        <v>63</v>
      </c>
      <c r="O3094" s="37" t="s">
        <v>63</v>
      </c>
      <c r="P3094" s="37" t="s">
        <v>63</v>
      </c>
      <c r="Q3094" s="37">
        <v>2.0</v>
      </c>
      <c r="R3094" s="37" t="s">
        <v>63</v>
      </c>
      <c r="S3094" s="37" t="s">
        <v>63</v>
      </c>
      <c r="T3094" s="69" t="s">
        <v>63</v>
      </c>
      <c r="U3094" s="37" t="s">
        <v>63</v>
      </c>
      <c r="V3094" s="37" t="s">
        <v>63</v>
      </c>
      <c r="W3094" s="37" t="s">
        <v>63</v>
      </c>
      <c r="X3094" s="37" t="s">
        <v>63</v>
      </c>
      <c r="Y3094" s="53">
        <v>10.0</v>
      </c>
      <c r="Z3094" s="69" t="s">
        <v>63</v>
      </c>
      <c r="AA3094" s="73"/>
      <c r="AB3094" s="73"/>
      <c r="AC3094" s="73"/>
      <c r="AD3094" s="73"/>
      <c r="AE3094" s="73"/>
      <c r="AF3094" s="73"/>
      <c r="AG3094" s="73"/>
      <c r="AH3094" s="73"/>
      <c r="AI3094" s="73"/>
      <c r="AJ3094" s="73"/>
      <c r="AK3094" s="73"/>
    </row>
    <row r="3095">
      <c r="A3095" s="28">
        <v>3094.0</v>
      </c>
      <c r="B3095" s="29"/>
      <c r="C3095" s="29"/>
      <c r="D3095" s="40">
        <v>1.0</v>
      </c>
      <c r="E3095" s="31">
        <v>54.0</v>
      </c>
      <c r="F3095" s="42">
        <v>103.0</v>
      </c>
      <c r="G3095" s="29" t="str">
        <f t="shared" si="1"/>
        <v>54103</v>
      </c>
      <c r="H3095" s="37" t="s">
        <v>2345</v>
      </c>
      <c r="I3095" s="37" t="s">
        <v>120</v>
      </c>
      <c r="J3095" s="37" t="s">
        <v>2329</v>
      </c>
      <c r="K3095" s="37" t="str">
        <f t="shared" si="49"/>
        <v>Wetzel, WV</v>
      </c>
      <c r="L3095" s="37">
        <v>88.0</v>
      </c>
      <c r="M3095" s="37" t="s">
        <v>63</v>
      </c>
      <c r="N3095" s="37" t="s">
        <v>63</v>
      </c>
      <c r="O3095" s="37" t="s">
        <v>63</v>
      </c>
      <c r="P3095" s="37" t="s">
        <v>63</v>
      </c>
      <c r="Q3095" s="37">
        <v>11.0</v>
      </c>
      <c r="R3095" s="37" t="s">
        <v>63</v>
      </c>
      <c r="S3095" s="37" t="s">
        <v>63</v>
      </c>
      <c r="T3095" s="69" t="s">
        <v>63</v>
      </c>
      <c r="U3095" s="37" t="s">
        <v>63</v>
      </c>
      <c r="V3095" s="37" t="s">
        <v>63</v>
      </c>
      <c r="W3095" s="37" t="s">
        <v>63</v>
      </c>
      <c r="X3095" s="37" t="s">
        <v>63</v>
      </c>
      <c r="Y3095" s="53">
        <v>33.0</v>
      </c>
      <c r="Z3095" s="69" t="s">
        <v>63</v>
      </c>
      <c r="AA3095" s="73"/>
      <c r="AB3095" s="73"/>
      <c r="AC3095" s="73"/>
      <c r="AD3095" s="73"/>
      <c r="AE3095" s="73"/>
      <c r="AF3095" s="73"/>
      <c r="AG3095" s="73"/>
      <c r="AH3095" s="73"/>
      <c r="AI3095" s="73"/>
      <c r="AJ3095" s="73"/>
      <c r="AK3095" s="73"/>
    </row>
    <row r="3096">
      <c r="A3096" s="28">
        <v>3095.0</v>
      </c>
      <c r="B3096" s="29"/>
      <c r="C3096" s="29"/>
      <c r="D3096" s="40">
        <v>1.0</v>
      </c>
      <c r="E3096" s="31">
        <v>54.0</v>
      </c>
      <c r="F3096" s="42">
        <v>105.0</v>
      </c>
      <c r="G3096" s="29" t="str">
        <f t="shared" si="1"/>
        <v>54105</v>
      </c>
      <c r="H3096" s="37" t="s">
        <v>2346</v>
      </c>
      <c r="I3096" s="37" t="s">
        <v>120</v>
      </c>
      <c r="J3096" s="37" t="s">
        <v>2329</v>
      </c>
      <c r="K3096" s="37" t="str">
        <f t="shared" si="49"/>
        <v>Wirt, WV</v>
      </c>
      <c r="L3096" s="37" t="s">
        <v>63</v>
      </c>
      <c r="M3096" s="37" t="s">
        <v>63</v>
      </c>
      <c r="N3096" s="37" t="s">
        <v>63</v>
      </c>
      <c r="O3096" s="37" t="s">
        <v>63</v>
      </c>
      <c r="P3096" s="37" t="s">
        <v>63</v>
      </c>
      <c r="Q3096" s="37">
        <v>5.0</v>
      </c>
      <c r="R3096" s="37" t="s">
        <v>63</v>
      </c>
      <c r="S3096" s="37" t="s">
        <v>63</v>
      </c>
      <c r="T3096" s="69" t="s">
        <v>63</v>
      </c>
      <c r="U3096" s="37" t="s">
        <v>63</v>
      </c>
      <c r="V3096" s="37" t="s">
        <v>63</v>
      </c>
      <c r="W3096" s="37" t="s">
        <v>63</v>
      </c>
      <c r="X3096" s="37" t="s">
        <v>63</v>
      </c>
      <c r="Y3096" s="53">
        <v>3.0</v>
      </c>
      <c r="Z3096" s="69" t="s">
        <v>63</v>
      </c>
      <c r="AA3096" s="73"/>
      <c r="AB3096" s="73"/>
      <c r="AC3096" s="73"/>
      <c r="AD3096" s="73"/>
      <c r="AE3096" s="73"/>
      <c r="AF3096" s="73"/>
      <c r="AG3096" s="73"/>
      <c r="AH3096" s="73"/>
      <c r="AI3096" s="73"/>
      <c r="AJ3096" s="73"/>
      <c r="AK3096" s="73"/>
    </row>
    <row r="3097">
      <c r="A3097" s="28">
        <v>3096.0</v>
      </c>
      <c r="B3097" s="29"/>
      <c r="C3097" s="29"/>
      <c r="D3097" s="40">
        <v>1.0</v>
      </c>
      <c r="E3097" s="31">
        <v>54.0</v>
      </c>
      <c r="F3097" s="42">
        <v>107.0</v>
      </c>
      <c r="G3097" s="29" t="str">
        <f t="shared" si="1"/>
        <v>54107</v>
      </c>
      <c r="H3097" s="37" t="s">
        <v>1703</v>
      </c>
      <c r="I3097" s="37" t="s">
        <v>120</v>
      </c>
      <c r="J3097" s="37" t="s">
        <v>2329</v>
      </c>
      <c r="K3097" s="37" t="str">
        <f t="shared" si="49"/>
        <v>Wood, WV</v>
      </c>
      <c r="L3097" s="37">
        <v>325.0</v>
      </c>
      <c r="M3097" s="37" t="s">
        <v>63</v>
      </c>
      <c r="N3097" s="37" t="s">
        <v>63</v>
      </c>
      <c r="O3097" s="37" t="s">
        <v>63</v>
      </c>
      <c r="P3097" s="37" t="s">
        <v>63</v>
      </c>
      <c r="Q3097" s="37">
        <v>70.0</v>
      </c>
      <c r="R3097" s="37" t="s">
        <v>63</v>
      </c>
      <c r="S3097" s="37" t="s">
        <v>63</v>
      </c>
      <c r="T3097" s="69" t="s">
        <v>63</v>
      </c>
      <c r="U3097" s="37" t="s">
        <v>63</v>
      </c>
      <c r="V3097" s="37" t="s">
        <v>63</v>
      </c>
      <c r="W3097" s="37" t="s">
        <v>63</v>
      </c>
      <c r="X3097" s="37" t="s">
        <v>63</v>
      </c>
      <c r="Y3097" s="53">
        <v>127.0</v>
      </c>
      <c r="Z3097" s="69" t="s">
        <v>63</v>
      </c>
      <c r="AA3097" s="73"/>
      <c r="AB3097" s="73"/>
      <c r="AC3097" s="73"/>
      <c r="AD3097" s="73"/>
      <c r="AE3097" s="73"/>
      <c r="AF3097" s="73"/>
      <c r="AG3097" s="73"/>
      <c r="AH3097" s="73"/>
      <c r="AI3097" s="73"/>
      <c r="AJ3097" s="73"/>
      <c r="AK3097" s="73"/>
    </row>
    <row r="3098">
      <c r="A3098" s="28">
        <v>3097.0</v>
      </c>
      <c r="B3098" s="29"/>
      <c r="C3098" s="29"/>
      <c r="D3098" s="40">
        <v>1.0</v>
      </c>
      <c r="E3098" s="31">
        <v>54.0</v>
      </c>
      <c r="F3098" s="42">
        <v>109.0</v>
      </c>
      <c r="G3098" s="29" t="str">
        <f t="shared" si="1"/>
        <v>54109</v>
      </c>
      <c r="H3098" s="37" t="s">
        <v>123</v>
      </c>
      <c r="I3098" s="37" t="s">
        <v>120</v>
      </c>
      <c r="J3098" s="37" t="s">
        <v>2329</v>
      </c>
      <c r="K3098" s="37" t="str">
        <f t="shared" si="49"/>
        <v>Wyoming, WV</v>
      </c>
      <c r="L3098" s="37">
        <v>68.0</v>
      </c>
      <c r="M3098" s="37" t="s">
        <v>63</v>
      </c>
      <c r="N3098" s="37" t="s">
        <v>63</v>
      </c>
      <c r="O3098" s="37" t="s">
        <v>63</v>
      </c>
      <c r="P3098" s="37" t="s">
        <v>63</v>
      </c>
      <c r="Q3098" s="37">
        <v>33.0</v>
      </c>
      <c r="R3098" s="37" t="s">
        <v>63</v>
      </c>
      <c r="S3098" s="37" t="s">
        <v>63</v>
      </c>
      <c r="T3098" s="69" t="s">
        <v>63</v>
      </c>
      <c r="U3098" s="37" t="s">
        <v>63</v>
      </c>
      <c r="V3098" s="37" t="s">
        <v>63</v>
      </c>
      <c r="W3098" s="37" t="s">
        <v>63</v>
      </c>
      <c r="X3098" s="37" t="s">
        <v>63</v>
      </c>
      <c r="Y3098" s="53">
        <v>42.0</v>
      </c>
      <c r="Z3098" s="69" t="s">
        <v>63</v>
      </c>
      <c r="AA3098" s="73"/>
      <c r="AB3098" s="73"/>
      <c r="AC3098" s="73"/>
      <c r="AD3098" s="73"/>
      <c r="AE3098" s="73"/>
      <c r="AF3098" s="73"/>
      <c r="AG3098" s="73"/>
      <c r="AH3098" s="73"/>
      <c r="AI3098" s="73"/>
      <c r="AJ3098" s="73"/>
      <c r="AK3098" s="73"/>
    </row>
    <row r="3099">
      <c r="A3099" s="99">
        <v>3098.0</v>
      </c>
      <c r="B3099" s="15"/>
      <c r="C3099" s="14" t="s">
        <v>25</v>
      </c>
      <c r="D3099" s="16"/>
      <c r="E3099" s="102">
        <v>55.0</v>
      </c>
      <c r="F3099" s="107">
        <v>0.0</v>
      </c>
      <c r="G3099" s="15" t="str">
        <f t="shared" si="1"/>
        <v>55000</v>
      </c>
      <c r="H3099" s="23"/>
      <c r="I3099" s="23" t="s">
        <v>122</v>
      </c>
      <c r="J3099" s="23" t="s">
        <v>438</v>
      </c>
      <c r="K3099" s="23"/>
      <c r="L3099" s="35">
        <f t="array" ref="L3099:Z3099">Wisconsin!C76:Q76</f>
        <v>6887</v>
      </c>
      <c r="M3099" s="23" t="s">
        <v>63</v>
      </c>
      <c r="N3099" s="35">
        <v>3230.0</v>
      </c>
      <c r="O3099" s="123">
        <v>2717.0</v>
      </c>
      <c r="P3099" s="23" t="s">
        <v>63</v>
      </c>
      <c r="Q3099" s="35">
        <v>2968.0</v>
      </c>
      <c r="R3099" s="35">
        <v>667.0</v>
      </c>
      <c r="S3099" s="23" t="s">
        <v>63</v>
      </c>
      <c r="T3099" s="32" t="s">
        <v>63</v>
      </c>
      <c r="U3099" s="23" t="s">
        <v>63</v>
      </c>
      <c r="V3099" s="23" t="s">
        <v>63</v>
      </c>
      <c r="W3099" s="23" t="s">
        <v>63</v>
      </c>
      <c r="X3099" s="23" t="s">
        <v>63</v>
      </c>
      <c r="Y3099" s="35">
        <v>4786.0</v>
      </c>
      <c r="Z3099" s="32" t="s">
        <v>63</v>
      </c>
      <c r="AA3099" s="38"/>
      <c r="AB3099" s="38"/>
      <c r="AC3099" s="38"/>
      <c r="AD3099" s="38"/>
      <c r="AE3099" s="38"/>
      <c r="AF3099" s="38"/>
      <c r="AG3099" s="38"/>
      <c r="AH3099" s="38"/>
      <c r="AI3099" s="38"/>
      <c r="AJ3099" s="38"/>
      <c r="AK3099" s="38"/>
    </row>
    <row r="3100">
      <c r="A3100" s="99">
        <v>3099.0</v>
      </c>
      <c r="B3100" s="15"/>
      <c r="C3100" s="15"/>
      <c r="D3100" s="105">
        <v>1.0</v>
      </c>
      <c r="E3100" s="102">
        <v>55.0</v>
      </c>
      <c r="F3100" s="107">
        <v>1.0</v>
      </c>
      <c r="G3100" s="15" t="str">
        <f t="shared" si="1"/>
        <v>55001</v>
      </c>
      <c r="H3100" s="23" t="s">
        <v>386</v>
      </c>
      <c r="I3100" s="23" t="s">
        <v>122</v>
      </c>
      <c r="J3100" s="23" t="s">
        <v>438</v>
      </c>
      <c r="K3100" s="23" t="str">
        <f t="shared" ref="K3100:K3171" si="50">CONCATENATE(H3100,", ",J3100)</f>
        <v>Adams, WI</v>
      </c>
      <c r="L3100" s="23">
        <f t="array" ref="L3100:Z3171">Wisconsin!C3:Q74</f>
        <v>5</v>
      </c>
      <c r="M3100" s="23" t="s">
        <v>63</v>
      </c>
      <c r="N3100" s="23">
        <v>1.0</v>
      </c>
      <c r="O3100" s="23">
        <v>2.0</v>
      </c>
      <c r="P3100" s="23" t="s">
        <v>63</v>
      </c>
      <c r="Q3100" s="23" t="s">
        <v>63</v>
      </c>
      <c r="R3100" s="23" t="s">
        <v>63</v>
      </c>
      <c r="S3100" s="23" t="s">
        <v>63</v>
      </c>
      <c r="T3100" s="32" t="s">
        <v>63</v>
      </c>
      <c r="U3100" s="23" t="s">
        <v>63</v>
      </c>
      <c r="V3100" s="23" t="s">
        <v>63</v>
      </c>
      <c r="W3100" s="23" t="s">
        <v>63</v>
      </c>
      <c r="X3100" s="23" t="s">
        <v>63</v>
      </c>
      <c r="Y3100" s="35">
        <v>16.0</v>
      </c>
      <c r="Z3100" s="32" t="s">
        <v>63</v>
      </c>
      <c r="AA3100" s="38"/>
      <c r="AB3100" s="38"/>
      <c r="AC3100" s="38"/>
      <c r="AD3100" s="38"/>
      <c r="AE3100" s="38"/>
      <c r="AF3100" s="38"/>
      <c r="AG3100" s="38"/>
      <c r="AH3100" s="38"/>
      <c r="AI3100" s="38"/>
      <c r="AJ3100" s="38"/>
      <c r="AK3100" s="38"/>
    </row>
    <row r="3101">
      <c r="A3101" s="99">
        <v>3100.0</v>
      </c>
      <c r="B3101" s="15"/>
      <c r="C3101" s="15"/>
      <c r="D3101" s="105">
        <v>1.0</v>
      </c>
      <c r="E3101" s="102">
        <v>55.0</v>
      </c>
      <c r="F3101" s="107">
        <v>3.0</v>
      </c>
      <c r="G3101" s="15" t="str">
        <f t="shared" si="1"/>
        <v>55003</v>
      </c>
      <c r="H3101" s="23" t="s">
        <v>1671</v>
      </c>
      <c r="I3101" s="23" t="s">
        <v>122</v>
      </c>
      <c r="J3101" s="23" t="s">
        <v>438</v>
      </c>
      <c r="K3101" s="23" t="str">
        <f t="shared" si="50"/>
        <v>Ashland, WI</v>
      </c>
      <c r="L3101" s="23">
        <v>41.0</v>
      </c>
      <c r="M3101" s="23" t="s">
        <v>63</v>
      </c>
      <c r="N3101" s="23">
        <v>20.0</v>
      </c>
      <c r="O3101" s="15" t="s">
        <v>2689</v>
      </c>
      <c r="P3101" s="23" t="s">
        <v>63</v>
      </c>
      <c r="Q3101" s="23" t="s">
        <v>63</v>
      </c>
      <c r="R3101" s="23" t="s">
        <v>63</v>
      </c>
      <c r="S3101" s="23" t="s">
        <v>63</v>
      </c>
      <c r="T3101" s="32" t="s">
        <v>63</v>
      </c>
      <c r="U3101" s="23" t="s">
        <v>63</v>
      </c>
      <c r="V3101" s="23" t="s">
        <v>63</v>
      </c>
      <c r="W3101" s="23" t="s">
        <v>63</v>
      </c>
      <c r="X3101" s="23" t="s">
        <v>63</v>
      </c>
      <c r="Y3101" s="35">
        <v>28.0</v>
      </c>
      <c r="Z3101" s="32" t="s">
        <v>63</v>
      </c>
      <c r="AA3101" s="38"/>
      <c r="AB3101" s="38"/>
      <c r="AC3101" s="38"/>
      <c r="AD3101" s="38"/>
      <c r="AE3101" s="38"/>
      <c r="AF3101" s="38"/>
      <c r="AG3101" s="38"/>
      <c r="AH3101" s="38"/>
      <c r="AI3101" s="38"/>
      <c r="AJ3101" s="38"/>
      <c r="AK3101" s="38"/>
    </row>
    <row r="3102">
      <c r="A3102" s="99">
        <v>3101.0</v>
      </c>
      <c r="B3102" s="15"/>
      <c r="C3102" s="15"/>
      <c r="D3102" s="105">
        <v>1.0</v>
      </c>
      <c r="E3102" s="102">
        <v>55.0</v>
      </c>
      <c r="F3102" s="107">
        <v>5.0</v>
      </c>
      <c r="G3102" s="15" t="str">
        <f t="shared" si="1"/>
        <v>55005</v>
      </c>
      <c r="H3102" s="23" t="s">
        <v>2347</v>
      </c>
      <c r="I3102" s="23" t="s">
        <v>122</v>
      </c>
      <c r="J3102" s="23" t="s">
        <v>438</v>
      </c>
      <c r="K3102" s="23" t="str">
        <f t="shared" si="50"/>
        <v>Barron, WI</v>
      </c>
      <c r="L3102" s="23">
        <v>45.0</v>
      </c>
      <c r="M3102" s="23" t="s">
        <v>63</v>
      </c>
      <c r="N3102" s="23">
        <v>19.0</v>
      </c>
      <c r="O3102" s="15" t="s">
        <v>2690</v>
      </c>
      <c r="P3102" s="23" t="s">
        <v>63</v>
      </c>
      <c r="Q3102" s="23" t="s">
        <v>63</v>
      </c>
      <c r="R3102" s="23" t="s">
        <v>63</v>
      </c>
      <c r="S3102" s="23" t="s">
        <v>63</v>
      </c>
      <c r="T3102" s="32" t="s">
        <v>63</v>
      </c>
      <c r="U3102" s="23" t="s">
        <v>63</v>
      </c>
      <c r="V3102" s="23" t="s">
        <v>63</v>
      </c>
      <c r="W3102" s="23" t="s">
        <v>63</v>
      </c>
      <c r="X3102" s="23" t="s">
        <v>63</v>
      </c>
      <c r="Y3102" s="35">
        <v>84.0</v>
      </c>
      <c r="Z3102" s="32" t="s">
        <v>63</v>
      </c>
      <c r="AA3102" s="38"/>
      <c r="AB3102" s="38"/>
      <c r="AC3102" s="38"/>
      <c r="AD3102" s="38"/>
      <c r="AE3102" s="38"/>
      <c r="AF3102" s="38"/>
      <c r="AG3102" s="38"/>
      <c r="AH3102" s="38"/>
      <c r="AI3102" s="38"/>
      <c r="AJ3102" s="38"/>
      <c r="AK3102" s="38"/>
    </row>
    <row r="3103">
      <c r="A3103" s="99">
        <v>3102.0</v>
      </c>
      <c r="B3103" s="15"/>
      <c r="C3103" s="15"/>
      <c r="D3103" s="105">
        <v>1.0</v>
      </c>
      <c r="E3103" s="102">
        <v>55.0</v>
      </c>
      <c r="F3103" s="107">
        <v>7.0</v>
      </c>
      <c r="G3103" s="15" t="str">
        <f t="shared" si="1"/>
        <v>55007</v>
      </c>
      <c r="H3103" s="23" t="s">
        <v>2348</v>
      </c>
      <c r="I3103" s="23" t="s">
        <v>122</v>
      </c>
      <c r="J3103" s="23" t="s">
        <v>438</v>
      </c>
      <c r="K3103" s="23" t="str">
        <f t="shared" si="50"/>
        <v>Bayfield, WI</v>
      </c>
      <c r="L3103" s="23">
        <v>19.0</v>
      </c>
      <c r="M3103" s="23" t="s">
        <v>63</v>
      </c>
      <c r="N3103" s="23">
        <v>8.0</v>
      </c>
      <c r="O3103" s="15" t="s">
        <v>2691</v>
      </c>
      <c r="P3103" s="23" t="s">
        <v>63</v>
      </c>
      <c r="Q3103" s="23" t="s">
        <v>63</v>
      </c>
      <c r="R3103" s="23" t="s">
        <v>63</v>
      </c>
      <c r="S3103" s="23" t="s">
        <v>63</v>
      </c>
      <c r="T3103" s="32" t="s">
        <v>63</v>
      </c>
      <c r="U3103" s="23" t="s">
        <v>63</v>
      </c>
      <c r="V3103" s="23" t="s">
        <v>63</v>
      </c>
      <c r="W3103" s="23" t="s">
        <v>63</v>
      </c>
      <c r="X3103" s="23" t="s">
        <v>63</v>
      </c>
      <c r="Y3103" s="35">
        <v>30.0</v>
      </c>
      <c r="Z3103" s="32" t="s">
        <v>63</v>
      </c>
      <c r="AA3103" s="38"/>
      <c r="AB3103" s="38"/>
      <c r="AC3103" s="38"/>
      <c r="AD3103" s="38"/>
      <c r="AE3103" s="38"/>
      <c r="AF3103" s="38"/>
      <c r="AG3103" s="38"/>
      <c r="AH3103" s="38"/>
      <c r="AI3103" s="38"/>
      <c r="AJ3103" s="38"/>
      <c r="AK3103" s="38"/>
    </row>
    <row r="3104">
      <c r="A3104" s="99">
        <v>3103.0</v>
      </c>
      <c r="B3104" s="15"/>
      <c r="C3104" s="15"/>
      <c r="D3104" s="105">
        <v>1.0</v>
      </c>
      <c r="E3104" s="102">
        <v>55.0</v>
      </c>
      <c r="F3104" s="107">
        <v>9.0</v>
      </c>
      <c r="G3104" s="15" t="str">
        <f t="shared" si="1"/>
        <v>55009</v>
      </c>
      <c r="H3104" s="23" t="s">
        <v>706</v>
      </c>
      <c r="I3104" s="23" t="s">
        <v>122</v>
      </c>
      <c r="J3104" s="23" t="s">
        <v>438</v>
      </c>
      <c r="K3104" s="23" t="str">
        <f t="shared" si="50"/>
        <v>Brown, WI</v>
      </c>
      <c r="L3104" s="23">
        <v>280.0</v>
      </c>
      <c r="M3104" s="23" t="s">
        <v>63</v>
      </c>
      <c r="N3104" s="23">
        <v>133.0</v>
      </c>
      <c r="O3104" s="15" t="s">
        <v>2692</v>
      </c>
      <c r="P3104" s="23" t="s">
        <v>63</v>
      </c>
      <c r="Q3104" s="23" t="s">
        <v>63</v>
      </c>
      <c r="R3104" s="23" t="s">
        <v>63</v>
      </c>
      <c r="S3104" s="23" t="s">
        <v>63</v>
      </c>
      <c r="T3104" s="32" t="s">
        <v>63</v>
      </c>
      <c r="U3104" s="23" t="s">
        <v>63</v>
      </c>
      <c r="V3104" s="23" t="s">
        <v>63</v>
      </c>
      <c r="W3104" s="23" t="s">
        <v>63</v>
      </c>
      <c r="X3104" s="23" t="s">
        <v>63</v>
      </c>
      <c r="Y3104" s="35">
        <v>148.0</v>
      </c>
      <c r="Z3104" s="32" t="s">
        <v>63</v>
      </c>
      <c r="AA3104" s="38"/>
      <c r="AB3104" s="38"/>
      <c r="AC3104" s="38"/>
      <c r="AD3104" s="38"/>
      <c r="AE3104" s="38"/>
      <c r="AF3104" s="38"/>
      <c r="AG3104" s="38"/>
      <c r="AH3104" s="38"/>
      <c r="AI3104" s="38"/>
      <c r="AJ3104" s="38"/>
      <c r="AK3104" s="38"/>
    </row>
    <row r="3105">
      <c r="A3105" s="99">
        <v>3104.0</v>
      </c>
      <c r="B3105" s="15"/>
      <c r="C3105" s="15"/>
      <c r="D3105" s="105">
        <v>1.0</v>
      </c>
      <c r="E3105" s="102">
        <v>55.0</v>
      </c>
      <c r="F3105" s="107">
        <v>11.0</v>
      </c>
      <c r="G3105" s="15" t="str">
        <f t="shared" si="1"/>
        <v>55011</v>
      </c>
      <c r="H3105" s="23" t="s">
        <v>1471</v>
      </c>
      <c r="I3105" s="23" t="s">
        <v>122</v>
      </c>
      <c r="J3105" s="23" t="s">
        <v>438</v>
      </c>
      <c r="K3105" s="23" t="str">
        <f t="shared" si="50"/>
        <v>Buffalo, WI</v>
      </c>
      <c r="L3105" s="23">
        <v>8.0</v>
      </c>
      <c r="M3105" s="23" t="s">
        <v>63</v>
      </c>
      <c r="N3105" s="23">
        <v>4.0</v>
      </c>
      <c r="O3105" s="15" t="s">
        <v>391</v>
      </c>
      <c r="P3105" s="23" t="s">
        <v>63</v>
      </c>
      <c r="Q3105" s="23" t="s">
        <v>63</v>
      </c>
      <c r="R3105" s="23" t="s">
        <v>63</v>
      </c>
      <c r="S3105" s="23" t="s">
        <v>63</v>
      </c>
      <c r="T3105" s="32" t="s">
        <v>63</v>
      </c>
      <c r="U3105" s="23" t="s">
        <v>63</v>
      </c>
      <c r="V3105" s="23" t="s">
        <v>63</v>
      </c>
      <c r="W3105" s="23" t="s">
        <v>63</v>
      </c>
      <c r="X3105" s="23" t="s">
        <v>63</v>
      </c>
      <c r="Y3105" s="35">
        <v>26.0</v>
      </c>
      <c r="Z3105" s="32" t="s">
        <v>63</v>
      </c>
      <c r="AA3105" s="38"/>
      <c r="AB3105" s="38"/>
      <c r="AC3105" s="38"/>
      <c r="AD3105" s="38"/>
      <c r="AE3105" s="38"/>
      <c r="AF3105" s="38"/>
      <c r="AG3105" s="38"/>
      <c r="AH3105" s="38"/>
      <c r="AI3105" s="38"/>
      <c r="AJ3105" s="38"/>
      <c r="AK3105" s="38"/>
    </row>
    <row r="3106">
      <c r="A3106" s="99">
        <v>3105.0</v>
      </c>
      <c r="B3106" s="15"/>
      <c r="C3106" s="15"/>
      <c r="D3106" s="105">
        <v>1.0</v>
      </c>
      <c r="E3106" s="102">
        <v>55.0</v>
      </c>
      <c r="F3106" s="107">
        <v>13.0</v>
      </c>
      <c r="G3106" s="15" t="str">
        <f t="shared" si="1"/>
        <v>55013</v>
      </c>
      <c r="H3106" s="23" t="s">
        <v>2349</v>
      </c>
      <c r="I3106" s="23" t="s">
        <v>122</v>
      </c>
      <c r="J3106" s="23" t="s">
        <v>438</v>
      </c>
      <c r="K3106" s="23" t="str">
        <f t="shared" si="50"/>
        <v>Burnett, WI</v>
      </c>
      <c r="L3106" s="23">
        <v>28.0</v>
      </c>
      <c r="M3106" s="23" t="s">
        <v>63</v>
      </c>
      <c r="N3106" s="23">
        <v>7.0</v>
      </c>
      <c r="O3106" s="15" t="s">
        <v>2693</v>
      </c>
      <c r="P3106" s="23" t="s">
        <v>63</v>
      </c>
      <c r="Q3106" s="23" t="s">
        <v>63</v>
      </c>
      <c r="R3106" s="23" t="s">
        <v>63</v>
      </c>
      <c r="S3106" s="23" t="s">
        <v>63</v>
      </c>
      <c r="T3106" s="32" t="s">
        <v>63</v>
      </c>
      <c r="U3106" s="23" t="s">
        <v>63</v>
      </c>
      <c r="V3106" s="23" t="s">
        <v>63</v>
      </c>
      <c r="W3106" s="23" t="s">
        <v>63</v>
      </c>
      <c r="X3106" s="23" t="s">
        <v>63</v>
      </c>
      <c r="Y3106" s="35">
        <v>31.0</v>
      </c>
      <c r="Z3106" s="32" t="s">
        <v>63</v>
      </c>
      <c r="AA3106" s="38"/>
      <c r="AB3106" s="38"/>
      <c r="AC3106" s="38"/>
      <c r="AD3106" s="38"/>
      <c r="AE3106" s="38"/>
      <c r="AF3106" s="38"/>
      <c r="AG3106" s="38"/>
      <c r="AH3106" s="38"/>
      <c r="AI3106" s="38"/>
      <c r="AJ3106" s="38"/>
      <c r="AK3106" s="38"/>
    </row>
    <row r="3107">
      <c r="A3107" s="99">
        <v>3106.0</v>
      </c>
      <c r="B3107" s="15"/>
      <c r="C3107" s="15"/>
      <c r="D3107" s="105">
        <v>1.0</v>
      </c>
      <c r="E3107" s="102">
        <v>55.0</v>
      </c>
      <c r="F3107" s="107">
        <v>15.0</v>
      </c>
      <c r="G3107" s="15" t="str">
        <f t="shared" si="1"/>
        <v>55015</v>
      </c>
      <c r="H3107" s="23" t="s">
        <v>2350</v>
      </c>
      <c r="I3107" s="23" t="s">
        <v>122</v>
      </c>
      <c r="J3107" s="23" t="s">
        <v>438</v>
      </c>
      <c r="K3107" s="23" t="str">
        <f t="shared" si="50"/>
        <v>Calumet, WI</v>
      </c>
      <c r="L3107" s="23">
        <v>13.0</v>
      </c>
      <c r="M3107" s="23" t="s">
        <v>63</v>
      </c>
      <c r="N3107" s="23">
        <v>4.0</v>
      </c>
      <c r="O3107" s="15" t="s">
        <v>2691</v>
      </c>
      <c r="P3107" s="23" t="s">
        <v>63</v>
      </c>
      <c r="Q3107" s="23" t="s">
        <v>63</v>
      </c>
      <c r="R3107" s="23" t="s">
        <v>63</v>
      </c>
      <c r="S3107" s="23" t="s">
        <v>63</v>
      </c>
      <c r="T3107" s="32" t="s">
        <v>63</v>
      </c>
      <c r="U3107" s="23" t="s">
        <v>63</v>
      </c>
      <c r="V3107" s="23" t="s">
        <v>63</v>
      </c>
      <c r="W3107" s="23" t="s">
        <v>63</v>
      </c>
      <c r="X3107" s="23" t="s">
        <v>63</v>
      </c>
      <c r="Y3107" s="35">
        <v>31.0</v>
      </c>
      <c r="Z3107" s="32" t="s">
        <v>63</v>
      </c>
      <c r="AA3107" s="38"/>
      <c r="AB3107" s="38"/>
      <c r="AC3107" s="38"/>
      <c r="AD3107" s="38"/>
      <c r="AE3107" s="38"/>
      <c r="AF3107" s="38"/>
      <c r="AG3107" s="38"/>
      <c r="AH3107" s="38"/>
      <c r="AI3107" s="38"/>
      <c r="AJ3107" s="38"/>
      <c r="AK3107" s="38"/>
    </row>
    <row r="3108">
      <c r="A3108" s="99">
        <v>3107.0</v>
      </c>
      <c r="B3108" s="15"/>
      <c r="C3108" s="15"/>
      <c r="D3108" s="105">
        <v>1.0</v>
      </c>
      <c r="E3108" s="102">
        <v>55.0</v>
      </c>
      <c r="F3108" s="107">
        <v>17.0</v>
      </c>
      <c r="G3108" s="15" t="str">
        <f t="shared" si="1"/>
        <v>55017</v>
      </c>
      <c r="H3108" s="23" t="s">
        <v>1245</v>
      </c>
      <c r="I3108" s="23" t="s">
        <v>122</v>
      </c>
      <c r="J3108" s="23" t="s">
        <v>438</v>
      </c>
      <c r="K3108" s="23" t="str">
        <f t="shared" si="50"/>
        <v>Chippewa, WI</v>
      </c>
      <c r="L3108" s="23">
        <v>42.0</v>
      </c>
      <c r="M3108" s="23" t="s">
        <v>63</v>
      </c>
      <c r="N3108" s="23">
        <v>25.0</v>
      </c>
      <c r="O3108" s="15" t="s">
        <v>2689</v>
      </c>
      <c r="P3108" s="23" t="s">
        <v>63</v>
      </c>
      <c r="Q3108" s="23" t="s">
        <v>63</v>
      </c>
      <c r="R3108" s="23" t="s">
        <v>63</v>
      </c>
      <c r="S3108" s="23" t="s">
        <v>63</v>
      </c>
      <c r="T3108" s="32" t="s">
        <v>63</v>
      </c>
      <c r="U3108" s="23" t="s">
        <v>63</v>
      </c>
      <c r="V3108" s="23" t="s">
        <v>63</v>
      </c>
      <c r="W3108" s="23" t="s">
        <v>63</v>
      </c>
      <c r="X3108" s="23" t="s">
        <v>63</v>
      </c>
      <c r="Y3108" s="35">
        <v>62.0</v>
      </c>
      <c r="Z3108" s="32" t="s">
        <v>63</v>
      </c>
      <c r="AA3108" s="38"/>
      <c r="AB3108" s="38"/>
      <c r="AC3108" s="38"/>
      <c r="AD3108" s="38"/>
      <c r="AE3108" s="38"/>
      <c r="AF3108" s="38"/>
      <c r="AG3108" s="38"/>
      <c r="AH3108" s="38"/>
      <c r="AI3108" s="38"/>
      <c r="AJ3108" s="38"/>
      <c r="AK3108" s="38"/>
    </row>
    <row r="3109">
      <c r="A3109" s="99">
        <v>3108.0</v>
      </c>
      <c r="B3109" s="15"/>
      <c r="C3109" s="15"/>
      <c r="D3109" s="105">
        <v>1.0</v>
      </c>
      <c r="E3109" s="102">
        <v>55.0</v>
      </c>
      <c r="F3109" s="107">
        <v>19.0</v>
      </c>
      <c r="G3109" s="15" t="str">
        <f t="shared" si="1"/>
        <v>55019</v>
      </c>
      <c r="H3109" s="23" t="s">
        <v>253</v>
      </c>
      <c r="I3109" s="23" t="s">
        <v>122</v>
      </c>
      <c r="J3109" s="23" t="s">
        <v>438</v>
      </c>
      <c r="K3109" s="23" t="str">
        <f t="shared" si="50"/>
        <v>Clark, WI</v>
      </c>
      <c r="L3109" s="23">
        <v>27.0</v>
      </c>
      <c r="M3109" s="23" t="s">
        <v>63</v>
      </c>
      <c r="N3109" s="23">
        <v>10.0</v>
      </c>
      <c r="O3109" s="15" t="s">
        <v>2694</v>
      </c>
      <c r="P3109" s="23" t="s">
        <v>63</v>
      </c>
      <c r="Q3109" s="23" t="s">
        <v>63</v>
      </c>
      <c r="R3109" s="23" t="s">
        <v>63</v>
      </c>
      <c r="S3109" s="23" t="s">
        <v>63</v>
      </c>
      <c r="T3109" s="32" t="s">
        <v>63</v>
      </c>
      <c r="U3109" s="23" t="s">
        <v>63</v>
      </c>
      <c r="V3109" s="23" t="s">
        <v>63</v>
      </c>
      <c r="W3109" s="23" t="s">
        <v>63</v>
      </c>
      <c r="X3109" s="23" t="s">
        <v>63</v>
      </c>
      <c r="Y3109" s="35">
        <v>49.0</v>
      </c>
      <c r="Z3109" s="32" t="s">
        <v>63</v>
      </c>
      <c r="AA3109" s="38"/>
      <c r="AB3109" s="38"/>
      <c r="AC3109" s="38"/>
      <c r="AD3109" s="38"/>
      <c r="AE3109" s="38"/>
      <c r="AF3109" s="38"/>
      <c r="AG3109" s="38"/>
      <c r="AH3109" s="38"/>
      <c r="AI3109" s="38"/>
      <c r="AJ3109" s="38"/>
      <c r="AK3109" s="38"/>
    </row>
    <row r="3110">
      <c r="A3110" s="99">
        <v>3109.0</v>
      </c>
      <c r="B3110" s="15"/>
      <c r="C3110" s="15"/>
      <c r="D3110" s="105">
        <v>1.0</v>
      </c>
      <c r="E3110" s="102">
        <v>55.0</v>
      </c>
      <c r="F3110" s="107">
        <v>21.0</v>
      </c>
      <c r="G3110" s="15" t="str">
        <f t="shared" si="1"/>
        <v>55021</v>
      </c>
      <c r="H3110" s="23" t="s">
        <v>258</v>
      </c>
      <c r="I3110" s="23" t="s">
        <v>122</v>
      </c>
      <c r="J3110" s="23" t="s">
        <v>438</v>
      </c>
      <c r="K3110" s="23" t="str">
        <f t="shared" si="50"/>
        <v>Columbia, WI</v>
      </c>
      <c r="L3110" s="23">
        <v>38.0</v>
      </c>
      <c r="M3110" s="23" t="s">
        <v>63</v>
      </c>
      <c r="N3110" s="23">
        <v>8.0</v>
      </c>
      <c r="O3110" s="15" t="s">
        <v>2501</v>
      </c>
      <c r="P3110" s="23" t="s">
        <v>63</v>
      </c>
      <c r="Q3110" s="23" t="s">
        <v>63</v>
      </c>
      <c r="R3110" s="23" t="s">
        <v>63</v>
      </c>
      <c r="S3110" s="23" t="s">
        <v>63</v>
      </c>
      <c r="T3110" s="32" t="s">
        <v>63</v>
      </c>
      <c r="U3110" s="23" t="s">
        <v>63</v>
      </c>
      <c r="V3110" s="23" t="s">
        <v>63</v>
      </c>
      <c r="W3110" s="23" t="s">
        <v>63</v>
      </c>
      <c r="X3110" s="23" t="s">
        <v>63</v>
      </c>
      <c r="Y3110" s="35">
        <v>66.0</v>
      </c>
      <c r="Z3110" s="32" t="s">
        <v>63</v>
      </c>
      <c r="AA3110" s="38"/>
      <c r="AB3110" s="38"/>
      <c r="AC3110" s="38"/>
      <c r="AD3110" s="38"/>
      <c r="AE3110" s="38"/>
      <c r="AF3110" s="38"/>
      <c r="AG3110" s="38"/>
      <c r="AH3110" s="38"/>
      <c r="AI3110" s="38"/>
      <c r="AJ3110" s="38"/>
      <c r="AK3110" s="38"/>
    </row>
    <row r="3111">
      <c r="A3111" s="99">
        <v>3110.0</v>
      </c>
      <c r="B3111" s="15"/>
      <c r="C3111" s="15"/>
      <c r="D3111" s="105">
        <v>1.0</v>
      </c>
      <c r="E3111" s="102">
        <v>55.0</v>
      </c>
      <c r="F3111" s="107">
        <v>23.0</v>
      </c>
      <c r="G3111" s="15" t="str">
        <f t="shared" si="1"/>
        <v>55023</v>
      </c>
      <c r="H3111" s="23" t="s">
        <v>263</v>
      </c>
      <c r="I3111" s="23" t="s">
        <v>122</v>
      </c>
      <c r="J3111" s="23" t="s">
        <v>438</v>
      </c>
      <c r="K3111" s="23" t="str">
        <f t="shared" si="50"/>
        <v>Crawford, WI</v>
      </c>
      <c r="L3111" s="23">
        <v>23.0</v>
      </c>
      <c r="M3111" s="23" t="s">
        <v>63</v>
      </c>
      <c r="N3111" s="23">
        <v>3.0</v>
      </c>
      <c r="O3111" s="15" t="s">
        <v>2695</v>
      </c>
      <c r="P3111" s="23" t="s">
        <v>63</v>
      </c>
      <c r="Q3111" s="23" t="s">
        <v>63</v>
      </c>
      <c r="R3111" s="23" t="s">
        <v>63</v>
      </c>
      <c r="S3111" s="23" t="s">
        <v>63</v>
      </c>
      <c r="T3111" s="32" t="s">
        <v>63</v>
      </c>
      <c r="U3111" s="23" t="s">
        <v>63</v>
      </c>
      <c r="V3111" s="23" t="s">
        <v>63</v>
      </c>
      <c r="W3111" s="23" t="s">
        <v>63</v>
      </c>
      <c r="X3111" s="23" t="s">
        <v>63</v>
      </c>
      <c r="Y3111" s="35">
        <v>24.0</v>
      </c>
      <c r="Z3111" s="32" t="s">
        <v>63</v>
      </c>
      <c r="AA3111" s="38"/>
      <c r="AB3111" s="38"/>
      <c r="AC3111" s="38"/>
      <c r="AD3111" s="38"/>
      <c r="AE3111" s="38"/>
      <c r="AF3111" s="38"/>
      <c r="AG3111" s="38"/>
      <c r="AH3111" s="38"/>
      <c r="AI3111" s="38"/>
      <c r="AJ3111" s="38"/>
      <c r="AK3111" s="38"/>
    </row>
    <row r="3112">
      <c r="A3112" s="99">
        <v>3111.0</v>
      </c>
      <c r="B3112" s="15"/>
      <c r="C3112" s="15"/>
      <c r="D3112" s="105">
        <v>1.0</v>
      </c>
      <c r="E3112" s="102">
        <v>55.0</v>
      </c>
      <c r="F3112" s="107">
        <v>25.0</v>
      </c>
      <c r="G3112" s="15" t="str">
        <f t="shared" si="1"/>
        <v>55025</v>
      </c>
      <c r="H3112" s="23" t="s">
        <v>652</v>
      </c>
      <c r="I3112" s="23" t="s">
        <v>122</v>
      </c>
      <c r="J3112" s="23" t="s">
        <v>438</v>
      </c>
      <c r="K3112" s="23" t="str">
        <f t="shared" si="50"/>
        <v>Dane, WI</v>
      </c>
      <c r="L3112" s="23">
        <v>210.0</v>
      </c>
      <c r="M3112" s="23" t="s">
        <v>63</v>
      </c>
      <c r="N3112" s="23">
        <v>101.0</v>
      </c>
      <c r="O3112" s="15" t="s">
        <v>2696</v>
      </c>
      <c r="P3112" s="23" t="s">
        <v>63</v>
      </c>
      <c r="Q3112" s="23" t="s">
        <v>63</v>
      </c>
      <c r="R3112" s="23" t="s">
        <v>63</v>
      </c>
      <c r="S3112" s="23" t="s">
        <v>63</v>
      </c>
      <c r="T3112" s="32" t="s">
        <v>63</v>
      </c>
      <c r="U3112" s="23" t="s">
        <v>63</v>
      </c>
      <c r="V3112" s="23" t="s">
        <v>63</v>
      </c>
      <c r="W3112" s="23" t="s">
        <v>63</v>
      </c>
      <c r="X3112" s="23" t="s">
        <v>63</v>
      </c>
      <c r="Y3112" s="35">
        <v>265.0</v>
      </c>
      <c r="Z3112" s="32" t="s">
        <v>63</v>
      </c>
      <c r="AA3112" s="38"/>
      <c r="AB3112" s="38"/>
      <c r="AC3112" s="38"/>
      <c r="AD3112" s="38"/>
      <c r="AE3112" s="38"/>
      <c r="AF3112" s="38"/>
      <c r="AG3112" s="38"/>
      <c r="AH3112" s="38"/>
      <c r="AI3112" s="38"/>
      <c r="AJ3112" s="38"/>
      <c r="AK3112" s="38"/>
    </row>
    <row r="3113">
      <c r="A3113" s="99">
        <v>3112.0</v>
      </c>
      <c r="B3113" s="15"/>
      <c r="C3113" s="15"/>
      <c r="D3113" s="105">
        <v>1.0</v>
      </c>
      <c r="E3113" s="102">
        <v>55.0</v>
      </c>
      <c r="F3113" s="107">
        <v>27.0</v>
      </c>
      <c r="G3113" s="15" t="str">
        <f t="shared" si="1"/>
        <v>55027</v>
      </c>
      <c r="H3113" s="23" t="s">
        <v>564</v>
      </c>
      <c r="I3113" s="23" t="s">
        <v>122</v>
      </c>
      <c r="J3113" s="23" t="s">
        <v>438</v>
      </c>
      <c r="K3113" s="23" t="str">
        <f t="shared" si="50"/>
        <v>Dodge, WI</v>
      </c>
      <c r="L3113" s="23">
        <v>78.0</v>
      </c>
      <c r="M3113" s="23" t="s">
        <v>63</v>
      </c>
      <c r="N3113" s="23">
        <v>50.0</v>
      </c>
      <c r="O3113" s="15" t="s">
        <v>2697</v>
      </c>
      <c r="P3113" s="23" t="s">
        <v>63</v>
      </c>
      <c r="Q3113" s="23" t="s">
        <v>63</v>
      </c>
      <c r="R3113" s="23" t="s">
        <v>63</v>
      </c>
      <c r="S3113" s="23" t="s">
        <v>63</v>
      </c>
      <c r="T3113" s="32" t="s">
        <v>63</v>
      </c>
      <c r="U3113" s="23" t="s">
        <v>63</v>
      </c>
      <c r="V3113" s="23" t="s">
        <v>63</v>
      </c>
      <c r="W3113" s="23" t="s">
        <v>63</v>
      </c>
      <c r="X3113" s="23" t="s">
        <v>63</v>
      </c>
      <c r="Y3113" s="35">
        <v>99.0</v>
      </c>
      <c r="Z3113" s="32" t="s">
        <v>63</v>
      </c>
      <c r="AA3113" s="38"/>
      <c r="AB3113" s="38"/>
      <c r="AC3113" s="38"/>
      <c r="AD3113" s="38"/>
      <c r="AE3113" s="38"/>
      <c r="AF3113" s="38"/>
      <c r="AG3113" s="38"/>
      <c r="AH3113" s="38"/>
      <c r="AI3113" s="38"/>
      <c r="AJ3113" s="38"/>
      <c r="AK3113" s="38"/>
    </row>
    <row r="3114">
      <c r="A3114" s="99">
        <v>3113.0</v>
      </c>
      <c r="B3114" s="15"/>
      <c r="C3114" s="15"/>
      <c r="D3114" s="105">
        <v>1.0</v>
      </c>
      <c r="E3114" s="102">
        <v>55.0</v>
      </c>
      <c r="F3114" s="107">
        <v>29.0</v>
      </c>
      <c r="G3114" s="15" t="str">
        <f t="shared" si="1"/>
        <v>55029</v>
      </c>
      <c r="H3114" s="23" t="s">
        <v>2351</v>
      </c>
      <c r="I3114" s="23" t="s">
        <v>122</v>
      </c>
      <c r="J3114" s="23" t="s">
        <v>438</v>
      </c>
      <c r="K3114" s="23" t="str">
        <f t="shared" si="50"/>
        <v>Door, WI</v>
      </c>
      <c r="L3114" s="23">
        <v>24.0</v>
      </c>
      <c r="M3114" s="23" t="s">
        <v>63</v>
      </c>
      <c r="N3114" s="23">
        <v>17.0</v>
      </c>
      <c r="O3114" s="15" t="s">
        <v>2491</v>
      </c>
      <c r="P3114" s="23" t="s">
        <v>63</v>
      </c>
      <c r="Q3114" s="23" t="s">
        <v>63</v>
      </c>
      <c r="R3114" s="23" t="s">
        <v>63</v>
      </c>
      <c r="S3114" s="23" t="s">
        <v>63</v>
      </c>
      <c r="T3114" s="32" t="s">
        <v>63</v>
      </c>
      <c r="U3114" s="23" t="s">
        <v>63</v>
      </c>
      <c r="V3114" s="23" t="s">
        <v>63</v>
      </c>
      <c r="W3114" s="23" t="s">
        <v>63</v>
      </c>
      <c r="X3114" s="23" t="s">
        <v>63</v>
      </c>
      <c r="Y3114" s="35">
        <v>41.0</v>
      </c>
      <c r="Z3114" s="32" t="s">
        <v>63</v>
      </c>
      <c r="AA3114" s="38"/>
      <c r="AB3114" s="38"/>
      <c r="AC3114" s="38"/>
      <c r="AD3114" s="38"/>
      <c r="AE3114" s="38"/>
      <c r="AF3114" s="38"/>
      <c r="AG3114" s="38"/>
      <c r="AH3114" s="38"/>
      <c r="AI3114" s="38"/>
      <c r="AJ3114" s="38"/>
      <c r="AK3114" s="38"/>
    </row>
    <row r="3115">
      <c r="A3115" s="99">
        <v>3114.0</v>
      </c>
      <c r="B3115" s="15"/>
      <c r="C3115" s="15"/>
      <c r="D3115" s="105">
        <v>1.0</v>
      </c>
      <c r="E3115" s="102">
        <v>55.0</v>
      </c>
      <c r="F3115" s="107">
        <v>31.0</v>
      </c>
      <c r="G3115" s="15" t="str">
        <f t="shared" si="1"/>
        <v>55031</v>
      </c>
      <c r="H3115" s="23" t="s">
        <v>412</v>
      </c>
      <c r="I3115" s="23" t="s">
        <v>122</v>
      </c>
      <c r="J3115" s="23" t="s">
        <v>438</v>
      </c>
      <c r="K3115" s="23" t="str">
        <f t="shared" si="50"/>
        <v>Douglas, WI</v>
      </c>
      <c r="L3115" s="23">
        <v>85.0</v>
      </c>
      <c r="M3115" s="23" t="s">
        <v>63</v>
      </c>
      <c r="N3115" s="23">
        <v>40.0</v>
      </c>
      <c r="O3115" s="15" t="s">
        <v>2698</v>
      </c>
      <c r="P3115" s="23" t="s">
        <v>63</v>
      </c>
      <c r="Q3115" s="23" t="s">
        <v>63</v>
      </c>
      <c r="R3115" s="23" t="s">
        <v>63</v>
      </c>
      <c r="S3115" s="23" t="s">
        <v>63</v>
      </c>
      <c r="T3115" s="32" t="s">
        <v>63</v>
      </c>
      <c r="U3115" s="23" t="s">
        <v>63</v>
      </c>
      <c r="V3115" s="23" t="s">
        <v>63</v>
      </c>
      <c r="W3115" s="23" t="s">
        <v>63</v>
      </c>
      <c r="X3115" s="23" t="s">
        <v>63</v>
      </c>
      <c r="Y3115" s="35">
        <v>42.0</v>
      </c>
      <c r="Z3115" s="32" t="s">
        <v>63</v>
      </c>
      <c r="AA3115" s="38"/>
      <c r="AB3115" s="38"/>
      <c r="AC3115" s="38"/>
      <c r="AD3115" s="38"/>
      <c r="AE3115" s="38"/>
      <c r="AF3115" s="38"/>
      <c r="AG3115" s="38"/>
      <c r="AH3115" s="38"/>
      <c r="AI3115" s="38"/>
      <c r="AJ3115" s="38"/>
      <c r="AK3115" s="38"/>
    </row>
    <row r="3116">
      <c r="A3116" s="99">
        <v>3115.0</v>
      </c>
      <c r="B3116" s="15"/>
      <c r="C3116" s="15"/>
      <c r="D3116" s="105">
        <v>1.0</v>
      </c>
      <c r="E3116" s="102">
        <v>55.0</v>
      </c>
      <c r="F3116" s="107">
        <v>33.0</v>
      </c>
      <c r="G3116" s="15" t="str">
        <f t="shared" si="1"/>
        <v>55033</v>
      </c>
      <c r="H3116" s="23" t="s">
        <v>1649</v>
      </c>
      <c r="I3116" s="23" t="s">
        <v>122</v>
      </c>
      <c r="J3116" s="23" t="s">
        <v>438</v>
      </c>
      <c r="K3116" s="23" t="str">
        <f t="shared" si="50"/>
        <v>Dunn, WI</v>
      </c>
      <c r="L3116" s="23">
        <v>42.0</v>
      </c>
      <c r="M3116" s="23" t="s">
        <v>63</v>
      </c>
      <c r="N3116" s="23">
        <v>36.0</v>
      </c>
      <c r="O3116" s="15" t="s">
        <v>2699</v>
      </c>
      <c r="P3116" s="23" t="s">
        <v>63</v>
      </c>
      <c r="Q3116" s="23" t="s">
        <v>63</v>
      </c>
      <c r="R3116" s="23" t="s">
        <v>63</v>
      </c>
      <c r="S3116" s="23" t="s">
        <v>63</v>
      </c>
      <c r="T3116" s="32" t="s">
        <v>63</v>
      </c>
      <c r="U3116" s="23" t="s">
        <v>63</v>
      </c>
      <c r="V3116" s="23" t="s">
        <v>63</v>
      </c>
      <c r="W3116" s="23" t="s">
        <v>63</v>
      </c>
      <c r="X3116" s="23" t="s">
        <v>63</v>
      </c>
      <c r="Y3116" s="35">
        <v>55.0</v>
      </c>
      <c r="Z3116" s="32" t="s">
        <v>63</v>
      </c>
      <c r="AA3116" s="38"/>
      <c r="AB3116" s="38"/>
      <c r="AC3116" s="38"/>
      <c r="AD3116" s="38"/>
      <c r="AE3116" s="38"/>
      <c r="AF3116" s="38"/>
      <c r="AG3116" s="38"/>
      <c r="AH3116" s="38"/>
      <c r="AI3116" s="38"/>
      <c r="AJ3116" s="38"/>
      <c r="AK3116" s="38"/>
    </row>
    <row r="3117">
      <c r="A3117" s="99">
        <v>3116.0</v>
      </c>
      <c r="B3117" s="15"/>
      <c r="C3117" s="15"/>
      <c r="D3117" s="105">
        <v>1.0</v>
      </c>
      <c r="E3117" s="102">
        <v>55.0</v>
      </c>
      <c r="F3117" s="107">
        <v>35.0</v>
      </c>
      <c r="G3117" s="15" t="str">
        <f t="shared" si="1"/>
        <v>55035</v>
      </c>
      <c r="H3117" s="23" t="s">
        <v>2352</v>
      </c>
      <c r="I3117" s="23" t="s">
        <v>122</v>
      </c>
      <c r="J3117" s="23" t="s">
        <v>438</v>
      </c>
      <c r="K3117" s="23" t="str">
        <f t="shared" si="50"/>
        <v>Eau Claire, WI</v>
      </c>
      <c r="L3117" s="23">
        <v>116.0</v>
      </c>
      <c r="M3117" s="23" t="s">
        <v>63</v>
      </c>
      <c r="N3117" s="23">
        <v>78.0</v>
      </c>
      <c r="O3117" s="15" t="s">
        <v>2498</v>
      </c>
      <c r="P3117" s="23" t="s">
        <v>63</v>
      </c>
      <c r="Q3117" s="23" t="s">
        <v>63</v>
      </c>
      <c r="R3117" s="23" t="s">
        <v>63</v>
      </c>
      <c r="S3117" s="23" t="s">
        <v>63</v>
      </c>
      <c r="T3117" s="32" t="s">
        <v>63</v>
      </c>
      <c r="U3117" s="23" t="s">
        <v>63</v>
      </c>
      <c r="V3117" s="23" t="s">
        <v>63</v>
      </c>
      <c r="W3117" s="23" t="s">
        <v>63</v>
      </c>
      <c r="X3117" s="23" t="s">
        <v>63</v>
      </c>
      <c r="Y3117" s="35">
        <v>79.0</v>
      </c>
      <c r="Z3117" s="32" t="s">
        <v>63</v>
      </c>
      <c r="AA3117" s="38"/>
      <c r="AB3117" s="38"/>
      <c r="AC3117" s="38"/>
      <c r="AD3117" s="38"/>
      <c r="AE3117" s="38"/>
      <c r="AF3117" s="38"/>
      <c r="AG3117" s="38"/>
      <c r="AH3117" s="38"/>
      <c r="AI3117" s="38"/>
      <c r="AJ3117" s="38"/>
      <c r="AK3117" s="38"/>
    </row>
    <row r="3118">
      <c r="A3118" s="99">
        <v>3117.0</v>
      </c>
      <c r="B3118" s="15"/>
      <c r="C3118" s="15"/>
      <c r="D3118" s="105">
        <v>1.0</v>
      </c>
      <c r="E3118" s="102">
        <v>55.0</v>
      </c>
      <c r="F3118" s="107">
        <v>37.0</v>
      </c>
      <c r="G3118" s="15" t="str">
        <f t="shared" si="1"/>
        <v>55037</v>
      </c>
      <c r="H3118" s="23" t="s">
        <v>1826</v>
      </c>
      <c r="I3118" s="23" t="s">
        <v>122</v>
      </c>
      <c r="J3118" s="23" t="s">
        <v>438</v>
      </c>
      <c r="K3118" s="23" t="str">
        <f t="shared" si="50"/>
        <v>Florence, WI</v>
      </c>
      <c r="L3118" s="23">
        <v>2.0</v>
      </c>
      <c r="M3118" s="23" t="s">
        <v>63</v>
      </c>
      <c r="N3118" s="23">
        <v>0.0</v>
      </c>
      <c r="O3118" s="15" t="s">
        <v>25</v>
      </c>
      <c r="P3118" s="23" t="s">
        <v>63</v>
      </c>
      <c r="Q3118" s="23" t="s">
        <v>63</v>
      </c>
      <c r="R3118" s="23" t="s">
        <v>63</v>
      </c>
      <c r="S3118" s="23" t="s">
        <v>63</v>
      </c>
      <c r="T3118" s="32" t="s">
        <v>63</v>
      </c>
      <c r="U3118" s="23" t="s">
        <v>63</v>
      </c>
      <c r="V3118" s="23" t="s">
        <v>63</v>
      </c>
      <c r="W3118" s="23" t="s">
        <v>63</v>
      </c>
      <c r="X3118" s="23" t="s">
        <v>63</v>
      </c>
      <c r="Y3118" s="35">
        <v>8.0</v>
      </c>
      <c r="Z3118" s="32" t="s">
        <v>63</v>
      </c>
      <c r="AA3118" s="38"/>
      <c r="AB3118" s="38"/>
      <c r="AC3118" s="38"/>
      <c r="AD3118" s="38"/>
      <c r="AE3118" s="38"/>
      <c r="AF3118" s="38"/>
      <c r="AG3118" s="38"/>
      <c r="AH3118" s="38"/>
      <c r="AI3118" s="38"/>
      <c r="AJ3118" s="38"/>
      <c r="AK3118" s="38"/>
    </row>
    <row r="3119">
      <c r="A3119" s="99">
        <v>3118.0</v>
      </c>
      <c r="B3119" s="15"/>
      <c r="C3119" s="15"/>
      <c r="D3119" s="105">
        <v>1.0</v>
      </c>
      <c r="E3119" s="102">
        <v>55.0</v>
      </c>
      <c r="F3119" s="107">
        <v>39.0</v>
      </c>
      <c r="G3119" s="15" t="str">
        <f t="shared" si="1"/>
        <v>55039</v>
      </c>
      <c r="H3119" s="23" t="s">
        <v>2353</v>
      </c>
      <c r="I3119" s="23" t="s">
        <v>122</v>
      </c>
      <c r="J3119" s="23" t="s">
        <v>438</v>
      </c>
      <c r="K3119" s="112" t="str">
        <f t="shared" si="50"/>
        <v>Fond Du Lac, WI</v>
      </c>
      <c r="L3119" s="23">
        <v>143.0</v>
      </c>
      <c r="M3119" s="23" t="s">
        <v>63</v>
      </c>
      <c r="N3119" s="23">
        <v>68.0</v>
      </c>
      <c r="O3119" s="15" t="s">
        <v>2700</v>
      </c>
      <c r="P3119" s="23" t="s">
        <v>63</v>
      </c>
      <c r="Q3119" s="23" t="s">
        <v>63</v>
      </c>
      <c r="R3119" s="23" t="s">
        <v>63</v>
      </c>
      <c r="S3119" s="23" t="s">
        <v>63</v>
      </c>
      <c r="T3119" s="32" t="s">
        <v>63</v>
      </c>
      <c r="U3119" s="23" t="s">
        <v>63</v>
      </c>
      <c r="V3119" s="23" t="s">
        <v>63</v>
      </c>
      <c r="W3119" s="23" t="s">
        <v>63</v>
      </c>
      <c r="X3119" s="23" t="s">
        <v>63</v>
      </c>
      <c r="Y3119" s="35">
        <v>101.0</v>
      </c>
      <c r="Z3119" s="32" t="s">
        <v>63</v>
      </c>
      <c r="AA3119" s="38"/>
      <c r="AB3119" s="38"/>
      <c r="AC3119" s="38"/>
      <c r="AD3119" s="38"/>
      <c r="AE3119" s="38"/>
      <c r="AF3119" s="38"/>
      <c r="AG3119" s="38"/>
      <c r="AH3119" s="38"/>
      <c r="AI3119" s="38"/>
      <c r="AJ3119" s="38"/>
      <c r="AK3119" s="38"/>
    </row>
    <row r="3120">
      <c r="A3120" s="99">
        <v>3119.0</v>
      </c>
      <c r="B3120" s="15"/>
      <c r="C3120" s="15"/>
      <c r="D3120" s="105">
        <v>1.0</v>
      </c>
      <c r="E3120" s="102">
        <v>55.0</v>
      </c>
      <c r="F3120" s="107">
        <v>41.0</v>
      </c>
      <c r="G3120" s="15" t="str">
        <f t="shared" si="1"/>
        <v>55041</v>
      </c>
      <c r="H3120" s="23" t="s">
        <v>1793</v>
      </c>
      <c r="I3120" s="23" t="s">
        <v>122</v>
      </c>
      <c r="J3120" s="23" t="s">
        <v>438</v>
      </c>
      <c r="K3120" s="23" t="str">
        <f t="shared" si="50"/>
        <v>Forest, WI</v>
      </c>
      <c r="L3120" s="23">
        <v>23.0</v>
      </c>
      <c r="M3120" s="23" t="s">
        <v>63</v>
      </c>
      <c r="N3120" s="23">
        <v>6.0</v>
      </c>
      <c r="O3120" s="15" t="s">
        <v>2689</v>
      </c>
      <c r="P3120" s="23" t="s">
        <v>63</v>
      </c>
      <c r="Q3120" s="23" t="s">
        <v>63</v>
      </c>
      <c r="R3120" s="23" t="s">
        <v>63</v>
      </c>
      <c r="S3120" s="23" t="s">
        <v>63</v>
      </c>
      <c r="T3120" s="32" t="s">
        <v>63</v>
      </c>
      <c r="U3120" s="23" t="s">
        <v>63</v>
      </c>
      <c r="V3120" s="23" t="s">
        <v>63</v>
      </c>
      <c r="W3120" s="23" t="s">
        <v>63</v>
      </c>
      <c r="X3120" s="23" t="s">
        <v>63</v>
      </c>
      <c r="Y3120" s="35">
        <v>11.0</v>
      </c>
      <c r="Z3120" s="32" t="s">
        <v>63</v>
      </c>
      <c r="AA3120" s="38"/>
      <c r="AB3120" s="38"/>
      <c r="AC3120" s="38"/>
      <c r="AD3120" s="38"/>
      <c r="AE3120" s="38"/>
      <c r="AF3120" s="38"/>
      <c r="AG3120" s="38"/>
      <c r="AH3120" s="38"/>
      <c r="AI3120" s="38"/>
      <c r="AJ3120" s="38"/>
      <c r="AK3120" s="38"/>
    </row>
    <row r="3121">
      <c r="A3121" s="99">
        <v>3120.0</v>
      </c>
      <c r="B3121" s="15"/>
      <c r="C3121" s="15"/>
      <c r="D3121" s="105">
        <v>1.0</v>
      </c>
      <c r="E3121" s="102">
        <v>55.0</v>
      </c>
      <c r="F3121" s="107">
        <v>43.0</v>
      </c>
      <c r="G3121" s="15" t="str">
        <f t="shared" si="1"/>
        <v>55043</v>
      </c>
      <c r="H3121" s="23" t="s">
        <v>278</v>
      </c>
      <c r="I3121" s="23" t="s">
        <v>122</v>
      </c>
      <c r="J3121" s="23" t="s">
        <v>438</v>
      </c>
      <c r="K3121" s="23" t="str">
        <f t="shared" si="50"/>
        <v>Grant, WI</v>
      </c>
      <c r="L3121" s="23">
        <v>34.0</v>
      </c>
      <c r="M3121" s="23" t="s">
        <v>63</v>
      </c>
      <c r="N3121" s="23">
        <v>16.0</v>
      </c>
      <c r="O3121" s="15" t="s">
        <v>2694</v>
      </c>
      <c r="P3121" s="23" t="s">
        <v>63</v>
      </c>
      <c r="Q3121" s="23" t="s">
        <v>63</v>
      </c>
      <c r="R3121" s="23" t="s">
        <v>63</v>
      </c>
      <c r="S3121" s="23" t="s">
        <v>63</v>
      </c>
      <c r="T3121" s="32" t="s">
        <v>63</v>
      </c>
      <c r="U3121" s="23" t="s">
        <v>63</v>
      </c>
      <c r="V3121" s="23" t="s">
        <v>63</v>
      </c>
      <c r="W3121" s="23" t="s">
        <v>63</v>
      </c>
      <c r="X3121" s="23" t="s">
        <v>63</v>
      </c>
      <c r="Y3121" s="35">
        <v>62.0</v>
      </c>
      <c r="Z3121" s="32" t="s">
        <v>63</v>
      </c>
      <c r="AA3121" s="38"/>
      <c r="AB3121" s="38"/>
      <c r="AC3121" s="38"/>
      <c r="AD3121" s="38"/>
      <c r="AE3121" s="38"/>
      <c r="AF3121" s="38"/>
      <c r="AG3121" s="38"/>
      <c r="AH3121" s="38"/>
      <c r="AI3121" s="38"/>
      <c r="AJ3121" s="38"/>
      <c r="AK3121" s="38"/>
    </row>
    <row r="3122">
      <c r="A3122" s="99">
        <v>3121.0</v>
      </c>
      <c r="B3122" s="15"/>
      <c r="C3122" s="15"/>
      <c r="D3122" s="105">
        <v>1.0</v>
      </c>
      <c r="E3122" s="102">
        <v>55.0</v>
      </c>
      <c r="F3122" s="107">
        <v>45.0</v>
      </c>
      <c r="G3122" s="15" t="str">
        <f t="shared" si="1"/>
        <v>55045</v>
      </c>
      <c r="H3122" s="23" t="s">
        <v>1075</v>
      </c>
      <c r="I3122" s="23" t="s">
        <v>122</v>
      </c>
      <c r="J3122" s="23" t="s">
        <v>438</v>
      </c>
      <c r="K3122" s="23" t="str">
        <f t="shared" si="50"/>
        <v>Green, WI</v>
      </c>
      <c r="L3122" s="23">
        <v>22.0</v>
      </c>
      <c r="M3122" s="23" t="s">
        <v>63</v>
      </c>
      <c r="N3122" s="23">
        <v>10.0</v>
      </c>
      <c r="O3122" s="15" t="s">
        <v>2497</v>
      </c>
      <c r="P3122" s="23" t="s">
        <v>63</v>
      </c>
      <c r="Q3122" s="23" t="s">
        <v>63</v>
      </c>
      <c r="R3122" s="23" t="s">
        <v>63</v>
      </c>
      <c r="S3122" s="23" t="s">
        <v>63</v>
      </c>
      <c r="T3122" s="32" t="s">
        <v>63</v>
      </c>
      <c r="U3122" s="23" t="s">
        <v>63</v>
      </c>
      <c r="V3122" s="23" t="s">
        <v>63</v>
      </c>
      <c r="W3122" s="23" t="s">
        <v>63</v>
      </c>
      <c r="X3122" s="23" t="s">
        <v>63</v>
      </c>
      <c r="Y3122" s="35">
        <v>36.0</v>
      </c>
      <c r="Z3122" s="32" t="s">
        <v>63</v>
      </c>
      <c r="AA3122" s="38"/>
      <c r="AB3122" s="38"/>
      <c r="AC3122" s="38"/>
      <c r="AD3122" s="38"/>
      <c r="AE3122" s="38"/>
      <c r="AF3122" s="38"/>
      <c r="AG3122" s="38"/>
      <c r="AH3122" s="38"/>
      <c r="AI3122" s="38"/>
      <c r="AJ3122" s="38"/>
      <c r="AK3122" s="38"/>
    </row>
    <row r="3123">
      <c r="A3123" s="99">
        <v>3122.0</v>
      </c>
      <c r="B3123" s="15"/>
      <c r="C3123" s="15"/>
      <c r="D3123" s="105">
        <v>1.0</v>
      </c>
      <c r="E3123" s="102">
        <v>55.0</v>
      </c>
      <c r="F3123" s="107">
        <v>47.0</v>
      </c>
      <c r="G3123" s="15" t="str">
        <f t="shared" si="1"/>
        <v>55047</v>
      </c>
      <c r="H3123" s="23" t="s">
        <v>2354</v>
      </c>
      <c r="I3123" s="23" t="s">
        <v>122</v>
      </c>
      <c r="J3123" s="23" t="s">
        <v>438</v>
      </c>
      <c r="K3123" s="23" t="str">
        <f t="shared" si="50"/>
        <v>Green Lake, WI</v>
      </c>
      <c r="L3123" s="23">
        <v>5.0</v>
      </c>
      <c r="M3123" s="23" t="s">
        <v>63</v>
      </c>
      <c r="N3123" s="23">
        <v>4.0</v>
      </c>
      <c r="O3123" s="15" t="s">
        <v>25</v>
      </c>
      <c r="P3123" s="23" t="s">
        <v>63</v>
      </c>
      <c r="Q3123" s="23" t="s">
        <v>63</v>
      </c>
      <c r="R3123" s="23" t="s">
        <v>63</v>
      </c>
      <c r="S3123" s="23" t="s">
        <v>63</v>
      </c>
      <c r="T3123" s="32" t="s">
        <v>63</v>
      </c>
      <c r="U3123" s="23" t="s">
        <v>63</v>
      </c>
      <c r="V3123" s="23" t="s">
        <v>63</v>
      </c>
      <c r="W3123" s="23" t="s">
        <v>63</v>
      </c>
      <c r="X3123" s="23" t="s">
        <v>63</v>
      </c>
      <c r="Y3123" s="35">
        <v>25.0</v>
      </c>
      <c r="Z3123" s="32" t="s">
        <v>63</v>
      </c>
      <c r="AA3123" s="38"/>
      <c r="AB3123" s="38"/>
      <c r="AC3123" s="38"/>
      <c r="AD3123" s="38"/>
      <c r="AE3123" s="38"/>
      <c r="AF3123" s="38"/>
      <c r="AG3123" s="38"/>
      <c r="AH3123" s="38"/>
      <c r="AI3123" s="38"/>
      <c r="AJ3123" s="38"/>
      <c r="AK3123" s="38"/>
    </row>
    <row r="3124">
      <c r="A3124" s="99">
        <v>3123.0</v>
      </c>
      <c r="B3124" s="15"/>
      <c r="C3124" s="15"/>
      <c r="D3124" s="105">
        <v>1.0</v>
      </c>
      <c r="E3124" s="102">
        <v>55.0</v>
      </c>
      <c r="F3124" s="107">
        <v>49.0</v>
      </c>
      <c r="G3124" s="15" t="str">
        <f t="shared" si="1"/>
        <v>55049</v>
      </c>
      <c r="H3124" s="23" t="s">
        <v>50</v>
      </c>
      <c r="I3124" s="23" t="s">
        <v>122</v>
      </c>
      <c r="J3124" s="23" t="s">
        <v>438</v>
      </c>
      <c r="K3124" s="23" t="str">
        <f t="shared" si="50"/>
        <v>Iowa, WI</v>
      </c>
      <c r="L3124" s="23">
        <v>1.0</v>
      </c>
      <c r="M3124" s="23" t="s">
        <v>63</v>
      </c>
      <c r="N3124" s="23">
        <v>1.0</v>
      </c>
      <c r="O3124" s="15" t="s">
        <v>2701</v>
      </c>
      <c r="P3124" s="23" t="s">
        <v>63</v>
      </c>
      <c r="Q3124" s="23" t="s">
        <v>63</v>
      </c>
      <c r="R3124" s="23" t="s">
        <v>63</v>
      </c>
      <c r="S3124" s="23" t="s">
        <v>63</v>
      </c>
      <c r="T3124" s="32" t="s">
        <v>63</v>
      </c>
      <c r="U3124" s="23" t="s">
        <v>63</v>
      </c>
      <c r="V3124" s="23" t="s">
        <v>63</v>
      </c>
      <c r="W3124" s="23" t="s">
        <v>63</v>
      </c>
      <c r="X3124" s="23" t="s">
        <v>63</v>
      </c>
      <c r="Y3124" s="35">
        <v>29.0</v>
      </c>
      <c r="Z3124" s="32" t="s">
        <v>63</v>
      </c>
      <c r="AA3124" s="38"/>
      <c r="AB3124" s="38"/>
      <c r="AC3124" s="38"/>
      <c r="AD3124" s="38"/>
      <c r="AE3124" s="38"/>
      <c r="AF3124" s="38"/>
      <c r="AG3124" s="38"/>
      <c r="AH3124" s="38"/>
      <c r="AI3124" s="38"/>
      <c r="AJ3124" s="38"/>
      <c r="AK3124" s="38"/>
    </row>
    <row r="3125">
      <c r="A3125" s="99">
        <v>3124.0</v>
      </c>
      <c r="B3125" s="15"/>
      <c r="C3125" s="15"/>
      <c r="D3125" s="105">
        <v>1.0</v>
      </c>
      <c r="E3125" s="102">
        <v>55.0</v>
      </c>
      <c r="F3125" s="107">
        <v>51.0</v>
      </c>
      <c r="G3125" s="15" t="str">
        <f t="shared" si="1"/>
        <v>55051</v>
      </c>
      <c r="H3125" s="23" t="s">
        <v>1259</v>
      </c>
      <c r="I3125" s="23" t="s">
        <v>122</v>
      </c>
      <c r="J3125" s="23" t="s">
        <v>438</v>
      </c>
      <c r="K3125" s="23" t="str">
        <f t="shared" si="50"/>
        <v>Iron, WI</v>
      </c>
      <c r="L3125" s="23">
        <v>15.0</v>
      </c>
      <c r="M3125" s="23" t="s">
        <v>63</v>
      </c>
      <c r="N3125" s="23">
        <v>12.0</v>
      </c>
      <c r="O3125" s="15" t="s">
        <v>391</v>
      </c>
      <c r="P3125" s="23" t="s">
        <v>63</v>
      </c>
      <c r="Q3125" s="23" t="s">
        <v>63</v>
      </c>
      <c r="R3125" s="23" t="s">
        <v>63</v>
      </c>
      <c r="S3125" s="23" t="s">
        <v>63</v>
      </c>
      <c r="T3125" s="32" t="s">
        <v>63</v>
      </c>
      <c r="U3125" s="23" t="s">
        <v>63</v>
      </c>
      <c r="V3125" s="23" t="s">
        <v>63</v>
      </c>
      <c r="W3125" s="23" t="s">
        <v>63</v>
      </c>
      <c r="X3125" s="23" t="s">
        <v>63</v>
      </c>
      <c r="Y3125" s="35">
        <v>12.0</v>
      </c>
      <c r="Z3125" s="32" t="s">
        <v>63</v>
      </c>
      <c r="AA3125" s="38"/>
      <c r="AB3125" s="38"/>
      <c r="AC3125" s="38"/>
      <c r="AD3125" s="38"/>
      <c r="AE3125" s="38"/>
      <c r="AF3125" s="38"/>
      <c r="AG3125" s="38"/>
      <c r="AH3125" s="38"/>
      <c r="AI3125" s="38"/>
      <c r="AJ3125" s="38"/>
      <c r="AK3125" s="38"/>
    </row>
    <row r="3126">
      <c r="A3126" s="99">
        <v>3125.0</v>
      </c>
      <c r="B3126" s="15"/>
      <c r="C3126" s="15"/>
      <c r="D3126" s="105">
        <v>1.0</v>
      </c>
      <c r="E3126" s="102">
        <v>55.0</v>
      </c>
      <c r="F3126" s="107">
        <v>53.0</v>
      </c>
      <c r="G3126" s="15" t="str">
        <f t="shared" si="1"/>
        <v>55053</v>
      </c>
      <c r="H3126" s="23" t="s">
        <v>142</v>
      </c>
      <c r="I3126" s="23" t="s">
        <v>122</v>
      </c>
      <c r="J3126" s="23" t="s">
        <v>438</v>
      </c>
      <c r="K3126" s="23" t="str">
        <f t="shared" si="50"/>
        <v>Jackson, WI</v>
      </c>
      <c r="L3126" s="23">
        <v>53.0</v>
      </c>
      <c r="M3126" s="23" t="s">
        <v>63</v>
      </c>
      <c r="N3126" s="23">
        <v>22.0</v>
      </c>
      <c r="O3126" s="15" t="s">
        <v>2702</v>
      </c>
      <c r="P3126" s="23" t="s">
        <v>63</v>
      </c>
      <c r="Q3126" s="23" t="s">
        <v>63</v>
      </c>
      <c r="R3126" s="23" t="s">
        <v>63</v>
      </c>
      <c r="S3126" s="23" t="s">
        <v>63</v>
      </c>
      <c r="T3126" s="32" t="s">
        <v>63</v>
      </c>
      <c r="U3126" s="23" t="s">
        <v>63</v>
      </c>
      <c r="V3126" s="23" t="s">
        <v>63</v>
      </c>
      <c r="W3126" s="23" t="s">
        <v>63</v>
      </c>
      <c r="X3126" s="23" t="s">
        <v>63</v>
      </c>
      <c r="Y3126" s="35">
        <v>32.0</v>
      </c>
      <c r="Z3126" s="32" t="s">
        <v>63</v>
      </c>
      <c r="AA3126" s="38"/>
      <c r="AB3126" s="38"/>
      <c r="AC3126" s="38"/>
      <c r="AD3126" s="38"/>
      <c r="AE3126" s="38"/>
      <c r="AF3126" s="38"/>
      <c r="AG3126" s="38"/>
      <c r="AH3126" s="38"/>
      <c r="AI3126" s="38"/>
      <c r="AJ3126" s="38"/>
      <c r="AK3126" s="38"/>
    </row>
    <row r="3127">
      <c r="A3127" s="99">
        <v>3126.0</v>
      </c>
      <c r="B3127" s="15"/>
      <c r="C3127" s="15"/>
      <c r="D3127" s="105">
        <v>1.0</v>
      </c>
      <c r="E3127" s="102">
        <v>55.0</v>
      </c>
      <c r="F3127" s="107">
        <v>55.0</v>
      </c>
      <c r="G3127" s="15" t="str">
        <f t="shared" si="1"/>
        <v>55055</v>
      </c>
      <c r="H3127" s="23" t="s">
        <v>143</v>
      </c>
      <c r="I3127" s="23" t="s">
        <v>122</v>
      </c>
      <c r="J3127" s="23" t="s">
        <v>438</v>
      </c>
      <c r="K3127" s="23" t="str">
        <f t="shared" si="50"/>
        <v>Jefferson, WI</v>
      </c>
      <c r="L3127" s="23">
        <v>49.0</v>
      </c>
      <c r="M3127" s="23" t="s">
        <v>63</v>
      </c>
      <c r="N3127" s="23">
        <v>28.0</v>
      </c>
      <c r="O3127" s="15" t="s">
        <v>2690</v>
      </c>
      <c r="P3127" s="23" t="s">
        <v>63</v>
      </c>
      <c r="Q3127" s="23" t="s">
        <v>63</v>
      </c>
      <c r="R3127" s="23" t="s">
        <v>63</v>
      </c>
      <c r="S3127" s="23" t="s">
        <v>63</v>
      </c>
      <c r="T3127" s="32" t="s">
        <v>63</v>
      </c>
      <c r="U3127" s="23" t="s">
        <v>63</v>
      </c>
      <c r="V3127" s="23" t="s">
        <v>63</v>
      </c>
      <c r="W3127" s="23" t="s">
        <v>63</v>
      </c>
      <c r="X3127" s="23" t="s">
        <v>63</v>
      </c>
      <c r="Y3127" s="35">
        <v>78.0</v>
      </c>
      <c r="Z3127" s="32" t="s">
        <v>63</v>
      </c>
      <c r="AA3127" s="38"/>
      <c r="AB3127" s="38"/>
      <c r="AC3127" s="38"/>
      <c r="AD3127" s="38"/>
      <c r="AE3127" s="38"/>
      <c r="AF3127" s="38"/>
      <c r="AG3127" s="38"/>
      <c r="AH3127" s="38"/>
      <c r="AI3127" s="38"/>
      <c r="AJ3127" s="38"/>
      <c r="AK3127" s="38"/>
    </row>
    <row r="3128">
      <c r="A3128" s="99">
        <v>3127.0</v>
      </c>
      <c r="B3128" s="15"/>
      <c r="C3128" s="15"/>
      <c r="D3128" s="105">
        <v>1.0</v>
      </c>
      <c r="E3128" s="102">
        <v>55.0</v>
      </c>
      <c r="F3128" s="107">
        <v>57.0</v>
      </c>
      <c r="G3128" s="15" t="str">
        <f t="shared" si="1"/>
        <v>55057</v>
      </c>
      <c r="H3128" s="23" t="s">
        <v>197</v>
      </c>
      <c r="I3128" s="23" t="s">
        <v>122</v>
      </c>
      <c r="J3128" s="23" t="s">
        <v>438</v>
      </c>
      <c r="K3128" s="23" t="str">
        <f t="shared" si="50"/>
        <v>Juneau, WI</v>
      </c>
      <c r="L3128" s="23">
        <v>37.0</v>
      </c>
      <c r="M3128" s="23" t="s">
        <v>63</v>
      </c>
      <c r="N3128" s="23">
        <v>23.0</v>
      </c>
      <c r="O3128" s="15" t="s">
        <v>2694</v>
      </c>
      <c r="P3128" s="23" t="s">
        <v>63</v>
      </c>
      <c r="Q3128" s="23" t="s">
        <v>63</v>
      </c>
      <c r="R3128" s="23" t="s">
        <v>63</v>
      </c>
      <c r="S3128" s="23" t="s">
        <v>63</v>
      </c>
      <c r="T3128" s="32" t="s">
        <v>63</v>
      </c>
      <c r="U3128" s="23" t="s">
        <v>63</v>
      </c>
      <c r="V3128" s="23" t="s">
        <v>63</v>
      </c>
      <c r="W3128" s="23" t="s">
        <v>63</v>
      </c>
      <c r="X3128" s="23" t="s">
        <v>63</v>
      </c>
      <c r="Y3128" s="35">
        <v>33.0</v>
      </c>
      <c r="Z3128" s="32" t="s">
        <v>63</v>
      </c>
      <c r="AA3128" s="38"/>
      <c r="AB3128" s="38"/>
      <c r="AC3128" s="38"/>
      <c r="AD3128" s="38"/>
      <c r="AE3128" s="38"/>
      <c r="AF3128" s="38"/>
      <c r="AG3128" s="38"/>
      <c r="AH3128" s="38"/>
      <c r="AI3128" s="38"/>
      <c r="AJ3128" s="38"/>
      <c r="AK3128" s="38"/>
    </row>
    <row r="3129">
      <c r="A3129" s="99">
        <v>3128.0</v>
      </c>
      <c r="B3129" s="15"/>
      <c r="C3129" s="15"/>
      <c r="D3129" s="105">
        <v>1.0</v>
      </c>
      <c r="E3129" s="102">
        <v>55.0</v>
      </c>
      <c r="F3129" s="107">
        <v>59.0</v>
      </c>
      <c r="G3129" s="15" t="str">
        <f t="shared" si="1"/>
        <v>55059</v>
      </c>
      <c r="H3129" s="23" t="s">
        <v>2355</v>
      </c>
      <c r="I3129" s="23" t="s">
        <v>122</v>
      </c>
      <c r="J3129" s="23" t="s">
        <v>438</v>
      </c>
      <c r="K3129" s="23" t="str">
        <f t="shared" si="50"/>
        <v>Kenosha, WI</v>
      </c>
      <c r="L3129" s="23">
        <v>375.0</v>
      </c>
      <c r="M3129" s="23" t="s">
        <v>63</v>
      </c>
      <c r="N3129" s="23">
        <v>159.0</v>
      </c>
      <c r="O3129" s="15" t="s">
        <v>2703</v>
      </c>
      <c r="P3129" s="23" t="s">
        <v>63</v>
      </c>
      <c r="Q3129" s="23" t="s">
        <v>63</v>
      </c>
      <c r="R3129" s="23" t="s">
        <v>63</v>
      </c>
      <c r="S3129" s="23" t="s">
        <v>63</v>
      </c>
      <c r="T3129" s="32" t="s">
        <v>63</v>
      </c>
      <c r="U3129" s="23" t="s">
        <v>63</v>
      </c>
      <c r="V3129" s="23" t="s">
        <v>63</v>
      </c>
      <c r="W3129" s="23" t="s">
        <v>63</v>
      </c>
      <c r="X3129" s="23" t="s">
        <v>63</v>
      </c>
      <c r="Y3129" s="35">
        <v>87.0</v>
      </c>
      <c r="Z3129" s="32" t="s">
        <v>63</v>
      </c>
      <c r="AA3129" s="38"/>
      <c r="AB3129" s="38"/>
      <c r="AC3129" s="38"/>
      <c r="AD3129" s="38"/>
      <c r="AE3129" s="38"/>
      <c r="AF3129" s="38"/>
      <c r="AG3129" s="38"/>
      <c r="AH3129" s="38"/>
      <c r="AI3129" s="38"/>
      <c r="AJ3129" s="38"/>
      <c r="AK3129" s="38"/>
    </row>
    <row r="3130">
      <c r="A3130" s="99">
        <v>3129.0</v>
      </c>
      <c r="B3130" s="15"/>
      <c r="C3130" s="15"/>
      <c r="D3130" s="105">
        <v>1.0</v>
      </c>
      <c r="E3130" s="102">
        <v>55.0</v>
      </c>
      <c r="F3130" s="107">
        <v>61.0</v>
      </c>
      <c r="G3130" s="15" t="str">
        <f t="shared" si="1"/>
        <v>55061</v>
      </c>
      <c r="H3130" s="23" t="s">
        <v>2356</v>
      </c>
      <c r="I3130" s="23" t="s">
        <v>122</v>
      </c>
      <c r="J3130" s="23" t="s">
        <v>438</v>
      </c>
      <c r="K3130" s="23" t="str">
        <f t="shared" si="50"/>
        <v>Kewaunee, WI</v>
      </c>
      <c r="L3130" s="23">
        <v>21.0</v>
      </c>
      <c r="M3130" s="23" t="s">
        <v>63</v>
      </c>
      <c r="N3130" s="23">
        <v>8.0</v>
      </c>
      <c r="O3130" s="15" t="s">
        <v>2694</v>
      </c>
      <c r="P3130" s="23" t="s">
        <v>63</v>
      </c>
      <c r="Q3130" s="23" t="s">
        <v>63</v>
      </c>
      <c r="R3130" s="23" t="s">
        <v>63</v>
      </c>
      <c r="S3130" s="23" t="s">
        <v>63</v>
      </c>
      <c r="T3130" s="32" t="s">
        <v>63</v>
      </c>
      <c r="U3130" s="23" t="s">
        <v>63</v>
      </c>
      <c r="V3130" s="23" t="s">
        <v>63</v>
      </c>
      <c r="W3130" s="23" t="s">
        <v>63</v>
      </c>
      <c r="X3130" s="23" t="s">
        <v>63</v>
      </c>
      <c r="Y3130" s="35">
        <v>20.0</v>
      </c>
      <c r="Z3130" s="32" t="s">
        <v>63</v>
      </c>
      <c r="AA3130" s="38"/>
      <c r="AB3130" s="38"/>
      <c r="AC3130" s="38"/>
      <c r="AD3130" s="38"/>
      <c r="AE3130" s="38"/>
      <c r="AF3130" s="38"/>
      <c r="AG3130" s="38"/>
      <c r="AH3130" s="38"/>
      <c r="AI3130" s="38"/>
      <c r="AJ3130" s="38"/>
      <c r="AK3130" s="38"/>
    </row>
    <row r="3131">
      <c r="A3131" s="99">
        <v>3130.0</v>
      </c>
      <c r="B3131" s="15"/>
      <c r="C3131" s="15"/>
      <c r="D3131" s="105">
        <v>1.0</v>
      </c>
      <c r="E3131" s="102">
        <v>55.0</v>
      </c>
      <c r="F3131" s="107">
        <v>63.0</v>
      </c>
      <c r="G3131" s="15" t="str">
        <f t="shared" si="1"/>
        <v>55063</v>
      </c>
      <c r="H3131" s="23" t="s">
        <v>2357</v>
      </c>
      <c r="I3131" s="23" t="s">
        <v>122</v>
      </c>
      <c r="J3131" s="23" t="s">
        <v>438</v>
      </c>
      <c r="K3131" s="23" t="str">
        <f t="shared" si="50"/>
        <v>La Crosse, WI</v>
      </c>
      <c r="L3131" s="23">
        <v>74.0</v>
      </c>
      <c r="M3131" s="23" t="s">
        <v>63</v>
      </c>
      <c r="N3131" s="23">
        <v>39.0</v>
      </c>
      <c r="O3131" s="15" t="s">
        <v>2501</v>
      </c>
      <c r="P3131" s="23" t="s">
        <v>63</v>
      </c>
      <c r="Q3131" s="23" t="s">
        <v>63</v>
      </c>
      <c r="R3131" s="23" t="s">
        <v>63</v>
      </c>
      <c r="S3131" s="23" t="s">
        <v>63</v>
      </c>
      <c r="T3131" s="32" t="s">
        <v>63</v>
      </c>
      <c r="U3131" s="23" t="s">
        <v>63</v>
      </c>
      <c r="V3131" s="23" t="s">
        <v>63</v>
      </c>
      <c r="W3131" s="23" t="s">
        <v>63</v>
      </c>
      <c r="X3131" s="23" t="s">
        <v>63</v>
      </c>
      <c r="Y3131" s="35">
        <v>87.0</v>
      </c>
      <c r="Z3131" s="32" t="s">
        <v>63</v>
      </c>
      <c r="AA3131" s="38"/>
      <c r="AB3131" s="38"/>
      <c r="AC3131" s="38"/>
      <c r="AD3131" s="38"/>
      <c r="AE3131" s="38"/>
      <c r="AF3131" s="38"/>
      <c r="AG3131" s="38"/>
      <c r="AH3131" s="38"/>
      <c r="AI3131" s="38"/>
      <c r="AJ3131" s="38"/>
      <c r="AK3131" s="38"/>
    </row>
    <row r="3132">
      <c r="A3132" s="99">
        <v>3131.0</v>
      </c>
      <c r="B3132" s="15"/>
      <c r="C3132" s="15"/>
      <c r="D3132" s="105">
        <v>1.0</v>
      </c>
      <c r="E3132" s="102">
        <v>55.0</v>
      </c>
      <c r="F3132" s="107">
        <v>65.0</v>
      </c>
      <c r="G3132" s="15" t="str">
        <f t="shared" si="1"/>
        <v>55065</v>
      </c>
      <c r="H3132" s="23" t="s">
        <v>289</v>
      </c>
      <c r="I3132" s="23" t="s">
        <v>122</v>
      </c>
      <c r="J3132" s="23" t="s">
        <v>438</v>
      </c>
      <c r="K3132" s="23" t="str">
        <f t="shared" si="50"/>
        <v>Lafayette, WI</v>
      </c>
      <c r="L3132" s="23">
        <v>15.0</v>
      </c>
      <c r="M3132" s="23" t="s">
        <v>63</v>
      </c>
      <c r="N3132" s="23">
        <v>2.0</v>
      </c>
      <c r="O3132" s="15" t="s">
        <v>2489</v>
      </c>
      <c r="P3132" s="23" t="s">
        <v>63</v>
      </c>
      <c r="Q3132" s="23" t="s">
        <v>63</v>
      </c>
      <c r="R3132" s="23" t="s">
        <v>63</v>
      </c>
      <c r="S3132" s="23" t="s">
        <v>63</v>
      </c>
      <c r="T3132" s="32" t="s">
        <v>63</v>
      </c>
      <c r="U3132" s="23" t="s">
        <v>63</v>
      </c>
      <c r="V3132" s="23" t="s">
        <v>63</v>
      </c>
      <c r="W3132" s="23" t="s">
        <v>63</v>
      </c>
      <c r="X3132" s="23" t="s">
        <v>63</v>
      </c>
      <c r="Y3132" s="35">
        <v>23.0</v>
      </c>
      <c r="Z3132" s="32" t="s">
        <v>63</v>
      </c>
      <c r="AA3132" s="38"/>
      <c r="AB3132" s="38"/>
      <c r="AC3132" s="38"/>
      <c r="AD3132" s="38"/>
      <c r="AE3132" s="38"/>
      <c r="AF3132" s="38"/>
      <c r="AG3132" s="38"/>
      <c r="AH3132" s="38"/>
      <c r="AI3132" s="38"/>
      <c r="AJ3132" s="38"/>
      <c r="AK3132" s="38"/>
    </row>
    <row r="3133">
      <c r="A3133" s="99">
        <v>3132.0</v>
      </c>
      <c r="B3133" s="15"/>
      <c r="C3133" s="15"/>
      <c r="D3133" s="105">
        <v>1.0</v>
      </c>
      <c r="E3133" s="102">
        <v>55.0</v>
      </c>
      <c r="F3133" s="107">
        <v>67.0</v>
      </c>
      <c r="G3133" s="15" t="str">
        <f t="shared" si="1"/>
        <v>55067</v>
      </c>
      <c r="H3133" s="23" t="s">
        <v>2358</v>
      </c>
      <c r="I3133" s="23" t="s">
        <v>122</v>
      </c>
      <c r="J3133" s="23" t="s">
        <v>438</v>
      </c>
      <c r="K3133" s="23" t="str">
        <f t="shared" si="50"/>
        <v>Langlade, WI</v>
      </c>
      <c r="L3133" s="23">
        <v>58.0</v>
      </c>
      <c r="M3133" s="23" t="s">
        <v>63</v>
      </c>
      <c r="N3133" s="23">
        <v>25.0</v>
      </c>
      <c r="O3133" s="15" t="s">
        <v>2704</v>
      </c>
      <c r="P3133" s="23" t="s">
        <v>63</v>
      </c>
      <c r="Q3133" s="23" t="s">
        <v>63</v>
      </c>
      <c r="R3133" s="23" t="s">
        <v>63</v>
      </c>
      <c r="S3133" s="23" t="s">
        <v>63</v>
      </c>
      <c r="T3133" s="32" t="s">
        <v>63</v>
      </c>
      <c r="U3133" s="23" t="s">
        <v>63</v>
      </c>
      <c r="V3133" s="23" t="s">
        <v>63</v>
      </c>
      <c r="W3133" s="23" t="s">
        <v>63</v>
      </c>
      <c r="X3133" s="23" t="s">
        <v>63</v>
      </c>
      <c r="Y3133" s="35">
        <v>28.0</v>
      </c>
      <c r="Z3133" s="32" t="s">
        <v>63</v>
      </c>
      <c r="AA3133" s="38"/>
      <c r="AB3133" s="38"/>
      <c r="AC3133" s="38"/>
      <c r="AD3133" s="38"/>
      <c r="AE3133" s="38"/>
      <c r="AF3133" s="38"/>
      <c r="AG3133" s="38"/>
      <c r="AH3133" s="38"/>
      <c r="AI3133" s="38"/>
      <c r="AJ3133" s="38"/>
      <c r="AK3133" s="38"/>
    </row>
    <row r="3134">
      <c r="A3134" s="99">
        <v>3133.0</v>
      </c>
      <c r="B3134" s="15"/>
      <c r="C3134" s="15"/>
      <c r="D3134" s="105">
        <v>1.0</v>
      </c>
      <c r="E3134" s="102">
        <v>55.0</v>
      </c>
      <c r="F3134" s="107">
        <v>69.0</v>
      </c>
      <c r="G3134" s="15" t="str">
        <f t="shared" si="1"/>
        <v>55069</v>
      </c>
      <c r="H3134" s="23" t="s">
        <v>290</v>
      </c>
      <c r="I3134" s="23" t="s">
        <v>122</v>
      </c>
      <c r="J3134" s="23" t="s">
        <v>438</v>
      </c>
      <c r="K3134" s="23" t="str">
        <f t="shared" si="50"/>
        <v>Lincoln, WI</v>
      </c>
      <c r="L3134" s="23">
        <v>49.0</v>
      </c>
      <c r="M3134" s="23" t="s">
        <v>63</v>
      </c>
      <c r="N3134" s="23">
        <v>13.0</v>
      </c>
      <c r="O3134" s="15" t="s">
        <v>2705</v>
      </c>
      <c r="P3134" s="23" t="s">
        <v>63</v>
      </c>
      <c r="Q3134" s="23" t="s">
        <v>63</v>
      </c>
      <c r="R3134" s="23" t="s">
        <v>63</v>
      </c>
      <c r="S3134" s="23" t="s">
        <v>63</v>
      </c>
      <c r="T3134" s="32" t="s">
        <v>63</v>
      </c>
      <c r="U3134" s="23" t="s">
        <v>63</v>
      </c>
      <c r="V3134" s="23" t="s">
        <v>63</v>
      </c>
      <c r="W3134" s="23" t="s">
        <v>63</v>
      </c>
      <c r="X3134" s="23" t="s">
        <v>63</v>
      </c>
      <c r="Y3134" s="35">
        <v>31.0</v>
      </c>
      <c r="Z3134" s="32" t="s">
        <v>63</v>
      </c>
      <c r="AA3134" s="38"/>
      <c r="AB3134" s="38"/>
      <c r="AC3134" s="38"/>
      <c r="AD3134" s="38"/>
      <c r="AE3134" s="38"/>
      <c r="AF3134" s="38"/>
      <c r="AG3134" s="38"/>
      <c r="AH3134" s="38"/>
      <c r="AI3134" s="38"/>
      <c r="AJ3134" s="38"/>
      <c r="AK3134" s="38"/>
    </row>
    <row r="3135">
      <c r="A3135" s="99">
        <v>3134.0</v>
      </c>
      <c r="B3135" s="15"/>
      <c r="C3135" s="15"/>
      <c r="D3135" s="105">
        <v>1.0</v>
      </c>
      <c r="E3135" s="102">
        <v>55.0</v>
      </c>
      <c r="F3135" s="107">
        <v>71.0</v>
      </c>
      <c r="G3135" s="15" t="str">
        <f t="shared" si="1"/>
        <v>55071</v>
      </c>
      <c r="H3135" s="23" t="s">
        <v>2359</v>
      </c>
      <c r="I3135" s="23" t="s">
        <v>122</v>
      </c>
      <c r="J3135" s="23" t="s">
        <v>438</v>
      </c>
      <c r="K3135" s="23" t="str">
        <f t="shared" si="50"/>
        <v>Manitowoc, WI</v>
      </c>
      <c r="L3135" s="23">
        <v>138.0</v>
      </c>
      <c r="M3135" s="23" t="s">
        <v>63</v>
      </c>
      <c r="N3135" s="23">
        <v>63.0</v>
      </c>
      <c r="O3135" s="15" t="s">
        <v>2706</v>
      </c>
      <c r="P3135" s="23" t="s">
        <v>63</v>
      </c>
      <c r="Q3135" s="23" t="s">
        <v>63</v>
      </c>
      <c r="R3135" s="23" t="s">
        <v>63</v>
      </c>
      <c r="S3135" s="23" t="s">
        <v>63</v>
      </c>
      <c r="T3135" s="32" t="s">
        <v>63</v>
      </c>
      <c r="U3135" s="23" t="s">
        <v>63</v>
      </c>
      <c r="V3135" s="23" t="s">
        <v>63</v>
      </c>
      <c r="W3135" s="23" t="s">
        <v>63</v>
      </c>
      <c r="X3135" s="23" t="s">
        <v>63</v>
      </c>
      <c r="Y3135" s="35">
        <v>69.0</v>
      </c>
      <c r="Z3135" s="32" t="s">
        <v>63</v>
      </c>
      <c r="AA3135" s="38"/>
      <c r="AB3135" s="38"/>
      <c r="AC3135" s="38"/>
      <c r="AD3135" s="38"/>
      <c r="AE3135" s="38"/>
      <c r="AF3135" s="38"/>
      <c r="AG3135" s="38"/>
      <c r="AH3135" s="38"/>
      <c r="AI3135" s="38"/>
      <c r="AJ3135" s="38"/>
      <c r="AK3135" s="38"/>
    </row>
    <row r="3136">
      <c r="A3136" s="99">
        <v>3135.0</v>
      </c>
      <c r="B3136" s="15"/>
      <c r="C3136" s="15"/>
      <c r="D3136" s="105">
        <v>1.0</v>
      </c>
      <c r="E3136" s="102">
        <v>55.0</v>
      </c>
      <c r="F3136" s="107">
        <v>73.0</v>
      </c>
      <c r="G3136" s="15" t="str">
        <f t="shared" si="1"/>
        <v>55073</v>
      </c>
      <c r="H3136" s="23" t="s">
        <v>2360</v>
      </c>
      <c r="I3136" s="23" t="s">
        <v>122</v>
      </c>
      <c r="J3136" s="23" t="s">
        <v>438</v>
      </c>
      <c r="K3136" s="23" t="str">
        <f t="shared" si="50"/>
        <v>Marathon, WI</v>
      </c>
      <c r="L3136" s="23">
        <v>131.0</v>
      </c>
      <c r="M3136" s="23" t="s">
        <v>63</v>
      </c>
      <c r="N3136" s="23">
        <v>69.0</v>
      </c>
      <c r="O3136" s="15" t="s">
        <v>2502</v>
      </c>
      <c r="P3136" s="23" t="s">
        <v>63</v>
      </c>
      <c r="Q3136" s="23" t="s">
        <v>63</v>
      </c>
      <c r="R3136" s="23" t="s">
        <v>63</v>
      </c>
      <c r="S3136" s="23" t="s">
        <v>63</v>
      </c>
      <c r="T3136" s="32" t="s">
        <v>63</v>
      </c>
      <c r="U3136" s="23" t="s">
        <v>63</v>
      </c>
      <c r="V3136" s="23" t="s">
        <v>63</v>
      </c>
      <c r="W3136" s="23" t="s">
        <v>63</v>
      </c>
      <c r="X3136" s="23" t="s">
        <v>63</v>
      </c>
      <c r="Y3136" s="35">
        <v>131.0</v>
      </c>
      <c r="Z3136" s="32" t="s">
        <v>63</v>
      </c>
      <c r="AA3136" s="38"/>
      <c r="AB3136" s="38"/>
      <c r="AC3136" s="38"/>
      <c r="AD3136" s="38"/>
      <c r="AE3136" s="38"/>
      <c r="AF3136" s="38"/>
      <c r="AG3136" s="38"/>
      <c r="AH3136" s="38"/>
      <c r="AI3136" s="38"/>
      <c r="AJ3136" s="38"/>
      <c r="AK3136" s="38"/>
    </row>
    <row r="3137">
      <c r="A3137" s="99">
        <v>3136.0</v>
      </c>
      <c r="B3137" s="15"/>
      <c r="C3137" s="15"/>
      <c r="D3137" s="105">
        <v>1.0</v>
      </c>
      <c r="E3137" s="102">
        <v>55.0</v>
      </c>
      <c r="F3137" s="107">
        <v>75.0</v>
      </c>
      <c r="G3137" s="15" t="str">
        <f t="shared" si="1"/>
        <v>55075</v>
      </c>
      <c r="H3137" s="23" t="s">
        <v>2361</v>
      </c>
      <c r="I3137" s="23" t="s">
        <v>122</v>
      </c>
      <c r="J3137" s="23" t="s">
        <v>438</v>
      </c>
      <c r="K3137" s="23" t="str">
        <f t="shared" si="50"/>
        <v>Marinette, WI</v>
      </c>
      <c r="L3137" s="23">
        <v>40.0</v>
      </c>
      <c r="M3137" s="23" t="s">
        <v>63</v>
      </c>
      <c r="N3137" s="23">
        <v>20.0</v>
      </c>
      <c r="O3137" s="15" t="s">
        <v>2707</v>
      </c>
      <c r="P3137" s="23" t="s">
        <v>63</v>
      </c>
      <c r="Q3137" s="23" t="s">
        <v>63</v>
      </c>
      <c r="R3137" s="23" t="s">
        <v>63</v>
      </c>
      <c r="S3137" s="23" t="s">
        <v>63</v>
      </c>
      <c r="T3137" s="32" t="s">
        <v>63</v>
      </c>
      <c r="U3137" s="23" t="s">
        <v>63</v>
      </c>
      <c r="V3137" s="23" t="s">
        <v>63</v>
      </c>
      <c r="W3137" s="23" t="s">
        <v>63</v>
      </c>
      <c r="X3137" s="23" t="s">
        <v>63</v>
      </c>
      <c r="Y3137" s="35">
        <v>49.0</v>
      </c>
      <c r="Z3137" s="32" t="s">
        <v>63</v>
      </c>
      <c r="AA3137" s="38"/>
      <c r="AB3137" s="38"/>
      <c r="AC3137" s="38"/>
      <c r="AD3137" s="38"/>
      <c r="AE3137" s="38"/>
      <c r="AF3137" s="38"/>
      <c r="AG3137" s="38"/>
      <c r="AH3137" s="38"/>
      <c r="AI3137" s="38"/>
      <c r="AJ3137" s="38"/>
      <c r="AK3137" s="38"/>
    </row>
    <row r="3138">
      <c r="A3138" s="99">
        <v>3137.0</v>
      </c>
      <c r="B3138" s="15"/>
      <c r="C3138" s="15"/>
      <c r="D3138" s="105">
        <v>1.0</v>
      </c>
      <c r="E3138" s="102">
        <v>55.0</v>
      </c>
      <c r="F3138" s="107">
        <v>77.0</v>
      </c>
      <c r="G3138" s="15" t="str">
        <f t="shared" si="1"/>
        <v>55077</v>
      </c>
      <c r="H3138" s="23" t="s">
        <v>1270</v>
      </c>
      <c r="I3138" s="23" t="s">
        <v>122</v>
      </c>
      <c r="J3138" s="23" t="s">
        <v>438</v>
      </c>
      <c r="K3138" s="23" t="str">
        <f t="shared" si="50"/>
        <v>Marquette, WI</v>
      </c>
      <c r="L3138" s="23">
        <v>9.0</v>
      </c>
      <c r="M3138" s="23" t="s">
        <v>63</v>
      </c>
      <c r="N3138" s="23">
        <v>7.0</v>
      </c>
      <c r="O3138" s="15" t="s">
        <v>25</v>
      </c>
      <c r="P3138" s="23" t="s">
        <v>63</v>
      </c>
      <c r="Q3138" s="23" t="s">
        <v>63</v>
      </c>
      <c r="R3138" s="23" t="s">
        <v>63</v>
      </c>
      <c r="S3138" s="23" t="s">
        <v>63</v>
      </c>
      <c r="T3138" s="32" t="s">
        <v>63</v>
      </c>
      <c r="U3138" s="23" t="s">
        <v>63</v>
      </c>
      <c r="V3138" s="23" t="s">
        <v>63</v>
      </c>
      <c r="W3138" s="23" t="s">
        <v>63</v>
      </c>
      <c r="X3138" s="23" t="s">
        <v>63</v>
      </c>
      <c r="Y3138" s="35">
        <v>26.0</v>
      </c>
      <c r="Z3138" s="32" t="s">
        <v>63</v>
      </c>
      <c r="AA3138" s="38"/>
      <c r="AB3138" s="38"/>
      <c r="AC3138" s="38"/>
      <c r="AD3138" s="38"/>
      <c r="AE3138" s="38"/>
      <c r="AF3138" s="38"/>
      <c r="AG3138" s="38"/>
      <c r="AH3138" s="38"/>
      <c r="AI3138" s="38"/>
      <c r="AJ3138" s="38"/>
      <c r="AK3138" s="38"/>
    </row>
    <row r="3139">
      <c r="A3139" s="99">
        <v>3138.0</v>
      </c>
      <c r="B3139" s="15"/>
      <c r="C3139" s="15"/>
      <c r="D3139" s="105">
        <v>1.0</v>
      </c>
      <c r="E3139" s="102">
        <v>55.0</v>
      </c>
      <c r="F3139" s="107">
        <v>78.0</v>
      </c>
      <c r="G3139" s="15" t="str">
        <f t="shared" si="1"/>
        <v>55078</v>
      </c>
      <c r="H3139" s="23" t="s">
        <v>1272</v>
      </c>
      <c r="I3139" s="23" t="s">
        <v>122</v>
      </c>
      <c r="J3139" s="23" t="s">
        <v>438</v>
      </c>
      <c r="K3139" s="23" t="str">
        <f t="shared" si="50"/>
        <v>Menominee, WI</v>
      </c>
      <c r="L3139" s="23">
        <v>9.0</v>
      </c>
      <c r="M3139" s="23" t="s">
        <v>63</v>
      </c>
      <c r="N3139" s="23">
        <v>1.0</v>
      </c>
      <c r="O3139" s="15" t="s">
        <v>2691</v>
      </c>
      <c r="P3139" s="23" t="s">
        <v>63</v>
      </c>
      <c r="Q3139" s="23" t="s">
        <v>63</v>
      </c>
      <c r="R3139" s="23" t="s">
        <v>63</v>
      </c>
      <c r="S3139" s="23" t="s">
        <v>63</v>
      </c>
      <c r="T3139" s="32" t="s">
        <v>63</v>
      </c>
      <c r="U3139" s="23" t="s">
        <v>63</v>
      </c>
      <c r="V3139" s="23" t="s">
        <v>63</v>
      </c>
      <c r="W3139" s="23" t="s">
        <v>63</v>
      </c>
      <c r="X3139" s="23" t="s">
        <v>63</v>
      </c>
      <c r="Y3139" s="35">
        <v>3.0</v>
      </c>
      <c r="Z3139" s="32" t="s">
        <v>63</v>
      </c>
      <c r="AA3139" s="38"/>
      <c r="AB3139" s="38"/>
      <c r="AC3139" s="38"/>
      <c r="AD3139" s="38"/>
      <c r="AE3139" s="38"/>
      <c r="AF3139" s="38"/>
      <c r="AG3139" s="38"/>
      <c r="AH3139" s="38"/>
      <c r="AI3139" s="38"/>
      <c r="AJ3139" s="38"/>
      <c r="AK3139" s="38"/>
    </row>
    <row r="3140">
      <c r="A3140" s="99">
        <v>3139.0</v>
      </c>
      <c r="B3140" s="15"/>
      <c r="C3140" s="15"/>
      <c r="D3140" s="105">
        <v>1.0</v>
      </c>
      <c r="E3140" s="102">
        <v>55.0</v>
      </c>
      <c r="F3140" s="107">
        <v>79.0</v>
      </c>
      <c r="G3140" s="15" t="str">
        <f t="shared" si="1"/>
        <v>55079</v>
      </c>
      <c r="H3140" s="23" t="s">
        <v>437</v>
      </c>
      <c r="I3140" s="23" t="s">
        <v>122</v>
      </c>
      <c r="J3140" s="23" t="s">
        <v>438</v>
      </c>
      <c r="K3140" s="23" t="str">
        <f t="shared" si="50"/>
        <v>Milwaukee, WI</v>
      </c>
      <c r="L3140" s="23">
        <v>1725.0</v>
      </c>
      <c r="M3140" s="23" t="s">
        <v>63</v>
      </c>
      <c r="N3140" s="23">
        <v>780.0</v>
      </c>
      <c r="O3140" s="15" t="s">
        <v>2708</v>
      </c>
      <c r="P3140" s="23" t="s">
        <v>63</v>
      </c>
      <c r="Q3140" s="23" t="s">
        <v>63</v>
      </c>
      <c r="R3140" s="23" t="s">
        <v>63</v>
      </c>
      <c r="S3140" s="23" t="s">
        <v>63</v>
      </c>
      <c r="T3140" s="32" t="s">
        <v>63</v>
      </c>
      <c r="U3140" s="23" t="s">
        <v>63</v>
      </c>
      <c r="V3140" s="23" t="s">
        <v>63</v>
      </c>
      <c r="W3140" s="23" t="s">
        <v>63</v>
      </c>
      <c r="X3140" s="23" t="s">
        <v>63</v>
      </c>
      <c r="Y3140" s="35">
        <v>625.0</v>
      </c>
      <c r="Z3140" s="32" t="s">
        <v>63</v>
      </c>
      <c r="AA3140" s="38"/>
      <c r="AB3140" s="38"/>
      <c r="AC3140" s="38"/>
      <c r="AD3140" s="38"/>
      <c r="AE3140" s="38"/>
      <c r="AF3140" s="38"/>
      <c r="AG3140" s="38"/>
      <c r="AH3140" s="38"/>
      <c r="AI3140" s="38"/>
      <c r="AJ3140" s="38"/>
      <c r="AK3140" s="38"/>
    </row>
    <row r="3141">
      <c r="A3141" s="99">
        <v>3140.0</v>
      </c>
      <c r="B3141" s="15"/>
      <c r="C3141" s="15"/>
      <c r="D3141" s="105">
        <v>1.0</v>
      </c>
      <c r="E3141" s="102">
        <v>55.0</v>
      </c>
      <c r="F3141" s="107">
        <v>81.0</v>
      </c>
      <c r="G3141" s="15" t="str">
        <f t="shared" si="1"/>
        <v>55081</v>
      </c>
      <c r="H3141" s="23" t="s">
        <v>156</v>
      </c>
      <c r="I3141" s="23" t="s">
        <v>122</v>
      </c>
      <c r="J3141" s="23" t="s">
        <v>438</v>
      </c>
      <c r="K3141" s="23" t="str">
        <f t="shared" si="50"/>
        <v>Monroe, WI</v>
      </c>
      <c r="L3141" s="23">
        <v>43.0</v>
      </c>
      <c r="M3141" s="23" t="s">
        <v>63</v>
      </c>
      <c r="N3141" s="23">
        <v>18.0</v>
      </c>
      <c r="O3141" s="15" t="s">
        <v>2707</v>
      </c>
      <c r="P3141" s="23" t="s">
        <v>63</v>
      </c>
      <c r="Q3141" s="23" t="s">
        <v>63</v>
      </c>
      <c r="R3141" s="23" t="s">
        <v>63</v>
      </c>
      <c r="S3141" s="23" t="s">
        <v>63</v>
      </c>
      <c r="T3141" s="32" t="s">
        <v>63</v>
      </c>
      <c r="U3141" s="23" t="s">
        <v>63</v>
      </c>
      <c r="V3141" s="23" t="s">
        <v>63</v>
      </c>
      <c r="W3141" s="23" t="s">
        <v>63</v>
      </c>
      <c r="X3141" s="23" t="s">
        <v>63</v>
      </c>
      <c r="Y3141" s="35">
        <v>53.0</v>
      </c>
      <c r="Z3141" s="32" t="s">
        <v>63</v>
      </c>
      <c r="AA3141" s="38"/>
      <c r="AB3141" s="38"/>
      <c r="AC3141" s="38"/>
      <c r="AD3141" s="38"/>
      <c r="AE3141" s="38"/>
      <c r="AF3141" s="38"/>
      <c r="AG3141" s="38"/>
      <c r="AH3141" s="38"/>
      <c r="AI3141" s="38"/>
      <c r="AJ3141" s="38"/>
      <c r="AK3141" s="38"/>
    </row>
    <row r="3142">
      <c r="A3142" s="99">
        <v>3141.0</v>
      </c>
      <c r="B3142" s="15"/>
      <c r="C3142" s="15"/>
      <c r="D3142" s="105">
        <v>1.0</v>
      </c>
      <c r="E3142" s="102">
        <v>55.0</v>
      </c>
      <c r="F3142" s="107">
        <v>83.0</v>
      </c>
      <c r="G3142" s="15" t="str">
        <f t="shared" si="1"/>
        <v>55083</v>
      </c>
      <c r="H3142" s="23" t="s">
        <v>2362</v>
      </c>
      <c r="I3142" s="23" t="s">
        <v>122</v>
      </c>
      <c r="J3142" s="23" t="s">
        <v>438</v>
      </c>
      <c r="K3142" s="23" t="str">
        <f t="shared" si="50"/>
        <v>Oconto, WI</v>
      </c>
      <c r="L3142" s="23">
        <v>43.0</v>
      </c>
      <c r="M3142" s="23" t="s">
        <v>63</v>
      </c>
      <c r="N3142" s="23">
        <v>25.0</v>
      </c>
      <c r="O3142" s="15" t="s">
        <v>2709</v>
      </c>
      <c r="P3142" s="23" t="s">
        <v>63</v>
      </c>
      <c r="Q3142" s="23" t="s">
        <v>63</v>
      </c>
      <c r="R3142" s="23" t="s">
        <v>63</v>
      </c>
      <c r="S3142" s="23" t="s">
        <v>63</v>
      </c>
      <c r="T3142" s="32" t="s">
        <v>63</v>
      </c>
      <c r="U3142" s="23" t="s">
        <v>63</v>
      </c>
      <c r="V3142" s="23" t="s">
        <v>63</v>
      </c>
      <c r="W3142" s="23" t="s">
        <v>63</v>
      </c>
      <c r="X3142" s="23" t="s">
        <v>63</v>
      </c>
      <c r="Y3142" s="35">
        <v>43.0</v>
      </c>
      <c r="Z3142" s="32" t="s">
        <v>63</v>
      </c>
      <c r="AA3142" s="38"/>
      <c r="AB3142" s="38"/>
      <c r="AC3142" s="38"/>
      <c r="AD3142" s="38"/>
      <c r="AE3142" s="38"/>
      <c r="AF3142" s="38"/>
      <c r="AG3142" s="38"/>
      <c r="AH3142" s="38"/>
      <c r="AI3142" s="38"/>
      <c r="AJ3142" s="38"/>
      <c r="AK3142" s="38"/>
    </row>
    <row r="3143">
      <c r="A3143" s="99">
        <v>3142.0</v>
      </c>
      <c r="B3143" s="15"/>
      <c r="C3143" s="15"/>
      <c r="D3143" s="105">
        <v>1.0</v>
      </c>
      <c r="E3143" s="102">
        <v>55.0</v>
      </c>
      <c r="F3143" s="107">
        <v>85.0</v>
      </c>
      <c r="G3143" s="15" t="str">
        <f t="shared" si="1"/>
        <v>55085</v>
      </c>
      <c r="H3143" s="23" t="s">
        <v>685</v>
      </c>
      <c r="I3143" s="23" t="s">
        <v>122</v>
      </c>
      <c r="J3143" s="23" t="s">
        <v>438</v>
      </c>
      <c r="K3143" s="23" t="str">
        <f t="shared" si="50"/>
        <v>Oneida, WI</v>
      </c>
      <c r="L3143" s="23">
        <v>38.0</v>
      </c>
      <c r="M3143" s="23" t="s">
        <v>63</v>
      </c>
      <c r="N3143" s="23">
        <v>14.0</v>
      </c>
      <c r="O3143" s="15" t="s">
        <v>2697</v>
      </c>
      <c r="P3143" s="23" t="s">
        <v>63</v>
      </c>
      <c r="Q3143" s="23" t="s">
        <v>63</v>
      </c>
      <c r="R3143" s="23" t="s">
        <v>63</v>
      </c>
      <c r="S3143" s="23" t="s">
        <v>63</v>
      </c>
      <c r="T3143" s="32" t="s">
        <v>63</v>
      </c>
      <c r="U3143" s="23" t="s">
        <v>63</v>
      </c>
      <c r="V3143" s="23" t="s">
        <v>63</v>
      </c>
      <c r="W3143" s="23" t="s">
        <v>63</v>
      </c>
      <c r="X3143" s="23" t="s">
        <v>63</v>
      </c>
      <c r="Y3143" s="35">
        <v>39.0</v>
      </c>
      <c r="Z3143" s="32" t="s">
        <v>63</v>
      </c>
      <c r="AA3143" s="38"/>
      <c r="AB3143" s="38"/>
      <c r="AC3143" s="38"/>
      <c r="AD3143" s="38"/>
      <c r="AE3143" s="38"/>
      <c r="AF3143" s="38"/>
      <c r="AG3143" s="38"/>
      <c r="AH3143" s="38"/>
      <c r="AI3143" s="38"/>
      <c r="AJ3143" s="38"/>
      <c r="AK3143" s="38"/>
    </row>
    <row r="3144">
      <c r="A3144" s="99">
        <v>3143.0</v>
      </c>
      <c r="B3144" s="15"/>
      <c r="C3144" s="15"/>
      <c r="D3144" s="105">
        <v>1.0</v>
      </c>
      <c r="E3144" s="102">
        <v>55.0</v>
      </c>
      <c r="F3144" s="107">
        <v>87.0</v>
      </c>
      <c r="G3144" s="15" t="str">
        <f t="shared" si="1"/>
        <v>55087</v>
      </c>
      <c r="H3144" s="23" t="s">
        <v>2363</v>
      </c>
      <c r="I3144" s="23" t="s">
        <v>122</v>
      </c>
      <c r="J3144" s="23" t="s">
        <v>438</v>
      </c>
      <c r="K3144" s="23" t="str">
        <f t="shared" si="50"/>
        <v>Outagamie, WI</v>
      </c>
      <c r="L3144" s="23">
        <v>222.0</v>
      </c>
      <c r="M3144" s="23" t="s">
        <v>63</v>
      </c>
      <c r="N3144" s="23">
        <v>102.0</v>
      </c>
      <c r="O3144" s="15" t="s">
        <v>2710</v>
      </c>
      <c r="P3144" s="23" t="s">
        <v>63</v>
      </c>
      <c r="Q3144" s="23" t="s">
        <v>63</v>
      </c>
      <c r="R3144" s="23" t="s">
        <v>63</v>
      </c>
      <c r="S3144" s="23" t="s">
        <v>63</v>
      </c>
      <c r="T3144" s="32" t="s">
        <v>63</v>
      </c>
      <c r="U3144" s="23" t="s">
        <v>63</v>
      </c>
      <c r="V3144" s="23" t="s">
        <v>63</v>
      </c>
      <c r="W3144" s="23" t="s">
        <v>63</v>
      </c>
      <c r="X3144" s="23" t="s">
        <v>63</v>
      </c>
      <c r="Y3144" s="35">
        <v>111.0</v>
      </c>
      <c r="Z3144" s="32" t="s">
        <v>63</v>
      </c>
      <c r="AA3144" s="38"/>
      <c r="AB3144" s="38"/>
      <c r="AC3144" s="38"/>
      <c r="AD3144" s="38"/>
      <c r="AE3144" s="38"/>
      <c r="AF3144" s="38"/>
      <c r="AG3144" s="38"/>
      <c r="AH3144" s="38"/>
      <c r="AI3144" s="38"/>
      <c r="AJ3144" s="38"/>
      <c r="AK3144" s="38"/>
    </row>
    <row r="3145">
      <c r="A3145" s="99">
        <v>3144.0</v>
      </c>
      <c r="B3145" s="15"/>
      <c r="C3145" s="15"/>
      <c r="D3145" s="105">
        <v>1.0</v>
      </c>
      <c r="E3145" s="102">
        <v>55.0</v>
      </c>
      <c r="F3145" s="107">
        <v>89.0</v>
      </c>
      <c r="G3145" s="15" t="str">
        <f t="shared" si="1"/>
        <v>55089</v>
      </c>
      <c r="H3145" s="23" t="s">
        <v>2364</v>
      </c>
      <c r="I3145" s="23" t="s">
        <v>122</v>
      </c>
      <c r="J3145" s="23" t="s">
        <v>438</v>
      </c>
      <c r="K3145" s="23" t="str">
        <f t="shared" si="50"/>
        <v>Ozaukee, WI</v>
      </c>
      <c r="L3145" s="23">
        <v>30.0</v>
      </c>
      <c r="M3145" s="23" t="s">
        <v>63</v>
      </c>
      <c r="N3145" s="23">
        <v>10.0</v>
      </c>
      <c r="O3145" s="15" t="s">
        <v>2694</v>
      </c>
      <c r="P3145" s="23" t="s">
        <v>63</v>
      </c>
      <c r="Q3145" s="23" t="s">
        <v>63</v>
      </c>
      <c r="R3145" s="23" t="s">
        <v>63</v>
      </c>
      <c r="S3145" s="23" t="s">
        <v>63</v>
      </c>
      <c r="T3145" s="32" t="s">
        <v>63</v>
      </c>
      <c r="U3145" s="23" t="s">
        <v>63</v>
      </c>
      <c r="V3145" s="23" t="s">
        <v>63</v>
      </c>
      <c r="W3145" s="23" t="s">
        <v>63</v>
      </c>
      <c r="X3145" s="23" t="s">
        <v>63</v>
      </c>
      <c r="Y3145" s="35">
        <v>59.0</v>
      </c>
      <c r="Z3145" s="32" t="s">
        <v>63</v>
      </c>
      <c r="AA3145" s="38"/>
      <c r="AB3145" s="38"/>
      <c r="AC3145" s="38"/>
      <c r="AD3145" s="38"/>
      <c r="AE3145" s="38"/>
      <c r="AF3145" s="38"/>
      <c r="AG3145" s="38"/>
      <c r="AH3145" s="38"/>
      <c r="AI3145" s="38"/>
      <c r="AJ3145" s="38"/>
      <c r="AK3145" s="38"/>
    </row>
    <row r="3146">
      <c r="A3146" s="99">
        <v>3145.0</v>
      </c>
      <c r="B3146" s="15"/>
      <c r="C3146" s="15"/>
      <c r="D3146" s="105">
        <v>1.0</v>
      </c>
      <c r="E3146" s="102">
        <v>55.0</v>
      </c>
      <c r="F3146" s="107">
        <v>91.0</v>
      </c>
      <c r="G3146" s="15" t="str">
        <f t="shared" si="1"/>
        <v>55091</v>
      </c>
      <c r="H3146" s="23" t="s">
        <v>2365</v>
      </c>
      <c r="I3146" s="23" t="s">
        <v>122</v>
      </c>
      <c r="J3146" s="23" t="s">
        <v>438</v>
      </c>
      <c r="K3146" s="23" t="str">
        <f t="shared" si="50"/>
        <v>Pepin, WI</v>
      </c>
      <c r="L3146" s="23">
        <v>2.0</v>
      </c>
      <c r="M3146" s="23" t="s">
        <v>63</v>
      </c>
      <c r="N3146" s="23">
        <v>1.0</v>
      </c>
      <c r="O3146" s="15" t="s">
        <v>25</v>
      </c>
      <c r="P3146" s="23" t="s">
        <v>63</v>
      </c>
      <c r="Q3146" s="23" t="s">
        <v>63</v>
      </c>
      <c r="R3146" s="23" t="s">
        <v>63</v>
      </c>
      <c r="S3146" s="23" t="s">
        <v>63</v>
      </c>
      <c r="T3146" s="32" t="s">
        <v>63</v>
      </c>
      <c r="U3146" s="23" t="s">
        <v>63</v>
      </c>
      <c r="V3146" s="23" t="s">
        <v>63</v>
      </c>
      <c r="W3146" s="23" t="s">
        <v>63</v>
      </c>
      <c r="X3146" s="23" t="s">
        <v>63</v>
      </c>
      <c r="Y3146" s="35">
        <v>11.0</v>
      </c>
      <c r="Z3146" s="32" t="s">
        <v>63</v>
      </c>
      <c r="AA3146" s="38"/>
      <c r="AB3146" s="38"/>
      <c r="AC3146" s="38"/>
      <c r="AD3146" s="38"/>
      <c r="AE3146" s="38"/>
      <c r="AF3146" s="38"/>
      <c r="AG3146" s="38"/>
      <c r="AH3146" s="38"/>
      <c r="AI3146" s="38"/>
      <c r="AJ3146" s="38"/>
      <c r="AK3146" s="38"/>
    </row>
    <row r="3147">
      <c r="A3147" s="99">
        <v>3146.0</v>
      </c>
      <c r="B3147" s="15"/>
      <c r="C3147" s="15"/>
      <c r="D3147" s="105">
        <v>1.0</v>
      </c>
      <c r="E3147" s="102">
        <v>55.0</v>
      </c>
      <c r="F3147" s="107">
        <v>93.0</v>
      </c>
      <c r="G3147" s="15" t="str">
        <f t="shared" si="1"/>
        <v>55093</v>
      </c>
      <c r="H3147" s="23" t="s">
        <v>473</v>
      </c>
      <c r="I3147" s="23" t="s">
        <v>122</v>
      </c>
      <c r="J3147" s="23" t="s">
        <v>438</v>
      </c>
      <c r="K3147" s="23" t="str">
        <f t="shared" si="50"/>
        <v>Pierce, WI</v>
      </c>
      <c r="L3147" s="23">
        <v>35.0</v>
      </c>
      <c r="M3147" s="23" t="s">
        <v>63</v>
      </c>
      <c r="N3147" s="23">
        <v>14.0</v>
      </c>
      <c r="O3147" s="15" t="s">
        <v>2711</v>
      </c>
      <c r="P3147" s="23" t="s">
        <v>63</v>
      </c>
      <c r="Q3147" s="23" t="s">
        <v>63</v>
      </c>
      <c r="R3147" s="23" t="s">
        <v>63</v>
      </c>
      <c r="S3147" s="23" t="s">
        <v>63</v>
      </c>
      <c r="T3147" s="32" t="s">
        <v>63</v>
      </c>
      <c r="U3147" s="23" t="s">
        <v>63</v>
      </c>
      <c r="V3147" s="23" t="s">
        <v>63</v>
      </c>
      <c r="W3147" s="23" t="s">
        <v>63</v>
      </c>
      <c r="X3147" s="23" t="s">
        <v>63</v>
      </c>
      <c r="Y3147" s="35">
        <v>46.0</v>
      </c>
      <c r="Z3147" s="32" t="s">
        <v>63</v>
      </c>
      <c r="AA3147" s="38"/>
      <c r="AB3147" s="38"/>
      <c r="AC3147" s="38"/>
      <c r="AD3147" s="38"/>
      <c r="AE3147" s="38"/>
      <c r="AF3147" s="38"/>
      <c r="AG3147" s="38"/>
      <c r="AH3147" s="38"/>
      <c r="AI3147" s="38"/>
      <c r="AJ3147" s="38"/>
      <c r="AK3147" s="38"/>
    </row>
    <row r="3148">
      <c r="A3148" s="99">
        <v>3147.0</v>
      </c>
      <c r="B3148" s="15"/>
      <c r="C3148" s="15"/>
      <c r="D3148" s="105">
        <v>1.0</v>
      </c>
      <c r="E3148" s="102">
        <v>55.0</v>
      </c>
      <c r="F3148" s="107">
        <v>95.0</v>
      </c>
      <c r="G3148" s="15" t="str">
        <f t="shared" si="1"/>
        <v>55095</v>
      </c>
      <c r="H3148" s="23" t="s">
        <v>302</v>
      </c>
      <c r="I3148" s="23" t="s">
        <v>122</v>
      </c>
      <c r="J3148" s="23" t="s">
        <v>438</v>
      </c>
      <c r="K3148" s="23" t="str">
        <f t="shared" si="50"/>
        <v>Polk, WI</v>
      </c>
      <c r="L3148" s="23">
        <v>24.0</v>
      </c>
      <c r="M3148" s="23" t="s">
        <v>63</v>
      </c>
      <c r="N3148" s="23">
        <v>3.0</v>
      </c>
      <c r="O3148" s="15" t="s">
        <v>2712</v>
      </c>
      <c r="P3148" s="23" t="s">
        <v>63</v>
      </c>
      <c r="Q3148" s="23" t="s">
        <v>63</v>
      </c>
      <c r="R3148" s="23" t="s">
        <v>63</v>
      </c>
      <c r="S3148" s="23" t="s">
        <v>63</v>
      </c>
      <c r="T3148" s="32" t="s">
        <v>63</v>
      </c>
      <c r="U3148" s="23" t="s">
        <v>63</v>
      </c>
      <c r="V3148" s="23" t="s">
        <v>63</v>
      </c>
      <c r="W3148" s="23" t="s">
        <v>63</v>
      </c>
      <c r="X3148" s="23" t="s">
        <v>63</v>
      </c>
      <c r="Y3148" s="35">
        <v>74.0</v>
      </c>
      <c r="Z3148" s="32" t="s">
        <v>63</v>
      </c>
      <c r="AA3148" s="38"/>
      <c r="AB3148" s="38"/>
      <c r="AC3148" s="38"/>
      <c r="AD3148" s="38"/>
      <c r="AE3148" s="38"/>
      <c r="AF3148" s="38"/>
      <c r="AG3148" s="38"/>
      <c r="AH3148" s="38"/>
      <c r="AI3148" s="38"/>
      <c r="AJ3148" s="38"/>
      <c r="AK3148" s="38"/>
    </row>
    <row r="3149">
      <c r="A3149" s="99">
        <v>3148.0</v>
      </c>
      <c r="B3149" s="15"/>
      <c r="C3149" s="15"/>
      <c r="D3149" s="105">
        <v>1.0</v>
      </c>
      <c r="E3149" s="102">
        <v>55.0</v>
      </c>
      <c r="F3149" s="107">
        <v>97.0</v>
      </c>
      <c r="G3149" s="15" t="str">
        <f t="shared" si="1"/>
        <v>55097</v>
      </c>
      <c r="H3149" s="23" t="s">
        <v>1694</v>
      </c>
      <c r="I3149" s="23" t="s">
        <v>122</v>
      </c>
      <c r="J3149" s="23" t="s">
        <v>438</v>
      </c>
      <c r="K3149" s="23" t="str">
        <f t="shared" si="50"/>
        <v>Portage, WI</v>
      </c>
      <c r="L3149" s="23">
        <v>89.0</v>
      </c>
      <c r="M3149" s="23" t="s">
        <v>63</v>
      </c>
      <c r="N3149" s="23">
        <v>39.0</v>
      </c>
      <c r="O3149" s="15" t="s">
        <v>2490</v>
      </c>
      <c r="P3149" s="23" t="s">
        <v>63</v>
      </c>
      <c r="Q3149" s="23" t="s">
        <v>63</v>
      </c>
      <c r="R3149" s="23" t="s">
        <v>63</v>
      </c>
      <c r="S3149" s="23" t="s">
        <v>63</v>
      </c>
      <c r="T3149" s="32" t="s">
        <v>63</v>
      </c>
      <c r="U3149" s="23" t="s">
        <v>63</v>
      </c>
      <c r="V3149" s="23" t="s">
        <v>63</v>
      </c>
      <c r="W3149" s="23" t="s">
        <v>63</v>
      </c>
      <c r="X3149" s="23" t="s">
        <v>63</v>
      </c>
      <c r="Y3149" s="35">
        <v>53.0</v>
      </c>
      <c r="Z3149" s="32" t="s">
        <v>63</v>
      </c>
      <c r="AA3149" s="38"/>
      <c r="AB3149" s="38"/>
      <c r="AC3149" s="38"/>
      <c r="AD3149" s="38"/>
      <c r="AE3149" s="38"/>
      <c r="AF3149" s="38"/>
      <c r="AG3149" s="38"/>
      <c r="AH3149" s="38"/>
      <c r="AI3149" s="38"/>
      <c r="AJ3149" s="38"/>
      <c r="AK3149" s="38"/>
    </row>
    <row r="3150">
      <c r="A3150" s="99">
        <v>3149.0</v>
      </c>
      <c r="B3150" s="15"/>
      <c r="C3150" s="15"/>
      <c r="D3150" s="105">
        <v>1.0</v>
      </c>
      <c r="E3150" s="102">
        <v>55.0</v>
      </c>
      <c r="F3150" s="107">
        <v>99.0</v>
      </c>
      <c r="G3150" s="15" t="str">
        <f t="shared" si="1"/>
        <v>55099</v>
      </c>
      <c r="H3150" s="23" t="s">
        <v>2366</v>
      </c>
      <c r="I3150" s="23" t="s">
        <v>122</v>
      </c>
      <c r="J3150" s="23" t="s">
        <v>438</v>
      </c>
      <c r="K3150" s="23" t="str">
        <f t="shared" si="50"/>
        <v>Price, WI</v>
      </c>
      <c r="L3150" s="23">
        <v>11.0</v>
      </c>
      <c r="M3150" s="23" t="s">
        <v>63</v>
      </c>
      <c r="N3150" s="23">
        <v>6.0</v>
      </c>
      <c r="O3150" s="15" t="s">
        <v>2713</v>
      </c>
      <c r="P3150" s="23" t="s">
        <v>63</v>
      </c>
      <c r="Q3150" s="23" t="s">
        <v>63</v>
      </c>
      <c r="R3150" s="23" t="s">
        <v>63</v>
      </c>
      <c r="S3150" s="23" t="s">
        <v>63</v>
      </c>
      <c r="T3150" s="32" t="s">
        <v>63</v>
      </c>
      <c r="U3150" s="23" t="s">
        <v>63</v>
      </c>
      <c r="V3150" s="23" t="s">
        <v>63</v>
      </c>
      <c r="W3150" s="23" t="s">
        <v>63</v>
      </c>
      <c r="X3150" s="23" t="s">
        <v>63</v>
      </c>
      <c r="Y3150" s="35">
        <v>27.0</v>
      </c>
      <c r="Z3150" s="32" t="s">
        <v>63</v>
      </c>
      <c r="AA3150" s="38"/>
      <c r="AB3150" s="38"/>
      <c r="AC3150" s="38"/>
      <c r="AD3150" s="38"/>
      <c r="AE3150" s="38"/>
      <c r="AF3150" s="38"/>
      <c r="AG3150" s="38"/>
      <c r="AH3150" s="38"/>
      <c r="AI3150" s="38"/>
      <c r="AJ3150" s="38"/>
      <c r="AK3150" s="38"/>
    </row>
    <row r="3151">
      <c r="A3151" s="99">
        <v>3150.0</v>
      </c>
      <c r="B3151" s="15"/>
      <c r="C3151" s="15"/>
      <c r="D3151" s="105">
        <v>1.0</v>
      </c>
      <c r="E3151" s="102">
        <v>55.0</v>
      </c>
      <c r="F3151" s="107">
        <v>101.0</v>
      </c>
      <c r="G3151" s="15" t="str">
        <f t="shared" si="1"/>
        <v>55101</v>
      </c>
      <c r="H3151" s="23" t="s">
        <v>2367</v>
      </c>
      <c r="I3151" s="23" t="s">
        <v>122</v>
      </c>
      <c r="J3151" s="23" t="s">
        <v>438</v>
      </c>
      <c r="K3151" s="23" t="str">
        <f t="shared" si="50"/>
        <v>Racine, WI</v>
      </c>
      <c r="L3151" s="23">
        <v>153.0</v>
      </c>
      <c r="M3151" s="23" t="s">
        <v>63</v>
      </c>
      <c r="N3151" s="23">
        <v>70.0</v>
      </c>
      <c r="O3151" s="15" t="s">
        <v>2495</v>
      </c>
      <c r="P3151" s="23" t="s">
        <v>63</v>
      </c>
      <c r="Q3151" s="23" t="s">
        <v>63</v>
      </c>
      <c r="R3151" s="23" t="s">
        <v>63</v>
      </c>
      <c r="S3151" s="23" t="s">
        <v>63</v>
      </c>
      <c r="T3151" s="32" t="s">
        <v>63</v>
      </c>
      <c r="U3151" s="23" t="s">
        <v>63</v>
      </c>
      <c r="V3151" s="23" t="s">
        <v>63</v>
      </c>
      <c r="W3151" s="23" t="s">
        <v>63</v>
      </c>
      <c r="X3151" s="23" t="s">
        <v>63</v>
      </c>
      <c r="Y3151" s="35">
        <v>135.0</v>
      </c>
      <c r="Z3151" s="32" t="s">
        <v>63</v>
      </c>
      <c r="AA3151" s="38"/>
      <c r="AB3151" s="38"/>
      <c r="AC3151" s="38"/>
      <c r="AD3151" s="38"/>
      <c r="AE3151" s="38"/>
      <c r="AF3151" s="38"/>
      <c r="AG3151" s="38"/>
      <c r="AH3151" s="38"/>
      <c r="AI3151" s="38"/>
      <c r="AJ3151" s="38"/>
      <c r="AK3151" s="38"/>
    </row>
    <row r="3152">
      <c r="A3152" s="99">
        <v>3151.0</v>
      </c>
      <c r="B3152" s="15"/>
      <c r="C3152" s="15"/>
      <c r="D3152" s="105">
        <v>1.0</v>
      </c>
      <c r="E3152" s="102">
        <v>55.0</v>
      </c>
      <c r="F3152" s="107">
        <v>103.0</v>
      </c>
      <c r="G3152" s="15" t="str">
        <f t="shared" si="1"/>
        <v>55103</v>
      </c>
      <c r="H3152" s="23" t="s">
        <v>743</v>
      </c>
      <c r="I3152" s="23" t="s">
        <v>122</v>
      </c>
      <c r="J3152" s="23" t="s">
        <v>438</v>
      </c>
      <c r="K3152" s="23" t="str">
        <f t="shared" si="50"/>
        <v>Richland, WI</v>
      </c>
      <c r="L3152" s="23">
        <v>22.0</v>
      </c>
      <c r="M3152" s="23" t="s">
        <v>63</v>
      </c>
      <c r="N3152" s="23">
        <v>7.0</v>
      </c>
      <c r="O3152" s="15" t="s">
        <v>2707</v>
      </c>
      <c r="P3152" s="23" t="s">
        <v>63</v>
      </c>
      <c r="Q3152" s="23" t="s">
        <v>63</v>
      </c>
      <c r="R3152" s="23" t="s">
        <v>63</v>
      </c>
      <c r="S3152" s="23" t="s">
        <v>63</v>
      </c>
      <c r="T3152" s="32" t="s">
        <v>63</v>
      </c>
      <c r="U3152" s="23" t="s">
        <v>63</v>
      </c>
      <c r="V3152" s="23" t="s">
        <v>63</v>
      </c>
      <c r="W3152" s="23" t="s">
        <v>63</v>
      </c>
      <c r="X3152" s="23" t="s">
        <v>63</v>
      </c>
      <c r="Y3152" s="35">
        <v>28.0</v>
      </c>
      <c r="Z3152" s="32" t="s">
        <v>63</v>
      </c>
      <c r="AA3152" s="38"/>
      <c r="AB3152" s="38"/>
      <c r="AC3152" s="38"/>
      <c r="AD3152" s="38"/>
      <c r="AE3152" s="38"/>
      <c r="AF3152" s="38"/>
      <c r="AG3152" s="38"/>
      <c r="AH3152" s="38"/>
      <c r="AI3152" s="38"/>
      <c r="AJ3152" s="38"/>
      <c r="AK3152" s="38"/>
    </row>
    <row r="3153">
      <c r="A3153" s="99">
        <v>3152.0</v>
      </c>
      <c r="B3153" s="15"/>
      <c r="C3153" s="15"/>
      <c r="D3153" s="105">
        <v>1.0</v>
      </c>
      <c r="E3153" s="102">
        <v>55.0</v>
      </c>
      <c r="F3153" s="107">
        <v>105.0</v>
      </c>
      <c r="G3153" s="15" t="str">
        <f t="shared" si="1"/>
        <v>55105</v>
      </c>
      <c r="H3153" s="23" t="s">
        <v>1341</v>
      </c>
      <c r="I3153" s="23" t="s">
        <v>122</v>
      </c>
      <c r="J3153" s="23" t="s">
        <v>438</v>
      </c>
      <c r="K3153" s="23" t="str">
        <f t="shared" si="50"/>
        <v>Rock, WI</v>
      </c>
      <c r="L3153" s="23">
        <v>98.0</v>
      </c>
      <c r="M3153" s="23" t="s">
        <v>63</v>
      </c>
      <c r="N3153" s="23">
        <v>53.0</v>
      </c>
      <c r="O3153" s="15" t="s">
        <v>2505</v>
      </c>
      <c r="P3153" s="23" t="s">
        <v>63</v>
      </c>
      <c r="Q3153" s="23" t="s">
        <v>63</v>
      </c>
      <c r="R3153" s="23" t="s">
        <v>63</v>
      </c>
      <c r="S3153" s="23" t="s">
        <v>63</v>
      </c>
      <c r="T3153" s="32" t="s">
        <v>63</v>
      </c>
      <c r="U3153" s="23" t="s">
        <v>63</v>
      </c>
      <c r="V3153" s="23" t="s">
        <v>63</v>
      </c>
      <c r="W3153" s="23" t="s">
        <v>63</v>
      </c>
      <c r="X3153" s="23" t="s">
        <v>63</v>
      </c>
      <c r="Y3153" s="35">
        <v>127.0</v>
      </c>
      <c r="Z3153" s="32" t="s">
        <v>63</v>
      </c>
      <c r="AA3153" s="38"/>
      <c r="AB3153" s="38"/>
      <c r="AC3153" s="38"/>
      <c r="AD3153" s="38"/>
      <c r="AE3153" s="38"/>
      <c r="AF3153" s="38"/>
      <c r="AG3153" s="38"/>
      <c r="AH3153" s="38"/>
      <c r="AI3153" s="38"/>
      <c r="AJ3153" s="38"/>
      <c r="AK3153" s="38"/>
    </row>
    <row r="3154">
      <c r="A3154" s="99">
        <v>3153.0</v>
      </c>
      <c r="B3154" s="15"/>
      <c r="C3154" s="15"/>
      <c r="D3154" s="105">
        <v>1.0</v>
      </c>
      <c r="E3154" s="102">
        <v>55.0</v>
      </c>
      <c r="F3154" s="107">
        <v>107.0</v>
      </c>
      <c r="G3154" s="15" t="str">
        <f t="shared" si="1"/>
        <v>55107</v>
      </c>
      <c r="H3154" s="23" t="s">
        <v>2139</v>
      </c>
      <c r="I3154" s="23" t="s">
        <v>122</v>
      </c>
      <c r="J3154" s="23" t="s">
        <v>438</v>
      </c>
      <c r="K3154" s="23" t="str">
        <f t="shared" si="50"/>
        <v>Rusk, WI</v>
      </c>
      <c r="L3154" s="23">
        <v>13.0</v>
      </c>
      <c r="M3154" s="23" t="s">
        <v>63</v>
      </c>
      <c r="N3154" s="23">
        <v>6.0</v>
      </c>
      <c r="O3154" s="15" t="s">
        <v>2714</v>
      </c>
      <c r="P3154" s="23" t="s">
        <v>63</v>
      </c>
      <c r="Q3154" s="23" t="s">
        <v>63</v>
      </c>
      <c r="R3154" s="23" t="s">
        <v>63</v>
      </c>
      <c r="S3154" s="23" t="s">
        <v>63</v>
      </c>
      <c r="T3154" s="32" t="s">
        <v>63</v>
      </c>
      <c r="U3154" s="23" t="s">
        <v>63</v>
      </c>
      <c r="V3154" s="23" t="s">
        <v>63</v>
      </c>
      <c r="W3154" s="23" t="s">
        <v>63</v>
      </c>
      <c r="X3154" s="23" t="s">
        <v>63</v>
      </c>
      <c r="Y3154" s="35">
        <v>28.0</v>
      </c>
      <c r="Z3154" s="32" t="s">
        <v>63</v>
      </c>
      <c r="AA3154" s="38"/>
      <c r="AB3154" s="38"/>
      <c r="AC3154" s="38"/>
      <c r="AD3154" s="38"/>
      <c r="AE3154" s="38"/>
      <c r="AF3154" s="38"/>
      <c r="AG3154" s="38"/>
      <c r="AH3154" s="38"/>
      <c r="AI3154" s="38"/>
      <c r="AJ3154" s="38"/>
      <c r="AK3154" s="38"/>
    </row>
    <row r="3155">
      <c r="A3155" s="99">
        <v>3154.0</v>
      </c>
      <c r="B3155" s="15"/>
      <c r="C3155" s="15"/>
      <c r="D3155" s="105">
        <v>1.0</v>
      </c>
      <c r="E3155" s="102">
        <v>55.0</v>
      </c>
      <c r="F3155" s="107">
        <v>109.0</v>
      </c>
      <c r="G3155" s="15" t="str">
        <f t="shared" si="1"/>
        <v>55109</v>
      </c>
      <c r="H3155" s="23" t="s">
        <v>2368</v>
      </c>
      <c r="I3155" s="23" t="s">
        <v>122</v>
      </c>
      <c r="J3155" s="23" t="s">
        <v>438</v>
      </c>
      <c r="K3155" s="23" t="str">
        <f t="shared" si="50"/>
        <v>St Croix, WI</v>
      </c>
      <c r="L3155" s="23">
        <v>75.0</v>
      </c>
      <c r="M3155" s="23" t="s">
        <v>63</v>
      </c>
      <c r="N3155" s="23">
        <v>35.0</v>
      </c>
      <c r="O3155" s="15" t="s">
        <v>2715</v>
      </c>
      <c r="P3155" s="23" t="s">
        <v>63</v>
      </c>
      <c r="Q3155" s="23" t="s">
        <v>63</v>
      </c>
      <c r="R3155" s="23" t="s">
        <v>63</v>
      </c>
      <c r="S3155" s="23" t="s">
        <v>63</v>
      </c>
      <c r="T3155" s="32" t="s">
        <v>63</v>
      </c>
      <c r="U3155" s="23" t="s">
        <v>63</v>
      </c>
      <c r="V3155" s="23" t="s">
        <v>63</v>
      </c>
      <c r="W3155" s="23" t="s">
        <v>63</v>
      </c>
      <c r="X3155" s="23" t="s">
        <v>63</v>
      </c>
      <c r="Y3155" s="35">
        <v>74.0</v>
      </c>
      <c r="Z3155" s="32" t="s">
        <v>63</v>
      </c>
      <c r="AA3155" s="38"/>
      <c r="AB3155" s="38"/>
      <c r="AC3155" s="38"/>
      <c r="AD3155" s="38"/>
      <c r="AE3155" s="38"/>
      <c r="AF3155" s="38"/>
      <c r="AG3155" s="38"/>
      <c r="AH3155" s="38"/>
      <c r="AI3155" s="38"/>
      <c r="AJ3155" s="38"/>
      <c r="AK3155" s="38"/>
    </row>
    <row r="3156">
      <c r="A3156" s="99">
        <v>3155.0</v>
      </c>
      <c r="B3156" s="15"/>
      <c r="C3156" s="15"/>
      <c r="D3156" s="105">
        <v>1.0</v>
      </c>
      <c r="E3156" s="102">
        <v>55.0</v>
      </c>
      <c r="F3156" s="107">
        <v>111.0</v>
      </c>
      <c r="G3156" s="15" t="str">
        <f t="shared" si="1"/>
        <v>55111</v>
      </c>
      <c r="H3156" s="23" t="s">
        <v>2369</v>
      </c>
      <c r="I3156" s="23" t="s">
        <v>122</v>
      </c>
      <c r="J3156" s="23" t="s">
        <v>438</v>
      </c>
      <c r="K3156" s="23" t="str">
        <f t="shared" si="50"/>
        <v>Sauk, WI</v>
      </c>
      <c r="L3156" s="23">
        <v>53.0</v>
      </c>
      <c r="M3156" s="23" t="s">
        <v>63</v>
      </c>
      <c r="N3156" s="23">
        <v>29.0</v>
      </c>
      <c r="O3156" s="15" t="s">
        <v>2711</v>
      </c>
      <c r="P3156" s="23" t="s">
        <v>63</v>
      </c>
      <c r="Q3156" s="23" t="s">
        <v>63</v>
      </c>
      <c r="R3156" s="23" t="s">
        <v>63</v>
      </c>
      <c r="S3156" s="23" t="s">
        <v>63</v>
      </c>
      <c r="T3156" s="32" t="s">
        <v>63</v>
      </c>
      <c r="U3156" s="23" t="s">
        <v>63</v>
      </c>
      <c r="V3156" s="23" t="s">
        <v>63</v>
      </c>
      <c r="W3156" s="23" t="s">
        <v>63</v>
      </c>
      <c r="X3156" s="23" t="s">
        <v>63</v>
      </c>
      <c r="Y3156" s="35">
        <v>70.0</v>
      </c>
      <c r="Z3156" s="32" t="s">
        <v>63</v>
      </c>
      <c r="AA3156" s="38"/>
      <c r="AB3156" s="38"/>
      <c r="AC3156" s="38"/>
      <c r="AD3156" s="38"/>
      <c r="AE3156" s="38"/>
      <c r="AF3156" s="38"/>
      <c r="AG3156" s="38"/>
      <c r="AH3156" s="38"/>
      <c r="AI3156" s="38"/>
      <c r="AJ3156" s="38"/>
      <c r="AK3156" s="38"/>
    </row>
    <row r="3157">
      <c r="A3157" s="99">
        <v>3156.0</v>
      </c>
      <c r="B3157" s="15"/>
      <c r="C3157" s="15"/>
      <c r="D3157" s="105">
        <v>1.0</v>
      </c>
      <c r="E3157" s="102">
        <v>55.0</v>
      </c>
      <c r="F3157" s="107">
        <v>113.0</v>
      </c>
      <c r="G3157" s="15" t="str">
        <f t="shared" si="1"/>
        <v>55113</v>
      </c>
      <c r="H3157" s="23" t="s">
        <v>2370</v>
      </c>
      <c r="I3157" s="23" t="s">
        <v>122</v>
      </c>
      <c r="J3157" s="23" t="s">
        <v>438</v>
      </c>
      <c r="K3157" s="23" t="str">
        <f t="shared" si="50"/>
        <v>Sawyer, WI</v>
      </c>
      <c r="L3157" s="23">
        <v>30.0</v>
      </c>
      <c r="M3157" s="23" t="s">
        <v>63</v>
      </c>
      <c r="N3157" s="23">
        <v>11.0</v>
      </c>
      <c r="O3157" s="15" t="s">
        <v>2694</v>
      </c>
      <c r="P3157" s="23" t="s">
        <v>63</v>
      </c>
      <c r="Q3157" s="23" t="s">
        <v>63</v>
      </c>
      <c r="R3157" s="23" t="s">
        <v>63</v>
      </c>
      <c r="S3157" s="23" t="s">
        <v>63</v>
      </c>
      <c r="T3157" s="32" t="s">
        <v>63</v>
      </c>
      <c r="U3157" s="23" t="s">
        <v>63</v>
      </c>
      <c r="V3157" s="23" t="s">
        <v>63</v>
      </c>
      <c r="W3157" s="23" t="s">
        <v>63</v>
      </c>
      <c r="X3157" s="23" t="s">
        <v>63</v>
      </c>
      <c r="Y3157" s="35">
        <v>29.0</v>
      </c>
      <c r="Z3157" s="32" t="s">
        <v>63</v>
      </c>
      <c r="AA3157" s="38"/>
      <c r="AB3157" s="38"/>
      <c r="AC3157" s="38"/>
      <c r="AD3157" s="38"/>
      <c r="AE3157" s="38"/>
      <c r="AF3157" s="38"/>
      <c r="AG3157" s="38"/>
      <c r="AH3157" s="38"/>
      <c r="AI3157" s="38"/>
      <c r="AJ3157" s="38"/>
      <c r="AK3157" s="38"/>
    </row>
    <row r="3158">
      <c r="A3158" s="99">
        <v>3157.0</v>
      </c>
      <c r="B3158" s="15"/>
      <c r="C3158" s="15"/>
      <c r="D3158" s="105">
        <v>1.0</v>
      </c>
      <c r="E3158" s="102">
        <v>55.0</v>
      </c>
      <c r="F3158" s="107">
        <v>115.0</v>
      </c>
      <c r="G3158" s="15" t="str">
        <f t="shared" si="1"/>
        <v>55115</v>
      </c>
      <c r="H3158" s="23" t="s">
        <v>2371</v>
      </c>
      <c r="I3158" s="23" t="s">
        <v>122</v>
      </c>
      <c r="J3158" s="23" t="s">
        <v>438</v>
      </c>
      <c r="K3158" s="23" t="str">
        <f t="shared" si="50"/>
        <v>Shawano, WI</v>
      </c>
      <c r="L3158" s="23">
        <v>50.0</v>
      </c>
      <c r="M3158" s="23" t="s">
        <v>63</v>
      </c>
      <c r="N3158" s="23">
        <v>13.0</v>
      </c>
      <c r="O3158" s="15" t="s">
        <v>2716</v>
      </c>
      <c r="P3158" s="23" t="s">
        <v>63</v>
      </c>
      <c r="Q3158" s="23" t="s">
        <v>63</v>
      </c>
      <c r="R3158" s="23" t="s">
        <v>63</v>
      </c>
      <c r="S3158" s="23" t="s">
        <v>63</v>
      </c>
      <c r="T3158" s="32" t="s">
        <v>63</v>
      </c>
      <c r="U3158" s="23" t="s">
        <v>63</v>
      </c>
      <c r="V3158" s="23" t="s">
        <v>63</v>
      </c>
      <c r="W3158" s="23" t="s">
        <v>63</v>
      </c>
      <c r="X3158" s="23" t="s">
        <v>63</v>
      </c>
      <c r="Y3158" s="35">
        <v>62.0</v>
      </c>
      <c r="Z3158" s="32" t="s">
        <v>63</v>
      </c>
      <c r="AA3158" s="38"/>
      <c r="AB3158" s="38"/>
      <c r="AC3158" s="38"/>
      <c r="AD3158" s="38"/>
      <c r="AE3158" s="38"/>
      <c r="AF3158" s="38"/>
      <c r="AG3158" s="38"/>
      <c r="AH3158" s="38"/>
      <c r="AI3158" s="38"/>
      <c r="AJ3158" s="38"/>
      <c r="AK3158" s="38"/>
    </row>
    <row r="3159">
      <c r="A3159" s="99">
        <v>3158.0</v>
      </c>
      <c r="B3159" s="15"/>
      <c r="C3159" s="15"/>
      <c r="D3159" s="105">
        <v>1.0</v>
      </c>
      <c r="E3159" s="102">
        <v>55.0</v>
      </c>
      <c r="F3159" s="107">
        <v>117.0</v>
      </c>
      <c r="G3159" s="15" t="str">
        <f t="shared" si="1"/>
        <v>55117</v>
      </c>
      <c r="H3159" s="23" t="s">
        <v>2372</v>
      </c>
      <c r="I3159" s="23" t="s">
        <v>122</v>
      </c>
      <c r="J3159" s="23" t="s">
        <v>438</v>
      </c>
      <c r="K3159" s="23" t="str">
        <f t="shared" si="50"/>
        <v>Sheboygan, WI</v>
      </c>
      <c r="L3159" s="23">
        <v>117.0</v>
      </c>
      <c r="M3159" s="23" t="s">
        <v>63</v>
      </c>
      <c r="N3159" s="23">
        <v>53.0</v>
      </c>
      <c r="O3159" s="15" t="s">
        <v>2499</v>
      </c>
      <c r="P3159" s="23" t="s">
        <v>63</v>
      </c>
      <c r="Q3159" s="23" t="s">
        <v>63</v>
      </c>
      <c r="R3159" s="23" t="s">
        <v>63</v>
      </c>
      <c r="S3159" s="23" t="s">
        <v>63</v>
      </c>
      <c r="T3159" s="32" t="s">
        <v>63</v>
      </c>
      <c r="U3159" s="23" t="s">
        <v>63</v>
      </c>
      <c r="V3159" s="23" t="s">
        <v>63</v>
      </c>
      <c r="W3159" s="23" t="s">
        <v>63</v>
      </c>
      <c r="X3159" s="23" t="s">
        <v>63</v>
      </c>
      <c r="Y3159" s="35">
        <v>123.0</v>
      </c>
      <c r="Z3159" s="32" t="s">
        <v>63</v>
      </c>
      <c r="AA3159" s="38"/>
      <c r="AB3159" s="38"/>
      <c r="AC3159" s="38"/>
      <c r="AD3159" s="38"/>
      <c r="AE3159" s="38"/>
      <c r="AF3159" s="38"/>
      <c r="AG3159" s="38"/>
      <c r="AH3159" s="38"/>
      <c r="AI3159" s="38"/>
      <c r="AJ3159" s="38"/>
      <c r="AK3159" s="38"/>
    </row>
    <row r="3160">
      <c r="A3160" s="99">
        <v>3159.0</v>
      </c>
      <c r="B3160" s="15"/>
      <c r="C3160" s="15"/>
      <c r="D3160" s="105">
        <v>1.0</v>
      </c>
      <c r="E3160" s="102">
        <v>55.0</v>
      </c>
      <c r="F3160" s="107">
        <v>119.0</v>
      </c>
      <c r="G3160" s="15" t="str">
        <f t="shared" si="1"/>
        <v>55119</v>
      </c>
      <c r="H3160" s="23" t="s">
        <v>526</v>
      </c>
      <c r="I3160" s="23" t="s">
        <v>122</v>
      </c>
      <c r="J3160" s="23" t="s">
        <v>438</v>
      </c>
      <c r="K3160" s="23" t="str">
        <f t="shared" si="50"/>
        <v>Taylor, WI</v>
      </c>
      <c r="L3160" s="23">
        <v>278.0</v>
      </c>
      <c r="M3160" s="23" t="s">
        <v>63</v>
      </c>
      <c r="N3160" s="23">
        <v>210.0</v>
      </c>
      <c r="O3160" s="15" t="s">
        <v>2717</v>
      </c>
      <c r="P3160" s="23" t="s">
        <v>63</v>
      </c>
      <c r="Q3160" s="23" t="s">
        <v>63</v>
      </c>
      <c r="R3160" s="23" t="s">
        <v>63</v>
      </c>
      <c r="S3160" s="23" t="s">
        <v>63</v>
      </c>
      <c r="T3160" s="32" t="s">
        <v>63</v>
      </c>
      <c r="U3160" s="23" t="s">
        <v>63</v>
      </c>
      <c r="V3160" s="23" t="s">
        <v>63</v>
      </c>
      <c r="W3160" s="23" t="s">
        <v>63</v>
      </c>
      <c r="X3160" s="23" t="s">
        <v>63</v>
      </c>
      <c r="Y3160" s="35">
        <v>25.0</v>
      </c>
      <c r="Z3160" s="32" t="s">
        <v>63</v>
      </c>
      <c r="AA3160" s="38"/>
      <c r="AB3160" s="38"/>
      <c r="AC3160" s="38"/>
      <c r="AD3160" s="38"/>
      <c r="AE3160" s="38"/>
      <c r="AF3160" s="38"/>
      <c r="AG3160" s="38"/>
      <c r="AH3160" s="38"/>
      <c r="AI3160" s="38"/>
      <c r="AJ3160" s="38"/>
      <c r="AK3160" s="38"/>
    </row>
    <row r="3161">
      <c r="A3161" s="99">
        <v>3160.0</v>
      </c>
      <c r="B3161" s="15"/>
      <c r="C3161" s="15"/>
      <c r="D3161" s="105">
        <v>1.0</v>
      </c>
      <c r="E3161" s="102">
        <v>55.0</v>
      </c>
      <c r="F3161" s="107">
        <v>121.0</v>
      </c>
      <c r="G3161" s="15" t="str">
        <f t="shared" si="1"/>
        <v>55121</v>
      </c>
      <c r="H3161" s="23" t="s">
        <v>2373</v>
      </c>
      <c r="I3161" s="23" t="s">
        <v>122</v>
      </c>
      <c r="J3161" s="23" t="s">
        <v>438</v>
      </c>
      <c r="K3161" s="112" t="str">
        <f t="shared" si="50"/>
        <v>Trempealeau, WI</v>
      </c>
      <c r="L3161" s="23">
        <v>25.0</v>
      </c>
      <c r="M3161" s="23" t="s">
        <v>63</v>
      </c>
      <c r="N3161" s="23">
        <v>12.0</v>
      </c>
      <c r="O3161" s="15" t="s">
        <v>2497</v>
      </c>
      <c r="P3161" s="23" t="s">
        <v>63</v>
      </c>
      <c r="Q3161" s="23" t="s">
        <v>63</v>
      </c>
      <c r="R3161" s="23" t="s">
        <v>63</v>
      </c>
      <c r="S3161" s="23" t="s">
        <v>63</v>
      </c>
      <c r="T3161" s="32" t="s">
        <v>63</v>
      </c>
      <c r="U3161" s="23" t="s">
        <v>63</v>
      </c>
      <c r="V3161" s="23" t="s">
        <v>63</v>
      </c>
      <c r="W3161" s="23" t="s">
        <v>63</v>
      </c>
      <c r="X3161" s="23" t="s">
        <v>63</v>
      </c>
      <c r="Y3161" s="35">
        <v>44.0</v>
      </c>
      <c r="Z3161" s="32" t="s">
        <v>63</v>
      </c>
      <c r="AA3161" s="38"/>
      <c r="AB3161" s="38"/>
      <c r="AC3161" s="38"/>
      <c r="AD3161" s="38"/>
      <c r="AE3161" s="38"/>
      <c r="AF3161" s="38"/>
      <c r="AG3161" s="38"/>
      <c r="AH3161" s="38"/>
      <c r="AI3161" s="38"/>
      <c r="AJ3161" s="38"/>
      <c r="AK3161" s="38"/>
    </row>
    <row r="3162">
      <c r="A3162" s="99">
        <v>3161.0</v>
      </c>
      <c r="B3162" s="15"/>
      <c r="C3162" s="15"/>
      <c r="D3162" s="105">
        <v>1.0</v>
      </c>
      <c r="E3162" s="102">
        <v>55.0</v>
      </c>
      <c r="F3162" s="107">
        <v>123.0</v>
      </c>
      <c r="G3162" s="15" t="str">
        <f t="shared" si="1"/>
        <v>55123</v>
      </c>
      <c r="H3162" s="23" t="s">
        <v>1181</v>
      </c>
      <c r="I3162" s="23" t="s">
        <v>122</v>
      </c>
      <c r="J3162" s="23" t="s">
        <v>438</v>
      </c>
      <c r="K3162" s="23" t="str">
        <f t="shared" si="50"/>
        <v>Vernon, WI</v>
      </c>
      <c r="L3162" s="23">
        <v>26.0</v>
      </c>
      <c r="M3162" s="23" t="s">
        <v>63</v>
      </c>
      <c r="N3162" s="23">
        <v>7.0</v>
      </c>
      <c r="O3162" s="15" t="s">
        <v>2709</v>
      </c>
      <c r="P3162" s="23" t="s">
        <v>63</v>
      </c>
      <c r="Q3162" s="23" t="s">
        <v>63</v>
      </c>
      <c r="R3162" s="23" t="s">
        <v>63</v>
      </c>
      <c r="S3162" s="23" t="s">
        <v>63</v>
      </c>
      <c r="T3162" s="32" t="s">
        <v>63</v>
      </c>
      <c r="U3162" s="23" t="s">
        <v>63</v>
      </c>
      <c r="V3162" s="23" t="s">
        <v>63</v>
      </c>
      <c r="W3162" s="23" t="s">
        <v>63</v>
      </c>
      <c r="X3162" s="23" t="s">
        <v>63</v>
      </c>
      <c r="Y3162" s="35">
        <v>61.0</v>
      </c>
      <c r="Z3162" s="32" t="s">
        <v>63</v>
      </c>
      <c r="AA3162" s="38"/>
      <c r="AB3162" s="38"/>
      <c r="AC3162" s="38"/>
      <c r="AD3162" s="38"/>
      <c r="AE3162" s="38"/>
      <c r="AF3162" s="38"/>
      <c r="AG3162" s="38"/>
      <c r="AH3162" s="38"/>
      <c r="AI3162" s="38"/>
      <c r="AJ3162" s="38"/>
      <c r="AK3162" s="38"/>
    </row>
    <row r="3163">
      <c r="A3163" s="99">
        <v>3162.0</v>
      </c>
      <c r="B3163" s="15"/>
      <c r="C3163" s="15"/>
      <c r="D3163" s="105">
        <v>1.0</v>
      </c>
      <c r="E3163" s="102">
        <v>55.0</v>
      </c>
      <c r="F3163" s="107">
        <v>125.0</v>
      </c>
      <c r="G3163" s="15" t="str">
        <f t="shared" si="1"/>
        <v>55125</v>
      </c>
      <c r="H3163" s="23" t="s">
        <v>2374</v>
      </c>
      <c r="I3163" s="23" t="s">
        <v>122</v>
      </c>
      <c r="J3163" s="23" t="s">
        <v>438</v>
      </c>
      <c r="K3163" s="23" t="str">
        <f t="shared" si="50"/>
        <v>Vilas, WI</v>
      </c>
      <c r="L3163" s="23">
        <v>38.0</v>
      </c>
      <c r="M3163" s="23" t="s">
        <v>63</v>
      </c>
      <c r="N3163" s="23">
        <v>13.0</v>
      </c>
      <c r="O3163" s="15" t="s">
        <v>2690</v>
      </c>
      <c r="P3163" s="23" t="s">
        <v>63</v>
      </c>
      <c r="Q3163" s="23" t="s">
        <v>63</v>
      </c>
      <c r="R3163" s="23" t="s">
        <v>63</v>
      </c>
      <c r="S3163" s="23" t="s">
        <v>63</v>
      </c>
      <c r="T3163" s="32" t="s">
        <v>63</v>
      </c>
      <c r="U3163" s="23" t="s">
        <v>63</v>
      </c>
      <c r="V3163" s="23" t="s">
        <v>63</v>
      </c>
      <c r="W3163" s="23" t="s">
        <v>63</v>
      </c>
      <c r="X3163" s="23" t="s">
        <v>63</v>
      </c>
      <c r="Y3163" s="35">
        <v>38.0</v>
      </c>
      <c r="Z3163" s="32" t="s">
        <v>63</v>
      </c>
      <c r="AA3163" s="38"/>
      <c r="AB3163" s="38"/>
      <c r="AC3163" s="38"/>
      <c r="AD3163" s="38"/>
      <c r="AE3163" s="38"/>
      <c r="AF3163" s="38"/>
      <c r="AG3163" s="38"/>
      <c r="AH3163" s="38"/>
      <c r="AI3163" s="38"/>
      <c r="AJ3163" s="38"/>
      <c r="AK3163" s="38"/>
    </row>
    <row r="3164">
      <c r="A3164" s="99">
        <v>3163.0</v>
      </c>
      <c r="B3164" s="15"/>
      <c r="C3164" s="15"/>
      <c r="D3164" s="105">
        <v>1.0</v>
      </c>
      <c r="E3164" s="102">
        <v>55.0</v>
      </c>
      <c r="F3164" s="107">
        <v>127.0</v>
      </c>
      <c r="G3164" s="15" t="str">
        <f t="shared" si="1"/>
        <v>55127</v>
      </c>
      <c r="H3164" s="23" t="s">
        <v>1887</v>
      </c>
      <c r="I3164" s="23" t="s">
        <v>122</v>
      </c>
      <c r="J3164" s="23" t="s">
        <v>438</v>
      </c>
      <c r="K3164" s="23" t="str">
        <f t="shared" si="50"/>
        <v>Walworth, WI</v>
      </c>
      <c r="L3164" s="23">
        <v>64.0</v>
      </c>
      <c r="M3164" s="23" t="s">
        <v>63</v>
      </c>
      <c r="N3164" s="23">
        <v>42.0</v>
      </c>
      <c r="O3164" s="15" t="s">
        <v>2709</v>
      </c>
      <c r="P3164" s="23" t="s">
        <v>63</v>
      </c>
      <c r="Q3164" s="23" t="s">
        <v>63</v>
      </c>
      <c r="R3164" s="23" t="s">
        <v>63</v>
      </c>
      <c r="S3164" s="23" t="s">
        <v>63</v>
      </c>
      <c r="T3164" s="32" t="s">
        <v>63</v>
      </c>
      <c r="U3164" s="23" t="s">
        <v>63</v>
      </c>
      <c r="V3164" s="23" t="s">
        <v>63</v>
      </c>
      <c r="W3164" s="23" t="s">
        <v>63</v>
      </c>
      <c r="X3164" s="23" t="s">
        <v>63</v>
      </c>
      <c r="Y3164" s="35">
        <v>86.0</v>
      </c>
      <c r="Z3164" s="32" t="s">
        <v>63</v>
      </c>
      <c r="AA3164" s="38"/>
      <c r="AB3164" s="38"/>
      <c r="AC3164" s="38"/>
      <c r="AD3164" s="38"/>
      <c r="AE3164" s="38"/>
      <c r="AF3164" s="38"/>
      <c r="AG3164" s="38"/>
      <c r="AH3164" s="38"/>
      <c r="AI3164" s="38"/>
      <c r="AJ3164" s="38"/>
      <c r="AK3164" s="38"/>
    </row>
    <row r="3165">
      <c r="A3165" s="99">
        <v>3164.0</v>
      </c>
      <c r="B3165" s="15"/>
      <c r="C3165" s="15"/>
      <c r="D3165" s="105">
        <v>1.0</v>
      </c>
      <c r="E3165" s="102">
        <v>55.0</v>
      </c>
      <c r="F3165" s="107">
        <v>129.0</v>
      </c>
      <c r="G3165" s="15" t="str">
        <f t="shared" si="1"/>
        <v>55129</v>
      </c>
      <c r="H3165" s="23" t="s">
        <v>2375</v>
      </c>
      <c r="I3165" s="23" t="s">
        <v>122</v>
      </c>
      <c r="J3165" s="23" t="s">
        <v>438</v>
      </c>
      <c r="K3165" s="23" t="str">
        <f t="shared" si="50"/>
        <v>Washburn, WI</v>
      </c>
      <c r="L3165" s="23">
        <v>43.0</v>
      </c>
      <c r="M3165" s="23" t="s">
        <v>63</v>
      </c>
      <c r="N3165" s="23">
        <v>15.0</v>
      </c>
      <c r="O3165" s="15" t="s">
        <v>2695</v>
      </c>
      <c r="P3165" s="23" t="s">
        <v>63</v>
      </c>
      <c r="Q3165" s="23" t="s">
        <v>63</v>
      </c>
      <c r="R3165" s="23" t="s">
        <v>63</v>
      </c>
      <c r="S3165" s="23" t="s">
        <v>63</v>
      </c>
      <c r="T3165" s="32" t="s">
        <v>63</v>
      </c>
      <c r="U3165" s="23" t="s">
        <v>63</v>
      </c>
      <c r="V3165" s="23" t="s">
        <v>63</v>
      </c>
      <c r="W3165" s="23" t="s">
        <v>63</v>
      </c>
      <c r="X3165" s="23" t="s">
        <v>63</v>
      </c>
      <c r="Y3165" s="35">
        <v>30.0</v>
      </c>
      <c r="Z3165" s="32" t="s">
        <v>63</v>
      </c>
      <c r="AA3165" s="38"/>
      <c r="AB3165" s="38"/>
      <c r="AC3165" s="38"/>
      <c r="AD3165" s="38"/>
      <c r="AE3165" s="38"/>
      <c r="AF3165" s="38"/>
      <c r="AG3165" s="38"/>
      <c r="AH3165" s="38"/>
      <c r="AI3165" s="38"/>
      <c r="AJ3165" s="38"/>
      <c r="AK3165" s="38"/>
    </row>
    <row r="3166">
      <c r="A3166" s="99">
        <v>3165.0</v>
      </c>
      <c r="B3166" s="15"/>
      <c r="C3166" s="15"/>
      <c r="D3166" s="105">
        <v>1.0</v>
      </c>
      <c r="E3166" s="102">
        <v>55.0</v>
      </c>
      <c r="F3166" s="107">
        <v>131.0</v>
      </c>
      <c r="G3166" s="15" t="str">
        <f t="shared" si="1"/>
        <v>55131</v>
      </c>
      <c r="H3166" s="23" t="s">
        <v>119</v>
      </c>
      <c r="I3166" s="23" t="s">
        <v>122</v>
      </c>
      <c r="J3166" s="23" t="s">
        <v>438</v>
      </c>
      <c r="K3166" s="23" t="str">
        <f t="shared" si="50"/>
        <v>Washington, WI</v>
      </c>
      <c r="L3166" s="23">
        <v>9.0</v>
      </c>
      <c r="M3166" s="23" t="s">
        <v>63</v>
      </c>
      <c r="N3166" s="23">
        <v>2.0</v>
      </c>
      <c r="O3166" s="15" t="s">
        <v>2714</v>
      </c>
      <c r="P3166" s="23" t="s">
        <v>63</v>
      </c>
      <c r="Q3166" s="23" t="s">
        <v>63</v>
      </c>
      <c r="R3166" s="23" t="s">
        <v>63</v>
      </c>
      <c r="S3166" s="23" t="s">
        <v>63</v>
      </c>
      <c r="T3166" s="32" t="s">
        <v>63</v>
      </c>
      <c r="U3166" s="23" t="s">
        <v>63</v>
      </c>
      <c r="V3166" s="23" t="s">
        <v>63</v>
      </c>
      <c r="W3166" s="23" t="s">
        <v>63</v>
      </c>
      <c r="X3166" s="23" t="s">
        <v>63</v>
      </c>
      <c r="Y3166" s="35">
        <v>89.0</v>
      </c>
      <c r="Z3166" s="32" t="s">
        <v>63</v>
      </c>
      <c r="AA3166" s="38"/>
      <c r="AB3166" s="38"/>
      <c r="AC3166" s="38"/>
      <c r="AD3166" s="38"/>
      <c r="AE3166" s="38"/>
      <c r="AF3166" s="38"/>
      <c r="AG3166" s="38"/>
      <c r="AH3166" s="38"/>
      <c r="AI3166" s="38"/>
      <c r="AJ3166" s="38"/>
      <c r="AK3166" s="38"/>
    </row>
    <row r="3167">
      <c r="A3167" s="99">
        <v>3166.0</v>
      </c>
      <c r="B3167" s="15"/>
      <c r="C3167" s="15"/>
      <c r="D3167" s="105">
        <v>1.0</v>
      </c>
      <c r="E3167" s="102">
        <v>55.0</v>
      </c>
      <c r="F3167" s="107">
        <v>133.0</v>
      </c>
      <c r="G3167" s="15" t="str">
        <f t="shared" si="1"/>
        <v>55133</v>
      </c>
      <c r="H3167" s="23" t="s">
        <v>2376</v>
      </c>
      <c r="I3167" s="23" t="s">
        <v>122</v>
      </c>
      <c r="J3167" s="23" t="s">
        <v>438</v>
      </c>
      <c r="K3167" s="23" t="str">
        <f t="shared" si="50"/>
        <v>Waukesha, WI</v>
      </c>
      <c r="L3167" s="23">
        <v>63.0</v>
      </c>
      <c r="M3167" s="23" t="s">
        <v>63</v>
      </c>
      <c r="N3167" s="23">
        <v>35.0</v>
      </c>
      <c r="O3167" s="15" t="s">
        <v>2695</v>
      </c>
      <c r="P3167" s="23" t="s">
        <v>63</v>
      </c>
      <c r="Q3167" s="23" t="s">
        <v>63</v>
      </c>
      <c r="R3167" s="23" t="s">
        <v>63</v>
      </c>
      <c r="S3167" s="23" t="s">
        <v>63</v>
      </c>
      <c r="T3167" s="32" t="s">
        <v>63</v>
      </c>
      <c r="U3167" s="23" t="s">
        <v>63</v>
      </c>
      <c r="V3167" s="23" t="s">
        <v>63</v>
      </c>
      <c r="W3167" s="23" t="s">
        <v>63</v>
      </c>
      <c r="X3167" s="23" t="s">
        <v>63</v>
      </c>
      <c r="Y3167" s="35">
        <v>216.0</v>
      </c>
      <c r="Z3167" s="32" t="s">
        <v>63</v>
      </c>
      <c r="AA3167" s="38"/>
      <c r="AB3167" s="38"/>
      <c r="AC3167" s="38"/>
      <c r="AD3167" s="38"/>
      <c r="AE3167" s="38"/>
      <c r="AF3167" s="38"/>
      <c r="AG3167" s="38"/>
      <c r="AH3167" s="38"/>
      <c r="AI3167" s="38"/>
      <c r="AJ3167" s="38"/>
      <c r="AK3167" s="38"/>
    </row>
    <row r="3168">
      <c r="A3168" s="99">
        <v>3167.0</v>
      </c>
      <c r="B3168" s="15"/>
      <c r="C3168" s="15"/>
      <c r="D3168" s="105">
        <v>1.0</v>
      </c>
      <c r="E3168" s="102">
        <v>55.0</v>
      </c>
      <c r="F3168" s="107">
        <v>135.0</v>
      </c>
      <c r="G3168" s="15" t="str">
        <f t="shared" si="1"/>
        <v>55135</v>
      </c>
      <c r="H3168" s="23" t="s">
        <v>2377</v>
      </c>
      <c r="I3168" s="23" t="s">
        <v>122</v>
      </c>
      <c r="J3168" s="23" t="s">
        <v>438</v>
      </c>
      <c r="K3168" s="23" t="str">
        <f t="shared" si="50"/>
        <v>Waupaca, WI</v>
      </c>
      <c r="L3168" s="23">
        <v>61.0</v>
      </c>
      <c r="M3168" s="23" t="s">
        <v>63</v>
      </c>
      <c r="N3168" s="23">
        <v>32.0</v>
      </c>
      <c r="O3168" s="15" t="s">
        <v>2697</v>
      </c>
      <c r="P3168" s="23" t="s">
        <v>63</v>
      </c>
      <c r="Q3168" s="23" t="s">
        <v>63</v>
      </c>
      <c r="R3168" s="23" t="s">
        <v>63</v>
      </c>
      <c r="S3168" s="23" t="s">
        <v>63</v>
      </c>
      <c r="T3168" s="32" t="s">
        <v>63</v>
      </c>
      <c r="U3168" s="23" t="s">
        <v>63</v>
      </c>
      <c r="V3168" s="23" t="s">
        <v>63</v>
      </c>
      <c r="W3168" s="23" t="s">
        <v>63</v>
      </c>
      <c r="X3168" s="23" t="s">
        <v>63</v>
      </c>
      <c r="Y3168" s="35">
        <v>76.0</v>
      </c>
      <c r="Z3168" s="32" t="s">
        <v>63</v>
      </c>
      <c r="AA3168" s="38"/>
      <c r="AB3168" s="38"/>
      <c r="AC3168" s="38"/>
      <c r="AD3168" s="38"/>
      <c r="AE3168" s="38"/>
      <c r="AF3168" s="38"/>
      <c r="AG3168" s="38"/>
      <c r="AH3168" s="38"/>
      <c r="AI3168" s="38"/>
      <c r="AJ3168" s="38"/>
      <c r="AK3168" s="38"/>
    </row>
    <row r="3169">
      <c r="A3169" s="99">
        <v>3168.0</v>
      </c>
      <c r="B3169" s="15"/>
      <c r="C3169" s="15"/>
      <c r="D3169" s="105">
        <v>1.0</v>
      </c>
      <c r="E3169" s="102">
        <v>55.0</v>
      </c>
      <c r="F3169" s="107">
        <v>137.0</v>
      </c>
      <c r="G3169" s="15" t="str">
        <f t="shared" si="1"/>
        <v>55137</v>
      </c>
      <c r="H3169" s="23" t="s">
        <v>2378</v>
      </c>
      <c r="I3169" s="23" t="s">
        <v>122</v>
      </c>
      <c r="J3169" s="23" t="s">
        <v>438</v>
      </c>
      <c r="K3169" s="23" t="str">
        <f t="shared" si="50"/>
        <v>Waushara, WI</v>
      </c>
      <c r="L3169" s="23">
        <v>33.0</v>
      </c>
      <c r="M3169" s="23" t="s">
        <v>63</v>
      </c>
      <c r="N3169" s="23">
        <v>13.0</v>
      </c>
      <c r="O3169" s="15" t="s">
        <v>2711</v>
      </c>
      <c r="P3169" s="23" t="s">
        <v>63</v>
      </c>
      <c r="Q3169" s="23" t="s">
        <v>63</v>
      </c>
      <c r="R3169" s="23" t="s">
        <v>63</v>
      </c>
      <c r="S3169" s="23" t="s">
        <v>63</v>
      </c>
      <c r="T3169" s="32" t="s">
        <v>63</v>
      </c>
      <c r="U3169" s="23" t="s">
        <v>63</v>
      </c>
      <c r="V3169" s="23" t="s">
        <v>63</v>
      </c>
      <c r="W3169" s="23" t="s">
        <v>63</v>
      </c>
      <c r="X3169" s="23" t="s">
        <v>63</v>
      </c>
      <c r="Y3169" s="35">
        <v>39.0</v>
      </c>
      <c r="Z3169" s="32" t="s">
        <v>63</v>
      </c>
      <c r="AA3169" s="38"/>
      <c r="AB3169" s="38"/>
      <c r="AC3169" s="38"/>
      <c r="AD3169" s="38"/>
      <c r="AE3169" s="38"/>
      <c r="AF3169" s="38"/>
      <c r="AG3169" s="38"/>
      <c r="AH3169" s="38"/>
      <c r="AI3169" s="38"/>
      <c r="AJ3169" s="38"/>
      <c r="AK3169" s="38"/>
    </row>
    <row r="3170">
      <c r="A3170" s="99">
        <v>3169.0</v>
      </c>
      <c r="B3170" s="15"/>
      <c r="C3170" s="15"/>
      <c r="D3170" s="105">
        <v>1.0</v>
      </c>
      <c r="E3170" s="102">
        <v>55.0</v>
      </c>
      <c r="F3170" s="107">
        <v>139.0</v>
      </c>
      <c r="G3170" s="15" t="str">
        <f t="shared" si="1"/>
        <v>55139</v>
      </c>
      <c r="H3170" s="23" t="s">
        <v>753</v>
      </c>
      <c r="I3170" s="23" t="s">
        <v>122</v>
      </c>
      <c r="J3170" s="23" t="s">
        <v>438</v>
      </c>
      <c r="K3170" s="23" t="str">
        <f t="shared" si="50"/>
        <v>Winnebago, WI</v>
      </c>
      <c r="L3170" s="23">
        <v>34.0</v>
      </c>
      <c r="M3170" s="23" t="s">
        <v>63</v>
      </c>
      <c r="N3170" s="23">
        <v>17.0</v>
      </c>
      <c r="O3170" s="15" t="s">
        <v>2489</v>
      </c>
      <c r="P3170" s="23" t="s">
        <v>63</v>
      </c>
      <c r="Q3170" s="23" t="s">
        <v>63</v>
      </c>
      <c r="R3170" s="23" t="s">
        <v>63</v>
      </c>
      <c r="S3170" s="23" t="s">
        <v>63</v>
      </c>
      <c r="T3170" s="32" t="s">
        <v>63</v>
      </c>
      <c r="U3170" s="23" t="s">
        <v>63</v>
      </c>
      <c r="V3170" s="23" t="s">
        <v>63</v>
      </c>
      <c r="W3170" s="23" t="s">
        <v>63</v>
      </c>
      <c r="X3170" s="23" t="s">
        <v>63</v>
      </c>
      <c r="Y3170" s="35">
        <v>108.0</v>
      </c>
      <c r="Z3170" s="32" t="s">
        <v>63</v>
      </c>
      <c r="AA3170" s="38"/>
      <c r="AB3170" s="38"/>
      <c r="AC3170" s="38"/>
      <c r="AD3170" s="38"/>
      <c r="AE3170" s="38"/>
      <c r="AF3170" s="38"/>
      <c r="AG3170" s="38"/>
      <c r="AH3170" s="38"/>
      <c r="AI3170" s="38"/>
      <c r="AJ3170" s="38"/>
      <c r="AK3170" s="38"/>
    </row>
    <row r="3171">
      <c r="A3171" s="99">
        <v>3170.0</v>
      </c>
      <c r="B3171" s="15"/>
      <c r="C3171" s="15"/>
      <c r="D3171" s="105">
        <v>1.0</v>
      </c>
      <c r="E3171" s="102">
        <v>55.0</v>
      </c>
      <c r="F3171" s="107">
        <v>141.0</v>
      </c>
      <c r="G3171" s="15" t="str">
        <f t="shared" si="1"/>
        <v>55141</v>
      </c>
      <c r="H3171" s="23" t="s">
        <v>1703</v>
      </c>
      <c r="I3171" s="23" t="s">
        <v>122</v>
      </c>
      <c r="J3171" s="23" t="s">
        <v>438</v>
      </c>
      <c r="K3171" s="23" t="str">
        <f t="shared" si="50"/>
        <v>Wood, WI</v>
      </c>
      <c r="L3171" s="23">
        <v>59.0</v>
      </c>
      <c r="M3171" s="23" t="s">
        <v>63</v>
      </c>
      <c r="N3171" s="23">
        <v>34.0</v>
      </c>
      <c r="O3171" s="15" t="s">
        <v>2689</v>
      </c>
      <c r="P3171" s="23" t="s">
        <v>63</v>
      </c>
      <c r="Q3171" s="23" t="s">
        <v>63</v>
      </c>
      <c r="R3171" s="23" t="s">
        <v>63</v>
      </c>
      <c r="S3171" s="23" t="s">
        <v>63</v>
      </c>
      <c r="T3171" s="32" t="s">
        <v>63</v>
      </c>
      <c r="U3171" s="23" t="s">
        <v>63</v>
      </c>
      <c r="V3171" s="23" t="s">
        <v>63</v>
      </c>
      <c r="W3171" s="23" t="s">
        <v>63</v>
      </c>
      <c r="X3171" s="23" t="s">
        <v>63</v>
      </c>
      <c r="Y3171" s="35" t="s">
        <v>63</v>
      </c>
      <c r="Z3171" s="32" t="s">
        <v>63</v>
      </c>
      <c r="AA3171" s="38"/>
      <c r="AB3171" s="38"/>
      <c r="AC3171" s="38"/>
      <c r="AD3171" s="38"/>
      <c r="AE3171" s="38"/>
      <c r="AF3171" s="38"/>
      <c r="AG3171" s="38"/>
      <c r="AH3171" s="38"/>
      <c r="AI3171" s="38"/>
      <c r="AJ3171" s="38"/>
      <c r="AK3171" s="38"/>
    </row>
    <row r="3172">
      <c r="A3172" s="28">
        <v>3171.0</v>
      </c>
      <c r="B3172" s="29"/>
      <c r="C3172" s="29" t="s">
        <v>25</v>
      </c>
      <c r="D3172" s="30"/>
      <c r="E3172" s="31">
        <v>56.0</v>
      </c>
      <c r="F3172" s="42">
        <v>0.0</v>
      </c>
      <c r="G3172" s="29" t="str">
        <f t="shared" si="1"/>
        <v>56000</v>
      </c>
      <c r="H3172" s="37"/>
      <c r="I3172" s="37" t="s">
        <v>123</v>
      </c>
      <c r="J3172" s="37" t="s">
        <v>2379</v>
      </c>
      <c r="K3172" s="37"/>
      <c r="L3172" s="37">
        <f t="array" ref="L3172:Z3172">Wyoming!C27:Q27</f>
        <v>754</v>
      </c>
      <c r="M3172" s="37" t="s">
        <v>63</v>
      </c>
      <c r="N3172" s="37" t="s">
        <v>63</v>
      </c>
      <c r="O3172" s="37">
        <v>230.0</v>
      </c>
      <c r="P3172" s="37" t="s">
        <v>63</v>
      </c>
      <c r="Q3172" s="37">
        <v>546.0</v>
      </c>
      <c r="R3172" s="37">
        <v>91.0</v>
      </c>
      <c r="S3172" s="37" t="s">
        <v>63</v>
      </c>
      <c r="T3172" s="69" t="s">
        <v>63</v>
      </c>
      <c r="U3172" s="53">
        <v>1172.0</v>
      </c>
      <c r="V3172" s="37" t="s">
        <v>63</v>
      </c>
      <c r="W3172" s="37" t="s">
        <v>63</v>
      </c>
      <c r="X3172" s="37" t="s">
        <v>63</v>
      </c>
      <c r="Y3172" s="70">
        <v>666.0</v>
      </c>
      <c r="Z3172" s="69" t="s">
        <v>63</v>
      </c>
      <c r="AA3172" s="73"/>
      <c r="AB3172" s="73"/>
      <c r="AC3172" s="73"/>
      <c r="AD3172" s="73"/>
      <c r="AE3172" s="73"/>
      <c r="AF3172" s="73"/>
      <c r="AG3172" s="73"/>
      <c r="AH3172" s="73"/>
      <c r="AI3172" s="73"/>
      <c r="AJ3172" s="73"/>
      <c r="AK3172" s="73"/>
    </row>
    <row r="3173">
      <c r="A3173" s="28">
        <v>3172.0</v>
      </c>
      <c r="B3173" s="29"/>
      <c r="C3173" s="29"/>
      <c r="D3173" s="40">
        <v>1.0</v>
      </c>
      <c r="E3173" s="31">
        <v>56.0</v>
      </c>
      <c r="F3173" s="42">
        <v>1.0</v>
      </c>
      <c r="G3173" s="29" t="str">
        <f t="shared" si="1"/>
        <v>56001</v>
      </c>
      <c r="H3173" s="37" t="s">
        <v>1554</v>
      </c>
      <c r="I3173" s="37" t="s">
        <v>123</v>
      </c>
      <c r="J3173" s="37" t="s">
        <v>2379</v>
      </c>
      <c r="K3173" s="37" t="str">
        <f t="shared" ref="K3173:K3195" si="51">CONCATENATE(H3173,", ",J3173)</f>
        <v>Albany, WY</v>
      </c>
      <c r="L3173" s="37">
        <f t="array" ref="L3173:Z3195">Wyoming!C3:Q25</f>
        <v>23</v>
      </c>
      <c r="M3173" s="37" t="s">
        <v>63</v>
      </c>
      <c r="N3173" s="37" t="s">
        <v>63</v>
      </c>
      <c r="O3173" s="37" t="s">
        <v>63</v>
      </c>
      <c r="P3173" s="37" t="s">
        <v>63</v>
      </c>
      <c r="Q3173" s="37">
        <v>13.0</v>
      </c>
      <c r="R3173" s="37" t="s">
        <v>63</v>
      </c>
      <c r="S3173" s="37" t="s">
        <v>63</v>
      </c>
      <c r="T3173" s="69" t="s">
        <v>63</v>
      </c>
      <c r="U3173" s="37">
        <v>40.0</v>
      </c>
      <c r="V3173" s="37" t="s">
        <v>63</v>
      </c>
      <c r="W3173" s="37" t="s">
        <v>63</v>
      </c>
      <c r="X3173" s="37" t="s">
        <v>63</v>
      </c>
      <c r="Y3173" s="53">
        <v>29.0</v>
      </c>
      <c r="Z3173" s="69" t="s">
        <v>63</v>
      </c>
      <c r="AA3173" s="73"/>
      <c r="AB3173" s="73"/>
      <c r="AC3173" s="73"/>
      <c r="AD3173" s="73"/>
      <c r="AE3173" s="73"/>
      <c r="AF3173" s="73"/>
      <c r="AG3173" s="73"/>
      <c r="AH3173" s="73"/>
      <c r="AI3173" s="73"/>
      <c r="AJ3173" s="73"/>
      <c r="AK3173" s="73"/>
    </row>
    <row r="3174">
      <c r="A3174" s="28">
        <v>3173.0</v>
      </c>
      <c r="B3174" s="29"/>
      <c r="C3174" s="29"/>
      <c r="D3174" s="40">
        <v>1.0</v>
      </c>
      <c r="E3174" s="31">
        <v>56.0</v>
      </c>
      <c r="F3174" s="42">
        <v>3.0</v>
      </c>
      <c r="G3174" s="29" t="str">
        <f t="shared" si="1"/>
        <v>56003</v>
      </c>
      <c r="H3174" s="37" t="s">
        <v>1432</v>
      </c>
      <c r="I3174" s="37" t="s">
        <v>123</v>
      </c>
      <c r="J3174" s="37" t="s">
        <v>2379</v>
      </c>
      <c r="K3174" s="37" t="str">
        <f t="shared" si="51"/>
        <v>Big Horn, WY</v>
      </c>
      <c r="L3174" s="37">
        <v>15.0</v>
      </c>
      <c r="M3174" s="37" t="s">
        <v>63</v>
      </c>
      <c r="N3174" s="37" t="s">
        <v>63</v>
      </c>
      <c r="O3174" s="37">
        <v>11.0</v>
      </c>
      <c r="P3174" s="37" t="s">
        <v>63</v>
      </c>
      <c r="Q3174" s="37">
        <v>10.0</v>
      </c>
      <c r="R3174" s="37" t="s">
        <v>63</v>
      </c>
      <c r="S3174" s="37" t="s">
        <v>63</v>
      </c>
      <c r="T3174" s="69" t="s">
        <v>63</v>
      </c>
      <c r="U3174" s="37">
        <v>16.0</v>
      </c>
      <c r="V3174" s="37" t="s">
        <v>63</v>
      </c>
      <c r="W3174" s="37" t="s">
        <v>63</v>
      </c>
      <c r="X3174" s="37" t="s">
        <v>63</v>
      </c>
      <c r="Y3174" s="53">
        <v>21.0</v>
      </c>
      <c r="Z3174" s="69" t="s">
        <v>63</v>
      </c>
      <c r="AA3174" s="73"/>
      <c r="AB3174" s="73"/>
      <c r="AC3174" s="73"/>
      <c r="AD3174" s="73"/>
      <c r="AE3174" s="73"/>
      <c r="AF3174" s="73"/>
      <c r="AG3174" s="73"/>
      <c r="AH3174" s="73"/>
      <c r="AI3174" s="73"/>
      <c r="AJ3174" s="73"/>
      <c r="AK3174" s="73"/>
    </row>
    <row r="3175">
      <c r="A3175" s="28">
        <v>3174.0</v>
      </c>
      <c r="B3175" s="29"/>
      <c r="C3175" s="29"/>
      <c r="D3175" s="40">
        <v>1.0</v>
      </c>
      <c r="E3175" s="31">
        <v>56.0</v>
      </c>
      <c r="F3175" s="42">
        <v>5.0</v>
      </c>
      <c r="G3175" s="29" t="str">
        <f t="shared" si="1"/>
        <v>56005</v>
      </c>
      <c r="H3175" s="37" t="s">
        <v>1036</v>
      </c>
      <c r="I3175" s="37" t="s">
        <v>123</v>
      </c>
      <c r="J3175" s="37" t="s">
        <v>2379</v>
      </c>
      <c r="K3175" s="37" t="str">
        <f t="shared" si="51"/>
        <v>Campbell, WY</v>
      </c>
      <c r="L3175" s="37">
        <v>61.0</v>
      </c>
      <c r="M3175" s="37" t="s">
        <v>63</v>
      </c>
      <c r="N3175" s="37" t="s">
        <v>63</v>
      </c>
      <c r="O3175" s="37">
        <v>16.0</v>
      </c>
      <c r="P3175" s="37" t="s">
        <v>63</v>
      </c>
      <c r="Q3175" s="37">
        <v>38.0</v>
      </c>
      <c r="R3175" s="37">
        <v>16.0</v>
      </c>
      <c r="S3175" s="37" t="s">
        <v>63</v>
      </c>
      <c r="T3175" s="69" t="s">
        <v>63</v>
      </c>
      <c r="U3175" s="37">
        <v>143.0</v>
      </c>
      <c r="V3175" s="37" t="s">
        <v>63</v>
      </c>
      <c r="W3175" s="37" t="s">
        <v>63</v>
      </c>
      <c r="X3175" s="37" t="s">
        <v>63</v>
      </c>
      <c r="Y3175" s="53">
        <v>35.0</v>
      </c>
      <c r="Z3175" s="69" t="s">
        <v>63</v>
      </c>
      <c r="AA3175" s="73"/>
      <c r="AB3175" s="73"/>
      <c r="AC3175" s="73"/>
      <c r="AD3175" s="73"/>
      <c r="AE3175" s="73"/>
      <c r="AF3175" s="73"/>
      <c r="AG3175" s="73"/>
      <c r="AH3175" s="73"/>
      <c r="AI3175" s="73"/>
      <c r="AJ3175" s="73"/>
      <c r="AK3175" s="73"/>
    </row>
    <row r="3176">
      <c r="A3176" s="28">
        <v>3175.0</v>
      </c>
      <c r="B3176" s="29"/>
      <c r="C3176" s="29"/>
      <c r="D3176" s="40">
        <v>1.0</v>
      </c>
      <c r="E3176" s="31">
        <v>56.0</v>
      </c>
      <c r="F3176" s="42">
        <v>7.0</v>
      </c>
      <c r="G3176" s="29" t="str">
        <f t="shared" si="1"/>
        <v>56007</v>
      </c>
      <c r="H3176" s="37" t="s">
        <v>1434</v>
      </c>
      <c r="I3176" s="37" t="s">
        <v>123</v>
      </c>
      <c r="J3176" s="37" t="s">
        <v>2379</v>
      </c>
      <c r="K3176" s="37" t="str">
        <f t="shared" si="51"/>
        <v>Carbon, WY</v>
      </c>
      <c r="L3176" s="37">
        <v>41.0</v>
      </c>
      <c r="M3176" s="37" t="s">
        <v>63</v>
      </c>
      <c r="N3176" s="37" t="s">
        <v>63</v>
      </c>
      <c r="O3176" s="37">
        <v>14.0</v>
      </c>
      <c r="P3176" s="37" t="s">
        <v>63</v>
      </c>
      <c r="Q3176" s="37">
        <v>11.0</v>
      </c>
      <c r="R3176" s="37">
        <v>6.0</v>
      </c>
      <c r="S3176" s="37" t="s">
        <v>63</v>
      </c>
      <c r="T3176" s="69" t="s">
        <v>63</v>
      </c>
      <c r="U3176" s="37">
        <v>23.0</v>
      </c>
      <c r="V3176" s="37" t="s">
        <v>63</v>
      </c>
      <c r="W3176" s="37" t="s">
        <v>63</v>
      </c>
      <c r="X3176" s="37" t="s">
        <v>63</v>
      </c>
      <c r="Y3176" s="53">
        <v>27.0</v>
      </c>
      <c r="Z3176" s="69" t="s">
        <v>63</v>
      </c>
      <c r="AA3176" s="73"/>
      <c r="AB3176" s="73"/>
      <c r="AC3176" s="73"/>
      <c r="AD3176" s="73"/>
      <c r="AE3176" s="73"/>
      <c r="AF3176" s="73"/>
      <c r="AG3176" s="73"/>
      <c r="AH3176" s="73"/>
      <c r="AI3176" s="73"/>
      <c r="AJ3176" s="73"/>
      <c r="AK3176" s="73"/>
    </row>
    <row r="3177">
      <c r="A3177" s="28">
        <v>3176.0</v>
      </c>
      <c r="B3177" s="29"/>
      <c r="C3177" s="29"/>
      <c r="D3177" s="40">
        <v>1.0</v>
      </c>
      <c r="E3177" s="31">
        <v>56.0</v>
      </c>
      <c r="F3177" s="42">
        <v>9.0</v>
      </c>
      <c r="G3177" s="29" t="str">
        <f t="shared" si="1"/>
        <v>56009</v>
      </c>
      <c r="H3177" s="37" t="s">
        <v>2380</v>
      </c>
      <c r="I3177" s="37" t="s">
        <v>123</v>
      </c>
      <c r="J3177" s="37" t="s">
        <v>2379</v>
      </c>
      <c r="K3177" s="37" t="str">
        <f t="shared" si="51"/>
        <v>Converse, WY</v>
      </c>
      <c r="L3177" s="37">
        <v>19.0</v>
      </c>
      <c r="M3177" s="37" t="s">
        <v>63</v>
      </c>
      <c r="N3177" s="37" t="s">
        <v>63</v>
      </c>
      <c r="O3177" s="37" t="s">
        <v>63</v>
      </c>
      <c r="P3177" s="37" t="s">
        <v>63</v>
      </c>
      <c r="Q3177" s="37">
        <v>11.0</v>
      </c>
      <c r="R3177" s="37" t="s">
        <v>63</v>
      </c>
      <c r="S3177" s="37" t="s">
        <v>63</v>
      </c>
      <c r="T3177" s="69" t="s">
        <v>63</v>
      </c>
      <c r="U3177" s="37">
        <v>31.0</v>
      </c>
      <c r="V3177" s="37" t="s">
        <v>63</v>
      </c>
      <c r="W3177" s="37" t="s">
        <v>63</v>
      </c>
      <c r="X3177" s="37" t="s">
        <v>63</v>
      </c>
      <c r="Y3177" s="53">
        <v>20.0</v>
      </c>
      <c r="Z3177" s="69" t="s">
        <v>63</v>
      </c>
      <c r="AA3177" s="73"/>
      <c r="AB3177" s="73"/>
      <c r="AC3177" s="73"/>
      <c r="AD3177" s="73"/>
      <c r="AE3177" s="73"/>
      <c r="AF3177" s="73"/>
      <c r="AG3177" s="73"/>
      <c r="AH3177" s="73"/>
      <c r="AI3177" s="73"/>
      <c r="AJ3177" s="73"/>
      <c r="AK3177" s="73"/>
    </row>
    <row r="3178">
      <c r="A3178" s="28">
        <v>3177.0</v>
      </c>
      <c r="B3178" s="29"/>
      <c r="C3178" s="29"/>
      <c r="D3178" s="40">
        <v>1.0</v>
      </c>
      <c r="E3178" s="31">
        <v>56.0</v>
      </c>
      <c r="F3178" s="42">
        <v>11.0</v>
      </c>
      <c r="G3178" s="29" t="str">
        <f t="shared" si="1"/>
        <v>56011</v>
      </c>
      <c r="H3178" s="37" t="s">
        <v>1770</v>
      </c>
      <c r="I3178" s="37" t="s">
        <v>123</v>
      </c>
      <c r="J3178" s="37" t="s">
        <v>2379</v>
      </c>
      <c r="K3178" s="37" t="str">
        <f t="shared" si="51"/>
        <v>Crook, WY</v>
      </c>
      <c r="L3178" s="37">
        <v>7.0</v>
      </c>
      <c r="M3178" s="37" t="s">
        <v>63</v>
      </c>
      <c r="N3178" s="37" t="s">
        <v>63</v>
      </c>
      <c r="O3178" s="37" t="s">
        <v>63</v>
      </c>
      <c r="P3178" s="37" t="s">
        <v>63</v>
      </c>
      <c r="Q3178" s="37">
        <v>4.0</v>
      </c>
      <c r="R3178" s="37" t="s">
        <v>63</v>
      </c>
      <c r="S3178" s="37" t="s">
        <v>63</v>
      </c>
      <c r="T3178" s="69" t="s">
        <v>63</v>
      </c>
      <c r="U3178" s="37">
        <v>20.0</v>
      </c>
      <c r="V3178" s="37" t="s">
        <v>63</v>
      </c>
      <c r="W3178" s="37" t="s">
        <v>63</v>
      </c>
      <c r="X3178" s="37" t="s">
        <v>63</v>
      </c>
      <c r="Y3178" s="53">
        <v>16.0</v>
      </c>
      <c r="Z3178" s="69" t="s">
        <v>63</v>
      </c>
      <c r="AA3178" s="73"/>
      <c r="AB3178" s="73"/>
      <c r="AC3178" s="73"/>
      <c r="AD3178" s="73"/>
      <c r="AE3178" s="73"/>
      <c r="AF3178" s="73"/>
      <c r="AG3178" s="73"/>
      <c r="AH3178" s="73"/>
      <c r="AI3178" s="73"/>
      <c r="AJ3178" s="73"/>
      <c r="AK3178" s="73"/>
    </row>
    <row r="3179">
      <c r="A3179" s="28">
        <v>3178.0</v>
      </c>
      <c r="B3179" s="29"/>
      <c r="C3179" s="29"/>
      <c r="D3179" s="40">
        <v>1.0</v>
      </c>
      <c r="E3179" s="31">
        <v>56.0</v>
      </c>
      <c r="F3179" s="42">
        <v>13.0</v>
      </c>
      <c r="G3179" s="29" t="str">
        <f t="shared" si="1"/>
        <v>56013</v>
      </c>
      <c r="H3179" s="37" t="s">
        <v>416</v>
      </c>
      <c r="I3179" s="37" t="s">
        <v>123</v>
      </c>
      <c r="J3179" s="37" t="s">
        <v>2379</v>
      </c>
      <c r="K3179" s="37" t="str">
        <f t="shared" si="51"/>
        <v>Fremont, WY</v>
      </c>
      <c r="L3179" s="37">
        <v>38.0</v>
      </c>
      <c r="M3179" s="37" t="s">
        <v>63</v>
      </c>
      <c r="N3179" s="37" t="s">
        <v>63</v>
      </c>
      <c r="O3179" s="37">
        <v>18.0</v>
      </c>
      <c r="P3179" s="37" t="s">
        <v>63</v>
      </c>
      <c r="Q3179" s="37">
        <v>25.0</v>
      </c>
      <c r="R3179" s="37">
        <v>5.0</v>
      </c>
      <c r="S3179" s="37" t="s">
        <v>63</v>
      </c>
      <c r="T3179" s="69" t="s">
        <v>63</v>
      </c>
      <c r="U3179" s="37">
        <v>72.0</v>
      </c>
      <c r="V3179" s="37" t="s">
        <v>63</v>
      </c>
      <c r="W3179" s="37" t="s">
        <v>63</v>
      </c>
      <c r="X3179" s="37" t="s">
        <v>63</v>
      </c>
      <c r="Y3179" s="53">
        <v>49.0</v>
      </c>
      <c r="Z3179" s="69" t="s">
        <v>63</v>
      </c>
      <c r="AA3179" s="73"/>
      <c r="AB3179" s="73"/>
      <c r="AC3179" s="73"/>
      <c r="AD3179" s="73"/>
      <c r="AE3179" s="73"/>
      <c r="AF3179" s="73"/>
      <c r="AG3179" s="73"/>
      <c r="AH3179" s="73"/>
      <c r="AI3179" s="73"/>
      <c r="AJ3179" s="73"/>
      <c r="AK3179" s="73"/>
    </row>
    <row r="3180">
      <c r="A3180" s="28">
        <v>3179.0</v>
      </c>
      <c r="B3180" s="29"/>
      <c r="C3180" s="29"/>
      <c r="D3180" s="40">
        <v>1.0</v>
      </c>
      <c r="E3180" s="31">
        <v>56.0</v>
      </c>
      <c r="F3180" s="42">
        <v>15.0</v>
      </c>
      <c r="G3180" s="29" t="str">
        <f t="shared" si="1"/>
        <v>56015</v>
      </c>
      <c r="H3180" s="37" t="s">
        <v>2381</v>
      </c>
      <c r="I3180" s="37" t="s">
        <v>123</v>
      </c>
      <c r="J3180" s="37" t="s">
        <v>2379</v>
      </c>
      <c r="K3180" s="37" t="str">
        <f t="shared" si="51"/>
        <v>Goshen, WY</v>
      </c>
      <c r="L3180" s="37">
        <v>25.0</v>
      </c>
      <c r="M3180" s="37" t="s">
        <v>63</v>
      </c>
      <c r="N3180" s="37" t="s">
        <v>63</v>
      </c>
      <c r="O3180" s="37" t="s">
        <v>63</v>
      </c>
      <c r="P3180" s="37" t="s">
        <v>63</v>
      </c>
      <c r="Q3180" s="37">
        <v>18.0</v>
      </c>
      <c r="R3180" s="37" t="s">
        <v>63</v>
      </c>
      <c r="S3180" s="37" t="s">
        <v>63</v>
      </c>
      <c r="T3180" s="69" t="s">
        <v>63</v>
      </c>
      <c r="U3180" s="37">
        <v>29.0</v>
      </c>
      <c r="V3180" s="37" t="s">
        <v>63</v>
      </c>
      <c r="W3180" s="37" t="s">
        <v>63</v>
      </c>
      <c r="X3180" s="37" t="s">
        <v>63</v>
      </c>
      <c r="Y3180" s="53">
        <v>17.0</v>
      </c>
      <c r="Z3180" s="69" t="s">
        <v>63</v>
      </c>
      <c r="AA3180" s="73"/>
      <c r="AB3180" s="73"/>
      <c r="AC3180" s="73"/>
      <c r="AD3180" s="73"/>
      <c r="AE3180" s="73"/>
      <c r="AF3180" s="73"/>
      <c r="AG3180" s="73"/>
      <c r="AH3180" s="73"/>
      <c r="AI3180" s="73"/>
      <c r="AJ3180" s="73"/>
      <c r="AK3180" s="73"/>
    </row>
    <row r="3181">
      <c r="A3181" s="28">
        <v>3180.0</v>
      </c>
      <c r="B3181" s="29"/>
      <c r="C3181" s="29"/>
      <c r="D3181" s="40">
        <v>1.0</v>
      </c>
      <c r="E3181" s="31">
        <v>56.0</v>
      </c>
      <c r="F3181" s="42">
        <v>17.0</v>
      </c>
      <c r="G3181" s="29" t="str">
        <f t="shared" si="1"/>
        <v>56017</v>
      </c>
      <c r="H3181" s="37" t="s">
        <v>2382</v>
      </c>
      <c r="I3181" s="37" t="s">
        <v>123</v>
      </c>
      <c r="J3181" s="37" t="s">
        <v>2379</v>
      </c>
      <c r="K3181" s="136" t="str">
        <f t="shared" si="51"/>
        <v>Hot Springs, WY</v>
      </c>
      <c r="L3181" s="37">
        <v>6.0</v>
      </c>
      <c r="M3181" s="37" t="s">
        <v>63</v>
      </c>
      <c r="N3181" s="37" t="s">
        <v>63</v>
      </c>
      <c r="O3181" s="37" t="s">
        <v>63</v>
      </c>
      <c r="P3181" s="37" t="s">
        <v>63</v>
      </c>
      <c r="Q3181" s="37">
        <v>6.0</v>
      </c>
      <c r="R3181" s="37" t="s">
        <v>63</v>
      </c>
      <c r="S3181" s="37" t="s">
        <v>63</v>
      </c>
      <c r="T3181" s="69" t="s">
        <v>63</v>
      </c>
      <c r="U3181" s="37">
        <v>27.0</v>
      </c>
      <c r="V3181" s="37" t="s">
        <v>63</v>
      </c>
      <c r="W3181" s="37" t="s">
        <v>63</v>
      </c>
      <c r="X3181" s="37" t="s">
        <v>63</v>
      </c>
      <c r="Y3181" s="53">
        <v>9.0</v>
      </c>
      <c r="Z3181" s="69" t="s">
        <v>63</v>
      </c>
      <c r="AA3181" s="73"/>
      <c r="AB3181" s="73"/>
      <c r="AC3181" s="73"/>
      <c r="AD3181" s="73"/>
      <c r="AE3181" s="73"/>
      <c r="AF3181" s="73"/>
      <c r="AG3181" s="73"/>
      <c r="AH3181" s="73"/>
      <c r="AI3181" s="73"/>
      <c r="AJ3181" s="73"/>
      <c r="AK3181" s="73"/>
    </row>
    <row r="3182">
      <c r="A3182" s="28">
        <v>3181.0</v>
      </c>
      <c r="B3182" s="29"/>
      <c r="C3182" s="29"/>
      <c r="D3182" s="40">
        <v>1.0</v>
      </c>
      <c r="E3182" s="31">
        <v>56.0</v>
      </c>
      <c r="F3182" s="42">
        <v>19.0</v>
      </c>
      <c r="G3182" s="29" t="str">
        <f t="shared" si="1"/>
        <v>56019</v>
      </c>
      <c r="H3182" s="37" t="s">
        <v>288</v>
      </c>
      <c r="I3182" s="37" t="s">
        <v>123</v>
      </c>
      <c r="J3182" s="37" t="s">
        <v>2379</v>
      </c>
      <c r="K3182" s="37" t="str">
        <f t="shared" si="51"/>
        <v>Johnson, WY</v>
      </c>
      <c r="L3182" s="37">
        <v>10.0</v>
      </c>
      <c r="M3182" s="37" t="s">
        <v>63</v>
      </c>
      <c r="N3182" s="37" t="s">
        <v>63</v>
      </c>
      <c r="O3182" s="37" t="s">
        <v>63</v>
      </c>
      <c r="P3182" s="37" t="s">
        <v>63</v>
      </c>
      <c r="Q3182" s="37">
        <v>8.0</v>
      </c>
      <c r="R3182" s="37" t="s">
        <v>63</v>
      </c>
      <c r="S3182" s="37" t="s">
        <v>63</v>
      </c>
      <c r="T3182" s="69" t="s">
        <v>63</v>
      </c>
      <c r="U3182" s="37">
        <v>19.0</v>
      </c>
      <c r="V3182" s="37" t="s">
        <v>63</v>
      </c>
      <c r="W3182" s="37" t="s">
        <v>63</v>
      </c>
      <c r="X3182" s="37" t="s">
        <v>63</v>
      </c>
      <c r="Y3182" s="53">
        <v>18.0</v>
      </c>
      <c r="Z3182" s="69" t="s">
        <v>63</v>
      </c>
      <c r="AA3182" s="73"/>
      <c r="AB3182" s="73"/>
      <c r="AC3182" s="73"/>
      <c r="AD3182" s="73"/>
      <c r="AE3182" s="73"/>
      <c r="AF3182" s="73"/>
      <c r="AG3182" s="73"/>
      <c r="AH3182" s="73"/>
      <c r="AI3182" s="73"/>
      <c r="AJ3182" s="73"/>
      <c r="AK3182" s="73"/>
    </row>
    <row r="3183">
      <c r="A3183" s="28">
        <v>3182.0</v>
      </c>
      <c r="B3183" s="29"/>
      <c r="C3183" s="29"/>
      <c r="D3183" s="40">
        <v>1.0</v>
      </c>
      <c r="E3183" s="31">
        <v>56.0</v>
      </c>
      <c r="F3183" s="42">
        <v>21.0</v>
      </c>
      <c r="G3183" s="29" t="str">
        <f t="shared" si="1"/>
        <v>56021</v>
      </c>
      <c r="H3183" s="37" t="s">
        <v>2383</v>
      </c>
      <c r="I3183" s="37" t="s">
        <v>123</v>
      </c>
      <c r="J3183" s="37" t="s">
        <v>2379</v>
      </c>
      <c r="K3183" s="37" t="str">
        <f t="shared" si="51"/>
        <v>Laramie, WY</v>
      </c>
      <c r="L3183" s="37">
        <v>141.0</v>
      </c>
      <c r="M3183" s="37" t="s">
        <v>63</v>
      </c>
      <c r="N3183" s="37" t="s">
        <v>63</v>
      </c>
      <c r="O3183" s="37">
        <v>48.0</v>
      </c>
      <c r="P3183" s="37" t="s">
        <v>63</v>
      </c>
      <c r="Q3183" s="37">
        <v>190.0</v>
      </c>
      <c r="R3183" s="37">
        <v>15.0</v>
      </c>
      <c r="S3183" s="37" t="s">
        <v>63</v>
      </c>
      <c r="T3183" s="69" t="s">
        <v>63</v>
      </c>
      <c r="U3183" s="37">
        <v>148.0</v>
      </c>
      <c r="V3183" s="37" t="s">
        <v>63</v>
      </c>
      <c r="W3183" s="37" t="s">
        <v>63</v>
      </c>
      <c r="X3183" s="37" t="s">
        <v>63</v>
      </c>
      <c r="Y3183" s="53">
        <v>92.0</v>
      </c>
      <c r="Z3183" s="69" t="s">
        <v>63</v>
      </c>
      <c r="AA3183" s="73"/>
      <c r="AB3183" s="73"/>
      <c r="AC3183" s="73"/>
      <c r="AD3183" s="73"/>
      <c r="AE3183" s="73"/>
      <c r="AF3183" s="73"/>
      <c r="AG3183" s="73"/>
      <c r="AH3183" s="73"/>
      <c r="AI3183" s="73"/>
      <c r="AJ3183" s="73"/>
      <c r="AK3183" s="73"/>
    </row>
    <row r="3184">
      <c r="A3184" s="28">
        <v>3183.0</v>
      </c>
      <c r="B3184" s="29"/>
      <c r="C3184" s="29"/>
      <c r="D3184" s="40">
        <v>1.0</v>
      </c>
      <c r="E3184" s="31">
        <v>56.0</v>
      </c>
      <c r="F3184" s="42">
        <v>23.0</v>
      </c>
      <c r="G3184" s="29" t="str">
        <f t="shared" si="1"/>
        <v>56023</v>
      </c>
      <c r="H3184" s="37" t="s">
        <v>290</v>
      </c>
      <c r="I3184" s="37" t="s">
        <v>123</v>
      </c>
      <c r="J3184" s="37" t="s">
        <v>2379</v>
      </c>
      <c r="K3184" s="37" t="str">
        <f t="shared" si="51"/>
        <v>Lincoln, WY</v>
      </c>
      <c r="L3184" s="37" t="s">
        <v>63</v>
      </c>
      <c r="M3184" s="37" t="s">
        <v>63</v>
      </c>
      <c r="N3184" s="37" t="s">
        <v>63</v>
      </c>
      <c r="O3184" s="37" t="s">
        <v>63</v>
      </c>
      <c r="P3184" s="37" t="s">
        <v>63</v>
      </c>
      <c r="Q3184" s="37">
        <v>15.0</v>
      </c>
      <c r="R3184" s="37" t="s">
        <v>63</v>
      </c>
      <c r="S3184" s="37" t="s">
        <v>63</v>
      </c>
      <c r="T3184" s="69" t="s">
        <v>63</v>
      </c>
      <c r="U3184" s="37">
        <v>19.0</v>
      </c>
      <c r="V3184" s="37" t="s">
        <v>63</v>
      </c>
      <c r="W3184" s="37" t="s">
        <v>63</v>
      </c>
      <c r="X3184" s="37" t="s">
        <v>63</v>
      </c>
      <c r="Y3184" s="53">
        <v>23.0</v>
      </c>
      <c r="Z3184" s="69" t="s">
        <v>63</v>
      </c>
      <c r="AA3184" s="73"/>
      <c r="AB3184" s="73"/>
      <c r="AC3184" s="73"/>
      <c r="AD3184" s="73"/>
      <c r="AE3184" s="73"/>
      <c r="AF3184" s="73"/>
      <c r="AG3184" s="73"/>
      <c r="AH3184" s="73"/>
      <c r="AI3184" s="73"/>
      <c r="AJ3184" s="73"/>
      <c r="AK3184" s="73"/>
    </row>
    <row r="3185">
      <c r="A3185" s="28">
        <v>3184.0</v>
      </c>
      <c r="B3185" s="29"/>
      <c r="C3185" s="29"/>
      <c r="D3185" s="40">
        <v>1.0</v>
      </c>
      <c r="E3185" s="31">
        <v>56.0</v>
      </c>
      <c r="F3185" s="42">
        <v>25.0</v>
      </c>
      <c r="G3185" s="29" t="str">
        <f t="shared" si="1"/>
        <v>56025</v>
      </c>
      <c r="H3185" s="37" t="s">
        <v>2384</v>
      </c>
      <c r="I3185" s="37" t="s">
        <v>123</v>
      </c>
      <c r="J3185" s="37" t="s">
        <v>2379</v>
      </c>
      <c r="K3185" s="37" t="str">
        <f t="shared" si="51"/>
        <v>Natrona, WY</v>
      </c>
      <c r="L3185" s="37">
        <v>153.0</v>
      </c>
      <c r="M3185" s="37" t="s">
        <v>63</v>
      </c>
      <c r="N3185" s="37" t="s">
        <v>63</v>
      </c>
      <c r="O3185" s="37">
        <v>51.0</v>
      </c>
      <c r="P3185" s="37" t="s">
        <v>63</v>
      </c>
      <c r="Q3185" s="37">
        <v>67.0</v>
      </c>
      <c r="R3185" s="37">
        <v>13.0</v>
      </c>
      <c r="S3185" s="37" t="s">
        <v>63</v>
      </c>
      <c r="T3185" s="69" t="s">
        <v>63</v>
      </c>
      <c r="U3185" s="37">
        <v>162.0</v>
      </c>
      <c r="V3185" s="37" t="s">
        <v>63</v>
      </c>
      <c r="W3185" s="37" t="s">
        <v>63</v>
      </c>
      <c r="X3185" s="37" t="s">
        <v>63</v>
      </c>
      <c r="Y3185" s="53">
        <v>61.0</v>
      </c>
      <c r="Z3185" s="69" t="s">
        <v>63</v>
      </c>
      <c r="AA3185" s="73"/>
      <c r="AB3185" s="73"/>
      <c r="AC3185" s="73"/>
      <c r="AD3185" s="73"/>
      <c r="AE3185" s="73"/>
      <c r="AF3185" s="73"/>
      <c r="AG3185" s="73"/>
      <c r="AH3185" s="73"/>
      <c r="AI3185" s="73"/>
      <c r="AJ3185" s="73"/>
      <c r="AK3185" s="73"/>
    </row>
    <row r="3186">
      <c r="A3186" s="28">
        <v>3185.0</v>
      </c>
      <c r="B3186" s="29"/>
      <c r="C3186" s="29"/>
      <c r="D3186" s="40">
        <v>1.0</v>
      </c>
      <c r="E3186" s="31">
        <v>56.0</v>
      </c>
      <c r="F3186" s="42">
        <v>27.0</v>
      </c>
      <c r="G3186" s="29" t="str">
        <f t="shared" si="1"/>
        <v>56027</v>
      </c>
      <c r="H3186" s="37" t="s">
        <v>2385</v>
      </c>
      <c r="I3186" s="37" t="s">
        <v>123</v>
      </c>
      <c r="J3186" s="37" t="s">
        <v>2379</v>
      </c>
      <c r="K3186" s="37" t="str">
        <f t="shared" si="51"/>
        <v>Niobrara, WY</v>
      </c>
      <c r="L3186" s="37">
        <v>7.0</v>
      </c>
      <c r="M3186" s="37" t="s">
        <v>63</v>
      </c>
      <c r="N3186" s="37" t="s">
        <v>63</v>
      </c>
      <c r="O3186" s="37" t="s">
        <v>63</v>
      </c>
      <c r="P3186" s="37" t="s">
        <v>63</v>
      </c>
      <c r="Q3186" s="37">
        <v>1.0</v>
      </c>
      <c r="R3186" s="37" t="s">
        <v>63</v>
      </c>
      <c r="S3186" s="37" t="s">
        <v>63</v>
      </c>
      <c r="T3186" s="69" t="s">
        <v>63</v>
      </c>
      <c r="U3186" s="37" t="s">
        <v>63</v>
      </c>
      <c r="V3186" s="37" t="s">
        <v>63</v>
      </c>
      <c r="W3186" s="37" t="s">
        <v>63</v>
      </c>
      <c r="X3186" s="37" t="s">
        <v>63</v>
      </c>
      <c r="Y3186" s="53">
        <v>4.0</v>
      </c>
      <c r="Z3186" s="69" t="s">
        <v>63</v>
      </c>
      <c r="AA3186" s="73"/>
      <c r="AB3186" s="73"/>
      <c r="AC3186" s="73"/>
      <c r="AD3186" s="73"/>
      <c r="AE3186" s="73"/>
      <c r="AF3186" s="73"/>
      <c r="AG3186" s="73"/>
      <c r="AH3186" s="73"/>
      <c r="AI3186" s="73"/>
      <c r="AJ3186" s="73"/>
      <c r="AK3186" s="73"/>
    </row>
    <row r="3187">
      <c r="A3187" s="28">
        <v>3186.0</v>
      </c>
      <c r="B3187" s="29"/>
      <c r="C3187" s="29"/>
      <c r="D3187" s="40">
        <v>1.0</v>
      </c>
      <c r="E3187" s="31">
        <v>56.0</v>
      </c>
      <c r="F3187" s="42">
        <v>29.0</v>
      </c>
      <c r="G3187" s="29" t="str">
        <f t="shared" si="1"/>
        <v>56029</v>
      </c>
      <c r="H3187" s="37" t="s">
        <v>445</v>
      </c>
      <c r="I3187" s="37" t="s">
        <v>123</v>
      </c>
      <c r="J3187" s="37" t="s">
        <v>2379</v>
      </c>
      <c r="K3187" s="37" t="str">
        <f t="shared" si="51"/>
        <v>Park, WY</v>
      </c>
      <c r="L3187" s="37">
        <v>24.0</v>
      </c>
      <c r="M3187" s="37" t="s">
        <v>63</v>
      </c>
      <c r="N3187" s="37" t="s">
        <v>63</v>
      </c>
      <c r="O3187" s="37">
        <v>11.0</v>
      </c>
      <c r="P3187" s="37" t="s">
        <v>63</v>
      </c>
      <c r="Q3187" s="37">
        <v>117.0</v>
      </c>
      <c r="R3187" s="37" t="s">
        <v>63</v>
      </c>
      <c r="S3187" s="37" t="s">
        <v>63</v>
      </c>
      <c r="T3187" s="69" t="s">
        <v>63</v>
      </c>
      <c r="U3187" s="37">
        <v>57.0</v>
      </c>
      <c r="V3187" s="37" t="s">
        <v>63</v>
      </c>
      <c r="W3187" s="37" t="s">
        <v>63</v>
      </c>
      <c r="X3187" s="37" t="s">
        <v>63</v>
      </c>
      <c r="Y3187" s="53">
        <v>51.0</v>
      </c>
      <c r="Z3187" s="69" t="s">
        <v>63</v>
      </c>
      <c r="AA3187" s="73"/>
      <c r="AB3187" s="73"/>
      <c r="AC3187" s="73"/>
      <c r="AD3187" s="73"/>
      <c r="AE3187" s="73"/>
      <c r="AF3187" s="73"/>
      <c r="AG3187" s="73"/>
      <c r="AH3187" s="73"/>
      <c r="AI3187" s="73"/>
      <c r="AJ3187" s="73"/>
      <c r="AK3187" s="73"/>
    </row>
    <row r="3188">
      <c r="A3188" s="28">
        <v>3187.0</v>
      </c>
      <c r="B3188" s="29"/>
      <c r="C3188" s="29"/>
      <c r="D3188" s="40">
        <v>1.0</v>
      </c>
      <c r="E3188" s="31">
        <v>56.0</v>
      </c>
      <c r="F3188" s="42">
        <v>31.0</v>
      </c>
      <c r="G3188" s="29" t="str">
        <f t="shared" si="1"/>
        <v>56031</v>
      </c>
      <c r="H3188" s="37" t="s">
        <v>1419</v>
      </c>
      <c r="I3188" s="37" t="s">
        <v>123</v>
      </c>
      <c r="J3188" s="37" t="s">
        <v>2379</v>
      </c>
      <c r="K3188" s="37" t="str">
        <f t="shared" si="51"/>
        <v>Platte, WY</v>
      </c>
      <c r="L3188" s="37">
        <v>11.0</v>
      </c>
      <c r="M3188" s="37" t="s">
        <v>63</v>
      </c>
      <c r="N3188" s="37" t="s">
        <v>63</v>
      </c>
      <c r="O3188" s="37">
        <v>7.0</v>
      </c>
      <c r="P3188" s="37" t="s">
        <v>63</v>
      </c>
      <c r="Q3188" s="37">
        <v>8.0</v>
      </c>
      <c r="R3188" s="37">
        <v>5.0</v>
      </c>
      <c r="S3188" s="37" t="s">
        <v>63</v>
      </c>
      <c r="T3188" s="69" t="s">
        <v>63</v>
      </c>
      <c r="U3188" s="37">
        <v>18.0</v>
      </c>
      <c r="V3188" s="37" t="s">
        <v>63</v>
      </c>
      <c r="W3188" s="37" t="s">
        <v>63</v>
      </c>
      <c r="X3188" s="37" t="s">
        <v>63</v>
      </c>
      <c r="Y3188" s="53">
        <v>19.0</v>
      </c>
      <c r="Z3188" s="69" t="s">
        <v>63</v>
      </c>
      <c r="AA3188" s="73"/>
      <c r="AB3188" s="73"/>
      <c r="AC3188" s="73"/>
      <c r="AD3188" s="73"/>
      <c r="AE3188" s="73"/>
      <c r="AF3188" s="73"/>
      <c r="AG3188" s="73"/>
      <c r="AH3188" s="73"/>
      <c r="AI3188" s="73"/>
      <c r="AJ3188" s="73"/>
      <c r="AK3188" s="73"/>
    </row>
    <row r="3189">
      <c r="A3189" s="28">
        <v>3188.0</v>
      </c>
      <c r="B3189" s="29"/>
      <c r="C3189" s="29"/>
      <c r="D3189" s="40">
        <v>1.0</v>
      </c>
      <c r="E3189" s="31">
        <v>56.0</v>
      </c>
      <c r="F3189" s="42">
        <v>33.0</v>
      </c>
      <c r="G3189" s="29" t="str">
        <f t="shared" si="1"/>
        <v>56033</v>
      </c>
      <c r="H3189" s="37" t="s">
        <v>1010</v>
      </c>
      <c r="I3189" s="37" t="s">
        <v>123</v>
      </c>
      <c r="J3189" s="37" t="s">
        <v>2379</v>
      </c>
      <c r="K3189" s="37" t="str">
        <f t="shared" si="51"/>
        <v>Sheridan, WY</v>
      </c>
      <c r="L3189" s="37">
        <v>46.0</v>
      </c>
      <c r="M3189" s="37" t="s">
        <v>63</v>
      </c>
      <c r="N3189" s="37" t="s">
        <v>63</v>
      </c>
      <c r="O3189" s="37">
        <v>6.0</v>
      </c>
      <c r="P3189" s="37" t="s">
        <v>63</v>
      </c>
      <c r="Q3189" s="37">
        <v>49.0</v>
      </c>
      <c r="R3189" s="37">
        <v>7.0</v>
      </c>
      <c r="S3189" s="37" t="s">
        <v>63</v>
      </c>
      <c r="T3189" s="69" t="s">
        <v>63</v>
      </c>
      <c r="U3189" s="37">
        <v>57.0</v>
      </c>
      <c r="V3189" s="37" t="s">
        <v>63</v>
      </c>
      <c r="W3189" s="37" t="s">
        <v>63</v>
      </c>
      <c r="X3189" s="37" t="s">
        <v>63</v>
      </c>
      <c r="Y3189" s="53">
        <v>39.0</v>
      </c>
      <c r="Z3189" s="69" t="s">
        <v>63</v>
      </c>
      <c r="AA3189" s="73"/>
      <c r="AB3189" s="73"/>
      <c r="AC3189" s="73"/>
      <c r="AD3189" s="73"/>
      <c r="AE3189" s="73"/>
      <c r="AF3189" s="73"/>
      <c r="AG3189" s="73"/>
      <c r="AH3189" s="73"/>
      <c r="AI3189" s="73"/>
      <c r="AJ3189" s="73"/>
      <c r="AK3189" s="73"/>
    </row>
    <row r="3190">
      <c r="A3190" s="28">
        <v>3189.0</v>
      </c>
      <c r="B3190" s="29"/>
      <c r="C3190" s="29"/>
      <c r="D3190" s="40">
        <v>1.0</v>
      </c>
      <c r="E3190" s="31">
        <v>56.0</v>
      </c>
      <c r="F3190" s="42">
        <v>35.0</v>
      </c>
      <c r="G3190" s="29" t="str">
        <f t="shared" si="1"/>
        <v>56035</v>
      </c>
      <c r="H3190" s="37" t="s">
        <v>2386</v>
      </c>
      <c r="I3190" s="37" t="s">
        <v>123</v>
      </c>
      <c r="J3190" s="37" t="s">
        <v>2379</v>
      </c>
      <c r="K3190" s="37" t="str">
        <f t="shared" si="51"/>
        <v>Sublette, WY</v>
      </c>
      <c r="L3190" s="37" t="s">
        <v>63</v>
      </c>
      <c r="M3190" s="37" t="s">
        <v>63</v>
      </c>
      <c r="N3190" s="37" t="s">
        <v>63</v>
      </c>
      <c r="O3190" s="37" t="s">
        <v>63</v>
      </c>
      <c r="P3190" s="37" t="s">
        <v>63</v>
      </c>
      <c r="Q3190" s="37">
        <v>5.0</v>
      </c>
      <c r="R3190" s="37" t="s">
        <v>63</v>
      </c>
      <c r="S3190" s="37" t="s">
        <v>63</v>
      </c>
      <c r="T3190" s="69" t="s">
        <v>63</v>
      </c>
      <c r="U3190" s="37">
        <v>9.0</v>
      </c>
      <c r="V3190" s="37" t="s">
        <v>63</v>
      </c>
      <c r="W3190" s="37" t="s">
        <v>63</v>
      </c>
      <c r="X3190" s="37" t="s">
        <v>63</v>
      </c>
      <c r="Y3190" s="53">
        <v>13.0</v>
      </c>
      <c r="Z3190" s="69" t="s">
        <v>63</v>
      </c>
      <c r="AA3190" s="73"/>
      <c r="AB3190" s="73"/>
      <c r="AC3190" s="73"/>
      <c r="AD3190" s="73"/>
      <c r="AE3190" s="73"/>
      <c r="AF3190" s="73"/>
      <c r="AG3190" s="73"/>
      <c r="AH3190" s="73"/>
      <c r="AI3190" s="73"/>
      <c r="AJ3190" s="73"/>
      <c r="AK3190" s="73"/>
    </row>
    <row r="3191">
      <c r="A3191" s="28">
        <v>3190.0</v>
      </c>
      <c r="B3191" s="29"/>
      <c r="C3191" s="29"/>
      <c r="D3191" s="40">
        <v>1.0</v>
      </c>
      <c r="E3191" s="31">
        <v>56.0</v>
      </c>
      <c r="F3191" s="42">
        <v>37.0</v>
      </c>
      <c r="G3191" s="29" t="str">
        <f t="shared" si="1"/>
        <v>56037</v>
      </c>
      <c r="H3191" s="37" t="s">
        <v>2387</v>
      </c>
      <c r="I3191" s="37" t="s">
        <v>123</v>
      </c>
      <c r="J3191" s="37" t="s">
        <v>2379</v>
      </c>
      <c r="K3191" s="37" t="str">
        <f t="shared" si="51"/>
        <v>Sweetwater, WY</v>
      </c>
      <c r="L3191" s="37">
        <v>70.0</v>
      </c>
      <c r="M3191" s="37" t="s">
        <v>63</v>
      </c>
      <c r="N3191" s="37" t="s">
        <v>63</v>
      </c>
      <c r="O3191" s="37">
        <v>18.0</v>
      </c>
      <c r="P3191" s="37" t="s">
        <v>63</v>
      </c>
      <c r="Q3191" s="37">
        <v>28.0</v>
      </c>
      <c r="R3191" s="37">
        <v>10.0</v>
      </c>
      <c r="S3191" s="37" t="s">
        <v>63</v>
      </c>
      <c r="T3191" s="69" t="s">
        <v>63</v>
      </c>
      <c r="U3191" s="37">
        <v>126.0</v>
      </c>
      <c r="V3191" s="37" t="s">
        <v>63</v>
      </c>
      <c r="W3191" s="37" t="s">
        <v>63</v>
      </c>
      <c r="X3191" s="37" t="s">
        <v>63</v>
      </c>
      <c r="Y3191" s="53">
        <v>41.0</v>
      </c>
      <c r="Z3191" s="69" t="s">
        <v>63</v>
      </c>
      <c r="AA3191" s="73"/>
      <c r="AB3191" s="73"/>
      <c r="AC3191" s="73"/>
      <c r="AD3191" s="73"/>
      <c r="AE3191" s="73"/>
      <c r="AF3191" s="73"/>
      <c r="AG3191" s="73"/>
      <c r="AH3191" s="73"/>
      <c r="AI3191" s="73"/>
      <c r="AJ3191" s="73"/>
      <c r="AK3191" s="73"/>
    </row>
    <row r="3192">
      <c r="A3192" s="28">
        <v>3191.0</v>
      </c>
      <c r="B3192" s="29"/>
      <c r="C3192" s="29"/>
      <c r="D3192" s="40">
        <v>1.0</v>
      </c>
      <c r="E3192" s="31">
        <v>56.0</v>
      </c>
      <c r="F3192" s="42">
        <v>39.0</v>
      </c>
      <c r="G3192" s="29" t="str">
        <f t="shared" si="1"/>
        <v>56039</v>
      </c>
      <c r="H3192" s="37" t="s">
        <v>690</v>
      </c>
      <c r="I3192" s="37" t="s">
        <v>123</v>
      </c>
      <c r="J3192" s="37" t="s">
        <v>2379</v>
      </c>
      <c r="K3192" s="37" t="str">
        <f t="shared" si="51"/>
        <v>Teton, WY</v>
      </c>
      <c r="L3192" s="37">
        <v>5.0</v>
      </c>
      <c r="M3192" s="37" t="s">
        <v>63</v>
      </c>
      <c r="N3192" s="37" t="s">
        <v>63</v>
      </c>
      <c r="O3192" s="37" t="s">
        <v>63</v>
      </c>
      <c r="P3192" s="37" t="s">
        <v>63</v>
      </c>
      <c r="Q3192" s="37">
        <v>5.0</v>
      </c>
      <c r="R3192" s="37" t="s">
        <v>63</v>
      </c>
      <c r="S3192" s="37" t="s">
        <v>63</v>
      </c>
      <c r="T3192" s="69" t="s">
        <v>63</v>
      </c>
      <c r="U3192" s="37">
        <v>28.0</v>
      </c>
      <c r="V3192" s="37" t="s">
        <v>63</v>
      </c>
      <c r="W3192" s="37" t="s">
        <v>63</v>
      </c>
      <c r="X3192" s="37" t="s">
        <v>63</v>
      </c>
      <c r="Y3192" s="53">
        <v>16.0</v>
      </c>
      <c r="Z3192" s="69" t="s">
        <v>63</v>
      </c>
      <c r="AA3192" s="73"/>
      <c r="AB3192" s="73"/>
      <c r="AC3192" s="73"/>
      <c r="AD3192" s="73"/>
      <c r="AE3192" s="73"/>
      <c r="AF3192" s="73"/>
      <c r="AG3192" s="73"/>
      <c r="AH3192" s="73"/>
      <c r="AI3192" s="73"/>
      <c r="AJ3192" s="73"/>
      <c r="AK3192" s="73"/>
    </row>
    <row r="3193">
      <c r="A3193" s="28">
        <v>3192.0</v>
      </c>
      <c r="B3193" s="29"/>
      <c r="C3193" s="29"/>
      <c r="D3193" s="40">
        <v>1.0</v>
      </c>
      <c r="E3193" s="31">
        <v>56.0</v>
      </c>
      <c r="F3193" s="42">
        <v>41.0</v>
      </c>
      <c r="G3193" s="29" t="str">
        <f t="shared" si="1"/>
        <v>56041</v>
      </c>
      <c r="H3193" s="37" t="s">
        <v>2388</v>
      </c>
      <c r="I3193" s="37" t="s">
        <v>123</v>
      </c>
      <c r="J3193" s="37" t="s">
        <v>2379</v>
      </c>
      <c r="K3193" s="37" t="str">
        <f t="shared" si="51"/>
        <v>Uinta, WY</v>
      </c>
      <c r="L3193" s="37">
        <v>28.0</v>
      </c>
      <c r="M3193" s="37" t="s">
        <v>63</v>
      </c>
      <c r="N3193" s="37" t="s">
        <v>63</v>
      </c>
      <c r="O3193" s="37">
        <v>10.0</v>
      </c>
      <c r="P3193" s="37" t="s">
        <v>63</v>
      </c>
      <c r="Q3193" s="37">
        <v>10.0</v>
      </c>
      <c r="R3193" s="37" t="s">
        <v>63</v>
      </c>
      <c r="S3193" s="37" t="s">
        <v>63</v>
      </c>
      <c r="T3193" s="69" t="s">
        <v>63</v>
      </c>
      <c r="U3193" s="37">
        <v>58.0</v>
      </c>
      <c r="V3193" s="37" t="s">
        <v>63</v>
      </c>
      <c r="W3193" s="37" t="s">
        <v>63</v>
      </c>
      <c r="X3193" s="37" t="s">
        <v>63</v>
      </c>
      <c r="Y3193" s="53">
        <v>32.0</v>
      </c>
      <c r="Z3193" s="69" t="s">
        <v>63</v>
      </c>
      <c r="AA3193" s="73"/>
      <c r="AB3193" s="73"/>
      <c r="AC3193" s="73"/>
      <c r="AD3193" s="73"/>
      <c r="AE3193" s="73"/>
      <c r="AF3193" s="73"/>
      <c r="AG3193" s="73"/>
      <c r="AH3193" s="73"/>
      <c r="AI3193" s="73"/>
      <c r="AJ3193" s="73"/>
      <c r="AK3193" s="73"/>
    </row>
    <row r="3194">
      <c r="A3194" s="28">
        <v>3193.0</v>
      </c>
      <c r="B3194" s="29"/>
      <c r="C3194" s="29"/>
      <c r="D3194" s="40">
        <v>1.0</v>
      </c>
      <c r="E3194" s="31">
        <v>56.0</v>
      </c>
      <c r="F3194" s="42">
        <v>43.0</v>
      </c>
      <c r="G3194" s="29" t="str">
        <f t="shared" si="1"/>
        <v>56043</v>
      </c>
      <c r="H3194" s="37" t="s">
        <v>2389</v>
      </c>
      <c r="I3194" s="37" t="s">
        <v>123</v>
      </c>
      <c r="J3194" s="37" t="s">
        <v>2379</v>
      </c>
      <c r="K3194" s="37" t="str">
        <f t="shared" si="51"/>
        <v>Washakie, WY</v>
      </c>
      <c r="L3194" s="37" t="s">
        <v>63</v>
      </c>
      <c r="M3194" s="37" t="s">
        <v>63</v>
      </c>
      <c r="N3194" s="37" t="s">
        <v>63</v>
      </c>
      <c r="O3194" s="37" t="s">
        <v>63</v>
      </c>
      <c r="P3194" s="37" t="s">
        <v>63</v>
      </c>
      <c r="Q3194" s="37">
        <v>4.0</v>
      </c>
      <c r="R3194" s="37" t="s">
        <v>63</v>
      </c>
      <c r="S3194" s="37" t="s">
        <v>63</v>
      </c>
      <c r="T3194" s="69" t="s">
        <v>63</v>
      </c>
      <c r="U3194" s="37">
        <v>33.0</v>
      </c>
      <c r="V3194" s="37" t="s">
        <v>63</v>
      </c>
      <c r="W3194" s="37" t="s">
        <v>63</v>
      </c>
      <c r="X3194" s="37" t="s">
        <v>63</v>
      </c>
      <c r="Y3194" s="53">
        <v>21.0</v>
      </c>
      <c r="Z3194" s="69" t="s">
        <v>63</v>
      </c>
      <c r="AA3194" s="73"/>
      <c r="AB3194" s="73"/>
      <c r="AC3194" s="73"/>
      <c r="AD3194" s="73"/>
      <c r="AE3194" s="73"/>
      <c r="AF3194" s="73"/>
      <c r="AG3194" s="73"/>
      <c r="AH3194" s="73"/>
      <c r="AI3194" s="73"/>
      <c r="AJ3194" s="73"/>
      <c r="AK3194" s="73"/>
    </row>
    <row r="3195">
      <c r="A3195" s="28">
        <v>3194.0</v>
      </c>
      <c r="B3195" s="29"/>
      <c r="C3195" s="29"/>
      <c r="D3195" s="40">
        <v>1.0</v>
      </c>
      <c r="E3195" s="31">
        <v>56.0</v>
      </c>
      <c r="F3195" s="42">
        <v>45.0</v>
      </c>
      <c r="G3195" s="29" t="str">
        <f t="shared" si="1"/>
        <v>56045</v>
      </c>
      <c r="H3195" s="37" t="s">
        <v>2390</v>
      </c>
      <c r="I3195" s="37" t="s">
        <v>123</v>
      </c>
      <c r="J3195" s="37" t="s">
        <v>2379</v>
      </c>
      <c r="K3195" s="37" t="str">
        <f t="shared" si="51"/>
        <v>Weston, WY</v>
      </c>
      <c r="L3195" s="37">
        <v>14.0</v>
      </c>
      <c r="M3195" s="37" t="s">
        <v>63</v>
      </c>
      <c r="N3195" s="37" t="s">
        <v>63</v>
      </c>
      <c r="O3195" s="37">
        <v>8.0</v>
      </c>
      <c r="P3195" s="37" t="s">
        <v>63</v>
      </c>
      <c r="Q3195" s="37">
        <v>3.0</v>
      </c>
      <c r="R3195" s="37" t="s">
        <v>63</v>
      </c>
      <c r="S3195" s="37" t="s">
        <v>63</v>
      </c>
      <c r="T3195" s="69" t="s">
        <v>63</v>
      </c>
      <c r="U3195" s="37">
        <v>29.0</v>
      </c>
      <c r="V3195" s="37" t="s">
        <v>63</v>
      </c>
      <c r="W3195" s="37" t="s">
        <v>63</v>
      </c>
      <c r="X3195" s="37" t="s">
        <v>63</v>
      </c>
      <c r="Y3195" s="53">
        <v>13.0</v>
      </c>
      <c r="Z3195" s="69" t="s">
        <v>63</v>
      </c>
      <c r="AA3195" s="73"/>
      <c r="AB3195" s="73"/>
      <c r="AC3195" s="73"/>
      <c r="AD3195" s="73"/>
      <c r="AE3195" s="73"/>
      <c r="AF3195" s="73"/>
      <c r="AG3195" s="73"/>
      <c r="AH3195" s="73"/>
      <c r="AI3195" s="73"/>
      <c r="AJ3195" s="73"/>
      <c r="AK3195" s="7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1" t="s">
        <v>2</v>
      </c>
      <c r="C2" s="8" t="str">
        <f>CONCATENATE("'",A2,"'!A:A")</f>
        <v>'Alabama'!A:A</v>
      </c>
      <c r="E2" s="8">
        <f>MATCH(B2,C2)</f>
        <v>1</v>
      </c>
    </row>
    <row r="3">
      <c r="A3" s="1" t="s">
        <v>23</v>
      </c>
      <c r="C3" s="8" t="str">
        <f t="shared" ref="C3:C52" si="1">CONCATENATE("'",A3,"'!A:Q")</f>
        <v>'Alaska'!A:Q</v>
      </c>
      <c r="D3" s="8">
        <f t="shared" ref="D3:D52" si="2">ROWS(C3)</f>
        <v>1</v>
      </c>
    </row>
    <row r="4">
      <c r="A4" s="1" t="s">
        <v>33</v>
      </c>
      <c r="C4" s="8" t="str">
        <f t="shared" si="1"/>
        <v>'Arizona'!A:Q</v>
      </c>
      <c r="D4" s="8">
        <f t="shared" si="2"/>
        <v>1</v>
      </c>
    </row>
    <row r="5">
      <c r="A5" s="1" t="s">
        <v>34</v>
      </c>
      <c r="C5" s="8" t="str">
        <f t="shared" si="1"/>
        <v>'Arkansas'!A:Q</v>
      </c>
      <c r="D5" s="8">
        <f t="shared" si="2"/>
        <v>1</v>
      </c>
    </row>
    <row r="6">
      <c r="A6" s="1" t="s">
        <v>35</v>
      </c>
      <c r="C6" s="8" t="str">
        <f t="shared" si="1"/>
        <v>'California'!A:Q</v>
      </c>
      <c r="D6" s="8">
        <f t="shared" si="2"/>
        <v>1</v>
      </c>
    </row>
    <row r="7">
      <c r="A7" s="1" t="s">
        <v>36</v>
      </c>
      <c r="C7" s="8" t="str">
        <f t="shared" si="1"/>
        <v>'Colorado'!A:Q</v>
      </c>
      <c r="D7" s="8">
        <f t="shared" si="2"/>
        <v>1</v>
      </c>
    </row>
    <row r="8">
      <c r="A8" s="1" t="s">
        <v>37</v>
      </c>
      <c r="C8" s="8" t="str">
        <f t="shared" si="1"/>
        <v>'Connecticut'!A:Q</v>
      </c>
      <c r="D8" s="8">
        <f t="shared" si="2"/>
        <v>1</v>
      </c>
    </row>
    <row r="9">
      <c r="A9" s="1" t="s">
        <v>39</v>
      </c>
      <c r="C9" s="8" t="str">
        <f t="shared" si="1"/>
        <v>'District of Columbia'!A:Q</v>
      </c>
      <c r="D9" s="8">
        <f t="shared" si="2"/>
        <v>1</v>
      </c>
    </row>
    <row r="10">
      <c r="A10" s="1" t="s">
        <v>40</v>
      </c>
      <c r="C10" s="8" t="str">
        <f t="shared" si="1"/>
        <v>'Delaware'!A:Q</v>
      </c>
      <c r="D10" s="8">
        <f t="shared" si="2"/>
        <v>1</v>
      </c>
    </row>
    <row r="11">
      <c r="A11" s="1" t="s">
        <v>42</v>
      </c>
      <c r="C11" s="8" t="str">
        <f t="shared" si="1"/>
        <v>'Florida'!A:Q</v>
      </c>
      <c r="D11" s="8">
        <f t="shared" si="2"/>
        <v>1</v>
      </c>
    </row>
    <row r="12">
      <c r="A12" s="1" t="s">
        <v>44</v>
      </c>
      <c r="C12" s="8" t="str">
        <f t="shared" si="1"/>
        <v>'Georgia'!A:Q</v>
      </c>
      <c r="D12" s="8">
        <f t="shared" si="2"/>
        <v>1</v>
      </c>
    </row>
    <row r="13">
      <c r="A13" s="1" t="s">
        <v>45</v>
      </c>
      <c r="C13" s="8" t="str">
        <f t="shared" si="1"/>
        <v>'Hawaii'!A:Q</v>
      </c>
      <c r="D13" s="8">
        <f t="shared" si="2"/>
        <v>1</v>
      </c>
    </row>
    <row r="14">
      <c r="A14" s="1" t="s">
        <v>47</v>
      </c>
      <c r="C14" s="8" t="str">
        <f t="shared" si="1"/>
        <v>'Idaho'!A:Q</v>
      </c>
      <c r="D14" s="8">
        <f t="shared" si="2"/>
        <v>1</v>
      </c>
    </row>
    <row r="15">
      <c r="A15" s="1" t="s">
        <v>48</v>
      </c>
      <c r="C15" s="8" t="str">
        <f t="shared" si="1"/>
        <v>'Illinois'!A:Q</v>
      </c>
      <c r="D15" s="8">
        <f t="shared" si="2"/>
        <v>1</v>
      </c>
    </row>
    <row r="16">
      <c r="A16" s="1" t="s">
        <v>49</v>
      </c>
      <c r="C16" s="8" t="str">
        <f t="shared" si="1"/>
        <v>'Indiana'!A:Q</v>
      </c>
      <c r="D16" s="8">
        <f t="shared" si="2"/>
        <v>1</v>
      </c>
    </row>
    <row r="17">
      <c r="A17" s="1" t="s">
        <v>50</v>
      </c>
      <c r="C17" s="8" t="str">
        <f t="shared" si="1"/>
        <v>'Iowa'!A:Q</v>
      </c>
      <c r="D17" s="8">
        <f t="shared" si="2"/>
        <v>1</v>
      </c>
    </row>
    <row r="18">
      <c r="A18" s="1" t="s">
        <v>53</v>
      </c>
      <c r="C18" s="8" t="str">
        <f t="shared" si="1"/>
        <v>'Kansas'!A:Q</v>
      </c>
      <c r="D18" s="8">
        <f t="shared" si="2"/>
        <v>1</v>
      </c>
    </row>
    <row r="19">
      <c r="A19" s="1" t="s">
        <v>54</v>
      </c>
      <c r="C19" s="8" t="str">
        <f t="shared" si="1"/>
        <v>'Kentucky'!A:Q</v>
      </c>
      <c r="D19" s="8">
        <f t="shared" si="2"/>
        <v>1</v>
      </c>
    </row>
    <row r="20">
      <c r="A20" s="1" t="s">
        <v>55</v>
      </c>
      <c r="C20" s="8" t="str">
        <f t="shared" si="1"/>
        <v>'Louisiana'!A:Q</v>
      </c>
      <c r="D20" s="8">
        <f t="shared" si="2"/>
        <v>1</v>
      </c>
    </row>
    <row r="21">
      <c r="A21" s="1" t="s">
        <v>56</v>
      </c>
      <c r="C21" s="8" t="str">
        <f t="shared" si="1"/>
        <v>'Maine'!A:Q</v>
      </c>
      <c r="D21" s="8">
        <f t="shared" si="2"/>
        <v>1</v>
      </c>
    </row>
    <row r="22">
      <c r="A22" s="1" t="s">
        <v>57</v>
      </c>
      <c r="C22" s="8" t="str">
        <f t="shared" si="1"/>
        <v>'Maryland'!A:Q</v>
      </c>
      <c r="D22" s="8">
        <f t="shared" si="2"/>
        <v>1</v>
      </c>
    </row>
    <row r="23">
      <c r="A23" s="1" t="s">
        <v>59</v>
      </c>
      <c r="C23" s="8" t="str">
        <f t="shared" si="1"/>
        <v>'Massachusetts'!A:Q</v>
      </c>
      <c r="D23" s="8">
        <f t="shared" si="2"/>
        <v>1</v>
      </c>
    </row>
    <row r="24">
      <c r="A24" s="1" t="s">
        <v>60</v>
      </c>
      <c r="C24" s="8" t="str">
        <f t="shared" si="1"/>
        <v>'Michigan'!A:Q</v>
      </c>
      <c r="D24" s="8">
        <f t="shared" si="2"/>
        <v>1</v>
      </c>
    </row>
    <row r="25">
      <c r="A25" s="1" t="s">
        <v>65</v>
      </c>
      <c r="C25" s="8" t="str">
        <f t="shared" si="1"/>
        <v>'Minnesota'!A:Q</v>
      </c>
      <c r="D25" s="8">
        <f t="shared" si="2"/>
        <v>1</v>
      </c>
    </row>
    <row r="26">
      <c r="A26" s="1" t="s">
        <v>67</v>
      </c>
      <c r="C26" s="8" t="str">
        <f t="shared" si="1"/>
        <v>'Mississippi'!A:Q</v>
      </c>
      <c r="D26" s="8">
        <f t="shared" si="2"/>
        <v>1</v>
      </c>
    </row>
    <row r="27">
      <c r="A27" s="1" t="s">
        <v>73</v>
      </c>
      <c r="C27" s="8" t="str">
        <f t="shared" si="1"/>
        <v>'Missouri'!A:Q</v>
      </c>
      <c r="D27" s="8">
        <f t="shared" si="2"/>
        <v>1</v>
      </c>
    </row>
    <row r="28">
      <c r="A28" s="1" t="s">
        <v>76</v>
      </c>
      <c r="C28" s="8" t="str">
        <f t="shared" si="1"/>
        <v>'Montana'!A:Q</v>
      </c>
      <c r="D28" s="8">
        <f t="shared" si="2"/>
        <v>1</v>
      </c>
    </row>
    <row r="29">
      <c r="A29" s="1" t="s">
        <v>79</v>
      </c>
      <c r="C29" s="8" t="str">
        <f t="shared" si="1"/>
        <v>'Nebraska'!A:Q</v>
      </c>
      <c r="D29" s="8">
        <f t="shared" si="2"/>
        <v>1</v>
      </c>
    </row>
    <row r="30">
      <c r="A30" s="1" t="s">
        <v>82</v>
      </c>
      <c r="C30" s="8" t="str">
        <f t="shared" si="1"/>
        <v>'Nevada'!A:Q</v>
      </c>
      <c r="D30" s="8">
        <f t="shared" si="2"/>
        <v>1</v>
      </c>
    </row>
    <row r="31">
      <c r="A31" s="1" t="s">
        <v>85</v>
      </c>
      <c r="C31" s="8" t="str">
        <f t="shared" si="1"/>
        <v>'New Hampshire'!A:Q</v>
      </c>
      <c r="D31" s="8">
        <f t="shared" si="2"/>
        <v>1</v>
      </c>
    </row>
    <row r="32">
      <c r="A32" s="1" t="s">
        <v>88</v>
      </c>
      <c r="C32" s="8" t="str">
        <f t="shared" si="1"/>
        <v>'New Jersey'!A:Q</v>
      </c>
      <c r="D32" s="8">
        <f t="shared" si="2"/>
        <v>1</v>
      </c>
    </row>
    <row r="33">
      <c r="A33" s="1" t="s">
        <v>91</v>
      </c>
      <c r="C33" s="8" t="str">
        <f t="shared" si="1"/>
        <v>'New Mexico'!A:Q</v>
      </c>
      <c r="D33" s="8">
        <f t="shared" si="2"/>
        <v>1</v>
      </c>
    </row>
    <row r="34">
      <c r="A34" s="1" t="s">
        <v>94</v>
      </c>
      <c r="C34" s="8" t="str">
        <f t="shared" si="1"/>
        <v>'New York'!A:Q</v>
      </c>
      <c r="D34" s="8">
        <f t="shared" si="2"/>
        <v>1</v>
      </c>
    </row>
    <row r="35">
      <c r="A35" s="1" t="s">
        <v>96</v>
      </c>
      <c r="C35" s="8" t="str">
        <f t="shared" si="1"/>
        <v>'North Carolina'!A:Q</v>
      </c>
      <c r="D35" s="8">
        <f t="shared" si="2"/>
        <v>1</v>
      </c>
    </row>
    <row r="36">
      <c r="A36" s="1" t="s">
        <v>99</v>
      </c>
      <c r="C36" s="8" t="str">
        <f t="shared" si="1"/>
        <v>'North Dakota'!A:Q</v>
      </c>
      <c r="D36" s="8">
        <f t="shared" si="2"/>
        <v>1</v>
      </c>
    </row>
    <row r="37">
      <c r="A37" s="1" t="s">
        <v>100</v>
      </c>
      <c r="C37" s="8" t="str">
        <f t="shared" si="1"/>
        <v>'Ohio'!A:Q</v>
      </c>
      <c r="D37" s="8">
        <f t="shared" si="2"/>
        <v>1</v>
      </c>
    </row>
    <row r="38">
      <c r="A38" s="1" t="s">
        <v>102</v>
      </c>
      <c r="C38" s="8" t="str">
        <f t="shared" si="1"/>
        <v>'Oklahoma'!A:Q</v>
      </c>
      <c r="D38" s="8">
        <f t="shared" si="2"/>
        <v>1</v>
      </c>
    </row>
    <row r="39">
      <c r="A39" s="1" t="s">
        <v>103</v>
      </c>
      <c r="C39" s="8" t="str">
        <f t="shared" si="1"/>
        <v>'Oregon'!A:Q</v>
      </c>
      <c r="D39" s="8">
        <f t="shared" si="2"/>
        <v>1</v>
      </c>
    </row>
    <row r="40">
      <c r="A40" s="1" t="s">
        <v>105</v>
      </c>
      <c r="C40" s="8" t="str">
        <f t="shared" si="1"/>
        <v>'Pennsylvania'!A:Q</v>
      </c>
      <c r="D40" s="8">
        <f t="shared" si="2"/>
        <v>1</v>
      </c>
    </row>
    <row r="41">
      <c r="A41" s="1" t="s">
        <v>106</v>
      </c>
      <c r="C41" s="8" t="str">
        <f t="shared" si="1"/>
        <v>'Rhode Island'!A:Q</v>
      </c>
      <c r="D41" s="8">
        <f t="shared" si="2"/>
        <v>1</v>
      </c>
    </row>
    <row r="42">
      <c r="A42" s="1" t="s">
        <v>108</v>
      </c>
      <c r="C42" s="8" t="str">
        <f t="shared" si="1"/>
        <v>'South Carolina'!A:Q</v>
      </c>
      <c r="D42" s="8">
        <f t="shared" si="2"/>
        <v>1</v>
      </c>
    </row>
    <row r="43">
      <c r="A43" s="1" t="s">
        <v>109</v>
      </c>
      <c r="C43" s="8" t="str">
        <f t="shared" si="1"/>
        <v>'South Dakota'!A:Q</v>
      </c>
      <c r="D43" s="8">
        <f t="shared" si="2"/>
        <v>1</v>
      </c>
    </row>
    <row r="44">
      <c r="A44" s="1" t="s">
        <v>111</v>
      </c>
      <c r="C44" s="8" t="str">
        <f t="shared" si="1"/>
        <v>'Tennessee'!A:Q</v>
      </c>
      <c r="D44" s="8">
        <f t="shared" si="2"/>
        <v>1</v>
      </c>
    </row>
    <row r="45">
      <c r="A45" s="1" t="s">
        <v>113</v>
      </c>
      <c r="C45" s="8" t="str">
        <f t="shared" si="1"/>
        <v>'Texas'!A:Q</v>
      </c>
      <c r="D45" s="8">
        <f t="shared" si="2"/>
        <v>1</v>
      </c>
    </row>
    <row r="46">
      <c r="A46" s="1" t="s">
        <v>114</v>
      </c>
      <c r="C46" s="8" t="str">
        <f t="shared" si="1"/>
        <v>'Utah'!A:Q</v>
      </c>
      <c r="D46" s="8">
        <f t="shared" si="2"/>
        <v>1</v>
      </c>
    </row>
    <row r="47">
      <c r="A47" s="1" t="s">
        <v>116</v>
      </c>
      <c r="C47" s="8" t="str">
        <f t="shared" si="1"/>
        <v>'Vermont'!A:Q</v>
      </c>
      <c r="D47" s="8">
        <f t="shared" si="2"/>
        <v>1</v>
      </c>
    </row>
    <row r="48">
      <c r="A48" s="1" t="s">
        <v>117</v>
      </c>
      <c r="C48" s="8" t="str">
        <f t="shared" si="1"/>
        <v>'Virginia'!A:Q</v>
      </c>
      <c r="D48" s="8">
        <f t="shared" si="2"/>
        <v>1</v>
      </c>
    </row>
    <row r="49">
      <c r="A49" s="1" t="s">
        <v>119</v>
      </c>
      <c r="C49" s="8" t="str">
        <f t="shared" si="1"/>
        <v>'Washington'!A:Q</v>
      </c>
      <c r="D49" s="8">
        <f t="shared" si="2"/>
        <v>1</v>
      </c>
    </row>
    <row r="50">
      <c r="A50" s="1" t="s">
        <v>120</v>
      </c>
      <c r="C50" s="8" t="str">
        <f t="shared" si="1"/>
        <v>'West Virginia'!A:Q</v>
      </c>
      <c r="D50" s="8">
        <f t="shared" si="2"/>
        <v>1</v>
      </c>
    </row>
    <row r="51">
      <c r="A51" s="1" t="s">
        <v>122</v>
      </c>
      <c r="C51" s="8" t="str">
        <f t="shared" si="1"/>
        <v>'Wisconsin'!A:Q</v>
      </c>
      <c r="D51" s="8">
        <f t="shared" si="2"/>
        <v>1</v>
      </c>
    </row>
    <row r="52">
      <c r="A52" s="1" t="s">
        <v>123</v>
      </c>
      <c r="C52" s="8" t="str">
        <f t="shared" si="1"/>
        <v>'Wyoming'!A:Q</v>
      </c>
      <c r="D52" s="8">
        <f t="shared" si="2"/>
        <v>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2" max="12" width="20.75"/>
  </cols>
  <sheetData>
    <row r="1">
      <c r="A1" s="2" t="s">
        <v>1</v>
      </c>
      <c r="B1" s="3" t="s">
        <v>3</v>
      </c>
      <c r="C1" s="3" t="s">
        <v>4</v>
      </c>
      <c r="D1" s="4" t="s">
        <v>5</v>
      </c>
      <c r="E1" s="5" t="s">
        <v>6</v>
      </c>
      <c r="F1" s="6" t="s">
        <v>7</v>
      </c>
      <c r="G1" s="3" t="s">
        <v>8</v>
      </c>
      <c r="H1" s="7" t="s">
        <v>9</v>
      </c>
      <c r="I1" s="7" t="s">
        <v>10</v>
      </c>
      <c r="J1" s="7" t="s">
        <v>11</v>
      </c>
      <c r="K1" s="7" t="s">
        <v>12</v>
      </c>
      <c r="L1" s="9" t="s">
        <v>14</v>
      </c>
      <c r="M1" s="10" t="s">
        <v>18</v>
      </c>
    </row>
    <row r="2">
      <c r="A2" s="12">
        <v>1.0</v>
      </c>
      <c r="B2" s="14" t="s">
        <v>25</v>
      </c>
      <c r="C2" s="15"/>
      <c r="D2" s="16"/>
      <c r="E2" s="17"/>
      <c r="F2" s="20"/>
      <c r="G2" s="15"/>
      <c r="H2" s="23"/>
      <c r="I2" s="23"/>
      <c r="J2" s="23"/>
      <c r="K2" s="23"/>
      <c r="L2" s="24"/>
    </row>
    <row r="3">
      <c r="A3" s="28">
        <v>2.0</v>
      </c>
      <c r="B3" s="29"/>
      <c r="C3" s="29" t="s">
        <v>25</v>
      </c>
      <c r="D3" s="30"/>
      <c r="E3" s="31">
        <v>1.0</v>
      </c>
      <c r="F3" s="33"/>
      <c r="G3" s="29"/>
      <c r="H3" s="37"/>
      <c r="I3" s="37" t="s">
        <v>0</v>
      </c>
      <c r="J3" s="37" t="s">
        <v>41</v>
      </c>
      <c r="K3" s="37"/>
      <c r="L3" s="24"/>
    </row>
    <row r="4">
      <c r="A4" s="28">
        <v>3.0</v>
      </c>
      <c r="B4" s="29"/>
      <c r="C4" s="29"/>
      <c r="D4" s="40">
        <v>1.0</v>
      </c>
      <c r="E4" s="31">
        <v>1.0</v>
      </c>
      <c r="F4" s="42">
        <v>1.0</v>
      </c>
      <c r="G4" s="29" t="str">
        <f t="shared" ref="G4:G3195" si="1">CONCATENATE(TEXT($E4,"00"),TEXT($F4,"000"))</f>
        <v>01001</v>
      </c>
      <c r="H4" s="37" t="s">
        <v>52</v>
      </c>
      <c r="I4" s="37" t="s">
        <v>0</v>
      </c>
      <c r="J4" s="37" t="s">
        <v>41</v>
      </c>
      <c r="K4" s="37" t="str">
        <f t="shared" ref="K4:K70" si="2">CONCATENATE(H4,", ",J4)</f>
        <v>Autauga, AL</v>
      </c>
      <c r="L4" s="24"/>
    </row>
    <row r="5">
      <c r="A5" s="28">
        <v>4.0</v>
      </c>
      <c r="B5" s="29"/>
      <c r="C5" s="29"/>
      <c r="D5" s="40">
        <v>1.0</v>
      </c>
      <c r="E5" s="31">
        <v>1.0</v>
      </c>
      <c r="F5" s="42">
        <v>3.0</v>
      </c>
      <c r="G5" s="29" t="str">
        <f t="shared" si="1"/>
        <v>01003</v>
      </c>
      <c r="H5" s="37" t="s">
        <v>58</v>
      </c>
      <c r="I5" s="37" t="s">
        <v>0</v>
      </c>
      <c r="J5" s="37" t="s">
        <v>41</v>
      </c>
      <c r="K5" s="37" t="str">
        <f t="shared" si="2"/>
        <v>Baldwin, AL</v>
      </c>
      <c r="L5" s="24"/>
    </row>
    <row r="6">
      <c r="A6" s="28">
        <v>5.0</v>
      </c>
      <c r="B6" s="29"/>
      <c r="C6" s="29"/>
      <c r="D6" s="40">
        <v>1.0</v>
      </c>
      <c r="E6" s="31">
        <v>1.0</v>
      </c>
      <c r="F6" s="42">
        <v>5.0</v>
      </c>
      <c r="G6" s="29" t="str">
        <f t="shared" si="1"/>
        <v>01005</v>
      </c>
      <c r="H6" s="37" t="s">
        <v>62</v>
      </c>
      <c r="I6" s="37" t="s">
        <v>0</v>
      </c>
      <c r="J6" s="37" t="s">
        <v>41</v>
      </c>
      <c r="K6" s="37" t="str">
        <f t="shared" si="2"/>
        <v>Barbour, AL</v>
      </c>
      <c r="L6" s="24"/>
    </row>
    <row r="7">
      <c r="A7" s="28">
        <v>6.0</v>
      </c>
      <c r="B7" s="29"/>
      <c r="C7" s="29"/>
      <c r="D7" s="40">
        <v>1.0</v>
      </c>
      <c r="E7" s="31">
        <v>1.0</v>
      </c>
      <c r="F7" s="42">
        <v>7.0</v>
      </c>
      <c r="G7" s="29" t="str">
        <f t="shared" si="1"/>
        <v>01007</v>
      </c>
      <c r="H7" s="37" t="s">
        <v>68</v>
      </c>
      <c r="I7" s="37" t="s">
        <v>0</v>
      </c>
      <c r="J7" s="37" t="s">
        <v>41</v>
      </c>
      <c r="K7" s="37" t="str">
        <f t="shared" si="2"/>
        <v>Bibb, AL</v>
      </c>
      <c r="L7" s="24"/>
    </row>
    <row r="8">
      <c r="A8" s="28">
        <v>7.0</v>
      </c>
      <c r="B8" s="29"/>
      <c r="C8" s="29"/>
      <c r="D8" s="40">
        <v>1.0</v>
      </c>
      <c r="E8" s="31">
        <v>1.0</v>
      </c>
      <c r="F8" s="42">
        <v>9.0</v>
      </c>
      <c r="G8" s="29" t="str">
        <f t="shared" si="1"/>
        <v>01009</v>
      </c>
      <c r="H8" s="37" t="s">
        <v>77</v>
      </c>
      <c r="I8" s="37" t="s">
        <v>0</v>
      </c>
      <c r="J8" s="37" t="s">
        <v>41</v>
      </c>
      <c r="K8" s="37" t="str">
        <f t="shared" si="2"/>
        <v>Blount, AL</v>
      </c>
      <c r="L8" s="24"/>
    </row>
    <row r="9">
      <c r="A9" s="28">
        <v>8.0</v>
      </c>
      <c r="B9" s="29"/>
      <c r="C9" s="29"/>
      <c r="D9" s="40">
        <v>1.0</v>
      </c>
      <c r="E9" s="31">
        <v>1.0</v>
      </c>
      <c r="F9" s="42">
        <v>11.0</v>
      </c>
      <c r="G9" s="29" t="str">
        <f t="shared" si="1"/>
        <v>01011</v>
      </c>
      <c r="H9" s="37" t="s">
        <v>81</v>
      </c>
      <c r="I9" s="37" t="s">
        <v>0</v>
      </c>
      <c r="J9" s="37" t="s">
        <v>41</v>
      </c>
      <c r="K9" s="37" t="str">
        <f t="shared" si="2"/>
        <v>Bullock, AL</v>
      </c>
      <c r="L9" s="24"/>
    </row>
    <row r="10">
      <c r="A10" s="28">
        <v>9.0</v>
      </c>
      <c r="B10" s="29"/>
      <c r="C10" s="29"/>
      <c r="D10" s="40">
        <v>1.0</v>
      </c>
      <c r="E10" s="31">
        <v>1.0</v>
      </c>
      <c r="F10" s="42">
        <v>13.0</v>
      </c>
      <c r="G10" s="29" t="str">
        <f t="shared" si="1"/>
        <v>01013</v>
      </c>
      <c r="H10" s="37" t="s">
        <v>87</v>
      </c>
      <c r="I10" s="37" t="s">
        <v>0</v>
      </c>
      <c r="J10" s="37" t="s">
        <v>41</v>
      </c>
      <c r="K10" s="37" t="str">
        <f t="shared" si="2"/>
        <v>Butler, AL</v>
      </c>
      <c r="L10" s="24"/>
    </row>
    <row r="11">
      <c r="A11" s="28">
        <v>10.0</v>
      </c>
      <c r="B11" s="29"/>
      <c r="C11" s="29"/>
      <c r="D11" s="40">
        <v>1.0</v>
      </c>
      <c r="E11" s="31">
        <v>1.0</v>
      </c>
      <c r="F11" s="42">
        <v>15.0</v>
      </c>
      <c r="G11" s="29" t="str">
        <f t="shared" si="1"/>
        <v>01015</v>
      </c>
      <c r="H11" s="37" t="s">
        <v>93</v>
      </c>
      <c r="I11" s="37" t="s">
        <v>0</v>
      </c>
      <c r="J11" s="37" t="s">
        <v>41</v>
      </c>
      <c r="K11" s="37" t="str">
        <f t="shared" si="2"/>
        <v>Calhoun, AL</v>
      </c>
      <c r="L11" s="24"/>
    </row>
    <row r="12">
      <c r="A12" s="28">
        <v>11.0</v>
      </c>
      <c r="B12" s="29"/>
      <c r="C12" s="29"/>
      <c r="D12" s="40">
        <v>1.0</v>
      </c>
      <c r="E12" s="31">
        <v>1.0</v>
      </c>
      <c r="F12" s="42">
        <v>17.0</v>
      </c>
      <c r="G12" s="29" t="str">
        <f t="shared" si="1"/>
        <v>01017</v>
      </c>
      <c r="H12" s="37" t="s">
        <v>98</v>
      </c>
      <c r="I12" s="37" t="s">
        <v>0</v>
      </c>
      <c r="J12" s="37" t="s">
        <v>41</v>
      </c>
      <c r="K12" s="37" t="str">
        <f t="shared" si="2"/>
        <v>Chambers, AL</v>
      </c>
      <c r="L12" s="24"/>
    </row>
    <row r="13">
      <c r="A13" s="28">
        <v>12.0</v>
      </c>
      <c r="B13" s="29"/>
      <c r="C13" s="29"/>
      <c r="D13" s="40">
        <v>1.0</v>
      </c>
      <c r="E13" s="31">
        <v>1.0</v>
      </c>
      <c r="F13" s="42">
        <v>19.0</v>
      </c>
      <c r="G13" s="29" t="str">
        <f t="shared" si="1"/>
        <v>01019</v>
      </c>
      <c r="H13" s="37" t="s">
        <v>101</v>
      </c>
      <c r="I13" s="37" t="s">
        <v>0</v>
      </c>
      <c r="J13" s="37" t="s">
        <v>41</v>
      </c>
      <c r="K13" s="37" t="str">
        <f t="shared" si="2"/>
        <v>Cherokee, AL</v>
      </c>
      <c r="L13" s="24"/>
    </row>
    <row r="14">
      <c r="A14" s="28">
        <v>13.0</v>
      </c>
      <c r="B14" s="29"/>
      <c r="C14" s="29"/>
      <c r="D14" s="40">
        <v>1.0</v>
      </c>
      <c r="E14" s="31">
        <v>1.0</v>
      </c>
      <c r="F14" s="42">
        <v>21.0</v>
      </c>
      <c r="G14" s="29" t="str">
        <f t="shared" si="1"/>
        <v>01021</v>
      </c>
      <c r="H14" s="37" t="s">
        <v>104</v>
      </c>
      <c r="I14" s="37" t="s">
        <v>0</v>
      </c>
      <c r="J14" s="37" t="s">
        <v>41</v>
      </c>
      <c r="K14" s="37" t="str">
        <f t="shared" si="2"/>
        <v>Chilton, AL</v>
      </c>
      <c r="L14" s="24"/>
    </row>
    <row r="15">
      <c r="A15" s="28">
        <v>14.0</v>
      </c>
      <c r="B15" s="29"/>
      <c r="C15" s="29"/>
      <c r="D15" s="40">
        <v>1.0</v>
      </c>
      <c r="E15" s="31">
        <v>1.0</v>
      </c>
      <c r="F15" s="42">
        <v>23.0</v>
      </c>
      <c r="G15" s="29" t="str">
        <f t="shared" si="1"/>
        <v>01023</v>
      </c>
      <c r="H15" s="37" t="s">
        <v>107</v>
      </c>
      <c r="I15" s="37" t="s">
        <v>0</v>
      </c>
      <c r="J15" s="37" t="s">
        <v>41</v>
      </c>
      <c r="K15" s="37" t="str">
        <f t="shared" si="2"/>
        <v>Choctaw, AL</v>
      </c>
      <c r="L15" s="24"/>
    </row>
    <row r="16">
      <c r="A16" s="28">
        <v>15.0</v>
      </c>
      <c r="B16" s="29"/>
      <c r="C16" s="29"/>
      <c r="D16" s="40">
        <v>1.0</v>
      </c>
      <c r="E16" s="31">
        <v>1.0</v>
      </c>
      <c r="F16" s="42">
        <v>25.0</v>
      </c>
      <c r="G16" s="29" t="str">
        <f t="shared" si="1"/>
        <v>01025</v>
      </c>
      <c r="H16" s="37" t="s">
        <v>110</v>
      </c>
      <c r="I16" s="37" t="s">
        <v>0</v>
      </c>
      <c r="J16" s="37" t="s">
        <v>41</v>
      </c>
      <c r="K16" s="37" t="str">
        <f t="shared" si="2"/>
        <v>Clarke, AL</v>
      </c>
      <c r="L16" s="24"/>
    </row>
    <row r="17">
      <c r="A17" s="28">
        <v>16.0</v>
      </c>
      <c r="B17" s="29"/>
      <c r="C17" s="29"/>
      <c r="D17" s="40">
        <v>1.0</v>
      </c>
      <c r="E17" s="31">
        <v>1.0</v>
      </c>
      <c r="F17" s="42">
        <v>27.0</v>
      </c>
      <c r="G17" s="29" t="str">
        <f t="shared" si="1"/>
        <v>01027</v>
      </c>
      <c r="H17" s="37" t="s">
        <v>112</v>
      </c>
      <c r="I17" s="37" t="s">
        <v>0</v>
      </c>
      <c r="J17" s="37" t="s">
        <v>41</v>
      </c>
      <c r="K17" s="37" t="str">
        <f t="shared" si="2"/>
        <v>Clay, AL</v>
      </c>
      <c r="L17" s="24"/>
    </row>
    <row r="18">
      <c r="A18" s="28">
        <v>17.0</v>
      </c>
      <c r="B18" s="29"/>
      <c r="C18" s="29"/>
      <c r="D18" s="40">
        <v>1.0</v>
      </c>
      <c r="E18" s="31">
        <v>1.0</v>
      </c>
      <c r="F18" s="42">
        <v>29.0</v>
      </c>
      <c r="G18" s="29" t="str">
        <f t="shared" si="1"/>
        <v>01029</v>
      </c>
      <c r="H18" s="37" t="s">
        <v>115</v>
      </c>
      <c r="I18" s="37" t="s">
        <v>0</v>
      </c>
      <c r="J18" s="37" t="s">
        <v>41</v>
      </c>
      <c r="K18" s="37" t="str">
        <f t="shared" si="2"/>
        <v>Cleburne, AL</v>
      </c>
      <c r="L18" s="24"/>
    </row>
    <row r="19">
      <c r="A19" s="28">
        <v>18.0</v>
      </c>
      <c r="B19" s="29"/>
      <c r="C19" s="29"/>
      <c r="D19" s="40">
        <v>1.0</v>
      </c>
      <c r="E19" s="31">
        <v>1.0</v>
      </c>
      <c r="F19" s="42">
        <v>31.0</v>
      </c>
      <c r="G19" s="29" t="str">
        <f t="shared" si="1"/>
        <v>01031</v>
      </c>
      <c r="H19" s="37" t="s">
        <v>118</v>
      </c>
      <c r="I19" s="37" t="s">
        <v>0</v>
      </c>
      <c r="J19" s="37" t="s">
        <v>41</v>
      </c>
      <c r="K19" s="37" t="str">
        <f t="shared" si="2"/>
        <v>Coffee, AL</v>
      </c>
      <c r="L19" s="24"/>
    </row>
    <row r="20">
      <c r="A20" s="28">
        <v>19.0</v>
      </c>
      <c r="B20" s="29"/>
      <c r="C20" s="29"/>
      <c r="D20" s="40">
        <v>1.0</v>
      </c>
      <c r="E20" s="31">
        <v>1.0</v>
      </c>
      <c r="F20" s="42">
        <v>33.0</v>
      </c>
      <c r="G20" s="29" t="str">
        <f t="shared" si="1"/>
        <v>01033</v>
      </c>
      <c r="H20" s="37" t="s">
        <v>121</v>
      </c>
      <c r="I20" s="37" t="s">
        <v>0</v>
      </c>
      <c r="J20" s="37" t="s">
        <v>41</v>
      </c>
      <c r="K20" s="37" t="str">
        <f t="shared" si="2"/>
        <v>Colbert, AL</v>
      </c>
      <c r="L20" s="24"/>
    </row>
    <row r="21">
      <c r="A21" s="28">
        <v>20.0</v>
      </c>
      <c r="B21" s="29"/>
      <c r="C21" s="29"/>
      <c r="D21" s="40">
        <v>1.0</v>
      </c>
      <c r="E21" s="31">
        <v>1.0</v>
      </c>
      <c r="F21" s="42">
        <v>35.0</v>
      </c>
      <c r="G21" s="29" t="str">
        <f t="shared" si="1"/>
        <v>01035</v>
      </c>
      <c r="H21" s="37" t="s">
        <v>124</v>
      </c>
      <c r="I21" s="37" t="s">
        <v>0</v>
      </c>
      <c r="J21" s="37" t="s">
        <v>41</v>
      </c>
      <c r="K21" s="37" t="str">
        <f t="shared" si="2"/>
        <v>Conecuh, AL</v>
      </c>
      <c r="L21" s="24"/>
    </row>
    <row r="22">
      <c r="A22" s="28">
        <v>21.0</v>
      </c>
      <c r="B22" s="29"/>
      <c r="C22" s="29"/>
      <c r="D22" s="40">
        <v>1.0</v>
      </c>
      <c r="E22" s="31">
        <v>1.0</v>
      </c>
      <c r="F22" s="42">
        <v>37.0</v>
      </c>
      <c r="G22" s="29" t="str">
        <f t="shared" si="1"/>
        <v>01037</v>
      </c>
      <c r="H22" s="37" t="s">
        <v>125</v>
      </c>
      <c r="I22" s="37" t="s">
        <v>0</v>
      </c>
      <c r="J22" s="37" t="s">
        <v>41</v>
      </c>
      <c r="K22" s="37" t="str">
        <f t="shared" si="2"/>
        <v>Coosa, AL</v>
      </c>
      <c r="L22" s="24"/>
    </row>
    <row r="23">
      <c r="A23" s="28">
        <v>22.0</v>
      </c>
      <c r="B23" s="29"/>
      <c r="C23" s="29"/>
      <c r="D23" s="40">
        <v>1.0</v>
      </c>
      <c r="E23" s="31">
        <v>1.0</v>
      </c>
      <c r="F23" s="42">
        <v>39.0</v>
      </c>
      <c r="G23" s="29" t="str">
        <f t="shared" si="1"/>
        <v>01039</v>
      </c>
      <c r="H23" s="37" t="s">
        <v>126</v>
      </c>
      <c r="I23" s="37" t="s">
        <v>0</v>
      </c>
      <c r="J23" s="37" t="s">
        <v>41</v>
      </c>
      <c r="K23" s="37" t="str">
        <f t="shared" si="2"/>
        <v>Covington, AL</v>
      </c>
      <c r="L23" s="24"/>
    </row>
    <row r="24">
      <c r="A24" s="28">
        <v>23.0</v>
      </c>
      <c r="B24" s="29"/>
      <c r="C24" s="29"/>
      <c r="D24" s="40">
        <v>1.0</v>
      </c>
      <c r="E24" s="31">
        <v>1.0</v>
      </c>
      <c r="F24" s="42">
        <v>41.0</v>
      </c>
      <c r="G24" s="29" t="str">
        <f t="shared" si="1"/>
        <v>01041</v>
      </c>
      <c r="H24" s="37" t="s">
        <v>127</v>
      </c>
      <c r="I24" s="37" t="s">
        <v>0</v>
      </c>
      <c r="J24" s="37" t="s">
        <v>41</v>
      </c>
      <c r="K24" s="37" t="str">
        <f t="shared" si="2"/>
        <v>Crenshaw, AL</v>
      </c>
      <c r="L24" s="24"/>
    </row>
    <row r="25">
      <c r="A25" s="28">
        <v>24.0</v>
      </c>
      <c r="B25" s="29"/>
      <c r="C25" s="29"/>
      <c r="D25" s="40">
        <v>1.0</v>
      </c>
      <c r="E25" s="31">
        <v>1.0</v>
      </c>
      <c r="F25" s="42">
        <v>43.0</v>
      </c>
      <c r="G25" s="29" t="str">
        <f t="shared" si="1"/>
        <v>01043</v>
      </c>
      <c r="H25" s="37" t="s">
        <v>128</v>
      </c>
      <c r="I25" s="37" t="s">
        <v>0</v>
      </c>
      <c r="J25" s="37" t="s">
        <v>41</v>
      </c>
      <c r="K25" s="37" t="str">
        <f t="shared" si="2"/>
        <v>Cullman, AL</v>
      </c>
      <c r="L25" s="24"/>
    </row>
    <row r="26">
      <c r="A26" s="28">
        <v>25.0</v>
      </c>
      <c r="B26" s="29"/>
      <c r="C26" s="29"/>
      <c r="D26" s="40">
        <v>1.0</v>
      </c>
      <c r="E26" s="31">
        <v>1.0</v>
      </c>
      <c r="F26" s="42">
        <v>45.0</v>
      </c>
      <c r="G26" s="29" t="str">
        <f t="shared" si="1"/>
        <v>01045</v>
      </c>
      <c r="H26" s="37" t="s">
        <v>129</v>
      </c>
      <c r="I26" s="37" t="s">
        <v>0</v>
      </c>
      <c r="J26" s="37" t="s">
        <v>41</v>
      </c>
      <c r="K26" s="37" t="str">
        <f t="shared" si="2"/>
        <v>Dale, AL</v>
      </c>
      <c r="L26" s="24"/>
    </row>
    <row r="27">
      <c r="A27" s="28">
        <v>26.0</v>
      </c>
      <c r="B27" s="29"/>
      <c r="C27" s="29"/>
      <c r="D27" s="40">
        <v>1.0</v>
      </c>
      <c r="E27" s="31">
        <v>1.0</v>
      </c>
      <c r="F27" s="42">
        <v>47.0</v>
      </c>
      <c r="G27" s="29" t="str">
        <f t="shared" si="1"/>
        <v>01047</v>
      </c>
      <c r="H27" s="37" t="s">
        <v>130</v>
      </c>
      <c r="I27" s="37" t="s">
        <v>0</v>
      </c>
      <c r="J27" s="37" t="s">
        <v>41</v>
      </c>
      <c r="K27" s="37" t="str">
        <f t="shared" si="2"/>
        <v>Dallas, AL</v>
      </c>
      <c r="L27" s="24"/>
    </row>
    <row r="28">
      <c r="A28" s="28">
        <v>27.0</v>
      </c>
      <c r="B28" s="29"/>
      <c r="C28" s="29"/>
      <c r="D28" s="40">
        <v>1.0</v>
      </c>
      <c r="E28" s="31">
        <v>1.0</v>
      </c>
      <c r="F28" s="42">
        <v>49.0</v>
      </c>
      <c r="G28" s="29" t="str">
        <f t="shared" si="1"/>
        <v>01049</v>
      </c>
      <c r="H28" s="37" t="s">
        <v>131</v>
      </c>
      <c r="I28" s="37" t="s">
        <v>0</v>
      </c>
      <c r="J28" s="37" t="s">
        <v>41</v>
      </c>
      <c r="K28" s="37" t="str">
        <f t="shared" si="2"/>
        <v>De Kalb, AL</v>
      </c>
      <c r="L28" s="24"/>
    </row>
    <row r="29">
      <c r="A29" s="28">
        <v>28.0</v>
      </c>
      <c r="B29" s="29"/>
      <c r="C29" s="29"/>
      <c r="D29" s="40">
        <v>1.0</v>
      </c>
      <c r="E29" s="31">
        <v>1.0</v>
      </c>
      <c r="F29" s="42">
        <v>51.0</v>
      </c>
      <c r="G29" s="29" t="str">
        <f t="shared" si="1"/>
        <v>01051</v>
      </c>
      <c r="H29" s="37" t="s">
        <v>132</v>
      </c>
      <c r="I29" s="37" t="s">
        <v>0</v>
      </c>
      <c r="J29" s="37" t="s">
        <v>41</v>
      </c>
      <c r="K29" s="37" t="str">
        <f t="shared" si="2"/>
        <v>Elmore, AL</v>
      </c>
      <c r="L29" s="24"/>
    </row>
    <row r="30">
      <c r="A30" s="28">
        <v>29.0</v>
      </c>
      <c r="B30" s="29"/>
      <c r="C30" s="29"/>
      <c r="D30" s="40">
        <v>1.0</v>
      </c>
      <c r="E30" s="31">
        <v>1.0</v>
      </c>
      <c r="F30" s="42">
        <v>53.0</v>
      </c>
      <c r="G30" s="29" t="str">
        <f t="shared" si="1"/>
        <v>01053</v>
      </c>
      <c r="H30" s="37" t="s">
        <v>133</v>
      </c>
      <c r="I30" s="37" t="s">
        <v>0</v>
      </c>
      <c r="J30" s="37" t="s">
        <v>41</v>
      </c>
      <c r="K30" s="37" t="str">
        <f t="shared" si="2"/>
        <v>Escambia, AL</v>
      </c>
      <c r="L30" s="24"/>
    </row>
    <row r="31">
      <c r="A31" s="28">
        <v>30.0</v>
      </c>
      <c r="B31" s="29"/>
      <c r="C31" s="29"/>
      <c r="D31" s="40">
        <v>1.0</v>
      </c>
      <c r="E31" s="31">
        <v>1.0</v>
      </c>
      <c r="F31" s="42">
        <v>55.0</v>
      </c>
      <c r="G31" s="29" t="str">
        <f t="shared" si="1"/>
        <v>01055</v>
      </c>
      <c r="H31" s="37" t="s">
        <v>134</v>
      </c>
      <c r="I31" s="37" t="s">
        <v>0</v>
      </c>
      <c r="J31" s="37" t="s">
        <v>41</v>
      </c>
      <c r="K31" s="37" t="str">
        <f t="shared" si="2"/>
        <v>Etowah, AL</v>
      </c>
      <c r="L31" s="24"/>
    </row>
    <row r="32">
      <c r="A32" s="28">
        <v>31.0</v>
      </c>
      <c r="B32" s="29"/>
      <c r="C32" s="29"/>
      <c r="D32" s="40">
        <v>1.0</v>
      </c>
      <c r="E32" s="31">
        <v>1.0</v>
      </c>
      <c r="F32" s="42">
        <v>57.0</v>
      </c>
      <c r="G32" s="29" t="str">
        <f t="shared" si="1"/>
        <v>01057</v>
      </c>
      <c r="H32" s="37" t="s">
        <v>135</v>
      </c>
      <c r="I32" s="37" t="s">
        <v>0</v>
      </c>
      <c r="J32" s="37" t="s">
        <v>41</v>
      </c>
      <c r="K32" s="37" t="str">
        <f t="shared" si="2"/>
        <v>Fayette, AL</v>
      </c>
      <c r="L32" s="24"/>
    </row>
    <row r="33">
      <c r="A33" s="28">
        <v>32.0</v>
      </c>
      <c r="B33" s="29"/>
      <c r="C33" s="29"/>
      <c r="D33" s="40">
        <v>1.0</v>
      </c>
      <c r="E33" s="31">
        <v>1.0</v>
      </c>
      <c r="F33" s="42">
        <v>59.0</v>
      </c>
      <c r="G33" s="29" t="str">
        <f t="shared" si="1"/>
        <v>01059</v>
      </c>
      <c r="H33" s="37" t="s">
        <v>136</v>
      </c>
      <c r="I33" s="37" t="s">
        <v>0</v>
      </c>
      <c r="J33" s="37" t="s">
        <v>41</v>
      </c>
      <c r="K33" s="37" t="str">
        <f t="shared" si="2"/>
        <v>Franklin, AL</v>
      </c>
      <c r="L33" s="24"/>
    </row>
    <row r="34">
      <c r="A34" s="28">
        <v>33.0</v>
      </c>
      <c r="B34" s="29"/>
      <c r="C34" s="29"/>
      <c r="D34" s="40">
        <v>1.0</v>
      </c>
      <c r="E34" s="31">
        <v>1.0</v>
      </c>
      <c r="F34" s="42">
        <v>61.0</v>
      </c>
      <c r="G34" s="29" t="str">
        <f t="shared" si="1"/>
        <v>01061</v>
      </c>
      <c r="H34" s="37" t="s">
        <v>137</v>
      </c>
      <c r="I34" s="37" t="s">
        <v>0</v>
      </c>
      <c r="J34" s="37" t="s">
        <v>41</v>
      </c>
      <c r="K34" s="37" t="str">
        <f t="shared" si="2"/>
        <v>Geneva, AL</v>
      </c>
      <c r="L34" s="24"/>
    </row>
    <row r="35">
      <c r="A35" s="28">
        <v>34.0</v>
      </c>
      <c r="B35" s="29"/>
      <c r="C35" s="29"/>
      <c r="D35" s="40">
        <v>1.0</v>
      </c>
      <c r="E35" s="31">
        <v>1.0</v>
      </c>
      <c r="F35" s="42">
        <v>63.0</v>
      </c>
      <c r="G35" s="29" t="str">
        <f t="shared" si="1"/>
        <v>01063</v>
      </c>
      <c r="H35" s="37" t="s">
        <v>138</v>
      </c>
      <c r="I35" s="37" t="s">
        <v>0</v>
      </c>
      <c r="J35" s="37" t="s">
        <v>41</v>
      </c>
      <c r="K35" s="37" t="str">
        <f t="shared" si="2"/>
        <v>Greene, AL</v>
      </c>
      <c r="L35" s="24"/>
    </row>
    <row r="36">
      <c r="A36" s="28">
        <v>35.0</v>
      </c>
      <c r="B36" s="29"/>
      <c r="C36" s="29"/>
      <c r="D36" s="40">
        <v>1.0</v>
      </c>
      <c r="E36" s="31">
        <v>1.0</v>
      </c>
      <c r="F36" s="42">
        <v>65.0</v>
      </c>
      <c r="G36" s="29" t="str">
        <f t="shared" si="1"/>
        <v>01065</v>
      </c>
      <c r="H36" s="37" t="s">
        <v>139</v>
      </c>
      <c r="I36" s="37" t="s">
        <v>0</v>
      </c>
      <c r="J36" s="37" t="s">
        <v>41</v>
      </c>
      <c r="K36" s="37" t="str">
        <f t="shared" si="2"/>
        <v>Hale, AL</v>
      </c>
      <c r="L36" s="24"/>
    </row>
    <row r="37">
      <c r="A37" s="28">
        <v>36.0</v>
      </c>
      <c r="B37" s="29"/>
      <c r="C37" s="29"/>
      <c r="D37" s="40">
        <v>1.0</v>
      </c>
      <c r="E37" s="31">
        <v>1.0</v>
      </c>
      <c r="F37" s="42">
        <v>67.0</v>
      </c>
      <c r="G37" s="29" t="str">
        <f t="shared" si="1"/>
        <v>01067</v>
      </c>
      <c r="H37" s="37" t="s">
        <v>140</v>
      </c>
      <c r="I37" s="37" t="s">
        <v>0</v>
      </c>
      <c r="J37" s="37" t="s">
        <v>41</v>
      </c>
      <c r="K37" s="37" t="str">
        <f t="shared" si="2"/>
        <v>Henry, AL</v>
      </c>
      <c r="L37" s="24"/>
    </row>
    <row r="38">
      <c r="A38" s="28">
        <v>37.0</v>
      </c>
      <c r="B38" s="29"/>
      <c r="C38" s="29"/>
      <c r="D38" s="40">
        <v>1.0</v>
      </c>
      <c r="E38" s="31">
        <v>1.0</v>
      </c>
      <c r="F38" s="42">
        <v>69.0</v>
      </c>
      <c r="G38" s="29" t="str">
        <f t="shared" si="1"/>
        <v>01069</v>
      </c>
      <c r="H38" s="37" t="s">
        <v>141</v>
      </c>
      <c r="I38" s="37" t="s">
        <v>0</v>
      </c>
      <c r="J38" s="37" t="s">
        <v>41</v>
      </c>
      <c r="K38" s="37" t="str">
        <f t="shared" si="2"/>
        <v>Houston, AL</v>
      </c>
      <c r="L38" s="24"/>
    </row>
    <row r="39">
      <c r="A39" s="28">
        <v>38.0</v>
      </c>
      <c r="B39" s="29"/>
      <c r="C39" s="29"/>
      <c r="D39" s="40">
        <v>1.0</v>
      </c>
      <c r="E39" s="31">
        <v>1.0</v>
      </c>
      <c r="F39" s="42">
        <v>71.0</v>
      </c>
      <c r="G39" s="29" t="str">
        <f t="shared" si="1"/>
        <v>01071</v>
      </c>
      <c r="H39" s="37" t="s">
        <v>142</v>
      </c>
      <c r="I39" s="37" t="s">
        <v>0</v>
      </c>
      <c r="J39" s="37" t="s">
        <v>41</v>
      </c>
      <c r="K39" s="37" t="str">
        <f t="shared" si="2"/>
        <v>Jackson, AL</v>
      </c>
      <c r="L39" s="24"/>
    </row>
    <row r="40">
      <c r="A40" s="28">
        <v>39.0</v>
      </c>
      <c r="B40" s="29"/>
      <c r="C40" s="29"/>
      <c r="D40" s="40">
        <v>1.0</v>
      </c>
      <c r="E40" s="31">
        <v>1.0</v>
      </c>
      <c r="F40" s="42">
        <v>73.0</v>
      </c>
      <c r="G40" s="29" t="str">
        <f t="shared" si="1"/>
        <v>01073</v>
      </c>
      <c r="H40" s="37" t="s">
        <v>143</v>
      </c>
      <c r="I40" s="37" t="s">
        <v>0</v>
      </c>
      <c r="J40" s="37" t="s">
        <v>41</v>
      </c>
      <c r="K40" s="37" t="str">
        <f t="shared" si="2"/>
        <v>Jefferson, AL</v>
      </c>
      <c r="L40" s="24"/>
    </row>
    <row r="41">
      <c r="A41" s="28">
        <v>40.0</v>
      </c>
      <c r="B41" s="29"/>
      <c r="C41" s="29"/>
      <c r="D41" s="40">
        <v>1.0</v>
      </c>
      <c r="E41" s="31">
        <v>1.0</v>
      </c>
      <c r="F41" s="42">
        <v>75.0</v>
      </c>
      <c r="G41" s="29" t="str">
        <f t="shared" si="1"/>
        <v>01075</v>
      </c>
      <c r="H41" s="37" t="s">
        <v>144</v>
      </c>
      <c r="I41" s="37" t="s">
        <v>0</v>
      </c>
      <c r="J41" s="37" t="s">
        <v>41</v>
      </c>
      <c r="K41" s="37" t="str">
        <f t="shared" si="2"/>
        <v>Lamar, AL</v>
      </c>
      <c r="L41" s="24"/>
    </row>
    <row r="42">
      <c r="A42" s="28">
        <v>41.0</v>
      </c>
      <c r="B42" s="29"/>
      <c r="C42" s="29"/>
      <c r="D42" s="40">
        <v>1.0</v>
      </c>
      <c r="E42" s="31">
        <v>1.0</v>
      </c>
      <c r="F42" s="42">
        <v>77.0</v>
      </c>
      <c r="G42" s="29" t="str">
        <f t="shared" si="1"/>
        <v>01077</v>
      </c>
      <c r="H42" s="37" t="s">
        <v>145</v>
      </c>
      <c r="I42" s="37" t="s">
        <v>0</v>
      </c>
      <c r="J42" s="37" t="s">
        <v>41</v>
      </c>
      <c r="K42" s="37" t="str">
        <f t="shared" si="2"/>
        <v>Lauderdale, AL</v>
      </c>
      <c r="L42" s="24"/>
    </row>
    <row r="43">
      <c r="A43" s="28">
        <v>42.0</v>
      </c>
      <c r="B43" s="29"/>
      <c r="C43" s="29"/>
      <c r="D43" s="40">
        <v>1.0</v>
      </c>
      <c r="E43" s="31">
        <v>1.0</v>
      </c>
      <c r="F43" s="42">
        <v>79.0</v>
      </c>
      <c r="G43" s="29" t="str">
        <f t="shared" si="1"/>
        <v>01079</v>
      </c>
      <c r="H43" s="37" t="s">
        <v>146</v>
      </c>
      <c r="I43" s="37" t="s">
        <v>0</v>
      </c>
      <c r="J43" s="37" t="s">
        <v>41</v>
      </c>
      <c r="K43" s="37" t="str">
        <f t="shared" si="2"/>
        <v>Lawrence, AL</v>
      </c>
      <c r="L43" s="24"/>
    </row>
    <row r="44">
      <c r="A44" s="28">
        <v>43.0</v>
      </c>
      <c r="B44" s="29"/>
      <c r="C44" s="29"/>
      <c r="D44" s="40">
        <v>1.0</v>
      </c>
      <c r="E44" s="31">
        <v>1.0</v>
      </c>
      <c r="F44" s="42">
        <v>81.0</v>
      </c>
      <c r="G44" s="29" t="str">
        <f t="shared" si="1"/>
        <v>01081</v>
      </c>
      <c r="H44" s="37" t="s">
        <v>147</v>
      </c>
      <c r="I44" s="37" t="s">
        <v>0</v>
      </c>
      <c r="J44" s="37" t="s">
        <v>41</v>
      </c>
      <c r="K44" s="37" t="str">
        <f t="shared" si="2"/>
        <v>Lee, AL</v>
      </c>
      <c r="L44" s="24"/>
    </row>
    <row r="45">
      <c r="A45" s="28">
        <v>44.0</v>
      </c>
      <c r="B45" s="29"/>
      <c r="C45" s="29"/>
      <c r="D45" s="40">
        <v>1.0</v>
      </c>
      <c r="E45" s="31">
        <v>1.0</v>
      </c>
      <c r="F45" s="42">
        <v>83.0</v>
      </c>
      <c r="G45" s="29" t="str">
        <f t="shared" si="1"/>
        <v>01083</v>
      </c>
      <c r="H45" s="37" t="s">
        <v>148</v>
      </c>
      <c r="I45" s="37" t="s">
        <v>0</v>
      </c>
      <c r="J45" s="37" t="s">
        <v>41</v>
      </c>
      <c r="K45" s="37" t="str">
        <f t="shared" si="2"/>
        <v>Limestone, AL</v>
      </c>
      <c r="L45" s="24"/>
    </row>
    <row r="46">
      <c r="A46" s="28">
        <v>45.0</v>
      </c>
      <c r="B46" s="29"/>
      <c r="C46" s="29"/>
      <c r="D46" s="40">
        <v>1.0</v>
      </c>
      <c r="E46" s="31">
        <v>1.0</v>
      </c>
      <c r="F46" s="42">
        <v>85.0</v>
      </c>
      <c r="G46" s="29" t="str">
        <f t="shared" si="1"/>
        <v>01085</v>
      </c>
      <c r="H46" s="37" t="s">
        <v>149</v>
      </c>
      <c r="I46" s="37" t="s">
        <v>0</v>
      </c>
      <c r="J46" s="37" t="s">
        <v>41</v>
      </c>
      <c r="K46" s="37" t="str">
        <f t="shared" si="2"/>
        <v>Lowndes, AL</v>
      </c>
      <c r="L46" s="24"/>
    </row>
    <row r="47">
      <c r="A47" s="28">
        <v>46.0</v>
      </c>
      <c r="B47" s="29"/>
      <c r="C47" s="29"/>
      <c r="D47" s="40">
        <v>1.0</v>
      </c>
      <c r="E47" s="31">
        <v>1.0</v>
      </c>
      <c r="F47" s="42">
        <v>87.0</v>
      </c>
      <c r="G47" s="29" t="str">
        <f t="shared" si="1"/>
        <v>01087</v>
      </c>
      <c r="H47" s="37" t="s">
        <v>150</v>
      </c>
      <c r="I47" s="37" t="s">
        <v>0</v>
      </c>
      <c r="J47" s="37" t="s">
        <v>41</v>
      </c>
      <c r="K47" s="37" t="str">
        <f t="shared" si="2"/>
        <v>Macon, AL</v>
      </c>
      <c r="L47" s="24"/>
    </row>
    <row r="48">
      <c r="A48" s="28">
        <v>47.0</v>
      </c>
      <c r="B48" s="29"/>
      <c r="C48" s="29"/>
      <c r="D48" s="40">
        <v>1.0</v>
      </c>
      <c r="E48" s="31">
        <v>1.0</v>
      </c>
      <c r="F48" s="42">
        <v>89.0</v>
      </c>
      <c r="G48" s="29" t="str">
        <f t="shared" si="1"/>
        <v>01089</v>
      </c>
      <c r="H48" s="37" t="s">
        <v>151</v>
      </c>
      <c r="I48" s="37" t="s">
        <v>0</v>
      </c>
      <c r="J48" s="37" t="s">
        <v>41</v>
      </c>
      <c r="K48" s="37" t="str">
        <f t="shared" si="2"/>
        <v>Madison, AL</v>
      </c>
      <c r="L48" s="24"/>
    </row>
    <row r="49">
      <c r="A49" s="28">
        <v>48.0</v>
      </c>
      <c r="B49" s="29"/>
      <c r="C49" s="29"/>
      <c r="D49" s="40">
        <v>1.0</v>
      </c>
      <c r="E49" s="31">
        <v>1.0</v>
      </c>
      <c r="F49" s="42">
        <v>91.0</v>
      </c>
      <c r="G49" s="29" t="str">
        <f t="shared" si="1"/>
        <v>01091</v>
      </c>
      <c r="H49" s="37" t="s">
        <v>152</v>
      </c>
      <c r="I49" s="37" t="s">
        <v>0</v>
      </c>
      <c r="J49" s="37" t="s">
        <v>41</v>
      </c>
      <c r="K49" s="37" t="str">
        <f t="shared" si="2"/>
        <v>Marengo, AL</v>
      </c>
      <c r="L49" s="24"/>
    </row>
    <row r="50">
      <c r="A50" s="28">
        <v>49.0</v>
      </c>
      <c r="B50" s="29"/>
      <c r="C50" s="29"/>
      <c r="D50" s="40">
        <v>1.0</v>
      </c>
      <c r="E50" s="31">
        <v>1.0</v>
      </c>
      <c r="F50" s="42">
        <v>93.0</v>
      </c>
      <c r="G50" s="29" t="str">
        <f t="shared" si="1"/>
        <v>01093</v>
      </c>
      <c r="H50" s="37" t="s">
        <v>153</v>
      </c>
      <c r="I50" s="37" t="s">
        <v>0</v>
      </c>
      <c r="J50" s="37" t="s">
        <v>41</v>
      </c>
      <c r="K50" s="37" t="str">
        <f t="shared" si="2"/>
        <v>Marion, AL</v>
      </c>
      <c r="L50" s="24"/>
    </row>
    <row r="51">
      <c r="A51" s="28">
        <v>50.0</v>
      </c>
      <c r="B51" s="29"/>
      <c r="C51" s="29"/>
      <c r="D51" s="40">
        <v>1.0</v>
      </c>
      <c r="E51" s="31">
        <v>1.0</v>
      </c>
      <c r="F51" s="42">
        <v>95.0</v>
      </c>
      <c r="G51" s="29" t="str">
        <f t="shared" si="1"/>
        <v>01095</v>
      </c>
      <c r="H51" s="37" t="s">
        <v>154</v>
      </c>
      <c r="I51" s="37" t="s">
        <v>0</v>
      </c>
      <c r="J51" s="37" t="s">
        <v>41</v>
      </c>
      <c r="K51" s="37" t="str">
        <f t="shared" si="2"/>
        <v>Marshall, AL</v>
      </c>
      <c r="L51" s="24"/>
    </row>
    <row r="52">
      <c r="A52" s="28">
        <v>51.0</v>
      </c>
      <c r="B52" s="29"/>
      <c r="C52" s="29"/>
      <c r="D52" s="40">
        <v>1.0</v>
      </c>
      <c r="E52" s="31">
        <v>1.0</v>
      </c>
      <c r="F52" s="42">
        <v>97.0</v>
      </c>
      <c r="G52" s="29" t="str">
        <f t="shared" si="1"/>
        <v>01097</v>
      </c>
      <c r="H52" s="37" t="s">
        <v>155</v>
      </c>
      <c r="I52" s="37" t="s">
        <v>0</v>
      </c>
      <c r="J52" s="37" t="s">
        <v>41</v>
      </c>
      <c r="K52" s="37" t="str">
        <f t="shared" si="2"/>
        <v>Mobile, AL</v>
      </c>
      <c r="L52" s="24"/>
    </row>
    <row r="53">
      <c r="A53" s="28">
        <v>52.0</v>
      </c>
      <c r="B53" s="29"/>
      <c r="C53" s="29"/>
      <c r="D53" s="40">
        <v>1.0</v>
      </c>
      <c r="E53" s="31">
        <v>1.0</v>
      </c>
      <c r="F53" s="42">
        <v>99.0</v>
      </c>
      <c r="G53" s="29" t="str">
        <f t="shared" si="1"/>
        <v>01099</v>
      </c>
      <c r="H53" s="37" t="s">
        <v>156</v>
      </c>
      <c r="I53" s="37" t="s">
        <v>0</v>
      </c>
      <c r="J53" s="37" t="s">
        <v>41</v>
      </c>
      <c r="K53" s="37" t="str">
        <f t="shared" si="2"/>
        <v>Monroe, AL</v>
      </c>
      <c r="L53" s="24"/>
    </row>
    <row r="54">
      <c r="A54" s="28">
        <v>53.0</v>
      </c>
      <c r="B54" s="29"/>
      <c r="C54" s="29"/>
      <c r="D54" s="40">
        <v>1.0</v>
      </c>
      <c r="E54" s="31">
        <v>1.0</v>
      </c>
      <c r="F54" s="42">
        <v>101.0</v>
      </c>
      <c r="G54" s="29" t="str">
        <f t="shared" si="1"/>
        <v>01101</v>
      </c>
      <c r="H54" s="37" t="s">
        <v>157</v>
      </c>
      <c r="I54" s="37" t="s">
        <v>0</v>
      </c>
      <c r="J54" s="37" t="s">
        <v>41</v>
      </c>
      <c r="K54" s="37" t="str">
        <f t="shared" si="2"/>
        <v>Montgomery, AL</v>
      </c>
      <c r="L54" s="24"/>
    </row>
    <row r="55">
      <c r="A55" s="28">
        <v>54.0</v>
      </c>
      <c r="B55" s="29"/>
      <c r="C55" s="29"/>
      <c r="D55" s="40">
        <v>1.0</v>
      </c>
      <c r="E55" s="31">
        <v>1.0</v>
      </c>
      <c r="F55" s="42">
        <v>103.0</v>
      </c>
      <c r="G55" s="29" t="str">
        <f t="shared" si="1"/>
        <v>01103</v>
      </c>
      <c r="H55" s="37" t="s">
        <v>158</v>
      </c>
      <c r="I55" s="37" t="s">
        <v>0</v>
      </c>
      <c r="J55" s="37" t="s">
        <v>41</v>
      </c>
      <c r="K55" s="37" t="str">
        <f t="shared" si="2"/>
        <v>Morgan, AL</v>
      </c>
      <c r="L55" s="24"/>
    </row>
    <row r="56">
      <c r="A56" s="28">
        <v>55.0</v>
      </c>
      <c r="B56" s="29"/>
      <c r="C56" s="29"/>
      <c r="D56" s="40">
        <v>1.0</v>
      </c>
      <c r="E56" s="31">
        <v>1.0</v>
      </c>
      <c r="F56" s="42">
        <v>105.0</v>
      </c>
      <c r="G56" s="29" t="str">
        <f t="shared" si="1"/>
        <v>01105</v>
      </c>
      <c r="H56" s="37" t="s">
        <v>159</v>
      </c>
      <c r="I56" s="37" t="s">
        <v>0</v>
      </c>
      <c r="J56" s="37" t="s">
        <v>41</v>
      </c>
      <c r="K56" s="37" t="str">
        <f t="shared" si="2"/>
        <v>Perry, AL</v>
      </c>
      <c r="L56" s="24"/>
    </row>
    <row r="57">
      <c r="A57" s="28">
        <v>56.0</v>
      </c>
      <c r="B57" s="29"/>
      <c r="C57" s="29"/>
      <c r="D57" s="40">
        <v>1.0</v>
      </c>
      <c r="E57" s="31">
        <v>1.0</v>
      </c>
      <c r="F57" s="42">
        <v>107.0</v>
      </c>
      <c r="G57" s="29" t="str">
        <f t="shared" si="1"/>
        <v>01107</v>
      </c>
      <c r="H57" s="37" t="s">
        <v>160</v>
      </c>
      <c r="I57" s="37" t="s">
        <v>0</v>
      </c>
      <c r="J57" s="37" t="s">
        <v>41</v>
      </c>
      <c r="K57" s="37" t="str">
        <f t="shared" si="2"/>
        <v>Pickens, AL</v>
      </c>
      <c r="L57" s="24"/>
    </row>
    <row r="58">
      <c r="A58" s="28">
        <v>57.0</v>
      </c>
      <c r="B58" s="29"/>
      <c r="C58" s="29"/>
      <c r="D58" s="40">
        <v>1.0</v>
      </c>
      <c r="E58" s="31">
        <v>1.0</v>
      </c>
      <c r="F58" s="42">
        <v>109.0</v>
      </c>
      <c r="G58" s="29" t="str">
        <f t="shared" si="1"/>
        <v>01109</v>
      </c>
      <c r="H58" s="37" t="s">
        <v>162</v>
      </c>
      <c r="I58" s="37" t="s">
        <v>0</v>
      </c>
      <c r="J58" s="37" t="s">
        <v>41</v>
      </c>
      <c r="K58" s="37" t="str">
        <f t="shared" si="2"/>
        <v>Pike, AL</v>
      </c>
      <c r="L58" s="24"/>
    </row>
    <row r="59">
      <c r="A59" s="28">
        <v>58.0</v>
      </c>
      <c r="B59" s="29"/>
      <c r="C59" s="29"/>
      <c r="D59" s="40">
        <v>1.0</v>
      </c>
      <c r="E59" s="31">
        <v>1.0</v>
      </c>
      <c r="F59" s="42">
        <v>111.0</v>
      </c>
      <c r="G59" s="29" t="str">
        <f t="shared" si="1"/>
        <v>01111</v>
      </c>
      <c r="H59" s="37" t="s">
        <v>163</v>
      </c>
      <c r="I59" s="37" t="s">
        <v>0</v>
      </c>
      <c r="J59" s="37" t="s">
        <v>41</v>
      </c>
      <c r="K59" s="37" t="str">
        <f t="shared" si="2"/>
        <v>Randolph, AL</v>
      </c>
      <c r="L59" s="24"/>
    </row>
    <row r="60">
      <c r="A60" s="28">
        <v>59.0</v>
      </c>
      <c r="B60" s="29"/>
      <c r="C60" s="29"/>
      <c r="D60" s="40">
        <v>1.0</v>
      </c>
      <c r="E60" s="31">
        <v>1.0</v>
      </c>
      <c r="F60" s="42">
        <v>113.0</v>
      </c>
      <c r="G60" s="29" t="str">
        <f t="shared" si="1"/>
        <v>01113</v>
      </c>
      <c r="H60" s="37" t="s">
        <v>165</v>
      </c>
      <c r="I60" s="37" t="s">
        <v>0</v>
      </c>
      <c r="J60" s="37" t="s">
        <v>41</v>
      </c>
      <c r="K60" s="37" t="str">
        <f t="shared" si="2"/>
        <v>Russell, AL</v>
      </c>
      <c r="L60" s="24"/>
    </row>
    <row r="61">
      <c r="A61" s="28">
        <v>60.0</v>
      </c>
      <c r="B61" s="29"/>
      <c r="C61" s="29"/>
      <c r="D61" s="40">
        <v>1.0</v>
      </c>
      <c r="E61" s="31">
        <v>1.0</v>
      </c>
      <c r="F61" s="42">
        <v>115.0</v>
      </c>
      <c r="G61" s="29" t="str">
        <f t="shared" si="1"/>
        <v>01115</v>
      </c>
      <c r="H61" s="37" t="s">
        <v>167</v>
      </c>
      <c r="I61" s="37" t="s">
        <v>0</v>
      </c>
      <c r="J61" s="37" t="s">
        <v>41</v>
      </c>
      <c r="K61" s="37" t="str">
        <f t="shared" si="2"/>
        <v>St Clair, AL</v>
      </c>
      <c r="L61" s="24"/>
    </row>
    <row r="62">
      <c r="A62" s="28">
        <v>61.0</v>
      </c>
      <c r="B62" s="29"/>
      <c r="C62" s="29"/>
      <c r="D62" s="40">
        <v>1.0</v>
      </c>
      <c r="E62" s="31">
        <v>1.0</v>
      </c>
      <c r="F62" s="42">
        <v>117.0</v>
      </c>
      <c r="G62" s="29" t="str">
        <f t="shared" si="1"/>
        <v>01117</v>
      </c>
      <c r="H62" s="37" t="s">
        <v>168</v>
      </c>
      <c r="I62" s="37" t="s">
        <v>0</v>
      </c>
      <c r="J62" s="37" t="s">
        <v>41</v>
      </c>
      <c r="K62" s="37" t="str">
        <f t="shared" si="2"/>
        <v>Shelby, AL</v>
      </c>
      <c r="L62" s="24"/>
    </row>
    <row r="63">
      <c r="A63" s="28">
        <v>62.0</v>
      </c>
      <c r="B63" s="29"/>
      <c r="C63" s="29"/>
      <c r="D63" s="40">
        <v>1.0</v>
      </c>
      <c r="E63" s="31">
        <v>1.0</v>
      </c>
      <c r="F63" s="42">
        <v>119.0</v>
      </c>
      <c r="G63" s="29" t="str">
        <f t="shared" si="1"/>
        <v>01119</v>
      </c>
      <c r="H63" s="37" t="s">
        <v>169</v>
      </c>
      <c r="I63" s="37" t="s">
        <v>0</v>
      </c>
      <c r="J63" s="37" t="s">
        <v>41</v>
      </c>
      <c r="K63" s="37" t="str">
        <f t="shared" si="2"/>
        <v>Sumter, AL</v>
      </c>
      <c r="L63" s="24"/>
    </row>
    <row r="64">
      <c r="A64" s="28">
        <v>63.0</v>
      </c>
      <c r="B64" s="29"/>
      <c r="C64" s="29"/>
      <c r="D64" s="40">
        <v>1.0</v>
      </c>
      <c r="E64" s="31">
        <v>1.0</v>
      </c>
      <c r="F64" s="42">
        <v>121.0</v>
      </c>
      <c r="G64" s="29" t="str">
        <f t="shared" si="1"/>
        <v>01121</v>
      </c>
      <c r="H64" s="37" t="s">
        <v>170</v>
      </c>
      <c r="I64" s="37" t="s">
        <v>0</v>
      </c>
      <c r="J64" s="37" t="s">
        <v>41</v>
      </c>
      <c r="K64" s="37" t="str">
        <f t="shared" si="2"/>
        <v>Talladega, AL</v>
      </c>
      <c r="L64" s="24"/>
    </row>
    <row r="65">
      <c r="A65" s="28">
        <v>64.0</v>
      </c>
      <c r="B65" s="29"/>
      <c r="C65" s="29"/>
      <c r="D65" s="40">
        <v>1.0</v>
      </c>
      <c r="E65" s="31">
        <v>1.0</v>
      </c>
      <c r="F65" s="42">
        <v>123.0</v>
      </c>
      <c r="G65" s="29" t="str">
        <f t="shared" si="1"/>
        <v>01123</v>
      </c>
      <c r="H65" s="37" t="s">
        <v>171</v>
      </c>
      <c r="I65" s="37" t="s">
        <v>0</v>
      </c>
      <c r="J65" s="37" t="s">
        <v>41</v>
      </c>
      <c r="K65" s="37" t="str">
        <f t="shared" si="2"/>
        <v>Tallapoosa, AL</v>
      </c>
      <c r="L65" s="24"/>
    </row>
    <row r="66">
      <c r="A66" s="28">
        <v>65.0</v>
      </c>
      <c r="B66" s="29"/>
      <c r="C66" s="29"/>
      <c r="D66" s="40">
        <v>1.0</v>
      </c>
      <c r="E66" s="31">
        <v>1.0</v>
      </c>
      <c r="F66" s="42">
        <v>125.0</v>
      </c>
      <c r="G66" s="29" t="str">
        <f t="shared" si="1"/>
        <v>01125</v>
      </c>
      <c r="H66" s="37" t="s">
        <v>173</v>
      </c>
      <c r="I66" s="37" t="s">
        <v>0</v>
      </c>
      <c r="J66" s="37" t="s">
        <v>41</v>
      </c>
      <c r="K66" s="37" t="str">
        <f t="shared" si="2"/>
        <v>Tuscaloosa, AL</v>
      </c>
      <c r="L66" s="24"/>
    </row>
    <row r="67">
      <c r="A67" s="28">
        <v>66.0</v>
      </c>
      <c r="B67" s="29"/>
      <c r="C67" s="29"/>
      <c r="D67" s="40">
        <v>1.0</v>
      </c>
      <c r="E67" s="31">
        <v>1.0</v>
      </c>
      <c r="F67" s="42">
        <v>127.0</v>
      </c>
      <c r="G67" s="29" t="str">
        <f t="shared" si="1"/>
        <v>01127</v>
      </c>
      <c r="H67" s="37" t="s">
        <v>175</v>
      </c>
      <c r="I67" s="37" t="s">
        <v>0</v>
      </c>
      <c r="J67" s="37" t="s">
        <v>41</v>
      </c>
      <c r="K67" s="37" t="str">
        <f t="shared" si="2"/>
        <v>Walker, AL</v>
      </c>
      <c r="L67" s="24"/>
    </row>
    <row r="68">
      <c r="A68" s="28">
        <v>67.0</v>
      </c>
      <c r="B68" s="29"/>
      <c r="C68" s="29"/>
      <c r="D68" s="40">
        <v>1.0</v>
      </c>
      <c r="E68" s="31">
        <v>1.0</v>
      </c>
      <c r="F68" s="42">
        <v>129.0</v>
      </c>
      <c r="G68" s="29" t="str">
        <f t="shared" si="1"/>
        <v>01129</v>
      </c>
      <c r="H68" s="37" t="s">
        <v>119</v>
      </c>
      <c r="I68" s="37" t="s">
        <v>0</v>
      </c>
      <c r="J68" s="37" t="s">
        <v>41</v>
      </c>
      <c r="K68" s="37" t="str">
        <f t="shared" si="2"/>
        <v>Washington, AL</v>
      </c>
      <c r="L68" s="24"/>
    </row>
    <row r="69">
      <c r="A69" s="28">
        <v>68.0</v>
      </c>
      <c r="B69" s="29"/>
      <c r="C69" s="29"/>
      <c r="D69" s="40">
        <v>1.0</v>
      </c>
      <c r="E69" s="31">
        <v>1.0</v>
      </c>
      <c r="F69" s="42">
        <v>131.0</v>
      </c>
      <c r="G69" s="29" t="str">
        <f t="shared" si="1"/>
        <v>01131</v>
      </c>
      <c r="H69" s="37" t="s">
        <v>176</v>
      </c>
      <c r="I69" s="37" t="s">
        <v>0</v>
      </c>
      <c r="J69" s="37" t="s">
        <v>41</v>
      </c>
      <c r="K69" s="37" t="str">
        <f t="shared" si="2"/>
        <v>Wilcox, AL</v>
      </c>
      <c r="L69" s="24"/>
    </row>
    <row r="70">
      <c r="A70" s="28">
        <v>69.0</v>
      </c>
      <c r="B70" s="29"/>
      <c r="C70" s="29"/>
      <c r="D70" s="40">
        <v>1.0</v>
      </c>
      <c r="E70" s="31">
        <v>1.0</v>
      </c>
      <c r="F70" s="42">
        <v>133.0</v>
      </c>
      <c r="G70" s="29" t="str">
        <f t="shared" si="1"/>
        <v>01133</v>
      </c>
      <c r="H70" s="37" t="s">
        <v>178</v>
      </c>
      <c r="I70" s="37" t="s">
        <v>0</v>
      </c>
      <c r="J70" s="37" t="s">
        <v>41</v>
      </c>
      <c r="K70" s="37" t="str">
        <f t="shared" si="2"/>
        <v>Winston, AL</v>
      </c>
      <c r="L70" s="24"/>
    </row>
    <row r="71">
      <c r="A71" s="99">
        <v>70.0</v>
      </c>
      <c r="B71" s="15"/>
      <c r="C71" s="14" t="s">
        <v>25</v>
      </c>
      <c r="D71" s="16"/>
      <c r="E71" s="102">
        <v>2.0</v>
      </c>
      <c r="F71" s="20"/>
      <c r="G71" s="15" t="str">
        <f t="shared" si="1"/>
        <v>02000</v>
      </c>
      <c r="H71" s="23"/>
      <c r="I71" s="23" t="s">
        <v>23</v>
      </c>
      <c r="J71" s="23" t="s">
        <v>182</v>
      </c>
      <c r="K71" s="23"/>
      <c r="L71" s="24"/>
    </row>
    <row r="72">
      <c r="A72" s="99">
        <v>71.0</v>
      </c>
      <c r="B72" s="15"/>
      <c r="C72" s="15"/>
      <c r="D72" s="105">
        <v>1.0</v>
      </c>
      <c r="E72" s="102">
        <v>2.0</v>
      </c>
      <c r="F72" s="107">
        <v>13.0</v>
      </c>
      <c r="G72" s="15" t="str">
        <f t="shared" si="1"/>
        <v>02013</v>
      </c>
      <c r="H72" s="23" t="s">
        <v>185</v>
      </c>
      <c r="I72" s="23" t="s">
        <v>23</v>
      </c>
      <c r="J72" s="23" t="s">
        <v>182</v>
      </c>
      <c r="K72" s="112" t="str">
        <f t="shared" ref="K72:K101" si="3">CONCATENATE(H72,", ",J72)</f>
        <v>Aleutians East, AK</v>
      </c>
      <c r="L72" s="24"/>
    </row>
    <row r="73">
      <c r="A73" s="99">
        <v>72.0</v>
      </c>
      <c r="B73" s="15"/>
      <c r="C73" s="15"/>
      <c r="D73" s="105">
        <v>1.0</v>
      </c>
      <c r="E73" s="102">
        <v>2.0</v>
      </c>
      <c r="F73" s="107">
        <v>16.0</v>
      </c>
      <c r="G73" s="15" t="str">
        <f t="shared" si="1"/>
        <v>02016</v>
      </c>
      <c r="H73" s="23" t="s">
        <v>186</v>
      </c>
      <c r="I73" s="23" t="s">
        <v>23</v>
      </c>
      <c r="J73" s="23" t="s">
        <v>182</v>
      </c>
      <c r="K73" s="112" t="str">
        <f t="shared" si="3"/>
        <v>Aleutians West, AK</v>
      </c>
      <c r="L73" s="24"/>
    </row>
    <row r="74">
      <c r="A74" s="99">
        <v>73.0</v>
      </c>
      <c r="B74" s="15"/>
      <c r="C74" s="15"/>
      <c r="D74" s="105">
        <v>1.0</v>
      </c>
      <c r="E74" s="102">
        <v>2.0</v>
      </c>
      <c r="F74" s="107">
        <v>20.0</v>
      </c>
      <c r="G74" s="15" t="str">
        <f t="shared" si="1"/>
        <v>02020</v>
      </c>
      <c r="H74" s="23" t="s">
        <v>187</v>
      </c>
      <c r="I74" s="23" t="s">
        <v>23</v>
      </c>
      <c r="J74" s="23" t="s">
        <v>182</v>
      </c>
      <c r="K74" s="23" t="str">
        <f t="shared" si="3"/>
        <v>Anchorage, AK</v>
      </c>
      <c r="L74" s="24"/>
    </row>
    <row r="75">
      <c r="A75" s="99">
        <v>74.0</v>
      </c>
      <c r="B75" s="15"/>
      <c r="C75" s="15"/>
      <c r="D75" s="105">
        <v>1.0</v>
      </c>
      <c r="E75" s="102">
        <v>2.0</v>
      </c>
      <c r="F75" s="107">
        <v>50.0</v>
      </c>
      <c r="G75" s="15" t="str">
        <f t="shared" si="1"/>
        <v>02050</v>
      </c>
      <c r="H75" s="23" t="s">
        <v>188</v>
      </c>
      <c r="I75" s="23" t="s">
        <v>23</v>
      </c>
      <c r="J75" s="23" t="s">
        <v>182</v>
      </c>
      <c r="K75" s="23" t="str">
        <f t="shared" si="3"/>
        <v>Bethel, AK</v>
      </c>
      <c r="L75" s="24"/>
    </row>
    <row r="76">
      <c r="A76" s="99">
        <v>75.0</v>
      </c>
      <c r="B76" s="15"/>
      <c r="C76" s="15"/>
      <c r="D76" s="105">
        <v>1.0</v>
      </c>
      <c r="E76" s="102">
        <v>2.0</v>
      </c>
      <c r="F76" s="107">
        <v>60.0</v>
      </c>
      <c r="G76" s="15" t="str">
        <f t="shared" si="1"/>
        <v>02060</v>
      </c>
      <c r="H76" s="23" t="s">
        <v>189</v>
      </c>
      <c r="I76" s="23" t="s">
        <v>23</v>
      </c>
      <c r="J76" s="23" t="s">
        <v>182</v>
      </c>
      <c r="K76" s="23" t="str">
        <f t="shared" si="3"/>
        <v>Bristol Bay, AK</v>
      </c>
      <c r="L76" s="24"/>
    </row>
    <row r="77">
      <c r="A77" s="99">
        <v>76.0</v>
      </c>
      <c r="B77" s="15"/>
      <c r="C77" s="15"/>
      <c r="D77" s="105">
        <v>1.0</v>
      </c>
      <c r="E77" s="102">
        <v>2.0</v>
      </c>
      <c r="F77" s="107">
        <v>63.0</v>
      </c>
      <c r="G77" s="15" t="str">
        <f t="shared" si="1"/>
        <v>02063</v>
      </c>
      <c r="H77" s="23" t="s">
        <v>190</v>
      </c>
      <c r="I77" s="23" t="s">
        <v>23</v>
      </c>
      <c r="J77" s="23" t="s">
        <v>182</v>
      </c>
      <c r="K77" s="23" t="str">
        <f t="shared" si="3"/>
        <v>Chugach, AK</v>
      </c>
      <c r="L77" s="24"/>
    </row>
    <row r="78">
      <c r="A78" s="99">
        <v>77.0</v>
      </c>
      <c r="B78" s="15"/>
      <c r="C78" s="15"/>
      <c r="D78" s="105">
        <v>1.0</v>
      </c>
      <c r="E78" s="102">
        <v>2.0</v>
      </c>
      <c r="F78" s="107">
        <v>66.0</v>
      </c>
      <c r="G78" s="15" t="str">
        <f t="shared" si="1"/>
        <v>02066</v>
      </c>
      <c r="H78" s="23" t="s">
        <v>191</v>
      </c>
      <c r="I78" s="23" t="s">
        <v>23</v>
      </c>
      <c r="J78" s="23" t="s">
        <v>182</v>
      </c>
      <c r="K78" s="112" t="str">
        <f t="shared" si="3"/>
        <v>Copper River, AK</v>
      </c>
      <c r="L78" s="24"/>
    </row>
    <row r="79">
      <c r="A79" s="99">
        <v>78.0</v>
      </c>
      <c r="B79" s="15"/>
      <c r="C79" s="15"/>
      <c r="D79" s="105">
        <v>1.0</v>
      </c>
      <c r="E79" s="102">
        <v>2.0</v>
      </c>
      <c r="F79" s="107">
        <v>68.0</v>
      </c>
      <c r="G79" s="15" t="str">
        <f t="shared" si="1"/>
        <v>02068</v>
      </c>
      <c r="H79" s="23" t="s">
        <v>192</v>
      </c>
      <c r="I79" s="23" t="s">
        <v>23</v>
      </c>
      <c r="J79" s="23" t="s">
        <v>182</v>
      </c>
      <c r="K79" s="23" t="str">
        <f t="shared" si="3"/>
        <v>Denali, AK</v>
      </c>
      <c r="L79" s="24"/>
    </row>
    <row r="80">
      <c r="A80" s="99">
        <v>79.0</v>
      </c>
      <c r="B80" s="15"/>
      <c r="C80" s="15"/>
      <c r="D80" s="105">
        <v>1.0</v>
      </c>
      <c r="E80" s="102">
        <v>2.0</v>
      </c>
      <c r="F80" s="107">
        <v>70.0</v>
      </c>
      <c r="G80" s="15" t="str">
        <f t="shared" si="1"/>
        <v>02070</v>
      </c>
      <c r="H80" s="23" t="s">
        <v>193</v>
      </c>
      <c r="I80" s="23" t="s">
        <v>23</v>
      </c>
      <c r="J80" s="23" t="s">
        <v>182</v>
      </c>
      <c r="K80" s="23" t="str">
        <f t="shared" si="3"/>
        <v>Dillingham, AK</v>
      </c>
      <c r="L80" s="24"/>
    </row>
    <row r="81">
      <c r="A81" s="99">
        <v>80.0</v>
      </c>
      <c r="B81" s="15"/>
      <c r="C81" s="15"/>
      <c r="D81" s="105">
        <v>1.0</v>
      </c>
      <c r="E81" s="102">
        <v>2.0</v>
      </c>
      <c r="F81" s="107">
        <v>90.0</v>
      </c>
      <c r="G81" s="15" t="str">
        <f t="shared" si="1"/>
        <v>02090</v>
      </c>
      <c r="H81" s="23" t="s">
        <v>194</v>
      </c>
      <c r="I81" s="23" t="s">
        <v>23</v>
      </c>
      <c r="J81" s="23" t="s">
        <v>182</v>
      </c>
      <c r="K81" s="112" t="str">
        <f t="shared" si="3"/>
        <v>Fairbanks North Star, AK</v>
      </c>
      <c r="L81" s="24"/>
    </row>
    <row r="82">
      <c r="A82" s="99">
        <v>81.0</v>
      </c>
      <c r="B82" s="15"/>
      <c r="C82" s="15"/>
      <c r="D82" s="105">
        <v>1.0</v>
      </c>
      <c r="E82" s="102">
        <v>2.0</v>
      </c>
      <c r="F82" s="107">
        <v>100.0</v>
      </c>
      <c r="G82" s="15" t="str">
        <f t="shared" si="1"/>
        <v>02100</v>
      </c>
      <c r="H82" s="23" t="s">
        <v>195</v>
      </c>
      <c r="I82" s="23" t="s">
        <v>23</v>
      </c>
      <c r="J82" s="23" t="s">
        <v>182</v>
      </c>
      <c r="K82" s="23" t="str">
        <f t="shared" si="3"/>
        <v>Haines, AK</v>
      </c>
      <c r="L82" s="24"/>
    </row>
    <row r="83">
      <c r="A83" s="99">
        <v>82.0</v>
      </c>
      <c r="B83" s="15"/>
      <c r="C83" s="15"/>
      <c r="D83" s="105">
        <v>1.0</v>
      </c>
      <c r="E83" s="102">
        <v>2.0</v>
      </c>
      <c r="F83" s="107">
        <v>105.0</v>
      </c>
      <c r="G83" s="15" t="str">
        <f t="shared" si="1"/>
        <v>02105</v>
      </c>
      <c r="H83" s="23" t="s">
        <v>196</v>
      </c>
      <c r="I83" s="23" t="s">
        <v>23</v>
      </c>
      <c r="J83" s="23" t="s">
        <v>182</v>
      </c>
      <c r="K83" s="112" t="str">
        <f t="shared" si="3"/>
        <v>Hoonah-Angoon, AK</v>
      </c>
      <c r="L83" s="24"/>
    </row>
    <row r="84">
      <c r="A84" s="99">
        <v>83.0</v>
      </c>
      <c r="B84" s="15"/>
      <c r="C84" s="15"/>
      <c r="D84" s="105">
        <v>1.0</v>
      </c>
      <c r="E84" s="102">
        <v>2.0</v>
      </c>
      <c r="F84" s="107">
        <v>110.0</v>
      </c>
      <c r="G84" s="15" t="str">
        <f t="shared" si="1"/>
        <v>02110</v>
      </c>
      <c r="H84" s="23" t="s">
        <v>197</v>
      </c>
      <c r="I84" s="23" t="s">
        <v>23</v>
      </c>
      <c r="J84" s="23" t="s">
        <v>182</v>
      </c>
      <c r="K84" s="23" t="str">
        <f t="shared" si="3"/>
        <v>Juneau, AK</v>
      </c>
      <c r="L84" s="24"/>
    </row>
    <row r="85">
      <c r="A85" s="99">
        <v>84.0</v>
      </c>
      <c r="B85" s="15"/>
      <c r="C85" s="15"/>
      <c r="D85" s="105">
        <v>1.0</v>
      </c>
      <c r="E85" s="102">
        <v>2.0</v>
      </c>
      <c r="F85" s="107">
        <v>122.0</v>
      </c>
      <c r="G85" s="15" t="str">
        <f t="shared" si="1"/>
        <v>02122</v>
      </c>
      <c r="H85" s="23" t="s">
        <v>198</v>
      </c>
      <c r="I85" s="23" t="s">
        <v>23</v>
      </c>
      <c r="J85" s="23" t="s">
        <v>182</v>
      </c>
      <c r="K85" s="112" t="str">
        <f t="shared" si="3"/>
        <v>Kenai Peninsula, AK</v>
      </c>
      <c r="L85" s="24"/>
    </row>
    <row r="86">
      <c r="A86" s="99">
        <v>85.0</v>
      </c>
      <c r="B86" s="15"/>
      <c r="C86" s="15"/>
      <c r="D86" s="105">
        <v>1.0</v>
      </c>
      <c r="E86" s="102">
        <v>2.0</v>
      </c>
      <c r="F86" s="107">
        <v>130.0</v>
      </c>
      <c r="G86" s="15" t="str">
        <f t="shared" si="1"/>
        <v>02130</v>
      </c>
      <c r="H86" s="23" t="s">
        <v>199</v>
      </c>
      <c r="I86" s="23" t="s">
        <v>23</v>
      </c>
      <c r="J86" s="23" t="s">
        <v>182</v>
      </c>
      <c r="K86" s="112" t="str">
        <f t="shared" si="3"/>
        <v>Ketchikan Gateway, AK</v>
      </c>
      <c r="L86" s="24"/>
    </row>
    <row r="87">
      <c r="A87" s="99">
        <v>86.0</v>
      </c>
      <c r="B87" s="15"/>
      <c r="C87" s="15"/>
      <c r="D87" s="105">
        <v>1.0</v>
      </c>
      <c r="E87" s="102">
        <v>2.0</v>
      </c>
      <c r="F87" s="107">
        <v>150.0</v>
      </c>
      <c r="G87" s="15" t="str">
        <f t="shared" si="1"/>
        <v>02150</v>
      </c>
      <c r="H87" s="23" t="s">
        <v>200</v>
      </c>
      <c r="I87" s="23" t="s">
        <v>23</v>
      </c>
      <c r="J87" s="23" t="s">
        <v>182</v>
      </c>
      <c r="K87" s="112" t="str">
        <f t="shared" si="3"/>
        <v>Kodiak Island, AK</v>
      </c>
      <c r="L87" s="24"/>
    </row>
    <row r="88">
      <c r="A88" s="99">
        <v>87.0</v>
      </c>
      <c r="B88" s="15"/>
      <c r="C88" s="15"/>
      <c r="D88" s="105">
        <v>1.0</v>
      </c>
      <c r="E88" s="102">
        <v>2.0</v>
      </c>
      <c r="F88" s="107">
        <v>158.0</v>
      </c>
      <c r="G88" s="15" t="str">
        <f t="shared" si="1"/>
        <v>02158</v>
      </c>
      <c r="H88" s="23" t="s">
        <v>201</v>
      </c>
      <c r="I88" s="23" t="s">
        <v>23</v>
      </c>
      <c r="J88" s="23" t="s">
        <v>182</v>
      </c>
      <c r="K88" s="23" t="str">
        <f t="shared" si="3"/>
        <v>Kusilvak, AK</v>
      </c>
      <c r="L88" s="24"/>
    </row>
    <row r="89">
      <c r="A89" s="99">
        <v>88.0</v>
      </c>
      <c r="B89" s="15"/>
      <c r="C89" s="15"/>
      <c r="D89" s="105">
        <v>1.0</v>
      </c>
      <c r="E89" s="102">
        <v>2.0</v>
      </c>
      <c r="F89" s="107">
        <v>164.0</v>
      </c>
      <c r="G89" s="15" t="str">
        <f t="shared" si="1"/>
        <v>02164</v>
      </c>
      <c r="H89" s="23" t="s">
        <v>204</v>
      </c>
      <c r="I89" s="23" t="s">
        <v>23</v>
      </c>
      <c r="J89" s="23" t="s">
        <v>182</v>
      </c>
      <c r="K89" s="112" t="str">
        <f t="shared" si="3"/>
        <v>Lake and Peninsula, AK</v>
      </c>
      <c r="L89" s="24"/>
    </row>
    <row r="90">
      <c r="A90" s="99">
        <v>89.0</v>
      </c>
      <c r="B90" s="15"/>
      <c r="C90" s="15"/>
      <c r="D90" s="105">
        <v>1.0</v>
      </c>
      <c r="E90" s="102">
        <v>2.0</v>
      </c>
      <c r="F90" s="107">
        <v>170.0</v>
      </c>
      <c r="G90" s="15" t="str">
        <f t="shared" si="1"/>
        <v>02170</v>
      </c>
      <c r="H90" s="23" t="s">
        <v>205</v>
      </c>
      <c r="I90" s="23" t="s">
        <v>23</v>
      </c>
      <c r="J90" s="23" t="s">
        <v>182</v>
      </c>
      <c r="K90" s="112" t="str">
        <f t="shared" si="3"/>
        <v>Matanuska-Susitna, AK</v>
      </c>
      <c r="L90" s="24"/>
    </row>
    <row r="91">
      <c r="A91" s="99">
        <v>90.0</v>
      </c>
      <c r="B91" s="15"/>
      <c r="C91" s="15"/>
      <c r="D91" s="105">
        <v>1.0</v>
      </c>
      <c r="E91" s="102">
        <v>2.0</v>
      </c>
      <c r="F91" s="107">
        <v>180.0</v>
      </c>
      <c r="G91" s="15" t="str">
        <f t="shared" si="1"/>
        <v>02180</v>
      </c>
      <c r="H91" s="23" t="s">
        <v>206</v>
      </c>
      <c r="I91" s="23" t="s">
        <v>23</v>
      </c>
      <c r="J91" s="23" t="s">
        <v>182</v>
      </c>
      <c r="K91" s="23" t="str">
        <f t="shared" si="3"/>
        <v>Nome, AK</v>
      </c>
      <c r="L91" s="24"/>
    </row>
    <row r="92">
      <c r="A92" s="99">
        <v>91.0</v>
      </c>
      <c r="B92" s="15"/>
      <c r="C92" s="15"/>
      <c r="D92" s="105">
        <v>1.0</v>
      </c>
      <c r="E92" s="102">
        <v>2.0</v>
      </c>
      <c r="F92" s="107">
        <v>185.0</v>
      </c>
      <c r="G92" s="15" t="str">
        <f t="shared" si="1"/>
        <v>02185</v>
      </c>
      <c r="H92" s="23" t="s">
        <v>207</v>
      </c>
      <c r="I92" s="23" t="s">
        <v>23</v>
      </c>
      <c r="J92" s="23" t="s">
        <v>182</v>
      </c>
      <c r="K92" s="23" t="str">
        <f t="shared" si="3"/>
        <v>North Slope, AK</v>
      </c>
      <c r="L92" s="24"/>
    </row>
    <row r="93">
      <c r="A93" s="99">
        <v>92.0</v>
      </c>
      <c r="B93" s="15"/>
      <c r="C93" s="15"/>
      <c r="D93" s="105">
        <v>1.0</v>
      </c>
      <c r="E93" s="102">
        <v>2.0</v>
      </c>
      <c r="F93" s="107">
        <v>188.0</v>
      </c>
      <c r="G93" s="15" t="str">
        <f t="shared" si="1"/>
        <v>02188</v>
      </c>
      <c r="H93" s="23" t="s">
        <v>208</v>
      </c>
      <c r="I93" s="23" t="s">
        <v>23</v>
      </c>
      <c r="J93" s="23" t="s">
        <v>182</v>
      </c>
      <c r="K93" s="112" t="str">
        <f t="shared" si="3"/>
        <v>Northwest Arctic, AK</v>
      </c>
      <c r="L93" s="24"/>
    </row>
    <row r="94">
      <c r="A94" s="99">
        <v>93.0</v>
      </c>
      <c r="B94" s="15"/>
      <c r="C94" s="15"/>
      <c r="D94" s="105">
        <v>1.0</v>
      </c>
      <c r="E94" s="102">
        <v>2.0</v>
      </c>
      <c r="F94" s="107">
        <v>195.0</v>
      </c>
      <c r="G94" s="15" t="str">
        <f t="shared" si="1"/>
        <v>02195</v>
      </c>
      <c r="H94" s="23" t="s">
        <v>209</v>
      </c>
      <c r="I94" s="23" t="s">
        <v>23</v>
      </c>
      <c r="J94" s="23" t="s">
        <v>182</v>
      </c>
      <c r="K94" s="23" t="str">
        <f t="shared" si="3"/>
        <v>Petersburg, AK</v>
      </c>
      <c r="L94" s="24"/>
    </row>
    <row r="95">
      <c r="A95" s="99">
        <v>94.0</v>
      </c>
      <c r="B95" s="15"/>
      <c r="C95" s="15"/>
      <c r="D95" s="105">
        <v>1.0</v>
      </c>
      <c r="E95" s="102">
        <v>2.0</v>
      </c>
      <c r="F95" s="107">
        <v>201.0</v>
      </c>
      <c r="G95" s="15" t="str">
        <f t="shared" si="1"/>
        <v>02201</v>
      </c>
      <c r="H95" s="23" t="s">
        <v>210</v>
      </c>
      <c r="I95" s="23" t="s">
        <v>23</v>
      </c>
      <c r="J95" s="23" t="s">
        <v>182</v>
      </c>
      <c r="K95" s="112" t="str">
        <f t="shared" si="3"/>
        <v>Prince Wales Ketchikan, AK</v>
      </c>
      <c r="L95" s="24"/>
    </row>
    <row r="96">
      <c r="A96" s="99">
        <v>95.0</v>
      </c>
      <c r="B96" s="15"/>
      <c r="C96" s="15"/>
      <c r="D96" s="105">
        <v>1.0</v>
      </c>
      <c r="E96" s="102">
        <v>2.0</v>
      </c>
      <c r="F96" s="107">
        <v>220.0</v>
      </c>
      <c r="G96" s="15" t="str">
        <f t="shared" si="1"/>
        <v>02220</v>
      </c>
      <c r="H96" s="23" t="s">
        <v>211</v>
      </c>
      <c r="I96" s="23" t="s">
        <v>23</v>
      </c>
      <c r="J96" s="23" t="s">
        <v>182</v>
      </c>
      <c r="K96" s="23" t="str">
        <f t="shared" si="3"/>
        <v>Sitka, AK</v>
      </c>
      <c r="L96" s="24"/>
    </row>
    <row r="97">
      <c r="A97" s="99">
        <v>96.0</v>
      </c>
      <c r="B97" s="15"/>
      <c r="C97" s="15"/>
      <c r="D97" s="105">
        <v>1.0</v>
      </c>
      <c r="E97" s="102">
        <v>2.0</v>
      </c>
      <c r="F97" s="107">
        <v>232.0</v>
      </c>
      <c r="G97" s="15" t="str">
        <f t="shared" si="1"/>
        <v>02232</v>
      </c>
      <c r="H97" s="23" t="s">
        <v>212</v>
      </c>
      <c r="I97" s="23" t="s">
        <v>23</v>
      </c>
      <c r="J97" s="23" t="s">
        <v>182</v>
      </c>
      <c r="K97" s="23" t="str">
        <f t="shared" si="3"/>
        <v>Skagway, AK</v>
      </c>
      <c r="L97" s="24"/>
    </row>
    <row r="98">
      <c r="A98" s="99">
        <v>97.0</v>
      </c>
      <c r="B98" s="15"/>
      <c r="C98" s="15"/>
      <c r="D98" s="105">
        <v>1.0</v>
      </c>
      <c r="E98" s="102">
        <v>2.0</v>
      </c>
      <c r="F98" s="107">
        <v>240.0</v>
      </c>
      <c r="G98" s="15" t="str">
        <f t="shared" si="1"/>
        <v>02240</v>
      </c>
      <c r="H98" s="23" t="s">
        <v>213</v>
      </c>
      <c r="I98" s="23" t="s">
        <v>23</v>
      </c>
      <c r="J98" s="23" t="s">
        <v>182</v>
      </c>
      <c r="K98" s="112" t="str">
        <f t="shared" si="3"/>
        <v>Southeast Fairbanks, AK</v>
      </c>
      <c r="L98" s="24"/>
    </row>
    <row r="99">
      <c r="A99" s="99">
        <v>98.0</v>
      </c>
      <c r="B99" s="15"/>
      <c r="C99" s="15"/>
      <c r="D99" s="105">
        <v>1.0</v>
      </c>
      <c r="E99" s="102">
        <v>2.0</v>
      </c>
      <c r="F99" s="107">
        <v>280.0</v>
      </c>
      <c r="G99" s="15" t="str">
        <f t="shared" si="1"/>
        <v>02280</v>
      </c>
      <c r="H99" s="23" t="s">
        <v>214</v>
      </c>
      <c r="I99" s="23" t="s">
        <v>23</v>
      </c>
      <c r="J99" s="23" t="s">
        <v>182</v>
      </c>
      <c r="K99" s="23" t="str">
        <f t="shared" si="3"/>
        <v>Wrangell, AK</v>
      </c>
      <c r="L99" s="24"/>
    </row>
    <row r="100">
      <c r="A100" s="99">
        <v>99.0</v>
      </c>
      <c r="B100" s="15"/>
      <c r="C100" s="15"/>
      <c r="D100" s="105">
        <v>1.0</v>
      </c>
      <c r="E100" s="102">
        <v>2.0</v>
      </c>
      <c r="F100" s="107">
        <v>282.0</v>
      </c>
      <c r="G100" s="15" t="str">
        <f t="shared" si="1"/>
        <v>02282</v>
      </c>
      <c r="H100" s="23" t="s">
        <v>215</v>
      </c>
      <c r="I100" s="23" t="s">
        <v>23</v>
      </c>
      <c r="J100" s="23" t="s">
        <v>182</v>
      </c>
      <c r="K100" s="23" t="str">
        <f t="shared" si="3"/>
        <v>Yakutat, AK</v>
      </c>
      <c r="L100" s="24"/>
    </row>
    <row r="101">
      <c r="A101" s="99">
        <v>100.0</v>
      </c>
      <c r="B101" s="15"/>
      <c r="C101" s="15"/>
      <c r="D101" s="105">
        <v>1.0</v>
      </c>
      <c r="E101" s="102">
        <v>2.0</v>
      </c>
      <c r="F101" s="107">
        <v>290.0</v>
      </c>
      <c r="G101" s="15" t="str">
        <f t="shared" si="1"/>
        <v>02290</v>
      </c>
      <c r="H101" s="23" t="s">
        <v>216</v>
      </c>
      <c r="I101" s="23" t="s">
        <v>23</v>
      </c>
      <c r="J101" s="23" t="s">
        <v>182</v>
      </c>
      <c r="K101" s="112" t="str">
        <f t="shared" si="3"/>
        <v>Yukon-Koyukuk, AK</v>
      </c>
      <c r="L101" s="24"/>
    </row>
    <row r="102">
      <c r="A102" s="28">
        <v>101.0</v>
      </c>
      <c r="B102" s="29"/>
      <c r="C102" s="29" t="s">
        <v>25</v>
      </c>
      <c r="D102" s="30"/>
      <c r="E102" s="31">
        <v>4.0</v>
      </c>
      <c r="F102" s="33"/>
      <c r="G102" s="29" t="str">
        <f t="shared" si="1"/>
        <v>04000</v>
      </c>
      <c r="H102" s="37"/>
      <c r="I102" s="37" t="s">
        <v>33</v>
      </c>
      <c r="J102" s="37" t="s">
        <v>217</v>
      </c>
      <c r="K102" s="37"/>
      <c r="L102" s="24"/>
    </row>
    <row r="103">
      <c r="A103" s="28">
        <v>102.0</v>
      </c>
      <c r="B103" s="29"/>
      <c r="C103" s="29"/>
      <c r="D103" s="40">
        <v>1.0</v>
      </c>
      <c r="E103" s="31">
        <v>4.0</v>
      </c>
      <c r="F103" s="42">
        <v>1.0</v>
      </c>
      <c r="G103" s="29" t="str">
        <f t="shared" si="1"/>
        <v>04001</v>
      </c>
      <c r="H103" s="37" t="s">
        <v>220</v>
      </c>
      <c r="I103" s="37" t="s">
        <v>33</v>
      </c>
      <c r="J103" s="37" t="s">
        <v>217</v>
      </c>
      <c r="K103" s="37" t="str">
        <f t="shared" ref="K103:K117" si="4">CONCATENATE(H103,", ",J103)</f>
        <v>Apache, AZ</v>
      </c>
      <c r="L103" s="24"/>
    </row>
    <row r="104">
      <c r="A104" s="28">
        <v>103.0</v>
      </c>
      <c r="B104" s="29"/>
      <c r="C104" s="29"/>
      <c r="D104" s="40">
        <v>1.0</v>
      </c>
      <c r="E104" s="31">
        <v>4.0</v>
      </c>
      <c r="F104" s="42">
        <v>3.0</v>
      </c>
      <c r="G104" s="29" t="str">
        <f t="shared" si="1"/>
        <v>04003</v>
      </c>
      <c r="H104" s="37" t="s">
        <v>221</v>
      </c>
      <c r="I104" s="37" t="s">
        <v>33</v>
      </c>
      <c r="J104" s="37" t="s">
        <v>217</v>
      </c>
      <c r="K104" s="37" t="str">
        <f t="shared" si="4"/>
        <v>Cochise, AZ</v>
      </c>
      <c r="L104" s="24"/>
    </row>
    <row r="105">
      <c r="A105" s="28">
        <v>104.0</v>
      </c>
      <c r="B105" s="29"/>
      <c r="C105" s="29"/>
      <c r="D105" s="40">
        <v>1.0</v>
      </c>
      <c r="E105" s="31">
        <v>4.0</v>
      </c>
      <c r="F105" s="42">
        <v>5.0</v>
      </c>
      <c r="G105" s="29" t="str">
        <f t="shared" si="1"/>
        <v>04005</v>
      </c>
      <c r="H105" s="37" t="s">
        <v>222</v>
      </c>
      <c r="I105" s="37" t="s">
        <v>33</v>
      </c>
      <c r="J105" s="37" t="s">
        <v>217</v>
      </c>
      <c r="K105" s="37" t="str">
        <f t="shared" si="4"/>
        <v>Coconino, AZ</v>
      </c>
      <c r="L105" s="24"/>
    </row>
    <row r="106">
      <c r="A106" s="28">
        <v>105.0</v>
      </c>
      <c r="B106" s="29"/>
      <c r="C106" s="29"/>
      <c r="D106" s="40">
        <v>1.0</v>
      </c>
      <c r="E106" s="31">
        <v>4.0</v>
      </c>
      <c r="F106" s="42">
        <v>7.0</v>
      </c>
      <c r="G106" s="29" t="str">
        <f t="shared" si="1"/>
        <v>04007</v>
      </c>
      <c r="H106" s="37" t="s">
        <v>223</v>
      </c>
      <c r="I106" s="37" t="s">
        <v>33</v>
      </c>
      <c r="J106" s="37" t="s">
        <v>217</v>
      </c>
      <c r="K106" s="37" t="str">
        <f t="shared" si="4"/>
        <v>Gila, AZ</v>
      </c>
      <c r="L106" s="24"/>
    </row>
    <row r="107">
      <c r="A107" s="28">
        <v>106.0</v>
      </c>
      <c r="B107" s="29"/>
      <c r="C107" s="29"/>
      <c r="D107" s="40">
        <v>1.0</v>
      </c>
      <c r="E107" s="31">
        <v>4.0</v>
      </c>
      <c r="F107" s="42">
        <v>9.0</v>
      </c>
      <c r="G107" s="29" t="str">
        <f t="shared" si="1"/>
        <v>04009</v>
      </c>
      <c r="H107" s="37" t="s">
        <v>224</v>
      </c>
      <c r="I107" s="37" t="s">
        <v>33</v>
      </c>
      <c r="J107" s="37" t="s">
        <v>217</v>
      </c>
      <c r="K107" s="37" t="str">
        <f t="shared" si="4"/>
        <v>Graham, AZ</v>
      </c>
      <c r="L107" s="24"/>
    </row>
    <row r="108">
      <c r="A108" s="28">
        <v>107.0</v>
      </c>
      <c r="B108" s="29"/>
      <c r="C108" s="29"/>
      <c r="D108" s="40">
        <v>1.0</v>
      </c>
      <c r="E108" s="31">
        <v>4.0</v>
      </c>
      <c r="F108" s="42">
        <v>11.0</v>
      </c>
      <c r="G108" s="29" t="str">
        <f t="shared" si="1"/>
        <v>04011</v>
      </c>
      <c r="H108" s="37" t="s">
        <v>226</v>
      </c>
      <c r="I108" s="37" t="s">
        <v>33</v>
      </c>
      <c r="J108" s="37" t="s">
        <v>217</v>
      </c>
      <c r="K108" s="37" t="str">
        <f t="shared" si="4"/>
        <v>Greenlee, AZ</v>
      </c>
      <c r="L108" s="24"/>
    </row>
    <row r="109">
      <c r="A109" s="28">
        <v>108.0</v>
      </c>
      <c r="B109" s="29"/>
      <c r="C109" s="29"/>
      <c r="D109" s="40">
        <v>1.0</v>
      </c>
      <c r="E109" s="31">
        <v>4.0</v>
      </c>
      <c r="F109" s="42">
        <v>12.0</v>
      </c>
      <c r="G109" s="29" t="str">
        <f t="shared" si="1"/>
        <v>04012</v>
      </c>
      <c r="H109" s="37" t="s">
        <v>227</v>
      </c>
      <c r="I109" s="37" t="s">
        <v>33</v>
      </c>
      <c r="J109" s="37" t="s">
        <v>217</v>
      </c>
      <c r="K109" s="37" t="str">
        <f t="shared" si="4"/>
        <v>La Paz, AZ</v>
      </c>
      <c r="L109" s="24"/>
    </row>
    <row r="110">
      <c r="A110" s="28">
        <v>109.0</v>
      </c>
      <c r="B110" s="29"/>
      <c r="C110" s="29"/>
      <c r="D110" s="40">
        <v>1.0</v>
      </c>
      <c r="E110" s="31">
        <v>4.0</v>
      </c>
      <c r="F110" s="42">
        <v>13.0</v>
      </c>
      <c r="G110" s="29" t="str">
        <f t="shared" si="1"/>
        <v>04013</v>
      </c>
      <c r="H110" s="37" t="s">
        <v>225</v>
      </c>
      <c r="I110" s="37" t="s">
        <v>33</v>
      </c>
      <c r="J110" s="37" t="s">
        <v>217</v>
      </c>
      <c r="K110" s="37" t="str">
        <f t="shared" si="4"/>
        <v>Maricopa, AZ</v>
      </c>
      <c r="L110" s="24"/>
    </row>
    <row r="111">
      <c r="A111" s="28">
        <v>110.0</v>
      </c>
      <c r="B111" s="29"/>
      <c r="C111" s="29"/>
      <c r="D111" s="40">
        <v>1.0</v>
      </c>
      <c r="E111" s="31">
        <v>4.0</v>
      </c>
      <c r="F111" s="42">
        <v>15.0</v>
      </c>
      <c r="G111" s="29" t="str">
        <f t="shared" si="1"/>
        <v>04015</v>
      </c>
      <c r="H111" s="37" t="s">
        <v>228</v>
      </c>
      <c r="I111" s="37" t="s">
        <v>33</v>
      </c>
      <c r="J111" s="37" t="s">
        <v>217</v>
      </c>
      <c r="K111" s="37" t="str">
        <f t="shared" si="4"/>
        <v>Mohave, AZ</v>
      </c>
      <c r="L111" s="24"/>
    </row>
    <row r="112">
      <c r="A112" s="28">
        <v>111.0</v>
      </c>
      <c r="B112" s="29"/>
      <c r="C112" s="29"/>
      <c r="D112" s="40">
        <v>1.0</v>
      </c>
      <c r="E112" s="31">
        <v>4.0</v>
      </c>
      <c r="F112" s="42">
        <v>17.0</v>
      </c>
      <c r="G112" s="29" t="str">
        <f t="shared" si="1"/>
        <v>04017</v>
      </c>
      <c r="H112" s="37" t="s">
        <v>229</v>
      </c>
      <c r="I112" s="37" t="s">
        <v>33</v>
      </c>
      <c r="J112" s="37" t="s">
        <v>217</v>
      </c>
      <c r="K112" s="37" t="str">
        <f t="shared" si="4"/>
        <v>Navajo, AZ</v>
      </c>
      <c r="L112" s="24"/>
    </row>
    <row r="113">
      <c r="A113" s="28">
        <v>112.0</v>
      </c>
      <c r="B113" s="29"/>
      <c r="C113" s="29"/>
      <c r="D113" s="40">
        <v>1.0</v>
      </c>
      <c r="E113" s="31">
        <v>4.0</v>
      </c>
      <c r="F113" s="42">
        <v>19.0</v>
      </c>
      <c r="G113" s="29" t="str">
        <f t="shared" si="1"/>
        <v>04019</v>
      </c>
      <c r="H113" s="37" t="s">
        <v>230</v>
      </c>
      <c r="I113" s="37" t="s">
        <v>33</v>
      </c>
      <c r="J113" s="37" t="s">
        <v>217</v>
      </c>
      <c r="K113" s="37" t="str">
        <f t="shared" si="4"/>
        <v>Pima, AZ</v>
      </c>
      <c r="L113" s="24"/>
    </row>
    <row r="114">
      <c r="A114" s="28">
        <v>113.0</v>
      </c>
      <c r="B114" s="29"/>
      <c r="C114" s="29"/>
      <c r="D114" s="40">
        <v>1.0</v>
      </c>
      <c r="E114" s="31">
        <v>4.0</v>
      </c>
      <c r="F114" s="42">
        <v>21.0</v>
      </c>
      <c r="G114" s="29" t="str">
        <f t="shared" si="1"/>
        <v>04021</v>
      </c>
      <c r="H114" s="37" t="s">
        <v>231</v>
      </c>
      <c r="I114" s="37" t="s">
        <v>33</v>
      </c>
      <c r="J114" s="37" t="s">
        <v>217</v>
      </c>
      <c r="K114" s="37" t="str">
        <f t="shared" si="4"/>
        <v>Pinal, AZ</v>
      </c>
      <c r="L114" s="24"/>
    </row>
    <row r="115">
      <c r="A115" s="28">
        <v>114.0</v>
      </c>
      <c r="B115" s="29"/>
      <c r="C115" s="29"/>
      <c r="D115" s="40">
        <v>1.0</v>
      </c>
      <c r="E115" s="31">
        <v>4.0</v>
      </c>
      <c r="F115" s="42">
        <v>23.0</v>
      </c>
      <c r="G115" s="29" t="str">
        <f t="shared" si="1"/>
        <v>04023</v>
      </c>
      <c r="H115" s="37" t="s">
        <v>232</v>
      </c>
      <c r="I115" s="37" t="s">
        <v>33</v>
      </c>
      <c r="J115" s="37" t="s">
        <v>217</v>
      </c>
      <c r="K115" s="37" t="str">
        <f t="shared" si="4"/>
        <v>Santa Cruz, AZ</v>
      </c>
      <c r="L115" s="24"/>
      <c r="N115" s="1" t="s">
        <v>233</v>
      </c>
    </row>
    <row r="116">
      <c r="A116" s="28">
        <v>115.0</v>
      </c>
      <c r="B116" s="29"/>
      <c r="C116" s="29"/>
      <c r="D116" s="40">
        <v>1.0</v>
      </c>
      <c r="E116" s="31">
        <v>4.0</v>
      </c>
      <c r="F116" s="42">
        <v>25.0</v>
      </c>
      <c r="G116" s="29" t="str">
        <f t="shared" si="1"/>
        <v>04025</v>
      </c>
      <c r="H116" s="37" t="s">
        <v>234</v>
      </c>
      <c r="I116" s="37" t="s">
        <v>33</v>
      </c>
      <c r="J116" s="37" t="s">
        <v>217</v>
      </c>
      <c r="K116" s="37" t="str">
        <f t="shared" si="4"/>
        <v>Yavapai, AZ</v>
      </c>
      <c r="L116" s="24"/>
      <c r="N116" s="10" t="s">
        <v>235</v>
      </c>
    </row>
    <row r="117">
      <c r="A117" s="28">
        <v>116.0</v>
      </c>
      <c r="B117" s="29"/>
      <c r="C117" s="29"/>
      <c r="D117" s="40">
        <v>1.0</v>
      </c>
      <c r="E117" s="31">
        <v>4.0</v>
      </c>
      <c r="F117" s="42">
        <v>27.0</v>
      </c>
      <c r="G117" s="29" t="str">
        <f t="shared" si="1"/>
        <v>04027</v>
      </c>
      <c r="H117" s="37" t="s">
        <v>236</v>
      </c>
      <c r="I117" s="37" t="s">
        <v>33</v>
      </c>
      <c r="J117" s="37" t="s">
        <v>217</v>
      </c>
      <c r="K117" s="37" t="str">
        <f t="shared" si="4"/>
        <v>Yuma, AZ</v>
      </c>
      <c r="L117" s="24"/>
    </row>
    <row r="118">
      <c r="A118" s="99">
        <v>117.0</v>
      </c>
      <c r="B118" s="15"/>
      <c r="C118" s="14" t="s">
        <v>25</v>
      </c>
      <c r="D118" s="16"/>
      <c r="E118" s="102">
        <v>5.0</v>
      </c>
      <c r="F118" s="107">
        <v>0.0</v>
      </c>
      <c r="G118" s="15" t="str">
        <f t="shared" si="1"/>
        <v>05000</v>
      </c>
      <c r="H118" s="23"/>
      <c r="I118" s="23" t="s">
        <v>34</v>
      </c>
      <c r="J118" s="23" t="s">
        <v>237</v>
      </c>
      <c r="K118" s="23"/>
      <c r="L118" s="24"/>
      <c r="N118" s="117" t="s">
        <v>238</v>
      </c>
      <c r="O118" s="118"/>
    </row>
    <row r="119">
      <c r="A119" s="99">
        <v>118.0</v>
      </c>
      <c r="B119" s="15"/>
      <c r="C119" s="15"/>
      <c r="D119" s="105">
        <v>1.0</v>
      </c>
      <c r="E119" s="102">
        <v>5.0</v>
      </c>
      <c r="F119" s="107">
        <v>1.0</v>
      </c>
      <c r="G119" s="15" t="str">
        <f t="shared" si="1"/>
        <v>05001</v>
      </c>
      <c r="H119" s="23" t="s">
        <v>34</v>
      </c>
      <c r="I119" s="23" t="s">
        <v>34</v>
      </c>
      <c r="J119" s="23" t="s">
        <v>237</v>
      </c>
      <c r="K119" s="23" t="str">
        <f t="shared" ref="K119:K193" si="5">CONCATENATE(H119,", ",J119)</f>
        <v>Arkansas, AR</v>
      </c>
      <c r="L119" s="24">
        <f>(vlookup(H119,'AR Data'!$A$3:$P$84,16,FALSE)/Arkansas!D3)+(vlookup(H119,'AR Data'!$A$3:$R$84,18,FALSE))</f>
        <v>11.88888889</v>
      </c>
      <c r="M119" s="119">
        <f>'All Data Connect'!Q119/L119</f>
        <v>0.4205607477</v>
      </c>
      <c r="N119" s="120">
        <f>(vlookup(H119,'AR Data'!$A$3:$P$84,16,FALSE)/Arkansas!D3)+((vlookup(H119,'AR Data'!$A$3:$R$84,18,FALSE)*2))</f>
        <v>19.88888889</v>
      </c>
      <c r="O119" s="121">
        <f>'All Data Connect'!Q119/N119</f>
        <v>0.251396648</v>
      </c>
    </row>
    <row r="120">
      <c r="A120" s="99">
        <v>119.0</v>
      </c>
      <c r="B120" s="15"/>
      <c r="C120" s="15"/>
      <c r="D120" s="105">
        <v>1.0</v>
      </c>
      <c r="E120" s="102">
        <v>5.0</v>
      </c>
      <c r="F120" s="107">
        <v>3.0</v>
      </c>
      <c r="G120" s="15" t="str">
        <f t="shared" si="1"/>
        <v>05003</v>
      </c>
      <c r="H120" s="23" t="s">
        <v>240</v>
      </c>
      <c r="I120" s="23" t="s">
        <v>34</v>
      </c>
      <c r="J120" s="23" t="s">
        <v>237</v>
      </c>
      <c r="K120" s="23" t="str">
        <f t="shared" si="5"/>
        <v>Ashley, AR</v>
      </c>
      <c r="L120" s="24">
        <f>(vlookup(H120,'AR Data'!$A$3:$P$84,16,FALSE)/Arkansas!D4)+(vlookup(H120,'AR Data'!$A$3:$R$84,18,FALSE))</f>
        <v>6.9375</v>
      </c>
      <c r="M120" s="122">
        <f>'All Data Connect'!Q120/L120</f>
        <v>2.162162162</v>
      </c>
      <c r="N120" s="120">
        <f>(vlookup(H120,'AR Data'!$A$3:$P$84,16,FALSE)/Arkansas!D4)+((vlookup(H120,'AR Data'!$A$3:$R$84,18,FALSE)*2))</f>
        <v>9.9375</v>
      </c>
      <c r="O120" s="121">
        <f>'All Data Connect'!Q120/N120</f>
        <v>1.509433962</v>
      </c>
    </row>
    <row r="121">
      <c r="A121" s="99">
        <v>120.0</v>
      </c>
      <c r="B121" s="15"/>
      <c r="C121" s="15"/>
      <c r="D121" s="105">
        <v>1.0</v>
      </c>
      <c r="E121" s="102">
        <v>5.0</v>
      </c>
      <c r="F121" s="107">
        <v>5.0</v>
      </c>
      <c r="G121" s="15" t="str">
        <f t="shared" si="1"/>
        <v>05005</v>
      </c>
      <c r="H121" s="23" t="s">
        <v>242</v>
      </c>
      <c r="I121" s="23" t="s">
        <v>34</v>
      </c>
      <c r="J121" s="23" t="s">
        <v>237</v>
      </c>
      <c r="K121" s="23" t="str">
        <f t="shared" si="5"/>
        <v>Baxter, AR</v>
      </c>
      <c r="L121" s="24">
        <f>(vlookup(H121,'AR Data'!$A$3:$P$84,16,FALSE)/Arkansas!D5)+(vlookup(H121,'AR Data'!$A$3:$R$84,18,FALSE))</f>
        <v>22.5</v>
      </c>
      <c r="M121" s="122">
        <f>'All Data Connect'!Q121/L121</f>
        <v>1.2</v>
      </c>
      <c r="N121" s="120">
        <f>(vlookup(H121,'AR Data'!$A$3:$P$84,16,FALSE)/Arkansas!D5)+((vlookup(H121,'AR Data'!$A$3:$R$84,18,FALSE)*2))</f>
        <v>34.5</v>
      </c>
      <c r="O121" s="121">
        <f>'All Data Connect'!Q121/N121</f>
        <v>0.7826086957</v>
      </c>
    </row>
    <row r="122">
      <c r="A122" s="99">
        <v>121.0</v>
      </c>
      <c r="B122" s="15"/>
      <c r="C122" s="15"/>
      <c r="D122" s="105">
        <v>1.0</v>
      </c>
      <c r="E122" s="102">
        <v>5.0</v>
      </c>
      <c r="F122" s="107">
        <v>7.0</v>
      </c>
      <c r="G122" s="15" t="str">
        <f t="shared" si="1"/>
        <v>05007</v>
      </c>
      <c r="H122" s="23" t="s">
        <v>243</v>
      </c>
      <c r="I122" s="23" t="s">
        <v>34</v>
      </c>
      <c r="J122" s="23" t="s">
        <v>237</v>
      </c>
      <c r="K122" s="23" t="str">
        <f t="shared" si="5"/>
        <v>Benton, AR</v>
      </c>
      <c r="L122" s="24">
        <f>(vlookup(H122,'AR Data'!$A$3:$P$84,16,FALSE)/Arkansas!D6)+(vlookup(H122,'AR Data'!$A$3:$R$84,18,FALSE))</f>
        <v>94.11560694</v>
      </c>
      <c r="M122" s="119">
        <f>'All Data Connect'!Q122/L122</f>
        <v>1.200651026</v>
      </c>
      <c r="N122" s="120">
        <f>(vlookup(H122,'AR Data'!$A$3:$P$84,16,FALSE)/Arkansas!D6)+((vlookup(H122,'AR Data'!$A$3:$R$84,18,FALSE)*2))</f>
        <v>152.1156069</v>
      </c>
      <c r="O122" s="121">
        <f>'All Data Connect'!Q122/N122</f>
        <v>0.7428560572</v>
      </c>
    </row>
    <row r="123">
      <c r="A123" s="99">
        <v>122.0</v>
      </c>
      <c r="B123" s="15"/>
      <c r="C123" s="15"/>
      <c r="D123" s="105">
        <v>1.0</v>
      </c>
      <c r="E123" s="102">
        <v>5.0</v>
      </c>
      <c r="F123" s="107">
        <v>9.0</v>
      </c>
      <c r="G123" s="15" t="str">
        <f t="shared" si="1"/>
        <v>05009</v>
      </c>
      <c r="H123" s="23" t="s">
        <v>246</v>
      </c>
      <c r="I123" s="23" t="s">
        <v>34</v>
      </c>
      <c r="J123" s="23" t="s">
        <v>237</v>
      </c>
      <c r="K123" s="23" t="str">
        <f t="shared" si="5"/>
        <v>Boone, AR</v>
      </c>
      <c r="L123" s="24">
        <f>(vlookup(H123,'AR Data'!$A$3:$P$84,16,FALSE)/Arkansas!D7)+(vlookup(H123,'AR Data'!$A$3:$R$84,18,FALSE))</f>
        <v>26.17021277</v>
      </c>
      <c r="M123" s="119">
        <f>'All Data Connect'!Q123/L123</f>
        <v>1.031707317</v>
      </c>
      <c r="N123" s="120">
        <f>(vlookup(H123,'AR Data'!$A$3:$P$84,16,FALSE)/Arkansas!D7)+((vlookup(H123,'AR Data'!$A$3:$R$84,18,FALSE)*2))</f>
        <v>41.17021277</v>
      </c>
      <c r="O123" s="121">
        <f>'All Data Connect'!Q123/N123</f>
        <v>0.6558139535</v>
      </c>
    </row>
    <row r="124">
      <c r="A124" s="99">
        <v>123.0</v>
      </c>
      <c r="B124" s="15"/>
      <c r="C124" s="15"/>
      <c r="D124" s="105">
        <v>1.0</v>
      </c>
      <c r="E124" s="102">
        <v>5.0</v>
      </c>
      <c r="F124" s="107">
        <v>11.0</v>
      </c>
      <c r="G124" s="15" t="str">
        <f t="shared" si="1"/>
        <v>05011</v>
      </c>
      <c r="H124" s="23" t="s">
        <v>247</v>
      </c>
      <c r="I124" s="23" t="s">
        <v>34</v>
      </c>
      <c r="J124" s="23" t="s">
        <v>237</v>
      </c>
      <c r="K124" s="23" t="str">
        <f t="shared" si="5"/>
        <v>Bradley, AR</v>
      </c>
      <c r="L124" s="24">
        <f>(vlookup(H124,'AR Data'!$A$3:$P$84,16,FALSE)/Arkansas!D8)+(vlookup(H124,'AR Data'!$A$3:$R$84,18,FALSE))</f>
        <v>4.222222222</v>
      </c>
      <c r="M124" s="119">
        <f>'All Data Connect'!Q124/L124</f>
        <v>1.657894737</v>
      </c>
      <c r="N124" s="120">
        <f>(vlookup(H124,'AR Data'!$A$3:$P$84,16,FALSE)/Arkansas!D8)+((vlookup(H124,'AR Data'!$A$3:$R$84,18,FALSE)*2))</f>
        <v>6.222222222</v>
      </c>
      <c r="O124" s="121">
        <f>'All Data Connect'!Q124/N124</f>
        <v>1.125</v>
      </c>
    </row>
    <row r="125">
      <c r="A125" s="99">
        <v>124.0</v>
      </c>
      <c r="B125" s="15"/>
      <c r="C125" s="15"/>
      <c r="D125" s="105">
        <v>1.0</v>
      </c>
      <c r="E125" s="102">
        <v>5.0</v>
      </c>
      <c r="F125" s="107">
        <v>13.0</v>
      </c>
      <c r="G125" s="15" t="str">
        <f t="shared" si="1"/>
        <v>05013</v>
      </c>
      <c r="H125" s="23" t="s">
        <v>93</v>
      </c>
      <c r="I125" s="23" t="s">
        <v>34</v>
      </c>
      <c r="J125" s="23" t="s">
        <v>237</v>
      </c>
      <c r="K125" s="23" t="str">
        <f t="shared" si="5"/>
        <v>Calhoun, AR</v>
      </c>
      <c r="L125" s="24">
        <f>(vlookup(H125,'AR Data'!$A$3:$P$84,16,FALSE)/Arkansas!D9)+(vlookup(H125,'AR Data'!$A$3:$R$84,18,FALSE))</f>
        <v>0.75</v>
      </c>
      <c r="M125" s="119">
        <f>'All Data Connect'!Q125/L125</f>
        <v>6.666666667</v>
      </c>
      <c r="N125" s="120">
        <f>(vlookup(H125,'AR Data'!$A$3:$P$84,16,FALSE)/Arkansas!D9)+((vlookup(H125,'AR Data'!$A$3:$R$84,18,FALSE)*2))</f>
        <v>0.75</v>
      </c>
      <c r="O125" s="121">
        <f>'All Data Connect'!Q125/N125</f>
        <v>6.666666667</v>
      </c>
    </row>
    <row r="126">
      <c r="A126" s="99">
        <v>125.0</v>
      </c>
      <c r="B126" s="15"/>
      <c r="C126" s="15"/>
      <c r="D126" s="105">
        <v>1.0</v>
      </c>
      <c r="E126" s="102">
        <v>5.0</v>
      </c>
      <c r="F126" s="107">
        <v>15.0</v>
      </c>
      <c r="G126" s="15" t="str">
        <f t="shared" si="1"/>
        <v>05015</v>
      </c>
      <c r="H126" s="23" t="s">
        <v>248</v>
      </c>
      <c r="I126" s="23" t="s">
        <v>34</v>
      </c>
      <c r="J126" s="23" t="s">
        <v>237</v>
      </c>
      <c r="K126" s="23" t="str">
        <f t="shared" si="5"/>
        <v>Carroll, AR</v>
      </c>
      <c r="L126" s="24">
        <f>(vlookup(H126,'AR Data'!$A$3:$P$84,16,FALSE)/Arkansas!D10)+(vlookup(H126,'AR Data'!$A$3:$R$84,18,FALSE))</f>
        <v>25</v>
      </c>
      <c r="M126" s="119">
        <f>'All Data Connect'!Q126/L126</f>
        <v>0.36</v>
      </c>
      <c r="N126" s="120">
        <f>(vlookup(H126,'AR Data'!$A$3:$P$84,16,FALSE)/Arkansas!D10)+((vlookup(H126,'AR Data'!$A$3:$R$84,18,FALSE)*2))</f>
        <v>45</v>
      </c>
      <c r="O126" s="121">
        <f>'All Data Connect'!Q126/N126</f>
        <v>0.2</v>
      </c>
    </row>
    <row r="127">
      <c r="A127" s="99">
        <v>126.0</v>
      </c>
      <c r="B127" s="15"/>
      <c r="C127" s="15"/>
      <c r="D127" s="105">
        <v>1.0</v>
      </c>
      <c r="E127" s="102">
        <v>5.0</v>
      </c>
      <c r="F127" s="107">
        <v>17.0</v>
      </c>
      <c r="G127" s="15" t="str">
        <f t="shared" si="1"/>
        <v>05017</v>
      </c>
      <c r="H127" s="23" t="s">
        <v>251</v>
      </c>
      <c r="I127" s="23" t="s">
        <v>34</v>
      </c>
      <c r="J127" s="23" t="s">
        <v>237</v>
      </c>
      <c r="K127" s="23" t="str">
        <f t="shared" si="5"/>
        <v>Chicot, AR</v>
      </c>
      <c r="L127" s="24">
        <f>(vlookup(H127,'AR Data'!$A$3:$P$84,16,FALSE)/Arkansas!D11)+(vlookup(H127,'AR Data'!$A$3:$R$84,18,FALSE))</f>
        <v>6</v>
      </c>
      <c r="M127" s="119">
        <f>'All Data Connect'!Q127/L127</f>
        <v>0.8333333333</v>
      </c>
      <c r="N127" s="120">
        <f>(vlookup(H127,'AR Data'!$A$3:$P$84,16,FALSE)/Arkansas!D11)+((vlookup(H127,'AR Data'!$A$3:$R$84,18,FALSE)*2))</f>
        <v>11</v>
      </c>
      <c r="O127" s="121">
        <f>'All Data Connect'!Q127/N127</f>
        <v>0.4545454545</v>
      </c>
    </row>
    <row r="128">
      <c r="A128" s="99">
        <v>127.0</v>
      </c>
      <c r="B128" s="15"/>
      <c r="C128" s="15"/>
      <c r="D128" s="105">
        <v>1.0</v>
      </c>
      <c r="E128" s="102">
        <v>5.0</v>
      </c>
      <c r="F128" s="107">
        <v>19.0</v>
      </c>
      <c r="G128" s="15" t="str">
        <f t="shared" si="1"/>
        <v>05019</v>
      </c>
      <c r="H128" s="23" t="s">
        <v>253</v>
      </c>
      <c r="I128" s="23" t="s">
        <v>34</v>
      </c>
      <c r="J128" s="23" t="s">
        <v>237</v>
      </c>
      <c r="K128" s="23" t="str">
        <f t="shared" si="5"/>
        <v>Clark, AR</v>
      </c>
      <c r="L128" s="24">
        <f>(vlookup(H128,'AR Data'!$A$3:$P$84,16,FALSE)/Arkansas!D12)+(vlookup(H128,'AR Data'!$A$3:$R$84,18,FALSE))</f>
        <v>9.090909091</v>
      </c>
      <c r="M128" s="119">
        <f>'All Data Connect'!Q128/L128</f>
        <v>2.09</v>
      </c>
      <c r="N128" s="120">
        <f>(vlookup(H128,'AR Data'!$A$3:$P$84,16,FALSE)/Arkansas!D12)+((vlookup(H128,'AR Data'!$A$3:$R$84,18,FALSE)*2))</f>
        <v>15.09090909</v>
      </c>
      <c r="O128" s="121">
        <f>'All Data Connect'!Q128/N128</f>
        <v>1.259036145</v>
      </c>
    </row>
    <row r="129">
      <c r="A129" s="99">
        <v>128.0</v>
      </c>
      <c r="B129" s="15"/>
      <c r="C129" s="15"/>
      <c r="D129" s="105">
        <v>1.0</v>
      </c>
      <c r="E129" s="102">
        <v>5.0</v>
      </c>
      <c r="F129" s="107">
        <v>21.0</v>
      </c>
      <c r="G129" s="15" t="str">
        <f t="shared" si="1"/>
        <v>05021</v>
      </c>
      <c r="H129" s="23" t="s">
        <v>112</v>
      </c>
      <c r="I129" s="23" t="s">
        <v>34</v>
      </c>
      <c r="J129" s="23" t="s">
        <v>237</v>
      </c>
      <c r="K129" s="23" t="str">
        <f t="shared" si="5"/>
        <v>Clay, AR</v>
      </c>
      <c r="L129" s="24">
        <f>(vlookup(H129,'AR Data'!$A$3:$P$84,16,FALSE)/Arkansas!D13)+(vlookup(H129,'AR Data'!$A$3:$R$84,18,FALSE))</f>
        <v>6.777777778</v>
      </c>
      <c r="M129" s="122">
        <f>'All Data Connect'!Q129/L129</f>
        <v>1.475409836</v>
      </c>
      <c r="N129" s="120">
        <f>(vlookup(H129,'AR Data'!$A$3:$P$84,16,FALSE)/Arkansas!D13)+((vlookup(H129,'AR Data'!$A$3:$R$84,18,FALSE)*2))</f>
        <v>7.777777778</v>
      </c>
      <c r="O129" s="121">
        <f>'All Data Connect'!Q129/N129</f>
        <v>1.285714286</v>
      </c>
    </row>
    <row r="130">
      <c r="A130" s="99">
        <v>129.0</v>
      </c>
      <c r="B130" s="15"/>
      <c r="C130" s="15"/>
      <c r="D130" s="105">
        <v>1.0</v>
      </c>
      <c r="E130" s="102">
        <v>5.0</v>
      </c>
      <c r="F130" s="107">
        <v>23.0</v>
      </c>
      <c r="G130" s="15" t="str">
        <f t="shared" si="1"/>
        <v>05023</v>
      </c>
      <c r="H130" s="23" t="s">
        <v>115</v>
      </c>
      <c r="I130" s="23" t="s">
        <v>34</v>
      </c>
      <c r="J130" s="23" t="s">
        <v>237</v>
      </c>
      <c r="K130" s="23" t="str">
        <f t="shared" si="5"/>
        <v>Cleburne, AR</v>
      </c>
      <c r="L130" s="24">
        <f>(vlookup(H130,'AR Data'!$A$3:$P$84,16,FALSE)/Arkansas!D14)+(vlookup(H130,'AR Data'!$A$3:$R$84,18,FALSE))</f>
        <v>30.34782609</v>
      </c>
      <c r="M130" s="119">
        <f>'All Data Connect'!Q130/L130</f>
        <v>0.494269341</v>
      </c>
      <c r="N130" s="120">
        <f>(vlookup(H130,'AR Data'!$A$3:$P$84,16,FALSE)/Arkansas!D14)+((vlookup(H130,'AR Data'!$A$3:$R$84,18,FALSE)*2))</f>
        <v>52.34782609</v>
      </c>
      <c r="O130" s="121">
        <f>'All Data Connect'!Q130/N130</f>
        <v>0.2865448505</v>
      </c>
    </row>
    <row r="131">
      <c r="A131" s="99">
        <v>130.0</v>
      </c>
      <c r="B131" s="15"/>
      <c r="C131" s="15"/>
      <c r="D131" s="105">
        <v>1.0</v>
      </c>
      <c r="E131" s="102">
        <v>5.0</v>
      </c>
      <c r="F131" s="107">
        <v>25.0</v>
      </c>
      <c r="G131" s="15" t="str">
        <f t="shared" si="1"/>
        <v>05025</v>
      </c>
      <c r="H131" s="23" t="s">
        <v>257</v>
      </c>
      <c r="I131" s="23" t="s">
        <v>34</v>
      </c>
      <c r="J131" s="23" t="s">
        <v>237</v>
      </c>
      <c r="K131" s="23" t="str">
        <f t="shared" si="5"/>
        <v>Cleveland, AR</v>
      </c>
      <c r="L131" s="24">
        <f>(vlookup(H131,'AR Data'!$A$3:$P$84,16,FALSE)/Arkansas!D15)+(vlookup(H131,'AR Data'!$A$3:$R$84,18,FALSE))</f>
        <v>0.75</v>
      </c>
      <c r="M131" s="119">
        <f>'All Data Connect'!Q131/L131</f>
        <v>4</v>
      </c>
      <c r="N131" s="120">
        <f>(vlookup(H131,'AR Data'!$A$3:$P$84,16,FALSE)/Arkansas!D15)+((vlookup(H131,'AR Data'!$A$3:$R$84,18,FALSE)*2))</f>
        <v>0.75</v>
      </c>
      <c r="O131" s="121">
        <f>'All Data Connect'!Q131/N131</f>
        <v>4</v>
      </c>
    </row>
    <row r="132">
      <c r="A132" s="99">
        <v>131.0</v>
      </c>
      <c r="B132" s="15"/>
      <c r="C132" s="15"/>
      <c r="D132" s="105">
        <v>1.0</v>
      </c>
      <c r="E132" s="102">
        <v>5.0</v>
      </c>
      <c r="F132" s="107">
        <v>27.0</v>
      </c>
      <c r="G132" s="15" t="str">
        <f t="shared" si="1"/>
        <v>05027</v>
      </c>
      <c r="H132" s="23" t="s">
        <v>258</v>
      </c>
      <c r="I132" s="23" t="s">
        <v>34</v>
      </c>
      <c r="J132" s="23" t="s">
        <v>237</v>
      </c>
      <c r="K132" s="23" t="str">
        <f t="shared" si="5"/>
        <v>Columbia, AR</v>
      </c>
      <c r="L132" s="24">
        <f>(vlookup(H132,'AR Data'!$A$3:$P$84,16,FALSE)/Arkansas!D16)+(vlookup(H132,'AR Data'!$A$3:$R$84,18,FALSE))</f>
        <v>9.875</v>
      </c>
      <c r="M132" s="122">
        <f>'All Data Connect'!Q132/L132</f>
        <v>1.721518987</v>
      </c>
      <c r="N132" s="120">
        <f>(vlookup(H132,'AR Data'!$A$3:$P$84,16,FALSE)/Arkansas!D16)+((vlookup(H132,'AR Data'!$A$3:$R$84,18,FALSE)*2))</f>
        <v>14.875</v>
      </c>
      <c r="O132" s="121">
        <f>'All Data Connect'!Q132/N132</f>
        <v>1.142857143</v>
      </c>
    </row>
    <row r="133">
      <c r="A133" s="99">
        <v>132.0</v>
      </c>
      <c r="B133" s="15"/>
      <c r="C133" s="15"/>
      <c r="D133" s="105">
        <v>1.0</v>
      </c>
      <c r="E133" s="102">
        <v>5.0</v>
      </c>
      <c r="F133" s="107">
        <v>29.0</v>
      </c>
      <c r="G133" s="15" t="str">
        <f t="shared" si="1"/>
        <v>05029</v>
      </c>
      <c r="H133" s="23" t="s">
        <v>260</v>
      </c>
      <c r="I133" s="23" t="s">
        <v>34</v>
      </c>
      <c r="J133" s="23" t="s">
        <v>237</v>
      </c>
      <c r="K133" s="23" t="str">
        <f t="shared" si="5"/>
        <v>Conway, AR</v>
      </c>
      <c r="L133" s="24">
        <f>(vlookup(H133,'AR Data'!$A$3:$P$84,16,FALSE)/Arkansas!D17)+(vlookup(H133,'AR Data'!$A$3:$R$84,18,FALSE))</f>
        <v>19.2</v>
      </c>
      <c r="M133" s="119">
        <f>'All Data Connect'!Q133/L133</f>
        <v>0.1041666667</v>
      </c>
      <c r="N133" s="120">
        <f>(vlookup(H133,'AR Data'!$A$3:$P$84,16,FALSE)/Arkansas!D17)+((vlookup(H133,'AR Data'!$A$3:$R$84,18,FALSE)*2))</f>
        <v>35.2</v>
      </c>
      <c r="O133" s="121">
        <f>'All Data Connect'!Q133/N133</f>
        <v>0.05681818182</v>
      </c>
    </row>
    <row r="134">
      <c r="A134" s="99">
        <v>133.0</v>
      </c>
      <c r="B134" s="15"/>
      <c r="C134" s="15"/>
      <c r="D134" s="105">
        <v>1.0</v>
      </c>
      <c r="E134" s="102">
        <v>5.0</v>
      </c>
      <c r="F134" s="107">
        <v>31.0</v>
      </c>
      <c r="G134" s="15" t="str">
        <f t="shared" si="1"/>
        <v>05031</v>
      </c>
      <c r="H134" s="23" t="s">
        <v>262</v>
      </c>
      <c r="I134" s="23" t="s">
        <v>34</v>
      </c>
      <c r="J134" s="23" t="s">
        <v>237</v>
      </c>
      <c r="K134" s="23" t="str">
        <f t="shared" si="5"/>
        <v>Craighead, AR</v>
      </c>
      <c r="L134" s="24">
        <f>(vlookup(H134,'AR Data'!$A$3:$P$84,16,FALSE)/Arkansas!D18)+(vlookup(H134,'AR Data'!$A$3:$R$84,18,FALSE))</f>
        <v>69.23611111</v>
      </c>
      <c r="M134" s="119">
        <f>'All Data Connect'!Q134/L134</f>
        <v>0.6355065196</v>
      </c>
      <c r="N134" s="120">
        <f>(vlookup(H134,'AR Data'!$A$3:$P$84,16,FALSE)/Arkansas!D18)+((vlookup(H134,'AR Data'!$A$3:$R$84,18,FALSE)*2))</f>
        <v>111.2361111</v>
      </c>
      <c r="O134" s="121">
        <f>'All Data Connect'!Q134/N134</f>
        <v>0.3955550006</v>
      </c>
    </row>
    <row r="135">
      <c r="A135" s="99">
        <v>134.0</v>
      </c>
      <c r="B135" s="15"/>
      <c r="C135" s="15"/>
      <c r="D135" s="105">
        <v>1.0</v>
      </c>
      <c r="E135" s="102">
        <v>5.0</v>
      </c>
      <c r="F135" s="107">
        <v>33.0</v>
      </c>
      <c r="G135" s="15" t="str">
        <f t="shared" si="1"/>
        <v>05033</v>
      </c>
      <c r="H135" s="23" t="s">
        <v>263</v>
      </c>
      <c r="I135" s="23" t="s">
        <v>34</v>
      </c>
      <c r="J135" s="23" t="s">
        <v>237</v>
      </c>
      <c r="K135" s="23" t="str">
        <f t="shared" si="5"/>
        <v>Crawford, AR</v>
      </c>
      <c r="L135" s="24">
        <f>(vlookup(H135,'AR Data'!$A$3:$P$84,16,FALSE)/Arkansas!D19)+(vlookup(H135,'AR Data'!$A$3:$R$84,18,FALSE))</f>
        <v>51.64102564</v>
      </c>
      <c r="M135" s="119">
        <f>'All Data Connect'!Q135/L135</f>
        <v>1.219960278</v>
      </c>
      <c r="N135" s="120">
        <f>(vlookup(H135,'AR Data'!$A$3:$P$84,16,FALSE)/Arkansas!D19)+((vlookup(H135,'AR Data'!$A$3:$R$84,18,FALSE)*2))</f>
        <v>85.64102564</v>
      </c>
      <c r="O135" s="121">
        <f>'All Data Connect'!Q135/N135</f>
        <v>0.7356287425</v>
      </c>
    </row>
    <row r="136">
      <c r="A136" s="99">
        <v>135.0</v>
      </c>
      <c r="B136" s="15"/>
      <c r="C136" s="15"/>
      <c r="D136" s="105">
        <v>1.0</v>
      </c>
      <c r="E136" s="102">
        <v>5.0</v>
      </c>
      <c r="F136" s="107">
        <v>35.0</v>
      </c>
      <c r="G136" s="15" t="str">
        <f t="shared" si="1"/>
        <v>05035</v>
      </c>
      <c r="H136" s="23" t="s">
        <v>264</v>
      </c>
      <c r="I136" s="23" t="s">
        <v>34</v>
      </c>
      <c r="J136" s="23" t="s">
        <v>237</v>
      </c>
      <c r="K136" s="23" t="str">
        <f t="shared" si="5"/>
        <v>Crittenden, AR</v>
      </c>
      <c r="L136" s="24">
        <f>(vlookup(H136,'AR Data'!$A$3:$P$84,16,FALSE)/Arkansas!D20)+(vlookup(H136,'AR Data'!$A$3:$R$84,18,FALSE))</f>
        <v>57.14285714</v>
      </c>
      <c r="M136" s="119">
        <f>'All Data Connect'!Q136/L136</f>
        <v>0.315</v>
      </c>
      <c r="N136" s="120">
        <f>(vlookup(H136,'AR Data'!$A$3:$P$84,16,FALSE)/Arkansas!D20)+((vlookup(H136,'AR Data'!$A$3:$R$84,18,FALSE)*2))</f>
        <v>101.1428571</v>
      </c>
      <c r="O136" s="121">
        <f>'All Data Connect'!Q136/N136</f>
        <v>0.1779661017</v>
      </c>
    </row>
    <row r="137">
      <c r="A137" s="99">
        <v>136.0</v>
      </c>
      <c r="B137" s="15"/>
      <c r="C137" s="15"/>
      <c r="D137" s="105">
        <v>1.0</v>
      </c>
      <c r="E137" s="102">
        <v>5.0</v>
      </c>
      <c r="F137" s="107">
        <v>37.0</v>
      </c>
      <c r="G137" s="15" t="str">
        <f t="shared" si="1"/>
        <v>05037</v>
      </c>
      <c r="H137" s="23" t="s">
        <v>266</v>
      </c>
      <c r="I137" s="23" t="s">
        <v>34</v>
      </c>
      <c r="J137" s="23" t="s">
        <v>237</v>
      </c>
      <c r="K137" s="23" t="str">
        <f t="shared" si="5"/>
        <v>Cross, AR</v>
      </c>
      <c r="L137" s="24">
        <f>(vlookup(H137,'AR Data'!$A$3:$P$84,16,FALSE)/Arkansas!D21)+(vlookup(H137,'AR Data'!$A$3:$R$84,18,FALSE))</f>
        <v>20.265625</v>
      </c>
      <c r="M137" s="122">
        <f>'All Data Connect'!Q137/L137</f>
        <v>1.628373169</v>
      </c>
      <c r="N137" s="120">
        <f>(vlookup(H137,'AR Data'!$A$3:$P$84,16,FALSE)/Arkansas!D21)+((vlookup(H137,'AR Data'!$A$3:$R$84,18,FALSE)*2))</f>
        <v>38.265625</v>
      </c>
      <c r="O137" s="121">
        <f>'All Data Connect'!Q137/N137</f>
        <v>0.8623928134</v>
      </c>
    </row>
    <row r="138">
      <c r="A138" s="99">
        <v>137.0</v>
      </c>
      <c r="B138" s="15"/>
      <c r="C138" s="15"/>
      <c r="D138" s="105">
        <v>1.0</v>
      </c>
      <c r="E138" s="102">
        <v>5.0</v>
      </c>
      <c r="F138" s="107">
        <v>39.0</v>
      </c>
      <c r="G138" s="15" t="str">
        <f t="shared" si="1"/>
        <v>05039</v>
      </c>
      <c r="H138" s="23" t="s">
        <v>130</v>
      </c>
      <c r="I138" s="23" t="s">
        <v>34</v>
      </c>
      <c r="J138" s="23" t="s">
        <v>237</v>
      </c>
      <c r="K138" s="23" t="str">
        <f t="shared" si="5"/>
        <v>Dallas, AR</v>
      </c>
      <c r="L138" s="24">
        <f>(vlookup(H138,'AR Data'!$A$3:$P$84,16,FALSE)/Arkansas!D22)+(vlookup(H138,'AR Data'!$A$3:$R$84,18,FALSE))</f>
        <v>13</v>
      </c>
      <c r="M138" s="119">
        <f>'All Data Connect'!Q138/L138</f>
        <v>0.07692307692</v>
      </c>
      <c r="N138" s="120">
        <f>(vlookup(H138,'AR Data'!$A$3:$P$84,16,FALSE)/Arkansas!D22)+((vlookup(H138,'AR Data'!$A$3:$R$84,18,FALSE)*2))</f>
        <v>24</v>
      </c>
      <c r="O138" s="121">
        <f>'All Data Connect'!Q138/N138</f>
        <v>0.04166666667</v>
      </c>
    </row>
    <row r="139">
      <c r="A139" s="99">
        <v>138.0</v>
      </c>
      <c r="B139" s="15"/>
      <c r="C139" s="15"/>
      <c r="D139" s="105">
        <v>1.0</v>
      </c>
      <c r="E139" s="102">
        <v>5.0</v>
      </c>
      <c r="F139" s="107">
        <v>41.0</v>
      </c>
      <c r="G139" s="15" t="str">
        <f t="shared" si="1"/>
        <v>05041</v>
      </c>
      <c r="H139" s="23" t="s">
        <v>268</v>
      </c>
      <c r="I139" s="23" t="s">
        <v>34</v>
      </c>
      <c r="J139" s="23" t="s">
        <v>237</v>
      </c>
      <c r="K139" s="23" t="str">
        <f t="shared" si="5"/>
        <v>Desha, AR</v>
      </c>
      <c r="L139" s="24">
        <f>(vlookup(H139,'AR Data'!$A$3:$P$84,16,FALSE)/Arkansas!D23)+(vlookup(H139,'AR Data'!$A$3:$R$84,18,FALSE))</f>
        <v>0.6</v>
      </c>
      <c r="M139" s="122">
        <f>'All Data Connect'!Q139/L139</f>
        <v>8.333333333</v>
      </c>
      <c r="N139" s="120">
        <f>(vlookup(H139,'AR Data'!$A$3:$P$84,16,FALSE)/Arkansas!D23)+((vlookup(H139,'AR Data'!$A$3:$R$84,18,FALSE)*2))</f>
        <v>0.6</v>
      </c>
      <c r="O139" s="121">
        <f>'All Data Connect'!Q139/N139</f>
        <v>8.333333333</v>
      </c>
    </row>
    <row r="140">
      <c r="A140" s="99">
        <v>139.0</v>
      </c>
      <c r="B140" s="15"/>
      <c r="C140" s="15"/>
      <c r="D140" s="105">
        <v>1.0</v>
      </c>
      <c r="E140" s="102">
        <v>5.0</v>
      </c>
      <c r="F140" s="107">
        <v>43.0</v>
      </c>
      <c r="G140" s="15" t="str">
        <f t="shared" si="1"/>
        <v>05043</v>
      </c>
      <c r="H140" s="23" t="s">
        <v>270</v>
      </c>
      <c r="I140" s="23" t="s">
        <v>34</v>
      </c>
      <c r="J140" s="23" t="s">
        <v>237</v>
      </c>
      <c r="K140" s="23" t="str">
        <f t="shared" si="5"/>
        <v>Drew, AR</v>
      </c>
      <c r="L140" s="24">
        <f>(vlookup(H140,'AR Data'!$A$3:$P$84,16,FALSE)/Arkansas!D24)+(vlookup(H140,'AR Data'!$A$3:$R$84,18,FALSE))</f>
        <v>7.8</v>
      </c>
      <c r="M140" s="119">
        <f>'All Data Connect'!Q140/L140</f>
        <v>3.076923077</v>
      </c>
      <c r="N140" s="120">
        <f>(vlookup(H140,'AR Data'!$A$3:$P$84,16,FALSE)/Arkansas!D24)+((vlookup(H140,'AR Data'!$A$3:$R$84,18,FALSE)*2))</f>
        <v>12.8</v>
      </c>
      <c r="O140" s="121">
        <f>'All Data Connect'!Q140/N140</f>
        <v>1.875</v>
      </c>
    </row>
    <row r="141">
      <c r="A141" s="99">
        <v>140.0</v>
      </c>
      <c r="B141" s="15"/>
      <c r="C141" s="15"/>
      <c r="D141" s="105">
        <v>1.0</v>
      </c>
      <c r="E141" s="102">
        <v>5.0</v>
      </c>
      <c r="F141" s="107">
        <v>45.0</v>
      </c>
      <c r="G141" s="15" t="str">
        <f t="shared" si="1"/>
        <v>05045</v>
      </c>
      <c r="H141" s="23" t="s">
        <v>271</v>
      </c>
      <c r="I141" s="23" t="s">
        <v>34</v>
      </c>
      <c r="J141" s="23" t="s">
        <v>237</v>
      </c>
      <c r="K141" s="23" t="str">
        <f t="shared" si="5"/>
        <v>Faulkner, AR</v>
      </c>
      <c r="L141" s="24">
        <f>(vlookup(H141,'AR Data'!$A$3:$P$84,16,FALSE)/Arkansas!D25)+(vlookup(H141,'AR Data'!$A$3:$R$84,18,FALSE))</f>
        <v>67.77777778</v>
      </c>
      <c r="M141" s="119">
        <f>'All Data Connect'!Q141/L141</f>
        <v>0.9147540984</v>
      </c>
      <c r="N141" s="120">
        <f>(vlookup(H141,'AR Data'!$A$3:$P$84,16,FALSE)/Arkansas!D25)+((vlookup(H141,'AR Data'!$A$3:$R$84,18,FALSE)*2))</f>
        <v>103.7777778</v>
      </c>
      <c r="O141" s="121">
        <f>'All Data Connect'!Q141/N141</f>
        <v>0.5974304069</v>
      </c>
    </row>
    <row r="142">
      <c r="A142" s="99">
        <v>141.0</v>
      </c>
      <c r="B142" s="15"/>
      <c r="C142" s="15"/>
      <c r="D142" s="105">
        <v>1.0</v>
      </c>
      <c r="E142" s="102">
        <v>5.0</v>
      </c>
      <c r="F142" s="107">
        <v>47.0</v>
      </c>
      <c r="G142" s="15" t="str">
        <f t="shared" si="1"/>
        <v>05047</v>
      </c>
      <c r="H142" s="23" t="s">
        <v>136</v>
      </c>
      <c r="I142" s="23" t="s">
        <v>34</v>
      </c>
      <c r="J142" s="23" t="s">
        <v>237</v>
      </c>
      <c r="K142" s="23" t="str">
        <f t="shared" si="5"/>
        <v>Franklin, AR</v>
      </c>
      <c r="L142" s="24">
        <f>(vlookup(H142,'AR Data'!$A$3:$P$84,16,FALSE)/Arkansas!D26)+(vlookup(H142,'AR Data'!$A$3:$R$84,18,FALSE))</f>
        <v>33.25</v>
      </c>
      <c r="M142" s="119">
        <f>'All Data Connect'!Q142/L142</f>
        <v>0.3609022556</v>
      </c>
      <c r="N142" s="120">
        <f>(vlookup(H142,'AR Data'!$A$3:$P$84,16,FALSE)/Arkansas!D26)+((vlookup(H142,'AR Data'!$A$3:$R$84,18,FALSE)*2))</f>
        <v>54.25</v>
      </c>
      <c r="O142" s="121">
        <f>'All Data Connect'!Q142/N142</f>
        <v>0.2211981567</v>
      </c>
    </row>
    <row r="143">
      <c r="A143" s="99">
        <v>142.0</v>
      </c>
      <c r="B143" s="15"/>
      <c r="C143" s="15"/>
      <c r="D143" s="105">
        <v>1.0</v>
      </c>
      <c r="E143" s="102">
        <v>5.0</v>
      </c>
      <c r="F143" s="107">
        <v>49.0</v>
      </c>
      <c r="G143" s="15" t="str">
        <f t="shared" si="1"/>
        <v>05049</v>
      </c>
      <c r="H143" s="23" t="s">
        <v>275</v>
      </c>
      <c r="I143" s="23" t="s">
        <v>34</v>
      </c>
      <c r="J143" s="23" t="s">
        <v>237</v>
      </c>
      <c r="K143" s="23" t="str">
        <f t="shared" si="5"/>
        <v>Fulton, AR</v>
      </c>
      <c r="L143" s="24">
        <f>(vlookup(H143,'AR Data'!$A$3:$P$84,16,FALSE)/Arkansas!D27)+(vlookup(H143,'AR Data'!$A$3:$R$84,18,FALSE))</f>
        <v>5.6</v>
      </c>
      <c r="M143" s="119">
        <f>'All Data Connect'!Q143/L143</f>
        <v>0.7142857143</v>
      </c>
      <c r="N143" s="120">
        <f>(vlookup(H143,'AR Data'!$A$3:$P$84,16,FALSE)/Arkansas!D27)+((vlookup(H143,'AR Data'!$A$3:$R$84,18,FALSE)*2))</f>
        <v>9.6</v>
      </c>
      <c r="O143" s="121">
        <f>'All Data Connect'!Q143/N143</f>
        <v>0.4166666667</v>
      </c>
    </row>
    <row r="144">
      <c r="A144" s="99">
        <v>143.0</v>
      </c>
      <c r="B144" s="15"/>
      <c r="C144" s="15"/>
      <c r="D144" s="105">
        <v>1.0</v>
      </c>
      <c r="E144" s="102">
        <v>5.0</v>
      </c>
      <c r="F144" s="107">
        <v>51.0</v>
      </c>
      <c r="G144" s="15" t="str">
        <f t="shared" si="1"/>
        <v>05051</v>
      </c>
      <c r="H144" s="23" t="s">
        <v>277</v>
      </c>
      <c r="I144" s="23" t="s">
        <v>34</v>
      </c>
      <c r="J144" s="23" t="s">
        <v>237</v>
      </c>
      <c r="K144" s="23" t="str">
        <f t="shared" si="5"/>
        <v>Garland, AR</v>
      </c>
      <c r="L144" s="24">
        <f>(vlookup(H144,'AR Data'!$A$3:$P$84,16,FALSE)/Arkansas!D28)+(vlookup(H144,'AR Data'!$A$3:$R$84,18,FALSE))</f>
        <v>135.6909091</v>
      </c>
      <c r="M144" s="119">
        <f>'All Data Connect'!Q144/L144</f>
        <v>0.5085086426</v>
      </c>
      <c r="N144" s="120">
        <f>(vlookup(H144,'AR Data'!$A$3:$P$84,16,FALSE)/Arkansas!D28)+((vlookup(H144,'AR Data'!$A$3:$R$84,18,FALSE)*2))</f>
        <v>231.6909091</v>
      </c>
      <c r="O144" s="121">
        <f>'All Data Connect'!Q144/N144</f>
        <v>0.2978105627</v>
      </c>
    </row>
    <row r="145">
      <c r="A145" s="99">
        <v>144.0</v>
      </c>
      <c r="B145" s="15"/>
      <c r="C145" s="15"/>
      <c r="D145" s="105">
        <v>1.0</v>
      </c>
      <c r="E145" s="102">
        <v>5.0</v>
      </c>
      <c r="F145" s="107">
        <v>53.0</v>
      </c>
      <c r="G145" s="15" t="str">
        <f t="shared" si="1"/>
        <v>05053</v>
      </c>
      <c r="H145" s="23" t="s">
        <v>278</v>
      </c>
      <c r="I145" s="23" t="s">
        <v>34</v>
      </c>
      <c r="J145" s="23" t="s">
        <v>237</v>
      </c>
      <c r="K145" s="23" t="str">
        <f t="shared" si="5"/>
        <v>Grant, AR</v>
      </c>
      <c r="L145" s="24">
        <f>(vlookup(H145,'AR Data'!$A$3:$P$84,16,FALSE)/Arkansas!D29)+(vlookup(H145,'AR Data'!$A$3:$R$84,18,FALSE))</f>
        <v>16.2</v>
      </c>
      <c r="M145" s="119">
        <f>'All Data Connect'!Q145/L145</f>
        <v>0.9259259259</v>
      </c>
      <c r="N145" s="120">
        <f>(vlookup(H145,'AR Data'!$A$3:$P$84,16,FALSE)/Arkansas!D29)+((vlookup(H145,'AR Data'!$A$3:$R$84,18,FALSE)*2))</f>
        <v>25.2</v>
      </c>
      <c r="O145" s="121">
        <f>'All Data Connect'!Q145/N145</f>
        <v>0.5952380952</v>
      </c>
    </row>
    <row r="146">
      <c r="A146" s="99">
        <v>145.0</v>
      </c>
      <c r="B146" s="15"/>
      <c r="C146" s="15"/>
      <c r="D146" s="105">
        <v>1.0</v>
      </c>
      <c r="E146" s="102">
        <v>5.0</v>
      </c>
      <c r="F146" s="107">
        <v>55.0</v>
      </c>
      <c r="G146" s="15" t="str">
        <f t="shared" si="1"/>
        <v>05055</v>
      </c>
      <c r="H146" s="23" t="s">
        <v>138</v>
      </c>
      <c r="I146" s="23" t="s">
        <v>34</v>
      </c>
      <c r="J146" s="23" t="s">
        <v>237</v>
      </c>
      <c r="K146" s="23" t="str">
        <f t="shared" si="5"/>
        <v>Greene, AR</v>
      </c>
      <c r="L146" s="24">
        <f>(vlookup(H146,'AR Data'!$A$3:$P$84,16,FALSE)/Arkansas!D30)+(vlookup(H146,'AR Data'!$A$3:$R$84,18,FALSE))</f>
        <v>83.21052632</v>
      </c>
      <c r="M146" s="119">
        <f>'All Data Connect'!Q146/L146</f>
        <v>0.2764073371</v>
      </c>
      <c r="N146" s="120">
        <f>(vlookup(H146,'AR Data'!$A$3:$P$84,16,FALSE)/Arkansas!D30)+((vlookup(H146,'AR Data'!$A$3:$R$84,18,FALSE)*2))</f>
        <v>151.2105263</v>
      </c>
      <c r="O146" s="121">
        <f>'All Data Connect'!Q146/N146</f>
        <v>0.1521058127</v>
      </c>
    </row>
    <row r="147">
      <c r="A147" s="99">
        <v>146.0</v>
      </c>
      <c r="B147" s="15"/>
      <c r="C147" s="15"/>
      <c r="D147" s="105">
        <v>1.0</v>
      </c>
      <c r="E147" s="102">
        <v>5.0</v>
      </c>
      <c r="F147" s="107">
        <v>57.0</v>
      </c>
      <c r="G147" s="15" t="str">
        <f t="shared" si="1"/>
        <v>05057</v>
      </c>
      <c r="H147" s="23" t="s">
        <v>279</v>
      </c>
      <c r="I147" s="23" t="s">
        <v>34</v>
      </c>
      <c r="J147" s="23" t="s">
        <v>237</v>
      </c>
      <c r="K147" s="23" t="str">
        <f t="shared" si="5"/>
        <v>Hempstead, AR</v>
      </c>
      <c r="L147" s="24">
        <f>(vlookup(H147,'AR Data'!$A$3:$P$84,16,FALSE)/Arkansas!D31)+(vlookup(H147,'AR Data'!$A$3:$R$84,18,FALSE))</f>
        <v>25.11111111</v>
      </c>
      <c r="M147" s="119">
        <f>'All Data Connect'!Q147/L147</f>
        <v>0.3982300885</v>
      </c>
      <c r="N147" s="120">
        <f>(vlookup(H147,'AR Data'!$A$3:$P$84,16,FALSE)/Arkansas!D31)+((vlookup(H147,'AR Data'!$A$3:$R$84,18,FALSE)*2))</f>
        <v>47.11111111</v>
      </c>
      <c r="O147" s="121">
        <f>'All Data Connect'!Q147/N147</f>
        <v>0.2122641509</v>
      </c>
    </row>
    <row r="148">
      <c r="A148" s="99">
        <v>147.0</v>
      </c>
      <c r="B148" s="15"/>
      <c r="C148" s="15"/>
      <c r="D148" s="105">
        <v>1.0</v>
      </c>
      <c r="E148" s="102">
        <v>5.0</v>
      </c>
      <c r="F148" s="107">
        <v>59.0</v>
      </c>
      <c r="G148" s="15" t="str">
        <f t="shared" si="1"/>
        <v>05059</v>
      </c>
      <c r="H148" s="23" t="s">
        <v>280</v>
      </c>
      <c r="I148" s="23" t="s">
        <v>34</v>
      </c>
      <c r="J148" s="23" t="s">
        <v>237</v>
      </c>
      <c r="K148" s="23" t="str">
        <f t="shared" si="5"/>
        <v>Hot Spring, AR</v>
      </c>
      <c r="L148" s="24">
        <f>(vlookup(H148,'AR Data'!$A$3:$P$84,16,FALSE)/Arkansas!D32)+(vlookup(H148,'AR Data'!$A$3:$R$84,18,FALSE))</f>
        <v>28.04347826</v>
      </c>
      <c r="M148" s="119">
        <f>'All Data Connect'!Q148/L148</f>
        <v>0.5705426357</v>
      </c>
      <c r="N148" s="120">
        <f>(vlookup(H148,'AR Data'!$A$3:$P$84,16,FALSE)/Arkansas!D32)+((vlookup(H148,'AR Data'!$A$3:$R$84,18,FALSE)*2))</f>
        <v>46.04347826</v>
      </c>
      <c r="O148" s="121">
        <f>'All Data Connect'!Q148/N148</f>
        <v>0.3474976393</v>
      </c>
    </row>
    <row r="149">
      <c r="A149" s="99">
        <v>148.0</v>
      </c>
      <c r="B149" s="15"/>
      <c r="C149" s="15"/>
      <c r="D149" s="105">
        <v>1.0</v>
      </c>
      <c r="E149" s="102">
        <v>5.0</v>
      </c>
      <c r="F149" s="107">
        <v>61.0</v>
      </c>
      <c r="G149" s="15" t="str">
        <f t="shared" si="1"/>
        <v>05061</v>
      </c>
      <c r="H149" s="23" t="s">
        <v>283</v>
      </c>
      <c r="I149" s="23" t="s">
        <v>34</v>
      </c>
      <c r="J149" s="23" t="s">
        <v>237</v>
      </c>
      <c r="K149" s="23" t="str">
        <f t="shared" si="5"/>
        <v>Howard, AR</v>
      </c>
      <c r="L149" s="24">
        <f>(vlookup(H149,'AR Data'!$A$3:$P$84,16,FALSE)/Arkansas!D33)+(vlookup(H149,'AR Data'!$A$3:$R$84,18,FALSE))</f>
        <v>10.30769231</v>
      </c>
      <c r="M149" s="119">
        <f>'All Data Connect'!Q149/L149</f>
        <v>0.9701492537</v>
      </c>
      <c r="N149" s="120">
        <f>(vlookup(H149,'AR Data'!$A$3:$P$84,16,FALSE)/Arkansas!D33)+((vlookup(H149,'AR Data'!$A$3:$R$84,18,FALSE)*2))</f>
        <v>16.30769231</v>
      </c>
      <c r="O149" s="121">
        <f>'All Data Connect'!Q149/N149</f>
        <v>0.6132075472</v>
      </c>
    </row>
    <row r="150">
      <c r="A150" s="99">
        <v>149.0</v>
      </c>
      <c r="B150" s="15"/>
      <c r="C150" s="15"/>
      <c r="D150" s="105">
        <v>1.0</v>
      </c>
      <c r="E150" s="102">
        <v>5.0</v>
      </c>
      <c r="F150" s="107">
        <v>63.0</v>
      </c>
      <c r="G150" s="15" t="str">
        <f t="shared" si="1"/>
        <v>05063</v>
      </c>
      <c r="H150" s="23" t="s">
        <v>284</v>
      </c>
      <c r="I150" s="23" t="s">
        <v>34</v>
      </c>
      <c r="J150" s="23" t="s">
        <v>237</v>
      </c>
      <c r="K150" s="112" t="str">
        <f t="shared" si="5"/>
        <v>Independence, AR</v>
      </c>
      <c r="L150" s="24">
        <f>(vlookup(H150,'AR Data'!$A$3:$P$84,16,FALSE)/Arkansas!D34)+(vlookup(H150,'AR Data'!$A$3:$R$84,18,FALSE))</f>
        <v>36.42307692</v>
      </c>
      <c r="M150" s="119">
        <f>'All Data Connect'!Q150/L150</f>
        <v>0.4118268215</v>
      </c>
      <c r="N150" s="120">
        <f>(vlookup(H150,'AR Data'!$A$3:$P$84,16,FALSE)/Arkansas!D34)+((vlookup(H150,'AR Data'!$A$3:$R$84,18,FALSE)*2))</f>
        <v>61.42307692</v>
      </c>
      <c r="O150" s="121">
        <f>'All Data Connect'!Q150/N150</f>
        <v>0.2442078898</v>
      </c>
    </row>
    <row r="151">
      <c r="A151" s="99">
        <v>150.0</v>
      </c>
      <c r="B151" s="15"/>
      <c r="C151" s="15"/>
      <c r="D151" s="105">
        <v>1.0</v>
      </c>
      <c r="E151" s="102">
        <v>5.0</v>
      </c>
      <c r="F151" s="107">
        <v>65.0</v>
      </c>
      <c r="G151" s="15" t="str">
        <f t="shared" si="1"/>
        <v>05065</v>
      </c>
      <c r="H151" s="23" t="s">
        <v>285</v>
      </c>
      <c r="I151" s="23" t="s">
        <v>34</v>
      </c>
      <c r="J151" s="23" t="s">
        <v>237</v>
      </c>
      <c r="K151" s="23" t="str">
        <f t="shared" si="5"/>
        <v>Izard, AR</v>
      </c>
      <c r="L151" s="24">
        <f>(vlookup(H151,'AR Data'!$A$3:$P$84,16,FALSE)/Arkansas!D35)+(vlookup(H151,'AR Data'!$A$3:$R$84,18,FALSE))</f>
        <v>14.57142857</v>
      </c>
      <c r="M151" s="119">
        <f>'All Data Connect'!Q151/L151</f>
        <v>0.137254902</v>
      </c>
      <c r="N151" s="120">
        <f>(vlookup(H151,'AR Data'!$A$3:$P$84,16,FALSE)/Arkansas!D35)+((vlookup(H151,'AR Data'!$A$3:$R$84,18,FALSE)*2))</f>
        <v>26.57142857</v>
      </c>
      <c r="O151" s="121">
        <f>'All Data Connect'!Q151/N151</f>
        <v>0.0752688172</v>
      </c>
    </row>
    <row r="152">
      <c r="A152" s="99">
        <v>151.0</v>
      </c>
      <c r="B152" s="15"/>
      <c r="C152" s="15"/>
      <c r="D152" s="105">
        <v>1.0</v>
      </c>
      <c r="E152" s="102">
        <v>5.0</v>
      </c>
      <c r="F152" s="107">
        <v>67.0</v>
      </c>
      <c r="G152" s="15" t="str">
        <f t="shared" si="1"/>
        <v>05067</v>
      </c>
      <c r="H152" s="23" t="s">
        <v>142</v>
      </c>
      <c r="I152" s="23" t="s">
        <v>34</v>
      </c>
      <c r="J152" s="23" t="s">
        <v>237</v>
      </c>
      <c r="K152" s="23" t="str">
        <f t="shared" si="5"/>
        <v>Jackson, AR</v>
      </c>
      <c r="L152" s="24">
        <f>(vlookup(H152,'AR Data'!$A$3:$P$84,16,FALSE)/Arkansas!D36)+(vlookup(H152,'AR Data'!$A$3:$R$84,18,FALSE))</f>
        <v>23.69230769</v>
      </c>
      <c r="M152" s="119">
        <f>'All Data Connect'!Q152/L152</f>
        <v>0.2954545455</v>
      </c>
      <c r="N152" s="120">
        <f>(vlookup(H152,'AR Data'!$A$3:$P$84,16,FALSE)/Arkansas!D36)+((vlookup(H152,'AR Data'!$A$3:$R$84,18,FALSE)*2))</f>
        <v>44.69230769</v>
      </c>
      <c r="O152" s="121">
        <f>'All Data Connect'!Q152/N152</f>
        <v>0.156626506</v>
      </c>
    </row>
    <row r="153">
      <c r="A153" s="99">
        <v>152.0</v>
      </c>
      <c r="B153" s="15"/>
      <c r="C153" s="15"/>
      <c r="D153" s="105">
        <v>1.0</v>
      </c>
      <c r="E153" s="102">
        <v>5.0</v>
      </c>
      <c r="F153" s="107">
        <v>69.0</v>
      </c>
      <c r="G153" s="15" t="str">
        <f t="shared" si="1"/>
        <v>05069</v>
      </c>
      <c r="H153" s="23" t="s">
        <v>143</v>
      </c>
      <c r="I153" s="23" t="s">
        <v>34</v>
      </c>
      <c r="J153" s="23" t="s">
        <v>237</v>
      </c>
      <c r="K153" s="23" t="str">
        <f t="shared" si="5"/>
        <v>Jefferson, AR</v>
      </c>
      <c r="L153" s="24">
        <f>(vlookup(H153,'AR Data'!$A$3:$P$84,16,FALSE)/Arkansas!D37)+(vlookup(H153,'AR Data'!$A$3:$R$84,18,FALSE))</f>
        <v>55.14084507</v>
      </c>
      <c r="M153" s="119">
        <f>'All Data Connect'!Q153/L153</f>
        <v>0.6347381865</v>
      </c>
      <c r="N153" s="120">
        <f>(vlookup(H153,'AR Data'!$A$3:$P$84,16,FALSE)/Arkansas!D37)+((vlookup(H153,'AR Data'!$A$3:$R$84,18,FALSE)*2))</f>
        <v>92.14084507</v>
      </c>
      <c r="O153" s="121">
        <f>'All Data Connect'!Q153/N153</f>
        <v>0.3798532559</v>
      </c>
    </row>
    <row r="154">
      <c r="A154" s="99">
        <v>153.0</v>
      </c>
      <c r="B154" s="15"/>
      <c r="C154" s="15"/>
      <c r="D154" s="105">
        <v>1.0</v>
      </c>
      <c r="E154" s="102">
        <v>5.0</v>
      </c>
      <c r="F154" s="107">
        <v>71.0</v>
      </c>
      <c r="G154" s="15" t="str">
        <f t="shared" si="1"/>
        <v>05071</v>
      </c>
      <c r="H154" s="23" t="s">
        <v>288</v>
      </c>
      <c r="I154" s="23" t="s">
        <v>34</v>
      </c>
      <c r="J154" s="23" t="s">
        <v>237</v>
      </c>
      <c r="K154" s="23" t="str">
        <f t="shared" si="5"/>
        <v>Johnson, AR</v>
      </c>
      <c r="L154" s="24">
        <f>(vlookup(H154,'AR Data'!$A$3:$P$84,16,FALSE)/Arkansas!D38)+(vlookup(H154,'AR Data'!$A$3:$R$84,18,FALSE))</f>
        <v>23.05555556</v>
      </c>
      <c r="M154" s="119">
        <f>'All Data Connect'!Q154/L154</f>
        <v>0.7373493976</v>
      </c>
      <c r="N154" s="120">
        <f>(vlookup(H154,'AR Data'!$A$3:$P$84,16,FALSE)/Arkansas!D38)+((vlookup(H154,'AR Data'!$A$3:$R$84,18,FALSE)*2))</f>
        <v>32.05555556</v>
      </c>
      <c r="O154" s="121">
        <f>'All Data Connect'!Q154/N154</f>
        <v>0.5303292894</v>
      </c>
    </row>
    <row r="155">
      <c r="A155" s="99">
        <v>154.0</v>
      </c>
      <c r="B155" s="15"/>
      <c r="C155" s="15"/>
      <c r="D155" s="105">
        <v>1.0</v>
      </c>
      <c r="E155" s="102">
        <v>5.0</v>
      </c>
      <c r="F155" s="107">
        <v>73.0</v>
      </c>
      <c r="G155" s="15" t="str">
        <f t="shared" si="1"/>
        <v>05073</v>
      </c>
      <c r="H155" s="23" t="s">
        <v>289</v>
      </c>
      <c r="I155" s="23" t="s">
        <v>34</v>
      </c>
      <c r="J155" s="23" t="s">
        <v>237</v>
      </c>
      <c r="K155" s="23" t="str">
        <f t="shared" si="5"/>
        <v>Lafayette, AR</v>
      </c>
      <c r="L155" s="24">
        <f>(vlookup(H155,'AR Data'!$A$3:$P$84,16,FALSE)/Arkansas!D39)+(vlookup(H155,'AR Data'!$A$3:$R$84,18,FALSE))</f>
        <v>4</v>
      </c>
      <c r="M155" s="119">
        <f>'All Data Connect'!Q155/L155</f>
        <v>0.75</v>
      </c>
      <c r="N155" s="120">
        <f>(vlookup(H155,'AR Data'!$A$3:$P$84,16,FALSE)/Arkansas!D39)+((vlookup(H155,'AR Data'!$A$3:$R$84,18,FALSE)*2))</f>
        <v>8</v>
      </c>
      <c r="O155" s="121">
        <f>'All Data Connect'!Q155/N155</f>
        <v>0.375</v>
      </c>
    </row>
    <row r="156">
      <c r="A156" s="99">
        <v>155.0</v>
      </c>
      <c r="B156" s="15"/>
      <c r="C156" s="15"/>
      <c r="D156" s="105">
        <v>1.0</v>
      </c>
      <c r="E156" s="102">
        <v>5.0</v>
      </c>
      <c r="F156" s="107">
        <v>75.0</v>
      </c>
      <c r="G156" s="15" t="str">
        <f t="shared" si="1"/>
        <v>05075</v>
      </c>
      <c r="H156" s="23" t="s">
        <v>146</v>
      </c>
      <c r="I156" s="23" t="s">
        <v>34</v>
      </c>
      <c r="J156" s="23" t="s">
        <v>237</v>
      </c>
      <c r="K156" s="23" t="str">
        <f t="shared" si="5"/>
        <v>Lawrence, AR</v>
      </c>
      <c r="L156" s="24">
        <f>(vlookup(H156,'AR Data'!$A$3:$P$84,16,FALSE)/Arkansas!D40)+(vlookup(H156,'AR Data'!$A$3:$R$84,18,FALSE))</f>
        <v>19.19047619</v>
      </c>
      <c r="M156" s="119">
        <f>'All Data Connect'!Q156/L156</f>
        <v>0.5210918114</v>
      </c>
      <c r="N156" s="120">
        <f>(vlookup(H156,'AR Data'!$A$3:$P$84,16,FALSE)/Arkansas!D40)+((vlookup(H156,'AR Data'!$A$3:$R$84,18,FALSE)*2))</f>
        <v>34.19047619</v>
      </c>
      <c r="O156" s="121">
        <f>'All Data Connect'!Q156/N156</f>
        <v>0.2924791086</v>
      </c>
    </row>
    <row r="157">
      <c r="A157" s="99">
        <v>156.0</v>
      </c>
      <c r="B157" s="15"/>
      <c r="C157" s="15"/>
      <c r="D157" s="105">
        <v>1.0</v>
      </c>
      <c r="E157" s="102">
        <v>5.0</v>
      </c>
      <c r="F157" s="107">
        <v>77.0</v>
      </c>
      <c r="G157" s="15" t="str">
        <f t="shared" si="1"/>
        <v>05077</v>
      </c>
      <c r="H157" s="23" t="s">
        <v>147</v>
      </c>
      <c r="I157" s="23" t="s">
        <v>34</v>
      </c>
      <c r="J157" s="23" t="s">
        <v>237</v>
      </c>
      <c r="K157" s="23" t="str">
        <f t="shared" si="5"/>
        <v>Lee, AR</v>
      </c>
      <c r="L157" s="24">
        <f>(vlookup(H157,'AR Data'!$A$3:$P$84,16,FALSE)/Arkansas!D41)+(vlookup(H157,'AR Data'!$A$3:$R$84,18,FALSE))</f>
        <v>5</v>
      </c>
      <c r="M157" s="119">
        <f>'All Data Connect'!Q157/L157</f>
        <v>1.4</v>
      </c>
      <c r="N157" s="120">
        <f>(vlookup(H157,'AR Data'!$A$3:$P$84,16,FALSE)/Arkansas!D41)+((vlookup(H157,'AR Data'!$A$3:$R$84,18,FALSE)*2))</f>
        <v>5</v>
      </c>
      <c r="O157" s="121">
        <f>'All Data Connect'!Q157/N157</f>
        <v>1.4</v>
      </c>
    </row>
    <row r="158">
      <c r="A158" s="99">
        <v>157.0</v>
      </c>
      <c r="B158" s="15"/>
      <c r="C158" s="15"/>
      <c r="D158" s="105">
        <v>1.0</v>
      </c>
      <c r="E158" s="102">
        <v>5.0</v>
      </c>
      <c r="F158" s="107">
        <v>79.0</v>
      </c>
      <c r="G158" s="15" t="str">
        <f t="shared" si="1"/>
        <v>05079</v>
      </c>
      <c r="H158" s="23" t="s">
        <v>290</v>
      </c>
      <c r="I158" s="23" t="s">
        <v>34</v>
      </c>
      <c r="J158" s="23" t="s">
        <v>237</v>
      </c>
      <c r="K158" s="23" t="str">
        <f t="shared" si="5"/>
        <v>Lincoln, AR</v>
      </c>
      <c r="L158" s="24">
        <f>(vlookup(H158,'AR Data'!$A$3:$P$84,16,FALSE)/Arkansas!D42)+(vlookup(H158,'AR Data'!$A$3:$R$84,18,FALSE))</f>
        <v>6.846153846</v>
      </c>
      <c r="M158" s="119">
        <f>'All Data Connect'!Q158/L158</f>
        <v>1.02247191</v>
      </c>
      <c r="N158" s="120">
        <f>(vlookup(H158,'AR Data'!$A$3:$P$84,16,FALSE)/Arkansas!D42)+((vlookup(H158,'AR Data'!$A$3:$R$84,18,FALSE)*2))</f>
        <v>9.846153846</v>
      </c>
      <c r="O158" s="121">
        <f>'All Data Connect'!Q158/N158</f>
        <v>0.7109375</v>
      </c>
    </row>
    <row r="159">
      <c r="A159" s="99">
        <v>158.0</v>
      </c>
      <c r="B159" s="15"/>
      <c r="C159" s="15"/>
      <c r="D159" s="105">
        <v>1.0</v>
      </c>
      <c r="E159" s="102">
        <v>5.0</v>
      </c>
      <c r="F159" s="107">
        <v>81.0</v>
      </c>
      <c r="G159" s="15" t="str">
        <f t="shared" si="1"/>
        <v>05081</v>
      </c>
      <c r="H159" s="23" t="s">
        <v>291</v>
      </c>
      <c r="I159" s="23" t="s">
        <v>34</v>
      </c>
      <c r="J159" s="23" t="s">
        <v>237</v>
      </c>
      <c r="K159" s="23" t="str">
        <f t="shared" si="5"/>
        <v>Little River, AR</v>
      </c>
      <c r="L159" s="24">
        <f>(vlookup(H159,'AR Data'!$A$3:$P$84,16,FALSE)/Arkansas!D43)+(vlookup(H159,'AR Data'!$A$3:$R$84,18,FALSE))</f>
        <v>32.125</v>
      </c>
      <c r="M159" s="119">
        <f>'All Data Connect'!Q159/L159</f>
        <v>0.46692607</v>
      </c>
      <c r="N159" s="120">
        <f>(vlookup(H159,'AR Data'!$A$3:$P$84,16,FALSE)/Arkansas!D43)+((vlookup(H159,'AR Data'!$A$3:$R$84,18,FALSE)*2))</f>
        <v>54.125</v>
      </c>
      <c r="O159" s="121">
        <f>'All Data Connect'!Q159/N159</f>
        <v>0.2771362587</v>
      </c>
    </row>
    <row r="160">
      <c r="A160" s="99">
        <v>159.0</v>
      </c>
      <c r="B160" s="15"/>
      <c r="C160" s="15"/>
      <c r="D160" s="105">
        <v>1.0</v>
      </c>
      <c r="E160" s="102">
        <v>5.0</v>
      </c>
      <c r="F160" s="107">
        <v>83.0</v>
      </c>
      <c r="G160" s="15" t="str">
        <f t="shared" si="1"/>
        <v>05083</v>
      </c>
      <c r="H160" s="23" t="s">
        <v>293</v>
      </c>
      <c r="I160" s="23" t="s">
        <v>34</v>
      </c>
      <c r="J160" s="23" t="s">
        <v>237</v>
      </c>
      <c r="K160" s="23" t="str">
        <f t="shared" si="5"/>
        <v>Logan, AR</v>
      </c>
      <c r="L160" s="24">
        <f>(vlookup(H160,'AR Data'!$A$3:$P$84,16,FALSE)/Arkansas!D44)+(vlookup(H160,'AR Data'!$A$3:$R$84,18,FALSE))</f>
        <v>47.95238095</v>
      </c>
      <c r="M160" s="119">
        <f>'All Data Connect'!Q160/L160</f>
        <v>0.3128103277</v>
      </c>
      <c r="N160" s="120">
        <f>(vlookup(H160,'AR Data'!$A$3:$P$84,16,FALSE)/Arkansas!D44)+((vlookup(H160,'AR Data'!$A$3:$R$84,18,FALSE)*2))</f>
        <v>84.95238095</v>
      </c>
      <c r="O160" s="121">
        <f>'All Data Connect'!Q160/N160</f>
        <v>0.1765695067</v>
      </c>
    </row>
    <row r="161">
      <c r="A161" s="99">
        <v>160.0</v>
      </c>
      <c r="B161" s="15"/>
      <c r="C161" s="15"/>
      <c r="D161" s="105">
        <v>1.0</v>
      </c>
      <c r="E161" s="102">
        <v>5.0</v>
      </c>
      <c r="F161" s="107">
        <v>85.0</v>
      </c>
      <c r="G161" s="15" t="str">
        <f t="shared" si="1"/>
        <v>05085</v>
      </c>
      <c r="H161" s="23" t="s">
        <v>294</v>
      </c>
      <c r="I161" s="23" t="s">
        <v>34</v>
      </c>
      <c r="J161" s="23" t="s">
        <v>237</v>
      </c>
      <c r="K161" s="23" t="str">
        <f t="shared" si="5"/>
        <v>Lonoke, AR</v>
      </c>
      <c r="L161" s="24">
        <f>(vlookup(H161,'AR Data'!$A$3:$P$84,16,FALSE)/Arkansas!D45)+(vlookup(H161,'AR Data'!$A$3:$R$84,18,FALSE))</f>
        <v>56.69047619</v>
      </c>
      <c r="M161" s="119">
        <f>'All Data Connect'!Q161/L161</f>
        <v>1.040739185</v>
      </c>
      <c r="N161" s="120">
        <f>(vlookup(H161,'AR Data'!$A$3:$P$84,16,FALSE)/Arkansas!D45)+((vlookup(H161,'AR Data'!$A$3:$R$84,18,FALSE)*2))</f>
        <v>99.69047619</v>
      </c>
      <c r="O161" s="121">
        <f>'All Data Connect'!Q161/N161</f>
        <v>0.5918318605</v>
      </c>
    </row>
    <row r="162">
      <c r="A162" s="99">
        <v>161.0</v>
      </c>
      <c r="B162" s="15"/>
      <c r="C162" s="15"/>
      <c r="D162" s="105">
        <v>1.0</v>
      </c>
      <c r="E162" s="102">
        <v>5.0</v>
      </c>
      <c r="F162" s="107">
        <v>87.0</v>
      </c>
      <c r="G162" s="15" t="str">
        <f t="shared" si="1"/>
        <v>05087</v>
      </c>
      <c r="H162" s="23" t="s">
        <v>151</v>
      </c>
      <c r="I162" s="23" t="s">
        <v>34</v>
      </c>
      <c r="J162" s="23" t="s">
        <v>237</v>
      </c>
      <c r="K162" s="23" t="str">
        <f t="shared" si="5"/>
        <v>Madison, AR</v>
      </c>
      <c r="L162" s="24">
        <f>(vlookup(H162,'AR Data'!$A$3:$P$84,16,FALSE)/Arkansas!D46)+(vlookup(H162,'AR Data'!$A$3:$R$84,18,FALSE))</f>
        <v>25</v>
      </c>
      <c r="M162" s="119">
        <f>'All Data Connect'!Q162/L162</f>
        <v>0.56</v>
      </c>
      <c r="N162" s="120">
        <f>(vlookup(H162,'AR Data'!$A$3:$P$84,16,FALSE)/Arkansas!D46)+((vlookup(H162,'AR Data'!$A$3:$R$84,18,FALSE)*2))</f>
        <v>38</v>
      </c>
      <c r="O162" s="121">
        <f>'All Data Connect'!Q162/N162</f>
        <v>0.3684210526</v>
      </c>
    </row>
    <row r="163">
      <c r="A163" s="99">
        <v>162.0</v>
      </c>
      <c r="B163" s="15"/>
      <c r="C163" s="15"/>
      <c r="D163" s="105">
        <v>1.0</v>
      </c>
      <c r="E163" s="102">
        <v>5.0</v>
      </c>
      <c r="F163" s="107">
        <v>89.0</v>
      </c>
      <c r="G163" s="15" t="str">
        <f t="shared" si="1"/>
        <v>05089</v>
      </c>
      <c r="H163" s="23" t="s">
        <v>153</v>
      </c>
      <c r="I163" s="23" t="s">
        <v>34</v>
      </c>
      <c r="J163" s="23" t="s">
        <v>237</v>
      </c>
      <c r="K163" s="23" t="str">
        <f t="shared" si="5"/>
        <v>Marion, AR</v>
      </c>
      <c r="L163" s="24">
        <f>(vlookup(H163,'AR Data'!$A$3:$P$84,16,FALSE)/Arkansas!D47)+(vlookup(H163,'AR Data'!$A$3:$R$84,18,FALSE))</f>
        <v>14</v>
      </c>
      <c r="M163" s="119">
        <f>'All Data Connect'!Q163/L163</f>
        <v>0.7142857143</v>
      </c>
      <c r="N163" s="120">
        <f>(vlookup(H163,'AR Data'!$A$3:$P$84,16,FALSE)/Arkansas!D47)+((vlookup(H163,'AR Data'!$A$3:$R$84,18,FALSE)*2))</f>
        <v>22</v>
      </c>
      <c r="O163" s="121">
        <f>'All Data Connect'!Q163/N163</f>
        <v>0.4545454545</v>
      </c>
    </row>
    <row r="164">
      <c r="A164" s="99">
        <v>163.0</v>
      </c>
      <c r="B164" s="15"/>
      <c r="C164" s="15"/>
      <c r="D164" s="105">
        <v>1.0</v>
      </c>
      <c r="E164" s="102">
        <v>5.0</v>
      </c>
      <c r="F164" s="107">
        <v>91.0</v>
      </c>
      <c r="G164" s="15" t="str">
        <f t="shared" si="1"/>
        <v>05091</v>
      </c>
      <c r="H164" s="23" t="s">
        <v>295</v>
      </c>
      <c r="I164" s="23" t="s">
        <v>34</v>
      </c>
      <c r="J164" s="23" t="s">
        <v>237</v>
      </c>
      <c r="K164" s="23" t="str">
        <f t="shared" si="5"/>
        <v>Miller, AR</v>
      </c>
      <c r="L164" s="24">
        <f>(vlookup(H164,'AR Data'!$A$3:$P$84,16,FALSE)/Arkansas!D48)+(vlookup(H164,'AR Data'!$A$3:$R$84,18,FALSE))</f>
        <v>85.26829268</v>
      </c>
      <c r="M164" s="119">
        <f>'All Data Connect'!Q164/L164</f>
        <v>0.3635583524</v>
      </c>
      <c r="N164" s="120">
        <f>(vlookup(H164,'AR Data'!$A$3:$P$84,16,FALSE)/Arkansas!D48)+((vlookup(H164,'AR Data'!$A$3:$R$84,18,FALSE)*2))</f>
        <v>137.2682927</v>
      </c>
      <c r="O164" s="121">
        <f>'All Data Connect'!Q164/N164</f>
        <v>0.2258351102</v>
      </c>
    </row>
    <row r="165">
      <c r="A165" s="99">
        <v>164.0</v>
      </c>
      <c r="B165" s="15"/>
      <c r="C165" s="15"/>
      <c r="D165" s="105">
        <v>1.0</v>
      </c>
      <c r="E165" s="102">
        <v>5.0</v>
      </c>
      <c r="F165" s="107">
        <v>93.0</v>
      </c>
      <c r="G165" s="15" t="str">
        <f t="shared" si="1"/>
        <v>05093</v>
      </c>
      <c r="H165" s="23" t="s">
        <v>67</v>
      </c>
      <c r="I165" s="23" t="s">
        <v>34</v>
      </c>
      <c r="J165" s="23" t="s">
        <v>237</v>
      </c>
      <c r="K165" s="23" t="str">
        <f t="shared" si="5"/>
        <v>Mississippi, AR</v>
      </c>
      <c r="L165" s="24">
        <f>(vlookup(H165,'AR Data'!$A$3:$P$84,16,FALSE)/Arkansas!D49)+(vlookup(H165,'AR Data'!$A$3:$R$84,18,FALSE))</f>
        <v>23.47058824</v>
      </c>
      <c r="M165" s="119">
        <f>'All Data Connect'!Q165/L165</f>
        <v>0.6817042607</v>
      </c>
      <c r="N165" s="120">
        <f>(vlookup(H165,'AR Data'!$A$3:$P$84,16,FALSE)/Arkansas!D49)+((vlookup(H165,'AR Data'!$A$3:$R$84,18,FALSE)*2))</f>
        <v>40.47058824</v>
      </c>
      <c r="O165" s="121">
        <f>'All Data Connect'!Q165/N165</f>
        <v>0.3953488372</v>
      </c>
    </row>
    <row r="166">
      <c r="A166" s="99">
        <v>165.0</v>
      </c>
      <c r="B166" s="15"/>
      <c r="C166" s="15"/>
      <c r="D166" s="105">
        <v>1.0</v>
      </c>
      <c r="E166" s="102">
        <v>5.0</v>
      </c>
      <c r="F166" s="107">
        <v>95.0</v>
      </c>
      <c r="G166" s="15" t="str">
        <f t="shared" si="1"/>
        <v>05095</v>
      </c>
      <c r="H166" s="23" t="s">
        <v>156</v>
      </c>
      <c r="I166" s="23" t="s">
        <v>34</v>
      </c>
      <c r="J166" s="23" t="s">
        <v>237</v>
      </c>
      <c r="K166" s="23" t="str">
        <f t="shared" si="5"/>
        <v>Monroe, AR</v>
      </c>
      <c r="L166" s="24">
        <f>(vlookup(H166,'AR Data'!$A$3:$P$84,16,FALSE)/Arkansas!D50)+(vlookup(H166,'AR Data'!$A$3:$R$84,18,FALSE))</f>
        <v>7</v>
      </c>
      <c r="M166" s="119">
        <f>'All Data Connect'!Q166/L166</f>
        <v>1.285714286</v>
      </c>
      <c r="N166" s="120">
        <f>(vlookup(H166,'AR Data'!$A$3:$P$84,16,FALSE)/Arkansas!D50)+((vlookup(H166,'AR Data'!$A$3:$R$84,18,FALSE)*2))</f>
        <v>10</v>
      </c>
      <c r="O166" s="121">
        <f>'All Data Connect'!Q166/N166</f>
        <v>0.9</v>
      </c>
    </row>
    <row r="167">
      <c r="A167" s="99">
        <v>166.0</v>
      </c>
      <c r="B167" s="15"/>
      <c r="C167" s="15"/>
      <c r="D167" s="105">
        <v>1.0</v>
      </c>
      <c r="E167" s="102">
        <v>5.0</v>
      </c>
      <c r="F167" s="107">
        <v>97.0</v>
      </c>
      <c r="G167" s="15" t="str">
        <f t="shared" si="1"/>
        <v>05097</v>
      </c>
      <c r="H167" s="23" t="s">
        <v>157</v>
      </c>
      <c r="I167" s="23" t="s">
        <v>34</v>
      </c>
      <c r="J167" s="23" t="s">
        <v>237</v>
      </c>
      <c r="K167" s="112" t="str">
        <f t="shared" si="5"/>
        <v>Montgomery, AR</v>
      </c>
      <c r="L167" s="24">
        <f>(vlookup(H167,'AR Data'!$A$3:$P$84,16,FALSE)/Arkansas!D51)+(vlookup(H167,'AR Data'!$A$3:$R$84,18,FALSE))</f>
        <v>7</v>
      </c>
      <c r="M167" s="119">
        <f>'All Data Connect'!Q167/L167</f>
        <v>0.5714285714</v>
      </c>
      <c r="N167" s="120">
        <f>(vlookup(H167,'AR Data'!$A$3:$P$84,16,FALSE)/Arkansas!D51)+((vlookup(H167,'AR Data'!$A$3:$R$84,18,FALSE)*2))</f>
        <v>11</v>
      </c>
      <c r="O167" s="121">
        <f>'All Data Connect'!Q167/N167</f>
        <v>0.3636363636</v>
      </c>
    </row>
    <row r="168">
      <c r="A168" s="99">
        <v>167.0</v>
      </c>
      <c r="B168" s="15"/>
      <c r="C168" s="15"/>
      <c r="D168" s="105">
        <v>1.0</v>
      </c>
      <c r="E168" s="102">
        <v>5.0</v>
      </c>
      <c r="F168" s="107">
        <v>99.0</v>
      </c>
      <c r="G168" s="15" t="str">
        <f t="shared" si="1"/>
        <v>05099</v>
      </c>
      <c r="H168" s="23" t="s">
        <v>82</v>
      </c>
      <c r="I168" s="23" t="s">
        <v>34</v>
      </c>
      <c r="J168" s="23" t="s">
        <v>237</v>
      </c>
      <c r="K168" s="23" t="str">
        <f t="shared" si="5"/>
        <v>Nevada, AR</v>
      </c>
      <c r="L168" s="24">
        <f>(vlookup(H168,'AR Data'!$A$3:$P$84,16,FALSE)/Arkansas!D52)+(vlookup(H168,'AR Data'!$A$3:$R$84,18,FALSE))</f>
        <v>2</v>
      </c>
      <c r="M168" s="119">
        <f>'All Data Connect'!Q168/L168</f>
        <v>1.5</v>
      </c>
      <c r="N168" s="120">
        <f>(vlookup(H168,'AR Data'!$A$3:$P$84,16,FALSE)/Arkansas!D52)+((vlookup(H168,'AR Data'!$A$3:$R$84,18,FALSE)*2))</f>
        <v>3</v>
      </c>
      <c r="O168" s="121">
        <f>'All Data Connect'!Q168/N168</f>
        <v>1</v>
      </c>
    </row>
    <row r="169">
      <c r="A169" s="99">
        <v>168.0</v>
      </c>
      <c r="B169" s="15"/>
      <c r="C169" s="15"/>
      <c r="D169" s="105">
        <v>1.0</v>
      </c>
      <c r="E169" s="102">
        <v>5.0</v>
      </c>
      <c r="F169" s="107">
        <v>101.0</v>
      </c>
      <c r="G169" s="15" t="str">
        <f t="shared" si="1"/>
        <v>05101</v>
      </c>
      <c r="H169" s="23" t="s">
        <v>297</v>
      </c>
      <c r="I169" s="23" t="s">
        <v>34</v>
      </c>
      <c r="J169" s="23" t="s">
        <v>237</v>
      </c>
      <c r="K169" s="23" t="str">
        <f t="shared" si="5"/>
        <v>Newton, AR</v>
      </c>
      <c r="L169" s="24">
        <f>(vlookup(H169,'AR Data'!$A$3:$P$84,16,FALSE)/Arkansas!D53)+(vlookup(H169,'AR Data'!$A$3:$R$84,18,FALSE))</f>
        <v>8</v>
      </c>
      <c r="M169" s="119">
        <f>'All Data Connect'!Q169/L169</f>
        <v>0.75</v>
      </c>
      <c r="N169" s="120">
        <f>(vlookup(H169,'AR Data'!$A$3:$P$84,16,FALSE)/Arkansas!D53)+((vlookup(H169,'AR Data'!$A$3:$R$84,18,FALSE)*2))</f>
        <v>14</v>
      </c>
      <c r="O169" s="121">
        <f>'All Data Connect'!Q169/N169</f>
        <v>0.4285714286</v>
      </c>
    </row>
    <row r="170">
      <c r="A170" s="99">
        <v>169.0</v>
      </c>
      <c r="B170" s="15"/>
      <c r="C170" s="15"/>
      <c r="D170" s="105">
        <v>1.0</v>
      </c>
      <c r="E170" s="102">
        <v>5.0</v>
      </c>
      <c r="F170" s="107">
        <v>103.0</v>
      </c>
      <c r="G170" s="15" t="str">
        <f t="shared" si="1"/>
        <v>05103</v>
      </c>
      <c r="H170" s="23" t="s">
        <v>298</v>
      </c>
      <c r="I170" s="23" t="s">
        <v>34</v>
      </c>
      <c r="J170" s="23" t="s">
        <v>237</v>
      </c>
      <c r="K170" s="23" t="str">
        <f t="shared" si="5"/>
        <v>Ouachita, AR</v>
      </c>
      <c r="L170" s="24">
        <f>(vlookup(H170,'AR Data'!$A$3:$P$84,16,FALSE)/Arkansas!D54)+(vlookup(H170,'AR Data'!$A$3:$R$84,18,FALSE))</f>
        <v>17.33333333</v>
      </c>
      <c r="M170" s="119">
        <f>'All Data Connect'!Q170/L170</f>
        <v>0.8653846154</v>
      </c>
      <c r="N170" s="120">
        <f>(vlookup(H170,'AR Data'!$A$3:$P$84,16,FALSE)/Arkansas!D54)+((vlookup(H170,'AR Data'!$A$3:$R$84,18,FALSE)*2))</f>
        <v>27.33333333</v>
      </c>
      <c r="O170" s="121">
        <f>'All Data Connect'!Q170/N170</f>
        <v>0.5487804878</v>
      </c>
    </row>
    <row r="171">
      <c r="A171" s="99">
        <v>170.0</v>
      </c>
      <c r="B171" s="15"/>
      <c r="C171" s="15"/>
      <c r="D171" s="105">
        <v>1.0</v>
      </c>
      <c r="E171" s="102">
        <v>5.0</v>
      </c>
      <c r="F171" s="107">
        <v>105.0</v>
      </c>
      <c r="G171" s="15" t="str">
        <f t="shared" si="1"/>
        <v>05105</v>
      </c>
      <c r="H171" s="23" t="s">
        <v>159</v>
      </c>
      <c r="I171" s="23" t="s">
        <v>34</v>
      </c>
      <c r="J171" s="23" t="s">
        <v>237</v>
      </c>
      <c r="K171" s="23" t="str">
        <f t="shared" si="5"/>
        <v>Perry, AR</v>
      </c>
      <c r="L171" s="24">
        <f>(vlookup(H171,'AR Data'!$A$3:$P$84,16,FALSE)/Arkansas!D55)+(vlookup(H171,'AR Data'!$A$3:$R$84,18,FALSE))</f>
        <v>15</v>
      </c>
      <c r="M171" s="119">
        <f>'All Data Connect'!Q171/L171</f>
        <v>0.1333333333</v>
      </c>
      <c r="N171" s="120">
        <f>(vlookup(H171,'AR Data'!$A$3:$P$84,16,FALSE)/Arkansas!D55)+((vlookup(H171,'AR Data'!$A$3:$R$84,18,FALSE)*2))</f>
        <v>23</v>
      </c>
      <c r="O171" s="121">
        <f>'All Data Connect'!Q171/N171</f>
        <v>0.08695652174</v>
      </c>
    </row>
    <row r="172">
      <c r="A172" s="99">
        <v>171.0</v>
      </c>
      <c r="B172" s="15"/>
      <c r="C172" s="15"/>
      <c r="D172" s="105">
        <v>1.0</v>
      </c>
      <c r="E172" s="102">
        <v>5.0</v>
      </c>
      <c r="F172" s="107">
        <v>107.0</v>
      </c>
      <c r="G172" s="15" t="str">
        <f t="shared" si="1"/>
        <v>05107</v>
      </c>
      <c r="H172" s="23" t="s">
        <v>300</v>
      </c>
      <c r="I172" s="23" t="s">
        <v>34</v>
      </c>
      <c r="J172" s="23" t="s">
        <v>237</v>
      </c>
      <c r="K172" s="23" t="str">
        <f t="shared" si="5"/>
        <v>Phillips, AR</v>
      </c>
      <c r="L172" s="24">
        <f>(vlookup(H172,'AR Data'!$A$3:$P$84,16,FALSE)/Arkansas!D56)+(vlookup(H172,'AR Data'!$A$3:$R$84,18,FALSE))</f>
        <v>10.6</v>
      </c>
      <c r="M172" s="119">
        <f>'All Data Connect'!Q172/L172</f>
        <v>0.4716981132</v>
      </c>
      <c r="N172" s="120">
        <f>(vlookup(H172,'AR Data'!$A$3:$P$84,16,FALSE)/Arkansas!D56)+((vlookup(H172,'AR Data'!$A$3:$R$84,18,FALSE)*2))</f>
        <v>11.6</v>
      </c>
      <c r="O172" s="121">
        <f>'All Data Connect'!Q172/N172</f>
        <v>0.4310344828</v>
      </c>
    </row>
    <row r="173">
      <c r="A173" s="99">
        <v>172.0</v>
      </c>
      <c r="B173" s="15"/>
      <c r="C173" s="15"/>
      <c r="D173" s="105">
        <v>1.0</v>
      </c>
      <c r="E173" s="102">
        <v>5.0</v>
      </c>
      <c r="F173" s="107">
        <v>109.0</v>
      </c>
      <c r="G173" s="15" t="str">
        <f t="shared" si="1"/>
        <v>05109</v>
      </c>
      <c r="H173" s="23" t="s">
        <v>162</v>
      </c>
      <c r="I173" s="23" t="s">
        <v>34</v>
      </c>
      <c r="J173" s="23" t="s">
        <v>237</v>
      </c>
      <c r="K173" s="23" t="str">
        <f t="shared" si="5"/>
        <v>Pike, AR</v>
      </c>
      <c r="L173" s="24">
        <f>(vlookup(H173,'AR Data'!$A$3:$P$84,16,FALSE)/Arkansas!D57)+(vlookup(H173,'AR Data'!$A$3:$R$84,18,FALSE))</f>
        <v>8.142857143</v>
      </c>
      <c r="M173" s="119">
        <f>'All Data Connect'!Q173/L173</f>
        <v>0.6140350877</v>
      </c>
      <c r="N173" s="120">
        <f>(vlookup(H173,'AR Data'!$A$3:$P$84,16,FALSE)/Arkansas!D57)+((vlookup(H173,'AR Data'!$A$3:$R$84,18,FALSE)*2))</f>
        <v>15.14285714</v>
      </c>
      <c r="O173" s="121">
        <f>'All Data Connect'!Q173/N173</f>
        <v>0.3301886792</v>
      </c>
    </row>
    <row r="174">
      <c r="A174" s="99">
        <v>173.0</v>
      </c>
      <c r="B174" s="15"/>
      <c r="C174" s="15"/>
      <c r="D174" s="105">
        <v>1.0</v>
      </c>
      <c r="E174" s="102">
        <v>5.0</v>
      </c>
      <c r="F174" s="107">
        <v>111.0</v>
      </c>
      <c r="G174" s="15" t="str">
        <f t="shared" si="1"/>
        <v>05111</v>
      </c>
      <c r="H174" s="23" t="s">
        <v>301</v>
      </c>
      <c r="I174" s="23" t="s">
        <v>34</v>
      </c>
      <c r="J174" s="23" t="s">
        <v>237</v>
      </c>
      <c r="K174" s="23" t="str">
        <f t="shared" si="5"/>
        <v>Poinsett, AR</v>
      </c>
      <c r="L174" s="24">
        <f>(vlookup(H174,'AR Data'!$A$3:$P$84,16,FALSE)/Arkansas!D58)+(vlookup(H174,'AR Data'!$A$3:$R$84,18,FALSE))</f>
        <v>80.44444444</v>
      </c>
      <c r="M174" s="119">
        <f>'All Data Connect'!Q174/L174</f>
        <v>0.2237569061</v>
      </c>
      <c r="N174" s="120">
        <f>(vlookup(H174,'AR Data'!$A$3:$P$84,16,FALSE)/Arkansas!D58)+((vlookup(H174,'AR Data'!$A$3:$R$84,18,FALSE)*2))</f>
        <v>148.4444444</v>
      </c>
      <c r="O174" s="121">
        <f>'All Data Connect'!Q174/N174</f>
        <v>0.121257485</v>
      </c>
    </row>
    <row r="175">
      <c r="A175" s="99">
        <v>174.0</v>
      </c>
      <c r="B175" s="15"/>
      <c r="C175" s="15"/>
      <c r="D175" s="105">
        <v>1.0</v>
      </c>
      <c r="E175" s="102">
        <v>5.0</v>
      </c>
      <c r="F175" s="107">
        <v>113.0</v>
      </c>
      <c r="G175" s="15" t="str">
        <f t="shared" si="1"/>
        <v>05113</v>
      </c>
      <c r="H175" s="23" t="s">
        <v>302</v>
      </c>
      <c r="I175" s="23" t="s">
        <v>34</v>
      </c>
      <c r="J175" s="23" t="s">
        <v>237</v>
      </c>
      <c r="K175" s="23" t="str">
        <f t="shared" si="5"/>
        <v>Polk, AR</v>
      </c>
      <c r="L175" s="24">
        <f>(vlookup(H175,'AR Data'!$A$3:$P$84,16,FALSE)/Arkansas!D59)+(vlookup(H175,'AR Data'!$A$3:$R$84,18,FALSE))</f>
        <v>11.63636364</v>
      </c>
      <c r="M175" s="119">
        <f>'All Data Connect'!Q175/L175</f>
        <v>1.2890625</v>
      </c>
      <c r="N175" s="120">
        <f>(vlookup(H175,'AR Data'!$A$3:$P$84,16,FALSE)/Arkansas!D59)+((vlookup(H175,'AR Data'!$A$3:$R$84,18,FALSE)*2))</f>
        <v>19.63636364</v>
      </c>
      <c r="O175" s="121">
        <f>'All Data Connect'!Q175/N175</f>
        <v>0.7638888889</v>
      </c>
    </row>
    <row r="176">
      <c r="A176" s="99">
        <v>175.0</v>
      </c>
      <c r="B176" s="15"/>
      <c r="C176" s="15"/>
      <c r="D176" s="105">
        <v>1.0</v>
      </c>
      <c r="E176" s="102">
        <v>5.0</v>
      </c>
      <c r="F176" s="107">
        <v>115.0</v>
      </c>
      <c r="G176" s="15" t="str">
        <f t="shared" si="1"/>
        <v>05115</v>
      </c>
      <c r="H176" s="23" t="s">
        <v>303</v>
      </c>
      <c r="I176" s="23" t="s">
        <v>34</v>
      </c>
      <c r="J176" s="23" t="s">
        <v>237</v>
      </c>
      <c r="K176" s="23" t="str">
        <f t="shared" si="5"/>
        <v>Pope, AR</v>
      </c>
      <c r="L176" s="24">
        <f>(vlookup(H176,'AR Data'!$A$3:$P$84,16,FALSE)/Arkansas!D60)+(vlookup(H176,'AR Data'!$A$3:$R$84,18,FALSE))</f>
        <v>34.79365079</v>
      </c>
      <c r="M176" s="119">
        <f>'All Data Connect'!Q176/L176</f>
        <v>1.149635036</v>
      </c>
      <c r="N176" s="120">
        <f>(vlookup(H176,'AR Data'!$A$3:$P$84,16,FALSE)/Arkansas!D60)+((vlookup(H176,'AR Data'!$A$3:$R$84,18,FALSE)*2))</f>
        <v>56.79365079</v>
      </c>
      <c r="O176" s="121">
        <f>'All Data Connect'!Q176/N176</f>
        <v>0.7043040805</v>
      </c>
    </row>
    <row r="177">
      <c r="A177" s="99">
        <v>176.0</v>
      </c>
      <c r="B177" s="15"/>
      <c r="C177" s="15"/>
      <c r="D177" s="105">
        <v>1.0</v>
      </c>
      <c r="E177" s="102">
        <v>5.0</v>
      </c>
      <c r="F177" s="107">
        <v>117.0</v>
      </c>
      <c r="G177" s="15" t="str">
        <f t="shared" si="1"/>
        <v>05117</v>
      </c>
      <c r="H177" s="23" t="s">
        <v>304</v>
      </c>
      <c r="I177" s="23" t="s">
        <v>34</v>
      </c>
      <c r="J177" s="23" t="s">
        <v>237</v>
      </c>
      <c r="K177" s="23" t="str">
        <f t="shared" si="5"/>
        <v>Prairie, AR</v>
      </c>
      <c r="L177" s="24">
        <f>(vlookup(H177,'AR Data'!$A$3:$P$84,16,FALSE)/Arkansas!D61)+(vlookup(H177,'AR Data'!$A$3:$R$84,18,FALSE))</f>
        <v>0.5</v>
      </c>
      <c r="M177" s="122">
        <f>'All Data Connect'!Q177/L177</f>
        <v>6</v>
      </c>
      <c r="N177" s="120">
        <f>(vlookup(H177,'AR Data'!$A$3:$P$84,16,FALSE)/Arkansas!D61)+((vlookup(H177,'AR Data'!$A$3:$R$84,18,FALSE)*2))</f>
        <v>0.5</v>
      </c>
      <c r="O177" s="121">
        <f>'All Data Connect'!Q177/N177</f>
        <v>6</v>
      </c>
    </row>
    <row r="178">
      <c r="A178" s="99">
        <v>177.0</v>
      </c>
      <c r="B178" s="15"/>
      <c r="C178" s="15"/>
      <c r="D178" s="105">
        <v>1.0</v>
      </c>
      <c r="E178" s="102">
        <v>5.0</v>
      </c>
      <c r="F178" s="107">
        <v>119.0</v>
      </c>
      <c r="G178" s="15" t="str">
        <f t="shared" si="1"/>
        <v>05119</v>
      </c>
      <c r="H178" s="23" t="s">
        <v>305</v>
      </c>
      <c r="I178" s="23" t="s">
        <v>34</v>
      </c>
      <c r="J178" s="23" t="s">
        <v>237</v>
      </c>
      <c r="K178" s="23" t="str">
        <f t="shared" si="5"/>
        <v>Pulaski, AR</v>
      </c>
      <c r="L178" s="24">
        <f>(vlookup(H178,'AR Data'!$A$3:$P$84,16,FALSE)/Arkansas!D62)+(vlookup(H178,'AR Data'!$A$3:$R$84,18,FALSE))</f>
        <v>366.4130435</v>
      </c>
      <c r="M178" s="119">
        <f>'All Data Connect'!Q178/L178</f>
        <v>0.5321862949</v>
      </c>
      <c r="N178" s="120">
        <f>(vlookup(H178,'AR Data'!$A$3:$P$84,16,FALSE)/Arkansas!D62)+((vlookup(H178,'AR Data'!$A$3:$R$84,18,FALSE)*2))</f>
        <v>571.4130435</v>
      </c>
      <c r="O178" s="121">
        <f>'All Data Connect'!Q178/N178</f>
        <v>0.3412592733</v>
      </c>
    </row>
    <row r="179">
      <c r="A179" s="99">
        <v>178.0</v>
      </c>
      <c r="B179" s="15"/>
      <c r="C179" s="15"/>
      <c r="D179" s="105">
        <v>1.0</v>
      </c>
      <c r="E179" s="102">
        <v>5.0</v>
      </c>
      <c r="F179" s="107">
        <v>121.0</v>
      </c>
      <c r="G179" s="15" t="str">
        <f t="shared" si="1"/>
        <v>05121</v>
      </c>
      <c r="H179" s="23" t="s">
        <v>163</v>
      </c>
      <c r="I179" s="23" t="s">
        <v>34</v>
      </c>
      <c r="J179" s="23" t="s">
        <v>237</v>
      </c>
      <c r="K179" s="23" t="str">
        <f t="shared" si="5"/>
        <v>Randolph, AR</v>
      </c>
      <c r="L179" s="24">
        <f>(vlookup(H179,'AR Data'!$A$3:$P$84,16,FALSE)/Arkansas!D63)+(vlookup(H179,'AR Data'!$A$3:$R$84,18,FALSE))</f>
        <v>28.25</v>
      </c>
      <c r="M179" s="119">
        <f>'All Data Connect'!Q179/L179</f>
        <v>0.2477876106</v>
      </c>
      <c r="N179" s="120">
        <f>(vlookup(H179,'AR Data'!$A$3:$P$84,16,FALSE)/Arkansas!D63)+((vlookup(H179,'AR Data'!$A$3:$R$84,18,FALSE)*2))</f>
        <v>50.25</v>
      </c>
      <c r="O179" s="121">
        <f>'All Data Connect'!Q179/N179</f>
        <v>0.1393034826</v>
      </c>
    </row>
    <row r="180">
      <c r="A180" s="99">
        <v>179.0</v>
      </c>
      <c r="B180" s="15"/>
      <c r="C180" s="15"/>
      <c r="D180" s="105">
        <v>1.0</v>
      </c>
      <c r="E180" s="102">
        <v>5.0</v>
      </c>
      <c r="F180" s="107">
        <v>123.0</v>
      </c>
      <c r="G180" s="15" t="str">
        <f t="shared" si="1"/>
        <v>05123</v>
      </c>
      <c r="H180" s="23" t="s">
        <v>307</v>
      </c>
      <c r="I180" s="23" t="s">
        <v>34</v>
      </c>
      <c r="J180" s="23" t="s">
        <v>237</v>
      </c>
      <c r="K180" s="23" t="str">
        <f t="shared" si="5"/>
        <v>St Francis, AR</v>
      </c>
      <c r="L180" s="24" t="str">
        <f>(vlookup(H180,'AR Data'!$A$3:$P$84,16,FALSE)/Arkansas!D64)+(vlookup(H180,'AR Data'!$A$3:$R$84,18,FALSE))</f>
        <v>#N/A</v>
      </c>
      <c r="M180" s="119" t="str">
        <f>'All Data Connect'!Q180/L180</f>
        <v>#N/A</v>
      </c>
      <c r="N180" s="120" t="str">
        <f>(vlookup(H180,'AR Data'!$A$3:$P$84,16,FALSE)/Arkansas!D64)+((vlookup(H180,'AR Data'!$A$3:$R$84,18,FALSE)*2))</f>
        <v>#N/A</v>
      </c>
      <c r="O180" s="121" t="str">
        <f>'All Data Connect'!Q180/N180</f>
        <v>#N/A</v>
      </c>
    </row>
    <row r="181">
      <c r="A181" s="99">
        <v>180.0</v>
      </c>
      <c r="B181" s="15"/>
      <c r="C181" s="15"/>
      <c r="D181" s="105">
        <v>1.0</v>
      </c>
      <c r="E181" s="102">
        <v>5.0</v>
      </c>
      <c r="F181" s="107">
        <v>125.0</v>
      </c>
      <c r="G181" s="15" t="str">
        <f t="shared" si="1"/>
        <v>05125</v>
      </c>
      <c r="H181" s="23" t="s">
        <v>308</v>
      </c>
      <c r="I181" s="23" t="s">
        <v>34</v>
      </c>
      <c r="J181" s="23" t="s">
        <v>237</v>
      </c>
      <c r="K181" s="23" t="str">
        <f t="shared" si="5"/>
        <v>Saline, AR</v>
      </c>
      <c r="L181" s="24">
        <f>(vlookup(H181,'AR Data'!$A$3:$P$84,16,FALSE)/Arkansas!D65)+(vlookup(H181,'AR Data'!$A$3:$R$84,18,FALSE))</f>
        <v>36.4245283</v>
      </c>
      <c r="M181" s="122">
        <f>'All Data Connect'!Q181/L181</f>
        <v>2.69049469</v>
      </c>
      <c r="N181" s="120">
        <f>(vlookup(H181,'AR Data'!$A$3:$P$84,16,FALSE)/Arkansas!D65)+((vlookup(H181,'AR Data'!$A$3:$R$84,18,FALSE)*2))</f>
        <v>62.4245283</v>
      </c>
      <c r="O181" s="121">
        <f>'All Data Connect'!Q181/N181</f>
        <v>1.569895723</v>
      </c>
    </row>
    <row r="182">
      <c r="A182" s="99">
        <v>181.0</v>
      </c>
      <c r="B182" s="15"/>
      <c r="C182" s="15"/>
      <c r="D182" s="105">
        <v>1.0</v>
      </c>
      <c r="E182" s="102">
        <v>5.0</v>
      </c>
      <c r="F182" s="107">
        <v>127.0</v>
      </c>
      <c r="G182" s="15" t="str">
        <f t="shared" si="1"/>
        <v>05127</v>
      </c>
      <c r="H182" s="23" t="s">
        <v>309</v>
      </c>
      <c r="I182" s="23" t="s">
        <v>34</v>
      </c>
      <c r="J182" s="23" t="s">
        <v>237</v>
      </c>
      <c r="K182" s="23" t="str">
        <f t="shared" si="5"/>
        <v>Scott, AR</v>
      </c>
      <c r="L182" s="24">
        <f>(vlookup(H182,'AR Data'!$A$3:$P$84,16,FALSE)/Arkansas!D66)+(vlookup(H182,'AR Data'!$A$3:$R$84,18,FALSE))</f>
        <v>16.8</v>
      </c>
      <c r="M182" s="119">
        <f>'All Data Connect'!Q182/L182</f>
        <v>0.4761904762</v>
      </c>
      <c r="N182" s="120">
        <f>(vlookup(H182,'AR Data'!$A$3:$P$84,16,FALSE)/Arkansas!D66)+((vlookup(H182,'AR Data'!$A$3:$R$84,18,FALSE)*2))</f>
        <v>30.8</v>
      </c>
      <c r="O182" s="121">
        <f>'All Data Connect'!Q182/N182</f>
        <v>0.2597402597</v>
      </c>
    </row>
    <row r="183">
      <c r="A183" s="99">
        <v>182.0</v>
      </c>
      <c r="B183" s="15"/>
      <c r="C183" s="15"/>
      <c r="D183" s="105">
        <v>1.0</v>
      </c>
      <c r="E183" s="102">
        <v>5.0</v>
      </c>
      <c r="F183" s="107">
        <v>129.0</v>
      </c>
      <c r="G183" s="15" t="str">
        <f t="shared" si="1"/>
        <v>05129</v>
      </c>
      <c r="H183" s="23" t="s">
        <v>310</v>
      </c>
      <c r="I183" s="23" t="s">
        <v>34</v>
      </c>
      <c r="J183" s="23" t="s">
        <v>237</v>
      </c>
      <c r="K183" s="23" t="str">
        <f t="shared" si="5"/>
        <v>Searcy, AR</v>
      </c>
      <c r="L183" s="24">
        <f>(vlookup(H183,'AR Data'!$A$3:$P$84,16,FALSE)/Arkansas!D67)+(vlookup(H183,'AR Data'!$A$3:$R$84,18,FALSE))</f>
        <v>8</v>
      </c>
      <c r="M183" s="119">
        <f>'All Data Connect'!Q183/L183</f>
        <v>0.625</v>
      </c>
      <c r="N183" s="120">
        <f>(vlookup(H183,'AR Data'!$A$3:$P$84,16,FALSE)/Arkansas!D67)+((vlookup(H183,'AR Data'!$A$3:$R$84,18,FALSE)*2))</f>
        <v>14</v>
      </c>
      <c r="O183" s="121">
        <f>'All Data Connect'!Q183/N183</f>
        <v>0.3571428571</v>
      </c>
    </row>
    <row r="184">
      <c r="A184" s="99">
        <v>183.0</v>
      </c>
      <c r="B184" s="15"/>
      <c r="C184" s="15"/>
      <c r="D184" s="105">
        <v>1.0</v>
      </c>
      <c r="E184" s="102">
        <v>5.0</v>
      </c>
      <c r="F184" s="107">
        <v>131.0</v>
      </c>
      <c r="G184" s="15" t="str">
        <f t="shared" si="1"/>
        <v>05131</v>
      </c>
      <c r="H184" s="23" t="s">
        <v>311</v>
      </c>
      <c r="I184" s="23" t="s">
        <v>34</v>
      </c>
      <c r="J184" s="23" t="s">
        <v>237</v>
      </c>
      <c r="K184" s="23" t="str">
        <f t="shared" si="5"/>
        <v>Sebastian, AR</v>
      </c>
      <c r="L184" s="24">
        <f>(vlookup(H184,'AR Data'!$A$3:$P$84,16,FALSE)/Arkansas!D68)+(vlookup(H184,'AR Data'!$A$3:$R$84,18,FALSE))</f>
        <v>292.2345679</v>
      </c>
      <c r="M184" s="119">
        <f>'All Data Connect'!Q184/L184</f>
        <v>0.4688014871</v>
      </c>
      <c r="N184" s="120">
        <f>(vlookup(H184,'AR Data'!$A$3:$P$84,16,FALSE)/Arkansas!D68)+((vlookup(H184,'AR Data'!$A$3:$R$84,18,FALSE)*2))</f>
        <v>477.2345679</v>
      </c>
      <c r="O184" s="121">
        <f>'All Data Connect'!Q184/N184</f>
        <v>0.2870705712</v>
      </c>
    </row>
    <row r="185">
      <c r="A185" s="99">
        <v>184.0</v>
      </c>
      <c r="B185" s="15"/>
      <c r="C185" s="15"/>
      <c r="D185" s="105">
        <v>1.0</v>
      </c>
      <c r="E185" s="102">
        <v>5.0</v>
      </c>
      <c r="F185" s="107">
        <v>133.0</v>
      </c>
      <c r="G185" s="15" t="str">
        <f t="shared" si="1"/>
        <v>05133</v>
      </c>
      <c r="H185" s="23" t="s">
        <v>312</v>
      </c>
      <c r="I185" s="23" t="s">
        <v>34</v>
      </c>
      <c r="J185" s="23" t="s">
        <v>237</v>
      </c>
      <c r="K185" s="23" t="str">
        <f t="shared" si="5"/>
        <v>Sevier, AR</v>
      </c>
      <c r="L185" s="24">
        <f>(vlookup(H185,'AR Data'!$A$3:$P$84,16,FALSE)/Arkansas!D69)+(vlookup(H185,'AR Data'!$A$3:$R$84,18,FALSE))</f>
        <v>19.66666667</v>
      </c>
      <c r="M185" s="119">
        <f>'All Data Connect'!Q185/L185</f>
        <v>0.6610169492</v>
      </c>
      <c r="N185" s="120">
        <f>(vlookup(H185,'AR Data'!$A$3:$P$84,16,FALSE)/Arkansas!D69)+((vlookup(H185,'AR Data'!$A$3:$R$84,18,FALSE)*2))</f>
        <v>28.66666667</v>
      </c>
      <c r="O185" s="121">
        <f>'All Data Connect'!Q185/N185</f>
        <v>0.4534883721</v>
      </c>
    </row>
    <row r="186">
      <c r="A186" s="99">
        <v>185.0</v>
      </c>
      <c r="B186" s="15"/>
      <c r="C186" s="15"/>
      <c r="D186" s="105">
        <v>1.0</v>
      </c>
      <c r="E186" s="102">
        <v>5.0</v>
      </c>
      <c r="F186" s="107">
        <v>135.0</v>
      </c>
      <c r="G186" s="15" t="str">
        <f t="shared" si="1"/>
        <v>05135</v>
      </c>
      <c r="H186" s="23" t="s">
        <v>313</v>
      </c>
      <c r="I186" s="23" t="s">
        <v>34</v>
      </c>
      <c r="J186" s="23" t="s">
        <v>237</v>
      </c>
      <c r="K186" s="23" t="str">
        <f t="shared" si="5"/>
        <v>Sharp, AR</v>
      </c>
      <c r="L186" s="24">
        <f>(vlookup(H186,'AR Data'!$A$3:$P$84,16,FALSE)/Arkansas!D70)+(vlookup(H186,'AR Data'!$A$3:$R$84,18,FALSE))</f>
        <v>24.30434783</v>
      </c>
      <c r="M186" s="119">
        <f>'All Data Connect'!Q186/L186</f>
        <v>0.7817531306</v>
      </c>
      <c r="N186" s="120">
        <f>(vlookup(H186,'AR Data'!$A$3:$P$84,16,FALSE)/Arkansas!D70)+((vlookup(H186,'AR Data'!$A$3:$R$84,18,FALSE)*2))</f>
        <v>41.30434783</v>
      </c>
      <c r="O186" s="121">
        <f>'All Data Connect'!Q186/N186</f>
        <v>0.46</v>
      </c>
    </row>
    <row r="187">
      <c r="A187" s="99">
        <v>186.0</v>
      </c>
      <c r="B187" s="15"/>
      <c r="C187" s="15"/>
      <c r="D187" s="105">
        <v>1.0</v>
      </c>
      <c r="E187" s="102">
        <v>5.0</v>
      </c>
      <c r="F187" s="107">
        <v>137.0</v>
      </c>
      <c r="G187" s="15" t="str">
        <f t="shared" si="1"/>
        <v>05137</v>
      </c>
      <c r="H187" s="23" t="s">
        <v>315</v>
      </c>
      <c r="I187" s="23" t="s">
        <v>34</v>
      </c>
      <c r="J187" s="23" t="s">
        <v>237</v>
      </c>
      <c r="K187" s="23" t="str">
        <f t="shared" si="5"/>
        <v>Stone, AR</v>
      </c>
      <c r="L187" s="24">
        <f>(vlookup(H187,'AR Data'!$A$3:$P$84,16,FALSE)/Arkansas!D71)+(vlookup(H187,'AR Data'!$A$3:$R$84,18,FALSE))</f>
        <v>2.529411765</v>
      </c>
      <c r="M187" s="122">
        <f>'All Data Connect'!Q187/L187</f>
        <v>4.348837209</v>
      </c>
      <c r="N187" s="120">
        <f>(vlookup(H187,'AR Data'!$A$3:$P$84,16,FALSE)/Arkansas!D71)+((vlookup(H187,'AR Data'!$A$3:$R$84,18,FALSE)*2))</f>
        <v>4.529411765</v>
      </c>
      <c r="O187" s="121">
        <f>'All Data Connect'!Q187/N187</f>
        <v>2.428571429</v>
      </c>
    </row>
    <row r="188">
      <c r="A188" s="99">
        <v>187.0</v>
      </c>
      <c r="B188" s="15"/>
      <c r="C188" s="15"/>
      <c r="D188" s="105">
        <v>1.0</v>
      </c>
      <c r="E188" s="102">
        <v>5.0</v>
      </c>
      <c r="F188" s="107">
        <v>139.0</v>
      </c>
      <c r="G188" s="15" t="str">
        <f t="shared" si="1"/>
        <v>05139</v>
      </c>
      <c r="H188" s="23" t="s">
        <v>316</v>
      </c>
      <c r="I188" s="23" t="s">
        <v>34</v>
      </c>
      <c r="J188" s="23" t="s">
        <v>237</v>
      </c>
      <c r="K188" s="23" t="str">
        <f t="shared" si="5"/>
        <v>Union, AR</v>
      </c>
      <c r="L188" s="24">
        <f>(vlookup(H188,'AR Data'!$A$3:$P$84,16,FALSE)/Arkansas!D72)+(vlookup(H188,'AR Data'!$A$3:$R$84,18,FALSE))</f>
        <v>24</v>
      </c>
      <c r="M188" s="119">
        <f>'All Data Connect'!Q188/L188</f>
        <v>0.625</v>
      </c>
      <c r="N188" s="120">
        <f>(vlookup(H188,'AR Data'!$A$3:$P$84,16,FALSE)/Arkansas!D72)+((vlookup(H188,'AR Data'!$A$3:$R$84,18,FALSE)*2))</f>
        <v>39</v>
      </c>
      <c r="O188" s="121">
        <f>'All Data Connect'!Q188/N188</f>
        <v>0.3846153846</v>
      </c>
    </row>
    <row r="189">
      <c r="A189" s="99">
        <v>188.0</v>
      </c>
      <c r="B189" s="15"/>
      <c r="C189" s="15"/>
      <c r="D189" s="105">
        <v>1.0</v>
      </c>
      <c r="E189" s="102">
        <v>5.0</v>
      </c>
      <c r="F189" s="107">
        <v>141.0</v>
      </c>
      <c r="G189" s="15" t="str">
        <f t="shared" si="1"/>
        <v>05141</v>
      </c>
      <c r="H189" s="23" t="s">
        <v>317</v>
      </c>
      <c r="I189" s="23" t="s">
        <v>34</v>
      </c>
      <c r="J189" s="23" t="s">
        <v>237</v>
      </c>
      <c r="K189" s="23" t="str">
        <f t="shared" si="5"/>
        <v>Van Buren, AR</v>
      </c>
      <c r="L189" s="24">
        <f>(vlookup(H189,'AR Data'!$A$3:$P$84,16,FALSE)/Arkansas!D73)+(vlookup(H189,'AR Data'!$A$3:$R$84,18,FALSE))</f>
        <v>11.52173913</v>
      </c>
      <c r="M189" s="119">
        <f>'All Data Connect'!Q189/L189</f>
        <v>1.041509434</v>
      </c>
      <c r="N189" s="120">
        <f>(vlookup(H189,'AR Data'!$A$3:$P$84,16,FALSE)/Arkansas!D73)+((vlookup(H189,'AR Data'!$A$3:$R$84,18,FALSE)*2))</f>
        <v>18.52173913</v>
      </c>
      <c r="O189" s="121">
        <f>'All Data Connect'!Q189/N189</f>
        <v>0.6478873239</v>
      </c>
    </row>
    <row r="190">
      <c r="A190" s="99">
        <v>189.0</v>
      </c>
      <c r="B190" s="15"/>
      <c r="C190" s="15"/>
      <c r="D190" s="105">
        <v>1.0</v>
      </c>
      <c r="E190" s="102">
        <v>5.0</v>
      </c>
      <c r="F190" s="107">
        <v>143.0</v>
      </c>
      <c r="G190" s="15" t="str">
        <f t="shared" si="1"/>
        <v>05143</v>
      </c>
      <c r="H190" s="23" t="s">
        <v>119</v>
      </c>
      <c r="I190" s="23" t="s">
        <v>34</v>
      </c>
      <c r="J190" s="23" t="s">
        <v>237</v>
      </c>
      <c r="K190" s="23" t="str">
        <f t="shared" si="5"/>
        <v>Washington, AR</v>
      </c>
      <c r="L190" s="24">
        <f>(vlookup(H190,'AR Data'!$A$3:$P$84,16,FALSE)/Arkansas!D74)+(vlookup(H190,'AR Data'!$A$3:$R$84,18,FALSE))</f>
        <v>192.566474</v>
      </c>
      <c r="M190" s="119">
        <f>'All Data Connect'!Q190/L190</f>
        <v>0.6127754097</v>
      </c>
      <c r="N190" s="120">
        <f>(vlookup(H190,'AR Data'!$A$3:$P$84,16,FALSE)/Arkansas!D74)+((vlookup(H190,'AR Data'!$A$3:$R$84,18,FALSE)*2))</f>
        <v>322.566474</v>
      </c>
      <c r="O190" s="121">
        <f>'All Data Connect'!Q190/N190</f>
        <v>0.3658160705</v>
      </c>
    </row>
    <row r="191">
      <c r="A191" s="99">
        <v>190.0</v>
      </c>
      <c r="B191" s="15"/>
      <c r="C191" s="15"/>
      <c r="D191" s="105">
        <v>1.0</v>
      </c>
      <c r="E191" s="102">
        <v>5.0</v>
      </c>
      <c r="F191" s="107">
        <v>145.0</v>
      </c>
      <c r="G191" s="15" t="str">
        <f t="shared" si="1"/>
        <v>05145</v>
      </c>
      <c r="H191" s="23" t="s">
        <v>66</v>
      </c>
      <c r="I191" s="23" t="s">
        <v>34</v>
      </c>
      <c r="J191" s="23" t="s">
        <v>237</v>
      </c>
      <c r="K191" s="23" t="str">
        <f t="shared" si="5"/>
        <v>White, AR</v>
      </c>
      <c r="L191" s="24">
        <f>(vlookup(H191,'AR Data'!$A$3:$P$84,16,FALSE)/Arkansas!D75)+(vlookup(H191,'AR Data'!$A$3:$R$84,18,FALSE))</f>
        <v>71.31147541</v>
      </c>
      <c r="M191" s="119">
        <f>'All Data Connect'!Q191/L191</f>
        <v>1.12183908</v>
      </c>
      <c r="N191" s="120">
        <f>(vlookup(H191,'AR Data'!$A$3:$P$84,16,FALSE)/Arkansas!D75)+((vlookup(H191,'AR Data'!$A$3:$R$84,18,FALSE)*2))</f>
        <v>123.3114754</v>
      </c>
      <c r="O191" s="121">
        <f>'All Data Connect'!Q191/N191</f>
        <v>0.6487636267</v>
      </c>
    </row>
    <row r="192">
      <c r="A192" s="99">
        <v>191.0</v>
      </c>
      <c r="B192" s="15"/>
      <c r="C192" s="15"/>
      <c r="D192" s="105">
        <v>1.0</v>
      </c>
      <c r="E192" s="102">
        <v>5.0</v>
      </c>
      <c r="F192" s="107">
        <v>147.0</v>
      </c>
      <c r="G192" s="15" t="str">
        <f t="shared" si="1"/>
        <v>05147</v>
      </c>
      <c r="H192" s="23" t="s">
        <v>318</v>
      </c>
      <c r="I192" s="23" t="s">
        <v>34</v>
      </c>
      <c r="J192" s="23" t="s">
        <v>237</v>
      </c>
      <c r="K192" s="23" t="str">
        <f t="shared" si="5"/>
        <v>Woodruff, AR</v>
      </c>
      <c r="L192" s="24">
        <f>(vlookup(H192,'AR Data'!$A$3:$P$84,16,FALSE)/Arkansas!D76)+(vlookup(H192,'AR Data'!$A$3:$R$84,18,FALSE))</f>
        <v>35.81818182</v>
      </c>
      <c r="M192" s="119">
        <f>'All Data Connect'!Q192/L192</f>
        <v>0.2791878173</v>
      </c>
      <c r="N192" s="120">
        <f>(vlookup(H192,'AR Data'!$A$3:$P$84,16,FALSE)/Arkansas!D76)+((vlookup(H192,'AR Data'!$A$3:$R$84,18,FALSE)*2))</f>
        <v>64.81818182</v>
      </c>
      <c r="O192" s="121">
        <f>'All Data Connect'!Q192/N192</f>
        <v>0.1542776999</v>
      </c>
    </row>
    <row r="193">
      <c r="A193" s="99">
        <v>192.0</v>
      </c>
      <c r="B193" s="15"/>
      <c r="C193" s="15"/>
      <c r="D193" s="105">
        <v>1.0</v>
      </c>
      <c r="E193" s="102">
        <v>5.0</v>
      </c>
      <c r="F193" s="107">
        <v>149.0</v>
      </c>
      <c r="G193" s="15" t="str">
        <f t="shared" si="1"/>
        <v>05149</v>
      </c>
      <c r="H193" s="23" t="s">
        <v>319</v>
      </c>
      <c r="I193" s="23" t="s">
        <v>34</v>
      </c>
      <c r="J193" s="23" t="s">
        <v>237</v>
      </c>
      <c r="K193" s="23" t="str">
        <f t="shared" si="5"/>
        <v>Yell, AR</v>
      </c>
      <c r="L193" s="24">
        <f>(vlookup(H193,'AR Data'!$A$3:$P$84,16,FALSE)/Arkansas!D77)+(vlookup(H193,'AR Data'!$A$3:$R$84,18,FALSE))</f>
        <v>23.625</v>
      </c>
      <c r="M193" s="119">
        <f>'All Data Connect'!Q193/L193</f>
        <v>0.8042328042</v>
      </c>
      <c r="N193" s="120">
        <f>(vlookup(H193,'AR Data'!$A$3:$P$84,16,FALSE)/Arkansas!D77)+((vlookup(H193,'AR Data'!$A$3:$R$84,18,FALSE)*2))</f>
        <v>37.625</v>
      </c>
      <c r="O193" s="121">
        <f>'All Data Connect'!Q193/N193</f>
        <v>0.5049833887</v>
      </c>
    </row>
    <row r="194">
      <c r="A194" s="28">
        <v>193.0</v>
      </c>
      <c r="B194" s="29"/>
      <c r="C194" s="29" t="s">
        <v>25</v>
      </c>
      <c r="D194" s="30"/>
      <c r="E194" s="31">
        <v>6.0</v>
      </c>
      <c r="F194" s="42">
        <v>0.0</v>
      </c>
      <c r="G194" s="29" t="str">
        <f t="shared" si="1"/>
        <v>06000</v>
      </c>
      <c r="H194" s="37"/>
      <c r="I194" s="37" t="s">
        <v>35</v>
      </c>
      <c r="J194" s="37" t="s">
        <v>184</v>
      </c>
      <c r="K194" s="37"/>
      <c r="L194" s="24"/>
    </row>
    <row r="195">
      <c r="A195" s="28">
        <v>194.0</v>
      </c>
      <c r="B195" s="29"/>
      <c r="C195" s="29"/>
      <c r="D195" s="40">
        <v>1.0</v>
      </c>
      <c r="E195" s="31">
        <v>6.0</v>
      </c>
      <c r="F195" s="42">
        <v>1.0</v>
      </c>
      <c r="G195" s="29" t="str">
        <f t="shared" si="1"/>
        <v>06001</v>
      </c>
      <c r="H195" s="37" t="s">
        <v>276</v>
      </c>
      <c r="I195" s="37" t="s">
        <v>35</v>
      </c>
      <c r="J195" s="37" t="s">
        <v>184</v>
      </c>
      <c r="K195" s="37" t="str">
        <f t="shared" ref="K195:K252" si="6">CONCATENATE(H195,", ",J195)</f>
        <v>Alameda, CA</v>
      </c>
      <c r="L195" s="24"/>
    </row>
    <row r="196">
      <c r="A196" s="28">
        <v>195.0</v>
      </c>
      <c r="B196" s="29"/>
      <c r="C196" s="29"/>
      <c r="D196" s="40">
        <v>1.0</v>
      </c>
      <c r="E196" s="31">
        <v>6.0</v>
      </c>
      <c r="F196" s="42">
        <v>3.0</v>
      </c>
      <c r="G196" s="29" t="str">
        <f t="shared" si="1"/>
        <v>06003</v>
      </c>
      <c r="H196" s="37" t="s">
        <v>320</v>
      </c>
      <c r="I196" s="37" t="s">
        <v>35</v>
      </c>
      <c r="J196" s="37" t="s">
        <v>184</v>
      </c>
      <c r="K196" s="37" t="str">
        <f t="shared" si="6"/>
        <v>Alpine, CA</v>
      </c>
      <c r="L196" s="24"/>
    </row>
    <row r="197">
      <c r="A197" s="28">
        <v>196.0</v>
      </c>
      <c r="B197" s="29"/>
      <c r="C197" s="29"/>
      <c r="D197" s="40">
        <v>1.0</v>
      </c>
      <c r="E197" s="31">
        <v>6.0</v>
      </c>
      <c r="F197" s="42">
        <v>5.0</v>
      </c>
      <c r="G197" s="29" t="str">
        <f t="shared" si="1"/>
        <v>06005</v>
      </c>
      <c r="H197" s="37" t="s">
        <v>322</v>
      </c>
      <c r="I197" s="37" t="s">
        <v>35</v>
      </c>
      <c r="J197" s="37" t="s">
        <v>184</v>
      </c>
      <c r="K197" s="37" t="str">
        <f t="shared" si="6"/>
        <v>Amador, CA</v>
      </c>
      <c r="L197" s="24"/>
    </row>
    <row r="198">
      <c r="A198" s="28">
        <v>197.0</v>
      </c>
      <c r="B198" s="29"/>
      <c r="C198" s="29"/>
      <c r="D198" s="40">
        <v>1.0</v>
      </c>
      <c r="E198" s="31">
        <v>6.0</v>
      </c>
      <c r="F198" s="42">
        <v>7.0</v>
      </c>
      <c r="G198" s="29" t="str">
        <f t="shared" si="1"/>
        <v>06007</v>
      </c>
      <c r="H198" s="37" t="s">
        <v>324</v>
      </c>
      <c r="I198" s="37" t="s">
        <v>35</v>
      </c>
      <c r="J198" s="37" t="s">
        <v>184</v>
      </c>
      <c r="K198" s="37" t="str">
        <f t="shared" si="6"/>
        <v>Butte, CA</v>
      </c>
      <c r="L198" s="24"/>
    </row>
    <row r="199">
      <c r="A199" s="28">
        <v>198.0</v>
      </c>
      <c r="B199" s="29"/>
      <c r="C199" s="29"/>
      <c r="D199" s="40">
        <v>1.0</v>
      </c>
      <c r="E199" s="31">
        <v>6.0</v>
      </c>
      <c r="F199" s="42">
        <v>9.0</v>
      </c>
      <c r="G199" s="29" t="str">
        <f t="shared" si="1"/>
        <v>06009</v>
      </c>
      <c r="H199" s="37" t="s">
        <v>325</v>
      </c>
      <c r="I199" s="37" t="s">
        <v>35</v>
      </c>
      <c r="J199" s="37" t="s">
        <v>184</v>
      </c>
      <c r="K199" s="37" t="str">
        <f t="shared" si="6"/>
        <v>Calaveras, CA</v>
      </c>
      <c r="L199" s="24"/>
    </row>
    <row r="200">
      <c r="A200" s="28">
        <v>199.0</v>
      </c>
      <c r="B200" s="29"/>
      <c r="C200" s="29"/>
      <c r="D200" s="40">
        <v>1.0</v>
      </c>
      <c r="E200" s="31">
        <v>6.0</v>
      </c>
      <c r="F200" s="42">
        <v>11.0</v>
      </c>
      <c r="G200" s="29" t="str">
        <f t="shared" si="1"/>
        <v>06011</v>
      </c>
      <c r="H200" s="37" t="s">
        <v>326</v>
      </c>
      <c r="I200" s="37" t="s">
        <v>35</v>
      </c>
      <c r="J200" s="37" t="s">
        <v>184</v>
      </c>
      <c r="K200" s="37" t="str">
        <f t="shared" si="6"/>
        <v>Colusa, CA</v>
      </c>
      <c r="L200" s="24"/>
    </row>
    <row r="201">
      <c r="A201" s="28">
        <v>200.0</v>
      </c>
      <c r="B201" s="29"/>
      <c r="C201" s="29"/>
      <c r="D201" s="40">
        <v>1.0</v>
      </c>
      <c r="E201" s="31">
        <v>6.0</v>
      </c>
      <c r="F201" s="42">
        <v>13.0</v>
      </c>
      <c r="G201" s="29" t="str">
        <f t="shared" si="1"/>
        <v>06013</v>
      </c>
      <c r="H201" s="37" t="s">
        <v>327</v>
      </c>
      <c r="I201" s="37" t="s">
        <v>35</v>
      </c>
      <c r="J201" s="37" t="s">
        <v>184</v>
      </c>
      <c r="K201" s="136" t="str">
        <f t="shared" si="6"/>
        <v>Contra Costa, CA</v>
      </c>
      <c r="L201" s="24"/>
    </row>
    <row r="202">
      <c r="A202" s="28">
        <v>201.0</v>
      </c>
      <c r="B202" s="29"/>
      <c r="C202" s="29"/>
      <c r="D202" s="40">
        <v>1.0</v>
      </c>
      <c r="E202" s="31">
        <v>6.0</v>
      </c>
      <c r="F202" s="42">
        <v>15.0</v>
      </c>
      <c r="G202" s="29" t="str">
        <f t="shared" si="1"/>
        <v>06015</v>
      </c>
      <c r="H202" s="37" t="s">
        <v>328</v>
      </c>
      <c r="I202" s="37" t="s">
        <v>35</v>
      </c>
      <c r="J202" s="37" t="s">
        <v>184</v>
      </c>
      <c r="K202" s="37" t="str">
        <f t="shared" si="6"/>
        <v>Del Norte, CA</v>
      </c>
      <c r="L202" s="24"/>
    </row>
    <row r="203">
      <c r="A203" s="28">
        <v>202.0</v>
      </c>
      <c r="B203" s="29"/>
      <c r="C203" s="29"/>
      <c r="D203" s="40">
        <v>1.0</v>
      </c>
      <c r="E203" s="31">
        <v>6.0</v>
      </c>
      <c r="F203" s="42">
        <v>17.0</v>
      </c>
      <c r="G203" s="29" t="str">
        <f t="shared" si="1"/>
        <v>06017</v>
      </c>
      <c r="H203" s="37" t="s">
        <v>329</v>
      </c>
      <c r="I203" s="37" t="s">
        <v>35</v>
      </c>
      <c r="J203" s="37" t="s">
        <v>184</v>
      </c>
      <c r="K203" s="37" t="str">
        <f t="shared" si="6"/>
        <v>El Dorado, CA</v>
      </c>
      <c r="L203" s="24"/>
    </row>
    <row r="204">
      <c r="A204" s="28">
        <v>203.0</v>
      </c>
      <c r="B204" s="29"/>
      <c r="C204" s="29"/>
      <c r="D204" s="40">
        <v>1.0</v>
      </c>
      <c r="E204" s="31">
        <v>6.0</v>
      </c>
      <c r="F204" s="42">
        <v>19.0</v>
      </c>
      <c r="G204" s="29" t="str">
        <f t="shared" si="1"/>
        <v>06019</v>
      </c>
      <c r="H204" s="37" t="s">
        <v>331</v>
      </c>
      <c r="I204" s="37" t="s">
        <v>35</v>
      </c>
      <c r="J204" s="37" t="s">
        <v>184</v>
      </c>
      <c r="K204" s="37" t="str">
        <f t="shared" si="6"/>
        <v>Fresno, CA</v>
      </c>
      <c r="L204" s="24"/>
    </row>
    <row r="205">
      <c r="A205" s="28">
        <v>204.0</v>
      </c>
      <c r="B205" s="29"/>
      <c r="C205" s="29"/>
      <c r="D205" s="40">
        <v>1.0</v>
      </c>
      <c r="E205" s="31">
        <v>6.0</v>
      </c>
      <c r="F205" s="42">
        <v>21.0</v>
      </c>
      <c r="G205" s="29" t="str">
        <f t="shared" si="1"/>
        <v>06021</v>
      </c>
      <c r="H205" s="37" t="s">
        <v>332</v>
      </c>
      <c r="I205" s="37" t="s">
        <v>35</v>
      </c>
      <c r="J205" s="37" t="s">
        <v>184</v>
      </c>
      <c r="K205" s="37" t="str">
        <f t="shared" si="6"/>
        <v>Glenn, CA</v>
      </c>
      <c r="L205" s="24"/>
    </row>
    <row r="206">
      <c r="A206" s="28">
        <v>205.0</v>
      </c>
      <c r="B206" s="29"/>
      <c r="C206" s="29"/>
      <c r="D206" s="40">
        <v>1.0</v>
      </c>
      <c r="E206" s="31">
        <v>6.0</v>
      </c>
      <c r="F206" s="42">
        <v>23.0</v>
      </c>
      <c r="G206" s="29" t="str">
        <f t="shared" si="1"/>
        <v>06023</v>
      </c>
      <c r="H206" s="37" t="s">
        <v>333</v>
      </c>
      <c r="I206" s="37" t="s">
        <v>35</v>
      </c>
      <c r="J206" s="37" t="s">
        <v>184</v>
      </c>
      <c r="K206" s="37" t="str">
        <f t="shared" si="6"/>
        <v>Humboldt, CA</v>
      </c>
      <c r="L206" s="24"/>
    </row>
    <row r="207">
      <c r="A207" s="28">
        <v>206.0</v>
      </c>
      <c r="B207" s="29"/>
      <c r="C207" s="29"/>
      <c r="D207" s="40">
        <v>1.0</v>
      </c>
      <c r="E207" s="31">
        <v>6.0</v>
      </c>
      <c r="F207" s="42">
        <v>25.0</v>
      </c>
      <c r="G207" s="29" t="str">
        <f t="shared" si="1"/>
        <v>06025</v>
      </c>
      <c r="H207" s="37" t="s">
        <v>334</v>
      </c>
      <c r="I207" s="37" t="s">
        <v>35</v>
      </c>
      <c r="J207" s="37" t="s">
        <v>184</v>
      </c>
      <c r="K207" s="37" t="str">
        <f t="shared" si="6"/>
        <v>Imperial, CA</v>
      </c>
      <c r="L207" s="24"/>
    </row>
    <row r="208">
      <c r="A208" s="28">
        <v>207.0</v>
      </c>
      <c r="B208" s="29"/>
      <c r="C208" s="29"/>
      <c r="D208" s="40">
        <v>1.0</v>
      </c>
      <c r="E208" s="31">
        <v>6.0</v>
      </c>
      <c r="F208" s="42">
        <v>27.0</v>
      </c>
      <c r="G208" s="29" t="str">
        <f t="shared" si="1"/>
        <v>06027</v>
      </c>
      <c r="H208" s="37" t="s">
        <v>335</v>
      </c>
      <c r="I208" s="37" t="s">
        <v>35</v>
      </c>
      <c r="J208" s="37" t="s">
        <v>184</v>
      </c>
      <c r="K208" s="37" t="str">
        <f t="shared" si="6"/>
        <v>Inyo, CA</v>
      </c>
      <c r="L208" s="24"/>
    </row>
    <row r="209">
      <c r="A209" s="28">
        <v>208.0</v>
      </c>
      <c r="B209" s="29"/>
      <c r="C209" s="29"/>
      <c r="D209" s="40">
        <v>1.0</v>
      </c>
      <c r="E209" s="31">
        <v>6.0</v>
      </c>
      <c r="F209" s="42">
        <v>29.0</v>
      </c>
      <c r="G209" s="29" t="str">
        <f t="shared" si="1"/>
        <v>06029</v>
      </c>
      <c r="H209" s="37" t="s">
        <v>336</v>
      </c>
      <c r="I209" s="37" t="s">
        <v>35</v>
      </c>
      <c r="J209" s="37" t="s">
        <v>184</v>
      </c>
      <c r="K209" s="37" t="str">
        <f t="shared" si="6"/>
        <v>Kern, CA</v>
      </c>
      <c r="L209" s="24"/>
    </row>
    <row r="210">
      <c r="A210" s="28">
        <v>209.0</v>
      </c>
      <c r="B210" s="29"/>
      <c r="C210" s="29"/>
      <c r="D210" s="40">
        <v>1.0</v>
      </c>
      <c r="E210" s="31">
        <v>6.0</v>
      </c>
      <c r="F210" s="42">
        <v>31.0</v>
      </c>
      <c r="G210" s="29" t="str">
        <f t="shared" si="1"/>
        <v>06031</v>
      </c>
      <c r="H210" s="37" t="s">
        <v>249</v>
      </c>
      <c r="I210" s="37" t="s">
        <v>35</v>
      </c>
      <c r="J210" s="37" t="s">
        <v>184</v>
      </c>
      <c r="K210" s="37" t="str">
        <f t="shared" si="6"/>
        <v>Kings, CA</v>
      </c>
      <c r="L210" s="24"/>
    </row>
    <row r="211">
      <c r="A211" s="28">
        <v>210.0</v>
      </c>
      <c r="B211" s="29"/>
      <c r="C211" s="29"/>
      <c r="D211" s="40">
        <v>1.0</v>
      </c>
      <c r="E211" s="31">
        <v>6.0</v>
      </c>
      <c r="F211" s="42">
        <v>33.0</v>
      </c>
      <c r="G211" s="29" t="str">
        <f t="shared" si="1"/>
        <v>06033</v>
      </c>
      <c r="H211" s="37" t="s">
        <v>337</v>
      </c>
      <c r="I211" s="37" t="s">
        <v>35</v>
      </c>
      <c r="J211" s="37" t="s">
        <v>184</v>
      </c>
      <c r="K211" s="37" t="str">
        <f t="shared" si="6"/>
        <v>Lake, CA</v>
      </c>
      <c r="L211" s="24"/>
    </row>
    <row r="212">
      <c r="A212" s="28">
        <v>211.0</v>
      </c>
      <c r="B212" s="29"/>
      <c r="C212" s="29"/>
      <c r="D212" s="40">
        <v>1.0</v>
      </c>
      <c r="E212" s="31">
        <v>6.0</v>
      </c>
      <c r="F212" s="42">
        <v>35.0</v>
      </c>
      <c r="G212" s="29" t="str">
        <f t="shared" si="1"/>
        <v>06035</v>
      </c>
      <c r="H212" s="37" t="s">
        <v>338</v>
      </c>
      <c r="I212" s="37" t="s">
        <v>35</v>
      </c>
      <c r="J212" s="37" t="s">
        <v>184</v>
      </c>
      <c r="K212" s="37" t="str">
        <f t="shared" si="6"/>
        <v>Lassen, CA</v>
      </c>
      <c r="L212" s="24"/>
    </row>
    <row r="213">
      <c r="A213" s="28">
        <v>212.0</v>
      </c>
      <c r="B213" s="29"/>
      <c r="C213" s="29"/>
      <c r="D213" s="40">
        <v>1.0</v>
      </c>
      <c r="E213" s="31">
        <v>6.0</v>
      </c>
      <c r="F213" s="42">
        <v>37.0</v>
      </c>
      <c r="G213" s="29" t="str">
        <f t="shared" si="1"/>
        <v>06037</v>
      </c>
      <c r="H213" s="37" t="s">
        <v>183</v>
      </c>
      <c r="I213" s="37" t="s">
        <v>35</v>
      </c>
      <c r="J213" s="37" t="s">
        <v>184</v>
      </c>
      <c r="K213" s="136" t="str">
        <f t="shared" si="6"/>
        <v>Los Angeles, CA</v>
      </c>
      <c r="L213" s="24"/>
    </row>
    <row r="214">
      <c r="A214" s="28">
        <v>213.0</v>
      </c>
      <c r="B214" s="29"/>
      <c r="C214" s="29"/>
      <c r="D214" s="40">
        <v>1.0</v>
      </c>
      <c r="E214" s="31">
        <v>6.0</v>
      </c>
      <c r="F214" s="42">
        <v>39.0</v>
      </c>
      <c r="G214" s="29" t="str">
        <f t="shared" si="1"/>
        <v>06039</v>
      </c>
      <c r="H214" s="37" t="s">
        <v>340</v>
      </c>
      <c r="I214" s="37" t="s">
        <v>35</v>
      </c>
      <c r="J214" s="37" t="s">
        <v>184</v>
      </c>
      <c r="K214" s="37" t="str">
        <f t="shared" si="6"/>
        <v>Madera, CA</v>
      </c>
      <c r="L214" s="24"/>
    </row>
    <row r="215">
      <c r="A215" s="28">
        <v>214.0</v>
      </c>
      <c r="B215" s="29"/>
      <c r="C215" s="29"/>
      <c r="D215" s="40">
        <v>1.0</v>
      </c>
      <c r="E215" s="31">
        <v>6.0</v>
      </c>
      <c r="F215" s="42">
        <v>41.0</v>
      </c>
      <c r="G215" s="29" t="str">
        <f t="shared" si="1"/>
        <v>06041</v>
      </c>
      <c r="H215" s="37" t="s">
        <v>341</v>
      </c>
      <c r="I215" s="37" t="s">
        <v>35</v>
      </c>
      <c r="J215" s="37" t="s">
        <v>184</v>
      </c>
      <c r="K215" s="37" t="str">
        <f t="shared" si="6"/>
        <v>Marin, CA</v>
      </c>
      <c r="L215" s="24"/>
    </row>
    <row r="216">
      <c r="A216" s="28">
        <v>215.0</v>
      </c>
      <c r="B216" s="29"/>
      <c r="C216" s="29"/>
      <c r="D216" s="40">
        <v>1.0</v>
      </c>
      <c r="E216" s="31">
        <v>6.0</v>
      </c>
      <c r="F216" s="42">
        <v>43.0</v>
      </c>
      <c r="G216" s="29" t="str">
        <f t="shared" si="1"/>
        <v>06043</v>
      </c>
      <c r="H216" s="37" t="s">
        <v>342</v>
      </c>
      <c r="I216" s="37" t="s">
        <v>35</v>
      </c>
      <c r="J216" s="37" t="s">
        <v>184</v>
      </c>
      <c r="K216" s="37" t="str">
        <f t="shared" si="6"/>
        <v>Mariposa, CA</v>
      </c>
      <c r="L216" s="24"/>
    </row>
    <row r="217">
      <c r="A217" s="28">
        <v>216.0</v>
      </c>
      <c r="B217" s="29"/>
      <c r="C217" s="29"/>
      <c r="D217" s="40">
        <v>1.0</v>
      </c>
      <c r="E217" s="31">
        <v>6.0</v>
      </c>
      <c r="F217" s="42">
        <v>45.0</v>
      </c>
      <c r="G217" s="29" t="str">
        <f t="shared" si="1"/>
        <v>06045</v>
      </c>
      <c r="H217" s="37" t="s">
        <v>343</v>
      </c>
      <c r="I217" s="37" t="s">
        <v>35</v>
      </c>
      <c r="J217" s="37" t="s">
        <v>184</v>
      </c>
      <c r="K217" s="37" t="str">
        <f t="shared" si="6"/>
        <v>Mendocino, CA</v>
      </c>
      <c r="L217" s="24"/>
    </row>
    <row r="218">
      <c r="A218" s="28">
        <v>217.0</v>
      </c>
      <c r="B218" s="29"/>
      <c r="C218" s="29"/>
      <c r="D218" s="40">
        <v>1.0</v>
      </c>
      <c r="E218" s="31">
        <v>6.0</v>
      </c>
      <c r="F218" s="42">
        <v>47.0</v>
      </c>
      <c r="G218" s="29" t="str">
        <f t="shared" si="1"/>
        <v>06047</v>
      </c>
      <c r="H218" s="37" t="s">
        <v>344</v>
      </c>
      <c r="I218" s="37" t="s">
        <v>35</v>
      </c>
      <c r="J218" s="37" t="s">
        <v>184</v>
      </c>
      <c r="K218" s="37" t="str">
        <f t="shared" si="6"/>
        <v>Merced, CA</v>
      </c>
      <c r="L218" s="24"/>
    </row>
    <row r="219">
      <c r="A219" s="28">
        <v>218.0</v>
      </c>
      <c r="B219" s="29"/>
      <c r="C219" s="29"/>
      <c r="D219" s="40">
        <v>1.0</v>
      </c>
      <c r="E219" s="31">
        <v>6.0</v>
      </c>
      <c r="F219" s="42">
        <v>49.0</v>
      </c>
      <c r="G219" s="29" t="str">
        <f t="shared" si="1"/>
        <v>06049</v>
      </c>
      <c r="H219" s="37" t="s">
        <v>345</v>
      </c>
      <c r="I219" s="37" t="s">
        <v>35</v>
      </c>
      <c r="J219" s="37" t="s">
        <v>184</v>
      </c>
      <c r="K219" s="37" t="str">
        <f t="shared" si="6"/>
        <v>Modoc, CA</v>
      </c>
      <c r="L219" s="24"/>
    </row>
    <row r="220">
      <c r="A220" s="28">
        <v>219.0</v>
      </c>
      <c r="B220" s="29"/>
      <c r="C220" s="29"/>
      <c r="D220" s="40">
        <v>1.0</v>
      </c>
      <c r="E220" s="31">
        <v>6.0</v>
      </c>
      <c r="F220" s="42">
        <v>51.0</v>
      </c>
      <c r="G220" s="29" t="str">
        <f t="shared" si="1"/>
        <v>06051</v>
      </c>
      <c r="H220" s="37" t="s">
        <v>346</v>
      </c>
      <c r="I220" s="37" t="s">
        <v>35</v>
      </c>
      <c r="J220" s="37" t="s">
        <v>184</v>
      </c>
      <c r="K220" s="37" t="str">
        <f t="shared" si="6"/>
        <v>Mono, CA</v>
      </c>
      <c r="L220" s="24"/>
    </row>
    <row r="221">
      <c r="A221" s="28">
        <v>220.0</v>
      </c>
      <c r="B221" s="29"/>
      <c r="C221" s="29"/>
      <c r="D221" s="40">
        <v>1.0</v>
      </c>
      <c r="E221" s="31">
        <v>6.0</v>
      </c>
      <c r="F221" s="42">
        <v>53.0</v>
      </c>
      <c r="G221" s="29" t="str">
        <f t="shared" si="1"/>
        <v>06053</v>
      </c>
      <c r="H221" s="37" t="s">
        <v>348</v>
      </c>
      <c r="I221" s="37" t="s">
        <v>35</v>
      </c>
      <c r="J221" s="37" t="s">
        <v>184</v>
      </c>
      <c r="K221" s="37" t="str">
        <f t="shared" si="6"/>
        <v>Monterey, CA</v>
      </c>
      <c r="L221" s="24"/>
    </row>
    <row r="222">
      <c r="A222" s="28">
        <v>221.0</v>
      </c>
      <c r="B222" s="29"/>
      <c r="C222" s="29"/>
      <c r="D222" s="40">
        <v>1.0</v>
      </c>
      <c r="E222" s="31">
        <v>6.0</v>
      </c>
      <c r="F222" s="42">
        <v>55.0</v>
      </c>
      <c r="G222" s="29" t="str">
        <f t="shared" si="1"/>
        <v>06055</v>
      </c>
      <c r="H222" s="37" t="s">
        <v>349</v>
      </c>
      <c r="I222" s="37" t="s">
        <v>35</v>
      </c>
      <c r="J222" s="37" t="s">
        <v>184</v>
      </c>
      <c r="K222" s="37" t="str">
        <f t="shared" si="6"/>
        <v>Napa, CA</v>
      </c>
      <c r="L222" s="24"/>
    </row>
    <row r="223">
      <c r="A223" s="28">
        <v>222.0</v>
      </c>
      <c r="B223" s="29"/>
      <c r="C223" s="29"/>
      <c r="D223" s="40">
        <v>1.0</v>
      </c>
      <c r="E223" s="31">
        <v>6.0</v>
      </c>
      <c r="F223" s="42">
        <v>57.0</v>
      </c>
      <c r="G223" s="29" t="str">
        <f t="shared" si="1"/>
        <v>06057</v>
      </c>
      <c r="H223" s="37" t="s">
        <v>82</v>
      </c>
      <c r="I223" s="37" t="s">
        <v>35</v>
      </c>
      <c r="J223" s="37" t="s">
        <v>184</v>
      </c>
      <c r="K223" s="37" t="str">
        <f t="shared" si="6"/>
        <v>Nevada, CA</v>
      </c>
      <c r="L223" s="24"/>
    </row>
    <row r="224">
      <c r="A224" s="28">
        <v>223.0</v>
      </c>
      <c r="B224" s="29"/>
      <c r="C224" s="29"/>
      <c r="D224" s="40">
        <v>1.0</v>
      </c>
      <c r="E224" s="31">
        <v>6.0</v>
      </c>
      <c r="F224" s="42">
        <v>59.0</v>
      </c>
      <c r="G224" s="29" t="str">
        <f t="shared" si="1"/>
        <v>06059</v>
      </c>
      <c r="H224" s="37" t="s">
        <v>241</v>
      </c>
      <c r="I224" s="37" t="s">
        <v>35</v>
      </c>
      <c r="J224" s="37" t="s">
        <v>184</v>
      </c>
      <c r="K224" s="37" t="str">
        <f t="shared" si="6"/>
        <v>Orange, CA</v>
      </c>
      <c r="L224" s="24"/>
    </row>
    <row r="225">
      <c r="A225" s="28">
        <v>224.0</v>
      </c>
      <c r="B225" s="29"/>
      <c r="C225" s="29"/>
      <c r="D225" s="40">
        <v>1.0</v>
      </c>
      <c r="E225" s="31">
        <v>6.0</v>
      </c>
      <c r="F225" s="42">
        <v>61.0</v>
      </c>
      <c r="G225" s="29" t="str">
        <f t="shared" si="1"/>
        <v>06061</v>
      </c>
      <c r="H225" s="37" t="s">
        <v>352</v>
      </c>
      <c r="I225" s="37" t="s">
        <v>35</v>
      </c>
      <c r="J225" s="37" t="s">
        <v>184</v>
      </c>
      <c r="K225" s="37" t="str">
        <f t="shared" si="6"/>
        <v>Placer, CA</v>
      </c>
      <c r="L225" s="24"/>
    </row>
    <row r="226">
      <c r="A226" s="28">
        <v>225.0</v>
      </c>
      <c r="B226" s="29"/>
      <c r="C226" s="29"/>
      <c r="D226" s="40">
        <v>1.0</v>
      </c>
      <c r="E226" s="31">
        <v>6.0</v>
      </c>
      <c r="F226" s="42">
        <v>63.0</v>
      </c>
      <c r="G226" s="29" t="str">
        <f t="shared" si="1"/>
        <v>06063</v>
      </c>
      <c r="H226" s="37" t="s">
        <v>354</v>
      </c>
      <c r="I226" s="37" t="s">
        <v>35</v>
      </c>
      <c r="J226" s="37" t="s">
        <v>184</v>
      </c>
      <c r="K226" s="37" t="str">
        <f t="shared" si="6"/>
        <v>Plumas, CA</v>
      </c>
      <c r="L226" s="24"/>
    </row>
    <row r="227">
      <c r="A227" s="28">
        <v>226.0</v>
      </c>
      <c r="B227" s="29"/>
      <c r="C227" s="29"/>
      <c r="D227" s="40">
        <v>1.0</v>
      </c>
      <c r="E227" s="31">
        <v>6.0</v>
      </c>
      <c r="F227" s="42">
        <v>65.0</v>
      </c>
      <c r="G227" s="29" t="str">
        <f t="shared" si="1"/>
        <v>06065</v>
      </c>
      <c r="H227" s="37" t="s">
        <v>252</v>
      </c>
      <c r="I227" s="37" t="s">
        <v>35</v>
      </c>
      <c r="J227" s="37" t="s">
        <v>184</v>
      </c>
      <c r="K227" s="37" t="str">
        <f t="shared" si="6"/>
        <v>Riverside, CA</v>
      </c>
      <c r="L227" s="24"/>
    </row>
    <row r="228">
      <c r="A228" s="28">
        <v>227.0</v>
      </c>
      <c r="B228" s="29"/>
      <c r="C228" s="29"/>
      <c r="D228" s="40">
        <v>1.0</v>
      </c>
      <c r="E228" s="31">
        <v>6.0</v>
      </c>
      <c r="F228" s="42">
        <v>67.0</v>
      </c>
      <c r="G228" s="29" t="str">
        <f t="shared" si="1"/>
        <v>06067</v>
      </c>
      <c r="H228" s="37" t="s">
        <v>292</v>
      </c>
      <c r="I228" s="37" t="s">
        <v>35</v>
      </c>
      <c r="J228" s="37" t="s">
        <v>184</v>
      </c>
      <c r="K228" s="37" t="str">
        <f t="shared" si="6"/>
        <v>Sacramento, CA</v>
      </c>
      <c r="L228" s="24"/>
    </row>
    <row r="229">
      <c r="A229" s="28">
        <v>228.0</v>
      </c>
      <c r="B229" s="29"/>
      <c r="C229" s="29"/>
      <c r="D229" s="40">
        <v>1.0</v>
      </c>
      <c r="E229" s="31">
        <v>6.0</v>
      </c>
      <c r="F229" s="42">
        <v>69.0</v>
      </c>
      <c r="G229" s="29" t="str">
        <f t="shared" si="1"/>
        <v>06069</v>
      </c>
      <c r="H229" s="37" t="s">
        <v>356</v>
      </c>
      <c r="I229" s="37" t="s">
        <v>35</v>
      </c>
      <c r="J229" s="37" t="s">
        <v>184</v>
      </c>
      <c r="K229" s="37" t="str">
        <f t="shared" si="6"/>
        <v>San Benito, CA</v>
      </c>
      <c r="L229" s="24"/>
    </row>
    <row r="230">
      <c r="A230" s="28">
        <v>229.0</v>
      </c>
      <c r="B230" s="29"/>
      <c r="C230" s="29"/>
      <c r="D230" s="40">
        <v>1.0</v>
      </c>
      <c r="E230" s="31">
        <v>6.0</v>
      </c>
      <c r="F230" s="42">
        <v>71.0</v>
      </c>
      <c r="G230" s="29" t="str">
        <f t="shared" si="1"/>
        <v>06071</v>
      </c>
      <c r="H230" s="37" t="s">
        <v>261</v>
      </c>
      <c r="I230" s="37" t="s">
        <v>35</v>
      </c>
      <c r="J230" s="37" t="s">
        <v>184</v>
      </c>
      <c r="K230" s="136" t="str">
        <f t="shared" si="6"/>
        <v>San Bernardino, CA</v>
      </c>
      <c r="L230" s="24"/>
    </row>
    <row r="231">
      <c r="A231" s="28">
        <v>230.0</v>
      </c>
      <c r="B231" s="29"/>
      <c r="C231" s="29"/>
      <c r="D231" s="40">
        <v>1.0</v>
      </c>
      <c r="E231" s="31">
        <v>6.0</v>
      </c>
      <c r="F231" s="42">
        <v>73.0</v>
      </c>
      <c r="G231" s="29" t="str">
        <f t="shared" si="1"/>
        <v>06073</v>
      </c>
      <c r="H231" s="37" t="s">
        <v>239</v>
      </c>
      <c r="I231" s="37" t="s">
        <v>35</v>
      </c>
      <c r="J231" s="37" t="s">
        <v>184</v>
      </c>
      <c r="K231" s="37" t="str">
        <f t="shared" si="6"/>
        <v>San Diego, CA</v>
      </c>
      <c r="L231" s="24"/>
    </row>
    <row r="232">
      <c r="A232" s="28">
        <v>231.0</v>
      </c>
      <c r="B232" s="29"/>
      <c r="C232" s="29"/>
      <c r="D232" s="40">
        <v>1.0</v>
      </c>
      <c r="E232" s="31">
        <v>6.0</v>
      </c>
      <c r="F232" s="42">
        <v>75.0</v>
      </c>
      <c r="G232" s="29" t="str">
        <f t="shared" si="1"/>
        <v>06075</v>
      </c>
      <c r="H232" s="37" t="s">
        <v>357</v>
      </c>
      <c r="I232" s="37" t="s">
        <v>35</v>
      </c>
      <c r="J232" s="37" t="s">
        <v>184</v>
      </c>
      <c r="K232" s="136" t="str">
        <f t="shared" si="6"/>
        <v>San Francisco, CA</v>
      </c>
      <c r="L232" s="24"/>
    </row>
    <row r="233">
      <c r="A233" s="28">
        <v>232.0</v>
      </c>
      <c r="B233" s="29"/>
      <c r="C233" s="29"/>
      <c r="D233" s="40">
        <v>1.0</v>
      </c>
      <c r="E233" s="31">
        <v>6.0</v>
      </c>
      <c r="F233" s="42">
        <v>77.0</v>
      </c>
      <c r="G233" s="29" t="str">
        <f t="shared" si="1"/>
        <v>06077</v>
      </c>
      <c r="H233" s="37" t="s">
        <v>358</v>
      </c>
      <c r="I233" s="37" t="s">
        <v>35</v>
      </c>
      <c r="J233" s="37" t="s">
        <v>184</v>
      </c>
      <c r="K233" s="136" t="str">
        <f t="shared" si="6"/>
        <v>San Joaquin, CA</v>
      </c>
      <c r="L233" s="24"/>
    </row>
    <row r="234">
      <c r="A234" s="28">
        <v>233.0</v>
      </c>
      <c r="B234" s="29"/>
      <c r="C234" s="29"/>
      <c r="D234" s="40">
        <v>1.0</v>
      </c>
      <c r="E234" s="31">
        <v>6.0</v>
      </c>
      <c r="F234" s="42">
        <v>79.0</v>
      </c>
      <c r="G234" s="29" t="str">
        <f t="shared" si="1"/>
        <v>06079</v>
      </c>
      <c r="H234" s="37" t="s">
        <v>360</v>
      </c>
      <c r="I234" s="37" t="s">
        <v>35</v>
      </c>
      <c r="J234" s="37" t="s">
        <v>184</v>
      </c>
      <c r="K234" s="136" t="str">
        <f t="shared" si="6"/>
        <v>San Luis Obispo, CA</v>
      </c>
      <c r="L234" s="24"/>
    </row>
    <row r="235">
      <c r="A235" s="28">
        <v>234.0</v>
      </c>
      <c r="B235" s="29"/>
      <c r="C235" s="29"/>
      <c r="D235" s="40">
        <v>1.0</v>
      </c>
      <c r="E235" s="31">
        <v>6.0</v>
      </c>
      <c r="F235" s="42">
        <v>81.0</v>
      </c>
      <c r="G235" s="29" t="str">
        <f t="shared" si="1"/>
        <v>06081</v>
      </c>
      <c r="H235" s="37" t="s">
        <v>361</v>
      </c>
      <c r="I235" s="37" t="s">
        <v>35</v>
      </c>
      <c r="J235" s="37" t="s">
        <v>184</v>
      </c>
      <c r="K235" s="37" t="str">
        <f t="shared" si="6"/>
        <v>San Mateo, CA</v>
      </c>
      <c r="L235" s="24"/>
    </row>
    <row r="236">
      <c r="A236" s="28">
        <v>235.0</v>
      </c>
      <c r="B236" s="29"/>
      <c r="C236" s="29"/>
      <c r="D236" s="40">
        <v>1.0</v>
      </c>
      <c r="E236" s="31">
        <v>6.0</v>
      </c>
      <c r="F236" s="42">
        <v>83.0</v>
      </c>
      <c r="G236" s="29" t="str">
        <f t="shared" si="1"/>
        <v>06083</v>
      </c>
      <c r="H236" s="37" t="s">
        <v>362</v>
      </c>
      <c r="I236" s="37" t="s">
        <v>35</v>
      </c>
      <c r="J236" s="37" t="s">
        <v>184</v>
      </c>
      <c r="K236" s="136" t="str">
        <f t="shared" si="6"/>
        <v>Santa Barbara, CA</v>
      </c>
      <c r="L236" s="24"/>
    </row>
    <row r="237">
      <c r="A237" s="28">
        <v>236.0</v>
      </c>
      <c r="B237" s="29"/>
      <c r="C237" s="29"/>
      <c r="D237" s="40">
        <v>1.0</v>
      </c>
      <c r="E237" s="31">
        <v>6.0</v>
      </c>
      <c r="F237" s="42">
        <v>85.0</v>
      </c>
      <c r="G237" s="29" t="str">
        <f t="shared" si="1"/>
        <v>06085</v>
      </c>
      <c r="H237" s="37" t="s">
        <v>272</v>
      </c>
      <c r="I237" s="37" t="s">
        <v>35</v>
      </c>
      <c r="J237" s="37" t="s">
        <v>184</v>
      </c>
      <c r="K237" s="37" t="str">
        <f t="shared" si="6"/>
        <v>Santa Clara, CA</v>
      </c>
      <c r="L237" s="24"/>
    </row>
    <row r="238">
      <c r="A238" s="28">
        <v>237.0</v>
      </c>
      <c r="B238" s="29"/>
      <c r="C238" s="29"/>
      <c r="D238" s="40">
        <v>1.0</v>
      </c>
      <c r="E238" s="31">
        <v>6.0</v>
      </c>
      <c r="F238" s="42">
        <v>87.0</v>
      </c>
      <c r="G238" s="29" t="str">
        <f t="shared" si="1"/>
        <v>06087</v>
      </c>
      <c r="H238" s="37" t="s">
        <v>232</v>
      </c>
      <c r="I238" s="37" t="s">
        <v>35</v>
      </c>
      <c r="J238" s="37" t="s">
        <v>184</v>
      </c>
      <c r="K238" s="37" t="str">
        <f t="shared" si="6"/>
        <v>Santa Cruz, CA</v>
      </c>
      <c r="L238" s="24"/>
    </row>
    <row r="239">
      <c r="A239" s="28">
        <v>238.0</v>
      </c>
      <c r="B239" s="29"/>
      <c r="C239" s="29"/>
      <c r="D239" s="40">
        <v>1.0</v>
      </c>
      <c r="E239" s="31">
        <v>6.0</v>
      </c>
      <c r="F239" s="42">
        <v>89.0</v>
      </c>
      <c r="G239" s="29" t="str">
        <f t="shared" si="1"/>
        <v>06089</v>
      </c>
      <c r="H239" s="37" t="s">
        <v>364</v>
      </c>
      <c r="I239" s="37" t="s">
        <v>35</v>
      </c>
      <c r="J239" s="37" t="s">
        <v>184</v>
      </c>
      <c r="K239" s="37" t="str">
        <f t="shared" si="6"/>
        <v>Shasta, CA</v>
      </c>
      <c r="L239" s="24"/>
    </row>
    <row r="240">
      <c r="A240" s="28">
        <v>239.0</v>
      </c>
      <c r="B240" s="29"/>
      <c r="C240" s="29"/>
      <c r="D240" s="40">
        <v>1.0</v>
      </c>
      <c r="E240" s="31">
        <v>6.0</v>
      </c>
      <c r="F240" s="42">
        <v>91.0</v>
      </c>
      <c r="G240" s="29" t="str">
        <f t="shared" si="1"/>
        <v>06091</v>
      </c>
      <c r="H240" s="37" t="s">
        <v>365</v>
      </c>
      <c r="I240" s="37" t="s">
        <v>35</v>
      </c>
      <c r="J240" s="37" t="s">
        <v>184</v>
      </c>
      <c r="K240" s="37" t="str">
        <f t="shared" si="6"/>
        <v>Sierra, CA</v>
      </c>
      <c r="L240" s="24"/>
    </row>
    <row r="241">
      <c r="A241" s="28">
        <v>240.0</v>
      </c>
      <c r="B241" s="29"/>
      <c r="C241" s="29"/>
      <c r="D241" s="40">
        <v>1.0</v>
      </c>
      <c r="E241" s="31">
        <v>6.0</v>
      </c>
      <c r="F241" s="42">
        <v>93.0</v>
      </c>
      <c r="G241" s="29" t="str">
        <f t="shared" si="1"/>
        <v>06093</v>
      </c>
      <c r="H241" s="37" t="s">
        <v>366</v>
      </c>
      <c r="I241" s="37" t="s">
        <v>35</v>
      </c>
      <c r="J241" s="37" t="s">
        <v>184</v>
      </c>
      <c r="K241" s="37" t="str">
        <f t="shared" si="6"/>
        <v>Siskiyou, CA</v>
      </c>
      <c r="L241" s="24"/>
    </row>
    <row r="242">
      <c r="A242" s="28">
        <v>241.0</v>
      </c>
      <c r="B242" s="29"/>
      <c r="C242" s="29"/>
      <c r="D242" s="40">
        <v>1.0</v>
      </c>
      <c r="E242" s="31">
        <v>6.0</v>
      </c>
      <c r="F242" s="42">
        <v>95.0</v>
      </c>
      <c r="G242" s="29" t="str">
        <f t="shared" si="1"/>
        <v>06095</v>
      </c>
      <c r="H242" s="37" t="s">
        <v>369</v>
      </c>
      <c r="I242" s="37" t="s">
        <v>35</v>
      </c>
      <c r="J242" s="37" t="s">
        <v>184</v>
      </c>
      <c r="K242" s="37" t="str">
        <f t="shared" si="6"/>
        <v>Solano, CA</v>
      </c>
      <c r="L242" s="24"/>
    </row>
    <row r="243">
      <c r="A243" s="28">
        <v>242.0</v>
      </c>
      <c r="B243" s="29"/>
      <c r="C243" s="29"/>
      <c r="D243" s="40">
        <v>1.0</v>
      </c>
      <c r="E243" s="31">
        <v>6.0</v>
      </c>
      <c r="F243" s="42">
        <v>97.0</v>
      </c>
      <c r="G243" s="29" t="str">
        <f t="shared" si="1"/>
        <v>06097</v>
      </c>
      <c r="H243" s="37" t="s">
        <v>370</v>
      </c>
      <c r="I243" s="37" t="s">
        <v>35</v>
      </c>
      <c r="J243" s="37" t="s">
        <v>184</v>
      </c>
      <c r="K243" s="37" t="str">
        <f t="shared" si="6"/>
        <v>Sonoma, CA</v>
      </c>
      <c r="L243" s="24"/>
    </row>
    <row r="244">
      <c r="A244" s="28">
        <v>243.0</v>
      </c>
      <c r="B244" s="29"/>
      <c r="C244" s="29"/>
      <c r="D244" s="40">
        <v>1.0</v>
      </c>
      <c r="E244" s="31">
        <v>6.0</v>
      </c>
      <c r="F244" s="42">
        <v>99.0</v>
      </c>
      <c r="G244" s="29" t="str">
        <f t="shared" si="1"/>
        <v>06099</v>
      </c>
      <c r="H244" s="37" t="s">
        <v>371</v>
      </c>
      <c r="I244" s="37" t="s">
        <v>35</v>
      </c>
      <c r="J244" s="37" t="s">
        <v>184</v>
      </c>
      <c r="K244" s="37" t="str">
        <f t="shared" si="6"/>
        <v>Stanislaus, CA</v>
      </c>
      <c r="L244" s="24"/>
    </row>
    <row r="245">
      <c r="A245" s="28">
        <v>244.0</v>
      </c>
      <c r="B245" s="29"/>
      <c r="C245" s="29"/>
      <c r="D245" s="40">
        <v>1.0</v>
      </c>
      <c r="E245" s="31">
        <v>6.0</v>
      </c>
      <c r="F245" s="42">
        <v>101.0</v>
      </c>
      <c r="G245" s="29" t="str">
        <f t="shared" si="1"/>
        <v>06101</v>
      </c>
      <c r="H245" s="37" t="s">
        <v>372</v>
      </c>
      <c r="I245" s="37" t="s">
        <v>35</v>
      </c>
      <c r="J245" s="37" t="s">
        <v>184</v>
      </c>
      <c r="K245" s="37" t="str">
        <f t="shared" si="6"/>
        <v>Sutter, CA</v>
      </c>
      <c r="L245" s="24"/>
    </row>
    <row r="246">
      <c r="A246" s="28">
        <v>245.0</v>
      </c>
      <c r="B246" s="29"/>
      <c r="C246" s="29"/>
      <c r="D246" s="40">
        <v>1.0</v>
      </c>
      <c r="E246" s="31">
        <v>6.0</v>
      </c>
      <c r="F246" s="42">
        <v>103.0</v>
      </c>
      <c r="G246" s="29" t="str">
        <f t="shared" si="1"/>
        <v>06103</v>
      </c>
      <c r="H246" s="37" t="s">
        <v>373</v>
      </c>
      <c r="I246" s="37" t="s">
        <v>35</v>
      </c>
      <c r="J246" s="37" t="s">
        <v>184</v>
      </c>
      <c r="K246" s="37" t="str">
        <f t="shared" si="6"/>
        <v>Tehama, CA</v>
      </c>
      <c r="L246" s="24"/>
    </row>
    <row r="247">
      <c r="A247" s="28">
        <v>246.0</v>
      </c>
      <c r="B247" s="29"/>
      <c r="C247" s="29"/>
      <c r="D247" s="40">
        <v>1.0</v>
      </c>
      <c r="E247" s="31">
        <v>6.0</v>
      </c>
      <c r="F247" s="42">
        <v>105.0</v>
      </c>
      <c r="G247" s="29" t="str">
        <f t="shared" si="1"/>
        <v>06105</v>
      </c>
      <c r="H247" s="37" t="s">
        <v>376</v>
      </c>
      <c r="I247" s="37" t="s">
        <v>35</v>
      </c>
      <c r="J247" s="37" t="s">
        <v>184</v>
      </c>
      <c r="K247" s="37" t="str">
        <f t="shared" si="6"/>
        <v>Trinity, CA</v>
      </c>
      <c r="L247" s="24"/>
    </row>
    <row r="248">
      <c r="A248" s="28">
        <v>247.0</v>
      </c>
      <c r="B248" s="29"/>
      <c r="C248" s="29"/>
      <c r="D248" s="40">
        <v>1.0</v>
      </c>
      <c r="E248" s="31">
        <v>6.0</v>
      </c>
      <c r="F248" s="42">
        <v>107.0</v>
      </c>
      <c r="G248" s="29" t="str">
        <f t="shared" si="1"/>
        <v>06107</v>
      </c>
      <c r="H248" s="37" t="s">
        <v>377</v>
      </c>
      <c r="I248" s="37" t="s">
        <v>35</v>
      </c>
      <c r="J248" s="37" t="s">
        <v>184</v>
      </c>
      <c r="K248" s="37" t="str">
        <f t="shared" si="6"/>
        <v>Tulare, CA</v>
      </c>
      <c r="L248" s="24"/>
    </row>
    <row r="249">
      <c r="A249" s="28">
        <v>248.0</v>
      </c>
      <c r="B249" s="29"/>
      <c r="C249" s="29"/>
      <c r="D249" s="40">
        <v>1.0</v>
      </c>
      <c r="E249" s="31">
        <v>6.0</v>
      </c>
      <c r="F249" s="42">
        <v>109.0</v>
      </c>
      <c r="G249" s="29" t="str">
        <f t="shared" si="1"/>
        <v>06109</v>
      </c>
      <c r="H249" s="37" t="s">
        <v>378</v>
      </c>
      <c r="I249" s="37" t="s">
        <v>35</v>
      </c>
      <c r="J249" s="37" t="s">
        <v>184</v>
      </c>
      <c r="K249" s="37" t="str">
        <f t="shared" si="6"/>
        <v>Tuolumne, CA</v>
      </c>
      <c r="L249" s="24"/>
    </row>
    <row r="250">
      <c r="A250" s="28">
        <v>249.0</v>
      </c>
      <c r="B250" s="29"/>
      <c r="C250" s="29"/>
      <c r="D250" s="40">
        <v>1.0</v>
      </c>
      <c r="E250" s="31">
        <v>6.0</v>
      </c>
      <c r="F250" s="42">
        <v>111.0</v>
      </c>
      <c r="G250" s="29" t="str">
        <f t="shared" si="1"/>
        <v>06111</v>
      </c>
      <c r="H250" s="37" t="s">
        <v>379</v>
      </c>
      <c r="I250" s="37" t="s">
        <v>35</v>
      </c>
      <c r="J250" s="37" t="s">
        <v>184</v>
      </c>
      <c r="K250" s="37" t="str">
        <f t="shared" si="6"/>
        <v>Ventura, CA</v>
      </c>
      <c r="L250" s="24"/>
    </row>
    <row r="251">
      <c r="A251" s="28">
        <v>250.0</v>
      </c>
      <c r="B251" s="29"/>
      <c r="C251" s="29"/>
      <c r="D251" s="40">
        <v>1.0</v>
      </c>
      <c r="E251" s="31">
        <v>6.0</v>
      </c>
      <c r="F251" s="42">
        <v>113.0</v>
      </c>
      <c r="G251" s="29" t="str">
        <f t="shared" si="1"/>
        <v>06113</v>
      </c>
      <c r="H251" s="37" t="s">
        <v>380</v>
      </c>
      <c r="I251" s="37" t="s">
        <v>35</v>
      </c>
      <c r="J251" s="37" t="s">
        <v>184</v>
      </c>
      <c r="K251" s="37" t="str">
        <f t="shared" si="6"/>
        <v>Yolo, CA</v>
      </c>
      <c r="L251" s="24"/>
    </row>
    <row r="252">
      <c r="A252" s="28">
        <v>251.0</v>
      </c>
      <c r="B252" s="29"/>
      <c r="C252" s="29"/>
      <c r="D252" s="40">
        <v>1.0</v>
      </c>
      <c r="E252" s="31">
        <v>6.0</v>
      </c>
      <c r="F252" s="42">
        <v>115.0</v>
      </c>
      <c r="G252" s="29" t="str">
        <f t="shared" si="1"/>
        <v>06115</v>
      </c>
      <c r="H252" s="37" t="s">
        <v>383</v>
      </c>
      <c r="I252" s="37" t="s">
        <v>35</v>
      </c>
      <c r="J252" s="37" t="s">
        <v>184</v>
      </c>
      <c r="K252" s="37" t="str">
        <f t="shared" si="6"/>
        <v>Yuba, CA</v>
      </c>
      <c r="L252" s="24"/>
    </row>
    <row r="253">
      <c r="A253" s="99">
        <v>252.0</v>
      </c>
      <c r="B253" s="15"/>
      <c r="C253" s="14" t="s">
        <v>25</v>
      </c>
      <c r="D253" s="16"/>
      <c r="E253" s="102">
        <v>8.0</v>
      </c>
      <c r="F253" s="107">
        <v>0.0</v>
      </c>
      <c r="G253" s="15" t="str">
        <f t="shared" si="1"/>
        <v>08000</v>
      </c>
      <c r="H253" s="23"/>
      <c r="I253" s="23" t="s">
        <v>36</v>
      </c>
      <c r="J253" s="23" t="s">
        <v>384</v>
      </c>
      <c r="K253" s="23"/>
      <c r="L253" s="24"/>
    </row>
    <row r="254">
      <c r="A254" s="99">
        <v>253.0</v>
      </c>
      <c r="B254" s="15"/>
      <c r="C254" s="15"/>
      <c r="D254" s="105">
        <v>1.0</v>
      </c>
      <c r="E254" s="102">
        <v>8.0</v>
      </c>
      <c r="F254" s="107">
        <v>1.0</v>
      </c>
      <c r="G254" s="15" t="str">
        <f t="shared" si="1"/>
        <v>08001</v>
      </c>
      <c r="H254" s="23" t="s">
        <v>386</v>
      </c>
      <c r="I254" s="23" t="s">
        <v>36</v>
      </c>
      <c r="J254" s="23" t="s">
        <v>384</v>
      </c>
      <c r="K254" s="23" t="str">
        <f t="shared" ref="K254:K317" si="7">CONCATENATE(H254,", ",J254)</f>
        <v>Adams, CO</v>
      </c>
      <c r="L254" s="24">
        <f>(((Colorado!C3-(vlookup(H254,'CO Data'!$A$207:$B$251,2,FALSE)))/Colorado!D3)+(vlookup(H254,'CO Data'!$A$207:$B$251,2,FALSE)))</f>
        <v>132.3333333</v>
      </c>
      <c r="M254" s="161">
        <f>Colorado!H3/L254</f>
        <v>2.546599496</v>
      </c>
    </row>
    <row r="255">
      <c r="A255" s="99">
        <v>254.0</v>
      </c>
      <c r="B255" s="15"/>
      <c r="C255" s="15"/>
      <c r="D255" s="105">
        <v>1.0</v>
      </c>
      <c r="E255" s="102">
        <v>8.0</v>
      </c>
      <c r="F255" s="107">
        <v>3.0</v>
      </c>
      <c r="G255" s="15" t="str">
        <f t="shared" si="1"/>
        <v>08003</v>
      </c>
      <c r="H255" s="23" t="s">
        <v>388</v>
      </c>
      <c r="I255" s="23" t="s">
        <v>36</v>
      </c>
      <c r="J255" s="23" t="s">
        <v>384</v>
      </c>
      <c r="K255" s="23" t="str">
        <f t="shared" si="7"/>
        <v>Alamosa, CO</v>
      </c>
      <c r="L255" s="24" t="str">
        <f>(((Colorado!C4-(vlookup(H255,'CO Data'!$A$207:$B$251,2,FALSE)))/Colorado!D4)+(vlookup(H255,'CO Data'!$A$207:$B$251,2,FALSE)))</f>
        <v>#VALUE!</v>
      </c>
      <c r="M255" s="161" t="str">
        <f>Colorado!H4/L255</f>
        <v>#VALUE!</v>
      </c>
    </row>
    <row r="256">
      <c r="A256" s="99">
        <v>255.0</v>
      </c>
      <c r="B256" s="15"/>
      <c r="C256" s="15"/>
      <c r="D256" s="105">
        <v>1.0</v>
      </c>
      <c r="E256" s="102">
        <v>8.0</v>
      </c>
      <c r="F256" s="107">
        <v>5.0</v>
      </c>
      <c r="G256" s="15" t="str">
        <f t="shared" si="1"/>
        <v>08005</v>
      </c>
      <c r="H256" s="23" t="s">
        <v>389</v>
      </c>
      <c r="I256" s="23" t="s">
        <v>36</v>
      </c>
      <c r="J256" s="23" t="s">
        <v>384</v>
      </c>
      <c r="K256" s="23" t="str">
        <f t="shared" si="7"/>
        <v>Arapahoe, CO</v>
      </c>
      <c r="L256" s="24">
        <f>(((Colorado!C5-(vlookup(H256,'CO Data'!$A$207:$B$251,2,FALSE)))/Colorado!D5)+(vlookup(H256,'CO Data'!$A$207:$B$251,2,FALSE)))</f>
        <v>216.3333333</v>
      </c>
      <c r="M256" s="161">
        <f>Colorado!H5/L256</f>
        <v>2.228043143</v>
      </c>
    </row>
    <row r="257">
      <c r="A257" s="99">
        <v>256.0</v>
      </c>
      <c r="B257" s="15"/>
      <c r="C257" s="15"/>
      <c r="D257" s="105">
        <v>1.0</v>
      </c>
      <c r="E257" s="102">
        <v>8.0</v>
      </c>
      <c r="F257" s="107">
        <v>7.0</v>
      </c>
      <c r="G257" s="15" t="str">
        <f t="shared" si="1"/>
        <v>08007</v>
      </c>
      <c r="H257" s="23" t="s">
        <v>390</v>
      </c>
      <c r="I257" s="23" t="s">
        <v>36</v>
      </c>
      <c r="J257" s="23" t="s">
        <v>384</v>
      </c>
      <c r="K257" s="23" t="str">
        <f t="shared" si="7"/>
        <v>Archuleta, CO</v>
      </c>
      <c r="L257" s="24" t="str">
        <f>(((Colorado!C6-(vlookup(H257,'CO Data'!$A$207:$B$251,2,FALSE)))/Colorado!D6)+(vlookup(H257,'CO Data'!$A$207:$B$251,2,FALSE)))</f>
        <v>#N/A</v>
      </c>
      <c r="M257" s="161" t="str">
        <f>Colorado!H6/L257</f>
        <v>#N/A</v>
      </c>
    </row>
    <row r="258">
      <c r="A258" s="99">
        <v>257.0</v>
      </c>
      <c r="B258" s="15"/>
      <c r="C258" s="15"/>
      <c r="D258" s="105">
        <v>1.0</v>
      </c>
      <c r="E258" s="102">
        <v>8.0</v>
      </c>
      <c r="F258" s="107">
        <v>9.0</v>
      </c>
      <c r="G258" s="15" t="str">
        <f t="shared" si="1"/>
        <v>08009</v>
      </c>
      <c r="H258" s="23" t="s">
        <v>392</v>
      </c>
      <c r="I258" s="23" t="s">
        <v>36</v>
      </c>
      <c r="J258" s="23" t="s">
        <v>384</v>
      </c>
      <c r="K258" s="23" t="str">
        <f t="shared" si="7"/>
        <v>Baca, CO</v>
      </c>
      <c r="L258" s="24" t="str">
        <f>(((Colorado!C7-(vlookup(H258,'CO Data'!$A$207:$B$251,2,FALSE)))/Colorado!D7)+(vlookup(H258,'CO Data'!$A$207:$B$251,2,FALSE)))</f>
        <v>#VALUE!</v>
      </c>
      <c r="M258" s="161" t="str">
        <f>Colorado!H7/L258</f>
        <v>#VALUE!</v>
      </c>
    </row>
    <row r="259">
      <c r="A259" s="99">
        <v>258.0</v>
      </c>
      <c r="B259" s="15"/>
      <c r="C259" s="15"/>
      <c r="D259" s="105">
        <v>1.0</v>
      </c>
      <c r="E259" s="102">
        <v>8.0</v>
      </c>
      <c r="F259" s="107">
        <v>11.0</v>
      </c>
      <c r="G259" s="15" t="str">
        <f t="shared" si="1"/>
        <v>08011</v>
      </c>
      <c r="H259" s="23" t="s">
        <v>394</v>
      </c>
      <c r="I259" s="23" t="s">
        <v>36</v>
      </c>
      <c r="J259" s="23" t="s">
        <v>384</v>
      </c>
      <c r="K259" s="23" t="str">
        <f t="shared" si="7"/>
        <v>Bent, CO</v>
      </c>
      <c r="L259" s="24" t="str">
        <f>(((Colorado!C8-(vlookup(H259,'CO Data'!$A$207:$B$251,2,FALSE)))/Colorado!D8)+(vlookup(H259,'CO Data'!$A$207:$B$251,2,FALSE)))</f>
        <v>#VALUE!</v>
      </c>
      <c r="M259" s="161" t="str">
        <f>Colorado!H8/L259</f>
        <v>#VALUE!</v>
      </c>
    </row>
    <row r="260">
      <c r="A260" s="99">
        <v>259.0</v>
      </c>
      <c r="B260" s="15"/>
      <c r="C260" s="15"/>
      <c r="D260" s="105">
        <v>1.0</v>
      </c>
      <c r="E260" s="102">
        <v>8.0</v>
      </c>
      <c r="F260" s="107">
        <v>13.0</v>
      </c>
      <c r="G260" s="15" t="str">
        <f t="shared" si="1"/>
        <v>08013</v>
      </c>
      <c r="H260" s="23" t="s">
        <v>395</v>
      </c>
      <c r="I260" s="23" t="s">
        <v>36</v>
      </c>
      <c r="J260" s="23" t="s">
        <v>384</v>
      </c>
      <c r="K260" s="23" t="str">
        <f t="shared" si="7"/>
        <v>Boulder, CO</v>
      </c>
      <c r="L260" s="24">
        <f>(((Colorado!C9-(vlookup(H260,'CO Data'!$A$207:$B$251,2,FALSE)))/Colorado!D9)+(vlookup(H260,'CO Data'!$A$207:$B$251,2,FALSE)))</f>
        <v>60.5</v>
      </c>
      <c r="M260" s="161">
        <f>Colorado!H9/L260</f>
        <v>1.438016529</v>
      </c>
    </row>
    <row r="261">
      <c r="A261" s="99">
        <v>260.0</v>
      </c>
      <c r="B261" s="15"/>
      <c r="C261" s="15"/>
      <c r="D261" s="105">
        <v>1.0</v>
      </c>
      <c r="E261" s="102">
        <v>8.0</v>
      </c>
      <c r="F261" s="107">
        <v>14.0</v>
      </c>
      <c r="G261" s="15" t="str">
        <f t="shared" si="1"/>
        <v>08014</v>
      </c>
      <c r="H261" s="23" t="s">
        <v>396</v>
      </c>
      <c r="I261" s="23" t="s">
        <v>36</v>
      </c>
      <c r="J261" s="23" t="s">
        <v>384</v>
      </c>
      <c r="K261" s="23" t="str">
        <f t="shared" si="7"/>
        <v>Broomfield, CO</v>
      </c>
      <c r="L261" s="24" t="str">
        <f>(((Colorado!C10-(vlookup(H261,'CO Data'!$A$207:$B$251,2,FALSE)))/Colorado!D10)+(vlookup(H261,'CO Data'!$A$207:$B$251,2,FALSE)))</f>
        <v>#VALUE!</v>
      </c>
      <c r="M261" s="161" t="str">
        <f>Colorado!H10/L261</f>
        <v>#VALUE!</v>
      </c>
    </row>
    <row r="262">
      <c r="A262" s="99">
        <v>261.0</v>
      </c>
      <c r="B262" s="15"/>
      <c r="C262" s="15"/>
      <c r="D262" s="105">
        <v>1.0</v>
      </c>
      <c r="E262" s="102">
        <v>8.0</v>
      </c>
      <c r="F262" s="107">
        <v>15.0</v>
      </c>
      <c r="G262" s="15" t="str">
        <f t="shared" si="1"/>
        <v>08015</v>
      </c>
      <c r="H262" s="23" t="s">
        <v>397</v>
      </c>
      <c r="I262" s="23" t="s">
        <v>36</v>
      </c>
      <c r="J262" s="23" t="s">
        <v>384</v>
      </c>
      <c r="K262" s="23" t="str">
        <f t="shared" si="7"/>
        <v>Chaffee, CO</v>
      </c>
      <c r="L262" s="24" t="str">
        <f>(((Colorado!C11-(vlookup(H262,'CO Data'!$A$207:$B$251,2,FALSE)))/Colorado!D11)+(vlookup(H262,'CO Data'!$A$207:$B$251,2,FALSE)))</f>
        <v>#VALUE!</v>
      </c>
      <c r="M262" s="161" t="str">
        <f>Colorado!H11/L262</f>
        <v>#VALUE!</v>
      </c>
    </row>
    <row r="263">
      <c r="A263" s="99">
        <v>262.0</v>
      </c>
      <c r="B263" s="15"/>
      <c r="C263" s="15"/>
      <c r="D263" s="105">
        <v>1.0</v>
      </c>
      <c r="E263" s="102">
        <v>8.0</v>
      </c>
      <c r="F263" s="107">
        <v>17.0</v>
      </c>
      <c r="G263" s="15" t="str">
        <f t="shared" si="1"/>
        <v>08017</v>
      </c>
      <c r="H263" s="23" t="s">
        <v>399</v>
      </c>
      <c r="I263" s="23" t="s">
        <v>36</v>
      </c>
      <c r="J263" s="23" t="s">
        <v>384</v>
      </c>
      <c r="K263" s="23" t="str">
        <f t="shared" si="7"/>
        <v>Cheyenne, CO</v>
      </c>
      <c r="L263" s="24" t="str">
        <f>(((Colorado!C12-(vlookup(H263,'CO Data'!$A$207:$B$251,2,FALSE)))/Colorado!D12)+(vlookup(H263,'CO Data'!$A$207:$B$251,2,FALSE)))</f>
        <v>#N/A</v>
      </c>
      <c r="M263" s="161" t="str">
        <f>Colorado!H12/L263</f>
        <v>#N/A</v>
      </c>
    </row>
    <row r="264">
      <c r="A264" s="99">
        <v>263.0</v>
      </c>
      <c r="B264" s="15"/>
      <c r="C264" s="15"/>
      <c r="D264" s="105">
        <v>1.0</v>
      </c>
      <c r="E264" s="102">
        <v>8.0</v>
      </c>
      <c r="F264" s="107">
        <v>19.0</v>
      </c>
      <c r="G264" s="15" t="str">
        <f t="shared" si="1"/>
        <v>08019</v>
      </c>
      <c r="H264" s="23" t="s">
        <v>400</v>
      </c>
      <c r="I264" s="23" t="s">
        <v>36</v>
      </c>
      <c r="J264" s="23" t="s">
        <v>384</v>
      </c>
      <c r="K264" s="112" t="str">
        <f t="shared" si="7"/>
        <v>Clear Creek, CO</v>
      </c>
      <c r="L264" s="24" t="str">
        <f>(((Colorado!C13-(vlookup(H264,'CO Data'!$A$207:$B$251,2,FALSE)))/Colorado!D13)+(vlookup(H264,'CO Data'!$A$207:$B$251,2,FALSE)))</f>
        <v>#VALUE!</v>
      </c>
      <c r="M264" s="161" t="str">
        <f>Colorado!H13/L264</f>
        <v>#VALUE!</v>
      </c>
    </row>
    <row r="265">
      <c r="A265" s="99">
        <v>264.0</v>
      </c>
      <c r="B265" s="15"/>
      <c r="C265" s="15"/>
      <c r="D265" s="105">
        <v>1.0</v>
      </c>
      <c r="E265" s="102">
        <v>8.0</v>
      </c>
      <c r="F265" s="107">
        <v>21.0</v>
      </c>
      <c r="G265" s="15" t="str">
        <f t="shared" si="1"/>
        <v>08021</v>
      </c>
      <c r="H265" s="23" t="s">
        <v>402</v>
      </c>
      <c r="I265" s="23" t="s">
        <v>36</v>
      </c>
      <c r="J265" s="23" t="s">
        <v>384</v>
      </c>
      <c r="K265" s="23" t="str">
        <f t="shared" si="7"/>
        <v>Conejos, CO</v>
      </c>
      <c r="L265" s="24" t="str">
        <f>(((Colorado!C14-(vlookup(H265,'CO Data'!$A$207:$B$251,2,FALSE)))/Colorado!D14)+(vlookup(H265,'CO Data'!$A$207:$B$251,2,FALSE)))</f>
        <v>#VALUE!</v>
      </c>
      <c r="M265" s="161" t="str">
        <f>Colorado!H14/L265</f>
        <v>#VALUE!</v>
      </c>
    </row>
    <row r="266">
      <c r="A266" s="99">
        <v>265.0</v>
      </c>
      <c r="B266" s="15"/>
      <c r="C266" s="15"/>
      <c r="D266" s="105">
        <v>1.0</v>
      </c>
      <c r="E266" s="102">
        <v>8.0</v>
      </c>
      <c r="F266" s="107">
        <v>23.0</v>
      </c>
      <c r="G266" s="15" t="str">
        <f t="shared" si="1"/>
        <v>08023</v>
      </c>
      <c r="H266" s="23" t="s">
        <v>403</v>
      </c>
      <c r="I266" s="23" t="s">
        <v>36</v>
      </c>
      <c r="J266" s="23" t="s">
        <v>384</v>
      </c>
      <c r="K266" s="23" t="str">
        <f t="shared" si="7"/>
        <v>Costilla, CO</v>
      </c>
      <c r="L266" s="24" t="str">
        <f>(((Colorado!C15-(vlookup(H266,'CO Data'!$A$207:$B$251,2,FALSE)))/Colorado!D15)+(vlookup(H266,'CO Data'!$A$207:$B$251,2,FALSE)))</f>
        <v>#VALUE!</v>
      </c>
      <c r="M266" s="161" t="str">
        <f>Colorado!H15/L266</f>
        <v>#VALUE!</v>
      </c>
    </row>
    <row r="267">
      <c r="A267" s="99">
        <v>266.0</v>
      </c>
      <c r="B267" s="15"/>
      <c r="C267" s="15"/>
      <c r="D267" s="105">
        <v>1.0</v>
      </c>
      <c r="E267" s="102">
        <v>8.0</v>
      </c>
      <c r="F267" s="107">
        <v>25.0</v>
      </c>
      <c r="G267" s="15" t="str">
        <f t="shared" si="1"/>
        <v>08025</v>
      </c>
      <c r="H267" s="23" t="s">
        <v>404</v>
      </c>
      <c r="I267" s="23" t="s">
        <v>36</v>
      </c>
      <c r="J267" s="23" t="s">
        <v>384</v>
      </c>
      <c r="K267" s="23" t="str">
        <f t="shared" si="7"/>
        <v>Crowley, CO</v>
      </c>
      <c r="L267" s="24" t="str">
        <f>(((Colorado!C16-(vlookup(H267,'CO Data'!$A$207:$B$251,2,FALSE)))/Colorado!D16)+(vlookup(H267,'CO Data'!$A$207:$B$251,2,FALSE)))</f>
        <v>#VALUE!</v>
      </c>
      <c r="M267" s="161" t="str">
        <f>Colorado!H16/L267</f>
        <v>#VALUE!</v>
      </c>
    </row>
    <row r="268">
      <c r="A268" s="99">
        <v>267.0</v>
      </c>
      <c r="B268" s="15"/>
      <c r="C268" s="15"/>
      <c r="D268" s="105">
        <v>1.0</v>
      </c>
      <c r="E268" s="102">
        <v>8.0</v>
      </c>
      <c r="F268" s="107">
        <v>27.0</v>
      </c>
      <c r="G268" s="15" t="str">
        <f t="shared" si="1"/>
        <v>08027</v>
      </c>
      <c r="H268" s="23" t="s">
        <v>406</v>
      </c>
      <c r="I268" s="23" t="s">
        <v>36</v>
      </c>
      <c r="J268" s="23" t="s">
        <v>384</v>
      </c>
      <c r="K268" s="23" t="str">
        <f t="shared" si="7"/>
        <v>Custer, CO</v>
      </c>
      <c r="L268" s="24" t="str">
        <f>(((Colorado!C17-(vlookup(H268,'CO Data'!$A$207:$B$251,2,FALSE)))/Colorado!D17)+(vlookup(H268,'CO Data'!$A$207:$B$251,2,FALSE)))</f>
        <v>#N/A</v>
      </c>
      <c r="M268" s="161" t="str">
        <f>Colorado!H17/L268</f>
        <v>#N/A</v>
      </c>
    </row>
    <row r="269">
      <c r="A269" s="99">
        <v>268.0</v>
      </c>
      <c r="B269" s="15"/>
      <c r="C269" s="15"/>
      <c r="D269" s="105">
        <v>1.0</v>
      </c>
      <c r="E269" s="102">
        <v>8.0</v>
      </c>
      <c r="F269" s="107">
        <v>29.0</v>
      </c>
      <c r="G269" s="15" t="str">
        <f t="shared" si="1"/>
        <v>08029</v>
      </c>
      <c r="H269" s="23" t="s">
        <v>407</v>
      </c>
      <c r="I269" s="23" t="s">
        <v>36</v>
      </c>
      <c r="J269" s="23" t="s">
        <v>384</v>
      </c>
      <c r="K269" s="23" t="str">
        <f t="shared" si="7"/>
        <v>Delta, CO</v>
      </c>
      <c r="L269" s="24">
        <f>(((Colorado!C18-(vlookup(H269,'CO Data'!$A$207:$B$251,2,FALSE)))/Colorado!D18)+(vlookup(H269,'CO Data'!$A$207:$B$251,2,FALSE)))</f>
        <v>40.25</v>
      </c>
      <c r="M269" s="161">
        <f>Colorado!H18/L269</f>
        <v>1.341614907</v>
      </c>
    </row>
    <row r="270">
      <c r="A270" s="99">
        <v>269.0</v>
      </c>
      <c r="B270" s="15"/>
      <c r="C270" s="15"/>
      <c r="D270" s="105">
        <v>1.0</v>
      </c>
      <c r="E270" s="102">
        <v>8.0</v>
      </c>
      <c r="F270" s="107">
        <v>31.0</v>
      </c>
      <c r="G270" s="15" t="str">
        <f t="shared" si="1"/>
        <v>08031</v>
      </c>
      <c r="H270" s="23" t="s">
        <v>408</v>
      </c>
      <c r="I270" s="23" t="s">
        <v>36</v>
      </c>
      <c r="J270" s="23" t="s">
        <v>384</v>
      </c>
      <c r="K270" s="23" t="str">
        <f t="shared" si="7"/>
        <v>Denver, CO</v>
      </c>
      <c r="L270" s="24">
        <f>(((Colorado!C19-(vlookup(H270,'CO Data'!$A$207:$B$251,2,FALSE)))/Colorado!D19)+(vlookup(H270,'CO Data'!$A$207:$B$251,2,FALSE)))</f>
        <v>276</v>
      </c>
      <c r="M270" s="161">
        <f>Colorado!H19/L270</f>
        <v>1.449275362</v>
      </c>
    </row>
    <row r="271">
      <c r="A271" s="99">
        <v>270.0</v>
      </c>
      <c r="B271" s="15"/>
      <c r="C271" s="15"/>
      <c r="D271" s="105">
        <v>1.0</v>
      </c>
      <c r="E271" s="102">
        <v>8.0</v>
      </c>
      <c r="F271" s="107">
        <v>33.0</v>
      </c>
      <c r="G271" s="15" t="str">
        <f t="shared" si="1"/>
        <v>08033</v>
      </c>
      <c r="H271" s="23" t="s">
        <v>411</v>
      </c>
      <c r="I271" s="23" t="s">
        <v>36</v>
      </c>
      <c r="J271" s="23" t="s">
        <v>384</v>
      </c>
      <c r="K271" s="23" t="str">
        <f t="shared" si="7"/>
        <v>Dolores, CO</v>
      </c>
      <c r="L271" s="24" t="str">
        <f>(((Colorado!C20-(vlookup(H271,'CO Data'!$A$207:$B$251,2,FALSE)))/Colorado!D20)+(vlookup(H271,'CO Data'!$A$207:$B$251,2,FALSE)))</f>
        <v>#N/A</v>
      </c>
      <c r="M271" s="161" t="str">
        <f>Colorado!H20/L271</f>
        <v>#N/A</v>
      </c>
    </row>
    <row r="272">
      <c r="A272" s="99">
        <v>271.0</v>
      </c>
      <c r="B272" s="15"/>
      <c r="C272" s="15"/>
      <c r="D272" s="105">
        <v>1.0</v>
      </c>
      <c r="E272" s="102">
        <v>8.0</v>
      </c>
      <c r="F272" s="107">
        <v>35.0</v>
      </c>
      <c r="G272" s="15" t="str">
        <f t="shared" si="1"/>
        <v>08035</v>
      </c>
      <c r="H272" s="23" t="s">
        <v>412</v>
      </c>
      <c r="I272" s="23" t="s">
        <v>36</v>
      </c>
      <c r="J272" s="23" t="s">
        <v>384</v>
      </c>
      <c r="K272" s="23" t="str">
        <f t="shared" si="7"/>
        <v>Douglas, CO</v>
      </c>
      <c r="L272" s="24">
        <f>(((Colorado!C21-(vlookup(H272,'CO Data'!$A$207:$B$251,2,FALSE)))/Colorado!D21)+(vlookup(H272,'CO Data'!$A$207:$B$251,2,FALSE)))</f>
        <v>41</v>
      </c>
      <c r="M272" s="161">
        <f>Colorado!H21/L272</f>
        <v>4.195121951</v>
      </c>
    </row>
    <row r="273">
      <c r="A273" s="99">
        <v>272.0</v>
      </c>
      <c r="B273" s="15"/>
      <c r="C273" s="15"/>
      <c r="D273" s="105">
        <v>1.0</v>
      </c>
      <c r="E273" s="102">
        <v>8.0</v>
      </c>
      <c r="F273" s="107">
        <v>37.0</v>
      </c>
      <c r="G273" s="15" t="str">
        <f t="shared" si="1"/>
        <v>08037</v>
      </c>
      <c r="H273" s="23" t="s">
        <v>413</v>
      </c>
      <c r="I273" s="23" t="s">
        <v>36</v>
      </c>
      <c r="J273" s="23" t="s">
        <v>384</v>
      </c>
      <c r="K273" s="23" t="str">
        <f t="shared" si="7"/>
        <v>Eagle, CO</v>
      </c>
      <c r="L273" s="24" t="str">
        <f>(((Colorado!C22-(vlookup(H273,'CO Data'!$A$207:$B$251,2,FALSE)))/Colorado!D22)+(vlookup(H273,'CO Data'!$A$207:$B$251,2,FALSE)))</f>
        <v>#VALUE!</v>
      </c>
      <c r="M273" s="161" t="str">
        <f>Colorado!H22/L273</f>
        <v>#VALUE!</v>
      </c>
    </row>
    <row r="274">
      <c r="A274" s="99">
        <v>273.0</v>
      </c>
      <c r="B274" s="15"/>
      <c r="C274" s="15"/>
      <c r="D274" s="105">
        <v>1.0</v>
      </c>
      <c r="E274" s="102">
        <v>8.0</v>
      </c>
      <c r="F274" s="107">
        <v>39.0</v>
      </c>
      <c r="G274" s="15" t="str">
        <f t="shared" si="1"/>
        <v>08039</v>
      </c>
      <c r="H274" s="23" t="s">
        <v>414</v>
      </c>
      <c r="I274" s="23" t="s">
        <v>36</v>
      </c>
      <c r="J274" s="23" t="s">
        <v>384</v>
      </c>
      <c r="K274" s="23" t="str">
        <f t="shared" si="7"/>
        <v>Elbert, CO</v>
      </c>
      <c r="L274" s="24" t="str">
        <f>(((Colorado!C23-(vlookup(H274,'CO Data'!$A$207:$B$251,2,FALSE)))/Colorado!D23)+(vlookup(H274,'CO Data'!$A$207:$B$251,2,FALSE)))</f>
        <v>#VALUE!</v>
      </c>
      <c r="M274" s="161" t="str">
        <f>Colorado!H23/L274</f>
        <v>#VALUE!</v>
      </c>
    </row>
    <row r="275">
      <c r="A275" s="99">
        <v>274.0</v>
      </c>
      <c r="B275" s="15"/>
      <c r="C275" s="15"/>
      <c r="D275" s="105">
        <v>1.0</v>
      </c>
      <c r="E275" s="102">
        <v>8.0</v>
      </c>
      <c r="F275" s="107">
        <v>41.0</v>
      </c>
      <c r="G275" s="15" t="str">
        <f t="shared" si="1"/>
        <v>08041</v>
      </c>
      <c r="H275" s="23" t="s">
        <v>415</v>
      </c>
      <c r="I275" s="23" t="s">
        <v>36</v>
      </c>
      <c r="J275" s="23" t="s">
        <v>384</v>
      </c>
      <c r="K275" s="23" t="str">
        <f t="shared" si="7"/>
        <v>El Paso, CO</v>
      </c>
      <c r="L275" s="24">
        <f>(((Colorado!C24-(vlookup(H275,'CO Data'!$A$207:$B$251,2,FALSE)))/Colorado!D24)+(vlookup(H275,'CO Data'!$A$207:$B$251,2,FALSE)))</f>
        <v>47.75</v>
      </c>
      <c r="M275" s="161">
        <f>Colorado!H24/L275</f>
        <v>0.335078534</v>
      </c>
    </row>
    <row r="276">
      <c r="A276" s="99">
        <v>275.0</v>
      </c>
      <c r="B276" s="15"/>
      <c r="C276" s="15"/>
      <c r="D276" s="105">
        <v>1.0</v>
      </c>
      <c r="E276" s="102">
        <v>8.0</v>
      </c>
      <c r="F276" s="107">
        <v>43.0</v>
      </c>
      <c r="G276" s="15" t="str">
        <f t="shared" si="1"/>
        <v>08043</v>
      </c>
      <c r="H276" s="23" t="s">
        <v>416</v>
      </c>
      <c r="I276" s="23" t="s">
        <v>36</v>
      </c>
      <c r="J276" s="23" t="s">
        <v>384</v>
      </c>
      <c r="K276" s="23" t="str">
        <f t="shared" si="7"/>
        <v>Fremont, CO</v>
      </c>
      <c r="L276" s="24">
        <f>(((Colorado!C25-(vlookup(H276,'CO Data'!$A$207:$B$251,2,FALSE)))/Colorado!D25)+(vlookup(H276,'CO Data'!$A$207:$B$251,2,FALSE)))</f>
        <v>18.33333333</v>
      </c>
      <c r="M276" s="161">
        <f>Colorado!H25/L276</f>
        <v>1.854545455</v>
      </c>
    </row>
    <row r="277">
      <c r="A277" s="99">
        <v>276.0</v>
      </c>
      <c r="B277" s="15"/>
      <c r="C277" s="15"/>
      <c r="D277" s="105">
        <v>1.0</v>
      </c>
      <c r="E277" s="102">
        <v>8.0</v>
      </c>
      <c r="F277" s="107">
        <v>45.0</v>
      </c>
      <c r="G277" s="15" t="str">
        <f t="shared" si="1"/>
        <v>08045</v>
      </c>
      <c r="H277" s="23" t="s">
        <v>417</v>
      </c>
      <c r="I277" s="23" t="s">
        <v>36</v>
      </c>
      <c r="J277" s="23" t="s">
        <v>384</v>
      </c>
      <c r="K277" s="23" t="str">
        <f t="shared" si="7"/>
        <v>Garfield, CO</v>
      </c>
      <c r="L277" s="24" t="str">
        <f>(((Colorado!C26-(vlookup(H277,'CO Data'!$A$207:$B$251,2,FALSE)))/Colorado!D26)+(vlookup(H277,'CO Data'!$A$207:$B$251,2,FALSE)))</f>
        <v>#VALUE!</v>
      </c>
      <c r="M277" s="161" t="str">
        <f>Colorado!H26/L277</f>
        <v>#VALUE!</v>
      </c>
    </row>
    <row r="278">
      <c r="A278" s="99">
        <v>277.0</v>
      </c>
      <c r="B278" s="15"/>
      <c r="C278" s="15"/>
      <c r="D278" s="105">
        <v>1.0</v>
      </c>
      <c r="E278" s="102">
        <v>8.0</v>
      </c>
      <c r="F278" s="107">
        <v>47.0</v>
      </c>
      <c r="G278" s="15" t="str">
        <f t="shared" si="1"/>
        <v>08047</v>
      </c>
      <c r="H278" s="23" t="s">
        <v>418</v>
      </c>
      <c r="I278" s="23" t="s">
        <v>36</v>
      </c>
      <c r="J278" s="23" t="s">
        <v>384</v>
      </c>
      <c r="K278" s="23" t="str">
        <f t="shared" si="7"/>
        <v>Gilpin, CO</v>
      </c>
      <c r="L278" s="24" t="str">
        <f>(((Colorado!C27-(vlookup(H278,'CO Data'!$A$207:$B$251,2,FALSE)))/Colorado!D27)+(vlookup(H278,'CO Data'!$A$207:$B$251,2,FALSE)))</f>
        <v>#N/A</v>
      </c>
      <c r="M278" s="161" t="str">
        <f>Colorado!H27/L278</f>
        <v>#N/A</v>
      </c>
    </row>
    <row r="279">
      <c r="A279" s="99">
        <v>278.0</v>
      </c>
      <c r="B279" s="15"/>
      <c r="C279" s="15"/>
      <c r="D279" s="105">
        <v>1.0</v>
      </c>
      <c r="E279" s="102">
        <v>8.0</v>
      </c>
      <c r="F279" s="107">
        <v>49.0</v>
      </c>
      <c r="G279" s="15" t="str">
        <f t="shared" si="1"/>
        <v>08049</v>
      </c>
      <c r="H279" s="23" t="s">
        <v>421</v>
      </c>
      <c r="I279" s="23" t="s">
        <v>36</v>
      </c>
      <c r="J279" s="23" t="s">
        <v>384</v>
      </c>
      <c r="K279" s="23" t="str">
        <f t="shared" si="7"/>
        <v>Grand, CO</v>
      </c>
      <c r="L279" s="24" t="str">
        <f>(((Colorado!C28-(vlookup(H279,'CO Data'!$A$207:$B$251,2,FALSE)))/Colorado!D28)+(vlookup(H279,'CO Data'!$A$207:$B$251,2,FALSE)))</f>
        <v>#VALUE!</v>
      </c>
      <c r="M279" s="161" t="str">
        <f>Colorado!H28/L279</f>
        <v>#VALUE!</v>
      </c>
    </row>
    <row r="280">
      <c r="A280" s="99">
        <v>279.0</v>
      </c>
      <c r="B280" s="15"/>
      <c r="C280" s="15"/>
      <c r="D280" s="105">
        <v>1.0</v>
      </c>
      <c r="E280" s="102">
        <v>8.0</v>
      </c>
      <c r="F280" s="107">
        <v>51.0</v>
      </c>
      <c r="G280" s="15" t="str">
        <f t="shared" si="1"/>
        <v>08051</v>
      </c>
      <c r="H280" s="23" t="s">
        <v>422</v>
      </c>
      <c r="I280" s="23" t="s">
        <v>36</v>
      </c>
      <c r="J280" s="23" t="s">
        <v>384</v>
      </c>
      <c r="K280" s="23" t="str">
        <f t="shared" si="7"/>
        <v>Gunnison, CO</v>
      </c>
      <c r="L280" s="24" t="str">
        <f>(((Colorado!C29-(vlookup(H280,'CO Data'!$A$207:$B$251,2,FALSE)))/Colorado!D29)+(vlookup(H280,'CO Data'!$A$207:$B$251,2,FALSE)))</f>
        <v>#VALUE!</v>
      </c>
      <c r="M280" s="161" t="str">
        <f>Colorado!H29/L280</f>
        <v>#VALUE!</v>
      </c>
    </row>
    <row r="281">
      <c r="A281" s="99">
        <v>280.0</v>
      </c>
      <c r="B281" s="15"/>
      <c r="C281" s="15"/>
      <c r="D281" s="105">
        <v>1.0</v>
      </c>
      <c r="E281" s="102">
        <v>8.0</v>
      </c>
      <c r="F281" s="107">
        <v>53.0</v>
      </c>
      <c r="G281" s="15" t="str">
        <f t="shared" si="1"/>
        <v>08053</v>
      </c>
      <c r="H281" s="23" t="s">
        <v>424</v>
      </c>
      <c r="I281" s="23" t="s">
        <v>36</v>
      </c>
      <c r="J281" s="23" t="s">
        <v>384</v>
      </c>
      <c r="K281" s="23" t="str">
        <f t="shared" si="7"/>
        <v>Hinsdale, CO</v>
      </c>
      <c r="L281" s="24" t="str">
        <f>(((Colorado!C30-(vlookup(H281,'CO Data'!$A$207:$B$251,2,FALSE)))/Colorado!D30)+(vlookup(H281,'CO Data'!$A$207:$B$251,2,FALSE)))</f>
        <v>#N/A</v>
      </c>
      <c r="M281" s="161" t="str">
        <f>Colorado!H30/L281</f>
        <v>#N/A</v>
      </c>
    </row>
    <row r="282">
      <c r="A282" s="99">
        <v>281.0</v>
      </c>
      <c r="B282" s="15"/>
      <c r="C282" s="15"/>
      <c r="D282" s="105">
        <v>1.0</v>
      </c>
      <c r="E282" s="102">
        <v>8.0</v>
      </c>
      <c r="F282" s="107">
        <v>55.0</v>
      </c>
      <c r="G282" s="15" t="str">
        <f t="shared" si="1"/>
        <v>08055</v>
      </c>
      <c r="H282" s="23" t="s">
        <v>425</v>
      </c>
      <c r="I282" s="23" t="s">
        <v>36</v>
      </c>
      <c r="J282" s="23" t="s">
        <v>384</v>
      </c>
      <c r="K282" s="23" t="str">
        <f t="shared" si="7"/>
        <v>Huerfano, CO</v>
      </c>
      <c r="L282" s="24" t="str">
        <f>(((Colorado!C31-(vlookup(H282,'CO Data'!$A$207:$B$251,2,FALSE)))/Colorado!D31)+(vlookup(H282,'CO Data'!$A$207:$B$251,2,FALSE)))</f>
        <v>#VALUE!</v>
      </c>
      <c r="M282" s="161" t="str">
        <f>Colorado!H31/L282</f>
        <v>#VALUE!</v>
      </c>
    </row>
    <row r="283">
      <c r="A283" s="99">
        <v>282.0</v>
      </c>
      <c r="B283" s="15"/>
      <c r="C283" s="15"/>
      <c r="D283" s="105">
        <v>1.0</v>
      </c>
      <c r="E283" s="102">
        <v>8.0</v>
      </c>
      <c r="F283" s="107">
        <v>57.0</v>
      </c>
      <c r="G283" s="15" t="str">
        <f t="shared" si="1"/>
        <v>08057</v>
      </c>
      <c r="H283" s="23" t="s">
        <v>142</v>
      </c>
      <c r="I283" s="23" t="s">
        <v>36</v>
      </c>
      <c r="J283" s="23" t="s">
        <v>384</v>
      </c>
      <c r="K283" s="23" t="str">
        <f t="shared" si="7"/>
        <v>Jackson, CO</v>
      </c>
      <c r="L283" s="24" t="str">
        <f>(((Colorado!C32-(vlookup(H283,'CO Data'!$A$207:$B$251,2,FALSE)))/Colorado!D32)+(vlookup(H283,'CO Data'!$A$207:$B$251,2,FALSE)))</f>
        <v>#N/A</v>
      </c>
      <c r="M283" s="161" t="str">
        <f>Colorado!H32/L283</f>
        <v>#N/A</v>
      </c>
    </row>
    <row r="284">
      <c r="A284" s="99">
        <v>283.0</v>
      </c>
      <c r="B284" s="15"/>
      <c r="C284" s="15"/>
      <c r="D284" s="105">
        <v>1.0</v>
      </c>
      <c r="E284" s="102">
        <v>8.0</v>
      </c>
      <c r="F284" s="107">
        <v>59.0</v>
      </c>
      <c r="G284" s="15" t="str">
        <f t="shared" si="1"/>
        <v>08059</v>
      </c>
      <c r="H284" s="23" t="s">
        <v>143</v>
      </c>
      <c r="I284" s="23" t="s">
        <v>36</v>
      </c>
      <c r="J284" s="23" t="s">
        <v>384</v>
      </c>
      <c r="K284" s="23" t="str">
        <f t="shared" si="7"/>
        <v>Jefferson, CO</v>
      </c>
      <c r="L284" s="24">
        <f>(((Colorado!C33-(vlookup(H284,'CO Data'!$A$207:$B$251,2,FALSE)))/Colorado!D33)+(vlookup(H284,'CO Data'!$A$207:$B$251,2,FALSE)))</f>
        <v>121</v>
      </c>
      <c r="M284" s="161">
        <f>Colorado!H33/L284</f>
        <v>2.67768595</v>
      </c>
    </row>
    <row r="285">
      <c r="A285" s="99">
        <v>284.0</v>
      </c>
      <c r="B285" s="15"/>
      <c r="C285" s="15"/>
      <c r="D285" s="105">
        <v>1.0</v>
      </c>
      <c r="E285" s="102">
        <v>8.0</v>
      </c>
      <c r="F285" s="107">
        <v>61.0</v>
      </c>
      <c r="G285" s="15" t="str">
        <f t="shared" si="1"/>
        <v>08061</v>
      </c>
      <c r="H285" s="23" t="s">
        <v>427</v>
      </c>
      <c r="I285" s="23" t="s">
        <v>36</v>
      </c>
      <c r="J285" s="23" t="s">
        <v>384</v>
      </c>
      <c r="K285" s="23" t="str">
        <f t="shared" si="7"/>
        <v>Kiowa, CO</v>
      </c>
      <c r="L285" s="24" t="str">
        <f>(((Colorado!C34-(vlookup(H285,'CO Data'!$A$207:$B$251,2,FALSE)))/Colorado!D34)+(vlookup(H285,'CO Data'!$A$207:$B$251,2,FALSE)))</f>
        <v>#N/A</v>
      </c>
      <c r="M285" s="161" t="str">
        <f>Colorado!H34/L285</f>
        <v>#N/A</v>
      </c>
    </row>
    <row r="286">
      <c r="A286" s="99">
        <v>285.0</v>
      </c>
      <c r="B286" s="15"/>
      <c r="C286" s="15"/>
      <c r="D286" s="105">
        <v>1.0</v>
      </c>
      <c r="E286" s="102">
        <v>8.0</v>
      </c>
      <c r="F286" s="107">
        <v>63.0</v>
      </c>
      <c r="G286" s="15" t="str">
        <f t="shared" si="1"/>
        <v>08063</v>
      </c>
      <c r="H286" s="23" t="s">
        <v>428</v>
      </c>
      <c r="I286" s="23" t="s">
        <v>36</v>
      </c>
      <c r="J286" s="23" t="s">
        <v>384</v>
      </c>
      <c r="K286" s="23" t="str">
        <f t="shared" si="7"/>
        <v>Kit Carson, CO</v>
      </c>
      <c r="L286" s="24" t="str">
        <f>(((Colorado!C35-(vlookup(H286,'CO Data'!$A$207:$B$251,2,FALSE)))/Colorado!D35)+(vlookup(H286,'CO Data'!$A$207:$B$251,2,FALSE)))</f>
        <v>#VALUE!</v>
      </c>
      <c r="M286" s="161" t="str">
        <f>Colorado!H35/L286</f>
        <v>#VALUE!</v>
      </c>
    </row>
    <row r="287">
      <c r="A287" s="99">
        <v>286.0</v>
      </c>
      <c r="B287" s="15"/>
      <c r="C287" s="15"/>
      <c r="D287" s="105">
        <v>1.0</v>
      </c>
      <c r="E287" s="102">
        <v>8.0</v>
      </c>
      <c r="F287" s="107">
        <v>65.0</v>
      </c>
      <c r="G287" s="15" t="str">
        <f t="shared" si="1"/>
        <v>08065</v>
      </c>
      <c r="H287" s="23" t="s">
        <v>337</v>
      </c>
      <c r="I287" s="23" t="s">
        <v>36</v>
      </c>
      <c r="J287" s="23" t="s">
        <v>384</v>
      </c>
      <c r="K287" s="23" t="str">
        <f t="shared" si="7"/>
        <v>Lake, CO</v>
      </c>
      <c r="L287" s="24" t="str">
        <f>(((Colorado!C36-(vlookup(H287,'CO Data'!$A$207:$B$251,2,FALSE)))/Colorado!D36)+(vlookup(H287,'CO Data'!$A$207:$B$251,2,FALSE)))</f>
        <v>#N/A</v>
      </c>
      <c r="M287" s="161" t="str">
        <f>Colorado!H36/L287</f>
        <v>#N/A</v>
      </c>
    </row>
    <row r="288">
      <c r="A288" s="99">
        <v>287.0</v>
      </c>
      <c r="B288" s="15"/>
      <c r="C288" s="15"/>
      <c r="D288" s="105">
        <v>1.0</v>
      </c>
      <c r="E288" s="102">
        <v>8.0</v>
      </c>
      <c r="F288" s="107">
        <v>67.0</v>
      </c>
      <c r="G288" s="15" t="str">
        <f t="shared" si="1"/>
        <v>08067</v>
      </c>
      <c r="H288" s="23" t="s">
        <v>429</v>
      </c>
      <c r="I288" s="23" t="s">
        <v>36</v>
      </c>
      <c r="J288" s="23" t="s">
        <v>384</v>
      </c>
      <c r="K288" s="23" t="str">
        <f t="shared" si="7"/>
        <v>La Plata, CO</v>
      </c>
      <c r="L288" s="24" t="str">
        <f>(((Colorado!C37-(vlookup(H288,'CO Data'!$A$207:$B$251,2,FALSE)))/Colorado!D37)+(vlookup(H288,'CO Data'!$A$207:$B$251,2,FALSE)))</f>
        <v>#VALUE!</v>
      </c>
      <c r="M288" s="161" t="str">
        <f>Colorado!H37/L288</f>
        <v>#VALUE!</v>
      </c>
    </row>
    <row r="289">
      <c r="A289" s="99">
        <v>288.0</v>
      </c>
      <c r="B289" s="15"/>
      <c r="C289" s="15"/>
      <c r="D289" s="105">
        <v>1.0</v>
      </c>
      <c r="E289" s="102">
        <v>8.0</v>
      </c>
      <c r="F289" s="107">
        <v>69.0</v>
      </c>
      <c r="G289" s="15" t="str">
        <f t="shared" si="1"/>
        <v>08069</v>
      </c>
      <c r="H289" s="23" t="s">
        <v>431</v>
      </c>
      <c r="I289" s="23" t="s">
        <v>36</v>
      </c>
      <c r="J289" s="23" t="s">
        <v>384</v>
      </c>
      <c r="K289" s="23" t="str">
        <f t="shared" si="7"/>
        <v>Larimer, CO</v>
      </c>
      <c r="L289" s="24">
        <f>(((Colorado!C38-(vlookup(H289,'CO Data'!$A$207:$B$251,2,FALSE)))/Colorado!D38)+(vlookup(H289,'CO Data'!$A$207:$B$251,2,FALSE)))</f>
        <v>107</v>
      </c>
      <c r="M289" s="161">
        <f>Colorado!H38/L289</f>
        <v>1.934579439</v>
      </c>
    </row>
    <row r="290">
      <c r="A290" s="99">
        <v>289.0</v>
      </c>
      <c r="B290" s="15"/>
      <c r="C290" s="15"/>
      <c r="D290" s="105">
        <v>1.0</v>
      </c>
      <c r="E290" s="102">
        <v>8.0</v>
      </c>
      <c r="F290" s="107">
        <v>71.0</v>
      </c>
      <c r="G290" s="15" t="str">
        <f t="shared" si="1"/>
        <v>08071</v>
      </c>
      <c r="H290" s="23" t="s">
        <v>432</v>
      </c>
      <c r="I290" s="23" t="s">
        <v>36</v>
      </c>
      <c r="J290" s="23" t="s">
        <v>384</v>
      </c>
      <c r="K290" s="23" t="str">
        <f t="shared" si="7"/>
        <v>Las Animas, CO</v>
      </c>
      <c r="L290" s="24" t="str">
        <f>(((Colorado!C39-(vlookup(H290,'CO Data'!$A$207:$B$251,2,FALSE)))/Colorado!D39)+(vlookup(H290,'CO Data'!$A$207:$B$251,2,FALSE)))</f>
        <v>#VALUE!</v>
      </c>
      <c r="M290" s="161" t="str">
        <f>Colorado!H39/L290</f>
        <v>#VALUE!</v>
      </c>
    </row>
    <row r="291">
      <c r="A291" s="99">
        <v>290.0</v>
      </c>
      <c r="B291" s="15"/>
      <c r="C291" s="15"/>
      <c r="D291" s="105">
        <v>1.0</v>
      </c>
      <c r="E291" s="102">
        <v>8.0</v>
      </c>
      <c r="F291" s="107">
        <v>73.0</v>
      </c>
      <c r="G291" s="15" t="str">
        <f t="shared" si="1"/>
        <v>08073</v>
      </c>
      <c r="H291" s="23" t="s">
        <v>290</v>
      </c>
      <c r="I291" s="23" t="s">
        <v>36</v>
      </c>
      <c r="J291" s="23" t="s">
        <v>384</v>
      </c>
      <c r="K291" s="23" t="str">
        <f t="shared" si="7"/>
        <v>Lincoln, CO</v>
      </c>
      <c r="L291" s="24" t="str">
        <f>(((Colorado!C40-(vlookup(H291,'CO Data'!$A$207:$B$251,2,FALSE)))/Colorado!D40)+(vlookup(H291,'CO Data'!$A$207:$B$251,2,FALSE)))</f>
        <v>#N/A</v>
      </c>
      <c r="M291" s="161" t="str">
        <f>Colorado!H40/L291</f>
        <v>#N/A</v>
      </c>
    </row>
    <row r="292">
      <c r="A292" s="99">
        <v>291.0</v>
      </c>
      <c r="B292" s="15"/>
      <c r="C292" s="15"/>
      <c r="D292" s="105">
        <v>1.0</v>
      </c>
      <c r="E292" s="102">
        <v>8.0</v>
      </c>
      <c r="F292" s="107">
        <v>75.0</v>
      </c>
      <c r="G292" s="15" t="str">
        <f t="shared" si="1"/>
        <v>08075</v>
      </c>
      <c r="H292" s="23" t="s">
        <v>293</v>
      </c>
      <c r="I292" s="23" t="s">
        <v>36</v>
      </c>
      <c r="J292" s="23" t="s">
        <v>384</v>
      </c>
      <c r="K292" s="23" t="str">
        <f t="shared" si="7"/>
        <v>Logan, CO</v>
      </c>
      <c r="L292" s="24" t="str">
        <f>(((Colorado!C41-(vlookup(H292,'CO Data'!$A$207:$B$251,2,FALSE)))/Colorado!D41)+(vlookup(H292,'CO Data'!$A$207:$B$251,2,FALSE)))</f>
        <v>#VALUE!</v>
      </c>
      <c r="M292" s="161" t="str">
        <f>Colorado!H41/L292</f>
        <v>#VALUE!</v>
      </c>
    </row>
    <row r="293">
      <c r="A293" s="99">
        <v>292.0</v>
      </c>
      <c r="B293" s="15"/>
      <c r="C293" s="15"/>
      <c r="D293" s="105">
        <v>1.0</v>
      </c>
      <c r="E293" s="102">
        <v>8.0</v>
      </c>
      <c r="F293" s="107">
        <v>77.0</v>
      </c>
      <c r="G293" s="15" t="str">
        <f t="shared" si="1"/>
        <v>08077</v>
      </c>
      <c r="H293" s="23" t="s">
        <v>434</v>
      </c>
      <c r="I293" s="23" t="s">
        <v>36</v>
      </c>
      <c r="J293" s="23" t="s">
        <v>384</v>
      </c>
      <c r="K293" s="23" t="str">
        <f t="shared" si="7"/>
        <v>Mesa, CO</v>
      </c>
      <c r="L293" s="24">
        <f>(((Colorado!C42-(vlookup(H293,'CO Data'!$A$207:$B$251,2,FALSE)))/Colorado!D42)+(vlookup(H293,'CO Data'!$A$207:$B$251,2,FALSE)))</f>
        <v>71</v>
      </c>
      <c r="M293" s="161">
        <f>Colorado!H42/L293</f>
        <v>1.830985915</v>
      </c>
    </row>
    <row r="294">
      <c r="A294" s="99">
        <v>293.0</v>
      </c>
      <c r="B294" s="15"/>
      <c r="C294" s="15"/>
      <c r="D294" s="105">
        <v>1.0</v>
      </c>
      <c r="E294" s="102">
        <v>8.0</v>
      </c>
      <c r="F294" s="107">
        <v>79.0</v>
      </c>
      <c r="G294" s="15" t="str">
        <f t="shared" si="1"/>
        <v>08079</v>
      </c>
      <c r="H294" s="23" t="s">
        <v>435</v>
      </c>
      <c r="I294" s="23" t="s">
        <v>36</v>
      </c>
      <c r="J294" s="23" t="s">
        <v>384</v>
      </c>
      <c r="K294" s="23" t="str">
        <f t="shared" si="7"/>
        <v>Mineral, CO</v>
      </c>
      <c r="L294" s="24" t="str">
        <f>(((Colorado!C43-(vlookup(H294,'CO Data'!$A$207:$B$251,2,FALSE)))/Colorado!D43)+(vlookup(H294,'CO Data'!$A$207:$B$251,2,FALSE)))</f>
        <v>#N/A</v>
      </c>
      <c r="M294" s="161" t="str">
        <f>Colorado!H43/L294</f>
        <v>#N/A</v>
      </c>
    </row>
    <row r="295">
      <c r="A295" s="99">
        <v>294.0</v>
      </c>
      <c r="B295" s="15"/>
      <c r="C295" s="15"/>
      <c r="D295" s="105">
        <v>1.0</v>
      </c>
      <c r="E295" s="102">
        <v>8.0</v>
      </c>
      <c r="F295" s="107">
        <v>81.0</v>
      </c>
      <c r="G295" s="15" t="str">
        <f t="shared" si="1"/>
        <v>08081</v>
      </c>
      <c r="H295" s="23" t="s">
        <v>436</v>
      </c>
      <c r="I295" s="23" t="s">
        <v>36</v>
      </c>
      <c r="J295" s="23" t="s">
        <v>384</v>
      </c>
      <c r="K295" s="23" t="str">
        <f t="shared" si="7"/>
        <v>Moffat, CO</v>
      </c>
      <c r="L295" s="24" t="str">
        <f>(((Colorado!C44-(vlookup(H295,'CO Data'!$A$207:$B$251,2,FALSE)))/Colorado!D44)+(vlookup(H295,'CO Data'!$A$207:$B$251,2,FALSE)))</f>
        <v>#N/A</v>
      </c>
      <c r="M295" s="161" t="str">
        <f>Colorado!H44/L295</f>
        <v>#N/A</v>
      </c>
    </row>
    <row r="296">
      <c r="A296" s="99">
        <v>295.0</v>
      </c>
      <c r="B296" s="15"/>
      <c r="C296" s="15"/>
      <c r="D296" s="105">
        <v>1.0</v>
      </c>
      <c r="E296" s="102">
        <v>8.0</v>
      </c>
      <c r="F296" s="107">
        <v>83.0</v>
      </c>
      <c r="G296" s="15" t="str">
        <f t="shared" si="1"/>
        <v>08083</v>
      </c>
      <c r="H296" s="23" t="s">
        <v>439</v>
      </c>
      <c r="I296" s="23" t="s">
        <v>36</v>
      </c>
      <c r="J296" s="23" t="s">
        <v>384</v>
      </c>
      <c r="K296" s="23" t="str">
        <f t="shared" si="7"/>
        <v>Montezuma, CO</v>
      </c>
      <c r="L296" s="24" t="str">
        <f>(((Colorado!C45-(vlookup(H296,'CO Data'!$A$207:$B$251,2,FALSE)))/Colorado!D45)+(vlookup(H296,'CO Data'!$A$207:$B$251,2,FALSE)))</f>
        <v>#VALUE!</v>
      </c>
      <c r="M296" s="161" t="str">
        <f>Colorado!H45/L296</f>
        <v>#VALUE!</v>
      </c>
    </row>
    <row r="297">
      <c r="A297" s="99">
        <v>296.0</v>
      </c>
      <c r="B297" s="15"/>
      <c r="C297" s="15"/>
      <c r="D297" s="105">
        <v>1.0</v>
      </c>
      <c r="E297" s="102">
        <v>8.0</v>
      </c>
      <c r="F297" s="107">
        <v>85.0</v>
      </c>
      <c r="G297" s="15" t="str">
        <f t="shared" si="1"/>
        <v>08085</v>
      </c>
      <c r="H297" s="23" t="s">
        <v>440</v>
      </c>
      <c r="I297" s="23" t="s">
        <v>36</v>
      </c>
      <c r="J297" s="23" t="s">
        <v>384</v>
      </c>
      <c r="K297" s="23" t="str">
        <f t="shared" si="7"/>
        <v>Montrose, CO</v>
      </c>
      <c r="L297" s="24">
        <f>(((Colorado!C46-(vlookup(H297,'CO Data'!$A$207:$B$251,2,FALSE)))/Colorado!D46)+(vlookup(H297,'CO Data'!$A$207:$B$251,2,FALSE)))</f>
        <v>26</v>
      </c>
      <c r="M297" s="161">
        <f>Colorado!H46/L297</f>
        <v>3.423076923</v>
      </c>
    </row>
    <row r="298">
      <c r="A298" s="99">
        <v>297.0</v>
      </c>
      <c r="B298" s="15"/>
      <c r="C298" s="15"/>
      <c r="D298" s="105">
        <v>1.0</v>
      </c>
      <c r="E298" s="102">
        <v>8.0</v>
      </c>
      <c r="F298" s="107">
        <v>87.0</v>
      </c>
      <c r="G298" s="15" t="str">
        <f t="shared" si="1"/>
        <v>08087</v>
      </c>
      <c r="H298" s="23" t="s">
        <v>158</v>
      </c>
      <c r="I298" s="23" t="s">
        <v>36</v>
      </c>
      <c r="J298" s="23" t="s">
        <v>384</v>
      </c>
      <c r="K298" s="23" t="str">
        <f t="shared" si="7"/>
        <v>Morgan, CO</v>
      </c>
      <c r="L298" s="24" t="str">
        <f>(((Colorado!C47-(vlookup(H298,'CO Data'!$A$207:$B$251,2,FALSE)))/Colorado!D47)+(vlookup(H298,'CO Data'!$A$207:$B$251,2,FALSE)))</f>
        <v>#VALUE!</v>
      </c>
      <c r="M298" s="161" t="str">
        <f>Colorado!H47/L298</f>
        <v>#VALUE!</v>
      </c>
    </row>
    <row r="299">
      <c r="A299" s="99">
        <v>298.0</v>
      </c>
      <c r="B299" s="15"/>
      <c r="C299" s="15"/>
      <c r="D299" s="105">
        <v>1.0</v>
      </c>
      <c r="E299" s="102">
        <v>8.0</v>
      </c>
      <c r="F299" s="107">
        <v>89.0</v>
      </c>
      <c r="G299" s="15" t="str">
        <f t="shared" si="1"/>
        <v>08089</v>
      </c>
      <c r="H299" s="23" t="s">
        <v>441</v>
      </c>
      <c r="I299" s="23" t="s">
        <v>36</v>
      </c>
      <c r="J299" s="23" t="s">
        <v>384</v>
      </c>
      <c r="K299" s="23" t="str">
        <f t="shared" si="7"/>
        <v>Otero, CO</v>
      </c>
      <c r="L299" s="24" t="str">
        <f>(((Colorado!C48-(vlookup(H299,'CO Data'!$A$207:$B$251,2,FALSE)))/Colorado!D48)+(vlookup(H299,'CO Data'!$A$207:$B$251,2,FALSE)))</f>
        <v>#VALUE!</v>
      </c>
      <c r="M299" s="161" t="str">
        <f>Colorado!H48/L299</f>
        <v>#VALUE!</v>
      </c>
    </row>
    <row r="300">
      <c r="A300" s="99">
        <v>299.0</v>
      </c>
      <c r="B300" s="15"/>
      <c r="C300" s="15"/>
      <c r="D300" s="105">
        <v>1.0</v>
      </c>
      <c r="E300" s="102">
        <v>8.0</v>
      </c>
      <c r="F300" s="107">
        <v>91.0</v>
      </c>
      <c r="G300" s="15" t="str">
        <f t="shared" si="1"/>
        <v>08091</v>
      </c>
      <c r="H300" s="23" t="s">
        <v>444</v>
      </c>
      <c r="I300" s="23" t="s">
        <v>36</v>
      </c>
      <c r="J300" s="23" t="s">
        <v>384</v>
      </c>
      <c r="K300" s="23" t="str">
        <f t="shared" si="7"/>
        <v>Ouray, CO</v>
      </c>
      <c r="L300" s="24" t="str">
        <f>(((Colorado!C49-(vlookup(H300,'CO Data'!$A$207:$B$251,2,FALSE)))/Colorado!D49)+(vlookup(H300,'CO Data'!$A$207:$B$251,2,FALSE)))</f>
        <v>#N/A</v>
      </c>
      <c r="M300" s="161" t="str">
        <f>Colorado!H49/L300</f>
        <v>#N/A</v>
      </c>
    </row>
    <row r="301">
      <c r="A301" s="99">
        <v>300.0</v>
      </c>
      <c r="B301" s="15"/>
      <c r="C301" s="15"/>
      <c r="D301" s="105">
        <v>1.0</v>
      </c>
      <c r="E301" s="102">
        <v>8.0</v>
      </c>
      <c r="F301" s="107">
        <v>93.0</v>
      </c>
      <c r="G301" s="15" t="str">
        <f t="shared" si="1"/>
        <v>08093</v>
      </c>
      <c r="H301" s="23" t="s">
        <v>445</v>
      </c>
      <c r="I301" s="23" t="s">
        <v>36</v>
      </c>
      <c r="J301" s="23" t="s">
        <v>384</v>
      </c>
      <c r="K301" s="23" t="str">
        <f t="shared" si="7"/>
        <v>Park, CO</v>
      </c>
      <c r="L301" s="24" t="str">
        <f>(((Colorado!C50-(vlookup(H301,'CO Data'!$A$207:$B$251,2,FALSE)))/Colorado!D50)+(vlookup(H301,'CO Data'!$A$207:$B$251,2,FALSE)))</f>
        <v>#VALUE!</v>
      </c>
      <c r="M301" s="161" t="str">
        <f>Colorado!H50/L301</f>
        <v>#VALUE!</v>
      </c>
    </row>
    <row r="302">
      <c r="A302" s="99">
        <v>301.0</v>
      </c>
      <c r="B302" s="15"/>
      <c r="C302" s="15"/>
      <c r="D302" s="105">
        <v>1.0</v>
      </c>
      <c r="E302" s="102">
        <v>8.0</v>
      </c>
      <c r="F302" s="107">
        <v>95.0</v>
      </c>
      <c r="G302" s="15" t="str">
        <f t="shared" si="1"/>
        <v>08095</v>
      </c>
      <c r="H302" s="23" t="s">
        <v>300</v>
      </c>
      <c r="I302" s="23" t="s">
        <v>36</v>
      </c>
      <c r="J302" s="23" t="s">
        <v>384</v>
      </c>
      <c r="K302" s="23" t="str">
        <f t="shared" si="7"/>
        <v>Phillips, CO</v>
      </c>
      <c r="L302" s="24" t="str">
        <f>(((Colorado!C51-(vlookup(H302,'CO Data'!$A$207:$B$251,2,FALSE)))/Colorado!D51)+(vlookup(H302,'CO Data'!$A$207:$B$251,2,FALSE)))</f>
        <v>#N/A</v>
      </c>
      <c r="M302" s="161" t="str">
        <f>Colorado!H51/L302</f>
        <v>#N/A</v>
      </c>
    </row>
    <row r="303">
      <c r="A303" s="99">
        <v>302.0</v>
      </c>
      <c r="B303" s="15"/>
      <c r="C303" s="15"/>
      <c r="D303" s="105">
        <v>1.0</v>
      </c>
      <c r="E303" s="102">
        <v>8.0</v>
      </c>
      <c r="F303" s="107">
        <v>97.0</v>
      </c>
      <c r="G303" s="15" t="str">
        <f t="shared" si="1"/>
        <v>08097</v>
      </c>
      <c r="H303" s="23" t="s">
        <v>446</v>
      </c>
      <c r="I303" s="23" t="s">
        <v>36</v>
      </c>
      <c r="J303" s="23" t="s">
        <v>384</v>
      </c>
      <c r="K303" s="23" t="str">
        <f t="shared" si="7"/>
        <v>Pitkin, CO</v>
      </c>
      <c r="L303" s="24" t="str">
        <f>(((Colorado!C52-(vlookup(H303,'CO Data'!$A$207:$B$251,2,FALSE)))/Colorado!D52)+(vlookup(H303,'CO Data'!$A$207:$B$251,2,FALSE)))</f>
        <v>#N/A</v>
      </c>
      <c r="M303" s="161" t="str">
        <f>Colorado!H52/L303</f>
        <v>#N/A</v>
      </c>
    </row>
    <row r="304">
      <c r="A304" s="99">
        <v>303.0</v>
      </c>
      <c r="B304" s="15"/>
      <c r="C304" s="15"/>
      <c r="D304" s="105">
        <v>1.0</v>
      </c>
      <c r="E304" s="102">
        <v>8.0</v>
      </c>
      <c r="F304" s="107">
        <v>99.0</v>
      </c>
      <c r="G304" s="15" t="str">
        <f t="shared" si="1"/>
        <v>08099</v>
      </c>
      <c r="H304" s="23" t="s">
        <v>449</v>
      </c>
      <c r="I304" s="23" t="s">
        <v>36</v>
      </c>
      <c r="J304" s="23" t="s">
        <v>384</v>
      </c>
      <c r="K304" s="23" t="str">
        <f t="shared" si="7"/>
        <v>Prowers, CO</v>
      </c>
      <c r="L304" s="24" t="str">
        <f>(((Colorado!C53-(vlookup(H304,'CO Data'!$A$207:$B$251,2,FALSE)))/Colorado!D53)+(vlookup(H304,'CO Data'!$A$207:$B$251,2,FALSE)))</f>
        <v>#N/A</v>
      </c>
      <c r="M304" s="161" t="str">
        <f>Colorado!H53/L304</f>
        <v>#N/A</v>
      </c>
    </row>
    <row r="305">
      <c r="A305" s="99">
        <v>304.0</v>
      </c>
      <c r="B305" s="15"/>
      <c r="C305" s="15"/>
      <c r="D305" s="105">
        <v>1.0</v>
      </c>
      <c r="E305" s="102">
        <v>8.0</v>
      </c>
      <c r="F305" s="107">
        <v>101.0</v>
      </c>
      <c r="G305" s="15" t="str">
        <f t="shared" si="1"/>
        <v>08101</v>
      </c>
      <c r="H305" s="23" t="s">
        <v>450</v>
      </c>
      <c r="I305" s="23" t="s">
        <v>36</v>
      </c>
      <c r="J305" s="23" t="s">
        <v>384</v>
      </c>
      <c r="K305" s="23" t="str">
        <f t="shared" si="7"/>
        <v>Pueblo, CO</v>
      </c>
      <c r="L305" s="24">
        <f>(((Colorado!C54-(vlookup(H305,'CO Data'!$A$207:$B$251,2,FALSE)))/Colorado!D54)+(vlookup(H305,'CO Data'!$A$207:$B$251,2,FALSE)))</f>
        <v>55.5</v>
      </c>
      <c r="M305" s="161">
        <f>Colorado!H54/L305</f>
        <v>2.162162162</v>
      </c>
    </row>
    <row r="306">
      <c r="A306" s="99">
        <v>305.0</v>
      </c>
      <c r="B306" s="15"/>
      <c r="C306" s="15"/>
      <c r="D306" s="105">
        <v>1.0</v>
      </c>
      <c r="E306" s="102">
        <v>8.0</v>
      </c>
      <c r="F306" s="107">
        <v>103.0</v>
      </c>
      <c r="G306" s="15" t="str">
        <f t="shared" si="1"/>
        <v>08103</v>
      </c>
      <c r="H306" s="23" t="s">
        <v>451</v>
      </c>
      <c r="I306" s="23" t="s">
        <v>36</v>
      </c>
      <c r="J306" s="23" t="s">
        <v>384</v>
      </c>
      <c r="K306" s="23" t="str">
        <f t="shared" si="7"/>
        <v>Rio Blanco, CO</v>
      </c>
      <c r="L306" s="24" t="str">
        <f>(((Colorado!C55-(vlookup(H306,'CO Data'!$A$207:$B$251,2,FALSE)))/Colorado!D55)+(vlookup(H306,'CO Data'!$A$207:$B$251,2,FALSE)))</f>
        <v>#VALUE!</v>
      </c>
      <c r="M306" s="161" t="str">
        <f>Colorado!H55/L306</f>
        <v>#VALUE!</v>
      </c>
    </row>
    <row r="307">
      <c r="A307" s="99">
        <v>306.0</v>
      </c>
      <c r="B307" s="15"/>
      <c r="C307" s="15"/>
      <c r="D307" s="105">
        <v>1.0</v>
      </c>
      <c r="E307" s="102">
        <v>8.0</v>
      </c>
      <c r="F307" s="107">
        <v>105.0</v>
      </c>
      <c r="G307" s="15" t="str">
        <f t="shared" si="1"/>
        <v>08105</v>
      </c>
      <c r="H307" s="23" t="s">
        <v>453</v>
      </c>
      <c r="I307" s="23" t="s">
        <v>36</v>
      </c>
      <c r="J307" s="23" t="s">
        <v>384</v>
      </c>
      <c r="K307" s="23" t="str">
        <f t="shared" si="7"/>
        <v>Rio Grande, CO</v>
      </c>
      <c r="L307" s="24" t="str">
        <f>(((Colorado!C56-(vlookup(H307,'CO Data'!$A$207:$B$251,2,FALSE)))/Colorado!D56)+(vlookup(H307,'CO Data'!$A$207:$B$251,2,FALSE)))</f>
        <v>#VALUE!</v>
      </c>
      <c r="M307" s="161" t="str">
        <f>Colorado!H56/L307</f>
        <v>#VALUE!</v>
      </c>
    </row>
    <row r="308">
      <c r="A308" s="99">
        <v>307.0</v>
      </c>
      <c r="B308" s="15"/>
      <c r="C308" s="15"/>
      <c r="D308" s="105">
        <v>1.0</v>
      </c>
      <c r="E308" s="102">
        <v>8.0</v>
      </c>
      <c r="F308" s="107">
        <v>107.0</v>
      </c>
      <c r="G308" s="15" t="str">
        <f t="shared" si="1"/>
        <v>08107</v>
      </c>
      <c r="H308" s="23" t="s">
        <v>454</v>
      </c>
      <c r="I308" s="23" t="s">
        <v>36</v>
      </c>
      <c r="J308" s="23" t="s">
        <v>384</v>
      </c>
      <c r="K308" s="23" t="str">
        <f t="shared" si="7"/>
        <v>Routt, CO</v>
      </c>
      <c r="L308" s="24" t="str">
        <f>(((Colorado!C57-(vlookup(H308,'CO Data'!$A$207:$B$251,2,FALSE)))/Colorado!D57)+(vlookup(H308,'CO Data'!$A$207:$B$251,2,FALSE)))</f>
        <v>#VALUE!</v>
      </c>
      <c r="M308" s="161" t="str">
        <f>Colorado!H57/L308</f>
        <v>#VALUE!</v>
      </c>
    </row>
    <row r="309">
      <c r="A309" s="99">
        <v>308.0</v>
      </c>
      <c r="B309" s="15"/>
      <c r="C309" s="15"/>
      <c r="D309" s="105">
        <v>1.0</v>
      </c>
      <c r="E309" s="102">
        <v>8.0</v>
      </c>
      <c r="F309" s="107">
        <v>109.0</v>
      </c>
      <c r="G309" s="15" t="str">
        <f t="shared" si="1"/>
        <v>08109</v>
      </c>
      <c r="H309" s="23" t="s">
        <v>455</v>
      </c>
      <c r="I309" s="23" t="s">
        <v>36</v>
      </c>
      <c r="J309" s="23" t="s">
        <v>384</v>
      </c>
      <c r="K309" s="23" t="str">
        <f t="shared" si="7"/>
        <v>Saguache, CO</v>
      </c>
      <c r="L309" s="24" t="str">
        <f>(((Colorado!C58-(vlookup(H309,'CO Data'!$A$207:$B$251,2,FALSE)))/Colorado!D58)+(vlookup(H309,'CO Data'!$A$207:$B$251,2,FALSE)))</f>
        <v>#VALUE!</v>
      </c>
      <c r="M309" s="161" t="str">
        <f>Colorado!H58/L309</f>
        <v>#VALUE!</v>
      </c>
    </row>
    <row r="310">
      <c r="A310" s="99">
        <v>309.0</v>
      </c>
      <c r="B310" s="15"/>
      <c r="C310" s="15"/>
      <c r="D310" s="105">
        <v>1.0</v>
      </c>
      <c r="E310" s="102">
        <v>8.0</v>
      </c>
      <c r="F310" s="107">
        <v>111.0</v>
      </c>
      <c r="G310" s="15" t="str">
        <f t="shared" si="1"/>
        <v>08111</v>
      </c>
      <c r="H310" s="23" t="s">
        <v>457</v>
      </c>
      <c r="I310" s="23" t="s">
        <v>36</v>
      </c>
      <c r="J310" s="23" t="s">
        <v>384</v>
      </c>
      <c r="K310" s="23" t="str">
        <f t="shared" si="7"/>
        <v>San Juan, CO</v>
      </c>
      <c r="L310" s="24" t="str">
        <f>(((Colorado!C59-(vlookup(H310,'CO Data'!$A$207:$B$251,2,FALSE)))/Colorado!D59)+(vlookup(H310,'CO Data'!$A$207:$B$251,2,FALSE)))</f>
        <v>#N/A</v>
      </c>
      <c r="M310" s="161" t="str">
        <f>Colorado!H59/L310</f>
        <v>#N/A</v>
      </c>
    </row>
    <row r="311">
      <c r="A311" s="99">
        <v>310.0</v>
      </c>
      <c r="B311" s="15"/>
      <c r="C311" s="15"/>
      <c r="D311" s="105">
        <v>1.0</v>
      </c>
      <c r="E311" s="102">
        <v>8.0</v>
      </c>
      <c r="F311" s="107">
        <v>113.0</v>
      </c>
      <c r="G311" s="15" t="str">
        <f t="shared" si="1"/>
        <v>08113</v>
      </c>
      <c r="H311" s="23" t="s">
        <v>458</v>
      </c>
      <c r="I311" s="23" t="s">
        <v>36</v>
      </c>
      <c r="J311" s="23" t="s">
        <v>384</v>
      </c>
      <c r="K311" s="23" t="str">
        <f t="shared" si="7"/>
        <v>San Miguel, CO</v>
      </c>
      <c r="L311" s="24" t="str">
        <f>(((Colorado!C60-(vlookup(H311,'CO Data'!$A$207:$B$251,2,FALSE)))/Colorado!D60)+(vlookup(H311,'CO Data'!$A$207:$B$251,2,FALSE)))</f>
        <v>#VALUE!</v>
      </c>
      <c r="M311" s="161" t="str">
        <f>Colorado!H60/L311</f>
        <v>#VALUE!</v>
      </c>
    </row>
    <row r="312">
      <c r="A312" s="99">
        <v>311.0</v>
      </c>
      <c r="B312" s="15"/>
      <c r="C312" s="15"/>
      <c r="D312" s="105">
        <v>1.0</v>
      </c>
      <c r="E312" s="102">
        <v>8.0</v>
      </c>
      <c r="F312" s="107">
        <v>115.0</v>
      </c>
      <c r="G312" s="15" t="str">
        <f t="shared" si="1"/>
        <v>08115</v>
      </c>
      <c r="H312" s="23" t="s">
        <v>459</v>
      </c>
      <c r="I312" s="23" t="s">
        <v>36</v>
      </c>
      <c r="J312" s="23" t="s">
        <v>384</v>
      </c>
      <c r="K312" s="23" t="str">
        <f t="shared" si="7"/>
        <v>Sedgwick, CO</v>
      </c>
      <c r="L312" s="24" t="str">
        <f>(((Colorado!C61-(vlookup(H312,'CO Data'!$A$207:$B$251,2,FALSE)))/Colorado!D61)+(vlookup(H312,'CO Data'!$A$207:$B$251,2,FALSE)))</f>
        <v>#N/A</v>
      </c>
      <c r="M312" s="161" t="str">
        <f>Colorado!H61/L312</f>
        <v>#N/A</v>
      </c>
    </row>
    <row r="313">
      <c r="A313" s="99">
        <v>312.0</v>
      </c>
      <c r="B313" s="15"/>
      <c r="C313" s="15"/>
      <c r="D313" s="105">
        <v>1.0</v>
      </c>
      <c r="E313" s="102">
        <v>8.0</v>
      </c>
      <c r="F313" s="107">
        <v>117.0</v>
      </c>
      <c r="G313" s="15" t="str">
        <f t="shared" si="1"/>
        <v>08117</v>
      </c>
      <c r="H313" s="23" t="s">
        <v>461</v>
      </c>
      <c r="I313" s="23" t="s">
        <v>36</v>
      </c>
      <c r="J313" s="23" t="s">
        <v>384</v>
      </c>
      <c r="K313" s="23" t="str">
        <f t="shared" si="7"/>
        <v>Summit, CO</v>
      </c>
      <c r="L313" s="24" t="str">
        <f>(((Colorado!C62-(vlookup(H313,'CO Data'!$A$207:$B$251,2,FALSE)))/Colorado!D62)+(vlookup(H313,'CO Data'!$A$207:$B$251,2,FALSE)))</f>
        <v>#N/A</v>
      </c>
      <c r="M313" s="161" t="str">
        <f>Colorado!H62/L313</f>
        <v>#N/A</v>
      </c>
    </row>
    <row r="314">
      <c r="A314" s="99">
        <v>313.0</v>
      </c>
      <c r="B314" s="15"/>
      <c r="C314" s="15"/>
      <c r="D314" s="105">
        <v>1.0</v>
      </c>
      <c r="E314" s="102">
        <v>8.0</v>
      </c>
      <c r="F314" s="107">
        <v>119.0</v>
      </c>
      <c r="G314" s="15" t="str">
        <f t="shared" si="1"/>
        <v>08119</v>
      </c>
      <c r="H314" s="23" t="s">
        <v>462</v>
      </c>
      <c r="I314" s="23" t="s">
        <v>36</v>
      </c>
      <c r="J314" s="23" t="s">
        <v>384</v>
      </c>
      <c r="K314" s="23" t="str">
        <f t="shared" si="7"/>
        <v>Teller, CO</v>
      </c>
      <c r="L314" s="24" t="str">
        <f>(((Colorado!C63-(vlookup(H314,'CO Data'!$A$207:$B$251,2,FALSE)))/Colorado!D63)+(vlookup(H314,'CO Data'!$A$207:$B$251,2,FALSE)))</f>
        <v>#VALUE!</v>
      </c>
      <c r="M314" s="161" t="str">
        <f>Colorado!H63/L314</f>
        <v>#VALUE!</v>
      </c>
    </row>
    <row r="315">
      <c r="A315" s="99">
        <v>314.0</v>
      </c>
      <c r="B315" s="15"/>
      <c r="C315" s="15"/>
      <c r="D315" s="105">
        <v>1.0</v>
      </c>
      <c r="E315" s="102">
        <v>8.0</v>
      </c>
      <c r="F315" s="107">
        <v>121.0</v>
      </c>
      <c r="G315" s="15" t="str">
        <f t="shared" si="1"/>
        <v>08121</v>
      </c>
      <c r="H315" s="23" t="s">
        <v>119</v>
      </c>
      <c r="I315" s="23" t="s">
        <v>36</v>
      </c>
      <c r="J315" s="23" t="s">
        <v>384</v>
      </c>
      <c r="K315" s="23" t="str">
        <f t="shared" si="7"/>
        <v>Washington, CO</v>
      </c>
      <c r="L315" s="24" t="str">
        <f>(((Colorado!C64-(vlookup(H315,'CO Data'!$A$207:$B$251,2,FALSE)))/Colorado!D64)+(vlookup(H315,'CO Data'!$A$207:$B$251,2,FALSE)))</f>
        <v>#N/A</v>
      </c>
      <c r="M315" s="161" t="str">
        <f>Colorado!H64/L315</f>
        <v>#N/A</v>
      </c>
    </row>
    <row r="316">
      <c r="A316" s="99">
        <v>315.0</v>
      </c>
      <c r="B316" s="15"/>
      <c r="C316" s="15"/>
      <c r="D316" s="105">
        <v>1.0</v>
      </c>
      <c r="E316" s="102">
        <v>8.0</v>
      </c>
      <c r="F316" s="107">
        <v>123.0</v>
      </c>
      <c r="G316" s="15" t="str">
        <f t="shared" si="1"/>
        <v>08123</v>
      </c>
      <c r="H316" s="23" t="s">
        <v>463</v>
      </c>
      <c r="I316" s="23" t="s">
        <v>36</v>
      </c>
      <c r="J316" s="23" t="s">
        <v>384</v>
      </c>
      <c r="K316" s="23" t="str">
        <f t="shared" si="7"/>
        <v>Weld, CO</v>
      </c>
      <c r="L316" s="24">
        <f>(((Colorado!C65-(vlookup(H316,'CO Data'!$A$207:$B$251,2,FALSE)))/Colorado!D65)+(vlookup(H316,'CO Data'!$A$207:$B$251,2,FALSE)))</f>
        <v>69.66666667</v>
      </c>
      <c r="M316" s="161">
        <f>Colorado!H65/L316</f>
        <v>3.330143541</v>
      </c>
    </row>
    <row r="317">
      <c r="A317" s="99">
        <v>316.0</v>
      </c>
      <c r="B317" s="15"/>
      <c r="C317" s="15"/>
      <c r="D317" s="105">
        <v>1.0</v>
      </c>
      <c r="E317" s="102">
        <v>8.0</v>
      </c>
      <c r="F317" s="107">
        <v>125.0</v>
      </c>
      <c r="G317" s="15" t="str">
        <f t="shared" si="1"/>
        <v>08125</v>
      </c>
      <c r="H317" s="23" t="s">
        <v>236</v>
      </c>
      <c r="I317" s="23" t="s">
        <v>36</v>
      </c>
      <c r="J317" s="23" t="s">
        <v>384</v>
      </c>
      <c r="K317" s="23" t="str">
        <f t="shared" si="7"/>
        <v>Yuma, CO</v>
      </c>
      <c r="L317" s="24" t="str">
        <f>(((Colorado!C66-(vlookup(H317,'CO Data'!$A$207:$B$251,2,FALSE)))/Colorado!D66)+(vlookup(H317,'CO Data'!$A$207:$B$251,2,FALSE)))</f>
        <v>#N/A</v>
      </c>
      <c r="M317" s="161" t="str">
        <f>Colorado!H66/L317</f>
        <v>#N/A</v>
      </c>
    </row>
    <row r="318">
      <c r="A318" s="28">
        <v>317.0</v>
      </c>
      <c r="B318" s="29"/>
      <c r="C318" s="29" t="s">
        <v>25</v>
      </c>
      <c r="D318" s="30"/>
      <c r="E318" s="31">
        <v>9.0</v>
      </c>
      <c r="F318" s="42">
        <v>0.0</v>
      </c>
      <c r="G318" s="29" t="str">
        <f t="shared" si="1"/>
        <v>09000</v>
      </c>
      <c r="H318" s="37"/>
      <c r="I318" s="37" t="s">
        <v>37</v>
      </c>
      <c r="J318" s="37" t="s">
        <v>443</v>
      </c>
      <c r="K318" s="37"/>
      <c r="L318" s="24"/>
    </row>
    <row r="319">
      <c r="A319" s="28">
        <v>318.0</v>
      </c>
      <c r="B319" s="29"/>
      <c r="C319" s="29"/>
      <c r="D319" s="40">
        <v>1.0</v>
      </c>
      <c r="E319" s="31">
        <v>9.0</v>
      </c>
      <c r="F319" s="42">
        <v>1.0</v>
      </c>
      <c r="G319" s="29" t="str">
        <f t="shared" si="1"/>
        <v>09001</v>
      </c>
      <c r="H319" s="37" t="s">
        <v>442</v>
      </c>
      <c r="I319" s="37" t="s">
        <v>37</v>
      </c>
      <c r="J319" s="37" t="s">
        <v>443</v>
      </c>
      <c r="K319" s="37" t="str">
        <f t="shared" ref="K319:K326" si="8">CONCATENATE(H319,", ",J319)</f>
        <v>Fairfield, CT</v>
      </c>
      <c r="L319" s="24"/>
    </row>
    <row r="320">
      <c r="A320" s="28">
        <v>319.0</v>
      </c>
      <c r="B320" s="29"/>
      <c r="C320" s="29"/>
      <c r="D320" s="40">
        <v>1.0</v>
      </c>
      <c r="E320" s="31">
        <v>9.0</v>
      </c>
      <c r="F320" s="42">
        <v>3.0</v>
      </c>
      <c r="G320" s="29" t="str">
        <f t="shared" si="1"/>
        <v>09003</v>
      </c>
      <c r="H320" s="37" t="s">
        <v>466</v>
      </c>
      <c r="I320" s="37" t="s">
        <v>37</v>
      </c>
      <c r="J320" s="37" t="s">
        <v>443</v>
      </c>
      <c r="K320" s="37" t="str">
        <f t="shared" si="8"/>
        <v>Hartford, CT</v>
      </c>
      <c r="L320" s="24"/>
    </row>
    <row r="321">
      <c r="A321" s="28">
        <v>320.0</v>
      </c>
      <c r="B321" s="29"/>
      <c r="C321" s="29"/>
      <c r="D321" s="40">
        <v>1.0</v>
      </c>
      <c r="E321" s="31">
        <v>9.0</v>
      </c>
      <c r="F321" s="42">
        <v>5.0</v>
      </c>
      <c r="G321" s="29" t="str">
        <f t="shared" si="1"/>
        <v>09005</v>
      </c>
      <c r="H321" s="37" t="s">
        <v>467</v>
      </c>
      <c r="I321" s="37" t="s">
        <v>37</v>
      </c>
      <c r="J321" s="37" t="s">
        <v>443</v>
      </c>
      <c r="K321" s="37" t="str">
        <f t="shared" si="8"/>
        <v>Litchfield, CT</v>
      </c>
      <c r="L321" s="24"/>
    </row>
    <row r="322">
      <c r="A322" s="28">
        <v>321.0</v>
      </c>
      <c r="B322" s="29"/>
      <c r="C322" s="29"/>
      <c r="D322" s="40">
        <v>1.0</v>
      </c>
      <c r="E322" s="31">
        <v>9.0</v>
      </c>
      <c r="F322" s="42">
        <v>7.0</v>
      </c>
      <c r="G322" s="29" t="str">
        <f t="shared" si="1"/>
        <v>09007</v>
      </c>
      <c r="H322" s="37" t="s">
        <v>281</v>
      </c>
      <c r="I322" s="37" t="s">
        <v>37</v>
      </c>
      <c r="J322" s="37" t="s">
        <v>443</v>
      </c>
      <c r="K322" s="37" t="str">
        <f t="shared" si="8"/>
        <v>Middlesex, CT</v>
      </c>
      <c r="L322" s="24"/>
    </row>
    <row r="323">
      <c r="A323" s="28">
        <v>322.0</v>
      </c>
      <c r="B323" s="29"/>
      <c r="C323" s="29"/>
      <c r="D323" s="40">
        <v>1.0</v>
      </c>
      <c r="E323" s="31">
        <v>9.0</v>
      </c>
      <c r="F323" s="42">
        <v>9.0</v>
      </c>
      <c r="G323" s="29" t="str">
        <f t="shared" si="1"/>
        <v>09009</v>
      </c>
      <c r="H323" s="37" t="s">
        <v>468</v>
      </c>
      <c r="I323" s="37" t="s">
        <v>37</v>
      </c>
      <c r="J323" s="37" t="s">
        <v>443</v>
      </c>
      <c r="K323" s="37" t="str">
        <f t="shared" si="8"/>
        <v>New Haven, CT</v>
      </c>
      <c r="L323" s="24"/>
    </row>
    <row r="324">
      <c r="A324" s="28">
        <v>323.0</v>
      </c>
      <c r="B324" s="29"/>
      <c r="C324" s="29"/>
      <c r="D324" s="40">
        <v>1.0</v>
      </c>
      <c r="E324" s="31">
        <v>9.0</v>
      </c>
      <c r="F324" s="42">
        <v>11.0</v>
      </c>
      <c r="G324" s="29" t="str">
        <f t="shared" si="1"/>
        <v>09011</v>
      </c>
      <c r="H324" s="37" t="s">
        <v>469</v>
      </c>
      <c r="I324" s="37" t="s">
        <v>37</v>
      </c>
      <c r="J324" s="37" t="s">
        <v>443</v>
      </c>
      <c r="K324" s="136" t="str">
        <f t="shared" si="8"/>
        <v>New London, CT</v>
      </c>
      <c r="L324" s="24"/>
    </row>
    <row r="325">
      <c r="A325" s="28">
        <v>324.0</v>
      </c>
      <c r="B325" s="29"/>
      <c r="C325" s="29"/>
      <c r="D325" s="40">
        <v>1.0</v>
      </c>
      <c r="E325" s="31">
        <v>9.0</v>
      </c>
      <c r="F325" s="42">
        <v>13.0</v>
      </c>
      <c r="G325" s="29" t="str">
        <f t="shared" si="1"/>
        <v>09013</v>
      </c>
      <c r="H325" s="37" t="s">
        <v>470</v>
      </c>
      <c r="I325" s="37" t="s">
        <v>37</v>
      </c>
      <c r="J325" s="37" t="s">
        <v>443</v>
      </c>
      <c r="K325" s="37" t="str">
        <f t="shared" si="8"/>
        <v>Tolland, CT</v>
      </c>
      <c r="L325" s="24"/>
    </row>
    <row r="326">
      <c r="A326" s="28">
        <v>325.0</v>
      </c>
      <c r="B326" s="29"/>
      <c r="C326" s="29"/>
      <c r="D326" s="40">
        <v>1.0</v>
      </c>
      <c r="E326" s="31">
        <v>9.0</v>
      </c>
      <c r="F326" s="42">
        <v>15.0</v>
      </c>
      <c r="G326" s="29" t="str">
        <f t="shared" si="1"/>
        <v>09015</v>
      </c>
      <c r="H326" s="37" t="s">
        <v>471</v>
      </c>
      <c r="I326" s="37" t="s">
        <v>37</v>
      </c>
      <c r="J326" s="37" t="s">
        <v>443</v>
      </c>
      <c r="K326" s="37" t="str">
        <f t="shared" si="8"/>
        <v>Windham, CT</v>
      </c>
      <c r="L326" s="24"/>
    </row>
    <row r="327">
      <c r="A327" s="99">
        <v>326.0</v>
      </c>
      <c r="B327" s="15"/>
      <c r="C327" s="14" t="s">
        <v>25</v>
      </c>
      <c r="D327" s="16"/>
      <c r="E327" s="102">
        <v>10.0</v>
      </c>
      <c r="F327" s="107">
        <v>0.0</v>
      </c>
      <c r="G327" s="15" t="str">
        <f t="shared" si="1"/>
        <v>10000</v>
      </c>
      <c r="H327" s="23"/>
      <c r="I327" s="23" t="s">
        <v>40</v>
      </c>
      <c r="J327" s="23" t="s">
        <v>472</v>
      </c>
      <c r="K327" s="23"/>
      <c r="L327" s="24"/>
    </row>
    <row r="328">
      <c r="A328" s="99">
        <v>327.0</v>
      </c>
      <c r="B328" s="15"/>
      <c r="C328" s="15"/>
      <c r="D328" s="105">
        <v>1.0</v>
      </c>
      <c r="E328" s="102">
        <v>10.0</v>
      </c>
      <c r="F328" s="107">
        <v>1.0</v>
      </c>
      <c r="G328" s="15" t="str">
        <f t="shared" si="1"/>
        <v>10001</v>
      </c>
      <c r="H328" s="23" t="s">
        <v>474</v>
      </c>
      <c r="I328" s="23" t="s">
        <v>40</v>
      </c>
      <c r="J328" s="23" t="s">
        <v>472</v>
      </c>
      <c r="K328" s="23" t="str">
        <f t="shared" ref="K328:K331" si="9">CONCATENATE(H328,", ",J328)</f>
        <v>Kent, DE</v>
      </c>
      <c r="L328" s="24"/>
    </row>
    <row r="329">
      <c r="A329" s="99">
        <v>328.0</v>
      </c>
      <c r="B329" s="15"/>
      <c r="C329" s="15"/>
      <c r="D329" s="105">
        <v>1.0</v>
      </c>
      <c r="E329" s="102">
        <v>10.0</v>
      </c>
      <c r="F329" s="107">
        <v>3.0</v>
      </c>
      <c r="G329" s="15" t="str">
        <f t="shared" si="1"/>
        <v>10003</v>
      </c>
      <c r="H329" s="23" t="s">
        <v>475</v>
      </c>
      <c r="I329" s="23" t="s">
        <v>40</v>
      </c>
      <c r="J329" s="23" t="s">
        <v>472</v>
      </c>
      <c r="K329" s="23" t="str">
        <f t="shared" si="9"/>
        <v>New Castle, DE</v>
      </c>
      <c r="L329" s="24"/>
    </row>
    <row r="330">
      <c r="A330" s="99">
        <v>329.0</v>
      </c>
      <c r="B330" s="15"/>
      <c r="C330" s="15"/>
      <c r="D330" s="105">
        <v>1.0</v>
      </c>
      <c r="E330" s="102">
        <v>10.0</v>
      </c>
      <c r="F330" s="107">
        <v>5.0</v>
      </c>
      <c r="G330" s="15" t="str">
        <f t="shared" si="1"/>
        <v>10005</v>
      </c>
      <c r="H330" s="23" t="s">
        <v>476</v>
      </c>
      <c r="I330" s="23" t="s">
        <v>40</v>
      </c>
      <c r="J330" s="23" t="s">
        <v>472</v>
      </c>
      <c r="K330" s="23" t="str">
        <f t="shared" si="9"/>
        <v>Sussex, DE</v>
      </c>
      <c r="L330" s="24"/>
    </row>
    <row r="331">
      <c r="A331" s="28">
        <v>330.0</v>
      </c>
      <c r="B331" s="29"/>
      <c r="C331" s="29" t="s">
        <v>25</v>
      </c>
      <c r="D331" s="30"/>
      <c r="E331" s="31">
        <v>11.0</v>
      </c>
      <c r="F331" s="42">
        <v>1.0</v>
      </c>
      <c r="G331" s="29" t="str">
        <f t="shared" si="1"/>
        <v>11001</v>
      </c>
      <c r="H331" s="37" t="s">
        <v>39</v>
      </c>
      <c r="I331" s="37" t="s">
        <v>39</v>
      </c>
      <c r="J331" s="37" t="s">
        <v>477</v>
      </c>
      <c r="K331" s="136" t="str">
        <f t="shared" si="9"/>
        <v>District of Columbia, DC</v>
      </c>
      <c r="L331" s="24"/>
    </row>
    <row r="332">
      <c r="A332" s="99">
        <v>331.0</v>
      </c>
      <c r="B332" s="15"/>
      <c r="C332" s="14" t="s">
        <v>25</v>
      </c>
      <c r="D332" s="16"/>
      <c r="E332" s="102">
        <v>12.0</v>
      </c>
      <c r="F332" s="107">
        <v>0.0</v>
      </c>
      <c r="G332" s="15" t="str">
        <f t="shared" si="1"/>
        <v>12000</v>
      </c>
      <c r="H332" s="23"/>
      <c r="I332" s="23" t="s">
        <v>42</v>
      </c>
      <c r="J332" s="23" t="s">
        <v>245</v>
      </c>
      <c r="K332" s="23"/>
      <c r="L332" s="24"/>
    </row>
    <row r="333">
      <c r="A333" s="99">
        <v>332.0</v>
      </c>
      <c r="B333" s="15"/>
      <c r="C333" s="15"/>
      <c r="D333" s="105">
        <v>1.0</v>
      </c>
      <c r="E333" s="102">
        <v>12.0</v>
      </c>
      <c r="F333" s="107">
        <v>1.0</v>
      </c>
      <c r="G333" s="15" t="str">
        <f t="shared" si="1"/>
        <v>12001</v>
      </c>
      <c r="H333" s="23" t="s">
        <v>479</v>
      </c>
      <c r="I333" s="23" t="s">
        <v>42</v>
      </c>
      <c r="J333" s="23" t="s">
        <v>245</v>
      </c>
      <c r="K333" s="23" t="str">
        <f t="shared" ref="K333:K399" si="10">CONCATENATE(H333,", ",J333)</f>
        <v>Alachua, FL</v>
      </c>
      <c r="L333" s="24"/>
    </row>
    <row r="334">
      <c r="A334" s="99">
        <v>333.0</v>
      </c>
      <c r="B334" s="15"/>
      <c r="C334" s="15"/>
      <c r="D334" s="105">
        <v>1.0</v>
      </c>
      <c r="E334" s="102">
        <v>12.0</v>
      </c>
      <c r="F334" s="107">
        <v>3.0</v>
      </c>
      <c r="G334" s="15" t="str">
        <f t="shared" si="1"/>
        <v>12003</v>
      </c>
      <c r="H334" s="23" t="s">
        <v>481</v>
      </c>
      <c r="I334" s="23" t="s">
        <v>42</v>
      </c>
      <c r="J334" s="23" t="s">
        <v>245</v>
      </c>
      <c r="K334" s="23" t="str">
        <f t="shared" si="10"/>
        <v>Baker, FL</v>
      </c>
      <c r="L334" s="24"/>
    </row>
    <row r="335">
      <c r="A335" s="99">
        <v>334.0</v>
      </c>
      <c r="B335" s="15"/>
      <c r="C335" s="15"/>
      <c r="D335" s="105">
        <v>1.0</v>
      </c>
      <c r="E335" s="102">
        <v>12.0</v>
      </c>
      <c r="F335" s="107">
        <v>5.0</v>
      </c>
      <c r="G335" s="15" t="str">
        <f t="shared" si="1"/>
        <v>12005</v>
      </c>
      <c r="H335" s="23" t="s">
        <v>482</v>
      </c>
      <c r="I335" s="23" t="s">
        <v>42</v>
      </c>
      <c r="J335" s="23" t="s">
        <v>245</v>
      </c>
      <c r="K335" s="23" t="str">
        <f t="shared" si="10"/>
        <v>Bay, FL</v>
      </c>
      <c r="L335" s="24"/>
    </row>
    <row r="336">
      <c r="A336" s="99">
        <v>335.0</v>
      </c>
      <c r="B336" s="15"/>
      <c r="C336" s="15"/>
      <c r="D336" s="105">
        <v>1.0</v>
      </c>
      <c r="E336" s="102">
        <v>12.0</v>
      </c>
      <c r="F336" s="107">
        <v>7.0</v>
      </c>
      <c r="G336" s="15" t="str">
        <f t="shared" si="1"/>
        <v>12007</v>
      </c>
      <c r="H336" s="23" t="s">
        <v>483</v>
      </c>
      <c r="I336" s="23" t="s">
        <v>42</v>
      </c>
      <c r="J336" s="23" t="s">
        <v>245</v>
      </c>
      <c r="K336" s="23" t="str">
        <f t="shared" si="10"/>
        <v>Bradford, FL</v>
      </c>
      <c r="L336" s="24"/>
    </row>
    <row r="337">
      <c r="A337" s="99">
        <v>336.0</v>
      </c>
      <c r="B337" s="15"/>
      <c r="C337" s="15"/>
      <c r="D337" s="105">
        <v>1.0</v>
      </c>
      <c r="E337" s="102">
        <v>12.0</v>
      </c>
      <c r="F337" s="107">
        <v>9.0</v>
      </c>
      <c r="G337" s="15" t="str">
        <f t="shared" si="1"/>
        <v>12009</v>
      </c>
      <c r="H337" s="23" t="s">
        <v>484</v>
      </c>
      <c r="I337" s="23" t="s">
        <v>42</v>
      </c>
      <c r="J337" s="23" t="s">
        <v>245</v>
      </c>
      <c r="K337" s="23" t="str">
        <f t="shared" si="10"/>
        <v>Brevard, FL</v>
      </c>
      <c r="L337" s="24"/>
    </row>
    <row r="338">
      <c r="A338" s="99">
        <v>337.0</v>
      </c>
      <c r="B338" s="15"/>
      <c r="C338" s="15"/>
      <c r="D338" s="105">
        <v>1.0</v>
      </c>
      <c r="E338" s="102">
        <v>12.0</v>
      </c>
      <c r="F338" s="107">
        <v>11.0</v>
      </c>
      <c r="G338" s="15" t="str">
        <f t="shared" si="1"/>
        <v>12011</v>
      </c>
      <c r="H338" s="23" t="s">
        <v>269</v>
      </c>
      <c r="I338" s="23" t="s">
        <v>42</v>
      </c>
      <c r="J338" s="23" t="s">
        <v>245</v>
      </c>
      <c r="K338" s="23" t="str">
        <f t="shared" si="10"/>
        <v>Broward, FL</v>
      </c>
      <c r="L338" s="24"/>
    </row>
    <row r="339">
      <c r="A339" s="99">
        <v>338.0</v>
      </c>
      <c r="B339" s="15"/>
      <c r="C339" s="15"/>
      <c r="D339" s="105">
        <v>1.0</v>
      </c>
      <c r="E339" s="102">
        <v>12.0</v>
      </c>
      <c r="F339" s="107">
        <v>13.0</v>
      </c>
      <c r="G339" s="15" t="str">
        <f t="shared" si="1"/>
        <v>12013</v>
      </c>
      <c r="H339" s="23" t="s">
        <v>93</v>
      </c>
      <c r="I339" s="23" t="s">
        <v>42</v>
      </c>
      <c r="J339" s="23" t="s">
        <v>245</v>
      </c>
      <c r="K339" s="23" t="str">
        <f t="shared" si="10"/>
        <v>Calhoun, FL</v>
      </c>
      <c r="L339" s="24"/>
    </row>
    <row r="340">
      <c r="A340" s="99">
        <v>339.0</v>
      </c>
      <c r="B340" s="15"/>
      <c r="C340" s="15"/>
      <c r="D340" s="105">
        <v>1.0</v>
      </c>
      <c r="E340" s="102">
        <v>12.0</v>
      </c>
      <c r="F340" s="107">
        <v>15.0</v>
      </c>
      <c r="G340" s="15" t="str">
        <f t="shared" si="1"/>
        <v>12015</v>
      </c>
      <c r="H340" s="23" t="s">
        <v>486</v>
      </c>
      <c r="I340" s="23" t="s">
        <v>42</v>
      </c>
      <c r="J340" s="23" t="s">
        <v>245</v>
      </c>
      <c r="K340" s="23" t="str">
        <f t="shared" si="10"/>
        <v>Charlotte, FL</v>
      </c>
      <c r="L340" s="24"/>
    </row>
    <row r="341">
      <c r="A341" s="99">
        <v>340.0</v>
      </c>
      <c r="B341" s="15"/>
      <c r="C341" s="15"/>
      <c r="D341" s="105">
        <v>1.0</v>
      </c>
      <c r="E341" s="102">
        <v>12.0</v>
      </c>
      <c r="F341" s="107">
        <v>17.0</v>
      </c>
      <c r="G341" s="15" t="str">
        <f t="shared" si="1"/>
        <v>12017</v>
      </c>
      <c r="H341" s="23" t="s">
        <v>487</v>
      </c>
      <c r="I341" s="23" t="s">
        <v>42</v>
      </c>
      <c r="J341" s="23" t="s">
        <v>245</v>
      </c>
      <c r="K341" s="23" t="str">
        <f t="shared" si="10"/>
        <v>Citrus, FL</v>
      </c>
      <c r="L341" s="24"/>
    </row>
    <row r="342">
      <c r="A342" s="99">
        <v>341.0</v>
      </c>
      <c r="B342" s="15"/>
      <c r="C342" s="15"/>
      <c r="D342" s="105">
        <v>1.0</v>
      </c>
      <c r="E342" s="102">
        <v>12.0</v>
      </c>
      <c r="F342" s="107">
        <v>19.0</v>
      </c>
      <c r="G342" s="15" t="str">
        <f t="shared" si="1"/>
        <v>12019</v>
      </c>
      <c r="H342" s="23" t="s">
        <v>112</v>
      </c>
      <c r="I342" s="23" t="s">
        <v>42</v>
      </c>
      <c r="J342" s="23" t="s">
        <v>245</v>
      </c>
      <c r="K342" s="23" t="str">
        <f t="shared" si="10"/>
        <v>Clay, FL</v>
      </c>
      <c r="L342" s="24"/>
    </row>
    <row r="343">
      <c r="A343" s="99">
        <v>342.0</v>
      </c>
      <c r="B343" s="15"/>
      <c r="C343" s="15"/>
      <c r="D343" s="105">
        <v>1.0</v>
      </c>
      <c r="E343" s="102">
        <v>12.0</v>
      </c>
      <c r="F343" s="107">
        <v>21.0</v>
      </c>
      <c r="G343" s="15" t="str">
        <f t="shared" si="1"/>
        <v>12021</v>
      </c>
      <c r="H343" s="23" t="s">
        <v>488</v>
      </c>
      <c r="I343" s="23" t="s">
        <v>42</v>
      </c>
      <c r="J343" s="23" t="s">
        <v>245</v>
      </c>
      <c r="K343" s="23" t="str">
        <f t="shared" si="10"/>
        <v>Collier, FL</v>
      </c>
      <c r="L343" s="24"/>
    </row>
    <row r="344">
      <c r="A344" s="99">
        <v>343.0</v>
      </c>
      <c r="B344" s="15"/>
      <c r="C344" s="15"/>
      <c r="D344" s="105">
        <v>1.0</v>
      </c>
      <c r="E344" s="102">
        <v>12.0</v>
      </c>
      <c r="F344" s="107">
        <v>23.0</v>
      </c>
      <c r="G344" s="15" t="str">
        <f t="shared" si="1"/>
        <v>12023</v>
      </c>
      <c r="H344" s="23" t="s">
        <v>258</v>
      </c>
      <c r="I344" s="23" t="s">
        <v>42</v>
      </c>
      <c r="J344" s="23" t="s">
        <v>245</v>
      </c>
      <c r="K344" s="23" t="str">
        <f t="shared" si="10"/>
        <v>Columbia, FL</v>
      </c>
      <c r="L344" s="24"/>
    </row>
    <row r="345">
      <c r="A345" s="99">
        <v>344.0</v>
      </c>
      <c r="B345" s="15"/>
      <c r="C345" s="15"/>
      <c r="D345" s="105">
        <v>1.0</v>
      </c>
      <c r="E345" s="102">
        <v>12.0</v>
      </c>
      <c r="F345" s="107">
        <v>27.0</v>
      </c>
      <c r="G345" s="15" t="str">
        <f t="shared" si="1"/>
        <v>12027</v>
      </c>
      <c r="H345" s="23" t="s">
        <v>489</v>
      </c>
      <c r="I345" s="23" t="s">
        <v>42</v>
      </c>
      <c r="J345" s="23" t="s">
        <v>245</v>
      </c>
      <c r="K345" s="23" t="str">
        <f t="shared" si="10"/>
        <v>De Soto, FL</v>
      </c>
      <c r="L345" s="24"/>
    </row>
    <row r="346">
      <c r="A346" s="99">
        <v>345.0</v>
      </c>
      <c r="B346" s="15"/>
      <c r="C346" s="15"/>
      <c r="D346" s="105">
        <v>1.0</v>
      </c>
      <c r="E346" s="102">
        <v>12.0</v>
      </c>
      <c r="F346" s="107">
        <v>29.0</v>
      </c>
      <c r="G346" s="15" t="str">
        <f t="shared" si="1"/>
        <v>12029</v>
      </c>
      <c r="H346" s="23" t="s">
        <v>490</v>
      </c>
      <c r="I346" s="23" t="s">
        <v>42</v>
      </c>
      <c r="J346" s="23" t="s">
        <v>245</v>
      </c>
      <c r="K346" s="23" t="str">
        <f t="shared" si="10"/>
        <v>Dixie, FL</v>
      </c>
      <c r="L346" s="24"/>
    </row>
    <row r="347">
      <c r="A347" s="99">
        <v>346.0</v>
      </c>
      <c r="B347" s="15"/>
      <c r="C347" s="15"/>
      <c r="D347" s="105">
        <v>1.0</v>
      </c>
      <c r="E347" s="102">
        <v>12.0</v>
      </c>
      <c r="F347" s="107">
        <v>31.0</v>
      </c>
      <c r="G347" s="15" t="str">
        <f t="shared" si="1"/>
        <v>12031</v>
      </c>
      <c r="H347" s="23" t="s">
        <v>433</v>
      </c>
      <c r="I347" s="23" t="s">
        <v>42</v>
      </c>
      <c r="J347" s="23" t="s">
        <v>245</v>
      </c>
      <c r="K347" s="23" t="str">
        <f t="shared" si="10"/>
        <v>Duval, FL</v>
      </c>
      <c r="L347" s="24"/>
    </row>
    <row r="348">
      <c r="A348" s="99">
        <v>347.0</v>
      </c>
      <c r="B348" s="15"/>
      <c r="C348" s="15"/>
      <c r="D348" s="105">
        <v>1.0</v>
      </c>
      <c r="E348" s="102">
        <v>12.0</v>
      </c>
      <c r="F348" s="107">
        <v>33.0</v>
      </c>
      <c r="G348" s="15" t="str">
        <f t="shared" si="1"/>
        <v>12033</v>
      </c>
      <c r="H348" s="23" t="s">
        <v>133</v>
      </c>
      <c r="I348" s="23" t="s">
        <v>42</v>
      </c>
      <c r="J348" s="23" t="s">
        <v>245</v>
      </c>
      <c r="K348" s="23" t="str">
        <f t="shared" si="10"/>
        <v>Escambia, FL</v>
      </c>
      <c r="L348" s="24"/>
    </row>
    <row r="349">
      <c r="A349" s="99">
        <v>348.0</v>
      </c>
      <c r="B349" s="15"/>
      <c r="C349" s="15"/>
      <c r="D349" s="105">
        <v>1.0</v>
      </c>
      <c r="E349" s="102">
        <v>12.0</v>
      </c>
      <c r="F349" s="107">
        <v>35.0</v>
      </c>
      <c r="G349" s="15" t="str">
        <f t="shared" si="1"/>
        <v>12035</v>
      </c>
      <c r="H349" s="23" t="s">
        <v>491</v>
      </c>
      <c r="I349" s="23" t="s">
        <v>42</v>
      </c>
      <c r="J349" s="23" t="s">
        <v>245</v>
      </c>
      <c r="K349" s="23" t="str">
        <f t="shared" si="10"/>
        <v>Flagler, FL</v>
      </c>
      <c r="L349" s="24"/>
    </row>
    <row r="350">
      <c r="A350" s="99">
        <v>349.0</v>
      </c>
      <c r="B350" s="15"/>
      <c r="C350" s="15"/>
      <c r="D350" s="105">
        <v>1.0</v>
      </c>
      <c r="E350" s="102">
        <v>12.0</v>
      </c>
      <c r="F350" s="107">
        <v>37.0</v>
      </c>
      <c r="G350" s="15" t="str">
        <f t="shared" si="1"/>
        <v>12037</v>
      </c>
      <c r="H350" s="23" t="s">
        <v>136</v>
      </c>
      <c r="I350" s="23" t="s">
        <v>42</v>
      </c>
      <c r="J350" s="23" t="s">
        <v>245</v>
      </c>
      <c r="K350" s="23" t="str">
        <f t="shared" si="10"/>
        <v>Franklin, FL</v>
      </c>
      <c r="L350" s="24"/>
    </row>
    <row r="351">
      <c r="A351" s="99">
        <v>350.0</v>
      </c>
      <c r="B351" s="15"/>
      <c r="C351" s="15"/>
      <c r="D351" s="105">
        <v>1.0</v>
      </c>
      <c r="E351" s="102">
        <v>12.0</v>
      </c>
      <c r="F351" s="107">
        <v>39.0</v>
      </c>
      <c r="G351" s="15" t="str">
        <f t="shared" si="1"/>
        <v>12039</v>
      </c>
      <c r="H351" s="23" t="s">
        <v>493</v>
      </c>
      <c r="I351" s="23" t="s">
        <v>42</v>
      </c>
      <c r="J351" s="23" t="s">
        <v>245</v>
      </c>
      <c r="K351" s="23" t="str">
        <f t="shared" si="10"/>
        <v>Gadsden, FL</v>
      </c>
      <c r="L351" s="24"/>
    </row>
    <row r="352">
      <c r="A352" s="99">
        <v>351.0</v>
      </c>
      <c r="B352" s="15"/>
      <c r="C352" s="15"/>
      <c r="D352" s="105">
        <v>1.0</v>
      </c>
      <c r="E352" s="102">
        <v>12.0</v>
      </c>
      <c r="F352" s="107">
        <v>41.0</v>
      </c>
      <c r="G352" s="15" t="str">
        <f t="shared" si="1"/>
        <v>12041</v>
      </c>
      <c r="H352" s="23" t="s">
        <v>494</v>
      </c>
      <c r="I352" s="23" t="s">
        <v>42</v>
      </c>
      <c r="J352" s="23" t="s">
        <v>245</v>
      </c>
      <c r="K352" s="23" t="str">
        <f t="shared" si="10"/>
        <v>Gilchrist, FL</v>
      </c>
      <c r="L352" s="24"/>
    </row>
    <row r="353">
      <c r="A353" s="99">
        <v>352.0</v>
      </c>
      <c r="B353" s="15"/>
      <c r="C353" s="15"/>
      <c r="D353" s="105">
        <v>1.0</v>
      </c>
      <c r="E353" s="102">
        <v>12.0</v>
      </c>
      <c r="F353" s="107">
        <v>43.0</v>
      </c>
      <c r="G353" s="15" t="str">
        <f t="shared" si="1"/>
        <v>12043</v>
      </c>
      <c r="H353" s="23" t="s">
        <v>495</v>
      </c>
      <c r="I353" s="23" t="s">
        <v>42</v>
      </c>
      <c r="J353" s="23" t="s">
        <v>245</v>
      </c>
      <c r="K353" s="23" t="str">
        <f t="shared" si="10"/>
        <v>Glades, FL</v>
      </c>
      <c r="L353" s="24"/>
    </row>
    <row r="354">
      <c r="A354" s="99">
        <v>353.0</v>
      </c>
      <c r="B354" s="15"/>
      <c r="C354" s="15"/>
      <c r="D354" s="105">
        <v>1.0</v>
      </c>
      <c r="E354" s="102">
        <v>12.0</v>
      </c>
      <c r="F354" s="107">
        <v>45.0</v>
      </c>
      <c r="G354" s="15" t="str">
        <f t="shared" si="1"/>
        <v>12045</v>
      </c>
      <c r="H354" s="23" t="s">
        <v>496</v>
      </c>
      <c r="I354" s="23" t="s">
        <v>42</v>
      </c>
      <c r="J354" s="23" t="s">
        <v>245</v>
      </c>
      <c r="K354" s="23" t="str">
        <f t="shared" si="10"/>
        <v>Gulf, FL</v>
      </c>
      <c r="L354" s="24"/>
    </row>
    <row r="355">
      <c r="A355" s="99">
        <v>354.0</v>
      </c>
      <c r="B355" s="15"/>
      <c r="C355" s="15"/>
      <c r="D355" s="105">
        <v>1.0</v>
      </c>
      <c r="E355" s="102">
        <v>12.0</v>
      </c>
      <c r="F355" s="107">
        <v>47.0</v>
      </c>
      <c r="G355" s="15" t="str">
        <f t="shared" si="1"/>
        <v>12047</v>
      </c>
      <c r="H355" s="23" t="s">
        <v>497</v>
      </c>
      <c r="I355" s="23" t="s">
        <v>42</v>
      </c>
      <c r="J355" s="23" t="s">
        <v>245</v>
      </c>
      <c r="K355" s="23" t="str">
        <f t="shared" si="10"/>
        <v>Hamilton, FL</v>
      </c>
      <c r="L355" s="24"/>
    </row>
    <row r="356">
      <c r="A356" s="99">
        <v>355.0</v>
      </c>
      <c r="B356" s="15"/>
      <c r="C356" s="15"/>
      <c r="D356" s="105">
        <v>1.0</v>
      </c>
      <c r="E356" s="102">
        <v>12.0</v>
      </c>
      <c r="F356" s="107">
        <v>49.0</v>
      </c>
      <c r="G356" s="15" t="str">
        <f t="shared" si="1"/>
        <v>12049</v>
      </c>
      <c r="H356" s="23" t="s">
        <v>498</v>
      </c>
      <c r="I356" s="23" t="s">
        <v>42</v>
      </c>
      <c r="J356" s="23" t="s">
        <v>245</v>
      </c>
      <c r="K356" s="23" t="str">
        <f t="shared" si="10"/>
        <v>Hardee, FL</v>
      </c>
      <c r="L356" s="24"/>
    </row>
    <row r="357">
      <c r="A357" s="99">
        <v>356.0</v>
      </c>
      <c r="B357" s="15"/>
      <c r="C357" s="15"/>
      <c r="D357" s="105">
        <v>1.0</v>
      </c>
      <c r="E357" s="102">
        <v>12.0</v>
      </c>
      <c r="F357" s="107">
        <v>51.0</v>
      </c>
      <c r="G357" s="15" t="str">
        <f t="shared" si="1"/>
        <v>12051</v>
      </c>
      <c r="H357" s="23" t="s">
        <v>499</v>
      </c>
      <c r="I357" s="23" t="s">
        <v>42</v>
      </c>
      <c r="J357" s="23" t="s">
        <v>245</v>
      </c>
      <c r="K357" s="23" t="str">
        <f t="shared" si="10"/>
        <v>Hendry, FL</v>
      </c>
      <c r="L357" s="24"/>
    </row>
    <row r="358">
      <c r="A358" s="99">
        <v>357.0</v>
      </c>
      <c r="B358" s="15"/>
      <c r="C358" s="15"/>
      <c r="D358" s="105">
        <v>1.0</v>
      </c>
      <c r="E358" s="102">
        <v>12.0</v>
      </c>
      <c r="F358" s="107">
        <v>53.0</v>
      </c>
      <c r="G358" s="15" t="str">
        <f t="shared" si="1"/>
        <v>12053</v>
      </c>
      <c r="H358" s="23" t="s">
        <v>500</v>
      </c>
      <c r="I358" s="23" t="s">
        <v>42</v>
      </c>
      <c r="J358" s="23" t="s">
        <v>245</v>
      </c>
      <c r="K358" s="23" t="str">
        <f t="shared" si="10"/>
        <v>Hernando, FL</v>
      </c>
      <c r="L358" s="24"/>
    </row>
    <row r="359">
      <c r="A359" s="99">
        <v>358.0</v>
      </c>
      <c r="B359" s="15"/>
      <c r="C359" s="15"/>
      <c r="D359" s="105">
        <v>1.0</v>
      </c>
      <c r="E359" s="102">
        <v>12.0</v>
      </c>
      <c r="F359" s="107">
        <v>55.0</v>
      </c>
      <c r="G359" s="15" t="str">
        <f t="shared" si="1"/>
        <v>12055</v>
      </c>
      <c r="H359" s="23" t="s">
        <v>501</v>
      </c>
      <c r="I359" s="23" t="s">
        <v>42</v>
      </c>
      <c r="J359" s="23" t="s">
        <v>245</v>
      </c>
      <c r="K359" s="23" t="str">
        <f t="shared" si="10"/>
        <v>Highlands, FL</v>
      </c>
      <c r="L359" s="24"/>
    </row>
    <row r="360">
      <c r="A360" s="99">
        <v>359.0</v>
      </c>
      <c r="B360" s="15"/>
      <c r="C360" s="15"/>
      <c r="D360" s="105">
        <v>1.0</v>
      </c>
      <c r="E360" s="102">
        <v>12.0</v>
      </c>
      <c r="F360" s="107">
        <v>57.0</v>
      </c>
      <c r="G360" s="15" t="str">
        <f t="shared" si="1"/>
        <v>12057</v>
      </c>
      <c r="H360" s="23" t="s">
        <v>306</v>
      </c>
      <c r="I360" s="23" t="s">
        <v>42</v>
      </c>
      <c r="J360" s="23" t="s">
        <v>245</v>
      </c>
      <c r="K360" s="23" t="str">
        <f t="shared" si="10"/>
        <v>Hillsborough, FL</v>
      </c>
      <c r="L360" s="24"/>
    </row>
    <row r="361">
      <c r="A361" s="99">
        <v>360.0</v>
      </c>
      <c r="B361" s="15"/>
      <c r="C361" s="15"/>
      <c r="D361" s="105">
        <v>1.0</v>
      </c>
      <c r="E361" s="102">
        <v>12.0</v>
      </c>
      <c r="F361" s="107">
        <v>59.0</v>
      </c>
      <c r="G361" s="15" t="str">
        <f t="shared" si="1"/>
        <v>12059</v>
      </c>
      <c r="H361" s="23" t="s">
        <v>502</v>
      </c>
      <c r="I361" s="23" t="s">
        <v>42</v>
      </c>
      <c r="J361" s="23" t="s">
        <v>245</v>
      </c>
      <c r="K361" s="23" t="str">
        <f t="shared" si="10"/>
        <v>Holmes, FL</v>
      </c>
      <c r="L361" s="24"/>
    </row>
    <row r="362">
      <c r="A362" s="99">
        <v>361.0</v>
      </c>
      <c r="B362" s="15"/>
      <c r="C362" s="15"/>
      <c r="D362" s="105">
        <v>1.0</v>
      </c>
      <c r="E362" s="102">
        <v>12.0</v>
      </c>
      <c r="F362" s="107">
        <v>61.0</v>
      </c>
      <c r="G362" s="15" t="str">
        <f t="shared" si="1"/>
        <v>12061</v>
      </c>
      <c r="H362" s="23" t="s">
        <v>504</v>
      </c>
      <c r="I362" s="23" t="s">
        <v>42</v>
      </c>
      <c r="J362" s="23" t="s">
        <v>245</v>
      </c>
      <c r="K362" s="23" t="str">
        <f t="shared" si="10"/>
        <v>Indian River, FL</v>
      </c>
      <c r="L362" s="24"/>
    </row>
    <row r="363">
      <c r="A363" s="99">
        <v>362.0</v>
      </c>
      <c r="B363" s="15"/>
      <c r="C363" s="15"/>
      <c r="D363" s="105">
        <v>1.0</v>
      </c>
      <c r="E363" s="102">
        <v>12.0</v>
      </c>
      <c r="F363" s="107">
        <v>63.0</v>
      </c>
      <c r="G363" s="15" t="str">
        <f t="shared" si="1"/>
        <v>12063</v>
      </c>
      <c r="H363" s="23" t="s">
        <v>142</v>
      </c>
      <c r="I363" s="23" t="s">
        <v>42</v>
      </c>
      <c r="J363" s="23" t="s">
        <v>245</v>
      </c>
      <c r="K363" s="23" t="str">
        <f t="shared" si="10"/>
        <v>Jackson, FL</v>
      </c>
      <c r="L363" s="24"/>
    </row>
    <row r="364">
      <c r="A364" s="99">
        <v>363.0</v>
      </c>
      <c r="B364" s="15"/>
      <c r="C364" s="15"/>
      <c r="D364" s="105">
        <v>1.0</v>
      </c>
      <c r="E364" s="102">
        <v>12.0</v>
      </c>
      <c r="F364" s="107">
        <v>65.0</v>
      </c>
      <c r="G364" s="15" t="str">
        <f t="shared" si="1"/>
        <v>12065</v>
      </c>
      <c r="H364" s="23" t="s">
        <v>143</v>
      </c>
      <c r="I364" s="23" t="s">
        <v>42</v>
      </c>
      <c r="J364" s="23" t="s">
        <v>245</v>
      </c>
      <c r="K364" s="23" t="str">
        <f t="shared" si="10"/>
        <v>Jefferson, FL</v>
      </c>
      <c r="L364" s="24"/>
    </row>
    <row r="365">
      <c r="A365" s="99">
        <v>364.0</v>
      </c>
      <c r="B365" s="15"/>
      <c r="C365" s="15"/>
      <c r="D365" s="105">
        <v>1.0</v>
      </c>
      <c r="E365" s="102">
        <v>12.0</v>
      </c>
      <c r="F365" s="107">
        <v>67.0</v>
      </c>
      <c r="G365" s="15" t="str">
        <f t="shared" si="1"/>
        <v>12067</v>
      </c>
      <c r="H365" s="23" t="s">
        <v>289</v>
      </c>
      <c r="I365" s="23" t="s">
        <v>42</v>
      </c>
      <c r="J365" s="23" t="s">
        <v>245</v>
      </c>
      <c r="K365" s="23" t="str">
        <f t="shared" si="10"/>
        <v>Lafayette, FL</v>
      </c>
      <c r="L365" s="24"/>
    </row>
    <row r="366">
      <c r="A366" s="99">
        <v>365.0</v>
      </c>
      <c r="B366" s="15"/>
      <c r="C366" s="15"/>
      <c r="D366" s="105">
        <v>1.0</v>
      </c>
      <c r="E366" s="102">
        <v>12.0</v>
      </c>
      <c r="F366" s="107">
        <v>69.0</v>
      </c>
      <c r="G366" s="15" t="str">
        <f t="shared" si="1"/>
        <v>12069</v>
      </c>
      <c r="H366" s="23" t="s">
        <v>337</v>
      </c>
      <c r="I366" s="23" t="s">
        <v>42</v>
      </c>
      <c r="J366" s="23" t="s">
        <v>245</v>
      </c>
      <c r="K366" s="23" t="str">
        <f t="shared" si="10"/>
        <v>Lake, FL</v>
      </c>
      <c r="L366" s="24"/>
    </row>
    <row r="367">
      <c r="A367" s="99">
        <v>366.0</v>
      </c>
      <c r="B367" s="15"/>
      <c r="C367" s="15"/>
      <c r="D367" s="105">
        <v>1.0</v>
      </c>
      <c r="E367" s="102">
        <v>12.0</v>
      </c>
      <c r="F367" s="107">
        <v>71.0</v>
      </c>
      <c r="G367" s="15" t="str">
        <f t="shared" si="1"/>
        <v>12071</v>
      </c>
      <c r="H367" s="23" t="s">
        <v>147</v>
      </c>
      <c r="I367" s="23" t="s">
        <v>42</v>
      </c>
      <c r="J367" s="23" t="s">
        <v>245</v>
      </c>
      <c r="K367" s="23" t="str">
        <f t="shared" si="10"/>
        <v>Lee, FL</v>
      </c>
      <c r="L367" s="24"/>
    </row>
    <row r="368">
      <c r="A368" s="99">
        <v>367.0</v>
      </c>
      <c r="B368" s="15"/>
      <c r="C368" s="15"/>
      <c r="D368" s="105">
        <v>1.0</v>
      </c>
      <c r="E368" s="102">
        <v>12.0</v>
      </c>
      <c r="F368" s="107">
        <v>73.0</v>
      </c>
      <c r="G368" s="15" t="str">
        <f t="shared" si="1"/>
        <v>12073</v>
      </c>
      <c r="H368" s="23" t="s">
        <v>505</v>
      </c>
      <c r="I368" s="23" t="s">
        <v>42</v>
      </c>
      <c r="J368" s="23" t="s">
        <v>245</v>
      </c>
      <c r="K368" s="23" t="str">
        <f t="shared" si="10"/>
        <v>Leon, FL</v>
      </c>
      <c r="L368" s="24"/>
    </row>
    <row r="369">
      <c r="A369" s="99">
        <v>368.0</v>
      </c>
      <c r="B369" s="15"/>
      <c r="C369" s="15"/>
      <c r="D369" s="105">
        <v>1.0</v>
      </c>
      <c r="E369" s="102">
        <v>12.0</v>
      </c>
      <c r="F369" s="107">
        <v>75.0</v>
      </c>
      <c r="G369" s="15" t="str">
        <f t="shared" si="1"/>
        <v>12075</v>
      </c>
      <c r="H369" s="23" t="s">
        <v>506</v>
      </c>
      <c r="I369" s="23" t="s">
        <v>42</v>
      </c>
      <c r="J369" s="23" t="s">
        <v>245</v>
      </c>
      <c r="K369" s="23" t="str">
        <f t="shared" si="10"/>
        <v>Levy, FL</v>
      </c>
      <c r="L369" s="24"/>
    </row>
    <row r="370">
      <c r="A370" s="99">
        <v>369.0</v>
      </c>
      <c r="B370" s="15"/>
      <c r="C370" s="15"/>
      <c r="D370" s="105">
        <v>1.0</v>
      </c>
      <c r="E370" s="102">
        <v>12.0</v>
      </c>
      <c r="F370" s="107">
        <v>77.0</v>
      </c>
      <c r="G370" s="15" t="str">
        <f t="shared" si="1"/>
        <v>12077</v>
      </c>
      <c r="H370" s="23" t="s">
        <v>508</v>
      </c>
      <c r="I370" s="23" t="s">
        <v>42</v>
      </c>
      <c r="J370" s="23" t="s">
        <v>245</v>
      </c>
      <c r="K370" s="23" t="str">
        <f t="shared" si="10"/>
        <v>Liberty, FL</v>
      </c>
      <c r="L370" s="24"/>
    </row>
    <row r="371">
      <c r="A371" s="99">
        <v>370.0</v>
      </c>
      <c r="B371" s="15"/>
      <c r="C371" s="15"/>
      <c r="D371" s="105">
        <v>1.0</v>
      </c>
      <c r="E371" s="102">
        <v>12.0</v>
      </c>
      <c r="F371" s="107">
        <v>79.0</v>
      </c>
      <c r="G371" s="15" t="str">
        <f t="shared" si="1"/>
        <v>12079</v>
      </c>
      <c r="H371" s="23" t="s">
        <v>151</v>
      </c>
      <c r="I371" s="23" t="s">
        <v>42</v>
      </c>
      <c r="J371" s="23" t="s">
        <v>245</v>
      </c>
      <c r="K371" s="23" t="str">
        <f t="shared" si="10"/>
        <v>Madison, FL</v>
      </c>
      <c r="L371" s="24"/>
    </row>
    <row r="372">
      <c r="A372" s="99">
        <v>371.0</v>
      </c>
      <c r="B372" s="15"/>
      <c r="C372" s="15"/>
      <c r="D372" s="105">
        <v>1.0</v>
      </c>
      <c r="E372" s="102">
        <v>12.0</v>
      </c>
      <c r="F372" s="107">
        <v>81.0</v>
      </c>
      <c r="G372" s="15" t="str">
        <f t="shared" si="1"/>
        <v>12081</v>
      </c>
      <c r="H372" s="23" t="s">
        <v>509</v>
      </c>
      <c r="I372" s="23" t="s">
        <v>42</v>
      </c>
      <c r="J372" s="23" t="s">
        <v>245</v>
      </c>
      <c r="K372" s="23" t="str">
        <f t="shared" si="10"/>
        <v>Manatee, FL</v>
      </c>
      <c r="L372" s="24"/>
    </row>
    <row r="373">
      <c r="A373" s="99">
        <v>372.0</v>
      </c>
      <c r="B373" s="15"/>
      <c r="C373" s="15"/>
      <c r="D373" s="105">
        <v>1.0</v>
      </c>
      <c r="E373" s="102">
        <v>12.0</v>
      </c>
      <c r="F373" s="107">
        <v>83.0</v>
      </c>
      <c r="G373" s="15" t="str">
        <f t="shared" si="1"/>
        <v>12083</v>
      </c>
      <c r="H373" s="23" t="s">
        <v>153</v>
      </c>
      <c r="I373" s="23" t="s">
        <v>42</v>
      </c>
      <c r="J373" s="23" t="s">
        <v>245</v>
      </c>
      <c r="K373" s="23" t="str">
        <f t="shared" si="10"/>
        <v>Marion, FL</v>
      </c>
      <c r="L373" s="24"/>
    </row>
    <row r="374">
      <c r="A374" s="99">
        <v>373.0</v>
      </c>
      <c r="B374" s="15"/>
      <c r="C374" s="15"/>
      <c r="D374" s="105">
        <v>1.0</v>
      </c>
      <c r="E374" s="102">
        <v>12.0</v>
      </c>
      <c r="F374" s="107">
        <v>85.0</v>
      </c>
      <c r="G374" s="15" t="str">
        <f t="shared" si="1"/>
        <v>12085</v>
      </c>
      <c r="H374" s="23" t="s">
        <v>510</v>
      </c>
      <c r="I374" s="23" t="s">
        <v>42</v>
      </c>
      <c r="J374" s="23" t="s">
        <v>245</v>
      </c>
      <c r="K374" s="23" t="str">
        <f t="shared" si="10"/>
        <v>Martin, FL</v>
      </c>
      <c r="L374" s="24"/>
    </row>
    <row r="375">
      <c r="A375" s="99">
        <v>374.0</v>
      </c>
      <c r="B375" s="15"/>
      <c r="C375" s="15"/>
      <c r="D375" s="105">
        <v>1.0</v>
      </c>
      <c r="E375" s="102">
        <v>12.0</v>
      </c>
      <c r="F375" s="107">
        <v>86.0</v>
      </c>
      <c r="G375" s="15" t="str">
        <f t="shared" si="1"/>
        <v>12086</v>
      </c>
      <c r="H375" s="23" t="s">
        <v>244</v>
      </c>
      <c r="I375" s="23" t="s">
        <v>42</v>
      </c>
      <c r="J375" s="23" t="s">
        <v>245</v>
      </c>
      <c r="K375" s="23" t="str">
        <f t="shared" si="10"/>
        <v>Miami-Dade, FL</v>
      </c>
      <c r="L375" s="24"/>
    </row>
    <row r="376">
      <c r="A376" s="99">
        <v>375.0</v>
      </c>
      <c r="B376" s="15"/>
      <c r="C376" s="15"/>
      <c r="D376" s="105">
        <v>1.0</v>
      </c>
      <c r="E376" s="102">
        <v>12.0</v>
      </c>
      <c r="F376" s="107">
        <v>87.0</v>
      </c>
      <c r="G376" s="15" t="str">
        <f t="shared" si="1"/>
        <v>12087</v>
      </c>
      <c r="H376" s="23" t="s">
        <v>156</v>
      </c>
      <c r="I376" s="23" t="s">
        <v>42</v>
      </c>
      <c r="J376" s="23" t="s">
        <v>245</v>
      </c>
      <c r="K376" s="23" t="str">
        <f t="shared" si="10"/>
        <v>Monroe, FL</v>
      </c>
      <c r="L376" s="24"/>
    </row>
    <row r="377">
      <c r="A377" s="99">
        <v>376.0</v>
      </c>
      <c r="B377" s="15"/>
      <c r="C377" s="15"/>
      <c r="D377" s="105">
        <v>1.0</v>
      </c>
      <c r="E377" s="102">
        <v>12.0</v>
      </c>
      <c r="F377" s="107">
        <v>89.0</v>
      </c>
      <c r="G377" s="15" t="str">
        <f t="shared" si="1"/>
        <v>12089</v>
      </c>
      <c r="H377" s="23" t="s">
        <v>330</v>
      </c>
      <c r="I377" s="23" t="s">
        <v>42</v>
      </c>
      <c r="J377" s="23" t="s">
        <v>245</v>
      </c>
      <c r="K377" s="23" t="str">
        <f t="shared" si="10"/>
        <v>Nassau, FL</v>
      </c>
      <c r="L377" s="24"/>
    </row>
    <row r="378">
      <c r="A378" s="99">
        <v>377.0</v>
      </c>
      <c r="B378" s="15"/>
      <c r="C378" s="15"/>
      <c r="D378" s="105">
        <v>1.0</v>
      </c>
      <c r="E378" s="102">
        <v>12.0</v>
      </c>
      <c r="F378" s="107">
        <v>91.0</v>
      </c>
      <c r="G378" s="15" t="str">
        <f t="shared" si="1"/>
        <v>12091</v>
      </c>
      <c r="H378" s="23" t="s">
        <v>513</v>
      </c>
      <c r="I378" s="23" t="s">
        <v>42</v>
      </c>
      <c r="J378" s="23" t="s">
        <v>245</v>
      </c>
      <c r="K378" s="23" t="str">
        <f t="shared" si="10"/>
        <v>Okaloosa, FL</v>
      </c>
      <c r="L378" s="24"/>
    </row>
    <row r="379">
      <c r="A379" s="99">
        <v>378.0</v>
      </c>
      <c r="B379" s="15"/>
      <c r="C379" s="15"/>
      <c r="D379" s="105">
        <v>1.0</v>
      </c>
      <c r="E379" s="102">
        <v>12.0</v>
      </c>
      <c r="F379" s="107">
        <v>93.0</v>
      </c>
      <c r="G379" s="15" t="str">
        <f t="shared" si="1"/>
        <v>12093</v>
      </c>
      <c r="H379" s="23" t="s">
        <v>514</v>
      </c>
      <c r="I379" s="23" t="s">
        <v>42</v>
      </c>
      <c r="J379" s="23" t="s">
        <v>245</v>
      </c>
      <c r="K379" s="112" t="str">
        <f t="shared" si="10"/>
        <v>Okeechobee, FL</v>
      </c>
      <c r="L379" s="24"/>
    </row>
    <row r="380">
      <c r="A380" s="99">
        <v>379.0</v>
      </c>
      <c r="B380" s="15"/>
      <c r="C380" s="15"/>
      <c r="D380" s="105">
        <v>1.0</v>
      </c>
      <c r="E380" s="102">
        <v>12.0</v>
      </c>
      <c r="F380" s="107">
        <v>95.0</v>
      </c>
      <c r="G380" s="15" t="str">
        <f t="shared" si="1"/>
        <v>12095</v>
      </c>
      <c r="H380" s="23" t="s">
        <v>241</v>
      </c>
      <c r="I380" s="23" t="s">
        <v>42</v>
      </c>
      <c r="J380" s="23" t="s">
        <v>245</v>
      </c>
      <c r="K380" s="23" t="str">
        <f t="shared" si="10"/>
        <v>Orange, FL</v>
      </c>
      <c r="L380" s="24"/>
    </row>
    <row r="381">
      <c r="A381" s="99">
        <v>380.0</v>
      </c>
      <c r="B381" s="15"/>
      <c r="C381" s="15"/>
      <c r="D381" s="105">
        <v>1.0</v>
      </c>
      <c r="E381" s="102">
        <v>12.0</v>
      </c>
      <c r="F381" s="107">
        <v>97.0</v>
      </c>
      <c r="G381" s="15" t="str">
        <f t="shared" si="1"/>
        <v>12097</v>
      </c>
      <c r="H381" s="23" t="s">
        <v>515</v>
      </c>
      <c r="I381" s="23" t="s">
        <v>42</v>
      </c>
      <c r="J381" s="23" t="s">
        <v>245</v>
      </c>
      <c r="K381" s="23" t="str">
        <f t="shared" si="10"/>
        <v>Osceola, FL</v>
      </c>
      <c r="L381" s="24"/>
    </row>
    <row r="382">
      <c r="A382" s="99">
        <v>381.0</v>
      </c>
      <c r="B382" s="15"/>
      <c r="C382" s="15"/>
      <c r="D382" s="105">
        <v>1.0</v>
      </c>
      <c r="E382" s="102">
        <v>12.0</v>
      </c>
      <c r="F382" s="107">
        <v>99.0</v>
      </c>
      <c r="G382" s="15" t="str">
        <f t="shared" si="1"/>
        <v>12099</v>
      </c>
      <c r="H382" s="23" t="s">
        <v>296</v>
      </c>
      <c r="I382" s="23" t="s">
        <v>42</v>
      </c>
      <c r="J382" s="23" t="s">
        <v>245</v>
      </c>
      <c r="K382" s="23" t="str">
        <f t="shared" si="10"/>
        <v>Palm Beach, FL</v>
      </c>
      <c r="L382" s="24"/>
    </row>
    <row r="383">
      <c r="A383" s="99">
        <v>382.0</v>
      </c>
      <c r="B383" s="15"/>
      <c r="C383" s="15"/>
      <c r="D383" s="105">
        <v>1.0</v>
      </c>
      <c r="E383" s="102">
        <v>12.0</v>
      </c>
      <c r="F383" s="107">
        <v>101.0</v>
      </c>
      <c r="G383" s="15" t="str">
        <f t="shared" si="1"/>
        <v>12101</v>
      </c>
      <c r="H383" s="23" t="s">
        <v>517</v>
      </c>
      <c r="I383" s="23" t="s">
        <v>42</v>
      </c>
      <c r="J383" s="23" t="s">
        <v>245</v>
      </c>
      <c r="K383" s="23" t="str">
        <f t="shared" si="10"/>
        <v>Pasco, FL</v>
      </c>
      <c r="L383" s="24"/>
    </row>
    <row r="384">
      <c r="A384" s="99">
        <v>383.0</v>
      </c>
      <c r="B384" s="15"/>
      <c r="C384" s="15"/>
      <c r="D384" s="105">
        <v>1.0</v>
      </c>
      <c r="E384" s="102">
        <v>12.0</v>
      </c>
      <c r="F384" s="107">
        <v>103.0</v>
      </c>
      <c r="G384" s="15" t="str">
        <f t="shared" si="1"/>
        <v>12103</v>
      </c>
      <c r="H384" s="23" t="s">
        <v>423</v>
      </c>
      <c r="I384" s="23" t="s">
        <v>42</v>
      </c>
      <c r="J384" s="23" t="s">
        <v>245</v>
      </c>
      <c r="K384" s="23" t="str">
        <f t="shared" si="10"/>
        <v>Pinellas, FL</v>
      </c>
      <c r="L384" s="24"/>
    </row>
    <row r="385">
      <c r="A385" s="99">
        <v>384.0</v>
      </c>
      <c r="B385" s="15"/>
      <c r="C385" s="15"/>
      <c r="D385" s="105">
        <v>1.0</v>
      </c>
      <c r="E385" s="102">
        <v>12.0</v>
      </c>
      <c r="F385" s="107">
        <v>105.0</v>
      </c>
      <c r="G385" s="15" t="str">
        <f t="shared" si="1"/>
        <v>12105</v>
      </c>
      <c r="H385" s="23" t="s">
        <v>302</v>
      </c>
      <c r="I385" s="23" t="s">
        <v>42</v>
      </c>
      <c r="J385" s="23" t="s">
        <v>245</v>
      </c>
      <c r="K385" s="23" t="str">
        <f t="shared" si="10"/>
        <v>Polk, FL</v>
      </c>
      <c r="L385" s="24"/>
    </row>
    <row r="386">
      <c r="A386" s="99">
        <v>385.0</v>
      </c>
      <c r="B386" s="15"/>
      <c r="C386" s="15"/>
      <c r="D386" s="105">
        <v>1.0</v>
      </c>
      <c r="E386" s="102">
        <v>12.0</v>
      </c>
      <c r="F386" s="107">
        <v>107.0</v>
      </c>
      <c r="G386" s="15" t="str">
        <f t="shared" si="1"/>
        <v>12107</v>
      </c>
      <c r="H386" s="23" t="s">
        <v>518</v>
      </c>
      <c r="I386" s="23" t="s">
        <v>42</v>
      </c>
      <c r="J386" s="23" t="s">
        <v>245</v>
      </c>
      <c r="K386" s="23" t="str">
        <f t="shared" si="10"/>
        <v>Putnam, FL</v>
      </c>
      <c r="L386" s="24"/>
    </row>
    <row r="387">
      <c r="A387" s="99">
        <v>386.0</v>
      </c>
      <c r="B387" s="15"/>
      <c r="C387" s="15"/>
      <c r="D387" s="105">
        <v>1.0</v>
      </c>
      <c r="E387" s="102">
        <v>12.0</v>
      </c>
      <c r="F387" s="107">
        <v>109.0</v>
      </c>
      <c r="G387" s="15" t="str">
        <f t="shared" si="1"/>
        <v>12109</v>
      </c>
      <c r="H387" s="23" t="s">
        <v>520</v>
      </c>
      <c r="I387" s="23" t="s">
        <v>42</v>
      </c>
      <c r="J387" s="23" t="s">
        <v>245</v>
      </c>
      <c r="K387" s="23" t="str">
        <f t="shared" si="10"/>
        <v>St Johns, FL</v>
      </c>
      <c r="L387" s="24"/>
    </row>
    <row r="388">
      <c r="A388" s="99">
        <v>387.0</v>
      </c>
      <c r="B388" s="15"/>
      <c r="C388" s="15"/>
      <c r="D388" s="105">
        <v>1.0</v>
      </c>
      <c r="E388" s="102">
        <v>12.0</v>
      </c>
      <c r="F388" s="107">
        <v>111.0</v>
      </c>
      <c r="G388" s="15" t="str">
        <f t="shared" si="1"/>
        <v>12111</v>
      </c>
      <c r="H388" s="23" t="s">
        <v>521</v>
      </c>
      <c r="I388" s="23" t="s">
        <v>42</v>
      </c>
      <c r="J388" s="23" t="s">
        <v>245</v>
      </c>
      <c r="K388" s="23" t="str">
        <f t="shared" si="10"/>
        <v>St Lucie, FL</v>
      </c>
      <c r="L388" s="24"/>
    </row>
    <row r="389">
      <c r="A389" s="99">
        <v>388.0</v>
      </c>
      <c r="B389" s="15"/>
      <c r="C389" s="15"/>
      <c r="D389" s="105">
        <v>1.0</v>
      </c>
      <c r="E389" s="102">
        <v>12.0</v>
      </c>
      <c r="F389" s="107">
        <v>113.0</v>
      </c>
      <c r="G389" s="15" t="str">
        <f t="shared" si="1"/>
        <v>12113</v>
      </c>
      <c r="H389" s="23" t="s">
        <v>522</v>
      </c>
      <c r="I389" s="23" t="s">
        <v>42</v>
      </c>
      <c r="J389" s="23" t="s">
        <v>245</v>
      </c>
      <c r="K389" s="23" t="str">
        <f t="shared" si="10"/>
        <v>Santa Rosa, FL</v>
      </c>
      <c r="L389" s="24"/>
    </row>
    <row r="390">
      <c r="A390" s="99">
        <v>389.0</v>
      </c>
      <c r="B390" s="15"/>
      <c r="C390" s="15"/>
      <c r="D390" s="105">
        <v>1.0</v>
      </c>
      <c r="E390" s="102">
        <v>12.0</v>
      </c>
      <c r="F390" s="107">
        <v>115.0</v>
      </c>
      <c r="G390" s="15" t="str">
        <f t="shared" si="1"/>
        <v>12115</v>
      </c>
      <c r="H390" s="23" t="s">
        <v>523</v>
      </c>
      <c r="I390" s="23" t="s">
        <v>42</v>
      </c>
      <c r="J390" s="23" t="s">
        <v>245</v>
      </c>
      <c r="K390" s="23" t="str">
        <f t="shared" si="10"/>
        <v>Sarasota, FL</v>
      </c>
      <c r="L390" s="24"/>
    </row>
    <row r="391">
      <c r="A391" s="99">
        <v>390.0</v>
      </c>
      <c r="B391" s="15"/>
      <c r="C391" s="15"/>
      <c r="D391" s="105">
        <v>1.0</v>
      </c>
      <c r="E391" s="102">
        <v>12.0</v>
      </c>
      <c r="F391" s="107">
        <v>117.0</v>
      </c>
      <c r="G391" s="15" t="str">
        <f t="shared" si="1"/>
        <v>12117</v>
      </c>
      <c r="H391" s="23" t="s">
        <v>524</v>
      </c>
      <c r="I391" s="23" t="s">
        <v>42</v>
      </c>
      <c r="J391" s="23" t="s">
        <v>245</v>
      </c>
      <c r="K391" s="23" t="str">
        <f t="shared" si="10"/>
        <v>Seminole, FL</v>
      </c>
      <c r="L391" s="24"/>
    </row>
    <row r="392">
      <c r="A392" s="99">
        <v>391.0</v>
      </c>
      <c r="B392" s="15"/>
      <c r="C392" s="15"/>
      <c r="D392" s="105">
        <v>1.0</v>
      </c>
      <c r="E392" s="102">
        <v>12.0</v>
      </c>
      <c r="F392" s="107">
        <v>119.0</v>
      </c>
      <c r="G392" s="15" t="str">
        <f t="shared" si="1"/>
        <v>12119</v>
      </c>
      <c r="H392" s="23" t="s">
        <v>169</v>
      </c>
      <c r="I392" s="23" t="s">
        <v>42</v>
      </c>
      <c r="J392" s="23" t="s">
        <v>245</v>
      </c>
      <c r="K392" s="23" t="str">
        <f t="shared" si="10"/>
        <v>Sumter, FL</v>
      </c>
      <c r="L392" s="24"/>
    </row>
    <row r="393">
      <c r="A393" s="99">
        <v>392.0</v>
      </c>
      <c r="B393" s="15"/>
      <c r="C393" s="15"/>
      <c r="D393" s="105">
        <v>1.0</v>
      </c>
      <c r="E393" s="102">
        <v>12.0</v>
      </c>
      <c r="F393" s="107">
        <v>121.0</v>
      </c>
      <c r="G393" s="15" t="str">
        <f t="shared" si="1"/>
        <v>12121</v>
      </c>
      <c r="H393" s="23" t="s">
        <v>525</v>
      </c>
      <c r="I393" s="23" t="s">
        <v>42</v>
      </c>
      <c r="J393" s="23" t="s">
        <v>245</v>
      </c>
      <c r="K393" s="23" t="str">
        <f t="shared" si="10"/>
        <v>Suwannee, FL</v>
      </c>
      <c r="L393" s="24"/>
    </row>
    <row r="394">
      <c r="A394" s="99">
        <v>393.0</v>
      </c>
      <c r="B394" s="15"/>
      <c r="C394" s="15"/>
      <c r="D394" s="105">
        <v>1.0</v>
      </c>
      <c r="E394" s="102">
        <v>12.0</v>
      </c>
      <c r="F394" s="107">
        <v>123.0</v>
      </c>
      <c r="G394" s="15" t="str">
        <f t="shared" si="1"/>
        <v>12123</v>
      </c>
      <c r="H394" s="23" t="s">
        <v>526</v>
      </c>
      <c r="I394" s="23" t="s">
        <v>42</v>
      </c>
      <c r="J394" s="23" t="s">
        <v>245</v>
      </c>
      <c r="K394" s="23" t="str">
        <f t="shared" si="10"/>
        <v>Taylor, FL</v>
      </c>
      <c r="L394" s="24"/>
    </row>
    <row r="395">
      <c r="A395" s="99">
        <v>394.0</v>
      </c>
      <c r="B395" s="15"/>
      <c r="C395" s="15"/>
      <c r="D395" s="105">
        <v>1.0</v>
      </c>
      <c r="E395" s="102">
        <v>12.0</v>
      </c>
      <c r="F395" s="107">
        <v>125.0</v>
      </c>
      <c r="G395" s="15" t="str">
        <f t="shared" si="1"/>
        <v>12125</v>
      </c>
      <c r="H395" s="23" t="s">
        <v>316</v>
      </c>
      <c r="I395" s="23" t="s">
        <v>42</v>
      </c>
      <c r="J395" s="23" t="s">
        <v>245</v>
      </c>
      <c r="K395" s="23" t="str">
        <f t="shared" si="10"/>
        <v>Union, FL</v>
      </c>
      <c r="L395" s="24"/>
    </row>
    <row r="396">
      <c r="A396" s="99">
        <v>395.0</v>
      </c>
      <c r="B396" s="15"/>
      <c r="C396" s="15"/>
      <c r="D396" s="105">
        <v>1.0</v>
      </c>
      <c r="E396" s="102">
        <v>12.0</v>
      </c>
      <c r="F396" s="107">
        <v>127.0</v>
      </c>
      <c r="G396" s="15" t="str">
        <f t="shared" si="1"/>
        <v>12127</v>
      </c>
      <c r="H396" s="23" t="s">
        <v>528</v>
      </c>
      <c r="I396" s="23" t="s">
        <v>42</v>
      </c>
      <c r="J396" s="23" t="s">
        <v>245</v>
      </c>
      <c r="K396" s="23" t="str">
        <f t="shared" si="10"/>
        <v>Volusia, FL</v>
      </c>
      <c r="L396" s="24"/>
    </row>
    <row r="397">
      <c r="A397" s="99">
        <v>396.0</v>
      </c>
      <c r="B397" s="15"/>
      <c r="C397" s="15"/>
      <c r="D397" s="105">
        <v>1.0</v>
      </c>
      <c r="E397" s="102">
        <v>12.0</v>
      </c>
      <c r="F397" s="107">
        <v>129.0</v>
      </c>
      <c r="G397" s="15" t="str">
        <f t="shared" si="1"/>
        <v>12129</v>
      </c>
      <c r="H397" s="23" t="s">
        <v>529</v>
      </c>
      <c r="I397" s="23" t="s">
        <v>42</v>
      </c>
      <c r="J397" s="23" t="s">
        <v>245</v>
      </c>
      <c r="K397" s="23" t="str">
        <f t="shared" si="10"/>
        <v>Wakulla, FL</v>
      </c>
      <c r="L397" s="24"/>
    </row>
    <row r="398">
      <c r="A398" s="99">
        <v>397.0</v>
      </c>
      <c r="B398" s="15"/>
      <c r="C398" s="15"/>
      <c r="D398" s="105">
        <v>1.0</v>
      </c>
      <c r="E398" s="102">
        <v>12.0</v>
      </c>
      <c r="F398" s="107">
        <v>131.0</v>
      </c>
      <c r="G398" s="15" t="str">
        <f t="shared" si="1"/>
        <v>12131</v>
      </c>
      <c r="H398" s="23" t="s">
        <v>530</v>
      </c>
      <c r="I398" s="23" t="s">
        <v>42</v>
      </c>
      <c r="J398" s="23" t="s">
        <v>245</v>
      </c>
      <c r="K398" s="23" t="str">
        <f t="shared" si="10"/>
        <v>Walton, FL</v>
      </c>
      <c r="L398" s="24"/>
    </row>
    <row r="399">
      <c r="A399" s="99">
        <v>398.0</v>
      </c>
      <c r="B399" s="15"/>
      <c r="C399" s="15"/>
      <c r="D399" s="105">
        <v>1.0</v>
      </c>
      <c r="E399" s="102">
        <v>12.0</v>
      </c>
      <c r="F399" s="107">
        <v>133.0</v>
      </c>
      <c r="G399" s="15" t="str">
        <f t="shared" si="1"/>
        <v>12133</v>
      </c>
      <c r="H399" s="23" t="s">
        <v>119</v>
      </c>
      <c r="I399" s="23" t="s">
        <v>42</v>
      </c>
      <c r="J399" s="23" t="s">
        <v>245</v>
      </c>
      <c r="K399" s="23" t="str">
        <f t="shared" si="10"/>
        <v>Washington, FL</v>
      </c>
      <c r="L399" s="24"/>
    </row>
    <row r="400">
      <c r="A400" s="28">
        <v>399.0</v>
      </c>
      <c r="B400" s="29"/>
      <c r="C400" s="29" t="s">
        <v>25</v>
      </c>
      <c r="D400" s="30"/>
      <c r="E400" s="31">
        <v>13.0</v>
      </c>
      <c r="F400" s="42">
        <v>0.0</v>
      </c>
      <c r="G400" s="29" t="str">
        <f t="shared" si="1"/>
        <v>13000</v>
      </c>
      <c r="H400" s="37"/>
      <c r="I400" s="37" t="s">
        <v>44</v>
      </c>
      <c r="J400" s="37" t="s">
        <v>393</v>
      </c>
      <c r="K400" s="37"/>
      <c r="L400" s="24"/>
    </row>
    <row r="401">
      <c r="A401" s="28">
        <v>400.0</v>
      </c>
      <c r="B401" s="29"/>
      <c r="C401" s="29"/>
      <c r="D401" s="40">
        <v>1.0</v>
      </c>
      <c r="E401" s="31">
        <v>13.0</v>
      </c>
      <c r="F401" s="42">
        <v>1.0</v>
      </c>
      <c r="G401" s="29" t="str">
        <f t="shared" si="1"/>
        <v>13001</v>
      </c>
      <c r="H401" s="37" t="s">
        <v>532</v>
      </c>
      <c r="I401" s="37" t="s">
        <v>44</v>
      </c>
      <c r="J401" s="37" t="s">
        <v>393</v>
      </c>
      <c r="K401" s="37" t="str">
        <f t="shared" ref="K401:K559" si="11">CONCATENATE(H401,", ",J401)</f>
        <v>Appling, GA</v>
      </c>
      <c r="L401" s="24"/>
    </row>
    <row r="402">
      <c r="A402" s="28">
        <v>401.0</v>
      </c>
      <c r="B402" s="29"/>
      <c r="C402" s="29"/>
      <c r="D402" s="40">
        <v>1.0</v>
      </c>
      <c r="E402" s="31">
        <v>13.0</v>
      </c>
      <c r="F402" s="42">
        <v>3.0</v>
      </c>
      <c r="G402" s="29" t="str">
        <f t="shared" si="1"/>
        <v>13003</v>
      </c>
      <c r="H402" s="37" t="s">
        <v>533</v>
      </c>
      <c r="I402" s="37" t="s">
        <v>44</v>
      </c>
      <c r="J402" s="37" t="s">
        <v>393</v>
      </c>
      <c r="K402" s="37" t="str">
        <f t="shared" si="11"/>
        <v>Atkinson, GA</v>
      </c>
      <c r="L402" s="24"/>
    </row>
    <row r="403">
      <c r="A403" s="28">
        <v>402.0</v>
      </c>
      <c r="B403" s="29"/>
      <c r="C403" s="29"/>
      <c r="D403" s="40">
        <v>1.0</v>
      </c>
      <c r="E403" s="31">
        <v>13.0</v>
      </c>
      <c r="F403" s="42">
        <v>5.0</v>
      </c>
      <c r="G403" s="29" t="str">
        <f t="shared" si="1"/>
        <v>13005</v>
      </c>
      <c r="H403" s="37" t="s">
        <v>534</v>
      </c>
      <c r="I403" s="37" t="s">
        <v>44</v>
      </c>
      <c r="J403" s="37" t="s">
        <v>393</v>
      </c>
      <c r="K403" s="37" t="str">
        <f t="shared" si="11"/>
        <v>Bacon, GA</v>
      </c>
      <c r="L403" s="24"/>
    </row>
    <row r="404">
      <c r="A404" s="28">
        <v>403.0</v>
      </c>
      <c r="B404" s="29"/>
      <c r="C404" s="29"/>
      <c r="D404" s="40">
        <v>1.0</v>
      </c>
      <c r="E404" s="31">
        <v>13.0</v>
      </c>
      <c r="F404" s="42">
        <v>7.0</v>
      </c>
      <c r="G404" s="29" t="str">
        <f t="shared" si="1"/>
        <v>13007</v>
      </c>
      <c r="H404" s="37" t="s">
        <v>481</v>
      </c>
      <c r="I404" s="37" t="s">
        <v>44</v>
      </c>
      <c r="J404" s="37" t="s">
        <v>393</v>
      </c>
      <c r="K404" s="37" t="str">
        <f t="shared" si="11"/>
        <v>Baker, GA</v>
      </c>
      <c r="L404" s="24"/>
    </row>
    <row r="405">
      <c r="A405" s="28">
        <v>404.0</v>
      </c>
      <c r="B405" s="29"/>
      <c r="C405" s="29"/>
      <c r="D405" s="40">
        <v>1.0</v>
      </c>
      <c r="E405" s="31">
        <v>13.0</v>
      </c>
      <c r="F405" s="42">
        <v>9.0</v>
      </c>
      <c r="G405" s="29" t="str">
        <f t="shared" si="1"/>
        <v>13009</v>
      </c>
      <c r="H405" s="37" t="s">
        <v>58</v>
      </c>
      <c r="I405" s="37" t="s">
        <v>44</v>
      </c>
      <c r="J405" s="37" t="s">
        <v>393</v>
      </c>
      <c r="K405" s="37" t="str">
        <f t="shared" si="11"/>
        <v>Baldwin, GA</v>
      </c>
      <c r="L405" s="24"/>
    </row>
    <row r="406">
      <c r="A406" s="28">
        <v>405.0</v>
      </c>
      <c r="B406" s="29"/>
      <c r="C406" s="29"/>
      <c r="D406" s="40">
        <v>1.0</v>
      </c>
      <c r="E406" s="31">
        <v>13.0</v>
      </c>
      <c r="F406" s="42">
        <v>11.0</v>
      </c>
      <c r="G406" s="29" t="str">
        <f t="shared" si="1"/>
        <v>13011</v>
      </c>
      <c r="H406" s="37" t="s">
        <v>535</v>
      </c>
      <c r="I406" s="37" t="s">
        <v>44</v>
      </c>
      <c r="J406" s="37" t="s">
        <v>393</v>
      </c>
      <c r="K406" s="37" t="str">
        <f t="shared" si="11"/>
        <v>Banks, GA</v>
      </c>
      <c r="L406" s="24"/>
    </row>
    <row r="407">
      <c r="A407" s="28">
        <v>406.0</v>
      </c>
      <c r="B407" s="29"/>
      <c r="C407" s="29"/>
      <c r="D407" s="40">
        <v>1.0</v>
      </c>
      <c r="E407" s="31">
        <v>13.0</v>
      </c>
      <c r="F407" s="42">
        <v>13.0</v>
      </c>
      <c r="G407" s="29" t="str">
        <f t="shared" si="1"/>
        <v>13013</v>
      </c>
      <c r="H407" s="37" t="s">
        <v>537</v>
      </c>
      <c r="I407" s="37" t="s">
        <v>44</v>
      </c>
      <c r="J407" s="37" t="s">
        <v>393</v>
      </c>
      <c r="K407" s="37" t="str">
        <f t="shared" si="11"/>
        <v>Barrow, GA</v>
      </c>
      <c r="L407" s="24"/>
    </row>
    <row r="408">
      <c r="A408" s="28">
        <v>407.0</v>
      </c>
      <c r="B408" s="29"/>
      <c r="C408" s="29"/>
      <c r="D408" s="40">
        <v>1.0</v>
      </c>
      <c r="E408" s="31">
        <v>13.0</v>
      </c>
      <c r="F408" s="42">
        <v>15.0</v>
      </c>
      <c r="G408" s="29" t="str">
        <f t="shared" si="1"/>
        <v>13015</v>
      </c>
      <c r="H408" s="37" t="s">
        <v>538</v>
      </c>
      <c r="I408" s="37" t="s">
        <v>44</v>
      </c>
      <c r="J408" s="37" t="s">
        <v>393</v>
      </c>
      <c r="K408" s="37" t="str">
        <f t="shared" si="11"/>
        <v>Bartow, GA</v>
      </c>
      <c r="L408" s="24"/>
    </row>
    <row r="409">
      <c r="A409" s="28">
        <v>408.0</v>
      </c>
      <c r="B409" s="29"/>
      <c r="C409" s="29"/>
      <c r="D409" s="40">
        <v>1.0</v>
      </c>
      <c r="E409" s="31">
        <v>13.0</v>
      </c>
      <c r="F409" s="42">
        <v>17.0</v>
      </c>
      <c r="G409" s="29" t="str">
        <f t="shared" si="1"/>
        <v>13017</v>
      </c>
      <c r="H409" s="37" t="s">
        <v>539</v>
      </c>
      <c r="I409" s="37" t="s">
        <v>44</v>
      </c>
      <c r="J409" s="37" t="s">
        <v>393</v>
      </c>
      <c r="K409" s="37" t="str">
        <f t="shared" si="11"/>
        <v>Ben Hill, GA</v>
      </c>
      <c r="L409" s="24"/>
    </row>
    <row r="410">
      <c r="A410" s="28">
        <v>409.0</v>
      </c>
      <c r="B410" s="29"/>
      <c r="C410" s="29"/>
      <c r="D410" s="40">
        <v>1.0</v>
      </c>
      <c r="E410" s="31">
        <v>13.0</v>
      </c>
      <c r="F410" s="42">
        <v>19.0</v>
      </c>
      <c r="G410" s="29" t="str">
        <f t="shared" si="1"/>
        <v>13019</v>
      </c>
      <c r="H410" s="37" t="s">
        <v>540</v>
      </c>
      <c r="I410" s="37" t="s">
        <v>44</v>
      </c>
      <c r="J410" s="37" t="s">
        <v>393</v>
      </c>
      <c r="K410" s="37" t="str">
        <f t="shared" si="11"/>
        <v>Berrien, GA</v>
      </c>
      <c r="L410" s="24"/>
    </row>
    <row r="411">
      <c r="A411" s="28">
        <v>410.0</v>
      </c>
      <c r="B411" s="29"/>
      <c r="C411" s="29"/>
      <c r="D411" s="40">
        <v>1.0</v>
      </c>
      <c r="E411" s="31">
        <v>13.0</v>
      </c>
      <c r="F411" s="42">
        <v>21.0</v>
      </c>
      <c r="G411" s="29" t="str">
        <f t="shared" si="1"/>
        <v>13021</v>
      </c>
      <c r="H411" s="37" t="s">
        <v>68</v>
      </c>
      <c r="I411" s="37" t="s">
        <v>44</v>
      </c>
      <c r="J411" s="37" t="s">
        <v>393</v>
      </c>
      <c r="K411" s="37" t="str">
        <f t="shared" si="11"/>
        <v>Bibb, GA</v>
      </c>
      <c r="L411" s="24"/>
    </row>
    <row r="412">
      <c r="A412" s="28">
        <v>411.0</v>
      </c>
      <c r="B412" s="29"/>
      <c r="C412" s="29"/>
      <c r="D412" s="40">
        <v>1.0</v>
      </c>
      <c r="E412" s="31">
        <v>13.0</v>
      </c>
      <c r="F412" s="42">
        <v>23.0</v>
      </c>
      <c r="G412" s="29" t="str">
        <f t="shared" si="1"/>
        <v>13023</v>
      </c>
      <c r="H412" s="37" t="s">
        <v>541</v>
      </c>
      <c r="I412" s="37" t="s">
        <v>44</v>
      </c>
      <c r="J412" s="37" t="s">
        <v>393</v>
      </c>
      <c r="K412" s="37" t="str">
        <f t="shared" si="11"/>
        <v>Bleckley, GA</v>
      </c>
      <c r="L412" s="24"/>
    </row>
    <row r="413">
      <c r="A413" s="28">
        <v>412.0</v>
      </c>
      <c r="B413" s="29"/>
      <c r="C413" s="29"/>
      <c r="D413" s="40">
        <v>1.0</v>
      </c>
      <c r="E413" s="31">
        <v>13.0</v>
      </c>
      <c r="F413" s="42">
        <v>25.0</v>
      </c>
      <c r="G413" s="29" t="str">
        <f t="shared" si="1"/>
        <v>13025</v>
      </c>
      <c r="H413" s="37" t="s">
        <v>542</v>
      </c>
      <c r="I413" s="37" t="s">
        <v>44</v>
      </c>
      <c r="J413" s="37" t="s">
        <v>393</v>
      </c>
      <c r="K413" s="37" t="str">
        <f t="shared" si="11"/>
        <v>Brantley, GA</v>
      </c>
      <c r="L413" s="24"/>
    </row>
    <row r="414">
      <c r="A414" s="28">
        <v>413.0</v>
      </c>
      <c r="B414" s="29"/>
      <c r="C414" s="29"/>
      <c r="D414" s="40">
        <v>1.0</v>
      </c>
      <c r="E414" s="31">
        <v>13.0</v>
      </c>
      <c r="F414" s="42">
        <v>27.0</v>
      </c>
      <c r="G414" s="29" t="str">
        <f t="shared" si="1"/>
        <v>13027</v>
      </c>
      <c r="H414" s="37" t="s">
        <v>543</v>
      </c>
      <c r="I414" s="37" t="s">
        <v>44</v>
      </c>
      <c r="J414" s="37" t="s">
        <v>393</v>
      </c>
      <c r="K414" s="37" t="str">
        <f t="shared" si="11"/>
        <v>Brooks, GA</v>
      </c>
      <c r="L414" s="24"/>
    </row>
    <row r="415">
      <c r="A415" s="28">
        <v>414.0</v>
      </c>
      <c r="B415" s="29"/>
      <c r="C415" s="29"/>
      <c r="D415" s="40">
        <v>1.0</v>
      </c>
      <c r="E415" s="31">
        <v>13.0</v>
      </c>
      <c r="F415" s="42">
        <v>29.0</v>
      </c>
      <c r="G415" s="29" t="str">
        <f t="shared" si="1"/>
        <v>13029</v>
      </c>
      <c r="H415" s="37" t="s">
        <v>544</v>
      </c>
      <c r="I415" s="37" t="s">
        <v>44</v>
      </c>
      <c r="J415" s="37" t="s">
        <v>393</v>
      </c>
      <c r="K415" s="37" t="str">
        <f t="shared" si="11"/>
        <v>Bryan, GA</v>
      </c>
      <c r="L415" s="24"/>
    </row>
    <row r="416">
      <c r="A416" s="28">
        <v>415.0</v>
      </c>
      <c r="B416" s="29"/>
      <c r="C416" s="29"/>
      <c r="D416" s="40">
        <v>1.0</v>
      </c>
      <c r="E416" s="31">
        <v>13.0</v>
      </c>
      <c r="F416" s="42">
        <v>31.0</v>
      </c>
      <c r="G416" s="29" t="str">
        <f t="shared" si="1"/>
        <v>13031</v>
      </c>
      <c r="H416" s="37" t="s">
        <v>545</v>
      </c>
      <c r="I416" s="37" t="s">
        <v>44</v>
      </c>
      <c r="J416" s="37" t="s">
        <v>393</v>
      </c>
      <c r="K416" s="37" t="str">
        <f t="shared" si="11"/>
        <v>Bulloch, GA</v>
      </c>
      <c r="L416" s="24"/>
    </row>
    <row r="417">
      <c r="A417" s="28">
        <v>416.0</v>
      </c>
      <c r="B417" s="29"/>
      <c r="C417" s="29"/>
      <c r="D417" s="40">
        <v>1.0</v>
      </c>
      <c r="E417" s="31">
        <v>13.0</v>
      </c>
      <c r="F417" s="42">
        <v>33.0</v>
      </c>
      <c r="G417" s="29" t="str">
        <f t="shared" si="1"/>
        <v>13033</v>
      </c>
      <c r="H417" s="37" t="s">
        <v>546</v>
      </c>
      <c r="I417" s="37" t="s">
        <v>44</v>
      </c>
      <c r="J417" s="37" t="s">
        <v>393</v>
      </c>
      <c r="K417" s="37" t="str">
        <f t="shared" si="11"/>
        <v>Burke, GA</v>
      </c>
      <c r="L417" s="24"/>
    </row>
    <row r="418">
      <c r="A418" s="28">
        <v>417.0</v>
      </c>
      <c r="B418" s="29"/>
      <c r="C418" s="29"/>
      <c r="D418" s="40">
        <v>1.0</v>
      </c>
      <c r="E418" s="31">
        <v>13.0</v>
      </c>
      <c r="F418" s="42">
        <v>35.0</v>
      </c>
      <c r="G418" s="29" t="str">
        <f t="shared" si="1"/>
        <v>13035</v>
      </c>
      <c r="H418" s="37" t="s">
        <v>547</v>
      </c>
      <c r="I418" s="37" t="s">
        <v>44</v>
      </c>
      <c r="J418" s="37" t="s">
        <v>393</v>
      </c>
      <c r="K418" s="37" t="str">
        <f t="shared" si="11"/>
        <v>Butts, GA</v>
      </c>
      <c r="L418" s="24"/>
    </row>
    <row r="419">
      <c r="A419" s="28">
        <v>418.0</v>
      </c>
      <c r="B419" s="29"/>
      <c r="C419" s="29"/>
      <c r="D419" s="40">
        <v>1.0</v>
      </c>
      <c r="E419" s="31">
        <v>13.0</v>
      </c>
      <c r="F419" s="42">
        <v>37.0</v>
      </c>
      <c r="G419" s="29" t="str">
        <f t="shared" si="1"/>
        <v>13037</v>
      </c>
      <c r="H419" s="37" t="s">
        <v>93</v>
      </c>
      <c r="I419" s="37" t="s">
        <v>44</v>
      </c>
      <c r="J419" s="37" t="s">
        <v>393</v>
      </c>
      <c r="K419" s="37" t="str">
        <f t="shared" si="11"/>
        <v>Calhoun, GA</v>
      </c>
      <c r="L419" s="24"/>
    </row>
    <row r="420">
      <c r="A420" s="28">
        <v>419.0</v>
      </c>
      <c r="B420" s="29"/>
      <c r="C420" s="29"/>
      <c r="D420" s="40">
        <v>1.0</v>
      </c>
      <c r="E420" s="31">
        <v>13.0</v>
      </c>
      <c r="F420" s="42">
        <v>39.0</v>
      </c>
      <c r="G420" s="29" t="str">
        <f t="shared" si="1"/>
        <v>13039</v>
      </c>
      <c r="H420" s="37" t="s">
        <v>548</v>
      </c>
      <c r="I420" s="37" t="s">
        <v>44</v>
      </c>
      <c r="J420" s="37" t="s">
        <v>393</v>
      </c>
      <c r="K420" s="37" t="str">
        <f t="shared" si="11"/>
        <v>Camden, GA</v>
      </c>
      <c r="L420" s="24"/>
    </row>
    <row r="421">
      <c r="A421" s="28">
        <v>420.0</v>
      </c>
      <c r="B421" s="29"/>
      <c r="C421" s="29"/>
      <c r="D421" s="40">
        <v>1.0</v>
      </c>
      <c r="E421" s="31">
        <v>13.0</v>
      </c>
      <c r="F421" s="42">
        <v>43.0</v>
      </c>
      <c r="G421" s="29" t="str">
        <f t="shared" si="1"/>
        <v>13043</v>
      </c>
      <c r="H421" s="37" t="s">
        <v>549</v>
      </c>
      <c r="I421" s="37" t="s">
        <v>44</v>
      </c>
      <c r="J421" s="37" t="s">
        <v>393</v>
      </c>
      <c r="K421" s="37" t="str">
        <f t="shared" si="11"/>
        <v>Candler, GA</v>
      </c>
      <c r="L421" s="24"/>
    </row>
    <row r="422">
      <c r="A422" s="28">
        <v>421.0</v>
      </c>
      <c r="B422" s="29"/>
      <c r="C422" s="29"/>
      <c r="D422" s="40">
        <v>1.0</v>
      </c>
      <c r="E422" s="31">
        <v>13.0</v>
      </c>
      <c r="F422" s="42">
        <v>45.0</v>
      </c>
      <c r="G422" s="29" t="str">
        <f t="shared" si="1"/>
        <v>13045</v>
      </c>
      <c r="H422" s="37" t="s">
        <v>248</v>
      </c>
      <c r="I422" s="37" t="s">
        <v>44</v>
      </c>
      <c r="J422" s="37" t="s">
        <v>393</v>
      </c>
      <c r="K422" s="37" t="str">
        <f t="shared" si="11"/>
        <v>Carroll, GA</v>
      </c>
      <c r="L422" s="24"/>
    </row>
    <row r="423">
      <c r="A423" s="28">
        <v>422.0</v>
      </c>
      <c r="B423" s="29"/>
      <c r="C423" s="29"/>
      <c r="D423" s="40">
        <v>1.0</v>
      </c>
      <c r="E423" s="31">
        <v>13.0</v>
      </c>
      <c r="F423" s="42">
        <v>47.0</v>
      </c>
      <c r="G423" s="29" t="str">
        <f t="shared" si="1"/>
        <v>13047</v>
      </c>
      <c r="H423" s="37" t="s">
        <v>550</v>
      </c>
      <c r="I423" s="37" t="s">
        <v>44</v>
      </c>
      <c r="J423" s="37" t="s">
        <v>393</v>
      </c>
      <c r="K423" s="37" t="str">
        <f t="shared" si="11"/>
        <v>Catoosa, GA</v>
      </c>
      <c r="L423" s="24"/>
    </row>
    <row r="424">
      <c r="A424" s="28">
        <v>423.0</v>
      </c>
      <c r="B424" s="29"/>
      <c r="C424" s="29"/>
      <c r="D424" s="40">
        <v>1.0</v>
      </c>
      <c r="E424" s="31">
        <v>13.0</v>
      </c>
      <c r="F424" s="42">
        <v>49.0</v>
      </c>
      <c r="G424" s="29" t="str">
        <f t="shared" si="1"/>
        <v>13049</v>
      </c>
      <c r="H424" s="37" t="s">
        <v>551</v>
      </c>
      <c r="I424" s="37" t="s">
        <v>44</v>
      </c>
      <c r="J424" s="37" t="s">
        <v>393</v>
      </c>
      <c r="K424" s="37" t="str">
        <f t="shared" si="11"/>
        <v>Charlton, GA</v>
      </c>
      <c r="L424" s="24"/>
    </row>
    <row r="425">
      <c r="A425" s="28">
        <v>424.0</v>
      </c>
      <c r="B425" s="29"/>
      <c r="C425" s="29"/>
      <c r="D425" s="40">
        <v>1.0</v>
      </c>
      <c r="E425" s="31">
        <v>13.0</v>
      </c>
      <c r="F425" s="42">
        <v>51.0</v>
      </c>
      <c r="G425" s="29" t="str">
        <f t="shared" si="1"/>
        <v>13051</v>
      </c>
      <c r="H425" s="37" t="s">
        <v>552</v>
      </c>
      <c r="I425" s="37" t="s">
        <v>44</v>
      </c>
      <c r="J425" s="37" t="s">
        <v>393</v>
      </c>
      <c r="K425" s="37" t="str">
        <f t="shared" si="11"/>
        <v>Chatham, GA</v>
      </c>
      <c r="L425" s="24"/>
    </row>
    <row r="426">
      <c r="A426" s="28">
        <v>425.0</v>
      </c>
      <c r="B426" s="29"/>
      <c r="C426" s="29"/>
      <c r="D426" s="40">
        <v>1.0</v>
      </c>
      <c r="E426" s="31">
        <v>13.0</v>
      </c>
      <c r="F426" s="42">
        <v>53.0</v>
      </c>
      <c r="G426" s="29" t="str">
        <f t="shared" si="1"/>
        <v>13053</v>
      </c>
      <c r="H426" s="37" t="s">
        <v>553</v>
      </c>
      <c r="I426" s="37" t="s">
        <v>44</v>
      </c>
      <c r="J426" s="37" t="s">
        <v>393</v>
      </c>
      <c r="K426" s="136" t="str">
        <f t="shared" si="11"/>
        <v>Chattahoochee, GA</v>
      </c>
      <c r="L426" s="24"/>
    </row>
    <row r="427">
      <c r="A427" s="28">
        <v>426.0</v>
      </c>
      <c r="B427" s="29"/>
      <c r="C427" s="29"/>
      <c r="D427" s="40">
        <v>1.0</v>
      </c>
      <c r="E427" s="31">
        <v>13.0</v>
      </c>
      <c r="F427" s="42">
        <v>55.0</v>
      </c>
      <c r="G427" s="29" t="str">
        <f t="shared" si="1"/>
        <v>13055</v>
      </c>
      <c r="H427" s="37" t="s">
        <v>554</v>
      </c>
      <c r="I427" s="37" t="s">
        <v>44</v>
      </c>
      <c r="J427" s="37" t="s">
        <v>393</v>
      </c>
      <c r="K427" s="37" t="str">
        <f t="shared" si="11"/>
        <v>Chattooga, GA</v>
      </c>
      <c r="L427" s="24"/>
    </row>
    <row r="428">
      <c r="A428" s="28">
        <v>427.0</v>
      </c>
      <c r="B428" s="29"/>
      <c r="C428" s="29"/>
      <c r="D428" s="40">
        <v>1.0</v>
      </c>
      <c r="E428" s="31">
        <v>13.0</v>
      </c>
      <c r="F428" s="42">
        <v>57.0</v>
      </c>
      <c r="G428" s="29" t="str">
        <f t="shared" si="1"/>
        <v>13057</v>
      </c>
      <c r="H428" s="37" t="s">
        <v>101</v>
      </c>
      <c r="I428" s="37" t="s">
        <v>44</v>
      </c>
      <c r="J428" s="37" t="s">
        <v>393</v>
      </c>
      <c r="K428" s="37" t="str">
        <f t="shared" si="11"/>
        <v>Cherokee, GA</v>
      </c>
      <c r="L428" s="24"/>
    </row>
    <row r="429">
      <c r="A429" s="28">
        <v>428.0</v>
      </c>
      <c r="B429" s="29"/>
      <c r="C429" s="29"/>
      <c r="D429" s="40">
        <v>1.0</v>
      </c>
      <c r="E429" s="31">
        <v>13.0</v>
      </c>
      <c r="F429" s="42">
        <v>59.0</v>
      </c>
      <c r="G429" s="29" t="str">
        <f t="shared" si="1"/>
        <v>13059</v>
      </c>
      <c r="H429" s="37" t="s">
        <v>110</v>
      </c>
      <c r="I429" s="37" t="s">
        <v>44</v>
      </c>
      <c r="J429" s="37" t="s">
        <v>393</v>
      </c>
      <c r="K429" s="37" t="str">
        <f t="shared" si="11"/>
        <v>Clarke, GA</v>
      </c>
      <c r="L429" s="24"/>
    </row>
    <row r="430">
      <c r="A430" s="28">
        <v>429.0</v>
      </c>
      <c r="B430" s="29"/>
      <c r="C430" s="29"/>
      <c r="D430" s="40">
        <v>1.0</v>
      </c>
      <c r="E430" s="31">
        <v>13.0</v>
      </c>
      <c r="F430" s="42">
        <v>61.0</v>
      </c>
      <c r="G430" s="29" t="str">
        <f t="shared" si="1"/>
        <v>13061</v>
      </c>
      <c r="H430" s="37" t="s">
        <v>112</v>
      </c>
      <c r="I430" s="37" t="s">
        <v>44</v>
      </c>
      <c r="J430" s="37" t="s">
        <v>393</v>
      </c>
      <c r="K430" s="37" t="str">
        <f t="shared" si="11"/>
        <v>Clay, GA</v>
      </c>
      <c r="L430" s="24"/>
    </row>
    <row r="431">
      <c r="A431" s="28">
        <v>430.0</v>
      </c>
      <c r="B431" s="29"/>
      <c r="C431" s="29"/>
      <c r="D431" s="40">
        <v>1.0</v>
      </c>
      <c r="E431" s="31">
        <v>13.0</v>
      </c>
      <c r="F431" s="42">
        <v>63.0</v>
      </c>
      <c r="G431" s="29" t="str">
        <f t="shared" si="1"/>
        <v>13063</v>
      </c>
      <c r="H431" s="37" t="s">
        <v>555</v>
      </c>
      <c r="I431" s="37" t="s">
        <v>44</v>
      </c>
      <c r="J431" s="37" t="s">
        <v>393</v>
      </c>
      <c r="K431" s="37" t="str">
        <f t="shared" si="11"/>
        <v>Clayton, GA</v>
      </c>
      <c r="L431" s="24"/>
    </row>
    <row r="432">
      <c r="A432" s="28">
        <v>431.0</v>
      </c>
      <c r="B432" s="29"/>
      <c r="C432" s="29"/>
      <c r="D432" s="40">
        <v>1.0</v>
      </c>
      <c r="E432" s="31">
        <v>13.0</v>
      </c>
      <c r="F432" s="42">
        <v>65.0</v>
      </c>
      <c r="G432" s="29" t="str">
        <f t="shared" si="1"/>
        <v>13065</v>
      </c>
      <c r="H432" s="37" t="s">
        <v>556</v>
      </c>
      <c r="I432" s="37" t="s">
        <v>44</v>
      </c>
      <c r="J432" s="37" t="s">
        <v>393</v>
      </c>
      <c r="K432" s="37" t="str">
        <f t="shared" si="11"/>
        <v>Clinch, GA</v>
      </c>
      <c r="L432" s="24"/>
    </row>
    <row r="433">
      <c r="A433" s="28">
        <v>432.0</v>
      </c>
      <c r="B433" s="29"/>
      <c r="C433" s="29"/>
      <c r="D433" s="40">
        <v>1.0</v>
      </c>
      <c r="E433" s="31">
        <v>13.0</v>
      </c>
      <c r="F433" s="42">
        <v>67.0</v>
      </c>
      <c r="G433" s="29" t="str">
        <f t="shared" si="1"/>
        <v>13067</v>
      </c>
      <c r="H433" s="37" t="s">
        <v>536</v>
      </c>
      <c r="I433" s="37" t="s">
        <v>44</v>
      </c>
      <c r="J433" s="37" t="s">
        <v>393</v>
      </c>
      <c r="K433" s="37" t="str">
        <f t="shared" si="11"/>
        <v>Cobb, GA</v>
      </c>
      <c r="L433" s="24"/>
    </row>
    <row r="434">
      <c r="A434" s="28">
        <v>433.0</v>
      </c>
      <c r="B434" s="29"/>
      <c r="C434" s="29"/>
      <c r="D434" s="40">
        <v>1.0</v>
      </c>
      <c r="E434" s="31">
        <v>13.0</v>
      </c>
      <c r="F434" s="42">
        <v>69.0</v>
      </c>
      <c r="G434" s="29" t="str">
        <f t="shared" si="1"/>
        <v>13069</v>
      </c>
      <c r="H434" s="37" t="s">
        <v>118</v>
      </c>
      <c r="I434" s="37" t="s">
        <v>44</v>
      </c>
      <c r="J434" s="37" t="s">
        <v>393</v>
      </c>
      <c r="K434" s="37" t="str">
        <f t="shared" si="11"/>
        <v>Coffee, GA</v>
      </c>
      <c r="L434" s="24"/>
    </row>
    <row r="435">
      <c r="A435" s="28">
        <v>434.0</v>
      </c>
      <c r="B435" s="29"/>
      <c r="C435" s="29"/>
      <c r="D435" s="40">
        <v>1.0</v>
      </c>
      <c r="E435" s="31">
        <v>13.0</v>
      </c>
      <c r="F435" s="42">
        <v>71.0</v>
      </c>
      <c r="G435" s="29" t="str">
        <f t="shared" si="1"/>
        <v>13071</v>
      </c>
      <c r="H435" s="37" t="s">
        <v>557</v>
      </c>
      <c r="I435" s="37" t="s">
        <v>44</v>
      </c>
      <c r="J435" s="37" t="s">
        <v>393</v>
      </c>
      <c r="K435" s="37" t="str">
        <f t="shared" si="11"/>
        <v>Colquitt, GA</v>
      </c>
      <c r="L435" s="24"/>
    </row>
    <row r="436">
      <c r="A436" s="28">
        <v>435.0</v>
      </c>
      <c r="B436" s="29"/>
      <c r="C436" s="29"/>
      <c r="D436" s="40">
        <v>1.0</v>
      </c>
      <c r="E436" s="31">
        <v>13.0</v>
      </c>
      <c r="F436" s="42">
        <v>73.0</v>
      </c>
      <c r="G436" s="29" t="str">
        <f t="shared" si="1"/>
        <v>13073</v>
      </c>
      <c r="H436" s="37" t="s">
        <v>258</v>
      </c>
      <c r="I436" s="37" t="s">
        <v>44</v>
      </c>
      <c r="J436" s="37" t="s">
        <v>393</v>
      </c>
      <c r="K436" s="37" t="str">
        <f t="shared" si="11"/>
        <v>Columbia, GA</v>
      </c>
      <c r="L436" s="24"/>
    </row>
    <row r="437">
      <c r="A437" s="28">
        <v>436.0</v>
      </c>
      <c r="B437" s="29"/>
      <c r="C437" s="29"/>
      <c r="D437" s="40">
        <v>1.0</v>
      </c>
      <c r="E437" s="31">
        <v>13.0</v>
      </c>
      <c r="F437" s="42">
        <v>75.0</v>
      </c>
      <c r="G437" s="29" t="str">
        <f t="shared" si="1"/>
        <v>13075</v>
      </c>
      <c r="H437" s="37" t="s">
        <v>202</v>
      </c>
      <c r="I437" s="37" t="s">
        <v>44</v>
      </c>
      <c r="J437" s="37" t="s">
        <v>393</v>
      </c>
      <c r="K437" s="37" t="str">
        <f t="shared" si="11"/>
        <v>Cook, GA</v>
      </c>
      <c r="L437" s="24"/>
    </row>
    <row r="438">
      <c r="A438" s="28">
        <v>437.0</v>
      </c>
      <c r="B438" s="29"/>
      <c r="C438" s="29"/>
      <c r="D438" s="40">
        <v>1.0</v>
      </c>
      <c r="E438" s="31">
        <v>13.0</v>
      </c>
      <c r="F438" s="42">
        <v>77.0</v>
      </c>
      <c r="G438" s="29" t="str">
        <f t="shared" si="1"/>
        <v>13077</v>
      </c>
      <c r="H438" s="37" t="s">
        <v>559</v>
      </c>
      <c r="I438" s="37" t="s">
        <v>44</v>
      </c>
      <c r="J438" s="37" t="s">
        <v>393</v>
      </c>
      <c r="K438" s="37" t="str">
        <f t="shared" si="11"/>
        <v>Coweta, GA</v>
      </c>
      <c r="L438" s="24"/>
    </row>
    <row r="439">
      <c r="A439" s="28">
        <v>438.0</v>
      </c>
      <c r="B439" s="29"/>
      <c r="C439" s="29"/>
      <c r="D439" s="40">
        <v>1.0</v>
      </c>
      <c r="E439" s="31">
        <v>13.0</v>
      </c>
      <c r="F439" s="42">
        <v>79.0</v>
      </c>
      <c r="G439" s="29" t="str">
        <f t="shared" si="1"/>
        <v>13079</v>
      </c>
      <c r="H439" s="37" t="s">
        <v>263</v>
      </c>
      <c r="I439" s="37" t="s">
        <v>44</v>
      </c>
      <c r="J439" s="37" t="s">
        <v>393</v>
      </c>
      <c r="K439" s="37" t="str">
        <f t="shared" si="11"/>
        <v>Crawford, GA</v>
      </c>
      <c r="L439" s="24"/>
    </row>
    <row r="440">
      <c r="A440" s="28">
        <v>439.0</v>
      </c>
      <c r="B440" s="29"/>
      <c r="C440" s="29"/>
      <c r="D440" s="40">
        <v>1.0</v>
      </c>
      <c r="E440" s="31">
        <v>13.0</v>
      </c>
      <c r="F440" s="42">
        <v>81.0</v>
      </c>
      <c r="G440" s="29" t="str">
        <f t="shared" si="1"/>
        <v>13081</v>
      </c>
      <c r="H440" s="37" t="s">
        <v>560</v>
      </c>
      <c r="I440" s="37" t="s">
        <v>44</v>
      </c>
      <c r="J440" s="37" t="s">
        <v>393</v>
      </c>
      <c r="K440" s="37" t="str">
        <f t="shared" si="11"/>
        <v>Crisp, GA</v>
      </c>
      <c r="L440" s="24"/>
    </row>
    <row r="441">
      <c r="A441" s="28">
        <v>440.0</v>
      </c>
      <c r="B441" s="29"/>
      <c r="C441" s="29"/>
      <c r="D441" s="40">
        <v>1.0</v>
      </c>
      <c r="E441" s="31">
        <v>13.0</v>
      </c>
      <c r="F441" s="42">
        <v>83.0</v>
      </c>
      <c r="G441" s="29" t="str">
        <f t="shared" si="1"/>
        <v>13083</v>
      </c>
      <c r="H441" s="37" t="s">
        <v>561</v>
      </c>
      <c r="I441" s="37" t="s">
        <v>44</v>
      </c>
      <c r="J441" s="37" t="s">
        <v>393</v>
      </c>
      <c r="K441" s="37" t="str">
        <f t="shared" si="11"/>
        <v>Dade, GA</v>
      </c>
      <c r="L441" s="24"/>
    </row>
    <row r="442">
      <c r="A442" s="28">
        <v>441.0</v>
      </c>
      <c r="B442" s="29"/>
      <c r="C442" s="29"/>
      <c r="D442" s="40">
        <v>1.0</v>
      </c>
      <c r="E442" s="31">
        <v>13.0</v>
      </c>
      <c r="F442" s="42">
        <v>85.0</v>
      </c>
      <c r="G442" s="29" t="str">
        <f t="shared" si="1"/>
        <v>13085</v>
      </c>
      <c r="H442" s="37" t="s">
        <v>562</v>
      </c>
      <c r="I442" s="37" t="s">
        <v>44</v>
      </c>
      <c r="J442" s="37" t="s">
        <v>393</v>
      </c>
      <c r="K442" s="37" t="str">
        <f t="shared" si="11"/>
        <v>Dawson, GA</v>
      </c>
      <c r="L442" s="24"/>
    </row>
    <row r="443">
      <c r="A443" s="28">
        <v>442.0</v>
      </c>
      <c r="B443" s="29"/>
      <c r="C443" s="29"/>
      <c r="D443" s="40">
        <v>1.0</v>
      </c>
      <c r="E443" s="31">
        <v>13.0</v>
      </c>
      <c r="F443" s="42">
        <v>87.0</v>
      </c>
      <c r="G443" s="29" t="str">
        <f t="shared" si="1"/>
        <v>13087</v>
      </c>
      <c r="H443" s="37" t="s">
        <v>563</v>
      </c>
      <c r="I443" s="37" t="s">
        <v>44</v>
      </c>
      <c r="J443" s="37" t="s">
        <v>393</v>
      </c>
      <c r="K443" s="37" t="str">
        <f t="shared" si="11"/>
        <v>Decatur, GA</v>
      </c>
      <c r="L443" s="24"/>
    </row>
    <row r="444">
      <c r="A444" s="28">
        <v>443.0</v>
      </c>
      <c r="B444" s="29"/>
      <c r="C444" s="29"/>
      <c r="D444" s="40">
        <v>1.0</v>
      </c>
      <c r="E444" s="31">
        <v>13.0</v>
      </c>
      <c r="F444" s="42">
        <v>89.0</v>
      </c>
      <c r="G444" s="29" t="str">
        <f t="shared" si="1"/>
        <v>13089</v>
      </c>
      <c r="H444" s="37" t="s">
        <v>131</v>
      </c>
      <c r="I444" s="37" t="s">
        <v>44</v>
      </c>
      <c r="J444" s="37" t="s">
        <v>393</v>
      </c>
      <c r="K444" s="37" t="str">
        <f t="shared" si="11"/>
        <v>De Kalb, GA</v>
      </c>
      <c r="L444" s="24"/>
    </row>
    <row r="445">
      <c r="A445" s="28">
        <v>444.0</v>
      </c>
      <c r="B445" s="29"/>
      <c r="C445" s="29"/>
      <c r="D445" s="40">
        <v>1.0</v>
      </c>
      <c r="E445" s="31">
        <v>13.0</v>
      </c>
      <c r="F445" s="42">
        <v>91.0</v>
      </c>
      <c r="G445" s="29" t="str">
        <f t="shared" si="1"/>
        <v>13091</v>
      </c>
      <c r="H445" s="37" t="s">
        <v>564</v>
      </c>
      <c r="I445" s="37" t="s">
        <v>44</v>
      </c>
      <c r="J445" s="37" t="s">
        <v>393</v>
      </c>
      <c r="K445" s="37" t="str">
        <f t="shared" si="11"/>
        <v>Dodge, GA</v>
      </c>
      <c r="L445" s="24"/>
    </row>
    <row r="446">
      <c r="A446" s="28">
        <v>445.0</v>
      </c>
      <c r="B446" s="29"/>
      <c r="C446" s="29"/>
      <c r="D446" s="40">
        <v>1.0</v>
      </c>
      <c r="E446" s="31">
        <v>13.0</v>
      </c>
      <c r="F446" s="42">
        <v>93.0</v>
      </c>
      <c r="G446" s="29" t="str">
        <f t="shared" si="1"/>
        <v>13093</v>
      </c>
      <c r="H446" s="37" t="s">
        <v>565</v>
      </c>
      <c r="I446" s="37" t="s">
        <v>44</v>
      </c>
      <c r="J446" s="37" t="s">
        <v>393</v>
      </c>
      <c r="K446" s="37" t="str">
        <f t="shared" si="11"/>
        <v>Dooly, GA</v>
      </c>
      <c r="L446" s="24"/>
    </row>
    <row r="447">
      <c r="A447" s="28">
        <v>446.0</v>
      </c>
      <c r="B447" s="29"/>
      <c r="C447" s="29"/>
      <c r="D447" s="40">
        <v>1.0</v>
      </c>
      <c r="E447" s="31">
        <v>13.0</v>
      </c>
      <c r="F447" s="42">
        <v>95.0</v>
      </c>
      <c r="G447" s="29" t="str">
        <f t="shared" si="1"/>
        <v>13095</v>
      </c>
      <c r="H447" s="37" t="s">
        <v>566</v>
      </c>
      <c r="I447" s="37" t="s">
        <v>44</v>
      </c>
      <c r="J447" s="37" t="s">
        <v>393</v>
      </c>
      <c r="K447" s="37" t="str">
        <f t="shared" si="11"/>
        <v>Dougherty, GA</v>
      </c>
      <c r="L447" s="24"/>
    </row>
    <row r="448">
      <c r="A448" s="28">
        <v>447.0</v>
      </c>
      <c r="B448" s="29"/>
      <c r="C448" s="29"/>
      <c r="D448" s="40">
        <v>1.0</v>
      </c>
      <c r="E448" s="31">
        <v>13.0</v>
      </c>
      <c r="F448" s="42">
        <v>97.0</v>
      </c>
      <c r="G448" s="29" t="str">
        <f t="shared" si="1"/>
        <v>13097</v>
      </c>
      <c r="H448" s="37" t="s">
        <v>412</v>
      </c>
      <c r="I448" s="37" t="s">
        <v>44</v>
      </c>
      <c r="J448" s="37" t="s">
        <v>393</v>
      </c>
      <c r="K448" s="37" t="str">
        <f t="shared" si="11"/>
        <v>Douglas, GA</v>
      </c>
      <c r="L448" s="24"/>
    </row>
    <row r="449">
      <c r="A449" s="28">
        <v>448.0</v>
      </c>
      <c r="B449" s="29"/>
      <c r="C449" s="29"/>
      <c r="D449" s="40">
        <v>1.0</v>
      </c>
      <c r="E449" s="31">
        <v>13.0</v>
      </c>
      <c r="F449" s="42">
        <v>99.0</v>
      </c>
      <c r="G449" s="29" t="str">
        <f t="shared" si="1"/>
        <v>13099</v>
      </c>
      <c r="H449" s="37" t="s">
        <v>567</v>
      </c>
      <c r="I449" s="37" t="s">
        <v>44</v>
      </c>
      <c r="J449" s="37" t="s">
        <v>393</v>
      </c>
      <c r="K449" s="37" t="str">
        <f t="shared" si="11"/>
        <v>Early, GA</v>
      </c>
      <c r="L449" s="24"/>
    </row>
    <row r="450">
      <c r="A450" s="28">
        <v>449.0</v>
      </c>
      <c r="B450" s="29"/>
      <c r="C450" s="29"/>
      <c r="D450" s="40">
        <v>1.0</v>
      </c>
      <c r="E450" s="31">
        <v>13.0</v>
      </c>
      <c r="F450" s="42">
        <v>101.0</v>
      </c>
      <c r="G450" s="29" t="str">
        <f t="shared" si="1"/>
        <v>13101</v>
      </c>
      <c r="H450" s="37" t="s">
        <v>568</v>
      </c>
      <c r="I450" s="37" t="s">
        <v>44</v>
      </c>
      <c r="J450" s="37" t="s">
        <v>393</v>
      </c>
      <c r="K450" s="37" t="str">
        <f t="shared" si="11"/>
        <v>Echols, GA</v>
      </c>
      <c r="L450" s="24"/>
    </row>
    <row r="451">
      <c r="A451" s="28">
        <v>450.0</v>
      </c>
      <c r="B451" s="29"/>
      <c r="C451" s="29"/>
      <c r="D451" s="40">
        <v>1.0</v>
      </c>
      <c r="E451" s="31">
        <v>13.0</v>
      </c>
      <c r="F451" s="42">
        <v>103.0</v>
      </c>
      <c r="G451" s="29" t="str">
        <f t="shared" si="1"/>
        <v>13103</v>
      </c>
      <c r="H451" s="37" t="s">
        <v>569</v>
      </c>
      <c r="I451" s="37" t="s">
        <v>44</v>
      </c>
      <c r="J451" s="37" t="s">
        <v>393</v>
      </c>
      <c r="K451" s="37" t="str">
        <f t="shared" si="11"/>
        <v>Effingham, GA</v>
      </c>
      <c r="L451" s="24"/>
    </row>
    <row r="452">
      <c r="A452" s="28">
        <v>451.0</v>
      </c>
      <c r="B452" s="29"/>
      <c r="C452" s="29"/>
      <c r="D452" s="40">
        <v>1.0</v>
      </c>
      <c r="E452" s="31">
        <v>13.0</v>
      </c>
      <c r="F452" s="42">
        <v>105.0</v>
      </c>
      <c r="G452" s="29" t="str">
        <f t="shared" si="1"/>
        <v>13105</v>
      </c>
      <c r="H452" s="37" t="s">
        <v>414</v>
      </c>
      <c r="I452" s="37" t="s">
        <v>44</v>
      </c>
      <c r="J452" s="37" t="s">
        <v>393</v>
      </c>
      <c r="K452" s="37" t="str">
        <f t="shared" si="11"/>
        <v>Elbert, GA</v>
      </c>
      <c r="L452" s="24"/>
    </row>
    <row r="453">
      <c r="A453" s="28">
        <v>452.0</v>
      </c>
      <c r="B453" s="29"/>
      <c r="C453" s="29"/>
      <c r="D453" s="40">
        <v>1.0</v>
      </c>
      <c r="E453" s="31">
        <v>13.0</v>
      </c>
      <c r="F453" s="42">
        <v>107.0</v>
      </c>
      <c r="G453" s="29" t="str">
        <f t="shared" si="1"/>
        <v>13107</v>
      </c>
      <c r="H453" s="37" t="s">
        <v>571</v>
      </c>
      <c r="I453" s="37" t="s">
        <v>44</v>
      </c>
      <c r="J453" s="37" t="s">
        <v>393</v>
      </c>
      <c r="K453" s="37" t="str">
        <f t="shared" si="11"/>
        <v>Emanuel, GA</v>
      </c>
      <c r="L453" s="24"/>
    </row>
    <row r="454">
      <c r="A454" s="28">
        <v>453.0</v>
      </c>
      <c r="B454" s="29"/>
      <c r="C454" s="29"/>
      <c r="D454" s="40">
        <v>1.0</v>
      </c>
      <c r="E454" s="31">
        <v>13.0</v>
      </c>
      <c r="F454" s="42">
        <v>109.0</v>
      </c>
      <c r="G454" s="29" t="str">
        <f t="shared" si="1"/>
        <v>13109</v>
      </c>
      <c r="H454" s="37" t="s">
        <v>572</v>
      </c>
      <c r="I454" s="37" t="s">
        <v>44</v>
      </c>
      <c r="J454" s="37" t="s">
        <v>393</v>
      </c>
      <c r="K454" s="37" t="str">
        <f t="shared" si="11"/>
        <v>Evans, GA</v>
      </c>
      <c r="L454" s="24"/>
    </row>
    <row r="455">
      <c r="A455" s="28">
        <v>454.0</v>
      </c>
      <c r="B455" s="29"/>
      <c r="C455" s="29"/>
      <c r="D455" s="40">
        <v>1.0</v>
      </c>
      <c r="E455" s="31">
        <v>13.0</v>
      </c>
      <c r="F455" s="42">
        <v>111.0</v>
      </c>
      <c r="G455" s="29" t="str">
        <f t="shared" si="1"/>
        <v>13111</v>
      </c>
      <c r="H455" s="37" t="s">
        <v>574</v>
      </c>
      <c r="I455" s="37" t="s">
        <v>44</v>
      </c>
      <c r="J455" s="37" t="s">
        <v>393</v>
      </c>
      <c r="K455" s="37" t="str">
        <f t="shared" si="11"/>
        <v>Fannin, GA</v>
      </c>
      <c r="L455" s="24"/>
    </row>
    <row r="456">
      <c r="A456" s="28">
        <v>455.0</v>
      </c>
      <c r="B456" s="29"/>
      <c r="C456" s="29"/>
      <c r="D456" s="40">
        <v>1.0</v>
      </c>
      <c r="E456" s="31">
        <v>13.0</v>
      </c>
      <c r="F456" s="42">
        <v>113.0</v>
      </c>
      <c r="G456" s="29" t="str">
        <f t="shared" si="1"/>
        <v>13113</v>
      </c>
      <c r="H456" s="37" t="s">
        <v>135</v>
      </c>
      <c r="I456" s="37" t="s">
        <v>44</v>
      </c>
      <c r="J456" s="37" t="s">
        <v>393</v>
      </c>
      <c r="K456" s="37" t="str">
        <f t="shared" si="11"/>
        <v>Fayette, GA</v>
      </c>
      <c r="L456" s="24"/>
    </row>
    <row r="457">
      <c r="A457" s="28">
        <v>456.0</v>
      </c>
      <c r="B457" s="29"/>
      <c r="C457" s="29"/>
      <c r="D457" s="40">
        <v>1.0</v>
      </c>
      <c r="E457" s="31">
        <v>13.0</v>
      </c>
      <c r="F457" s="42">
        <v>115.0</v>
      </c>
      <c r="G457" s="29" t="str">
        <f t="shared" si="1"/>
        <v>13115</v>
      </c>
      <c r="H457" s="37" t="s">
        <v>575</v>
      </c>
      <c r="I457" s="37" t="s">
        <v>44</v>
      </c>
      <c r="J457" s="37" t="s">
        <v>393</v>
      </c>
      <c r="K457" s="37" t="str">
        <f t="shared" si="11"/>
        <v>Floyd, GA</v>
      </c>
      <c r="L457" s="24"/>
    </row>
    <row r="458">
      <c r="A458" s="28">
        <v>457.0</v>
      </c>
      <c r="B458" s="29"/>
      <c r="C458" s="29"/>
      <c r="D458" s="40">
        <v>1.0</v>
      </c>
      <c r="E458" s="31">
        <v>13.0</v>
      </c>
      <c r="F458" s="42">
        <v>117.0</v>
      </c>
      <c r="G458" s="29" t="str">
        <f t="shared" si="1"/>
        <v>13117</v>
      </c>
      <c r="H458" s="37" t="s">
        <v>576</v>
      </c>
      <c r="I458" s="37" t="s">
        <v>44</v>
      </c>
      <c r="J458" s="37" t="s">
        <v>393</v>
      </c>
      <c r="K458" s="37" t="str">
        <f t="shared" si="11"/>
        <v>Forsyth, GA</v>
      </c>
      <c r="L458" s="24"/>
    </row>
    <row r="459">
      <c r="A459" s="28">
        <v>458.0</v>
      </c>
      <c r="B459" s="29"/>
      <c r="C459" s="29"/>
      <c r="D459" s="40">
        <v>1.0</v>
      </c>
      <c r="E459" s="31">
        <v>13.0</v>
      </c>
      <c r="F459" s="42">
        <v>119.0</v>
      </c>
      <c r="G459" s="29" t="str">
        <f t="shared" si="1"/>
        <v>13119</v>
      </c>
      <c r="H459" s="37" t="s">
        <v>136</v>
      </c>
      <c r="I459" s="37" t="s">
        <v>44</v>
      </c>
      <c r="J459" s="37" t="s">
        <v>393</v>
      </c>
      <c r="K459" s="37" t="str">
        <f t="shared" si="11"/>
        <v>Franklin, GA</v>
      </c>
      <c r="L459" s="24"/>
    </row>
    <row r="460">
      <c r="A460" s="28">
        <v>459.0</v>
      </c>
      <c r="B460" s="29"/>
      <c r="C460" s="29"/>
      <c r="D460" s="40">
        <v>1.0</v>
      </c>
      <c r="E460" s="31">
        <v>13.0</v>
      </c>
      <c r="F460" s="42">
        <v>121.0</v>
      </c>
      <c r="G460" s="29" t="str">
        <f t="shared" si="1"/>
        <v>13121</v>
      </c>
      <c r="H460" s="37" t="s">
        <v>275</v>
      </c>
      <c r="I460" s="37" t="s">
        <v>44</v>
      </c>
      <c r="J460" s="37" t="s">
        <v>393</v>
      </c>
      <c r="K460" s="37" t="str">
        <f t="shared" si="11"/>
        <v>Fulton, GA</v>
      </c>
      <c r="L460" s="24"/>
    </row>
    <row r="461">
      <c r="A461" s="28">
        <v>460.0</v>
      </c>
      <c r="B461" s="29"/>
      <c r="C461" s="29"/>
      <c r="D461" s="40">
        <v>1.0</v>
      </c>
      <c r="E461" s="31">
        <v>13.0</v>
      </c>
      <c r="F461" s="42">
        <v>123.0</v>
      </c>
      <c r="G461" s="29" t="str">
        <f t="shared" si="1"/>
        <v>13123</v>
      </c>
      <c r="H461" s="37" t="s">
        <v>579</v>
      </c>
      <c r="I461" s="37" t="s">
        <v>44</v>
      </c>
      <c r="J461" s="37" t="s">
        <v>393</v>
      </c>
      <c r="K461" s="37" t="str">
        <f t="shared" si="11"/>
        <v>Gilmer, GA</v>
      </c>
      <c r="L461" s="24"/>
    </row>
    <row r="462">
      <c r="A462" s="28">
        <v>461.0</v>
      </c>
      <c r="B462" s="29"/>
      <c r="C462" s="29"/>
      <c r="D462" s="40">
        <v>1.0</v>
      </c>
      <c r="E462" s="31">
        <v>13.0</v>
      </c>
      <c r="F462" s="42">
        <v>125.0</v>
      </c>
      <c r="G462" s="29" t="str">
        <f t="shared" si="1"/>
        <v>13125</v>
      </c>
      <c r="H462" s="37" t="s">
        <v>581</v>
      </c>
      <c r="I462" s="37" t="s">
        <v>44</v>
      </c>
      <c r="J462" s="37" t="s">
        <v>393</v>
      </c>
      <c r="K462" s="37" t="str">
        <f t="shared" si="11"/>
        <v>Glascock, GA</v>
      </c>
      <c r="L462" s="24"/>
    </row>
    <row r="463">
      <c r="A463" s="28">
        <v>462.0</v>
      </c>
      <c r="B463" s="29"/>
      <c r="C463" s="29"/>
      <c r="D463" s="40">
        <v>1.0</v>
      </c>
      <c r="E463" s="31">
        <v>13.0</v>
      </c>
      <c r="F463" s="42">
        <v>127.0</v>
      </c>
      <c r="G463" s="29" t="str">
        <f t="shared" si="1"/>
        <v>13127</v>
      </c>
      <c r="H463" s="37" t="s">
        <v>582</v>
      </c>
      <c r="I463" s="37" t="s">
        <v>44</v>
      </c>
      <c r="J463" s="37" t="s">
        <v>393</v>
      </c>
      <c r="K463" s="37" t="str">
        <f t="shared" si="11"/>
        <v>Glynn, GA</v>
      </c>
      <c r="L463" s="24"/>
    </row>
    <row r="464">
      <c r="A464" s="28">
        <v>463.0</v>
      </c>
      <c r="B464" s="29"/>
      <c r="C464" s="29"/>
      <c r="D464" s="40">
        <v>1.0</v>
      </c>
      <c r="E464" s="31">
        <v>13.0</v>
      </c>
      <c r="F464" s="42">
        <v>129.0</v>
      </c>
      <c r="G464" s="29" t="str">
        <f t="shared" si="1"/>
        <v>13129</v>
      </c>
      <c r="H464" s="37" t="s">
        <v>583</v>
      </c>
      <c r="I464" s="37" t="s">
        <v>44</v>
      </c>
      <c r="J464" s="37" t="s">
        <v>393</v>
      </c>
      <c r="K464" s="37" t="str">
        <f t="shared" si="11"/>
        <v>Gordon, GA</v>
      </c>
      <c r="L464" s="24"/>
    </row>
    <row r="465">
      <c r="A465" s="28">
        <v>464.0</v>
      </c>
      <c r="B465" s="29"/>
      <c r="C465" s="29"/>
      <c r="D465" s="40">
        <v>1.0</v>
      </c>
      <c r="E465" s="31">
        <v>13.0</v>
      </c>
      <c r="F465" s="42">
        <v>131.0</v>
      </c>
      <c r="G465" s="29" t="str">
        <f t="shared" si="1"/>
        <v>13131</v>
      </c>
      <c r="H465" s="37" t="s">
        <v>584</v>
      </c>
      <c r="I465" s="37" t="s">
        <v>44</v>
      </c>
      <c r="J465" s="37" t="s">
        <v>393</v>
      </c>
      <c r="K465" s="37" t="str">
        <f t="shared" si="11"/>
        <v>Grady, GA</v>
      </c>
      <c r="L465" s="24"/>
    </row>
    <row r="466">
      <c r="A466" s="28">
        <v>465.0</v>
      </c>
      <c r="B466" s="29"/>
      <c r="C466" s="29"/>
      <c r="D466" s="40">
        <v>1.0</v>
      </c>
      <c r="E466" s="31">
        <v>13.0</v>
      </c>
      <c r="F466" s="42">
        <v>133.0</v>
      </c>
      <c r="G466" s="29" t="str">
        <f t="shared" si="1"/>
        <v>13133</v>
      </c>
      <c r="H466" s="37" t="s">
        <v>138</v>
      </c>
      <c r="I466" s="37" t="s">
        <v>44</v>
      </c>
      <c r="J466" s="37" t="s">
        <v>393</v>
      </c>
      <c r="K466" s="37" t="str">
        <f t="shared" si="11"/>
        <v>Greene, GA</v>
      </c>
      <c r="L466" s="24"/>
    </row>
    <row r="467">
      <c r="A467" s="28">
        <v>466.0</v>
      </c>
      <c r="B467" s="29"/>
      <c r="C467" s="29"/>
      <c r="D467" s="40">
        <v>1.0</v>
      </c>
      <c r="E467" s="31">
        <v>13.0</v>
      </c>
      <c r="F467" s="42">
        <v>135.0</v>
      </c>
      <c r="G467" s="29" t="str">
        <f t="shared" si="1"/>
        <v>13135</v>
      </c>
      <c r="H467" s="37" t="s">
        <v>460</v>
      </c>
      <c r="I467" s="37" t="s">
        <v>44</v>
      </c>
      <c r="J467" s="37" t="s">
        <v>393</v>
      </c>
      <c r="K467" s="37" t="str">
        <f t="shared" si="11"/>
        <v>Gwinnett, GA</v>
      </c>
      <c r="L467" s="24"/>
    </row>
    <row r="468">
      <c r="A468" s="28">
        <v>467.0</v>
      </c>
      <c r="B468" s="29"/>
      <c r="C468" s="29"/>
      <c r="D468" s="40">
        <v>1.0</v>
      </c>
      <c r="E468" s="31">
        <v>13.0</v>
      </c>
      <c r="F468" s="42">
        <v>137.0</v>
      </c>
      <c r="G468" s="29" t="str">
        <f t="shared" si="1"/>
        <v>13137</v>
      </c>
      <c r="H468" s="37" t="s">
        <v>585</v>
      </c>
      <c r="I468" s="37" t="s">
        <v>44</v>
      </c>
      <c r="J468" s="37" t="s">
        <v>393</v>
      </c>
      <c r="K468" s="37" t="str">
        <f t="shared" si="11"/>
        <v>Habersham, GA</v>
      </c>
      <c r="L468" s="24"/>
    </row>
    <row r="469">
      <c r="A469" s="28">
        <v>468.0</v>
      </c>
      <c r="B469" s="29"/>
      <c r="C469" s="29"/>
      <c r="D469" s="40">
        <v>1.0</v>
      </c>
      <c r="E469" s="31">
        <v>13.0</v>
      </c>
      <c r="F469" s="42">
        <v>139.0</v>
      </c>
      <c r="G469" s="29" t="str">
        <f t="shared" si="1"/>
        <v>13139</v>
      </c>
      <c r="H469" s="37" t="s">
        <v>586</v>
      </c>
      <c r="I469" s="37" t="s">
        <v>44</v>
      </c>
      <c r="J469" s="37" t="s">
        <v>393</v>
      </c>
      <c r="K469" s="37" t="str">
        <f t="shared" si="11"/>
        <v>Hall, GA</v>
      </c>
      <c r="L469" s="24"/>
    </row>
    <row r="470">
      <c r="A470" s="28">
        <v>469.0</v>
      </c>
      <c r="B470" s="29"/>
      <c r="C470" s="29"/>
      <c r="D470" s="40">
        <v>1.0</v>
      </c>
      <c r="E470" s="31">
        <v>13.0</v>
      </c>
      <c r="F470" s="42">
        <v>141.0</v>
      </c>
      <c r="G470" s="29" t="str">
        <f t="shared" si="1"/>
        <v>13141</v>
      </c>
      <c r="H470" s="37" t="s">
        <v>587</v>
      </c>
      <c r="I470" s="37" t="s">
        <v>44</v>
      </c>
      <c r="J470" s="37" t="s">
        <v>393</v>
      </c>
      <c r="K470" s="37" t="str">
        <f t="shared" si="11"/>
        <v>Hancock, GA</v>
      </c>
      <c r="L470" s="24"/>
    </row>
    <row r="471">
      <c r="A471" s="28">
        <v>470.0</v>
      </c>
      <c r="B471" s="29"/>
      <c r="C471" s="29"/>
      <c r="D471" s="40">
        <v>1.0</v>
      </c>
      <c r="E471" s="31">
        <v>13.0</v>
      </c>
      <c r="F471" s="42">
        <v>143.0</v>
      </c>
      <c r="G471" s="29" t="str">
        <f t="shared" si="1"/>
        <v>13143</v>
      </c>
      <c r="H471" s="37" t="s">
        <v>588</v>
      </c>
      <c r="I471" s="37" t="s">
        <v>44</v>
      </c>
      <c r="J471" s="37" t="s">
        <v>393</v>
      </c>
      <c r="K471" s="37" t="str">
        <f t="shared" si="11"/>
        <v>Haralson, GA</v>
      </c>
      <c r="L471" s="24"/>
    </row>
    <row r="472">
      <c r="A472" s="28">
        <v>471.0</v>
      </c>
      <c r="B472" s="29"/>
      <c r="C472" s="29"/>
      <c r="D472" s="40">
        <v>1.0</v>
      </c>
      <c r="E472" s="31">
        <v>13.0</v>
      </c>
      <c r="F472" s="42">
        <v>145.0</v>
      </c>
      <c r="G472" s="29" t="str">
        <f t="shared" si="1"/>
        <v>13145</v>
      </c>
      <c r="H472" s="37" t="s">
        <v>218</v>
      </c>
      <c r="I472" s="37" t="s">
        <v>44</v>
      </c>
      <c r="J472" s="37" t="s">
        <v>393</v>
      </c>
      <c r="K472" s="37" t="str">
        <f t="shared" si="11"/>
        <v>Harris, GA</v>
      </c>
      <c r="L472" s="24"/>
    </row>
    <row r="473">
      <c r="A473" s="28">
        <v>472.0</v>
      </c>
      <c r="B473" s="29"/>
      <c r="C473" s="29"/>
      <c r="D473" s="40">
        <v>1.0</v>
      </c>
      <c r="E473" s="31">
        <v>13.0</v>
      </c>
      <c r="F473" s="42">
        <v>147.0</v>
      </c>
      <c r="G473" s="29" t="str">
        <f t="shared" si="1"/>
        <v>13147</v>
      </c>
      <c r="H473" s="37" t="s">
        <v>589</v>
      </c>
      <c r="I473" s="37" t="s">
        <v>44</v>
      </c>
      <c r="J473" s="37" t="s">
        <v>393</v>
      </c>
      <c r="K473" s="37" t="str">
        <f t="shared" si="11"/>
        <v>Hart, GA</v>
      </c>
      <c r="L473" s="24"/>
    </row>
    <row r="474">
      <c r="A474" s="28">
        <v>473.0</v>
      </c>
      <c r="B474" s="29"/>
      <c r="C474" s="29"/>
      <c r="D474" s="40">
        <v>1.0</v>
      </c>
      <c r="E474" s="31">
        <v>13.0</v>
      </c>
      <c r="F474" s="42">
        <v>149.0</v>
      </c>
      <c r="G474" s="29" t="str">
        <f t="shared" si="1"/>
        <v>13149</v>
      </c>
      <c r="H474" s="37" t="s">
        <v>590</v>
      </c>
      <c r="I474" s="37" t="s">
        <v>44</v>
      </c>
      <c r="J474" s="37" t="s">
        <v>393</v>
      </c>
      <c r="K474" s="37" t="str">
        <f t="shared" si="11"/>
        <v>Heard, GA</v>
      </c>
      <c r="L474" s="24"/>
    </row>
    <row r="475">
      <c r="A475" s="28">
        <v>474.0</v>
      </c>
      <c r="B475" s="29"/>
      <c r="C475" s="29"/>
      <c r="D475" s="40">
        <v>1.0</v>
      </c>
      <c r="E475" s="31">
        <v>13.0</v>
      </c>
      <c r="F475" s="42">
        <v>151.0</v>
      </c>
      <c r="G475" s="29" t="str">
        <f t="shared" si="1"/>
        <v>13151</v>
      </c>
      <c r="H475" s="37" t="s">
        <v>140</v>
      </c>
      <c r="I475" s="37" t="s">
        <v>44</v>
      </c>
      <c r="J475" s="37" t="s">
        <v>393</v>
      </c>
      <c r="K475" s="37" t="str">
        <f t="shared" si="11"/>
        <v>Henry, GA</v>
      </c>
      <c r="L475" s="24"/>
    </row>
    <row r="476">
      <c r="A476" s="28">
        <v>475.0</v>
      </c>
      <c r="B476" s="29"/>
      <c r="C476" s="29"/>
      <c r="D476" s="40">
        <v>1.0</v>
      </c>
      <c r="E476" s="31">
        <v>13.0</v>
      </c>
      <c r="F476" s="42">
        <v>153.0</v>
      </c>
      <c r="G476" s="29" t="str">
        <f t="shared" si="1"/>
        <v>13153</v>
      </c>
      <c r="H476" s="37" t="s">
        <v>141</v>
      </c>
      <c r="I476" s="37" t="s">
        <v>44</v>
      </c>
      <c r="J476" s="37" t="s">
        <v>393</v>
      </c>
      <c r="K476" s="37" t="str">
        <f t="shared" si="11"/>
        <v>Houston, GA</v>
      </c>
      <c r="L476" s="24"/>
    </row>
    <row r="477">
      <c r="A477" s="28">
        <v>476.0</v>
      </c>
      <c r="B477" s="29"/>
      <c r="C477" s="29"/>
      <c r="D477" s="40">
        <v>1.0</v>
      </c>
      <c r="E477" s="31">
        <v>13.0</v>
      </c>
      <c r="F477" s="42">
        <v>155.0</v>
      </c>
      <c r="G477" s="29" t="str">
        <f t="shared" si="1"/>
        <v>13155</v>
      </c>
      <c r="H477" s="37" t="s">
        <v>591</v>
      </c>
      <c r="I477" s="37" t="s">
        <v>44</v>
      </c>
      <c r="J477" s="37" t="s">
        <v>393</v>
      </c>
      <c r="K477" s="37" t="str">
        <f t="shared" si="11"/>
        <v>Irwin, GA</v>
      </c>
      <c r="L477" s="24"/>
    </row>
    <row r="478">
      <c r="A478" s="28">
        <v>477.0</v>
      </c>
      <c r="B478" s="29"/>
      <c r="C478" s="29"/>
      <c r="D478" s="40">
        <v>1.0</v>
      </c>
      <c r="E478" s="31">
        <v>13.0</v>
      </c>
      <c r="F478" s="42">
        <v>157.0</v>
      </c>
      <c r="G478" s="29" t="str">
        <f t="shared" si="1"/>
        <v>13157</v>
      </c>
      <c r="H478" s="37" t="s">
        <v>142</v>
      </c>
      <c r="I478" s="37" t="s">
        <v>44</v>
      </c>
      <c r="J478" s="37" t="s">
        <v>393</v>
      </c>
      <c r="K478" s="37" t="str">
        <f t="shared" si="11"/>
        <v>Jackson, GA</v>
      </c>
      <c r="L478" s="24"/>
    </row>
    <row r="479">
      <c r="A479" s="28">
        <v>478.0</v>
      </c>
      <c r="B479" s="29"/>
      <c r="C479" s="29"/>
      <c r="D479" s="40">
        <v>1.0</v>
      </c>
      <c r="E479" s="31">
        <v>13.0</v>
      </c>
      <c r="F479" s="42">
        <v>159.0</v>
      </c>
      <c r="G479" s="29" t="str">
        <f t="shared" si="1"/>
        <v>13159</v>
      </c>
      <c r="H479" s="37" t="s">
        <v>593</v>
      </c>
      <c r="I479" s="37" t="s">
        <v>44</v>
      </c>
      <c r="J479" s="37" t="s">
        <v>393</v>
      </c>
      <c r="K479" s="37" t="str">
        <f t="shared" si="11"/>
        <v>Jasper, GA</v>
      </c>
      <c r="L479" s="24"/>
    </row>
    <row r="480">
      <c r="A480" s="28">
        <v>479.0</v>
      </c>
      <c r="B480" s="29"/>
      <c r="C480" s="29"/>
      <c r="D480" s="40">
        <v>1.0</v>
      </c>
      <c r="E480" s="31">
        <v>13.0</v>
      </c>
      <c r="F480" s="42">
        <v>161.0</v>
      </c>
      <c r="G480" s="29" t="str">
        <f t="shared" si="1"/>
        <v>13161</v>
      </c>
      <c r="H480" s="37" t="s">
        <v>594</v>
      </c>
      <c r="I480" s="37" t="s">
        <v>44</v>
      </c>
      <c r="J480" s="37" t="s">
        <v>393</v>
      </c>
      <c r="K480" s="37" t="str">
        <f t="shared" si="11"/>
        <v>Jeff Davis, GA</v>
      </c>
      <c r="L480" s="24"/>
    </row>
    <row r="481">
      <c r="A481" s="28">
        <v>480.0</v>
      </c>
      <c r="B481" s="29"/>
      <c r="C481" s="29"/>
      <c r="D481" s="40">
        <v>1.0</v>
      </c>
      <c r="E481" s="31">
        <v>13.0</v>
      </c>
      <c r="F481" s="42">
        <v>163.0</v>
      </c>
      <c r="G481" s="29" t="str">
        <f t="shared" si="1"/>
        <v>13163</v>
      </c>
      <c r="H481" s="37" t="s">
        <v>143</v>
      </c>
      <c r="I481" s="37" t="s">
        <v>44</v>
      </c>
      <c r="J481" s="37" t="s">
        <v>393</v>
      </c>
      <c r="K481" s="37" t="str">
        <f t="shared" si="11"/>
        <v>Jefferson, GA</v>
      </c>
      <c r="L481" s="24"/>
    </row>
    <row r="482">
      <c r="A482" s="28">
        <v>481.0</v>
      </c>
      <c r="B482" s="29"/>
      <c r="C482" s="29"/>
      <c r="D482" s="40">
        <v>1.0</v>
      </c>
      <c r="E482" s="31">
        <v>13.0</v>
      </c>
      <c r="F482" s="42">
        <v>165.0</v>
      </c>
      <c r="G482" s="29" t="str">
        <f t="shared" si="1"/>
        <v>13165</v>
      </c>
      <c r="H482" s="37" t="s">
        <v>597</v>
      </c>
      <c r="I482" s="37" t="s">
        <v>44</v>
      </c>
      <c r="J482" s="37" t="s">
        <v>393</v>
      </c>
      <c r="K482" s="37" t="str">
        <f t="shared" si="11"/>
        <v>Jenkins, GA</v>
      </c>
      <c r="L482" s="24"/>
    </row>
    <row r="483">
      <c r="A483" s="28">
        <v>482.0</v>
      </c>
      <c r="B483" s="29"/>
      <c r="C483" s="29"/>
      <c r="D483" s="40">
        <v>1.0</v>
      </c>
      <c r="E483" s="31">
        <v>13.0</v>
      </c>
      <c r="F483" s="42">
        <v>167.0</v>
      </c>
      <c r="G483" s="29" t="str">
        <f t="shared" si="1"/>
        <v>13167</v>
      </c>
      <c r="H483" s="37" t="s">
        <v>288</v>
      </c>
      <c r="I483" s="37" t="s">
        <v>44</v>
      </c>
      <c r="J483" s="37" t="s">
        <v>393</v>
      </c>
      <c r="K483" s="37" t="str">
        <f t="shared" si="11"/>
        <v>Johnson, GA</v>
      </c>
      <c r="L483" s="24"/>
    </row>
    <row r="484">
      <c r="A484" s="28">
        <v>483.0</v>
      </c>
      <c r="B484" s="29"/>
      <c r="C484" s="29"/>
      <c r="D484" s="40">
        <v>1.0</v>
      </c>
      <c r="E484" s="31">
        <v>13.0</v>
      </c>
      <c r="F484" s="42">
        <v>169.0</v>
      </c>
      <c r="G484" s="29" t="str">
        <f t="shared" si="1"/>
        <v>13169</v>
      </c>
      <c r="H484" s="37" t="s">
        <v>598</v>
      </c>
      <c r="I484" s="37" t="s">
        <v>44</v>
      </c>
      <c r="J484" s="37" t="s">
        <v>393</v>
      </c>
      <c r="K484" s="37" t="str">
        <f t="shared" si="11"/>
        <v>Jones, GA</v>
      </c>
      <c r="L484" s="24"/>
    </row>
    <row r="485">
      <c r="A485" s="28">
        <v>484.0</v>
      </c>
      <c r="B485" s="29"/>
      <c r="C485" s="29"/>
      <c r="D485" s="40">
        <v>1.0</v>
      </c>
      <c r="E485" s="31">
        <v>13.0</v>
      </c>
      <c r="F485" s="42">
        <v>171.0</v>
      </c>
      <c r="G485" s="29" t="str">
        <f t="shared" si="1"/>
        <v>13171</v>
      </c>
      <c r="H485" s="37" t="s">
        <v>144</v>
      </c>
      <c r="I485" s="37" t="s">
        <v>44</v>
      </c>
      <c r="J485" s="37" t="s">
        <v>393</v>
      </c>
      <c r="K485" s="37" t="str">
        <f t="shared" si="11"/>
        <v>Lamar, GA</v>
      </c>
      <c r="L485" s="24"/>
    </row>
    <row r="486">
      <c r="A486" s="28">
        <v>485.0</v>
      </c>
      <c r="B486" s="29"/>
      <c r="C486" s="29"/>
      <c r="D486" s="40">
        <v>1.0</v>
      </c>
      <c r="E486" s="31">
        <v>13.0</v>
      </c>
      <c r="F486" s="42">
        <v>173.0</v>
      </c>
      <c r="G486" s="29" t="str">
        <f t="shared" si="1"/>
        <v>13173</v>
      </c>
      <c r="H486" s="37" t="s">
        <v>600</v>
      </c>
      <c r="I486" s="37" t="s">
        <v>44</v>
      </c>
      <c r="J486" s="37" t="s">
        <v>393</v>
      </c>
      <c r="K486" s="37" t="str">
        <f t="shared" si="11"/>
        <v>Lanier, GA</v>
      </c>
      <c r="L486" s="24"/>
    </row>
    <row r="487">
      <c r="A487" s="28">
        <v>486.0</v>
      </c>
      <c r="B487" s="29"/>
      <c r="C487" s="29"/>
      <c r="D487" s="40">
        <v>1.0</v>
      </c>
      <c r="E487" s="31">
        <v>13.0</v>
      </c>
      <c r="F487" s="42">
        <v>175.0</v>
      </c>
      <c r="G487" s="29" t="str">
        <f t="shared" si="1"/>
        <v>13175</v>
      </c>
      <c r="H487" s="37" t="s">
        <v>601</v>
      </c>
      <c r="I487" s="37" t="s">
        <v>44</v>
      </c>
      <c r="J487" s="37" t="s">
        <v>393</v>
      </c>
      <c r="K487" s="37" t="str">
        <f t="shared" si="11"/>
        <v>Laurens, GA</v>
      </c>
      <c r="L487" s="24"/>
    </row>
    <row r="488">
      <c r="A488" s="28">
        <v>487.0</v>
      </c>
      <c r="B488" s="29"/>
      <c r="C488" s="29"/>
      <c r="D488" s="40">
        <v>1.0</v>
      </c>
      <c r="E488" s="31">
        <v>13.0</v>
      </c>
      <c r="F488" s="42">
        <v>177.0</v>
      </c>
      <c r="G488" s="29" t="str">
        <f t="shared" si="1"/>
        <v>13177</v>
      </c>
      <c r="H488" s="37" t="s">
        <v>147</v>
      </c>
      <c r="I488" s="37" t="s">
        <v>44</v>
      </c>
      <c r="J488" s="37" t="s">
        <v>393</v>
      </c>
      <c r="K488" s="37" t="str">
        <f t="shared" si="11"/>
        <v>Lee, GA</v>
      </c>
      <c r="L488" s="24"/>
    </row>
    <row r="489">
      <c r="A489" s="28">
        <v>488.0</v>
      </c>
      <c r="B489" s="29"/>
      <c r="C489" s="29"/>
      <c r="D489" s="40">
        <v>1.0</v>
      </c>
      <c r="E489" s="31">
        <v>13.0</v>
      </c>
      <c r="F489" s="42">
        <v>179.0</v>
      </c>
      <c r="G489" s="29" t="str">
        <f t="shared" si="1"/>
        <v>13179</v>
      </c>
      <c r="H489" s="37" t="s">
        <v>508</v>
      </c>
      <c r="I489" s="37" t="s">
        <v>44</v>
      </c>
      <c r="J489" s="37" t="s">
        <v>393</v>
      </c>
      <c r="K489" s="37" t="str">
        <f t="shared" si="11"/>
        <v>Liberty, GA</v>
      </c>
      <c r="L489" s="24"/>
    </row>
    <row r="490">
      <c r="A490" s="28">
        <v>489.0</v>
      </c>
      <c r="B490" s="29"/>
      <c r="C490" s="29"/>
      <c r="D490" s="40">
        <v>1.0</v>
      </c>
      <c r="E490" s="31">
        <v>13.0</v>
      </c>
      <c r="F490" s="42">
        <v>181.0</v>
      </c>
      <c r="G490" s="29" t="str">
        <f t="shared" si="1"/>
        <v>13181</v>
      </c>
      <c r="H490" s="37" t="s">
        <v>290</v>
      </c>
      <c r="I490" s="37" t="s">
        <v>44</v>
      </c>
      <c r="J490" s="37" t="s">
        <v>393</v>
      </c>
      <c r="K490" s="37" t="str">
        <f t="shared" si="11"/>
        <v>Lincoln, GA</v>
      </c>
      <c r="L490" s="24"/>
    </row>
    <row r="491">
      <c r="A491" s="28">
        <v>490.0</v>
      </c>
      <c r="B491" s="29"/>
      <c r="C491" s="29"/>
      <c r="D491" s="40">
        <v>1.0</v>
      </c>
      <c r="E491" s="31">
        <v>13.0</v>
      </c>
      <c r="F491" s="42">
        <v>183.0</v>
      </c>
      <c r="G491" s="29" t="str">
        <f t="shared" si="1"/>
        <v>13183</v>
      </c>
      <c r="H491" s="37" t="s">
        <v>602</v>
      </c>
      <c r="I491" s="37" t="s">
        <v>44</v>
      </c>
      <c r="J491" s="37" t="s">
        <v>393</v>
      </c>
      <c r="K491" s="37" t="str">
        <f t="shared" si="11"/>
        <v>Long, GA</v>
      </c>
      <c r="L491" s="24"/>
    </row>
    <row r="492">
      <c r="A492" s="28">
        <v>491.0</v>
      </c>
      <c r="B492" s="29"/>
      <c r="C492" s="29"/>
      <c r="D492" s="40">
        <v>1.0</v>
      </c>
      <c r="E492" s="31">
        <v>13.0</v>
      </c>
      <c r="F492" s="42">
        <v>185.0</v>
      </c>
      <c r="G492" s="29" t="str">
        <f t="shared" si="1"/>
        <v>13185</v>
      </c>
      <c r="H492" s="37" t="s">
        <v>149</v>
      </c>
      <c r="I492" s="37" t="s">
        <v>44</v>
      </c>
      <c r="J492" s="37" t="s">
        <v>393</v>
      </c>
      <c r="K492" s="37" t="str">
        <f t="shared" si="11"/>
        <v>Lowndes, GA</v>
      </c>
      <c r="L492" s="24"/>
    </row>
    <row r="493">
      <c r="A493" s="28">
        <v>492.0</v>
      </c>
      <c r="B493" s="29"/>
      <c r="C493" s="29"/>
      <c r="D493" s="40">
        <v>1.0</v>
      </c>
      <c r="E493" s="31">
        <v>13.0</v>
      </c>
      <c r="F493" s="42">
        <v>187.0</v>
      </c>
      <c r="G493" s="29" t="str">
        <f t="shared" si="1"/>
        <v>13187</v>
      </c>
      <c r="H493" s="37" t="s">
        <v>604</v>
      </c>
      <c r="I493" s="37" t="s">
        <v>44</v>
      </c>
      <c r="J493" s="37" t="s">
        <v>393</v>
      </c>
      <c r="K493" s="37" t="str">
        <f t="shared" si="11"/>
        <v>Lumpkin, GA</v>
      </c>
      <c r="L493" s="24"/>
    </row>
    <row r="494">
      <c r="A494" s="28">
        <v>493.0</v>
      </c>
      <c r="B494" s="29"/>
      <c r="C494" s="29"/>
      <c r="D494" s="40">
        <v>1.0</v>
      </c>
      <c r="E494" s="31">
        <v>13.0</v>
      </c>
      <c r="F494" s="42">
        <v>189.0</v>
      </c>
      <c r="G494" s="29" t="str">
        <f t="shared" si="1"/>
        <v>13189</v>
      </c>
      <c r="H494" s="37" t="s">
        <v>605</v>
      </c>
      <c r="I494" s="37" t="s">
        <v>44</v>
      </c>
      <c r="J494" s="37" t="s">
        <v>393</v>
      </c>
      <c r="K494" s="37" t="str">
        <f t="shared" si="11"/>
        <v>McDuffie, GA</v>
      </c>
      <c r="L494" s="24"/>
    </row>
    <row r="495">
      <c r="A495" s="28">
        <v>494.0</v>
      </c>
      <c r="B495" s="29"/>
      <c r="C495" s="29"/>
      <c r="D495" s="40">
        <v>1.0</v>
      </c>
      <c r="E495" s="31">
        <v>13.0</v>
      </c>
      <c r="F495" s="42">
        <v>191.0</v>
      </c>
      <c r="G495" s="29" t="str">
        <f t="shared" si="1"/>
        <v>13191</v>
      </c>
      <c r="H495" s="37" t="s">
        <v>606</v>
      </c>
      <c r="I495" s="37" t="s">
        <v>44</v>
      </c>
      <c r="J495" s="37" t="s">
        <v>393</v>
      </c>
      <c r="K495" s="37" t="str">
        <f t="shared" si="11"/>
        <v>McIntosh, GA</v>
      </c>
      <c r="L495" s="24"/>
    </row>
    <row r="496">
      <c r="A496" s="28">
        <v>495.0</v>
      </c>
      <c r="B496" s="29"/>
      <c r="C496" s="29"/>
      <c r="D496" s="40">
        <v>1.0</v>
      </c>
      <c r="E496" s="31">
        <v>13.0</v>
      </c>
      <c r="F496" s="42">
        <v>193.0</v>
      </c>
      <c r="G496" s="29" t="str">
        <f t="shared" si="1"/>
        <v>13193</v>
      </c>
      <c r="H496" s="37" t="s">
        <v>150</v>
      </c>
      <c r="I496" s="37" t="s">
        <v>44</v>
      </c>
      <c r="J496" s="37" t="s">
        <v>393</v>
      </c>
      <c r="K496" s="37" t="str">
        <f t="shared" si="11"/>
        <v>Macon, GA</v>
      </c>
      <c r="L496" s="24"/>
    </row>
    <row r="497">
      <c r="A497" s="28">
        <v>496.0</v>
      </c>
      <c r="B497" s="29"/>
      <c r="C497" s="29"/>
      <c r="D497" s="40">
        <v>1.0</v>
      </c>
      <c r="E497" s="31">
        <v>13.0</v>
      </c>
      <c r="F497" s="42">
        <v>195.0</v>
      </c>
      <c r="G497" s="29" t="str">
        <f t="shared" si="1"/>
        <v>13195</v>
      </c>
      <c r="H497" s="37" t="s">
        <v>151</v>
      </c>
      <c r="I497" s="37" t="s">
        <v>44</v>
      </c>
      <c r="J497" s="37" t="s">
        <v>393</v>
      </c>
      <c r="K497" s="37" t="str">
        <f t="shared" si="11"/>
        <v>Madison, GA</v>
      </c>
      <c r="L497" s="24"/>
    </row>
    <row r="498">
      <c r="A498" s="28">
        <v>497.0</v>
      </c>
      <c r="B498" s="29"/>
      <c r="C498" s="29"/>
      <c r="D498" s="40">
        <v>1.0</v>
      </c>
      <c r="E498" s="31">
        <v>13.0</v>
      </c>
      <c r="F498" s="42">
        <v>197.0</v>
      </c>
      <c r="G498" s="29" t="str">
        <f t="shared" si="1"/>
        <v>13197</v>
      </c>
      <c r="H498" s="37" t="s">
        <v>153</v>
      </c>
      <c r="I498" s="37" t="s">
        <v>44</v>
      </c>
      <c r="J498" s="37" t="s">
        <v>393</v>
      </c>
      <c r="K498" s="37" t="str">
        <f t="shared" si="11"/>
        <v>Marion, GA</v>
      </c>
      <c r="L498" s="24"/>
    </row>
    <row r="499">
      <c r="A499" s="28">
        <v>498.0</v>
      </c>
      <c r="B499" s="29"/>
      <c r="C499" s="29"/>
      <c r="D499" s="40">
        <v>1.0</v>
      </c>
      <c r="E499" s="31">
        <v>13.0</v>
      </c>
      <c r="F499" s="42">
        <v>199.0</v>
      </c>
      <c r="G499" s="29" t="str">
        <f t="shared" si="1"/>
        <v>13199</v>
      </c>
      <c r="H499" s="37" t="s">
        <v>609</v>
      </c>
      <c r="I499" s="37" t="s">
        <v>44</v>
      </c>
      <c r="J499" s="37" t="s">
        <v>393</v>
      </c>
      <c r="K499" s="37" t="str">
        <f t="shared" si="11"/>
        <v>Meriwether, GA</v>
      </c>
      <c r="L499" s="24"/>
    </row>
    <row r="500">
      <c r="A500" s="28">
        <v>499.0</v>
      </c>
      <c r="B500" s="29"/>
      <c r="C500" s="29"/>
      <c r="D500" s="40">
        <v>1.0</v>
      </c>
      <c r="E500" s="31">
        <v>13.0</v>
      </c>
      <c r="F500" s="42">
        <v>201.0</v>
      </c>
      <c r="G500" s="29" t="str">
        <f t="shared" si="1"/>
        <v>13201</v>
      </c>
      <c r="H500" s="37" t="s">
        <v>295</v>
      </c>
      <c r="I500" s="37" t="s">
        <v>44</v>
      </c>
      <c r="J500" s="37" t="s">
        <v>393</v>
      </c>
      <c r="K500" s="37" t="str">
        <f t="shared" si="11"/>
        <v>Miller, GA</v>
      </c>
      <c r="L500" s="24"/>
    </row>
    <row r="501">
      <c r="A501" s="28">
        <v>500.0</v>
      </c>
      <c r="B501" s="29"/>
      <c r="C501" s="29"/>
      <c r="D501" s="40">
        <v>1.0</v>
      </c>
      <c r="E501" s="31">
        <v>13.0</v>
      </c>
      <c r="F501" s="42">
        <v>205.0</v>
      </c>
      <c r="G501" s="29" t="str">
        <f t="shared" si="1"/>
        <v>13205</v>
      </c>
      <c r="H501" s="37" t="s">
        <v>610</v>
      </c>
      <c r="I501" s="37" t="s">
        <v>44</v>
      </c>
      <c r="J501" s="37" t="s">
        <v>393</v>
      </c>
      <c r="K501" s="37" t="str">
        <f t="shared" si="11"/>
        <v>Mitchell, GA</v>
      </c>
      <c r="L501" s="24"/>
    </row>
    <row r="502">
      <c r="A502" s="28">
        <v>501.0</v>
      </c>
      <c r="B502" s="29"/>
      <c r="C502" s="29"/>
      <c r="D502" s="40">
        <v>1.0</v>
      </c>
      <c r="E502" s="31">
        <v>13.0</v>
      </c>
      <c r="F502" s="42">
        <v>207.0</v>
      </c>
      <c r="G502" s="29" t="str">
        <f t="shared" si="1"/>
        <v>13207</v>
      </c>
      <c r="H502" s="37" t="s">
        <v>156</v>
      </c>
      <c r="I502" s="37" t="s">
        <v>44</v>
      </c>
      <c r="J502" s="37" t="s">
        <v>393</v>
      </c>
      <c r="K502" s="37" t="str">
        <f t="shared" si="11"/>
        <v>Monroe, GA</v>
      </c>
      <c r="L502" s="24"/>
    </row>
    <row r="503">
      <c r="A503" s="28">
        <v>502.0</v>
      </c>
      <c r="B503" s="29"/>
      <c r="C503" s="29"/>
      <c r="D503" s="40">
        <v>1.0</v>
      </c>
      <c r="E503" s="31">
        <v>13.0</v>
      </c>
      <c r="F503" s="42">
        <v>209.0</v>
      </c>
      <c r="G503" s="29" t="str">
        <f t="shared" si="1"/>
        <v>13209</v>
      </c>
      <c r="H503" s="37" t="s">
        <v>157</v>
      </c>
      <c r="I503" s="37" t="s">
        <v>44</v>
      </c>
      <c r="J503" s="37" t="s">
        <v>393</v>
      </c>
      <c r="K503" s="136" t="str">
        <f t="shared" si="11"/>
        <v>Montgomery, GA</v>
      </c>
      <c r="L503" s="24"/>
    </row>
    <row r="504">
      <c r="A504" s="28">
        <v>503.0</v>
      </c>
      <c r="B504" s="29"/>
      <c r="C504" s="29"/>
      <c r="D504" s="40">
        <v>1.0</v>
      </c>
      <c r="E504" s="31">
        <v>13.0</v>
      </c>
      <c r="F504" s="42">
        <v>211.0</v>
      </c>
      <c r="G504" s="29" t="str">
        <f t="shared" si="1"/>
        <v>13211</v>
      </c>
      <c r="H504" s="37" t="s">
        <v>158</v>
      </c>
      <c r="I504" s="37" t="s">
        <v>44</v>
      </c>
      <c r="J504" s="37" t="s">
        <v>393</v>
      </c>
      <c r="K504" s="37" t="str">
        <f t="shared" si="11"/>
        <v>Morgan, GA</v>
      </c>
      <c r="L504" s="24"/>
    </row>
    <row r="505">
      <c r="A505" s="28">
        <v>504.0</v>
      </c>
      <c r="B505" s="29"/>
      <c r="C505" s="29"/>
      <c r="D505" s="40">
        <v>1.0</v>
      </c>
      <c r="E505" s="31">
        <v>13.0</v>
      </c>
      <c r="F505" s="42">
        <v>213.0</v>
      </c>
      <c r="G505" s="29" t="str">
        <f t="shared" si="1"/>
        <v>13213</v>
      </c>
      <c r="H505" s="37" t="s">
        <v>611</v>
      </c>
      <c r="I505" s="37" t="s">
        <v>44</v>
      </c>
      <c r="J505" s="37" t="s">
        <v>393</v>
      </c>
      <c r="K505" s="37" t="str">
        <f t="shared" si="11"/>
        <v>Murray, GA</v>
      </c>
      <c r="L505" s="24"/>
    </row>
    <row r="506">
      <c r="A506" s="28">
        <v>505.0</v>
      </c>
      <c r="B506" s="29"/>
      <c r="C506" s="29"/>
      <c r="D506" s="40">
        <v>1.0</v>
      </c>
      <c r="E506" s="31">
        <v>13.0</v>
      </c>
      <c r="F506" s="42">
        <v>215.0</v>
      </c>
      <c r="G506" s="29" t="str">
        <f t="shared" si="1"/>
        <v>13215</v>
      </c>
      <c r="H506" s="37" t="s">
        <v>613</v>
      </c>
      <c r="I506" s="37" t="s">
        <v>44</v>
      </c>
      <c r="J506" s="37" t="s">
        <v>393</v>
      </c>
      <c r="K506" s="37" t="str">
        <f t="shared" si="11"/>
        <v>Muscogee, GA</v>
      </c>
      <c r="L506" s="24"/>
    </row>
    <row r="507">
      <c r="A507" s="28">
        <v>506.0</v>
      </c>
      <c r="B507" s="29"/>
      <c r="C507" s="29"/>
      <c r="D507" s="40">
        <v>1.0</v>
      </c>
      <c r="E507" s="31">
        <v>13.0</v>
      </c>
      <c r="F507" s="42">
        <v>217.0</v>
      </c>
      <c r="G507" s="29" t="str">
        <f t="shared" si="1"/>
        <v>13217</v>
      </c>
      <c r="H507" s="37" t="s">
        <v>297</v>
      </c>
      <c r="I507" s="37" t="s">
        <v>44</v>
      </c>
      <c r="J507" s="37" t="s">
        <v>393</v>
      </c>
      <c r="K507" s="37" t="str">
        <f t="shared" si="11"/>
        <v>Newton, GA</v>
      </c>
      <c r="L507" s="24"/>
    </row>
    <row r="508">
      <c r="A508" s="28">
        <v>507.0</v>
      </c>
      <c r="B508" s="29"/>
      <c r="C508" s="29"/>
      <c r="D508" s="40">
        <v>1.0</v>
      </c>
      <c r="E508" s="31">
        <v>13.0</v>
      </c>
      <c r="F508" s="42">
        <v>219.0</v>
      </c>
      <c r="G508" s="29" t="str">
        <f t="shared" si="1"/>
        <v>13219</v>
      </c>
      <c r="H508" s="37" t="s">
        <v>614</v>
      </c>
      <c r="I508" s="37" t="s">
        <v>44</v>
      </c>
      <c r="J508" s="37" t="s">
        <v>393</v>
      </c>
      <c r="K508" s="37" t="str">
        <f t="shared" si="11"/>
        <v>Oconee, GA</v>
      </c>
      <c r="L508" s="24"/>
    </row>
    <row r="509">
      <c r="A509" s="28">
        <v>508.0</v>
      </c>
      <c r="B509" s="29"/>
      <c r="C509" s="29"/>
      <c r="D509" s="40">
        <v>1.0</v>
      </c>
      <c r="E509" s="31">
        <v>13.0</v>
      </c>
      <c r="F509" s="42">
        <v>221.0</v>
      </c>
      <c r="G509" s="29" t="str">
        <f t="shared" si="1"/>
        <v>13221</v>
      </c>
      <c r="H509" s="37" t="s">
        <v>615</v>
      </c>
      <c r="I509" s="37" t="s">
        <v>44</v>
      </c>
      <c r="J509" s="37" t="s">
        <v>393</v>
      </c>
      <c r="K509" s="37" t="str">
        <f t="shared" si="11"/>
        <v>Oglethorpe, GA</v>
      </c>
      <c r="L509" s="24"/>
    </row>
    <row r="510">
      <c r="A510" s="28">
        <v>509.0</v>
      </c>
      <c r="B510" s="29"/>
      <c r="C510" s="29"/>
      <c r="D510" s="40">
        <v>1.0</v>
      </c>
      <c r="E510" s="31">
        <v>13.0</v>
      </c>
      <c r="F510" s="42">
        <v>223.0</v>
      </c>
      <c r="G510" s="29" t="str">
        <f t="shared" si="1"/>
        <v>13223</v>
      </c>
      <c r="H510" s="37" t="s">
        <v>616</v>
      </c>
      <c r="I510" s="37" t="s">
        <v>44</v>
      </c>
      <c r="J510" s="37" t="s">
        <v>393</v>
      </c>
      <c r="K510" s="37" t="str">
        <f t="shared" si="11"/>
        <v>Paulding, GA</v>
      </c>
      <c r="L510" s="24"/>
    </row>
    <row r="511">
      <c r="A511" s="28">
        <v>510.0</v>
      </c>
      <c r="B511" s="29"/>
      <c r="C511" s="29"/>
      <c r="D511" s="40">
        <v>1.0</v>
      </c>
      <c r="E511" s="31">
        <v>13.0</v>
      </c>
      <c r="F511" s="42">
        <v>225.0</v>
      </c>
      <c r="G511" s="29" t="str">
        <f t="shared" si="1"/>
        <v>13225</v>
      </c>
      <c r="H511" s="37" t="s">
        <v>617</v>
      </c>
      <c r="I511" s="37" t="s">
        <v>44</v>
      </c>
      <c r="J511" s="37" t="s">
        <v>393</v>
      </c>
      <c r="K511" s="37" t="str">
        <f t="shared" si="11"/>
        <v>Peach, GA</v>
      </c>
      <c r="L511" s="24"/>
    </row>
    <row r="512">
      <c r="A512" s="28">
        <v>511.0</v>
      </c>
      <c r="B512" s="29"/>
      <c r="C512" s="29"/>
      <c r="D512" s="40">
        <v>1.0</v>
      </c>
      <c r="E512" s="31">
        <v>13.0</v>
      </c>
      <c r="F512" s="42">
        <v>227.0</v>
      </c>
      <c r="G512" s="29" t="str">
        <f t="shared" si="1"/>
        <v>13227</v>
      </c>
      <c r="H512" s="37" t="s">
        <v>160</v>
      </c>
      <c r="I512" s="37" t="s">
        <v>44</v>
      </c>
      <c r="J512" s="37" t="s">
        <v>393</v>
      </c>
      <c r="K512" s="37" t="str">
        <f t="shared" si="11"/>
        <v>Pickens, GA</v>
      </c>
      <c r="L512" s="24"/>
    </row>
    <row r="513">
      <c r="A513" s="28">
        <v>512.0</v>
      </c>
      <c r="B513" s="29"/>
      <c r="C513" s="29"/>
      <c r="D513" s="40">
        <v>1.0</v>
      </c>
      <c r="E513" s="31">
        <v>13.0</v>
      </c>
      <c r="F513" s="42">
        <v>229.0</v>
      </c>
      <c r="G513" s="29" t="str">
        <f t="shared" si="1"/>
        <v>13229</v>
      </c>
      <c r="H513" s="37" t="s">
        <v>473</v>
      </c>
      <c r="I513" s="37" t="s">
        <v>44</v>
      </c>
      <c r="J513" s="37" t="s">
        <v>393</v>
      </c>
      <c r="K513" s="37" t="str">
        <f t="shared" si="11"/>
        <v>Pierce, GA</v>
      </c>
      <c r="L513" s="24"/>
    </row>
    <row r="514">
      <c r="A514" s="28">
        <v>513.0</v>
      </c>
      <c r="B514" s="29"/>
      <c r="C514" s="29"/>
      <c r="D514" s="40">
        <v>1.0</v>
      </c>
      <c r="E514" s="31">
        <v>13.0</v>
      </c>
      <c r="F514" s="42">
        <v>231.0</v>
      </c>
      <c r="G514" s="29" t="str">
        <f t="shared" si="1"/>
        <v>13231</v>
      </c>
      <c r="H514" s="37" t="s">
        <v>162</v>
      </c>
      <c r="I514" s="37" t="s">
        <v>44</v>
      </c>
      <c r="J514" s="37" t="s">
        <v>393</v>
      </c>
      <c r="K514" s="37" t="str">
        <f t="shared" si="11"/>
        <v>Pike, GA</v>
      </c>
      <c r="L514" s="24"/>
    </row>
    <row r="515">
      <c r="A515" s="28">
        <v>514.0</v>
      </c>
      <c r="B515" s="29"/>
      <c r="C515" s="29"/>
      <c r="D515" s="40">
        <v>1.0</v>
      </c>
      <c r="E515" s="31">
        <v>13.0</v>
      </c>
      <c r="F515" s="42">
        <v>233.0</v>
      </c>
      <c r="G515" s="29" t="str">
        <f t="shared" si="1"/>
        <v>13233</v>
      </c>
      <c r="H515" s="37" t="s">
        <v>302</v>
      </c>
      <c r="I515" s="37" t="s">
        <v>44</v>
      </c>
      <c r="J515" s="37" t="s">
        <v>393</v>
      </c>
      <c r="K515" s="37" t="str">
        <f t="shared" si="11"/>
        <v>Polk, GA</v>
      </c>
      <c r="L515" s="24"/>
    </row>
    <row r="516">
      <c r="A516" s="28">
        <v>515.0</v>
      </c>
      <c r="B516" s="29"/>
      <c r="C516" s="29"/>
      <c r="D516" s="40">
        <v>1.0</v>
      </c>
      <c r="E516" s="31">
        <v>13.0</v>
      </c>
      <c r="F516" s="42">
        <v>235.0</v>
      </c>
      <c r="G516" s="29" t="str">
        <f t="shared" si="1"/>
        <v>13235</v>
      </c>
      <c r="H516" s="37" t="s">
        <v>305</v>
      </c>
      <c r="I516" s="37" t="s">
        <v>44</v>
      </c>
      <c r="J516" s="37" t="s">
        <v>393</v>
      </c>
      <c r="K516" s="37" t="str">
        <f t="shared" si="11"/>
        <v>Pulaski, GA</v>
      </c>
      <c r="L516" s="24"/>
    </row>
    <row r="517">
      <c r="A517" s="28">
        <v>516.0</v>
      </c>
      <c r="B517" s="29"/>
      <c r="C517" s="29"/>
      <c r="D517" s="40">
        <v>1.0</v>
      </c>
      <c r="E517" s="31">
        <v>13.0</v>
      </c>
      <c r="F517" s="42">
        <v>237.0</v>
      </c>
      <c r="G517" s="29" t="str">
        <f t="shared" si="1"/>
        <v>13237</v>
      </c>
      <c r="H517" s="37" t="s">
        <v>518</v>
      </c>
      <c r="I517" s="37" t="s">
        <v>44</v>
      </c>
      <c r="J517" s="37" t="s">
        <v>393</v>
      </c>
      <c r="K517" s="37" t="str">
        <f t="shared" si="11"/>
        <v>Putnam, GA</v>
      </c>
      <c r="L517" s="24"/>
    </row>
    <row r="518">
      <c r="A518" s="28">
        <v>517.0</v>
      </c>
      <c r="B518" s="29"/>
      <c r="C518" s="29"/>
      <c r="D518" s="40">
        <v>1.0</v>
      </c>
      <c r="E518" s="31">
        <v>13.0</v>
      </c>
      <c r="F518" s="42">
        <v>239.0</v>
      </c>
      <c r="G518" s="29" t="str">
        <f t="shared" si="1"/>
        <v>13239</v>
      </c>
      <c r="H518" s="37" t="s">
        <v>618</v>
      </c>
      <c r="I518" s="37" t="s">
        <v>44</v>
      </c>
      <c r="J518" s="37" t="s">
        <v>393</v>
      </c>
      <c r="K518" s="37" t="str">
        <f t="shared" si="11"/>
        <v>Quitman, GA</v>
      </c>
      <c r="L518" s="24"/>
    </row>
    <row r="519">
      <c r="A519" s="28">
        <v>518.0</v>
      </c>
      <c r="B519" s="29"/>
      <c r="C519" s="29"/>
      <c r="D519" s="40">
        <v>1.0</v>
      </c>
      <c r="E519" s="31">
        <v>13.0</v>
      </c>
      <c r="F519" s="42">
        <v>241.0</v>
      </c>
      <c r="G519" s="29" t="str">
        <f t="shared" si="1"/>
        <v>13241</v>
      </c>
      <c r="H519" s="37" t="s">
        <v>619</v>
      </c>
      <c r="I519" s="37" t="s">
        <v>44</v>
      </c>
      <c r="J519" s="37" t="s">
        <v>393</v>
      </c>
      <c r="K519" s="37" t="str">
        <f t="shared" si="11"/>
        <v>Rabun, GA</v>
      </c>
      <c r="L519" s="24"/>
    </row>
    <row r="520">
      <c r="A520" s="28">
        <v>519.0</v>
      </c>
      <c r="B520" s="29"/>
      <c r="C520" s="29"/>
      <c r="D520" s="40">
        <v>1.0</v>
      </c>
      <c r="E520" s="31">
        <v>13.0</v>
      </c>
      <c r="F520" s="42">
        <v>243.0</v>
      </c>
      <c r="G520" s="29" t="str">
        <f t="shared" si="1"/>
        <v>13243</v>
      </c>
      <c r="H520" s="37" t="s">
        <v>163</v>
      </c>
      <c r="I520" s="37" t="s">
        <v>44</v>
      </c>
      <c r="J520" s="37" t="s">
        <v>393</v>
      </c>
      <c r="K520" s="37" t="str">
        <f t="shared" si="11"/>
        <v>Randolph, GA</v>
      </c>
      <c r="L520" s="24"/>
    </row>
    <row r="521">
      <c r="A521" s="28">
        <v>520.0</v>
      </c>
      <c r="B521" s="29"/>
      <c r="C521" s="29"/>
      <c r="D521" s="40">
        <v>1.0</v>
      </c>
      <c r="E521" s="31">
        <v>13.0</v>
      </c>
      <c r="F521" s="42">
        <v>245.0</v>
      </c>
      <c r="G521" s="29" t="str">
        <f t="shared" si="1"/>
        <v>13245</v>
      </c>
      <c r="H521" s="37" t="s">
        <v>621</v>
      </c>
      <c r="I521" s="37" t="s">
        <v>44</v>
      </c>
      <c r="J521" s="37" t="s">
        <v>393</v>
      </c>
      <c r="K521" s="37" t="str">
        <f t="shared" si="11"/>
        <v>Richmond, GA</v>
      </c>
      <c r="L521" s="24"/>
    </row>
    <row r="522">
      <c r="A522" s="28">
        <v>521.0</v>
      </c>
      <c r="B522" s="29"/>
      <c r="C522" s="29"/>
      <c r="D522" s="40">
        <v>1.0</v>
      </c>
      <c r="E522" s="31">
        <v>13.0</v>
      </c>
      <c r="F522" s="42">
        <v>247.0</v>
      </c>
      <c r="G522" s="29" t="str">
        <f t="shared" si="1"/>
        <v>13247</v>
      </c>
      <c r="H522" s="37" t="s">
        <v>622</v>
      </c>
      <c r="I522" s="37" t="s">
        <v>44</v>
      </c>
      <c r="J522" s="37" t="s">
        <v>393</v>
      </c>
      <c r="K522" s="37" t="str">
        <f t="shared" si="11"/>
        <v>Rockdale, GA</v>
      </c>
      <c r="L522" s="24"/>
    </row>
    <row r="523">
      <c r="A523" s="28">
        <v>522.0</v>
      </c>
      <c r="B523" s="29"/>
      <c r="C523" s="29"/>
      <c r="D523" s="40">
        <v>1.0</v>
      </c>
      <c r="E523" s="31">
        <v>13.0</v>
      </c>
      <c r="F523" s="42">
        <v>249.0</v>
      </c>
      <c r="G523" s="29" t="str">
        <f t="shared" si="1"/>
        <v>13249</v>
      </c>
      <c r="H523" s="37" t="s">
        <v>623</v>
      </c>
      <c r="I523" s="37" t="s">
        <v>44</v>
      </c>
      <c r="J523" s="37" t="s">
        <v>393</v>
      </c>
      <c r="K523" s="37" t="str">
        <f t="shared" si="11"/>
        <v>Schley, GA</v>
      </c>
      <c r="L523" s="24"/>
    </row>
    <row r="524">
      <c r="A524" s="28">
        <v>523.0</v>
      </c>
      <c r="B524" s="29"/>
      <c r="C524" s="29"/>
      <c r="D524" s="40">
        <v>1.0</v>
      </c>
      <c r="E524" s="31">
        <v>13.0</v>
      </c>
      <c r="F524" s="42">
        <v>251.0</v>
      </c>
      <c r="G524" s="29" t="str">
        <f t="shared" si="1"/>
        <v>13251</v>
      </c>
      <c r="H524" s="37" t="s">
        <v>625</v>
      </c>
      <c r="I524" s="37" t="s">
        <v>44</v>
      </c>
      <c r="J524" s="37" t="s">
        <v>393</v>
      </c>
      <c r="K524" s="37" t="str">
        <f t="shared" si="11"/>
        <v>Screven, GA</v>
      </c>
      <c r="L524" s="24"/>
    </row>
    <row r="525">
      <c r="A525" s="28">
        <v>524.0</v>
      </c>
      <c r="B525" s="29"/>
      <c r="C525" s="29"/>
      <c r="D525" s="40">
        <v>1.0</v>
      </c>
      <c r="E525" s="31">
        <v>13.0</v>
      </c>
      <c r="F525" s="42">
        <v>253.0</v>
      </c>
      <c r="G525" s="29" t="str">
        <f t="shared" si="1"/>
        <v>13253</v>
      </c>
      <c r="H525" s="37" t="s">
        <v>524</v>
      </c>
      <c r="I525" s="37" t="s">
        <v>44</v>
      </c>
      <c r="J525" s="37" t="s">
        <v>393</v>
      </c>
      <c r="K525" s="37" t="str">
        <f t="shared" si="11"/>
        <v>Seminole, GA</v>
      </c>
      <c r="L525" s="24"/>
    </row>
    <row r="526">
      <c r="A526" s="28">
        <v>525.0</v>
      </c>
      <c r="B526" s="29"/>
      <c r="C526" s="29"/>
      <c r="D526" s="40">
        <v>1.0</v>
      </c>
      <c r="E526" s="31">
        <v>13.0</v>
      </c>
      <c r="F526" s="42">
        <v>255.0</v>
      </c>
      <c r="G526" s="29" t="str">
        <f t="shared" si="1"/>
        <v>13255</v>
      </c>
      <c r="H526" s="37" t="s">
        <v>626</v>
      </c>
      <c r="I526" s="37" t="s">
        <v>44</v>
      </c>
      <c r="J526" s="37" t="s">
        <v>393</v>
      </c>
      <c r="K526" s="37" t="str">
        <f t="shared" si="11"/>
        <v>Spalding, GA</v>
      </c>
      <c r="L526" s="24"/>
    </row>
    <row r="527">
      <c r="A527" s="28">
        <v>526.0</v>
      </c>
      <c r="B527" s="29"/>
      <c r="C527" s="29"/>
      <c r="D527" s="40">
        <v>1.0</v>
      </c>
      <c r="E527" s="31">
        <v>13.0</v>
      </c>
      <c r="F527" s="42">
        <v>257.0</v>
      </c>
      <c r="G527" s="29" t="str">
        <f t="shared" si="1"/>
        <v>13257</v>
      </c>
      <c r="H527" s="37" t="s">
        <v>628</v>
      </c>
      <c r="I527" s="37" t="s">
        <v>44</v>
      </c>
      <c r="J527" s="37" t="s">
        <v>393</v>
      </c>
      <c r="K527" s="37" t="str">
        <f t="shared" si="11"/>
        <v>Stephens, GA</v>
      </c>
      <c r="L527" s="24"/>
    </row>
    <row r="528">
      <c r="A528" s="28">
        <v>527.0</v>
      </c>
      <c r="B528" s="29"/>
      <c r="C528" s="29"/>
      <c r="D528" s="40">
        <v>1.0</v>
      </c>
      <c r="E528" s="31">
        <v>13.0</v>
      </c>
      <c r="F528" s="42">
        <v>259.0</v>
      </c>
      <c r="G528" s="29" t="str">
        <f t="shared" si="1"/>
        <v>13259</v>
      </c>
      <c r="H528" s="37" t="s">
        <v>629</v>
      </c>
      <c r="I528" s="37" t="s">
        <v>44</v>
      </c>
      <c r="J528" s="37" t="s">
        <v>393</v>
      </c>
      <c r="K528" s="37" t="str">
        <f t="shared" si="11"/>
        <v>Stewart, GA</v>
      </c>
      <c r="L528" s="24"/>
    </row>
    <row r="529">
      <c r="A529" s="28">
        <v>528.0</v>
      </c>
      <c r="B529" s="29"/>
      <c r="C529" s="29"/>
      <c r="D529" s="40">
        <v>1.0</v>
      </c>
      <c r="E529" s="31">
        <v>13.0</v>
      </c>
      <c r="F529" s="42">
        <v>261.0</v>
      </c>
      <c r="G529" s="29" t="str">
        <f t="shared" si="1"/>
        <v>13261</v>
      </c>
      <c r="H529" s="37" t="s">
        <v>169</v>
      </c>
      <c r="I529" s="37" t="s">
        <v>44</v>
      </c>
      <c r="J529" s="37" t="s">
        <v>393</v>
      </c>
      <c r="K529" s="37" t="str">
        <f t="shared" si="11"/>
        <v>Sumter, GA</v>
      </c>
      <c r="L529" s="24"/>
    </row>
    <row r="530">
      <c r="A530" s="28">
        <v>529.0</v>
      </c>
      <c r="B530" s="29"/>
      <c r="C530" s="29"/>
      <c r="D530" s="40">
        <v>1.0</v>
      </c>
      <c r="E530" s="31">
        <v>13.0</v>
      </c>
      <c r="F530" s="42">
        <v>263.0</v>
      </c>
      <c r="G530" s="29" t="str">
        <f t="shared" si="1"/>
        <v>13263</v>
      </c>
      <c r="H530" s="37" t="s">
        <v>630</v>
      </c>
      <c r="I530" s="37" t="s">
        <v>44</v>
      </c>
      <c r="J530" s="37" t="s">
        <v>393</v>
      </c>
      <c r="K530" s="37" t="str">
        <f t="shared" si="11"/>
        <v>Talbot, GA</v>
      </c>
      <c r="L530" s="24"/>
    </row>
    <row r="531">
      <c r="A531" s="28">
        <v>530.0</v>
      </c>
      <c r="B531" s="29"/>
      <c r="C531" s="29"/>
      <c r="D531" s="40">
        <v>1.0</v>
      </c>
      <c r="E531" s="31">
        <v>13.0</v>
      </c>
      <c r="F531" s="42">
        <v>265.0</v>
      </c>
      <c r="G531" s="29" t="str">
        <f t="shared" si="1"/>
        <v>13265</v>
      </c>
      <c r="H531" s="37" t="s">
        <v>631</v>
      </c>
      <c r="I531" s="37" t="s">
        <v>44</v>
      </c>
      <c r="J531" s="37" t="s">
        <v>393</v>
      </c>
      <c r="K531" s="37" t="str">
        <f t="shared" si="11"/>
        <v>Taliaferro, GA</v>
      </c>
      <c r="L531" s="24"/>
    </row>
    <row r="532">
      <c r="A532" s="28">
        <v>531.0</v>
      </c>
      <c r="B532" s="29"/>
      <c r="C532" s="29"/>
      <c r="D532" s="40">
        <v>1.0</v>
      </c>
      <c r="E532" s="31">
        <v>13.0</v>
      </c>
      <c r="F532" s="42">
        <v>267.0</v>
      </c>
      <c r="G532" s="29" t="str">
        <f t="shared" si="1"/>
        <v>13267</v>
      </c>
      <c r="H532" s="37" t="s">
        <v>632</v>
      </c>
      <c r="I532" s="37" t="s">
        <v>44</v>
      </c>
      <c r="J532" s="37" t="s">
        <v>393</v>
      </c>
      <c r="K532" s="37" t="str">
        <f t="shared" si="11"/>
        <v>Tattnall, GA</v>
      </c>
      <c r="L532" s="24"/>
    </row>
    <row r="533">
      <c r="A533" s="28">
        <v>532.0</v>
      </c>
      <c r="B533" s="29"/>
      <c r="C533" s="29"/>
      <c r="D533" s="40">
        <v>1.0</v>
      </c>
      <c r="E533" s="31">
        <v>13.0</v>
      </c>
      <c r="F533" s="42">
        <v>269.0</v>
      </c>
      <c r="G533" s="29" t="str">
        <f t="shared" si="1"/>
        <v>13269</v>
      </c>
      <c r="H533" s="37" t="s">
        <v>526</v>
      </c>
      <c r="I533" s="37" t="s">
        <v>44</v>
      </c>
      <c r="J533" s="37" t="s">
        <v>393</v>
      </c>
      <c r="K533" s="37" t="str">
        <f t="shared" si="11"/>
        <v>Taylor, GA</v>
      </c>
      <c r="L533" s="24"/>
    </row>
    <row r="534">
      <c r="A534" s="28">
        <v>533.0</v>
      </c>
      <c r="B534" s="29"/>
      <c r="C534" s="29"/>
      <c r="D534" s="40">
        <v>1.0</v>
      </c>
      <c r="E534" s="31">
        <v>13.0</v>
      </c>
      <c r="F534" s="42">
        <v>271.0</v>
      </c>
      <c r="G534" s="29" t="str">
        <f t="shared" si="1"/>
        <v>13271</v>
      </c>
      <c r="H534" s="37" t="s">
        <v>633</v>
      </c>
      <c r="I534" s="37" t="s">
        <v>44</v>
      </c>
      <c r="J534" s="37" t="s">
        <v>393</v>
      </c>
      <c r="K534" s="37" t="str">
        <f t="shared" si="11"/>
        <v>Telfair, GA</v>
      </c>
      <c r="L534" s="24"/>
    </row>
    <row r="535">
      <c r="A535" s="28">
        <v>534.0</v>
      </c>
      <c r="B535" s="29"/>
      <c r="C535" s="29"/>
      <c r="D535" s="40">
        <v>1.0</v>
      </c>
      <c r="E535" s="31">
        <v>13.0</v>
      </c>
      <c r="F535" s="42">
        <v>273.0</v>
      </c>
      <c r="G535" s="29" t="str">
        <f t="shared" si="1"/>
        <v>13273</v>
      </c>
      <c r="H535" s="37" t="s">
        <v>635</v>
      </c>
      <c r="I535" s="37" t="s">
        <v>44</v>
      </c>
      <c r="J535" s="37" t="s">
        <v>393</v>
      </c>
      <c r="K535" s="37" t="str">
        <f t="shared" si="11"/>
        <v>Terrell, GA</v>
      </c>
      <c r="L535" s="24"/>
    </row>
    <row r="536">
      <c r="A536" s="28">
        <v>535.0</v>
      </c>
      <c r="B536" s="29"/>
      <c r="C536" s="29"/>
      <c r="D536" s="40">
        <v>1.0</v>
      </c>
      <c r="E536" s="31">
        <v>13.0</v>
      </c>
      <c r="F536" s="42">
        <v>275.0</v>
      </c>
      <c r="G536" s="29" t="str">
        <f t="shared" si="1"/>
        <v>13275</v>
      </c>
      <c r="H536" s="37" t="s">
        <v>636</v>
      </c>
      <c r="I536" s="37" t="s">
        <v>44</v>
      </c>
      <c r="J536" s="37" t="s">
        <v>393</v>
      </c>
      <c r="K536" s="37" t="str">
        <f t="shared" si="11"/>
        <v>Thomas, GA</v>
      </c>
      <c r="L536" s="24"/>
    </row>
    <row r="537">
      <c r="A537" s="28">
        <v>536.0</v>
      </c>
      <c r="B537" s="29"/>
      <c r="C537" s="29"/>
      <c r="D537" s="40">
        <v>1.0</v>
      </c>
      <c r="E537" s="31">
        <v>13.0</v>
      </c>
      <c r="F537" s="42">
        <v>277.0</v>
      </c>
      <c r="G537" s="29" t="str">
        <f t="shared" si="1"/>
        <v>13277</v>
      </c>
      <c r="H537" s="37" t="s">
        <v>637</v>
      </c>
      <c r="I537" s="37" t="s">
        <v>44</v>
      </c>
      <c r="J537" s="37" t="s">
        <v>393</v>
      </c>
      <c r="K537" s="37" t="str">
        <f t="shared" si="11"/>
        <v>Tift, GA</v>
      </c>
      <c r="L537" s="24"/>
    </row>
    <row r="538">
      <c r="A538" s="28">
        <v>537.0</v>
      </c>
      <c r="B538" s="29"/>
      <c r="C538" s="29"/>
      <c r="D538" s="40">
        <v>1.0</v>
      </c>
      <c r="E538" s="31">
        <v>13.0</v>
      </c>
      <c r="F538" s="42">
        <v>279.0</v>
      </c>
      <c r="G538" s="29" t="str">
        <f t="shared" si="1"/>
        <v>13279</v>
      </c>
      <c r="H538" s="37" t="s">
        <v>638</v>
      </c>
      <c r="I538" s="37" t="s">
        <v>44</v>
      </c>
      <c r="J538" s="37" t="s">
        <v>393</v>
      </c>
      <c r="K538" s="37" t="str">
        <f t="shared" si="11"/>
        <v>Toombs, GA</v>
      </c>
      <c r="L538" s="24"/>
    </row>
    <row r="539">
      <c r="A539" s="28">
        <v>538.0</v>
      </c>
      <c r="B539" s="29"/>
      <c r="C539" s="29"/>
      <c r="D539" s="40">
        <v>1.0</v>
      </c>
      <c r="E539" s="31">
        <v>13.0</v>
      </c>
      <c r="F539" s="42">
        <v>281.0</v>
      </c>
      <c r="G539" s="29" t="str">
        <f t="shared" si="1"/>
        <v>13281</v>
      </c>
      <c r="H539" s="37" t="s">
        <v>639</v>
      </c>
      <c r="I539" s="37" t="s">
        <v>44</v>
      </c>
      <c r="J539" s="37" t="s">
        <v>393</v>
      </c>
      <c r="K539" s="37" t="str">
        <f t="shared" si="11"/>
        <v>Towns, GA</v>
      </c>
      <c r="L539" s="24"/>
    </row>
    <row r="540">
      <c r="A540" s="28">
        <v>539.0</v>
      </c>
      <c r="B540" s="29"/>
      <c r="C540" s="29"/>
      <c r="D540" s="40">
        <v>1.0</v>
      </c>
      <c r="E540" s="31">
        <v>13.0</v>
      </c>
      <c r="F540" s="42">
        <v>283.0</v>
      </c>
      <c r="G540" s="29" t="str">
        <f t="shared" si="1"/>
        <v>13283</v>
      </c>
      <c r="H540" s="37" t="s">
        <v>640</v>
      </c>
      <c r="I540" s="37" t="s">
        <v>44</v>
      </c>
      <c r="J540" s="37" t="s">
        <v>393</v>
      </c>
      <c r="K540" s="37" t="str">
        <f t="shared" si="11"/>
        <v>Treutlen, GA</v>
      </c>
      <c r="L540" s="24"/>
    </row>
    <row r="541">
      <c r="A541" s="28">
        <v>540.0</v>
      </c>
      <c r="B541" s="29"/>
      <c r="C541" s="29"/>
      <c r="D541" s="40">
        <v>1.0</v>
      </c>
      <c r="E541" s="31">
        <v>13.0</v>
      </c>
      <c r="F541" s="42">
        <v>285.0</v>
      </c>
      <c r="G541" s="29" t="str">
        <f t="shared" si="1"/>
        <v>13285</v>
      </c>
      <c r="H541" s="37" t="s">
        <v>641</v>
      </c>
      <c r="I541" s="37" t="s">
        <v>44</v>
      </c>
      <c r="J541" s="37" t="s">
        <v>393</v>
      </c>
      <c r="K541" s="37" t="str">
        <f t="shared" si="11"/>
        <v>Troup, GA</v>
      </c>
      <c r="L541" s="24"/>
    </row>
    <row r="542">
      <c r="A542" s="28">
        <v>541.0</v>
      </c>
      <c r="B542" s="29"/>
      <c r="C542" s="29"/>
      <c r="D542" s="40">
        <v>1.0</v>
      </c>
      <c r="E542" s="31">
        <v>13.0</v>
      </c>
      <c r="F542" s="42">
        <v>287.0</v>
      </c>
      <c r="G542" s="29" t="str">
        <f t="shared" si="1"/>
        <v>13287</v>
      </c>
      <c r="H542" s="37" t="s">
        <v>642</v>
      </c>
      <c r="I542" s="37" t="s">
        <v>44</v>
      </c>
      <c r="J542" s="37" t="s">
        <v>393</v>
      </c>
      <c r="K542" s="37" t="str">
        <f t="shared" si="11"/>
        <v>Turner, GA</v>
      </c>
      <c r="L542" s="24"/>
    </row>
    <row r="543">
      <c r="A543" s="28">
        <v>542.0</v>
      </c>
      <c r="B543" s="29"/>
      <c r="C543" s="29"/>
      <c r="D543" s="40">
        <v>1.0</v>
      </c>
      <c r="E543" s="31">
        <v>13.0</v>
      </c>
      <c r="F543" s="42">
        <v>289.0</v>
      </c>
      <c r="G543" s="29" t="str">
        <f t="shared" si="1"/>
        <v>13289</v>
      </c>
      <c r="H543" s="37" t="s">
        <v>643</v>
      </c>
      <c r="I543" s="37" t="s">
        <v>44</v>
      </c>
      <c r="J543" s="37" t="s">
        <v>393</v>
      </c>
      <c r="K543" s="37" t="str">
        <f t="shared" si="11"/>
        <v>Twiggs, GA</v>
      </c>
      <c r="L543" s="24"/>
    </row>
    <row r="544">
      <c r="A544" s="28">
        <v>543.0</v>
      </c>
      <c r="B544" s="29"/>
      <c r="C544" s="29"/>
      <c r="D544" s="40">
        <v>1.0</v>
      </c>
      <c r="E544" s="31">
        <v>13.0</v>
      </c>
      <c r="F544" s="42">
        <v>291.0</v>
      </c>
      <c r="G544" s="29" t="str">
        <f t="shared" si="1"/>
        <v>13291</v>
      </c>
      <c r="H544" s="37" t="s">
        <v>316</v>
      </c>
      <c r="I544" s="37" t="s">
        <v>44</v>
      </c>
      <c r="J544" s="37" t="s">
        <v>393</v>
      </c>
      <c r="K544" s="37" t="str">
        <f t="shared" si="11"/>
        <v>Union, GA</v>
      </c>
      <c r="L544" s="24"/>
    </row>
    <row r="545">
      <c r="A545" s="28">
        <v>544.0</v>
      </c>
      <c r="B545" s="29"/>
      <c r="C545" s="29"/>
      <c r="D545" s="40">
        <v>1.0</v>
      </c>
      <c r="E545" s="31">
        <v>13.0</v>
      </c>
      <c r="F545" s="42">
        <v>293.0</v>
      </c>
      <c r="G545" s="29" t="str">
        <f t="shared" si="1"/>
        <v>13293</v>
      </c>
      <c r="H545" s="37" t="s">
        <v>644</v>
      </c>
      <c r="I545" s="37" t="s">
        <v>44</v>
      </c>
      <c r="J545" s="37" t="s">
        <v>393</v>
      </c>
      <c r="K545" s="37" t="str">
        <f t="shared" si="11"/>
        <v>Upson, GA</v>
      </c>
      <c r="L545" s="24"/>
    </row>
    <row r="546">
      <c r="A546" s="28">
        <v>545.0</v>
      </c>
      <c r="B546" s="29"/>
      <c r="C546" s="29"/>
      <c r="D546" s="40">
        <v>1.0</v>
      </c>
      <c r="E546" s="31">
        <v>13.0</v>
      </c>
      <c r="F546" s="42">
        <v>295.0</v>
      </c>
      <c r="G546" s="29" t="str">
        <f t="shared" si="1"/>
        <v>13295</v>
      </c>
      <c r="H546" s="37" t="s">
        <v>175</v>
      </c>
      <c r="I546" s="37" t="s">
        <v>44</v>
      </c>
      <c r="J546" s="37" t="s">
        <v>393</v>
      </c>
      <c r="K546" s="37" t="str">
        <f t="shared" si="11"/>
        <v>Walker, GA</v>
      </c>
      <c r="L546" s="24"/>
    </row>
    <row r="547">
      <c r="A547" s="28">
        <v>546.0</v>
      </c>
      <c r="B547" s="29"/>
      <c r="C547" s="29"/>
      <c r="D547" s="40">
        <v>1.0</v>
      </c>
      <c r="E547" s="31">
        <v>13.0</v>
      </c>
      <c r="F547" s="42">
        <v>297.0</v>
      </c>
      <c r="G547" s="29" t="str">
        <f t="shared" si="1"/>
        <v>13297</v>
      </c>
      <c r="H547" s="37" t="s">
        <v>530</v>
      </c>
      <c r="I547" s="37" t="s">
        <v>44</v>
      </c>
      <c r="J547" s="37" t="s">
        <v>393</v>
      </c>
      <c r="K547" s="37" t="str">
        <f t="shared" si="11"/>
        <v>Walton, GA</v>
      </c>
      <c r="L547" s="24"/>
    </row>
    <row r="548">
      <c r="A548" s="28">
        <v>547.0</v>
      </c>
      <c r="B548" s="29"/>
      <c r="C548" s="29"/>
      <c r="D548" s="40">
        <v>1.0</v>
      </c>
      <c r="E548" s="31">
        <v>13.0</v>
      </c>
      <c r="F548" s="42">
        <v>299.0</v>
      </c>
      <c r="G548" s="29" t="str">
        <f t="shared" si="1"/>
        <v>13299</v>
      </c>
      <c r="H548" s="37" t="s">
        <v>646</v>
      </c>
      <c r="I548" s="37" t="s">
        <v>44</v>
      </c>
      <c r="J548" s="37" t="s">
        <v>393</v>
      </c>
      <c r="K548" s="37" t="str">
        <f t="shared" si="11"/>
        <v>Ware, GA</v>
      </c>
      <c r="L548" s="24"/>
    </row>
    <row r="549">
      <c r="A549" s="28">
        <v>548.0</v>
      </c>
      <c r="B549" s="29"/>
      <c r="C549" s="29"/>
      <c r="D549" s="40">
        <v>1.0</v>
      </c>
      <c r="E549" s="31">
        <v>13.0</v>
      </c>
      <c r="F549" s="42">
        <v>301.0</v>
      </c>
      <c r="G549" s="29" t="str">
        <f t="shared" si="1"/>
        <v>13301</v>
      </c>
      <c r="H549" s="37" t="s">
        <v>647</v>
      </c>
      <c r="I549" s="37" t="s">
        <v>44</v>
      </c>
      <c r="J549" s="37" t="s">
        <v>393</v>
      </c>
      <c r="K549" s="37" t="str">
        <f t="shared" si="11"/>
        <v>Warren, GA</v>
      </c>
      <c r="L549" s="24"/>
    </row>
    <row r="550">
      <c r="A550" s="28">
        <v>549.0</v>
      </c>
      <c r="B550" s="29"/>
      <c r="C550" s="29"/>
      <c r="D550" s="40">
        <v>1.0</v>
      </c>
      <c r="E550" s="31">
        <v>13.0</v>
      </c>
      <c r="F550" s="42">
        <v>303.0</v>
      </c>
      <c r="G550" s="29" t="str">
        <f t="shared" si="1"/>
        <v>13303</v>
      </c>
      <c r="H550" s="37" t="s">
        <v>119</v>
      </c>
      <c r="I550" s="37" t="s">
        <v>44</v>
      </c>
      <c r="J550" s="37" t="s">
        <v>393</v>
      </c>
      <c r="K550" s="37" t="str">
        <f t="shared" si="11"/>
        <v>Washington, GA</v>
      </c>
      <c r="L550" s="24"/>
    </row>
    <row r="551">
      <c r="A551" s="28">
        <v>550.0</v>
      </c>
      <c r="B551" s="29"/>
      <c r="C551" s="29"/>
      <c r="D551" s="40">
        <v>1.0</v>
      </c>
      <c r="E551" s="31">
        <v>13.0</v>
      </c>
      <c r="F551" s="42">
        <v>305.0</v>
      </c>
      <c r="G551" s="29" t="str">
        <f t="shared" si="1"/>
        <v>13305</v>
      </c>
      <c r="H551" s="37" t="s">
        <v>273</v>
      </c>
      <c r="I551" s="37" t="s">
        <v>44</v>
      </c>
      <c r="J551" s="37" t="s">
        <v>393</v>
      </c>
      <c r="K551" s="37" t="str">
        <f t="shared" si="11"/>
        <v>Wayne, GA</v>
      </c>
      <c r="L551" s="24"/>
    </row>
    <row r="552">
      <c r="A552" s="28">
        <v>551.0</v>
      </c>
      <c r="B552" s="29"/>
      <c r="C552" s="29"/>
      <c r="D552" s="40">
        <v>1.0</v>
      </c>
      <c r="E552" s="31">
        <v>13.0</v>
      </c>
      <c r="F552" s="42">
        <v>307.0</v>
      </c>
      <c r="G552" s="29" t="str">
        <f t="shared" si="1"/>
        <v>13307</v>
      </c>
      <c r="H552" s="37" t="s">
        <v>648</v>
      </c>
      <c r="I552" s="37" t="s">
        <v>44</v>
      </c>
      <c r="J552" s="37" t="s">
        <v>393</v>
      </c>
      <c r="K552" s="37" t="str">
        <f t="shared" si="11"/>
        <v>Webster, GA</v>
      </c>
      <c r="L552" s="24"/>
    </row>
    <row r="553">
      <c r="A553" s="28">
        <v>552.0</v>
      </c>
      <c r="B553" s="29"/>
      <c r="C553" s="29"/>
      <c r="D553" s="40">
        <v>1.0</v>
      </c>
      <c r="E553" s="31">
        <v>13.0</v>
      </c>
      <c r="F553" s="42">
        <v>309.0</v>
      </c>
      <c r="G553" s="29" t="str">
        <f t="shared" si="1"/>
        <v>13309</v>
      </c>
      <c r="H553" s="37" t="s">
        <v>649</v>
      </c>
      <c r="I553" s="37" t="s">
        <v>44</v>
      </c>
      <c r="J553" s="37" t="s">
        <v>393</v>
      </c>
      <c r="K553" s="37" t="str">
        <f t="shared" si="11"/>
        <v>Wheeler, GA</v>
      </c>
      <c r="L553" s="24"/>
    </row>
    <row r="554">
      <c r="A554" s="28">
        <v>553.0</v>
      </c>
      <c r="B554" s="29"/>
      <c r="C554" s="29"/>
      <c r="D554" s="40">
        <v>1.0</v>
      </c>
      <c r="E554" s="31">
        <v>13.0</v>
      </c>
      <c r="F554" s="42">
        <v>311.0</v>
      </c>
      <c r="G554" s="29" t="str">
        <f t="shared" si="1"/>
        <v>13311</v>
      </c>
      <c r="H554" s="37" t="s">
        <v>66</v>
      </c>
      <c r="I554" s="37" t="s">
        <v>44</v>
      </c>
      <c r="J554" s="37" t="s">
        <v>393</v>
      </c>
      <c r="K554" s="37" t="str">
        <f t="shared" si="11"/>
        <v>White, GA</v>
      </c>
      <c r="L554" s="24"/>
    </row>
    <row r="555">
      <c r="A555" s="28">
        <v>554.0</v>
      </c>
      <c r="B555" s="29"/>
      <c r="C555" s="29"/>
      <c r="D555" s="40">
        <v>1.0</v>
      </c>
      <c r="E555" s="31">
        <v>13.0</v>
      </c>
      <c r="F555" s="42">
        <v>313.0</v>
      </c>
      <c r="G555" s="29" t="str">
        <f t="shared" si="1"/>
        <v>13313</v>
      </c>
      <c r="H555" s="37" t="s">
        <v>651</v>
      </c>
      <c r="I555" s="37" t="s">
        <v>44</v>
      </c>
      <c r="J555" s="37" t="s">
        <v>393</v>
      </c>
      <c r="K555" s="37" t="str">
        <f t="shared" si="11"/>
        <v>Whitfield, GA</v>
      </c>
      <c r="L555" s="24"/>
    </row>
    <row r="556">
      <c r="A556" s="28">
        <v>555.0</v>
      </c>
      <c r="B556" s="29"/>
      <c r="C556" s="29"/>
      <c r="D556" s="40">
        <v>1.0</v>
      </c>
      <c r="E556" s="31">
        <v>13.0</v>
      </c>
      <c r="F556" s="42">
        <v>315.0</v>
      </c>
      <c r="G556" s="29" t="str">
        <f t="shared" si="1"/>
        <v>13315</v>
      </c>
      <c r="H556" s="37" t="s">
        <v>176</v>
      </c>
      <c r="I556" s="37" t="s">
        <v>44</v>
      </c>
      <c r="J556" s="37" t="s">
        <v>393</v>
      </c>
      <c r="K556" s="37" t="str">
        <f t="shared" si="11"/>
        <v>Wilcox, GA</v>
      </c>
      <c r="L556" s="24"/>
    </row>
    <row r="557">
      <c r="A557" s="28">
        <v>556.0</v>
      </c>
      <c r="B557" s="29"/>
      <c r="C557" s="29"/>
      <c r="D557" s="40">
        <v>1.0</v>
      </c>
      <c r="E557" s="31">
        <v>13.0</v>
      </c>
      <c r="F557" s="42">
        <v>317.0</v>
      </c>
      <c r="G557" s="29" t="str">
        <f t="shared" si="1"/>
        <v>13317</v>
      </c>
      <c r="H557" s="37" t="s">
        <v>653</v>
      </c>
      <c r="I557" s="37" t="s">
        <v>44</v>
      </c>
      <c r="J557" s="37" t="s">
        <v>393</v>
      </c>
      <c r="K557" s="37" t="str">
        <f t="shared" si="11"/>
        <v>Wilkes, GA</v>
      </c>
      <c r="L557" s="24"/>
    </row>
    <row r="558">
      <c r="A558" s="28">
        <v>557.0</v>
      </c>
      <c r="B558" s="29"/>
      <c r="C558" s="29"/>
      <c r="D558" s="40">
        <v>1.0</v>
      </c>
      <c r="E558" s="31">
        <v>13.0</v>
      </c>
      <c r="F558" s="42">
        <v>319.0</v>
      </c>
      <c r="G558" s="29" t="str">
        <f t="shared" si="1"/>
        <v>13319</v>
      </c>
      <c r="H558" s="37" t="s">
        <v>654</v>
      </c>
      <c r="I558" s="37" t="s">
        <v>44</v>
      </c>
      <c r="J558" s="37" t="s">
        <v>393</v>
      </c>
      <c r="K558" s="37" t="str">
        <f t="shared" si="11"/>
        <v>Wilkinson, GA</v>
      </c>
      <c r="L558" s="24"/>
    </row>
    <row r="559">
      <c r="A559" s="28">
        <v>558.0</v>
      </c>
      <c r="B559" s="29"/>
      <c r="C559" s="29"/>
      <c r="D559" s="40">
        <v>1.0</v>
      </c>
      <c r="E559" s="31">
        <v>13.0</v>
      </c>
      <c r="F559" s="42">
        <v>321.0</v>
      </c>
      <c r="G559" s="29" t="str">
        <f t="shared" si="1"/>
        <v>13321</v>
      </c>
      <c r="H559" s="37" t="s">
        <v>655</v>
      </c>
      <c r="I559" s="37" t="s">
        <v>44</v>
      </c>
      <c r="J559" s="37" t="s">
        <v>393</v>
      </c>
      <c r="K559" s="37" t="str">
        <f t="shared" si="11"/>
        <v>Worth, GA</v>
      </c>
      <c r="L559" s="24"/>
    </row>
    <row r="560">
      <c r="A560" s="99">
        <v>559.0</v>
      </c>
      <c r="B560" s="15"/>
      <c r="C560" s="14" t="s">
        <v>25</v>
      </c>
      <c r="D560" s="16"/>
      <c r="E560" s="102">
        <v>15.0</v>
      </c>
      <c r="F560" s="107">
        <v>0.0</v>
      </c>
      <c r="G560" s="15" t="str">
        <f t="shared" si="1"/>
        <v>15000</v>
      </c>
      <c r="H560" s="23"/>
      <c r="I560" s="23" t="s">
        <v>45</v>
      </c>
      <c r="J560" s="23" t="s">
        <v>420</v>
      </c>
      <c r="K560" s="23"/>
      <c r="L560" s="24"/>
    </row>
    <row r="561">
      <c r="A561" s="99">
        <v>560.0</v>
      </c>
      <c r="B561" s="15"/>
      <c r="C561" s="15"/>
      <c r="D561" s="105">
        <v>1.0</v>
      </c>
      <c r="E561" s="102">
        <v>15.0</v>
      </c>
      <c r="F561" s="107">
        <v>1.0</v>
      </c>
      <c r="G561" s="15" t="str">
        <f t="shared" si="1"/>
        <v>15001</v>
      </c>
      <c r="H561" s="23" t="s">
        <v>45</v>
      </c>
      <c r="I561" s="23" t="s">
        <v>45</v>
      </c>
      <c r="J561" s="23" t="s">
        <v>420</v>
      </c>
      <c r="K561" s="23" t="str">
        <f t="shared" ref="K561:K565" si="12">CONCATENATE(H561,", ",J561)</f>
        <v>Hawaii, HI</v>
      </c>
      <c r="L561" s="24"/>
    </row>
    <row r="562">
      <c r="A562" s="99">
        <v>561.0</v>
      </c>
      <c r="B562" s="15"/>
      <c r="C562" s="15"/>
      <c r="D562" s="105">
        <v>1.0</v>
      </c>
      <c r="E562" s="102">
        <v>15.0</v>
      </c>
      <c r="F562" s="107">
        <v>3.0</v>
      </c>
      <c r="G562" s="15" t="str">
        <f t="shared" si="1"/>
        <v>15003</v>
      </c>
      <c r="H562" s="23" t="s">
        <v>419</v>
      </c>
      <c r="I562" s="23" t="s">
        <v>45</v>
      </c>
      <c r="J562" s="23" t="s">
        <v>420</v>
      </c>
      <c r="K562" s="23" t="str">
        <f t="shared" si="12"/>
        <v>Honolulu, HI</v>
      </c>
      <c r="L562" s="24"/>
    </row>
    <row r="563">
      <c r="A563" s="99">
        <v>562.0</v>
      </c>
      <c r="B563" s="15"/>
      <c r="C563" s="15"/>
      <c r="D563" s="105">
        <v>1.0</v>
      </c>
      <c r="E563" s="102">
        <v>15.0</v>
      </c>
      <c r="F563" s="107">
        <v>5.0</v>
      </c>
      <c r="G563" s="15" t="str">
        <f t="shared" si="1"/>
        <v>15005</v>
      </c>
      <c r="H563" s="23" t="s">
        <v>657</v>
      </c>
      <c r="I563" s="23" t="s">
        <v>45</v>
      </c>
      <c r="J563" s="23" t="s">
        <v>420</v>
      </c>
      <c r="K563" s="23" t="str">
        <f t="shared" si="12"/>
        <v>Kalawao, HI</v>
      </c>
      <c r="L563" s="24"/>
    </row>
    <row r="564">
      <c r="A564" s="99">
        <v>563.0</v>
      </c>
      <c r="B564" s="15"/>
      <c r="C564" s="15"/>
      <c r="D564" s="105">
        <v>1.0</v>
      </c>
      <c r="E564" s="102">
        <v>15.0</v>
      </c>
      <c r="F564" s="107">
        <v>7.0</v>
      </c>
      <c r="G564" s="15" t="str">
        <f t="shared" si="1"/>
        <v>15007</v>
      </c>
      <c r="H564" s="23" t="s">
        <v>658</v>
      </c>
      <c r="I564" s="23" t="s">
        <v>45</v>
      </c>
      <c r="J564" s="23" t="s">
        <v>420</v>
      </c>
      <c r="K564" s="23" t="str">
        <f t="shared" si="12"/>
        <v>Kauai, HI</v>
      </c>
      <c r="L564" s="24"/>
    </row>
    <row r="565">
      <c r="A565" s="99">
        <v>564.0</v>
      </c>
      <c r="B565" s="15"/>
      <c r="C565" s="15"/>
      <c r="D565" s="105">
        <v>1.0</v>
      </c>
      <c r="E565" s="102">
        <v>15.0</v>
      </c>
      <c r="F565" s="107">
        <v>9.0</v>
      </c>
      <c r="G565" s="15" t="str">
        <f t="shared" si="1"/>
        <v>15009</v>
      </c>
      <c r="H565" s="23" t="s">
        <v>659</v>
      </c>
      <c r="I565" s="23" t="s">
        <v>45</v>
      </c>
      <c r="J565" s="23" t="s">
        <v>420</v>
      </c>
      <c r="K565" s="23" t="str">
        <f t="shared" si="12"/>
        <v>Maui, HI</v>
      </c>
      <c r="L565" s="24"/>
    </row>
    <row r="566">
      <c r="A566" s="28">
        <v>565.0</v>
      </c>
      <c r="B566" s="29"/>
      <c r="C566" s="29" t="s">
        <v>25</v>
      </c>
      <c r="D566" s="30"/>
      <c r="E566" s="31">
        <v>16.0</v>
      </c>
      <c r="F566" s="42">
        <v>0.0</v>
      </c>
      <c r="G566" s="29" t="str">
        <f t="shared" si="1"/>
        <v>16000</v>
      </c>
      <c r="H566" s="37"/>
      <c r="I566" s="37" t="s">
        <v>47</v>
      </c>
      <c r="J566" s="37" t="s">
        <v>660</v>
      </c>
      <c r="K566" s="37"/>
      <c r="L566" s="24"/>
    </row>
    <row r="567">
      <c r="A567" s="28">
        <v>566.0</v>
      </c>
      <c r="B567" s="29"/>
      <c r="C567" s="29"/>
      <c r="D567" s="40">
        <v>1.0</v>
      </c>
      <c r="E567" s="31">
        <v>16.0</v>
      </c>
      <c r="F567" s="42">
        <v>1.0</v>
      </c>
      <c r="G567" s="29" t="str">
        <f t="shared" si="1"/>
        <v>16001</v>
      </c>
      <c r="H567" s="37" t="s">
        <v>661</v>
      </c>
      <c r="I567" s="37" t="s">
        <v>47</v>
      </c>
      <c r="J567" s="37" t="s">
        <v>660</v>
      </c>
      <c r="K567" s="37" t="str">
        <f t="shared" ref="K567:K610" si="13">CONCATENATE(H567,", ",J567)</f>
        <v>Ada, ID</v>
      </c>
      <c r="L567" s="24"/>
    </row>
    <row r="568">
      <c r="A568" s="28">
        <v>567.0</v>
      </c>
      <c r="B568" s="29"/>
      <c r="C568" s="29"/>
      <c r="D568" s="40">
        <v>1.0</v>
      </c>
      <c r="E568" s="31">
        <v>16.0</v>
      </c>
      <c r="F568" s="42">
        <v>3.0</v>
      </c>
      <c r="G568" s="29" t="str">
        <f t="shared" si="1"/>
        <v>16003</v>
      </c>
      <c r="H568" s="37" t="s">
        <v>386</v>
      </c>
      <c r="I568" s="37" t="s">
        <v>47</v>
      </c>
      <c r="J568" s="37" t="s">
        <v>660</v>
      </c>
      <c r="K568" s="37" t="str">
        <f t="shared" si="13"/>
        <v>Adams, ID</v>
      </c>
      <c r="L568" s="24"/>
    </row>
    <row r="569">
      <c r="A569" s="28">
        <v>568.0</v>
      </c>
      <c r="B569" s="29"/>
      <c r="C569" s="29"/>
      <c r="D569" s="40">
        <v>1.0</v>
      </c>
      <c r="E569" s="31">
        <v>16.0</v>
      </c>
      <c r="F569" s="42">
        <v>5.0</v>
      </c>
      <c r="G569" s="29" t="str">
        <f t="shared" si="1"/>
        <v>16005</v>
      </c>
      <c r="H569" s="37" t="s">
        <v>662</v>
      </c>
      <c r="I569" s="37" t="s">
        <v>47</v>
      </c>
      <c r="J569" s="37" t="s">
        <v>660</v>
      </c>
      <c r="K569" s="37" t="str">
        <f t="shared" si="13"/>
        <v>Bannock, ID</v>
      </c>
      <c r="L569" s="24"/>
    </row>
    <row r="570">
      <c r="A570" s="28">
        <v>569.0</v>
      </c>
      <c r="B570" s="29"/>
      <c r="C570" s="29"/>
      <c r="D570" s="40">
        <v>1.0</v>
      </c>
      <c r="E570" s="31">
        <v>16.0</v>
      </c>
      <c r="F570" s="42">
        <v>7.0</v>
      </c>
      <c r="G570" s="29" t="str">
        <f t="shared" si="1"/>
        <v>16007</v>
      </c>
      <c r="H570" s="37" t="s">
        <v>663</v>
      </c>
      <c r="I570" s="37" t="s">
        <v>47</v>
      </c>
      <c r="J570" s="37" t="s">
        <v>660</v>
      </c>
      <c r="K570" s="37" t="str">
        <f t="shared" si="13"/>
        <v>Bear Lake, ID</v>
      </c>
      <c r="L570" s="24"/>
    </row>
    <row r="571">
      <c r="A571" s="28">
        <v>570.0</v>
      </c>
      <c r="B571" s="29"/>
      <c r="C571" s="29"/>
      <c r="D571" s="40">
        <v>1.0</v>
      </c>
      <c r="E571" s="31">
        <v>16.0</v>
      </c>
      <c r="F571" s="42">
        <v>9.0</v>
      </c>
      <c r="G571" s="29" t="str">
        <f t="shared" si="1"/>
        <v>16009</v>
      </c>
      <c r="H571" s="37" t="s">
        <v>664</v>
      </c>
      <c r="I571" s="37" t="s">
        <v>47</v>
      </c>
      <c r="J571" s="37" t="s">
        <v>660</v>
      </c>
      <c r="K571" s="37" t="str">
        <f t="shared" si="13"/>
        <v>Benewah, ID</v>
      </c>
      <c r="L571" s="24"/>
    </row>
    <row r="572">
      <c r="A572" s="28">
        <v>571.0</v>
      </c>
      <c r="B572" s="29"/>
      <c r="C572" s="29"/>
      <c r="D572" s="40">
        <v>1.0</v>
      </c>
      <c r="E572" s="31">
        <v>16.0</v>
      </c>
      <c r="F572" s="42">
        <v>11.0</v>
      </c>
      <c r="G572" s="29" t="str">
        <f t="shared" si="1"/>
        <v>16011</v>
      </c>
      <c r="H572" s="37" t="s">
        <v>665</v>
      </c>
      <c r="I572" s="37" t="s">
        <v>47</v>
      </c>
      <c r="J572" s="37" t="s">
        <v>660</v>
      </c>
      <c r="K572" s="37" t="str">
        <f t="shared" si="13"/>
        <v>Bingham, ID</v>
      </c>
      <c r="L572" s="24"/>
    </row>
    <row r="573">
      <c r="A573" s="28">
        <v>572.0</v>
      </c>
      <c r="B573" s="29"/>
      <c r="C573" s="29"/>
      <c r="D573" s="40">
        <v>1.0</v>
      </c>
      <c r="E573" s="31">
        <v>16.0</v>
      </c>
      <c r="F573" s="42">
        <v>13.0</v>
      </c>
      <c r="G573" s="29" t="str">
        <f t="shared" si="1"/>
        <v>16013</v>
      </c>
      <c r="H573" s="37" t="s">
        <v>666</v>
      </c>
      <c r="I573" s="37" t="s">
        <v>47</v>
      </c>
      <c r="J573" s="37" t="s">
        <v>660</v>
      </c>
      <c r="K573" s="37" t="str">
        <f t="shared" si="13"/>
        <v>Blaine, ID</v>
      </c>
      <c r="L573" s="24"/>
    </row>
    <row r="574">
      <c r="A574" s="28">
        <v>573.0</v>
      </c>
      <c r="B574" s="29"/>
      <c r="C574" s="29"/>
      <c r="D574" s="40">
        <v>1.0</v>
      </c>
      <c r="E574" s="31">
        <v>16.0</v>
      </c>
      <c r="F574" s="42">
        <v>15.0</v>
      </c>
      <c r="G574" s="29" t="str">
        <f t="shared" si="1"/>
        <v>16015</v>
      </c>
      <c r="H574" s="37" t="s">
        <v>667</v>
      </c>
      <c r="I574" s="37" t="s">
        <v>47</v>
      </c>
      <c r="J574" s="37" t="s">
        <v>660</v>
      </c>
      <c r="K574" s="37" t="str">
        <f t="shared" si="13"/>
        <v>Boise, ID</v>
      </c>
      <c r="L574" s="24"/>
    </row>
    <row r="575">
      <c r="A575" s="28">
        <v>574.0</v>
      </c>
      <c r="B575" s="29"/>
      <c r="C575" s="29"/>
      <c r="D575" s="40">
        <v>1.0</v>
      </c>
      <c r="E575" s="31">
        <v>16.0</v>
      </c>
      <c r="F575" s="42">
        <v>17.0</v>
      </c>
      <c r="G575" s="29" t="str">
        <f t="shared" si="1"/>
        <v>16017</v>
      </c>
      <c r="H575" s="37" t="s">
        <v>668</v>
      </c>
      <c r="I575" s="37" t="s">
        <v>47</v>
      </c>
      <c r="J575" s="37" t="s">
        <v>660</v>
      </c>
      <c r="K575" s="37" t="str">
        <f t="shared" si="13"/>
        <v>Bonner, ID</v>
      </c>
      <c r="L575" s="24"/>
    </row>
    <row r="576">
      <c r="A576" s="28">
        <v>575.0</v>
      </c>
      <c r="B576" s="29"/>
      <c r="C576" s="29"/>
      <c r="D576" s="40">
        <v>1.0</v>
      </c>
      <c r="E576" s="31">
        <v>16.0</v>
      </c>
      <c r="F576" s="42">
        <v>19.0</v>
      </c>
      <c r="G576" s="29" t="str">
        <f t="shared" si="1"/>
        <v>16019</v>
      </c>
      <c r="H576" s="37" t="s">
        <v>669</v>
      </c>
      <c r="I576" s="37" t="s">
        <v>47</v>
      </c>
      <c r="J576" s="37" t="s">
        <v>660</v>
      </c>
      <c r="K576" s="37" t="str">
        <f t="shared" si="13"/>
        <v>Bonneville, ID</v>
      </c>
      <c r="L576" s="24"/>
    </row>
    <row r="577">
      <c r="A577" s="28">
        <v>576.0</v>
      </c>
      <c r="B577" s="29"/>
      <c r="C577" s="29"/>
      <c r="D577" s="40">
        <v>1.0</v>
      </c>
      <c r="E577" s="31">
        <v>16.0</v>
      </c>
      <c r="F577" s="42">
        <v>21.0</v>
      </c>
      <c r="G577" s="29" t="str">
        <f t="shared" si="1"/>
        <v>16021</v>
      </c>
      <c r="H577" s="37" t="s">
        <v>670</v>
      </c>
      <c r="I577" s="37" t="s">
        <v>47</v>
      </c>
      <c r="J577" s="37" t="s">
        <v>660</v>
      </c>
      <c r="K577" s="37" t="str">
        <f t="shared" si="13"/>
        <v>Boundary, ID</v>
      </c>
      <c r="L577" s="24"/>
    </row>
    <row r="578">
      <c r="A578" s="28">
        <v>577.0</v>
      </c>
      <c r="B578" s="29"/>
      <c r="C578" s="29"/>
      <c r="D578" s="40">
        <v>1.0</v>
      </c>
      <c r="E578" s="31">
        <v>16.0</v>
      </c>
      <c r="F578" s="42">
        <v>23.0</v>
      </c>
      <c r="G578" s="29" t="str">
        <f t="shared" si="1"/>
        <v>16023</v>
      </c>
      <c r="H578" s="37" t="s">
        <v>324</v>
      </c>
      <c r="I578" s="37" t="s">
        <v>47</v>
      </c>
      <c r="J578" s="37" t="s">
        <v>660</v>
      </c>
      <c r="K578" s="37" t="str">
        <f t="shared" si="13"/>
        <v>Butte, ID</v>
      </c>
      <c r="L578" s="24"/>
    </row>
    <row r="579">
      <c r="A579" s="28">
        <v>578.0</v>
      </c>
      <c r="B579" s="29"/>
      <c r="C579" s="29"/>
      <c r="D579" s="40">
        <v>1.0</v>
      </c>
      <c r="E579" s="31">
        <v>16.0</v>
      </c>
      <c r="F579" s="42">
        <v>25.0</v>
      </c>
      <c r="G579" s="29" t="str">
        <f t="shared" si="1"/>
        <v>16025</v>
      </c>
      <c r="H579" s="37" t="s">
        <v>671</v>
      </c>
      <c r="I579" s="37" t="s">
        <v>47</v>
      </c>
      <c r="J579" s="37" t="s">
        <v>660</v>
      </c>
      <c r="K579" s="37" t="str">
        <f t="shared" si="13"/>
        <v>Camas, ID</v>
      </c>
      <c r="L579" s="24"/>
    </row>
    <row r="580">
      <c r="A580" s="28">
        <v>579.0</v>
      </c>
      <c r="B580" s="29"/>
      <c r="C580" s="29"/>
      <c r="D580" s="40">
        <v>1.0</v>
      </c>
      <c r="E580" s="31">
        <v>16.0</v>
      </c>
      <c r="F580" s="42">
        <v>27.0</v>
      </c>
      <c r="G580" s="29" t="str">
        <f t="shared" si="1"/>
        <v>16027</v>
      </c>
      <c r="H580" s="37" t="s">
        <v>672</v>
      </c>
      <c r="I580" s="37" t="s">
        <v>47</v>
      </c>
      <c r="J580" s="37" t="s">
        <v>660</v>
      </c>
      <c r="K580" s="37" t="str">
        <f t="shared" si="13"/>
        <v>Canyon, ID</v>
      </c>
      <c r="L580" s="24"/>
    </row>
    <row r="581">
      <c r="A581" s="28">
        <v>580.0</v>
      </c>
      <c r="B581" s="29"/>
      <c r="C581" s="29"/>
      <c r="D581" s="40">
        <v>1.0</v>
      </c>
      <c r="E581" s="31">
        <v>16.0</v>
      </c>
      <c r="F581" s="42">
        <v>29.0</v>
      </c>
      <c r="G581" s="29" t="str">
        <f t="shared" si="1"/>
        <v>16029</v>
      </c>
      <c r="H581" s="37" t="s">
        <v>673</v>
      </c>
      <c r="I581" s="37" t="s">
        <v>47</v>
      </c>
      <c r="J581" s="37" t="s">
        <v>660</v>
      </c>
      <c r="K581" s="37" t="str">
        <f t="shared" si="13"/>
        <v>Caribou, ID</v>
      </c>
      <c r="L581" s="24"/>
    </row>
    <row r="582">
      <c r="A582" s="28">
        <v>581.0</v>
      </c>
      <c r="B582" s="29"/>
      <c r="C582" s="29"/>
      <c r="D582" s="40">
        <v>1.0</v>
      </c>
      <c r="E582" s="31">
        <v>16.0</v>
      </c>
      <c r="F582" s="42">
        <v>31.0</v>
      </c>
      <c r="G582" s="29" t="str">
        <f t="shared" si="1"/>
        <v>16031</v>
      </c>
      <c r="H582" s="37" t="s">
        <v>674</v>
      </c>
      <c r="I582" s="37" t="s">
        <v>47</v>
      </c>
      <c r="J582" s="37" t="s">
        <v>660</v>
      </c>
      <c r="K582" s="37" t="str">
        <f t="shared" si="13"/>
        <v>Cassia, ID</v>
      </c>
      <c r="L582" s="24"/>
    </row>
    <row r="583">
      <c r="A583" s="28">
        <v>582.0</v>
      </c>
      <c r="B583" s="29"/>
      <c r="C583" s="29"/>
      <c r="D583" s="40">
        <v>1.0</v>
      </c>
      <c r="E583" s="31">
        <v>16.0</v>
      </c>
      <c r="F583" s="42">
        <v>33.0</v>
      </c>
      <c r="G583" s="29" t="str">
        <f t="shared" si="1"/>
        <v>16033</v>
      </c>
      <c r="H583" s="37" t="s">
        <v>253</v>
      </c>
      <c r="I583" s="37" t="s">
        <v>47</v>
      </c>
      <c r="J583" s="37" t="s">
        <v>660</v>
      </c>
      <c r="K583" s="37" t="str">
        <f t="shared" si="13"/>
        <v>Clark, ID</v>
      </c>
      <c r="L583" s="24"/>
    </row>
    <row r="584">
      <c r="A584" s="28">
        <v>583.0</v>
      </c>
      <c r="B584" s="29"/>
      <c r="C584" s="29"/>
      <c r="D584" s="40">
        <v>1.0</v>
      </c>
      <c r="E584" s="31">
        <v>16.0</v>
      </c>
      <c r="F584" s="42">
        <v>35.0</v>
      </c>
      <c r="G584" s="29" t="str">
        <f t="shared" si="1"/>
        <v>16035</v>
      </c>
      <c r="H584" s="37" t="s">
        <v>675</v>
      </c>
      <c r="I584" s="37" t="s">
        <v>47</v>
      </c>
      <c r="J584" s="37" t="s">
        <v>660</v>
      </c>
      <c r="K584" s="37" t="str">
        <f t="shared" si="13"/>
        <v>Clearwater, ID</v>
      </c>
      <c r="L584" s="24"/>
    </row>
    <row r="585">
      <c r="A585" s="28">
        <v>584.0</v>
      </c>
      <c r="B585" s="29"/>
      <c r="C585" s="29"/>
      <c r="D585" s="40">
        <v>1.0</v>
      </c>
      <c r="E585" s="31">
        <v>16.0</v>
      </c>
      <c r="F585" s="42">
        <v>37.0</v>
      </c>
      <c r="G585" s="29" t="str">
        <f t="shared" si="1"/>
        <v>16037</v>
      </c>
      <c r="H585" s="37" t="s">
        <v>406</v>
      </c>
      <c r="I585" s="37" t="s">
        <v>47</v>
      </c>
      <c r="J585" s="37" t="s">
        <v>660</v>
      </c>
      <c r="K585" s="37" t="str">
        <f t="shared" si="13"/>
        <v>Custer, ID</v>
      </c>
      <c r="L585" s="24"/>
    </row>
    <row r="586">
      <c r="A586" s="28">
        <v>585.0</v>
      </c>
      <c r="B586" s="29"/>
      <c r="C586" s="29"/>
      <c r="D586" s="40">
        <v>1.0</v>
      </c>
      <c r="E586" s="31">
        <v>16.0</v>
      </c>
      <c r="F586" s="42">
        <v>39.0</v>
      </c>
      <c r="G586" s="29" t="str">
        <f t="shared" si="1"/>
        <v>16039</v>
      </c>
      <c r="H586" s="37" t="s">
        <v>132</v>
      </c>
      <c r="I586" s="37" t="s">
        <v>47</v>
      </c>
      <c r="J586" s="37" t="s">
        <v>660</v>
      </c>
      <c r="K586" s="37" t="str">
        <f t="shared" si="13"/>
        <v>Elmore, ID</v>
      </c>
      <c r="L586" s="24"/>
    </row>
    <row r="587">
      <c r="A587" s="28">
        <v>586.0</v>
      </c>
      <c r="B587" s="29"/>
      <c r="C587" s="29"/>
      <c r="D587" s="40">
        <v>1.0</v>
      </c>
      <c r="E587" s="31">
        <v>16.0</v>
      </c>
      <c r="F587" s="42">
        <v>41.0</v>
      </c>
      <c r="G587" s="29" t="str">
        <f t="shared" si="1"/>
        <v>16041</v>
      </c>
      <c r="H587" s="37" t="s">
        <v>136</v>
      </c>
      <c r="I587" s="37" t="s">
        <v>47</v>
      </c>
      <c r="J587" s="37" t="s">
        <v>660</v>
      </c>
      <c r="K587" s="37" t="str">
        <f t="shared" si="13"/>
        <v>Franklin, ID</v>
      </c>
      <c r="L587" s="24"/>
    </row>
    <row r="588">
      <c r="A588" s="28">
        <v>587.0</v>
      </c>
      <c r="B588" s="29"/>
      <c r="C588" s="29"/>
      <c r="D588" s="40">
        <v>1.0</v>
      </c>
      <c r="E588" s="31">
        <v>16.0</v>
      </c>
      <c r="F588" s="42">
        <v>43.0</v>
      </c>
      <c r="G588" s="29" t="str">
        <f t="shared" si="1"/>
        <v>16043</v>
      </c>
      <c r="H588" s="37" t="s">
        <v>416</v>
      </c>
      <c r="I588" s="37" t="s">
        <v>47</v>
      </c>
      <c r="J588" s="37" t="s">
        <v>660</v>
      </c>
      <c r="K588" s="37" t="str">
        <f t="shared" si="13"/>
        <v>Fremont, ID</v>
      </c>
      <c r="L588" s="24"/>
    </row>
    <row r="589">
      <c r="A589" s="28">
        <v>588.0</v>
      </c>
      <c r="B589" s="29"/>
      <c r="C589" s="29"/>
      <c r="D589" s="40">
        <v>1.0</v>
      </c>
      <c r="E589" s="31">
        <v>16.0</v>
      </c>
      <c r="F589" s="42">
        <v>45.0</v>
      </c>
      <c r="G589" s="29" t="str">
        <f t="shared" si="1"/>
        <v>16045</v>
      </c>
      <c r="H589" s="37" t="s">
        <v>676</v>
      </c>
      <c r="I589" s="37" t="s">
        <v>47</v>
      </c>
      <c r="J589" s="37" t="s">
        <v>660</v>
      </c>
      <c r="K589" s="37" t="str">
        <f t="shared" si="13"/>
        <v>Gem, ID</v>
      </c>
      <c r="L589" s="24"/>
    </row>
    <row r="590">
      <c r="A590" s="28">
        <v>589.0</v>
      </c>
      <c r="B590" s="29"/>
      <c r="C590" s="29"/>
      <c r="D590" s="40">
        <v>1.0</v>
      </c>
      <c r="E590" s="31">
        <v>16.0</v>
      </c>
      <c r="F590" s="42">
        <v>47.0</v>
      </c>
      <c r="G590" s="29" t="str">
        <f t="shared" si="1"/>
        <v>16047</v>
      </c>
      <c r="H590" s="37" t="s">
        <v>677</v>
      </c>
      <c r="I590" s="37" t="s">
        <v>47</v>
      </c>
      <c r="J590" s="37" t="s">
        <v>660</v>
      </c>
      <c r="K590" s="37" t="str">
        <f t="shared" si="13"/>
        <v>Gooding, ID</v>
      </c>
      <c r="L590" s="24"/>
    </row>
    <row r="591">
      <c r="A591" s="28">
        <v>590.0</v>
      </c>
      <c r="B591" s="29"/>
      <c r="C591" s="29"/>
      <c r="D591" s="40">
        <v>1.0</v>
      </c>
      <c r="E591" s="31">
        <v>16.0</v>
      </c>
      <c r="F591" s="42">
        <v>49.0</v>
      </c>
      <c r="G591" s="29" t="str">
        <f t="shared" si="1"/>
        <v>16049</v>
      </c>
      <c r="H591" s="37" t="s">
        <v>47</v>
      </c>
      <c r="I591" s="37" t="s">
        <v>47</v>
      </c>
      <c r="J591" s="37" t="s">
        <v>660</v>
      </c>
      <c r="K591" s="37" t="str">
        <f t="shared" si="13"/>
        <v>Idaho, ID</v>
      </c>
      <c r="L591" s="24"/>
    </row>
    <row r="592">
      <c r="A592" s="28">
        <v>591.0</v>
      </c>
      <c r="B592" s="29"/>
      <c r="C592" s="29"/>
      <c r="D592" s="40">
        <v>1.0</v>
      </c>
      <c r="E592" s="31">
        <v>16.0</v>
      </c>
      <c r="F592" s="42">
        <v>51.0</v>
      </c>
      <c r="G592" s="29" t="str">
        <f t="shared" si="1"/>
        <v>16051</v>
      </c>
      <c r="H592" s="37" t="s">
        <v>143</v>
      </c>
      <c r="I592" s="37" t="s">
        <v>47</v>
      </c>
      <c r="J592" s="37" t="s">
        <v>660</v>
      </c>
      <c r="K592" s="37" t="str">
        <f t="shared" si="13"/>
        <v>Jefferson, ID</v>
      </c>
      <c r="L592" s="24"/>
    </row>
    <row r="593">
      <c r="A593" s="28">
        <v>592.0</v>
      </c>
      <c r="B593" s="29"/>
      <c r="C593" s="29"/>
      <c r="D593" s="40">
        <v>1.0</v>
      </c>
      <c r="E593" s="31">
        <v>16.0</v>
      </c>
      <c r="F593" s="42">
        <v>53.0</v>
      </c>
      <c r="G593" s="29" t="str">
        <f t="shared" si="1"/>
        <v>16053</v>
      </c>
      <c r="H593" s="37" t="s">
        <v>678</v>
      </c>
      <c r="I593" s="37" t="s">
        <v>47</v>
      </c>
      <c r="J593" s="37" t="s">
        <v>660</v>
      </c>
      <c r="K593" s="37" t="str">
        <f t="shared" si="13"/>
        <v>Jerome, ID</v>
      </c>
      <c r="L593" s="24"/>
    </row>
    <row r="594">
      <c r="A594" s="28">
        <v>593.0</v>
      </c>
      <c r="B594" s="29"/>
      <c r="C594" s="29"/>
      <c r="D594" s="40">
        <v>1.0</v>
      </c>
      <c r="E594" s="31">
        <v>16.0</v>
      </c>
      <c r="F594" s="42">
        <v>55.0</v>
      </c>
      <c r="G594" s="29" t="str">
        <f t="shared" si="1"/>
        <v>16055</v>
      </c>
      <c r="H594" s="37" t="s">
        <v>679</v>
      </c>
      <c r="I594" s="37" t="s">
        <v>47</v>
      </c>
      <c r="J594" s="37" t="s">
        <v>660</v>
      </c>
      <c r="K594" s="37" t="str">
        <f t="shared" si="13"/>
        <v>Kootenai, ID</v>
      </c>
      <c r="L594" s="24"/>
    </row>
    <row r="595">
      <c r="A595" s="28">
        <v>594.0</v>
      </c>
      <c r="B595" s="29"/>
      <c r="C595" s="29"/>
      <c r="D595" s="40">
        <v>1.0</v>
      </c>
      <c r="E595" s="31">
        <v>16.0</v>
      </c>
      <c r="F595" s="42">
        <v>57.0</v>
      </c>
      <c r="G595" s="29" t="str">
        <f t="shared" si="1"/>
        <v>16057</v>
      </c>
      <c r="H595" s="37" t="s">
        <v>680</v>
      </c>
      <c r="I595" s="37" t="s">
        <v>47</v>
      </c>
      <c r="J595" s="37" t="s">
        <v>660</v>
      </c>
      <c r="K595" s="37" t="str">
        <f t="shared" si="13"/>
        <v>Latah, ID</v>
      </c>
      <c r="L595" s="24"/>
    </row>
    <row r="596">
      <c r="A596" s="28">
        <v>595.0</v>
      </c>
      <c r="B596" s="29"/>
      <c r="C596" s="29"/>
      <c r="D596" s="40">
        <v>1.0</v>
      </c>
      <c r="E596" s="31">
        <v>16.0</v>
      </c>
      <c r="F596" s="42">
        <v>59.0</v>
      </c>
      <c r="G596" s="29" t="str">
        <f t="shared" si="1"/>
        <v>16059</v>
      </c>
      <c r="H596" s="37" t="s">
        <v>681</v>
      </c>
      <c r="I596" s="37" t="s">
        <v>47</v>
      </c>
      <c r="J596" s="37" t="s">
        <v>660</v>
      </c>
      <c r="K596" s="37" t="str">
        <f t="shared" si="13"/>
        <v>Lemhi, ID</v>
      </c>
      <c r="L596" s="24"/>
    </row>
    <row r="597">
      <c r="A597" s="28">
        <v>596.0</v>
      </c>
      <c r="B597" s="29"/>
      <c r="C597" s="29"/>
      <c r="D597" s="40">
        <v>1.0</v>
      </c>
      <c r="E597" s="31">
        <v>16.0</v>
      </c>
      <c r="F597" s="42">
        <v>61.0</v>
      </c>
      <c r="G597" s="29" t="str">
        <f t="shared" si="1"/>
        <v>16061</v>
      </c>
      <c r="H597" s="37" t="s">
        <v>682</v>
      </c>
      <c r="I597" s="37" t="s">
        <v>47</v>
      </c>
      <c r="J597" s="37" t="s">
        <v>660</v>
      </c>
      <c r="K597" s="37" t="str">
        <f t="shared" si="13"/>
        <v>Lewis, ID</v>
      </c>
      <c r="L597" s="24"/>
    </row>
    <row r="598">
      <c r="A598" s="28">
        <v>597.0</v>
      </c>
      <c r="B598" s="29"/>
      <c r="C598" s="29"/>
      <c r="D598" s="40">
        <v>1.0</v>
      </c>
      <c r="E598" s="31">
        <v>16.0</v>
      </c>
      <c r="F598" s="42">
        <v>63.0</v>
      </c>
      <c r="G598" s="29" t="str">
        <f t="shared" si="1"/>
        <v>16063</v>
      </c>
      <c r="H598" s="37" t="s">
        <v>290</v>
      </c>
      <c r="I598" s="37" t="s">
        <v>47</v>
      </c>
      <c r="J598" s="37" t="s">
        <v>660</v>
      </c>
      <c r="K598" s="37" t="str">
        <f t="shared" si="13"/>
        <v>Lincoln, ID</v>
      </c>
      <c r="L598" s="24"/>
    </row>
    <row r="599">
      <c r="A599" s="28">
        <v>598.0</v>
      </c>
      <c r="B599" s="29"/>
      <c r="C599" s="29"/>
      <c r="D599" s="40">
        <v>1.0</v>
      </c>
      <c r="E599" s="31">
        <v>16.0</v>
      </c>
      <c r="F599" s="42">
        <v>65.0</v>
      </c>
      <c r="G599" s="29" t="str">
        <f t="shared" si="1"/>
        <v>16065</v>
      </c>
      <c r="H599" s="37" t="s">
        <v>151</v>
      </c>
      <c r="I599" s="37" t="s">
        <v>47</v>
      </c>
      <c r="J599" s="37" t="s">
        <v>660</v>
      </c>
      <c r="K599" s="37" t="str">
        <f t="shared" si="13"/>
        <v>Madison, ID</v>
      </c>
      <c r="L599" s="24"/>
    </row>
    <row r="600">
      <c r="A600" s="28">
        <v>599.0</v>
      </c>
      <c r="B600" s="29"/>
      <c r="C600" s="29"/>
      <c r="D600" s="40">
        <v>1.0</v>
      </c>
      <c r="E600" s="31">
        <v>16.0</v>
      </c>
      <c r="F600" s="42">
        <v>67.0</v>
      </c>
      <c r="G600" s="29" t="str">
        <f t="shared" si="1"/>
        <v>16067</v>
      </c>
      <c r="H600" s="37" t="s">
        <v>683</v>
      </c>
      <c r="I600" s="37" t="s">
        <v>47</v>
      </c>
      <c r="J600" s="37" t="s">
        <v>660</v>
      </c>
      <c r="K600" s="37" t="str">
        <f t="shared" si="13"/>
        <v>Minidoka, ID</v>
      </c>
      <c r="L600" s="24"/>
    </row>
    <row r="601">
      <c r="A601" s="28">
        <v>600.0</v>
      </c>
      <c r="B601" s="29"/>
      <c r="C601" s="29"/>
      <c r="D601" s="40">
        <v>1.0</v>
      </c>
      <c r="E601" s="31">
        <v>16.0</v>
      </c>
      <c r="F601" s="42">
        <v>69.0</v>
      </c>
      <c r="G601" s="29" t="str">
        <f t="shared" si="1"/>
        <v>16069</v>
      </c>
      <c r="H601" s="37" t="s">
        <v>684</v>
      </c>
      <c r="I601" s="37" t="s">
        <v>47</v>
      </c>
      <c r="J601" s="37" t="s">
        <v>660</v>
      </c>
      <c r="K601" s="37" t="str">
        <f t="shared" si="13"/>
        <v>Nez Perce, ID</v>
      </c>
      <c r="L601" s="24"/>
    </row>
    <row r="602">
      <c r="A602" s="28">
        <v>601.0</v>
      </c>
      <c r="B602" s="29"/>
      <c r="C602" s="29"/>
      <c r="D602" s="40">
        <v>1.0</v>
      </c>
      <c r="E602" s="31">
        <v>16.0</v>
      </c>
      <c r="F602" s="42">
        <v>71.0</v>
      </c>
      <c r="G602" s="29" t="str">
        <f t="shared" si="1"/>
        <v>16071</v>
      </c>
      <c r="H602" s="37" t="s">
        <v>685</v>
      </c>
      <c r="I602" s="37" t="s">
        <v>47</v>
      </c>
      <c r="J602" s="37" t="s">
        <v>660</v>
      </c>
      <c r="K602" s="37" t="str">
        <f t="shared" si="13"/>
        <v>Oneida, ID</v>
      </c>
      <c r="L602" s="24"/>
    </row>
    <row r="603">
      <c r="A603" s="28">
        <v>602.0</v>
      </c>
      <c r="B603" s="29"/>
      <c r="C603" s="29"/>
      <c r="D603" s="40">
        <v>1.0</v>
      </c>
      <c r="E603" s="31">
        <v>16.0</v>
      </c>
      <c r="F603" s="42">
        <v>73.0</v>
      </c>
      <c r="G603" s="29" t="str">
        <f t="shared" si="1"/>
        <v>16073</v>
      </c>
      <c r="H603" s="37" t="s">
        <v>686</v>
      </c>
      <c r="I603" s="37" t="s">
        <v>47</v>
      </c>
      <c r="J603" s="37" t="s">
        <v>660</v>
      </c>
      <c r="K603" s="37" t="str">
        <f t="shared" si="13"/>
        <v>Owyhee, ID</v>
      </c>
      <c r="L603" s="24"/>
    </row>
    <row r="604">
      <c r="A604" s="28">
        <v>603.0</v>
      </c>
      <c r="B604" s="29"/>
      <c r="C604" s="29"/>
      <c r="D604" s="40">
        <v>1.0</v>
      </c>
      <c r="E604" s="31">
        <v>16.0</v>
      </c>
      <c r="F604" s="42">
        <v>75.0</v>
      </c>
      <c r="G604" s="29" t="str">
        <f t="shared" si="1"/>
        <v>16075</v>
      </c>
      <c r="H604" s="37" t="s">
        <v>687</v>
      </c>
      <c r="I604" s="37" t="s">
        <v>47</v>
      </c>
      <c r="J604" s="37" t="s">
        <v>660</v>
      </c>
      <c r="K604" s="37" t="str">
        <f t="shared" si="13"/>
        <v>Payette, ID</v>
      </c>
      <c r="L604" s="24"/>
    </row>
    <row r="605">
      <c r="A605" s="28">
        <v>604.0</v>
      </c>
      <c r="B605" s="29"/>
      <c r="C605" s="29"/>
      <c r="D605" s="40">
        <v>1.0</v>
      </c>
      <c r="E605" s="31">
        <v>16.0</v>
      </c>
      <c r="F605" s="42">
        <v>77.0</v>
      </c>
      <c r="G605" s="29" t="str">
        <f t="shared" si="1"/>
        <v>16077</v>
      </c>
      <c r="H605" s="37" t="s">
        <v>688</v>
      </c>
      <c r="I605" s="37" t="s">
        <v>47</v>
      </c>
      <c r="J605" s="37" t="s">
        <v>660</v>
      </c>
      <c r="K605" s="37" t="str">
        <f t="shared" si="13"/>
        <v>Power, ID</v>
      </c>
      <c r="L605" s="24"/>
    </row>
    <row r="606">
      <c r="A606" s="28">
        <v>605.0</v>
      </c>
      <c r="B606" s="29"/>
      <c r="C606" s="29"/>
      <c r="D606" s="40">
        <v>1.0</v>
      </c>
      <c r="E606" s="31">
        <v>16.0</v>
      </c>
      <c r="F606" s="42">
        <v>79.0</v>
      </c>
      <c r="G606" s="29" t="str">
        <f t="shared" si="1"/>
        <v>16079</v>
      </c>
      <c r="H606" s="37" t="s">
        <v>689</v>
      </c>
      <c r="I606" s="37" t="s">
        <v>47</v>
      </c>
      <c r="J606" s="37" t="s">
        <v>660</v>
      </c>
      <c r="K606" s="37" t="str">
        <f t="shared" si="13"/>
        <v>Shoshone, ID</v>
      </c>
      <c r="L606" s="24"/>
    </row>
    <row r="607">
      <c r="A607" s="28">
        <v>606.0</v>
      </c>
      <c r="B607" s="29"/>
      <c r="C607" s="29"/>
      <c r="D607" s="40">
        <v>1.0</v>
      </c>
      <c r="E607" s="31">
        <v>16.0</v>
      </c>
      <c r="F607" s="42">
        <v>81.0</v>
      </c>
      <c r="G607" s="29" t="str">
        <f t="shared" si="1"/>
        <v>16081</v>
      </c>
      <c r="H607" s="37" t="s">
        <v>690</v>
      </c>
      <c r="I607" s="37" t="s">
        <v>47</v>
      </c>
      <c r="J607" s="37" t="s">
        <v>660</v>
      </c>
      <c r="K607" s="37" t="str">
        <f t="shared" si="13"/>
        <v>Teton, ID</v>
      </c>
      <c r="L607" s="24"/>
    </row>
    <row r="608">
      <c r="A608" s="28">
        <v>607.0</v>
      </c>
      <c r="B608" s="29"/>
      <c r="C608" s="29"/>
      <c r="D608" s="40">
        <v>1.0</v>
      </c>
      <c r="E608" s="31">
        <v>16.0</v>
      </c>
      <c r="F608" s="42">
        <v>83.0</v>
      </c>
      <c r="G608" s="29" t="str">
        <f t="shared" si="1"/>
        <v>16083</v>
      </c>
      <c r="H608" s="37" t="s">
        <v>691</v>
      </c>
      <c r="I608" s="37" t="s">
        <v>47</v>
      </c>
      <c r="J608" s="37" t="s">
        <v>660</v>
      </c>
      <c r="K608" s="37" t="str">
        <f t="shared" si="13"/>
        <v>Twin Falls, ID</v>
      </c>
      <c r="L608" s="24"/>
    </row>
    <row r="609">
      <c r="A609" s="28">
        <v>608.0</v>
      </c>
      <c r="B609" s="29"/>
      <c r="C609" s="29"/>
      <c r="D609" s="40">
        <v>1.0</v>
      </c>
      <c r="E609" s="31">
        <v>16.0</v>
      </c>
      <c r="F609" s="42">
        <v>85.0</v>
      </c>
      <c r="G609" s="29" t="str">
        <f t="shared" si="1"/>
        <v>16085</v>
      </c>
      <c r="H609" s="37" t="s">
        <v>692</v>
      </c>
      <c r="I609" s="37" t="s">
        <v>47</v>
      </c>
      <c r="J609" s="37" t="s">
        <v>660</v>
      </c>
      <c r="K609" s="37" t="str">
        <f t="shared" si="13"/>
        <v>Valley, ID</v>
      </c>
      <c r="L609" s="24"/>
    </row>
    <row r="610">
      <c r="A610" s="28">
        <v>609.0</v>
      </c>
      <c r="B610" s="29"/>
      <c r="C610" s="29"/>
      <c r="D610" s="40">
        <v>1.0</v>
      </c>
      <c r="E610" s="31">
        <v>16.0</v>
      </c>
      <c r="F610" s="42">
        <v>87.0</v>
      </c>
      <c r="G610" s="29" t="str">
        <f t="shared" si="1"/>
        <v>16087</v>
      </c>
      <c r="H610" s="37" t="s">
        <v>119</v>
      </c>
      <c r="I610" s="37" t="s">
        <v>47</v>
      </c>
      <c r="J610" s="37" t="s">
        <v>660</v>
      </c>
      <c r="K610" s="37" t="str">
        <f t="shared" si="13"/>
        <v>Washington, ID</v>
      </c>
      <c r="L610" s="24"/>
    </row>
    <row r="611">
      <c r="A611" s="99">
        <v>610.0</v>
      </c>
      <c r="B611" s="15"/>
      <c r="C611" s="14" t="s">
        <v>25</v>
      </c>
      <c r="D611" s="16"/>
      <c r="E611" s="102">
        <v>17.0</v>
      </c>
      <c r="F611" s="107">
        <v>0.0</v>
      </c>
      <c r="G611" s="15" t="str">
        <f t="shared" si="1"/>
        <v>17000</v>
      </c>
      <c r="H611" s="23"/>
      <c r="I611" s="23" t="s">
        <v>48</v>
      </c>
      <c r="J611" s="23" t="s">
        <v>203</v>
      </c>
      <c r="K611" s="23"/>
      <c r="L611" s="24"/>
    </row>
    <row r="612">
      <c r="A612" s="99">
        <v>611.0</v>
      </c>
      <c r="B612" s="15"/>
      <c r="C612" s="15"/>
      <c r="D612" s="105">
        <v>1.0</v>
      </c>
      <c r="E612" s="102">
        <v>17.0</v>
      </c>
      <c r="F612" s="107">
        <v>1.0</v>
      </c>
      <c r="G612" s="15" t="str">
        <f t="shared" si="1"/>
        <v>17001</v>
      </c>
      <c r="H612" s="23" t="s">
        <v>386</v>
      </c>
      <c r="I612" s="23" t="s">
        <v>48</v>
      </c>
      <c r="J612" s="23" t="s">
        <v>203</v>
      </c>
      <c r="K612" s="23" t="str">
        <f t="shared" ref="K612:K713" si="14">CONCATENATE(H612,", ",J612)</f>
        <v>Adams, IL</v>
      </c>
      <c r="L612" s="24"/>
    </row>
    <row r="613">
      <c r="A613" s="99">
        <v>612.0</v>
      </c>
      <c r="B613" s="15"/>
      <c r="C613" s="15"/>
      <c r="D613" s="105">
        <v>1.0</v>
      </c>
      <c r="E613" s="102">
        <v>17.0</v>
      </c>
      <c r="F613" s="107">
        <v>3.0</v>
      </c>
      <c r="G613" s="15" t="str">
        <f t="shared" si="1"/>
        <v>17003</v>
      </c>
      <c r="H613" s="23" t="s">
        <v>704</v>
      </c>
      <c r="I613" s="23" t="s">
        <v>48</v>
      </c>
      <c r="J613" s="23" t="s">
        <v>203</v>
      </c>
      <c r="K613" s="23" t="str">
        <f t="shared" si="14"/>
        <v>Alexander, IL</v>
      </c>
      <c r="L613" s="24"/>
    </row>
    <row r="614">
      <c r="A614" s="99">
        <v>613.0</v>
      </c>
      <c r="B614" s="15"/>
      <c r="C614" s="15"/>
      <c r="D614" s="105">
        <v>1.0</v>
      </c>
      <c r="E614" s="102">
        <v>17.0</v>
      </c>
      <c r="F614" s="107">
        <v>5.0</v>
      </c>
      <c r="G614" s="15" t="str">
        <f t="shared" si="1"/>
        <v>17005</v>
      </c>
      <c r="H614" s="23" t="s">
        <v>705</v>
      </c>
      <c r="I614" s="23" t="s">
        <v>48</v>
      </c>
      <c r="J614" s="23" t="s">
        <v>203</v>
      </c>
      <c r="K614" s="23" t="str">
        <f t="shared" si="14"/>
        <v>Bond, IL</v>
      </c>
      <c r="L614" s="24"/>
    </row>
    <row r="615">
      <c r="A615" s="99">
        <v>614.0</v>
      </c>
      <c r="B615" s="15"/>
      <c r="C615" s="15"/>
      <c r="D615" s="105">
        <v>1.0</v>
      </c>
      <c r="E615" s="102">
        <v>17.0</v>
      </c>
      <c r="F615" s="107">
        <v>7.0</v>
      </c>
      <c r="G615" s="15" t="str">
        <f t="shared" si="1"/>
        <v>17007</v>
      </c>
      <c r="H615" s="23" t="s">
        <v>246</v>
      </c>
      <c r="I615" s="23" t="s">
        <v>48</v>
      </c>
      <c r="J615" s="23" t="s">
        <v>203</v>
      </c>
      <c r="K615" s="23" t="str">
        <f t="shared" si="14"/>
        <v>Boone, IL</v>
      </c>
      <c r="L615" s="24"/>
    </row>
    <row r="616">
      <c r="A616" s="99">
        <v>615.0</v>
      </c>
      <c r="B616" s="15"/>
      <c r="C616" s="15"/>
      <c r="D616" s="105">
        <v>1.0</v>
      </c>
      <c r="E616" s="102">
        <v>17.0</v>
      </c>
      <c r="F616" s="107">
        <v>9.0</v>
      </c>
      <c r="G616" s="15" t="str">
        <f t="shared" si="1"/>
        <v>17009</v>
      </c>
      <c r="H616" s="23" t="s">
        <v>706</v>
      </c>
      <c r="I616" s="23" t="s">
        <v>48</v>
      </c>
      <c r="J616" s="23" t="s">
        <v>203</v>
      </c>
      <c r="K616" s="23" t="str">
        <f t="shared" si="14"/>
        <v>Brown, IL</v>
      </c>
      <c r="L616" s="24"/>
    </row>
    <row r="617">
      <c r="A617" s="99">
        <v>616.0</v>
      </c>
      <c r="B617" s="15"/>
      <c r="C617" s="15"/>
      <c r="D617" s="105">
        <v>1.0</v>
      </c>
      <c r="E617" s="102">
        <v>17.0</v>
      </c>
      <c r="F617" s="107">
        <v>11.0</v>
      </c>
      <c r="G617" s="15" t="str">
        <f t="shared" si="1"/>
        <v>17011</v>
      </c>
      <c r="H617" s="23" t="s">
        <v>707</v>
      </c>
      <c r="I617" s="23" t="s">
        <v>48</v>
      </c>
      <c r="J617" s="23" t="s">
        <v>203</v>
      </c>
      <c r="K617" s="23" t="str">
        <f t="shared" si="14"/>
        <v>Bureau, IL</v>
      </c>
      <c r="L617" s="24"/>
    </row>
    <row r="618">
      <c r="A618" s="99">
        <v>617.0</v>
      </c>
      <c r="B618" s="15"/>
      <c r="C618" s="15"/>
      <c r="D618" s="105">
        <v>1.0</v>
      </c>
      <c r="E618" s="102">
        <v>17.0</v>
      </c>
      <c r="F618" s="107">
        <v>13.0</v>
      </c>
      <c r="G618" s="15" t="str">
        <f t="shared" si="1"/>
        <v>17013</v>
      </c>
      <c r="H618" s="23" t="s">
        <v>93</v>
      </c>
      <c r="I618" s="23" t="s">
        <v>48</v>
      </c>
      <c r="J618" s="23" t="s">
        <v>203</v>
      </c>
      <c r="K618" s="23" t="str">
        <f t="shared" si="14"/>
        <v>Calhoun, IL</v>
      </c>
      <c r="L618" s="24"/>
    </row>
    <row r="619">
      <c r="A619" s="99">
        <v>618.0</v>
      </c>
      <c r="B619" s="15"/>
      <c r="C619" s="15"/>
      <c r="D619" s="105">
        <v>1.0</v>
      </c>
      <c r="E619" s="102">
        <v>17.0</v>
      </c>
      <c r="F619" s="107">
        <v>15.0</v>
      </c>
      <c r="G619" s="15" t="str">
        <f t="shared" si="1"/>
        <v>17015</v>
      </c>
      <c r="H619" s="23" t="s">
        <v>248</v>
      </c>
      <c r="I619" s="23" t="s">
        <v>48</v>
      </c>
      <c r="J619" s="23" t="s">
        <v>203</v>
      </c>
      <c r="K619" s="23" t="str">
        <f t="shared" si="14"/>
        <v>Carroll, IL</v>
      </c>
      <c r="L619" s="24"/>
    </row>
    <row r="620">
      <c r="A620" s="99">
        <v>619.0</v>
      </c>
      <c r="B620" s="15"/>
      <c r="C620" s="15"/>
      <c r="D620" s="105">
        <v>1.0</v>
      </c>
      <c r="E620" s="102">
        <v>17.0</v>
      </c>
      <c r="F620" s="107">
        <v>17.0</v>
      </c>
      <c r="G620" s="15" t="str">
        <f t="shared" si="1"/>
        <v>17017</v>
      </c>
      <c r="H620" s="23" t="s">
        <v>708</v>
      </c>
      <c r="I620" s="23" t="s">
        <v>48</v>
      </c>
      <c r="J620" s="23" t="s">
        <v>203</v>
      </c>
      <c r="K620" s="23" t="str">
        <f t="shared" si="14"/>
        <v>Cass, IL</v>
      </c>
      <c r="L620" s="24"/>
    </row>
    <row r="621">
      <c r="A621" s="99">
        <v>620.0</v>
      </c>
      <c r="B621" s="15"/>
      <c r="C621" s="15"/>
      <c r="D621" s="105">
        <v>1.0</v>
      </c>
      <c r="E621" s="102">
        <v>17.0</v>
      </c>
      <c r="F621" s="107">
        <v>19.0</v>
      </c>
      <c r="G621" s="15" t="str">
        <f t="shared" si="1"/>
        <v>17019</v>
      </c>
      <c r="H621" s="23" t="s">
        <v>709</v>
      </c>
      <c r="I621" s="23" t="s">
        <v>48</v>
      </c>
      <c r="J621" s="23" t="s">
        <v>203</v>
      </c>
      <c r="K621" s="23" t="str">
        <f t="shared" si="14"/>
        <v>Champaign, IL</v>
      </c>
      <c r="L621" s="24"/>
    </row>
    <row r="622">
      <c r="A622" s="99">
        <v>621.0</v>
      </c>
      <c r="B622" s="15"/>
      <c r="C622" s="15"/>
      <c r="D622" s="105">
        <v>1.0</v>
      </c>
      <c r="E622" s="102">
        <v>17.0</v>
      </c>
      <c r="F622" s="107">
        <v>21.0</v>
      </c>
      <c r="G622" s="15" t="str">
        <f t="shared" si="1"/>
        <v>17021</v>
      </c>
      <c r="H622" s="23" t="s">
        <v>710</v>
      </c>
      <c r="I622" s="23" t="s">
        <v>48</v>
      </c>
      <c r="J622" s="23" t="s">
        <v>203</v>
      </c>
      <c r="K622" s="23" t="str">
        <f t="shared" si="14"/>
        <v>Christian, IL</v>
      </c>
      <c r="L622" s="24"/>
    </row>
    <row r="623">
      <c r="A623" s="99">
        <v>622.0</v>
      </c>
      <c r="B623" s="15"/>
      <c r="C623" s="15"/>
      <c r="D623" s="105">
        <v>1.0</v>
      </c>
      <c r="E623" s="102">
        <v>17.0</v>
      </c>
      <c r="F623" s="107">
        <v>23.0</v>
      </c>
      <c r="G623" s="15" t="str">
        <f t="shared" si="1"/>
        <v>17023</v>
      </c>
      <c r="H623" s="23" t="s">
        <v>253</v>
      </c>
      <c r="I623" s="23" t="s">
        <v>48</v>
      </c>
      <c r="J623" s="23" t="s">
        <v>203</v>
      </c>
      <c r="K623" s="23" t="str">
        <f t="shared" si="14"/>
        <v>Clark, IL</v>
      </c>
      <c r="L623" s="24"/>
    </row>
    <row r="624">
      <c r="A624" s="99">
        <v>623.0</v>
      </c>
      <c r="B624" s="15"/>
      <c r="C624" s="15"/>
      <c r="D624" s="105">
        <v>1.0</v>
      </c>
      <c r="E624" s="102">
        <v>17.0</v>
      </c>
      <c r="F624" s="107">
        <v>25.0</v>
      </c>
      <c r="G624" s="15" t="str">
        <f t="shared" si="1"/>
        <v>17025</v>
      </c>
      <c r="H624" s="23" t="s">
        <v>112</v>
      </c>
      <c r="I624" s="23" t="s">
        <v>48</v>
      </c>
      <c r="J624" s="23" t="s">
        <v>203</v>
      </c>
      <c r="K624" s="23" t="str">
        <f t="shared" si="14"/>
        <v>Clay, IL</v>
      </c>
      <c r="L624" s="24"/>
    </row>
    <row r="625">
      <c r="A625" s="99">
        <v>624.0</v>
      </c>
      <c r="B625" s="15"/>
      <c r="C625" s="15"/>
      <c r="D625" s="105">
        <v>1.0</v>
      </c>
      <c r="E625" s="102">
        <v>17.0</v>
      </c>
      <c r="F625" s="107">
        <v>27.0</v>
      </c>
      <c r="G625" s="15" t="str">
        <f t="shared" si="1"/>
        <v>17027</v>
      </c>
      <c r="H625" s="23" t="s">
        <v>711</v>
      </c>
      <c r="I625" s="23" t="s">
        <v>48</v>
      </c>
      <c r="J625" s="23" t="s">
        <v>203</v>
      </c>
      <c r="K625" s="23" t="str">
        <f t="shared" si="14"/>
        <v>Clinton, IL</v>
      </c>
      <c r="L625" s="24"/>
    </row>
    <row r="626">
      <c r="A626" s="99">
        <v>625.0</v>
      </c>
      <c r="B626" s="15"/>
      <c r="C626" s="15"/>
      <c r="D626" s="105">
        <v>1.0</v>
      </c>
      <c r="E626" s="102">
        <v>17.0</v>
      </c>
      <c r="F626" s="107">
        <v>29.0</v>
      </c>
      <c r="G626" s="15" t="str">
        <f t="shared" si="1"/>
        <v>17029</v>
      </c>
      <c r="H626" s="23" t="s">
        <v>712</v>
      </c>
      <c r="I626" s="23" t="s">
        <v>48</v>
      </c>
      <c r="J626" s="23" t="s">
        <v>203</v>
      </c>
      <c r="K626" s="23" t="str">
        <f t="shared" si="14"/>
        <v>Coles, IL</v>
      </c>
      <c r="L626" s="24"/>
    </row>
    <row r="627">
      <c r="A627" s="99">
        <v>626.0</v>
      </c>
      <c r="B627" s="15"/>
      <c r="C627" s="15"/>
      <c r="D627" s="105">
        <v>1.0</v>
      </c>
      <c r="E627" s="102">
        <v>17.0</v>
      </c>
      <c r="F627" s="107">
        <v>31.0</v>
      </c>
      <c r="G627" s="15" t="str">
        <f t="shared" si="1"/>
        <v>17031</v>
      </c>
      <c r="H627" s="23" t="s">
        <v>202</v>
      </c>
      <c r="I627" s="23" t="s">
        <v>48</v>
      </c>
      <c r="J627" s="23" t="s">
        <v>203</v>
      </c>
      <c r="K627" s="23" t="str">
        <f t="shared" si="14"/>
        <v>Cook, IL</v>
      </c>
      <c r="L627" s="24"/>
    </row>
    <row r="628">
      <c r="A628" s="99">
        <v>627.0</v>
      </c>
      <c r="B628" s="15"/>
      <c r="C628" s="15"/>
      <c r="D628" s="105">
        <v>1.0</v>
      </c>
      <c r="E628" s="102">
        <v>17.0</v>
      </c>
      <c r="F628" s="107">
        <v>33.0</v>
      </c>
      <c r="G628" s="15" t="str">
        <f t="shared" si="1"/>
        <v>17033</v>
      </c>
      <c r="H628" s="23" t="s">
        <v>263</v>
      </c>
      <c r="I628" s="23" t="s">
        <v>48</v>
      </c>
      <c r="J628" s="23" t="s">
        <v>203</v>
      </c>
      <c r="K628" s="23" t="str">
        <f t="shared" si="14"/>
        <v>Crawford, IL</v>
      </c>
      <c r="L628" s="24"/>
    </row>
    <row r="629">
      <c r="A629" s="99">
        <v>628.0</v>
      </c>
      <c r="B629" s="15"/>
      <c r="C629" s="15"/>
      <c r="D629" s="105">
        <v>1.0</v>
      </c>
      <c r="E629" s="102">
        <v>17.0</v>
      </c>
      <c r="F629" s="107">
        <v>35.0</v>
      </c>
      <c r="G629" s="15" t="str">
        <f t="shared" si="1"/>
        <v>17035</v>
      </c>
      <c r="H629" s="23" t="s">
        <v>713</v>
      </c>
      <c r="I629" s="23" t="s">
        <v>48</v>
      </c>
      <c r="J629" s="23" t="s">
        <v>203</v>
      </c>
      <c r="K629" s="23" t="str">
        <f t="shared" si="14"/>
        <v>Cumberland, IL</v>
      </c>
      <c r="L629" s="24"/>
    </row>
    <row r="630">
      <c r="A630" s="99">
        <v>629.0</v>
      </c>
      <c r="B630" s="15"/>
      <c r="C630" s="15"/>
      <c r="D630" s="105">
        <v>1.0</v>
      </c>
      <c r="E630" s="102">
        <v>17.0</v>
      </c>
      <c r="F630" s="107">
        <v>37.0</v>
      </c>
      <c r="G630" s="15" t="str">
        <f t="shared" si="1"/>
        <v>17037</v>
      </c>
      <c r="H630" s="23" t="s">
        <v>131</v>
      </c>
      <c r="I630" s="23" t="s">
        <v>48</v>
      </c>
      <c r="J630" s="23" t="s">
        <v>203</v>
      </c>
      <c r="K630" s="23" t="str">
        <f t="shared" si="14"/>
        <v>De Kalb, IL</v>
      </c>
      <c r="L630" s="24"/>
    </row>
    <row r="631">
      <c r="A631" s="99">
        <v>630.0</v>
      </c>
      <c r="B631" s="15"/>
      <c r="C631" s="15"/>
      <c r="D631" s="105">
        <v>1.0</v>
      </c>
      <c r="E631" s="102">
        <v>17.0</v>
      </c>
      <c r="F631" s="107">
        <v>39.0</v>
      </c>
      <c r="G631" s="15" t="str">
        <f t="shared" si="1"/>
        <v>17039</v>
      </c>
      <c r="H631" s="23" t="s">
        <v>714</v>
      </c>
      <c r="I631" s="23" t="s">
        <v>48</v>
      </c>
      <c r="J631" s="23" t="s">
        <v>203</v>
      </c>
      <c r="K631" s="23" t="str">
        <f t="shared" si="14"/>
        <v>Dewitt, IL</v>
      </c>
      <c r="L631" s="24"/>
    </row>
    <row r="632">
      <c r="A632" s="99">
        <v>631.0</v>
      </c>
      <c r="B632" s="15"/>
      <c r="C632" s="15"/>
      <c r="D632" s="105">
        <v>1.0</v>
      </c>
      <c r="E632" s="102">
        <v>17.0</v>
      </c>
      <c r="F632" s="107">
        <v>41.0</v>
      </c>
      <c r="G632" s="15" t="str">
        <f t="shared" si="1"/>
        <v>17041</v>
      </c>
      <c r="H632" s="23" t="s">
        <v>412</v>
      </c>
      <c r="I632" s="23" t="s">
        <v>48</v>
      </c>
      <c r="J632" s="23" t="s">
        <v>203</v>
      </c>
      <c r="K632" s="23" t="str">
        <f t="shared" si="14"/>
        <v>Douglas, IL</v>
      </c>
      <c r="L632" s="24"/>
    </row>
    <row r="633">
      <c r="A633" s="99">
        <v>632.0</v>
      </c>
      <c r="B633" s="15"/>
      <c r="C633" s="15"/>
      <c r="D633" s="105">
        <v>1.0</v>
      </c>
      <c r="E633" s="102">
        <v>17.0</v>
      </c>
      <c r="F633" s="107">
        <v>43.0</v>
      </c>
      <c r="G633" s="15" t="str">
        <f t="shared" si="1"/>
        <v>17043</v>
      </c>
      <c r="H633" s="23" t="s">
        <v>715</v>
      </c>
      <c r="I633" s="23" t="s">
        <v>48</v>
      </c>
      <c r="J633" s="23" t="s">
        <v>203</v>
      </c>
      <c r="K633" s="23" t="str">
        <f t="shared" si="14"/>
        <v>Du Page, IL</v>
      </c>
      <c r="L633" s="24"/>
    </row>
    <row r="634">
      <c r="A634" s="99">
        <v>633.0</v>
      </c>
      <c r="B634" s="15"/>
      <c r="C634" s="15"/>
      <c r="D634" s="105">
        <v>1.0</v>
      </c>
      <c r="E634" s="102">
        <v>17.0</v>
      </c>
      <c r="F634" s="107">
        <v>45.0</v>
      </c>
      <c r="G634" s="15" t="str">
        <f t="shared" si="1"/>
        <v>17045</v>
      </c>
      <c r="H634" s="23" t="s">
        <v>716</v>
      </c>
      <c r="I634" s="23" t="s">
        <v>48</v>
      </c>
      <c r="J634" s="23" t="s">
        <v>203</v>
      </c>
      <c r="K634" s="23" t="str">
        <f t="shared" si="14"/>
        <v>Edgar, IL</v>
      </c>
      <c r="L634" s="24"/>
    </row>
    <row r="635">
      <c r="A635" s="99">
        <v>634.0</v>
      </c>
      <c r="B635" s="15"/>
      <c r="C635" s="15"/>
      <c r="D635" s="105">
        <v>1.0</v>
      </c>
      <c r="E635" s="102">
        <v>17.0</v>
      </c>
      <c r="F635" s="107">
        <v>47.0</v>
      </c>
      <c r="G635" s="15" t="str">
        <f t="shared" si="1"/>
        <v>17047</v>
      </c>
      <c r="H635" s="23" t="s">
        <v>717</v>
      </c>
      <c r="I635" s="23" t="s">
        <v>48</v>
      </c>
      <c r="J635" s="23" t="s">
        <v>203</v>
      </c>
      <c r="K635" s="23" t="str">
        <f t="shared" si="14"/>
        <v>Edwards, IL</v>
      </c>
      <c r="L635" s="24"/>
    </row>
    <row r="636">
      <c r="A636" s="99">
        <v>635.0</v>
      </c>
      <c r="B636" s="15"/>
      <c r="C636" s="15"/>
      <c r="D636" s="105">
        <v>1.0</v>
      </c>
      <c r="E636" s="102">
        <v>17.0</v>
      </c>
      <c r="F636" s="107">
        <v>49.0</v>
      </c>
      <c r="G636" s="15" t="str">
        <f t="shared" si="1"/>
        <v>17049</v>
      </c>
      <c r="H636" s="23" t="s">
        <v>569</v>
      </c>
      <c r="I636" s="23" t="s">
        <v>48</v>
      </c>
      <c r="J636" s="23" t="s">
        <v>203</v>
      </c>
      <c r="K636" s="23" t="str">
        <f t="shared" si="14"/>
        <v>Effingham, IL</v>
      </c>
      <c r="L636" s="24"/>
    </row>
    <row r="637">
      <c r="A637" s="99">
        <v>636.0</v>
      </c>
      <c r="B637" s="15"/>
      <c r="C637" s="15"/>
      <c r="D637" s="105">
        <v>1.0</v>
      </c>
      <c r="E637" s="102">
        <v>17.0</v>
      </c>
      <c r="F637" s="107">
        <v>51.0</v>
      </c>
      <c r="G637" s="15" t="str">
        <f t="shared" si="1"/>
        <v>17051</v>
      </c>
      <c r="H637" s="23" t="s">
        <v>135</v>
      </c>
      <c r="I637" s="23" t="s">
        <v>48</v>
      </c>
      <c r="J637" s="23" t="s">
        <v>203</v>
      </c>
      <c r="K637" s="23" t="str">
        <f t="shared" si="14"/>
        <v>Fayette, IL</v>
      </c>
      <c r="L637" s="24"/>
    </row>
    <row r="638">
      <c r="A638" s="99">
        <v>637.0</v>
      </c>
      <c r="B638" s="15"/>
      <c r="C638" s="15"/>
      <c r="D638" s="105">
        <v>1.0</v>
      </c>
      <c r="E638" s="102">
        <v>17.0</v>
      </c>
      <c r="F638" s="107">
        <v>53.0</v>
      </c>
      <c r="G638" s="15" t="str">
        <f t="shared" si="1"/>
        <v>17053</v>
      </c>
      <c r="H638" s="23" t="s">
        <v>718</v>
      </c>
      <c r="I638" s="23" t="s">
        <v>48</v>
      </c>
      <c r="J638" s="23" t="s">
        <v>203</v>
      </c>
      <c r="K638" s="23" t="str">
        <f t="shared" si="14"/>
        <v>Ford, IL</v>
      </c>
      <c r="L638" s="24"/>
    </row>
    <row r="639">
      <c r="A639" s="99">
        <v>638.0</v>
      </c>
      <c r="B639" s="15"/>
      <c r="C639" s="15"/>
      <c r="D639" s="105">
        <v>1.0</v>
      </c>
      <c r="E639" s="102">
        <v>17.0</v>
      </c>
      <c r="F639" s="107">
        <v>55.0</v>
      </c>
      <c r="G639" s="15" t="str">
        <f t="shared" si="1"/>
        <v>17055</v>
      </c>
      <c r="H639" s="23" t="s">
        <v>136</v>
      </c>
      <c r="I639" s="23" t="s">
        <v>48</v>
      </c>
      <c r="J639" s="23" t="s">
        <v>203</v>
      </c>
      <c r="K639" s="23" t="str">
        <f t="shared" si="14"/>
        <v>Franklin, IL</v>
      </c>
      <c r="L639" s="24"/>
    </row>
    <row r="640">
      <c r="A640" s="99">
        <v>639.0</v>
      </c>
      <c r="B640" s="15"/>
      <c r="C640" s="15"/>
      <c r="D640" s="105">
        <v>1.0</v>
      </c>
      <c r="E640" s="102">
        <v>17.0</v>
      </c>
      <c r="F640" s="107">
        <v>57.0</v>
      </c>
      <c r="G640" s="15" t="str">
        <f t="shared" si="1"/>
        <v>17057</v>
      </c>
      <c r="H640" s="23" t="s">
        <v>275</v>
      </c>
      <c r="I640" s="23" t="s">
        <v>48</v>
      </c>
      <c r="J640" s="23" t="s">
        <v>203</v>
      </c>
      <c r="K640" s="23" t="str">
        <f t="shared" si="14"/>
        <v>Fulton, IL</v>
      </c>
      <c r="L640" s="24"/>
    </row>
    <row r="641">
      <c r="A641" s="99">
        <v>640.0</v>
      </c>
      <c r="B641" s="15"/>
      <c r="C641" s="15"/>
      <c r="D641" s="105">
        <v>1.0</v>
      </c>
      <c r="E641" s="102">
        <v>17.0</v>
      </c>
      <c r="F641" s="107">
        <v>59.0</v>
      </c>
      <c r="G641" s="15" t="str">
        <f t="shared" si="1"/>
        <v>17059</v>
      </c>
      <c r="H641" s="23" t="s">
        <v>719</v>
      </c>
      <c r="I641" s="23" t="s">
        <v>48</v>
      </c>
      <c r="J641" s="23" t="s">
        <v>203</v>
      </c>
      <c r="K641" s="23" t="str">
        <f t="shared" si="14"/>
        <v>Gallatin, IL</v>
      </c>
      <c r="L641" s="24"/>
    </row>
    <row r="642">
      <c r="A642" s="99">
        <v>641.0</v>
      </c>
      <c r="B642" s="15"/>
      <c r="C642" s="15"/>
      <c r="D642" s="105">
        <v>1.0</v>
      </c>
      <c r="E642" s="102">
        <v>17.0</v>
      </c>
      <c r="F642" s="107">
        <v>61.0</v>
      </c>
      <c r="G642" s="15" t="str">
        <f t="shared" si="1"/>
        <v>17061</v>
      </c>
      <c r="H642" s="23" t="s">
        <v>138</v>
      </c>
      <c r="I642" s="23" t="s">
        <v>48</v>
      </c>
      <c r="J642" s="23" t="s">
        <v>203</v>
      </c>
      <c r="K642" s="23" t="str">
        <f t="shared" si="14"/>
        <v>Greene, IL</v>
      </c>
      <c r="L642" s="24"/>
    </row>
    <row r="643">
      <c r="A643" s="99">
        <v>642.0</v>
      </c>
      <c r="B643" s="15"/>
      <c r="C643" s="15"/>
      <c r="D643" s="105">
        <v>1.0</v>
      </c>
      <c r="E643" s="102">
        <v>17.0</v>
      </c>
      <c r="F643" s="107">
        <v>63.0</v>
      </c>
      <c r="G643" s="15" t="str">
        <f t="shared" si="1"/>
        <v>17063</v>
      </c>
      <c r="H643" s="23" t="s">
        <v>720</v>
      </c>
      <c r="I643" s="23" t="s">
        <v>48</v>
      </c>
      <c r="J643" s="23" t="s">
        <v>203</v>
      </c>
      <c r="K643" s="23" t="str">
        <f t="shared" si="14"/>
        <v>Grundy, IL</v>
      </c>
      <c r="L643" s="24"/>
    </row>
    <row r="644">
      <c r="A644" s="99">
        <v>643.0</v>
      </c>
      <c r="B644" s="15"/>
      <c r="C644" s="15"/>
      <c r="D644" s="105">
        <v>1.0</v>
      </c>
      <c r="E644" s="102">
        <v>17.0</v>
      </c>
      <c r="F644" s="107">
        <v>65.0</v>
      </c>
      <c r="G644" s="15" t="str">
        <f t="shared" si="1"/>
        <v>17065</v>
      </c>
      <c r="H644" s="23" t="s">
        <v>497</v>
      </c>
      <c r="I644" s="23" t="s">
        <v>48</v>
      </c>
      <c r="J644" s="23" t="s">
        <v>203</v>
      </c>
      <c r="K644" s="23" t="str">
        <f t="shared" si="14"/>
        <v>Hamilton, IL</v>
      </c>
      <c r="L644" s="24"/>
    </row>
    <row r="645">
      <c r="A645" s="99">
        <v>644.0</v>
      </c>
      <c r="B645" s="15"/>
      <c r="C645" s="15"/>
      <c r="D645" s="105">
        <v>1.0</v>
      </c>
      <c r="E645" s="102">
        <v>17.0</v>
      </c>
      <c r="F645" s="107">
        <v>67.0</v>
      </c>
      <c r="G645" s="15" t="str">
        <f t="shared" si="1"/>
        <v>17067</v>
      </c>
      <c r="H645" s="23" t="s">
        <v>587</v>
      </c>
      <c r="I645" s="23" t="s">
        <v>48</v>
      </c>
      <c r="J645" s="23" t="s">
        <v>203</v>
      </c>
      <c r="K645" s="23" t="str">
        <f t="shared" si="14"/>
        <v>Hancock, IL</v>
      </c>
      <c r="L645" s="24"/>
    </row>
    <row r="646">
      <c r="A646" s="99">
        <v>645.0</v>
      </c>
      <c r="B646" s="15"/>
      <c r="C646" s="15"/>
      <c r="D646" s="105">
        <v>1.0</v>
      </c>
      <c r="E646" s="102">
        <v>17.0</v>
      </c>
      <c r="F646" s="107">
        <v>69.0</v>
      </c>
      <c r="G646" s="15" t="str">
        <f t="shared" si="1"/>
        <v>17069</v>
      </c>
      <c r="H646" s="23" t="s">
        <v>721</v>
      </c>
      <c r="I646" s="23" t="s">
        <v>48</v>
      </c>
      <c r="J646" s="23" t="s">
        <v>203</v>
      </c>
      <c r="K646" s="23" t="str">
        <f t="shared" si="14"/>
        <v>Hardin, IL</v>
      </c>
      <c r="L646" s="24"/>
    </row>
    <row r="647">
      <c r="A647" s="99">
        <v>646.0</v>
      </c>
      <c r="B647" s="15"/>
      <c r="C647" s="15"/>
      <c r="D647" s="105">
        <v>1.0</v>
      </c>
      <c r="E647" s="102">
        <v>17.0</v>
      </c>
      <c r="F647" s="107">
        <v>71.0</v>
      </c>
      <c r="G647" s="15" t="str">
        <f t="shared" si="1"/>
        <v>17071</v>
      </c>
      <c r="H647" s="23" t="s">
        <v>722</v>
      </c>
      <c r="I647" s="23" t="s">
        <v>48</v>
      </c>
      <c r="J647" s="23" t="s">
        <v>203</v>
      </c>
      <c r="K647" s="23" t="str">
        <f t="shared" si="14"/>
        <v>Henderson, IL</v>
      </c>
      <c r="L647" s="24"/>
    </row>
    <row r="648">
      <c r="A648" s="99">
        <v>647.0</v>
      </c>
      <c r="B648" s="15"/>
      <c r="C648" s="15"/>
      <c r="D648" s="105">
        <v>1.0</v>
      </c>
      <c r="E648" s="102">
        <v>17.0</v>
      </c>
      <c r="F648" s="107">
        <v>73.0</v>
      </c>
      <c r="G648" s="15" t="str">
        <f t="shared" si="1"/>
        <v>17073</v>
      </c>
      <c r="H648" s="23" t="s">
        <v>140</v>
      </c>
      <c r="I648" s="23" t="s">
        <v>48</v>
      </c>
      <c r="J648" s="23" t="s">
        <v>203</v>
      </c>
      <c r="K648" s="23" t="str">
        <f t="shared" si="14"/>
        <v>Henry, IL</v>
      </c>
      <c r="L648" s="24"/>
    </row>
    <row r="649">
      <c r="A649" s="99">
        <v>648.0</v>
      </c>
      <c r="B649" s="15"/>
      <c r="C649" s="15"/>
      <c r="D649" s="105">
        <v>1.0</v>
      </c>
      <c r="E649" s="102">
        <v>17.0</v>
      </c>
      <c r="F649" s="107">
        <v>75.0</v>
      </c>
      <c r="G649" s="15" t="str">
        <f t="shared" si="1"/>
        <v>17075</v>
      </c>
      <c r="H649" s="23" t="s">
        <v>723</v>
      </c>
      <c r="I649" s="23" t="s">
        <v>48</v>
      </c>
      <c r="J649" s="23" t="s">
        <v>203</v>
      </c>
      <c r="K649" s="23" t="str">
        <f t="shared" si="14"/>
        <v>Iroquois, IL</v>
      </c>
      <c r="L649" s="24"/>
    </row>
    <row r="650">
      <c r="A650" s="99">
        <v>649.0</v>
      </c>
      <c r="B650" s="15"/>
      <c r="C650" s="15"/>
      <c r="D650" s="105">
        <v>1.0</v>
      </c>
      <c r="E650" s="102">
        <v>17.0</v>
      </c>
      <c r="F650" s="107">
        <v>77.0</v>
      </c>
      <c r="G650" s="15" t="str">
        <f t="shared" si="1"/>
        <v>17077</v>
      </c>
      <c r="H650" s="23" t="s">
        <v>142</v>
      </c>
      <c r="I650" s="23" t="s">
        <v>48</v>
      </c>
      <c r="J650" s="23" t="s">
        <v>203</v>
      </c>
      <c r="K650" s="23" t="str">
        <f t="shared" si="14"/>
        <v>Jackson, IL</v>
      </c>
      <c r="L650" s="24"/>
    </row>
    <row r="651">
      <c r="A651" s="99">
        <v>650.0</v>
      </c>
      <c r="B651" s="15"/>
      <c r="C651" s="15"/>
      <c r="D651" s="105">
        <v>1.0</v>
      </c>
      <c r="E651" s="102">
        <v>17.0</v>
      </c>
      <c r="F651" s="107">
        <v>79.0</v>
      </c>
      <c r="G651" s="15" t="str">
        <f t="shared" si="1"/>
        <v>17079</v>
      </c>
      <c r="H651" s="23" t="s">
        <v>593</v>
      </c>
      <c r="I651" s="23" t="s">
        <v>48</v>
      </c>
      <c r="J651" s="23" t="s">
        <v>203</v>
      </c>
      <c r="K651" s="23" t="str">
        <f t="shared" si="14"/>
        <v>Jasper, IL</v>
      </c>
      <c r="L651" s="24"/>
    </row>
    <row r="652">
      <c r="A652" s="99">
        <v>651.0</v>
      </c>
      <c r="B652" s="15"/>
      <c r="C652" s="15"/>
      <c r="D652" s="105">
        <v>1.0</v>
      </c>
      <c r="E652" s="102">
        <v>17.0</v>
      </c>
      <c r="F652" s="107">
        <v>81.0</v>
      </c>
      <c r="G652" s="15" t="str">
        <f t="shared" si="1"/>
        <v>17081</v>
      </c>
      <c r="H652" s="23" t="s">
        <v>143</v>
      </c>
      <c r="I652" s="23" t="s">
        <v>48</v>
      </c>
      <c r="J652" s="23" t="s">
        <v>203</v>
      </c>
      <c r="K652" s="23" t="str">
        <f t="shared" si="14"/>
        <v>Jefferson, IL</v>
      </c>
      <c r="L652" s="24"/>
    </row>
    <row r="653">
      <c r="A653" s="99">
        <v>652.0</v>
      </c>
      <c r="B653" s="15"/>
      <c r="C653" s="15"/>
      <c r="D653" s="105">
        <v>1.0</v>
      </c>
      <c r="E653" s="102">
        <v>17.0</v>
      </c>
      <c r="F653" s="107">
        <v>83.0</v>
      </c>
      <c r="G653" s="15" t="str">
        <f t="shared" si="1"/>
        <v>17083</v>
      </c>
      <c r="H653" s="23" t="s">
        <v>724</v>
      </c>
      <c r="I653" s="23" t="s">
        <v>48</v>
      </c>
      <c r="J653" s="23" t="s">
        <v>203</v>
      </c>
      <c r="K653" s="23" t="str">
        <f t="shared" si="14"/>
        <v>Jersey, IL</v>
      </c>
      <c r="L653" s="24"/>
    </row>
    <row r="654">
      <c r="A654" s="99">
        <v>653.0</v>
      </c>
      <c r="B654" s="15"/>
      <c r="C654" s="15"/>
      <c r="D654" s="105">
        <v>1.0</v>
      </c>
      <c r="E654" s="102">
        <v>17.0</v>
      </c>
      <c r="F654" s="107">
        <v>85.0</v>
      </c>
      <c r="G654" s="15" t="str">
        <f t="shared" si="1"/>
        <v>17085</v>
      </c>
      <c r="H654" s="23" t="s">
        <v>725</v>
      </c>
      <c r="I654" s="23" t="s">
        <v>48</v>
      </c>
      <c r="J654" s="23" t="s">
        <v>203</v>
      </c>
      <c r="K654" s="23" t="str">
        <f t="shared" si="14"/>
        <v>Jo Daviess, IL</v>
      </c>
      <c r="L654" s="24"/>
    </row>
    <row r="655">
      <c r="A655" s="99">
        <v>654.0</v>
      </c>
      <c r="B655" s="15"/>
      <c r="C655" s="15"/>
      <c r="D655" s="105">
        <v>1.0</v>
      </c>
      <c r="E655" s="102">
        <v>17.0</v>
      </c>
      <c r="F655" s="107">
        <v>87.0</v>
      </c>
      <c r="G655" s="15" t="str">
        <f t="shared" si="1"/>
        <v>17087</v>
      </c>
      <c r="H655" s="23" t="s">
        <v>288</v>
      </c>
      <c r="I655" s="23" t="s">
        <v>48</v>
      </c>
      <c r="J655" s="23" t="s">
        <v>203</v>
      </c>
      <c r="K655" s="23" t="str">
        <f t="shared" si="14"/>
        <v>Johnson, IL</v>
      </c>
      <c r="L655" s="24"/>
    </row>
    <row r="656">
      <c r="A656" s="99">
        <v>655.0</v>
      </c>
      <c r="B656" s="15"/>
      <c r="C656" s="15"/>
      <c r="D656" s="105">
        <v>1.0</v>
      </c>
      <c r="E656" s="102">
        <v>17.0</v>
      </c>
      <c r="F656" s="107">
        <v>89.0</v>
      </c>
      <c r="G656" s="15" t="str">
        <f t="shared" si="1"/>
        <v>17089</v>
      </c>
      <c r="H656" s="23" t="s">
        <v>656</v>
      </c>
      <c r="I656" s="23" t="s">
        <v>48</v>
      </c>
      <c r="J656" s="23" t="s">
        <v>203</v>
      </c>
      <c r="K656" s="23" t="str">
        <f t="shared" si="14"/>
        <v>Kane, IL</v>
      </c>
      <c r="L656" s="24"/>
    </row>
    <row r="657">
      <c r="A657" s="99">
        <v>656.0</v>
      </c>
      <c r="B657" s="15"/>
      <c r="C657" s="15"/>
      <c r="D657" s="105">
        <v>1.0</v>
      </c>
      <c r="E657" s="102">
        <v>17.0</v>
      </c>
      <c r="F657" s="107">
        <v>91.0</v>
      </c>
      <c r="G657" s="15" t="str">
        <f t="shared" si="1"/>
        <v>17091</v>
      </c>
      <c r="H657" s="23" t="s">
        <v>726</v>
      </c>
      <c r="I657" s="23" t="s">
        <v>48</v>
      </c>
      <c r="J657" s="23" t="s">
        <v>203</v>
      </c>
      <c r="K657" s="23" t="str">
        <f t="shared" si="14"/>
        <v>Kankakee, IL</v>
      </c>
      <c r="L657" s="24"/>
    </row>
    <row r="658">
      <c r="A658" s="99">
        <v>657.0</v>
      </c>
      <c r="B658" s="15"/>
      <c r="C658" s="15"/>
      <c r="D658" s="105">
        <v>1.0</v>
      </c>
      <c r="E658" s="102">
        <v>17.0</v>
      </c>
      <c r="F658" s="107">
        <v>93.0</v>
      </c>
      <c r="G658" s="15" t="str">
        <f t="shared" si="1"/>
        <v>17093</v>
      </c>
      <c r="H658" s="23" t="s">
        <v>727</v>
      </c>
      <c r="I658" s="23" t="s">
        <v>48</v>
      </c>
      <c r="J658" s="23" t="s">
        <v>203</v>
      </c>
      <c r="K658" s="23" t="str">
        <f t="shared" si="14"/>
        <v>Kendall, IL</v>
      </c>
      <c r="L658" s="24"/>
    </row>
    <row r="659">
      <c r="A659" s="99">
        <v>658.0</v>
      </c>
      <c r="B659" s="15"/>
      <c r="C659" s="15"/>
      <c r="D659" s="105">
        <v>1.0</v>
      </c>
      <c r="E659" s="102">
        <v>17.0</v>
      </c>
      <c r="F659" s="107">
        <v>95.0</v>
      </c>
      <c r="G659" s="15" t="str">
        <f t="shared" si="1"/>
        <v>17095</v>
      </c>
      <c r="H659" s="23" t="s">
        <v>728</v>
      </c>
      <c r="I659" s="23" t="s">
        <v>48</v>
      </c>
      <c r="J659" s="23" t="s">
        <v>203</v>
      </c>
      <c r="K659" s="23" t="str">
        <f t="shared" si="14"/>
        <v>Knox, IL</v>
      </c>
      <c r="L659" s="24"/>
    </row>
    <row r="660">
      <c r="A660" s="99">
        <v>659.0</v>
      </c>
      <c r="B660" s="15"/>
      <c r="C660" s="15"/>
      <c r="D660" s="105">
        <v>1.0</v>
      </c>
      <c r="E660" s="102">
        <v>17.0</v>
      </c>
      <c r="F660" s="107">
        <v>97.0</v>
      </c>
      <c r="G660" s="15" t="str">
        <f t="shared" si="1"/>
        <v>17097</v>
      </c>
      <c r="H660" s="23" t="s">
        <v>337</v>
      </c>
      <c r="I660" s="23" t="s">
        <v>48</v>
      </c>
      <c r="J660" s="23" t="s">
        <v>203</v>
      </c>
      <c r="K660" s="23" t="str">
        <f t="shared" si="14"/>
        <v>Lake, IL</v>
      </c>
      <c r="L660" s="24"/>
    </row>
    <row r="661">
      <c r="A661" s="99">
        <v>660.0</v>
      </c>
      <c r="B661" s="15"/>
      <c r="C661" s="15"/>
      <c r="D661" s="105">
        <v>1.0</v>
      </c>
      <c r="E661" s="102">
        <v>17.0</v>
      </c>
      <c r="F661" s="107">
        <v>99.0</v>
      </c>
      <c r="G661" s="15" t="str">
        <f t="shared" si="1"/>
        <v>17099</v>
      </c>
      <c r="H661" s="23" t="s">
        <v>729</v>
      </c>
      <c r="I661" s="23" t="s">
        <v>48</v>
      </c>
      <c r="J661" s="23" t="s">
        <v>203</v>
      </c>
      <c r="K661" s="23" t="str">
        <f t="shared" si="14"/>
        <v>La Salle, IL</v>
      </c>
      <c r="L661" s="24"/>
    </row>
    <row r="662">
      <c r="A662" s="99">
        <v>661.0</v>
      </c>
      <c r="B662" s="15"/>
      <c r="C662" s="15"/>
      <c r="D662" s="105">
        <v>1.0</v>
      </c>
      <c r="E662" s="102">
        <v>17.0</v>
      </c>
      <c r="F662" s="107">
        <v>101.0</v>
      </c>
      <c r="G662" s="15" t="str">
        <f t="shared" si="1"/>
        <v>17101</v>
      </c>
      <c r="H662" s="23" t="s">
        <v>146</v>
      </c>
      <c r="I662" s="23" t="s">
        <v>48</v>
      </c>
      <c r="J662" s="23" t="s">
        <v>203</v>
      </c>
      <c r="K662" s="23" t="str">
        <f t="shared" si="14"/>
        <v>Lawrence, IL</v>
      </c>
      <c r="L662" s="24"/>
    </row>
    <row r="663">
      <c r="A663" s="99">
        <v>662.0</v>
      </c>
      <c r="B663" s="15"/>
      <c r="C663" s="15"/>
      <c r="D663" s="105">
        <v>1.0</v>
      </c>
      <c r="E663" s="102">
        <v>17.0</v>
      </c>
      <c r="F663" s="107">
        <v>103.0</v>
      </c>
      <c r="G663" s="15" t="str">
        <f t="shared" si="1"/>
        <v>17103</v>
      </c>
      <c r="H663" s="23" t="s">
        <v>147</v>
      </c>
      <c r="I663" s="23" t="s">
        <v>48</v>
      </c>
      <c r="J663" s="23" t="s">
        <v>203</v>
      </c>
      <c r="K663" s="23" t="str">
        <f t="shared" si="14"/>
        <v>Lee, IL</v>
      </c>
      <c r="L663" s="24"/>
    </row>
    <row r="664">
      <c r="A664" s="99">
        <v>663.0</v>
      </c>
      <c r="B664" s="15"/>
      <c r="C664" s="15"/>
      <c r="D664" s="105">
        <v>1.0</v>
      </c>
      <c r="E664" s="102">
        <v>17.0</v>
      </c>
      <c r="F664" s="107">
        <v>105.0</v>
      </c>
      <c r="G664" s="15" t="str">
        <f t="shared" si="1"/>
        <v>17105</v>
      </c>
      <c r="H664" s="23" t="s">
        <v>730</v>
      </c>
      <c r="I664" s="23" t="s">
        <v>48</v>
      </c>
      <c r="J664" s="23" t="s">
        <v>203</v>
      </c>
      <c r="K664" s="23" t="str">
        <f t="shared" si="14"/>
        <v>Livingston, IL</v>
      </c>
      <c r="L664" s="24"/>
    </row>
    <row r="665">
      <c r="A665" s="99">
        <v>664.0</v>
      </c>
      <c r="B665" s="15"/>
      <c r="C665" s="15"/>
      <c r="D665" s="105">
        <v>1.0</v>
      </c>
      <c r="E665" s="102">
        <v>17.0</v>
      </c>
      <c r="F665" s="107">
        <v>107.0</v>
      </c>
      <c r="G665" s="15" t="str">
        <f t="shared" si="1"/>
        <v>17107</v>
      </c>
      <c r="H665" s="23" t="s">
        <v>293</v>
      </c>
      <c r="I665" s="23" t="s">
        <v>48</v>
      </c>
      <c r="J665" s="23" t="s">
        <v>203</v>
      </c>
      <c r="K665" s="23" t="str">
        <f t="shared" si="14"/>
        <v>Logan, IL</v>
      </c>
      <c r="L665" s="24"/>
    </row>
    <row r="666">
      <c r="A666" s="99">
        <v>665.0</v>
      </c>
      <c r="B666" s="15"/>
      <c r="C666" s="15"/>
      <c r="D666" s="105">
        <v>1.0</v>
      </c>
      <c r="E666" s="102">
        <v>17.0</v>
      </c>
      <c r="F666" s="107">
        <v>109.0</v>
      </c>
      <c r="G666" s="15" t="str">
        <f t="shared" si="1"/>
        <v>17109</v>
      </c>
      <c r="H666" s="23" t="s">
        <v>731</v>
      </c>
      <c r="I666" s="23" t="s">
        <v>48</v>
      </c>
      <c r="J666" s="23" t="s">
        <v>203</v>
      </c>
      <c r="K666" s="23" t="str">
        <f t="shared" si="14"/>
        <v>McDonough, IL</v>
      </c>
      <c r="L666" s="24"/>
    </row>
    <row r="667">
      <c r="A667" s="99">
        <v>666.0</v>
      </c>
      <c r="B667" s="15"/>
      <c r="C667" s="15"/>
      <c r="D667" s="105">
        <v>1.0</v>
      </c>
      <c r="E667" s="102">
        <v>17.0</v>
      </c>
      <c r="F667" s="107">
        <v>111.0</v>
      </c>
      <c r="G667" s="15" t="str">
        <f t="shared" si="1"/>
        <v>17111</v>
      </c>
      <c r="H667" s="23" t="s">
        <v>732</v>
      </c>
      <c r="I667" s="23" t="s">
        <v>48</v>
      </c>
      <c r="J667" s="23" t="s">
        <v>203</v>
      </c>
      <c r="K667" s="23" t="str">
        <f t="shared" si="14"/>
        <v>McHenry, IL</v>
      </c>
      <c r="L667" s="24"/>
    </row>
    <row r="668">
      <c r="A668" s="99">
        <v>667.0</v>
      </c>
      <c r="B668" s="15"/>
      <c r="C668" s="15"/>
      <c r="D668" s="105">
        <v>1.0</v>
      </c>
      <c r="E668" s="102">
        <v>17.0</v>
      </c>
      <c r="F668" s="107">
        <v>113.0</v>
      </c>
      <c r="G668" s="15" t="str">
        <f t="shared" si="1"/>
        <v>17113</v>
      </c>
      <c r="H668" s="23" t="s">
        <v>733</v>
      </c>
      <c r="I668" s="23" t="s">
        <v>48</v>
      </c>
      <c r="J668" s="23" t="s">
        <v>203</v>
      </c>
      <c r="K668" s="23" t="str">
        <f t="shared" si="14"/>
        <v>Mclean, IL</v>
      </c>
      <c r="L668" s="24"/>
    </row>
    <row r="669">
      <c r="A669" s="99">
        <v>668.0</v>
      </c>
      <c r="B669" s="15"/>
      <c r="C669" s="15"/>
      <c r="D669" s="105">
        <v>1.0</v>
      </c>
      <c r="E669" s="102">
        <v>17.0</v>
      </c>
      <c r="F669" s="107">
        <v>115.0</v>
      </c>
      <c r="G669" s="15" t="str">
        <f t="shared" si="1"/>
        <v>17115</v>
      </c>
      <c r="H669" s="23" t="s">
        <v>150</v>
      </c>
      <c r="I669" s="23" t="s">
        <v>48</v>
      </c>
      <c r="J669" s="23" t="s">
        <v>203</v>
      </c>
      <c r="K669" s="23" t="str">
        <f t="shared" si="14"/>
        <v>Macon, IL</v>
      </c>
      <c r="L669" s="24"/>
    </row>
    <row r="670">
      <c r="A670" s="99">
        <v>669.0</v>
      </c>
      <c r="B670" s="15"/>
      <c r="C670" s="15"/>
      <c r="D670" s="105">
        <v>1.0</v>
      </c>
      <c r="E670" s="102">
        <v>17.0</v>
      </c>
      <c r="F670" s="107">
        <v>117.0</v>
      </c>
      <c r="G670" s="15" t="str">
        <f t="shared" si="1"/>
        <v>17117</v>
      </c>
      <c r="H670" s="23" t="s">
        <v>734</v>
      </c>
      <c r="I670" s="23" t="s">
        <v>48</v>
      </c>
      <c r="J670" s="23" t="s">
        <v>203</v>
      </c>
      <c r="K670" s="23" t="str">
        <f t="shared" si="14"/>
        <v>Macoupin, IL</v>
      </c>
      <c r="L670" s="24"/>
    </row>
    <row r="671">
      <c r="A671" s="99">
        <v>670.0</v>
      </c>
      <c r="B671" s="15"/>
      <c r="C671" s="15"/>
      <c r="D671" s="105">
        <v>1.0</v>
      </c>
      <c r="E671" s="102">
        <v>17.0</v>
      </c>
      <c r="F671" s="107">
        <v>119.0</v>
      </c>
      <c r="G671" s="15" t="str">
        <f t="shared" si="1"/>
        <v>17119</v>
      </c>
      <c r="H671" s="23" t="s">
        <v>151</v>
      </c>
      <c r="I671" s="23" t="s">
        <v>48</v>
      </c>
      <c r="J671" s="23" t="s">
        <v>203</v>
      </c>
      <c r="K671" s="23" t="str">
        <f t="shared" si="14"/>
        <v>Madison, IL</v>
      </c>
      <c r="L671" s="24"/>
    </row>
    <row r="672">
      <c r="A672" s="99">
        <v>671.0</v>
      </c>
      <c r="B672" s="15"/>
      <c r="C672" s="15"/>
      <c r="D672" s="105">
        <v>1.0</v>
      </c>
      <c r="E672" s="102">
        <v>17.0</v>
      </c>
      <c r="F672" s="107">
        <v>121.0</v>
      </c>
      <c r="G672" s="15" t="str">
        <f t="shared" si="1"/>
        <v>17121</v>
      </c>
      <c r="H672" s="23" t="s">
        <v>153</v>
      </c>
      <c r="I672" s="23" t="s">
        <v>48</v>
      </c>
      <c r="J672" s="23" t="s">
        <v>203</v>
      </c>
      <c r="K672" s="23" t="str">
        <f t="shared" si="14"/>
        <v>Marion, IL</v>
      </c>
      <c r="L672" s="24"/>
    </row>
    <row r="673">
      <c r="A673" s="99">
        <v>672.0</v>
      </c>
      <c r="B673" s="15"/>
      <c r="C673" s="15"/>
      <c r="D673" s="105">
        <v>1.0</v>
      </c>
      <c r="E673" s="102">
        <v>17.0</v>
      </c>
      <c r="F673" s="107">
        <v>123.0</v>
      </c>
      <c r="G673" s="15" t="str">
        <f t="shared" si="1"/>
        <v>17123</v>
      </c>
      <c r="H673" s="23" t="s">
        <v>154</v>
      </c>
      <c r="I673" s="23" t="s">
        <v>48</v>
      </c>
      <c r="J673" s="23" t="s">
        <v>203</v>
      </c>
      <c r="K673" s="23" t="str">
        <f t="shared" si="14"/>
        <v>Marshall, IL</v>
      </c>
      <c r="L673" s="24"/>
    </row>
    <row r="674">
      <c r="A674" s="99">
        <v>673.0</v>
      </c>
      <c r="B674" s="15"/>
      <c r="C674" s="15"/>
      <c r="D674" s="105">
        <v>1.0</v>
      </c>
      <c r="E674" s="102">
        <v>17.0</v>
      </c>
      <c r="F674" s="107">
        <v>125.0</v>
      </c>
      <c r="G674" s="15" t="str">
        <f t="shared" si="1"/>
        <v>17125</v>
      </c>
      <c r="H674" s="23" t="s">
        <v>735</v>
      </c>
      <c r="I674" s="23" t="s">
        <v>48</v>
      </c>
      <c r="J674" s="23" t="s">
        <v>203</v>
      </c>
      <c r="K674" s="23" t="str">
        <f t="shared" si="14"/>
        <v>Mason, IL</v>
      </c>
      <c r="L674" s="24"/>
    </row>
    <row r="675">
      <c r="A675" s="99">
        <v>674.0</v>
      </c>
      <c r="B675" s="15"/>
      <c r="C675" s="15"/>
      <c r="D675" s="105">
        <v>1.0</v>
      </c>
      <c r="E675" s="102">
        <v>17.0</v>
      </c>
      <c r="F675" s="107">
        <v>127.0</v>
      </c>
      <c r="G675" s="15" t="str">
        <f t="shared" si="1"/>
        <v>17127</v>
      </c>
      <c r="H675" s="23" t="s">
        <v>736</v>
      </c>
      <c r="I675" s="23" t="s">
        <v>48</v>
      </c>
      <c r="J675" s="23" t="s">
        <v>203</v>
      </c>
      <c r="K675" s="23" t="str">
        <f t="shared" si="14"/>
        <v>Massac, IL</v>
      </c>
      <c r="L675" s="24"/>
    </row>
    <row r="676">
      <c r="A676" s="99">
        <v>675.0</v>
      </c>
      <c r="B676" s="15"/>
      <c r="C676" s="15"/>
      <c r="D676" s="105">
        <v>1.0</v>
      </c>
      <c r="E676" s="102">
        <v>17.0</v>
      </c>
      <c r="F676" s="107">
        <v>129.0</v>
      </c>
      <c r="G676" s="15" t="str">
        <f t="shared" si="1"/>
        <v>17129</v>
      </c>
      <c r="H676" s="23" t="s">
        <v>737</v>
      </c>
      <c r="I676" s="23" t="s">
        <v>48</v>
      </c>
      <c r="J676" s="23" t="s">
        <v>203</v>
      </c>
      <c r="K676" s="23" t="str">
        <f t="shared" si="14"/>
        <v>Menard, IL</v>
      </c>
      <c r="L676" s="24"/>
    </row>
    <row r="677">
      <c r="A677" s="99">
        <v>676.0</v>
      </c>
      <c r="B677" s="15"/>
      <c r="C677" s="15"/>
      <c r="D677" s="105">
        <v>1.0</v>
      </c>
      <c r="E677" s="102">
        <v>17.0</v>
      </c>
      <c r="F677" s="107">
        <v>131.0</v>
      </c>
      <c r="G677" s="15" t="str">
        <f t="shared" si="1"/>
        <v>17131</v>
      </c>
      <c r="H677" s="23" t="s">
        <v>738</v>
      </c>
      <c r="I677" s="23" t="s">
        <v>48</v>
      </c>
      <c r="J677" s="23" t="s">
        <v>203</v>
      </c>
      <c r="K677" s="23" t="str">
        <f t="shared" si="14"/>
        <v>Mercer, IL</v>
      </c>
      <c r="L677" s="24"/>
    </row>
    <row r="678">
      <c r="A678" s="99">
        <v>677.0</v>
      </c>
      <c r="B678" s="15"/>
      <c r="C678" s="15"/>
      <c r="D678" s="105">
        <v>1.0</v>
      </c>
      <c r="E678" s="102">
        <v>17.0</v>
      </c>
      <c r="F678" s="107">
        <v>133.0</v>
      </c>
      <c r="G678" s="15" t="str">
        <f t="shared" si="1"/>
        <v>17133</v>
      </c>
      <c r="H678" s="23" t="s">
        <v>156</v>
      </c>
      <c r="I678" s="23" t="s">
        <v>48</v>
      </c>
      <c r="J678" s="23" t="s">
        <v>203</v>
      </c>
      <c r="K678" s="23" t="str">
        <f t="shared" si="14"/>
        <v>Monroe, IL</v>
      </c>
      <c r="L678" s="24"/>
    </row>
    <row r="679">
      <c r="A679" s="99">
        <v>678.0</v>
      </c>
      <c r="B679" s="15"/>
      <c r="C679" s="15"/>
      <c r="D679" s="105">
        <v>1.0</v>
      </c>
      <c r="E679" s="102">
        <v>17.0</v>
      </c>
      <c r="F679" s="107">
        <v>135.0</v>
      </c>
      <c r="G679" s="15" t="str">
        <f t="shared" si="1"/>
        <v>17135</v>
      </c>
      <c r="H679" s="23" t="s">
        <v>157</v>
      </c>
      <c r="I679" s="23" t="s">
        <v>48</v>
      </c>
      <c r="J679" s="23" t="s">
        <v>203</v>
      </c>
      <c r="K679" s="23" t="str">
        <f t="shared" si="14"/>
        <v>Montgomery, IL</v>
      </c>
      <c r="L679" s="24"/>
    </row>
    <row r="680">
      <c r="A680" s="99">
        <v>679.0</v>
      </c>
      <c r="B680" s="15"/>
      <c r="C680" s="15"/>
      <c r="D680" s="105">
        <v>1.0</v>
      </c>
      <c r="E680" s="102">
        <v>17.0</v>
      </c>
      <c r="F680" s="107">
        <v>137.0</v>
      </c>
      <c r="G680" s="15" t="str">
        <f t="shared" si="1"/>
        <v>17137</v>
      </c>
      <c r="H680" s="23" t="s">
        <v>158</v>
      </c>
      <c r="I680" s="23" t="s">
        <v>48</v>
      </c>
      <c r="J680" s="23" t="s">
        <v>203</v>
      </c>
      <c r="K680" s="23" t="str">
        <f t="shared" si="14"/>
        <v>Morgan, IL</v>
      </c>
      <c r="L680" s="24"/>
    </row>
    <row r="681">
      <c r="A681" s="99">
        <v>680.0</v>
      </c>
      <c r="B681" s="15"/>
      <c r="C681" s="15"/>
      <c r="D681" s="105">
        <v>1.0</v>
      </c>
      <c r="E681" s="102">
        <v>17.0</v>
      </c>
      <c r="F681" s="107">
        <v>139.0</v>
      </c>
      <c r="G681" s="15" t="str">
        <f t="shared" si="1"/>
        <v>17139</v>
      </c>
      <c r="H681" s="23" t="s">
        <v>739</v>
      </c>
      <c r="I681" s="23" t="s">
        <v>48</v>
      </c>
      <c r="J681" s="23" t="s">
        <v>203</v>
      </c>
      <c r="K681" s="23" t="str">
        <f t="shared" si="14"/>
        <v>Moultrie, IL</v>
      </c>
      <c r="L681" s="24"/>
    </row>
    <row r="682">
      <c r="A682" s="99">
        <v>681.0</v>
      </c>
      <c r="B682" s="15"/>
      <c r="C682" s="15"/>
      <c r="D682" s="105">
        <v>1.0</v>
      </c>
      <c r="E682" s="102">
        <v>17.0</v>
      </c>
      <c r="F682" s="107">
        <v>141.0</v>
      </c>
      <c r="G682" s="15" t="str">
        <f t="shared" si="1"/>
        <v>17141</v>
      </c>
      <c r="H682" s="23" t="s">
        <v>740</v>
      </c>
      <c r="I682" s="23" t="s">
        <v>48</v>
      </c>
      <c r="J682" s="23" t="s">
        <v>203</v>
      </c>
      <c r="K682" s="23" t="str">
        <f t="shared" si="14"/>
        <v>Ogle, IL</v>
      </c>
      <c r="L682" s="24"/>
    </row>
    <row r="683">
      <c r="A683" s="99">
        <v>682.0</v>
      </c>
      <c r="B683" s="15"/>
      <c r="C683" s="15"/>
      <c r="D683" s="105">
        <v>1.0</v>
      </c>
      <c r="E683" s="102">
        <v>17.0</v>
      </c>
      <c r="F683" s="107">
        <v>143.0</v>
      </c>
      <c r="G683" s="15" t="str">
        <f t="shared" si="1"/>
        <v>17143</v>
      </c>
      <c r="H683" s="23" t="s">
        <v>741</v>
      </c>
      <c r="I683" s="23" t="s">
        <v>48</v>
      </c>
      <c r="J683" s="23" t="s">
        <v>203</v>
      </c>
      <c r="K683" s="23" t="str">
        <f t="shared" si="14"/>
        <v>Peoria, IL</v>
      </c>
      <c r="L683" s="24"/>
    </row>
    <row r="684">
      <c r="A684" s="99">
        <v>683.0</v>
      </c>
      <c r="B684" s="15"/>
      <c r="C684" s="15"/>
      <c r="D684" s="105">
        <v>1.0</v>
      </c>
      <c r="E684" s="102">
        <v>17.0</v>
      </c>
      <c r="F684" s="107">
        <v>145.0</v>
      </c>
      <c r="G684" s="15" t="str">
        <f t="shared" si="1"/>
        <v>17145</v>
      </c>
      <c r="H684" s="23" t="s">
        <v>159</v>
      </c>
      <c r="I684" s="23" t="s">
        <v>48</v>
      </c>
      <c r="J684" s="23" t="s">
        <v>203</v>
      </c>
      <c r="K684" s="23" t="str">
        <f t="shared" si="14"/>
        <v>Perry, IL</v>
      </c>
      <c r="L684" s="24"/>
    </row>
    <row r="685">
      <c r="A685" s="99">
        <v>684.0</v>
      </c>
      <c r="B685" s="15"/>
      <c r="C685" s="15"/>
      <c r="D685" s="105">
        <v>1.0</v>
      </c>
      <c r="E685" s="102">
        <v>17.0</v>
      </c>
      <c r="F685" s="107">
        <v>147.0</v>
      </c>
      <c r="G685" s="15" t="str">
        <f t="shared" si="1"/>
        <v>17147</v>
      </c>
      <c r="H685" s="23" t="s">
        <v>742</v>
      </c>
      <c r="I685" s="23" t="s">
        <v>48</v>
      </c>
      <c r="J685" s="23" t="s">
        <v>203</v>
      </c>
      <c r="K685" s="23" t="str">
        <f t="shared" si="14"/>
        <v>Piatt, IL</v>
      </c>
      <c r="L685" s="24"/>
    </row>
    <row r="686">
      <c r="A686" s="99">
        <v>685.0</v>
      </c>
      <c r="B686" s="15"/>
      <c r="C686" s="15"/>
      <c r="D686" s="105">
        <v>1.0</v>
      </c>
      <c r="E686" s="102">
        <v>17.0</v>
      </c>
      <c r="F686" s="107">
        <v>149.0</v>
      </c>
      <c r="G686" s="15" t="str">
        <f t="shared" si="1"/>
        <v>17149</v>
      </c>
      <c r="H686" s="23" t="s">
        <v>162</v>
      </c>
      <c r="I686" s="23" t="s">
        <v>48</v>
      </c>
      <c r="J686" s="23" t="s">
        <v>203</v>
      </c>
      <c r="K686" s="23" t="str">
        <f t="shared" si="14"/>
        <v>Pike, IL</v>
      </c>
      <c r="L686" s="24"/>
    </row>
    <row r="687">
      <c r="A687" s="99">
        <v>686.0</v>
      </c>
      <c r="B687" s="15"/>
      <c r="C687" s="15"/>
      <c r="D687" s="105">
        <v>1.0</v>
      </c>
      <c r="E687" s="102">
        <v>17.0</v>
      </c>
      <c r="F687" s="107">
        <v>151.0</v>
      </c>
      <c r="G687" s="15" t="str">
        <f t="shared" si="1"/>
        <v>17151</v>
      </c>
      <c r="H687" s="23" t="s">
        <v>303</v>
      </c>
      <c r="I687" s="23" t="s">
        <v>48</v>
      </c>
      <c r="J687" s="23" t="s">
        <v>203</v>
      </c>
      <c r="K687" s="23" t="str">
        <f t="shared" si="14"/>
        <v>Pope, IL</v>
      </c>
      <c r="L687" s="24"/>
    </row>
    <row r="688">
      <c r="A688" s="99">
        <v>687.0</v>
      </c>
      <c r="B688" s="15"/>
      <c r="C688" s="15"/>
      <c r="D688" s="105">
        <v>1.0</v>
      </c>
      <c r="E688" s="102">
        <v>17.0</v>
      </c>
      <c r="F688" s="107">
        <v>153.0</v>
      </c>
      <c r="G688" s="15" t="str">
        <f t="shared" si="1"/>
        <v>17153</v>
      </c>
      <c r="H688" s="23" t="s">
        <v>305</v>
      </c>
      <c r="I688" s="23" t="s">
        <v>48</v>
      </c>
      <c r="J688" s="23" t="s">
        <v>203</v>
      </c>
      <c r="K688" s="23" t="str">
        <f t="shared" si="14"/>
        <v>Pulaski, IL</v>
      </c>
      <c r="L688" s="24"/>
    </row>
    <row r="689">
      <c r="A689" s="99">
        <v>688.0</v>
      </c>
      <c r="B689" s="15"/>
      <c r="C689" s="15"/>
      <c r="D689" s="105">
        <v>1.0</v>
      </c>
      <c r="E689" s="102">
        <v>17.0</v>
      </c>
      <c r="F689" s="107">
        <v>155.0</v>
      </c>
      <c r="G689" s="15" t="str">
        <f t="shared" si="1"/>
        <v>17155</v>
      </c>
      <c r="H689" s="23" t="s">
        <v>518</v>
      </c>
      <c r="I689" s="23" t="s">
        <v>48</v>
      </c>
      <c r="J689" s="23" t="s">
        <v>203</v>
      </c>
      <c r="K689" s="23" t="str">
        <f t="shared" si="14"/>
        <v>Putnam, IL</v>
      </c>
      <c r="L689" s="24"/>
    </row>
    <row r="690">
      <c r="A690" s="99">
        <v>689.0</v>
      </c>
      <c r="B690" s="15"/>
      <c r="C690" s="15"/>
      <c r="D690" s="105">
        <v>1.0</v>
      </c>
      <c r="E690" s="102">
        <v>17.0</v>
      </c>
      <c r="F690" s="107">
        <v>157.0</v>
      </c>
      <c r="G690" s="15" t="str">
        <f t="shared" si="1"/>
        <v>17157</v>
      </c>
      <c r="H690" s="23" t="s">
        <v>163</v>
      </c>
      <c r="I690" s="23" t="s">
        <v>48</v>
      </c>
      <c r="J690" s="23" t="s">
        <v>203</v>
      </c>
      <c r="K690" s="23" t="str">
        <f t="shared" si="14"/>
        <v>Randolph, IL</v>
      </c>
      <c r="L690" s="24"/>
    </row>
    <row r="691">
      <c r="A691" s="99">
        <v>690.0</v>
      </c>
      <c r="B691" s="15"/>
      <c r="C691" s="15"/>
      <c r="D691" s="105">
        <v>1.0</v>
      </c>
      <c r="E691" s="102">
        <v>17.0</v>
      </c>
      <c r="F691" s="107">
        <v>159.0</v>
      </c>
      <c r="G691" s="15" t="str">
        <f t="shared" si="1"/>
        <v>17159</v>
      </c>
      <c r="H691" s="23" t="s">
        <v>743</v>
      </c>
      <c r="I691" s="23" t="s">
        <v>48</v>
      </c>
      <c r="J691" s="23" t="s">
        <v>203</v>
      </c>
      <c r="K691" s="23" t="str">
        <f t="shared" si="14"/>
        <v>Richland, IL</v>
      </c>
      <c r="L691" s="24"/>
    </row>
    <row r="692">
      <c r="A692" s="99">
        <v>691.0</v>
      </c>
      <c r="B692" s="15"/>
      <c r="C692" s="15"/>
      <c r="D692" s="105">
        <v>1.0</v>
      </c>
      <c r="E692" s="102">
        <v>17.0</v>
      </c>
      <c r="F692" s="107">
        <v>161.0</v>
      </c>
      <c r="G692" s="15" t="str">
        <f t="shared" si="1"/>
        <v>17161</v>
      </c>
      <c r="H692" s="23" t="s">
        <v>744</v>
      </c>
      <c r="I692" s="23" t="s">
        <v>48</v>
      </c>
      <c r="J692" s="23" t="s">
        <v>203</v>
      </c>
      <c r="K692" s="23" t="str">
        <f t="shared" si="14"/>
        <v>Rock Island, IL</v>
      </c>
      <c r="L692" s="24"/>
    </row>
    <row r="693">
      <c r="A693" s="99">
        <v>692.0</v>
      </c>
      <c r="B693" s="15"/>
      <c r="C693" s="15"/>
      <c r="D693" s="105">
        <v>1.0</v>
      </c>
      <c r="E693" s="102">
        <v>17.0</v>
      </c>
      <c r="F693" s="107">
        <v>163.0</v>
      </c>
      <c r="G693" s="15" t="str">
        <f t="shared" si="1"/>
        <v>17163</v>
      </c>
      <c r="H693" s="23" t="s">
        <v>167</v>
      </c>
      <c r="I693" s="23" t="s">
        <v>48</v>
      </c>
      <c r="J693" s="23" t="s">
        <v>203</v>
      </c>
      <c r="K693" s="23" t="str">
        <f t="shared" si="14"/>
        <v>St Clair, IL</v>
      </c>
      <c r="L693" s="24"/>
    </row>
    <row r="694">
      <c r="A694" s="99">
        <v>693.0</v>
      </c>
      <c r="B694" s="15"/>
      <c r="C694" s="15"/>
      <c r="D694" s="105">
        <v>1.0</v>
      </c>
      <c r="E694" s="102">
        <v>17.0</v>
      </c>
      <c r="F694" s="107">
        <v>165.0</v>
      </c>
      <c r="G694" s="15" t="str">
        <f t="shared" si="1"/>
        <v>17165</v>
      </c>
      <c r="H694" s="23" t="s">
        <v>308</v>
      </c>
      <c r="I694" s="23" t="s">
        <v>48</v>
      </c>
      <c r="J694" s="23" t="s">
        <v>203</v>
      </c>
      <c r="K694" s="23" t="str">
        <f t="shared" si="14"/>
        <v>Saline, IL</v>
      </c>
      <c r="L694" s="24"/>
    </row>
    <row r="695">
      <c r="A695" s="99">
        <v>694.0</v>
      </c>
      <c r="B695" s="15"/>
      <c r="C695" s="15"/>
      <c r="D695" s="105">
        <v>1.0</v>
      </c>
      <c r="E695" s="102">
        <v>17.0</v>
      </c>
      <c r="F695" s="107">
        <v>167.0</v>
      </c>
      <c r="G695" s="15" t="str">
        <f t="shared" si="1"/>
        <v>17167</v>
      </c>
      <c r="H695" s="23" t="s">
        <v>745</v>
      </c>
      <c r="I695" s="23" t="s">
        <v>48</v>
      </c>
      <c r="J695" s="23" t="s">
        <v>203</v>
      </c>
      <c r="K695" s="23" t="str">
        <f t="shared" si="14"/>
        <v>Sangamon, IL</v>
      </c>
      <c r="L695" s="24"/>
    </row>
    <row r="696">
      <c r="A696" s="99">
        <v>695.0</v>
      </c>
      <c r="B696" s="15"/>
      <c r="C696" s="15"/>
      <c r="D696" s="105">
        <v>1.0</v>
      </c>
      <c r="E696" s="102">
        <v>17.0</v>
      </c>
      <c r="F696" s="107">
        <v>169.0</v>
      </c>
      <c r="G696" s="15" t="str">
        <f t="shared" si="1"/>
        <v>17169</v>
      </c>
      <c r="H696" s="23" t="s">
        <v>746</v>
      </c>
      <c r="I696" s="23" t="s">
        <v>48</v>
      </c>
      <c r="J696" s="23" t="s">
        <v>203</v>
      </c>
      <c r="K696" s="23" t="str">
        <f t="shared" si="14"/>
        <v>Schuyler, IL</v>
      </c>
      <c r="L696" s="24"/>
    </row>
    <row r="697">
      <c r="A697" s="99">
        <v>696.0</v>
      </c>
      <c r="B697" s="15"/>
      <c r="C697" s="15"/>
      <c r="D697" s="105">
        <v>1.0</v>
      </c>
      <c r="E697" s="102">
        <v>17.0</v>
      </c>
      <c r="F697" s="107">
        <v>171.0</v>
      </c>
      <c r="G697" s="15" t="str">
        <f t="shared" si="1"/>
        <v>17171</v>
      </c>
      <c r="H697" s="23" t="s">
        <v>309</v>
      </c>
      <c r="I697" s="23" t="s">
        <v>48</v>
      </c>
      <c r="J697" s="23" t="s">
        <v>203</v>
      </c>
      <c r="K697" s="23" t="str">
        <f t="shared" si="14"/>
        <v>Scott, IL</v>
      </c>
      <c r="L697" s="24"/>
    </row>
    <row r="698">
      <c r="A698" s="99">
        <v>697.0</v>
      </c>
      <c r="B698" s="15"/>
      <c r="C698" s="15"/>
      <c r="D698" s="105">
        <v>1.0</v>
      </c>
      <c r="E698" s="102">
        <v>17.0</v>
      </c>
      <c r="F698" s="107">
        <v>173.0</v>
      </c>
      <c r="G698" s="15" t="str">
        <f t="shared" si="1"/>
        <v>17173</v>
      </c>
      <c r="H698" s="23" t="s">
        <v>168</v>
      </c>
      <c r="I698" s="23" t="s">
        <v>48</v>
      </c>
      <c r="J698" s="23" t="s">
        <v>203</v>
      </c>
      <c r="K698" s="23" t="str">
        <f t="shared" si="14"/>
        <v>Shelby, IL</v>
      </c>
      <c r="L698" s="24"/>
    </row>
    <row r="699">
      <c r="A699" s="99">
        <v>698.0</v>
      </c>
      <c r="B699" s="15"/>
      <c r="C699" s="15"/>
      <c r="D699" s="105">
        <v>1.0</v>
      </c>
      <c r="E699" s="102">
        <v>17.0</v>
      </c>
      <c r="F699" s="107">
        <v>175.0</v>
      </c>
      <c r="G699" s="15" t="str">
        <f t="shared" si="1"/>
        <v>17175</v>
      </c>
      <c r="H699" s="23" t="s">
        <v>747</v>
      </c>
      <c r="I699" s="23" t="s">
        <v>48</v>
      </c>
      <c r="J699" s="23" t="s">
        <v>203</v>
      </c>
      <c r="K699" s="23" t="str">
        <f t="shared" si="14"/>
        <v>Stark, IL</v>
      </c>
      <c r="L699" s="24"/>
    </row>
    <row r="700">
      <c r="A700" s="99">
        <v>699.0</v>
      </c>
      <c r="B700" s="15"/>
      <c r="C700" s="15"/>
      <c r="D700" s="105">
        <v>1.0</v>
      </c>
      <c r="E700" s="102">
        <v>17.0</v>
      </c>
      <c r="F700" s="107">
        <v>177.0</v>
      </c>
      <c r="G700" s="15" t="str">
        <f t="shared" si="1"/>
        <v>17177</v>
      </c>
      <c r="H700" s="23" t="s">
        <v>748</v>
      </c>
      <c r="I700" s="23" t="s">
        <v>48</v>
      </c>
      <c r="J700" s="23" t="s">
        <v>203</v>
      </c>
      <c r="K700" s="23" t="str">
        <f t="shared" si="14"/>
        <v>Stephenson, IL</v>
      </c>
      <c r="L700" s="24"/>
    </row>
    <row r="701">
      <c r="A701" s="99">
        <v>700.0</v>
      </c>
      <c r="B701" s="15"/>
      <c r="C701" s="15"/>
      <c r="D701" s="105">
        <v>1.0</v>
      </c>
      <c r="E701" s="102">
        <v>17.0</v>
      </c>
      <c r="F701" s="107">
        <v>179.0</v>
      </c>
      <c r="G701" s="15" t="str">
        <f t="shared" si="1"/>
        <v>17179</v>
      </c>
      <c r="H701" s="23" t="s">
        <v>749</v>
      </c>
      <c r="I701" s="23" t="s">
        <v>48</v>
      </c>
      <c r="J701" s="23" t="s">
        <v>203</v>
      </c>
      <c r="K701" s="23" t="str">
        <f t="shared" si="14"/>
        <v>Tazewell, IL</v>
      </c>
      <c r="L701" s="24"/>
    </row>
    <row r="702">
      <c r="A702" s="99">
        <v>701.0</v>
      </c>
      <c r="B702" s="15"/>
      <c r="C702" s="15"/>
      <c r="D702" s="105">
        <v>1.0</v>
      </c>
      <c r="E702" s="102">
        <v>17.0</v>
      </c>
      <c r="F702" s="107">
        <v>181.0</v>
      </c>
      <c r="G702" s="15" t="str">
        <f t="shared" si="1"/>
        <v>17181</v>
      </c>
      <c r="H702" s="23" t="s">
        <v>316</v>
      </c>
      <c r="I702" s="23" t="s">
        <v>48</v>
      </c>
      <c r="J702" s="23" t="s">
        <v>203</v>
      </c>
      <c r="K702" s="23" t="str">
        <f t="shared" si="14"/>
        <v>Union, IL</v>
      </c>
      <c r="L702" s="24"/>
    </row>
    <row r="703">
      <c r="A703" s="99">
        <v>702.0</v>
      </c>
      <c r="B703" s="15"/>
      <c r="C703" s="15"/>
      <c r="D703" s="105">
        <v>1.0</v>
      </c>
      <c r="E703" s="102">
        <v>17.0</v>
      </c>
      <c r="F703" s="107">
        <v>183.0</v>
      </c>
      <c r="G703" s="15" t="str">
        <f t="shared" si="1"/>
        <v>17183</v>
      </c>
      <c r="H703" s="23" t="s">
        <v>750</v>
      </c>
      <c r="I703" s="23" t="s">
        <v>48</v>
      </c>
      <c r="J703" s="23" t="s">
        <v>203</v>
      </c>
      <c r="K703" s="23" t="str">
        <f t="shared" si="14"/>
        <v>Vermilion, IL</v>
      </c>
      <c r="L703" s="24"/>
    </row>
    <row r="704">
      <c r="A704" s="99">
        <v>703.0</v>
      </c>
      <c r="B704" s="15"/>
      <c r="C704" s="15"/>
      <c r="D704" s="105">
        <v>1.0</v>
      </c>
      <c r="E704" s="102">
        <v>17.0</v>
      </c>
      <c r="F704" s="107">
        <v>185.0</v>
      </c>
      <c r="G704" s="15" t="str">
        <f t="shared" si="1"/>
        <v>17185</v>
      </c>
      <c r="H704" s="23" t="s">
        <v>751</v>
      </c>
      <c r="I704" s="23" t="s">
        <v>48</v>
      </c>
      <c r="J704" s="23" t="s">
        <v>203</v>
      </c>
      <c r="K704" s="23" t="str">
        <f t="shared" si="14"/>
        <v>Wabash, IL</v>
      </c>
      <c r="L704" s="24"/>
    </row>
    <row r="705">
      <c r="A705" s="99">
        <v>704.0</v>
      </c>
      <c r="B705" s="15"/>
      <c r="C705" s="15"/>
      <c r="D705" s="105">
        <v>1.0</v>
      </c>
      <c r="E705" s="102">
        <v>17.0</v>
      </c>
      <c r="F705" s="107">
        <v>187.0</v>
      </c>
      <c r="G705" s="15" t="str">
        <f t="shared" si="1"/>
        <v>17187</v>
      </c>
      <c r="H705" s="23" t="s">
        <v>647</v>
      </c>
      <c r="I705" s="23" t="s">
        <v>48</v>
      </c>
      <c r="J705" s="23" t="s">
        <v>203</v>
      </c>
      <c r="K705" s="23" t="str">
        <f t="shared" si="14"/>
        <v>Warren, IL</v>
      </c>
      <c r="L705" s="24"/>
    </row>
    <row r="706">
      <c r="A706" s="99">
        <v>705.0</v>
      </c>
      <c r="B706" s="15"/>
      <c r="C706" s="15"/>
      <c r="D706" s="105">
        <v>1.0</v>
      </c>
      <c r="E706" s="102">
        <v>17.0</v>
      </c>
      <c r="F706" s="107">
        <v>189.0</v>
      </c>
      <c r="G706" s="15" t="str">
        <f t="shared" si="1"/>
        <v>17189</v>
      </c>
      <c r="H706" s="23" t="s">
        <v>119</v>
      </c>
      <c r="I706" s="23" t="s">
        <v>48</v>
      </c>
      <c r="J706" s="23" t="s">
        <v>203</v>
      </c>
      <c r="K706" s="23" t="str">
        <f t="shared" si="14"/>
        <v>Washington, IL</v>
      </c>
      <c r="L706" s="24"/>
    </row>
    <row r="707">
      <c r="A707" s="99">
        <v>706.0</v>
      </c>
      <c r="B707" s="15"/>
      <c r="C707" s="15"/>
      <c r="D707" s="105">
        <v>1.0</v>
      </c>
      <c r="E707" s="102">
        <v>17.0</v>
      </c>
      <c r="F707" s="107">
        <v>191.0</v>
      </c>
      <c r="G707" s="15" t="str">
        <f t="shared" si="1"/>
        <v>17191</v>
      </c>
      <c r="H707" s="23" t="s">
        <v>273</v>
      </c>
      <c r="I707" s="23" t="s">
        <v>48</v>
      </c>
      <c r="J707" s="23" t="s">
        <v>203</v>
      </c>
      <c r="K707" s="23" t="str">
        <f t="shared" si="14"/>
        <v>Wayne, IL</v>
      </c>
      <c r="L707" s="24"/>
    </row>
    <row r="708">
      <c r="A708" s="99">
        <v>707.0</v>
      </c>
      <c r="B708" s="15"/>
      <c r="C708" s="15"/>
      <c r="D708" s="105">
        <v>1.0</v>
      </c>
      <c r="E708" s="102">
        <v>17.0</v>
      </c>
      <c r="F708" s="107">
        <v>193.0</v>
      </c>
      <c r="G708" s="15" t="str">
        <f t="shared" si="1"/>
        <v>17193</v>
      </c>
      <c r="H708" s="23" t="s">
        <v>66</v>
      </c>
      <c r="I708" s="23" t="s">
        <v>48</v>
      </c>
      <c r="J708" s="23" t="s">
        <v>203</v>
      </c>
      <c r="K708" s="23" t="str">
        <f t="shared" si="14"/>
        <v>White, IL</v>
      </c>
      <c r="L708" s="24"/>
    </row>
    <row r="709">
      <c r="A709" s="99">
        <v>708.0</v>
      </c>
      <c r="B709" s="15"/>
      <c r="C709" s="15"/>
      <c r="D709" s="105">
        <v>1.0</v>
      </c>
      <c r="E709" s="102">
        <v>17.0</v>
      </c>
      <c r="F709" s="107">
        <v>195.0</v>
      </c>
      <c r="G709" s="15" t="str">
        <f t="shared" si="1"/>
        <v>17195</v>
      </c>
      <c r="H709" s="23" t="s">
        <v>752</v>
      </c>
      <c r="I709" s="23" t="s">
        <v>48</v>
      </c>
      <c r="J709" s="23" t="s">
        <v>203</v>
      </c>
      <c r="K709" s="23" t="str">
        <f t="shared" si="14"/>
        <v>Whiteside, IL</v>
      </c>
      <c r="L709" s="24"/>
    </row>
    <row r="710">
      <c r="A710" s="99">
        <v>709.0</v>
      </c>
      <c r="B710" s="15"/>
      <c r="C710" s="15"/>
      <c r="D710" s="105">
        <v>1.0</v>
      </c>
      <c r="E710" s="102">
        <v>17.0</v>
      </c>
      <c r="F710" s="107">
        <v>197.0</v>
      </c>
      <c r="G710" s="15" t="str">
        <f t="shared" si="1"/>
        <v>17197</v>
      </c>
      <c r="H710" s="23" t="s">
        <v>573</v>
      </c>
      <c r="I710" s="23" t="s">
        <v>48</v>
      </c>
      <c r="J710" s="23" t="s">
        <v>203</v>
      </c>
      <c r="K710" s="23" t="str">
        <f t="shared" si="14"/>
        <v>Will, IL</v>
      </c>
      <c r="L710" s="24"/>
    </row>
    <row r="711">
      <c r="A711" s="99">
        <v>710.0</v>
      </c>
      <c r="B711" s="15"/>
      <c r="C711" s="15"/>
      <c r="D711" s="105">
        <v>1.0</v>
      </c>
      <c r="E711" s="102">
        <v>17.0</v>
      </c>
      <c r="F711" s="107">
        <v>199.0</v>
      </c>
      <c r="G711" s="15" t="str">
        <f t="shared" si="1"/>
        <v>17199</v>
      </c>
      <c r="H711" s="23" t="s">
        <v>627</v>
      </c>
      <c r="I711" s="23" t="s">
        <v>48</v>
      </c>
      <c r="J711" s="23" t="s">
        <v>203</v>
      </c>
      <c r="K711" s="23" t="str">
        <f t="shared" si="14"/>
        <v>Williamson, IL</v>
      </c>
      <c r="L711" s="24"/>
    </row>
    <row r="712">
      <c r="A712" s="99">
        <v>711.0</v>
      </c>
      <c r="B712" s="15"/>
      <c r="C712" s="15"/>
      <c r="D712" s="105">
        <v>1.0</v>
      </c>
      <c r="E712" s="102">
        <v>17.0</v>
      </c>
      <c r="F712" s="107">
        <v>201.0</v>
      </c>
      <c r="G712" s="15" t="str">
        <f t="shared" si="1"/>
        <v>17201</v>
      </c>
      <c r="H712" s="23" t="s">
        <v>753</v>
      </c>
      <c r="I712" s="23" t="s">
        <v>48</v>
      </c>
      <c r="J712" s="23" t="s">
        <v>203</v>
      </c>
      <c r="K712" s="23" t="str">
        <f t="shared" si="14"/>
        <v>Winnebago, IL</v>
      </c>
      <c r="L712" s="24"/>
    </row>
    <row r="713">
      <c r="A713" s="99">
        <v>712.0</v>
      </c>
      <c r="B713" s="15"/>
      <c r="C713" s="15"/>
      <c r="D713" s="105">
        <v>1.0</v>
      </c>
      <c r="E713" s="102">
        <v>17.0</v>
      </c>
      <c r="F713" s="107">
        <v>203.0</v>
      </c>
      <c r="G713" s="15" t="str">
        <f t="shared" si="1"/>
        <v>17203</v>
      </c>
      <c r="H713" s="23" t="s">
        <v>754</v>
      </c>
      <c r="I713" s="23" t="s">
        <v>48</v>
      </c>
      <c r="J713" s="23" t="s">
        <v>203</v>
      </c>
      <c r="K713" s="23" t="str">
        <f t="shared" si="14"/>
        <v>Woodford, IL</v>
      </c>
      <c r="L713" s="24"/>
    </row>
    <row r="714">
      <c r="A714" s="28">
        <v>713.0</v>
      </c>
      <c r="B714" s="29"/>
      <c r="C714" s="29" t="s">
        <v>25</v>
      </c>
      <c r="D714" s="30"/>
      <c r="E714" s="31">
        <v>18.0</v>
      </c>
      <c r="F714" s="42">
        <v>0.0</v>
      </c>
      <c r="G714" s="29" t="str">
        <f t="shared" si="1"/>
        <v>18000</v>
      </c>
      <c r="H714" s="37"/>
      <c r="I714" s="37" t="s">
        <v>49</v>
      </c>
      <c r="J714" s="37" t="s">
        <v>430</v>
      </c>
      <c r="K714" s="37"/>
      <c r="L714" s="24"/>
    </row>
    <row r="715">
      <c r="A715" s="28">
        <v>714.0</v>
      </c>
      <c r="B715" s="29"/>
      <c r="C715" s="29"/>
      <c r="D715" s="40">
        <v>1.0</v>
      </c>
      <c r="E715" s="31">
        <v>18.0</v>
      </c>
      <c r="F715" s="42">
        <v>1.0</v>
      </c>
      <c r="G715" s="29" t="str">
        <f t="shared" si="1"/>
        <v>18001</v>
      </c>
      <c r="H715" s="37" t="s">
        <v>386</v>
      </c>
      <c r="I715" s="37" t="s">
        <v>49</v>
      </c>
      <c r="J715" s="37" t="s">
        <v>430</v>
      </c>
      <c r="K715" s="37" t="str">
        <f t="shared" ref="K715:K806" si="15">CONCATENATE(H715,", ",J715)</f>
        <v>Adams, IN</v>
      </c>
      <c r="L715" s="24"/>
    </row>
    <row r="716">
      <c r="A716" s="28">
        <v>715.0</v>
      </c>
      <c r="B716" s="29"/>
      <c r="C716" s="29"/>
      <c r="D716" s="40">
        <v>1.0</v>
      </c>
      <c r="E716" s="31">
        <v>18.0</v>
      </c>
      <c r="F716" s="42">
        <v>3.0</v>
      </c>
      <c r="G716" s="29" t="str">
        <f t="shared" si="1"/>
        <v>18003</v>
      </c>
      <c r="H716" s="37" t="s">
        <v>755</v>
      </c>
      <c r="I716" s="37" t="s">
        <v>49</v>
      </c>
      <c r="J716" s="37" t="s">
        <v>430</v>
      </c>
      <c r="K716" s="37" t="str">
        <f t="shared" si="15"/>
        <v>Allen, IN</v>
      </c>
      <c r="L716" s="24"/>
    </row>
    <row r="717">
      <c r="A717" s="28">
        <v>716.0</v>
      </c>
      <c r="B717" s="29"/>
      <c r="C717" s="29"/>
      <c r="D717" s="40">
        <v>1.0</v>
      </c>
      <c r="E717" s="31">
        <v>18.0</v>
      </c>
      <c r="F717" s="42">
        <v>5.0</v>
      </c>
      <c r="G717" s="29" t="str">
        <f t="shared" si="1"/>
        <v>18005</v>
      </c>
      <c r="H717" s="37" t="s">
        <v>756</v>
      </c>
      <c r="I717" s="37" t="s">
        <v>49</v>
      </c>
      <c r="J717" s="37" t="s">
        <v>430</v>
      </c>
      <c r="K717" s="37" t="str">
        <f t="shared" si="15"/>
        <v>Bartholomew, IN</v>
      </c>
      <c r="L717" s="24"/>
    </row>
    <row r="718">
      <c r="A718" s="28">
        <v>717.0</v>
      </c>
      <c r="B718" s="29"/>
      <c r="C718" s="29"/>
      <c r="D718" s="40">
        <v>1.0</v>
      </c>
      <c r="E718" s="31">
        <v>18.0</v>
      </c>
      <c r="F718" s="42">
        <v>7.0</v>
      </c>
      <c r="G718" s="29" t="str">
        <f t="shared" si="1"/>
        <v>18007</v>
      </c>
      <c r="H718" s="37" t="s">
        <v>243</v>
      </c>
      <c r="I718" s="37" t="s">
        <v>49</v>
      </c>
      <c r="J718" s="37" t="s">
        <v>430</v>
      </c>
      <c r="K718" s="37" t="str">
        <f t="shared" si="15"/>
        <v>Benton, IN</v>
      </c>
      <c r="L718" s="24"/>
    </row>
    <row r="719">
      <c r="A719" s="28">
        <v>718.0</v>
      </c>
      <c r="B719" s="29"/>
      <c r="C719" s="29"/>
      <c r="D719" s="40">
        <v>1.0</v>
      </c>
      <c r="E719" s="31">
        <v>18.0</v>
      </c>
      <c r="F719" s="42">
        <v>9.0</v>
      </c>
      <c r="G719" s="29" t="str">
        <f t="shared" si="1"/>
        <v>18009</v>
      </c>
      <c r="H719" s="37" t="s">
        <v>757</v>
      </c>
      <c r="I719" s="37" t="s">
        <v>49</v>
      </c>
      <c r="J719" s="37" t="s">
        <v>430</v>
      </c>
      <c r="K719" s="37" t="str">
        <f t="shared" si="15"/>
        <v>Blackford, IN</v>
      </c>
      <c r="L719" s="24"/>
    </row>
    <row r="720">
      <c r="A720" s="28">
        <v>719.0</v>
      </c>
      <c r="B720" s="29"/>
      <c r="C720" s="29"/>
      <c r="D720" s="40">
        <v>1.0</v>
      </c>
      <c r="E720" s="31">
        <v>18.0</v>
      </c>
      <c r="F720" s="42">
        <v>11.0</v>
      </c>
      <c r="G720" s="29" t="str">
        <f t="shared" si="1"/>
        <v>18011</v>
      </c>
      <c r="H720" s="37" t="s">
        <v>246</v>
      </c>
      <c r="I720" s="37" t="s">
        <v>49</v>
      </c>
      <c r="J720" s="37" t="s">
        <v>430</v>
      </c>
      <c r="K720" s="37" t="str">
        <f t="shared" si="15"/>
        <v>Boone, IN</v>
      </c>
      <c r="L720" s="24"/>
    </row>
    <row r="721">
      <c r="A721" s="28">
        <v>720.0</v>
      </c>
      <c r="B721" s="29"/>
      <c r="C721" s="29"/>
      <c r="D721" s="40">
        <v>1.0</v>
      </c>
      <c r="E721" s="31">
        <v>18.0</v>
      </c>
      <c r="F721" s="42">
        <v>13.0</v>
      </c>
      <c r="G721" s="29" t="str">
        <f t="shared" si="1"/>
        <v>18013</v>
      </c>
      <c r="H721" s="37" t="s">
        <v>706</v>
      </c>
      <c r="I721" s="37" t="s">
        <v>49</v>
      </c>
      <c r="J721" s="37" t="s">
        <v>430</v>
      </c>
      <c r="K721" s="37" t="str">
        <f t="shared" si="15"/>
        <v>Brown, IN</v>
      </c>
      <c r="L721" s="24"/>
    </row>
    <row r="722">
      <c r="A722" s="28">
        <v>721.0</v>
      </c>
      <c r="B722" s="29"/>
      <c r="C722" s="29"/>
      <c r="D722" s="40">
        <v>1.0</v>
      </c>
      <c r="E722" s="31">
        <v>18.0</v>
      </c>
      <c r="F722" s="42">
        <v>15.0</v>
      </c>
      <c r="G722" s="29" t="str">
        <f t="shared" si="1"/>
        <v>18015</v>
      </c>
      <c r="H722" s="37" t="s">
        <v>248</v>
      </c>
      <c r="I722" s="37" t="s">
        <v>49</v>
      </c>
      <c r="J722" s="37" t="s">
        <v>430</v>
      </c>
      <c r="K722" s="37" t="str">
        <f t="shared" si="15"/>
        <v>Carroll, IN</v>
      </c>
      <c r="L722" s="24"/>
    </row>
    <row r="723">
      <c r="A723" s="28">
        <v>722.0</v>
      </c>
      <c r="B723" s="29"/>
      <c r="C723" s="29"/>
      <c r="D723" s="40">
        <v>1.0</v>
      </c>
      <c r="E723" s="31">
        <v>18.0</v>
      </c>
      <c r="F723" s="42">
        <v>17.0</v>
      </c>
      <c r="G723" s="29" t="str">
        <f t="shared" si="1"/>
        <v>18017</v>
      </c>
      <c r="H723" s="37" t="s">
        <v>708</v>
      </c>
      <c r="I723" s="37" t="s">
        <v>49</v>
      </c>
      <c r="J723" s="37" t="s">
        <v>430</v>
      </c>
      <c r="K723" s="37" t="str">
        <f t="shared" si="15"/>
        <v>Cass, IN</v>
      </c>
      <c r="L723" s="24"/>
    </row>
    <row r="724">
      <c r="A724" s="28">
        <v>723.0</v>
      </c>
      <c r="B724" s="29"/>
      <c r="C724" s="29"/>
      <c r="D724" s="40">
        <v>1.0</v>
      </c>
      <c r="E724" s="31">
        <v>18.0</v>
      </c>
      <c r="F724" s="42">
        <v>19.0</v>
      </c>
      <c r="G724" s="29" t="str">
        <f t="shared" si="1"/>
        <v>18019</v>
      </c>
      <c r="H724" s="37" t="s">
        <v>253</v>
      </c>
      <c r="I724" s="37" t="s">
        <v>49</v>
      </c>
      <c r="J724" s="37" t="s">
        <v>430</v>
      </c>
      <c r="K724" s="37" t="str">
        <f t="shared" si="15"/>
        <v>Clark, IN</v>
      </c>
      <c r="L724" s="24"/>
    </row>
    <row r="725">
      <c r="A725" s="28">
        <v>724.0</v>
      </c>
      <c r="B725" s="29"/>
      <c r="C725" s="29"/>
      <c r="D725" s="40">
        <v>1.0</v>
      </c>
      <c r="E725" s="31">
        <v>18.0</v>
      </c>
      <c r="F725" s="42">
        <v>21.0</v>
      </c>
      <c r="G725" s="29" t="str">
        <f t="shared" si="1"/>
        <v>18021</v>
      </c>
      <c r="H725" s="37" t="s">
        <v>112</v>
      </c>
      <c r="I725" s="37" t="s">
        <v>49</v>
      </c>
      <c r="J725" s="37" t="s">
        <v>430</v>
      </c>
      <c r="K725" s="37" t="str">
        <f t="shared" si="15"/>
        <v>Clay, IN</v>
      </c>
      <c r="L725" s="24"/>
    </row>
    <row r="726">
      <c r="A726" s="28">
        <v>725.0</v>
      </c>
      <c r="B726" s="29"/>
      <c r="C726" s="29"/>
      <c r="D726" s="40">
        <v>1.0</v>
      </c>
      <c r="E726" s="31">
        <v>18.0</v>
      </c>
      <c r="F726" s="42">
        <v>23.0</v>
      </c>
      <c r="G726" s="29" t="str">
        <f t="shared" si="1"/>
        <v>18023</v>
      </c>
      <c r="H726" s="37" t="s">
        <v>711</v>
      </c>
      <c r="I726" s="37" t="s">
        <v>49</v>
      </c>
      <c r="J726" s="37" t="s">
        <v>430</v>
      </c>
      <c r="K726" s="37" t="str">
        <f t="shared" si="15"/>
        <v>Clinton, IN</v>
      </c>
      <c r="L726" s="24"/>
    </row>
    <row r="727">
      <c r="A727" s="28">
        <v>726.0</v>
      </c>
      <c r="B727" s="29"/>
      <c r="C727" s="29"/>
      <c r="D727" s="40">
        <v>1.0</v>
      </c>
      <c r="E727" s="31">
        <v>18.0</v>
      </c>
      <c r="F727" s="42">
        <v>25.0</v>
      </c>
      <c r="G727" s="29" t="str">
        <f t="shared" si="1"/>
        <v>18025</v>
      </c>
      <c r="H727" s="37" t="s">
        <v>263</v>
      </c>
      <c r="I727" s="37" t="s">
        <v>49</v>
      </c>
      <c r="J727" s="37" t="s">
        <v>430</v>
      </c>
      <c r="K727" s="37" t="str">
        <f t="shared" si="15"/>
        <v>Crawford, IN</v>
      </c>
      <c r="L727" s="24"/>
    </row>
    <row r="728">
      <c r="A728" s="28">
        <v>727.0</v>
      </c>
      <c r="B728" s="29"/>
      <c r="C728" s="29"/>
      <c r="D728" s="40">
        <v>1.0</v>
      </c>
      <c r="E728" s="31">
        <v>18.0</v>
      </c>
      <c r="F728" s="42">
        <v>27.0</v>
      </c>
      <c r="G728" s="29" t="str">
        <f t="shared" si="1"/>
        <v>18027</v>
      </c>
      <c r="H728" s="37" t="s">
        <v>758</v>
      </c>
      <c r="I728" s="37" t="s">
        <v>49</v>
      </c>
      <c r="J728" s="37" t="s">
        <v>430</v>
      </c>
      <c r="K728" s="37" t="str">
        <f t="shared" si="15"/>
        <v>Daviess, IN</v>
      </c>
      <c r="L728" s="24"/>
    </row>
    <row r="729">
      <c r="A729" s="28">
        <v>728.0</v>
      </c>
      <c r="B729" s="29"/>
      <c r="C729" s="29"/>
      <c r="D729" s="40">
        <v>1.0</v>
      </c>
      <c r="E729" s="31">
        <v>18.0</v>
      </c>
      <c r="F729" s="42">
        <v>29.0</v>
      </c>
      <c r="G729" s="29" t="str">
        <f t="shared" si="1"/>
        <v>18029</v>
      </c>
      <c r="H729" s="37" t="s">
        <v>759</v>
      </c>
      <c r="I729" s="37" t="s">
        <v>49</v>
      </c>
      <c r="J729" s="37" t="s">
        <v>430</v>
      </c>
      <c r="K729" s="37" t="str">
        <f t="shared" si="15"/>
        <v>Dearborn, IN</v>
      </c>
      <c r="L729" s="24"/>
    </row>
    <row r="730">
      <c r="A730" s="28">
        <v>729.0</v>
      </c>
      <c r="B730" s="29"/>
      <c r="C730" s="29"/>
      <c r="D730" s="40">
        <v>1.0</v>
      </c>
      <c r="E730" s="31">
        <v>18.0</v>
      </c>
      <c r="F730" s="42">
        <v>31.0</v>
      </c>
      <c r="G730" s="29" t="str">
        <f t="shared" si="1"/>
        <v>18031</v>
      </c>
      <c r="H730" s="37" t="s">
        <v>563</v>
      </c>
      <c r="I730" s="37" t="s">
        <v>49</v>
      </c>
      <c r="J730" s="37" t="s">
        <v>430</v>
      </c>
      <c r="K730" s="37" t="str">
        <f t="shared" si="15"/>
        <v>Decatur, IN</v>
      </c>
      <c r="L730" s="24"/>
    </row>
    <row r="731">
      <c r="A731" s="28">
        <v>730.0</v>
      </c>
      <c r="B731" s="29"/>
      <c r="C731" s="29"/>
      <c r="D731" s="40">
        <v>1.0</v>
      </c>
      <c r="E731" s="31">
        <v>18.0</v>
      </c>
      <c r="F731" s="42">
        <v>33.0</v>
      </c>
      <c r="G731" s="29" t="str">
        <f t="shared" si="1"/>
        <v>18033</v>
      </c>
      <c r="H731" s="37" t="s">
        <v>131</v>
      </c>
      <c r="I731" s="37" t="s">
        <v>49</v>
      </c>
      <c r="J731" s="37" t="s">
        <v>430</v>
      </c>
      <c r="K731" s="37" t="str">
        <f t="shared" si="15"/>
        <v>De Kalb, IN</v>
      </c>
      <c r="L731" s="24"/>
    </row>
    <row r="732">
      <c r="A732" s="28">
        <v>731.0</v>
      </c>
      <c r="B732" s="29"/>
      <c r="C732" s="29"/>
      <c r="D732" s="40">
        <v>1.0</v>
      </c>
      <c r="E732" s="31">
        <v>18.0</v>
      </c>
      <c r="F732" s="42">
        <v>35.0</v>
      </c>
      <c r="G732" s="29" t="str">
        <f t="shared" si="1"/>
        <v>18035</v>
      </c>
      <c r="H732" s="37" t="s">
        <v>40</v>
      </c>
      <c r="I732" s="37" t="s">
        <v>49</v>
      </c>
      <c r="J732" s="37" t="s">
        <v>430</v>
      </c>
      <c r="K732" s="37" t="str">
        <f t="shared" si="15"/>
        <v>Delaware, IN</v>
      </c>
      <c r="L732" s="24"/>
    </row>
    <row r="733">
      <c r="A733" s="28">
        <v>732.0</v>
      </c>
      <c r="B733" s="29"/>
      <c r="C733" s="29"/>
      <c r="D733" s="40">
        <v>1.0</v>
      </c>
      <c r="E733" s="31">
        <v>18.0</v>
      </c>
      <c r="F733" s="42">
        <v>37.0</v>
      </c>
      <c r="G733" s="29" t="str">
        <f t="shared" si="1"/>
        <v>18037</v>
      </c>
      <c r="H733" s="37" t="s">
        <v>760</v>
      </c>
      <c r="I733" s="37" t="s">
        <v>49</v>
      </c>
      <c r="J733" s="37" t="s">
        <v>430</v>
      </c>
      <c r="K733" s="37" t="str">
        <f t="shared" si="15"/>
        <v>Dubois, IN</v>
      </c>
      <c r="L733" s="24"/>
    </row>
    <row r="734">
      <c r="A734" s="28">
        <v>733.0</v>
      </c>
      <c r="B734" s="29"/>
      <c r="C734" s="29"/>
      <c r="D734" s="40">
        <v>1.0</v>
      </c>
      <c r="E734" s="31">
        <v>18.0</v>
      </c>
      <c r="F734" s="42">
        <v>39.0</v>
      </c>
      <c r="G734" s="29" t="str">
        <f t="shared" si="1"/>
        <v>18039</v>
      </c>
      <c r="H734" s="37" t="s">
        <v>761</v>
      </c>
      <c r="I734" s="37" t="s">
        <v>49</v>
      </c>
      <c r="J734" s="37" t="s">
        <v>430</v>
      </c>
      <c r="K734" s="37" t="str">
        <f t="shared" si="15"/>
        <v>Elkhart, IN</v>
      </c>
      <c r="L734" s="24"/>
    </row>
    <row r="735">
      <c r="A735" s="28">
        <v>734.0</v>
      </c>
      <c r="B735" s="29"/>
      <c r="C735" s="29"/>
      <c r="D735" s="40">
        <v>1.0</v>
      </c>
      <c r="E735" s="31">
        <v>18.0</v>
      </c>
      <c r="F735" s="42">
        <v>41.0</v>
      </c>
      <c r="G735" s="29" t="str">
        <f t="shared" si="1"/>
        <v>18041</v>
      </c>
      <c r="H735" s="37" t="s">
        <v>135</v>
      </c>
      <c r="I735" s="37" t="s">
        <v>49</v>
      </c>
      <c r="J735" s="37" t="s">
        <v>430</v>
      </c>
      <c r="K735" s="37" t="str">
        <f t="shared" si="15"/>
        <v>Fayette, IN</v>
      </c>
      <c r="L735" s="24"/>
    </row>
    <row r="736">
      <c r="A736" s="28">
        <v>735.0</v>
      </c>
      <c r="B736" s="29"/>
      <c r="C736" s="29"/>
      <c r="D736" s="40">
        <v>1.0</v>
      </c>
      <c r="E736" s="31">
        <v>18.0</v>
      </c>
      <c r="F736" s="42">
        <v>43.0</v>
      </c>
      <c r="G736" s="29" t="str">
        <f t="shared" si="1"/>
        <v>18043</v>
      </c>
      <c r="H736" s="37" t="s">
        <v>575</v>
      </c>
      <c r="I736" s="37" t="s">
        <v>49</v>
      </c>
      <c r="J736" s="37" t="s">
        <v>430</v>
      </c>
      <c r="K736" s="37" t="str">
        <f t="shared" si="15"/>
        <v>Floyd, IN</v>
      </c>
      <c r="L736" s="24"/>
    </row>
    <row r="737">
      <c r="A737" s="28">
        <v>736.0</v>
      </c>
      <c r="B737" s="29"/>
      <c r="C737" s="29"/>
      <c r="D737" s="40">
        <v>1.0</v>
      </c>
      <c r="E737" s="31">
        <v>18.0</v>
      </c>
      <c r="F737" s="42">
        <v>45.0</v>
      </c>
      <c r="G737" s="29" t="str">
        <f t="shared" si="1"/>
        <v>18045</v>
      </c>
      <c r="H737" s="37" t="s">
        <v>762</v>
      </c>
      <c r="I737" s="37" t="s">
        <v>49</v>
      </c>
      <c r="J737" s="37" t="s">
        <v>430</v>
      </c>
      <c r="K737" s="37" t="str">
        <f t="shared" si="15"/>
        <v>Fountain, IN</v>
      </c>
      <c r="L737" s="24"/>
    </row>
    <row r="738">
      <c r="A738" s="28">
        <v>737.0</v>
      </c>
      <c r="B738" s="29"/>
      <c r="C738" s="29"/>
      <c r="D738" s="40">
        <v>1.0</v>
      </c>
      <c r="E738" s="31">
        <v>18.0</v>
      </c>
      <c r="F738" s="42">
        <v>47.0</v>
      </c>
      <c r="G738" s="29" t="str">
        <f t="shared" si="1"/>
        <v>18047</v>
      </c>
      <c r="H738" s="37" t="s">
        <v>136</v>
      </c>
      <c r="I738" s="37" t="s">
        <v>49</v>
      </c>
      <c r="J738" s="37" t="s">
        <v>430</v>
      </c>
      <c r="K738" s="37" t="str">
        <f t="shared" si="15"/>
        <v>Franklin, IN</v>
      </c>
      <c r="L738" s="24"/>
    </row>
    <row r="739">
      <c r="A739" s="28">
        <v>738.0</v>
      </c>
      <c r="B739" s="29"/>
      <c r="C739" s="29"/>
      <c r="D739" s="40">
        <v>1.0</v>
      </c>
      <c r="E739" s="31">
        <v>18.0</v>
      </c>
      <c r="F739" s="42">
        <v>49.0</v>
      </c>
      <c r="G739" s="29" t="str">
        <f t="shared" si="1"/>
        <v>18049</v>
      </c>
      <c r="H739" s="37" t="s">
        <v>275</v>
      </c>
      <c r="I739" s="37" t="s">
        <v>49</v>
      </c>
      <c r="J739" s="37" t="s">
        <v>430</v>
      </c>
      <c r="K739" s="37" t="str">
        <f t="shared" si="15"/>
        <v>Fulton, IN</v>
      </c>
      <c r="L739" s="24"/>
    </row>
    <row r="740">
      <c r="A740" s="28">
        <v>739.0</v>
      </c>
      <c r="B740" s="29"/>
      <c r="C740" s="29"/>
      <c r="D740" s="40">
        <v>1.0</v>
      </c>
      <c r="E740" s="31">
        <v>18.0</v>
      </c>
      <c r="F740" s="42">
        <v>51.0</v>
      </c>
      <c r="G740" s="29" t="str">
        <f t="shared" si="1"/>
        <v>18051</v>
      </c>
      <c r="H740" s="37" t="s">
        <v>763</v>
      </c>
      <c r="I740" s="37" t="s">
        <v>49</v>
      </c>
      <c r="J740" s="37" t="s">
        <v>430</v>
      </c>
      <c r="K740" s="37" t="str">
        <f t="shared" si="15"/>
        <v>Gibson, IN</v>
      </c>
      <c r="L740" s="24"/>
    </row>
    <row r="741">
      <c r="A741" s="28">
        <v>740.0</v>
      </c>
      <c r="B741" s="29"/>
      <c r="C741" s="29"/>
      <c r="D741" s="40">
        <v>1.0</v>
      </c>
      <c r="E741" s="31">
        <v>18.0</v>
      </c>
      <c r="F741" s="42">
        <v>53.0</v>
      </c>
      <c r="G741" s="29" t="str">
        <f t="shared" si="1"/>
        <v>18053</v>
      </c>
      <c r="H741" s="37" t="s">
        <v>278</v>
      </c>
      <c r="I741" s="37" t="s">
        <v>49</v>
      </c>
      <c r="J741" s="37" t="s">
        <v>430</v>
      </c>
      <c r="K741" s="37" t="str">
        <f t="shared" si="15"/>
        <v>Grant, IN</v>
      </c>
      <c r="L741" s="24"/>
    </row>
    <row r="742">
      <c r="A742" s="28">
        <v>741.0</v>
      </c>
      <c r="B742" s="29"/>
      <c r="C742" s="29"/>
      <c r="D742" s="40">
        <v>1.0</v>
      </c>
      <c r="E742" s="31">
        <v>18.0</v>
      </c>
      <c r="F742" s="42">
        <v>55.0</v>
      </c>
      <c r="G742" s="29" t="str">
        <f t="shared" si="1"/>
        <v>18055</v>
      </c>
      <c r="H742" s="37" t="s">
        <v>138</v>
      </c>
      <c r="I742" s="37" t="s">
        <v>49</v>
      </c>
      <c r="J742" s="37" t="s">
        <v>430</v>
      </c>
      <c r="K742" s="37" t="str">
        <f t="shared" si="15"/>
        <v>Greene, IN</v>
      </c>
      <c r="L742" s="24"/>
    </row>
    <row r="743">
      <c r="A743" s="28">
        <v>742.0</v>
      </c>
      <c r="B743" s="29"/>
      <c r="C743" s="29"/>
      <c r="D743" s="40">
        <v>1.0</v>
      </c>
      <c r="E743" s="31">
        <v>18.0</v>
      </c>
      <c r="F743" s="42">
        <v>57.0</v>
      </c>
      <c r="G743" s="29" t="str">
        <f t="shared" si="1"/>
        <v>18057</v>
      </c>
      <c r="H743" s="37" t="s">
        <v>497</v>
      </c>
      <c r="I743" s="37" t="s">
        <v>49</v>
      </c>
      <c r="J743" s="37" t="s">
        <v>430</v>
      </c>
      <c r="K743" s="37" t="str">
        <f t="shared" si="15"/>
        <v>Hamilton, IN</v>
      </c>
      <c r="L743" s="24"/>
    </row>
    <row r="744">
      <c r="A744" s="28">
        <v>743.0</v>
      </c>
      <c r="B744" s="29"/>
      <c r="C744" s="29"/>
      <c r="D744" s="40">
        <v>1.0</v>
      </c>
      <c r="E744" s="31">
        <v>18.0</v>
      </c>
      <c r="F744" s="42">
        <v>59.0</v>
      </c>
      <c r="G744" s="29" t="str">
        <f t="shared" si="1"/>
        <v>18059</v>
      </c>
      <c r="H744" s="37" t="s">
        <v>587</v>
      </c>
      <c r="I744" s="37" t="s">
        <v>49</v>
      </c>
      <c r="J744" s="37" t="s">
        <v>430</v>
      </c>
      <c r="K744" s="37" t="str">
        <f t="shared" si="15"/>
        <v>Hancock, IN</v>
      </c>
      <c r="L744" s="24"/>
    </row>
    <row r="745">
      <c r="A745" s="28">
        <v>744.0</v>
      </c>
      <c r="B745" s="29"/>
      <c r="C745" s="29"/>
      <c r="D745" s="40">
        <v>1.0</v>
      </c>
      <c r="E745" s="31">
        <v>18.0</v>
      </c>
      <c r="F745" s="42">
        <v>61.0</v>
      </c>
      <c r="G745" s="29" t="str">
        <f t="shared" si="1"/>
        <v>18061</v>
      </c>
      <c r="H745" s="37" t="s">
        <v>775</v>
      </c>
      <c r="I745" s="37" t="s">
        <v>49</v>
      </c>
      <c r="J745" s="37" t="s">
        <v>430</v>
      </c>
      <c r="K745" s="37" t="str">
        <f t="shared" si="15"/>
        <v>Harrison, IN</v>
      </c>
      <c r="L745" s="24"/>
    </row>
    <row r="746">
      <c r="A746" s="28">
        <v>745.0</v>
      </c>
      <c r="B746" s="29"/>
      <c r="C746" s="29"/>
      <c r="D746" s="40">
        <v>1.0</v>
      </c>
      <c r="E746" s="31">
        <v>18.0</v>
      </c>
      <c r="F746" s="42">
        <v>63.0</v>
      </c>
      <c r="G746" s="29" t="str">
        <f t="shared" si="1"/>
        <v>18063</v>
      </c>
      <c r="H746" s="37" t="s">
        <v>778</v>
      </c>
      <c r="I746" s="37" t="s">
        <v>49</v>
      </c>
      <c r="J746" s="37" t="s">
        <v>430</v>
      </c>
      <c r="K746" s="37" t="str">
        <f t="shared" si="15"/>
        <v>Hendricks, IN</v>
      </c>
      <c r="L746" s="24"/>
    </row>
    <row r="747">
      <c r="A747" s="28">
        <v>746.0</v>
      </c>
      <c r="B747" s="29"/>
      <c r="C747" s="29"/>
      <c r="D747" s="40">
        <v>1.0</v>
      </c>
      <c r="E747" s="31">
        <v>18.0</v>
      </c>
      <c r="F747" s="42">
        <v>65.0</v>
      </c>
      <c r="G747" s="29" t="str">
        <f t="shared" si="1"/>
        <v>18065</v>
      </c>
      <c r="H747" s="37" t="s">
        <v>140</v>
      </c>
      <c r="I747" s="37" t="s">
        <v>49</v>
      </c>
      <c r="J747" s="37" t="s">
        <v>430</v>
      </c>
      <c r="K747" s="37" t="str">
        <f t="shared" si="15"/>
        <v>Henry, IN</v>
      </c>
      <c r="L747" s="24"/>
    </row>
    <row r="748">
      <c r="A748" s="28">
        <v>747.0</v>
      </c>
      <c r="B748" s="29"/>
      <c r="C748" s="29"/>
      <c r="D748" s="40">
        <v>1.0</v>
      </c>
      <c r="E748" s="31">
        <v>18.0</v>
      </c>
      <c r="F748" s="42">
        <v>67.0</v>
      </c>
      <c r="G748" s="29" t="str">
        <f t="shared" si="1"/>
        <v>18067</v>
      </c>
      <c r="H748" s="37" t="s">
        <v>283</v>
      </c>
      <c r="I748" s="37" t="s">
        <v>49</v>
      </c>
      <c r="J748" s="37" t="s">
        <v>430</v>
      </c>
      <c r="K748" s="37" t="str">
        <f t="shared" si="15"/>
        <v>Howard, IN</v>
      </c>
      <c r="L748" s="24"/>
    </row>
    <row r="749">
      <c r="A749" s="28">
        <v>748.0</v>
      </c>
      <c r="B749" s="29"/>
      <c r="C749" s="29"/>
      <c r="D749" s="40">
        <v>1.0</v>
      </c>
      <c r="E749" s="31">
        <v>18.0</v>
      </c>
      <c r="F749" s="42">
        <v>69.0</v>
      </c>
      <c r="G749" s="29" t="str">
        <f t="shared" si="1"/>
        <v>18069</v>
      </c>
      <c r="H749" s="37" t="s">
        <v>785</v>
      </c>
      <c r="I749" s="37" t="s">
        <v>49</v>
      </c>
      <c r="J749" s="37" t="s">
        <v>430</v>
      </c>
      <c r="K749" s="37" t="str">
        <f t="shared" si="15"/>
        <v>Huntington, IN</v>
      </c>
      <c r="L749" s="24"/>
    </row>
    <row r="750">
      <c r="A750" s="28">
        <v>749.0</v>
      </c>
      <c r="B750" s="29"/>
      <c r="C750" s="29"/>
      <c r="D750" s="40">
        <v>1.0</v>
      </c>
      <c r="E750" s="31">
        <v>18.0</v>
      </c>
      <c r="F750" s="42">
        <v>71.0</v>
      </c>
      <c r="G750" s="29" t="str">
        <f t="shared" si="1"/>
        <v>18071</v>
      </c>
      <c r="H750" s="37" t="s">
        <v>142</v>
      </c>
      <c r="I750" s="37" t="s">
        <v>49</v>
      </c>
      <c r="J750" s="37" t="s">
        <v>430</v>
      </c>
      <c r="K750" s="37" t="str">
        <f t="shared" si="15"/>
        <v>Jackson, IN</v>
      </c>
      <c r="L750" s="24"/>
    </row>
    <row r="751">
      <c r="A751" s="28">
        <v>750.0</v>
      </c>
      <c r="B751" s="29"/>
      <c r="C751" s="29"/>
      <c r="D751" s="40">
        <v>1.0</v>
      </c>
      <c r="E751" s="31">
        <v>18.0</v>
      </c>
      <c r="F751" s="42">
        <v>73.0</v>
      </c>
      <c r="G751" s="29" t="str">
        <f t="shared" si="1"/>
        <v>18073</v>
      </c>
      <c r="H751" s="37" t="s">
        <v>593</v>
      </c>
      <c r="I751" s="37" t="s">
        <v>49</v>
      </c>
      <c r="J751" s="37" t="s">
        <v>430</v>
      </c>
      <c r="K751" s="37" t="str">
        <f t="shared" si="15"/>
        <v>Jasper, IN</v>
      </c>
      <c r="L751" s="24"/>
    </row>
    <row r="752">
      <c r="A752" s="28">
        <v>751.0</v>
      </c>
      <c r="B752" s="29"/>
      <c r="C752" s="29"/>
      <c r="D752" s="40">
        <v>1.0</v>
      </c>
      <c r="E752" s="31">
        <v>18.0</v>
      </c>
      <c r="F752" s="42">
        <v>75.0</v>
      </c>
      <c r="G752" s="29" t="str">
        <f t="shared" si="1"/>
        <v>18075</v>
      </c>
      <c r="H752" s="37" t="s">
        <v>786</v>
      </c>
      <c r="I752" s="37" t="s">
        <v>49</v>
      </c>
      <c r="J752" s="37" t="s">
        <v>430</v>
      </c>
      <c r="K752" s="37" t="str">
        <f t="shared" si="15"/>
        <v>Jay, IN</v>
      </c>
      <c r="L752" s="24"/>
    </row>
    <row r="753">
      <c r="A753" s="28">
        <v>752.0</v>
      </c>
      <c r="B753" s="29"/>
      <c r="C753" s="29"/>
      <c r="D753" s="40">
        <v>1.0</v>
      </c>
      <c r="E753" s="31">
        <v>18.0</v>
      </c>
      <c r="F753" s="42">
        <v>77.0</v>
      </c>
      <c r="G753" s="29" t="str">
        <f t="shared" si="1"/>
        <v>18077</v>
      </c>
      <c r="H753" s="37" t="s">
        <v>143</v>
      </c>
      <c r="I753" s="37" t="s">
        <v>49</v>
      </c>
      <c r="J753" s="37" t="s">
        <v>430</v>
      </c>
      <c r="K753" s="37" t="str">
        <f t="shared" si="15"/>
        <v>Jefferson, IN</v>
      </c>
      <c r="L753" s="24"/>
    </row>
    <row r="754">
      <c r="A754" s="28">
        <v>753.0</v>
      </c>
      <c r="B754" s="29"/>
      <c r="C754" s="29"/>
      <c r="D754" s="40">
        <v>1.0</v>
      </c>
      <c r="E754" s="31">
        <v>18.0</v>
      </c>
      <c r="F754" s="42">
        <v>79.0</v>
      </c>
      <c r="G754" s="29" t="str">
        <f t="shared" si="1"/>
        <v>18079</v>
      </c>
      <c r="H754" s="37" t="s">
        <v>787</v>
      </c>
      <c r="I754" s="37" t="s">
        <v>49</v>
      </c>
      <c r="J754" s="37" t="s">
        <v>430</v>
      </c>
      <c r="K754" s="37" t="str">
        <f t="shared" si="15"/>
        <v>Jennings, IN</v>
      </c>
      <c r="L754" s="24"/>
    </row>
    <row r="755">
      <c r="A755" s="28">
        <v>754.0</v>
      </c>
      <c r="B755" s="29"/>
      <c r="C755" s="29"/>
      <c r="D755" s="40">
        <v>1.0</v>
      </c>
      <c r="E755" s="31">
        <v>18.0</v>
      </c>
      <c r="F755" s="42">
        <v>81.0</v>
      </c>
      <c r="G755" s="29" t="str">
        <f t="shared" si="1"/>
        <v>18081</v>
      </c>
      <c r="H755" s="37" t="s">
        <v>288</v>
      </c>
      <c r="I755" s="37" t="s">
        <v>49</v>
      </c>
      <c r="J755" s="37" t="s">
        <v>430</v>
      </c>
      <c r="K755" s="37" t="str">
        <f t="shared" si="15"/>
        <v>Johnson, IN</v>
      </c>
      <c r="L755" s="24"/>
    </row>
    <row r="756">
      <c r="A756" s="28">
        <v>755.0</v>
      </c>
      <c r="B756" s="29"/>
      <c r="C756" s="29"/>
      <c r="D756" s="40">
        <v>1.0</v>
      </c>
      <c r="E756" s="31">
        <v>18.0</v>
      </c>
      <c r="F756" s="42">
        <v>83.0</v>
      </c>
      <c r="G756" s="29" t="str">
        <f t="shared" si="1"/>
        <v>18083</v>
      </c>
      <c r="H756" s="37" t="s">
        <v>728</v>
      </c>
      <c r="I756" s="37" t="s">
        <v>49</v>
      </c>
      <c r="J756" s="37" t="s">
        <v>430</v>
      </c>
      <c r="K756" s="37" t="str">
        <f t="shared" si="15"/>
        <v>Knox, IN</v>
      </c>
      <c r="L756" s="24"/>
    </row>
    <row r="757">
      <c r="A757" s="28">
        <v>756.0</v>
      </c>
      <c r="B757" s="29"/>
      <c r="C757" s="29"/>
      <c r="D757" s="40">
        <v>1.0</v>
      </c>
      <c r="E757" s="31">
        <v>18.0</v>
      </c>
      <c r="F757" s="42">
        <v>85.0</v>
      </c>
      <c r="G757" s="29" t="str">
        <f t="shared" si="1"/>
        <v>18085</v>
      </c>
      <c r="H757" s="37" t="s">
        <v>788</v>
      </c>
      <c r="I757" s="37" t="s">
        <v>49</v>
      </c>
      <c r="J757" s="37" t="s">
        <v>430</v>
      </c>
      <c r="K757" s="37" t="str">
        <f t="shared" si="15"/>
        <v>Kosciusko, IN</v>
      </c>
      <c r="L757" s="24"/>
    </row>
    <row r="758">
      <c r="A758" s="28">
        <v>757.0</v>
      </c>
      <c r="B758" s="29"/>
      <c r="C758" s="29"/>
      <c r="D758" s="40">
        <v>1.0</v>
      </c>
      <c r="E758" s="31">
        <v>18.0</v>
      </c>
      <c r="F758" s="42">
        <v>87.0</v>
      </c>
      <c r="G758" s="29" t="str">
        <f t="shared" si="1"/>
        <v>18087</v>
      </c>
      <c r="H758" s="37" t="s">
        <v>789</v>
      </c>
      <c r="I758" s="37" t="s">
        <v>49</v>
      </c>
      <c r="J758" s="37" t="s">
        <v>430</v>
      </c>
      <c r="K758" s="37" t="str">
        <f t="shared" si="15"/>
        <v>Lagrange, IN</v>
      </c>
      <c r="L758" s="24"/>
    </row>
    <row r="759">
      <c r="A759" s="28">
        <v>758.0</v>
      </c>
      <c r="B759" s="29"/>
      <c r="C759" s="29"/>
      <c r="D759" s="40">
        <v>1.0</v>
      </c>
      <c r="E759" s="31">
        <v>18.0</v>
      </c>
      <c r="F759" s="42">
        <v>89.0</v>
      </c>
      <c r="G759" s="29" t="str">
        <f t="shared" si="1"/>
        <v>18089</v>
      </c>
      <c r="H759" s="37" t="s">
        <v>337</v>
      </c>
      <c r="I759" s="37" t="s">
        <v>49</v>
      </c>
      <c r="J759" s="37" t="s">
        <v>430</v>
      </c>
      <c r="K759" s="37" t="str">
        <f t="shared" si="15"/>
        <v>Lake, IN</v>
      </c>
      <c r="L759" s="24"/>
    </row>
    <row r="760">
      <c r="A760" s="28">
        <v>759.0</v>
      </c>
      <c r="B760" s="29"/>
      <c r="C760" s="29"/>
      <c r="D760" s="40">
        <v>1.0</v>
      </c>
      <c r="E760" s="31">
        <v>18.0</v>
      </c>
      <c r="F760" s="42">
        <v>91.0</v>
      </c>
      <c r="G760" s="29" t="str">
        <f t="shared" si="1"/>
        <v>18091</v>
      </c>
      <c r="H760" s="37" t="s">
        <v>790</v>
      </c>
      <c r="I760" s="37" t="s">
        <v>49</v>
      </c>
      <c r="J760" s="37" t="s">
        <v>430</v>
      </c>
      <c r="K760" s="37" t="str">
        <f t="shared" si="15"/>
        <v>La Porte, IN</v>
      </c>
      <c r="L760" s="24"/>
    </row>
    <row r="761">
      <c r="A761" s="28">
        <v>760.0</v>
      </c>
      <c r="B761" s="29"/>
      <c r="C761" s="29"/>
      <c r="D761" s="40">
        <v>1.0</v>
      </c>
      <c r="E761" s="31">
        <v>18.0</v>
      </c>
      <c r="F761" s="42">
        <v>93.0</v>
      </c>
      <c r="G761" s="29" t="str">
        <f t="shared" si="1"/>
        <v>18093</v>
      </c>
      <c r="H761" s="37" t="s">
        <v>146</v>
      </c>
      <c r="I761" s="37" t="s">
        <v>49</v>
      </c>
      <c r="J761" s="37" t="s">
        <v>430</v>
      </c>
      <c r="K761" s="37" t="str">
        <f t="shared" si="15"/>
        <v>Lawrence, IN</v>
      </c>
      <c r="L761" s="24"/>
    </row>
    <row r="762">
      <c r="A762" s="28">
        <v>761.0</v>
      </c>
      <c r="B762" s="29"/>
      <c r="C762" s="29"/>
      <c r="D762" s="40">
        <v>1.0</v>
      </c>
      <c r="E762" s="31">
        <v>18.0</v>
      </c>
      <c r="F762" s="42">
        <v>95.0</v>
      </c>
      <c r="G762" s="29" t="str">
        <f t="shared" si="1"/>
        <v>18095</v>
      </c>
      <c r="H762" s="37" t="s">
        <v>151</v>
      </c>
      <c r="I762" s="37" t="s">
        <v>49</v>
      </c>
      <c r="J762" s="37" t="s">
        <v>430</v>
      </c>
      <c r="K762" s="37" t="str">
        <f t="shared" si="15"/>
        <v>Madison, IN</v>
      </c>
      <c r="L762" s="24"/>
    </row>
    <row r="763">
      <c r="A763" s="28">
        <v>762.0</v>
      </c>
      <c r="B763" s="29"/>
      <c r="C763" s="29"/>
      <c r="D763" s="40">
        <v>1.0</v>
      </c>
      <c r="E763" s="31">
        <v>18.0</v>
      </c>
      <c r="F763" s="42">
        <v>97.0</v>
      </c>
      <c r="G763" s="29" t="str">
        <f t="shared" si="1"/>
        <v>18097</v>
      </c>
      <c r="H763" s="37" t="s">
        <v>153</v>
      </c>
      <c r="I763" s="37" t="s">
        <v>49</v>
      </c>
      <c r="J763" s="37" t="s">
        <v>430</v>
      </c>
      <c r="K763" s="37" t="str">
        <f t="shared" si="15"/>
        <v>Marion, IN</v>
      </c>
      <c r="L763" s="24"/>
    </row>
    <row r="764">
      <c r="A764" s="28">
        <v>763.0</v>
      </c>
      <c r="B764" s="29"/>
      <c r="C764" s="29"/>
      <c r="D764" s="40">
        <v>1.0</v>
      </c>
      <c r="E764" s="31">
        <v>18.0</v>
      </c>
      <c r="F764" s="42">
        <v>99.0</v>
      </c>
      <c r="G764" s="29" t="str">
        <f t="shared" si="1"/>
        <v>18099</v>
      </c>
      <c r="H764" s="37" t="s">
        <v>154</v>
      </c>
      <c r="I764" s="37" t="s">
        <v>49</v>
      </c>
      <c r="J764" s="37" t="s">
        <v>430</v>
      </c>
      <c r="K764" s="37" t="str">
        <f t="shared" si="15"/>
        <v>Marshall, IN</v>
      </c>
      <c r="L764" s="24"/>
    </row>
    <row r="765">
      <c r="A765" s="28">
        <v>764.0</v>
      </c>
      <c r="B765" s="29"/>
      <c r="C765" s="29"/>
      <c r="D765" s="40">
        <v>1.0</v>
      </c>
      <c r="E765" s="31">
        <v>18.0</v>
      </c>
      <c r="F765" s="42">
        <v>101.0</v>
      </c>
      <c r="G765" s="29" t="str">
        <f t="shared" si="1"/>
        <v>18101</v>
      </c>
      <c r="H765" s="37" t="s">
        <v>510</v>
      </c>
      <c r="I765" s="37" t="s">
        <v>49</v>
      </c>
      <c r="J765" s="37" t="s">
        <v>430</v>
      </c>
      <c r="K765" s="37" t="str">
        <f t="shared" si="15"/>
        <v>Martin, IN</v>
      </c>
      <c r="L765" s="24"/>
    </row>
    <row r="766">
      <c r="A766" s="28">
        <v>765.0</v>
      </c>
      <c r="B766" s="29"/>
      <c r="C766" s="29"/>
      <c r="D766" s="40">
        <v>1.0</v>
      </c>
      <c r="E766" s="31">
        <v>18.0</v>
      </c>
      <c r="F766" s="42">
        <v>103.0</v>
      </c>
      <c r="G766" s="29" t="str">
        <f t="shared" si="1"/>
        <v>18103</v>
      </c>
      <c r="H766" s="37" t="s">
        <v>791</v>
      </c>
      <c r="I766" s="37" t="s">
        <v>49</v>
      </c>
      <c r="J766" s="37" t="s">
        <v>430</v>
      </c>
      <c r="K766" s="37" t="str">
        <f t="shared" si="15"/>
        <v>Miami, IN</v>
      </c>
      <c r="L766" s="24"/>
    </row>
    <row r="767">
      <c r="A767" s="28">
        <v>766.0</v>
      </c>
      <c r="B767" s="29"/>
      <c r="C767" s="29"/>
      <c r="D767" s="40">
        <v>1.0</v>
      </c>
      <c r="E767" s="31">
        <v>18.0</v>
      </c>
      <c r="F767" s="42">
        <v>105.0</v>
      </c>
      <c r="G767" s="29" t="str">
        <f t="shared" si="1"/>
        <v>18105</v>
      </c>
      <c r="H767" s="37" t="s">
        <v>156</v>
      </c>
      <c r="I767" s="37" t="s">
        <v>49</v>
      </c>
      <c r="J767" s="37" t="s">
        <v>430</v>
      </c>
      <c r="K767" s="37" t="str">
        <f t="shared" si="15"/>
        <v>Monroe, IN</v>
      </c>
      <c r="L767" s="24"/>
    </row>
    <row r="768">
      <c r="A768" s="28">
        <v>767.0</v>
      </c>
      <c r="B768" s="29"/>
      <c r="C768" s="29"/>
      <c r="D768" s="40">
        <v>1.0</v>
      </c>
      <c r="E768" s="31">
        <v>18.0</v>
      </c>
      <c r="F768" s="42">
        <v>107.0</v>
      </c>
      <c r="G768" s="29" t="str">
        <f t="shared" si="1"/>
        <v>18107</v>
      </c>
      <c r="H768" s="37" t="s">
        <v>157</v>
      </c>
      <c r="I768" s="37" t="s">
        <v>49</v>
      </c>
      <c r="J768" s="37" t="s">
        <v>430</v>
      </c>
      <c r="K768" s="37" t="str">
        <f t="shared" si="15"/>
        <v>Montgomery, IN</v>
      </c>
      <c r="L768" s="24"/>
    </row>
    <row r="769">
      <c r="A769" s="28">
        <v>768.0</v>
      </c>
      <c r="B769" s="29"/>
      <c r="C769" s="29"/>
      <c r="D769" s="40">
        <v>1.0</v>
      </c>
      <c r="E769" s="31">
        <v>18.0</v>
      </c>
      <c r="F769" s="42">
        <v>109.0</v>
      </c>
      <c r="G769" s="29" t="str">
        <f t="shared" si="1"/>
        <v>18109</v>
      </c>
      <c r="H769" s="37" t="s">
        <v>158</v>
      </c>
      <c r="I769" s="37" t="s">
        <v>49</v>
      </c>
      <c r="J769" s="37" t="s">
        <v>430</v>
      </c>
      <c r="K769" s="37" t="str">
        <f t="shared" si="15"/>
        <v>Morgan, IN</v>
      </c>
      <c r="L769" s="24"/>
    </row>
    <row r="770">
      <c r="A770" s="28">
        <v>769.0</v>
      </c>
      <c r="B770" s="29"/>
      <c r="C770" s="29"/>
      <c r="D770" s="40">
        <v>1.0</v>
      </c>
      <c r="E770" s="31">
        <v>18.0</v>
      </c>
      <c r="F770" s="42">
        <v>111.0</v>
      </c>
      <c r="G770" s="29" t="str">
        <f t="shared" si="1"/>
        <v>18111</v>
      </c>
      <c r="H770" s="37" t="s">
        <v>297</v>
      </c>
      <c r="I770" s="37" t="s">
        <v>49</v>
      </c>
      <c r="J770" s="37" t="s">
        <v>430</v>
      </c>
      <c r="K770" s="37" t="str">
        <f t="shared" si="15"/>
        <v>Newton, IN</v>
      </c>
      <c r="L770" s="24"/>
    </row>
    <row r="771">
      <c r="A771" s="28">
        <v>770.0</v>
      </c>
      <c r="B771" s="29"/>
      <c r="C771" s="29"/>
      <c r="D771" s="40">
        <v>1.0</v>
      </c>
      <c r="E771" s="31">
        <v>18.0</v>
      </c>
      <c r="F771" s="42">
        <v>113.0</v>
      </c>
      <c r="G771" s="29" t="str">
        <f t="shared" si="1"/>
        <v>18113</v>
      </c>
      <c r="H771" s="37" t="s">
        <v>793</v>
      </c>
      <c r="I771" s="37" t="s">
        <v>49</v>
      </c>
      <c r="J771" s="37" t="s">
        <v>430</v>
      </c>
      <c r="K771" s="37" t="str">
        <f t="shared" si="15"/>
        <v>Noble, IN</v>
      </c>
      <c r="L771" s="24"/>
    </row>
    <row r="772">
      <c r="A772" s="28">
        <v>771.0</v>
      </c>
      <c r="B772" s="29"/>
      <c r="C772" s="29"/>
      <c r="D772" s="40">
        <v>1.0</v>
      </c>
      <c r="E772" s="31">
        <v>18.0</v>
      </c>
      <c r="F772" s="42">
        <v>115.0</v>
      </c>
      <c r="G772" s="29" t="str">
        <f t="shared" si="1"/>
        <v>18115</v>
      </c>
      <c r="H772" s="37" t="s">
        <v>100</v>
      </c>
      <c r="I772" s="37" t="s">
        <v>49</v>
      </c>
      <c r="J772" s="37" t="s">
        <v>430</v>
      </c>
      <c r="K772" s="37" t="str">
        <f t="shared" si="15"/>
        <v>Ohio, IN</v>
      </c>
      <c r="L772" s="24"/>
    </row>
    <row r="773">
      <c r="A773" s="28">
        <v>772.0</v>
      </c>
      <c r="B773" s="29"/>
      <c r="C773" s="29"/>
      <c r="D773" s="40">
        <v>1.0</v>
      </c>
      <c r="E773" s="31">
        <v>18.0</v>
      </c>
      <c r="F773" s="42">
        <v>117.0</v>
      </c>
      <c r="G773" s="29" t="str">
        <f t="shared" si="1"/>
        <v>18117</v>
      </c>
      <c r="H773" s="37" t="s">
        <v>241</v>
      </c>
      <c r="I773" s="37" t="s">
        <v>49</v>
      </c>
      <c r="J773" s="37" t="s">
        <v>430</v>
      </c>
      <c r="K773" s="37" t="str">
        <f t="shared" si="15"/>
        <v>Orange, IN</v>
      </c>
      <c r="L773" s="24"/>
    </row>
    <row r="774">
      <c r="A774" s="28">
        <v>773.0</v>
      </c>
      <c r="B774" s="29"/>
      <c r="C774" s="29"/>
      <c r="D774" s="40">
        <v>1.0</v>
      </c>
      <c r="E774" s="31">
        <v>18.0</v>
      </c>
      <c r="F774" s="42">
        <v>119.0</v>
      </c>
      <c r="G774" s="29" t="str">
        <f t="shared" si="1"/>
        <v>18119</v>
      </c>
      <c r="H774" s="37" t="s">
        <v>802</v>
      </c>
      <c r="I774" s="37" t="s">
        <v>49</v>
      </c>
      <c r="J774" s="37" t="s">
        <v>430</v>
      </c>
      <c r="K774" s="37" t="str">
        <f t="shared" si="15"/>
        <v>Owen, IN</v>
      </c>
      <c r="L774" s="24"/>
    </row>
    <row r="775">
      <c r="A775" s="28">
        <v>774.0</v>
      </c>
      <c r="B775" s="29"/>
      <c r="C775" s="29"/>
      <c r="D775" s="40">
        <v>1.0</v>
      </c>
      <c r="E775" s="31">
        <v>18.0</v>
      </c>
      <c r="F775" s="42">
        <v>121.0</v>
      </c>
      <c r="G775" s="29" t="str">
        <f t="shared" si="1"/>
        <v>18121</v>
      </c>
      <c r="H775" s="37" t="s">
        <v>807</v>
      </c>
      <c r="I775" s="37" t="s">
        <v>49</v>
      </c>
      <c r="J775" s="37" t="s">
        <v>430</v>
      </c>
      <c r="K775" s="37" t="str">
        <f t="shared" si="15"/>
        <v>Parke, IN</v>
      </c>
      <c r="L775" s="24"/>
    </row>
    <row r="776">
      <c r="A776" s="28">
        <v>775.0</v>
      </c>
      <c r="B776" s="29"/>
      <c r="C776" s="29"/>
      <c r="D776" s="40">
        <v>1.0</v>
      </c>
      <c r="E776" s="31">
        <v>18.0</v>
      </c>
      <c r="F776" s="42">
        <v>123.0</v>
      </c>
      <c r="G776" s="29" t="str">
        <f t="shared" si="1"/>
        <v>18123</v>
      </c>
      <c r="H776" s="37" t="s">
        <v>159</v>
      </c>
      <c r="I776" s="37" t="s">
        <v>49</v>
      </c>
      <c r="J776" s="37" t="s">
        <v>430</v>
      </c>
      <c r="K776" s="37" t="str">
        <f t="shared" si="15"/>
        <v>Perry, IN</v>
      </c>
      <c r="L776" s="24"/>
    </row>
    <row r="777">
      <c r="A777" s="28">
        <v>776.0</v>
      </c>
      <c r="B777" s="29"/>
      <c r="C777" s="29"/>
      <c r="D777" s="40">
        <v>1.0</v>
      </c>
      <c r="E777" s="31">
        <v>18.0</v>
      </c>
      <c r="F777" s="42">
        <v>125.0</v>
      </c>
      <c r="G777" s="29" t="str">
        <f t="shared" si="1"/>
        <v>18125</v>
      </c>
      <c r="H777" s="37" t="s">
        <v>162</v>
      </c>
      <c r="I777" s="37" t="s">
        <v>49</v>
      </c>
      <c r="J777" s="37" t="s">
        <v>430</v>
      </c>
      <c r="K777" s="37" t="str">
        <f t="shared" si="15"/>
        <v>Pike, IN</v>
      </c>
      <c r="L777" s="24"/>
    </row>
    <row r="778">
      <c r="A778" s="28">
        <v>777.0</v>
      </c>
      <c r="B778" s="29"/>
      <c r="C778" s="29"/>
      <c r="D778" s="40">
        <v>1.0</v>
      </c>
      <c r="E778" s="31">
        <v>18.0</v>
      </c>
      <c r="F778" s="42">
        <v>127.0</v>
      </c>
      <c r="G778" s="29" t="str">
        <f t="shared" si="1"/>
        <v>18127</v>
      </c>
      <c r="H778" s="37" t="s">
        <v>819</v>
      </c>
      <c r="I778" s="37" t="s">
        <v>49</v>
      </c>
      <c r="J778" s="37" t="s">
        <v>430</v>
      </c>
      <c r="K778" s="37" t="str">
        <f t="shared" si="15"/>
        <v>Porter, IN</v>
      </c>
      <c r="L778" s="24"/>
    </row>
    <row r="779">
      <c r="A779" s="28">
        <v>778.0</v>
      </c>
      <c r="B779" s="29"/>
      <c r="C779" s="29"/>
      <c r="D779" s="40">
        <v>1.0</v>
      </c>
      <c r="E779" s="31">
        <v>18.0</v>
      </c>
      <c r="F779" s="42">
        <v>129.0</v>
      </c>
      <c r="G779" s="29" t="str">
        <f t="shared" si="1"/>
        <v>18129</v>
      </c>
      <c r="H779" s="37" t="s">
        <v>823</v>
      </c>
      <c r="I779" s="37" t="s">
        <v>49</v>
      </c>
      <c r="J779" s="37" t="s">
        <v>430</v>
      </c>
      <c r="K779" s="37" t="str">
        <f t="shared" si="15"/>
        <v>Posey, IN</v>
      </c>
      <c r="L779" s="24"/>
    </row>
    <row r="780">
      <c r="A780" s="28">
        <v>779.0</v>
      </c>
      <c r="B780" s="29"/>
      <c r="C780" s="29"/>
      <c r="D780" s="40">
        <v>1.0</v>
      </c>
      <c r="E780" s="31">
        <v>18.0</v>
      </c>
      <c r="F780" s="42">
        <v>131.0</v>
      </c>
      <c r="G780" s="29" t="str">
        <f t="shared" si="1"/>
        <v>18131</v>
      </c>
      <c r="H780" s="37" t="s">
        <v>305</v>
      </c>
      <c r="I780" s="37" t="s">
        <v>49</v>
      </c>
      <c r="J780" s="37" t="s">
        <v>430</v>
      </c>
      <c r="K780" s="37" t="str">
        <f t="shared" si="15"/>
        <v>Pulaski, IN</v>
      </c>
      <c r="L780" s="24"/>
    </row>
    <row r="781">
      <c r="A781" s="28">
        <v>780.0</v>
      </c>
      <c r="B781" s="29"/>
      <c r="C781" s="29"/>
      <c r="D781" s="40">
        <v>1.0</v>
      </c>
      <c r="E781" s="31">
        <v>18.0</v>
      </c>
      <c r="F781" s="42">
        <v>133.0</v>
      </c>
      <c r="G781" s="29" t="str">
        <f t="shared" si="1"/>
        <v>18133</v>
      </c>
      <c r="H781" s="37" t="s">
        <v>518</v>
      </c>
      <c r="I781" s="37" t="s">
        <v>49</v>
      </c>
      <c r="J781" s="37" t="s">
        <v>430</v>
      </c>
      <c r="K781" s="37" t="str">
        <f t="shared" si="15"/>
        <v>Putnam, IN</v>
      </c>
      <c r="L781" s="24"/>
    </row>
    <row r="782">
      <c r="A782" s="28">
        <v>781.0</v>
      </c>
      <c r="B782" s="29"/>
      <c r="C782" s="29"/>
      <c r="D782" s="40">
        <v>1.0</v>
      </c>
      <c r="E782" s="31">
        <v>18.0</v>
      </c>
      <c r="F782" s="42">
        <v>135.0</v>
      </c>
      <c r="G782" s="29" t="str">
        <f t="shared" si="1"/>
        <v>18135</v>
      </c>
      <c r="H782" s="37" t="s">
        <v>163</v>
      </c>
      <c r="I782" s="37" t="s">
        <v>49</v>
      </c>
      <c r="J782" s="37" t="s">
        <v>430</v>
      </c>
      <c r="K782" s="37" t="str">
        <f t="shared" si="15"/>
        <v>Randolph, IN</v>
      </c>
      <c r="L782" s="24"/>
    </row>
    <row r="783">
      <c r="A783" s="28">
        <v>782.0</v>
      </c>
      <c r="B783" s="29"/>
      <c r="C783" s="29"/>
      <c r="D783" s="40">
        <v>1.0</v>
      </c>
      <c r="E783" s="31">
        <v>18.0</v>
      </c>
      <c r="F783" s="42">
        <v>137.0</v>
      </c>
      <c r="G783" s="29" t="str">
        <f t="shared" si="1"/>
        <v>18137</v>
      </c>
      <c r="H783" s="37" t="s">
        <v>839</v>
      </c>
      <c r="I783" s="37" t="s">
        <v>49</v>
      </c>
      <c r="J783" s="37" t="s">
        <v>430</v>
      </c>
      <c r="K783" s="37" t="str">
        <f t="shared" si="15"/>
        <v>Ripley, IN</v>
      </c>
      <c r="L783" s="24"/>
    </row>
    <row r="784">
      <c r="A784" s="28">
        <v>783.0</v>
      </c>
      <c r="B784" s="29"/>
      <c r="C784" s="29"/>
      <c r="D784" s="40">
        <v>1.0</v>
      </c>
      <c r="E784" s="31">
        <v>18.0</v>
      </c>
      <c r="F784" s="42">
        <v>139.0</v>
      </c>
      <c r="G784" s="29" t="str">
        <f t="shared" si="1"/>
        <v>18139</v>
      </c>
      <c r="H784" s="37" t="s">
        <v>842</v>
      </c>
      <c r="I784" s="37" t="s">
        <v>49</v>
      </c>
      <c r="J784" s="37" t="s">
        <v>430</v>
      </c>
      <c r="K784" s="37" t="str">
        <f t="shared" si="15"/>
        <v>Rush, IN</v>
      </c>
      <c r="L784" s="24"/>
    </row>
    <row r="785">
      <c r="A785" s="28">
        <v>784.0</v>
      </c>
      <c r="B785" s="29"/>
      <c r="C785" s="29"/>
      <c r="D785" s="40">
        <v>1.0</v>
      </c>
      <c r="E785" s="31">
        <v>18.0</v>
      </c>
      <c r="F785" s="42">
        <v>141.0</v>
      </c>
      <c r="G785" s="29" t="str">
        <f t="shared" si="1"/>
        <v>18141</v>
      </c>
      <c r="H785" s="37" t="s">
        <v>847</v>
      </c>
      <c r="I785" s="37" t="s">
        <v>49</v>
      </c>
      <c r="J785" s="37" t="s">
        <v>430</v>
      </c>
      <c r="K785" s="37" t="str">
        <f t="shared" si="15"/>
        <v>St Joseph, IN</v>
      </c>
      <c r="L785" s="24"/>
    </row>
    <row r="786">
      <c r="A786" s="28">
        <v>785.0</v>
      </c>
      <c r="B786" s="29"/>
      <c r="C786" s="29"/>
      <c r="D786" s="40">
        <v>1.0</v>
      </c>
      <c r="E786" s="31">
        <v>18.0</v>
      </c>
      <c r="F786" s="42">
        <v>143.0</v>
      </c>
      <c r="G786" s="29" t="str">
        <f t="shared" si="1"/>
        <v>18143</v>
      </c>
      <c r="H786" s="37" t="s">
        <v>309</v>
      </c>
      <c r="I786" s="37" t="s">
        <v>49</v>
      </c>
      <c r="J786" s="37" t="s">
        <v>430</v>
      </c>
      <c r="K786" s="37" t="str">
        <f t="shared" si="15"/>
        <v>Scott, IN</v>
      </c>
      <c r="L786" s="24"/>
    </row>
    <row r="787">
      <c r="A787" s="28">
        <v>786.0</v>
      </c>
      <c r="B787" s="29"/>
      <c r="C787" s="29"/>
      <c r="D787" s="40">
        <v>1.0</v>
      </c>
      <c r="E787" s="31">
        <v>18.0</v>
      </c>
      <c r="F787" s="42">
        <v>145.0</v>
      </c>
      <c r="G787" s="29" t="str">
        <f t="shared" si="1"/>
        <v>18145</v>
      </c>
      <c r="H787" s="37" t="s">
        <v>168</v>
      </c>
      <c r="I787" s="37" t="s">
        <v>49</v>
      </c>
      <c r="J787" s="37" t="s">
        <v>430</v>
      </c>
      <c r="K787" s="37" t="str">
        <f t="shared" si="15"/>
        <v>Shelby, IN</v>
      </c>
      <c r="L787" s="24"/>
    </row>
    <row r="788">
      <c r="A788" s="28">
        <v>787.0</v>
      </c>
      <c r="B788" s="29"/>
      <c r="C788" s="29"/>
      <c r="D788" s="40">
        <v>1.0</v>
      </c>
      <c r="E788" s="31">
        <v>18.0</v>
      </c>
      <c r="F788" s="42">
        <v>147.0</v>
      </c>
      <c r="G788" s="29" t="str">
        <f t="shared" si="1"/>
        <v>18147</v>
      </c>
      <c r="H788" s="37" t="s">
        <v>854</v>
      </c>
      <c r="I788" s="37" t="s">
        <v>49</v>
      </c>
      <c r="J788" s="37" t="s">
        <v>430</v>
      </c>
      <c r="K788" s="37" t="str">
        <f t="shared" si="15"/>
        <v>Spencer, IN</v>
      </c>
      <c r="L788" s="24"/>
    </row>
    <row r="789">
      <c r="A789" s="28">
        <v>788.0</v>
      </c>
      <c r="B789" s="29"/>
      <c r="C789" s="29"/>
      <c r="D789" s="40">
        <v>1.0</v>
      </c>
      <c r="E789" s="31">
        <v>18.0</v>
      </c>
      <c r="F789" s="42">
        <v>149.0</v>
      </c>
      <c r="G789" s="29" t="str">
        <f t="shared" si="1"/>
        <v>18149</v>
      </c>
      <c r="H789" s="37" t="s">
        <v>856</v>
      </c>
      <c r="I789" s="37" t="s">
        <v>49</v>
      </c>
      <c r="J789" s="37" t="s">
        <v>430</v>
      </c>
      <c r="K789" s="37" t="str">
        <f t="shared" si="15"/>
        <v>Starke, IN</v>
      </c>
      <c r="L789" s="24"/>
    </row>
    <row r="790">
      <c r="A790" s="28">
        <v>789.0</v>
      </c>
      <c r="B790" s="29"/>
      <c r="C790" s="29"/>
      <c r="D790" s="40">
        <v>1.0</v>
      </c>
      <c r="E790" s="31">
        <v>18.0</v>
      </c>
      <c r="F790" s="42">
        <v>151.0</v>
      </c>
      <c r="G790" s="29" t="str">
        <f t="shared" si="1"/>
        <v>18151</v>
      </c>
      <c r="H790" s="37" t="s">
        <v>859</v>
      </c>
      <c r="I790" s="37" t="s">
        <v>49</v>
      </c>
      <c r="J790" s="37" t="s">
        <v>430</v>
      </c>
      <c r="K790" s="37" t="str">
        <f t="shared" si="15"/>
        <v>Steuben, IN</v>
      </c>
      <c r="L790" s="24"/>
    </row>
    <row r="791">
      <c r="A791" s="28">
        <v>790.0</v>
      </c>
      <c r="B791" s="29"/>
      <c r="C791" s="29"/>
      <c r="D791" s="40">
        <v>1.0</v>
      </c>
      <c r="E791" s="31">
        <v>18.0</v>
      </c>
      <c r="F791" s="42">
        <v>153.0</v>
      </c>
      <c r="G791" s="29" t="str">
        <f t="shared" si="1"/>
        <v>18153</v>
      </c>
      <c r="H791" s="37" t="s">
        <v>860</v>
      </c>
      <c r="I791" s="37" t="s">
        <v>49</v>
      </c>
      <c r="J791" s="37" t="s">
        <v>430</v>
      </c>
      <c r="K791" s="37" t="str">
        <f t="shared" si="15"/>
        <v>Sullivan, IN</v>
      </c>
      <c r="L791" s="24"/>
    </row>
    <row r="792">
      <c r="A792" s="28">
        <v>791.0</v>
      </c>
      <c r="B792" s="29"/>
      <c r="C792" s="29"/>
      <c r="D792" s="40">
        <v>1.0</v>
      </c>
      <c r="E792" s="31">
        <v>18.0</v>
      </c>
      <c r="F792" s="42">
        <v>155.0</v>
      </c>
      <c r="G792" s="29" t="str">
        <f t="shared" si="1"/>
        <v>18155</v>
      </c>
      <c r="H792" s="37" t="s">
        <v>862</v>
      </c>
      <c r="I792" s="37" t="s">
        <v>49</v>
      </c>
      <c r="J792" s="37" t="s">
        <v>430</v>
      </c>
      <c r="K792" s="37" t="str">
        <f t="shared" si="15"/>
        <v>Switzerland, IN</v>
      </c>
      <c r="L792" s="24"/>
    </row>
    <row r="793">
      <c r="A793" s="28">
        <v>792.0</v>
      </c>
      <c r="B793" s="29"/>
      <c r="C793" s="29"/>
      <c r="D793" s="40">
        <v>1.0</v>
      </c>
      <c r="E793" s="31">
        <v>18.0</v>
      </c>
      <c r="F793" s="42">
        <v>157.0</v>
      </c>
      <c r="G793" s="29" t="str">
        <f t="shared" si="1"/>
        <v>18157</v>
      </c>
      <c r="H793" s="37" t="s">
        <v>864</v>
      </c>
      <c r="I793" s="37" t="s">
        <v>49</v>
      </c>
      <c r="J793" s="37" t="s">
        <v>430</v>
      </c>
      <c r="K793" s="37" t="str">
        <f t="shared" si="15"/>
        <v>Tippecanoe, IN</v>
      </c>
      <c r="L793" s="24"/>
    </row>
    <row r="794">
      <c r="A794" s="28">
        <v>793.0</v>
      </c>
      <c r="B794" s="29"/>
      <c r="C794" s="29"/>
      <c r="D794" s="40">
        <v>1.0</v>
      </c>
      <c r="E794" s="31">
        <v>18.0</v>
      </c>
      <c r="F794" s="42">
        <v>159.0</v>
      </c>
      <c r="G794" s="29" t="str">
        <f t="shared" si="1"/>
        <v>18159</v>
      </c>
      <c r="H794" s="37" t="s">
        <v>865</v>
      </c>
      <c r="I794" s="37" t="s">
        <v>49</v>
      </c>
      <c r="J794" s="37" t="s">
        <v>430</v>
      </c>
      <c r="K794" s="37" t="str">
        <f t="shared" si="15"/>
        <v>Tipton, IN</v>
      </c>
      <c r="L794" s="24"/>
    </row>
    <row r="795">
      <c r="A795" s="28">
        <v>794.0</v>
      </c>
      <c r="B795" s="29"/>
      <c r="C795" s="29"/>
      <c r="D795" s="40">
        <v>1.0</v>
      </c>
      <c r="E795" s="31">
        <v>18.0</v>
      </c>
      <c r="F795" s="42">
        <v>161.0</v>
      </c>
      <c r="G795" s="29" t="str">
        <f t="shared" si="1"/>
        <v>18161</v>
      </c>
      <c r="H795" s="37" t="s">
        <v>316</v>
      </c>
      <c r="I795" s="37" t="s">
        <v>49</v>
      </c>
      <c r="J795" s="37" t="s">
        <v>430</v>
      </c>
      <c r="K795" s="37" t="str">
        <f t="shared" si="15"/>
        <v>Union, IN</v>
      </c>
      <c r="L795" s="24"/>
    </row>
    <row r="796">
      <c r="A796" s="28">
        <v>795.0</v>
      </c>
      <c r="B796" s="29"/>
      <c r="C796" s="29"/>
      <c r="D796" s="40">
        <v>1.0</v>
      </c>
      <c r="E796" s="31">
        <v>18.0</v>
      </c>
      <c r="F796" s="42">
        <v>163.0</v>
      </c>
      <c r="G796" s="29" t="str">
        <f t="shared" si="1"/>
        <v>18163</v>
      </c>
      <c r="H796" s="37" t="s">
        <v>866</v>
      </c>
      <c r="I796" s="37" t="s">
        <v>49</v>
      </c>
      <c r="J796" s="37" t="s">
        <v>430</v>
      </c>
      <c r="K796" s="37" t="str">
        <f t="shared" si="15"/>
        <v>Vanderburgh, IN</v>
      </c>
      <c r="L796" s="24"/>
    </row>
    <row r="797">
      <c r="A797" s="28">
        <v>796.0</v>
      </c>
      <c r="B797" s="29"/>
      <c r="C797" s="29"/>
      <c r="D797" s="40">
        <v>1.0</v>
      </c>
      <c r="E797" s="31">
        <v>18.0</v>
      </c>
      <c r="F797" s="42">
        <v>165.0</v>
      </c>
      <c r="G797" s="29" t="str">
        <f t="shared" si="1"/>
        <v>18165</v>
      </c>
      <c r="H797" s="37" t="s">
        <v>868</v>
      </c>
      <c r="I797" s="37" t="s">
        <v>49</v>
      </c>
      <c r="J797" s="37" t="s">
        <v>430</v>
      </c>
      <c r="K797" s="37" t="str">
        <f t="shared" si="15"/>
        <v>Vermillion, IN</v>
      </c>
      <c r="L797" s="24"/>
    </row>
    <row r="798">
      <c r="A798" s="28">
        <v>797.0</v>
      </c>
      <c r="B798" s="29"/>
      <c r="C798" s="29"/>
      <c r="D798" s="40">
        <v>1.0</v>
      </c>
      <c r="E798" s="31">
        <v>18.0</v>
      </c>
      <c r="F798" s="42">
        <v>167.0</v>
      </c>
      <c r="G798" s="29" t="str">
        <f t="shared" si="1"/>
        <v>18167</v>
      </c>
      <c r="H798" s="37" t="s">
        <v>870</v>
      </c>
      <c r="I798" s="37" t="s">
        <v>49</v>
      </c>
      <c r="J798" s="37" t="s">
        <v>430</v>
      </c>
      <c r="K798" s="37" t="str">
        <f t="shared" si="15"/>
        <v>Vigo, IN</v>
      </c>
      <c r="L798" s="24"/>
    </row>
    <row r="799">
      <c r="A799" s="28">
        <v>798.0</v>
      </c>
      <c r="B799" s="29"/>
      <c r="C799" s="29"/>
      <c r="D799" s="40">
        <v>1.0</v>
      </c>
      <c r="E799" s="31">
        <v>18.0</v>
      </c>
      <c r="F799" s="42">
        <v>169.0</v>
      </c>
      <c r="G799" s="29" t="str">
        <f t="shared" si="1"/>
        <v>18169</v>
      </c>
      <c r="H799" s="37" t="s">
        <v>751</v>
      </c>
      <c r="I799" s="37" t="s">
        <v>49</v>
      </c>
      <c r="J799" s="37" t="s">
        <v>430</v>
      </c>
      <c r="K799" s="37" t="str">
        <f t="shared" si="15"/>
        <v>Wabash, IN</v>
      </c>
      <c r="L799" s="24"/>
    </row>
    <row r="800">
      <c r="A800" s="28">
        <v>799.0</v>
      </c>
      <c r="B800" s="29"/>
      <c r="C800" s="29"/>
      <c r="D800" s="40">
        <v>1.0</v>
      </c>
      <c r="E800" s="31">
        <v>18.0</v>
      </c>
      <c r="F800" s="42">
        <v>171.0</v>
      </c>
      <c r="G800" s="29" t="str">
        <f t="shared" si="1"/>
        <v>18171</v>
      </c>
      <c r="H800" s="37" t="s">
        <v>647</v>
      </c>
      <c r="I800" s="37" t="s">
        <v>49</v>
      </c>
      <c r="J800" s="37" t="s">
        <v>430</v>
      </c>
      <c r="K800" s="37" t="str">
        <f t="shared" si="15"/>
        <v>Warren, IN</v>
      </c>
      <c r="L800" s="24"/>
    </row>
    <row r="801">
      <c r="A801" s="28">
        <v>800.0</v>
      </c>
      <c r="B801" s="29"/>
      <c r="C801" s="29"/>
      <c r="D801" s="40">
        <v>1.0</v>
      </c>
      <c r="E801" s="31">
        <v>18.0</v>
      </c>
      <c r="F801" s="42">
        <v>173.0</v>
      </c>
      <c r="G801" s="29" t="str">
        <f t="shared" si="1"/>
        <v>18173</v>
      </c>
      <c r="H801" s="37" t="s">
        <v>872</v>
      </c>
      <c r="I801" s="37" t="s">
        <v>49</v>
      </c>
      <c r="J801" s="37" t="s">
        <v>430</v>
      </c>
      <c r="K801" s="37" t="str">
        <f t="shared" si="15"/>
        <v>Warrick, IN</v>
      </c>
      <c r="L801" s="24"/>
    </row>
    <row r="802">
      <c r="A802" s="28">
        <v>801.0</v>
      </c>
      <c r="B802" s="29"/>
      <c r="C802" s="29"/>
      <c r="D802" s="40">
        <v>1.0</v>
      </c>
      <c r="E802" s="31">
        <v>18.0</v>
      </c>
      <c r="F802" s="42">
        <v>175.0</v>
      </c>
      <c r="G802" s="29" t="str">
        <f t="shared" si="1"/>
        <v>18175</v>
      </c>
      <c r="H802" s="37" t="s">
        <v>119</v>
      </c>
      <c r="I802" s="37" t="s">
        <v>49</v>
      </c>
      <c r="J802" s="37" t="s">
        <v>430</v>
      </c>
      <c r="K802" s="37" t="str">
        <f t="shared" si="15"/>
        <v>Washington, IN</v>
      </c>
      <c r="L802" s="24"/>
    </row>
    <row r="803">
      <c r="A803" s="28">
        <v>802.0</v>
      </c>
      <c r="B803" s="29"/>
      <c r="C803" s="29"/>
      <c r="D803" s="40">
        <v>1.0</v>
      </c>
      <c r="E803" s="31">
        <v>18.0</v>
      </c>
      <c r="F803" s="42">
        <v>177.0</v>
      </c>
      <c r="G803" s="29" t="str">
        <f t="shared" si="1"/>
        <v>18177</v>
      </c>
      <c r="H803" s="37" t="s">
        <v>273</v>
      </c>
      <c r="I803" s="37" t="s">
        <v>49</v>
      </c>
      <c r="J803" s="37" t="s">
        <v>430</v>
      </c>
      <c r="K803" s="37" t="str">
        <f t="shared" si="15"/>
        <v>Wayne, IN</v>
      </c>
      <c r="L803" s="24"/>
    </row>
    <row r="804">
      <c r="A804" s="28">
        <v>803.0</v>
      </c>
      <c r="B804" s="29"/>
      <c r="C804" s="29"/>
      <c r="D804" s="40">
        <v>1.0</v>
      </c>
      <c r="E804" s="31">
        <v>18.0</v>
      </c>
      <c r="F804" s="42">
        <v>179.0</v>
      </c>
      <c r="G804" s="29" t="str">
        <f t="shared" si="1"/>
        <v>18179</v>
      </c>
      <c r="H804" s="37" t="s">
        <v>876</v>
      </c>
      <c r="I804" s="37" t="s">
        <v>49</v>
      </c>
      <c r="J804" s="37" t="s">
        <v>430</v>
      </c>
      <c r="K804" s="37" t="str">
        <f t="shared" si="15"/>
        <v>Wells, IN</v>
      </c>
      <c r="L804" s="24"/>
    </row>
    <row r="805">
      <c r="A805" s="28">
        <v>804.0</v>
      </c>
      <c r="B805" s="29"/>
      <c r="C805" s="29"/>
      <c r="D805" s="40">
        <v>1.0</v>
      </c>
      <c r="E805" s="31">
        <v>18.0</v>
      </c>
      <c r="F805" s="42">
        <v>181.0</v>
      </c>
      <c r="G805" s="29" t="str">
        <f t="shared" si="1"/>
        <v>18181</v>
      </c>
      <c r="H805" s="37" t="s">
        <v>66</v>
      </c>
      <c r="I805" s="37" t="s">
        <v>49</v>
      </c>
      <c r="J805" s="37" t="s">
        <v>430</v>
      </c>
      <c r="K805" s="37" t="str">
        <f t="shared" si="15"/>
        <v>White, IN</v>
      </c>
      <c r="L805" s="24"/>
    </row>
    <row r="806">
      <c r="A806" s="28">
        <v>805.0</v>
      </c>
      <c r="B806" s="29"/>
      <c r="C806" s="29"/>
      <c r="D806" s="40">
        <v>1.0</v>
      </c>
      <c r="E806" s="31">
        <v>18.0</v>
      </c>
      <c r="F806" s="42">
        <v>183.0</v>
      </c>
      <c r="G806" s="29" t="str">
        <f t="shared" si="1"/>
        <v>18183</v>
      </c>
      <c r="H806" s="37" t="s">
        <v>879</v>
      </c>
      <c r="I806" s="37" t="s">
        <v>49</v>
      </c>
      <c r="J806" s="37" t="s">
        <v>430</v>
      </c>
      <c r="K806" s="37" t="str">
        <f t="shared" si="15"/>
        <v>Whitley, IN</v>
      </c>
      <c r="L806" s="24"/>
    </row>
    <row r="807">
      <c r="A807" s="99">
        <v>806.0</v>
      </c>
      <c r="B807" s="15"/>
      <c r="C807" s="14" t="s">
        <v>25</v>
      </c>
      <c r="D807" s="16"/>
      <c r="E807" s="102">
        <v>19.0</v>
      </c>
      <c r="F807" s="107">
        <v>0.0</v>
      </c>
      <c r="G807" s="15" t="str">
        <f t="shared" si="1"/>
        <v>19000</v>
      </c>
      <c r="H807" s="23"/>
      <c r="I807" s="23" t="s">
        <v>50</v>
      </c>
      <c r="J807" s="23" t="s">
        <v>881</v>
      </c>
      <c r="K807" s="23"/>
      <c r="L807" s="24"/>
    </row>
    <row r="808">
      <c r="A808" s="99">
        <v>807.0</v>
      </c>
      <c r="B808" s="15"/>
      <c r="C808" s="15"/>
      <c r="D808" s="105">
        <v>1.0</v>
      </c>
      <c r="E808" s="102">
        <v>19.0</v>
      </c>
      <c r="F808" s="107">
        <v>1.0</v>
      </c>
      <c r="G808" s="15" t="str">
        <f t="shared" si="1"/>
        <v>19001</v>
      </c>
      <c r="H808" s="23" t="s">
        <v>882</v>
      </c>
      <c r="I808" s="23" t="s">
        <v>50</v>
      </c>
      <c r="J808" s="23" t="s">
        <v>881</v>
      </c>
      <c r="K808" s="23" t="str">
        <f t="shared" ref="K808:K906" si="16">CONCATENATE(H808,", ",J808)</f>
        <v>Adair, IA</v>
      </c>
      <c r="L808" s="24"/>
    </row>
    <row r="809">
      <c r="A809" s="99">
        <v>808.0</v>
      </c>
      <c r="B809" s="15"/>
      <c r="C809" s="15"/>
      <c r="D809" s="105">
        <v>1.0</v>
      </c>
      <c r="E809" s="102">
        <v>19.0</v>
      </c>
      <c r="F809" s="107">
        <v>3.0</v>
      </c>
      <c r="G809" s="15" t="str">
        <f t="shared" si="1"/>
        <v>19003</v>
      </c>
      <c r="H809" s="23" t="s">
        <v>386</v>
      </c>
      <c r="I809" s="23" t="s">
        <v>50</v>
      </c>
      <c r="J809" s="23" t="s">
        <v>881</v>
      </c>
      <c r="K809" s="23" t="str">
        <f t="shared" si="16"/>
        <v>Adams, IA</v>
      </c>
      <c r="L809" s="24"/>
    </row>
    <row r="810">
      <c r="A810" s="99">
        <v>809.0</v>
      </c>
      <c r="B810" s="15"/>
      <c r="C810" s="15"/>
      <c r="D810" s="105">
        <v>1.0</v>
      </c>
      <c r="E810" s="102">
        <v>19.0</v>
      </c>
      <c r="F810" s="107">
        <v>5.0</v>
      </c>
      <c r="G810" s="15" t="str">
        <f t="shared" si="1"/>
        <v>19005</v>
      </c>
      <c r="H810" s="23" t="s">
        <v>886</v>
      </c>
      <c r="I810" s="23" t="s">
        <v>50</v>
      </c>
      <c r="J810" s="23" t="s">
        <v>881</v>
      </c>
      <c r="K810" s="23" t="str">
        <f t="shared" si="16"/>
        <v>Allamakee, IA</v>
      </c>
      <c r="L810" s="24"/>
    </row>
    <row r="811">
      <c r="A811" s="99">
        <v>810.0</v>
      </c>
      <c r="B811" s="15"/>
      <c r="C811" s="15"/>
      <c r="D811" s="105">
        <v>1.0</v>
      </c>
      <c r="E811" s="102">
        <v>19.0</v>
      </c>
      <c r="F811" s="107">
        <v>7.0</v>
      </c>
      <c r="G811" s="15" t="str">
        <f t="shared" si="1"/>
        <v>19007</v>
      </c>
      <c r="H811" s="23" t="s">
        <v>887</v>
      </c>
      <c r="I811" s="23" t="s">
        <v>50</v>
      </c>
      <c r="J811" s="23" t="s">
        <v>881</v>
      </c>
      <c r="K811" s="23" t="str">
        <f t="shared" si="16"/>
        <v>Appanoose, IA</v>
      </c>
      <c r="L811" s="24"/>
    </row>
    <row r="812">
      <c r="A812" s="99">
        <v>811.0</v>
      </c>
      <c r="B812" s="15"/>
      <c r="C812" s="15"/>
      <c r="D812" s="105">
        <v>1.0</v>
      </c>
      <c r="E812" s="102">
        <v>19.0</v>
      </c>
      <c r="F812" s="107">
        <v>9.0</v>
      </c>
      <c r="G812" s="15" t="str">
        <f t="shared" si="1"/>
        <v>19009</v>
      </c>
      <c r="H812" s="23" t="s">
        <v>888</v>
      </c>
      <c r="I812" s="23" t="s">
        <v>50</v>
      </c>
      <c r="J812" s="23" t="s">
        <v>881</v>
      </c>
      <c r="K812" s="23" t="str">
        <f t="shared" si="16"/>
        <v>Audubon, IA</v>
      </c>
      <c r="L812" s="24"/>
    </row>
    <row r="813">
      <c r="A813" s="99">
        <v>812.0</v>
      </c>
      <c r="B813" s="15"/>
      <c r="C813" s="15"/>
      <c r="D813" s="105">
        <v>1.0</v>
      </c>
      <c r="E813" s="102">
        <v>19.0</v>
      </c>
      <c r="F813" s="107">
        <v>11.0</v>
      </c>
      <c r="G813" s="15" t="str">
        <f t="shared" si="1"/>
        <v>19011</v>
      </c>
      <c r="H813" s="23" t="s">
        <v>243</v>
      </c>
      <c r="I813" s="23" t="s">
        <v>50</v>
      </c>
      <c r="J813" s="23" t="s">
        <v>881</v>
      </c>
      <c r="K813" s="23" t="str">
        <f t="shared" si="16"/>
        <v>Benton, IA</v>
      </c>
      <c r="L813" s="24"/>
    </row>
    <row r="814">
      <c r="A814" s="99">
        <v>813.0</v>
      </c>
      <c r="B814" s="15"/>
      <c r="C814" s="15"/>
      <c r="D814" s="105">
        <v>1.0</v>
      </c>
      <c r="E814" s="102">
        <v>19.0</v>
      </c>
      <c r="F814" s="107">
        <v>13.0</v>
      </c>
      <c r="G814" s="15" t="str">
        <f t="shared" si="1"/>
        <v>19013</v>
      </c>
      <c r="H814" s="23" t="s">
        <v>890</v>
      </c>
      <c r="I814" s="23" t="s">
        <v>50</v>
      </c>
      <c r="J814" s="23" t="s">
        <v>881</v>
      </c>
      <c r="K814" s="23" t="str">
        <f t="shared" si="16"/>
        <v>Black Hawk, IA</v>
      </c>
      <c r="L814" s="24"/>
    </row>
    <row r="815">
      <c r="A815" s="99">
        <v>814.0</v>
      </c>
      <c r="B815" s="15"/>
      <c r="C815" s="15"/>
      <c r="D815" s="105">
        <v>1.0</v>
      </c>
      <c r="E815" s="102">
        <v>19.0</v>
      </c>
      <c r="F815" s="107">
        <v>15.0</v>
      </c>
      <c r="G815" s="15" t="str">
        <f t="shared" si="1"/>
        <v>19015</v>
      </c>
      <c r="H815" s="23" t="s">
        <v>246</v>
      </c>
      <c r="I815" s="23" t="s">
        <v>50</v>
      </c>
      <c r="J815" s="23" t="s">
        <v>881</v>
      </c>
      <c r="K815" s="23" t="str">
        <f t="shared" si="16"/>
        <v>Boone, IA</v>
      </c>
      <c r="L815" s="24"/>
    </row>
    <row r="816">
      <c r="A816" s="99">
        <v>815.0</v>
      </c>
      <c r="B816" s="15"/>
      <c r="C816" s="15"/>
      <c r="D816" s="105">
        <v>1.0</v>
      </c>
      <c r="E816" s="102">
        <v>19.0</v>
      </c>
      <c r="F816" s="107">
        <v>17.0</v>
      </c>
      <c r="G816" s="15" t="str">
        <f t="shared" si="1"/>
        <v>19017</v>
      </c>
      <c r="H816" s="23" t="s">
        <v>891</v>
      </c>
      <c r="I816" s="23" t="s">
        <v>50</v>
      </c>
      <c r="J816" s="23" t="s">
        <v>881</v>
      </c>
      <c r="K816" s="23" t="str">
        <f t="shared" si="16"/>
        <v>Bremer, IA</v>
      </c>
      <c r="L816" s="24"/>
    </row>
    <row r="817">
      <c r="A817" s="99">
        <v>816.0</v>
      </c>
      <c r="B817" s="15"/>
      <c r="C817" s="15"/>
      <c r="D817" s="105">
        <v>1.0</v>
      </c>
      <c r="E817" s="102">
        <v>19.0</v>
      </c>
      <c r="F817" s="107">
        <v>19.0</v>
      </c>
      <c r="G817" s="15" t="str">
        <f t="shared" si="1"/>
        <v>19019</v>
      </c>
      <c r="H817" s="23" t="s">
        <v>892</v>
      </c>
      <c r="I817" s="23" t="s">
        <v>50</v>
      </c>
      <c r="J817" s="23" t="s">
        <v>881</v>
      </c>
      <c r="K817" s="23" t="str">
        <f t="shared" si="16"/>
        <v>Buchanan, IA</v>
      </c>
      <c r="L817" s="24"/>
    </row>
    <row r="818">
      <c r="A818" s="99">
        <v>817.0</v>
      </c>
      <c r="B818" s="15"/>
      <c r="C818" s="15"/>
      <c r="D818" s="105">
        <v>1.0</v>
      </c>
      <c r="E818" s="102">
        <v>19.0</v>
      </c>
      <c r="F818" s="107">
        <v>21.0</v>
      </c>
      <c r="G818" s="15" t="str">
        <f t="shared" si="1"/>
        <v>19021</v>
      </c>
      <c r="H818" s="23" t="s">
        <v>893</v>
      </c>
      <c r="I818" s="23" t="s">
        <v>50</v>
      </c>
      <c r="J818" s="23" t="s">
        <v>881</v>
      </c>
      <c r="K818" s="23" t="str">
        <f t="shared" si="16"/>
        <v>Buena Vista, IA</v>
      </c>
      <c r="L818" s="24"/>
    </row>
    <row r="819">
      <c r="A819" s="99">
        <v>818.0</v>
      </c>
      <c r="B819" s="15"/>
      <c r="C819" s="15"/>
      <c r="D819" s="105">
        <v>1.0</v>
      </c>
      <c r="E819" s="102">
        <v>19.0</v>
      </c>
      <c r="F819" s="107">
        <v>23.0</v>
      </c>
      <c r="G819" s="15" t="str">
        <f t="shared" si="1"/>
        <v>19023</v>
      </c>
      <c r="H819" s="23" t="s">
        <v>87</v>
      </c>
      <c r="I819" s="23" t="s">
        <v>50</v>
      </c>
      <c r="J819" s="23" t="s">
        <v>881</v>
      </c>
      <c r="K819" s="23" t="str">
        <f t="shared" si="16"/>
        <v>Butler, IA</v>
      </c>
      <c r="L819" s="24"/>
    </row>
    <row r="820">
      <c r="A820" s="99">
        <v>819.0</v>
      </c>
      <c r="B820" s="15"/>
      <c r="C820" s="15"/>
      <c r="D820" s="105">
        <v>1.0</v>
      </c>
      <c r="E820" s="102">
        <v>19.0</v>
      </c>
      <c r="F820" s="107">
        <v>25.0</v>
      </c>
      <c r="G820" s="15" t="str">
        <f t="shared" si="1"/>
        <v>19025</v>
      </c>
      <c r="H820" s="23" t="s">
        <v>93</v>
      </c>
      <c r="I820" s="23" t="s">
        <v>50</v>
      </c>
      <c r="J820" s="23" t="s">
        <v>881</v>
      </c>
      <c r="K820" s="23" t="str">
        <f t="shared" si="16"/>
        <v>Calhoun, IA</v>
      </c>
      <c r="L820" s="24"/>
    </row>
    <row r="821">
      <c r="A821" s="99">
        <v>820.0</v>
      </c>
      <c r="B821" s="15"/>
      <c r="C821" s="15"/>
      <c r="D821" s="105">
        <v>1.0</v>
      </c>
      <c r="E821" s="102">
        <v>19.0</v>
      </c>
      <c r="F821" s="107">
        <v>27.0</v>
      </c>
      <c r="G821" s="15" t="str">
        <f t="shared" si="1"/>
        <v>19027</v>
      </c>
      <c r="H821" s="23" t="s">
        <v>248</v>
      </c>
      <c r="I821" s="23" t="s">
        <v>50</v>
      </c>
      <c r="J821" s="23" t="s">
        <v>881</v>
      </c>
      <c r="K821" s="23" t="str">
        <f t="shared" si="16"/>
        <v>Carroll, IA</v>
      </c>
      <c r="L821" s="24"/>
    </row>
    <row r="822">
      <c r="A822" s="99">
        <v>821.0</v>
      </c>
      <c r="B822" s="15"/>
      <c r="C822" s="15"/>
      <c r="D822" s="105">
        <v>1.0</v>
      </c>
      <c r="E822" s="102">
        <v>19.0</v>
      </c>
      <c r="F822" s="107">
        <v>29.0</v>
      </c>
      <c r="G822" s="15" t="str">
        <f t="shared" si="1"/>
        <v>19029</v>
      </c>
      <c r="H822" s="23" t="s">
        <v>708</v>
      </c>
      <c r="I822" s="23" t="s">
        <v>50</v>
      </c>
      <c r="J822" s="23" t="s">
        <v>881</v>
      </c>
      <c r="K822" s="23" t="str">
        <f t="shared" si="16"/>
        <v>Cass, IA</v>
      </c>
      <c r="L822" s="24"/>
    </row>
    <row r="823">
      <c r="A823" s="99">
        <v>822.0</v>
      </c>
      <c r="B823" s="15"/>
      <c r="C823" s="15"/>
      <c r="D823" s="105">
        <v>1.0</v>
      </c>
      <c r="E823" s="102">
        <v>19.0</v>
      </c>
      <c r="F823" s="107">
        <v>31.0</v>
      </c>
      <c r="G823" s="15" t="str">
        <f t="shared" si="1"/>
        <v>19031</v>
      </c>
      <c r="H823" s="23" t="s">
        <v>894</v>
      </c>
      <c r="I823" s="23" t="s">
        <v>50</v>
      </c>
      <c r="J823" s="23" t="s">
        <v>881</v>
      </c>
      <c r="K823" s="23" t="str">
        <f t="shared" si="16"/>
        <v>Cedar, IA</v>
      </c>
      <c r="L823" s="24"/>
    </row>
    <row r="824">
      <c r="A824" s="99">
        <v>823.0</v>
      </c>
      <c r="B824" s="15"/>
      <c r="C824" s="15"/>
      <c r="D824" s="105">
        <v>1.0</v>
      </c>
      <c r="E824" s="102">
        <v>19.0</v>
      </c>
      <c r="F824" s="107">
        <v>33.0</v>
      </c>
      <c r="G824" s="15" t="str">
        <f t="shared" si="1"/>
        <v>19033</v>
      </c>
      <c r="H824" s="23" t="s">
        <v>895</v>
      </c>
      <c r="I824" s="23" t="s">
        <v>50</v>
      </c>
      <c r="J824" s="23" t="s">
        <v>881</v>
      </c>
      <c r="K824" s="23" t="str">
        <f t="shared" si="16"/>
        <v>Cerro Gordo, IA</v>
      </c>
      <c r="L824" s="24"/>
    </row>
    <row r="825">
      <c r="A825" s="99">
        <v>824.0</v>
      </c>
      <c r="B825" s="15"/>
      <c r="C825" s="15"/>
      <c r="D825" s="105">
        <v>1.0</v>
      </c>
      <c r="E825" s="102">
        <v>19.0</v>
      </c>
      <c r="F825" s="107">
        <v>35.0</v>
      </c>
      <c r="G825" s="15" t="str">
        <f t="shared" si="1"/>
        <v>19035</v>
      </c>
      <c r="H825" s="23" t="s">
        <v>101</v>
      </c>
      <c r="I825" s="23" t="s">
        <v>50</v>
      </c>
      <c r="J825" s="23" t="s">
        <v>881</v>
      </c>
      <c r="K825" s="23" t="str">
        <f t="shared" si="16"/>
        <v>Cherokee, IA</v>
      </c>
      <c r="L825" s="24"/>
    </row>
    <row r="826">
      <c r="A826" s="99">
        <v>825.0</v>
      </c>
      <c r="B826" s="15"/>
      <c r="C826" s="15"/>
      <c r="D826" s="105">
        <v>1.0</v>
      </c>
      <c r="E826" s="102">
        <v>19.0</v>
      </c>
      <c r="F826" s="107">
        <v>37.0</v>
      </c>
      <c r="G826" s="15" t="str">
        <f t="shared" si="1"/>
        <v>19037</v>
      </c>
      <c r="H826" s="23" t="s">
        <v>896</v>
      </c>
      <c r="I826" s="23" t="s">
        <v>50</v>
      </c>
      <c r="J826" s="23" t="s">
        <v>881</v>
      </c>
      <c r="K826" s="23" t="str">
        <f t="shared" si="16"/>
        <v>Chickasaw, IA</v>
      </c>
      <c r="L826" s="24"/>
    </row>
    <row r="827">
      <c r="A827" s="99">
        <v>826.0</v>
      </c>
      <c r="B827" s="15"/>
      <c r="C827" s="15"/>
      <c r="D827" s="105">
        <v>1.0</v>
      </c>
      <c r="E827" s="102">
        <v>19.0</v>
      </c>
      <c r="F827" s="107">
        <v>39.0</v>
      </c>
      <c r="G827" s="15" t="str">
        <f t="shared" si="1"/>
        <v>19039</v>
      </c>
      <c r="H827" s="23" t="s">
        <v>110</v>
      </c>
      <c r="I827" s="23" t="s">
        <v>50</v>
      </c>
      <c r="J827" s="23" t="s">
        <v>881</v>
      </c>
      <c r="K827" s="23" t="str">
        <f t="shared" si="16"/>
        <v>Clarke, IA</v>
      </c>
      <c r="L827" s="24"/>
    </row>
    <row r="828">
      <c r="A828" s="99">
        <v>827.0</v>
      </c>
      <c r="B828" s="15"/>
      <c r="C828" s="15"/>
      <c r="D828" s="105">
        <v>1.0</v>
      </c>
      <c r="E828" s="102">
        <v>19.0</v>
      </c>
      <c r="F828" s="107">
        <v>41.0</v>
      </c>
      <c r="G828" s="15" t="str">
        <f t="shared" si="1"/>
        <v>19041</v>
      </c>
      <c r="H828" s="23" t="s">
        <v>112</v>
      </c>
      <c r="I828" s="23" t="s">
        <v>50</v>
      </c>
      <c r="J828" s="23" t="s">
        <v>881</v>
      </c>
      <c r="K828" s="23" t="str">
        <f t="shared" si="16"/>
        <v>Clay, IA</v>
      </c>
      <c r="L828" s="24"/>
    </row>
    <row r="829">
      <c r="A829" s="99">
        <v>828.0</v>
      </c>
      <c r="B829" s="15"/>
      <c r="C829" s="15"/>
      <c r="D829" s="105">
        <v>1.0</v>
      </c>
      <c r="E829" s="102">
        <v>19.0</v>
      </c>
      <c r="F829" s="107">
        <v>43.0</v>
      </c>
      <c r="G829" s="15" t="str">
        <f t="shared" si="1"/>
        <v>19043</v>
      </c>
      <c r="H829" s="23" t="s">
        <v>555</v>
      </c>
      <c r="I829" s="23" t="s">
        <v>50</v>
      </c>
      <c r="J829" s="23" t="s">
        <v>881</v>
      </c>
      <c r="K829" s="23" t="str">
        <f t="shared" si="16"/>
        <v>Clayton, IA</v>
      </c>
      <c r="L829" s="24"/>
    </row>
    <row r="830">
      <c r="A830" s="99">
        <v>829.0</v>
      </c>
      <c r="B830" s="15"/>
      <c r="C830" s="15"/>
      <c r="D830" s="105">
        <v>1.0</v>
      </c>
      <c r="E830" s="102">
        <v>19.0</v>
      </c>
      <c r="F830" s="107">
        <v>45.0</v>
      </c>
      <c r="G830" s="15" t="str">
        <f t="shared" si="1"/>
        <v>19045</v>
      </c>
      <c r="H830" s="23" t="s">
        <v>711</v>
      </c>
      <c r="I830" s="23" t="s">
        <v>50</v>
      </c>
      <c r="J830" s="23" t="s">
        <v>881</v>
      </c>
      <c r="K830" s="23" t="str">
        <f t="shared" si="16"/>
        <v>Clinton, IA</v>
      </c>
      <c r="L830" s="24"/>
    </row>
    <row r="831">
      <c r="A831" s="99">
        <v>830.0</v>
      </c>
      <c r="B831" s="15"/>
      <c r="C831" s="15"/>
      <c r="D831" s="105">
        <v>1.0</v>
      </c>
      <c r="E831" s="102">
        <v>19.0</v>
      </c>
      <c r="F831" s="107">
        <v>47.0</v>
      </c>
      <c r="G831" s="15" t="str">
        <f t="shared" si="1"/>
        <v>19047</v>
      </c>
      <c r="H831" s="23" t="s">
        <v>263</v>
      </c>
      <c r="I831" s="23" t="s">
        <v>50</v>
      </c>
      <c r="J831" s="23" t="s">
        <v>881</v>
      </c>
      <c r="K831" s="23" t="str">
        <f t="shared" si="16"/>
        <v>Crawford, IA</v>
      </c>
      <c r="L831" s="24"/>
    </row>
    <row r="832">
      <c r="A832" s="99">
        <v>831.0</v>
      </c>
      <c r="B832" s="15"/>
      <c r="C832" s="15"/>
      <c r="D832" s="105">
        <v>1.0</v>
      </c>
      <c r="E832" s="102">
        <v>19.0</v>
      </c>
      <c r="F832" s="107">
        <v>49.0</v>
      </c>
      <c r="G832" s="15" t="str">
        <f t="shared" si="1"/>
        <v>19049</v>
      </c>
      <c r="H832" s="23" t="s">
        <v>130</v>
      </c>
      <c r="I832" s="23" t="s">
        <v>50</v>
      </c>
      <c r="J832" s="23" t="s">
        <v>881</v>
      </c>
      <c r="K832" s="23" t="str">
        <f t="shared" si="16"/>
        <v>Dallas, IA</v>
      </c>
      <c r="L832" s="24"/>
    </row>
    <row r="833">
      <c r="A833" s="99">
        <v>832.0</v>
      </c>
      <c r="B833" s="15"/>
      <c r="C833" s="15"/>
      <c r="D833" s="105">
        <v>1.0</v>
      </c>
      <c r="E833" s="102">
        <v>19.0</v>
      </c>
      <c r="F833" s="107">
        <v>51.0</v>
      </c>
      <c r="G833" s="15" t="str">
        <f t="shared" si="1"/>
        <v>19051</v>
      </c>
      <c r="H833" s="23" t="s">
        <v>897</v>
      </c>
      <c r="I833" s="23" t="s">
        <v>50</v>
      </c>
      <c r="J833" s="23" t="s">
        <v>881</v>
      </c>
      <c r="K833" s="23" t="str">
        <f t="shared" si="16"/>
        <v>Davis, IA</v>
      </c>
      <c r="L833" s="24"/>
    </row>
    <row r="834">
      <c r="A834" s="99">
        <v>833.0</v>
      </c>
      <c r="B834" s="15"/>
      <c r="C834" s="15"/>
      <c r="D834" s="105">
        <v>1.0</v>
      </c>
      <c r="E834" s="102">
        <v>19.0</v>
      </c>
      <c r="F834" s="107">
        <v>53.0</v>
      </c>
      <c r="G834" s="15" t="str">
        <f t="shared" si="1"/>
        <v>19053</v>
      </c>
      <c r="H834" s="23" t="s">
        <v>563</v>
      </c>
      <c r="I834" s="23" t="s">
        <v>50</v>
      </c>
      <c r="J834" s="23" t="s">
        <v>881</v>
      </c>
      <c r="K834" s="23" t="str">
        <f t="shared" si="16"/>
        <v>Decatur, IA</v>
      </c>
      <c r="L834" s="24"/>
    </row>
    <row r="835">
      <c r="A835" s="99">
        <v>834.0</v>
      </c>
      <c r="B835" s="15"/>
      <c r="C835" s="15"/>
      <c r="D835" s="105">
        <v>1.0</v>
      </c>
      <c r="E835" s="102">
        <v>19.0</v>
      </c>
      <c r="F835" s="107">
        <v>55.0</v>
      </c>
      <c r="G835" s="15" t="str">
        <f t="shared" si="1"/>
        <v>19055</v>
      </c>
      <c r="H835" s="23" t="s">
        <v>40</v>
      </c>
      <c r="I835" s="23" t="s">
        <v>50</v>
      </c>
      <c r="J835" s="23" t="s">
        <v>881</v>
      </c>
      <c r="K835" s="23" t="str">
        <f t="shared" si="16"/>
        <v>Delaware, IA</v>
      </c>
      <c r="L835" s="24"/>
    </row>
    <row r="836">
      <c r="A836" s="99">
        <v>835.0</v>
      </c>
      <c r="B836" s="15"/>
      <c r="C836" s="15"/>
      <c r="D836" s="105">
        <v>1.0</v>
      </c>
      <c r="E836" s="102">
        <v>19.0</v>
      </c>
      <c r="F836" s="107">
        <v>57.0</v>
      </c>
      <c r="G836" s="15" t="str">
        <f t="shared" si="1"/>
        <v>19057</v>
      </c>
      <c r="H836" s="23" t="s">
        <v>898</v>
      </c>
      <c r="I836" s="23" t="s">
        <v>50</v>
      </c>
      <c r="J836" s="23" t="s">
        <v>881</v>
      </c>
      <c r="K836" s="23" t="str">
        <f t="shared" si="16"/>
        <v>Des Moines, IA</v>
      </c>
      <c r="L836" s="24"/>
    </row>
    <row r="837">
      <c r="A837" s="99">
        <v>836.0</v>
      </c>
      <c r="B837" s="15"/>
      <c r="C837" s="15"/>
      <c r="D837" s="105">
        <v>1.0</v>
      </c>
      <c r="E837" s="102">
        <v>19.0</v>
      </c>
      <c r="F837" s="107">
        <v>59.0</v>
      </c>
      <c r="G837" s="15" t="str">
        <f t="shared" si="1"/>
        <v>19059</v>
      </c>
      <c r="H837" s="23" t="s">
        <v>899</v>
      </c>
      <c r="I837" s="23" t="s">
        <v>50</v>
      </c>
      <c r="J837" s="23" t="s">
        <v>881</v>
      </c>
      <c r="K837" s="23" t="str">
        <f t="shared" si="16"/>
        <v>Dickinson, IA</v>
      </c>
      <c r="L837" s="24"/>
    </row>
    <row r="838">
      <c r="A838" s="99">
        <v>837.0</v>
      </c>
      <c r="B838" s="15"/>
      <c r="C838" s="15"/>
      <c r="D838" s="105">
        <v>1.0</v>
      </c>
      <c r="E838" s="102">
        <v>19.0</v>
      </c>
      <c r="F838" s="107">
        <v>61.0</v>
      </c>
      <c r="G838" s="15" t="str">
        <f t="shared" si="1"/>
        <v>19061</v>
      </c>
      <c r="H838" s="23" t="s">
        <v>900</v>
      </c>
      <c r="I838" s="23" t="s">
        <v>50</v>
      </c>
      <c r="J838" s="23" t="s">
        <v>881</v>
      </c>
      <c r="K838" s="23" t="str">
        <f t="shared" si="16"/>
        <v>Dubuque, IA</v>
      </c>
      <c r="L838" s="24"/>
    </row>
    <row r="839">
      <c r="A839" s="99">
        <v>838.0</v>
      </c>
      <c r="B839" s="15"/>
      <c r="C839" s="15"/>
      <c r="D839" s="105">
        <v>1.0</v>
      </c>
      <c r="E839" s="102">
        <v>19.0</v>
      </c>
      <c r="F839" s="107">
        <v>63.0</v>
      </c>
      <c r="G839" s="15" t="str">
        <f t="shared" si="1"/>
        <v>19063</v>
      </c>
      <c r="H839" s="23" t="s">
        <v>901</v>
      </c>
      <c r="I839" s="23" t="s">
        <v>50</v>
      </c>
      <c r="J839" s="23" t="s">
        <v>881</v>
      </c>
      <c r="K839" s="23" t="str">
        <f t="shared" si="16"/>
        <v>Emmet, IA</v>
      </c>
      <c r="L839" s="24"/>
    </row>
    <row r="840">
      <c r="A840" s="99">
        <v>839.0</v>
      </c>
      <c r="B840" s="15"/>
      <c r="C840" s="15"/>
      <c r="D840" s="105">
        <v>1.0</v>
      </c>
      <c r="E840" s="102">
        <v>19.0</v>
      </c>
      <c r="F840" s="107">
        <v>65.0</v>
      </c>
      <c r="G840" s="15" t="str">
        <f t="shared" si="1"/>
        <v>19065</v>
      </c>
      <c r="H840" s="23" t="s">
        <v>135</v>
      </c>
      <c r="I840" s="23" t="s">
        <v>50</v>
      </c>
      <c r="J840" s="23" t="s">
        <v>881</v>
      </c>
      <c r="K840" s="23" t="str">
        <f t="shared" si="16"/>
        <v>Fayette, IA</v>
      </c>
      <c r="L840" s="24"/>
    </row>
    <row r="841">
      <c r="A841" s="99">
        <v>840.0</v>
      </c>
      <c r="B841" s="15"/>
      <c r="C841" s="15"/>
      <c r="D841" s="105">
        <v>1.0</v>
      </c>
      <c r="E841" s="102">
        <v>19.0</v>
      </c>
      <c r="F841" s="107">
        <v>67.0</v>
      </c>
      <c r="G841" s="15" t="str">
        <f t="shared" si="1"/>
        <v>19067</v>
      </c>
      <c r="H841" s="23" t="s">
        <v>575</v>
      </c>
      <c r="I841" s="23" t="s">
        <v>50</v>
      </c>
      <c r="J841" s="23" t="s">
        <v>881</v>
      </c>
      <c r="K841" s="23" t="str">
        <f t="shared" si="16"/>
        <v>Floyd, IA</v>
      </c>
      <c r="L841" s="24"/>
    </row>
    <row r="842">
      <c r="A842" s="99">
        <v>841.0</v>
      </c>
      <c r="B842" s="15"/>
      <c r="C842" s="15"/>
      <c r="D842" s="105">
        <v>1.0</v>
      </c>
      <c r="E842" s="102">
        <v>19.0</v>
      </c>
      <c r="F842" s="107">
        <v>69.0</v>
      </c>
      <c r="G842" s="15" t="str">
        <f t="shared" si="1"/>
        <v>19069</v>
      </c>
      <c r="H842" s="23" t="s">
        <v>136</v>
      </c>
      <c r="I842" s="23" t="s">
        <v>50</v>
      </c>
      <c r="J842" s="23" t="s">
        <v>881</v>
      </c>
      <c r="K842" s="23" t="str">
        <f t="shared" si="16"/>
        <v>Franklin, IA</v>
      </c>
      <c r="L842" s="24"/>
    </row>
    <row r="843">
      <c r="A843" s="99">
        <v>842.0</v>
      </c>
      <c r="B843" s="15"/>
      <c r="C843" s="15"/>
      <c r="D843" s="105">
        <v>1.0</v>
      </c>
      <c r="E843" s="102">
        <v>19.0</v>
      </c>
      <c r="F843" s="107">
        <v>71.0</v>
      </c>
      <c r="G843" s="15" t="str">
        <f t="shared" si="1"/>
        <v>19071</v>
      </c>
      <c r="H843" s="23" t="s">
        <v>416</v>
      </c>
      <c r="I843" s="23" t="s">
        <v>50</v>
      </c>
      <c r="J843" s="23" t="s">
        <v>881</v>
      </c>
      <c r="K843" s="23" t="str">
        <f t="shared" si="16"/>
        <v>Fremont, IA</v>
      </c>
      <c r="L843" s="24"/>
    </row>
    <row r="844">
      <c r="A844" s="99">
        <v>843.0</v>
      </c>
      <c r="B844" s="15"/>
      <c r="C844" s="15"/>
      <c r="D844" s="105">
        <v>1.0</v>
      </c>
      <c r="E844" s="102">
        <v>19.0</v>
      </c>
      <c r="F844" s="107">
        <v>73.0</v>
      </c>
      <c r="G844" s="15" t="str">
        <f t="shared" si="1"/>
        <v>19073</v>
      </c>
      <c r="H844" s="23" t="s">
        <v>138</v>
      </c>
      <c r="I844" s="23" t="s">
        <v>50</v>
      </c>
      <c r="J844" s="23" t="s">
        <v>881</v>
      </c>
      <c r="K844" s="23" t="str">
        <f t="shared" si="16"/>
        <v>Greene, IA</v>
      </c>
      <c r="L844" s="24"/>
    </row>
    <row r="845">
      <c r="A845" s="99">
        <v>844.0</v>
      </c>
      <c r="B845" s="15"/>
      <c r="C845" s="15"/>
      <c r="D845" s="105">
        <v>1.0</v>
      </c>
      <c r="E845" s="102">
        <v>19.0</v>
      </c>
      <c r="F845" s="107">
        <v>75.0</v>
      </c>
      <c r="G845" s="15" t="str">
        <f t="shared" si="1"/>
        <v>19075</v>
      </c>
      <c r="H845" s="23" t="s">
        <v>720</v>
      </c>
      <c r="I845" s="23" t="s">
        <v>50</v>
      </c>
      <c r="J845" s="23" t="s">
        <v>881</v>
      </c>
      <c r="K845" s="23" t="str">
        <f t="shared" si="16"/>
        <v>Grundy, IA</v>
      </c>
      <c r="L845" s="24"/>
    </row>
    <row r="846">
      <c r="A846" s="99">
        <v>845.0</v>
      </c>
      <c r="B846" s="15"/>
      <c r="C846" s="15"/>
      <c r="D846" s="105">
        <v>1.0</v>
      </c>
      <c r="E846" s="102">
        <v>19.0</v>
      </c>
      <c r="F846" s="107">
        <v>77.0</v>
      </c>
      <c r="G846" s="15" t="str">
        <f t="shared" si="1"/>
        <v>19077</v>
      </c>
      <c r="H846" s="23" t="s">
        <v>902</v>
      </c>
      <c r="I846" s="23" t="s">
        <v>50</v>
      </c>
      <c r="J846" s="23" t="s">
        <v>881</v>
      </c>
      <c r="K846" s="23" t="str">
        <f t="shared" si="16"/>
        <v>Guthrie, IA</v>
      </c>
      <c r="L846" s="24"/>
    </row>
    <row r="847">
      <c r="A847" s="99">
        <v>846.0</v>
      </c>
      <c r="B847" s="15"/>
      <c r="C847" s="15"/>
      <c r="D847" s="105">
        <v>1.0</v>
      </c>
      <c r="E847" s="102">
        <v>19.0</v>
      </c>
      <c r="F847" s="107">
        <v>79.0</v>
      </c>
      <c r="G847" s="15" t="str">
        <f t="shared" si="1"/>
        <v>19079</v>
      </c>
      <c r="H847" s="23" t="s">
        <v>497</v>
      </c>
      <c r="I847" s="23" t="s">
        <v>50</v>
      </c>
      <c r="J847" s="23" t="s">
        <v>881</v>
      </c>
      <c r="K847" s="23" t="str">
        <f t="shared" si="16"/>
        <v>Hamilton, IA</v>
      </c>
      <c r="L847" s="24"/>
    </row>
    <row r="848">
      <c r="A848" s="99">
        <v>847.0</v>
      </c>
      <c r="B848" s="15"/>
      <c r="C848" s="15"/>
      <c r="D848" s="105">
        <v>1.0</v>
      </c>
      <c r="E848" s="102">
        <v>19.0</v>
      </c>
      <c r="F848" s="107">
        <v>81.0</v>
      </c>
      <c r="G848" s="15" t="str">
        <f t="shared" si="1"/>
        <v>19081</v>
      </c>
      <c r="H848" s="23" t="s">
        <v>587</v>
      </c>
      <c r="I848" s="23" t="s">
        <v>50</v>
      </c>
      <c r="J848" s="23" t="s">
        <v>881</v>
      </c>
      <c r="K848" s="23" t="str">
        <f t="shared" si="16"/>
        <v>Hancock, IA</v>
      </c>
      <c r="L848" s="24"/>
    </row>
    <row r="849">
      <c r="A849" s="99">
        <v>848.0</v>
      </c>
      <c r="B849" s="15"/>
      <c r="C849" s="15"/>
      <c r="D849" s="105">
        <v>1.0</v>
      </c>
      <c r="E849" s="102">
        <v>19.0</v>
      </c>
      <c r="F849" s="107">
        <v>83.0</v>
      </c>
      <c r="G849" s="15" t="str">
        <f t="shared" si="1"/>
        <v>19083</v>
      </c>
      <c r="H849" s="23" t="s">
        <v>721</v>
      </c>
      <c r="I849" s="23" t="s">
        <v>50</v>
      </c>
      <c r="J849" s="23" t="s">
        <v>881</v>
      </c>
      <c r="K849" s="23" t="str">
        <f t="shared" si="16"/>
        <v>Hardin, IA</v>
      </c>
      <c r="L849" s="24"/>
    </row>
    <row r="850">
      <c r="A850" s="99">
        <v>849.0</v>
      </c>
      <c r="B850" s="15"/>
      <c r="C850" s="15"/>
      <c r="D850" s="105">
        <v>1.0</v>
      </c>
      <c r="E850" s="102">
        <v>19.0</v>
      </c>
      <c r="F850" s="107">
        <v>85.0</v>
      </c>
      <c r="G850" s="15" t="str">
        <f t="shared" si="1"/>
        <v>19085</v>
      </c>
      <c r="H850" s="23" t="s">
        <v>775</v>
      </c>
      <c r="I850" s="23" t="s">
        <v>50</v>
      </c>
      <c r="J850" s="23" t="s">
        <v>881</v>
      </c>
      <c r="K850" s="23" t="str">
        <f t="shared" si="16"/>
        <v>Harrison, IA</v>
      </c>
      <c r="L850" s="24"/>
    </row>
    <row r="851">
      <c r="A851" s="99">
        <v>850.0</v>
      </c>
      <c r="B851" s="15"/>
      <c r="C851" s="15"/>
      <c r="D851" s="105">
        <v>1.0</v>
      </c>
      <c r="E851" s="102">
        <v>19.0</v>
      </c>
      <c r="F851" s="107">
        <v>87.0</v>
      </c>
      <c r="G851" s="15" t="str">
        <f t="shared" si="1"/>
        <v>19087</v>
      </c>
      <c r="H851" s="23" t="s">
        <v>140</v>
      </c>
      <c r="I851" s="23" t="s">
        <v>50</v>
      </c>
      <c r="J851" s="23" t="s">
        <v>881</v>
      </c>
      <c r="K851" s="23" t="str">
        <f t="shared" si="16"/>
        <v>Henry, IA</v>
      </c>
      <c r="L851" s="24"/>
    </row>
    <row r="852">
      <c r="A852" s="99">
        <v>851.0</v>
      </c>
      <c r="B852" s="15"/>
      <c r="C852" s="15"/>
      <c r="D852" s="105">
        <v>1.0</v>
      </c>
      <c r="E852" s="102">
        <v>19.0</v>
      </c>
      <c r="F852" s="107">
        <v>89.0</v>
      </c>
      <c r="G852" s="15" t="str">
        <f t="shared" si="1"/>
        <v>19089</v>
      </c>
      <c r="H852" s="23" t="s">
        <v>283</v>
      </c>
      <c r="I852" s="23" t="s">
        <v>50</v>
      </c>
      <c r="J852" s="23" t="s">
        <v>881</v>
      </c>
      <c r="K852" s="23" t="str">
        <f t="shared" si="16"/>
        <v>Howard, IA</v>
      </c>
      <c r="L852" s="24"/>
    </row>
    <row r="853">
      <c r="A853" s="99">
        <v>852.0</v>
      </c>
      <c r="B853" s="15"/>
      <c r="C853" s="15"/>
      <c r="D853" s="105">
        <v>1.0</v>
      </c>
      <c r="E853" s="102">
        <v>19.0</v>
      </c>
      <c r="F853" s="107">
        <v>91.0</v>
      </c>
      <c r="G853" s="15" t="str">
        <f t="shared" si="1"/>
        <v>19091</v>
      </c>
      <c r="H853" s="23" t="s">
        <v>333</v>
      </c>
      <c r="I853" s="23" t="s">
        <v>50</v>
      </c>
      <c r="J853" s="23" t="s">
        <v>881</v>
      </c>
      <c r="K853" s="23" t="str">
        <f t="shared" si="16"/>
        <v>Humboldt, IA</v>
      </c>
      <c r="L853" s="24"/>
    </row>
    <row r="854">
      <c r="A854" s="99">
        <v>853.0</v>
      </c>
      <c r="B854" s="15"/>
      <c r="C854" s="15"/>
      <c r="D854" s="105">
        <v>1.0</v>
      </c>
      <c r="E854" s="102">
        <v>19.0</v>
      </c>
      <c r="F854" s="107">
        <v>93.0</v>
      </c>
      <c r="G854" s="15" t="str">
        <f t="shared" si="1"/>
        <v>19093</v>
      </c>
      <c r="H854" s="23" t="s">
        <v>903</v>
      </c>
      <c r="I854" s="23" t="s">
        <v>50</v>
      </c>
      <c r="J854" s="23" t="s">
        <v>881</v>
      </c>
      <c r="K854" s="23" t="str">
        <f t="shared" si="16"/>
        <v>Ida, IA</v>
      </c>
      <c r="L854" s="24"/>
    </row>
    <row r="855">
      <c r="A855" s="99">
        <v>854.0</v>
      </c>
      <c r="B855" s="15"/>
      <c r="C855" s="15"/>
      <c r="D855" s="105">
        <v>1.0</v>
      </c>
      <c r="E855" s="102">
        <v>19.0</v>
      </c>
      <c r="F855" s="107">
        <v>95.0</v>
      </c>
      <c r="G855" s="15" t="str">
        <f t="shared" si="1"/>
        <v>19095</v>
      </c>
      <c r="H855" s="23" t="s">
        <v>50</v>
      </c>
      <c r="I855" s="23" t="s">
        <v>50</v>
      </c>
      <c r="J855" s="23" t="s">
        <v>881</v>
      </c>
      <c r="K855" s="23" t="str">
        <f t="shared" si="16"/>
        <v>Iowa, IA</v>
      </c>
      <c r="L855" s="24"/>
    </row>
    <row r="856">
      <c r="A856" s="99">
        <v>855.0</v>
      </c>
      <c r="B856" s="15"/>
      <c r="C856" s="15"/>
      <c r="D856" s="105">
        <v>1.0</v>
      </c>
      <c r="E856" s="102">
        <v>19.0</v>
      </c>
      <c r="F856" s="107">
        <v>97.0</v>
      </c>
      <c r="G856" s="15" t="str">
        <f t="shared" si="1"/>
        <v>19097</v>
      </c>
      <c r="H856" s="23" t="s">
        <v>142</v>
      </c>
      <c r="I856" s="23" t="s">
        <v>50</v>
      </c>
      <c r="J856" s="23" t="s">
        <v>881</v>
      </c>
      <c r="K856" s="23" t="str">
        <f t="shared" si="16"/>
        <v>Jackson, IA</v>
      </c>
      <c r="L856" s="24"/>
    </row>
    <row r="857">
      <c r="A857" s="99">
        <v>856.0</v>
      </c>
      <c r="B857" s="15"/>
      <c r="C857" s="15"/>
      <c r="D857" s="105">
        <v>1.0</v>
      </c>
      <c r="E857" s="102">
        <v>19.0</v>
      </c>
      <c r="F857" s="107">
        <v>99.0</v>
      </c>
      <c r="G857" s="15" t="str">
        <f t="shared" si="1"/>
        <v>19099</v>
      </c>
      <c r="H857" s="23" t="s">
        <v>593</v>
      </c>
      <c r="I857" s="23" t="s">
        <v>50</v>
      </c>
      <c r="J857" s="23" t="s">
        <v>881</v>
      </c>
      <c r="K857" s="23" t="str">
        <f t="shared" si="16"/>
        <v>Jasper, IA</v>
      </c>
      <c r="L857" s="24"/>
    </row>
    <row r="858">
      <c r="A858" s="99">
        <v>857.0</v>
      </c>
      <c r="B858" s="15"/>
      <c r="C858" s="15"/>
      <c r="D858" s="105">
        <v>1.0</v>
      </c>
      <c r="E858" s="102">
        <v>19.0</v>
      </c>
      <c r="F858" s="107">
        <v>101.0</v>
      </c>
      <c r="G858" s="15" t="str">
        <f t="shared" si="1"/>
        <v>19101</v>
      </c>
      <c r="H858" s="23" t="s">
        <v>143</v>
      </c>
      <c r="I858" s="23" t="s">
        <v>50</v>
      </c>
      <c r="J858" s="23" t="s">
        <v>881</v>
      </c>
      <c r="K858" s="23" t="str">
        <f t="shared" si="16"/>
        <v>Jefferson, IA</v>
      </c>
      <c r="L858" s="24"/>
    </row>
    <row r="859">
      <c r="A859" s="99">
        <v>858.0</v>
      </c>
      <c r="B859" s="15"/>
      <c r="C859" s="15"/>
      <c r="D859" s="105">
        <v>1.0</v>
      </c>
      <c r="E859" s="102">
        <v>19.0</v>
      </c>
      <c r="F859" s="107">
        <v>103.0</v>
      </c>
      <c r="G859" s="15" t="str">
        <f t="shared" si="1"/>
        <v>19103</v>
      </c>
      <c r="H859" s="23" t="s">
        <v>288</v>
      </c>
      <c r="I859" s="23" t="s">
        <v>50</v>
      </c>
      <c r="J859" s="23" t="s">
        <v>881</v>
      </c>
      <c r="K859" s="23" t="str">
        <f t="shared" si="16"/>
        <v>Johnson, IA</v>
      </c>
      <c r="L859" s="24"/>
    </row>
    <row r="860">
      <c r="A860" s="99">
        <v>859.0</v>
      </c>
      <c r="B860" s="15"/>
      <c r="C860" s="15"/>
      <c r="D860" s="105">
        <v>1.0</v>
      </c>
      <c r="E860" s="102">
        <v>19.0</v>
      </c>
      <c r="F860" s="107">
        <v>105.0</v>
      </c>
      <c r="G860" s="15" t="str">
        <f t="shared" si="1"/>
        <v>19105</v>
      </c>
      <c r="H860" s="23" t="s">
        <v>598</v>
      </c>
      <c r="I860" s="23" t="s">
        <v>50</v>
      </c>
      <c r="J860" s="23" t="s">
        <v>881</v>
      </c>
      <c r="K860" s="23" t="str">
        <f t="shared" si="16"/>
        <v>Jones, IA</v>
      </c>
      <c r="L860" s="24"/>
    </row>
    <row r="861">
      <c r="A861" s="99">
        <v>860.0</v>
      </c>
      <c r="B861" s="15"/>
      <c r="C861" s="15"/>
      <c r="D861" s="105">
        <v>1.0</v>
      </c>
      <c r="E861" s="102">
        <v>19.0</v>
      </c>
      <c r="F861" s="107">
        <v>107.0</v>
      </c>
      <c r="G861" s="15" t="str">
        <f t="shared" si="1"/>
        <v>19107</v>
      </c>
      <c r="H861" s="23" t="s">
        <v>905</v>
      </c>
      <c r="I861" s="23" t="s">
        <v>50</v>
      </c>
      <c r="J861" s="23" t="s">
        <v>881</v>
      </c>
      <c r="K861" s="23" t="str">
        <f t="shared" si="16"/>
        <v>Keokuk, IA</v>
      </c>
      <c r="L861" s="24"/>
    </row>
    <row r="862">
      <c r="A862" s="99">
        <v>861.0</v>
      </c>
      <c r="B862" s="15"/>
      <c r="C862" s="15"/>
      <c r="D862" s="105">
        <v>1.0</v>
      </c>
      <c r="E862" s="102">
        <v>19.0</v>
      </c>
      <c r="F862" s="107">
        <v>109.0</v>
      </c>
      <c r="G862" s="15" t="str">
        <f t="shared" si="1"/>
        <v>19109</v>
      </c>
      <c r="H862" s="23" t="s">
        <v>906</v>
      </c>
      <c r="I862" s="23" t="s">
        <v>50</v>
      </c>
      <c r="J862" s="23" t="s">
        <v>881</v>
      </c>
      <c r="K862" s="23" t="str">
        <f t="shared" si="16"/>
        <v>Kossuth, IA</v>
      </c>
      <c r="L862" s="24"/>
    </row>
    <row r="863">
      <c r="A863" s="99">
        <v>862.0</v>
      </c>
      <c r="B863" s="15"/>
      <c r="C863" s="15"/>
      <c r="D863" s="105">
        <v>1.0</v>
      </c>
      <c r="E863" s="102">
        <v>19.0</v>
      </c>
      <c r="F863" s="107">
        <v>111.0</v>
      </c>
      <c r="G863" s="15" t="str">
        <f t="shared" si="1"/>
        <v>19111</v>
      </c>
      <c r="H863" s="23" t="s">
        <v>147</v>
      </c>
      <c r="I863" s="23" t="s">
        <v>50</v>
      </c>
      <c r="J863" s="23" t="s">
        <v>881</v>
      </c>
      <c r="K863" s="23" t="str">
        <f t="shared" si="16"/>
        <v>Lee, IA</v>
      </c>
      <c r="L863" s="24"/>
    </row>
    <row r="864">
      <c r="A864" s="99">
        <v>863.0</v>
      </c>
      <c r="B864" s="15"/>
      <c r="C864" s="15"/>
      <c r="D864" s="105">
        <v>1.0</v>
      </c>
      <c r="E864" s="102">
        <v>19.0</v>
      </c>
      <c r="F864" s="107">
        <v>113.0</v>
      </c>
      <c r="G864" s="15" t="str">
        <f t="shared" si="1"/>
        <v>19113</v>
      </c>
      <c r="H864" s="23" t="s">
        <v>907</v>
      </c>
      <c r="I864" s="23" t="s">
        <v>50</v>
      </c>
      <c r="J864" s="23" t="s">
        <v>881</v>
      </c>
      <c r="K864" s="23" t="str">
        <f t="shared" si="16"/>
        <v>Linn, IA</v>
      </c>
      <c r="L864" s="24"/>
    </row>
    <row r="865">
      <c r="A865" s="99">
        <v>864.0</v>
      </c>
      <c r="B865" s="15"/>
      <c r="C865" s="15"/>
      <c r="D865" s="105">
        <v>1.0</v>
      </c>
      <c r="E865" s="102">
        <v>19.0</v>
      </c>
      <c r="F865" s="107">
        <v>115.0</v>
      </c>
      <c r="G865" s="15" t="str">
        <f t="shared" si="1"/>
        <v>19115</v>
      </c>
      <c r="H865" s="23" t="s">
        <v>908</v>
      </c>
      <c r="I865" s="23" t="s">
        <v>50</v>
      </c>
      <c r="J865" s="23" t="s">
        <v>881</v>
      </c>
      <c r="K865" s="23" t="str">
        <f t="shared" si="16"/>
        <v>Louisa, IA</v>
      </c>
      <c r="L865" s="24"/>
    </row>
    <row r="866">
      <c r="A866" s="99">
        <v>865.0</v>
      </c>
      <c r="B866" s="15"/>
      <c r="C866" s="15"/>
      <c r="D866" s="105">
        <v>1.0</v>
      </c>
      <c r="E866" s="102">
        <v>19.0</v>
      </c>
      <c r="F866" s="107">
        <v>117.0</v>
      </c>
      <c r="G866" s="15" t="str">
        <f t="shared" si="1"/>
        <v>19117</v>
      </c>
      <c r="H866" s="23" t="s">
        <v>909</v>
      </c>
      <c r="I866" s="23" t="s">
        <v>50</v>
      </c>
      <c r="J866" s="23" t="s">
        <v>881</v>
      </c>
      <c r="K866" s="23" t="str">
        <f t="shared" si="16"/>
        <v>Lucas, IA</v>
      </c>
      <c r="L866" s="24"/>
    </row>
    <row r="867">
      <c r="A867" s="99">
        <v>866.0</v>
      </c>
      <c r="B867" s="15"/>
      <c r="C867" s="15"/>
      <c r="D867" s="105">
        <v>1.0</v>
      </c>
      <c r="E867" s="102">
        <v>19.0</v>
      </c>
      <c r="F867" s="107">
        <v>119.0</v>
      </c>
      <c r="G867" s="15" t="str">
        <f t="shared" si="1"/>
        <v>19119</v>
      </c>
      <c r="H867" s="23" t="s">
        <v>910</v>
      </c>
      <c r="I867" s="23" t="s">
        <v>50</v>
      </c>
      <c r="J867" s="23" t="s">
        <v>881</v>
      </c>
      <c r="K867" s="23" t="str">
        <f t="shared" si="16"/>
        <v>Lyon, IA</v>
      </c>
      <c r="L867" s="24"/>
    </row>
    <row r="868">
      <c r="A868" s="99">
        <v>867.0</v>
      </c>
      <c r="B868" s="15"/>
      <c r="C868" s="15"/>
      <c r="D868" s="105">
        <v>1.0</v>
      </c>
      <c r="E868" s="102">
        <v>19.0</v>
      </c>
      <c r="F868" s="107">
        <v>121.0</v>
      </c>
      <c r="G868" s="15" t="str">
        <f t="shared" si="1"/>
        <v>19121</v>
      </c>
      <c r="H868" s="23" t="s">
        <v>151</v>
      </c>
      <c r="I868" s="23" t="s">
        <v>50</v>
      </c>
      <c r="J868" s="23" t="s">
        <v>881</v>
      </c>
      <c r="K868" s="23" t="str">
        <f t="shared" si="16"/>
        <v>Madison, IA</v>
      </c>
      <c r="L868" s="24"/>
    </row>
    <row r="869">
      <c r="A869" s="99">
        <v>868.0</v>
      </c>
      <c r="B869" s="15"/>
      <c r="C869" s="15"/>
      <c r="D869" s="105">
        <v>1.0</v>
      </c>
      <c r="E869" s="102">
        <v>19.0</v>
      </c>
      <c r="F869" s="107">
        <v>123.0</v>
      </c>
      <c r="G869" s="15" t="str">
        <f t="shared" si="1"/>
        <v>19123</v>
      </c>
      <c r="H869" s="23" t="s">
        <v>912</v>
      </c>
      <c r="I869" s="23" t="s">
        <v>50</v>
      </c>
      <c r="J869" s="23" t="s">
        <v>881</v>
      </c>
      <c r="K869" s="23" t="str">
        <f t="shared" si="16"/>
        <v>Mahaska, IA</v>
      </c>
      <c r="L869" s="24"/>
    </row>
    <row r="870">
      <c r="A870" s="99">
        <v>869.0</v>
      </c>
      <c r="B870" s="15"/>
      <c r="C870" s="15"/>
      <c r="D870" s="105">
        <v>1.0</v>
      </c>
      <c r="E870" s="102">
        <v>19.0</v>
      </c>
      <c r="F870" s="107">
        <v>125.0</v>
      </c>
      <c r="G870" s="15" t="str">
        <f t="shared" si="1"/>
        <v>19125</v>
      </c>
      <c r="H870" s="23" t="s">
        <v>153</v>
      </c>
      <c r="I870" s="23" t="s">
        <v>50</v>
      </c>
      <c r="J870" s="23" t="s">
        <v>881</v>
      </c>
      <c r="K870" s="23" t="str">
        <f t="shared" si="16"/>
        <v>Marion, IA</v>
      </c>
      <c r="L870" s="24"/>
    </row>
    <row r="871">
      <c r="A871" s="99">
        <v>870.0</v>
      </c>
      <c r="B871" s="15"/>
      <c r="C871" s="15"/>
      <c r="D871" s="105">
        <v>1.0</v>
      </c>
      <c r="E871" s="102">
        <v>19.0</v>
      </c>
      <c r="F871" s="107">
        <v>127.0</v>
      </c>
      <c r="G871" s="15" t="str">
        <f t="shared" si="1"/>
        <v>19127</v>
      </c>
      <c r="H871" s="23" t="s">
        <v>154</v>
      </c>
      <c r="I871" s="23" t="s">
        <v>50</v>
      </c>
      <c r="J871" s="23" t="s">
        <v>881</v>
      </c>
      <c r="K871" s="23" t="str">
        <f t="shared" si="16"/>
        <v>Marshall, IA</v>
      </c>
      <c r="L871" s="24"/>
    </row>
    <row r="872">
      <c r="A872" s="99">
        <v>871.0</v>
      </c>
      <c r="B872" s="15"/>
      <c r="C872" s="15"/>
      <c r="D872" s="105">
        <v>1.0</v>
      </c>
      <c r="E872" s="102">
        <v>19.0</v>
      </c>
      <c r="F872" s="107">
        <v>129.0</v>
      </c>
      <c r="G872" s="15" t="str">
        <f t="shared" si="1"/>
        <v>19129</v>
      </c>
      <c r="H872" s="23" t="s">
        <v>913</v>
      </c>
      <c r="I872" s="23" t="s">
        <v>50</v>
      </c>
      <c r="J872" s="23" t="s">
        <v>881</v>
      </c>
      <c r="K872" s="23" t="str">
        <f t="shared" si="16"/>
        <v>Mills, IA</v>
      </c>
      <c r="L872" s="24"/>
    </row>
    <row r="873">
      <c r="A873" s="99">
        <v>872.0</v>
      </c>
      <c r="B873" s="15"/>
      <c r="C873" s="15"/>
      <c r="D873" s="105">
        <v>1.0</v>
      </c>
      <c r="E873" s="102">
        <v>19.0</v>
      </c>
      <c r="F873" s="107">
        <v>131.0</v>
      </c>
      <c r="G873" s="15" t="str">
        <f t="shared" si="1"/>
        <v>19131</v>
      </c>
      <c r="H873" s="23" t="s">
        <v>610</v>
      </c>
      <c r="I873" s="23" t="s">
        <v>50</v>
      </c>
      <c r="J873" s="23" t="s">
        <v>881</v>
      </c>
      <c r="K873" s="23" t="str">
        <f t="shared" si="16"/>
        <v>Mitchell, IA</v>
      </c>
      <c r="L873" s="24"/>
    </row>
    <row r="874">
      <c r="A874" s="99">
        <v>873.0</v>
      </c>
      <c r="B874" s="15"/>
      <c r="C874" s="15"/>
      <c r="D874" s="105">
        <v>1.0</v>
      </c>
      <c r="E874" s="102">
        <v>19.0</v>
      </c>
      <c r="F874" s="107">
        <v>133.0</v>
      </c>
      <c r="G874" s="15" t="str">
        <f t="shared" si="1"/>
        <v>19133</v>
      </c>
      <c r="H874" s="23" t="s">
        <v>915</v>
      </c>
      <c r="I874" s="23" t="s">
        <v>50</v>
      </c>
      <c r="J874" s="23" t="s">
        <v>881</v>
      </c>
      <c r="K874" s="23" t="str">
        <f t="shared" si="16"/>
        <v>Monona, IA</v>
      </c>
      <c r="L874" s="24"/>
    </row>
    <row r="875">
      <c r="A875" s="99">
        <v>874.0</v>
      </c>
      <c r="B875" s="15"/>
      <c r="C875" s="15"/>
      <c r="D875" s="105">
        <v>1.0</v>
      </c>
      <c r="E875" s="102">
        <v>19.0</v>
      </c>
      <c r="F875" s="107">
        <v>135.0</v>
      </c>
      <c r="G875" s="15" t="str">
        <f t="shared" si="1"/>
        <v>19135</v>
      </c>
      <c r="H875" s="23" t="s">
        <v>156</v>
      </c>
      <c r="I875" s="23" t="s">
        <v>50</v>
      </c>
      <c r="J875" s="23" t="s">
        <v>881</v>
      </c>
      <c r="K875" s="23" t="str">
        <f t="shared" si="16"/>
        <v>Monroe, IA</v>
      </c>
      <c r="L875" s="24"/>
    </row>
    <row r="876">
      <c r="A876" s="99">
        <v>875.0</v>
      </c>
      <c r="B876" s="15"/>
      <c r="C876" s="15"/>
      <c r="D876" s="105">
        <v>1.0</v>
      </c>
      <c r="E876" s="102">
        <v>19.0</v>
      </c>
      <c r="F876" s="107">
        <v>137.0</v>
      </c>
      <c r="G876" s="15" t="str">
        <f t="shared" si="1"/>
        <v>19137</v>
      </c>
      <c r="H876" s="23" t="s">
        <v>157</v>
      </c>
      <c r="I876" s="23" t="s">
        <v>50</v>
      </c>
      <c r="J876" s="23" t="s">
        <v>881</v>
      </c>
      <c r="K876" s="23" t="str">
        <f t="shared" si="16"/>
        <v>Montgomery, IA</v>
      </c>
      <c r="L876" s="24"/>
    </row>
    <row r="877">
      <c r="A877" s="99">
        <v>876.0</v>
      </c>
      <c r="B877" s="15"/>
      <c r="C877" s="15"/>
      <c r="D877" s="105">
        <v>1.0</v>
      </c>
      <c r="E877" s="102">
        <v>19.0</v>
      </c>
      <c r="F877" s="107">
        <v>139.0</v>
      </c>
      <c r="G877" s="15" t="str">
        <f t="shared" si="1"/>
        <v>19139</v>
      </c>
      <c r="H877" s="23" t="s">
        <v>917</v>
      </c>
      <c r="I877" s="23" t="s">
        <v>50</v>
      </c>
      <c r="J877" s="23" t="s">
        <v>881</v>
      </c>
      <c r="K877" s="23" t="str">
        <f t="shared" si="16"/>
        <v>Muscatine, IA</v>
      </c>
      <c r="L877" s="24"/>
    </row>
    <row r="878">
      <c r="A878" s="99">
        <v>877.0</v>
      </c>
      <c r="B878" s="15"/>
      <c r="C878" s="15"/>
      <c r="D878" s="105">
        <v>1.0</v>
      </c>
      <c r="E878" s="102">
        <v>19.0</v>
      </c>
      <c r="F878" s="107">
        <v>141.0</v>
      </c>
      <c r="G878" s="15" t="str">
        <f t="shared" si="1"/>
        <v>19141</v>
      </c>
      <c r="H878" s="23" t="s">
        <v>925</v>
      </c>
      <c r="I878" s="23" t="s">
        <v>50</v>
      </c>
      <c r="J878" s="23" t="s">
        <v>881</v>
      </c>
      <c r="K878" s="23" t="str">
        <f t="shared" si="16"/>
        <v>Obrien, IA</v>
      </c>
      <c r="L878" s="24"/>
    </row>
    <row r="879">
      <c r="A879" s="99">
        <v>878.0</v>
      </c>
      <c r="B879" s="15"/>
      <c r="C879" s="15"/>
      <c r="D879" s="105">
        <v>1.0</v>
      </c>
      <c r="E879" s="102">
        <v>19.0</v>
      </c>
      <c r="F879" s="107">
        <v>143.0</v>
      </c>
      <c r="G879" s="15" t="str">
        <f t="shared" si="1"/>
        <v>19143</v>
      </c>
      <c r="H879" s="23" t="s">
        <v>515</v>
      </c>
      <c r="I879" s="23" t="s">
        <v>50</v>
      </c>
      <c r="J879" s="23" t="s">
        <v>881</v>
      </c>
      <c r="K879" s="23" t="str">
        <f t="shared" si="16"/>
        <v>Osceola, IA</v>
      </c>
      <c r="L879" s="24"/>
    </row>
    <row r="880">
      <c r="A880" s="99">
        <v>879.0</v>
      </c>
      <c r="B880" s="15"/>
      <c r="C880" s="15"/>
      <c r="D880" s="105">
        <v>1.0</v>
      </c>
      <c r="E880" s="102">
        <v>19.0</v>
      </c>
      <c r="F880" s="107">
        <v>145.0</v>
      </c>
      <c r="G880" s="15" t="str">
        <f t="shared" si="1"/>
        <v>19145</v>
      </c>
      <c r="H880" s="23" t="s">
        <v>927</v>
      </c>
      <c r="I880" s="23" t="s">
        <v>50</v>
      </c>
      <c r="J880" s="23" t="s">
        <v>881</v>
      </c>
      <c r="K880" s="23" t="str">
        <f t="shared" si="16"/>
        <v>Page, IA</v>
      </c>
      <c r="L880" s="24"/>
    </row>
    <row r="881">
      <c r="A881" s="99">
        <v>880.0</v>
      </c>
      <c r="B881" s="15"/>
      <c r="C881" s="15"/>
      <c r="D881" s="105">
        <v>1.0</v>
      </c>
      <c r="E881" s="102">
        <v>19.0</v>
      </c>
      <c r="F881" s="107">
        <v>147.0</v>
      </c>
      <c r="G881" s="15" t="str">
        <f t="shared" si="1"/>
        <v>19147</v>
      </c>
      <c r="H881" s="23" t="s">
        <v>928</v>
      </c>
      <c r="I881" s="23" t="s">
        <v>50</v>
      </c>
      <c r="J881" s="23" t="s">
        <v>881</v>
      </c>
      <c r="K881" s="23" t="str">
        <f t="shared" si="16"/>
        <v>Palo Alto, IA</v>
      </c>
      <c r="L881" s="24"/>
    </row>
    <row r="882">
      <c r="A882" s="99">
        <v>881.0</v>
      </c>
      <c r="B882" s="15"/>
      <c r="C882" s="15"/>
      <c r="D882" s="105">
        <v>1.0</v>
      </c>
      <c r="E882" s="102">
        <v>19.0</v>
      </c>
      <c r="F882" s="107">
        <v>149.0</v>
      </c>
      <c r="G882" s="15" t="str">
        <f t="shared" si="1"/>
        <v>19149</v>
      </c>
      <c r="H882" s="23" t="s">
        <v>929</v>
      </c>
      <c r="I882" s="23" t="s">
        <v>50</v>
      </c>
      <c r="J882" s="23" t="s">
        <v>881</v>
      </c>
      <c r="K882" s="23" t="str">
        <f t="shared" si="16"/>
        <v>Plymouth, IA</v>
      </c>
      <c r="L882" s="24"/>
    </row>
    <row r="883">
      <c r="A883" s="99">
        <v>882.0</v>
      </c>
      <c r="B883" s="15"/>
      <c r="C883" s="15"/>
      <c r="D883" s="105">
        <v>1.0</v>
      </c>
      <c r="E883" s="102">
        <v>19.0</v>
      </c>
      <c r="F883" s="107">
        <v>151.0</v>
      </c>
      <c r="G883" s="15" t="str">
        <f t="shared" si="1"/>
        <v>19151</v>
      </c>
      <c r="H883" s="23" t="s">
        <v>930</v>
      </c>
      <c r="I883" s="23" t="s">
        <v>50</v>
      </c>
      <c r="J883" s="23" t="s">
        <v>881</v>
      </c>
      <c r="K883" s="23" t="str">
        <f t="shared" si="16"/>
        <v>Pocahontas, IA</v>
      </c>
      <c r="L883" s="24"/>
    </row>
    <row r="884">
      <c r="A884" s="99">
        <v>883.0</v>
      </c>
      <c r="B884" s="15"/>
      <c r="C884" s="15"/>
      <c r="D884" s="105">
        <v>1.0</v>
      </c>
      <c r="E884" s="102">
        <v>19.0</v>
      </c>
      <c r="F884" s="107">
        <v>153.0</v>
      </c>
      <c r="G884" s="15" t="str">
        <f t="shared" si="1"/>
        <v>19153</v>
      </c>
      <c r="H884" s="23" t="s">
        <v>302</v>
      </c>
      <c r="I884" s="23" t="s">
        <v>50</v>
      </c>
      <c r="J884" s="23" t="s">
        <v>881</v>
      </c>
      <c r="K884" s="23" t="str">
        <f t="shared" si="16"/>
        <v>Polk, IA</v>
      </c>
      <c r="L884" s="24"/>
    </row>
    <row r="885">
      <c r="A885" s="99">
        <v>884.0</v>
      </c>
      <c r="B885" s="15"/>
      <c r="C885" s="15"/>
      <c r="D885" s="105">
        <v>1.0</v>
      </c>
      <c r="E885" s="102">
        <v>19.0</v>
      </c>
      <c r="F885" s="107">
        <v>155.0</v>
      </c>
      <c r="G885" s="15" t="str">
        <f t="shared" si="1"/>
        <v>19155</v>
      </c>
      <c r="H885" s="23" t="s">
        <v>931</v>
      </c>
      <c r="I885" s="23" t="s">
        <v>50</v>
      </c>
      <c r="J885" s="23" t="s">
        <v>881</v>
      </c>
      <c r="K885" s="112" t="str">
        <f t="shared" si="16"/>
        <v>Pottawattamie, IA</v>
      </c>
      <c r="L885" s="24"/>
    </row>
    <row r="886">
      <c r="A886" s="99">
        <v>885.0</v>
      </c>
      <c r="B886" s="15"/>
      <c r="C886" s="15"/>
      <c r="D886" s="105">
        <v>1.0</v>
      </c>
      <c r="E886" s="102">
        <v>19.0</v>
      </c>
      <c r="F886" s="107">
        <v>157.0</v>
      </c>
      <c r="G886" s="15" t="str">
        <f t="shared" si="1"/>
        <v>19157</v>
      </c>
      <c r="H886" s="23" t="s">
        <v>932</v>
      </c>
      <c r="I886" s="23" t="s">
        <v>50</v>
      </c>
      <c r="J886" s="23" t="s">
        <v>881</v>
      </c>
      <c r="K886" s="23" t="str">
        <f t="shared" si="16"/>
        <v>Poweshiek, IA</v>
      </c>
      <c r="L886" s="24"/>
    </row>
    <row r="887">
      <c r="A887" s="99">
        <v>886.0</v>
      </c>
      <c r="B887" s="15"/>
      <c r="C887" s="15"/>
      <c r="D887" s="105">
        <v>1.0</v>
      </c>
      <c r="E887" s="102">
        <v>19.0</v>
      </c>
      <c r="F887" s="107">
        <v>159.0</v>
      </c>
      <c r="G887" s="15" t="str">
        <f t="shared" si="1"/>
        <v>19159</v>
      </c>
      <c r="H887" s="23" t="s">
        <v>935</v>
      </c>
      <c r="I887" s="23" t="s">
        <v>50</v>
      </c>
      <c r="J887" s="23" t="s">
        <v>881</v>
      </c>
      <c r="K887" s="23" t="str">
        <f t="shared" si="16"/>
        <v>Ringgold, IA</v>
      </c>
      <c r="L887" s="24"/>
    </row>
    <row r="888">
      <c r="A888" s="99">
        <v>887.0</v>
      </c>
      <c r="B888" s="15"/>
      <c r="C888" s="15"/>
      <c r="D888" s="105">
        <v>1.0</v>
      </c>
      <c r="E888" s="102">
        <v>19.0</v>
      </c>
      <c r="F888" s="107">
        <v>161.0</v>
      </c>
      <c r="G888" s="15" t="str">
        <f t="shared" si="1"/>
        <v>19161</v>
      </c>
      <c r="H888" s="23" t="s">
        <v>936</v>
      </c>
      <c r="I888" s="23" t="s">
        <v>50</v>
      </c>
      <c r="J888" s="23" t="s">
        <v>881</v>
      </c>
      <c r="K888" s="23" t="str">
        <f t="shared" si="16"/>
        <v>Sac, IA</v>
      </c>
      <c r="L888" s="24"/>
    </row>
    <row r="889">
      <c r="A889" s="99">
        <v>888.0</v>
      </c>
      <c r="B889" s="15"/>
      <c r="C889" s="15"/>
      <c r="D889" s="105">
        <v>1.0</v>
      </c>
      <c r="E889" s="102">
        <v>19.0</v>
      </c>
      <c r="F889" s="107">
        <v>163.0</v>
      </c>
      <c r="G889" s="15" t="str">
        <f t="shared" si="1"/>
        <v>19163</v>
      </c>
      <c r="H889" s="23" t="s">
        <v>309</v>
      </c>
      <c r="I889" s="23" t="s">
        <v>50</v>
      </c>
      <c r="J889" s="23" t="s">
        <v>881</v>
      </c>
      <c r="K889" s="23" t="str">
        <f t="shared" si="16"/>
        <v>Scott, IA</v>
      </c>
      <c r="L889" s="24"/>
    </row>
    <row r="890">
      <c r="A890" s="99">
        <v>889.0</v>
      </c>
      <c r="B890" s="15"/>
      <c r="C890" s="15"/>
      <c r="D890" s="105">
        <v>1.0</v>
      </c>
      <c r="E890" s="102">
        <v>19.0</v>
      </c>
      <c r="F890" s="107">
        <v>165.0</v>
      </c>
      <c r="G890" s="15" t="str">
        <f t="shared" si="1"/>
        <v>19165</v>
      </c>
      <c r="H890" s="23" t="s">
        <v>168</v>
      </c>
      <c r="I890" s="23" t="s">
        <v>50</v>
      </c>
      <c r="J890" s="23" t="s">
        <v>881</v>
      </c>
      <c r="K890" s="23" t="str">
        <f t="shared" si="16"/>
        <v>Shelby, IA</v>
      </c>
      <c r="L890" s="24"/>
    </row>
    <row r="891">
      <c r="A891" s="99">
        <v>890.0</v>
      </c>
      <c r="B891" s="15"/>
      <c r="C891" s="15"/>
      <c r="D891" s="105">
        <v>1.0</v>
      </c>
      <c r="E891" s="102">
        <v>19.0</v>
      </c>
      <c r="F891" s="107">
        <v>167.0</v>
      </c>
      <c r="G891" s="15" t="str">
        <f t="shared" si="1"/>
        <v>19167</v>
      </c>
      <c r="H891" s="23" t="s">
        <v>937</v>
      </c>
      <c r="I891" s="23" t="s">
        <v>50</v>
      </c>
      <c r="J891" s="23" t="s">
        <v>881</v>
      </c>
      <c r="K891" s="23" t="str">
        <f t="shared" si="16"/>
        <v>Sioux, IA</v>
      </c>
      <c r="L891" s="24"/>
    </row>
    <row r="892">
      <c r="A892" s="99">
        <v>891.0</v>
      </c>
      <c r="B892" s="15"/>
      <c r="C892" s="15"/>
      <c r="D892" s="105">
        <v>1.0</v>
      </c>
      <c r="E892" s="102">
        <v>19.0</v>
      </c>
      <c r="F892" s="107">
        <v>169.0</v>
      </c>
      <c r="G892" s="15" t="str">
        <f t="shared" si="1"/>
        <v>19169</v>
      </c>
      <c r="H892" s="23" t="s">
        <v>939</v>
      </c>
      <c r="I892" s="23" t="s">
        <v>50</v>
      </c>
      <c r="J892" s="23" t="s">
        <v>881</v>
      </c>
      <c r="K892" s="23" t="str">
        <f t="shared" si="16"/>
        <v>Story, IA</v>
      </c>
      <c r="L892" s="24"/>
    </row>
    <row r="893">
      <c r="A893" s="99">
        <v>892.0</v>
      </c>
      <c r="B893" s="15"/>
      <c r="C893" s="15"/>
      <c r="D893" s="105">
        <v>1.0</v>
      </c>
      <c r="E893" s="102">
        <v>19.0</v>
      </c>
      <c r="F893" s="107">
        <v>171.0</v>
      </c>
      <c r="G893" s="15" t="str">
        <f t="shared" si="1"/>
        <v>19171</v>
      </c>
      <c r="H893" s="23" t="s">
        <v>940</v>
      </c>
      <c r="I893" s="23" t="s">
        <v>50</v>
      </c>
      <c r="J893" s="23" t="s">
        <v>881</v>
      </c>
      <c r="K893" s="23" t="str">
        <f t="shared" si="16"/>
        <v>Tama, IA</v>
      </c>
      <c r="L893" s="24"/>
    </row>
    <row r="894">
      <c r="A894" s="99">
        <v>893.0</v>
      </c>
      <c r="B894" s="15"/>
      <c r="C894" s="15"/>
      <c r="D894" s="105">
        <v>1.0</v>
      </c>
      <c r="E894" s="102">
        <v>19.0</v>
      </c>
      <c r="F894" s="107">
        <v>173.0</v>
      </c>
      <c r="G894" s="15" t="str">
        <f t="shared" si="1"/>
        <v>19173</v>
      </c>
      <c r="H894" s="23" t="s">
        <v>526</v>
      </c>
      <c r="I894" s="23" t="s">
        <v>50</v>
      </c>
      <c r="J894" s="23" t="s">
        <v>881</v>
      </c>
      <c r="K894" s="23" t="str">
        <f t="shared" si="16"/>
        <v>Taylor, IA</v>
      </c>
      <c r="L894" s="24"/>
    </row>
    <row r="895">
      <c r="A895" s="99">
        <v>894.0</v>
      </c>
      <c r="B895" s="15"/>
      <c r="C895" s="15"/>
      <c r="D895" s="105">
        <v>1.0</v>
      </c>
      <c r="E895" s="102">
        <v>19.0</v>
      </c>
      <c r="F895" s="107">
        <v>175.0</v>
      </c>
      <c r="G895" s="15" t="str">
        <f t="shared" si="1"/>
        <v>19175</v>
      </c>
      <c r="H895" s="23" t="s">
        <v>316</v>
      </c>
      <c r="I895" s="23" t="s">
        <v>50</v>
      </c>
      <c r="J895" s="23" t="s">
        <v>881</v>
      </c>
      <c r="K895" s="23" t="str">
        <f t="shared" si="16"/>
        <v>Union, IA</v>
      </c>
      <c r="L895" s="24"/>
    </row>
    <row r="896">
      <c r="A896" s="99">
        <v>895.0</v>
      </c>
      <c r="B896" s="15"/>
      <c r="C896" s="15"/>
      <c r="D896" s="105">
        <v>1.0</v>
      </c>
      <c r="E896" s="102">
        <v>19.0</v>
      </c>
      <c r="F896" s="107">
        <v>177.0</v>
      </c>
      <c r="G896" s="15" t="str">
        <f t="shared" si="1"/>
        <v>19177</v>
      </c>
      <c r="H896" s="23" t="s">
        <v>317</v>
      </c>
      <c r="I896" s="23" t="s">
        <v>50</v>
      </c>
      <c r="J896" s="23" t="s">
        <v>881</v>
      </c>
      <c r="K896" s="23" t="str">
        <f t="shared" si="16"/>
        <v>Van Buren, IA</v>
      </c>
      <c r="L896" s="24"/>
    </row>
    <row r="897">
      <c r="A897" s="99">
        <v>896.0</v>
      </c>
      <c r="B897" s="15"/>
      <c r="C897" s="15"/>
      <c r="D897" s="105">
        <v>1.0</v>
      </c>
      <c r="E897" s="102">
        <v>19.0</v>
      </c>
      <c r="F897" s="107">
        <v>179.0</v>
      </c>
      <c r="G897" s="15" t="str">
        <f t="shared" si="1"/>
        <v>19179</v>
      </c>
      <c r="H897" s="23" t="s">
        <v>942</v>
      </c>
      <c r="I897" s="23" t="s">
        <v>50</v>
      </c>
      <c r="J897" s="23" t="s">
        <v>881</v>
      </c>
      <c r="K897" s="23" t="str">
        <f t="shared" si="16"/>
        <v>Wapello, IA</v>
      </c>
      <c r="L897" s="24"/>
    </row>
    <row r="898">
      <c r="A898" s="99">
        <v>897.0</v>
      </c>
      <c r="B898" s="15"/>
      <c r="C898" s="15"/>
      <c r="D898" s="105">
        <v>1.0</v>
      </c>
      <c r="E898" s="102">
        <v>19.0</v>
      </c>
      <c r="F898" s="107">
        <v>181.0</v>
      </c>
      <c r="G898" s="15" t="str">
        <f t="shared" si="1"/>
        <v>19181</v>
      </c>
      <c r="H898" s="23" t="s">
        <v>647</v>
      </c>
      <c r="I898" s="23" t="s">
        <v>50</v>
      </c>
      <c r="J898" s="23" t="s">
        <v>881</v>
      </c>
      <c r="K898" s="23" t="str">
        <f t="shared" si="16"/>
        <v>Warren, IA</v>
      </c>
      <c r="L898" s="24"/>
    </row>
    <row r="899">
      <c r="A899" s="99">
        <v>898.0</v>
      </c>
      <c r="B899" s="15"/>
      <c r="C899" s="15"/>
      <c r="D899" s="105">
        <v>1.0</v>
      </c>
      <c r="E899" s="102">
        <v>19.0</v>
      </c>
      <c r="F899" s="107">
        <v>183.0</v>
      </c>
      <c r="G899" s="15" t="str">
        <f t="shared" si="1"/>
        <v>19183</v>
      </c>
      <c r="H899" s="23" t="s">
        <v>119</v>
      </c>
      <c r="I899" s="23" t="s">
        <v>50</v>
      </c>
      <c r="J899" s="23" t="s">
        <v>881</v>
      </c>
      <c r="K899" s="23" t="str">
        <f t="shared" si="16"/>
        <v>Washington, IA</v>
      </c>
      <c r="L899" s="24"/>
    </row>
    <row r="900">
      <c r="A900" s="99">
        <v>899.0</v>
      </c>
      <c r="B900" s="15"/>
      <c r="C900" s="15"/>
      <c r="D900" s="105">
        <v>1.0</v>
      </c>
      <c r="E900" s="102">
        <v>19.0</v>
      </c>
      <c r="F900" s="107">
        <v>185.0</v>
      </c>
      <c r="G900" s="15" t="str">
        <f t="shared" si="1"/>
        <v>19185</v>
      </c>
      <c r="H900" s="23" t="s">
        <v>273</v>
      </c>
      <c r="I900" s="23" t="s">
        <v>50</v>
      </c>
      <c r="J900" s="23" t="s">
        <v>881</v>
      </c>
      <c r="K900" s="23" t="str">
        <f t="shared" si="16"/>
        <v>Wayne, IA</v>
      </c>
      <c r="L900" s="24"/>
    </row>
    <row r="901">
      <c r="A901" s="99">
        <v>900.0</v>
      </c>
      <c r="B901" s="15"/>
      <c r="C901" s="15"/>
      <c r="D901" s="105">
        <v>1.0</v>
      </c>
      <c r="E901" s="102">
        <v>19.0</v>
      </c>
      <c r="F901" s="107">
        <v>187.0</v>
      </c>
      <c r="G901" s="15" t="str">
        <f t="shared" si="1"/>
        <v>19187</v>
      </c>
      <c r="H901" s="23" t="s">
        <v>648</v>
      </c>
      <c r="I901" s="23" t="s">
        <v>50</v>
      </c>
      <c r="J901" s="23" t="s">
        <v>881</v>
      </c>
      <c r="K901" s="23" t="str">
        <f t="shared" si="16"/>
        <v>Webster, IA</v>
      </c>
      <c r="L901" s="24"/>
    </row>
    <row r="902">
      <c r="A902" s="99">
        <v>901.0</v>
      </c>
      <c r="B902" s="15"/>
      <c r="C902" s="15"/>
      <c r="D902" s="105">
        <v>1.0</v>
      </c>
      <c r="E902" s="102">
        <v>19.0</v>
      </c>
      <c r="F902" s="107">
        <v>189.0</v>
      </c>
      <c r="G902" s="15" t="str">
        <f t="shared" si="1"/>
        <v>19189</v>
      </c>
      <c r="H902" s="23" t="s">
        <v>753</v>
      </c>
      <c r="I902" s="23" t="s">
        <v>50</v>
      </c>
      <c r="J902" s="23" t="s">
        <v>881</v>
      </c>
      <c r="K902" s="23" t="str">
        <f t="shared" si="16"/>
        <v>Winnebago, IA</v>
      </c>
      <c r="L902" s="24"/>
    </row>
    <row r="903">
      <c r="A903" s="99">
        <v>902.0</v>
      </c>
      <c r="B903" s="15"/>
      <c r="C903" s="15"/>
      <c r="D903" s="105">
        <v>1.0</v>
      </c>
      <c r="E903" s="102">
        <v>19.0</v>
      </c>
      <c r="F903" s="107">
        <v>191.0</v>
      </c>
      <c r="G903" s="15" t="str">
        <f t="shared" si="1"/>
        <v>19191</v>
      </c>
      <c r="H903" s="23" t="s">
        <v>945</v>
      </c>
      <c r="I903" s="23" t="s">
        <v>50</v>
      </c>
      <c r="J903" s="23" t="s">
        <v>881</v>
      </c>
      <c r="K903" s="23" t="str">
        <f t="shared" si="16"/>
        <v>Winneshiek, IA</v>
      </c>
      <c r="L903" s="24"/>
    </row>
    <row r="904">
      <c r="A904" s="99">
        <v>903.0</v>
      </c>
      <c r="B904" s="15"/>
      <c r="C904" s="15"/>
      <c r="D904" s="105">
        <v>1.0</v>
      </c>
      <c r="E904" s="102">
        <v>19.0</v>
      </c>
      <c r="F904" s="107">
        <v>193.0</v>
      </c>
      <c r="G904" s="15" t="str">
        <f t="shared" si="1"/>
        <v>19193</v>
      </c>
      <c r="H904" s="23" t="s">
        <v>946</v>
      </c>
      <c r="I904" s="23" t="s">
        <v>50</v>
      </c>
      <c r="J904" s="23" t="s">
        <v>881</v>
      </c>
      <c r="K904" s="23" t="str">
        <f t="shared" si="16"/>
        <v>Woodbury, IA</v>
      </c>
      <c r="L904" s="24"/>
    </row>
    <row r="905">
      <c r="A905" s="99">
        <v>904.0</v>
      </c>
      <c r="B905" s="15"/>
      <c r="C905" s="15"/>
      <c r="D905" s="105">
        <v>1.0</v>
      </c>
      <c r="E905" s="102">
        <v>19.0</v>
      </c>
      <c r="F905" s="107">
        <v>195.0</v>
      </c>
      <c r="G905" s="15" t="str">
        <f t="shared" si="1"/>
        <v>19195</v>
      </c>
      <c r="H905" s="23" t="s">
        <v>655</v>
      </c>
      <c r="I905" s="23" t="s">
        <v>50</v>
      </c>
      <c r="J905" s="23" t="s">
        <v>881</v>
      </c>
      <c r="K905" s="23" t="str">
        <f t="shared" si="16"/>
        <v>Worth, IA</v>
      </c>
      <c r="L905" s="24"/>
    </row>
    <row r="906">
      <c r="A906" s="99">
        <v>905.0</v>
      </c>
      <c r="B906" s="15"/>
      <c r="C906" s="15"/>
      <c r="D906" s="105">
        <v>1.0</v>
      </c>
      <c r="E906" s="102">
        <v>19.0</v>
      </c>
      <c r="F906" s="107">
        <v>197.0</v>
      </c>
      <c r="G906" s="15" t="str">
        <f t="shared" si="1"/>
        <v>19197</v>
      </c>
      <c r="H906" s="23" t="s">
        <v>949</v>
      </c>
      <c r="I906" s="23" t="s">
        <v>50</v>
      </c>
      <c r="J906" s="23" t="s">
        <v>881</v>
      </c>
      <c r="K906" s="23" t="str">
        <f t="shared" si="16"/>
        <v>Wright, IA</v>
      </c>
      <c r="L906" s="24"/>
    </row>
    <row r="907">
      <c r="A907" s="28">
        <v>906.0</v>
      </c>
      <c r="B907" s="29"/>
      <c r="C907" s="29" t="s">
        <v>25</v>
      </c>
      <c r="D907" s="30"/>
      <c r="E907" s="31">
        <v>20.0</v>
      </c>
      <c r="F907" s="42">
        <v>0.0</v>
      </c>
      <c r="G907" s="29" t="str">
        <f t="shared" si="1"/>
        <v>20000</v>
      </c>
      <c r="H907" s="37"/>
      <c r="I907" s="37" t="s">
        <v>53</v>
      </c>
      <c r="J907" s="37" t="s">
        <v>612</v>
      </c>
      <c r="K907" s="37"/>
      <c r="L907" s="24"/>
    </row>
    <row r="908">
      <c r="A908" s="28">
        <v>907.0</v>
      </c>
      <c r="B908" s="29"/>
      <c r="C908" s="29"/>
      <c r="D908" s="40">
        <v>1.0</v>
      </c>
      <c r="E908" s="31">
        <v>20.0</v>
      </c>
      <c r="F908" s="42">
        <v>1.0</v>
      </c>
      <c r="G908" s="29" t="str">
        <f t="shared" si="1"/>
        <v>20001</v>
      </c>
      <c r="H908" s="37" t="s">
        <v>755</v>
      </c>
      <c r="I908" s="37" t="s">
        <v>53</v>
      </c>
      <c r="J908" s="37" t="s">
        <v>612</v>
      </c>
      <c r="K908" s="37" t="str">
        <f t="shared" ref="K908:K1012" si="17">CONCATENATE(H908,", ",J908)</f>
        <v>Allen, KS</v>
      </c>
      <c r="L908" s="24"/>
    </row>
    <row r="909">
      <c r="A909" s="28">
        <v>908.0</v>
      </c>
      <c r="B909" s="29"/>
      <c r="C909" s="29"/>
      <c r="D909" s="40">
        <v>1.0</v>
      </c>
      <c r="E909" s="31">
        <v>20.0</v>
      </c>
      <c r="F909" s="42">
        <v>3.0</v>
      </c>
      <c r="G909" s="29" t="str">
        <f t="shared" si="1"/>
        <v>20003</v>
      </c>
      <c r="H909" s="37" t="s">
        <v>954</v>
      </c>
      <c r="I909" s="37" t="s">
        <v>53</v>
      </c>
      <c r="J909" s="37" t="s">
        <v>612</v>
      </c>
      <c r="K909" s="37" t="str">
        <f t="shared" si="17"/>
        <v>Anderson, KS</v>
      </c>
      <c r="L909" s="24"/>
    </row>
    <row r="910">
      <c r="A910" s="28">
        <v>909.0</v>
      </c>
      <c r="B910" s="29"/>
      <c r="C910" s="29"/>
      <c r="D910" s="40">
        <v>1.0</v>
      </c>
      <c r="E910" s="31">
        <v>20.0</v>
      </c>
      <c r="F910" s="42">
        <v>5.0</v>
      </c>
      <c r="G910" s="29" t="str">
        <f t="shared" si="1"/>
        <v>20005</v>
      </c>
      <c r="H910" s="37" t="s">
        <v>955</v>
      </c>
      <c r="I910" s="37" t="s">
        <v>53</v>
      </c>
      <c r="J910" s="37" t="s">
        <v>612</v>
      </c>
      <c r="K910" s="37" t="str">
        <f t="shared" si="17"/>
        <v>Atchison, KS</v>
      </c>
      <c r="L910" s="24"/>
    </row>
    <row r="911">
      <c r="A911" s="28">
        <v>910.0</v>
      </c>
      <c r="B911" s="29"/>
      <c r="C911" s="29"/>
      <c r="D911" s="40">
        <v>1.0</v>
      </c>
      <c r="E911" s="31">
        <v>20.0</v>
      </c>
      <c r="F911" s="42">
        <v>7.0</v>
      </c>
      <c r="G911" s="29" t="str">
        <f t="shared" si="1"/>
        <v>20007</v>
      </c>
      <c r="H911" s="37" t="s">
        <v>957</v>
      </c>
      <c r="I911" s="37" t="s">
        <v>53</v>
      </c>
      <c r="J911" s="37" t="s">
        <v>612</v>
      </c>
      <c r="K911" s="37" t="str">
        <f t="shared" si="17"/>
        <v>Barber, KS</v>
      </c>
      <c r="L911" s="24"/>
    </row>
    <row r="912">
      <c r="A912" s="28">
        <v>911.0</v>
      </c>
      <c r="B912" s="29"/>
      <c r="C912" s="29"/>
      <c r="D912" s="40">
        <v>1.0</v>
      </c>
      <c r="E912" s="31">
        <v>20.0</v>
      </c>
      <c r="F912" s="42">
        <v>9.0</v>
      </c>
      <c r="G912" s="29" t="str">
        <f t="shared" si="1"/>
        <v>20009</v>
      </c>
      <c r="H912" s="37" t="s">
        <v>958</v>
      </c>
      <c r="I912" s="37" t="s">
        <v>53</v>
      </c>
      <c r="J912" s="37" t="s">
        <v>612</v>
      </c>
      <c r="K912" s="37" t="str">
        <f t="shared" si="17"/>
        <v>Barton, KS</v>
      </c>
      <c r="L912" s="24"/>
    </row>
    <row r="913">
      <c r="A913" s="28">
        <v>912.0</v>
      </c>
      <c r="B913" s="29"/>
      <c r="C913" s="29"/>
      <c r="D913" s="40">
        <v>1.0</v>
      </c>
      <c r="E913" s="31">
        <v>20.0</v>
      </c>
      <c r="F913" s="42">
        <v>11.0</v>
      </c>
      <c r="G913" s="29" t="str">
        <f t="shared" si="1"/>
        <v>20011</v>
      </c>
      <c r="H913" s="37" t="s">
        <v>959</v>
      </c>
      <c r="I913" s="37" t="s">
        <v>53</v>
      </c>
      <c r="J913" s="37" t="s">
        <v>612</v>
      </c>
      <c r="K913" s="37" t="str">
        <f t="shared" si="17"/>
        <v>Bourbon, KS</v>
      </c>
      <c r="L913" s="24"/>
    </row>
    <row r="914">
      <c r="A914" s="28">
        <v>913.0</v>
      </c>
      <c r="B914" s="29"/>
      <c r="C914" s="29"/>
      <c r="D914" s="40">
        <v>1.0</v>
      </c>
      <c r="E914" s="31">
        <v>20.0</v>
      </c>
      <c r="F914" s="42">
        <v>13.0</v>
      </c>
      <c r="G914" s="29" t="str">
        <f t="shared" si="1"/>
        <v>20013</v>
      </c>
      <c r="H914" s="37" t="s">
        <v>706</v>
      </c>
      <c r="I914" s="37" t="s">
        <v>53</v>
      </c>
      <c r="J914" s="37" t="s">
        <v>612</v>
      </c>
      <c r="K914" s="37" t="str">
        <f t="shared" si="17"/>
        <v>Brown, KS</v>
      </c>
      <c r="L914" s="24"/>
    </row>
    <row r="915">
      <c r="A915" s="28">
        <v>914.0</v>
      </c>
      <c r="B915" s="29"/>
      <c r="C915" s="29"/>
      <c r="D915" s="40">
        <v>1.0</v>
      </c>
      <c r="E915" s="31">
        <v>20.0</v>
      </c>
      <c r="F915" s="42">
        <v>15.0</v>
      </c>
      <c r="G915" s="29" t="str">
        <f t="shared" si="1"/>
        <v>20015</v>
      </c>
      <c r="H915" s="37" t="s">
        <v>87</v>
      </c>
      <c r="I915" s="37" t="s">
        <v>53</v>
      </c>
      <c r="J915" s="37" t="s">
        <v>612</v>
      </c>
      <c r="K915" s="37" t="str">
        <f t="shared" si="17"/>
        <v>Butler, KS</v>
      </c>
      <c r="L915" s="24"/>
    </row>
    <row r="916">
      <c r="A916" s="28">
        <v>915.0</v>
      </c>
      <c r="B916" s="29"/>
      <c r="C916" s="29"/>
      <c r="D916" s="40">
        <v>1.0</v>
      </c>
      <c r="E916" s="31">
        <v>20.0</v>
      </c>
      <c r="F916" s="42">
        <v>17.0</v>
      </c>
      <c r="G916" s="29" t="str">
        <f t="shared" si="1"/>
        <v>20017</v>
      </c>
      <c r="H916" s="37" t="s">
        <v>960</v>
      </c>
      <c r="I916" s="37" t="s">
        <v>53</v>
      </c>
      <c r="J916" s="37" t="s">
        <v>612</v>
      </c>
      <c r="K916" s="37" t="str">
        <f t="shared" si="17"/>
        <v>Chase, KS</v>
      </c>
      <c r="L916" s="24"/>
    </row>
    <row r="917">
      <c r="A917" s="28">
        <v>916.0</v>
      </c>
      <c r="B917" s="29"/>
      <c r="C917" s="29"/>
      <c r="D917" s="40">
        <v>1.0</v>
      </c>
      <c r="E917" s="31">
        <v>20.0</v>
      </c>
      <c r="F917" s="42">
        <v>19.0</v>
      </c>
      <c r="G917" s="29" t="str">
        <f t="shared" si="1"/>
        <v>20019</v>
      </c>
      <c r="H917" s="37" t="s">
        <v>961</v>
      </c>
      <c r="I917" s="37" t="s">
        <v>53</v>
      </c>
      <c r="J917" s="37" t="s">
        <v>612</v>
      </c>
      <c r="K917" s="37" t="str">
        <f t="shared" si="17"/>
        <v>Chautauqua, KS</v>
      </c>
      <c r="L917" s="24"/>
    </row>
    <row r="918">
      <c r="A918" s="28">
        <v>917.0</v>
      </c>
      <c r="B918" s="29"/>
      <c r="C918" s="29"/>
      <c r="D918" s="40">
        <v>1.0</v>
      </c>
      <c r="E918" s="31">
        <v>20.0</v>
      </c>
      <c r="F918" s="42">
        <v>21.0</v>
      </c>
      <c r="G918" s="29" t="str">
        <f t="shared" si="1"/>
        <v>20021</v>
      </c>
      <c r="H918" s="37" t="s">
        <v>101</v>
      </c>
      <c r="I918" s="37" t="s">
        <v>53</v>
      </c>
      <c r="J918" s="37" t="s">
        <v>612</v>
      </c>
      <c r="K918" s="37" t="str">
        <f t="shared" si="17"/>
        <v>Cherokee, KS</v>
      </c>
      <c r="L918" s="24"/>
    </row>
    <row r="919">
      <c r="A919" s="28">
        <v>918.0</v>
      </c>
      <c r="B919" s="29"/>
      <c r="C919" s="29"/>
      <c r="D919" s="40">
        <v>1.0</v>
      </c>
      <c r="E919" s="31">
        <v>20.0</v>
      </c>
      <c r="F919" s="42">
        <v>23.0</v>
      </c>
      <c r="G919" s="29" t="str">
        <f t="shared" si="1"/>
        <v>20023</v>
      </c>
      <c r="H919" s="37" t="s">
        <v>399</v>
      </c>
      <c r="I919" s="37" t="s">
        <v>53</v>
      </c>
      <c r="J919" s="37" t="s">
        <v>612</v>
      </c>
      <c r="K919" s="37" t="str">
        <f t="shared" si="17"/>
        <v>Cheyenne, KS</v>
      </c>
      <c r="L919" s="24"/>
    </row>
    <row r="920">
      <c r="A920" s="28">
        <v>919.0</v>
      </c>
      <c r="B920" s="29"/>
      <c r="C920" s="29"/>
      <c r="D920" s="40">
        <v>1.0</v>
      </c>
      <c r="E920" s="31">
        <v>20.0</v>
      </c>
      <c r="F920" s="42">
        <v>25.0</v>
      </c>
      <c r="G920" s="29" t="str">
        <f t="shared" si="1"/>
        <v>20025</v>
      </c>
      <c r="H920" s="37" t="s">
        <v>253</v>
      </c>
      <c r="I920" s="37" t="s">
        <v>53</v>
      </c>
      <c r="J920" s="37" t="s">
        <v>612</v>
      </c>
      <c r="K920" s="37" t="str">
        <f t="shared" si="17"/>
        <v>Clark, KS</v>
      </c>
      <c r="L920" s="24"/>
    </row>
    <row r="921">
      <c r="A921" s="28">
        <v>920.0</v>
      </c>
      <c r="B921" s="29"/>
      <c r="C921" s="29"/>
      <c r="D921" s="40">
        <v>1.0</v>
      </c>
      <c r="E921" s="31">
        <v>20.0</v>
      </c>
      <c r="F921" s="42">
        <v>27.0</v>
      </c>
      <c r="G921" s="29" t="str">
        <f t="shared" si="1"/>
        <v>20027</v>
      </c>
      <c r="H921" s="37" t="s">
        <v>112</v>
      </c>
      <c r="I921" s="37" t="s">
        <v>53</v>
      </c>
      <c r="J921" s="37" t="s">
        <v>612</v>
      </c>
      <c r="K921" s="37" t="str">
        <f t="shared" si="17"/>
        <v>Clay, KS</v>
      </c>
      <c r="L921" s="24"/>
    </row>
    <row r="922">
      <c r="A922" s="28">
        <v>921.0</v>
      </c>
      <c r="B922" s="29"/>
      <c r="C922" s="29"/>
      <c r="D922" s="40">
        <v>1.0</v>
      </c>
      <c r="E922" s="31">
        <v>20.0</v>
      </c>
      <c r="F922" s="42">
        <v>29.0</v>
      </c>
      <c r="G922" s="29" t="str">
        <f t="shared" si="1"/>
        <v>20029</v>
      </c>
      <c r="H922" s="37" t="s">
        <v>962</v>
      </c>
      <c r="I922" s="37" t="s">
        <v>53</v>
      </c>
      <c r="J922" s="37" t="s">
        <v>612</v>
      </c>
      <c r="K922" s="37" t="str">
        <f t="shared" si="17"/>
        <v>Cloud, KS</v>
      </c>
      <c r="L922" s="24"/>
    </row>
    <row r="923">
      <c r="A923" s="28">
        <v>922.0</v>
      </c>
      <c r="B923" s="29"/>
      <c r="C923" s="29"/>
      <c r="D923" s="40">
        <v>1.0</v>
      </c>
      <c r="E923" s="31">
        <v>20.0</v>
      </c>
      <c r="F923" s="42">
        <v>31.0</v>
      </c>
      <c r="G923" s="29" t="str">
        <f t="shared" si="1"/>
        <v>20031</v>
      </c>
      <c r="H923" s="37" t="s">
        <v>963</v>
      </c>
      <c r="I923" s="37" t="s">
        <v>53</v>
      </c>
      <c r="J923" s="37" t="s">
        <v>612</v>
      </c>
      <c r="K923" s="37" t="str">
        <f t="shared" si="17"/>
        <v>Coffey, KS</v>
      </c>
      <c r="L923" s="24"/>
    </row>
    <row r="924">
      <c r="A924" s="28">
        <v>923.0</v>
      </c>
      <c r="B924" s="29"/>
      <c r="C924" s="29"/>
      <c r="D924" s="40">
        <v>1.0</v>
      </c>
      <c r="E924" s="31">
        <v>20.0</v>
      </c>
      <c r="F924" s="42">
        <v>33.0</v>
      </c>
      <c r="G924" s="29" t="str">
        <f t="shared" si="1"/>
        <v>20033</v>
      </c>
      <c r="H924" s="37" t="s">
        <v>964</v>
      </c>
      <c r="I924" s="37" t="s">
        <v>53</v>
      </c>
      <c r="J924" s="37" t="s">
        <v>612</v>
      </c>
      <c r="K924" s="37" t="str">
        <f t="shared" si="17"/>
        <v>Comanche, KS</v>
      </c>
      <c r="L924" s="24"/>
    </row>
    <row r="925">
      <c r="A925" s="28">
        <v>924.0</v>
      </c>
      <c r="B925" s="29"/>
      <c r="C925" s="29"/>
      <c r="D925" s="40">
        <v>1.0</v>
      </c>
      <c r="E925" s="31">
        <v>20.0</v>
      </c>
      <c r="F925" s="42">
        <v>35.0</v>
      </c>
      <c r="G925" s="29" t="str">
        <f t="shared" si="1"/>
        <v>20035</v>
      </c>
      <c r="H925" s="37" t="s">
        <v>965</v>
      </c>
      <c r="I925" s="37" t="s">
        <v>53</v>
      </c>
      <c r="J925" s="37" t="s">
        <v>612</v>
      </c>
      <c r="K925" s="37" t="str">
        <f t="shared" si="17"/>
        <v>Cowley, KS</v>
      </c>
      <c r="L925" s="24"/>
    </row>
    <row r="926">
      <c r="A926" s="28">
        <v>925.0</v>
      </c>
      <c r="B926" s="29"/>
      <c r="C926" s="29"/>
      <c r="D926" s="40">
        <v>1.0</v>
      </c>
      <c r="E926" s="31">
        <v>20.0</v>
      </c>
      <c r="F926" s="42">
        <v>37.0</v>
      </c>
      <c r="G926" s="29" t="str">
        <f t="shared" si="1"/>
        <v>20037</v>
      </c>
      <c r="H926" s="37" t="s">
        <v>263</v>
      </c>
      <c r="I926" s="37" t="s">
        <v>53</v>
      </c>
      <c r="J926" s="37" t="s">
        <v>612</v>
      </c>
      <c r="K926" s="37" t="str">
        <f t="shared" si="17"/>
        <v>Crawford, KS</v>
      </c>
      <c r="L926" s="24"/>
    </row>
    <row r="927">
      <c r="A927" s="28">
        <v>926.0</v>
      </c>
      <c r="B927" s="29"/>
      <c r="C927" s="29"/>
      <c r="D927" s="40">
        <v>1.0</v>
      </c>
      <c r="E927" s="31">
        <v>20.0</v>
      </c>
      <c r="F927" s="42">
        <v>39.0</v>
      </c>
      <c r="G927" s="29" t="str">
        <f t="shared" si="1"/>
        <v>20039</v>
      </c>
      <c r="H927" s="37" t="s">
        <v>563</v>
      </c>
      <c r="I927" s="37" t="s">
        <v>53</v>
      </c>
      <c r="J927" s="37" t="s">
        <v>612</v>
      </c>
      <c r="K927" s="37" t="str">
        <f t="shared" si="17"/>
        <v>Decatur, KS</v>
      </c>
      <c r="L927" s="24"/>
    </row>
    <row r="928">
      <c r="A928" s="28">
        <v>927.0</v>
      </c>
      <c r="B928" s="29"/>
      <c r="C928" s="29"/>
      <c r="D928" s="40">
        <v>1.0</v>
      </c>
      <c r="E928" s="31">
        <v>20.0</v>
      </c>
      <c r="F928" s="42">
        <v>41.0</v>
      </c>
      <c r="G928" s="29" t="str">
        <f t="shared" si="1"/>
        <v>20041</v>
      </c>
      <c r="H928" s="37" t="s">
        <v>899</v>
      </c>
      <c r="I928" s="37" t="s">
        <v>53</v>
      </c>
      <c r="J928" s="37" t="s">
        <v>612</v>
      </c>
      <c r="K928" s="37" t="str">
        <f t="shared" si="17"/>
        <v>Dickinson, KS</v>
      </c>
      <c r="L928" s="24"/>
    </row>
    <row r="929">
      <c r="A929" s="28">
        <v>928.0</v>
      </c>
      <c r="B929" s="29"/>
      <c r="C929" s="29"/>
      <c r="D929" s="40">
        <v>1.0</v>
      </c>
      <c r="E929" s="31">
        <v>20.0</v>
      </c>
      <c r="F929" s="42">
        <v>43.0</v>
      </c>
      <c r="G929" s="29" t="str">
        <f t="shared" si="1"/>
        <v>20043</v>
      </c>
      <c r="H929" s="37" t="s">
        <v>967</v>
      </c>
      <c r="I929" s="37" t="s">
        <v>53</v>
      </c>
      <c r="J929" s="37" t="s">
        <v>612</v>
      </c>
      <c r="K929" s="37" t="str">
        <f t="shared" si="17"/>
        <v>Doniphan, KS</v>
      </c>
      <c r="L929" s="24"/>
    </row>
    <row r="930">
      <c r="A930" s="28">
        <v>929.0</v>
      </c>
      <c r="B930" s="29"/>
      <c r="C930" s="29"/>
      <c r="D930" s="40">
        <v>1.0</v>
      </c>
      <c r="E930" s="31">
        <v>20.0</v>
      </c>
      <c r="F930" s="42">
        <v>45.0</v>
      </c>
      <c r="G930" s="29" t="str">
        <f t="shared" si="1"/>
        <v>20045</v>
      </c>
      <c r="H930" s="37" t="s">
        <v>412</v>
      </c>
      <c r="I930" s="37" t="s">
        <v>53</v>
      </c>
      <c r="J930" s="37" t="s">
        <v>612</v>
      </c>
      <c r="K930" s="37" t="str">
        <f t="shared" si="17"/>
        <v>Douglas, KS</v>
      </c>
      <c r="L930" s="24"/>
    </row>
    <row r="931">
      <c r="A931" s="28">
        <v>930.0</v>
      </c>
      <c r="B931" s="29"/>
      <c r="C931" s="29"/>
      <c r="D931" s="40">
        <v>1.0</v>
      </c>
      <c r="E931" s="31">
        <v>20.0</v>
      </c>
      <c r="F931" s="42">
        <v>47.0</v>
      </c>
      <c r="G931" s="29" t="str">
        <f t="shared" si="1"/>
        <v>20047</v>
      </c>
      <c r="H931" s="37" t="s">
        <v>717</v>
      </c>
      <c r="I931" s="37" t="s">
        <v>53</v>
      </c>
      <c r="J931" s="37" t="s">
        <v>612</v>
      </c>
      <c r="K931" s="37" t="str">
        <f t="shared" si="17"/>
        <v>Edwards, KS</v>
      </c>
      <c r="L931" s="24"/>
    </row>
    <row r="932">
      <c r="A932" s="28">
        <v>931.0</v>
      </c>
      <c r="B932" s="29"/>
      <c r="C932" s="29"/>
      <c r="D932" s="40">
        <v>1.0</v>
      </c>
      <c r="E932" s="31">
        <v>20.0</v>
      </c>
      <c r="F932" s="42">
        <v>49.0</v>
      </c>
      <c r="G932" s="29" t="str">
        <f t="shared" si="1"/>
        <v>20049</v>
      </c>
      <c r="H932" s="37" t="s">
        <v>968</v>
      </c>
      <c r="I932" s="37" t="s">
        <v>53</v>
      </c>
      <c r="J932" s="37" t="s">
        <v>612</v>
      </c>
      <c r="K932" s="37" t="str">
        <f t="shared" si="17"/>
        <v>Elk, KS</v>
      </c>
      <c r="L932" s="24"/>
    </row>
    <row r="933">
      <c r="A933" s="28">
        <v>932.0</v>
      </c>
      <c r="B933" s="29"/>
      <c r="C933" s="29"/>
      <c r="D933" s="40">
        <v>1.0</v>
      </c>
      <c r="E933" s="31">
        <v>20.0</v>
      </c>
      <c r="F933" s="42">
        <v>51.0</v>
      </c>
      <c r="G933" s="29" t="str">
        <f t="shared" si="1"/>
        <v>20051</v>
      </c>
      <c r="H933" s="37" t="s">
        <v>969</v>
      </c>
      <c r="I933" s="37" t="s">
        <v>53</v>
      </c>
      <c r="J933" s="37" t="s">
        <v>612</v>
      </c>
      <c r="K933" s="37" t="str">
        <f t="shared" si="17"/>
        <v>Ellis, KS</v>
      </c>
      <c r="L933" s="24"/>
    </row>
    <row r="934">
      <c r="A934" s="28">
        <v>933.0</v>
      </c>
      <c r="B934" s="29"/>
      <c r="C934" s="29"/>
      <c r="D934" s="40">
        <v>1.0</v>
      </c>
      <c r="E934" s="31">
        <v>20.0</v>
      </c>
      <c r="F934" s="42">
        <v>53.0</v>
      </c>
      <c r="G934" s="29" t="str">
        <f t="shared" si="1"/>
        <v>20053</v>
      </c>
      <c r="H934" s="37" t="s">
        <v>970</v>
      </c>
      <c r="I934" s="37" t="s">
        <v>53</v>
      </c>
      <c r="J934" s="37" t="s">
        <v>612</v>
      </c>
      <c r="K934" s="37" t="str">
        <f t="shared" si="17"/>
        <v>Ellsworth, KS</v>
      </c>
      <c r="L934" s="24"/>
    </row>
    <row r="935">
      <c r="A935" s="28">
        <v>934.0</v>
      </c>
      <c r="B935" s="29"/>
      <c r="C935" s="29"/>
      <c r="D935" s="40">
        <v>1.0</v>
      </c>
      <c r="E935" s="31">
        <v>20.0</v>
      </c>
      <c r="F935" s="42">
        <v>55.0</v>
      </c>
      <c r="G935" s="29" t="str">
        <f t="shared" si="1"/>
        <v>20055</v>
      </c>
      <c r="H935" s="37" t="s">
        <v>971</v>
      </c>
      <c r="I935" s="37" t="s">
        <v>53</v>
      </c>
      <c r="J935" s="37" t="s">
        <v>612</v>
      </c>
      <c r="K935" s="37" t="str">
        <f t="shared" si="17"/>
        <v>Finney, KS</v>
      </c>
      <c r="L935" s="24"/>
    </row>
    <row r="936">
      <c r="A936" s="28">
        <v>935.0</v>
      </c>
      <c r="B936" s="29"/>
      <c r="C936" s="29"/>
      <c r="D936" s="40">
        <v>1.0</v>
      </c>
      <c r="E936" s="31">
        <v>20.0</v>
      </c>
      <c r="F936" s="42">
        <v>57.0</v>
      </c>
      <c r="G936" s="29" t="str">
        <f t="shared" si="1"/>
        <v>20057</v>
      </c>
      <c r="H936" s="37" t="s">
        <v>718</v>
      </c>
      <c r="I936" s="37" t="s">
        <v>53</v>
      </c>
      <c r="J936" s="37" t="s">
        <v>612</v>
      </c>
      <c r="K936" s="37" t="str">
        <f t="shared" si="17"/>
        <v>Ford, KS</v>
      </c>
      <c r="L936" s="24"/>
    </row>
    <row r="937">
      <c r="A937" s="28">
        <v>936.0</v>
      </c>
      <c r="B937" s="29"/>
      <c r="C937" s="29"/>
      <c r="D937" s="40">
        <v>1.0</v>
      </c>
      <c r="E937" s="31">
        <v>20.0</v>
      </c>
      <c r="F937" s="42">
        <v>59.0</v>
      </c>
      <c r="G937" s="29" t="str">
        <f t="shared" si="1"/>
        <v>20059</v>
      </c>
      <c r="H937" s="37" t="s">
        <v>136</v>
      </c>
      <c r="I937" s="37" t="s">
        <v>53</v>
      </c>
      <c r="J937" s="37" t="s">
        <v>612</v>
      </c>
      <c r="K937" s="37" t="str">
        <f t="shared" si="17"/>
        <v>Franklin, KS</v>
      </c>
      <c r="L937" s="24"/>
    </row>
    <row r="938">
      <c r="A938" s="28">
        <v>937.0</v>
      </c>
      <c r="B938" s="29"/>
      <c r="C938" s="29"/>
      <c r="D938" s="40">
        <v>1.0</v>
      </c>
      <c r="E938" s="31">
        <v>20.0</v>
      </c>
      <c r="F938" s="42">
        <v>61.0</v>
      </c>
      <c r="G938" s="29" t="str">
        <f t="shared" si="1"/>
        <v>20061</v>
      </c>
      <c r="H938" s="37" t="s">
        <v>973</v>
      </c>
      <c r="I938" s="37" t="s">
        <v>53</v>
      </c>
      <c r="J938" s="37" t="s">
        <v>612</v>
      </c>
      <c r="K938" s="37" t="str">
        <f t="shared" si="17"/>
        <v>Geary, KS</v>
      </c>
      <c r="L938" s="24"/>
    </row>
    <row r="939">
      <c r="A939" s="28">
        <v>938.0</v>
      </c>
      <c r="B939" s="29"/>
      <c r="C939" s="29"/>
      <c r="D939" s="40">
        <v>1.0</v>
      </c>
      <c r="E939" s="31">
        <v>20.0</v>
      </c>
      <c r="F939" s="42">
        <v>63.0</v>
      </c>
      <c r="G939" s="29" t="str">
        <f t="shared" si="1"/>
        <v>20063</v>
      </c>
      <c r="H939" s="37" t="s">
        <v>974</v>
      </c>
      <c r="I939" s="37" t="s">
        <v>53</v>
      </c>
      <c r="J939" s="37" t="s">
        <v>612</v>
      </c>
      <c r="K939" s="37" t="str">
        <f t="shared" si="17"/>
        <v>Gove, KS</v>
      </c>
      <c r="L939" s="24"/>
    </row>
    <row r="940">
      <c r="A940" s="28">
        <v>939.0</v>
      </c>
      <c r="B940" s="29"/>
      <c r="C940" s="29"/>
      <c r="D940" s="40">
        <v>1.0</v>
      </c>
      <c r="E940" s="31">
        <v>20.0</v>
      </c>
      <c r="F940" s="42">
        <v>65.0</v>
      </c>
      <c r="G940" s="29" t="str">
        <f t="shared" si="1"/>
        <v>20065</v>
      </c>
      <c r="H940" s="37" t="s">
        <v>224</v>
      </c>
      <c r="I940" s="37" t="s">
        <v>53</v>
      </c>
      <c r="J940" s="37" t="s">
        <v>612</v>
      </c>
      <c r="K940" s="37" t="str">
        <f t="shared" si="17"/>
        <v>Graham, KS</v>
      </c>
      <c r="L940" s="24"/>
    </row>
    <row r="941">
      <c r="A941" s="28">
        <v>940.0</v>
      </c>
      <c r="B941" s="29"/>
      <c r="C941" s="29"/>
      <c r="D941" s="40">
        <v>1.0</v>
      </c>
      <c r="E941" s="31">
        <v>20.0</v>
      </c>
      <c r="F941" s="42">
        <v>67.0</v>
      </c>
      <c r="G941" s="29" t="str">
        <f t="shared" si="1"/>
        <v>20067</v>
      </c>
      <c r="H941" s="37" t="s">
        <v>278</v>
      </c>
      <c r="I941" s="37" t="s">
        <v>53</v>
      </c>
      <c r="J941" s="37" t="s">
        <v>612</v>
      </c>
      <c r="K941" s="37" t="str">
        <f t="shared" si="17"/>
        <v>Grant, KS</v>
      </c>
      <c r="L941" s="24"/>
    </row>
    <row r="942">
      <c r="A942" s="28">
        <v>941.0</v>
      </c>
      <c r="B942" s="29"/>
      <c r="C942" s="29"/>
      <c r="D942" s="40">
        <v>1.0</v>
      </c>
      <c r="E942" s="31">
        <v>20.0</v>
      </c>
      <c r="F942" s="42">
        <v>69.0</v>
      </c>
      <c r="G942" s="29" t="str">
        <f t="shared" si="1"/>
        <v>20069</v>
      </c>
      <c r="H942" s="37" t="s">
        <v>975</v>
      </c>
      <c r="I942" s="37" t="s">
        <v>53</v>
      </c>
      <c r="J942" s="37" t="s">
        <v>612</v>
      </c>
      <c r="K942" s="37" t="str">
        <f t="shared" si="17"/>
        <v>Gray, KS</v>
      </c>
      <c r="L942" s="24"/>
    </row>
    <row r="943">
      <c r="A943" s="28">
        <v>942.0</v>
      </c>
      <c r="B943" s="29"/>
      <c r="C943" s="29"/>
      <c r="D943" s="40">
        <v>1.0</v>
      </c>
      <c r="E943" s="31">
        <v>20.0</v>
      </c>
      <c r="F943" s="42">
        <v>71.0</v>
      </c>
      <c r="G943" s="29" t="str">
        <f t="shared" si="1"/>
        <v>20071</v>
      </c>
      <c r="H943" s="37" t="s">
        <v>976</v>
      </c>
      <c r="I943" s="37" t="s">
        <v>53</v>
      </c>
      <c r="J943" s="37" t="s">
        <v>612</v>
      </c>
      <c r="K943" s="37" t="str">
        <f t="shared" si="17"/>
        <v>Greeley, KS</v>
      </c>
      <c r="L943" s="24"/>
    </row>
    <row r="944">
      <c r="A944" s="28">
        <v>943.0</v>
      </c>
      <c r="B944" s="29"/>
      <c r="C944" s="29"/>
      <c r="D944" s="40">
        <v>1.0</v>
      </c>
      <c r="E944" s="31">
        <v>20.0</v>
      </c>
      <c r="F944" s="42">
        <v>73.0</v>
      </c>
      <c r="G944" s="29" t="str">
        <f t="shared" si="1"/>
        <v>20073</v>
      </c>
      <c r="H944" s="37" t="s">
        <v>977</v>
      </c>
      <c r="I944" s="37" t="s">
        <v>53</v>
      </c>
      <c r="J944" s="37" t="s">
        <v>612</v>
      </c>
      <c r="K944" s="37" t="str">
        <f t="shared" si="17"/>
        <v>Greenwood, KS</v>
      </c>
      <c r="L944" s="24"/>
    </row>
    <row r="945">
      <c r="A945" s="28">
        <v>944.0</v>
      </c>
      <c r="B945" s="29"/>
      <c r="C945" s="29"/>
      <c r="D945" s="40">
        <v>1.0</v>
      </c>
      <c r="E945" s="31">
        <v>20.0</v>
      </c>
      <c r="F945" s="42">
        <v>75.0</v>
      </c>
      <c r="G945" s="29" t="str">
        <f t="shared" si="1"/>
        <v>20075</v>
      </c>
      <c r="H945" s="37" t="s">
        <v>497</v>
      </c>
      <c r="I945" s="37" t="s">
        <v>53</v>
      </c>
      <c r="J945" s="37" t="s">
        <v>612</v>
      </c>
      <c r="K945" s="37" t="str">
        <f t="shared" si="17"/>
        <v>Hamilton, KS</v>
      </c>
      <c r="L945" s="24"/>
    </row>
    <row r="946">
      <c r="A946" s="28">
        <v>945.0</v>
      </c>
      <c r="B946" s="29"/>
      <c r="C946" s="29"/>
      <c r="D946" s="40">
        <v>1.0</v>
      </c>
      <c r="E946" s="31">
        <v>20.0</v>
      </c>
      <c r="F946" s="42">
        <v>77.0</v>
      </c>
      <c r="G946" s="29" t="str">
        <f t="shared" si="1"/>
        <v>20077</v>
      </c>
      <c r="H946" s="37" t="s">
        <v>978</v>
      </c>
      <c r="I946" s="37" t="s">
        <v>53</v>
      </c>
      <c r="J946" s="37" t="s">
        <v>612</v>
      </c>
      <c r="K946" s="37" t="str">
        <f t="shared" si="17"/>
        <v>Harper, KS</v>
      </c>
      <c r="L946" s="24"/>
    </row>
    <row r="947">
      <c r="A947" s="28">
        <v>946.0</v>
      </c>
      <c r="B947" s="29"/>
      <c r="C947" s="29"/>
      <c r="D947" s="40">
        <v>1.0</v>
      </c>
      <c r="E947" s="31">
        <v>20.0</v>
      </c>
      <c r="F947" s="42">
        <v>79.0</v>
      </c>
      <c r="G947" s="29" t="str">
        <f t="shared" si="1"/>
        <v>20079</v>
      </c>
      <c r="H947" s="37" t="s">
        <v>979</v>
      </c>
      <c r="I947" s="37" t="s">
        <v>53</v>
      </c>
      <c r="J947" s="37" t="s">
        <v>612</v>
      </c>
      <c r="K947" s="37" t="str">
        <f t="shared" si="17"/>
        <v>Harvey, KS</v>
      </c>
      <c r="L947" s="24"/>
    </row>
    <row r="948">
      <c r="A948" s="28">
        <v>947.0</v>
      </c>
      <c r="B948" s="29"/>
      <c r="C948" s="29"/>
      <c r="D948" s="40">
        <v>1.0</v>
      </c>
      <c r="E948" s="31">
        <v>20.0</v>
      </c>
      <c r="F948" s="42">
        <v>81.0</v>
      </c>
      <c r="G948" s="29" t="str">
        <f t="shared" si="1"/>
        <v>20081</v>
      </c>
      <c r="H948" s="37" t="s">
        <v>980</v>
      </c>
      <c r="I948" s="37" t="s">
        <v>53</v>
      </c>
      <c r="J948" s="37" t="s">
        <v>612</v>
      </c>
      <c r="K948" s="37" t="str">
        <f t="shared" si="17"/>
        <v>Haskell, KS</v>
      </c>
      <c r="L948" s="24"/>
    </row>
    <row r="949">
      <c r="A949" s="28">
        <v>948.0</v>
      </c>
      <c r="B949" s="29"/>
      <c r="C949" s="29"/>
      <c r="D949" s="40">
        <v>1.0</v>
      </c>
      <c r="E949" s="31">
        <v>20.0</v>
      </c>
      <c r="F949" s="42">
        <v>83.0</v>
      </c>
      <c r="G949" s="29" t="str">
        <f t="shared" si="1"/>
        <v>20083</v>
      </c>
      <c r="H949" s="37" t="s">
        <v>981</v>
      </c>
      <c r="I949" s="37" t="s">
        <v>53</v>
      </c>
      <c r="J949" s="37" t="s">
        <v>612</v>
      </c>
      <c r="K949" s="37" t="str">
        <f t="shared" si="17"/>
        <v>Hodgeman, KS</v>
      </c>
      <c r="L949" s="24"/>
    </row>
    <row r="950">
      <c r="A950" s="28">
        <v>949.0</v>
      </c>
      <c r="B950" s="29"/>
      <c r="C950" s="29"/>
      <c r="D950" s="40">
        <v>1.0</v>
      </c>
      <c r="E950" s="31">
        <v>20.0</v>
      </c>
      <c r="F950" s="42">
        <v>85.0</v>
      </c>
      <c r="G950" s="29" t="str">
        <f t="shared" si="1"/>
        <v>20085</v>
      </c>
      <c r="H950" s="37" t="s">
        <v>142</v>
      </c>
      <c r="I950" s="37" t="s">
        <v>53</v>
      </c>
      <c r="J950" s="37" t="s">
        <v>612</v>
      </c>
      <c r="K950" s="37" t="str">
        <f t="shared" si="17"/>
        <v>Jackson, KS</v>
      </c>
      <c r="L950" s="24"/>
    </row>
    <row r="951">
      <c r="A951" s="28">
        <v>950.0</v>
      </c>
      <c r="B951" s="29"/>
      <c r="C951" s="29"/>
      <c r="D951" s="40">
        <v>1.0</v>
      </c>
      <c r="E951" s="31">
        <v>20.0</v>
      </c>
      <c r="F951" s="42">
        <v>87.0</v>
      </c>
      <c r="G951" s="29" t="str">
        <f t="shared" si="1"/>
        <v>20087</v>
      </c>
      <c r="H951" s="37" t="s">
        <v>143</v>
      </c>
      <c r="I951" s="37" t="s">
        <v>53</v>
      </c>
      <c r="J951" s="37" t="s">
        <v>612</v>
      </c>
      <c r="K951" s="37" t="str">
        <f t="shared" si="17"/>
        <v>Jefferson, KS</v>
      </c>
      <c r="L951" s="24"/>
    </row>
    <row r="952">
      <c r="A952" s="28">
        <v>951.0</v>
      </c>
      <c r="B952" s="29"/>
      <c r="C952" s="29"/>
      <c r="D952" s="40">
        <v>1.0</v>
      </c>
      <c r="E952" s="31">
        <v>20.0</v>
      </c>
      <c r="F952" s="42">
        <v>89.0</v>
      </c>
      <c r="G952" s="29" t="str">
        <f t="shared" si="1"/>
        <v>20089</v>
      </c>
      <c r="H952" s="37" t="s">
        <v>982</v>
      </c>
      <c r="I952" s="37" t="s">
        <v>53</v>
      </c>
      <c r="J952" s="37" t="s">
        <v>612</v>
      </c>
      <c r="K952" s="37" t="str">
        <f t="shared" si="17"/>
        <v>Jewell, KS</v>
      </c>
      <c r="L952" s="24"/>
    </row>
    <row r="953">
      <c r="A953" s="28">
        <v>952.0</v>
      </c>
      <c r="B953" s="29"/>
      <c r="C953" s="29"/>
      <c r="D953" s="40">
        <v>1.0</v>
      </c>
      <c r="E953" s="31">
        <v>20.0</v>
      </c>
      <c r="F953" s="42">
        <v>91.0</v>
      </c>
      <c r="G953" s="29" t="str">
        <f t="shared" si="1"/>
        <v>20091</v>
      </c>
      <c r="H953" s="37" t="s">
        <v>288</v>
      </c>
      <c r="I953" s="37" t="s">
        <v>53</v>
      </c>
      <c r="J953" s="37" t="s">
        <v>612</v>
      </c>
      <c r="K953" s="37" t="str">
        <f t="shared" si="17"/>
        <v>Johnson, KS</v>
      </c>
      <c r="L953" s="24"/>
    </row>
    <row r="954">
      <c r="A954" s="28">
        <v>953.0</v>
      </c>
      <c r="B954" s="29"/>
      <c r="C954" s="29"/>
      <c r="D954" s="40">
        <v>1.0</v>
      </c>
      <c r="E954" s="31">
        <v>20.0</v>
      </c>
      <c r="F954" s="42">
        <v>93.0</v>
      </c>
      <c r="G954" s="29" t="str">
        <f t="shared" si="1"/>
        <v>20093</v>
      </c>
      <c r="H954" s="37" t="s">
        <v>983</v>
      </c>
      <c r="I954" s="37" t="s">
        <v>53</v>
      </c>
      <c r="J954" s="37" t="s">
        <v>612</v>
      </c>
      <c r="K954" s="37" t="str">
        <f t="shared" si="17"/>
        <v>Kearny, KS</v>
      </c>
      <c r="L954" s="24"/>
    </row>
    <row r="955">
      <c r="A955" s="28">
        <v>954.0</v>
      </c>
      <c r="B955" s="29"/>
      <c r="C955" s="29"/>
      <c r="D955" s="40">
        <v>1.0</v>
      </c>
      <c r="E955" s="31">
        <v>20.0</v>
      </c>
      <c r="F955" s="42">
        <v>95.0</v>
      </c>
      <c r="G955" s="29" t="str">
        <f t="shared" si="1"/>
        <v>20095</v>
      </c>
      <c r="H955" s="37" t="s">
        <v>984</v>
      </c>
      <c r="I955" s="37" t="s">
        <v>53</v>
      </c>
      <c r="J955" s="37" t="s">
        <v>612</v>
      </c>
      <c r="K955" s="37" t="str">
        <f t="shared" si="17"/>
        <v>Kingman, KS</v>
      </c>
      <c r="L955" s="24"/>
    </row>
    <row r="956">
      <c r="A956" s="28">
        <v>955.0</v>
      </c>
      <c r="B956" s="29"/>
      <c r="C956" s="29"/>
      <c r="D956" s="40">
        <v>1.0</v>
      </c>
      <c r="E956" s="31">
        <v>20.0</v>
      </c>
      <c r="F956" s="42">
        <v>97.0</v>
      </c>
      <c r="G956" s="29" t="str">
        <f t="shared" si="1"/>
        <v>20097</v>
      </c>
      <c r="H956" s="37" t="s">
        <v>427</v>
      </c>
      <c r="I956" s="37" t="s">
        <v>53</v>
      </c>
      <c r="J956" s="37" t="s">
        <v>612</v>
      </c>
      <c r="K956" s="37" t="str">
        <f t="shared" si="17"/>
        <v>Kiowa, KS</v>
      </c>
      <c r="L956" s="24"/>
    </row>
    <row r="957">
      <c r="A957" s="28">
        <v>956.0</v>
      </c>
      <c r="B957" s="29"/>
      <c r="C957" s="29"/>
      <c r="D957" s="40">
        <v>1.0</v>
      </c>
      <c r="E957" s="31">
        <v>20.0</v>
      </c>
      <c r="F957" s="42">
        <v>99.0</v>
      </c>
      <c r="G957" s="29" t="str">
        <f t="shared" si="1"/>
        <v>20099</v>
      </c>
      <c r="H957" s="37" t="s">
        <v>985</v>
      </c>
      <c r="I957" s="37" t="s">
        <v>53</v>
      </c>
      <c r="J957" s="37" t="s">
        <v>612</v>
      </c>
      <c r="K957" s="37" t="str">
        <f t="shared" si="17"/>
        <v>Labette, KS</v>
      </c>
      <c r="L957" s="24"/>
    </row>
    <row r="958">
      <c r="A958" s="28">
        <v>957.0</v>
      </c>
      <c r="B958" s="29"/>
      <c r="C958" s="29"/>
      <c r="D958" s="40">
        <v>1.0</v>
      </c>
      <c r="E958" s="31">
        <v>20.0</v>
      </c>
      <c r="F958" s="42">
        <v>101.0</v>
      </c>
      <c r="G958" s="29" t="str">
        <f t="shared" si="1"/>
        <v>20101</v>
      </c>
      <c r="H958" s="37" t="s">
        <v>986</v>
      </c>
      <c r="I958" s="37" t="s">
        <v>53</v>
      </c>
      <c r="J958" s="37" t="s">
        <v>612</v>
      </c>
      <c r="K958" s="37" t="str">
        <f t="shared" si="17"/>
        <v>Lane, KS</v>
      </c>
      <c r="L958" s="24"/>
    </row>
    <row r="959">
      <c r="A959" s="28">
        <v>958.0</v>
      </c>
      <c r="B959" s="29"/>
      <c r="C959" s="29"/>
      <c r="D959" s="40">
        <v>1.0</v>
      </c>
      <c r="E959" s="31">
        <v>20.0</v>
      </c>
      <c r="F959" s="42">
        <v>103.0</v>
      </c>
      <c r="G959" s="29" t="str">
        <f t="shared" si="1"/>
        <v>20103</v>
      </c>
      <c r="H959" s="37" t="s">
        <v>987</v>
      </c>
      <c r="I959" s="37" t="s">
        <v>53</v>
      </c>
      <c r="J959" s="37" t="s">
        <v>612</v>
      </c>
      <c r="K959" s="136" t="str">
        <f t="shared" si="17"/>
        <v>Leavenworth, KS</v>
      </c>
      <c r="L959" s="24"/>
    </row>
    <row r="960">
      <c r="A960" s="28">
        <v>959.0</v>
      </c>
      <c r="B960" s="29"/>
      <c r="C960" s="29"/>
      <c r="D960" s="40">
        <v>1.0</v>
      </c>
      <c r="E960" s="31">
        <v>20.0</v>
      </c>
      <c r="F960" s="42">
        <v>105.0</v>
      </c>
      <c r="G960" s="29" t="str">
        <f t="shared" si="1"/>
        <v>20105</v>
      </c>
      <c r="H960" s="37" t="s">
        <v>290</v>
      </c>
      <c r="I960" s="37" t="s">
        <v>53</v>
      </c>
      <c r="J960" s="37" t="s">
        <v>612</v>
      </c>
      <c r="K960" s="37" t="str">
        <f t="shared" si="17"/>
        <v>Lincoln, KS</v>
      </c>
      <c r="L960" s="24"/>
    </row>
    <row r="961">
      <c r="A961" s="28">
        <v>960.0</v>
      </c>
      <c r="B961" s="29"/>
      <c r="C961" s="29"/>
      <c r="D961" s="40">
        <v>1.0</v>
      </c>
      <c r="E961" s="31">
        <v>20.0</v>
      </c>
      <c r="F961" s="42">
        <v>107.0</v>
      </c>
      <c r="G961" s="29" t="str">
        <f t="shared" si="1"/>
        <v>20107</v>
      </c>
      <c r="H961" s="37" t="s">
        <v>907</v>
      </c>
      <c r="I961" s="37" t="s">
        <v>53</v>
      </c>
      <c r="J961" s="37" t="s">
        <v>612</v>
      </c>
      <c r="K961" s="37" t="str">
        <f t="shared" si="17"/>
        <v>Linn, KS</v>
      </c>
      <c r="L961" s="24"/>
    </row>
    <row r="962">
      <c r="A962" s="28">
        <v>961.0</v>
      </c>
      <c r="B962" s="29"/>
      <c r="C962" s="29"/>
      <c r="D962" s="40">
        <v>1.0</v>
      </c>
      <c r="E962" s="31">
        <v>20.0</v>
      </c>
      <c r="F962" s="42">
        <v>109.0</v>
      </c>
      <c r="G962" s="29" t="str">
        <f t="shared" si="1"/>
        <v>20109</v>
      </c>
      <c r="H962" s="37" t="s">
        <v>293</v>
      </c>
      <c r="I962" s="37" t="s">
        <v>53</v>
      </c>
      <c r="J962" s="37" t="s">
        <v>612</v>
      </c>
      <c r="K962" s="37" t="str">
        <f t="shared" si="17"/>
        <v>Logan, KS</v>
      </c>
      <c r="L962" s="24"/>
    </row>
    <row r="963">
      <c r="A963" s="28">
        <v>962.0</v>
      </c>
      <c r="B963" s="29"/>
      <c r="C963" s="29"/>
      <c r="D963" s="40">
        <v>1.0</v>
      </c>
      <c r="E963" s="31">
        <v>20.0</v>
      </c>
      <c r="F963" s="42">
        <v>111.0</v>
      </c>
      <c r="G963" s="29" t="str">
        <f t="shared" si="1"/>
        <v>20111</v>
      </c>
      <c r="H963" s="37" t="s">
        <v>910</v>
      </c>
      <c r="I963" s="37" t="s">
        <v>53</v>
      </c>
      <c r="J963" s="37" t="s">
        <v>612</v>
      </c>
      <c r="K963" s="37" t="str">
        <f t="shared" si="17"/>
        <v>Lyon, KS</v>
      </c>
      <c r="L963" s="24"/>
    </row>
    <row r="964">
      <c r="A964" s="28">
        <v>963.0</v>
      </c>
      <c r="B964" s="29"/>
      <c r="C964" s="29"/>
      <c r="D964" s="40">
        <v>1.0</v>
      </c>
      <c r="E964" s="31">
        <v>20.0</v>
      </c>
      <c r="F964" s="42">
        <v>113.0</v>
      </c>
      <c r="G964" s="29" t="str">
        <f t="shared" si="1"/>
        <v>20113</v>
      </c>
      <c r="H964" s="37" t="s">
        <v>988</v>
      </c>
      <c r="I964" s="37" t="s">
        <v>53</v>
      </c>
      <c r="J964" s="37" t="s">
        <v>612</v>
      </c>
      <c r="K964" s="37" t="str">
        <f t="shared" si="17"/>
        <v>McPherson, KS</v>
      </c>
      <c r="L964" s="24"/>
    </row>
    <row r="965">
      <c r="A965" s="28">
        <v>964.0</v>
      </c>
      <c r="B965" s="29"/>
      <c r="C965" s="29"/>
      <c r="D965" s="40">
        <v>1.0</v>
      </c>
      <c r="E965" s="31">
        <v>20.0</v>
      </c>
      <c r="F965" s="42">
        <v>115.0</v>
      </c>
      <c r="G965" s="29" t="str">
        <f t="shared" si="1"/>
        <v>20115</v>
      </c>
      <c r="H965" s="37" t="s">
        <v>153</v>
      </c>
      <c r="I965" s="37" t="s">
        <v>53</v>
      </c>
      <c r="J965" s="37" t="s">
        <v>612</v>
      </c>
      <c r="K965" s="37" t="str">
        <f t="shared" si="17"/>
        <v>Marion, KS</v>
      </c>
      <c r="L965" s="24"/>
    </row>
    <row r="966">
      <c r="A966" s="28">
        <v>965.0</v>
      </c>
      <c r="B966" s="29"/>
      <c r="C966" s="29"/>
      <c r="D966" s="40">
        <v>1.0</v>
      </c>
      <c r="E966" s="31">
        <v>20.0</v>
      </c>
      <c r="F966" s="42">
        <v>117.0</v>
      </c>
      <c r="G966" s="29" t="str">
        <f t="shared" si="1"/>
        <v>20117</v>
      </c>
      <c r="H966" s="37" t="s">
        <v>154</v>
      </c>
      <c r="I966" s="37" t="s">
        <v>53</v>
      </c>
      <c r="J966" s="37" t="s">
        <v>612</v>
      </c>
      <c r="K966" s="37" t="str">
        <f t="shared" si="17"/>
        <v>Marshall, KS</v>
      </c>
      <c r="L966" s="24"/>
    </row>
    <row r="967">
      <c r="A967" s="28">
        <v>966.0</v>
      </c>
      <c r="B967" s="29"/>
      <c r="C967" s="29"/>
      <c r="D967" s="40">
        <v>1.0</v>
      </c>
      <c r="E967" s="31">
        <v>20.0</v>
      </c>
      <c r="F967" s="42">
        <v>119.0</v>
      </c>
      <c r="G967" s="29" t="str">
        <f t="shared" si="1"/>
        <v>20119</v>
      </c>
      <c r="H967" s="37" t="s">
        <v>989</v>
      </c>
      <c r="I967" s="37" t="s">
        <v>53</v>
      </c>
      <c r="J967" s="37" t="s">
        <v>612</v>
      </c>
      <c r="K967" s="37" t="str">
        <f t="shared" si="17"/>
        <v>Meade, KS</v>
      </c>
      <c r="L967" s="24"/>
    </row>
    <row r="968">
      <c r="A968" s="28">
        <v>967.0</v>
      </c>
      <c r="B968" s="29"/>
      <c r="C968" s="29"/>
      <c r="D968" s="40">
        <v>1.0</v>
      </c>
      <c r="E968" s="31">
        <v>20.0</v>
      </c>
      <c r="F968" s="42">
        <v>121.0</v>
      </c>
      <c r="G968" s="29" t="str">
        <f t="shared" si="1"/>
        <v>20121</v>
      </c>
      <c r="H968" s="37" t="s">
        <v>791</v>
      </c>
      <c r="I968" s="37" t="s">
        <v>53</v>
      </c>
      <c r="J968" s="37" t="s">
        <v>612</v>
      </c>
      <c r="K968" s="37" t="str">
        <f t="shared" si="17"/>
        <v>Miami, KS</v>
      </c>
      <c r="L968" s="24"/>
    </row>
    <row r="969">
      <c r="A969" s="28">
        <v>968.0</v>
      </c>
      <c r="B969" s="29"/>
      <c r="C969" s="29"/>
      <c r="D969" s="40">
        <v>1.0</v>
      </c>
      <c r="E969" s="31">
        <v>20.0</v>
      </c>
      <c r="F969" s="42">
        <v>123.0</v>
      </c>
      <c r="G969" s="29" t="str">
        <f t="shared" si="1"/>
        <v>20123</v>
      </c>
      <c r="H969" s="37" t="s">
        <v>610</v>
      </c>
      <c r="I969" s="37" t="s">
        <v>53</v>
      </c>
      <c r="J969" s="37" t="s">
        <v>612</v>
      </c>
      <c r="K969" s="37" t="str">
        <f t="shared" si="17"/>
        <v>Mitchell, KS</v>
      </c>
      <c r="L969" s="24"/>
    </row>
    <row r="970">
      <c r="A970" s="28">
        <v>969.0</v>
      </c>
      <c r="B970" s="29"/>
      <c r="C970" s="29"/>
      <c r="D970" s="40">
        <v>1.0</v>
      </c>
      <c r="E970" s="31">
        <v>20.0</v>
      </c>
      <c r="F970" s="42">
        <v>125.0</v>
      </c>
      <c r="G970" s="29" t="str">
        <f t="shared" si="1"/>
        <v>20125</v>
      </c>
      <c r="H970" s="37" t="s">
        <v>157</v>
      </c>
      <c r="I970" s="37" t="s">
        <v>53</v>
      </c>
      <c r="J970" s="37" t="s">
        <v>612</v>
      </c>
      <c r="K970" s="37" t="str">
        <f t="shared" si="17"/>
        <v>Montgomery, KS</v>
      </c>
      <c r="L970" s="24"/>
    </row>
    <row r="971">
      <c r="A971" s="28">
        <v>970.0</v>
      </c>
      <c r="B971" s="29"/>
      <c r="C971" s="29"/>
      <c r="D971" s="40">
        <v>1.0</v>
      </c>
      <c r="E971" s="31">
        <v>20.0</v>
      </c>
      <c r="F971" s="42">
        <v>127.0</v>
      </c>
      <c r="G971" s="29" t="str">
        <f t="shared" si="1"/>
        <v>20127</v>
      </c>
      <c r="H971" s="37" t="s">
        <v>990</v>
      </c>
      <c r="I971" s="37" t="s">
        <v>53</v>
      </c>
      <c r="J971" s="37" t="s">
        <v>612</v>
      </c>
      <c r="K971" s="37" t="str">
        <f t="shared" si="17"/>
        <v>Morris, KS</v>
      </c>
      <c r="L971" s="24"/>
    </row>
    <row r="972">
      <c r="A972" s="28">
        <v>971.0</v>
      </c>
      <c r="B972" s="29"/>
      <c r="C972" s="29"/>
      <c r="D972" s="40">
        <v>1.0</v>
      </c>
      <c r="E972" s="31">
        <v>20.0</v>
      </c>
      <c r="F972" s="42">
        <v>129.0</v>
      </c>
      <c r="G972" s="29" t="str">
        <f t="shared" si="1"/>
        <v>20129</v>
      </c>
      <c r="H972" s="37" t="s">
        <v>991</v>
      </c>
      <c r="I972" s="37" t="s">
        <v>53</v>
      </c>
      <c r="J972" s="37" t="s">
        <v>612</v>
      </c>
      <c r="K972" s="37" t="str">
        <f t="shared" si="17"/>
        <v>Morton, KS</v>
      </c>
      <c r="L972" s="24"/>
    </row>
    <row r="973">
      <c r="A973" s="28">
        <v>972.0</v>
      </c>
      <c r="B973" s="29"/>
      <c r="C973" s="29"/>
      <c r="D973" s="40">
        <v>1.0</v>
      </c>
      <c r="E973" s="31">
        <v>20.0</v>
      </c>
      <c r="F973" s="42">
        <v>131.0</v>
      </c>
      <c r="G973" s="29" t="str">
        <f t="shared" si="1"/>
        <v>20131</v>
      </c>
      <c r="H973" s="37" t="s">
        <v>992</v>
      </c>
      <c r="I973" s="37" t="s">
        <v>53</v>
      </c>
      <c r="J973" s="37" t="s">
        <v>612</v>
      </c>
      <c r="K973" s="37" t="str">
        <f t="shared" si="17"/>
        <v>Nemaha, KS</v>
      </c>
      <c r="L973" s="24"/>
    </row>
    <row r="974">
      <c r="A974" s="28">
        <v>973.0</v>
      </c>
      <c r="B974" s="29"/>
      <c r="C974" s="29"/>
      <c r="D974" s="40">
        <v>1.0</v>
      </c>
      <c r="E974" s="31">
        <v>20.0</v>
      </c>
      <c r="F974" s="42">
        <v>133.0</v>
      </c>
      <c r="G974" s="29" t="str">
        <f t="shared" si="1"/>
        <v>20133</v>
      </c>
      <c r="H974" s="37" t="s">
        <v>993</v>
      </c>
      <c r="I974" s="37" t="s">
        <v>53</v>
      </c>
      <c r="J974" s="37" t="s">
        <v>612</v>
      </c>
      <c r="K974" s="37" t="str">
        <f t="shared" si="17"/>
        <v>Neosho, KS</v>
      </c>
      <c r="L974" s="24"/>
    </row>
    <row r="975">
      <c r="A975" s="28">
        <v>974.0</v>
      </c>
      <c r="B975" s="29"/>
      <c r="C975" s="29"/>
      <c r="D975" s="40">
        <v>1.0</v>
      </c>
      <c r="E975" s="31">
        <v>20.0</v>
      </c>
      <c r="F975" s="42">
        <v>135.0</v>
      </c>
      <c r="G975" s="29" t="str">
        <f t="shared" si="1"/>
        <v>20135</v>
      </c>
      <c r="H975" s="37" t="s">
        <v>994</v>
      </c>
      <c r="I975" s="37" t="s">
        <v>53</v>
      </c>
      <c r="J975" s="37" t="s">
        <v>612</v>
      </c>
      <c r="K975" s="37" t="str">
        <f t="shared" si="17"/>
        <v>Ness, KS</v>
      </c>
      <c r="L975" s="24"/>
    </row>
    <row r="976">
      <c r="A976" s="28">
        <v>975.0</v>
      </c>
      <c r="B976" s="29"/>
      <c r="C976" s="29"/>
      <c r="D976" s="40">
        <v>1.0</v>
      </c>
      <c r="E976" s="31">
        <v>20.0</v>
      </c>
      <c r="F976" s="42">
        <v>137.0</v>
      </c>
      <c r="G976" s="29" t="str">
        <f t="shared" si="1"/>
        <v>20137</v>
      </c>
      <c r="H976" s="37" t="s">
        <v>995</v>
      </c>
      <c r="I976" s="37" t="s">
        <v>53</v>
      </c>
      <c r="J976" s="37" t="s">
        <v>612</v>
      </c>
      <c r="K976" s="37" t="str">
        <f t="shared" si="17"/>
        <v>Norton, KS</v>
      </c>
      <c r="L976" s="24"/>
    </row>
    <row r="977">
      <c r="A977" s="28">
        <v>976.0</v>
      </c>
      <c r="B977" s="29"/>
      <c r="C977" s="29"/>
      <c r="D977" s="40">
        <v>1.0</v>
      </c>
      <c r="E977" s="31">
        <v>20.0</v>
      </c>
      <c r="F977" s="42">
        <v>139.0</v>
      </c>
      <c r="G977" s="29" t="str">
        <f t="shared" si="1"/>
        <v>20139</v>
      </c>
      <c r="H977" s="37" t="s">
        <v>996</v>
      </c>
      <c r="I977" s="37" t="s">
        <v>53</v>
      </c>
      <c r="J977" s="37" t="s">
        <v>612</v>
      </c>
      <c r="K977" s="37" t="str">
        <f t="shared" si="17"/>
        <v>Osage, KS</v>
      </c>
      <c r="L977" s="24"/>
    </row>
    <row r="978">
      <c r="A978" s="28">
        <v>977.0</v>
      </c>
      <c r="B978" s="29"/>
      <c r="C978" s="29"/>
      <c r="D978" s="40">
        <v>1.0</v>
      </c>
      <c r="E978" s="31">
        <v>20.0</v>
      </c>
      <c r="F978" s="42">
        <v>141.0</v>
      </c>
      <c r="G978" s="29" t="str">
        <f t="shared" si="1"/>
        <v>20141</v>
      </c>
      <c r="H978" s="37" t="s">
        <v>997</v>
      </c>
      <c r="I978" s="37" t="s">
        <v>53</v>
      </c>
      <c r="J978" s="37" t="s">
        <v>612</v>
      </c>
      <c r="K978" s="37" t="str">
        <f t="shared" si="17"/>
        <v>Osborne, KS</v>
      </c>
      <c r="L978" s="24"/>
    </row>
    <row r="979">
      <c r="A979" s="28">
        <v>978.0</v>
      </c>
      <c r="B979" s="29"/>
      <c r="C979" s="29"/>
      <c r="D979" s="40">
        <v>1.0</v>
      </c>
      <c r="E979" s="31">
        <v>20.0</v>
      </c>
      <c r="F979" s="42">
        <v>143.0</v>
      </c>
      <c r="G979" s="29" t="str">
        <f t="shared" si="1"/>
        <v>20143</v>
      </c>
      <c r="H979" s="37" t="s">
        <v>998</v>
      </c>
      <c r="I979" s="37" t="s">
        <v>53</v>
      </c>
      <c r="J979" s="37" t="s">
        <v>612</v>
      </c>
      <c r="K979" s="37" t="str">
        <f t="shared" si="17"/>
        <v>Ottawa, KS</v>
      </c>
      <c r="L979" s="24"/>
    </row>
    <row r="980">
      <c r="A980" s="28">
        <v>979.0</v>
      </c>
      <c r="B980" s="29"/>
      <c r="C980" s="29"/>
      <c r="D980" s="40">
        <v>1.0</v>
      </c>
      <c r="E980" s="31">
        <v>20.0</v>
      </c>
      <c r="F980" s="42">
        <v>145.0</v>
      </c>
      <c r="G980" s="29" t="str">
        <f t="shared" si="1"/>
        <v>20145</v>
      </c>
      <c r="H980" s="37" t="s">
        <v>999</v>
      </c>
      <c r="I980" s="37" t="s">
        <v>53</v>
      </c>
      <c r="J980" s="37" t="s">
        <v>612</v>
      </c>
      <c r="K980" s="37" t="str">
        <f t="shared" si="17"/>
        <v>Pawnee, KS</v>
      </c>
      <c r="L980" s="24"/>
    </row>
    <row r="981">
      <c r="A981" s="28">
        <v>980.0</v>
      </c>
      <c r="B981" s="29"/>
      <c r="C981" s="29"/>
      <c r="D981" s="40">
        <v>1.0</v>
      </c>
      <c r="E981" s="31">
        <v>20.0</v>
      </c>
      <c r="F981" s="42">
        <v>147.0</v>
      </c>
      <c r="G981" s="29" t="str">
        <f t="shared" si="1"/>
        <v>20147</v>
      </c>
      <c r="H981" s="37" t="s">
        <v>300</v>
      </c>
      <c r="I981" s="37" t="s">
        <v>53</v>
      </c>
      <c r="J981" s="37" t="s">
        <v>612</v>
      </c>
      <c r="K981" s="37" t="str">
        <f t="shared" si="17"/>
        <v>Phillips, KS</v>
      </c>
      <c r="L981" s="24"/>
    </row>
    <row r="982">
      <c r="A982" s="28">
        <v>981.0</v>
      </c>
      <c r="B982" s="29"/>
      <c r="C982" s="29"/>
      <c r="D982" s="40">
        <v>1.0</v>
      </c>
      <c r="E982" s="31">
        <v>20.0</v>
      </c>
      <c r="F982" s="42">
        <v>149.0</v>
      </c>
      <c r="G982" s="29" t="str">
        <f t="shared" si="1"/>
        <v>20149</v>
      </c>
      <c r="H982" s="37" t="s">
        <v>1000</v>
      </c>
      <c r="I982" s="37" t="s">
        <v>53</v>
      </c>
      <c r="J982" s="37" t="s">
        <v>612</v>
      </c>
      <c r="K982" s="136" t="str">
        <f t="shared" si="17"/>
        <v>Pottawatomie, KS</v>
      </c>
      <c r="L982" s="24"/>
    </row>
    <row r="983">
      <c r="A983" s="28">
        <v>982.0</v>
      </c>
      <c r="B983" s="29"/>
      <c r="C983" s="29"/>
      <c r="D983" s="40">
        <v>1.0</v>
      </c>
      <c r="E983" s="31">
        <v>20.0</v>
      </c>
      <c r="F983" s="42">
        <v>151.0</v>
      </c>
      <c r="G983" s="29" t="str">
        <f t="shared" si="1"/>
        <v>20151</v>
      </c>
      <c r="H983" s="37" t="s">
        <v>1001</v>
      </c>
      <c r="I983" s="37" t="s">
        <v>53</v>
      </c>
      <c r="J983" s="37" t="s">
        <v>612</v>
      </c>
      <c r="K983" s="37" t="str">
        <f t="shared" si="17"/>
        <v>Pratt, KS</v>
      </c>
      <c r="L983" s="24"/>
    </row>
    <row r="984">
      <c r="A984" s="28">
        <v>983.0</v>
      </c>
      <c r="B984" s="29"/>
      <c r="C984" s="29"/>
      <c r="D984" s="40">
        <v>1.0</v>
      </c>
      <c r="E984" s="31">
        <v>20.0</v>
      </c>
      <c r="F984" s="42">
        <v>153.0</v>
      </c>
      <c r="G984" s="29" t="str">
        <f t="shared" si="1"/>
        <v>20153</v>
      </c>
      <c r="H984" s="37" t="s">
        <v>1002</v>
      </c>
      <c r="I984" s="37" t="s">
        <v>53</v>
      </c>
      <c r="J984" s="37" t="s">
        <v>612</v>
      </c>
      <c r="K984" s="37" t="str">
        <f t="shared" si="17"/>
        <v>Rawlins, KS</v>
      </c>
      <c r="L984" s="24"/>
    </row>
    <row r="985">
      <c r="A985" s="28">
        <v>984.0</v>
      </c>
      <c r="B985" s="29"/>
      <c r="C985" s="29"/>
      <c r="D985" s="40">
        <v>1.0</v>
      </c>
      <c r="E985" s="31">
        <v>20.0</v>
      </c>
      <c r="F985" s="42">
        <v>155.0</v>
      </c>
      <c r="G985" s="29" t="str">
        <f t="shared" si="1"/>
        <v>20155</v>
      </c>
      <c r="H985" s="37" t="s">
        <v>1003</v>
      </c>
      <c r="I985" s="37" t="s">
        <v>53</v>
      </c>
      <c r="J985" s="37" t="s">
        <v>612</v>
      </c>
      <c r="K985" s="37" t="str">
        <f t="shared" si="17"/>
        <v>Reno, KS</v>
      </c>
      <c r="L985" s="24"/>
    </row>
    <row r="986">
      <c r="A986" s="28">
        <v>985.0</v>
      </c>
      <c r="B986" s="29"/>
      <c r="C986" s="29"/>
      <c r="D986" s="40">
        <v>1.0</v>
      </c>
      <c r="E986" s="31">
        <v>20.0</v>
      </c>
      <c r="F986" s="42">
        <v>157.0</v>
      </c>
      <c r="G986" s="29" t="str">
        <f t="shared" si="1"/>
        <v>20157</v>
      </c>
      <c r="H986" s="37" t="s">
        <v>1004</v>
      </c>
      <c r="I986" s="37" t="s">
        <v>53</v>
      </c>
      <c r="J986" s="37" t="s">
        <v>612</v>
      </c>
      <c r="K986" s="37" t="str">
        <f t="shared" si="17"/>
        <v>Republic, KS</v>
      </c>
      <c r="L986" s="24"/>
    </row>
    <row r="987">
      <c r="A987" s="28">
        <v>986.0</v>
      </c>
      <c r="B987" s="29"/>
      <c r="C987" s="29"/>
      <c r="D987" s="40">
        <v>1.0</v>
      </c>
      <c r="E987" s="31">
        <v>20.0</v>
      </c>
      <c r="F987" s="42">
        <v>159.0</v>
      </c>
      <c r="G987" s="29" t="str">
        <f t="shared" si="1"/>
        <v>20159</v>
      </c>
      <c r="H987" s="37" t="s">
        <v>1005</v>
      </c>
      <c r="I987" s="37" t="s">
        <v>53</v>
      </c>
      <c r="J987" s="37" t="s">
        <v>612</v>
      </c>
      <c r="K987" s="37" t="str">
        <f t="shared" si="17"/>
        <v>Rice, KS</v>
      </c>
      <c r="L987" s="24"/>
    </row>
    <row r="988">
      <c r="A988" s="28">
        <v>987.0</v>
      </c>
      <c r="B988" s="29"/>
      <c r="C988" s="29"/>
      <c r="D988" s="40">
        <v>1.0</v>
      </c>
      <c r="E988" s="31">
        <v>20.0</v>
      </c>
      <c r="F988" s="42">
        <v>161.0</v>
      </c>
      <c r="G988" s="29" t="str">
        <f t="shared" si="1"/>
        <v>20161</v>
      </c>
      <c r="H988" s="37" t="s">
        <v>1006</v>
      </c>
      <c r="I988" s="37" t="s">
        <v>53</v>
      </c>
      <c r="J988" s="37" t="s">
        <v>612</v>
      </c>
      <c r="K988" s="37" t="str">
        <f t="shared" si="17"/>
        <v>Riley, KS</v>
      </c>
      <c r="L988" s="24"/>
    </row>
    <row r="989">
      <c r="A989" s="28">
        <v>988.0</v>
      </c>
      <c r="B989" s="29"/>
      <c r="C989" s="29"/>
      <c r="D989" s="40">
        <v>1.0</v>
      </c>
      <c r="E989" s="31">
        <v>20.0</v>
      </c>
      <c r="F989" s="42">
        <v>163.0</v>
      </c>
      <c r="G989" s="29" t="str">
        <f t="shared" si="1"/>
        <v>20163</v>
      </c>
      <c r="H989" s="37" t="s">
        <v>1007</v>
      </c>
      <c r="I989" s="37" t="s">
        <v>53</v>
      </c>
      <c r="J989" s="37" t="s">
        <v>612</v>
      </c>
      <c r="K989" s="37" t="str">
        <f t="shared" si="17"/>
        <v>Rooks, KS</v>
      </c>
      <c r="L989" s="24"/>
    </row>
    <row r="990">
      <c r="A990" s="28">
        <v>989.0</v>
      </c>
      <c r="B990" s="29"/>
      <c r="C990" s="29"/>
      <c r="D990" s="40">
        <v>1.0</v>
      </c>
      <c r="E990" s="31">
        <v>20.0</v>
      </c>
      <c r="F990" s="42">
        <v>165.0</v>
      </c>
      <c r="G990" s="29" t="str">
        <f t="shared" si="1"/>
        <v>20165</v>
      </c>
      <c r="H990" s="37" t="s">
        <v>842</v>
      </c>
      <c r="I990" s="37" t="s">
        <v>53</v>
      </c>
      <c r="J990" s="37" t="s">
        <v>612</v>
      </c>
      <c r="K990" s="37" t="str">
        <f t="shared" si="17"/>
        <v>Rush, KS</v>
      </c>
      <c r="L990" s="24"/>
    </row>
    <row r="991">
      <c r="A991" s="28">
        <v>990.0</v>
      </c>
      <c r="B991" s="29"/>
      <c r="C991" s="29"/>
      <c r="D991" s="40">
        <v>1.0</v>
      </c>
      <c r="E991" s="31">
        <v>20.0</v>
      </c>
      <c r="F991" s="42">
        <v>167.0</v>
      </c>
      <c r="G991" s="29" t="str">
        <f t="shared" si="1"/>
        <v>20167</v>
      </c>
      <c r="H991" s="37" t="s">
        <v>165</v>
      </c>
      <c r="I991" s="37" t="s">
        <v>53</v>
      </c>
      <c r="J991" s="37" t="s">
        <v>612</v>
      </c>
      <c r="K991" s="37" t="str">
        <f t="shared" si="17"/>
        <v>Russell, KS</v>
      </c>
      <c r="L991" s="24"/>
    </row>
    <row r="992">
      <c r="A992" s="28">
        <v>991.0</v>
      </c>
      <c r="B992" s="29"/>
      <c r="C992" s="29"/>
      <c r="D992" s="40">
        <v>1.0</v>
      </c>
      <c r="E992" s="31">
        <v>20.0</v>
      </c>
      <c r="F992" s="42">
        <v>169.0</v>
      </c>
      <c r="G992" s="29" t="str">
        <f t="shared" si="1"/>
        <v>20169</v>
      </c>
      <c r="H992" s="37" t="s">
        <v>308</v>
      </c>
      <c r="I992" s="37" t="s">
        <v>53</v>
      </c>
      <c r="J992" s="37" t="s">
        <v>612</v>
      </c>
      <c r="K992" s="37" t="str">
        <f t="shared" si="17"/>
        <v>Saline, KS</v>
      </c>
      <c r="L992" s="24"/>
    </row>
    <row r="993">
      <c r="A993" s="28">
        <v>992.0</v>
      </c>
      <c r="B993" s="29"/>
      <c r="C993" s="29"/>
      <c r="D993" s="40">
        <v>1.0</v>
      </c>
      <c r="E993" s="31">
        <v>20.0</v>
      </c>
      <c r="F993" s="42">
        <v>171.0</v>
      </c>
      <c r="G993" s="29" t="str">
        <f t="shared" si="1"/>
        <v>20171</v>
      </c>
      <c r="H993" s="37" t="s">
        <v>309</v>
      </c>
      <c r="I993" s="37" t="s">
        <v>53</v>
      </c>
      <c r="J993" s="37" t="s">
        <v>612</v>
      </c>
      <c r="K993" s="37" t="str">
        <f t="shared" si="17"/>
        <v>Scott, KS</v>
      </c>
      <c r="L993" s="24"/>
    </row>
    <row r="994">
      <c r="A994" s="28">
        <v>993.0</v>
      </c>
      <c r="B994" s="29"/>
      <c r="C994" s="29"/>
      <c r="D994" s="40">
        <v>1.0</v>
      </c>
      <c r="E994" s="31">
        <v>20.0</v>
      </c>
      <c r="F994" s="42">
        <v>173.0</v>
      </c>
      <c r="G994" s="29" t="str">
        <f t="shared" si="1"/>
        <v>20173</v>
      </c>
      <c r="H994" s="37" t="s">
        <v>459</v>
      </c>
      <c r="I994" s="37" t="s">
        <v>53</v>
      </c>
      <c r="J994" s="37" t="s">
        <v>612</v>
      </c>
      <c r="K994" s="37" t="str">
        <f t="shared" si="17"/>
        <v>Sedgwick, KS</v>
      </c>
      <c r="L994" s="24"/>
    </row>
    <row r="995">
      <c r="A995" s="28">
        <v>994.0</v>
      </c>
      <c r="B995" s="29"/>
      <c r="C995" s="29"/>
      <c r="D995" s="40">
        <v>1.0</v>
      </c>
      <c r="E995" s="31">
        <v>20.0</v>
      </c>
      <c r="F995" s="42">
        <v>175.0</v>
      </c>
      <c r="G995" s="29" t="str">
        <f t="shared" si="1"/>
        <v>20175</v>
      </c>
      <c r="H995" s="37" t="s">
        <v>1008</v>
      </c>
      <c r="I995" s="37" t="s">
        <v>53</v>
      </c>
      <c r="J995" s="37" t="s">
        <v>612</v>
      </c>
      <c r="K995" s="37" t="str">
        <f t="shared" si="17"/>
        <v>Seward, KS</v>
      </c>
      <c r="L995" s="24"/>
    </row>
    <row r="996">
      <c r="A996" s="28">
        <v>995.0</v>
      </c>
      <c r="B996" s="29"/>
      <c r="C996" s="29"/>
      <c r="D996" s="40">
        <v>1.0</v>
      </c>
      <c r="E996" s="31">
        <v>20.0</v>
      </c>
      <c r="F996" s="42">
        <v>177.0</v>
      </c>
      <c r="G996" s="29" t="str">
        <f t="shared" si="1"/>
        <v>20177</v>
      </c>
      <c r="H996" s="37" t="s">
        <v>1009</v>
      </c>
      <c r="I996" s="37" t="s">
        <v>53</v>
      </c>
      <c r="J996" s="37" t="s">
        <v>612</v>
      </c>
      <c r="K996" s="37" t="str">
        <f t="shared" si="17"/>
        <v>Shawnee, KS</v>
      </c>
      <c r="L996" s="24"/>
    </row>
    <row r="997">
      <c r="A997" s="28">
        <v>996.0</v>
      </c>
      <c r="B997" s="29"/>
      <c r="C997" s="29"/>
      <c r="D997" s="40">
        <v>1.0</v>
      </c>
      <c r="E997" s="31">
        <v>20.0</v>
      </c>
      <c r="F997" s="42">
        <v>179.0</v>
      </c>
      <c r="G997" s="29" t="str">
        <f t="shared" si="1"/>
        <v>20179</v>
      </c>
      <c r="H997" s="37" t="s">
        <v>1010</v>
      </c>
      <c r="I997" s="37" t="s">
        <v>53</v>
      </c>
      <c r="J997" s="37" t="s">
        <v>612</v>
      </c>
      <c r="K997" s="37" t="str">
        <f t="shared" si="17"/>
        <v>Sheridan, KS</v>
      </c>
      <c r="L997" s="24"/>
    </row>
    <row r="998">
      <c r="A998" s="28">
        <v>997.0</v>
      </c>
      <c r="B998" s="29"/>
      <c r="C998" s="29"/>
      <c r="D998" s="40">
        <v>1.0</v>
      </c>
      <c r="E998" s="31">
        <v>20.0</v>
      </c>
      <c r="F998" s="42">
        <v>181.0</v>
      </c>
      <c r="G998" s="29" t="str">
        <f t="shared" si="1"/>
        <v>20181</v>
      </c>
      <c r="H998" s="37" t="s">
        <v>1011</v>
      </c>
      <c r="I998" s="37" t="s">
        <v>53</v>
      </c>
      <c r="J998" s="37" t="s">
        <v>612</v>
      </c>
      <c r="K998" s="37" t="str">
        <f t="shared" si="17"/>
        <v>Sherman, KS</v>
      </c>
      <c r="L998" s="24"/>
    </row>
    <row r="999">
      <c r="A999" s="28">
        <v>998.0</v>
      </c>
      <c r="B999" s="29"/>
      <c r="C999" s="29"/>
      <c r="D999" s="40">
        <v>1.0</v>
      </c>
      <c r="E999" s="31">
        <v>20.0</v>
      </c>
      <c r="F999" s="42">
        <v>183.0</v>
      </c>
      <c r="G999" s="29" t="str">
        <f t="shared" si="1"/>
        <v>20183</v>
      </c>
      <c r="H999" s="37" t="s">
        <v>1012</v>
      </c>
      <c r="I999" s="37" t="s">
        <v>53</v>
      </c>
      <c r="J999" s="37" t="s">
        <v>612</v>
      </c>
      <c r="K999" s="37" t="str">
        <f t="shared" si="17"/>
        <v>Smith, KS</v>
      </c>
      <c r="L999" s="24"/>
    </row>
    <row r="1000">
      <c r="A1000" s="28">
        <v>999.0</v>
      </c>
      <c r="B1000" s="29"/>
      <c r="C1000" s="29"/>
      <c r="D1000" s="40">
        <v>1.0</v>
      </c>
      <c r="E1000" s="31">
        <v>20.0</v>
      </c>
      <c r="F1000" s="42">
        <v>185.0</v>
      </c>
      <c r="G1000" s="29" t="str">
        <f t="shared" si="1"/>
        <v>20185</v>
      </c>
      <c r="H1000" s="37" t="s">
        <v>1013</v>
      </c>
      <c r="I1000" s="37" t="s">
        <v>53</v>
      </c>
      <c r="J1000" s="37" t="s">
        <v>612</v>
      </c>
      <c r="K1000" s="37" t="str">
        <f t="shared" si="17"/>
        <v>Stafford, KS</v>
      </c>
      <c r="L1000" s="24"/>
    </row>
    <row r="1001">
      <c r="A1001" s="28">
        <v>1000.0</v>
      </c>
      <c r="B1001" s="29"/>
      <c r="C1001" s="29"/>
      <c r="D1001" s="40">
        <v>1.0</v>
      </c>
      <c r="E1001" s="31">
        <v>20.0</v>
      </c>
      <c r="F1001" s="42">
        <v>187.0</v>
      </c>
      <c r="G1001" s="29" t="str">
        <f t="shared" si="1"/>
        <v>20187</v>
      </c>
      <c r="H1001" s="37" t="s">
        <v>1014</v>
      </c>
      <c r="I1001" s="37" t="s">
        <v>53</v>
      </c>
      <c r="J1001" s="37" t="s">
        <v>612</v>
      </c>
      <c r="K1001" s="37" t="str">
        <f t="shared" si="17"/>
        <v>Stanton, KS</v>
      </c>
      <c r="L1001" s="24"/>
    </row>
    <row r="1002">
      <c r="A1002" s="28">
        <v>1001.0</v>
      </c>
      <c r="B1002" s="29"/>
      <c r="C1002" s="29"/>
      <c r="D1002" s="40">
        <v>1.0</v>
      </c>
      <c r="E1002" s="31">
        <v>20.0</v>
      </c>
      <c r="F1002" s="42">
        <v>189.0</v>
      </c>
      <c r="G1002" s="29" t="str">
        <f t="shared" si="1"/>
        <v>20189</v>
      </c>
      <c r="H1002" s="37" t="s">
        <v>1015</v>
      </c>
      <c r="I1002" s="37" t="s">
        <v>53</v>
      </c>
      <c r="J1002" s="37" t="s">
        <v>612</v>
      </c>
      <c r="K1002" s="37" t="str">
        <f t="shared" si="17"/>
        <v>Stevens, KS</v>
      </c>
      <c r="L1002" s="24"/>
    </row>
    <row r="1003">
      <c r="A1003" s="28">
        <v>1002.0</v>
      </c>
      <c r="B1003" s="29"/>
      <c r="C1003" s="29"/>
      <c r="D1003" s="40">
        <v>1.0</v>
      </c>
      <c r="E1003" s="31">
        <v>20.0</v>
      </c>
      <c r="F1003" s="42">
        <v>191.0</v>
      </c>
      <c r="G1003" s="29" t="str">
        <f t="shared" si="1"/>
        <v>20191</v>
      </c>
      <c r="H1003" s="37" t="s">
        <v>1016</v>
      </c>
      <c r="I1003" s="37" t="s">
        <v>53</v>
      </c>
      <c r="J1003" s="37" t="s">
        <v>612</v>
      </c>
      <c r="K1003" s="37" t="str">
        <f t="shared" si="17"/>
        <v>Sumner, KS</v>
      </c>
      <c r="L1003" s="24"/>
    </row>
    <row r="1004">
      <c r="A1004" s="28">
        <v>1003.0</v>
      </c>
      <c r="B1004" s="29"/>
      <c r="C1004" s="29"/>
      <c r="D1004" s="40">
        <v>1.0</v>
      </c>
      <c r="E1004" s="31">
        <v>20.0</v>
      </c>
      <c r="F1004" s="42">
        <v>193.0</v>
      </c>
      <c r="G1004" s="29" t="str">
        <f t="shared" si="1"/>
        <v>20193</v>
      </c>
      <c r="H1004" s="37" t="s">
        <v>636</v>
      </c>
      <c r="I1004" s="37" t="s">
        <v>53</v>
      </c>
      <c r="J1004" s="37" t="s">
        <v>612</v>
      </c>
      <c r="K1004" s="37" t="str">
        <f t="shared" si="17"/>
        <v>Thomas, KS</v>
      </c>
      <c r="L1004" s="24"/>
    </row>
    <row r="1005">
      <c r="A1005" s="28">
        <v>1004.0</v>
      </c>
      <c r="B1005" s="29"/>
      <c r="C1005" s="29"/>
      <c r="D1005" s="40">
        <v>1.0</v>
      </c>
      <c r="E1005" s="31">
        <v>20.0</v>
      </c>
      <c r="F1005" s="42">
        <v>195.0</v>
      </c>
      <c r="G1005" s="29" t="str">
        <f t="shared" si="1"/>
        <v>20195</v>
      </c>
      <c r="H1005" s="37" t="s">
        <v>1017</v>
      </c>
      <c r="I1005" s="37" t="s">
        <v>53</v>
      </c>
      <c r="J1005" s="37" t="s">
        <v>612</v>
      </c>
      <c r="K1005" s="37" t="str">
        <f t="shared" si="17"/>
        <v>Trego, KS</v>
      </c>
      <c r="L1005" s="24"/>
    </row>
    <row r="1006">
      <c r="A1006" s="28">
        <v>1005.0</v>
      </c>
      <c r="B1006" s="29"/>
      <c r="C1006" s="29"/>
      <c r="D1006" s="40">
        <v>1.0</v>
      </c>
      <c r="E1006" s="31">
        <v>20.0</v>
      </c>
      <c r="F1006" s="42">
        <v>197.0</v>
      </c>
      <c r="G1006" s="29" t="str">
        <f t="shared" si="1"/>
        <v>20197</v>
      </c>
      <c r="H1006" s="37" t="s">
        <v>1018</v>
      </c>
      <c r="I1006" s="37" t="s">
        <v>53</v>
      </c>
      <c r="J1006" s="37" t="s">
        <v>612</v>
      </c>
      <c r="K1006" s="37" t="str">
        <f t="shared" si="17"/>
        <v>Wabaunsee, KS</v>
      </c>
      <c r="L1006" s="24"/>
    </row>
    <row r="1007">
      <c r="A1007" s="28">
        <v>1006.0</v>
      </c>
      <c r="B1007" s="29"/>
      <c r="C1007" s="29"/>
      <c r="D1007" s="40">
        <v>1.0</v>
      </c>
      <c r="E1007" s="31">
        <v>20.0</v>
      </c>
      <c r="F1007" s="42">
        <v>199.0</v>
      </c>
      <c r="G1007" s="29" t="str">
        <f t="shared" si="1"/>
        <v>20199</v>
      </c>
      <c r="H1007" s="37" t="s">
        <v>1019</v>
      </c>
      <c r="I1007" s="37" t="s">
        <v>53</v>
      </c>
      <c r="J1007" s="37" t="s">
        <v>612</v>
      </c>
      <c r="K1007" s="37" t="str">
        <f t="shared" si="17"/>
        <v>Wallace, KS</v>
      </c>
      <c r="L1007" s="24"/>
    </row>
    <row r="1008">
      <c r="A1008" s="28">
        <v>1007.0</v>
      </c>
      <c r="B1008" s="29"/>
      <c r="C1008" s="29"/>
      <c r="D1008" s="40">
        <v>1.0</v>
      </c>
      <c r="E1008" s="31">
        <v>20.0</v>
      </c>
      <c r="F1008" s="42">
        <v>201.0</v>
      </c>
      <c r="G1008" s="29" t="str">
        <f t="shared" si="1"/>
        <v>20201</v>
      </c>
      <c r="H1008" s="37" t="s">
        <v>119</v>
      </c>
      <c r="I1008" s="37" t="s">
        <v>53</v>
      </c>
      <c r="J1008" s="37" t="s">
        <v>612</v>
      </c>
      <c r="K1008" s="37" t="str">
        <f t="shared" si="17"/>
        <v>Washington, KS</v>
      </c>
      <c r="L1008" s="24"/>
    </row>
    <row r="1009">
      <c r="A1009" s="28">
        <v>1008.0</v>
      </c>
      <c r="B1009" s="29"/>
      <c r="C1009" s="29"/>
      <c r="D1009" s="40">
        <v>1.0</v>
      </c>
      <c r="E1009" s="31">
        <v>20.0</v>
      </c>
      <c r="F1009" s="42">
        <v>203.0</v>
      </c>
      <c r="G1009" s="29" t="str">
        <f t="shared" si="1"/>
        <v>20203</v>
      </c>
      <c r="H1009" s="37" t="s">
        <v>1020</v>
      </c>
      <c r="I1009" s="37" t="s">
        <v>53</v>
      </c>
      <c r="J1009" s="37" t="s">
        <v>612</v>
      </c>
      <c r="K1009" s="37" t="str">
        <f t="shared" si="17"/>
        <v>Wichita, KS</v>
      </c>
      <c r="L1009" s="24"/>
    </row>
    <row r="1010">
      <c r="A1010" s="28">
        <v>1009.0</v>
      </c>
      <c r="B1010" s="29"/>
      <c r="C1010" s="29"/>
      <c r="D1010" s="40">
        <v>1.0</v>
      </c>
      <c r="E1010" s="31">
        <v>20.0</v>
      </c>
      <c r="F1010" s="42">
        <v>205.0</v>
      </c>
      <c r="G1010" s="29" t="str">
        <f t="shared" si="1"/>
        <v>20205</v>
      </c>
      <c r="H1010" s="37" t="s">
        <v>1021</v>
      </c>
      <c r="I1010" s="37" t="s">
        <v>53</v>
      </c>
      <c r="J1010" s="37" t="s">
        <v>612</v>
      </c>
      <c r="K1010" s="37" t="str">
        <f t="shared" si="17"/>
        <v>Wilson, KS</v>
      </c>
      <c r="L1010" s="24"/>
    </row>
    <row r="1011">
      <c r="A1011" s="28">
        <v>1010.0</v>
      </c>
      <c r="B1011" s="29"/>
      <c r="C1011" s="29"/>
      <c r="D1011" s="40">
        <v>1.0</v>
      </c>
      <c r="E1011" s="31">
        <v>20.0</v>
      </c>
      <c r="F1011" s="42">
        <v>207.0</v>
      </c>
      <c r="G1011" s="29" t="str">
        <f t="shared" si="1"/>
        <v>20207</v>
      </c>
      <c r="H1011" s="37" t="s">
        <v>1022</v>
      </c>
      <c r="I1011" s="37" t="s">
        <v>53</v>
      </c>
      <c r="J1011" s="37" t="s">
        <v>612</v>
      </c>
      <c r="K1011" s="37" t="str">
        <f t="shared" si="17"/>
        <v>Woodson, KS</v>
      </c>
      <c r="L1011" s="24"/>
    </row>
    <row r="1012">
      <c r="A1012" s="28">
        <v>1011.0</v>
      </c>
      <c r="B1012" s="29"/>
      <c r="C1012" s="29"/>
      <c r="D1012" s="40">
        <v>1.0</v>
      </c>
      <c r="E1012" s="31">
        <v>20.0</v>
      </c>
      <c r="F1012" s="42">
        <v>209.0</v>
      </c>
      <c r="G1012" s="29" t="str">
        <f t="shared" si="1"/>
        <v>20209</v>
      </c>
      <c r="H1012" s="37" t="s">
        <v>1023</v>
      </c>
      <c r="I1012" s="37" t="s">
        <v>53</v>
      </c>
      <c r="J1012" s="37" t="s">
        <v>612</v>
      </c>
      <c r="K1012" s="37" t="str">
        <f t="shared" si="17"/>
        <v>Wyandotte, KS</v>
      </c>
      <c r="L1012" s="24"/>
    </row>
    <row r="1013">
      <c r="A1013" s="99">
        <v>1012.0</v>
      </c>
      <c r="B1013" s="15"/>
      <c r="C1013" s="14" t="s">
        <v>25</v>
      </c>
      <c r="D1013" s="16"/>
      <c r="E1013" s="102">
        <v>21.0</v>
      </c>
      <c r="F1013" s="107">
        <v>0.0</v>
      </c>
      <c r="G1013" s="15" t="str">
        <f t="shared" si="1"/>
        <v>21000</v>
      </c>
      <c r="H1013" s="23"/>
      <c r="I1013" s="23" t="s">
        <v>54</v>
      </c>
      <c r="J1013" s="23" t="s">
        <v>531</v>
      </c>
      <c r="K1013" s="23"/>
      <c r="L1013" s="24"/>
    </row>
    <row r="1014">
      <c r="A1014" s="99">
        <v>1013.0</v>
      </c>
      <c r="B1014" s="15"/>
      <c r="C1014" s="15"/>
      <c r="D1014" s="105">
        <v>1.0</v>
      </c>
      <c r="E1014" s="102">
        <v>21.0</v>
      </c>
      <c r="F1014" s="107">
        <v>1.0</v>
      </c>
      <c r="G1014" s="15" t="str">
        <f t="shared" si="1"/>
        <v>21001</v>
      </c>
      <c r="H1014" s="23" t="s">
        <v>882</v>
      </c>
      <c r="I1014" s="23" t="s">
        <v>54</v>
      </c>
      <c r="J1014" s="23" t="s">
        <v>531</v>
      </c>
      <c r="K1014" s="23" t="str">
        <f t="shared" ref="K1014:K1133" si="18">CONCATENATE(H1014,", ",J1014)</f>
        <v>Adair, KY</v>
      </c>
      <c r="L1014" s="24"/>
    </row>
    <row r="1015">
      <c r="A1015" s="99">
        <v>1014.0</v>
      </c>
      <c r="B1015" s="15"/>
      <c r="C1015" s="15"/>
      <c r="D1015" s="105">
        <v>1.0</v>
      </c>
      <c r="E1015" s="102">
        <v>21.0</v>
      </c>
      <c r="F1015" s="107">
        <v>3.0</v>
      </c>
      <c r="G1015" s="15" t="str">
        <f t="shared" si="1"/>
        <v>21003</v>
      </c>
      <c r="H1015" s="23" t="s">
        <v>755</v>
      </c>
      <c r="I1015" s="23" t="s">
        <v>54</v>
      </c>
      <c r="J1015" s="23" t="s">
        <v>531</v>
      </c>
      <c r="K1015" s="23" t="str">
        <f t="shared" si="18"/>
        <v>Allen, KY</v>
      </c>
      <c r="L1015" s="24"/>
    </row>
    <row r="1016">
      <c r="A1016" s="99">
        <v>1015.0</v>
      </c>
      <c r="B1016" s="15"/>
      <c r="C1016" s="15"/>
      <c r="D1016" s="105">
        <v>1.0</v>
      </c>
      <c r="E1016" s="102">
        <v>21.0</v>
      </c>
      <c r="F1016" s="107">
        <v>5.0</v>
      </c>
      <c r="G1016" s="15" t="str">
        <f t="shared" si="1"/>
        <v>21005</v>
      </c>
      <c r="H1016" s="23" t="s">
        <v>954</v>
      </c>
      <c r="I1016" s="23" t="s">
        <v>54</v>
      </c>
      <c r="J1016" s="23" t="s">
        <v>531</v>
      </c>
      <c r="K1016" s="23" t="str">
        <f t="shared" si="18"/>
        <v>Anderson, KY</v>
      </c>
      <c r="L1016" s="24"/>
    </row>
    <row r="1017">
      <c r="A1017" s="99">
        <v>1016.0</v>
      </c>
      <c r="B1017" s="15"/>
      <c r="C1017" s="15"/>
      <c r="D1017" s="105">
        <v>1.0</v>
      </c>
      <c r="E1017" s="102">
        <v>21.0</v>
      </c>
      <c r="F1017" s="107">
        <v>7.0</v>
      </c>
      <c r="G1017" s="15" t="str">
        <f t="shared" si="1"/>
        <v>21007</v>
      </c>
      <c r="H1017" s="23" t="s">
        <v>1024</v>
      </c>
      <c r="I1017" s="23" t="s">
        <v>54</v>
      </c>
      <c r="J1017" s="23" t="s">
        <v>531</v>
      </c>
      <c r="K1017" s="23" t="str">
        <f t="shared" si="18"/>
        <v>Ballard, KY</v>
      </c>
      <c r="L1017" s="24"/>
    </row>
    <row r="1018">
      <c r="A1018" s="99">
        <v>1017.0</v>
      </c>
      <c r="B1018" s="15"/>
      <c r="C1018" s="15"/>
      <c r="D1018" s="105">
        <v>1.0</v>
      </c>
      <c r="E1018" s="102">
        <v>21.0</v>
      </c>
      <c r="F1018" s="107">
        <v>9.0</v>
      </c>
      <c r="G1018" s="15" t="str">
        <f t="shared" si="1"/>
        <v>21009</v>
      </c>
      <c r="H1018" s="23" t="s">
        <v>1025</v>
      </c>
      <c r="I1018" s="23" t="s">
        <v>54</v>
      </c>
      <c r="J1018" s="23" t="s">
        <v>531</v>
      </c>
      <c r="K1018" s="23" t="str">
        <f t="shared" si="18"/>
        <v>Barren, KY</v>
      </c>
      <c r="L1018" s="24"/>
    </row>
    <row r="1019">
      <c r="A1019" s="99">
        <v>1018.0</v>
      </c>
      <c r="B1019" s="15"/>
      <c r="C1019" s="15"/>
      <c r="D1019" s="105">
        <v>1.0</v>
      </c>
      <c r="E1019" s="102">
        <v>21.0</v>
      </c>
      <c r="F1019" s="107">
        <v>11.0</v>
      </c>
      <c r="G1019" s="15" t="str">
        <f t="shared" si="1"/>
        <v>21011</v>
      </c>
      <c r="H1019" s="23" t="s">
        <v>1026</v>
      </c>
      <c r="I1019" s="23" t="s">
        <v>54</v>
      </c>
      <c r="J1019" s="23" t="s">
        <v>531</v>
      </c>
      <c r="K1019" s="23" t="str">
        <f t="shared" si="18"/>
        <v>Bath, KY</v>
      </c>
      <c r="L1019" s="24"/>
    </row>
    <row r="1020">
      <c r="A1020" s="99">
        <v>1019.0</v>
      </c>
      <c r="B1020" s="15"/>
      <c r="C1020" s="15"/>
      <c r="D1020" s="105">
        <v>1.0</v>
      </c>
      <c r="E1020" s="102">
        <v>21.0</v>
      </c>
      <c r="F1020" s="107">
        <v>13.0</v>
      </c>
      <c r="G1020" s="15" t="str">
        <f t="shared" si="1"/>
        <v>21013</v>
      </c>
      <c r="H1020" s="23" t="s">
        <v>1027</v>
      </c>
      <c r="I1020" s="23" t="s">
        <v>54</v>
      </c>
      <c r="J1020" s="23" t="s">
        <v>531</v>
      </c>
      <c r="K1020" s="23" t="str">
        <f t="shared" si="18"/>
        <v>Bell, KY</v>
      </c>
      <c r="L1020" s="24"/>
    </row>
    <row r="1021">
      <c r="A1021" s="99">
        <v>1020.0</v>
      </c>
      <c r="B1021" s="15"/>
      <c r="C1021" s="15"/>
      <c r="D1021" s="105">
        <v>1.0</v>
      </c>
      <c r="E1021" s="102">
        <v>21.0</v>
      </c>
      <c r="F1021" s="107">
        <v>15.0</v>
      </c>
      <c r="G1021" s="15" t="str">
        <f t="shared" si="1"/>
        <v>21015</v>
      </c>
      <c r="H1021" s="23" t="s">
        <v>246</v>
      </c>
      <c r="I1021" s="23" t="s">
        <v>54</v>
      </c>
      <c r="J1021" s="23" t="s">
        <v>531</v>
      </c>
      <c r="K1021" s="23" t="str">
        <f t="shared" si="18"/>
        <v>Boone, KY</v>
      </c>
      <c r="L1021" s="24"/>
    </row>
    <row r="1022">
      <c r="A1022" s="99">
        <v>1021.0</v>
      </c>
      <c r="B1022" s="15"/>
      <c r="C1022" s="15"/>
      <c r="D1022" s="105">
        <v>1.0</v>
      </c>
      <c r="E1022" s="102">
        <v>21.0</v>
      </c>
      <c r="F1022" s="107">
        <v>17.0</v>
      </c>
      <c r="G1022" s="15" t="str">
        <f t="shared" si="1"/>
        <v>21017</v>
      </c>
      <c r="H1022" s="23" t="s">
        <v>959</v>
      </c>
      <c r="I1022" s="23" t="s">
        <v>54</v>
      </c>
      <c r="J1022" s="23" t="s">
        <v>531</v>
      </c>
      <c r="K1022" s="23" t="str">
        <f t="shared" si="18"/>
        <v>Bourbon, KY</v>
      </c>
      <c r="L1022" s="24"/>
    </row>
    <row r="1023">
      <c r="A1023" s="99">
        <v>1022.0</v>
      </c>
      <c r="B1023" s="15"/>
      <c r="C1023" s="15"/>
      <c r="D1023" s="105">
        <v>1.0</v>
      </c>
      <c r="E1023" s="102">
        <v>21.0</v>
      </c>
      <c r="F1023" s="107">
        <v>19.0</v>
      </c>
      <c r="G1023" s="15" t="str">
        <f t="shared" si="1"/>
        <v>21019</v>
      </c>
      <c r="H1023" s="23" t="s">
        <v>1028</v>
      </c>
      <c r="I1023" s="23" t="s">
        <v>54</v>
      </c>
      <c r="J1023" s="23" t="s">
        <v>531</v>
      </c>
      <c r="K1023" s="23" t="str">
        <f t="shared" si="18"/>
        <v>Boyd, KY</v>
      </c>
      <c r="L1023" s="24"/>
    </row>
    <row r="1024">
      <c r="A1024" s="99">
        <v>1023.0</v>
      </c>
      <c r="B1024" s="15"/>
      <c r="C1024" s="15"/>
      <c r="D1024" s="105">
        <v>1.0</v>
      </c>
      <c r="E1024" s="102">
        <v>21.0</v>
      </c>
      <c r="F1024" s="107">
        <v>21.0</v>
      </c>
      <c r="G1024" s="15" t="str">
        <f t="shared" si="1"/>
        <v>21021</v>
      </c>
      <c r="H1024" s="23" t="s">
        <v>1029</v>
      </c>
      <c r="I1024" s="23" t="s">
        <v>54</v>
      </c>
      <c r="J1024" s="23" t="s">
        <v>531</v>
      </c>
      <c r="K1024" s="23" t="str">
        <f t="shared" si="18"/>
        <v>Boyle, KY</v>
      </c>
      <c r="L1024" s="24"/>
    </row>
    <row r="1025">
      <c r="A1025" s="99">
        <v>1024.0</v>
      </c>
      <c r="B1025" s="15"/>
      <c r="C1025" s="15"/>
      <c r="D1025" s="105">
        <v>1.0</v>
      </c>
      <c r="E1025" s="102">
        <v>21.0</v>
      </c>
      <c r="F1025" s="107">
        <v>23.0</v>
      </c>
      <c r="G1025" s="15" t="str">
        <f t="shared" si="1"/>
        <v>21023</v>
      </c>
      <c r="H1025" s="23" t="s">
        <v>1030</v>
      </c>
      <c r="I1025" s="23" t="s">
        <v>54</v>
      </c>
      <c r="J1025" s="23" t="s">
        <v>531</v>
      </c>
      <c r="K1025" s="23" t="str">
        <f t="shared" si="18"/>
        <v>Bracken, KY</v>
      </c>
      <c r="L1025" s="24"/>
    </row>
    <row r="1026">
      <c r="A1026" s="99">
        <v>1025.0</v>
      </c>
      <c r="B1026" s="15"/>
      <c r="C1026" s="15"/>
      <c r="D1026" s="105">
        <v>1.0</v>
      </c>
      <c r="E1026" s="102">
        <v>21.0</v>
      </c>
      <c r="F1026" s="107">
        <v>25.0</v>
      </c>
      <c r="G1026" s="15" t="str">
        <f t="shared" si="1"/>
        <v>21025</v>
      </c>
      <c r="H1026" s="23" t="s">
        <v>1031</v>
      </c>
      <c r="I1026" s="23" t="s">
        <v>54</v>
      </c>
      <c r="J1026" s="23" t="s">
        <v>531</v>
      </c>
      <c r="K1026" s="23" t="str">
        <f t="shared" si="18"/>
        <v>Breathitt, KY</v>
      </c>
      <c r="L1026" s="24"/>
    </row>
    <row r="1027">
      <c r="A1027" s="99">
        <v>1026.0</v>
      </c>
      <c r="B1027" s="15"/>
      <c r="C1027" s="15"/>
      <c r="D1027" s="105">
        <v>1.0</v>
      </c>
      <c r="E1027" s="102">
        <v>21.0</v>
      </c>
      <c r="F1027" s="107">
        <v>27.0</v>
      </c>
      <c r="G1027" s="15" t="str">
        <f t="shared" si="1"/>
        <v>21027</v>
      </c>
      <c r="H1027" s="23" t="s">
        <v>1032</v>
      </c>
      <c r="I1027" s="23" t="s">
        <v>54</v>
      </c>
      <c r="J1027" s="23" t="s">
        <v>531</v>
      </c>
      <c r="K1027" s="112" t="str">
        <f t="shared" si="18"/>
        <v>Breckinridge, KY</v>
      </c>
      <c r="L1027" s="24"/>
    </row>
    <row r="1028">
      <c r="A1028" s="99">
        <v>1027.0</v>
      </c>
      <c r="B1028" s="15"/>
      <c r="C1028" s="15"/>
      <c r="D1028" s="105">
        <v>1.0</v>
      </c>
      <c r="E1028" s="102">
        <v>21.0</v>
      </c>
      <c r="F1028" s="107">
        <v>29.0</v>
      </c>
      <c r="G1028" s="15" t="str">
        <f t="shared" si="1"/>
        <v>21029</v>
      </c>
      <c r="H1028" s="23" t="s">
        <v>1033</v>
      </c>
      <c r="I1028" s="23" t="s">
        <v>54</v>
      </c>
      <c r="J1028" s="23" t="s">
        <v>531</v>
      </c>
      <c r="K1028" s="23" t="str">
        <f t="shared" si="18"/>
        <v>Bullitt, KY</v>
      </c>
      <c r="L1028" s="24"/>
    </row>
    <row r="1029">
      <c r="A1029" s="99">
        <v>1028.0</v>
      </c>
      <c r="B1029" s="15"/>
      <c r="C1029" s="15"/>
      <c r="D1029" s="105">
        <v>1.0</v>
      </c>
      <c r="E1029" s="102">
        <v>21.0</v>
      </c>
      <c r="F1029" s="107">
        <v>31.0</v>
      </c>
      <c r="G1029" s="15" t="str">
        <f t="shared" si="1"/>
        <v>21031</v>
      </c>
      <c r="H1029" s="23" t="s">
        <v>87</v>
      </c>
      <c r="I1029" s="23" t="s">
        <v>54</v>
      </c>
      <c r="J1029" s="23" t="s">
        <v>531</v>
      </c>
      <c r="K1029" s="23" t="str">
        <f t="shared" si="18"/>
        <v>Butler, KY</v>
      </c>
      <c r="L1029" s="24"/>
    </row>
    <row r="1030">
      <c r="A1030" s="99">
        <v>1029.0</v>
      </c>
      <c r="B1030" s="15"/>
      <c r="C1030" s="15"/>
      <c r="D1030" s="105">
        <v>1.0</v>
      </c>
      <c r="E1030" s="102">
        <v>21.0</v>
      </c>
      <c r="F1030" s="107">
        <v>33.0</v>
      </c>
      <c r="G1030" s="15" t="str">
        <f t="shared" si="1"/>
        <v>21033</v>
      </c>
      <c r="H1030" s="23" t="s">
        <v>1034</v>
      </c>
      <c r="I1030" s="23" t="s">
        <v>54</v>
      </c>
      <c r="J1030" s="23" t="s">
        <v>531</v>
      </c>
      <c r="K1030" s="23" t="str">
        <f t="shared" si="18"/>
        <v>Caldwell, KY</v>
      </c>
      <c r="L1030" s="24"/>
    </row>
    <row r="1031">
      <c r="A1031" s="99">
        <v>1030.0</v>
      </c>
      <c r="B1031" s="15"/>
      <c r="C1031" s="15"/>
      <c r="D1031" s="105">
        <v>1.0</v>
      </c>
      <c r="E1031" s="102">
        <v>21.0</v>
      </c>
      <c r="F1031" s="107">
        <v>35.0</v>
      </c>
      <c r="G1031" s="15" t="str">
        <f t="shared" si="1"/>
        <v>21035</v>
      </c>
      <c r="H1031" s="23" t="s">
        <v>1035</v>
      </c>
      <c r="I1031" s="23" t="s">
        <v>54</v>
      </c>
      <c r="J1031" s="23" t="s">
        <v>531</v>
      </c>
      <c r="K1031" s="23" t="str">
        <f t="shared" si="18"/>
        <v>Calloway, KY</v>
      </c>
      <c r="L1031" s="24"/>
    </row>
    <row r="1032">
      <c r="A1032" s="99">
        <v>1031.0</v>
      </c>
      <c r="B1032" s="15"/>
      <c r="C1032" s="15"/>
      <c r="D1032" s="105">
        <v>1.0</v>
      </c>
      <c r="E1032" s="102">
        <v>21.0</v>
      </c>
      <c r="F1032" s="107">
        <v>37.0</v>
      </c>
      <c r="G1032" s="15" t="str">
        <f t="shared" si="1"/>
        <v>21037</v>
      </c>
      <c r="H1032" s="23" t="s">
        <v>1036</v>
      </c>
      <c r="I1032" s="23" t="s">
        <v>54</v>
      </c>
      <c r="J1032" s="23" t="s">
        <v>531</v>
      </c>
      <c r="K1032" s="23" t="str">
        <f t="shared" si="18"/>
        <v>Campbell, KY</v>
      </c>
      <c r="L1032" s="24"/>
    </row>
    <row r="1033">
      <c r="A1033" s="99">
        <v>1032.0</v>
      </c>
      <c r="B1033" s="15"/>
      <c r="C1033" s="15"/>
      <c r="D1033" s="105">
        <v>1.0</v>
      </c>
      <c r="E1033" s="102">
        <v>21.0</v>
      </c>
      <c r="F1033" s="107">
        <v>39.0</v>
      </c>
      <c r="G1033" s="15" t="str">
        <f t="shared" si="1"/>
        <v>21039</v>
      </c>
      <c r="H1033" s="23" t="s">
        <v>1037</v>
      </c>
      <c r="I1033" s="23" t="s">
        <v>54</v>
      </c>
      <c r="J1033" s="23" t="s">
        <v>531</v>
      </c>
      <c r="K1033" s="23" t="str">
        <f t="shared" si="18"/>
        <v>Carlisle, KY</v>
      </c>
      <c r="L1033" s="24"/>
    </row>
    <row r="1034">
      <c r="A1034" s="99">
        <v>1033.0</v>
      </c>
      <c r="B1034" s="15"/>
      <c r="C1034" s="15"/>
      <c r="D1034" s="105">
        <v>1.0</v>
      </c>
      <c r="E1034" s="102">
        <v>21.0</v>
      </c>
      <c r="F1034" s="107">
        <v>41.0</v>
      </c>
      <c r="G1034" s="15" t="str">
        <f t="shared" si="1"/>
        <v>21041</v>
      </c>
      <c r="H1034" s="23" t="s">
        <v>248</v>
      </c>
      <c r="I1034" s="23" t="s">
        <v>54</v>
      </c>
      <c r="J1034" s="23" t="s">
        <v>531</v>
      </c>
      <c r="K1034" s="23" t="str">
        <f t="shared" si="18"/>
        <v>Carroll, KY</v>
      </c>
      <c r="L1034" s="24"/>
    </row>
    <row r="1035">
      <c r="A1035" s="99">
        <v>1034.0</v>
      </c>
      <c r="B1035" s="15"/>
      <c r="C1035" s="15"/>
      <c r="D1035" s="105">
        <v>1.0</v>
      </c>
      <c r="E1035" s="102">
        <v>21.0</v>
      </c>
      <c r="F1035" s="107">
        <v>43.0</v>
      </c>
      <c r="G1035" s="15" t="str">
        <f t="shared" si="1"/>
        <v>21043</v>
      </c>
      <c r="H1035" s="23" t="s">
        <v>1038</v>
      </c>
      <c r="I1035" s="23" t="s">
        <v>54</v>
      </c>
      <c r="J1035" s="23" t="s">
        <v>531</v>
      </c>
      <c r="K1035" s="23" t="str">
        <f t="shared" si="18"/>
        <v>Carter, KY</v>
      </c>
      <c r="L1035" s="24"/>
    </row>
    <row r="1036">
      <c r="A1036" s="99">
        <v>1035.0</v>
      </c>
      <c r="B1036" s="15"/>
      <c r="C1036" s="15"/>
      <c r="D1036" s="105">
        <v>1.0</v>
      </c>
      <c r="E1036" s="102">
        <v>21.0</v>
      </c>
      <c r="F1036" s="107">
        <v>45.0</v>
      </c>
      <c r="G1036" s="15" t="str">
        <f t="shared" si="1"/>
        <v>21045</v>
      </c>
      <c r="H1036" s="23" t="s">
        <v>1039</v>
      </c>
      <c r="I1036" s="23" t="s">
        <v>54</v>
      </c>
      <c r="J1036" s="23" t="s">
        <v>531</v>
      </c>
      <c r="K1036" s="23" t="str">
        <f t="shared" si="18"/>
        <v>Casey, KY</v>
      </c>
      <c r="L1036" s="24"/>
    </row>
    <row r="1037">
      <c r="A1037" s="99">
        <v>1036.0</v>
      </c>
      <c r="B1037" s="15"/>
      <c r="C1037" s="15"/>
      <c r="D1037" s="105">
        <v>1.0</v>
      </c>
      <c r="E1037" s="102">
        <v>21.0</v>
      </c>
      <c r="F1037" s="107">
        <v>47.0</v>
      </c>
      <c r="G1037" s="15" t="str">
        <f t="shared" si="1"/>
        <v>21047</v>
      </c>
      <c r="H1037" s="23" t="s">
        <v>710</v>
      </c>
      <c r="I1037" s="23" t="s">
        <v>54</v>
      </c>
      <c r="J1037" s="23" t="s">
        <v>531</v>
      </c>
      <c r="K1037" s="23" t="str">
        <f t="shared" si="18"/>
        <v>Christian, KY</v>
      </c>
      <c r="L1037" s="24"/>
    </row>
    <row r="1038">
      <c r="A1038" s="99">
        <v>1037.0</v>
      </c>
      <c r="B1038" s="15"/>
      <c r="C1038" s="15"/>
      <c r="D1038" s="105">
        <v>1.0</v>
      </c>
      <c r="E1038" s="102">
        <v>21.0</v>
      </c>
      <c r="F1038" s="107">
        <v>49.0</v>
      </c>
      <c r="G1038" s="15" t="str">
        <f t="shared" si="1"/>
        <v>21049</v>
      </c>
      <c r="H1038" s="23" t="s">
        <v>253</v>
      </c>
      <c r="I1038" s="23" t="s">
        <v>54</v>
      </c>
      <c r="J1038" s="23" t="s">
        <v>531</v>
      </c>
      <c r="K1038" s="23" t="str">
        <f t="shared" si="18"/>
        <v>Clark, KY</v>
      </c>
      <c r="L1038" s="24"/>
    </row>
    <row r="1039">
      <c r="A1039" s="99">
        <v>1038.0</v>
      </c>
      <c r="B1039" s="15"/>
      <c r="C1039" s="15"/>
      <c r="D1039" s="105">
        <v>1.0</v>
      </c>
      <c r="E1039" s="102">
        <v>21.0</v>
      </c>
      <c r="F1039" s="107">
        <v>51.0</v>
      </c>
      <c r="G1039" s="15" t="str">
        <f t="shared" si="1"/>
        <v>21051</v>
      </c>
      <c r="H1039" s="23" t="s">
        <v>112</v>
      </c>
      <c r="I1039" s="23" t="s">
        <v>54</v>
      </c>
      <c r="J1039" s="23" t="s">
        <v>531</v>
      </c>
      <c r="K1039" s="23" t="str">
        <f t="shared" si="18"/>
        <v>Clay, KY</v>
      </c>
      <c r="L1039" s="24"/>
    </row>
    <row r="1040">
      <c r="A1040" s="99">
        <v>1039.0</v>
      </c>
      <c r="B1040" s="15"/>
      <c r="C1040" s="15"/>
      <c r="D1040" s="105">
        <v>1.0</v>
      </c>
      <c r="E1040" s="102">
        <v>21.0</v>
      </c>
      <c r="F1040" s="107">
        <v>53.0</v>
      </c>
      <c r="G1040" s="15" t="str">
        <f t="shared" si="1"/>
        <v>21053</v>
      </c>
      <c r="H1040" s="23" t="s">
        <v>711</v>
      </c>
      <c r="I1040" s="23" t="s">
        <v>54</v>
      </c>
      <c r="J1040" s="23" t="s">
        <v>531</v>
      </c>
      <c r="K1040" s="23" t="str">
        <f t="shared" si="18"/>
        <v>Clinton, KY</v>
      </c>
      <c r="L1040" s="24"/>
    </row>
    <row r="1041">
      <c r="A1041" s="99">
        <v>1040.0</v>
      </c>
      <c r="B1041" s="15"/>
      <c r="C1041" s="15"/>
      <c r="D1041" s="105">
        <v>1.0</v>
      </c>
      <c r="E1041" s="102">
        <v>21.0</v>
      </c>
      <c r="F1041" s="107">
        <v>55.0</v>
      </c>
      <c r="G1041" s="15" t="str">
        <f t="shared" si="1"/>
        <v>21055</v>
      </c>
      <c r="H1041" s="23" t="s">
        <v>264</v>
      </c>
      <c r="I1041" s="23" t="s">
        <v>54</v>
      </c>
      <c r="J1041" s="23" t="s">
        <v>531</v>
      </c>
      <c r="K1041" s="23" t="str">
        <f t="shared" si="18"/>
        <v>Crittenden, KY</v>
      </c>
      <c r="L1041" s="24"/>
    </row>
    <row r="1042">
      <c r="A1042" s="99">
        <v>1041.0</v>
      </c>
      <c r="B1042" s="15"/>
      <c r="C1042" s="15"/>
      <c r="D1042" s="105">
        <v>1.0</v>
      </c>
      <c r="E1042" s="102">
        <v>21.0</v>
      </c>
      <c r="F1042" s="107">
        <v>57.0</v>
      </c>
      <c r="G1042" s="15" t="str">
        <f t="shared" si="1"/>
        <v>21057</v>
      </c>
      <c r="H1042" s="23" t="s">
        <v>713</v>
      </c>
      <c r="I1042" s="23" t="s">
        <v>54</v>
      </c>
      <c r="J1042" s="23" t="s">
        <v>531</v>
      </c>
      <c r="K1042" s="23" t="str">
        <f t="shared" si="18"/>
        <v>Cumberland, KY</v>
      </c>
      <c r="L1042" s="24"/>
    </row>
    <row r="1043">
      <c r="A1043" s="99">
        <v>1042.0</v>
      </c>
      <c r="B1043" s="15"/>
      <c r="C1043" s="15"/>
      <c r="D1043" s="105">
        <v>1.0</v>
      </c>
      <c r="E1043" s="102">
        <v>21.0</v>
      </c>
      <c r="F1043" s="107">
        <v>59.0</v>
      </c>
      <c r="G1043" s="15" t="str">
        <f t="shared" si="1"/>
        <v>21059</v>
      </c>
      <c r="H1043" s="23" t="s">
        <v>758</v>
      </c>
      <c r="I1043" s="23" t="s">
        <v>54</v>
      </c>
      <c r="J1043" s="23" t="s">
        <v>531</v>
      </c>
      <c r="K1043" s="23" t="str">
        <f t="shared" si="18"/>
        <v>Daviess, KY</v>
      </c>
      <c r="L1043" s="24"/>
    </row>
    <row r="1044">
      <c r="A1044" s="99">
        <v>1043.0</v>
      </c>
      <c r="B1044" s="15"/>
      <c r="C1044" s="15"/>
      <c r="D1044" s="105">
        <v>1.0</v>
      </c>
      <c r="E1044" s="102">
        <v>21.0</v>
      </c>
      <c r="F1044" s="107">
        <v>61.0</v>
      </c>
      <c r="G1044" s="15" t="str">
        <f t="shared" si="1"/>
        <v>21061</v>
      </c>
      <c r="H1044" s="23" t="s">
        <v>1041</v>
      </c>
      <c r="I1044" s="23" t="s">
        <v>54</v>
      </c>
      <c r="J1044" s="23" t="s">
        <v>531</v>
      </c>
      <c r="K1044" s="23" t="str">
        <f t="shared" si="18"/>
        <v>Edmonson, KY</v>
      </c>
      <c r="L1044" s="24"/>
    </row>
    <row r="1045">
      <c r="A1045" s="99">
        <v>1044.0</v>
      </c>
      <c r="B1045" s="15"/>
      <c r="C1045" s="15"/>
      <c r="D1045" s="105">
        <v>1.0</v>
      </c>
      <c r="E1045" s="102">
        <v>21.0</v>
      </c>
      <c r="F1045" s="107">
        <v>63.0</v>
      </c>
      <c r="G1045" s="15" t="str">
        <f t="shared" si="1"/>
        <v>21063</v>
      </c>
      <c r="H1045" s="23" t="s">
        <v>1045</v>
      </c>
      <c r="I1045" s="23" t="s">
        <v>54</v>
      </c>
      <c r="J1045" s="23" t="s">
        <v>531</v>
      </c>
      <c r="K1045" s="23" t="str">
        <f t="shared" si="18"/>
        <v>Elliott, KY</v>
      </c>
      <c r="L1045" s="24"/>
    </row>
    <row r="1046">
      <c r="A1046" s="99">
        <v>1045.0</v>
      </c>
      <c r="B1046" s="15"/>
      <c r="C1046" s="15"/>
      <c r="D1046" s="105">
        <v>1.0</v>
      </c>
      <c r="E1046" s="102">
        <v>21.0</v>
      </c>
      <c r="F1046" s="107">
        <v>65.0</v>
      </c>
      <c r="G1046" s="15" t="str">
        <f t="shared" si="1"/>
        <v>21065</v>
      </c>
      <c r="H1046" s="23" t="s">
        <v>1046</v>
      </c>
      <c r="I1046" s="23" t="s">
        <v>54</v>
      </c>
      <c r="J1046" s="23" t="s">
        <v>531</v>
      </c>
      <c r="K1046" s="23" t="str">
        <f t="shared" si="18"/>
        <v>Estill, KY</v>
      </c>
      <c r="L1046" s="24"/>
    </row>
    <row r="1047">
      <c r="A1047" s="99">
        <v>1046.0</v>
      </c>
      <c r="B1047" s="15"/>
      <c r="C1047" s="15"/>
      <c r="D1047" s="105">
        <v>1.0</v>
      </c>
      <c r="E1047" s="102">
        <v>21.0</v>
      </c>
      <c r="F1047" s="107">
        <v>67.0</v>
      </c>
      <c r="G1047" s="15" t="str">
        <f t="shared" si="1"/>
        <v>21067</v>
      </c>
      <c r="H1047" s="23" t="s">
        <v>135</v>
      </c>
      <c r="I1047" s="23" t="s">
        <v>54</v>
      </c>
      <c r="J1047" s="23" t="s">
        <v>531</v>
      </c>
      <c r="K1047" s="23" t="str">
        <f t="shared" si="18"/>
        <v>Fayette, KY</v>
      </c>
      <c r="L1047" s="24"/>
    </row>
    <row r="1048">
      <c r="A1048" s="99">
        <v>1047.0</v>
      </c>
      <c r="B1048" s="15"/>
      <c r="C1048" s="15"/>
      <c r="D1048" s="105">
        <v>1.0</v>
      </c>
      <c r="E1048" s="102">
        <v>21.0</v>
      </c>
      <c r="F1048" s="107">
        <v>69.0</v>
      </c>
      <c r="G1048" s="15" t="str">
        <f t="shared" si="1"/>
        <v>21069</v>
      </c>
      <c r="H1048" s="23" t="s">
        <v>1049</v>
      </c>
      <c r="I1048" s="23" t="s">
        <v>54</v>
      </c>
      <c r="J1048" s="23" t="s">
        <v>531</v>
      </c>
      <c r="K1048" s="23" t="str">
        <f t="shared" si="18"/>
        <v>Fleming, KY</v>
      </c>
      <c r="L1048" s="24"/>
    </row>
    <row r="1049">
      <c r="A1049" s="99">
        <v>1048.0</v>
      </c>
      <c r="B1049" s="15"/>
      <c r="C1049" s="15"/>
      <c r="D1049" s="105">
        <v>1.0</v>
      </c>
      <c r="E1049" s="102">
        <v>21.0</v>
      </c>
      <c r="F1049" s="107">
        <v>71.0</v>
      </c>
      <c r="G1049" s="15" t="str">
        <f t="shared" si="1"/>
        <v>21071</v>
      </c>
      <c r="H1049" s="23" t="s">
        <v>575</v>
      </c>
      <c r="I1049" s="23" t="s">
        <v>54</v>
      </c>
      <c r="J1049" s="23" t="s">
        <v>531</v>
      </c>
      <c r="K1049" s="23" t="str">
        <f t="shared" si="18"/>
        <v>Floyd, KY</v>
      </c>
      <c r="L1049" s="24"/>
    </row>
    <row r="1050">
      <c r="A1050" s="99">
        <v>1049.0</v>
      </c>
      <c r="B1050" s="15"/>
      <c r="C1050" s="15"/>
      <c r="D1050" s="105">
        <v>1.0</v>
      </c>
      <c r="E1050" s="102">
        <v>21.0</v>
      </c>
      <c r="F1050" s="107">
        <v>73.0</v>
      </c>
      <c r="G1050" s="15" t="str">
        <f t="shared" si="1"/>
        <v>21073</v>
      </c>
      <c r="H1050" s="23" t="s">
        <v>136</v>
      </c>
      <c r="I1050" s="23" t="s">
        <v>54</v>
      </c>
      <c r="J1050" s="23" t="s">
        <v>531</v>
      </c>
      <c r="K1050" s="23" t="str">
        <f t="shared" si="18"/>
        <v>Franklin, KY</v>
      </c>
      <c r="L1050" s="24"/>
    </row>
    <row r="1051">
      <c r="A1051" s="99">
        <v>1050.0</v>
      </c>
      <c r="B1051" s="15"/>
      <c r="C1051" s="15"/>
      <c r="D1051" s="105">
        <v>1.0</v>
      </c>
      <c r="E1051" s="102">
        <v>21.0</v>
      </c>
      <c r="F1051" s="107">
        <v>75.0</v>
      </c>
      <c r="G1051" s="15" t="str">
        <f t="shared" si="1"/>
        <v>21075</v>
      </c>
      <c r="H1051" s="23" t="s">
        <v>275</v>
      </c>
      <c r="I1051" s="23" t="s">
        <v>54</v>
      </c>
      <c r="J1051" s="23" t="s">
        <v>531</v>
      </c>
      <c r="K1051" s="23" t="str">
        <f t="shared" si="18"/>
        <v>Fulton, KY</v>
      </c>
      <c r="L1051" s="24"/>
    </row>
    <row r="1052">
      <c r="A1052" s="99">
        <v>1051.0</v>
      </c>
      <c r="B1052" s="15"/>
      <c r="C1052" s="15"/>
      <c r="D1052" s="105">
        <v>1.0</v>
      </c>
      <c r="E1052" s="102">
        <v>21.0</v>
      </c>
      <c r="F1052" s="107">
        <v>77.0</v>
      </c>
      <c r="G1052" s="15" t="str">
        <f t="shared" si="1"/>
        <v>21077</v>
      </c>
      <c r="H1052" s="23" t="s">
        <v>719</v>
      </c>
      <c r="I1052" s="23" t="s">
        <v>54</v>
      </c>
      <c r="J1052" s="23" t="s">
        <v>531</v>
      </c>
      <c r="K1052" s="23" t="str">
        <f t="shared" si="18"/>
        <v>Gallatin, KY</v>
      </c>
      <c r="L1052" s="24"/>
    </row>
    <row r="1053">
      <c r="A1053" s="99">
        <v>1052.0</v>
      </c>
      <c r="B1053" s="15"/>
      <c r="C1053" s="15"/>
      <c r="D1053" s="105">
        <v>1.0</v>
      </c>
      <c r="E1053" s="102">
        <v>21.0</v>
      </c>
      <c r="F1053" s="107">
        <v>79.0</v>
      </c>
      <c r="G1053" s="15" t="str">
        <f t="shared" si="1"/>
        <v>21079</v>
      </c>
      <c r="H1053" s="23" t="s">
        <v>1060</v>
      </c>
      <c r="I1053" s="23" t="s">
        <v>54</v>
      </c>
      <c r="J1053" s="23" t="s">
        <v>531</v>
      </c>
      <c r="K1053" s="23" t="str">
        <f t="shared" si="18"/>
        <v>Garrard, KY</v>
      </c>
      <c r="L1053" s="24"/>
    </row>
    <row r="1054">
      <c r="A1054" s="99">
        <v>1053.0</v>
      </c>
      <c r="B1054" s="15"/>
      <c r="C1054" s="15"/>
      <c r="D1054" s="105">
        <v>1.0</v>
      </c>
      <c r="E1054" s="102">
        <v>21.0</v>
      </c>
      <c r="F1054" s="107">
        <v>81.0</v>
      </c>
      <c r="G1054" s="15" t="str">
        <f t="shared" si="1"/>
        <v>21081</v>
      </c>
      <c r="H1054" s="23" t="s">
        <v>278</v>
      </c>
      <c r="I1054" s="23" t="s">
        <v>54</v>
      </c>
      <c r="J1054" s="23" t="s">
        <v>531</v>
      </c>
      <c r="K1054" s="23" t="str">
        <f t="shared" si="18"/>
        <v>Grant, KY</v>
      </c>
      <c r="L1054" s="24"/>
    </row>
    <row r="1055">
      <c r="A1055" s="99">
        <v>1054.0</v>
      </c>
      <c r="B1055" s="15"/>
      <c r="C1055" s="15"/>
      <c r="D1055" s="105">
        <v>1.0</v>
      </c>
      <c r="E1055" s="102">
        <v>21.0</v>
      </c>
      <c r="F1055" s="107">
        <v>83.0</v>
      </c>
      <c r="G1055" s="15" t="str">
        <f t="shared" si="1"/>
        <v>21083</v>
      </c>
      <c r="H1055" s="23" t="s">
        <v>1068</v>
      </c>
      <c r="I1055" s="23" t="s">
        <v>54</v>
      </c>
      <c r="J1055" s="23" t="s">
        <v>531</v>
      </c>
      <c r="K1055" s="23" t="str">
        <f t="shared" si="18"/>
        <v>Graves, KY</v>
      </c>
      <c r="L1055" s="24"/>
    </row>
    <row r="1056">
      <c r="A1056" s="99">
        <v>1055.0</v>
      </c>
      <c r="B1056" s="15"/>
      <c r="C1056" s="15"/>
      <c r="D1056" s="105">
        <v>1.0</v>
      </c>
      <c r="E1056" s="102">
        <v>21.0</v>
      </c>
      <c r="F1056" s="107">
        <v>85.0</v>
      </c>
      <c r="G1056" s="15" t="str">
        <f t="shared" si="1"/>
        <v>21085</v>
      </c>
      <c r="H1056" s="23" t="s">
        <v>1072</v>
      </c>
      <c r="I1056" s="23" t="s">
        <v>54</v>
      </c>
      <c r="J1056" s="23" t="s">
        <v>531</v>
      </c>
      <c r="K1056" s="23" t="str">
        <f t="shared" si="18"/>
        <v>Grayson, KY</v>
      </c>
      <c r="L1056" s="24"/>
    </row>
    <row r="1057">
      <c r="A1057" s="99">
        <v>1056.0</v>
      </c>
      <c r="B1057" s="15"/>
      <c r="C1057" s="15"/>
      <c r="D1057" s="105">
        <v>1.0</v>
      </c>
      <c r="E1057" s="102">
        <v>21.0</v>
      </c>
      <c r="F1057" s="107">
        <v>87.0</v>
      </c>
      <c r="G1057" s="15" t="str">
        <f t="shared" si="1"/>
        <v>21087</v>
      </c>
      <c r="H1057" s="23" t="s">
        <v>1075</v>
      </c>
      <c r="I1057" s="23" t="s">
        <v>54</v>
      </c>
      <c r="J1057" s="23" t="s">
        <v>531</v>
      </c>
      <c r="K1057" s="23" t="str">
        <f t="shared" si="18"/>
        <v>Green, KY</v>
      </c>
      <c r="L1057" s="24"/>
    </row>
    <row r="1058">
      <c r="A1058" s="99">
        <v>1057.0</v>
      </c>
      <c r="B1058" s="15"/>
      <c r="C1058" s="15"/>
      <c r="D1058" s="105">
        <v>1.0</v>
      </c>
      <c r="E1058" s="102">
        <v>21.0</v>
      </c>
      <c r="F1058" s="107">
        <v>89.0</v>
      </c>
      <c r="G1058" s="15" t="str">
        <f t="shared" si="1"/>
        <v>21089</v>
      </c>
      <c r="H1058" s="23" t="s">
        <v>1078</v>
      </c>
      <c r="I1058" s="23" t="s">
        <v>54</v>
      </c>
      <c r="J1058" s="23" t="s">
        <v>531</v>
      </c>
      <c r="K1058" s="23" t="str">
        <f t="shared" si="18"/>
        <v>Greenup, KY</v>
      </c>
      <c r="L1058" s="24"/>
    </row>
    <row r="1059">
      <c r="A1059" s="99">
        <v>1058.0</v>
      </c>
      <c r="B1059" s="15"/>
      <c r="C1059" s="15"/>
      <c r="D1059" s="105">
        <v>1.0</v>
      </c>
      <c r="E1059" s="102">
        <v>21.0</v>
      </c>
      <c r="F1059" s="107">
        <v>91.0</v>
      </c>
      <c r="G1059" s="15" t="str">
        <f t="shared" si="1"/>
        <v>21091</v>
      </c>
      <c r="H1059" s="23" t="s">
        <v>587</v>
      </c>
      <c r="I1059" s="23" t="s">
        <v>54</v>
      </c>
      <c r="J1059" s="23" t="s">
        <v>531</v>
      </c>
      <c r="K1059" s="23" t="str">
        <f t="shared" si="18"/>
        <v>Hancock, KY</v>
      </c>
      <c r="L1059" s="24"/>
    </row>
    <row r="1060">
      <c r="A1060" s="99">
        <v>1059.0</v>
      </c>
      <c r="B1060" s="15"/>
      <c r="C1060" s="15"/>
      <c r="D1060" s="105">
        <v>1.0</v>
      </c>
      <c r="E1060" s="102">
        <v>21.0</v>
      </c>
      <c r="F1060" s="107">
        <v>93.0</v>
      </c>
      <c r="G1060" s="15" t="str">
        <f t="shared" si="1"/>
        <v>21093</v>
      </c>
      <c r="H1060" s="23" t="s">
        <v>721</v>
      </c>
      <c r="I1060" s="23" t="s">
        <v>54</v>
      </c>
      <c r="J1060" s="23" t="s">
        <v>531</v>
      </c>
      <c r="K1060" s="23" t="str">
        <f t="shared" si="18"/>
        <v>Hardin, KY</v>
      </c>
      <c r="L1060" s="24"/>
    </row>
    <row r="1061">
      <c r="A1061" s="99">
        <v>1060.0</v>
      </c>
      <c r="B1061" s="15"/>
      <c r="C1061" s="15"/>
      <c r="D1061" s="105">
        <v>1.0</v>
      </c>
      <c r="E1061" s="102">
        <v>21.0</v>
      </c>
      <c r="F1061" s="107">
        <v>95.0</v>
      </c>
      <c r="G1061" s="15" t="str">
        <f t="shared" si="1"/>
        <v>21095</v>
      </c>
      <c r="H1061" s="23" t="s">
        <v>1088</v>
      </c>
      <c r="I1061" s="23" t="s">
        <v>54</v>
      </c>
      <c r="J1061" s="23" t="s">
        <v>531</v>
      </c>
      <c r="K1061" s="23" t="str">
        <f t="shared" si="18"/>
        <v>Harlan, KY</v>
      </c>
      <c r="L1061" s="24"/>
    </row>
    <row r="1062">
      <c r="A1062" s="99">
        <v>1061.0</v>
      </c>
      <c r="B1062" s="15"/>
      <c r="C1062" s="15"/>
      <c r="D1062" s="105">
        <v>1.0</v>
      </c>
      <c r="E1062" s="102">
        <v>21.0</v>
      </c>
      <c r="F1062" s="107">
        <v>97.0</v>
      </c>
      <c r="G1062" s="15" t="str">
        <f t="shared" si="1"/>
        <v>21097</v>
      </c>
      <c r="H1062" s="23" t="s">
        <v>775</v>
      </c>
      <c r="I1062" s="23" t="s">
        <v>54</v>
      </c>
      <c r="J1062" s="23" t="s">
        <v>531</v>
      </c>
      <c r="K1062" s="23" t="str">
        <f t="shared" si="18"/>
        <v>Harrison, KY</v>
      </c>
      <c r="L1062" s="24"/>
    </row>
    <row r="1063">
      <c r="A1063" s="99">
        <v>1062.0</v>
      </c>
      <c r="B1063" s="15"/>
      <c r="C1063" s="15"/>
      <c r="D1063" s="105">
        <v>1.0</v>
      </c>
      <c r="E1063" s="102">
        <v>21.0</v>
      </c>
      <c r="F1063" s="107">
        <v>99.0</v>
      </c>
      <c r="G1063" s="15" t="str">
        <f t="shared" si="1"/>
        <v>21099</v>
      </c>
      <c r="H1063" s="23" t="s">
        <v>589</v>
      </c>
      <c r="I1063" s="23" t="s">
        <v>54</v>
      </c>
      <c r="J1063" s="23" t="s">
        <v>531</v>
      </c>
      <c r="K1063" s="23" t="str">
        <f t="shared" si="18"/>
        <v>Hart, KY</v>
      </c>
      <c r="L1063" s="24"/>
    </row>
    <row r="1064">
      <c r="A1064" s="99">
        <v>1063.0</v>
      </c>
      <c r="B1064" s="15"/>
      <c r="C1064" s="15"/>
      <c r="D1064" s="105">
        <v>1.0</v>
      </c>
      <c r="E1064" s="102">
        <v>21.0</v>
      </c>
      <c r="F1064" s="107">
        <v>101.0</v>
      </c>
      <c r="G1064" s="15" t="str">
        <f t="shared" si="1"/>
        <v>21101</v>
      </c>
      <c r="H1064" s="23" t="s">
        <v>722</v>
      </c>
      <c r="I1064" s="23" t="s">
        <v>54</v>
      </c>
      <c r="J1064" s="23" t="s">
        <v>531</v>
      </c>
      <c r="K1064" s="23" t="str">
        <f t="shared" si="18"/>
        <v>Henderson, KY</v>
      </c>
      <c r="L1064" s="24"/>
    </row>
    <row r="1065">
      <c r="A1065" s="99">
        <v>1064.0</v>
      </c>
      <c r="B1065" s="15"/>
      <c r="C1065" s="15"/>
      <c r="D1065" s="105">
        <v>1.0</v>
      </c>
      <c r="E1065" s="102">
        <v>21.0</v>
      </c>
      <c r="F1065" s="107">
        <v>103.0</v>
      </c>
      <c r="G1065" s="15" t="str">
        <f t="shared" si="1"/>
        <v>21103</v>
      </c>
      <c r="H1065" s="23" t="s">
        <v>140</v>
      </c>
      <c r="I1065" s="23" t="s">
        <v>54</v>
      </c>
      <c r="J1065" s="23" t="s">
        <v>531</v>
      </c>
      <c r="K1065" s="23" t="str">
        <f t="shared" si="18"/>
        <v>Henry, KY</v>
      </c>
      <c r="L1065" s="24"/>
    </row>
    <row r="1066">
      <c r="A1066" s="99">
        <v>1065.0</v>
      </c>
      <c r="B1066" s="15"/>
      <c r="C1066" s="15"/>
      <c r="D1066" s="105">
        <v>1.0</v>
      </c>
      <c r="E1066" s="102">
        <v>21.0</v>
      </c>
      <c r="F1066" s="107">
        <v>105.0</v>
      </c>
      <c r="G1066" s="15" t="str">
        <f t="shared" si="1"/>
        <v>21105</v>
      </c>
      <c r="H1066" s="23" t="s">
        <v>1097</v>
      </c>
      <c r="I1066" s="23" t="s">
        <v>54</v>
      </c>
      <c r="J1066" s="23" t="s">
        <v>531</v>
      </c>
      <c r="K1066" s="23" t="str">
        <f t="shared" si="18"/>
        <v>Hickman, KY</v>
      </c>
      <c r="L1066" s="24"/>
    </row>
    <row r="1067">
      <c r="A1067" s="99">
        <v>1066.0</v>
      </c>
      <c r="B1067" s="15"/>
      <c r="C1067" s="15"/>
      <c r="D1067" s="105">
        <v>1.0</v>
      </c>
      <c r="E1067" s="102">
        <v>21.0</v>
      </c>
      <c r="F1067" s="107">
        <v>107.0</v>
      </c>
      <c r="G1067" s="15" t="str">
        <f t="shared" si="1"/>
        <v>21107</v>
      </c>
      <c r="H1067" s="23" t="s">
        <v>1099</v>
      </c>
      <c r="I1067" s="23" t="s">
        <v>54</v>
      </c>
      <c r="J1067" s="23" t="s">
        <v>531</v>
      </c>
      <c r="K1067" s="23" t="str">
        <f t="shared" si="18"/>
        <v>Hopkins, KY</v>
      </c>
      <c r="L1067" s="24"/>
    </row>
    <row r="1068">
      <c r="A1068" s="99">
        <v>1067.0</v>
      </c>
      <c r="B1068" s="15"/>
      <c r="C1068" s="15"/>
      <c r="D1068" s="105">
        <v>1.0</v>
      </c>
      <c r="E1068" s="102">
        <v>21.0</v>
      </c>
      <c r="F1068" s="107">
        <v>109.0</v>
      </c>
      <c r="G1068" s="15" t="str">
        <f t="shared" si="1"/>
        <v>21109</v>
      </c>
      <c r="H1068" s="23" t="s">
        <v>142</v>
      </c>
      <c r="I1068" s="23" t="s">
        <v>54</v>
      </c>
      <c r="J1068" s="23" t="s">
        <v>531</v>
      </c>
      <c r="K1068" s="23" t="str">
        <f t="shared" si="18"/>
        <v>Jackson, KY</v>
      </c>
      <c r="L1068" s="24"/>
    </row>
    <row r="1069">
      <c r="A1069" s="99">
        <v>1068.0</v>
      </c>
      <c r="B1069" s="15"/>
      <c r="C1069" s="15"/>
      <c r="D1069" s="105">
        <v>1.0</v>
      </c>
      <c r="E1069" s="102">
        <v>21.0</v>
      </c>
      <c r="F1069" s="107">
        <v>111.0</v>
      </c>
      <c r="G1069" s="15" t="str">
        <f t="shared" si="1"/>
        <v>21111</v>
      </c>
      <c r="H1069" s="23" t="s">
        <v>143</v>
      </c>
      <c r="I1069" s="23" t="s">
        <v>54</v>
      </c>
      <c r="J1069" s="23" t="s">
        <v>531</v>
      </c>
      <c r="K1069" s="23" t="str">
        <f t="shared" si="18"/>
        <v>Jefferson, KY</v>
      </c>
      <c r="L1069" s="24"/>
    </row>
    <row r="1070">
      <c r="A1070" s="99">
        <v>1069.0</v>
      </c>
      <c r="B1070" s="15"/>
      <c r="C1070" s="15"/>
      <c r="D1070" s="105">
        <v>1.0</v>
      </c>
      <c r="E1070" s="102">
        <v>21.0</v>
      </c>
      <c r="F1070" s="107">
        <v>113.0</v>
      </c>
      <c r="G1070" s="15" t="str">
        <f t="shared" si="1"/>
        <v>21113</v>
      </c>
      <c r="H1070" s="23" t="s">
        <v>1102</v>
      </c>
      <c r="I1070" s="23" t="s">
        <v>54</v>
      </c>
      <c r="J1070" s="23" t="s">
        <v>531</v>
      </c>
      <c r="K1070" s="23" t="str">
        <f t="shared" si="18"/>
        <v>Jessamine, KY</v>
      </c>
      <c r="L1070" s="24"/>
    </row>
    <row r="1071">
      <c r="A1071" s="99">
        <v>1070.0</v>
      </c>
      <c r="B1071" s="15"/>
      <c r="C1071" s="15"/>
      <c r="D1071" s="105">
        <v>1.0</v>
      </c>
      <c r="E1071" s="102">
        <v>21.0</v>
      </c>
      <c r="F1071" s="107">
        <v>115.0</v>
      </c>
      <c r="G1071" s="15" t="str">
        <f t="shared" si="1"/>
        <v>21115</v>
      </c>
      <c r="H1071" s="23" t="s">
        <v>288</v>
      </c>
      <c r="I1071" s="23" t="s">
        <v>54</v>
      </c>
      <c r="J1071" s="23" t="s">
        <v>531</v>
      </c>
      <c r="K1071" s="23" t="str">
        <f t="shared" si="18"/>
        <v>Johnson, KY</v>
      </c>
      <c r="L1071" s="24"/>
    </row>
    <row r="1072">
      <c r="A1072" s="99">
        <v>1071.0</v>
      </c>
      <c r="B1072" s="15"/>
      <c r="C1072" s="15"/>
      <c r="D1072" s="105">
        <v>1.0</v>
      </c>
      <c r="E1072" s="102">
        <v>21.0</v>
      </c>
      <c r="F1072" s="107">
        <v>117.0</v>
      </c>
      <c r="G1072" s="15" t="str">
        <f t="shared" si="1"/>
        <v>21117</v>
      </c>
      <c r="H1072" s="23" t="s">
        <v>1105</v>
      </c>
      <c r="I1072" s="23" t="s">
        <v>54</v>
      </c>
      <c r="J1072" s="23" t="s">
        <v>531</v>
      </c>
      <c r="K1072" s="23" t="str">
        <f t="shared" si="18"/>
        <v>Kenton, KY</v>
      </c>
      <c r="L1072" s="24"/>
    </row>
    <row r="1073">
      <c r="A1073" s="99">
        <v>1072.0</v>
      </c>
      <c r="B1073" s="15"/>
      <c r="C1073" s="15"/>
      <c r="D1073" s="105">
        <v>1.0</v>
      </c>
      <c r="E1073" s="102">
        <v>21.0</v>
      </c>
      <c r="F1073" s="107">
        <v>119.0</v>
      </c>
      <c r="G1073" s="15" t="str">
        <f t="shared" si="1"/>
        <v>21119</v>
      </c>
      <c r="H1073" s="23" t="s">
        <v>1107</v>
      </c>
      <c r="I1073" s="23" t="s">
        <v>54</v>
      </c>
      <c r="J1073" s="23" t="s">
        <v>531</v>
      </c>
      <c r="K1073" s="23" t="str">
        <f t="shared" si="18"/>
        <v>Knott, KY</v>
      </c>
      <c r="L1073" s="24"/>
    </row>
    <row r="1074">
      <c r="A1074" s="99">
        <v>1073.0</v>
      </c>
      <c r="B1074" s="15"/>
      <c r="C1074" s="15"/>
      <c r="D1074" s="105">
        <v>1.0</v>
      </c>
      <c r="E1074" s="102">
        <v>21.0</v>
      </c>
      <c r="F1074" s="107">
        <v>121.0</v>
      </c>
      <c r="G1074" s="15" t="str">
        <f t="shared" si="1"/>
        <v>21121</v>
      </c>
      <c r="H1074" s="23" t="s">
        <v>728</v>
      </c>
      <c r="I1074" s="23" t="s">
        <v>54</v>
      </c>
      <c r="J1074" s="23" t="s">
        <v>531</v>
      </c>
      <c r="K1074" s="23" t="str">
        <f t="shared" si="18"/>
        <v>Knox, KY</v>
      </c>
      <c r="L1074" s="24"/>
    </row>
    <row r="1075">
      <c r="A1075" s="99">
        <v>1074.0</v>
      </c>
      <c r="B1075" s="15"/>
      <c r="C1075" s="15"/>
      <c r="D1075" s="105">
        <v>1.0</v>
      </c>
      <c r="E1075" s="102">
        <v>21.0</v>
      </c>
      <c r="F1075" s="107">
        <v>123.0</v>
      </c>
      <c r="G1075" s="15" t="str">
        <f t="shared" si="1"/>
        <v>21123</v>
      </c>
      <c r="H1075" s="23" t="s">
        <v>1110</v>
      </c>
      <c r="I1075" s="23" t="s">
        <v>54</v>
      </c>
      <c r="J1075" s="23" t="s">
        <v>531</v>
      </c>
      <c r="K1075" s="23" t="str">
        <f t="shared" si="18"/>
        <v>Larue, KY</v>
      </c>
      <c r="L1075" s="24"/>
    </row>
    <row r="1076">
      <c r="A1076" s="99">
        <v>1075.0</v>
      </c>
      <c r="B1076" s="15"/>
      <c r="C1076" s="15"/>
      <c r="D1076" s="105">
        <v>1.0</v>
      </c>
      <c r="E1076" s="102">
        <v>21.0</v>
      </c>
      <c r="F1076" s="107">
        <v>125.0</v>
      </c>
      <c r="G1076" s="15" t="str">
        <f t="shared" si="1"/>
        <v>21125</v>
      </c>
      <c r="H1076" s="23" t="s">
        <v>1111</v>
      </c>
      <c r="I1076" s="23" t="s">
        <v>54</v>
      </c>
      <c r="J1076" s="23" t="s">
        <v>531</v>
      </c>
      <c r="K1076" s="23" t="str">
        <f t="shared" si="18"/>
        <v>Laurel, KY</v>
      </c>
      <c r="L1076" s="24"/>
    </row>
    <row r="1077">
      <c r="A1077" s="99">
        <v>1076.0</v>
      </c>
      <c r="B1077" s="15"/>
      <c r="C1077" s="15"/>
      <c r="D1077" s="105">
        <v>1.0</v>
      </c>
      <c r="E1077" s="102">
        <v>21.0</v>
      </c>
      <c r="F1077" s="107">
        <v>127.0</v>
      </c>
      <c r="G1077" s="15" t="str">
        <f t="shared" si="1"/>
        <v>21127</v>
      </c>
      <c r="H1077" s="23" t="s">
        <v>146</v>
      </c>
      <c r="I1077" s="23" t="s">
        <v>54</v>
      </c>
      <c r="J1077" s="23" t="s">
        <v>531</v>
      </c>
      <c r="K1077" s="23" t="str">
        <f t="shared" si="18"/>
        <v>Lawrence, KY</v>
      </c>
      <c r="L1077" s="24"/>
    </row>
    <row r="1078">
      <c r="A1078" s="99">
        <v>1077.0</v>
      </c>
      <c r="B1078" s="15"/>
      <c r="C1078" s="15"/>
      <c r="D1078" s="105">
        <v>1.0</v>
      </c>
      <c r="E1078" s="102">
        <v>21.0</v>
      </c>
      <c r="F1078" s="107">
        <v>129.0</v>
      </c>
      <c r="G1078" s="15" t="str">
        <f t="shared" si="1"/>
        <v>21129</v>
      </c>
      <c r="H1078" s="23" t="s">
        <v>147</v>
      </c>
      <c r="I1078" s="23" t="s">
        <v>54</v>
      </c>
      <c r="J1078" s="23" t="s">
        <v>531</v>
      </c>
      <c r="K1078" s="23" t="str">
        <f t="shared" si="18"/>
        <v>Lee, KY</v>
      </c>
      <c r="L1078" s="24"/>
    </row>
    <row r="1079">
      <c r="A1079" s="99">
        <v>1078.0</v>
      </c>
      <c r="B1079" s="15"/>
      <c r="C1079" s="15"/>
      <c r="D1079" s="105">
        <v>1.0</v>
      </c>
      <c r="E1079" s="102">
        <v>21.0</v>
      </c>
      <c r="F1079" s="107">
        <v>131.0</v>
      </c>
      <c r="G1079" s="15" t="str">
        <f t="shared" si="1"/>
        <v>21131</v>
      </c>
      <c r="H1079" s="23" t="s">
        <v>1115</v>
      </c>
      <c r="I1079" s="23" t="s">
        <v>54</v>
      </c>
      <c r="J1079" s="23" t="s">
        <v>531</v>
      </c>
      <c r="K1079" s="23" t="str">
        <f t="shared" si="18"/>
        <v>Leslie, KY</v>
      </c>
      <c r="L1079" s="24"/>
    </row>
    <row r="1080">
      <c r="A1080" s="99">
        <v>1079.0</v>
      </c>
      <c r="B1080" s="15"/>
      <c r="C1080" s="15"/>
      <c r="D1080" s="105">
        <v>1.0</v>
      </c>
      <c r="E1080" s="102">
        <v>21.0</v>
      </c>
      <c r="F1080" s="107">
        <v>133.0</v>
      </c>
      <c r="G1080" s="15" t="str">
        <f t="shared" si="1"/>
        <v>21133</v>
      </c>
      <c r="H1080" s="23" t="s">
        <v>1116</v>
      </c>
      <c r="I1080" s="23" t="s">
        <v>54</v>
      </c>
      <c r="J1080" s="23" t="s">
        <v>531</v>
      </c>
      <c r="K1080" s="23" t="str">
        <f t="shared" si="18"/>
        <v>Letcher, KY</v>
      </c>
      <c r="L1080" s="24"/>
    </row>
    <row r="1081">
      <c r="A1081" s="99">
        <v>1080.0</v>
      </c>
      <c r="B1081" s="15"/>
      <c r="C1081" s="15"/>
      <c r="D1081" s="105">
        <v>1.0</v>
      </c>
      <c r="E1081" s="102">
        <v>21.0</v>
      </c>
      <c r="F1081" s="107">
        <v>135.0</v>
      </c>
      <c r="G1081" s="15" t="str">
        <f t="shared" si="1"/>
        <v>21135</v>
      </c>
      <c r="H1081" s="23" t="s">
        <v>682</v>
      </c>
      <c r="I1081" s="23" t="s">
        <v>54</v>
      </c>
      <c r="J1081" s="23" t="s">
        <v>531</v>
      </c>
      <c r="K1081" s="23" t="str">
        <f t="shared" si="18"/>
        <v>Lewis, KY</v>
      </c>
      <c r="L1081" s="24"/>
    </row>
    <row r="1082">
      <c r="A1082" s="99">
        <v>1081.0</v>
      </c>
      <c r="B1082" s="15"/>
      <c r="C1082" s="15"/>
      <c r="D1082" s="105">
        <v>1.0</v>
      </c>
      <c r="E1082" s="102">
        <v>21.0</v>
      </c>
      <c r="F1082" s="107">
        <v>137.0</v>
      </c>
      <c r="G1082" s="15" t="str">
        <f t="shared" si="1"/>
        <v>21137</v>
      </c>
      <c r="H1082" s="23" t="s">
        <v>290</v>
      </c>
      <c r="I1082" s="23" t="s">
        <v>54</v>
      </c>
      <c r="J1082" s="23" t="s">
        <v>531</v>
      </c>
      <c r="K1082" s="23" t="str">
        <f t="shared" si="18"/>
        <v>Lincoln, KY</v>
      </c>
      <c r="L1082" s="24"/>
    </row>
    <row r="1083">
      <c r="A1083" s="99">
        <v>1082.0</v>
      </c>
      <c r="B1083" s="15"/>
      <c r="C1083" s="15"/>
      <c r="D1083" s="105">
        <v>1.0</v>
      </c>
      <c r="E1083" s="102">
        <v>21.0</v>
      </c>
      <c r="F1083" s="107">
        <v>139.0</v>
      </c>
      <c r="G1083" s="15" t="str">
        <f t="shared" si="1"/>
        <v>21139</v>
      </c>
      <c r="H1083" s="23" t="s">
        <v>730</v>
      </c>
      <c r="I1083" s="23" t="s">
        <v>54</v>
      </c>
      <c r="J1083" s="23" t="s">
        <v>531</v>
      </c>
      <c r="K1083" s="23" t="str">
        <f t="shared" si="18"/>
        <v>Livingston, KY</v>
      </c>
      <c r="L1083" s="24"/>
    </row>
    <row r="1084">
      <c r="A1084" s="99">
        <v>1083.0</v>
      </c>
      <c r="B1084" s="15"/>
      <c r="C1084" s="15"/>
      <c r="D1084" s="105">
        <v>1.0</v>
      </c>
      <c r="E1084" s="102">
        <v>21.0</v>
      </c>
      <c r="F1084" s="107">
        <v>141.0</v>
      </c>
      <c r="G1084" s="15" t="str">
        <f t="shared" si="1"/>
        <v>21141</v>
      </c>
      <c r="H1084" s="23" t="s">
        <v>293</v>
      </c>
      <c r="I1084" s="23" t="s">
        <v>54</v>
      </c>
      <c r="J1084" s="23" t="s">
        <v>531</v>
      </c>
      <c r="K1084" s="23" t="str">
        <f t="shared" si="18"/>
        <v>Logan, KY</v>
      </c>
      <c r="L1084" s="24"/>
    </row>
    <row r="1085">
      <c r="A1085" s="99">
        <v>1084.0</v>
      </c>
      <c r="B1085" s="15"/>
      <c r="C1085" s="15"/>
      <c r="D1085" s="105">
        <v>1.0</v>
      </c>
      <c r="E1085" s="102">
        <v>21.0</v>
      </c>
      <c r="F1085" s="107">
        <v>143.0</v>
      </c>
      <c r="G1085" s="15" t="str">
        <f t="shared" si="1"/>
        <v>21143</v>
      </c>
      <c r="H1085" s="23" t="s">
        <v>910</v>
      </c>
      <c r="I1085" s="23" t="s">
        <v>54</v>
      </c>
      <c r="J1085" s="23" t="s">
        <v>531</v>
      </c>
      <c r="K1085" s="23" t="str">
        <f t="shared" si="18"/>
        <v>Lyon, KY</v>
      </c>
      <c r="L1085" s="24"/>
    </row>
    <row r="1086">
      <c r="A1086" s="99">
        <v>1085.0</v>
      </c>
      <c r="B1086" s="15"/>
      <c r="C1086" s="15"/>
      <c r="D1086" s="105">
        <v>1.0</v>
      </c>
      <c r="E1086" s="102">
        <v>21.0</v>
      </c>
      <c r="F1086" s="107">
        <v>145.0</v>
      </c>
      <c r="G1086" s="15" t="str">
        <f t="shared" si="1"/>
        <v>21145</v>
      </c>
      <c r="H1086" s="23" t="s">
        <v>1117</v>
      </c>
      <c r="I1086" s="23" t="s">
        <v>54</v>
      </c>
      <c r="J1086" s="23" t="s">
        <v>531</v>
      </c>
      <c r="K1086" s="23" t="str">
        <f t="shared" si="18"/>
        <v>McCracken, KY</v>
      </c>
      <c r="L1086" s="24"/>
    </row>
    <row r="1087">
      <c r="A1087" s="99">
        <v>1086.0</v>
      </c>
      <c r="B1087" s="15"/>
      <c r="C1087" s="15"/>
      <c r="D1087" s="105">
        <v>1.0</v>
      </c>
      <c r="E1087" s="102">
        <v>21.0</v>
      </c>
      <c r="F1087" s="107">
        <v>147.0</v>
      </c>
      <c r="G1087" s="15" t="str">
        <f t="shared" si="1"/>
        <v>21147</v>
      </c>
      <c r="H1087" s="23" t="s">
        <v>1118</v>
      </c>
      <c r="I1087" s="23" t="s">
        <v>54</v>
      </c>
      <c r="J1087" s="23" t="s">
        <v>531</v>
      </c>
      <c r="K1087" s="23" t="str">
        <f t="shared" si="18"/>
        <v>McCreary, KY</v>
      </c>
      <c r="L1087" s="24"/>
    </row>
    <row r="1088">
      <c r="A1088" s="99">
        <v>1087.0</v>
      </c>
      <c r="B1088" s="15"/>
      <c r="C1088" s="15"/>
      <c r="D1088" s="105">
        <v>1.0</v>
      </c>
      <c r="E1088" s="102">
        <v>21.0</v>
      </c>
      <c r="F1088" s="107">
        <v>149.0</v>
      </c>
      <c r="G1088" s="15" t="str">
        <f t="shared" si="1"/>
        <v>21149</v>
      </c>
      <c r="H1088" s="23" t="s">
        <v>733</v>
      </c>
      <c r="I1088" s="23" t="s">
        <v>54</v>
      </c>
      <c r="J1088" s="23" t="s">
        <v>531</v>
      </c>
      <c r="K1088" s="23" t="str">
        <f t="shared" si="18"/>
        <v>Mclean, KY</v>
      </c>
      <c r="L1088" s="24"/>
    </row>
    <row r="1089">
      <c r="A1089" s="99">
        <v>1088.0</v>
      </c>
      <c r="B1089" s="15"/>
      <c r="C1089" s="15"/>
      <c r="D1089" s="105">
        <v>1.0</v>
      </c>
      <c r="E1089" s="102">
        <v>21.0</v>
      </c>
      <c r="F1089" s="107">
        <v>151.0</v>
      </c>
      <c r="G1089" s="15" t="str">
        <f t="shared" si="1"/>
        <v>21151</v>
      </c>
      <c r="H1089" s="23" t="s">
        <v>151</v>
      </c>
      <c r="I1089" s="23" t="s">
        <v>54</v>
      </c>
      <c r="J1089" s="23" t="s">
        <v>531</v>
      </c>
      <c r="K1089" s="23" t="str">
        <f t="shared" si="18"/>
        <v>Madison, KY</v>
      </c>
      <c r="L1089" s="24"/>
    </row>
    <row r="1090">
      <c r="A1090" s="99">
        <v>1089.0</v>
      </c>
      <c r="B1090" s="15"/>
      <c r="C1090" s="15"/>
      <c r="D1090" s="105">
        <v>1.0</v>
      </c>
      <c r="E1090" s="102">
        <v>21.0</v>
      </c>
      <c r="F1090" s="107">
        <v>153.0</v>
      </c>
      <c r="G1090" s="15" t="str">
        <f t="shared" si="1"/>
        <v>21153</v>
      </c>
      <c r="H1090" s="23" t="s">
        <v>1119</v>
      </c>
      <c r="I1090" s="23" t="s">
        <v>54</v>
      </c>
      <c r="J1090" s="23" t="s">
        <v>531</v>
      </c>
      <c r="K1090" s="23" t="str">
        <f t="shared" si="18"/>
        <v>Magoffin, KY</v>
      </c>
      <c r="L1090" s="24"/>
    </row>
    <row r="1091">
      <c r="A1091" s="99">
        <v>1090.0</v>
      </c>
      <c r="B1091" s="15"/>
      <c r="C1091" s="15"/>
      <c r="D1091" s="105">
        <v>1.0</v>
      </c>
      <c r="E1091" s="102">
        <v>21.0</v>
      </c>
      <c r="F1091" s="107">
        <v>155.0</v>
      </c>
      <c r="G1091" s="15" t="str">
        <f t="shared" si="1"/>
        <v>21155</v>
      </c>
      <c r="H1091" s="23" t="s">
        <v>153</v>
      </c>
      <c r="I1091" s="23" t="s">
        <v>54</v>
      </c>
      <c r="J1091" s="23" t="s">
        <v>531</v>
      </c>
      <c r="K1091" s="23" t="str">
        <f t="shared" si="18"/>
        <v>Marion, KY</v>
      </c>
      <c r="L1091" s="24"/>
    </row>
    <row r="1092">
      <c r="A1092" s="99">
        <v>1091.0</v>
      </c>
      <c r="B1092" s="15"/>
      <c r="C1092" s="15"/>
      <c r="D1092" s="105">
        <v>1.0</v>
      </c>
      <c r="E1092" s="102">
        <v>21.0</v>
      </c>
      <c r="F1092" s="107">
        <v>157.0</v>
      </c>
      <c r="G1092" s="15" t="str">
        <f t="shared" si="1"/>
        <v>21157</v>
      </c>
      <c r="H1092" s="23" t="s">
        <v>154</v>
      </c>
      <c r="I1092" s="23" t="s">
        <v>54</v>
      </c>
      <c r="J1092" s="23" t="s">
        <v>531</v>
      </c>
      <c r="K1092" s="23" t="str">
        <f t="shared" si="18"/>
        <v>Marshall, KY</v>
      </c>
      <c r="L1092" s="24"/>
    </row>
    <row r="1093">
      <c r="A1093" s="99">
        <v>1092.0</v>
      </c>
      <c r="B1093" s="15"/>
      <c r="C1093" s="15"/>
      <c r="D1093" s="105">
        <v>1.0</v>
      </c>
      <c r="E1093" s="102">
        <v>21.0</v>
      </c>
      <c r="F1093" s="107">
        <v>159.0</v>
      </c>
      <c r="G1093" s="15" t="str">
        <f t="shared" si="1"/>
        <v>21159</v>
      </c>
      <c r="H1093" s="23" t="s">
        <v>510</v>
      </c>
      <c r="I1093" s="23" t="s">
        <v>54</v>
      </c>
      <c r="J1093" s="23" t="s">
        <v>531</v>
      </c>
      <c r="K1093" s="23" t="str">
        <f t="shared" si="18"/>
        <v>Martin, KY</v>
      </c>
      <c r="L1093" s="24"/>
    </row>
    <row r="1094">
      <c r="A1094" s="99">
        <v>1093.0</v>
      </c>
      <c r="B1094" s="15"/>
      <c r="C1094" s="15"/>
      <c r="D1094" s="105">
        <v>1.0</v>
      </c>
      <c r="E1094" s="102">
        <v>21.0</v>
      </c>
      <c r="F1094" s="107">
        <v>161.0</v>
      </c>
      <c r="G1094" s="15" t="str">
        <f t="shared" si="1"/>
        <v>21161</v>
      </c>
      <c r="H1094" s="23" t="s">
        <v>735</v>
      </c>
      <c r="I1094" s="23" t="s">
        <v>54</v>
      </c>
      <c r="J1094" s="23" t="s">
        <v>531</v>
      </c>
      <c r="K1094" s="23" t="str">
        <f t="shared" si="18"/>
        <v>Mason, KY</v>
      </c>
      <c r="L1094" s="24"/>
    </row>
    <row r="1095">
      <c r="A1095" s="99">
        <v>1094.0</v>
      </c>
      <c r="B1095" s="15"/>
      <c r="C1095" s="15"/>
      <c r="D1095" s="105">
        <v>1.0</v>
      </c>
      <c r="E1095" s="102">
        <v>21.0</v>
      </c>
      <c r="F1095" s="107">
        <v>163.0</v>
      </c>
      <c r="G1095" s="15" t="str">
        <f t="shared" si="1"/>
        <v>21163</v>
      </c>
      <c r="H1095" s="23" t="s">
        <v>989</v>
      </c>
      <c r="I1095" s="23" t="s">
        <v>54</v>
      </c>
      <c r="J1095" s="23" t="s">
        <v>531</v>
      </c>
      <c r="K1095" s="23" t="str">
        <f t="shared" si="18"/>
        <v>Meade, KY</v>
      </c>
      <c r="L1095" s="24"/>
    </row>
    <row r="1096">
      <c r="A1096" s="99">
        <v>1095.0</v>
      </c>
      <c r="B1096" s="15"/>
      <c r="C1096" s="15"/>
      <c r="D1096" s="105">
        <v>1.0</v>
      </c>
      <c r="E1096" s="102">
        <v>21.0</v>
      </c>
      <c r="F1096" s="107">
        <v>165.0</v>
      </c>
      <c r="G1096" s="15" t="str">
        <f t="shared" si="1"/>
        <v>21165</v>
      </c>
      <c r="H1096" s="23" t="s">
        <v>1121</v>
      </c>
      <c r="I1096" s="23" t="s">
        <v>54</v>
      </c>
      <c r="J1096" s="23" t="s">
        <v>531</v>
      </c>
      <c r="K1096" s="23" t="str">
        <f t="shared" si="18"/>
        <v>Menifee, KY</v>
      </c>
      <c r="L1096" s="24"/>
    </row>
    <row r="1097">
      <c r="A1097" s="99">
        <v>1096.0</v>
      </c>
      <c r="B1097" s="15"/>
      <c r="C1097" s="15"/>
      <c r="D1097" s="105">
        <v>1.0</v>
      </c>
      <c r="E1097" s="102">
        <v>21.0</v>
      </c>
      <c r="F1097" s="107">
        <v>167.0</v>
      </c>
      <c r="G1097" s="15" t="str">
        <f t="shared" si="1"/>
        <v>21167</v>
      </c>
      <c r="H1097" s="23" t="s">
        <v>738</v>
      </c>
      <c r="I1097" s="23" t="s">
        <v>54</v>
      </c>
      <c r="J1097" s="23" t="s">
        <v>531</v>
      </c>
      <c r="K1097" s="23" t="str">
        <f t="shared" si="18"/>
        <v>Mercer, KY</v>
      </c>
      <c r="L1097" s="24"/>
    </row>
    <row r="1098">
      <c r="A1098" s="99">
        <v>1097.0</v>
      </c>
      <c r="B1098" s="15"/>
      <c r="C1098" s="15"/>
      <c r="D1098" s="105">
        <v>1.0</v>
      </c>
      <c r="E1098" s="102">
        <v>21.0</v>
      </c>
      <c r="F1098" s="107">
        <v>169.0</v>
      </c>
      <c r="G1098" s="15" t="str">
        <f t="shared" si="1"/>
        <v>21169</v>
      </c>
      <c r="H1098" s="23" t="s">
        <v>1122</v>
      </c>
      <c r="I1098" s="23" t="s">
        <v>54</v>
      </c>
      <c r="J1098" s="23" t="s">
        <v>531</v>
      </c>
      <c r="K1098" s="23" t="str">
        <f t="shared" si="18"/>
        <v>Metcalfe, KY</v>
      </c>
      <c r="L1098" s="24"/>
    </row>
    <row r="1099">
      <c r="A1099" s="99">
        <v>1098.0</v>
      </c>
      <c r="B1099" s="15"/>
      <c r="C1099" s="15"/>
      <c r="D1099" s="105">
        <v>1.0</v>
      </c>
      <c r="E1099" s="102">
        <v>21.0</v>
      </c>
      <c r="F1099" s="107">
        <v>171.0</v>
      </c>
      <c r="G1099" s="15" t="str">
        <f t="shared" si="1"/>
        <v>21171</v>
      </c>
      <c r="H1099" s="23" t="s">
        <v>156</v>
      </c>
      <c r="I1099" s="23" t="s">
        <v>54</v>
      </c>
      <c r="J1099" s="23" t="s">
        <v>531</v>
      </c>
      <c r="K1099" s="23" t="str">
        <f t="shared" si="18"/>
        <v>Monroe, KY</v>
      </c>
      <c r="L1099" s="24"/>
    </row>
    <row r="1100">
      <c r="A1100" s="99">
        <v>1099.0</v>
      </c>
      <c r="B1100" s="15"/>
      <c r="C1100" s="15"/>
      <c r="D1100" s="105">
        <v>1.0</v>
      </c>
      <c r="E1100" s="102">
        <v>21.0</v>
      </c>
      <c r="F1100" s="107">
        <v>173.0</v>
      </c>
      <c r="G1100" s="15" t="str">
        <f t="shared" si="1"/>
        <v>21173</v>
      </c>
      <c r="H1100" s="23" t="s">
        <v>157</v>
      </c>
      <c r="I1100" s="23" t="s">
        <v>54</v>
      </c>
      <c r="J1100" s="23" t="s">
        <v>531</v>
      </c>
      <c r="K1100" s="23" t="str">
        <f t="shared" si="18"/>
        <v>Montgomery, KY</v>
      </c>
      <c r="L1100" s="24"/>
    </row>
    <row r="1101">
      <c r="A1101" s="99">
        <v>1100.0</v>
      </c>
      <c r="B1101" s="15"/>
      <c r="C1101" s="15"/>
      <c r="D1101" s="105">
        <v>1.0</v>
      </c>
      <c r="E1101" s="102">
        <v>21.0</v>
      </c>
      <c r="F1101" s="107">
        <v>175.0</v>
      </c>
      <c r="G1101" s="15" t="str">
        <f t="shared" si="1"/>
        <v>21175</v>
      </c>
      <c r="H1101" s="23" t="s">
        <v>158</v>
      </c>
      <c r="I1101" s="23" t="s">
        <v>54</v>
      </c>
      <c r="J1101" s="23" t="s">
        <v>531</v>
      </c>
      <c r="K1101" s="23" t="str">
        <f t="shared" si="18"/>
        <v>Morgan, KY</v>
      </c>
      <c r="L1101" s="24"/>
    </row>
    <row r="1102">
      <c r="A1102" s="99">
        <v>1101.0</v>
      </c>
      <c r="B1102" s="15"/>
      <c r="C1102" s="15"/>
      <c r="D1102" s="105">
        <v>1.0</v>
      </c>
      <c r="E1102" s="102">
        <v>21.0</v>
      </c>
      <c r="F1102" s="107">
        <v>177.0</v>
      </c>
      <c r="G1102" s="15" t="str">
        <f t="shared" si="1"/>
        <v>21177</v>
      </c>
      <c r="H1102" s="23" t="s">
        <v>1124</v>
      </c>
      <c r="I1102" s="23" t="s">
        <v>54</v>
      </c>
      <c r="J1102" s="23" t="s">
        <v>531</v>
      </c>
      <c r="K1102" s="23" t="str">
        <f t="shared" si="18"/>
        <v>Muhlenberg, KY</v>
      </c>
      <c r="L1102" s="24"/>
    </row>
    <row r="1103">
      <c r="A1103" s="99">
        <v>1102.0</v>
      </c>
      <c r="B1103" s="15"/>
      <c r="C1103" s="15"/>
      <c r="D1103" s="105">
        <v>1.0</v>
      </c>
      <c r="E1103" s="102">
        <v>21.0</v>
      </c>
      <c r="F1103" s="107">
        <v>179.0</v>
      </c>
      <c r="G1103" s="15" t="str">
        <f t="shared" si="1"/>
        <v>21179</v>
      </c>
      <c r="H1103" s="23" t="s">
        <v>1125</v>
      </c>
      <c r="I1103" s="23" t="s">
        <v>54</v>
      </c>
      <c r="J1103" s="23" t="s">
        <v>531</v>
      </c>
      <c r="K1103" s="23" t="str">
        <f t="shared" si="18"/>
        <v>Nelson, KY</v>
      </c>
      <c r="L1103" s="24"/>
    </row>
    <row r="1104">
      <c r="A1104" s="99">
        <v>1103.0</v>
      </c>
      <c r="B1104" s="15"/>
      <c r="C1104" s="15"/>
      <c r="D1104" s="105">
        <v>1.0</v>
      </c>
      <c r="E1104" s="102">
        <v>21.0</v>
      </c>
      <c r="F1104" s="107">
        <v>181.0</v>
      </c>
      <c r="G1104" s="15" t="str">
        <f t="shared" si="1"/>
        <v>21181</v>
      </c>
      <c r="H1104" s="23" t="s">
        <v>1126</v>
      </c>
      <c r="I1104" s="23" t="s">
        <v>54</v>
      </c>
      <c r="J1104" s="23" t="s">
        <v>531</v>
      </c>
      <c r="K1104" s="23" t="str">
        <f t="shared" si="18"/>
        <v>Nicholas, KY</v>
      </c>
      <c r="L1104" s="24"/>
    </row>
    <row r="1105">
      <c r="A1105" s="99">
        <v>1104.0</v>
      </c>
      <c r="B1105" s="15"/>
      <c r="C1105" s="15"/>
      <c r="D1105" s="105">
        <v>1.0</v>
      </c>
      <c r="E1105" s="102">
        <v>21.0</v>
      </c>
      <c r="F1105" s="107">
        <v>183.0</v>
      </c>
      <c r="G1105" s="15" t="str">
        <f t="shared" si="1"/>
        <v>21183</v>
      </c>
      <c r="H1105" s="23" t="s">
        <v>100</v>
      </c>
      <c r="I1105" s="23" t="s">
        <v>54</v>
      </c>
      <c r="J1105" s="23" t="s">
        <v>531</v>
      </c>
      <c r="K1105" s="23" t="str">
        <f t="shared" si="18"/>
        <v>Ohio, KY</v>
      </c>
      <c r="L1105" s="24"/>
    </row>
    <row r="1106">
      <c r="A1106" s="99">
        <v>1105.0</v>
      </c>
      <c r="B1106" s="15"/>
      <c r="C1106" s="15"/>
      <c r="D1106" s="105">
        <v>1.0</v>
      </c>
      <c r="E1106" s="102">
        <v>21.0</v>
      </c>
      <c r="F1106" s="107">
        <v>185.0</v>
      </c>
      <c r="G1106" s="15" t="str">
        <f t="shared" si="1"/>
        <v>21185</v>
      </c>
      <c r="H1106" s="23" t="s">
        <v>1127</v>
      </c>
      <c r="I1106" s="23" t="s">
        <v>54</v>
      </c>
      <c r="J1106" s="23" t="s">
        <v>531</v>
      </c>
      <c r="K1106" s="23" t="str">
        <f t="shared" si="18"/>
        <v>Oldham, KY</v>
      </c>
      <c r="L1106" s="24"/>
    </row>
    <row r="1107">
      <c r="A1107" s="99">
        <v>1106.0</v>
      </c>
      <c r="B1107" s="15"/>
      <c r="C1107" s="15"/>
      <c r="D1107" s="105">
        <v>1.0</v>
      </c>
      <c r="E1107" s="102">
        <v>21.0</v>
      </c>
      <c r="F1107" s="107">
        <v>187.0</v>
      </c>
      <c r="G1107" s="15" t="str">
        <f t="shared" si="1"/>
        <v>21187</v>
      </c>
      <c r="H1107" s="23" t="s">
        <v>802</v>
      </c>
      <c r="I1107" s="23" t="s">
        <v>54</v>
      </c>
      <c r="J1107" s="23" t="s">
        <v>531</v>
      </c>
      <c r="K1107" s="23" t="str">
        <f t="shared" si="18"/>
        <v>Owen, KY</v>
      </c>
      <c r="L1107" s="24"/>
    </row>
    <row r="1108">
      <c r="A1108" s="99">
        <v>1107.0</v>
      </c>
      <c r="B1108" s="15"/>
      <c r="C1108" s="15"/>
      <c r="D1108" s="105">
        <v>1.0</v>
      </c>
      <c r="E1108" s="102">
        <v>21.0</v>
      </c>
      <c r="F1108" s="107">
        <v>189.0</v>
      </c>
      <c r="G1108" s="15" t="str">
        <f t="shared" si="1"/>
        <v>21189</v>
      </c>
      <c r="H1108" s="23" t="s">
        <v>1128</v>
      </c>
      <c r="I1108" s="23" t="s">
        <v>54</v>
      </c>
      <c r="J1108" s="23" t="s">
        <v>531</v>
      </c>
      <c r="K1108" s="23" t="str">
        <f t="shared" si="18"/>
        <v>Owsley, KY</v>
      </c>
      <c r="L1108" s="24"/>
    </row>
    <row r="1109">
      <c r="A1109" s="99">
        <v>1108.0</v>
      </c>
      <c r="B1109" s="15"/>
      <c r="C1109" s="15"/>
      <c r="D1109" s="105">
        <v>1.0</v>
      </c>
      <c r="E1109" s="102">
        <v>21.0</v>
      </c>
      <c r="F1109" s="107">
        <v>191.0</v>
      </c>
      <c r="G1109" s="15" t="str">
        <f t="shared" si="1"/>
        <v>21191</v>
      </c>
      <c r="H1109" s="23" t="s">
        <v>1129</v>
      </c>
      <c r="I1109" s="23" t="s">
        <v>54</v>
      </c>
      <c r="J1109" s="23" t="s">
        <v>531</v>
      </c>
      <c r="K1109" s="23" t="str">
        <f t="shared" si="18"/>
        <v>Pendleton, KY</v>
      </c>
      <c r="L1109" s="24"/>
    </row>
    <row r="1110">
      <c r="A1110" s="99">
        <v>1109.0</v>
      </c>
      <c r="B1110" s="15"/>
      <c r="C1110" s="15"/>
      <c r="D1110" s="105">
        <v>1.0</v>
      </c>
      <c r="E1110" s="102">
        <v>21.0</v>
      </c>
      <c r="F1110" s="107">
        <v>193.0</v>
      </c>
      <c r="G1110" s="15" t="str">
        <f t="shared" si="1"/>
        <v>21193</v>
      </c>
      <c r="H1110" s="23" t="s">
        <v>159</v>
      </c>
      <c r="I1110" s="23" t="s">
        <v>54</v>
      </c>
      <c r="J1110" s="23" t="s">
        <v>531</v>
      </c>
      <c r="K1110" s="23" t="str">
        <f t="shared" si="18"/>
        <v>Perry, KY</v>
      </c>
      <c r="L1110" s="24"/>
    </row>
    <row r="1111">
      <c r="A1111" s="99">
        <v>1110.0</v>
      </c>
      <c r="B1111" s="15"/>
      <c r="C1111" s="15"/>
      <c r="D1111" s="105">
        <v>1.0</v>
      </c>
      <c r="E1111" s="102">
        <v>21.0</v>
      </c>
      <c r="F1111" s="107">
        <v>195.0</v>
      </c>
      <c r="G1111" s="15" t="str">
        <f t="shared" si="1"/>
        <v>21195</v>
      </c>
      <c r="H1111" s="23" t="s">
        <v>162</v>
      </c>
      <c r="I1111" s="23" t="s">
        <v>54</v>
      </c>
      <c r="J1111" s="23" t="s">
        <v>531</v>
      </c>
      <c r="K1111" s="23" t="str">
        <f t="shared" si="18"/>
        <v>Pike, KY</v>
      </c>
      <c r="L1111" s="24"/>
    </row>
    <row r="1112">
      <c r="A1112" s="99">
        <v>1111.0</v>
      </c>
      <c r="B1112" s="15"/>
      <c r="C1112" s="15"/>
      <c r="D1112" s="105">
        <v>1.0</v>
      </c>
      <c r="E1112" s="102">
        <v>21.0</v>
      </c>
      <c r="F1112" s="107">
        <v>197.0</v>
      </c>
      <c r="G1112" s="15" t="str">
        <f t="shared" si="1"/>
        <v>21197</v>
      </c>
      <c r="H1112" s="23" t="s">
        <v>1130</v>
      </c>
      <c r="I1112" s="23" t="s">
        <v>54</v>
      </c>
      <c r="J1112" s="23" t="s">
        <v>531</v>
      </c>
      <c r="K1112" s="23" t="str">
        <f t="shared" si="18"/>
        <v>Powell, KY</v>
      </c>
      <c r="L1112" s="24"/>
    </row>
    <row r="1113">
      <c r="A1113" s="99">
        <v>1112.0</v>
      </c>
      <c r="B1113" s="15"/>
      <c r="C1113" s="15"/>
      <c r="D1113" s="105">
        <v>1.0</v>
      </c>
      <c r="E1113" s="102">
        <v>21.0</v>
      </c>
      <c r="F1113" s="107">
        <v>199.0</v>
      </c>
      <c r="G1113" s="15" t="str">
        <f t="shared" si="1"/>
        <v>21199</v>
      </c>
      <c r="H1113" s="23" t="s">
        <v>305</v>
      </c>
      <c r="I1113" s="23" t="s">
        <v>54</v>
      </c>
      <c r="J1113" s="23" t="s">
        <v>531</v>
      </c>
      <c r="K1113" s="23" t="str">
        <f t="shared" si="18"/>
        <v>Pulaski, KY</v>
      </c>
      <c r="L1113" s="24"/>
    </row>
    <row r="1114">
      <c r="A1114" s="99">
        <v>1113.0</v>
      </c>
      <c r="B1114" s="15"/>
      <c r="C1114" s="15"/>
      <c r="D1114" s="105">
        <v>1.0</v>
      </c>
      <c r="E1114" s="102">
        <v>21.0</v>
      </c>
      <c r="F1114" s="107">
        <v>201.0</v>
      </c>
      <c r="G1114" s="15" t="str">
        <f t="shared" si="1"/>
        <v>21201</v>
      </c>
      <c r="H1114" s="23" t="s">
        <v>1131</v>
      </c>
      <c r="I1114" s="23" t="s">
        <v>54</v>
      </c>
      <c r="J1114" s="23" t="s">
        <v>531</v>
      </c>
      <c r="K1114" s="23" t="str">
        <f t="shared" si="18"/>
        <v>Robertson, KY</v>
      </c>
      <c r="L1114" s="24"/>
    </row>
    <row r="1115">
      <c r="A1115" s="99">
        <v>1114.0</v>
      </c>
      <c r="B1115" s="15"/>
      <c r="C1115" s="15"/>
      <c r="D1115" s="105">
        <v>1.0</v>
      </c>
      <c r="E1115" s="102">
        <v>21.0</v>
      </c>
      <c r="F1115" s="107">
        <v>203.0</v>
      </c>
      <c r="G1115" s="15" t="str">
        <f t="shared" si="1"/>
        <v>21203</v>
      </c>
      <c r="H1115" s="23" t="s">
        <v>1132</v>
      </c>
      <c r="I1115" s="23" t="s">
        <v>54</v>
      </c>
      <c r="J1115" s="23" t="s">
        <v>531</v>
      </c>
      <c r="K1115" s="23" t="str">
        <f t="shared" si="18"/>
        <v>Rockcastle, KY</v>
      </c>
      <c r="L1115" s="24"/>
    </row>
    <row r="1116">
      <c r="A1116" s="99">
        <v>1115.0</v>
      </c>
      <c r="B1116" s="15"/>
      <c r="C1116" s="15"/>
      <c r="D1116" s="105">
        <v>1.0</v>
      </c>
      <c r="E1116" s="102">
        <v>21.0</v>
      </c>
      <c r="F1116" s="107">
        <v>205.0</v>
      </c>
      <c r="G1116" s="15" t="str">
        <f t="shared" si="1"/>
        <v>21205</v>
      </c>
      <c r="H1116" s="23" t="s">
        <v>1133</v>
      </c>
      <c r="I1116" s="23" t="s">
        <v>54</v>
      </c>
      <c r="J1116" s="23" t="s">
        <v>531</v>
      </c>
      <c r="K1116" s="23" t="str">
        <f t="shared" si="18"/>
        <v>Rowan, KY</v>
      </c>
      <c r="L1116" s="24"/>
    </row>
    <row r="1117">
      <c r="A1117" s="99">
        <v>1116.0</v>
      </c>
      <c r="B1117" s="15"/>
      <c r="C1117" s="15"/>
      <c r="D1117" s="105">
        <v>1.0</v>
      </c>
      <c r="E1117" s="102">
        <v>21.0</v>
      </c>
      <c r="F1117" s="107">
        <v>207.0</v>
      </c>
      <c r="G1117" s="15" t="str">
        <f t="shared" si="1"/>
        <v>21207</v>
      </c>
      <c r="H1117" s="23" t="s">
        <v>165</v>
      </c>
      <c r="I1117" s="23" t="s">
        <v>54</v>
      </c>
      <c r="J1117" s="23" t="s">
        <v>531</v>
      </c>
      <c r="K1117" s="23" t="str">
        <f t="shared" si="18"/>
        <v>Russell, KY</v>
      </c>
      <c r="L1117" s="24"/>
    </row>
    <row r="1118">
      <c r="A1118" s="99">
        <v>1117.0</v>
      </c>
      <c r="B1118" s="15"/>
      <c r="C1118" s="15"/>
      <c r="D1118" s="105">
        <v>1.0</v>
      </c>
      <c r="E1118" s="102">
        <v>21.0</v>
      </c>
      <c r="F1118" s="107">
        <v>209.0</v>
      </c>
      <c r="G1118" s="15" t="str">
        <f t="shared" si="1"/>
        <v>21209</v>
      </c>
      <c r="H1118" s="23" t="s">
        <v>309</v>
      </c>
      <c r="I1118" s="23" t="s">
        <v>54</v>
      </c>
      <c r="J1118" s="23" t="s">
        <v>531</v>
      </c>
      <c r="K1118" s="23" t="str">
        <f t="shared" si="18"/>
        <v>Scott, KY</v>
      </c>
      <c r="L1118" s="24"/>
    </row>
    <row r="1119">
      <c r="A1119" s="99">
        <v>1118.0</v>
      </c>
      <c r="B1119" s="15"/>
      <c r="C1119" s="15"/>
      <c r="D1119" s="105">
        <v>1.0</v>
      </c>
      <c r="E1119" s="102">
        <v>21.0</v>
      </c>
      <c r="F1119" s="107">
        <v>211.0</v>
      </c>
      <c r="G1119" s="15" t="str">
        <f t="shared" si="1"/>
        <v>21211</v>
      </c>
      <c r="H1119" s="23" t="s">
        <v>168</v>
      </c>
      <c r="I1119" s="23" t="s">
        <v>54</v>
      </c>
      <c r="J1119" s="23" t="s">
        <v>531</v>
      </c>
      <c r="K1119" s="23" t="str">
        <f t="shared" si="18"/>
        <v>Shelby, KY</v>
      </c>
      <c r="L1119" s="24"/>
    </row>
    <row r="1120">
      <c r="A1120" s="99">
        <v>1119.0</v>
      </c>
      <c r="B1120" s="15"/>
      <c r="C1120" s="15"/>
      <c r="D1120" s="105">
        <v>1.0</v>
      </c>
      <c r="E1120" s="102">
        <v>21.0</v>
      </c>
      <c r="F1120" s="107">
        <v>213.0</v>
      </c>
      <c r="G1120" s="15" t="str">
        <f t="shared" si="1"/>
        <v>21213</v>
      </c>
      <c r="H1120" s="23" t="s">
        <v>1134</v>
      </c>
      <c r="I1120" s="23" t="s">
        <v>54</v>
      </c>
      <c r="J1120" s="23" t="s">
        <v>531</v>
      </c>
      <c r="K1120" s="23" t="str">
        <f t="shared" si="18"/>
        <v>Simpson, KY</v>
      </c>
      <c r="L1120" s="24"/>
    </row>
    <row r="1121">
      <c r="A1121" s="99">
        <v>1120.0</v>
      </c>
      <c r="B1121" s="15"/>
      <c r="C1121" s="15"/>
      <c r="D1121" s="105">
        <v>1.0</v>
      </c>
      <c r="E1121" s="102">
        <v>21.0</v>
      </c>
      <c r="F1121" s="107">
        <v>215.0</v>
      </c>
      <c r="G1121" s="15" t="str">
        <f t="shared" si="1"/>
        <v>21215</v>
      </c>
      <c r="H1121" s="23" t="s">
        <v>854</v>
      </c>
      <c r="I1121" s="23" t="s">
        <v>54</v>
      </c>
      <c r="J1121" s="23" t="s">
        <v>531</v>
      </c>
      <c r="K1121" s="23" t="str">
        <f t="shared" si="18"/>
        <v>Spencer, KY</v>
      </c>
      <c r="L1121" s="24"/>
    </row>
    <row r="1122">
      <c r="A1122" s="99">
        <v>1121.0</v>
      </c>
      <c r="B1122" s="15"/>
      <c r="C1122" s="15"/>
      <c r="D1122" s="105">
        <v>1.0</v>
      </c>
      <c r="E1122" s="102">
        <v>21.0</v>
      </c>
      <c r="F1122" s="107">
        <v>217.0</v>
      </c>
      <c r="G1122" s="15" t="str">
        <f t="shared" si="1"/>
        <v>21217</v>
      </c>
      <c r="H1122" s="23" t="s">
        <v>526</v>
      </c>
      <c r="I1122" s="23" t="s">
        <v>54</v>
      </c>
      <c r="J1122" s="23" t="s">
        <v>531</v>
      </c>
      <c r="K1122" s="23" t="str">
        <f t="shared" si="18"/>
        <v>Taylor, KY</v>
      </c>
      <c r="L1122" s="24"/>
    </row>
    <row r="1123">
      <c r="A1123" s="99">
        <v>1122.0</v>
      </c>
      <c r="B1123" s="15"/>
      <c r="C1123" s="15"/>
      <c r="D1123" s="105">
        <v>1.0</v>
      </c>
      <c r="E1123" s="102">
        <v>21.0</v>
      </c>
      <c r="F1123" s="107">
        <v>219.0</v>
      </c>
      <c r="G1123" s="15" t="str">
        <f t="shared" si="1"/>
        <v>21219</v>
      </c>
      <c r="H1123" s="23" t="s">
        <v>1135</v>
      </c>
      <c r="I1123" s="23" t="s">
        <v>54</v>
      </c>
      <c r="J1123" s="23" t="s">
        <v>531</v>
      </c>
      <c r="K1123" s="23" t="str">
        <f t="shared" si="18"/>
        <v>Todd, KY</v>
      </c>
      <c r="L1123" s="24"/>
    </row>
    <row r="1124">
      <c r="A1124" s="99">
        <v>1123.0</v>
      </c>
      <c r="B1124" s="15"/>
      <c r="C1124" s="15"/>
      <c r="D1124" s="105">
        <v>1.0</v>
      </c>
      <c r="E1124" s="102">
        <v>21.0</v>
      </c>
      <c r="F1124" s="107">
        <v>221.0</v>
      </c>
      <c r="G1124" s="15" t="str">
        <f t="shared" si="1"/>
        <v>21221</v>
      </c>
      <c r="H1124" s="23" t="s">
        <v>1136</v>
      </c>
      <c r="I1124" s="23" t="s">
        <v>54</v>
      </c>
      <c r="J1124" s="23" t="s">
        <v>531</v>
      </c>
      <c r="K1124" s="23" t="str">
        <f t="shared" si="18"/>
        <v>Trigg, KY</v>
      </c>
      <c r="L1124" s="24"/>
    </row>
    <row r="1125">
      <c r="A1125" s="99">
        <v>1124.0</v>
      </c>
      <c r="B1125" s="15"/>
      <c r="C1125" s="15"/>
      <c r="D1125" s="105">
        <v>1.0</v>
      </c>
      <c r="E1125" s="102">
        <v>21.0</v>
      </c>
      <c r="F1125" s="107">
        <v>223.0</v>
      </c>
      <c r="G1125" s="15" t="str">
        <f t="shared" si="1"/>
        <v>21223</v>
      </c>
      <c r="H1125" s="23" t="s">
        <v>1137</v>
      </c>
      <c r="I1125" s="23" t="s">
        <v>54</v>
      </c>
      <c r="J1125" s="23" t="s">
        <v>531</v>
      </c>
      <c r="K1125" s="23" t="str">
        <f t="shared" si="18"/>
        <v>Trimble, KY</v>
      </c>
      <c r="L1125" s="24"/>
    </row>
    <row r="1126">
      <c r="A1126" s="99">
        <v>1125.0</v>
      </c>
      <c r="B1126" s="15"/>
      <c r="C1126" s="15"/>
      <c r="D1126" s="105">
        <v>1.0</v>
      </c>
      <c r="E1126" s="102">
        <v>21.0</v>
      </c>
      <c r="F1126" s="107">
        <v>225.0</v>
      </c>
      <c r="G1126" s="15" t="str">
        <f t="shared" si="1"/>
        <v>21225</v>
      </c>
      <c r="H1126" s="23" t="s">
        <v>316</v>
      </c>
      <c r="I1126" s="23" t="s">
        <v>54</v>
      </c>
      <c r="J1126" s="23" t="s">
        <v>531</v>
      </c>
      <c r="K1126" s="23" t="str">
        <f t="shared" si="18"/>
        <v>Union, KY</v>
      </c>
      <c r="L1126" s="24"/>
    </row>
    <row r="1127">
      <c r="A1127" s="99">
        <v>1126.0</v>
      </c>
      <c r="B1127" s="15"/>
      <c r="C1127" s="15"/>
      <c r="D1127" s="105">
        <v>1.0</v>
      </c>
      <c r="E1127" s="102">
        <v>21.0</v>
      </c>
      <c r="F1127" s="107">
        <v>227.0</v>
      </c>
      <c r="G1127" s="15" t="str">
        <f t="shared" si="1"/>
        <v>21227</v>
      </c>
      <c r="H1127" s="23" t="s">
        <v>647</v>
      </c>
      <c r="I1127" s="23" t="s">
        <v>54</v>
      </c>
      <c r="J1127" s="23" t="s">
        <v>531</v>
      </c>
      <c r="K1127" s="23" t="str">
        <f t="shared" si="18"/>
        <v>Warren, KY</v>
      </c>
      <c r="L1127" s="24"/>
    </row>
    <row r="1128">
      <c r="A1128" s="99">
        <v>1127.0</v>
      </c>
      <c r="B1128" s="15"/>
      <c r="C1128" s="15"/>
      <c r="D1128" s="105">
        <v>1.0</v>
      </c>
      <c r="E1128" s="102">
        <v>21.0</v>
      </c>
      <c r="F1128" s="107">
        <v>229.0</v>
      </c>
      <c r="G1128" s="15" t="str">
        <f t="shared" si="1"/>
        <v>21229</v>
      </c>
      <c r="H1128" s="23" t="s">
        <v>119</v>
      </c>
      <c r="I1128" s="23" t="s">
        <v>54</v>
      </c>
      <c r="J1128" s="23" t="s">
        <v>531</v>
      </c>
      <c r="K1128" s="23" t="str">
        <f t="shared" si="18"/>
        <v>Washington, KY</v>
      </c>
      <c r="L1128" s="24"/>
    </row>
    <row r="1129">
      <c r="A1129" s="99">
        <v>1128.0</v>
      </c>
      <c r="B1129" s="15"/>
      <c r="C1129" s="15"/>
      <c r="D1129" s="105">
        <v>1.0</v>
      </c>
      <c r="E1129" s="102">
        <v>21.0</v>
      </c>
      <c r="F1129" s="107">
        <v>231.0</v>
      </c>
      <c r="G1129" s="15" t="str">
        <f t="shared" si="1"/>
        <v>21231</v>
      </c>
      <c r="H1129" s="23" t="s">
        <v>273</v>
      </c>
      <c r="I1129" s="23" t="s">
        <v>54</v>
      </c>
      <c r="J1129" s="23" t="s">
        <v>531</v>
      </c>
      <c r="K1129" s="23" t="str">
        <f t="shared" si="18"/>
        <v>Wayne, KY</v>
      </c>
      <c r="L1129" s="24"/>
    </row>
    <row r="1130">
      <c r="A1130" s="99">
        <v>1129.0</v>
      </c>
      <c r="B1130" s="15"/>
      <c r="C1130" s="15"/>
      <c r="D1130" s="105">
        <v>1.0</v>
      </c>
      <c r="E1130" s="102">
        <v>21.0</v>
      </c>
      <c r="F1130" s="107">
        <v>233.0</v>
      </c>
      <c r="G1130" s="15" t="str">
        <f t="shared" si="1"/>
        <v>21233</v>
      </c>
      <c r="H1130" s="23" t="s">
        <v>648</v>
      </c>
      <c r="I1130" s="23" t="s">
        <v>54</v>
      </c>
      <c r="J1130" s="23" t="s">
        <v>531</v>
      </c>
      <c r="K1130" s="23" t="str">
        <f t="shared" si="18"/>
        <v>Webster, KY</v>
      </c>
      <c r="L1130" s="24"/>
    </row>
    <row r="1131">
      <c r="A1131" s="99">
        <v>1130.0</v>
      </c>
      <c r="B1131" s="15"/>
      <c r="C1131" s="15"/>
      <c r="D1131" s="105">
        <v>1.0</v>
      </c>
      <c r="E1131" s="102">
        <v>21.0</v>
      </c>
      <c r="F1131" s="107">
        <v>235.0</v>
      </c>
      <c r="G1131" s="15" t="str">
        <f t="shared" si="1"/>
        <v>21235</v>
      </c>
      <c r="H1131" s="23" t="s">
        <v>879</v>
      </c>
      <c r="I1131" s="23" t="s">
        <v>54</v>
      </c>
      <c r="J1131" s="23" t="s">
        <v>531</v>
      </c>
      <c r="K1131" s="23" t="str">
        <f t="shared" si="18"/>
        <v>Whitley, KY</v>
      </c>
      <c r="L1131" s="24"/>
    </row>
    <row r="1132">
      <c r="A1132" s="99">
        <v>1131.0</v>
      </c>
      <c r="B1132" s="15"/>
      <c r="C1132" s="15"/>
      <c r="D1132" s="105">
        <v>1.0</v>
      </c>
      <c r="E1132" s="102">
        <v>21.0</v>
      </c>
      <c r="F1132" s="107">
        <v>237.0</v>
      </c>
      <c r="G1132" s="15" t="str">
        <f t="shared" si="1"/>
        <v>21237</v>
      </c>
      <c r="H1132" s="23" t="s">
        <v>1138</v>
      </c>
      <c r="I1132" s="23" t="s">
        <v>54</v>
      </c>
      <c r="J1132" s="23" t="s">
        <v>531</v>
      </c>
      <c r="K1132" s="23" t="str">
        <f t="shared" si="18"/>
        <v>Wolfe, KY</v>
      </c>
      <c r="L1132" s="24"/>
    </row>
    <row r="1133">
      <c r="A1133" s="99">
        <v>1132.0</v>
      </c>
      <c r="B1133" s="15"/>
      <c r="C1133" s="15"/>
      <c r="D1133" s="105">
        <v>1.0</v>
      </c>
      <c r="E1133" s="102">
        <v>21.0</v>
      </c>
      <c r="F1133" s="107">
        <v>239.0</v>
      </c>
      <c r="G1133" s="15" t="str">
        <f t="shared" si="1"/>
        <v>21239</v>
      </c>
      <c r="H1133" s="23" t="s">
        <v>754</v>
      </c>
      <c r="I1133" s="23" t="s">
        <v>54</v>
      </c>
      <c r="J1133" s="23" t="s">
        <v>531</v>
      </c>
      <c r="K1133" s="23" t="str">
        <f t="shared" si="18"/>
        <v>Woodford, KY</v>
      </c>
      <c r="L1133" s="24"/>
    </row>
    <row r="1134">
      <c r="A1134" s="28">
        <v>1133.0</v>
      </c>
      <c r="B1134" s="29"/>
      <c r="C1134" s="29" t="s">
        <v>25</v>
      </c>
      <c r="D1134" s="30"/>
      <c r="E1134" s="31">
        <v>22.0</v>
      </c>
      <c r="F1134" s="42">
        <v>0.0</v>
      </c>
      <c r="G1134" s="29" t="str">
        <f t="shared" si="1"/>
        <v>22000</v>
      </c>
      <c r="H1134" s="37"/>
      <c r="I1134" s="37" t="s">
        <v>55</v>
      </c>
      <c r="J1134" s="37" t="s">
        <v>1139</v>
      </c>
      <c r="K1134" s="37"/>
      <c r="L1134" s="24"/>
    </row>
    <row r="1135">
      <c r="A1135" s="28">
        <v>1134.0</v>
      </c>
      <c r="B1135" s="29"/>
      <c r="C1135" s="29"/>
      <c r="D1135" s="40">
        <v>1.0</v>
      </c>
      <c r="E1135" s="31">
        <v>22.0</v>
      </c>
      <c r="F1135" s="42">
        <v>1.0</v>
      </c>
      <c r="G1135" s="29" t="str">
        <f t="shared" si="1"/>
        <v>22001</v>
      </c>
      <c r="H1135" s="37" t="s">
        <v>1140</v>
      </c>
      <c r="I1135" s="37" t="s">
        <v>55</v>
      </c>
      <c r="J1135" s="37" t="s">
        <v>1139</v>
      </c>
      <c r="K1135" s="37" t="str">
        <f t="shared" ref="K1135:K1198" si="19">CONCATENATE(H1135,", ",J1135)</f>
        <v>Acadia, LA</v>
      </c>
      <c r="L1135" s="24"/>
    </row>
    <row r="1136">
      <c r="A1136" s="28">
        <v>1135.0</v>
      </c>
      <c r="B1136" s="29"/>
      <c r="C1136" s="29"/>
      <c r="D1136" s="40">
        <v>1.0</v>
      </c>
      <c r="E1136" s="31">
        <v>22.0</v>
      </c>
      <c r="F1136" s="42">
        <v>3.0</v>
      </c>
      <c r="G1136" s="29" t="str">
        <f t="shared" si="1"/>
        <v>22003</v>
      </c>
      <c r="H1136" s="37" t="s">
        <v>755</v>
      </c>
      <c r="I1136" s="37" t="s">
        <v>55</v>
      </c>
      <c r="J1136" s="37" t="s">
        <v>1139</v>
      </c>
      <c r="K1136" s="37" t="str">
        <f t="shared" si="19"/>
        <v>Allen, LA</v>
      </c>
      <c r="L1136" s="24"/>
    </row>
    <row r="1137">
      <c r="A1137" s="28">
        <v>1136.0</v>
      </c>
      <c r="B1137" s="29"/>
      <c r="C1137" s="29"/>
      <c r="D1137" s="40">
        <v>1.0</v>
      </c>
      <c r="E1137" s="31">
        <v>22.0</v>
      </c>
      <c r="F1137" s="42">
        <v>5.0</v>
      </c>
      <c r="G1137" s="29" t="str">
        <f t="shared" si="1"/>
        <v>22005</v>
      </c>
      <c r="H1137" s="37" t="s">
        <v>1141</v>
      </c>
      <c r="I1137" s="37" t="s">
        <v>55</v>
      </c>
      <c r="J1137" s="37" t="s">
        <v>1139</v>
      </c>
      <c r="K1137" s="37" t="str">
        <f t="shared" si="19"/>
        <v>Ascension, LA</v>
      </c>
      <c r="L1137" s="24"/>
    </row>
    <row r="1138">
      <c r="A1138" s="28">
        <v>1137.0</v>
      </c>
      <c r="B1138" s="29"/>
      <c r="C1138" s="29"/>
      <c r="D1138" s="40">
        <v>1.0</v>
      </c>
      <c r="E1138" s="31">
        <v>22.0</v>
      </c>
      <c r="F1138" s="42">
        <v>7.0</v>
      </c>
      <c r="G1138" s="29" t="str">
        <f t="shared" si="1"/>
        <v>22007</v>
      </c>
      <c r="H1138" s="37" t="s">
        <v>1142</v>
      </c>
      <c r="I1138" s="37" t="s">
        <v>55</v>
      </c>
      <c r="J1138" s="37" t="s">
        <v>1139</v>
      </c>
      <c r="K1138" s="37" t="str">
        <f t="shared" si="19"/>
        <v>Assumption, LA</v>
      </c>
      <c r="L1138" s="24"/>
    </row>
    <row r="1139">
      <c r="A1139" s="28">
        <v>1138.0</v>
      </c>
      <c r="B1139" s="29"/>
      <c r="C1139" s="29"/>
      <c r="D1139" s="40">
        <v>1.0</v>
      </c>
      <c r="E1139" s="31">
        <v>22.0</v>
      </c>
      <c r="F1139" s="42">
        <v>9.0</v>
      </c>
      <c r="G1139" s="29" t="str">
        <f t="shared" si="1"/>
        <v>22009</v>
      </c>
      <c r="H1139" s="37" t="s">
        <v>1143</v>
      </c>
      <c r="I1139" s="37" t="s">
        <v>55</v>
      </c>
      <c r="J1139" s="37" t="s">
        <v>1139</v>
      </c>
      <c r="K1139" s="37" t="str">
        <f t="shared" si="19"/>
        <v>Avoyelles, LA</v>
      </c>
      <c r="L1139" s="24"/>
    </row>
    <row r="1140">
      <c r="A1140" s="28">
        <v>1139.0</v>
      </c>
      <c r="B1140" s="29"/>
      <c r="C1140" s="29"/>
      <c r="D1140" s="40">
        <v>1.0</v>
      </c>
      <c r="E1140" s="31">
        <v>22.0</v>
      </c>
      <c r="F1140" s="42">
        <v>11.0</v>
      </c>
      <c r="G1140" s="29" t="str">
        <f t="shared" si="1"/>
        <v>22011</v>
      </c>
      <c r="H1140" s="37" t="s">
        <v>1144</v>
      </c>
      <c r="I1140" s="37" t="s">
        <v>55</v>
      </c>
      <c r="J1140" s="37" t="s">
        <v>1139</v>
      </c>
      <c r="K1140" s="37" t="str">
        <f t="shared" si="19"/>
        <v>Beauregard, LA</v>
      </c>
      <c r="L1140" s="24"/>
    </row>
    <row r="1141">
      <c r="A1141" s="28">
        <v>1140.0</v>
      </c>
      <c r="B1141" s="29"/>
      <c r="C1141" s="29"/>
      <c r="D1141" s="40">
        <v>1.0</v>
      </c>
      <c r="E1141" s="31">
        <v>22.0</v>
      </c>
      <c r="F1141" s="42">
        <v>13.0</v>
      </c>
      <c r="G1141" s="29" t="str">
        <f t="shared" si="1"/>
        <v>22013</v>
      </c>
      <c r="H1141" s="37" t="s">
        <v>1145</v>
      </c>
      <c r="I1141" s="37" t="s">
        <v>55</v>
      </c>
      <c r="J1141" s="37" t="s">
        <v>1139</v>
      </c>
      <c r="K1141" s="37" t="str">
        <f t="shared" si="19"/>
        <v>Bienville, LA</v>
      </c>
      <c r="L1141" s="24"/>
    </row>
    <row r="1142">
      <c r="A1142" s="28">
        <v>1141.0</v>
      </c>
      <c r="B1142" s="29"/>
      <c r="C1142" s="29"/>
      <c r="D1142" s="40">
        <v>1.0</v>
      </c>
      <c r="E1142" s="31">
        <v>22.0</v>
      </c>
      <c r="F1142" s="42">
        <v>15.0</v>
      </c>
      <c r="G1142" s="29" t="str">
        <f t="shared" si="1"/>
        <v>22015</v>
      </c>
      <c r="H1142" s="37" t="s">
        <v>1146</v>
      </c>
      <c r="I1142" s="37" t="s">
        <v>55</v>
      </c>
      <c r="J1142" s="37" t="s">
        <v>1139</v>
      </c>
      <c r="K1142" s="37" t="str">
        <f t="shared" si="19"/>
        <v>Bossier, LA</v>
      </c>
      <c r="L1142" s="24"/>
    </row>
    <row r="1143">
      <c r="A1143" s="28">
        <v>1142.0</v>
      </c>
      <c r="B1143" s="29"/>
      <c r="C1143" s="29"/>
      <c r="D1143" s="40">
        <v>1.0</v>
      </c>
      <c r="E1143" s="31">
        <v>22.0</v>
      </c>
      <c r="F1143" s="42">
        <v>17.0</v>
      </c>
      <c r="G1143" s="29" t="str">
        <f t="shared" si="1"/>
        <v>22017</v>
      </c>
      <c r="H1143" s="37" t="s">
        <v>1147</v>
      </c>
      <c r="I1143" s="37" t="s">
        <v>55</v>
      </c>
      <c r="J1143" s="37" t="s">
        <v>1139</v>
      </c>
      <c r="K1143" s="37" t="str">
        <f t="shared" si="19"/>
        <v>Caddo, LA</v>
      </c>
      <c r="L1143" s="24"/>
    </row>
    <row r="1144">
      <c r="A1144" s="28">
        <v>1143.0</v>
      </c>
      <c r="B1144" s="29"/>
      <c r="C1144" s="29"/>
      <c r="D1144" s="40">
        <v>1.0</v>
      </c>
      <c r="E1144" s="31">
        <v>22.0</v>
      </c>
      <c r="F1144" s="42">
        <v>19.0</v>
      </c>
      <c r="G1144" s="29" t="str">
        <f t="shared" si="1"/>
        <v>22019</v>
      </c>
      <c r="H1144" s="37" t="s">
        <v>1148</v>
      </c>
      <c r="I1144" s="37" t="s">
        <v>55</v>
      </c>
      <c r="J1144" s="37" t="s">
        <v>1139</v>
      </c>
      <c r="K1144" s="37" t="str">
        <f t="shared" si="19"/>
        <v>Calcasieu, LA</v>
      </c>
      <c r="L1144" s="24"/>
    </row>
    <row r="1145">
      <c r="A1145" s="28">
        <v>1144.0</v>
      </c>
      <c r="B1145" s="29"/>
      <c r="C1145" s="29"/>
      <c r="D1145" s="40">
        <v>1.0</v>
      </c>
      <c r="E1145" s="31">
        <v>22.0</v>
      </c>
      <c r="F1145" s="42">
        <v>21.0</v>
      </c>
      <c r="G1145" s="29" t="str">
        <f t="shared" si="1"/>
        <v>22021</v>
      </c>
      <c r="H1145" s="37" t="s">
        <v>1034</v>
      </c>
      <c r="I1145" s="37" t="s">
        <v>55</v>
      </c>
      <c r="J1145" s="37" t="s">
        <v>1139</v>
      </c>
      <c r="K1145" s="37" t="str">
        <f t="shared" si="19"/>
        <v>Caldwell, LA</v>
      </c>
      <c r="L1145" s="24"/>
    </row>
    <row r="1146">
      <c r="A1146" s="28">
        <v>1145.0</v>
      </c>
      <c r="B1146" s="29"/>
      <c r="C1146" s="29"/>
      <c r="D1146" s="40">
        <v>1.0</v>
      </c>
      <c r="E1146" s="31">
        <v>22.0</v>
      </c>
      <c r="F1146" s="42">
        <v>23.0</v>
      </c>
      <c r="G1146" s="29" t="str">
        <f t="shared" si="1"/>
        <v>22023</v>
      </c>
      <c r="H1146" s="37" t="s">
        <v>1149</v>
      </c>
      <c r="I1146" s="37" t="s">
        <v>55</v>
      </c>
      <c r="J1146" s="37" t="s">
        <v>1139</v>
      </c>
      <c r="K1146" s="37" t="str">
        <f t="shared" si="19"/>
        <v>Cameron, LA</v>
      </c>
      <c r="L1146" s="24"/>
    </row>
    <row r="1147">
      <c r="A1147" s="28">
        <v>1146.0</v>
      </c>
      <c r="B1147" s="29"/>
      <c r="C1147" s="29"/>
      <c r="D1147" s="40">
        <v>1.0</v>
      </c>
      <c r="E1147" s="31">
        <v>22.0</v>
      </c>
      <c r="F1147" s="42">
        <v>25.0</v>
      </c>
      <c r="G1147" s="29" t="str">
        <f t="shared" si="1"/>
        <v>22025</v>
      </c>
      <c r="H1147" s="37" t="s">
        <v>1150</v>
      </c>
      <c r="I1147" s="37" t="s">
        <v>55</v>
      </c>
      <c r="J1147" s="37" t="s">
        <v>1139</v>
      </c>
      <c r="K1147" s="37" t="str">
        <f t="shared" si="19"/>
        <v>Catahoula, LA</v>
      </c>
      <c r="L1147" s="24"/>
    </row>
    <row r="1148">
      <c r="A1148" s="28">
        <v>1147.0</v>
      </c>
      <c r="B1148" s="29"/>
      <c r="C1148" s="29"/>
      <c r="D1148" s="40">
        <v>1.0</v>
      </c>
      <c r="E1148" s="31">
        <v>22.0</v>
      </c>
      <c r="F1148" s="42">
        <v>27.0</v>
      </c>
      <c r="G1148" s="29" t="str">
        <f t="shared" si="1"/>
        <v>22027</v>
      </c>
      <c r="H1148" s="37" t="s">
        <v>1151</v>
      </c>
      <c r="I1148" s="37" t="s">
        <v>55</v>
      </c>
      <c r="J1148" s="37" t="s">
        <v>1139</v>
      </c>
      <c r="K1148" s="37" t="str">
        <f t="shared" si="19"/>
        <v>Claiborne, LA</v>
      </c>
      <c r="L1148" s="24"/>
    </row>
    <row r="1149">
      <c r="A1149" s="28">
        <v>1148.0</v>
      </c>
      <c r="B1149" s="29"/>
      <c r="C1149" s="29"/>
      <c r="D1149" s="40">
        <v>1.0</v>
      </c>
      <c r="E1149" s="31">
        <v>22.0</v>
      </c>
      <c r="F1149" s="42">
        <v>29.0</v>
      </c>
      <c r="G1149" s="29" t="str">
        <f t="shared" si="1"/>
        <v>22029</v>
      </c>
      <c r="H1149" s="37" t="s">
        <v>1152</v>
      </c>
      <c r="I1149" s="37" t="s">
        <v>55</v>
      </c>
      <c r="J1149" s="37" t="s">
        <v>1139</v>
      </c>
      <c r="K1149" s="37" t="str">
        <f t="shared" si="19"/>
        <v>Concordia, LA</v>
      </c>
      <c r="L1149" s="24"/>
    </row>
    <row r="1150">
      <c r="A1150" s="28">
        <v>1149.0</v>
      </c>
      <c r="B1150" s="29"/>
      <c r="C1150" s="29"/>
      <c r="D1150" s="40">
        <v>1.0</v>
      </c>
      <c r="E1150" s="31">
        <v>22.0</v>
      </c>
      <c r="F1150" s="42">
        <v>31.0</v>
      </c>
      <c r="G1150" s="29" t="str">
        <f t="shared" si="1"/>
        <v>22031</v>
      </c>
      <c r="H1150" s="37" t="s">
        <v>489</v>
      </c>
      <c r="I1150" s="37" t="s">
        <v>55</v>
      </c>
      <c r="J1150" s="37" t="s">
        <v>1139</v>
      </c>
      <c r="K1150" s="37" t="str">
        <f t="shared" si="19"/>
        <v>De Soto, LA</v>
      </c>
      <c r="L1150" s="24"/>
    </row>
    <row r="1151">
      <c r="A1151" s="28">
        <v>1150.0</v>
      </c>
      <c r="B1151" s="29"/>
      <c r="C1151" s="29"/>
      <c r="D1151" s="40">
        <v>1.0</v>
      </c>
      <c r="E1151" s="31">
        <v>22.0</v>
      </c>
      <c r="F1151" s="42">
        <v>33.0</v>
      </c>
      <c r="G1151" s="29" t="str">
        <f t="shared" si="1"/>
        <v>22033</v>
      </c>
      <c r="H1151" s="37" t="s">
        <v>1153</v>
      </c>
      <c r="I1151" s="37" t="s">
        <v>55</v>
      </c>
      <c r="J1151" s="37" t="s">
        <v>1139</v>
      </c>
      <c r="K1151" s="136" t="str">
        <f t="shared" si="19"/>
        <v>East Baton Rouge, LA</v>
      </c>
      <c r="L1151" s="24"/>
    </row>
    <row r="1152">
      <c r="A1152" s="28">
        <v>1151.0</v>
      </c>
      <c r="B1152" s="29"/>
      <c r="C1152" s="29"/>
      <c r="D1152" s="40">
        <v>1.0</v>
      </c>
      <c r="E1152" s="31">
        <v>22.0</v>
      </c>
      <c r="F1152" s="42">
        <v>35.0</v>
      </c>
      <c r="G1152" s="29" t="str">
        <f t="shared" si="1"/>
        <v>22035</v>
      </c>
      <c r="H1152" s="37" t="s">
        <v>1154</v>
      </c>
      <c r="I1152" s="37" t="s">
        <v>55</v>
      </c>
      <c r="J1152" s="37" t="s">
        <v>1139</v>
      </c>
      <c r="K1152" s="37" t="str">
        <f t="shared" si="19"/>
        <v>East Carroll, LA</v>
      </c>
      <c r="L1152" s="24"/>
    </row>
    <row r="1153">
      <c r="A1153" s="28">
        <v>1152.0</v>
      </c>
      <c r="B1153" s="29"/>
      <c r="C1153" s="29"/>
      <c r="D1153" s="40">
        <v>1.0</v>
      </c>
      <c r="E1153" s="31">
        <v>22.0</v>
      </c>
      <c r="F1153" s="42">
        <v>37.0</v>
      </c>
      <c r="G1153" s="29" t="str">
        <f t="shared" si="1"/>
        <v>22037</v>
      </c>
      <c r="H1153" s="37" t="s">
        <v>1155</v>
      </c>
      <c r="I1153" s="37" t="s">
        <v>55</v>
      </c>
      <c r="J1153" s="37" t="s">
        <v>1139</v>
      </c>
      <c r="K1153" s="136" t="str">
        <f t="shared" si="19"/>
        <v>East Feliciana, LA</v>
      </c>
      <c r="L1153" s="24"/>
    </row>
    <row r="1154">
      <c r="A1154" s="28">
        <v>1153.0</v>
      </c>
      <c r="B1154" s="29"/>
      <c r="C1154" s="29"/>
      <c r="D1154" s="40">
        <v>1.0</v>
      </c>
      <c r="E1154" s="31">
        <v>22.0</v>
      </c>
      <c r="F1154" s="42">
        <v>39.0</v>
      </c>
      <c r="G1154" s="29" t="str">
        <f t="shared" si="1"/>
        <v>22039</v>
      </c>
      <c r="H1154" s="37" t="s">
        <v>1156</v>
      </c>
      <c r="I1154" s="37" t="s">
        <v>55</v>
      </c>
      <c r="J1154" s="37" t="s">
        <v>1139</v>
      </c>
      <c r="K1154" s="37" t="str">
        <f t="shared" si="19"/>
        <v>Evangeline, LA</v>
      </c>
      <c r="L1154" s="24"/>
    </row>
    <row r="1155">
      <c r="A1155" s="28">
        <v>1154.0</v>
      </c>
      <c r="B1155" s="29"/>
      <c r="C1155" s="29"/>
      <c r="D1155" s="40">
        <v>1.0</v>
      </c>
      <c r="E1155" s="31">
        <v>22.0</v>
      </c>
      <c r="F1155" s="42">
        <v>41.0</v>
      </c>
      <c r="G1155" s="29" t="str">
        <f t="shared" si="1"/>
        <v>22041</v>
      </c>
      <c r="H1155" s="37" t="s">
        <v>136</v>
      </c>
      <c r="I1155" s="37" t="s">
        <v>55</v>
      </c>
      <c r="J1155" s="37" t="s">
        <v>1139</v>
      </c>
      <c r="K1155" s="37" t="str">
        <f t="shared" si="19"/>
        <v>Franklin, LA</v>
      </c>
      <c r="L1155" s="24"/>
    </row>
    <row r="1156">
      <c r="A1156" s="28">
        <v>1155.0</v>
      </c>
      <c r="B1156" s="29"/>
      <c r="C1156" s="29"/>
      <c r="D1156" s="40">
        <v>1.0</v>
      </c>
      <c r="E1156" s="31">
        <v>22.0</v>
      </c>
      <c r="F1156" s="42">
        <v>43.0</v>
      </c>
      <c r="G1156" s="29" t="str">
        <f t="shared" si="1"/>
        <v>22043</v>
      </c>
      <c r="H1156" s="37" t="s">
        <v>278</v>
      </c>
      <c r="I1156" s="37" t="s">
        <v>55</v>
      </c>
      <c r="J1156" s="37" t="s">
        <v>1139</v>
      </c>
      <c r="K1156" s="37" t="str">
        <f t="shared" si="19"/>
        <v>Grant, LA</v>
      </c>
      <c r="L1156" s="24"/>
    </row>
    <row r="1157">
      <c r="A1157" s="28">
        <v>1156.0</v>
      </c>
      <c r="B1157" s="29"/>
      <c r="C1157" s="29"/>
      <c r="D1157" s="40">
        <v>1.0</v>
      </c>
      <c r="E1157" s="31">
        <v>22.0</v>
      </c>
      <c r="F1157" s="42">
        <v>45.0</v>
      </c>
      <c r="G1157" s="29" t="str">
        <f t="shared" si="1"/>
        <v>22045</v>
      </c>
      <c r="H1157" s="37" t="s">
        <v>1157</v>
      </c>
      <c r="I1157" s="37" t="s">
        <v>55</v>
      </c>
      <c r="J1157" s="37" t="s">
        <v>1139</v>
      </c>
      <c r="K1157" s="37" t="str">
        <f t="shared" si="19"/>
        <v>Iberia, LA</v>
      </c>
      <c r="L1157" s="24"/>
    </row>
    <row r="1158">
      <c r="A1158" s="28">
        <v>1157.0</v>
      </c>
      <c r="B1158" s="29"/>
      <c r="C1158" s="29"/>
      <c r="D1158" s="40">
        <v>1.0</v>
      </c>
      <c r="E1158" s="31">
        <v>22.0</v>
      </c>
      <c r="F1158" s="42">
        <v>47.0</v>
      </c>
      <c r="G1158" s="29" t="str">
        <f t="shared" si="1"/>
        <v>22047</v>
      </c>
      <c r="H1158" s="37" t="s">
        <v>1158</v>
      </c>
      <c r="I1158" s="37" t="s">
        <v>55</v>
      </c>
      <c r="J1158" s="37" t="s">
        <v>1139</v>
      </c>
      <c r="K1158" s="37" t="str">
        <f t="shared" si="19"/>
        <v>Iberville, LA</v>
      </c>
      <c r="L1158" s="24"/>
    </row>
    <row r="1159">
      <c r="A1159" s="28">
        <v>1158.0</v>
      </c>
      <c r="B1159" s="29"/>
      <c r="C1159" s="29"/>
      <c r="D1159" s="40">
        <v>1.0</v>
      </c>
      <c r="E1159" s="31">
        <v>22.0</v>
      </c>
      <c r="F1159" s="42">
        <v>49.0</v>
      </c>
      <c r="G1159" s="29" t="str">
        <f t="shared" si="1"/>
        <v>22049</v>
      </c>
      <c r="H1159" s="37" t="s">
        <v>142</v>
      </c>
      <c r="I1159" s="37" t="s">
        <v>55</v>
      </c>
      <c r="J1159" s="37" t="s">
        <v>1139</v>
      </c>
      <c r="K1159" s="37" t="str">
        <f t="shared" si="19"/>
        <v>Jackson, LA</v>
      </c>
      <c r="L1159" s="24"/>
    </row>
    <row r="1160">
      <c r="A1160" s="28">
        <v>1159.0</v>
      </c>
      <c r="B1160" s="29"/>
      <c r="C1160" s="29"/>
      <c r="D1160" s="40">
        <v>1.0</v>
      </c>
      <c r="E1160" s="31">
        <v>22.0</v>
      </c>
      <c r="F1160" s="42">
        <v>51.0</v>
      </c>
      <c r="G1160" s="29" t="str">
        <f t="shared" si="1"/>
        <v>22051</v>
      </c>
      <c r="H1160" s="37" t="s">
        <v>143</v>
      </c>
      <c r="I1160" s="37" t="s">
        <v>55</v>
      </c>
      <c r="J1160" s="37" t="s">
        <v>1139</v>
      </c>
      <c r="K1160" s="37" t="str">
        <f t="shared" si="19"/>
        <v>Jefferson, LA</v>
      </c>
      <c r="L1160" s="24"/>
    </row>
    <row r="1161">
      <c r="A1161" s="28">
        <v>1160.0</v>
      </c>
      <c r="B1161" s="29"/>
      <c r="C1161" s="29"/>
      <c r="D1161" s="40">
        <v>1.0</v>
      </c>
      <c r="E1161" s="31">
        <v>22.0</v>
      </c>
      <c r="F1161" s="42">
        <v>53.0</v>
      </c>
      <c r="G1161" s="29" t="str">
        <f t="shared" si="1"/>
        <v>22053</v>
      </c>
      <c r="H1161" s="37" t="s">
        <v>1159</v>
      </c>
      <c r="I1161" s="37" t="s">
        <v>55</v>
      </c>
      <c r="J1161" s="37" t="s">
        <v>1139</v>
      </c>
      <c r="K1161" s="136" t="str">
        <f t="shared" si="19"/>
        <v>Jefferson Davis, LA</v>
      </c>
      <c r="L1161" s="24"/>
    </row>
    <row r="1162">
      <c r="A1162" s="28">
        <v>1161.0</v>
      </c>
      <c r="B1162" s="29"/>
      <c r="C1162" s="29"/>
      <c r="D1162" s="40">
        <v>1.0</v>
      </c>
      <c r="E1162" s="31">
        <v>22.0</v>
      </c>
      <c r="F1162" s="42">
        <v>55.0</v>
      </c>
      <c r="G1162" s="29" t="str">
        <f t="shared" si="1"/>
        <v>22055</v>
      </c>
      <c r="H1162" s="37" t="s">
        <v>289</v>
      </c>
      <c r="I1162" s="37" t="s">
        <v>55</v>
      </c>
      <c r="J1162" s="37" t="s">
        <v>1139</v>
      </c>
      <c r="K1162" s="37" t="str">
        <f t="shared" si="19"/>
        <v>Lafayette, LA</v>
      </c>
      <c r="L1162" s="24"/>
    </row>
    <row r="1163">
      <c r="A1163" s="28">
        <v>1162.0</v>
      </c>
      <c r="B1163" s="29"/>
      <c r="C1163" s="29"/>
      <c r="D1163" s="40">
        <v>1.0</v>
      </c>
      <c r="E1163" s="31">
        <v>22.0</v>
      </c>
      <c r="F1163" s="42">
        <v>57.0</v>
      </c>
      <c r="G1163" s="29" t="str">
        <f t="shared" si="1"/>
        <v>22057</v>
      </c>
      <c r="H1163" s="37" t="s">
        <v>1160</v>
      </c>
      <c r="I1163" s="37" t="s">
        <v>55</v>
      </c>
      <c r="J1163" s="37" t="s">
        <v>1139</v>
      </c>
      <c r="K1163" s="37" t="str">
        <f t="shared" si="19"/>
        <v>Lafourche, LA</v>
      </c>
      <c r="L1163" s="24"/>
    </row>
    <row r="1164">
      <c r="A1164" s="28">
        <v>1163.0</v>
      </c>
      <c r="B1164" s="29"/>
      <c r="C1164" s="29"/>
      <c r="D1164" s="40">
        <v>1.0</v>
      </c>
      <c r="E1164" s="31">
        <v>22.0</v>
      </c>
      <c r="F1164" s="42">
        <v>59.0</v>
      </c>
      <c r="G1164" s="29" t="str">
        <f t="shared" si="1"/>
        <v>22059</v>
      </c>
      <c r="H1164" s="37" t="s">
        <v>729</v>
      </c>
      <c r="I1164" s="37" t="s">
        <v>55</v>
      </c>
      <c r="J1164" s="37" t="s">
        <v>1139</v>
      </c>
      <c r="K1164" s="37" t="str">
        <f t="shared" si="19"/>
        <v>La Salle, LA</v>
      </c>
      <c r="L1164" s="24"/>
    </row>
    <row r="1165">
      <c r="A1165" s="28">
        <v>1164.0</v>
      </c>
      <c r="B1165" s="29"/>
      <c r="C1165" s="29"/>
      <c r="D1165" s="40">
        <v>1.0</v>
      </c>
      <c r="E1165" s="31">
        <v>22.0</v>
      </c>
      <c r="F1165" s="42">
        <v>61.0</v>
      </c>
      <c r="G1165" s="29" t="str">
        <f t="shared" si="1"/>
        <v>22061</v>
      </c>
      <c r="H1165" s="37" t="s">
        <v>290</v>
      </c>
      <c r="I1165" s="37" t="s">
        <v>55</v>
      </c>
      <c r="J1165" s="37" t="s">
        <v>1139</v>
      </c>
      <c r="K1165" s="37" t="str">
        <f t="shared" si="19"/>
        <v>Lincoln, LA</v>
      </c>
      <c r="L1165" s="24"/>
    </row>
    <row r="1166">
      <c r="A1166" s="28">
        <v>1165.0</v>
      </c>
      <c r="B1166" s="29"/>
      <c r="C1166" s="29"/>
      <c r="D1166" s="40">
        <v>1.0</v>
      </c>
      <c r="E1166" s="31">
        <v>22.0</v>
      </c>
      <c r="F1166" s="42">
        <v>63.0</v>
      </c>
      <c r="G1166" s="29" t="str">
        <f t="shared" si="1"/>
        <v>22063</v>
      </c>
      <c r="H1166" s="37" t="s">
        <v>730</v>
      </c>
      <c r="I1166" s="37" t="s">
        <v>55</v>
      </c>
      <c r="J1166" s="37" t="s">
        <v>1139</v>
      </c>
      <c r="K1166" s="37" t="str">
        <f t="shared" si="19"/>
        <v>Livingston, LA</v>
      </c>
      <c r="L1166" s="24"/>
    </row>
    <row r="1167">
      <c r="A1167" s="28">
        <v>1166.0</v>
      </c>
      <c r="B1167" s="29"/>
      <c r="C1167" s="29"/>
      <c r="D1167" s="40">
        <v>1.0</v>
      </c>
      <c r="E1167" s="31">
        <v>22.0</v>
      </c>
      <c r="F1167" s="42">
        <v>65.0</v>
      </c>
      <c r="G1167" s="29" t="str">
        <f t="shared" si="1"/>
        <v>22065</v>
      </c>
      <c r="H1167" s="37" t="s">
        <v>151</v>
      </c>
      <c r="I1167" s="37" t="s">
        <v>55</v>
      </c>
      <c r="J1167" s="37" t="s">
        <v>1139</v>
      </c>
      <c r="K1167" s="37" t="str">
        <f t="shared" si="19"/>
        <v>Madison, LA</v>
      </c>
      <c r="L1167" s="24"/>
    </row>
    <row r="1168">
      <c r="A1168" s="28">
        <v>1167.0</v>
      </c>
      <c r="B1168" s="29"/>
      <c r="C1168" s="29"/>
      <c r="D1168" s="40">
        <v>1.0</v>
      </c>
      <c r="E1168" s="31">
        <v>22.0</v>
      </c>
      <c r="F1168" s="42">
        <v>67.0</v>
      </c>
      <c r="G1168" s="29" t="str">
        <f t="shared" si="1"/>
        <v>22067</v>
      </c>
      <c r="H1168" s="37" t="s">
        <v>1161</v>
      </c>
      <c r="I1168" s="37" t="s">
        <v>55</v>
      </c>
      <c r="J1168" s="37" t="s">
        <v>1139</v>
      </c>
      <c r="K1168" s="37" t="str">
        <f t="shared" si="19"/>
        <v>Morehouse, LA</v>
      </c>
      <c r="L1168" s="24"/>
    </row>
    <row r="1169">
      <c r="A1169" s="28">
        <v>1168.0</v>
      </c>
      <c r="B1169" s="29"/>
      <c r="C1169" s="29"/>
      <c r="D1169" s="40">
        <v>1.0</v>
      </c>
      <c r="E1169" s="31">
        <v>22.0</v>
      </c>
      <c r="F1169" s="42">
        <v>69.0</v>
      </c>
      <c r="G1169" s="29" t="str">
        <f t="shared" si="1"/>
        <v>22069</v>
      </c>
      <c r="H1169" s="37" t="s">
        <v>1162</v>
      </c>
      <c r="I1169" s="37" t="s">
        <v>55</v>
      </c>
      <c r="J1169" s="37" t="s">
        <v>1139</v>
      </c>
      <c r="K1169" s="136" t="str">
        <f t="shared" si="19"/>
        <v>Natchitoches, LA</v>
      </c>
      <c r="L1169" s="24"/>
    </row>
    <row r="1170">
      <c r="A1170" s="28">
        <v>1169.0</v>
      </c>
      <c r="B1170" s="29"/>
      <c r="C1170" s="29"/>
      <c r="D1170" s="40">
        <v>1.0</v>
      </c>
      <c r="E1170" s="31">
        <v>22.0</v>
      </c>
      <c r="F1170" s="42">
        <v>71.0</v>
      </c>
      <c r="G1170" s="29" t="str">
        <f t="shared" si="1"/>
        <v>22071</v>
      </c>
      <c r="H1170" s="37" t="s">
        <v>1163</v>
      </c>
      <c r="I1170" s="37" t="s">
        <v>55</v>
      </c>
      <c r="J1170" s="37" t="s">
        <v>1139</v>
      </c>
      <c r="K1170" s="37" t="str">
        <f t="shared" si="19"/>
        <v>Orleans, LA</v>
      </c>
      <c r="L1170" s="24"/>
    </row>
    <row r="1171">
      <c r="A1171" s="28">
        <v>1170.0</v>
      </c>
      <c r="B1171" s="29"/>
      <c r="C1171" s="29"/>
      <c r="D1171" s="40">
        <v>1.0</v>
      </c>
      <c r="E1171" s="31">
        <v>22.0</v>
      </c>
      <c r="F1171" s="42">
        <v>73.0</v>
      </c>
      <c r="G1171" s="29" t="str">
        <f t="shared" si="1"/>
        <v>22073</v>
      </c>
      <c r="H1171" s="37" t="s">
        <v>298</v>
      </c>
      <c r="I1171" s="37" t="s">
        <v>55</v>
      </c>
      <c r="J1171" s="37" t="s">
        <v>1139</v>
      </c>
      <c r="K1171" s="37" t="str">
        <f t="shared" si="19"/>
        <v>Ouachita, LA</v>
      </c>
      <c r="L1171" s="24"/>
    </row>
    <row r="1172">
      <c r="A1172" s="28">
        <v>1171.0</v>
      </c>
      <c r="B1172" s="29"/>
      <c r="C1172" s="29"/>
      <c r="D1172" s="40">
        <v>1.0</v>
      </c>
      <c r="E1172" s="31">
        <v>22.0</v>
      </c>
      <c r="F1172" s="42">
        <v>75.0</v>
      </c>
      <c r="G1172" s="29" t="str">
        <f t="shared" si="1"/>
        <v>22075</v>
      </c>
      <c r="H1172" s="37" t="s">
        <v>1164</v>
      </c>
      <c r="I1172" s="37" t="s">
        <v>55</v>
      </c>
      <c r="J1172" s="37" t="s">
        <v>1139</v>
      </c>
      <c r="K1172" s="136" t="str">
        <f t="shared" si="19"/>
        <v>Plaquemines, LA</v>
      </c>
      <c r="L1172" s="24"/>
    </row>
    <row r="1173">
      <c r="A1173" s="28">
        <v>1172.0</v>
      </c>
      <c r="B1173" s="29"/>
      <c r="C1173" s="29"/>
      <c r="D1173" s="40">
        <v>1.0</v>
      </c>
      <c r="E1173" s="31">
        <v>22.0</v>
      </c>
      <c r="F1173" s="42">
        <v>77.0</v>
      </c>
      <c r="G1173" s="29" t="str">
        <f t="shared" si="1"/>
        <v>22077</v>
      </c>
      <c r="H1173" s="37" t="s">
        <v>1165</v>
      </c>
      <c r="I1173" s="37" t="s">
        <v>55</v>
      </c>
      <c r="J1173" s="37" t="s">
        <v>1139</v>
      </c>
      <c r="K1173" s="136" t="str">
        <f t="shared" si="19"/>
        <v>Pointe Coupee, LA</v>
      </c>
      <c r="L1173" s="24"/>
    </row>
    <row r="1174">
      <c r="A1174" s="28">
        <v>1173.0</v>
      </c>
      <c r="B1174" s="29"/>
      <c r="C1174" s="29"/>
      <c r="D1174" s="40">
        <v>1.0</v>
      </c>
      <c r="E1174" s="31">
        <v>22.0</v>
      </c>
      <c r="F1174" s="42">
        <v>79.0</v>
      </c>
      <c r="G1174" s="29" t="str">
        <f t="shared" si="1"/>
        <v>22079</v>
      </c>
      <c r="H1174" s="37" t="s">
        <v>1166</v>
      </c>
      <c r="I1174" s="37" t="s">
        <v>55</v>
      </c>
      <c r="J1174" s="37" t="s">
        <v>1139</v>
      </c>
      <c r="K1174" s="37" t="str">
        <f t="shared" si="19"/>
        <v>Rapides, LA</v>
      </c>
      <c r="L1174" s="24"/>
    </row>
    <row r="1175">
      <c r="A1175" s="28">
        <v>1174.0</v>
      </c>
      <c r="B1175" s="29"/>
      <c r="C1175" s="29"/>
      <c r="D1175" s="40">
        <v>1.0</v>
      </c>
      <c r="E1175" s="31">
        <v>22.0</v>
      </c>
      <c r="F1175" s="42">
        <v>81.0</v>
      </c>
      <c r="G1175" s="29" t="str">
        <f t="shared" si="1"/>
        <v>22081</v>
      </c>
      <c r="H1175" s="37" t="s">
        <v>1167</v>
      </c>
      <c r="I1175" s="37" t="s">
        <v>55</v>
      </c>
      <c r="J1175" s="37" t="s">
        <v>1139</v>
      </c>
      <c r="K1175" s="37" t="str">
        <f t="shared" si="19"/>
        <v>Red River, LA</v>
      </c>
      <c r="L1175" s="24"/>
    </row>
    <row r="1176">
      <c r="A1176" s="28">
        <v>1175.0</v>
      </c>
      <c r="B1176" s="29"/>
      <c r="C1176" s="29"/>
      <c r="D1176" s="40">
        <v>1.0</v>
      </c>
      <c r="E1176" s="31">
        <v>22.0</v>
      </c>
      <c r="F1176" s="42">
        <v>83.0</v>
      </c>
      <c r="G1176" s="29" t="str">
        <f t="shared" si="1"/>
        <v>22083</v>
      </c>
      <c r="H1176" s="37" t="s">
        <v>743</v>
      </c>
      <c r="I1176" s="37" t="s">
        <v>55</v>
      </c>
      <c r="J1176" s="37" t="s">
        <v>1139</v>
      </c>
      <c r="K1176" s="37" t="str">
        <f t="shared" si="19"/>
        <v>Richland, LA</v>
      </c>
      <c r="L1176" s="24"/>
    </row>
    <row r="1177">
      <c r="A1177" s="28">
        <v>1176.0</v>
      </c>
      <c r="B1177" s="29"/>
      <c r="C1177" s="29"/>
      <c r="D1177" s="40">
        <v>1.0</v>
      </c>
      <c r="E1177" s="31">
        <v>22.0</v>
      </c>
      <c r="F1177" s="42">
        <v>85.0</v>
      </c>
      <c r="G1177" s="29" t="str">
        <f t="shared" si="1"/>
        <v>22085</v>
      </c>
      <c r="H1177" s="37" t="s">
        <v>1168</v>
      </c>
      <c r="I1177" s="37" t="s">
        <v>55</v>
      </c>
      <c r="J1177" s="37" t="s">
        <v>1139</v>
      </c>
      <c r="K1177" s="37" t="str">
        <f t="shared" si="19"/>
        <v>Sabine, LA</v>
      </c>
      <c r="L1177" s="24"/>
    </row>
    <row r="1178">
      <c r="A1178" s="28">
        <v>1177.0</v>
      </c>
      <c r="B1178" s="29"/>
      <c r="C1178" s="29"/>
      <c r="D1178" s="40">
        <v>1.0</v>
      </c>
      <c r="E1178" s="31">
        <v>22.0</v>
      </c>
      <c r="F1178" s="42">
        <v>87.0</v>
      </c>
      <c r="G1178" s="29" t="str">
        <f t="shared" si="1"/>
        <v>22087</v>
      </c>
      <c r="H1178" s="37" t="s">
        <v>1169</v>
      </c>
      <c r="I1178" s="37" t="s">
        <v>55</v>
      </c>
      <c r="J1178" s="37" t="s">
        <v>1139</v>
      </c>
      <c r="K1178" s="37" t="str">
        <f t="shared" si="19"/>
        <v>St Bernard, LA</v>
      </c>
      <c r="L1178" s="24"/>
    </row>
    <row r="1179">
      <c r="A1179" s="28">
        <v>1178.0</v>
      </c>
      <c r="B1179" s="29"/>
      <c r="C1179" s="29"/>
      <c r="D1179" s="40">
        <v>1.0</v>
      </c>
      <c r="E1179" s="31">
        <v>22.0</v>
      </c>
      <c r="F1179" s="42">
        <v>89.0</v>
      </c>
      <c r="G1179" s="29" t="str">
        <f t="shared" si="1"/>
        <v>22089</v>
      </c>
      <c r="H1179" s="37" t="s">
        <v>1170</v>
      </c>
      <c r="I1179" s="37" t="s">
        <v>55</v>
      </c>
      <c r="J1179" s="37" t="s">
        <v>1139</v>
      </c>
      <c r="K1179" s="37" t="str">
        <f t="shared" si="19"/>
        <v>St Charles, LA</v>
      </c>
      <c r="L1179" s="24"/>
    </row>
    <row r="1180">
      <c r="A1180" s="28">
        <v>1179.0</v>
      </c>
      <c r="B1180" s="29"/>
      <c r="C1180" s="29"/>
      <c r="D1180" s="40">
        <v>1.0</v>
      </c>
      <c r="E1180" s="31">
        <v>22.0</v>
      </c>
      <c r="F1180" s="42">
        <v>91.0</v>
      </c>
      <c r="G1180" s="29" t="str">
        <f t="shared" si="1"/>
        <v>22091</v>
      </c>
      <c r="H1180" s="37" t="s">
        <v>1171</v>
      </c>
      <c r="I1180" s="37" t="s">
        <v>55</v>
      </c>
      <c r="J1180" s="37" t="s">
        <v>1139</v>
      </c>
      <c r="K1180" s="37" t="str">
        <f t="shared" si="19"/>
        <v>St Helena, LA</v>
      </c>
      <c r="L1180" s="24"/>
    </row>
    <row r="1181">
      <c r="A1181" s="28">
        <v>1180.0</v>
      </c>
      <c r="B1181" s="29"/>
      <c r="C1181" s="29"/>
      <c r="D1181" s="40">
        <v>1.0</v>
      </c>
      <c r="E1181" s="31">
        <v>22.0</v>
      </c>
      <c r="F1181" s="42">
        <v>93.0</v>
      </c>
      <c r="G1181" s="29" t="str">
        <f t="shared" si="1"/>
        <v>22093</v>
      </c>
      <c r="H1181" s="37" t="s">
        <v>1172</v>
      </c>
      <c r="I1181" s="37" t="s">
        <v>55</v>
      </c>
      <c r="J1181" s="37" t="s">
        <v>1139</v>
      </c>
      <c r="K1181" s="37" t="str">
        <f t="shared" si="19"/>
        <v>St James, LA</v>
      </c>
      <c r="L1181" s="24"/>
    </row>
    <row r="1182">
      <c r="A1182" s="28">
        <v>1181.0</v>
      </c>
      <c r="B1182" s="29"/>
      <c r="C1182" s="29"/>
      <c r="D1182" s="40">
        <v>1.0</v>
      </c>
      <c r="E1182" s="31">
        <v>22.0</v>
      </c>
      <c r="F1182" s="42">
        <v>95.0</v>
      </c>
      <c r="G1182" s="29" t="str">
        <f t="shared" si="1"/>
        <v>22095</v>
      </c>
      <c r="H1182" s="37" t="s">
        <v>1173</v>
      </c>
      <c r="I1182" s="37" t="s">
        <v>55</v>
      </c>
      <c r="J1182" s="37" t="s">
        <v>1139</v>
      </c>
      <c r="K1182" s="136" t="str">
        <f t="shared" si="19"/>
        <v>St John The Baptist, LA</v>
      </c>
      <c r="L1182" s="24"/>
    </row>
    <row r="1183">
      <c r="A1183" s="28">
        <v>1182.0</v>
      </c>
      <c r="B1183" s="29"/>
      <c r="C1183" s="29"/>
      <c r="D1183" s="40">
        <v>1.0</v>
      </c>
      <c r="E1183" s="31">
        <v>22.0</v>
      </c>
      <c r="F1183" s="42">
        <v>97.0</v>
      </c>
      <c r="G1183" s="29" t="str">
        <f t="shared" si="1"/>
        <v>22097</v>
      </c>
      <c r="H1183" s="37" t="s">
        <v>1174</v>
      </c>
      <c r="I1183" s="37" t="s">
        <v>55</v>
      </c>
      <c r="J1183" s="37" t="s">
        <v>1139</v>
      </c>
      <c r="K1183" s="37" t="str">
        <f t="shared" si="19"/>
        <v>St Landry, LA</v>
      </c>
      <c r="L1183" s="24"/>
    </row>
    <row r="1184">
      <c r="A1184" s="28">
        <v>1183.0</v>
      </c>
      <c r="B1184" s="29"/>
      <c r="C1184" s="29"/>
      <c r="D1184" s="40">
        <v>1.0</v>
      </c>
      <c r="E1184" s="31">
        <v>22.0</v>
      </c>
      <c r="F1184" s="42">
        <v>99.0</v>
      </c>
      <c r="G1184" s="29" t="str">
        <f t="shared" si="1"/>
        <v>22099</v>
      </c>
      <c r="H1184" s="37" t="s">
        <v>1175</v>
      </c>
      <c r="I1184" s="37" t="s">
        <v>55</v>
      </c>
      <c r="J1184" s="37" t="s">
        <v>1139</v>
      </c>
      <c r="K1184" s="37" t="str">
        <f t="shared" si="19"/>
        <v>St Martin, LA</v>
      </c>
      <c r="L1184" s="24"/>
    </row>
    <row r="1185">
      <c r="A1185" s="28">
        <v>1184.0</v>
      </c>
      <c r="B1185" s="29"/>
      <c r="C1185" s="29"/>
      <c r="D1185" s="40">
        <v>1.0</v>
      </c>
      <c r="E1185" s="31">
        <v>22.0</v>
      </c>
      <c r="F1185" s="42">
        <v>101.0</v>
      </c>
      <c r="G1185" s="29" t="str">
        <f t="shared" si="1"/>
        <v>22101</v>
      </c>
      <c r="H1185" s="37" t="s">
        <v>1176</v>
      </c>
      <c r="I1185" s="37" t="s">
        <v>55</v>
      </c>
      <c r="J1185" s="37" t="s">
        <v>1139</v>
      </c>
      <c r="K1185" s="37" t="str">
        <f t="shared" si="19"/>
        <v>St Mary, LA</v>
      </c>
      <c r="L1185" s="24"/>
    </row>
    <row r="1186">
      <c r="A1186" s="28">
        <v>1185.0</v>
      </c>
      <c r="B1186" s="29"/>
      <c r="C1186" s="29"/>
      <c r="D1186" s="40">
        <v>1.0</v>
      </c>
      <c r="E1186" s="31">
        <v>22.0</v>
      </c>
      <c r="F1186" s="42">
        <v>103.0</v>
      </c>
      <c r="G1186" s="29" t="str">
        <f t="shared" si="1"/>
        <v>22103</v>
      </c>
      <c r="H1186" s="37" t="s">
        <v>1177</v>
      </c>
      <c r="I1186" s="37" t="s">
        <v>55</v>
      </c>
      <c r="J1186" s="37" t="s">
        <v>1139</v>
      </c>
      <c r="K1186" s="37" t="str">
        <f t="shared" si="19"/>
        <v>St Tammany, LA</v>
      </c>
      <c r="L1186" s="24"/>
    </row>
    <row r="1187">
      <c r="A1187" s="28">
        <v>1186.0</v>
      </c>
      <c r="B1187" s="29"/>
      <c r="C1187" s="29"/>
      <c r="D1187" s="40">
        <v>1.0</v>
      </c>
      <c r="E1187" s="31">
        <v>22.0</v>
      </c>
      <c r="F1187" s="42">
        <v>105.0</v>
      </c>
      <c r="G1187" s="29" t="str">
        <f t="shared" si="1"/>
        <v>22105</v>
      </c>
      <c r="H1187" s="37" t="s">
        <v>1178</v>
      </c>
      <c r="I1187" s="37" t="s">
        <v>55</v>
      </c>
      <c r="J1187" s="37" t="s">
        <v>1139</v>
      </c>
      <c r="K1187" s="37" t="str">
        <f t="shared" si="19"/>
        <v>Tangipahoa, LA</v>
      </c>
      <c r="L1187" s="24"/>
    </row>
    <row r="1188">
      <c r="A1188" s="28">
        <v>1187.0</v>
      </c>
      <c r="B1188" s="29"/>
      <c r="C1188" s="29"/>
      <c r="D1188" s="40">
        <v>1.0</v>
      </c>
      <c r="E1188" s="31">
        <v>22.0</v>
      </c>
      <c r="F1188" s="42">
        <v>107.0</v>
      </c>
      <c r="G1188" s="29" t="str">
        <f t="shared" si="1"/>
        <v>22107</v>
      </c>
      <c r="H1188" s="37" t="s">
        <v>1179</v>
      </c>
      <c r="I1188" s="37" t="s">
        <v>55</v>
      </c>
      <c r="J1188" s="37" t="s">
        <v>1139</v>
      </c>
      <c r="K1188" s="37" t="str">
        <f t="shared" si="19"/>
        <v>Tensas, LA</v>
      </c>
      <c r="L1188" s="24"/>
    </row>
    <row r="1189">
      <c r="A1189" s="28">
        <v>1188.0</v>
      </c>
      <c r="B1189" s="29"/>
      <c r="C1189" s="29"/>
      <c r="D1189" s="40">
        <v>1.0</v>
      </c>
      <c r="E1189" s="31">
        <v>22.0</v>
      </c>
      <c r="F1189" s="42">
        <v>109.0</v>
      </c>
      <c r="G1189" s="29" t="str">
        <f t="shared" si="1"/>
        <v>22109</v>
      </c>
      <c r="H1189" s="37" t="s">
        <v>1180</v>
      </c>
      <c r="I1189" s="37" t="s">
        <v>55</v>
      </c>
      <c r="J1189" s="37" t="s">
        <v>1139</v>
      </c>
      <c r="K1189" s="37" t="str">
        <f t="shared" si="19"/>
        <v>Terrebonne, LA</v>
      </c>
      <c r="L1189" s="24"/>
    </row>
    <row r="1190">
      <c r="A1190" s="28">
        <v>1189.0</v>
      </c>
      <c r="B1190" s="29"/>
      <c r="C1190" s="29"/>
      <c r="D1190" s="40">
        <v>1.0</v>
      </c>
      <c r="E1190" s="31">
        <v>22.0</v>
      </c>
      <c r="F1190" s="42">
        <v>111.0</v>
      </c>
      <c r="G1190" s="29" t="str">
        <f t="shared" si="1"/>
        <v>22111</v>
      </c>
      <c r="H1190" s="37" t="s">
        <v>316</v>
      </c>
      <c r="I1190" s="37" t="s">
        <v>55</v>
      </c>
      <c r="J1190" s="37" t="s">
        <v>1139</v>
      </c>
      <c r="K1190" s="37" t="str">
        <f t="shared" si="19"/>
        <v>Union, LA</v>
      </c>
      <c r="L1190" s="24"/>
    </row>
    <row r="1191">
      <c r="A1191" s="28">
        <v>1190.0</v>
      </c>
      <c r="B1191" s="29"/>
      <c r="C1191" s="29"/>
      <c r="D1191" s="40">
        <v>1.0</v>
      </c>
      <c r="E1191" s="31">
        <v>22.0</v>
      </c>
      <c r="F1191" s="42">
        <v>113.0</v>
      </c>
      <c r="G1191" s="29" t="str">
        <f t="shared" si="1"/>
        <v>22113</v>
      </c>
      <c r="H1191" s="37" t="s">
        <v>750</v>
      </c>
      <c r="I1191" s="37" t="s">
        <v>55</v>
      </c>
      <c r="J1191" s="37" t="s">
        <v>1139</v>
      </c>
      <c r="K1191" s="37" t="str">
        <f t="shared" si="19"/>
        <v>Vermilion, LA</v>
      </c>
      <c r="L1191" s="24"/>
    </row>
    <row r="1192">
      <c r="A1192" s="28">
        <v>1191.0</v>
      </c>
      <c r="B1192" s="29"/>
      <c r="C1192" s="29"/>
      <c r="D1192" s="40">
        <v>1.0</v>
      </c>
      <c r="E1192" s="31">
        <v>22.0</v>
      </c>
      <c r="F1192" s="42">
        <v>115.0</v>
      </c>
      <c r="G1192" s="29" t="str">
        <f t="shared" si="1"/>
        <v>22115</v>
      </c>
      <c r="H1192" s="37" t="s">
        <v>1181</v>
      </c>
      <c r="I1192" s="37" t="s">
        <v>55</v>
      </c>
      <c r="J1192" s="37" t="s">
        <v>1139</v>
      </c>
      <c r="K1192" s="37" t="str">
        <f t="shared" si="19"/>
        <v>Vernon, LA</v>
      </c>
      <c r="L1192" s="24"/>
    </row>
    <row r="1193">
      <c r="A1193" s="28">
        <v>1192.0</v>
      </c>
      <c r="B1193" s="29"/>
      <c r="C1193" s="29"/>
      <c r="D1193" s="40">
        <v>1.0</v>
      </c>
      <c r="E1193" s="31">
        <v>22.0</v>
      </c>
      <c r="F1193" s="42">
        <v>117.0</v>
      </c>
      <c r="G1193" s="29" t="str">
        <f t="shared" si="1"/>
        <v>22117</v>
      </c>
      <c r="H1193" s="37" t="s">
        <v>119</v>
      </c>
      <c r="I1193" s="37" t="s">
        <v>55</v>
      </c>
      <c r="J1193" s="37" t="s">
        <v>1139</v>
      </c>
      <c r="K1193" s="37" t="str">
        <f t="shared" si="19"/>
        <v>Washington, LA</v>
      </c>
      <c r="L1193" s="24"/>
    </row>
    <row r="1194">
      <c r="A1194" s="28">
        <v>1193.0</v>
      </c>
      <c r="B1194" s="29"/>
      <c r="C1194" s="29"/>
      <c r="D1194" s="40">
        <v>1.0</v>
      </c>
      <c r="E1194" s="31">
        <v>22.0</v>
      </c>
      <c r="F1194" s="42">
        <v>119.0</v>
      </c>
      <c r="G1194" s="29" t="str">
        <f t="shared" si="1"/>
        <v>22119</v>
      </c>
      <c r="H1194" s="37" t="s">
        <v>648</v>
      </c>
      <c r="I1194" s="37" t="s">
        <v>55</v>
      </c>
      <c r="J1194" s="37" t="s">
        <v>1139</v>
      </c>
      <c r="K1194" s="37" t="str">
        <f t="shared" si="19"/>
        <v>Webster, LA</v>
      </c>
      <c r="L1194" s="24"/>
    </row>
    <row r="1195">
      <c r="A1195" s="28">
        <v>1194.0</v>
      </c>
      <c r="B1195" s="29"/>
      <c r="C1195" s="29"/>
      <c r="D1195" s="40">
        <v>1.0</v>
      </c>
      <c r="E1195" s="31">
        <v>22.0</v>
      </c>
      <c r="F1195" s="42">
        <v>121.0</v>
      </c>
      <c r="G1195" s="29" t="str">
        <f t="shared" si="1"/>
        <v>22121</v>
      </c>
      <c r="H1195" s="37" t="s">
        <v>1182</v>
      </c>
      <c r="I1195" s="37" t="s">
        <v>55</v>
      </c>
      <c r="J1195" s="37" t="s">
        <v>1139</v>
      </c>
      <c r="K1195" s="136" t="str">
        <f t="shared" si="19"/>
        <v>West Baton Rouge, LA</v>
      </c>
      <c r="L1195" s="24"/>
    </row>
    <row r="1196">
      <c r="A1196" s="28">
        <v>1195.0</v>
      </c>
      <c r="B1196" s="29"/>
      <c r="C1196" s="29"/>
      <c r="D1196" s="40">
        <v>1.0</v>
      </c>
      <c r="E1196" s="31">
        <v>22.0</v>
      </c>
      <c r="F1196" s="42">
        <v>123.0</v>
      </c>
      <c r="G1196" s="29" t="str">
        <f t="shared" si="1"/>
        <v>22123</v>
      </c>
      <c r="H1196" s="37" t="s">
        <v>1183</v>
      </c>
      <c r="I1196" s="37" t="s">
        <v>55</v>
      </c>
      <c r="J1196" s="37" t="s">
        <v>1139</v>
      </c>
      <c r="K1196" s="37" t="str">
        <f t="shared" si="19"/>
        <v>West Carroll, LA</v>
      </c>
      <c r="L1196" s="24"/>
    </row>
    <row r="1197">
      <c r="A1197" s="28">
        <v>1196.0</v>
      </c>
      <c r="B1197" s="29"/>
      <c r="C1197" s="29"/>
      <c r="D1197" s="40">
        <v>1.0</v>
      </c>
      <c r="E1197" s="31">
        <v>22.0</v>
      </c>
      <c r="F1197" s="42">
        <v>125.0</v>
      </c>
      <c r="G1197" s="29" t="str">
        <f t="shared" si="1"/>
        <v>22125</v>
      </c>
      <c r="H1197" s="37" t="s">
        <v>1184</v>
      </c>
      <c r="I1197" s="37" t="s">
        <v>55</v>
      </c>
      <c r="J1197" s="37" t="s">
        <v>1139</v>
      </c>
      <c r="K1197" s="136" t="str">
        <f t="shared" si="19"/>
        <v>West Feliciana, LA</v>
      </c>
      <c r="L1197" s="24"/>
    </row>
    <row r="1198">
      <c r="A1198" s="28">
        <v>1197.0</v>
      </c>
      <c r="B1198" s="29"/>
      <c r="C1198" s="29"/>
      <c r="D1198" s="40">
        <v>1.0</v>
      </c>
      <c r="E1198" s="31">
        <v>22.0</v>
      </c>
      <c r="F1198" s="42">
        <v>127.0</v>
      </c>
      <c r="G1198" s="29" t="str">
        <f t="shared" si="1"/>
        <v>22127</v>
      </c>
      <c r="H1198" s="37" t="s">
        <v>1185</v>
      </c>
      <c r="I1198" s="37" t="s">
        <v>55</v>
      </c>
      <c r="J1198" s="37" t="s">
        <v>1139</v>
      </c>
      <c r="K1198" s="37" t="str">
        <f t="shared" si="19"/>
        <v>Winn, LA</v>
      </c>
      <c r="L1198" s="24"/>
    </row>
    <row r="1199">
      <c r="A1199" s="99">
        <v>1198.0</v>
      </c>
      <c r="B1199" s="15"/>
      <c r="C1199" s="14" t="s">
        <v>25</v>
      </c>
      <c r="D1199" s="16"/>
      <c r="E1199" s="102">
        <v>23.0</v>
      </c>
      <c r="F1199" s="107">
        <v>0.0</v>
      </c>
      <c r="G1199" s="15" t="str">
        <f t="shared" si="1"/>
        <v>23000</v>
      </c>
      <c r="H1199" s="23"/>
      <c r="I1199" s="23" t="s">
        <v>56</v>
      </c>
      <c r="J1199" s="23" t="s">
        <v>1186</v>
      </c>
      <c r="K1199" s="23"/>
      <c r="L1199" s="24"/>
    </row>
    <row r="1200">
      <c r="A1200" s="99">
        <v>1199.0</v>
      </c>
      <c r="B1200" s="15"/>
      <c r="C1200" s="15"/>
      <c r="D1200" s="105">
        <v>1.0</v>
      </c>
      <c r="E1200" s="102">
        <v>23.0</v>
      </c>
      <c r="F1200" s="107">
        <v>1.0</v>
      </c>
      <c r="G1200" s="15" t="str">
        <f t="shared" si="1"/>
        <v>23001</v>
      </c>
      <c r="H1200" s="23" t="s">
        <v>1187</v>
      </c>
      <c r="I1200" s="23" t="s">
        <v>56</v>
      </c>
      <c r="J1200" s="23" t="s">
        <v>1186</v>
      </c>
      <c r="K1200" s="112" t="str">
        <f t="shared" ref="K1200:K1215" si="20">CONCATENATE(H1200,", ",J1200)</f>
        <v>Androscoggin, ME</v>
      </c>
      <c r="L1200" s="24"/>
    </row>
    <row r="1201">
      <c r="A1201" s="99">
        <v>1200.0</v>
      </c>
      <c r="B1201" s="15"/>
      <c r="C1201" s="15"/>
      <c r="D1201" s="105">
        <v>1.0</v>
      </c>
      <c r="E1201" s="102">
        <v>23.0</v>
      </c>
      <c r="F1201" s="107">
        <v>3.0</v>
      </c>
      <c r="G1201" s="15" t="str">
        <f t="shared" si="1"/>
        <v>23003</v>
      </c>
      <c r="H1201" s="23" t="s">
        <v>1188</v>
      </c>
      <c r="I1201" s="23" t="s">
        <v>56</v>
      </c>
      <c r="J1201" s="23" t="s">
        <v>1186</v>
      </c>
      <c r="K1201" s="23" t="str">
        <f t="shared" si="20"/>
        <v>Aroostook, ME</v>
      </c>
      <c r="L1201" s="24"/>
    </row>
    <row r="1202">
      <c r="A1202" s="99">
        <v>1201.0</v>
      </c>
      <c r="B1202" s="15"/>
      <c r="C1202" s="15"/>
      <c r="D1202" s="105">
        <v>1.0</v>
      </c>
      <c r="E1202" s="102">
        <v>23.0</v>
      </c>
      <c r="F1202" s="107">
        <v>5.0</v>
      </c>
      <c r="G1202" s="15" t="str">
        <f t="shared" si="1"/>
        <v>23005</v>
      </c>
      <c r="H1202" s="23" t="s">
        <v>713</v>
      </c>
      <c r="I1202" s="23" t="s">
        <v>56</v>
      </c>
      <c r="J1202" s="23" t="s">
        <v>1186</v>
      </c>
      <c r="K1202" s="112" t="str">
        <f t="shared" si="20"/>
        <v>Cumberland, ME</v>
      </c>
      <c r="L1202" s="24"/>
    </row>
    <row r="1203">
      <c r="A1203" s="99">
        <v>1202.0</v>
      </c>
      <c r="B1203" s="15"/>
      <c r="C1203" s="15"/>
      <c r="D1203" s="105">
        <v>1.0</v>
      </c>
      <c r="E1203" s="102">
        <v>23.0</v>
      </c>
      <c r="F1203" s="107">
        <v>7.0</v>
      </c>
      <c r="G1203" s="15" t="str">
        <f t="shared" si="1"/>
        <v>23007</v>
      </c>
      <c r="H1203" s="23" t="s">
        <v>136</v>
      </c>
      <c r="I1203" s="23" t="s">
        <v>56</v>
      </c>
      <c r="J1203" s="23" t="s">
        <v>1186</v>
      </c>
      <c r="K1203" s="23" t="str">
        <f t="shared" si="20"/>
        <v>Franklin, ME</v>
      </c>
      <c r="L1203" s="24"/>
    </row>
    <row r="1204">
      <c r="A1204" s="99">
        <v>1203.0</v>
      </c>
      <c r="B1204" s="15"/>
      <c r="C1204" s="15"/>
      <c r="D1204" s="105">
        <v>1.0</v>
      </c>
      <c r="E1204" s="102">
        <v>23.0</v>
      </c>
      <c r="F1204" s="107">
        <v>9.0</v>
      </c>
      <c r="G1204" s="15" t="str">
        <f t="shared" si="1"/>
        <v>23009</v>
      </c>
      <c r="H1204" s="23" t="s">
        <v>587</v>
      </c>
      <c r="I1204" s="23" t="s">
        <v>56</v>
      </c>
      <c r="J1204" s="23" t="s">
        <v>1186</v>
      </c>
      <c r="K1204" s="23" t="str">
        <f t="shared" si="20"/>
        <v>Hancock, ME</v>
      </c>
      <c r="L1204" s="24"/>
    </row>
    <row r="1205">
      <c r="A1205" s="99">
        <v>1204.0</v>
      </c>
      <c r="B1205" s="15"/>
      <c r="C1205" s="15"/>
      <c r="D1205" s="105">
        <v>1.0</v>
      </c>
      <c r="E1205" s="102">
        <v>23.0</v>
      </c>
      <c r="F1205" s="107">
        <v>11.0</v>
      </c>
      <c r="G1205" s="15" t="str">
        <f t="shared" si="1"/>
        <v>23011</v>
      </c>
      <c r="H1205" s="23" t="s">
        <v>1189</v>
      </c>
      <c r="I1205" s="23" t="s">
        <v>56</v>
      </c>
      <c r="J1205" s="23" t="s">
        <v>1186</v>
      </c>
      <c r="K1205" s="23" t="str">
        <f t="shared" si="20"/>
        <v>Kennebec, ME</v>
      </c>
      <c r="L1205" s="24"/>
    </row>
    <row r="1206">
      <c r="A1206" s="99">
        <v>1205.0</v>
      </c>
      <c r="B1206" s="15"/>
      <c r="C1206" s="15"/>
      <c r="D1206" s="105">
        <v>1.0</v>
      </c>
      <c r="E1206" s="102">
        <v>23.0</v>
      </c>
      <c r="F1206" s="107">
        <v>13.0</v>
      </c>
      <c r="G1206" s="15" t="str">
        <f t="shared" si="1"/>
        <v>23013</v>
      </c>
      <c r="H1206" s="23" t="s">
        <v>728</v>
      </c>
      <c r="I1206" s="23" t="s">
        <v>56</v>
      </c>
      <c r="J1206" s="23" t="s">
        <v>1186</v>
      </c>
      <c r="K1206" s="23" t="str">
        <f t="shared" si="20"/>
        <v>Knox, ME</v>
      </c>
      <c r="L1206" s="24"/>
    </row>
    <row r="1207">
      <c r="A1207" s="99">
        <v>1206.0</v>
      </c>
      <c r="B1207" s="15"/>
      <c r="C1207" s="15"/>
      <c r="D1207" s="105">
        <v>1.0</v>
      </c>
      <c r="E1207" s="102">
        <v>23.0</v>
      </c>
      <c r="F1207" s="107">
        <v>15.0</v>
      </c>
      <c r="G1207" s="15" t="str">
        <f t="shared" si="1"/>
        <v>23015</v>
      </c>
      <c r="H1207" s="23" t="s">
        <v>290</v>
      </c>
      <c r="I1207" s="23" t="s">
        <v>56</v>
      </c>
      <c r="J1207" s="23" t="s">
        <v>1186</v>
      </c>
      <c r="K1207" s="23" t="str">
        <f t="shared" si="20"/>
        <v>Lincoln, ME</v>
      </c>
      <c r="L1207" s="24"/>
    </row>
    <row r="1208">
      <c r="A1208" s="99">
        <v>1207.0</v>
      </c>
      <c r="B1208" s="15"/>
      <c r="C1208" s="15"/>
      <c r="D1208" s="105">
        <v>1.0</v>
      </c>
      <c r="E1208" s="102">
        <v>23.0</v>
      </c>
      <c r="F1208" s="107">
        <v>17.0</v>
      </c>
      <c r="G1208" s="15" t="str">
        <f t="shared" si="1"/>
        <v>23017</v>
      </c>
      <c r="H1208" s="23" t="s">
        <v>1190</v>
      </c>
      <c r="I1208" s="23" t="s">
        <v>56</v>
      </c>
      <c r="J1208" s="23" t="s">
        <v>1186</v>
      </c>
      <c r="K1208" s="23" t="str">
        <f t="shared" si="20"/>
        <v>Oxford, ME</v>
      </c>
      <c r="L1208" s="24"/>
    </row>
    <row r="1209">
      <c r="A1209" s="99">
        <v>1208.0</v>
      </c>
      <c r="B1209" s="15"/>
      <c r="C1209" s="15"/>
      <c r="D1209" s="105">
        <v>1.0</v>
      </c>
      <c r="E1209" s="102">
        <v>23.0</v>
      </c>
      <c r="F1209" s="107">
        <v>19.0</v>
      </c>
      <c r="G1209" s="15" t="str">
        <f t="shared" si="1"/>
        <v>23019</v>
      </c>
      <c r="H1209" s="23" t="s">
        <v>1191</v>
      </c>
      <c r="I1209" s="23" t="s">
        <v>56</v>
      </c>
      <c r="J1209" s="23" t="s">
        <v>1186</v>
      </c>
      <c r="K1209" s="23" t="str">
        <f t="shared" si="20"/>
        <v>Penobscot, ME</v>
      </c>
      <c r="L1209" s="24"/>
    </row>
    <row r="1210">
      <c r="A1210" s="99">
        <v>1209.0</v>
      </c>
      <c r="B1210" s="15"/>
      <c r="C1210" s="15"/>
      <c r="D1210" s="105">
        <v>1.0</v>
      </c>
      <c r="E1210" s="102">
        <v>23.0</v>
      </c>
      <c r="F1210" s="107">
        <v>21.0</v>
      </c>
      <c r="G1210" s="15" t="str">
        <f t="shared" si="1"/>
        <v>23021</v>
      </c>
      <c r="H1210" s="23" t="s">
        <v>1192</v>
      </c>
      <c r="I1210" s="23" t="s">
        <v>56</v>
      </c>
      <c r="J1210" s="23" t="s">
        <v>1186</v>
      </c>
      <c r="K1210" s="23" t="str">
        <f t="shared" si="20"/>
        <v>Piscataquis, ME</v>
      </c>
      <c r="L1210" s="24"/>
    </row>
    <row r="1211">
      <c r="A1211" s="99">
        <v>1210.0</v>
      </c>
      <c r="B1211" s="15"/>
      <c r="C1211" s="15"/>
      <c r="D1211" s="105">
        <v>1.0</v>
      </c>
      <c r="E1211" s="102">
        <v>23.0</v>
      </c>
      <c r="F1211" s="107">
        <v>23.0</v>
      </c>
      <c r="G1211" s="15" t="str">
        <f t="shared" si="1"/>
        <v>23023</v>
      </c>
      <c r="H1211" s="23" t="s">
        <v>1193</v>
      </c>
      <c r="I1211" s="23" t="s">
        <v>56</v>
      </c>
      <c r="J1211" s="23" t="s">
        <v>1186</v>
      </c>
      <c r="K1211" s="23" t="str">
        <f t="shared" si="20"/>
        <v>Sagadahoc, ME</v>
      </c>
      <c r="L1211" s="24"/>
    </row>
    <row r="1212">
      <c r="A1212" s="99">
        <v>1211.0</v>
      </c>
      <c r="B1212" s="15"/>
      <c r="C1212" s="15"/>
      <c r="D1212" s="105">
        <v>1.0</v>
      </c>
      <c r="E1212" s="102">
        <v>23.0</v>
      </c>
      <c r="F1212" s="107">
        <v>25.0</v>
      </c>
      <c r="G1212" s="15" t="str">
        <f t="shared" si="1"/>
        <v>23025</v>
      </c>
      <c r="H1212" s="23" t="s">
        <v>1194</v>
      </c>
      <c r="I1212" s="23" t="s">
        <v>56</v>
      </c>
      <c r="J1212" s="23" t="s">
        <v>1186</v>
      </c>
      <c r="K1212" s="23" t="str">
        <f t="shared" si="20"/>
        <v>Somerset, ME</v>
      </c>
      <c r="L1212" s="24"/>
    </row>
    <row r="1213">
      <c r="A1213" s="99">
        <v>1212.0</v>
      </c>
      <c r="B1213" s="15"/>
      <c r="C1213" s="15"/>
      <c r="D1213" s="105">
        <v>1.0</v>
      </c>
      <c r="E1213" s="102">
        <v>23.0</v>
      </c>
      <c r="F1213" s="107">
        <v>27.0</v>
      </c>
      <c r="G1213" s="15" t="str">
        <f t="shared" si="1"/>
        <v>23027</v>
      </c>
      <c r="H1213" s="23" t="s">
        <v>1195</v>
      </c>
      <c r="I1213" s="23" t="s">
        <v>56</v>
      </c>
      <c r="J1213" s="23" t="s">
        <v>1186</v>
      </c>
      <c r="K1213" s="23" t="str">
        <f t="shared" si="20"/>
        <v>Waldo, ME</v>
      </c>
      <c r="L1213" s="24"/>
    </row>
    <row r="1214">
      <c r="A1214" s="99">
        <v>1213.0</v>
      </c>
      <c r="B1214" s="15"/>
      <c r="C1214" s="15"/>
      <c r="D1214" s="105">
        <v>1.0</v>
      </c>
      <c r="E1214" s="102">
        <v>23.0</v>
      </c>
      <c r="F1214" s="107">
        <v>29.0</v>
      </c>
      <c r="G1214" s="15" t="str">
        <f t="shared" si="1"/>
        <v>23029</v>
      </c>
      <c r="H1214" s="23" t="s">
        <v>119</v>
      </c>
      <c r="I1214" s="23" t="s">
        <v>56</v>
      </c>
      <c r="J1214" s="23" t="s">
        <v>1186</v>
      </c>
      <c r="K1214" s="23" t="str">
        <f t="shared" si="20"/>
        <v>Washington, ME</v>
      </c>
      <c r="L1214" s="24"/>
    </row>
    <row r="1215">
      <c r="A1215" s="99">
        <v>1214.0</v>
      </c>
      <c r="B1215" s="15"/>
      <c r="C1215" s="15"/>
      <c r="D1215" s="105">
        <v>1.0</v>
      </c>
      <c r="E1215" s="102">
        <v>23.0</v>
      </c>
      <c r="F1215" s="107">
        <v>31.0</v>
      </c>
      <c r="G1215" s="15" t="str">
        <f t="shared" si="1"/>
        <v>23031</v>
      </c>
      <c r="H1215" s="23" t="s">
        <v>1196</v>
      </c>
      <c r="I1215" s="23" t="s">
        <v>56</v>
      </c>
      <c r="J1215" s="23" t="s">
        <v>1186</v>
      </c>
      <c r="K1215" s="23" t="str">
        <f t="shared" si="20"/>
        <v>York, ME</v>
      </c>
      <c r="L1215" s="24"/>
    </row>
    <row r="1216">
      <c r="A1216" s="28">
        <v>1215.0</v>
      </c>
      <c r="B1216" s="29"/>
      <c r="C1216" s="29" t="s">
        <v>25</v>
      </c>
      <c r="D1216" s="30"/>
      <c r="E1216" s="31">
        <v>24.0</v>
      </c>
      <c r="F1216" s="42">
        <v>0.0</v>
      </c>
      <c r="G1216" s="29" t="str">
        <f t="shared" si="1"/>
        <v>24000</v>
      </c>
      <c r="H1216" s="37"/>
      <c r="I1216" s="37" t="s">
        <v>57</v>
      </c>
      <c r="J1216" s="37" t="s">
        <v>387</v>
      </c>
      <c r="K1216" s="37"/>
      <c r="L1216" s="24"/>
    </row>
    <row r="1217">
      <c r="A1217" s="28">
        <v>1216.0</v>
      </c>
      <c r="B1217" s="29"/>
      <c r="C1217" s="29"/>
      <c r="D1217" s="40">
        <v>1.0</v>
      </c>
      <c r="E1217" s="31">
        <v>24.0</v>
      </c>
      <c r="F1217" s="42">
        <v>1.0</v>
      </c>
      <c r="G1217" s="29" t="str">
        <f t="shared" si="1"/>
        <v>24001</v>
      </c>
      <c r="H1217" s="37" t="s">
        <v>1197</v>
      </c>
      <c r="I1217" s="37" t="s">
        <v>57</v>
      </c>
      <c r="J1217" s="37" t="s">
        <v>387</v>
      </c>
      <c r="K1217" s="37" t="str">
        <f t="shared" ref="K1217:K1240" si="21">CONCATENATE(H1217,", ",J1217)</f>
        <v>Allegany, MD</v>
      </c>
      <c r="L1217" s="24"/>
    </row>
    <row r="1218">
      <c r="A1218" s="28">
        <v>1217.0</v>
      </c>
      <c r="B1218" s="29"/>
      <c r="C1218" s="29"/>
      <c r="D1218" s="40">
        <v>1.0</v>
      </c>
      <c r="E1218" s="31">
        <v>24.0</v>
      </c>
      <c r="F1218" s="42">
        <v>3.0</v>
      </c>
      <c r="G1218" s="29" t="str">
        <f t="shared" si="1"/>
        <v>24003</v>
      </c>
      <c r="H1218" s="37" t="s">
        <v>620</v>
      </c>
      <c r="I1218" s="37" t="s">
        <v>57</v>
      </c>
      <c r="J1218" s="37" t="s">
        <v>387</v>
      </c>
      <c r="K1218" s="136" t="str">
        <f t="shared" si="21"/>
        <v>Anne Arundel, MD</v>
      </c>
      <c r="L1218" s="24"/>
    </row>
    <row r="1219">
      <c r="A1219" s="28">
        <v>1218.0</v>
      </c>
      <c r="B1219" s="29"/>
      <c r="C1219" s="29"/>
      <c r="D1219" s="40">
        <v>1.0</v>
      </c>
      <c r="E1219" s="31">
        <v>24.0</v>
      </c>
      <c r="F1219" s="42">
        <v>5.0</v>
      </c>
      <c r="G1219" s="29" t="str">
        <f t="shared" si="1"/>
        <v>24005</v>
      </c>
      <c r="H1219" s="37" t="s">
        <v>1198</v>
      </c>
      <c r="I1219" s="37" t="s">
        <v>57</v>
      </c>
      <c r="J1219" s="37" t="s">
        <v>387</v>
      </c>
      <c r="K1219" s="37" t="str">
        <f t="shared" si="21"/>
        <v>Baltimore, MD</v>
      </c>
      <c r="L1219" s="24"/>
    </row>
    <row r="1220">
      <c r="A1220" s="28">
        <v>1219.0</v>
      </c>
      <c r="B1220" s="29"/>
      <c r="C1220" s="29"/>
      <c r="D1220" s="40">
        <v>1.0</v>
      </c>
      <c r="E1220" s="31">
        <v>24.0</v>
      </c>
      <c r="F1220" s="42">
        <v>9.0</v>
      </c>
      <c r="G1220" s="29" t="str">
        <f t="shared" si="1"/>
        <v>24009</v>
      </c>
      <c r="H1220" s="37" t="s">
        <v>1199</v>
      </c>
      <c r="I1220" s="37" t="s">
        <v>57</v>
      </c>
      <c r="J1220" s="37" t="s">
        <v>387</v>
      </c>
      <c r="K1220" s="37" t="str">
        <f t="shared" si="21"/>
        <v>Calvert, MD</v>
      </c>
      <c r="L1220" s="24"/>
    </row>
    <row r="1221">
      <c r="A1221" s="28">
        <v>1220.0</v>
      </c>
      <c r="B1221" s="29"/>
      <c r="C1221" s="29"/>
      <c r="D1221" s="40">
        <v>1.0</v>
      </c>
      <c r="E1221" s="31">
        <v>24.0</v>
      </c>
      <c r="F1221" s="42">
        <v>11.0</v>
      </c>
      <c r="G1221" s="29" t="str">
        <f t="shared" si="1"/>
        <v>24011</v>
      </c>
      <c r="H1221" s="37" t="s">
        <v>1200</v>
      </c>
      <c r="I1221" s="37" t="s">
        <v>57</v>
      </c>
      <c r="J1221" s="37" t="s">
        <v>387</v>
      </c>
      <c r="K1221" s="37" t="str">
        <f t="shared" si="21"/>
        <v>Caroline, MD</v>
      </c>
      <c r="L1221" s="24"/>
    </row>
    <row r="1222">
      <c r="A1222" s="28">
        <v>1221.0</v>
      </c>
      <c r="B1222" s="29"/>
      <c r="C1222" s="29"/>
      <c r="D1222" s="40">
        <v>1.0</v>
      </c>
      <c r="E1222" s="31">
        <v>24.0</v>
      </c>
      <c r="F1222" s="42">
        <v>13.0</v>
      </c>
      <c r="G1222" s="29" t="str">
        <f t="shared" si="1"/>
        <v>24013</v>
      </c>
      <c r="H1222" s="37" t="s">
        <v>248</v>
      </c>
      <c r="I1222" s="37" t="s">
        <v>57</v>
      </c>
      <c r="J1222" s="37" t="s">
        <v>387</v>
      </c>
      <c r="K1222" s="37" t="str">
        <f t="shared" si="21"/>
        <v>Carroll, MD</v>
      </c>
      <c r="L1222" s="24"/>
    </row>
    <row r="1223">
      <c r="A1223" s="28">
        <v>1222.0</v>
      </c>
      <c r="B1223" s="29"/>
      <c r="C1223" s="29"/>
      <c r="D1223" s="40">
        <v>1.0</v>
      </c>
      <c r="E1223" s="31">
        <v>24.0</v>
      </c>
      <c r="F1223" s="42">
        <v>15.0</v>
      </c>
      <c r="G1223" s="29" t="str">
        <f t="shared" si="1"/>
        <v>24015</v>
      </c>
      <c r="H1223" s="37" t="s">
        <v>1201</v>
      </c>
      <c r="I1223" s="37" t="s">
        <v>57</v>
      </c>
      <c r="J1223" s="37" t="s">
        <v>387</v>
      </c>
      <c r="K1223" s="37" t="str">
        <f t="shared" si="21"/>
        <v>Cecil, MD</v>
      </c>
      <c r="L1223" s="24"/>
    </row>
    <row r="1224">
      <c r="A1224" s="28">
        <v>1223.0</v>
      </c>
      <c r="B1224" s="29"/>
      <c r="C1224" s="29"/>
      <c r="D1224" s="40">
        <v>1.0</v>
      </c>
      <c r="E1224" s="31">
        <v>24.0</v>
      </c>
      <c r="F1224" s="42">
        <v>17.0</v>
      </c>
      <c r="G1224" s="29" t="str">
        <f t="shared" si="1"/>
        <v>24017</v>
      </c>
      <c r="H1224" s="37" t="s">
        <v>1203</v>
      </c>
      <c r="I1224" s="37" t="s">
        <v>57</v>
      </c>
      <c r="J1224" s="37" t="s">
        <v>387</v>
      </c>
      <c r="K1224" s="37" t="str">
        <f t="shared" si="21"/>
        <v>Charles, MD</v>
      </c>
      <c r="L1224" s="24"/>
    </row>
    <row r="1225">
      <c r="A1225" s="28">
        <v>1224.0</v>
      </c>
      <c r="B1225" s="29"/>
      <c r="C1225" s="29"/>
      <c r="D1225" s="40">
        <v>1.0</v>
      </c>
      <c r="E1225" s="31">
        <v>24.0</v>
      </c>
      <c r="F1225" s="42">
        <v>19.0</v>
      </c>
      <c r="G1225" s="29" t="str">
        <f t="shared" si="1"/>
        <v>24019</v>
      </c>
      <c r="H1225" s="37" t="s">
        <v>1204</v>
      </c>
      <c r="I1225" s="37" t="s">
        <v>57</v>
      </c>
      <c r="J1225" s="37" t="s">
        <v>387</v>
      </c>
      <c r="K1225" s="37" t="str">
        <f t="shared" si="21"/>
        <v>Dorchester, MD</v>
      </c>
      <c r="L1225" s="24"/>
    </row>
    <row r="1226">
      <c r="A1226" s="28">
        <v>1225.0</v>
      </c>
      <c r="B1226" s="29"/>
      <c r="C1226" s="29"/>
      <c r="D1226" s="40">
        <v>1.0</v>
      </c>
      <c r="E1226" s="31">
        <v>24.0</v>
      </c>
      <c r="F1226" s="42">
        <v>21.0</v>
      </c>
      <c r="G1226" s="29" t="str">
        <f t="shared" si="1"/>
        <v>24021</v>
      </c>
      <c r="H1226" s="37" t="s">
        <v>1206</v>
      </c>
      <c r="I1226" s="37" t="s">
        <v>57</v>
      </c>
      <c r="J1226" s="37" t="s">
        <v>387</v>
      </c>
      <c r="K1226" s="37" t="str">
        <f t="shared" si="21"/>
        <v>Frederick, MD</v>
      </c>
      <c r="L1226" s="24"/>
    </row>
    <row r="1227">
      <c r="A1227" s="28">
        <v>1226.0</v>
      </c>
      <c r="B1227" s="29"/>
      <c r="C1227" s="29"/>
      <c r="D1227" s="40">
        <v>1.0</v>
      </c>
      <c r="E1227" s="31">
        <v>24.0</v>
      </c>
      <c r="F1227" s="42">
        <v>23.0</v>
      </c>
      <c r="G1227" s="29" t="str">
        <f t="shared" si="1"/>
        <v>24023</v>
      </c>
      <c r="H1227" s="37" t="s">
        <v>1207</v>
      </c>
      <c r="I1227" s="37" t="s">
        <v>57</v>
      </c>
      <c r="J1227" s="37" t="s">
        <v>387</v>
      </c>
      <c r="K1227" s="37" t="str">
        <f t="shared" si="21"/>
        <v>Garrett, MD</v>
      </c>
      <c r="L1227" s="24"/>
    </row>
    <row r="1228">
      <c r="A1228" s="28">
        <v>1227.0</v>
      </c>
      <c r="B1228" s="29"/>
      <c r="C1228" s="29"/>
      <c r="D1228" s="40">
        <v>1.0</v>
      </c>
      <c r="E1228" s="31">
        <v>24.0</v>
      </c>
      <c r="F1228" s="42">
        <v>25.0</v>
      </c>
      <c r="G1228" s="29" t="str">
        <f t="shared" si="1"/>
        <v>24025</v>
      </c>
      <c r="H1228" s="37" t="s">
        <v>1208</v>
      </c>
      <c r="I1228" s="37" t="s">
        <v>57</v>
      </c>
      <c r="J1228" s="37" t="s">
        <v>387</v>
      </c>
      <c r="K1228" s="37" t="str">
        <f t="shared" si="21"/>
        <v>Harford, MD</v>
      </c>
      <c r="L1228" s="24"/>
    </row>
    <row r="1229">
      <c r="A1229" s="28">
        <v>1228.0</v>
      </c>
      <c r="B1229" s="29"/>
      <c r="C1229" s="29"/>
      <c r="D1229" s="40">
        <v>1.0</v>
      </c>
      <c r="E1229" s="31">
        <v>24.0</v>
      </c>
      <c r="F1229" s="42">
        <v>27.0</v>
      </c>
      <c r="G1229" s="29" t="str">
        <f t="shared" si="1"/>
        <v>24027</v>
      </c>
      <c r="H1229" s="37" t="s">
        <v>283</v>
      </c>
      <c r="I1229" s="37" t="s">
        <v>57</v>
      </c>
      <c r="J1229" s="37" t="s">
        <v>387</v>
      </c>
      <c r="K1229" s="37" t="str">
        <f t="shared" si="21"/>
        <v>Howard, MD</v>
      </c>
      <c r="L1229" s="24"/>
    </row>
    <row r="1230">
      <c r="A1230" s="28">
        <v>1229.0</v>
      </c>
      <c r="B1230" s="29"/>
      <c r="C1230" s="29"/>
      <c r="D1230" s="40">
        <v>1.0</v>
      </c>
      <c r="E1230" s="31">
        <v>24.0</v>
      </c>
      <c r="F1230" s="42">
        <v>29.0</v>
      </c>
      <c r="G1230" s="29" t="str">
        <f t="shared" si="1"/>
        <v>24029</v>
      </c>
      <c r="H1230" s="37" t="s">
        <v>474</v>
      </c>
      <c r="I1230" s="37" t="s">
        <v>57</v>
      </c>
      <c r="J1230" s="37" t="s">
        <v>387</v>
      </c>
      <c r="K1230" s="37" t="str">
        <f t="shared" si="21"/>
        <v>Kent, MD</v>
      </c>
      <c r="L1230" s="24"/>
    </row>
    <row r="1231">
      <c r="A1231" s="28">
        <v>1230.0</v>
      </c>
      <c r="B1231" s="29"/>
      <c r="C1231" s="29"/>
      <c r="D1231" s="40">
        <v>1.0</v>
      </c>
      <c r="E1231" s="31">
        <v>24.0</v>
      </c>
      <c r="F1231" s="42">
        <v>31.0</v>
      </c>
      <c r="G1231" s="29" t="str">
        <f t="shared" si="1"/>
        <v>24031</v>
      </c>
      <c r="H1231" s="37" t="s">
        <v>157</v>
      </c>
      <c r="I1231" s="37" t="s">
        <v>57</v>
      </c>
      <c r="J1231" s="37" t="s">
        <v>387</v>
      </c>
      <c r="K1231" s="136" t="str">
        <f t="shared" si="21"/>
        <v>Montgomery, MD</v>
      </c>
      <c r="L1231" s="24"/>
    </row>
    <row r="1232">
      <c r="A1232" s="28">
        <v>1231.0</v>
      </c>
      <c r="B1232" s="29"/>
      <c r="C1232" s="29"/>
      <c r="D1232" s="40">
        <v>1.0</v>
      </c>
      <c r="E1232" s="31">
        <v>24.0</v>
      </c>
      <c r="F1232" s="42">
        <v>33.0</v>
      </c>
      <c r="G1232" s="29" t="str">
        <f t="shared" si="1"/>
        <v>24033</v>
      </c>
      <c r="H1232" s="37" t="s">
        <v>1222</v>
      </c>
      <c r="I1232" s="37" t="s">
        <v>57</v>
      </c>
      <c r="J1232" s="37" t="s">
        <v>387</v>
      </c>
      <c r="K1232" s="136" t="str">
        <f t="shared" si="21"/>
        <v>Prince Georges, MD</v>
      </c>
      <c r="L1232" s="24"/>
    </row>
    <row r="1233">
      <c r="A1233" s="28">
        <v>1232.0</v>
      </c>
      <c r="B1233" s="29"/>
      <c r="C1233" s="29"/>
      <c r="D1233" s="40">
        <v>1.0</v>
      </c>
      <c r="E1233" s="31">
        <v>24.0</v>
      </c>
      <c r="F1233" s="42">
        <v>35.0</v>
      </c>
      <c r="G1233" s="29" t="str">
        <f t="shared" si="1"/>
        <v>24035</v>
      </c>
      <c r="H1233" s="37" t="s">
        <v>1224</v>
      </c>
      <c r="I1233" s="37" t="s">
        <v>57</v>
      </c>
      <c r="J1233" s="37" t="s">
        <v>387</v>
      </c>
      <c r="K1233" s="136" t="str">
        <f t="shared" si="21"/>
        <v>Queen Annes, MD</v>
      </c>
      <c r="L1233" s="24"/>
    </row>
    <row r="1234">
      <c r="A1234" s="28">
        <v>1233.0</v>
      </c>
      <c r="B1234" s="29"/>
      <c r="C1234" s="29"/>
      <c r="D1234" s="40">
        <v>1.0</v>
      </c>
      <c r="E1234" s="31">
        <v>24.0</v>
      </c>
      <c r="F1234" s="42">
        <v>37.0</v>
      </c>
      <c r="G1234" s="29" t="str">
        <f t="shared" si="1"/>
        <v>24037</v>
      </c>
      <c r="H1234" s="37" t="s">
        <v>1225</v>
      </c>
      <c r="I1234" s="37" t="s">
        <v>57</v>
      </c>
      <c r="J1234" s="37" t="s">
        <v>387</v>
      </c>
      <c r="K1234" s="37" t="str">
        <f t="shared" si="21"/>
        <v>St Marys, MD</v>
      </c>
      <c r="L1234" s="24"/>
    </row>
    <row r="1235">
      <c r="A1235" s="28">
        <v>1234.0</v>
      </c>
      <c r="B1235" s="29"/>
      <c r="C1235" s="29"/>
      <c r="D1235" s="40">
        <v>1.0</v>
      </c>
      <c r="E1235" s="31">
        <v>24.0</v>
      </c>
      <c r="F1235" s="42">
        <v>39.0</v>
      </c>
      <c r="G1235" s="29" t="str">
        <f t="shared" si="1"/>
        <v>24039</v>
      </c>
      <c r="H1235" s="37" t="s">
        <v>1194</v>
      </c>
      <c r="I1235" s="37" t="s">
        <v>57</v>
      </c>
      <c r="J1235" s="37" t="s">
        <v>387</v>
      </c>
      <c r="K1235" s="37" t="str">
        <f t="shared" si="21"/>
        <v>Somerset, MD</v>
      </c>
      <c r="L1235" s="24"/>
    </row>
    <row r="1236">
      <c r="A1236" s="28">
        <v>1235.0</v>
      </c>
      <c r="B1236" s="29"/>
      <c r="C1236" s="29"/>
      <c r="D1236" s="40">
        <v>1.0</v>
      </c>
      <c r="E1236" s="31">
        <v>24.0</v>
      </c>
      <c r="F1236" s="42">
        <v>41.0</v>
      </c>
      <c r="G1236" s="29" t="str">
        <f t="shared" si="1"/>
        <v>24041</v>
      </c>
      <c r="H1236" s="37" t="s">
        <v>630</v>
      </c>
      <c r="I1236" s="37" t="s">
        <v>57</v>
      </c>
      <c r="J1236" s="37" t="s">
        <v>387</v>
      </c>
      <c r="K1236" s="37" t="str">
        <f t="shared" si="21"/>
        <v>Talbot, MD</v>
      </c>
      <c r="L1236" s="24"/>
    </row>
    <row r="1237">
      <c r="A1237" s="28">
        <v>1236.0</v>
      </c>
      <c r="B1237" s="29"/>
      <c r="C1237" s="29"/>
      <c r="D1237" s="40">
        <v>1.0</v>
      </c>
      <c r="E1237" s="31">
        <v>24.0</v>
      </c>
      <c r="F1237" s="42">
        <v>43.0</v>
      </c>
      <c r="G1237" s="29" t="str">
        <f t="shared" si="1"/>
        <v>24043</v>
      </c>
      <c r="H1237" s="37" t="s">
        <v>119</v>
      </c>
      <c r="I1237" s="37" t="s">
        <v>57</v>
      </c>
      <c r="J1237" s="37" t="s">
        <v>387</v>
      </c>
      <c r="K1237" s="37" t="str">
        <f t="shared" si="21"/>
        <v>Washington, MD</v>
      </c>
      <c r="L1237" s="24"/>
    </row>
    <row r="1238">
      <c r="A1238" s="28">
        <v>1237.0</v>
      </c>
      <c r="B1238" s="29"/>
      <c r="C1238" s="29"/>
      <c r="D1238" s="40">
        <v>1.0</v>
      </c>
      <c r="E1238" s="31">
        <v>24.0</v>
      </c>
      <c r="F1238" s="42">
        <v>45.0</v>
      </c>
      <c r="G1238" s="29" t="str">
        <f t="shared" si="1"/>
        <v>24045</v>
      </c>
      <c r="H1238" s="37" t="s">
        <v>1226</v>
      </c>
      <c r="I1238" s="37" t="s">
        <v>57</v>
      </c>
      <c r="J1238" s="37" t="s">
        <v>387</v>
      </c>
      <c r="K1238" s="37" t="str">
        <f t="shared" si="21"/>
        <v>Wicomico, MD</v>
      </c>
      <c r="L1238" s="24"/>
    </row>
    <row r="1239">
      <c r="A1239" s="28">
        <v>1238.0</v>
      </c>
      <c r="B1239" s="29"/>
      <c r="C1239" s="29"/>
      <c r="D1239" s="40">
        <v>1.0</v>
      </c>
      <c r="E1239" s="31">
        <v>24.0</v>
      </c>
      <c r="F1239" s="42">
        <v>47.0</v>
      </c>
      <c r="G1239" s="29" t="str">
        <f t="shared" si="1"/>
        <v>24047</v>
      </c>
      <c r="H1239" s="37" t="s">
        <v>492</v>
      </c>
      <c r="I1239" s="37" t="s">
        <v>57</v>
      </c>
      <c r="J1239" s="37" t="s">
        <v>387</v>
      </c>
      <c r="K1239" s="37" t="str">
        <f t="shared" si="21"/>
        <v>Worcester, MD</v>
      </c>
      <c r="L1239" s="24"/>
    </row>
    <row r="1240">
      <c r="A1240" s="28">
        <v>1239.0</v>
      </c>
      <c r="B1240" s="29"/>
      <c r="C1240" s="29"/>
      <c r="D1240" s="40">
        <v>1.0</v>
      </c>
      <c r="E1240" s="31">
        <v>24.0</v>
      </c>
      <c r="F1240" s="42">
        <v>510.0</v>
      </c>
      <c r="G1240" s="29" t="str">
        <f t="shared" si="1"/>
        <v>24510</v>
      </c>
      <c r="H1240" s="37" t="s">
        <v>607</v>
      </c>
      <c r="I1240" s="37" t="s">
        <v>57</v>
      </c>
      <c r="J1240" s="37" t="s">
        <v>387</v>
      </c>
      <c r="K1240" s="136" t="str">
        <f t="shared" si="21"/>
        <v>Baltimore City, MD</v>
      </c>
      <c r="L1240" s="24"/>
    </row>
    <row r="1241">
      <c r="A1241" s="99">
        <v>1240.0</v>
      </c>
      <c r="B1241" s="15"/>
      <c r="C1241" s="14" t="s">
        <v>25</v>
      </c>
      <c r="D1241" s="16"/>
      <c r="E1241" s="102">
        <v>25.0</v>
      </c>
      <c r="F1241" s="107">
        <v>0.0</v>
      </c>
      <c r="G1241" s="15" t="str">
        <f t="shared" si="1"/>
        <v>25000</v>
      </c>
      <c r="H1241" s="23"/>
      <c r="I1241" s="23" t="s">
        <v>59</v>
      </c>
      <c r="J1241" s="23" t="s">
        <v>282</v>
      </c>
      <c r="K1241" s="23"/>
      <c r="L1241" s="24"/>
    </row>
    <row r="1242">
      <c r="A1242" s="99">
        <v>1241.0</v>
      </c>
      <c r="B1242" s="15"/>
      <c r="C1242" s="15"/>
      <c r="D1242" s="105">
        <v>1.0</v>
      </c>
      <c r="E1242" s="102">
        <v>25.0</v>
      </c>
      <c r="F1242" s="107">
        <v>1.0</v>
      </c>
      <c r="G1242" s="15" t="str">
        <f t="shared" si="1"/>
        <v>25001</v>
      </c>
      <c r="H1242" s="23" t="s">
        <v>1227</v>
      </c>
      <c r="I1242" s="23" t="s">
        <v>59</v>
      </c>
      <c r="J1242" s="23" t="s">
        <v>282</v>
      </c>
      <c r="K1242" s="23" t="str">
        <f t="shared" ref="K1242:K1255" si="22">CONCATENATE(H1242,", ",J1242)</f>
        <v>Barnstable, MA</v>
      </c>
      <c r="L1242" s="24"/>
    </row>
    <row r="1243">
      <c r="A1243" s="99">
        <v>1242.0</v>
      </c>
      <c r="B1243" s="15"/>
      <c r="C1243" s="15"/>
      <c r="D1243" s="105">
        <v>1.0</v>
      </c>
      <c r="E1243" s="102">
        <v>25.0</v>
      </c>
      <c r="F1243" s="107">
        <v>3.0</v>
      </c>
      <c r="G1243" s="15" t="str">
        <f t="shared" si="1"/>
        <v>25003</v>
      </c>
      <c r="H1243" s="23" t="s">
        <v>1228</v>
      </c>
      <c r="I1243" s="23" t="s">
        <v>59</v>
      </c>
      <c r="J1243" s="23" t="s">
        <v>282</v>
      </c>
      <c r="K1243" s="23" t="str">
        <f t="shared" si="22"/>
        <v>Berkshire, MA</v>
      </c>
      <c r="L1243" s="24"/>
    </row>
    <row r="1244">
      <c r="A1244" s="99">
        <v>1243.0</v>
      </c>
      <c r="B1244" s="15"/>
      <c r="C1244" s="15"/>
      <c r="D1244" s="105">
        <v>1.0</v>
      </c>
      <c r="E1244" s="102">
        <v>25.0</v>
      </c>
      <c r="F1244" s="107">
        <v>5.0</v>
      </c>
      <c r="G1244" s="15" t="str">
        <f t="shared" si="1"/>
        <v>25005</v>
      </c>
      <c r="H1244" s="23" t="s">
        <v>634</v>
      </c>
      <c r="I1244" s="23" t="s">
        <v>59</v>
      </c>
      <c r="J1244" s="23" t="s">
        <v>282</v>
      </c>
      <c r="K1244" s="23" t="str">
        <f t="shared" si="22"/>
        <v>Bristol, MA</v>
      </c>
      <c r="L1244" s="24"/>
    </row>
    <row r="1245">
      <c r="A1245" s="99">
        <v>1244.0</v>
      </c>
      <c r="B1245" s="15"/>
      <c r="C1245" s="15"/>
      <c r="D1245" s="105">
        <v>1.0</v>
      </c>
      <c r="E1245" s="102">
        <v>25.0</v>
      </c>
      <c r="F1245" s="107">
        <v>7.0</v>
      </c>
      <c r="G1245" s="15" t="str">
        <f t="shared" si="1"/>
        <v>25007</v>
      </c>
      <c r="H1245" s="23" t="s">
        <v>1229</v>
      </c>
      <c r="I1245" s="23" t="s">
        <v>59</v>
      </c>
      <c r="J1245" s="23" t="s">
        <v>282</v>
      </c>
      <c r="K1245" s="23" t="str">
        <f t="shared" si="22"/>
        <v>Dukes, MA</v>
      </c>
      <c r="L1245" s="24"/>
    </row>
    <row r="1246">
      <c r="A1246" s="99">
        <v>1245.0</v>
      </c>
      <c r="B1246" s="15"/>
      <c r="C1246" s="15"/>
      <c r="D1246" s="105">
        <v>1.0</v>
      </c>
      <c r="E1246" s="102">
        <v>25.0</v>
      </c>
      <c r="F1246" s="107">
        <v>9.0</v>
      </c>
      <c r="G1246" s="15" t="str">
        <f t="shared" si="1"/>
        <v>25009</v>
      </c>
      <c r="H1246" s="23" t="s">
        <v>516</v>
      </c>
      <c r="I1246" s="23" t="s">
        <v>59</v>
      </c>
      <c r="J1246" s="23" t="s">
        <v>282</v>
      </c>
      <c r="K1246" s="23" t="str">
        <f t="shared" si="22"/>
        <v>Essex, MA</v>
      </c>
      <c r="L1246" s="24"/>
    </row>
    <row r="1247">
      <c r="A1247" s="99">
        <v>1246.0</v>
      </c>
      <c r="B1247" s="15"/>
      <c r="C1247" s="15"/>
      <c r="D1247" s="105">
        <v>1.0</v>
      </c>
      <c r="E1247" s="102">
        <v>25.0</v>
      </c>
      <c r="F1247" s="107">
        <v>11.0</v>
      </c>
      <c r="G1247" s="15" t="str">
        <f t="shared" si="1"/>
        <v>25011</v>
      </c>
      <c r="H1247" s="23" t="s">
        <v>136</v>
      </c>
      <c r="I1247" s="23" t="s">
        <v>59</v>
      </c>
      <c r="J1247" s="23" t="s">
        <v>282</v>
      </c>
      <c r="K1247" s="23" t="str">
        <f t="shared" si="22"/>
        <v>Franklin, MA</v>
      </c>
      <c r="L1247" s="24"/>
    </row>
    <row r="1248">
      <c r="A1248" s="99">
        <v>1247.0</v>
      </c>
      <c r="B1248" s="15"/>
      <c r="C1248" s="15"/>
      <c r="D1248" s="105">
        <v>1.0</v>
      </c>
      <c r="E1248" s="102">
        <v>25.0</v>
      </c>
      <c r="F1248" s="107">
        <v>13.0</v>
      </c>
      <c r="G1248" s="15" t="str">
        <f t="shared" si="1"/>
        <v>25013</v>
      </c>
      <c r="H1248" s="23" t="s">
        <v>1230</v>
      </c>
      <c r="I1248" s="23" t="s">
        <v>59</v>
      </c>
      <c r="J1248" s="23" t="s">
        <v>282</v>
      </c>
      <c r="K1248" s="23" t="str">
        <f t="shared" si="22"/>
        <v>Hampden, MA</v>
      </c>
      <c r="L1248" s="24"/>
    </row>
    <row r="1249">
      <c r="A1249" s="99">
        <v>1248.0</v>
      </c>
      <c r="B1249" s="15"/>
      <c r="C1249" s="15"/>
      <c r="D1249" s="105">
        <v>1.0</v>
      </c>
      <c r="E1249" s="102">
        <v>25.0</v>
      </c>
      <c r="F1249" s="107">
        <v>15.0</v>
      </c>
      <c r="G1249" s="15" t="str">
        <f t="shared" si="1"/>
        <v>25015</v>
      </c>
      <c r="H1249" s="23" t="s">
        <v>1231</v>
      </c>
      <c r="I1249" s="23" t="s">
        <v>59</v>
      </c>
      <c r="J1249" s="23" t="s">
        <v>282</v>
      </c>
      <c r="K1249" s="23" t="str">
        <f t="shared" si="22"/>
        <v>Hampshire, MA</v>
      </c>
      <c r="L1249" s="24"/>
    </row>
    <row r="1250">
      <c r="A1250" s="99">
        <v>1249.0</v>
      </c>
      <c r="B1250" s="15"/>
      <c r="C1250" s="15"/>
      <c r="D1250" s="105">
        <v>1.0</v>
      </c>
      <c r="E1250" s="102">
        <v>25.0</v>
      </c>
      <c r="F1250" s="107">
        <v>17.0</v>
      </c>
      <c r="G1250" s="15" t="str">
        <f t="shared" si="1"/>
        <v>25017</v>
      </c>
      <c r="H1250" s="23" t="s">
        <v>281</v>
      </c>
      <c r="I1250" s="23" t="s">
        <v>59</v>
      </c>
      <c r="J1250" s="23" t="s">
        <v>282</v>
      </c>
      <c r="K1250" s="23" t="str">
        <f t="shared" si="22"/>
        <v>Middlesex, MA</v>
      </c>
      <c r="L1250" s="24"/>
    </row>
    <row r="1251">
      <c r="A1251" s="99">
        <v>1250.0</v>
      </c>
      <c r="B1251" s="15"/>
      <c r="C1251" s="15"/>
      <c r="D1251" s="105">
        <v>1.0</v>
      </c>
      <c r="E1251" s="102">
        <v>25.0</v>
      </c>
      <c r="F1251" s="107">
        <v>19.0</v>
      </c>
      <c r="G1251" s="15" t="str">
        <f t="shared" si="1"/>
        <v>25019</v>
      </c>
      <c r="H1251" s="23" t="s">
        <v>1232</v>
      </c>
      <c r="I1251" s="23" t="s">
        <v>59</v>
      </c>
      <c r="J1251" s="23" t="s">
        <v>282</v>
      </c>
      <c r="K1251" s="23" t="str">
        <f t="shared" si="22"/>
        <v>Nantucket, MA</v>
      </c>
      <c r="L1251" s="24"/>
    </row>
    <row r="1252">
      <c r="A1252" s="99">
        <v>1251.0</v>
      </c>
      <c r="B1252" s="15"/>
      <c r="C1252" s="15"/>
      <c r="D1252" s="105">
        <v>1.0</v>
      </c>
      <c r="E1252" s="102">
        <v>25.0</v>
      </c>
      <c r="F1252" s="107">
        <v>21.0</v>
      </c>
      <c r="G1252" s="15" t="str">
        <f t="shared" si="1"/>
        <v>25021</v>
      </c>
      <c r="H1252" s="23" t="s">
        <v>558</v>
      </c>
      <c r="I1252" s="23" t="s">
        <v>59</v>
      </c>
      <c r="J1252" s="23" t="s">
        <v>282</v>
      </c>
      <c r="K1252" s="23" t="str">
        <f t="shared" si="22"/>
        <v>Norfolk, MA</v>
      </c>
      <c r="L1252" s="24"/>
    </row>
    <row r="1253">
      <c r="A1253" s="99">
        <v>1252.0</v>
      </c>
      <c r="B1253" s="15"/>
      <c r="C1253" s="15"/>
      <c r="D1253" s="105">
        <v>1.0</v>
      </c>
      <c r="E1253" s="102">
        <v>25.0</v>
      </c>
      <c r="F1253" s="107">
        <v>23.0</v>
      </c>
      <c r="G1253" s="15" t="str">
        <f t="shared" si="1"/>
        <v>25023</v>
      </c>
      <c r="H1253" s="23" t="s">
        <v>929</v>
      </c>
      <c r="I1253" s="23" t="s">
        <v>59</v>
      </c>
      <c r="J1253" s="23" t="s">
        <v>282</v>
      </c>
      <c r="K1253" s="23" t="str">
        <f t="shared" si="22"/>
        <v>Plymouth, MA</v>
      </c>
      <c r="L1253" s="24"/>
    </row>
    <row r="1254">
      <c r="A1254" s="99">
        <v>1253.0</v>
      </c>
      <c r="B1254" s="15"/>
      <c r="C1254" s="15"/>
      <c r="D1254" s="105">
        <v>1.0</v>
      </c>
      <c r="E1254" s="102">
        <v>25.0</v>
      </c>
      <c r="F1254" s="107">
        <v>25.0</v>
      </c>
      <c r="G1254" s="15" t="str">
        <f t="shared" si="1"/>
        <v>25025</v>
      </c>
      <c r="H1254" s="23" t="s">
        <v>299</v>
      </c>
      <c r="I1254" s="23" t="s">
        <v>59</v>
      </c>
      <c r="J1254" s="23" t="s">
        <v>282</v>
      </c>
      <c r="K1254" s="23" t="str">
        <f t="shared" si="22"/>
        <v>Suffolk, MA</v>
      </c>
      <c r="L1254" s="24"/>
    </row>
    <row r="1255">
      <c r="A1255" s="99">
        <v>1254.0</v>
      </c>
      <c r="B1255" s="15"/>
      <c r="C1255" s="15"/>
      <c r="D1255" s="105">
        <v>1.0</v>
      </c>
      <c r="E1255" s="102">
        <v>25.0</v>
      </c>
      <c r="F1255" s="107">
        <v>27.0</v>
      </c>
      <c r="G1255" s="15" t="str">
        <f t="shared" si="1"/>
        <v>25027</v>
      </c>
      <c r="H1255" s="23" t="s">
        <v>492</v>
      </c>
      <c r="I1255" s="23" t="s">
        <v>59</v>
      </c>
      <c r="J1255" s="23" t="s">
        <v>282</v>
      </c>
      <c r="K1255" s="23" t="str">
        <f t="shared" si="22"/>
        <v>Worcester, MA</v>
      </c>
      <c r="L1255" s="24"/>
    </row>
    <row r="1256">
      <c r="A1256" s="28">
        <v>1255.0</v>
      </c>
      <c r="B1256" s="29"/>
      <c r="C1256" s="29" t="s">
        <v>25</v>
      </c>
      <c r="D1256" s="30"/>
      <c r="E1256" s="31">
        <v>26.0</v>
      </c>
      <c r="F1256" s="42">
        <v>0.0</v>
      </c>
      <c r="G1256" s="29" t="str">
        <f t="shared" si="1"/>
        <v>26000</v>
      </c>
      <c r="H1256" s="37"/>
      <c r="I1256" s="37" t="s">
        <v>60</v>
      </c>
      <c r="J1256" s="37" t="s">
        <v>274</v>
      </c>
      <c r="K1256" s="37"/>
      <c r="L1256" s="24"/>
    </row>
    <row r="1257">
      <c r="A1257" s="28">
        <v>1256.0</v>
      </c>
      <c r="B1257" s="29"/>
      <c r="C1257" s="29"/>
      <c r="D1257" s="40">
        <v>1.0</v>
      </c>
      <c r="E1257" s="31">
        <v>26.0</v>
      </c>
      <c r="F1257" s="42">
        <v>1.0</v>
      </c>
      <c r="G1257" s="29" t="str">
        <f t="shared" si="1"/>
        <v>26001</v>
      </c>
      <c r="H1257" s="37" t="s">
        <v>1233</v>
      </c>
      <c r="I1257" s="37" t="s">
        <v>60</v>
      </c>
      <c r="J1257" s="37" t="s">
        <v>274</v>
      </c>
      <c r="K1257" s="37" t="str">
        <f t="shared" ref="K1257:K1339" si="23">CONCATENATE(H1257,", ",J1257)</f>
        <v>Alcona, MI</v>
      </c>
      <c r="L1257" s="24"/>
    </row>
    <row r="1258">
      <c r="A1258" s="28">
        <v>1257.0</v>
      </c>
      <c r="B1258" s="29"/>
      <c r="C1258" s="29"/>
      <c r="D1258" s="40">
        <v>1.0</v>
      </c>
      <c r="E1258" s="31">
        <v>26.0</v>
      </c>
      <c r="F1258" s="42">
        <v>3.0</v>
      </c>
      <c r="G1258" s="29" t="str">
        <f t="shared" si="1"/>
        <v>26003</v>
      </c>
      <c r="H1258" s="37" t="s">
        <v>1234</v>
      </c>
      <c r="I1258" s="37" t="s">
        <v>60</v>
      </c>
      <c r="J1258" s="37" t="s">
        <v>274</v>
      </c>
      <c r="K1258" s="37" t="str">
        <f t="shared" si="23"/>
        <v>Alger, MI</v>
      </c>
      <c r="L1258" s="24"/>
    </row>
    <row r="1259">
      <c r="A1259" s="28">
        <v>1258.0</v>
      </c>
      <c r="B1259" s="29"/>
      <c r="C1259" s="29"/>
      <c r="D1259" s="40">
        <v>1.0</v>
      </c>
      <c r="E1259" s="31">
        <v>26.0</v>
      </c>
      <c r="F1259" s="42">
        <v>5.0</v>
      </c>
      <c r="G1259" s="29" t="str">
        <f t="shared" si="1"/>
        <v>26005</v>
      </c>
      <c r="H1259" s="37" t="s">
        <v>1235</v>
      </c>
      <c r="I1259" s="37" t="s">
        <v>60</v>
      </c>
      <c r="J1259" s="37" t="s">
        <v>274</v>
      </c>
      <c r="K1259" s="37" t="str">
        <f t="shared" si="23"/>
        <v>Allegan, MI</v>
      </c>
      <c r="L1259" s="24"/>
    </row>
    <row r="1260">
      <c r="A1260" s="28">
        <v>1259.0</v>
      </c>
      <c r="B1260" s="29"/>
      <c r="C1260" s="29"/>
      <c r="D1260" s="40">
        <v>1.0</v>
      </c>
      <c r="E1260" s="31">
        <v>26.0</v>
      </c>
      <c r="F1260" s="42">
        <v>7.0</v>
      </c>
      <c r="G1260" s="29" t="str">
        <f t="shared" si="1"/>
        <v>26007</v>
      </c>
      <c r="H1260" s="37" t="s">
        <v>1236</v>
      </c>
      <c r="I1260" s="37" t="s">
        <v>60</v>
      </c>
      <c r="J1260" s="37" t="s">
        <v>274</v>
      </c>
      <c r="K1260" s="37" t="str">
        <f t="shared" si="23"/>
        <v>Alpena, MI</v>
      </c>
      <c r="L1260" s="24"/>
    </row>
    <row r="1261">
      <c r="A1261" s="28">
        <v>1260.0</v>
      </c>
      <c r="B1261" s="29"/>
      <c r="C1261" s="29"/>
      <c r="D1261" s="40">
        <v>1.0</v>
      </c>
      <c r="E1261" s="31">
        <v>26.0</v>
      </c>
      <c r="F1261" s="42">
        <v>9.0</v>
      </c>
      <c r="G1261" s="29" t="str">
        <f t="shared" si="1"/>
        <v>26009</v>
      </c>
      <c r="H1261" s="37" t="s">
        <v>1237</v>
      </c>
      <c r="I1261" s="37" t="s">
        <v>60</v>
      </c>
      <c r="J1261" s="37" t="s">
        <v>274</v>
      </c>
      <c r="K1261" s="37" t="str">
        <f t="shared" si="23"/>
        <v>Antrim, MI</v>
      </c>
      <c r="L1261" s="24"/>
    </row>
    <row r="1262">
      <c r="A1262" s="28">
        <v>1261.0</v>
      </c>
      <c r="B1262" s="29"/>
      <c r="C1262" s="29"/>
      <c r="D1262" s="40">
        <v>1.0</v>
      </c>
      <c r="E1262" s="31">
        <v>26.0</v>
      </c>
      <c r="F1262" s="42">
        <v>11.0</v>
      </c>
      <c r="G1262" s="29" t="str">
        <f t="shared" si="1"/>
        <v>26011</v>
      </c>
      <c r="H1262" s="37" t="s">
        <v>1238</v>
      </c>
      <c r="I1262" s="37" t="s">
        <v>60</v>
      </c>
      <c r="J1262" s="37" t="s">
        <v>274</v>
      </c>
      <c r="K1262" s="37" t="str">
        <f t="shared" si="23"/>
        <v>Arenac, MI</v>
      </c>
      <c r="L1262" s="24"/>
    </row>
    <row r="1263">
      <c r="A1263" s="28">
        <v>1262.0</v>
      </c>
      <c r="B1263" s="29"/>
      <c r="C1263" s="29"/>
      <c r="D1263" s="40">
        <v>1.0</v>
      </c>
      <c r="E1263" s="31">
        <v>26.0</v>
      </c>
      <c r="F1263" s="42">
        <v>13.0</v>
      </c>
      <c r="G1263" s="29" t="str">
        <f t="shared" si="1"/>
        <v>26013</v>
      </c>
      <c r="H1263" s="37" t="s">
        <v>1239</v>
      </c>
      <c r="I1263" s="37" t="s">
        <v>60</v>
      </c>
      <c r="J1263" s="37" t="s">
        <v>274</v>
      </c>
      <c r="K1263" s="37" t="str">
        <f t="shared" si="23"/>
        <v>Baraga, MI</v>
      </c>
      <c r="L1263" s="24"/>
    </row>
    <row r="1264">
      <c r="A1264" s="28">
        <v>1263.0</v>
      </c>
      <c r="B1264" s="29"/>
      <c r="C1264" s="29"/>
      <c r="D1264" s="40">
        <v>1.0</v>
      </c>
      <c r="E1264" s="31">
        <v>26.0</v>
      </c>
      <c r="F1264" s="42">
        <v>15.0</v>
      </c>
      <c r="G1264" s="29" t="str">
        <f t="shared" si="1"/>
        <v>26015</v>
      </c>
      <c r="H1264" s="37" t="s">
        <v>1240</v>
      </c>
      <c r="I1264" s="37" t="s">
        <v>60</v>
      </c>
      <c r="J1264" s="37" t="s">
        <v>274</v>
      </c>
      <c r="K1264" s="37" t="str">
        <f t="shared" si="23"/>
        <v>Barry, MI</v>
      </c>
      <c r="L1264" s="24"/>
    </row>
    <row r="1265">
      <c r="A1265" s="28">
        <v>1264.0</v>
      </c>
      <c r="B1265" s="29"/>
      <c r="C1265" s="29"/>
      <c r="D1265" s="40">
        <v>1.0</v>
      </c>
      <c r="E1265" s="31">
        <v>26.0</v>
      </c>
      <c r="F1265" s="42">
        <v>17.0</v>
      </c>
      <c r="G1265" s="29" t="str">
        <f t="shared" si="1"/>
        <v>26017</v>
      </c>
      <c r="H1265" s="37" t="s">
        <v>482</v>
      </c>
      <c r="I1265" s="37" t="s">
        <v>60</v>
      </c>
      <c r="J1265" s="37" t="s">
        <v>274</v>
      </c>
      <c r="K1265" s="37" t="str">
        <f t="shared" si="23"/>
        <v>Bay, MI</v>
      </c>
      <c r="L1265" s="24"/>
    </row>
    <row r="1266">
      <c r="A1266" s="28">
        <v>1265.0</v>
      </c>
      <c r="B1266" s="29"/>
      <c r="C1266" s="29"/>
      <c r="D1266" s="40">
        <v>1.0</v>
      </c>
      <c r="E1266" s="31">
        <v>26.0</v>
      </c>
      <c r="F1266" s="42">
        <v>19.0</v>
      </c>
      <c r="G1266" s="29" t="str">
        <f t="shared" si="1"/>
        <v>26019</v>
      </c>
      <c r="H1266" s="37" t="s">
        <v>1241</v>
      </c>
      <c r="I1266" s="37" t="s">
        <v>60</v>
      </c>
      <c r="J1266" s="37" t="s">
        <v>274</v>
      </c>
      <c r="K1266" s="37" t="str">
        <f t="shared" si="23"/>
        <v>Benzie, MI</v>
      </c>
      <c r="L1266" s="24"/>
    </row>
    <row r="1267">
      <c r="A1267" s="28">
        <v>1266.0</v>
      </c>
      <c r="B1267" s="29"/>
      <c r="C1267" s="29"/>
      <c r="D1267" s="40">
        <v>1.0</v>
      </c>
      <c r="E1267" s="31">
        <v>26.0</v>
      </c>
      <c r="F1267" s="42">
        <v>21.0</v>
      </c>
      <c r="G1267" s="29" t="str">
        <f t="shared" si="1"/>
        <v>26021</v>
      </c>
      <c r="H1267" s="37" t="s">
        <v>540</v>
      </c>
      <c r="I1267" s="37" t="s">
        <v>60</v>
      </c>
      <c r="J1267" s="37" t="s">
        <v>274</v>
      </c>
      <c r="K1267" s="37" t="str">
        <f t="shared" si="23"/>
        <v>Berrien, MI</v>
      </c>
      <c r="L1267" s="24"/>
    </row>
    <row r="1268">
      <c r="A1268" s="28">
        <v>1267.0</v>
      </c>
      <c r="B1268" s="29"/>
      <c r="C1268" s="29"/>
      <c r="D1268" s="40">
        <v>1.0</v>
      </c>
      <c r="E1268" s="31">
        <v>26.0</v>
      </c>
      <c r="F1268" s="42">
        <v>23.0</v>
      </c>
      <c r="G1268" s="29" t="str">
        <f t="shared" si="1"/>
        <v>26023</v>
      </c>
      <c r="H1268" s="37" t="s">
        <v>1242</v>
      </c>
      <c r="I1268" s="37" t="s">
        <v>60</v>
      </c>
      <c r="J1268" s="37" t="s">
        <v>274</v>
      </c>
      <c r="K1268" s="37" t="str">
        <f t="shared" si="23"/>
        <v>Branch, MI</v>
      </c>
      <c r="L1268" s="24"/>
    </row>
    <row r="1269">
      <c r="A1269" s="28">
        <v>1268.0</v>
      </c>
      <c r="B1269" s="29"/>
      <c r="C1269" s="29"/>
      <c r="D1269" s="40">
        <v>1.0</v>
      </c>
      <c r="E1269" s="31">
        <v>26.0</v>
      </c>
      <c r="F1269" s="42">
        <v>25.0</v>
      </c>
      <c r="G1269" s="29" t="str">
        <f t="shared" si="1"/>
        <v>26025</v>
      </c>
      <c r="H1269" s="37" t="s">
        <v>93</v>
      </c>
      <c r="I1269" s="37" t="s">
        <v>60</v>
      </c>
      <c r="J1269" s="37" t="s">
        <v>274</v>
      </c>
      <c r="K1269" s="37" t="str">
        <f t="shared" si="23"/>
        <v>Calhoun, MI</v>
      </c>
      <c r="L1269" s="24"/>
    </row>
    <row r="1270">
      <c r="A1270" s="28">
        <v>1269.0</v>
      </c>
      <c r="B1270" s="29"/>
      <c r="C1270" s="29"/>
      <c r="D1270" s="40">
        <v>1.0</v>
      </c>
      <c r="E1270" s="31">
        <v>26.0</v>
      </c>
      <c r="F1270" s="42">
        <v>27.0</v>
      </c>
      <c r="G1270" s="29" t="str">
        <f t="shared" si="1"/>
        <v>26027</v>
      </c>
      <c r="H1270" s="37" t="s">
        <v>708</v>
      </c>
      <c r="I1270" s="37" t="s">
        <v>60</v>
      </c>
      <c r="J1270" s="37" t="s">
        <v>274</v>
      </c>
      <c r="K1270" s="37" t="str">
        <f t="shared" si="23"/>
        <v>Cass, MI</v>
      </c>
      <c r="L1270" s="24"/>
    </row>
    <row r="1271">
      <c r="A1271" s="28">
        <v>1270.0</v>
      </c>
      <c r="B1271" s="29"/>
      <c r="C1271" s="29"/>
      <c r="D1271" s="40">
        <v>1.0</v>
      </c>
      <c r="E1271" s="31">
        <v>26.0</v>
      </c>
      <c r="F1271" s="42">
        <v>29.0</v>
      </c>
      <c r="G1271" s="29" t="str">
        <f t="shared" si="1"/>
        <v>26029</v>
      </c>
      <c r="H1271" s="37" t="s">
        <v>1243</v>
      </c>
      <c r="I1271" s="37" t="s">
        <v>60</v>
      </c>
      <c r="J1271" s="37" t="s">
        <v>274</v>
      </c>
      <c r="K1271" s="37" t="str">
        <f t="shared" si="23"/>
        <v>Charlevoix, MI</v>
      </c>
      <c r="L1271" s="24"/>
    </row>
    <row r="1272">
      <c r="A1272" s="28">
        <v>1271.0</v>
      </c>
      <c r="B1272" s="29"/>
      <c r="C1272" s="29"/>
      <c r="D1272" s="40">
        <v>1.0</v>
      </c>
      <c r="E1272" s="31">
        <v>26.0</v>
      </c>
      <c r="F1272" s="42">
        <v>31.0</v>
      </c>
      <c r="G1272" s="29" t="str">
        <f t="shared" si="1"/>
        <v>26031</v>
      </c>
      <c r="H1272" s="37" t="s">
        <v>1244</v>
      </c>
      <c r="I1272" s="37" t="s">
        <v>60</v>
      </c>
      <c r="J1272" s="37" t="s">
        <v>274</v>
      </c>
      <c r="K1272" s="37" t="str">
        <f t="shared" si="23"/>
        <v>Cheboygan, MI</v>
      </c>
      <c r="L1272" s="24"/>
    </row>
    <row r="1273">
      <c r="A1273" s="28">
        <v>1272.0</v>
      </c>
      <c r="B1273" s="29"/>
      <c r="C1273" s="29"/>
      <c r="D1273" s="40">
        <v>1.0</v>
      </c>
      <c r="E1273" s="31">
        <v>26.0</v>
      </c>
      <c r="F1273" s="42">
        <v>33.0</v>
      </c>
      <c r="G1273" s="29" t="str">
        <f t="shared" si="1"/>
        <v>26033</v>
      </c>
      <c r="H1273" s="37" t="s">
        <v>1245</v>
      </c>
      <c r="I1273" s="37" t="s">
        <v>60</v>
      </c>
      <c r="J1273" s="37" t="s">
        <v>274</v>
      </c>
      <c r="K1273" s="37" t="str">
        <f t="shared" si="23"/>
        <v>Chippewa, MI</v>
      </c>
      <c r="L1273" s="24"/>
    </row>
    <row r="1274">
      <c r="A1274" s="28">
        <v>1273.0</v>
      </c>
      <c r="B1274" s="29"/>
      <c r="C1274" s="29"/>
      <c r="D1274" s="40">
        <v>1.0</v>
      </c>
      <c r="E1274" s="31">
        <v>26.0</v>
      </c>
      <c r="F1274" s="42">
        <v>35.0</v>
      </c>
      <c r="G1274" s="29" t="str">
        <f t="shared" si="1"/>
        <v>26035</v>
      </c>
      <c r="H1274" s="37" t="s">
        <v>1246</v>
      </c>
      <c r="I1274" s="37" t="s">
        <v>60</v>
      </c>
      <c r="J1274" s="37" t="s">
        <v>274</v>
      </c>
      <c r="K1274" s="37" t="str">
        <f t="shared" si="23"/>
        <v>Clare, MI</v>
      </c>
      <c r="L1274" s="24"/>
    </row>
    <row r="1275">
      <c r="A1275" s="28">
        <v>1274.0</v>
      </c>
      <c r="B1275" s="29"/>
      <c r="C1275" s="29"/>
      <c r="D1275" s="40">
        <v>1.0</v>
      </c>
      <c r="E1275" s="31">
        <v>26.0</v>
      </c>
      <c r="F1275" s="42">
        <v>37.0</v>
      </c>
      <c r="G1275" s="29" t="str">
        <f t="shared" si="1"/>
        <v>26037</v>
      </c>
      <c r="H1275" s="37" t="s">
        <v>711</v>
      </c>
      <c r="I1275" s="37" t="s">
        <v>60</v>
      </c>
      <c r="J1275" s="37" t="s">
        <v>274</v>
      </c>
      <c r="K1275" s="37" t="str">
        <f t="shared" si="23"/>
        <v>Clinton, MI</v>
      </c>
      <c r="L1275" s="24"/>
    </row>
    <row r="1276">
      <c r="A1276" s="28">
        <v>1275.0</v>
      </c>
      <c r="B1276" s="29"/>
      <c r="C1276" s="29"/>
      <c r="D1276" s="40">
        <v>1.0</v>
      </c>
      <c r="E1276" s="31">
        <v>26.0</v>
      </c>
      <c r="F1276" s="42">
        <v>39.0</v>
      </c>
      <c r="G1276" s="29" t="str">
        <f t="shared" si="1"/>
        <v>26039</v>
      </c>
      <c r="H1276" s="37" t="s">
        <v>263</v>
      </c>
      <c r="I1276" s="37" t="s">
        <v>60</v>
      </c>
      <c r="J1276" s="37" t="s">
        <v>274</v>
      </c>
      <c r="K1276" s="37" t="str">
        <f t="shared" si="23"/>
        <v>Crawford, MI</v>
      </c>
      <c r="L1276" s="24"/>
    </row>
    <row r="1277">
      <c r="A1277" s="28">
        <v>1276.0</v>
      </c>
      <c r="B1277" s="29"/>
      <c r="C1277" s="29"/>
      <c r="D1277" s="40">
        <v>1.0</v>
      </c>
      <c r="E1277" s="31">
        <v>26.0</v>
      </c>
      <c r="F1277" s="42">
        <v>41.0</v>
      </c>
      <c r="G1277" s="29" t="str">
        <f t="shared" si="1"/>
        <v>26041</v>
      </c>
      <c r="H1277" s="37" t="s">
        <v>407</v>
      </c>
      <c r="I1277" s="37" t="s">
        <v>60</v>
      </c>
      <c r="J1277" s="37" t="s">
        <v>274</v>
      </c>
      <c r="K1277" s="37" t="str">
        <f t="shared" si="23"/>
        <v>Delta, MI</v>
      </c>
      <c r="L1277" s="24"/>
    </row>
    <row r="1278">
      <c r="A1278" s="28">
        <v>1277.0</v>
      </c>
      <c r="B1278" s="29"/>
      <c r="C1278" s="29"/>
      <c r="D1278" s="40">
        <v>1.0</v>
      </c>
      <c r="E1278" s="31">
        <v>26.0</v>
      </c>
      <c r="F1278" s="42">
        <v>43.0</v>
      </c>
      <c r="G1278" s="29" t="str">
        <f t="shared" si="1"/>
        <v>26043</v>
      </c>
      <c r="H1278" s="37" t="s">
        <v>899</v>
      </c>
      <c r="I1278" s="37" t="s">
        <v>60</v>
      </c>
      <c r="J1278" s="37" t="s">
        <v>274</v>
      </c>
      <c r="K1278" s="37" t="str">
        <f t="shared" si="23"/>
        <v>Dickinson, MI</v>
      </c>
      <c r="L1278" s="24"/>
    </row>
    <row r="1279">
      <c r="A1279" s="28">
        <v>1278.0</v>
      </c>
      <c r="B1279" s="29"/>
      <c r="C1279" s="29"/>
      <c r="D1279" s="40">
        <v>1.0</v>
      </c>
      <c r="E1279" s="31">
        <v>26.0</v>
      </c>
      <c r="F1279" s="42">
        <v>45.0</v>
      </c>
      <c r="G1279" s="29" t="str">
        <f t="shared" si="1"/>
        <v>26045</v>
      </c>
      <c r="H1279" s="37" t="s">
        <v>1247</v>
      </c>
      <c r="I1279" s="37" t="s">
        <v>60</v>
      </c>
      <c r="J1279" s="37" t="s">
        <v>274</v>
      </c>
      <c r="K1279" s="37" t="str">
        <f t="shared" si="23"/>
        <v>Eaton, MI</v>
      </c>
      <c r="L1279" s="24"/>
    </row>
    <row r="1280">
      <c r="A1280" s="28">
        <v>1279.0</v>
      </c>
      <c r="B1280" s="29"/>
      <c r="C1280" s="29"/>
      <c r="D1280" s="40">
        <v>1.0</v>
      </c>
      <c r="E1280" s="31">
        <v>26.0</v>
      </c>
      <c r="F1280" s="42">
        <v>47.0</v>
      </c>
      <c r="G1280" s="29" t="str">
        <f t="shared" si="1"/>
        <v>26047</v>
      </c>
      <c r="H1280" s="37" t="s">
        <v>901</v>
      </c>
      <c r="I1280" s="37" t="s">
        <v>60</v>
      </c>
      <c r="J1280" s="37" t="s">
        <v>274</v>
      </c>
      <c r="K1280" s="37" t="str">
        <f t="shared" si="23"/>
        <v>Emmet, MI</v>
      </c>
      <c r="L1280" s="24"/>
    </row>
    <row r="1281">
      <c r="A1281" s="28">
        <v>1280.0</v>
      </c>
      <c r="B1281" s="29"/>
      <c r="C1281" s="29"/>
      <c r="D1281" s="40">
        <v>1.0</v>
      </c>
      <c r="E1281" s="31">
        <v>26.0</v>
      </c>
      <c r="F1281" s="42">
        <v>49.0</v>
      </c>
      <c r="G1281" s="29" t="str">
        <f t="shared" si="1"/>
        <v>26049</v>
      </c>
      <c r="H1281" s="37" t="s">
        <v>1248</v>
      </c>
      <c r="I1281" s="37" t="s">
        <v>60</v>
      </c>
      <c r="J1281" s="37" t="s">
        <v>274</v>
      </c>
      <c r="K1281" s="37" t="str">
        <f t="shared" si="23"/>
        <v>Genesee, MI</v>
      </c>
      <c r="L1281" s="24"/>
    </row>
    <row r="1282">
      <c r="A1282" s="28">
        <v>1281.0</v>
      </c>
      <c r="B1282" s="29"/>
      <c r="C1282" s="29"/>
      <c r="D1282" s="40">
        <v>1.0</v>
      </c>
      <c r="E1282" s="31">
        <v>26.0</v>
      </c>
      <c r="F1282" s="42">
        <v>51.0</v>
      </c>
      <c r="G1282" s="29" t="str">
        <f t="shared" si="1"/>
        <v>26051</v>
      </c>
      <c r="H1282" s="37" t="s">
        <v>1249</v>
      </c>
      <c r="I1282" s="37" t="s">
        <v>60</v>
      </c>
      <c r="J1282" s="37" t="s">
        <v>274</v>
      </c>
      <c r="K1282" s="37" t="str">
        <f t="shared" si="23"/>
        <v>Gladwin, MI</v>
      </c>
      <c r="L1282" s="24"/>
    </row>
    <row r="1283">
      <c r="A1283" s="28">
        <v>1282.0</v>
      </c>
      <c r="B1283" s="29"/>
      <c r="C1283" s="29"/>
      <c r="D1283" s="40">
        <v>1.0</v>
      </c>
      <c r="E1283" s="31">
        <v>26.0</v>
      </c>
      <c r="F1283" s="42">
        <v>53.0</v>
      </c>
      <c r="G1283" s="29" t="str">
        <f t="shared" si="1"/>
        <v>26053</v>
      </c>
      <c r="H1283" s="37" t="s">
        <v>1250</v>
      </c>
      <c r="I1283" s="37" t="s">
        <v>60</v>
      </c>
      <c r="J1283" s="37" t="s">
        <v>274</v>
      </c>
      <c r="K1283" s="37" t="str">
        <f t="shared" si="23"/>
        <v>Gogebic, MI</v>
      </c>
      <c r="L1283" s="24"/>
    </row>
    <row r="1284">
      <c r="A1284" s="28">
        <v>1283.0</v>
      </c>
      <c r="B1284" s="29"/>
      <c r="C1284" s="29"/>
      <c r="D1284" s="40">
        <v>1.0</v>
      </c>
      <c r="E1284" s="31">
        <v>26.0</v>
      </c>
      <c r="F1284" s="42">
        <v>55.0</v>
      </c>
      <c r="G1284" s="29" t="str">
        <f t="shared" si="1"/>
        <v>26055</v>
      </c>
      <c r="H1284" s="37" t="s">
        <v>1251</v>
      </c>
      <c r="I1284" s="37" t="s">
        <v>60</v>
      </c>
      <c r="J1284" s="37" t="s">
        <v>274</v>
      </c>
      <c r="K1284" s="136" t="str">
        <f t="shared" si="23"/>
        <v>Grand Traverse, MI</v>
      </c>
      <c r="L1284" s="24"/>
    </row>
    <row r="1285">
      <c r="A1285" s="28">
        <v>1284.0</v>
      </c>
      <c r="B1285" s="29"/>
      <c r="C1285" s="29"/>
      <c r="D1285" s="40">
        <v>1.0</v>
      </c>
      <c r="E1285" s="31">
        <v>26.0</v>
      </c>
      <c r="F1285" s="42">
        <v>57.0</v>
      </c>
      <c r="G1285" s="29" t="str">
        <f t="shared" si="1"/>
        <v>26057</v>
      </c>
      <c r="H1285" s="37" t="s">
        <v>1252</v>
      </c>
      <c r="I1285" s="37" t="s">
        <v>60</v>
      </c>
      <c r="J1285" s="37" t="s">
        <v>274</v>
      </c>
      <c r="K1285" s="37" t="str">
        <f t="shared" si="23"/>
        <v>Gratiot, MI</v>
      </c>
      <c r="L1285" s="24"/>
    </row>
    <row r="1286">
      <c r="A1286" s="28">
        <v>1285.0</v>
      </c>
      <c r="B1286" s="29"/>
      <c r="C1286" s="29"/>
      <c r="D1286" s="40">
        <v>1.0</v>
      </c>
      <c r="E1286" s="31">
        <v>26.0</v>
      </c>
      <c r="F1286" s="42">
        <v>59.0</v>
      </c>
      <c r="G1286" s="29" t="str">
        <f t="shared" si="1"/>
        <v>26059</v>
      </c>
      <c r="H1286" s="37" t="s">
        <v>1253</v>
      </c>
      <c r="I1286" s="37" t="s">
        <v>60</v>
      </c>
      <c r="J1286" s="37" t="s">
        <v>274</v>
      </c>
      <c r="K1286" s="37" t="str">
        <f t="shared" si="23"/>
        <v>Hillsdale, MI</v>
      </c>
      <c r="L1286" s="24"/>
    </row>
    <row r="1287">
      <c r="A1287" s="28">
        <v>1286.0</v>
      </c>
      <c r="B1287" s="29"/>
      <c r="C1287" s="29"/>
      <c r="D1287" s="40">
        <v>1.0</v>
      </c>
      <c r="E1287" s="31">
        <v>26.0</v>
      </c>
      <c r="F1287" s="42">
        <v>61.0</v>
      </c>
      <c r="G1287" s="29" t="str">
        <f t="shared" si="1"/>
        <v>26061</v>
      </c>
      <c r="H1287" s="37" t="s">
        <v>1254</v>
      </c>
      <c r="I1287" s="37" t="s">
        <v>60</v>
      </c>
      <c r="J1287" s="37" t="s">
        <v>274</v>
      </c>
      <c r="K1287" s="37" t="str">
        <f t="shared" si="23"/>
        <v>Houghton, MI</v>
      </c>
      <c r="L1287" s="24"/>
    </row>
    <row r="1288">
      <c r="A1288" s="28">
        <v>1287.0</v>
      </c>
      <c r="B1288" s="29"/>
      <c r="C1288" s="29"/>
      <c r="D1288" s="40">
        <v>1.0</v>
      </c>
      <c r="E1288" s="31">
        <v>26.0</v>
      </c>
      <c r="F1288" s="42">
        <v>63.0</v>
      </c>
      <c r="G1288" s="29" t="str">
        <f t="shared" si="1"/>
        <v>26063</v>
      </c>
      <c r="H1288" s="37" t="s">
        <v>1255</v>
      </c>
      <c r="I1288" s="37" t="s">
        <v>60</v>
      </c>
      <c r="J1288" s="37" t="s">
        <v>274</v>
      </c>
      <c r="K1288" s="37" t="str">
        <f t="shared" si="23"/>
        <v>Huron, MI</v>
      </c>
      <c r="L1288" s="24"/>
    </row>
    <row r="1289">
      <c r="A1289" s="28">
        <v>1288.0</v>
      </c>
      <c r="B1289" s="29"/>
      <c r="C1289" s="29"/>
      <c r="D1289" s="40">
        <v>1.0</v>
      </c>
      <c r="E1289" s="31">
        <v>26.0</v>
      </c>
      <c r="F1289" s="42">
        <v>65.0</v>
      </c>
      <c r="G1289" s="29" t="str">
        <f t="shared" si="1"/>
        <v>26065</v>
      </c>
      <c r="H1289" s="37" t="s">
        <v>1256</v>
      </c>
      <c r="I1289" s="37" t="s">
        <v>60</v>
      </c>
      <c r="J1289" s="37" t="s">
        <v>274</v>
      </c>
      <c r="K1289" s="37" t="str">
        <f t="shared" si="23"/>
        <v>Ingham, MI</v>
      </c>
      <c r="L1289" s="24"/>
    </row>
    <row r="1290">
      <c r="A1290" s="28">
        <v>1289.0</v>
      </c>
      <c r="B1290" s="29"/>
      <c r="C1290" s="29"/>
      <c r="D1290" s="40">
        <v>1.0</v>
      </c>
      <c r="E1290" s="31">
        <v>26.0</v>
      </c>
      <c r="F1290" s="42">
        <v>67.0</v>
      </c>
      <c r="G1290" s="29" t="str">
        <f t="shared" si="1"/>
        <v>26067</v>
      </c>
      <c r="H1290" s="37" t="s">
        <v>1257</v>
      </c>
      <c r="I1290" s="37" t="s">
        <v>60</v>
      </c>
      <c r="J1290" s="37" t="s">
        <v>274</v>
      </c>
      <c r="K1290" s="37" t="str">
        <f t="shared" si="23"/>
        <v>Ionia, MI</v>
      </c>
      <c r="L1290" s="24"/>
    </row>
    <row r="1291">
      <c r="A1291" s="28">
        <v>1290.0</v>
      </c>
      <c r="B1291" s="29"/>
      <c r="C1291" s="29"/>
      <c r="D1291" s="40">
        <v>1.0</v>
      </c>
      <c r="E1291" s="31">
        <v>26.0</v>
      </c>
      <c r="F1291" s="42">
        <v>69.0</v>
      </c>
      <c r="G1291" s="29" t="str">
        <f t="shared" si="1"/>
        <v>26069</v>
      </c>
      <c r="H1291" s="37" t="s">
        <v>1258</v>
      </c>
      <c r="I1291" s="37" t="s">
        <v>60</v>
      </c>
      <c r="J1291" s="37" t="s">
        <v>274</v>
      </c>
      <c r="K1291" s="37" t="str">
        <f t="shared" si="23"/>
        <v>Iosco, MI</v>
      </c>
      <c r="L1291" s="24"/>
    </row>
    <row r="1292">
      <c r="A1292" s="28">
        <v>1291.0</v>
      </c>
      <c r="B1292" s="29"/>
      <c r="C1292" s="29"/>
      <c r="D1292" s="40">
        <v>1.0</v>
      </c>
      <c r="E1292" s="31">
        <v>26.0</v>
      </c>
      <c r="F1292" s="42">
        <v>71.0</v>
      </c>
      <c r="G1292" s="29" t="str">
        <f t="shared" si="1"/>
        <v>26071</v>
      </c>
      <c r="H1292" s="37" t="s">
        <v>1259</v>
      </c>
      <c r="I1292" s="37" t="s">
        <v>60</v>
      </c>
      <c r="J1292" s="37" t="s">
        <v>274</v>
      </c>
      <c r="K1292" s="37" t="str">
        <f t="shared" si="23"/>
        <v>Iron, MI</v>
      </c>
      <c r="L1292" s="24"/>
    </row>
    <row r="1293">
      <c r="A1293" s="28">
        <v>1292.0</v>
      </c>
      <c r="B1293" s="29"/>
      <c r="C1293" s="29"/>
      <c r="D1293" s="40">
        <v>1.0</v>
      </c>
      <c r="E1293" s="31">
        <v>26.0</v>
      </c>
      <c r="F1293" s="42">
        <v>73.0</v>
      </c>
      <c r="G1293" s="29" t="str">
        <f t="shared" si="1"/>
        <v>26073</v>
      </c>
      <c r="H1293" s="37" t="s">
        <v>1260</v>
      </c>
      <c r="I1293" s="37" t="s">
        <v>60</v>
      </c>
      <c r="J1293" s="37" t="s">
        <v>274</v>
      </c>
      <c r="K1293" s="37" t="str">
        <f t="shared" si="23"/>
        <v>Isabella, MI</v>
      </c>
      <c r="L1293" s="24"/>
    </row>
    <row r="1294">
      <c r="A1294" s="28">
        <v>1293.0</v>
      </c>
      <c r="B1294" s="29"/>
      <c r="C1294" s="29"/>
      <c r="D1294" s="40">
        <v>1.0</v>
      </c>
      <c r="E1294" s="31">
        <v>26.0</v>
      </c>
      <c r="F1294" s="42">
        <v>75.0</v>
      </c>
      <c r="G1294" s="29" t="str">
        <f t="shared" si="1"/>
        <v>26075</v>
      </c>
      <c r="H1294" s="37" t="s">
        <v>142</v>
      </c>
      <c r="I1294" s="37" t="s">
        <v>60</v>
      </c>
      <c r="J1294" s="37" t="s">
        <v>274</v>
      </c>
      <c r="K1294" s="37" t="str">
        <f t="shared" si="23"/>
        <v>Jackson, MI</v>
      </c>
      <c r="L1294" s="24"/>
    </row>
    <row r="1295">
      <c r="A1295" s="28">
        <v>1294.0</v>
      </c>
      <c r="B1295" s="29"/>
      <c r="C1295" s="29"/>
      <c r="D1295" s="40">
        <v>1.0</v>
      </c>
      <c r="E1295" s="31">
        <v>26.0</v>
      </c>
      <c r="F1295" s="42">
        <v>77.0</v>
      </c>
      <c r="G1295" s="29" t="str">
        <f t="shared" si="1"/>
        <v>26077</v>
      </c>
      <c r="H1295" s="37" t="s">
        <v>1261</v>
      </c>
      <c r="I1295" s="37" t="s">
        <v>60</v>
      </c>
      <c r="J1295" s="37" t="s">
        <v>274</v>
      </c>
      <c r="K1295" s="37" t="str">
        <f t="shared" si="23"/>
        <v>Kalamazoo, MI</v>
      </c>
      <c r="L1295" s="24"/>
    </row>
    <row r="1296">
      <c r="A1296" s="28">
        <v>1295.0</v>
      </c>
      <c r="B1296" s="29"/>
      <c r="C1296" s="29"/>
      <c r="D1296" s="40">
        <v>1.0</v>
      </c>
      <c r="E1296" s="31">
        <v>26.0</v>
      </c>
      <c r="F1296" s="42">
        <v>79.0</v>
      </c>
      <c r="G1296" s="29" t="str">
        <f t="shared" si="1"/>
        <v>26079</v>
      </c>
      <c r="H1296" s="37" t="s">
        <v>1262</v>
      </c>
      <c r="I1296" s="37" t="s">
        <v>60</v>
      </c>
      <c r="J1296" s="37" t="s">
        <v>274</v>
      </c>
      <c r="K1296" s="37" t="str">
        <f t="shared" si="23"/>
        <v>Kalkaska, MI</v>
      </c>
      <c r="L1296" s="24"/>
    </row>
    <row r="1297">
      <c r="A1297" s="28">
        <v>1296.0</v>
      </c>
      <c r="B1297" s="29"/>
      <c r="C1297" s="29"/>
      <c r="D1297" s="40">
        <v>1.0</v>
      </c>
      <c r="E1297" s="31">
        <v>26.0</v>
      </c>
      <c r="F1297" s="42">
        <v>81.0</v>
      </c>
      <c r="G1297" s="29" t="str">
        <f t="shared" si="1"/>
        <v>26081</v>
      </c>
      <c r="H1297" s="37" t="s">
        <v>474</v>
      </c>
      <c r="I1297" s="37" t="s">
        <v>60</v>
      </c>
      <c r="J1297" s="37" t="s">
        <v>274</v>
      </c>
      <c r="K1297" s="37" t="str">
        <f t="shared" si="23"/>
        <v>Kent, MI</v>
      </c>
      <c r="L1297" s="24"/>
    </row>
    <row r="1298">
      <c r="A1298" s="28">
        <v>1297.0</v>
      </c>
      <c r="B1298" s="29"/>
      <c r="C1298" s="29"/>
      <c r="D1298" s="40">
        <v>1.0</v>
      </c>
      <c r="E1298" s="31">
        <v>26.0</v>
      </c>
      <c r="F1298" s="42">
        <v>83.0</v>
      </c>
      <c r="G1298" s="29" t="str">
        <f t="shared" si="1"/>
        <v>26083</v>
      </c>
      <c r="H1298" s="37" t="s">
        <v>1263</v>
      </c>
      <c r="I1298" s="37" t="s">
        <v>60</v>
      </c>
      <c r="J1298" s="37" t="s">
        <v>274</v>
      </c>
      <c r="K1298" s="37" t="str">
        <f t="shared" si="23"/>
        <v>Keweenaw, MI</v>
      </c>
      <c r="L1298" s="24"/>
    </row>
    <row r="1299">
      <c r="A1299" s="28">
        <v>1298.0</v>
      </c>
      <c r="B1299" s="29"/>
      <c r="C1299" s="29"/>
      <c r="D1299" s="40">
        <v>1.0</v>
      </c>
      <c r="E1299" s="31">
        <v>26.0</v>
      </c>
      <c r="F1299" s="42">
        <v>85.0</v>
      </c>
      <c r="G1299" s="29" t="str">
        <f t="shared" si="1"/>
        <v>26085</v>
      </c>
      <c r="H1299" s="37" t="s">
        <v>337</v>
      </c>
      <c r="I1299" s="37" t="s">
        <v>60</v>
      </c>
      <c r="J1299" s="37" t="s">
        <v>274</v>
      </c>
      <c r="K1299" s="37" t="str">
        <f t="shared" si="23"/>
        <v>Lake, MI</v>
      </c>
      <c r="L1299" s="24"/>
    </row>
    <row r="1300">
      <c r="A1300" s="28">
        <v>1299.0</v>
      </c>
      <c r="B1300" s="29"/>
      <c r="C1300" s="29"/>
      <c r="D1300" s="40">
        <v>1.0</v>
      </c>
      <c r="E1300" s="31">
        <v>26.0</v>
      </c>
      <c r="F1300" s="42">
        <v>87.0</v>
      </c>
      <c r="G1300" s="29" t="str">
        <f t="shared" si="1"/>
        <v>26087</v>
      </c>
      <c r="H1300" s="37" t="s">
        <v>1264</v>
      </c>
      <c r="I1300" s="37" t="s">
        <v>60</v>
      </c>
      <c r="J1300" s="37" t="s">
        <v>274</v>
      </c>
      <c r="K1300" s="37" t="str">
        <f t="shared" si="23"/>
        <v>Lapeer, MI</v>
      </c>
      <c r="L1300" s="24"/>
    </row>
    <row r="1301">
      <c r="A1301" s="28">
        <v>1300.0</v>
      </c>
      <c r="B1301" s="29"/>
      <c r="C1301" s="29"/>
      <c r="D1301" s="40">
        <v>1.0</v>
      </c>
      <c r="E1301" s="31">
        <v>26.0</v>
      </c>
      <c r="F1301" s="42">
        <v>89.0</v>
      </c>
      <c r="G1301" s="29" t="str">
        <f t="shared" si="1"/>
        <v>26089</v>
      </c>
      <c r="H1301" s="37" t="s">
        <v>1265</v>
      </c>
      <c r="I1301" s="37" t="s">
        <v>60</v>
      </c>
      <c r="J1301" s="37" t="s">
        <v>274</v>
      </c>
      <c r="K1301" s="37" t="str">
        <f t="shared" si="23"/>
        <v>Leelanau, MI</v>
      </c>
      <c r="L1301" s="24"/>
    </row>
    <row r="1302">
      <c r="A1302" s="28">
        <v>1301.0</v>
      </c>
      <c r="B1302" s="29"/>
      <c r="C1302" s="29"/>
      <c r="D1302" s="40">
        <v>1.0</v>
      </c>
      <c r="E1302" s="31">
        <v>26.0</v>
      </c>
      <c r="F1302" s="42">
        <v>91.0</v>
      </c>
      <c r="G1302" s="29" t="str">
        <f t="shared" si="1"/>
        <v>26091</v>
      </c>
      <c r="H1302" s="37" t="s">
        <v>1266</v>
      </c>
      <c r="I1302" s="37" t="s">
        <v>60</v>
      </c>
      <c r="J1302" s="37" t="s">
        <v>274</v>
      </c>
      <c r="K1302" s="37" t="str">
        <f t="shared" si="23"/>
        <v>Lenawee, MI</v>
      </c>
      <c r="L1302" s="24"/>
    </row>
    <row r="1303">
      <c r="A1303" s="28">
        <v>1302.0</v>
      </c>
      <c r="B1303" s="29"/>
      <c r="C1303" s="29"/>
      <c r="D1303" s="40">
        <v>1.0</v>
      </c>
      <c r="E1303" s="31">
        <v>26.0</v>
      </c>
      <c r="F1303" s="42">
        <v>93.0</v>
      </c>
      <c r="G1303" s="29" t="str">
        <f t="shared" si="1"/>
        <v>26093</v>
      </c>
      <c r="H1303" s="37" t="s">
        <v>730</v>
      </c>
      <c r="I1303" s="37" t="s">
        <v>60</v>
      </c>
      <c r="J1303" s="37" t="s">
        <v>274</v>
      </c>
      <c r="K1303" s="37" t="str">
        <f t="shared" si="23"/>
        <v>Livingston, MI</v>
      </c>
      <c r="L1303" s="24"/>
    </row>
    <row r="1304">
      <c r="A1304" s="28">
        <v>1303.0</v>
      </c>
      <c r="B1304" s="29"/>
      <c r="C1304" s="29"/>
      <c r="D1304" s="40">
        <v>1.0</v>
      </c>
      <c r="E1304" s="31">
        <v>26.0</v>
      </c>
      <c r="F1304" s="42">
        <v>95.0</v>
      </c>
      <c r="G1304" s="29" t="str">
        <f t="shared" si="1"/>
        <v>26095</v>
      </c>
      <c r="H1304" s="37" t="s">
        <v>1267</v>
      </c>
      <c r="I1304" s="37" t="s">
        <v>60</v>
      </c>
      <c r="J1304" s="37" t="s">
        <v>274</v>
      </c>
      <c r="K1304" s="37" t="str">
        <f t="shared" si="23"/>
        <v>Luce, MI</v>
      </c>
      <c r="L1304" s="24"/>
    </row>
    <row r="1305">
      <c r="A1305" s="28">
        <v>1304.0</v>
      </c>
      <c r="B1305" s="29"/>
      <c r="C1305" s="29"/>
      <c r="D1305" s="40">
        <v>1.0</v>
      </c>
      <c r="E1305" s="31">
        <v>26.0</v>
      </c>
      <c r="F1305" s="42">
        <v>97.0</v>
      </c>
      <c r="G1305" s="29" t="str">
        <f t="shared" si="1"/>
        <v>26097</v>
      </c>
      <c r="H1305" s="37" t="s">
        <v>1268</v>
      </c>
      <c r="I1305" s="37" t="s">
        <v>60</v>
      </c>
      <c r="J1305" s="37" t="s">
        <v>274</v>
      </c>
      <c r="K1305" s="37" t="str">
        <f t="shared" si="23"/>
        <v>Mackinac, MI</v>
      </c>
      <c r="L1305" s="24"/>
    </row>
    <row r="1306">
      <c r="A1306" s="28">
        <v>1305.0</v>
      </c>
      <c r="B1306" s="29"/>
      <c r="C1306" s="29"/>
      <c r="D1306" s="40">
        <v>1.0</v>
      </c>
      <c r="E1306" s="31">
        <v>26.0</v>
      </c>
      <c r="F1306" s="42">
        <v>99.0</v>
      </c>
      <c r="G1306" s="29" t="str">
        <f t="shared" si="1"/>
        <v>26099</v>
      </c>
      <c r="H1306" s="37" t="s">
        <v>478</v>
      </c>
      <c r="I1306" s="37" t="s">
        <v>60</v>
      </c>
      <c r="J1306" s="37" t="s">
        <v>274</v>
      </c>
      <c r="K1306" s="37" t="str">
        <f t="shared" si="23"/>
        <v>Macomb, MI</v>
      </c>
      <c r="L1306" s="24"/>
    </row>
    <row r="1307">
      <c r="A1307" s="28">
        <v>1306.0</v>
      </c>
      <c r="B1307" s="29"/>
      <c r="C1307" s="29"/>
      <c r="D1307" s="40">
        <v>1.0</v>
      </c>
      <c r="E1307" s="31">
        <v>26.0</v>
      </c>
      <c r="F1307" s="42">
        <v>101.0</v>
      </c>
      <c r="G1307" s="29" t="str">
        <f t="shared" si="1"/>
        <v>26101</v>
      </c>
      <c r="H1307" s="37" t="s">
        <v>1269</v>
      </c>
      <c r="I1307" s="37" t="s">
        <v>60</v>
      </c>
      <c r="J1307" s="37" t="s">
        <v>274</v>
      </c>
      <c r="K1307" s="37" t="str">
        <f t="shared" si="23"/>
        <v>Manistee, MI</v>
      </c>
      <c r="L1307" s="24"/>
    </row>
    <row r="1308">
      <c r="A1308" s="28">
        <v>1307.0</v>
      </c>
      <c r="B1308" s="29"/>
      <c r="C1308" s="29"/>
      <c r="D1308" s="40">
        <v>1.0</v>
      </c>
      <c r="E1308" s="31">
        <v>26.0</v>
      </c>
      <c r="F1308" s="42">
        <v>103.0</v>
      </c>
      <c r="G1308" s="29" t="str">
        <f t="shared" si="1"/>
        <v>26103</v>
      </c>
      <c r="H1308" s="37" t="s">
        <v>1270</v>
      </c>
      <c r="I1308" s="37" t="s">
        <v>60</v>
      </c>
      <c r="J1308" s="37" t="s">
        <v>274</v>
      </c>
      <c r="K1308" s="37" t="str">
        <f t="shared" si="23"/>
        <v>Marquette, MI</v>
      </c>
      <c r="L1308" s="24"/>
    </row>
    <row r="1309">
      <c r="A1309" s="28">
        <v>1308.0</v>
      </c>
      <c r="B1309" s="29"/>
      <c r="C1309" s="29"/>
      <c r="D1309" s="40">
        <v>1.0</v>
      </c>
      <c r="E1309" s="31">
        <v>26.0</v>
      </c>
      <c r="F1309" s="42">
        <v>105.0</v>
      </c>
      <c r="G1309" s="29" t="str">
        <f t="shared" si="1"/>
        <v>26105</v>
      </c>
      <c r="H1309" s="37" t="s">
        <v>735</v>
      </c>
      <c r="I1309" s="37" t="s">
        <v>60</v>
      </c>
      <c r="J1309" s="37" t="s">
        <v>274</v>
      </c>
      <c r="K1309" s="37" t="str">
        <f t="shared" si="23"/>
        <v>Mason, MI</v>
      </c>
      <c r="L1309" s="24"/>
    </row>
    <row r="1310">
      <c r="A1310" s="28">
        <v>1309.0</v>
      </c>
      <c r="B1310" s="29"/>
      <c r="C1310" s="29"/>
      <c r="D1310" s="40">
        <v>1.0</v>
      </c>
      <c r="E1310" s="31">
        <v>26.0</v>
      </c>
      <c r="F1310" s="42">
        <v>107.0</v>
      </c>
      <c r="G1310" s="29" t="str">
        <f t="shared" si="1"/>
        <v>26107</v>
      </c>
      <c r="H1310" s="37" t="s">
        <v>1271</v>
      </c>
      <c r="I1310" s="37" t="s">
        <v>60</v>
      </c>
      <c r="J1310" s="37" t="s">
        <v>274</v>
      </c>
      <c r="K1310" s="37" t="str">
        <f t="shared" si="23"/>
        <v>Mecosta, MI</v>
      </c>
      <c r="L1310" s="24"/>
    </row>
    <row r="1311">
      <c r="A1311" s="28">
        <v>1310.0</v>
      </c>
      <c r="B1311" s="29"/>
      <c r="C1311" s="29"/>
      <c r="D1311" s="40">
        <v>1.0</v>
      </c>
      <c r="E1311" s="31">
        <v>26.0</v>
      </c>
      <c r="F1311" s="42">
        <v>109.0</v>
      </c>
      <c r="G1311" s="29" t="str">
        <f t="shared" si="1"/>
        <v>26109</v>
      </c>
      <c r="H1311" s="37" t="s">
        <v>1272</v>
      </c>
      <c r="I1311" s="37" t="s">
        <v>60</v>
      </c>
      <c r="J1311" s="37" t="s">
        <v>274</v>
      </c>
      <c r="K1311" s="37" t="str">
        <f t="shared" si="23"/>
        <v>Menominee, MI</v>
      </c>
      <c r="L1311" s="24"/>
    </row>
    <row r="1312">
      <c r="A1312" s="28">
        <v>1311.0</v>
      </c>
      <c r="B1312" s="29"/>
      <c r="C1312" s="29"/>
      <c r="D1312" s="40">
        <v>1.0</v>
      </c>
      <c r="E1312" s="31">
        <v>26.0</v>
      </c>
      <c r="F1312" s="42">
        <v>111.0</v>
      </c>
      <c r="G1312" s="29" t="str">
        <f t="shared" si="1"/>
        <v>26111</v>
      </c>
      <c r="H1312" s="37" t="s">
        <v>1273</v>
      </c>
      <c r="I1312" s="37" t="s">
        <v>60</v>
      </c>
      <c r="J1312" s="37" t="s">
        <v>274</v>
      </c>
      <c r="K1312" s="37" t="str">
        <f t="shared" si="23"/>
        <v>Midland, MI</v>
      </c>
      <c r="L1312" s="24"/>
    </row>
    <row r="1313">
      <c r="A1313" s="28">
        <v>1312.0</v>
      </c>
      <c r="B1313" s="29"/>
      <c r="C1313" s="29"/>
      <c r="D1313" s="40">
        <v>1.0</v>
      </c>
      <c r="E1313" s="31">
        <v>26.0</v>
      </c>
      <c r="F1313" s="42">
        <v>113.0</v>
      </c>
      <c r="G1313" s="29" t="str">
        <f t="shared" si="1"/>
        <v>26113</v>
      </c>
      <c r="H1313" s="37" t="s">
        <v>1274</v>
      </c>
      <c r="I1313" s="37" t="s">
        <v>60</v>
      </c>
      <c r="J1313" s="37" t="s">
        <v>274</v>
      </c>
      <c r="K1313" s="37" t="str">
        <f t="shared" si="23"/>
        <v>Missaukee, MI</v>
      </c>
      <c r="L1313" s="24"/>
    </row>
    <row r="1314">
      <c r="A1314" s="28">
        <v>1313.0</v>
      </c>
      <c r="B1314" s="29"/>
      <c r="C1314" s="29"/>
      <c r="D1314" s="40">
        <v>1.0</v>
      </c>
      <c r="E1314" s="31">
        <v>26.0</v>
      </c>
      <c r="F1314" s="42">
        <v>115.0</v>
      </c>
      <c r="G1314" s="29" t="str">
        <f t="shared" si="1"/>
        <v>26115</v>
      </c>
      <c r="H1314" s="37" t="s">
        <v>156</v>
      </c>
      <c r="I1314" s="37" t="s">
        <v>60</v>
      </c>
      <c r="J1314" s="37" t="s">
        <v>274</v>
      </c>
      <c r="K1314" s="37" t="str">
        <f t="shared" si="23"/>
        <v>Monroe, MI</v>
      </c>
      <c r="L1314" s="24"/>
    </row>
    <row r="1315">
      <c r="A1315" s="28">
        <v>1314.0</v>
      </c>
      <c r="B1315" s="29"/>
      <c r="C1315" s="29"/>
      <c r="D1315" s="40">
        <v>1.0</v>
      </c>
      <c r="E1315" s="31">
        <v>26.0</v>
      </c>
      <c r="F1315" s="42">
        <v>117.0</v>
      </c>
      <c r="G1315" s="29" t="str">
        <f t="shared" si="1"/>
        <v>26117</v>
      </c>
      <c r="H1315" s="37" t="s">
        <v>1275</v>
      </c>
      <c r="I1315" s="37" t="s">
        <v>60</v>
      </c>
      <c r="J1315" s="37" t="s">
        <v>274</v>
      </c>
      <c r="K1315" s="37" t="str">
        <f t="shared" si="23"/>
        <v>Montcalm, MI</v>
      </c>
      <c r="L1315" s="24"/>
    </row>
    <row r="1316">
      <c r="A1316" s="28">
        <v>1315.0</v>
      </c>
      <c r="B1316" s="29"/>
      <c r="C1316" s="29"/>
      <c r="D1316" s="40">
        <v>1.0</v>
      </c>
      <c r="E1316" s="31">
        <v>26.0</v>
      </c>
      <c r="F1316" s="42">
        <v>119.0</v>
      </c>
      <c r="G1316" s="29" t="str">
        <f t="shared" si="1"/>
        <v>26119</v>
      </c>
      <c r="H1316" s="37" t="s">
        <v>1276</v>
      </c>
      <c r="I1316" s="37" t="s">
        <v>60</v>
      </c>
      <c r="J1316" s="37" t="s">
        <v>274</v>
      </c>
      <c r="K1316" s="136" t="str">
        <f t="shared" si="23"/>
        <v>Montmorency, MI</v>
      </c>
      <c r="L1316" s="24"/>
    </row>
    <row r="1317">
      <c r="A1317" s="28">
        <v>1316.0</v>
      </c>
      <c r="B1317" s="29"/>
      <c r="C1317" s="29"/>
      <c r="D1317" s="40">
        <v>1.0</v>
      </c>
      <c r="E1317" s="31">
        <v>26.0</v>
      </c>
      <c r="F1317" s="42">
        <v>121.0</v>
      </c>
      <c r="G1317" s="29" t="str">
        <f t="shared" si="1"/>
        <v>26121</v>
      </c>
      <c r="H1317" s="37" t="s">
        <v>1277</v>
      </c>
      <c r="I1317" s="37" t="s">
        <v>60</v>
      </c>
      <c r="J1317" s="37" t="s">
        <v>274</v>
      </c>
      <c r="K1317" s="37" t="str">
        <f t="shared" si="23"/>
        <v>Muskegon, MI</v>
      </c>
      <c r="L1317" s="24"/>
    </row>
    <row r="1318">
      <c r="A1318" s="28">
        <v>1317.0</v>
      </c>
      <c r="B1318" s="29"/>
      <c r="C1318" s="29"/>
      <c r="D1318" s="40">
        <v>1.0</v>
      </c>
      <c r="E1318" s="31">
        <v>26.0</v>
      </c>
      <c r="F1318" s="42">
        <v>123.0</v>
      </c>
      <c r="G1318" s="29" t="str">
        <f t="shared" si="1"/>
        <v>26123</v>
      </c>
      <c r="H1318" s="37" t="s">
        <v>1278</v>
      </c>
      <c r="I1318" s="37" t="s">
        <v>60</v>
      </c>
      <c r="J1318" s="37" t="s">
        <v>274</v>
      </c>
      <c r="K1318" s="37" t="str">
        <f t="shared" si="23"/>
        <v>Newaygo, MI</v>
      </c>
      <c r="L1318" s="24"/>
    </row>
    <row r="1319">
      <c r="A1319" s="28">
        <v>1318.0</v>
      </c>
      <c r="B1319" s="29"/>
      <c r="C1319" s="29"/>
      <c r="D1319" s="40">
        <v>1.0</v>
      </c>
      <c r="E1319" s="31">
        <v>26.0</v>
      </c>
      <c r="F1319" s="42">
        <v>125.0</v>
      </c>
      <c r="G1319" s="29" t="str">
        <f t="shared" si="1"/>
        <v>26125</v>
      </c>
      <c r="H1319" s="37" t="s">
        <v>353</v>
      </c>
      <c r="I1319" s="37" t="s">
        <v>60</v>
      </c>
      <c r="J1319" s="37" t="s">
        <v>274</v>
      </c>
      <c r="K1319" s="37" t="str">
        <f t="shared" si="23"/>
        <v>Oakland, MI</v>
      </c>
      <c r="L1319" s="24"/>
    </row>
    <row r="1320">
      <c r="A1320" s="28">
        <v>1319.0</v>
      </c>
      <c r="B1320" s="29"/>
      <c r="C1320" s="29"/>
      <c r="D1320" s="40">
        <v>1.0</v>
      </c>
      <c r="E1320" s="31">
        <v>26.0</v>
      </c>
      <c r="F1320" s="42">
        <v>127.0</v>
      </c>
      <c r="G1320" s="29" t="str">
        <f t="shared" si="1"/>
        <v>26127</v>
      </c>
      <c r="H1320" s="37" t="s">
        <v>1280</v>
      </c>
      <c r="I1320" s="37" t="s">
        <v>60</v>
      </c>
      <c r="J1320" s="37" t="s">
        <v>274</v>
      </c>
      <c r="K1320" s="37" t="str">
        <f t="shared" si="23"/>
        <v>Oceana, MI</v>
      </c>
      <c r="L1320" s="24"/>
    </row>
    <row r="1321">
      <c r="A1321" s="28">
        <v>1320.0</v>
      </c>
      <c r="B1321" s="29"/>
      <c r="C1321" s="29"/>
      <c r="D1321" s="40">
        <v>1.0</v>
      </c>
      <c r="E1321" s="31">
        <v>26.0</v>
      </c>
      <c r="F1321" s="42">
        <v>129.0</v>
      </c>
      <c r="G1321" s="29" t="str">
        <f t="shared" si="1"/>
        <v>26129</v>
      </c>
      <c r="H1321" s="37" t="s">
        <v>1281</v>
      </c>
      <c r="I1321" s="37" t="s">
        <v>60</v>
      </c>
      <c r="J1321" s="37" t="s">
        <v>274</v>
      </c>
      <c r="K1321" s="37" t="str">
        <f t="shared" si="23"/>
        <v>Ogemaw, MI</v>
      </c>
      <c r="L1321" s="24"/>
    </row>
    <row r="1322">
      <c r="A1322" s="28">
        <v>1321.0</v>
      </c>
      <c r="B1322" s="29"/>
      <c r="C1322" s="29"/>
      <c r="D1322" s="40">
        <v>1.0</v>
      </c>
      <c r="E1322" s="31">
        <v>26.0</v>
      </c>
      <c r="F1322" s="42">
        <v>131.0</v>
      </c>
      <c r="G1322" s="29" t="str">
        <f t="shared" si="1"/>
        <v>26131</v>
      </c>
      <c r="H1322" s="37" t="s">
        <v>1282</v>
      </c>
      <c r="I1322" s="37" t="s">
        <v>60</v>
      </c>
      <c r="J1322" s="37" t="s">
        <v>274</v>
      </c>
      <c r="K1322" s="37" t="str">
        <f t="shared" si="23"/>
        <v>Ontonagon, MI</v>
      </c>
      <c r="L1322" s="24"/>
    </row>
    <row r="1323">
      <c r="A1323" s="28">
        <v>1322.0</v>
      </c>
      <c r="B1323" s="29"/>
      <c r="C1323" s="29"/>
      <c r="D1323" s="40">
        <v>1.0</v>
      </c>
      <c r="E1323" s="31">
        <v>26.0</v>
      </c>
      <c r="F1323" s="42">
        <v>133.0</v>
      </c>
      <c r="G1323" s="29" t="str">
        <f t="shared" si="1"/>
        <v>26133</v>
      </c>
      <c r="H1323" s="37" t="s">
        <v>515</v>
      </c>
      <c r="I1323" s="37" t="s">
        <v>60</v>
      </c>
      <c r="J1323" s="37" t="s">
        <v>274</v>
      </c>
      <c r="K1323" s="37" t="str">
        <f t="shared" si="23"/>
        <v>Osceola, MI</v>
      </c>
      <c r="L1323" s="24"/>
    </row>
    <row r="1324">
      <c r="A1324" s="28">
        <v>1323.0</v>
      </c>
      <c r="B1324" s="29"/>
      <c r="C1324" s="29"/>
      <c r="D1324" s="40">
        <v>1.0</v>
      </c>
      <c r="E1324" s="31">
        <v>26.0</v>
      </c>
      <c r="F1324" s="42">
        <v>135.0</v>
      </c>
      <c r="G1324" s="29" t="str">
        <f t="shared" si="1"/>
        <v>26135</v>
      </c>
      <c r="H1324" s="37" t="s">
        <v>1284</v>
      </c>
      <c r="I1324" s="37" t="s">
        <v>60</v>
      </c>
      <c r="J1324" s="37" t="s">
        <v>274</v>
      </c>
      <c r="K1324" s="37" t="str">
        <f t="shared" si="23"/>
        <v>Oscoda, MI</v>
      </c>
      <c r="L1324" s="24"/>
    </row>
    <row r="1325">
      <c r="A1325" s="28">
        <v>1324.0</v>
      </c>
      <c r="B1325" s="29"/>
      <c r="C1325" s="29"/>
      <c r="D1325" s="40">
        <v>1.0</v>
      </c>
      <c r="E1325" s="31">
        <v>26.0</v>
      </c>
      <c r="F1325" s="42">
        <v>137.0</v>
      </c>
      <c r="G1325" s="29" t="str">
        <f t="shared" si="1"/>
        <v>26137</v>
      </c>
      <c r="H1325" s="37" t="s">
        <v>1286</v>
      </c>
      <c r="I1325" s="37" t="s">
        <v>60</v>
      </c>
      <c r="J1325" s="37" t="s">
        <v>274</v>
      </c>
      <c r="K1325" s="37" t="str">
        <f t="shared" si="23"/>
        <v>Otsego, MI</v>
      </c>
      <c r="L1325" s="24"/>
    </row>
    <row r="1326">
      <c r="A1326" s="28">
        <v>1325.0</v>
      </c>
      <c r="B1326" s="29"/>
      <c r="C1326" s="29"/>
      <c r="D1326" s="40">
        <v>1.0</v>
      </c>
      <c r="E1326" s="31">
        <v>26.0</v>
      </c>
      <c r="F1326" s="42">
        <v>139.0</v>
      </c>
      <c r="G1326" s="29" t="str">
        <f t="shared" si="1"/>
        <v>26139</v>
      </c>
      <c r="H1326" s="37" t="s">
        <v>998</v>
      </c>
      <c r="I1326" s="37" t="s">
        <v>60</v>
      </c>
      <c r="J1326" s="37" t="s">
        <v>274</v>
      </c>
      <c r="K1326" s="37" t="str">
        <f t="shared" si="23"/>
        <v>Ottawa, MI</v>
      </c>
      <c r="L1326" s="24"/>
    </row>
    <row r="1327">
      <c r="A1327" s="28">
        <v>1326.0</v>
      </c>
      <c r="B1327" s="29"/>
      <c r="C1327" s="29"/>
      <c r="D1327" s="40">
        <v>1.0</v>
      </c>
      <c r="E1327" s="31">
        <v>26.0</v>
      </c>
      <c r="F1327" s="42">
        <v>141.0</v>
      </c>
      <c r="G1327" s="29" t="str">
        <f t="shared" si="1"/>
        <v>26141</v>
      </c>
      <c r="H1327" s="37" t="s">
        <v>1288</v>
      </c>
      <c r="I1327" s="37" t="s">
        <v>60</v>
      </c>
      <c r="J1327" s="37" t="s">
        <v>274</v>
      </c>
      <c r="K1327" s="37" t="str">
        <f t="shared" si="23"/>
        <v>Presque Isle, MI</v>
      </c>
      <c r="L1327" s="24"/>
    </row>
    <row r="1328">
      <c r="A1328" s="28">
        <v>1327.0</v>
      </c>
      <c r="B1328" s="29"/>
      <c r="C1328" s="29"/>
      <c r="D1328" s="40">
        <v>1.0</v>
      </c>
      <c r="E1328" s="31">
        <v>26.0</v>
      </c>
      <c r="F1328" s="42">
        <v>143.0</v>
      </c>
      <c r="G1328" s="29" t="str">
        <f t="shared" si="1"/>
        <v>26143</v>
      </c>
      <c r="H1328" s="37" t="s">
        <v>1289</v>
      </c>
      <c r="I1328" s="37" t="s">
        <v>60</v>
      </c>
      <c r="J1328" s="37" t="s">
        <v>274</v>
      </c>
      <c r="K1328" s="37" t="str">
        <f t="shared" si="23"/>
        <v>Roscommon, MI</v>
      </c>
      <c r="L1328" s="24"/>
    </row>
    <row r="1329">
      <c r="A1329" s="28">
        <v>1328.0</v>
      </c>
      <c r="B1329" s="29"/>
      <c r="C1329" s="29"/>
      <c r="D1329" s="40">
        <v>1.0</v>
      </c>
      <c r="E1329" s="31">
        <v>26.0</v>
      </c>
      <c r="F1329" s="42">
        <v>145.0</v>
      </c>
      <c r="G1329" s="29" t="str">
        <f t="shared" si="1"/>
        <v>26145</v>
      </c>
      <c r="H1329" s="37" t="s">
        <v>1290</v>
      </c>
      <c r="I1329" s="37" t="s">
        <v>60</v>
      </c>
      <c r="J1329" s="37" t="s">
        <v>274</v>
      </c>
      <c r="K1329" s="37" t="str">
        <f t="shared" si="23"/>
        <v>Saginaw, MI</v>
      </c>
      <c r="L1329" s="24"/>
    </row>
    <row r="1330">
      <c r="A1330" s="28">
        <v>1329.0</v>
      </c>
      <c r="B1330" s="29"/>
      <c r="C1330" s="29"/>
      <c r="D1330" s="40">
        <v>1.0</v>
      </c>
      <c r="E1330" s="31">
        <v>26.0</v>
      </c>
      <c r="F1330" s="42">
        <v>147.0</v>
      </c>
      <c r="G1330" s="29" t="str">
        <f t="shared" si="1"/>
        <v>26147</v>
      </c>
      <c r="H1330" s="37" t="s">
        <v>167</v>
      </c>
      <c r="I1330" s="37" t="s">
        <v>60</v>
      </c>
      <c r="J1330" s="37" t="s">
        <v>274</v>
      </c>
      <c r="K1330" s="37" t="str">
        <f t="shared" si="23"/>
        <v>St Clair, MI</v>
      </c>
      <c r="L1330" s="24"/>
    </row>
    <row r="1331">
      <c r="A1331" s="28">
        <v>1330.0</v>
      </c>
      <c r="B1331" s="29"/>
      <c r="C1331" s="29"/>
      <c r="D1331" s="40">
        <v>1.0</v>
      </c>
      <c r="E1331" s="31">
        <v>26.0</v>
      </c>
      <c r="F1331" s="42">
        <v>149.0</v>
      </c>
      <c r="G1331" s="29" t="str">
        <f t="shared" si="1"/>
        <v>26149</v>
      </c>
      <c r="H1331" s="37" t="s">
        <v>847</v>
      </c>
      <c r="I1331" s="37" t="s">
        <v>60</v>
      </c>
      <c r="J1331" s="37" t="s">
        <v>274</v>
      </c>
      <c r="K1331" s="37" t="str">
        <f t="shared" si="23"/>
        <v>St Joseph, MI</v>
      </c>
      <c r="L1331" s="24"/>
    </row>
    <row r="1332">
      <c r="A1332" s="28">
        <v>1331.0</v>
      </c>
      <c r="B1332" s="29"/>
      <c r="C1332" s="29"/>
      <c r="D1332" s="40">
        <v>1.0</v>
      </c>
      <c r="E1332" s="31">
        <v>26.0</v>
      </c>
      <c r="F1332" s="42">
        <v>151.0</v>
      </c>
      <c r="G1332" s="29" t="str">
        <f t="shared" si="1"/>
        <v>26151</v>
      </c>
      <c r="H1332" s="37" t="s">
        <v>1291</v>
      </c>
      <c r="I1332" s="37" t="s">
        <v>60</v>
      </c>
      <c r="J1332" s="37" t="s">
        <v>274</v>
      </c>
      <c r="K1332" s="37" t="str">
        <f t="shared" si="23"/>
        <v>Sanilac, MI</v>
      </c>
      <c r="L1332" s="24"/>
    </row>
    <row r="1333">
      <c r="A1333" s="28">
        <v>1332.0</v>
      </c>
      <c r="B1333" s="29"/>
      <c r="C1333" s="29"/>
      <c r="D1333" s="40">
        <v>1.0</v>
      </c>
      <c r="E1333" s="31">
        <v>26.0</v>
      </c>
      <c r="F1333" s="42">
        <v>153.0</v>
      </c>
      <c r="G1333" s="29" t="str">
        <f t="shared" si="1"/>
        <v>26153</v>
      </c>
      <c r="H1333" s="37" t="s">
        <v>1292</v>
      </c>
      <c r="I1333" s="37" t="s">
        <v>60</v>
      </c>
      <c r="J1333" s="37" t="s">
        <v>274</v>
      </c>
      <c r="K1333" s="37" t="str">
        <f t="shared" si="23"/>
        <v>Schoolcraft, MI</v>
      </c>
      <c r="L1333" s="24"/>
    </row>
    <row r="1334">
      <c r="A1334" s="28">
        <v>1333.0</v>
      </c>
      <c r="B1334" s="29"/>
      <c r="C1334" s="29"/>
      <c r="D1334" s="40">
        <v>1.0</v>
      </c>
      <c r="E1334" s="31">
        <v>26.0</v>
      </c>
      <c r="F1334" s="42">
        <v>155.0</v>
      </c>
      <c r="G1334" s="29" t="str">
        <f t="shared" si="1"/>
        <v>26155</v>
      </c>
      <c r="H1334" s="37" t="s">
        <v>1293</v>
      </c>
      <c r="I1334" s="37" t="s">
        <v>60</v>
      </c>
      <c r="J1334" s="37" t="s">
        <v>274</v>
      </c>
      <c r="K1334" s="37" t="str">
        <f t="shared" si="23"/>
        <v>Shiawassee, MI</v>
      </c>
      <c r="L1334" s="24"/>
    </row>
    <row r="1335">
      <c r="A1335" s="28">
        <v>1334.0</v>
      </c>
      <c r="B1335" s="29"/>
      <c r="C1335" s="29"/>
      <c r="D1335" s="40">
        <v>1.0</v>
      </c>
      <c r="E1335" s="31">
        <v>26.0</v>
      </c>
      <c r="F1335" s="42">
        <v>157.0</v>
      </c>
      <c r="G1335" s="29" t="str">
        <f t="shared" si="1"/>
        <v>26157</v>
      </c>
      <c r="H1335" s="37" t="s">
        <v>1294</v>
      </c>
      <c r="I1335" s="37" t="s">
        <v>60</v>
      </c>
      <c r="J1335" s="37" t="s">
        <v>274</v>
      </c>
      <c r="K1335" s="37" t="str">
        <f t="shared" si="23"/>
        <v>Tuscola, MI</v>
      </c>
      <c r="L1335" s="24"/>
    </row>
    <row r="1336">
      <c r="A1336" s="28">
        <v>1335.0</v>
      </c>
      <c r="B1336" s="29"/>
      <c r="C1336" s="29"/>
      <c r="D1336" s="40">
        <v>1.0</v>
      </c>
      <c r="E1336" s="31">
        <v>26.0</v>
      </c>
      <c r="F1336" s="42">
        <v>159.0</v>
      </c>
      <c r="G1336" s="29" t="str">
        <f t="shared" si="1"/>
        <v>26159</v>
      </c>
      <c r="H1336" s="37" t="s">
        <v>317</v>
      </c>
      <c r="I1336" s="37" t="s">
        <v>60</v>
      </c>
      <c r="J1336" s="37" t="s">
        <v>274</v>
      </c>
      <c r="K1336" s="37" t="str">
        <f t="shared" si="23"/>
        <v>Van Buren, MI</v>
      </c>
      <c r="L1336" s="24"/>
    </row>
    <row r="1337">
      <c r="A1337" s="28">
        <v>1336.0</v>
      </c>
      <c r="B1337" s="29"/>
      <c r="C1337" s="29"/>
      <c r="D1337" s="40">
        <v>1.0</v>
      </c>
      <c r="E1337" s="31">
        <v>26.0</v>
      </c>
      <c r="F1337" s="42">
        <v>161.0</v>
      </c>
      <c r="G1337" s="29" t="str">
        <f t="shared" si="1"/>
        <v>26161</v>
      </c>
      <c r="H1337" s="37" t="s">
        <v>1295</v>
      </c>
      <c r="I1337" s="37" t="s">
        <v>60</v>
      </c>
      <c r="J1337" s="37" t="s">
        <v>274</v>
      </c>
      <c r="K1337" s="37" t="str">
        <f t="shared" si="23"/>
        <v>Washtenaw, MI</v>
      </c>
      <c r="L1337" s="24"/>
    </row>
    <row r="1338">
      <c r="A1338" s="28">
        <v>1337.0</v>
      </c>
      <c r="B1338" s="29"/>
      <c r="C1338" s="29"/>
      <c r="D1338" s="40">
        <v>1.0</v>
      </c>
      <c r="E1338" s="31">
        <v>26.0</v>
      </c>
      <c r="F1338" s="42">
        <v>163.0</v>
      </c>
      <c r="G1338" s="29" t="str">
        <f t="shared" si="1"/>
        <v>26163</v>
      </c>
      <c r="H1338" s="37" t="s">
        <v>273</v>
      </c>
      <c r="I1338" s="37" t="s">
        <v>60</v>
      </c>
      <c r="J1338" s="37" t="s">
        <v>274</v>
      </c>
      <c r="K1338" s="37" t="str">
        <f t="shared" si="23"/>
        <v>Wayne, MI</v>
      </c>
      <c r="L1338" s="24"/>
    </row>
    <row r="1339">
      <c r="A1339" s="28">
        <v>1338.0</v>
      </c>
      <c r="B1339" s="29"/>
      <c r="C1339" s="29"/>
      <c r="D1339" s="40">
        <v>1.0</v>
      </c>
      <c r="E1339" s="31">
        <v>26.0</v>
      </c>
      <c r="F1339" s="42">
        <v>165.0</v>
      </c>
      <c r="G1339" s="29" t="str">
        <f t="shared" si="1"/>
        <v>26165</v>
      </c>
      <c r="H1339" s="37" t="s">
        <v>1296</v>
      </c>
      <c r="I1339" s="37" t="s">
        <v>60</v>
      </c>
      <c r="J1339" s="37" t="s">
        <v>274</v>
      </c>
      <c r="K1339" s="37" t="str">
        <f t="shared" si="23"/>
        <v>Wexford, MI</v>
      </c>
      <c r="L1339" s="24"/>
    </row>
    <row r="1340">
      <c r="A1340" s="99">
        <v>1339.0</v>
      </c>
      <c r="B1340" s="15"/>
      <c r="C1340" s="14" t="s">
        <v>25</v>
      </c>
      <c r="D1340" s="16"/>
      <c r="E1340" s="102">
        <v>27.0</v>
      </c>
      <c r="F1340" s="107">
        <v>0.0</v>
      </c>
      <c r="G1340" s="15" t="str">
        <f t="shared" si="1"/>
        <v>27000</v>
      </c>
      <c r="H1340" s="23"/>
      <c r="I1340" s="23" t="s">
        <v>65</v>
      </c>
      <c r="J1340" s="23" t="s">
        <v>351</v>
      </c>
      <c r="K1340" s="23"/>
      <c r="L1340" s="24"/>
    </row>
    <row r="1341">
      <c r="A1341" s="99">
        <v>1340.0</v>
      </c>
      <c r="B1341" s="15"/>
      <c r="C1341" s="15"/>
      <c r="D1341" s="105">
        <v>1.0</v>
      </c>
      <c r="E1341" s="102">
        <v>27.0</v>
      </c>
      <c r="F1341" s="107">
        <v>1.0</v>
      </c>
      <c r="G1341" s="15" t="str">
        <f t="shared" si="1"/>
        <v>27001</v>
      </c>
      <c r="H1341" s="23" t="s">
        <v>1297</v>
      </c>
      <c r="I1341" s="23" t="s">
        <v>65</v>
      </c>
      <c r="J1341" s="23" t="s">
        <v>351</v>
      </c>
      <c r="K1341" s="23" t="str">
        <f t="shared" ref="K1341:K1427" si="24">CONCATENATE(H1341,", ",J1341)</f>
        <v>Aitkin, MN</v>
      </c>
      <c r="L1341" s="24"/>
    </row>
    <row r="1342">
      <c r="A1342" s="99">
        <v>1341.0</v>
      </c>
      <c r="B1342" s="15"/>
      <c r="C1342" s="15"/>
      <c r="D1342" s="105">
        <v>1.0</v>
      </c>
      <c r="E1342" s="102">
        <v>27.0</v>
      </c>
      <c r="F1342" s="107">
        <v>3.0</v>
      </c>
      <c r="G1342" s="15" t="str">
        <f t="shared" si="1"/>
        <v>27003</v>
      </c>
      <c r="H1342" s="23" t="s">
        <v>1298</v>
      </c>
      <c r="I1342" s="23" t="s">
        <v>65</v>
      </c>
      <c r="J1342" s="23" t="s">
        <v>351</v>
      </c>
      <c r="K1342" s="23" t="str">
        <f t="shared" si="24"/>
        <v>Anoka, MN</v>
      </c>
      <c r="L1342" s="24"/>
    </row>
    <row r="1343">
      <c r="A1343" s="99">
        <v>1342.0</v>
      </c>
      <c r="B1343" s="15"/>
      <c r="C1343" s="15"/>
      <c r="D1343" s="105">
        <v>1.0</v>
      </c>
      <c r="E1343" s="102">
        <v>27.0</v>
      </c>
      <c r="F1343" s="107">
        <v>5.0</v>
      </c>
      <c r="G1343" s="15" t="str">
        <f t="shared" si="1"/>
        <v>27005</v>
      </c>
      <c r="H1343" s="23" t="s">
        <v>1299</v>
      </c>
      <c r="I1343" s="23" t="s">
        <v>65</v>
      </c>
      <c r="J1343" s="23" t="s">
        <v>351</v>
      </c>
      <c r="K1343" s="23" t="str">
        <f t="shared" si="24"/>
        <v>Becker, MN</v>
      </c>
      <c r="L1343" s="24"/>
    </row>
    <row r="1344">
      <c r="A1344" s="99">
        <v>1343.0</v>
      </c>
      <c r="B1344" s="15"/>
      <c r="C1344" s="15"/>
      <c r="D1344" s="105">
        <v>1.0</v>
      </c>
      <c r="E1344" s="102">
        <v>27.0</v>
      </c>
      <c r="F1344" s="107">
        <v>7.0</v>
      </c>
      <c r="G1344" s="15" t="str">
        <f t="shared" si="1"/>
        <v>27007</v>
      </c>
      <c r="H1344" s="23" t="s">
        <v>1300</v>
      </c>
      <c r="I1344" s="23" t="s">
        <v>65</v>
      </c>
      <c r="J1344" s="23" t="s">
        <v>351</v>
      </c>
      <c r="K1344" s="23" t="str">
        <f t="shared" si="24"/>
        <v>Beltrami, MN</v>
      </c>
      <c r="L1344" s="24"/>
    </row>
    <row r="1345">
      <c r="A1345" s="99">
        <v>1344.0</v>
      </c>
      <c r="B1345" s="15"/>
      <c r="C1345" s="15"/>
      <c r="D1345" s="105">
        <v>1.0</v>
      </c>
      <c r="E1345" s="102">
        <v>27.0</v>
      </c>
      <c r="F1345" s="107">
        <v>9.0</v>
      </c>
      <c r="G1345" s="15" t="str">
        <f t="shared" si="1"/>
        <v>27009</v>
      </c>
      <c r="H1345" s="23" t="s">
        <v>243</v>
      </c>
      <c r="I1345" s="23" t="s">
        <v>65</v>
      </c>
      <c r="J1345" s="23" t="s">
        <v>351</v>
      </c>
      <c r="K1345" s="23" t="str">
        <f t="shared" si="24"/>
        <v>Benton, MN</v>
      </c>
      <c r="L1345" s="24"/>
    </row>
    <row r="1346">
      <c r="A1346" s="99">
        <v>1345.0</v>
      </c>
      <c r="B1346" s="15"/>
      <c r="C1346" s="15"/>
      <c r="D1346" s="105">
        <v>1.0</v>
      </c>
      <c r="E1346" s="102">
        <v>27.0</v>
      </c>
      <c r="F1346" s="107">
        <v>11.0</v>
      </c>
      <c r="G1346" s="15" t="str">
        <f t="shared" si="1"/>
        <v>27011</v>
      </c>
      <c r="H1346" s="23" t="s">
        <v>1301</v>
      </c>
      <c r="I1346" s="23" t="s">
        <v>65</v>
      </c>
      <c r="J1346" s="23" t="s">
        <v>351</v>
      </c>
      <c r="K1346" s="23" t="str">
        <f t="shared" si="24"/>
        <v>Big Stone, MN</v>
      </c>
      <c r="L1346" s="24"/>
    </row>
    <row r="1347">
      <c r="A1347" s="99">
        <v>1346.0</v>
      </c>
      <c r="B1347" s="15"/>
      <c r="C1347" s="15"/>
      <c r="D1347" s="105">
        <v>1.0</v>
      </c>
      <c r="E1347" s="102">
        <v>27.0</v>
      </c>
      <c r="F1347" s="107">
        <v>13.0</v>
      </c>
      <c r="G1347" s="15" t="str">
        <f t="shared" si="1"/>
        <v>27013</v>
      </c>
      <c r="H1347" s="23" t="s">
        <v>1302</v>
      </c>
      <c r="I1347" s="23" t="s">
        <v>65</v>
      </c>
      <c r="J1347" s="23" t="s">
        <v>351</v>
      </c>
      <c r="K1347" s="23" t="str">
        <f t="shared" si="24"/>
        <v>Blue Earth, MN</v>
      </c>
      <c r="L1347" s="24"/>
    </row>
    <row r="1348">
      <c r="A1348" s="99">
        <v>1347.0</v>
      </c>
      <c r="B1348" s="15"/>
      <c r="C1348" s="15"/>
      <c r="D1348" s="105">
        <v>1.0</v>
      </c>
      <c r="E1348" s="102">
        <v>27.0</v>
      </c>
      <c r="F1348" s="107">
        <v>15.0</v>
      </c>
      <c r="G1348" s="15" t="str">
        <f t="shared" si="1"/>
        <v>27015</v>
      </c>
      <c r="H1348" s="23" t="s">
        <v>706</v>
      </c>
      <c r="I1348" s="23" t="s">
        <v>65</v>
      </c>
      <c r="J1348" s="23" t="s">
        <v>351</v>
      </c>
      <c r="K1348" s="23" t="str">
        <f t="shared" si="24"/>
        <v>Brown, MN</v>
      </c>
      <c r="L1348" s="24"/>
    </row>
    <row r="1349">
      <c r="A1349" s="99">
        <v>1348.0</v>
      </c>
      <c r="B1349" s="15"/>
      <c r="C1349" s="15"/>
      <c r="D1349" s="105">
        <v>1.0</v>
      </c>
      <c r="E1349" s="102">
        <v>27.0</v>
      </c>
      <c r="F1349" s="107">
        <v>17.0</v>
      </c>
      <c r="G1349" s="15" t="str">
        <f t="shared" si="1"/>
        <v>27017</v>
      </c>
      <c r="H1349" s="23" t="s">
        <v>1303</v>
      </c>
      <c r="I1349" s="23" t="s">
        <v>65</v>
      </c>
      <c r="J1349" s="23" t="s">
        <v>351</v>
      </c>
      <c r="K1349" s="23" t="str">
        <f t="shared" si="24"/>
        <v>Carlton, MN</v>
      </c>
      <c r="L1349" s="24"/>
    </row>
    <row r="1350">
      <c r="A1350" s="99">
        <v>1349.0</v>
      </c>
      <c r="B1350" s="15"/>
      <c r="C1350" s="15"/>
      <c r="D1350" s="105">
        <v>1.0</v>
      </c>
      <c r="E1350" s="102">
        <v>27.0</v>
      </c>
      <c r="F1350" s="107">
        <v>19.0</v>
      </c>
      <c r="G1350" s="15" t="str">
        <f t="shared" si="1"/>
        <v>27019</v>
      </c>
      <c r="H1350" s="23" t="s">
        <v>1304</v>
      </c>
      <c r="I1350" s="23" t="s">
        <v>65</v>
      </c>
      <c r="J1350" s="23" t="s">
        <v>351</v>
      </c>
      <c r="K1350" s="23" t="str">
        <f t="shared" si="24"/>
        <v>Carver, MN</v>
      </c>
      <c r="L1350" s="24"/>
    </row>
    <row r="1351">
      <c r="A1351" s="99">
        <v>1350.0</v>
      </c>
      <c r="B1351" s="15"/>
      <c r="C1351" s="15"/>
      <c r="D1351" s="105">
        <v>1.0</v>
      </c>
      <c r="E1351" s="102">
        <v>27.0</v>
      </c>
      <c r="F1351" s="107">
        <v>21.0</v>
      </c>
      <c r="G1351" s="15" t="str">
        <f t="shared" si="1"/>
        <v>27021</v>
      </c>
      <c r="H1351" s="23" t="s">
        <v>708</v>
      </c>
      <c r="I1351" s="23" t="s">
        <v>65</v>
      </c>
      <c r="J1351" s="23" t="s">
        <v>351</v>
      </c>
      <c r="K1351" s="23" t="str">
        <f t="shared" si="24"/>
        <v>Cass, MN</v>
      </c>
      <c r="L1351" s="24"/>
    </row>
    <row r="1352">
      <c r="A1352" s="99">
        <v>1351.0</v>
      </c>
      <c r="B1352" s="15"/>
      <c r="C1352" s="15"/>
      <c r="D1352" s="105">
        <v>1.0</v>
      </c>
      <c r="E1352" s="102">
        <v>27.0</v>
      </c>
      <c r="F1352" s="107">
        <v>23.0</v>
      </c>
      <c r="G1352" s="15" t="str">
        <f t="shared" si="1"/>
        <v>27023</v>
      </c>
      <c r="H1352" s="23" t="s">
        <v>1245</v>
      </c>
      <c r="I1352" s="23" t="s">
        <v>65</v>
      </c>
      <c r="J1352" s="23" t="s">
        <v>351</v>
      </c>
      <c r="K1352" s="23" t="str">
        <f t="shared" si="24"/>
        <v>Chippewa, MN</v>
      </c>
      <c r="L1352" s="24"/>
    </row>
    <row r="1353">
      <c r="A1353" s="99">
        <v>1352.0</v>
      </c>
      <c r="B1353" s="15"/>
      <c r="C1353" s="15"/>
      <c r="D1353" s="105">
        <v>1.0</v>
      </c>
      <c r="E1353" s="102">
        <v>27.0</v>
      </c>
      <c r="F1353" s="107">
        <v>25.0</v>
      </c>
      <c r="G1353" s="15" t="str">
        <f t="shared" si="1"/>
        <v>27025</v>
      </c>
      <c r="H1353" s="23" t="s">
        <v>1305</v>
      </c>
      <c r="I1353" s="23" t="s">
        <v>65</v>
      </c>
      <c r="J1353" s="23" t="s">
        <v>351</v>
      </c>
      <c r="K1353" s="23" t="str">
        <f t="shared" si="24"/>
        <v>Chisago, MN</v>
      </c>
      <c r="L1353" s="24"/>
    </row>
    <row r="1354">
      <c r="A1354" s="99">
        <v>1353.0</v>
      </c>
      <c r="B1354" s="15"/>
      <c r="C1354" s="15"/>
      <c r="D1354" s="105">
        <v>1.0</v>
      </c>
      <c r="E1354" s="102">
        <v>27.0</v>
      </c>
      <c r="F1354" s="107">
        <v>27.0</v>
      </c>
      <c r="G1354" s="15" t="str">
        <f t="shared" si="1"/>
        <v>27027</v>
      </c>
      <c r="H1354" s="23" t="s">
        <v>112</v>
      </c>
      <c r="I1354" s="23" t="s">
        <v>65</v>
      </c>
      <c r="J1354" s="23" t="s">
        <v>351</v>
      </c>
      <c r="K1354" s="23" t="str">
        <f t="shared" si="24"/>
        <v>Clay, MN</v>
      </c>
      <c r="L1354" s="24"/>
    </row>
    <row r="1355">
      <c r="A1355" s="99">
        <v>1354.0</v>
      </c>
      <c r="B1355" s="15"/>
      <c r="C1355" s="15"/>
      <c r="D1355" s="105">
        <v>1.0</v>
      </c>
      <c r="E1355" s="102">
        <v>27.0</v>
      </c>
      <c r="F1355" s="107">
        <v>29.0</v>
      </c>
      <c r="G1355" s="15" t="str">
        <f t="shared" si="1"/>
        <v>27029</v>
      </c>
      <c r="H1355" s="23" t="s">
        <v>675</v>
      </c>
      <c r="I1355" s="23" t="s">
        <v>65</v>
      </c>
      <c r="J1355" s="23" t="s">
        <v>351</v>
      </c>
      <c r="K1355" s="23" t="str">
        <f t="shared" si="24"/>
        <v>Clearwater, MN</v>
      </c>
      <c r="L1355" s="24"/>
    </row>
    <row r="1356">
      <c r="A1356" s="99">
        <v>1355.0</v>
      </c>
      <c r="B1356" s="15"/>
      <c r="C1356" s="15"/>
      <c r="D1356" s="105">
        <v>1.0</v>
      </c>
      <c r="E1356" s="102">
        <v>27.0</v>
      </c>
      <c r="F1356" s="107">
        <v>31.0</v>
      </c>
      <c r="G1356" s="15" t="str">
        <f t="shared" si="1"/>
        <v>27031</v>
      </c>
      <c r="H1356" s="23" t="s">
        <v>202</v>
      </c>
      <c r="I1356" s="23" t="s">
        <v>65</v>
      </c>
      <c r="J1356" s="23" t="s">
        <v>351</v>
      </c>
      <c r="K1356" s="23" t="str">
        <f t="shared" si="24"/>
        <v>Cook, MN</v>
      </c>
      <c r="L1356" s="24"/>
    </row>
    <row r="1357">
      <c r="A1357" s="99">
        <v>1356.0</v>
      </c>
      <c r="B1357" s="15"/>
      <c r="C1357" s="15"/>
      <c r="D1357" s="105">
        <v>1.0</v>
      </c>
      <c r="E1357" s="102">
        <v>27.0</v>
      </c>
      <c r="F1357" s="107">
        <v>33.0</v>
      </c>
      <c r="G1357" s="15" t="str">
        <f t="shared" si="1"/>
        <v>27033</v>
      </c>
      <c r="H1357" s="23" t="s">
        <v>1306</v>
      </c>
      <c r="I1357" s="23" t="s">
        <v>65</v>
      </c>
      <c r="J1357" s="23" t="s">
        <v>351</v>
      </c>
      <c r="K1357" s="112" t="str">
        <f t="shared" si="24"/>
        <v>Cottonwood, MN</v>
      </c>
      <c r="L1357" s="24"/>
    </row>
    <row r="1358">
      <c r="A1358" s="99">
        <v>1357.0</v>
      </c>
      <c r="B1358" s="15"/>
      <c r="C1358" s="15"/>
      <c r="D1358" s="105">
        <v>1.0</v>
      </c>
      <c r="E1358" s="102">
        <v>27.0</v>
      </c>
      <c r="F1358" s="107">
        <v>35.0</v>
      </c>
      <c r="G1358" s="15" t="str">
        <f t="shared" si="1"/>
        <v>27035</v>
      </c>
      <c r="H1358" s="23" t="s">
        <v>1307</v>
      </c>
      <c r="I1358" s="23" t="s">
        <v>65</v>
      </c>
      <c r="J1358" s="23" t="s">
        <v>351</v>
      </c>
      <c r="K1358" s="23" t="str">
        <f t="shared" si="24"/>
        <v>Crow Wing, MN</v>
      </c>
      <c r="L1358" s="24"/>
    </row>
    <row r="1359">
      <c r="A1359" s="99">
        <v>1358.0</v>
      </c>
      <c r="B1359" s="15"/>
      <c r="C1359" s="15"/>
      <c r="D1359" s="105">
        <v>1.0</v>
      </c>
      <c r="E1359" s="102">
        <v>27.0</v>
      </c>
      <c r="F1359" s="107">
        <v>37.0</v>
      </c>
      <c r="G1359" s="15" t="str">
        <f t="shared" si="1"/>
        <v>27037</v>
      </c>
      <c r="H1359" s="23" t="s">
        <v>1308</v>
      </c>
      <c r="I1359" s="23" t="s">
        <v>65</v>
      </c>
      <c r="J1359" s="23" t="s">
        <v>351</v>
      </c>
      <c r="K1359" s="23" t="str">
        <f t="shared" si="24"/>
        <v>Dakota, MN</v>
      </c>
      <c r="L1359" s="24"/>
    </row>
    <row r="1360">
      <c r="A1360" s="99">
        <v>1359.0</v>
      </c>
      <c r="B1360" s="15"/>
      <c r="C1360" s="15"/>
      <c r="D1360" s="105">
        <v>1.0</v>
      </c>
      <c r="E1360" s="102">
        <v>27.0</v>
      </c>
      <c r="F1360" s="107">
        <v>39.0</v>
      </c>
      <c r="G1360" s="15" t="str">
        <f t="shared" si="1"/>
        <v>27039</v>
      </c>
      <c r="H1360" s="23" t="s">
        <v>564</v>
      </c>
      <c r="I1360" s="23" t="s">
        <v>65</v>
      </c>
      <c r="J1360" s="23" t="s">
        <v>351</v>
      </c>
      <c r="K1360" s="23" t="str">
        <f t="shared" si="24"/>
        <v>Dodge, MN</v>
      </c>
      <c r="L1360" s="24"/>
    </row>
    <row r="1361">
      <c r="A1361" s="99">
        <v>1360.0</v>
      </c>
      <c r="B1361" s="15"/>
      <c r="C1361" s="15"/>
      <c r="D1361" s="105">
        <v>1.0</v>
      </c>
      <c r="E1361" s="102">
        <v>27.0</v>
      </c>
      <c r="F1361" s="107">
        <v>41.0</v>
      </c>
      <c r="G1361" s="15" t="str">
        <f t="shared" si="1"/>
        <v>27041</v>
      </c>
      <c r="H1361" s="23" t="s">
        <v>412</v>
      </c>
      <c r="I1361" s="23" t="s">
        <v>65</v>
      </c>
      <c r="J1361" s="23" t="s">
        <v>351</v>
      </c>
      <c r="K1361" s="23" t="str">
        <f t="shared" si="24"/>
        <v>Douglas, MN</v>
      </c>
      <c r="L1361" s="24"/>
    </row>
    <row r="1362">
      <c r="A1362" s="99">
        <v>1361.0</v>
      </c>
      <c r="B1362" s="15"/>
      <c r="C1362" s="15"/>
      <c r="D1362" s="105">
        <v>1.0</v>
      </c>
      <c r="E1362" s="102">
        <v>27.0</v>
      </c>
      <c r="F1362" s="107">
        <v>43.0</v>
      </c>
      <c r="G1362" s="15" t="str">
        <f t="shared" si="1"/>
        <v>27043</v>
      </c>
      <c r="H1362" s="23" t="s">
        <v>1309</v>
      </c>
      <c r="I1362" s="23" t="s">
        <v>65</v>
      </c>
      <c r="J1362" s="23" t="s">
        <v>351</v>
      </c>
      <c r="K1362" s="23" t="str">
        <f t="shared" si="24"/>
        <v>Faribault, MN</v>
      </c>
      <c r="L1362" s="24"/>
    </row>
    <row r="1363">
      <c r="A1363" s="99">
        <v>1362.0</v>
      </c>
      <c r="B1363" s="15"/>
      <c r="C1363" s="15"/>
      <c r="D1363" s="105">
        <v>1.0</v>
      </c>
      <c r="E1363" s="102">
        <v>27.0</v>
      </c>
      <c r="F1363" s="107">
        <v>45.0</v>
      </c>
      <c r="G1363" s="15" t="str">
        <f t="shared" si="1"/>
        <v>27045</v>
      </c>
      <c r="H1363" s="23" t="s">
        <v>1310</v>
      </c>
      <c r="I1363" s="23" t="s">
        <v>65</v>
      </c>
      <c r="J1363" s="23" t="s">
        <v>351</v>
      </c>
      <c r="K1363" s="23" t="str">
        <f t="shared" si="24"/>
        <v>Fillmore, MN</v>
      </c>
      <c r="L1363" s="24"/>
    </row>
    <row r="1364">
      <c r="A1364" s="99">
        <v>1363.0</v>
      </c>
      <c r="B1364" s="15"/>
      <c r="C1364" s="15"/>
      <c r="D1364" s="105">
        <v>1.0</v>
      </c>
      <c r="E1364" s="102">
        <v>27.0</v>
      </c>
      <c r="F1364" s="107">
        <v>47.0</v>
      </c>
      <c r="G1364" s="15" t="str">
        <f t="shared" si="1"/>
        <v>27047</v>
      </c>
      <c r="H1364" s="23" t="s">
        <v>1311</v>
      </c>
      <c r="I1364" s="23" t="s">
        <v>65</v>
      </c>
      <c r="J1364" s="23" t="s">
        <v>351</v>
      </c>
      <c r="K1364" s="23" t="str">
        <f t="shared" si="24"/>
        <v>Freeborn, MN</v>
      </c>
      <c r="L1364" s="24"/>
    </row>
    <row r="1365">
      <c r="A1365" s="99">
        <v>1364.0</v>
      </c>
      <c r="B1365" s="15"/>
      <c r="C1365" s="15"/>
      <c r="D1365" s="105">
        <v>1.0</v>
      </c>
      <c r="E1365" s="102">
        <v>27.0</v>
      </c>
      <c r="F1365" s="107">
        <v>49.0</v>
      </c>
      <c r="G1365" s="15" t="str">
        <f t="shared" si="1"/>
        <v>27049</v>
      </c>
      <c r="H1365" s="23" t="s">
        <v>1312</v>
      </c>
      <c r="I1365" s="23" t="s">
        <v>65</v>
      </c>
      <c r="J1365" s="23" t="s">
        <v>351</v>
      </c>
      <c r="K1365" s="23" t="str">
        <f t="shared" si="24"/>
        <v>Goodhue, MN</v>
      </c>
      <c r="L1365" s="24"/>
    </row>
    <row r="1366">
      <c r="A1366" s="99">
        <v>1365.0</v>
      </c>
      <c r="B1366" s="15"/>
      <c r="C1366" s="15"/>
      <c r="D1366" s="105">
        <v>1.0</v>
      </c>
      <c r="E1366" s="102">
        <v>27.0</v>
      </c>
      <c r="F1366" s="107">
        <v>51.0</v>
      </c>
      <c r="G1366" s="15" t="str">
        <f t="shared" si="1"/>
        <v>27051</v>
      </c>
      <c r="H1366" s="23" t="s">
        <v>278</v>
      </c>
      <c r="I1366" s="23" t="s">
        <v>65</v>
      </c>
      <c r="J1366" s="23" t="s">
        <v>351</v>
      </c>
      <c r="K1366" s="23" t="str">
        <f t="shared" si="24"/>
        <v>Grant, MN</v>
      </c>
      <c r="L1366" s="24"/>
    </row>
    <row r="1367">
      <c r="A1367" s="99">
        <v>1366.0</v>
      </c>
      <c r="B1367" s="15"/>
      <c r="C1367" s="15"/>
      <c r="D1367" s="105">
        <v>1.0</v>
      </c>
      <c r="E1367" s="102">
        <v>27.0</v>
      </c>
      <c r="F1367" s="107">
        <v>53.0</v>
      </c>
      <c r="G1367" s="15" t="str">
        <f t="shared" si="1"/>
        <v>27053</v>
      </c>
      <c r="H1367" s="23" t="s">
        <v>350</v>
      </c>
      <c r="I1367" s="23" t="s">
        <v>65</v>
      </c>
      <c r="J1367" s="23" t="s">
        <v>351</v>
      </c>
      <c r="K1367" s="23" t="str">
        <f t="shared" si="24"/>
        <v>Hennepin, MN</v>
      </c>
      <c r="L1367" s="24"/>
    </row>
    <row r="1368">
      <c r="A1368" s="99">
        <v>1367.0</v>
      </c>
      <c r="B1368" s="15"/>
      <c r="C1368" s="15"/>
      <c r="D1368" s="105">
        <v>1.0</v>
      </c>
      <c r="E1368" s="102">
        <v>27.0</v>
      </c>
      <c r="F1368" s="107">
        <v>55.0</v>
      </c>
      <c r="G1368" s="15" t="str">
        <f t="shared" si="1"/>
        <v>27055</v>
      </c>
      <c r="H1368" s="23" t="s">
        <v>141</v>
      </c>
      <c r="I1368" s="23" t="s">
        <v>65</v>
      </c>
      <c r="J1368" s="23" t="s">
        <v>351</v>
      </c>
      <c r="K1368" s="23" t="str">
        <f t="shared" si="24"/>
        <v>Houston, MN</v>
      </c>
      <c r="L1368" s="24"/>
    </row>
    <row r="1369">
      <c r="A1369" s="99">
        <v>1368.0</v>
      </c>
      <c r="B1369" s="15"/>
      <c r="C1369" s="15"/>
      <c r="D1369" s="105">
        <v>1.0</v>
      </c>
      <c r="E1369" s="102">
        <v>27.0</v>
      </c>
      <c r="F1369" s="107">
        <v>57.0</v>
      </c>
      <c r="G1369" s="15" t="str">
        <f t="shared" si="1"/>
        <v>27057</v>
      </c>
      <c r="H1369" s="23" t="s">
        <v>1313</v>
      </c>
      <c r="I1369" s="23" t="s">
        <v>65</v>
      </c>
      <c r="J1369" s="23" t="s">
        <v>351</v>
      </c>
      <c r="K1369" s="23" t="str">
        <f t="shared" si="24"/>
        <v>Hubbard, MN</v>
      </c>
      <c r="L1369" s="24"/>
    </row>
    <row r="1370">
      <c r="A1370" s="99">
        <v>1369.0</v>
      </c>
      <c r="B1370" s="15"/>
      <c r="C1370" s="15"/>
      <c r="D1370" s="105">
        <v>1.0</v>
      </c>
      <c r="E1370" s="102">
        <v>27.0</v>
      </c>
      <c r="F1370" s="107">
        <v>59.0</v>
      </c>
      <c r="G1370" s="15" t="str">
        <f t="shared" si="1"/>
        <v>27059</v>
      </c>
      <c r="H1370" s="23" t="s">
        <v>1314</v>
      </c>
      <c r="I1370" s="23" t="s">
        <v>65</v>
      </c>
      <c r="J1370" s="23" t="s">
        <v>351</v>
      </c>
      <c r="K1370" s="23" t="str">
        <f t="shared" si="24"/>
        <v>Isanti, MN</v>
      </c>
      <c r="L1370" s="24"/>
    </row>
    <row r="1371">
      <c r="A1371" s="99">
        <v>1370.0</v>
      </c>
      <c r="B1371" s="15"/>
      <c r="C1371" s="15"/>
      <c r="D1371" s="105">
        <v>1.0</v>
      </c>
      <c r="E1371" s="102">
        <v>27.0</v>
      </c>
      <c r="F1371" s="107">
        <v>61.0</v>
      </c>
      <c r="G1371" s="15" t="str">
        <f t="shared" si="1"/>
        <v>27061</v>
      </c>
      <c r="H1371" s="23" t="s">
        <v>1315</v>
      </c>
      <c r="I1371" s="23" t="s">
        <v>65</v>
      </c>
      <c r="J1371" s="23" t="s">
        <v>351</v>
      </c>
      <c r="K1371" s="23" t="str">
        <f t="shared" si="24"/>
        <v>Itasca, MN</v>
      </c>
      <c r="L1371" s="24"/>
    </row>
    <row r="1372">
      <c r="A1372" s="99">
        <v>1371.0</v>
      </c>
      <c r="B1372" s="15"/>
      <c r="C1372" s="15"/>
      <c r="D1372" s="105">
        <v>1.0</v>
      </c>
      <c r="E1372" s="102">
        <v>27.0</v>
      </c>
      <c r="F1372" s="107">
        <v>63.0</v>
      </c>
      <c r="G1372" s="15" t="str">
        <f t="shared" si="1"/>
        <v>27063</v>
      </c>
      <c r="H1372" s="23" t="s">
        <v>142</v>
      </c>
      <c r="I1372" s="23" t="s">
        <v>65</v>
      </c>
      <c r="J1372" s="23" t="s">
        <v>351</v>
      </c>
      <c r="K1372" s="23" t="str">
        <f t="shared" si="24"/>
        <v>Jackson, MN</v>
      </c>
      <c r="L1372" s="24"/>
    </row>
    <row r="1373">
      <c r="A1373" s="99">
        <v>1372.0</v>
      </c>
      <c r="B1373" s="15"/>
      <c r="C1373" s="15"/>
      <c r="D1373" s="105">
        <v>1.0</v>
      </c>
      <c r="E1373" s="102">
        <v>27.0</v>
      </c>
      <c r="F1373" s="107">
        <v>65.0</v>
      </c>
      <c r="G1373" s="15" t="str">
        <f t="shared" si="1"/>
        <v>27065</v>
      </c>
      <c r="H1373" s="23" t="s">
        <v>1316</v>
      </c>
      <c r="I1373" s="23" t="s">
        <v>65</v>
      </c>
      <c r="J1373" s="23" t="s">
        <v>351</v>
      </c>
      <c r="K1373" s="23" t="str">
        <f t="shared" si="24"/>
        <v>Kanabec, MN</v>
      </c>
      <c r="L1373" s="24"/>
    </row>
    <row r="1374">
      <c r="A1374" s="99">
        <v>1373.0</v>
      </c>
      <c r="B1374" s="15"/>
      <c r="C1374" s="15"/>
      <c r="D1374" s="105">
        <v>1.0</v>
      </c>
      <c r="E1374" s="102">
        <v>27.0</v>
      </c>
      <c r="F1374" s="107">
        <v>67.0</v>
      </c>
      <c r="G1374" s="15" t="str">
        <f t="shared" si="1"/>
        <v>27067</v>
      </c>
      <c r="H1374" s="23" t="s">
        <v>1317</v>
      </c>
      <c r="I1374" s="23" t="s">
        <v>65</v>
      </c>
      <c r="J1374" s="23" t="s">
        <v>351</v>
      </c>
      <c r="K1374" s="23" t="str">
        <f t="shared" si="24"/>
        <v>Kandiyohi, MN</v>
      </c>
      <c r="L1374" s="24"/>
    </row>
    <row r="1375">
      <c r="A1375" s="99">
        <v>1374.0</v>
      </c>
      <c r="B1375" s="15"/>
      <c r="C1375" s="15"/>
      <c r="D1375" s="105">
        <v>1.0</v>
      </c>
      <c r="E1375" s="102">
        <v>27.0</v>
      </c>
      <c r="F1375" s="107">
        <v>69.0</v>
      </c>
      <c r="G1375" s="15" t="str">
        <f t="shared" si="1"/>
        <v>27069</v>
      </c>
      <c r="H1375" s="23" t="s">
        <v>1318</v>
      </c>
      <c r="I1375" s="23" t="s">
        <v>65</v>
      </c>
      <c r="J1375" s="23" t="s">
        <v>351</v>
      </c>
      <c r="K1375" s="23" t="str">
        <f t="shared" si="24"/>
        <v>Kittson, MN</v>
      </c>
      <c r="L1375" s="24"/>
    </row>
    <row r="1376">
      <c r="A1376" s="99">
        <v>1375.0</v>
      </c>
      <c r="B1376" s="15"/>
      <c r="C1376" s="15"/>
      <c r="D1376" s="105">
        <v>1.0</v>
      </c>
      <c r="E1376" s="102">
        <v>27.0</v>
      </c>
      <c r="F1376" s="107">
        <v>71.0</v>
      </c>
      <c r="G1376" s="15" t="str">
        <f t="shared" si="1"/>
        <v>27071</v>
      </c>
      <c r="H1376" s="23" t="s">
        <v>1319</v>
      </c>
      <c r="I1376" s="23" t="s">
        <v>65</v>
      </c>
      <c r="J1376" s="23" t="s">
        <v>351</v>
      </c>
      <c r="K1376" s="112" t="str">
        <f t="shared" si="24"/>
        <v>Koochiching, MN</v>
      </c>
      <c r="L1376" s="24"/>
    </row>
    <row r="1377">
      <c r="A1377" s="99">
        <v>1376.0</v>
      </c>
      <c r="B1377" s="15"/>
      <c r="C1377" s="15"/>
      <c r="D1377" s="105">
        <v>1.0</v>
      </c>
      <c r="E1377" s="102">
        <v>27.0</v>
      </c>
      <c r="F1377" s="107">
        <v>73.0</v>
      </c>
      <c r="G1377" s="15" t="str">
        <f t="shared" si="1"/>
        <v>27073</v>
      </c>
      <c r="H1377" s="23" t="s">
        <v>1320</v>
      </c>
      <c r="I1377" s="23" t="s">
        <v>65</v>
      </c>
      <c r="J1377" s="23" t="s">
        <v>351</v>
      </c>
      <c r="K1377" s="112" t="str">
        <f t="shared" si="24"/>
        <v>Lac Qui Parle, MN</v>
      </c>
      <c r="L1377" s="24"/>
    </row>
    <row r="1378">
      <c r="A1378" s="99">
        <v>1377.0</v>
      </c>
      <c r="B1378" s="15"/>
      <c r="C1378" s="15"/>
      <c r="D1378" s="105">
        <v>1.0</v>
      </c>
      <c r="E1378" s="102">
        <v>27.0</v>
      </c>
      <c r="F1378" s="107">
        <v>75.0</v>
      </c>
      <c r="G1378" s="15" t="str">
        <f t="shared" si="1"/>
        <v>27075</v>
      </c>
      <c r="H1378" s="23" t="s">
        <v>337</v>
      </c>
      <c r="I1378" s="23" t="s">
        <v>65</v>
      </c>
      <c r="J1378" s="23" t="s">
        <v>351</v>
      </c>
      <c r="K1378" s="23" t="str">
        <f t="shared" si="24"/>
        <v>Lake, MN</v>
      </c>
      <c r="L1378" s="24"/>
    </row>
    <row r="1379">
      <c r="A1379" s="99">
        <v>1378.0</v>
      </c>
      <c r="B1379" s="15"/>
      <c r="C1379" s="15"/>
      <c r="D1379" s="105">
        <v>1.0</v>
      </c>
      <c r="E1379" s="102">
        <v>27.0</v>
      </c>
      <c r="F1379" s="107">
        <v>77.0</v>
      </c>
      <c r="G1379" s="15" t="str">
        <f t="shared" si="1"/>
        <v>27077</v>
      </c>
      <c r="H1379" s="23" t="s">
        <v>1321</v>
      </c>
      <c r="I1379" s="23" t="s">
        <v>65</v>
      </c>
      <c r="J1379" s="23" t="s">
        <v>351</v>
      </c>
      <c r="K1379" s="112" t="str">
        <f t="shared" si="24"/>
        <v>Lake of The Woods, MN</v>
      </c>
      <c r="L1379" s="24"/>
    </row>
    <row r="1380">
      <c r="A1380" s="99">
        <v>1379.0</v>
      </c>
      <c r="B1380" s="15"/>
      <c r="C1380" s="15"/>
      <c r="D1380" s="105">
        <v>1.0</v>
      </c>
      <c r="E1380" s="102">
        <v>27.0</v>
      </c>
      <c r="F1380" s="107">
        <v>79.0</v>
      </c>
      <c r="G1380" s="15" t="str">
        <f t="shared" si="1"/>
        <v>27079</v>
      </c>
      <c r="H1380" s="23" t="s">
        <v>1322</v>
      </c>
      <c r="I1380" s="23" t="s">
        <v>65</v>
      </c>
      <c r="J1380" s="23" t="s">
        <v>351</v>
      </c>
      <c r="K1380" s="23" t="str">
        <f t="shared" si="24"/>
        <v>Le Sueur, MN</v>
      </c>
      <c r="L1380" s="24"/>
    </row>
    <row r="1381">
      <c r="A1381" s="99">
        <v>1380.0</v>
      </c>
      <c r="B1381" s="15"/>
      <c r="C1381" s="15"/>
      <c r="D1381" s="105">
        <v>1.0</v>
      </c>
      <c r="E1381" s="102">
        <v>27.0</v>
      </c>
      <c r="F1381" s="107">
        <v>81.0</v>
      </c>
      <c r="G1381" s="15" t="str">
        <f t="shared" si="1"/>
        <v>27081</v>
      </c>
      <c r="H1381" s="23" t="s">
        <v>290</v>
      </c>
      <c r="I1381" s="23" t="s">
        <v>65</v>
      </c>
      <c r="J1381" s="23" t="s">
        <v>351</v>
      </c>
      <c r="K1381" s="23" t="str">
        <f t="shared" si="24"/>
        <v>Lincoln, MN</v>
      </c>
      <c r="L1381" s="24"/>
    </row>
    <row r="1382">
      <c r="A1382" s="99">
        <v>1381.0</v>
      </c>
      <c r="B1382" s="15"/>
      <c r="C1382" s="15"/>
      <c r="D1382" s="105">
        <v>1.0</v>
      </c>
      <c r="E1382" s="102">
        <v>27.0</v>
      </c>
      <c r="F1382" s="107">
        <v>83.0</v>
      </c>
      <c r="G1382" s="15" t="str">
        <f t="shared" si="1"/>
        <v>27083</v>
      </c>
      <c r="H1382" s="23" t="s">
        <v>910</v>
      </c>
      <c r="I1382" s="23" t="s">
        <v>65</v>
      </c>
      <c r="J1382" s="23" t="s">
        <v>351</v>
      </c>
      <c r="K1382" s="23" t="str">
        <f t="shared" si="24"/>
        <v>Lyon, MN</v>
      </c>
      <c r="L1382" s="24"/>
    </row>
    <row r="1383">
      <c r="A1383" s="99">
        <v>1382.0</v>
      </c>
      <c r="B1383" s="15"/>
      <c r="C1383" s="15"/>
      <c r="D1383" s="105">
        <v>1.0</v>
      </c>
      <c r="E1383" s="102">
        <v>27.0</v>
      </c>
      <c r="F1383" s="107">
        <v>85.0</v>
      </c>
      <c r="G1383" s="15" t="str">
        <f t="shared" si="1"/>
        <v>27085</v>
      </c>
      <c r="H1383" s="23" t="s">
        <v>1323</v>
      </c>
      <c r="I1383" s="23" t="s">
        <v>65</v>
      </c>
      <c r="J1383" s="23" t="s">
        <v>351</v>
      </c>
      <c r="K1383" s="23" t="str">
        <f t="shared" si="24"/>
        <v>McLeod, MN</v>
      </c>
      <c r="L1383" s="24"/>
    </row>
    <row r="1384">
      <c r="A1384" s="99">
        <v>1383.0</v>
      </c>
      <c r="B1384" s="15"/>
      <c r="C1384" s="15"/>
      <c r="D1384" s="105">
        <v>1.0</v>
      </c>
      <c r="E1384" s="102">
        <v>27.0</v>
      </c>
      <c r="F1384" s="107">
        <v>87.0</v>
      </c>
      <c r="G1384" s="15" t="str">
        <f t="shared" si="1"/>
        <v>27087</v>
      </c>
      <c r="H1384" s="23" t="s">
        <v>1324</v>
      </c>
      <c r="I1384" s="23" t="s">
        <v>65</v>
      </c>
      <c r="J1384" s="23" t="s">
        <v>351</v>
      </c>
      <c r="K1384" s="23" t="str">
        <f t="shared" si="24"/>
        <v>Mahnomen, MN</v>
      </c>
      <c r="L1384" s="24"/>
    </row>
    <row r="1385">
      <c r="A1385" s="99">
        <v>1384.0</v>
      </c>
      <c r="B1385" s="15"/>
      <c r="C1385" s="15"/>
      <c r="D1385" s="105">
        <v>1.0</v>
      </c>
      <c r="E1385" s="102">
        <v>27.0</v>
      </c>
      <c r="F1385" s="107">
        <v>89.0</v>
      </c>
      <c r="G1385" s="15" t="str">
        <f t="shared" si="1"/>
        <v>27089</v>
      </c>
      <c r="H1385" s="23" t="s">
        <v>154</v>
      </c>
      <c r="I1385" s="23" t="s">
        <v>65</v>
      </c>
      <c r="J1385" s="23" t="s">
        <v>351</v>
      </c>
      <c r="K1385" s="23" t="str">
        <f t="shared" si="24"/>
        <v>Marshall, MN</v>
      </c>
      <c r="L1385" s="24"/>
    </row>
    <row r="1386">
      <c r="A1386" s="99">
        <v>1385.0</v>
      </c>
      <c r="B1386" s="15"/>
      <c r="C1386" s="15"/>
      <c r="D1386" s="105">
        <v>1.0</v>
      </c>
      <c r="E1386" s="102">
        <v>27.0</v>
      </c>
      <c r="F1386" s="107">
        <v>91.0</v>
      </c>
      <c r="G1386" s="15" t="str">
        <f t="shared" si="1"/>
        <v>27091</v>
      </c>
      <c r="H1386" s="23" t="s">
        <v>510</v>
      </c>
      <c r="I1386" s="23" t="s">
        <v>65</v>
      </c>
      <c r="J1386" s="23" t="s">
        <v>351</v>
      </c>
      <c r="K1386" s="23" t="str">
        <f t="shared" si="24"/>
        <v>Martin, MN</v>
      </c>
      <c r="L1386" s="24"/>
    </row>
    <row r="1387">
      <c r="A1387" s="99">
        <v>1386.0</v>
      </c>
      <c r="B1387" s="15"/>
      <c r="C1387" s="15"/>
      <c r="D1387" s="105">
        <v>1.0</v>
      </c>
      <c r="E1387" s="102">
        <v>27.0</v>
      </c>
      <c r="F1387" s="107">
        <v>93.0</v>
      </c>
      <c r="G1387" s="15" t="str">
        <f t="shared" si="1"/>
        <v>27093</v>
      </c>
      <c r="H1387" s="23" t="s">
        <v>1325</v>
      </c>
      <c r="I1387" s="23" t="s">
        <v>65</v>
      </c>
      <c r="J1387" s="23" t="s">
        <v>351</v>
      </c>
      <c r="K1387" s="23" t="str">
        <f t="shared" si="24"/>
        <v>Meeker, MN</v>
      </c>
      <c r="L1387" s="24"/>
    </row>
    <row r="1388">
      <c r="A1388" s="99">
        <v>1387.0</v>
      </c>
      <c r="B1388" s="15"/>
      <c r="C1388" s="15"/>
      <c r="D1388" s="105">
        <v>1.0</v>
      </c>
      <c r="E1388" s="102">
        <v>27.0</v>
      </c>
      <c r="F1388" s="107">
        <v>95.0</v>
      </c>
      <c r="G1388" s="15" t="str">
        <f t="shared" si="1"/>
        <v>27095</v>
      </c>
      <c r="H1388" s="23" t="s">
        <v>1326</v>
      </c>
      <c r="I1388" s="23" t="s">
        <v>65</v>
      </c>
      <c r="J1388" s="23" t="s">
        <v>351</v>
      </c>
      <c r="K1388" s="23" t="str">
        <f t="shared" si="24"/>
        <v>Mille Lacs, MN</v>
      </c>
      <c r="L1388" s="24"/>
    </row>
    <row r="1389">
      <c r="A1389" s="99">
        <v>1388.0</v>
      </c>
      <c r="B1389" s="15"/>
      <c r="C1389" s="15"/>
      <c r="D1389" s="105">
        <v>1.0</v>
      </c>
      <c r="E1389" s="102">
        <v>27.0</v>
      </c>
      <c r="F1389" s="107">
        <v>97.0</v>
      </c>
      <c r="G1389" s="15" t="str">
        <f t="shared" si="1"/>
        <v>27097</v>
      </c>
      <c r="H1389" s="23" t="s">
        <v>1327</v>
      </c>
      <c r="I1389" s="23" t="s">
        <v>65</v>
      </c>
      <c r="J1389" s="23" t="s">
        <v>351</v>
      </c>
      <c r="K1389" s="23" t="str">
        <f t="shared" si="24"/>
        <v>Morrison, MN</v>
      </c>
      <c r="L1389" s="24"/>
    </row>
    <row r="1390">
      <c r="A1390" s="99">
        <v>1389.0</v>
      </c>
      <c r="B1390" s="15"/>
      <c r="C1390" s="15"/>
      <c r="D1390" s="105">
        <v>1.0</v>
      </c>
      <c r="E1390" s="102">
        <v>27.0</v>
      </c>
      <c r="F1390" s="107">
        <v>99.0</v>
      </c>
      <c r="G1390" s="15" t="str">
        <f t="shared" si="1"/>
        <v>27099</v>
      </c>
      <c r="H1390" s="23" t="s">
        <v>1328</v>
      </c>
      <c r="I1390" s="23" t="s">
        <v>65</v>
      </c>
      <c r="J1390" s="23" t="s">
        <v>351</v>
      </c>
      <c r="K1390" s="23" t="str">
        <f t="shared" si="24"/>
        <v>Mower, MN</v>
      </c>
      <c r="L1390" s="24"/>
    </row>
    <row r="1391">
      <c r="A1391" s="99">
        <v>1390.0</v>
      </c>
      <c r="B1391" s="15"/>
      <c r="C1391" s="15"/>
      <c r="D1391" s="105">
        <v>1.0</v>
      </c>
      <c r="E1391" s="102">
        <v>27.0</v>
      </c>
      <c r="F1391" s="107">
        <v>101.0</v>
      </c>
      <c r="G1391" s="15" t="str">
        <f t="shared" si="1"/>
        <v>27101</v>
      </c>
      <c r="H1391" s="23" t="s">
        <v>611</v>
      </c>
      <c r="I1391" s="23" t="s">
        <v>65</v>
      </c>
      <c r="J1391" s="23" t="s">
        <v>351</v>
      </c>
      <c r="K1391" s="23" t="str">
        <f t="shared" si="24"/>
        <v>Murray, MN</v>
      </c>
      <c r="L1391" s="24"/>
    </row>
    <row r="1392">
      <c r="A1392" s="99">
        <v>1391.0</v>
      </c>
      <c r="B1392" s="15"/>
      <c r="C1392" s="15"/>
      <c r="D1392" s="105">
        <v>1.0</v>
      </c>
      <c r="E1392" s="102">
        <v>27.0</v>
      </c>
      <c r="F1392" s="107">
        <v>103.0</v>
      </c>
      <c r="G1392" s="15" t="str">
        <f t="shared" si="1"/>
        <v>27103</v>
      </c>
      <c r="H1392" s="23" t="s">
        <v>1329</v>
      </c>
      <c r="I1392" s="23" t="s">
        <v>65</v>
      </c>
      <c r="J1392" s="23" t="s">
        <v>351</v>
      </c>
      <c r="K1392" s="23" t="str">
        <f t="shared" si="24"/>
        <v>Nicollet, MN</v>
      </c>
      <c r="L1392" s="24"/>
    </row>
    <row r="1393">
      <c r="A1393" s="99">
        <v>1392.0</v>
      </c>
      <c r="B1393" s="15"/>
      <c r="C1393" s="15"/>
      <c r="D1393" s="105">
        <v>1.0</v>
      </c>
      <c r="E1393" s="102">
        <v>27.0</v>
      </c>
      <c r="F1393" s="107">
        <v>105.0</v>
      </c>
      <c r="G1393" s="15" t="str">
        <f t="shared" si="1"/>
        <v>27105</v>
      </c>
      <c r="H1393" s="23" t="s">
        <v>1330</v>
      </c>
      <c r="I1393" s="23" t="s">
        <v>65</v>
      </c>
      <c r="J1393" s="23" t="s">
        <v>351</v>
      </c>
      <c r="K1393" s="23" t="str">
        <f t="shared" si="24"/>
        <v>Nobles, MN</v>
      </c>
      <c r="L1393" s="24"/>
    </row>
    <row r="1394">
      <c r="A1394" s="99">
        <v>1393.0</v>
      </c>
      <c r="B1394" s="15"/>
      <c r="C1394" s="15"/>
      <c r="D1394" s="105">
        <v>1.0</v>
      </c>
      <c r="E1394" s="102">
        <v>27.0</v>
      </c>
      <c r="F1394" s="107">
        <v>107.0</v>
      </c>
      <c r="G1394" s="15" t="str">
        <f t="shared" si="1"/>
        <v>27107</v>
      </c>
      <c r="H1394" s="23" t="s">
        <v>1331</v>
      </c>
      <c r="I1394" s="23" t="s">
        <v>65</v>
      </c>
      <c r="J1394" s="23" t="s">
        <v>351</v>
      </c>
      <c r="K1394" s="23" t="str">
        <f t="shared" si="24"/>
        <v>Norman, MN</v>
      </c>
      <c r="L1394" s="24"/>
    </row>
    <row r="1395">
      <c r="A1395" s="99">
        <v>1394.0</v>
      </c>
      <c r="B1395" s="15"/>
      <c r="C1395" s="15"/>
      <c r="D1395" s="105">
        <v>1.0</v>
      </c>
      <c r="E1395" s="102">
        <v>27.0</v>
      </c>
      <c r="F1395" s="107">
        <v>109.0</v>
      </c>
      <c r="G1395" s="15" t="str">
        <f t="shared" si="1"/>
        <v>27109</v>
      </c>
      <c r="H1395" s="23" t="s">
        <v>1332</v>
      </c>
      <c r="I1395" s="23" t="s">
        <v>65</v>
      </c>
      <c r="J1395" s="23" t="s">
        <v>351</v>
      </c>
      <c r="K1395" s="23" t="str">
        <f t="shared" si="24"/>
        <v>Olmsted, MN</v>
      </c>
      <c r="L1395" s="24"/>
    </row>
    <row r="1396">
      <c r="A1396" s="99">
        <v>1395.0</v>
      </c>
      <c r="B1396" s="15"/>
      <c r="C1396" s="15"/>
      <c r="D1396" s="105">
        <v>1.0</v>
      </c>
      <c r="E1396" s="102">
        <v>27.0</v>
      </c>
      <c r="F1396" s="107">
        <v>111.0</v>
      </c>
      <c r="G1396" s="15" t="str">
        <f t="shared" si="1"/>
        <v>27111</v>
      </c>
      <c r="H1396" s="23" t="s">
        <v>1333</v>
      </c>
      <c r="I1396" s="23" t="s">
        <v>65</v>
      </c>
      <c r="J1396" s="23" t="s">
        <v>351</v>
      </c>
      <c r="K1396" s="23" t="str">
        <f t="shared" si="24"/>
        <v>Otter Tail, MN</v>
      </c>
      <c r="L1396" s="24"/>
    </row>
    <row r="1397">
      <c r="A1397" s="99">
        <v>1396.0</v>
      </c>
      <c r="B1397" s="15"/>
      <c r="C1397" s="15"/>
      <c r="D1397" s="105">
        <v>1.0</v>
      </c>
      <c r="E1397" s="102">
        <v>27.0</v>
      </c>
      <c r="F1397" s="107">
        <v>113.0</v>
      </c>
      <c r="G1397" s="15" t="str">
        <f t="shared" si="1"/>
        <v>27113</v>
      </c>
      <c r="H1397" s="23" t="s">
        <v>1334</v>
      </c>
      <c r="I1397" s="23" t="s">
        <v>65</v>
      </c>
      <c r="J1397" s="23" t="s">
        <v>351</v>
      </c>
      <c r="K1397" s="23" t="str">
        <f t="shared" si="24"/>
        <v>Pennington, MN</v>
      </c>
      <c r="L1397" s="24"/>
    </row>
    <row r="1398">
      <c r="A1398" s="99">
        <v>1397.0</v>
      </c>
      <c r="B1398" s="15"/>
      <c r="C1398" s="15"/>
      <c r="D1398" s="105">
        <v>1.0</v>
      </c>
      <c r="E1398" s="102">
        <v>27.0</v>
      </c>
      <c r="F1398" s="107">
        <v>115.0</v>
      </c>
      <c r="G1398" s="15" t="str">
        <f t="shared" si="1"/>
        <v>27115</v>
      </c>
      <c r="H1398" s="23" t="s">
        <v>1336</v>
      </c>
      <c r="I1398" s="23" t="s">
        <v>65</v>
      </c>
      <c r="J1398" s="23" t="s">
        <v>351</v>
      </c>
      <c r="K1398" s="23" t="str">
        <f t="shared" si="24"/>
        <v>Pine, MN</v>
      </c>
      <c r="L1398" s="24"/>
    </row>
    <row r="1399">
      <c r="A1399" s="99">
        <v>1398.0</v>
      </c>
      <c r="B1399" s="15"/>
      <c r="C1399" s="15"/>
      <c r="D1399" s="105">
        <v>1.0</v>
      </c>
      <c r="E1399" s="102">
        <v>27.0</v>
      </c>
      <c r="F1399" s="107">
        <v>117.0</v>
      </c>
      <c r="G1399" s="15" t="str">
        <f t="shared" si="1"/>
        <v>27117</v>
      </c>
      <c r="H1399" s="23" t="s">
        <v>1337</v>
      </c>
      <c r="I1399" s="23" t="s">
        <v>65</v>
      </c>
      <c r="J1399" s="23" t="s">
        <v>351</v>
      </c>
      <c r="K1399" s="23" t="str">
        <f t="shared" si="24"/>
        <v>Pipestone, MN</v>
      </c>
      <c r="L1399" s="24"/>
    </row>
    <row r="1400">
      <c r="A1400" s="99">
        <v>1399.0</v>
      </c>
      <c r="B1400" s="15"/>
      <c r="C1400" s="15"/>
      <c r="D1400" s="105">
        <v>1.0</v>
      </c>
      <c r="E1400" s="102">
        <v>27.0</v>
      </c>
      <c r="F1400" s="107">
        <v>119.0</v>
      </c>
      <c r="G1400" s="15" t="str">
        <f t="shared" si="1"/>
        <v>27119</v>
      </c>
      <c r="H1400" s="23" t="s">
        <v>302</v>
      </c>
      <c r="I1400" s="23" t="s">
        <v>65</v>
      </c>
      <c r="J1400" s="23" t="s">
        <v>351</v>
      </c>
      <c r="K1400" s="23" t="str">
        <f t="shared" si="24"/>
        <v>Polk, MN</v>
      </c>
      <c r="L1400" s="24"/>
    </row>
    <row r="1401">
      <c r="A1401" s="99">
        <v>1400.0</v>
      </c>
      <c r="B1401" s="15"/>
      <c r="C1401" s="15"/>
      <c r="D1401" s="105">
        <v>1.0</v>
      </c>
      <c r="E1401" s="102">
        <v>27.0</v>
      </c>
      <c r="F1401" s="107">
        <v>121.0</v>
      </c>
      <c r="G1401" s="15" t="str">
        <f t="shared" si="1"/>
        <v>27121</v>
      </c>
      <c r="H1401" s="23" t="s">
        <v>303</v>
      </c>
      <c r="I1401" s="23" t="s">
        <v>65</v>
      </c>
      <c r="J1401" s="23" t="s">
        <v>351</v>
      </c>
      <c r="K1401" s="23" t="str">
        <f t="shared" si="24"/>
        <v>Pope, MN</v>
      </c>
      <c r="L1401" s="24"/>
    </row>
    <row r="1402">
      <c r="A1402" s="99">
        <v>1401.0</v>
      </c>
      <c r="B1402" s="15"/>
      <c r="C1402" s="15"/>
      <c r="D1402" s="105">
        <v>1.0</v>
      </c>
      <c r="E1402" s="102">
        <v>27.0</v>
      </c>
      <c r="F1402" s="107">
        <v>123.0</v>
      </c>
      <c r="G1402" s="15" t="str">
        <f t="shared" si="1"/>
        <v>27123</v>
      </c>
      <c r="H1402" s="23" t="s">
        <v>645</v>
      </c>
      <c r="I1402" s="23" t="s">
        <v>65</v>
      </c>
      <c r="J1402" s="23" t="s">
        <v>351</v>
      </c>
      <c r="K1402" s="23" t="str">
        <f t="shared" si="24"/>
        <v>Ramsey, MN</v>
      </c>
      <c r="L1402" s="24"/>
    </row>
    <row r="1403">
      <c r="A1403" s="99">
        <v>1402.0</v>
      </c>
      <c r="B1403" s="15"/>
      <c r="C1403" s="15"/>
      <c r="D1403" s="105">
        <v>1.0</v>
      </c>
      <c r="E1403" s="102">
        <v>27.0</v>
      </c>
      <c r="F1403" s="107">
        <v>125.0</v>
      </c>
      <c r="G1403" s="15" t="str">
        <f t="shared" si="1"/>
        <v>27125</v>
      </c>
      <c r="H1403" s="23" t="s">
        <v>1338</v>
      </c>
      <c r="I1403" s="23" t="s">
        <v>65</v>
      </c>
      <c r="J1403" s="23" t="s">
        <v>351</v>
      </c>
      <c r="K1403" s="23" t="str">
        <f t="shared" si="24"/>
        <v>Red Lake, MN</v>
      </c>
      <c r="L1403" s="24"/>
    </row>
    <row r="1404">
      <c r="A1404" s="99">
        <v>1403.0</v>
      </c>
      <c r="B1404" s="15"/>
      <c r="C1404" s="15"/>
      <c r="D1404" s="105">
        <v>1.0</v>
      </c>
      <c r="E1404" s="102">
        <v>27.0</v>
      </c>
      <c r="F1404" s="107">
        <v>127.0</v>
      </c>
      <c r="G1404" s="15" t="str">
        <f t="shared" si="1"/>
        <v>27127</v>
      </c>
      <c r="H1404" s="23" t="s">
        <v>1339</v>
      </c>
      <c r="I1404" s="23" t="s">
        <v>65</v>
      </c>
      <c r="J1404" s="23" t="s">
        <v>351</v>
      </c>
      <c r="K1404" s="23" t="str">
        <f t="shared" si="24"/>
        <v>Redwood, MN</v>
      </c>
      <c r="L1404" s="24"/>
    </row>
    <row r="1405">
      <c r="A1405" s="99">
        <v>1404.0</v>
      </c>
      <c r="B1405" s="15"/>
      <c r="C1405" s="15"/>
      <c r="D1405" s="105">
        <v>1.0</v>
      </c>
      <c r="E1405" s="102">
        <v>27.0</v>
      </c>
      <c r="F1405" s="107">
        <v>129.0</v>
      </c>
      <c r="G1405" s="15" t="str">
        <f t="shared" si="1"/>
        <v>27129</v>
      </c>
      <c r="H1405" s="23" t="s">
        <v>1340</v>
      </c>
      <c r="I1405" s="23" t="s">
        <v>65</v>
      </c>
      <c r="J1405" s="23" t="s">
        <v>351</v>
      </c>
      <c r="K1405" s="23" t="str">
        <f t="shared" si="24"/>
        <v>Renville, MN</v>
      </c>
      <c r="L1405" s="24"/>
    </row>
    <row r="1406">
      <c r="A1406" s="99">
        <v>1405.0</v>
      </c>
      <c r="B1406" s="15"/>
      <c r="C1406" s="15"/>
      <c r="D1406" s="105">
        <v>1.0</v>
      </c>
      <c r="E1406" s="102">
        <v>27.0</v>
      </c>
      <c r="F1406" s="107">
        <v>131.0</v>
      </c>
      <c r="G1406" s="15" t="str">
        <f t="shared" si="1"/>
        <v>27131</v>
      </c>
      <c r="H1406" s="23" t="s">
        <v>1005</v>
      </c>
      <c r="I1406" s="23" t="s">
        <v>65</v>
      </c>
      <c r="J1406" s="23" t="s">
        <v>351</v>
      </c>
      <c r="K1406" s="23" t="str">
        <f t="shared" si="24"/>
        <v>Rice, MN</v>
      </c>
      <c r="L1406" s="24"/>
    </row>
    <row r="1407">
      <c r="A1407" s="99">
        <v>1406.0</v>
      </c>
      <c r="B1407" s="15"/>
      <c r="C1407" s="15"/>
      <c r="D1407" s="105">
        <v>1.0</v>
      </c>
      <c r="E1407" s="102">
        <v>27.0</v>
      </c>
      <c r="F1407" s="107">
        <v>133.0</v>
      </c>
      <c r="G1407" s="15" t="str">
        <f t="shared" si="1"/>
        <v>27133</v>
      </c>
      <c r="H1407" s="23" t="s">
        <v>1341</v>
      </c>
      <c r="I1407" s="23" t="s">
        <v>65</v>
      </c>
      <c r="J1407" s="23" t="s">
        <v>351</v>
      </c>
      <c r="K1407" s="23" t="str">
        <f t="shared" si="24"/>
        <v>Rock, MN</v>
      </c>
      <c r="L1407" s="24"/>
    </row>
    <row r="1408">
      <c r="A1408" s="99">
        <v>1407.0</v>
      </c>
      <c r="B1408" s="15"/>
      <c r="C1408" s="15"/>
      <c r="D1408" s="105">
        <v>1.0</v>
      </c>
      <c r="E1408" s="102">
        <v>27.0</v>
      </c>
      <c r="F1408" s="107">
        <v>135.0</v>
      </c>
      <c r="G1408" s="15" t="str">
        <f t="shared" si="1"/>
        <v>27135</v>
      </c>
      <c r="H1408" s="23" t="s">
        <v>1342</v>
      </c>
      <c r="I1408" s="23" t="s">
        <v>65</v>
      </c>
      <c r="J1408" s="23" t="s">
        <v>351</v>
      </c>
      <c r="K1408" s="23" t="str">
        <f t="shared" si="24"/>
        <v>Roseau, MN</v>
      </c>
      <c r="L1408" s="24"/>
    </row>
    <row r="1409">
      <c r="A1409" s="99">
        <v>1408.0</v>
      </c>
      <c r="B1409" s="15"/>
      <c r="C1409" s="15"/>
      <c r="D1409" s="105">
        <v>1.0</v>
      </c>
      <c r="E1409" s="102">
        <v>27.0</v>
      </c>
      <c r="F1409" s="107">
        <v>137.0</v>
      </c>
      <c r="G1409" s="15" t="str">
        <f t="shared" si="1"/>
        <v>27137</v>
      </c>
      <c r="H1409" s="23" t="s">
        <v>1343</v>
      </c>
      <c r="I1409" s="23" t="s">
        <v>65</v>
      </c>
      <c r="J1409" s="23" t="s">
        <v>351</v>
      </c>
      <c r="K1409" s="23" t="str">
        <f t="shared" si="24"/>
        <v>St Louis, MN</v>
      </c>
      <c r="L1409" s="24"/>
    </row>
    <row r="1410">
      <c r="A1410" s="99">
        <v>1409.0</v>
      </c>
      <c r="B1410" s="15"/>
      <c r="C1410" s="15"/>
      <c r="D1410" s="105">
        <v>1.0</v>
      </c>
      <c r="E1410" s="102">
        <v>27.0</v>
      </c>
      <c r="F1410" s="107">
        <v>139.0</v>
      </c>
      <c r="G1410" s="15" t="str">
        <f t="shared" si="1"/>
        <v>27139</v>
      </c>
      <c r="H1410" s="23" t="s">
        <v>309</v>
      </c>
      <c r="I1410" s="23" t="s">
        <v>65</v>
      </c>
      <c r="J1410" s="23" t="s">
        <v>351</v>
      </c>
      <c r="K1410" s="23" t="str">
        <f t="shared" si="24"/>
        <v>Scott, MN</v>
      </c>
      <c r="L1410" s="24"/>
    </row>
    <row r="1411">
      <c r="A1411" s="99">
        <v>1410.0</v>
      </c>
      <c r="B1411" s="15"/>
      <c r="C1411" s="15"/>
      <c r="D1411" s="105">
        <v>1.0</v>
      </c>
      <c r="E1411" s="102">
        <v>27.0</v>
      </c>
      <c r="F1411" s="107">
        <v>141.0</v>
      </c>
      <c r="G1411" s="15" t="str">
        <f t="shared" si="1"/>
        <v>27141</v>
      </c>
      <c r="H1411" s="23" t="s">
        <v>1344</v>
      </c>
      <c r="I1411" s="23" t="s">
        <v>65</v>
      </c>
      <c r="J1411" s="23" t="s">
        <v>351</v>
      </c>
      <c r="K1411" s="23" t="str">
        <f t="shared" si="24"/>
        <v>Sherburne, MN</v>
      </c>
      <c r="L1411" s="24"/>
    </row>
    <row r="1412">
      <c r="A1412" s="99">
        <v>1411.0</v>
      </c>
      <c r="B1412" s="15"/>
      <c r="C1412" s="15"/>
      <c r="D1412" s="105">
        <v>1.0</v>
      </c>
      <c r="E1412" s="102">
        <v>27.0</v>
      </c>
      <c r="F1412" s="107">
        <v>143.0</v>
      </c>
      <c r="G1412" s="15" t="str">
        <f t="shared" si="1"/>
        <v>27143</v>
      </c>
      <c r="H1412" s="23" t="s">
        <v>1345</v>
      </c>
      <c r="I1412" s="23" t="s">
        <v>65</v>
      </c>
      <c r="J1412" s="23" t="s">
        <v>351</v>
      </c>
      <c r="K1412" s="23" t="str">
        <f t="shared" si="24"/>
        <v>Sibley, MN</v>
      </c>
      <c r="L1412" s="24"/>
    </row>
    <row r="1413">
      <c r="A1413" s="99">
        <v>1412.0</v>
      </c>
      <c r="B1413" s="15"/>
      <c r="C1413" s="15"/>
      <c r="D1413" s="105">
        <v>1.0</v>
      </c>
      <c r="E1413" s="102">
        <v>27.0</v>
      </c>
      <c r="F1413" s="107">
        <v>145.0</v>
      </c>
      <c r="G1413" s="15" t="str">
        <f t="shared" si="1"/>
        <v>27145</v>
      </c>
      <c r="H1413" s="23" t="s">
        <v>1346</v>
      </c>
      <c r="I1413" s="23" t="s">
        <v>65</v>
      </c>
      <c r="J1413" s="23" t="s">
        <v>351</v>
      </c>
      <c r="K1413" s="23" t="str">
        <f t="shared" si="24"/>
        <v>Stearns, MN</v>
      </c>
      <c r="L1413" s="24"/>
    </row>
    <row r="1414">
      <c r="A1414" s="99">
        <v>1413.0</v>
      </c>
      <c r="B1414" s="15"/>
      <c r="C1414" s="15"/>
      <c r="D1414" s="105">
        <v>1.0</v>
      </c>
      <c r="E1414" s="102">
        <v>27.0</v>
      </c>
      <c r="F1414" s="107">
        <v>147.0</v>
      </c>
      <c r="G1414" s="15" t="str">
        <f t="shared" si="1"/>
        <v>27147</v>
      </c>
      <c r="H1414" s="23" t="s">
        <v>1347</v>
      </c>
      <c r="I1414" s="23" t="s">
        <v>65</v>
      </c>
      <c r="J1414" s="23" t="s">
        <v>351</v>
      </c>
      <c r="K1414" s="23" t="str">
        <f t="shared" si="24"/>
        <v>Steele, MN</v>
      </c>
      <c r="L1414" s="24"/>
    </row>
    <row r="1415">
      <c r="A1415" s="99">
        <v>1414.0</v>
      </c>
      <c r="B1415" s="15"/>
      <c r="C1415" s="15"/>
      <c r="D1415" s="105">
        <v>1.0</v>
      </c>
      <c r="E1415" s="102">
        <v>27.0</v>
      </c>
      <c r="F1415" s="107">
        <v>149.0</v>
      </c>
      <c r="G1415" s="15" t="str">
        <f t="shared" si="1"/>
        <v>27149</v>
      </c>
      <c r="H1415" s="23" t="s">
        <v>1015</v>
      </c>
      <c r="I1415" s="23" t="s">
        <v>65</v>
      </c>
      <c r="J1415" s="23" t="s">
        <v>351</v>
      </c>
      <c r="K1415" s="23" t="str">
        <f t="shared" si="24"/>
        <v>Stevens, MN</v>
      </c>
      <c r="L1415" s="24"/>
    </row>
    <row r="1416">
      <c r="A1416" s="99">
        <v>1415.0</v>
      </c>
      <c r="B1416" s="15"/>
      <c r="C1416" s="15"/>
      <c r="D1416" s="105">
        <v>1.0</v>
      </c>
      <c r="E1416" s="102">
        <v>27.0</v>
      </c>
      <c r="F1416" s="107">
        <v>151.0</v>
      </c>
      <c r="G1416" s="15" t="str">
        <f t="shared" si="1"/>
        <v>27151</v>
      </c>
      <c r="H1416" s="23" t="s">
        <v>1348</v>
      </c>
      <c r="I1416" s="23" t="s">
        <v>65</v>
      </c>
      <c r="J1416" s="23" t="s">
        <v>351</v>
      </c>
      <c r="K1416" s="23" t="str">
        <f t="shared" si="24"/>
        <v>Swift, MN</v>
      </c>
      <c r="L1416" s="24"/>
    </row>
    <row r="1417">
      <c r="A1417" s="99">
        <v>1416.0</v>
      </c>
      <c r="B1417" s="15"/>
      <c r="C1417" s="15"/>
      <c r="D1417" s="105">
        <v>1.0</v>
      </c>
      <c r="E1417" s="102">
        <v>27.0</v>
      </c>
      <c r="F1417" s="107">
        <v>153.0</v>
      </c>
      <c r="G1417" s="15" t="str">
        <f t="shared" si="1"/>
        <v>27153</v>
      </c>
      <c r="H1417" s="23" t="s">
        <v>1135</v>
      </c>
      <c r="I1417" s="23" t="s">
        <v>65</v>
      </c>
      <c r="J1417" s="23" t="s">
        <v>351</v>
      </c>
      <c r="K1417" s="23" t="str">
        <f t="shared" si="24"/>
        <v>Todd, MN</v>
      </c>
      <c r="L1417" s="24"/>
    </row>
    <row r="1418">
      <c r="A1418" s="99">
        <v>1417.0</v>
      </c>
      <c r="B1418" s="15"/>
      <c r="C1418" s="15"/>
      <c r="D1418" s="105">
        <v>1.0</v>
      </c>
      <c r="E1418" s="102">
        <v>27.0</v>
      </c>
      <c r="F1418" s="107">
        <v>155.0</v>
      </c>
      <c r="G1418" s="15" t="str">
        <f t="shared" si="1"/>
        <v>27155</v>
      </c>
      <c r="H1418" s="23" t="s">
        <v>1349</v>
      </c>
      <c r="I1418" s="23" t="s">
        <v>65</v>
      </c>
      <c r="J1418" s="23" t="s">
        <v>351</v>
      </c>
      <c r="K1418" s="23" t="str">
        <f t="shared" si="24"/>
        <v>Traverse, MN</v>
      </c>
      <c r="L1418" s="24"/>
    </row>
    <row r="1419">
      <c r="A1419" s="99">
        <v>1418.0</v>
      </c>
      <c r="B1419" s="15"/>
      <c r="C1419" s="15"/>
      <c r="D1419" s="105">
        <v>1.0</v>
      </c>
      <c r="E1419" s="102">
        <v>27.0</v>
      </c>
      <c r="F1419" s="107">
        <v>157.0</v>
      </c>
      <c r="G1419" s="15" t="str">
        <f t="shared" si="1"/>
        <v>27157</v>
      </c>
      <c r="H1419" s="23" t="s">
        <v>1350</v>
      </c>
      <c r="I1419" s="23" t="s">
        <v>65</v>
      </c>
      <c r="J1419" s="23" t="s">
        <v>351</v>
      </c>
      <c r="K1419" s="23" t="str">
        <f t="shared" si="24"/>
        <v>Wabasha, MN</v>
      </c>
      <c r="L1419" s="24"/>
    </row>
    <row r="1420">
      <c r="A1420" s="99">
        <v>1419.0</v>
      </c>
      <c r="B1420" s="15"/>
      <c r="C1420" s="15"/>
      <c r="D1420" s="105">
        <v>1.0</v>
      </c>
      <c r="E1420" s="102">
        <v>27.0</v>
      </c>
      <c r="F1420" s="107">
        <v>159.0</v>
      </c>
      <c r="G1420" s="15" t="str">
        <f t="shared" si="1"/>
        <v>27159</v>
      </c>
      <c r="H1420" s="23" t="s">
        <v>1351</v>
      </c>
      <c r="I1420" s="23" t="s">
        <v>65</v>
      </c>
      <c r="J1420" s="23" t="s">
        <v>351</v>
      </c>
      <c r="K1420" s="23" t="str">
        <f t="shared" si="24"/>
        <v>Wadena, MN</v>
      </c>
      <c r="L1420" s="24"/>
    </row>
    <row r="1421">
      <c r="A1421" s="99">
        <v>1420.0</v>
      </c>
      <c r="B1421" s="15"/>
      <c r="C1421" s="15"/>
      <c r="D1421" s="105">
        <v>1.0</v>
      </c>
      <c r="E1421" s="102">
        <v>27.0</v>
      </c>
      <c r="F1421" s="107">
        <v>161.0</v>
      </c>
      <c r="G1421" s="15" t="str">
        <f t="shared" si="1"/>
        <v>27161</v>
      </c>
      <c r="H1421" s="23" t="s">
        <v>1352</v>
      </c>
      <c r="I1421" s="23" t="s">
        <v>65</v>
      </c>
      <c r="J1421" s="23" t="s">
        <v>351</v>
      </c>
      <c r="K1421" s="23" t="str">
        <f t="shared" si="24"/>
        <v>Waseca, MN</v>
      </c>
      <c r="L1421" s="24"/>
    </row>
    <row r="1422">
      <c r="A1422" s="99">
        <v>1421.0</v>
      </c>
      <c r="B1422" s="15"/>
      <c r="C1422" s="15"/>
      <c r="D1422" s="105">
        <v>1.0</v>
      </c>
      <c r="E1422" s="102">
        <v>27.0</v>
      </c>
      <c r="F1422" s="107">
        <v>163.0</v>
      </c>
      <c r="G1422" s="15" t="str">
        <f t="shared" si="1"/>
        <v>27163</v>
      </c>
      <c r="H1422" s="23" t="s">
        <v>119</v>
      </c>
      <c r="I1422" s="23" t="s">
        <v>65</v>
      </c>
      <c r="J1422" s="23" t="s">
        <v>351</v>
      </c>
      <c r="K1422" s="23" t="str">
        <f t="shared" si="24"/>
        <v>Washington, MN</v>
      </c>
      <c r="L1422" s="24"/>
    </row>
    <row r="1423">
      <c r="A1423" s="99">
        <v>1422.0</v>
      </c>
      <c r="B1423" s="15"/>
      <c r="C1423" s="15"/>
      <c r="D1423" s="105">
        <v>1.0</v>
      </c>
      <c r="E1423" s="102">
        <v>27.0</v>
      </c>
      <c r="F1423" s="107">
        <v>165.0</v>
      </c>
      <c r="G1423" s="15" t="str">
        <f t="shared" si="1"/>
        <v>27165</v>
      </c>
      <c r="H1423" s="23" t="s">
        <v>1353</v>
      </c>
      <c r="I1423" s="23" t="s">
        <v>65</v>
      </c>
      <c r="J1423" s="23" t="s">
        <v>351</v>
      </c>
      <c r="K1423" s="23" t="str">
        <f t="shared" si="24"/>
        <v>Watonwan, MN</v>
      </c>
      <c r="L1423" s="24"/>
    </row>
    <row r="1424">
      <c r="A1424" s="99">
        <v>1423.0</v>
      </c>
      <c r="B1424" s="15"/>
      <c r="C1424" s="15"/>
      <c r="D1424" s="105">
        <v>1.0</v>
      </c>
      <c r="E1424" s="102">
        <v>27.0</v>
      </c>
      <c r="F1424" s="107">
        <v>167.0</v>
      </c>
      <c r="G1424" s="15" t="str">
        <f t="shared" si="1"/>
        <v>27167</v>
      </c>
      <c r="H1424" s="23" t="s">
        <v>1354</v>
      </c>
      <c r="I1424" s="23" t="s">
        <v>65</v>
      </c>
      <c r="J1424" s="23" t="s">
        <v>351</v>
      </c>
      <c r="K1424" s="23" t="str">
        <f t="shared" si="24"/>
        <v>Wilkin, MN</v>
      </c>
      <c r="L1424" s="24"/>
    </row>
    <row r="1425">
      <c r="A1425" s="99">
        <v>1424.0</v>
      </c>
      <c r="B1425" s="15"/>
      <c r="C1425" s="15"/>
      <c r="D1425" s="105">
        <v>1.0</v>
      </c>
      <c r="E1425" s="102">
        <v>27.0</v>
      </c>
      <c r="F1425" s="107">
        <v>169.0</v>
      </c>
      <c r="G1425" s="15" t="str">
        <f t="shared" si="1"/>
        <v>27169</v>
      </c>
      <c r="H1425" s="23" t="s">
        <v>1355</v>
      </c>
      <c r="I1425" s="23" t="s">
        <v>65</v>
      </c>
      <c r="J1425" s="23" t="s">
        <v>351</v>
      </c>
      <c r="K1425" s="23" t="str">
        <f t="shared" si="24"/>
        <v>Winona, MN</v>
      </c>
      <c r="L1425" s="24"/>
    </row>
    <row r="1426">
      <c r="A1426" s="99">
        <v>1425.0</v>
      </c>
      <c r="B1426" s="15"/>
      <c r="C1426" s="15"/>
      <c r="D1426" s="105">
        <v>1.0</v>
      </c>
      <c r="E1426" s="102">
        <v>27.0</v>
      </c>
      <c r="F1426" s="107">
        <v>171.0</v>
      </c>
      <c r="G1426" s="15" t="str">
        <f t="shared" si="1"/>
        <v>27171</v>
      </c>
      <c r="H1426" s="23" t="s">
        <v>949</v>
      </c>
      <c r="I1426" s="23" t="s">
        <v>65</v>
      </c>
      <c r="J1426" s="23" t="s">
        <v>351</v>
      </c>
      <c r="K1426" s="23" t="str">
        <f t="shared" si="24"/>
        <v>Wright, MN</v>
      </c>
      <c r="L1426" s="24"/>
    </row>
    <row r="1427">
      <c r="A1427" s="99">
        <v>1426.0</v>
      </c>
      <c r="B1427" s="15"/>
      <c r="C1427" s="15"/>
      <c r="D1427" s="105">
        <v>1.0</v>
      </c>
      <c r="E1427" s="102">
        <v>27.0</v>
      </c>
      <c r="F1427" s="107">
        <v>173.0</v>
      </c>
      <c r="G1427" s="15" t="str">
        <f t="shared" si="1"/>
        <v>27173</v>
      </c>
      <c r="H1427" s="23" t="s">
        <v>1356</v>
      </c>
      <c r="I1427" s="23" t="s">
        <v>65</v>
      </c>
      <c r="J1427" s="23" t="s">
        <v>351</v>
      </c>
      <c r="K1427" s="112" t="str">
        <f t="shared" si="24"/>
        <v>Yellow Medicine, MN</v>
      </c>
      <c r="L1427" s="24"/>
    </row>
    <row r="1428">
      <c r="A1428" s="28">
        <v>1427.0</v>
      </c>
      <c r="B1428" s="29"/>
      <c r="C1428" s="29" t="s">
        <v>25</v>
      </c>
      <c r="D1428" s="30"/>
      <c r="E1428" s="31">
        <v>28.0</v>
      </c>
      <c r="F1428" s="42">
        <v>0.0</v>
      </c>
      <c r="G1428" s="29" t="str">
        <f t="shared" si="1"/>
        <v>28000</v>
      </c>
      <c r="H1428" s="37"/>
      <c r="I1428" s="37" t="s">
        <v>67</v>
      </c>
      <c r="J1428" s="37" t="s">
        <v>1357</v>
      </c>
      <c r="K1428" s="37"/>
      <c r="L1428" s="24"/>
    </row>
    <row r="1429">
      <c r="A1429" s="28">
        <v>1428.0</v>
      </c>
      <c r="B1429" s="29"/>
      <c r="C1429" s="29"/>
      <c r="D1429" s="40">
        <v>1.0</v>
      </c>
      <c r="E1429" s="31">
        <v>28.0</v>
      </c>
      <c r="F1429" s="42">
        <v>1.0</v>
      </c>
      <c r="G1429" s="29" t="str">
        <f t="shared" si="1"/>
        <v>28001</v>
      </c>
      <c r="H1429" s="37" t="s">
        <v>386</v>
      </c>
      <c r="I1429" s="37" t="s">
        <v>67</v>
      </c>
      <c r="J1429" s="37" t="s">
        <v>1357</v>
      </c>
      <c r="K1429" s="37" t="str">
        <f t="shared" ref="K1429:K1510" si="25">CONCATENATE(H1429,", ",J1429)</f>
        <v>Adams, MS</v>
      </c>
      <c r="L1429" s="24"/>
    </row>
    <row r="1430">
      <c r="A1430" s="28">
        <v>1429.0</v>
      </c>
      <c r="B1430" s="29"/>
      <c r="C1430" s="29"/>
      <c r="D1430" s="40">
        <v>1.0</v>
      </c>
      <c r="E1430" s="31">
        <v>28.0</v>
      </c>
      <c r="F1430" s="42">
        <v>3.0</v>
      </c>
      <c r="G1430" s="29" t="str">
        <f t="shared" si="1"/>
        <v>28003</v>
      </c>
      <c r="H1430" s="37" t="s">
        <v>1358</v>
      </c>
      <c r="I1430" s="37" t="s">
        <v>67</v>
      </c>
      <c r="J1430" s="37" t="s">
        <v>1357</v>
      </c>
      <c r="K1430" s="37" t="str">
        <f t="shared" si="25"/>
        <v>Alcorn, MS</v>
      </c>
      <c r="L1430" s="24"/>
    </row>
    <row r="1431">
      <c r="A1431" s="28">
        <v>1430.0</v>
      </c>
      <c r="B1431" s="29"/>
      <c r="C1431" s="29"/>
      <c r="D1431" s="40">
        <v>1.0</v>
      </c>
      <c r="E1431" s="31">
        <v>28.0</v>
      </c>
      <c r="F1431" s="42">
        <v>5.0</v>
      </c>
      <c r="G1431" s="29" t="str">
        <f t="shared" si="1"/>
        <v>28005</v>
      </c>
      <c r="H1431" s="37" t="s">
        <v>1359</v>
      </c>
      <c r="I1431" s="37" t="s">
        <v>67</v>
      </c>
      <c r="J1431" s="37" t="s">
        <v>1357</v>
      </c>
      <c r="K1431" s="37" t="str">
        <f t="shared" si="25"/>
        <v>Amite, MS</v>
      </c>
      <c r="L1431" s="24"/>
    </row>
    <row r="1432">
      <c r="A1432" s="28">
        <v>1431.0</v>
      </c>
      <c r="B1432" s="29"/>
      <c r="C1432" s="29"/>
      <c r="D1432" s="40">
        <v>1.0</v>
      </c>
      <c r="E1432" s="31">
        <v>28.0</v>
      </c>
      <c r="F1432" s="42">
        <v>7.0</v>
      </c>
      <c r="G1432" s="29" t="str">
        <f t="shared" si="1"/>
        <v>28007</v>
      </c>
      <c r="H1432" s="37" t="s">
        <v>1360</v>
      </c>
      <c r="I1432" s="37" t="s">
        <v>67</v>
      </c>
      <c r="J1432" s="37" t="s">
        <v>1357</v>
      </c>
      <c r="K1432" s="37" t="str">
        <f t="shared" si="25"/>
        <v>Attala, MS</v>
      </c>
      <c r="L1432" s="24"/>
    </row>
    <row r="1433">
      <c r="A1433" s="28">
        <v>1432.0</v>
      </c>
      <c r="B1433" s="29"/>
      <c r="C1433" s="29"/>
      <c r="D1433" s="40">
        <v>1.0</v>
      </c>
      <c r="E1433" s="31">
        <v>28.0</v>
      </c>
      <c r="F1433" s="42">
        <v>9.0</v>
      </c>
      <c r="G1433" s="29" t="str">
        <f t="shared" si="1"/>
        <v>28009</v>
      </c>
      <c r="H1433" s="37" t="s">
        <v>243</v>
      </c>
      <c r="I1433" s="37" t="s">
        <v>67</v>
      </c>
      <c r="J1433" s="37" t="s">
        <v>1357</v>
      </c>
      <c r="K1433" s="37" t="str">
        <f t="shared" si="25"/>
        <v>Benton, MS</v>
      </c>
      <c r="L1433" s="24"/>
    </row>
    <row r="1434">
      <c r="A1434" s="28">
        <v>1433.0</v>
      </c>
      <c r="B1434" s="29"/>
      <c r="C1434" s="29"/>
      <c r="D1434" s="40">
        <v>1.0</v>
      </c>
      <c r="E1434" s="31">
        <v>28.0</v>
      </c>
      <c r="F1434" s="42">
        <v>11.0</v>
      </c>
      <c r="G1434" s="29" t="str">
        <f t="shared" si="1"/>
        <v>28011</v>
      </c>
      <c r="H1434" s="37" t="s">
        <v>1361</v>
      </c>
      <c r="I1434" s="37" t="s">
        <v>67</v>
      </c>
      <c r="J1434" s="37" t="s">
        <v>1357</v>
      </c>
      <c r="K1434" s="37" t="str">
        <f t="shared" si="25"/>
        <v>Bolivar, MS</v>
      </c>
      <c r="L1434" s="24"/>
    </row>
    <row r="1435">
      <c r="A1435" s="28">
        <v>1434.0</v>
      </c>
      <c r="B1435" s="29"/>
      <c r="C1435" s="29"/>
      <c r="D1435" s="40">
        <v>1.0</v>
      </c>
      <c r="E1435" s="31">
        <v>28.0</v>
      </c>
      <c r="F1435" s="42">
        <v>13.0</v>
      </c>
      <c r="G1435" s="29" t="str">
        <f t="shared" si="1"/>
        <v>28013</v>
      </c>
      <c r="H1435" s="37" t="s">
        <v>93</v>
      </c>
      <c r="I1435" s="37" t="s">
        <v>67</v>
      </c>
      <c r="J1435" s="37" t="s">
        <v>1357</v>
      </c>
      <c r="K1435" s="37" t="str">
        <f t="shared" si="25"/>
        <v>Calhoun, MS</v>
      </c>
      <c r="L1435" s="24"/>
    </row>
    <row r="1436">
      <c r="A1436" s="28">
        <v>1435.0</v>
      </c>
      <c r="B1436" s="29"/>
      <c r="C1436" s="29"/>
      <c r="D1436" s="40">
        <v>1.0</v>
      </c>
      <c r="E1436" s="31">
        <v>28.0</v>
      </c>
      <c r="F1436" s="42">
        <v>15.0</v>
      </c>
      <c r="G1436" s="29" t="str">
        <f t="shared" si="1"/>
        <v>28015</v>
      </c>
      <c r="H1436" s="37" t="s">
        <v>248</v>
      </c>
      <c r="I1436" s="37" t="s">
        <v>67</v>
      </c>
      <c r="J1436" s="37" t="s">
        <v>1357</v>
      </c>
      <c r="K1436" s="37" t="str">
        <f t="shared" si="25"/>
        <v>Carroll, MS</v>
      </c>
      <c r="L1436" s="24"/>
    </row>
    <row r="1437">
      <c r="A1437" s="28">
        <v>1436.0</v>
      </c>
      <c r="B1437" s="29"/>
      <c r="C1437" s="29"/>
      <c r="D1437" s="40">
        <v>1.0</v>
      </c>
      <c r="E1437" s="31">
        <v>28.0</v>
      </c>
      <c r="F1437" s="42">
        <v>17.0</v>
      </c>
      <c r="G1437" s="29" t="str">
        <f t="shared" si="1"/>
        <v>28017</v>
      </c>
      <c r="H1437" s="37" t="s">
        <v>896</v>
      </c>
      <c r="I1437" s="37" t="s">
        <v>67</v>
      </c>
      <c r="J1437" s="37" t="s">
        <v>1357</v>
      </c>
      <c r="K1437" s="37" t="str">
        <f t="shared" si="25"/>
        <v>Chickasaw, MS</v>
      </c>
      <c r="L1437" s="24"/>
    </row>
    <row r="1438">
      <c r="A1438" s="28">
        <v>1437.0</v>
      </c>
      <c r="B1438" s="29"/>
      <c r="C1438" s="29"/>
      <c r="D1438" s="40">
        <v>1.0</v>
      </c>
      <c r="E1438" s="31">
        <v>28.0</v>
      </c>
      <c r="F1438" s="42">
        <v>19.0</v>
      </c>
      <c r="G1438" s="29" t="str">
        <f t="shared" si="1"/>
        <v>28019</v>
      </c>
      <c r="H1438" s="37" t="s">
        <v>107</v>
      </c>
      <c r="I1438" s="37" t="s">
        <v>67</v>
      </c>
      <c r="J1438" s="37" t="s">
        <v>1357</v>
      </c>
      <c r="K1438" s="37" t="str">
        <f t="shared" si="25"/>
        <v>Choctaw, MS</v>
      </c>
      <c r="L1438" s="24"/>
    </row>
    <row r="1439">
      <c r="A1439" s="28">
        <v>1438.0</v>
      </c>
      <c r="B1439" s="29"/>
      <c r="C1439" s="29"/>
      <c r="D1439" s="40">
        <v>1.0</v>
      </c>
      <c r="E1439" s="31">
        <v>28.0</v>
      </c>
      <c r="F1439" s="42">
        <v>21.0</v>
      </c>
      <c r="G1439" s="29" t="str">
        <f t="shared" si="1"/>
        <v>28021</v>
      </c>
      <c r="H1439" s="37" t="s">
        <v>1151</v>
      </c>
      <c r="I1439" s="37" t="s">
        <v>67</v>
      </c>
      <c r="J1439" s="37" t="s">
        <v>1357</v>
      </c>
      <c r="K1439" s="37" t="str">
        <f t="shared" si="25"/>
        <v>Claiborne, MS</v>
      </c>
      <c r="L1439" s="24"/>
    </row>
    <row r="1440">
      <c r="A1440" s="28">
        <v>1439.0</v>
      </c>
      <c r="B1440" s="29"/>
      <c r="C1440" s="29"/>
      <c r="D1440" s="40">
        <v>1.0</v>
      </c>
      <c r="E1440" s="31">
        <v>28.0</v>
      </c>
      <c r="F1440" s="42">
        <v>23.0</v>
      </c>
      <c r="G1440" s="29" t="str">
        <f t="shared" si="1"/>
        <v>28023</v>
      </c>
      <c r="H1440" s="37" t="s">
        <v>110</v>
      </c>
      <c r="I1440" s="37" t="s">
        <v>67</v>
      </c>
      <c r="J1440" s="37" t="s">
        <v>1357</v>
      </c>
      <c r="K1440" s="37" t="str">
        <f t="shared" si="25"/>
        <v>Clarke, MS</v>
      </c>
      <c r="L1440" s="24"/>
    </row>
    <row r="1441">
      <c r="A1441" s="28">
        <v>1440.0</v>
      </c>
      <c r="B1441" s="29"/>
      <c r="C1441" s="29"/>
      <c r="D1441" s="40">
        <v>1.0</v>
      </c>
      <c r="E1441" s="31">
        <v>28.0</v>
      </c>
      <c r="F1441" s="42">
        <v>25.0</v>
      </c>
      <c r="G1441" s="29" t="str">
        <f t="shared" si="1"/>
        <v>28025</v>
      </c>
      <c r="H1441" s="37" t="s">
        <v>112</v>
      </c>
      <c r="I1441" s="37" t="s">
        <v>67</v>
      </c>
      <c r="J1441" s="37" t="s">
        <v>1357</v>
      </c>
      <c r="K1441" s="37" t="str">
        <f t="shared" si="25"/>
        <v>Clay, MS</v>
      </c>
      <c r="L1441" s="24"/>
    </row>
    <row r="1442">
      <c r="A1442" s="28">
        <v>1441.0</v>
      </c>
      <c r="B1442" s="29"/>
      <c r="C1442" s="29"/>
      <c r="D1442" s="40">
        <v>1.0</v>
      </c>
      <c r="E1442" s="31">
        <v>28.0</v>
      </c>
      <c r="F1442" s="42">
        <v>27.0</v>
      </c>
      <c r="G1442" s="29" t="str">
        <f t="shared" si="1"/>
        <v>28027</v>
      </c>
      <c r="H1442" s="37" t="s">
        <v>1362</v>
      </c>
      <c r="I1442" s="37" t="s">
        <v>67</v>
      </c>
      <c r="J1442" s="37" t="s">
        <v>1357</v>
      </c>
      <c r="K1442" s="37" t="str">
        <f t="shared" si="25"/>
        <v>Coahoma, MS</v>
      </c>
      <c r="L1442" s="24"/>
    </row>
    <row r="1443">
      <c r="A1443" s="28">
        <v>1442.0</v>
      </c>
      <c r="B1443" s="29"/>
      <c r="C1443" s="29"/>
      <c r="D1443" s="40">
        <v>1.0</v>
      </c>
      <c r="E1443" s="31">
        <v>28.0</v>
      </c>
      <c r="F1443" s="42">
        <v>29.0</v>
      </c>
      <c r="G1443" s="29" t="str">
        <f t="shared" si="1"/>
        <v>28029</v>
      </c>
      <c r="H1443" s="37" t="s">
        <v>1363</v>
      </c>
      <c r="I1443" s="37" t="s">
        <v>67</v>
      </c>
      <c r="J1443" s="37" t="s">
        <v>1357</v>
      </c>
      <c r="K1443" s="37" t="str">
        <f t="shared" si="25"/>
        <v>Copiah, MS</v>
      </c>
      <c r="L1443" s="24"/>
    </row>
    <row r="1444">
      <c r="A1444" s="28">
        <v>1443.0</v>
      </c>
      <c r="B1444" s="29"/>
      <c r="C1444" s="29"/>
      <c r="D1444" s="40">
        <v>1.0</v>
      </c>
      <c r="E1444" s="31">
        <v>28.0</v>
      </c>
      <c r="F1444" s="42">
        <v>31.0</v>
      </c>
      <c r="G1444" s="29" t="str">
        <f t="shared" si="1"/>
        <v>28031</v>
      </c>
      <c r="H1444" s="37" t="s">
        <v>126</v>
      </c>
      <c r="I1444" s="37" t="s">
        <v>67</v>
      </c>
      <c r="J1444" s="37" t="s">
        <v>1357</v>
      </c>
      <c r="K1444" s="37" t="str">
        <f t="shared" si="25"/>
        <v>Covington, MS</v>
      </c>
      <c r="L1444" s="24"/>
    </row>
    <row r="1445">
      <c r="A1445" s="28">
        <v>1444.0</v>
      </c>
      <c r="B1445" s="29"/>
      <c r="C1445" s="29"/>
      <c r="D1445" s="40">
        <v>1.0</v>
      </c>
      <c r="E1445" s="31">
        <v>28.0</v>
      </c>
      <c r="F1445" s="42">
        <v>33.0</v>
      </c>
      <c r="G1445" s="29" t="str">
        <f t="shared" si="1"/>
        <v>28033</v>
      </c>
      <c r="H1445" s="37" t="s">
        <v>489</v>
      </c>
      <c r="I1445" s="37" t="s">
        <v>67</v>
      </c>
      <c r="J1445" s="37" t="s">
        <v>1357</v>
      </c>
      <c r="K1445" s="37" t="str">
        <f t="shared" si="25"/>
        <v>De Soto, MS</v>
      </c>
      <c r="L1445" s="24"/>
    </row>
    <row r="1446">
      <c r="A1446" s="28">
        <v>1445.0</v>
      </c>
      <c r="B1446" s="29"/>
      <c r="C1446" s="29"/>
      <c r="D1446" s="40">
        <v>1.0</v>
      </c>
      <c r="E1446" s="31">
        <v>28.0</v>
      </c>
      <c r="F1446" s="42">
        <v>35.0</v>
      </c>
      <c r="G1446" s="29" t="str">
        <f t="shared" si="1"/>
        <v>28035</v>
      </c>
      <c r="H1446" s="37" t="s">
        <v>1364</v>
      </c>
      <c r="I1446" s="37" t="s">
        <v>67</v>
      </c>
      <c r="J1446" s="37" t="s">
        <v>1357</v>
      </c>
      <c r="K1446" s="37" t="str">
        <f t="shared" si="25"/>
        <v>Forrest, MS</v>
      </c>
      <c r="L1446" s="24"/>
    </row>
    <row r="1447">
      <c r="A1447" s="28">
        <v>1446.0</v>
      </c>
      <c r="B1447" s="29"/>
      <c r="C1447" s="29"/>
      <c r="D1447" s="40">
        <v>1.0</v>
      </c>
      <c r="E1447" s="31">
        <v>28.0</v>
      </c>
      <c r="F1447" s="42">
        <v>37.0</v>
      </c>
      <c r="G1447" s="29" t="str">
        <f t="shared" si="1"/>
        <v>28037</v>
      </c>
      <c r="H1447" s="37" t="s">
        <v>136</v>
      </c>
      <c r="I1447" s="37" t="s">
        <v>67</v>
      </c>
      <c r="J1447" s="37" t="s">
        <v>1357</v>
      </c>
      <c r="K1447" s="37" t="str">
        <f t="shared" si="25"/>
        <v>Franklin, MS</v>
      </c>
      <c r="L1447" s="24"/>
    </row>
    <row r="1448">
      <c r="A1448" s="28">
        <v>1447.0</v>
      </c>
      <c r="B1448" s="29"/>
      <c r="C1448" s="29"/>
      <c r="D1448" s="40">
        <v>1.0</v>
      </c>
      <c r="E1448" s="31">
        <v>28.0</v>
      </c>
      <c r="F1448" s="42">
        <v>39.0</v>
      </c>
      <c r="G1448" s="29" t="str">
        <f t="shared" si="1"/>
        <v>28039</v>
      </c>
      <c r="H1448" s="37" t="s">
        <v>1365</v>
      </c>
      <c r="I1448" s="37" t="s">
        <v>67</v>
      </c>
      <c r="J1448" s="37" t="s">
        <v>1357</v>
      </c>
      <c r="K1448" s="37" t="str">
        <f t="shared" si="25"/>
        <v>George, MS</v>
      </c>
      <c r="L1448" s="24"/>
    </row>
    <row r="1449">
      <c r="A1449" s="28">
        <v>1448.0</v>
      </c>
      <c r="B1449" s="29"/>
      <c r="C1449" s="29"/>
      <c r="D1449" s="40">
        <v>1.0</v>
      </c>
      <c r="E1449" s="31">
        <v>28.0</v>
      </c>
      <c r="F1449" s="42">
        <v>41.0</v>
      </c>
      <c r="G1449" s="29" t="str">
        <f t="shared" si="1"/>
        <v>28041</v>
      </c>
      <c r="H1449" s="37" t="s">
        <v>138</v>
      </c>
      <c r="I1449" s="37" t="s">
        <v>67</v>
      </c>
      <c r="J1449" s="37" t="s">
        <v>1357</v>
      </c>
      <c r="K1449" s="37" t="str">
        <f t="shared" si="25"/>
        <v>Greene, MS</v>
      </c>
      <c r="L1449" s="24"/>
    </row>
    <row r="1450">
      <c r="A1450" s="28">
        <v>1449.0</v>
      </c>
      <c r="B1450" s="29"/>
      <c r="C1450" s="29"/>
      <c r="D1450" s="40">
        <v>1.0</v>
      </c>
      <c r="E1450" s="31">
        <v>28.0</v>
      </c>
      <c r="F1450" s="42">
        <v>43.0</v>
      </c>
      <c r="G1450" s="29" t="str">
        <f t="shared" si="1"/>
        <v>28043</v>
      </c>
      <c r="H1450" s="37" t="s">
        <v>1366</v>
      </c>
      <c r="I1450" s="37" t="s">
        <v>67</v>
      </c>
      <c r="J1450" s="37" t="s">
        <v>1357</v>
      </c>
      <c r="K1450" s="37" t="str">
        <f t="shared" si="25"/>
        <v>Grenada, MS</v>
      </c>
      <c r="L1450" s="24"/>
    </row>
    <row r="1451">
      <c r="A1451" s="28">
        <v>1450.0</v>
      </c>
      <c r="B1451" s="29"/>
      <c r="C1451" s="29"/>
      <c r="D1451" s="40">
        <v>1.0</v>
      </c>
      <c r="E1451" s="31">
        <v>28.0</v>
      </c>
      <c r="F1451" s="42">
        <v>45.0</v>
      </c>
      <c r="G1451" s="29" t="str">
        <f t="shared" si="1"/>
        <v>28045</v>
      </c>
      <c r="H1451" s="37" t="s">
        <v>587</v>
      </c>
      <c r="I1451" s="37" t="s">
        <v>67</v>
      </c>
      <c r="J1451" s="37" t="s">
        <v>1357</v>
      </c>
      <c r="K1451" s="37" t="str">
        <f t="shared" si="25"/>
        <v>Hancock, MS</v>
      </c>
      <c r="L1451" s="24"/>
    </row>
    <row r="1452">
      <c r="A1452" s="28">
        <v>1451.0</v>
      </c>
      <c r="B1452" s="29"/>
      <c r="C1452" s="29"/>
      <c r="D1452" s="40">
        <v>1.0</v>
      </c>
      <c r="E1452" s="31">
        <v>28.0</v>
      </c>
      <c r="F1452" s="42">
        <v>47.0</v>
      </c>
      <c r="G1452" s="29" t="str">
        <f t="shared" si="1"/>
        <v>28047</v>
      </c>
      <c r="H1452" s="37" t="s">
        <v>775</v>
      </c>
      <c r="I1452" s="37" t="s">
        <v>67</v>
      </c>
      <c r="J1452" s="37" t="s">
        <v>1357</v>
      </c>
      <c r="K1452" s="37" t="str">
        <f t="shared" si="25"/>
        <v>Harrison, MS</v>
      </c>
      <c r="L1452" s="24"/>
    </row>
    <row r="1453">
      <c r="A1453" s="28">
        <v>1452.0</v>
      </c>
      <c r="B1453" s="29"/>
      <c r="C1453" s="29"/>
      <c r="D1453" s="40">
        <v>1.0</v>
      </c>
      <c r="E1453" s="31">
        <v>28.0</v>
      </c>
      <c r="F1453" s="42">
        <v>49.0</v>
      </c>
      <c r="G1453" s="29" t="str">
        <f t="shared" si="1"/>
        <v>28049</v>
      </c>
      <c r="H1453" s="37" t="s">
        <v>1367</v>
      </c>
      <c r="I1453" s="37" t="s">
        <v>67</v>
      </c>
      <c r="J1453" s="37" t="s">
        <v>1357</v>
      </c>
      <c r="K1453" s="37" t="str">
        <f t="shared" si="25"/>
        <v>Hinds, MS</v>
      </c>
      <c r="L1453" s="24"/>
    </row>
    <row r="1454">
      <c r="A1454" s="28">
        <v>1453.0</v>
      </c>
      <c r="B1454" s="29"/>
      <c r="C1454" s="29"/>
      <c r="D1454" s="40">
        <v>1.0</v>
      </c>
      <c r="E1454" s="31">
        <v>28.0</v>
      </c>
      <c r="F1454" s="42">
        <v>51.0</v>
      </c>
      <c r="G1454" s="29" t="str">
        <f t="shared" si="1"/>
        <v>28051</v>
      </c>
      <c r="H1454" s="37" t="s">
        <v>502</v>
      </c>
      <c r="I1454" s="37" t="s">
        <v>67</v>
      </c>
      <c r="J1454" s="37" t="s">
        <v>1357</v>
      </c>
      <c r="K1454" s="37" t="str">
        <f t="shared" si="25"/>
        <v>Holmes, MS</v>
      </c>
      <c r="L1454" s="24"/>
    </row>
    <row r="1455">
      <c r="A1455" s="28">
        <v>1454.0</v>
      </c>
      <c r="B1455" s="29"/>
      <c r="C1455" s="29"/>
      <c r="D1455" s="40">
        <v>1.0</v>
      </c>
      <c r="E1455" s="31">
        <v>28.0</v>
      </c>
      <c r="F1455" s="42">
        <v>53.0</v>
      </c>
      <c r="G1455" s="29" t="str">
        <f t="shared" si="1"/>
        <v>28053</v>
      </c>
      <c r="H1455" s="37" t="s">
        <v>1368</v>
      </c>
      <c r="I1455" s="37" t="s">
        <v>67</v>
      </c>
      <c r="J1455" s="37" t="s">
        <v>1357</v>
      </c>
      <c r="K1455" s="37" t="str">
        <f t="shared" si="25"/>
        <v>Humphreys, MS</v>
      </c>
      <c r="L1455" s="24"/>
    </row>
    <row r="1456">
      <c r="A1456" s="28">
        <v>1455.0</v>
      </c>
      <c r="B1456" s="29"/>
      <c r="C1456" s="29"/>
      <c r="D1456" s="40">
        <v>1.0</v>
      </c>
      <c r="E1456" s="31">
        <v>28.0</v>
      </c>
      <c r="F1456" s="42">
        <v>55.0</v>
      </c>
      <c r="G1456" s="29" t="str">
        <f t="shared" si="1"/>
        <v>28055</v>
      </c>
      <c r="H1456" s="37" t="s">
        <v>1369</v>
      </c>
      <c r="I1456" s="37" t="s">
        <v>67</v>
      </c>
      <c r="J1456" s="37" t="s">
        <v>1357</v>
      </c>
      <c r="K1456" s="37" t="str">
        <f t="shared" si="25"/>
        <v>Issaquena, MS</v>
      </c>
      <c r="L1456" s="24"/>
    </row>
    <row r="1457">
      <c r="A1457" s="28">
        <v>1456.0</v>
      </c>
      <c r="B1457" s="29"/>
      <c r="C1457" s="29"/>
      <c r="D1457" s="40">
        <v>1.0</v>
      </c>
      <c r="E1457" s="31">
        <v>28.0</v>
      </c>
      <c r="F1457" s="42">
        <v>57.0</v>
      </c>
      <c r="G1457" s="29" t="str">
        <f t="shared" si="1"/>
        <v>28057</v>
      </c>
      <c r="H1457" s="37" t="s">
        <v>1370</v>
      </c>
      <c r="I1457" s="37" t="s">
        <v>67</v>
      </c>
      <c r="J1457" s="37" t="s">
        <v>1357</v>
      </c>
      <c r="K1457" s="37" t="str">
        <f t="shared" si="25"/>
        <v>Itawamba, MS</v>
      </c>
      <c r="L1457" s="24"/>
    </row>
    <row r="1458">
      <c r="A1458" s="28">
        <v>1457.0</v>
      </c>
      <c r="B1458" s="29"/>
      <c r="C1458" s="29"/>
      <c r="D1458" s="40">
        <v>1.0</v>
      </c>
      <c r="E1458" s="31">
        <v>28.0</v>
      </c>
      <c r="F1458" s="42">
        <v>59.0</v>
      </c>
      <c r="G1458" s="29" t="str">
        <f t="shared" si="1"/>
        <v>28059</v>
      </c>
      <c r="H1458" s="37" t="s">
        <v>142</v>
      </c>
      <c r="I1458" s="37" t="s">
        <v>67</v>
      </c>
      <c r="J1458" s="37" t="s">
        <v>1357</v>
      </c>
      <c r="K1458" s="37" t="str">
        <f t="shared" si="25"/>
        <v>Jackson, MS</v>
      </c>
      <c r="L1458" s="24"/>
    </row>
    <row r="1459">
      <c r="A1459" s="28">
        <v>1458.0</v>
      </c>
      <c r="B1459" s="29"/>
      <c r="C1459" s="29"/>
      <c r="D1459" s="40">
        <v>1.0</v>
      </c>
      <c r="E1459" s="31">
        <v>28.0</v>
      </c>
      <c r="F1459" s="42">
        <v>61.0</v>
      </c>
      <c r="G1459" s="29" t="str">
        <f t="shared" si="1"/>
        <v>28061</v>
      </c>
      <c r="H1459" s="37" t="s">
        <v>593</v>
      </c>
      <c r="I1459" s="37" t="s">
        <v>67</v>
      </c>
      <c r="J1459" s="37" t="s">
        <v>1357</v>
      </c>
      <c r="K1459" s="37" t="str">
        <f t="shared" si="25"/>
        <v>Jasper, MS</v>
      </c>
      <c r="L1459" s="24"/>
    </row>
    <row r="1460">
      <c r="A1460" s="28">
        <v>1459.0</v>
      </c>
      <c r="B1460" s="29"/>
      <c r="C1460" s="29"/>
      <c r="D1460" s="40">
        <v>1.0</v>
      </c>
      <c r="E1460" s="31">
        <v>28.0</v>
      </c>
      <c r="F1460" s="42">
        <v>63.0</v>
      </c>
      <c r="G1460" s="29" t="str">
        <f t="shared" si="1"/>
        <v>28063</v>
      </c>
      <c r="H1460" s="37" t="s">
        <v>143</v>
      </c>
      <c r="I1460" s="37" t="s">
        <v>67</v>
      </c>
      <c r="J1460" s="37" t="s">
        <v>1357</v>
      </c>
      <c r="K1460" s="37" t="str">
        <f t="shared" si="25"/>
        <v>Jefferson, MS</v>
      </c>
      <c r="L1460" s="24"/>
    </row>
    <row r="1461">
      <c r="A1461" s="28">
        <v>1460.0</v>
      </c>
      <c r="B1461" s="29"/>
      <c r="C1461" s="29"/>
      <c r="D1461" s="40">
        <v>1.0</v>
      </c>
      <c r="E1461" s="31">
        <v>28.0</v>
      </c>
      <c r="F1461" s="42">
        <v>65.0</v>
      </c>
      <c r="G1461" s="29" t="str">
        <f t="shared" si="1"/>
        <v>28065</v>
      </c>
      <c r="H1461" s="37" t="s">
        <v>1159</v>
      </c>
      <c r="I1461" s="37" t="s">
        <v>67</v>
      </c>
      <c r="J1461" s="37" t="s">
        <v>1357</v>
      </c>
      <c r="K1461" s="136" t="str">
        <f t="shared" si="25"/>
        <v>Jefferson Davis, MS</v>
      </c>
      <c r="L1461" s="24"/>
    </row>
    <row r="1462">
      <c r="A1462" s="28">
        <v>1461.0</v>
      </c>
      <c r="B1462" s="29"/>
      <c r="C1462" s="29"/>
      <c r="D1462" s="40">
        <v>1.0</v>
      </c>
      <c r="E1462" s="31">
        <v>28.0</v>
      </c>
      <c r="F1462" s="42">
        <v>67.0</v>
      </c>
      <c r="G1462" s="29" t="str">
        <f t="shared" si="1"/>
        <v>28067</v>
      </c>
      <c r="H1462" s="37" t="s">
        <v>598</v>
      </c>
      <c r="I1462" s="37" t="s">
        <v>67</v>
      </c>
      <c r="J1462" s="37" t="s">
        <v>1357</v>
      </c>
      <c r="K1462" s="37" t="str">
        <f t="shared" si="25"/>
        <v>Jones, MS</v>
      </c>
      <c r="L1462" s="24"/>
    </row>
    <row r="1463">
      <c r="A1463" s="28">
        <v>1462.0</v>
      </c>
      <c r="B1463" s="29"/>
      <c r="C1463" s="29"/>
      <c r="D1463" s="40">
        <v>1.0</v>
      </c>
      <c r="E1463" s="31">
        <v>28.0</v>
      </c>
      <c r="F1463" s="42">
        <v>69.0</v>
      </c>
      <c r="G1463" s="29" t="str">
        <f t="shared" si="1"/>
        <v>28069</v>
      </c>
      <c r="H1463" s="37" t="s">
        <v>1371</v>
      </c>
      <c r="I1463" s="37" t="s">
        <v>67</v>
      </c>
      <c r="J1463" s="37" t="s">
        <v>1357</v>
      </c>
      <c r="K1463" s="37" t="str">
        <f t="shared" si="25"/>
        <v>Kemper, MS</v>
      </c>
      <c r="L1463" s="24"/>
    </row>
    <row r="1464">
      <c r="A1464" s="28">
        <v>1463.0</v>
      </c>
      <c r="B1464" s="29"/>
      <c r="C1464" s="29"/>
      <c r="D1464" s="40">
        <v>1.0</v>
      </c>
      <c r="E1464" s="31">
        <v>28.0</v>
      </c>
      <c r="F1464" s="42">
        <v>71.0</v>
      </c>
      <c r="G1464" s="29" t="str">
        <f t="shared" si="1"/>
        <v>28071</v>
      </c>
      <c r="H1464" s="37" t="s">
        <v>289</v>
      </c>
      <c r="I1464" s="37" t="s">
        <v>67</v>
      </c>
      <c r="J1464" s="37" t="s">
        <v>1357</v>
      </c>
      <c r="K1464" s="37" t="str">
        <f t="shared" si="25"/>
        <v>Lafayette, MS</v>
      </c>
      <c r="L1464" s="24"/>
    </row>
    <row r="1465">
      <c r="A1465" s="28">
        <v>1464.0</v>
      </c>
      <c r="B1465" s="29"/>
      <c r="C1465" s="29"/>
      <c r="D1465" s="40">
        <v>1.0</v>
      </c>
      <c r="E1465" s="31">
        <v>28.0</v>
      </c>
      <c r="F1465" s="42">
        <v>73.0</v>
      </c>
      <c r="G1465" s="29" t="str">
        <f t="shared" si="1"/>
        <v>28073</v>
      </c>
      <c r="H1465" s="37" t="s">
        <v>144</v>
      </c>
      <c r="I1465" s="37" t="s">
        <v>67</v>
      </c>
      <c r="J1465" s="37" t="s">
        <v>1357</v>
      </c>
      <c r="K1465" s="37" t="str">
        <f t="shared" si="25"/>
        <v>Lamar, MS</v>
      </c>
      <c r="L1465" s="24"/>
    </row>
    <row r="1466">
      <c r="A1466" s="28">
        <v>1465.0</v>
      </c>
      <c r="B1466" s="29"/>
      <c r="C1466" s="29"/>
      <c r="D1466" s="40">
        <v>1.0</v>
      </c>
      <c r="E1466" s="31">
        <v>28.0</v>
      </c>
      <c r="F1466" s="42">
        <v>75.0</v>
      </c>
      <c r="G1466" s="29" t="str">
        <f t="shared" si="1"/>
        <v>28075</v>
      </c>
      <c r="H1466" s="37" t="s">
        <v>145</v>
      </c>
      <c r="I1466" s="37" t="s">
        <v>67</v>
      </c>
      <c r="J1466" s="37" t="s">
        <v>1357</v>
      </c>
      <c r="K1466" s="37" t="str">
        <f t="shared" si="25"/>
        <v>Lauderdale, MS</v>
      </c>
      <c r="L1466" s="24"/>
    </row>
    <row r="1467">
      <c r="A1467" s="28">
        <v>1466.0</v>
      </c>
      <c r="B1467" s="29"/>
      <c r="C1467" s="29"/>
      <c r="D1467" s="40">
        <v>1.0</v>
      </c>
      <c r="E1467" s="31">
        <v>28.0</v>
      </c>
      <c r="F1467" s="42">
        <v>77.0</v>
      </c>
      <c r="G1467" s="29" t="str">
        <f t="shared" si="1"/>
        <v>28077</v>
      </c>
      <c r="H1467" s="37" t="s">
        <v>146</v>
      </c>
      <c r="I1467" s="37" t="s">
        <v>67</v>
      </c>
      <c r="J1467" s="37" t="s">
        <v>1357</v>
      </c>
      <c r="K1467" s="37" t="str">
        <f t="shared" si="25"/>
        <v>Lawrence, MS</v>
      </c>
      <c r="L1467" s="24"/>
    </row>
    <row r="1468">
      <c r="A1468" s="28">
        <v>1467.0</v>
      </c>
      <c r="B1468" s="29"/>
      <c r="C1468" s="29"/>
      <c r="D1468" s="40">
        <v>1.0</v>
      </c>
      <c r="E1468" s="31">
        <v>28.0</v>
      </c>
      <c r="F1468" s="42">
        <v>79.0</v>
      </c>
      <c r="G1468" s="29" t="str">
        <f t="shared" si="1"/>
        <v>28079</v>
      </c>
      <c r="H1468" s="37" t="s">
        <v>1372</v>
      </c>
      <c r="I1468" s="37" t="s">
        <v>67</v>
      </c>
      <c r="J1468" s="37" t="s">
        <v>1357</v>
      </c>
      <c r="K1468" s="37" t="str">
        <f t="shared" si="25"/>
        <v>Leake, MS</v>
      </c>
      <c r="L1468" s="24"/>
    </row>
    <row r="1469">
      <c r="A1469" s="28">
        <v>1468.0</v>
      </c>
      <c r="B1469" s="29"/>
      <c r="C1469" s="29"/>
      <c r="D1469" s="40">
        <v>1.0</v>
      </c>
      <c r="E1469" s="31">
        <v>28.0</v>
      </c>
      <c r="F1469" s="42">
        <v>81.0</v>
      </c>
      <c r="G1469" s="29" t="str">
        <f t="shared" si="1"/>
        <v>28081</v>
      </c>
      <c r="H1469" s="37" t="s">
        <v>147</v>
      </c>
      <c r="I1469" s="37" t="s">
        <v>67</v>
      </c>
      <c r="J1469" s="37" t="s">
        <v>1357</v>
      </c>
      <c r="K1469" s="37" t="str">
        <f t="shared" si="25"/>
        <v>Lee, MS</v>
      </c>
      <c r="L1469" s="24"/>
    </row>
    <row r="1470">
      <c r="A1470" s="28">
        <v>1469.0</v>
      </c>
      <c r="B1470" s="29"/>
      <c r="C1470" s="29"/>
      <c r="D1470" s="40">
        <v>1.0</v>
      </c>
      <c r="E1470" s="31">
        <v>28.0</v>
      </c>
      <c r="F1470" s="42">
        <v>83.0</v>
      </c>
      <c r="G1470" s="29" t="str">
        <f t="shared" si="1"/>
        <v>28083</v>
      </c>
      <c r="H1470" s="37" t="s">
        <v>1373</v>
      </c>
      <c r="I1470" s="37" t="s">
        <v>67</v>
      </c>
      <c r="J1470" s="37" t="s">
        <v>1357</v>
      </c>
      <c r="K1470" s="37" t="str">
        <f t="shared" si="25"/>
        <v>Leflore, MS</v>
      </c>
      <c r="L1470" s="24"/>
    </row>
    <row r="1471">
      <c r="A1471" s="28">
        <v>1470.0</v>
      </c>
      <c r="B1471" s="29"/>
      <c r="C1471" s="29"/>
      <c r="D1471" s="40">
        <v>1.0</v>
      </c>
      <c r="E1471" s="31">
        <v>28.0</v>
      </c>
      <c r="F1471" s="42">
        <v>85.0</v>
      </c>
      <c r="G1471" s="29" t="str">
        <f t="shared" si="1"/>
        <v>28085</v>
      </c>
      <c r="H1471" s="37" t="s">
        <v>290</v>
      </c>
      <c r="I1471" s="37" t="s">
        <v>67</v>
      </c>
      <c r="J1471" s="37" t="s">
        <v>1357</v>
      </c>
      <c r="K1471" s="37" t="str">
        <f t="shared" si="25"/>
        <v>Lincoln, MS</v>
      </c>
      <c r="L1471" s="24"/>
    </row>
    <row r="1472">
      <c r="A1472" s="28">
        <v>1471.0</v>
      </c>
      <c r="B1472" s="29"/>
      <c r="C1472" s="29"/>
      <c r="D1472" s="40">
        <v>1.0</v>
      </c>
      <c r="E1472" s="31">
        <v>28.0</v>
      </c>
      <c r="F1472" s="42">
        <v>87.0</v>
      </c>
      <c r="G1472" s="29" t="str">
        <f t="shared" si="1"/>
        <v>28087</v>
      </c>
      <c r="H1472" s="37" t="s">
        <v>149</v>
      </c>
      <c r="I1472" s="37" t="s">
        <v>67</v>
      </c>
      <c r="J1472" s="37" t="s">
        <v>1357</v>
      </c>
      <c r="K1472" s="37" t="str">
        <f t="shared" si="25"/>
        <v>Lowndes, MS</v>
      </c>
      <c r="L1472" s="24"/>
    </row>
    <row r="1473">
      <c r="A1473" s="28">
        <v>1472.0</v>
      </c>
      <c r="B1473" s="29"/>
      <c r="C1473" s="29"/>
      <c r="D1473" s="40">
        <v>1.0</v>
      </c>
      <c r="E1473" s="31">
        <v>28.0</v>
      </c>
      <c r="F1473" s="42">
        <v>89.0</v>
      </c>
      <c r="G1473" s="29" t="str">
        <f t="shared" si="1"/>
        <v>28089</v>
      </c>
      <c r="H1473" s="37" t="s">
        <v>151</v>
      </c>
      <c r="I1473" s="37" t="s">
        <v>67</v>
      </c>
      <c r="J1473" s="37" t="s">
        <v>1357</v>
      </c>
      <c r="K1473" s="37" t="str">
        <f t="shared" si="25"/>
        <v>Madison, MS</v>
      </c>
      <c r="L1473" s="24"/>
    </row>
    <row r="1474">
      <c r="A1474" s="28">
        <v>1473.0</v>
      </c>
      <c r="B1474" s="29"/>
      <c r="C1474" s="29"/>
      <c r="D1474" s="40">
        <v>1.0</v>
      </c>
      <c r="E1474" s="31">
        <v>28.0</v>
      </c>
      <c r="F1474" s="42">
        <v>91.0</v>
      </c>
      <c r="G1474" s="29" t="str">
        <f t="shared" si="1"/>
        <v>28091</v>
      </c>
      <c r="H1474" s="37" t="s">
        <v>153</v>
      </c>
      <c r="I1474" s="37" t="s">
        <v>67</v>
      </c>
      <c r="J1474" s="37" t="s">
        <v>1357</v>
      </c>
      <c r="K1474" s="37" t="str">
        <f t="shared" si="25"/>
        <v>Marion, MS</v>
      </c>
      <c r="L1474" s="24"/>
    </row>
    <row r="1475">
      <c r="A1475" s="28">
        <v>1474.0</v>
      </c>
      <c r="B1475" s="29"/>
      <c r="C1475" s="29"/>
      <c r="D1475" s="40">
        <v>1.0</v>
      </c>
      <c r="E1475" s="31">
        <v>28.0</v>
      </c>
      <c r="F1475" s="42">
        <v>93.0</v>
      </c>
      <c r="G1475" s="29" t="str">
        <f t="shared" si="1"/>
        <v>28093</v>
      </c>
      <c r="H1475" s="37" t="s">
        <v>154</v>
      </c>
      <c r="I1475" s="37" t="s">
        <v>67</v>
      </c>
      <c r="J1475" s="37" t="s">
        <v>1357</v>
      </c>
      <c r="K1475" s="37" t="str">
        <f t="shared" si="25"/>
        <v>Marshall, MS</v>
      </c>
      <c r="L1475" s="24"/>
    </row>
    <row r="1476">
      <c r="A1476" s="28">
        <v>1475.0</v>
      </c>
      <c r="B1476" s="29"/>
      <c r="C1476" s="29"/>
      <c r="D1476" s="40">
        <v>1.0</v>
      </c>
      <c r="E1476" s="31">
        <v>28.0</v>
      </c>
      <c r="F1476" s="42">
        <v>95.0</v>
      </c>
      <c r="G1476" s="29" t="str">
        <f t="shared" si="1"/>
        <v>28095</v>
      </c>
      <c r="H1476" s="37" t="s">
        <v>156</v>
      </c>
      <c r="I1476" s="37" t="s">
        <v>67</v>
      </c>
      <c r="J1476" s="37" t="s">
        <v>1357</v>
      </c>
      <c r="K1476" s="37" t="str">
        <f t="shared" si="25"/>
        <v>Monroe, MS</v>
      </c>
      <c r="L1476" s="24"/>
    </row>
    <row r="1477">
      <c r="A1477" s="28">
        <v>1476.0</v>
      </c>
      <c r="B1477" s="29"/>
      <c r="C1477" s="29"/>
      <c r="D1477" s="40">
        <v>1.0</v>
      </c>
      <c r="E1477" s="31">
        <v>28.0</v>
      </c>
      <c r="F1477" s="42">
        <v>97.0</v>
      </c>
      <c r="G1477" s="29" t="str">
        <f t="shared" si="1"/>
        <v>28097</v>
      </c>
      <c r="H1477" s="37" t="s">
        <v>157</v>
      </c>
      <c r="I1477" s="37" t="s">
        <v>67</v>
      </c>
      <c r="J1477" s="37" t="s">
        <v>1357</v>
      </c>
      <c r="K1477" s="136" t="str">
        <f t="shared" si="25"/>
        <v>Montgomery, MS</v>
      </c>
      <c r="L1477" s="24"/>
    </row>
    <row r="1478">
      <c r="A1478" s="28">
        <v>1477.0</v>
      </c>
      <c r="B1478" s="29"/>
      <c r="C1478" s="29"/>
      <c r="D1478" s="40">
        <v>1.0</v>
      </c>
      <c r="E1478" s="31">
        <v>28.0</v>
      </c>
      <c r="F1478" s="42">
        <v>99.0</v>
      </c>
      <c r="G1478" s="29" t="str">
        <f t="shared" si="1"/>
        <v>28099</v>
      </c>
      <c r="H1478" s="37" t="s">
        <v>1374</v>
      </c>
      <c r="I1478" s="37" t="s">
        <v>67</v>
      </c>
      <c r="J1478" s="37" t="s">
        <v>1357</v>
      </c>
      <c r="K1478" s="37" t="str">
        <f t="shared" si="25"/>
        <v>Neshoba, MS</v>
      </c>
      <c r="L1478" s="24"/>
    </row>
    <row r="1479">
      <c r="A1479" s="28">
        <v>1478.0</v>
      </c>
      <c r="B1479" s="29"/>
      <c r="C1479" s="29"/>
      <c r="D1479" s="40">
        <v>1.0</v>
      </c>
      <c r="E1479" s="31">
        <v>28.0</v>
      </c>
      <c r="F1479" s="42">
        <v>101.0</v>
      </c>
      <c r="G1479" s="29" t="str">
        <f t="shared" si="1"/>
        <v>28101</v>
      </c>
      <c r="H1479" s="37" t="s">
        <v>297</v>
      </c>
      <c r="I1479" s="37" t="s">
        <v>67</v>
      </c>
      <c r="J1479" s="37" t="s">
        <v>1357</v>
      </c>
      <c r="K1479" s="37" t="str">
        <f t="shared" si="25"/>
        <v>Newton, MS</v>
      </c>
      <c r="L1479" s="24"/>
    </row>
    <row r="1480">
      <c r="A1480" s="28">
        <v>1479.0</v>
      </c>
      <c r="B1480" s="29"/>
      <c r="C1480" s="29"/>
      <c r="D1480" s="40">
        <v>1.0</v>
      </c>
      <c r="E1480" s="31">
        <v>28.0</v>
      </c>
      <c r="F1480" s="42">
        <v>103.0</v>
      </c>
      <c r="G1480" s="29" t="str">
        <f t="shared" si="1"/>
        <v>28103</v>
      </c>
      <c r="H1480" s="37" t="s">
        <v>1375</v>
      </c>
      <c r="I1480" s="37" t="s">
        <v>67</v>
      </c>
      <c r="J1480" s="37" t="s">
        <v>1357</v>
      </c>
      <c r="K1480" s="37" t="str">
        <f t="shared" si="25"/>
        <v>Noxubee, MS</v>
      </c>
      <c r="L1480" s="24"/>
    </row>
    <row r="1481">
      <c r="A1481" s="28">
        <v>1480.0</v>
      </c>
      <c r="B1481" s="29"/>
      <c r="C1481" s="29"/>
      <c r="D1481" s="40">
        <v>1.0</v>
      </c>
      <c r="E1481" s="31">
        <v>28.0</v>
      </c>
      <c r="F1481" s="42">
        <v>105.0</v>
      </c>
      <c r="G1481" s="29" t="str">
        <f t="shared" si="1"/>
        <v>28105</v>
      </c>
      <c r="H1481" s="37" t="s">
        <v>1376</v>
      </c>
      <c r="I1481" s="37" t="s">
        <v>67</v>
      </c>
      <c r="J1481" s="37" t="s">
        <v>1357</v>
      </c>
      <c r="K1481" s="37" t="str">
        <f t="shared" si="25"/>
        <v>Oktibbeha, MS</v>
      </c>
      <c r="L1481" s="24"/>
    </row>
    <row r="1482">
      <c r="A1482" s="28">
        <v>1481.0</v>
      </c>
      <c r="B1482" s="29"/>
      <c r="C1482" s="29"/>
      <c r="D1482" s="40">
        <v>1.0</v>
      </c>
      <c r="E1482" s="31">
        <v>28.0</v>
      </c>
      <c r="F1482" s="42">
        <v>107.0</v>
      </c>
      <c r="G1482" s="29" t="str">
        <f t="shared" si="1"/>
        <v>28107</v>
      </c>
      <c r="H1482" s="37" t="s">
        <v>1377</v>
      </c>
      <c r="I1482" s="37" t="s">
        <v>67</v>
      </c>
      <c r="J1482" s="37" t="s">
        <v>1357</v>
      </c>
      <c r="K1482" s="37" t="str">
        <f t="shared" si="25"/>
        <v>Panola, MS</v>
      </c>
      <c r="L1482" s="24"/>
    </row>
    <row r="1483">
      <c r="A1483" s="28">
        <v>1482.0</v>
      </c>
      <c r="B1483" s="29"/>
      <c r="C1483" s="29"/>
      <c r="D1483" s="40">
        <v>1.0</v>
      </c>
      <c r="E1483" s="31">
        <v>28.0</v>
      </c>
      <c r="F1483" s="42">
        <v>109.0</v>
      </c>
      <c r="G1483" s="29" t="str">
        <f t="shared" si="1"/>
        <v>28109</v>
      </c>
      <c r="H1483" s="37" t="s">
        <v>1378</v>
      </c>
      <c r="I1483" s="37" t="s">
        <v>67</v>
      </c>
      <c r="J1483" s="37" t="s">
        <v>1357</v>
      </c>
      <c r="K1483" s="37" t="str">
        <f t="shared" si="25"/>
        <v>Pearl River, MS</v>
      </c>
      <c r="L1483" s="24"/>
    </row>
    <row r="1484">
      <c r="A1484" s="28">
        <v>1483.0</v>
      </c>
      <c r="B1484" s="29"/>
      <c r="C1484" s="29"/>
      <c r="D1484" s="40">
        <v>1.0</v>
      </c>
      <c r="E1484" s="31">
        <v>28.0</v>
      </c>
      <c r="F1484" s="42">
        <v>111.0</v>
      </c>
      <c r="G1484" s="29" t="str">
        <f t="shared" si="1"/>
        <v>28111</v>
      </c>
      <c r="H1484" s="37" t="s">
        <v>159</v>
      </c>
      <c r="I1484" s="37" t="s">
        <v>67</v>
      </c>
      <c r="J1484" s="37" t="s">
        <v>1357</v>
      </c>
      <c r="K1484" s="37" t="str">
        <f t="shared" si="25"/>
        <v>Perry, MS</v>
      </c>
      <c r="L1484" s="24"/>
    </row>
    <row r="1485">
      <c r="A1485" s="28">
        <v>1484.0</v>
      </c>
      <c r="B1485" s="29"/>
      <c r="C1485" s="29"/>
      <c r="D1485" s="40">
        <v>1.0</v>
      </c>
      <c r="E1485" s="31">
        <v>28.0</v>
      </c>
      <c r="F1485" s="42">
        <v>113.0</v>
      </c>
      <c r="G1485" s="29" t="str">
        <f t="shared" si="1"/>
        <v>28113</v>
      </c>
      <c r="H1485" s="37" t="s">
        <v>162</v>
      </c>
      <c r="I1485" s="37" t="s">
        <v>67</v>
      </c>
      <c r="J1485" s="37" t="s">
        <v>1357</v>
      </c>
      <c r="K1485" s="37" t="str">
        <f t="shared" si="25"/>
        <v>Pike, MS</v>
      </c>
      <c r="L1485" s="24"/>
    </row>
    <row r="1486">
      <c r="A1486" s="28">
        <v>1485.0</v>
      </c>
      <c r="B1486" s="29"/>
      <c r="C1486" s="29"/>
      <c r="D1486" s="40">
        <v>1.0</v>
      </c>
      <c r="E1486" s="31">
        <v>28.0</v>
      </c>
      <c r="F1486" s="42">
        <v>115.0</v>
      </c>
      <c r="G1486" s="29" t="str">
        <f t="shared" si="1"/>
        <v>28115</v>
      </c>
      <c r="H1486" s="37" t="s">
        <v>1379</v>
      </c>
      <c r="I1486" s="37" t="s">
        <v>67</v>
      </c>
      <c r="J1486" s="37" t="s">
        <v>1357</v>
      </c>
      <c r="K1486" s="37" t="str">
        <f t="shared" si="25"/>
        <v>Pontotoc, MS</v>
      </c>
      <c r="L1486" s="24"/>
    </row>
    <row r="1487">
      <c r="A1487" s="28">
        <v>1486.0</v>
      </c>
      <c r="B1487" s="29"/>
      <c r="C1487" s="29"/>
      <c r="D1487" s="40">
        <v>1.0</v>
      </c>
      <c r="E1487" s="31">
        <v>28.0</v>
      </c>
      <c r="F1487" s="42">
        <v>117.0</v>
      </c>
      <c r="G1487" s="29" t="str">
        <f t="shared" si="1"/>
        <v>28117</v>
      </c>
      <c r="H1487" s="37" t="s">
        <v>1380</v>
      </c>
      <c r="I1487" s="37" t="s">
        <v>67</v>
      </c>
      <c r="J1487" s="37" t="s">
        <v>1357</v>
      </c>
      <c r="K1487" s="37" t="str">
        <f t="shared" si="25"/>
        <v>Prentiss, MS</v>
      </c>
      <c r="L1487" s="24"/>
    </row>
    <row r="1488">
      <c r="A1488" s="28">
        <v>1487.0</v>
      </c>
      <c r="B1488" s="29"/>
      <c r="C1488" s="29"/>
      <c r="D1488" s="40">
        <v>1.0</v>
      </c>
      <c r="E1488" s="31">
        <v>28.0</v>
      </c>
      <c r="F1488" s="42">
        <v>119.0</v>
      </c>
      <c r="G1488" s="29" t="str">
        <f t="shared" si="1"/>
        <v>28119</v>
      </c>
      <c r="H1488" s="37" t="s">
        <v>618</v>
      </c>
      <c r="I1488" s="37" t="s">
        <v>67</v>
      </c>
      <c r="J1488" s="37" t="s">
        <v>1357</v>
      </c>
      <c r="K1488" s="37" t="str">
        <f t="shared" si="25"/>
        <v>Quitman, MS</v>
      </c>
      <c r="L1488" s="24"/>
    </row>
    <row r="1489">
      <c r="A1489" s="28">
        <v>1488.0</v>
      </c>
      <c r="B1489" s="29"/>
      <c r="C1489" s="29"/>
      <c r="D1489" s="40">
        <v>1.0</v>
      </c>
      <c r="E1489" s="31">
        <v>28.0</v>
      </c>
      <c r="F1489" s="42">
        <v>121.0</v>
      </c>
      <c r="G1489" s="29" t="str">
        <f t="shared" si="1"/>
        <v>28121</v>
      </c>
      <c r="H1489" s="37" t="s">
        <v>1381</v>
      </c>
      <c r="I1489" s="37" t="s">
        <v>67</v>
      </c>
      <c r="J1489" s="37" t="s">
        <v>1357</v>
      </c>
      <c r="K1489" s="37" t="str">
        <f t="shared" si="25"/>
        <v>Rankin, MS</v>
      </c>
      <c r="L1489" s="24"/>
    </row>
    <row r="1490">
      <c r="A1490" s="28">
        <v>1489.0</v>
      </c>
      <c r="B1490" s="29"/>
      <c r="C1490" s="29"/>
      <c r="D1490" s="40">
        <v>1.0</v>
      </c>
      <c r="E1490" s="31">
        <v>28.0</v>
      </c>
      <c r="F1490" s="42">
        <v>123.0</v>
      </c>
      <c r="G1490" s="29" t="str">
        <f t="shared" si="1"/>
        <v>28123</v>
      </c>
      <c r="H1490" s="37" t="s">
        <v>309</v>
      </c>
      <c r="I1490" s="37" t="s">
        <v>67</v>
      </c>
      <c r="J1490" s="37" t="s">
        <v>1357</v>
      </c>
      <c r="K1490" s="37" t="str">
        <f t="shared" si="25"/>
        <v>Scott, MS</v>
      </c>
      <c r="L1490" s="24"/>
    </row>
    <row r="1491">
      <c r="A1491" s="28">
        <v>1490.0</v>
      </c>
      <c r="B1491" s="29"/>
      <c r="C1491" s="29"/>
      <c r="D1491" s="40">
        <v>1.0</v>
      </c>
      <c r="E1491" s="31">
        <v>28.0</v>
      </c>
      <c r="F1491" s="42">
        <v>125.0</v>
      </c>
      <c r="G1491" s="29" t="str">
        <f t="shared" si="1"/>
        <v>28125</v>
      </c>
      <c r="H1491" s="37" t="s">
        <v>1382</v>
      </c>
      <c r="I1491" s="37" t="s">
        <v>67</v>
      </c>
      <c r="J1491" s="37" t="s">
        <v>1357</v>
      </c>
      <c r="K1491" s="37" t="str">
        <f t="shared" si="25"/>
        <v>Sharkey, MS</v>
      </c>
      <c r="L1491" s="24"/>
    </row>
    <row r="1492">
      <c r="A1492" s="28">
        <v>1491.0</v>
      </c>
      <c r="B1492" s="29"/>
      <c r="C1492" s="29"/>
      <c r="D1492" s="40">
        <v>1.0</v>
      </c>
      <c r="E1492" s="31">
        <v>28.0</v>
      </c>
      <c r="F1492" s="42">
        <v>127.0</v>
      </c>
      <c r="G1492" s="29" t="str">
        <f t="shared" si="1"/>
        <v>28127</v>
      </c>
      <c r="H1492" s="37" t="s">
        <v>1134</v>
      </c>
      <c r="I1492" s="37" t="s">
        <v>67</v>
      </c>
      <c r="J1492" s="37" t="s">
        <v>1357</v>
      </c>
      <c r="K1492" s="37" t="str">
        <f t="shared" si="25"/>
        <v>Simpson, MS</v>
      </c>
      <c r="L1492" s="24"/>
    </row>
    <row r="1493">
      <c r="A1493" s="28">
        <v>1492.0</v>
      </c>
      <c r="B1493" s="29"/>
      <c r="C1493" s="29"/>
      <c r="D1493" s="40">
        <v>1.0</v>
      </c>
      <c r="E1493" s="31">
        <v>28.0</v>
      </c>
      <c r="F1493" s="42">
        <v>129.0</v>
      </c>
      <c r="G1493" s="29" t="str">
        <f t="shared" si="1"/>
        <v>28129</v>
      </c>
      <c r="H1493" s="37" t="s">
        <v>1012</v>
      </c>
      <c r="I1493" s="37" t="s">
        <v>67</v>
      </c>
      <c r="J1493" s="37" t="s">
        <v>1357</v>
      </c>
      <c r="K1493" s="37" t="str">
        <f t="shared" si="25"/>
        <v>Smith, MS</v>
      </c>
      <c r="L1493" s="24"/>
    </row>
    <row r="1494">
      <c r="A1494" s="28">
        <v>1493.0</v>
      </c>
      <c r="B1494" s="29"/>
      <c r="C1494" s="29"/>
      <c r="D1494" s="40">
        <v>1.0</v>
      </c>
      <c r="E1494" s="31">
        <v>28.0</v>
      </c>
      <c r="F1494" s="42">
        <v>131.0</v>
      </c>
      <c r="G1494" s="29" t="str">
        <f t="shared" si="1"/>
        <v>28131</v>
      </c>
      <c r="H1494" s="37" t="s">
        <v>315</v>
      </c>
      <c r="I1494" s="37" t="s">
        <v>67</v>
      </c>
      <c r="J1494" s="37" t="s">
        <v>1357</v>
      </c>
      <c r="K1494" s="37" t="str">
        <f t="shared" si="25"/>
        <v>Stone, MS</v>
      </c>
      <c r="L1494" s="24"/>
    </row>
    <row r="1495">
      <c r="A1495" s="28">
        <v>1494.0</v>
      </c>
      <c r="B1495" s="29"/>
      <c r="C1495" s="29"/>
      <c r="D1495" s="40">
        <v>1.0</v>
      </c>
      <c r="E1495" s="31">
        <v>28.0</v>
      </c>
      <c r="F1495" s="42">
        <v>133.0</v>
      </c>
      <c r="G1495" s="29" t="str">
        <f t="shared" si="1"/>
        <v>28133</v>
      </c>
      <c r="H1495" s="37" t="s">
        <v>1383</v>
      </c>
      <c r="I1495" s="37" t="s">
        <v>67</v>
      </c>
      <c r="J1495" s="37" t="s">
        <v>1357</v>
      </c>
      <c r="K1495" s="37" t="str">
        <f t="shared" si="25"/>
        <v>Sunflower, MS</v>
      </c>
      <c r="L1495" s="24"/>
    </row>
    <row r="1496">
      <c r="A1496" s="28">
        <v>1495.0</v>
      </c>
      <c r="B1496" s="29"/>
      <c r="C1496" s="29"/>
      <c r="D1496" s="40">
        <v>1.0</v>
      </c>
      <c r="E1496" s="31">
        <v>28.0</v>
      </c>
      <c r="F1496" s="42">
        <v>135.0</v>
      </c>
      <c r="G1496" s="29" t="str">
        <f t="shared" si="1"/>
        <v>28135</v>
      </c>
      <c r="H1496" s="37" t="s">
        <v>1384</v>
      </c>
      <c r="I1496" s="37" t="s">
        <v>67</v>
      </c>
      <c r="J1496" s="37" t="s">
        <v>1357</v>
      </c>
      <c r="K1496" s="37" t="str">
        <f t="shared" si="25"/>
        <v>Tallahatchie, MS</v>
      </c>
      <c r="L1496" s="24"/>
    </row>
    <row r="1497">
      <c r="A1497" s="28">
        <v>1496.0</v>
      </c>
      <c r="B1497" s="29"/>
      <c r="C1497" s="29"/>
      <c r="D1497" s="40">
        <v>1.0</v>
      </c>
      <c r="E1497" s="31">
        <v>28.0</v>
      </c>
      <c r="F1497" s="42">
        <v>137.0</v>
      </c>
      <c r="G1497" s="29" t="str">
        <f t="shared" si="1"/>
        <v>28137</v>
      </c>
      <c r="H1497" s="37" t="s">
        <v>1385</v>
      </c>
      <c r="I1497" s="37" t="s">
        <v>67</v>
      </c>
      <c r="J1497" s="37" t="s">
        <v>1357</v>
      </c>
      <c r="K1497" s="37" t="str">
        <f t="shared" si="25"/>
        <v>Tate, MS</v>
      </c>
      <c r="L1497" s="24"/>
    </row>
    <row r="1498">
      <c r="A1498" s="28">
        <v>1497.0</v>
      </c>
      <c r="B1498" s="29"/>
      <c r="C1498" s="29"/>
      <c r="D1498" s="40">
        <v>1.0</v>
      </c>
      <c r="E1498" s="31">
        <v>28.0</v>
      </c>
      <c r="F1498" s="42">
        <v>139.0</v>
      </c>
      <c r="G1498" s="29" t="str">
        <f t="shared" si="1"/>
        <v>28139</v>
      </c>
      <c r="H1498" s="37" t="s">
        <v>1386</v>
      </c>
      <c r="I1498" s="37" t="s">
        <v>67</v>
      </c>
      <c r="J1498" s="37" t="s">
        <v>1357</v>
      </c>
      <c r="K1498" s="37" t="str">
        <f t="shared" si="25"/>
        <v>Tippah, MS</v>
      </c>
      <c r="L1498" s="24"/>
    </row>
    <row r="1499">
      <c r="A1499" s="28">
        <v>1498.0</v>
      </c>
      <c r="B1499" s="29"/>
      <c r="C1499" s="29"/>
      <c r="D1499" s="40">
        <v>1.0</v>
      </c>
      <c r="E1499" s="31">
        <v>28.0</v>
      </c>
      <c r="F1499" s="42">
        <v>141.0</v>
      </c>
      <c r="G1499" s="29" t="str">
        <f t="shared" si="1"/>
        <v>28141</v>
      </c>
      <c r="H1499" s="37" t="s">
        <v>1387</v>
      </c>
      <c r="I1499" s="37" t="s">
        <v>67</v>
      </c>
      <c r="J1499" s="37" t="s">
        <v>1357</v>
      </c>
      <c r="K1499" s="37" t="str">
        <f t="shared" si="25"/>
        <v>Tishomingo, MS</v>
      </c>
      <c r="L1499" s="24"/>
    </row>
    <row r="1500">
      <c r="A1500" s="28">
        <v>1499.0</v>
      </c>
      <c r="B1500" s="29"/>
      <c r="C1500" s="29"/>
      <c r="D1500" s="40">
        <v>1.0</v>
      </c>
      <c r="E1500" s="31">
        <v>28.0</v>
      </c>
      <c r="F1500" s="42">
        <v>143.0</v>
      </c>
      <c r="G1500" s="29" t="str">
        <f t="shared" si="1"/>
        <v>28143</v>
      </c>
      <c r="H1500" s="37" t="s">
        <v>1388</v>
      </c>
      <c r="I1500" s="37" t="s">
        <v>67</v>
      </c>
      <c r="J1500" s="37" t="s">
        <v>1357</v>
      </c>
      <c r="K1500" s="37" t="str">
        <f t="shared" si="25"/>
        <v>Tunica, MS</v>
      </c>
      <c r="L1500" s="24"/>
    </row>
    <row r="1501">
      <c r="A1501" s="28">
        <v>1500.0</v>
      </c>
      <c r="B1501" s="29"/>
      <c r="C1501" s="29"/>
      <c r="D1501" s="40">
        <v>1.0</v>
      </c>
      <c r="E1501" s="31">
        <v>28.0</v>
      </c>
      <c r="F1501" s="42">
        <v>145.0</v>
      </c>
      <c r="G1501" s="29" t="str">
        <f t="shared" si="1"/>
        <v>28145</v>
      </c>
      <c r="H1501" s="37" t="s">
        <v>316</v>
      </c>
      <c r="I1501" s="37" t="s">
        <v>67</v>
      </c>
      <c r="J1501" s="37" t="s">
        <v>1357</v>
      </c>
      <c r="K1501" s="37" t="str">
        <f t="shared" si="25"/>
        <v>Union, MS</v>
      </c>
      <c r="L1501" s="24"/>
    </row>
    <row r="1502">
      <c r="A1502" s="28">
        <v>1501.0</v>
      </c>
      <c r="B1502" s="29"/>
      <c r="C1502" s="29"/>
      <c r="D1502" s="40">
        <v>1.0</v>
      </c>
      <c r="E1502" s="31">
        <v>28.0</v>
      </c>
      <c r="F1502" s="42">
        <v>147.0</v>
      </c>
      <c r="G1502" s="29" t="str">
        <f t="shared" si="1"/>
        <v>28147</v>
      </c>
      <c r="H1502" s="37" t="s">
        <v>1389</v>
      </c>
      <c r="I1502" s="37" t="s">
        <v>67</v>
      </c>
      <c r="J1502" s="37" t="s">
        <v>1357</v>
      </c>
      <c r="K1502" s="37" t="str">
        <f t="shared" si="25"/>
        <v>Walthall, MS</v>
      </c>
      <c r="L1502" s="24"/>
    </row>
    <row r="1503">
      <c r="A1503" s="28">
        <v>1502.0</v>
      </c>
      <c r="B1503" s="29"/>
      <c r="C1503" s="29"/>
      <c r="D1503" s="40">
        <v>1.0</v>
      </c>
      <c r="E1503" s="31">
        <v>28.0</v>
      </c>
      <c r="F1503" s="42">
        <v>149.0</v>
      </c>
      <c r="G1503" s="29" t="str">
        <f t="shared" si="1"/>
        <v>28149</v>
      </c>
      <c r="H1503" s="37" t="s">
        <v>647</v>
      </c>
      <c r="I1503" s="37" t="s">
        <v>67</v>
      </c>
      <c r="J1503" s="37" t="s">
        <v>1357</v>
      </c>
      <c r="K1503" s="37" t="str">
        <f t="shared" si="25"/>
        <v>Warren, MS</v>
      </c>
      <c r="L1503" s="24"/>
    </row>
    <row r="1504">
      <c r="A1504" s="28">
        <v>1503.0</v>
      </c>
      <c r="B1504" s="29"/>
      <c r="C1504" s="29"/>
      <c r="D1504" s="40">
        <v>1.0</v>
      </c>
      <c r="E1504" s="31">
        <v>28.0</v>
      </c>
      <c r="F1504" s="42">
        <v>151.0</v>
      </c>
      <c r="G1504" s="29" t="str">
        <f t="shared" si="1"/>
        <v>28151</v>
      </c>
      <c r="H1504" s="37" t="s">
        <v>119</v>
      </c>
      <c r="I1504" s="37" t="s">
        <v>67</v>
      </c>
      <c r="J1504" s="37" t="s">
        <v>1357</v>
      </c>
      <c r="K1504" s="37" t="str">
        <f t="shared" si="25"/>
        <v>Washington, MS</v>
      </c>
      <c r="L1504" s="24"/>
    </row>
    <row r="1505">
      <c r="A1505" s="28">
        <v>1504.0</v>
      </c>
      <c r="B1505" s="29"/>
      <c r="C1505" s="29"/>
      <c r="D1505" s="40">
        <v>1.0</v>
      </c>
      <c r="E1505" s="31">
        <v>28.0</v>
      </c>
      <c r="F1505" s="42">
        <v>153.0</v>
      </c>
      <c r="G1505" s="29" t="str">
        <f t="shared" si="1"/>
        <v>28153</v>
      </c>
      <c r="H1505" s="37" t="s">
        <v>273</v>
      </c>
      <c r="I1505" s="37" t="s">
        <v>67</v>
      </c>
      <c r="J1505" s="37" t="s">
        <v>1357</v>
      </c>
      <c r="K1505" s="37" t="str">
        <f t="shared" si="25"/>
        <v>Wayne, MS</v>
      </c>
      <c r="L1505" s="24"/>
    </row>
    <row r="1506">
      <c r="A1506" s="28">
        <v>1505.0</v>
      </c>
      <c r="B1506" s="29"/>
      <c r="C1506" s="29"/>
      <c r="D1506" s="40">
        <v>1.0</v>
      </c>
      <c r="E1506" s="31">
        <v>28.0</v>
      </c>
      <c r="F1506" s="42">
        <v>155.0</v>
      </c>
      <c r="G1506" s="29" t="str">
        <f t="shared" si="1"/>
        <v>28155</v>
      </c>
      <c r="H1506" s="37" t="s">
        <v>648</v>
      </c>
      <c r="I1506" s="37" t="s">
        <v>67</v>
      </c>
      <c r="J1506" s="37" t="s">
        <v>1357</v>
      </c>
      <c r="K1506" s="37" t="str">
        <f t="shared" si="25"/>
        <v>Webster, MS</v>
      </c>
      <c r="L1506" s="24"/>
    </row>
    <row r="1507">
      <c r="A1507" s="28">
        <v>1506.0</v>
      </c>
      <c r="B1507" s="29"/>
      <c r="C1507" s="29"/>
      <c r="D1507" s="40">
        <v>1.0</v>
      </c>
      <c r="E1507" s="31">
        <v>28.0</v>
      </c>
      <c r="F1507" s="42">
        <v>157.0</v>
      </c>
      <c r="G1507" s="29" t="str">
        <f t="shared" si="1"/>
        <v>28157</v>
      </c>
      <c r="H1507" s="37" t="s">
        <v>654</v>
      </c>
      <c r="I1507" s="37" t="s">
        <v>67</v>
      </c>
      <c r="J1507" s="37" t="s">
        <v>1357</v>
      </c>
      <c r="K1507" s="37" t="str">
        <f t="shared" si="25"/>
        <v>Wilkinson, MS</v>
      </c>
      <c r="L1507" s="24"/>
    </row>
    <row r="1508">
      <c r="A1508" s="28">
        <v>1507.0</v>
      </c>
      <c r="B1508" s="29"/>
      <c r="C1508" s="29"/>
      <c r="D1508" s="40">
        <v>1.0</v>
      </c>
      <c r="E1508" s="31">
        <v>28.0</v>
      </c>
      <c r="F1508" s="42">
        <v>159.0</v>
      </c>
      <c r="G1508" s="29" t="str">
        <f t="shared" si="1"/>
        <v>28159</v>
      </c>
      <c r="H1508" s="37" t="s">
        <v>178</v>
      </c>
      <c r="I1508" s="37" t="s">
        <v>67</v>
      </c>
      <c r="J1508" s="37" t="s">
        <v>1357</v>
      </c>
      <c r="K1508" s="37" t="str">
        <f t="shared" si="25"/>
        <v>Winston, MS</v>
      </c>
      <c r="L1508" s="24"/>
    </row>
    <row r="1509">
      <c r="A1509" s="28">
        <v>1508.0</v>
      </c>
      <c r="B1509" s="29"/>
      <c r="C1509" s="29"/>
      <c r="D1509" s="40">
        <v>1.0</v>
      </c>
      <c r="E1509" s="31">
        <v>28.0</v>
      </c>
      <c r="F1509" s="42">
        <v>161.0</v>
      </c>
      <c r="G1509" s="29" t="str">
        <f t="shared" si="1"/>
        <v>28161</v>
      </c>
      <c r="H1509" s="37" t="s">
        <v>1390</v>
      </c>
      <c r="I1509" s="37" t="s">
        <v>67</v>
      </c>
      <c r="J1509" s="37" t="s">
        <v>1357</v>
      </c>
      <c r="K1509" s="37" t="str">
        <f t="shared" si="25"/>
        <v>Yalobusha, MS</v>
      </c>
      <c r="L1509" s="24"/>
    </row>
    <row r="1510">
      <c r="A1510" s="28">
        <v>1509.0</v>
      </c>
      <c r="B1510" s="29"/>
      <c r="C1510" s="29"/>
      <c r="D1510" s="40">
        <v>1.0</v>
      </c>
      <c r="E1510" s="31">
        <v>28.0</v>
      </c>
      <c r="F1510" s="42">
        <v>163.0</v>
      </c>
      <c r="G1510" s="29" t="str">
        <f t="shared" si="1"/>
        <v>28163</v>
      </c>
      <c r="H1510" s="37" t="s">
        <v>1391</v>
      </c>
      <c r="I1510" s="37" t="s">
        <v>67</v>
      </c>
      <c r="J1510" s="37" t="s">
        <v>1357</v>
      </c>
      <c r="K1510" s="37" t="str">
        <f t="shared" si="25"/>
        <v>Yazoo, MS</v>
      </c>
      <c r="L1510" s="24"/>
    </row>
    <row r="1511">
      <c r="A1511" s="99">
        <v>1510.0</v>
      </c>
      <c r="B1511" s="15"/>
      <c r="C1511" s="14" t="s">
        <v>25</v>
      </c>
      <c r="D1511" s="16"/>
      <c r="E1511" s="102">
        <v>29.0</v>
      </c>
      <c r="F1511" s="107">
        <v>0.0</v>
      </c>
      <c r="G1511" s="15" t="str">
        <f t="shared" si="1"/>
        <v>29000</v>
      </c>
      <c r="H1511" s="23"/>
      <c r="I1511" s="23" t="s">
        <v>73</v>
      </c>
      <c r="J1511" s="23" t="s">
        <v>410</v>
      </c>
      <c r="K1511" s="23"/>
      <c r="L1511" s="24"/>
    </row>
    <row r="1512">
      <c r="A1512" s="99">
        <v>1511.0</v>
      </c>
      <c r="B1512" s="15"/>
      <c r="C1512" s="15"/>
      <c r="D1512" s="105">
        <v>1.0</v>
      </c>
      <c r="E1512" s="102">
        <v>29.0</v>
      </c>
      <c r="F1512" s="107">
        <v>1.0</v>
      </c>
      <c r="G1512" s="15" t="str">
        <f t="shared" si="1"/>
        <v>29001</v>
      </c>
      <c r="H1512" s="23" t="s">
        <v>882</v>
      </c>
      <c r="I1512" s="23" t="s">
        <v>73</v>
      </c>
      <c r="J1512" s="23" t="s">
        <v>410</v>
      </c>
      <c r="K1512" s="23" t="str">
        <f t="shared" ref="K1512:K1626" si="26">CONCATENATE(H1512,", ",J1512)</f>
        <v>Adair, MO</v>
      </c>
      <c r="L1512" s="24"/>
    </row>
    <row r="1513">
      <c r="A1513" s="99">
        <v>1512.0</v>
      </c>
      <c r="B1513" s="15"/>
      <c r="C1513" s="15"/>
      <c r="D1513" s="105">
        <v>1.0</v>
      </c>
      <c r="E1513" s="102">
        <v>29.0</v>
      </c>
      <c r="F1513" s="107">
        <v>3.0</v>
      </c>
      <c r="G1513" s="15" t="str">
        <f t="shared" si="1"/>
        <v>29003</v>
      </c>
      <c r="H1513" s="23" t="s">
        <v>1392</v>
      </c>
      <c r="I1513" s="23" t="s">
        <v>73</v>
      </c>
      <c r="J1513" s="23" t="s">
        <v>410</v>
      </c>
      <c r="K1513" s="23" t="str">
        <f t="shared" si="26"/>
        <v>Andrew, MO</v>
      </c>
      <c r="L1513" s="24"/>
    </row>
    <row r="1514">
      <c r="A1514" s="99">
        <v>1513.0</v>
      </c>
      <c r="B1514" s="15"/>
      <c r="C1514" s="15"/>
      <c r="D1514" s="105">
        <v>1.0</v>
      </c>
      <c r="E1514" s="102">
        <v>29.0</v>
      </c>
      <c r="F1514" s="107">
        <v>5.0</v>
      </c>
      <c r="G1514" s="15" t="str">
        <f t="shared" si="1"/>
        <v>29005</v>
      </c>
      <c r="H1514" s="23" t="s">
        <v>955</v>
      </c>
      <c r="I1514" s="23" t="s">
        <v>73</v>
      </c>
      <c r="J1514" s="23" t="s">
        <v>410</v>
      </c>
      <c r="K1514" s="23" t="str">
        <f t="shared" si="26"/>
        <v>Atchison, MO</v>
      </c>
      <c r="L1514" s="24"/>
    </row>
    <row r="1515">
      <c r="A1515" s="99">
        <v>1514.0</v>
      </c>
      <c r="B1515" s="15"/>
      <c r="C1515" s="15"/>
      <c r="D1515" s="105">
        <v>1.0</v>
      </c>
      <c r="E1515" s="102">
        <v>29.0</v>
      </c>
      <c r="F1515" s="107">
        <v>7.0</v>
      </c>
      <c r="G1515" s="15" t="str">
        <f t="shared" si="1"/>
        <v>29007</v>
      </c>
      <c r="H1515" s="23" t="s">
        <v>1393</v>
      </c>
      <c r="I1515" s="23" t="s">
        <v>73</v>
      </c>
      <c r="J1515" s="23" t="s">
        <v>410</v>
      </c>
      <c r="K1515" s="23" t="str">
        <f t="shared" si="26"/>
        <v>Audrain, MO</v>
      </c>
      <c r="L1515" s="24"/>
    </row>
    <row r="1516">
      <c r="A1516" s="99">
        <v>1515.0</v>
      </c>
      <c r="B1516" s="15"/>
      <c r="C1516" s="15"/>
      <c r="D1516" s="105">
        <v>1.0</v>
      </c>
      <c r="E1516" s="102">
        <v>29.0</v>
      </c>
      <c r="F1516" s="107">
        <v>9.0</v>
      </c>
      <c r="G1516" s="15" t="str">
        <f t="shared" si="1"/>
        <v>29009</v>
      </c>
      <c r="H1516" s="23" t="s">
        <v>1240</v>
      </c>
      <c r="I1516" s="23" t="s">
        <v>73</v>
      </c>
      <c r="J1516" s="23" t="s">
        <v>410</v>
      </c>
      <c r="K1516" s="23" t="str">
        <f t="shared" si="26"/>
        <v>Barry, MO</v>
      </c>
      <c r="L1516" s="24"/>
    </row>
    <row r="1517">
      <c r="A1517" s="99">
        <v>1516.0</v>
      </c>
      <c r="B1517" s="15"/>
      <c r="C1517" s="15"/>
      <c r="D1517" s="105">
        <v>1.0</v>
      </c>
      <c r="E1517" s="102">
        <v>29.0</v>
      </c>
      <c r="F1517" s="107">
        <v>11.0</v>
      </c>
      <c r="G1517" s="15" t="str">
        <f t="shared" si="1"/>
        <v>29011</v>
      </c>
      <c r="H1517" s="23" t="s">
        <v>958</v>
      </c>
      <c r="I1517" s="23" t="s">
        <v>73</v>
      </c>
      <c r="J1517" s="23" t="s">
        <v>410</v>
      </c>
      <c r="K1517" s="23" t="str">
        <f t="shared" si="26"/>
        <v>Barton, MO</v>
      </c>
      <c r="L1517" s="24"/>
    </row>
    <row r="1518">
      <c r="A1518" s="99">
        <v>1517.0</v>
      </c>
      <c r="B1518" s="15"/>
      <c r="C1518" s="15"/>
      <c r="D1518" s="105">
        <v>1.0</v>
      </c>
      <c r="E1518" s="102">
        <v>29.0</v>
      </c>
      <c r="F1518" s="107">
        <v>13.0</v>
      </c>
      <c r="G1518" s="15" t="str">
        <f t="shared" si="1"/>
        <v>29013</v>
      </c>
      <c r="H1518" s="23" t="s">
        <v>1394</v>
      </c>
      <c r="I1518" s="23" t="s">
        <v>73</v>
      </c>
      <c r="J1518" s="23" t="s">
        <v>410</v>
      </c>
      <c r="K1518" s="23" t="str">
        <f t="shared" si="26"/>
        <v>Bates, MO</v>
      </c>
      <c r="L1518" s="24"/>
    </row>
    <row r="1519">
      <c r="A1519" s="99">
        <v>1518.0</v>
      </c>
      <c r="B1519" s="15"/>
      <c r="C1519" s="15"/>
      <c r="D1519" s="105">
        <v>1.0</v>
      </c>
      <c r="E1519" s="102">
        <v>29.0</v>
      </c>
      <c r="F1519" s="107">
        <v>15.0</v>
      </c>
      <c r="G1519" s="15" t="str">
        <f t="shared" si="1"/>
        <v>29015</v>
      </c>
      <c r="H1519" s="23" t="s">
        <v>243</v>
      </c>
      <c r="I1519" s="23" t="s">
        <v>73</v>
      </c>
      <c r="J1519" s="23" t="s">
        <v>410</v>
      </c>
      <c r="K1519" s="23" t="str">
        <f t="shared" si="26"/>
        <v>Benton, MO</v>
      </c>
      <c r="L1519" s="24"/>
    </row>
    <row r="1520">
      <c r="A1520" s="99">
        <v>1519.0</v>
      </c>
      <c r="B1520" s="15"/>
      <c r="C1520" s="15"/>
      <c r="D1520" s="105">
        <v>1.0</v>
      </c>
      <c r="E1520" s="102">
        <v>29.0</v>
      </c>
      <c r="F1520" s="107">
        <v>17.0</v>
      </c>
      <c r="G1520" s="15" t="str">
        <f t="shared" si="1"/>
        <v>29017</v>
      </c>
      <c r="H1520" s="23" t="s">
        <v>1395</v>
      </c>
      <c r="I1520" s="23" t="s">
        <v>73</v>
      </c>
      <c r="J1520" s="23" t="s">
        <v>410</v>
      </c>
      <c r="K1520" s="23" t="str">
        <f t="shared" si="26"/>
        <v>Bollinger, MO</v>
      </c>
      <c r="L1520" s="24"/>
    </row>
    <row r="1521">
      <c r="A1521" s="99">
        <v>1520.0</v>
      </c>
      <c r="B1521" s="15"/>
      <c r="C1521" s="15"/>
      <c r="D1521" s="105">
        <v>1.0</v>
      </c>
      <c r="E1521" s="102">
        <v>29.0</v>
      </c>
      <c r="F1521" s="107">
        <v>19.0</v>
      </c>
      <c r="G1521" s="15" t="str">
        <f t="shared" si="1"/>
        <v>29019</v>
      </c>
      <c r="H1521" s="23" t="s">
        <v>246</v>
      </c>
      <c r="I1521" s="23" t="s">
        <v>73</v>
      </c>
      <c r="J1521" s="23" t="s">
        <v>410</v>
      </c>
      <c r="K1521" s="23" t="str">
        <f t="shared" si="26"/>
        <v>Boone, MO</v>
      </c>
      <c r="L1521" s="24"/>
    </row>
    <row r="1522">
      <c r="A1522" s="99">
        <v>1521.0</v>
      </c>
      <c r="B1522" s="15"/>
      <c r="C1522" s="15"/>
      <c r="D1522" s="105">
        <v>1.0</v>
      </c>
      <c r="E1522" s="102">
        <v>29.0</v>
      </c>
      <c r="F1522" s="107">
        <v>21.0</v>
      </c>
      <c r="G1522" s="15" t="str">
        <f t="shared" si="1"/>
        <v>29021</v>
      </c>
      <c r="H1522" s="23" t="s">
        <v>892</v>
      </c>
      <c r="I1522" s="23" t="s">
        <v>73</v>
      </c>
      <c r="J1522" s="23" t="s">
        <v>410</v>
      </c>
      <c r="K1522" s="23" t="str">
        <f t="shared" si="26"/>
        <v>Buchanan, MO</v>
      </c>
      <c r="L1522" s="24"/>
    </row>
    <row r="1523">
      <c r="A1523" s="99">
        <v>1522.0</v>
      </c>
      <c r="B1523" s="15"/>
      <c r="C1523" s="15"/>
      <c r="D1523" s="105">
        <v>1.0</v>
      </c>
      <c r="E1523" s="102">
        <v>29.0</v>
      </c>
      <c r="F1523" s="107">
        <v>23.0</v>
      </c>
      <c r="G1523" s="15" t="str">
        <f t="shared" si="1"/>
        <v>29023</v>
      </c>
      <c r="H1523" s="23" t="s">
        <v>87</v>
      </c>
      <c r="I1523" s="23" t="s">
        <v>73</v>
      </c>
      <c r="J1523" s="23" t="s">
        <v>410</v>
      </c>
      <c r="K1523" s="23" t="str">
        <f t="shared" si="26"/>
        <v>Butler, MO</v>
      </c>
      <c r="L1523" s="24"/>
    </row>
    <row r="1524">
      <c r="A1524" s="99">
        <v>1523.0</v>
      </c>
      <c r="B1524" s="15"/>
      <c r="C1524" s="15"/>
      <c r="D1524" s="105">
        <v>1.0</v>
      </c>
      <c r="E1524" s="102">
        <v>29.0</v>
      </c>
      <c r="F1524" s="107">
        <v>25.0</v>
      </c>
      <c r="G1524" s="15" t="str">
        <f t="shared" si="1"/>
        <v>29025</v>
      </c>
      <c r="H1524" s="23" t="s">
        <v>1034</v>
      </c>
      <c r="I1524" s="23" t="s">
        <v>73</v>
      </c>
      <c r="J1524" s="23" t="s">
        <v>410</v>
      </c>
      <c r="K1524" s="23" t="str">
        <f t="shared" si="26"/>
        <v>Caldwell, MO</v>
      </c>
      <c r="L1524" s="24"/>
    </row>
    <row r="1525">
      <c r="A1525" s="99">
        <v>1524.0</v>
      </c>
      <c r="B1525" s="15"/>
      <c r="C1525" s="15"/>
      <c r="D1525" s="105">
        <v>1.0</v>
      </c>
      <c r="E1525" s="102">
        <v>29.0</v>
      </c>
      <c r="F1525" s="107">
        <v>27.0</v>
      </c>
      <c r="G1525" s="15" t="str">
        <f t="shared" si="1"/>
        <v>29027</v>
      </c>
      <c r="H1525" s="23" t="s">
        <v>1396</v>
      </c>
      <c r="I1525" s="23" t="s">
        <v>73</v>
      </c>
      <c r="J1525" s="23" t="s">
        <v>410</v>
      </c>
      <c r="K1525" s="23" t="str">
        <f t="shared" si="26"/>
        <v>Callaway, MO</v>
      </c>
      <c r="L1525" s="24"/>
    </row>
    <row r="1526">
      <c r="A1526" s="99">
        <v>1525.0</v>
      </c>
      <c r="B1526" s="15"/>
      <c r="C1526" s="15"/>
      <c r="D1526" s="105">
        <v>1.0</v>
      </c>
      <c r="E1526" s="102">
        <v>29.0</v>
      </c>
      <c r="F1526" s="107">
        <v>29.0</v>
      </c>
      <c r="G1526" s="15" t="str">
        <f t="shared" si="1"/>
        <v>29029</v>
      </c>
      <c r="H1526" s="23" t="s">
        <v>548</v>
      </c>
      <c r="I1526" s="23" t="s">
        <v>73</v>
      </c>
      <c r="J1526" s="23" t="s">
        <v>410</v>
      </c>
      <c r="K1526" s="23" t="str">
        <f t="shared" si="26"/>
        <v>Camden, MO</v>
      </c>
      <c r="L1526" s="24"/>
    </row>
    <row r="1527">
      <c r="A1527" s="99">
        <v>1526.0</v>
      </c>
      <c r="B1527" s="15"/>
      <c r="C1527" s="15"/>
      <c r="D1527" s="105">
        <v>1.0</v>
      </c>
      <c r="E1527" s="102">
        <v>29.0</v>
      </c>
      <c r="F1527" s="107">
        <v>31.0</v>
      </c>
      <c r="G1527" s="15" t="str">
        <f t="shared" si="1"/>
        <v>29031</v>
      </c>
      <c r="H1527" s="23" t="s">
        <v>1397</v>
      </c>
      <c r="I1527" s="23" t="s">
        <v>73</v>
      </c>
      <c r="J1527" s="23" t="s">
        <v>410</v>
      </c>
      <c r="K1527" s="112" t="str">
        <f t="shared" si="26"/>
        <v>Cape Girardeau, MO</v>
      </c>
      <c r="L1527" s="24"/>
    </row>
    <row r="1528">
      <c r="A1528" s="99">
        <v>1527.0</v>
      </c>
      <c r="B1528" s="15"/>
      <c r="C1528" s="15"/>
      <c r="D1528" s="105">
        <v>1.0</v>
      </c>
      <c r="E1528" s="102">
        <v>29.0</v>
      </c>
      <c r="F1528" s="107">
        <v>33.0</v>
      </c>
      <c r="G1528" s="15" t="str">
        <f t="shared" si="1"/>
        <v>29033</v>
      </c>
      <c r="H1528" s="23" t="s">
        <v>248</v>
      </c>
      <c r="I1528" s="23" t="s">
        <v>73</v>
      </c>
      <c r="J1528" s="23" t="s">
        <v>410</v>
      </c>
      <c r="K1528" s="23" t="str">
        <f t="shared" si="26"/>
        <v>Carroll, MO</v>
      </c>
      <c r="L1528" s="24"/>
    </row>
    <row r="1529">
      <c r="A1529" s="99">
        <v>1528.0</v>
      </c>
      <c r="B1529" s="15"/>
      <c r="C1529" s="15"/>
      <c r="D1529" s="105">
        <v>1.0</v>
      </c>
      <c r="E1529" s="102">
        <v>29.0</v>
      </c>
      <c r="F1529" s="107">
        <v>35.0</v>
      </c>
      <c r="G1529" s="15" t="str">
        <f t="shared" si="1"/>
        <v>29035</v>
      </c>
      <c r="H1529" s="23" t="s">
        <v>1038</v>
      </c>
      <c r="I1529" s="23" t="s">
        <v>73</v>
      </c>
      <c r="J1529" s="23" t="s">
        <v>410</v>
      </c>
      <c r="K1529" s="23" t="str">
        <f t="shared" si="26"/>
        <v>Carter, MO</v>
      </c>
      <c r="L1529" s="24"/>
    </row>
    <row r="1530">
      <c r="A1530" s="99">
        <v>1529.0</v>
      </c>
      <c r="B1530" s="15"/>
      <c r="C1530" s="15"/>
      <c r="D1530" s="105">
        <v>1.0</v>
      </c>
      <c r="E1530" s="102">
        <v>29.0</v>
      </c>
      <c r="F1530" s="107">
        <v>37.0</v>
      </c>
      <c r="G1530" s="15" t="str">
        <f t="shared" si="1"/>
        <v>29037</v>
      </c>
      <c r="H1530" s="23" t="s">
        <v>708</v>
      </c>
      <c r="I1530" s="23" t="s">
        <v>73</v>
      </c>
      <c r="J1530" s="23" t="s">
        <v>410</v>
      </c>
      <c r="K1530" s="23" t="str">
        <f t="shared" si="26"/>
        <v>Cass, MO</v>
      </c>
      <c r="L1530" s="24"/>
    </row>
    <row r="1531">
      <c r="A1531" s="99">
        <v>1530.0</v>
      </c>
      <c r="B1531" s="15"/>
      <c r="C1531" s="15"/>
      <c r="D1531" s="105">
        <v>1.0</v>
      </c>
      <c r="E1531" s="102">
        <v>29.0</v>
      </c>
      <c r="F1531" s="107">
        <v>39.0</v>
      </c>
      <c r="G1531" s="15" t="str">
        <f t="shared" si="1"/>
        <v>29039</v>
      </c>
      <c r="H1531" s="23" t="s">
        <v>894</v>
      </c>
      <c r="I1531" s="23" t="s">
        <v>73</v>
      </c>
      <c r="J1531" s="23" t="s">
        <v>410</v>
      </c>
      <c r="K1531" s="23" t="str">
        <f t="shared" si="26"/>
        <v>Cedar, MO</v>
      </c>
      <c r="L1531" s="24"/>
    </row>
    <row r="1532">
      <c r="A1532" s="99">
        <v>1531.0</v>
      </c>
      <c r="B1532" s="15"/>
      <c r="C1532" s="15"/>
      <c r="D1532" s="105">
        <v>1.0</v>
      </c>
      <c r="E1532" s="102">
        <v>29.0</v>
      </c>
      <c r="F1532" s="107">
        <v>41.0</v>
      </c>
      <c r="G1532" s="15" t="str">
        <f t="shared" si="1"/>
        <v>29041</v>
      </c>
      <c r="H1532" s="23" t="s">
        <v>1398</v>
      </c>
      <c r="I1532" s="23" t="s">
        <v>73</v>
      </c>
      <c r="J1532" s="23" t="s">
        <v>410</v>
      </c>
      <c r="K1532" s="23" t="str">
        <f t="shared" si="26"/>
        <v>Chariton, MO</v>
      </c>
      <c r="L1532" s="24"/>
    </row>
    <row r="1533">
      <c r="A1533" s="99">
        <v>1532.0</v>
      </c>
      <c r="B1533" s="15"/>
      <c r="C1533" s="15"/>
      <c r="D1533" s="105">
        <v>1.0</v>
      </c>
      <c r="E1533" s="102">
        <v>29.0</v>
      </c>
      <c r="F1533" s="107">
        <v>43.0</v>
      </c>
      <c r="G1533" s="15" t="str">
        <f t="shared" si="1"/>
        <v>29043</v>
      </c>
      <c r="H1533" s="23" t="s">
        <v>710</v>
      </c>
      <c r="I1533" s="23" t="s">
        <v>73</v>
      </c>
      <c r="J1533" s="23" t="s">
        <v>410</v>
      </c>
      <c r="K1533" s="23" t="str">
        <f t="shared" si="26"/>
        <v>Christian, MO</v>
      </c>
      <c r="L1533" s="24"/>
    </row>
    <row r="1534">
      <c r="A1534" s="99">
        <v>1533.0</v>
      </c>
      <c r="B1534" s="15"/>
      <c r="C1534" s="15"/>
      <c r="D1534" s="105">
        <v>1.0</v>
      </c>
      <c r="E1534" s="102">
        <v>29.0</v>
      </c>
      <c r="F1534" s="107">
        <v>45.0</v>
      </c>
      <c r="G1534" s="15" t="str">
        <f t="shared" si="1"/>
        <v>29045</v>
      </c>
      <c r="H1534" s="23" t="s">
        <v>253</v>
      </c>
      <c r="I1534" s="23" t="s">
        <v>73</v>
      </c>
      <c r="J1534" s="23" t="s">
        <v>410</v>
      </c>
      <c r="K1534" s="23" t="str">
        <f t="shared" si="26"/>
        <v>Clark, MO</v>
      </c>
      <c r="L1534" s="24"/>
    </row>
    <row r="1535">
      <c r="A1535" s="99">
        <v>1534.0</v>
      </c>
      <c r="B1535" s="15"/>
      <c r="C1535" s="15"/>
      <c r="D1535" s="105">
        <v>1.0</v>
      </c>
      <c r="E1535" s="102">
        <v>29.0</v>
      </c>
      <c r="F1535" s="107">
        <v>47.0</v>
      </c>
      <c r="G1535" s="15" t="str">
        <f t="shared" si="1"/>
        <v>29047</v>
      </c>
      <c r="H1535" s="23" t="s">
        <v>112</v>
      </c>
      <c r="I1535" s="23" t="s">
        <v>73</v>
      </c>
      <c r="J1535" s="23" t="s">
        <v>410</v>
      </c>
      <c r="K1535" s="23" t="str">
        <f t="shared" si="26"/>
        <v>Clay, MO</v>
      </c>
      <c r="L1535" s="24"/>
    </row>
    <row r="1536">
      <c r="A1536" s="99">
        <v>1535.0</v>
      </c>
      <c r="B1536" s="15"/>
      <c r="C1536" s="15"/>
      <c r="D1536" s="105">
        <v>1.0</v>
      </c>
      <c r="E1536" s="102">
        <v>29.0</v>
      </c>
      <c r="F1536" s="107">
        <v>49.0</v>
      </c>
      <c r="G1536" s="15" t="str">
        <f t="shared" si="1"/>
        <v>29049</v>
      </c>
      <c r="H1536" s="23" t="s">
        <v>711</v>
      </c>
      <c r="I1536" s="23" t="s">
        <v>73</v>
      </c>
      <c r="J1536" s="23" t="s">
        <v>410</v>
      </c>
      <c r="K1536" s="23" t="str">
        <f t="shared" si="26"/>
        <v>Clinton, MO</v>
      </c>
      <c r="L1536" s="24"/>
    </row>
    <row r="1537">
      <c r="A1537" s="99">
        <v>1536.0</v>
      </c>
      <c r="B1537" s="15"/>
      <c r="C1537" s="15"/>
      <c r="D1537" s="105">
        <v>1.0</v>
      </c>
      <c r="E1537" s="102">
        <v>29.0</v>
      </c>
      <c r="F1537" s="107">
        <v>51.0</v>
      </c>
      <c r="G1537" s="15" t="str">
        <f t="shared" si="1"/>
        <v>29051</v>
      </c>
      <c r="H1537" s="23" t="s">
        <v>1399</v>
      </c>
      <c r="I1537" s="23" t="s">
        <v>73</v>
      </c>
      <c r="J1537" s="23" t="s">
        <v>410</v>
      </c>
      <c r="K1537" s="23" t="str">
        <f t="shared" si="26"/>
        <v>Cole, MO</v>
      </c>
      <c r="L1537" s="24"/>
    </row>
    <row r="1538">
      <c r="A1538" s="99">
        <v>1537.0</v>
      </c>
      <c r="B1538" s="15"/>
      <c r="C1538" s="15"/>
      <c r="D1538" s="105">
        <v>1.0</v>
      </c>
      <c r="E1538" s="102">
        <v>29.0</v>
      </c>
      <c r="F1538" s="107">
        <v>53.0</v>
      </c>
      <c r="G1538" s="15" t="str">
        <f t="shared" si="1"/>
        <v>29053</v>
      </c>
      <c r="H1538" s="23" t="s">
        <v>1400</v>
      </c>
      <c r="I1538" s="23" t="s">
        <v>73</v>
      </c>
      <c r="J1538" s="23" t="s">
        <v>410</v>
      </c>
      <c r="K1538" s="23" t="str">
        <f t="shared" si="26"/>
        <v>Cooper, MO</v>
      </c>
      <c r="L1538" s="24"/>
    </row>
    <row r="1539">
      <c r="A1539" s="99">
        <v>1538.0</v>
      </c>
      <c r="B1539" s="15"/>
      <c r="C1539" s="15"/>
      <c r="D1539" s="105">
        <v>1.0</v>
      </c>
      <c r="E1539" s="102">
        <v>29.0</v>
      </c>
      <c r="F1539" s="107">
        <v>55.0</v>
      </c>
      <c r="G1539" s="15" t="str">
        <f t="shared" si="1"/>
        <v>29055</v>
      </c>
      <c r="H1539" s="23" t="s">
        <v>263</v>
      </c>
      <c r="I1539" s="23" t="s">
        <v>73</v>
      </c>
      <c r="J1539" s="23" t="s">
        <v>410</v>
      </c>
      <c r="K1539" s="23" t="str">
        <f t="shared" si="26"/>
        <v>Crawford, MO</v>
      </c>
      <c r="L1539" s="24"/>
    </row>
    <row r="1540">
      <c r="A1540" s="99">
        <v>1539.0</v>
      </c>
      <c r="B1540" s="15"/>
      <c r="C1540" s="15"/>
      <c r="D1540" s="105">
        <v>1.0</v>
      </c>
      <c r="E1540" s="102">
        <v>29.0</v>
      </c>
      <c r="F1540" s="107">
        <v>57.0</v>
      </c>
      <c r="G1540" s="15" t="str">
        <f t="shared" si="1"/>
        <v>29057</v>
      </c>
      <c r="H1540" s="23" t="s">
        <v>561</v>
      </c>
      <c r="I1540" s="23" t="s">
        <v>73</v>
      </c>
      <c r="J1540" s="23" t="s">
        <v>410</v>
      </c>
      <c r="K1540" s="23" t="str">
        <f t="shared" si="26"/>
        <v>Dade, MO</v>
      </c>
      <c r="L1540" s="24"/>
    </row>
    <row r="1541">
      <c r="A1541" s="99">
        <v>1540.0</v>
      </c>
      <c r="B1541" s="15"/>
      <c r="C1541" s="15"/>
      <c r="D1541" s="105">
        <v>1.0</v>
      </c>
      <c r="E1541" s="102">
        <v>29.0</v>
      </c>
      <c r="F1541" s="107">
        <v>59.0</v>
      </c>
      <c r="G1541" s="15" t="str">
        <f t="shared" si="1"/>
        <v>29059</v>
      </c>
      <c r="H1541" s="23" t="s">
        <v>130</v>
      </c>
      <c r="I1541" s="23" t="s">
        <v>73</v>
      </c>
      <c r="J1541" s="23" t="s">
        <v>410</v>
      </c>
      <c r="K1541" s="23" t="str">
        <f t="shared" si="26"/>
        <v>Dallas, MO</v>
      </c>
      <c r="L1541" s="24"/>
    </row>
    <row r="1542">
      <c r="A1542" s="99">
        <v>1541.0</v>
      </c>
      <c r="B1542" s="15"/>
      <c r="C1542" s="15"/>
      <c r="D1542" s="105">
        <v>1.0</v>
      </c>
      <c r="E1542" s="102">
        <v>29.0</v>
      </c>
      <c r="F1542" s="107">
        <v>61.0</v>
      </c>
      <c r="G1542" s="15" t="str">
        <f t="shared" si="1"/>
        <v>29061</v>
      </c>
      <c r="H1542" s="23" t="s">
        <v>758</v>
      </c>
      <c r="I1542" s="23" t="s">
        <v>73</v>
      </c>
      <c r="J1542" s="23" t="s">
        <v>410</v>
      </c>
      <c r="K1542" s="23" t="str">
        <f t="shared" si="26"/>
        <v>Daviess, MO</v>
      </c>
      <c r="L1542" s="24"/>
    </row>
    <row r="1543">
      <c r="A1543" s="99">
        <v>1542.0</v>
      </c>
      <c r="B1543" s="15"/>
      <c r="C1543" s="15"/>
      <c r="D1543" s="105">
        <v>1.0</v>
      </c>
      <c r="E1543" s="102">
        <v>29.0</v>
      </c>
      <c r="F1543" s="107">
        <v>63.0</v>
      </c>
      <c r="G1543" s="15" t="str">
        <f t="shared" si="1"/>
        <v>29063</v>
      </c>
      <c r="H1543" s="23" t="s">
        <v>1401</v>
      </c>
      <c r="I1543" s="23" t="s">
        <v>73</v>
      </c>
      <c r="J1543" s="23" t="s">
        <v>410</v>
      </c>
      <c r="K1543" s="23" t="str">
        <f t="shared" si="26"/>
        <v>Dekalb, MO</v>
      </c>
      <c r="L1543" s="24"/>
    </row>
    <row r="1544">
      <c r="A1544" s="99">
        <v>1543.0</v>
      </c>
      <c r="B1544" s="15"/>
      <c r="C1544" s="15"/>
      <c r="D1544" s="105">
        <v>1.0</v>
      </c>
      <c r="E1544" s="102">
        <v>29.0</v>
      </c>
      <c r="F1544" s="107">
        <v>65.0</v>
      </c>
      <c r="G1544" s="15" t="str">
        <f t="shared" si="1"/>
        <v>29065</v>
      </c>
      <c r="H1544" s="23" t="s">
        <v>1402</v>
      </c>
      <c r="I1544" s="23" t="s">
        <v>73</v>
      </c>
      <c r="J1544" s="23" t="s">
        <v>410</v>
      </c>
      <c r="K1544" s="23" t="str">
        <f t="shared" si="26"/>
        <v>Dent, MO</v>
      </c>
      <c r="L1544" s="24"/>
    </row>
    <row r="1545">
      <c r="A1545" s="99">
        <v>1544.0</v>
      </c>
      <c r="B1545" s="15"/>
      <c r="C1545" s="15"/>
      <c r="D1545" s="105">
        <v>1.0</v>
      </c>
      <c r="E1545" s="102">
        <v>29.0</v>
      </c>
      <c r="F1545" s="107">
        <v>67.0</v>
      </c>
      <c r="G1545" s="15" t="str">
        <f t="shared" si="1"/>
        <v>29067</v>
      </c>
      <c r="H1545" s="23" t="s">
        <v>412</v>
      </c>
      <c r="I1545" s="23" t="s">
        <v>73</v>
      </c>
      <c r="J1545" s="23" t="s">
        <v>410</v>
      </c>
      <c r="K1545" s="23" t="str">
        <f t="shared" si="26"/>
        <v>Douglas, MO</v>
      </c>
      <c r="L1545" s="24"/>
    </row>
    <row r="1546">
      <c r="A1546" s="99">
        <v>1545.0</v>
      </c>
      <c r="B1546" s="15"/>
      <c r="C1546" s="15"/>
      <c r="D1546" s="105">
        <v>1.0</v>
      </c>
      <c r="E1546" s="102">
        <v>29.0</v>
      </c>
      <c r="F1546" s="107">
        <v>69.0</v>
      </c>
      <c r="G1546" s="15" t="str">
        <f t="shared" si="1"/>
        <v>29069</v>
      </c>
      <c r="H1546" s="23" t="s">
        <v>1403</v>
      </c>
      <c r="I1546" s="23" t="s">
        <v>73</v>
      </c>
      <c r="J1546" s="23" t="s">
        <v>410</v>
      </c>
      <c r="K1546" s="23" t="str">
        <f t="shared" si="26"/>
        <v>Dunklin, MO</v>
      </c>
      <c r="L1546" s="24"/>
    </row>
    <row r="1547">
      <c r="A1547" s="99">
        <v>1546.0</v>
      </c>
      <c r="B1547" s="15"/>
      <c r="C1547" s="15"/>
      <c r="D1547" s="105">
        <v>1.0</v>
      </c>
      <c r="E1547" s="102">
        <v>29.0</v>
      </c>
      <c r="F1547" s="107">
        <v>71.0</v>
      </c>
      <c r="G1547" s="15" t="str">
        <f t="shared" si="1"/>
        <v>29071</v>
      </c>
      <c r="H1547" s="23" t="s">
        <v>136</v>
      </c>
      <c r="I1547" s="23" t="s">
        <v>73</v>
      </c>
      <c r="J1547" s="23" t="s">
        <v>410</v>
      </c>
      <c r="K1547" s="23" t="str">
        <f t="shared" si="26"/>
        <v>Franklin, MO</v>
      </c>
      <c r="L1547" s="24"/>
    </row>
    <row r="1548">
      <c r="A1548" s="99">
        <v>1547.0</v>
      </c>
      <c r="B1548" s="15"/>
      <c r="C1548" s="15"/>
      <c r="D1548" s="105">
        <v>1.0</v>
      </c>
      <c r="E1548" s="102">
        <v>29.0</v>
      </c>
      <c r="F1548" s="107">
        <v>73.0</v>
      </c>
      <c r="G1548" s="15" t="str">
        <f t="shared" si="1"/>
        <v>29073</v>
      </c>
      <c r="H1548" s="23" t="s">
        <v>1404</v>
      </c>
      <c r="I1548" s="23" t="s">
        <v>73</v>
      </c>
      <c r="J1548" s="23" t="s">
        <v>410</v>
      </c>
      <c r="K1548" s="23" t="str">
        <f t="shared" si="26"/>
        <v>Gasconade, MO</v>
      </c>
      <c r="L1548" s="24"/>
    </row>
    <row r="1549">
      <c r="A1549" s="99">
        <v>1548.0</v>
      </c>
      <c r="B1549" s="15"/>
      <c r="C1549" s="15"/>
      <c r="D1549" s="105">
        <v>1.0</v>
      </c>
      <c r="E1549" s="102">
        <v>29.0</v>
      </c>
      <c r="F1549" s="107">
        <v>75.0</v>
      </c>
      <c r="G1549" s="15" t="str">
        <f t="shared" si="1"/>
        <v>29075</v>
      </c>
      <c r="H1549" s="23" t="s">
        <v>1405</v>
      </c>
      <c r="I1549" s="23" t="s">
        <v>73</v>
      </c>
      <c r="J1549" s="23" t="s">
        <v>410</v>
      </c>
      <c r="K1549" s="23" t="str">
        <f t="shared" si="26"/>
        <v>Gentry, MO</v>
      </c>
      <c r="L1549" s="24"/>
    </row>
    <row r="1550">
      <c r="A1550" s="99">
        <v>1549.0</v>
      </c>
      <c r="B1550" s="15"/>
      <c r="C1550" s="15"/>
      <c r="D1550" s="105">
        <v>1.0</v>
      </c>
      <c r="E1550" s="102">
        <v>29.0</v>
      </c>
      <c r="F1550" s="107">
        <v>77.0</v>
      </c>
      <c r="G1550" s="15" t="str">
        <f t="shared" si="1"/>
        <v>29077</v>
      </c>
      <c r="H1550" s="23" t="s">
        <v>138</v>
      </c>
      <c r="I1550" s="23" t="s">
        <v>73</v>
      </c>
      <c r="J1550" s="23" t="s">
        <v>410</v>
      </c>
      <c r="K1550" s="23" t="str">
        <f t="shared" si="26"/>
        <v>Greene, MO</v>
      </c>
      <c r="L1550" s="24"/>
    </row>
    <row r="1551">
      <c r="A1551" s="99">
        <v>1550.0</v>
      </c>
      <c r="B1551" s="15"/>
      <c r="C1551" s="15"/>
      <c r="D1551" s="105">
        <v>1.0</v>
      </c>
      <c r="E1551" s="102">
        <v>29.0</v>
      </c>
      <c r="F1551" s="107">
        <v>79.0</v>
      </c>
      <c r="G1551" s="15" t="str">
        <f t="shared" si="1"/>
        <v>29079</v>
      </c>
      <c r="H1551" s="23" t="s">
        <v>720</v>
      </c>
      <c r="I1551" s="23" t="s">
        <v>73</v>
      </c>
      <c r="J1551" s="23" t="s">
        <v>410</v>
      </c>
      <c r="K1551" s="23" t="str">
        <f t="shared" si="26"/>
        <v>Grundy, MO</v>
      </c>
      <c r="L1551" s="24"/>
    </row>
    <row r="1552">
      <c r="A1552" s="99">
        <v>1551.0</v>
      </c>
      <c r="B1552" s="15"/>
      <c r="C1552" s="15"/>
      <c r="D1552" s="105">
        <v>1.0</v>
      </c>
      <c r="E1552" s="102">
        <v>29.0</v>
      </c>
      <c r="F1552" s="107">
        <v>81.0</v>
      </c>
      <c r="G1552" s="15" t="str">
        <f t="shared" si="1"/>
        <v>29081</v>
      </c>
      <c r="H1552" s="23" t="s">
        <v>775</v>
      </c>
      <c r="I1552" s="23" t="s">
        <v>73</v>
      </c>
      <c r="J1552" s="23" t="s">
        <v>410</v>
      </c>
      <c r="K1552" s="23" t="str">
        <f t="shared" si="26"/>
        <v>Harrison, MO</v>
      </c>
      <c r="L1552" s="24"/>
    </row>
    <row r="1553">
      <c r="A1553" s="99">
        <v>1552.0</v>
      </c>
      <c r="B1553" s="15"/>
      <c r="C1553" s="15"/>
      <c r="D1553" s="105">
        <v>1.0</v>
      </c>
      <c r="E1553" s="102">
        <v>29.0</v>
      </c>
      <c r="F1553" s="107">
        <v>83.0</v>
      </c>
      <c r="G1553" s="15" t="str">
        <f t="shared" si="1"/>
        <v>29083</v>
      </c>
      <c r="H1553" s="23" t="s">
        <v>140</v>
      </c>
      <c r="I1553" s="23" t="s">
        <v>73</v>
      </c>
      <c r="J1553" s="23" t="s">
        <v>410</v>
      </c>
      <c r="K1553" s="23" t="str">
        <f t="shared" si="26"/>
        <v>Henry, MO</v>
      </c>
      <c r="L1553" s="24"/>
    </row>
    <row r="1554">
      <c r="A1554" s="99">
        <v>1553.0</v>
      </c>
      <c r="B1554" s="15"/>
      <c r="C1554" s="15"/>
      <c r="D1554" s="105">
        <v>1.0</v>
      </c>
      <c r="E1554" s="102">
        <v>29.0</v>
      </c>
      <c r="F1554" s="107">
        <v>85.0</v>
      </c>
      <c r="G1554" s="15" t="str">
        <f t="shared" si="1"/>
        <v>29085</v>
      </c>
      <c r="H1554" s="23" t="s">
        <v>1406</v>
      </c>
      <c r="I1554" s="23" t="s">
        <v>73</v>
      </c>
      <c r="J1554" s="23" t="s">
        <v>410</v>
      </c>
      <c r="K1554" s="23" t="str">
        <f t="shared" si="26"/>
        <v>Hickory, MO</v>
      </c>
      <c r="L1554" s="24"/>
    </row>
    <row r="1555">
      <c r="A1555" s="99">
        <v>1554.0</v>
      </c>
      <c r="B1555" s="15"/>
      <c r="C1555" s="15"/>
      <c r="D1555" s="105">
        <v>1.0</v>
      </c>
      <c r="E1555" s="102">
        <v>29.0</v>
      </c>
      <c r="F1555" s="107">
        <v>87.0</v>
      </c>
      <c r="G1555" s="15" t="str">
        <f t="shared" si="1"/>
        <v>29087</v>
      </c>
      <c r="H1555" s="23" t="s">
        <v>1407</v>
      </c>
      <c r="I1555" s="23" t="s">
        <v>73</v>
      </c>
      <c r="J1555" s="23" t="s">
        <v>410</v>
      </c>
      <c r="K1555" s="23" t="str">
        <f t="shared" si="26"/>
        <v>Holt, MO</v>
      </c>
      <c r="L1555" s="24"/>
    </row>
    <row r="1556">
      <c r="A1556" s="99">
        <v>1555.0</v>
      </c>
      <c r="B1556" s="15"/>
      <c r="C1556" s="15"/>
      <c r="D1556" s="105">
        <v>1.0</v>
      </c>
      <c r="E1556" s="102">
        <v>29.0</v>
      </c>
      <c r="F1556" s="107">
        <v>89.0</v>
      </c>
      <c r="G1556" s="15" t="str">
        <f t="shared" si="1"/>
        <v>29089</v>
      </c>
      <c r="H1556" s="23" t="s">
        <v>283</v>
      </c>
      <c r="I1556" s="23" t="s">
        <v>73</v>
      </c>
      <c r="J1556" s="23" t="s">
        <v>410</v>
      </c>
      <c r="K1556" s="23" t="str">
        <f t="shared" si="26"/>
        <v>Howard, MO</v>
      </c>
      <c r="L1556" s="24"/>
    </row>
    <row r="1557">
      <c r="A1557" s="99">
        <v>1556.0</v>
      </c>
      <c r="B1557" s="15"/>
      <c r="C1557" s="15"/>
      <c r="D1557" s="105">
        <v>1.0</v>
      </c>
      <c r="E1557" s="102">
        <v>29.0</v>
      </c>
      <c r="F1557" s="107">
        <v>91.0</v>
      </c>
      <c r="G1557" s="15" t="str">
        <f t="shared" si="1"/>
        <v>29091</v>
      </c>
      <c r="H1557" s="23" t="s">
        <v>1408</v>
      </c>
      <c r="I1557" s="23" t="s">
        <v>73</v>
      </c>
      <c r="J1557" s="23" t="s">
        <v>410</v>
      </c>
      <c r="K1557" s="23" t="str">
        <f t="shared" si="26"/>
        <v>Howell, MO</v>
      </c>
      <c r="L1557" s="24"/>
    </row>
    <row r="1558">
      <c r="A1558" s="99">
        <v>1557.0</v>
      </c>
      <c r="B1558" s="15"/>
      <c r="C1558" s="15"/>
      <c r="D1558" s="105">
        <v>1.0</v>
      </c>
      <c r="E1558" s="102">
        <v>29.0</v>
      </c>
      <c r="F1558" s="107">
        <v>93.0</v>
      </c>
      <c r="G1558" s="15" t="str">
        <f t="shared" si="1"/>
        <v>29093</v>
      </c>
      <c r="H1558" s="23" t="s">
        <v>1259</v>
      </c>
      <c r="I1558" s="23" t="s">
        <v>73</v>
      </c>
      <c r="J1558" s="23" t="s">
        <v>410</v>
      </c>
      <c r="K1558" s="23" t="str">
        <f t="shared" si="26"/>
        <v>Iron, MO</v>
      </c>
      <c r="L1558" s="24"/>
    </row>
    <row r="1559">
      <c r="A1559" s="99">
        <v>1558.0</v>
      </c>
      <c r="B1559" s="15"/>
      <c r="C1559" s="15"/>
      <c r="D1559" s="105">
        <v>1.0</v>
      </c>
      <c r="E1559" s="102">
        <v>29.0</v>
      </c>
      <c r="F1559" s="107">
        <v>95.0</v>
      </c>
      <c r="G1559" s="15" t="str">
        <f t="shared" si="1"/>
        <v>29095</v>
      </c>
      <c r="H1559" s="23" t="s">
        <v>142</v>
      </c>
      <c r="I1559" s="23" t="s">
        <v>73</v>
      </c>
      <c r="J1559" s="23" t="s">
        <v>410</v>
      </c>
      <c r="K1559" s="23" t="str">
        <f t="shared" si="26"/>
        <v>Jackson, MO</v>
      </c>
      <c r="L1559" s="24"/>
    </row>
    <row r="1560">
      <c r="A1560" s="99">
        <v>1559.0</v>
      </c>
      <c r="B1560" s="15"/>
      <c r="C1560" s="15"/>
      <c r="D1560" s="105">
        <v>1.0</v>
      </c>
      <c r="E1560" s="102">
        <v>29.0</v>
      </c>
      <c r="F1560" s="107">
        <v>97.0</v>
      </c>
      <c r="G1560" s="15" t="str">
        <f t="shared" si="1"/>
        <v>29097</v>
      </c>
      <c r="H1560" s="23" t="s">
        <v>593</v>
      </c>
      <c r="I1560" s="23" t="s">
        <v>73</v>
      </c>
      <c r="J1560" s="23" t="s">
        <v>410</v>
      </c>
      <c r="K1560" s="23" t="str">
        <f t="shared" si="26"/>
        <v>Jasper, MO</v>
      </c>
      <c r="L1560" s="24"/>
    </row>
    <row r="1561">
      <c r="A1561" s="99">
        <v>1560.0</v>
      </c>
      <c r="B1561" s="15"/>
      <c r="C1561" s="15"/>
      <c r="D1561" s="105">
        <v>1.0</v>
      </c>
      <c r="E1561" s="102">
        <v>29.0</v>
      </c>
      <c r="F1561" s="107">
        <v>99.0</v>
      </c>
      <c r="G1561" s="15" t="str">
        <f t="shared" si="1"/>
        <v>29099</v>
      </c>
      <c r="H1561" s="23" t="s">
        <v>143</v>
      </c>
      <c r="I1561" s="23" t="s">
        <v>73</v>
      </c>
      <c r="J1561" s="23" t="s">
        <v>410</v>
      </c>
      <c r="K1561" s="23" t="str">
        <f t="shared" si="26"/>
        <v>Jefferson, MO</v>
      </c>
      <c r="L1561" s="24"/>
    </row>
    <row r="1562">
      <c r="A1562" s="99">
        <v>1561.0</v>
      </c>
      <c r="B1562" s="15"/>
      <c r="C1562" s="15"/>
      <c r="D1562" s="105">
        <v>1.0</v>
      </c>
      <c r="E1562" s="102">
        <v>29.0</v>
      </c>
      <c r="F1562" s="107">
        <v>101.0</v>
      </c>
      <c r="G1562" s="15" t="str">
        <f t="shared" si="1"/>
        <v>29101</v>
      </c>
      <c r="H1562" s="23" t="s">
        <v>288</v>
      </c>
      <c r="I1562" s="23" t="s">
        <v>73</v>
      </c>
      <c r="J1562" s="23" t="s">
        <v>410</v>
      </c>
      <c r="K1562" s="23" t="str">
        <f t="shared" si="26"/>
        <v>Johnson, MO</v>
      </c>
      <c r="L1562" s="24"/>
    </row>
    <row r="1563">
      <c r="A1563" s="99">
        <v>1562.0</v>
      </c>
      <c r="B1563" s="15"/>
      <c r="C1563" s="15"/>
      <c r="D1563" s="105">
        <v>1.0</v>
      </c>
      <c r="E1563" s="102">
        <v>29.0</v>
      </c>
      <c r="F1563" s="107">
        <v>103.0</v>
      </c>
      <c r="G1563" s="15" t="str">
        <f t="shared" si="1"/>
        <v>29103</v>
      </c>
      <c r="H1563" s="23" t="s">
        <v>728</v>
      </c>
      <c r="I1563" s="23" t="s">
        <v>73</v>
      </c>
      <c r="J1563" s="23" t="s">
        <v>410</v>
      </c>
      <c r="K1563" s="23" t="str">
        <f t="shared" si="26"/>
        <v>Knox, MO</v>
      </c>
      <c r="L1563" s="24"/>
    </row>
    <row r="1564">
      <c r="A1564" s="99">
        <v>1563.0</v>
      </c>
      <c r="B1564" s="15"/>
      <c r="C1564" s="15"/>
      <c r="D1564" s="105">
        <v>1.0</v>
      </c>
      <c r="E1564" s="102">
        <v>29.0</v>
      </c>
      <c r="F1564" s="107">
        <v>105.0</v>
      </c>
      <c r="G1564" s="15" t="str">
        <f t="shared" si="1"/>
        <v>29105</v>
      </c>
      <c r="H1564" s="23" t="s">
        <v>1409</v>
      </c>
      <c r="I1564" s="23" t="s">
        <v>73</v>
      </c>
      <c r="J1564" s="23" t="s">
        <v>410</v>
      </c>
      <c r="K1564" s="23" t="str">
        <f t="shared" si="26"/>
        <v>Laclede, MO</v>
      </c>
      <c r="L1564" s="24"/>
    </row>
    <row r="1565">
      <c r="A1565" s="99">
        <v>1564.0</v>
      </c>
      <c r="B1565" s="15"/>
      <c r="C1565" s="15"/>
      <c r="D1565" s="105">
        <v>1.0</v>
      </c>
      <c r="E1565" s="102">
        <v>29.0</v>
      </c>
      <c r="F1565" s="107">
        <v>107.0</v>
      </c>
      <c r="G1565" s="15" t="str">
        <f t="shared" si="1"/>
        <v>29107</v>
      </c>
      <c r="H1565" s="23" t="s">
        <v>289</v>
      </c>
      <c r="I1565" s="23" t="s">
        <v>73</v>
      </c>
      <c r="J1565" s="23" t="s">
        <v>410</v>
      </c>
      <c r="K1565" s="23" t="str">
        <f t="shared" si="26"/>
        <v>Lafayette, MO</v>
      </c>
      <c r="L1565" s="24"/>
    </row>
    <row r="1566">
      <c r="A1566" s="99">
        <v>1565.0</v>
      </c>
      <c r="B1566" s="15"/>
      <c r="C1566" s="15"/>
      <c r="D1566" s="105">
        <v>1.0</v>
      </c>
      <c r="E1566" s="102">
        <v>29.0</v>
      </c>
      <c r="F1566" s="107">
        <v>109.0</v>
      </c>
      <c r="G1566" s="15" t="str">
        <f t="shared" si="1"/>
        <v>29109</v>
      </c>
      <c r="H1566" s="23" t="s">
        <v>146</v>
      </c>
      <c r="I1566" s="23" t="s">
        <v>73</v>
      </c>
      <c r="J1566" s="23" t="s">
        <v>410</v>
      </c>
      <c r="K1566" s="23" t="str">
        <f t="shared" si="26"/>
        <v>Lawrence, MO</v>
      </c>
      <c r="L1566" s="24"/>
    </row>
    <row r="1567">
      <c r="A1567" s="99">
        <v>1566.0</v>
      </c>
      <c r="B1567" s="15"/>
      <c r="C1567" s="15"/>
      <c r="D1567" s="105">
        <v>1.0</v>
      </c>
      <c r="E1567" s="102">
        <v>29.0</v>
      </c>
      <c r="F1567" s="107">
        <v>111.0</v>
      </c>
      <c r="G1567" s="15" t="str">
        <f t="shared" si="1"/>
        <v>29111</v>
      </c>
      <c r="H1567" s="23" t="s">
        <v>682</v>
      </c>
      <c r="I1567" s="23" t="s">
        <v>73</v>
      </c>
      <c r="J1567" s="23" t="s">
        <v>410</v>
      </c>
      <c r="K1567" s="23" t="str">
        <f t="shared" si="26"/>
        <v>Lewis, MO</v>
      </c>
      <c r="L1567" s="24"/>
    </row>
    <row r="1568">
      <c r="A1568" s="99">
        <v>1567.0</v>
      </c>
      <c r="B1568" s="15"/>
      <c r="C1568" s="15"/>
      <c r="D1568" s="105">
        <v>1.0</v>
      </c>
      <c r="E1568" s="102">
        <v>29.0</v>
      </c>
      <c r="F1568" s="107">
        <v>113.0</v>
      </c>
      <c r="G1568" s="15" t="str">
        <f t="shared" si="1"/>
        <v>29113</v>
      </c>
      <c r="H1568" s="23" t="s">
        <v>290</v>
      </c>
      <c r="I1568" s="23" t="s">
        <v>73</v>
      </c>
      <c r="J1568" s="23" t="s">
        <v>410</v>
      </c>
      <c r="K1568" s="23" t="str">
        <f t="shared" si="26"/>
        <v>Lincoln, MO</v>
      </c>
      <c r="L1568" s="24"/>
    </row>
    <row r="1569">
      <c r="A1569" s="99">
        <v>1568.0</v>
      </c>
      <c r="B1569" s="15"/>
      <c r="C1569" s="15"/>
      <c r="D1569" s="105">
        <v>1.0</v>
      </c>
      <c r="E1569" s="102">
        <v>29.0</v>
      </c>
      <c r="F1569" s="107">
        <v>115.0</v>
      </c>
      <c r="G1569" s="15" t="str">
        <f t="shared" si="1"/>
        <v>29115</v>
      </c>
      <c r="H1569" s="23" t="s">
        <v>907</v>
      </c>
      <c r="I1569" s="23" t="s">
        <v>73</v>
      </c>
      <c r="J1569" s="23" t="s">
        <v>410</v>
      </c>
      <c r="K1569" s="23" t="str">
        <f t="shared" si="26"/>
        <v>Linn, MO</v>
      </c>
      <c r="L1569" s="24"/>
    </row>
    <row r="1570">
      <c r="A1570" s="99">
        <v>1569.0</v>
      </c>
      <c r="B1570" s="15"/>
      <c r="C1570" s="15"/>
      <c r="D1570" s="105">
        <v>1.0</v>
      </c>
      <c r="E1570" s="102">
        <v>29.0</v>
      </c>
      <c r="F1570" s="107">
        <v>117.0</v>
      </c>
      <c r="G1570" s="15" t="str">
        <f t="shared" si="1"/>
        <v>29117</v>
      </c>
      <c r="H1570" s="23" t="s">
        <v>730</v>
      </c>
      <c r="I1570" s="23" t="s">
        <v>73</v>
      </c>
      <c r="J1570" s="23" t="s">
        <v>410</v>
      </c>
      <c r="K1570" s="23" t="str">
        <f t="shared" si="26"/>
        <v>Livingston, MO</v>
      </c>
      <c r="L1570" s="24"/>
    </row>
    <row r="1571">
      <c r="A1571" s="99">
        <v>1570.0</v>
      </c>
      <c r="B1571" s="15"/>
      <c r="C1571" s="15"/>
      <c r="D1571" s="105">
        <v>1.0</v>
      </c>
      <c r="E1571" s="102">
        <v>29.0</v>
      </c>
      <c r="F1571" s="107">
        <v>119.0</v>
      </c>
      <c r="G1571" s="15" t="str">
        <f t="shared" si="1"/>
        <v>29119</v>
      </c>
      <c r="H1571" s="23" t="s">
        <v>1410</v>
      </c>
      <c r="I1571" s="23" t="s">
        <v>73</v>
      </c>
      <c r="J1571" s="23" t="s">
        <v>410</v>
      </c>
      <c r="K1571" s="23" t="str">
        <f t="shared" si="26"/>
        <v>Mcdonald, MO</v>
      </c>
      <c r="L1571" s="24"/>
    </row>
    <row r="1572">
      <c r="A1572" s="99">
        <v>1571.0</v>
      </c>
      <c r="B1572" s="15"/>
      <c r="C1572" s="15"/>
      <c r="D1572" s="105">
        <v>1.0</v>
      </c>
      <c r="E1572" s="102">
        <v>29.0</v>
      </c>
      <c r="F1572" s="107">
        <v>121.0</v>
      </c>
      <c r="G1572" s="15" t="str">
        <f t="shared" si="1"/>
        <v>29121</v>
      </c>
      <c r="H1572" s="23" t="s">
        <v>150</v>
      </c>
      <c r="I1572" s="23" t="s">
        <v>73</v>
      </c>
      <c r="J1572" s="23" t="s">
        <v>410</v>
      </c>
      <c r="K1572" s="23" t="str">
        <f t="shared" si="26"/>
        <v>Macon, MO</v>
      </c>
      <c r="L1572" s="24"/>
    </row>
    <row r="1573">
      <c r="A1573" s="99">
        <v>1572.0</v>
      </c>
      <c r="B1573" s="15"/>
      <c r="C1573" s="15"/>
      <c r="D1573" s="105">
        <v>1.0</v>
      </c>
      <c r="E1573" s="102">
        <v>29.0</v>
      </c>
      <c r="F1573" s="107">
        <v>123.0</v>
      </c>
      <c r="G1573" s="15" t="str">
        <f t="shared" si="1"/>
        <v>29123</v>
      </c>
      <c r="H1573" s="23" t="s">
        <v>151</v>
      </c>
      <c r="I1573" s="23" t="s">
        <v>73</v>
      </c>
      <c r="J1573" s="23" t="s">
        <v>410</v>
      </c>
      <c r="K1573" s="23" t="str">
        <f t="shared" si="26"/>
        <v>Madison, MO</v>
      </c>
      <c r="L1573" s="24"/>
    </row>
    <row r="1574">
      <c r="A1574" s="99">
        <v>1573.0</v>
      </c>
      <c r="B1574" s="15"/>
      <c r="C1574" s="15"/>
      <c r="D1574" s="105">
        <v>1.0</v>
      </c>
      <c r="E1574" s="102">
        <v>29.0</v>
      </c>
      <c r="F1574" s="107">
        <v>125.0</v>
      </c>
      <c r="G1574" s="15" t="str">
        <f t="shared" si="1"/>
        <v>29125</v>
      </c>
      <c r="H1574" s="23" t="s">
        <v>1411</v>
      </c>
      <c r="I1574" s="23" t="s">
        <v>73</v>
      </c>
      <c r="J1574" s="23" t="s">
        <v>410</v>
      </c>
      <c r="K1574" s="23" t="str">
        <f t="shared" si="26"/>
        <v>Maries, MO</v>
      </c>
      <c r="L1574" s="24"/>
    </row>
    <row r="1575">
      <c r="A1575" s="99">
        <v>1574.0</v>
      </c>
      <c r="B1575" s="15"/>
      <c r="C1575" s="15"/>
      <c r="D1575" s="105">
        <v>1.0</v>
      </c>
      <c r="E1575" s="102">
        <v>29.0</v>
      </c>
      <c r="F1575" s="107">
        <v>127.0</v>
      </c>
      <c r="G1575" s="15" t="str">
        <f t="shared" si="1"/>
        <v>29127</v>
      </c>
      <c r="H1575" s="23" t="s">
        <v>153</v>
      </c>
      <c r="I1575" s="23" t="s">
        <v>73</v>
      </c>
      <c r="J1575" s="23" t="s">
        <v>410</v>
      </c>
      <c r="K1575" s="23" t="str">
        <f t="shared" si="26"/>
        <v>Marion, MO</v>
      </c>
      <c r="L1575" s="24"/>
    </row>
    <row r="1576">
      <c r="A1576" s="99">
        <v>1575.0</v>
      </c>
      <c r="B1576" s="15"/>
      <c r="C1576" s="15"/>
      <c r="D1576" s="105">
        <v>1.0</v>
      </c>
      <c r="E1576" s="102">
        <v>29.0</v>
      </c>
      <c r="F1576" s="107">
        <v>129.0</v>
      </c>
      <c r="G1576" s="15" t="str">
        <f t="shared" si="1"/>
        <v>29129</v>
      </c>
      <c r="H1576" s="23" t="s">
        <v>738</v>
      </c>
      <c r="I1576" s="23" t="s">
        <v>73</v>
      </c>
      <c r="J1576" s="23" t="s">
        <v>410</v>
      </c>
      <c r="K1576" s="23" t="str">
        <f t="shared" si="26"/>
        <v>Mercer, MO</v>
      </c>
      <c r="L1576" s="24"/>
    </row>
    <row r="1577">
      <c r="A1577" s="99">
        <v>1576.0</v>
      </c>
      <c r="B1577" s="15"/>
      <c r="C1577" s="15"/>
      <c r="D1577" s="105">
        <v>1.0</v>
      </c>
      <c r="E1577" s="102">
        <v>29.0</v>
      </c>
      <c r="F1577" s="107">
        <v>131.0</v>
      </c>
      <c r="G1577" s="15" t="str">
        <f t="shared" si="1"/>
        <v>29131</v>
      </c>
      <c r="H1577" s="23" t="s">
        <v>295</v>
      </c>
      <c r="I1577" s="23" t="s">
        <v>73</v>
      </c>
      <c r="J1577" s="23" t="s">
        <v>410</v>
      </c>
      <c r="K1577" s="23" t="str">
        <f t="shared" si="26"/>
        <v>Miller, MO</v>
      </c>
      <c r="L1577" s="24"/>
    </row>
    <row r="1578">
      <c r="A1578" s="99">
        <v>1577.0</v>
      </c>
      <c r="B1578" s="15"/>
      <c r="C1578" s="15"/>
      <c r="D1578" s="105">
        <v>1.0</v>
      </c>
      <c r="E1578" s="102">
        <v>29.0</v>
      </c>
      <c r="F1578" s="107">
        <v>133.0</v>
      </c>
      <c r="G1578" s="15" t="str">
        <f t="shared" si="1"/>
        <v>29133</v>
      </c>
      <c r="H1578" s="23" t="s">
        <v>67</v>
      </c>
      <c r="I1578" s="23" t="s">
        <v>73</v>
      </c>
      <c r="J1578" s="23" t="s">
        <v>410</v>
      </c>
      <c r="K1578" s="23" t="str">
        <f t="shared" si="26"/>
        <v>Mississippi, MO</v>
      </c>
      <c r="L1578" s="24"/>
    </row>
    <row r="1579">
      <c r="A1579" s="99">
        <v>1578.0</v>
      </c>
      <c r="B1579" s="15"/>
      <c r="C1579" s="15"/>
      <c r="D1579" s="105">
        <v>1.0</v>
      </c>
      <c r="E1579" s="102">
        <v>29.0</v>
      </c>
      <c r="F1579" s="107">
        <v>135.0</v>
      </c>
      <c r="G1579" s="15" t="str">
        <f t="shared" si="1"/>
        <v>29135</v>
      </c>
      <c r="H1579" s="23" t="s">
        <v>1412</v>
      </c>
      <c r="I1579" s="23" t="s">
        <v>73</v>
      </c>
      <c r="J1579" s="23" t="s">
        <v>410</v>
      </c>
      <c r="K1579" s="23" t="str">
        <f t="shared" si="26"/>
        <v>Moniteau, MO</v>
      </c>
      <c r="L1579" s="24"/>
    </row>
    <row r="1580">
      <c r="A1580" s="99">
        <v>1579.0</v>
      </c>
      <c r="B1580" s="15"/>
      <c r="C1580" s="15"/>
      <c r="D1580" s="105">
        <v>1.0</v>
      </c>
      <c r="E1580" s="102">
        <v>29.0</v>
      </c>
      <c r="F1580" s="107">
        <v>137.0</v>
      </c>
      <c r="G1580" s="15" t="str">
        <f t="shared" si="1"/>
        <v>29137</v>
      </c>
      <c r="H1580" s="23" t="s">
        <v>156</v>
      </c>
      <c r="I1580" s="23" t="s">
        <v>73</v>
      </c>
      <c r="J1580" s="23" t="s">
        <v>410</v>
      </c>
      <c r="K1580" s="23" t="str">
        <f t="shared" si="26"/>
        <v>Monroe, MO</v>
      </c>
      <c r="L1580" s="24"/>
    </row>
    <row r="1581">
      <c r="A1581" s="99">
        <v>1580.0</v>
      </c>
      <c r="B1581" s="15"/>
      <c r="C1581" s="15"/>
      <c r="D1581" s="105">
        <v>1.0</v>
      </c>
      <c r="E1581" s="102">
        <v>29.0</v>
      </c>
      <c r="F1581" s="107">
        <v>139.0</v>
      </c>
      <c r="G1581" s="15" t="str">
        <f t="shared" si="1"/>
        <v>29139</v>
      </c>
      <c r="H1581" s="23" t="s">
        <v>157</v>
      </c>
      <c r="I1581" s="23" t="s">
        <v>73</v>
      </c>
      <c r="J1581" s="23" t="s">
        <v>410</v>
      </c>
      <c r="K1581" s="112" t="str">
        <f t="shared" si="26"/>
        <v>Montgomery, MO</v>
      </c>
      <c r="L1581" s="24"/>
    </row>
    <row r="1582">
      <c r="A1582" s="99">
        <v>1581.0</v>
      </c>
      <c r="B1582" s="15"/>
      <c r="C1582" s="15"/>
      <c r="D1582" s="105">
        <v>1.0</v>
      </c>
      <c r="E1582" s="102">
        <v>29.0</v>
      </c>
      <c r="F1582" s="107">
        <v>141.0</v>
      </c>
      <c r="G1582" s="15" t="str">
        <f t="shared" si="1"/>
        <v>29141</v>
      </c>
      <c r="H1582" s="23" t="s">
        <v>158</v>
      </c>
      <c r="I1582" s="23" t="s">
        <v>73</v>
      </c>
      <c r="J1582" s="23" t="s">
        <v>410</v>
      </c>
      <c r="K1582" s="23" t="str">
        <f t="shared" si="26"/>
        <v>Morgan, MO</v>
      </c>
      <c r="L1582" s="24"/>
    </row>
    <row r="1583">
      <c r="A1583" s="99">
        <v>1582.0</v>
      </c>
      <c r="B1583" s="15"/>
      <c r="C1583" s="15"/>
      <c r="D1583" s="105">
        <v>1.0</v>
      </c>
      <c r="E1583" s="102">
        <v>29.0</v>
      </c>
      <c r="F1583" s="107">
        <v>143.0</v>
      </c>
      <c r="G1583" s="15" t="str">
        <f t="shared" si="1"/>
        <v>29143</v>
      </c>
      <c r="H1583" s="23" t="s">
        <v>1413</v>
      </c>
      <c r="I1583" s="23" t="s">
        <v>73</v>
      </c>
      <c r="J1583" s="23" t="s">
        <v>410</v>
      </c>
      <c r="K1583" s="112" t="str">
        <f t="shared" si="26"/>
        <v>New Madrid, MO</v>
      </c>
      <c r="L1583" s="24"/>
    </row>
    <row r="1584">
      <c r="A1584" s="99">
        <v>1583.0</v>
      </c>
      <c r="B1584" s="15"/>
      <c r="C1584" s="15"/>
      <c r="D1584" s="105">
        <v>1.0</v>
      </c>
      <c r="E1584" s="102">
        <v>29.0</v>
      </c>
      <c r="F1584" s="107">
        <v>145.0</v>
      </c>
      <c r="G1584" s="15" t="str">
        <f t="shared" si="1"/>
        <v>29145</v>
      </c>
      <c r="H1584" s="23" t="s">
        <v>297</v>
      </c>
      <c r="I1584" s="23" t="s">
        <v>73</v>
      </c>
      <c r="J1584" s="23" t="s">
        <v>410</v>
      </c>
      <c r="K1584" s="23" t="str">
        <f t="shared" si="26"/>
        <v>Newton, MO</v>
      </c>
      <c r="L1584" s="24"/>
    </row>
    <row r="1585">
      <c r="A1585" s="99">
        <v>1584.0</v>
      </c>
      <c r="B1585" s="15"/>
      <c r="C1585" s="15"/>
      <c r="D1585" s="105">
        <v>1.0</v>
      </c>
      <c r="E1585" s="102">
        <v>29.0</v>
      </c>
      <c r="F1585" s="107">
        <v>147.0</v>
      </c>
      <c r="G1585" s="15" t="str">
        <f t="shared" si="1"/>
        <v>29147</v>
      </c>
      <c r="H1585" s="23" t="s">
        <v>1414</v>
      </c>
      <c r="I1585" s="23" t="s">
        <v>73</v>
      </c>
      <c r="J1585" s="23" t="s">
        <v>410</v>
      </c>
      <c r="K1585" s="23" t="str">
        <f t="shared" si="26"/>
        <v>Nodaway, MO</v>
      </c>
      <c r="L1585" s="24"/>
    </row>
    <row r="1586">
      <c r="A1586" s="99">
        <v>1585.0</v>
      </c>
      <c r="B1586" s="15"/>
      <c r="C1586" s="15"/>
      <c r="D1586" s="105">
        <v>1.0</v>
      </c>
      <c r="E1586" s="102">
        <v>29.0</v>
      </c>
      <c r="F1586" s="107">
        <v>149.0</v>
      </c>
      <c r="G1586" s="15" t="str">
        <f t="shared" si="1"/>
        <v>29149</v>
      </c>
      <c r="H1586" s="23" t="s">
        <v>103</v>
      </c>
      <c r="I1586" s="23" t="s">
        <v>73</v>
      </c>
      <c r="J1586" s="23" t="s">
        <v>410</v>
      </c>
      <c r="K1586" s="23" t="str">
        <f t="shared" si="26"/>
        <v>Oregon, MO</v>
      </c>
      <c r="L1586" s="24"/>
    </row>
    <row r="1587">
      <c r="A1587" s="99">
        <v>1586.0</v>
      </c>
      <c r="B1587" s="15"/>
      <c r="C1587" s="15"/>
      <c r="D1587" s="105">
        <v>1.0</v>
      </c>
      <c r="E1587" s="102">
        <v>29.0</v>
      </c>
      <c r="F1587" s="107">
        <v>151.0</v>
      </c>
      <c r="G1587" s="15" t="str">
        <f t="shared" si="1"/>
        <v>29151</v>
      </c>
      <c r="H1587" s="23" t="s">
        <v>996</v>
      </c>
      <c r="I1587" s="23" t="s">
        <v>73</v>
      </c>
      <c r="J1587" s="23" t="s">
        <v>410</v>
      </c>
      <c r="K1587" s="23" t="str">
        <f t="shared" si="26"/>
        <v>Osage, MO</v>
      </c>
      <c r="L1587" s="24"/>
    </row>
    <row r="1588">
      <c r="A1588" s="99">
        <v>1587.0</v>
      </c>
      <c r="B1588" s="15"/>
      <c r="C1588" s="15"/>
      <c r="D1588" s="105">
        <v>1.0</v>
      </c>
      <c r="E1588" s="102">
        <v>29.0</v>
      </c>
      <c r="F1588" s="107">
        <v>153.0</v>
      </c>
      <c r="G1588" s="15" t="str">
        <f t="shared" si="1"/>
        <v>29153</v>
      </c>
      <c r="H1588" s="23" t="s">
        <v>1415</v>
      </c>
      <c r="I1588" s="23" t="s">
        <v>73</v>
      </c>
      <c r="J1588" s="23" t="s">
        <v>410</v>
      </c>
      <c r="K1588" s="23" t="str">
        <f t="shared" si="26"/>
        <v>Ozark, MO</v>
      </c>
      <c r="L1588" s="24"/>
    </row>
    <row r="1589">
      <c r="A1589" s="99">
        <v>1588.0</v>
      </c>
      <c r="B1589" s="15"/>
      <c r="C1589" s="15"/>
      <c r="D1589" s="105">
        <v>1.0</v>
      </c>
      <c r="E1589" s="102">
        <v>29.0</v>
      </c>
      <c r="F1589" s="107">
        <v>155.0</v>
      </c>
      <c r="G1589" s="15" t="str">
        <f t="shared" si="1"/>
        <v>29155</v>
      </c>
      <c r="H1589" s="23" t="s">
        <v>1416</v>
      </c>
      <c r="I1589" s="23" t="s">
        <v>73</v>
      </c>
      <c r="J1589" s="23" t="s">
        <v>410</v>
      </c>
      <c r="K1589" s="23" t="str">
        <f t="shared" si="26"/>
        <v>Pemiscot, MO</v>
      </c>
      <c r="L1589" s="24"/>
    </row>
    <row r="1590">
      <c r="A1590" s="99">
        <v>1589.0</v>
      </c>
      <c r="B1590" s="15"/>
      <c r="C1590" s="15"/>
      <c r="D1590" s="105">
        <v>1.0</v>
      </c>
      <c r="E1590" s="102">
        <v>29.0</v>
      </c>
      <c r="F1590" s="107">
        <v>157.0</v>
      </c>
      <c r="G1590" s="15" t="str">
        <f t="shared" si="1"/>
        <v>29157</v>
      </c>
      <c r="H1590" s="23" t="s">
        <v>159</v>
      </c>
      <c r="I1590" s="23" t="s">
        <v>73</v>
      </c>
      <c r="J1590" s="23" t="s">
        <v>410</v>
      </c>
      <c r="K1590" s="23" t="str">
        <f t="shared" si="26"/>
        <v>Perry, MO</v>
      </c>
      <c r="L1590" s="24"/>
    </row>
    <row r="1591">
      <c r="A1591" s="99">
        <v>1590.0</v>
      </c>
      <c r="B1591" s="15"/>
      <c r="C1591" s="15"/>
      <c r="D1591" s="105">
        <v>1.0</v>
      </c>
      <c r="E1591" s="102">
        <v>29.0</v>
      </c>
      <c r="F1591" s="107">
        <v>159.0</v>
      </c>
      <c r="G1591" s="15" t="str">
        <f t="shared" si="1"/>
        <v>29159</v>
      </c>
      <c r="H1591" s="23" t="s">
        <v>1417</v>
      </c>
      <c r="I1591" s="23" t="s">
        <v>73</v>
      </c>
      <c r="J1591" s="23" t="s">
        <v>410</v>
      </c>
      <c r="K1591" s="23" t="str">
        <f t="shared" si="26"/>
        <v>Pettis, MO</v>
      </c>
      <c r="L1591" s="24"/>
    </row>
    <row r="1592">
      <c r="A1592" s="99">
        <v>1591.0</v>
      </c>
      <c r="B1592" s="15"/>
      <c r="C1592" s="15"/>
      <c r="D1592" s="105">
        <v>1.0</v>
      </c>
      <c r="E1592" s="102">
        <v>29.0</v>
      </c>
      <c r="F1592" s="107">
        <v>161.0</v>
      </c>
      <c r="G1592" s="15" t="str">
        <f t="shared" si="1"/>
        <v>29161</v>
      </c>
      <c r="H1592" s="23" t="s">
        <v>1418</v>
      </c>
      <c r="I1592" s="23" t="s">
        <v>73</v>
      </c>
      <c r="J1592" s="23" t="s">
        <v>410</v>
      </c>
      <c r="K1592" s="23" t="str">
        <f t="shared" si="26"/>
        <v>Phelps, MO</v>
      </c>
      <c r="L1592" s="24"/>
    </row>
    <row r="1593">
      <c r="A1593" s="99">
        <v>1592.0</v>
      </c>
      <c r="B1593" s="15"/>
      <c r="C1593" s="15"/>
      <c r="D1593" s="105">
        <v>1.0</v>
      </c>
      <c r="E1593" s="102">
        <v>29.0</v>
      </c>
      <c r="F1593" s="107">
        <v>163.0</v>
      </c>
      <c r="G1593" s="15" t="str">
        <f t="shared" si="1"/>
        <v>29163</v>
      </c>
      <c r="H1593" s="23" t="s">
        <v>162</v>
      </c>
      <c r="I1593" s="23" t="s">
        <v>73</v>
      </c>
      <c r="J1593" s="23" t="s">
        <v>410</v>
      </c>
      <c r="K1593" s="23" t="str">
        <f t="shared" si="26"/>
        <v>Pike, MO</v>
      </c>
      <c r="L1593" s="24"/>
    </row>
    <row r="1594">
      <c r="A1594" s="99">
        <v>1593.0</v>
      </c>
      <c r="B1594" s="15"/>
      <c r="C1594" s="15"/>
      <c r="D1594" s="105">
        <v>1.0</v>
      </c>
      <c r="E1594" s="102">
        <v>29.0</v>
      </c>
      <c r="F1594" s="107">
        <v>165.0</v>
      </c>
      <c r="G1594" s="15" t="str">
        <f t="shared" si="1"/>
        <v>29165</v>
      </c>
      <c r="H1594" s="23" t="s">
        <v>1419</v>
      </c>
      <c r="I1594" s="23" t="s">
        <v>73</v>
      </c>
      <c r="J1594" s="23" t="s">
        <v>410</v>
      </c>
      <c r="K1594" s="23" t="str">
        <f t="shared" si="26"/>
        <v>Platte, MO</v>
      </c>
      <c r="L1594" s="24"/>
    </row>
    <row r="1595">
      <c r="A1595" s="99">
        <v>1594.0</v>
      </c>
      <c r="B1595" s="15"/>
      <c r="C1595" s="15"/>
      <c r="D1595" s="105">
        <v>1.0</v>
      </c>
      <c r="E1595" s="102">
        <v>29.0</v>
      </c>
      <c r="F1595" s="107">
        <v>167.0</v>
      </c>
      <c r="G1595" s="15" t="str">
        <f t="shared" si="1"/>
        <v>29167</v>
      </c>
      <c r="H1595" s="23" t="s">
        <v>302</v>
      </c>
      <c r="I1595" s="23" t="s">
        <v>73</v>
      </c>
      <c r="J1595" s="23" t="s">
        <v>410</v>
      </c>
      <c r="K1595" s="23" t="str">
        <f t="shared" si="26"/>
        <v>Polk, MO</v>
      </c>
      <c r="L1595" s="24"/>
    </row>
    <row r="1596">
      <c r="A1596" s="99">
        <v>1595.0</v>
      </c>
      <c r="B1596" s="15"/>
      <c r="C1596" s="15"/>
      <c r="D1596" s="105">
        <v>1.0</v>
      </c>
      <c r="E1596" s="102">
        <v>29.0</v>
      </c>
      <c r="F1596" s="107">
        <v>169.0</v>
      </c>
      <c r="G1596" s="15" t="str">
        <f t="shared" si="1"/>
        <v>29169</v>
      </c>
      <c r="H1596" s="23" t="s">
        <v>305</v>
      </c>
      <c r="I1596" s="23" t="s">
        <v>73</v>
      </c>
      <c r="J1596" s="23" t="s">
        <v>410</v>
      </c>
      <c r="K1596" s="23" t="str">
        <f t="shared" si="26"/>
        <v>Pulaski, MO</v>
      </c>
      <c r="L1596" s="24"/>
    </row>
    <row r="1597">
      <c r="A1597" s="99">
        <v>1596.0</v>
      </c>
      <c r="B1597" s="15"/>
      <c r="C1597" s="15"/>
      <c r="D1597" s="105">
        <v>1.0</v>
      </c>
      <c r="E1597" s="102">
        <v>29.0</v>
      </c>
      <c r="F1597" s="107">
        <v>171.0</v>
      </c>
      <c r="G1597" s="15" t="str">
        <f t="shared" si="1"/>
        <v>29171</v>
      </c>
      <c r="H1597" s="23" t="s">
        <v>518</v>
      </c>
      <c r="I1597" s="23" t="s">
        <v>73</v>
      </c>
      <c r="J1597" s="23" t="s">
        <v>410</v>
      </c>
      <c r="K1597" s="23" t="str">
        <f t="shared" si="26"/>
        <v>Putnam, MO</v>
      </c>
      <c r="L1597" s="24"/>
    </row>
    <row r="1598">
      <c r="A1598" s="99">
        <v>1597.0</v>
      </c>
      <c r="B1598" s="15"/>
      <c r="C1598" s="15"/>
      <c r="D1598" s="105">
        <v>1.0</v>
      </c>
      <c r="E1598" s="102">
        <v>29.0</v>
      </c>
      <c r="F1598" s="107">
        <v>173.0</v>
      </c>
      <c r="G1598" s="15" t="str">
        <f t="shared" si="1"/>
        <v>29173</v>
      </c>
      <c r="H1598" s="23" t="s">
        <v>1420</v>
      </c>
      <c r="I1598" s="23" t="s">
        <v>73</v>
      </c>
      <c r="J1598" s="23" t="s">
        <v>410</v>
      </c>
      <c r="K1598" s="23" t="str">
        <f t="shared" si="26"/>
        <v>Ralls, MO</v>
      </c>
      <c r="L1598" s="24"/>
    </row>
    <row r="1599">
      <c r="A1599" s="99">
        <v>1598.0</v>
      </c>
      <c r="B1599" s="15"/>
      <c r="C1599" s="15"/>
      <c r="D1599" s="105">
        <v>1.0</v>
      </c>
      <c r="E1599" s="102">
        <v>29.0</v>
      </c>
      <c r="F1599" s="107">
        <v>175.0</v>
      </c>
      <c r="G1599" s="15" t="str">
        <f t="shared" si="1"/>
        <v>29175</v>
      </c>
      <c r="H1599" s="23" t="s">
        <v>163</v>
      </c>
      <c r="I1599" s="23" t="s">
        <v>73</v>
      </c>
      <c r="J1599" s="23" t="s">
        <v>410</v>
      </c>
      <c r="K1599" s="23" t="str">
        <f t="shared" si="26"/>
        <v>Randolph, MO</v>
      </c>
      <c r="L1599" s="24"/>
    </row>
    <row r="1600">
      <c r="A1600" s="99">
        <v>1599.0</v>
      </c>
      <c r="B1600" s="15"/>
      <c r="C1600" s="15"/>
      <c r="D1600" s="105">
        <v>1.0</v>
      </c>
      <c r="E1600" s="102">
        <v>29.0</v>
      </c>
      <c r="F1600" s="107">
        <v>177.0</v>
      </c>
      <c r="G1600" s="15" t="str">
        <f t="shared" si="1"/>
        <v>29177</v>
      </c>
      <c r="H1600" s="23" t="s">
        <v>1421</v>
      </c>
      <c r="I1600" s="23" t="s">
        <v>73</v>
      </c>
      <c r="J1600" s="23" t="s">
        <v>410</v>
      </c>
      <c r="K1600" s="23" t="str">
        <f t="shared" si="26"/>
        <v>Ray, MO</v>
      </c>
      <c r="L1600" s="24"/>
    </row>
    <row r="1601">
      <c r="A1601" s="99">
        <v>1600.0</v>
      </c>
      <c r="B1601" s="15"/>
      <c r="C1601" s="15"/>
      <c r="D1601" s="105">
        <v>1.0</v>
      </c>
      <c r="E1601" s="102">
        <v>29.0</v>
      </c>
      <c r="F1601" s="107">
        <v>179.0</v>
      </c>
      <c r="G1601" s="15" t="str">
        <f t="shared" si="1"/>
        <v>29179</v>
      </c>
      <c r="H1601" s="23" t="s">
        <v>1422</v>
      </c>
      <c r="I1601" s="23" t="s">
        <v>73</v>
      </c>
      <c r="J1601" s="23" t="s">
        <v>410</v>
      </c>
      <c r="K1601" s="23" t="str">
        <f t="shared" si="26"/>
        <v>Reynolds, MO</v>
      </c>
      <c r="L1601" s="24"/>
    </row>
    <row r="1602">
      <c r="A1602" s="99">
        <v>1601.0</v>
      </c>
      <c r="B1602" s="15"/>
      <c r="C1602" s="15"/>
      <c r="D1602" s="105">
        <v>1.0</v>
      </c>
      <c r="E1602" s="102">
        <v>29.0</v>
      </c>
      <c r="F1602" s="107">
        <v>181.0</v>
      </c>
      <c r="G1602" s="15" t="str">
        <f t="shared" si="1"/>
        <v>29181</v>
      </c>
      <c r="H1602" s="23" t="s">
        <v>839</v>
      </c>
      <c r="I1602" s="23" t="s">
        <v>73</v>
      </c>
      <c r="J1602" s="23" t="s">
        <v>410</v>
      </c>
      <c r="K1602" s="23" t="str">
        <f t="shared" si="26"/>
        <v>Ripley, MO</v>
      </c>
      <c r="L1602" s="24"/>
    </row>
    <row r="1603">
      <c r="A1603" s="99">
        <v>1602.0</v>
      </c>
      <c r="B1603" s="15"/>
      <c r="C1603" s="15"/>
      <c r="D1603" s="105">
        <v>1.0</v>
      </c>
      <c r="E1603" s="102">
        <v>29.0</v>
      </c>
      <c r="F1603" s="107">
        <v>183.0</v>
      </c>
      <c r="G1603" s="15" t="str">
        <f t="shared" si="1"/>
        <v>29183</v>
      </c>
      <c r="H1603" s="23" t="s">
        <v>1170</v>
      </c>
      <c r="I1603" s="23" t="s">
        <v>73</v>
      </c>
      <c r="J1603" s="23" t="s">
        <v>410</v>
      </c>
      <c r="K1603" s="23" t="str">
        <f t="shared" si="26"/>
        <v>St Charles, MO</v>
      </c>
      <c r="L1603" s="24"/>
    </row>
    <row r="1604">
      <c r="A1604" s="99">
        <v>1603.0</v>
      </c>
      <c r="B1604" s="15"/>
      <c r="C1604" s="15"/>
      <c r="D1604" s="105">
        <v>1.0</v>
      </c>
      <c r="E1604" s="102">
        <v>29.0</v>
      </c>
      <c r="F1604" s="107">
        <v>185.0</v>
      </c>
      <c r="G1604" s="15" t="str">
        <f t="shared" si="1"/>
        <v>29185</v>
      </c>
      <c r="H1604" s="23" t="s">
        <v>167</v>
      </c>
      <c r="I1604" s="23" t="s">
        <v>73</v>
      </c>
      <c r="J1604" s="23" t="s">
        <v>410</v>
      </c>
      <c r="K1604" s="23" t="str">
        <f t="shared" si="26"/>
        <v>St Clair, MO</v>
      </c>
      <c r="L1604" s="24"/>
    </row>
    <row r="1605">
      <c r="A1605" s="99">
        <v>1604.0</v>
      </c>
      <c r="B1605" s="15"/>
      <c r="C1605" s="15"/>
      <c r="D1605" s="105">
        <v>1.0</v>
      </c>
      <c r="E1605" s="102">
        <v>29.0</v>
      </c>
      <c r="F1605" s="107">
        <v>186.0</v>
      </c>
      <c r="G1605" s="15" t="str">
        <f t="shared" si="1"/>
        <v>29186</v>
      </c>
      <c r="H1605" s="23" t="s">
        <v>1423</v>
      </c>
      <c r="I1605" s="23" t="s">
        <v>73</v>
      </c>
      <c r="J1605" s="23" t="s">
        <v>410</v>
      </c>
      <c r="K1605" s="112" t="str">
        <f t="shared" si="26"/>
        <v>Ste Genevieve, MO</v>
      </c>
      <c r="L1605" s="24"/>
    </row>
    <row r="1606">
      <c r="A1606" s="99">
        <v>1605.0</v>
      </c>
      <c r="B1606" s="15"/>
      <c r="C1606" s="15"/>
      <c r="D1606" s="105">
        <v>1.0</v>
      </c>
      <c r="E1606" s="102">
        <v>29.0</v>
      </c>
      <c r="F1606" s="107">
        <v>187.0</v>
      </c>
      <c r="G1606" s="15" t="str">
        <f t="shared" si="1"/>
        <v>29187</v>
      </c>
      <c r="H1606" s="23" t="s">
        <v>1424</v>
      </c>
      <c r="I1606" s="23" t="s">
        <v>73</v>
      </c>
      <c r="J1606" s="23" t="s">
        <v>410</v>
      </c>
      <c r="K1606" s="23" t="str">
        <f t="shared" si="26"/>
        <v>St Francois, MO</v>
      </c>
      <c r="L1606" s="24"/>
    </row>
    <row r="1607">
      <c r="A1607" s="99">
        <v>1606.0</v>
      </c>
      <c r="B1607" s="15"/>
      <c r="C1607" s="15"/>
      <c r="D1607" s="105">
        <v>1.0</v>
      </c>
      <c r="E1607" s="102">
        <v>29.0</v>
      </c>
      <c r="F1607" s="107">
        <v>189.0</v>
      </c>
      <c r="G1607" s="15" t="str">
        <f t="shared" si="1"/>
        <v>29189</v>
      </c>
      <c r="H1607" s="23" t="s">
        <v>1343</v>
      </c>
      <c r="I1607" s="23" t="s">
        <v>73</v>
      </c>
      <c r="J1607" s="23" t="s">
        <v>410</v>
      </c>
      <c r="K1607" s="23" t="str">
        <f t="shared" si="26"/>
        <v>St Louis, MO</v>
      </c>
      <c r="L1607" s="24"/>
    </row>
    <row r="1608">
      <c r="A1608" s="99">
        <v>1607.0</v>
      </c>
      <c r="B1608" s="15"/>
      <c r="C1608" s="15"/>
      <c r="D1608" s="105">
        <v>1.0</v>
      </c>
      <c r="E1608" s="102">
        <v>29.0</v>
      </c>
      <c r="F1608" s="107">
        <v>195.0</v>
      </c>
      <c r="G1608" s="15" t="str">
        <f t="shared" si="1"/>
        <v>29195</v>
      </c>
      <c r="H1608" s="23" t="s">
        <v>308</v>
      </c>
      <c r="I1608" s="23" t="s">
        <v>73</v>
      </c>
      <c r="J1608" s="23" t="s">
        <v>410</v>
      </c>
      <c r="K1608" s="23" t="str">
        <f t="shared" si="26"/>
        <v>Saline, MO</v>
      </c>
      <c r="L1608" s="24"/>
    </row>
    <row r="1609">
      <c r="A1609" s="99">
        <v>1608.0</v>
      </c>
      <c r="B1609" s="15"/>
      <c r="C1609" s="15"/>
      <c r="D1609" s="105">
        <v>1.0</v>
      </c>
      <c r="E1609" s="102">
        <v>29.0</v>
      </c>
      <c r="F1609" s="107">
        <v>197.0</v>
      </c>
      <c r="G1609" s="15" t="str">
        <f t="shared" si="1"/>
        <v>29197</v>
      </c>
      <c r="H1609" s="23" t="s">
        <v>746</v>
      </c>
      <c r="I1609" s="23" t="s">
        <v>73</v>
      </c>
      <c r="J1609" s="23" t="s">
        <v>410</v>
      </c>
      <c r="K1609" s="23" t="str">
        <f t="shared" si="26"/>
        <v>Schuyler, MO</v>
      </c>
      <c r="L1609" s="24"/>
    </row>
    <row r="1610">
      <c r="A1610" s="99">
        <v>1609.0</v>
      </c>
      <c r="B1610" s="15"/>
      <c r="C1610" s="15"/>
      <c r="D1610" s="105">
        <v>1.0</v>
      </c>
      <c r="E1610" s="102">
        <v>29.0</v>
      </c>
      <c r="F1610" s="107">
        <v>199.0</v>
      </c>
      <c r="G1610" s="15" t="str">
        <f t="shared" si="1"/>
        <v>29199</v>
      </c>
      <c r="H1610" s="23" t="s">
        <v>1425</v>
      </c>
      <c r="I1610" s="23" t="s">
        <v>73</v>
      </c>
      <c r="J1610" s="23" t="s">
        <v>410</v>
      </c>
      <c r="K1610" s="23" t="str">
        <f t="shared" si="26"/>
        <v>Scotland, MO</v>
      </c>
      <c r="L1610" s="24"/>
    </row>
    <row r="1611">
      <c r="A1611" s="99">
        <v>1610.0</v>
      </c>
      <c r="B1611" s="15"/>
      <c r="C1611" s="15"/>
      <c r="D1611" s="105">
        <v>1.0</v>
      </c>
      <c r="E1611" s="102">
        <v>29.0</v>
      </c>
      <c r="F1611" s="107">
        <v>201.0</v>
      </c>
      <c r="G1611" s="15" t="str">
        <f t="shared" si="1"/>
        <v>29201</v>
      </c>
      <c r="H1611" s="23" t="s">
        <v>309</v>
      </c>
      <c r="I1611" s="23" t="s">
        <v>73</v>
      </c>
      <c r="J1611" s="23" t="s">
        <v>410</v>
      </c>
      <c r="K1611" s="23" t="str">
        <f t="shared" si="26"/>
        <v>Scott, MO</v>
      </c>
      <c r="L1611" s="24"/>
    </row>
    <row r="1612">
      <c r="A1612" s="99">
        <v>1611.0</v>
      </c>
      <c r="B1612" s="15"/>
      <c r="C1612" s="15"/>
      <c r="D1612" s="105">
        <v>1.0</v>
      </c>
      <c r="E1612" s="102">
        <v>29.0</v>
      </c>
      <c r="F1612" s="107">
        <v>203.0</v>
      </c>
      <c r="G1612" s="15" t="str">
        <f t="shared" si="1"/>
        <v>29203</v>
      </c>
      <c r="H1612" s="23" t="s">
        <v>1426</v>
      </c>
      <c r="I1612" s="23" t="s">
        <v>73</v>
      </c>
      <c r="J1612" s="23" t="s">
        <v>410</v>
      </c>
      <c r="K1612" s="23" t="str">
        <f t="shared" si="26"/>
        <v>Shannon, MO</v>
      </c>
      <c r="L1612" s="24"/>
    </row>
    <row r="1613">
      <c r="A1613" s="99">
        <v>1612.0</v>
      </c>
      <c r="B1613" s="15"/>
      <c r="C1613" s="15"/>
      <c r="D1613" s="105">
        <v>1.0</v>
      </c>
      <c r="E1613" s="102">
        <v>29.0</v>
      </c>
      <c r="F1613" s="107">
        <v>205.0</v>
      </c>
      <c r="G1613" s="15" t="str">
        <f t="shared" si="1"/>
        <v>29205</v>
      </c>
      <c r="H1613" s="23" t="s">
        <v>168</v>
      </c>
      <c r="I1613" s="23" t="s">
        <v>73</v>
      </c>
      <c r="J1613" s="23" t="s">
        <v>410</v>
      </c>
      <c r="K1613" s="23" t="str">
        <f t="shared" si="26"/>
        <v>Shelby, MO</v>
      </c>
      <c r="L1613" s="24"/>
    </row>
    <row r="1614">
      <c r="A1614" s="99">
        <v>1613.0</v>
      </c>
      <c r="B1614" s="15"/>
      <c r="C1614" s="15"/>
      <c r="D1614" s="105">
        <v>1.0</v>
      </c>
      <c r="E1614" s="102">
        <v>29.0</v>
      </c>
      <c r="F1614" s="107">
        <v>207.0</v>
      </c>
      <c r="G1614" s="15" t="str">
        <f t="shared" si="1"/>
        <v>29207</v>
      </c>
      <c r="H1614" s="23" t="s">
        <v>1427</v>
      </c>
      <c r="I1614" s="23" t="s">
        <v>73</v>
      </c>
      <c r="J1614" s="23" t="s">
        <v>410</v>
      </c>
      <c r="K1614" s="23" t="str">
        <f t="shared" si="26"/>
        <v>Stoddard, MO</v>
      </c>
      <c r="L1614" s="24"/>
    </row>
    <row r="1615">
      <c r="A1615" s="99">
        <v>1614.0</v>
      </c>
      <c r="B1615" s="15"/>
      <c r="C1615" s="15"/>
      <c r="D1615" s="105">
        <v>1.0</v>
      </c>
      <c r="E1615" s="102">
        <v>29.0</v>
      </c>
      <c r="F1615" s="107">
        <v>209.0</v>
      </c>
      <c r="G1615" s="15" t="str">
        <f t="shared" si="1"/>
        <v>29209</v>
      </c>
      <c r="H1615" s="23" t="s">
        <v>315</v>
      </c>
      <c r="I1615" s="23" t="s">
        <v>73</v>
      </c>
      <c r="J1615" s="23" t="s">
        <v>410</v>
      </c>
      <c r="K1615" s="23" t="str">
        <f t="shared" si="26"/>
        <v>Stone, MO</v>
      </c>
      <c r="L1615" s="24"/>
    </row>
    <row r="1616">
      <c r="A1616" s="99">
        <v>1615.0</v>
      </c>
      <c r="B1616" s="15"/>
      <c r="C1616" s="15"/>
      <c r="D1616" s="105">
        <v>1.0</v>
      </c>
      <c r="E1616" s="102">
        <v>29.0</v>
      </c>
      <c r="F1616" s="107">
        <v>211.0</v>
      </c>
      <c r="G1616" s="15" t="str">
        <f t="shared" si="1"/>
        <v>29211</v>
      </c>
      <c r="H1616" s="23" t="s">
        <v>860</v>
      </c>
      <c r="I1616" s="23" t="s">
        <v>73</v>
      </c>
      <c r="J1616" s="23" t="s">
        <v>410</v>
      </c>
      <c r="K1616" s="23" t="str">
        <f t="shared" si="26"/>
        <v>Sullivan, MO</v>
      </c>
      <c r="L1616" s="24"/>
    </row>
    <row r="1617">
      <c r="A1617" s="99">
        <v>1616.0</v>
      </c>
      <c r="B1617" s="15"/>
      <c r="C1617" s="15"/>
      <c r="D1617" s="105">
        <v>1.0</v>
      </c>
      <c r="E1617" s="102">
        <v>29.0</v>
      </c>
      <c r="F1617" s="107">
        <v>213.0</v>
      </c>
      <c r="G1617" s="15" t="str">
        <f t="shared" si="1"/>
        <v>29213</v>
      </c>
      <c r="H1617" s="23" t="s">
        <v>1428</v>
      </c>
      <c r="I1617" s="23" t="s">
        <v>73</v>
      </c>
      <c r="J1617" s="23" t="s">
        <v>410</v>
      </c>
      <c r="K1617" s="23" t="str">
        <f t="shared" si="26"/>
        <v>Taney, MO</v>
      </c>
      <c r="L1617" s="24"/>
    </row>
    <row r="1618">
      <c r="A1618" s="99">
        <v>1617.0</v>
      </c>
      <c r="B1618" s="15"/>
      <c r="C1618" s="15"/>
      <c r="D1618" s="105">
        <v>1.0</v>
      </c>
      <c r="E1618" s="102">
        <v>29.0</v>
      </c>
      <c r="F1618" s="107">
        <v>215.0</v>
      </c>
      <c r="G1618" s="15" t="str">
        <f t="shared" si="1"/>
        <v>29215</v>
      </c>
      <c r="H1618" s="23" t="s">
        <v>113</v>
      </c>
      <c r="I1618" s="23" t="s">
        <v>73</v>
      </c>
      <c r="J1618" s="23" t="s">
        <v>410</v>
      </c>
      <c r="K1618" s="23" t="str">
        <f t="shared" si="26"/>
        <v>Texas, MO</v>
      </c>
      <c r="L1618" s="24"/>
    </row>
    <row r="1619">
      <c r="A1619" s="99">
        <v>1618.0</v>
      </c>
      <c r="B1619" s="15"/>
      <c r="C1619" s="15"/>
      <c r="D1619" s="105">
        <v>1.0</v>
      </c>
      <c r="E1619" s="102">
        <v>29.0</v>
      </c>
      <c r="F1619" s="107">
        <v>217.0</v>
      </c>
      <c r="G1619" s="15" t="str">
        <f t="shared" si="1"/>
        <v>29217</v>
      </c>
      <c r="H1619" s="23" t="s">
        <v>1181</v>
      </c>
      <c r="I1619" s="23" t="s">
        <v>73</v>
      </c>
      <c r="J1619" s="23" t="s">
        <v>410</v>
      </c>
      <c r="K1619" s="23" t="str">
        <f t="shared" si="26"/>
        <v>Vernon, MO</v>
      </c>
      <c r="L1619" s="24"/>
    </row>
    <row r="1620">
      <c r="A1620" s="99">
        <v>1619.0</v>
      </c>
      <c r="B1620" s="15"/>
      <c r="C1620" s="15"/>
      <c r="D1620" s="105">
        <v>1.0</v>
      </c>
      <c r="E1620" s="102">
        <v>29.0</v>
      </c>
      <c r="F1620" s="107">
        <v>219.0</v>
      </c>
      <c r="G1620" s="15" t="str">
        <f t="shared" si="1"/>
        <v>29219</v>
      </c>
      <c r="H1620" s="23" t="s">
        <v>647</v>
      </c>
      <c r="I1620" s="23" t="s">
        <v>73</v>
      </c>
      <c r="J1620" s="23" t="s">
        <v>410</v>
      </c>
      <c r="K1620" s="23" t="str">
        <f t="shared" si="26"/>
        <v>Warren, MO</v>
      </c>
      <c r="L1620" s="24"/>
    </row>
    <row r="1621">
      <c r="A1621" s="99">
        <v>1620.0</v>
      </c>
      <c r="B1621" s="15"/>
      <c r="C1621" s="15"/>
      <c r="D1621" s="105">
        <v>1.0</v>
      </c>
      <c r="E1621" s="102">
        <v>29.0</v>
      </c>
      <c r="F1621" s="107">
        <v>221.0</v>
      </c>
      <c r="G1621" s="15" t="str">
        <f t="shared" si="1"/>
        <v>29221</v>
      </c>
      <c r="H1621" s="23" t="s">
        <v>119</v>
      </c>
      <c r="I1621" s="23" t="s">
        <v>73</v>
      </c>
      <c r="J1621" s="23" t="s">
        <v>410</v>
      </c>
      <c r="K1621" s="112" t="str">
        <f t="shared" si="26"/>
        <v>Washington, MO</v>
      </c>
      <c r="L1621" s="24"/>
    </row>
    <row r="1622">
      <c r="A1622" s="99">
        <v>1621.0</v>
      </c>
      <c r="B1622" s="15"/>
      <c r="C1622" s="15"/>
      <c r="D1622" s="105">
        <v>1.0</v>
      </c>
      <c r="E1622" s="102">
        <v>29.0</v>
      </c>
      <c r="F1622" s="107">
        <v>223.0</v>
      </c>
      <c r="G1622" s="15" t="str">
        <f t="shared" si="1"/>
        <v>29223</v>
      </c>
      <c r="H1622" s="23" t="s">
        <v>273</v>
      </c>
      <c r="I1622" s="23" t="s">
        <v>73</v>
      </c>
      <c r="J1622" s="23" t="s">
        <v>410</v>
      </c>
      <c r="K1622" s="23" t="str">
        <f t="shared" si="26"/>
        <v>Wayne, MO</v>
      </c>
      <c r="L1622" s="24"/>
    </row>
    <row r="1623">
      <c r="A1623" s="99">
        <v>1622.0</v>
      </c>
      <c r="B1623" s="15"/>
      <c r="C1623" s="15"/>
      <c r="D1623" s="105">
        <v>1.0</v>
      </c>
      <c r="E1623" s="102">
        <v>29.0</v>
      </c>
      <c r="F1623" s="107">
        <v>225.0</v>
      </c>
      <c r="G1623" s="15" t="str">
        <f t="shared" si="1"/>
        <v>29225</v>
      </c>
      <c r="H1623" s="23" t="s">
        <v>648</v>
      </c>
      <c r="I1623" s="23" t="s">
        <v>73</v>
      </c>
      <c r="J1623" s="23" t="s">
        <v>410</v>
      </c>
      <c r="K1623" s="23" t="str">
        <f t="shared" si="26"/>
        <v>Webster, MO</v>
      </c>
      <c r="L1623" s="24"/>
    </row>
    <row r="1624">
      <c r="A1624" s="99">
        <v>1623.0</v>
      </c>
      <c r="B1624" s="15"/>
      <c r="C1624" s="15"/>
      <c r="D1624" s="105">
        <v>1.0</v>
      </c>
      <c r="E1624" s="102">
        <v>29.0</v>
      </c>
      <c r="F1624" s="107">
        <v>227.0</v>
      </c>
      <c r="G1624" s="15" t="str">
        <f t="shared" si="1"/>
        <v>29227</v>
      </c>
      <c r="H1624" s="23" t="s">
        <v>655</v>
      </c>
      <c r="I1624" s="23" t="s">
        <v>73</v>
      </c>
      <c r="J1624" s="23" t="s">
        <v>410</v>
      </c>
      <c r="K1624" s="23" t="str">
        <f t="shared" si="26"/>
        <v>Worth, MO</v>
      </c>
      <c r="L1624" s="24"/>
    </row>
    <row r="1625">
      <c r="A1625" s="99">
        <v>1624.0</v>
      </c>
      <c r="B1625" s="15"/>
      <c r="C1625" s="15"/>
      <c r="D1625" s="105">
        <v>1.0</v>
      </c>
      <c r="E1625" s="102">
        <v>29.0</v>
      </c>
      <c r="F1625" s="107">
        <v>229.0</v>
      </c>
      <c r="G1625" s="15" t="str">
        <f t="shared" si="1"/>
        <v>29229</v>
      </c>
      <c r="H1625" s="23" t="s">
        <v>949</v>
      </c>
      <c r="I1625" s="23" t="s">
        <v>73</v>
      </c>
      <c r="J1625" s="23" t="s">
        <v>410</v>
      </c>
      <c r="K1625" s="23" t="str">
        <f t="shared" si="26"/>
        <v>Wright, MO</v>
      </c>
      <c r="L1625" s="24"/>
    </row>
    <row r="1626">
      <c r="A1626" s="99">
        <v>1625.0</v>
      </c>
      <c r="B1626" s="15"/>
      <c r="C1626" s="15"/>
      <c r="D1626" s="105">
        <v>1.0</v>
      </c>
      <c r="E1626" s="102">
        <v>29.0</v>
      </c>
      <c r="F1626" s="107">
        <v>510.0</v>
      </c>
      <c r="G1626" s="15" t="str">
        <f t="shared" si="1"/>
        <v>29510</v>
      </c>
      <c r="H1626" s="23" t="s">
        <v>1429</v>
      </c>
      <c r="I1626" s="23" t="s">
        <v>73</v>
      </c>
      <c r="J1626" s="23" t="s">
        <v>410</v>
      </c>
      <c r="K1626" s="112" t="str">
        <f t="shared" si="26"/>
        <v>St Louis City, MO</v>
      </c>
      <c r="L1626" s="24"/>
    </row>
    <row r="1627">
      <c r="A1627" s="28">
        <v>1626.0</v>
      </c>
      <c r="B1627" s="29"/>
      <c r="C1627" s="29" t="s">
        <v>25</v>
      </c>
      <c r="D1627" s="30"/>
      <c r="E1627" s="31">
        <v>30.0</v>
      </c>
      <c r="F1627" s="42">
        <v>0.0</v>
      </c>
      <c r="G1627" s="29" t="str">
        <f t="shared" si="1"/>
        <v>30000</v>
      </c>
      <c r="H1627" s="37"/>
      <c r="I1627" s="37" t="s">
        <v>76</v>
      </c>
      <c r="J1627" s="37" t="s">
        <v>1430</v>
      </c>
      <c r="K1627" s="37"/>
      <c r="L1627" s="24"/>
    </row>
    <row r="1628">
      <c r="A1628" s="28">
        <v>1627.0</v>
      </c>
      <c r="B1628" s="29"/>
      <c r="C1628" s="29"/>
      <c r="D1628" s="40">
        <v>1.0</v>
      </c>
      <c r="E1628" s="31">
        <v>30.0</v>
      </c>
      <c r="F1628" s="42">
        <v>1.0</v>
      </c>
      <c r="G1628" s="29" t="str">
        <f t="shared" si="1"/>
        <v>30001</v>
      </c>
      <c r="H1628" s="37" t="s">
        <v>1431</v>
      </c>
      <c r="I1628" s="37" t="s">
        <v>76</v>
      </c>
      <c r="J1628" s="37" t="s">
        <v>1430</v>
      </c>
      <c r="K1628" s="136" t="str">
        <f t="shared" ref="K1628:K1683" si="27">CONCATENATE(H1628,", ",J1628)</f>
        <v>Beaverhead, MT</v>
      </c>
      <c r="L1628" s="24"/>
    </row>
    <row r="1629">
      <c r="A1629" s="28">
        <v>1628.0</v>
      </c>
      <c r="B1629" s="29"/>
      <c r="C1629" s="29"/>
      <c r="D1629" s="40">
        <v>1.0</v>
      </c>
      <c r="E1629" s="31">
        <v>30.0</v>
      </c>
      <c r="F1629" s="42">
        <v>3.0</v>
      </c>
      <c r="G1629" s="29" t="str">
        <f t="shared" si="1"/>
        <v>30003</v>
      </c>
      <c r="H1629" s="37" t="s">
        <v>1432</v>
      </c>
      <c r="I1629" s="37" t="s">
        <v>76</v>
      </c>
      <c r="J1629" s="37" t="s">
        <v>1430</v>
      </c>
      <c r="K1629" s="37" t="str">
        <f t="shared" si="27"/>
        <v>Big Horn, MT</v>
      </c>
      <c r="L1629" s="24"/>
    </row>
    <row r="1630">
      <c r="A1630" s="28">
        <v>1629.0</v>
      </c>
      <c r="B1630" s="29"/>
      <c r="C1630" s="29"/>
      <c r="D1630" s="40">
        <v>1.0</v>
      </c>
      <c r="E1630" s="31">
        <v>30.0</v>
      </c>
      <c r="F1630" s="42">
        <v>5.0</v>
      </c>
      <c r="G1630" s="29" t="str">
        <f t="shared" si="1"/>
        <v>30005</v>
      </c>
      <c r="H1630" s="37" t="s">
        <v>666</v>
      </c>
      <c r="I1630" s="37" t="s">
        <v>76</v>
      </c>
      <c r="J1630" s="37" t="s">
        <v>1430</v>
      </c>
      <c r="K1630" s="37" t="str">
        <f t="shared" si="27"/>
        <v>Blaine, MT</v>
      </c>
      <c r="L1630" s="24"/>
    </row>
    <row r="1631">
      <c r="A1631" s="28">
        <v>1630.0</v>
      </c>
      <c r="B1631" s="29"/>
      <c r="C1631" s="29"/>
      <c r="D1631" s="40">
        <v>1.0</v>
      </c>
      <c r="E1631" s="31">
        <v>30.0</v>
      </c>
      <c r="F1631" s="42">
        <v>7.0</v>
      </c>
      <c r="G1631" s="29" t="str">
        <f t="shared" si="1"/>
        <v>30007</v>
      </c>
      <c r="H1631" s="37" t="s">
        <v>1433</v>
      </c>
      <c r="I1631" s="37" t="s">
        <v>76</v>
      </c>
      <c r="J1631" s="37" t="s">
        <v>1430</v>
      </c>
      <c r="K1631" s="37" t="str">
        <f t="shared" si="27"/>
        <v>Broadwater, MT</v>
      </c>
      <c r="L1631" s="24"/>
    </row>
    <row r="1632">
      <c r="A1632" s="28">
        <v>1631.0</v>
      </c>
      <c r="B1632" s="29"/>
      <c r="C1632" s="29"/>
      <c r="D1632" s="40">
        <v>1.0</v>
      </c>
      <c r="E1632" s="31">
        <v>30.0</v>
      </c>
      <c r="F1632" s="42">
        <v>9.0</v>
      </c>
      <c r="G1632" s="29" t="str">
        <f t="shared" si="1"/>
        <v>30009</v>
      </c>
      <c r="H1632" s="37" t="s">
        <v>1434</v>
      </c>
      <c r="I1632" s="37" t="s">
        <v>76</v>
      </c>
      <c r="J1632" s="37" t="s">
        <v>1430</v>
      </c>
      <c r="K1632" s="37" t="str">
        <f t="shared" si="27"/>
        <v>Carbon, MT</v>
      </c>
      <c r="L1632" s="24"/>
    </row>
    <row r="1633">
      <c r="A1633" s="28">
        <v>1632.0</v>
      </c>
      <c r="B1633" s="29"/>
      <c r="C1633" s="29"/>
      <c r="D1633" s="40">
        <v>1.0</v>
      </c>
      <c r="E1633" s="31">
        <v>30.0</v>
      </c>
      <c r="F1633" s="42">
        <v>11.0</v>
      </c>
      <c r="G1633" s="29" t="str">
        <f t="shared" si="1"/>
        <v>30011</v>
      </c>
      <c r="H1633" s="37" t="s">
        <v>1038</v>
      </c>
      <c r="I1633" s="37" t="s">
        <v>76</v>
      </c>
      <c r="J1633" s="37" t="s">
        <v>1430</v>
      </c>
      <c r="K1633" s="37" t="str">
        <f t="shared" si="27"/>
        <v>Carter, MT</v>
      </c>
      <c r="L1633" s="24"/>
    </row>
    <row r="1634">
      <c r="A1634" s="28">
        <v>1633.0</v>
      </c>
      <c r="B1634" s="29"/>
      <c r="C1634" s="29"/>
      <c r="D1634" s="40">
        <v>1.0</v>
      </c>
      <c r="E1634" s="31">
        <v>30.0</v>
      </c>
      <c r="F1634" s="42">
        <v>13.0</v>
      </c>
      <c r="G1634" s="29" t="str">
        <f t="shared" si="1"/>
        <v>30013</v>
      </c>
      <c r="H1634" s="37" t="s">
        <v>1435</v>
      </c>
      <c r="I1634" s="37" t="s">
        <v>76</v>
      </c>
      <c r="J1634" s="37" t="s">
        <v>1430</v>
      </c>
      <c r="K1634" s="37" t="str">
        <f t="shared" si="27"/>
        <v>Cascade, MT</v>
      </c>
      <c r="L1634" s="24"/>
    </row>
    <row r="1635">
      <c r="A1635" s="28">
        <v>1634.0</v>
      </c>
      <c r="B1635" s="29"/>
      <c r="C1635" s="29"/>
      <c r="D1635" s="40">
        <v>1.0</v>
      </c>
      <c r="E1635" s="31">
        <v>30.0</v>
      </c>
      <c r="F1635" s="42">
        <v>15.0</v>
      </c>
      <c r="G1635" s="29" t="str">
        <f t="shared" si="1"/>
        <v>30015</v>
      </c>
      <c r="H1635" s="37" t="s">
        <v>1436</v>
      </c>
      <c r="I1635" s="37" t="s">
        <v>76</v>
      </c>
      <c r="J1635" s="37" t="s">
        <v>1430</v>
      </c>
      <c r="K1635" s="37" t="str">
        <f t="shared" si="27"/>
        <v>Chouteau, MT</v>
      </c>
      <c r="L1635" s="24"/>
    </row>
    <row r="1636">
      <c r="A1636" s="28">
        <v>1635.0</v>
      </c>
      <c r="B1636" s="29"/>
      <c r="C1636" s="29"/>
      <c r="D1636" s="40">
        <v>1.0</v>
      </c>
      <c r="E1636" s="31">
        <v>30.0</v>
      </c>
      <c r="F1636" s="42">
        <v>17.0</v>
      </c>
      <c r="G1636" s="29" t="str">
        <f t="shared" si="1"/>
        <v>30017</v>
      </c>
      <c r="H1636" s="37" t="s">
        <v>406</v>
      </c>
      <c r="I1636" s="37" t="s">
        <v>76</v>
      </c>
      <c r="J1636" s="37" t="s">
        <v>1430</v>
      </c>
      <c r="K1636" s="37" t="str">
        <f t="shared" si="27"/>
        <v>Custer, MT</v>
      </c>
      <c r="L1636" s="24"/>
    </row>
    <row r="1637">
      <c r="A1637" s="28">
        <v>1636.0</v>
      </c>
      <c r="B1637" s="29"/>
      <c r="C1637" s="29"/>
      <c r="D1637" s="40">
        <v>1.0</v>
      </c>
      <c r="E1637" s="31">
        <v>30.0</v>
      </c>
      <c r="F1637" s="42">
        <v>19.0</v>
      </c>
      <c r="G1637" s="29" t="str">
        <f t="shared" si="1"/>
        <v>30019</v>
      </c>
      <c r="H1637" s="37" t="s">
        <v>1437</v>
      </c>
      <c r="I1637" s="37" t="s">
        <v>76</v>
      </c>
      <c r="J1637" s="37" t="s">
        <v>1430</v>
      </c>
      <c r="K1637" s="37" t="str">
        <f t="shared" si="27"/>
        <v>Daniels, MT</v>
      </c>
      <c r="L1637" s="24"/>
    </row>
    <row r="1638">
      <c r="A1638" s="28">
        <v>1637.0</v>
      </c>
      <c r="B1638" s="29"/>
      <c r="C1638" s="29"/>
      <c r="D1638" s="40">
        <v>1.0</v>
      </c>
      <c r="E1638" s="31">
        <v>30.0</v>
      </c>
      <c r="F1638" s="42">
        <v>21.0</v>
      </c>
      <c r="G1638" s="29" t="str">
        <f t="shared" si="1"/>
        <v>30021</v>
      </c>
      <c r="H1638" s="37" t="s">
        <v>562</v>
      </c>
      <c r="I1638" s="37" t="s">
        <v>76</v>
      </c>
      <c r="J1638" s="37" t="s">
        <v>1430</v>
      </c>
      <c r="K1638" s="37" t="str">
        <f t="shared" si="27"/>
        <v>Dawson, MT</v>
      </c>
      <c r="L1638" s="24"/>
    </row>
    <row r="1639">
      <c r="A1639" s="28">
        <v>1638.0</v>
      </c>
      <c r="B1639" s="29"/>
      <c r="C1639" s="29"/>
      <c r="D1639" s="40">
        <v>1.0</v>
      </c>
      <c r="E1639" s="31">
        <v>30.0</v>
      </c>
      <c r="F1639" s="42">
        <v>23.0</v>
      </c>
      <c r="G1639" s="29" t="str">
        <f t="shared" si="1"/>
        <v>30023</v>
      </c>
      <c r="H1639" s="37" t="s">
        <v>1438</v>
      </c>
      <c r="I1639" s="37" t="s">
        <v>76</v>
      </c>
      <c r="J1639" s="37" t="s">
        <v>1430</v>
      </c>
      <c r="K1639" s="37" t="str">
        <f t="shared" si="27"/>
        <v>Deer Lodge, MT</v>
      </c>
      <c r="L1639" s="24"/>
    </row>
    <row r="1640">
      <c r="A1640" s="28">
        <v>1639.0</v>
      </c>
      <c r="B1640" s="29"/>
      <c r="C1640" s="29"/>
      <c r="D1640" s="40">
        <v>1.0</v>
      </c>
      <c r="E1640" s="31">
        <v>30.0</v>
      </c>
      <c r="F1640" s="42">
        <v>25.0</v>
      </c>
      <c r="G1640" s="29" t="str">
        <f t="shared" si="1"/>
        <v>30025</v>
      </c>
      <c r="H1640" s="37" t="s">
        <v>1439</v>
      </c>
      <c r="I1640" s="37" t="s">
        <v>76</v>
      </c>
      <c r="J1640" s="37" t="s">
        <v>1430</v>
      </c>
      <c r="K1640" s="37" t="str">
        <f t="shared" si="27"/>
        <v>Fallon, MT</v>
      </c>
      <c r="L1640" s="24"/>
    </row>
    <row r="1641">
      <c r="A1641" s="28">
        <v>1640.0</v>
      </c>
      <c r="B1641" s="29"/>
      <c r="C1641" s="29"/>
      <c r="D1641" s="40">
        <v>1.0</v>
      </c>
      <c r="E1641" s="31">
        <v>30.0</v>
      </c>
      <c r="F1641" s="42">
        <v>27.0</v>
      </c>
      <c r="G1641" s="29" t="str">
        <f t="shared" si="1"/>
        <v>30027</v>
      </c>
      <c r="H1641" s="37" t="s">
        <v>1440</v>
      </c>
      <c r="I1641" s="37" t="s">
        <v>76</v>
      </c>
      <c r="J1641" s="37" t="s">
        <v>1430</v>
      </c>
      <c r="K1641" s="37" t="str">
        <f t="shared" si="27"/>
        <v>Fergus, MT</v>
      </c>
      <c r="L1641" s="24"/>
    </row>
    <row r="1642">
      <c r="A1642" s="28">
        <v>1641.0</v>
      </c>
      <c r="B1642" s="29"/>
      <c r="C1642" s="29"/>
      <c r="D1642" s="40">
        <v>1.0</v>
      </c>
      <c r="E1642" s="31">
        <v>30.0</v>
      </c>
      <c r="F1642" s="42">
        <v>29.0</v>
      </c>
      <c r="G1642" s="29" t="str">
        <f t="shared" si="1"/>
        <v>30029</v>
      </c>
      <c r="H1642" s="37" t="s">
        <v>1441</v>
      </c>
      <c r="I1642" s="37" t="s">
        <v>76</v>
      </c>
      <c r="J1642" s="37" t="s">
        <v>1430</v>
      </c>
      <c r="K1642" s="37" t="str">
        <f t="shared" si="27"/>
        <v>Flathead, MT</v>
      </c>
      <c r="L1642" s="24"/>
    </row>
    <row r="1643">
      <c r="A1643" s="28">
        <v>1642.0</v>
      </c>
      <c r="B1643" s="29"/>
      <c r="C1643" s="29"/>
      <c r="D1643" s="40">
        <v>1.0</v>
      </c>
      <c r="E1643" s="31">
        <v>30.0</v>
      </c>
      <c r="F1643" s="42">
        <v>31.0</v>
      </c>
      <c r="G1643" s="29" t="str">
        <f t="shared" si="1"/>
        <v>30031</v>
      </c>
      <c r="H1643" s="37" t="s">
        <v>719</v>
      </c>
      <c r="I1643" s="37" t="s">
        <v>76</v>
      </c>
      <c r="J1643" s="37" t="s">
        <v>1430</v>
      </c>
      <c r="K1643" s="37" t="str">
        <f t="shared" si="27"/>
        <v>Gallatin, MT</v>
      </c>
      <c r="L1643" s="24"/>
    </row>
    <row r="1644">
      <c r="A1644" s="28">
        <v>1643.0</v>
      </c>
      <c r="B1644" s="29"/>
      <c r="C1644" s="29"/>
      <c r="D1644" s="40">
        <v>1.0</v>
      </c>
      <c r="E1644" s="31">
        <v>30.0</v>
      </c>
      <c r="F1644" s="42">
        <v>33.0</v>
      </c>
      <c r="G1644" s="29" t="str">
        <f t="shared" si="1"/>
        <v>30033</v>
      </c>
      <c r="H1644" s="37" t="s">
        <v>417</v>
      </c>
      <c r="I1644" s="37" t="s">
        <v>76</v>
      </c>
      <c r="J1644" s="37" t="s">
        <v>1430</v>
      </c>
      <c r="K1644" s="37" t="str">
        <f t="shared" si="27"/>
        <v>Garfield, MT</v>
      </c>
      <c r="L1644" s="24"/>
    </row>
    <row r="1645">
      <c r="A1645" s="28">
        <v>1644.0</v>
      </c>
      <c r="B1645" s="29"/>
      <c r="C1645" s="29"/>
      <c r="D1645" s="40">
        <v>1.0</v>
      </c>
      <c r="E1645" s="31">
        <v>30.0</v>
      </c>
      <c r="F1645" s="42">
        <v>35.0</v>
      </c>
      <c r="G1645" s="29" t="str">
        <f t="shared" si="1"/>
        <v>30035</v>
      </c>
      <c r="H1645" s="37" t="s">
        <v>1442</v>
      </c>
      <c r="I1645" s="37" t="s">
        <v>76</v>
      </c>
      <c r="J1645" s="37" t="s">
        <v>1430</v>
      </c>
      <c r="K1645" s="37" t="str">
        <f t="shared" si="27"/>
        <v>Glacier, MT</v>
      </c>
      <c r="L1645" s="24"/>
    </row>
    <row r="1646">
      <c r="A1646" s="28">
        <v>1645.0</v>
      </c>
      <c r="B1646" s="29"/>
      <c r="C1646" s="29"/>
      <c r="D1646" s="40">
        <v>1.0</v>
      </c>
      <c r="E1646" s="31">
        <v>30.0</v>
      </c>
      <c r="F1646" s="42">
        <v>37.0</v>
      </c>
      <c r="G1646" s="29" t="str">
        <f t="shared" si="1"/>
        <v>30037</v>
      </c>
      <c r="H1646" s="37" t="s">
        <v>1443</v>
      </c>
      <c r="I1646" s="37" t="s">
        <v>76</v>
      </c>
      <c r="J1646" s="37" t="s">
        <v>1430</v>
      </c>
      <c r="K1646" s="136" t="str">
        <f t="shared" si="27"/>
        <v>Golden Valley, MT</v>
      </c>
      <c r="L1646" s="24"/>
    </row>
    <row r="1647">
      <c r="A1647" s="28">
        <v>1646.0</v>
      </c>
      <c r="B1647" s="29"/>
      <c r="C1647" s="29"/>
      <c r="D1647" s="40">
        <v>1.0</v>
      </c>
      <c r="E1647" s="31">
        <v>30.0</v>
      </c>
      <c r="F1647" s="42">
        <v>39.0</v>
      </c>
      <c r="G1647" s="29" t="str">
        <f t="shared" si="1"/>
        <v>30039</v>
      </c>
      <c r="H1647" s="37" t="s">
        <v>1444</v>
      </c>
      <c r="I1647" s="37" t="s">
        <v>76</v>
      </c>
      <c r="J1647" s="37" t="s">
        <v>1430</v>
      </c>
      <c r="K1647" s="37" t="str">
        <f t="shared" si="27"/>
        <v>Granite, MT</v>
      </c>
      <c r="L1647" s="24"/>
    </row>
    <row r="1648">
      <c r="A1648" s="28">
        <v>1647.0</v>
      </c>
      <c r="B1648" s="29"/>
      <c r="C1648" s="29"/>
      <c r="D1648" s="40">
        <v>1.0</v>
      </c>
      <c r="E1648" s="31">
        <v>30.0</v>
      </c>
      <c r="F1648" s="42">
        <v>41.0</v>
      </c>
      <c r="G1648" s="29" t="str">
        <f t="shared" si="1"/>
        <v>30041</v>
      </c>
      <c r="H1648" s="37" t="s">
        <v>1445</v>
      </c>
      <c r="I1648" s="37" t="s">
        <v>76</v>
      </c>
      <c r="J1648" s="37" t="s">
        <v>1430</v>
      </c>
      <c r="K1648" s="37" t="str">
        <f t="shared" si="27"/>
        <v>Hill, MT</v>
      </c>
      <c r="L1648" s="24"/>
    </row>
    <row r="1649">
      <c r="A1649" s="28">
        <v>1648.0</v>
      </c>
      <c r="B1649" s="29"/>
      <c r="C1649" s="29"/>
      <c r="D1649" s="40">
        <v>1.0</v>
      </c>
      <c r="E1649" s="31">
        <v>30.0</v>
      </c>
      <c r="F1649" s="42">
        <v>43.0</v>
      </c>
      <c r="G1649" s="29" t="str">
        <f t="shared" si="1"/>
        <v>30043</v>
      </c>
      <c r="H1649" s="37" t="s">
        <v>143</v>
      </c>
      <c r="I1649" s="37" t="s">
        <v>76</v>
      </c>
      <c r="J1649" s="37" t="s">
        <v>1430</v>
      </c>
      <c r="K1649" s="37" t="str">
        <f t="shared" si="27"/>
        <v>Jefferson, MT</v>
      </c>
      <c r="L1649" s="24"/>
    </row>
    <row r="1650">
      <c r="A1650" s="28">
        <v>1649.0</v>
      </c>
      <c r="B1650" s="29"/>
      <c r="C1650" s="29"/>
      <c r="D1650" s="40">
        <v>1.0</v>
      </c>
      <c r="E1650" s="31">
        <v>30.0</v>
      </c>
      <c r="F1650" s="42">
        <v>45.0</v>
      </c>
      <c r="G1650" s="29" t="str">
        <f t="shared" si="1"/>
        <v>30045</v>
      </c>
      <c r="H1650" s="37" t="s">
        <v>1446</v>
      </c>
      <c r="I1650" s="37" t="s">
        <v>76</v>
      </c>
      <c r="J1650" s="37" t="s">
        <v>1430</v>
      </c>
      <c r="K1650" s="136" t="str">
        <f t="shared" si="27"/>
        <v>Judith Basin, MT</v>
      </c>
      <c r="L1650" s="24"/>
    </row>
    <row r="1651">
      <c r="A1651" s="28">
        <v>1650.0</v>
      </c>
      <c r="B1651" s="29"/>
      <c r="C1651" s="29"/>
      <c r="D1651" s="40">
        <v>1.0</v>
      </c>
      <c r="E1651" s="31">
        <v>30.0</v>
      </c>
      <c r="F1651" s="42">
        <v>47.0</v>
      </c>
      <c r="G1651" s="29" t="str">
        <f t="shared" si="1"/>
        <v>30047</v>
      </c>
      <c r="H1651" s="37" t="s">
        <v>337</v>
      </c>
      <c r="I1651" s="37" t="s">
        <v>76</v>
      </c>
      <c r="J1651" s="37" t="s">
        <v>1430</v>
      </c>
      <c r="K1651" s="37" t="str">
        <f t="shared" si="27"/>
        <v>Lake, MT</v>
      </c>
      <c r="L1651" s="24"/>
    </row>
    <row r="1652">
      <c r="A1652" s="28">
        <v>1651.0</v>
      </c>
      <c r="B1652" s="29"/>
      <c r="C1652" s="29"/>
      <c r="D1652" s="40">
        <v>1.0</v>
      </c>
      <c r="E1652" s="31">
        <v>30.0</v>
      </c>
      <c r="F1652" s="42">
        <v>49.0</v>
      </c>
      <c r="G1652" s="29" t="str">
        <f t="shared" si="1"/>
        <v>30049</v>
      </c>
      <c r="H1652" s="37" t="s">
        <v>1447</v>
      </c>
      <c r="I1652" s="37" t="s">
        <v>76</v>
      </c>
      <c r="J1652" s="37" t="s">
        <v>1430</v>
      </c>
      <c r="K1652" s="136" t="str">
        <f t="shared" si="27"/>
        <v>Lewis and Clark, MT</v>
      </c>
      <c r="L1652" s="24"/>
    </row>
    <row r="1653">
      <c r="A1653" s="28">
        <v>1652.0</v>
      </c>
      <c r="B1653" s="29"/>
      <c r="C1653" s="29"/>
      <c r="D1653" s="40">
        <v>1.0</v>
      </c>
      <c r="E1653" s="31">
        <v>30.0</v>
      </c>
      <c r="F1653" s="42">
        <v>51.0</v>
      </c>
      <c r="G1653" s="29" t="str">
        <f t="shared" si="1"/>
        <v>30051</v>
      </c>
      <c r="H1653" s="37" t="s">
        <v>508</v>
      </c>
      <c r="I1653" s="37" t="s">
        <v>76</v>
      </c>
      <c r="J1653" s="37" t="s">
        <v>1430</v>
      </c>
      <c r="K1653" s="37" t="str">
        <f t="shared" si="27"/>
        <v>Liberty, MT</v>
      </c>
      <c r="L1653" s="24"/>
    </row>
    <row r="1654">
      <c r="A1654" s="28">
        <v>1653.0</v>
      </c>
      <c r="B1654" s="29"/>
      <c r="C1654" s="29"/>
      <c r="D1654" s="40">
        <v>1.0</v>
      </c>
      <c r="E1654" s="31">
        <v>30.0</v>
      </c>
      <c r="F1654" s="42">
        <v>53.0</v>
      </c>
      <c r="G1654" s="29" t="str">
        <f t="shared" si="1"/>
        <v>30053</v>
      </c>
      <c r="H1654" s="37" t="s">
        <v>290</v>
      </c>
      <c r="I1654" s="37" t="s">
        <v>76</v>
      </c>
      <c r="J1654" s="37" t="s">
        <v>1430</v>
      </c>
      <c r="K1654" s="37" t="str">
        <f t="shared" si="27"/>
        <v>Lincoln, MT</v>
      </c>
      <c r="L1654" s="24"/>
    </row>
    <row r="1655">
      <c r="A1655" s="28">
        <v>1654.0</v>
      </c>
      <c r="B1655" s="29"/>
      <c r="C1655" s="29"/>
      <c r="D1655" s="40">
        <v>1.0</v>
      </c>
      <c r="E1655" s="31">
        <v>30.0</v>
      </c>
      <c r="F1655" s="42">
        <v>55.0</v>
      </c>
      <c r="G1655" s="29" t="str">
        <f t="shared" si="1"/>
        <v>30055</v>
      </c>
      <c r="H1655" s="37" t="s">
        <v>1448</v>
      </c>
      <c r="I1655" s="37" t="s">
        <v>76</v>
      </c>
      <c r="J1655" s="37" t="s">
        <v>1430</v>
      </c>
      <c r="K1655" s="37" t="str">
        <f t="shared" si="27"/>
        <v>McCone, MT</v>
      </c>
      <c r="L1655" s="24"/>
    </row>
    <row r="1656">
      <c r="A1656" s="28">
        <v>1655.0</v>
      </c>
      <c r="B1656" s="29"/>
      <c r="C1656" s="29"/>
      <c r="D1656" s="40">
        <v>1.0</v>
      </c>
      <c r="E1656" s="31">
        <v>30.0</v>
      </c>
      <c r="F1656" s="42">
        <v>57.0</v>
      </c>
      <c r="G1656" s="29" t="str">
        <f t="shared" si="1"/>
        <v>30057</v>
      </c>
      <c r="H1656" s="37" t="s">
        <v>151</v>
      </c>
      <c r="I1656" s="37" t="s">
        <v>76</v>
      </c>
      <c r="J1656" s="37" t="s">
        <v>1430</v>
      </c>
      <c r="K1656" s="37" t="str">
        <f t="shared" si="27"/>
        <v>Madison, MT</v>
      </c>
      <c r="L1656" s="24"/>
    </row>
    <row r="1657">
      <c r="A1657" s="28">
        <v>1656.0</v>
      </c>
      <c r="B1657" s="29"/>
      <c r="C1657" s="29"/>
      <c r="D1657" s="40">
        <v>1.0</v>
      </c>
      <c r="E1657" s="31">
        <v>30.0</v>
      </c>
      <c r="F1657" s="42">
        <v>59.0</v>
      </c>
      <c r="G1657" s="29" t="str">
        <f t="shared" si="1"/>
        <v>30059</v>
      </c>
      <c r="H1657" s="37" t="s">
        <v>1449</v>
      </c>
      <c r="I1657" s="37" t="s">
        <v>76</v>
      </c>
      <c r="J1657" s="37" t="s">
        <v>1430</v>
      </c>
      <c r="K1657" s="37" t="str">
        <f t="shared" si="27"/>
        <v>Meagher, MT</v>
      </c>
      <c r="L1657" s="24"/>
    </row>
    <row r="1658">
      <c r="A1658" s="28">
        <v>1657.0</v>
      </c>
      <c r="B1658" s="29"/>
      <c r="C1658" s="29"/>
      <c r="D1658" s="40">
        <v>1.0</v>
      </c>
      <c r="E1658" s="31">
        <v>30.0</v>
      </c>
      <c r="F1658" s="42">
        <v>61.0</v>
      </c>
      <c r="G1658" s="29" t="str">
        <f t="shared" si="1"/>
        <v>30061</v>
      </c>
      <c r="H1658" s="37" t="s">
        <v>435</v>
      </c>
      <c r="I1658" s="37" t="s">
        <v>76</v>
      </c>
      <c r="J1658" s="37" t="s">
        <v>1430</v>
      </c>
      <c r="K1658" s="37" t="str">
        <f t="shared" si="27"/>
        <v>Mineral, MT</v>
      </c>
      <c r="L1658" s="24"/>
    </row>
    <row r="1659">
      <c r="A1659" s="28">
        <v>1658.0</v>
      </c>
      <c r="B1659" s="29"/>
      <c r="C1659" s="29"/>
      <c r="D1659" s="40">
        <v>1.0</v>
      </c>
      <c r="E1659" s="31">
        <v>30.0</v>
      </c>
      <c r="F1659" s="42">
        <v>63.0</v>
      </c>
      <c r="G1659" s="29" t="str">
        <f t="shared" si="1"/>
        <v>30063</v>
      </c>
      <c r="H1659" s="37" t="s">
        <v>1450</v>
      </c>
      <c r="I1659" s="37" t="s">
        <v>76</v>
      </c>
      <c r="J1659" s="37" t="s">
        <v>1430</v>
      </c>
      <c r="K1659" s="37" t="str">
        <f t="shared" si="27"/>
        <v>Missoula, MT</v>
      </c>
      <c r="L1659" s="24"/>
    </row>
    <row r="1660">
      <c r="A1660" s="28">
        <v>1659.0</v>
      </c>
      <c r="B1660" s="29"/>
      <c r="C1660" s="29"/>
      <c r="D1660" s="40">
        <v>1.0</v>
      </c>
      <c r="E1660" s="31">
        <v>30.0</v>
      </c>
      <c r="F1660" s="42">
        <v>65.0</v>
      </c>
      <c r="G1660" s="29" t="str">
        <f t="shared" si="1"/>
        <v>30065</v>
      </c>
      <c r="H1660" s="37" t="s">
        <v>1451</v>
      </c>
      <c r="I1660" s="37" t="s">
        <v>76</v>
      </c>
      <c r="J1660" s="37" t="s">
        <v>1430</v>
      </c>
      <c r="K1660" s="37" t="str">
        <f t="shared" si="27"/>
        <v>Musselshell, MT</v>
      </c>
      <c r="L1660" s="24"/>
    </row>
    <row r="1661">
      <c r="A1661" s="28">
        <v>1660.0</v>
      </c>
      <c r="B1661" s="29"/>
      <c r="C1661" s="29"/>
      <c r="D1661" s="40">
        <v>1.0</v>
      </c>
      <c r="E1661" s="31">
        <v>30.0</v>
      </c>
      <c r="F1661" s="42">
        <v>67.0</v>
      </c>
      <c r="G1661" s="29" t="str">
        <f t="shared" si="1"/>
        <v>30067</v>
      </c>
      <c r="H1661" s="37" t="s">
        <v>445</v>
      </c>
      <c r="I1661" s="37" t="s">
        <v>76</v>
      </c>
      <c r="J1661" s="37" t="s">
        <v>1430</v>
      </c>
      <c r="K1661" s="37" t="str">
        <f t="shared" si="27"/>
        <v>Park, MT</v>
      </c>
      <c r="L1661" s="24"/>
    </row>
    <row r="1662">
      <c r="A1662" s="28">
        <v>1661.0</v>
      </c>
      <c r="B1662" s="29"/>
      <c r="C1662" s="29"/>
      <c r="D1662" s="40">
        <v>1.0</v>
      </c>
      <c r="E1662" s="31">
        <v>30.0</v>
      </c>
      <c r="F1662" s="42">
        <v>69.0</v>
      </c>
      <c r="G1662" s="29" t="str">
        <f t="shared" si="1"/>
        <v>30069</v>
      </c>
      <c r="H1662" s="37" t="s">
        <v>1452</v>
      </c>
      <c r="I1662" s="37" t="s">
        <v>76</v>
      </c>
      <c r="J1662" s="37" t="s">
        <v>1430</v>
      </c>
      <c r="K1662" s="37" t="str">
        <f t="shared" si="27"/>
        <v>Petroleum, MT</v>
      </c>
      <c r="L1662" s="24"/>
    </row>
    <row r="1663">
      <c r="A1663" s="28">
        <v>1662.0</v>
      </c>
      <c r="B1663" s="29"/>
      <c r="C1663" s="29"/>
      <c r="D1663" s="40">
        <v>1.0</v>
      </c>
      <c r="E1663" s="31">
        <v>30.0</v>
      </c>
      <c r="F1663" s="42">
        <v>71.0</v>
      </c>
      <c r="G1663" s="29" t="str">
        <f t="shared" si="1"/>
        <v>30071</v>
      </c>
      <c r="H1663" s="37" t="s">
        <v>300</v>
      </c>
      <c r="I1663" s="37" t="s">
        <v>76</v>
      </c>
      <c r="J1663" s="37" t="s">
        <v>1430</v>
      </c>
      <c r="K1663" s="37" t="str">
        <f t="shared" si="27"/>
        <v>Phillips, MT</v>
      </c>
      <c r="L1663" s="24"/>
    </row>
    <row r="1664">
      <c r="A1664" s="28">
        <v>1663.0</v>
      </c>
      <c r="B1664" s="29"/>
      <c r="C1664" s="29"/>
      <c r="D1664" s="40">
        <v>1.0</v>
      </c>
      <c r="E1664" s="31">
        <v>30.0</v>
      </c>
      <c r="F1664" s="42">
        <v>73.0</v>
      </c>
      <c r="G1664" s="29" t="str">
        <f t="shared" si="1"/>
        <v>30073</v>
      </c>
      <c r="H1664" s="37" t="s">
        <v>1453</v>
      </c>
      <c r="I1664" s="37" t="s">
        <v>76</v>
      </c>
      <c r="J1664" s="37" t="s">
        <v>1430</v>
      </c>
      <c r="K1664" s="37" t="str">
        <f t="shared" si="27"/>
        <v>Pondera, MT</v>
      </c>
      <c r="L1664" s="24"/>
    </row>
    <row r="1665">
      <c r="A1665" s="28">
        <v>1664.0</v>
      </c>
      <c r="B1665" s="29"/>
      <c r="C1665" s="29"/>
      <c r="D1665" s="40">
        <v>1.0</v>
      </c>
      <c r="E1665" s="31">
        <v>30.0</v>
      </c>
      <c r="F1665" s="42">
        <v>75.0</v>
      </c>
      <c r="G1665" s="29" t="str">
        <f t="shared" si="1"/>
        <v>30075</v>
      </c>
      <c r="H1665" s="37" t="s">
        <v>1454</v>
      </c>
      <c r="I1665" s="37" t="s">
        <v>76</v>
      </c>
      <c r="J1665" s="37" t="s">
        <v>1430</v>
      </c>
      <c r="K1665" s="136" t="str">
        <f t="shared" si="27"/>
        <v>Powder River, MT</v>
      </c>
      <c r="L1665" s="24"/>
    </row>
    <row r="1666">
      <c r="A1666" s="28">
        <v>1665.0</v>
      </c>
      <c r="B1666" s="29"/>
      <c r="C1666" s="29"/>
      <c r="D1666" s="40">
        <v>1.0</v>
      </c>
      <c r="E1666" s="31">
        <v>30.0</v>
      </c>
      <c r="F1666" s="42">
        <v>77.0</v>
      </c>
      <c r="G1666" s="29" t="str">
        <f t="shared" si="1"/>
        <v>30077</v>
      </c>
      <c r="H1666" s="37" t="s">
        <v>1130</v>
      </c>
      <c r="I1666" s="37" t="s">
        <v>76</v>
      </c>
      <c r="J1666" s="37" t="s">
        <v>1430</v>
      </c>
      <c r="K1666" s="37" t="str">
        <f t="shared" si="27"/>
        <v>Powell, MT</v>
      </c>
      <c r="L1666" s="24"/>
    </row>
    <row r="1667">
      <c r="A1667" s="28">
        <v>1666.0</v>
      </c>
      <c r="B1667" s="29"/>
      <c r="C1667" s="29"/>
      <c r="D1667" s="40">
        <v>1.0</v>
      </c>
      <c r="E1667" s="31">
        <v>30.0</v>
      </c>
      <c r="F1667" s="42">
        <v>79.0</v>
      </c>
      <c r="G1667" s="29" t="str">
        <f t="shared" si="1"/>
        <v>30079</v>
      </c>
      <c r="H1667" s="37" t="s">
        <v>304</v>
      </c>
      <c r="I1667" s="37" t="s">
        <v>76</v>
      </c>
      <c r="J1667" s="37" t="s">
        <v>1430</v>
      </c>
      <c r="K1667" s="37" t="str">
        <f t="shared" si="27"/>
        <v>Prairie, MT</v>
      </c>
      <c r="L1667" s="24"/>
    </row>
    <row r="1668">
      <c r="A1668" s="28">
        <v>1667.0</v>
      </c>
      <c r="B1668" s="29"/>
      <c r="C1668" s="29"/>
      <c r="D1668" s="40">
        <v>1.0</v>
      </c>
      <c r="E1668" s="31">
        <v>30.0</v>
      </c>
      <c r="F1668" s="42">
        <v>81.0</v>
      </c>
      <c r="G1668" s="29" t="str">
        <f t="shared" si="1"/>
        <v>30081</v>
      </c>
      <c r="H1668" s="37" t="s">
        <v>1455</v>
      </c>
      <c r="I1668" s="37" t="s">
        <v>76</v>
      </c>
      <c r="J1668" s="37" t="s">
        <v>1430</v>
      </c>
      <c r="K1668" s="37" t="str">
        <f t="shared" si="27"/>
        <v>Ravalli, MT</v>
      </c>
      <c r="L1668" s="24"/>
    </row>
    <row r="1669">
      <c r="A1669" s="28">
        <v>1668.0</v>
      </c>
      <c r="B1669" s="29"/>
      <c r="C1669" s="29"/>
      <c r="D1669" s="40">
        <v>1.0</v>
      </c>
      <c r="E1669" s="31">
        <v>30.0</v>
      </c>
      <c r="F1669" s="42">
        <v>83.0</v>
      </c>
      <c r="G1669" s="29" t="str">
        <f t="shared" si="1"/>
        <v>30083</v>
      </c>
      <c r="H1669" s="37" t="s">
        <v>743</v>
      </c>
      <c r="I1669" s="37" t="s">
        <v>76</v>
      </c>
      <c r="J1669" s="37" t="s">
        <v>1430</v>
      </c>
      <c r="K1669" s="37" t="str">
        <f t="shared" si="27"/>
        <v>Richland, MT</v>
      </c>
      <c r="L1669" s="24"/>
    </row>
    <row r="1670">
      <c r="A1670" s="28">
        <v>1669.0</v>
      </c>
      <c r="B1670" s="29"/>
      <c r="C1670" s="29"/>
      <c r="D1670" s="40">
        <v>1.0</v>
      </c>
      <c r="E1670" s="31">
        <v>30.0</v>
      </c>
      <c r="F1670" s="42">
        <v>85.0</v>
      </c>
      <c r="G1670" s="29" t="str">
        <f t="shared" si="1"/>
        <v>30085</v>
      </c>
      <c r="H1670" s="37" t="s">
        <v>1456</v>
      </c>
      <c r="I1670" s="37" t="s">
        <v>76</v>
      </c>
      <c r="J1670" s="37" t="s">
        <v>1430</v>
      </c>
      <c r="K1670" s="37" t="str">
        <f t="shared" si="27"/>
        <v>Roosevelt, MT</v>
      </c>
      <c r="L1670" s="24"/>
    </row>
    <row r="1671">
      <c r="A1671" s="28">
        <v>1670.0</v>
      </c>
      <c r="B1671" s="29"/>
      <c r="C1671" s="29"/>
      <c r="D1671" s="40">
        <v>1.0</v>
      </c>
      <c r="E1671" s="31">
        <v>30.0</v>
      </c>
      <c r="F1671" s="42">
        <v>87.0</v>
      </c>
      <c r="G1671" s="29" t="str">
        <f t="shared" si="1"/>
        <v>30087</v>
      </c>
      <c r="H1671" s="37" t="s">
        <v>1457</v>
      </c>
      <c r="I1671" s="37" t="s">
        <v>76</v>
      </c>
      <c r="J1671" s="37" t="s">
        <v>1430</v>
      </c>
      <c r="K1671" s="37" t="str">
        <f t="shared" si="27"/>
        <v>Rosebud, MT</v>
      </c>
      <c r="L1671" s="24"/>
    </row>
    <row r="1672">
      <c r="A1672" s="28">
        <v>1671.0</v>
      </c>
      <c r="B1672" s="29"/>
      <c r="C1672" s="29"/>
      <c r="D1672" s="40">
        <v>1.0</v>
      </c>
      <c r="E1672" s="31">
        <v>30.0</v>
      </c>
      <c r="F1672" s="42">
        <v>89.0</v>
      </c>
      <c r="G1672" s="29" t="str">
        <f t="shared" si="1"/>
        <v>30089</v>
      </c>
      <c r="H1672" s="37" t="s">
        <v>1458</v>
      </c>
      <c r="I1672" s="37" t="s">
        <v>76</v>
      </c>
      <c r="J1672" s="37" t="s">
        <v>1430</v>
      </c>
      <c r="K1672" s="37" t="str">
        <f t="shared" si="27"/>
        <v>Sanders, MT</v>
      </c>
      <c r="L1672" s="24"/>
    </row>
    <row r="1673">
      <c r="A1673" s="28">
        <v>1672.0</v>
      </c>
      <c r="B1673" s="29"/>
      <c r="C1673" s="29"/>
      <c r="D1673" s="40">
        <v>1.0</v>
      </c>
      <c r="E1673" s="31">
        <v>30.0</v>
      </c>
      <c r="F1673" s="42">
        <v>91.0</v>
      </c>
      <c r="G1673" s="29" t="str">
        <f t="shared" si="1"/>
        <v>30091</v>
      </c>
      <c r="H1673" s="37" t="s">
        <v>1010</v>
      </c>
      <c r="I1673" s="37" t="s">
        <v>76</v>
      </c>
      <c r="J1673" s="37" t="s">
        <v>1430</v>
      </c>
      <c r="K1673" s="37" t="str">
        <f t="shared" si="27"/>
        <v>Sheridan, MT</v>
      </c>
      <c r="L1673" s="24"/>
    </row>
    <row r="1674">
      <c r="A1674" s="28">
        <v>1673.0</v>
      </c>
      <c r="B1674" s="29"/>
      <c r="C1674" s="29"/>
      <c r="D1674" s="40">
        <v>1.0</v>
      </c>
      <c r="E1674" s="31">
        <v>30.0</v>
      </c>
      <c r="F1674" s="42">
        <v>93.0</v>
      </c>
      <c r="G1674" s="29" t="str">
        <f t="shared" si="1"/>
        <v>30093</v>
      </c>
      <c r="H1674" s="37" t="s">
        <v>1459</v>
      </c>
      <c r="I1674" s="37" t="s">
        <v>76</v>
      </c>
      <c r="J1674" s="37" t="s">
        <v>1430</v>
      </c>
      <c r="K1674" s="37" t="str">
        <f t="shared" si="27"/>
        <v>Silver Bow, MT</v>
      </c>
      <c r="L1674" s="24"/>
    </row>
    <row r="1675">
      <c r="A1675" s="28">
        <v>1674.0</v>
      </c>
      <c r="B1675" s="29"/>
      <c r="C1675" s="29"/>
      <c r="D1675" s="40">
        <v>1.0</v>
      </c>
      <c r="E1675" s="31">
        <v>30.0</v>
      </c>
      <c r="F1675" s="42">
        <v>95.0</v>
      </c>
      <c r="G1675" s="29" t="str">
        <f t="shared" si="1"/>
        <v>30095</v>
      </c>
      <c r="H1675" s="37" t="s">
        <v>1460</v>
      </c>
      <c r="I1675" s="37" t="s">
        <v>76</v>
      </c>
      <c r="J1675" s="37" t="s">
        <v>1430</v>
      </c>
      <c r="K1675" s="37" t="str">
        <f t="shared" si="27"/>
        <v>Stillwater, MT</v>
      </c>
      <c r="L1675" s="24"/>
    </row>
    <row r="1676">
      <c r="A1676" s="28">
        <v>1675.0</v>
      </c>
      <c r="B1676" s="29"/>
      <c r="C1676" s="29"/>
      <c r="D1676" s="40">
        <v>1.0</v>
      </c>
      <c r="E1676" s="31">
        <v>30.0</v>
      </c>
      <c r="F1676" s="42">
        <v>97.0</v>
      </c>
      <c r="G1676" s="29" t="str">
        <f t="shared" si="1"/>
        <v>30097</v>
      </c>
      <c r="H1676" s="37" t="s">
        <v>1461</v>
      </c>
      <c r="I1676" s="37" t="s">
        <v>76</v>
      </c>
      <c r="J1676" s="37" t="s">
        <v>1430</v>
      </c>
      <c r="K1676" s="136" t="str">
        <f t="shared" si="27"/>
        <v>Sweet Grass, MT</v>
      </c>
      <c r="L1676" s="24"/>
    </row>
    <row r="1677">
      <c r="A1677" s="28">
        <v>1676.0</v>
      </c>
      <c r="B1677" s="29"/>
      <c r="C1677" s="29"/>
      <c r="D1677" s="40">
        <v>1.0</v>
      </c>
      <c r="E1677" s="31">
        <v>30.0</v>
      </c>
      <c r="F1677" s="42">
        <v>99.0</v>
      </c>
      <c r="G1677" s="29" t="str">
        <f t="shared" si="1"/>
        <v>30099</v>
      </c>
      <c r="H1677" s="37" t="s">
        <v>690</v>
      </c>
      <c r="I1677" s="37" t="s">
        <v>76</v>
      </c>
      <c r="J1677" s="37" t="s">
        <v>1430</v>
      </c>
      <c r="K1677" s="37" t="str">
        <f t="shared" si="27"/>
        <v>Teton, MT</v>
      </c>
      <c r="L1677" s="24"/>
    </row>
    <row r="1678">
      <c r="A1678" s="28">
        <v>1677.0</v>
      </c>
      <c r="B1678" s="29"/>
      <c r="C1678" s="29"/>
      <c r="D1678" s="40">
        <v>1.0</v>
      </c>
      <c r="E1678" s="31">
        <v>30.0</v>
      </c>
      <c r="F1678" s="42">
        <v>101.0</v>
      </c>
      <c r="G1678" s="29" t="str">
        <f t="shared" si="1"/>
        <v>30101</v>
      </c>
      <c r="H1678" s="37" t="s">
        <v>1462</v>
      </c>
      <c r="I1678" s="37" t="s">
        <v>76</v>
      </c>
      <c r="J1678" s="37" t="s">
        <v>1430</v>
      </c>
      <c r="K1678" s="37" t="str">
        <f t="shared" si="27"/>
        <v>Toole, MT</v>
      </c>
      <c r="L1678" s="24"/>
    </row>
    <row r="1679">
      <c r="A1679" s="28">
        <v>1678.0</v>
      </c>
      <c r="B1679" s="29"/>
      <c r="C1679" s="29"/>
      <c r="D1679" s="40">
        <v>1.0</v>
      </c>
      <c r="E1679" s="31">
        <v>30.0</v>
      </c>
      <c r="F1679" s="42">
        <v>103.0</v>
      </c>
      <c r="G1679" s="29" t="str">
        <f t="shared" si="1"/>
        <v>30103</v>
      </c>
      <c r="H1679" s="37" t="s">
        <v>1463</v>
      </c>
      <c r="I1679" s="37" t="s">
        <v>76</v>
      </c>
      <c r="J1679" s="37" t="s">
        <v>1430</v>
      </c>
      <c r="K1679" s="37" t="str">
        <f t="shared" si="27"/>
        <v>Treasure, MT</v>
      </c>
      <c r="L1679" s="24"/>
    </row>
    <row r="1680">
      <c r="A1680" s="28">
        <v>1679.0</v>
      </c>
      <c r="B1680" s="29"/>
      <c r="C1680" s="29"/>
      <c r="D1680" s="40">
        <v>1.0</v>
      </c>
      <c r="E1680" s="31">
        <v>30.0</v>
      </c>
      <c r="F1680" s="42">
        <v>105.0</v>
      </c>
      <c r="G1680" s="29" t="str">
        <f t="shared" si="1"/>
        <v>30105</v>
      </c>
      <c r="H1680" s="37" t="s">
        <v>692</v>
      </c>
      <c r="I1680" s="37" t="s">
        <v>76</v>
      </c>
      <c r="J1680" s="37" t="s">
        <v>1430</v>
      </c>
      <c r="K1680" s="37" t="str">
        <f t="shared" si="27"/>
        <v>Valley, MT</v>
      </c>
      <c r="L1680" s="24"/>
    </row>
    <row r="1681">
      <c r="A1681" s="28">
        <v>1680.0</v>
      </c>
      <c r="B1681" s="29"/>
      <c r="C1681" s="29"/>
      <c r="D1681" s="40">
        <v>1.0</v>
      </c>
      <c r="E1681" s="31">
        <v>30.0</v>
      </c>
      <c r="F1681" s="42">
        <v>107.0</v>
      </c>
      <c r="G1681" s="29" t="str">
        <f t="shared" si="1"/>
        <v>30107</v>
      </c>
      <c r="H1681" s="37" t="s">
        <v>1464</v>
      </c>
      <c r="I1681" s="37" t="s">
        <v>76</v>
      </c>
      <c r="J1681" s="37" t="s">
        <v>1430</v>
      </c>
      <c r="K1681" s="37" t="str">
        <f t="shared" si="27"/>
        <v>Wheatland, MT</v>
      </c>
      <c r="L1681" s="24"/>
    </row>
    <row r="1682">
      <c r="A1682" s="28">
        <v>1681.0</v>
      </c>
      <c r="B1682" s="29"/>
      <c r="C1682" s="29"/>
      <c r="D1682" s="40">
        <v>1.0</v>
      </c>
      <c r="E1682" s="31">
        <v>30.0</v>
      </c>
      <c r="F1682" s="42">
        <v>109.0</v>
      </c>
      <c r="G1682" s="29" t="str">
        <f t="shared" si="1"/>
        <v>30109</v>
      </c>
      <c r="H1682" s="37" t="s">
        <v>1465</v>
      </c>
      <c r="I1682" s="37" t="s">
        <v>76</v>
      </c>
      <c r="J1682" s="37" t="s">
        <v>1430</v>
      </c>
      <c r="K1682" s="37" t="str">
        <f t="shared" si="27"/>
        <v>Wibaux, MT</v>
      </c>
      <c r="L1682" s="24"/>
    </row>
    <row r="1683">
      <c r="A1683" s="28">
        <v>1682.0</v>
      </c>
      <c r="B1683" s="29"/>
      <c r="C1683" s="29"/>
      <c r="D1683" s="40">
        <v>1.0</v>
      </c>
      <c r="E1683" s="31">
        <v>30.0</v>
      </c>
      <c r="F1683" s="42">
        <v>111.0</v>
      </c>
      <c r="G1683" s="29" t="str">
        <f t="shared" si="1"/>
        <v>30111</v>
      </c>
      <c r="H1683" s="37" t="s">
        <v>1466</v>
      </c>
      <c r="I1683" s="37" t="s">
        <v>76</v>
      </c>
      <c r="J1683" s="37" t="s">
        <v>1430</v>
      </c>
      <c r="K1683" s="37" t="str">
        <f t="shared" si="27"/>
        <v>Yellowstone, MT</v>
      </c>
      <c r="L1683" s="24"/>
    </row>
    <row r="1684">
      <c r="A1684" s="99">
        <v>1683.0</v>
      </c>
      <c r="B1684" s="15"/>
      <c r="C1684" s="14" t="s">
        <v>25</v>
      </c>
      <c r="D1684" s="16"/>
      <c r="E1684" s="102">
        <v>31.0</v>
      </c>
      <c r="F1684" s="107">
        <v>0.0</v>
      </c>
      <c r="G1684" s="15" t="str">
        <f t="shared" si="1"/>
        <v>31000</v>
      </c>
      <c r="H1684" s="23"/>
      <c r="I1684" s="23" t="s">
        <v>79</v>
      </c>
      <c r="J1684" s="23" t="s">
        <v>624</v>
      </c>
      <c r="K1684" s="23"/>
      <c r="L1684" s="24"/>
    </row>
    <row r="1685">
      <c r="A1685" s="99">
        <v>1684.0</v>
      </c>
      <c r="B1685" s="15"/>
      <c r="C1685" s="15"/>
      <c r="D1685" s="105">
        <v>1.0</v>
      </c>
      <c r="E1685" s="102">
        <v>31.0</v>
      </c>
      <c r="F1685" s="107">
        <v>1.0</v>
      </c>
      <c r="G1685" s="15" t="str">
        <f t="shared" si="1"/>
        <v>31001</v>
      </c>
      <c r="H1685" s="23" t="s">
        <v>386</v>
      </c>
      <c r="I1685" s="23" t="s">
        <v>79</v>
      </c>
      <c r="J1685" s="23" t="s">
        <v>624</v>
      </c>
      <c r="K1685" s="23" t="str">
        <f t="shared" ref="K1685:K1777" si="28">CONCATENATE(H1685,", ",J1685)</f>
        <v>Adams, NE</v>
      </c>
      <c r="L1685" s="24"/>
    </row>
    <row r="1686">
      <c r="A1686" s="99">
        <v>1685.0</v>
      </c>
      <c r="B1686" s="15"/>
      <c r="C1686" s="15"/>
      <c r="D1686" s="105">
        <v>1.0</v>
      </c>
      <c r="E1686" s="102">
        <v>31.0</v>
      </c>
      <c r="F1686" s="107">
        <v>3.0</v>
      </c>
      <c r="G1686" s="15" t="str">
        <f t="shared" si="1"/>
        <v>31003</v>
      </c>
      <c r="H1686" s="23" t="s">
        <v>1467</v>
      </c>
      <c r="I1686" s="23" t="s">
        <v>79</v>
      </c>
      <c r="J1686" s="23" t="s">
        <v>624</v>
      </c>
      <c r="K1686" s="23" t="str">
        <f t="shared" si="28"/>
        <v>Antelope, NE</v>
      </c>
      <c r="L1686" s="24"/>
    </row>
    <row r="1687">
      <c r="A1687" s="99">
        <v>1686.0</v>
      </c>
      <c r="B1687" s="15"/>
      <c r="C1687" s="15"/>
      <c r="D1687" s="105">
        <v>1.0</v>
      </c>
      <c r="E1687" s="102">
        <v>31.0</v>
      </c>
      <c r="F1687" s="107">
        <v>5.0</v>
      </c>
      <c r="G1687" s="15" t="str">
        <f t="shared" si="1"/>
        <v>31005</v>
      </c>
      <c r="H1687" s="23" t="s">
        <v>1468</v>
      </c>
      <c r="I1687" s="23" t="s">
        <v>79</v>
      </c>
      <c r="J1687" s="23" t="s">
        <v>624</v>
      </c>
      <c r="K1687" s="23" t="str">
        <f t="shared" si="28"/>
        <v>Arthur, NE</v>
      </c>
      <c r="L1687" s="24"/>
    </row>
    <row r="1688">
      <c r="A1688" s="99">
        <v>1687.0</v>
      </c>
      <c r="B1688" s="15"/>
      <c r="C1688" s="15"/>
      <c r="D1688" s="105">
        <v>1.0</v>
      </c>
      <c r="E1688" s="102">
        <v>31.0</v>
      </c>
      <c r="F1688" s="107">
        <v>7.0</v>
      </c>
      <c r="G1688" s="15" t="str">
        <f t="shared" si="1"/>
        <v>31007</v>
      </c>
      <c r="H1688" s="23" t="s">
        <v>1469</v>
      </c>
      <c r="I1688" s="23" t="s">
        <v>79</v>
      </c>
      <c r="J1688" s="23" t="s">
        <v>624</v>
      </c>
      <c r="K1688" s="23" t="str">
        <f t="shared" si="28"/>
        <v>Banner, NE</v>
      </c>
      <c r="L1688" s="24"/>
    </row>
    <row r="1689">
      <c r="A1689" s="99">
        <v>1688.0</v>
      </c>
      <c r="B1689" s="15"/>
      <c r="C1689" s="15"/>
      <c r="D1689" s="105">
        <v>1.0</v>
      </c>
      <c r="E1689" s="102">
        <v>31.0</v>
      </c>
      <c r="F1689" s="107">
        <v>9.0</v>
      </c>
      <c r="G1689" s="15" t="str">
        <f t="shared" si="1"/>
        <v>31009</v>
      </c>
      <c r="H1689" s="23" t="s">
        <v>666</v>
      </c>
      <c r="I1689" s="23" t="s">
        <v>79</v>
      </c>
      <c r="J1689" s="23" t="s">
        <v>624</v>
      </c>
      <c r="K1689" s="23" t="str">
        <f t="shared" si="28"/>
        <v>Blaine, NE</v>
      </c>
      <c r="L1689" s="24"/>
    </row>
    <row r="1690">
      <c r="A1690" s="99">
        <v>1689.0</v>
      </c>
      <c r="B1690" s="15"/>
      <c r="C1690" s="15"/>
      <c r="D1690" s="105">
        <v>1.0</v>
      </c>
      <c r="E1690" s="102">
        <v>31.0</v>
      </c>
      <c r="F1690" s="107">
        <v>11.0</v>
      </c>
      <c r="G1690" s="15" t="str">
        <f t="shared" si="1"/>
        <v>31011</v>
      </c>
      <c r="H1690" s="23" t="s">
        <v>246</v>
      </c>
      <c r="I1690" s="23" t="s">
        <v>79</v>
      </c>
      <c r="J1690" s="23" t="s">
        <v>624</v>
      </c>
      <c r="K1690" s="23" t="str">
        <f t="shared" si="28"/>
        <v>Boone, NE</v>
      </c>
      <c r="L1690" s="24"/>
    </row>
    <row r="1691">
      <c r="A1691" s="99">
        <v>1690.0</v>
      </c>
      <c r="B1691" s="15"/>
      <c r="C1691" s="15"/>
      <c r="D1691" s="105">
        <v>1.0</v>
      </c>
      <c r="E1691" s="102">
        <v>31.0</v>
      </c>
      <c r="F1691" s="107">
        <v>13.0</v>
      </c>
      <c r="G1691" s="15" t="str">
        <f t="shared" si="1"/>
        <v>31013</v>
      </c>
      <c r="H1691" s="23" t="s">
        <v>1470</v>
      </c>
      <c r="I1691" s="23" t="s">
        <v>79</v>
      </c>
      <c r="J1691" s="23" t="s">
        <v>624</v>
      </c>
      <c r="K1691" s="23" t="str">
        <f t="shared" si="28"/>
        <v>Box Butte, NE</v>
      </c>
      <c r="L1691" s="24"/>
    </row>
    <row r="1692">
      <c r="A1692" s="99">
        <v>1691.0</v>
      </c>
      <c r="B1692" s="15"/>
      <c r="C1692" s="15"/>
      <c r="D1692" s="105">
        <v>1.0</v>
      </c>
      <c r="E1692" s="102">
        <v>31.0</v>
      </c>
      <c r="F1692" s="107">
        <v>15.0</v>
      </c>
      <c r="G1692" s="15" t="str">
        <f t="shared" si="1"/>
        <v>31015</v>
      </c>
      <c r="H1692" s="23" t="s">
        <v>1028</v>
      </c>
      <c r="I1692" s="23" t="s">
        <v>79</v>
      </c>
      <c r="J1692" s="23" t="s">
        <v>624</v>
      </c>
      <c r="K1692" s="23" t="str">
        <f t="shared" si="28"/>
        <v>Boyd, NE</v>
      </c>
      <c r="L1692" s="24"/>
    </row>
    <row r="1693">
      <c r="A1693" s="99">
        <v>1692.0</v>
      </c>
      <c r="B1693" s="15"/>
      <c r="C1693" s="15"/>
      <c r="D1693" s="105">
        <v>1.0</v>
      </c>
      <c r="E1693" s="102">
        <v>31.0</v>
      </c>
      <c r="F1693" s="107">
        <v>17.0</v>
      </c>
      <c r="G1693" s="15" t="str">
        <f t="shared" si="1"/>
        <v>31017</v>
      </c>
      <c r="H1693" s="23" t="s">
        <v>706</v>
      </c>
      <c r="I1693" s="23" t="s">
        <v>79</v>
      </c>
      <c r="J1693" s="23" t="s">
        <v>624</v>
      </c>
      <c r="K1693" s="23" t="str">
        <f t="shared" si="28"/>
        <v>Brown, NE</v>
      </c>
      <c r="L1693" s="24"/>
    </row>
    <row r="1694">
      <c r="A1694" s="99">
        <v>1693.0</v>
      </c>
      <c r="B1694" s="15"/>
      <c r="C1694" s="15"/>
      <c r="D1694" s="105">
        <v>1.0</v>
      </c>
      <c r="E1694" s="102">
        <v>31.0</v>
      </c>
      <c r="F1694" s="107">
        <v>19.0</v>
      </c>
      <c r="G1694" s="15" t="str">
        <f t="shared" si="1"/>
        <v>31019</v>
      </c>
      <c r="H1694" s="23" t="s">
        <v>1471</v>
      </c>
      <c r="I1694" s="23" t="s">
        <v>79</v>
      </c>
      <c r="J1694" s="23" t="s">
        <v>624</v>
      </c>
      <c r="K1694" s="23" t="str">
        <f t="shared" si="28"/>
        <v>Buffalo, NE</v>
      </c>
      <c r="L1694" s="24"/>
    </row>
    <row r="1695">
      <c r="A1695" s="99">
        <v>1694.0</v>
      </c>
      <c r="B1695" s="15"/>
      <c r="C1695" s="15"/>
      <c r="D1695" s="105">
        <v>1.0</v>
      </c>
      <c r="E1695" s="102">
        <v>31.0</v>
      </c>
      <c r="F1695" s="107">
        <v>21.0</v>
      </c>
      <c r="G1695" s="15" t="str">
        <f t="shared" si="1"/>
        <v>31021</v>
      </c>
      <c r="H1695" s="23" t="s">
        <v>1472</v>
      </c>
      <c r="I1695" s="23" t="s">
        <v>79</v>
      </c>
      <c r="J1695" s="23" t="s">
        <v>624</v>
      </c>
      <c r="K1695" s="23" t="str">
        <f t="shared" si="28"/>
        <v>Burt, NE</v>
      </c>
      <c r="L1695" s="24"/>
    </row>
    <row r="1696">
      <c r="A1696" s="99">
        <v>1695.0</v>
      </c>
      <c r="B1696" s="15"/>
      <c r="C1696" s="15"/>
      <c r="D1696" s="105">
        <v>1.0</v>
      </c>
      <c r="E1696" s="102">
        <v>31.0</v>
      </c>
      <c r="F1696" s="107">
        <v>23.0</v>
      </c>
      <c r="G1696" s="15" t="str">
        <f t="shared" si="1"/>
        <v>31023</v>
      </c>
      <c r="H1696" s="23" t="s">
        <v>87</v>
      </c>
      <c r="I1696" s="23" t="s">
        <v>79</v>
      </c>
      <c r="J1696" s="23" t="s">
        <v>624</v>
      </c>
      <c r="K1696" s="23" t="str">
        <f t="shared" si="28"/>
        <v>Butler, NE</v>
      </c>
      <c r="L1696" s="24"/>
    </row>
    <row r="1697">
      <c r="A1697" s="99">
        <v>1696.0</v>
      </c>
      <c r="B1697" s="15"/>
      <c r="C1697" s="15"/>
      <c r="D1697" s="105">
        <v>1.0</v>
      </c>
      <c r="E1697" s="102">
        <v>31.0</v>
      </c>
      <c r="F1697" s="107">
        <v>25.0</v>
      </c>
      <c r="G1697" s="15" t="str">
        <f t="shared" si="1"/>
        <v>31025</v>
      </c>
      <c r="H1697" s="23" t="s">
        <v>708</v>
      </c>
      <c r="I1697" s="23" t="s">
        <v>79</v>
      </c>
      <c r="J1697" s="23" t="s">
        <v>624</v>
      </c>
      <c r="K1697" s="23" t="str">
        <f t="shared" si="28"/>
        <v>Cass, NE</v>
      </c>
      <c r="L1697" s="24"/>
    </row>
    <row r="1698">
      <c r="A1698" s="99">
        <v>1697.0</v>
      </c>
      <c r="B1698" s="15"/>
      <c r="C1698" s="15"/>
      <c r="D1698" s="105">
        <v>1.0</v>
      </c>
      <c r="E1698" s="102">
        <v>31.0</v>
      </c>
      <c r="F1698" s="107">
        <v>27.0</v>
      </c>
      <c r="G1698" s="15" t="str">
        <f t="shared" si="1"/>
        <v>31027</v>
      </c>
      <c r="H1698" s="23" t="s">
        <v>894</v>
      </c>
      <c r="I1698" s="23" t="s">
        <v>79</v>
      </c>
      <c r="J1698" s="23" t="s">
        <v>624</v>
      </c>
      <c r="K1698" s="23" t="str">
        <f t="shared" si="28"/>
        <v>Cedar, NE</v>
      </c>
      <c r="L1698" s="24"/>
    </row>
    <row r="1699">
      <c r="A1699" s="99">
        <v>1698.0</v>
      </c>
      <c r="B1699" s="15"/>
      <c r="C1699" s="15"/>
      <c r="D1699" s="105">
        <v>1.0</v>
      </c>
      <c r="E1699" s="102">
        <v>31.0</v>
      </c>
      <c r="F1699" s="107">
        <v>29.0</v>
      </c>
      <c r="G1699" s="15" t="str">
        <f t="shared" si="1"/>
        <v>31029</v>
      </c>
      <c r="H1699" s="23" t="s">
        <v>960</v>
      </c>
      <c r="I1699" s="23" t="s">
        <v>79</v>
      </c>
      <c r="J1699" s="23" t="s">
        <v>624</v>
      </c>
      <c r="K1699" s="23" t="str">
        <f t="shared" si="28"/>
        <v>Chase, NE</v>
      </c>
      <c r="L1699" s="24"/>
    </row>
    <row r="1700">
      <c r="A1700" s="99">
        <v>1699.0</v>
      </c>
      <c r="B1700" s="15"/>
      <c r="C1700" s="15"/>
      <c r="D1700" s="105">
        <v>1.0</v>
      </c>
      <c r="E1700" s="102">
        <v>31.0</v>
      </c>
      <c r="F1700" s="107">
        <v>31.0</v>
      </c>
      <c r="G1700" s="15" t="str">
        <f t="shared" si="1"/>
        <v>31031</v>
      </c>
      <c r="H1700" s="23" t="s">
        <v>1473</v>
      </c>
      <c r="I1700" s="23" t="s">
        <v>79</v>
      </c>
      <c r="J1700" s="23" t="s">
        <v>624</v>
      </c>
      <c r="K1700" s="23" t="str">
        <f t="shared" si="28"/>
        <v>Cherry, NE</v>
      </c>
      <c r="L1700" s="24"/>
    </row>
    <row r="1701">
      <c r="A1701" s="99">
        <v>1700.0</v>
      </c>
      <c r="B1701" s="15"/>
      <c r="C1701" s="15"/>
      <c r="D1701" s="105">
        <v>1.0</v>
      </c>
      <c r="E1701" s="102">
        <v>31.0</v>
      </c>
      <c r="F1701" s="107">
        <v>33.0</v>
      </c>
      <c r="G1701" s="15" t="str">
        <f t="shared" si="1"/>
        <v>31033</v>
      </c>
      <c r="H1701" s="23" t="s">
        <v>399</v>
      </c>
      <c r="I1701" s="23" t="s">
        <v>79</v>
      </c>
      <c r="J1701" s="23" t="s">
        <v>624</v>
      </c>
      <c r="K1701" s="23" t="str">
        <f t="shared" si="28"/>
        <v>Cheyenne, NE</v>
      </c>
      <c r="L1701" s="24"/>
    </row>
    <row r="1702">
      <c r="A1702" s="99">
        <v>1701.0</v>
      </c>
      <c r="B1702" s="15"/>
      <c r="C1702" s="15"/>
      <c r="D1702" s="105">
        <v>1.0</v>
      </c>
      <c r="E1702" s="102">
        <v>31.0</v>
      </c>
      <c r="F1702" s="107">
        <v>35.0</v>
      </c>
      <c r="G1702" s="15" t="str">
        <f t="shared" si="1"/>
        <v>31035</v>
      </c>
      <c r="H1702" s="23" t="s">
        <v>112</v>
      </c>
      <c r="I1702" s="23" t="s">
        <v>79</v>
      </c>
      <c r="J1702" s="23" t="s">
        <v>624</v>
      </c>
      <c r="K1702" s="23" t="str">
        <f t="shared" si="28"/>
        <v>Clay, NE</v>
      </c>
      <c r="L1702" s="24"/>
    </row>
    <row r="1703">
      <c r="A1703" s="99">
        <v>1702.0</v>
      </c>
      <c r="B1703" s="15"/>
      <c r="C1703" s="15"/>
      <c r="D1703" s="105">
        <v>1.0</v>
      </c>
      <c r="E1703" s="102">
        <v>31.0</v>
      </c>
      <c r="F1703" s="107">
        <v>37.0</v>
      </c>
      <c r="G1703" s="15" t="str">
        <f t="shared" si="1"/>
        <v>31037</v>
      </c>
      <c r="H1703" s="23" t="s">
        <v>1474</v>
      </c>
      <c r="I1703" s="23" t="s">
        <v>79</v>
      </c>
      <c r="J1703" s="23" t="s">
        <v>624</v>
      </c>
      <c r="K1703" s="23" t="str">
        <f t="shared" si="28"/>
        <v>Colfax, NE</v>
      </c>
      <c r="L1703" s="24"/>
    </row>
    <row r="1704">
      <c r="A1704" s="99">
        <v>1703.0</v>
      </c>
      <c r="B1704" s="15"/>
      <c r="C1704" s="15"/>
      <c r="D1704" s="105">
        <v>1.0</v>
      </c>
      <c r="E1704" s="102">
        <v>31.0</v>
      </c>
      <c r="F1704" s="107">
        <v>39.0</v>
      </c>
      <c r="G1704" s="15" t="str">
        <f t="shared" si="1"/>
        <v>31039</v>
      </c>
      <c r="H1704" s="23" t="s">
        <v>1475</v>
      </c>
      <c r="I1704" s="23" t="s">
        <v>79</v>
      </c>
      <c r="J1704" s="23" t="s">
        <v>624</v>
      </c>
      <c r="K1704" s="23" t="str">
        <f t="shared" si="28"/>
        <v>Cuming, NE</v>
      </c>
      <c r="L1704" s="24"/>
    </row>
    <row r="1705">
      <c r="A1705" s="99">
        <v>1704.0</v>
      </c>
      <c r="B1705" s="15"/>
      <c r="C1705" s="15"/>
      <c r="D1705" s="105">
        <v>1.0</v>
      </c>
      <c r="E1705" s="102">
        <v>31.0</v>
      </c>
      <c r="F1705" s="107">
        <v>41.0</v>
      </c>
      <c r="G1705" s="15" t="str">
        <f t="shared" si="1"/>
        <v>31041</v>
      </c>
      <c r="H1705" s="23" t="s">
        <v>406</v>
      </c>
      <c r="I1705" s="23" t="s">
        <v>79</v>
      </c>
      <c r="J1705" s="23" t="s">
        <v>624</v>
      </c>
      <c r="K1705" s="23" t="str">
        <f t="shared" si="28"/>
        <v>Custer, NE</v>
      </c>
      <c r="L1705" s="24"/>
    </row>
    <row r="1706">
      <c r="A1706" s="99">
        <v>1705.0</v>
      </c>
      <c r="B1706" s="15"/>
      <c r="C1706" s="15"/>
      <c r="D1706" s="105">
        <v>1.0</v>
      </c>
      <c r="E1706" s="102">
        <v>31.0</v>
      </c>
      <c r="F1706" s="107">
        <v>43.0</v>
      </c>
      <c r="G1706" s="15" t="str">
        <f t="shared" si="1"/>
        <v>31043</v>
      </c>
      <c r="H1706" s="23" t="s">
        <v>1308</v>
      </c>
      <c r="I1706" s="23" t="s">
        <v>79</v>
      </c>
      <c r="J1706" s="23" t="s">
        <v>624</v>
      </c>
      <c r="K1706" s="23" t="str">
        <f t="shared" si="28"/>
        <v>Dakota, NE</v>
      </c>
      <c r="L1706" s="24"/>
    </row>
    <row r="1707">
      <c r="A1707" s="99">
        <v>1706.0</v>
      </c>
      <c r="B1707" s="15"/>
      <c r="C1707" s="15"/>
      <c r="D1707" s="105">
        <v>1.0</v>
      </c>
      <c r="E1707" s="102">
        <v>31.0</v>
      </c>
      <c r="F1707" s="107">
        <v>45.0</v>
      </c>
      <c r="G1707" s="15" t="str">
        <f t="shared" si="1"/>
        <v>31045</v>
      </c>
      <c r="H1707" s="23" t="s">
        <v>1476</v>
      </c>
      <c r="I1707" s="23" t="s">
        <v>79</v>
      </c>
      <c r="J1707" s="23" t="s">
        <v>624</v>
      </c>
      <c r="K1707" s="23" t="str">
        <f t="shared" si="28"/>
        <v>Dawes, NE</v>
      </c>
      <c r="L1707" s="24"/>
    </row>
    <row r="1708">
      <c r="A1708" s="99">
        <v>1707.0</v>
      </c>
      <c r="B1708" s="15"/>
      <c r="C1708" s="15"/>
      <c r="D1708" s="105">
        <v>1.0</v>
      </c>
      <c r="E1708" s="102">
        <v>31.0</v>
      </c>
      <c r="F1708" s="107">
        <v>47.0</v>
      </c>
      <c r="G1708" s="15" t="str">
        <f t="shared" si="1"/>
        <v>31047</v>
      </c>
      <c r="H1708" s="23" t="s">
        <v>562</v>
      </c>
      <c r="I1708" s="23" t="s">
        <v>79</v>
      </c>
      <c r="J1708" s="23" t="s">
        <v>624</v>
      </c>
      <c r="K1708" s="23" t="str">
        <f t="shared" si="28"/>
        <v>Dawson, NE</v>
      </c>
      <c r="L1708" s="24"/>
    </row>
    <row r="1709">
      <c r="A1709" s="99">
        <v>1708.0</v>
      </c>
      <c r="B1709" s="15"/>
      <c r="C1709" s="15"/>
      <c r="D1709" s="105">
        <v>1.0</v>
      </c>
      <c r="E1709" s="102">
        <v>31.0</v>
      </c>
      <c r="F1709" s="107">
        <v>49.0</v>
      </c>
      <c r="G1709" s="15" t="str">
        <f t="shared" si="1"/>
        <v>31049</v>
      </c>
      <c r="H1709" s="23" t="s">
        <v>1477</v>
      </c>
      <c r="I1709" s="23" t="s">
        <v>79</v>
      </c>
      <c r="J1709" s="23" t="s">
        <v>624</v>
      </c>
      <c r="K1709" s="23" t="str">
        <f t="shared" si="28"/>
        <v>Deuel, NE</v>
      </c>
      <c r="L1709" s="24"/>
    </row>
    <row r="1710">
      <c r="A1710" s="99">
        <v>1709.0</v>
      </c>
      <c r="B1710" s="15"/>
      <c r="C1710" s="15"/>
      <c r="D1710" s="105">
        <v>1.0</v>
      </c>
      <c r="E1710" s="102">
        <v>31.0</v>
      </c>
      <c r="F1710" s="107">
        <v>51.0</v>
      </c>
      <c r="G1710" s="15" t="str">
        <f t="shared" si="1"/>
        <v>31051</v>
      </c>
      <c r="H1710" s="23" t="s">
        <v>1478</v>
      </c>
      <c r="I1710" s="23" t="s">
        <v>79</v>
      </c>
      <c r="J1710" s="23" t="s">
        <v>624</v>
      </c>
      <c r="K1710" s="23" t="str">
        <f t="shared" si="28"/>
        <v>Dixon, NE</v>
      </c>
      <c r="L1710" s="24"/>
    </row>
    <row r="1711">
      <c r="A1711" s="99">
        <v>1710.0</v>
      </c>
      <c r="B1711" s="15"/>
      <c r="C1711" s="15"/>
      <c r="D1711" s="105">
        <v>1.0</v>
      </c>
      <c r="E1711" s="102">
        <v>31.0</v>
      </c>
      <c r="F1711" s="107">
        <v>53.0</v>
      </c>
      <c r="G1711" s="15" t="str">
        <f t="shared" si="1"/>
        <v>31053</v>
      </c>
      <c r="H1711" s="23" t="s">
        <v>564</v>
      </c>
      <c r="I1711" s="23" t="s">
        <v>79</v>
      </c>
      <c r="J1711" s="23" t="s">
        <v>624</v>
      </c>
      <c r="K1711" s="23" t="str">
        <f t="shared" si="28"/>
        <v>Dodge, NE</v>
      </c>
      <c r="L1711" s="24"/>
    </row>
    <row r="1712">
      <c r="A1712" s="99">
        <v>1711.0</v>
      </c>
      <c r="B1712" s="15"/>
      <c r="C1712" s="15"/>
      <c r="D1712" s="105">
        <v>1.0</v>
      </c>
      <c r="E1712" s="102">
        <v>31.0</v>
      </c>
      <c r="F1712" s="107">
        <v>55.0</v>
      </c>
      <c r="G1712" s="15" t="str">
        <f t="shared" si="1"/>
        <v>31055</v>
      </c>
      <c r="H1712" s="23" t="s">
        <v>412</v>
      </c>
      <c r="I1712" s="23" t="s">
        <v>79</v>
      </c>
      <c r="J1712" s="23" t="s">
        <v>624</v>
      </c>
      <c r="K1712" s="23" t="str">
        <f t="shared" si="28"/>
        <v>Douglas, NE</v>
      </c>
      <c r="L1712" s="24"/>
    </row>
    <row r="1713">
      <c r="A1713" s="99">
        <v>1712.0</v>
      </c>
      <c r="B1713" s="15"/>
      <c r="C1713" s="15"/>
      <c r="D1713" s="105">
        <v>1.0</v>
      </c>
      <c r="E1713" s="102">
        <v>31.0</v>
      </c>
      <c r="F1713" s="107">
        <v>57.0</v>
      </c>
      <c r="G1713" s="15" t="str">
        <f t="shared" si="1"/>
        <v>31057</v>
      </c>
      <c r="H1713" s="23" t="s">
        <v>1479</v>
      </c>
      <c r="I1713" s="23" t="s">
        <v>79</v>
      </c>
      <c r="J1713" s="23" t="s">
        <v>624</v>
      </c>
      <c r="K1713" s="23" t="str">
        <f t="shared" si="28"/>
        <v>Dundy, NE</v>
      </c>
      <c r="L1713" s="24"/>
    </row>
    <row r="1714">
      <c r="A1714" s="99">
        <v>1713.0</v>
      </c>
      <c r="B1714" s="15"/>
      <c r="C1714" s="15"/>
      <c r="D1714" s="105">
        <v>1.0</v>
      </c>
      <c r="E1714" s="102">
        <v>31.0</v>
      </c>
      <c r="F1714" s="107">
        <v>59.0</v>
      </c>
      <c r="G1714" s="15" t="str">
        <f t="shared" si="1"/>
        <v>31059</v>
      </c>
      <c r="H1714" s="23" t="s">
        <v>1310</v>
      </c>
      <c r="I1714" s="23" t="s">
        <v>79</v>
      </c>
      <c r="J1714" s="23" t="s">
        <v>624</v>
      </c>
      <c r="K1714" s="23" t="str">
        <f t="shared" si="28"/>
        <v>Fillmore, NE</v>
      </c>
      <c r="L1714" s="24"/>
    </row>
    <row r="1715">
      <c r="A1715" s="99">
        <v>1714.0</v>
      </c>
      <c r="B1715" s="15"/>
      <c r="C1715" s="15"/>
      <c r="D1715" s="105">
        <v>1.0</v>
      </c>
      <c r="E1715" s="102">
        <v>31.0</v>
      </c>
      <c r="F1715" s="107">
        <v>61.0</v>
      </c>
      <c r="G1715" s="15" t="str">
        <f t="shared" si="1"/>
        <v>31061</v>
      </c>
      <c r="H1715" s="23" t="s">
        <v>136</v>
      </c>
      <c r="I1715" s="23" t="s">
        <v>79</v>
      </c>
      <c r="J1715" s="23" t="s">
        <v>624</v>
      </c>
      <c r="K1715" s="23" t="str">
        <f t="shared" si="28"/>
        <v>Franklin, NE</v>
      </c>
      <c r="L1715" s="24"/>
    </row>
    <row r="1716">
      <c r="A1716" s="99">
        <v>1715.0</v>
      </c>
      <c r="B1716" s="15"/>
      <c r="C1716" s="15"/>
      <c r="D1716" s="105">
        <v>1.0</v>
      </c>
      <c r="E1716" s="102">
        <v>31.0</v>
      </c>
      <c r="F1716" s="107">
        <v>63.0</v>
      </c>
      <c r="G1716" s="15" t="str">
        <f t="shared" si="1"/>
        <v>31063</v>
      </c>
      <c r="H1716" s="23" t="s">
        <v>1480</v>
      </c>
      <c r="I1716" s="23" t="s">
        <v>79</v>
      </c>
      <c r="J1716" s="23" t="s">
        <v>624</v>
      </c>
      <c r="K1716" s="23" t="str">
        <f t="shared" si="28"/>
        <v>Frontier, NE</v>
      </c>
      <c r="L1716" s="24"/>
    </row>
    <row r="1717">
      <c r="A1717" s="99">
        <v>1716.0</v>
      </c>
      <c r="B1717" s="15"/>
      <c r="C1717" s="15"/>
      <c r="D1717" s="105">
        <v>1.0</v>
      </c>
      <c r="E1717" s="102">
        <v>31.0</v>
      </c>
      <c r="F1717" s="107">
        <v>65.0</v>
      </c>
      <c r="G1717" s="15" t="str">
        <f t="shared" si="1"/>
        <v>31065</v>
      </c>
      <c r="H1717" s="23" t="s">
        <v>1481</v>
      </c>
      <c r="I1717" s="23" t="s">
        <v>79</v>
      </c>
      <c r="J1717" s="23" t="s">
        <v>624</v>
      </c>
      <c r="K1717" s="23" t="str">
        <f t="shared" si="28"/>
        <v>Furnas, NE</v>
      </c>
      <c r="L1717" s="24"/>
    </row>
    <row r="1718">
      <c r="A1718" s="99">
        <v>1717.0</v>
      </c>
      <c r="B1718" s="15"/>
      <c r="C1718" s="15"/>
      <c r="D1718" s="105">
        <v>1.0</v>
      </c>
      <c r="E1718" s="102">
        <v>31.0</v>
      </c>
      <c r="F1718" s="107">
        <v>67.0</v>
      </c>
      <c r="G1718" s="15" t="str">
        <f t="shared" si="1"/>
        <v>31067</v>
      </c>
      <c r="H1718" s="23" t="s">
        <v>1482</v>
      </c>
      <c r="I1718" s="23" t="s">
        <v>79</v>
      </c>
      <c r="J1718" s="23" t="s">
        <v>624</v>
      </c>
      <c r="K1718" s="23" t="str">
        <f t="shared" si="28"/>
        <v>Gage, NE</v>
      </c>
      <c r="L1718" s="24"/>
    </row>
    <row r="1719">
      <c r="A1719" s="99">
        <v>1718.0</v>
      </c>
      <c r="B1719" s="15"/>
      <c r="C1719" s="15"/>
      <c r="D1719" s="105">
        <v>1.0</v>
      </c>
      <c r="E1719" s="102">
        <v>31.0</v>
      </c>
      <c r="F1719" s="107">
        <v>69.0</v>
      </c>
      <c r="G1719" s="15" t="str">
        <f t="shared" si="1"/>
        <v>31069</v>
      </c>
      <c r="H1719" s="23" t="s">
        <v>1483</v>
      </c>
      <c r="I1719" s="23" t="s">
        <v>79</v>
      </c>
      <c r="J1719" s="23" t="s">
        <v>624</v>
      </c>
      <c r="K1719" s="23" t="str">
        <f t="shared" si="28"/>
        <v>Garden, NE</v>
      </c>
      <c r="L1719" s="24"/>
    </row>
    <row r="1720">
      <c r="A1720" s="99">
        <v>1719.0</v>
      </c>
      <c r="B1720" s="15"/>
      <c r="C1720" s="15"/>
      <c r="D1720" s="105">
        <v>1.0</v>
      </c>
      <c r="E1720" s="102">
        <v>31.0</v>
      </c>
      <c r="F1720" s="107">
        <v>71.0</v>
      </c>
      <c r="G1720" s="15" t="str">
        <f t="shared" si="1"/>
        <v>31071</v>
      </c>
      <c r="H1720" s="23" t="s">
        <v>417</v>
      </c>
      <c r="I1720" s="23" t="s">
        <v>79</v>
      </c>
      <c r="J1720" s="23" t="s">
        <v>624</v>
      </c>
      <c r="K1720" s="23" t="str">
        <f t="shared" si="28"/>
        <v>Garfield, NE</v>
      </c>
      <c r="L1720" s="24"/>
    </row>
    <row r="1721">
      <c r="A1721" s="99">
        <v>1720.0</v>
      </c>
      <c r="B1721" s="15"/>
      <c r="C1721" s="15"/>
      <c r="D1721" s="105">
        <v>1.0</v>
      </c>
      <c r="E1721" s="102">
        <v>31.0</v>
      </c>
      <c r="F1721" s="107">
        <v>73.0</v>
      </c>
      <c r="G1721" s="15" t="str">
        <f t="shared" si="1"/>
        <v>31073</v>
      </c>
      <c r="H1721" s="23" t="s">
        <v>1484</v>
      </c>
      <c r="I1721" s="23" t="s">
        <v>79</v>
      </c>
      <c r="J1721" s="23" t="s">
        <v>624</v>
      </c>
      <c r="K1721" s="23" t="str">
        <f t="shared" si="28"/>
        <v>Gosper, NE</v>
      </c>
      <c r="L1721" s="24"/>
    </row>
    <row r="1722">
      <c r="A1722" s="99">
        <v>1721.0</v>
      </c>
      <c r="B1722" s="15"/>
      <c r="C1722" s="15"/>
      <c r="D1722" s="105">
        <v>1.0</v>
      </c>
      <c r="E1722" s="102">
        <v>31.0</v>
      </c>
      <c r="F1722" s="107">
        <v>75.0</v>
      </c>
      <c r="G1722" s="15" t="str">
        <f t="shared" si="1"/>
        <v>31075</v>
      </c>
      <c r="H1722" s="23" t="s">
        <v>278</v>
      </c>
      <c r="I1722" s="23" t="s">
        <v>79</v>
      </c>
      <c r="J1722" s="23" t="s">
        <v>624</v>
      </c>
      <c r="K1722" s="23" t="str">
        <f t="shared" si="28"/>
        <v>Grant, NE</v>
      </c>
      <c r="L1722" s="24"/>
    </row>
    <row r="1723">
      <c r="A1723" s="99">
        <v>1722.0</v>
      </c>
      <c r="B1723" s="15"/>
      <c r="C1723" s="15"/>
      <c r="D1723" s="105">
        <v>1.0</v>
      </c>
      <c r="E1723" s="102">
        <v>31.0</v>
      </c>
      <c r="F1723" s="107">
        <v>77.0</v>
      </c>
      <c r="G1723" s="15" t="str">
        <f t="shared" si="1"/>
        <v>31077</v>
      </c>
      <c r="H1723" s="23" t="s">
        <v>976</v>
      </c>
      <c r="I1723" s="23" t="s">
        <v>79</v>
      </c>
      <c r="J1723" s="23" t="s">
        <v>624</v>
      </c>
      <c r="K1723" s="23" t="str">
        <f t="shared" si="28"/>
        <v>Greeley, NE</v>
      </c>
      <c r="L1723" s="24"/>
    </row>
    <row r="1724">
      <c r="A1724" s="99">
        <v>1723.0</v>
      </c>
      <c r="B1724" s="15"/>
      <c r="C1724" s="15"/>
      <c r="D1724" s="105">
        <v>1.0</v>
      </c>
      <c r="E1724" s="102">
        <v>31.0</v>
      </c>
      <c r="F1724" s="107">
        <v>79.0</v>
      </c>
      <c r="G1724" s="15" t="str">
        <f t="shared" si="1"/>
        <v>31079</v>
      </c>
      <c r="H1724" s="23" t="s">
        <v>586</v>
      </c>
      <c r="I1724" s="23" t="s">
        <v>79</v>
      </c>
      <c r="J1724" s="23" t="s">
        <v>624</v>
      </c>
      <c r="K1724" s="23" t="str">
        <f t="shared" si="28"/>
        <v>Hall, NE</v>
      </c>
      <c r="L1724" s="24"/>
    </row>
    <row r="1725">
      <c r="A1725" s="99">
        <v>1724.0</v>
      </c>
      <c r="B1725" s="15"/>
      <c r="C1725" s="15"/>
      <c r="D1725" s="105">
        <v>1.0</v>
      </c>
      <c r="E1725" s="102">
        <v>31.0</v>
      </c>
      <c r="F1725" s="107">
        <v>81.0</v>
      </c>
      <c r="G1725" s="15" t="str">
        <f t="shared" si="1"/>
        <v>31081</v>
      </c>
      <c r="H1725" s="23" t="s">
        <v>497</v>
      </c>
      <c r="I1725" s="23" t="s">
        <v>79</v>
      </c>
      <c r="J1725" s="23" t="s">
        <v>624</v>
      </c>
      <c r="K1725" s="23" t="str">
        <f t="shared" si="28"/>
        <v>Hamilton, NE</v>
      </c>
      <c r="L1725" s="24"/>
    </row>
    <row r="1726">
      <c r="A1726" s="99">
        <v>1725.0</v>
      </c>
      <c r="B1726" s="15"/>
      <c r="C1726" s="15"/>
      <c r="D1726" s="105">
        <v>1.0</v>
      </c>
      <c r="E1726" s="102">
        <v>31.0</v>
      </c>
      <c r="F1726" s="107">
        <v>83.0</v>
      </c>
      <c r="G1726" s="15" t="str">
        <f t="shared" si="1"/>
        <v>31083</v>
      </c>
      <c r="H1726" s="23" t="s">
        <v>1088</v>
      </c>
      <c r="I1726" s="23" t="s">
        <v>79</v>
      </c>
      <c r="J1726" s="23" t="s">
        <v>624</v>
      </c>
      <c r="K1726" s="23" t="str">
        <f t="shared" si="28"/>
        <v>Harlan, NE</v>
      </c>
      <c r="L1726" s="24"/>
    </row>
    <row r="1727">
      <c r="A1727" s="99">
        <v>1726.0</v>
      </c>
      <c r="B1727" s="15"/>
      <c r="C1727" s="15"/>
      <c r="D1727" s="105">
        <v>1.0</v>
      </c>
      <c r="E1727" s="102">
        <v>31.0</v>
      </c>
      <c r="F1727" s="107">
        <v>85.0</v>
      </c>
      <c r="G1727" s="15" t="str">
        <f t="shared" si="1"/>
        <v>31085</v>
      </c>
      <c r="H1727" s="23" t="s">
        <v>1485</v>
      </c>
      <c r="I1727" s="23" t="s">
        <v>79</v>
      </c>
      <c r="J1727" s="23" t="s">
        <v>624</v>
      </c>
      <c r="K1727" s="23" t="str">
        <f t="shared" si="28"/>
        <v>Hayes, NE</v>
      </c>
      <c r="L1727" s="24"/>
    </row>
    <row r="1728">
      <c r="A1728" s="99">
        <v>1727.0</v>
      </c>
      <c r="B1728" s="15"/>
      <c r="C1728" s="15"/>
      <c r="D1728" s="105">
        <v>1.0</v>
      </c>
      <c r="E1728" s="102">
        <v>31.0</v>
      </c>
      <c r="F1728" s="107">
        <v>87.0</v>
      </c>
      <c r="G1728" s="15" t="str">
        <f t="shared" si="1"/>
        <v>31087</v>
      </c>
      <c r="H1728" s="23" t="s">
        <v>1486</v>
      </c>
      <c r="I1728" s="23" t="s">
        <v>79</v>
      </c>
      <c r="J1728" s="23" t="s">
        <v>624</v>
      </c>
      <c r="K1728" s="23" t="str">
        <f t="shared" si="28"/>
        <v>Hitchcock, NE</v>
      </c>
      <c r="L1728" s="24"/>
    </row>
    <row r="1729">
      <c r="A1729" s="99">
        <v>1728.0</v>
      </c>
      <c r="B1729" s="15"/>
      <c r="C1729" s="15"/>
      <c r="D1729" s="105">
        <v>1.0</v>
      </c>
      <c r="E1729" s="102">
        <v>31.0</v>
      </c>
      <c r="F1729" s="107">
        <v>89.0</v>
      </c>
      <c r="G1729" s="15" t="str">
        <f t="shared" si="1"/>
        <v>31089</v>
      </c>
      <c r="H1729" s="23" t="s">
        <v>1407</v>
      </c>
      <c r="I1729" s="23" t="s">
        <v>79</v>
      </c>
      <c r="J1729" s="23" t="s">
        <v>624</v>
      </c>
      <c r="K1729" s="23" t="str">
        <f t="shared" si="28"/>
        <v>Holt, NE</v>
      </c>
      <c r="L1729" s="24"/>
    </row>
    <row r="1730">
      <c r="A1730" s="99">
        <v>1729.0</v>
      </c>
      <c r="B1730" s="15"/>
      <c r="C1730" s="15"/>
      <c r="D1730" s="105">
        <v>1.0</v>
      </c>
      <c r="E1730" s="102">
        <v>31.0</v>
      </c>
      <c r="F1730" s="107">
        <v>91.0</v>
      </c>
      <c r="G1730" s="15" t="str">
        <f t="shared" si="1"/>
        <v>31091</v>
      </c>
      <c r="H1730" s="23" t="s">
        <v>1487</v>
      </c>
      <c r="I1730" s="23" t="s">
        <v>79</v>
      </c>
      <c r="J1730" s="23" t="s">
        <v>624</v>
      </c>
      <c r="K1730" s="23" t="str">
        <f t="shared" si="28"/>
        <v>Hooker, NE</v>
      </c>
      <c r="L1730" s="24"/>
    </row>
    <row r="1731">
      <c r="A1731" s="99">
        <v>1730.0</v>
      </c>
      <c r="B1731" s="15"/>
      <c r="C1731" s="15"/>
      <c r="D1731" s="105">
        <v>1.0</v>
      </c>
      <c r="E1731" s="102">
        <v>31.0</v>
      </c>
      <c r="F1731" s="107">
        <v>93.0</v>
      </c>
      <c r="G1731" s="15" t="str">
        <f t="shared" si="1"/>
        <v>31093</v>
      </c>
      <c r="H1731" s="23" t="s">
        <v>283</v>
      </c>
      <c r="I1731" s="23" t="s">
        <v>79</v>
      </c>
      <c r="J1731" s="23" t="s">
        <v>624</v>
      </c>
      <c r="K1731" s="23" t="str">
        <f t="shared" si="28"/>
        <v>Howard, NE</v>
      </c>
      <c r="L1731" s="24"/>
    </row>
    <row r="1732">
      <c r="A1732" s="99">
        <v>1731.0</v>
      </c>
      <c r="B1732" s="15"/>
      <c r="C1732" s="15"/>
      <c r="D1732" s="105">
        <v>1.0</v>
      </c>
      <c r="E1732" s="102">
        <v>31.0</v>
      </c>
      <c r="F1732" s="107">
        <v>95.0</v>
      </c>
      <c r="G1732" s="15" t="str">
        <f t="shared" si="1"/>
        <v>31095</v>
      </c>
      <c r="H1732" s="23" t="s">
        <v>143</v>
      </c>
      <c r="I1732" s="23" t="s">
        <v>79</v>
      </c>
      <c r="J1732" s="23" t="s">
        <v>624</v>
      </c>
      <c r="K1732" s="23" t="str">
        <f t="shared" si="28"/>
        <v>Jefferson, NE</v>
      </c>
      <c r="L1732" s="24"/>
    </row>
    <row r="1733">
      <c r="A1733" s="99">
        <v>1732.0</v>
      </c>
      <c r="B1733" s="15"/>
      <c r="C1733" s="15"/>
      <c r="D1733" s="105">
        <v>1.0</v>
      </c>
      <c r="E1733" s="102">
        <v>31.0</v>
      </c>
      <c r="F1733" s="107">
        <v>97.0</v>
      </c>
      <c r="G1733" s="15" t="str">
        <f t="shared" si="1"/>
        <v>31097</v>
      </c>
      <c r="H1733" s="23" t="s">
        <v>288</v>
      </c>
      <c r="I1733" s="23" t="s">
        <v>79</v>
      </c>
      <c r="J1733" s="23" t="s">
        <v>624</v>
      </c>
      <c r="K1733" s="23" t="str">
        <f t="shared" si="28"/>
        <v>Johnson, NE</v>
      </c>
      <c r="L1733" s="24"/>
    </row>
    <row r="1734">
      <c r="A1734" s="99">
        <v>1733.0</v>
      </c>
      <c r="B1734" s="15"/>
      <c r="C1734" s="15"/>
      <c r="D1734" s="105">
        <v>1.0</v>
      </c>
      <c r="E1734" s="102">
        <v>31.0</v>
      </c>
      <c r="F1734" s="107">
        <v>99.0</v>
      </c>
      <c r="G1734" s="15" t="str">
        <f t="shared" si="1"/>
        <v>31099</v>
      </c>
      <c r="H1734" s="23" t="s">
        <v>1488</v>
      </c>
      <c r="I1734" s="23" t="s">
        <v>79</v>
      </c>
      <c r="J1734" s="23" t="s">
        <v>624</v>
      </c>
      <c r="K1734" s="23" t="str">
        <f t="shared" si="28"/>
        <v>Kearney, NE</v>
      </c>
      <c r="L1734" s="24"/>
    </row>
    <row r="1735">
      <c r="A1735" s="99">
        <v>1734.0</v>
      </c>
      <c r="B1735" s="15"/>
      <c r="C1735" s="15"/>
      <c r="D1735" s="105">
        <v>1.0</v>
      </c>
      <c r="E1735" s="102">
        <v>31.0</v>
      </c>
      <c r="F1735" s="107">
        <v>101.0</v>
      </c>
      <c r="G1735" s="15" t="str">
        <f t="shared" si="1"/>
        <v>31101</v>
      </c>
      <c r="H1735" s="23" t="s">
        <v>1489</v>
      </c>
      <c r="I1735" s="23" t="s">
        <v>79</v>
      </c>
      <c r="J1735" s="23" t="s">
        <v>624</v>
      </c>
      <c r="K1735" s="23" t="str">
        <f t="shared" si="28"/>
        <v>Keith, NE</v>
      </c>
      <c r="L1735" s="24"/>
    </row>
    <row r="1736">
      <c r="A1736" s="99">
        <v>1735.0</v>
      </c>
      <c r="B1736" s="15"/>
      <c r="C1736" s="15"/>
      <c r="D1736" s="105">
        <v>1.0</v>
      </c>
      <c r="E1736" s="102">
        <v>31.0</v>
      </c>
      <c r="F1736" s="107">
        <v>103.0</v>
      </c>
      <c r="G1736" s="15" t="str">
        <f t="shared" si="1"/>
        <v>31103</v>
      </c>
      <c r="H1736" s="23" t="s">
        <v>1490</v>
      </c>
      <c r="I1736" s="23" t="s">
        <v>79</v>
      </c>
      <c r="J1736" s="23" t="s">
        <v>624</v>
      </c>
      <c r="K1736" s="23" t="str">
        <f t="shared" si="28"/>
        <v>Keya Paha, NE</v>
      </c>
      <c r="L1736" s="24"/>
    </row>
    <row r="1737">
      <c r="A1737" s="99">
        <v>1736.0</v>
      </c>
      <c r="B1737" s="15"/>
      <c r="C1737" s="15"/>
      <c r="D1737" s="105">
        <v>1.0</v>
      </c>
      <c r="E1737" s="102">
        <v>31.0</v>
      </c>
      <c r="F1737" s="107">
        <v>105.0</v>
      </c>
      <c r="G1737" s="15" t="str">
        <f t="shared" si="1"/>
        <v>31105</v>
      </c>
      <c r="H1737" s="23" t="s">
        <v>1491</v>
      </c>
      <c r="I1737" s="23" t="s">
        <v>79</v>
      </c>
      <c r="J1737" s="23" t="s">
        <v>624</v>
      </c>
      <c r="K1737" s="23" t="str">
        <f t="shared" si="28"/>
        <v>Kimball, NE</v>
      </c>
      <c r="L1737" s="24"/>
    </row>
    <row r="1738">
      <c r="A1738" s="99">
        <v>1737.0</v>
      </c>
      <c r="B1738" s="15"/>
      <c r="C1738" s="15"/>
      <c r="D1738" s="105">
        <v>1.0</v>
      </c>
      <c r="E1738" s="102">
        <v>31.0</v>
      </c>
      <c r="F1738" s="107">
        <v>107.0</v>
      </c>
      <c r="G1738" s="15" t="str">
        <f t="shared" si="1"/>
        <v>31107</v>
      </c>
      <c r="H1738" s="23" t="s">
        <v>728</v>
      </c>
      <c r="I1738" s="23" t="s">
        <v>79</v>
      </c>
      <c r="J1738" s="23" t="s">
        <v>624</v>
      </c>
      <c r="K1738" s="23" t="str">
        <f t="shared" si="28"/>
        <v>Knox, NE</v>
      </c>
      <c r="L1738" s="24"/>
    </row>
    <row r="1739">
      <c r="A1739" s="99">
        <v>1738.0</v>
      </c>
      <c r="B1739" s="15"/>
      <c r="C1739" s="15"/>
      <c r="D1739" s="105">
        <v>1.0</v>
      </c>
      <c r="E1739" s="102">
        <v>31.0</v>
      </c>
      <c r="F1739" s="107">
        <v>109.0</v>
      </c>
      <c r="G1739" s="15" t="str">
        <f t="shared" si="1"/>
        <v>31109</v>
      </c>
      <c r="H1739" s="23" t="s">
        <v>650</v>
      </c>
      <c r="I1739" s="23" t="s">
        <v>79</v>
      </c>
      <c r="J1739" s="23" t="s">
        <v>624</v>
      </c>
      <c r="K1739" s="23" t="str">
        <f t="shared" si="28"/>
        <v>Lancaster, NE</v>
      </c>
      <c r="L1739" s="24"/>
    </row>
    <row r="1740">
      <c r="A1740" s="99">
        <v>1739.0</v>
      </c>
      <c r="B1740" s="15"/>
      <c r="C1740" s="15"/>
      <c r="D1740" s="105">
        <v>1.0</v>
      </c>
      <c r="E1740" s="102">
        <v>31.0</v>
      </c>
      <c r="F1740" s="107">
        <v>111.0</v>
      </c>
      <c r="G1740" s="15" t="str">
        <f t="shared" si="1"/>
        <v>31111</v>
      </c>
      <c r="H1740" s="23" t="s">
        <v>290</v>
      </c>
      <c r="I1740" s="23" t="s">
        <v>79</v>
      </c>
      <c r="J1740" s="23" t="s">
        <v>624</v>
      </c>
      <c r="K1740" s="23" t="str">
        <f t="shared" si="28"/>
        <v>Lincoln, NE</v>
      </c>
      <c r="L1740" s="24"/>
    </row>
    <row r="1741">
      <c r="A1741" s="99">
        <v>1740.0</v>
      </c>
      <c r="B1741" s="15"/>
      <c r="C1741" s="15"/>
      <c r="D1741" s="105">
        <v>1.0</v>
      </c>
      <c r="E1741" s="102">
        <v>31.0</v>
      </c>
      <c r="F1741" s="107">
        <v>113.0</v>
      </c>
      <c r="G1741" s="15" t="str">
        <f t="shared" si="1"/>
        <v>31113</v>
      </c>
      <c r="H1741" s="23" t="s">
        <v>293</v>
      </c>
      <c r="I1741" s="23" t="s">
        <v>79</v>
      </c>
      <c r="J1741" s="23" t="s">
        <v>624</v>
      </c>
      <c r="K1741" s="23" t="str">
        <f t="shared" si="28"/>
        <v>Logan, NE</v>
      </c>
      <c r="L1741" s="24"/>
    </row>
    <row r="1742">
      <c r="A1742" s="99">
        <v>1741.0</v>
      </c>
      <c r="B1742" s="15"/>
      <c r="C1742" s="15"/>
      <c r="D1742" s="105">
        <v>1.0</v>
      </c>
      <c r="E1742" s="102">
        <v>31.0</v>
      </c>
      <c r="F1742" s="107">
        <v>115.0</v>
      </c>
      <c r="G1742" s="15" t="str">
        <f t="shared" si="1"/>
        <v>31115</v>
      </c>
      <c r="H1742" s="23" t="s">
        <v>1492</v>
      </c>
      <c r="I1742" s="23" t="s">
        <v>79</v>
      </c>
      <c r="J1742" s="23" t="s">
        <v>624</v>
      </c>
      <c r="K1742" s="23" t="str">
        <f t="shared" si="28"/>
        <v>Loup, NE</v>
      </c>
      <c r="L1742" s="24"/>
    </row>
    <row r="1743">
      <c r="A1743" s="99">
        <v>1742.0</v>
      </c>
      <c r="B1743" s="15"/>
      <c r="C1743" s="15"/>
      <c r="D1743" s="105">
        <v>1.0</v>
      </c>
      <c r="E1743" s="102">
        <v>31.0</v>
      </c>
      <c r="F1743" s="107">
        <v>117.0</v>
      </c>
      <c r="G1743" s="15" t="str">
        <f t="shared" si="1"/>
        <v>31117</v>
      </c>
      <c r="H1743" s="23" t="s">
        <v>988</v>
      </c>
      <c r="I1743" s="23" t="s">
        <v>79</v>
      </c>
      <c r="J1743" s="23" t="s">
        <v>624</v>
      </c>
      <c r="K1743" s="23" t="str">
        <f t="shared" si="28"/>
        <v>McPherson, NE</v>
      </c>
      <c r="L1743" s="24"/>
    </row>
    <row r="1744">
      <c r="A1744" s="99">
        <v>1743.0</v>
      </c>
      <c r="B1744" s="15"/>
      <c r="C1744" s="15"/>
      <c r="D1744" s="105">
        <v>1.0</v>
      </c>
      <c r="E1744" s="102">
        <v>31.0</v>
      </c>
      <c r="F1744" s="107">
        <v>119.0</v>
      </c>
      <c r="G1744" s="15" t="str">
        <f t="shared" si="1"/>
        <v>31119</v>
      </c>
      <c r="H1744" s="23" t="s">
        <v>151</v>
      </c>
      <c r="I1744" s="23" t="s">
        <v>79</v>
      </c>
      <c r="J1744" s="23" t="s">
        <v>624</v>
      </c>
      <c r="K1744" s="23" t="str">
        <f t="shared" si="28"/>
        <v>Madison, NE</v>
      </c>
      <c r="L1744" s="24"/>
    </row>
    <row r="1745">
      <c r="A1745" s="99">
        <v>1744.0</v>
      </c>
      <c r="B1745" s="15"/>
      <c r="C1745" s="15"/>
      <c r="D1745" s="105">
        <v>1.0</v>
      </c>
      <c r="E1745" s="102">
        <v>31.0</v>
      </c>
      <c r="F1745" s="107">
        <v>121.0</v>
      </c>
      <c r="G1745" s="15" t="str">
        <f t="shared" si="1"/>
        <v>31121</v>
      </c>
      <c r="H1745" s="23" t="s">
        <v>1493</v>
      </c>
      <c r="I1745" s="23" t="s">
        <v>79</v>
      </c>
      <c r="J1745" s="23" t="s">
        <v>624</v>
      </c>
      <c r="K1745" s="23" t="str">
        <f t="shared" si="28"/>
        <v>Merrick, NE</v>
      </c>
      <c r="L1745" s="24"/>
    </row>
    <row r="1746">
      <c r="A1746" s="99">
        <v>1745.0</v>
      </c>
      <c r="B1746" s="15"/>
      <c r="C1746" s="15"/>
      <c r="D1746" s="105">
        <v>1.0</v>
      </c>
      <c r="E1746" s="102">
        <v>31.0</v>
      </c>
      <c r="F1746" s="107">
        <v>123.0</v>
      </c>
      <c r="G1746" s="15" t="str">
        <f t="shared" si="1"/>
        <v>31123</v>
      </c>
      <c r="H1746" s="23" t="s">
        <v>1494</v>
      </c>
      <c r="I1746" s="23" t="s">
        <v>79</v>
      </c>
      <c r="J1746" s="23" t="s">
        <v>624</v>
      </c>
      <c r="K1746" s="23" t="str">
        <f t="shared" si="28"/>
        <v>Morrill, NE</v>
      </c>
      <c r="L1746" s="24"/>
    </row>
    <row r="1747">
      <c r="A1747" s="99">
        <v>1746.0</v>
      </c>
      <c r="B1747" s="15"/>
      <c r="C1747" s="15"/>
      <c r="D1747" s="105">
        <v>1.0</v>
      </c>
      <c r="E1747" s="102">
        <v>31.0</v>
      </c>
      <c r="F1747" s="107">
        <v>125.0</v>
      </c>
      <c r="G1747" s="15" t="str">
        <f t="shared" si="1"/>
        <v>31125</v>
      </c>
      <c r="H1747" s="23" t="s">
        <v>1495</v>
      </c>
      <c r="I1747" s="23" t="s">
        <v>79</v>
      </c>
      <c r="J1747" s="23" t="s">
        <v>624</v>
      </c>
      <c r="K1747" s="23" t="str">
        <f t="shared" si="28"/>
        <v>Nance, NE</v>
      </c>
      <c r="L1747" s="24"/>
    </row>
    <row r="1748">
      <c r="A1748" s="99">
        <v>1747.0</v>
      </c>
      <c r="B1748" s="15"/>
      <c r="C1748" s="15"/>
      <c r="D1748" s="105">
        <v>1.0</v>
      </c>
      <c r="E1748" s="102">
        <v>31.0</v>
      </c>
      <c r="F1748" s="107">
        <v>127.0</v>
      </c>
      <c r="G1748" s="15" t="str">
        <f t="shared" si="1"/>
        <v>31127</v>
      </c>
      <c r="H1748" s="23" t="s">
        <v>992</v>
      </c>
      <c r="I1748" s="23" t="s">
        <v>79</v>
      </c>
      <c r="J1748" s="23" t="s">
        <v>624</v>
      </c>
      <c r="K1748" s="23" t="str">
        <f t="shared" si="28"/>
        <v>Nemaha, NE</v>
      </c>
      <c r="L1748" s="24"/>
    </row>
    <row r="1749">
      <c r="A1749" s="99">
        <v>1748.0</v>
      </c>
      <c r="B1749" s="15"/>
      <c r="C1749" s="15"/>
      <c r="D1749" s="105">
        <v>1.0</v>
      </c>
      <c r="E1749" s="102">
        <v>31.0</v>
      </c>
      <c r="F1749" s="107">
        <v>129.0</v>
      </c>
      <c r="G1749" s="15" t="str">
        <f t="shared" si="1"/>
        <v>31129</v>
      </c>
      <c r="H1749" s="23" t="s">
        <v>1496</v>
      </c>
      <c r="I1749" s="23" t="s">
        <v>79</v>
      </c>
      <c r="J1749" s="23" t="s">
        <v>624</v>
      </c>
      <c r="K1749" s="23" t="str">
        <f t="shared" si="28"/>
        <v>Nuckolls, NE</v>
      </c>
      <c r="L1749" s="24"/>
    </row>
    <row r="1750">
      <c r="A1750" s="99">
        <v>1749.0</v>
      </c>
      <c r="B1750" s="15"/>
      <c r="C1750" s="15"/>
      <c r="D1750" s="105">
        <v>1.0</v>
      </c>
      <c r="E1750" s="102">
        <v>31.0</v>
      </c>
      <c r="F1750" s="107">
        <v>131.0</v>
      </c>
      <c r="G1750" s="15" t="str">
        <f t="shared" si="1"/>
        <v>31131</v>
      </c>
      <c r="H1750" s="23" t="s">
        <v>1497</v>
      </c>
      <c r="I1750" s="23" t="s">
        <v>79</v>
      </c>
      <c r="J1750" s="23" t="s">
        <v>624</v>
      </c>
      <c r="K1750" s="23" t="str">
        <f t="shared" si="28"/>
        <v>Otoe, NE</v>
      </c>
      <c r="L1750" s="24"/>
    </row>
    <row r="1751">
      <c r="A1751" s="99">
        <v>1750.0</v>
      </c>
      <c r="B1751" s="15"/>
      <c r="C1751" s="15"/>
      <c r="D1751" s="105">
        <v>1.0</v>
      </c>
      <c r="E1751" s="102">
        <v>31.0</v>
      </c>
      <c r="F1751" s="107">
        <v>133.0</v>
      </c>
      <c r="G1751" s="15" t="str">
        <f t="shared" si="1"/>
        <v>31133</v>
      </c>
      <c r="H1751" s="23" t="s">
        <v>999</v>
      </c>
      <c r="I1751" s="23" t="s">
        <v>79</v>
      </c>
      <c r="J1751" s="23" t="s">
        <v>624</v>
      </c>
      <c r="K1751" s="23" t="str">
        <f t="shared" si="28"/>
        <v>Pawnee, NE</v>
      </c>
      <c r="L1751" s="24"/>
    </row>
    <row r="1752">
      <c r="A1752" s="99">
        <v>1751.0</v>
      </c>
      <c r="B1752" s="15"/>
      <c r="C1752" s="15"/>
      <c r="D1752" s="105">
        <v>1.0</v>
      </c>
      <c r="E1752" s="102">
        <v>31.0</v>
      </c>
      <c r="F1752" s="107">
        <v>135.0</v>
      </c>
      <c r="G1752" s="15" t="str">
        <f t="shared" si="1"/>
        <v>31135</v>
      </c>
      <c r="H1752" s="23" t="s">
        <v>1498</v>
      </c>
      <c r="I1752" s="23" t="s">
        <v>79</v>
      </c>
      <c r="J1752" s="23" t="s">
        <v>624</v>
      </c>
      <c r="K1752" s="23" t="str">
        <f t="shared" si="28"/>
        <v>Perkins, NE</v>
      </c>
      <c r="L1752" s="24"/>
    </row>
    <row r="1753">
      <c r="A1753" s="99">
        <v>1752.0</v>
      </c>
      <c r="B1753" s="15"/>
      <c r="C1753" s="15"/>
      <c r="D1753" s="105">
        <v>1.0</v>
      </c>
      <c r="E1753" s="102">
        <v>31.0</v>
      </c>
      <c r="F1753" s="107">
        <v>137.0</v>
      </c>
      <c r="G1753" s="15" t="str">
        <f t="shared" si="1"/>
        <v>31137</v>
      </c>
      <c r="H1753" s="23" t="s">
        <v>1418</v>
      </c>
      <c r="I1753" s="23" t="s">
        <v>79</v>
      </c>
      <c r="J1753" s="23" t="s">
        <v>624</v>
      </c>
      <c r="K1753" s="23" t="str">
        <f t="shared" si="28"/>
        <v>Phelps, NE</v>
      </c>
      <c r="L1753" s="24"/>
    </row>
    <row r="1754">
      <c r="A1754" s="99">
        <v>1753.0</v>
      </c>
      <c r="B1754" s="15"/>
      <c r="C1754" s="15"/>
      <c r="D1754" s="105">
        <v>1.0</v>
      </c>
      <c r="E1754" s="102">
        <v>31.0</v>
      </c>
      <c r="F1754" s="107">
        <v>139.0</v>
      </c>
      <c r="G1754" s="15" t="str">
        <f t="shared" si="1"/>
        <v>31139</v>
      </c>
      <c r="H1754" s="23" t="s">
        <v>473</v>
      </c>
      <c r="I1754" s="23" t="s">
        <v>79</v>
      </c>
      <c r="J1754" s="23" t="s">
        <v>624</v>
      </c>
      <c r="K1754" s="23" t="str">
        <f t="shared" si="28"/>
        <v>Pierce, NE</v>
      </c>
      <c r="L1754" s="24"/>
    </row>
    <row r="1755">
      <c r="A1755" s="99">
        <v>1754.0</v>
      </c>
      <c r="B1755" s="15"/>
      <c r="C1755" s="15"/>
      <c r="D1755" s="105">
        <v>1.0</v>
      </c>
      <c r="E1755" s="102">
        <v>31.0</v>
      </c>
      <c r="F1755" s="107">
        <v>141.0</v>
      </c>
      <c r="G1755" s="15" t="str">
        <f t="shared" si="1"/>
        <v>31141</v>
      </c>
      <c r="H1755" s="23" t="s">
        <v>1419</v>
      </c>
      <c r="I1755" s="23" t="s">
        <v>79</v>
      </c>
      <c r="J1755" s="23" t="s">
        <v>624</v>
      </c>
      <c r="K1755" s="23" t="str">
        <f t="shared" si="28"/>
        <v>Platte, NE</v>
      </c>
      <c r="L1755" s="24"/>
    </row>
    <row r="1756">
      <c r="A1756" s="99">
        <v>1755.0</v>
      </c>
      <c r="B1756" s="15"/>
      <c r="C1756" s="15"/>
      <c r="D1756" s="105">
        <v>1.0</v>
      </c>
      <c r="E1756" s="102">
        <v>31.0</v>
      </c>
      <c r="F1756" s="107">
        <v>143.0</v>
      </c>
      <c r="G1756" s="15" t="str">
        <f t="shared" si="1"/>
        <v>31143</v>
      </c>
      <c r="H1756" s="23" t="s">
        <v>302</v>
      </c>
      <c r="I1756" s="23" t="s">
        <v>79</v>
      </c>
      <c r="J1756" s="23" t="s">
        <v>624</v>
      </c>
      <c r="K1756" s="23" t="str">
        <f t="shared" si="28"/>
        <v>Polk, NE</v>
      </c>
      <c r="L1756" s="24"/>
    </row>
    <row r="1757">
      <c r="A1757" s="99">
        <v>1756.0</v>
      </c>
      <c r="B1757" s="15"/>
      <c r="C1757" s="15"/>
      <c r="D1757" s="105">
        <v>1.0</v>
      </c>
      <c r="E1757" s="102">
        <v>31.0</v>
      </c>
      <c r="F1757" s="107">
        <v>145.0</v>
      </c>
      <c r="G1757" s="15" t="str">
        <f t="shared" si="1"/>
        <v>31145</v>
      </c>
      <c r="H1757" s="23" t="s">
        <v>1499</v>
      </c>
      <c r="I1757" s="23" t="s">
        <v>79</v>
      </c>
      <c r="J1757" s="23" t="s">
        <v>624</v>
      </c>
      <c r="K1757" s="23" t="str">
        <f t="shared" si="28"/>
        <v>Red Willow, NE</v>
      </c>
      <c r="L1757" s="24"/>
    </row>
    <row r="1758">
      <c r="A1758" s="99">
        <v>1757.0</v>
      </c>
      <c r="B1758" s="15"/>
      <c r="C1758" s="15"/>
      <c r="D1758" s="105">
        <v>1.0</v>
      </c>
      <c r="E1758" s="102">
        <v>31.0</v>
      </c>
      <c r="F1758" s="107">
        <v>147.0</v>
      </c>
      <c r="G1758" s="15" t="str">
        <f t="shared" si="1"/>
        <v>31147</v>
      </c>
      <c r="H1758" s="23" t="s">
        <v>1500</v>
      </c>
      <c r="I1758" s="23" t="s">
        <v>79</v>
      </c>
      <c r="J1758" s="23" t="s">
        <v>624</v>
      </c>
      <c r="K1758" s="23" t="str">
        <f t="shared" si="28"/>
        <v>Richardson, NE</v>
      </c>
      <c r="L1758" s="24"/>
    </row>
    <row r="1759">
      <c r="A1759" s="99">
        <v>1758.0</v>
      </c>
      <c r="B1759" s="15"/>
      <c r="C1759" s="15"/>
      <c r="D1759" s="105">
        <v>1.0</v>
      </c>
      <c r="E1759" s="102">
        <v>31.0</v>
      </c>
      <c r="F1759" s="107">
        <v>149.0</v>
      </c>
      <c r="G1759" s="15" t="str">
        <f t="shared" si="1"/>
        <v>31149</v>
      </c>
      <c r="H1759" s="23" t="s">
        <v>1341</v>
      </c>
      <c r="I1759" s="23" t="s">
        <v>79</v>
      </c>
      <c r="J1759" s="23" t="s">
        <v>624</v>
      </c>
      <c r="K1759" s="23" t="str">
        <f t="shared" si="28"/>
        <v>Rock, NE</v>
      </c>
      <c r="L1759" s="24"/>
    </row>
    <row r="1760">
      <c r="A1760" s="99">
        <v>1759.0</v>
      </c>
      <c r="B1760" s="15"/>
      <c r="C1760" s="15"/>
      <c r="D1760" s="105">
        <v>1.0</v>
      </c>
      <c r="E1760" s="102">
        <v>31.0</v>
      </c>
      <c r="F1760" s="107">
        <v>151.0</v>
      </c>
      <c r="G1760" s="15" t="str">
        <f t="shared" si="1"/>
        <v>31151</v>
      </c>
      <c r="H1760" s="23" t="s">
        <v>308</v>
      </c>
      <c r="I1760" s="23" t="s">
        <v>79</v>
      </c>
      <c r="J1760" s="23" t="s">
        <v>624</v>
      </c>
      <c r="K1760" s="23" t="str">
        <f t="shared" si="28"/>
        <v>Saline, NE</v>
      </c>
      <c r="L1760" s="24"/>
    </row>
    <row r="1761">
      <c r="A1761" s="99">
        <v>1760.0</v>
      </c>
      <c r="B1761" s="15"/>
      <c r="C1761" s="15"/>
      <c r="D1761" s="105">
        <v>1.0</v>
      </c>
      <c r="E1761" s="102">
        <v>31.0</v>
      </c>
      <c r="F1761" s="107">
        <v>153.0</v>
      </c>
      <c r="G1761" s="15" t="str">
        <f t="shared" si="1"/>
        <v>31153</v>
      </c>
      <c r="H1761" s="23" t="s">
        <v>1501</v>
      </c>
      <c r="I1761" s="23" t="s">
        <v>79</v>
      </c>
      <c r="J1761" s="23" t="s">
        <v>624</v>
      </c>
      <c r="K1761" s="23" t="str">
        <f t="shared" si="28"/>
        <v>Sarpy, NE</v>
      </c>
      <c r="L1761" s="24"/>
    </row>
    <row r="1762">
      <c r="A1762" s="99">
        <v>1761.0</v>
      </c>
      <c r="B1762" s="15"/>
      <c r="C1762" s="15"/>
      <c r="D1762" s="105">
        <v>1.0</v>
      </c>
      <c r="E1762" s="102">
        <v>31.0</v>
      </c>
      <c r="F1762" s="107">
        <v>155.0</v>
      </c>
      <c r="G1762" s="15" t="str">
        <f t="shared" si="1"/>
        <v>31155</v>
      </c>
      <c r="H1762" s="23" t="s">
        <v>1502</v>
      </c>
      <c r="I1762" s="23" t="s">
        <v>79</v>
      </c>
      <c r="J1762" s="23" t="s">
        <v>624</v>
      </c>
      <c r="K1762" s="23" t="str">
        <f t="shared" si="28"/>
        <v>Saunders, NE</v>
      </c>
      <c r="L1762" s="24"/>
    </row>
    <row r="1763">
      <c r="A1763" s="99">
        <v>1762.0</v>
      </c>
      <c r="B1763" s="15"/>
      <c r="C1763" s="15"/>
      <c r="D1763" s="105">
        <v>1.0</v>
      </c>
      <c r="E1763" s="102">
        <v>31.0</v>
      </c>
      <c r="F1763" s="107">
        <v>157.0</v>
      </c>
      <c r="G1763" s="15" t="str">
        <f t="shared" si="1"/>
        <v>31157</v>
      </c>
      <c r="H1763" s="23" t="s">
        <v>1503</v>
      </c>
      <c r="I1763" s="23" t="s">
        <v>79</v>
      </c>
      <c r="J1763" s="23" t="s">
        <v>624</v>
      </c>
      <c r="K1763" s="23" t="str">
        <f t="shared" si="28"/>
        <v>Scotts Bluff, NE</v>
      </c>
      <c r="L1763" s="24"/>
    </row>
    <row r="1764">
      <c r="A1764" s="99">
        <v>1763.0</v>
      </c>
      <c r="B1764" s="15"/>
      <c r="C1764" s="15"/>
      <c r="D1764" s="105">
        <v>1.0</v>
      </c>
      <c r="E1764" s="102">
        <v>31.0</v>
      </c>
      <c r="F1764" s="107">
        <v>159.0</v>
      </c>
      <c r="G1764" s="15" t="str">
        <f t="shared" si="1"/>
        <v>31159</v>
      </c>
      <c r="H1764" s="23" t="s">
        <v>1008</v>
      </c>
      <c r="I1764" s="23" t="s">
        <v>79</v>
      </c>
      <c r="J1764" s="23" t="s">
        <v>624</v>
      </c>
      <c r="K1764" s="23" t="str">
        <f t="shared" si="28"/>
        <v>Seward, NE</v>
      </c>
      <c r="L1764" s="24"/>
    </row>
    <row r="1765">
      <c r="A1765" s="99">
        <v>1764.0</v>
      </c>
      <c r="B1765" s="15"/>
      <c r="C1765" s="15"/>
      <c r="D1765" s="105">
        <v>1.0</v>
      </c>
      <c r="E1765" s="102">
        <v>31.0</v>
      </c>
      <c r="F1765" s="107">
        <v>161.0</v>
      </c>
      <c r="G1765" s="15" t="str">
        <f t="shared" si="1"/>
        <v>31161</v>
      </c>
      <c r="H1765" s="23" t="s">
        <v>1010</v>
      </c>
      <c r="I1765" s="23" t="s">
        <v>79</v>
      </c>
      <c r="J1765" s="23" t="s">
        <v>624</v>
      </c>
      <c r="K1765" s="23" t="str">
        <f t="shared" si="28"/>
        <v>Sheridan, NE</v>
      </c>
      <c r="L1765" s="24"/>
    </row>
    <row r="1766">
      <c r="A1766" s="99">
        <v>1765.0</v>
      </c>
      <c r="B1766" s="15"/>
      <c r="C1766" s="15"/>
      <c r="D1766" s="105">
        <v>1.0</v>
      </c>
      <c r="E1766" s="102">
        <v>31.0</v>
      </c>
      <c r="F1766" s="107">
        <v>163.0</v>
      </c>
      <c r="G1766" s="15" t="str">
        <f t="shared" si="1"/>
        <v>31163</v>
      </c>
      <c r="H1766" s="23" t="s">
        <v>1011</v>
      </c>
      <c r="I1766" s="23" t="s">
        <v>79</v>
      </c>
      <c r="J1766" s="23" t="s">
        <v>624</v>
      </c>
      <c r="K1766" s="23" t="str">
        <f t="shared" si="28"/>
        <v>Sherman, NE</v>
      </c>
      <c r="L1766" s="24"/>
    </row>
    <row r="1767">
      <c r="A1767" s="99">
        <v>1766.0</v>
      </c>
      <c r="B1767" s="15"/>
      <c r="C1767" s="15"/>
      <c r="D1767" s="105">
        <v>1.0</v>
      </c>
      <c r="E1767" s="102">
        <v>31.0</v>
      </c>
      <c r="F1767" s="107">
        <v>165.0</v>
      </c>
      <c r="G1767" s="15" t="str">
        <f t="shared" si="1"/>
        <v>31165</v>
      </c>
      <c r="H1767" s="23" t="s">
        <v>937</v>
      </c>
      <c r="I1767" s="23" t="s">
        <v>79</v>
      </c>
      <c r="J1767" s="23" t="s">
        <v>624</v>
      </c>
      <c r="K1767" s="23" t="str">
        <f t="shared" si="28"/>
        <v>Sioux, NE</v>
      </c>
      <c r="L1767" s="24"/>
    </row>
    <row r="1768">
      <c r="A1768" s="99">
        <v>1767.0</v>
      </c>
      <c r="B1768" s="15"/>
      <c r="C1768" s="15"/>
      <c r="D1768" s="105">
        <v>1.0</v>
      </c>
      <c r="E1768" s="102">
        <v>31.0</v>
      </c>
      <c r="F1768" s="107">
        <v>167.0</v>
      </c>
      <c r="G1768" s="15" t="str">
        <f t="shared" si="1"/>
        <v>31167</v>
      </c>
      <c r="H1768" s="23" t="s">
        <v>1014</v>
      </c>
      <c r="I1768" s="23" t="s">
        <v>79</v>
      </c>
      <c r="J1768" s="23" t="s">
        <v>624</v>
      </c>
      <c r="K1768" s="23" t="str">
        <f t="shared" si="28"/>
        <v>Stanton, NE</v>
      </c>
      <c r="L1768" s="24"/>
    </row>
    <row r="1769">
      <c r="A1769" s="99">
        <v>1768.0</v>
      </c>
      <c r="B1769" s="15"/>
      <c r="C1769" s="15"/>
      <c r="D1769" s="105">
        <v>1.0</v>
      </c>
      <c r="E1769" s="102">
        <v>31.0</v>
      </c>
      <c r="F1769" s="107">
        <v>169.0</v>
      </c>
      <c r="G1769" s="15" t="str">
        <f t="shared" si="1"/>
        <v>31169</v>
      </c>
      <c r="H1769" s="23" t="s">
        <v>1504</v>
      </c>
      <c r="I1769" s="23" t="s">
        <v>79</v>
      </c>
      <c r="J1769" s="23" t="s">
        <v>624</v>
      </c>
      <c r="K1769" s="23" t="str">
        <f t="shared" si="28"/>
        <v>Thayer, NE</v>
      </c>
      <c r="L1769" s="24"/>
    </row>
    <row r="1770">
      <c r="A1770" s="99">
        <v>1769.0</v>
      </c>
      <c r="B1770" s="15"/>
      <c r="C1770" s="15"/>
      <c r="D1770" s="105">
        <v>1.0</v>
      </c>
      <c r="E1770" s="102">
        <v>31.0</v>
      </c>
      <c r="F1770" s="107">
        <v>171.0</v>
      </c>
      <c r="G1770" s="15" t="str">
        <f t="shared" si="1"/>
        <v>31171</v>
      </c>
      <c r="H1770" s="23" t="s">
        <v>636</v>
      </c>
      <c r="I1770" s="23" t="s">
        <v>79</v>
      </c>
      <c r="J1770" s="23" t="s">
        <v>624</v>
      </c>
      <c r="K1770" s="23" t="str">
        <f t="shared" si="28"/>
        <v>Thomas, NE</v>
      </c>
      <c r="L1770" s="24"/>
    </row>
    <row r="1771">
      <c r="A1771" s="99">
        <v>1770.0</v>
      </c>
      <c r="B1771" s="15"/>
      <c r="C1771" s="15"/>
      <c r="D1771" s="105">
        <v>1.0</v>
      </c>
      <c r="E1771" s="102">
        <v>31.0</v>
      </c>
      <c r="F1771" s="107">
        <v>173.0</v>
      </c>
      <c r="G1771" s="15" t="str">
        <f t="shared" si="1"/>
        <v>31173</v>
      </c>
      <c r="H1771" s="23" t="s">
        <v>1505</v>
      </c>
      <c r="I1771" s="23" t="s">
        <v>79</v>
      </c>
      <c r="J1771" s="23" t="s">
        <v>624</v>
      </c>
      <c r="K1771" s="23" t="str">
        <f t="shared" si="28"/>
        <v>Thurston, NE</v>
      </c>
      <c r="L1771" s="24"/>
    </row>
    <row r="1772">
      <c r="A1772" s="99">
        <v>1771.0</v>
      </c>
      <c r="B1772" s="15"/>
      <c r="C1772" s="15"/>
      <c r="D1772" s="105">
        <v>1.0</v>
      </c>
      <c r="E1772" s="102">
        <v>31.0</v>
      </c>
      <c r="F1772" s="107">
        <v>175.0</v>
      </c>
      <c r="G1772" s="15" t="str">
        <f t="shared" si="1"/>
        <v>31175</v>
      </c>
      <c r="H1772" s="23" t="s">
        <v>692</v>
      </c>
      <c r="I1772" s="23" t="s">
        <v>79</v>
      </c>
      <c r="J1772" s="23" t="s">
        <v>624</v>
      </c>
      <c r="K1772" s="23" t="str">
        <f t="shared" si="28"/>
        <v>Valley, NE</v>
      </c>
      <c r="L1772" s="24"/>
    </row>
    <row r="1773">
      <c r="A1773" s="99">
        <v>1772.0</v>
      </c>
      <c r="B1773" s="15"/>
      <c r="C1773" s="15"/>
      <c r="D1773" s="105">
        <v>1.0</v>
      </c>
      <c r="E1773" s="102">
        <v>31.0</v>
      </c>
      <c r="F1773" s="107">
        <v>177.0</v>
      </c>
      <c r="G1773" s="15" t="str">
        <f t="shared" si="1"/>
        <v>31177</v>
      </c>
      <c r="H1773" s="23" t="s">
        <v>119</v>
      </c>
      <c r="I1773" s="23" t="s">
        <v>79</v>
      </c>
      <c r="J1773" s="23" t="s">
        <v>624</v>
      </c>
      <c r="K1773" s="23" t="str">
        <f t="shared" si="28"/>
        <v>Washington, NE</v>
      </c>
      <c r="L1773" s="24"/>
    </row>
    <row r="1774">
      <c r="A1774" s="99">
        <v>1773.0</v>
      </c>
      <c r="B1774" s="15"/>
      <c r="C1774" s="15"/>
      <c r="D1774" s="105">
        <v>1.0</v>
      </c>
      <c r="E1774" s="102">
        <v>31.0</v>
      </c>
      <c r="F1774" s="107">
        <v>179.0</v>
      </c>
      <c r="G1774" s="15" t="str">
        <f t="shared" si="1"/>
        <v>31179</v>
      </c>
      <c r="H1774" s="23" t="s">
        <v>273</v>
      </c>
      <c r="I1774" s="23" t="s">
        <v>79</v>
      </c>
      <c r="J1774" s="23" t="s">
        <v>624</v>
      </c>
      <c r="K1774" s="23" t="str">
        <f t="shared" si="28"/>
        <v>Wayne, NE</v>
      </c>
      <c r="L1774" s="24"/>
    </row>
    <row r="1775">
      <c r="A1775" s="99">
        <v>1774.0</v>
      </c>
      <c r="B1775" s="15"/>
      <c r="C1775" s="15"/>
      <c r="D1775" s="105">
        <v>1.0</v>
      </c>
      <c r="E1775" s="102">
        <v>31.0</v>
      </c>
      <c r="F1775" s="107">
        <v>181.0</v>
      </c>
      <c r="G1775" s="15" t="str">
        <f t="shared" si="1"/>
        <v>31181</v>
      </c>
      <c r="H1775" s="23" t="s">
        <v>648</v>
      </c>
      <c r="I1775" s="23" t="s">
        <v>79</v>
      </c>
      <c r="J1775" s="23" t="s">
        <v>624</v>
      </c>
      <c r="K1775" s="23" t="str">
        <f t="shared" si="28"/>
        <v>Webster, NE</v>
      </c>
      <c r="L1775" s="24"/>
    </row>
    <row r="1776">
      <c r="A1776" s="99">
        <v>1775.0</v>
      </c>
      <c r="B1776" s="15"/>
      <c r="C1776" s="15"/>
      <c r="D1776" s="105">
        <v>1.0</v>
      </c>
      <c r="E1776" s="102">
        <v>31.0</v>
      </c>
      <c r="F1776" s="107">
        <v>183.0</v>
      </c>
      <c r="G1776" s="15" t="str">
        <f t="shared" si="1"/>
        <v>31183</v>
      </c>
      <c r="H1776" s="23" t="s">
        <v>649</v>
      </c>
      <c r="I1776" s="23" t="s">
        <v>79</v>
      </c>
      <c r="J1776" s="23" t="s">
        <v>624</v>
      </c>
      <c r="K1776" s="23" t="str">
        <f t="shared" si="28"/>
        <v>Wheeler, NE</v>
      </c>
      <c r="L1776" s="24"/>
    </row>
    <row r="1777">
      <c r="A1777" s="99">
        <v>1776.0</v>
      </c>
      <c r="B1777" s="15"/>
      <c r="C1777" s="15"/>
      <c r="D1777" s="105">
        <v>1.0</v>
      </c>
      <c r="E1777" s="102">
        <v>31.0</v>
      </c>
      <c r="F1777" s="107">
        <v>185.0</v>
      </c>
      <c r="G1777" s="15" t="str">
        <f t="shared" si="1"/>
        <v>31185</v>
      </c>
      <c r="H1777" s="23" t="s">
        <v>1196</v>
      </c>
      <c r="I1777" s="23" t="s">
        <v>79</v>
      </c>
      <c r="J1777" s="23" t="s">
        <v>624</v>
      </c>
      <c r="K1777" s="23" t="str">
        <f t="shared" si="28"/>
        <v>York, NE</v>
      </c>
      <c r="L1777" s="24"/>
    </row>
    <row r="1778">
      <c r="A1778" s="28">
        <v>1777.0</v>
      </c>
      <c r="B1778" s="29"/>
      <c r="C1778" s="29" t="s">
        <v>25</v>
      </c>
      <c r="D1778" s="30"/>
      <c r="E1778" s="31">
        <v>32.0</v>
      </c>
      <c r="F1778" s="42">
        <v>0.0</v>
      </c>
      <c r="G1778" s="29" t="str">
        <f t="shared" si="1"/>
        <v>32000</v>
      </c>
      <c r="H1778" s="37"/>
      <c r="I1778" s="37" t="s">
        <v>82</v>
      </c>
      <c r="J1778" s="37" t="s">
        <v>259</v>
      </c>
      <c r="K1778" s="37"/>
      <c r="L1778" s="24"/>
    </row>
    <row r="1779">
      <c r="A1779" s="28">
        <v>1778.0</v>
      </c>
      <c r="B1779" s="29"/>
      <c r="C1779" s="29"/>
      <c r="D1779" s="40">
        <v>1.0</v>
      </c>
      <c r="E1779" s="31">
        <v>32.0</v>
      </c>
      <c r="F1779" s="42">
        <v>1.0</v>
      </c>
      <c r="G1779" s="29" t="str">
        <f t="shared" si="1"/>
        <v>32001</v>
      </c>
      <c r="H1779" s="37" t="s">
        <v>1506</v>
      </c>
      <c r="I1779" s="37" t="s">
        <v>82</v>
      </c>
      <c r="J1779" s="37" t="s">
        <v>259</v>
      </c>
      <c r="K1779" s="37" t="str">
        <f t="shared" ref="K1779:K1795" si="29">CONCATENATE(H1779,", ",J1779)</f>
        <v>Churchill, NV</v>
      </c>
      <c r="L1779" s="24"/>
    </row>
    <row r="1780">
      <c r="A1780" s="28">
        <v>1779.0</v>
      </c>
      <c r="B1780" s="29"/>
      <c r="C1780" s="29"/>
      <c r="D1780" s="40">
        <v>1.0</v>
      </c>
      <c r="E1780" s="31">
        <v>32.0</v>
      </c>
      <c r="F1780" s="42">
        <v>3.0</v>
      </c>
      <c r="G1780" s="29" t="str">
        <f t="shared" si="1"/>
        <v>32003</v>
      </c>
      <c r="H1780" s="37" t="s">
        <v>253</v>
      </c>
      <c r="I1780" s="37" t="s">
        <v>82</v>
      </c>
      <c r="J1780" s="37" t="s">
        <v>259</v>
      </c>
      <c r="K1780" s="37" t="str">
        <f t="shared" si="29"/>
        <v>Clark, NV</v>
      </c>
      <c r="L1780" s="24"/>
    </row>
    <row r="1781">
      <c r="A1781" s="28">
        <v>1780.0</v>
      </c>
      <c r="B1781" s="29"/>
      <c r="C1781" s="29"/>
      <c r="D1781" s="40">
        <v>1.0</v>
      </c>
      <c r="E1781" s="31">
        <v>32.0</v>
      </c>
      <c r="F1781" s="42">
        <v>5.0</v>
      </c>
      <c r="G1781" s="29" t="str">
        <f t="shared" si="1"/>
        <v>32005</v>
      </c>
      <c r="H1781" s="37" t="s">
        <v>412</v>
      </c>
      <c r="I1781" s="37" t="s">
        <v>82</v>
      </c>
      <c r="J1781" s="37" t="s">
        <v>259</v>
      </c>
      <c r="K1781" s="37" t="str">
        <f t="shared" si="29"/>
        <v>Douglas, NV</v>
      </c>
      <c r="L1781" s="24"/>
    </row>
    <row r="1782">
      <c r="A1782" s="28">
        <v>1781.0</v>
      </c>
      <c r="B1782" s="29"/>
      <c r="C1782" s="29"/>
      <c r="D1782" s="40">
        <v>1.0</v>
      </c>
      <c r="E1782" s="31">
        <v>32.0</v>
      </c>
      <c r="F1782" s="42">
        <v>7.0</v>
      </c>
      <c r="G1782" s="29" t="str">
        <f t="shared" si="1"/>
        <v>32007</v>
      </c>
      <c r="H1782" s="37" t="s">
        <v>1507</v>
      </c>
      <c r="I1782" s="37" t="s">
        <v>82</v>
      </c>
      <c r="J1782" s="37" t="s">
        <v>259</v>
      </c>
      <c r="K1782" s="37" t="str">
        <f t="shared" si="29"/>
        <v>Elko, NV</v>
      </c>
      <c r="L1782" s="24"/>
    </row>
    <row r="1783">
      <c r="A1783" s="28">
        <v>1782.0</v>
      </c>
      <c r="B1783" s="29"/>
      <c r="C1783" s="29"/>
      <c r="D1783" s="40">
        <v>1.0</v>
      </c>
      <c r="E1783" s="31">
        <v>32.0</v>
      </c>
      <c r="F1783" s="42">
        <v>9.0</v>
      </c>
      <c r="G1783" s="29" t="str">
        <f t="shared" si="1"/>
        <v>32009</v>
      </c>
      <c r="H1783" s="37" t="s">
        <v>1508</v>
      </c>
      <c r="I1783" s="37" t="s">
        <v>82</v>
      </c>
      <c r="J1783" s="37" t="s">
        <v>259</v>
      </c>
      <c r="K1783" s="37" t="str">
        <f t="shared" si="29"/>
        <v>Esmeralda, NV</v>
      </c>
      <c r="L1783" s="24"/>
    </row>
    <row r="1784">
      <c r="A1784" s="28">
        <v>1783.0</v>
      </c>
      <c r="B1784" s="29"/>
      <c r="C1784" s="29"/>
      <c r="D1784" s="40">
        <v>1.0</v>
      </c>
      <c r="E1784" s="31">
        <v>32.0</v>
      </c>
      <c r="F1784" s="42">
        <v>11.0</v>
      </c>
      <c r="G1784" s="29" t="str">
        <f t="shared" si="1"/>
        <v>32011</v>
      </c>
      <c r="H1784" s="37" t="s">
        <v>1509</v>
      </c>
      <c r="I1784" s="37" t="s">
        <v>82</v>
      </c>
      <c r="J1784" s="37" t="s">
        <v>259</v>
      </c>
      <c r="K1784" s="37" t="str">
        <f t="shared" si="29"/>
        <v>Eureka, NV</v>
      </c>
      <c r="L1784" s="24"/>
    </row>
    <row r="1785">
      <c r="A1785" s="28">
        <v>1784.0</v>
      </c>
      <c r="B1785" s="29"/>
      <c r="C1785" s="29"/>
      <c r="D1785" s="40">
        <v>1.0</v>
      </c>
      <c r="E1785" s="31">
        <v>32.0</v>
      </c>
      <c r="F1785" s="42">
        <v>13.0</v>
      </c>
      <c r="G1785" s="29" t="str">
        <f t="shared" si="1"/>
        <v>32013</v>
      </c>
      <c r="H1785" s="37" t="s">
        <v>333</v>
      </c>
      <c r="I1785" s="37" t="s">
        <v>82</v>
      </c>
      <c r="J1785" s="37" t="s">
        <v>259</v>
      </c>
      <c r="K1785" s="37" t="str">
        <f t="shared" si="29"/>
        <v>Humboldt, NV</v>
      </c>
      <c r="L1785" s="24"/>
    </row>
    <row r="1786">
      <c r="A1786" s="28">
        <v>1785.0</v>
      </c>
      <c r="B1786" s="29"/>
      <c r="C1786" s="29"/>
      <c r="D1786" s="40">
        <v>1.0</v>
      </c>
      <c r="E1786" s="31">
        <v>32.0</v>
      </c>
      <c r="F1786" s="42">
        <v>15.0</v>
      </c>
      <c r="G1786" s="29" t="str">
        <f t="shared" si="1"/>
        <v>32015</v>
      </c>
      <c r="H1786" s="37" t="s">
        <v>1510</v>
      </c>
      <c r="I1786" s="37" t="s">
        <v>82</v>
      </c>
      <c r="J1786" s="37" t="s">
        <v>259</v>
      </c>
      <c r="K1786" s="37" t="str">
        <f t="shared" si="29"/>
        <v>Lander, NV</v>
      </c>
      <c r="L1786" s="24"/>
    </row>
    <row r="1787">
      <c r="A1787" s="28">
        <v>1786.0</v>
      </c>
      <c r="B1787" s="29"/>
      <c r="C1787" s="29"/>
      <c r="D1787" s="40">
        <v>1.0</v>
      </c>
      <c r="E1787" s="31">
        <v>32.0</v>
      </c>
      <c r="F1787" s="42">
        <v>17.0</v>
      </c>
      <c r="G1787" s="29" t="str">
        <f t="shared" si="1"/>
        <v>32017</v>
      </c>
      <c r="H1787" s="37" t="s">
        <v>290</v>
      </c>
      <c r="I1787" s="37" t="s">
        <v>82</v>
      </c>
      <c r="J1787" s="37" t="s">
        <v>259</v>
      </c>
      <c r="K1787" s="37" t="str">
        <f t="shared" si="29"/>
        <v>Lincoln, NV</v>
      </c>
      <c r="L1787" s="24"/>
    </row>
    <row r="1788">
      <c r="A1788" s="28">
        <v>1787.0</v>
      </c>
      <c r="B1788" s="29"/>
      <c r="C1788" s="29"/>
      <c r="D1788" s="40">
        <v>1.0</v>
      </c>
      <c r="E1788" s="31">
        <v>32.0</v>
      </c>
      <c r="F1788" s="42">
        <v>19.0</v>
      </c>
      <c r="G1788" s="29" t="str">
        <f t="shared" si="1"/>
        <v>32019</v>
      </c>
      <c r="H1788" s="37" t="s">
        <v>910</v>
      </c>
      <c r="I1788" s="37" t="s">
        <v>82</v>
      </c>
      <c r="J1788" s="37" t="s">
        <v>259</v>
      </c>
      <c r="K1788" s="37" t="str">
        <f t="shared" si="29"/>
        <v>Lyon, NV</v>
      </c>
      <c r="L1788" s="24"/>
    </row>
    <row r="1789">
      <c r="A1789" s="28">
        <v>1788.0</v>
      </c>
      <c r="B1789" s="29"/>
      <c r="C1789" s="29"/>
      <c r="D1789" s="40">
        <v>1.0</v>
      </c>
      <c r="E1789" s="31">
        <v>32.0</v>
      </c>
      <c r="F1789" s="42">
        <v>21.0</v>
      </c>
      <c r="G1789" s="29" t="str">
        <f t="shared" si="1"/>
        <v>32021</v>
      </c>
      <c r="H1789" s="37" t="s">
        <v>435</v>
      </c>
      <c r="I1789" s="37" t="s">
        <v>82</v>
      </c>
      <c r="J1789" s="37" t="s">
        <v>259</v>
      </c>
      <c r="K1789" s="37" t="str">
        <f t="shared" si="29"/>
        <v>Mineral, NV</v>
      </c>
      <c r="L1789" s="24"/>
    </row>
    <row r="1790">
      <c r="A1790" s="28">
        <v>1789.0</v>
      </c>
      <c r="B1790" s="29"/>
      <c r="C1790" s="29"/>
      <c r="D1790" s="40">
        <v>1.0</v>
      </c>
      <c r="E1790" s="31">
        <v>32.0</v>
      </c>
      <c r="F1790" s="42">
        <v>23.0</v>
      </c>
      <c r="G1790" s="29" t="str">
        <f t="shared" si="1"/>
        <v>32023</v>
      </c>
      <c r="H1790" s="37" t="s">
        <v>1511</v>
      </c>
      <c r="I1790" s="37" t="s">
        <v>82</v>
      </c>
      <c r="J1790" s="37" t="s">
        <v>259</v>
      </c>
      <c r="K1790" s="37" t="str">
        <f t="shared" si="29"/>
        <v>Nye, NV</v>
      </c>
      <c r="L1790" s="24"/>
    </row>
    <row r="1791">
      <c r="A1791" s="28">
        <v>1790.0</v>
      </c>
      <c r="B1791" s="29"/>
      <c r="C1791" s="29"/>
      <c r="D1791" s="40">
        <v>1.0</v>
      </c>
      <c r="E1791" s="31">
        <v>32.0</v>
      </c>
      <c r="F1791" s="42">
        <v>27.0</v>
      </c>
      <c r="G1791" s="29" t="str">
        <f t="shared" si="1"/>
        <v>32027</v>
      </c>
      <c r="H1791" s="37" t="s">
        <v>1512</v>
      </c>
      <c r="I1791" s="37" t="s">
        <v>82</v>
      </c>
      <c r="J1791" s="37" t="s">
        <v>259</v>
      </c>
      <c r="K1791" s="37" t="str">
        <f t="shared" si="29"/>
        <v>Pershing, NV</v>
      </c>
      <c r="L1791" s="24"/>
    </row>
    <row r="1792">
      <c r="A1792" s="28">
        <v>1791.0</v>
      </c>
      <c r="B1792" s="29"/>
      <c r="C1792" s="29"/>
      <c r="D1792" s="40">
        <v>1.0</v>
      </c>
      <c r="E1792" s="31">
        <v>32.0</v>
      </c>
      <c r="F1792" s="42">
        <v>29.0</v>
      </c>
      <c r="G1792" s="29" t="str">
        <f t="shared" si="1"/>
        <v>32029</v>
      </c>
      <c r="H1792" s="37" t="s">
        <v>1513</v>
      </c>
      <c r="I1792" s="37" t="s">
        <v>82</v>
      </c>
      <c r="J1792" s="37" t="s">
        <v>259</v>
      </c>
      <c r="K1792" s="37" t="str">
        <f t="shared" si="29"/>
        <v>Storey, NV</v>
      </c>
      <c r="L1792" s="24"/>
    </row>
    <row r="1793">
      <c r="A1793" s="28">
        <v>1792.0</v>
      </c>
      <c r="B1793" s="29"/>
      <c r="C1793" s="29"/>
      <c r="D1793" s="40">
        <v>1.0</v>
      </c>
      <c r="E1793" s="31">
        <v>32.0</v>
      </c>
      <c r="F1793" s="42">
        <v>31.0</v>
      </c>
      <c r="G1793" s="29" t="str">
        <f t="shared" si="1"/>
        <v>32031</v>
      </c>
      <c r="H1793" s="37" t="s">
        <v>1514</v>
      </c>
      <c r="I1793" s="37" t="s">
        <v>82</v>
      </c>
      <c r="J1793" s="37" t="s">
        <v>259</v>
      </c>
      <c r="K1793" s="37" t="str">
        <f t="shared" si="29"/>
        <v>Washoe, NV</v>
      </c>
      <c r="L1793" s="24"/>
    </row>
    <row r="1794">
      <c r="A1794" s="28">
        <v>1793.0</v>
      </c>
      <c r="B1794" s="29"/>
      <c r="C1794" s="29"/>
      <c r="D1794" s="40">
        <v>1.0</v>
      </c>
      <c r="E1794" s="31">
        <v>32.0</v>
      </c>
      <c r="F1794" s="42">
        <v>33.0</v>
      </c>
      <c r="G1794" s="29" t="str">
        <f t="shared" si="1"/>
        <v>32033</v>
      </c>
      <c r="H1794" s="37" t="s">
        <v>1515</v>
      </c>
      <c r="I1794" s="37" t="s">
        <v>82</v>
      </c>
      <c r="J1794" s="37" t="s">
        <v>259</v>
      </c>
      <c r="K1794" s="37" t="str">
        <f t="shared" si="29"/>
        <v>White Pine, NV</v>
      </c>
      <c r="L1794" s="24"/>
    </row>
    <row r="1795">
      <c r="A1795" s="28">
        <v>1794.0</v>
      </c>
      <c r="B1795" s="29"/>
      <c r="C1795" s="29"/>
      <c r="D1795" s="40">
        <v>1.0</v>
      </c>
      <c r="E1795" s="31">
        <v>32.0</v>
      </c>
      <c r="F1795" s="42">
        <v>510.0</v>
      </c>
      <c r="G1795" s="29" t="str">
        <f t="shared" si="1"/>
        <v>32510</v>
      </c>
      <c r="H1795" s="37" t="s">
        <v>1516</v>
      </c>
      <c r="I1795" s="37" t="s">
        <v>82</v>
      </c>
      <c r="J1795" s="37" t="s">
        <v>259</v>
      </c>
      <c r="K1795" s="37" t="str">
        <f t="shared" si="29"/>
        <v>Carson City, NV</v>
      </c>
      <c r="L1795" s="24"/>
    </row>
    <row r="1796">
      <c r="A1796" s="99">
        <v>1795.0</v>
      </c>
      <c r="B1796" s="15"/>
      <c r="C1796" s="14" t="s">
        <v>25</v>
      </c>
      <c r="D1796" s="16"/>
      <c r="E1796" s="102">
        <v>33.0</v>
      </c>
      <c r="F1796" s="107">
        <v>0.0</v>
      </c>
      <c r="G1796" s="15" t="str">
        <f t="shared" si="1"/>
        <v>33000</v>
      </c>
      <c r="H1796" s="23"/>
      <c r="I1796" s="23" t="s">
        <v>85</v>
      </c>
      <c r="J1796" s="23" t="s">
        <v>1517</v>
      </c>
      <c r="K1796" s="23"/>
      <c r="L1796" s="24"/>
    </row>
    <row r="1797">
      <c r="A1797" s="99">
        <v>1796.0</v>
      </c>
      <c r="B1797" s="15"/>
      <c r="C1797" s="15"/>
      <c r="D1797" s="105">
        <v>1.0</v>
      </c>
      <c r="E1797" s="102">
        <v>33.0</v>
      </c>
      <c r="F1797" s="107">
        <v>1.0</v>
      </c>
      <c r="G1797" s="15" t="str">
        <f t="shared" si="1"/>
        <v>33001</v>
      </c>
      <c r="H1797" s="23" t="s">
        <v>1518</v>
      </c>
      <c r="I1797" s="23" t="s">
        <v>85</v>
      </c>
      <c r="J1797" s="23" t="s">
        <v>1517</v>
      </c>
      <c r="K1797" s="23" t="str">
        <f t="shared" ref="K1797:K1806" si="30">CONCATENATE(H1797,", ",J1797)</f>
        <v>Belknap, NH</v>
      </c>
      <c r="L1797" s="24"/>
    </row>
    <row r="1798">
      <c r="A1798" s="99">
        <v>1797.0</v>
      </c>
      <c r="B1798" s="15"/>
      <c r="C1798" s="15"/>
      <c r="D1798" s="105">
        <v>1.0</v>
      </c>
      <c r="E1798" s="102">
        <v>33.0</v>
      </c>
      <c r="F1798" s="107">
        <v>3.0</v>
      </c>
      <c r="G1798" s="15" t="str">
        <f t="shared" si="1"/>
        <v>33003</v>
      </c>
      <c r="H1798" s="23" t="s">
        <v>248</v>
      </c>
      <c r="I1798" s="23" t="s">
        <v>85</v>
      </c>
      <c r="J1798" s="23" t="s">
        <v>1517</v>
      </c>
      <c r="K1798" s="23" t="str">
        <f t="shared" si="30"/>
        <v>Carroll, NH</v>
      </c>
      <c r="L1798" s="24"/>
    </row>
    <row r="1799">
      <c r="A1799" s="99">
        <v>1798.0</v>
      </c>
      <c r="B1799" s="15"/>
      <c r="C1799" s="15"/>
      <c r="D1799" s="105">
        <v>1.0</v>
      </c>
      <c r="E1799" s="102">
        <v>33.0</v>
      </c>
      <c r="F1799" s="107">
        <v>5.0</v>
      </c>
      <c r="G1799" s="15" t="str">
        <f t="shared" si="1"/>
        <v>33005</v>
      </c>
      <c r="H1799" s="23" t="s">
        <v>1519</v>
      </c>
      <c r="I1799" s="23" t="s">
        <v>85</v>
      </c>
      <c r="J1799" s="23" t="s">
        <v>1517</v>
      </c>
      <c r="K1799" s="23" t="str">
        <f t="shared" si="30"/>
        <v>Cheshire, NH</v>
      </c>
      <c r="L1799" s="24"/>
    </row>
    <row r="1800">
      <c r="A1800" s="99">
        <v>1799.0</v>
      </c>
      <c r="B1800" s="15"/>
      <c r="C1800" s="15"/>
      <c r="D1800" s="105">
        <v>1.0</v>
      </c>
      <c r="E1800" s="102">
        <v>33.0</v>
      </c>
      <c r="F1800" s="107">
        <v>7.0</v>
      </c>
      <c r="G1800" s="15" t="str">
        <f t="shared" si="1"/>
        <v>33007</v>
      </c>
      <c r="H1800" s="23" t="s">
        <v>1520</v>
      </c>
      <c r="I1800" s="23" t="s">
        <v>85</v>
      </c>
      <c r="J1800" s="23" t="s">
        <v>1517</v>
      </c>
      <c r="K1800" s="23" t="str">
        <f t="shared" si="30"/>
        <v>Coos, NH</v>
      </c>
      <c r="L1800" s="24"/>
    </row>
    <row r="1801">
      <c r="A1801" s="99">
        <v>1800.0</v>
      </c>
      <c r="B1801" s="15"/>
      <c r="C1801" s="15"/>
      <c r="D1801" s="105">
        <v>1.0</v>
      </c>
      <c r="E1801" s="102">
        <v>33.0</v>
      </c>
      <c r="F1801" s="107">
        <v>9.0</v>
      </c>
      <c r="G1801" s="15" t="str">
        <f t="shared" si="1"/>
        <v>33009</v>
      </c>
      <c r="H1801" s="23" t="s">
        <v>1521</v>
      </c>
      <c r="I1801" s="23" t="s">
        <v>85</v>
      </c>
      <c r="J1801" s="23" t="s">
        <v>1517</v>
      </c>
      <c r="K1801" s="23" t="str">
        <f t="shared" si="30"/>
        <v>Grafton, NH</v>
      </c>
      <c r="L1801" s="24"/>
    </row>
    <row r="1802">
      <c r="A1802" s="99">
        <v>1801.0</v>
      </c>
      <c r="B1802" s="15"/>
      <c r="C1802" s="15"/>
      <c r="D1802" s="105">
        <v>1.0</v>
      </c>
      <c r="E1802" s="102">
        <v>33.0</v>
      </c>
      <c r="F1802" s="107">
        <v>11.0</v>
      </c>
      <c r="G1802" s="15" t="str">
        <f t="shared" si="1"/>
        <v>33011</v>
      </c>
      <c r="H1802" s="23" t="s">
        <v>306</v>
      </c>
      <c r="I1802" s="23" t="s">
        <v>85</v>
      </c>
      <c r="J1802" s="23" t="s">
        <v>1517</v>
      </c>
      <c r="K1802" s="112" t="str">
        <f t="shared" si="30"/>
        <v>Hillsborough, NH</v>
      </c>
      <c r="L1802" s="24"/>
    </row>
    <row r="1803">
      <c r="A1803" s="99">
        <v>1802.0</v>
      </c>
      <c r="B1803" s="15"/>
      <c r="C1803" s="15"/>
      <c r="D1803" s="105">
        <v>1.0</v>
      </c>
      <c r="E1803" s="102">
        <v>33.0</v>
      </c>
      <c r="F1803" s="107">
        <v>13.0</v>
      </c>
      <c r="G1803" s="15" t="str">
        <f t="shared" si="1"/>
        <v>33013</v>
      </c>
      <c r="H1803" s="23" t="s">
        <v>1522</v>
      </c>
      <c r="I1803" s="23" t="s">
        <v>85</v>
      </c>
      <c r="J1803" s="23" t="s">
        <v>1517</v>
      </c>
      <c r="K1803" s="23" t="str">
        <f t="shared" si="30"/>
        <v>Merrimack, NH</v>
      </c>
      <c r="L1803" s="24"/>
    </row>
    <row r="1804">
      <c r="A1804" s="99">
        <v>1803.0</v>
      </c>
      <c r="B1804" s="15"/>
      <c r="C1804" s="15"/>
      <c r="D1804" s="105">
        <v>1.0</v>
      </c>
      <c r="E1804" s="102">
        <v>33.0</v>
      </c>
      <c r="F1804" s="107">
        <v>15.0</v>
      </c>
      <c r="G1804" s="15" t="str">
        <f t="shared" si="1"/>
        <v>33015</v>
      </c>
      <c r="H1804" s="23" t="s">
        <v>1523</v>
      </c>
      <c r="I1804" s="23" t="s">
        <v>85</v>
      </c>
      <c r="J1804" s="23" t="s">
        <v>1517</v>
      </c>
      <c r="K1804" s="112" t="str">
        <f t="shared" si="30"/>
        <v>Rockingham, NH</v>
      </c>
      <c r="L1804" s="24"/>
    </row>
    <row r="1805">
      <c r="A1805" s="99">
        <v>1804.0</v>
      </c>
      <c r="B1805" s="15"/>
      <c r="C1805" s="15"/>
      <c r="D1805" s="105">
        <v>1.0</v>
      </c>
      <c r="E1805" s="102">
        <v>33.0</v>
      </c>
      <c r="F1805" s="107">
        <v>17.0</v>
      </c>
      <c r="G1805" s="15" t="str">
        <f t="shared" si="1"/>
        <v>33017</v>
      </c>
      <c r="H1805" s="23" t="s">
        <v>1524</v>
      </c>
      <c r="I1805" s="23" t="s">
        <v>85</v>
      </c>
      <c r="J1805" s="23" t="s">
        <v>1517</v>
      </c>
      <c r="K1805" s="23" t="str">
        <f t="shared" si="30"/>
        <v>Strafford, NH</v>
      </c>
      <c r="L1805" s="24"/>
    </row>
    <row r="1806">
      <c r="A1806" s="99">
        <v>1805.0</v>
      </c>
      <c r="B1806" s="15"/>
      <c r="C1806" s="15"/>
      <c r="D1806" s="105">
        <v>1.0</v>
      </c>
      <c r="E1806" s="102">
        <v>33.0</v>
      </c>
      <c r="F1806" s="107">
        <v>19.0</v>
      </c>
      <c r="G1806" s="15" t="str">
        <f t="shared" si="1"/>
        <v>33019</v>
      </c>
      <c r="H1806" s="23" t="s">
        <v>860</v>
      </c>
      <c r="I1806" s="23" t="s">
        <v>85</v>
      </c>
      <c r="J1806" s="23" t="s">
        <v>1517</v>
      </c>
      <c r="K1806" s="23" t="str">
        <f t="shared" si="30"/>
        <v>Sullivan, NH</v>
      </c>
      <c r="L1806" s="24"/>
    </row>
    <row r="1807">
      <c r="A1807" s="28">
        <v>1806.0</v>
      </c>
      <c r="B1807" s="29"/>
      <c r="C1807" s="29" t="s">
        <v>25</v>
      </c>
      <c r="D1807" s="30"/>
      <c r="E1807" s="31">
        <v>34.0</v>
      </c>
      <c r="F1807" s="42">
        <v>0.0</v>
      </c>
      <c r="G1807" s="29" t="str">
        <f t="shared" si="1"/>
        <v>34000</v>
      </c>
      <c r="H1807" s="37"/>
      <c r="I1807" s="37" t="s">
        <v>88</v>
      </c>
      <c r="J1807" s="37" t="s">
        <v>448</v>
      </c>
      <c r="K1807" s="37"/>
      <c r="L1807" s="24"/>
    </row>
    <row r="1808">
      <c r="A1808" s="28">
        <v>1807.0</v>
      </c>
      <c r="B1808" s="29"/>
      <c r="C1808" s="29"/>
      <c r="D1808" s="40">
        <v>1.0</v>
      </c>
      <c r="E1808" s="31">
        <v>34.0</v>
      </c>
      <c r="F1808" s="42">
        <v>1.0</v>
      </c>
      <c r="G1808" s="29" t="str">
        <f t="shared" si="1"/>
        <v>34001</v>
      </c>
      <c r="H1808" s="37" t="s">
        <v>1525</v>
      </c>
      <c r="I1808" s="37" t="s">
        <v>88</v>
      </c>
      <c r="J1808" s="37" t="s">
        <v>448</v>
      </c>
      <c r="K1808" s="37" t="str">
        <f t="shared" ref="K1808:K1828" si="31">CONCATENATE(H1808,", ",J1808)</f>
        <v>Atlantic, NJ</v>
      </c>
      <c r="L1808" s="24"/>
    </row>
    <row r="1809">
      <c r="A1809" s="28">
        <v>1808.0</v>
      </c>
      <c r="B1809" s="29"/>
      <c r="C1809" s="29"/>
      <c r="D1809" s="40">
        <v>1.0</v>
      </c>
      <c r="E1809" s="31">
        <v>34.0</v>
      </c>
      <c r="F1809" s="42">
        <v>3.0</v>
      </c>
      <c r="G1809" s="29" t="str">
        <f t="shared" si="1"/>
        <v>34003</v>
      </c>
      <c r="H1809" s="37" t="s">
        <v>447</v>
      </c>
      <c r="I1809" s="37" t="s">
        <v>88</v>
      </c>
      <c r="J1809" s="37" t="s">
        <v>448</v>
      </c>
      <c r="K1809" s="37" t="str">
        <f t="shared" si="31"/>
        <v>Bergen, NJ</v>
      </c>
      <c r="L1809" s="24"/>
    </row>
    <row r="1810">
      <c r="A1810" s="28">
        <v>1809.0</v>
      </c>
      <c r="B1810" s="29"/>
      <c r="C1810" s="29"/>
      <c r="D1810" s="40">
        <v>1.0</v>
      </c>
      <c r="E1810" s="31">
        <v>34.0</v>
      </c>
      <c r="F1810" s="42">
        <v>5.0</v>
      </c>
      <c r="G1810" s="29" t="str">
        <f t="shared" si="1"/>
        <v>34005</v>
      </c>
      <c r="H1810" s="37" t="s">
        <v>1526</v>
      </c>
      <c r="I1810" s="37" t="s">
        <v>88</v>
      </c>
      <c r="J1810" s="37" t="s">
        <v>448</v>
      </c>
      <c r="K1810" s="37" t="str">
        <f t="shared" si="31"/>
        <v>Burlington, NJ</v>
      </c>
      <c r="L1810" s="24"/>
    </row>
    <row r="1811">
      <c r="A1811" s="28">
        <v>1810.0</v>
      </c>
      <c r="B1811" s="29"/>
      <c r="C1811" s="29"/>
      <c r="D1811" s="40">
        <v>1.0</v>
      </c>
      <c r="E1811" s="31">
        <v>34.0</v>
      </c>
      <c r="F1811" s="42">
        <v>7.0</v>
      </c>
      <c r="G1811" s="29" t="str">
        <f t="shared" si="1"/>
        <v>34007</v>
      </c>
      <c r="H1811" s="37" t="s">
        <v>548</v>
      </c>
      <c r="I1811" s="37" t="s">
        <v>88</v>
      </c>
      <c r="J1811" s="37" t="s">
        <v>448</v>
      </c>
      <c r="K1811" s="37" t="str">
        <f t="shared" si="31"/>
        <v>Camden, NJ</v>
      </c>
      <c r="L1811" s="24"/>
    </row>
    <row r="1812">
      <c r="A1812" s="28">
        <v>1811.0</v>
      </c>
      <c r="B1812" s="29"/>
      <c r="C1812" s="29"/>
      <c r="D1812" s="40">
        <v>1.0</v>
      </c>
      <c r="E1812" s="31">
        <v>34.0</v>
      </c>
      <c r="F1812" s="42">
        <v>9.0</v>
      </c>
      <c r="G1812" s="29" t="str">
        <f t="shared" si="1"/>
        <v>34009</v>
      </c>
      <c r="H1812" s="37" t="s">
        <v>1527</v>
      </c>
      <c r="I1812" s="37" t="s">
        <v>88</v>
      </c>
      <c r="J1812" s="37" t="s">
        <v>448</v>
      </c>
      <c r="K1812" s="37" t="str">
        <f t="shared" si="31"/>
        <v>Cape May, NJ</v>
      </c>
      <c r="L1812" s="24"/>
    </row>
    <row r="1813">
      <c r="A1813" s="28">
        <v>1812.0</v>
      </c>
      <c r="B1813" s="29"/>
      <c r="C1813" s="29"/>
      <c r="D1813" s="40">
        <v>1.0</v>
      </c>
      <c r="E1813" s="31">
        <v>34.0</v>
      </c>
      <c r="F1813" s="42">
        <v>11.0</v>
      </c>
      <c r="G1813" s="29" t="str">
        <f t="shared" si="1"/>
        <v>34011</v>
      </c>
      <c r="H1813" s="37" t="s">
        <v>713</v>
      </c>
      <c r="I1813" s="37" t="s">
        <v>88</v>
      </c>
      <c r="J1813" s="37" t="s">
        <v>448</v>
      </c>
      <c r="K1813" s="37" t="str">
        <f t="shared" si="31"/>
        <v>Cumberland, NJ</v>
      </c>
      <c r="L1813" s="24"/>
    </row>
    <row r="1814">
      <c r="A1814" s="28">
        <v>1813.0</v>
      </c>
      <c r="B1814" s="29"/>
      <c r="C1814" s="29"/>
      <c r="D1814" s="40">
        <v>1.0</v>
      </c>
      <c r="E1814" s="31">
        <v>34.0</v>
      </c>
      <c r="F1814" s="42">
        <v>13.0</v>
      </c>
      <c r="G1814" s="29" t="str">
        <f t="shared" si="1"/>
        <v>34013</v>
      </c>
      <c r="H1814" s="37" t="s">
        <v>516</v>
      </c>
      <c r="I1814" s="37" t="s">
        <v>88</v>
      </c>
      <c r="J1814" s="37" t="s">
        <v>448</v>
      </c>
      <c r="K1814" s="37" t="str">
        <f t="shared" si="31"/>
        <v>Essex, NJ</v>
      </c>
      <c r="L1814" s="24"/>
    </row>
    <row r="1815">
      <c r="A1815" s="28">
        <v>1814.0</v>
      </c>
      <c r="B1815" s="29"/>
      <c r="C1815" s="29"/>
      <c r="D1815" s="40">
        <v>1.0</v>
      </c>
      <c r="E1815" s="31">
        <v>34.0</v>
      </c>
      <c r="F1815" s="42">
        <v>15.0</v>
      </c>
      <c r="G1815" s="29" t="str">
        <f t="shared" si="1"/>
        <v>34015</v>
      </c>
      <c r="H1815" s="37" t="s">
        <v>1528</v>
      </c>
      <c r="I1815" s="37" t="s">
        <v>88</v>
      </c>
      <c r="J1815" s="37" t="s">
        <v>448</v>
      </c>
      <c r="K1815" s="37" t="str">
        <f t="shared" si="31"/>
        <v>Gloucester, NJ</v>
      </c>
      <c r="L1815" s="24"/>
    </row>
    <row r="1816">
      <c r="A1816" s="28">
        <v>1815.0</v>
      </c>
      <c r="B1816" s="29"/>
      <c r="C1816" s="29"/>
      <c r="D1816" s="40">
        <v>1.0</v>
      </c>
      <c r="E1816" s="31">
        <v>34.0</v>
      </c>
      <c r="F1816" s="42">
        <v>17.0</v>
      </c>
      <c r="G1816" s="29" t="str">
        <f t="shared" si="1"/>
        <v>34017</v>
      </c>
      <c r="H1816" s="37" t="s">
        <v>580</v>
      </c>
      <c r="I1816" s="37" t="s">
        <v>88</v>
      </c>
      <c r="J1816" s="37" t="s">
        <v>448</v>
      </c>
      <c r="K1816" s="37" t="str">
        <f t="shared" si="31"/>
        <v>Hudson, NJ</v>
      </c>
      <c r="L1816" s="24"/>
    </row>
    <row r="1817">
      <c r="A1817" s="28">
        <v>1816.0</v>
      </c>
      <c r="B1817" s="29"/>
      <c r="C1817" s="29"/>
      <c r="D1817" s="40">
        <v>1.0</v>
      </c>
      <c r="E1817" s="31">
        <v>34.0</v>
      </c>
      <c r="F1817" s="42">
        <v>19.0</v>
      </c>
      <c r="G1817" s="29" t="str">
        <f t="shared" si="1"/>
        <v>34019</v>
      </c>
      <c r="H1817" s="37" t="s">
        <v>1529</v>
      </c>
      <c r="I1817" s="37" t="s">
        <v>88</v>
      </c>
      <c r="J1817" s="37" t="s">
        <v>448</v>
      </c>
      <c r="K1817" s="37" t="str">
        <f t="shared" si="31"/>
        <v>Hunterdon, NJ</v>
      </c>
      <c r="L1817" s="24"/>
    </row>
    <row r="1818">
      <c r="A1818" s="28">
        <v>1817.0</v>
      </c>
      <c r="B1818" s="29"/>
      <c r="C1818" s="29"/>
      <c r="D1818" s="40">
        <v>1.0</v>
      </c>
      <c r="E1818" s="31">
        <v>34.0</v>
      </c>
      <c r="F1818" s="42">
        <v>21.0</v>
      </c>
      <c r="G1818" s="29" t="str">
        <f t="shared" si="1"/>
        <v>34021</v>
      </c>
      <c r="H1818" s="37" t="s">
        <v>738</v>
      </c>
      <c r="I1818" s="37" t="s">
        <v>88</v>
      </c>
      <c r="J1818" s="37" t="s">
        <v>448</v>
      </c>
      <c r="K1818" s="37" t="str">
        <f t="shared" si="31"/>
        <v>Mercer, NJ</v>
      </c>
      <c r="L1818" s="24"/>
    </row>
    <row r="1819">
      <c r="A1819" s="28">
        <v>1818.0</v>
      </c>
      <c r="B1819" s="29"/>
      <c r="C1819" s="29"/>
      <c r="D1819" s="40">
        <v>1.0</v>
      </c>
      <c r="E1819" s="31">
        <v>34.0</v>
      </c>
      <c r="F1819" s="42">
        <v>23.0</v>
      </c>
      <c r="G1819" s="29" t="str">
        <f t="shared" si="1"/>
        <v>34023</v>
      </c>
      <c r="H1819" s="37" t="s">
        <v>281</v>
      </c>
      <c r="I1819" s="37" t="s">
        <v>88</v>
      </c>
      <c r="J1819" s="37" t="s">
        <v>448</v>
      </c>
      <c r="K1819" s="37" t="str">
        <f t="shared" si="31"/>
        <v>Middlesex, NJ</v>
      </c>
      <c r="L1819" s="24"/>
    </row>
    <row r="1820">
      <c r="A1820" s="28">
        <v>1819.0</v>
      </c>
      <c r="B1820" s="29"/>
      <c r="C1820" s="29"/>
      <c r="D1820" s="40">
        <v>1.0</v>
      </c>
      <c r="E1820" s="31">
        <v>34.0</v>
      </c>
      <c r="F1820" s="42">
        <v>25.0</v>
      </c>
      <c r="G1820" s="29" t="str">
        <f t="shared" si="1"/>
        <v>34025</v>
      </c>
      <c r="H1820" s="37" t="s">
        <v>603</v>
      </c>
      <c r="I1820" s="37" t="s">
        <v>88</v>
      </c>
      <c r="J1820" s="37" t="s">
        <v>448</v>
      </c>
      <c r="K1820" s="37" t="str">
        <f t="shared" si="31"/>
        <v>Monmouth, NJ</v>
      </c>
      <c r="L1820" s="24"/>
    </row>
    <row r="1821">
      <c r="A1821" s="28">
        <v>1820.0</v>
      </c>
      <c r="B1821" s="29"/>
      <c r="C1821" s="29"/>
      <c r="D1821" s="40">
        <v>1.0</v>
      </c>
      <c r="E1821" s="31">
        <v>34.0</v>
      </c>
      <c r="F1821" s="42">
        <v>27.0</v>
      </c>
      <c r="G1821" s="29" t="str">
        <f t="shared" si="1"/>
        <v>34027</v>
      </c>
      <c r="H1821" s="37" t="s">
        <v>990</v>
      </c>
      <c r="I1821" s="37" t="s">
        <v>88</v>
      </c>
      <c r="J1821" s="37" t="s">
        <v>448</v>
      </c>
      <c r="K1821" s="37" t="str">
        <f t="shared" si="31"/>
        <v>Morris, NJ</v>
      </c>
      <c r="L1821" s="24"/>
    </row>
    <row r="1822">
      <c r="A1822" s="28">
        <v>1821.0</v>
      </c>
      <c r="B1822" s="29"/>
      <c r="C1822" s="29"/>
      <c r="D1822" s="40">
        <v>1.0</v>
      </c>
      <c r="E1822" s="31">
        <v>34.0</v>
      </c>
      <c r="F1822" s="42">
        <v>29.0</v>
      </c>
      <c r="G1822" s="29" t="str">
        <f t="shared" si="1"/>
        <v>34029</v>
      </c>
      <c r="H1822" s="37" t="s">
        <v>608</v>
      </c>
      <c r="I1822" s="37" t="s">
        <v>88</v>
      </c>
      <c r="J1822" s="37" t="s">
        <v>448</v>
      </c>
      <c r="K1822" s="37" t="str">
        <f t="shared" si="31"/>
        <v>Ocean, NJ</v>
      </c>
      <c r="L1822" s="24"/>
    </row>
    <row r="1823">
      <c r="A1823" s="28">
        <v>1822.0</v>
      </c>
      <c r="B1823" s="29"/>
      <c r="C1823" s="29"/>
      <c r="D1823" s="40">
        <v>1.0</v>
      </c>
      <c r="E1823" s="31">
        <v>34.0</v>
      </c>
      <c r="F1823" s="42">
        <v>31.0</v>
      </c>
      <c r="G1823" s="29" t="str">
        <f t="shared" si="1"/>
        <v>34031</v>
      </c>
      <c r="H1823" s="37" t="s">
        <v>1530</v>
      </c>
      <c r="I1823" s="37" t="s">
        <v>88</v>
      </c>
      <c r="J1823" s="37" t="s">
        <v>448</v>
      </c>
      <c r="K1823" s="37" t="str">
        <f t="shared" si="31"/>
        <v>Passaic, NJ</v>
      </c>
      <c r="L1823" s="24"/>
    </row>
    <row r="1824">
      <c r="A1824" s="28">
        <v>1823.0</v>
      </c>
      <c r="B1824" s="29"/>
      <c r="C1824" s="29"/>
      <c r="D1824" s="40">
        <v>1.0</v>
      </c>
      <c r="E1824" s="31">
        <v>34.0</v>
      </c>
      <c r="F1824" s="42">
        <v>33.0</v>
      </c>
      <c r="G1824" s="29" t="str">
        <f t="shared" si="1"/>
        <v>34033</v>
      </c>
      <c r="H1824" s="37" t="s">
        <v>1531</v>
      </c>
      <c r="I1824" s="37" t="s">
        <v>88</v>
      </c>
      <c r="J1824" s="37" t="s">
        <v>448</v>
      </c>
      <c r="K1824" s="37" t="str">
        <f t="shared" si="31"/>
        <v>Salem, NJ</v>
      </c>
      <c r="L1824" s="24"/>
    </row>
    <row r="1825">
      <c r="A1825" s="28">
        <v>1824.0</v>
      </c>
      <c r="B1825" s="29"/>
      <c r="C1825" s="29"/>
      <c r="D1825" s="40">
        <v>1.0</v>
      </c>
      <c r="E1825" s="31">
        <v>34.0</v>
      </c>
      <c r="F1825" s="42">
        <v>35.0</v>
      </c>
      <c r="G1825" s="29" t="str">
        <f t="shared" si="1"/>
        <v>34035</v>
      </c>
      <c r="H1825" s="37" t="s">
        <v>1194</v>
      </c>
      <c r="I1825" s="37" t="s">
        <v>88</v>
      </c>
      <c r="J1825" s="37" t="s">
        <v>448</v>
      </c>
      <c r="K1825" s="37" t="str">
        <f t="shared" si="31"/>
        <v>Somerset, NJ</v>
      </c>
      <c r="L1825" s="24"/>
    </row>
    <row r="1826">
      <c r="A1826" s="28">
        <v>1825.0</v>
      </c>
      <c r="B1826" s="29"/>
      <c r="C1826" s="29"/>
      <c r="D1826" s="40">
        <v>1.0</v>
      </c>
      <c r="E1826" s="31">
        <v>34.0</v>
      </c>
      <c r="F1826" s="42">
        <v>37.0</v>
      </c>
      <c r="G1826" s="29" t="str">
        <f t="shared" si="1"/>
        <v>34037</v>
      </c>
      <c r="H1826" s="37" t="s">
        <v>476</v>
      </c>
      <c r="I1826" s="37" t="s">
        <v>88</v>
      </c>
      <c r="J1826" s="37" t="s">
        <v>448</v>
      </c>
      <c r="K1826" s="37" t="str">
        <f t="shared" si="31"/>
        <v>Sussex, NJ</v>
      </c>
      <c r="L1826" s="24"/>
    </row>
    <row r="1827">
      <c r="A1827" s="28">
        <v>1826.0</v>
      </c>
      <c r="B1827" s="29"/>
      <c r="C1827" s="29"/>
      <c r="D1827" s="40">
        <v>1.0</v>
      </c>
      <c r="E1827" s="31">
        <v>34.0</v>
      </c>
      <c r="F1827" s="42">
        <v>39.0</v>
      </c>
      <c r="G1827" s="29" t="str">
        <f t="shared" si="1"/>
        <v>34039</v>
      </c>
      <c r="H1827" s="37" t="s">
        <v>316</v>
      </c>
      <c r="I1827" s="37" t="s">
        <v>88</v>
      </c>
      <c r="J1827" s="37" t="s">
        <v>448</v>
      </c>
      <c r="K1827" s="37" t="str">
        <f t="shared" si="31"/>
        <v>Union, NJ</v>
      </c>
      <c r="L1827" s="24"/>
    </row>
    <row r="1828">
      <c r="A1828" s="28">
        <v>1827.0</v>
      </c>
      <c r="B1828" s="29"/>
      <c r="C1828" s="29"/>
      <c r="D1828" s="40">
        <v>1.0</v>
      </c>
      <c r="E1828" s="31">
        <v>34.0</v>
      </c>
      <c r="F1828" s="42">
        <v>41.0</v>
      </c>
      <c r="G1828" s="29" t="str">
        <f t="shared" si="1"/>
        <v>34041</v>
      </c>
      <c r="H1828" s="37" t="s">
        <v>647</v>
      </c>
      <c r="I1828" s="37" t="s">
        <v>88</v>
      </c>
      <c r="J1828" s="37" t="s">
        <v>448</v>
      </c>
      <c r="K1828" s="37" t="str">
        <f t="shared" si="31"/>
        <v>Warren, NJ</v>
      </c>
      <c r="L1828" s="24"/>
    </row>
    <row r="1829">
      <c r="A1829" s="99">
        <v>1828.0</v>
      </c>
      <c r="B1829" s="15"/>
      <c r="C1829" s="14" t="s">
        <v>25</v>
      </c>
      <c r="D1829" s="16"/>
      <c r="E1829" s="102">
        <v>35.0</v>
      </c>
      <c r="F1829" s="107">
        <v>0.0</v>
      </c>
      <c r="G1829" s="15" t="str">
        <f t="shared" si="1"/>
        <v>35000</v>
      </c>
      <c r="H1829" s="23"/>
      <c r="I1829" s="23" t="s">
        <v>91</v>
      </c>
      <c r="J1829" s="23" t="s">
        <v>578</v>
      </c>
      <c r="K1829" s="23"/>
      <c r="L1829" s="24"/>
    </row>
    <row r="1830">
      <c r="A1830" s="99">
        <v>1829.0</v>
      </c>
      <c r="B1830" s="15"/>
      <c r="C1830" s="15"/>
      <c r="D1830" s="105">
        <v>1.0</v>
      </c>
      <c r="E1830" s="102">
        <v>35.0</v>
      </c>
      <c r="F1830" s="107">
        <v>1.0</v>
      </c>
      <c r="G1830" s="15" t="str">
        <f t="shared" si="1"/>
        <v>35001</v>
      </c>
      <c r="H1830" s="23" t="s">
        <v>577</v>
      </c>
      <c r="I1830" s="23" t="s">
        <v>91</v>
      </c>
      <c r="J1830" s="23" t="s">
        <v>578</v>
      </c>
      <c r="K1830" s="23" t="str">
        <f t="shared" ref="K1830:K1862" si="32">CONCATENATE(H1830,", ",J1830)</f>
        <v>Bernalillo, NM</v>
      </c>
      <c r="L1830" s="24"/>
    </row>
    <row r="1831">
      <c r="A1831" s="99">
        <v>1830.0</v>
      </c>
      <c r="B1831" s="15"/>
      <c r="C1831" s="15"/>
      <c r="D1831" s="105">
        <v>1.0</v>
      </c>
      <c r="E1831" s="102">
        <v>35.0</v>
      </c>
      <c r="F1831" s="107">
        <v>3.0</v>
      </c>
      <c r="G1831" s="15" t="str">
        <f t="shared" si="1"/>
        <v>35003</v>
      </c>
      <c r="H1831" s="23" t="s">
        <v>1532</v>
      </c>
      <c r="I1831" s="23" t="s">
        <v>91</v>
      </c>
      <c r="J1831" s="23" t="s">
        <v>578</v>
      </c>
      <c r="K1831" s="23" t="str">
        <f t="shared" si="32"/>
        <v>Catron, NM</v>
      </c>
      <c r="L1831" s="24"/>
    </row>
    <row r="1832">
      <c r="A1832" s="99">
        <v>1831.0</v>
      </c>
      <c r="B1832" s="15"/>
      <c r="C1832" s="15"/>
      <c r="D1832" s="105">
        <v>1.0</v>
      </c>
      <c r="E1832" s="102">
        <v>35.0</v>
      </c>
      <c r="F1832" s="107">
        <v>5.0</v>
      </c>
      <c r="G1832" s="15" t="str">
        <f t="shared" si="1"/>
        <v>35005</v>
      </c>
      <c r="H1832" s="23" t="s">
        <v>1533</v>
      </c>
      <c r="I1832" s="23" t="s">
        <v>91</v>
      </c>
      <c r="J1832" s="23" t="s">
        <v>578</v>
      </c>
      <c r="K1832" s="23" t="str">
        <f t="shared" si="32"/>
        <v>Chaves, NM</v>
      </c>
      <c r="L1832" s="24"/>
    </row>
    <row r="1833">
      <c r="A1833" s="99">
        <v>1832.0</v>
      </c>
      <c r="B1833" s="15"/>
      <c r="C1833" s="15"/>
      <c r="D1833" s="105">
        <v>1.0</v>
      </c>
      <c r="E1833" s="102">
        <v>35.0</v>
      </c>
      <c r="F1833" s="107">
        <v>6.0</v>
      </c>
      <c r="G1833" s="15" t="str">
        <f t="shared" si="1"/>
        <v>35006</v>
      </c>
      <c r="H1833" s="23" t="s">
        <v>1534</v>
      </c>
      <c r="I1833" s="23" t="s">
        <v>91</v>
      </c>
      <c r="J1833" s="23" t="s">
        <v>578</v>
      </c>
      <c r="K1833" s="23" t="str">
        <f t="shared" si="32"/>
        <v>Cibola, NM</v>
      </c>
      <c r="L1833" s="24"/>
    </row>
    <row r="1834">
      <c r="A1834" s="99">
        <v>1833.0</v>
      </c>
      <c r="B1834" s="15"/>
      <c r="C1834" s="15"/>
      <c r="D1834" s="105">
        <v>1.0</v>
      </c>
      <c r="E1834" s="102">
        <v>35.0</v>
      </c>
      <c r="F1834" s="107">
        <v>7.0</v>
      </c>
      <c r="G1834" s="15" t="str">
        <f t="shared" si="1"/>
        <v>35007</v>
      </c>
      <c r="H1834" s="23" t="s">
        <v>1474</v>
      </c>
      <c r="I1834" s="23" t="s">
        <v>91</v>
      </c>
      <c r="J1834" s="23" t="s">
        <v>578</v>
      </c>
      <c r="K1834" s="23" t="str">
        <f t="shared" si="32"/>
        <v>Colfax, NM</v>
      </c>
      <c r="L1834" s="24"/>
    </row>
    <row r="1835">
      <c r="A1835" s="99">
        <v>1834.0</v>
      </c>
      <c r="B1835" s="15"/>
      <c r="C1835" s="15"/>
      <c r="D1835" s="105">
        <v>1.0</v>
      </c>
      <c r="E1835" s="102">
        <v>35.0</v>
      </c>
      <c r="F1835" s="107">
        <v>9.0</v>
      </c>
      <c r="G1835" s="15" t="str">
        <f t="shared" si="1"/>
        <v>35009</v>
      </c>
      <c r="H1835" s="23" t="s">
        <v>1535</v>
      </c>
      <c r="I1835" s="23" t="s">
        <v>91</v>
      </c>
      <c r="J1835" s="23" t="s">
        <v>578</v>
      </c>
      <c r="K1835" s="23" t="str">
        <f t="shared" si="32"/>
        <v>Curry, NM</v>
      </c>
      <c r="L1835" s="24"/>
    </row>
    <row r="1836">
      <c r="A1836" s="99">
        <v>1835.0</v>
      </c>
      <c r="B1836" s="15"/>
      <c r="C1836" s="15"/>
      <c r="D1836" s="105">
        <v>1.0</v>
      </c>
      <c r="E1836" s="102">
        <v>35.0</v>
      </c>
      <c r="F1836" s="107">
        <v>11.0</v>
      </c>
      <c r="G1836" s="15" t="str">
        <f t="shared" si="1"/>
        <v>35011</v>
      </c>
      <c r="H1836" s="23" t="s">
        <v>1536</v>
      </c>
      <c r="I1836" s="23" t="s">
        <v>91</v>
      </c>
      <c r="J1836" s="23" t="s">
        <v>578</v>
      </c>
      <c r="K1836" s="23" t="str">
        <f t="shared" si="32"/>
        <v>De Baca, NM</v>
      </c>
      <c r="L1836" s="24"/>
    </row>
    <row r="1837">
      <c r="A1837" s="99">
        <v>1836.0</v>
      </c>
      <c r="B1837" s="15"/>
      <c r="C1837" s="15"/>
      <c r="D1837" s="105">
        <v>1.0</v>
      </c>
      <c r="E1837" s="102">
        <v>35.0</v>
      </c>
      <c r="F1837" s="107">
        <v>13.0</v>
      </c>
      <c r="G1837" s="15" t="str">
        <f t="shared" si="1"/>
        <v>35013</v>
      </c>
      <c r="H1837" s="23" t="s">
        <v>1537</v>
      </c>
      <c r="I1837" s="23" t="s">
        <v>91</v>
      </c>
      <c r="J1837" s="23" t="s">
        <v>578</v>
      </c>
      <c r="K1837" s="23" t="str">
        <f t="shared" si="32"/>
        <v>Dona Ana, NM</v>
      </c>
      <c r="L1837" s="24"/>
    </row>
    <row r="1838">
      <c r="A1838" s="99">
        <v>1837.0</v>
      </c>
      <c r="B1838" s="15"/>
      <c r="C1838" s="15"/>
      <c r="D1838" s="105">
        <v>1.0</v>
      </c>
      <c r="E1838" s="102">
        <v>35.0</v>
      </c>
      <c r="F1838" s="107">
        <v>15.0</v>
      </c>
      <c r="G1838" s="15" t="str">
        <f t="shared" si="1"/>
        <v>35015</v>
      </c>
      <c r="H1838" s="23" t="s">
        <v>1538</v>
      </c>
      <c r="I1838" s="23" t="s">
        <v>91</v>
      </c>
      <c r="J1838" s="23" t="s">
        <v>578</v>
      </c>
      <c r="K1838" s="23" t="str">
        <f t="shared" si="32"/>
        <v>Eddy, NM</v>
      </c>
      <c r="L1838" s="24"/>
    </row>
    <row r="1839">
      <c r="A1839" s="99">
        <v>1838.0</v>
      </c>
      <c r="B1839" s="15"/>
      <c r="C1839" s="15"/>
      <c r="D1839" s="105">
        <v>1.0</v>
      </c>
      <c r="E1839" s="102">
        <v>35.0</v>
      </c>
      <c r="F1839" s="107">
        <v>17.0</v>
      </c>
      <c r="G1839" s="15" t="str">
        <f t="shared" si="1"/>
        <v>35017</v>
      </c>
      <c r="H1839" s="23" t="s">
        <v>278</v>
      </c>
      <c r="I1839" s="23" t="s">
        <v>91</v>
      </c>
      <c r="J1839" s="23" t="s">
        <v>578</v>
      </c>
      <c r="K1839" s="23" t="str">
        <f t="shared" si="32"/>
        <v>Grant, NM</v>
      </c>
      <c r="L1839" s="24"/>
    </row>
    <row r="1840">
      <c r="A1840" s="99">
        <v>1839.0</v>
      </c>
      <c r="B1840" s="15"/>
      <c r="C1840" s="15"/>
      <c r="D1840" s="105">
        <v>1.0</v>
      </c>
      <c r="E1840" s="102">
        <v>35.0</v>
      </c>
      <c r="F1840" s="107">
        <v>19.0</v>
      </c>
      <c r="G1840" s="15" t="str">
        <f t="shared" si="1"/>
        <v>35019</v>
      </c>
      <c r="H1840" s="23" t="s">
        <v>1539</v>
      </c>
      <c r="I1840" s="23" t="s">
        <v>91</v>
      </c>
      <c r="J1840" s="23" t="s">
        <v>578</v>
      </c>
      <c r="K1840" s="23" t="str">
        <f t="shared" si="32"/>
        <v>Guadalupe, NM</v>
      </c>
      <c r="L1840" s="24"/>
    </row>
    <row r="1841">
      <c r="A1841" s="99">
        <v>1840.0</v>
      </c>
      <c r="B1841" s="15"/>
      <c r="C1841" s="15"/>
      <c r="D1841" s="105">
        <v>1.0</v>
      </c>
      <c r="E1841" s="102">
        <v>35.0</v>
      </c>
      <c r="F1841" s="107">
        <v>21.0</v>
      </c>
      <c r="G1841" s="15" t="str">
        <f t="shared" si="1"/>
        <v>35021</v>
      </c>
      <c r="H1841" s="23" t="s">
        <v>1540</v>
      </c>
      <c r="I1841" s="23" t="s">
        <v>91</v>
      </c>
      <c r="J1841" s="23" t="s">
        <v>578</v>
      </c>
      <c r="K1841" s="23" t="str">
        <f t="shared" si="32"/>
        <v>Harding, NM</v>
      </c>
      <c r="L1841" s="24"/>
    </row>
    <row r="1842">
      <c r="A1842" s="99">
        <v>1841.0</v>
      </c>
      <c r="B1842" s="15"/>
      <c r="C1842" s="15"/>
      <c r="D1842" s="105">
        <v>1.0</v>
      </c>
      <c r="E1842" s="102">
        <v>35.0</v>
      </c>
      <c r="F1842" s="107">
        <v>23.0</v>
      </c>
      <c r="G1842" s="15" t="str">
        <f t="shared" si="1"/>
        <v>35023</v>
      </c>
      <c r="H1842" s="23" t="s">
        <v>480</v>
      </c>
      <c r="I1842" s="23" t="s">
        <v>91</v>
      </c>
      <c r="J1842" s="23" t="s">
        <v>578</v>
      </c>
      <c r="K1842" s="23" t="str">
        <f t="shared" si="32"/>
        <v>Hidalgo, NM</v>
      </c>
      <c r="L1842" s="24"/>
    </row>
    <row r="1843">
      <c r="A1843" s="99">
        <v>1842.0</v>
      </c>
      <c r="B1843" s="15"/>
      <c r="C1843" s="15"/>
      <c r="D1843" s="105">
        <v>1.0</v>
      </c>
      <c r="E1843" s="102">
        <v>35.0</v>
      </c>
      <c r="F1843" s="107">
        <v>25.0</v>
      </c>
      <c r="G1843" s="15" t="str">
        <f t="shared" si="1"/>
        <v>35025</v>
      </c>
      <c r="H1843" s="23" t="s">
        <v>1541</v>
      </c>
      <c r="I1843" s="23" t="s">
        <v>91</v>
      </c>
      <c r="J1843" s="23" t="s">
        <v>578</v>
      </c>
      <c r="K1843" s="23" t="str">
        <f t="shared" si="32"/>
        <v>Lea, NM</v>
      </c>
      <c r="L1843" s="24"/>
    </row>
    <row r="1844">
      <c r="A1844" s="99">
        <v>1843.0</v>
      </c>
      <c r="B1844" s="15"/>
      <c r="C1844" s="15"/>
      <c r="D1844" s="105">
        <v>1.0</v>
      </c>
      <c r="E1844" s="102">
        <v>35.0</v>
      </c>
      <c r="F1844" s="107">
        <v>27.0</v>
      </c>
      <c r="G1844" s="15" t="str">
        <f t="shared" si="1"/>
        <v>35027</v>
      </c>
      <c r="H1844" s="23" t="s">
        <v>290</v>
      </c>
      <c r="I1844" s="23" t="s">
        <v>91</v>
      </c>
      <c r="J1844" s="23" t="s">
        <v>578</v>
      </c>
      <c r="K1844" s="23" t="str">
        <f t="shared" si="32"/>
        <v>Lincoln, NM</v>
      </c>
      <c r="L1844" s="24"/>
    </row>
    <row r="1845">
      <c r="A1845" s="99">
        <v>1844.0</v>
      </c>
      <c r="B1845" s="15"/>
      <c r="C1845" s="15"/>
      <c r="D1845" s="105">
        <v>1.0</v>
      </c>
      <c r="E1845" s="102">
        <v>35.0</v>
      </c>
      <c r="F1845" s="107">
        <v>28.0</v>
      </c>
      <c r="G1845" s="15" t="str">
        <f t="shared" si="1"/>
        <v>35028</v>
      </c>
      <c r="H1845" s="23" t="s">
        <v>1542</v>
      </c>
      <c r="I1845" s="23" t="s">
        <v>91</v>
      </c>
      <c r="J1845" s="23" t="s">
        <v>578</v>
      </c>
      <c r="K1845" s="23" t="str">
        <f t="shared" si="32"/>
        <v>Los Alamos, NM</v>
      </c>
      <c r="L1845" s="24"/>
    </row>
    <row r="1846">
      <c r="A1846" s="99">
        <v>1845.0</v>
      </c>
      <c r="B1846" s="15"/>
      <c r="C1846" s="15"/>
      <c r="D1846" s="105">
        <v>1.0</v>
      </c>
      <c r="E1846" s="102">
        <v>35.0</v>
      </c>
      <c r="F1846" s="107">
        <v>29.0</v>
      </c>
      <c r="G1846" s="15" t="str">
        <f t="shared" si="1"/>
        <v>35029</v>
      </c>
      <c r="H1846" s="23" t="s">
        <v>1543</v>
      </c>
      <c r="I1846" s="23" t="s">
        <v>91</v>
      </c>
      <c r="J1846" s="23" t="s">
        <v>578</v>
      </c>
      <c r="K1846" s="23" t="str">
        <f t="shared" si="32"/>
        <v>Luna, NM</v>
      </c>
      <c r="L1846" s="24"/>
    </row>
    <row r="1847">
      <c r="A1847" s="99">
        <v>1846.0</v>
      </c>
      <c r="B1847" s="15"/>
      <c r="C1847" s="15"/>
      <c r="D1847" s="105">
        <v>1.0</v>
      </c>
      <c r="E1847" s="102">
        <v>35.0</v>
      </c>
      <c r="F1847" s="107">
        <v>31.0</v>
      </c>
      <c r="G1847" s="15" t="str">
        <f t="shared" si="1"/>
        <v>35031</v>
      </c>
      <c r="H1847" s="23" t="s">
        <v>1544</v>
      </c>
      <c r="I1847" s="23" t="s">
        <v>91</v>
      </c>
      <c r="J1847" s="23" t="s">
        <v>578</v>
      </c>
      <c r="K1847" s="23" t="str">
        <f t="shared" si="32"/>
        <v>Mckinley, NM</v>
      </c>
      <c r="L1847" s="24"/>
    </row>
    <row r="1848">
      <c r="A1848" s="99">
        <v>1847.0</v>
      </c>
      <c r="B1848" s="15"/>
      <c r="C1848" s="15"/>
      <c r="D1848" s="105">
        <v>1.0</v>
      </c>
      <c r="E1848" s="102">
        <v>35.0</v>
      </c>
      <c r="F1848" s="107">
        <v>33.0</v>
      </c>
      <c r="G1848" s="15" t="str">
        <f t="shared" si="1"/>
        <v>35033</v>
      </c>
      <c r="H1848" s="23" t="s">
        <v>1545</v>
      </c>
      <c r="I1848" s="23" t="s">
        <v>91</v>
      </c>
      <c r="J1848" s="23" t="s">
        <v>578</v>
      </c>
      <c r="K1848" s="23" t="str">
        <f t="shared" si="32"/>
        <v>Mora, NM</v>
      </c>
      <c r="L1848" s="24"/>
    </row>
    <row r="1849">
      <c r="A1849" s="99">
        <v>1848.0</v>
      </c>
      <c r="B1849" s="15"/>
      <c r="C1849" s="15"/>
      <c r="D1849" s="105">
        <v>1.0</v>
      </c>
      <c r="E1849" s="102">
        <v>35.0</v>
      </c>
      <c r="F1849" s="107">
        <v>35.0</v>
      </c>
      <c r="G1849" s="15" t="str">
        <f t="shared" si="1"/>
        <v>35035</v>
      </c>
      <c r="H1849" s="23" t="s">
        <v>441</v>
      </c>
      <c r="I1849" s="23" t="s">
        <v>91</v>
      </c>
      <c r="J1849" s="23" t="s">
        <v>578</v>
      </c>
      <c r="K1849" s="23" t="str">
        <f t="shared" si="32"/>
        <v>Otero, NM</v>
      </c>
      <c r="L1849" s="24"/>
    </row>
    <row r="1850">
      <c r="A1850" s="99">
        <v>1849.0</v>
      </c>
      <c r="B1850" s="15"/>
      <c r="C1850" s="15"/>
      <c r="D1850" s="105">
        <v>1.0</v>
      </c>
      <c r="E1850" s="102">
        <v>35.0</v>
      </c>
      <c r="F1850" s="107">
        <v>37.0</v>
      </c>
      <c r="G1850" s="15" t="str">
        <f t="shared" si="1"/>
        <v>35037</v>
      </c>
      <c r="H1850" s="23" t="s">
        <v>1546</v>
      </c>
      <c r="I1850" s="23" t="s">
        <v>91</v>
      </c>
      <c r="J1850" s="23" t="s">
        <v>578</v>
      </c>
      <c r="K1850" s="23" t="str">
        <f t="shared" si="32"/>
        <v>Quay, NM</v>
      </c>
      <c r="L1850" s="24"/>
    </row>
    <row r="1851">
      <c r="A1851" s="99">
        <v>1850.0</v>
      </c>
      <c r="B1851" s="15"/>
      <c r="C1851" s="15"/>
      <c r="D1851" s="105">
        <v>1.0</v>
      </c>
      <c r="E1851" s="102">
        <v>35.0</v>
      </c>
      <c r="F1851" s="107">
        <v>39.0</v>
      </c>
      <c r="G1851" s="15" t="str">
        <f t="shared" si="1"/>
        <v>35039</v>
      </c>
      <c r="H1851" s="23" t="s">
        <v>1547</v>
      </c>
      <c r="I1851" s="23" t="s">
        <v>91</v>
      </c>
      <c r="J1851" s="23" t="s">
        <v>578</v>
      </c>
      <c r="K1851" s="23" t="str">
        <f t="shared" si="32"/>
        <v>Rio Arriba, NM</v>
      </c>
      <c r="L1851" s="24"/>
    </row>
    <row r="1852">
      <c r="A1852" s="99">
        <v>1851.0</v>
      </c>
      <c r="B1852" s="15"/>
      <c r="C1852" s="15"/>
      <c r="D1852" s="105">
        <v>1.0</v>
      </c>
      <c r="E1852" s="102">
        <v>35.0</v>
      </c>
      <c r="F1852" s="107">
        <v>41.0</v>
      </c>
      <c r="G1852" s="15" t="str">
        <f t="shared" si="1"/>
        <v>35041</v>
      </c>
      <c r="H1852" s="23" t="s">
        <v>1456</v>
      </c>
      <c r="I1852" s="23" t="s">
        <v>91</v>
      </c>
      <c r="J1852" s="23" t="s">
        <v>578</v>
      </c>
      <c r="K1852" s="23" t="str">
        <f t="shared" si="32"/>
        <v>Roosevelt, NM</v>
      </c>
      <c r="L1852" s="24"/>
    </row>
    <row r="1853">
      <c r="A1853" s="99">
        <v>1852.0</v>
      </c>
      <c r="B1853" s="15"/>
      <c r="C1853" s="15"/>
      <c r="D1853" s="105">
        <v>1.0</v>
      </c>
      <c r="E1853" s="102">
        <v>35.0</v>
      </c>
      <c r="F1853" s="107">
        <v>43.0</v>
      </c>
      <c r="G1853" s="15" t="str">
        <f t="shared" si="1"/>
        <v>35043</v>
      </c>
      <c r="H1853" s="23" t="s">
        <v>1548</v>
      </c>
      <c r="I1853" s="23" t="s">
        <v>91</v>
      </c>
      <c r="J1853" s="23" t="s">
        <v>578</v>
      </c>
      <c r="K1853" s="23" t="str">
        <f t="shared" si="32"/>
        <v>Sandoval, NM</v>
      </c>
      <c r="L1853" s="24"/>
    </row>
    <row r="1854">
      <c r="A1854" s="99">
        <v>1853.0</v>
      </c>
      <c r="B1854" s="15"/>
      <c r="C1854" s="15"/>
      <c r="D1854" s="105">
        <v>1.0</v>
      </c>
      <c r="E1854" s="102">
        <v>35.0</v>
      </c>
      <c r="F1854" s="107">
        <v>45.0</v>
      </c>
      <c r="G1854" s="15" t="str">
        <f t="shared" si="1"/>
        <v>35045</v>
      </c>
      <c r="H1854" s="23" t="s">
        <v>457</v>
      </c>
      <c r="I1854" s="23" t="s">
        <v>91</v>
      </c>
      <c r="J1854" s="23" t="s">
        <v>578</v>
      </c>
      <c r="K1854" s="23" t="str">
        <f t="shared" si="32"/>
        <v>San Juan, NM</v>
      </c>
      <c r="L1854" s="24"/>
    </row>
    <row r="1855">
      <c r="A1855" s="99">
        <v>1854.0</v>
      </c>
      <c r="B1855" s="15"/>
      <c r="C1855" s="15"/>
      <c r="D1855" s="105">
        <v>1.0</v>
      </c>
      <c r="E1855" s="102">
        <v>35.0</v>
      </c>
      <c r="F1855" s="107">
        <v>47.0</v>
      </c>
      <c r="G1855" s="15" t="str">
        <f t="shared" si="1"/>
        <v>35047</v>
      </c>
      <c r="H1855" s="23" t="s">
        <v>458</v>
      </c>
      <c r="I1855" s="23" t="s">
        <v>91</v>
      </c>
      <c r="J1855" s="23" t="s">
        <v>578</v>
      </c>
      <c r="K1855" s="23" t="str">
        <f t="shared" si="32"/>
        <v>San Miguel, NM</v>
      </c>
      <c r="L1855" s="24"/>
    </row>
    <row r="1856">
      <c r="A1856" s="99">
        <v>1855.0</v>
      </c>
      <c r="B1856" s="15"/>
      <c r="C1856" s="15"/>
      <c r="D1856" s="105">
        <v>1.0</v>
      </c>
      <c r="E1856" s="102">
        <v>35.0</v>
      </c>
      <c r="F1856" s="107">
        <v>49.0</v>
      </c>
      <c r="G1856" s="15" t="str">
        <f t="shared" si="1"/>
        <v>35049</v>
      </c>
      <c r="H1856" s="23" t="s">
        <v>1549</v>
      </c>
      <c r="I1856" s="23" t="s">
        <v>91</v>
      </c>
      <c r="J1856" s="23" t="s">
        <v>578</v>
      </c>
      <c r="K1856" s="23" t="str">
        <f t="shared" si="32"/>
        <v>Santa Fe, NM</v>
      </c>
      <c r="L1856" s="24"/>
    </row>
    <row r="1857">
      <c r="A1857" s="99">
        <v>1856.0</v>
      </c>
      <c r="B1857" s="15"/>
      <c r="C1857" s="15"/>
      <c r="D1857" s="105">
        <v>1.0</v>
      </c>
      <c r="E1857" s="102">
        <v>35.0</v>
      </c>
      <c r="F1857" s="107">
        <v>51.0</v>
      </c>
      <c r="G1857" s="15" t="str">
        <f t="shared" si="1"/>
        <v>35051</v>
      </c>
      <c r="H1857" s="23" t="s">
        <v>365</v>
      </c>
      <c r="I1857" s="23" t="s">
        <v>91</v>
      </c>
      <c r="J1857" s="23" t="s">
        <v>578</v>
      </c>
      <c r="K1857" s="23" t="str">
        <f t="shared" si="32"/>
        <v>Sierra, NM</v>
      </c>
      <c r="L1857" s="24"/>
    </row>
    <row r="1858">
      <c r="A1858" s="99">
        <v>1857.0</v>
      </c>
      <c r="B1858" s="15"/>
      <c r="C1858" s="15"/>
      <c r="D1858" s="105">
        <v>1.0</v>
      </c>
      <c r="E1858" s="102">
        <v>35.0</v>
      </c>
      <c r="F1858" s="107">
        <v>53.0</v>
      </c>
      <c r="G1858" s="15" t="str">
        <f t="shared" si="1"/>
        <v>35053</v>
      </c>
      <c r="H1858" s="23" t="s">
        <v>1550</v>
      </c>
      <c r="I1858" s="23" t="s">
        <v>91</v>
      </c>
      <c r="J1858" s="23" t="s">
        <v>578</v>
      </c>
      <c r="K1858" s="23" t="str">
        <f t="shared" si="32"/>
        <v>Socorro, NM</v>
      </c>
      <c r="L1858" s="24"/>
    </row>
    <row r="1859">
      <c r="A1859" s="99">
        <v>1858.0</v>
      </c>
      <c r="B1859" s="15"/>
      <c r="C1859" s="15"/>
      <c r="D1859" s="105">
        <v>1.0</v>
      </c>
      <c r="E1859" s="102">
        <v>35.0</v>
      </c>
      <c r="F1859" s="107">
        <v>55.0</v>
      </c>
      <c r="G1859" s="15" t="str">
        <f t="shared" si="1"/>
        <v>35055</v>
      </c>
      <c r="H1859" s="23" t="s">
        <v>1551</v>
      </c>
      <c r="I1859" s="23" t="s">
        <v>91</v>
      </c>
      <c r="J1859" s="23" t="s">
        <v>578</v>
      </c>
      <c r="K1859" s="23" t="str">
        <f t="shared" si="32"/>
        <v>Taos, NM</v>
      </c>
      <c r="L1859" s="24"/>
    </row>
    <row r="1860">
      <c r="A1860" s="99">
        <v>1859.0</v>
      </c>
      <c r="B1860" s="15"/>
      <c r="C1860" s="15"/>
      <c r="D1860" s="105">
        <v>1.0</v>
      </c>
      <c r="E1860" s="102">
        <v>35.0</v>
      </c>
      <c r="F1860" s="107">
        <v>57.0</v>
      </c>
      <c r="G1860" s="15" t="str">
        <f t="shared" si="1"/>
        <v>35057</v>
      </c>
      <c r="H1860" s="23" t="s">
        <v>1552</v>
      </c>
      <c r="I1860" s="23" t="s">
        <v>91</v>
      </c>
      <c r="J1860" s="23" t="s">
        <v>578</v>
      </c>
      <c r="K1860" s="23" t="str">
        <f t="shared" si="32"/>
        <v>Torrance, NM</v>
      </c>
      <c r="L1860" s="24"/>
    </row>
    <row r="1861">
      <c r="A1861" s="99">
        <v>1860.0</v>
      </c>
      <c r="B1861" s="15"/>
      <c r="C1861" s="15"/>
      <c r="D1861" s="105">
        <v>1.0</v>
      </c>
      <c r="E1861" s="102">
        <v>35.0</v>
      </c>
      <c r="F1861" s="107">
        <v>59.0</v>
      </c>
      <c r="G1861" s="15" t="str">
        <f t="shared" si="1"/>
        <v>35059</v>
      </c>
      <c r="H1861" s="23" t="s">
        <v>316</v>
      </c>
      <c r="I1861" s="23" t="s">
        <v>91</v>
      </c>
      <c r="J1861" s="23" t="s">
        <v>578</v>
      </c>
      <c r="K1861" s="23" t="str">
        <f t="shared" si="32"/>
        <v>Union, NM</v>
      </c>
      <c r="L1861" s="24"/>
    </row>
    <row r="1862">
      <c r="A1862" s="99">
        <v>1861.0</v>
      </c>
      <c r="B1862" s="15"/>
      <c r="C1862" s="15"/>
      <c r="D1862" s="105">
        <v>1.0</v>
      </c>
      <c r="E1862" s="102">
        <v>35.0</v>
      </c>
      <c r="F1862" s="107">
        <v>61.0</v>
      </c>
      <c r="G1862" s="15" t="str">
        <f t="shared" si="1"/>
        <v>35061</v>
      </c>
      <c r="H1862" s="23" t="s">
        <v>1553</v>
      </c>
      <c r="I1862" s="23" t="s">
        <v>91</v>
      </c>
      <c r="J1862" s="23" t="s">
        <v>578</v>
      </c>
      <c r="K1862" s="23" t="str">
        <f t="shared" si="32"/>
        <v>Valencia, NM</v>
      </c>
      <c r="L1862" s="24"/>
    </row>
    <row r="1863">
      <c r="A1863" s="28">
        <v>1862.0</v>
      </c>
      <c r="B1863" s="29"/>
      <c r="C1863" s="29" t="s">
        <v>25</v>
      </c>
      <c r="D1863" s="30"/>
      <c r="E1863" s="31">
        <v>36.0</v>
      </c>
      <c r="F1863" s="42">
        <v>0.0</v>
      </c>
      <c r="G1863" s="29" t="str">
        <f t="shared" si="1"/>
        <v>36000</v>
      </c>
      <c r="H1863" s="37"/>
      <c r="I1863" s="37" t="s">
        <v>94</v>
      </c>
      <c r="J1863" s="37" t="s">
        <v>250</v>
      </c>
      <c r="K1863" s="37"/>
      <c r="L1863" s="24"/>
    </row>
    <row r="1864">
      <c r="A1864" s="28">
        <v>1863.0</v>
      </c>
      <c r="B1864" s="29"/>
      <c r="C1864" s="29"/>
      <c r="D1864" s="40">
        <v>1.0</v>
      </c>
      <c r="E1864" s="31">
        <v>36.0</v>
      </c>
      <c r="F1864" s="42">
        <v>1.0</v>
      </c>
      <c r="G1864" s="29" t="str">
        <f t="shared" si="1"/>
        <v>36001</v>
      </c>
      <c r="H1864" s="37" t="s">
        <v>1554</v>
      </c>
      <c r="I1864" s="37" t="s">
        <v>94</v>
      </c>
      <c r="J1864" s="37" t="s">
        <v>250</v>
      </c>
      <c r="K1864" s="37" t="str">
        <f t="shared" ref="K1864:K1925" si="33">CONCATENATE(H1864,", ",J1864)</f>
        <v>Albany, NY</v>
      </c>
      <c r="L1864" s="24"/>
    </row>
    <row r="1865">
      <c r="A1865" s="28">
        <v>1864.0</v>
      </c>
      <c r="B1865" s="29"/>
      <c r="C1865" s="29"/>
      <c r="D1865" s="40">
        <v>1.0</v>
      </c>
      <c r="E1865" s="31">
        <v>36.0</v>
      </c>
      <c r="F1865" s="42">
        <v>3.0</v>
      </c>
      <c r="G1865" s="29" t="str">
        <f t="shared" si="1"/>
        <v>36003</v>
      </c>
      <c r="H1865" s="37" t="s">
        <v>1197</v>
      </c>
      <c r="I1865" s="37" t="s">
        <v>94</v>
      </c>
      <c r="J1865" s="37" t="s">
        <v>250</v>
      </c>
      <c r="K1865" s="37" t="str">
        <f t="shared" si="33"/>
        <v>Allegany, NY</v>
      </c>
      <c r="L1865" s="24"/>
    </row>
    <row r="1866">
      <c r="A1866" s="28">
        <v>1865.0</v>
      </c>
      <c r="B1866" s="29"/>
      <c r="C1866" s="29"/>
      <c r="D1866" s="40">
        <v>1.0</v>
      </c>
      <c r="E1866" s="31">
        <v>36.0</v>
      </c>
      <c r="F1866" s="42">
        <v>5.0</v>
      </c>
      <c r="G1866" s="29" t="str">
        <f t="shared" si="1"/>
        <v>36005</v>
      </c>
      <c r="H1866" s="37" t="s">
        <v>314</v>
      </c>
      <c r="I1866" s="37" t="s">
        <v>94</v>
      </c>
      <c r="J1866" s="37" t="s">
        <v>250</v>
      </c>
      <c r="K1866" s="37" t="str">
        <f t="shared" si="33"/>
        <v>Bronx, NY</v>
      </c>
      <c r="L1866" s="24"/>
    </row>
    <row r="1867">
      <c r="A1867" s="28">
        <v>1866.0</v>
      </c>
      <c r="B1867" s="29"/>
      <c r="C1867" s="29"/>
      <c r="D1867" s="40">
        <v>1.0</v>
      </c>
      <c r="E1867" s="31">
        <v>36.0</v>
      </c>
      <c r="F1867" s="42">
        <v>7.0</v>
      </c>
      <c r="G1867" s="29" t="str">
        <f t="shared" si="1"/>
        <v>36007</v>
      </c>
      <c r="H1867" s="37" t="s">
        <v>1555</v>
      </c>
      <c r="I1867" s="37" t="s">
        <v>94</v>
      </c>
      <c r="J1867" s="37" t="s">
        <v>250</v>
      </c>
      <c r="K1867" s="37" t="str">
        <f t="shared" si="33"/>
        <v>Broome, NY</v>
      </c>
      <c r="L1867" s="24"/>
    </row>
    <row r="1868">
      <c r="A1868" s="28">
        <v>1867.0</v>
      </c>
      <c r="B1868" s="29"/>
      <c r="C1868" s="29"/>
      <c r="D1868" s="40">
        <v>1.0</v>
      </c>
      <c r="E1868" s="31">
        <v>36.0</v>
      </c>
      <c r="F1868" s="42">
        <v>9.0</v>
      </c>
      <c r="G1868" s="29" t="str">
        <f t="shared" si="1"/>
        <v>36009</v>
      </c>
      <c r="H1868" s="37" t="s">
        <v>1556</v>
      </c>
      <c r="I1868" s="37" t="s">
        <v>94</v>
      </c>
      <c r="J1868" s="37" t="s">
        <v>250</v>
      </c>
      <c r="K1868" s="136" t="str">
        <f t="shared" si="33"/>
        <v>Cattaraugus, NY</v>
      </c>
      <c r="L1868" s="24"/>
    </row>
    <row r="1869">
      <c r="A1869" s="28">
        <v>1868.0</v>
      </c>
      <c r="B1869" s="29"/>
      <c r="C1869" s="29"/>
      <c r="D1869" s="40">
        <v>1.0</v>
      </c>
      <c r="E1869" s="31">
        <v>36.0</v>
      </c>
      <c r="F1869" s="42">
        <v>11.0</v>
      </c>
      <c r="G1869" s="29" t="str">
        <f t="shared" si="1"/>
        <v>36011</v>
      </c>
      <c r="H1869" s="37" t="s">
        <v>1557</v>
      </c>
      <c r="I1869" s="37" t="s">
        <v>94</v>
      </c>
      <c r="J1869" s="37" t="s">
        <v>250</v>
      </c>
      <c r="K1869" s="37" t="str">
        <f t="shared" si="33"/>
        <v>Cayuga, NY</v>
      </c>
      <c r="L1869" s="24"/>
    </row>
    <row r="1870">
      <c r="A1870" s="28">
        <v>1869.0</v>
      </c>
      <c r="B1870" s="29"/>
      <c r="C1870" s="29"/>
      <c r="D1870" s="40">
        <v>1.0</v>
      </c>
      <c r="E1870" s="31">
        <v>36.0</v>
      </c>
      <c r="F1870" s="42">
        <v>13.0</v>
      </c>
      <c r="G1870" s="29" t="str">
        <f t="shared" si="1"/>
        <v>36013</v>
      </c>
      <c r="H1870" s="37" t="s">
        <v>961</v>
      </c>
      <c r="I1870" s="37" t="s">
        <v>94</v>
      </c>
      <c r="J1870" s="37" t="s">
        <v>250</v>
      </c>
      <c r="K1870" s="136" t="str">
        <f t="shared" si="33"/>
        <v>Chautauqua, NY</v>
      </c>
      <c r="L1870" s="24"/>
    </row>
    <row r="1871">
      <c r="A1871" s="28">
        <v>1870.0</v>
      </c>
      <c r="B1871" s="29"/>
      <c r="C1871" s="29"/>
      <c r="D1871" s="40">
        <v>1.0</v>
      </c>
      <c r="E1871" s="31">
        <v>36.0</v>
      </c>
      <c r="F1871" s="42">
        <v>15.0</v>
      </c>
      <c r="G1871" s="29" t="str">
        <f t="shared" si="1"/>
        <v>36015</v>
      </c>
      <c r="H1871" s="37" t="s">
        <v>1558</v>
      </c>
      <c r="I1871" s="37" t="s">
        <v>94</v>
      </c>
      <c r="J1871" s="37" t="s">
        <v>250</v>
      </c>
      <c r="K1871" s="37" t="str">
        <f t="shared" si="33"/>
        <v>Chemung, NY</v>
      </c>
      <c r="L1871" s="24"/>
    </row>
    <row r="1872">
      <c r="A1872" s="28">
        <v>1871.0</v>
      </c>
      <c r="B1872" s="29"/>
      <c r="C1872" s="29"/>
      <c r="D1872" s="40">
        <v>1.0</v>
      </c>
      <c r="E1872" s="31">
        <v>36.0</v>
      </c>
      <c r="F1872" s="42">
        <v>17.0</v>
      </c>
      <c r="G1872" s="29" t="str">
        <f t="shared" si="1"/>
        <v>36017</v>
      </c>
      <c r="H1872" s="37" t="s">
        <v>1559</v>
      </c>
      <c r="I1872" s="37" t="s">
        <v>94</v>
      </c>
      <c r="J1872" s="37" t="s">
        <v>250</v>
      </c>
      <c r="K1872" s="37" t="str">
        <f t="shared" si="33"/>
        <v>Chenango, NY</v>
      </c>
      <c r="L1872" s="24"/>
    </row>
    <row r="1873">
      <c r="A1873" s="28">
        <v>1872.0</v>
      </c>
      <c r="B1873" s="29"/>
      <c r="C1873" s="29"/>
      <c r="D1873" s="40">
        <v>1.0</v>
      </c>
      <c r="E1873" s="31">
        <v>36.0</v>
      </c>
      <c r="F1873" s="42">
        <v>19.0</v>
      </c>
      <c r="G1873" s="29" t="str">
        <f t="shared" si="1"/>
        <v>36019</v>
      </c>
      <c r="H1873" s="37" t="s">
        <v>711</v>
      </c>
      <c r="I1873" s="37" t="s">
        <v>94</v>
      </c>
      <c r="J1873" s="37" t="s">
        <v>250</v>
      </c>
      <c r="K1873" s="37" t="str">
        <f t="shared" si="33"/>
        <v>Clinton, NY</v>
      </c>
      <c r="L1873" s="24"/>
    </row>
    <row r="1874">
      <c r="A1874" s="28">
        <v>1873.0</v>
      </c>
      <c r="B1874" s="29"/>
      <c r="C1874" s="29"/>
      <c r="D1874" s="40">
        <v>1.0</v>
      </c>
      <c r="E1874" s="31">
        <v>36.0</v>
      </c>
      <c r="F1874" s="42">
        <v>21.0</v>
      </c>
      <c r="G1874" s="29" t="str">
        <f t="shared" si="1"/>
        <v>36021</v>
      </c>
      <c r="H1874" s="37" t="s">
        <v>258</v>
      </c>
      <c r="I1874" s="37" t="s">
        <v>94</v>
      </c>
      <c r="J1874" s="37" t="s">
        <v>250</v>
      </c>
      <c r="K1874" s="37" t="str">
        <f t="shared" si="33"/>
        <v>Columbia, NY</v>
      </c>
      <c r="L1874" s="24"/>
    </row>
    <row r="1875">
      <c r="A1875" s="28">
        <v>1874.0</v>
      </c>
      <c r="B1875" s="29"/>
      <c r="C1875" s="29"/>
      <c r="D1875" s="40">
        <v>1.0</v>
      </c>
      <c r="E1875" s="31">
        <v>36.0</v>
      </c>
      <c r="F1875" s="42">
        <v>23.0</v>
      </c>
      <c r="G1875" s="29" t="str">
        <f t="shared" si="1"/>
        <v>36023</v>
      </c>
      <c r="H1875" s="37" t="s">
        <v>1560</v>
      </c>
      <c r="I1875" s="37" t="s">
        <v>94</v>
      </c>
      <c r="J1875" s="37" t="s">
        <v>250</v>
      </c>
      <c r="K1875" s="37" t="str">
        <f t="shared" si="33"/>
        <v>Cortland, NY</v>
      </c>
      <c r="L1875" s="24"/>
    </row>
    <row r="1876">
      <c r="A1876" s="28">
        <v>1875.0</v>
      </c>
      <c r="B1876" s="29"/>
      <c r="C1876" s="29"/>
      <c r="D1876" s="40">
        <v>1.0</v>
      </c>
      <c r="E1876" s="31">
        <v>36.0</v>
      </c>
      <c r="F1876" s="42">
        <v>25.0</v>
      </c>
      <c r="G1876" s="29" t="str">
        <f t="shared" si="1"/>
        <v>36025</v>
      </c>
      <c r="H1876" s="37" t="s">
        <v>40</v>
      </c>
      <c r="I1876" s="37" t="s">
        <v>94</v>
      </c>
      <c r="J1876" s="37" t="s">
        <v>250</v>
      </c>
      <c r="K1876" s="37" t="str">
        <f t="shared" si="33"/>
        <v>Delaware, NY</v>
      </c>
      <c r="L1876" s="24"/>
    </row>
    <row r="1877">
      <c r="A1877" s="28">
        <v>1876.0</v>
      </c>
      <c r="B1877" s="29"/>
      <c r="C1877" s="29"/>
      <c r="D1877" s="40">
        <v>1.0</v>
      </c>
      <c r="E1877" s="31">
        <v>36.0</v>
      </c>
      <c r="F1877" s="42">
        <v>27.0</v>
      </c>
      <c r="G1877" s="29" t="str">
        <f t="shared" si="1"/>
        <v>36027</v>
      </c>
      <c r="H1877" s="37" t="s">
        <v>1561</v>
      </c>
      <c r="I1877" s="37" t="s">
        <v>94</v>
      </c>
      <c r="J1877" s="37" t="s">
        <v>250</v>
      </c>
      <c r="K1877" s="37" t="str">
        <f t="shared" si="33"/>
        <v>Dutchess, NY</v>
      </c>
      <c r="L1877" s="24"/>
    </row>
    <row r="1878">
      <c r="A1878" s="28">
        <v>1877.0</v>
      </c>
      <c r="B1878" s="29"/>
      <c r="C1878" s="29"/>
      <c r="D1878" s="40">
        <v>1.0</v>
      </c>
      <c r="E1878" s="31">
        <v>36.0</v>
      </c>
      <c r="F1878" s="42">
        <v>29.0</v>
      </c>
      <c r="G1878" s="29" t="str">
        <f t="shared" si="1"/>
        <v>36029</v>
      </c>
      <c r="H1878" s="37" t="s">
        <v>464</v>
      </c>
      <c r="I1878" s="37" t="s">
        <v>94</v>
      </c>
      <c r="J1878" s="37" t="s">
        <v>250</v>
      </c>
      <c r="K1878" s="37" t="str">
        <f t="shared" si="33"/>
        <v>Erie, NY</v>
      </c>
      <c r="L1878" s="24"/>
    </row>
    <row r="1879">
      <c r="A1879" s="28">
        <v>1878.0</v>
      </c>
      <c r="B1879" s="29"/>
      <c r="C1879" s="29"/>
      <c r="D1879" s="40">
        <v>1.0</v>
      </c>
      <c r="E1879" s="31">
        <v>36.0</v>
      </c>
      <c r="F1879" s="42">
        <v>31.0</v>
      </c>
      <c r="G1879" s="29" t="str">
        <f t="shared" si="1"/>
        <v>36031</v>
      </c>
      <c r="H1879" s="37" t="s">
        <v>516</v>
      </c>
      <c r="I1879" s="37" t="s">
        <v>94</v>
      </c>
      <c r="J1879" s="37" t="s">
        <v>250</v>
      </c>
      <c r="K1879" s="37" t="str">
        <f t="shared" si="33"/>
        <v>Essex, NY</v>
      </c>
      <c r="L1879" s="24"/>
    </row>
    <row r="1880">
      <c r="A1880" s="28">
        <v>1879.0</v>
      </c>
      <c r="B1880" s="29"/>
      <c r="C1880" s="29"/>
      <c r="D1880" s="40">
        <v>1.0</v>
      </c>
      <c r="E1880" s="31">
        <v>36.0</v>
      </c>
      <c r="F1880" s="42">
        <v>33.0</v>
      </c>
      <c r="G1880" s="29" t="str">
        <f t="shared" si="1"/>
        <v>36033</v>
      </c>
      <c r="H1880" s="37" t="s">
        <v>136</v>
      </c>
      <c r="I1880" s="37" t="s">
        <v>94</v>
      </c>
      <c r="J1880" s="37" t="s">
        <v>250</v>
      </c>
      <c r="K1880" s="37" t="str">
        <f t="shared" si="33"/>
        <v>Franklin, NY</v>
      </c>
      <c r="L1880" s="24"/>
    </row>
    <row r="1881">
      <c r="A1881" s="28">
        <v>1880.0</v>
      </c>
      <c r="B1881" s="29"/>
      <c r="C1881" s="29"/>
      <c r="D1881" s="40">
        <v>1.0</v>
      </c>
      <c r="E1881" s="31">
        <v>36.0</v>
      </c>
      <c r="F1881" s="42">
        <v>35.0</v>
      </c>
      <c r="G1881" s="29" t="str">
        <f t="shared" si="1"/>
        <v>36035</v>
      </c>
      <c r="H1881" s="37" t="s">
        <v>275</v>
      </c>
      <c r="I1881" s="37" t="s">
        <v>94</v>
      </c>
      <c r="J1881" s="37" t="s">
        <v>250</v>
      </c>
      <c r="K1881" s="37" t="str">
        <f t="shared" si="33"/>
        <v>Fulton, NY</v>
      </c>
      <c r="L1881" s="24"/>
    </row>
    <row r="1882">
      <c r="A1882" s="28">
        <v>1881.0</v>
      </c>
      <c r="B1882" s="29"/>
      <c r="C1882" s="29"/>
      <c r="D1882" s="40">
        <v>1.0</v>
      </c>
      <c r="E1882" s="31">
        <v>36.0</v>
      </c>
      <c r="F1882" s="42">
        <v>37.0</v>
      </c>
      <c r="G1882" s="29" t="str">
        <f t="shared" si="1"/>
        <v>36037</v>
      </c>
      <c r="H1882" s="37" t="s">
        <v>1248</v>
      </c>
      <c r="I1882" s="37" t="s">
        <v>94</v>
      </c>
      <c r="J1882" s="37" t="s">
        <v>250</v>
      </c>
      <c r="K1882" s="37" t="str">
        <f t="shared" si="33"/>
        <v>Genesee, NY</v>
      </c>
      <c r="L1882" s="24"/>
    </row>
    <row r="1883">
      <c r="A1883" s="28">
        <v>1882.0</v>
      </c>
      <c r="B1883" s="29"/>
      <c r="C1883" s="29"/>
      <c r="D1883" s="40">
        <v>1.0</v>
      </c>
      <c r="E1883" s="31">
        <v>36.0</v>
      </c>
      <c r="F1883" s="42">
        <v>39.0</v>
      </c>
      <c r="G1883" s="29" t="str">
        <f t="shared" si="1"/>
        <v>36039</v>
      </c>
      <c r="H1883" s="37" t="s">
        <v>138</v>
      </c>
      <c r="I1883" s="37" t="s">
        <v>94</v>
      </c>
      <c r="J1883" s="37" t="s">
        <v>250</v>
      </c>
      <c r="K1883" s="37" t="str">
        <f t="shared" si="33"/>
        <v>Greene, NY</v>
      </c>
      <c r="L1883" s="24"/>
    </row>
    <row r="1884">
      <c r="A1884" s="28">
        <v>1883.0</v>
      </c>
      <c r="B1884" s="29"/>
      <c r="C1884" s="29"/>
      <c r="D1884" s="40">
        <v>1.0</v>
      </c>
      <c r="E1884" s="31">
        <v>36.0</v>
      </c>
      <c r="F1884" s="42">
        <v>41.0</v>
      </c>
      <c r="G1884" s="29" t="str">
        <f t="shared" si="1"/>
        <v>36041</v>
      </c>
      <c r="H1884" s="37" t="s">
        <v>497</v>
      </c>
      <c r="I1884" s="37" t="s">
        <v>94</v>
      </c>
      <c r="J1884" s="37" t="s">
        <v>250</v>
      </c>
      <c r="K1884" s="37" t="str">
        <f t="shared" si="33"/>
        <v>Hamilton, NY</v>
      </c>
      <c r="L1884" s="24"/>
    </row>
    <row r="1885">
      <c r="A1885" s="28">
        <v>1884.0</v>
      </c>
      <c r="B1885" s="29"/>
      <c r="C1885" s="29"/>
      <c r="D1885" s="40">
        <v>1.0</v>
      </c>
      <c r="E1885" s="31">
        <v>36.0</v>
      </c>
      <c r="F1885" s="42">
        <v>43.0</v>
      </c>
      <c r="G1885" s="29" t="str">
        <f t="shared" si="1"/>
        <v>36043</v>
      </c>
      <c r="H1885" s="37" t="s">
        <v>1562</v>
      </c>
      <c r="I1885" s="37" t="s">
        <v>94</v>
      </c>
      <c r="J1885" s="37" t="s">
        <v>250</v>
      </c>
      <c r="K1885" s="37" t="str">
        <f t="shared" si="33"/>
        <v>Herkimer, NY</v>
      </c>
      <c r="L1885" s="24"/>
    </row>
    <row r="1886">
      <c r="A1886" s="28">
        <v>1885.0</v>
      </c>
      <c r="B1886" s="29"/>
      <c r="C1886" s="29"/>
      <c r="D1886" s="40">
        <v>1.0</v>
      </c>
      <c r="E1886" s="31">
        <v>36.0</v>
      </c>
      <c r="F1886" s="42">
        <v>45.0</v>
      </c>
      <c r="G1886" s="29" t="str">
        <f t="shared" si="1"/>
        <v>36045</v>
      </c>
      <c r="H1886" s="37" t="s">
        <v>143</v>
      </c>
      <c r="I1886" s="37" t="s">
        <v>94</v>
      </c>
      <c r="J1886" s="37" t="s">
        <v>250</v>
      </c>
      <c r="K1886" s="37" t="str">
        <f t="shared" si="33"/>
        <v>Jefferson, NY</v>
      </c>
      <c r="L1886" s="24"/>
    </row>
    <row r="1887">
      <c r="A1887" s="28">
        <v>1886.0</v>
      </c>
      <c r="B1887" s="29"/>
      <c r="C1887" s="29"/>
      <c r="D1887" s="40">
        <v>1.0</v>
      </c>
      <c r="E1887" s="31">
        <v>36.0</v>
      </c>
      <c r="F1887" s="42">
        <v>47.0</v>
      </c>
      <c r="G1887" s="29" t="str">
        <f t="shared" si="1"/>
        <v>36047</v>
      </c>
      <c r="H1887" s="37" t="s">
        <v>249</v>
      </c>
      <c r="I1887" s="37" t="s">
        <v>94</v>
      </c>
      <c r="J1887" s="37" t="s">
        <v>250</v>
      </c>
      <c r="K1887" s="37" t="str">
        <f t="shared" si="33"/>
        <v>Kings, NY</v>
      </c>
      <c r="L1887" s="24"/>
    </row>
    <row r="1888">
      <c r="A1888" s="28">
        <v>1887.0</v>
      </c>
      <c r="B1888" s="29"/>
      <c r="C1888" s="29"/>
      <c r="D1888" s="40">
        <v>1.0</v>
      </c>
      <c r="E1888" s="31">
        <v>36.0</v>
      </c>
      <c r="F1888" s="42">
        <v>49.0</v>
      </c>
      <c r="G1888" s="29" t="str">
        <f t="shared" si="1"/>
        <v>36049</v>
      </c>
      <c r="H1888" s="37" t="s">
        <v>682</v>
      </c>
      <c r="I1888" s="37" t="s">
        <v>94</v>
      </c>
      <c r="J1888" s="37" t="s">
        <v>250</v>
      </c>
      <c r="K1888" s="37" t="str">
        <f t="shared" si="33"/>
        <v>Lewis, NY</v>
      </c>
      <c r="L1888" s="24"/>
    </row>
    <row r="1889">
      <c r="A1889" s="28">
        <v>1888.0</v>
      </c>
      <c r="B1889" s="29"/>
      <c r="C1889" s="29"/>
      <c r="D1889" s="40">
        <v>1.0</v>
      </c>
      <c r="E1889" s="31">
        <v>36.0</v>
      </c>
      <c r="F1889" s="42">
        <v>51.0</v>
      </c>
      <c r="G1889" s="29" t="str">
        <f t="shared" si="1"/>
        <v>36051</v>
      </c>
      <c r="H1889" s="37" t="s">
        <v>730</v>
      </c>
      <c r="I1889" s="37" t="s">
        <v>94</v>
      </c>
      <c r="J1889" s="37" t="s">
        <v>250</v>
      </c>
      <c r="K1889" s="37" t="str">
        <f t="shared" si="33"/>
        <v>Livingston, NY</v>
      </c>
      <c r="L1889" s="24"/>
    </row>
    <row r="1890">
      <c r="A1890" s="28">
        <v>1889.0</v>
      </c>
      <c r="B1890" s="29"/>
      <c r="C1890" s="29"/>
      <c r="D1890" s="40">
        <v>1.0</v>
      </c>
      <c r="E1890" s="31">
        <v>36.0</v>
      </c>
      <c r="F1890" s="42">
        <v>53.0</v>
      </c>
      <c r="G1890" s="29" t="str">
        <f t="shared" si="1"/>
        <v>36053</v>
      </c>
      <c r="H1890" s="37" t="s">
        <v>151</v>
      </c>
      <c r="I1890" s="37" t="s">
        <v>94</v>
      </c>
      <c r="J1890" s="37" t="s">
        <v>250</v>
      </c>
      <c r="K1890" s="37" t="str">
        <f t="shared" si="33"/>
        <v>Madison, NY</v>
      </c>
      <c r="L1890" s="24"/>
    </row>
    <row r="1891">
      <c r="A1891" s="28">
        <v>1890.0</v>
      </c>
      <c r="B1891" s="29"/>
      <c r="C1891" s="29"/>
      <c r="D1891" s="40">
        <v>1.0</v>
      </c>
      <c r="E1891" s="31">
        <v>36.0</v>
      </c>
      <c r="F1891" s="42">
        <v>55.0</v>
      </c>
      <c r="G1891" s="29" t="str">
        <f t="shared" si="1"/>
        <v>36055</v>
      </c>
      <c r="H1891" s="37" t="s">
        <v>156</v>
      </c>
      <c r="I1891" s="37" t="s">
        <v>94</v>
      </c>
      <c r="J1891" s="37" t="s">
        <v>250</v>
      </c>
      <c r="K1891" s="37" t="str">
        <f t="shared" si="33"/>
        <v>Monroe, NY</v>
      </c>
      <c r="L1891" s="24"/>
    </row>
    <row r="1892">
      <c r="A1892" s="28">
        <v>1891.0</v>
      </c>
      <c r="B1892" s="29"/>
      <c r="C1892" s="29"/>
      <c r="D1892" s="40">
        <v>1.0</v>
      </c>
      <c r="E1892" s="31">
        <v>36.0</v>
      </c>
      <c r="F1892" s="42">
        <v>57.0</v>
      </c>
      <c r="G1892" s="29" t="str">
        <f t="shared" si="1"/>
        <v>36057</v>
      </c>
      <c r="H1892" s="37" t="s">
        <v>157</v>
      </c>
      <c r="I1892" s="37" t="s">
        <v>94</v>
      </c>
      <c r="J1892" s="37" t="s">
        <v>250</v>
      </c>
      <c r="K1892" s="136" t="str">
        <f t="shared" si="33"/>
        <v>Montgomery, NY</v>
      </c>
      <c r="L1892" s="24"/>
    </row>
    <row r="1893">
      <c r="A1893" s="28">
        <v>1892.0</v>
      </c>
      <c r="B1893" s="29"/>
      <c r="C1893" s="29"/>
      <c r="D1893" s="40">
        <v>1.0</v>
      </c>
      <c r="E1893" s="31">
        <v>36.0</v>
      </c>
      <c r="F1893" s="42">
        <v>59.0</v>
      </c>
      <c r="G1893" s="29" t="str">
        <f t="shared" si="1"/>
        <v>36059</v>
      </c>
      <c r="H1893" s="37" t="s">
        <v>330</v>
      </c>
      <c r="I1893" s="37" t="s">
        <v>94</v>
      </c>
      <c r="J1893" s="37" t="s">
        <v>250</v>
      </c>
      <c r="K1893" s="37" t="str">
        <f t="shared" si="33"/>
        <v>Nassau, NY</v>
      </c>
      <c r="L1893" s="24"/>
    </row>
    <row r="1894">
      <c r="A1894" s="28">
        <v>1893.0</v>
      </c>
      <c r="B1894" s="29"/>
      <c r="C1894" s="29"/>
      <c r="D1894" s="40">
        <v>1.0</v>
      </c>
      <c r="E1894" s="31">
        <v>36.0</v>
      </c>
      <c r="F1894" s="42">
        <v>61.0</v>
      </c>
      <c r="G1894" s="29" t="str">
        <f t="shared" si="1"/>
        <v>36061</v>
      </c>
      <c r="H1894" s="37" t="s">
        <v>94</v>
      </c>
      <c r="I1894" s="37" t="s">
        <v>94</v>
      </c>
      <c r="J1894" s="37" t="s">
        <v>250</v>
      </c>
      <c r="K1894" s="37" t="str">
        <f t="shared" si="33"/>
        <v>New York, NY</v>
      </c>
      <c r="L1894" s="24"/>
    </row>
    <row r="1895">
      <c r="A1895" s="28">
        <v>1894.0</v>
      </c>
      <c r="B1895" s="29"/>
      <c r="C1895" s="29"/>
      <c r="D1895" s="40">
        <v>1.0</v>
      </c>
      <c r="E1895" s="31">
        <v>36.0</v>
      </c>
      <c r="F1895" s="42">
        <v>63.0</v>
      </c>
      <c r="G1895" s="29" t="str">
        <f t="shared" si="1"/>
        <v>36063</v>
      </c>
      <c r="H1895" s="37" t="s">
        <v>1563</v>
      </c>
      <c r="I1895" s="37" t="s">
        <v>94</v>
      </c>
      <c r="J1895" s="37" t="s">
        <v>250</v>
      </c>
      <c r="K1895" s="37" t="str">
        <f t="shared" si="33"/>
        <v>Niagara, NY</v>
      </c>
      <c r="L1895" s="24"/>
    </row>
    <row r="1896">
      <c r="A1896" s="28">
        <v>1895.0</v>
      </c>
      <c r="B1896" s="29"/>
      <c r="C1896" s="29"/>
      <c r="D1896" s="40">
        <v>1.0</v>
      </c>
      <c r="E1896" s="31">
        <v>36.0</v>
      </c>
      <c r="F1896" s="42">
        <v>65.0</v>
      </c>
      <c r="G1896" s="29" t="str">
        <f t="shared" si="1"/>
        <v>36065</v>
      </c>
      <c r="H1896" s="37" t="s">
        <v>685</v>
      </c>
      <c r="I1896" s="37" t="s">
        <v>94</v>
      </c>
      <c r="J1896" s="37" t="s">
        <v>250</v>
      </c>
      <c r="K1896" s="37" t="str">
        <f t="shared" si="33"/>
        <v>Oneida, NY</v>
      </c>
      <c r="L1896" s="24"/>
    </row>
    <row r="1897">
      <c r="A1897" s="28">
        <v>1896.0</v>
      </c>
      <c r="B1897" s="29"/>
      <c r="C1897" s="29"/>
      <c r="D1897" s="40">
        <v>1.0</v>
      </c>
      <c r="E1897" s="31">
        <v>36.0</v>
      </c>
      <c r="F1897" s="42">
        <v>67.0</v>
      </c>
      <c r="G1897" s="29" t="str">
        <f t="shared" si="1"/>
        <v>36067</v>
      </c>
      <c r="H1897" s="37" t="s">
        <v>1564</v>
      </c>
      <c r="I1897" s="37" t="s">
        <v>94</v>
      </c>
      <c r="J1897" s="37" t="s">
        <v>250</v>
      </c>
      <c r="K1897" s="37" t="str">
        <f t="shared" si="33"/>
        <v>Onondaga, NY</v>
      </c>
      <c r="L1897" s="24"/>
    </row>
    <row r="1898">
      <c r="A1898" s="28">
        <v>1897.0</v>
      </c>
      <c r="B1898" s="29"/>
      <c r="C1898" s="29"/>
      <c r="D1898" s="40">
        <v>1.0</v>
      </c>
      <c r="E1898" s="31">
        <v>36.0</v>
      </c>
      <c r="F1898" s="42">
        <v>69.0</v>
      </c>
      <c r="G1898" s="29" t="str">
        <f t="shared" si="1"/>
        <v>36069</v>
      </c>
      <c r="H1898" s="37" t="s">
        <v>1565</v>
      </c>
      <c r="I1898" s="37" t="s">
        <v>94</v>
      </c>
      <c r="J1898" s="37" t="s">
        <v>250</v>
      </c>
      <c r="K1898" s="37" t="str">
        <f t="shared" si="33"/>
        <v>Ontario, NY</v>
      </c>
      <c r="L1898" s="24"/>
    </row>
    <row r="1899">
      <c r="A1899" s="28">
        <v>1898.0</v>
      </c>
      <c r="B1899" s="29"/>
      <c r="C1899" s="29"/>
      <c r="D1899" s="40">
        <v>1.0</v>
      </c>
      <c r="E1899" s="31">
        <v>36.0</v>
      </c>
      <c r="F1899" s="42">
        <v>71.0</v>
      </c>
      <c r="G1899" s="29" t="str">
        <f t="shared" si="1"/>
        <v>36071</v>
      </c>
      <c r="H1899" s="37" t="s">
        <v>241</v>
      </c>
      <c r="I1899" s="37" t="s">
        <v>94</v>
      </c>
      <c r="J1899" s="37" t="s">
        <v>250</v>
      </c>
      <c r="K1899" s="37" t="str">
        <f t="shared" si="33"/>
        <v>Orange, NY</v>
      </c>
      <c r="L1899" s="24"/>
    </row>
    <row r="1900">
      <c r="A1900" s="28">
        <v>1899.0</v>
      </c>
      <c r="B1900" s="29"/>
      <c r="C1900" s="29"/>
      <c r="D1900" s="40">
        <v>1.0</v>
      </c>
      <c r="E1900" s="31">
        <v>36.0</v>
      </c>
      <c r="F1900" s="42">
        <v>73.0</v>
      </c>
      <c r="G1900" s="29" t="str">
        <f t="shared" si="1"/>
        <v>36073</v>
      </c>
      <c r="H1900" s="37" t="s">
        <v>1163</v>
      </c>
      <c r="I1900" s="37" t="s">
        <v>94</v>
      </c>
      <c r="J1900" s="37" t="s">
        <v>250</v>
      </c>
      <c r="K1900" s="37" t="str">
        <f t="shared" si="33"/>
        <v>Orleans, NY</v>
      </c>
      <c r="L1900" s="24"/>
    </row>
    <row r="1901">
      <c r="A1901" s="28">
        <v>1900.0</v>
      </c>
      <c r="B1901" s="29"/>
      <c r="C1901" s="29"/>
      <c r="D1901" s="40">
        <v>1.0</v>
      </c>
      <c r="E1901" s="31">
        <v>36.0</v>
      </c>
      <c r="F1901" s="42">
        <v>75.0</v>
      </c>
      <c r="G1901" s="29" t="str">
        <f t="shared" si="1"/>
        <v>36075</v>
      </c>
      <c r="H1901" s="37" t="s">
        <v>1566</v>
      </c>
      <c r="I1901" s="37" t="s">
        <v>94</v>
      </c>
      <c r="J1901" s="37" t="s">
        <v>250</v>
      </c>
      <c r="K1901" s="37" t="str">
        <f t="shared" si="33"/>
        <v>Oswego, NY</v>
      </c>
      <c r="L1901" s="24"/>
    </row>
    <row r="1902">
      <c r="A1902" s="28">
        <v>1901.0</v>
      </c>
      <c r="B1902" s="29"/>
      <c r="C1902" s="29"/>
      <c r="D1902" s="40">
        <v>1.0</v>
      </c>
      <c r="E1902" s="31">
        <v>36.0</v>
      </c>
      <c r="F1902" s="42">
        <v>77.0</v>
      </c>
      <c r="G1902" s="29" t="str">
        <f t="shared" si="1"/>
        <v>36077</v>
      </c>
      <c r="H1902" s="37" t="s">
        <v>1286</v>
      </c>
      <c r="I1902" s="37" t="s">
        <v>94</v>
      </c>
      <c r="J1902" s="37" t="s">
        <v>250</v>
      </c>
      <c r="K1902" s="37" t="str">
        <f t="shared" si="33"/>
        <v>Otsego, NY</v>
      </c>
      <c r="L1902" s="24"/>
    </row>
    <row r="1903">
      <c r="A1903" s="28">
        <v>1902.0</v>
      </c>
      <c r="B1903" s="29"/>
      <c r="C1903" s="29"/>
      <c r="D1903" s="40">
        <v>1.0</v>
      </c>
      <c r="E1903" s="31">
        <v>36.0</v>
      </c>
      <c r="F1903" s="42">
        <v>79.0</v>
      </c>
      <c r="G1903" s="29" t="str">
        <f t="shared" si="1"/>
        <v>36079</v>
      </c>
      <c r="H1903" s="37" t="s">
        <v>518</v>
      </c>
      <c r="I1903" s="37" t="s">
        <v>94</v>
      </c>
      <c r="J1903" s="37" t="s">
        <v>250</v>
      </c>
      <c r="K1903" s="37" t="str">
        <f t="shared" si="33"/>
        <v>Putnam, NY</v>
      </c>
      <c r="L1903" s="24"/>
    </row>
    <row r="1904">
      <c r="A1904" s="28">
        <v>1903.0</v>
      </c>
      <c r="B1904" s="29"/>
      <c r="C1904" s="29"/>
      <c r="D1904" s="40">
        <v>1.0</v>
      </c>
      <c r="E1904" s="31">
        <v>36.0</v>
      </c>
      <c r="F1904" s="42">
        <v>81.0</v>
      </c>
      <c r="G1904" s="29" t="str">
        <f t="shared" si="1"/>
        <v>36081</v>
      </c>
      <c r="H1904" s="37" t="s">
        <v>254</v>
      </c>
      <c r="I1904" s="37" t="s">
        <v>94</v>
      </c>
      <c r="J1904" s="37" t="s">
        <v>250</v>
      </c>
      <c r="K1904" s="37" t="str">
        <f t="shared" si="33"/>
        <v>Queens, NY</v>
      </c>
      <c r="L1904" s="24"/>
    </row>
    <row r="1905">
      <c r="A1905" s="28">
        <v>1904.0</v>
      </c>
      <c r="B1905" s="29"/>
      <c r="C1905" s="29"/>
      <c r="D1905" s="40">
        <v>1.0</v>
      </c>
      <c r="E1905" s="31">
        <v>36.0</v>
      </c>
      <c r="F1905" s="42">
        <v>83.0</v>
      </c>
      <c r="G1905" s="29" t="str">
        <f t="shared" si="1"/>
        <v>36083</v>
      </c>
      <c r="H1905" s="37" t="s">
        <v>1567</v>
      </c>
      <c r="I1905" s="37" t="s">
        <v>94</v>
      </c>
      <c r="J1905" s="37" t="s">
        <v>250</v>
      </c>
      <c r="K1905" s="37" t="str">
        <f t="shared" si="33"/>
        <v>Rensselaer, NY</v>
      </c>
      <c r="L1905" s="24"/>
    </row>
    <row r="1906">
      <c r="A1906" s="28">
        <v>1905.0</v>
      </c>
      <c r="B1906" s="29"/>
      <c r="C1906" s="29"/>
      <c r="D1906" s="40">
        <v>1.0</v>
      </c>
      <c r="E1906" s="31">
        <v>36.0</v>
      </c>
      <c r="F1906" s="42">
        <v>85.0</v>
      </c>
      <c r="G1906" s="29" t="str">
        <f t="shared" si="1"/>
        <v>36085</v>
      </c>
      <c r="H1906" s="37" t="s">
        <v>621</v>
      </c>
      <c r="I1906" s="37" t="s">
        <v>94</v>
      </c>
      <c r="J1906" s="37" t="s">
        <v>250</v>
      </c>
      <c r="K1906" s="37" t="str">
        <f t="shared" si="33"/>
        <v>Richmond, NY</v>
      </c>
      <c r="L1906" s="24"/>
    </row>
    <row r="1907">
      <c r="A1907" s="28">
        <v>1906.0</v>
      </c>
      <c r="B1907" s="29"/>
      <c r="C1907" s="29"/>
      <c r="D1907" s="40">
        <v>1.0</v>
      </c>
      <c r="E1907" s="31">
        <v>36.0</v>
      </c>
      <c r="F1907" s="42">
        <v>87.0</v>
      </c>
      <c r="G1907" s="29" t="str">
        <f t="shared" si="1"/>
        <v>36087</v>
      </c>
      <c r="H1907" s="37" t="s">
        <v>1568</v>
      </c>
      <c r="I1907" s="37" t="s">
        <v>94</v>
      </c>
      <c r="J1907" s="37" t="s">
        <v>250</v>
      </c>
      <c r="K1907" s="37" t="str">
        <f t="shared" si="33"/>
        <v>Rockland, NY</v>
      </c>
      <c r="L1907" s="24"/>
    </row>
    <row r="1908">
      <c r="A1908" s="28">
        <v>1907.0</v>
      </c>
      <c r="B1908" s="29"/>
      <c r="C1908" s="29"/>
      <c r="D1908" s="40">
        <v>1.0</v>
      </c>
      <c r="E1908" s="31">
        <v>36.0</v>
      </c>
      <c r="F1908" s="42">
        <v>89.0</v>
      </c>
      <c r="G1908" s="29" t="str">
        <f t="shared" si="1"/>
        <v>36089</v>
      </c>
      <c r="H1908" s="37" t="s">
        <v>1569</v>
      </c>
      <c r="I1908" s="37" t="s">
        <v>94</v>
      </c>
      <c r="J1908" s="37" t="s">
        <v>250</v>
      </c>
      <c r="K1908" s="136" t="str">
        <f t="shared" si="33"/>
        <v>St Lawrence, NY</v>
      </c>
      <c r="L1908" s="24"/>
    </row>
    <row r="1909">
      <c r="A1909" s="28">
        <v>1908.0</v>
      </c>
      <c r="B1909" s="29"/>
      <c r="C1909" s="29"/>
      <c r="D1909" s="40">
        <v>1.0</v>
      </c>
      <c r="E1909" s="31">
        <v>36.0</v>
      </c>
      <c r="F1909" s="42">
        <v>91.0</v>
      </c>
      <c r="G1909" s="29" t="str">
        <f t="shared" si="1"/>
        <v>36091</v>
      </c>
      <c r="H1909" s="37" t="s">
        <v>1570</v>
      </c>
      <c r="I1909" s="37" t="s">
        <v>94</v>
      </c>
      <c r="J1909" s="37" t="s">
        <v>250</v>
      </c>
      <c r="K1909" s="37" t="str">
        <f t="shared" si="33"/>
        <v>Saratoga, NY</v>
      </c>
      <c r="L1909" s="24"/>
    </row>
    <row r="1910">
      <c r="A1910" s="28">
        <v>1909.0</v>
      </c>
      <c r="B1910" s="29"/>
      <c r="C1910" s="29"/>
      <c r="D1910" s="40">
        <v>1.0</v>
      </c>
      <c r="E1910" s="31">
        <v>36.0</v>
      </c>
      <c r="F1910" s="42">
        <v>93.0</v>
      </c>
      <c r="G1910" s="29" t="str">
        <f t="shared" si="1"/>
        <v>36093</v>
      </c>
      <c r="H1910" s="37" t="s">
        <v>1571</v>
      </c>
      <c r="I1910" s="37" t="s">
        <v>94</v>
      </c>
      <c r="J1910" s="37" t="s">
        <v>250</v>
      </c>
      <c r="K1910" s="136" t="str">
        <f t="shared" si="33"/>
        <v>Schenectady, NY</v>
      </c>
      <c r="L1910" s="24"/>
    </row>
    <row r="1911">
      <c r="A1911" s="28">
        <v>1910.0</v>
      </c>
      <c r="B1911" s="29"/>
      <c r="C1911" s="29"/>
      <c r="D1911" s="40">
        <v>1.0</v>
      </c>
      <c r="E1911" s="31">
        <v>36.0</v>
      </c>
      <c r="F1911" s="42">
        <v>95.0</v>
      </c>
      <c r="G1911" s="29" t="str">
        <f t="shared" si="1"/>
        <v>36095</v>
      </c>
      <c r="H1911" s="37" t="s">
        <v>1572</v>
      </c>
      <c r="I1911" s="37" t="s">
        <v>94</v>
      </c>
      <c r="J1911" s="37" t="s">
        <v>250</v>
      </c>
      <c r="K1911" s="37" t="str">
        <f t="shared" si="33"/>
        <v>Schoharie, NY</v>
      </c>
      <c r="L1911" s="24"/>
    </row>
    <row r="1912">
      <c r="A1912" s="28">
        <v>1911.0</v>
      </c>
      <c r="B1912" s="29"/>
      <c r="C1912" s="29"/>
      <c r="D1912" s="40">
        <v>1.0</v>
      </c>
      <c r="E1912" s="31">
        <v>36.0</v>
      </c>
      <c r="F1912" s="42">
        <v>97.0</v>
      </c>
      <c r="G1912" s="29" t="str">
        <f t="shared" si="1"/>
        <v>36097</v>
      </c>
      <c r="H1912" s="37" t="s">
        <v>746</v>
      </c>
      <c r="I1912" s="37" t="s">
        <v>94</v>
      </c>
      <c r="J1912" s="37" t="s">
        <v>250</v>
      </c>
      <c r="K1912" s="37" t="str">
        <f t="shared" si="33"/>
        <v>Schuyler, NY</v>
      </c>
      <c r="L1912" s="24"/>
    </row>
    <row r="1913">
      <c r="A1913" s="28">
        <v>1912.0</v>
      </c>
      <c r="B1913" s="29"/>
      <c r="C1913" s="29"/>
      <c r="D1913" s="40">
        <v>1.0</v>
      </c>
      <c r="E1913" s="31">
        <v>36.0</v>
      </c>
      <c r="F1913" s="42">
        <v>99.0</v>
      </c>
      <c r="G1913" s="29" t="str">
        <f t="shared" si="1"/>
        <v>36099</v>
      </c>
      <c r="H1913" s="37" t="s">
        <v>1573</v>
      </c>
      <c r="I1913" s="37" t="s">
        <v>94</v>
      </c>
      <c r="J1913" s="37" t="s">
        <v>250</v>
      </c>
      <c r="K1913" s="37" t="str">
        <f t="shared" si="33"/>
        <v>Seneca, NY</v>
      </c>
      <c r="L1913" s="24"/>
    </row>
    <row r="1914">
      <c r="A1914" s="28">
        <v>1913.0</v>
      </c>
      <c r="B1914" s="29"/>
      <c r="C1914" s="29"/>
      <c r="D1914" s="40">
        <v>1.0</v>
      </c>
      <c r="E1914" s="31">
        <v>36.0</v>
      </c>
      <c r="F1914" s="42">
        <v>101.0</v>
      </c>
      <c r="G1914" s="29" t="str">
        <f t="shared" si="1"/>
        <v>36101</v>
      </c>
      <c r="H1914" s="37" t="s">
        <v>859</v>
      </c>
      <c r="I1914" s="37" t="s">
        <v>94</v>
      </c>
      <c r="J1914" s="37" t="s">
        <v>250</v>
      </c>
      <c r="K1914" s="37" t="str">
        <f t="shared" si="33"/>
        <v>Steuben, NY</v>
      </c>
      <c r="L1914" s="24"/>
    </row>
    <row r="1915">
      <c r="A1915" s="28">
        <v>1914.0</v>
      </c>
      <c r="B1915" s="29"/>
      <c r="C1915" s="29"/>
      <c r="D1915" s="40">
        <v>1.0</v>
      </c>
      <c r="E1915" s="31">
        <v>36.0</v>
      </c>
      <c r="F1915" s="42">
        <v>103.0</v>
      </c>
      <c r="G1915" s="29" t="str">
        <f t="shared" si="1"/>
        <v>36103</v>
      </c>
      <c r="H1915" s="37" t="s">
        <v>299</v>
      </c>
      <c r="I1915" s="37" t="s">
        <v>94</v>
      </c>
      <c r="J1915" s="37" t="s">
        <v>250</v>
      </c>
      <c r="K1915" s="37" t="str">
        <f t="shared" si="33"/>
        <v>Suffolk, NY</v>
      </c>
      <c r="L1915" s="24"/>
    </row>
    <row r="1916">
      <c r="A1916" s="28">
        <v>1915.0</v>
      </c>
      <c r="B1916" s="29"/>
      <c r="C1916" s="29"/>
      <c r="D1916" s="40">
        <v>1.0</v>
      </c>
      <c r="E1916" s="31">
        <v>36.0</v>
      </c>
      <c r="F1916" s="42">
        <v>105.0</v>
      </c>
      <c r="G1916" s="29" t="str">
        <f t="shared" si="1"/>
        <v>36105</v>
      </c>
      <c r="H1916" s="37" t="s">
        <v>860</v>
      </c>
      <c r="I1916" s="37" t="s">
        <v>94</v>
      </c>
      <c r="J1916" s="37" t="s">
        <v>250</v>
      </c>
      <c r="K1916" s="37" t="str">
        <f t="shared" si="33"/>
        <v>Sullivan, NY</v>
      </c>
      <c r="L1916" s="24"/>
    </row>
    <row r="1917">
      <c r="A1917" s="28">
        <v>1916.0</v>
      </c>
      <c r="B1917" s="29"/>
      <c r="C1917" s="29"/>
      <c r="D1917" s="40">
        <v>1.0</v>
      </c>
      <c r="E1917" s="31">
        <v>36.0</v>
      </c>
      <c r="F1917" s="42">
        <v>107.0</v>
      </c>
      <c r="G1917" s="29" t="str">
        <f t="shared" si="1"/>
        <v>36107</v>
      </c>
      <c r="H1917" s="37" t="s">
        <v>1574</v>
      </c>
      <c r="I1917" s="37" t="s">
        <v>94</v>
      </c>
      <c r="J1917" s="37" t="s">
        <v>250</v>
      </c>
      <c r="K1917" s="37" t="str">
        <f t="shared" si="33"/>
        <v>Tioga, NY</v>
      </c>
      <c r="L1917" s="24"/>
    </row>
    <row r="1918">
      <c r="A1918" s="28">
        <v>1917.0</v>
      </c>
      <c r="B1918" s="29"/>
      <c r="C1918" s="29"/>
      <c r="D1918" s="40">
        <v>1.0</v>
      </c>
      <c r="E1918" s="31">
        <v>36.0</v>
      </c>
      <c r="F1918" s="42">
        <v>109.0</v>
      </c>
      <c r="G1918" s="29" t="str">
        <f t="shared" si="1"/>
        <v>36109</v>
      </c>
      <c r="H1918" s="37" t="s">
        <v>1575</v>
      </c>
      <c r="I1918" s="37" t="s">
        <v>94</v>
      </c>
      <c r="J1918" s="37" t="s">
        <v>250</v>
      </c>
      <c r="K1918" s="37" t="str">
        <f t="shared" si="33"/>
        <v>Tompkins, NY</v>
      </c>
      <c r="L1918" s="24"/>
    </row>
    <row r="1919">
      <c r="A1919" s="28">
        <v>1918.0</v>
      </c>
      <c r="B1919" s="29"/>
      <c r="C1919" s="29"/>
      <c r="D1919" s="40">
        <v>1.0</v>
      </c>
      <c r="E1919" s="31">
        <v>36.0</v>
      </c>
      <c r="F1919" s="42">
        <v>111.0</v>
      </c>
      <c r="G1919" s="29" t="str">
        <f t="shared" si="1"/>
        <v>36111</v>
      </c>
      <c r="H1919" s="37" t="s">
        <v>1576</v>
      </c>
      <c r="I1919" s="37" t="s">
        <v>94</v>
      </c>
      <c r="J1919" s="37" t="s">
        <v>250</v>
      </c>
      <c r="K1919" s="37" t="str">
        <f t="shared" si="33"/>
        <v>Ulster, NY</v>
      </c>
      <c r="L1919" s="24"/>
    </row>
    <row r="1920">
      <c r="A1920" s="28">
        <v>1919.0</v>
      </c>
      <c r="B1920" s="29"/>
      <c r="C1920" s="29"/>
      <c r="D1920" s="40">
        <v>1.0</v>
      </c>
      <c r="E1920" s="31">
        <v>36.0</v>
      </c>
      <c r="F1920" s="42">
        <v>113.0</v>
      </c>
      <c r="G1920" s="29" t="str">
        <f t="shared" si="1"/>
        <v>36113</v>
      </c>
      <c r="H1920" s="37" t="s">
        <v>647</v>
      </c>
      <c r="I1920" s="37" t="s">
        <v>94</v>
      </c>
      <c r="J1920" s="37" t="s">
        <v>250</v>
      </c>
      <c r="K1920" s="37" t="str">
        <f t="shared" si="33"/>
        <v>Warren, NY</v>
      </c>
      <c r="L1920" s="24"/>
    </row>
    <row r="1921">
      <c r="A1921" s="28">
        <v>1920.0</v>
      </c>
      <c r="B1921" s="29"/>
      <c r="C1921" s="29"/>
      <c r="D1921" s="40">
        <v>1.0</v>
      </c>
      <c r="E1921" s="31">
        <v>36.0</v>
      </c>
      <c r="F1921" s="42">
        <v>115.0</v>
      </c>
      <c r="G1921" s="29" t="str">
        <f t="shared" si="1"/>
        <v>36115</v>
      </c>
      <c r="H1921" s="37" t="s">
        <v>119</v>
      </c>
      <c r="I1921" s="37" t="s">
        <v>94</v>
      </c>
      <c r="J1921" s="37" t="s">
        <v>250</v>
      </c>
      <c r="K1921" s="37" t="str">
        <f t="shared" si="33"/>
        <v>Washington, NY</v>
      </c>
      <c r="L1921" s="24"/>
    </row>
    <row r="1922">
      <c r="A1922" s="28">
        <v>1921.0</v>
      </c>
      <c r="B1922" s="29"/>
      <c r="C1922" s="29"/>
      <c r="D1922" s="40">
        <v>1.0</v>
      </c>
      <c r="E1922" s="31">
        <v>36.0</v>
      </c>
      <c r="F1922" s="42">
        <v>117.0</v>
      </c>
      <c r="G1922" s="29" t="str">
        <f t="shared" si="1"/>
        <v>36117</v>
      </c>
      <c r="H1922" s="37" t="s">
        <v>273</v>
      </c>
      <c r="I1922" s="37" t="s">
        <v>94</v>
      </c>
      <c r="J1922" s="37" t="s">
        <v>250</v>
      </c>
      <c r="K1922" s="37" t="str">
        <f t="shared" si="33"/>
        <v>Wayne, NY</v>
      </c>
      <c r="L1922" s="24"/>
    </row>
    <row r="1923">
      <c r="A1923" s="28">
        <v>1922.0</v>
      </c>
      <c r="B1923" s="29"/>
      <c r="C1923" s="29"/>
      <c r="D1923" s="40">
        <v>1.0</v>
      </c>
      <c r="E1923" s="31">
        <v>36.0</v>
      </c>
      <c r="F1923" s="42">
        <v>119.0</v>
      </c>
      <c r="G1923" s="29" t="str">
        <f t="shared" si="1"/>
        <v>36119</v>
      </c>
      <c r="H1923" s="37" t="s">
        <v>426</v>
      </c>
      <c r="I1923" s="37" t="s">
        <v>94</v>
      </c>
      <c r="J1923" s="37" t="s">
        <v>250</v>
      </c>
      <c r="K1923" s="136" t="str">
        <f t="shared" si="33"/>
        <v>Westchester, NY</v>
      </c>
      <c r="L1923" s="24"/>
    </row>
    <row r="1924">
      <c r="A1924" s="28">
        <v>1923.0</v>
      </c>
      <c r="B1924" s="29"/>
      <c r="C1924" s="29"/>
      <c r="D1924" s="40">
        <v>1.0</v>
      </c>
      <c r="E1924" s="31">
        <v>36.0</v>
      </c>
      <c r="F1924" s="42">
        <v>121.0</v>
      </c>
      <c r="G1924" s="29" t="str">
        <f t="shared" si="1"/>
        <v>36121</v>
      </c>
      <c r="H1924" s="37" t="s">
        <v>123</v>
      </c>
      <c r="I1924" s="37" t="s">
        <v>94</v>
      </c>
      <c r="J1924" s="37" t="s">
        <v>250</v>
      </c>
      <c r="K1924" s="37" t="str">
        <f t="shared" si="33"/>
        <v>Wyoming, NY</v>
      </c>
      <c r="L1924" s="24"/>
    </row>
    <row r="1925">
      <c r="A1925" s="28">
        <v>1924.0</v>
      </c>
      <c r="B1925" s="29"/>
      <c r="C1925" s="29"/>
      <c r="D1925" s="40">
        <v>1.0</v>
      </c>
      <c r="E1925" s="31">
        <v>36.0</v>
      </c>
      <c r="F1925" s="42">
        <v>123.0</v>
      </c>
      <c r="G1925" s="29" t="str">
        <f t="shared" si="1"/>
        <v>36123</v>
      </c>
      <c r="H1925" s="37" t="s">
        <v>1577</v>
      </c>
      <c r="I1925" s="37" t="s">
        <v>94</v>
      </c>
      <c r="J1925" s="37" t="s">
        <v>250</v>
      </c>
      <c r="K1925" s="37" t="str">
        <f t="shared" si="33"/>
        <v>Yates, NY</v>
      </c>
      <c r="L1925" s="24"/>
    </row>
    <row r="1926">
      <c r="A1926" s="99">
        <v>1925.0</v>
      </c>
      <c r="B1926" s="15"/>
      <c r="C1926" s="14" t="s">
        <v>25</v>
      </c>
      <c r="D1926" s="16"/>
      <c r="E1926" s="102">
        <v>37.0</v>
      </c>
      <c r="F1926" s="107">
        <v>0.0</v>
      </c>
      <c r="G1926" s="15" t="str">
        <f t="shared" si="1"/>
        <v>37000</v>
      </c>
      <c r="H1926" s="23"/>
      <c r="I1926" s="23" t="s">
        <v>96</v>
      </c>
      <c r="J1926" s="23" t="s">
        <v>382</v>
      </c>
      <c r="K1926" s="23"/>
      <c r="L1926" s="24"/>
    </row>
    <row r="1927">
      <c r="A1927" s="99">
        <v>1926.0</v>
      </c>
      <c r="B1927" s="15"/>
      <c r="C1927" s="15"/>
      <c r="D1927" s="105">
        <v>1.0</v>
      </c>
      <c r="E1927" s="102">
        <v>37.0</v>
      </c>
      <c r="F1927" s="107">
        <v>1.0</v>
      </c>
      <c r="G1927" s="15" t="str">
        <f t="shared" si="1"/>
        <v>37001</v>
      </c>
      <c r="H1927" s="23" t="s">
        <v>1578</v>
      </c>
      <c r="I1927" s="23" t="s">
        <v>96</v>
      </c>
      <c r="J1927" s="23" t="s">
        <v>382</v>
      </c>
      <c r="K1927" s="23" t="str">
        <f t="shared" ref="K1927:K2026" si="34">CONCATENATE(H1927,", ",J1927)</f>
        <v>Alamance, NC</v>
      </c>
      <c r="L1927" s="24"/>
    </row>
    <row r="1928">
      <c r="A1928" s="99">
        <v>1927.0</v>
      </c>
      <c r="B1928" s="15"/>
      <c r="C1928" s="15"/>
      <c r="D1928" s="105">
        <v>1.0</v>
      </c>
      <c r="E1928" s="102">
        <v>37.0</v>
      </c>
      <c r="F1928" s="107">
        <v>3.0</v>
      </c>
      <c r="G1928" s="15" t="str">
        <f t="shared" si="1"/>
        <v>37003</v>
      </c>
      <c r="H1928" s="23" t="s">
        <v>704</v>
      </c>
      <c r="I1928" s="23" t="s">
        <v>96</v>
      </c>
      <c r="J1928" s="23" t="s">
        <v>382</v>
      </c>
      <c r="K1928" s="23" t="str">
        <f t="shared" si="34"/>
        <v>Alexander, NC</v>
      </c>
      <c r="L1928" s="24"/>
    </row>
    <row r="1929">
      <c r="A1929" s="99">
        <v>1928.0</v>
      </c>
      <c r="B1929" s="15"/>
      <c r="C1929" s="15"/>
      <c r="D1929" s="105">
        <v>1.0</v>
      </c>
      <c r="E1929" s="102">
        <v>37.0</v>
      </c>
      <c r="F1929" s="107">
        <v>5.0</v>
      </c>
      <c r="G1929" s="15" t="str">
        <f t="shared" si="1"/>
        <v>37005</v>
      </c>
      <c r="H1929" s="23" t="s">
        <v>1579</v>
      </c>
      <c r="I1929" s="23" t="s">
        <v>96</v>
      </c>
      <c r="J1929" s="23" t="s">
        <v>382</v>
      </c>
      <c r="K1929" s="23" t="str">
        <f t="shared" si="34"/>
        <v>Alleghany, NC</v>
      </c>
      <c r="L1929" s="24"/>
    </row>
    <row r="1930">
      <c r="A1930" s="99">
        <v>1929.0</v>
      </c>
      <c r="B1930" s="15"/>
      <c r="C1930" s="15"/>
      <c r="D1930" s="105">
        <v>1.0</v>
      </c>
      <c r="E1930" s="102">
        <v>37.0</v>
      </c>
      <c r="F1930" s="107">
        <v>7.0</v>
      </c>
      <c r="G1930" s="15" t="str">
        <f t="shared" si="1"/>
        <v>37007</v>
      </c>
      <c r="H1930" s="23" t="s">
        <v>1580</v>
      </c>
      <c r="I1930" s="23" t="s">
        <v>96</v>
      </c>
      <c r="J1930" s="23" t="s">
        <v>382</v>
      </c>
      <c r="K1930" s="23" t="str">
        <f t="shared" si="34"/>
        <v>Anson, NC</v>
      </c>
      <c r="L1930" s="24"/>
    </row>
    <row r="1931">
      <c r="A1931" s="99">
        <v>1930.0</v>
      </c>
      <c r="B1931" s="15"/>
      <c r="C1931" s="15"/>
      <c r="D1931" s="105">
        <v>1.0</v>
      </c>
      <c r="E1931" s="102">
        <v>37.0</v>
      </c>
      <c r="F1931" s="107">
        <v>9.0</v>
      </c>
      <c r="G1931" s="15" t="str">
        <f t="shared" si="1"/>
        <v>37009</v>
      </c>
      <c r="H1931" s="23" t="s">
        <v>1581</v>
      </c>
      <c r="I1931" s="23" t="s">
        <v>96</v>
      </c>
      <c r="J1931" s="23" t="s">
        <v>382</v>
      </c>
      <c r="K1931" s="23" t="str">
        <f t="shared" si="34"/>
        <v>Ashe, NC</v>
      </c>
      <c r="L1931" s="24"/>
    </row>
    <row r="1932">
      <c r="A1932" s="99">
        <v>1931.0</v>
      </c>
      <c r="B1932" s="15"/>
      <c r="C1932" s="15"/>
      <c r="D1932" s="105">
        <v>1.0</v>
      </c>
      <c r="E1932" s="102">
        <v>37.0</v>
      </c>
      <c r="F1932" s="107">
        <v>11.0</v>
      </c>
      <c r="G1932" s="15" t="str">
        <f t="shared" si="1"/>
        <v>37011</v>
      </c>
      <c r="H1932" s="23" t="s">
        <v>1582</v>
      </c>
      <c r="I1932" s="23" t="s">
        <v>96</v>
      </c>
      <c r="J1932" s="23" t="s">
        <v>382</v>
      </c>
      <c r="K1932" s="23" t="str">
        <f t="shared" si="34"/>
        <v>Avery, NC</v>
      </c>
      <c r="L1932" s="24"/>
    </row>
    <row r="1933">
      <c r="A1933" s="99">
        <v>1932.0</v>
      </c>
      <c r="B1933" s="15"/>
      <c r="C1933" s="15"/>
      <c r="D1933" s="105">
        <v>1.0</v>
      </c>
      <c r="E1933" s="102">
        <v>37.0</v>
      </c>
      <c r="F1933" s="107">
        <v>13.0</v>
      </c>
      <c r="G1933" s="15" t="str">
        <f t="shared" si="1"/>
        <v>37013</v>
      </c>
      <c r="H1933" s="23" t="s">
        <v>1583</v>
      </c>
      <c r="I1933" s="23" t="s">
        <v>96</v>
      </c>
      <c r="J1933" s="23" t="s">
        <v>382</v>
      </c>
      <c r="K1933" s="23" t="str">
        <f t="shared" si="34"/>
        <v>Beaufort, NC</v>
      </c>
      <c r="L1933" s="24"/>
    </row>
    <row r="1934">
      <c r="A1934" s="99">
        <v>1933.0</v>
      </c>
      <c r="B1934" s="15"/>
      <c r="C1934" s="15"/>
      <c r="D1934" s="105">
        <v>1.0</v>
      </c>
      <c r="E1934" s="102">
        <v>37.0</v>
      </c>
      <c r="F1934" s="107">
        <v>15.0</v>
      </c>
      <c r="G1934" s="15" t="str">
        <f t="shared" si="1"/>
        <v>37015</v>
      </c>
      <c r="H1934" s="23" t="s">
        <v>1584</v>
      </c>
      <c r="I1934" s="23" t="s">
        <v>96</v>
      </c>
      <c r="J1934" s="23" t="s">
        <v>382</v>
      </c>
      <c r="K1934" s="23" t="str">
        <f t="shared" si="34"/>
        <v>Bertie, NC</v>
      </c>
      <c r="L1934" s="24"/>
    </row>
    <row r="1935">
      <c r="A1935" s="99">
        <v>1934.0</v>
      </c>
      <c r="B1935" s="15"/>
      <c r="C1935" s="15"/>
      <c r="D1935" s="105">
        <v>1.0</v>
      </c>
      <c r="E1935" s="102">
        <v>37.0</v>
      </c>
      <c r="F1935" s="107">
        <v>17.0</v>
      </c>
      <c r="G1935" s="15" t="str">
        <f t="shared" si="1"/>
        <v>37017</v>
      </c>
      <c r="H1935" s="23" t="s">
        <v>1585</v>
      </c>
      <c r="I1935" s="23" t="s">
        <v>96</v>
      </c>
      <c r="J1935" s="23" t="s">
        <v>382</v>
      </c>
      <c r="K1935" s="23" t="str">
        <f t="shared" si="34"/>
        <v>Bladen, NC</v>
      </c>
      <c r="L1935" s="24"/>
    </row>
    <row r="1936">
      <c r="A1936" s="99">
        <v>1935.0</v>
      </c>
      <c r="B1936" s="15"/>
      <c r="C1936" s="15"/>
      <c r="D1936" s="105">
        <v>1.0</v>
      </c>
      <c r="E1936" s="102">
        <v>37.0</v>
      </c>
      <c r="F1936" s="107">
        <v>19.0</v>
      </c>
      <c r="G1936" s="15" t="str">
        <f t="shared" si="1"/>
        <v>37019</v>
      </c>
      <c r="H1936" s="23" t="s">
        <v>1586</v>
      </c>
      <c r="I1936" s="23" t="s">
        <v>96</v>
      </c>
      <c r="J1936" s="23" t="s">
        <v>382</v>
      </c>
      <c r="K1936" s="23" t="str">
        <f t="shared" si="34"/>
        <v>Brunswick, NC</v>
      </c>
      <c r="L1936" s="24"/>
    </row>
    <row r="1937">
      <c r="A1937" s="99">
        <v>1936.0</v>
      </c>
      <c r="B1937" s="15"/>
      <c r="C1937" s="15"/>
      <c r="D1937" s="105">
        <v>1.0</v>
      </c>
      <c r="E1937" s="102">
        <v>37.0</v>
      </c>
      <c r="F1937" s="107">
        <v>21.0</v>
      </c>
      <c r="G1937" s="15" t="str">
        <f t="shared" si="1"/>
        <v>37021</v>
      </c>
      <c r="H1937" s="23" t="s">
        <v>1587</v>
      </c>
      <c r="I1937" s="23" t="s">
        <v>96</v>
      </c>
      <c r="J1937" s="23" t="s">
        <v>382</v>
      </c>
      <c r="K1937" s="23" t="str">
        <f t="shared" si="34"/>
        <v>Buncombe, NC</v>
      </c>
      <c r="L1937" s="24"/>
    </row>
    <row r="1938">
      <c r="A1938" s="99">
        <v>1937.0</v>
      </c>
      <c r="B1938" s="15"/>
      <c r="C1938" s="15"/>
      <c r="D1938" s="105">
        <v>1.0</v>
      </c>
      <c r="E1938" s="102">
        <v>37.0</v>
      </c>
      <c r="F1938" s="107">
        <v>23.0</v>
      </c>
      <c r="G1938" s="15" t="str">
        <f t="shared" si="1"/>
        <v>37023</v>
      </c>
      <c r="H1938" s="23" t="s">
        <v>546</v>
      </c>
      <c r="I1938" s="23" t="s">
        <v>96</v>
      </c>
      <c r="J1938" s="23" t="s">
        <v>382</v>
      </c>
      <c r="K1938" s="23" t="str">
        <f t="shared" si="34"/>
        <v>Burke, NC</v>
      </c>
      <c r="L1938" s="24"/>
    </row>
    <row r="1939">
      <c r="A1939" s="99">
        <v>1938.0</v>
      </c>
      <c r="B1939" s="15"/>
      <c r="C1939" s="15"/>
      <c r="D1939" s="105">
        <v>1.0</v>
      </c>
      <c r="E1939" s="102">
        <v>37.0</v>
      </c>
      <c r="F1939" s="107">
        <v>25.0</v>
      </c>
      <c r="G1939" s="15" t="str">
        <f t="shared" si="1"/>
        <v>37025</v>
      </c>
      <c r="H1939" s="23" t="s">
        <v>1588</v>
      </c>
      <c r="I1939" s="23" t="s">
        <v>96</v>
      </c>
      <c r="J1939" s="23" t="s">
        <v>382</v>
      </c>
      <c r="K1939" s="23" t="str">
        <f t="shared" si="34"/>
        <v>Cabarrus, NC</v>
      </c>
      <c r="L1939" s="24"/>
    </row>
    <row r="1940">
      <c r="A1940" s="99">
        <v>1939.0</v>
      </c>
      <c r="B1940" s="15"/>
      <c r="C1940" s="15"/>
      <c r="D1940" s="105">
        <v>1.0</v>
      </c>
      <c r="E1940" s="102">
        <v>37.0</v>
      </c>
      <c r="F1940" s="107">
        <v>27.0</v>
      </c>
      <c r="G1940" s="15" t="str">
        <f t="shared" si="1"/>
        <v>37027</v>
      </c>
      <c r="H1940" s="23" t="s">
        <v>1034</v>
      </c>
      <c r="I1940" s="23" t="s">
        <v>96</v>
      </c>
      <c r="J1940" s="23" t="s">
        <v>382</v>
      </c>
      <c r="K1940" s="23" t="str">
        <f t="shared" si="34"/>
        <v>Caldwell, NC</v>
      </c>
      <c r="L1940" s="24"/>
    </row>
    <row r="1941">
      <c r="A1941" s="99">
        <v>1940.0</v>
      </c>
      <c r="B1941" s="15"/>
      <c r="C1941" s="15"/>
      <c r="D1941" s="105">
        <v>1.0</v>
      </c>
      <c r="E1941" s="102">
        <v>37.0</v>
      </c>
      <c r="F1941" s="107">
        <v>29.0</v>
      </c>
      <c r="G1941" s="15" t="str">
        <f t="shared" si="1"/>
        <v>37029</v>
      </c>
      <c r="H1941" s="23" t="s">
        <v>548</v>
      </c>
      <c r="I1941" s="23" t="s">
        <v>96</v>
      </c>
      <c r="J1941" s="23" t="s">
        <v>382</v>
      </c>
      <c r="K1941" s="23" t="str">
        <f t="shared" si="34"/>
        <v>Camden, NC</v>
      </c>
      <c r="L1941" s="24"/>
    </row>
    <row r="1942">
      <c r="A1942" s="99">
        <v>1941.0</v>
      </c>
      <c r="B1942" s="15"/>
      <c r="C1942" s="15"/>
      <c r="D1942" s="105">
        <v>1.0</v>
      </c>
      <c r="E1942" s="102">
        <v>37.0</v>
      </c>
      <c r="F1942" s="107">
        <v>31.0</v>
      </c>
      <c r="G1942" s="15" t="str">
        <f t="shared" si="1"/>
        <v>37031</v>
      </c>
      <c r="H1942" s="23" t="s">
        <v>1589</v>
      </c>
      <c r="I1942" s="23" t="s">
        <v>96</v>
      </c>
      <c r="J1942" s="23" t="s">
        <v>382</v>
      </c>
      <c r="K1942" s="23" t="str">
        <f t="shared" si="34"/>
        <v>Carteret, NC</v>
      </c>
      <c r="L1942" s="24"/>
    </row>
    <row r="1943">
      <c r="A1943" s="99">
        <v>1942.0</v>
      </c>
      <c r="B1943" s="15"/>
      <c r="C1943" s="15"/>
      <c r="D1943" s="105">
        <v>1.0</v>
      </c>
      <c r="E1943" s="102">
        <v>37.0</v>
      </c>
      <c r="F1943" s="107">
        <v>33.0</v>
      </c>
      <c r="G1943" s="15" t="str">
        <f t="shared" si="1"/>
        <v>37033</v>
      </c>
      <c r="H1943" s="23" t="s">
        <v>1590</v>
      </c>
      <c r="I1943" s="23" t="s">
        <v>96</v>
      </c>
      <c r="J1943" s="23" t="s">
        <v>382</v>
      </c>
      <c r="K1943" s="23" t="str">
        <f t="shared" si="34"/>
        <v>Caswell, NC</v>
      </c>
      <c r="L1943" s="24"/>
    </row>
    <row r="1944">
      <c r="A1944" s="99">
        <v>1943.0</v>
      </c>
      <c r="B1944" s="15"/>
      <c r="C1944" s="15"/>
      <c r="D1944" s="105">
        <v>1.0</v>
      </c>
      <c r="E1944" s="102">
        <v>37.0</v>
      </c>
      <c r="F1944" s="107">
        <v>35.0</v>
      </c>
      <c r="G1944" s="15" t="str">
        <f t="shared" si="1"/>
        <v>37035</v>
      </c>
      <c r="H1944" s="23" t="s">
        <v>1591</v>
      </c>
      <c r="I1944" s="23" t="s">
        <v>96</v>
      </c>
      <c r="J1944" s="23" t="s">
        <v>382</v>
      </c>
      <c r="K1944" s="23" t="str">
        <f t="shared" si="34"/>
        <v>Catawba, NC</v>
      </c>
      <c r="L1944" s="24"/>
    </row>
    <row r="1945">
      <c r="A1945" s="99">
        <v>1944.0</v>
      </c>
      <c r="B1945" s="15"/>
      <c r="C1945" s="15"/>
      <c r="D1945" s="105">
        <v>1.0</v>
      </c>
      <c r="E1945" s="102">
        <v>37.0</v>
      </c>
      <c r="F1945" s="107">
        <v>37.0</v>
      </c>
      <c r="G1945" s="15" t="str">
        <f t="shared" si="1"/>
        <v>37037</v>
      </c>
      <c r="H1945" s="23" t="s">
        <v>552</v>
      </c>
      <c r="I1945" s="23" t="s">
        <v>96</v>
      </c>
      <c r="J1945" s="23" t="s">
        <v>382</v>
      </c>
      <c r="K1945" s="23" t="str">
        <f t="shared" si="34"/>
        <v>Chatham, NC</v>
      </c>
      <c r="L1945" s="24"/>
    </row>
    <row r="1946">
      <c r="A1946" s="99">
        <v>1945.0</v>
      </c>
      <c r="B1946" s="15"/>
      <c r="C1946" s="15"/>
      <c r="D1946" s="105">
        <v>1.0</v>
      </c>
      <c r="E1946" s="102">
        <v>37.0</v>
      </c>
      <c r="F1946" s="107">
        <v>39.0</v>
      </c>
      <c r="G1946" s="15" t="str">
        <f t="shared" si="1"/>
        <v>37039</v>
      </c>
      <c r="H1946" s="23" t="s">
        <v>101</v>
      </c>
      <c r="I1946" s="23" t="s">
        <v>96</v>
      </c>
      <c r="J1946" s="23" t="s">
        <v>382</v>
      </c>
      <c r="K1946" s="23" t="str">
        <f t="shared" si="34"/>
        <v>Cherokee, NC</v>
      </c>
      <c r="L1946" s="24"/>
    </row>
    <row r="1947">
      <c r="A1947" s="99">
        <v>1946.0</v>
      </c>
      <c r="B1947" s="15"/>
      <c r="C1947" s="15"/>
      <c r="D1947" s="105">
        <v>1.0</v>
      </c>
      <c r="E1947" s="102">
        <v>37.0</v>
      </c>
      <c r="F1947" s="107">
        <v>41.0</v>
      </c>
      <c r="G1947" s="15" t="str">
        <f t="shared" si="1"/>
        <v>37041</v>
      </c>
      <c r="H1947" s="23" t="s">
        <v>1592</v>
      </c>
      <c r="I1947" s="23" t="s">
        <v>96</v>
      </c>
      <c r="J1947" s="23" t="s">
        <v>382</v>
      </c>
      <c r="K1947" s="23" t="str">
        <f t="shared" si="34"/>
        <v>Chowan, NC</v>
      </c>
      <c r="L1947" s="24"/>
    </row>
    <row r="1948">
      <c r="A1948" s="99">
        <v>1947.0</v>
      </c>
      <c r="B1948" s="15"/>
      <c r="C1948" s="15"/>
      <c r="D1948" s="105">
        <v>1.0</v>
      </c>
      <c r="E1948" s="102">
        <v>37.0</v>
      </c>
      <c r="F1948" s="107">
        <v>43.0</v>
      </c>
      <c r="G1948" s="15" t="str">
        <f t="shared" si="1"/>
        <v>37043</v>
      </c>
      <c r="H1948" s="23" t="s">
        <v>112</v>
      </c>
      <c r="I1948" s="23" t="s">
        <v>96</v>
      </c>
      <c r="J1948" s="23" t="s">
        <v>382</v>
      </c>
      <c r="K1948" s="23" t="str">
        <f t="shared" si="34"/>
        <v>Clay, NC</v>
      </c>
      <c r="L1948" s="24"/>
    </row>
    <row r="1949">
      <c r="A1949" s="99">
        <v>1948.0</v>
      </c>
      <c r="B1949" s="15"/>
      <c r="C1949" s="15"/>
      <c r="D1949" s="105">
        <v>1.0</v>
      </c>
      <c r="E1949" s="102">
        <v>37.0</v>
      </c>
      <c r="F1949" s="107">
        <v>45.0</v>
      </c>
      <c r="G1949" s="15" t="str">
        <f t="shared" si="1"/>
        <v>37045</v>
      </c>
      <c r="H1949" s="23" t="s">
        <v>257</v>
      </c>
      <c r="I1949" s="23" t="s">
        <v>96</v>
      </c>
      <c r="J1949" s="23" t="s">
        <v>382</v>
      </c>
      <c r="K1949" s="23" t="str">
        <f t="shared" si="34"/>
        <v>Cleveland, NC</v>
      </c>
      <c r="L1949" s="24"/>
    </row>
    <row r="1950">
      <c r="A1950" s="99">
        <v>1949.0</v>
      </c>
      <c r="B1950" s="15"/>
      <c r="C1950" s="15"/>
      <c r="D1950" s="105">
        <v>1.0</v>
      </c>
      <c r="E1950" s="102">
        <v>37.0</v>
      </c>
      <c r="F1950" s="107">
        <v>47.0</v>
      </c>
      <c r="G1950" s="15" t="str">
        <f t="shared" si="1"/>
        <v>37047</v>
      </c>
      <c r="H1950" s="23" t="s">
        <v>1593</v>
      </c>
      <c r="I1950" s="23" t="s">
        <v>96</v>
      </c>
      <c r="J1950" s="23" t="s">
        <v>382</v>
      </c>
      <c r="K1950" s="23" t="str">
        <f t="shared" si="34"/>
        <v>Columbus, NC</v>
      </c>
      <c r="L1950" s="24"/>
    </row>
    <row r="1951">
      <c r="A1951" s="99">
        <v>1950.0</v>
      </c>
      <c r="B1951" s="15"/>
      <c r="C1951" s="15"/>
      <c r="D1951" s="105">
        <v>1.0</v>
      </c>
      <c r="E1951" s="102">
        <v>37.0</v>
      </c>
      <c r="F1951" s="107">
        <v>49.0</v>
      </c>
      <c r="G1951" s="15" t="str">
        <f t="shared" si="1"/>
        <v>37049</v>
      </c>
      <c r="H1951" s="23" t="s">
        <v>1594</v>
      </c>
      <c r="I1951" s="23" t="s">
        <v>96</v>
      </c>
      <c r="J1951" s="23" t="s">
        <v>382</v>
      </c>
      <c r="K1951" s="23" t="str">
        <f t="shared" si="34"/>
        <v>Craven, NC</v>
      </c>
      <c r="L1951" s="24"/>
    </row>
    <row r="1952">
      <c r="A1952" s="99">
        <v>1951.0</v>
      </c>
      <c r="B1952" s="15"/>
      <c r="C1952" s="15"/>
      <c r="D1952" s="105">
        <v>1.0</v>
      </c>
      <c r="E1952" s="102">
        <v>37.0</v>
      </c>
      <c r="F1952" s="107">
        <v>51.0</v>
      </c>
      <c r="G1952" s="15" t="str">
        <f t="shared" si="1"/>
        <v>37051</v>
      </c>
      <c r="H1952" s="23" t="s">
        <v>713</v>
      </c>
      <c r="I1952" s="23" t="s">
        <v>96</v>
      </c>
      <c r="J1952" s="23" t="s">
        <v>382</v>
      </c>
      <c r="K1952" s="112" t="str">
        <f t="shared" si="34"/>
        <v>Cumberland, NC</v>
      </c>
      <c r="L1952" s="24"/>
    </row>
    <row r="1953">
      <c r="A1953" s="99">
        <v>1952.0</v>
      </c>
      <c r="B1953" s="15"/>
      <c r="C1953" s="15"/>
      <c r="D1953" s="105">
        <v>1.0</v>
      </c>
      <c r="E1953" s="102">
        <v>37.0</v>
      </c>
      <c r="F1953" s="107">
        <v>53.0</v>
      </c>
      <c r="G1953" s="15" t="str">
        <f t="shared" si="1"/>
        <v>37053</v>
      </c>
      <c r="H1953" s="23" t="s">
        <v>1595</v>
      </c>
      <c r="I1953" s="23" t="s">
        <v>96</v>
      </c>
      <c r="J1953" s="23" t="s">
        <v>382</v>
      </c>
      <c r="K1953" s="23" t="str">
        <f t="shared" si="34"/>
        <v>Currituck, NC</v>
      </c>
      <c r="L1953" s="24"/>
    </row>
    <row r="1954">
      <c r="A1954" s="99">
        <v>1953.0</v>
      </c>
      <c r="B1954" s="15"/>
      <c r="C1954" s="15"/>
      <c r="D1954" s="105">
        <v>1.0</v>
      </c>
      <c r="E1954" s="102">
        <v>37.0</v>
      </c>
      <c r="F1954" s="107">
        <v>55.0</v>
      </c>
      <c r="G1954" s="15" t="str">
        <f t="shared" si="1"/>
        <v>37055</v>
      </c>
      <c r="H1954" s="23" t="s">
        <v>1596</v>
      </c>
      <c r="I1954" s="23" t="s">
        <v>96</v>
      </c>
      <c r="J1954" s="23" t="s">
        <v>382</v>
      </c>
      <c r="K1954" s="23" t="str">
        <f t="shared" si="34"/>
        <v>Dare, NC</v>
      </c>
      <c r="L1954" s="24"/>
    </row>
    <row r="1955">
      <c r="A1955" s="99">
        <v>1954.0</v>
      </c>
      <c r="B1955" s="15"/>
      <c r="C1955" s="15"/>
      <c r="D1955" s="105">
        <v>1.0</v>
      </c>
      <c r="E1955" s="102">
        <v>37.0</v>
      </c>
      <c r="F1955" s="107">
        <v>57.0</v>
      </c>
      <c r="G1955" s="15" t="str">
        <f t="shared" si="1"/>
        <v>37057</v>
      </c>
      <c r="H1955" s="23" t="s">
        <v>570</v>
      </c>
      <c r="I1955" s="23" t="s">
        <v>96</v>
      </c>
      <c r="J1955" s="23" t="s">
        <v>382</v>
      </c>
      <c r="K1955" s="23" t="str">
        <f t="shared" si="34"/>
        <v>Davidson, NC</v>
      </c>
      <c r="L1955" s="24"/>
    </row>
    <row r="1956">
      <c r="A1956" s="99">
        <v>1955.0</v>
      </c>
      <c r="B1956" s="15"/>
      <c r="C1956" s="15"/>
      <c r="D1956" s="105">
        <v>1.0</v>
      </c>
      <c r="E1956" s="102">
        <v>37.0</v>
      </c>
      <c r="F1956" s="107">
        <v>59.0</v>
      </c>
      <c r="G1956" s="15" t="str">
        <f t="shared" si="1"/>
        <v>37059</v>
      </c>
      <c r="H1956" s="23" t="s">
        <v>1597</v>
      </c>
      <c r="I1956" s="23" t="s">
        <v>96</v>
      </c>
      <c r="J1956" s="23" t="s">
        <v>382</v>
      </c>
      <c r="K1956" s="23" t="str">
        <f t="shared" si="34"/>
        <v>Davie, NC</v>
      </c>
      <c r="L1956" s="24"/>
    </row>
    <row r="1957">
      <c r="A1957" s="99">
        <v>1956.0</v>
      </c>
      <c r="B1957" s="15"/>
      <c r="C1957" s="15"/>
      <c r="D1957" s="105">
        <v>1.0</v>
      </c>
      <c r="E1957" s="102">
        <v>37.0</v>
      </c>
      <c r="F1957" s="107">
        <v>61.0</v>
      </c>
      <c r="G1957" s="15" t="str">
        <f t="shared" si="1"/>
        <v>37061</v>
      </c>
      <c r="H1957" s="23" t="s">
        <v>1598</v>
      </c>
      <c r="I1957" s="23" t="s">
        <v>96</v>
      </c>
      <c r="J1957" s="23" t="s">
        <v>382</v>
      </c>
      <c r="K1957" s="23" t="str">
        <f t="shared" si="34"/>
        <v>Duplin, NC</v>
      </c>
      <c r="L1957" s="24"/>
    </row>
    <row r="1958">
      <c r="A1958" s="99">
        <v>1957.0</v>
      </c>
      <c r="B1958" s="15"/>
      <c r="C1958" s="15"/>
      <c r="D1958" s="105">
        <v>1.0</v>
      </c>
      <c r="E1958" s="102">
        <v>37.0</v>
      </c>
      <c r="F1958" s="107">
        <v>63.0</v>
      </c>
      <c r="G1958" s="15" t="str">
        <f t="shared" si="1"/>
        <v>37063</v>
      </c>
      <c r="H1958" s="23" t="s">
        <v>1599</v>
      </c>
      <c r="I1958" s="23" t="s">
        <v>96</v>
      </c>
      <c r="J1958" s="23" t="s">
        <v>382</v>
      </c>
      <c r="K1958" s="23" t="str">
        <f t="shared" si="34"/>
        <v>Durham, NC</v>
      </c>
      <c r="L1958" s="24"/>
    </row>
    <row r="1959">
      <c r="A1959" s="99">
        <v>1958.0</v>
      </c>
      <c r="B1959" s="15"/>
      <c r="C1959" s="15"/>
      <c r="D1959" s="105">
        <v>1.0</v>
      </c>
      <c r="E1959" s="102">
        <v>37.0</v>
      </c>
      <c r="F1959" s="107">
        <v>65.0</v>
      </c>
      <c r="G1959" s="15" t="str">
        <f t="shared" si="1"/>
        <v>37065</v>
      </c>
      <c r="H1959" s="23" t="s">
        <v>1600</v>
      </c>
      <c r="I1959" s="23" t="s">
        <v>96</v>
      </c>
      <c r="J1959" s="23" t="s">
        <v>382</v>
      </c>
      <c r="K1959" s="23" t="str">
        <f t="shared" si="34"/>
        <v>Edgecombe, NC</v>
      </c>
      <c r="L1959" s="24"/>
    </row>
    <row r="1960">
      <c r="A1960" s="99">
        <v>1959.0</v>
      </c>
      <c r="B1960" s="15"/>
      <c r="C1960" s="15"/>
      <c r="D1960" s="105">
        <v>1.0</v>
      </c>
      <c r="E1960" s="102">
        <v>37.0</v>
      </c>
      <c r="F1960" s="107">
        <v>67.0</v>
      </c>
      <c r="G1960" s="15" t="str">
        <f t="shared" si="1"/>
        <v>37067</v>
      </c>
      <c r="H1960" s="23" t="s">
        <v>576</v>
      </c>
      <c r="I1960" s="23" t="s">
        <v>96</v>
      </c>
      <c r="J1960" s="23" t="s">
        <v>382</v>
      </c>
      <c r="K1960" s="23" t="str">
        <f t="shared" si="34"/>
        <v>Forsyth, NC</v>
      </c>
      <c r="L1960" s="24"/>
    </row>
    <row r="1961">
      <c r="A1961" s="99">
        <v>1960.0</v>
      </c>
      <c r="B1961" s="15"/>
      <c r="C1961" s="15"/>
      <c r="D1961" s="105">
        <v>1.0</v>
      </c>
      <c r="E1961" s="102">
        <v>37.0</v>
      </c>
      <c r="F1961" s="107">
        <v>69.0</v>
      </c>
      <c r="G1961" s="15" t="str">
        <f t="shared" si="1"/>
        <v>37069</v>
      </c>
      <c r="H1961" s="23" t="s">
        <v>136</v>
      </c>
      <c r="I1961" s="23" t="s">
        <v>96</v>
      </c>
      <c r="J1961" s="23" t="s">
        <v>382</v>
      </c>
      <c r="K1961" s="23" t="str">
        <f t="shared" si="34"/>
        <v>Franklin, NC</v>
      </c>
      <c r="L1961" s="24"/>
    </row>
    <row r="1962">
      <c r="A1962" s="99">
        <v>1961.0</v>
      </c>
      <c r="B1962" s="15"/>
      <c r="C1962" s="15"/>
      <c r="D1962" s="105">
        <v>1.0</v>
      </c>
      <c r="E1962" s="102">
        <v>37.0</v>
      </c>
      <c r="F1962" s="107">
        <v>71.0</v>
      </c>
      <c r="G1962" s="15" t="str">
        <f t="shared" si="1"/>
        <v>37071</v>
      </c>
      <c r="H1962" s="23" t="s">
        <v>1601</v>
      </c>
      <c r="I1962" s="23" t="s">
        <v>96</v>
      </c>
      <c r="J1962" s="23" t="s">
        <v>382</v>
      </c>
      <c r="K1962" s="23" t="str">
        <f t="shared" si="34"/>
        <v>Gaston, NC</v>
      </c>
      <c r="L1962" s="24"/>
    </row>
    <row r="1963">
      <c r="A1963" s="99">
        <v>1962.0</v>
      </c>
      <c r="B1963" s="15"/>
      <c r="C1963" s="15"/>
      <c r="D1963" s="105">
        <v>1.0</v>
      </c>
      <c r="E1963" s="102">
        <v>37.0</v>
      </c>
      <c r="F1963" s="107">
        <v>73.0</v>
      </c>
      <c r="G1963" s="15" t="str">
        <f t="shared" si="1"/>
        <v>37073</v>
      </c>
      <c r="H1963" s="23" t="s">
        <v>1602</v>
      </c>
      <c r="I1963" s="23" t="s">
        <v>96</v>
      </c>
      <c r="J1963" s="23" t="s">
        <v>382</v>
      </c>
      <c r="K1963" s="23" t="str">
        <f t="shared" si="34"/>
        <v>Gates, NC</v>
      </c>
      <c r="L1963" s="24"/>
    </row>
    <row r="1964">
      <c r="A1964" s="99">
        <v>1963.0</v>
      </c>
      <c r="B1964" s="15"/>
      <c r="C1964" s="15"/>
      <c r="D1964" s="105">
        <v>1.0</v>
      </c>
      <c r="E1964" s="102">
        <v>37.0</v>
      </c>
      <c r="F1964" s="107">
        <v>75.0</v>
      </c>
      <c r="G1964" s="15" t="str">
        <f t="shared" si="1"/>
        <v>37075</v>
      </c>
      <c r="H1964" s="23" t="s">
        <v>224</v>
      </c>
      <c r="I1964" s="23" t="s">
        <v>96</v>
      </c>
      <c r="J1964" s="23" t="s">
        <v>382</v>
      </c>
      <c r="K1964" s="23" t="str">
        <f t="shared" si="34"/>
        <v>Graham, NC</v>
      </c>
      <c r="L1964" s="24"/>
    </row>
    <row r="1965">
      <c r="A1965" s="99">
        <v>1964.0</v>
      </c>
      <c r="B1965" s="15"/>
      <c r="C1965" s="15"/>
      <c r="D1965" s="105">
        <v>1.0</v>
      </c>
      <c r="E1965" s="102">
        <v>37.0</v>
      </c>
      <c r="F1965" s="107">
        <v>77.0</v>
      </c>
      <c r="G1965" s="15" t="str">
        <f t="shared" si="1"/>
        <v>37077</v>
      </c>
      <c r="H1965" s="23" t="s">
        <v>1603</v>
      </c>
      <c r="I1965" s="23" t="s">
        <v>96</v>
      </c>
      <c r="J1965" s="23" t="s">
        <v>382</v>
      </c>
      <c r="K1965" s="23" t="str">
        <f t="shared" si="34"/>
        <v>Granville, NC</v>
      </c>
      <c r="L1965" s="24"/>
    </row>
    <row r="1966">
      <c r="A1966" s="99">
        <v>1965.0</v>
      </c>
      <c r="B1966" s="15"/>
      <c r="C1966" s="15"/>
      <c r="D1966" s="105">
        <v>1.0</v>
      </c>
      <c r="E1966" s="102">
        <v>37.0</v>
      </c>
      <c r="F1966" s="107">
        <v>79.0</v>
      </c>
      <c r="G1966" s="15" t="str">
        <f t="shared" si="1"/>
        <v>37079</v>
      </c>
      <c r="H1966" s="23" t="s">
        <v>138</v>
      </c>
      <c r="I1966" s="23" t="s">
        <v>96</v>
      </c>
      <c r="J1966" s="23" t="s">
        <v>382</v>
      </c>
      <c r="K1966" s="23" t="str">
        <f t="shared" si="34"/>
        <v>Greene, NC</v>
      </c>
      <c r="L1966" s="24"/>
    </row>
    <row r="1967">
      <c r="A1967" s="99">
        <v>1966.0</v>
      </c>
      <c r="B1967" s="15"/>
      <c r="C1967" s="15"/>
      <c r="D1967" s="105">
        <v>1.0</v>
      </c>
      <c r="E1967" s="102">
        <v>37.0</v>
      </c>
      <c r="F1967" s="107">
        <v>81.0</v>
      </c>
      <c r="G1967" s="15" t="str">
        <f t="shared" si="1"/>
        <v>37081</v>
      </c>
      <c r="H1967" s="23" t="s">
        <v>1604</v>
      </c>
      <c r="I1967" s="23" t="s">
        <v>96</v>
      </c>
      <c r="J1967" s="23" t="s">
        <v>382</v>
      </c>
      <c r="K1967" s="23" t="str">
        <f t="shared" si="34"/>
        <v>Guilford, NC</v>
      </c>
      <c r="L1967" s="24"/>
    </row>
    <row r="1968">
      <c r="A1968" s="99">
        <v>1967.0</v>
      </c>
      <c r="B1968" s="15"/>
      <c r="C1968" s="15"/>
      <c r="D1968" s="105">
        <v>1.0</v>
      </c>
      <c r="E1968" s="102">
        <v>37.0</v>
      </c>
      <c r="F1968" s="107">
        <v>83.0</v>
      </c>
      <c r="G1968" s="15" t="str">
        <f t="shared" si="1"/>
        <v>37083</v>
      </c>
      <c r="H1968" s="23" t="s">
        <v>1605</v>
      </c>
      <c r="I1968" s="23" t="s">
        <v>96</v>
      </c>
      <c r="J1968" s="23" t="s">
        <v>382</v>
      </c>
      <c r="K1968" s="23" t="str">
        <f t="shared" si="34"/>
        <v>Halifax, NC</v>
      </c>
      <c r="L1968" s="24"/>
    </row>
    <row r="1969">
      <c r="A1969" s="99">
        <v>1968.0</v>
      </c>
      <c r="B1969" s="15"/>
      <c r="C1969" s="15"/>
      <c r="D1969" s="105">
        <v>1.0</v>
      </c>
      <c r="E1969" s="102">
        <v>37.0</v>
      </c>
      <c r="F1969" s="107">
        <v>85.0</v>
      </c>
      <c r="G1969" s="15" t="str">
        <f t="shared" si="1"/>
        <v>37085</v>
      </c>
      <c r="H1969" s="23" t="s">
        <v>1606</v>
      </c>
      <c r="I1969" s="23" t="s">
        <v>96</v>
      </c>
      <c r="J1969" s="23" t="s">
        <v>382</v>
      </c>
      <c r="K1969" s="23" t="str">
        <f t="shared" si="34"/>
        <v>Harnett, NC</v>
      </c>
      <c r="L1969" s="24"/>
    </row>
    <row r="1970">
      <c r="A1970" s="99">
        <v>1969.0</v>
      </c>
      <c r="B1970" s="15"/>
      <c r="C1970" s="15"/>
      <c r="D1970" s="105">
        <v>1.0</v>
      </c>
      <c r="E1970" s="102">
        <v>37.0</v>
      </c>
      <c r="F1970" s="107">
        <v>87.0</v>
      </c>
      <c r="G1970" s="15" t="str">
        <f t="shared" si="1"/>
        <v>37087</v>
      </c>
      <c r="H1970" s="23" t="s">
        <v>1607</v>
      </c>
      <c r="I1970" s="23" t="s">
        <v>96</v>
      </c>
      <c r="J1970" s="23" t="s">
        <v>382</v>
      </c>
      <c r="K1970" s="23" t="str">
        <f t="shared" si="34"/>
        <v>Haywood, NC</v>
      </c>
      <c r="L1970" s="24"/>
    </row>
    <row r="1971">
      <c r="A1971" s="99">
        <v>1970.0</v>
      </c>
      <c r="B1971" s="15"/>
      <c r="C1971" s="15"/>
      <c r="D1971" s="105">
        <v>1.0</v>
      </c>
      <c r="E1971" s="102">
        <v>37.0</v>
      </c>
      <c r="F1971" s="107">
        <v>89.0</v>
      </c>
      <c r="G1971" s="15" t="str">
        <f t="shared" si="1"/>
        <v>37089</v>
      </c>
      <c r="H1971" s="23" t="s">
        <v>722</v>
      </c>
      <c r="I1971" s="23" t="s">
        <v>96</v>
      </c>
      <c r="J1971" s="23" t="s">
        <v>382</v>
      </c>
      <c r="K1971" s="23" t="str">
        <f t="shared" si="34"/>
        <v>Henderson, NC</v>
      </c>
      <c r="L1971" s="24"/>
    </row>
    <row r="1972">
      <c r="A1972" s="99">
        <v>1971.0</v>
      </c>
      <c r="B1972" s="15"/>
      <c r="C1972" s="15"/>
      <c r="D1972" s="105">
        <v>1.0</v>
      </c>
      <c r="E1972" s="102">
        <v>37.0</v>
      </c>
      <c r="F1972" s="107">
        <v>91.0</v>
      </c>
      <c r="G1972" s="15" t="str">
        <f t="shared" si="1"/>
        <v>37091</v>
      </c>
      <c r="H1972" s="23" t="s">
        <v>1608</v>
      </c>
      <c r="I1972" s="23" t="s">
        <v>96</v>
      </c>
      <c r="J1972" s="23" t="s">
        <v>382</v>
      </c>
      <c r="K1972" s="23" t="str">
        <f t="shared" si="34"/>
        <v>Hertford, NC</v>
      </c>
      <c r="L1972" s="24"/>
    </row>
    <row r="1973">
      <c r="A1973" s="99">
        <v>1972.0</v>
      </c>
      <c r="B1973" s="15"/>
      <c r="C1973" s="15"/>
      <c r="D1973" s="105">
        <v>1.0</v>
      </c>
      <c r="E1973" s="102">
        <v>37.0</v>
      </c>
      <c r="F1973" s="107">
        <v>93.0</v>
      </c>
      <c r="G1973" s="15" t="str">
        <f t="shared" si="1"/>
        <v>37093</v>
      </c>
      <c r="H1973" s="23" t="s">
        <v>1609</v>
      </c>
      <c r="I1973" s="23" t="s">
        <v>96</v>
      </c>
      <c r="J1973" s="23" t="s">
        <v>382</v>
      </c>
      <c r="K1973" s="23" t="str">
        <f t="shared" si="34"/>
        <v>Hoke, NC</v>
      </c>
      <c r="L1973" s="24"/>
    </row>
    <row r="1974">
      <c r="A1974" s="99">
        <v>1973.0</v>
      </c>
      <c r="B1974" s="15"/>
      <c r="C1974" s="15"/>
      <c r="D1974" s="105">
        <v>1.0</v>
      </c>
      <c r="E1974" s="102">
        <v>37.0</v>
      </c>
      <c r="F1974" s="107">
        <v>95.0</v>
      </c>
      <c r="G1974" s="15" t="str">
        <f t="shared" si="1"/>
        <v>37095</v>
      </c>
      <c r="H1974" s="23" t="s">
        <v>1610</v>
      </c>
      <c r="I1974" s="23" t="s">
        <v>96</v>
      </c>
      <c r="J1974" s="23" t="s">
        <v>382</v>
      </c>
      <c r="K1974" s="23" t="str">
        <f t="shared" si="34"/>
        <v>Hyde, NC</v>
      </c>
      <c r="L1974" s="24"/>
    </row>
    <row r="1975">
      <c r="A1975" s="99">
        <v>1974.0</v>
      </c>
      <c r="B1975" s="15"/>
      <c r="C1975" s="15"/>
      <c r="D1975" s="105">
        <v>1.0</v>
      </c>
      <c r="E1975" s="102">
        <v>37.0</v>
      </c>
      <c r="F1975" s="107">
        <v>97.0</v>
      </c>
      <c r="G1975" s="15" t="str">
        <f t="shared" si="1"/>
        <v>37097</v>
      </c>
      <c r="H1975" s="23" t="s">
        <v>1611</v>
      </c>
      <c r="I1975" s="23" t="s">
        <v>96</v>
      </c>
      <c r="J1975" s="23" t="s">
        <v>382</v>
      </c>
      <c r="K1975" s="23" t="str">
        <f t="shared" si="34"/>
        <v>Iredell, NC</v>
      </c>
      <c r="L1975" s="24"/>
    </row>
    <row r="1976">
      <c r="A1976" s="99">
        <v>1975.0</v>
      </c>
      <c r="B1976" s="15"/>
      <c r="C1976" s="15"/>
      <c r="D1976" s="105">
        <v>1.0</v>
      </c>
      <c r="E1976" s="102">
        <v>37.0</v>
      </c>
      <c r="F1976" s="107">
        <v>99.0</v>
      </c>
      <c r="G1976" s="15" t="str">
        <f t="shared" si="1"/>
        <v>37099</v>
      </c>
      <c r="H1976" s="23" t="s">
        <v>142</v>
      </c>
      <c r="I1976" s="23" t="s">
        <v>96</v>
      </c>
      <c r="J1976" s="23" t="s">
        <v>382</v>
      </c>
      <c r="K1976" s="23" t="str">
        <f t="shared" si="34"/>
        <v>Jackson, NC</v>
      </c>
      <c r="L1976" s="24"/>
    </row>
    <row r="1977">
      <c r="A1977" s="99">
        <v>1976.0</v>
      </c>
      <c r="B1977" s="15"/>
      <c r="C1977" s="15"/>
      <c r="D1977" s="105">
        <v>1.0</v>
      </c>
      <c r="E1977" s="102">
        <v>37.0</v>
      </c>
      <c r="F1977" s="107">
        <v>101.0</v>
      </c>
      <c r="G1977" s="15" t="str">
        <f t="shared" si="1"/>
        <v>37101</v>
      </c>
      <c r="H1977" s="23" t="s">
        <v>1612</v>
      </c>
      <c r="I1977" s="23" t="s">
        <v>96</v>
      </c>
      <c r="J1977" s="23" t="s">
        <v>382</v>
      </c>
      <c r="K1977" s="23" t="str">
        <f t="shared" si="34"/>
        <v>Johnston, NC</v>
      </c>
      <c r="L1977" s="24"/>
    </row>
    <row r="1978">
      <c r="A1978" s="99">
        <v>1977.0</v>
      </c>
      <c r="B1978" s="15"/>
      <c r="C1978" s="15"/>
      <c r="D1978" s="105">
        <v>1.0</v>
      </c>
      <c r="E1978" s="102">
        <v>37.0</v>
      </c>
      <c r="F1978" s="107">
        <v>103.0</v>
      </c>
      <c r="G1978" s="15" t="str">
        <f t="shared" si="1"/>
        <v>37103</v>
      </c>
      <c r="H1978" s="23" t="s">
        <v>598</v>
      </c>
      <c r="I1978" s="23" t="s">
        <v>96</v>
      </c>
      <c r="J1978" s="23" t="s">
        <v>382</v>
      </c>
      <c r="K1978" s="23" t="str">
        <f t="shared" si="34"/>
        <v>Jones, NC</v>
      </c>
      <c r="L1978" s="24"/>
    </row>
    <row r="1979">
      <c r="A1979" s="99">
        <v>1978.0</v>
      </c>
      <c r="B1979" s="15"/>
      <c r="C1979" s="15"/>
      <c r="D1979" s="105">
        <v>1.0</v>
      </c>
      <c r="E1979" s="102">
        <v>37.0</v>
      </c>
      <c r="F1979" s="107">
        <v>105.0</v>
      </c>
      <c r="G1979" s="15" t="str">
        <f t="shared" si="1"/>
        <v>37105</v>
      </c>
      <c r="H1979" s="23" t="s">
        <v>147</v>
      </c>
      <c r="I1979" s="23" t="s">
        <v>96</v>
      </c>
      <c r="J1979" s="23" t="s">
        <v>382</v>
      </c>
      <c r="K1979" s="23" t="str">
        <f t="shared" si="34"/>
        <v>Lee, NC</v>
      </c>
      <c r="L1979" s="24"/>
    </row>
    <row r="1980">
      <c r="A1980" s="99">
        <v>1979.0</v>
      </c>
      <c r="B1980" s="15"/>
      <c r="C1980" s="15"/>
      <c r="D1980" s="105">
        <v>1.0</v>
      </c>
      <c r="E1980" s="102">
        <v>37.0</v>
      </c>
      <c r="F1980" s="107">
        <v>107.0</v>
      </c>
      <c r="G1980" s="15" t="str">
        <f t="shared" si="1"/>
        <v>37107</v>
      </c>
      <c r="H1980" s="23" t="s">
        <v>1613</v>
      </c>
      <c r="I1980" s="23" t="s">
        <v>96</v>
      </c>
      <c r="J1980" s="23" t="s">
        <v>382</v>
      </c>
      <c r="K1980" s="23" t="str">
        <f t="shared" si="34"/>
        <v>Lenoir, NC</v>
      </c>
      <c r="L1980" s="24"/>
    </row>
    <row r="1981">
      <c r="A1981" s="99">
        <v>1980.0</v>
      </c>
      <c r="B1981" s="15"/>
      <c r="C1981" s="15"/>
      <c r="D1981" s="105">
        <v>1.0</v>
      </c>
      <c r="E1981" s="102">
        <v>37.0</v>
      </c>
      <c r="F1981" s="107">
        <v>109.0</v>
      </c>
      <c r="G1981" s="15" t="str">
        <f t="shared" si="1"/>
        <v>37109</v>
      </c>
      <c r="H1981" s="23" t="s">
        <v>290</v>
      </c>
      <c r="I1981" s="23" t="s">
        <v>96</v>
      </c>
      <c r="J1981" s="23" t="s">
        <v>382</v>
      </c>
      <c r="K1981" s="23" t="str">
        <f t="shared" si="34"/>
        <v>Lincoln, NC</v>
      </c>
      <c r="L1981" s="24"/>
    </row>
    <row r="1982">
      <c r="A1982" s="99">
        <v>1981.0</v>
      </c>
      <c r="B1982" s="15"/>
      <c r="C1982" s="15"/>
      <c r="D1982" s="105">
        <v>1.0</v>
      </c>
      <c r="E1982" s="102">
        <v>37.0</v>
      </c>
      <c r="F1982" s="107">
        <v>111.0</v>
      </c>
      <c r="G1982" s="15" t="str">
        <f t="shared" si="1"/>
        <v>37111</v>
      </c>
      <c r="H1982" s="23" t="s">
        <v>1614</v>
      </c>
      <c r="I1982" s="23" t="s">
        <v>96</v>
      </c>
      <c r="J1982" s="23" t="s">
        <v>382</v>
      </c>
      <c r="K1982" s="23" t="str">
        <f t="shared" si="34"/>
        <v>McDowell, NC</v>
      </c>
      <c r="L1982" s="24"/>
    </row>
    <row r="1983">
      <c r="A1983" s="99">
        <v>1982.0</v>
      </c>
      <c r="B1983" s="15"/>
      <c r="C1983" s="15"/>
      <c r="D1983" s="105">
        <v>1.0</v>
      </c>
      <c r="E1983" s="102">
        <v>37.0</v>
      </c>
      <c r="F1983" s="107">
        <v>113.0</v>
      </c>
      <c r="G1983" s="15" t="str">
        <f t="shared" si="1"/>
        <v>37113</v>
      </c>
      <c r="H1983" s="23" t="s">
        <v>150</v>
      </c>
      <c r="I1983" s="23" t="s">
        <v>96</v>
      </c>
      <c r="J1983" s="23" t="s">
        <v>382</v>
      </c>
      <c r="K1983" s="23" t="str">
        <f t="shared" si="34"/>
        <v>Macon, NC</v>
      </c>
      <c r="L1983" s="24"/>
    </row>
    <row r="1984">
      <c r="A1984" s="99">
        <v>1983.0</v>
      </c>
      <c r="B1984" s="15"/>
      <c r="C1984" s="15"/>
      <c r="D1984" s="105">
        <v>1.0</v>
      </c>
      <c r="E1984" s="102">
        <v>37.0</v>
      </c>
      <c r="F1984" s="107">
        <v>115.0</v>
      </c>
      <c r="G1984" s="15" t="str">
        <f t="shared" si="1"/>
        <v>37115</v>
      </c>
      <c r="H1984" s="23" t="s">
        <v>151</v>
      </c>
      <c r="I1984" s="23" t="s">
        <v>96</v>
      </c>
      <c r="J1984" s="23" t="s">
        <v>382</v>
      </c>
      <c r="K1984" s="23" t="str">
        <f t="shared" si="34"/>
        <v>Madison, NC</v>
      </c>
      <c r="L1984" s="24"/>
    </row>
    <row r="1985">
      <c r="A1985" s="99">
        <v>1984.0</v>
      </c>
      <c r="B1985" s="15"/>
      <c r="C1985" s="15"/>
      <c r="D1985" s="105">
        <v>1.0</v>
      </c>
      <c r="E1985" s="102">
        <v>37.0</v>
      </c>
      <c r="F1985" s="107">
        <v>117.0</v>
      </c>
      <c r="G1985" s="15" t="str">
        <f t="shared" si="1"/>
        <v>37117</v>
      </c>
      <c r="H1985" s="23" t="s">
        <v>510</v>
      </c>
      <c r="I1985" s="23" t="s">
        <v>96</v>
      </c>
      <c r="J1985" s="23" t="s">
        <v>382</v>
      </c>
      <c r="K1985" s="23" t="str">
        <f t="shared" si="34"/>
        <v>Martin, NC</v>
      </c>
      <c r="L1985" s="24"/>
    </row>
    <row r="1986">
      <c r="A1986" s="99">
        <v>1985.0</v>
      </c>
      <c r="B1986" s="15"/>
      <c r="C1986" s="15"/>
      <c r="D1986" s="105">
        <v>1.0</v>
      </c>
      <c r="E1986" s="102">
        <v>37.0</v>
      </c>
      <c r="F1986" s="107">
        <v>119.0</v>
      </c>
      <c r="G1986" s="15" t="str">
        <f t="shared" si="1"/>
        <v>37119</v>
      </c>
      <c r="H1986" s="23" t="s">
        <v>381</v>
      </c>
      <c r="I1986" s="23" t="s">
        <v>96</v>
      </c>
      <c r="J1986" s="23" t="s">
        <v>382</v>
      </c>
      <c r="K1986" s="112" t="str">
        <f t="shared" si="34"/>
        <v>Mecklenburg, NC</v>
      </c>
      <c r="L1986" s="24"/>
    </row>
    <row r="1987">
      <c r="A1987" s="99">
        <v>1986.0</v>
      </c>
      <c r="B1987" s="15"/>
      <c r="C1987" s="15"/>
      <c r="D1987" s="105">
        <v>1.0</v>
      </c>
      <c r="E1987" s="102">
        <v>37.0</v>
      </c>
      <c r="F1987" s="107">
        <v>121.0</v>
      </c>
      <c r="G1987" s="15" t="str">
        <f t="shared" si="1"/>
        <v>37121</v>
      </c>
      <c r="H1987" s="23" t="s">
        <v>610</v>
      </c>
      <c r="I1987" s="23" t="s">
        <v>96</v>
      </c>
      <c r="J1987" s="23" t="s">
        <v>382</v>
      </c>
      <c r="K1987" s="23" t="str">
        <f t="shared" si="34"/>
        <v>Mitchell, NC</v>
      </c>
      <c r="L1987" s="24"/>
    </row>
    <row r="1988">
      <c r="A1988" s="99">
        <v>1987.0</v>
      </c>
      <c r="B1988" s="15"/>
      <c r="C1988" s="15"/>
      <c r="D1988" s="105">
        <v>1.0</v>
      </c>
      <c r="E1988" s="102">
        <v>37.0</v>
      </c>
      <c r="F1988" s="107">
        <v>123.0</v>
      </c>
      <c r="G1988" s="15" t="str">
        <f t="shared" si="1"/>
        <v>37123</v>
      </c>
      <c r="H1988" s="23" t="s">
        <v>157</v>
      </c>
      <c r="I1988" s="23" t="s">
        <v>96</v>
      </c>
      <c r="J1988" s="23" t="s">
        <v>382</v>
      </c>
      <c r="K1988" s="112" t="str">
        <f t="shared" si="34"/>
        <v>Montgomery, NC</v>
      </c>
      <c r="L1988" s="24"/>
    </row>
    <row r="1989">
      <c r="A1989" s="99">
        <v>1988.0</v>
      </c>
      <c r="B1989" s="15"/>
      <c r="C1989" s="15"/>
      <c r="D1989" s="105">
        <v>1.0</v>
      </c>
      <c r="E1989" s="102">
        <v>37.0</v>
      </c>
      <c r="F1989" s="107">
        <v>125.0</v>
      </c>
      <c r="G1989" s="15" t="str">
        <f t="shared" si="1"/>
        <v>37125</v>
      </c>
      <c r="H1989" s="23" t="s">
        <v>1615</v>
      </c>
      <c r="I1989" s="23" t="s">
        <v>96</v>
      </c>
      <c r="J1989" s="23" t="s">
        <v>382</v>
      </c>
      <c r="K1989" s="23" t="str">
        <f t="shared" si="34"/>
        <v>Moore, NC</v>
      </c>
      <c r="L1989" s="24"/>
    </row>
    <row r="1990">
      <c r="A1990" s="99">
        <v>1989.0</v>
      </c>
      <c r="B1990" s="15"/>
      <c r="C1990" s="15"/>
      <c r="D1990" s="105">
        <v>1.0</v>
      </c>
      <c r="E1990" s="102">
        <v>37.0</v>
      </c>
      <c r="F1990" s="107">
        <v>127.0</v>
      </c>
      <c r="G1990" s="15" t="str">
        <f t="shared" si="1"/>
        <v>37127</v>
      </c>
      <c r="H1990" s="23" t="s">
        <v>1616</v>
      </c>
      <c r="I1990" s="23" t="s">
        <v>96</v>
      </c>
      <c r="J1990" s="23" t="s">
        <v>382</v>
      </c>
      <c r="K1990" s="23" t="str">
        <f t="shared" si="34"/>
        <v>Nash, NC</v>
      </c>
      <c r="L1990" s="24"/>
    </row>
    <row r="1991">
      <c r="A1991" s="99">
        <v>1990.0</v>
      </c>
      <c r="B1991" s="15"/>
      <c r="C1991" s="15"/>
      <c r="D1991" s="105">
        <v>1.0</v>
      </c>
      <c r="E1991" s="102">
        <v>37.0</v>
      </c>
      <c r="F1991" s="107">
        <v>129.0</v>
      </c>
      <c r="G1991" s="15" t="str">
        <f t="shared" si="1"/>
        <v>37129</v>
      </c>
      <c r="H1991" s="23" t="s">
        <v>1617</v>
      </c>
      <c r="I1991" s="23" t="s">
        <v>96</v>
      </c>
      <c r="J1991" s="23" t="s">
        <v>382</v>
      </c>
      <c r="K1991" s="112" t="str">
        <f t="shared" si="34"/>
        <v>New Hanover, NC</v>
      </c>
      <c r="L1991" s="24"/>
    </row>
    <row r="1992">
      <c r="A1992" s="99">
        <v>1991.0</v>
      </c>
      <c r="B1992" s="15"/>
      <c r="C1992" s="15"/>
      <c r="D1992" s="105">
        <v>1.0</v>
      </c>
      <c r="E1992" s="102">
        <v>37.0</v>
      </c>
      <c r="F1992" s="107">
        <v>131.0</v>
      </c>
      <c r="G1992" s="15" t="str">
        <f t="shared" si="1"/>
        <v>37131</v>
      </c>
      <c r="H1992" s="23" t="s">
        <v>1618</v>
      </c>
      <c r="I1992" s="23" t="s">
        <v>96</v>
      </c>
      <c r="J1992" s="23" t="s">
        <v>382</v>
      </c>
      <c r="K1992" s="112" t="str">
        <f t="shared" si="34"/>
        <v>Northampton, NC</v>
      </c>
      <c r="L1992" s="24"/>
    </row>
    <row r="1993">
      <c r="A1993" s="99">
        <v>1992.0</v>
      </c>
      <c r="B1993" s="15"/>
      <c r="C1993" s="15"/>
      <c r="D1993" s="105">
        <v>1.0</v>
      </c>
      <c r="E1993" s="102">
        <v>37.0</v>
      </c>
      <c r="F1993" s="107">
        <v>133.0</v>
      </c>
      <c r="G1993" s="15" t="str">
        <f t="shared" si="1"/>
        <v>37133</v>
      </c>
      <c r="H1993" s="23" t="s">
        <v>1619</v>
      </c>
      <c r="I1993" s="23" t="s">
        <v>96</v>
      </c>
      <c r="J1993" s="23" t="s">
        <v>382</v>
      </c>
      <c r="K1993" s="23" t="str">
        <f t="shared" si="34"/>
        <v>Onslow, NC</v>
      </c>
      <c r="L1993" s="24"/>
    </row>
    <row r="1994">
      <c r="A1994" s="99">
        <v>1993.0</v>
      </c>
      <c r="B1994" s="15"/>
      <c r="C1994" s="15"/>
      <c r="D1994" s="105">
        <v>1.0</v>
      </c>
      <c r="E1994" s="102">
        <v>37.0</v>
      </c>
      <c r="F1994" s="107">
        <v>135.0</v>
      </c>
      <c r="G1994" s="15" t="str">
        <f t="shared" si="1"/>
        <v>37135</v>
      </c>
      <c r="H1994" s="23" t="s">
        <v>241</v>
      </c>
      <c r="I1994" s="23" t="s">
        <v>96</v>
      </c>
      <c r="J1994" s="23" t="s">
        <v>382</v>
      </c>
      <c r="K1994" s="23" t="str">
        <f t="shared" si="34"/>
        <v>Orange, NC</v>
      </c>
      <c r="L1994" s="24"/>
    </row>
    <row r="1995">
      <c r="A1995" s="99">
        <v>1994.0</v>
      </c>
      <c r="B1995" s="15"/>
      <c r="C1995" s="15"/>
      <c r="D1995" s="105">
        <v>1.0</v>
      </c>
      <c r="E1995" s="102">
        <v>37.0</v>
      </c>
      <c r="F1995" s="107">
        <v>137.0</v>
      </c>
      <c r="G1995" s="15" t="str">
        <f t="shared" si="1"/>
        <v>37137</v>
      </c>
      <c r="H1995" s="23" t="s">
        <v>1620</v>
      </c>
      <c r="I1995" s="23" t="s">
        <v>96</v>
      </c>
      <c r="J1995" s="23" t="s">
        <v>382</v>
      </c>
      <c r="K1995" s="23" t="str">
        <f t="shared" si="34"/>
        <v>Pamlico, NC</v>
      </c>
      <c r="L1995" s="24"/>
    </row>
    <row r="1996">
      <c r="A1996" s="99">
        <v>1995.0</v>
      </c>
      <c r="B1996" s="15"/>
      <c r="C1996" s="15"/>
      <c r="D1996" s="105">
        <v>1.0</v>
      </c>
      <c r="E1996" s="102">
        <v>37.0</v>
      </c>
      <c r="F1996" s="107">
        <v>139.0</v>
      </c>
      <c r="G1996" s="15" t="str">
        <f t="shared" si="1"/>
        <v>37139</v>
      </c>
      <c r="H1996" s="23" t="s">
        <v>1621</v>
      </c>
      <c r="I1996" s="23" t="s">
        <v>96</v>
      </c>
      <c r="J1996" s="23" t="s">
        <v>382</v>
      </c>
      <c r="K1996" s="23" t="str">
        <f t="shared" si="34"/>
        <v>Pasquotank, NC</v>
      </c>
      <c r="L1996" s="24"/>
    </row>
    <row r="1997">
      <c r="A1997" s="99">
        <v>1996.0</v>
      </c>
      <c r="B1997" s="15"/>
      <c r="C1997" s="15"/>
      <c r="D1997" s="105">
        <v>1.0</v>
      </c>
      <c r="E1997" s="102">
        <v>37.0</v>
      </c>
      <c r="F1997" s="107">
        <v>141.0</v>
      </c>
      <c r="G1997" s="15" t="str">
        <f t="shared" si="1"/>
        <v>37141</v>
      </c>
      <c r="H1997" s="23" t="s">
        <v>1622</v>
      </c>
      <c r="I1997" s="23" t="s">
        <v>96</v>
      </c>
      <c r="J1997" s="23" t="s">
        <v>382</v>
      </c>
      <c r="K1997" s="23" t="str">
        <f t="shared" si="34"/>
        <v>Pender, NC</v>
      </c>
      <c r="L1997" s="24"/>
    </row>
    <row r="1998">
      <c r="A1998" s="99">
        <v>1997.0</v>
      </c>
      <c r="B1998" s="15"/>
      <c r="C1998" s="15"/>
      <c r="D1998" s="105">
        <v>1.0</v>
      </c>
      <c r="E1998" s="102">
        <v>37.0</v>
      </c>
      <c r="F1998" s="107">
        <v>143.0</v>
      </c>
      <c r="G1998" s="15" t="str">
        <f t="shared" si="1"/>
        <v>37143</v>
      </c>
      <c r="H1998" s="23" t="s">
        <v>1623</v>
      </c>
      <c r="I1998" s="23" t="s">
        <v>96</v>
      </c>
      <c r="J1998" s="23" t="s">
        <v>382</v>
      </c>
      <c r="K1998" s="23" t="str">
        <f t="shared" si="34"/>
        <v>Perquimans, NC</v>
      </c>
      <c r="L1998" s="24"/>
    </row>
    <row r="1999">
      <c r="A1999" s="99">
        <v>1998.0</v>
      </c>
      <c r="B1999" s="15"/>
      <c r="C1999" s="15"/>
      <c r="D1999" s="105">
        <v>1.0</v>
      </c>
      <c r="E1999" s="102">
        <v>37.0</v>
      </c>
      <c r="F1999" s="107">
        <v>145.0</v>
      </c>
      <c r="G1999" s="15" t="str">
        <f t="shared" si="1"/>
        <v>37145</v>
      </c>
      <c r="H1999" s="23" t="s">
        <v>1624</v>
      </c>
      <c r="I1999" s="23" t="s">
        <v>96</v>
      </c>
      <c r="J1999" s="23" t="s">
        <v>382</v>
      </c>
      <c r="K1999" s="23" t="str">
        <f t="shared" si="34"/>
        <v>Person, NC</v>
      </c>
      <c r="L1999" s="24"/>
    </row>
    <row r="2000">
      <c r="A2000" s="99">
        <v>1999.0</v>
      </c>
      <c r="B2000" s="15"/>
      <c r="C2000" s="15"/>
      <c r="D2000" s="105">
        <v>1.0</v>
      </c>
      <c r="E2000" s="102">
        <v>37.0</v>
      </c>
      <c r="F2000" s="107">
        <v>147.0</v>
      </c>
      <c r="G2000" s="15" t="str">
        <f t="shared" si="1"/>
        <v>37147</v>
      </c>
      <c r="H2000" s="23" t="s">
        <v>1625</v>
      </c>
      <c r="I2000" s="23" t="s">
        <v>96</v>
      </c>
      <c r="J2000" s="23" t="s">
        <v>382</v>
      </c>
      <c r="K2000" s="23" t="str">
        <f t="shared" si="34"/>
        <v>Pitt, NC</v>
      </c>
      <c r="L2000" s="24"/>
    </row>
    <row r="2001">
      <c r="A2001" s="99">
        <v>2000.0</v>
      </c>
      <c r="B2001" s="15"/>
      <c r="C2001" s="15"/>
      <c r="D2001" s="105">
        <v>1.0</v>
      </c>
      <c r="E2001" s="102">
        <v>37.0</v>
      </c>
      <c r="F2001" s="107">
        <v>149.0</v>
      </c>
      <c r="G2001" s="15" t="str">
        <f t="shared" si="1"/>
        <v>37149</v>
      </c>
      <c r="H2001" s="23" t="s">
        <v>302</v>
      </c>
      <c r="I2001" s="23" t="s">
        <v>96</v>
      </c>
      <c r="J2001" s="23" t="s">
        <v>382</v>
      </c>
      <c r="K2001" s="23" t="str">
        <f t="shared" si="34"/>
        <v>Polk, NC</v>
      </c>
      <c r="L2001" s="24"/>
    </row>
    <row r="2002">
      <c r="A2002" s="99">
        <v>2001.0</v>
      </c>
      <c r="B2002" s="15"/>
      <c r="C2002" s="15"/>
      <c r="D2002" s="105">
        <v>1.0</v>
      </c>
      <c r="E2002" s="102">
        <v>37.0</v>
      </c>
      <c r="F2002" s="107">
        <v>151.0</v>
      </c>
      <c r="G2002" s="15" t="str">
        <f t="shared" si="1"/>
        <v>37151</v>
      </c>
      <c r="H2002" s="23" t="s">
        <v>163</v>
      </c>
      <c r="I2002" s="23" t="s">
        <v>96</v>
      </c>
      <c r="J2002" s="23" t="s">
        <v>382</v>
      </c>
      <c r="K2002" s="23" t="str">
        <f t="shared" si="34"/>
        <v>Randolph, NC</v>
      </c>
      <c r="L2002" s="24"/>
    </row>
    <row r="2003">
      <c r="A2003" s="99">
        <v>2002.0</v>
      </c>
      <c r="B2003" s="15"/>
      <c r="C2003" s="15"/>
      <c r="D2003" s="105">
        <v>1.0</v>
      </c>
      <c r="E2003" s="102">
        <v>37.0</v>
      </c>
      <c r="F2003" s="107">
        <v>153.0</v>
      </c>
      <c r="G2003" s="15" t="str">
        <f t="shared" si="1"/>
        <v>37153</v>
      </c>
      <c r="H2003" s="23" t="s">
        <v>621</v>
      </c>
      <c r="I2003" s="23" t="s">
        <v>96</v>
      </c>
      <c r="J2003" s="23" t="s">
        <v>382</v>
      </c>
      <c r="K2003" s="23" t="str">
        <f t="shared" si="34"/>
        <v>Richmond, NC</v>
      </c>
      <c r="L2003" s="24"/>
    </row>
    <row r="2004">
      <c r="A2004" s="99">
        <v>2003.0</v>
      </c>
      <c r="B2004" s="15"/>
      <c r="C2004" s="15"/>
      <c r="D2004" s="105">
        <v>1.0</v>
      </c>
      <c r="E2004" s="102">
        <v>37.0</v>
      </c>
      <c r="F2004" s="107">
        <v>155.0</v>
      </c>
      <c r="G2004" s="15" t="str">
        <f t="shared" si="1"/>
        <v>37155</v>
      </c>
      <c r="H2004" s="23" t="s">
        <v>1626</v>
      </c>
      <c r="I2004" s="23" t="s">
        <v>96</v>
      </c>
      <c r="J2004" s="23" t="s">
        <v>382</v>
      </c>
      <c r="K2004" s="23" t="str">
        <f t="shared" si="34"/>
        <v>Robeson, NC</v>
      </c>
      <c r="L2004" s="24"/>
    </row>
    <row r="2005">
      <c r="A2005" s="99">
        <v>2004.0</v>
      </c>
      <c r="B2005" s="15"/>
      <c r="C2005" s="15"/>
      <c r="D2005" s="105">
        <v>1.0</v>
      </c>
      <c r="E2005" s="102">
        <v>37.0</v>
      </c>
      <c r="F2005" s="107">
        <v>157.0</v>
      </c>
      <c r="G2005" s="15" t="str">
        <f t="shared" si="1"/>
        <v>37157</v>
      </c>
      <c r="H2005" s="23" t="s">
        <v>1523</v>
      </c>
      <c r="I2005" s="23" t="s">
        <v>96</v>
      </c>
      <c r="J2005" s="23" t="s">
        <v>382</v>
      </c>
      <c r="K2005" s="112" t="str">
        <f t="shared" si="34"/>
        <v>Rockingham, NC</v>
      </c>
      <c r="L2005" s="24"/>
    </row>
    <row r="2006">
      <c r="A2006" s="99">
        <v>2005.0</v>
      </c>
      <c r="B2006" s="15"/>
      <c r="C2006" s="15"/>
      <c r="D2006" s="105">
        <v>1.0</v>
      </c>
      <c r="E2006" s="102">
        <v>37.0</v>
      </c>
      <c r="F2006" s="107">
        <v>159.0</v>
      </c>
      <c r="G2006" s="15" t="str">
        <f t="shared" si="1"/>
        <v>37159</v>
      </c>
      <c r="H2006" s="23" t="s">
        <v>1133</v>
      </c>
      <c r="I2006" s="23" t="s">
        <v>96</v>
      </c>
      <c r="J2006" s="23" t="s">
        <v>382</v>
      </c>
      <c r="K2006" s="23" t="str">
        <f t="shared" si="34"/>
        <v>Rowan, NC</v>
      </c>
      <c r="L2006" s="24"/>
    </row>
    <row r="2007">
      <c r="A2007" s="99">
        <v>2006.0</v>
      </c>
      <c r="B2007" s="15"/>
      <c r="C2007" s="15"/>
      <c r="D2007" s="105">
        <v>1.0</v>
      </c>
      <c r="E2007" s="102">
        <v>37.0</v>
      </c>
      <c r="F2007" s="107">
        <v>161.0</v>
      </c>
      <c r="G2007" s="15" t="str">
        <f t="shared" si="1"/>
        <v>37161</v>
      </c>
      <c r="H2007" s="23" t="s">
        <v>1627</v>
      </c>
      <c r="I2007" s="23" t="s">
        <v>96</v>
      </c>
      <c r="J2007" s="23" t="s">
        <v>382</v>
      </c>
      <c r="K2007" s="23" t="str">
        <f t="shared" si="34"/>
        <v>Rutherford, NC</v>
      </c>
      <c r="L2007" s="24"/>
    </row>
    <row r="2008">
      <c r="A2008" s="99">
        <v>2007.0</v>
      </c>
      <c r="B2008" s="15"/>
      <c r="C2008" s="15"/>
      <c r="D2008" s="105">
        <v>1.0</v>
      </c>
      <c r="E2008" s="102">
        <v>37.0</v>
      </c>
      <c r="F2008" s="107">
        <v>163.0</v>
      </c>
      <c r="G2008" s="15" t="str">
        <f t="shared" si="1"/>
        <v>37163</v>
      </c>
      <c r="H2008" s="23" t="s">
        <v>1628</v>
      </c>
      <c r="I2008" s="23" t="s">
        <v>96</v>
      </c>
      <c r="J2008" s="23" t="s">
        <v>382</v>
      </c>
      <c r="K2008" s="23" t="str">
        <f t="shared" si="34"/>
        <v>Sampson, NC</v>
      </c>
      <c r="L2008" s="24"/>
    </row>
    <row r="2009">
      <c r="A2009" s="99">
        <v>2008.0</v>
      </c>
      <c r="B2009" s="15"/>
      <c r="C2009" s="15"/>
      <c r="D2009" s="105">
        <v>1.0</v>
      </c>
      <c r="E2009" s="102">
        <v>37.0</v>
      </c>
      <c r="F2009" s="107">
        <v>165.0</v>
      </c>
      <c r="G2009" s="15" t="str">
        <f t="shared" si="1"/>
        <v>37165</v>
      </c>
      <c r="H2009" s="23" t="s">
        <v>1425</v>
      </c>
      <c r="I2009" s="23" t="s">
        <v>96</v>
      </c>
      <c r="J2009" s="23" t="s">
        <v>382</v>
      </c>
      <c r="K2009" s="23" t="str">
        <f t="shared" si="34"/>
        <v>Scotland, NC</v>
      </c>
      <c r="L2009" s="24"/>
    </row>
    <row r="2010">
      <c r="A2010" s="99">
        <v>2009.0</v>
      </c>
      <c r="B2010" s="15"/>
      <c r="C2010" s="15"/>
      <c r="D2010" s="105">
        <v>1.0</v>
      </c>
      <c r="E2010" s="102">
        <v>37.0</v>
      </c>
      <c r="F2010" s="107">
        <v>167.0</v>
      </c>
      <c r="G2010" s="15" t="str">
        <f t="shared" si="1"/>
        <v>37167</v>
      </c>
      <c r="H2010" s="23" t="s">
        <v>1629</v>
      </c>
      <c r="I2010" s="23" t="s">
        <v>96</v>
      </c>
      <c r="J2010" s="23" t="s">
        <v>382</v>
      </c>
      <c r="K2010" s="23" t="str">
        <f t="shared" si="34"/>
        <v>Stanly, NC</v>
      </c>
      <c r="L2010" s="24"/>
    </row>
    <row r="2011">
      <c r="A2011" s="99">
        <v>2010.0</v>
      </c>
      <c r="B2011" s="15"/>
      <c r="C2011" s="15"/>
      <c r="D2011" s="105">
        <v>1.0</v>
      </c>
      <c r="E2011" s="102">
        <v>37.0</v>
      </c>
      <c r="F2011" s="107">
        <v>169.0</v>
      </c>
      <c r="G2011" s="15" t="str">
        <f t="shared" si="1"/>
        <v>37169</v>
      </c>
      <c r="H2011" s="23" t="s">
        <v>1630</v>
      </c>
      <c r="I2011" s="23" t="s">
        <v>96</v>
      </c>
      <c r="J2011" s="23" t="s">
        <v>382</v>
      </c>
      <c r="K2011" s="23" t="str">
        <f t="shared" si="34"/>
        <v>Stokes, NC</v>
      </c>
      <c r="L2011" s="24"/>
    </row>
    <row r="2012">
      <c r="A2012" s="99">
        <v>2011.0</v>
      </c>
      <c r="B2012" s="15"/>
      <c r="C2012" s="15"/>
      <c r="D2012" s="105">
        <v>1.0</v>
      </c>
      <c r="E2012" s="102">
        <v>37.0</v>
      </c>
      <c r="F2012" s="107">
        <v>171.0</v>
      </c>
      <c r="G2012" s="15" t="str">
        <f t="shared" si="1"/>
        <v>37171</v>
      </c>
      <c r="H2012" s="23" t="s">
        <v>1631</v>
      </c>
      <c r="I2012" s="23" t="s">
        <v>96</v>
      </c>
      <c r="J2012" s="23" t="s">
        <v>382</v>
      </c>
      <c r="K2012" s="23" t="str">
        <f t="shared" si="34"/>
        <v>Surry, NC</v>
      </c>
      <c r="L2012" s="24"/>
    </row>
    <row r="2013">
      <c r="A2013" s="99">
        <v>2012.0</v>
      </c>
      <c r="B2013" s="15"/>
      <c r="C2013" s="15"/>
      <c r="D2013" s="105">
        <v>1.0</v>
      </c>
      <c r="E2013" s="102">
        <v>37.0</v>
      </c>
      <c r="F2013" s="107">
        <v>173.0</v>
      </c>
      <c r="G2013" s="15" t="str">
        <f t="shared" si="1"/>
        <v>37173</v>
      </c>
      <c r="H2013" s="23" t="s">
        <v>1632</v>
      </c>
      <c r="I2013" s="23" t="s">
        <v>96</v>
      </c>
      <c r="J2013" s="23" t="s">
        <v>382</v>
      </c>
      <c r="K2013" s="23" t="str">
        <f t="shared" si="34"/>
        <v>Swain, NC</v>
      </c>
      <c r="L2013" s="24"/>
    </row>
    <row r="2014">
      <c r="A2014" s="99">
        <v>2013.0</v>
      </c>
      <c r="B2014" s="15"/>
      <c r="C2014" s="15"/>
      <c r="D2014" s="105">
        <v>1.0</v>
      </c>
      <c r="E2014" s="102">
        <v>37.0</v>
      </c>
      <c r="F2014" s="107">
        <v>175.0</v>
      </c>
      <c r="G2014" s="15" t="str">
        <f t="shared" si="1"/>
        <v>37175</v>
      </c>
      <c r="H2014" s="23" t="s">
        <v>1633</v>
      </c>
      <c r="I2014" s="23" t="s">
        <v>96</v>
      </c>
      <c r="J2014" s="23" t="s">
        <v>382</v>
      </c>
      <c r="K2014" s="112" t="str">
        <f t="shared" si="34"/>
        <v>Transylvania, NC</v>
      </c>
      <c r="L2014" s="24"/>
    </row>
    <row r="2015">
      <c r="A2015" s="99">
        <v>2014.0</v>
      </c>
      <c r="B2015" s="15"/>
      <c r="C2015" s="15"/>
      <c r="D2015" s="105">
        <v>1.0</v>
      </c>
      <c r="E2015" s="102">
        <v>37.0</v>
      </c>
      <c r="F2015" s="107">
        <v>177.0</v>
      </c>
      <c r="G2015" s="15" t="str">
        <f t="shared" si="1"/>
        <v>37177</v>
      </c>
      <c r="H2015" s="23" t="s">
        <v>1634</v>
      </c>
      <c r="I2015" s="23" t="s">
        <v>96</v>
      </c>
      <c r="J2015" s="23" t="s">
        <v>382</v>
      </c>
      <c r="K2015" s="23" t="str">
        <f t="shared" si="34"/>
        <v>Tyrrell, NC</v>
      </c>
      <c r="L2015" s="24"/>
    </row>
    <row r="2016">
      <c r="A2016" s="99">
        <v>2015.0</v>
      </c>
      <c r="B2016" s="15"/>
      <c r="C2016" s="15"/>
      <c r="D2016" s="105">
        <v>1.0</v>
      </c>
      <c r="E2016" s="102">
        <v>37.0</v>
      </c>
      <c r="F2016" s="107">
        <v>179.0</v>
      </c>
      <c r="G2016" s="15" t="str">
        <f t="shared" si="1"/>
        <v>37179</v>
      </c>
      <c r="H2016" s="23" t="s">
        <v>316</v>
      </c>
      <c r="I2016" s="23" t="s">
        <v>96</v>
      </c>
      <c r="J2016" s="23" t="s">
        <v>382</v>
      </c>
      <c r="K2016" s="23" t="str">
        <f t="shared" si="34"/>
        <v>Union, NC</v>
      </c>
      <c r="L2016" s="24"/>
    </row>
    <row r="2017">
      <c r="A2017" s="99">
        <v>2016.0</v>
      </c>
      <c r="B2017" s="15"/>
      <c r="C2017" s="15"/>
      <c r="D2017" s="105">
        <v>1.0</v>
      </c>
      <c r="E2017" s="102">
        <v>37.0</v>
      </c>
      <c r="F2017" s="107">
        <v>181.0</v>
      </c>
      <c r="G2017" s="15" t="str">
        <f t="shared" si="1"/>
        <v>37181</v>
      </c>
      <c r="H2017" s="23" t="s">
        <v>1635</v>
      </c>
      <c r="I2017" s="23" t="s">
        <v>96</v>
      </c>
      <c r="J2017" s="23" t="s">
        <v>382</v>
      </c>
      <c r="K2017" s="23" t="str">
        <f t="shared" si="34"/>
        <v>Vance, NC</v>
      </c>
      <c r="L2017" s="24"/>
    </row>
    <row r="2018">
      <c r="A2018" s="99">
        <v>2017.0</v>
      </c>
      <c r="B2018" s="15"/>
      <c r="C2018" s="15"/>
      <c r="D2018" s="105">
        <v>1.0</v>
      </c>
      <c r="E2018" s="102">
        <v>37.0</v>
      </c>
      <c r="F2018" s="107">
        <v>183.0</v>
      </c>
      <c r="G2018" s="15" t="str">
        <f t="shared" si="1"/>
        <v>37183</v>
      </c>
      <c r="H2018" s="23" t="s">
        <v>385</v>
      </c>
      <c r="I2018" s="23" t="s">
        <v>96</v>
      </c>
      <c r="J2018" s="23" t="s">
        <v>382</v>
      </c>
      <c r="K2018" s="23" t="str">
        <f t="shared" si="34"/>
        <v>Wake, NC</v>
      </c>
      <c r="L2018" s="24"/>
    </row>
    <row r="2019">
      <c r="A2019" s="99">
        <v>2018.0</v>
      </c>
      <c r="B2019" s="15"/>
      <c r="C2019" s="15"/>
      <c r="D2019" s="105">
        <v>1.0</v>
      </c>
      <c r="E2019" s="102">
        <v>37.0</v>
      </c>
      <c r="F2019" s="107">
        <v>185.0</v>
      </c>
      <c r="G2019" s="15" t="str">
        <f t="shared" si="1"/>
        <v>37185</v>
      </c>
      <c r="H2019" s="23" t="s">
        <v>647</v>
      </c>
      <c r="I2019" s="23" t="s">
        <v>96</v>
      </c>
      <c r="J2019" s="23" t="s">
        <v>382</v>
      </c>
      <c r="K2019" s="23" t="str">
        <f t="shared" si="34"/>
        <v>Warren, NC</v>
      </c>
      <c r="L2019" s="24"/>
    </row>
    <row r="2020">
      <c r="A2020" s="99">
        <v>2019.0</v>
      </c>
      <c r="B2020" s="15"/>
      <c r="C2020" s="15"/>
      <c r="D2020" s="105">
        <v>1.0</v>
      </c>
      <c r="E2020" s="102">
        <v>37.0</v>
      </c>
      <c r="F2020" s="107">
        <v>187.0</v>
      </c>
      <c r="G2020" s="15" t="str">
        <f t="shared" si="1"/>
        <v>37187</v>
      </c>
      <c r="H2020" s="23" t="s">
        <v>119</v>
      </c>
      <c r="I2020" s="23" t="s">
        <v>96</v>
      </c>
      <c r="J2020" s="23" t="s">
        <v>382</v>
      </c>
      <c r="K2020" s="23" t="str">
        <f t="shared" si="34"/>
        <v>Washington, NC</v>
      </c>
      <c r="L2020" s="24"/>
    </row>
    <row r="2021">
      <c r="A2021" s="99">
        <v>2020.0</v>
      </c>
      <c r="B2021" s="15"/>
      <c r="C2021" s="15"/>
      <c r="D2021" s="105">
        <v>1.0</v>
      </c>
      <c r="E2021" s="102">
        <v>37.0</v>
      </c>
      <c r="F2021" s="107">
        <v>189.0</v>
      </c>
      <c r="G2021" s="15" t="str">
        <f t="shared" si="1"/>
        <v>37189</v>
      </c>
      <c r="H2021" s="23" t="s">
        <v>1636</v>
      </c>
      <c r="I2021" s="23" t="s">
        <v>96</v>
      </c>
      <c r="J2021" s="23" t="s">
        <v>382</v>
      </c>
      <c r="K2021" s="23" t="str">
        <f t="shared" si="34"/>
        <v>Watauga, NC</v>
      </c>
      <c r="L2021" s="24"/>
    </row>
    <row r="2022">
      <c r="A2022" s="99">
        <v>2021.0</v>
      </c>
      <c r="B2022" s="15"/>
      <c r="C2022" s="15"/>
      <c r="D2022" s="105">
        <v>1.0</v>
      </c>
      <c r="E2022" s="102">
        <v>37.0</v>
      </c>
      <c r="F2022" s="107">
        <v>191.0</v>
      </c>
      <c r="G2022" s="15" t="str">
        <f t="shared" si="1"/>
        <v>37191</v>
      </c>
      <c r="H2022" s="23" t="s">
        <v>273</v>
      </c>
      <c r="I2022" s="23" t="s">
        <v>96</v>
      </c>
      <c r="J2022" s="23" t="s">
        <v>382</v>
      </c>
      <c r="K2022" s="23" t="str">
        <f t="shared" si="34"/>
        <v>Wayne, NC</v>
      </c>
      <c r="L2022" s="24"/>
    </row>
    <row r="2023">
      <c r="A2023" s="99">
        <v>2022.0</v>
      </c>
      <c r="B2023" s="15"/>
      <c r="C2023" s="15"/>
      <c r="D2023" s="105">
        <v>1.0</v>
      </c>
      <c r="E2023" s="102">
        <v>37.0</v>
      </c>
      <c r="F2023" s="107">
        <v>193.0</v>
      </c>
      <c r="G2023" s="15" t="str">
        <f t="shared" si="1"/>
        <v>37193</v>
      </c>
      <c r="H2023" s="23" t="s">
        <v>653</v>
      </c>
      <c r="I2023" s="23" t="s">
        <v>96</v>
      </c>
      <c r="J2023" s="23" t="s">
        <v>382</v>
      </c>
      <c r="K2023" s="23" t="str">
        <f t="shared" si="34"/>
        <v>Wilkes, NC</v>
      </c>
      <c r="L2023" s="24"/>
    </row>
    <row r="2024">
      <c r="A2024" s="99">
        <v>2023.0</v>
      </c>
      <c r="B2024" s="15"/>
      <c r="C2024" s="15"/>
      <c r="D2024" s="105">
        <v>1.0</v>
      </c>
      <c r="E2024" s="102">
        <v>37.0</v>
      </c>
      <c r="F2024" s="107">
        <v>195.0</v>
      </c>
      <c r="G2024" s="15" t="str">
        <f t="shared" si="1"/>
        <v>37195</v>
      </c>
      <c r="H2024" s="23" t="s">
        <v>1021</v>
      </c>
      <c r="I2024" s="23" t="s">
        <v>96</v>
      </c>
      <c r="J2024" s="23" t="s">
        <v>382</v>
      </c>
      <c r="K2024" s="23" t="str">
        <f t="shared" si="34"/>
        <v>Wilson, NC</v>
      </c>
      <c r="L2024" s="24"/>
    </row>
    <row r="2025">
      <c r="A2025" s="99">
        <v>2024.0</v>
      </c>
      <c r="B2025" s="15"/>
      <c r="C2025" s="15"/>
      <c r="D2025" s="105">
        <v>1.0</v>
      </c>
      <c r="E2025" s="102">
        <v>37.0</v>
      </c>
      <c r="F2025" s="107">
        <v>197.0</v>
      </c>
      <c r="G2025" s="15" t="str">
        <f t="shared" si="1"/>
        <v>37197</v>
      </c>
      <c r="H2025" s="23" t="s">
        <v>1637</v>
      </c>
      <c r="I2025" s="23" t="s">
        <v>96</v>
      </c>
      <c r="J2025" s="23" t="s">
        <v>382</v>
      </c>
      <c r="K2025" s="23" t="str">
        <f t="shared" si="34"/>
        <v>Yadkin, NC</v>
      </c>
      <c r="L2025" s="24"/>
    </row>
    <row r="2026">
      <c r="A2026" s="99">
        <v>2025.0</v>
      </c>
      <c r="B2026" s="15"/>
      <c r="C2026" s="15"/>
      <c r="D2026" s="105">
        <v>1.0</v>
      </c>
      <c r="E2026" s="102">
        <v>37.0</v>
      </c>
      <c r="F2026" s="107">
        <v>199.0</v>
      </c>
      <c r="G2026" s="15" t="str">
        <f t="shared" si="1"/>
        <v>37199</v>
      </c>
      <c r="H2026" s="23" t="s">
        <v>1638</v>
      </c>
      <c r="I2026" s="23" t="s">
        <v>96</v>
      </c>
      <c r="J2026" s="23" t="s">
        <v>382</v>
      </c>
      <c r="K2026" s="23" t="str">
        <f t="shared" si="34"/>
        <v>Yancey, NC</v>
      </c>
      <c r="L2026" s="24"/>
    </row>
    <row r="2027">
      <c r="A2027" s="28">
        <v>2026.0</v>
      </c>
      <c r="B2027" s="29"/>
      <c r="C2027" s="29" t="s">
        <v>25</v>
      </c>
      <c r="D2027" s="30"/>
      <c r="E2027" s="31">
        <v>38.0</v>
      </c>
      <c r="F2027" s="42">
        <v>0.0</v>
      </c>
      <c r="G2027" s="29" t="str">
        <f t="shared" si="1"/>
        <v>38000</v>
      </c>
      <c r="H2027" s="37"/>
      <c r="I2027" s="37" t="s">
        <v>99</v>
      </c>
      <c r="J2027" s="37" t="s">
        <v>1639</v>
      </c>
      <c r="K2027" s="37"/>
      <c r="L2027" s="24"/>
    </row>
    <row r="2028">
      <c r="A2028" s="28">
        <v>2027.0</v>
      </c>
      <c r="B2028" s="29"/>
      <c r="C2028" s="29"/>
      <c r="D2028" s="40">
        <v>1.0</v>
      </c>
      <c r="E2028" s="31">
        <v>38.0</v>
      </c>
      <c r="F2028" s="42">
        <v>1.0</v>
      </c>
      <c r="G2028" s="29" t="str">
        <f t="shared" si="1"/>
        <v>38001</v>
      </c>
      <c r="H2028" s="37" t="s">
        <v>386</v>
      </c>
      <c r="I2028" s="37" t="s">
        <v>99</v>
      </c>
      <c r="J2028" s="37" t="s">
        <v>1639</v>
      </c>
      <c r="K2028" s="37" t="str">
        <f t="shared" ref="K2028:K2080" si="35">CONCATENATE(H2028,", ",J2028)</f>
        <v>Adams, ND</v>
      </c>
      <c r="L2028" s="24"/>
    </row>
    <row r="2029">
      <c r="A2029" s="28">
        <v>2028.0</v>
      </c>
      <c r="B2029" s="29"/>
      <c r="C2029" s="29"/>
      <c r="D2029" s="40">
        <v>1.0</v>
      </c>
      <c r="E2029" s="31">
        <v>38.0</v>
      </c>
      <c r="F2029" s="42">
        <v>3.0</v>
      </c>
      <c r="G2029" s="29" t="str">
        <f t="shared" si="1"/>
        <v>38003</v>
      </c>
      <c r="H2029" s="37" t="s">
        <v>1640</v>
      </c>
      <c r="I2029" s="37" t="s">
        <v>99</v>
      </c>
      <c r="J2029" s="37" t="s">
        <v>1639</v>
      </c>
      <c r="K2029" s="37" t="str">
        <f t="shared" si="35"/>
        <v>Barnes, ND</v>
      </c>
      <c r="L2029" s="24"/>
    </row>
    <row r="2030">
      <c r="A2030" s="28">
        <v>2029.0</v>
      </c>
      <c r="B2030" s="29"/>
      <c r="C2030" s="29"/>
      <c r="D2030" s="40">
        <v>1.0</v>
      </c>
      <c r="E2030" s="31">
        <v>38.0</v>
      </c>
      <c r="F2030" s="42">
        <v>5.0</v>
      </c>
      <c r="G2030" s="29" t="str">
        <f t="shared" si="1"/>
        <v>38005</v>
      </c>
      <c r="H2030" s="37" t="s">
        <v>1641</v>
      </c>
      <c r="I2030" s="37" t="s">
        <v>99</v>
      </c>
      <c r="J2030" s="37" t="s">
        <v>1639</v>
      </c>
      <c r="K2030" s="37" t="str">
        <f t="shared" si="35"/>
        <v>Benson, ND</v>
      </c>
      <c r="L2030" s="24"/>
    </row>
    <row r="2031">
      <c r="A2031" s="28">
        <v>2030.0</v>
      </c>
      <c r="B2031" s="29"/>
      <c r="C2031" s="29"/>
      <c r="D2031" s="40">
        <v>1.0</v>
      </c>
      <c r="E2031" s="31">
        <v>38.0</v>
      </c>
      <c r="F2031" s="42">
        <v>7.0</v>
      </c>
      <c r="G2031" s="29" t="str">
        <f t="shared" si="1"/>
        <v>38007</v>
      </c>
      <c r="H2031" s="37" t="s">
        <v>1642</v>
      </c>
      <c r="I2031" s="37" t="s">
        <v>99</v>
      </c>
      <c r="J2031" s="37" t="s">
        <v>1639</v>
      </c>
      <c r="K2031" s="37" t="str">
        <f t="shared" si="35"/>
        <v>Billings, ND</v>
      </c>
      <c r="L2031" s="24"/>
    </row>
    <row r="2032">
      <c r="A2032" s="28">
        <v>2031.0</v>
      </c>
      <c r="B2032" s="29"/>
      <c r="C2032" s="29"/>
      <c r="D2032" s="40">
        <v>1.0</v>
      </c>
      <c r="E2032" s="31">
        <v>38.0</v>
      </c>
      <c r="F2032" s="42">
        <v>9.0</v>
      </c>
      <c r="G2032" s="29" t="str">
        <f t="shared" si="1"/>
        <v>38009</v>
      </c>
      <c r="H2032" s="37" t="s">
        <v>1643</v>
      </c>
      <c r="I2032" s="37" t="s">
        <v>99</v>
      </c>
      <c r="J2032" s="37" t="s">
        <v>1639</v>
      </c>
      <c r="K2032" s="37" t="str">
        <f t="shared" si="35"/>
        <v>Bottineau, ND</v>
      </c>
      <c r="L2032" s="24"/>
    </row>
    <row r="2033">
      <c r="A2033" s="28">
        <v>2032.0</v>
      </c>
      <c r="B2033" s="29"/>
      <c r="C2033" s="29"/>
      <c r="D2033" s="40">
        <v>1.0</v>
      </c>
      <c r="E2033" s="31">
        <v>38.0</v>
      </c>
      <c r="F2033" s="42">
        <v>11.0</v>
      </c>
      <c r="G2033" s="29" t="str">
        <f t="shared" si="1"/>
        <v>38011</v>
      </c>
      <c r="H2033" s="37" t="s">
        <v>1644</v>
      </c>
      <c r="I2033" s="37" t="s">
        <v>99</v>
      </c>
      <c r="J2033" s="37" t="s">
        <v>1639</v>
      </c>
      <c r="K2033" s="37" t="str">
        <f t="shared" si="35"/>
        <v>Bowman, ND</v>
      </c>
      <c r="L2033" s="24"/>
    </row>
    <row r="2034">
      <c r="A2034" s="28">
        <v>2033.0</v>
      </c>
      <c r="B2034" s="29"/>
      <c r="C2034" s="29"/>
      <c r="D2034" s="40">
        <v>1.0</v>
      </c>
      <c r="E2034" s="31">
        <v>38.0</v>
      </c>
      <c r="F2034" s="42">
        <v>13.0</v>
      </c>
      <c r="G2034" s="29" t="str">
        <f t="shared" si="1"/>
        <v>38013</v>
      </c>
      <c r="H2034" s="37" t="s">
        <v>546</v>
      </c>
      <c r="I2034" s="37" t="s">
        <v>99</v>
      </c>
      <c r="J2034" s="37" t="s">
        <v>1639</v>
      </c>
      <c r="K2034" s="37" t="str">
        <f t="shared" si="35"/>
        <v>Burke, ND</v>
      </c>
      <c r="L2034" s="24"/>
    </row>
    <row r="2035">
      <c r="A2035" s="28">
        <v>2034.0</v>
      </c>
      <c r="B2035" s="29"/>
      <c r="C2035" s="29"/>
      <c r="D2035" s="40">
        <v>1.0</v>
      </c>
      <c r="E2035" s="31">
        <v>38.0</v>
      </c>
      <c r="F2035" s="42">
        <v>15.0</v>
      </c>
      <c r="G2035" s="29" t="str">
        <f t="shared" si="1"/>
        <v>38015</v>
      </c>
      <c r="H2035" s="37" t="s">
        <v>1645</v>
      </c>
      <c r="I2035" s="37" t="s">
        <v>99</v>
      </c>
      <c r="J2035" s="37" t="s">
        <v>1639</v>
      </c>
      <c r="K2035" s="37" t="str">
        <f t="shared" si="35"/>
        <v>Burleigh, ND</v>
      </c>
      <c r="L2035" s="24"/>
    </row>
    <row r="2036">
      <c r="A2036" s="28">
        <v>2035.0</v>
      </c>
      <c r="B2036" s="29"/>
      <c r="C2036" s="29"/>
      <c r="D2036" s="40">
        <v>1.0</v>
      </c>
      <c r="E2036" s="31">
        <v>38.0</v>
      </c>
      <c r="F2036" s="42">
        <v>17.0</v>
      </c>
      <c r="G2036" s="29" t="str">
        <f t="shared" si="1"/>
        <v>38017</v>
      </c>
      <c r="H2036" s="37" t="s">
        <v>708</v>
      </c>
      <c r="I2036" s="37" t="s">
        <v>99</v>
      </c>
      <c r="J2036" s="37" t="s">
        <v>1639</v>
      </c>
      <c r="K2036" s="37" t="str">
        <f t="shared" si="35"/>
        <v>Cass, ND</v>
      </c>
      <c r="L2036" s="24"/>
    </row>
    <row r="2037">
      <c r="A2037" s="28">
        <v>2036.0</v>
      </c>
      <c r="B2037" s="29"/>
      <c r="C2037" s="29"/>
      <c r="D2037" s="40">
        <v>1.0</v>
      </c>
      <c r="E2037" s="31">
        <v>38.0</v>
      </c>
      <c r="F2037" s="42">
        <v>19.0</v>
      </c>
      <c r="G2037" s="29" t="str">
        <f t="shared" si="1"/>
        <v>38019</v>
      </c>
      <c r="H2037" s="37" t="s">
        <v>1646</v>
      </c>
      <c r="I2037" s="37" t="s">
        <v>99</v>
      </c>
      <c r="J2037" s="37" t="s">
        <v>1639</v>
      </c>
      <c r="K2037" s="37" t="str">
        <f t="shared" si="35"/>
        <v>Cavalier, ND</v>
      </c>
      <c r="L2037" s="24"/>
    </row>
    <row r="2038">
      <c r="A2038" s="28">
        <v>2037.0</v>
      </c>
      <c r="B2038" s="29"/>
      <c r="C2038" s="29"/>
      <c r="D2038" s="40">
        <v>1.0</v>
      </c>
      <c r="E2038" s="31">
        <v>38.0</v>
      </c>
      <c r="F2038" s="42">
        <v>21.0</v>
      </c>
      <c r="G2038" s="29" t="str">
        <f t="shared" si="1"/>
        <v>38021</v>
      </c>
      <c r="H2038" s="37" t="s">
        <v>1647</v>
      </c>
      <c r="I2038" s="37" t="s">
        <v>99</v>
      </c>
      <c r="J2038" s="37" t="s">
        <v>1639</v>
      </c>
      <c r="K2038" s="37" t="str">
        <f t="shared" si="35"/>
        <v>Dickey, ND</v>
      </c>
      <c r="L2038" s="24"/>
    </row>
    <row r="2039">
      <c r="A2039" s="28">
        <v>2038.0</v>
      </c>
      <c r="B2039" s="29"/>
      <c r="C2039" s="29"/>
      <c r="D2039" s="40">
        <v>1.0</v>
      </c>
      <c r="E2039" s="31">
        <v>38.0</v>
      </c>
      <c r="F2039" s="42">
        <v>23.0</v>
      </c>
      <c r="G2039" s="29" t="str">
        <f t="shared" si="1"/>
        <v>38023</v>
      </c>
      <c r="H2039" s="37" t="s">
        <v>1648</v>
      </c>
      <c r="I2039" s="37" t="s">
        <v>99</v>
      </c>
      <c r="J2039" s="37" t="s">
        <v>1639</v>
      </c>
      <c r="K2039" s="37" t="str">
        <f t="shared" si="35"/>
        <v>Divide, ND</v>
      </c>
      <c r="L2039" s="24"/>
    </row>
    <row r="2040">
      <c r="A2040" s="28">
        <v>2039.0</v>
      </c>
      <c r="B2040" s="29"/>
      <c r="C2040" s="29"/>
      <c r="D2040" s="40">
        <v>1.0</v>
      </c>
      <c r="E2040" s="31">
        <v>38.0</v>
      </c>
      <c r="F2040" s="42">
        <v>25.0</v>
      </c>
      <c r="G2040" s="29" t="str">
        <f t="shared" si="1"/>
        <v>38025</v>
      </c>
      <c r="H2040" s="37" t="s">
        <v>1649</v>
      </c>
      <c r="I2040" s="37" t="s">
        <v>99</v>
      </c>
      <c r="J2040" s="37" t="s">
        <v>1639</v>
      </c>
      <c r="K2040" s="37" t="str">
        <f t="shared" si="35"/>
        <v>Dunn, ND</v>
      </c>
      <c r="L2040" s="24"/>
    </row>
    <row r="2041">
      <c r="A2041" s="28">
        <v>2040.0</v>
      </c>
      <c r="B2041" s="29"/>
      <c r="C2041" s="29"/>
      <c r="D2041" s="40">
        <v>1.0</v>
      </c>
      <c r="E2041" s="31">
        <v>38.0</v>
      </c>
      <c r="F2041" s="42">
        <v>27.0</v>
      </c>
      <c r="G2041" s="29" t="str">
        <f t="shared" si="1"/>
        <v>38027</v>
      </c>
      <c r="H2041" s="37" t="s">
        <v>1538</v>
      </c>
      <c r="I2041" s="37" t="s">
        <v>99</v>
      </c>
      <c r="J2041" s="37" t="s">
        <v>1639</v>
      </c>
      <c r="K2041" s="37" t="str">
        <f t="shared" si="35"/>
        <v>Eddy, ND</v>
      </c>
      <c r="L2041" s="24"/>
    </row>
    <row r="2042">
      <c r="A2042" s="28">
        <v>2041.0</v>
      </c>
      <c r="B2042" s="29"/>
      <c r="C2042" s="29"/>
      <c r="D2042" s="40">
        <v>1.0</v>
      </c>
      <c r="E2042" s="31">
        <v>38.0</v>
      </c>
      <c r="F2042" s="42">
        <v>29.0</v>
      </c>
      <c r="G2042" s="29" t="str">
        <f t="shared" si="1"/>
        <v>38029</v>
      </c>
      <c r="H2042" s="37" t="s">
        <v>1650</v>
      </c>
      <c r="I2042" s="37" t="s">
        <v>99</v>
      </c>
      <c r="J2042" s="37" t="s">
        <v>1639</v>
      </c>
      <c r="K2042" s="37" t="str">
        <f t="shared" si="35"/>
        <v>Emmons, ND</v>
      </c>
      <c r="L2042" s="24"/>
    </row>
    <row r="2043">
      <c r="A2043" s="28">
        <v>2042.0</v>
      </c>
      <c r="B2043" s="29"/>
      <c r="C2043" s="29"/>
      <c r="D2043" s="40">
        <v>1.0</v>
      </c>
      <c r="E2043" s="31">
        <v>38.0</v>
      </c>
      <c r="F2043" s="42">
        <v>31.0</v>
      </c>
      <c r="G2043" s="29" t="str">
        <f t="shared" si="1"/>
        <v>38031</v>
      </c>
      <c r="H2043" s="37" t="s">
        <v>1651</v>
      </c>
      <c r="I2043" s="37" t="s">
        <v>99</v>
      </c>
      <c r="J2043" s="37" t="s">
        <v>1639</v>
      </c>
      <c r="K2043" s="37" t="str">
        <f t="shared" si="35"/>
        <v>Foster, ND</v>
      </c>
      <c r="L2043" s="24"/>
    </row>
    <row r="2044">
      <c r="A2044" s="28">
        <v>2043.0</v>
      </c>
      <c r="B2044" s="29"/>
      <c r="C2044" s="29"/>
      <c r="D2044" s="40">
        <v>1.0</v>
      </c>
      <c r="E2044" s="31">
        <v>38.0</v>
      </c>
      <c r="F2044" s="42">
        <v>33.0</v>
      </c>
      <c r="G2044" s="29" t="str">
        <f t="shared" si="1"/>
        <v>38033</v>
      </c>
      <c r="H2044" s="37" t="s">
        <v>1443</v>
      </c>
      <c r="I2044" s="37" t="s">
        <v>99</v>
      </c>
      <c r="J2044" s="37" t="s">
        <v>1639</v>
      </c>
      <c r="K2044" s="136" t="str">
        <f t="shared" si="35"/>
        <v>Golden Valley, ND</v>
      </c>
      <c r="L2044" s="24"/>
    </row>
    <row r="2045">
      <c r="A2045" s="28">
        <v>2044.0</v>
      </c>
      <c r="B2045" s="29"/>
      <c r="C2045" s="29"/>
      <c r="D2045" s="40">
        <v>1.0</v>
      </c>
      <c r="E2045" s="31">
        <v>38.0</v>
      </c>
      <c r="F2045" s="42">
        <v>35.0</v>
      </c>
      <c r="G2045" s="29" t="str">
        <f t="shared" si="1"/>
        <v>38035</v>
      </c>
      <c r="H2045" s="37" t="s">
        <v>1652</v>
      </c>
      <c r="I2045" s="37" t="s">
        <v>99</v>
      </c>
      <c r="J2045" s="37" t="s">
        <v>1639</v>
      </c>
      <c r="K2045" s="136" t="str">
        <f t="shared" si="35"/>
        <v>Grand Forks, ND</v>
      </c>
      <c r="L2045" s="24"/>
    </row>
    <row r="2046">
      <c r="A2046" s="28">
        <v>2045.0</v>
      </c>
      <c r="B2046" s="29"/>
      <c r="C2046" s="29"/>
      <c r="D2046" s="40">
        <v>1.0</v>
      </c>
      <c r="E2046" s="31">
        <v>38.0</v>
      </c>
      <c r="F2046" s="42">
        <v>37.0</v>
      </c>
      <c r="G2046" s="29" t="str">
        <f t="shared" si="1"/>
        <v>38037</v>
      </c>
      <c r="H2046" s="37" t="s">
        <v>278</v>
      </c>
      <c r="I2046" s="37" t="s">
        <v>99</v>
      </c>
      <c r="J2046" s="37" t="s">
        <v>1639</v>
      </c>
      <c r="K2046" s="37" t="str">
        <f t="shared" si="35"/>
        <v>Grant, ND</v>
      </c>
      <c r="L2046" s="24"/>
    </row>
    <row r="2047">
      <c r="A2047" s="28">
        <v>2046.0</v>
      </c>
      <c r="B2047" s="29"/>
      <c r="C2047" s="29"/>
      <c r="D2047" s="40">
        <v>1.0</v>
      </c>
      <c r="E2047" s="31">
        <v>38.0</v>
      </c>
      <c r="F2047" s="42">
        <v>39.0</v>
      </c>
      <c r="G2047" s="29" t="str">
        <f t="shared" si="1"/>
        <v>38039</v>
      </c>
      <c r="H2047" s="37" t="s">
        <v>1653</v>
      </c>
      <c r="I2047" s="37" t="s">
        <v>99</v>
      </c>
      <c r="J2047" s="37" t="s">
        <v>1639</v>
      </c>
      <c r="K2047" s="37" t="str">
        <f t="shared" si="35"/>
        <v>Griggs, ND</v>
      </c>
      <c r="L2047" s="24"/>
    </row>
    <row r="2048">
      <c r="A2048" s="28">
        <v>2047.0</v>
      </c>
      <c r="B2048" s="29"/>
      <c r="C2048" s="29"/>
      <c r="D2048" s="40">
        <v>1.0</v>
      </c>
      <c r="E2048" s="31">
        <v>38.0</v>
      </c>
      <c r="F2048" s="42">
        <v>41.0</v>
      </c>
      <c r="G2048" s="29" t="str">
        <f t="shared" si="1"/>
        <v>38041</v>
      </c>
      <c r="H2048" s="37" t="s">
        <v>1654</v>
      </c>
      <c r="I2048" s="37" t="s">
        <v>99</v>
      </c>
      <c r="J2048" s="37" t="s">
        <v>1639</v>
      </c>
      <c r="K2048" s="37" t="str">
        <f t="shared" si="35"/>
        <v>Hettinger, ND</v>
      </c>
      <c r="L2048" s="24"/>
    </row>
    <row r="2049">
      <c r="A2049" s="28">
        <v>2048.0</v>
      </c>
      <c r="B2049" s="29"/>
      <c r="C2049" s="29"/>
      <c r="D2049" s="40">
        <v>1.0</v>
      </c>
      <c r="E2049" s="31">
        <v>38.0</v>
      </c>
      <c r="F2049" s="42">
        <v>43.0</v>
      </c>
      <c r="G2049" s="29" t="str">
        <f t="shared" si="1"/>
        <v>38043</v>
      </c>
      <c r="H2049" s="37" t="s">
        <v>1655</v>
      </c>
      <c r="I2049" s="37" t="s">
        <v>99</v>
      </c>
      <c r="J2049" s="37" t="s">
        <v>1639</v>
      </c>
      <c r="K2049" s="37" t="str">
        <f t="shared" si="35"/>
        <v>Kidder, ND</v>
      </c>
      <c r="L2049" s="24"/>
    </row>
    <row r="2050">
      <c r="A2050" s="28">
        <v>2049.0</v>
      </c>
      <c r="B2050" s="29"/>
      <c r="C2050" s="29"/>
      <c r="D2050" s="40">
        <v>1.0</v>
      </c>
      <c r="E2050" s="31">
        <v>38.0</v>
      </c>
      <c r="F2050" s="42">
        <v>45.0</v>
      </c>
      <c r="G2050" s="29" t="str">
        <f t="shared" si="1"/>
        <v>38045</v>
      </c>
      <c r="H2050" s="37" t="s">
        <v>1656</v>
      </c>
      <c r="I2050" s="37" t="s">
        <v>99</v>
      </c>
      <c r="J2050" s="37" t="s">
        <v>1639</v>
      </c>
      <c r="K2050" s="37" t="str">
        <f t="shared" si="35"/>
        <v>Lamoure, ND</v>
      </c>
      <c r="L2050" s="24"/>
    </row>
    <row r="2051">
      <c r="A2051" s="28">
        <v>2050.0</v>
      </c>
      <c r="B2051" s="29"/>
      <c r="C2051" s="29"/>
      <c r="D2051" s="40">
        <v>1.0</v>
      </c>
      <c r="E2051" s="31">
        <v>38.0</v>
      </c>
      <c r="F2051" s="42">
        <v>47.0</v>
      </c>
      <c r="G2051" s="29" t="str">
        <f t="shared" si="1"/>
        <v>38047</v>
      </c>
      <c r="H2051" s="37" t="s">
        <v>293</v>
      </c>
      <c r="I2051" s="37" t="s">
        <v>99</v>
      </c>
      <c r="J2051" s="37" t="s">
        <v>1639</v>
      </c>
      <c r="K2051" s="37" t="str">
        <f t="shared" si="35"/>
        <v>Logan, ND</v>
      </c>
      <c r="L2051" s="24"/>
    </row>
    <row r="2052">
      <c r="A2052" s="28">
        <v>2051.0</v>
      </c>
      <c r="B2052" s="29"/>
      <c r="C2052" s="29"/>
      <c r="D2052" s="40">
        <v>1.0</v>
      </c>
      <c r="E2052" s="31">
        <v>38.0</v>
      </c>
      <c r="F2052" s="42">
        <v>49.0</v>
      </c>
      <c r="G2052" s="29" t="str">
        <f t="shared" si="1"/>
        <v>38049</v>
      </c>
      <c r="H2052" s="37" t="s">
        <v>732</v>
      </c>
      <c r="I2052" s="37" t="s">
        <v>99</v>
      </c>
      <c r="J2052" s="37" t="s">
        <v>1639</v>
      </c>
      <c r="K2052" s="37" t="str">
        <f t="shared" si="35"/>
        <v>McHenry, ND</v>
      </c>
      <c r="L2052" s="24"/>
    </row>
    <row r="2053">
      <c r="A2053" s="28">
        <v>2052.0</v>
      </c>
      <c r="B2053" s="29"/>
      <c r="C2053" s="29"/>
      <c r="D2053" s="40">
        <v>1.0</v>
      </c>
      <c r="E2053" s="31">
        <v>38.0</v>
      </c>
      <c r="F2053" s="42">
        <v>51.0</v>
      </c>
      <c r="G2053" s="29" t="str">
        <f t="shared" si="1"/>
        <v>38051</v>
      </c>
      <c r="H2053" s="37" t="s">
        <v>606</v>
      </c>
      <c r="I2053" s="37" t="s">
        <v>99</v>
      </c>
      <c r="J2053" s="37" t="s">
        <v>1639</v>
      </c>
      <c r="K2053" s="37" t="str">
        <f t="shared" si="35"/>
        <v>McIntosh, ND</v>
      </c>
      <c r="L2053" s="24"/>
    </row>
    <row r="2054">
      <c r="A2054" s="28">
        <v>2053.0</v>
      </c>
      <c r="B2054" s="29"/>
      <c r="C2054" s="29"/>
      <c r="D2054" s="40">
        <v>1.0</v>
      </c>
      <c r="E2054" s="31">
        <v>38.0</v>
      </c>
      <c r="F2054" s="42">
        <v>53.0</v>
      </c>
      <c r="G2054" s="29" t="str">
        <f t="shared" si="1"/>
        <v>38053</v>
      </c>
      <c r="H2054" s="37" t="s">
        <v>1657</v>
      </c>
      <c r="I2054" s="37" t="s">
        <v>99</v>
      </c>
      <c r="J2054" s="37" t="s">
        <v>1639</v>
      </c>
      <c r="K2054" s="37" t="str">
        <f t="shared" si="35"/>
        <v>Mckenzie, ND</v>
      </c>
      <c r="L2054" s="24"/>
    </row>
    <row r="2055">
      <c r="A2055" s="28">
        <v>2054.0</v>
      </c>
      <c r="B2055" s="29"/>
      <c r="C2055" s="29"/>
      <c r="D2055" s="40">
        <v>1.0</v>
      </c>
      <c r="E2055" s="31">
        <v>38.0</v>
      </c>
      <c r="F2055" s="42">
        <v>55.0</v>
      </c>
      <c r="G2055" s="29" t="str">
        <f t="shared" si="1"/>
        <v>38055</v>
      </c>
      <c r="H2055" s="37" t="s">
        <v>733</v>
      </c>
      <c r="I2055" s="37" t="s">
        <v>99</v>
      </c>
      <c r="J2055" s="37" t="s">
        <v>1639</v>
      </c>
      <c r="K2055" s="37" t="str">
        <f t="shared" si="35"/>
        <v>Mclean, ND</v>
      </c>
      <c r="L2055" s="24"/>
    </row>
    <row r="2056">
      <c r="A2056" s="28">
        <v>2055.0</v>
      </c>
      <c r="B2056" s="29"/>
      <c r="C2056" s="29"/>
      <c r="D2056" s="40">
        <v>1.0</v>
      </c>
      <c r="E2056" s="31">
        <v>38.0</v>
      </c>
      <c r="F2056" s="42">
        <v>57.0</v>
      </c>
      <c r="G2056" s="29" t="str">
        <f t="shared" si="1"/>
        <v>38057</v>
      </c>
      <c r="H2056" s="37" t="s">
        <v>738</v>
      </c>
      <c r="I2056" s="37" t="s">
        <v>99</v>
      </c>
      <c r="J2056" s="37" t="s">
        <v>1639</v>
      </c>
      <c r="K2056" s="37" t="str">
        <f t="shared" si="35"/>
        <v>Mercer, ND</v>
      </c>
      <c r="L2056" s="24"/>
    </row>
    <row r="2057">
      <c r="A2057" s="28">
        <v>2056.0</v>
      </c>
      <c r="B2057" s="29"/>
      <c r="C2057" s="29"/>
      <c r="D2057" s="40">
        <v>1.0</v>
      </c>
      <c r="E2057" s="31">
        <v>38.0</v>
      </c>
      <c r="F2057" s="42">
        <v>59.0</v>
      </c>
      <c r="G2057" s="29" t="str">
        <f t="shared" si="1"/>
        <v>38059</v>
      </c>
      <c r="H2057" s="37" t="s">
        <v>991</v>
      </c>
      <c r="I2057" s="37" t="s">
        <v>99</v>
      </c>
      <c r="J2057" s="37" t="s">
        <v>1639</v>
      </c>
      <c r="K2057" s="37" t="str">
        <f t="shared" si="35"/>
        <v>Morton, ND</v>
      </c>
      <c r="L2057" s="24"/>
    </row>
    <row r="2058">
      <c r="A2058" s="28">
        <v>2057.0</v>
      </c>
      <c r="B2058" s="29"/>
      <c r="C2058" s="29"/>
      <c r="D2058" s="40">
        <v>1.0</v>
      </c>
      <c r="E2058" s="31">
        <v>38.0</v>
      </c>
      <c r="F2058" s="42">
        <v>61.0</v>
      </c>
      <c r="G2058" s="29" t="str">
        <f t="shared" si="1"/>
        <v>38061</v>
      </c>
      <c r="H2058" s="37" t="s">
        <v>1658</v>
      </c>
      <c r="I2058" s="37" t="s">
        <v>99</v>
      </c>
      <c r="J2058" s="37" t="s">
        <v>1639</v>
      </c>
      <c r="K2058" s="37" t="str">
        <f t="shared" si="35"/>
        <v>Mountrail, ND</v>
      </c>
      <c r="L2058" s="24"/>
    </row>
    <row r="2059">
      <c r="A2059" s="28">
        <v>2058.0</v>
      </c>
      <c r="B2059" s="29"/>
      <c r="C2059" s="29"/>
      <c r="D2059" s="40">
        <v>1.0</v>
      </c>
      <c r="E2059" s="31">
        <v>38.0</v>
      </c>
      <c r="F2059" s="42">
        <v>63.0</v>
      </c>
      <c r="G2059" s="29" t="str">
        <f t="shared" si="1"/>
        <v>38063</v>
      </c>
      <c r="H2059" s="37" t="s">
        <v>1125</v>
      </c>
      <c r="I2059" s="37" t="s">
        <v>99</v>
      </c>
      <c r="J2059" s="37" t="s">
        <v>1639</v>
      </c>
      <c r="K2059" s="37" t="str">
        <f t="shared" si="35"/>
        <v>Nelson, ND</v>
      </c>
      <c r="L2059" s="24"/>
    </row>
    <row r="2060">
      <c r="A2060" s="28">
        <v>2059.0</v>
      </c>
      <c r="B2060" s="29"/>
      <c r="C2060" s="29"/>
      <c r="D2060" s="40">
        <v>1.0</v>
      </c>
      <c r="E2060" s="31">
        <v>38.0</v>
      </c>
      <c r="F2060" s="42">
        <v>65.0</v>
      </c>
      <c r="G2060" s="29" t="str">
        <f t="shared" si="1"/>
        <v>38065</v>
      </c>
      <c r="H2060" s="37" t="s">
        <v>1659</v>
      </c>
      <c r="I2060" s="37" t="s">
        <v>99</v>
      </c>
      <c r="J2060" s="37" t="s">
        <v>1639</v>
      </c>
      <c r="K2060" s="37" t="str">
        <f t="shared" si="35"/>
        <v>Oliver, ND</v>
      </c>
      <c r="L2060" s="24"/>
    </row>
    <row r="2061">
      <c r="A2061" s="28">
        <v>2060.0</v>
      </c>
      <c r="B2061" s="29"/>
      <c r="C2061" s="29"/>
      <c r="D2061" s="40">
        <v>1.0</v>
      </c>
      <c r="E2061" s="31">
        <v>38.0</v>
      </c>
      <c r="F2061" s="42">
        <v>67.0</v>
      </c>
      <c r="G2061" s="29" t="str">
        <f t="shared" si="1"/>
        <v>38067</v>
      </c>
      <c r="H2061" s="37" t="s">
        <v>1660</v>
      </c>
      <c r="I2061" s="37" t="s">
        <v>99</v>
      </c>
      <c r="J2061" s="37" t="s">
        <v>1639</v>
      </c>
      <c r="K2061" s="37" t="str">
        <f t="shared" si="35"/>
        <v>Pembina, ND</v>
      </c>
      <c r="L2061" s="24"/>
    </row>
    <row r="2062">
      <c r="A2062" s="28">
        <v>2061.0</v>
      </c>
      <c r="B2062" s="29"/>
      <c r="C2062" s="29"/>
      <c r="D2062" s="40">
        <v>1.0</v>
      </c>
      <c r="E2062" s="31">
        <v>38.0</v>
      </c>
      <c r="F2062" s="42">
        <v>69.0</v>
      </c>
      <c r="G2062" s="29" t="str">
        <f t="shared" si="1"/>
        <v>38069</v>
      </c>
      <c r="H2062" s="37" t="s">
        <v>473</v>
      </c>
      <c r="I2062" s="37" t="s">
        <v>99</v>
      </c>
      <c r="J2062" s="37" t="s">
        <v>1639</v>
      </c>
      <c r="K2062" s="37" t="str">
        <f t="shared" si="35"/>
        <v>Pierce, ND</v>
      </c>
      <c r="L2062" s="24"/>
    </row>
    <row r="2063">
      <c r="A2063" s="28">
        <v>2062.0</v>
      </c>
      <c r="B2063" s="29"/>
      <c r="C2063" s="29"/>
      <c r="D2063" s="40">
        <v>1.0</v>
      </c>
      <c r="E2063" s="31">
        <v>38.0</v>
      </c>
      <c r="F2063" s="42">
        <v>71.0</v>
      </c>
      <c r="G2063" s="29" t="str">
        <f t="shared" si="1"/>
        <v>38071</v>
      </c>
      <c r="H2063" s="37" t="s">
        <v>645</v>
      </c>
      <c r="I2063" s="37" t="s">
        <v>99</v>
      </c>
      <c r="J2063" s="37" t="s">
        <v>1639</v>
      </c>
      <c r="K2063" s="37" t="str">
        <f t="shared" si="35"/>
        <v>Ramsey, ND</v>
      </c>
      <c r="L2063" s="24"/>
    </row>
    <row r="2064">
      <c r="A2064" s="28">
        <v>2063.0</v>
      </c>
      <c r="B2064" s="29"/>
      <c r="C2064" s="29"/>
      <c r="D2064" s="40">
        <v>1.0</v>
      </c>
      <c r="E2064" s="31">
        <v>38.0</v>
      </c>
      <c r="F2064" s="42">
        <v>73.0</v>
      </c>
      <c r="G2064" s="29" t="str">
        <f t="shared" si="1"/>
        <v>38073</v>
      </c>
      <c r="H2064" s="37" t="s">
        <v>1661</v>
      </c>
      <c r="I2064" s="37" t="s">
        <v>99</v>
      </c>
      <c r="J2064" s="37" t="s">
        <v>1639</v>
      </c>
      <c r="K2064" s="37" t="str">
        <f t="shared" si="35"/>
        <v>Ransom, ND</v>
      </c>
      <c r="L2064" s="24"/>
    </row>
    <row r="2065">
      <c r="A2065" s="28">
        <v>2064.0</v>
      </c>
      <c r="B2065" s="29"/>
      <c r="C2065" s="29"/>
      <c r="D2065" s="40">
        <v>1.0</v>
      </c>
      <c r="E2065" s="31">
        <v>38.0</v>
      </c>
      <c r="F2065" s="42">
        <v>75.0</v>
      </c>
      <c r="G2065" s="29" t="str">
        <f t="shared" si="1"/>
        <v>38075</v>
      </c>
      <c r="H2065" s="37" t="s">
        <v>1340</v>
      </c>
      <c r="I2065" s="37" t="s">
        <v>99</v>
      </c>
      <c r="J2065" s="37" t="s">
        <v>1639</v>
      </c>
      <c r="K2065" s="37" t="str">
        <f t="shared" si="35"/>
        <v>Renville, ND</v>
      </c>
      <c r="L2065" s="24"/>
    </row>
    <row r="2066">
      <c r="A2066" s="28">
        <v>2065.0</v>
      </c>
      <c r="B2066" s="29"/>
      <c r="C2066" s="29"/>
      <c r="D2066" s="40">
        <v>1.0</v>
      </c>
      <c r="E2066" s="31">
        <v>38.0</v>
      </c>
      <c r="F2066" s="42">
        <v>77.0</v>
      </c>
      <c r="G2066" s="29" t="str">
        <f t="shared" si="1"/>
        <v>38077</v>
      </c>
      <c r="H2066" s="37" t="s">
        <v>743</v>
      </c>
      <c r="I2066" s="37" t="s">
        <v>99</v>
      </c>
      <c r="J2066" s="37" t="s">
        <v>1639</v>
      </c>
      <c r="K2066" s="37" t="str">
        <f t="shared" si="35"/>
        <v>Richland, ND</v>
      </c>
      <c r="L2066" s="24"/>
    </row>
    <row r="2067">
      <c r="A2067" s="28">
        <v>2066.0</v>
      </c>
      <c r="B2067" s="29"/>
      <c r="C2067" s="29"/>
      <c r="D2067" s="40">
        <v>1.0</v>
      </c>
      <c r="E2067" s="31">
        <v>38.0</v>
      </c>
      <c r="F2067" s="42">
        <v>79.0</v>
      </c>
      <c r="G2067" s="29" t="str">
        <f t="shared" si="1"/>
        <v>38079</v>
      </c>
      <c r="H2067" s="37" t="s">
        <v>1662</v>
      </c>
      <c r="I2067" s="37" t="s">
        <v>99</v>
      </c>
      <c r="J2067" s="37" t="s">
        <v>1639</v>
      </c>
      <c r="K2067" s="37" t="str">
        <f t="shared" si="35"/>
        <v>Rolette, ND</v>
      </c>
      <c r="L2067" s="24"/>
    </row>
    <row r="2068">
      <c r="A2068" s="28">
        <v>2067.0</v>
      </c>
      <c r="B2068" s="29"/>
      <c r="C2068" s="29"/>
      <c r="D2068" s="40">
        <v>1.0</v>
      </c>
      <c r="E2068" s="31">
        <v>38.0</v>
      </c>
      <c r="F2068" s="42">
        <v>81.0</v>
      </c>
      <c r="G2068" s="29" t="str">
        <f t="shared" si="1"/>
        <v>38081</v>
      </c>
      <c r="H2068" s="37" t="s">
        <v>1663</v>
      </c>
      <c r="I2068" s="37" t="s">
        <v>99</v>
      </c>
      <c r="J2068" s="37" t="s">
        <v>1639</v>
      </c>
      <c r="K2068" s="37" t="str">
        <f t="shared" si="35"/>
        <v>Sargent, ND</v>
      </c>
      <c r="L2068" s="24"/>
    </row>
    <row r="2069">
      <c r="A2069" s="28">
        <v>2068.0</v>
      </c>
      <c r="B2069" s="29"/>
      <c r="C2069" s="29"/>
      <c r="D2069" s="40">
        <v>1.0</v>
      </c>
      <c r="E2069" s="31">
        <v>38.0</v>
      </c>
      <c r="F2069" s="42">
        <v>83.0</v>
      </c>
      <c r="G2069" s="29" t="str">
        <f t="shared" si="1"/>
        <v>38083</v>
      </c>
      <c r="H2069" s="37" t="s">
        <v>1010</v>
      </c>
      <c r="I2069" s="37" t="s">
        <v>99</v>
      </c>
      <c r="J2069" s="37" t="s">
        <v>1639</v>
      </c>
      <c r="K2069" s="37" t="str">
        <f t="shared" si="35"/>
        <v>Sheridan, ND</v>
      </c>
      <c r="L2069" s="24"/>
    </row>
    <row r="2070">
      <c r="A2070" s="28">
        <v>2069.0</v>
      </c>
      <c r="B2070" s="29"/>
      <c r="C2070" s="29"/>
      <c r="D2070" s="40">
        <v>1.0</v>
      </c>
      <c r="E2070" s="31">
        <v>38.0</v>
      </c>
      <c r="F2070" s="42">
        <v>85.0</v>
      </c>
      <c r="G2070" s="29" t="str">
        <f t="shared" si="1"/>
        <v>38085</v>
      </c>
      <c r="H2070" s="37" t="s">
        <v>937</v>
      </c>
      <c r="I2070" s="37" t="s">
        <v>99</v>
      </c>
      <c r="J2070" s="37" t="s">
        <v>1639</v>
      </c>
      <c r="K2070" s="37" t="str">
        <f t="shared" si="35"/>
        <v>Sioux, ND</v>
      </c>
      <c r="L2070" s="24"/>
    </row>
    <row r="2071">
      <c r="A2071" s="28">
        <v>2070.0</v>
      </c>
      <c r="B2071" s="29"/>
      <c r="C2071" s="29"/>
      <c r="D2071" s="40">
        <v>1.0</v>
      </c>
      <c r="E2071" s="31">
        <v>38.0</v>
      </c>
      <c r="F2071" s="42">
        <v>87.0</v>
      </c>
      <c r="G2071" s="29" t="str">
        <f t="shared" si="1"/>
        <v>38087</v>
      </c>
      <c r="H2071" s="37" t="s">
        <v>1664</v>
      </c>
      <c r="I2071" s="37" t="s">
        <v>99</v>
      </c>
      <c r="J2071" s="37" t="s">
        <v>1639</v>
      </c>
      <c r="K2071" s="37" t="str">
        <f t="shared" si="35"/>
        <v>Slope, ND</v>
      </c>
      <c r="L2071" s="24"/>
    </row>
    <row r="2072">
      <c r="A2072" s="28">
        <v>2071.0</v>
      </c>
      <c r="B2072" s="29"/>
      <c r="C2072" s="29"/>
      <c r="D2072" s="40">
        <v>1.0</v>
      </c>
      <c r="E2072" s="31">
        <v>38.0</v>
      </c>
      <c r="F2072" s="42">
        <v>89.0</v>
      </c>
      <c r="G2072" s="29" t="str">
        <f t="shared" si="1"/>
        <v>38089</v>
      </c>
      <c r="H2072" s="37" t="s">
        <v>747</v>
      </c>
      <c r="I2072" s="37" t="s">
        <v>99</v>
      </c>
      <c r="J2072" s="37" t="s">
        <v>1639</v>
      </c>
      <c r="K2072" s="37" t="str">
        <f t="shared" si="35"/>
        <v>Stark, ND</v>
      </c>
      <c r="L2072" s="24"/>
    </row>
    <row r="2073">
      <c r="A2073" s="28">
        <v>2072.0</v>
      </c>
      <c r="B2073" s="29"/>
      <c r="C2073" s="29"/>
      <c r="D2073" s="40">
        <v>1.0</v>
      </c>
      <c r="E2073" s="31">
        <v>38.0</v>
      </c>
      <c r="F2073" s="42">
        <v>91.0</v>
      </c>
      <c r="G2073" s="29" t="str">
        <f t="shared" si="1"/>
        <v>38091</v>
      </c>
      <c r="H2073" s="37" t="s">
        <v>1347</v>
      </c>
      <c r="I2073" s="37" t="s">
        <v>99</v>
      </c>
      <c r="J2073" s="37" t="s">
        <v>1639</v>
      </c>
      <c r="K2073" s="37" t="str">
        <f t="shared" si="35"/>
        <v>Steele, ND</v>
      </c>
      <c r="L2073" s="24"/>
    </row>
    <row r="2074">
      <c r="A2074" s="28">
        <v>2073.0</v>
      </c>
      <c r="B2074" s="29"/>
      <c r="C2074" s="29"/>
      <c r="D2074" s="40">
        <v>1.0</v>
      </c>
      <c r="E2074" s="31">
        <v>38.0</v>
      </c>
      <c r="F2074" s="42">
        <v>93.0</v>
      </c>
      <c r="G2074" s="29" t="str">
        <f t="shared" si="1"/>
        <v>38093</v>
      </c>
      <c r="H2074" s="37" t="s">
        <v>1665</v>
      </c>
      <c r="I2074" s="37" t="s">
        <v>99</v>
      </c>
      <c r="J2074" s="37" t="s">
        <v>1639</v>
      </c>
      <c r="K2074" s="37" t="str">
        <f t="shared" si="35"/>
        <v>Stutsman, ND</v>
      </c>
      <c r="L2074" s="24"/>
    </row>
    <row r="2075">
      <c r="A2075" s="28">
        <v>2074.0</v>
      </c>
      <c r="B2075" s="29"/>
      <c r="C2075" s="29"/>
      <c r="D2075" s="40">
        <v>1.0</v>
      </c>
      <c r="E2075" s="31">
        <v>38.0</v>
      </c>
      <c r="F2075" s="42">
        <v>95.0</v>
      </c>
      <c r="G2075" s="29" t="str">
        <f t="shared" si="1"/>
        <v>38095</v>
      </c>
      <c r="H2075" s="37" t="s">
        <v>1666</v>
      </c>
      <c r="I2075" s="37" t="s">
        <v>99</v>
      </c>
      <c r="J2075" s="37" t="s">
        <v>1639</v>
      </c>
      <c r="K2075" s="37" t="str">
        <f t="shared" si="35"/>
        <v>Towner, ND</v>
      </c>
      <c r="L2075" s="24"/>
    </row>
    <row r="2076">
      <c r="A2076" s="28">
        <v>2075.0</v>
      </c>
      <c r="B2076" s="29"/>
      <c r="C2076" s="29"/>
      <c r="D2076" s="40">
        <v>1.0</v>
      </c>
      <c r="E2076" s="31">
        <v>38.0</v>
      </c>
      <c r="F2076" s="42">
        <v>97.0</v>
      </c>
      <c r="G2076" s="29" t="str">
        <f t="shared" si="1"/>
        <v>38097</v>
      </c>
      <c r="H2076" s="37" t="s">
        <v>1667</v>
      </c>
      <c r="I2076" s="37" t="s">
        <v>99</v>
      </c>
      <c r="J2076" s="37" t="s">
        <v>1639</v>
      </c>
      <c r="K2076" s="37" t="str">
        <f t="shared" si="35"/>
        <v>Traill, ND</v>
      </c>
      <c r="L2076" s="24"/>
    </row>
    <row r="2077">
      <c r="A2077" s="28">
        <v>2076.0</v>
      </c>
      <c r="B2077" s="29"/>
      <c r="C2077" s="29"/>
      <c r="D2077" s="40">
        <v>1.0</v>
      </c>
      <c r="E2077" s="31">
        <v>38.0</v>
      </c>
      <c r="F2077" s="42">
        <v>99.0</v>
      </c>
      <c r="G2077" s="29" t="str">
        <f t="shared" si="1"/>
        <v>38099</v>
      </c>
      <c r="H2077" s="37" t="s">
        <v>1668</v>
      </c>
      <c r="I2077" s="37" t="s">
        <v>99</v>
      </c>
      <c r="J2077" s="37" t="s">
        <v>1639</v>
      </c>
      <c r="K2077" s="37" t="str">
        <f t="shared" si="35"/>
        <v>Walsh, ND</v>
      </c>
      <c r="L2077" s="24"/>
    </row>
    <row r="2078">
      <c r="A2078" s="28">
        <v>2077.0</v>
      </c>
      <c r="B2078" s="29"/>
      <c r="C2078" s="29"/>
      <c r="D2078" s="40">
        <v>1.0</v>
      </c>
      <c r="E2078" s="31">
        <v>38.0</v>
      </c>
      <c r="F2078" s="42">
        <v>101.0</v>
      </c>
      <c r="G2078" s="29" t="str">
        <f t="shared" si="1"/>
        <v>38101</v>
      </c>
      <c r="H2078" s="37" t="s">
        <v>1669</v>
      </c>
      <c r="I2078" s="37" t="s">
        <v>99</v>
      </c>
      <c r="J2078" s="37" t="s">
        <v>1639</v>
      </c>
      <c r="K2078" s="37" t="str">
        <f t="shared" si="35"/>
        <v>Ward, ND</v>
      </c>
      <c r="L2078" s="24"/>
    </row>
    <row r="2079">
      <c r="A2079" s="28">
        <v>2078.0</v>
      </c>
      <c r="B2079" s="29"/>
      <c r="C2079" s="29"/>
      <c r="D2079" s="40">
        <v>1.0</v>
      </c>
      <c r="E2079" s="31">
        <v>38.0</v>
      </c>
      <c r="F2079" s="42">
        <v>103.0</v>
      </c>
      <c r="G2079" s="29" t="str">
        <f t="shared" si="1"/>
        <v>38103</v>
      </c>
      <c r="H2079" s="37" t="s">
        <v>876</v>
      </c>
      <c r="I2079" s="37" t="s">
        <v>99</v>
      </c>
      <c r="J2079" s="37" t="s">
        <v>1639</v>
      </c>
      <c r="K2079" s="37" t="str">
        <f t="shared" si="35"/>
        <v>Wells, ND</v>
      </c>
      <c r="L2079" s="24"/>
    </row>
    <row r="2080">
      <c r="A2080" s="28">
        <v>2079.0</v>
      </c>
      <c r="B2080" s="29"/>
      <c r="C2080" s="29"/>
      <c r="D2080" s="40">
        <v>1.0</v>
      </c>
      <c r="E2080" s="31">
        <v>38.0</v>
      </c>
      <c r="F2080" s="42">
        <v>105.0</v>
      </c>
      <c r="G2080" s="29" t="str">
        <f t="shared" si="1"/>
        <v>38105</v>
      </c>
      <c r="H2080" s="37" t="s">
        <v>1670</v>
      </c>
      <c r="I2080" s="37" t="s">
        <v>99</v>
      </c>
      <c r="J2080" s="37" t="s">
        <v>1639</v>
      </c>
      <c r="K2080" s="37" t="str">
        <f t="shared" si="35"/>
        <v>Williams, ND</v>
      </c>
      <c r="L2080" s="24"/>
    </row>
    <row r="2081">
      <c r="A2081" s="99">
        <v>2080.0</v>
      </c>
      <c r="B2081" s="15"/>
      <c r="C2081" s="14" t="s">
        <v>25</v>
      </c>
      <c r="D2081" s="16"/>
      <c r="E2081" s="102">
        <v>39.0</v>
      </c>
      <c r="F2081" s="107">
        <v>0.0</v>
      </c>
      <c r="G2081" s="15" t="str">
        <f t="shared" si="1"/>
        <v>39000</v>
      </c>
      <c r="H2081" s="23"/>
      <c r="I2081" s="23" t="s">
        <v>100</v>
      </c>
      <c r="J2081" s="23" t="s">
        <v>339</v>
      </c>
      <c r="K2081" s="23"/>
      <c r="L2081" s="24"/>
    </row>
    <row r="2082">
      <c r="A2082" s="99">
        <v>2081.0</v>
      </c>
      <c r="B2082" s="15"/>
      <c r="C2082" s="15"/>
      <c r="D2082" s="105">
        <v>1.0</v>
      </c>
      <c r="E2082" s="102">
        <v>39.0</v>
      </c>
      <c r="F2082" s="107">
        <v>1.0</v>
      </c>
      <c r="G2082" s="15" t="str">
        <f t="shared" si="1"/>
        <v>39001</v>
      </c>
      <c r="H2082" s="23" t="s">
        <v>386</v>
      </c>
      <c r="I2082" s="23" t="s">
        <v>100</v>
      </c>
      <c r="J2082" s="23" t="s">
        <v>339</v>
      </c>
      <c r="K2082" s="23" t="str">
        <f t="shared" ref="K2082:K2169" si="36">CONCATENATE(H2082,", ",J2082)</f>
        <v>Adams, OH</v>
      </c>
      <c r="L2082" s="24"/>
    </row>
    <row r="2083">
      <c r="A2083" s="99">
        <v>2082.0</v>
      </c>
      <c r="B2083" s="15"/>
      <c r="C2083" s="15"/>
      <c r="D2083" s="105">
        <v>1.0</v>
      </c>
      <c r="E2083" s="102">
        <v>39.0</v>
      </c>
      <c r="F2083" s="107">
        <v>3.0</v>
      </c>
      <c r="G2083" s="15" t="str">
        <f t="shared" si="1"/>
        <v>39003</v>
      </c>
      <c r="H2083" s="23" t="s">
        <v>755</v>
      </c>
      <c r="I2083" s="23" t="s">
        <v>100</v>
      </c>
      <c r="J2083" s="23" t="s">
        <v>339</v>
      </c>
      <c r="K2083" s="23" t="str">
        <f t="shared" si="36"/>
        <v>Allen, OH</v>
      </c>
      <c r="L2083" s="24"/>
    </row>
    <row r="2084">
      <c r="A2084" s="99">
        <v>2083.0</v>
      </c>
      <c r="B2084" s="15"/>
      <c r="C2084" s="15"/>
      <c r="D2084" s="105">
        <v>1.0</v>
      </c>
      <c r="E2084" s="102">
        <v>39.0</v>
      </c>
      <c r="F2084" s="107">
        <v>5.0</v>
      </c>
      <c r="G2084" s="15" t="str">
        <f t="shared" si="1"/>
        <v>39005</v>
      </c>
      <c r="H2084" s="23" t="s">
        <v>1671</v>
      </c>
      <c r="I2084" s="23" t="s">
        <v>100</v>
      </c>
      <c r="J2084" s="23" t="s">
        <v>339</v>
      </c>
      <c r="K2084" s="23" t="str">
        <f t="shared" si="36"/>
        <v>Ashland, OH</v>
      </c>
      <c r="L2084" s="24"/>
    </row>
    <row r="2085">
      <c r="A2085" s="99">
        <v>2084.0</v>
      </c>
      <c r="B2085" s="15"/>
      <c r="C2085" s="15"/>
      <c r="D2085" s="105">
        <v>1.0</v>
      </c>
      <c r="E2085" s="102">
        <v>39.0</v>
      </c>
      <c r="F2085" s="107">
        <v>7.0</v>
      </c>
      <c r="G2085" s="15" t="str">
        <f t="shared" si="1"/>
        <v>39007</v>
      </c>
      <c r="H2085" s="23" t="s">
        <v>1672</v>
      </c>
      <c r="I2085" s="23" t="s">
        <v>100</v>
      </c>
      <c r="J2085" s="23" t="s">
        <v>339</v>
      </c>
      <c r="K2085" s="23" t="str">
        <f t="shared" si="36"/>
        <v>Ashtabula, OH</v>
      </c>
      <c r="L2085" s="24"/>
    </row>
    <row r="2086">
      <c r="A2086" s="99">
        <v>2085.0</v>
      </c>
      <c r="B2086" s="15"/>
      <c r="C2086" s="15"/>
      <c r="D2086" s="105">
        <v>1.0</v>
      </c>
      <c r="E2086" s="102">
        <v>39.0</v>
      </c>
      <c r="F2086" s="107">
        <v>9.0</v>
      </c>
      <c r="G2086" s="15" t="str">
        <f t="shared" si="1"/>
        <v>39009</v>
      </c>
      <c r="H2086" s="23" t="s">
        <v>1673</v>
      </c>
      <c r="I2086" s="23" t="s">
        <v>100</v>
      </c>
      <c r="J2086" s="23" t="s">
        <v>339</v>
      </c>
      <c r="K2086" s="23" t="str">
        <f t="shared" si="36"/>
        <v>Athens, OH</v>
      </c>
      <c r="L2086" s="24"/>
    </row>
    <row r="2087">
      <c r="A2087" s="99">
        <v>2086.0</v>
      </c>
      <c r="B2087" s="15"/>
      <c r="C2087" s="15"/>
      <c r="D2087" s="105">
        <v>1.0</v>
      </c>
      <c r="E2087" s="102">
        <v>39.0</v>
      </c>
      <c r="F2087" s="107">
        <v>11.0</v>
      </c>
      <c r="G2087" s="15" t="str">
        <f t="shared" si="1"/>
        <v>39011</v>
      </c>
      <c r="H2087" s="23" t="s">
        <v>1674</v>
      </c>
      <c r="I2087" s="23" t="s">
        <v>100</v>
      </c>
      <c r="J2087" s="23" t="s">
        <v>339</v>
      </c>
      <c r="K2087" s="23" t="str">
        <f t="shared" si="36"/>
        <v>Auglaize, OH</v>
      </c>
      <c r="L2087" s="24"/>
    </row>
    <row r="2088">
      <c r="A2088" s="99">
        <v>2087.0</v>
      </c>
      <c r="B2088" s="15"/>
      <c r="C2088" s="15"/>
      <c r="D2088" s="105">
        <v>1.0</v>
      </c>
      <c r="E2088" s="102">
        <v>39.0</v>
      </c>
      <c r="F2088" s="107">
        <v>13.0</v>
      </c>
      <c r="G2088" s="15" t="str">
        <f t="shared" si="1"/>
        <v>39013</v>
      </c>
      <c r="H2088" s="23" t="s">
        <v>1675</v>
      </c>
      <c r="I2088" s="23" t="s">
        <v>100</v>
      </c>
      <c r="J2088" s="23" t="s">
        <v>339</v>
      </c>
      <c r="K2088" s="23" t="str">
        <f t="shared" si="36"/>
        <v>Belmont, OH</v>
      </c>
      <c r="L2088" s="24"/>
    </row>
    <row r="2089">
      <c r="A2089" s="99">
        <v>2088.0</v>
      </c>
      <c r="B2089" s="15"/>
      <c r="C2089" s="15"/>
      <c r="D2089" s="105">
        <v>1.0</v>
      </c>
      <c r="E2089" s="102">
        <v>39.0</v>
      </c>
      <c r="F2089" s="107">
        <v>15.0</v>
      </c>
      <c r="G2089" s="15" t="str">
        <f t="shared" si="1"/>
        <v>39015</v>
      </c>
      <c r="H2089" s="23" t="s">
        <v>706</v>
      </c>
      <c r="I2089" s="23" t="s">
        <v>100</v>
      </c>
      <c r="J2089" s="23" t="s">
        <v>339</v>
      </c>
      <c r="K2089" s="23" t="str">
        <f t="shared" si="36"/>
        <v>Brown, OH</v>
      </c>
      <c r="L2089" s="24"/>
    </row>
    <row r="2090">
      <c r="A2090" s="99">
        <v>2089.0</v>
      </c>
      <c r="B2090" s="15"/>
      <c r="C2090" s="15"/>
      <c r="D2090" s="105">
        <v>1.0</v>
      </c>
      <c r="E2090" s="102">
        <v>39.0</v>
      </c>
      <c r="F2090" s="107">
        <v>17.0</v>
      </c>
      <c r="G2090" s="15" t="str">
        <f t="shared" si="1"/>
        <v>39017</v>
      </c>
      <c r="H2090" s="23" t="s">
        <v>87</v>
      </c>
      <c r="I2090" s="23" t="s">
        <v>100</v>
      </c>
      <c r="J2090" s="23" t="s">
        <v>339</v>
      </c>
      <c r="K2090" s="23" t="str">
        <f t="shared" si="36"/>
        <v>Butler, OH</v>
      </c>
      <c r="L2090" s="24"/>
    </row>
    <row r="2091">
      <c r="A2091" s="99">
        <v>2090.0</v>
      </c>
      <c r="B2091" s="15"/>
      <c r="C2091" s="15"/>
      <c r="D2091" s="105">
        <v>1.0</v>
      </c>
      <c r="E2091" s="102">
        <v>39.0</v>
      </c>
      <c r="F2091" s="107">
        <v>19.0</v>
      </c>
      <c r="G2091" s="15" t="str">
        <f t="shared" si="1"/>
        <v>39019</v>
      </c>
      <c r="H2091" s="23" t="s">
        <v>248</v>
      </c>
      <c r="I2091" s="23" t="s">
        <v>100</v>
      </c>
      <c r="J2091" s="23" t="s">
        <v>339</v>
      </c>
      <c r="K2091" s="23" t="str">
        <f t="shared" si="36"/>
        <v>Carroll, OH</v>
      </c>
      <c r="L2091" s="24"/>
    </row>
    <row r="2092">
      <c r="A2092" s="99">
        <v>2091.0</v>
      </c>
      <c r="B2092" s="15"/>
      <c r="C2092" s="15"/>
      <c r="D2092" s="105">
        <v>1.0</v>
      </c>
      <c r="E2092" s="102">
        <v>39.0</v>
      </c>
      <c r="F2092" s="107">
        <v>21.0</v>
      </c>
      <c r="G2092" s="15" t="str">
        <f t="shared" si="1"/>
        <v>39021</v>
      </c>
      <c r="H2092" s="23" t="s">
        <v>709</v>
      </c>
      <c r="I2092" s="23" t="s">
        <v>100</v>
      </c>
      <c r="J2092" s="23" t="s">
        <v>339</v>
      </c>
      <c r="K2092" s="23" t="str">
        <f t="shared" si="36"/>
        <v>Champaign, OH</v>
      </c>
      <c r="L2092" s="24"/>
    </row>
    <row r="2093">
      <c r="A2093" s="99">
        <v>2092.0</v>
      </c>
      <c r="B2093" s="15"/>
      <c r="C2093" s="15"/>
      <c r="D2093" s="105">
        <v>1.0</v>
      </c>
      <c r="E2093" s="102">
        <v>39.0</v>
      </c>
      <c r="F2093" s="107">
        <v>23.0</v>
      </c>
      <c r="G2093" s="15" t="str">
        <f t="shared" si="1"/>
        <v>39023</v>
      </c>
      <c r="H2093" s="23" t="s">
        <v>253</v>
      </c>
      <c r="I2093" s="23" t="s">
        <v>100</v>
      </c>
      <c r="J2093" s="23" t="s">
        <v>339</v>
      </c>
      <c r="K2093" s="23" t="str">
        <f t="shared" si="36"/>
        <v>Clark, OH</v>
      </c>
      <c r="L2093" s="24"/>
    </row>
    <row r="2094">
      <c r="A2094" s="99">
        <v>2093.0</v>
      </c>
      <c r="B2094" s="15"/>
      <c r="C2094" s="15"/>
      <c r="D2094" s="105">
        <v>1.0</v>
      </c>
      <c r="E2094" s="102">
        <v>39.0</v>
      </c>
      <c r="F2094" s="107">
        <v>25.0</v>
      </c>
      <c r="G2094" s="15" t="str">
        <f t="shared" si="1"/>
        <v>39025</v>
      </c>
      <c r="H2094" s="23" t="s">
        <v>1676</v>
      </c>
      <c r="I2094" s="23" t="s">
        <v>100</v>
      </c>
      <c r="J2094" s="23" t="s">
        <v>339</v>
      </c>
      <c r="K2094" s="23" t="str">
        <f t="shared" si="36"/>
        <v>Clermont, OH</v>
      </c>
      <c r="L2094" s="24"/>
    </row>
    <row r="2095">
      <c r="A2095" s="99">
        <v>2094.0</v>
      </c>
      <c r="B2095" s="15"/>
      <c r="C2095" s="15"/>
      <c r="D2095" s="105">
        <v>1.0</v>
      </c>
      <c r="E2095" s="102">
        <v>39.0</v>
      </c>
      <c r="F2095" s="107">
        <v>27.0</v>
      </c>
      <c r="G2095" s="15" t="str">
        <f t="shared" si="1"/>
        <v>39027</v>
      </c>
      <c r="H2095" s="23" t="s">
        <v>711</v>
      </c>
      <c r="I2095" s="23" t="s">
        <v>100</v>
      </c>
      <c r="J2095" s="23" t="s">
        <v>339</v>
      </c>
      <c r="K2095" s="23" t="str">
        <f t="shared" si="36"/>
        <v>Clinton, OH</v>
      </c>
      <c r="L2095" s="24"/>
    </row>
    <row r="2096">
      <c r="A2096" s="99">
        <v>2095.0</v>
      </c>
      <c r="B2096" s="15"/>
      <c r="C2096" s="15"/>
      <c r="D2096" s="105">
        <v>1.0</v>
      </c>
      <c r="E2096" s="102">
        <v>39.0</v>
      </c>
      <c r="F2096" s="107">
        <v>29.0</v>
      </c>
      <c r="G2096" s="15" t="str">
        <f t="shared" si="1"/>
        <v>39029</v>
      </c>
      <c r="H2096" s="23" t="s">
        <v>1677</v>
      </c>
      <c r="I2096" s="23" t="s">
        <v>100</v>
      </c>
      <c r="J2096" s="23" t="s">
        <v>339</v>
      </c>
      <c r="K2096" s="112" t="str">
        <f t="shared" si="36"/>
        <v>Columbiana, OH</v>
      </c>
      <c r="L2096" s="24"/>
    </row>
    <row r="2097">
      <c r="A2097" s="99">
        <v>2096.0</v>
      </c>
      <c r="B2097" s="15"/>
      <c r="C2097" s="15"/>
      <c r="D2097" s="105">
        <v>1.0</v>
      </c>
      <c r="E2097" s="102">
        <v>39.0</v>
      </c>
      <c r="F2097" s="107">
        <v>31.0</v>
      </c>
      <c r="G2097" s="15" t="str">
        <f t="shared" si="1"/>
        <v>39031</v>
      </c>
      <c r="H2097" s="23" t="s">
        <v>1678</v>
      </c>
      <c r="I2097" s="23" t="s">
        <v>100</v>
      </c>
      <c r="J2097" s="23" t="s">
        <v>339</v>
      </c>
      <c r="K2097" s="23" t="str">
        <f t="shared" si="36"/>
        <v>Coshocton, OH</v>
      </c>
      <c r="L2097" s="24"/>
    </row>
    <row r="2098">
      <c r="A2098" s="99">
        <v>2097.0</v>
      </c>
      <c r="B2098" s="15"/>
      <c r="C2098" s="15"/>
      <c r="D2098" s="105">
        <v>1.0</v>
      </c>
      <c r="E2098" s="102">
        <v>39.0</v>
      </c>
      <c r="F2098" s="107">
        <v>33.0</v>
      </c>
      <c r="G2098" s="15" t="str">
        <f t="shared" si="1"/>
        <v>39033</v>
      </c>
      <c r="H2098" s="23" t="s">
        <v>263</v>
      </c>
      <c r="I2098" s="23" t="s">
        <v>100</v>
      </c>
      <c r="J2098" s="23" t="s">
        <v>339</v>
      </c>
      <c r="K2098" s="23" t="str">
        <f t="shared" si="36"/>
        <v>Crawford, OH</v>
      </c>
      <c r="L2098" s="24"/>
    </row>
    <row r="2099">
      <c r="A2099" s="99">
        <v>2098.0</v>
      </c>
      <c r="B2099" s="15"/>
      <c r="C2099" s="15"/>
      <c r="D2099" s="105">
        <v>1.0</v>
      </c>
      <c r="E2099" s="102">
        <v>39.0</v>
      </c>
      <c r="F2099" s="107">
        <v>35.0</v>
      </c>
      <c r="G2099" s="15" t="str">
        <f t="shared" si="1"/>
        <v>39035</v>
      </c>
      <c r="H2099" s="23" t="s">
        <v>359</v>
      </c>
      <c r="I2099" s="23" t="s">
        <v>100</v>
      </c>
      <c r="J2099" s="23" t="s">
        <v>339</v>
      </c>
      <c r="K2099" s="23" t="str">
        <f t="shared" si="36"/>
        <v>Cuyahoga, OH</v>
      </c>
      <c r="L2099" s="24"/>
    </row>
    <row r="2100">
      <c r="A2100" s="99">
        <v>2099.0</v>
      </c>
      <c r="B2100" s="15"/>
      <c r="C2100" s="15"/>
      <c r="D2100" s="105">
        <v>1.0</v>
      </c>
      <c r="E2100" s="102">
        <v>39.0</v>
      </c>
      <c r="F2100" s="107">
        <v>37.0</v>
      </c>
      <c r="G2100" s="15" t="str">
        <f t="shared" si="1"/>
        <v>39037</v>
      </c>
      <c r="H2100" s="23" t="s">
        <v>1679</v>
      </c>
      <c r="I2100" s="23" t="s">
        <v>100</v>
      </c>
      <c r="J2100" s="23" t="s">
        <v>339</v>
      </c>
      <c r="K2100" s="23" t="str">
        <f t="shared" si="36"/>
        <v>Darke, OH</v>
      </c>
      <c r="L2100" s="24"/>
    </row>
    <row r="2101">
      <c r="A2101" s="99">
        <v>2100.0</v>
      </c>
      <c r="B2101" s="15"/>
      <c r="C2101" s="15"/>
      <c r="D2101" s="105">
        <v>1.0</v>
      </c>
      <c r="E2101" s="102">
        <v>39.0</v>
      </c>
      <c r="F2101" s="107">
        <v>39.0</v>
      </c>
      <c r="G2101" s="15" t="str">
        <f t="shared" si="1"/>
        <v>39039</v>
      </c>
      <c r="H2101" s="23" t="s">
        <v>1680</v>
      </c>
      <c r="I2101" s="23" t="s">
        <v>100</v>
      </c>
      <c r="J2101" s="23" t="s">
        <v>339</v>
      </c>
      <c r="K2101" s="23" t="str">
        <f t="shared" si="36"/>
        <v>Defiance, OH</v>
      </c>
      <c r="L2101" s="24"/>
    </row>
    <row r="2102">
      <c r="A2102" s="99">
        <v>2101.0</v>
      </c>
      <c r="B2102" s="15"/>
      <c r="C2102" s="15"/>
      <c r="D2102" s="105">
        <v>1.0</v>
      </c>
      <c r="E2102" s="102">
        <v>39.0</v>
      </c>
      <c r="F2102" s="107">
        <v>41.0</v>
      </c>
      <c r="G2102" s="15" t="str">
        <f t="shared" si="1"/>
        <v>39041</v>
      </c>
      <c r="H2102" s="23" t="s">
        <v>40</v>
      </c>
      <c r="I2102" s="23" t="s">
        <v>100</v>
      </c>
      <c r="J2102" s="23" t="s">
        <v>339</v>
      </c>
      <c r="K2102" s="23" t="str">
        <f t="shared" si="36"/>
        <v>Delaware, OH</v>
      </c>
      <c r="L2102" s="24"/>
    </row>
    <row r="2103">
      <c r="A2103" s="99">
        <v>2102.0</v>
      </c>
      <c r="B2103" s="15"/>
      <c r="C2103" s="15"/>
      <c r="D2103" s="105">
        <v>1.0</v>
      </c>
      <c r="E2103" s="102">
        <v>39.0</v>
      </c>
      <c r="F2103" s="107">
        <v>43.0</v>
      </c>
      <c r="G2103" s="15" t="str">
        <f t="shared" si="1"/>
        <v>39043</v>
      </c>
      <c r="H2103" s="23" t="s">
        <v>464</v>
      </c>
      <c r="I2103" s="23" t="s">
        <v>100</v>
      </c>
      <c r="J2103" s="23" t="s">
        <v>339</v>
      </c>
      <c r="K2103" s="23" t="str">
        <f t="shared" si="36"/>
        <v>Erie, OH</v>
      </c>
      <c r="L2103" s="24"/>
    </row>
    <row r="2104">
      <c r="A2104" s="99">
        <v>2103.0</v>
      </c>
      <c r="B2104" s="15"/>
      <c r="C2104" s="15"/>
      <c r="D2104" s="105">
        <v>1.0</v>
      </c>
      <c r="E2104" s="102">
        <v>39.0</v>
      </c>
      <c r="F2104" s="107">
        <v>45.0</v>
      </c>
      <c r="G2104" s="15" t="str">
        <f t="shared" si="1"/>
        <v>39045</v>
      </c>
      <c r="H2104" s="23" t="s">
        <v>442</v>
      </c>
      <c r="I2104" s="23" t="s">
        <v>100</v>
      </c>
      <c r="J2104" s="23" t="s">
        <v>339</v>
      </c>
      <c r="K2104" s="23" t="str">
        <f t="shared" si="36"/>
        <v>Fairfield, OH</v>
      </c>
      <c r="L2104" s="24"/>
    </row>
    <row r="2105">
      <c r="A2105" s="99">
        <v>2104.0</v>
      </c>
      <c r="B2105" s="15"/>
      <c r="C2105" s="15"/>
      <c r="D2105" s="105">
        <v>1.0</v>
      </c>
      <c r="E2105" s="102">
        <v>39.0</v>
      </c>
      <c r="F2105" s="107">
        <v>47.0</v>
      </c>
      <c r="G2105" s="15" t="str">
        <f t="shared" si="1"/>
        <v>39047</v>
      </c>
      <c r="H2105" s="23" t="s">
        <v>135</v>
      </c>
      <c r="I2105" s="23" t="s">
        <v>100</v>
      </c>
      <c r="J2105" s="23" t="s">
        <v>339</v>
      </c>
      <c r="K2105" s="23" t="str">
        <f t="shared" si="36"/>
        <v>Fayette, OH</v>
      </c>
      <c r="L2105" s="24"/>
    </row>
    <row r="2106">
      <c r="A2106" s="99">
        <v>2105.0</v>
      </c>
      <c r="B2106" s="15"/>
      <c r="C2106" s="15"/>
      <c r="D2106" s="105">
        <v>1.0</v>
      </c>
      <c r="E2106" s="102">
        <v>39.0</v>
      </c>
      <c r="F2106" s="107">
        <v>49.0</v>
      </c>
      <c r="G2106" s="15" t="str">
        <f t="shared" si="1"/>
        <v>39049</v>
      </c>
      <c r="H2106" s="23" t="s">
        <v>136</v>
      </c>
      <c r="I2106" s="23" t="s">
        <v>100</v>
      </c>
      <c r="J2106" s="23" t="s">
        <v>339</v>
      </c>
      <c r="K2106" s="23" t="str">
        <f t="shared" si="36"/>
        <v>Franklin, OH</v>
      </c>
      <c r="L2106" s="24"/>
    </row>
    <row r="2107">
      <c r="A2107" s="99">
        <v>2106.0</v>
      </c>
      <c r="B2107" s="15"/>
      <c r="C2107" s="15"/>
      <c r="D2107" s="105">
        <v>1.0</v>
      </c>
      <c r="E2107" s="102">
        <v>39.0</v>
      </c>
      <c r="F2107" s="107">
        <v>51.0</v>
      </c>
      <c r="G2107" s="15" t="str">
        <f t="shared" si="1"/>
        <v>39051</v>
      </c>
      <c r="H2107" s="23" t="s">
        <v>275</v>
      </c>
      <c r="I2107" s="23" t="s">
        <v>100</v>
      </c>
      <c r="J2107" s="23" t="s">
        <v>339</v>
      </c>
      <c r="K2107" s="23" t="str">
        <f t="shared" si="36"/>
        <v>Fulton, OH</v>
      </c>
      <c r="L2107" s="24"/>
    </row>
    <row r="2108">
      <c r="A2108" s="99">
        <v>2107.0</v>
      </c>
      <c r="B2108" s="15"/>
      <c r="C2108" s="15"/>
      <c r="D2108" s="105">
        <v>1.0</v>
      </c>
      <c r="E2108" s="102">
        <v>39.0</v>
      </c>
      <c r="F2108" s="107">
        <v>53.0</v>
      </c>
      <c r="G2108" s="15" t="str">
        <f t="shared" si="1"/>
        <v>39053</v>
      </c>
      <c r="H2108" s="23" t="s">
        <v>1681</v>
      </c>
      <c r="I2108" s="23" t="s">
        <v>100</v>
      </c>
      <c r="J2108" s="23" t="s">
        <v>339</v>
      </c>
      <c r="K2108" s="23" t="str">
        <f t="shared" si="36"/>
        <v>Gallia, OH</v>
      </c>
      <c r="L2108" s="24"/>
    </row>
    <row r="2109">
      <c r="A2109" s="99">
        <v>2108.0</v>
      </c>
      <c r="B2109" s="15"/>
      <c r="C2109" s="15"/>
      <c r="D2109" s="105">
        <v>1.0</v>
      </c>
      <c r="E2109" s="102">
        <v>39.0</v>
      </c>
      <c r="F2109" s="107">
        <v>55.0</v>
      </c>
      <c r="G2109" s="15" t="str">
        <f t="shared" si="1"/>
        <v>39055</v>
      </c>
      <c r="H2109" s="23" t="s">
        <v>1682</v>
      </c>
      <c r="I2109" s="23" t="s">
        <v>100</v>
      </c>
      <c r="J2109" s="23" t="s">
        <v>339</v>
      </c>
      <c r="K2109" s="23" t="str">
        <f t="shared" si="36"/>
        <v>Geauga, OH</v>
      </c>
      <c r="L2109" s="24"/>
    </row>
    <row r="2110">
      <c r="A2110" s="99">
        <v>2109.0</v>
      </c>
      <c r="B2110" s="15"/>
      <c r="C2110" s="15"/>
      <c r="D2110" s="105">
        <v>1.0</v>
      </c>
      <c r="E2110" s="102">
        <v>39.0</v>
      </c>
      <c r="F2110" s="107">
        <v>57.0</v>
      </c>
      <c r="G2110" s="15" t="str">
        <f t="shared" si="1"/>
        <v>39057</v>
      </c>
      <c r="H2110" s="23" t="s">
        <v>138</v>
      </c>
      <c r="I2110" s="23" t="s">
        <v>100</v>
      </c>
      <c r="J2110" s="23" t="s">
        <v>339</v>
      </c>
      <c r="K2110" s="23" t="str">
        <f t="shared" si="36"/>
        <v>Greene, OH</v>
      </c>
      <c r="L2110" s="24"/>
    </row>
    <row r="2111">
      <c r="A2111" s="99">
        <v>2110.0</v>
      </c>
      <c r="B2111" s="15"/>
      <c r="C2111" s="15"/>
      <c r="D2111" s="105">
        <v>1.0</v>
      </c>
      <c r="E2111" s="102">
        <v>39.0</v>
      </c>
      <c r="F2111" s="107">
        <v>59.0</v>
      </c>
      <c r="G2111" s="15" t="str">
        <f t="shared" si="1"/>
        <v>39059</v>
      </c>
      <c r="H2111" s="23" t="s">
        <v>1683</v>
      </c>
      <c r="I2111" s="23" t="s">
        <v>100</v>
      </c>
      <c r="J2111" s="23" t="s">
        <v>339</v>
      </c>
      <c r="K2111" s="23" t="str">
        <f t="shared" si="36"/>
        <v>Guernsey, OH</v>
      </c>
      <c r="L2111" s="24"/>
    </row>
    <row r="2112">
      <c r="A2112" s="99">
        <v>2111.0</v>
      </c>
      <c r="B2112" s="15"/>
      <c r="C2112" s="15"/>
      <c r="D2112" s="105">
        <v>1.0</v>
      </c>
      <c r="E2112" s="102">
        <v>39.0</v>
      </c>
      <c r="F2112" s="107">
        <v>61.0</v>
      </c>
      <c r="G2112" s="15" t="str">
        <f t="shared" si="1"/>
        <v>39061</v>
      </c>
      <c r="H2112" s="23" t="s">
        <v>497</v>
      </c>
      <c r="I2112" s="23" t="s">
        <v>100</v>
      </c>
      <c r="J2112" s="23" t="s">
        <v>339</v>
      </c>
      <c r="K2112" s="23" t="str">
        <f t="shared" si="36"/>
        <v>Hamilton, OH</v>
      </c>
      <c r="L2112" s="24"/>
    </row>
    <row r="2113">
      <c r="A2113" s="99">
        <v>2112.0</v>
      </c>
      <c r="B2113" s="15"/>
      <c r="C2113" s="15"/>
      <c r="D2113" s="105">
        <v>1.0</v>
      </c>
      <c r="E2113" s="102">
        <v>39.0</v>
      </c>
      <c r="F2113" s="107">
        <v>63.0</v>
      </c>
      <c r="G2113" s="15" t="str">
        <f t="shared" si="1"/>
        <v>39063</v>
      </c>
      <c r="H2113" s="23" t="s">
        <v>587</v>
      </c>
      <c r="I2113" s="23" t="s">
        <v>100</v>
      </c>
      <c r="J2113" s="23" t="s">
        <v>339</v>
      </c>
      <c r="K2113" s="23" t="str">
        <f t="shared" si="36"/>
        <v>Hancock, OH</v>
      </c>
      <c r="L2113" s="24"/>
    </row>
    <row r="2114">
      <c r="A2114" s="99">
        <v>2113.0</v>
      </c>
      <c r="B2114" s="15"/>
      <c r="C2114" s="15"/>
      <c r="D2114" s="105">
        <v>1.0</v>
      </c>
      <c r="E2114" s="102">
        <v>39.0</v>
      </c>
      <c r="F2114" s="107">
        <v>65.0</v>
      </c>
      <c r="G2114" s="15" t="str">
        <f t="shared" si="1"/>
        <v>39065</v>
      </c>
      <c r="H2114" s="23" t="s">
        <v>721</v>
      </c>
      <c r="I2114" s="23" t="s">
        <v>100</v>
      </c>
      <c r="J2114" s="23" t="s">
        <v>339</v>
      </c>
      <c r="K2114" s="23" t="str">
        <f t="shared" si="36"/>
        <v>Hardin, OH</v>
      </c>
      <c r="L2114" s="24"/>
    </row>
    <row r="2115">
      <c r="A2115" s="99">
        <v>2114.0</v>
      </c>
      <c r="B2115" s="15"/>
      <c r="C2115" s="15"/>
      <c r="D2115" s="105">
        <v>1.0</v>
      </c>
      <c r="E2115" s="102">
        <v>39.0</v>
      </c>
      <c r="F2115" s="107">
        <v>67.0</v>
      </c>
      <c r="G2115" s="15" t="str">
        <f t="shared" si="1"/>
        <v>39067</v>
      </c>
      <c r="H2115" s="23" t="s">
        <v>775</v>
      </c>
      <c r="I2115" s="23" t="s">
        <v>100</v>
      </c>
      <c r="J2115" s="23" t="s">
        <v>339</v>
      </c>
      <c r="K2115" s="23" t="str">
        <f t="shared" si="36"/>
        <v>Harrison, OH</v>
      </c>
      <c r="L2115" s="24"/>
    </row>
    <row r="2116">
      <c r="A2116" s="99">
        <v>2115.0</v>
      </c>
      <c r="B2116" s="15"/>
      <c r="C2116" s="15"/>
      <c r="D2116" s="105">
        <v>1.0</v>
      </c>
      <c r="E2116" s="102">
        <v>39.0</v>
      </c>
      <c r="F2116" s="107">
        <v>69.0</v>
      </c>
      <c r="G2116" s="15" t="str">
        <f t="shared" si="1"/>
        <v>39069</v>
      </c>
      <c r="H2116" s="23" t="s">
        <v>140</v>
      </c>
      <c r="I2116" s="23" t="s">
        <v>100</v>
      </c>
      <c r="J2116" s="23" t="s">
        <v>339</v>
      </c>
      <c r="K2116" s="23" t="str">
        <f t="shared" si="36"/>
        <v>Henry, OH</v>
      </c>
      <c r="L2116" s="24"/>
    </row>
    <row r="2117">
      <c r="A2117" s="99">
        <v>2116.0</v>
      </c>
      <c r="B2117" s="15"/>
      <c r="C2117" s="15"/>
      <c r="D2117" s="105">
        <v>1.0</v>
      </c>
      <c r="E2117" s="102">
        <v>39.0</v>
      </c>
      <c r="F2117" s="107">
        <v>71.0</v>
      </c>
      <c r="G2117" s="15" t="str">
        <f t="shared" si="1"/>
        <v>39071</v>
      </c>
      <c r="H2117" s="23" t="s">
        <v>1684</v>
      </c>
      <c r="I2117" s="23" t="s">
        <v>100</v>
      </c>
      <c r="J2117" s="23" t="s">
        <v>339</v>
      </c>
      <c r="K2117" s="23" t="str">
        <f t="shared" si="36"/>
        <v>Highland, OH</v>
      </c>
      <c r="L2117" s="24"/>
    </row>
    <row r="2118">
      <c r="A2118" s="99">
        <v>2117.0</v>
      </c>
      <c r="B2118" s="15"/>
      <c r="C2118" s="15"/>
      <c r="D2118" s="105">
        <v>1.0</v>
      </c>
      <c r="E2118" s="102">
        <v>39.0</v>
      </c>
      <c r="F2118" s="107">
        <v>73.0</v>
      </c>
      <c r="G2118" s="15" t="str">
        <f t="shared" si="1"/>
        <v>39073</v>
      </c>
      <c r="H2118" s="23" t="s">
        <v>1685</v>
      </c>
      <c r="I2118" s="23" t="s">
        <v>100</v>
      </c>
      <c r="J2118" s="23" t="s">
        <v>339</v>
      </c>
      <c r="K2118" s="23" t="str">
        <f t="shared" si="36"/>
        <v>Hocking, OH</v>
      </c>
      <c r="L2118" s="24"/>
    </row>
    <row r="2119">
      <c r="A2119" s="99">
        <v>2118.0</v>
      </c>
      <c r="B2119" s="15"/>
      <c r="C2119" s="15"/>
      <c r="D2119" s="105">
        <v>1.0</v>
      </c>
      <c r="E2119" s="102">
        <v>39.0</v>
      </c>
      <c r="F2119" s="107">
        <v>75.0</v>
      </c>
      <c r="G2119" s="15" t="str">
        <f t="shared" si="1"/>
        <v>39075</v>
      </c>
      <c r="H2119" s="23" t="s">
        <v>502</v>
      </c>
      <c r="I2119" s="23" t="s">
        <v>100</v>
      </c>
      <c r="J2119" s="23" t="s">
        <v>339</v>
      </c>
      <c r="K2119" s="23" t="str">
        <f t="shared" si="36"/>
        <v>Holmes, OH</v>
      </c>
      <c r="L2119" s="24"/>
    </row>
    <row r="2120">
      <c r="A2120" s="99">
        <v>2119.0</v>
      </c>
      <c r="B2120" s="15"/>
      <c r="C2120" s="15"/>
      <c r="D2120" s="105">
        <v>1.0</v>
      </c>
      <c r="E2120" s="102">
        <v>39.0</v>
      </c>
      <c r="F2120" s="107">
        <v>77.0</v>
      </c>
      <c r="G2120" s="15" t="str">
        <f t="shared" si="1"/>
        <v>39077</v>
      </c>
      <c r="H2120" s="23" t="s">
        <v>1255</v>
      </c>
      <c r="I2120" s="23" t="s">
        <v>100</v>
      </c>
      <c r="J2120" s="23" t="s">
        <v>339</v>
      </c>
      <c r="K2120" s="23" t="str">
        <f t="shared" si="36"/>
        <v>Huron, OH</v>
      </c>
      <c r="L2120" s="24"/>
    </row>
    <row r="2121">
      <c r="A2121" s="99">
        <v>2120.0</v>
      </c>
      <c r="B2121" s="15"/>
      <c r="C2121" s="15"/>
      <c r="D2121" s="105">
        <v>1.0</v>
      </c>
      <c r="E2121" s="102">
        <v>39.0</v>
      </c>
      <c r="F2121" s="107">
        <v>79.0</v>
      </c>
      <c r="G2121" s="15" t="str">
        <f t="shared" si="1"/>
        <v>39079</v>
      </c>
      <c r="H2121" s="23" t="s">
        <v>142</v>
      </c>
      <c r="I2121" s="23" t="s">
        <v>100</v>
      </c>
      <c r="J2121" s="23" t="s">
        <v>339</v>
      </c>
      <c r="K2121" s="23" t="str">
        <f t="shared" si="36"/>
        <v>Jackson, OH</v>
      </c>
      <c r="L2121" s="24"/>
    </row>
    <row r="2122">
      <c r="A2122" s="99">
        <v>2121.0</v>
      </c>
      <c r="B2122" s="15"/>
      <c r="C2122" s="15"/>
      <c r="D2122" s="105">
        <v>1.0</v>
      </c>
      <c r="E2122" s="102">
        <v>39.0</v>
      </c>
      <c r="F2122" s="107">
        <v>81.0</v>
      </c>
      <c r="G2122" s="15" t="str">
        <f t="shared" si="1"/>
        <v>39081</v>
      </c>
      <c r="H2122" s="23" t="s">
        <v>143</v>
      </c>
      <c r="I2122" s="23" t="s">
        <v>100</v>
      </c>
      <c r="J2122" s="23" t="s">
        <v>339</v>
      </c>
      <c r="K2122" s="23" t="str">
        <f t="shared" si="36"/>
        <v>Jefferson, OH</v>
      </c>
      <c r="L2122" s="24"/>
    </row>
    <row r="2123">
      <c r="A2123" s="99">
        <v>2122.0</v>
      </c>
      <c r="B2123" s="15"/>
      <c r="C2123" s="15"/>
      <c r="D2123" s="105">
        <v>1.0</v>
      </c>
      <c r="E2123" s="102">
        <v>39.0</v>
      </c>
      <c r="F2123" s="107">
        <v>83.0</v>
      </c>
      <c r="G2123" s="15" t="str">
        <f t="shared" si="1"/>
        <v>39083</v>
      </c>
      <c r="H2123" s="23" t="s">
        <v>728</v>
      </c>
      <c r="I2123" s="23" t="s">
        <v>100</v>
      </c>
      <c r="J2123" s="23" t="s">
        <v>339</v>
      </c>
      <c r="K2123" s="23" t="str">
        <f t="shared" si="36"/>
        <v>Knox, OH</v>
      </c>
      <c r="L2123" s="24"/>
    </row>
    <row r="2124">
      <c r="A2124" s="99">
        <v>2123.0</v>
      </c>
      <c r="B2124" s="15"/>
      <c r="C2124" s="15"/>
      <c r="D2124" s="105">
        <v>1.0</v>
      </c>
      <c r="E2124" s="102">
        <v>39.0</v>
      </c>
      <c r="F2124" s="107">
        <v>85.0</v>
      </c>
      <c r="G2124" s="15" t="str">
        <f t="shared" si="1"/>
        <v>39085</v>
      </c>
      <c r="H2124" s="23" t="s">
        <v>337</v>
      </c>
      <c r="I2124" s="23" t="s">
        <v>100</v>
      </c>
      <c r="J2124" s="23" t="s">
        <v>339</v>
      </c>
      <c r="K2124" s="23" t="str">
        <f t="shared" si="36"/>
        <v>Lake, OH</v>
      </c>
      <c r="L2124" s="24"/>
    </row>
    <row r="2125">
      <c r="A2125" s="99">
        <v>2124.0</v>
      </c>
      <c r="B2125" s="15"/>
      <c r="C2125" s="15"/>
      <c r="D2125" s="105">
        <v>1.0</v>
      </c>
      <c r="E2125" s="102">
        <v>39.0</v>
      </c>
      <c r="F2125" s="107">
        <v>87.0</v>
      </c>
      <c r="G2125" s="15" t="str">
        <f t="shared" si="1"/>
        <v>39087</v>
      </c>
      <c r="H2125" s="23" t="s">
        <v>146</v>
      </c>
      <c r="I2125" s="23" t="s">
        <v>100</v>
      </c>
      <c r="J2125" s="23" t="s">
        <v>339</v>
      </c>
      <c r="K2125" s="23" t="str">
        <f t="shared" si="36"/>
        <v>Lawrence, OH</v>
      </c>
      <c r="L2125" s="24"/>
    </row>
    <row r="2126">
      <c r="A2126" s="99">
        <v>2125.0</v>
      </c>
      <c r="B2126" s="15"/>
      <c r="C2126" s="15"/>
      <c r="D2126" s="105">
        <v>1.0</v>
      </c>
      <c r="E2126" s="102">
        <v>39.0</v>
      </c>
      <c r="F2126" s="107">
        <v>89.0</v>
      </c>
      <c r="G2126" s="15" t="str">
        <f t="shared" si="1"/>
        <v>39089</v>
      </c>
      <c r="H2126" s="23" t="s">
        <v>1686</v>
      </c>
      <c r="I2126" s="23" t="s">
        <v>100</v>
      </c>
      <c r="J2126" s="23" t="s">
        <v>339</v>
      </c>
      <c r="K2126" s="23" t="str">
        <f t="shared" si="36"/>
        <v>Licking, OH</v>
      </c>
      <c r="L2126" s="24"/>
    </row>
    <row r="2127">
      <c r="A2127" s="99">
        <v>2126.0</v>
      </c>
      <c r="B2127" s="15"/>
      <c r="C2127" s="15"/>
      <c r="D2127" s="105">
        <v>1.0</v>
      </c>
      <c r="E2127" s="102">
        <v>39.0</v>
      </c>
      <c r="F2127" s="107">
        <v>91.0</v>
      </c>
      <c r="G2127" s="15" t="str">
        <f t="shared" si="1"/>
        <v>39091</v>
      </c>
      <c r="H2127" s="23" t="s">
        <v>293</v>
      </c>
      <c r="I2127" s="23" t="s">
        <v>100</v>
      </c>
      <c r="J2127" s="23" t="s">
        <v>339</v>
      </c>
      <c r="K2127" s="23" t="str">
        <f t="shared" si="36"/>
        <v>Logan, OH</v>
      </c>
      <c r="L2127" s="24"/>
    </row>
    <row r="2128">
      <c r="A2128" s="99">
        <v>2127.0</v>
      </c>
      <c r="B2128" s="15"/>
      <c r="C2128" s="15"/>
      <c r="D2128" s="105">
        <v>1.0</v>
      </c>
      <c r="E2128" s="102">
        <v>39.0</v>
      </c>
      <c r="F2128" s="107">
        <v>93.0</v>
      </c>
      <c r="G2128" s="15" t="str">
        <f t="shared" si="1"/>
        <v>39093</v>
      </c>
      <c r="H2128" s="23" t="s">
        <v>1687</v>
      </c>
      <c r="I2128" s="23" t="s">
        <v>100</v>
      </c>
      <c r="J2128" s="23" t="s">
        <v>339</v>
      </c>
      <c r="K2128" s="23" t="str">
        <f t="shared" si="36"/>
        <v>Lorain, OH</v>
      </c>
      <c r="L2128" s="24"/>
    </row>
    <row r="2129">
      <c r="A2129" s="99">
        <v>2128.0</v>
      </c>
      <c r="B2129" s="15"/>
      <c r="C2129" s="15"/>
      <c r="D2129" s="105">
        <v>1.0</v>
      </c>
      <c r="E2129" s="102">
        <v>39.0</v>
      </c>
      <c r="F2129" s="107">
        <v>95.0</v>
      </c>
      <c r="G2129" s="15" t="str">
        <f t="shared" si="1"/>
        <v>39095</v>
      </c>
      <c r="H2129" s="23" t="s">
        <v>909</v>
      </c>
      <c r="I2129" s="23" t="s">
        <v>100</v>
      </c>
      <c r="J2129" s="23" t="s">
        <v>339</v>
      </c>
      <c r="K2129" s="23" t="str">
        <f t="shared" si="36"/>
        <v>Lucas, OH</v>
      </c>
      <c r="L2129" s="24"/>
    </row>
    <row r="2130">
      <c r="A2130" s="99">
        <v>2129.0</v>
      </c>
      <c r="B2130" s="15"/>
      <c r="C2130" s="15"/>
      <c r="D2130" s="105">
        <v>1.0</v>
      </c>
      <c r="E2130" s="102">
        <v>39.0</v>
      </c>
      <c r="F2130" s="107">
        <v>97.0</v>
      </c>
      <c r="G2130" s="15" t="str">
        <f t="shared" si="1"/>
        <v>39097</v>
      </c>
      <c r="H2130" s="23" t="s">
        <v>151</v>
      </c>
      <c r="I2130" s="23" t="s">
        <v>100</v>
      </c>
      <c r="J2130" s="23" t="s">
        <v>339</v>
      </c>
      <c r="K2130" s="23" t="str">
        <f t="shared" si="36"/>
        <v>Madison, OH</v>
      </c>
      <c r="L2130" s="24"/>
    </row>
    <row r="2131">
      <c r="A2131" s="99">
        <v>2130.0</v>
      </c>
      <c r="B2131" s="15"/>
      <c r="C2131" s="15"/>
      <c r="D2131" s="105">
        <v>1.0</v>
      </c>
      <c r="E2131" s="102">
        <v>39.0</v>
      </c>
      <c r="F2131" s="107">
        <v>99.0</v>
      </c>
      <c r="G2131" s="15" t="str">
        <f t="shared" si="1"/>
        <v>39099</v>
      </c>
      <c r="H2131" s="23" t="s">
        <v>1688</v>
      </c>
      <c r="I2131" s="23" t="s">
        <v>100</v>
      </c>
      <c r="J2131" s="23" t="s">
        <v>339</v>
      </c>
      <c r="K2131" s="23" t="str">
        <f t="shared" si="36"/>
        <v>Mahoning, OH</v>
      </c>
      <c r="L2131" s="24"/>
    </row>
    <row r="2132">
      <c r="A2132" s="99">
        <v>2131.0</v>
      </c>
      <c r="B2132" s="15"/>
      <c r="C2132" s="15"/>
      <c r="D2132" s="105">
        <v>1.0</v>
      </c>
      <c r="E2132" s="102">
        <v>39.0</v>
      </c>
      <c r="F2132" s="107">
        <v>101.0</v>
      </c>
      <c r="G2132" s="15" t="str">
        <f t="shared" si="1"/>
        <v>39101</v>
      </c>
      <c r="H2132" s="23" t="s">
        <v>153</v>
      </c>
      <c r="I2132" s="23" t="s">
        <v>100</v>
      </c>
      <c r="J2132" s="23" t="s">
        <v>339</v>
      </c>
      <c r="K2132" s="23" t="str">
        <f t="shared" si="36"/>
        <v>Marion, OH</v>
      </c>
      <c r="L2132" s="24"/>
    </row>
    <row r="2133">
      <c r="A2133" s="99">
        <v>2132.0</v>
      </c>
      <c r="B2133" s="15"/>
      <c r="C2133" s="15"/>
      <c r="D2133" s="105">
        <v>1.0</v>
      </c>
      <c r="E2133" s="102">
        <v>39.0</v>
      </c>
      <c r="F2133" s="107">
        <v>103.0</v>
      </c>
      <c r="G2133" s="15" t="str">
        <f t="shared" si="1"/>
        <v>39103</v>
      </c>
      <c r="H2133" s="23" t="s">
        <v>1689</v>
      </c>
      <c r="I2133" s="23" t="s">
        <v>100</v>
      </c>
      <c r="J2133" s="23" t="s">
        <v>339</v>
      </c>
      <c r="K2133" s="23" t="str">
        <f t="shared" si="36"/>
        <v>Medina, OH</v>
      </c>
      <c r="L2133" s="24"/>
    </row>
    <row r="2134">
      <c r="A2134" s="99">
        <v>2133.0</v>
      </c>
      <c r="B2134" s="15"/>
      <c r="C2134" s="15"/>
      <c r="D2134" s="105">
        <v>1.0</v>
      </c>
      <c r="E2134" s="102">
        <v>39.0</v>
      </c>
      <c r="F2134" s="107">
        <v>105.0</v>
      </c>
      <c r="G2134" s="15" t="str">
        <f t="shared" si="1"/>
        <v>39105</v>
      </c>
      <c r="H2134" s="23" t="s">
        <v>1690</v>
      </c>
      <c r="I2134" s="23" t="s">
        <v>100</v>
      </c>
      <c r="J2134" s="23" t="s">
        <v>339</v>
      </c>
      <c r="K2134" s="23" t="str">
        <f t="shared" si="36"/>
        <v>Meigs, OH</v>
      </c>
      <c r="L2134" s="24"/>
    </row>
    <row r="2135">
      <c r="A2135" s="99">
        <v>2134.0</v>
      </c>
      <c r="B2135" s="15"/>
      <c r="C2135" s="15"/>
      <c r="D2135" s="105">
        <v>1.0</v>
      </c>
      <c r="E2135" s="102">
        <v>39.0</v>
      </c>
      <c r="F2135" s="107">
        <v>107.0</v>
      </c>
      <c r="G2135" s="15" t="str">
        <f t="shared" si="1"/>
        <v>39107</v>
      </c>
      <c r="H2135" s="23" t="s">
        <v>738</v>
      </c>
      <c r="I2135" s="23" t="s">
        <v>100</v>
      </c>
      <c r="J2135" s="23" t="s">
        <v>339</v>
      </c>
      <c r="K2135" s="23" t="str">
        <f t="shared" si="36"/>
        <v>Mercer, OH</v>
      </c>
      <c r="L2135" s="24"/>
    </row>
    <row r="2136">
      <c r="A2136" s="99">
        <v>2135.0</v>
      </c>
      <c r="B2136" s="15"/>
      <c r="C2136" s="15"/>
      <c r="D2136" s="105">
        <v>1.0</v>
      </c>
      <c r="E2136" s="102">
        <v>39.0</v>
      </c>
      <c r="F2136" s="107">
        <v>109.0</v>
      </c>
      <c r="G2136" s="15" t="str">
        <f t="shared" si="1"/>
        <v>39109</v>
      </c>
      <c r="H2136" s="23" t="s">
        <v>791</v>
      </c>
      <c r="I2136" s="23" t="s">
        <v>100</v>
      </c>
      <c r="J2136" s="23" t="s">
        <v>339</v>
      </c>
      <c r="K2136" s="23" t="str">
        <f t="shared" si="36"/>
        <v>Miami, OH</v>
      </c>
      <c r="L2136" s="24"/>
    </row>
    <row r="2137">
      <c r="A2137" s="99">
        <v>2136.0</v>
      </c>
      <c r="B2137" s="15"/>
      <c r="C2137" s="15"/>
      <c r="D2137" s="105">
        <v>1.0</v>
      </c>
      <c r="E2137" s="102">
        <v>39.0</v>
      </c>
      <c r="F2137" s="107">
        <v>111.0</v>
      </c>
      <c r="G2137" s="15" t="str">
        <f t="shared" si="1"/>
        <v>39111</v>
      </c>
      <c r="H2137" s="23" t="s">
        <v>156</v>
      </c>
      <c r="I2137" s="23" t="s">
        <v>100</v>
      </c>
      <c r="J2137" s="23" t="s">
        <v>339</v>
      </c>
      <c r="K2137" s="23" t="str">
        <f t="shared" si="36"/>
        <v>Monroe, OH</v>
      </c>
      <c r="L2137" s="24"/>
    </row>
    <row r="2138">
      <c r="A2138" s="99">
        <v>2137.0</v>
      </c>
      <c r="B2138" s="15"/>
      <c r="C2138" s="15"/>
      <c r="D2138" s="105">
        <v>1.0</v>
      </c>
      <c r="E2138" s="102">
        <v>39.0</v>
      </c>
      <c r="F2138" s="107">
        <v>113.0</v>
      </c>
      <c r="G2138" s="15" t="str">
        <f t="shared" si="1"/>
        <v>39113</v>
      </c>
      <c r="H2138" s="23" t="s">
        <v>157</v>
      </c>
      <c r="I2138" s="23" t="s">
        <v>100</v>
      </c>
      <c r="J2138" s="23" t="s">
        <v>339</v>
      </c>
      <c r="K2138" s="112" t="str">
        <f t="shared" si="36"/>
        <v>Montgomery, OH</v>
      </c>
      <c r="L2138" s="24"/>
    </row>
    <row r="2139">
      <c r="A2139" s="99">
        <v>2138.0</v>
      </c>
      <c r="B2139" s="15"/>
      <c r="C2139" s="15"/>
      <c r="D2139" s="105">
        <v>1.0</v>
      </c>
      <c r="E2139" s="102">
        <v>39.0</v>
      </c>
      <c r="F2139" s="107">
        <v>115.0</v>
      </c>
      <c r="G2139" s="15" t="str">
        <f t="shared" si="1"/>
        <v>39115</v>
      </c>
      <c r="H2139" s="23" t="s">
        <v>158</v>
      </c>
      <c r="I2139" s="23" t="s">
        <v>100</v>
      </c>
      <c r="J2139" s="23" t="s">
        <v>339</v>
      </c>
      <c r="K2139" s="23" t="str">
        <f t="shared" si="36"/>
        <v>Morgan, OH</v>
      </c>
      <c r="L2139" s="24"/>
    </row>
    <row r="2140">
      <c r="A2140" s="99">
        <v>2139.0</v>
      </c>
      <c r="B2140" s="15"/>
      <c r="C2140" s="15"/>
      <c r="D2140" s="105">
        <v>1.0</v>
      </c>
      <c r="E2140" s="102">
        <v>39.0</v>
      </c>
      <c r="F2140" s="107">
        <v>117.0</v>
      </c>
      <c r="G2140" s="15" t="str">
        <f t="shared" si="1"/>
        <v>39117</v>
      </c>
      <c r="H2140" s="23" t="s">
        <v>1691</v>
      </c>
      <c r="I2140" s="23" t="s">
        <v>100</v>
      </c>
      <c r="J2140" s="23" t="s">
        <v>339</v>
      </c>
      <c r="K2140" s="23" t="str">
        <f t="shared" si="36"/>
        <v>Morrow, OH</v>
      </c>
      <c r="L2140" s="24"/>
    </row>
    <row r="2141">
      <c r="A2141" s="99">
        <v>2140.0</v>
      </c>
      <c r="B2141" s="15"/>
      <c r="C2141" s="15"/>
      <c r="D2141" s="105">
        <v>1.0</v>
      </c>
      <c r="E2141" s="102">
        <v>39.0</v>
      </c>
      <c r="F2141" s="107">
        <v>119.0</v>
      </c>
      <c r="G2141" s="15" t="str">
        <f t="shared" si="1"/>
        <v>39119</v>
      </c>
      <c r="H2141" s="23" t="s">
        <v>1692</v>
      </c>
      <c r="I2141" s="23" t="s">
        <v>100</v>
      </c>
      <c r="J2141" s="23" t="s">
        <v>339</v>
      </c>
      <c r="K2141" s="23" t="str">
        <f t="shared" si="36"/>
        <v>Muskingum, OH</v>
      </c>
      <c r="L2141" s="24"/>
    </row>
    <row r="2142">
      <c r="A2142" s="99">
        <v>2141.0</v>
      </c>
      <c r="B2142" s="15"/>
      <c r="C2142" s="15"/>
      <c r="D2142" s="105">
        <v>1.0</v>
      </c>
      <c r="E2142" s="102">
        <v>39.0</v>
      </c>
      <c r="F2142" s="107">
        <v>121.0</v>
      </c>
      <c r="G2142" s="15" t="str">
        <f t="shared" si="1"/>
        <v>39121</v>
      </c>
      <c r="H2142" s="23" t="s">
        <v>793</v>
      </c>
      <c r="I2142" s="23" t="s">
        <v>100</v>
      </c>
      <c r="J2142" s="23" t="s">
        <v>339</v>
      </c>
      <c r="K2142" s="23" t="str">
        <f t="shared" si="36"/>
        <v>Noble, OH</v>
      </c>
      <c r="L2142" s="24"/>
    </row>
    <row r="2143">
      <c r="A2143" s="99">
        <v>2142.0</v>
      </c>
      <c r="B2143" s="15"/>
      <c r="C2143" s="15"/>
      <c r="D2143" s="105">
        <v>1.0</v>
      </c>
      <c r="E2143" s="102">
        <v>39.0</v>
      </c>
      <c r="F2143" s="107">
        <v>123.0</v>
      </c>
      <c r="G2143" s="15" t="str">
        <f t="shared" si="1"/>
        <v>39123</v>
      </c>
      <c r="H2143" s="23" t="s">
        <v>998</v>
      </c>
      <c r="I2143" s="23" t="s">
        <v>100</v>
      </c>
      <c r="J2143" s="23" t="s">
        <v>339</v>
      </c>
      <c r="K2143" s="23" t="str">
        <f t="shared" si="36"/>
        <v>Ottawa, OH</v>
      </c>
      <c r="L2143" s="24"/>
    </row>
    <row r="2144">
      <c r="A2144" s="99">
        <v>2143.0</v>
      </c>
      <c r="B2144" s="15"/>
      <c r="C2144" s="15"/>
      <c r="D2144" s="105">
        <v>1.0</v>
      </c>
      <c r="E2144" s="102">
        <v>39.0</v>
      </c>
      <c r="F2144" s="107">
        <v>125.0</v>
      </c>
      <c r="G2144" s="15" t="str">
        <f t="shared" si="1"/>
        <v>39125</v>
      </c>
      <c r="H2144" s="23" t="s">
        <v>616</v>
      </c>
      <c r="I2144" s="23" t="s">
        <v>100</v>
      </c>
      <c r="J2144" s="23" t="s">
        <v>339</v>
      </c>
      <c r="K2144" s="23" t="str">
        <f t="shared" si="36"/>
        <v>Paulding, OH</v>
      </c>
      <c r="L2144" s="24"/>
    </row>
    <row r="2145">
      <c r="A2145" s="99">
        <v>2144.0</v>
      </c>
      <c r="B2145" s="15"/>
      <c r="C2145" s="15"/>
      <c r="D2145" s="105">
        <v>1.0</v>
      </c>
      <c r="E2145" s="102">
        <v>39.0</v>
      </c>
      <c r="F2145" s="107">
        <v>127.0</v>
      </c>
      <c r="G2145" s="15" t="str">
        <f t="shared" si="1"/>
        <v>39127</v>
      </c>
      <c r="H2145" s="23" t="s">
        <v>159</v>
      </c>
      <c r="I2145" s="23" t="s">
        <v>100</v>
      </c>
      <c r="J2145" s="23" t="s">
        <v>339</v>
      </c>
      <c r="K2145" s="23" t="str">
        <f t="shared" si="36"/>
        <v>Perry, OH</v>
      </c>
      <c r="L2145" s="24"/>
    </row>
    <row r="2146">
      <c r="A2146" s="99">
        <v>2145.0</v>
      </c>
      <c r="B2146" s="15"/>
      <c r="C2146" s="15"/>
      <c r="D2146" s="105">
        <v>1.0</v>
      </c>
      <c r="E2146" s="102">
        <v>39.0</v>
      </c>
      <c r="F2146" s="107">
        <v>129.0</v>
      </c>
      <c r="G2146" s="15" t="str">
        <f t="shared" si="1"/>
        <v>39129</v>
      </c>
      <c r="H2146" s="23" t="s">
        <v>1693</v>
      </c>
      <c r="I2146" s="23" t="s">
        <v>100</v>
      </c>
      <c r="J2146" s="23" t="s">
        <v>339</v>
      </c>
      <c r="K2146" s="23" t="str">
        <f t="shared" si="36"/>
        <v>Pickaway, OH</v>
      </c>
      <c r="L2146" s="24"/>
    </row>
    <row r="2147">
      <c r="A2147" s="99">
        <v>2146.0</v>
      </c>
      <c r="B2147" s="15"/>
      <c r="C2147" s="15"/>
      <c r="D2147" s="105">
        <v>1.0</v>
      </c>
      <c r="E2147" s="102">
        <v>39.0</v>
      </c>
      <c r="F2147" s="107">
        <v>131.0</v>
      </c>
      <c r="G2147" s="15" t="str">
        <f t="shared" si="1"/>
        <v>39131</v>
      </c>
      <c r="H2147" s="23" t="s">
        <v>162</v>
      </c>
      <c r="I2147" s="23" t="s">
        <v>100</v>
      </c>
      <c r="J2147" s="23" t="s">
        <v>339</v>
      </c>
      <c r="K2147" s="23" t="str">
        <f t="shared" si="36"/>
        <v>Pike, OH</v>
      </c>
      <c r="L2147" s="24"/>
    </row>
    <row r="2148">
      <c r="A2148" s="99">
        <v>2147.0</v>
      </c>
      <c r="B2148" s="15"/>
      <c r="C2148" s="15"/>
      <c r="D2148" s="105">
        <v>1.0</v>
      </c>
      <c r="E2148" s="102">
        <v>39.0</v>
      </c>
      <c r="F2148" s="107">
        <v>133.0</v>
      </c>
      <c r="G2148" s="15" t="str">
        <f t="shared" si="1"/>
        <v>39133</v>
      </c>
      <c r="H2148" s="23" t="s">
        <v>1694</v>
      </c>
      <c r="I2148" s="23" t="s">
        <v>100</v>
      </c>
      <c r="J2148" s="23" t="s">
        <v>339</v>
      </c>
      <c r="K2148" s="23" t="str">
        <f t="shared" si="36"/>
        <v>Portage, OH</v>
      </c>
      <c r="L2148" s="24"/>
    </row>
    <row r="2149">
      <c r="A2149" s="99">
        <v>2148.0</v>
      </c>
      <c r="B2149" s="15"/>
      <c r="C2149" s="15"/>
      <c r="D2149" s="105">
        <v>1.0</v>
      </c>
      <c r="E2149" s="102">
        <v>39.0</v>
      </c>
      <c r="F2149" s="107">
        <v>135.0</v>
      </c>
      <c r="G2149" s="15" t="str">
        <f t="shared" si="1"/>
        <v>39135</v>
      </c>
      <c r="H2149" s="23" t="s">
        <v>1695</v>
      </c>
      <c r="I2149" s="23" t="s">
        <v>100</v>
      </c>
      <c r="J2149" s="23" t="s">
        <v>339</v>
      </c>
      <c r="K2149" s="23" t="str">
        <f t="shared" si="36"/>
        <v>Preble, OH</v>
      </c>
      <c r="L2149" s="24"/>
    </row>
    <row r="2150">
      <c r="A2150" s="99">
        <v>2149.0</v>
      </c>
      <c r="B2150" s="15"/>
      <c r="C2150" s="15"/>
      <c r="D2150" s="105">
        <v>1.0</v>
      </c>
      <c r="E2150" s="102">
        <v>39.0</v>
      </c>
      <c r="F2150" s="107">
        <v>137.0</v>
      </c>
      <c r="G2150" s="15" t="str">
        <f t="shared" si="1"/>
        <v>39137</v>
      </c>
      <c r="H2150" s="23" t="s">
        <v>518</v>
      </c>
      <c r="I2150" s="23" t="s">
        <v>100</v>
      </c>
      <c r="J2150" s="23" t="s">
        <v>339</v>
      </c>
      <c r="K2150" s="23" t="str">
        <f t="shared" si="36"/>
        <v>Putnam, OH</v>
      </c>
      <c r="L2150" s="24"/>
    </row>
    <row r="2151">
      <c r="A2151" s="99">
        <v>2150.0</v>
      </c>
      <c r="B2151" s="15"/>
      <c r="C2151" s="15"/>
      <c r="D2151" s="105">
        <v>1.0</v>
      </c>
      <c r="E2151" s="102">
        <v>39.0</v>
      </c>
      <c r="F2151" s="107">
        <v>139.0</v>
      </c>
      <c r="G2151" s="15" t="str">
        <f t="shared" si="1"/>
        <v>39139</v>
      </c>
      <c r="H2151" s="23" t="s">
        <v>743</v>
      </c>
      <c r="I2151" s="23" t="s">
        <v>100</v>
      </c>
      <c r="J2151" s="23" t="s">
        <v>339</v>
      </c>
      <c r="K2151" s="23" t="str">
        <f t="shared" si="36"/>
        <v>Richland, OH</v>
      </c>
      <c r="L2151" s="24"/>
    </row>
    <row r="2152">
      <c r="A2152" s="99">
        <v>2151.0</v>
      </c>
      <c r="B2152" s="15"/>
      <c r="C2152" s="15"/>
      <c r="D2152" s="105">
        <v>1.0</v>
      </c>
      <c r="E2152" s="102">
        <v>39.0</v>
      </c>
      <c r="F2152" s="107">
        <v>141.0</v>
      </c>
      <c r="G2152" s="15" t="str">
        <f t="shared" si="1"/>
        <v>39141</v>
      </c>
      <c r="H2152" s="23" t="s">
        <v>1696</v>
      </c>
      <c r="I2152" s="23" t="s">
        <v>100</v>
      </c>
      <c r="J2152" s="23" t="s">
        <v>339</v>
      </c>
      <c r="K2152" s="23" t="str">
        <f t="shared" si="36"/>
        <v>Ross, OH</v>
      </c>
      <c r="L2152" s="24"/>
    </row>
    <row r="2153">
      <c r="A2153" s="99">
        <v>2152.0</v>
      </c>
      <c r="B2153" s="15"/>
      <c r="C2153" s="15"/>
      <c r="D2153" s="105">
        <v>1.0</v>
      </c>
      <c r="E2153" s="102">
        <v>39.0</v>
      </c>
      <c r="F2153" s="107">
        <v>143.0</v>
      </c>
      <c r="G2153" s="15" t="str">
        <f t="shared" si="1"/>
        <v>39143</v>
      </c>
      <c r="H2153" s="23" t="s">
        <v>1697</v>
      </c>
      <c r="I2153" s="23" t="s">
        <v>100</v>
      </c>
      <c r="J2153" s="23" t="s">
        <v>339</v>
      </c>
      <c r="K2153" s="23" t="str">
        <f t="shared" si="36"/>
        <v>Sandusky, OH</v>
      </c>
      <c r="L2153" s="24"/>
    </row>
    <row r="2154">
      <c r="A2154" s="99">
        <v>2153.0</v>
      </c>
      <c r="B2154" s="15"/>
      <c r="C2154" s="15"/>
      <c r="D2154" s="105">
        <v>1.0</v>
      </c>
      <c r="E2154" s="102">
        <v>39.0</v>
      </c>
      <c r="F2154" s="107">
        <v>145.0</v>
      </c>
      <c r="G2154" s="15" t="str">
        <f t="shared" si="1"/>
        <v>39145</v>
      </c>
      <c r="H2154" s="23" t="s">
        <v>1698</v>
      </c>
      <c r="I2154" s="23" t="s">
        <v>100</v>
      </c>
      <c r="J2154" s="23" t="s">
        <v>339</v>
      </c>
      <c r="K2154" s="23" t="str">
        <f t="shared" si="36"/>
        <v>Scioto, OH</v>
      </c>
      <c r="L2154" s="24"/>
    </row>
    <row r="2155">
      <c r="A2155" s="99">
        <v>2154.0</v>
      </c>
      <c r="B2155" s="15"/>
      <c r="C2155" s="15"/>
      <c r="D2155" s="105">
        <v>1.0</v>
      </c>
      <c r="E2155" s="102">
        <v>39.0</v>
      </c>
      <c r="F2155" s="107">
        <v>147.0</v>
      </c>
      <c r="G2155" s="15" t="str">
        <f t="shared" si="1"/>
        <v>39147</v>
      </c>
      <c r="H2155" s="23" t="s">
        <v>1573</v>
      </c>
      <c r="I2155" s="23" t="s">
        <v>100</v>
      </c>
      <c r="J2155" s="23" t="s">
        <v>339</v>
      </c>
      <c r="K2155" s="23" t="str">
        <f t="shared" si="36"/>
        <v>Seneca, OH</v>
      </c>
      <c r="L2155" s="24"/>
    </row>
    <row r="2156">
      <c r="A2156" s="99">
        <v>2155.0</v>
      </c>
      <c r="B2156" s="15"/>
      <c r="C2156" s="15"/>
      <c r="D2156" s="105">
        <v>1.0</v>
      </c>
      <c r="E2156" s="102">
        <v>39.0</v>
      </c>
      <c r="F2156" s="107">
        <v>149.0</v>
      </c>
      <c r="G2156" s="15" t="str">
        <f t="shared" si="1"/>
        <v>39149</v>
      </c>
      <c r="H2156" s="23" t="s">
        <v>168</v>
      </c>
      <c r="I2156" s="23" t="s">
        <v>100</v>
      </c>
      <c r="J2156" s="23" t="s">
        <v>339</v>
      </c>
      <c r="K2156" s="23" t="str">
        <f t="shared" si="36"/>
        <v>Shelby, OH</v>
      </c>
      <c r="L2156" s="24"/>
    </row>
    <row r="2157">
      <c r="A2157" s="99">
        <v>2156.0</v>
      </c>
      <c r="B2157" s="15"/>
      <c r="C2157" s="15"/>
      <c r="D2157" s="105">
        <v>1.0</v>
      </c>
      <c r="E2157" s="102">
        <v>39.0</v>
      </c>
      <c r="F2157" s="107">
        <v>151.0</v>
      </c>
      <c r="G2157" s="15" t="str">
        <f t="shared" si="1"/>
        <v>39151</v>
      </c>
      <c r="H2157" s="23" t="s">
        <v>747</v>
      </c>
      <c r="I2157" s="23" t="s">
        <v>100</v>
      </c>
      <c r="J2157" s="23" t="s">
        <v>339</v>
      </c>
      <c r="K2157" s="23" t="str">
        <f t="shared" si="36"/>
        <v>Stark, OH</v>
      </c>
      <c r="L2157" s="24"/>
    </row>
    <row r="2158">
      <c r="A2158" s="99">
        <v>2157.0</v>
      </c>
      <c r="B2158" s="15"/>
      <c r="C2158" s="15"/>
      <c r="D2158" s="105">
        <v>1.0</v>
      </c>
      <c r="E2158" s="102">
        <v>39.0</v>
      </c>
      <c r="F2158" s="107">
        <v>153.0</v>
      </c>
      <c r="G2158" s="15" t="str">
        <f t="shared" si="1"/>
        <v>39153</v>
      </c>
      <c r="H2158" s="23" t="s">
        <v>461</v>
      </c>
      <c r="I2158" s="23" t="s">
        <v>100</v>
      </c>
      <c r="J2158" s="23" t="s">
        <v>339</v>
      </c>
      <c r="K2158" s="23" t="str">
        <f t="shared" si="36"/>
        <v>Summit, OH</v>
      </c>
      <c r="L2158" s="24"/>
    </row>
    <row r="2159">
      <c r="A2159" s="99">
        <v>2158.0</v>
      </c>
      <c r="B2159" s="15"/>
      <c r="C2159" s="15"/>
      <c r="D2159" s="105">
        <v>1.0</v>
      </c>
      <c r="E2159" s="102">
        <v>39.0</v>
      </c>
      <c r="F2159" s="107">
        <v>155.0</v>
      </c>
      <c r="G2159" s="15" t="str">
        <f t="shared" si="1"/>
        <v>39155</v>
      </c>
      <c r="H2159" s="23" t="s">
        <v>1699</v>
      </c>
      <c r="I2159" s="23" t="s">
        <v>100</v>
      </c>
      <c r="J2159" s="23" t="s">
        <v>339</v>
      </c>
      <c r="K2159" s="23" t="str">
        <f t="shared" si="36"/>
        <v>Trumbull, OH</v>
      </c>
      <c r="L2159" s="24"/>
    </row>
    <row r="2160">
      <c r="A2160" s="99">
        <v>2159.0</v>
      </c>
      <c r="B2160" s="15"/>
      <c r="C2160" s="15"/>
      <c r="D2160" s="105">
        <v>1.0</v>
      </c>
      <c r="E2160" s="102">
        <v>39.0</v>
      </c>
      <c r="F2160" s="107">
        <v>157.0</v>
      </c>
      <c r="G2160" s="15" t="str">
        <f t="shared" si="1"/>
        <v>39157</v>
      </c>
      <c r="H2160" s="23" t="s">
        <v>1700</v>
      </c>
      <c r="I2160" s="23" t="s">
        <v>100</v>
      </c>
      <c r="J2160" s="23" t="s">
        <v>339</v>
      </c>
      <c r="K2160" s="112" t="str">
        <f t="shared" si="36"/>
        <v>Tuscarawas, OH</v>
      </c>
      <c r="L2160" s="24"/>
    </row>
    <row r="2161">
      <c r="A2161" s="99">
        <v>2160.0</v>
      </c>
      <c r="B2161" s="15"/>
      <c r="C2161" s="15"/>
      <c r="D2161" s="105">
        <v>1.0</v>
      </c>
      <c r="E2161" s="102">
        <v>39.0</v>
      </c>
      <c r="F2161" s="107">
        <v>159.0</v>
      </c>
      <c r="G2161" s="15" t="str">
        <f t="shared" si="1"/>
        <v>39159</v>
      </c>
      <c r="H2161" s="23" t="s">
        <v>316</v>
      </c>
      <c r="I2161" s="23" t="s">
        <v>100</v>
      </c>
      <c r="J2161" s="23" t="s">
        <v>339</v>
      </c>
      <c r="K2161" s="23" t="str">
        <f t="shared" si="36"/>
        <v>Union, OH</v>
      </c>
      <c r="L2161" s="24"/>
    </row>
    <row r="2162">
      <c r="A2162" s="99">
        <v>2161.0</v>
      </c>
      <c r="B2162" s="15"/>
      <c r="C2162" s="15"/>
      <c r="D2162" s="105">
        <v>1.0</v>
      </c>
      <c r="E2162" s="102">
        <v>39.0</v>
      </c>
      <c r="F2162" s="107">
        <v>161.0</v>
      </c>
      <c r="G2162" s="15" t="str">
        <f t="shared" si="1"/>
        <v>39161</v>
      </c>
      <c r="H2162" s="23" t="s">
        <v>1701</v>
      </c>
      <c r="I2162" s="23" t="s">
        <v>100</v>
      </c>
      <c r="J2162" s="23" t="s">
        <v>339</v>
      </c>
      <c r="K2162" s="23" t="str">
        <f t="shared" si="36"/>
        <v>Van Wert, OH</v>
      </c>
      <c r="L2162" s="24"/>
    </row>
    <row r="2163">
      <c r="A2163" s="99">
        <v>2162.0</v>
      </c>
      <c r="B2163" s="15"/>
      <c r="C2163" s="15"/>
      <c r="D2163" s="105">
        <v>1.0</v>
      </c>
      <c r="E2163" s="102">
        <v>39.0</v>
      </c>
      <c r="F2163" s="107">
        <v>163.0</v>
      </c>
      <c r="G2163" s="15" t="str">
        <f t="shared" si="1"/>
        <v>39163</v>
      </c>
      <c r="H2163" s="23" t="s">
        <v>1702</v>
      </c>
      <c r="I2163" s="23" t="s">
        <v>100</v>
      </c>
      <c r="J2163" s="23" t="s">
        <v>339</v>
      </c>
      <c r="K2163" s="23" t="str">
        <f t="shared" si="36"/>
        <v>Vinton, OH</v>
      </c>
      <c r="L2163" s="24"/>
    </row>
    <row r="2164">
      <c r="A2164" s="99">
        <v>2163.0</v>
      </c>
      <c r="B2164" s="15"/>
      <c r="C2164" s="15"/>
      <c r="D2164" s="105">
        <v>1.0</v>
      </c>
      <c r="E2164" s="102">
        <v>39.0</v>
      </c>
      <c r="F2164" s="107">
        <v>165.0</v>
      </c>
      <c r="G2164" s="15" t="str">
        <f t="shared" si="1"/>
        <v>39165</v>
      </c>
      <c r="H2164" s="23" t="s">
        <v>647</v>
      </c>
      <c r="I2164" s="23" t="s">
        <v>100</v>
      </c>
      <c r="J2164" s="23" t="s">
        <v>339</v>
      </c>
      <c r="K2164" s="23" t="str">
        <f t="shared" si="36"/>
        <v>Warren, OH</v>
      </c>
      <c r="L2164" s="24"/>
    </row>
    <row r="2165">
      <c r="A2165" s="99">
        <v>2164.0</v>
      </c>
      <c r="B2165" s="15"/>
      <c r="C2165" s="15"/>
      <c r="D2165" s="105">
        <v>1.0</v>
      </c>
      <c r="E2165" s="102">
        <v>39.0</v>
      </c>
      <c r="F2165" s="107">
        <v>167.0</v>
      </c>
      <c r="G2165" s="15" t="str">
        <f t="shared" si="1"/>
        <v>39167</v>
      </c>
      <c r="H2165" s="23" t="s">
        <v>119</v>
      </c>
      <c r="I2165" s="23" t="s">
        <v>100</v>
      </c>
      <c r="J2165" s="23" t="s">
        <v>339</v>
      </c>
      <c r="K2165" s="23" t="str">
        <f t="shared" si="36"/>
        <v>Washington, OH</v>
      </c>
      <c r="L2165" s="24"/>
    </row>
    <row r="2166">
      <c r="A2166" s="99">
        <v>2165.0</v>
      </c>
      <c r="B2166" s="15"/>
      <c r="C2166" s="15"/>
      <c r="D2166" s="105">
        <v>1.0</v>
      </c>
      <c r="E2166" s="102">
        <v>39.0</v>
      </c>
      <c r="F2166" s="107">
        <v>169.0</v>
      </c>
      <c r="G2166" s="15" t="str">
        <f t="shared" si="1"/>
        <v>39169</v>
      </c>
      <c r="H2166" s="23" t="s">
        <v>273</v>
      </c>
      <c r="I2166" s="23" t="s">
        <v>100</v>
      </c>
      <c r="J2166" s="23" t="s">
        <v>339</v>
      </c>
      <c r="K2166" s="23" t="str">
        <f t="shared" si="36"/>
        <v>Wayne, OH</v>
      </c>
      <c r="L2166" s="24"/>
    </row>
    <row r="2167">
      <c r="A2167" s="99">
        <v>2166.0</v>
      </c>
      <c r="B2167" s="15"/>
      <c r="C2167" s="15"/>
      <c r="D2167" s="105">
        <v>1.0</v>
      </c>
      <c r="E2167" s="102">
        <v>39.0</v>
      </c>
      <c r="F2167" s="107">
        <v>171.0</v>
      </c>
      <c r="G2167" s="15" t="str">
        <f t="shared" si="1"/>
        <v>39171</v>
      </c>
      <c r="H2167" s="23" t="s">
        <v>1670</v>
      </c>
      <c r="I2167" s="23" t="s">
        <v>100</v>
      </c>
      <c r="J2167" s="23" t="s">
        <v>339</v>
      </c>
      <c r="K2167" s="23" t="str">
        <f t="shared" si="36"/>
        <v>Williams, OH</v>
      </c>
      <c r="L2167" s="24"/>
    </row>
    <row r="2168">
      <c r="A2168" s="99">
        <v>2167.0</v>
      </c>
      <c r="B2168" s="15"/>
      <c r="C2168" s="15"/>
      <c r="D2168" s="105">
        <v>1.0</v>
      </c>
      <c r="E2168" s="102">
        <v>39.0</v>
      </c>
      <c r="F2168" s="107">
        <v>173.0</v>
      </c>
      <c r="G2168" s="15" t="str">
        <f t="shared" si="1"/>
        <v>39173</v>
      </c>
      <c r="H2168" s="23" t="s">
        <v>1703</v>
      </c>
      <c r="I2168" s="23" t="s">
        <v>100</v>
      </c>
      <c r="J2168" s="23" t="s">
        <v>339</v>
      </c>
      <c r="K2168" s="23" t="str">
        <f t="shared" si="36"/>
        <v>Wood, OH</v>
      </c>
      <c r="L2168" s="24"/>
    </row>
    <row r="2169">
      <c r="A2169" s="99">
        <v>2168.0</v>
      </c>
      <c r="B2169" s="15"/>
      <c r="C2169" s="15"/>
      <c r="D2169" s="105">
        <v>1.0</v>
      </c>
      <c r="E2169" s="102">
        <v>39.0</v>
      </c>
      <c r="F2169" s="107">
        <v>175.0</v>
      </c>
      <c r="G2169" s="15" t="str">
        <f t="shared" si="1"/>
        <v>39175</v>
      </c>
      <c r="H2169" s="23" t="s">
        <v>1704</v>
      </c>
      <c r="I2169" s="23" t="s">
        <v>100</v>
      </c>
      <c r="J2169" s="23" t="s">
        <v>339</v>
      </c>
      <c r="K2169" s="23" t="str">
        <f t="shared" si="36"/>
        <v>Wyandot, OH</v>
      </c>
      <c r="L2169" s="24"/>
    </row>
    <row r="2170">
      <c r="A2170" s="28">
        <v>2169.0</v>
      </c>
      <c r="B2170" s="29"/>
      <c r="C2170" s="29" t="s">
        <v>25</v>
      </c>
      <c r="D2170" s="30"/>
      <c r="E2170" s="31">
        <v>40.0</v>
      </c>
      <c r="F2170" s="42">
        <v>0.0</v>
      </c>
      <c r="G2170" s="29" t="str">
        <f t="shared" si="1"/>
        <v>40000</v>
      </c>
      <c r="H2170" s="37"/>
      <c r="I2170" s="37" t="s">
        <v>102</v>
      </c>
      <c r="J2170" s="37" t="s">
        <v>519</v>
      </c>
      <c r="K2170" s="37"/>
      <c r="L2170" s="24"/>
    </row>
    <row r="2171">
      <c r="A2171" s="28">
        <v>2170.0</v>
      </c>
      <c r="B2171" s="29"/>
      <c r="C2171" s="29"/>
      <c r="D2171" s="40">
        <v>1.0</v>
      </c>
      <c r="E2171" s="31">
        <v>40.0</v>
      </c>
      <c r="F2171" s="42">
        <v>1.0</v>
      </c>
      <c r="G2171" s="29" t="str">
        <f t="shared" si="1"/>
        <v>40001</v>
      </c>
      <c r="H2171" s="37" t="s">
        <v>882</v>
      </c>
      <c r="I2171" s="37" t="s">
        <v>102</v>
      </c>
      <c r="J2171" s="37" t="s">
        <v>519</v>
      </c>
      <c r="K2171" s="37" t="str">
        <f t="shared" ref="K2171:K2247" si="37">CONCATENATE(H2171,", ",J2171)</f>
        <v>Adair, OK</v>
      </c>
      <c r="L2171" s="24"/>
    </row>
    <row r="2172">
      <c r="A2172" s="28">
        <v>2171.0</v>
      </c>
      <c r="B2172" s="29"/>
      <c r="C2172" s="29"/>
      <c r="D2172" s="40">
        <v>1.0</v>
      </c>
      <c r="E2172" s="31">
        <v>40.0</v>
      </c>
      <c r="F2172" s="42">
        <v>3.0</v>
      </c>
      <c r="G2172" s="29" t="str">
        <f t="shared" si="1"/>
        <v>40003</v>
      </c>
      <c r="H2172" s="37" t="s">
        <v>1705</v>
      </c>
      <c r="I2172" s="37" t="s">
        <v>102</v>
      </c>
      <c r="J2172" s="37" t="s">
        <v>519</v>
      </c>
      <c r="K2172" s="37" t="str">
        <f t="shared" si="37"/>
        <v>Alfalfa, OK</v>
      </c>
      <c r="L2172" s="24"/>
    </row>
    <row r="2173">
      <c r="A2173" s="28">
        <v>2172.0</v>
      </c>
      <c r="B2173" s="29"/>
      <c r="C2173" s="29"/>
      <c r="D2173" s="40">
        <v>1.0</v>
      </c>
      <c r="E2173" s="31">
        <v>40.0</v>
      </c>
      <c r="F2173" s="42">
        <v>5.0</v>
      </c>
      <c r="G2173" s="29" t="str">
        <f t="shared" si="1"/>
        <v>40005</v>
      </c>
      <c r="H2173" s="37" t="s">
        <v>1708</v>
      </c>
      <c r="I2173" s="37" t="s">
        <v>102</v>
      </c>
      <c r="J2173" s="37" t="s">
        <v>519</v>
      </c>
      <c r="K2173" s="37" t="str">
        <f t="shared" si="37"/>
        <v>Atoka, OK</v>
      </c>
      <c r="L2173" s="24"/>
    </row>
    <row r="2174">
      <c r="A2174" s="28">
        <v>2173.0</v>
      </c>
      <c r="B2174" s="29"/>
      <c r="C2174" s="29"/>
      <c r="D2174" s="40">
        <v>1.0</v>
      </c>
      <c r="E2174" s="31">
        <v>40.0</v>
      </c>
      <c r="F2174" s="42">
        <v>7.0</v>
      </c>
      <c r="G2174" s="29" t="str">
        <f t="shared" si="1"/>
        <v>40007</v>
      </c>
      <c r="H2174" s="37" t="s">
        <v>1710</v>
      </c>
      <c r="I2174" s="37" t="s">
        <v>102</v>
      </c>
      <c r="J2174" s="37" t="s">
        <v>519</v>
      </c>
      <c r="K2174" s="37" t="str">
        <f t="shared" si="37"/>
        <v>Beaver, OK</v>
      </c>
      <c r="L2174" s="24"/>
    </row>
    <row r="2175">
      <c r="A2175" s="28">
        <v>2174.0</v>
      </c>
      <c r="B2175" s="29"/>
      <c r="C2175" s="29"/>
      <c r="D2175" s="40">
        <v>1.0</v>
      </c>
      <c r="E2175" s="31">
        <v>40.0</v>
      </c>
      <c r="F2175" s="42">
        <v>9.0</v>
      </c>
      <c r="G2175" s="29" t="str">
        <f t="shared" si="1"/>
        <v>40009</v>
      </c>
      <c r="H2175" s="37" t="s">
        <v>1711</v>
      </c>
      <c r="I2175" s="37" t="s">
        <v>102</v>
      </c>
      <c r="J2175" s="37" t="s">
        <v>519</v>
      </c>
      <c r="K2175" s="37" t="str">
        <f t="shared" si="37"/>
        <v>Beckham, OK</v>
      </c>
      <c r="L2175" s="24"/>
    </row>
    <row r="2176">
      <c r="A2176" s="28">
        <v>2175.0</v>
      </c>
      <c r="B2176" s="29"/>
      <c r="C2176" s="29"/>
      <c r="D2176" s="40">
        <v>1.0</v>
      </c>
      <c r="E2176" s="31">
        <v>40.0</v>
      </c>
      <c r="F2176" s="42">
        <v>11.0</v>
      </c>
      <c r="G2176" s="29" t="str">
        <f t="shared" si="1"/>
        <v>40011</v>
      </c>
      <c r="H2176" s="37" t="s">
        <v>666</v>
      </c>
      <c r="I2176" s="37" t="s">
        <v>102</v>
      </c>
      <c r="J2176" s="37" t="s">
        <v>519</v>
      </c>
      <c r="K2176" s="37" t="str">
        <f t="shared" si="37"/>
        <v>Blaine, OK</v>
      </c>
      <c r="L2176" s="24"/>
    </row>
    <row r="2177">
      <c r="A2177" s="28">
        <v>2176.0</v>
      </c>
      <c r="B2177" s="29"/>
      <c r="C2177" s="29"/>
      <c r="D2177" s="40">
        <v>1.0</v>
      </c>
      <c r="E2177" s="31">
        <v>40.0</v>
      </c>
      <c r="F2177" s="42">
        <v>13.0</v>
      </c>
      <c r="G2177" s="29" t="str">
        <f t="shared" si="1"/>
        <v>40013</v>
      </c>
      <c r="H2177" s="37" t="s">
        <v>544</v>
      </c>
      <c r="I2177" s="37" t="s">
        <v>102</v>
      </c>
      <c r="J2177" s="37" t="s">
        <v>519</v>
      </c>
      <c r="K2177" s="37" t="str">
        <f t="shared" si="37"/>
        <v>Bryan, OK</v>
      </c>
      <c r="L2177" s="24"/>
    </row>
    <row r="2178">
      <c r="A2178" s="28">
        <v>2177.0</v>
      </c>
      <c r="B2178" s="29"/>
      <c r="C2178" s="29"/>
      <c r="D2178" s="40">
        <v>1.0</v>
      </c>
      <c r="E2178" s="31">
        <v>40.0</v>
      </c>
      <c r="F2178" s="42">
        <v>15.0</v>
      </c>
      <c r="G2178" s="29" t="str">
        <f t="shared" si="1"/>
        <v>40015</v>
      </c>
      <c r="H2178" s="37" t="s">
        <v>1147</v>
      </c>
      <c r="I2178" s="37" t="s">
        <v>102</v>
      </c>
      <c r="J2178" s="37" t="s">
        <v>519</v>
      </c>
      <c r="K2178" s="37" t="str">
        <f t="shared" si="37"/>
        <v>Caddo, OK</v>
      </c>
      <c r="L2178" s="24"/>
    </row>
    <row r="2179">
      <c r="A2179" s="28">
        <v>2178.0</v>
      </c>
      <c r="B2179" s="29"/>
      <c r="C2179" s="29"/>
      <c r="D2179" s="40">
        <v>1.0</v>
      </c>
      <c r="E2179" s="31">
        <v>40.0</v>
      </c>
      <c r="F2179" s="42">
        <v>17.0</v>
      </c>
      <c r="G2179" s="29" t="str">
        <f t="shared" si="1"/>
        <v>40017</v>
      </c>
      <c r="H2179" s="37" t="s">
        <v>1716</v>
      </c>
      <c r="I2179" s="37" t="s">
        <v>102</v>
      </c>
      <c r="J2179" s="37" t="s">
        <v>519</v>
      </c>
      <c r="K2179" s="37" t="str">
        <f t="shared" si="37"/>
        <v>Canadian, OK</v>
      </c>
      <c r="L2179" s="24"/>
    </row>
    <row r="2180">
      <c r="A2180" s="28">
        <v>2179.0</v>
      </c>
      <c r="B2180" s="29"/>
      <c r="C2180" s="29"/>
      <c r="D2180" s="40">
        <v>1.0</v>
      </c>
      <c r="E2180" s="31">
        <v>40.0</v>
      </c>
      <c r="F2180" s="42">
        <v>19.0</v>
      </c>
      <c r="G2180" s="29" t="str">
        <f t="shared" si="1"/>
        <v>40019</v>
      </c>
      <c r="H2180" s="37" t="s">
        <v>1038</v>
      </c>
      <c r="I2180" s="37" t="s">
        <v>102</v>
      </c>
      <c r="J2180" s="37" t="s">
        <v>519</v>
      </c>
      <c r="K2180" s="37" t="str">
        <f t="shared" si="37"/>
        <v>Carter, OK</v>
      </c>
      <c r="L2180" s="24"/>
    </row>
    <row r="2181">
      <c r="A2181" s="28">
        <v>2180.0</v>
      </c>
      <c r="B2181" s="29"/>
      <c r="C2181" s="29"/>
      <c r="D2181" s="40">
        <v>1.0</v>
      </c>
      <c r="E2181" s="31">
        <v>40.0</v>
      </c>
      <c r="F2181" s="42">
        <v>21.0</v>
      </c>
      <c r="G2181" s="29" t="str">
        <f t="shared" si="1"/>
        <v>40021</v>
      </c>
      <c r="H2181" s="37" t="s">
        <v>101</v>
      </c>
      <c r="I2181" s="37" t="s">
        <v>102</v>
      </c>
      <c r="J2181" s="37" t="s">
        <v>519</v>
      </c>
      <c r="K2181" s="37" t="str">
        <f t="shared" si="37"/>
        <v>Cherokee, OK</v>
      </c>
      <c r="L2181" s="24"/>
    </row>
    <row r="2182">
      <c r="A2182" s="28">
        <v>2181.0</v>
      </c>
      <c r="B2182" s="29"/>
      <c r="C2182" s="29"/>
      <c r="D2182" s="40">
        <v>1.0</v>
      </c>
      <c r="E2182" s="31">
        <v>40.0</v>
      </c>
      <c r="F2182" s="42">
        <v>23.0</v>
      </c>
      <c r="G2182" s="29" t="str">
        <f t="shared" si="1"/>
        <v>40023</v>
      </c>
      <c r="H2182" s="37" t="s">
        <v>107</v>
      </c>
      <c r="I2182" s="37" t="s">
        <v>102</v>
      </c>
      <c r="J2182" s="37" t="s">
        <v>519</v>
      </c>
      <c r="K2182" s="37" t="str">
        <f t="shared" si="37"/>
        <v>Choctaw, OK</v>
      </c>
      <c r="L2182" s="24"/>
    </row>
    <row r="2183">
      <c r="A2183" s="28">
        <v>2182.0</v>
      </c>
      <c r="B2183" s="29"/>
      <c r="C2183" s="29"/>
      <c r="D2183" s="40">
        <v>1.0</v>
      </c>
      <c r="E2183" s="31">
        <v>40.0</v>
      </c>
      <c r="F2183" s="42">
        <v>25.0</v>
      </c>
      <c r="G2183" s="29" t="str">
        <f t="shared" si="1"/>
        <v>40025</v>
      </c>
      <c r="H2183" s="37" t="s">
        <v>1717</v>
      </c>
      <c r="I2183" s="37" t="s">
        <v>102</v>
      </c>
      <c r="J2183" s="37" t="s">
        <v>519</v>
      </c>
      <c r="K2183" s="37" t="str">
        <f t="shared" si="37"/>
        <v>Cimarron, OK</v>
      </c>
      <c r="L2183" s="24"/>
    </row>
    <row r="2184">
      <c r="A2184" s="28">
        <v>2183.0</v>
      </c>
      <c r="B2184" s="29"/>
      <c r="C2184" s="29"/>
      <c r="D2184" s="40">
        <v>1.0</v>
      </c>
      <c r="E2184" s="31">
        <v>40.0</v>
      </c>
      <c r="F2184" s="42">
        <v>27.0</v>
      </c>
      <c r="G2184" s="29" t="str">
        <f t="shared" si="1"/>
        <v>40027</v>
      </c>
      <c r="H2184" s="37" t="s">
        <v>257</v>
      </c>
      <c r="I2184" s="37" t="s">
        <v>102</v>
      </c>
      <c r="J2184" s="37" t="s">
        <v>519</v>
      </c>
      <c r="K2184" s="37" t="str">
        <f t="shared" si="37"/>
        <v>Cleveland, OK</v>
      </c>
      <c r="L2184" s="24"/>
    </row>
    <row r="2185">
      <c r="A2185" s="28">
        <v>2184.0</v>
      </c>
      <c r="B2185" s="29"/>
      <c r="C2185" s="29"/>
      <c r="D2185" s="40">
        <v>1.0</v>
      </c>
      <c r="E2185" s="31">
        <v>40.0</v>
      </c>
      <c r="F2185" s="42">
        <v>29.0</v>
      </c>
      <c r="G2185" s="29" t="str">
        <f t="shared" si="1"/>
        <v>40029</v>
      </c>
      <c r="H2185" s="37" t="s">
        <v>1718</v>
      </c>
      <c r="I2185" s="37" t="s">
        <v>102</v>
      </c>
      <c r="J2185" s="37" t="s">
        <v>519</v>
      </c>
      <c r="K2185" s="37" t="str">
        <f t="shared" si="37"/>
        <v>Coal, OK</v>
      </c>
      <c r="L2185" s="24"/>
    </row>
    <row r="2186">
      <c r="A2186" s="28">
        <v>2185.0</v>
      </c>
      <c r="B2186" s="29"/>
      <c r="C2186" s="29"/>
      <c r="D2186" s="40">
        <v>1.0</v>
      </c>
      <c r="E2186" s="31">
        <v>40.0</v>
      </c>
      <c r="F2186" s="42">
        <v>31.0</v>
      </c>
      <c r="G2186" s="29" t="str">
        <f t="shared" si="1"/>
        <v>40031</v>
      </c>
      <c r="H2186" s="37" t="s">
        <v>964</v>
      </c>
      <c r="I2186" s="37" t="s">
        <v>102</v>
      </c>
      <c r="J2186" s="37" t="s">
        <v>519</v>
      </c>
      <c r="K2186" s="37" t="str">
        <f t="shared" si="37"/>
        <v>Comanche, OK</v>
      </c>
      <c r="L2186" s="24"/>
    </row>
    <row r="2187">
      <c r="A2187" s="28">
        <v>2186.0</v>
      </c>
      <c r="B2187" s="29"/>
      <c r="C2187" s="29"/>
      <c r="D2187" s="40">
        <v>1.0</v>
      </c>
      <c r="E2187" s="31">
        <v>40.0</v>
      </c>
      <c r="F2187" s="42">
        <v>33.0</v>
      </c>
      <c r="G2187" s="29" t="str">
        <f t="shared" si="1"/>
        <v>40033</v>
      </c>
      <c r="H2187" s="37" t="s">
        <v>1720</v>
      </c>
      <c r="I2187" s="37" t="s">
        <v>102</v>
      </c>
      <c r="J2187" s="37" t="s">
        <v>519</v>
      </c>
      <c r="K2187" s="37" t="str">
        <f t="shared" si="37"/>
        <v>Cotton, OK</v>
      </c>
      <c r="L2187" s="24"/>
    </row>
    <row r="2188">
      <c r="A2188" s="28">
        <v>2187.0</v>
      </c>
      <c r="B2188" s="29"/>
      <c r="C2188" s="29"/>
      <c r="D2188" s="40">
        <v>1.0</v>
      </c>
      <c r="E2188" s="31">
        <v>40.0</v>
      </c>
      <c r="F2188" s="42">
        <v>35.0</v>
      </c>
      <c r="G2188" s="29" t="str">
        <f t="shared" si="1"/>
        <v>40035</v>
      </c>
      <c r="H2188" s="37" t="s">
        <v>1721</v>
      </c>
      <c r="I2188" s="37" t="s">
        <v>102</v>
      </c>
      <c r="J2188" s="37" t="s">
        <v>519</v>
      </c>
      <c r="K2188" s="37" t="str">
        <f t="shared" si="37"/>
        <v>Craig, OK</v>
      </c>
      <c r="L2188" s="24"/>
    </row>
    <row r="2189">
      <c r="A2189" s="28">
        <v>2188.0</v>
      </c>
      <c r="B2189" s="29"/>
      <c r="C2189" s="29"/>
      <c r="D2189" s="40">
        <v>1.0</v>
      </c>
      <c r="E2189" s="31">
        <v>40.0</v>
      </c>
      <c r="F2189" s="42">
        <v>37.0</v>
      </c>
      <c r="G2189" s="29" t="str">
        <f t="shared" si="1"/>
        <v>40037</v>
      </c>
      <c r="H2189" s="37" t="s">
        <v>1722</v>
      </c>
      <c r="I2189" s="37" t="s">
        <v>102</v>
      </c>
      <c r="J2189" s="37" t="s">
        <v>519</v>
      </c>
      <c r="K2189" s="37" t="str">
        <f t="shared" si="37"/>
        <v>Creek, OK</v>
      </c>
      <c r="L2189" s="24"/>
    </row>
    <row r="2190">
      <c r="A2190" s="28">
        <v>2189.0</v>
      </c>
      <c r="B2190" s="29"/>
      <c r="C2190" s="29"/>
      <c r="D2190" s="40">
        <v>1.0</v>
      </c>
      <c r="E2190" s="31">
        <v>40.0</v>
      </c>
      <c r="F2190" s="42">
        <v>39.0</v>
      </c>
      <c r="G2190" s="29" t="str">
        <f t="shared" si="1"/>
        <v>40039</v>
      </c>
      <c r="H2190" s="37" t="s">
        <v>406</v>
      </c>
      <c r="I2190" s="37" t="s">
        <v>102</v>
      </c>
      <c r="J2190" s="37" t="s">
        <v>519</v>
      </c>
      <c r="K2190" s="37" t="str">
        <f t="shared" si="37"/>
        <v>Custer, OK</v>
      </c>
      <c r="L2190" s="24"/>
    </row>
    <row r="2191">
      <c r="A2191" s="28">
        <v>2190.0</v>
      </c>
      <c r="B2191" s="29"/>
      <c r="C2191" s="29"/>
      <c r="D2191" s="40">
        <v>1.0</v>
      </c>
      <c r="E2191" s="31">
        <v>40.0</v>
      </c>
      <c r="F2191" s="42">
        <v>41.0</v>
      </c>
      <c r="G2191" s="29" t="str">
        <f t="shared" si="1"/>
        <v>40041</v>
      </c>
      <c r="H2191" s="37" t="s">
        <v>40</v>
      </c>
      <c r="I2191" s="37" t="s">
        <v>102</v>
      </c>
      <c r="J2191" s="37" t="s">
        <v>519</v>
      </c>
      <c r="K2191" s="37" t="str">
        <f t="shared" si="37"/>
        <v>Delaware, OK</v>
      </c>
      <c r="L2191" s="24"/>
    </row>
    <row r="2192">
      <c r="A2192" s="28">
        <v>2191.0</v>
      </c>
      <c r="B2192" s="29"/>
      <c r="C2192" s="29"/>
      <c r="D2192" s="40">
        <v>1.0</v>
      </c>
      <c r="E2192" s="31">
        <v>40.0</v>
      </c>
      <c r="F2192" s="42">
        <v>43.0</v>
      </c>
      <c r="G2192" s="29" t="str">
        <f t="shared" si="1"/>
        <v>40043</v>
      </c>
      <c r="H2192" s="37" t="s">
        <v>1723</v>
      </c>
      <c r="I2192" s="37" t="s">
        <v>102</v>
      </c>
      <c r="J2192" s="37" t="s">
        <v>519</v>
      </c>
      <c r="K2192" s="37" t="str">
        <f t="shared" si="37"/>
        <v>Dewey, OK</v>
      </c>
      <c r="L2192" s="24"/>
    </row>
    <row r="2193">
      <c r="A2193" s="28">
        <v>2192.0</v>
      </c>
      <c r="B2193" s="29"/>
      <c r="C2193" s="29"/>
      <c r="D2193" s="40">
        <v>1.0</v>
      </c>
      <c r="E2193" s="31">
        <v>40.0</v>
      </c>
      <c r="F2193" s="42">
        <v>45.0</v>
      </c>
      <c r="G2193" s="29" t="str">
        <f t="shared" si="1"/>
        <v>40045</v>
      </c>
      <c r="H2193" s="37" t="s">
        <v>969</v>
      </c>
      <c r="I2193" s="37" t="s">
        <v>102</v>
      </c>
      <c r="J2193" s="37" t="s">
        <v>519</v>
      </c>
      <c r="K2193" s="37" t="str">
        <f t="shared" si="37"/>
        <v>Ellis, OK</v>
      </c>
      <c r="L2193" s="24"/>
    </row>
    <row r="2194">
      <c r="A2194" s="28">
        <v>2193.0</v>
      </c>
      <c r="B2194" s="29"/>
      <c r="C2194" s="29"/>
      <c r="D2194" s="40">
        <v>1.0</v>
      </c>
      <c r="E2194" s="31">
        <v>40.0</v>
      </c>
      <c r="F2194" s="42">
        <v>47.0</v>
      </c>
      <c r="G2194" s="29" t="str">
        <f t="shared" si="1"/>
        <v>40047</v>
      </c>
      <c r="H2194" s="37" t="s">
        <v>417</v>
      </c>
      <c r="I2194" s="37" t="s">
        <v>102</v>
      </c>
      <c r="J2194" s="37" t="s">
        <v>519</v>
      </c>
      <c r="K2194" s="37" t="str">
        <f t="shared" si="37"/>
        <v>Garfield, OK</v>
      </c>
      <c r="L2194" s="24"/>
    </row>
    <row r="2195">
      <c r="A2195" s="28">
        <v>2194.0</v>
      </c>
      <c r="B2195" s="29"/>
      <c r="C2195" s="29"/>
      <c r="D2195" s="40">
        <v>1.0</v>
      </c>
      <c r="E2195" s="31">
        <v>40.0</v>
      </c>
      <c r="F2195" s="42">
        <v>49.0</v>
      </c>
      <c r="G2195" s="29" t="str">
        <f t="shared" si="1"/>
        <v>40049</v>
      </c>
      <c r="H2195" s="37" t="s">
        <v>1726</v>
      </c>
      <c r="I2195" s="37" t="s">
        <v>102</v>
      </c>
      <c r="J2195" s="37" t="s">
        <v>519</v>
      </c>
      <c r="K2195" s="37" t="str">
        <f t="shared" si="37"/>
        <v>Garvin, OK</v>
      </c>
      <c r="L2195" s="24"/>
    </row>
    <row r="2196">
      <c r="A2196" s="28">
        <v>2195.0</v>
      </c>
      <c r="B2196" s="29"/>
      <c r="C2196" s="29"/>
      <c r="D2196" s="40">
        <v>1.0</v>
      </c>
      <c r="E2196" s="31">
        <v>40.0</v>
      </c>
      <c r="F2196" s="42">
        <v>51.0</v>
      </c>
      <c r="G2196" s="29" t="str">
        <f t="shared" si="1"/>
        <v>40051</v>
      </c>
      <c r="H2196" s="37" t="s">
        <v>584</v>
      </c>
      <c r="I2196" s="37" t="s">
        <v>102</v>
      </c>
      <c r="J2196" s="37" t="s">
        <v>519</v>
      </c>
      <c r="K2196" s="37" t="str">
        <f t="shared" si="37"/>
        <v>Grady, OK</v>
      </c>
      <c r="L2196" s="24"/>
    </row>
    <row r="2197">
      <c r="A2197" s="28">
        <v>2196.0</v>
      </c>
      <c r="B2197" s="29"/>
      <c r="C2197" s="29"/>
      <c r="D2197" s="40">
        <v>1.0</v>
      </c>
      <c r="E2197" s="31">
        <v>40.0</v>
      </c>
      <c r="F2197" s="42">
        <v>53.0</v>
      </c>
      <c r="G2197" s="29" t="str">
        <f t="shared" si="1"/>
        <v>40053</v>
      </c>
      <c r="H2197" s="37" t="s">
        <v>278</v>
      </c>
      <c r="I2197" s="37" t="s">
        <v>102</v>
      </c>
      <c r="J2197" s="37" t="s">
        <v>519</v>
      </c>
      <c r="K2197" s="37" t="str">
        <f t="shared" si="37"/>
        <v>Grant, OK</v>
      </c>
      <c r="L2197" s="24"/>
    </row>
    <row r="2198">
      <c r="A2198" s="28">
        <v>2197.0</v>
      </c>
      <c r="B2198" s="29"/>
      <c r="C2198" s="29"/>
      <c r="D2198" s="40">
        <v>1.0</v>
      </c>
      <c r="E2198" s="31">
        <v>40.0</v>
      </c>
      <c r="F2198" s="42">
        <v>55.0</v>
      </c>
      <c r="G2198" s="29" t="str">
        <f t="shared" si="1"/>
        <v>40055</v>
      </c>
      <c r="H2198" s="37" t="s">
        <v>1727</v>
      </c>
      <c r="I2198" s="37" t="s">
        <v>102</v>
      </c>
      <c r="J2198" s="37" t="s">
        <v>519</v>
      </c>
      <c r="K2198" s="37" t="str">
        <f t="shared" si="37"/>
        <v>Greer, OK</v>
      </c>
      <c r="L2198" s="24"/>
    </row>
    <row r="2199">
      <c r="A2199" s="28">
        <v>2198.0</v>
      </c>
      <c r="B2199" s="29"/>
      <c r="C2199" s="29"/>
      <c r="D2199" s="40">
        <v>1.0</v>
      </c>
      <c r="E2199" s="31">
        <v>40.0</v>
      </c>
      <c r="F2199" s="42">
        <v>57.0</v>
      </c>
      <c r="G2199" s="29" t="str">
        <f t="shared" si="1"/>
        <v>40057</v>
      </c>
      <c r="H2199" s="37" t="s">
        <v>1729</v>
      </c>
      <c r="I2199" s="37" t="s">
        <v>102</v>
      </c>
      <c r="J2199" s="37" t="s">
        <v>519</v>
      </c>
      <c r="K2199" s="37" t="str">
        <f t="shared" si="37"/>
        <v>Harmon, OK</v>
      </c>
      <c r="L2199" s="24"/>
    </row>
    <row r="2200">
      <c r="A2200" s="28">
        <v>2199.0</v>
      </c>
      <c r="B2200" s="29"/>
      <c r="C2200" s="29"/>
      <c r="D2200" s="40">
        <v>1.0</v>
      </c>
      <c r="E2200" s="31">
        <v>40.0</v>
      </c>
      <c r="F2200" s="42">
        <v>59.0</v>
      </c>
      <c r="G2200" s="29" t="str">
        <f t="shared" si="1"/>
        <v>40059</v>
      </c>
      <c r="H2200" s="37" t="s">
        <v>978</v>
      </c>
      <c r="I2200" s="37" t="s">
        <v>102</v>
      </c>
      <c r="J2200" s="37" t="s">
        <v>519</v>
      </c>
      <c r="K2200" s="37" t="str">
        <f t="shared" si="37"/>
        <v>Harper, OK</v>
      </c>
      <c r="L2200" s="24"/>
    </row>
    <row r="2201">
      <c r="A2201" s="28">
        <v>2200.0</v>
      </c>
      <c r="B2201" s="29"/>
      <c r="C2201" s="29"/>
      <c r="D2201" s="40">
        <v>1.0</v>
      </c>
      <c r="E2201" s="31">
        <v>40.0</v>
      </c>
      <c r="F2201" s="42">
        <v>61.0</v>
      </c>
      <c r="G2201" s="29" t="str">
        <f t="shared" si="1"/>
        <v>40061</v>
      </c>
      <c r="H2201" s="37" t="s">
        <v>980</v>
      </c>
      <c r="I2201" s="37" t="s">
        <v>102</v>
      </c>
      <c r="J2201" s="37" t="s">
        <v>519</v>
      </c>
      <c r="K2201" s="37" t="str">
        <f t="shared" si="37"/>
        <v>Haskell, OK</v>
      </c>
      <c r="L2201" s="24"/>
    </row>
    <row r="2202">
      <c r="A2202" s="28">
        <v>2201.0</v>
      </c>
      <c r="B2202" s="29"/>
      <c r="C2202" s="29"/>
      <c r="D2202" s="40">
        <v>1.0</v>
      </c>
      <c r="E2202" s="31">
        <v>40.0</v>
      </c>
      <c r="F2202" s="42">
        <v>63.0</v>
      </c>
      <c r="G2202" s="29" t="str">
        <f t="shared" si="1"/>
        <v>40063</v>
      </c>
      <c r="H2202" s="37" t="s">
        <v>1730</v>
      </c>
      <c r="I2202" s="37" t="s">
        <v>102</v>
      </c>
      <c r="J2202" s="37" t="s">
        <v>519</v>
      </c>
      <c r="K2202" s="37" t="str">
        <f t="shared" si="37"/>
        <v>Hughes, OK</v>
      </c>
      <c r="L2202" s="24"/>
    </row>
    <row r="2203">
      <c r="A2203" s="28">
        <v>2202.0</v>
      </c>
      <c r="B2203" s="29"/>
      <c r="C2203" s="29"/>
      <c r="D2203" s="40">
        <v>1.0</v>
      </c>
      <c r="E2203" s="31">
        <v>40.0</v>
      </c>
      <c r="F2203" s="42">
        <v>65.0</v>
      </c>
      <c r="G2203" s="29" t="str">
        <f t="shared" si="1"/>
        <v>40065</v>
      </c>
      <c r="H2203" s="37" t="s">
        <v>142</v>
      </c>
      <c r="I2203" s="37" t="s">
        <v>102</v>
      </c>
      <c r="J2203" s="37" t="s">
        <v>519</v>
      </c>
      <c r="K2203" s="37" t="str">
        <f t="shared" si="37"/>
        <v>Jackson, OK</v>
      </c>
      <c r="L2203" s="24"/>
    </row>
    <row r="2204">
      <c r="A2204" s="28">
        <v>2203.0</v>
      </c>
      <c r="B2204" s="29"/>
      <c r="C2204" s="29"/>
      <c r="D2204" s="40">
        <v>1.0</v>
      </c>
      <c r="E2204" s="31">
        <v>40.0</v>
      </c>
      <c r="F2204" s="42">
        <v>67.0</v>
      </c>
      <c r="G2204" s="29" t="str">
        <f t="shared" si="1"/>
        <v>40067</v>
      </c>
      <c r="H2204" s="37" t="s">
        <v>143</v>
      </c>
      <c r="I2204" s="37" t="s">
        <v>102</v>
      </c>
      <c r="J2204" s="37" t="s">
        <v>519</v>
      </c>
      <c r="K2204" s="37" t="str">
        <f t="shared" si="37"/>
        <v>Jefferson, OK</v>
      </c>
      <c r="L2204" s="24"/>
    </row>
    <row r="2205">
      <c r="A2205" s="28">
        <v>2204.0</v>
      </c>
      <c r="B2205" s="29"/>
      <c r="C2205" s="29"/>
      <c r="D2205" s="40">
        <v>1.0</v>
      </c>
      <c r="E2205" s="31">
        <v>40.0</v>
      </c>
      <c r="F2205" s="42">
        <v>69.0</v>
      </c>
      <c r="G2205" s="29" t="str">
        <f t="shared" si="1"/>
        <v>40069</v>
      </c>
      <c r="H2205" s="37" t="s">
        <v>1612</v>
      </c>
      <c r="I2205" s="37" t="s">
        <v>102</v>
      </c>
      <c r="J2205" s="37" t="s">
        <v>519</v>
      </c>
      <c r="K2205" s="37" t="str">
        <f t="shared" si="37"/>
        <v>Johnston, OK</v>
      </c>
      <c r="L2205" s="24"/>
    </row>
    <row r="2206">
      <c r="A2206" s="28">
        <v>2205.0</v>
      </c>
      <c r="B2206" s="29"/>
      <c r="C2206" s="29"/>
      <c r="D2206" s="40">
        <v>1.0</v>
      </c>
      <c r="E2206" s="31">
        <v>40.0</v>
      </c>
      <c r="F2206" s="42">
        <v>71.0</v>
      </c>
      <c r="G2206" s="29" t="str">
        <f t="shared" si="1"/>
        <v>40071</v>
      </c>
      <c r="H2206" s="37" t="s">
        <v>1732</v>
      </c>
      <c r="I2206" s="37" t="s">
        <v>102</v>
      </c>
      <c r="J2206" s="37" t="s">
        <v>519</v>
      </c>
      <c r="K2206" s="37" t="str">
        <f t="shared" si="37"/>
        <v>Kay, OK</v>
      </c>
      <c r="L2206" s="24"/>
    </row>
    <row r="2207">
      <c r="A2207" s="28">
        <v>2206.0</v>
      </c>
      <c r="B2207" s="29"/>
      <c r="C2207" s="29"/>
      <c r="D2207" s="40">
        <v>1.0</v>
      </c>
      <c r="E2207" s="31">
        <v>40.0</v>
      </c>
      <c r="F2207" s="42">
        <v>73.0</v>
      </c>
      <c r="G2207" s="29" t="str">
        <f t="shared" si="1"/>
        <v>40073</v>
      </c>
      <c r="H2207" s="37" t="s">
        <v>1733</v>
      </c>
      <c r="I2207" s="37" t="s">
        <v>102</v>
      </c>
      <c r="J2207" s="37" t="s">
        <v>519</v>
      </c>
      <c r="K2207" s="37" t="str">
        <f t="shared" si="37"/>
        <v>Kingfisher, OK</v>
      </c>
      <c r="L2207" s="24"/>
    </row>
    <row r="2208">
      <c r="A2208" s="28">
        <v>2207.0</v>
      </c>
      <c r="B2208" s="29"/>
      <c r="C2208" s="29"/>
      <c r="D2208" s="40">
        <v>1.0</v>
      </c>
      <c r="E2208" s="31">
        <v>40.0</v>
      </c>
      <c r="F2208" s="42">
        <v>75.0</v>
      </c>
      <c r="G2208" s="29" t="str">
        <f t="shared" si="1"/>
        <v>40075</v>
      </c>
      <c r="H2208" s="37" t="s">
        <v>427</v>
      </c>
      <c r="I2208" s="37" t="s">
        <v>102</v>
      </c>
      <c r="J2208" s="37" t="s">
        <v>519</v>
      </c>
      <c r="K2208" s="37" t="str">
        <f t="shared" si="37"/>
        <v>Kiowa, OK</v>
      </c>
      <c r="L2208" s="24"/>
    </row>
    <row r="2209">
      <c r="A2209" s="28">
        <v>2208.0</v>
      </c>
      <c r="B2209" s="29"/>
      <c r="C2209" s="29"/>
      <c r="D2209" s="40">
        <v>1.0</v>
      </c>
      <c r="E2209" s="31">
        <v>40.0</v>
      </c>
      <c r="F2209" s="42">
        <v>77.0</v>
      </c>
      <c r="G2209" s="29" t="str">
        <f t="shared" si="1"/>
        <v>40077</v>
      </c>
      <c r="H2209" s="37" t="s">
        <v>1735</v>
      </c>
      <c r="I2209" s="37" t="s">
        <v>102</v>
      </c>
      <c r="J2209" s="37" t="s">
        <v>519</v>
      </c>
      <c r="K2209" s="37" t="str">
        <f t="shared" si="37"/>
        <v>Latimer, OK</v>
      </c>
      <c r="L2209" s="24"/>
    </row>
    <row r="2210">
      <c r="A2210" s="28">
        <v>2209.0</v>
      </c>
      <c r="B2210" s="29"/>
      <c r="C2210" s="29"/>
      <c r="D2210" s="40">
        <v>1.0</v>
      </c>
      <c r="E2210" s="31">
        <v>40.0</v>
      </c>
      <c r="F2210" s="42">
        <v>79.0</v>
      </c>
      <c r="G2210" s="29" t="str">
        <f t="shared" si="1"/>
        <v>40079</v>
      </c>
      <c r="H2210" s="37" t="s">
        <v>1736</v>
      </c>
      <c r="I2210" s="37" t="s">
        <v>102</v>
      </c>
      <c r="J2210" s="37" t="s">
        <v>519</v>
      </c>
      <c r="K2210" s="37" t="str">
        <f t="shared" si="37"/>
        <v>Le Flore, OK</v>
      </c>
      <c r="L2210" s="24"/>
    </row>
    <row r="2211">
      <c r="A2211" s="28">
        <v>2210.0</v>
      </c>
      <c r="B2211" s="29"/>
      <c r="C2211" s="29"/>
      <c r="D2211" s="40">
        <v>1.0</v>
      </c>
      <c r="E2211" s="31">
        <v>40.0</v>
      </c>
      <c r="F2211" s="42">
        <v>81.0</v>
      </c>
      <c r="G2211" s="29" t="str">
        <f t="shared" si="1"/>
        <v>40081</v>
      </c>
      <c r="H2211" s="37" t="s">
        <v>290</v>
      </c>
      <c r="I2211" s="37" t="s">
        <v>102</v>
      </c>
      <c r="J2211" s="37" t="s">
        <v>519</v>
      </c>
      <c r="K2211" s="37" t="str">
        <f t="shared" si="37"/>
        <v>Lincoln, OK</v>
      </c>
      <c r="L2211" s="24"/>
    </row>
    <row r="2212">
      <c r="A2212" s="28">
        <v>2211.0</v>
      </c>
      <c r="B2212" s="29"/>
      <c r="C2212" s="29"/>
      <c r="D2212" s="40">
        <v>1.0</v>
      </c>
      <c r="E2212" s="31">
        <v>40.0</v>
      </c>
      <c r="F2212" s="42">
        <v>83.0</v>
      </c>
      <c r="G2212" s="29" t="str">
        <f t="shared" si="1"/>
        <v>40083</v>
      </c>
      <c r="H2212" s="37" t="s">
        <v>293</v>
      </c>
      <c r="I2212" s="37" t="s">
        <v>102</v>
      </c>
      <c r="J2212" s="37" t="s">
        <v>519</v>
      </c>
      <c r="K2212" s="37" t="str">
        <f t="shared" si="37"/>
        <v>Logan, OK</v>
      </c>
      <c r="L2212" s="24"/>
    </row>
    <row r="2213">
      <c r="A2213" s="28">
        <v>2212.0</v>
      </c>
      <c r="B2213" s="29"/>
      <c r="C2213" s="29"/>
      <c r="D2213" s="40">
        <v>1.0</v>
      </c>
      <c r="E2213" s="31">
        <v>40.0</v>
      </c>
      <c r="F2213" s="42">
        <v>85.0</v>
      </c>
      <c r="G2213" s="29" t="str">
        <f t="shared" si="1"/>
        <v>40085</v>
      </c>
      <c r="H2213" s="37" t="s">
        <v>1739</v>
      </c>
      <c r="I2213" s="37" t="s">
        <v>102</v>
      </c>
      <c r="J2213" s="37" t="s">
        <v>519</v>
      </c>
      <c r="K2213" s="37" t="str">
        <f t="shared" si="37"/>
        <v>Love, OK</v>
      </c>
      <c r="L2213" s="24"/>
    </row>
    <row r="2214">
      <c r="A2214" s="28">
        <v>2213.0</v>
      </c>
      <c r="B2214" s="29"/>
      <c r="C2214" s="29"/>
      <c r="D2214" s="40">
        <v>1.0</v>
      </c>
      <c r="E2214" s="31">
        <v>40.0</v>
      </c>
      <c r="F2214" s="42">
        <v>87.0</v>
      </c>
      <c r="G2214" s="29" t="str">
        <f t="shared" si="1"/>
        <v>40087</v>
      </c>
      <c r="H2214" s="37" t="s">
        <v>1741</v>
      </c>
      <c r="I2214" s="37" t="s">
        <v>102</v>
      </c>
      <c r="J2214" s="37" t="s">
        <v>519</v>
      </c>
      <c r="K2214" s="37" t="str">
        <f t="shared" si="37"/>
        <v>Mcclain, OK</v>
      </c>
      <c r="L2214" s="24"/>
    </row>
    <row r="2215">
      <c r="A2215" s="28">
        <v>2214.0</v>
      </c>
      <c r="B2215" s="29"/>
      <c r="C2215" s="29"/>
      <c r="D2215" s="40">
        <v>1.0</v>
      </c>
      <c r="E2215" s="31">
        <v>40.0</v>
      </c>
      <c r="F2215" s="42">
        <v>89.0</v>
      </c>
      <c r="G2215" s="29" t="str">
        <f t="shared" si="1"/>
        <v>40089</v>
      </c>
      <c r="H2215" s="37" t="s">
        <v>1742</v>
      </c>
      <c r="I2215" s="37" t="s">
        <v>102</v>
      </c>
      <c r="J2215" s="37" t="s">
        <v>519</v>
      </c>
      <c r="K2215" s="37" t="str">
        <f t="shared" si="37"/>
        <v>McCurtain, OK</v>
      </c>
      <c r="L2215" s="24"/>
    </row>
    <row r="2216">
      <c r="A2216" s="28">
        <v>2215.0</v>
      </c>
      <c r="B2216" s="29"/>
      <c r="C2216" s="29"/>
      <c r="D2216" s="40">
        <v>1.0</v>
      </c>
      <c r="E2216" s="31">
        <v>40.0</v>
      </c>
      <c r="F2216" s="42">
        <v>91.0</v>
      </c>
      <c r="G2216" s="29" t="str">
        <f t="shared" si="1"/>
        <v>40091</v>
      </c>
      <c r="H2216" s="37" t="s">
        <v>606</v>
      </c>
      <c r="I2216" s="37" t="s">
        <v>102</v>
      </c>
      <c r="J2216" s="37" t="s">
        <v>519</v>
      </c>
      <c r="K2216" s="37" t="str">
        <f t="shared" si="37"/>
        <v>McIntosh, OK</v>
      </c>
      <c r="L2216" s="24"/>
    </row>
    <row r="2217">
      <c r="A2217" s="28">
        <v>2216.0</v>
      </c>
      <c r="B2217" s="29"/>
      <c r="C2217" s="29"/>
      <c r="D2217" s="40">
        <v>1.0</v>
      </c>
      <c r="E2217" s="31">
        <v>40.0</v>
      </c>
      <c r="F2217" s="42">
        <v>93.0</v>
      </c>
      <c r="G2217" s="29" t="str">
        <f t="shared" si="1"/>
        <v>40093</v>
      </c>
      <c r="H2217" s="37" t="s">
        <v>1744</v>
      </c>
      <c r="I2217" s="37" t="s">
        <v>102</v>
      </c>
      <c r="J2217" s="37" t="s">
        <v>519</v>
      </c>
      <c r="K2217" s="37" t="str">
        <f t="shared" si="37"/>
        <v>Major, OK</v>
      </c>
      <c r="L2217" s="24"/>
    </row>
    <row r="2218">
      <c r="A2218" s="28">
        <v>2217.0</v>
      </c>
      <c r="B2218" s="29"/>
      <c r="C2218" s="29"/>
      <c r="D2218" s="40">
        <v>1.0</v>
      </c>
      <c r="E2218" s="31">
        <v>40.0</v>
      </c>
      <c r="F2218" s="42">
        <v>95.0</v>
      </c>
      <c r="G2218" s="29" t="str">
        <f t="shared" si="1"/>
        <v>40095</v>
      </c>
      <c r="H2218" s="37" t="s">
        <v>154</v>
      </c>
      <c r="I2218" s="37" t="s">
        <v>102</v>
      </c>
      <c r="J2218" s="37" t="s">
        <v>519</v>
      </c>
      <c r="K2218" s="37" t="str">
        <f t="shared" si="37"/>
        <v>Marshall, OK</v>
      </c>
      <c r="L2218" s="24"/>
    </row>
    <row r="2219">
      <c r="A2219" s="28">
        <v>2218.0</v>
      </c>
      <c r="B2219" s="29"/>
      <c r="C2219" s="29"/>
      <c r="D2219" s="40">
        <v>1.0</v>
      </c>
      <c r="E2219" s="31">
        <v>40.0</v>
      </c>
      <c r="F2219" s="42">
        <v>97.0</v>
      </c>
      <c r="G2219" s="29" t="str">
        <f t="shared" si="1"/>
        <v>40097</v>
      </c>
      <c r="H2219" s="37" t="s">
        <v>1746</v>
      </c>
      <c r="I2219" s="37" t="s">
        <v>102</v>
      </c>
      <c r="J2219" s="37" t="s">
        <v>519</v>
      </c>
      <c r="K2219" s="37" t="str">
        <f t="shared" si="37"/>
        <v>Mayes, OK</v>
      </c>
      <c r="L2219" s="24"/>
    </row>
    <row r="2220">
      <c r="A2220" s="28">
        <v>2219.0</v>
      </c>
      <c r="B2220" s="29"/>
      <c r="C2220" s="29"/>
      <c r="D2220" s="40">
        <v>1.0</v>
      </c>
      <c r="E2220" s="31">
        <v>40.0</v>
      </c>
      <c r="F2220" s="42">
        <v>99.0</v>
      </c>
      <c r="G2220" s="29" t="str">
        <f t="shared" si="1"/>
        <v>40099</v>
      </c>
      <c r="H2220" s="37" t="s">
        <v>611</v>
      </c>
      <c r="I2220" s="37" t="s">
        <v>102</v>
      </c>
      <c r="J2220" s="37" t="s">
        <v>519</v>
      </c>
      <c r="K2220" s="37" t="str">
        <f t="shared" si="37"/>
        <v>Murray, OK</v>
      </c>
      <c r="L2220" s="24"/>
    </row>
    <row r="2221">
      <c r="A2221" s="28">
        <v>2220.0</v>
      </c>
      <c r="B2221" s="29"/>
      <c r="C2221" s="29"/>
      <c r="D2221" s="40">
        <v>1.0</v>
      </c>
      <c r="E2221" s="31">
        <v>40.0</v>
      </c>
      <c r="F2221" s="42">
        <v>101.0</v>
      </c>
      <c r="G2221" s="29" t="str">
        <f t="shared" si="1"/>
        <v>40101</v>
      </c>
      <c r="H2221" s="37" t="s">
        <v>1747</v>
      </c>
      <c r="I2221" s="37" t="s">
        <v>102</v>
      </c>
      <c r="J2221" s="37" t="s">
        <v>519</v>
      </c>
      <c r="K2221" s="37" t="str">
        <f t="shared" si="37"/>
        <v>Muskogee, OK</v>
      </c>
      <c r="L2221" s="24"/>
    </row>
    <row r="2222">
      <c r="A2222" s="28">
        <v>2221.0</v>
      </c>
      <c r="B2222" s="29"/>
      <c r="C2222" s="29"/>
      <c r="D2222" s="40">
        <v>1.0</v>
      </c>
      <c r="E2222" s="31">
        <v>40.0</v>
      </c>
      <c r="F2222" s="42">
        <v>103.0</v>
      </c>
      <c r="G2222" s="29" t="str">
        <f t="shared" si="1"/>
        <v>40103</v>
      </c>
      <c r="H2222" s="37" t="s">
        <v>793</v>
      </c>
      <c r="I2222" s="37" t="s">
        <v>102</v>
      </c>
      <c r="J2222" s="37" t="s">
        <v>519</v>
      </c>
      <c r="K2222" s="37" t="str">
        <f t="shared" si="37"/>
        <v>Noble, OK</v>
      </c>
      <c r="L2222" s="24"/>
    </row>
    <row r="2223">
      <c r="A2223" s="28">
        <v>2222.0</v>
      </c>
      <c r="B2223" s="29"/>
      <c r="C2223" s="29"/>
      <c r="D2223" s="40">
        <v>1.0</v>
      </c>
      <c r="E2223" s="31">
        <v>40.0</v>
      </c>
      <c r="F2223" s="42">
        <v>105.0</v>
      </c>
      <c r="G2223" s="29" t="str">
        <f t="shared" si="1"/>
        <v>40105</v>
      </c>
      <c r="H2223" s="37" t="s">
        <v>1749</v>
      </c>
      <c r="I2223" s="37" t="s">
        <v>102</v>
      </c>
      <c r="J2223" s="37" t="s">
        <v>519</v>
      </c>
      <c r="K2223" s="37" t="str">
        <f t="shared" si="37"/>
        <v>Nowata, OK</v>
      </c>
      <c r="L2223" s="24"/>
    </row>
    <row r="2224">
      <c r="A2224" s="28">
        <v>2223.0</v>
      </c>
      <c r="B2224" s="29"/>
      <c r="C2224" s="29"/>
      <c r="D2224" s="40">
        <v>1.0</v>
      </c>
      <c r="E2224" s="31">
        <v>40.0</v>
      </c>
      <c r="F2224" s="42">
        <v>107.0</v>
      </c>
      <c r="G2224" s="29" t="str">
        <f t="shared" si="1"/>
        <v>40107</v>
      </c>
      <c r="H2224" s="37" t="s">
        <v>1750</v>
      </c>
      <c r="I2224" s="37" t="s">
        <v>102</v>
      </c>
      <c r="J2224" s="37" t="s">
        <v>519</v>
      </c>
      <c r="K2224" s="37" t="str">
        <f t="shared" si="37"/>
        <v>Okfuskee, OK</v>
      </c>
      <c r="L2224" s="24"/>
    </row>
    <row r="2225">
      <c r="A2225" s="28">
        <v>2224.0</v>
      </c>
      <c r="B2225" s="29"/>
      <c r="C2225" s="29"/>
      <c r="D2225" s="40">
        <v>1.0</v>
      </c>
      <c r="E2225" s="31">
        <v>40.0</v>
      </c>
      <c r="F2225" s="42">
        <v>109.0</v>
      </c>
      <c r="G2225" s="29" t="str">
        <f t="shared" si="1"/>
        <v>40109</v>
      </c>
      <c r="H2225" s="37" t="s">
        <v>102</v>
      </c>
      <c r="I2225" s="37" t="s">
        <v>102</v>
      </c>
      <c r="J2225" s="37" t="s">
        <v>519</v>
      </c>
      <c r="K2225" s="37" t="str">
        <f t="shared" si="37"/>
        <v>Oklahoma, OK</v>
      </c>
      <c r="L2225" s="24"/>
    </row>
    <row r="2226">
      <c r="A2226" s="28">
        <v>2225.0</v>
      </c>
      <c r="B2226" s="29"/>
      <c r="C2226" s="29"/>
      <c r="D2226" s="40">
        <v>1.0</v>
      </c>
      <c r="E2226" s="31">
        <v>40.0</v>
      </c>
      <c r="F2226" s="42">
        <v>111.0</v>
      </c>
      <c r="G2226" s="29" t="str">
        <f t="shared" si="1"/>
        <v>40111</v>
      </c>
      <c r="H2226" s="37" t="s">
        <v>1751</v>
      </c>
      <c r="I2226" s="37" t="s">
        <v>102</v>
      </c>
      <c r="J2226" s="37" t="s">
        <v>519</v>
      </c>
      <c r="K2226" s="37" t="str">
        <f t="shared" si="37"/>
        <v>Okmulgee, OK</v>
      </c>
      <c r="L2226" s="24"/>
    </row>
    <row r="2227">
      <c r="A2227" s="28">
        <v>2226.0</v>
      </c>
      <c r="B2227" s="29"/>
      <c r="C2227" s="29"/>
      <c r="D2227" s="40">
        <v>1.0</v>
      </c>
      <c r="E2227" s="31">
        <v>40.0</v>
      </c>
      <c r="F2227" s="42">
        <v>113.0</v>
      </c>
      <c r="G2227" s="29" t="str">
        <f t="shared" si="1"/>
        <v>40113</v>
      </c>
      <c r="H2227" s="37" t="s">
        <v>996</v>
      </c>
      <c r="I2227" s="37" t="s">
        <v>102</v>
      </c>
      <c r="J2227" s="37" t="s">
        <v>519</v>
      </c>
      <c r="K2227" s="37" t="str">
        <f t="shared" si="37"/>
        <v>Osage, OK</v>
      </c>
      <c r="L2227" s="24"/>
    </row>
    <row r="2228">
      <c r="A2228" s="28">
        <v>2227.0</v>
      </c>
      <c r="B2228" s="29"/>
      <c r="C2228" s="29"/>
      <c r="D2228" s="40">
        <v>1.0</v>
      </c>
      <c r="E2228" s="31">
        <v>40.0</v>
      </c>
      <c r="F2228" s="42">
        <v>115.0</v>
      </c>
      <c r="G2228" s="29" t="str">
        <f t="shared" si="1"/>
        <v>40115</v>
      </c>
      <c r="H2228" s="37" t="s">
        <v>998</v>
      </c>
      <c r="I2228" s="37" t="s">
        <v>102</v>
      </c>
      <c r="J2228" s="37" t="s">
        <v>519</v>
      </c>
      <c r="K2228" s="37" t="str">
        <f t="shared" si="37"/>
        <v>Ottawa, OK</v>
      </c>
      <c r="L2228" s="24"/>
    </row>
    <row r="2229">
      <c r="A2229" s="28">
        <v>2228.0</v>
      </c>
      <c r="B2229" s="29"/>
      <c r="C2229" s="29"/>
      <c r="D2229" s="40">
        <v>1.0</v>
      </c>
      <c r="E2229" s="31">
        <v>40.0</v>
      </c>
      <c r="F2229" s="42">
        <v>117.0</v>
      </c>
      <c r="G2229" s="29" t="str">
        <f t="shared" si="1"/>
        <v>40117</v>
      </c>
      <c r="H2229" s="37" t="s">
        <v>999</v>
      </c>
      <c r="I2229" s="37" t="s">
        <v>102</v>
      </c>
      <c r="J2229" s="37" t="s">
        <v>519</v>
      </c>
      <c r="K2229" s="37" t="str">
        <f t="shared" si="37"/>
        <v>Pawnee, OK</v>
      </c>
      <c r="L2229" s="24"/>
    </row>
    <row r="2230">
      <c r="A2230" s="28">
        <v>2229.0</v>
      </c>
      <c r="B2230" s="29"/>
      <c r="C2230" s="29"/>
      <c r="D2230" s="40">
        <v>1.0</v>
      </c>
      <c r="E2230" s="31">
        <v>40.0</v>
      </c>
      <c r="F2230" s="42">
        <v>119.0</v>
      </c>
      <c r="G2230" s="29" t="str">
        <f t="shared" si="1"/>
        <v>40119</v>
      </c>
      <c r="H2230" s="37" t="s">
        <v>1752</v>
      </c>
      <c r="I2230" s="37" t="s">
        <v>102</v>
      </c>
      <c r="J2230" s="37" t="s">
        <v>519</v>
      </c>
      <c r="K2230" s="37" t="str">
        <f t="shared" si="37"/>
        <v>Payne, OK</v>
      </c>
      <c r="L2230" s="24"/>
    </row>
    <row r="2231">
      <c r="A2231" s="28">
        <v>2230.0</v>
      </c>
      <c r="B2231" s="29"/>
      <c r="C2231" s="29"/>
      <c r="D2231" s="40">
        <v>1.0</v>
      </c>
      <c r="E2231" s="31">
        <v>40.0</v>
      </c>
      <c r="F2231" s="42">
        <v>121.0</v>
      </c>
      <c r="G2231" s="29" t="str">
        <f t="shared" si="1"/>
        <v>40121</v>
      </c>
      <c r="H2231" s="37" t="s">
        <v>1755</v>
      </c>
      <c r="I2231" s="37" t="s">
        <v>102</v>
      </c>
      <c r="J2231" s="37" t="s">
        <v>519</v>
      </c>
      <c r="K2231" s="37" t="str">
        <f t="shared" si="37"/>
        <v>Pittsburg, OK</v>
      </c>
      <c r="L2231" s="24"/>
    </row>
    <row r="2232">
      <c r="A2232" s="28">
        <v>2231.0</v>
      </c>
      <c r="B2232" s="29"/>
      <c r="C2232" s="29"/>
      <c r="D2232" s="40">
        <v>1.0</v>
      </c>
      <c r="E2232" s="31">
        <v>40.0</v>
      </c>
      <c r="F2232" s="42">
        <v>123.0</v>
      </c>
      <c r="G2232" s="29" t="str">
        <f t="shared" si="1"/>
        <v>40123</v>
      </c>
      <c r="H2232" s="37" t="s">
        <v>1379</v>
      </c>
      <c r="I2232" s="37" t="s">
        <v>102</v>
      </c>
      <c r="J2232" s="37" t="s">
        <v>519</v>
      </c>
      <c r="K2232" s="37" t="str">
        <f t="shared" si="37"/>
        <v>Pontotoc, OK</v>
      </c>
      <c r="L2232" s="24"/>
    </row>
    <row r="2233">
      <c r="A2233" s="28">
        <v>2232.0</v>
      </c>
      <c r="B2233" s="29"/>
      <c r="C2233" s="29"/>
      <c r="D2233" s="40">
        <v>1.0</v>
      </c>
      <c r="E2233" s="31">
        <v>40.0</v>
      </c>
      <c r="F2233" s="42">
        <v>125.0</v>
      </c>
      <c r="G2233" s="29" t="str">
        <f t="shared" si="1"/>
        <v>40125</v>
      </c>
      <c r="H2233" s="37" t="s">
        <v>1000</v>
      </c>
      <c r="I2233" s="37" t="s">
        <v>102</v>
      </c>
      <c r="J2233" s="37" t="s">
        <v>519</v>
      </c>
      <c r="K2233" s="136" t="str">
        <f t="shared" si="37"/>
        <v>Pottawatomie, OK</v>
      </c>
      <c r="L2233" s="24"/>
    </row>
    <row r="2234">
      <c r="A2234" s="28">
        <v>2233.0</v>
      </c>
      <c r="B2234" s="29"/>
      <c r="C2234" s="29"/>
      <c r="D2234" s="40">
        <v>1.0</v>
      </c>
      <c r="E2234" s="31">
        <v>40.0</v>
      </c>
      <c r="F2234" s="42">
        <v>127.0</v>
      </c>
      <c r="G2234" s="29" t="str">
        <f t="shared" si="1"/>
        <v>40127</v>
      </c>
      <c r="H2234" s="37" t="s">
        <v>1757</v>
      </c>
      <c r="I2234" s="37" t="s">
        <v>102</v>
      </c>
      <c r="J2234" s="37" t="s">
        <v>519</v>
      </c>
      <c r="K2234" s="136" t="str">
        <f t="shared" si="37"/>
        <v>Pushmataha, OK</v>
      </c>
      <c r="L2234" s="24"/>
    </row>
    <row r="2235">
      <c r="A2235" s="28">
        <v>2234.0</v>
      </c>
      <c r="B2235" s="29"/>
      <c r="C2235" s="29"/>
      <c r="D2235" s="40">
        <v>1.0</v>
      </c>
      <c r="E2235" s="31">
        <v>40.0</v>
      </c>
      <c r="F2235" s="42">
        <v>129.0</v>
      </c>
      <c r="G2235" s="29" t="str">
        <f t="shared" si="1"/>
        <v>40129</v>
      </c>
      <c r="H2235" s="37" t="s">
        <v>1758</v>
      </c>
      <c r="I2235" s="37" t="s">
        <v>102</v>
      </c>
      <c r="J2235" s="37" t="s">
        <v>519</v>
      </c>
      <c r="K2235" s="37" t="str">
        <f t="shared" si="37"/>
        <v>Roger Mills, OK</v>
      </c>
      <c r="L2235" s="24"/>
    </row>
    <row r="2236">
      <c r="A2236" s="28">
        <v>2235.0</v>
      </c>
      <c r="B2236" s="29"/>
      <c r="C2236" s="29"/>
      <c r="D2236" s="40">
        <v>1.0</v>
      </c>
      <c r="E2236" s="31">
        <v>40.0</v>
      </c>
      <c r="F2236" s="42">
        <v>131.0</v>
      </c>
      <c r="G2236" s="29" t="str">
        <f t="shared" si="1"/>
        <v>40131</v>
      </c>
      <c r="H2236" s="37" t="s">
        <v>1759</v>
      </c>
      <c r="I2236" s="37" t="s">
        <v>102</v>
      </c>
      <c r="J2236" s="37" t="s">
        <v>519</v>
      </c>
      <c r="K2236" s="37" t="str">
        <f t="shared" si="37"/>
        <v>Rogers, OK</v>
      </c>
      <c r="L2236" s="24"/>
    </row>
    <row r="2237">
      <c r="A2237" s="28">
        <v>2236.0</v>
      </c>
      <c r="B2237" s="29"/>
      <c r="C2237" s="29"/>
      <c r="D2237" s="40">
        <v>1.0</v>
      </c>
      <c r="E2237" s="31">
        <v>40.0</v>
      </c>
      <c r="F2237" s="42">
        <v>133.0</v>
      </c>
      <c r="G2237" s="29" t="str">
        <f t="shared" si="1"/>
        <v>40133</v>
      </c>
      <c r="H2237" s="37" t="s">
        <v>524</v>
      </c>
      <c r="I2237" s="37" t="s">
        <v>102</v>
      </c>
      <c r="J2237" s="37" t="s">
        <v>519</v>
      </c>
      <c r="K2237" s="37" t="str">
        <f t="shared" si="37"/>
        <v>Seminole, OK</v>
      </c>
      <c r="L2237" s="24"/>
    </row>
    <row r="2238">
      <c r="A2238" s="28">
        <v>2237.0</v>
      </c>
      <c r="B2238" s="29"/>
      <c r="C2238" s="29"/>
      <c r="D2238" s="40">
        <v>1.0</v>
      </c>
      <c r="E2238" s="31">
        <v>40.0</v>
      </c>
      <c r="F2238" s="42">
        <v>135.0</v>
      </c>
      <c r="G2238" s="29" t="str">
        <f t="shared" si="1"/>
        <v>40135</v>
      </c>
      <c r="H2238" s="37" t="s">
        <v>1761</v>
      </c>
      <c r="I2238" s="37" t="s">
        <v>102</v>
      </c>
      <c r="J2238" s="37" t="s">
        <v>519</v>
      </c>
      <c r="K2238" s="37" t="str">
        <f t="shared" si="37"/>
        <v>Sequoyah, OK</v>
      </c>
      <c r="L2238" s="24"/>
    </row>
    <row r="2239">
      <c r="A2239" s="28">
        <v>2238.0</v>
      </c>
      <c r="B2239" s="29"/>
      <c r="C2239" s="29"/>
      <c r="D2239" s="40">
        <v>1.0</v>
      </c>
      <c r="E2239" s="31">
        <v>40.0</v>
      </c>
      <c r="F2239" s="42">
        <v>137.0</v>
      </c>
      <c r="G2239" s="29" t="str">
        <f t="shared" si="1"/>
        <v>40137</v>
      </c>
      <c r="H2239" s="37" t="s">
        <v>628</v>
      </c>
      <c r="I2239" s="37" t="s">
        <v>102</v>
      </c>
      <c r="J2239" s="37" t="s">
        <v>519</v>
      </c>
      <c r="K2239" s="37" t="str">
        <f t="shared" si="37"/>
        <v>Stephens, OK</v>
      </c>
      <c r="L2239" s="24"/>
    </row>
    <row r="2240">
      <c r="A2240" s="28">
        <v>2239.0</v>
      </c>
      <c r="B2240" s="29"/>
      <c r="C2240" s="29"/>
      <c r="D2240" s="40">
        <v>1.0</v>
      </c>
      <c r="E2240" s="31">
        <v>40.0</v>
      </c>
      <c r="F2240" s="42">
        <v>139.0</v>
      </c>
      <c r="G2240" s="29" t="str">
        <f t="shared" si="1"/>
        <v>40139</v>
      </c>
      <c r="H2240" s="37" t="s">
        <v>113</v>
      </c>
      <c r="I2240" s="37" t="s">
        <v>102</v>
      </c>
      <c r="J2240" s="37" t="s">
        <v>519</v>
      </c>
      <c r="K2240" s="37" t="str">
        <f t="shared" si="37"/>
        <v>Texas, OK</v>
      </c>
      <c r="L2240" s="24"/>
    </row>
    <row r="2241">
      <c r="A2241" s="28">
        <v>2240.0</v>
      </c>
      <c r="B2241" s="29"/>
      <c r="C2241" s="29"/>
      <c r="D2241" s="40">
        <v>1.0</v>
      </c>
      <c r="E2241" s="31">
        <v>40.0</v>
      </c>
      <c r="F2241" s="42">
        <v>141.0</v>
      </c>
      <c r="G2241" s="29" t="str">
        <f t="shared" si="1"/>
        <v>40141</v>
      </c>
      <c r="H2241" s="37" t="s">
        <v>1762</v>
      </c>
      <c r="I2241" s="37" t="s">
        <v>102</v>
      </c>
      <c r="J2241" s="37" t="s">
        <v>519</v>
      </c>
      <c r="K2241" s="37" t="str">
        <f t="shared" si="37"/>
        <v>Tillman, OK</v>
      </c>
      <c r="L2241" s="24"/>
    </row>
    <row r="2242">
      <c r="A2242" s="28">
        <v>2241.0</v>
      </c>
      <c r="B2242" s="29"/>
      <c r="C2242" s="29"/>
      <c r="D2242" s="40">
        <v>1.0</v>
      </c>
      <c r="E2242" s="31">
        <v>40.0</v>
      </c>
      <c r="F2242" s="42">
        <v>143.0</v>
      </c>
      <c r="G2242" s="29" t="str">
        <f t="shared" si="1"/>
        <v>40143</v>
      </c>
      <c r="H2242" s="37" t="s">
        <v>592</v>
      </c>
      <c r="I2242" s="37" t="s">
        <v>102</v>
      </c>
      <c r="J2242" s="37" t="s">
        <v>519</v>
      </c>
      <c r="K2242" s="37" t="str">
        <f t="shared" si="37"/>
        <v>Tulsa, OK</v>
      </c>
      <c r="L2242" s="24"/>
    </row>
    <row r="2243">
      <c r="A2243" s="28">
        <v>2242.0</v>
      </c>
      <c r="B2243" s="29"/>
      <c r="C2243" s="29"/>
      <c r="D2243" s="40">
        <v>1.0</v>
      </c>
      <c r="E2243" s="31">
        <v>40.0</v>
      </c>
      <c r="F2243" s="42">
        <v>145.0</v>
      </c>
      <c r="G2243" s="29" t="str">
        <f t="shared" si="1"/>
        <v>40145</v>
      </c>
      <c r="H2243" s="37" t="s">
        <v>1763</v>
      </c>
      <c r="I2243" s="37" t="s">
        <v>102</v>
      </c>
      <c r="J2243" s="37" t="s">
        <v>519</v>
      </c>
      <c r="K2243" s="37" t="str">
        <f t="shared" si="37"/>
        <v>Wagoner, OK</v>
      </c>
      <c r="L2243" s="24"/>
    </row>
    <row r="2244">
      <c r="A2244" s="28">
        <v>2243.0</v>
      </c>
      <c r="B2244" s="29"/>
      <c r="C2244" s="29"/>
      <c r="D2244" s="40">
        <v>1.0</v>
      </c>
      <c r="E2244" s="31">
        <v>40.0</v>
      </c>
      <c r="F2244" s="42">
        <v>147.0</v>
      </c>
      <c r="G2244" s="29" t="str">
        <f t="shared" si="1"/>
        <v>40147</v>
      </c>
      <c r="H2244" s="37" t="s">
        <v>119</v>
      </c>
      <c r="I2244" s="37" t="s">
        <v>102</v>
      </c>
      <c r="J2244" s="37" t="s">
        <v>519</v>
      </c>
      <c r="K2244" s="37" t="str">
        <f t="shared" si="37"/>
        <v>Washington, OK</v>
      </c>
      <c r="L2244" s="24"/>
    </row>
    <row r="2245">
      <c r="A2245" s="28">
        <v>2244.0</v>
      </c>
      <c r="B2245" s="29"/>
      <c r="C2245" s="29"/>
      <c r="D2245" s="40">
        <v>1.0</v>
      </c>
      <c r="E2245" s="31">
        <v>40.0</v>
      </c>
      <c r="F2245" s="42">
        <v>149.0</v>
      </c>
      <c r="G2245" s="29" t="str">
        <f t="shared" si="1"/>
        <v>40149</v>
      </c>
      <c r="H2245" s="37" t="s">
        <v>1765</v>
      </c>
      <c r="I2245" s="37" t="s">
        <v>102</v>
      </c>
      <c r="J2245" s="37" t="s">
        <v>519</v>
      </c>
      <c r="K2245" s="37" t="str">
        <f t="shared" si="37"/>
        <v>Washita, OK</v>
      </c>
      <c r="L2245" s="24"/>
    </row>
    <row r="2246">
      <c r="A2246" s="28">
        <v>2245.0</v>
      </c>
      <c r="B2246" s="29"/>
      <c r="C2246" s="29"/>
      <c r="D2246" s="40">
        <v>1.0</v>
      </c>
      <c r="E2246" s="31">
        <v>40.0</v>
      </c>
      <c r="F2246" s="42">
        <v>151.0</v>
      </c>
      <c r="G2246" s="29" t="str">
        <f t="shared" si="1"/>
        <v>40151</v>
      </c>
      <c r="H2246" s="37" t="s">
        <v>1766</v>
      </c>
      <c r="I2246" s="37" t="s">
        <v>102</v>
      </c>
      <c r="J2246" s="37" t="s">
        <v>519</v>
      </c>
      <c r="K2246" s="37" t="str">
        <f t="shared" si="37"/>
        <v>Woods, OK</v>
      </c>
      <c r="L2246" s="24"/>
    </row>
    <row r="2247">
      <c r="A2247" s="28">
        <v>2246.0</v>
      </c>
      <c r="B2247" s="29"/>
      <c r="C2247" s="29"/>
      <c r="D2247" s="40">
        <v>1.0</v>
      </c>
      <c r="E2247" s="31">
        <v>40.0</v>
      </c>
      <c r="F2247" s="42">
        <v>153.0</v>
      </c>
      <c r="G2247" s="29" t="str">
        <f t="shared" si="1"/>
        <v>40153</v>
      </c>
      <c r="H2247" s="37" t="s">
        <v>1767</v>
      </c>
      <c r="I2247" s="37" t="s">
        <v>102</v>
      </c>
      <c r="J2247" s="37" t="s">
        <v>519</v>
      </c>
      <c r="K2247" s="37" t="str">
        <f t="shared" si="37"/>
        <v>Woodward, OK</v>
      </c>
      <c r="L2247" s="24"/>
    </row>
    <row r="2248">
      <c r="A2248" s="99">
        <v>2247.0</v>
      </c>
      <c r="B2248" s="15"/>
      <c r="C2248" s="14" t="s">
        <v>25</v>
      </c>
      <c r="D2248" s="16"/>
      <c r="E2248" s="102">
        <v>41.0</v>
      </c>
      <c r="F2248" s="107">
        <v>0.0</v>
      </c>
      <c r="G2248" s="15" t="str">
        <f t="shared" si="1"/>
        <v>41000</v>
      </c>
      <c r="H2248" s="23"/>
      <c r="I2248" s="23" t="s">
        <v>103</v>
      </c>
      <c r="J2248" s="23" t="s">
        <v>512</v>
      </c>
      <c r="K2248" s="23"/>
      <c r="L2248" s="24"/>
    </row>
    <row r="2249">
      <c r="A2249" s="99">
        <v>2248.0</v>
      </c>
      <c r="B2249" s="15"/>
      <c r="C2249" s="15"/>
      <c r="D2249" s="105">
        <v>1.0</v>
      </c>
      <c r="E2249" s="102">
        <v>41.0</v>
      </c>
      <c r="F2249" s="107">
        <v>1.0</v>
      </c>
      <c r="G2249" s="15" t="str">
        <f t="shared" si="1"/>
        <v>41001</v>
      </c>
      <c r="H2249" s="23" t="s">
        <v>481</v>
      </c>
      <c r="I2249" s="23" t="s">
        <v>103</v>
      </c>
      <c r="J2249" s="23" t="s">
        <v>512</v>
      </c>
      <c r="K2249" s="23" t="str">
        <f t="shared" ref="K2249:K2284" si="38">CONCATENATE(H2249,", ",J2249)</f>
        <v>Baker, OR</v>
      </c>
      <c r="L2249" s="24"/>
    </row>
    <row r="2250">
      <c r="A2250" s="99">
        <v>2249.0</v>
      </c>
      <c r="B2250" s="15"/>
      <c r="C2250" s="15"/>
      <c r="D2250" s="105">
        <v>1.0</v>
      </c>
      <c r="E2250" s="102">
        <v>41.0</v>
      </c>
      <c r="F2250" s="107">
        <v>3.0</v>
      </c>
      <c r="G2250" s="15" t="str">
        <f t="shared" si="1"/>
        <v>41003</v>
      </c>
      <c r="H2250" s="23" t="s">
        <v>243</v>
      </c>
      <c r="I2250" s="23" t="s">
        <v>103</v>
      </c>
      <c r="J2250" s="23" t="s">
        <v>512</v>
      </c>
      <c r="K2250" s="23" t="str">
        <f t="shared" si="38"/>
        <v>Benton, OR</v>
      </c>
      <c r="L2250" s="24"/>
    </row>
    <row r="2251">
      <c r="A2251" s="99">
        <v>2250.0</v>
      </c>
      <c r="B2251" s="15"/>
      <c r="C2251" s="15"/>
      <c r="D2251" s="105">
        <v>1.0</v>
      </c>
      <c r="E2251" s="102">
        <v>41.0</v>
      </c>
      <c r="F2251" s="107">
        <v>5.0</v>
      </c>
      <c r="G2251" s="15" t="str">
        <f t="shared" si="1"/>
        <v>41005</v>
      </c>
      <c r="H2251" s="23" t="s">
        <v>1768</v>
      </c>
      <c r="I2251" s="23" t="s">
        <v>103</v>
      </c>
      <c r="J2251" s="23" t="s">
        <v>512</v>
      </c>
      <c r="K2251" s="23" t="str">
        <f t="shared" si="38"/>
        <v>Clackamas, OR</v>
      </c>
      <c r="L2251" s="24"/>
    </row>
    <row r="2252">
      <c r="A2252" s="99">
        <v>2251.0</v>
      </c>
      <c r="B2252" s="15"/>
      <c r="C2252" s="15"/>
      <c r="D2252" s="105">
        <v>1.0</v>
      </c>
      <c r="E2252" s="102">
        <v>41.0</v>
      </c>
      <c r="F2252" s="107">
        <v>7.0</v>
      </c>
      <c r="G2252" s="15" t="str">
        <f t="shared" si="1"/>
        <v>41007</v>
      </c>
      <c r="H2252" s="23" t="s">
        <v>1769</v>
      </c>
      <c r="I2252" s="23" t="s">
        <v>103</v>
      </c>
      <c r="J2252" s="23" t="s">
        <v>512</v>
      </c>
      <c r="K2252" s="23" t="str">
        <f t="shared" si="38"/>
        <v>Clatsop, OR</v>
      </c>
      <c r="L2252" s="24"/>
    </row>
    <row r="2253">
      <c r="A2253" s="99">
        <v>2252.0</v>
      </c>
      <c r="B2253" s="15"/>
      <c r="C2253" s="15"/>
      <c r="D2253" s="105">
        <v>1.0</v>
      </c>
      <c r="E2253" s="102">
        <v>41.0</v>
      </c>
      <c r="F2253" s="107">
        <v>9.0</v>
      </c>
      <c r="G2253" s="15" t="str">
        <f t="shared" si="1"/>
        <v>41009</v>
      </c>
      <c r="H2253" s="23" t="s">
        <v>258</v>
      </c>
      <c r="I2253" s="23" t="s">
        <v>103</v>
      </c>
      <c r="J2253" s="23" t="s">
        <v>512</v>
      </c>
      <c r="K2253" s="23" t="str">
        <f t="shared" si="38"/>
        <v>Columbia, OR</v>
      </c>
      <c r="L2253" s="24"/>
    </row>
    <row r="2254">
      <c r="A2254" s="99">
        <v>2253.0</v>
      </c>
      <c r="B2254" s="15"/>
      <c r="C2254" s="15"/>
      <c r="D2254" s="105">
        <v>1.0</v>
      </c>
      <c r="E2254" s="102">
        <v>41.0</v>
      </c>
      <c r="F2254" s="107">
        <v>11.0</v>
      </c>
      <c r="G2254" s="15" t="str">
        <f t="shared" si="1"/>
        <v>41011</v>
      </c>
      <c r="H2254" s="23" t="s">
        <v>1520</v>
      </c>
      <c r="I2254" s="23" t="s">
        <v>103</v>
      </c>
      <c r="J2254" s="23" t="s">
        <v>512</v>
      </c>
      <c r="K2254" s="23" t="str">
        <f t="shared" si="38"/>
        <v>Coos, OR</v>
      </c>
      <c r="L2254" s="24"/>
    </row>
    <row r="2255">
      <c r="A2255" s="99">
        <v>2254.0</v>
      </c>
      <c r="B2255" s="15"/>
      <c r="C2255" s="15"/>
      <c r="D2255" s="105">
        <v>1.0</v>
      </c>
      <c r="E2255" s="102">
        <v>41.0</v>
      </c>
      <c r="F2255" s="107">
        <v>13.0</v>
      </c>
      <c r="G2255" s="15" t="str">
        <f t="shared" si="1"/>
        <v>41013</v>
      </c>
      <c r="H2255" s="23" t="s">
        <v>1770</v>
      </c>
      <c r="I2255" s="23" t="s">
        <v>103</v>
      </c>
      <c r="J2255" s="23" t="s">
        <v>512</v>
      </c>
      <c r="K2255" s="23" t="str">
        <f t="shared" si="38"/>
        <v>Crook, OR</v>
      </c>
      <c r="L2255" s="24"/>
    </row>
    <row r="2256">
      <c r="A2256" s="99">
        <v>2255.0</v>
      </c>
      <c r="B2256" s="15"/>
      <c r="C2256" s="15"/>
      <c r="D2256" s="105">
        <v>1.0</v>
      </c>
      <c r="E2256" s="102">
        <v>41.0</v>
      </c>
      <c r="F2256" s="107">
        <v>15.0</v>
      </c>
      <c r="G2256" s="15" t="str">
        <f t="shared" si="1"/>
        <v>41015</v>
      </c>
      <c r="H2256" s="23" t="s">
        <v>1535</v>
      </c>
      <c r="I2256" s="23" t="s">
        <v>103</v>
      </c>
      <c r="J2256" s="23" t="s">
        <v>512</v>
      </c>
      <c r="K2256" s="23" t="str">
        <f t="shared" si="38"/>
        <v>Curry, OR</v>
      </c>
      <c r="L2256" s="24"/>
    </row>
    <row r="2257">
      <c r="A2257" s="99">
        <v>2256.0</v>
      </c>
      <c r="B2257" s="15"/>
      <c r="C2257" s="15"/>
      <c r="D2257" s="105">
        <v>1.0</v>
      </c>
      <c r="E2257" s="102">
        <v>41.0</v>
      </c>
      <c r="F2257" s="107">
        <v>17.0</v>
      </c>
      <c r="G2257" s="15" t="str">
        <f t="shared" si="1"/>
        <v>41017</v>
      </c>
      <c r="H2257" s="23" t="s">
        <v>1771</v>
      </c>
      <c r="I2257" s="23" t="s">
        <v>103</v>
      </c>
      <c r="J2257" s="23" t="s">
        <v>512</v>
      </c>
      <c r="K2257" s="23" t="str">
        <f t="shared" si="38"/>
        <v>Deschutes, OR</v>
      </c>
      <c r="L2257" s="24"/>
    </row>
    <row r="2258">
      <c r="A2258" s="99">
        <v>2257.0</v>
      </c>
      <c r="B2258" s="15"/>
      <c r="C2258" s="15"/>
      <c r="D2258" s="105">
        <v>1.0</v>
      </c>
      <c r="E2258" s="102">
        <v>41.0</v>
      </c>
      <c r="F2258" s="107">
        <v>19.0</v>
      </c>
      <c r="G2258" s="15" t="str">
        <f t="shared" si="1"/>
        <v>41019</v>
      </c>
      <c r="H2258" s="23" t="s">
        <v>412</v>
      </c>
      <c r="I2258" s="23" t="s">
        <v>103</v>
      </c>
      <c r="J2258" s="23" t="s">
        <v>512</v>
      </c>
      <c r="K2258" s="23" t="str">
        <f t="shared" si="38"/>
        <v>Douglas, OR</v>
      </c>
      <c r="L2258" s="24"/>
    </row>
    <row r="2259">
      <c r="A2259" s="99">
        <v>2258.0</v>
      </c>
      <c r="B2259" s="15"/>
      <c r="C2259" s="15"/>
      <c r="D2259" s="105">
        <v>1.0</v>
      </c>
      <c r="E2259" s="102">
        <v>41.0</v>
      </c>
      <c r="F2259" s="107">
        <v>21.0</v>
      </c>
      <c r="G2259" s="15" t="str">
        <f t="shared" si="1"/>
        <v>41021</v>
      </c>
      <c r="H2259" s="23" t="s">
        <v>1772</v>
      </c>
      <c r="I2259" s="23" t="s">
        <v>103</v>
      </c>
      <c r="J2259" s="23" t="s">
        <v>512</v>
      </c>
      <c r="K2259" s="23" t="str">
        <f t="shared" si="38"/>
        <v>Gilliam, OR</v>
      </c>
      <c r="L2259" s="24"/>
    </row>
    <row r="2260">
      <c r="A2260" s="99">
        <v>2259.0</v>
      </c>
      <c r="B2260" s="15"/>
      <c r="C2260" s="15"/>
      <c r="D2260" s="105">
        <v>1.0</v>
      </c>
      <c r="E2260" s="102">
        <v>41.0</v>
      </c>
      <c r="F2260" s="107">
        <v>23.0</v>
      </c>
      <c r="G2260" s="15" t="str">
        <f t="shared" si="1"/>
        <v>41023</v>
      </c>
      <c r="H2260" s="23" t="s">
        <v>278</v>
      </c>
      <c r="I2260" s="23" t="s">
        <v>103</v>
      </c>
      <c r="J2260" s="23" t="s">
        <v>512</v>
      </c>
      <c r="K2260" s="23" t="str">
        <f t="shared" si="38"/>
        <v>Grant, OR</v>
      </c>
      <c r="L2260" s="24"/>
    </row>
    <row r="2261">
      <c r="A2261" s="99">
        <v>2260.0</v>
      </c>
      <c r="B2261" s="15"/>
      <c r="C2261" s="15"/>
      <c r="D2261" s="105">
        <v>1.0</v>
      </c>
      <c r="E2261" s="102">
        <v>41.0</v>
      </c>
      <c r="F2261" s="107">
        <v>25.0</v>
      </c>
      <c r="G2261" s="15" t="str">
        <f t="shared" si="1"/>
        <v>41025</v>
      </c>
      <c r="H2261" s="23" t="s">
        <v>1773</v>
      </c>
      <c r="I2261" s="23" t="s">
        <v>103</v>
      </c>
      <c r="J2261" s="23" t="s">
        <v>512</v>
      </c>
      <c r="K2261" s="23" t="str">
        <f t="shared" si="38"/>
        <v>Harney, OR</v>
      </c>
      <c r="L2261" s="24"/>
    </row>
    <row r="2262">
      <c r="A2262" s="99">
        <v>2261.0</v>
      </c>
      <c r="B2262" s="15"/>
      <c r="C2262" s="15"/>
      <c r="D2262" s="105">
        <v>1.0</v>
      </c>
      <c r="E2262" s="102">
        <v>41.0</v>
      </c>
      <c r="F2262" s="107">
        <v>27.0</v>
      </c>
      <c r="G2262" s="15" t="str">
        <f t="shared" si="1"/>
        <v>41027</v>
      </c>
      <c r="H2262" s="23" t="s">
        <v>1774</v>
      </c>
      <c r="I2262" s="23" t="s">
        <v>103</v>
      </c>
      <c r="J2262" s="23" t="s">
        <v>512</v>
      </c>
      <c r="K2262" s="23" t="str">
        <f t="shared" si="38"/>
        <v>Hood River, OR</v>
      </c>
      <c r="L2262" s="24"/>
    </row>
    <row r="2263">
      <c r="A2263" s="99">
        <v>2262.0</v>
      </c>
      <c r="B2263" s="15"/>
      <c r="C2263" s="15"/>
      <c r="D2263" s="105">
        <v>1.0</v>
      </c>
      <c r="E2263" s="102">
        <v>41.0</v>
      </c>
      <c r="F2263" s="107">
        <v>29.0</v>
      </c>
      <c r="G2263" s="15" t="str">
        <f t="shared" si="1"/>
        <v>41029</v>
      </c>
      <c r="H2263" s="23" t="s">
        <v>142</v>
      </c>
      <c r="I2263" s="23" t="s">
        <v>103</v>
      </c>
      <c r="J2263" s="23" t="s">
        <v>512</v>
      </c>
      <c r="K2263" s="23" t="str">
        <f t="shared" si="38"/>
        <v>Jackson, OR</v>
      </c>
      <c r="L2263" s="24"/>
    </row>
    <row r="2264">
      <c r="A2264" s="99">
        <v>2263.0</v>
      </c>
      <c r="B2264" s="15"/>
      <c r="C2264" s="15"/>
      <c r="D2264" s="105">
        <v>1.0</v>
      </c>
      <c r="E2264" s="102">
        <v>41.0</v>
      </c>
      <c r="F2264" s="107">
        <v>31.0</v>
      </c>
      <c r="G2264" s="15" t="str">
        <f t="shared" si="1"/>
        <v>41031</v>
      </c>
      <c r="H2264" s="23" t="s">
        <v>143</v>
      </c>
      <c r="I2264" s="23" t="s">
        <v>103</v>
      </c>
      <c r="J2264" s="23" t="s">
        <v>512</v>
      </c>
      <c r="K2264" s="23" t="str">
        <f t="shared" si="38"/>
        <v>Jefferson, OR</v>
      </c>
      <c r="L2264" s="24"/>
    </row>
    <row r="2265">
      <c r="A2265" s="99">
        <v>2264.0</v>
      </c>
      <c r="B2265" s="15"/>
      <c r="C2265" s="15"/>
      <c r="D2265" s="105">
        <v>1.0</v>
      </c>
      <c r="E2265" s="102">
        <v>41.0</v>
      </c>
      <c r="F2265" s="107">
        <v>33.0</v>
      </c>
      <c r="G2265" s="15" t="str">
        <f t="shared" si="1"/>
        <v>41033</v>
      </c>
      <c r="H2265" s="23" t="s">
        <v>1775</v>
      </c>
      <c r="I2265" s="23" t="s">
        <v>103</v>
      </c>
      <c r="J2265" s="23" t="s">
        <v>512</v>
      </c>
      <c r="K2265" s="23" t="str">
        <f t="shared" si="38"/>
        <v>Josephine, OR</v>
      </c>
      <c r="L2265" s="24"/>
    </row>
    <row r="2266">
      <c r="A2266" s="99">
        <v>2265.0</v>
      </c>
      <c r="B2266" s="15"/>
      <c r="C2266" s="15"/>
      <c r="D2266" s="105">
        <v>1.0</v>
      </c>
      <c r="E2266" s="102">
        <v>41.0</v>
      </c>
      <c r="F2266" s="107">
        <v>35.0</v>
      </c>
      <c r="G2266" s="15" t="str">
        <f t="shared" si="1"/>
        <v>41035</v>
      </c>
      <c r="H2266" s="23" t="s">
        <v>1776</v>
      </c>
      <c r="I2266" s="23" t="s">
        <v>103</v>
      </c>
      <c r="J2266" s="23" t="s">
        <v>512</v>
      </c>
      <c r="K2266" s="23" t="str">
        <f t="shared" si="38"/>
        <v>Klamath, OR</v>
      </c>
      <c r="L2266" s="24"/>
    </row>
    <row r="2267">
      <c r="A2267" s="99">
        <v>2266.0</v>
      </c>
      <c r="B2267" s="15"/>
      <c r="C2267" s="15"/>
      <c r="D2267" s="105">
        <v>1.0</v>
      </c>
      <c r="E2267" s="102">
        <v>41.0</v>
      </c>
      <c r="F2267" s="107">
        <v>37.0</v>
      </c>
      <c r="G2267" s="15" t="str">
        <f t="shared" si="1"/>
        <v>41037</v>
      </c>
      <c r="H2267" s="23" t="s">
        <v>337</v>
      </c>
      <c r="I2267" s="23" t="s">
        <v>103</v>
      </c>
      <c r="J2267" s="23" t="s">
        <v>512</v>
      </c>
      <c r="K2267" s="23" t="str">
        <f t="shared" si="38"/>
        <v>Lake, OR</v>
      </c>
      <c r="L2267" s="24"/>
    </row>
    <row r="2268">
      <c r="A2268" s="99">
        <v>2267.0</v>
      </c>
      <c r="B2268" s="15"/>
      <c r="C2268" s="15"/>
      <c r="D2268" s="105">
        <v>1.0</v>
      </c>
      <c r="E2268" s="102">
        <v>41.0</v>
      </c>
      <c r="F2268" s="107">
        <v>39.0</v>
      </c>
      <c r="G2268" s="15" t="str">
        <f t="shared" si="1"/>
        <v>41039</v>
      </c>
      <c r="H2268" s="23" t="s">
        <v>986</v>
      </c>
      <c r="I2268" s="23" t="s">
        <v>103</v>
      </c>
      <c r="J2268" s="23" t="s">
        <v>512</v>
      </c>
      <c r="K2268" s="23" t="str">
        <f t="shared" si="38"/>
        <v>Lane, OR</v>
      </c>
      <c r="L2268" s="24"/>
    </row>
    <row r="2269">
      <c r="A2269" s="99">
        <v>2268.0</v>
      </c>
      <c r="B2269" s="15"/>
      <c r="C2269" s="15"/>
      <c r="D2269" s="105">
        <v>1.0</v>
      </c>
      <c r="E2269" s="102">
        <v>41.0</v>
      </c>
      <c r="F2269" s="107">
        <v>41.0</v>
      </c>
      <c r="G2269" s="15" t="str">
        <f t="shared" si="1"/>
        <v>41041</v>
      </c>
      <c r="H2269" s="23" t="s">
        <v>290</v>
      </c>
      <c r="I2269" s="23" t="s">
        <v>103</v>
      </c>
      <c r="J2269" s="23" t="s">
        <v>512</v>
      </c>
      <c r="K2269" s="23" t="str">
        <f t="shared" si="38"/>
        <v>Lincoln, OR</v>
      </c>
      <c r="L2269" s="24"/>
    </row>
    <row r="2270">
      <c r="A2270" s="99">
        <v>2269.0</v>
      </c>
      <c r="B2270" s="15"/>
      <c r="C2270" s="15"/>
      <c r="D2270" s="105">
        <v>1.0</v>
      </c>
      <c r="E2270" s="102">
        <v>41.0</v>
      </c>
      <c r="F2270" s="107">
        <v>43.0</v>
      </c>
      <c r="G2270" s="15" t="str">
        <f t="shared" si="1"/>
        <v>41043</v>
      </c>
      <c r="H2270" s="23" t="s">
        <v>907</v>
      </c>
      <c r="I2270" s="23" t="s">
        <v>103</v>
      </c>
      <c r="J2270" s="23" t="s">
        <v>512</v>
      </c>
      <c r="K2270" s="23" t="str">
        <f t="shared" si="38"/>
        <v>Linn, OR</v>
      </c>
      <c r="L2270" s="24"/>
    </row>
    <row r="2271">
      <c r="A2271" s="99">
        <v>2270.0</v>
      </c>
      <c r="B2271" s="15"/>
      <c r="C2271" s="15"/>
      <c r="D2271" s="105">
        <v>1.0</v>
      </c>
      <c r="E2271" s="102">
        <v>41.0</v>
      </c>
      <c r="F2271" s="107">
        <v>45.0</v>
      </c>
      <c r="G2271" s="15" t="str">
        <f t="shared" si="1"/>
        <v>41045</v>
      </c>
      <c r="H2271" s="23" t="s">
        <v>1777</v>
      </c>
      <c r="I2271" s="23" t="s">
        <v>103</v>
      </c>
      <c r="J2271" s="23" t="s">
        <v>512</v>
      </c>
      <c r="K2271" s="23" t="str">
        <f t="shared" si="38"/>
        <v>Malheur, OR</v>
      </c>
      <c r="L2271" s="24"/>
    </row>
    <row r="2272">
      <c r="A2272" s="99">
        <v>2271.0</v>
      </c>
      <c r="B2272" s="15"/>
      <c r="C2272" s="15"/>
      <c r="D2272" s="105">
        <v>1.0</v>
      </c>
      <c r="E2272" s="102">
        <v>41.0</v>
      </c>
      <c r="F2272" s="107">
        <v>47.0</v>
      </c>
      <c r="G2272" s="15" t="str">
        <f t="shared" si="1"/>
        <v>41047</v>
      </c>
      <c r="H2272" s="23" t="s">
        <v>153</v>
      </c>
      <c r="I2272" s="23" t="s">
        <v>103</v>
      </c>
      <c r="J2272" s="23" t="s">
        <v>512</v>
      </c>
      <c r="K2272" s="23" t="str">
        <f t="shared" si="38"/>
        <v>Marion, OR</v>
      </c>
      <c r="L2272" s="24"/>
    </row>
    <row r="2273">
      <c r="A2273" s="99">
        <v>2272.0</v>
      </c>
      <c r="B2273" s="15"/>
      <c r="C2273" s="15"/>
      <c r="D2273" s="105">
        <v>1.0</v>
      </c>
      <c r="E2273" s="102">
        <v>41.0</v>
      </c>
      <c r="F2273" s="107">
        <v>49.0</v>
      </c>
      <c r="G2273" s="15" t="str">
        <f t="shared" si="1"/>
        <v>41049</v>
      </c>
      <c r="H2273" s="23" t="s">
        <v>1691</v>
      </c>
      <c r="I2273" s="23" t="s">
        <v>103</v>
      </c>
      <c r="J2273" s="23" t="s">
        <v>512</v>
      </c>
      <c r="K2273" s="23" t="str">
        <f t="shared" si="38"/>
        <v>Morrow, OR</v>
      </c>
      <c r="L2273" s="24"/>
    </row>
    <row r="2274">
      <c r="A2274" s="99">
        <v>2273.0</v>
      </c>
      <c r="B2274" s="15"/>
      <c r="C2274" s="15"/>
      <c r="D2274" s="105">
        <v>1.0</v>
      </c>
      <c r="E2274" s="102">
        <v>41.0</v>
      </c>
      <c r="F2274" s="107">
        <v>51.0</v>
      </c>
      <c r="G2274" s="15" t="str">
        <f t="shared" si="1"/>
        <v>41051</v>
      </c>
      <c r="H2274" s="23" t="s">
        <v>511</v>
      </c>
      <c r="I2274" s="23" t="s">
        <v>103</v>
      </c>
      <c r="J2274" s="23" t="s">
        <v>512</v>
      </c>
      <c r="K2274" s="23" t="str">
        <f t="shared" si="38"/>
        <v>Multnomah, OR</v>
      </c>
      <c r="L2274" s="24"/>
    </row>
    <row r="2275">
      <c r="A2275" s="99">
        <v>2274.0</v>
      </c>
      <c r="B2275" s="15"/>
      <c r="C2275" s="15"/>
      <c r="D2275" s="105">
        <v>1.0</v>
      </c>
      <c r="E2275" s="102">
        <v>41.0</v>
      </c>
      <c r="F2275" s="107">
        <v>53.0</v>
      </c>
      <c r="G2275" s="15" t="str">
        <f t="shared" si="1"/>
        <v>41053</v>
      </c>
      <c r="H2275" s="23" t="s">
        <v>302</v>
      </c>
      <c r="I2275" s="23" t="s">
        <v>103</v>
      </c>
      <c r="J2275" s="23" t="s">
        <v>512</v>
      </c>
      <c r="K2275" s="23" t="str">
        <f t="shared" si="38"/>
        <v>Polk, OR</v>
      </c>
      <c r="L2275" s="24"/>
    </row>
    <row r="2276">
      <c r="A2276" s="99">
        <v>2275.0</v>
      </c>
      <c r="B2276" s="15"/>
      <c r="C2276" s="15"/>
      <c r="D2276" s="105">
        <v>1.0</v>
      </c>
      <c r="E2276" s="102">
        <v>41.0</v>
      </c>
      <c r="F2276" s="107">
        <v>55.0</v>
      </c>
      <c r="G2276" s="15" t="str">
        <f t="shared" si="1"/>
        <v>41055</v>
      </c>
      <c r="H2276" s="23" t="s">
        <v>1011</v>
      </c>
      <c r="I2276" s="23" t="s">
        <v>103</v>
      </c>
      <c r="J2276" s="23" t="s">
        <v>512</v>
      </c>
      <c r="K2276" s="23" t="str">
        <f t="shared" si="38"/>
        <v>Sherman, OR</v>
      </c>
      <c r="L2276" s="24"/>
    </row>
    <row r="2277">
      <c r="A2277" s="99">
        <v>2276.0</v>
      </c>
      <c r="B2277" s="15"/>
      <c r="C2277" s="15"/>
      <c r="D2277" s="105">
        <v>1.0</v>
      </c>
      <c r="E2277" s="102">
        <v>41.0</v>
      </c>
      <c r="F2277" s="107">
        <v>57.0</v>
      </c>
      <c r="G2277" s="15" t="str">
        <f t="shared" si="1"/>
        <v>41057</v>
      </c>
      <c r="H2277" s="23" t="s">
        <v>1778</v>
      </c>
      <c r="I2277" s="23" t="s">
        <v>103</v>
      </c>
      <c r="J2277" s="23" t="s">
        <v>512</v>
      </c>
      <c r="K2277" s="23" t="str">
        <f t="shared" si="38"/>
        <v>Tillamook, OR</v>
      </c>
      <c r="L2277" s="24"/>
    </row>
    <row r="2278">
      <c r="A2278" s="99">
        <v>2277.0</v>
      </c>
      <c r="B2278" s="15"/>
      <c r="C2278" s="15"/>
      <c r="D2278" s="105">
        <v>1.0</v>
      </c>
      <c r="E2278" s="102">
        <v>41.0</v>
      </c>
      <c r="F2278" s="107">
        <v>59.0</v>
      </c>
      <c r="G2278" s="15" t="str">
        <f t="shared" si="1"/>
        <v>41059</v>
      </c>
      <c r="H2278" s="23" t="s">
        <v>1779</v>
      </c>
      <c r="I2278" s="23" t="s">
        <v>103</v>
      </c>
      <c r="J2278" s="23" t="s">
        <v>512</v>
      </c>
      <c r="K2278" s="23" t="str">
        <f t="shared" si="38"/>
        <v>Umatilla, OR</v>
      </c>
      <c r="L2278" s="24"/>
    </row>
    <row r="2279">
      <c r="A2279" s="99">
        <v>2278.0</v>
      </c>
      <c r="B2279" s="15"/>
      <c r="C2279" s="15"/>
      <c r="D2279" s="105">
        <v>1.0</v>
      </c>
      <c r="E2279" s="102">
        <v>41.0</v>
      </c>
      <c r="F2279" s="107">
        <v>61.0</v>
      </c>
      <c r="G2279" s="15" t="str">
        <f t="shared" si="1"/>
        <v>41061</v>
      </c>
      <c r="H2279" s="23" t="s">
        <v>316</v>
      </c>
      <c r="I2279" s="23" t="s">
        <v>103</v>
      </c>
      <c r="J2279" s="23" t="s">
        <v>512</v>
      </c>
      <c r="K2279" s="23" t="str">
        <f t="shared" si="38"/>
        <v>Union, OR</v>
      </c>
      <c r="L2279" s="24"/>
    </row>
    <row r="2280">
      <c r="A2280" s="99">
        <v>2279.0</v>
      </c>
      <c r="B2280" s="15"/>
      <c r="C2280" s="15"/>
      <c r="D2280" s="105">
        <v>1.0</v>
      </c>
      <c r="E2280" s="102">
        <v>41.0</v>
      </c>
      <c r="F2280" s="107">
        <v>63.0</v>
      </c>
      <c r="G2280" s="15" t="str">
        <f t="shared" si="1"/>
        <v>41063</v>
      </c>
      <c r="H2280" s="23" t="s">
        <v>1780</v>
      </c>
      <c r="I2280" s="23" t="s">
        <v>103</v>
      </c>
      <c r="J2280" s="23" t="s">
        <v>512</v>
      </c>
      <c r="K2280" s="23" t="str">
        <f t="shared" si="38"/>
        <v>Wallowa, OR</v>
      </c>
      <c r="L2280" s="24"/>
    </row>
    <row r="2281">
      <c r="A2281" s="99">
        <v>2280.0</v>
      </c>
      <c r="B2281" s="15"/>
      <c r="C2281" s="15"/>
      <c r="D2281" s="105">
        <v>1.0</v>
      </c>
      <c r="E2281" s="102">
        <v>41.0</v>
      </c>
      <c r="F2281" s="107">
        <v>65.0</v>
      </c>
      <c r="G2281" s="15" t="str">
        <f t="shared" si="1"/>
        <v>41065</v>
      </c>
      <c r="H2281" s="23" t="s">
        <v>1781</v>
      </c>
      <c r="I2281" s="23" t="s">
        <v>103</v>
      </c>
      <c r="J2281" s="23" t="s">
        <v>512</v>
      </c>
      <c r="K2281" s="23" t="str">
        <f t="shared" si="38"/>
        <v>Wasco, OR</v>
      </c>
      <c r="L2281" s="24"/>
    </row>
    <row r="2282">
      <c r="A2282" s="99">
        <v>2281.0</v>
      </c>
      <c r="B2282" s="15"/>
      <c r="C2282" s="15"/>
      <c r="D2282" s="105">
        <v>1.0</v>
      </c>
      <c r="E2282" s="102">
        <v>41.0</v>
      </c>
      <c r="F2282" s="107">
        <v>67.0</v>
      </c>
      <c r="G2282" s="15" t="str">
        <f t="shared" si="1"/>
        <v>41067</v>
      </c>
      <c r="H2282" s="23" t="s">
        <v>119</v>
      </c>
      <c r="I2282" s="23" t="s">
        <v>103</v>
      </c>
      <c r="J2282" s="23" t="s">
        <v>512</v>
      </c>
      <c r="K2282" s="23" t="str">
        <f t="shared" si="38"/>
        <v>Washington, OR</v>
      </c>
      <c r="L2282" s="24"/>
    </row>
    <row r="2283">
      <c r="A2283" s="99">
        <v>2282.0</v>
      </c>
      <c r="B2283" s="15"/>
      <c r="C2283" s="15"/>
      <c r="D2283" s="105">
        <v>1.0</v>
      </c>
      <c r="E2283" s="102">
        <v>41.0</v>
      </c>
      <c r="F2283" s="107">
        <v>69.0</v>
      </c>
      <c r="G2283" s="15" t="str">
        <f t="shared" si="1"/>
        <v>41069</v>
      </c>
      <c r="H2283" s="23" t="s">
        <v>649</v>
      </c>
      <c r="I2283" s="23" t="s">
        <v>103</v>
      </c>
      <c r="J2283" s="23" t="s">
        <v>512</v>
      </c>
      <c r="K2283" s="23" t="str">
        <f t="shared" si="38"/>
        <v>Wheeler, OR</v>
      </c>
      <c r="L2283" s="24"/>
    </row>
    <row r="2284">
      <c r="A2284" s="99">
        <v>2283.0</v>
      </c>
      <c r="B2284" s="15"/>
      <c r="C2284" s="15"/>
      <c r="D2284" s="105">
        <v>1.0</v>
      </c>
      <c r="E2284" s="102">
        <v>41.0</v>
      </c>
      <c r="F2284" s="107">
        <v>71.0</v>
      </c>
      <c r="G2284" s="15" t="str">
        <f t="shared" si="1"/>
        <v>41071</v>
      </c>
      <c r="H2284" s="23" t="s">
        <v>1782</v>
      </c>
      <c r="I2284" s="23" t="s">
        <v>103</v>
      </c>
      <c r="J2284" s="23" t="s">
        <v>512</v>
      </c>
      <c r="K2284" s="23" t="str">
        <f t="shared" si="38"/>
        <v>Yamhill, OR</v>
      </c>
      <c r="L2284" s="24"/>
    </row>
    <row r="2285">
      <c r="A2285" s="28">
        <v>2284.0</v>
      </c>
      <c r="B2285" s="29"/>
      <c r="C2285" s="29" t="s">
        <v>25</v>
      </c>
      <c r="D2285" s="30"/>
      <c r="E2285" s="31">
        <v>42.0</v>
      </c>
      <c r="F2285" s="42">
        <v>0.0</v>
      </c>
      <c r="G2285" s="29" t="str">
        <f t="shared" si="1"/>
        <v>42000</v>
      </c>
      <c r="H2285" s="37"/>
      <c r="I2285" s="37" t="s">
        <v>105</v>
      </c>
      <c r="J2285" s="37" t="s">
        <v>287</v>
      </c>
      <c r="K2285" s="37"/>
      <c r="L2285" s="24"/>
    </row>
    <row r="2286">
      <c r="A2286" s="28">
        <v>2285.0</v>
      </c>
      <c r="B2286" s="29"/>
      <c r="C2286" s="29"/>
      <c r="D2286" s="40">
        <v>1.0</v>
      </c>
      <c r="E2286" s="31">
        <v>42.0</v>
      </c>
      <c r="F2286" s="42">
        <v>1.0</v>
      </c>
      <c r="G2286" s="29" t="str">
        <f t="shared" si="1"/>
        <v>42001</v>
      </c>
      <c r="H2286" s="37" t="s">
        <v>386</v>
      </c>
      <c r="I2286" s="37" t="s">
        <v>105</v>
      </c>
      <c r="J2286" s="37" t="s">
        <v>287</v>
      </c>
      <c r="K2286" s="37" t="str">
        <f t="shared" ref="K2286:K2352" si="39">CONCATENATE(H2286,", ",J2286)</f>
        <v>Adams, PA</v>
      </c>
      <c r="L2286" s="24"/>
    </row>
    <row r="2287">
      <c r="A2287" s="28">
        <v>2286.0</v>
      </c>
      <c r="B2287" s="29"/>
      <c r="C2287" s="29"/>
      <c r="D2287" s="40">
        <v>1.0</v>
      </c>
      <c r="E2287" s="31">
        <v>42.0</v>
      </c>
      <c r="F2287" s="42">
        <v>3.0</v>
      </c>
      <c r="G2287" s="29" t="str">
        <f t="shared" si="1"/>
        <v>42003</v>
      </c>
      <c r="H2287" s="37" t="s">
        <v>363</v>
      </c>
      <c r="I2287" s="37" t="s">
        <v>105</v>
      </c>
      <c r="J2287" s="37" t="s">
        <v>287</v>
      </c>
      <c r="K2287" s="37" t="str">
        <f t="shared" si="39"/>
        <v>Allegheny, PA</v>
      </c>
      <c r="L2287" s="24"/>
    </row>
    <row r="2288">
      <c r="A2288" s="28">
        <v>2287.0</v>
      </c>
      <c r="B2288" s="29"/>
      <c r="C2288" s="29"/>
      <c r="D2288" s="40">
        <v>1.0</v>
      </c>
      <c r="E2288" s="31">
        <v>42.0</v>
      </c>
      <c r="F2288" s="42">
        <v>5.0</v>
      </c>
      <c r="G2288" s="29" t="str">
        <f t="shared" si="1"/>
        <v>42005</v>
      </c>
      <c r="H2288" s="37" t="s">
        <v>1783</v>
      </c>
      <c r="I2288" s="37" t="s">
        <v>105</v>
      </c>
      <c r="J2288" s="37" t="s">
        <v>287</v>
      </c>
      <c r="K2288" s="37" t="str">
        <f t="shared" si="39"/>
        <v>Armstrong, PA</v>
      </c>
      <c r="L2288" s="24"/>
    </row>
    <row r="2289">
      <c r="A2289" s="28">
        <v>2288.0</v>
      </c>
      <c r="B2289" s="29"/>
      <c r="C2289" s="29"/>
      <c r="D2289" s="40">
        <v>1.0</v>
      </c>
      <c r="E2289" s="31">
        <v>42.0</v>
      </c>
      <c r="F2289" s="42">
        <v>7.0</v>
      </c>
      <c r="G2289" s="29" t="str">
        <f t="shared" si="1"/>
        <v>42007</v>
      </c>
      <c r="H2289" s="37" t="s">
        <v>1710</v>
      </c>
      <c r="I2289" s="37" t="s">
        <v>105</v>
      </c>
      <c r="J2289" s="37" t="s">
        <v>287</v>
      </c>
      <c r="K2289" s="37" t="str">
        <f t="shared" si="39"/>
        <v>Beaver, PA</v>
      </c>
      <c r="L2289" s="24"/>
    </row>
    <row r="2290">
      <c r="A2290" s="28">
        <v>2289.0</v>
      </c>
      <c r="B2290" s="29"/>
      <c r="C2290" s="29"/>
      <c r="D2290" s="40">
        <v>1.0</v>
      </c>
      <c r="E2290" s="31">
        <v>42.0</v>
      </c>
      <c r="F2290" s="42">
        <v>9.0</v>
      </c>
      <c r="G2290" s="29" t="str">
        <f t="shared" si="1"/>
        <v>42009</v>
      </c>
      <c r="H2290" s="37" t="s">
        <v>1784</v>
      </c>
      <c r="I2290" s="37" t="s">
        <v>105</v>
      </c>
      <c r="J2290" s="37" t="s">
        <v>287</v>
      </c>
      <c r="K2290" s="37" t="str">
        <f t="shared" si="39"/>
        <v>Bedford, PA</v>
      </c>
      <c r="L2290" s="24"/>
    </row>
    <row r="2291">
      <c r="A2291" s="28">
        <v>2290.0</v>
      </c>
      <c r="B2291" s="29"/>
      <c r="C2291" s="29"/>
      <c r="D2291" s="40">
        <v>1.0</v>
      </c>
      <c r="E2291" s="31">
        <v>42.0</v>
      </c>
      <c r="F2291" s="42">
        <v>11.0</v>
      </c>
      <c r="G2291" s="29" t="str">
        <f t="shared" si="1"/>
        <v>42011</v>
      </c>
      <c r="H2291" s="37" t="s">
        <v>1785</v>
      </c>
      <c r="I2291" s="37" t="s">
        <v>105</v>
      </c>
      <c r="J2291" s="37" t="s">
        <v>287</v>
      </c>
      <c r="K2291" s="37" t="str">
        <f t="shared" si="39"/>
        <v>Berks, PA</v>
      </c>
      <c r="L2291" s="24"/>
    </row>
    <row r="2292">
      <c r="A2292" s="28">
        <v>2291.0</v>
      </c>
      <c r="B2292" s="29"/>
      <c r="C2292" s="29"/>
      <c r="D2292" s="40">
        <v>1.0</v>
      </c>
      <c r="E2292" s="31">
        <v>42.0</v>
      </c>
      <c r="F2292" s="42">
        <v>13.0</v>
      </c>
      <c r="G2292" s="29" t="str">
        <f t="shared" si="1"/>
        <v>42013</v>
      </c>
      <c r="H2292" s="37" t="s">
        <v>1786</v>
      </c>
      <c r="I2292" s="37" t="s">
        <v>105</v>
      </c>
      <c r="J2292" s="37" t="s">
        <v>287</v>
      </c>
      <c r="K2292" s="37" t="str">
        <f t="shared" si="39"/>
        <v>Blair, PA</v>
      </c>
      <c r="L2292" s="24"/>
    </row>
    <row r="2293">
      <c r="A2293" s="28">
        <v>2292.0</v>
      </c>
      <c r="B2293" s="29"/>
      <c r="C2293" s="29"/>
      <c r="D2293" s="40">
        <v>1.0</v>
      </c>
      <c r="E2293" s="31">
        <v>42.0</v>
      </c>
      <c r="F2293" s="42">
        <v>15.0</v>
      </c>
      <c r="G2293" s="29" t="str">
        <f t="shared" si="1"/>
        <v>42015</v>
      </c>
      <c r="H2293" s="37" t="s">
        <v>483</v>
      </c>
      <c r="I2293" s="37" t="s">
        <v>105</v>
      </c>
      <c r="J2293" s="37" t="s">
        <v>287</v>
      </c>
      <c r="K2293" s="37" t="str">
        <f t="shared" si="39"/>
        <v>Bradford, PA</v>
      </c>
      <c r="L2293" s="24"/>
    </row>
    <row r="2294">
      <c r="A2294" s="28">
        <v>2293.0</v>
      </c>
      <c r="B2294" s="29"/>
      <c r="C2294" s="29"/>
      <c r="D2294" s="40">
        <v>1.0</v>
      </c>
      <c r="E2294" s="31">
        <v>42.0</v>
      </c>
      <c r="F2294" s="42">
        <v>17.0</v>
      </c>
      <c r="G2294" s="29" t="str">
        <f t="shared" si="1"/>
        <v>42017</v>
      </c>
      <c r="H2294" s="37" t="s">
        <v>599</v>
      </c>
      <c r="I2294" s="37" t="s">
        <v>105</v>
      </c>
      <c r="J2294" s="37" t="s">
        <v>287</v>
      </c>
      <c r="K2294" s="37" t="str">
        <f t="shared" si="39"/>
        <v>Bucks, PA</v>
      </c>
      <c r="L2294" s="24"/>
    </row>
    <row r="2295">
      <c r="A2295" s="28">
        <v>2294.0</v>
      </c>
      <c r="B2295" s="29"/>
      <c r="C2295" s="29"/>
      <c r="D2295" s="40">
        <v>1.0</v>
      </c>
      <c r="E2295" s="31">
        <v>42.0</v>
      </c>
      <c r="F2295" s="42">
        <v>19.0</v>
      </c>
      <c r="G2295" s="29" t="str">
        <f t="shared" si="1"/>
        <v>42019</v>
      </c>
      <c r="H2295" s="37" t="s">
        <v>87</v>
      </c>
      <c r="I2295" s="37" t="s">
        <v>105</v>
      </c>
      <c r="J2295" s="37" t="s">
        <v>287</v>
      </c>
      <c r="K2295" s="37" t="str">
        <f t="shared" si="39"/>
        <v>Butler, PA</v>
      </c>
      <c r="L2295" s="24"/>
    </row>
    <row r="2296">
      <c r="A2296" s="28">
        <v>2295.0</v>
      </c>
      <c r="B2296" s="29"/>
      <c r="C2296" s="29"/>
      <c r="D2296" s="40">
        <v>1.0</v>
      </c>
      <c r="E2296" s="31">
        <v>42.0</v>
      </c>
      <c r="F2296" s="42">
        <v>21.0</v>
      </c>
      <c r="G2296" s="29" t="str">
        <f t="shared" si="1"/>
        <v>42021</v>
      </c>
      <c r="H2296" s="37" t="s">
        <v>1787</v>
      </c>
      <c r="I2296" s="37" t="s">
        <v>105</v>
      </c>
      <c r="J2296" s="37" t="s">
        <v>287</v>
      </c>
      <c r="K2296" s="37" t="str">
        <f t="shared" si="39"/>
        <v>Cambria, PA</v>
      </c>
      <c r="L2296" s="24"/>
    </row>
    <row r="2297">
      <c r="A2297" s="28">
        <v>2296.0</v>
      </c>
      <c r="B2297" s="29"/>
      <c r="C2297" s="29"/>
      <c r="D2297" s="40">
        <v>1.0</v>
      </c>
      <c r="E2297" s="31">
        <v>42.0</v>
      </c>
      <c r="F2297" s="42">
        <v>23.0</v>
      </c>
      <c r="G2297" s="29" t="str">
        <f t="shared" si="1"/>
        <v>42023</v>
      </c>
      <c r="H2297" s="37" t="s">
        <v>1149</v>
      </c>
      <c r="I2297" s="37" t="s">
        <v>105</v>
      </c>
      <c r="J2297" s="37" t="s">
        <v>287</v>
      </c>
      <c r="K2297" s="37" t="str">
        <f t="shared" si="39"/>
        <v>Cameron, PA</v>
      </c>
      <c r="L2297" s="24"/>
    </row>
    <row r="2298">
      <c r="A2298" s="28">
        <v>2297.0</v>
      </c>
      <c r="B2298" s="29"/>
      <c r="C2298" s="29"/>
      <c r="D2298" s="40">
        <v>1.0</v>
      </c>
      <c r="E2298" s="31">
        <v>42.0</v>
      </c>
      <c r="F2298" s="42">
        <v>25.0</v>
      </c>
      <c r="G2298" s="29" t="str">
        <f t="shared" si="1"/>
        <v>42025</v>
      </c>
      <c r="H2298" s="37" t="s">
        <v>1434</v>
      </c>
      <c r="I2298" s="37" t="s">
        <v>105</v>
      </c>
      <c r="J2298" s="37" t="s">
        <v>287</v>
      </c>
      <c r="K2298" s="37" t="str">
        <f t="shared" si="39"/>
        <v>Carbon, PA</v>
      </c>
      <c r="L2298" s="24"/>
    </row>
    <row r="2299">
      <c r="A2299" s="28">
        <v>2298.0</v>
      </c>
      <c r="B2299" s="29"/>
      <c r="C2299" s="29"/>
      <c r="D2299" s="40">
        <v>1.0</v>
      </c>
      <c r="E2299" s="31">
        <v>42.0</v>
      </c>
      <c r="F2299" s="42">
        <v>27.0</v>
      </c>
      <c r="G2299" s="29" t="str">
        <f t="shared" si="1"/>
        <v>42027</v>
      </c>
      <c r="H2299" s="37" t="s">
        <v>1788</v>
      </c>
      <c r="I2299" s="37" t="s">
        <v>105</v>
      </c>
      <c r="J2299" s="37" t="s">
        <v>287</v>
      </c>
      <c r="K2299" s="37" t="str">
        <f t="shared" si="39"/>
        <v>Centre, PA</v>
      </c>
      <c r="L2299" s="24"/>
    </row>
    <row r="2300">
      <c r="A2300" s="28">
        <v>2299.0</v>
      </c>
      <c r="B2300" s="29"/>
      <c r="C2300" s="29"/>
      <c r="D2300" s="40">
        <v>1.0</v>
      </c>
      <c r="E2300" s="31">
        <v>42.0</v>
      </c>
      <c r="F2300" s="42">
        <v>29.0</v>
      </c>
      <c r="G2300" s="29" t="str">
        <f t="shared" si="1"/>
        <v>42029</v>
      </c>
      <c r="H2300" s="37" t="s">
        <v>1789</v>
      </c>
      <c r="I2300" s="37" t="s">
        <v>105</v>
      </c>
      <c r="J2300" s="37" t="s">
        <v>287</v>
      </c>
      <c r="K2300" s="37" t="str">
        <f t="shared" si="39"/>
        <v>Chester, PA</v>
      </c>
      <c r="L2300" s="24"/>
    </row>
    <row r="2301">
      <c r="A2301" s="28">
        <v>2300.0</v>
      </c>
      <c r="B2301" s="29"/>
      <c r="C2301" s="29"/>
      <c r="D2301" s="40">
        <v>1.0</v>
      </c>
      <c r="E2301" s="31">
        <v>42.0</v>
      </c>
      <c r="F2301" s="42">
        <v>31.0</v>
      </c>
      <c r="G2301" s="29" t="str">
        <f t="shared" si="1"/>
        <v>42031</v>
      </c>
      <c r="H2301" s="37" t="s">
        <v>1790</v>
      </c>
      <c r="I2301" s="37" t="s">
        <v>105</v>
      </c>
      <c r="J2301" s="37" t="s">
        <v>287</v>
      </c>
      <c r="K2301" s="37" t="str">
        <f t="shared" si="39"/>
        <v>Clarion, PA</v>
      </c>
      <c r="L2301" s="24"/>
    </row>
    <row r="2302">
      <c r="A2302" s="28">
        <v>2301.0</v>
      </c>
      <c r="B2302" s="29"/>
      <c r="C2302" s="29"/>
      <c r="D2302" s="40">
        <v>1.0</v>
      </c>
      <c r="E2302" s="31">
        <v>42.0</v>
      </c>
      <c r="F2302" s="42">
        <v>33.0</v>
      </c>
      <c r="G2302" s="29" t="str">
        <f t="shared" si="1"/>
        <v>42033</v>
      </c>
      <c r="H2302" s="37" t="s">
        <v>1791</v>
      </c>
      <c r="I2302" s="37" t="s">
        <v>105</v>
      </c>
      <c r="J2302" s="37" t="s">
        <v>287</v>
      </c>
      <c r="K2302" s="37" t="str">
        <f t="shared" si="39"/>
        <v>Clearfield, PA</v>
      </c>
      <c r="L2302" s="24"/>
    </row>
    <row r="2303">
      <c r="A2303" s="28">
        <v>2302.0</v>
      </c>
      <c r="B2303" s="29"/>
      <c r="C2303" s="29"/>
      <c r="D2303" s="40">
        <v>1.0</v>
      </c>
      <c r="E2303" s="31">
        <v>42.0</v>
      </c>
      <c r="F2303" s="42">
        <v>35.0</v>
      </c>
      <c r="G2303" s="29" t="str">
        <f t="shared" si="1"/>
        <v>42035</v>
      </c>
      <c r="H2303" s="37" t="s">
        <v>711</v>
      </c>
      <c r="I2303" s="37" t="s">
        <v>105</v>
      </c>
      <c r="J2303" s="37" t="s">
        <v>287</v>
      </c>
      <c r="K2303" s="37" t="str">
        <f t="shared" si="39"/>
        <v>Clinton, PA</v>
      </c>
      <c r="L2303" s="24"/>
    </row>
    <row r="2304">
      <c r="A2304" s="28">
        <v>2303.0</v>
      </c>
      <c r="B2304" s="29"/>
      <c r="C2304" s="29"/>
      <c r="D2304" s="40">
        <v>1.0</v>
      </c>
      <c r="E2304" s="31">
        <v>42.0</v>
      </c>
      <c r="F2304" s="42">
        <v>37.0</v>
      </c>
      <c r="G2304" s="29" t="str">
        <f t="shared" si="1"/>
        <v>42037</v>
      </c>
      <c r="H2304" s="37" t="s">
        <v>258</v>
      </c>
      <c r="I2304" s="37" t="s">
        <v>105</v>
      </c>
      <c r="J2304" s="37" t="s">
        <v>287</v>
      </c>
      <c r="K2304" s="37" t="str">
        <f t="shared" si="39"/>
        <v>Columbia, PA</v>
      </c>
      <c r="L2304" s="24"/>
    </row>
    <row r="2305">
      <c r="A2305" s="28">
        <v>2304.0</v>
      </c>
      <c r="B2305" s="29"/>
      <c r="C2305" s="29"/>
      <c r="D2305" s="40">
        <v>1.0</v>
      </c>
      <c r="E2305" s="31">
        <v>42.0</v>
      </c>
      <c r="F2305" s="42">
        <v>39.0</v>
      </c>
      <c r="G2305" s="29" t="str">
        <f t="shared" si="1"/>
        <v>42039</v>
      </c>
      <c r="H2305" s="37" t="s">
        <v>263</v>
      </c>
      <c r="I2305" s="37" t="s">
        <v>105</v>
      </c>
      <c r="J2305" s="37" t="s">
        <v>287</v>
      </c>
      <c r="K2305" s="37" t="str">
        <f t="shared" si="39"/>
        <v>Crawford, PA</v>
      </c>
      <c r="L2305" s="24"/>
    </row>
    <row r="2306">
      <c r="A2306" s="28">
        <v>2305.0</v>
      </c>
      <c r="B2306" s="29"/>
      <c r="C2306" s="29"/>
      <c r="D2306" s="40">
        <v>1.0</v>
      </c>
      <c r="E2306" s="31">
        <v>42.0</v>
      </c>
      <c r="F2306" s="42">
        <v>41.0</v>
      </c>
      <c r="G2306" s="29" t="str">
        <f t="shared" si="1"/>
        <v>42041</v>
      </c>
      <c r="H2306" s="37" t="s">
        <v>713</v>
      </c>
      <c r="I2306" s="37" t="s">
        <v>105</v>
      </c>
      <c r="J2306" s="37" t="s">
        <v>287</v>
      </c>
      <c r="K2306" s="37" t="str">
        <f t="shared" si="39"/>
        <v>Cumberland, PA</v>
      </c>
      <c r="L2306" s="24"/>
    </row>
    <row r="2307">
      <c r="A2307" s="28">
        <v>2306.0</v>
      </c>
      <c r="B2307" s="29"/>
      <c r="C2307" s="29"/>
      <c r="D2307" s="40">
        <v>1.0</v>
      </c>
      <c r="E2307" s="31">
        <v>42.0</v>
      </c>
      <c r="F2307" s="42">
        <v>43.0</v>
      </c>
      <c r="G2307" s="29" t="str">
        <f t="shared" si="1"/>
        <v>42043</v>
      </c>
      <c r="H2307" s="37" t="s">
        <v>1792</v>
      </c>
      <c r="I2307" s="37" t="s">
        <v>105</v>
      </c>
      <c r="J2307" s="37" t="s">
        <v>287</v>
      </c>
      <c r="K2307" s="37" t="str">
        <f t="shared" si="39"/>
        <v>Dauphin, PA</v>
      </c>
      <c r="L2307" s="24"/>
    </row>
    <row r="2308">
      <c r="A2308" s="28">
        <v>2307.0</v>
      </c>
      <c r="B2308" s="29"/>
      <c r="C2308" s="29"/>
      <c r="D2308" s="40">
        <v>1.0</v>
      </c>
      <c r="E2308" s="31">
        <v>42.0</v>
      </c>
      <c r="F2308" s="42">
        <v>45.0</v>
      </c>
      <c r="G2308" s="29" t="str">
        <f t="shared" si="1"/>
        <v>42045</v>
      </c>
      <c r="H2308" s="37" t="s">
        <v>40</v>
      </c>
      <c r="I2308" s="37" t="s">
        <v>105</v>
      </c>
      <c r="J2308" s="37" t="s">
        <v>287</v>
      </c>
      <c r="K2308" s="37" t="str">
        <f t="shared" si="39"/>
        <v>Delaware, PA</v>
      </c>
      <c r="L2308" s="24"/>
    </row>
    <row r="2309">
      <c r="A2309" s="28">
        <v>2308.0</v>
      </c>
      <c r="B2309" s="29"/>
      <c r="C2309" s="29"/>
      <c r="D2309" s="40">
        <v>1.0</v>
      </c>
      <c r="E2309" s="31">
        <v>42.0</v>
      </c>
      <c r="F2309" s="42">
        <v>47.0</v>
      </c>
      <c r="G2309" s="29" t="str">
        <f t="shared" si="1"/>
        <v>42047</v>
      </c>
      <c r="H2309" s="37" t="s">
        <v>968</v>
      </c>
      <c r="I2309" s="37" t="s">
        <v>105</v>
      </c>
      <c r="J2309" s="37" t="s">
        <v>287</v>
      </c>
      <c r="K2309" s="37" t="str">
        <f t="shared" si="39"/>
        <v>Elk, PA</v>
      </c>
      <c r="L2309" s="24"/>
    </row>
    <row r="2310">
      <c r="A2310" s="28">
        <v>2309.0</v>
      </c>
      <c r="B2310" s="29"/>
      <c r="C2310" s="29"/>
      <c r="D2310" s="40">
        <v>1.0</v>
      </c>
      <c r="E2310" s="31">
        <v>42.0</v>
      </c>
      <c r="F2310" s="42">
        <v>49.0</v>
      </c>
      <c r="G2310" s="29" t="str">
        <f t="shared" si="1"/>
        <v>42049</v>
      </c>
      <c r="H2310" s="37" t="s">
        <v>464</v>
      </c>
      <c r="I2310" s="37" t="s">
        <v>105</v>
      </c>
      <c r="J2310" s="37" t="s">
        <v>287</v>
      </c>
      <c r="K2310" s="37" t="str">
        <f t="shared" si="39"/>
        <v>Erie, PA</v>
      </c>
      <c r="L2310" s="24"/>
    </row>
    <row r="2311">
      <c r="A2311" s="28">
        <v>2310.0</v>
      </c>
      <c r="B2311" s="29"/>
      <c r="C2311" s="29"/>
      <c r="D2311" s="40">
        <v>1.0</v>
      </c>
      <c r="E2311" s="31">
        <v>42.0</v>
      </c>
      <c r="F2311" s="42">
        <v>51.0</v>
      </c>
      <c r="G2311" s="29" t="str">
        <f t="shared" si="1"/>
        <v>42051</v>
      </c>
      <c r="H2311" s="37" t="s">
        <v>135</v>
      </c>
      <c r="I2311" s="37" t="s">
        <v>105</v>
      </c>
      <c r="J2311" s="37" t="s">
        <v>287</v>
      </c>
      <c r="K2311" s="37" t="str">
        <f t="shared" si="39"/>
        <v>Fayette, PA</v>
      </c>
      <c r="L2311" s="24"/>
    </row>
    <row r="2312">
      <c r="A2312" s="28">
        <v>2311.0</v>
      </c>
      <c r="B2312" s="29"/>
      <c r="C2312" s="29"/>
      <c r="D2312" s="40">
        <v>1.0</v>
      </c>
      <c r="E2312" s="31">
        <v>42.0</v>
      </c>
      <c r="F2312" s="42">
        <v>53.0</v>
      </c>
      <c r="G2312" s="29" t="str">
        <f t="shared" si="1"/>
        <v>42053</v>
      </c>
      <c r="H2312" s="37" t="s">
        <v>1793</v>
      </c>
      <c r="I2312" s="37" t="s">
        <v>105</v>
      </c>
      <c r="J2312" s="37" t="s">
        <v>287</v>
      </c>
      <c r="K2312" s="37" t="str">
        <f t="shared" si="39"/>
        <v>Forest, PA</v>
      </c>
      <c r="L2312" s="24"/>
    </row>
    <row r="2313">
      <c r="A2313" s="28">
        <v>2312.0</v>
      </c>
      <c r="B2313" s="29"/>
      <c r="C2313" s="29"/>
      <c r="D2313" s="40">
        <v>1.0</v>
      </c>
      <c r="E2313" s="31">
        <v>42.0</v>
      </c>
      <c r="F2313" s="42">
        <v>55.0</v>
      </c>
      <c r="G2313" s="29" t="str">
        <f t="shared" si="1"/>
        <v>42055</v>
      </c>
      <c r="H2313" s="37" t="s">
        <v>136</v>
      </c>
      <c r="I2313" s="37" t="s">
        <v>105</v>
      </c>
      <c r="J2313" s="37" t="s">
        <v>287</v>
      </c>
      <c r="K2313" s="37" t="str">
        <f t="shared" si="39"/>
        <v>Franklin, PA</v>
      </c>
      <c r="L2313" s="24"/>
    </row>
    <row r="2314">
      <c r="A2314" s="28">
        <v>2313.0</v>
      </c>
      <c r="B2314" s="29"/>
      <c r="C2314" s="29"/>
      <c r="D2314" s="40">
        <v>1.0</v>
      </c>
      <c r="E2314" s="31">
        <v>42.0</v>
      </c>
      <c r="F2314" s="42">
        <v>57.0</v>
      </c>
      <c r="G2314" s="29" t="str">
        <f t="shared" si="1"/>
        <v>42057</v>
      </c>
      <c r="H2314" s="37" t="s">
        <v>275</v>
      </c>
      <c r="I2314" s="37" t="s">
        <v>105</v>
      </c>
      <c r="J2314" s="37" t="s">
        <v>287</v>
      </c>
      <c r="K2314" s="37" t="str">
        <f t="shared" si="39"/>
        <v>Fulton, PA</v>
      </c>
      <c r="L2314" s="24"/>
    </row>
    <row r="2315">
      <c r="A2315" s="28">
        <v>2314.0</v>
      </c>
      <c r="B2315" s="29"/>
      <c r="C2315" s="29"/>
      <c r="D2315" s="40">
        <v>1.0</v>
      </c>
      <c r="E2315" s="31">
        <v>42.0</v>
      </c>
      <c r="F2315" s="42">
        <v>59.0</v>
      </c>
      <c r="G2315" s="29" t="str">
        <f t="shared" si="1"/>
        <v>42059</v>
      </c>
      <c r="H2315" s="37" t="s">
        <v>138</v>
      </c>
      <c r="I2315" s="37" t="s">
        <v>105</v>
      </c>
      <c r="J2315" s="37" t="s">
        <v>287</v>
      </c>
      <c r="K2315" s="37" t="str">
        <f t="shared" si="39"/>
        <v>Greene, PA</v>
      </c>
      <c r="L2315" s="24"/>
    </row>
    <row r="2316">
      <c r="A2316" s="28">
        <v>2315.0</v>
      </c>
      <c r="B2316" s="29"/>
      <c r="C2316" s="29"/>
      <c r="D2316" s="40">
        <v>1.0</v>
      </c>
      <c r="E2316" s="31">
        <v>42.0</v>
      </c>
      <c r="F2316" s="42">
        <v>61.0</v>
      </c>
      <c r="G2316" s="29" t="str">
        <f t="shared" si="1"/>
        <v>42061</v>
      </c>
      <c r="H2316" s="37" t="s">
        <v>1794</v>
      </c>
      <c r="I2316" s="37" t="s">
        <v>105</v>
      </c>
      <c r="J2316" s="37" t="s">
        <v>287</v>
      </c>
      <c r="K2316" s="37" t="str">
        <f t="shared" si="39"/>
        <v>Huntingdon, PA</v>
      </c>
      <c r="L2316" s="24"/>
    </row>
    <row r="2317">
      <c r="A2317" s="28">
        <v>2316.0</v>
      </c>
      <c r="B2317" s="29"/>
      <c r="C2317" s="29"/>
      <c r="D2317" s="40">
        <v>1.0</v>
      </c>
      <c r="E2317" s="31">
        <v>42.0</v>
      </c>
      <c r="F2317" s="42">
        <v>63.0</v>
      </c>
      <c r="G2317" s="29" t="str">
        <f t="shared" si="1"/>
        <v>42063</v>
      </c>
      <c r="H2317" s="37" t="s">
        <v>49</v>
      </c>
      <c r="I2317" s="37" t="s">
        <v>105</v>
      </c>
      <c r="J2317" s="37" t="s">
        <v>287</v>
      </c>
      <c r="K2317" s="37" t="str">
        <f t="shared" si="39"/>
        <v>Indiana, PA</v>
      </c>
      <c r="L2317" s="24"/>
    </row>
    <row r="2318">
      <c r="A2318" s="28">
        <v>2317.0</v>
      </c>
      <c r="B2318" s="29"/>
      <c r="C2318" s="29"/>
      <c r="D2318" s="40">
        <v>1.0</v>
      </c>
      <c r="E2318" s="31">
        <v>42.0</v>
      </c>
      <c r="F2318" s="42">
        <v>65.0</v>
      </c>
      <c r="G2318" s="29" t="str">
        <f t="shared" si="1"/>
        <v>42065</v>
      </c>
      <c r="H2318" s="37" t="s">
        <v>143</v>
      </c>
      <c r="I2318" s="37" t="s">
        <v>105</v>
      </c>
      <c r="J2318" s="37" t="s">
        <v>287</v>
      </c>
      <c r="K2318" s="37" t="str">
        <f t="shared" si="39"/>
        <v>Jefferson, PA</v>
      </c>
      <c r="L2318" s="24"/>
    </row>
    <row r="2319">
      <c r="A2319" s="28">
        <v>2318.0</v>
      </c>
      <c r="B2319" s="29"/>
      <c r="C2319" s="29"/>
      <c r="D2319" s="40">
        <v>1.0</v>
      </c>
      <c r="E2319" s="31">
        <v>42.0</v>
      </c>
      <c r="F2319" s="42">
        <v>67.0</v>
      </c>
      <c r="G2319" s="29" t="str">
        <f t="shared" si="1"/>
        <v>42067</v>
      </c>
      <c r="H2319" s="37" t="s">
        <v>1795</v>
      </c>
      <c r="I2319" s="37" t="s">
        <v>105</v>
      </c>
      <c r="J2319" s="37" t="s">
        <v>287</v>
      </c>
      <c r="K2319" s="37" t="str">
        <f t="shared" si="39"/>
        <v>Juniata, PA</v>
      </c>
      <c r="L2319" s="24"/>
    </row>
    <row r="2320">
      <c r="A2320" s="28">
        <v>2319.0</v>
      </c>
      <c r="B2320" s="29"/>
      <c r="C2320" s="29"/>
      <c r="D2320" s="40">
        <v>1.0</v>
      </c>
      <c r="E2320" s="31">
        <v>42.0</v>
      </c>
      <c r="F2320" s="42">
        <v>69.0</v>
      </c>
      <c r="G2320" s="29" t="str">
        <f t="shared" si="1"/>
        <v>42069</v>
      </c>
      <c r="H2320" s="37" t="s">
        <v>1796</v>
      </c>
      <c r="I2320" s="37" t="s">
        <v>105</v>
      </c>
      <c r="J2320" s="37" t="s">
        <v>287</v>
      </c>
      <c r="K2320" s="136" t="str">
        <f t="shared" si="39"/>
        <v>Lackawanna, PA</v>
      </c>
      <c r="L2320" s="24"/>
    </row>
    <row r="2321">
      <c r="A2321" s="28">
        <v>2320.0</v>
      </c>
      <c r="B2321" s="29"/>
      <c r="C2321" s="29"/>
      <c r="D2321" s="40">
        <v>1.0</v>
      </c>
      <c r="E2321" s="31">
        <v>42.0</v>
      </c>
      <c r="F2321" s="42">
        <v>71.0</v>
      </c>
      <c r="G2321" s="29" t="str">
        <f t="shared" si="1"/>
        <v>42071</v>
      </c>
      <c r="H2321" s="37" t="s">
        <v>650</v>
      </c>
      <c r="I2321" s="37" t="s">
        <v>105</v>
      </c>
      <c r="J2321" s="37" t="s">
        <v>287</v>
      </c>
      <c r="K2321" s="37" t="str">
        <f t="shared" si="39"/>
        <v>Lancaster, PA</v>
      </c>
      <c r="L2321" s="24"/>
    </row>
    <row r="2322">
      <c r="A2322" s="28">
        <v>2321.0</v>
      </c>
      <c r="B2322" s="29"/>
      <c r="C2322" s="29"/>
      <c r="D2322" s="40">
        <v>1.0</v>
      </c>
      <c r="E2322" s="31">
        <v>42.0</v>
      </c>
      <c r="F2322" s="42">
        <v>73.0</v>
      </c>
      <c r="G2322" s="29" t="str">
        <f t="shared" si="1"/>
        <v>42073</v>
      </c>
      <c r="H2322" s="37" t="s">
        <v>146</v>
      </c>
      <c r="I2322" s="37" t="s">
        <v>105</v>
      </c>
      <c r="J2322" s="37" t="s">
        <v>287</v>
      </c>
      <c r="K2322" s="37" t="str">
        <f t="shared" si="39"/>
        <v>Lawrence, PA</v>
      </c>
      <c r="L2322" s="24"/>
    </row>
    <row r="2323">
      <c r="A2323" s="28">
        <v>2322.0</v>
      </c>
      <c r="B2323" s="29"/>
      <c r="C2323" s="29"/>
      <c r="D2323" s="40">
        <v>1.0</v>
      </c>
      <c r="E2323" s="31">
        <v>42.0</v>
      </c>
      <c r="F2323" s="42">
        <v>75.0</v>
      </c>
      <c r="G2323" s="29" t="str">
        <f t="shared" si="1"/>
        <v>42075</v>
      </c>
      <c r="H2323" s="37" t="s">
        <v>1797</v>
      </c>
      <c r="I2323" s="37" t="s">
        <v>105</v>
      </c>
      <c r="J2323" s="37" t="s">
        <v>287</v>
      </c>
      <c r="K2323" s="37" t="str">
        <f t="shared" si="39"/>
        <v>Lebanon, PA</v>
      </c>
      <c r="L2323" s="24"/>
    </row>
    <row r="2324">
      <c r="A2324" s="28">
        <v>2323.0</v>
      </c>
      <c r="B2324" s="29"/>
      <c r="C2324" s="29"/>
      <c r="D2324" s="40">
        <v>1.0</v>
      </c>
      <c r="E2324" s="31">
        <v>42.0</v>
      </c>
      <c r="F2324" s="42">
        <v>77.0</v>
      </c>
      <c r="G2324" s="29" t="str">
        <f t="shared" si="1"/>
        <v>42077</v>
      </c>
      <c r="H2324" s="37" t="s">
        <v>1798</v>
      </c>
      <c r="I2324" s="37" t="s">
        <v>105</v>
      </c>
      <c r="J2324" s="37" t="s">
        <v>287</v>
      </c>
      <c r="K2324" s="37" t="str">
        <f t="shared" si="39"/>
        <v>Lehigh, PA</v>
      </c>
      <c r="L2324" s="24"/>
    </row>
    <row r="2325">
      <c r="A2325" s="28">
        <v>2324.0</v>
      </c>
      <c r="B2325" s="29"/>
      <c r="C2325" s="29"/>
      <c r="D2325" s="40">
        <v>1.0</v>
      </c>
      <c r="E2325" s="31">
        <v>42.0</v>
      </c>
      <c r="F2325" s="42">
        <v>79.0</v>
      </c>
      <c r="G2325" s="29" t="str">
        <f t="shared" si="1"/>
        <v>42079</v>
      </c>
      <c r="H2325" s="37" t="s">
        <v>1799</v>
      </c>
      <c r="I2325" s="37" t="s">
        <v>105</v>
      </c>
      <c r="J2325" s="37" t="s">
        <v>287</v>
      </c>
      <c r="K2325" s="37" t="str">
        <f t="shared" si="39"/>
        <v>Luzerne, PA</v>
      </c>
      <c r="L2325" s="24"/>
    </row>
    <row r="2326">
      <c r="A2326" s="28">
        <v>2325.0</v>
      </c>
      <c r="B2326" s="29"/>
      <c r="C2326" s="29"/>
      <c r="D2326" s="40">
        <v>1.0</v>
      </c>
      <c r="E2326" s="31">
        <v>42.0</v>
      </c>
      <c r="F2326" s="42">
        <v>81.0</v>
      </c>
      <c r="G2326" s="29" t="str">
        <f t="shared" si="1"/>
        <v>42081</v>
      </c>
      <c r="H2326" s="37" t="s">
        <v>1800</v>
      </c>
      <c r="I2326" s="37" t="s">
        <v>105</v>
      </c>
      <c r="J2326" s="37" t="s">
        <v>287</v>
      </c>
      <c r="K2326" s="37" t="str">
        <f t="shared" si="39"/>
        <v>Lycoming, PA</v>
      </c>
      <c r="L2326" s="24"/>
    </row>
    <row r="2327">
      <c r="A2327" s="28">
        <v>2326.0</v>
      </c>
      <c r="B2327" s="29"/>
      <c r="C2327" s="29"/>
      <c r="D2327" s="40">
        <v>1.0</v>
      </c>
      <c r="E2327" s="31">
        <v>42.0</v>
      </c>
      <c r="F2327" s="42">
        <v>83.0</v>
      </c>
      <c r="G2327" s="29" t="str">
        <f t="shared" si="1"/>
        <v>42083</v>
      </c>
      <c r="H2327" s="37" t="s">
        <v>1801</v>
      </c>
      <c r="I2327" s="37" t="s">
        <v>105</v>
      </c>
      <c r="J2327" s="37" t="s">
        <v>287</v>
      </c>
      <c r="K2327" s="37" t="str">
        <f t="shared" si="39"/>
        <v>McKean, PA</v>
      </c>
      <c r="L2327" s="24"/>
    </row>
    <row r="2328">
      <c r="A2328" s="28">
        <v>2327.0</v>
      </c>
      <c r="B2328" s="29"/>
      <c r="C2328" s="29"/>
      <c r="D2328" s="40">
        <v>1.0</v>
      </c>
      <c r="E2328" s="31">
        <v>42.0</v>
      </c>
      <c r="F2328" s="42">
        <v>85.0</v>
      </c>
      <c r="G2328" s="29" t="str">
        <f t="shared" si="1"/>
        <v>42085</v>
      </c>
      <c r="H2328" s="37" t="s">
        <v>738</v>
      </c>
      <c r="I2328" s="37" t="s">
        <v>105</v>
      </c>
      <c r="J2328" s="37" t="s">
        <v>287</v>
      </c>
      <c r="K2328" s="37" t="str">
        <f t="shared" si="39"/>
        <v>Mercer, PA</v>
      </c>
      <c r="L2328" s="24"/>
    </row>
    <row r="2329">
      <c r="A2329" s="28">
        <v>2328.0</v>
      </c>
      <c r="B2329" s="29"/>
      <c r="C2329" s="29"/>
      <c r="D2329" s="40">
        <v>1.0</v>
      </c>
      <c r="E2329" s="31">
        <v>42.0</v>
      </c>
      <c r="F2329" s="42">
        <v>87.0</v>
      </c>
      <c r="G2329" s="29" t="str">
        <f t="shared" si="1"/>
        <v>42087</v>
      </c>
      <c r="H2329" s="37" t="s">
        <v>1802</v>
      </c>
      <c r="I2329" s="37" t="s">
        <v>105</v>
      </c>
      <c r="J2329" s="37" t="s">
        <v>287</v>
      </c>
      <c r="K2329" s="37" t="str">
        <f t="shared" si="39"/>
        <v>Mifflin, PA</v>
      </c>
      <c r="L2329" s="24"/>
    </row>
    <row r="2330">
      <c r="A2330" s="28">
        <v>2329.0</v>
      </c>
      <c r="B2330" s="29"/>
      <c r="C2330" s="29"/>
      <c r="D2330" s="40">
        <v>1.0</v>
      </c>
      <c r="E2330" s="31">
        <v>42.0</v>
      </c>
      <c r="F2330" s="42">
        <v>89.0</v>
      </c>
      <c r="G2330" s="29" t="str">
        <f t="shared" si="1"/>
        <v>42089</v>
      </c>
      <c r="H2330" s="37" t="s">
        <v>156</v>
      </c>
      <c r="I2330" s="37" t="s">
        <v>105</v>
      </c>
      <c r="J2330" s="37" t="s">
        <v>287</v>
      </c>
      <c r="K2330" s="37" t="str">
        <f t="shared" si="39"/>
        <v>Monroe, PA</v>
      </c>
      <c r="L2330" s="24"/>
    </row>
    <row r="2331">
      <c r="A2331" s="28">
        <v>2330.0</v>
      </c>
      <c r="B2331" s="29"/>
      <c r="C2331" s="29"/>
      <c r="D2331" s="40">
        <v>1.0</v>
      </c>
      <c r="E2331" s="31">
        <v>42.0</v>
      </c>
      <c r="F2331" s="42">
        <v>91.0</v>
      </c>
      <c r="G2331" s="29" t="str">
        <f t="shared" si="1"/>
        <v>42091</v>
      </c>
      <c r="H2331" s="37" t="s">
        <v>157</v>
      </c>
      <c r="I2331" s="37" t="s">
        <v>105</v>
      </c>
      <c r="J2331" s="37" t="s">
        <v>287</v>
      </c>
      <c r="K2331" s="37" t="str">
        <f t="shared" si="39"/>
        <v>Montgomery, PA</v>
      </c>
      <c r="L2331" s="24"/>
    </row>
    <row r="2332">
      <c r="A2332" s="28">
        <v>2331.0</v>
      </c>
      <c r="B2332" s="29"/>
      <c r="C2332" s="29"/>
      <c r="D2332" s="40">
        <v>1.0</v>
      </c>
      <c r="E2332" s="31">
        <v>42.0</v>
      </c>
      <c r="F2332" s="42">
        <v>93.0</v>
      </c>
      <c r="G2332" s="29" t="str">
        <f t="shared" si="1"/>
        <v>42093</v>
      </c>
      <c r="H2332" s="37" t="s">
        <v>1803</v>
      </c>
      <c r="I2332" s="37" t="s">
        <v>105</v>
      </c>
      <c r="J2332" s="37" t="s">
        <v>287</v>
      </c>
      <c r="K2332" s="37" t="str">
        <f t="shared" si="39"/>
        <v>Montour, PA</v>
      </c>
      <c r="L2332" s="24"/>
    </row>
    <row r="2333">
      <c r="A2333" s="28">
        <v>2332.0</v>
      </c>
      <c r="B2333" s="29"/>
      <c r="C2333" s="29"/>
      <c r="D2333" s="40">
        <v>1.0</v>
      </c>
      <c r="E2333" s="31">
        <v>42.0</v>
      </c>
      <c r="F2333" s="42">
        <v>95.0</v>
      </c>
      <c r="G2333" s="29" t="str">
        <f t="shared" si="1"/>
        <v>42095</v>
      </c>
      <c r="H2333" s="37" t="s">
        <v>1618</v>
      </c>
      <c r="I2333" s="37" t="s">
        <v>105</v>
      </c>
      <c r="J2333" s="37" t="s">
        <v>287</v>
      </c>
      <c r="K2333" s="136" t="str">
        <f t="shared" si="39"/>
        <v>Northampton, PA</v>
      </c>
      <c r="L2333" s="24"/>
    </row>
    <row r="2334">
      <c r="A2334" s="28">
        <v>2333.0</v>
      </c>
      <c r="B2334" s="29"/>
      <c r="C2334" s="29"/>
      <c r="D2334" s="40">
        <v>1.0</v>
      </c>
      <c r="E2334" s="31">
        <v>42.0</v>
      </c>
      <c r="F2334" s="42">
        <v>97.0</v>
      </c>
      <c r="G2334" s="29" t="str">
        <f t="shared" si="1"/>
        <v>42097</v>
      </c>
      <c r="H2334" s="37" t="s">
        <v>1804</v>
      </c>
      <c r="I2334" s="37" t="s">
        <v>105</v>
      </c>
      <c r="J2334" s="37" t="s">
        <v>287</v>
      </c>
      <c r="K2334" s="136" t="str">
        <f t="shared" si="39"/>
        <v>Northumberland, PA</v>
      </c>
      <c r="L2334" s="24"/>
    </row>
    <row r="2335">
      <c r="A2335" s="28">
        <v>2334.0</v>
      </c>
      <c r="B2335" s="29"/>
      <c r="C2335" s="29"/>
      <c r="D2335" s="40">
        <v>1.0</v>
      </c>
      <c r="E2335" s="31">
        <v>42.0</v>
      </c>
      <c r="F2335" s="42">
        <v>99.0</v>
      </c>
      <c r="G2335" s="29" t="str">
        <f t="shared" si="1"/>
        <v>42099</v>
      </c>
      <c r="H2335" s="37" t="s">
        <v>159</v>
      </c>
      <c r="I2335" s="37" t="s">
        <v>105</v>
      </c>
      <c r="J2335" s="37" t="s">
        <v>287</v>
      </c>
      <c r="K2335" s="37" t="str">
        <f t="shared" si="39"/>
        <v>Perry, PA</v>
      </c>
      <c r="L2335" s="24"/>
    </row>
    <row r="2336">
      <c r="A2336" s="28">
        <v>2335.0</v>
      </c>
      <c r="B2336" s="29"/>
      <c r="C2336" s="29"/>
      <c r="D2336" s="40">
        <v>1.0</v>
      </c>
      <c r="E2336" s="31">
        <v>42.0</v>
      </c>
      <c r="F2336" s="42">
        <v>101.0</v>
      </c>
      <c r="G2336" s="29" t="str">
        <f t="shared" si="1"/>
        <v>42101</v>
      </c>
      <c r="H2336" s="37" t="s">
        <v>286</v>
      </c>
      <c r="I2336" s="37" t="s">
        <v>105</v>
      </c>
      <c r="J2336" s="37" t="s">
        <v>287</v>
      </c>
      <c r="K2336" s="37" t="str">
        <f t="shared" si="39"/>
        <v>Philadelphia, PA</v>
      </c>
      <c r="L2336" s="24"/>
    </row>
    <row r="2337">
      <c r="A2337" s="28">
        <v>2336.0</v>
      </c>
      <c r="B2337" s="29"/>
      <c r="C2337" s="29"/>
      <c r="D2337" s="40">
        <v>1.0</v>
      </c>
      <c r="E2337" s="31">
        <v>42.0</v>
      </c>
      <c r="F2337" s="42">
        <v>103.0</v>
      </c>
      <c r="G2337" s="29" t="str">
        <f t="shared" si="1"/>
        <v>42103</v>
      </c>
      <c r="H2337" s="37" t="s">
        <v>162</v>
      </c>
      <c r="I2337" s="37" t="s">
        <v>105</v>
      </c>
      <c r="J2337" s="37" t="s">
        <v>287</v>
      </c>
      <c r="K2337" s="37" t="str">
        <f t="shared" si="39"/>
        <v>Pike, PA</v>
      </c>
      <c r="L2337" s="24"/>
    </row>
    <row r="2338">
      <c r="A2338" s="28">
        <v>2337.0</v>
      </c>
      <c r="B2338" s="29"/>
      <c r="C2338" s="29"/>
      <c r="D2338" s="40">
        <v>1.0</v>
      </c>
      <c r="E2338" s="31">
        <v>42.0</v>
      </c>
      <c r="F2338" s="42">
        <v>105.0</v>
      </c>
      <c r="G2338" s="29" t="str">
        <f t="shared" si="1"/>
        <v>42105</v>
      </c>
      <c r="H2338" s="37" t="s">
        <v>1805</v>
      </c>
      <c r="I2338" s="37" t="s">
        <v>105</v>
      </c>
      <c r="J2338" s="37" t="s">
        <v>287</v>
      </c>
      <c r="K2338" s="37" t="str">
        <f t="shared" si="39"/>
        <v>Potter, PA</v>
      </c>
      <c r="L2338" s="24"/>
    </row>
    <row r="2339">
      <c r="A2339" s="28">
        <v>2338.0</v>
      </c>
      <c r="B2339" s="29"/>
      <c r="C2339" s="29"/>
      <c r="D2339" s="40">
        <v>1.0</v>
      </c>
      <c r="E2339" s="31">
        <v>42.0</v>
      </c>
      <c r="F2339" s="42">
        <v>107.0</v>
      </c>
      <c r="G2339" s="29" t="str">
        <f t="shared" si="1"/>
        <v>42107</v>
      </c>
      <c r="H2339" s="37" t="s">
        <v>1806</v>
      </c>
      <c r="I2339" s="37" t="s">
        <v>105</v>
      </c>
      <c r="J2339" s="37" t="s">
        <v>287</v>
      </c>
      <c r="K2339" s="37" t="str">
        <f t="shared" si="39"/>
        <v>Schuylkill, PA</v>
      </c>
      <c r="L2339" s="24"/>
    </row>
    <row r="2340">
      <c r="A2340" s="28">
        <v>2339.0</v>
      </c>
      <c r="B2340" s="29"/>
      <c r="C2340" s="29"/>
      <c r="D2340" s="40">
        <v>1.0</v>
      </c>
      <c r="E2340" s="31">
        <v>42.0</v>
      </c>
      <c r="F2340" s="42">
        <v>109.0</v>
      </c>
      <c r="G2340" s="29" t="str">
        <f t="shared" si="1"/>
        <v>42109</v>
      </c>
      <c r="H2340" s="37" t="s">
        <v>1807</v>
      </c>
      <c r="I2340" s="37" t="s">
        <v>105</v>
      </c>
      <c r="J2340" s="37" t="s">
        <v>287</v>
      </c>
      <c r="K2340" s="37" t="str">
        <f t="shared" si="39"/>
        <v>Snyder, PA</v>
      </c>
      <c r="L2340" s="24"/>
    </row>
    <row r="2341">
      <c r="A2341" s="28">
        <v>2340.0</v>
      </c>
      <c r="B2341" s="29"/>
      <c r="C2341" s="29"/>
      <c r="D2341" s="40">
        <v>1.0</v>
      </c>
      <c r="E2341" s="31">
        <v>42.0</v>
      </c>
      <c r="F2341" s="42">
        <v>111.0</v>
      </c>
      <c r="G2341" s="29" t="str">
        <f t="shared" si="1"/>
        <v>42111</v>
      </c>
      <c r="H2341" s="37" t="s">
        <v>1194</v>
      </c>
      <c r="I2341" s="37" t="s">
        <v>105</v>
      </c>
      <c r="J2341" s="37" t="s">
        <v>287</v>
      </c>
      <c r="K2341" s="37" t="str">
        <f t="shared" si="39"/>
        <v>Somerset, PA</v>
      </c>
      <c r="L2341" s="24"/>
    </row>
    <row r="2342">
      <c r="A2342" s="28">
        <v>2341.0</v>
      </c>
      <c r="B2342" s="29"/>
      <c r="C2342" s="29"/>
      <c r="D2342" s="40">
        <v>1.0</v>
      </c>
      <c r="E2342" s="31">
        <v>42.0</v>
      </c>
      <c r="F2342" s="42">
        <v>113.0</v>
      </c>
      <c r="G2342" s="29" t="str">
        <f t="shared" si="1"/>
        <v>42113</v>
      </c>
      <c r="H2342" s="37" t="s">
        <v>860</v>
      </c>
      <c r="I2342" s="37" t="s">
        <v>105</v>
      </c>
      <c r="J2342" s="37" t="s">
        <v>287</v>
      </c>
      <c r="K2342" s="37" t="str">
        <f t="shared" si="39"/>
        <v>Sullivan, PA</v>
      </c>
      <c r="L2342" s="24"/>
    </row>
    <row r="2343">
      <c r="A2343" s="28">
        <v>2342.0</v>
      </c>
      <c r="B2343" s="29"/>
      <c r="C2343" s="29"/>
      <c r="D2343" s="40">
        <v>1.0</v>
      </c>
      <c r="E2343" s="31">
        <v>42.0</v>
      </c>
      <c r="F2343" s="42">
        <v>115.0</v>
      </c>
      <c r="G2343" s="29" t="str">
        <f t="shared" si="1"/>
        <v>42115</v>
      </c>
      <c r="H2343" s="37" t="s">
        <v>1808</v>
      </c>
      <c r="I2343" s="37" t="s">
        <v>105</v>
      </c>
      <c r="J2343" s="37" t="s">
        <v>287</v>
      </c>
      <c r="K2343" s="136" t="str">
        <f t="shared" si="39"/>
        <v>Susquehanna, PA</v>
      </c>
      <c r="L2343" s="24"/>
    </row>
    <row r="2344">
      <c r="A2344" s="28">
        <v>2343.0</v>
      </c>
      <c r="B2344" s="29"/>
      <c r="C2344" s="29"/>
      <c r="D2344" s="40">
        <v>1.0</v>
      </c>
      <c r="E2344" s="31">
        <v>42.0</v>
      </c>
      <c r="F2344" s="42">
        <v>117.0</v>
      </c>
      <c r="G2344" s="29" t="str">
        <f t="shared" si="1"/>
        <v>42117</v>
      </c>
      <c r="H2344" s="37" t="s">
        <v>1574</v>
      </c>
      <c r="I2344" s="37" t="s">
        <v>105</v>
      </c>
      <c r="J2344" s="37" t="s">
        <v>287</v>
      </c>
      <c r="K2344" s="37" t="str">
        <f t="shared" si="39"/>
        <v>Tioga, PA</v>
      </c>
      <c r="L2344" s="24"/>
    </row>
    <row r="2345">
      <c r="A2345" s="28">
        <v>2344.0</v>
      </c>
      <c r="B2345" s="29"/>
      <c r="C2345" s="29"/>
      <c r="D2345" s="40">
        <v>1.0</v>
      </c>
      <c r="E2345" s="31">
        <v>42.0</v>
      </c>
      <c r="F2345" s="42">
        <v>119.0</v>
      </c>
      <c r="G2345" s="29" t="str">
        <f t="shared" si="1"/>
        <v>42119</v>
      </c>
      <c r="H2345" s="37" t="s">
        <v>316</v>
      </c>
      <c r="I2345" s="37" t="s">
        <v>105</v>
      </c>
      <c r="J2345" s="37" t="s">
        <v>287</v>
      </c>
      <c r="K2345" s="37" t="str">
        <f t="shared" si="39"/>
        <v>Union, PA</v>
      </c>
      <c r="L2345" s="24"/>
    </row>
    <row r="2346">
      <c r="A2346" s="28">
        <v>2345.0</v>
      </c>
      <c r="B2346" s="29"/>
      <c r="C2346" s="29"/>
      <c r="D2346" s="40">
        <v>1.0</v>
      </c>
      <c r="E2346" s="31">
        <v>42.0</v>
      </c>
      <c r="F2346" s="42">
        <v>121.0</v>
      </c>
      <c r="G2346" s="29" t="str">
        <f t="shared" si="1"/>
        <v>42121</v>
      </c>
      <c r="H2346" s="37" t="s">
        <v>1809</v>
      </c>
      <c r="I2346" s="37" t="s">
        <v>105</v>
      </c>
      <c r="J2346" s="37" t="s">
        <v>287</v>
      </c>
      <c r="K2346" s="37" t="str">
        <f t="shared" si="39"/>
        <v>Venango, PA</v>
      </c>
      <c r="L2346" s="24"/>
    </row>
    <row r="2347">
      <c r="A2347" s="28">
        <v>2346.0</v>
      </c>
      <c r="B2347" s="29"/>
      <c r="C2347" s="29"/>
      <c r="D2347" s="40">
        <v>1.0</v>
      </c>
      <c r="E2347" s="31">
        <v>42.0</v>
      </c>
      <c r="F2347" s="42">
        <v>123.0</v>
      </c>
      <c r="G2347" s="29" t="str">
        <f t="shared" si="1"/>
        <v>42123</v>
      </c>
      <c r="H2347" s="37" t="s">
        <v>647</v>
      </c>
      <c r="I2347" s="37" t="s">
        <v>105</v>
      </c>
      <c r="J2347" s="37" t="s">
        <v>287</v>
      </c>
      <c r="K2347" s="37" t="str">
        <f t="shared" si="39"/>
        <v>Warren, PA</v>
      </c>
      <c r="L2347" s="24"/>
    </row>
    <row r="2348">
      <c r="A2348" s="28">
        <v>2347.0</v>
      </c>
      <c r="B2348" s="29"/>
      <c r="C2348" s="29"/>
      <c r="D2348" s="40">
        <v>1.0</v>
      </c>
      <c r="E2348" s="31">
        <v>42.0</v>
      </c>
      <c r="F2348" s="42">
        <v>125.0</v>
      </c>
      <c r="G2348" s="29" t="str">
        <f t="shared" si="1"/>
        <v>42125</v>
      </c>
      <c r="H2348" s="37" t="s">
        <v>119</v>
      </c>
      <c r="I2348" s="37" t="s">
        <v>105</v>
      </c>
      <c r="J2348" s="37" t="s">
        <v>287</v>
      </c>
      <c r="K2348" s="37" t="str">
        <f t="shared" si="39"/>
        <v>Washington, PA</v>
      </c>
      <c r="L2348" s="24"/>
    </row>
    <row r="2349">
      <c r="A2349" s="28">
        <v>2348.0</v>
      </c>
      <c r="B2349" s="29"/>
      <c r="C2349" s="29"/>
      <c r="D2349" s="40">
        <v>1.0</v>
      </c>
      <c r="E2349" s="31">
        <v>42.0</v>
      </c>
      <c r="F2349" s="42">
        <v>127.0</v>
      </c>
      <c r="G2349" s="29" t="str">
        <f t="shared" si="1"/>
        <v>42127</v>
      </c>
      <c r="H2349" s="37" t="s">
        <v>273</v>
      </c>
      <c r="I2349" s="37" t="s">
        <v>105</v>
      </c>
      <c r="J2349" s="37" t="s">
        <v>287</v>
      </c>
      <c r="K2349" s="37" t="str">
        <f t="shared" si="39"/>
        <v>Wayne, PA</v>
      </c>
      <c r="L2349" s="24"/>
    </row>
    <row r="2350">
      <c r="A2350" s="28">
        <v>2349.0</v>
      </c>
      <c r="B2350" s="29"/>
      <c r="C2350" s="29"/>
      <c r="D2350" s="40">
        <v>1.0</v>
      </c>
      <c r="E2350" s="31">
        <v>42.0</v>
      </c>
      <c r="F2350" s="42">
        <v>129.0</v>
      </c>
      <c r="G2350" s="29" t="str">
        <f t="shared" si="1"/>
        <v>42129</v>
      </c>
      <c r="H2350" s="37" t="s">
        <v>1810</v>
      </c>
      <c r="I2350" s="37" t="s">
        <v>105</v>
      </c>
      <c r="J2350" s="37" t="s">
        <v>287</v>
      </c>
      <c r="K2350" s="136" t="str">
        <f t="shared" si="39"/>
        <v>Westmoreland, PA</v>
      </c>
      <c r="L2350" s="24"/>
    </row>
    <row r="2351">
      <c r="A2351" s="28">
        <v>2350.0</v>
      </c>
      <c r="B2351" s="29"/>
      <c r="C2351" s="29"/>
      <c r="D2351" s="40">
        <v>1.0</v>
      </c>
      <c r="E2351" s="31">
        <v>42.0</v>
      </c>
      <c r="F2351" s="42">
        <v>131.0</v>
      </c>
      <c r="G2351" s="29" t="str">
        <f t="shared" si="1"/>
        <v>42131</v>
      </c>
      <c r="H2351" s="37" t="s">
        <v>123</v>
      </c>
      <c r="I2351" s="37" t="s">
        <v>105</v>
      </c>
      <c r="J2351" s="37" t="s">
        <v>287</v>
      </c>
      <c r="K2351" s="37" t="str">
        <f t="shared" si="39"/>
        <v>Wyoming, PA</v>
      </c>
      <c r="L2351" s="24"/>
    </row>
    <row r="2352">
      <c r="A2352" s="28">
        <v>2351.0</v>
      </c>
      <c r="B2352" s="29"/>
      <c r="C2352" s="29"/>
      <c r="D2352" s="40">
        <v>1.0</v>
      </c>
      <c r="E2352" s="31">
        <v>42.0</v>
      </c>
      <c r="F2352" s="42">
        <v>133.0</v>
      </c>
      <c r="G2352" s="29" t="str">
        <f t="shared" si="1"/>
        <v>42133</v>
      </c>
      <c r="H2352" s="37" t="s">
        <v>1196</v>
      </c>
      <c r="I2352" s="37" t="s">
        <v>105</v>
      </c>
      <c r="J2352" s="37" t="s">
        <v>287</v>
      </c>
      <c r="K2352" s="37" t="str">
        <f t="shared" si="39"/>
        <v>York, PA</v>
      </c>
      <c r="L2352" s="24"/>
    </row>
    <row r="2353">
      <c r="A2353" s="99">
        <v>2352.0</v>
      </c>
      <c r="B2353" s="15"/>
      <c r="C2353" s="14" t="s">
        <v>25</v>
      </c>
      <c r="D2353" s="16"/>
      <c r="E2353" s="102">
        <v>44.0</v>
      </c>
      <c r="F2353" s="107">
        <v>0.0</v>
      </c>
      <c r="G2353" s="15" t="str">
        <f t="shared" si="1"/>
        <v>44000</v>
      </c>
      <c r="H2353" s="23"/>
      <c r="I2353" s="23" t="s">
        <v>106</v>
      </c>
      <c r="J2353" s="23" t="s">
        <v>596</v>
      </c>
      <c r="K2353" s="23"/>
      <c r="L2353" s="24"/>
    </row>
    <row r="2354">
      <c r="A2354" s="99">
        <v>2353.0</v>
      </c>
      <c r="B2354" s="15"/>
      <c r="C2354" s="15"/>
      <c r="D2354" s="105">
        <v>1.0</v>
      </c>
      <c r="E2354" s="102">
        <v>44.0</v>
      </c>
      <c r="F2354" s="107">
        <v>1.0</v>
      </c>
      <c r="G2354" s="15" t="str">
        <f t="shared" si="1"/>
        <v>44001</v>
      </c>
      <c r="H2354" s="23" t="s">
        <v>634</v>
      </c>
      <c r="I2354" s="23" t="s">
        <v>106</v>
      </c>
      <c r="J2354" s="23" t="s">
        <v>596</v>
      </c>
      <c r="K2354" s="23" t="str">
        <f t="shared" ref="K2354:K2358" si="40">CONCATENATE(H2354,", ",J2354)</f>
        <v>Bristol, RI</v>
      </c>
      <c r="L2354" s="24"/>
    </row>
    <row r="2355">
      <c r="A2355" s="99">
        <v>2354.0</v>
      </c>
      <c r="B2355" s="15"/>
      <c r="C2355" s="15"/>
      <c r="D2355" s="105">
        <v>1.0</v>
      </c>
      <c r="E2355" s="102">
        <v>44.0</v>
      </c>
      <c r="F2355" s="107">
        <v>3.0</v>
      </c>
      <c r="G2355" s="15" t="str">
        <f t="shared" si="1"/>
        <v>44003</v>
      </c>
      <c r="H2355" s="23" t="s">
        <v>474</v>
      </c>
      <c r="I2355" s="23" t="s">
        <v>106</v>
      </c>
      <c r="J2355" s="23" t="s">
        <v>596</v>
      </c>
      <c r="K2355" s="23" t="str">
        <f t="shared" si="40"/>
        <v>Kent, RI</v>
      </c>
      <c r="L2355" s="24"/>
    </row>
    <row r="2356">
      <c r="A2356" s="99">
        <v>2355.0</v>
      </c>
      <c r="B2356" s="15"/>
      <c r="C2356" s="15"/>
      <c r="D2356" s="105">
        <v>1.0</v>
      </c>
      <c r="E2356" s="102">
        <v>44.0</v>
      </c>
      <c r="F2356" s="107">
        <v>5.0</v>
      </c>
      <c r="G2356" s="15" t="str">
        <f t="shared" si="1"/>
        <v>44005</v>
      </c>
      <c r="H2356" s="23" t="s">
        <v>1811</v>
      </c>
      <c r="I2356" s="23" t="s">
        <v>106</v>
      </c>
      <c r="J2356" s="23" t="s">
        <v>596</v>
      </c>
      <c r="K2356" s="23" t="str">
        <f t="shared" si="40"/>
        <v>Newport, RI</v>
      </c>
      <c r="L2356" s="24"/>
    </row>
    <row r="2357">
      <c r="A2357" s="99">
        <v>2356.0</v>
      </c>
      <c r="B2357" s="15"/>
      <c r="C2357" s="15"/>
      <c r="D2357" s="105">
        <v>1.0</v>
      </c>
      <c r="E2357" s="102">
        <v>44.0</v>
      </c>
      <c r="F2357" s="107">
        <v>7.0</v>
      </c>
      <c r="G2357" s="15" t="str">
        <f t="shared" si="1"/>
        <v>44007</v>
      </c>
      <c r="H2357" s="23" t="s">
        <v>595</v>
      </c>
      <c r="I2357" s="23" t="s">
        <v>106</v>
      </c>
      <c r="J2357" s="23" t="s">
        <v>596</v>
      </c>
      <c r="K2357" s="23" t="str">
        <f t="shared" si="40"/>
        <v>Providence, RI</v>
      </c>
      <c r="L2357" s="24"/>
    </row>
    <row r="2358">
      <c r="A2358" s="99">
        <v>2357.0</v>
      </c>
      <c r="B2358" s="15"/>
      <c r="C2358" s="15"/>
      <c r="D2358" s="105">
        <v>1.0</v>
      </c>
      <c r="E2358" s="102">
        <v>44.0</v>
      </c>
      <c r="F2358" s="107">
        <v>9.0</v>
      </c>
      <c r="G2358" s="15" t="str">
        <f t="shared" si="1"/>
        <v>44009</v>
      </c>
      <c r="H2358" s="23" t="s">
        <v>119</v>
      </c>
      <c r="I2358" s="23" t="s">
        <v>106</v>
      </c>
      <c r="J2358" s="23" t="s">
        <v>596</v>
      </c>
      <c r="K2358" s="23" t="str">
        <f t="shared" si="40"/>
        <v>Washington, RI</v>
      </c>
      <c r="L2358" s="24"/>
    </row>
    <row r="2359">
      <c r="A2359" s="28">
        <v>2358.0</v>
      </c>
      <c r="B2359" s="29"/>
      <c r="C2359" s="29" t="s">
        <v>25</v>
      </c>
      <c r="D2359" s="30"/>
      <c r="E2359" s="31">
        <v>45.0</v>
      </c>
      <c r="F2359" s="42">
        <v>0.0</v>
      </c>
      <c r="G2359" s="29" t="str">
        <f t="shared" si="1"/>
        <v>45000</v>
      </c>
      <c r="H2359" s="37"/>
      <c r="I2359" s="37" t="s">
        <v>108</v>
      </c>
      <c r="J2359" s="37" t="s">
        <v>1812</v>
      </c>
      <c r="K2359" s="37"/>
      <c r="L2359" s="24"/>
    </row>
    <row r="2360">
      <c r="A2360" s="28">
        <v>2359.0</v>
      </c>
      <c r="B2360" s="29"/>
      <c r="C2360" s="29"/>
      <c r="D2360" s="40">
        <v>1.0</v>
      </c>
      <c r="E2360" s="31">
        <v>45.0</v>
      </c>
      <c r="F2360" s="42">
        <v>1.0</v>
      </c>
      <c r="G2360" s="29" t="str">
        <f t="shared" si="1"/>
        <v>45001</v>
      </c>
      <c r="H2360" s="37" t="s">
        <v>1813</v>
      </c>
      <c r="I2360" s="37" t="s">
        <v>108</v>
      </c>
      <c r="J2360" s="37" t="s">
        <v>1812</v>
      </c>
      <c r="K2360" s="37" t="str">
        <f t="shared" ref="K2360:K2405" si="41">CONCATENATE(H2360,", ",J2360)</f>
        <v>Abbeville, SC</v>
      </c>
      <c r="L2360" s="24"/>
    </row>
    <row r="2361">
      <c r="A2361" s="28">
        <v>2360.0</v>
      </c>
      <c r="B2361" s="29"/>
      <c r="C2361" s="29"/>
      <c r="D2361" s="40">
        <v>1.0</v>
      </c>
      <c r="E2361" s="31">
        <v>45.0</v>
      </c>
      <c r="F2361" s="42">
        <v>3.0</v>
      </c>
      <c r="G2361" s="29" t="str">
        <f t="shared" si="1"/>
        <v>45003</v>
      </c>
      <c r="H2361" s="37" t="s">
        <v>1814</v>
      </c>
      <c r="I2361" s="37" t="s">
        <v>108</v>
      </c>
      <c r="J2361" s="37" t="s">
        <v>1812</v>
      </c>
      <c r="K2361" s="37" t="str">
        <f t="shared" si="41"/>
        <v>Aiken, SC</v>
      </c>
      <c r="L2361" s="24"/>
    </row>
    <row r="2362">
      <c r="A2362" s="28">
        <v>2361.0</v>
      </c>
      <c r="B2362" s="29"/>
      <c r="C2362" s="29"/>
      <c r="D2362" s="40">
        <v>1.0</v>
      </c>
      <c r="E2362" s="31">
        <v>45.0</v>
      </c>
      <c r="F2362" s="42">
        <v>5.0</v>
      </c>
      <c r="G2362" s="29" t="str">
        <f t="shared" si="1"/>
        <v>45005</v>
      </c>
      <c r="H2362" s="37" t="s">
        <v>1815</v>
      </c>
      <c r="I2362" s="37" t="s">
        <v>108</v>
      </c>
      <c r="J2362" s="37" t="s">
        <v>1812</v>
      </c>
      <c r="K2362" s="37" t="str">
        <f t="shared" si="41"/>
        <v>Allendale, SC</v>
      </c>
      <c r="L2362" s="24"/>
    </row>
    <row r="2363">
      <c r="A2363" s="28">
        <v>2362.0</v>
      </c>
      <c r="B2363" s="29"/>
      <c r="C2363" s="29"/>
      <c r="D2363" s="40">
        <v>1.0</v>
      </c>
      <c r="E2363" s="31">
        <v>45.0</v>
      </c>
      <c r="F2363" s="42">
        <v>7.0</v>
      </c>
      <c r="G2363" s="29" t="str">
        <f t="shared" si="1"/>
        <v>45007</v>
      </c>
      <c r="H2363" s="37" t="s">
        <v>954</v>
      </c>
      <c r="I2363" s="37" t="s">
        <v>108</v>
      </c>
      <c r="J2363" s="37" t="s">
        <v>1812</v>
      </c>
      <c r="K2363" s="37" t="str">
        <f t="shared" si="41"/>
        <v>Anderson, SC</v>
      </c>
      <c r="L2363" s="24"/>
    </row>
    <row r="2364">
      <c r="A2364" s="28">
        <v>2363.0</v>
      </c>
      <c r="B2364" s="29"/>
      <c r="C2364" s="29"/>
      <c r="D2364" s="40">
        <v>1.0</v>
      </c>
      <c r="E2364" s="31">
        <v>45.0</v>
      </c>
      <c r="F2364" s="42">
        <v>9.0</v>
      </c>
      <c r="G2364" s="29" t="str">
        <f t="shared" si="1"/>
        <v>45009</v>
      </c>
      <c r="H2364" s="37" t="s">
        <v>1816</v>
      </c>
      <c r="I2364" s="37" t="s">
        <v>108</v>
      </c>
      <c r="J2364" s="37" t="s">
        <v>1812</v>
      </c>
      <c r="K2364" s="37" t="str">
        <f t="shared" si="41"/>
        <v>Bamberg, SC</v>
      </c>
      <c r="L2364" s="24"/>
    </row>
    <row r="2365">
      <c r="A2365" s="28">
        <v>2364.0</v>
      </c>
      <c r="B2365" s="29"/>
      <c r="C2365" s="29"/>
      <c r="D2365" s="40">
        <v>1.0</v>
      </c>
      <c r="E2365" s="31">
        <v>45.0</v>
      </c>
      <c r="F2365" s="42">
        <v>11.0</v>
      </c>
      <c r="G2365" s="29" t="str">
        <f t="shared" si="1"/>
        <v>45011</v>
      </c>
      <c r="H2365" s="37" t="s">
        <v>1817</v>
      </c>
      <c r="I2365" s="37" t="s">
        <v>108</v>
      </c>
      <c r="J2365" s="37" t="s">
        <v>1812</v>
      </c>
      <c r="K2365" s="37" t="str">
        <f t="shared" si="41"/>
        <v>Barnwell, SC</v>
      </c>
      <c r="L2365" s="24"/>
    </row>
    <row r="2366">
      <c r="A2366" s="28">
        <v>2365.0</v>
      </c>
      <c r="B2366" s="29"/>
      <c r="C2366" s="29"/>
      <c r="D2366" s="40">
        <v>1.0</v>
      </c>
      <c r="E2366" s="31">
        <v>45.0</v>
      </c>
      <c r="F2366" s="42">
        <v>13.0</v>
      </c>
      <c r="G2366" s="29" t="str">
        <f t="shared" si="1"/>
        <v>45013</v>
      </c>
      <c r="H2366" s="37" t="s">
        <v>1583</v>
      </c>
      <c r="I2366" s="37" t="s">
        <v>108</v>
      </c>
      <c r="J2366" s="37" t="s">
        <v>1812</v>
      </c>
      <c r="K2366" s="37" t="str">
        <f t="shared" si="41"/>
        <v>Beaufort, SC</v>
      </c>
      <c r="L2366" s="24"/>
    </row>
    <row r="2367">
      <c r="A2367" s="28">
        <v>2366.0</v>
      </c>
      <c r="B2367" s="29"/>
      <c r="C2367" s="29"/>
      <c r="D2367" s="40">
        <v>1.0</v>
      </c>
      <c r="E2367" s="31">
        <v>45.0</v>
      </c>
      <c r="F2367" s="42">
        <v>15.0</v>
      </c>
      <c r="G2367" s="29" t="str">
        <f t="shared" si="1"/>
        <v>45015</v>
      </c>
      <c r="H2367" s="37" t="s">
        <v>1818</v>
      </c>
      <c r="I2367" s="37" t="s">
        <v>108</v>
      </c>
      <c r="J2367" s="37" t="s">
        <v>1812</v>
      </c>
      <c r="K2367" s="37" t="str">
        <f t="shared" si="41"/>
        <v>Berkeley, SC</v>
      </c>
      <c r="L2367" s="24"/>
    </row>
    <row r="2368">
      <c r="A2368" s="28">
        <v>2367.0</v>
      </c>
      <c r="B2368" s="29"/>
      <c r="C2368" s="29"/>
      <c r="D2368" s="40">
        <v>1.0</v>
      </c>
      <c r="E2368" s="31">
        <v>45.0</v>
      </c>
      <c r="F2368" s="42">
        <v>17.0</v>
      </c>
      <c r="G2368" s="29" t="str">
        <f t="shared" si="1"/>
        <v>45017</v>
      </c>
      <c r="H2368" s="37" t="s">
        <v>93</v>
      </c>
      <c r="I2368" s="37" t="s">
        <v>108</v>
      </c>
      <c r="J2368" s="37" t="s">
        <v>1812</v>
      </c>
      <c r="K2368" s="37" t="str">
        <f t="shared" si="41"/>
        <v>Calhoun, SC</v>
      </c>
      <c r="L2368" s="24"/>
    </row>
    <row r="2369">
      <c r="A2369" s="28">
        <v>2368.0</v>
      </c>
      <c r="B2369" s="29"/>
      <c r="C2369" s="29"/>
      <c r="D2369" s="40">
        <v>1.0</v>
      </c>
      <c r="E2369" s="31">
        <v>45.0</v>
      </c>
      <c r="F2369" s="42">
        <v>19.0</v>
      </c>
      <c r="G2369" s="29" t="str">
        <f t="shared" si="1"/>
        <v>45019</v>
      </c>
      <c r="H2369" s="37" t="s">
        <v>1819</v>
      </c>
      <c r="I2369" s="37" t="s">
        <v>108</v>
      </c>
      <c r="J2369" s="37" t="s">
        <v>1812</v>
      </c>
      <c r="K2369" s="37" t="str">
        <f t="shared" si="41"/>
        <v>Charleston, SC</v>
      </c>
      <c r="L2369" s="24"/>
    </row>
    <row r="2370">
      <c r="A2370" s="28">
        <v>2369.0</v>
      </c>
      <c r="B2370" s="29"/>
      <c r="C2370" s="29"/>
      <c r="D2370" s="40">
        <v>1.0</v>
      </c>
      <c r="E2370" s="31">
        <v>45.0</v>
      </c>
      <c r="F2370" s="42">
        <v>21.0</v>
      </c>
      <c r="G2370" s="29" t="str">
        <f t="shared" si="1"/>
        <v>45021</v>
      </c>
      <c r="H2370" s="37" t="s">
        <v>101</v>
      </c>
      <c r="I2370" s="37" t="s">
        <v>108</v>
      </c>
      <c r="J2370" s="37" t="s">
        <v>1812</v>
      </c>
      <c r="K2370" s="37" t="str">
        <f t="shared" si="41"/>
        <v>Cherokee, SC</v>
      </c>
      <c r="L2370" s="24"/>
    </row>
    <row r="2371">
      <c r="A2371" s="28">
        <v>2370.0</v>
      </c>
      <c r="B2371" s="29"/>
      <c r="C2371" s="29"/>
      <c r="D2371" s="40">
        <v>1.0</v>
      </c>
      <c r="E2371" s="31">
        <v>45.0</v>
      </c>
      <c r="F2371" s="42">
        <v>23.0</v>
      </c>
      <c r="G2371" s="29" t="str">
        <f t="shared" si="1"/>
        <v>45023</v>
      </c>
      <c r="H2371" s="37" t="s">
        <v>1789</v>
      </c>
      <c r="I2371" s="37" t="s">
        <v>108</v>
      </c>
      <c r="J2371" s="37" t="s">
        <v>1812</v>
      </c>
      <c r="K2371" s="37" t="str">
        <f t="shared" si="41"/>
        <v>Chester, SC</v>
      </c>
      <c r="L2371" s="24"/>
    </row>
    <row r="2372">
      <c r="A2372" s="28">
        <v>2371.0</v>
      </c>
      <c r="B2372" s="29"/>
      <c r="C2372" s="29"/>
      <c r="D2372" s="40">
        <v>1.0</v>
      </c>
      <c r="E2372" s="31">
        <v>45.0</v>
      </c>
      <c r="F2372" s="42">
        <v>25.0</v>
      </c>
      <c r="G2372" s="29" t="str">
        <f t="shared" si="1"/>
        <v>45025</v>
      </c>
      <c r="H2372" s="37" t="s">
        <v>1820</v>
      </c>
      <c r="I2372" s="37" t="s">
        <v>108</v>
      </c>
      <c r="J2372" s="37" t="s">
        <v>1812</v>
      </c>
      <c r="K2372" s="37" t="str">
        <f t="shared" si="41"/>
        <v>Chesterfield, SC</v>
      </c>
      <c r="L2372" s="24"/>
    </row>
    <row r="2373">
      <c r="A2373" s="28">
        <v>2372.0</v>
      </c>
      <c r="B2373" s="29"/>
      <c r="C2373" s="29"/>
      <c r="D2373" s="40">
        <v>1.0</v>
      </c>
      <c r="E2373" s="31">
        <v>45.0</v>
      </c>
      <c r="F2373" s="42">
        <v>27.0</v>
      </c>
      <c r="G2373" s="29" t="str">
        <f t="shared" si="1"/>
        <v>45027</v>
      </c>
      <c r="H2373" s="37" t="s">
        <v>1821</v>
      </c>
      <c r="I2373" s="37" t="s">
        <v>108</v>
      </c>
      <c r="J2373" s="37" t="s">
        <v>1812</v>
      </c>
      <c r="K2373" s="37" t="str">
        <f t="shared" si="41"/>
        <v>Clarendon, SC</v>
      </c>
      <c r="L2373" s="24"/>
    </row>
    <row r="2374">
      <c r="A2374" s="28">
        <v>2373.0</v>
      </c>
      <c r="B2374" s="29"/>
      <c r="C2374" s="29"/>
      <c r="D2374" s="40">
        <v>1.0</v>
      </c>
      <c r="E2374" s="31">
        <v>45.0</v>
      </c>
      <c r="F2374" s="42">
        <v>29.0</v>
      </c>
      <c r="G2374" s="29" t="str">
        <f t="shared" si="1"/>
        <v>45029</v>
      </c>
      <c r="H2374" s="37" t="s">
        <v>1822</v>
      </c>
      <c r="I2374" s="37" t="s">
        <v>108</v>
      </c>
      <c r="J2374" s="37" t="s">
        <v>1812</v>
      </c>
      <c r="K2374" s="37" t="str">
        <f t="shared" si="41"/>
        <v>Colleton, SC</v>
      </c>
      <c r="L2374" s="24"/>
    </row>
    <row r="2375">
      <c r="A2375" s="28">
        <v>2374.0</v>
      </c>
      <c r="B2375" s="29"/>
      <c r="C2375" s="29"/>
      <c r="D2375" s="40">
        <v>1.0</v>
      </c>
      <c r="E2375" s="31">
        <v>45.0</v>
      </c>
      <c r="F2375" s="42">
        <v>31.0</v>
      </c>
      <c r="G2375" s="29" t="str">
        <f t="shared" si="1"/>
        <v>45031</v>
      </c>
      <c r="H2375" s="37" t="s">
        <v>1823</v>
      </c>
      <c r="I2375" s="37" t="s">
        <v>108</v>
      </c>
      <c r="J2375" s="37" t="s">
        <v>1812</v>
      </c>
      <c r="K2375" s="37" t="str">
        <f t="shared" si="41"/>
        <v>Darlington, SC</v>
      </c>
      <c r="L2375" s="24"/>
    </row>
    <row r="2376">
      <c r="A2376" s="28">
        <v>2375.0</v>
      </c>
      <c r="B2376" s="29"/>
      <c r="C2376" s="29"/>
      <c r="D2376" s="40">
        <v>1.0</v>
      </c>
      <c r="E2376" s="31">
        <v>45.0</v>
      </c>
      <c r="F2376" s="42">
        <v>33.0</v>
      </c>
      <c r="G2376" s="29" t="str">
        <f t="shared" si="1"/>
        <v>45033</v>
      </c>
      <c r="H2376" s="37" t="s">
        <v>1824</v>
      </c>
      <c r="I2376" s="37" t="s">
        <v>108</v>
      </c>
      <c r="J2376" s="37" t="s">
        <v>1812</v>
      </c>
      <c r="K2376" s="37" t="str">
        <f t="shared" si="41"/>
        <v>Dillon, SC</v>
      </c>
      <c r="L2376" s="24"/>
    </row>
    <row r="2377">
      <c r="A2377" s="28">
        <v>2376.0</v>
      </c>
      <c r="B2377" s="29"/>
      <c r="C2377" s="29"/>
      <c r="D2377" s="40">
        <v>1.0</v>
      </c>
      <c r="E2377" s="31">
        <v>45.0</v>
      </c>
      <c r="F2377" s="42">
        <v>35.0</v>
      </c>
      <c r="G2377" s="29" t="str">
        <f t="shared" si="1"/>
        <v>45035</v>
      </c>
      <c r="H2377" s="37" t="s">
        <v>1204</v>
      </c>
      <c r="I2377" s="37" t="s">
        <v>108</v>
      </c>
      <c r="J2377" s="37" t="s">
        <v>1812</v>
      </c>
      <c r="K2377" s="37" t="str">
        <f t="shared" si="41"/>
        <v>Dorchester, SC</v>
      </c>
      <c r="L2377" s="24"/>
    </row>
    <row r="2378">
      <c r="A2378" s="28">
        <v>2377.0</v>
      </c>
      <c r="B2378" s="29"/>
      <c r="C2378" s="29"/>
      <c r="D2378" s="40">
        <v>1.0</v>
      </c>
      <c r="E2378" s="31">
        <v>45.0</v>
      </c>
      <c r="F2378" s="42">
        <v>37.0</v>
      </c>
      <c r="G2378" s="29" t="str">
        <f t="shared" si="1"/>
        <v>45037</v>
      </c>
      <c r="H2378" s="37" t="s">
        <v>1825</v>
      </c>
      <c r="I2378" s="37" t="s">
        <v>108</v>
      </c>
      <c r="J2378" s="37" t="s">
        <v>1812</v>
      </c>
      <c r="K2378" s="37" t="str">
        <f t="shared" si="41"/>
        <v>Edgefield, SC</v>
      </c>
      <c r="L2378" s="24"/>
    </row>
    <row r="2379">
      <c r="A2379" s="28">
        <v>2378.0</v>
      </c>
      <c r="B2379" s="29"/>
      <c r="C2379" s="29"/>
      <c r="D2379" s="40">
        <v>1.0</v>
      </c>
      <c r="E2379" s="31">
        <v>45.0</v>
      </c>
      <c r="F2379" s="42">
        <v>39.0</v>
      </c>
      <c r="G2379" s="29" t="str">
        <f t="shared" si="1"/>
        <v>45039</v>
      </c>
      <c r="H2379" s="37" t="s">
        <v>442</v>
      </c>
      <c r="I2379" s="37" t="s">
        <v>108</v>
      </c>
      <c r="J2379" s="37" t="s">
        <v>1812</v>
      </c>
      <c r="K2379" s="37" t="str">
        <f t="shared" si="41"/>
        <v>Fairfield, SC</v>
      </c>
      <c r="L2379" s="24"/>
    </row>
    <row r="2380">
      <c r="A2380" s="28">
        <v>2379.0</v>
      </c>
      <c r="B2380" s="29"/>
      <c r="C2380" s="29"/>
      <c r="D2380" s="40">
        <v>1.0</v>
      </c>
      <c r="E2380" s="31">
        <v>45.0</v>
      </c>
      <c r="F2380" s="42">
        <v>41.0</v>
      </c>
      <c r="G2380" s="29" t="str">
        <f t="shared" si="1"/>
        <v>45041</v>
      </c>
      <c r="H2380" s="37" t="s">
        <v>1826</v>
      </c>
      <c r="I2380" s="37" t="s">
        <v>108</v>
      </c>
      <c r="J2380" s="37" t="s">
        <v>1812</v>
      </c>
      <c r="K2380" s="37" t="str">
        <f t="shared" si="41"/>
        <v>Florence, SC</v>
      </c>
      <c r="L2380" s="24"/>
    </row>
    <row r="2381">
      <c r="A2381" s="28">
        <v>2380.0</v>
      </c>
      <c r="B2381" s="29"/>
      <c r="C2381" s="29"/>
      <c r="D2381" s="40">
        <v>1.0</v>
      </c>
      <c r="E2381" s="31">
        <v>45.0</v>
      </c>
      <c r="F2381" s="42">
        <v>43.0</v>
      </c>
      <c r="G2381" s="29" t="str">
        <f t="shared" si="1"/>
        <v>45043</v>
      </c>
      <c r="H2381" s="37" t="s">
        <v>1827</v>
      </c>
      <c r="I2381" s="37" t="s">
        <v>108</v>
      </c>
      <c r="J2381" s="37" t="s">
        <v>1812</v>
      </c>
      <c r="K2381" s="136" t="str">
        <f t="shared" si="41"/>
        <v>Georgetown, SC</v>
      </c>
      <c r="L2381" s="24"/>
    </row>
    <row r="2382">
      <c r="A2382" s="28">
        <v>2381.0</v>
      </c>
      <c r="B2382" s="29"/>
      <c r="C2382" s="29"/>
      <c r="D2382" s="40">
        <v>1.0</v>
      </c>
      <c r="E2382" s="31">
        <v>45.0</v>
      </c>
      <c r="F2382" s="42">
        <v>45.0</v>
      </c>
      <c r="G2382" s="29" t="str">
        <f t="shared" si="1"/>
        <v>45045</v>
      </c>
      <c r="H2382" s="37" t="s">
        <v>1828</v>
      </c>
      <c r="I2382" s="37" t="s">
        <v>108</v>
      </c>
      <c r="J2382" s="37" t="s">
        <v>1812</v>
      </c>
      <c r="K2382" s="37" t="str">
        <f t="shared" si="41"/>
        <v>Greenville, SC</v>
      </c>
      <c r="L2382" s="24"/>
    </row>
    <row r="2383">
      <c r="A2383" s="28">
        <v>2382.0</v>
      </c>
      <c r="B2383" s="29"/>
      <c r="C2383" s="29"/>
      <c r="D2383" s="40">
        <v>1.0</v>
      </c>
      <c r="E2383" s="31">
        <v>45.0</v>
      </c>
      <c r="F2383" s="42">
        <v>47.0</v>
      </c>
      <c r="G2383" s="29" t="str">
        <f t="shared" si="1"/>
        <v>45047</v>
      </c>
      <c r="H2383" s="37" t="s">
        <v>977</v>
      </c>
      <c r="I2383" s="37" t="s">
        <v>108</v>
      </c>
      <c r="J2383" s="37" t="s">
        <v>1812</v>
      </c>
      <c r="K2383" s="37" t="str">
        <f t="shared" si="41"/>
        <v>Greenwood, SC</v>
      </c>
      <c r="L2383" s="24"/>
    </row>
    <row r="2384">
      <c r="A2384" s="28">
        <v>2383.0</v>
      </c>
      <c r="B2384" s="29"/>
      <c r="C2384" s="29"/>
      <c r="D2384" s="40">
        <v>1.0</v>
      </c>
      <c r="E2384" s="31">
        <v>45.0</v>
      </c>
      <c r="F2384" s="42">
        <v>49.0</v>
      </c>
      <c r="G2384" s="29" t="str">
        <f t="shared" si="1"/>
        <v>45049</v>
      </c>
      <c r="H2384" s="37" t="s">
        <v>1829</v>
      </c>
      <c r="I2384" s="37" t="s">
        <v>108</v>
      </c>
      <c r="J2384" s="37" t="s">
        <v>1812</v>
      </c>
      <c r="K2384" s="37" t="str">
        <f t="shared" si="41"/>
        <v>Hampton, SC</v>
      </c>
      <c r="L2384" s="24"/>
    </row>
    <row r="2385">
      <c r="A2385" s="28">
        <v>2384.0</v>
      </c>
      <c r="B2385" s="29"/>
      <c r="C2385" s="29"/>
      <c r="D2385" s="40">
        <v>1.0</v>
      </c>
      <c r="E2385" s="31">
        <v>45.0</v>
      </c>
      <c r="F2385" s="42">
        <v>51.0</v>
      </c>
      <c r="G2385" s="29" t="str">
        <f t="shared" si="1"/>
        <v>45051</v>
      </c>
      <c r="H2385" s="37" t="s">
        <v>1830</v>
      </c>
      <c r="I2385" s="37" t="s">
        <v>108</v>
      </c>
      <c r="J2385" s="37" t="s">
        <v>1812</v>
      </c>
      <c r="K2385" s="37" t="str">
        <f t="shared" si="41"/>
        <v>Horry, SC</v>
      </c>
      <c r="L2385" s="24"/>
    </row>
    <row r="2386">
      <c r="A2386" s="28">
        <v>2385.0</v>
      </c>
      <c r="B2386" s="29"/>
      <c r="C2386" s="29"/>
      <c r="D2386" s="40">
        <v>1.0</v>
      </c>
      <c r="E2386" s="31">
        <v>45.0</v>
      </c>
      <c r="F2386" s="42">
        <v>53.0</v>
      </c>
      <c r="G2386" s="29" t="str">
        <f t="shared" si="1"/>
        <v>45053</v>
      </c>
      <c r="H2386" s="37" t="s">
        <v>593</v>
      </c>
      <c r="I2386" s="37" t="s">
        <v>108</v>
      </c>
      <c r="J2386" s="37" t="s">
        <v>1812</v>
      </c>
      <c r="K2386" s="37" t="str">
        <f t="shared" si="41"/>
        <v>Jasper, SC</v>
      </c>
      <c r="L2386" s="24"/>
    </row>
    <row r="2387">
      <c r="A2387" s="28">
        <v>2386.0</v>
      </c>
      <c r="B2387" s="29"/>
      <c r="C2387" s="29"/>
      <c r="D2387" s="40">
        <v>1.0</v>
      </c>
      <c r="E2387" s="31">
        <v>45.0</v>
      </c>
      <c r="F2387" s="42">
        <v>55.0</v>
      </c>
      <c r="G2387" s="29" t="str">
        <f t="shared" si="1"/>
        <v>45055</v>
      </c>
      <c r="H2387" s="37" t="s">
        <v>1831</v>
      </c>
      <c r="I2387" s="37" t="s">
        <v>108</v>
      </c>
      <c r="J2387" s="37" t="s">
        <v>1812</v>
      </c>
      <c r="K2387" s="37" t="str">
        <f t="shared" si="41"/>
        <v>Kershaw, SC</v>
      </c>
      <c r="L2387" s="24"/>
    </row>
    <row r="2388">
      <c r="A2388" s="28">
        <v>2387.0</v>
      </c>
      <c r="B2388" s="29"/>
      <c r="C2388" s="29"/>
      <c r="D2388" s="40">
        <v>1.0</v>
      </c>
      <c r="E2388" s="31">
        <v>45.0</v>
      </c>
      <c r="F2388" s="42">
        <v>57.0</v>
      </c>
      <c r="G2388" s="29" t="str">
        <f t="shared" si="1"/>
        <v>45057</v>
      </c>
      <c r="H2388" s="37" t="s">
        <v>650</v>
      </c>
      <c r="I2388" s="37" t="s">
        <v>108</v>
      </c>
      <c r="J2388" s="37" t="s">
        <v>1812</v>
      </c>
      <c r="K2388" s="37" t="str">
        <f t="shared" si="41"/>
        <v>Lancaster, SC</v>
      </c>
      <c r="L2388" s="24"/>
    </row>
    <row r="2389">
      <c r="A2389" s="28">
        <v>2388.0</v>
      </c>
      <c r="B2389" s="29"/>
      <c r="C2389" s="29"/>
      <c r="D2389" s="40">
        <v>1.0</v>
      </c>
      <c r="E2389" s="31">
        <v>45.0</v>
      </c>
      <c r="F2389" s="42">
        <v>59.0</v>
      </c>
      <c r="G2389" s="29" t="str">
        <f t="shared" si="1"/>
        <v>45059</v>
      </c>
      <c r="H2389" s="37" t="s">
        <v>601</v>
      </c>
      <c r="I2389" s="37" t="s">
        <v>108</v>
      </c>
      <c r="J2389" s="37" t="s">
        <v>1812</v>
      </c>
      <c r="K2389" s="37" t="str">
        <f t="shared" si="41"/>
        <v>Laurens, SC</v>
      </c>
      <c r="L2389" s="24"/>
    </row>
    <row r="2390">
      <c r="A2390" s="28">
        <v>2389.0</v>
      </c>
      <c r="B2390" s="29"/>
      <c r="C2390" s="29"/>
      <c r="D2390" s="40">
        <v>1.0</v>
      </c>
      <c r="E2390" s="31">
        <v>45.0</v>
      </c>
      <c r="F2390" s="42">
        <v>61.0</v>
      </c>
      <c r="G2390" s="29" t="str">
        <f t="shared" si="1"/>
        <v>45061</v>
      </c>
      <c r="H2390" s="37" t="s">
        <v>147</v>
      </c>
      <c r="I2390" s="37" t="s">
        <v>108</v>
      </c>
      <c r="J2390" s="37" t="s">
        <v>1812</v>
      </c>
      <c r="K2390" s="37" t="str">
        <f t="shared" si="41"/>
        <v>Lee, SC</v>
      </c>
      <c r="L2390" s="24"/>
    </row>
    <row r="2391">
      <c r="A2391" s="28">
        <v>2390.0</v>
      </c>
      <c r="B2391" s="29"/>
      <c r="C2391" s="29"/>
      <c r="D2391" s="40">
        <v>1.0</v>
      </c>
      <c r="E2391" s="31">
        <v>45.0</v>
      </c>
      <c r="F2391" s="42">
        <v>63.0</v>
      </c>
      <c r="G2391" s="29" t="str">
        <f t="shared" si="1"/>
        <v>45063</v>
      </c>
      <c r="H2391" s="37" t="s">
        <v>1832</v>
      </c>
      <c r="I2391" s="37" t="s">
        <v>108</v>
      </c>
      <c r="J2391" s="37" t="s">
        <v>1812</v>
      </c>
      <c r="K2391" s="37" t="str">
        <f t="shared" si="41"/>
        <v>Lexington, SC</v>
      </c>
      <c r="L2391" s="24"/>
    </row>
    <row r="2392">
      <c r="A2392" s="28">
        <v>2391.0</v>
      </c>
      <c r="B2392" s="29"/>
      <c r="C2392" s="29"/>
      <c r="D2392" s="40">
        <v>1.0</v>
      </c>
      <c r="E2392" s="31">
        <v>45.0</v>
      </c>
      <c r="F2392" s="42">
        <v>65.0</v>
      </c>
      <c r="G2392" s="29" t="str">
        <f t="shared" si="1"/>
        <v>45065</v>
      </c>
      <c r="H2392" s="37" t="s">
        <v>1833</v>
      </c>
      <c r="I2392" s="37" t="s">
        <v>108</v>
      </c>
      <c r="J2392" s="37" t="s">
        <v>1812</v>
      </c>
      <c r="K2392" s="37" t="str">
        <f t="shared" si="41"/>
        <v>McCormick, SC</v>
      </c>
      <c r="L2392" s="24"/>
    </row>
    <row r="2393">
      <c r="A2393" s="28">
        <v>2392.0</v>
      </c>
      <c r="B2393" s="29"/>
      <c r="C2393" s="29"/>
      <c r="D2393" s="40">
        <v>1.0</v>
      </c>
      <c r="E2393" s="31">
        <v>45.0</v>
      </c>
      <c r="F2393" s="42">
        <v>67.0</v>
      </c>
      <c r="G2393" s="29" t="str">
        <f t="shared" si="1"/>
        <v>45067</v>
      </c>
      <c r="H2393" s="37" t="s">
        <v>153</v>
      </c>
      <c r="I2393" s="37" t="s">
        <v>108</v>
      </c>
      <c r="J2393" s="37" t="s">
        <v>1812</v>
      </c>
      <c r="K2393" s="37" t="str">
        <f t="shared" si="41"/>
        <v>Marion, SC</v>
      </c>
      <c r="L2393" s="24"/>
    </row>
    <row r="2394">
      <c r="A2394" s="28">
        <v>2393.0</v>
      </c>
      <c r="B2394" s="29"/>
      <c r="C2394" s="29"/>
      <c r="D2394" s="40">
        <v>1.0</v>
      </c>
      <c r="E2394" s="31">
        <v>45.0</v>
      </c>
      <c r="F2394" s="42">
        <v>69.0</v>
      </c>
      <c r="G2394" s="29" t="str">
        <f t="shared" si="1"/>
        <v>45069</v>
      </c>
      <c r="H2394" s="37" t="s">
        <v>1834</v>
      </c>
      <c r="I2394" s="37" t="s">
        <v>108</v>
      </c>
      <c r="J2394" s="37" t="s">
        <v>1812</v>
      </c>
      <c r="K2394" s="37" t="str">
        <f t="shared" si="41"/>
        <v>Marlboro, SC</v>
      </c>
      <c r="L2394" s="24"/>
    </row>
    <row r="2395">
      <c r="A2395" s="28">
        <v>2394.0</v>
      </c>
      <c r="B2395" s="29"/>
      <c r="C2395" s="29"/>
      <c r="D2395" s="40">
        <v>1.0</v>
      </c>
      <c r="E2395" s="31">
        <v>45.0</v>
      </c>
      <c r="F2395" s="42">
        <v>71.0</v>
      </c>
      <c r="G2395" s="29" t="str">
        <f t="shared" si="1"/>
        <v>45071</v>
      </c>
      <c r="H2395" s="37" t="s">
        <v>1835</v>
      </c>
      <c r="I2395" s="37" t="s">
        <v>108</v>
      </c>
      <c r="J2395" s="37" t="s">
        <v>1812</v>
      </c>
      <c r="K2395" s="37" t="str">
        <f t="shared" si="41"/>
        <v>Newberry, SC</v>
      </c>
      <c r="L2395" s="24"/>
    </row>
    <row r="2396">
      <c r="A2396" s="28">
        <v>2395.0</v>
      </c>
      <c r="B2396" s="29"/>
      <c r="C2396" s="29"/>
      <c r="D2396" s="40">
        <v>1.0</v>
      </c>
      <c r="E2396" s="31">
        <v>45.0</v>
      </c>
      <c r="F2396" s="42">
        <v>73.0</v>
      </c>
      <c r="G2396" s="29" t="str">
        <f t="shared" si="1"/>
        <v>45073</v>
      </c>
      <c r="H2396" s="37" t="s">
        <v>614</v>
      </c>
      <c r="I2396" s="37" t="s">
        <v>108</v>
      </c>
      <c r="J2396" s="37" t="s">
        <v>1812</v>
      </c>
      <c r="K2396" s="37" t="str">
        <f t="shared" si="41"/>
        <v>Oconee, SC</v>
      </c>
      <c r="L2396" s="24"/>
    </row>
    <row r="2397">
      <c r="A2397" s="28">
        <v>2396.0</v>
      </c>
      <c r="B2397" s="29"/>
      <c r="C2397" s="29"/>
      <c r="D2397" s="40">
        <v>1.0</v>
      </c>
      <c r="E2397" s="31">
        <v>45.0</v>
      </c>
      <c r="F2397" s="42">
        <v>75.0</v>
      </c>
      <c r="G2397" s="29" t="str">
        <f t="shared" si="1"/>
        <v>45075</v>
      </c>
      <c r="H2397" s="37" t="s">
        <v>1836</v>
      </c>
      <c r="I2397" s="37" t="s">
        <v>108</v>
      </c>
      <c r="J2397" s="37" t="s">
        <v>1812</v>
      </c>
      <c r="K2397" s="37" t="str">
        <f t="shared" si="41"/>
        <v>Orangeburg, SC</v>
      </c>
      <c r="L2397" s="24"/>
    </row>
    <row r="2398">
      <c r="A2398" s="28">
        <v>2397.0</v>
      </c>
      <c r="B2398" s="29"/>
      <c r="C2398" s="29"/>
      <c r="D2398" s="40">
        <v>1.0</v>
      </c>
      <c r="E2398" s="31">
        <v>45.0</v>
      </c>
      <c r="F2398" s="42">
        <v>77.0</v>
      </c>
      <c r="G2398" s="29" t="str">
        <f t="shared" si="1"/>
        <v>45077</v>
      </c>
      <c r="H2398" s="37" t="s">
        <v>160</v>
      </c>
      <c r="I2398" s="37" t="s">
        <v>108</v>
      </c>
      <c r="J2398" s="37" t="s">
        <v>1812</v>
      </c>
      <c r="K2398" s="37" t="str">
        <f t="shared" si="41"/>
        <v>Pickens, SC</v>
      </c>
      <c r="L2398" s="24"/>
    </row>
    <row r="2399">
      <c r="A2399" s="28">
        <v>2398.0</v>
      </c>
      <c r="B2399" s="29"/>
      <c r="C2399" s="29"/>
      <c r="D2399" s="40">
        <v>1.0</v>
      </c>
      <c r="E2399" s="31">
        <v>45.0</v>
      </c>
      <c r="F2399" s="42">
        <v>79.0</v>
      </c>
      <c r="G2399" s="29" t="str">
        <f t="shared" si="1"/>
        <v>45079</v>
      </c>
      <c r="H2399" s="37" t="s">
        <v>743</v>
      </c>
      <c r="I2399" s="37" t="s">
        <v>108</v>
      </c>
      <c r="J2399" s="37" t="s">
        <v>1812</v>
      </c>
      <c r="K2399" s="37" t="str">
        <f t="shared" si="41"/>
        <v>Richland, SC</v>
      </c>
      <c r="L2399" s="24"/>
    </row>
    <row r="2400">
      <c r="A2400" s="28">
        <v>2399.0</v>
      </c>
      <c r="B2400" s="29"/>
      <c r="C2400" s="29"/>
      <c r="D2400" s="40">
        <v>1.0</v>
      </c>
      <c r="E2400" s="31">
        <v>45.0</v>
      </c>
      <c r="F2400" s="42">
        <v>81.0</v>
      </c>
      <c r="G2400" s="29" t="str">
        <f t="shared" si="1"/>
        <v>45081</v>
      </c>
      <c r="H2400" s="37" t="s">
        <v>1837</v>
      </c>
      <c r="I2400" s="37" t="s">
        <v>108</v>
      </c>
      <c r="J2400" s="37" t="s">
        <v>1812</v>
      </c>
      <c r="K2400" s="37" t="str">
        <f t="shared" si="41"/>
        <v>Saluda, SC</v>
      </c>
      <c r="L2400" s="24"/>
    </row>
    <row r="2401">
      <c r="A2401" s="28">
        <v>2400.0</v>
      </c>
      <c r="B2401" s="29"/>
      <c r="C2401" s="29"/>
      <c r="D2401" s="40">
        <v>1.0</v>
      </c>
      <c r="E2401" s="31">
        <v>45.0</v>
      </c>
      <c r="F2401" s="42">
        <v>83.0</v>
      </c>
      <c r="G2401" s="29" t="str">
        <f t="shared" si="1"/>
        <v>45083</v>
      </c>
      <c r="H2401" s="37" t="s">
        <v>1838</v>
      </c>
      <c r="I2401" s="37" t="s">
        <v>108</v>
      </c>
      <c r="J2401" s="37" t="s">
        <v>1812</v>
      </c>
      <c r="K2401" s="136" t="str">
        <f t="shared" si="41"/>
        <v>Spartanburg, SC</v>
      </c>
      <c r="L2401" s="24"/>
    </row>
    <row r="2402">
      <c r="A2402" s="28">
        <v>2401.0</v>
      </c>
      <c r="B2402" s="29"/>
      <c r="C2402" s="29"/>
      <c r="D2402" s="40">
        <v>1.0</v>
      </c>
      <c r="E2402" s="31">
        <v>45.0</v>
      </c>
      <c r="F2402" s="42">
        <v>85.0</v>
      </c>
      <c r="G2402" s="29" t="str">
        <f t="shared" si="1"/>
        <v>45085</v>
      </c>
      <c r="H2402" s="37" t="s">
        <v>169</v>
      </c>
      <c r="I2402" s="37" t="s">
        <v>108</v>
      </c>
      <c r="J2402" s="37" t="s">
        <v>1812</v>
      </c>
      <c r="K2402" s="37" t="str">
        <f t="shared" si="41"/>
        <v>Sumter, SC</v>
      </c>
      <c r="L2402" s="24"/>
    </row>
    <row r="2403">
      <c r="A2403" s="28">
        <v>2402.0</v>
      </c>
      <c r="B2403" s="29"/>
      <c r="C2403" s="29"/>
      <c r="D2403" s="40">
        <v>1.0</v>
      </c>
      <c r="E2403" s="31">
        <v>45.0</v>
      </c>
      <c r="F2403" s="42">
        <v>87.0</v>
      </c>
      <c r="G2403" s="29" t="str">
        <f t="shared" si="1"/>
        <v>45087</v>
      </c>
      <c r="H2403" s="37" t="s">
        <v>316</v>
      </c>
      <c r="I2403" s="37" t="s">
        <v>108</v>
      </c>
      <c r="J2403" s="37" t="s">
        <v>1812</v>
      </c>
      <c r="K2403" s="37" t="str">
        <f t="shared" si="41"/>
        <v>Union, SC</v>
      </c>
      <c r="L2403" s="24"/>
    </row>
    <row r="2404">
      <c r="A2404" s="28">
        <v>2403.0</v>
      </c>
      <c r="B2404" s="29"/>
      <c r="C2404" s="29"/>
      <c r="D2404" s="40">
        <v>1.0</v>
      </c>
      <c r="E2404" s="31">
        <v>45.0</v>
      </c>
      <c r="F2404" s="42">
        <v>89.0</v>
      </c>
      <c r="G2404" s="29" t="str">
        <f t="shared" si="1"/>
        <v>45089</v>
      </c>
      <c r="H2404" s="37" t="s">
        <v>1839</v>
      </c>
      <c r="I2404" s="37" t="s">
        <v>108</v>
      </c>
      <c r="J2404" s="37" t="s">
        <v>1812</v>
      </c>
      <c r="K2404" s="136" t="str">
        <f t="shared" si="41"/>
        <v>Williamsburg, SC</v>
      </c>
      <c r="L2404" s="24"/>
    </row>
    <row r="2405">
      <c r="A2405" s="28">
        <v>2404.0</v>
      </c>
      <c r="B2405" s="29"/>
      <c r="C2405" s="29"/>
      <c r="D2405" s="40">
        <v>1.0</v>
      </c>
      <c r="E2405" s="31">
        <v>45.0</v>
      </c>
      <c r="F2405" s="42">
        <v>91.0</v>
      </c>
      <c r="G2405" s="29" t="str">
        <f t="shared" si="1"/>
        <v>45091</v>
      </c>
      <c r="H2405" s="37" t="s">
        <v>1196</v>
      </c>
      <c r="I2405" s="37" t="s">
        <v>108</v>
      </c>
      <c r="J2405" s="37" t="s">
        <v>1812</v>
      </c>
      <c r="K2405" s="37" t="str">
        <f t="shared" si="41"/>
        <v>York, SC</v>
      </c>
      <c r="L2405" s="24"/>
    </row>
    <row r="2406">
      <c r="A2406" s="99">
        <v>2405.0</v>
      </c>
      <c r="B2406" s="15"/>
      <c r="C2406" s="14" t="s">
        <v>25</v>
      </c>
      <c r="D2406" s="16"/>
      <c r="E2406" s="102">
        <v>46.0</v>
      </c>
      <c r="F2406" s="107">
        <v>0.0</v>
      </c>
      <c r="G2406" s="15" t="str">
        <f t="shared" si="1"/>
        <v>46000</v>
      </c>
      <c r="H2406" s="23"/>
      <c r="I2406" s="23" t="s">
        <v>109</v>
      </c>
      <c r="J2406" s="23" t="s">
        <v>1840</v>
      </c>
      <c r="K2406" s="23"/>
      <c r="L2406" s="24"/>
    </row>
    <row r="2407">
      <c r="A2407" s="99">
        <v>2406.0</v>
      </c>
      <c r="B2407" s="15"/>
      <c r="C2407" s="15"/>
      <c r="D2407" s="105">
        <v>1.0</v>
      </c>
      <c r="E2407" s="102">
        <v>46.0</v>
      </c>
      <c r="F2407" s="107">
        <v>3.0</v>
      </c>
      <c r="G2407" s="15" t="str">
        <f t="shared" si="1"/>
        <v>46003</v>
      </c>
      <c r="H2407" s="23" t="s">
        <v>1841</v>
      </c>
      <c r="I2407" s="23" t="s">
        <v>109</v>
      </c>
      <c r="J2407" s="23" t="s">
        <v>1840</v>
      </c>
      <c r="K2407" s="23" t="str">
        <f t="shared" ref="K2407:K2472" si="42">CONCATENATE(H2407,", ",J2407)</f>
        <v>Aurora, SD</v>
      </c>
      <c r="L2407" s="24"/>
    </row>
    <row r="2408">
      <c r="A2408" s="99">
        <v>2407.0</v>
      </c>
      <c r="B2408" s="15"/>
      <c r="C2408" s="15"/>
      <c r="D2408" s="105">
        <v>1.0</v>
      </c>
      <c r="E2408" s="102">
        <v>46.0</v>
      </c>
      <c r="F2408" s="107">
        <v>5.0</v>
      </c>
      <c r="G2408" s="15" t="str">
        <f t="shared" si="1"/>
        <v>46005</v>
      </c>
      <c r="H2408" s="23" t="s">
        <v>1842</v>
      </c>
      <c r="I2408" s="23" t="s">
        <v>109</v>
      </c>
      <c r="J2408" s="23" t="s">
        <v>1840</v>
      </c>
      <c r="K2408" s="23" t="str">
        <f t="shared" si="42"/>
        <v>Beadle, SD</v>
      </c>
      <c r="L2408" s="24"/>
    </row>
    <row r="2409">
      <c r="A2409" s="99">
        <v>2408.0</v>
      </c>
      <c r="B2409" s="15"/>
      <c r="C2409" s="15"/>
      <c r="D2409" s="105">
        <v>1.0</v>
      </c>
      <c r="E2409" s="102">
        <v>46.0</v>
      </c>
      <c r="F2409" s="107">
        <v>7.0</v>
      </c>
      <c r="G2409" s="15" t="str">
        <f t="shared" si="1"/>
        <v>46007</v>
      </c>
      <c r="H2409" s="23" t="s">
        <v>1843</v>
      </c>
      <c r="I2409" s="23" t="s">
        <v>109</v>
      </c>
      <c r="J2409" s="23" t="s">
        <v>1840</v>
      </c>
      <c r="K2409" s="23" t="str">
        <f t="shared" si="42"/>
        <v>Bennett, SD</v>
      </c>
      <c r="L2409" s="24"/>
    </row>
    <row r="2410">
      <c r="A2410" s="99">
        <v>2409.0</v>
      </c>
      <c r="B2410" s="15"/>
      <c r="C2410" s="15"/>
      <c r="D2410" s="105">
        <v>1.0</v>
      </c>
      <c r="E2410" s="102">
        <v>46.0</v>
      </c>
      <c r="F2410" s="107">
        <v>9.0</v>
      </c>
      <c r="G2410" s="15" t="str">
        <f t="shared" si="1"/>
        <v>46009</v>
      </c>
      <c r="H2410" s="23" t="s">
        <v>1844</v>
      </c>
      <c r="I2410" s="23" t="s">
        <v>109</v>
      </c>
      <c r="J2410" s="23" t="s">
        <v>1840</v>
      </c>
      <c r="K2410" s="112" t="str">
        <f t="shared" si="42"/>
        <v>Bon Homme, SD</v>
      </c>
      <c r="L2410" s="24"/>
    </row>
    <row r="2411">
      <c r="A2411" s="99">
        <v>2410.0</v>
      </c>
      <c r="B2411" s="15"/>
      <c r="C2411" s="15"/>
      <c r="D2411" s="105">
        <v>1.0</v>
      </c>
      <c r="E2411" s="102">
        <v>46.0</v>
      </c>
      <c r="F2411" s="107">
        <v>11.0</v>
      </c>
      <c r="G2411" s="15" t="str">
        <f t="shared" si="1"/>
        <v>46011</v>
      </c>
      <c r="H2411" s="23" t="s">
        <v>1845</v>
      </c>
      <c r="I2411" s="23" t="s">
        <v>109</v>
      </c>
      <c r="J2411" s="23" t="s">
        <v>1840</v>
      </c>
      <c r="K2411" s="23" t="str">
        <f t="shared" si="42"/>
        <v>Brookings, SD</v>
      </c>
      <c r="L2411" s="24"/>
    </row>
    <row r="2412">
      <c r="A2412" s="99">
        <v>2411.0</v>
      </c>
      <c r="B2412" s="15"/>
      <c r="C2412" s="15"/>
      <c r="D2412" s="105">
        <v>1.0</v>
      </c>
      <c r="E2412" s="102">
        <v>46.0</v>
      </c>
      <c r="F2412" s="107">
        <v>13.0</v>
      </c>
      <c r="G2412" s="15" t="str">
        <f t="shared" si="1"/>
        <v>46013</v>
      </c>
      <c r="H2412" s="23" t="s">
        <v>706</v>
      </c>
      <c r="I2412" s="23" t="s">
        <v>109</v>
      </c>
      <c r="J2412" s="23" t="s">
        <v>1840</v>
      </c>
      <c r="K2412" s="23" t="str">
        <f t="shared" si="42"/>
        <v>Brown, SD</v>
      </c>
      <c r="L2412" s="24"/>
    </row>
    <row r="2413">
      <c r="A2413" s="99">
        <v>2412.0</v>
      </c>
      <c r="B2413" s="15"/>
      <c r="C2413" s="15"/>
      <c r="D2413" s="105">
        <v>1.0</v>
      </c>
      <c r="E2413" s="102">
        <v>46.0</v>
      </c>
      <c r="F2413" s="107">
        <v>15.0</v>
      </c>
      <c r="G2413" s="15" t="str">
        <f t="shared" si="1"/>
        <v>46015</v>
      </c>
      <c r="H2413" s="23" t="s">
        <v>1846</v>
      </c>
      <c r="I2413" s="23" t="s">
        <v>109</v>
      </c>
      <c r="J2413" s="23" t="s">
        <v>1840</v>
      </c>
      <c r="K2413" s="23" t="str">
        <f t="shared" si="42"/>
        <v>Brule, SD</v>
      </c>
      <c r="L2413" s="24"/>
    </row>
    <row r="2414">
      <c r="A2414" s="99">
        <v>2413.0</v>
      </c>
      <c r="B2414" s="15"/>
      <c r="C2414" s="15"/>
      <c r="D2414" s="105">
        <v>1.0</v>
      </c>
      <c r="E2414" s="102">
        <v>46.0</v>
      </c>
      <c r="F2414" s="107">
        <v>17.0</v>
      </c>
      <c r="G2414" s="15" t="str">
        <f t="shared" si="1"/>
        <v>46017</v>
      </c>
      <c r="H2414" s="23" t="s">
        <v>1471</v>
      </c>
      <c r="I2414" s="23" t="s">
        <v>109</v>
      </c>
      <c r="J2414" s="23" t="s">
        <v>1840</v>
      </c>
      <c r="K2414" s="23" t="str">
        <f t="shared" si="42"/>
        <v>Buffalo, SD</v>
      </c>
      <c r="L2414" s="24"/>
    </row>
    <row r="2415">
      <c r="A2415" s="99">
        <v>2414.0</v>
      </c>
      <c r="B2415" s="15"/>
      <c r="C2415" s="15"/>
      <c r="D2415" s="105">
        <v>1.0</v>
      </c>
      <c r="E2415" s="102">
        <v>46.0</v>
      </c>
      <c r="F2415" s="107">
        <v>19.0</v>
      </c>
      <c r="G2415" s="15" t="str">
        <f t="shared" si="1"/>
        <v>46019</v>
      </c>
      <c r="H2415" s="23" t="s">
        <v>324</v>
      </c>
      <c r="I2415" s="23" t="s">
        <v>109</v>
      </c>
      <c r="J2415" s="23" t="s">
        <v>1840</v>
      </c>
      <c r="K2415" s="23" t="str">
        <f t="shared" si="42"/>
        <v>Butte, SD</v>
      </c>
      <c r="L2415" s="24"/>
    </row>
    <row r="2416">
      <c r="A2416" s="99">
        <v>2415.0</v>
      </c>
      <c r="B2416" s="15"/>
      <c r="C2416" s="15"/>
      <c r="D2416" s="105">
        <v>1.0</v>
      </c>
      <c r="E2416" s="102">
        <v>46.0</v>
      </c>
      <c r="F2416" s="107">
        <v>21.0</v>
      </c>
      <c r="G2416" s="15" t="str">
        <f t="shared" si="1"/>
        <v>46021</v>
      </c>
      <c r="H2416" s="23" t="s">
        <v>1036</v>
      </c>
      <c r="I2416" s="23" t="s">
        <v>109</v>
      </c>
      <c r="J2416" s="23" t="s">
        <v>1840</v>
      </c>
      <c r="K2416" s="23" t="str">
        <f t="shared" si="42"/>
        <v>Campbell, SD</v>
      </c>
      <c r="L2416" s="24"/>
    </row>
    <row r="2417">
      <c r="A2417" s="99">
        <v>2416.0</v>
      </c>
      <c r="B2417" s="15"/>
      <c r="C2417" s="15"/>
      <c r="D2417" s="105">
        <v>1.0</v>
      </c>
      <c r="E2417" s="102">
        <v>46.0</v>
      </c>
      <c r="F2417" s="107">
        <v>23.0</v>
      </c>
      <c r="G2417" s="15" t="str">
        <f t="shared" si="1"/>
        <v>46023</v>
      </c>
      <c r="H2417" s="23" t="s">
        <v>1847</v>
      </c>
      <c r="I2417" s="23" t="s">
        <v>109</v>
      </c>
      <c r="J2417" s="23" t="s">
        <v>1840</v>
      </c>
      <c r="K2417" s="23" t="str">
        <f t="shared" si="42"/>
        <v>Charles Mix, SD</v>
      </c>
      <c r="L2417" s="24"/>
    </row>
    <row r="2418">
      <c r="A2418" s="99">
        <v>2417.0</v>
      </c>
      <c r="B2418" s="15"/>
      <c r="C2418" s="15"/>
      <c r="D2418" s="105">
        <v>1.0</v>
      </c>
      <c r="E2418" s="102">
        <v>46.0</v>
      </c>
      <c r="F2418" s="107">
        <v>25.0</v>
      </c>
      <c r="G2418" s="15" t="str">
        <f t="shared" si="1"/>
        <v>46025</v>
      </c>
      <c r="H2418" s="23" t="s">
        <v>253</v>
      </c>
      <c r="I2418" s="23" t="s">
        <v>109</v>
      </c>
      <c r="J2418" s="23" t="s">
        <v>1840</v>
      </c>
      <c r="K2418" s="23" t="str">
        <f t="shared" si="42"/>
        <v>Clark, SD</v>
      </c>
      <c r="L2418" s="24"/>
    </row>
    <row r="2419">
      <c r="A2419" s="99">
        <v>2418.0</v>
      </c>
      <c r="B2419" s="15"/>
      <c r="C2419" s="15"/>
      <c r="D2419" s="105">
        <v>1.0</v>
      </c>
      <c r="E2419" s="102">
        <v>46.0</v>
      </c>
      <c r="F2419" s="107">
        <v>27.0</v>
      </c>
      <c r="G2419" s="15" t="str">
        <f t="shared" si="1"/>
        <v>46027</v>
      </c>
      <c r="H2419" s="23" t="s">
        <v>112</v>
      </c>
      <c r="I2419" s="23" t="s">
        <v>109</v>
      </c>
      <c r="J2419" s="23" t="s">
        <v>1840</v>
      </c>
      <c r="K2419" s="23" t="str">
        <f t="shared" si="42"/>
        <v>Clay, SD</v>
      </c>
      <c r="L2419" s="24"/>
    </row>
    <row r="2420">
      <c r="A2420" s="99">
        <v>2419.0</v>
      </c>
      <c r="B2420" s="15"/>
      <c r="C2420" s="15"/>
      <c r="D2420" s="105">
        <v>1.0</v>
      </c>
      <c r="E2420" s="102">
        <v>46.0</v>
      </c>
      <c r="F2420" s="107">
        <v>29.0</v>
      </c>
      <c r="G2420" s="15" t="str">
        <f t="shared" si="1"/>
        <v>46029</v>
      </c>
      <c r="H2420" s="23" t="s">
        <v>1848</v>
      </c>
      <c r="I2420" s="23" t="s">
        <v>109</v>
      </c>
      <c r="J2420" s="23" t="s">
        <v>1840</v>
      </c>
      <c r="K2420" s="23" t="str">
        <f t="shared" si="42"/>
        <v>Codington, SD</v>
      </c>
      <c r="L2420" s="24"/>
    </row>
    <row r="2421">
      <c r="A2421" s="99">
        <v>2420.0</v>
      </c>
      <c r="B2421" s="15"/>
      <c r="C2421" s="15"/>
      <c r="D2421" s="105">
        <v>1.0</v>
      </c>
      <c r="E2421" s="102">
        <v>46.0</v>
      </c>
      <c r="F2421" s="107">
        <v>31.0</v>
      </c>
      <c r="G2421" s="15" t="str">
        <f t="shared" si="1"/>
        <v>46031</v>
      </c>
      <c r="H2421" s="23" t="s">
        <v>1849</v>
      </c>
      <c r="I2421" s="23" t="s">
        <v>109</v>
      </c>
      <c r="J2421" s="23" t="s">
        <v>1840</v>
      </c>
      <c r="K2421" s="23" t="str">
        <f t="shared" si="42"/>
        <v>Corson, SD</v>
      </c>
      <c r="L2421" s="24"/>
    </row>
    <row r="2422">
      <c r="A2422" s="99">
        <v>2421.0</v>
      </c>
      <c r="B2422" s="15"/>
      <c r="C2422" s="15"/>
      <c r="D2422" s="105">
        <v>1.0</v>
      </c>
      <c r="E2422" s="102">
        <v>46.0</v>
      </c>
      <c r="F2422" s="107">
        <v>33.0</v>
      </c>
      <c r="G2422" s="15" t="str">
        <f t="shared" si="1"/>
        <v>46033</v>
      </c>
      <c r="H2422" s="23" t="s">
        <v>406</v>
      </c>
      <c r="I2422" s="23" t="s">
        <v>109</v>
      </c>
      <c r="J2422" s="23" t="s">
        <v>1840</v>
      </c>
      <c r="K2422" s="23" t="str">
        <f t="shared" si="42"/>
        <v>Custer, SD</v>
      </c>
      <c r="L2422" s="24"/>
    </row>
    <row r="2423">
      <c r="A2423" s="99">
        <v>2422.0</v>
      </c>
      <c r="B2423" s="15"/>
      <c r="C2423" s="15"/>
      <c r="D2423" s="105">
        <v>1.0</v>
      </c>
      <c r="E2423" s="102">
        <v>46.0</v>
      </c>
      <c r="F2423" s="107">
        <v>35.0</v>
      </c>
      <c r="G2423" s="15" t="str">
        <f t="shared" si="1"/>
        <v>46035</v>
      </c>
      <c r="H2423" s="23" t="s">
        <v>1850</v>
      </c>
      <c r="I2423" s="23" t="s">
        <v>109</v>
      </c>
      <c r="J2423" s="23" t="s">
        <v>1840</v>
      </c>
      <c r="K2423" s="23" t="str">
        <f t="shared" si="42"/>
        <v>Davison, SD</v>
      </c>
      <c r="L2423" s="24"/>
    </row>
    <row r="2424">
      <c r="A2424" s="99">
        <v>2423.0</v>
      </c>
      <c r="B2424" s="15"/>
      <c r="C2424" s="15"/>
      <c r="D2424" s="105">
        <v>1.0</v>
      </c>
      <c r="E2424" s="102">
        <v>46.0</v>
      </c>
      <c r="F2424" s="107">
        <v>37.0</v>
      </c>
      <c r="G2424" s="15" t="str">
        <f t="shared" si="1"/>
        <v>46037</v>
      </c>
      <c r="H2424" s="23" t="s">
        <v>1851</v>
      </c>
      <c r="I2424" s="23" t="s">
        <v>109</v>
      </c>
      <c r="J2424" s="23" t="s">
        <v>1840</v>
      </c>
      <c r="K2424" s="23" t="str">
        <f t="shared" si="42"/>
        <v>Day, SD</v>
      </c>
      <c r="L2424" s="24"/>
    </row>
    <row r="2425">
      <c r="A2425" s="99">
        <v>2424.0</v>
      </c>
      <c r="B2425" s="15"/>
      <c r="C2425" s="15"/>
      <c r="D2425" s="105">
        <v>1.0</v>
      </c>
      <c r="E2425" s="102">
        <v>46.0</v>
      </c>
      <c r="F2425" s="107">
        <v>39.0</v>
      </c>
      <c r="G2425" s="15" t="str">
        <f t="shared" si="1"/>
        <v>46039</v>
      </c>
      <c r="H2425" s="23" t="s">
        <v>1477</v>
      </c>
      <c r="I2425" s="23" t="s">
        <v>109</v>
      </c>
      <c r="J2425" s="23" t="s">
        <v>1840</v>
      </c>
      <c r="K2425" s="23" t="str">
        <f t="shared" si="42"/>
        <v>Deuel, SD</v>
      </c>
      <c r="L2425" s="24"/>
    </row>
    <row r="2426">
      <c r="A2426" s="99">
        <v>2425.0</v>
      </c>
      <c r="B2426" s="15"/>
      <c r="C2426" s="15"/>
      <c r="D2426" s="105">
        <v>1.0</v>
      </c>
      <c r="E2426" s="102">
        <v>46.0</v>
      </c>
      <c r="F2426" s="107">
        <v>41.0</v>
      </c>
      <c r="G2426" s="15" t="str">
        <f t="shared" si="1"/>
        <v>46041</v>
      </c>
      <c r="H2426" s="23" t="s">
        <v>1723</v>
      </c>
      <c r="I2426" s="23" t="s">
        <v>109</v>
      </c>
      <c r="J2426" s="23" t="s">
        <v>1840</v>
      </c>
      <c r="K2426" s="23" t="str">
        <f t="shared" si="42"/>
        <v>Dewey, SD</v>
      </c>
      <c r="L2426" s="24"/>
    </row>
    <row r="2427">
      <c r="A2427" s="99">
        <v>2426.0</v>
      </c>
      <c r="B2427" s="15"/>
      <c r="C2427" s="15"/>
      <c r="D2427" s="105">
        <v>1.0</v>
      </c>
      <c r="E2427" s="102">
        <v>46.0</v>
      </c>
      <c r="F2427" s="107">
        <v>43.0</v>
      </c>
      <c r="G2427" s="15" t="str">
        <f t="shared" si="1"/>
        <v>46043</v>
      </c>
      <c r="H2427" s="23" t="s">
        <v>412</v>
      </c>
      <c r="I2427" s="23" t="s">
        <v>109</v>
      </c>
      <c r="J2427" s="23" t="s">
        <v>1840</v>
      </c>
      <c r="K2427" s="23" t="str">
        <f t="shared" si="42"/>
        <v>Douglas, SD</v>
      </c>
      <c r="L2427" s="24"/>
    </row>
    <row r="2428">
      <c r="A2428" s="99">
        <v>2427.0</v>
      </c>
      <c r="B2428" s="15"/>
      <c r="C2428" s="15"/>
      <c r="D2428" s="105">
        <v>1.0</v>
      </c>
      <c r="E2428" s="102">
        <v>46.0</v>
      </c>
      <c r="F2428" s="107">
        <v>45.0</v>
      </c>
      <c r="G2428" s="15" t="str">
        <f t="shared" si="1"/>
        <v>46045</v>
      </c>
      <c r="H2428" s="23" t="s">
        <v>1852</v>
      </c>
      <c r="I2428" s="23" t="s">
        <v>109</v>
      </c>
      <c r="J2428" s="23" t="s">
        <v>1840</v>
      </c>
      <c r="K2428" s="23" t="str">
        <f t="shared" si="42"/>
        <v>Edmunds, SD</v>
      </c>
      <c r="L2428" s="24"/>
    </row>
    <row r="2429">
      <c r="A2429" s="99">
        <v>2428.0</v>
      </c>
      <c r="B2429" s="15"/>
      <c r="C2429" s="15"/>
      <c r="D2429" s="105">
        <v>1.0</v>
      </c>
      <c r="E2429" s="102">
        <v>46.0</v>
      </c>
      <c r="F2429" s="107">
        <v>47.0</v>
      </c>
      <c r="G2429" s="15" t="str">
        <f t="shared" si="1"/>
        <v>46047</v>
      </c>
      <c r="H2429" s="23" t="s">
        <v>1853</v>
      </c>
      <c r="I2429" s="23" t="s">
        <v>109</v>
      </c>
      <c r="J2429" s="23" t="s">
        <v>1840</v>
      </c>
      <c r="K2429" s="23" t="str">
        <f t="shared" si="42"/>
        <v>Fall River, SD</v>
      </c>
      <c r="L2429" s="24"/>
    </row>
    <row r="2430">
      <c r="A2430" s="99">
        <v>2429.0</v>
      </c>
      <c r="B2430" s="15"/>
      <c r="C2430" s="15"/>
      <c r="D2430" s="105">
        <v>1.0</v>
      </c>
      <c r="E2430" s="102">
        <v>46.0</v>
      </c>
      <c r="F2430" s="107">
        <v>49.0</v>
      </c>
      <c r="G2430" s="15" t="str">
        <f t="shared" si="1"/>
        <v>46049</v>
      </c>
      <c r="H2430" s="23" t="s">
        <v>1854</v>
      </c>
      <c r="I2430" s="23" t="s">
        <v>109</v>
      </c>
      <c r="J2430" s="23" t="s">
        <v>1840</v>
      </c>
      <c r="K2430" s="23" t="str">
        <f t="shared" si="42"/>
        <v>Faulk, SD</v>
      </c>
      <c r="L2430" s="24"/>
    </row>
    <row r="2431">
      <c r="A2431" s="99">
        <v>2430.0</v>
      </c>
      <c r="B2431" s="15"/>
      <c r="C2431" s="15"/>
      <c r="D2431" s="105">
        <v>1.0</v>
      </c>
      <c r="E2431" s="102">
        <v>46.0</v>
      </c>
      <c r="F2431" s="107">
        <v>51.0</v>
      </c>
      <c r="G2431" s="15" t="str">
        <f t="shared" si="1"/>
        <v>46051</v>
      </c>
      <c r="H2431" s="23" t="s">
        <v>278</v>
      </c>
      <c r="I2431" s="23" t="s">
        <v>109</v>
      </c>
      <c r="J2431" s="23" t="s">
        <v>1840</v>
      </c>
      <c r="K2431" s="23" t="str">
        <f t="shared" si="42"/>
        <v>Grant, SD</v>
      </c>
      <c r="L2431" s="24"/>
    </row>
    <row r="2432">
      <c r="A2432" s="99">
        <v>2431.0</v>
      </c>
      <c r="B2432" s="15"/>
      <c r="C2432" s="15"/>
      <c r="D2432" s="105">
        <v>1.0</v>
      </c>
      <c r="E2432" s="102">
        <v>46.0</v>
      </c>
      <c r="F2432" s="107">
        <v>53.0</v>
      </c>
      <c r="G2432" s="15" t="str">
        <f t="shared" si="1"/>
        <v>46053</v>
      </c>
      <c r="H2432" s="23" t="s">
        <v>1855</v>
      </c>
      <c r="I2432" s="23" t="s">
        <v>109</v>
      </c>
      <c r="J2432" s="23" t="s">
        <v>1840</v>
      </c>
      <c r="K2432" s="23" t="str">
        <f t="shared" si="42"/>
        <v>Gregory, SD</v>
      </c>
      <c r="L2432" s="24"/>
    </row>
    <row r="2433">
      <c r="A2433" s="99">
        <v>2432.0</v>
      </c>
      <c r="B2433" s="15"/>
      <c r="C2433" s="15"/>
      <c r="D2433" s="105">
        <v>1.0</v>
      </c>
      <c r="E2433" s="102">
        <v>46.0</v>
      </c>
      <c r="F2433" s="107">
        <v>55.0</v>
      </c>
      <c r="G2433" s="15" t="str">
        <f t="shared" si="1"/>
        <v>46055</v>
      </c>
      <c r="H2433" s="23" t="s">
        <v>1856</v>
      </c>
      <c r="I2433" s="23" t="s">
        <v>109</v>
      </c>
      <c r="J2433" s="23" t="s">
        <v>1840</v>
      </c>
      <c r="K2433" s="23" t="str">
        <f t="shared" si="42"/>
        <v>Haakon, SD</v>
      </c>
      <c r="L2433" s="24"/>
    </row>
    <row r="2434">
      <c r="A2434" s="99">
        <v>2433.0</v>
      </c>
      <c r="B2434" s="15"/>
      <c r="C2434" s="15"/>
      <c r="D2434" s="105">
        <v>1.0</v>
      </c>
      <c r="E2434" s="102">
        <v>46.0</v>
      </c>
      <c r="F2434" s="107">
        <v>57.0</v>
      </c>
      <c r="G2434" s="15" t="str">
        <f t="shared" si="1"/>
        <v>46057</v>
      </c>
      <c r="H2434" s="23" t="s">
        <v>1857</v>
      </c>
      <c r="I2434" s="23" t="s">
        <v>109</v>
      </c>
      <c r="J2434" s="23" t="s">
        <v>1840</v>
      </c>
      <c r="K2434" s="23" t="str">
        <f t="shared" si="42"/>
        <v>Hamlin, SD</v>
      </c>
      <c r="L2434" s="24"/>
    </row>
    <row r="2435">
      <c r="A2435" s="99">
        <v>2434.0</v>
      </c>
      <c r="B2435" s="15"/>
      <c r="C2435" s="15"/>
      <c r="D2435" s="105">
        <v>1.0</v>
      </c>
      <c r="E2435" s="102">
        <v>46.0</v>
      </c>
      <c r="F2435" s="107">
        <v>59.0</v>
      </c>
      <c r="G2435" s="15" t="str">
        <f t="shared" si="1"/>
        <v>46059</v>
      </c>
      <c r="H2435" s="23" t="s">
        <v>1858</v>
      </c>
      <c r="I2435" s="23" t="s">
        <v>109</v>
      </c>
      <c r="J2435" s="23" t="s">
        <v>1840</v>
      </c>
      <c r="K2435" s="23" t="str">
        <f t="shared" si="42"/>
        <v>Hand, SD</v>
      </c>
      <c r="L2435" s="24"/>
    </row>
    <row r="2436">
      <c r="A2436" s="99">
        <v>2435.0</v>
      </c>
      <c r="B2436" s="15"/>
      <c r="C2436" s="15"/>
      <c r="D2436" s="105">
        <v>1.0</v>
      </c>
      <c r="E2436" s="102">
        <v>46.0</v>
      </c>
      <c r="F2436" s="107">
        <v>61.0</v>
      </c>
      <c r="G2436" s="15" t="str">
        <f t="shared" si="1"/>
        <v>46061</v>
      </c>
      <c r="H2436" s="23" t="s">
        <v>1859</v>
      </c>
      <c r="I2436" s="23" t="s">
        <v>109</v>
      </c>
      <c r="J2436" s="23" t="s">
        <v>1840</v>
      </c>
      <c r="K2436" s="23" t="str">
        <f t="shared" si="42"/>
        <v>Hanson, SD</v>
      </c>
      <c r="L2436" s="24"/>
    </row>
    <row r="2437">
      <c r="A2437" s="99">
        <v>2436.0</v>
      </c>
      <c r="B2437" s="15"/>
      <c r="C2437" s="15"/>
      <c r="D2437" s="105">
        <v>1.0</v>
      </c>
      <c r="E2437" s="102">
        <v>46.0</v>
      </c>
      <c r="F2437" s="107">
        <v>63.0</v>
      </c>
      <c r="G2437" s="15" t="str">
        <f t="shared" si="1"/>
        <v>46063</v>
      </c>
      <c r="H2437" s="23" t="s">
        <v>1540</v>
      </c>
      <c r="I2437" s="23" t="s">
        <v>109</v>
      </c>
      <c r="J2437" s="23" t="s">
        <v>1840</v>
      </c>
      <c r="K2437" s="23" t="str">
        <f t="shared" si="42"/>
        <v>Harding, SD</v>
      </c>
      <c r="L2437" s="24"/>
    </row>
    <row r="2438">
      <c r="A2438" s="99">
        <v>2437.0</v>
      </c>
      <c r="B2438" s="15"/>
      <c r="C2438" s="15"/>
      <c r="D2438" s="105">
        <v>1.0</v>
      </c>
      <c r="E2438" s="102">
        <v>46.0</v>
      </c>
      <c r="F2438" s="107">
        <v>65.0</v>
      </c>
      <c r="G2438" s="15" t="str">
        <f t="shared" si="1"/>
        <v>46065</v>
      </c>
      <c r="H2438" s="23" t="s">
        <v>1730</v>
      </c>
      <c r="I2438" s="23" t="s">
        <v>109</v>
      </c>
      <c r="J2438" s="23" t="s">
        <v>1840</v>
      </c>
      <c r="K2438" s="23" t="str">
        <f t="shared" si="42"/>
        <v>Hughes, SD</v>
      </c>
      <c r="L2438" s="24"/>
    </row>
    <row r="2439">
      <c r="A2439" s="99">
        <v>2438.0</v>
      </c>
      <c r="B2439" s="15"/>
      <c r="C2439" s="15"/>
      <c r="D2439" s="105">
        <v>1.0</v>
      </c>
      <c r="E2439" s="102">
        <v>46.0</v>
      </c>
      <c r="F2439" s="107">
        <v>67.0</v>
      </c>
      <c r="G2439" s="15" t="str">
        <f t="shared" si="1"/>
        <v>46067</v>
      </c>
      <c r="H2439" s="23" t="s">
        <v>1860</v>
      </c>
      <c r="I2439" s="23" t="s">
        <v>109</v>
      </c>
      <c r="J2439" s="23" t="s">
        <v>1840</v>
      </c>
      <c r="K2439" s="23" t="str">
        <f t="shared" si="42"/>
        <v>Hutchinson, SD</v>
      </c>
      <c r="L2439" s="24"/>
    </row>
    <row r="2440">
      <c r="A2440" s="99">
        <v>2439.0</v>
      </c>
      <c r="B2440" s="15"/>
      <c r="C2440" s="15"/>
      <c r="D2440" s="105">
        <v>1.0</v>
      </c>
      <c r="E2440" s="102">
        <v>46.0</v>
      </c>
      <c r="F2440" s="107">
        <v>69.0</v>
      </c>
      <c r="G2440" s="15" t="str">
        <f t="shared" si="1"/>
        <v>46069</v>
      </c>
      <c r="H2440" s="23" t="s">
        <v>1610</v>
      </c>
      <c r="I2440" s="23" t="s">
        <v>109</v>
      </c>
      <c r="J2440" s="23" t="s">
        <v>1840</v>
      </c>
      <c r="K2440" s="23" t="str">
        <f t="shared" si="42"/>
        <v>Hyde, SD</v>
      </c>
      <c r="L2440" s="24"/>
    </row>
    <row r="2441">
      <c r="A2441" s="99">
        <v>2440.0</v>
      </c>
      <c r="B2441" s="15"/>
      <c r="C2441" s="15"/>
      <c r="D2441" s="105">
        <v>1.0</v>
      </c>
      <c r="E2441" s="102">
        <v>46.0</v>
      </c>
      <c r="F2441" s="107">
        <v>71.0</v>
      </c>
      <c r="G2441" s="15" t="str">
        <f t="shared" si="1"/>
        <v>46071</v>
      </c>
      <c r="H2441" s="23" t="s">
        <v>142</v>
      </c>
      <c r="I2441" s="23" t="s">
        <v>109</v>
      </c>
      <c r="J2441" s="23" t="s">
        <v>1840</v>
      </c>
      <c r="K2441" s="23" t="str">
        <f t="shared" si="42"/>
        <v>Jackson, SD</v>
      </c>
      <c r="L2441" s="24"/>
    </row>
    <row r="2442">
      <c r="A2442" s="99">
        <v>2441.0</v>
      </c>
      <c r="B2442" s="15"/>
      <c r="C2442" s="15"/>
      <c r="D2442" s="105">
        <v>1.0</v>
      </c>
      <c r="E2442" s="102">
        <v>46.0</v>
      </c>
      <c r="F2442" s="107">
        <v>73.0</v>
      </c>
      <c r="G2442" s="15" t="str">
        <f t="shared" si="1"/>
        <v>46073</v>
      </c>
      <c r="H2442" s="23" t="s">
        <v>1861</v>
      </c>
      <c r="I2442" s="23" t="s">
        <v>109</v>
      </c>
      <c r="J2442" s="23" t="s">
        <v>1840</v>
      </c>
      <c r="K2442" s="23" t="str">
        <f t="shared" si="42"/>
        <v>Jerauld, SD</v>
      </c>
      <c r="L2442" s="24"/>
    </row>
    <row r="2443">
      <c r="A2443" s="99">
        <v>2442.0</v>
      </c>
      <c r="B2443" s="15"/>
      <c r="C2443" s="15"/>
      <c r="D2443" s="105">
        <v>1.0</v>
      </c>
      <c r="E2443" s="102">
        <v>46.0</v>
      </c>
      <c r="F2443" s="107">
        <v>75.0</v>
      </c>
      <c r="G2443" s="15" t="str">
        <f t="shared" si="1"/>
        <v>46075</v>
      </c>
      <c r="H2443" s="23" t="s">
        <v>598</v>
      </c>
      <c r="I2443" s="23" t="s">
        <v>109</v>
      </c>
      <c r="J2443" s="23" t="s">
        <v>1840</v>
      </c>
      <c r="K2443" s="23" t="str">
        <f t="shared" si="42"/>
        <v>Jones, SD</v>
      </c>
      <c r="L2443" s="24"/>
    </row>
    <row r="2444">
      <c r="A2444" s="99">
        <v>2443.0</v>
      </c>
      <c r="B2444" s="15"/>
      <c r="C2444" s="15"/>
      <c r="D2444" s="105">
        <v>1.0</v>
      </c>
      <c r="E2444" s="102">
        <v>46.0</v>
      </c>
      <c r="F2444" s="107">
        <v>77.0</v>
      </c>
      <c r="G2444" s="15" t="str">
        <f t="shared" si="1"/>
        <v>46077</v>
      </c>
      <c r="H2444" s="23" t="s">
        <v>1862</v>
      </c>
      <c r="I2444" s="23" t="s">
        <v>109</v>
      </c>
      <c r="J2444" s="23" t="s">
        <v>1840</v>
      </c>
      <c r="K2444" s="23" t="str">
        <f t="shared" si="42"/>
        <v>Kingsbury, SD</v>
      </c>
      <c r="L2444" s="24"/>
    </row>
    <row r="2445">
      <c r="A2445" s="99">
        <v>2444.0</v>
      </c>
      <c r="B2445" s="15"/>
      <c r="C2445" s="15"/>
      <c r="D2445" s="105">
        <v>1.0</v>
      </c>
      <c r="E2445" s="102">
        <v>46.0</v>
      </c>
      <c r="F2445" s="107">
        <v>79.0</v>
      </c>
      <c r="G2445" s="15" t="str">
        <f t="shared" si="1"/>
        <v>46079</v>
      </c>
      <c r="H2445" s="23" t="s">
        <v>337</v>
      </c>
      <c r="I2445" s="23" t="s">
        <v>109</v>
      </c>
      <c r="J2445" s="23" t="s">
        <v>1840</v>
      </c>
      <c r="K2445" s="23" t="str">
        <f t="shared" si="42"/>
        <v>Lake, SD</v>
      </c>
      <c r="L2445" s="24"/>
    </row>
    <row r="2446">
      <c r="A2446" s="99">
        <v>2445.0</v>
      </c>
      <c r="B2446" s="15"/>
      <c r="C2446" s="15"/>
      <c r="D2446" s="105">
        <v>1.0</v>
      </c>
      <c r="E2446" s="102">
        <v>46.0</v>
      </c>
      <c r="F2446" s="107">
        <v>81.0</v>
      </c>
      <c r="G2446" s="15" t="str">
        <f t="shared" si="1"/>
        <v>46081</v>
      </c>
      <c r="H2446" s="23" t="s">
        <v>146</v>
      </c>
      <c r="I2446" s="23" t="s">
        <v>109</v>
      </c>
      <c r="J2446" s="23" t="s">
        <v>1840</v>
      </c>
      <c r="K2446" s="23" t="str">
        <f t="shared" si="42"/>
        <v>Lawrence, SD</v>
      </c>
      <c r="L2446" s="24"/>
    </row>
    <row r="2447">
      <c r="A2447" s="99">
        <v>2446.0</v>
      </c>
      <c r="B2447" s="15"/>
      <c r="C2447" s="15"/>
      <c r="D2447" s="105">
        <v>1.0</v>
      </c>
      <c r="E2447" s="102">
        <v>46.0</v>
      </c>
      <c r="F2447" s="107">
        <v>83.0</v>
      </c>
      <c r="G2447" s="15" t="str">
        <f t="shared" si="1"/>
        <v>46083</v>
      </c>
      <c r="H2447" s="23" t="s">
        <v>290</v>
      </c>
      <c r="I2447" s="23" t="s">
        <v>109</v>
      </c>
      <c r="J2447" s="23" t="s">
        <v>1840</v>
      </c>
      <c r="K2447" s="23" t="str">
        <f t="shared" si="42"/>
        <v>Lincoln, SD</v>
      </c>
      <c r="L2447" s="24"/>
    </row>
    <row r="2448">
      <c r="A2448" s="99">
        <v>2447.0</v>
      </c>
      <c r="B2448" s="15"/>
      <c r="C2448" s="15"/>
      <c r="D2448" s="105">
        <v>1.0</v>
      </c>
      <c r="E2448" s="102">
        <v>46.0</v>
      </c>
      <c r="F2448" s="107">
        <v>85.0</v>
      </c>
      <c r="G2448" s="15" t="str">
        <f t="shared" si="1"/>
        <v>46085</v>
      </c>
      <c r="H2448" s="23" t="s">
        <v>1863</v>
      </c>
      <c r="I2448" s="23" t="s">
        <v>109</v>
      </c>
      <c r="J2448" s="23" t="s">
        <v>1840</v>
      </c>
      <c r="K2448" s="23" t="str">
        <f t="shared" si="42"/>
        <v>Lyman, SD</v>
      </c>
      <c r="L2448" s="24"/>
    </row>
    <row r="2449">
      <c r="A2449" s="99">
        <v>2448.0</v>
      </c>
      <c r="B2449" s="15"/>
      <c r="C2449" s="15"/>
      <c r="D2449" s="105">
        <v>1.0</v>
      </c>
      <c r="E2449" s="102">
        <v>46.0</v>
      </c>
      <c r="F2449" s="107">
        <v>87.0</v>
      </c>
      <c r="G2449" s="15" t="str">
        <f t="shared" si="1"/>
        <v>46087</v>
      </c>
      <c r="H2449" s="23" t="s">
        <v>1864</v>
      </c>
      <c r="I2449" s="23" t="s">
        <v>109</v>
      </c>
      <c r="J2449" s="23" t="s">
        <v>1840</v>
      </c>
      <c r="K2449" s="23" t="str">
        <f t="shared" si="42"/>
        <v>McCook, SD</v>
      </c>
      <c r="L2449" s="24"/>
    </row>
    <row r="2450">
      <c r="A2450" s="99">
        <v>2449.0</v>
      </c>
      <c r="B2450" s="15"/>
      <c r="C2450" s="15"/>
      <c r="D2450" s="105">
        <v>1.0</v>
      </c>
      <c r="E2450" s="102">
        <v>46.0</v>
      </c>
      <c r="F2450" s="107">
        <v>89.0</v>
      </c>
      <c r="G2450" s="15" t="str">
        <f t="shared" si="1"/>
        <v>46089</v>
      </c>
      <c r="H2450" s="23" t="s">
        <v>988</v>
      </c>
      <c r="I2450" s="23" t="s">
        <v>109</v>
      </c>
      <c r="J2450" s="23" t="s">
        <v>1840</v>
      </c>
      <c r="K2450" s="23" t="str">
        <f t="shared" si="42"/>
        <v>McPherson, SD</v>
      </c>
      <c r="L2450" s="24"/>
    </row>
    <row r="2451">
      <c r="A2451" s="99">
        <v>2450.0</v>
      </c>
      <c r="B2451" s="15"/>
      <c r="C2451" s="15"/>
      <c r="D2451" s="105">
        <v>1.0</v>
      </c>
      <c r="E2451" s="102">
        <v>46.0</v>
      </c>
      <c r="F2451" s="107">
        <v>91.0</v>
      </c>
      <c r="G2451" s="15" t="str">
        <f t="shared" si="1"/>
        <v>46091</v>
      </c>
      <c r="H2451" s="23" t="s">
        <v>154</v>
      </c>
      <c r="I2451" s="23" t="s">
        <v>109</v>
      </c>
      <c r="J2451" s="23" t="s">
        <v>1840</v>
      </c>
      <c r="K2451" s="23" t="str">
        <f t="shared" si="42"/>
        <v>Marshall, SD</v>
      </c>
      <c r="L2451" s="24"/>
    </row>
    <row r="2452">
      <c r="A2452" s="99">
        <v>2451.0</v>
      </c>
      <c r="B2452" s="15"/>
      <c r="C2452" s="15"/>
      <c r="D2452" s="105">
        <v>1.0</v>
      </c>
      <c r="E2452" s="102">
        <v>46.0</v>
      </c>
      <c r="F2452" s="107">
        <v>93.0</v>
      </c>
      <c r="G2452" s="15" t="str">
        <f t="shared" si="1"/>
        <v>46093</v>
      </c>
      <c r="H2452" s="23" t="s">
        <v>989</v>
      </c>
      <c r="I2452" s="23" t="s">
        <v>109</v>
      </c>
      <c r="J2452" s="23" t="s">
        <v>1840</v>
      </c>
      <c r="K2452" s="23" t="str">
        <f t="shared" si="42"/>
        <v>Meade, SD</v>
      </c>
      <c r="L2452" s="24"/>
    </row>
    <row r="2453">
      <c r="A2453" s="99">
        <v>2452.0</v>
      </c>
      <c r="B2453" s="15"/>
      <c r="C2453" s="15"/>
      <c r="D2453" s="105">
        <v>1.0</v>
      </c>
      <c r="E2453" s="102">
        <v>46.0</v>
      </c>
      <c r="F2453" s="107">
        <v>95.0</v>
      </c>
      <c r="G2453" s="15" t="str">
        <f t="shared" si="1"/>
        <v>46095</v>
      </c>
      <c r="H2453" s="23" t="s">
        <v>1872</v>
      </c>
      <c r="I2453" s="23" t="s">
        <v>109</v>
      </c>
      <c r="J2453" s="23" t="s">
        <v>1840</v>
      </c>
      <c r="K2453" s="23" t="str">
        <f t="shared" si="42"/>
        <v>Mellette, SD</v>
      </c>
      <c r="L2453" s="24"/>
    </row>
    <row r="2454">
      <c r="A2454" s="99">
        <v>2453.0</v>
      </c>
      <c r="B2454" s="15"/>
      <c r="C2454" s="15"/>
      <c r="D2454" s="105">
        <v>1.0</v>
      </c>
      <c r="E2454" s="102">
        <v>46.0</v>
      </c>
      <c r="F2454" s="107">
        <v>97.0</v>
      </c>
      <c r="G2454" s="15" t="str">
        <f t="shared" si="1"/>
        <v>46097</v>
      </c>
      <c r="H2454" s="23" t="s">
        <v>1874</v>
      </c>
      <c r="I2454" s="23" t="s">
        <v>109</v>
      </c>
      <c r="J2454" s="23" t="s">
        <v>1840</v>
      </c>
      <c r="K2454" s="23" t="str">
        <f t="shared" si="42"/>
        <v>Miner, SD</v>
      </c>
      <c r="L2454" s="24"/>
    </row>
    <row r="2455">
      <c r="A2455" s="99">
        <v>2454.0</v>
      </c>
      <c r="B2455" s="15"/>
      <c r="C2455" s="15"/>
      <c r="D2455" s="105">
        <v>1.0</v>
      </c>
      <c r="E2455" s="102">
        <v>46.0</v>
      </c>
      <c r="F2455" s="107">
        <v>99.0</v>
      </c>
      <c r="G2455" s="15" t="str">
        <f t="shared" si="1"/>
        <v>46099</v>
      </c>
      <c r="H2455" s="23" t="s">
        <v>1875</v>
      </c>
      <c r="I2455" s="23" t="s">
        <v>109</v>
      </c>
      <c r="J2455" s="23" t="s">
        <v>1840</v>
      </c>
      <c r="K2455" s="23" t="str">
        <f t="shared" si="42"/>
        <v>Minnehaha, SD</v>
      </c>
      <c r="L2455" s="24"/>
    </row>
    <row r="2456">
      <c r="A2456" s="99">
        <v>2455.0</v>
      </c>
      <c r="B2456" s="15"/>
      <c r="C2456" s="15"/>
      <c r="D2456" s="105">
        <v>1.0</v>
      </c>
      <c r="E2456" s="102">
        <v>46.0</v>
      </c>
      <c r="F2456" s="107">
        <v>101.0</v>
      </c>
      <c r="G2456" s="15" t="str">
        <f t="shared" si="1"/>
        <v>46101</v>
      </c>
      <c r="H2456" s="23" t="s">
        <v>1876</v>
      </c>
      <c r="I2456" s="23" t="s">
        <v>109</v>
      </c>
      <c r="J2456" s="23" t="s">
        <v>1840</v>
      </c>
      <c r="K2456" s="23" t="str">
        <f t="shared" si="42"/>
        <v>Moody, SD</v>
      </c>
      <c r="L2456" s="24"/>
    </row>
    <row r="2457">
      <c r="A2457" s="99">
        <v>2456.0</v>
      </c>
      <c r="B2457" s="15"/>
      <c r="C2457" s="15"/>
      <c r="D2457" s="105">
        <v>1.0</v>
      </c>
      <c r="E2457" s="102">
        <v>46.0</v>
      </c>
      <c r="F2457" s="107">
        <v>102.0</v>
      </c>
      <c r="G2457" s="15" t="str">
        <f t="shared" si="1"/>
        <v>46102</v>
      </c>
      <c r="H2457" s="23" t="s">
        <v>1877</v>
      </c>
      <c r="I2457" s="23" t="s">
        <v>109</v>
      </c>
      <c r="J2457" s="23" t="s">
        <v>1840</v>
      </c>
      <c r="K2457" s="112" t="str">
        <f t="shared" si="42"/>
        <v>Oglala Lakota, SD</v>
      </c>
      <c r="L2457" s="24"/>
    </row>
    <row r="2458">
      <c r="A2458" s="99">
        <v>2457.0</v>
      </c>
      <c r="B2458" s="15"/>
      <c r="C2458" s="15"/>
      <c r="D2458" s="105">
        <v>1.0</v>
      </c>
      <c r="E2458" s="102">
        <v>46.0</v>
      </c>
      <c r="F2458" s="107">
        <v>103.0</v>
      </c>
      <c r="G2458" s="15" t="str">
        <f t="shared" si="1"/>
        <v>46103</v>
      </c>
      <c r="H2458" s="23" t="s">
        <v>1334</v>
      </c>
      <c r="I2458" s="23" t="s">
        <v>109</v>
      </c>
      <c r="J2458" s="23" t="s">
        <v>1840</v>
      </c>
      <c r="K2458" s="23" t="str">
        <f t="shared" si="42"/>
        <v>Pennington, SD</v>
      </c>
      <c r="L2458" s="24"/>
    </row>
    <row r="2459">
      <c r="A2459" s="99">
        <v>2458.0</v>
      </c>
      <c r="B2459" s="15"/>
      <c r="C2459" s="15"/>
      <c r="D2459" s="105">
        <v>1.0</v>
      </c>
      <c r="E2459" s="102">
        <v>46.0</v>
      </c>
      <c r="F2459" s="107">
        <v>105.0</v>
      </c>
      <c r="G2459" s="15" t="str">
        <f t="shared" si="1"/>
        <v>46105</v>
      </c>
      <c r="H2459" s="23" t="s">
        <v>1498</v>
      </c>
      <c r="I2459" s="23" t="s">
        <v>109</v>
      </c>
      <c r="J2459" s="23" t="s">
        <v>1840</v>
      </c>
      <c r="K2459" s="23" t="str">
        <f t="shared" si="42"/>
        <v>Perkins, SD</v>
      </c>
      <c r="L2459" s="24"/>
    </row>
    <row r="2460">
      <c r="A2460" s="99">
        <v>2459.0</v>
      </c>
      <c r="B2460" s="15"/>
      <c r="C2460" s="15"/>
      <c r="D2460" s="105">
        <v>1.0</v>
      </c>
      <c r="E2460" s="102">
        <v>46.0</v>
      </c>
      <c r="F2460" s="107">
        <v>107.0</v>
      </c>
      <c r="G2460" s="15" t="str">
        <f t="shared" si="1"/>
        <v>46107</v>
      </c>
      <c r="H2460" s="23" t="s">
        <v>1805</v>
      </c>
      <c r="I2460" s="23" t="s">
        <v>109</v>
      </c>
      <c r="J2460" s="23" t="s">
        <v>1840</v>
      </c>
      <c r="K2460" s="23" t="str">
        <f t="shared" si="42"/>
        <v>Potter, SD</v>
      </c>
      <c r="L2460" s="24"/>
    </row>
    <row r="2461">
      <c r="A2461" s="99">
        <v>2460.0</v>
      </c>
      <c r="B2461" s="15"/>
      <c r="C2461" s="15"/>
      <c r="D2461" s="105">
        <v>1.0</v>
      </c>
      <c r="E2461" s="102">
        <v>46.0</v>
      </c>
      <c r="F2461" s="107">
        <v>109.0</v>
      </c>
      <c r="G2461" s="15" t="str">
        <f t="shared" si="1"/>
        <v>46109</v>
      </c>
      <c r="H2461" s="23" t="s">
        <v>1879</v>
      </c>
      <c r="I2461" s="23" t="s">
        <v>109</v>
      </c>
      <c r="J2461" s="23" t="s">
        <v>1840</v>
      </c>
      <c r="K2461" s="23" t="str">
        <f t="shared" si="42"/>
        <v>Roberts, SD</v>
      </c>
      <c r="L2461" s="24"/>
    </row>
    <row r="2462">
      <c r="A2462" s="99">
        <v>2461.0</v>
      </c>
      <c r="B2462" s="15"/>
      <c r="C2462" s="15"/>
      <c r="D2462" s="105">
        <v>1.0</v>
      </c>
      <c r="E2462" s="102">
        <v>46.0</v>
      </c>
      <c r="F2462" s="107">
        <v>111.0</v>
      </c>
      <c r="G2462" s="15" t="str">
        <f t="shared" si="1"/>
        <v>46111</v>
      </c>
      <c r="H2462" s="23" t="s">
        <v>1880</v>
      </c>
      <c r="I2462" s="23" t="s">
        <v>109</v>
      </c>
      <c r="J2462" s="23" t="s">
        <v>1840</v>
      </c>
      <c r="K2462" s="23" t="str">
        <f t="shared" si="42"/>
        <v>Sanborn, SD</v>
      </c>
      <c r="L2462" s="24"/>
    </row>
    <row r="2463">
      <c r="A2463" s="99">
        <v>2462.0</v>
      </c>
      <c r="B2463" s="15"/>
      <c r="C2463" s="15"/>
      <c r="D2463" s="105">
        <v>1.0</v>
      </c>
      <c r="E2463" s="102">
        <v>46.0</v>
      </c>
      <c r="F2463" s="107">
        <v>115.0</v>
      </c>
      <c r="G2463" s="15" t="str">
        <f t="shared" si="1"/>
        <v>46115</v>
      </c>
      <c r="H2463" s="23" t="s">
        <v>1881</v>
      </c>
      <c r="I2463" s="23" t="s">
        <v>109</v>
      </c>
      <c r="J2463" s="23" t="s">
        <v>1840</v>
      </c>
      <c r="K2463" s="23" t="str">
        <f t="shared" si="42"/>
        <v>Spink, SD</v>
      </c>
      <c r="L2463" s="24"/>
    </row>
    <row r="2464">
      <c r="A2464" s="99">
        <v>2463.0</v>
      </c>
      <c r="B2464" s="15"/>
      <c r="C2464" s="15"/>
      <c r="D2464" s="105">
        <v>1.0</v>
      </c>
      <c r="E2464" s="102">
        <v>46.0</v>
      </c>
      <c r="F2464" s="107">
        <v>117.0</v>
      </c>
      <c r="G2464" s="15" t="str">
        <f t="shared" si="1"/>
        <v>46117</v>
      </c>
      <c r="H2464" s="23" t="s">
        <v>1882</v>
      </c>
      <c r="I2464" s="23" t="s">
        <v>109</v>
      </c>
      <c r="J2464" s="23" t="s">
        <v>1840</v>
      </c>
      <c r="K2464" s="23" t="str">
        <f t="shared" si="42"/>
        <v>Stanley, SD</v>
      </c>
      <c r="L2464" s="24"/>
    </row>
    <row r="2465">
      <c r="A2465" s="99">
        <v>2464.0</v>
      </c>
      <c r="B2465" s="15"/>
      <c r="C2465" s="15"/>
      <c r="D2465" s="105">
        <v>1.0</v>
      </c>
      <c r="E2465" s="102">
        <v>46.0</v>
      </c>
      <c r="F2465" s="107">
        <v>119.0</v>
      </c>
      <c r="G2465" s="15" t="str">
        <f t="shared" si="1"/>
        <v>46119</v>
      </c>
      <c r="H2465" s="23" t="s">
        <v>1884</v>
      </c>
      <c r="I2465" s="23" t="s">
        <v>109</v>
      </c>
      <c r="J2465" s="23" t="s">
        <v>1840</v>
      </c>
      <c r="K2465" s="23" t="str">
        <f t="shared" si="42"/>
        <v>Sully, SD</v>
      </c>
      <c r="L2465" s="24"/>
    </row>
    <row r="2466">
      <c r="A2466" s="99">
        <v>2465.0</v>
      </c>
      <c r="B2466" s="15"/>
      <c r="C2466" s="15"/>
      <c r="D2466" s="105">
        <v>1.0</v>
      </c>
      <c r="E2466" s="102">
        <v>46.0</v>
      </c>
      <c r="F2466" s="107">
        <v>121.0</v>
      </c>
      <c r="G2466" s="15" t="str">
        <f t="shared" si="1"/>
        <v>46121</v>
      </c>
      <c r="H2466" s="23" t="s">
        <v>1135</v>
      </c>
      <c r="I2466" s="23" t="s">
        <v>109</v>
      </c>
      <c r="J2466" s="23" t="s">
        <v>1840</v>
      </c>
      <c r="K2466" s="23" t="str">
        <f t="shared" si="42"/>
        <v>Todd, SD</v>
      </c>
      <c r="L2466" s="24"/>
    </row>
    <row r="2467">
      <c r="A2467" s="99">
        <v>2466.0</v>
      </c>
      <c r="B2467" s="15"/>
      <c r="C2467" s="15"/>
      <c r="D2467" s="105">
        <v>1.0</v>
      </c>
      <c r="E2467" s="102">
        <v>46.0</v>
      </c>
      <c r="F2467" s="107">
        <v>123.0</v>
      </c>
      <c r="G2467" s="15" t="str">
        <f t="shared" si="1"/>
        <v>46123</v>
      </c>
      <c r="H2467" s="23" t="s">
        <v>1885</v>
      </c>
      <c r="I2467" s="23" t="s">
        <v>109</v>
      </c>
      <c r="J2467" s="23" t="s">
        <v>1840</v>
      </c>
      <c r="K2467" s="23" t="str">
        <f t="shared" si="42"/>
        <v>Tripp, SD</v>
      </c>
      <c r="L2467" s="24"/>
    </row>
    <row r="2468">
      <c r="A2468" s="99">
        <v>2467.0</v>
      </c>
      <c r="B2468" s="15"/>
      <c r="C2468" s="15"/>
      <c r="D2468" s="105">
        <v>1.0</v>
      </c>
      <c r="E2468" s="102">
        <v>46.0</v>
      </c>
      <c r="F2468" s="107">
        <v>125.0</v>
      </c>
      <c r="G2468" s="15" t="str">
        <f t="shared" si="1"/>
        <v>46125</v>
      </c>
      <c r="H2468" s="23" t="s">
        <v>642</v>
      </c>
      <c r="I2468" s="23" t="s">
        <v>109</v>
      </c>
      <c r="J2468" s="23" t="s">
        <v>1840</v>
      </c>
      <c r="K2468" s="23" t="str">
        <f t="shared" si="42"/>
        <v>Turner, SD</v>
      </c>
      <c r="L2468" s="24"/>
    </row>
    <row r="2469">
      <c r="A2469" s="99">
        <v>2468.0</v>
      </c>
      <c r="B2469" s="15"/>
      <c r="C2469" s="15"/>
      <c r="D2469" s="105">
        <v>1.0</v>
      </c>
      <c r="E2469" s="102">
        <v>46.0</v>
      </c>
      <c r="F2469" s="107">
        <v>127.0</v>
      </c>
      <c r="G2469" s="15" t="str">
        <f t="shared" si="1"/>
        <v>46127</v>
      </c>
      <c r="H2469" s="23" t="s">
        <v>316</v>
      </c>
      <c r="I2469" s="23" t="s">
        <v>109</v>
      </c>
      <c r="J2469" s="23" t="s">
        <v>1840</v>
      </c>
      <c r="K2469" s="23" t="str">
        <f t="shared" si="42"/>
        <v>Union, SD</v>
      </c>
      <c r="L2469" s="24"/>
    </row>
    <row r="2470">
      <c r="A2470" s="99">
        <v>2469.0</v>
      </c>
      <c r="B2470" s="15"/>
      <c r="C2470" s="15"/>
      <c r="D2470" s="105">
        <v>1.0</v>
      </c>
      <c r="E2470" s="102">
        <v>46.0</v>
      </c>
      <c r="F2470" s="107">
        <v>129.0</v>
      </c>
      <c r="G2470" s="15" t="str">
        <f t="shared" si="1"/>
        <v>46129</v>
      </c>
      <c r="H2470" s="23" t="s">
        <v>1887</v>
      </c>
      <c r="I2470" s="23" t="s">
        <v>109</v>
      </c>
      <c r="J2470" s="23" t="s">
        <v>1840</v>
      </c>
      <c r="K2470" s="23" t="str">
        <f t="shared" si="42"/>
        <v>Walworth, SD</v>
      </c>
      <c r="L2470" s="24"/>
    </row>
    <row r="2471">
      <c r="A2471" s="99">
        <v>2470.0</v>
      </c>
      <c r="B2471" s="15"/>
      <c r="C2471" s="15"/>
      <c r="D2471" s="105">
        <v>1.0</v>
      </c>
      <c r="E2471" s="102">
        <v>46.0</v>
      </c>
      <c r="F2471" s="107">
        <v>135.0</v>
      </c>
      <c r="G2471" s="15" t="str">
        <f t="shared" si="1"/>
        <v>46135</v>
      </c>
      <c r="H2471" s="23" t="s">
        <v>1889</v>
      </c>
      <c r="I2471" s="23" t="s">
        <v>109</v>
      </c>
      <c r="J2471" s="23" t="s">
        <v>1840</v>
      </c>
      <c r="K2471" s="23" t="str">
        <f t="shared" si="42"/>
        <v>Yankton, SD</v>
      </c>
      <c r="L2471" s="24"/>
    </row>
    <row r="2472">
      <c r="A2472" s="99">
        <v>2471.0</v>
      </c>
      <c r="B2472" s="15"/>
      <c r="C2472" s="15"/>
      <c r="D2472" s="105">
        <v>1.0</v>
      </c>
      <c r="E2472" s="102">
        <v>46.0</v>
      </c>
      <c r="F2472" s="107">
        <v>137.0</v>
      </c>
      <c r="G2472" s="15" t="str">
        <f t="shared" si="1"/>
        <v>46137</v>
      </c>
      <c r="H2472" s="23" t="s">
        <v>1890</v>
      </c>
      <c r="I2472" s="23" t="s">
        <v>109</v>
      </c>
      <c r="J2472" s="23" t="s">
        <v>1840</v>
      </c>
      <c r="K2472" s="23" t="str">
        <f t="shared" si="42"/>
        <v>Ziebach, SD</v>
      </c>
      <c r="L2472" s="24"/>
    </row>
    <row r="2473">
      <c r="A2473" s="28">
        <v>2472.0</v>
      </c>
      <c r="B2473" s="29"/>
      <c r="C2473" s="29" t="s">
        <v>25</v>
      </c>
      <c r="D2473" s="30"/>
      <c r="E2473" s="31">
        <v>47.0</v>
      </c>
      <c r="F2473" s="42">
        <v>0.0</v>
      </c>
      <c r="G2473" s="29" t="str">
        <f t="shared" si="1"/>
        <v>47000</v>
      </c>
      <c r="H2473" s="37"/>
      <c r="I2473" s="37" t="s">
        <v>111</v>
      </c>
      <c r="J2473" s="37" t="s">
        <v>452</v>
      </c>
      <c r="K2473" s="37"/>
      <c r="L2473" s="24"/>
    </row>
    <row r="2474">
      <c r="A2474" s="28">
        <v>2473.0</v>
      </c>
      <c r="B2474" s="29"/>
      <c r="C2474" s="29"/>
      <c r="D2474" s="40">
        <v>1.0</v>
      </c>
      <c r="E2474" s="31">
        <v>47.0</v>
      </c>
      <c r="F2474" s="42">
        <v>1.0</v>
      </c>
      <c r="G2474" s="29" t="str">
        <f t="shared" si="1"/>
        <v>47001</v>
      </c>
      <c r="H2474" s="37" t="s">
        <v>954</v>
      </c>
      <c r="I2474" s="37" t="s">
        <v>111</v>
      </c>
      <c r="J2474" s="37" t="s">
        <v>452</v>
      </c>
      <c r="K2474" s="37" t="str">
        <f t="shared" ref="K2474:K2568" si="43">CONCATENATE(H2474,", ",J2474)</f>
        <v>Anderson, TN</v>
      </c>
      <c r="L2474" s="24"/>
    </row>
    <row r="2475">
      <c r="A2475" s="28">
        <v>2474.0</v>
      </c>
      <c r="B2475" s="29"/>
      <c r="C2475" s="29"/>
      <c r="D2475" s="40">
        <v>1.0</v>
      </c>
      <c r="E2475" s="31">
        <v>47.0</v>
      </c>
      <c r="F2475" s="42">
        <v>3.0</v>
      </c>
      <c r="G2475" s="29" t="str">
        <f t="shared" si="1"/>
        <v>47003</v>
      </c>
      <c r="H2475" s="37" t="s">
        <v>1784</v>
      </c>
      <c r="I2475" s="37" t="s">
        <v>111</v>
      </c>
      <c r="J2475" s="37" t="s">
        <v>452</v>
      </c>
      <c r="K2475" s="37" t="str">
        <f t="shared" si="43"/>
        <v>Bedford, TN</v>
      </c>
      <c r="L2475" s="24"/>
    </row>
    <row r="2476">
      <c r="A2476" s="28">
        <v>2475.0</v>
      </c>
      <c r="B2476" s="29"/>
      <c r="C2476" s="29"/>
      <c r="D2476" s="40">
        <v>1.0</v>
      </c>
      <c r="E2476" s="31">
        <v>47.0</v>
      </c>
      <c r="F2476" s="42">
        <v>5.0</v>
      </c>
      <c r="G2476" s="29" t="str">
        <f t="shared" si="1"/>
        <v>47005</v>
      </c>
      <c r="H2476" s="37" t="s">
        <v>243</v>
      </c>
      <c r="I2476" s="37" t="s">
        <v>111</v>
      </c>
      <c r="J2476" s="37" t="s">
        <v>452</v>
      </c>
      <c r="K2476" s="37" t="str">
        <f t="shared" si="43"/>
        <v>Benton, TN</v>
      </c>
      <c r="L2476" s="24"/>
    </row>
    <row r="2477">
      <c r="A2477" s="28">
        <v>2476.0</v>
      </c>
      <c r="B2477" s="29"/>
      <c r="C2477" s="29"/>
      <c r="D2477" s="40">
        <v>1.0</v>
      </c>
      <c r="E2477" s="31">
        <v>47.0</v>
      </c>
      <c r="F2477" s="42">
        <v>7.0</v>
      </c>
      <c r="G2477" s="29" t="str">
        <f t="shared" si="1"/>
        <v>47007</v>
      </c>
      <c r="H2477" s="37" t="s">
        <v>1893</v>
      </c>
      <c r="I2477" s="37" t="s">
        <v>111</v>
      </c>
      <c r="J2477" s="37" t="s">
        <v>452</v>
      </c>
      <c r="K2477" s="37" t="str">
        <f t="shared" si="43"/>
        <v>Bledsoe, TN</v>
      </c>
      <c r="L2477" s="24"/>
    </row>
    <row r="2478">
      <c r="A2478" s="28">
        <v>2477.0</v>
      </c>
      <c r="B2478" s="29"/>
      <c r="C2478" s="29"/>
      <c r="D2478" s="40">
        <v>1.0</v>
      </c>
      <c r="E2478" s="31">
        <v>47.0</v>
      </c>
      <c r="F2478" s="42">
        <v>9.0</v>
      </c>
      <c r="G2478" s="29" t="str">
        <f t="shared" si="1"/>
        <v>47009</v>
      </c>
      <c r="H2478" s="37" t="s">
        <v>77</v>
      </c>
      <c r="I2478" s="37" t="s">
        <v>111</v>
      </c>
      <c r="J2478" s="37" t="s">
        <v>452</v>
      </c>
      <c r="K2478" s="37" t="str">
        <f t="shared" si="43"/>
        <v>Blount, TN</v>
      </c>
      <c r="L2478" s="24"/>
    </row>
    <row r="2479">
      <c r="A2479" s="28">
        <v>2478.0</v>
      </c>
      <c r="B2479" s="29"/>
      <c r="C2479" s="29"/>
      <c r="D2479" s="40">
        <v>1.0</v>
      </c>
      <c r="E2479" s="31">
        <v>47.0</v>
      </c>
      <c r="F2479" s="42">
        <v>11.0</v>
      </c>
      <c r="G2479" s="29" t="str">
        <f t="shared" si="1"/>
        <v>47011</v>
      </c>
      <c r="H2479" s="37" t="s">
        <v>247</v>
      </c>
      <c r="I2479" s="37" t="s">
        <v>111</v>
      </c>
      <c r="J2479" s="37" t="s">
        <v>452</v>
      </c>
      <c r="K2479" s="37" t="str">
        <f t="shared" si="43"/>
        <v>Bradley, TN</v>
      </c>
      <c r="L2479" s="24"/>
    </row>
    <row r="2480">
      <c r="A2480" s="28">
        <v>2479.0</v>
      </c>
      <c r="B2480" s="29"/>
      <c r="C2480" s="29"/>
      <c r="D2480" s="40">
        <v>1.0</v>
      </c>
      <c r="E2480" s="31">
        <v>47.0</v>
      </c>
      <c r="F2480" s="42">
        <v>13.0</v>
      </c>
      <c r="G2480" s="29" t="str">
        <f t="shared" si="1"/>
        <v>47013</v>
      </c>
      <c r="H2480" s="37" t="s">
        <v>1036</v>
      </c>
      <c r="I2480" s="37" t="s">
        <v>111</v>
      </c>
      <c r="J2480" s="37" t="s">
        <v>452</v>
      </c>
      <c r="K2480" s="37" t="str">
        <f t="shared" si="43"/>
        <v>Campbell, TN</v>
      </c>
      <c r="L2480" s="24"/>
    </row>
    <row r="2481">
      <c r="A2481" s="28">
        <v>2480.0</v>
      </c>
      <c r="B2481" s="29"/>
      <c r="C2481" s="29"/>
      <c r="D2481" s="40">
        <v>1.0</v>
      </c>
      <c r="E2481" s="31">
        <v>47.0</v>
      </c>
      <c r="F2481" s="42">
        <v>15.0</v>
      </c>
      <c r="G2481" s="29" t="str">
        <f t="shared" si="1"/>
        <v>47015</v>
      </c>
      <c r="H2481" s="37" t="s">
        <v>1896</v>
      </c>
      <c r="I2481" s="37" t="s">
        <v>111</v>
      </c>
      <c r="J2481" s="37" t="s">
        <v>452</v>
      </c>
      <c r="K2481" s="37" t="str">
        <f t="shared" si="43"/>
        <v>Cannon, TN</v>
      </c>
      <c r="L2481" s="24"/>
    </row>
    <row r="2482">
      <c r="A2482" s="28">
        <v>2481.0</v>
      </c>
      <c r="B2482" s="29"/>
      <c r="C2482" s="29"/>
      <c r="D2482" s="40">
        <v>1.0</v>
      </c>
      <c r="E2482" s="31">
        <v>47.0</v>
      </c>
      <c r="F2482" s="42">
        <v>17.0</v>
      </c>
      <c r="G2482" s="29" t="str">
        <f t="shared" si="1"/>
        <v>47017</v>
      </c>
      <c r="H2482" s="37" t="s">
        <v>248</v>
      </c>
      <c r="I2482" s="37" t="s">
        <v>111</v>
      </c>
      <c r="J2482" s="37" t="s">
        <v>452</v>
      </c>
      <c r="K2482" s="37" t="str">
        <f t="shared" si="43"/>
        <v>Carroll, TN</v>
      </c>
      <c r="L2482" s="24"/>
    </row>
    <row r="2483">
      <c r="A2483" s="28">
        <v>2482.0</v>
      </c>
      <c r="B2483" s="29"/>
      <c r="C2483" s="29"/>
      <c r="D2483" s="40">
        <v>1.0</v>
      </c>
      <c r="E2483" s="31">
        <v>47.0</v>
      </c>
      <c r="F2483" s="42">
        <v>19.0</v>
      </c>
      <c r="G2483" s="29" t="str">
        <f t="shared" si="1"/>
        <v>47019</v>
      </c>
      <c r="H2483" s="37" t="s">
        <v>1038</v>
      </c>
      <c r="I2483" s="37" t="s">
        <v>111</v>
      </c>
      <c r="J2483" s="37" t="s">
        <v>452</v>
      </c>
      <c r="K2483" s="37" t="str">
        <f t="shared" si="43"/>
        <v>Carter, TN</v>
      </c>
      <c r="L2483" s="24"/>
    </row>
    <row r="2484">
      <c r="A2484" s="28">
        <v>2483.0</v>
      </c>
      <c r="B2484" s="29"/>
      <c r="C2484" s="29"/>
      <c r="D2484" s="40">
        <v>1.0</v>
      </c>
      <c r="E2484" s="31">
        <v>47.0</v>
      </c>
      <c r="F2484" s="42">
        <v>21.0</v>
      </c>
      <c r="G2484" s="29" t="str">
        <f t="shared" si="1"/>
        <v>47021</v>
      </c>
      <c r="H2484" s="37" t="s">
        <v>1898</v>
      </c>
      <c r="I2484" s="37" t="s">
        <v>111</v>
      </c>
      <c r="J2484" s="37" t="s">
        <v>452</v>
      </c>
      <c r="K2484" s="37" t="str">
        <f t="shared" si="43"/>
        <v>Cheatham, TN</v>
      </c>
      <c r="L2484" s="24"/>
    </row>
    <row r="2485">
      <c r="A2485" s="28">
        <v>2484.0</v>
      </c>
      <c r="B2485" s="29"/>
      <c r="C2485" s="29"/>
      <c r="D2485" s="40">
        <v>1.0</v>
      </c>
      <c r="E2485" s="31">
        <v>47.0</v>
      </c>
      <c r="F2485" s="42">
        <v>23.0</v>
      </c>
      <c r="G2485" s="29" t="str">
        <f t="shared" si="1"/>
        <v>47023</v>
      </c>
      <c r="H2485" s="37" t="s">
        <v>1789</v>
      </c>
      <c r="I2485" s="37" t="s">
        <v>111</v>
      </c>
      <c r="J2485" s="37" t="s">
        <v>452</v>
      </c>
      <c r="K2485" s="37" t="str">
        <f t="shared" si="43"/>
        <v>Chester, TN</v>
      </c>
      <c r="L2485" s="24"/>
    </row>
    <row r="2486">
      <c r="A2486" s="28">
        <v>2485.0</v>
      </c>
      <c r="B2486" s="29"/>
      <c r="C2486" s="29"/>
      <c r="D2486" s="40">
        <v>1.0</v>
      </c>
      <c r="E2486" s="31">
        <v>47.0</v>
      </c>
      <c r="F2486" s="42">
        <v>25.0</v>
      </c>
      <c r="G2486" s="29" t="str">
        <f t="shared" si="1"/>
        <v>47025</v>
      </c>
      <c r="H2486" s="37" t="s">
        <v>1151</v>
      </c>
      <c r="I2486" s="37" t="s">
        <v>111</v>
      </c>
      <c r="J2486" s="37" t="s">
        <v>452</v>
      </c>
      <c r="K2486" s="37" t="str">
        <f t="shared" si="43"/>
        <v>Claiborne, TN</v>
      </c>
      <c r="L2486" s="24"/>
    </row>
    <row r="2487">
      <c r="A2487" s="28">
        <v>2486.0</v>
      </c>
      <c r="B2487" s="29"/>
      <c r="C2487" s="29"/>
      <c r="D2487" s="40">
        <v>1.0</v>
      </c>
      <c r="E2487" s="31">
        <v>47.0</v>
      </c>
      <c r="F2487" s="42">
        <v>27.0</v>
      </c>
      <c r="G2487" s="29" t="str">
        <f t="shared" si="1"/>
        <v>47027</v>
      </c>
      <c r="H2487" s="37" t="s">
        <v>112</v>
      </c>
      <c r="I2487" s="37" t="s">
        <v>111</v>
      </c>
      <c r="J2487" s="37" t="s">
        <v>452</v>
      </c>
      <c r="K2487" s="37" t="str">
        <f t="shared" si="43"/>
        <v>Clay, TN</v>
      </c>
      <c r="L2487" s="24"/>
    </row>
    <row r="2488">
      <c r="A2488" s="28">
        <v>2487.0</v>
      </c>
      <c r="B2488" s="29"/>
      <c r="C2488" s="29"/>
      <c r="D2488" s="40">
        <v>1.0</v>
      </c>
      <c r="E2488" s="31">
        <v>47.0</v>
      </c>
      <c r="F2488" s="42">
        <v>29.0</v>
      </c>
      <c r="G2488" s="29" t="str">
        <f t="shared" si="1"/>
        <v>47029</v>
      </c>
      <c r="H2488" s="37" t="s">
        <v>1899</v>
      </c>
      <c r="I2488" s="37" t="s">
        <v>111</v>
      </c>
      <c r="J2488" s="37" t="s">
        <v>452</v>
      </c>
      <c r="K2488" s="37" t="str">
        <f t="shared" si="43"/>
        <v>Cocke, TN</v>
      </c>
      <c r="L2488" s="24"/>
    </row>
    <row r="2489">
      <c r="A2489" s="28">
        <v>2488.0</v>
      </c>
      <c r="B2489" s="29"/>
      <c r="C2489" s="29"/>
      <c r="D2489" s="40">
        <v>1.0</v>
      </c>
      <c r="E2489" s="31">
        <v>47.0</v>
      </c>
      <c r="F2489" s="42">
        <v>31.0</v>
      </c>
      <c r="G2489" s="29" t="str">
        <f t="shared" si="1"/>
        <v>47031</v>
      </c>
      <c r="H2489" s="37" t="s">
        <v>118</v>
      </c>
      <c r="I2489" s="37" t="s">
        <v>111</v>
      </c>
      <c r="J2489" s="37" t="s">
        <v>452</v>
      </c>
      <c r="K2489" s="37" t="str">
        <f t="shared" si="43"/>
        <v>Coffee, TN</v>
      </c>
      <c r="L2489" s="24"/>
    </row>
    <row r="2490">
      <c r="A2490" s="28">
        <v>2489.0</v>
      </c>
      <c r="B2490" s="29"/>
      <c r="C2490" s="29"/>
      <c r="D2490" s="40">
        <v>1.0</v>
      </c>
      <c r="E2490" s="31">
        <v>47.0</v>
      </c>
      <c r="F2490" s="42">
        <v>33.0</v>
      </c>
      <c r="G2490" s="29" t="str">
        <f t="shared" si="1"/>
        <v>47033</v>
      </c>
      <c r="H2490" s="37" t="s">
        <v>1900</v>
      </c>
      <c r="I2490" s="37" t="s">
        <v>111</v>
      </c>
      <c r="J2490" s="37" t="s">
        <v>452</v>
      </c>
      <c r="K2490" s="37" t="str">
        <f t="shared" si="43"/>
        <v>Crockett, TN</v>
      </c>
      <c r="L2490" s="24"/>
    </row>
    <row r="2491">
      <c r="A2491" s="28">
        <v>2490.0</v>
      </c>
      <c r="B2491" s="29"/>
      <c r="C2491" s="29"/>
      <c r="D2491" s="40">
        <v>1.0</v>
      </c>
      <c r="E2491" s="31">
        <v>47.0</v>
      </c>
      <c r="F2491" s="42">
        <v>35.0</v>
      </c>
      <c r="G2491" s="29" t="str">
        <f t="shared" si="1"/>
        <v>47035</v>
      </c>
      <c r="H2491" s="37" t="s">
        <v>713</v>
      </c>
      <c r="I2491" s="37" t="s">
        <v>111</v>
      </c>
      <c r="J2491" s="37" t="s">
        <v>452</v>
      </c>
      <c r="K2491" s="37" t="str">
        <f t="shared" si="43"/>
        <v>Cumberland, TN</v>
      </c>
      <c r="L2491" s="24"/>
    </row>
    <row r="2492">
      <c r="A2492" s="28">
        <v>2491.0</v>
      </c>
      <c r="B2492" s="29"/>
      <c r="C2492" s="29"/>
      <c r="D2492" s="40">
        <v>1.0</v>
      </c>
      <c r="E2492" s="31">
        <v>47.0</v>
      </c>
      <c r="F2492" s="42">
        <v>37.0</v>
      </c>
      <c r="G2492" s="29" t="str">
        <f t="shared" si="1"/>
        <v>47037</v>
      </c>
      <c r="H2492" s="37" t="s">
        <v>570</v>
      </c>
      <c r="I2492" s="37" t="s">
        <v>111</v>
      </c>
      <c r="J2492" s="37" t="s">
        <v>452</v>
      </c>
      <c r="K2492" s="37" t="str">
        <f t="shared" si="43"/>
        <v>Davidson, TN</v>
      </c>
      <c r="L2492" s="24"/>
    </row>
    <row r="2493">
      <c r="A2493" s="28">
        <v>2492.0</v>
      </c>
      <c r="B2493" s="29"/>
      <c r="C2493" s="29"/>
      <c r="D2493" s="40">
        <v>1.0</v>
      </c>
      <c r="E2493" s="31">
        <v>47.0</v>
      </c>
      <c r="F2493" s="42">
        <v>39.0</v>
      </c>
      <c r="G2493" s="29" t="str">
        <f t="shared" si="1"/>
        <v>47039</v>
      </c>
      <c r="H2493" s="37" t="s">
        <v>563</v>
      </c>
      <c r="I2493" s="37" t="s">
        <v>111</v>
      </c>
      <c r="J2493" s="37" t="s">
        <v>452</v>
      </c>
      <c r="K2493" s="37" t="str">
        <f t="shared" si="43"/>
        <v>Decatur, TN</v>
      </c>
      <c r="L2493" s="24"/>
    </row>
    <row r="2494">
      <c r="A2494" s="28">
        <v>2493.0</v>
      </c>
      <c r="B2494" s="29"/>
      <c r="C2494" s="29"/>
      <c r="D2494" s="40">
        <v>1.0</v>
      </c>
      <c r="E2494" s="31">
        <v>47.0</v>
      </c>
      <c r="F2494" s="42">
        <v>41.0</v>
      </c>
      <c r="G2494" s="29" t="str">
        <f t="shared" si="1"/>
        <v>47041</v>
      </c>
      <c r="H2494" s="37" t="s">
        <v>1401</v>
      </c>
      <c r="I2494" s="37" t="s">
        <v>111</v>
      </c>
      <c r="J2494" s="37" t="s">
        <v>452</v>
      </c>
      <c r="K2494" s="37" t="str">
        <f t="shared" si="43"/>
        <v>Dekalb, TN</v>
      </c>
      <c r="L2494" s="24"/>
    </row>
    <row r="2495">
      <c r="A2495" s="28">
        <v>2494.0</v>
      </c>
      <c r="B2495" s="29"/>
      <c r="C2495" s="29"/>
      <c r="D2495" s="40">
        <v>1.0</v>
      </c>
      <c r="E2495" s="31">
        <v>47.0</v>
      </c>
      <c r="F2495" s="42">
        <v>43.0</v>
      </c>
      <c r="G2495" s="29" t="str">
        <f t="shared" si="1"/>
        <v>47043</v>
      </c>
      <c r="H2495" s="37" t="s">
        <v>1902</v>
      </c>
      <c r="I2495" s="37" t="s">
        <v>111</v>
      </c>
      <c r="J2495" s="37" t="s">
        <v>452</v>
      </c>
      <c r="K2495" s="37" t="str">
        <f t="shared" si="43"/>
        <v>Dickson, TN</v>
      </c>
      <c r="L2495" s="24"/>
    </row>
    <row r="2496">
      <c r="A2496" s="28">
        <v>2495.0</v>
      </c>
      <c r="B2496" s="29"/>
      <c r="C2496" s="29"/>
      <c r="D2496" s="40">
        <v>1.0</v>
      </c>
      <c r="E2496" s="31">
        <v>47.0</v>
      </c>
      <c r="F2496" s="42">
        <v>45.0</v>
      </c>
      <c r="G2496" s="29" t="str">
        <f t="shared" si="1"/>
        <v>47045</v>
      </c>
      <c r="H2496" s="37" t="s">
        <v>1903</v>
      </c>
      <c r="I2496" s="37" t="s">
        <v>111</v>
      </c>
      <c r="J2496" s="37" t="s">
        <v>452</v>
      </c>
      <c r="K2496" s="37" t="str">
        <f t="shared" si="43"/>
        <v>Dyer, TN</v>
      </c>
      <c r="L2496" s="24"/>
    </row>
    <row r="2497">
      <c r="A2497" s="28">
        <v>2496.0</v>
      </c>
      <c r="B2497" s="29"/>
      <c r="C2497" s="29"/>
      <c r="D2497" s="40">
        <v>1.0</v>
      </c>
      <c r="E2497" s="31">
        <v>47.0</v>
      </c>
      <c r="F2497" s="42">
        <v>47.0</v>
      </c>
      <c r="G2497" s="29" t="str">
        <f t="shared" si="1"/>
        <v>47047</v>
      </c>
      <c r="H2497" s="37" t="s">
        <v>135</v>
      </c>
      <c r="I2497" s="37" t="s">
        <v>111</v>
      </c>
      <c r="J2497" s="37" t="s">
        <v>452</v>
      </c>
      <c r="K2497" s="37" t="str">
        <f t="shared" si="43"/>
        <v>Fayette, TN</v>
      </c>
      <c r="L2497" s="24"/>
    </row>
    <row r="2498">
      <c r="A2498" s="28">
        <v>2497.0</v>
      </c>
      <c r="B2498" s="29"/>
      <c r="C2498" s="29"/>
      <c r="D2498" s="40">
        <v>1.0</v>
      </c>
      <c r="E2498" s="31">
        <v>47.0</v>
      </c>
      <c r="F2498" s="42">
        <v>49.0</v>
      </c>
      <c r="G2498" s="29" t="str">
        <f t="shared" si="1"/>
        <v>47049</v>
      </c>
      <c r="H2498" s="37" t="s">
        <v>1905</v>
      </c>
      <c r="I2498" s="37" t="s">
        <v>111</v>
      </c>
      <c r="J2498" s="37" t="s">
        <v>452</v>
      </c>
      <c r="K2498" s="37" t="str">
        <f t="shared" si="43"/>
        <v>Fentress, TN</v>
      </c>
      <c r="L2498" s="24"/>
    </row>
    <row r="2499">
      <c r="A2499" s="28">
        <v>2498.0</v>
      </c>
      <c r="B2499" s="29"/>
      <c r="C2499" s="29"/>
      <c r="D2499" s="40">
        <v>1.0</v>
      </c>
      <c r="E2499" s="31">
        <v>47.0</v>
      </c>
      <c r="F2499" s="42">
        <v>51.0</v>
      </c>
      <c r="G2499" s="29" t="str">
        <f t="shared" si="1"/>
        <v>47051</v>
      </c>
      <c r="H2499" s="37" t="s">
        <v>136</v>
      </c>
      <c r="I2499" s="37" t="s">
        <v>111</v>
      </c>
      <c r="J2499" s="37" t="s">
        <v>452</v>
      </c>
      <c r="K2499" s="37" t="str">
        <f t="shared" si="43"/>
        <v>Franklin, TN</v>
      </c>
      <c r="L2499" s="24"/>
    </row>
    <row r="2500">
      <c r="A2500" s="28">
        <v>2499.0</v>
      </c>
      <c r="B2500" s="29"/>
      <c r="C2500" s="29"/>
      <c r="D2500" s="40">
        <v>1.0</v>
      </c>
      <c r="E2500" s="31">
        <v>47.0</v>
      </c>
      <c r="F2500" s="42">
        <v>53.0</v>
      </c>
      <c r="G2500" s="29" t="str">
        <f t="shared" si="1"/>
        <v>47053</v>
      </c>
      <c r="H2500" s="37" t="s">
        <v>763</v>
      </c>
      <c r="I2500" s="37" t="s">
        <v>111</v>
      </c>
      <c r="J2500" s="37" t="s">
        <v>452</v>
      </c>
      <c r="K2500" s="37" t="str">
        <f t="shared" si="43"/>
        <v>Gibson, TN</v>
      </c>
      <c r="L2500" s="24"/>
    </row>
    <row r="2501">
      <c r="A2501" s="28">
        <v>2500.0</v>
      </c>
      <c r="B2501" s="29"/>
      <c r="C2501" s="29"/>
      <c r="D2501" s="40">
        <v>1.0</v>
      </c>
      <c r="E2501" s="31">
        <v>47.0</v>
      </c>
      <c r="F2501" s="42">
        <v>55.0</v>
      </c>
      <c r="G2501" s="29" t="str">
        <f t="shared" si="1"/>
        <v>47055</v>
      </c>
      <c r="H2501" s="37" t="s">
        <v>1907</v>
      </c>
      <c r="I2501" s="37" t="s">
        <v>111</v>
      </c>
      <c r="J2501" s="37" t="s">
        <v>452</v>
      </c>
      <c r="K2501" s="37" t="str">
        <f t="shared" si="43"/>
        <v>Giles, TN</v>
      </c>
      <c r="L2501" s="24"/>
    </row>
    <row r="2502">
      <c r="A2502" s="28">
        <v>2501.0</v>
      </c>
      <c r="B2502" s="29"/>
      <c r="C2502" s="29"/>
      <c r="D2502" s="40">
        <v>1.0</v>
      </c>
      <c r="E2502" s="31">
        <v>47.0</v>
      </c>
      <c r="F2502" s="42">
        <v>57.0</v>
      </c>
      <c r="G2502" s="29" t="str">
        <f t="shared" si="1"/>
        <v>47057</v>
      </c>
      <c r="H2502" s="37" t="s">
        <v>1908</v>
      </c>
      <c r="I2502" s="37" t="s">
        <v>111</v>
      </c>
      <c r="J2502" s="37" t="s">
        <v>452</v>
      </c>
      <c r="K2502" s="37" t="str">
        <f t="shared" si="43"/>
        <v>Grainger, TN</v>
      </c>
      <c r="L2502" s="24"/>
    </row>
    <row r="2503">
      <c r="A2503" s="28">
        <v>2502.0</v>
      </c>
      <c r="B2503" s="29"/>
      <c r="C2503" s="29"/>
      <c r="D2503" s="40">
        <v>1.0</v>
      </c>
      <c r="E2503" s="31">
        <v>47.0</v>
      </c>
      <c r="F2503" s="42">
        <v>59.0</v>
      </c>
      <c r="G2503" s="29" t="str">
        <f t="shared" si="1"/>
        <v>47059</v>
      </c>
      <c r="H2503" s="37" t="s">
        <v>138</v>
      </c>
      <c r="I2503" s="37" t="s">
        <v>111</v>
      </c>
      <c r="J2503" s="37" t="s">
        <v>452</v>
      </c>
      <c r="K2503" s="37" t="str">
        <f t="shared" si="43"/>
        <v>Greene, TN</v>
      </c>
      <c r="L2503" s="24"/>
    </row>
    <row r="2504">
      <c r="A2504" s="28">
        <v>2503.0</v>
      </c>
      <c r="B2504" s="29"/>
      <c r="C2504" s="29"/>
      <c r="D2504" s="40">
        <v>1.0</v>
      </c>
      <c r="E2504" s="31">
        <v>47.0</v>
      </c>
      <c r="F2504" s="42">
        <v>61.0</v>
      </c>
      <c r="G2504" s="29" t="str">
        <f t="shared" si="1"/>
        <v>47061</v>
      </c>
      <c r="H2504" s="37" t="s">
        <v>720</v>
      </c>
      <c r="I2504" s="37" t="s">
        <v>111</v>
      </c>
      <c r="J2504" s="37" t="s">
        <v>452</v>
      </c>
      <c r="K2504" s="37" t="str">
        <f t="shared" si="43"/>
        <v>Grundy, TN</v>
      </c>
      <c r="L2504" s="24"/>
    </row>
    <row r="2505">
      <c r="A2505" s="28">
        <v>2504.0</v>
      </c>
      <c r="B2505" s="29"/>
      <c r="C2505" s="29"/>
      <c r="D2505" s="40">
        <v>1.0</v>
      </c>
      <c r="E2505" s="31">
        <v>47.0</v>
      </c>
      <c r="F2505" s="42">
        <v>63.0</v>
      </c>
      <c r="G2505" s="29" t="str">
        <f t="shared" si="1"/>
        <v>47063</v>
      </c>
      <c r="H2505" s="37" t="s">
        <v>1911</v>
      </c>
      <c r="I2505" s="37" t="s">
        <v>111</v>
      </c>
      <c r="J2505" s="37" t="s">
        <v>452</v>
      </c>
      <c r="K2505" s="37" t="str">
        <f t="shared" si="43"/>
        <v>Hamblen, TN</v>
      </c>
      <c r="L2505" s="24"/>
    </row>
    <row r="2506">
      <c r="A2506" s="28">
        <v>2505.0</v>
      </c>
      <c r="B2506" s="29"/>
      <c r="C2506" s="29"/>
      <c r="D2506" s="40">
        <v>1.0</v>
      </c>
      <c r="E2506" s="31">
        <v>47.0</v>
      </c>
      <c r="F2506" s="42">
        <v>65.0</v>
      </c>
      <c r="G2506" s="29" t="str">
        <f t="shared" si="1"/>
        <v>47065</v>
      </c>
      <c r="H2506" s="37" t="s">
        <v>497</v>
      </c>
      <c r="I2506" s="37" t="s">
        <v>111</v>
      </c>
      <c r="J2506" s="37" t="s">
        <v>452</v>
      </c>
      <c r="K2506" s="37" t="str">
        <f t="shared" si="43"/>
        <v>Hamilton, TN</v>
      </c>
      <c r="L2506" s="24"/>
    </row>
    <row r="2507">
      <c r="A2507" s="28">
        <v>2506.0</v>
      </c>
      <c r="B2507" s="29"/>
      <c r="C2507" s="29"/>
      <c r="D2507" s="40">
        <v>1.0</v>
      </c>
      <c r="E2507" s="31">
        <v>47.0</v>
      </c>
      <c r="F2507" s="42">
        <v>67.0</v>
      </c>
      <c r="G2507" s="29" t="str">
        <f t="shared" si="1"/>
        <v>47067</v>
      </c>
      <c r="H2507" s="37" t="s">
        <v>587</v>
      </c>
      <c r="I2507" s="37" t="s">
        <v>111</v>
      </c>
      <c r="J2507" s="37" t="s">
        <v>452</v>
      </c>
      <c r="K2507" s="37" t="str">
        <f t="shared" si="43"/>
        <v>Hancock, TN</v>
      </c>
      <c r="L2507" s="24"/>
    </row>
    <row r="2508">
      <c r="A2508" s="28">
        <v>2507.0</v>
      </c>
      <c r="B2508" s="29"/>
      <c r="C2508" s="29"/>
      <c r="D2508" s="40">
        <v>1.0</v>
      </c>
      <c r="E2508" s="31">
        <v>47.0</v>
      </c>
      <c r="F2508" s="42">
        <v>69.0</v>
      </c>
      <c r="G2508" s="29" t="str">
        <f t="shared" si="1"/>
        <v>47069</v>
      </c>
      <c r="H2508" s="37" t="s">
        <v>1915</v>
      </c>
      <c r="I2508" s="37" t="s">
        <v>111</v>
      </c>
      <c r="J2508" s="37" t="s">
        <v>452</v>
      </c>
      <c r="K2508" s="37" t="str">
        <f t="shared" si="43"/>
        <v>Hardeman, TN</v>
      </c>
      <c r="L2508" s="24"/>
    </row>
    <row r="2509">
      <c r="A2509" s="28">
        <v>2508.0</v>
      </c>
      <c r="B2509" s="29"/>
      <c r="C2509" s="29"/>
      <c r="D2509" s="40">
        <v>1.0</v>
      </c>
      <c r="E2509" s="31">
        <v>47.0</v>
      </c>
      <c r="F2509" s="42">
        <v>71.0</v>
      </c>
      <c r="G2509" s="29" t="str">
        <f t="shared" si="1"/>
        <v>47071</v>
      </c>
      <c r="H2509" s="37" t="s">
        <v>721</v>
      </c>
      <c r="I2509" s="37" t="s">
        <v>111</v>
      </c>
      <c r="J2509" s="37" t="s">
        <v>452</v>
      </c>
      <c r="K2509" s="37" t="str">
        <f t="shared" si="43"/>
        <v>Hardin, TN</v>
      </c>
      <c r="L2509" s="24"/>
    </row>
    <row r="2510">
      <c r="A2510" s="28">
        <v>2509.0</v>
      </c>
      <c r="B2510" s="29"/>
      <c r="C2510" s="29"/>
      <c r="D2510" s="40">
        <v>1.0</v>
      </c>
      <c r="E2510" s="31">
        <v>47.0</v>
      </c>
      <c r="F2510" s="42">
        <v>73.0</v>
      </c>
      <c r="G2510" s="29" t="str">
        <f t="shared" si="1"/>
        <v>47073</v>
      </c>
      <c r="H2510" s="37" t="s">
        <v>1917</v>
      </c>
      <c r="I2510" s="37" t="s">
        <v>111</v>
      </c>
      <c r="J2510" s="37" t="s">
        <v>452</v>
      </c>
      <c r="K2510" s="37" t="str">
        <f t="shared" si="43"/>
        <v>Hawkins, TN</v>
      </c>
      <c r="L2510" s="24"/>
    </row>
    <row r="2511">
      <c r="A2511" s="28">
        <v>2510.0</v>
      </c>
      <c r="B2511" s="29"/>
      <c r="C2511" s="29"/>
      <c r="D2511" s="40">
        <v>1.0</v>
      </c>
      <c r="E2511" s="31">
        <v>47.0</v>
      </c>
      <c r="F2511" s="42">
        <v>75.0</v>
      </c>
      <c r="G2511" s="29" t="str">
        <f t="shared" si="1"/>
        <v>47075</v>
      </c>
      <c r="H2511" s="37" t="s">
        <v>1607</v>
      </c>
      <c r="I2511" s="37" t="s">
        <v>111</v>
      </c>
      <c r="J2511" s="37" t="s">
        <v>452</v>
      </c>
      <c r="K2511" s="37" t="str">
        <f t="shared" si="43"/>
        <v>Haywood, TN</v>
      </c>
      <c r="L2511" s="24"/>
    </row>
    <row r="2512">
      <c r="A2512" s="28">
        <v>2511.0</v>
      </c>
      <c r="B2512" s="29"/>
      <c r="C2512" s="29"/>
      <c r="D2512" s="40">
        <v>1.0</v>
      </c>
      <c r="E2512" s="31">
        <v>47.0</v>
      </c>
      <c r="F2512" s="42">
        <v>77.0</v>
      </c>
      <c r="G2512" s="29" t="str">
        <f t="shared" si="1"/>
        <v>47077</v>
      </c>
      <c r="H2512" s="37" t="s">
        <v>722</v>
      </c>
      <c r="I2512" s="37" t="s">
        <v>111</v>
      </c>
      <c r="J2512" s="37" t="s">
        <v>452</v>
      </c>
      <c r="K2512" s="37" t="str">
        <f t="shared" si="43"/>
        <v>Henderson, TN</v>
      </c>
      <c r="L2512" s="24"/>
    </row>
    <row r="2513">
      <c r="A2513" s="28">
        <v>2512.0</v>
      </c>
      <c r="B2513" s="29"/>
      <c r="C2513" s="29"/>
      <c r="D2513" s="40">
        <v>1.0</v>
      </c>
      <c r="E2513" s="31">
        <v>47.0</v>
      </c>
      <c r="F2513" s="42">
        <v>79.0</v>
      </c>
      <c r="G2513" s="29" t="str">
        <f t="shared" si="1"/>
        <v>47079</v>
      </c>
      <c r="H2513" s="37" t="s">
        <v>140</v>
      </c>
      <c r="I2513" s="37" t="s">
        <v>111</v>
      </c>
      <c r="J2513" s="37" t="s">
        <v>452</v>
      </c>
      <c r="K2513" s="37" t="str">
        <f t="shared" si="43"/>
        <v>Henry, TN</v>
      </c>
      <c r="L2513" s="24"/>
    </row>
    <row r="2514">
      <c r="A2514" s="28">
        <v>2513.0</v>
      </c>
      <c r="B2514" s="29"/>
      <c r="C2514" s="29"/>
      <c r="D2514" s="40">
        <v>1.0</v>
      </c>
      <c r="E2514" s="31">
        <v>47.0</v>
      </c>
      <c r="F2514" s="42">
        <v>81.0</v>
      </c>
      <c r="G2514" s="29" t="str">
        <f t="shared" si="1"/>
        <v>47081</v>
      </c>
      <c r="H2514" s="37" t="s">
        <v>1097</v>
      </c>
      <c r="I2514" s="37" t="s">
        <v>111</v>
      </c>
      <c r="J2514" s="37" t="s">
        <v>452</v>
      </c>
      <c r="K2514" s="37" t="str">
        <f t="shared" si="43"/>
        <v>Hickman, TN</v>
      </c>
      <c r="L2514" s="24"/>
    </row>
    <row r="2515">
      <c r="A2515" s="28">
        <v>2514.0</v>
      </c>
      <c r="B2515" s="29"/>
      <c r="C2515" s="29"/>
      <c r="D2515" s="40">
        <v>1.0</v>
      </c>
      <c r="E2515" s="31">
        <v>47.0</v>
      </c>
      <c r="F2515" s="42">
        <v>83.0</v>
      </c>
      <c r="G2515" s="29" t="str">
        <f t="shared" si="1"/>
        <v>47083</v>
      </c>
      <c r="H2515" s="37" t="s">
        <v>141</v>
      </c>
      <c r="I2515" s="37" t="s">
        <v>111</v>
      </c>
      <c r="J2515" s="37" t="s">
        <v>452</v>
      </c>
      <c r="K2515" s="37" t="str">
        <f t="shared" si="43"/>
        <v>Houston, TN</v>
      </c>
      <c r="L2515" s="24"/>
    </row>
    <row r="2516">
      <c r="A2516" s="28">
        <v>2515.0</v>
      </c>
      <c r="B2516" s="29"/>
      <c r="C2516" s="29"/>
      <c r="D2516" s="40">
        <v>1.0</v>
      </c>
      <c r="E2516" s="31">
        <v>47.0</v>
      </c>
      <c r="F2516" s="42">
        <v>85.0</v>
      </c>
      <c r="G2516" s="29" t="str">
        <f t="shared" si="1"/>
        <v>47085</v>
      </c>
      <c r="H2516" s="37" t="s">
        <v>1368</v>
      </c>
      <c r="I2516" s="37" t="s">
        <v>111</v>
      </c>
      <c r="J2516" s="37" t="s">
        <v>452</v>
      </c>
      <c r="K2516" s="37" t="str">
        <f t="shared" si="43"/>
        <v>Humphreys, TN</v>
      </c>
      <c r="L2516" s="24"/>
    </row>
    <row r="2517">
      <c r="A2517" s="28">
        <v>2516.0</v>
      </c>
      <c r="B2517" s="29"/>
      <c r="C2517" s="29"/>
      <c r="D2517" s="40">
        <v>1.0</v>
      </c>
      <c r="E2517" s="31">
        <v>47.0</v>
      </c>
      <c r="F2517" s="42">
        <v>87.0</v>
      </c>
      <c r="G2517" s="29" t="str">
        <f t="shared" si="1"/>
        <v>47087</v>
      </c>
      <c r="H2517" s="37" t="s">
        <v>142</v>
      </c>
      <c r="I2517" s="37" t="s">
        <v>111</v>
      </c>
      <c r="J2517" s="37" t="s">
        <v>452</v>
      </c>
      <c r="K2517" s="37" t="str">
        <f t="shared" si="43"/>
        <v>Jackson, TN</v>
      </c>
      <c r="L2517" s="24"/>
    </row>
    <row r="2518">
      <c r="A2518" s="28">
        <v>2517.0</v>
      </c>
      <c r="B2518" s="29"/>
      <c r="C2518" s="29"/>
      <c r="D2518" s="40">
        <v>1.0</v>
      </c>
      <c r="E2518" s="31">
        <v>47.0</v>
      </c>
      <c r="F2518" s="42">
        <v>89.0</v>
      </c>
      <c r="G2518" s="29" t="str">
        <f t="shared" si="1"/>
        <v>47089</v>
      </c>
      <c r="H2518" s="37" t="s">
        <v>143</v>
      </c>
      <c r="I2518" s="37" t="s">
        <v>111</v>
      </c>
      <c r="J2518" s="37" t="s">
        <v>452</v>
      </c>
      <c r="K2518" s="37" t="str">
        <f t="shared" si="43"/>
        <v>Jefferson, TN</v>
      </c>
      <c r="L2518" s="24"/>
    </row>
    <row r="2519">
      <c r="A2519" s="28">
        <v>2518.0</v>
      </c>
      <c r="B2519" s="29"/>
      <c r="C2519" s="29"/>
      <c r="D2519" s="40">
        <v>1.0</v>
      </c>
      <c r="E2519" s="31">
        <v>47.0</v>
      </c>
      <c r="F2519" s="42">
        <v>91.0</v>
      </c>
      <c r="G2519" s="29" t="str">
        <f t="shared" si="1"/>
        <v>47091</v>
      </c>
      <c r="H2519" s="37" t="s">
        <v>288</v>
      </c>
      <c r="I2519" s="37" t="s">
        <v>111</v>
      </c>
      <c r="J2519" s="37" t="s">
        <v>452</v>
      </c>
      <c r="K2519" s="37" t="str">
        <f t="shared" si="43"/>
        <v>Johnson, TN</v>
      </c>
      <c r="L2519" s="24"/>
    </row>
    <row r="2520">
      <c r="A2520" s="28">
        <v>2519.0</v>
      </c>
      <c r="B2520" s="29"/>
      <c r="C2520" s="29"/>
      <c r="D2520" s="40">
        <v>1.0</v>
      </c>
      <c r="E2520" s="31">
        <v>47.0</v>
      </c>
      <c r="F2520" s="42">
        <v>93.0</v>
      </c>
      <c r="G2520" s="29" t="str">
        <f t="shared" si="1"/>
        <v>47093</v>
      </c>
      <c r="H2520" s="37" t="s">
        <v>728</v>
      </c>
      <c r="I2520" s="37" t="s">
        <v>111</v>
      </c>
      <c r="J2520" s="37" t="s">
        <v>452</v>
      </c>
      <c r="K2520" s="37" t="str">
        <f t="shared" si="43"/>
        <v>Knox, TN</v>
      </c>
      <c r="L2520" s="24"/>
    </row>
    <row r="2521">
      <c r="A2521" s="28">
        <v>2520.0</v>
      </c>
      <c r="B2521" s="29"/>
      <c r="C2521" s="29"/>
      <c r="D2521" s="40">
        <v>1.0</v>
      </c>
      <c r="E2521" s="31">
        <v>47.0</v>
      </c>
      <c r="F2521" s="42">
        <v>95.0</v>
      </c>
      <c r="G2521" s="29" t="str">
        <f t="shared" si="1"/>
        <v>47095</v>
      </c>
      <c r="H2521" s="37" t="s">
        <v>337</v>
      </c>
      <c r="I2521" s="37" t="s">
        <v>111</v>
      </c>
      <c r="J2521" s="37" t="s">
        <v>452</v>
      </c>
      <c r="K2521" s="37" t="str">
        <f t="shared" si="43"/>
        <v>Lake, TN</v>
      </c>
      <c r="L2521" s="24"/>
    </row>
    <row r="2522">
      <c r="A2522" s="28">
        <v>2521.0</v>
      </c>
      <c r="B2522" s="29"/>
      <c r="C2522" s="29"/>
      <c r="D2522" s="40">
        <v>1.0</v>
      </c>
      <c r="E2522" s="31">
        <v>47.0</v>
      </c>
      <c r="F2522" s="42">
        <v>97.0</v>
      </c>
      <c r="G2522" s="29" t="str">
        <f t="shared" si="1"/>
        <v>47097</v>
      </c>
      <c r="H2522" s="37" t="s">
        <v>145</v>
      </c>
      <c r="I2522" s="37" t="s">
        <v>111</v>
      </c>
      <c r="J2522" s="37" t="s">
        <v>452</v>
      </c>
      <c r="K2522" s="37" t="str">
        <f t="shared" si="43"/>
        <v>Lauderdale, TN</v>
      </c>
      <c r="L2522" s="24"/>
    </row>
    <row r="2523">
      <c r="A2523" s="28">
        <v>2522.0</v>
      </c>
      <c r="B2523" s="29"/>
      <c r="C2523" s="29"/>
      <c r="D2523" s="40">
        <v>1.0</v>
      </c>
      <c r="E2523" s="31">
        <v>47.0</v>
      </c>
      <c r="F2523" s="42">
        <v>99.0</v>
      </c>
      <c r="G2523" s="29" t="str">
        <f t="shared" si="1"/>
        <v>47099</v>
      </c>
      <c r="H2523" s="37" t="s">
        <v>146</v>
      </c>
      <c r="I2523" s="37" t="s">
        <v>111</v>
      </c>
      <c r="J2523" s="37" t="s">
        <v>452</v>
      </c>
      <c r="K2523" s="37" t="str">
        <f t="shared" si="43"/>
        <v>Lawrence, TN</v>
      </c>
      <c r="L2523" s="24"/>
    </row>
    <row r="2524">
      <c r="A2524" s="28">
        <v>2523.0</v>
      </c>
      <c r="B2524" s="29"/>
      <c r="C2524" s="29"/>
      <c r="D2524" s="40">
        <v>1.0</v>
      </c>
      <c r="E2524" s="31">
        <v>47.0</v>
      </c>
      <c r="F2524" s="42">
        <v>101.0</v>
      </c>
      <c r="G2524" s="29" t="str">
        <f t="shared" si="1"/>
        <v>47101</v>
      </c>
      <c r="H2524" s="37" t="s">
        <v>682</v>
      </c>
      <c r="I2524" s="37" t="s">
        <v>111</v>
      </c>
      <c r="J2524" s="37" t="s">
        <v>452</v>
      </c>
      <c r="K2524" s="37" t="str">
        <f t="shared" si="43"/>
        <v>Lewis, TN</v>
      </c>
      <c r="L2524" s="24"/>
    </row>
    <row r="2525">
      <c r="A2525" s="28">
        <v>2524.0</v>
      </c>
      <c r="B2525" s="29"/>
      <c r="C2525" s="29"/>
      <c r="D2525" s="40">
        <v>1.0</v>
      </c>
      <c r="E2525" s="31">
        <v>47.0</v>
      </c>
      <c r="F2525" s="42">
        <v>103.0</v>
      </c>
      <c r="G2525" s="29" t="str">
        <f t="shared" si="1"/>
        <v>47103</v>
      </c>
      <c r="H2525" s="37" t="s">
        <v>290</v>
      </c>
      <c r="I2525" s="37" t="s">
        <v>111</v>
      </c>
      <c r="J2525" s="37" t="s">
        <v>452</v>
      </c>
      <c r="K2525" s="37" t="str">
        <f t="shared" si="43"/>
        <v>Lincoln, TN</v>
      </c>
      <c r="L2525" s="24"/>
    </row>
    <row r="2526">
      <c r="A2526" s="28">
        <v>2525.0</v>
      </c>
      <c r="B2526" s="29"/>
      <c r="C2526" s="29"/>
      <c r="D2526" s="40">
        <v>1.0</v>
      </c>
      <c r="E2526" s="31">
        <v>47.0</v>
      </c>
      <c r="F2526" s="42">
        <v>105.0</v>
      </c>
      <c r="G2526" s="29" t="str">
        <f t="shared" si="1"/>
        <v>47105</v>
      </c>
      <c r="H2526" s="37" t="s">
        <v>1930</v>
      </c>
      <c r="I2526" s="37" t="s">
        <v>111</v>
      </c>
      <c r="J2526" s="37" t="s">
        <v>452</v>
      </c>
      <c r="K2526" s="37" t="str">
        <f t="shared" si="43"/>
        <v>Loudon, TN</v>
      </c>
      <c r="L2526" s="24"/>
    </row>
    <row r="2527">
      <c r="A2527" s="28">
        <v>2526.0</v>
      </c>
      <c r="B2527" s="29"/>
      <c r="C2527" s="29"/>
      <c r="D2527" s="40">
        <v>1.0</v>
      </c>
      <c r="E2527" s="31">
        <v>47.0</v>
      </c>
      <c r="F2527" s="42">
        <v>107.0</v>
      </c>
      <c r="G2527" s="29" t="str">
        <f t="shared" si="1"/>
        <v>47107</v>
      </c>
      <c r="H2527" s="37" t="s">
        <v>1933</v>
      </c>
      <c r="I2527" s="37" t="s">
        <v>111</v>
      </c>
      <c r="J2527" s="37" t="s">
        <v>452</v>
      </c>
      <c r="K2527" s="37" t="str">
        <f t="shared" si="43"/>
        <v>McMinn, TN</v>
      </c>
      <c r="L2527" s="24"/>
    </row>
    <row r="2528">
      <c r="A2528" s="28">
        <v>2527.0</v>
      </c>
      <c r="B2528" s="29"/>
      <c r="C2528" s="29"/>
      <c r="D2528" s="40">
        <v>1.0</v>
      </c>
      <c r="E2528" s="31">
        <v>47.0</v>
      </c>
      <c r="F2528" s="42">
        <v>109.0</v>
      </c>
      <c r="G2528" s="29" t="str">
        <f t="shared" si="1"/>
        <v>47109</v>
      </c>
      <c r="H2528" s="37" t="s">
        <v>1935</v>
      </c>
      <c r="I2528" s="37" t="s">
        <v>111</v>
      </c>
      <c r="J2528" s="37" t="s">
        <v>452</v>
      </c>
      <c r="K2528" s="37" t="str">
        <f t="shared" si="43"/>
        <v>McNairy, TN</v>
      </c>
      <c r="L2528" s="24"/>
    </row>
    <row r="2529">
      <c r="A2529" s="28">
        <v>2528.0</v>
      </c>
      <c r="B2529" s="29"/>
      <c r="C2529" s="29"/>
      <c r="D2529" s="40">
        <v>1.0</v>
      </c>
      <c r="E2529" s="31">
        <v>47.0</v>
      </c>
      <c r="F2529" s="42">
        <v>111.0</v>
      </c>
      <c r="G2529" s="29" t="str">
        <f t="shared" si="1"/>
        <v>47111</v>
      </c>
      <c r="H2529" s="37" t="s">
        <v>150</v>
      </c>
      <c r="I2529" s="37" t="s">
        <v>111</v>
      </c>
      <c r="J2529" s="37" t="s">
        <v>452</v>
      </c>
      <c r="K2529" s="37" t="str">
        <f t="shared" si="43"/>
        <v>Macon, TN</v>
      </c>
      <c r="L2529" s="24"/>
    </row>
    <row r="2530">
      <c r="A2530" s="28">
        <v>2529.0</v>
      </c>
      <c r="B2530" s="29"/>
      <c r="C2530" s="29"/>
      <c r="D2530" s="40">
        <v>1.0</v>
      </c>
      <c r="E2530" s="31">
        <v>47.0</v>
      </c>
      <c r="F2530" s="42">
        <v>113.0</v>
      </c>
      <c r="G2530" s="29" t="str">
        <f t="shared" si="1"/>
        <v>47113</v>
      </c>
      <c r="H2530" s="37" t="s">
        <v>151</v>
      </c>
      <c r="I2530" s="37" t="s">
        <v>111</v>
      </c>
      <c r="J2530" s="37" t="s">
        <v>452</v>
      </c>
      <c r="K2530" s="37" t="str">
        <f t="shared" si="43"/>
        <v>Madison, TN</v>
      </c>
      <c r="L2530" s="24"/>
    </row>
    <row r="2531">
      <c r="A2531" s="28">
        <v>2530.0</v>
      </c>
      <c r="B2531" s="29"/>
      <c r="C2531" s="29"/>
      <c r="D2531" s="40">
        <v>1.0</v>
      </c>
      <c r="E2531" s="31">
        <v>47.0</v>
      </c>
      <c r="F2531" s="42">
        <v>115.0</v>
      </c>
      <c r="G2531" s="29" t="str">
        <f t="shared" si="1"/>
        <v>47115</v>
      </c>
      <c r="H2531" s="37" t="s">
        <v>153</v>
      </c>
      <c r="I2531" s="37" t="s">
        <v>111</v>
      </c>
      <c r="J2531" s="37" t="s">
        <v>452</v>
      </c>
      <c r="K2531" s="37" t="str">
        <f t="shared" si="43"/>
        <v>Marion, TN</v>
      </c>
      <c r="L2531" s="24"/>
    </row>
    <row r="2532">
      <c r="A2532" s="28">
        <v>2531.0</v>
      </c>
      <c r="B2532" s="29"/>
      <c r="C2532" s="29"/>
      <c r="D2532" s="40">
        <v>1.0</v>
      </c>
      <c r="E2532" s="31">
        <v>47.0</v>
      </c>
      <c r="F2532" s="42">
        <v>117.0</v>
      </c>
      <c r="G2532" s="29" t="str">
        <f t="shared" si="1"/>
        <v>47117</v>
      </c>
      <c r="H2532" s="37" t="s">
        <v>154</v>
      </c>
      <c r="I2532" s="37" t="s">
        <v>111</v>
      </c>
      <c r="J2532" s="37" t="s">
        <v>452</v>
      </c>
      <c r="K2532" s="37" t="str">
        <f t="shared" si="43"/>
        <v>Marshall, TN</v>
      </c>
      <c r="L2532" s="24"/>
    </row>
    <row r="2533">
      <c r="A2533" s="28">
        <v>2532.0</v>
      </c>
      <c r="B2533" s="29"/>
      <c r="C2533" s="29"/>
      <c r="D2533" s="40">
        <v>1.0</v>
      </c>
      <c r="E2533" s="31">
        <v>47.0</v>
      </c>
      <c r="F2533" s="42">
        <v>119.0</v>
      </c>
      <c r="G2533" s="29" t="str">
        <f t="shared" si="1"/>
        <v>47119</v>
      </c>
      <c r="H2533" s="37" t="s">
        <v>1942</v>
      </c>
      <c r="I2533" s="37" t="s">
        <v>111</v>
      </c>
      <c r="J2533" s="37" t="s">
        <v>452</v>
      </c>
      <c r="K2533" s="37" t="str">
        <f t="shared" si="43"/>
        <v>Maury, TN</v>
      </c>
      <c r="L2533" s="24"/>
    </row>
    <row r="2534">
      <c r="A2534" s="28">
        <v>2533.0</v>
      </c>
      <c r="B2534" s="29"/>
      <c r="C2534" s="29"/>
      <c r="D2534" s="40">
        <v>1.0</v>
      </c>
      <c r="E2534" s="31">
        <v>47.0</v>
      </c>
      <c r="F2534" s="42">
        <v>121.0</v>
      </c>
      <c r="G2534" s="29" t="str">
        <f t="shared" si="1"/>
        <v>47121</v>
      </c>
      <c r="H2534" s="37" t="s">
        <v>1690</v>
      </c>
      <c r="I2534" s="37" t="s">
        <v>111</v>
      </c>
      <c r="J2534" s="37" t="s">
        <v>452</v>
      </c>
      <c r="K2534" s="37" t="str">
        <f t="shared" si="43"/>
        <v>Meigs, TN</v>
      </c>
      <c r="L2534" s="24"/>
    </row>
    <row r="2535">
      <c r="A2535" s="28">
        <v>2534.0</v>
      </c>
      <c r="B2535" s="29"/>
      <c r="C2535" s="29"/>
      <c r="D2535" s="40">
        <v>1.0</v>
      </c>
      <c r="E2535" s="31">
        <v>47.0</v>
      </c>
      <c r="F2535" s="42">
        <v>123.0</v>
      </c>
      <c r="G2535" s="29" t="str">
        <f t="shared" si="1"/>
        <v>47123</v>
      </c>
      <c r="H2535" s="37" t="s">
        <v>156</v>
      </c>
      <c r="I2535" s="37" t="s">
        <v>111</v>
      </c>
      <c r="J2535" s="37" t="s">
        <v>452</v>
      </c>
      <c r="K2535" s="37" t="str">
        <f t="shared" si="43"/>
        <v>Monroe, TN</v>
      </c>
      <c r="L2535" s="24"/>
    </row>
    <row r="2536">
      <c r="A2536" s="28">
        <v>2535.0</v>
      </c>
      <c r="B2536" s="29"/>
      <c r="C2536" s="29"/>
      <c r="D2536" s="40">
        <v>1.0</v>
      </c>
      <c r="E2536" s="31">
        <v>47.0</v>
      </c>
      <c r="F2536" s="42">
        <v>125.0</v>
      </c>
      <c r="G2536" s="29" t="str">
        <f t="shared" si="1"/>
        <v>47125</v>
      </c>
      <c r="H2536" s="37" t="s">
        <v>157</v>
      </c>
      <c r="I2536" s="37" t="s">
        <v>111</v>
      </c>
      <c r="J2536" s="37" t="s">
        <v>452</v>
      </c>
      <c r="K2536" s="37" t="str">
        <f t="shared" si="43"/>
        <v>Montgomery, TN</v>
      </c>
      <c r="L2536" s="24"/>
    </row>
    <row r="2537">
      <c r="A2537" s="28">
        <v>2536.0</v>
      </c>
      <c r="B2537" s="29"/>
      <c r="C2537" s="29"/>
      <c r="D2537" s="40">
        <v>1.0</v>
      </c>
      <c r="E2537" s="31">
        <v>47.0</v>
      </c>
      <c r="F2537" s="42">
        <v>127.0</v>
      </c>
      <c r="G2537" s="29" t="str">
        <f t="shared" si="1"/>
        <v>47127</v>
      </c>
      <c r="H2537" s="37" t="s">
        <v>1615</v>
      </c>
      <c r="I2537" s="37" t="s">
        <v>111</v>
      </c>
      <c r="J2537" s="37" t="s">
        <v>452</v>
      </c>
      <c r="K2537" s="37" t="str">
        <f t="shared" si="43"/>
        <v>Moore, TN</v>
      </c>
      <c r="L2537" s="24"/>
    </row>
    <row r="2538">
      <c r="A2538" s="28">
        <v>2537.0</v>
      </c>
      <c r="B2538" s="29"/>
      <c r="C2538" s="29"/>
      <c r="D2538" s="40">
        <v>1.0</v>
      </c>
      <c r="E2538" s="31">
        <v>47.0</v>
      </c>
      <c r="F2538" s="42">
        <v>129.0</v>
      </c>
      <c r="G2538" s="29" t="str">
        <f t="shared" si="1"/>
        <v>47129</v>
      </c>
      <c r="H2538" s="37" t="s">
        <v>158</v>
      </c>
      <c r="I2538" s="37" t="s">
        <v>111</v>
      </c>
      <c r="J2538" s="37" t="s">
        <v>452</v>
      </c>
      <c r="K2538" s="37" t="str">
        <f t="shared" si="43"/>
        <v>Morgan, TN</v>
      </c>
      <c r="L2538" s="24"/>
    </row>
    <row r="2539">
      <c r="A2539" s="28">
        <v>2538.0</v>
      </c>
      <c r="B2539" s="29"/>
      <c r="C2539" s="29"/>
      <c r="D2539" s="40">
        <v>1.0</v>
      </c>
      <c r="E2539" s="31">
        <v>47.0</v>
      </c>
      <c r="F2539" s="42">
        <v>131.0</v>
      </c>
      <c r="G2539" s="29" t="str">
        <f t="shared" si="1"/>
        <v>47131</v>
      </c>
      <c r="H2539" s="37" t="s">
        <v>1957</v>
      </c>
      <c r="I2539" s="37" t="s">
        <v>111</v>
      </c>
      <c r="J2539" s="37" t="s">
        <v>452</v>
      </c>
      <c r="K2539" s="37" t="str">
        <f t="shared" si="43"/>
        <v>Obion, TN</v>
      </c>
      <c r="L2539" s="24"/>
    </row>
    <row r="2540">
      <c r="A2540" s="28">
        <v>2539.0</v>
      </c>
      <c r="B2540" s="29"/>
      <c r="C2540" s="29"/>
      <c r="D2540" s="40">
        <v>1.0</v>
      </c>
      <c r="E2540" s="31">
        <v>47.0</v>
      </c>
      <c r="F2540" s="42">
        <v>133.0</v>
      </c>
      <c r="G2540" s="29" t="str">
        <f t="shared" si="1"/>
        <v>47133</v>
      </c>
      <c r="H2540" s="37" t="s">
        <v>1960</v>
      </c>
      <c r="I2540" s="37" t="s">
        <v>111</v>
      </c>
      <c r="J2540" s="37" t="s">
        <v>452</v>
      </c>
      <c r="K2540" s="37" t="str">
        <f t="shared" si="43"/>
        <v>Overton, TN</v>
      </c>
      <c r="L2540" s="24"/>
    </row>
    <row r="2541">
      <c r="A2541" s="28">
        <v>2540.0</v>
      </c>
      <c r="B2541" s="29"/>
      <c r="C2541" s="29"/>
      <c r="D2541" s="40">
        <v>1.0</v>
      </c>
      <c r="E2541" s="31">
        <v>47.0</v>
      </c>
      <c r="F2541" s="42">
        <v>135.0</v>
      </c>
      <c r="G2541" s="29" t="str">
        <f t="shared" si="1"/>
        <v>47135</v>
      </c>
      <c r="H2541" s="37" t="s">
        <v>159</v>
      </c>
      <c r="I2541" s="37" t="s">
        <v>111</v>
      </c>
      <c r="J2541" s="37" t="s">
        <v>452</v>
      </c>
      <c r="K2541" s="37" t="str">
        <f t="shared" si="43"/>
        <v>Perry, TN</v>
      </c>
      <c r="L2541" s="24"/>
    </row>
    <row r="2542">
      <c r="A2542" s="28">
        <v>2541.0</v>
      </c>
      <c r="B2542" s="29"/>
      <c r="C2542" s="29"/>
      <c r="D2542" s="40">
        <v>1.0</v>
      </c>
      <c r="E2542" s="31">
        <v>47.0</v>
      </c>
      <c r="F2542" s="42">
        <v>137.0</v>
      </c>
      <c r="G2542" s="29" t="str">
        <f t="shared" si="1"/>
        <v>47137</v>
      </c>
      <c r="H2542" s="37" t="s">
        <v>1965</v>
      </c>
      <c r="I2542" s="37" t="s">
        <v>111</v>
      </c>
      <c r="J2542" s="37" t="s">
        <v>452</v>
      </c>
      <c r="K2542" s="37" t="str">
        <f t="shared" si="43"/>
        <v>Pickett, TN</v>
      </c>
      <c r="L2542" s="24"/>
    </row>
    <row r="2543">
      <c r="A2543" s="28">
        <v>2542.0</v>
      </c>
      <c r="B2543" s="29"/>
      <c r="C2543" s="29"/>
      <c r="D2543" s="40">
        <v>1.0</v>
      </c>
      <c r="E2543" s="31">
        <v>47.0</v>
      </c>
      <c r="F2543" s="42">
        <v>139.0</v>
      </c>
      <c r="G2543" s="29" t="str">
        <f t="shared" si="1"/>
        <v>47139</v>
      </c>
      <c r="H2543" s="37" t="s">
        <v>302</v>
      </c>
      <c r="I2543" s="37" t="s">
        <v>111</v>
      </c>
      <c r="J2543" s="37" t="s">
        <v>452</v>
      </c>
      <c r="K2543" s="37" t="str">
        <f t="shared" si="43"/>
        <v>Polk, TN</v>
      </c>
      <c r="L2543" s="24"/>
    </row>
    <row r="2544">
      <c r="A2544" s="28">
        <v>2543.0</v>
      </c>
      <c r="B2544" s="29"/>
      <c r="C2544" s="29"/>
      <c r="D2544" s="40">
        <v>1.0</v>
      </c>
      <c r="E2544" s="31">
        <v>47.0</v>
      </c>
      <c r="F2544" s="42">
        <v>141.0</v>
      </c>
      <c r="G2544" s="29" t="str">
        <f t="shared" si="1"/>
        <v>47141</v>
      </c>
      <c r="H2544" s="37" t="s">
        <v>518</v>
      </c>
      <c r="I2544" s="37" t="s">
        <v>111</v>
      </c>
      <c r="J2544" s="37" t="s">
        <v>452</v>
      </c>
      <c r="K2544" s="37" t="str">
        <f t="shared" si="43"/>
        <v>Putnam, TN</v>
      </c>
      <c r="L2544" s="24"/>
    </row>
    <row r="2545">
      <c r="A2545" s="28">
        <v>2544.0</v>
      </c>
      <c r="B2545" s="29"/>
      <c r="C2545" s="29"/>
      <c r="D2545" s="40">
        <v>1.0</v>
      </c>
      <c r="E2545" s="31">
        <v>47.0</v>
      </c>
      <c r="F2545" s="42">
        <v>143.0</v>
      </c>
      <c r="G2545" s="29" t="str">
        <f t="shared" si="1"/>
        <v>47143</v>
      </c>
      <c r="H2545" s="37" t="s">
        <v>1973</v>
      </c>
      <c r="I2545" s="37" t="s">
        <v>111</v>
      </c>
      <c r="J2545" s="37" t="s">
        <v>452</v>
      </c>
      <c r="K2545" s="37" t="str">
        <f t="shared" si="43"/>
        <v>Rhea, TN</v>
      </c>
      <c r="L2545" s="24"/>
    </row>
    <row r="2546">
      <c r="A2546" s="28">
        <v>2545.0</v>
      </c>
      <c r="B2546" s="29"/>
      <c r="C2546" s="29"/>
      <c r="D2546" s="40">
        <v>1.0</v>
      </c>
      <c r="E2546" s="31">
        <v>47.0</v>
      </c>
      <c r="F2546" s="42">
        <v>145.0</v>
      </c>
      <c r="G2546" s="29" t="str">
        <f t="shared" si="1"/>
        <v>47145</v>
      </c>
      <c r="H2546" s="37" t="s">
        <v>1976</v>
      </c>
      <c r="I2546" s="37" t="s">
        <v>111</v>
      </c>
      <c r="J2546" s="37" t="s">
        <v>452</v>
      </c>
      <c r="K2546" s="37" t="str">
        <f t="shared" si="43"/>
        <v>Roane, TN</v>
      </c>
      <c r="L2546" s="24"/>
    </row>
    <row r="2547">
      <c r="A2547" s="28">
        <v>2546.0</v>
      </c>
      <c r="B2547" s="29"/>
      <c r="C2547" s="29"/>
      <c r="D2547" s="40">
        <v>1.0</v>
      </c>
      <c r="E2547" s="31">
        <v>47.0</v>
      </c>
      <c r="F2547" s="42">
        <v>147.0</v>
      </c>
      <c r="G2547" s="29" t="str">
        <f t="shared" si="1"/>
        <v>47147</v>
      </c>
      <c r="H2547" s="37" t="s">
        <v>1131</v>
      </c>
      <c r="I2547" s="37" t="s">
        <v>111</v>
      </c>
      <c r="J2547" s="37" t="s">
        <v>452</v>
      </c>
      <c r="K2547" s="37" t="str">
        <f t="shared" si="43"/>
        <v>Robertson, TN</v>
      </c>
      <c r="L2547" s="24"/>
    </row>
    <row r="2548">
      <c r="A2548" s="28">
        <v>2547.0</v>
      </c>
      <c r="B2548" s="29"/>
      <c r="C2548" s="29"/>
      <c r="D2548" s="40">
        <v>1.0</v>
      </c>
      <c r="E2548" s="31">
        <v>47.0</v>
      </c>
      <c r="F2548" s="42">
        <v>149.0</v>
      </c>
      <c r="G2548" s="29" t="str">
        <f t="shared" si="1"/>
        <v>47149</v>
      </c>
      <c r="H2548" s="37" t="s">
        <v>1627</v>
      </c>
      <c r="I2548" s="37" t="s">
        <v>111</v>
      </c>
      <c r="J2548" s="37" t="s">
        <v>452</v>
      </c>
      <c r="K2548" s="37" t="str">
        <f t="shared" si="43"/>
        <v>Rutherford, TN</v>
      </c>
      <c r="L2548" s="24"/>
    </row>
    <row r="2549">
      <c r="A2549" s="28">
        <v>2548.0</v>
      </c>
      <c r="B2549" s="29"/>
      <c r="C2549" s="29"/>
      <c r="D2549" s="40">
        <v>1.0</v>
      </c>
      <c r="E2549" s="31">
        <v>47.0</v>
      </c>
      <c r="F2549" s="42">
        <v>151.0</v>
      </c>
      <c r="G2549" s="29" t="str">
        <f t="shared" si="1"/>
        <v>47151</v>
      </c>
      <c r="H2549" s="37" t="s">
        <v>309</v>
      </c>
      <c r="I2549" s="37" t="s">
        <v>111</v>
      </c>
      <c r="J2549" s="37" t="s">
        <v>452</v>
      </c>
      <c r="K2549" s="37" t="str">
        <f t="shared" si="43"/>
        <v>Scott, TN</v>
      </c>
      <c r="L2549" s="24"/>
    </row>
    <row r="2550">
      <c r="A2550" s="28">
        <v>2549.0</v>
      </c>
      <c r="B2550" s="29"/>
      <c r="C2550" s="29"/>
      <c r="D2550" s="40">
        <v>1.0</v>
      </c>
      <c r="E2550" s="31">
        <v>47.0</v>
      </c>
      <c r="F2550" s="42">
        <v>153.0</v>
      </c>
      <c r="G2550" s="29" t="str">
        <f t="shared" si="1"/>
        <v>47153</v>
      </c>
      <c r="H2550" s="37" t="s">
        <v>1985</v>
      </c>
      <c r="I2550" s="37" t="s">
        <v>111</v>
      </c>
      <c r="J2550" s="37" t="s">
        <v>452</v>
      </c>
      <c r="K2550" s="37" t="str">
        <f t="shared" si="43"/>
        <v>Sequatchie, TN</v>
      </c>
      <c r="L2550" s="24"/>
    </row>
    <row r="2551">
      <c r="A2551" s="28">
        <v>2550.0</v>
      </c>
      <c r="B2551" s="29"/>
      <c r="C2551" s="29"/>
      <c r="D2551" s="40">
        <v>1.0</v>
      </c>
      <c r="E2551" s="31">
        <v>47.0</v>
      </c>
      <c r="F2551" s="42">
        <v>155.0</v>
      </c>
      <c r="G2551" s="29" t="str">
        <f t="shared" si="1"/>
        <v>47155</v>
      </c>
      <c r="H2551" s="37" t="s">
        <v>312</v>
      </c>
      <c r="I2551" s="37" t="s">
        <v>111</v>
      </c>
      <c r="J2551" s="37" t="s">
        <v>452</v>
      </c>
      <c r="K2551" s="37" t="str">
        <f t="shared" si="43"/>
        <v>Sevier, TN</v>
      </c>
      <c r="L2551" s="24"/>
    </row>
    <row r="2552">
      <c r="A2552" s="28">
        <v>2551.0</v>
      </c>
      <c r="B2552" s="29"/>
      <c r="C2552" s="29"/>
      <c r="D2552" s="40">
        <v>1.0</v>
      </c>
      <c r="E2552" s="31">
        <v>47.0</v>
      </c>
      <c r="F2552" s="42">
        <v>157.0</v>
      </c>
      <c r="G2552" s="29" t="str">
        <f t="shared" si="1"/>
        <v>47157</v>
      </c>
      <c r="H2552" s="37" t="s">
        <v>168</v>
      </c>
      <c r="I2552" s="37" t="s">
        <v>111</v>
      </c>
      <c r="J2552" s="37" t="s">
        <v>452</v>
      </c>
      <c r="K2552" s="37" t="str">
        <f t="shared" si="43"/>
        <v>Shelby, TN</v>
      </c>
      <c r="L2552" s="24"/>
    </row>
    <row r="2553">
      <c r="A2553" s="28">
        <v>2552.0</v>
      </c>
      <c r="B2553" s="29"/>
      <c r="C2553" s="29"/>
      <c r="D2553" s="40">
        <v>1.0</v>
      </c>
      <c r="E2553" s="31">
        <v>47.0</v>
      </c>
      <c r="F2553" s="42">
        <v>159.0</v>
      </c>
      <c r="G2553" s="29" t="str">
        <f t="shared" si="1"/>
        <v>47159</v>
      </c>
      <c r="H2553" s="37" t="s">
        <v>1012</v>
      </c>
      <c r="I2553" s="37" t="s">
        <v>111</v>
      </c>
      <c r="J2553" s="37" t="s">
        <v>452</v>
      </c>
      <c r="K2553" s="37" t="str">
        <f t="shared" si="43"/>
        <v>Smith, TN</v>
      </c>
      <c r="L2553" s="24"/>
    </row>
    <row r="2554">
      <c r="A2554" s="28">
        <v>2553.0</v>
      </c>
      <c r="B2554" s="29"/>
      <c r="C2554" s="29"/>
      <c r="D2554" s="40">
        <v>1.0</v>
      </c>
      <c r="E2554" s="31">
        <v>47.0</v>
      </c>
      <c r="F2554" s="42">
        <v>161.0</v>
      </c>
      <c r="G2554" s="29" t="str">
        <f t="shared" si="1"/>
        <v>47161</v>
      </c>
      <c r="H2554" s="37" t="s">
        <v>629</v>
      </c>
      <c r="I2554" s="37" t="s">
        <v>111</v>
      </c>
      <c r="J2554" s="37" t="s">
        <v>452</v>
      </c>
      <c r="K2554" s="37" t="str">
        <f t="shared" si="43"/>
        <v>Stewart, TN</v>
      </c>
      <c r="L2554" s="24"/>
    </row>
    <row r="2555">
      <c r="A2555" s="28">
        <v>2554.0</v>
      </c>
      <c r="B2555" s="29"/>
      <c r="C2555" s="29"/>
      <c r="D2555" s="40">
        <v>1.0</v>
      </c>
      <c r="E2555" s="31">
        <v>47.0</v>
      </c>
      <c r="F2555" s="42">
        <v>163.0</v>
      </c>
      <c r="G2555" s="29" t="str">
        <f t="shared" si="1"/>
        <v>47163</v>
      </c>
      <c r="H2555" s="37" t="s">
        <v>860</v>
      </c>
      <c r="I2555" s="37" t="s">
        <v>111</v>
      </c>
      <c r="J2555" s="37" t="s">
        <v>452</v>
      </c>
      <c r="K2555" s="37" t="str">
        <f t="shared" si="43"/>
        <v>Sullivan, TN</v>
      </c>
      <c r="L2555" s="24"/>
    </row>
    <row r="2556">
      <c r="A2556" s="28">
        <v>2555.0</v>
      </c>
      <c r="B2556" s="29"/>
      <c r="C2556" s="29"/>
      <c r="D2556" s="40">
        <v>1.0</v>
      </c>
      <c r="E2556" s="31">
        <v>47.0</v>
      </c>
      <c r="F2556" s="42">
        <v>165.0</v>
      </c>
      <c r="G2556" s="29" t="str">
        <f t="shared" si="1"/>
        <v>47165</v>
      </c>
      <c r="H2556" s="37" t="s">
        <v>1016</v>
      </c>
      <c r="I2556" s="37" t="s">
        <v>111</v>
      </c>
      <c r="J2556" s="37" t="s">
        <v>452</v>
      </c>
      <c r="K2556" s="37" t="str">
        <f t="shared" si="43"/>
        <v>Sumner, TN</v>
      </c>
      <c r="L2556" s="24"/>
    </row>
    <row r="2557">
      <c r="A2557" s="28">
        <v>2556.0</v>
      </c>
      <c r="B2557" s="29"/>
      <c r="C2557" s="29"/>
      <c r="D2557" s="40">
        <v>1.0</v>
      </c>
      <c r="E2557" s="31">
        <v>47.0</v>
      </c>
      <c r="F2557" s="42">
        <v>167.0</v>
      </c>
      <c r="G2557" s="29" t="str">
        <f t="shared" si="1"/>
        <v>47167</v>
      </c>
      <c r="H2557" s="37" t="s">
        <v>865</v>
      </c>
      <c r="I2557" s="37" t="s">
        <v>111</v>
      </c>
      <c r="J2557" s="37" t="s">
        <v>452</v>
      </c>
      <c r="K2557" s="37" t="str">
        <f t="shared" si="43"/>
        <v>Tipton, TN</v>
      </c>
      <c r="L2557" s="24"/>
    </row>
    <row r="2558">
      <c r="A2558" s="28">
        <v>2557.0</v>
      </c>
      <c r="B2558" s="29"/>
      <c r="C2558" s="29"/>
      <c r="D2558" s="40">
        <v>1.0</v>
      </c>
      <c r="E2558" s="31">
        <v>47.0</v>
      </c>
      <c r="F2558" s="42">
        <v>169.0</v>
      </c>
      <c r="G2558" s="29" t="str">
        <f t="shared" si="1"/>
        <v>47169</v>
      </c>
      <c r="H2558" s="37" t="s">
        <v>1994</v>
      </c>
      <c r="I2558" s="37" t="s">
        <v>111</v>
      </c>
      <c r="J2558" s="37" t="s">
        <v>452</v>
      </c>
      <c r="K2558" s="37" t="str">
        <f t="shared" si="43"/>
        <v>Trousdale, TN</v>
      </c>
      <c r="L2558" s="24"/>
    </row>
    <row r="2559">
      <c r="A2559" s="28">
        <v>2558.0</v>
      </c>
      <c r="B2559" s="29"/>
      <c r="C2559" s="29"/>
      <c r="D2559" s="40">
        <v>1.0</v>
      </c>
      <c r="E2559" s="31">
        <v>47.0</v>
      </c>
      <c r="F2559" s="42">
        <v>171.0</v>
      </c>
      <c r="G2559" s="29" t="str">
        <f t="shared" si="1"/>
        <v>47171</v>
      </c>
      <c r="H2559" s="37" t="s">
        <v>1995</v>
      </c>
      <c r="I2559" s="37" t="s">
        <v>111</v>
      </c>
      <c r="J2559" s="37" t="s">
        <v>452</v>
      </c>
      <c r="K2559" s="37" t="str">
        <f t="shared" si="43"/>
        <v>Unicoi, TN</v>
      </c>
      <c r="L2559" s="24"/>
    </row>
    <row r="2560">
      <c r="A2560" s="28">
        <v>2559.0</v>
      </c>
      <c r="B2560" s="29"/>
      <c r="C2560" s="29"/>
      <c r="D2560" s="40">
        <v>1.0</v>
      </c>
      <c r="E2560" s="31">
        <v>47.0</v>
      </c>
      <c r="F2560" s="42">
        <v>173.0</v>
      </c>
      <c r="G2560" s="29" t="str">
        <f t="shared" si="1"/>
        <v>47173</v>
      </c>
      <c r="H2560" s="37" t="s">
        <v>316</v>
      </c>
      <c r="I2560" s="37" t="s">
        <v>111</v>
      </c>
      <c r="J2560" s="37" t="s">
        <v>452</v>
      </c>
      <c r="K2560" s="37" t="str">
        <f t="shared" si="43"/>
        <v>Union, TN</v>
      </c>
      <c r="L2560" s="24"/>
    </row>
    <row r="2561">
      <c r="A2561" s="28">
        <v>2560.0</v>
      </c>
      <c r="B2561" s="29"/>
      <c r="C2561" s="29"/>
      <c r="D2561" s="40">
        <v>1.0</v>
      </c>
      <c r="E2561" s="31">
        <v>47.0</v>
      </c>
      <c r="F2561" s="42">
        <v>175.0</v>
      </c>
      <c r="G2561" s="29" t="str">
        <f t="shared" si="1"/>
        <v>47175</v>
      </c>
      <c r="H2561" s="37" t="s">
        <v>317</v>
      </c>
      <c r="I2561" s="37" t="s">
        <v>111</v>
      </c>
      <c r="J2561" s="37" t="s">
        <v>452</v>
      </c>
      <c r="K2561" s="37" t="str">
        <f t="shared" si="43"/>
        <v>Van Buren, TN</v>
      </c>
      <c r="L2561" s="24"/>
    </row>
    <row r="2562">
      <c r="A2562" s="28">
        <v>2561.0</v>
      </c>
      <c r="B2562" s="29"/>
      <c r="C2562" s="29"/>
      <c r="D2562" s="40">
        <v>1.0</v>
      </c>
      <c r="E2562" s="31">
        <v>47.0</v>
      </c>
      <c r="F2562" s="42">
        <v>177.0</v>
      </c>
      <c r="G2562" s="29" t="str">
        <f t="shared" si="1"/>
        <v>47177</v>
      </c>
      <c r="H2562" s="37" t="s">
        <v>647</v>
      </c>
      <c r="I2562" s="37" t="s">
        <v>111</v>
      </c>
      <c r="J2562" s="37" t="s">
        <v>452</v>
      </c>
      <c r="K2562" s="37" t="str">
        <f t="shared" si="43"/>
        <v>Warren, TN</v>
      </c>
      <c r="L2562" s="24"/>
    </row>
    <row r="2563">
      <c r="A2563" s="28">
        <v>2562.0</v>
      </c>
      <c r="B2563" s="29"/>
      <c r="C2563" s="29"/>
      <c r="D2563" s="40">
        <v>1.0</v>
      </c>
      <c r="E2563" s="31">
        <v>47.0</v>
      </c>
      <c r="F2563" s="42">
        <v>179.0</v>
      </c>
      <c r="G2563" s="29" t="str">
        <f t="shared" si="1"/>
        <v>47179</v>
      </c>
      <c r="H2563" s="37" t="s">
        <v>119</v>
      </c>
      <c r="I2563" s="37" t="s">
        <v>111</v>
      </c>
      <c r="J2563" s="37" t="s">
        <v>452</v>
      </c>
      <c r="K2563" s="37" t="str">
        <f t="shared" si="43"/>
        <v>Washington, TN</v>
      </c>
      <c r="L2563" s="24"/>
    </row>
    <row r="2564">
      <c r="A2564" s="28">
        <v>2563.0</v>
      </c>
      <c r="B2564" s="29"/>
      <c r="C2564" s="29"/>
      <c r="D2564" s="40">
        <v>1.0</v>
      </c>
      <c r="E2564" s="31">
        <v>47.0</v>
      </c>
      <c r="F2564" s="42">
        <v>181.0</v>
      </c>
      <c r="G2564" s="29" t="str">
        <f t="shared" si="1"/>
        <v>47181</v>
      </c>
      <c r="H2564" s="37" t="s">
        <v>273</v>
      </c>
      <c r="I2564" s="37" t="s">
        <v>111</v>
      </c>
      <c r="J2564" s="37" t="s">
        <v>452</v>
      </c>
      <c r="K2564" s="37" t="str">
        <f t="shared" si="43"/>
        <v>Wayne, TN</v>
      </c>
      <c r="L2564" s="24"/>
    </row>
    <row r="2565">
      <c r="A2565" s="28">
        <v>2564.0</v>
      </c>
      <c r="B2565" s="29"/>
      <c r="C2565" s="29"/>
      <c r="D2565" s="40">
        <v>1.0</v>
      </c>
      <c r="E2565" s="31">
        <v>47.0</v>
      </c>
      <c r="F2565" s="42">
        <v>183.0</v>
      </c>
      <c r="G2565" s="29" t="str">
        <f t="shared" si="1"/>
        <v>47183</v>
      </c>
      <c r="H2565" s="37" t="s">
        <v>1999</v>
      </c>
      <c r="I2565" s="37" t="s">
        <v>111</v>
      </c>
      <c r="J2565" s="37" t="s">
        <v>452</v>
      </c>
      <c r="K2565" s="37" t="str">
        <f t="shared" si="43"/>
        <v>Weakley, TN</v>
      </c>
      <c r="L2565" s="24"/>
    </row>
    <row r="2566">
      <c r="A2566" s="28">
        <v>2565.0</v>
      </c>
      <c r="B2566" s="29"/>
      <c r="C2566" s="29"/>
      <c r="D2566" s="40">
        <v>1.0</v>
      </c>
      <c r="E2566" s="31">
        <v>47.0</v>
      </c>
      <c r="F2566" s="42">
        <v>185.0</v>
      </c>
      <c r="G2566" s="29" t="str">
        <f t="shared" si="1"/>
        <v>47185</v>
      </c>
      <c r="H2566" s="37" t="s">
        <v>66</v>
      </c>
      <c r="I2566" s="37" t="s">
        <v>111</v>
      </c>
      <c r="J2566" s="37" t="s">
        <v>452</v>
      </c>
      <c r="K2566" s="37" t="str">
        <f t="shared" si="43"/>
        <v>White, TN</v>
      </c>
      <c r="L2566" s="24"/>
    </row>
    <row r="2567">
      <c r="A2567" s="28">
        <v>2566.0</v>
      </c>
      <c r="B2567" s="29"/>
      <c r="C2567" s="29"/>
      <c r="D2567" s="40">
        <v>1.0</v>
      </c>
      <c r="E2567" s="31">
        <v>47.0</v>
      </c>
      <c r="F2567" s="42">
        <v>187.0</v>
      </c>
      <c r="G2567" s="29" t="str">
        <f t="shared" si="1"/>
        <v>47187</v>
      </c>
      <c r="H2567" s="37" t="s">
        <v>627</v>
      </c>
      <c r="I2567" s="37" t="s">
        <v>111</v>
      </c>
      <c r="J2567" s="37" t="s">
        <v>452</v>
      </c>
      <c r="K2567" s="37" t="str">
        <f t="shared" si="43"/>
        <v>Williamson, TN</v>
      </c>
      <c r="L2567" s="24"/>
    </row>
    <row r="2568">
      <c r="A2568" s="28">
        <v>2567.0</v>
      </c>
      <c r="B2568" s="29"/>
      <c r="C2568" s="29"/>
      <c r="D2568" s="40">
        <v>1.0</v>
      </c>
      <c r="E2568" s="31">
        <v>47.0</v>
      </c>
      <c r="F2568" s="42">
        <v>189.0</v>
      </c>
      <c r="G2568" s="29" t="str">
        <f t="shared" si="1"/>
        <v>47189</v>
      </c>
      <c r="H2568" s="37" t="s">
        <v>1021</v>
      </c>
      <c r="I2568" s="37" t="s">
        <v>111</v>
      </c>
      <c r="J2568" s="37" t="s">
        <v>452</v>
      </c>
      <c r="K2568" s="37" t="str">
        <f t="shared" si="43"/>
        <v>Wilson, TN</v>
      </c>
      <c r="L2568" s="24"/>
    </row>
    <row r="2569">
      <c r="A2569" s="99">
        <v>2568.0</v>
      </c>
      <c r="B2569" s="15"/>
      <c r="C2569" s="14" t="s">
        <v>25</v>
      </c>
      <c r="D2569" s="16"/>
      <c r="E2569" s="102">
        <v>48.0</v>
      </c>
      <c r="F2569" s="107">
        <v>0.0</v>
      </c>
      <c r="G2569" s="15" t="str">
        <f t="shared" si="1"/>
        <v>48000</v>
      </c>
      <c r="H2569" s="23"/>
      <c r="I2569" s="23" t="s">
        <v>113</v>
      </c>
      <c r="J2569" s="23" t="s">
        <v>219</v>
      </c>
      <c r="K2569" s="23"/>
      <c r="L2569" s="24"/>
    </row>
    <row r="2570">
      <c r="A2570" s="99">
        <v>2569.0</v>
      </c>
      <c r="B2570" s="15"/>
      <c r="C2570" s="15"/>
      <c r="D2570" s="105">
        <v>1.0</v>
      </c>
      <c r="E2570" s="102">
        <v>48.0</v>
      </c>
      <c r="F2570" s="107">
        <v>1.0</v>
      </c>
      <c r="G2570" s="15" t="str">
        <f t="shared" si="1"/>
        <v>48001</v>
      </c>
      <c r="H2570" s="23" t="s">
        <v>954</v>
      </c>
      <c r="I2570" s="23" t="s">
        <v>113</v>
      </c>
      <c r="J2570" s="23" t="s">
        <v>219</v>
      </c>
      <c r="K2570" s="23" t="str">
        <f t="shared" ref="K2570:K2823" si="44">CONCATENATE(H2570,", ",J2570)</f>
        <v>Anderson, TX</v>
      </c>
      <c r="L2570" s="24"/>
    </row>
    <row r="2571">
      <c r="A2571" s="99">
        <v>2570.0</v>
      </c>
      <c r="B2571" s="15"/>
      <c r="C2571" s="15"/>
      <c r="D2571" s="105">
        <v>1.0</v>
      </c>
      <c r="E2571" s="102">
        <v>48.0</v>
      </c>
      <c r="F2571" s="107">
        <v>3.0</v>
      </c>
      <c r="G2571" s="15" t="str">
        <f t="shared" si="1"/>
        <v>48003</v>
      </c>
      <c r="H2571" s="23" t="s">
        <v>2005</v>
      </c>
      <c r="I2571" s="23" t="s">
        <v>113</v>
      </c>
      <c r="J2571" s="23" t="s">
        <v>219</v>
      </c>
      <c r="K2571" s="23" t="str">
        <f t="shared" si="44"/>
        <v>Andrews, TX</v>
      </c>
      <c r="L2571" s="24"/>
    </row>
    <row r="2572">
      <c r="A2572" s="99">
        <v>2571.0</v>
      </c>
      <c r="B2572" s="15"/>
      <c r="C2572" s="15"/>
      <c r="D2572" s="105">
        <v>1.0</v>
      </c>
      <c r="E2572" s="102">
        <v>48.0</v>
      </c>
      <c r="F2572" s="107">
        <v>5.0</v>
      </c>
      <c r="G2572" s="15" t="str">
        <f t="shared" si="1"/>
        <v>48005</v>
      </c>
      <c r="H2572" s="23" t="s">
        <v>2006</v>
      </c>
      <c r="I2572" s="23" t="s">
        <v>113</v>
      </c>
      <c r="J2572" s="23" t="s">
        <v>219</v>
      </c>
      <c r="K2572" s="23" t="str">
        <f t="shared" si="44"/>
        <v>Angelina, TX</v>
      </c>
      <c r="L2572" s="24"/>
    </row>
    <row r="2573">
      <c r="A2573" s="99">
        <v>2572.0</v>
      </c>
      <c r="B2573" s="15"/>
      <c r="C2573" s="15"/>
      <c r="D2573" s="105">
        <v>1.0</v>
      </c>
      <c r="E2573" s="102">
        <v>48.0</v>
      </c>
      <c r="F2573" s="107">
        <v>7.0</v>
      </c>
      <c r="G2573" s="15" t="str">
        <f t="shared" si="1"/>
        <v>48007</v>
      </c>
      <c r="H2573" s="23" t="s">
        <v>2007</v>
      </c>
      <c r="I2573" s="23" t="s">
        <v>113</v>
      </c>
      <c r="J2573" s="23" t="s">
        <v>219</v>
      </c>
      <c r="K2573" s="23" t="str">
        <f t="shared" si="44"/>
        <v>Aransas, TX</v>
      </c>
      <c r="L2573" s="24"/>
    </row>
    <row r="2574">
      <c r="A2574" s="99">
        <v>2573.0</v>
      </c>
      <c r="B2574" s="15"/>
      <c r="C2574" s="15"/>
      <c r="D2574" s="105">
        <v>1.0</v>
      </c>
      <c r="E2574" s="102">
        <v>48.0</v>
      </c>
      <c r="F2574" s="107">
        <v>9.0</v>
      </c>
      <c r="G2574" s="15" t="str">
        <f t="shared" si="1"/>
        <v>48009</v>
      </c>
      <c r="H2574" s="23" t="s">
        <v>2008</v>
      </c>
      <c r="I2574" s="23" t="s">
        <v>113</v>
      </c>
      <c r="J2574" s="23" t="s">
        <v>219</v>
      </c>
      <c r="K2574" s="23" t="str">
        <f t="shared" si="44"/>
        <v>Archer, TX</v>
      </c>
      <c r="L2574" s="24"/>
    </row>
    <row r="2575">
      <c r="A2575" s="99">
        <v>2574.0</v>
      </c>
      <c r="B2575" s="15"/>
      <c r="C2575" s="15"/>
      <c r="D2575" s="105">
        <v>1.0</v>
      </c>
      <c r="E2575" s="102">
        <v>48.0</v>
      </c>
      <c r="F2575" s="107">
        <v>11.0</v>
      </c>
      <c r="G2575" s="15" t="str">
        <f t="shared" si="1"/>
        <v>48011</v>
      </c>
      <c r="H2575" s="23" t="s">
        <v>1783</v>
      </c>
      <c r="I2575" s="23" t="s">
        <v>113</v>
      </c>
      <c r="J2575" s="23" t="s">
        <v>219</v>
      </c>
      <c r="K2575" s="23" t="str">
        <f t="shared" si="44"/>
        <v>Armstrong, TX</v>
      </c>
      <c r="L2575" s="24"/>
    </row>
    <row r="2576">
      <c r="A2576" s="99">
        <v>2575.0</v>
      </c>
      <c r="B2576" s="15"/>
      <c r="C2576" s="15"/>
      <c r="D2576" s="105">
        <v>1.0</v>
      </c>
      <c r="E2576" s="102">
        <v>48.0</v>
      </c>
      <c r="F2576" s="107">
        <v>13.0</v>
      </c>
      <c r="G2576" s="15" t="str">
        <f t="shared" si="1"/>
        <v>48013</v>
      </c>
      <c r="H2576" s="23" t="s">
        <v>2010</v>
      </c>
      <c r="I2576" s="23" t="s">
        <v>113</v>
      </c>
      <c r="J2576" s="23" t="s">
        <v>219</v>
      </c>
      <c r="K2576" s="23" t="str">
        <f t="shared" si="44"/>
        <v>Atascosa, TX</v>
      </c>
      <c r="L2576" s="24"/>
    </row>
    <row r="2577">
      <c r="A2577" s="99">
        <v>2576.0</v>
      </c>
      <c r="B2577" s="15"/>
      <c r="C2577" s="15"/>
      <c r="D2577" s="105">
        <v>1.0</v>
      </c>
      <c r="E2577" s="102">
        <v>48.0</v>
      </c>
      <c r="F2577" s="107">
        <v>15.0</v>
      </c>
      <c r="G2577" s="15" t="str">
        <f t="shared" si="1"/>
        <v>48015</v>
      </c>
      <c r="H2577" s="23" t="s">
        <v>2011</v>
      </c>
      <c r="I2577" s="23" t="s">
        <v>113</v>
      </c>
      <c r="J2577" s="23" t="s">
        <v>219</v>
      </c>
      <c r="K2577" s="23" t="str">
        <f t="shared" si="44"/>
        <v>Austin, TX</v>
      </c>
      <c r="L2577" s="24"/>
    </row>
    <row r="2578">
      <c r="A2578" s="99">
        <v>2577.0</v>
      </c>
      <c r="B2578" s="15"/>
      <c r="C2578" s="15"/>
      <c r="D2578" s="105">
        <v>1.0</v>
      </c>
      <c r="E2578" s="102">
        <v>48.0</v>
      </c>
      <c r="F2578" s="107">
        <v>17.0</v>
      </c>
      <c r="G2578" s="15" t="str">
        <f t="shared" si="1"/>
        <v>48017</v>
      </c>
      <c r="H2578" s="23" t="s">
        <v>2012</v>
      </c>
      <c r="I2578" s="23" t="s">
        <v>113</v>
      </c>
      <c r="J2578" s="23" t="s">
        <v>219</v>
      </c>
      <c r="K2578" s="23" t="str">
        <f t="shared" si="44"/>
        <v>Bailey, TX</v>
      </c>
      <c r="L2578" s="24"/>
    </row>
    <row r="2579">
      <c r="A2579" s="99">
        <v>2578.0</v>
      </c>
      <c r="B2579" s="15"/>
      <c r="C2579" s="15"/>
      <c r="D2579" s="105">
        <v>1.0</v>
      </c>
      <c r="E2579" s="102">
        <v>48.0</v>
      </c>
      <c r="F2579" s="107">
        <v>19.0</v>
      </c>
      <c r="G2579" s="15" t="str">
        <f t="shared" si="1"/>
        <v>48019</v>
      </c>
      <c r="H2579" s="23" t="s">
        <v>2013</v>
      </c>
      <c r="I2579" s="23" t="s">
        <v>113</v>
      </c>
      <c r="J2579" s="23" t="s">
        <v>219</v>
      </c>
      <c r="K2579" s="23" t="str">
        <f t="shared" si="44"/>
        <v>Bandera, TX</v>
      </c>
      <c r="L2579" s="24"/>
    </row>
    <row r="2580">
      <c r="A2580" s="99">
        <v>2579.0</v>
      </c>
      <c r="B2580" s="15"/>
      <c r="C2580" s="15"/>
      <c r="D2580" s="105">
        <v>1.0</v>
      </c>
      <c r="E2580" s="102">
        <v>48.0</v>
      </c>
      <c r="F2580" s="107">
        <v>21.0</v>
      </c>
      <c r="G2580" s="15" t="str">
        <f t="shared" si="1"/>
        <v>48021</v>
      </c>
      <c r="H2580" s="23" t="s">
        <v>2014</v>
      </c>
      <c r="I2580" s="23" t="s">
        <v>113</v>
      </c>
      <c r="J2580" s="23" t="s">
        <v>219</v>
      </c>
      <c r="K2580" s="23" t="str">
        <f t="shared" si="44"/>
        <v>Bastrop, TX</v>
      </c>
      <c r="L2580" s="24"/>
    </row>
    <row r="2581">
      <c r="A2581" s="99">
        <v>2580.0</v>
      </c>
      <c r="B2581" s="15"/>
      <c r="C2581" s="15"/>
      <c r="D2581" s="105">
        <v>1.0</v>
      </c>
      <c r="E2581" s="102">
        <v>48.0</v>
      </c>
      <c r="F2581" s="107">
        <v>23.0</v>
      </c>
      <c r="G2581" s="15" t="str">
        <f t="shared" si="1"/>
        <v>48023</v>
      </c>
      <c r="H2581" s="23" t="s">
        <v>2015</v>
      </c>
      <c r="I2581" s="23" t="s">
        <v>113</v>
      </c>
      <c r="J2581" s="23" t="s">
        <v>219</v>
      </c>
      <c r="K2581" s="23" t="str">
        <f t="shared" si="44"/>
        <v>Baylor, TX</v>
      </c>
      <c r="L2581" s="24"/>
    </row>
    <row r="2582">
      <c r="A2582" s="99">
        <v>2581.0</v>
      </c>
      <c r="B2582" s="15"/>
      <c r="C2582" s="15"/>
      <c r="D2582" s="105">
        <v>1.0</v>
      </c>
      <c r="E2582" s="102">
        <v>48.0</v>
      </c>
      <c r="F2582" s="107">
        <v>25.0</v>
      </c>
      <c r="G2582" s="15" t="str">
        <f t="shared" si="1"/>
        <v>48025</v>
      </c>
      <c r="H2582" s="23" t="s">
        <v>2016</v>
      </c>
      <c r="I2582" s="23" t="s">
        <v>113</v>
      </c>
      <c r="J2582" s="23" t="s">
        <v>219</v>
      </c>
      <c r="K2582" s="23" t="str">
        <f t="shared" si="44"/>
        <v>Bee, TX</v>
      </c>
      <c r="L2582" s="24"/>
    </row>
    <row r="2583">
      <c r="A2583" s="99">
        <v>2582.0</v>
      </c>
      <c r="B2583" s="15"/>
      <c r="C2583" s="15"/>
      <c r="D2583" s="105">
        <v>1.0</v>
      </c>
      <c r="E2583" s="102">
        <v>48.0</v>
      </c>
      <c r="F2583" s="107">
        <v>27.0</v>
      </c>
      <c r="G2583" s="15" t="str">
        <f t="shared" si="1"/>
        <v>48027</v>
      </c>
      <c r="H2583" s="23" t="s">
        <v>1027</v>
      </c>
      <c r="I2583" s="23" t="s">
        <v>113</v>
      </c>
      <c r="J2583" s="23" t="s">
        <v>219</v>
      </c>
      <c r="K2583" s="23" t="str">
        <f t="shared" si="44"/>
        <v>Bell, TX</v>
      </c>
      <c r="L2583" s="24"/>
    </row>
    <row r="2584">
      <c r="A2584" s="99">
        <v>2583.0</v>
      </c>
      <c r="B2584" s="15"/>
      <c r="C2584" s="15"/>
      <c r="D2584" s="105">
        <v>1.0</v>
      </c>
      <c r="E2584" s="102">
        <v>48.0</v>
      </c>
      <c r="F2584" s="107">
        <v>29.0</v>
      </c>
      <c r="G2584" s="15" t="str">
        <f t="shared" si="1"/>
        <v>48029</v>
      </c>
      <c r="H2584" s="23" t="s">
        <v>267</v>
      </c>
      <c r="I2584" s="23" t="s">
        <v>113</v>
      </c>
      <c r="J2584" s="23" t="s">
        <v>219</v>
      </c>
      <c r="K2584" s="23" t="str">
        <f t="shared" si="44"/>
        <v>Bexar, TX</v>
      </c>
      <c r="L2584" s="24"/>
    </row>
    <row r="2585">
      <c r="A2585" s="99">
        <v>2584.0</v>
      </c>
      <c r="B2585" s="15"/>
      <c r="C2585" s="15"/>
      <c r="D2585" s="105">
        <v>1.0</v>
      </c>
      <c r="E2585" s="102">
        <v>48.0</v>
      </c>
      <c r="F2585" s="107">
        <v>31.0</v>
      </c>
      <c r="G2585" s="15" t="str">
        <f t="shared" si="1"/>
        <v>48031</v>
      </c>
      <c r="H2585" s="23" t="s">
        <v>2017</v>
      </c>
      <c r="I2585" s="23" t="s">
        <v>113</v>
      </c>
      <c r="J2585" s="23" t="s">
        <v>219</v>
      </c>
      <c r="K2585" s="23" t="str">
        <f t="shared" si="44"/>
        <v>Blanco, TX</v>
      </c>
      <c r="L2585" s="24"/>
    </row>
    <row r="2586">
      <c r="A2586" s="99">
        <v>2585.0</v>
      </c>
      <c r="B2586" s="15"/>
      <c r="C2586" s="15"/>
      <c r="D2586" s="105">
        <v>1.0</v>
      </c>
      <c r="E2586" s="102">
        <v>48.0</v>
      </c>
      <c r="F2586" s="107">
        <v>33.0</v>
      </c>
      <c r="G2586" s="15" t="str">
        <f t="shared" si="1"/>
        <v>48033</v>
      </c>
      <c r="H2586" s="23" t="s">
        <v>2018</v>
      </c>
      <c r="I2586" s="23" t="s">
        <v>113</v>
      </c>
      <c r="J2586" s="23" t="s">
        <v>219</v>
      </c>
      <c r="K2586" s="23" t="str">
        <f t="shared" si="44"/>
        <v>Borden, TX</v>
      </c>
      <c r="L2586" s="24"/>
    </row>
    <row r="2587">
      <c r="A2587" s="99">
        <v>2586.0</v>
      </c>
      <c r="B2587" s="15"/>
      <c r="C2587" s="15"/>
      <c r="D2587" s="105">
        <v>1.0</v>
      </c>
      <c r="E2587" s="102">
        <v>48.0</v>
      </c>
      <c r="F2587" s="107">
        <v>35.0</v>
      </c>
      <c r="G2587" s="15" t="str">
        <f t="shared" si="1"/>
        <v>48035</v>
      </c>
      <c r="H2587" s="23" t="s">
        <v>2019</v>
      </c>
      <c r="I2587" s="23" t="s">
        <v>113</v>
      </c>
      <c r="J2587" s="23" t="s">
        <v>219</v>
      </c>
      <c r="K2587" s="23" t="str">
        <f t="shared" si="44"/>
        <v>Bosque, TX</v>
      </c>
      <c r="L2587" s="24"/>
    </row>
    <row r="2588">
      <c r="A2588" s="99">
        <v>2587.0</v>
      </c>
      <c r="B2588" s="15"/>
      <c r="C2588" s="15"/>
      <c r="D2588" s="105">
        <v>1.0</v>
      </c>
      <c r="E2588" s="102">
        <v>48.0</v>
      </c>
      <c r="F2588" s="107">
        <v>37.0</v>
      </c>
      <c r="G2588" s="15" t="str">
        <f t="shared" si="1"/>
        <v>48037</v>
      </c>
      <c r="H2588" s="23" t="s">
        <v>2020</v>
      </c>
      <c r="I2588" s="23" t="s">
        <v>113</v>
      </c>
      <c r="J2588" s="23" t="s">
        <v>219</v>
      </c>
      <c r="K2588" s="23" t="str">
        <f t="shared" si="44"/>
        <v>Bowie, TX</v>
      </c>
      <c r="L2588" s="24"/>
    </row>
    <row r="2589">
      <c r="A2589" s="99">
        <v>2588.0</v>
      </c>
      <c r="B2589" s="15"/>
      <c r="C2589" s="15"/>
      <c r="D2589" s="105">
        <v>1.0</v>
      </c>
      <c r="E2589" s="102">
        <v>48.0</v>
      </c>
      <c r="F2589" s="107">
        <v>39.0</v>
      </c>
      <c r="G2589" s="15" t="str">
        <f t="shared" si="1"/>
        <v>48039</v>
      </c>
      <c r="H2589" s="23" t="s">
        <v>2021</v>
      </c>
      <c r="I2589" s="23" t="s">
        <v>113</v>
      </c>
      <c r="J2589" s="23" t="s">
        <v>219</v>
      </c>
      <c r="K2589" s="23" t="str">
        <f t="shared" si="44"/>
        <v>Brazoria, TX</v>
      </c>
      <c r="L2589" s="24"/>
    </row>
    <row r="2590">
      <c r="A2590" s="99">
        <v>2589.0</v>
      </c>
      <c r="B2590" s="15"/>
      <c r="C2590" s="15"/>
      <c r="D2590" s="105">
        <v>1.0</v>
      </c>
      <c r="E2590" s="102">
        <v>48.0</v>
      </c>
      <c r="F2590" s="107">
        <v>41.0</v>
      </c>
      <c r="G2590" s="15" t="str">
        <f t="shared" si="1"/>
        <v>48041</v>
      </c>
      <c r="H2590" s="23" t="s">
        <v>2022</v>
      </c>
      <c r="I2590" s="23" t="s">
        <v>113</v>
      </c>
      <c r="J2590" s="23" t="s">
        <v>219</v>
      </c>
      <c r="K2590" s="23" t="str">
        <f t="shared" si="44"/>
        <v>Brazos, TX</v>
      </c>
      <c r="L2590" s="24"/>
    </row>
    <row r="2591">
      <c r="A2591" s="99">
        <v>2590.0</v>
      </c>
      <c r="B2591" s="15"/>
      <c r="C2591" s="15"/>
      <c r="D2591" s="105">
        <v>1.0</v>
      </c>
      <c r="E2591" s="102">
        <v>48.0</v>
      </c>
      <c r="F2591" s="107">
        <v>43.0</v>
      </c>
      <c r="G2591" s="15" t="str">
        <f t="shared" si="1"/>
        <v>48043</v>
      </c>
      <c r="H2591" s="23" t="s">
        <v>2023</v>
      </c>
      <c r="I2591" s="23" t="s">
        <v>113</v>
      </c>
      <c r="J2591" s="23" t="s">
        <v>219</v>
      </c>
      <c r="K2591" s="23" t="str">
        <f t="shared" si="44"/>
        <v>Brewster, TX</v>
      </c>
      <c r="L2591" s="24"/>
    </row>
    <row r="2592">
      <c r="A2592" s="99">
        <v>2591.0</v>
      </c>
      <c r="B2592" s="15"/>
      <c r="C2592" s="15"/>
      <c r="D2592" s="105">
        <v>1.0</v>
      </c>
      <c r="E2592" s="102">
        <v>48.0</v>
      </c>
      <c r="F2592" s="107">
        <v>45.0</v>
      </c>
      <c r="G2592" s="15" t="str">
        <f t="shared" si="1"/>
        <v>48045</v>
      </c>
      <c r="H2592" s="23" t="s">
        <v>2025</v>
      </c>
      <c r="I2592" s="23" t="s">
        <v>113</v>
      </c>
      <c r="J2592" s="23" t="s">
        <v>219</v>
      </c>
      <c r="K2592" s="23" t="str">
        <f t="shared" si="44"/>
        <v>Briscoe, TX</v>
      </c>
      <c r="L2592" s="24"/>
    </row>
    <row r="2593">
      <c r="A2593" s="99">
        <v>2592.0</v>
      </c>
      <c r="B2593" s="15"/>
      <c r="C2593" s="15"/>
      <c r="D2593" s="105">
        <v>1.0</v>
      </c>
      <c r="E2593" s="102">
        <v>48.0</v>
      </c>
      <c r="F2593" s="107">
        <v>47.0</v>
      </c>
      <c r="G2593" s="15" t="str">
        <f t="shared" si="1"/>
        <v>48047</v>
      </c>
      <c r="H2593" s="23" t="s">
        <v>543</v>
      </c>
      <c r="I2593" s="23" t="s">
        <v>113</v>
      </c>
      <c r="J2593" s="23" t="s">
        <v>219</v>
      </c>
      <c r="K2593" s="23" t="str">
        <f t="shared" si="44"/>
        <v>Brooks, TX</v>
      </c>
      <c r="L2593" s="24"/>
    </row>
    <row r="2594">
      <c r="A2594" s="99">
        <v>2593.0</v>
      </c>
      <c r="B2594" s="15"/>
      <c r="C2594" s="15"/>
      <c r="D2594" s="105">
        <v>1.0</v>
      </c>
      <c r="E2594" s="102">
        <v>48.0</v>
      </c>
      <c r="F2594" s="107">
        <v>49.0</v>
      </c>
      <c r="G2594" s="15" t="str">
        <f t="shared" si="1"/>
        <v>48049</v>
      </c>
      <c r="H2594" s="23" t="s">
        <v>706</v>
      </c>
      <c r="I2594" s="23" t="s">
        <v>113</v>
      </c>
      <c r="J2594" s="23" t="s">
        <v>219</v>
      </c>
      <c r="K2594" s="23" t="str">
        <f t="shared" si="44"/>
        <v>Brown, TX</v>
      </c>
      <c r="L2594" s="24"/>
    </row>
    <row r="2595">
      <c r="A2595" s="99">
        <v>2594.0</v>
      </c>
      <c r="B2595" s="15"/>
      <c r="C2595" s="15"/>
      <c r="D2595" s="105">
        <v>1.0</v>
      </c>
      <c r="E2595" s="102">
        <v>48.0</v>
      </c>
      <c r="F2595" s="107">
        <v>51.0</v>
      </c>
      <c r="G2595" s="15" t="str">
        <f t="shared" si="1"/>
        <v>48051</v>
      </c>
      <c r="H2595" s="23" t="s">
        <v>2027</v>
      </c>
      <c r="I2595" s="23" t="s">
        <v>113</v>
      </c>
      <c r="J2595" s="23" t="s">
        <v>219</v>
      </c>
      <c r="K2595" s="23" t="str">
        <f t="shared" si="44"/>
        <v>Burleson, TX</v>
      </c>
      <c r="L2595" s="24"/>
    </row>
    <row r="2596">
      <c r="A2596" s="99">
        <v>2595.0</v>
      </c>
      <c r="B2596" s="15"/>
      <c r="C2596" s="15"/>
      <c r="D2596" s="105">
        <v>1.0</v>
      </c>
      <c r="E2596" s="102">
        <v>48.0</v>
      </c>
      <c r="F2596" s="107">
        <v>53.0</v>
      </c>
      <c r="G2596" s="15" t="str">
        <f t="shared" si="1"/>
        <v>48053</v>
      </c>
      <c r="H2596" s="23" t="s">
        <v>2028</v>
      </c>
      <c r="I2596" s="23" t="s">
        <v>113</v>
      </c>
      <c r="J2596" s="23" t="s">
        <v>219</v>
      </c>
      <c r="K2596" s="23" t="str">
        <f t="shared" si="44"/>
        <v>Burnet, TX</v>
      </c>
      <c r="L2596" s="24"/>
    </row>
    <row r="2597">
      <c r="A2597" s="99">
        <v>2596.0</v>
      </c>
      <c r="B2597" s="15"/>
      <c r="C2597" s="15"/>
      <c r="D2597" s="105">
        <v>1.0</v>
      </c>
      <c r="E2597" s="102">
        <v>48.0</v>
      </c>
      <c r="F2597" s="107">
        <v>55.0</v>
      </c>
      <c r="G2597" s="15" t="str">
        <f t="shared" si="1"/>
        <v>48055</v>
      </c>
      <c r="H2597" s="23" t="s">
        <v>1034</v>
      </c>
      <c r="I2597" s="23" t="s">
        <v>113</v>
      </c>
      <c r="J2597" s="23" t="s">
        <v>219</v>
      </c>
      <c r="K2597" s="23" t="str">
        <f t="shared" si="44"/>
        <v>Caldwell, TX</v>
      </c>
      <c r="L2597" s="24"/>
    </row>
    <row r="2598">
      <c r="A2598" s="99">
        <v>2597.0</v>
      </c>
      <c r="B2598" s="15"/>
      <c r="C2598" s="15"/>
      <c r="D2598" s="105">
        <v>1.0</v>
      </c>
      <c r="E2598" s="102">
        <v>48.0</v>
      </c>
      <c r="F2598" s="107">
        <v>57.0</v>
      </c>
      <c r="G2598" s="15" t="str">
        <f t="shared" si="1"/>
        <v>48057</v>
      </c>
      <c r="H2598" s="23" t="s">
        <v>93</v>
      </c>
      <c r="I2598" s="23" t="s">
        <v>113</v>
      </c>
      <c r="J2598" s="23" t="s">
        <v>219</v>
      </c>
      <c r="K2598" s="23" t="str">
        <f t="shared" si="44"/>
        <v>Calhoun, TX</v>
      </c>
      <c r="L2598" s="24"/>
    </row>
    <row r="2599">
      <c r="A2599" s="99">
        <v>2598.0</v>
      </c>
      <c r="B2599" s="15"/>
      <c r="C2599" s="15"/>
      <c r="D2599" s="105">
        <v>1.0</v>
      </c>
      <c r="E2599" s="102">
        <v>48.0</v>
      </c>
      <c r="F2599" s="107">
        <v>59.0</v>
      </c>
      <c r="G2599" s="15" t="str">
        <f t="shared" si="1"/>
        <v>48059</v>
      </c>
      <c r="H2599" s="23" t="s">
        <v>2029</v>
      </c>
      <c r="I2599" s="23" t="s">
        <v>113</v>
      </c>
      <c r="J2599" s="23" t="s">
        <v>219</v>
      </c>
      <c r="K2599" s="23" t="str">
        <f t="shared" si="44"/>
        <v>Callahan, TX</v>
      </c>
      <c r="L2599" s="24"/>
    </row>
    <row r="2600">
      <c r="A2600" s="99">
        <v>2599.0</v>
      </c>
      <c r="B2600" s="15"/>
      <c r="C2600" s="15"/>
      <c r="D2600" s="105">
        <v>1.0</v>
      </c>
      <c r="E2600" s="102">
        <v>48.0</v>
      </c>
      <c r="F2600" s="107">
        <v>61.0</v>
      </c>
      <c r="G2600" s="15" t="str">
        <f t="shared" si="1"/>
        <v>48061</v>
      </c>
      <c r="H2600" s="23" t="s">
        <v>1149</v>
      </c>
      <c r="I2600" s="23" t="s">
        <v>113</v>
      </c>
      <c r="J2600" s="23" t="s">
        <v>219</v>
      </c>
      <c r="K2600" s="23" t="str">
        <f t="shared" si="44"/>
        <v>Cameron, TX</v>
      </c>
      <c r="L2600" s="24"/>
    </row>
    <row r="2601">
      <c r="A2601" s="99">
        <v>2600.0</v>
      </c>
      <c r="B2601" s="15"/>
      <c r="C2601" s="15"/>
      <c r="D2601" s="105">
        <v>1.0</v>
      </c>
      <c r="E2601" s="102">
        <v>48.0</v>
      </c>
      <c r="F2601" s="107">
        <v>63.0</v>
      </c>
      <c r="G2601" s="15" t="str">
        <f t="shared" si="1"/>
        <v>48063</v>
      </c>
      <c r="H2601" s="23" t="s">
        <v>2031</v>
      </c>
      <c r="I2601" s="23" t="s">
        <v>113</v>
      </c>
      <c r="J2601" s="23" t="s">
        <v>219</v>
      </c>
      <c r="K2601" s="23" t="str">
        <f t="shared" si="44"/>
        <v>Camp, TX</v>
      </c>
      <c r="L2601" s="24"/>
    </row>
    <row r="2602">
      <c r="A2602" s="99">
        <v>2601.0</v>
      </c>
      <c r="B2602" s="15"/>
      <c r="C2602" s="15"/>
      <c r="D2602" s="105">
        <v>1.0</v>
      </c>
      <c r="E2602" s="102">
        <v>48.0</v>
      </c>
      <c r="F2602" s="107">
        <v>65.0</v>
      </c>
      <c r="G2602" s="15" t="str">
        <f t="shared" si="1"/>
        <v>48065</v>
      </c>
      <c r="H2602" s="23" t="s">
        <v>2032</v>
      </c>
      <c r="I2602" s="23" t="s">
        <v>113</v>
      </c>
      <c r="J2602" s="23" t="s">
        <v>219</v>
      </c>
      <c r="K2602" s="23" t="str">
        <f t="shared" si="44"/>
        <v>Carson, TX</v>
      </c>
      <c r="L2602" s="24"/>
    </row>
    <row r="2603">
      <c r="A2603" s="99">
        <v>2602.0</v>
      </c>
      <c r="B2603" s="15"/>
      <c r="C2603" s="15"/>
      <c r="D2603" s="105">
        <v>1.0</v>
      </c>
      <c r="E2603" s="102">
        <v>48.0</v>
      </c>
      <c r="F2603" s="107">
        <v>67.0</v>
      </c>
      <c r="G2603" s="15" t="str">
        <f t="shared" si="1"/>
        <v>48067</v>
      </c>
      <c r="H2603" s="23" t="s">
        <v>708</v>
      </c>
      <c r="I2603" s="23" t="s">
        <v>113</v>
      </c>
      <c r="J2603" s="23" t="s">
        <v>219</v>
      </c>
      <c r="K2603" s="23" t="str">
        <f t="shared" si="44"/>
        <v>Cass, TX</v>
      </c>
      <c r="L2603" s="24"/>
    </row>
    <row r="2604">
      <c r="A2604" s="99">
        <v>2603.0</v>
      </c>
      <c r="B2604" s="15"/>
      <c r="C2604" s="15"/>
      <c r="D2604" s="105">
        <v>1.0</v>
      </c>
      <c r="E2604" s="102">
        <v>48.0</v>
      </c>
      <c r="F2604" s="107">
        <v>69.0</v>
      </c>
      <c r="G2604" s="15" t="str">
        <f t="shared" si="1"/>
        <v>48069</v>
      </c>
      <c r="H2604" s="23" t="s">
        <v>2033</v>
      </c>
      <c r="I2604" s="23" t="s">
        <v>113</v>
      </c>
      <c r="J2604" s="23" t="s">
        <v>219</v>
      </c>
      <c r="K2604" s="23" t="str">
        <f t="shared" si="44"/>
        <v>Castro, TX</v>
      </c>
      <c r="L2604" s="24"/>
    </row>
    <row r="2605">
      <c r="A2605" s="99">
        <v>2604.0</v>
      </c>
      <c r="B2605" s="15"/>
      <c r="C2605" s="15"/>
      <c r="D2605" s="105">
        <v>1.0</v>
      </c>
      <c r="E2605" s="102">
        <v>48.0</v>
      </c>
      <c r="F2605" s="107">
        <v>71.0</v>
      </c>
      <c r="G2605" s="15" t="str">
        <f t="shared" si="1"/>
        <v>48071</v>
      </c>
      <c r="H2605" s="23" t="s">
        <v>98</v>
      </c>
      <c r="I2605" s="23" t="s">
        <v>113</v>
      </c>
      <c r="J2605" s="23" t="s">
        <v>219</v>
      </c>
      <c r="K2605" s="23" t="str">
        <f t="shared" si="44"/>
        <v>Chambers, TX</v>
      </c>
      <c r="L2605" s="24"/>
    </row>
    <row r="2606">
      <c r="A2606" s="99">
        <v>2605.0</v>
      </c>
      <c r="B2606" s="15"/>
      <c r="C2606" s="15"/>
      <c r="D2606" s="105">
        <v>1.0</v>
      </c>
      <c r="E2606" s="102">
        <v>48.0</v>
      </c>
      <c r="F2606" s="107">
        <v>73.0</v>
      </c>
      <c r="G2606" s="15" t="str">
        <f t="shared" si="1"/>
        <v>48073</v>
      </c>
      <c r="H2606" s="23" t="s">
        <v>101</v>
      </c>
      <c r="I2606" s="23" t="s">
        <v>113</v>
      </c>
      <c r="J2606" s="23" t="s">
        <v>219</v>
      </c>
      <c r="K2606" s="23" t="str">
        <f t="shared" si="44"/>
        <v>Cherokee, TX</v>
      </c>
      <c r="L2606" s="24"/>
    </row>
    <row r="2607">
      <c r="A2607" s="99">
        <v>2606.0</v>
      </c>
      <c r="B2607" s="15"/>
      <c r="C2607" s="15"/>
      <c r="D2607" s="105">
        <v>1.0</v>
      </c>
      <c r="E2607" s="102">
        <v>48.0</v>
      </c>
      <c r="F2607" s="107">
        <v>75.0</v>
      </c>
      <c r="G2607" s="15" t="str">
        <f t="shared" si="1"/>
        <v>48075</v>
      </c>
      <c r="H2607" s="23" t="s">
        <v>2034</v>
      </c>
      <c r="I2607" s="23" t="s">
        <v>113</v>
      </c>
      <c r="J2607" s="23" t="s">
        <v>219</v>
      </c>
      <c r="K2607" s="23" t="str">
        <f t="shared" si="44"/>
        <v>Childress, TX</v>
      </c>
      <c r="L2607" s="24"/>
    </row>
    <row r="2608">
      <c r="A2608" s="99">
        <v>2607.0</v>
      </c>
      <c r="B2608" s="15"/>
      <c r="C2608" s="15"/>
      <c r="D2608" s="105">
        <v>1.0</v>
      </c>
      <c r="E2608" s="102">
        <v>48.0</v>
      </c>
      <c r="F2608" s="107">
        <v>77.0</v>
      </c>
      <c r="G2608" s="15" t="str">
        <f t="shared" si="1"/>
        <v>48077</v>
      </c>
      <c r="H2608" s="23" t="s">
        <v>112</v>
      </c>
      <c r="I2608" s="23" t="s">
        <v>113</v>
      </c>
      <c r="J2608" s="23" t="s">
        <v>219</v>
      </c>
      <c r="K2608" s="23" t="str">
        <f t="shared" si="44"/>
        <v>Clay, TX</v>
      </c>
      <c r="L2608" s="24"/>
    </row>
    <row r="2609">
      <c r="A2609" s="99">
        <v>2608.0</v>
      </c>
      <c r="B2609" s="15"/>
      <c r="C2609" s="15"/>
      <c r="D2609" s="105">
        <v>1.0</v>
      </c>
      <c r="E2609" s="102">
        <v>48.0</v>
      </c>
      <c r="F2609" s="107">
        <v>79.0</v>
      </c>
      <c r="G2609" s="15" t="str">
        <f t="shared" si="1"/>
        <v>48079</v>
      </c>
      <c r="H2609" s="23" t="s">
        <v>2035</v>
      </c>
      <c r="I2609" s="23" t="s">
        <v>113</v>
      </c>
      <c r="J2609" s="23" t="s">
        <v>219</v>
      </c>
      <c r="K2609" s="23" t="str">
        <f t="shared" si="44"/>
        <v>Cochran, TX</v>
      </c>
      <c r="L2609" s="24"/>
    </row>
    <row r="2610">
      <c r="A2610" s="99">
        <v>2609.0</v>
      </c>
      <c r="B2610" s="15"/>
      <c r="C2610" s="15"/>
      <c r="D2610" s="105">
        <v>1.0</v>
      </c>
      <c r="E2610" s="102">
        <v>48.0</v>
      </c>
      <c r="F2610" s="107">
        <v>81.0</v>
      </c>
      <c r="G2610" s="15" t="str">
        <f t="shared" si="1"/>
        <v>48081</v>
      </c>
      <c r="H2610" s="23" t="s">
        <v>2036</v>
      </c>
      <c r="I2610" s="23" t="s">
        <v>113</v>
      </c>
      <c r="J2610" s="23" t="s">
        <v>219</v>
      </c>
      <c r="K2610" s="23" t="str">
        <f t="shared" si="44"/>
        <v>Coke, TX</v>
      </c>
      <c r="L2610" s="24"/>
    </row>
    <row r="2611">
      <c r="A2611" s="99">
        <v>2610.0</v>
      </c>
      <c r="B2611" s="15"/>
      <c r="C2611" s="15"/>
      <c r="D2611" s="105">
        <v>1.0</v>
      </c>
      <c r="E2611" s="102">
        <v>48.0</v>
      </c>
      <c r="F2611" s="107">
        <v>83.0</v>
      </c>
      <c r="G2611" s="15" t="str">
        <f t="shared" si="1"/>
        <v>48083</v>
      </c>
      <c r="H2611" s="23" t="s">
        <v>2037</v>
      </c>
      <c r="I2611" s="23" t="s">
        <v>113</v>
      </c>
      <c r="J2611" s="23" t="s">
        <v>219</v>
      </c>
      <c r="K2611" s="23" t="str">
        <f t="shared" si="44"/>
        <v>Coleman, TX</v>
      </c>
      <c r="L2611" s="24"/>
    </row>
    <row r="2612">
      <c r="A2612" s="99">
        <v>2611.0</v>
      </c>
      <c r="B2612" s="15"/>
      <c r="C2612" s="15"/>
      <c r="D2612" s="105">
        <v>1.0</v>
      </c>
      <c r="E2612" s="102">
        <v>48.0</v>
      </c>
      <c r="F2612" s="107">
        <v>85.0</v>
      </c>
      <c r="G2612" s="15" t="str">
        <f t="shared" si="1"/>
        <v>48085</v>
      </c>
      <c r="H2612" s="23" t="s">
        <v>405</v>
      </c>
      <c r="I2612" s="23" t="s">
        <v>113</v>
      </c>
      <c r="J2612" s="23" t="s">
        <v>219</v>
      </c>
      <c r="K2612" s="23" t="str">
        <f t="shared" si="44"/>
        <v>Collin, TX</v>
      </c>
      <c r="L2612" s="24"/>
    </row>
    <row r="2613">
      <c r="A2613" s="99">
        <v>2612.0</v>
      </c>
      <c r="B2613" s="15"/>
      <c r="C2613" s="15"/>
      <c r="D2613" s="105">
        <v>1.0</v>
      </c>
      <c r="E2613" s="102">
        <v>48.0</v>
      </c>
      <c r="F2613" s="107">
        <v>87.0</v>
      </c>
      <c r="G2613" s="15" t="str">
        <f t="shared" si="1"/>
        <v>48087</v>
      </c>
      <c r="H2613" s="23" t="s">
        <v>2038</v>
      </c>
      <c r="I2613" s="23" t="s">
        <v>113</v>
      </c>
      <c r="J2613" s="23" t="s">
        <v>219</v>
      </c>
      <c r="K2613" s="112" t="str">
        <f t="shared" si="44"/>
        <v>Collingsworth, TX</v>
      </c>
      <c r="L2613" s="24"/>
    </row>
    <row r="2614">
      <c r="A2614" s="99">
        <v>2613.0</v>
      </c>
      <c r="B2614" s="15"/>
      <c r="C2614" s="15"/>
      <c r="D2614" s="105">
        <v>1.0</v>
      </c>
      <c r="E2614" s="102">
        <v>48.0</v>
      </c>
      <c r="F2614" s="107">
        <v>89.0</v>
      </c>
      <c r="G2614" s="15" t="str">
        <f t="shared" si="1"/>
        <v>48089</v>
      </c>
      <c r="H2614" s="23" t="s">
        <v>36</v>
      </c>
      <c r="I2614" s="23" t="s">
        <v>113</v>
      </c>
      <c r="J2614" s="23" t="s">
        <v>219</v>
      </c>
      <c r="K2614" s="23" t="str">
        <f t="shared" si="44"/>
        <v>Colorado, TX</v>
      </c>
      <c r="L2614" s="24"/>
    </row>
    <row r="2615">
      <c r="A2615" s="99">
        <v>2614.0</v>
      </c>
      <c r="B2615" s="15"/>
      <c r="C2615" s="15"/>
      <c r="D2615" s="105">
        <v>1.0</v>
      </c>
      <c r="E2615" s="102">
        <v>48.0</v>
      </c>
      <c r="F2615" s="107">
        <v>91.0</v>
      </c>
      <c r="G2615" s="15" t="str">
        <f t="shared" si="1"/>
        <v>48091</v>
      </c>
      <c r="H2615" s="23" t="s">
        <v>2039</v>
      </c>
      <c r="I2615" s="23" t="s">
        <v>113</v>
      </c>
      <c r="J2615" s="23" t="s">
        <v>219</v>
      </c>
      <c r="K2615" s="23" t="str">
        <f t="shared" si="44"/>
        <v>Comal, TX</v>
      </c>
      <c r="L2615" s="24"/>
    </row>
    <row r="2616">
      <c r="A2616" s="99">
        <v>2615.0</v>
      </c>
      <c r="B2616" s="15"/>
      <c r="C2616" s="15"/>
      <c r="D2616" s="105">
        <v>1.0</v>
      </c>
      <c r="E2616" s="102">
        <v>48.0</v>
      </c>
      <c r="F2616" s="107">
        <v>93.0</v>
      </c>
      <c r="G2616" s="15" t="str">
        <f t="shared" si="1"/>
        <v>48093</v>
      </c>
      <c r="H2616" s="23" t="s">
        <v>964</v>
      </c>
      <c r="I2616" s="23" t="s">
        <v>113</v>
      </c>
      <c r="J2616" s="23" t="s">
        <v>219</v>
      </c>
      <c r="K2616" s="23" t="str">
        <f t="shared" si="44"/>
        <v>Comanche, TX</v>
      </c>
      <c r="L2616" s="24"/>
    </row>
    <row r="2617">
      <c r="A2617" s="99">
        <v>2616.0</v>
      </c>
      <c r="B2617" s="15"/>
      <c r="C2617" s="15"/>
      <c r="D2617" s="105">
        <v>1.0</v>
      </c>
      <c r="E2617" s="102">
        <v>48.0</v>
      </c>
      <c r="F2617" s="107">
        <v>95.0</v>
      </c>
      <c r="G2617" s="15" t="str">
        <f t="shared" si="1"/>
        <v>48095</v>
      </c>
      <c r="H2617" s="23" t="s">
        <v>2041</v>
      </c>
      <c r="I2617" s="23" t="s">
        <v>113</v>
      </c>
      <c r="J2617" s="23" t="s">
        <v>219</v>
      </c>
      <c r="K2617" s="23" t="str">
        <f t="shared" si="44"/>
        <v>Concho, TX</v>
      </c>
      <c r="L2617" s="24"/>
    </row>
    <row r="2618">
      <c r="A2618" s="99">
        <v>2617.0</v>
      </c>
      <c r="B2618" s="15"/>
      <c r="C2618" s="15"/>
      <c r="D2618" s="105">
        <v>1.0</v>
      </c>
      <c r="E2618" s="102">
        <v>48.0</v>
      </c>
      <c r="F2618" s="107">
        <v>97.0</v>
      </c>
      <c r="G2618" s="15" t="str">
        <f t="shared" si="1"/>
        <v>48097</v>
      </c>
      <c r="H2618" s="23" t="s">
        <v>2042</v>
      </c>
      <c r="I2618" s="23" t="s">
        <v>113</v>
      </c>
      <c r="J2618" s="23" t="s">
        <v>219</v>
      </c>
      <c r="K2618" s="23" t="str">
        <f t="shared" si="44"/>
        <v>Cooke, TX</v>
      </c>
      <c r="L2618" s="24"/>
    </row>
    <row r="2619">
      <c r="A2619" s="99">
        <v>2618.0</v>
      </c>
      <c r="B2619" s="15"/>
      <c r="C2619" s="15"/>
      <c r="D2619" s="105">
        <v>1.0</v>
      </c>
      <c r="E2619" s="102">
        <v>48.0</v>
      </c>
      <c r="F2619" s="107">
        <v>99.0</v>
      </c>
      <c r="G2619" s="15" t="str">
        <f t="shared" si="1"/>
        <v>48099</v>
      </c>
      <c r="H2619" s="23" t="s">
        <v>2043</v>
      </c>
      <c r="I2619" s="23" t="s">
        <v>113</v>
      </c>
      <c r="J2619" s="23" t="s">
        <v>219</v>
      </c>
      <c r="K2619" s="23" t="str">
        <f t="shared" si="44"/>
        <v>Coryell, TX</v>
      </c>
      <c r="L2619" s="24"/>
    </row>
    <row r="2620">
      <c r="A2620" s="99">
        <v>2619.0</v>
      </c>
      <c r="B2620" s="15"/>
      <c r="C2620" s="15"/>
      <c r="D2620" s="105">
        <v>1.0</v>
      </c>
      <c r="E2620" s="102">
        <v>48.0</v>
      </c>
      <c r="F2620" s="107">
        <v>101.0</v>
      </c>
      <c r="G2620" s="15" t="str">
        <f t="shared" si="1"/>
        <v>48101</v>
      </c>
      <c r="H2620" s="23" t="s">
        <v>2044</v>
      </c>
      <c r="I2620" s="23" t="s">
        <v>113</v>
      </c>
      <c r="J2620" s="23" t="s">
        <v>219</v>
      </c>
      <c r="K2620" s="23" t="str">
        <f t="shared" si="44"/>
        <v>Cottle, TX</v>
      </c>
      <c r="L2620" s="24"/>
    </row>
    <row r="2621">
      <c r="A2621" s="99">
        <v>2620.0</v>
      </c>
      <c r="B2621" s="15"/>
      <c r="C2621" s="15"/>
      <c r="D2621" s="105">
        <v>1.0</v>
      </c>
      <c r="E2621" s="102">
        <v>48.0</v>
      </c>
      <c r="F2621" s="107">
        <v>103.0</v>
      </c>
      <c r="G2621" s="15" t="str">
        <f t="shared" si="1"/>
        <v>48103</v>
      </c>
      <c r="H2621" s="23" t="s">
        <v>2046</v>
      </c>
      <c r="I2621" s="23" t="s">
        <v>113</v>
      </c>
      <c r="J2621" s="23" t="s">
        <v>219</v>
      </c>
      <c r="K2621" s="23" t="str">
        <f t="shared" si="44"/>
        <v>Crane, TX</v>
      </c>
      <c r="L2621" s="24"/>
    </row>
    <row r="2622">
      <c r="A2622" s="99">
        <v>2621.0</v>
      </c>
      <c r="B2622" s="15"/>
      <c r="C2622" s="15"/>
      <c r="D2622" s="105">
        <v>1.0</v>
      </c>
      <c r="E2622" s="102">
        <v>48.0</v>
      </c>
      <c r="F2622" s="107">
        <v>105.0</v>
      </c>
      <c r="G2622" s="15" t="str">
        <f t="shared" si="1"/>
        <v>48105</v>
      </c>
      <c r="H2622" s="23" t="s">
        <v>1900</v>
      </c>
      <c r="I2622" s="23" t="s">
        <v>113</v>
      </c>
      <c r="J2622" s="23" t="s">
        <v>219</v>
      </c>
      <c r="K2622" s="23" t="str">
        <f t="shared" si="44"/>
        <v>Crockett, TX</v>
      </c>
      <c r="L2622" s="24"/>
    </row>
    <row r="2623">
      <c r="A2623" s="99">
        <v>2622.0</v>
      </c>
      <c r="B2623" s="15"/>
      <c r="C2623" s="15"/>
      <c r="D2623" s="105">
        <v>1.0</v>
      </c>
      <c r="E2623" s="102">
        <v>48.0</v>
      </c>
      <c r="F2623" s="107">
        <v>107.0</v>
      </c>
      <c r="G2623" s="15" t="str">
        <f t="shared" si="1"/>
        <v>48107</v>
      </c>
      <c r="H2623" s="23" t="s">
        <v>2047</v>
      </c>
      <c r="I2623" s="23" t="s">
        <v>113</v>
      </c>
      <c r="J2623" s="23" t="s">
        <v>219</v>
      </c>
      <c r="K2623" s="23" t="str">
        <f t="shared" si="44"/>
        <v>Crosby, TX</v>
      </c>
      <c r="L2623" s="24"/>
    </row>
    <row r="2624">
      <c r="A2624" s="99">
        <v>2623.0</v>
      </c>
      <c r="B2624" s="15"/>
      <c r="C2624" s="15"/>
      <c r="D2624" s="105">
        <v>1.0</v>
      </c>
      <c r="E2624" s="102">
        <v>48.0</v>
      </c>
      <c r="F2624" s="107">
        <v>109.0</v>
      </c>
      <c r="G2624" s="15" t="str">
        <f t="shared" si="1"/>
        <v>48109</v>
      </c>
      <c r="H2624" s="23" t="s">
        <v>2049</v>
      </c>
      <c r="I2624" s="23" t="s">
        <v>113</v>
      </c>
      <c r="J2624" s="23" t="s">
        <v>219</v>
      </c>
      <c r="K2624" s="23" t="str">
        <f t="shared" si="44"/>
        <v>Culberson, TX</v>
      </c>
      <c r="L2624" s="24"/>
    </row>
    <row r="2625">
      <c r="A2625" s="99">
        <v>2624.0</v>
      </c>
      <c r="B2625" s="15"/>
      <c r="C2625" s="15"/>
      <c r="D2625" s="105">
        <v>1.0</v>
      </c>
      <c r="E2625" s="102">
        <v>48.0</v>
      </c>
      <c r="F2625" s="107">
        <v>111.0</v>
      </c>
      <c r="G2625" s="15" t="str">
        <f t="shared" si="1"/>
        <v>48111</v>
      </c>
      <c r="H2625" s="23" t="s">
        <v>2050</v>
      </c>
      <c r="I2625" s="23" t="s">
        <v>113</v>
      </c>
      <c r="J2625" s="23" t="s">
        <v>219</v>
      </c>
      <c r="K2625" s="23" t="str">
        <f t="shared" si="44"/>
        <v>Dallam, TX</v>
      </c>
      <c r="L2625" s="24"/>
    </row>
    <row r="2626">
      <c r="A2626" s="99">
        <v>2625.0</v>
      </c>
      <c r="B2626" s="15"/>
      <c r="C2626" s="15"/>
      <c r="D2626" s="105">
        <v>1.0</v>
      </c>
      <c r="E2626" s="102">
        <v>48.0</v>
      </c>
      <c r="F2626" s="107">
        <v>113.0</v>
      </c>
      <c r="G2626" s="15" t="str">
        <f t="shared" si="1"/>
        <v>48113</v>
      </c>
      <c r="H2626" s="23" t="s">
        <v>130</v>
      </c>
      <c r="I2626" s="23" t="s">
        <v>113</v>
      </c>
      <c r="J2626" s="23" t="s">
        <v>219</v>
      </c>
      <c r="K2626" s="23" t="str">
        <f t="shared" si="44"/>
        <v>Dallas, TX</v>
      </c>
      <c r="L2626" s="24"/>
    </row>
    <row r="2627">
      <c r="A2627" s="99">
        <v>2626.0</v>
      </c>
      <c r="B2627" s="15"/>
      <c r="C2627" s="15"/>
      <c r="D2627" s="105">
        <v>1.0</v>
      </c>
      <c r="E2627" s="102">
        <v>48.0</v>
      </c>
      <c r="F2627" s="107">
        <v>115.0</v>
      </c>
      <c r="G2627" s="15" t="str">
        <f t="shared" si="1"/>
        <v>48115</v>
      </c>
      <c r="H2627" s="23" t="s">
        <v>562</v>
      </c>
      <c r="I2627" s="23" t="s">
        <v>113</v>
      </c>
      <c r="J2627" s="23" t="s">
        <v>219</v>
      </c>
      <c r="K2627" s="23" t="str">
        <f t="shared" si="44"/>
        <v>Dawson, TX</v>
      </c>
      <c r="L2627" s="24"/>
    </row>
    <row r="2628">
      <c r="A2628" s="99">
        <v>2627.0</v>
      </c>
      <c r="B2628" s="15"/>
      <c r="C2628" s="15"/>
      <c r="D2628" s="105">
        <v>1.0</v>
      </c>
      <c r="E2628" s="102">
        <v>48.0</v>
      </c>
      <c r="F2628" s="107">
        <v>117.0</v>
      </c>
      <c r="G2628" s="15" t="str">
        <f t="shared" si="1"/>
        <v>48117</v>
      </c>
      <c r="H2628" s="23" t="s">
        <v>2052</v>
      </c>
      <c r="I2628" s="23" t="s">
        <v>113</v>
      </c>
      <c r="J2628" s="23" t="s">
        <v>219</v>
      </c>
      <c r="K2628" s="23" t="str">
        <f t="shared" si="44"/>
        <v>Deaf Smith, TX</v>
      </c>
      <c r="L2628" s="24"/>
    </row>
    <row r="2629">
      <c r="A2629" s="99">
        <v>2628.0</v>
      </c>
      <c r="B2629" s="15"/>
      <c r="C2629" s="15"/>
      <c r="D2629" s="105">
        <v>1.0</v>
      </c>
      <c r="E2629" s="102">
        <v>48.0</v>
      </c>
      <c r="F2629" s="107">
        <v>119.0</v>
      </c>
      <c r="G2629" s="15" t="str">
        <f t="shared" si="1"/>
        <v>48119</v>
      </c>
      <c r="H2629" s="23" t="s">
        <v>407</v>
      </c>
      <c r="I2629" s="23" t="s">
        <v>113</v>
      </c>
      <c r="J2629" s="23" t="s">
        <v>219</v>
      </c>
      <c r="K2629" s="23" t="str">
        <f t="shared" si="44"/>
        <v>Delta, TX</v>
      </c>
      <c r="L2629" s="24"/>
    </row>
    <row r="2630">
      <c r="A2630" s="99">
        <v>2629.0</v>
      </c>
      <c r="B2630" s="15"/>
      <c r="C2630" s="15"/>
      <c r="D2630" s="105">
        <v>1.0</v>
      </c>
      <c r="E2630" s="102">
        <v>48.0</v>
      </c>
      <c r="F2630" s="107">
        <v>121.0</v>
      </c>
      <c r="G2630" s="15" t="str">
        <f t="shared" si="1"/>
        <v>48121</v>
      </c>
      <c r="H2630" s="23" t="s">
        <v>485</v>
      </c>
      <c r="I2630" s="23" t="s">
        <v>113</v>
      </c>
      <c r="J2630" s="23" t="s">
        <v>219</v>
      </c>
      <c r="K2630" s="23" t="str">
        <f t="shared" si="44"/>
        <v>Denton, TX</v>
      </c>
      <c r="L2630" s="24"/>
    </row>
    <row r="2631">
      <c r="A2631" s="99">
        <v>2630.0</v>
      </c>
      <c r="B2631" s="15"/>
      <c r="C2631" s="15"/>
      <c r="D2631" s="105">
        <v>1.0</v>
      </c>
      <c r="E2631" s="102">
        <v>48.0</v>
      </c>
      <c r="F2631" s="107">
        <v>123.0</v>
      </c>
      <c r="G2631" s="15" t="str">
        <f t="shared" si="1"/>
        <v>48123</v>
      </c>
      <c r="H2631" s="23" t="s">
        <v>2055</v>
      </c>
      <c r="I2631" s="23" t="s">
        <v>113</v>
      </c>
      <c r="J2631" s="23" t="s">
        <v>219</v>
      </c>
      <c r="K2631" s="23" t="str">
        <f t="shared" si="44"/>
        <v>De Witt, TX</v>
      </c>
      <c r="L2631" s="24"/>
    </row>
    <row r="2632">
      <c r="A2632" s="99">
        <v>2631.0</v>
      </c>
      <c r="B2632" s="15"/>
      <c r="C2632" s="15"/>
      <c r="D2632" s="105">
        <v>1.0</v>
      </c>
      <c r="E2632" s="102">
        <v>48.0</v>
      </c>
      <c r="F2632" s="107">
        <v>125.0</v>
      </c>
      <c r="G2632" s="15" t="str">
        <f t="shared" si="1"/>
        <v>48125</v>
      </c>
      <c r="H2632" s="23" t="s">
        <v>2056</v>
      </c>
      <c r="I2632" s="23" t="s">
        <v>113</v>
      </c>
      <c r="J2632" s="23" t="s">
        <v>219</v>
      </c>
      <c r="K2632" s="23" t="str">
        <f t="shared" si="44"/>
        <v>Dickens, TX</v>
      </c>
      <c r="L2632" s="24"/>
    </row>
    <row r="2633">
      <c r="A2633" s="99">
        <v>2632.0</v>
      </c>
      <c r="B2633" s="15"/>
      <c r="C2633" s="15"/>
      <c r="D2633" s="105">
        <v>1.0</v>
      </c>
      <c r="E2633" s="102">
        <v>48.0</v>
      </c>
      <c r="F2633" s="107">
        <v>127.0</v>
      </c>
      <c r="G2633" s="15" t="str">
        <f t="shared" si="1"/>
        <v>48127</v>
      </c>
      <c r="H2633" s="23" t="s">
        <v>2057</v>
      </c>
      <c r="I2633" s="23" t="s">
        <v>113</v>
      </c>
      <c r="J2633" s="23" t="s">
        <v>219</v>
      </c>
      <c r="K2633" s="23" t="str">
        <f t="shared" si="44"/>
        <v>Dimmit, TX</v>
      </c>
      <c r="L2633" s="24"/>
    </row>
    <row r="2634">
      <c r="A2634" s="99">
        <v>2633.0</v>
      </c>
      <c r="B2634" s="15"/>
      <c r="C2634" s="15"/>
      <c r="D2634" s="105">
        <v>1.0</v>
      </c>
      <c r="E2634" s="102">
        <v>48.0</v>
      </c>
      <c r="F2634" s="107">
        <v>129.0</v>
      </c>
      <c r="G2634" s="15" t="str">
        <f t="shared" si="1"/>
        <v>48129</v>
      </c>
      <c r="H2634" s="23" t="s">
        <v>2059</v>
      </c>
      <c r="I2634" s="23" t="s">
        <v>113</v>
      </c>
      <c r="J2634" s="23" t="s">
        <v>219</v>
      </c>
      <c r="K2634" s="23" t="str">
        <f t="shared" si="44"/>
        <v>Donley, TX</v>
      </c>
      <c r="L2634" s="24"/>
    </row>
    <row r="2635">
      <c r="A2635" s="99">
        <v>2634.0</v>
      </c>
      <c r="B2635" s="15"/>
      <c r="C2635" s="15"/>
      <c r="D2635" s="105">
        <v>1.0</v>
      </c>
      <c r="E2635" s="102">
        <v>48.0</v>
      </c>
      <c r="F2635" s="107">
        <v>131.0</v>
      </c>
      <c r="G2635" s="15" t="str">
        <f t="shared" si="1"/>
        <v>48131</v>
      </c>
      <c r="H2635" s="23" t="s">
        <v>433</v>
      </c>
      <c r="I2635" s="23" t="s">
        <v>113</v>
      </c>
      <c r="J2635" s="23" t="s">
        <v>219</v>
      </c>
      <c r="K2635" s="23" t="str">
        <f t="shared" si="44"/>
        <v>Duval, TX</v>
      </c>
      <c r="L2635" s="24"/>
    </row>
    <row r="2636">
      <c r="A2636" s="99">
        <v>2635.0</v>
      </c>
      <c r="B2636" s="15"/>
      <c r="C2636" s="15"/>
      <c r="D2636" s="105">
        <v>1.0</v>
      </c>
      <c r="E2636" s="102">
        <v>48.0</v>
      </c>
      <c r="F2636" s="107">
        <v>133.0</v>
      </c>
      <c r="G2636" s="15" t="str">
        <f t="shared" si="1"/>
        <v>48133</v>
      </c>
      <c r="H2636" s="23" t="s">
        <v>2061</v>
      </c>
      <c r="I2636" s="23" t="s">
        <v>113</v>
      </c>
      <c r="J2636" s="23" t="s">
        <v>219</v>
      </c>
      <c r="K2636" s="23" t="str">
        <f t="shared" si="44"/>
        <v>Eastland, TX</v>
      </c>
      <c r="L2636" s="24"/>
    </row>
    <row r="2637">
      <c r="A2637" s="99">
        <v>2636.0</v>
      </c>
      <c r="B2637" s="15"/>
      <c r="C2637" s="15"/>
      <c r="D2637" s="105">
        <v>1.0</v>
      </c>
      <c r="E2637" s="102">
        <v>48.0</v>
      </c>
      <c r="F2637" s="107">
        <v>135.0</v>
      </c>
      <c r="G2637" s="15" t="str">
        <f t="shared" si="1"/>
        <v>48135</v>
      </c>
      <c r="H2637" s="23" t="s">
        <v>2062</v>
      </c>
      <c r="I2637" s="23" t="s">
        <v>113</v>
      </c>
      <c r="J2637" s="23" t="s">
        <v>219</v>
      </c>
      <c r="K2637" s="23" t="str">
        <f t="shared" si="44"/>
        <v>Ector, TX</v>
      </c>
      <c r="L2637" s="24"/>
    </row>
    <row r="2638">
      <c r="A2638" s="99">
        <v>2637.0</v>
      </c>
      <c r="B2638" s="15"/>
      <c r="C2638" s="15"/>
      <c r="D2638" s="105">
        <v>1.0</v>
      </c>
      <c r="E2638" s="102">
        <v>48.0</v>
      </c>
      <c r="F2638" s="107">
        <v>137.0</v>
      </c>
      <c r="G2638" s="15" t="str">
        <f t="shared" si="1"/>
        <v>48137</v>
      </c>
      <c r="H2638" s="23" t="s">
        <v>717</v>
      </c>
      <c r="I2638" s="23" t="s">
        <v>113</v>
      </c>
      <c r="J2638" s="23" t="s">
        <v>219</v>
      </c>
      <c r="K2638" s="23" t="str">
        <f t="shared" si="44"/>
        <v>Edwards, TX</v>
      </c>
      <c r="L2638" s="24"/>
    </row>
    <row r="2639">
      <c r="A2639" s="99">
        <v>2638.0</v>
      </c>
      <c r="B2639" s="15"/>
      <c r="C2639" s="15"/>
      <c r="D2639" s="105">
        <v>1.0</v>
      </c>
      <c r="E2639" s="102">
        <v>48.0</v>
      </c>
      <c r="F2639" s="107">
        <v>139.0</v>
      </c>
      <c r="G2639" s="15" t="str">
        <f t="shared" si="1"/>
        <v>48139</v>
      </c>
      <c r="H2639" s="23" t="s">
        <v>969</v>
      </c>
      <c r="I2639" s="23" t="s">
        <v>113</v>
      </c>
      <c r="J2639" s="23" t="s">
        <v>219</v>
      </c>
      <c r="K2639" s="23" t="str">
        <f t="shared" si="44"/>
        <v>Ellis, TX</v>
      </c>
      <c r="L2639" s="24"/>
    </row>
    <row r="2640">
      <c r="A2640" s="99">
        <v>2639.0</v>
      </c>
      <c r="B2640" s="15"/>
      <c r="C2640" s="15"/>
      <c r="D2640" s="105">
        <v>1.0</v>
      </c>
      <c r="E2640" s="102">
        <v>48.0</v>
      </c>
      <c r="F2640" s="107">
        <v>141.0</v>
      </c>
      <c r="G2640" s="15" t="str">
        <f t="shared" si="1"/>
        <v>48141</v>
      </c>
      <c r="H2640" s="23" t="s">
        <v>415</v>
      </c>
      <c r="I2640" s="23" t="s">
        <v>113</v>
      </c>
      <c r="J2640" s="23" t="s">
        <v>219</v>
      </c>
      <c r="K2640" s="23" t="str">
        <f t="shared" si="44"/>
        <v>El Paso, TX</v>
      </c>
      <c r="L2640" s="24"/>
    </row>
    <row r="2641">
      <c r="A2641" s="99">
        <v>2640.0</v>
      </c>
      <c r="B2641" s="15"/>
      <c r="C2641" s="15"/>
      <c r="D2641" s="105">
        <v>1.0</v>
      </c>
      <c r="E2641" s="102">
        <v>48.0</v>
      </c>
      <c r="F2641" s="107">
        <v>143.0</v>
      </c>
      <c r="G2641" s="15" t="str">
        <f t="shared" si="1"/>
        <v>48143</v>
      </c>
      <c r="H2641" s="23" t="s">
        <v>2064</v>
      </c>
      <c r="I2641" s="23" t="s">
        <v>113</v>
      </c>
      <c r="J2641" s="23" t="s">
        <v>219</v>
      </c>
      <c r="K2641" s="23" t="str">
        <f t="shared" si="44"/>
        <v>Erath, TX</v>
      </c>
      <c r="L2641" s="24"/>
    </row>
    <row r="2642">
      <c r="A2642" s="99">
        <v>2641.0</v>
      </c>
      <c r="B2642" s="15"/>
      <c r="C2642" s="15"/>
      <c r="D2642" s="105">
        <v>1.0</v>
      </c>
      <c r="E2642" s="102">
        <v>48.0</v>
      </c>
      <c r="F2642" s="107">
        <v>145.0</v>
      </c>
      <c r="G2642" s="15" t="str">
        <f t="shared" si="1"/>
        <v>48145</v>
      </c>
      <c r="H2642" s="23" t="s">
        <v>2065</v>
      </c>
      <c r="I2642" s="23" t="s">
        <v>113</v>
      </c>
      <c r="J2642" s="23" t="s">
        <v>219</v>
      </c>
      <c r="K2642" s="23" t="str">
        <f t="shared" si="44"/>
        <v>Falls, TX</v>
      </c>
      <c r="L2642" s="24"/>
    </row>
    <row r="2643">
      <c r="A2643" s="99">
        <v>2642.0</v>
      </c>
      <c r="B2643" s="15"/>
      <c r="C2643" s="15"/>
      <c r="D2643" s="105">
        <v>1.0</v>
      </c>
      <c r="E2643" s="102">
        <v>48.0</v>
      </c>
      <c r="F2643" s="107">
        <v>147.0</v>
      </c>
      <c r="G2643" s="15" t="str">
        <f t="shared" si="1"/>
        <v>48147</v>
      </c>
      <c r="H2643" s="23" t="s">
        <v>574</v>
      </c>
      <c r="I2643" s="23" t="s">
        <v>113</v>
      </c>
      <c r="J2643" s="23" t="s">
        <v>219</v>
      </c>
      <c r="K2643" s="23" t="str">
        <f t="shared" si="44"/>
        <v>Fannin, TX</v>
      </c>
      <c r="L2643" s="24"/>
    </row>
    <row r="2644">
      <c r="A2644" s="99">
        <v>2643.0</v>
      </c>
      <c r="B2644" s="15"/>
      <c r="C2644" s="15"/>
      <c r="D2644" s="105">
        <v>1.0</v>
      </c>
      <c r="E2644" s="102">
        <v>48.0</v>
      </c>
      <c r="F2644" s="107">
        <v>149.0</v>
      </c>
      <c r="G2644" s="15" t="str">
        <f t="shared" si="1"/>
        <v>48149</v>
      </c>
      <c r="H2644" s="23" t="s">
        <v>135</v>
      </c>
      <c r="I2644" s="23" t="s">
        <v>113</v>
      </c>
      <c r="J2644" s="23" t="s">
        <v>219</v>
      </c>
      <c r="K2644" s="23" t="str">
        <f t="shared" si="44"/>
        <v>Fayette, TX</v>
      </c>
      <c r="L2644" s="24"/>
    </row>
    <row r="2645">
      <c r="A2645" s="99">
        <v>2644.0</v>
      </c>
      <c r="B2645" s="15"/>
      <c r="C2645" s="15"/>
      <c r="D2645" s="105">
        <v>1.0</v>
      </c>
      <c r="E2645" s="102">
        <v>48.0</v>
      </c>
      <c r="F2645" s="107">
        <v>151.0</v>
      </c>
      <c r="G2645" s="15" t="str">
        <f t="shared" si="1"/>
        <v>48151</v>
      </c>
      <c r="H2645" s="23" t="s">
        <v>2066</v>
      </c>
      <c r="I2645" s="23" t="s">
        <v>113</v>
      </c>
      <c r="J2645" s="23" t="s">
        <v>219</v>
      </c>
      <c r="K2645" s="23" t="str">
        <f t="shared" si="44"/>
        <v>Fisher, TX</v>
      </c>
      <c r="L2645" s="24"/>
    </row>
    <row r="2646">
      <c r="A2646" s="99">
        <v>2645.0</v>
      </c>
      <c r="B2646" s="15"/>
      <c r="C2646" s="15"/>
      <c r="D2646" s="105">
        <v>1.0</v>
      </c>
      <c r="E2646" s="102">
        <v>48.0</v>
      </c>
      <c r="F2646" s="107">
        <v>153.0</v>
      </c>
      <c r="G2646" s="15" t="str">
        <f t="shared" si="1"/>
        <v>48153</v>
      </c>
      <c r="H2646" s="23" t="s">
        <v>575</v>
      </c>
      <c r="I2646" s="23" t="s">
        <v>113</v>
      </c>
      <c r="J2646" s="23" t="s">
        <v>219</v>
      </c>
      <c r="K2646" s="23" t="str">
        <f t="shared" si="44"/>
        <v>Floyd, TX</v>
      </c>
      <c r="L2646" s="24"/>
    </row>
    <row r="2647">
      <c r="A2647" s="99">
        <v>2646.0</v>
      </c>
      <c r="B2647" s="15"/>
      <c r="C2647" s="15"/>
      <c r="D2647" s="105">
        <v>1.0</v>
      </c>
      <c r="E2647" s="102">
        <v>48.0</v>
      </c>
      <c r="F2647" s="107">
        <v>155.0</v>
      </c>
      <c r="G2647" s="15" t="str">
        <f t="shared" si="1"/>
        <v>48155</v>
      </c>
      <c r="H2647" s="23" t="s">
        <v>2067</v>
      </c>
      <c r="I2647" s="23" t="s">
        <v>113</v>
      </c>
      <c r="J2647" s="23" t="s">
        <v>219</v>
      </c>
      <c r="K2647" s="23" t="str">
        <f t="shared" si="44"/>
        <v>Foard, TX</v>
      </c>
      <c r="L2647" s="24"/>
    </row>
    <row r="2648">
      <c r="A2648" s="99">
        <v>2647.0</v>
      </c>
      <c r="B2648" s="15"/>
      <c r="C2648" s="15"/>
      <c r="D2648" s="105">
        <v>1.0</v>
      </c>
      <c r="E2648" s="102">
        <v>48.0</v>
      </c>
      <c r="F2648" s="107">
        <v>157.0</v>
      </c>
      <c r="G2648" s="15" t="str">
        <f t="shared" si="1"/>
        <v>48157</v>
      </c>
      <c r="H2648" s="23" t="s">
        <v>527</v>
      </c>
      <c r="I2648" s="23" t="s">
        <v>113</v>
      </c>
      <c r="J2648" s="23" t="s">
        <v>219</v>
      </c>
      <c r="K2648" s="23" t="str">
        <f t="shared" si="44"/>
        <v>Fort Bend, TX</v>
      </c>
      <c r="L2648" s="24"/>
    </row>
    <row r="2649">
      <c r="A2649" s="99">
        <v>2648.0</v>
      </c>
      <c r="B2649" s="15"/>
      <c r="C2649" s="15"/>
      <c r="D2649" s="105">
        <v>1.0</v>
      </c>
      <c r="E2649" s="102">
        <v>48.0</v>
      </c>
      <c r="F2649" s="107">
        <v>159.0</v>
      </c>
      <c r="G2649" s="15" t="str">
        <f t="shared" si="1"/>
        <v>48159</v>
      </c>
      <c r="H2649" s="23" t="s">
        <v>136</v>
      </c>
      <c r="I2649" s="23" t="s">
        <v>113</v>
      </c>
      <c r="J2649" s="23" t="s">
        <v>219</v>
      </c>
      <c r="K2649" s="23" t="str">
        <f t="shared" si="44"/>
        <v>Franklin, TX</v>
      </c>
      <c r="L2649" s="24"/>
    </row>
    <row r="2650">
      <c r="A2650" s="99">
        <v>2649.0</v>
      </c>
      <c r="B2650" s="15"/>
      <c r="C2650" s="15"/>
      <c r="D2650" s="105">
        <v>1.0</v>
      </c>
      <c r="E2650" s="102">
        <v>48.0</v>
      </c>
      <c r="F2650" s="107">
        <v>161.0</v>
      </c>
      <c r="G2650" s="15" t="str">
        <f t="shared" si="1"/>
        <v>48161</v>
      </c>
      <c r="H2650" s="23" t="s">
        <v>2068</v>
      </c>
      <c r="I2650" s="23" t="s">
        <v>113</v>
      </c>
      <c r="J2650" s="23" t="s">
        <v>219</v>
      </c>
      <c r="K2650" s="23" t="str">
        <f t="shared" si="44"/>
        <v>Freestone, TX</v>
      </c>
      <c r="L2650" s="24"/>
    </row>
    <row r="2651">
      <c r="A2651" s="99">
        <v>2650.0</v>
      </c>
      <c r="B2651" s="15"/>
      <c r="C2651" s="15"/>
      <c r="D2651" s="105">
        <v>1.0</v>
      </c>
      <c r="E2651" s="102">
        <v>48.0</v>
      </c>
      <c r="F2651" s="107">
        <v>163.0</v>
      </c>
      <c r="G2651" s="15" t="str">
        <f t="shared" si="1"/>
        <v>48163</v>
      </c>
      <c r="H2651" s="23" t="s">
        <v>2069</v>
      </c>
      <c r="I2651" s="23" t="s">
        <v>113</v>
      </c>
      <c r="J2651" s="23" t="s">
        <v>219</v>
      </c>
      <c r="K2651" s="23" t="str">
        <f t="shared" si="44"/>
        <v>Frio, TX</v>
      </c>
      <c r="L2651" s="24"/>
    </row>
    <row r="2652">
      <c r="A2652" s="99">
        <v>2651.0</v>
      </c>
      <c r="B2652" s="15"/>
      <c r="C2652" s="15"/>
      <c r="D2652" s="105">
        <v>1.0</v>
      </c>
      <c r="E2652" s="102">
        <v>48.0</v>
      </c>
      <c r="F2652" s="107">
        <v>165.0</v>
      </c>
      <c r="G2652" s="15" t="str">
        <f t="shared" si="1"/>
        <v>48165</v>
      </c>
      <c r="H2652" s="23" t="s">
        <v>2070</v>
      </c>
      <c r="I2652" s="23" t="s">
        <v>113</v>
      </c>
      <c r="J2652" s="23" t="s">
        <v>219</v>
      </c>
      <c r="K2652" s="23" t="str">
        <f t="shared" si="44"/>
        <v>Gaines, TX</v>
      </c>
      <c r="L2652" s="24"/>
    </row>
    <row r="2653">
      <c r="A2653" s="99">
        <v>2652.0</v>
      </c>
      <c r="B2653" s="15"/>
      <c r="C2653" s="15"/>
      <c r="D2653" s="105">
        <v>1.0</v>
      </c>
      <c r="E2653" s="102">
        <v>48.0</v>
      </c>
      <c r="F2653" s="107">
        <v>167.0</v>
      </c>
      <c r="G2653" s="15" t="str">
        <f t="shared" si="1"/>
        <v>48167</v>
      </c>
      <c r="H2653" s="23" t="s">
        <v>2071</v>
      </c>
      <c r="I2653" s="23" t="s">
        <v>113</v>
      </c>
      <c r="J2653" s="23" t="s">
        <v>219</v>
      </c>
      <c r="K2653" s="23" t="str">
        <f t="shared" si="44"/>
        <v>Galveston, TX</v>
      </c>
      <c r="L2653" s="24"/>
    </row>
    <row r="2654">
      <c r="A2654" s="99">
        <v>2653.0</v>
      </c>
      <c r="B2654" s="15"/>
      <c r="C2654" s="15"/>
      <c r="D2654" s="105">
        <v>1.0</v>
      </c>
      <c r="E2654" s="102">
        <v>48.0</v>
      </c>
      <c r="F2654" s="107">
        <v>169.0</v>
      </c>
      <c r="G2654" s="15" t="str">
        <f t="shared" si="1"/>
        <v>48169</v>
      </c>
      <c r="H2654" s="23" t="s">
        <v>2072</v>
      </c>
      <c r="I2654" s="23" t="s">
        <v>113</v>
      </c>
      <c r="J2654" s="23" t="s">
        <v>219</v>
      </c>
      <c r="K2654" s="23" t="str">
        <f t="shared" si="44"/>
        <v>Garza, TX</v>
      </c>
      <c r="L2654" s="24"/>
    </row>
    <row r="2655">
      <c r="A2655" s="99">
        <v>2654.0</v>
      </c>
      <c r="B2655" s="15"/>
      <c r="C2655" s="15"/>
      <c r="D2655" s="105">
        <v>1.0</v>
      </c>
      <c r="E2655" s="102">
        <v>48.0</v>
      </c>
      <c r="F2655" s="107">
        <v>171.0</v>
      </c>
      <c r="G2655" s="15" t="str">
        <f t="shared" si="1"/>
        <v>48171</v>
      </c>
      <c r="H2655" s="23" t="s">
        <v>2073</v>
      </c>
      <c r="I2655" s="23" t="s">
        <v>113</v>
      </c>
      <c r="J2655" s="23" t="s">
        <v>219</v>
      </c>
      <c r="K2655" s="23" t="str">
        <f t="shared" si="44"/>
        <v>Gillespie, TX</v>
      </c>
      <c r="L2655" s="24"/>
    </row>
    <row r="2656">
      <c r="A2656" s="99">
        <v>2655.0</v>
      </c>
      <c r="B2656" s="15"/>
      <c r="C2656" s="15"/>
      <c r="D2656" s="105">
        <v>1.0</v>
      </c>
      <c r="E2656" s="102">
        <v>48.0</v>
      </c>
      <c r="F2656" s="107">
        <v>173.0</v>
      </c>
      <c r="G2656" s="15" t="str">
        <f t="shared" si="1"/>
        <v>48173</v>
      </c>
      <c r="H2656" s="23" t="s">
        <v>2074</v>
      </c>
      <c r="I2656" s="23" t="s">
        <v>113</v>
      </c>
      <c r="J2656" s="23" t="s">
        <v>219</v>
      </c>
      <c r="K2656" s="23" t="str">
        <f t="shared" si="44"/>
        <v>Glasscock, TX</v>
      </c>
      <c r="L2656" s="24"/>
    </row>
    <row r="2657">
      <c r="A2657" s="99">
        <v>2656.0</v>
      </c>
      <c r="B2657" s="15"/>
      <c r="C2657" s="15"/>
      <c r="D2657" s="105">
        <v>1.0</v>
      </c>
      <c r="E2657" s="102">
        <v>48.0</v>
      </c>
      <c r="F2657" s="107">
        <v>175.0</v>
      </c>
      <c r="G2657" s="15" t="str">
        <f t="shared" si="1"/>
        <v>48175</v>
      </c>
      <c r="H2657" s="23" t="s">
        <v>2075</v>
      </c>
      <c r="I2657" s="23" t="s">
        <v>113</v>
      </c>
      <c r="J2657" s="23" t="s">
        <v>219</v>
      </c>
      <c r="K2657" s="23" t="str">
        <f t="shared" si="44"/>
        <v>Goliad, TX</v>
      </c>
      <c r="L2657" s="24"/>
    </row>
    <row r="2658">
      <c r="A2658" s="99">
        <v>2657.0</v>
      </c>
      <c r="B2658" s="15"/>
      <c r="C2658" s="15"/>
      <c r="D2658" s="105">
        <v>1.0</v>
      </c>
      <c r="E2658" s="102">
        <v>48.0</v>
      </c>
      <c r="F2658" s="107">
        <v>177.0</v>
      </c>
      <c r="G2658" s="15" t="str">
        <f t="shared" si="1"/>
        <v>48177</v>
      </c>
      <c r="H2658" s="23" t="s">
        <v>2076</v>
      </c>
      <c r="I2658" s="23" t="s">
        <v>113</v>
      </c>
      <c r="J2658" s="23" t="s">
        <v>219</v>
      </c>
      <c r="K2658" s="23" t="str">
        <f t="shared" si="44"/>
        <v>Gonzales, TX</v>
      </c>
      <c r="L2658" s="24"/>
    </row>
    <row r="2659">
      <c r="A2659" s="99">
        <v>2658.0</v>
      </c>
      <c r="B2659" s="15"/>
      <c r="C2659" s="15"/>
      <c r="D2659" s="105">
        <v>1.0</v>
      </c>
      <c r="E2659" s="102">
        <v>48.0</v>
      </c>
      <c r="F2659" s="107">
        <v>179.0</v>
      </c>
      <c r="G2659" s="15" t="str">
        <f t="shared" si="1"/>
        <v>48179</v>
      </c>
      <c r="H2659" s="23" t="s">
        <v>975</v>
      </c>
      <c r="I2659" s="23" t="s">
        <v>113</v>
      </c>
      <c r="J2659" s="23" t="s">
        <v>219</v>
      </c>
      <c r="K2659" s="23" t="str">
        <f t="shared" si="44"/>
        <v>Gray, TX</v>
      </c>
      <c r="L2659" s="24"/>
    </row>
    <row r="2660">
      <c r="A2660" s="99">
        <v>2659.0</v>
      </c>
      <c r="B2660" s="15"/>
      <c r="C2660" s="15"/>
      <c r="D2660" s="105">
        <v>1.0</v>
      </c>
      <c r="E2660" s="102">
        <v>48.0</v>
      </c>
      <c r="F2660" s="107">
        <v>181.0</v>
      </c>
      <c r="G2660" s="15" t="str">
        <f t="shared" si="1"/>
        <v>48181</v>
      </c>
      <c r="H2660" s="23" t="s">
        <v>1072</v>
      </c>
      <c r="I2660" s="23" t="s">
        <v>113</v>
      </c>
      <c r="J2660" s="23" t="s">
        <v>219</v>
      </c>
      <c r="K2660" s="23" t="str">
        <f t="shared" si="44"/>
        <v>Grayson, TX</v>
      </c>
      <c r="L2660" s="24"/>
    </row>
    <row r="2661">
      <c r="A2661" s="99">
        <v>2660.0</v>
      </c>
      <c r="B2661" s="15"/>
      <c r="C2661" s="15"/>
      <c r="D2661" s="105">
        <v>1.0</v>
      </c>
      <c r="E2661" s="102">
        <v>48.0</v>
      </c>
      <c r="F2661" s="107">
        <v>183.0</v>
      </c>
      <c r="G2661" s="15" t="str">
        <f t="shared" si="1"/>
        <v>48183</v>
      </c>
      <c r="H2661" s="23" t="s">
        <v>2078</v>
      </c>
      <c r="I2661" s="23" t="s">
        <v>113</v>
      </c>
      <c r="J2661" s="23" t="s">
        <v>219</v>
      </c>
      <c r="K2661" s="23" t="str">
        <f t="shared" si="44"/>
        <v>Gregg, TX</v>
      </c>
      <c r="L2661" s="24"/>
    </row>
    <row r="2662">
      <c r="A2662" s="99">
        <v>2661.0</v>
      </c>
      <c r="B2662" s="15"/>
      <c r="C2662" s="15"/>
      <c r="D2662" s="105">
        <v>1.0</v>
      </c>
      <c r="E2662" s="102">
        <v>48.0</v>
      </c>
      <c r="F2662" s="107">
        <v>185.0</v>
      </c>
      <c r="G2662" s="15" t="str">
        <f t="shared" si="1"/>
        <v>48185</v>
      </c>
      <c r="H2662" s="23" t="s">
        <v>2079</v>
      </c>
      <c r="I2662" s="23" t="s">
        <v>113</v>
      </c>
      <c r="J2662" s="23" t="s">
        <v>219</v>
      </c>
      <c r="K2662" s="23" t="str">
        <f t="shared" si="44"/>
        <v>Grimes, TX</v>
      </c>
      <c r="L2662" s="24"/>
    </row>
    <row r="2663">
      <c r="A2663" s="99">
        <v>2662.0</v>
      </c>
      <c r="B2663" s="15"/>
      <c r="C2663" s="15"/>
      <c r="D2663" s="105">
        <v>1.0</v>
      </c>
      <c r="E2663" s="102">
        <v>48.0</v>
      </c>
      <c r="F2663" s="107">
        <v>187.0</v>
      </c>
      <c r="G2663" s="15" t="str">
        <f t="shared" si="1"/>
        <v>48187</v>
      </c>
      <c r="H2663" s="23" t="s">
        <v>1539</v>
      </c>
      <c r="I2663" s="23" t="s">
        <v>113</v>
      </c>
      <c r="J2663" s="23" t="s">
        <v>219</v>
      </c>
      <c r="K2663" s="23" t="str">
        <f t="shared" si="44"/>
        <v>Guadalupe, TX</v>
      </c>
      <c r="L2663" s="24"/>
    </row>
    <row r="2664">
      <c r="A2664" s="99">
        <v>2663.0</v>
      </c>
      <c r="B2664" s="15"/>
      <c r="C2664" s="15"/>
      <c r="D2664" s="105">
        <v>1.0</v>
      </c>
      <c r="E2664" s="102">
        <v>48.0</v>
      </c>
      <c r="F2664" s="107">
        <v>189.0</v>
      </c>
      <c r="G2664" s="15" t="str">
        <f t="shared" si="1"/>
        <v>48189</v>
      </c>
      <c r="H2664" s="23" t="s">
        <v>139</v>
      </c>
      <c r="I2664" s="23" t="s">
        <v>113</v>
      </c>
      <c r="J2664" s="23" t="s">
        <v>219</v>
      </c>
      <c r="K2664" s="23" t="str">
        <f t="shared" si="44"/>
        <v>Hale, TX</v>
      </c>
      <c r="L2664" s="24"/>
    </row>
    <row r="2665">
      <c r="A2665" s="99">
        <v>2664.0</v>
      </c>
      <c r="B2665" s="15"/>
      <c r="C2665" s="15"/>
      <c r="D2665" s="105">
        <v>1.0</v>
      </c>
      <c r="E2665" s="102">
        <v>48.0</v>
      </c>
      <c r="F2665" s="107">
        <v>191.0</v>
      </c>
      <c r="G2665" s="15" t="str">
        <f t="shared" si="1"/>
        <v>48191</v>
      </c>
      <c r="H2665" s="23" t="s">
        <v>586</v>
      </c>
      <c r="I2665" s="23" t="s">
        <v>113</v>
      </c>
      <c r="J2665" s="23" t="s">
        <v>219</v>
      </c>
      <c r="K2665" s="23" t="str">
        <f t="shared" si="44"/>
        <v>Hall, TX</v>
      </c>
      <c r="L2665" s="24"/>
    </row>
    <row r="2666">
      <c r="A2666" s="99">
        <v>2665.0</v>
      </c>
      <c r="B2666" s="15"/>
      <c r="C2666" s="15"/>
      <c r="D2666" s="105">
        <v>1.0</v>
      </c>
      <c r="E2666" s="102">
        <v>48.0</v>
      </c>
      <c r="F2666" s="107">
        <v>193.0</v>
      </c>
      <c r="G2666" s="15" t="str">
        <f t="shared" si="1"/>
        <v>48193</v>
      </c>
      <c r="H2666" s="23" t="s">
        <v>497</v>
      </c>
      <c r="I2666" s="23" t="s">
        <v>113</v>
      </c>
      <c r="J2666" s="23" t="s">
        <v>219</v>
      </c>
      <c r="K2666" s="23" t="str">
        <f t="shared" si="44"/>
        <v>Hamilton, TX</v>
      </c>
      <c r="L2666" s="24"/>
    </row>
    <row r="2667">
      <c r="A2667" s="99">
        <v>2666.0</v>
      </c>
      <c r="B2667" s="15"/>
      <c r="C2667" s="15"/>
      <c r="D2667" s="105">
        <v>1.0</v>
      </c>
      <c r="E2667" s="102">
        <v>48.0</v>
      </c>
      <c r="F2667" s="107">
        <v>195.0</v>
      </c>
      <c r="G2667" s="15" t="str">
        <f t="shared" si="1"/>
        <v>48195</v>
      </c>
      <c r="H2667" s="23" t="s">
        <v>2080</v>
      </c>
      <c r="I2667" s="23" t="s">
        <v>113</v>
      </c>
      <c r="J2667" s="23" t="s">
        <v>219</v>
      </c>
      <c r="K2667" s="23" t="str">
        <f t="shared" si="44"/>
        <v>Hansford, TX</v>
      </c>
      <c r="L2667" s="24"/>
    </row>
    <row r="2668">
      <c r="A2668" s="99">
        <v>2667.0</v>
      </c>
      <c r="B2668" s="15"/>
      <c r="C2668" s="15"/>
      <c r="D2668" s="105">
        <v>1.0</v>
      </c>
      <c r="E2668" s="102">
        <v>48.0</v>
      </c>
      <c r="F2668" s="107">
        <v>197.0</v>
      </c>
      <c r="G2668" s="15" t="str">
        <f t="shared" si="1"/>
        <v>48197</v>
      </c>
      <c r="H2668" s="23" t="s">
        <v>1915</v>
      </c>
      <c r="I2668" s="23" t="s">
        <v>113</v>
      </c>
      <c r="J2668" s="23" t="s">
        <v>219</v>
      </c>
      <c r="K2668" s="23" t="str">
        <f t="shared" si="44"/>
        <v>Hardeman, TX</v>
      </c>
      <c r="L2668" s="24"/>
    </row>
    <row r="2669">
      <c r="A2669" s="99">
        <v>2668.0</v>
      </c>
      <c r="B2669" s="15"/>
      <c r="C2669" s="15"/>
      <c r="D2669" s="105">
        <v>1.0</v>
      </c>
      <c r="E2669" s="102">
        <v>48.0</v>
      </c>
      <c r="F2669" s="107">
        <v>199.0</v>
      </c>
      <c r="G2669" s="15" t="str">
        <f t="shared" si="1"/>
        <v>48199</v>
      </c>
      <c r="H2669" s="23" t="s">
        <v>721</v>
      </c>
      <c r="I2669" s="23" t="s">
        <v>113</v>
      </c>
      <c r="J2669" s="23" t="s">
        <v>219</v>
      </c>
      <c r="K2669" s="23" t="str">
        <f t="shared" si="44"/>
        <v>Hardin, TX</v>
      </c>
      <c r="L2669" s="24"/>
    </row>
    <row r="2670">
      <c r="A2670" s="99">
        <v>2669.0</v>
      </c>
      <c r="B2670" s="15"/>
      <c r="C2670" s="15"/>
      <c r="D2670" s="105">
        <v>1.0</v>
      </c>
      <c r="E2670" s="102">
        <v>48.0</v>
      </c>
      <c r="F2670" s="107">
        <v>201.0</v>
      </c>
      <c r="G2670" s="15" t="str">
        <f t="shared" si="1"/>
        <v>48201</v>
      </c>
      <c r="H2670" s="23" t="s">
        <v>218</v>
      </c>
      <c r="I2670" s="23" t="s">
        <v>113</v>
      </c>
      <c r="J2670" s="23" t="s">
        <v>219</v>
      </c>
      <c r="K2670" s="23" t="str">
        <f t="shared" si="44"/>
        <v>Harris, TX</v>
      </c>
      <c r="L2670" s="24"/>
    </row>
    <row r="2671">
      <c r="A2671" s="99">
        <v>2670.0</v>
      </c>
      <c r="B2671" s="15"/>
      <c r="C2671" s="15"/>
      <c r="D2671" s="105">
        <v>1.0</v>
      </c>
      <c r="E2671" s="102">
        <v>48.0</v>
      </c>
      <c r="F2671" s="107">
        <v>203.0</v>
      </c>
      <c r="G2671" s="15" t="str">
        <f t="shared" si="1"/>
        <v>48203</v>
      </c>
      <c r="H2671" s="23" t="s">
        <v>775</v>
      </c>
      <c r="I2671" s="23" t="s">
        <v>113</v>
      </c>
      <c r="J2671" s="23" t="s">
        <v>219</v>
      </c>
      <c r="K2671" s="23" t="str">
        <f t="shared" si="44"/>
        <v>Harrison, TX</v>
      </c>
      <c r="L2671" s="24"/>
    </row>
    <row r="2672">
      <c r="A2672" s="99">
        <v>2671.0</v>
      </c>
      <c r="B2672" s="15"/>
      <c r="C2672" s="15"/>
      <c r="D2672" s="105">
        <v>1.0</v>
      </c>
      <c r="E2672" s="102">
        <v>48.0</v>
      </c>
      <c r="F2672" s="107">
        <v>205.0</v>
      </c>
      <c r="G2672" s="15" t="str">
        <f t="shared" si="1"/>
        <v>48205</v>
      </c>
      <c r="H2672" s="23" t="s">
        <v>2082</v>
      </c>
      <c r="I2672" s="23" t="s">
        <v>113</v>
      </c>
      <c r="J2672" s="23" t="s">
        <v>219</v>
      </c>
      <c r="K2672" s="23" t="str">
        <f t="shared" si="44"/>
        <v>Hartley, TX</v>
      </c>
      <c r="L2672" s="24"/>
    </row>
    <row r="2673">
      <c r="A2673" s="99">
        <v>2672.0</v>
      </c>
      <c r="B2673" s="15"/>
      <c r="C2673" s="15"/>
      <c r="D2673" s="105">
        <v>1.0</v>
      </c>
      <c r="E2673" s="102">
        <v>48.0</v>
      </c>
      <c r="F2673" s="107">
        <v>207.0</v>
      </c>
      <c r="G2673" s="15" t="str">
        <f t="shared" si="1"/>
        <v>48207</v>
      </c>
      <c r="H2673" s="23" t="s">
        <v>980</v>
      </c>
      <c r="I2673" s="23" t="s">
        <v>113</v>
      </c>
      <c r="J2673" s="23" t="s">
        <v>219</v>
      </c>
      <c r="K2673" s="23" t="str">
        <f t="shared" si="44"/>
        <v>Haskell, TX</v>
      </c>
      <c r="L2673" s="24"/>
    </row>
    <row r="2674">
      <c r="A2674" s="99">
        <v>2673.0</v>
      </c>
      <c r="B2674" s="15"/>
      <c r="C2674" s="15"/>
      <c r="D2674" s="105">
        <v>1.0</v>
      </c>
      <c r="E2674" s="102">
        <v>48.0</v>
      </c>
      <c r="F2674" s="107">
        <v>209.0</v>
      </c>
      <c r="G2674" s="15" t="str">
        <f t="shared" si="1"/>
        <v>48209</v>
      </c>
      <c r="H2674" s="23" t="s">
        <v>2083</v>
      </c>
      <c r="I2674" s="23" t="s">
        <v>113</v>
      </c>
      <c r="J2674" s="23" t="s">
        <v>219</v>
      </c>
      <c r="K2674" s="23" t="str">
        <f t="shared" si="44"/>
        <v>Hays, TX</v>
      </c>
      <c r="L2674" s="24"/>
    </row>
    <row r="2675">
      <c r="A2675" s="99">
        <v>2674.0</v>
      </c>
      <c r="B2675" s="15"/>
      <c r="C2675" s="15"/>
      <c r="D2675" s="105">
        <v>1.0</v>
      </c>
      <c r="E2675" s="102">
        <v>48.0</v>
      </c>
      <c r="F2675" s="107">
        <v>211.0</v>
      </c>
      <c r="G2675" s="15" t="str">
        <f t="shared" si="1"/>
        <v>48211</v>
      </c>
      <c r="H2675" s="23" t="s">
        <v>2084</v>
      </c>
      <c r="I2675" s="23" t="s">
        <v>113</v>
      </c>
      <c r="J2675" s="23" t="s">
        <v>219</v>
      </c>
      <c r="K2675" s="23" t="str">
        <f t="shared" si="44"/>
        <v>Hemphill, TX</v>
      </c>
      <c r="L2675" s="24"/>
    </row>
    <row r="2676">
      <c r="A2676" s="99">
        <v>2675.0</v>
      </c>
      <c r="B2676" s="15"/>
      <c r="C2676" s="15"/>
      <c r="D2676" s="105">
        <v>1.0</v>
      </c>
      <c r="E2676" s="102">
        <v>48.0</v>
      </c>
      <c r="F2676" s="107">
        <v>213.0</v>
      </c>
      <c r="G2676" s="15" t="str">
        <f t="shared" si="1"/>
        <v>48213</v>
      </c>
      <c r="H2676" s="23" t="s">
        <v>722</v>
      </c>
      <c r="I2676" s="23" t="s">
        <v>113</v>
      </c>
      <c r="J2676" s="23" t="s">
        <v>219</v>
      </c>
      <c r="K2676" s="23" t="str">
        <f t="shared" si="44"/>
        <v>Henderson, TX</v>
      </c>
      <c r="L2676" s="24"/>
    </row>
    <row r="2677">
      <c r="A2677" s="99">
        <v>2676.0</v>
      </c>
      <c r="B2677" s="15"/>
      <c r="C2677" s="15"/>
      <c r="D2677" s="105">
        <v>1.0</v>
      </c>
      <c r="E2677" s="102">
        <v>48.0</v>
      </c>
      <c r="F2677" s="107">
        <v>215.0</v>
      </c>
      <c r="G2677" s="15" t="str">
        <f t="shared" si="1"/>
        <v>48215</v>
      </c>
      <c r="H2677" s="23" t="s">
        <v>480</v>
      </c>
      <c r="I2677" s="23" t="s">
        <v>113</v>
      </c>
      <c r="J2677" s="23" t="s">
        <v>219</v>
      </c>
      <c r="K2677" s="23" t="str">
        <f t="shared" si="44"/>
        <v>Hidalgo, TX</v>
      </c>
      <c r="L2677" s="24"/>
    </row>
    <row r="2678">
      <c r="A2678" s="99">
        <v>2677.0</v>
      </c>
      <c r="B2678" s="15"/>
      <c r="C2678" s="15"/>
      <c r="D2678" s="105">
        <v>1.0</v>
      </c>
      <c r="E2678" s="102">
        <v>48.0</v>
      </c>
      <c r="F2678" s="107">
        <v>217.0</v>
      </c>
      <c r="G2678" s="15" t="str">
        <f t="shared" si="1"/>
        <v>48217</v>
      </c>
      <c r="H2678" s="23" t="s">
        <v>1445</v>
      </c>
      <c r="I2678" s="23" t="s">
        <v>113</v>
      </c>
      <c r="J2678" s="23" t="s">
        <v>219</v>
      </c>
      <c r="K2678" s="23" t="str">
        <f t="shared" si="44"/>
        <v>Hill, TX</v>
      </c>
      <c r="L2678" s="24"/>
    </row>
    <row r="2679">
      <c r="A2679" s="99">
        <v>2678.0</v>
      </c>
      <c r="B2679" s="15"/>
      <c r="C2679" s="15"/>
      <c r="D2679" s="105">
        <v>1.0</v>
      </c>
      <c r="E2679" s="102">
        <v>48.0</v>
      </c>
      <c r="F2679" s="107">
        <v>219.0</v>
      </c>
      <c r="G2679" s="15" t="str">
        <f t="shared" si="1"/>
        <v>48219</v>
      </c>
      <c r="H2679" s="23" t="s">
        <v>2087</v>
      </c>
      <c r="I2679" s="23" t="s">
        <v>113</v>
      </c>
      <c r="J2679" s="23" t="s">
        <v>219</v>
      </c>
      <c r="K2679" s="23" t="str">
        <f t="shared" si="44"/>
        <v>Hockley, TX</v>
      </c>
      <c r="L2679" s="24"/>
    </row>
    <row r="2680">
      <c r="A2680" s="99">
        <v>2679.0</v>
      </c>
      <c r="B2680" s="15"/>
      <c r="C2680" s="15"/>
      <c r="D2680" s="105">
        <v>1.0</v>
      </c>
      <c r="E2680" s="102">
        <v>48.0</v>
      </c>
      <c r="F2680" s="107">
        <v>221.0</v>
      </c>
      <c r="G2680" s="15" t="str">
        <f t="shared" si="1"/>
        <v>48221</v>
      </c>
      <c r="H2680" s="23" t="s">
        <v>2088</v>
      </c>
      <c r="I2680" s="23" t="s">
        <v>113</v>
      </c>
      <c r="J2680" s="23" t="s">
        <v>219</v>
      </c>
      <c r="K2680" s="23" t="str">
        <f t="shared" si="44"/>
        <v>Hood, TX</v>
      </c>
      <c r="L2680" s="24"/>
    </row>
    <row r="2681">
      <c r="A2681" s="99">
        <v>2680.0</v>
      </c>
      <c r="B2681" s="15"/>
      <c r="C2681" s="15"/>
      <c r="D2681" s="105">
        <v>1.0</v>
      </c>
      <c r="E2681" s="102">
        <v>48.0</v>
      </c>
      <c r="F2681" s="107">
        <v>223.0</v>
      </c>
      <c r="G2681" s="15" t="str">
        <f t="shared" si="1"/>
        <v>48223</v>
      </c>
      <c r="H2681" s="23" t="s">
        <v>1099</v>
      </c>
      <c r="I2681" s="23" t="s">
        <v>113</v>
      </c>
      <c r="J2681" s="23" t="s">
        <v>219</v>
      </c>
      <c r="K2681" s="23" t="str">
        <f t="shared" si="44"/>
        <v>Hopkins, TX</v>
      </c>
      <c r="L2681" s="24"/>
    </row>
    <row r="2682">
      <c r="A2682" s="99">
        <v>2681.0</v>
      </c>
      <c r="B2682" s="15"/>
      <c r="C2682" s="15"/>
      <c r="D2682" s="105">
        <v>1.0</v>
      </c>
      <c r="E2682" s="102">
        <v>48.0</v>
      </c>
      <c r="F2682" s="107">
        <v>225.0</v>
      </c>
      <c r="G2682" s="15" t="str">
        <f t="shared" si="1"/>
        <v>48225</v>
      </c>
      <c r="H2682" s="23" t="s">
        <v>141</v>
      </c>
      <c r="I2682" s="23" t="s">
        <v>113</v>
      </c>
      <c r="J2682" s="23" t="s">
        <v>219</v>
      </c>
      <c r="K2682" s="23" t="str">
        <f t="shared" si="44"/>
        <v>Houston, TX</v>
      </c>
      <c r="L2682" s="24"/>
    </row>
    <row r="2683">
      <c r="A2683" s="99">
        <v>2682.0</v>
      </c>
      <c r="B2683" s="15"/>
      <c r="C2683" s="15"/>
      <c r="D2683" s="105">
        <v>1.0</v>
      </c>
      <c r="E2683" s="102">
        <v>48.0</v>
      </c>
      <c r="F2683" s="107">
        <v>227.0</v>
      </c>
      <c r="G2683" s="15" t="str">
        <f t="shared" si="1"/>
        <v>48227</v>
      </c>
      <c r="H2683" s="23" t="s">
        <v>283</v>
      </c>
      <c r="I2683" s="23" t="s">
        <v>113</v>
      </c>
      <c r="J2683" s="23" t="s">
        <v>219</v>
      </c>
      <c r="K2683" s="23" t="str">
        <f t="shared" si="44"/>
        <v>Howard, TX</v>
      </c>
      <c r="L2683" s="24"/>
    </row>
    <row r="2684">
      <c r="A2684" s="99">
        <v>2683.0</v>
      </c>
      <c r="B2684" s="15"/>
      <c r="C2684" s="15"/>
      <c r="D2684" s="105">
        <v>1.0</v>
      </c>
      <c r="E2684" s="102">
        <v>48.0</v>
      </c>
      <c r="F2684" s="107">
        <v>229.0</v>
      </c>
      <c r="G2684" s="15" t="str">
        <f t="shared" si="1"/>
        <v>48229</v>
      </c>
      <c r="H2684" s="23" t="s">
        <v>2089</v>
      </c>
      <c r="I2684" s="23" t="s">
        <v>113</v>
      </c>
      <c r="J2684" s="23" t="s">
        <v>219</v>
      </c>
      <c r="K2684" s="23" t="str">
        <f t="shared" si="44"/>
        <v>Hudspeth, TX</v>
      </c>
      <c r="L2684" s="24"/>
    </row>
    <row r="2685">
      <c r="A2685" s="99">
        <v>2684.0</v>
      </c>
      <c r="B2685" s="15"/>
      <c r="C2685" s="15"/>
      <c r="D2685" s="105">
        <v>1.0</v>
      </c>
      <c r="E2685" s="102">
        <v>48.0</v>
      </c>
      <c r="F2685" s="107">
        <v>231.0</v>
      </c>
      <c r="G2685" s="15" t="str">
        <f t="shared" si="1"/>
        <v>48231</v>
      </c>
      <c r="H2685" s="23" t="s">
        <v>2090</v>
      </c>
      <c r="I2685" s="23" t="s">
        <v>113</v>
      </c>
      <c r="J2685" s="23" t="s">
        <v>219</v>
      </c>
      <c r="K2685" s="23" t="str">
        <f t="shared" si="44"/>
        <v>Hunt, TX</v>
      </c>
      <c r="L2685" s="24"/>
    </row>
    <row r="2686">
      <c r="A2686" s="99">
        <v>2685.0</v>
      </c>
      <c r="B2686" s="15"/>
      <c r="C2686" s="15"/>
      <c r="D2686" s="105">
        <v>1.0</v>
      </c>
      <c r="E2686" s="102">
        <v>48.0</v>
      </c>
      <c r="F2686" s="107">
        <v>233.0</v>
      </c>
      <c r="G2686" s="15" t="str">
        <f t="shared" si="1"/>
        <v>48233</v>
      </c>
      <c r="H2686" s="23" t="s">
        <v>1860</v>
      </c>
      <c r="I2686" s="23" t="s">
        <v>113</v>
      </c>
      <c r="J2686" s="23" t="s">
        <v>219</v>
      </c>
      <c r="K2686" s="23" t="str">
        <f t="shared" si="44"/>
        <v>Hutchinson, TX</v>
      </c>
      <c r="L2686" s="24"/>
    </row>
    <row r="2687">
      <c r="A2687" s="99">
        <v>2686.0</v>
      </c>
      <c r="B2687" s="15"/>
      <c r="C2687" s="15"/>
      <c r="D2687" s="105">
        <v>1.0</v>
      </c>
      <c r="E2687" s="102">
        <v>48.0</v>
      </c>
      <c r="F2687" s="107">
        <v>235.0</v>
      </c>
      <c r="G2687" s="15" t="str">
        <f t="shared" si="1"/>
        <v>48235</v>
      </c>
      <c r="H2687" s="23" t="s">
        <v>2093</v>
      </c>
      <c r="I2687" s="23" t="s">
        <v>113</v>
      </c>
      <c r="J2687" s="23" t="s">
        <v>219</v>
      </c>
      <c r="K2687" s="23" t="str">
        <f t="shared" si="44"/>
        <v>Irion, TX</v>
      </c>
      <c r="L2687" s="24"/>
    </row>
    <row r="2688">
      <c r="A2688" s="99">
        <v>2687.0</v>
      </c>
      <c r="B2688" s="15"/>
      <c r="C2688" s="15"/>
      <c r="D2688" s="105">
        <v>1.0</v>
      </c>
      <c r="E2688" s="102">
        <v>48.0</v>
      </c>
      <c r="F2688" s="107">
        <v>237.0</v>
      </c>
      <c r="G2688" s="15" t="str">
        <f t="shared" si="1"/>
        <v>48237</v>
      </c>
      <c r="H2688" s="23" t="s">
        <v>2094</v>
      </c>
      <c r="I2688" s="23" t="s">
        <v>113</v>
      </c>
      <c r="J2688" s="23" t="s">
        <v>219</v>
      </c>
      <c r="K2688" s="23" t="str">
        <f t="shared" si="44"/>
        <v>Jack, TX</v>
      </c>
      <c r="L2688" s="24"/>
    </row>
    <row r="2689">
      <c r="A2689" s="99">
        <v>2688.0</v>
      </c>
      <c r="B2689" s="15"/>
      <c r="C2689" s="15"/>
      <c r="D2689" s="105">
        <v>1.0</v>
      </c>
      <c r="E2689" s="102">
        <v>48.0</v>
      </c>
      <c r="F2689" s="107">
        <v>239.0</v>
      </c>
      <c r="G2689" s="15" t="str">
        <f t="shared" si="1"/>
        <v>48239</v>
      </c>
      <c r="H2689" s="23" t="s">
        <v>142</v>
      </c>
      <c r="I2689" s="23" t="s">
        <v>113</v>
      </c>
      <c r="J2689" s="23" t="s">
        <v>219</v>
      </c>
      <c r="K2689" s="23" t="str">
        <f t="shared" si="44"/>
        <v>Jackson, TX</v>
      </c>
      <c r="L2689" s="24"/>
    </row>
    <row r="2690">
      <c r="A2690" s="99">
        <v>2689.0</v>
      </c>
      <c r="B2690" s="15"/>
      <c r="C2690" s="15"/>
      <c r="D2690" s="105">
        <v>1.0</v>
      </c>
      <c r="E2690" s="102">
        <v>48.0</v>
      </c>
      <c r="F2690" s="107">
        <v>241.0</v>
      </c>
      <c r="G2690" s="15" t="str">
        <f t="shared" si="1"/>
        <v>48241</v>
      </c>
      <c r="H2690" s="23" t="s">
        <v>593</v>
      </c>
      <c r="I2690" s="23" t="s">
        <v>113</v>
      </c>
      <c r="J2690" s="23" t="s">
        <v>219</v>
      </c>
      <c r="K2690" s="23" t="str">
        <f t="shared" si="44"/>
        <v>Jasper, TX</v>
      </c>
      <c r="L2690" s="24"/>
    </row>
    <row r="2691">
      <c r="A2691" s="99">
        <v>2690.0</v>
      </c>
      <c r="B2691" s="15"/>
      <c r="C2691" s="15"/>
      <c r="D2691" s="105">
        <v>1.0</v>
      </c>
      <c r="E2691" s="102">
        <v>48.0</v>
      </c>
      <c r="F2691" s="107">
        <v>243.0</v>
      </c>
      <c r="G2691" s="15" t="str">
        <f t="shared" si="1"/>
        <v>48243</v>
      </c>
      <c r="H2691" s="23" t="s">
        <v>594</v>
      </c>
      <c r="I2691" s="23" t="s">
        <v>113</v>
      </c>
      <c r="J2691" s="23" t="s">
        <v>219</v>
      </c>
      <c r="K2691" s="23" t="str">
        <f t="shared" si="44"/>
        <v>Jeff Davis, TX</v>
      </c>
      <c r="L2691" s="24"/>
    </row>
    <row r="2692">
      <c r="A2692" s="99">
        <v>2691.0</v>
      </c>
      <c r="B2692" s="15"/>
      <c r="C2692" s="15"/>
      <c r="D2692" s="105">
        <v>1.0</v>
      </c>
      <c r="E2692" s="102">
        <v>48.0</v>
      </c>
      <c r="F2692" s="107">
        <v>245.0</v>
      </c>
      <c r="G2692" s="15" t="str">
        <f t="shared" si="1"/>
        <v>48245</v>
      </c>
      <c r="H2692" s="23" t="s">
        <v>143</v>
      </c>
      <c r="I2692" s="23" t="s">
        <v>113</v>
      </c>
      <c r="J2692" s="23" t="s">
        <v>219</v>
      </c>
      <c r="K2692" s="23" t="str">
        <f t="shared" si="44"/>
        <v>Jefferson, TX</v>
      </c>
      <c r="L2692" s="24"/>
    </row>
    <row r="2693">
      <c r="A2693" s="99">
        <v>2692.0</v>
      </c>
      <c r="B2693" s="15"/>
      <c r="C2693" s="15"/>
      <c r="D2693" s="105">
        <v>1.0</v>
      </c>
      <c r="E2693" s="102">
        <v>48.0</v>
      </c>
      <c r="F2693" s="107">
        <v>247.0</v>
      </c>
      <c r="G2693" s="15" t="str">
        <f t="shared" si="1"/>
        <v>48247</v>
      </c>
      <c r="H2693" s="23" t="s">
        <v>2095</v>
      </c>
      <c r="I2693" s="23" t="s">
        <v>113</v>
      </c>
      <c r="J2693" s="23" t="s">
        <v>219</v>
      </c>
      <c r="K2693" s="23" t="str">
        <f t="shared" si="44"/>
        <v>Jim Hogg, TX</v>
      </c>
      <c r="L2693" s="24"/>
    </row>
    <row r="2694">
      <c r="A2694" s="99">
        <v>2693.0</v>
      </c>
      <c r="B2694" s="15"/>
      <c r="C2694" s="15"/>
      <c r="D2694" s="105">
        <v>1.0</v>
      </c>
      <c r="E2694" s="102">
        <v>48.0</v>
      </c>
      <c r="F2694" s="107">
        <v>249.0</v>
      </c>
      <c r="G2694" s="15" t="str">
        <f t="shared" si="1"/>
        <v>48249</v>
      </c>
      <c r="H2694" s="23" t="s">
        <v>2096</v>
      </c>
      <c r="I2694" s="23" t="s">
        <v>113</v>
      </c>
      <c r="J2694" s="23" t="s">
        <v>219</v>
      </c>
      <c r="K2694" s="23" t="str">
        <f t="shared" si="44"/>
        <v>Jim Wells, TX</v>
      </c>
      <c r="L2694" s="24"/>
    </row>
    <row r="2695">
      <c r="A2695" s="99">
        <v>2694.0</v>
      </c>
      <c r="B2695" s="15"/>
      <c r="C2695" s="15"/>
      <c r="D2695" s="105">
        <v>1.0</v>
      </c>
      <c r="E2695" s="102">
        <v>48.0</v>
      </c>
      <c r="F2695" s="107">
        <v>251.0</v>
      </c>
      <c r="G2695" s="15" t="str">
        <f t="shared" si="1"/>
        <v>48251</v>
      </c>
      <c r="H2695" s="23" t="s">
        <v>288</v>
      </c>
      <c r="I2695" s="23" t="s">
        <v>113</v>
      </c>
      <c r="J2695" s="23" t="s">
        <v>219</v>
      </c>
      <c r="K2695" s="23" t="str">
        <f t="shared" si="44"/>
        <v>Johnson, TX</v>
      </c>
      <c r="L2695" s="24"/>
    </row>
    <row r="2696">
      <c r="A2696" s="99">
        <v>2695.0</v>
      </c>
      <c r="B2696" s="15"/>
      <c r="C2696" s="15"/>
      <c r="D2696" s="105">
        <v>1.0</v>
      </c>
      <c r="E2696" s="102">
        <v>48.0</v>
      </c>
      <c r="F2696" s="107">
        <v>253.0</v>
      </c>
      <c r="G2696" s="15" t="str">
        <f t="shared" si="1"/>
        <v>48253</v>
      </c>
      <c r="H2696" s="23" t="s">
        <v>598</v>
      </c>
      <c r="I2696" s="23" t="s">
        <v>113</v>
      </c>
      <c r="J2696" s="23" t="s">
        <v>219</v>
      </c>
      <c r="K2696" s="23" t="str">
        <f t="shared" si="44"/>
        <v>Jones, TX</v>
      </c>
      <c r="L2696" s="24"/>
    </row>
    <row r="2697">
      <c r="A2697" s="99">
        <v>2696.0</v>
      </c>
      <c r="B2697" s="15"/>
      <c r="C2697" s="15"/>
      <c r="D2697" s="105">
        <v>1.0</v>
      </c>
      <c r="E2697" s="102">
        <v>48.0</v>
      </c>
      <c r="F2697" s="107">
        <v>255.0</v>
      </c>
      <c r="G2697" s="15" t="str">
        <f t="shared" si="1"/>
        <v>48255</v>
      </c>
      <c r="H2697" s="23" t="s">
        <v>2097</v>
      </c>
      <c r="I2697" s="23" t="s">
        <v>113</v>
      </c>
      <c r="J2697" s="23" t="s">
        <v>219</v>
      </c>
      <c r="K2697" s="23" t="str">
        <f t="shared" si="44"/>
        <v>Karnes, TX</v>
      </c>
      <c r="L2697" s="24"/>
    </row>
    <row r="2698">
      <c r="A2698" s="99">
        <v>2697.0</v>
      </c>
      <c r="B2698" s="15"/>
      <c r="C2698" s="15"/>
      <c r="D2698" s="105">
        <v>1.0</v>
      </c>
      <c r="E2698" s="102">
        <v>48.0</v>
      </c>
      <c r="F2698" s="107">
        <v>257.0</v>
      </c>
      <c r="G2698" s="15" t="str">
        <f t="shared" si="1"/>
        <v>48257</v>
      </c>
      <c r="H2698" s="23" t="s">
        <v>2098</v>
      </c>
      <c r="I2698" s="23" t="s">
        <v>113</v>
      </c>
      <c r="J2698" s="23" t="s">
        <v>219</v>
      </c>
      <c r="K2698" s="23" t="str">
        <f t="shared" si="44"/>
        <v>Kaufman, TX</v>
      </c>
      <c r="L2698" s="24"/>
    </row>
    <row r="2699">
      <c r="A2699" s="99">
        <v>2698.0</v>
      </c>
      <c r="B2699" s="15"/>
      <c r="C2699" s="15"/>
      <c r="D2699" s="105">
        <v>1.0</v>
      </c>
      <c r="E2699" s="102">
        <v>48.0</v>
      </c>
      <c r="F2699" s="107">
        <v>259.0</v>
      </c>
      <c r="G2699" s="15" t="str">
        <f t="shared" si="1"/>
        <v>48259</v>
      </c>
      <c r="H2699" s="23" t="s">
        <v>727</v>
      </c>
      <c r="I2699" s="23" t="s">
        <v>113</v>
      </c>
      <c r="J2699" s="23" t="s">
        <v>219</v>
      </c>
      <c r="K2699" s="23" t="str">
        <f t="shared" si="44"/>
        <v>Kendall, TX</v>
      </c>
      <c r="L2699" s="24"/>
    </row>
    <row r="2700">
      <c r="A2700" s="99">
        <v>2699.0</v>
      </c>
      <c r="B2700" s="15"/>
      <c r="C2700" s="15"/>
      <c r="D2700" s="105">
        <v>1.0</v>
      </c>
      <c r="E2700" s="102">
        <v>48.0</v>
      </c>
      <c r="F2700" s="107">
        <v>261.0</v>
      </c>
      <c r="G2700" s="15" t="str">
        <f t="shared" si="1"/>
        <v>48261</v>
      </c>
      <c r="H2700" s="23" t="s">
        <v>2099</v>
      </c>
      <c r="I2700" s="23" t="s">
        <v>113</v>
      </c>
      <c r="J2700" s="23" t="s">
        <v>219</v>
      </c>
      <c r="K2700" s="23" t="str">
        <f t="shared" si="44"/>
        <v>Kenedy, TX</v>
      </c>
      <c r="L2700" s="24"/>
    </row>
    <row r="2701">
      <c r="A2701" s="99">
        <v>2700.0</v>
      </c>
      <c r="B2701" s="15"/>
      <c r="C2701" s="15"/>
      <c r="D2701" s="105">
        <v>1.0</v>
      </c>
      <c r="E2701" s="102">
        <v>48.0</v>
      </c>
      <c r="F2701" s="107">
        <v>263.0</v>
      </c>
      <c r="G2701" s="15" t="str">
        <f t="shared" si="1"/>
        <v>48263</v>
      </c>
      <c r="H2701" s="23" t="s">
        <v>474</v>
      </c>
      <c r="I2701" s="23" t="s">
        <v>113</v>
      </c>
      <c r="J2701" s="23" t="s">
        <v>219</v>
      </c>
      <c r="K2701" s="23" t="str">
        <f t="shared" si="44"/>
        <v>Kent, TX</v>
      </c>
      <c r="L2701" s="24"/>
    </row>
    <row r="2702">
      <c r="A2702" s="99">
        <v>2701.0</v>
      </c>
      <c r="B2702" s="15"/>
      <c r="C2702" s="15"/>
      <c r="D2702" s="105">
        <v>1.0</v>
      </c>
      <c r="E2702" s="102">
        <v>48.0</v>
      </c>
      <c r="F2702" s="107">
        <v>265.0</v>
      </c>
      <c r="G2702" s="15" t="str">
        <f t="shared" si="1"/>
        <v>48265</v>
      </c>
      <c r="H2702" s="23" t="s">
        <v>2100</v>
      </c>
      <c r="I2702" s="23" t="s">
        <v>113</v>
      </c>
      <c r="J2702" s="23" t="s">
        <v>219</v>
      </c>
      <c r="K2702" s="23" t="str">
        <f t="shared" si="44"/>
        <v>Kerr, TX</v>
      </c>
      <c r="L2702" s="24"/>
    </row>
    <row r="2703">
      <c r="A2703" s="99">
        <v>2702.0</v>
      </c>
      <c r="B2703" s="15"/>
      <c r="C2703" s="15"/>
      <c r="D2703" s="105">
        <v>1.0</v>
      </c>
      <c r="E2703" s="102">
        <v>48.0</v>
      </c>
      <c r="F2703" s="107">
        <v>267.0</v>
      </c>
      <c r="G2703" s="15" t="str">
        <f t="shared" si="1"/>
        <v>48267</v>
      </c>
      <c r="H2703" s="23" t="s">
        <v>2101</v>
      </c>
      <c r="I2703" s="23" t="s">
        <v>113</v>
      </c>
      <c r="J2703" s="23" t="s">
        <v>219</v>
      </c>
      <c r="K2703" s="23" t="str">
        <f t="shared" si="44"/>
        <v>Kimble, TX</v>
      </c>
      <c r="L2703" s="24"/>
    </row>
    <row r="2704">
      <c r="A2704" s="99">
        <v>2703.0</v>
      </c>
      <c r="B2704" s="15"/>
      <c r="C2704" s="15"/>
      <c r="D2704" s="105">
        <v>1.0</v>
      </c>
      <c r="E2704" s="102">
        <v>48.0</v>
      </c>
      <c r="F2704" s="107">
        <v>269.0</v>
      </c>
      <c r="G2704" s="15" t="str">
        <f t="shared" si="1"/>
        <v>48269</v>
      </c>
      <c r="H2704" s="23" t="s">
        <v>255</v>
      </c>
      <c r="I2704" s="23" t="s">
        <v>113</v>
      </c>
      <c r="J2704" s="23" t="s">
        <v>219</v>
      </c>
      <c r="K2704" s="23" t="str">
        <f t="shared" si="44"/>
        <v>King, TX</v>
      </c>
      <c r="L2704" s="24"/>
    </row>
    <row r="2705">
      <c r="A2705" s="99">
        <v>2704.0</v>
      </c>
      <c r="B2705" s="15"/>
      <c r="C2705" s="15"/>
      <c r="D2705" s="105">
        <v>1.0</v>
      </c>
      <c r="E2705" s="102">
        <v>48.0</v>
      </c>
      <c r="F2705" s="107">
        <v>271.0</v>
      </c>
      <c r="G2705" s="15" t="str">
        <f t="shared" si="1"/>
        <v>48271</v>
      </c>
      <c r="H2705" s="23" t="s">
        <v>2102</v>
      </c>
      <c r="I2705" s="23" t="s">
        <v>113</v>
      </c>
      <c r="J2705" s="23" t="s">
        <v>219</v>
      </c>
      <c r="K2705" s="23" t="str">
        <f t="shared" si="44"/>
        <v>Kinney, TX</v>
      </c>
      <c r="L2705" s="24"/>
    </row>
    <row r="2706">
      <c r="A2706" s="99">
        <v>2705.0</v>
      </c>
      <c r="B2706" s="15"/>
      <c r="C2706" s="15"/>
      <c r="D2706" s="105">
        <v>1.0</v>
      </c>
      <c r="E2706" s="102">
        <v>48.0</v>
      </c>
      <c r="F2706" s="107">
        <v>273.0</v>
      </c>
      <c r="G2706" s="15" t="str">
        <f t="shared" si="1"/>
        <v>48273</v>
      </c>
      <c r="H2706" s="23" t="s">
        <v>2103</v>
      </c>
      <c r="I2706" s="23" t="s">
        <v>113</v>
      </c>
      <c r="J2706" s="23" t="s">
        <v>219</v>
      </c>
      <c r="K2706" s="23" t="str">
        <f t="shared" si="44"/>
        <v>Kleberg, TX</v>
      </c>
      <c r="L2706" s="24"/>
    </row>
    <row r="2707">
      <c r="A2707" s="99">
        <v>2706.0</v>
      </c>
      <c r="B2707" s="15"/>
      <c r="C2707" s="15"/>
      <c r="D2707" s="105">
        <v>1.0</v>
      </c>
      <c r="E2707" s="102">
        <v>48.0</v>
      </c>
      <c r="F2707" s="107">
        <v>275.0</v>
      </c>
      <c r="G2707" s="15" t="str">
        <f t="shared" si="1"/>
        <v>48275</v>
      </c>
      <c r="H2707" s="23" t="s">
        <v>728</v>
      </c>
      <c r="I2707" s="23" t="s">
        <v>113</v>
      </c>
      <c r="J2707" s="23" t="s">
        <v>219</v>
      </c>
      <c r="K2707" s="23" t="str">
        <f t="shared" si="44"/>
        <v>Knox, TX</v>
      </c>
      <c r="L2707" s="24"/>
    </row>
    <row r="2708">
      <c r="A2708" s="99">
        <v>2707.0</v>
      </c>
      <c r="B2708" s="15"/>
      <c r="C2708" s="15"/>
      <c r="D2708" s="105">
        <v>1.0</v>
      </c>
      <c r="E2708" s="102">
        <v>48.0</v>
      </c>
      <c r="F2708" s="107">
        <v>277.0</v>
      </c>
      <c r="G2708" s="15" t="str">
        <f t="shared" si="1"/>
        <v>48277</v>
      </c>
      <c r="H2708" s="23" t="s">
        <v>144</v>
      </c>
      <c r="I2708" s="23" t="s">
        <v>113</v>
      </c>
      <c r="J2708" s="23" t="s">
        <v>219</v>
      </c>
      <c r="K2708" s="23" t="str">
        <f t="shared" si="44"/>
        <v>Lamar, TX</v>
      </c>
      <c r="L2708" s="24"/>
    </row>
    <row r="2709">
      <c r="A2709" s="99">
        <v>2708.0</v>
      </c>
      <c r="B2709" s="15"/>
      <c r="C2709" s="15"/>
      <c r="D2709" s="105">
        <v>1.0</v>
      </c>
      <c r="E2709" s="102">
        <v>48.0</v>
      </c>
      <c r="F2709" s="107">
        <v>279.0</v>
      </c>
      <c r="G2709" s="15" t="str">
        <f t="shared" si="1"/>
        <v>48279</v>
      </c>
      <c r="H2709" s="23" t="s">
        <v>2104</v>
      </c>
      <c r="I2709" s="23" t="s">
        <v>113</v>
      </c>
      <c r="J2709" s="23" t="s">
        <v>219</v>
      </c>
      <c r="K2709" s="23" t="str">
        <f t="shared" si="44"/>
        <v>Lamb, TX</v>
      </c>
      <c r="L2709" s="24"/>
    </row>
    <row r="2710">
      <c r="A2710" s="99">
        <v>2709.0</v>
      </c>
      <c r="B2710" s="15"/>
      <c r="C2710" s="15"/>
      <c r="D2710" s="105">
        <v>1.0</v>
      </c>
      <c r="E2710" s="102">
        <v>48.0</v>
      </c>
      <c r="F2710" s="107">
        <v>281.0</v>
      </c>
      <c r="G2710" s="15" t="str">
        <f t="shared" si="1"/>
        <v>48281</v>
      </c>
      <c r="H2710" s="23" t="s">
        <v>2105</v>
      </c>
      <c r="I2710" s="23" t="s">
        <v>113</v>
      </c>
      <c r="J2710" s="23" t="s">
        <v>219</v>
      </c>
      <c r="K2710" s="23" t="str">
        <f t="shared" si="44"/>
        <v>Lampasas, TX</v>
      </c>
      <c r="L2710" s="24"/>
    </row>
    <row r="2711">
      <c r="A2711" s="99">
        <v>2710.0</v>
      </c>
      <c r="B2711" s="15"/>
      <c r="C2711" s="15"/>
      <c r="D2711" s="105">
        <v>1.0</v>
      </c>
      <c r="E2711" s="102">
        <v>48.0</v>
      </c>
      <c r="F2711" s="107">
        <v>283.0</v>
      </c>
      <c r="G2711" s="15" t="str">
        <f t="shared" si="1"/>
        <v>48283</v>
      </c>
      <c r="H2711" s="23" t="s">
        <v>729</v>
      </c>
      <c r="I2711" s="23" t="s">
        <v>113</v>
      </c>
      <c r="J2711" s="23" t="s">
        <v>219</v>
      </c>
      <c r="K2711" s="23" t="str">
        <f t="shared" si="44"/>
        <v>La Salle, TX</v>
      </c>
      <c r="L2711" s="24"/>
    </row>
    <row r="2712">
      <c r="A2712" s="99">
        <v>2711.0</v>
      </c>
      <c r="B2712" s="15"/>
      <c r="C2712" s="15"/>
      <c r="D2712" s="105">
        <v>1.0</v>
      </c>
      <c r="E2712" s="102">
        <v>48.0</v>
      </c>
      <c r="F2712" s="107">
        <v>285.0</v>
      </c>
      <c r="G2712" s="15" t="str">
        <f t="shared" si="1"/>
        <v>48285</v>
      </c>
      <c r="H2712" s="23" t="s">
        <v>2106</v>
      </c>
      <c r="I2712" s="23" t="s">
        <v>113</v>
      </c>
      <c r="J2712" s="23" t="s">
        <v>219</v>
      </c>
      <c r="K2712" s="23" t="str">
        <f t="shared" si="44"/>
        <v>Lavaca, TX</v>
      </c>
      <c r="L2712" s="24"/>
    </row>
    <row r="2713">
      <c r="A2713" s="99">
        <v>2712.0</v>
      </c>
      <c r="B2713" s="15"/>
      <c r="C2713" s="15"/>
      <c r="D2713" s="105">
        <v>1.0</v>
      </c>
      <c r="E2713" s="102">
        <v>48.0</v>
      </c>
      <c r="F2713" s="107">
        <v>287.0</v>
      </c>
      <c r="G2713" s="15" t="str">
        <f t="shared" si="1"/>
        <v>48287</v>
      </c>
      <c r="H2713" s="23" t="s">
        <v>147</v>
      </c>
      <c r="I2713" s="23" t="s">
        <v>113</v>
      </c>
      <c r="J2713" s="23" t="s">
        <v>219</v>
      </c>
      <c r="K2713" s="23" t="str">
        <f t="shared" si="44"/>
        <v>Lee, TX</v>
      </c>
      <c r="L2713" s="24"/>
    </row>
    <row r="2714">
      <c r="A2714" s="99">
        <v>2713.0</v>
      </c>
      <c r="B2714" s="15"/>
      <c r="C2714" s="15"/>
      <c r="D2714" s="105">
        <v>1.0</v>
      </c>
      <c r="E2714" s="102">
        <v>48.0</v>
      </c>
      <c r="F2714" s="107">
        <v>289.0</v>
      </c>
      <c r="G2714" s="15" t="str">
        <f t="shared" si="1"/>
        <v>48289</v>
      </c>
      <c r="H2714" s="23" t="s">
        <v>505</v>
      </c>
      <c r="I2714" s="23" t="s">
        <v>113</v>
      </c>
      <c r="J2714" s="23" t="s">
        <v>219</v>
      </c>
      <c r="K2714" s="23" t="str">
        <f t="shared" si="44"/>
        <v>Leon, TX</v>
      </c>
      <c r="L2714" s="24"/>
    </row>
    <row r="2715">
      <c r="A2715" s="99">
        <v>2714.0</v>
      </c>
      <c r="B2715" s="15"/>
      <c r="C2715" s="15"/>
      <c r="D2715" s="105">
        <v>1.0</v>
      </c>
      <c r="E2715" s="102">
        <v>48.0</v>
      </c>
      <c r="F2715" s="107">
        <v>291.0</v>
      </c>
      <c r="G2715" s="15" t="str">
        <f t="shared" si="1"/>
        <v>48291</v>
      </c>
      <c r="H2715" s="23" t="s">
        <v>508</v>
      </c>
      <c r="I2715" s="23" t="s">
        <v>113</v>
      </c>
      <c r="J2715" s="23" t="s">
        <v>219</v>
      </c>
      <c r="K2715" s="23" t="str">
        <f t="shared" si="44"/>
        <v>Liberty, TX</v>
      </c>
      <c r="L2715" s="24"/>
    </row>
    <row r="2716">
      <c r="A2716" s="99">
        <v>2715.0</v>
      </c>
      <c r="B2716" s="15"/>
      <c r="C2716" s="15"/>
      <c r="D2716" s="105">
        <v>1.0</v>
      </c>
      <c r="E2716" s="102">
        <v>48.0</v>
      </c>
      <c r="F2716" s="107">
        <v>293.0</v>
      </c>
      <c r="G2716" s="15" t="str">
        <f t="shared" si="1"/>
        <v>48293</v>
      </c>
      <c r="H2716" s="23" t="s">
        <v>148</v>
      </c>
      <c r="I2716" s="23" t="s">
        <v>113</v>
      </c>
      <c r="J2716" s="23" t="s">
        <v>219</v>
      </c>
      <c r="K2716" s="23" t="str">
        <f t="shared" si="44"/>
        <v>Limestone, TX</v>
      </c>
      <c r="L2716" s="24"/>
    </row>
    <row r="2717">
      <c r="A2717" s="99">
        <v>2716.0</v>
      </c>
      <c r="B2717" s="15"/>
      <c r="C2717" s="15"/>
      <c r="D2717" s="105">
        <v>1.0</v>
      </c>
      <c r="E2717" s="102">
        <v>48.0</v>
      </c>
      <c r="F2717" s="107">
        <v>295.0</v>
      </c>
      <c r="G2717" s="15" t="str">
        <f t="shared" si="1"/>
        <v>48295</v>
      </c>
      <c r="H2717" s="23" t="s">
        <v>2107</v>
      </c>
      <c r="I2717" s="23" t="s">
        <v>113</v>
      </c>
      <c r="J2717" s="23" t="s">
        <v>219</v>
      </c>
      <c r="K2717" s="23" t="str">
        <f t="shared" si="44"/>
        <v>Lipscomb, TX</v>
      </c>
      <c r="L2717" s="24"/>
    </row>
    <row r="2718">
      <c r="A2718" s="99">
        <v>2717.0</v>
      </c>
      <c r="B2718" s="15"/>
      <c r="C2718" s="15"/>
      <c r="D2718" s="105">
        <v>1.0</v>
      </c>
      <c r="E2718" s="102">
        <v>48.0</v>
      </c>
      <c r="F2718" s="107">
        <v>297.0</v>
      </c>
      <c r="G2718" s="15" t="str">
        <f t="shared" si="1"/>
        <v>48297</v>
      </c>
      <c r="H2718" s="23" t="s">
        <v>2108</v>
      </c>
      <c r="I2718" s="23" t="s">
        <v>113</v>
      </c>
      <c r="J2718" s="23" t="s">
        <v>219</v>
      </c>
      <c r="K2718" s="23" t="str">
        <f t="shared" si="44"/>
        <v>Live Oak, TX</v>
      </c>
      <c r="L2718" s="24"/>
    </row>
    <row r="2719">
      <c r="A2719" s="99">
        <v>2718.0</v>
      </c>
      <c r="B2719" s="15"/>
      <c r="C2719" s="15"/>
      <c r="D2719" s="105">
        <v>1.0</v>
      </c>
      <c r="E2719" s="102">
        <v>48.0</v>
      </c>
      <c r="F2719" s="107">
        <v>299.0</v>
      </c>
      <c r="G2719" s="15" t="str">
        <f t="shared" si="1"/>
        <v>48299</v>
      </c>
      <c r="H2719" s="23" t="s">
        <v>2109</v>
      </c>
      <c r="I2719" s="23" t="s">
        <v>113</v>
      </c>
      <c r="J2719" s="23" t="s">
        <v>219</v>
      </c>
      <c r="K2719" s="23" t="str">
        <f t="shared" si="44"/>
        <v>Llano, TX</v>
      </c>
      <c r="L2719" s="24"/>
    </row>
    <row r="2720">
      <c r="A2720" s="99">
        <v>2719.0</v>
      </c>
      <c r="B2720" s="15"/>
      <c r="C2720" s="15"/>
      <c r="D2720" s="105">
        <v>1.0</v>
      </c>
      <c r="E2720" s="102">
        <v>48.0</v>
      </c>
      <c r="F2720" s="107">
        <v>301.0</v>
      </c>
      <c r="G2720" s="15" t="str">
        <f t="shared" si="1"/>
        <v>48301</v>
      </c>
      <c r="H2720" s="23" t="s">
        <v>2110</v>
      </c>
      <c r="I2720" s="23" t="s">
        <v>113</v>
      </c>
      <c r="J2720" s="23" t="s">
        <v>219</v>
      </c>
      <c r="K2720" s="23" t="str">
        <f t="shared" si="44"/>
        <v>Loving, TX</v>
      </c>
      <c r="L2720" s="24"/>
    </row>
    <row r="2721">
      <c r="A2721" s="99">
        <v>2720.0</v>
      </c>
      <c r="B2721" s="15"/>
      <c r="C2721" s="15"/>
      <c r="D2721" s="105">
        <v>1.0</v>
      </c>
      <c r="E2721" s="102">
        <v>48.0</v>
      </c>
      <c r="F2721" s="107">
        <v>303.0</v>
      </c>
      <c r="G2721" s="15" t="str">
        <f t="shared" si="1"/>
        <v>48303</v>
      </c>
      <c r="H2721" s="23" t="s">
        <v>2111</v>
      </c>
      <c r="I2721" s="23" t="s">
        <v>113</v>
      </c>
      <c r="J2721" s="23" t="s">
        <v>219</v>
      </c>
      <c r="K2721" s="23" t="str">
        <f t="shared" si="44"/>
        <v>Lubbock, TX</v>
      </c>
      <c r="L2721" s="24"/>
    </row>
    <row r="2722">
      <c r="A2722" s="99">
        <v>2721.0</v>
      </c>
      <c r="B2722" s="15"/>
      <c r="C2722" s="15"/>
      <c r="D2722" s="105">
        <v>1.0</v>
      </c>
      <c r="E2722" s="102">
        <v>48.0</v>
      </c>
      <c r="F2722" s="107">
        <v>305.0</v>
      </c>
      <c r="G2722" s="15" t="str">
        <f t="shared" si="1"/>
        <v>48305</v>
      </c>
      <c r="H2722" s="23" t="s">
        <v>2112</v>
      </c>
      <c r="I2722" s="23" t="s">
        <v>113</v>
      </c>
      <c r="J2722" s="23" t="s">
        <v>219</v>
      </c>
      <c r="K2722" s="23" t="str">
        <f t="shared" si="44"/>
        <v>Lynn, TX</v>
      </c>
      <c r="L2722" s="24"/>
    </row>
    <row r="2723">
      <c r="A2723" s="99">
        <v>2722.0</v>
      </c>
      <c r="B2723" s="15"/>
      <c r="C2723" s="15"/>
      <c r="D2723" s="105">
        <v>1.0</v>
      </c>
      <c r="E2723" s="102">
        <v>48.0</v>
      </c>
      <c r="F2723" s="107">
        <v>307.0</v>
      </c>
      <c r="G2723" s="15" t="str">
        <f t="shared" si="1"/>
        <v>48307</v>
      </c>
      <c r="H2723" s="23" t="s">
        <v>2113</v>
      </c>
      <c r="I2723" s="23" t="s">
        <v>113</v>
      </c>
      <c r="J2723" s="23" t="s">
        <v>219</v>
      </c>
      <c r="K2723" s="23" t="str">
        <f t="shared" si="44"/>
        <v>McCulloch, TX</v>
      </c>
      <c r="L2723" s="24"/>
    </row>
    <row r="2724">
      <c r="A2724" s="99">
        <v>2723.0</v>
      </c>
      <c r="B2724" s="15"/>
      <c r="C2724" s="15"/>
      <c r="D2724" s="105">
        <v>1.0</v>
      </c>
      <c r="E2724" s="102">
        <v>48.0</v>
      </c>
      <c r="F2724" s="107">
        <v>309.0</v>
      </c>
      <c r="G2724" s="15" t="str">
        <f t="shared" si="1"/>
        <v>48309</v>
      </c>
      <c r="H2724" s="23" t="s">
        <v>2114</v>
      </c>
      <c r="I2724" s="23" t="s">
        <v>113</v>
      </c>
      <c r="J2724" s="23" t="s">
        <v>219</v>
      </c>
      <c r="K2724" s="23" t="str">
        <f t="shared" si="44"/>
        <v>McLennan, TX</v>
      </c>
      <c r="L2724" s="24"/>
    </row>
    <row r="2725">
      <c r="A2725" s="99">
        <v>2724.0</v>
      </c>
      <c r="B2725" s="15"/>
      <c r="C2725" s="15"/>
      <c r="D2725" s="105">
        <v>1.0</v>
      </c>
      <c r="E2725" s="102">
        <v>48.0</v>
      </c>
      <c r="F2725" s="107">
        <v>311.0</v>
      </c>
      <c r="G2725" s="15" t="str">
        <f t="shared" si="1"/>
        <v>48311</v>
      </c>
      <c r="H2725" s="23" t="s">
        <v>2115</v>
      </c>
      <c r="I2725" s="23" t="s">
        <v>113</v>
      </c>
      <c r="J2725" s="23" t="s">
        <v>219</v>
      </c>
      <c r="K2725" s="23" t="str">
        <f t="shared" si="44"/>
        <v>McMullen, TX</v>
      </c>
      <c r="L2725" s="24"/>
    </row>
    <row r="2726">
      <c r="A2726" s="99">
        <v>2725.0</v>
      </c>
      <c r="B2726" s="15"/>
      <c r="C2726" s="15"/>
      <c r="D2726" s="105">
        <v>1.0</v>
      </c>
      <c r="E2726" s="102">
        <v>48.0</v>
      </c>
      <c r="F2726" s="107">
        <v>313.0</v>
      </c>
      <c r="G2726" s="15" t="str">
        <f t="shared" si="1"/>
        <v>48313</v>
      </c>
      <c r="H2726" s="23" t="s">
        <v>151</v>
      </c>
      <c r="I2726" s="23" t="s">
        <v>113</v>
      </c>
      <c r="J2726" s="23" t="s">
        <v>219</v>
      </c>
      <c r="K2726" s="23" t="str">
        <f t="shared" si="44"/>
        <v>Madison, TX</v>
      </c>
      <c r="L2726" s="24"/>
    </row>
    <row r="2727">
      <c r="A2727" s="99">
        <v>2726.0</v>
      </c>
      <c r="B2727" s="15"/>
      <c r="C2727" s="15"/>
      <c r="D2727" s="105">
        <v>1.0</v>
      </c>
      <c r="E2727" s="102">
        <v>48.0</v>
      </c>
      <c r="F2727" s="107">
        <v>315.0</v>
      </c>
      <c r="G2727" s="15" t="str">
        <f t="shared" si="1"/>
        <v>48315</v>
      </c>
      <c r="H2727" s="23" t="s">
        <v>153</v>
      </c>
      <c r="I2727" s="23" t="s">
        <v>113</v>
      </c>
      <c r="J2727" s="23" t="s">
        <v>219</v>
      </c>
      <c r="K2727" s="23" t="str">
        <f t="shared" si="44"/>
        <v>Marion, TX</v>
      </c>
      <c r="L2727" s="24"/>
    </row>
    <row r="2728">
      <c r="A2728" s="99">
        <v>2727.0</v>
      </c>
      <c r="B2728" s="15"/>
      <c r="C2728" s="15"/>
      <c r="D2728" s="105">
        <v>1.0</v>
      </c>
      <c r="E2728" s="102">
        <v>48.0</v>
      </c>
      <c r="F2728" s="107">
        <v>317.0</v>
      </c>
      <c r="G2728" s="15" t="str">
        <f t="shared" si="1"/>
        <v>48317</v>
      </c>
      <c r="H2728" s="23" t="s">
        <v>510</v>
      </c>
      <c r="I2728" s="23" t="s">
        <v>113</v>
      </c>
      <c r="J2728" s="23" t="s">
        <v>219</v>
      </c>
      <c r="K2728" s="23" t="str">
        <f t="shared" si="44"/>
        <v>Martin, TX</v>
      </c>
      <c r="L2728" s="24"/>
    </row>
    <row r="2729">
      <c r="A2729" s="99">
        <v>2728.0</v>
      </c>
      <c r="B2729" s="15"/>
      <c r="C2729" s="15"/>
      <c r="D2729" s="105">
        <v>1.0</v>
      </c>
      <c r="E2729" s="102">
        <v>48.0</v>
      </c>
      <c r="F2729" s="107">
        <v>319.0</v>
      </c>
      <c r="G2729" s="15" t="str">
        <f t="shared" si="1"/>
        <v>48319</v>
      </c>
      <c r="H2729" s="23" t="s">
        <v>735</v>
      </c>
      <c r="I2729" s="23" t="s">
        <v>113</v>
      </c>
      <c r="J2729" s="23" t="s">
        <v>219</v>
      </c>
      <c r="K2729" s="23" t="str">
        <f t="shared" si="44"/>
        <v>Mason, TX</v>
      </c>
      <c r="L2729" s="24"/>
    </row>
    <row r="2730">
      <c r="A2730" s="99">
        <v>2729.0</v>
      </c>
      <c r="B2730" s="15"/>
      <c r="C2730" s="15"/>
      <c r="D2730" s="105">
        <v>1.0</v>
      </c>
      <c r="E2730" s="102">
        <v>48.0</v>
      </c>
      <c r="F2730" s="107">
        <v>321.0</v>
      </c>
      <c r="G2730" s="15" t="str">
        <f t="shared" si="1"/>
        <v>48321</v>
      </c>
      <c r="H2730" s="23" t="s">
        <v>2116</v>
      </c>
      <c r="I2730" s="23" t="s">
        <v>113</v>
      </c>
      <c r="J2730" s="23" t="s">
        <v>219</v>
      </c>
      <c r="K2730" s="23" t="str">
        <f t="shared" si="44"/>
        <v>Matagorda, TX</v>
      </c>
      <c r="L2730" s="24"/>
    </row>
    <row r="2731">
      <c r="A2731" s="99">
        <v>2730.0</v>
      </c>
      <c r="B2731" s="15"/>
      <c r="C2731" s="15"/>
      <c r="D2731" s="105">
        <v>1.0</v>
      </c>
      <c r="E2731" s="102">
        <v>48.0</v>
      </c>
      <c r="F2731" s="107">
        <v>323.0</v>
      </c>
      <c r="G2731" s="15" t="str">
        <f t="shared" si="1"/>
        <v>48323</v>
      </c>
      <c r="H2731" s="23" t="s">
        <v>2117</v>
      </c>
      <c r="I2731" s="23" t="s">
        <v>113</v>
      </c>
      <c r="J2731" s="23" t="s">
        <v>219</v>
      </c>
      <c r="K2731" s="23" t="str">
        <f t="shared" si="44"/>
        <v>Maverick, TX</v>
      </c>
      <c r="L2731" s="24"/>
    </row>
    <row r="2732">
      <c r="A2732" s="99">
        <v>2731.0</v>
      </c>
      <c r="B2732" s="15"/>
      <c r="C2732" s="15"/>
      <c r="D2732" s="105">
        <v>1.0</v>
      </c>
      <c r="E2732" s="102">
        <v>48.0</v>
      </c>
      <c r="F2732" s="107">
        <v>325.0</v>
      </c>
      <c r="G2732" s="15" t="str">
        <f t="shared" si="1"/>
        <v>48325</v>
      </c>
      <c r="H2732" s="23" t="s">
        <v>1689</v>
      </c>
      <c r="I2732" s="23" t="s">
        <v>113</v>
      </c>
      <c r="J2732" s="23" t="s">
        <v>219</v>
      </c>
      <c r="K2732" s="23" t="str">
        <f t="shared" si="44"/>
        <v>Medina, TX</v>
      </c>
      <c r="L2732" s="24"/>
    </row>
    <row r="2733">
      <c r="A2733" s="99">
        <v>2732.0</v>
      </c>
      <c r="B2733" s="15"/>
      <c r="C2733" s="15"/>
      <c r="D2733" s="105">
        <v>1.0</v>
      </c>
      <c r="E2733" s="102">
        <v>48.0</v>
      </c>
      <c r="F2733" s="107">
        <v>327.0</v>
      </c>
      <c r="G2733" s="15" t="str">
        <f t="shared" si="1"/>
        <v>48327</v>
      </c>
      <c r="H2733" s="23" t="s">
        <v>737</v>
      </c>
      <c r="I2733" s="23" t="s">
        <v>113</v>
      </c>
      <c r="J2733" s="23" t="s">
        <v>219</v>
      </c>
      <c r="K2733" s="23" t="str">
        <f t="shared" si="44"/>
        <v>Menard, TX</v>
      </c>
      <c r="L2733" s="24"/>
    </row>
    <row r="2734">
      <c r="A2734" s="99">
        <v>2733.0</v>
      </c>
      <c r="B2734" s="15"/>
      <c r="C2734" s="15"/>
      <c r="D2734" s="105">
        <v>1.0</v>
      </c>
      <c r="E2734" s="102">
        <v>48.0</v>
      </c>
      <c r="F2734" s="107">
        <v>329.0</v>
      </c>
      <c r="G2734" s="15" t="str">
        <f t="shared" si="1"/>
        <v>48329</v>
      </c>
      <c r="H2734" s="23" t="s">
        <v>1273</v>
      </c>
      <c r="I2734" s="23" t="s">
        <v>113</v>
      </c>
      <c r="J2734" s="23" t="s">
        <v>219</v>
      </c>
      <c r="K2734" s="23" t="str">
        <f t="shared" si="44"/>
        <v>Midland, TX</v>
      </c>
      <c r="L2734" s="24"/>
    </row>
    <row r="2735">
      <c r="A2735" s="99">
        <v>2734.0</v>
      </c>
      <c r="B2735" s="15"/>
      <c r="C2735" s="15"/>
      <c r="D2735" s="105">
        <v>1.0</v>
      </c>
      <c r="E2735" s="102">
        <v>48.0</v>
      </c>
      <c r="F2735" s="107">
        <v>331.0</v>
      </c>
      <c r="G2735" s="15" t="str">
        <f t="shared" si="1"/>
        <v>48331</v>
      </c>
      <c r="H2735" s="23" t="s">
        <v>2118</v>
      </c>
      <c r="I2735" s="23" t="s">
        <v>113</v>
      </c>
      <c r="J2735" s="23" t="s">
        <v>219</v>
      </c>
      <c r="K2735" s="23" t="str">
        <f t="shared" si="44"/>
        <v>Milam, TX</v>
      </c>
      <c r="L2735" s="24"/>
    </row>
    <row r="2736">
      <c r="A2736" s="99">
        <v>2735.0</v>
      </c>
      <c r="B2736" s="15"/>
      <c r="C2736" s="15"/>
      <c r="D2736" s="105">
        <v>1.0</v>
      </c>
      <c r="E2736" s="102">
        <v>48.0</v>
      </c>
      <c r="F2736" s="107">
        <v>333.0</v>
      </c>
      <c r="G2736" s="15" t="str">
        <f t="shared" si="1"/>
        <v>48333</v>
      </c>
      <c r="H2736" s="23" t="s">
        <v>913</v>
      </c>
      <c r="I2736" s="23" t="s">
        <v>113</v>
      </c>
      <c r="J2736" s="23" t="s">
        <v>219</v>
      </c>
      <c r="K2736" s="23" t="str">
        <f t="shared" si="44"/>
        <v>Mills, TX</v>
      </c>
      <c r="L2736" s="24"/>
    </row>
    <row r="2737">
      <c r="A2737" s="99">
        <v>2736.0</v>
      </c>
      <c r="B2737" s="15"/>
      <c r="C2737" s="15"/>
      <c r="D2737" s="105">
        <v>1.0</v>
      </c>
      <c r="E2737" s="102">
        <v>48.0</v>
      </c>
      <c r="F2737" s="107">
        <v>335.0</v>
      </c>
      <c r="G2737" s="15" t="str">
        <f t="shared" si="1"/>
        <v>48335</v>
      </c>
      <c r="H2737" s="23" t="s">
        <v>610</v>
      </c>
      <c r="I2737" s="23" t="s">
        <v>113</v>
      </c>
      <c r="J2737" s="23" t="s">
        <v>219</v>
      </c>
      <c r="K2737" s="23" t="str">
        <f t="shared" si="44"/>
        <v>Mitchell, TX</v>
      </c>
      <c r="L2737" s="24"/>
    </row>
    <row r="2738">
      <c r="A2738" s="99">
        <v>2737.0</v>
      </c>
      <c r="B2738" s="15"/>
      <c r="C2738" s="15"/>
      <c r="D2738" s="105">
        <v>1.0</v>
      </c>
      <c r="E2738" s="102">
        <v>48.0</v>
      </c>
      <c r="F2738" s="107">
        <v>337.0</v>
      </c>
      <c r="G2738" s="15" t="str">
        <f t="shared" si="1"/>
        <v>48337</v>
      </c>
      <c r="H2738" s="23" t="s">
        <v>2119</v>
      </c>
      <c r="I2738" s="23" t="s">
        <v>113</v>
      </c>
      <c r="J2738" s="23" t="s">
        <v>219</v>
      </c>
      <c r="K2738" s="23" t="str">
        <f t="shared" si="44"/>
        <v>Montague, TX</v>
      </c>
      <c r="L2738" s="24"/>
    </row>
    <row r="2739">
      <c r="A2739" s="99">
        <v>2738.0</v>
      </c>
      <c r="B2739" s="15"/>
      <c r="C2739" s="15"/>
      <c r="D2739" s="105">
        <v>1.0</v>
      </c>
      <c r="E2739" s="102">
        <v>48.0</v>
      </c>
      <c r="F2739" s="107">
        <v>339.0</v>
      </c>
      <c r="G2739" s="15" t="str">
        <f t="shared" si="1"/>
        <v>48339</v>
      </c>
      <c r="H2739" s="23" t="s">
        <v>157</v>
      </c>
      <c r="I2739" s="23" t="s">
        <v>113</v>
      </c>
      <c r="J2739" s="23" t="s">
        <v>219</v>
      </c>
      <c r="K2739" s="23" t="str">
        <f t="shared" si="44"/>
        <v>Montgomery, TX</v>
      </c>
      <c r="L2739" s="24"/>
    </row>
    <row r="2740">
      <c r="A2740" s="99">
        <v>2739.0</v>
      </c>
      <c r="B2740" s="15"/>
      <c r="C2740" s="15"/>
      <c r="D2740" s="105">
        <v>1.0</v>
      </c>
      <c r="E2740" s="102">
        <v>48.0</v>
      </c>
      <c r="F2740" s="107">
        <v>341.0</v>
      </c>
      <c r="G2740" s="15" t="str">
        <f t="shared" si="1"/>
        <v>48341</v>
      </c>
      <c r="H2740" s="23" t="s">
        <v>1615</v>
      </c>
      <c r="I2740" s="23" t="s">
        <v>113</v>
      </c>
      <c r="J2740" s="23" t="s">
        <v>219</v>
      </c>
      <c r="K2740" s="23" t="str">
        <f t="shared" si="44"/>
        <v>Moore, TX</v>
      </c>
      <c r="L2740" s="24"/>
    </row>
    <row r="2741">
      <c r="A2741" s="99">
        <v>2740.0</v>
      </c>
      <c r="B2741" s="15"/>
      <c r="C2741" s="15"/>
      <c r="D2741" s="105">
        <v>1.0</v>
      </c>
      <c r="E2741" s="102">
        <v>48.0</v>
      </c>
      <c r="F2741" s="107">
        <v>343.0</v>
      </c>
      <c r="G2741" s="15" t="str">
        <f t="shared" si="1"/>
        <v>48343</v>
      </c>
      <c r="H2741" s="23" t="s">
        <v>990</v>
      </c>
      <c r="I2741" s="23" t="s">
        <v>113</v>
      </c>
      <c r="J2741" s="23" t="s">
        <v>219</v>
      </c>
      <c r="K2741" s="23" t="str">
        <f t="shared" si="44"/>
        <v>Morris, TX</v>
      </c>
      <c r="L2741" s="24"/>
    </row>
    <row r="2742">
      <c r="A2742" s="99">
        <v>2741.0</v>
      </c>
      <c r="B2742" s="15"/>
      <c r="C2742" s="15"/>
      <c r="D2742" s="105">
        <v>1.0</v>
      </c>
      <c r="E2742" s="102">
        <v>48.0</v>
      </c>
      <c r="F2742" s="107">
        <v>345.0</v>
      </c>
      <c r="G2742" s="15" t="str">
        <f t="shared" si="1"/>
        <v>48345</v>
      </c>
      <c r="H2742" s="23" t="s">
        <v>2120</v>
      </c>
      <c r="I2742" s="23" t="s">
        <v>113</v>
      </c>
      <c r="J2742" s="23" t="s">
        <v>219</v>
      </c>
      <c r="K2742" s="23" t="str">
        <f t="shared" si="44"/>
        <v>Motley, TX</v>
      </c>
      <c r="L2742" s="24"/>
    </row>
    <row r="2743">
      <c r="A2743" s="99">
        <v>2742.0</v>
      </c>
      <c r="B2743" s="15"/>
      <c r="C2743" s="15"/>
      <c r="D2743" s="105">
        <v>1.0</v>
      </c>
      <c r="E2743" s="102">
        <v>48.0</v>
      </c>
      <c r="F2743" s="107">
        <v>347.0</v>
      </c>
      <c r="G2743" s="15" t="str">
        <f t="shared" si="1"/>
        <v>48347</v>
      </c>
      <c r="H2743" s="23" t="s">
        <v>2121</v>
      </c>
      <c r="I2743" s="23" t="s">
        <v>113</v>
      </c>
      <c r="J2743" s="23" t="s">
        <v>219</v>
      </c>
      <c r="K2743" s="112" t="str">
        <f t="shared" si="44"/>
        <v>Nacogdoches, TX</v>
      </c>
      <c r="L2743" s="24"/>
    </row>
    <row r="2744">
      <c r="A2744" s="99">
        <v>2743.0</v>
      </c>
      <c r="B2744" s="15"/>
      <c r="C2744" s="15"/>
      <c r="D2744" s="105">
        <v>1.0</v>
      </c>
      <c r="E2744" s="102">
        <v>48.0</v>
      </c>
      <c r="F2744" s="107">
        <v>349.0</v>
      </c>
      <c r="G2744" s="15" t="str">
        <f t="shared" si="1"/>
        <v>48349</v>
      </c>
      <c r="H2744" s="23" t="s">
        <v>2122</v>
      </c>
      <c r="I2744" s="23" t="s">
        <v>113</v>
      </c>
      <c r="J2744" s="23" t="s">
        <v>219</v>
      </c>
      <c r="K2744" s="23" t="str">
        <f t="shared" si="44"/>
        <v>Navarro, TX</v>
      </c>
      <c r="L2744" s="24"/>
    </row>
    <row r="2745">
      <c r="A2745" s="99">
        <v>2744.0</v>
      </c>
      <c r="B2745" s="15"/>
      <c r="C2745" s="15"/>
      <c r="D2745" s="105">
        <v>1.0</v>
      </c>
      <c r="E2745" s="102">
        <v>48.0</v>
      </c>
      <c r="F2745" s="107">
        <v>351.0</v>
      </c>
      <c r="G2745" s="15" t="str">
        <f t="shared" si="1"/>
        <v>48351</v>
      </c>
      <c r="H2745" s="23" t="s">
        <v>297</v>
      </c>
      <c r="I2745" s="23" t="s">
        <v>113</v>
      </c>
      <c r="J2745" s="23" t="s">
        <v>219</v>
      </c>
      <c r="K2745" s="23" t="str">
        <f t="shared" si="44"/>
        <v>Newton, TX</v>
      </c>
      <c r="L2745" s="24"/>
    </row>
    <row r="2746">
      <c r="A2746" s="99">
        <v>2745.0</v>
      </c>
      <c r="B2746" s="15"/>
      <c r="C2746" s="15"/>
      <c r="D2746" s="105">
        <v>1.0</v>
      </c>
      <c r="E2746" s="102">
        <v>48.0</v>
      </c>
      <c r="F2746" s="107">
        <v>353.0</v>
      </c>
      <c r="G2746" s="15" t="str">
        <f t="shared" si="1"/>
        <v>48353</v>
      </c>
      <c r="H2746" s="23" t="s">
        <v>2123</v>
      </c>
      <c r="I2746" s="23" t="s">
        <v>113</v>
      </c>
      <c r="J2746" s="23" t="s">
        <v>219</v>
      </c>
      <c r="K2746" s="23" t="str">
        <f t="shared" si="44"/>
        <v>Nolan, TX</v>
      </c>
      <c r="L2746" s="24"/>
    </row>
    <row r="2747">
      <c r="A2747" s="99">
        <v>2746.0</v>
      </c>
      <c r="B2747" s="15"/>
      <c r="C2747" s="15"/>
      <c r="D2747" s="105">
        <v>1.0</v>
      </c>
      <c r="E2747" s="102">
        <v>48.0</v>
      </c>
      <c r="F2747" s="107">
        <v>355.0</v>
      </c>
      <c r="G2747" s="15" t="str">
        <f t="shared" si="1"/>
        <v>48355</v>
      </c>
      <c r="H2747" s="23" t="s">
        <v>2124</v>
      </c>
      <c r="I2747" s="23" t="s">
        <v>113</v>
      </c>
      <c r="J2747" s="23" t="s">
        <v>219</v>
      </c>
      <c r="K2747" s="23" t="str">
        <f t="shared" si="44"/>
        <v>Nueces, TX</v>
      </c>
      <c r="L2747" s="24"/>
    </row>
    <row r="2748">
      <c r="A2748" s="99">
        <v>2747.0</v>
      </c>
      <c r="B2748" s="15"/>
      <c r="C2748" s="15"/>
      <c r="D2748" s="105">
        <v>1.0</v>
      </c>
      <c r="E2748" s="102">
        <v>48.0</v>
      </c>
      <c r="F2748" s="107">
        <v>357.0</v>
      </c>
      <c r="G2748" s="15" t="str">
        <f t="shared" si="1"/>
        <v>48357</v>
      </c>
      <c r="H2748" s="23" t="s">
        <v>2125</v>
      </c>
      <c r="I2748" s="23" t="s">
        <v>113</v>
      </c>
      <c r="J2748" s="23" t="s">
        <v>219</v>
      </c>
      <c r="K2748" s="23" t="str">
        <f t="shared" si="44"/>
        <v>Ochiltree, TX</v>
      </c>
      <c r="L2748" s="24"/>
    </row>
    <row r="2749">
      <c r="A2749" s="99">
        <v>2748.0</v>
      </c>
      <c r="B2749" s="15"/>
      <c r="C2749" s="15"/>
      <c r="D2749" s="105">
        <v>1.0</v>
      </c>
      <c r="E2749" s="102">
        <v>48.0</v>
      </c>
      <c r="F2749" s="107">
        <v>359.0</v>
      </c>
      <c r="G2749" s="15" t="str">
        <f t="shared" si="1"/>
        <v>48359</v>
      </c>
      <c r="H2749" s="23" t="s">
        <v>1127</v>
      </c>
      <c r="I2749" s="23" t="s">
        <v>113</v>
      </c>
      <c r="J2749" s="23" t="s">
        <v>219</v>
      </c>
      <c r="K2749" s="23" t="str">
        <f t="shared" si="44"/>
        <v>Oldham, TX</v>
      </c>
      <c r="L2749" s="24"/>
    </row>
    <row r="2750">
      <c r="A2750" s="99">
        <v>2749.0</v>
      </c>
      <c r="B2750" s="15"/>
      <c r="C2750" s="15"/>
      <c r="D2750" s="105">
        <v>1.0</v>
      </c>
      <c r="E2750" s="102">
        <v>48.0</v>
      </c>
      <c r="F2750" s="107">
        <v>361.0</v>
      </c>
      <c r="G2750" s="15" t="str">
        <f t="shared" si="1"/>
        <v>48361</v>
      </c>
      <c r="H2750" s="23" t="s">
        <v>241</v>
      </c>
      <c r="I2750" s="23" t="s">
        <v>113</v>
      </c>
      <c r="J2750" s="23" t="s">
        <v>219</v>
      </c>
      <c r="K2750" s="23" t="str">
        <f t="shared" si="44"/>
        <v>Orange, TX</v>
      </c>
      <c r="L2750" s="24"/>
    </row>
    <row r="2751">
      <c r="A2751" s="99">
        <v>2750.0</v>
      </c>
      <c r="B2751" s="15"/>
      <c r="C2751" s="15"/>
      <c r="D2751" s="105">
        <v>1.0</v>
      </c>
      <c r="E2751" s="102">
        <v>48.0</v>
      </c>
      <c r="F2751" s="107">
        <v>363.0</v>
      </c>
      <c r="G2751" s="15" t="str">
        <f t="shared" si="1"/>
        <v>48363</v>
      </c>
      <c r="H2751" s="23" t="s">
        <v>2126</v>
      </c>
      <c r="I2751" s="23" t="s">
        <v>113</v>
      </c>
      <c r="J2751" s="23" t="s">
        <v>219</v>
      </c>
      <c r="K2751" s="23" t="str">
        <f t="shared" si="44"/>
        <v>Palo Pinto, TX</v>
      </c>
      <c r="L2751" s="24"/>
    </row>
    <row r="2752">
      <c r="A2752" s="99">
        <v>2751.0</v>
      </c>
      <c r="B2752" s="15"/>
      <c r="C2752" s="15"/>
      <c r="D2752" s="105">
        <v>1.0</v>
      </c>
      <c r="E2752" s="102">
        <v>48.0</v>
      </c>
      <c r="F2752" s="107">
        <v>365.0</v>
      </c>
      <c r="G2752" s="15" t="str">
        <f t="shared" si="1"/>
        <v>48365</v>
      </c>
      <c r="H2752" s="23" t="s">
        <v>1377</v>
      </c>
      <c r="I2752" s="23" t="s">
        <v>113</v>
      </c>
      <c r="J2752" s="23" t="s">
        <v>219</v>
      </c>
      <c r="K2752" s="23" t="str">
        <f t="shared" si="44"/>
        <v>Panola, TX</v>
      </c>
      <c r="L2752" s="24"/>
    </row>
    <row r="2753">
      <c r="A2753" s="99">
        <v>2752.0</v>
      </c>
      <c r="B2753" s="15"/>
      <c r="C2753" s="15"/>
      <c r="D2753" s="105">
        <v>1.0</v>
      </c>
      <c r="E2753" s="102">
        <v>48.0</v>
      </c>
      <c r="F2753" s="107">
        <v>367.0</v>
      </c>
      <c r="G2753" s="15" t="str">
        <f t="shared" si="1"/>
        <v>48367</v>
      </c>
      <c r="H2753" s="23" t="s">
        <v>2127</v>
      </c>
      <c r="I2753" s="23" t="s">
        <v>113</v>
      </c>
      <c r="J2753" s="23" t="s">
        <v>219</v>
      </c>
      <c r="K2753" s="23" t="str">
        <f t="shared" si="44"/>
        <v>Parker, TX</v>
      </c>
      <c r="L2753" s="24"/>
    </row>
    <row r="2754">
      <c r="A2754" s="99">
        <v>2753.0</v>
      </c>
      <c r="B2754" s="15"/>
      <c r="C2754" s="15"/>
      <c r="D2754" s="105">
        <v>1.0</v>
      </c>
      <c r="E2754" s="102">
        <v>48.0</v>
      </c>
      <c r="F2754" s="107">
        <v>369.0</v>
      </c>
      <c r="G2754" s="15" t="str">
        <f t="shared" si="1"/>
        <v>48369</v>
      </c>
      <c r="H2754" s="23" t="s">
        <v>2128</v>
      </c>
      <c r="I2754" s="23" t="s">
        <v>113</v>
      </c>
      <c r="J2754" s="23" t="s">
        <v>219</v>
      </c>
      <c r="K2754" s="23" t="str">
        <f t="shared" si="44"/>
        <v>Parmer, TX</v>
      </c>
      <c r="L2754" s="24"/>
    </row>
    <row r="2755">
      <c r="A2755" s="99">
        <v>2754.0</v>
      </c>
      <c r="B2755" s="15"/>
      <c r="C2755" s="15"/>
      <c r="D2755" s="105">
        <v>1.0</v>
      </c>
      <c r="E2755" s="102">
        <v>48.0</v>
      </c>
      <c r="F2755" s="107">
        <v>371.0</v>
      </c>
      <c r="G2755" s="15" t="str">
        <f t="shared" si="1"/>
        <v>48371</v>
      </c>
      <c r="H2755" s="23" t="s">
        <v>2129</v>
      </c>
      <c r="I2755" s="23" t="s">
        <v>113</v>
      </c>
      <c r="J2755" s="23" t="s">
        <v>219</v>
      </c>
      <c r="K2755" s="23" t="str">
        <f t="shared" si="44"/>
        <v>Pecos, TX</v>
      </c>
      <c r="L2755" s="24"/>
    </row>
    <row r="2756">
      <c r="A2756" s="99">
        <v>2755.0</v>
      </c>
      <c r="B2756" s="15"/>
      <c r="C2756" s="15"/>
      <c r="D2756" s="105">
        <v>1.0</v>
      </c>
      <c r="E2756" s="102">
        <v>48.0</v>
      </c>
      <c r="F2756" s="107">
        <v>373.0</v>
      </c>
      <c r="G2756" s="15" t="str">
        <f t="shared" si="1"/>
        <v>48373</v>
      </c>
      <c r="H2756" s="23" t="s">
        <v>302</v>
      </c>
      <c r="I2756" s="23" t="s">
        <v>113</v>
      </c>
      <c r="J2756" s="23" t="s">
        <v>219</v>
      </c>
      <c r="K2756" s="23" t="str">
        <f t="shared" si="44"/>
        <v>Polk, TX</v>
      </c>
      <c r="L2756" s="24"/>
    </row>
    <row r="2757">
      <c r="A2757" s="99">
        <v>2756.0</v>
      </c>
      <c r="B2757" s="15"/>
      <c r="C2757" s="15"/>
      <c r="D2757" s="105">
        <v>1.0</v>
      </c>
      <c r="E2757" s="102">
        <v>48.0</v>
      </c>
      <c r="F2757" s="107">
        <v>375.0</v>
      </c>
      <c r="G2757" s="15" t="str">
        <f t="shared" si="1"/>
        <v>48375</v>
      </c>
      <c r="H2757" s="23" t="s">
        <v>1805</v>
      </c>
      <c r="I2757" s="23" t="s">
        <v>113</v>
      </c>
      <c r="J2757" s="23" t="s">
        <v>219</v>
      </c>
      <c r="K2757" s="23" t="str">
        <f t="shared" si="44"/>
        <v>Potter, TX</v>
      </c>
      <c r="L2757" s="24"/>
    </row>
    <row r="2758">
      <c r="A2758" s="99">
        <v>2757.0</v>
      </c>
      <c r="B2758" s="15"/>
      <c r="C2758" s="15"/>
      <c r="D2758" s="105">
        <v>1.0</v>
      </c>
      <c r="E2758" s="102">
        <v>48.0</v>
      </c>
      <c r="F2758" s="107">
        <v>377.0</v>
      </c>
      <c r="G2758" s="15" t="str">
        <f t="shared" si="1"/>
        <v>48377</v>
      </c>
      <c r="H2758" s="23" t="s">
        <v>2130</v>
      </c>
      <c r="I2758" s="23" t="s">
        <v>113</v>
      </c>
      <c r="J2758" s="23" t="s">
        <v>219</v>
      </c>
      <c r="K2758" s="23" t="str">
        <f t="shared" si="44"/>
        <v>Presidio, TX</v>
      </c>
      <c r="L2758" s="24"/>
    </row>
    <row r="2759">
      <c r="A2759" s="99">
        <v>2758.0</v>
      </c>
      <c r="B2759" s="15"/>
      <c r="C2759" s="15"/>
      <c r="D2759" s="105">
        <v>1.0</v>
      </c>
      <c r="E2759" s="102">
        <v>48.0</v>
      </c>
      <c r="F2759" s="107">
        <v>379.0</v>
      </c>
      <c r="G2759" s="15" t="str">
        <f t="shared" si="1"/>
        <v>48379</v>
      </c>
      <c r="H2759" s="23" t="s">
        <v>2131</v>
      </c>
      <c r="I2759" s="23" t="s">
        <v>113</v>
      </c>
      <c r="J2759" s="23" t="s">
        <v>219</v>
      </c>
      <c r="K2759" s="23" t="str">
        <f t="shared" si="44"/>
        <v>Rains, TX</v>
      </c>
      <c r="L2759" s="24"/>
    </row>
    <row r="2760">
      <c r="A2760" s="99">
        <v>2759.0</v>
      </c>
      <c r="B2760" s="15"/>
      <c r="C2760" s="15"/>
      <c r="D2760" s="105">
        <v>1.0</v>
      </c>
      <c r="E2760" s="102">
        <v>48.0</v>
      </c>
      <c r="F2760" s="107">
        <v>381.0</v>
      </c>
      <c r="G2760" s="15" t="str">
        <f t="shared" si="1"/>
        <v>48381</v>
      </c>
      <c r="H2760" s="23" t="s">
        <v>2132</v>
      </c>
      <c r="I2760" s="23" t="s">
        <v>113</v>
      </c>
      <c r="J2760" s="23" t="s">
        <v>219</v>
      </c>
      <c r="K2760" s="23" t="str">
        <f t="shared" si="44"/>
        <v>Randall, TX</v>
      </c>
      <c r="L2760" s="24"/>
    </row>
    <row r="2761">
      <c r="A2761" s="99">
        <v>2760.0</v>
      </c>
      <c r="B2761" s="15"/>
      <c r="C2761" s="15"/>
      <c r="D2761" s="105">
        <v>1.0</v>
      </c>
      <c r="E2761" s="102">
        <v>48.0</v>
      </c>
      <c r="F2761" s="107">
        <v>383.0</v>
      </c>
      <c r="G2761" s="15" t="str">
        <f t="shared" si="1"/>
        <v>48383</v>
      </c>
      <c r="H2761" s="23" t="s">
        <v>2133</v>
      </c>
      <c r="I2761" s="23" t="s">
        <v>113</v>
      </c>
      <c r="J2761" s="23" t="s">
        <v>219</v>
      </c>
      <c r="K2761" s="23" t="str">
        <f t="shared" si="44"/>
        <v>Reagan, TX</v>
      </c>
      <c r="L2761" s="24"/>
    </row>
    <row r="2762">
      <c r="A2762" s="99">
        <v>2761.0</v>
      </c>
      <c r="B2762" s="15"/>
      <c r="C2762" s="15"/>
      <c r="D2762" s="105">
        <v>1.0</v>
      </c>
      <c r="E2762" s="102">
        <v>48.0</v>
      </c>
      <c r="F2762" s="107">
        <v>385.0</v>
      </c>
      <c r="G2762" s="15" t="str">
        <f t="shared" si="1"/>
        <v>48385</v>
      </c>
      <c r="H2762" s="23" t="s">
        <v>2134</v>
      </c>
      <c r="I2762" s="23" t="s">
        <v>113</v>
      </c>
      <c r="J2762" s="23" t="s">
        <v>219</v>
      </c>
      <c r="K2762" s="23" t="str">
        <f t="shared" si="44"/>
        <v>Real, TX</v>
      </c>
      <c r="L2762" s="24"/>
    </row>
    <row r="2763">
      <c r="A2763" s="99">
        <v>2762.0</v>
      </c>
      <c r="B2763" s="15"/>
      <c r="C2763" s="15"/>
      <c r="D2763" s="105">
        <v>1.0</v>
      </c>
      <c r="E2763" s="102">
        <v>48.0</v>
      </c>
      <c r="F2763" s="107">
        <v>387.0</v>
      </c>
      <c r="G2763" s="15" t="str">
        <f t="shared" si="1"/>
        <v>48387</v>
      </c>
      <c r="H2763" s="23" t="s">
        <v>1167</v>
      </c>
      <c r="I2763" s="23" t="s">
        <v>113</v>
      </c>
      <c r="J2763" s="23" t="s">
        <v>219</v>
      </c>
      <c r="K2763" s="23" t="str">
        <f t="shared" si="44"/>
        <v>Red River, TX</v>
      </c>
      <c r="L2763" s="24"/>
    </row>
    <row r="2764">
      <c r="A2764" s="99">
        <v>2763.0</v>
      </c>
      <c r="B2764" s="15"/>
      <c r="C2764" s="15"/>
      <c r="D2764" s="105">
        <v>1.0</v>
      </c>
      <c r="E2764" s="102">
        <v>48.0</v>
      </c>
      <c r="F2764" s="107">
        <v>389.0</v>
      </c>
      <c r="G2764" s="15" t="str">
        <f t="shared" si="1"/>
        <v>48389</v>
      </c>
      <c r="H2764" s="23" t="s">
        <v>2135</v>
      </c>
      <c r="I2764" s="23" t="s">
        <v>113</v>
      </c>
      <c r="J2764" s="23" t="s">
        <v>219</v>
      </c>
      <c r="K2764" s="23" t="str">
        <f t="shared" si="44"/>
        <v>Reeves, TX</v>
      </c>
      <c r="L2764" s="24"/>
    </row>
    <row r="2765">
      <c r="A2765" s="99">
        <v>2764.0</v>
      </c>
      <c r="B2765" s="15"/>
      <c r="C2765" s="15"/>
      <c r="D2765" s="105">
        <v>1.0</v>
      </c>
      <c r="E2765" s="102">
        <v>48.0</v>
      </c>
      <c r="F2765" s="107">
        <v>391.0</v>
      </c>
      <c r="G2765" s="15" t="str">
        <f t="shared" si="1"/>
        <v>48391</v>
      </c>
      <c r="H2765" s="23" t="s">
        <v>2136</v>
      </c>
      <c r="I2765" s="23" t="s">
        <v>113</v>
      </c>
      <c r="J2765" s="23" t="s">
        <v>219</v>
      </c>
      <c r="K2765" s="23" t="str">
        <f t="shared" si="44"/>
        <v>Refugio, TX</v>
      </c>
      <c r="L2765" s="24"/>
    </row>
    <row r="2766">
      <c r="A2766" s="99">
        <v>2765.0</v>
      </c>
      <c r="B2766" s="15"/>
      <c r="C2766" s="15"/>
      <c r="D2766" s="105">
        <v>1.0</v>
      </c>
      <c r="E2766" s="102">
        <v>48.0</v>
      </c>
      <c r="F2766" s="107">
        <v>393.0</v>
      </c>
      <c r="G2766" s="15" t="str">
        <f t="shared" si="1"/>
        <v>48393</v>
      </c>
      <c r="H2766" s="23" t="s">
        <v>1879</v>
      </c>
      <c r="I2766" s="23" t="s">
        <v>113</v>
      </c>
      <c r="J2766" s="23" t="s">
        <v>219</v>
      </c>
      <c r="K2766" s="23" t="str">
        <f t="shared" si="44"/>
        <v>Roberts, TX</v>
      </c>
      <c r="L2766" s="24"/>
    </row>
    <row r="2767">
      <c r="A2767" s="99">
        <v>2766.0</v>
      </c>
      <c r="B2767" s="15"/>
      <c r="C2767" s="15"/>
      <c r="D2767" s="105">
        <v>1.0</v>
      </c>
      <c r="E2767" s="102">
        <v>48.0</v>
      </c>
      <c r="F2767" s="107">
        <v>395.0</v>
      </c>
      <c r="G2767" s="15" t="str">
        <f t="shared" si="1"/>
        <v>48395</v>
      </c>
      <c r="H2767" s="23" t="s">
        <v>1131</v>
      </c>
      <c r="I2767" s="23" t="s">
        <v>113</v>
      </c>
      <c r="J2767" s="23" t="s">
        <v>219</v>
      </c>
      <c r="K2767" s="23" t="str">
        <f t="shared" si="44"/>
        <v>Robertson, TX</v>
      </c>
      <c r="L2767" s="24"/>
    </row>
    <row r="2768">
      <c r="A2768" s="99">
        <v>2767.0</v>
      </c>
      <c r="B2768" s="15"/>
      <c r="C2768" s="15"/>
      <c r="D2768" s="105">
        <v>1.0</v>
      </c>
      <c r="E2768" s="102">
        <v>48.0</v>
      </c>
      <c r="F2768" s="107">
        <v>397.0</v>
      </c>
      <c r="G2768" s="15" t="str">
        <f t="shared" si="1"/>
        <v>48397</v>
      </c>
      <c r="H2768" s="23" t="s">
        <v>2137</v>
      </c>
      <c r="I2768" s="23" t="s">
        <v>113</v>
      </c>
      <c r="J2768" s="23" t="s">
        <v>219</v>
      </c>
      <c r="K2768" s="23" t="str">
        <f t="shared" si="44"/>
        <v>Rockwall, TX</v>
      </c>
      <c r="L2768" s="24"/>
    </row>
    <row r="2769">
      <c r="A2769" s="99">
        <v>2768.0</v>
      </c>
      <c r="B2769" s="15"/>
      <c r="C2769" s="15"/>
      <c r="D2769" s="105">
        <v>1.0</v>
      </c>
      <c r="E2769" s="102">
        <v>48.0</v>
      </c>
      <c r="F2769" s="107">
        <v>399.0</v>
      </c>
      <c r="G2769" s="15" t="str">
        <f t="shared" si="1"/>
        <v>48399</v>
      </c>
      <c r="H2769" s="23" t="s">
        <v>2138</v>
      </c>
      <c r="I2769" s="23" t="s">
        <v>113</v>
      </c>
      <c r="J2769" s="23" t="s">
        <v>219</v>
      </c>
      <c r="K2769" s="23" t="str">
        <f t="shared" si="44"/>
        <v>Runnels, TX</v>
      </c>
      <c r="L2769" s="24"/>
    </row>
    <row r="2770">
      <c r="A2770" s="99">
        <v>2769.0</v>
      </c>
      <c r="B2770" s="15"/>
      <c r="C2770" s="15"/>
      <c r="D2770" s="105">
        <v>1.0</v>
      </c>
      <c r="E2770" s="102">
        <v>48.0</v>
      </c>
      <c r="F2770" s="107">
        <v>401.0</v>
      </c>
      <c r="G2770" s="15" t="str">
        <f t="shared" si="1"/>
        <v>48401</v>
      </c>
      <c r="H2770" s="23" t="s">
        <v>2139</v>
      </c>
      <c r="I2770" s="23" t="s">
        <v>113</v>
      </c>
      <c r="J2770" s="23" t="s">
        <v>219</v>
      </c>
      <c r="K2770" s="23" t="str">
        <f t="shared" si="44"/>
        <v>Rusk, TX</v>
      </c>
      <c r="L2770" s="24"/>
    </row>
    <row r="2771">
      <c r="A2771" s="99">
        <v>2770.0</v>
      </c>
      <c r="B2771" s="15"/>
      <c r="C2771" s="15"/>
      <c r="D2771" s="105">
        <v>1.0</v>
      </c>
      <c r="E2771" s="102">
        <v>48.0</v>
      </c>
      <c r="F2771" s="107">
        <v>403.0</v>
      </c>
      <c r="G2771" s="15" t="str">
        <f t="shared" si="1"/>
        <v>48403</v>
      </c>
      <c r="H2771" s="23" t="s">
        <v>1168</v>
      </c>
      <c r="I2771" s="23" t="s">
        <v>113</v>
      </c>
      <c r="J2771" s="23" t="s">
        <v>219</v>
      </c>
      <c r="K2771" s="23" t="str">
        <f t="shared" si="44"/>
        <v>Sabine, TX</v>
      </c>
      <c r="L2771" s="24"/>
    </row>
    <row r="2772">
      <c r="A2772" s="99">
        <v>2771.0</v>
      </c>
      <c r="B2772" s="15"/>
      <c r="C2772" s="15"/>
      <c r="D2772" s="105">
        <v>1.0</v>
      </c>
      <c r="E2772" s="102">
        <v>48.0</v>
      </c>
      <c r="F2772" s="107">
        <v>405.0</v>
      </c>
      <c r="G2772" s="15" t="str">
        <f t="shared" si="1"/>
        <v>48405</v>
      </c>
      <c r="H2772" s="23" t="s">
        <v>2140</v>
      </c>
      <c r="I2772" s="23" t="s">
        <v>113</v>
      </c>
      <c r="J2772" s="23" t="s">
        <v>219</v>
      </c>
      <c r="K2772" s="112" t="str">
        <f t="shared" si="44"/>
        <v>San Augustine, TX</v>
      </c>
      <c r="L2772" s="24"/>
    </row>
    <row r="2773">
      <c r="A2773" s="99">
        <v>2772.0</v>
      </c>
      <c r="B2773" s="15"/>
      <c r="C2773" s="15"/>
      <c r="D2773" s="105">
        <v>1.0</v>
      </c>
      <c r="E2773" s="102">
        <v>48.0</v>
      </c>
      <c r="F2773" s="107">
        <v>407.0</v>
      </c>
      <c r="G2773" s="15" t="str">
        <f t="shared" si="1"/>
        <v>48407</v>
      </c>
      <c r="H2773" s="23" t="s">
        <v>2142</v>
      </c>
      <c r="I2773" s="23" t="s">
        <v>113</v>
      </c>
      <c r="J2773" s="23" t="s">
        <v>219</v>
      </c>
      <c r="K2773" s="23" t="str">
        <f t="shared" si="44"/>
        <v>San Jacinto, TX</v>
      </c>
      <c r="L2773" s="24"/>
    </row>
    <row r="2774">
      <c r="A2774" s="99">
        <v>2773.0</v>
      </c>
      <c r="B2774" s="15"/>
      <c r="C2774" s="15"/>
      <c r="D2774" s="105">
        <v>1.0</v>
      </c>
      <c r="E2774" s="102">
        <v>48.0</v>
      </c>
      <c r="F2774" s="107">
        <v>409.0</v>
      </c>
      <c r="G2774" s="15" t="str">
        <f t="shared" si="1"/>
        <v>48409</v>
      </c>
      <c r="H2774" s="23" t="s">
        <v>2143</v>
      </c>
      <c r="I2774" s="23" t="s">
        <v>113</v>
      </c>
      <c r="J2774" s="23" t="s">
        <v>219</v>
      </c>
      <c r="K2774" s="23" t="str">
        <f t="shared" si="44"/>
        <v>San Patricio, TX</v>
      </c>
      <c r="L2774" s="24"/>
    </row>
    <row r="2775">
      <c r="A2775" s="99">
        <v>2774.0</v>
      </c>
      <c r="B2775" s="15"/>
      <c r="C2775" s="15"/>
      <c r="D2775" s="105">
        <v>1.0</v>
      </c>
      <c r="E2775" s="102">
        <v>48.0</v>
      </c>
      <c r="F2775" s="107">
        <v>411.0</v>
      </c>
      <c r="G2775" s="15" t="str">
        <f t="shared" si="1"/>
        <v>48411</v>
      </c>
      <c r="H2775" s="23" t="s">
        <v>2144</v>
      </c>
      <c r="I2775" s="23" t="s">
        <v>113</v>
      </c>
      <c r="J2775" s="23" t="s">
        <v>219</v>
      </c>
      <c r="K2775" s="23" t="str">
        <f t="shared" si="44"/>
        <v>San Saba, TX</v>
      </c>
      <c r="L2775" s="24"/>
    </row>
    <row r="2776">
      <c r="A2776" s="99">
        <v>2775.0</v>
      </c>
      <c r="B2776" s="15"/>
      <c r="C2776" s="15"/>
      <c r="D2776" s="105">
        <v>1.0</v>
      </c>
      <c r="E2776" s="102">
        <v>48.0</v>
      </c>
      <c r="F2776" s="107">
        <v>413.0</v>
      </c>
      <c r="G2776" s="15" t="str">
        <f t="shared" si="1"/>
        <v>48413</v>
      </c>
      <c r="H2776" s="23" t="s">
        <v>2145</v>
      </c>
      <c r="I2776" s="23" t="s">
        <v>113</v>
      </c>
      <c r="J2776" s="23" t="s">
        <v>219</v>
      </c>
      <c r="K2776" s="23" t="str">
        <f t="shared" si="44"/>
        <v>Schleicher, TX</v>
      </c>
      <c r="L2776" s="24"/>
    </row>
    <row r="2777">
      <c r="A2777" s="99">
        <v>2776.0</v>
      </c>
      <c r="B2777" s="15"/>
      <c r="C2777" s="15"/>
      <c r="D2777" s="105">
        <v>1.0</v>
      </c>
      <c r="E2777" s="102">
        <v>48.0</v>
      </c>
      <c r="F2777" s="107">
        <v>415.0</v>
      </c>
      <c r="G2777" s="15" t="str">
        <f t="shared" si="1"/>
        <v>48415</v>
      </c>
      <c r="H2777" s="23" t="s">
        <v>2146</v>
      </c>
      <c r="I2777" s="23" t="s">
        <v>113</v>
      </c>
      <c r="J2777" s="23" t="s">
        <v>219</v>
      </c>
      <c r="K2777" s="23" t="str">
        <f t="shared" si="44"/>
        <v>Scurry, TX</v>
      </c>
      <c r="L2777" s="24"/>
    </row>
    <row r="2778">
      <c r="A2778" s="99">
        <v>2777.0</v>
      </c>
      <c r="B2778" s="15"/>
      <c r="C2778" s="15"/>
      <c r="D2778" s="105">
        <v>1.0</v>
      </c>
      <c r="E2778" s="102">
        <v>48.0</v>
      </c>
      <c r="F2778" s="107">
        <v>417.0</v>
      </c>
      <c r="G2778" s="15" t="str">
        <f t="shared" si="1"/>
        <v>48417</v>
      </c>
      <c r="H2778" s="23" t="s">
        <v>2148</v>
      </c>
      <c r="I2778" s="23" t="s">
        <v>113</v>
      </c>
      <c r="J2778" s="23" t="s">
        <v>219</v>
      </c>
      <c r="K2778" s="23" t="str">
        <f t="shared" si="44"/>
        <v>Shackelford, TX</v>
      </c>
      <c r="L2778" s="24"/>
    </row>
    <row r="2779">
      <c r="A2779" s="99">
        <v>2778.0</v>
      </c>
      <c r="B2779" s="15"/>
      <c r="C2779" s="15"/>
      <c r="D2779" s="105">
        <v>1.0</v>
      </c>
      <c r="E2779" s="102">
        <v>48.0</v>
      </c>
      <c r="F2779" s="107">
        <v>419.0</v>
      </c>
      <c r="G2779" s="15" t="str">
        <f t="shared" si="1"/>
        <v>48419</v>
      </c>
      <c r="H2779" s="23" t="s">
        <v>168</v>
      </c>
      <c r="I2779" s="23" t="s">
        <v>113</v>
      </c>
      <c r="J2779" s="23" t="s">
        <v>219</v>
      </c>
      <c r="K2779" s="23" t="str">
        <f t="shared" si="44"/>
        <v>Shelby, TX</v>
      </c>
      <c r="L2779" s="24"/>
    </row>
    <row r="2780">
      <c r="A2780" s="99">
        <v>2779.0</v>
      </c>
      <c r="B2780" s="15"/>
      <c r="C2780" s="15"/>
      <c r="D2780" s="105">
        <v>1.0</v>
      </c>
      <c r="E2780" s="102">
        <v>48.0</v>
      </c>
      <c r="F2780" s="107">
        <v>421.0</v>
      </c>
      <c r="G2780" s="15" t="str">
        <f t="shared" si="1"/>
        <v>48421</v>
      </c>
      <c r="H2780" s="23" t="s">
        <v>1011</v>
      </c>
      <c r="I2780" s="23" t="s">
        <v>113</v>
      </c>
      <c r="J2780" s="23" t="s">
        <v>219</v>
      </c>
      <c r="K2780" s="23" t="str">
        <f t="shared" si="44"/>
        <v>Sherman, TX</v>
      </c>
      <c r="L2780" s="24"/>
    </row>
    <row r="2781">
      <c r="A2781" s="99">
        <v>2780.0</v>
      </c>
      <c r="B2781" s="15"/>
      <c r="C2781" s="15"/>
      <c r="D2781" s="105">
        <v>1.0</v>
      </c>
      <c r="E2781" s="102">
        <v>48.0</v>
      </c>
      <c r="F2781" s="107">
        <v>423.0</v>
      </c>
      <c r="G2781" s="15" t="str">
        <f t="shared" si="1"/>
        <v>48423</v>
      </c>
      <c r="H2781" s="23" t="s">
        <v>1012</v>
      </c>
      <c r="I2781" s="23" t="s">
        <v>113</v>
      </c>
      <c r="J2781" s="23" t="s">
        <v>219</v>
      </c>
      <c r="K2781" s="23" t="str">
        <f t="shared" si="44"/>
        <v>Smith, TX</v>
      </c>
      <c r="L2781" s="24"/>
    </row>
    <row r="2782">
      <c r="A2782" s="99">
        <v>2781.0</v>
      </c>
      <c r="B2782" s="15"/>
      <c r="C2782" s="15"/>
      <c r="D2782" s="105">
        <v>1.0</v>
      </c>
      <c r="E2782" s="102">
        <v>48.0</v>
      </c>
      <c r="F2782" s="107">
        <v>425.0</v>
      </c>
      <c r="G2782" s="15" t="str">
        <f t="shared" si="1"/>
        <v>48425</v>
      </c>
      <c r="H2782" s="23" t="s">
        <v>2149</v>
      </c>
      <c r="I2782" s="23" t="s">
        <v>113</v>
      </c>
      <c r="J2782" s="23" t="s">
        <v>219</v>
      </c>
      <c r="K2782" s="23" t="str">
        <f t="shared" si="44"/>
        <v>Somervell, TX</v>
      </c>
      <c r="L2782" s="24"/>
    </row>
    <row r="2783">
      <c r="A2783" s="99">
        <v>2782.0</v>
      </c>
      <c r="B2783" s="15"/>
      <c r="C2783" s="15"/>
      <c r="D2783" s="105">
        <v>1.0</v>
      </c>
      <c r="E2783" s="102">
        <v>48.0</v>
      </c>
      <c r="F2783" s="107">
        <v>427.0</v>
      </c>
      <c r="G2783" s="15" t="str">
        <f t="shared" si="1"/>
        <v>48427</v>
      </c>
      <c r="H2783" s="23" t="s">
        <v>2150</v>
      </c>
      <c r="I2783" s="23" t="s">
        <v>113</v>
      </c>
      <c r="J2783" s="23" t="s">
        <v>219</v>
      </c>
      <c r="K2783" s="23" t="str">
        <f t="shared" si="44"/>
        <v>Starr, TX</v>
      </c>
      <c r="L2783" s="24"/>
    </row>
    <row r="2784">
      <c r="A2784" s="99">
        <v>2783.0</v>
      </c>
      <c r="B2784" s="15"/>
      <c r="C2784" s="15"/>
      <c r="D2784" s="105">
        <v>1.0</v>
      </c>
      <c r="E2784" s="102">
        <v>48.0</v>
      </c>
      <c r="F2784" s="107">
        <v>429.0</v>
      </c>
      <c r="G2784" s="15" t="str">
        <f t="shared" si="1"/>
        <v>48429</v>
      </c>
      <c r="H2784" s="23" t="s">
        <v>628</v>
      </c>
      <c r="I2784" s="23" t="s">
        <v>113</v>
      </c>
      <c r="J2784" s="23" t="s">
        <v>219</v>
      </c>
      <c r="K2784" s="23" t="str">
        <f t="shared" si="44"/>
        <v>Stephens, TX</v>
      </c>
      <c r="L2784" s="24"/>
    </row>
    <row r="2785">
      <c r="A2785" s="99">
        <v>2784.0</v>
      </c>
      <c r="B2785" s="15"/>
      <c r="C2785" s="15"/>
      <c r="D2785" s="105">
        <v>1.0</v>
      </c>
      <c r="E2785" s="102">
        <v>48.0</v>
      </c>
      <c r="F2785" s="107">
        <v>431.0</v>
      </c>
      <c r="G2785" s="15" t="str">
        <f t="shared" si="1"/>
        <v>48431</v>
      </c>
      <c r="H2785" s="23" t="s">
        <v>2151</v>
      </c>
      <c r="I2785" s="23" t="s">
        <v>113</v>
      </c>
      <c r="J2785" s="23" t="s">
        <v>219</v>
      </c>
      <c r="K2785" s="23" t="str">
        <f t="shared" si="44"/>
        <v>Sterling, TX</v>
      </c>
      <c r="L2785" s="24"/>
    </row>
    <row r="2786">
      <c r="A2786" s="99">
        <v>2785.0</v>
      </c>
      <c r="B2786" s="15"/>
      <c r="C2786" s="15"/>
      <c r="D2786" s="105">
        <v>1.0</v>
      </c>
      <c r="E2786" s="102">
        <v>48.0</v>
      </c>
      <c r="F2786" s="107">
        <v>433.0</v>
      </c>
      <c r="G2786" s="15" t="str">
        <f t="shared" si="1"/>
        <v>48433</v>
      </c>
      <c r="H2786" s="23" t="s">
        <v>2152</v>
      </c>
      <c r="I2786" s="23" t="s">
        <v>113</v>
      </c>
      <c r="J2786" s="23" t="s">
        <v>219</v>
      </c>
      <c r="K2786" s="23" t="str">
        <f t="shared" si="44"/>
        <v>Stonewall, TX</v>
      </c>
      <c r="L2786" s="24"/>
    </row>
    <row r="2787">
      <c r="A2787" s="99">
        <v>2786.0</v>
      </c>
      <c r="B2787" s="15"/>
      <c r="C2787" s="15"/>
      <c r="D2787" s="105">
        <v>1.0</v>
      </c>
      <c r="E2787" s="102">
        <v>48.0</v>
      </c>
      <c r="F2787" s="107">
        <v>435.0</v>
      </c>
      <c r="G2787" s="15" t="str">
        <f t="shared" si="1"/>
        <v>48435</v>
      </c>
      <c r="H2787" s="23" t="s">
        <v>2153</v>
      </c>
      <c r="I2787" s="23" t="s">
        <v>113</v>
      </c>
      <c r="J2787" s="23" t="s">
        <v>219</v>
      </c>
      <c r="K2787" s="23" t="str">
        <f t="shared" si="44"/>
        <v>Sutton, TX</v>
      </c>
      <c r="L2787" s="24"/>
    </row>
    <row r="2788">
      <c r="A2788" s="99">
        <v>2787.0</v>
      </c>
      <c r="B2788" s="15"/>
      <c r="C2788" s="15"/>
      <c r="D2788" s="105">
        <v>1.0</v>
      </c>
      <c r="E2788" s="102">
        <v>48.0</v>
      </c>
      <c r="F2788" s="107">
        <v>437.0</v>
      </c>
      <c r="G2788" s="15" t="str">
        <f t="shared" si="1"/>
        <v>48437</v>
      </c>
      <c r="H2788" s="23" t="s">
        <v>2154</v>
      </c>
      <c r="I2788" s="23" t="s">
        <v>113</v>
      </c>
      <c r="J2788" s="23" t="s">
        <v>219</v>
      </c>
      <c r="K2788" s="23" t="str">
        <f t="shared" si="44"/>
        <v>Swisher, TX</v>
      </c>
      <c r="L2788" s="24"/>
    </row>
    <row r="2789">
      <c r="A2789" s="99">
        <v>2788.0</v>
      </c>
      <c r="B2789" s="15"/>
      <c r="C2789" s="15"/>
      <c r="D2789" s="105">
        <v>1.0</v>
      </c>
      <c r="E2789" s="102">
        <v>48.0</v>
      </c>
      <c r="F2789" s="107">
        <v>439.0</v>
      </c>
      <c r="G2789" s="15" t="str">
        <f t="shared" si="1"/>
        <v>48439</v>
      </c>
      <c r="H2789" s="23" t="s">
        <v>265</v>
      </c>
      <c r="I2789" s="23" t="s">
        <v>113</v>
      </c>
      <c r="J2789" s="23" t="s">
        <v>219</v>
      </c>
      <c r="K2789" s="23" t="str">
        <f t="shared" si="44"/>
        <v>Tarrant, TX</v>
      </c>
      <c r="L2789" s="24"/>
    </row>
    <row r="2790">
      <c r="A2790" s="99">
        <v>2789.0</v>
      </c>
      <c r="B2790" s="15"/>
      <c r="C2790" s="15"/>
      <c r="D2790" s="105">
        <v>1.0</v>
      </c>
      <c r="E2790" s="102">
        <v>48.0</v>
      </c>
      <c r="F2790" s="107">
        <v>441.0</v>
      </c>
      <c r="G2790" s="15" t="str">
        <f t="shared" si="1"/>
        <v>48441</v>
      </c>
      <c r="H2790" s="23" t="s">
        <v>526</v>
      </c>
      <c r="I2790" s="23" t="s">
        <v>113</v>
      </c>
      <c r="J2790" s="23" t="s">
        <v>219</v>
      </c>
      <c r="K2790" s="23" t="str">
        <f t="shared" si="44"/>
        <v>Taylor, TX</v>
      </c>
      <c r="L2790" s="24"/>
    </row>
    <row r="2791">
      <c r="A2791" s="99">
        <v>2790.0</v>
      </c>
      <c r="B2791" s="15"/>
      <c r="C2791" s="15"/>
      <c r="D2791" s="105">
        <v>1.0</v>
      </c>
      <c r="E2791" s="102">
        <v>48.0</v>
      </c>
      <c r="F2791" s="107">
        <v>443.0</v>
      </c>
      <c r="G2791" s="15" t="str">
        <f t="shared" si="1"/>
        <v>48443</v>
      </c>
      <c r="H2791" s="23" t="s">
        <v>635</v>
      </c>
      <c r="I2791" s="23" t="s">
        <v>113</v>
      </c>
      <c r="J2791" s="23" t="s">
        <v>219</v>
      </c>
      <c r="K2791" s="23" t="str">
        <f t="shared" si="44"/>
        <v>Terrell, TX</v>
      </c>
      <c r="L2791" s="24"/>
    </row>
    <row r="2792">
      <c r="A2792" s="99">
        <v>2791.0</v>
      </c>
      <c r="B2792" s="15"/>
      <c r="C2792" s="15"/>
      <c r="D2792" s="105">
        <v>1.0</v>
      </c>
      <c r="E2792" s="102">
        <v>48.0</v>
      </c>
      <c r="F2792" s="107">
        <v>445.0</v>
      </c>
      <c r="G2792" s="15" t="str">
        <f t="shared" si="1"/>
        <v>48445</v>
      </c>
      <c r="H2792" s="23" t="s">
        <v>2156</v>
      </c>
      <c r="I2792" s="23" t="s">
        <v>113</v>
      </c>
      <c r="J2792" s="23" t="s">
        <v>219</v>
      </c>
      <c r="K2792" s="23" t="str">
        <f t="shared" si="44"/>
        <v>Terry, TX</v>
      </c>
      <c r="L2792" s="24"/>
    </row>
    <row r="2793">
      <c r="A2793" s="99">
        <v>2792.0</v>
      </c>
      <c r="B2793" s="15"/>
      <c r="C2793" s="15"/>
      <c r="D2793" s="105">
        <v>1.0</v>
      </c>
      <c r="E2793" s="102">
        <v>48.0</v>
      </c>
      <c r="F2793" s="107">
        <v>447.0</v>
      </c>
      <c r="G2793" s="15" t="str">
        <f t="shared" si="1"/>
        <v>48447</v>
      </c>
      <c r="H2793" s="23" t="s">
        <v>2157</v>
      </c>
      <c r="I2793" s="23" t="s">
        <v>113</v>
      </c>
      <c r="J2793" s="23" t="s">
        <v>219</v>
      </c>
      <c r="K2793" s="112" t="str">
        <f t="shared" si="44"/>
        <v>Throckmorton, TX</v>
      </c>
      <c r="L2793" s="24"/>
    </row>
    <row r="2794">
      <c r="A2794" s="99">
        <v>2793.0</v>
      </c>
      <c r="B2794" s="15"/>
      <c r="C2794" s="15"/>
      <c r="D2794" s="105">
        <v>1.0</v>
      </c>
      <c r="E2794" s="102">
        <v>48.0</v>
      </c>
      <c r="F2794" s="107">
        <v>449.0</v>
      </c>
      <c r="G2794" s="15" t="str">
        <f t="shared" si="1"/>
        <v>48449</v>
      </c>
      <c r="H2794" s="23" t="s">
        <v>2159</v>
      </c>
      <c r="I2794" s="23" t="s">
        <v>113</v>
      </c>
      <c r="J2794" s="23" t="s">
        <v>219</v>
      </c>
      <c r="K2794" s="23" t="str">
        <f t="shared" si="44"/>
        <v>Titus, TX</v>
      </c>
      <c r="L2794" s="24"/>
    </row>
    <row r="2795">
      <c r="A2795" s="99">
        <v>2794.0</v>
      </c>
      <c r="B2795" s="15"/>
      <c r="C2795" s="15"/>
      <c r="D2795" s="105">
        <v>1.0</v>
      </c>
      <c r="E2795" s="102">
        <v>48.0</v>
      </c>
      <c r="F2795" s="107">
        <v>451.0</v>
      </c>
      <c r="G2795" s="15" t="str">
        <f t="shared" si="1"/>
        <v>48451</v>
      </c>
      <c r="H2795" s="23" t="s">
        <v>2160</v>
      </c>
      <c r="I2795" s="23" t="s">
        <v>113</v>
      </c>
      <c r="J2795" s="23" t="s">
        <v>219</v>
      </c>
      <c r="K2795" s="23" t="str">
        <f t="shared" si="44"/>
        <v>Tom Green, TX</v>
      </c>
      <c r="L2795" s="24"/>
    </row>
    <row r="2796">
      <c r="A2796" s="99">
        <v>2795.0</v>
      </c>
      <c r="B2796" s="15"/>
      <c r="C2796" s="15"/>
      <c r="D2796" s="105">
        <v>1.0</v>
      </c>
      <c r="E2796" s="102">
        <v>48.0</v>
      </c>
      <c r="F2796" s="107">
        <v>453.0</v>
      </c>
      <c r="G2796" s="15" t="str">
        <f t="shared" si="1"/>
        <v>48453</v>
      </c>
      <c r="H2796" s="23" t="s">
        <v>355</v>
      </c>
      <c r="I2796" s="23" t="s">
        <v>113</v>
      </c>
      <c r="J2796" s="23" t="s">
        <v>219</v>
      </c>
      <c r="K2796" s="23" t="str">
        <f t="shared" si="44"/>
        <v>Travis, TX</v>
      </c>
      <c r="L2796" s="24"/>
    </row>
    <row r="2797">
      <c r="A2797" s="99">
        <v>2796.0</v>
      </c>
      <c r="B2797" s="15"/>
      <c r="C2797" s="15"/>
      <c r="D2797" s="105">
        <v>1.0</v>
      </c>
      <c r="E2797" s="102">
        <v>48.0</v>
      </c>
      <c r="F2797" s="107">
        <v>455.0</v>
      </c>
      <c r="G2797" s="15" t="str">
        <f t="shared" si="1"/>
        <v>48455</v>
      </c>
      <c r="H2797" s="23" t="s">
        <v>376</v>
      </c>
      <c r="I2797" s="23" t="s">
        <v>113</v>
      </c>
      <c r="J2797" s="23" t="s">
        <v>219</v>
      </c>
      <c r="K2797" s="23" t="str">
        <f t="shared" si="44"/>
        <v>Trinity, TX</v>
      </c>
      <c r="L2797" s="24"/>
    </row>
    <row r="2798">
      <c r="A2798" s="99">
        <v>2797.0</v>
      </c>
      <c r="B2798" s="15"/>
      <c r="C2798" s="15"/>
      <c r="D2798" s="105">
        <v>1.0</v>
      </c>
      <c r="E2798" s="102">
        <v>48.0</v>
      </c>
      <c r="F2798" s="107">
        <v>457.0</v>
      </c>
      <c r="G2798" s="15" t="str">
        <f t="shared" si="1"/>
        <v>48457</v>
      </c>
      <c r="H2798" s="23" t="s">
        <v>2161</v>
      </c>
      <c r="I2798" s="23" t="s">
        <v>113</v>
      </c>
      <c r="J2798" s="23" t="s">
        <v>219</v>
      </c>
      <c r="K2798" s="23" t="str">
        <f t="shared" si="44"/>
        <v>Tyler, TX</v>
      </c>
      <c r="L2798" s="24"/>
    </row>
    <row r="2799">
      <c r="A2799" s="99">
        <v>2798.0</v>
      </c>
      <c r="B2799" s="15"/>
      <c r="C2799" s="15"/>
      <c r="D2799" s="105">
        <v>1.0</v>
      </c>
      <c r="E2799" s="102">
        <v>48.0</v>
      </c>
      <c r="F2799" s="107">
        <v>459.0</v>
      </c>
      <c r="G2799" s="15" t="str">
        <f t="shared" si="1"/>
        <v>48459</v>
      </c>
      <c r="H2799" s="23" t="s">
        <v>2162</v>
      </c>
      <c r="I2799" s="23" t="s">
        <v>113</v>
      </c>
      <c r="J2799" s="23" t="s">
        <v>219</v>
      </c>
      <c r="K2799" s="23" t="str">
        <f t="shared" si="44"/>
        <v>Upshur, TX</v>
      </c>
      <c r="L2799" s="24"/>
    </row>
    <row r="2800">
      <c r="A2800" s="99">
        <v>2799.0</v>
      </c>
      <c r="B2800" s="15"/>
      <c r="C2800" s="15"/>
      <c r="D2800" s="105">
        <v>1.0</v>
      </c>
      <c r="E2800" s="102">
        <v>48.0</v>
      </c>
      <c r="F2800" s="107">
        <v>461.0</v>
      </c>
      <c r="G2800" s="15" t="str">
        <f t="shared" si="1"/>
        <v>48461</v>
      </c>
      <c r="H2800" s="23" t="s">
        <v>2164</v>
      </c>
      <c r="I2800" s="23" t="s">
        <v>113</v>
      </c>
      <c r="J2800" s="23" t="s">
        <v>219</v>
      </c>
      <c r="K2800" s="23" t="str">
        <f t="shared" si="44"/>
        <v>Upton, TX</v>
      </c>
      <c r="L2800" s="24"/>
    </row>
    <row r="2801">
      <c r="A2801" s="99">
        <v>2800.0</v>
      </c>
      <c r="B2801" s="15"/>
      <c r="C2801" s="15"/>
      <c r="D2801" s="105">
        <v>1.0</v>
      </c>
      <c r="E2801" s="102">
        <v>48.0</v>
      </c>
      <c r="F2801" s="107">
        <v>463.0</v>
      </c>
      <c r="G2801" s="15" t="str">
        <f t="shared" si="1"/>
        <v>48463</v>
      </c>
      <c r="H2801" s="23" t="s">
        <v>2166</v>
      </c>
      <c r="I2801" s="23" t="s">
        <v>113</v>
      </c>
      <c r="J2801" s="23" t="s">
        <v>219</v>
      </c>
      <c r="K2801" s="23" t="str">
        <f t="shared" si="44"/>
        <v>Uvalde, TX</v>
      </c>
      <c r="L2801" s="24"/>
    </row>
    <row r="2802">
      <c r="A2802" s="99">
        <v>2801.0</v>
      </c>
      <c r="B2802" s="15"/>
      <c r="C2802" s="15"/>
      <c r="D2802" s="105">
        <v>1.0</v>
      </c>
      <c r="E2802" s="102">
        <v>48.0</v>
      </c>
      <c r="F2802" s="107">
        <v>465.0</v>
      </c>
      <c r="G2802" s="15" t="str">
        <f t="shared" si="1"/>
        <v>48465</v>
      </c>
      <c r="H2802" s="23" t="s">
        <v>2167</v>
      </c>
      <c r="I2802" s="23" t="s">
        <v>113</v>
      </c>
      <c r="J2802" s="23" t="s">
        <v>219</v>
      </c>
      <c r="K2802" s="23" t="str">
        <f t="shared" si="44"/>
        <v>Val Verde, TX</v>
      </c>
      <c r="L2802" s="24"/>
    </row>
    <row r="2803">
      <c r="A2803" s="99">
        <v>2802.0</v>
      </c>
      <c r="B2803" s="15"/>
      <c r="C2803" s="15"/>
      <c r="D2803" s="105">
        <v>1.0</v>
      </c>
      <c r="E2803" s="102">
        <v>48.0</v>
      </c>
      <c r="F2803" s="107">
        <v>467.0</v>
      </c>
      <c r="G2803" s="15" t="str">
        <f t="shared" si="1"/>
        <v>48467</v>
      </c>
      <c r="H2803" s="23" t="s">
        <v>2168</v>
      </c>
      <c r="I2803" s="23" t="s">
        <v>113</v>
      </c>
      <c r="J2803" s="23" t="s">
        <v>219</v>
      </c>
      <c r="K2803" s="23" t="str">
        <f t="shared" si="44"/>
        <v>Van Zandt, TX</v>
      </c>
      <c r="L2803" s="24"/>
    </row>
    <row r="2804">
      <c r="A2804" s="99">
        <v>2803.0</v>
      </c>
      <c r="B2804" s="15"/>
      <c r="C2804" s="15"/>
      <c r="D2804" s="105">
        <v>1.0</v>
      </c>
      <c r="E2804" s="102">
        <v>48.0</v>
      </c>
      <c r="F2804" s="107">
        <v>469.0</v>
      </c>
      <c r="G2804" s="15" t="str">
        <f t="shared" si="1"/>
        <v>48469</v>
      </c>
      <c r="H2804" s="23" t="s">
        <v>2169</v>
      </c>
      <c r="I2804" s="23" t="s">
        <v>113</v>
      </c>
      <c r="J2804" s="23" t="s">
        <v>219</v>
      </c>
      <c r="K2804" s="23" t="str">
        <f t="shared" si="44"/>
        <v>Victoria, TX</v>
      </c>
      <c r="L2804" s="24"/>
    </row>
    <row r="2805">
      <c r="A2805" s="99">
        <v>2804.0</v>
      </c>
      <c r="B2805" s="15"/>
      <c r="C2805" s="15"/>
      <c r="D2805" s="105">
        <v>1.0</v>
      </c>
      <c r="E2805" s="102">
        <v>48.0</v>
      </c>
      <c r="F2805" s="107">
        <v>471.0</v>
      </c>
      <c r="G2805" s="15" t="str">
        <f t="shared" si="1"/>
        <v>48471</v>
      </c>
      <c r="H2805" s="23" t="s">
        <v>175</v>
      </c>
      <c r="I2805" s="23" t="s">
        <v>113</v>
      </c>
      <c r="J2805" s="23" t="s">
        <v>219</v>
      </c>
      <c r="K2805" s="23" t="str">
        <f t="shared" si="44"/>
        <v>Walker, TX</v>
      </c>
      <c r="L2805" s="24"/>
    </row>
    <row r="2806">
      <c r="A2806" s="99">
        <v>2805.0</v>
      </c>
      <c r="B2806" s="15"/>
      <c r="C2806" s="15"/>
      <c r="D2806" s="105">
        <v>1.0</v>
      </c>
      <c r="E2806" s="102">
        <v>48.0</v>
      </c>
      <c r="F2806" s="107">
        <v>473.0</v>
      </c>
      <c r="G2806" s="15" t="str">
        <f t="shared" si="1"/>
        <v>48473</v>
      </c>
      <c r="H2806" s="23" t="s">
        <v>2170</v>
      </c>
      <c r="I2806" s="23" t="s">
        <v>113</v>
      </c>
      <c r="J2806" s="23" t="s">
        <v>219</v>
      </c>
      <c r="K2806" s="23" t="str">
        <f t="shared" si="44"/>
        <v>Waller, TX</v>
      </c>
      <c r="L2806" s="24"/>
    </row>
    <row r="2807">
      <c r="A2807" s="99">
        <v>2806.0</v>
      </c>
      <c r="B2807" s="15"/>
      <c r="C2807" s="15"/>
      <c r="D2807" s="105">
        <v>1.0</v>
      </c>
      <c r="E2807" s="102">
        <v>48.0</v>
      </c>
      <c r="F2807" s="107">
        <v>475.0</v>
      </c>
      <c r="G2807" s="15" t="str">
        <f t="shared" si="1"/>
        <v>48475</v>
      </c>
      <c r="H2807" s="23" t="s">
        <v>1669</v>
      </c>
      <c r="I2807" s="23" t="s">
        <v>113</v>
      </c>
      <c r="J2807" s="23" t="s">
        <v>219</v>
      </c>
      <c r="K2807" s="23" t="str">
        <f t="shared" si="44"/>
        <v>Ward, TX</v>
      </c>
      <c r="L2807" s="24"/>
    </row>
    <row r="2808">
      <c r="A2808" s="99">
        <v>2807.0</v>
      </c>
      <c r="B2808" s="15"/>
      <c r="C2808" s="15"/>
      <c r="D2808" s="105">
        <v>1.0</v>
      </c>
      <c r="E2808" s="102">
        <v>48.0</v>
      </c>
      <c r="F2808" s="107">
        <v>477.0</v>
      </c>
      <c r="G2808" s="15" t="str">
        <f t="shared" si="1"/>
        <v>48477</v>
      </c>
      <c r="H2808" s="23" t="s">
        <v>119</v>
      </c>
      <c r="I2808" s="23" t="s">
        <v>113</v>
      </c>
      <c r="J2808" s="23" t="s">
        <v>219</v>
      </c>
      <c r="K2808" s="23" t="str">
        <f t="shared" si="44"/>
        <v>Washington, TX</v>
      </c>
      <c r="L2808" s="24"/>
    </row>
    <row r="2809">
      <c r="A2809" s="99">
        <v>2808.0</v>
      </c>
      <c r="B2809" s="15"/>
      <c r="C2809" s="15"/>
      <c r="D2809" s="105">
        <v>1.0</v>
      </c>
      <c r="E2809" s="102">
        <v>48.0</v>
      </c>
      <c r="F2809" s="107">
        <v>479.0</v>
      </c>
      <c r="G2809" s="15" t="str">
        <f t="shared" si="1"/>
        <v>48479</v>
      </c>
      <c r="H2809" s="23" t="s">
        <v>2172</v>
      </c>
      <c r="I2809" s="23" t="s">
        <v>113</v>
      </c>
      <c r="J2809" s="23" t="s">
        <v>219</v>
      </c>
      <c r="K2809" s="23" t="str">
        <f t="shared" si="44"/>
        <v>Webb, TX</v>
      </c>
      <c r="L2809" s="24"/>
    </row>
    <row r="2810">
      <c r="A2810" s="99">
        <v>2809.0</v>
      </c>
      <c r="B2810" s="15"/>
      <c r="C2810" s="15"/>
      <c r="D2810" s="105">
        <v>1.0</v>
      </c>
      <c r="E2810" s="102">
        <v>48.0</v>
      </c>
      <c r="F2810" s="107">
        <v>481.0</v>
      </c>
      <c r="G2810" s="15" t="str">
        <f t="shared" si="1"/>
        <v>48481</v>
      </c>
      <c r="H2810" s="23" t="s">
        <v>2173</v>
      </c>
      <c r="I2810" s="23" t="s">
        <v>113</v>
      </c>
      <c r="J2810" s="23" t="s">
        <v>219</v>
      </c>
      <c r="K2810" s="23" t="str">
        <f t="shared" si="44"/>
        <v>Wharton, TX</v>
      </c>
      <c r="L2810" s="24"/>
    </row>
    <row r="2811">
      <c r="A2811" s="99">
        <v>2810.0</v>
      </c>
      <c r="B2811" s="15"/>
      <c r="C2811" s="15"/>
      <c r="D2811" s="105">
        <v>1.0</v>
      </c>
      <c r="E2811" s="102">
        <v>48.0</v>
      </c>
      <c r="F2811" s="107">
        <v>483.0</v>
      </c>
      <c r="G2811" s="15" t="str">
        <f t="shared" si="1"/>
        <v>48483</v>
      </c>
      <c r="H2811" s="23" t="s">
        <v>649</v>
      </c>
      <c r="I2811" s="23" t="s">
        <v>113</v>
      </c>
      <c r="J2811" s="23" t="s">
        <v>219</v>
      </c>
      <c r="K2811" s="23" t="str">
        <f t="shared" si="44"/>
        <v>Wheeler, TX</v>
      </c>
      <c r="L2811" s="24"/>
    </row>
    <row r="2812">
      <c r="A2812" s="99">
        <v>2811.0</v>
      </c>
      <c r="B2812" s="15"/>
      <c r="C2812" s="15"/>
      <c r="D2812" s="105">
        <v>1.0</v>
      </c>
      <c r="E2812" s="102">
        <v>48.0</v>
      </c>
      <c r="F2812" s="107">
        <v>485.0</v>
      </c>
      <c r="G2812" s="15" t="str">
        <f t="shared" si="1"/>
        <v>48485</v>
      </c>
      <c r="H2812" s="23" t="s">
        <v>1020</v>
      </c>
      <c r="I2812" s="23" t="s">
        <v>113</v>
      </c>
      <c r="J2812" s="23" t="s">
        <v>219</v>
      </c>
      <c r="K2812" s="23" t="str">
        <f t="shared" si="44"/>
        <v>Wichita, TX</v>
      </c>
      <c r="L2812" s="24"/>
    </row>
    <row r="2813">
      <c r="A2813" s="99">
        <v>2812.0</v>
      </c>
      <c r="B2813" s="15"/>
      <c r="C2813" s="15"/>
      <c r="D2813" s="105">
        <v>1.0</v>
      </c>
      <c r="E2813" s="102">
        <v>48.0</v>
      </c>
      <c r="F2813" s="107">
        <v>487.0</v>
      </c>
      <c r="G2813" s="15" t="str">
        <f t="shared" si="1"/>
        <v>48487</v>
      </c>
      <c r="H2813" s="23" t="s">
        <v>2174</v>
      </c>
      <c r="I2813" s="23" t="s">
        <v>113</v>
      </c>
      <c r="J2813" s="23" t="s">
        <v>219</v>
      </c>
      <c r="K2813" s="23" t="str">
        <f t="shared" si="44"/>
        <v>Wilbarger, TX</v>
      </c>
      <c r="L2813" s="24"/>
    </row>
    <row r="2814">
      <c r="A2814" s="99">
        <v>2813.0</v>
      </c>
      <c r="B2814" s="15"/>
      <c r="C2814" s="15"/>
      <c r="D2814" s="105">
        <v>1.0</v>
      </c>
      <c r="E2814" s="102">
        <v>48.0</v>
      </c>
      <c r="F2814" s="107">
        <v>489.0</v>
      </c>
      <c r="G2814" s="15" t="str">
        <f t="shared" si="1"/>
        <v>48489</v>
      </c>
      <c r="H2814" s="23" t="s">
        <v>2176</v>
      </c>
      <c r="I2814" s="23" t="s">
        <v>113</v>
      </c>
      <c r="J2814" s="23" t="s">
        <v>219</v>
      </c>
      <c r="K2814" s="23" t="str">
        <f t="shared" si="44"/>
        <v>Willacy, TX</v>
      </c>
      <c r="L2814" s="24"/>
    </row>
    <row r="2815">
      <c r="A2815" s="99">
        <v>2814.0</v>
      </c>
      <c r="B2815" s="15"/>
      <c r="C2815" s="15"/>
      <c r="D2815" s="105">
        <v>1.0</v>
      </c>
      <c r="E2815" s="102">
        <v>48.0</v>
      </c>
      <c r="F2815" s="107">
        <v>491.0</v>
      </c>
      <c r="G2815" s="15" t="str">
        <f t="shared" si="1"/>
        <v>48491</v>
      </c>
      <c r="H2815" s="23" t="s">
        <v>627</v>
      </c>
      <c r="I2815" s="23" t="s">
        <v>113</v>
      </c>
      <c r="J2815" s="23" t="s">
        <v>219</v>
      </c>
      <c r="K2815" s="23" t="str">
        <f t="shared" si="44"/>
        <v>Williamson, TX</v>
      </c>
      <c r="L2815" s="24"/>
    </row>
    <row r="2816">
      <c r="A2816" s="99">
        <v>2815.0</v>
      </c>
      <c r="B2816" s="15"/>
      <c r="C2816" s="15"/>
      <c r="D2816" s="105">
        <v>1.0</v>
      </c>
      <c r="E2816" s="102">
        <v>48.0</v>
      </c>
      <c r="F2816" s="107">
        <v>493.0</v>
      </c>
      <c r="G2816" s="15" t="str">
        <f t="shared" si="1"/>
        <v>48493</v>
      </c>
      <c r="H2816" s="23" t="s">
        <v>1021</v>
      </c>
      <c r="I2816" s="23" t="s">
        <v>113</v>
      </c>
      <c r="J2816" s="23" t="s">
        <v>219</v>
      </c>
      <c r="K2816" s="23" t="str">
        <f t="shared" si="44"/>
        <v>Wilson, TX</v>
      </c>
      <c r="L2816" s="24"/>
    </row>
    <row r="2817">
      <c r="A2817" s="99">
        <v>2816.0</v>
      </c>
      <c r="B2817" s="15"/>
      <c r="C2817" s="15"/>
      <c r="D2817" s="105">
        <v>1.0</v>
      </c>
      <c r="E2817" s="102">
        <v>48.0</v>
      </c>
      <c r="F2817" s="107">
        <v>495.0</v>
      </c>
      <c r="G2817" s="15" t="str">
        <f t="shared" si="1"/>
        <v>48495</v>
      </c>
      <c r="H2817" s="23" t="s">
        <v>2177</v>
      </c>
      <c r="I2817" s="23" t="s">
        <v>113</v>
      </c>
      <c r="J2817" s="23" t="s">
        <v>219</v>
      </c>
      <c r="K2817" s="23" t="str">
        <f t="shared" si="44"/>
        <v>Winkler, TX</v>
      </c>
      <c r="L2817" s="24"/>
    </row>
    <row r="2818">
      <c r="A2818" s="99">
        <v>2817.0</v>
      </c>
      <c r="B2818" s="15"/>
      <c r="C2818" s="15"/>
      <c r="D2818" s="105">
        <v>1.0</v>
      </c>
      <c r="E2818" s="102">
        <v>48.0</v>
      </c>
      <c r="F2818" s="107">
        <v>497.0</v>
      </c>
      <c r="G2818" s="15" t="str">
        <f t="shared" si="1"/>
        <v>48497</v>
      </c>
      <c r="H2818" s="23" t="s">
        <v>2178</v>
      </c>
      <c r="I2818" s="23" t="s">
        <v>113</v>
      </c>
      <c r="J2818" s="23" t="s">
        <v>219</v>
      </c>
      <c r="K2818" s="23" t="str">
        <f t="shared" si="44"/>
        <v>Wise, TX</v>
      </c>
      <c r="L2818" s="24"/>
    </row>
    <row r="2819">
      <c r="A2819" s="99">
        <v>2818.0</v>
      </c>
      <c r="B2819" s="15"/>
      <c r="C2819" s="15"/>
      <c r="D2819" s="105">
        <v>1.0</v>
      </c>
      <c r="E2819" s="102">
        <v>48.0</v>
      </c>
      <c r="F2819" s="107">
        <v>499.0</v>
      </c>
      <c r="G2819" s="15" t="str">
        <f t="shared" si="1"/>
        <v>48499</v>
      </c>
      <c r="H2819" s="23" t="s">
        <v>1703</v>
      </c>
      <c r="I2819" s="23" t="s">
        <v>113</v>
      </c>
      <c r="J2819" s="23" t="s">
        <v>219</v>
      </c>
      <c r="K2819" s="23" t="str">
        <f t="shared" si="44"/>
        <v>Wood, TX</v>
      </c>
      <c r="L2819" s="24"/>
    </row>
    <row r="2820">
      <c r="A2820" s="99">
        <v>2819.0</v>
      </c>
      <c r="B2820" s="15"/>
      <c r="C2820" s="15"/>
      <c r="D2820" s="105">
        <v>1.0</v>
      </c>
      <c r="E2820" s="102">
        <v>48.0</v>
      </c>
      <c r="F2820" s="107">
        <v>501.0</v>
      </c>
      <c r="G2820" s="15" t="str">
        <f t="shared" si="1"/>
        <v>48501</v>
      </c>
      <c r="H2820" s="23" t="s">
        <v>2179</v>
      </c>
      <c r="I2820" s="23" t="s">
        <v>113</v>
      </c>
      <c r="J2820" s="23" t="s">
        <v>219</v>
      </c>
      <c r="K2820" s="23" t="str">
        <f t="shared" si="44"/>
        <v>Yoakum, TX</v>
      </c>
      <c r="L2820" s="24"/>
    </row>
    <row r="2821">
      <c r="A2821" s="99">
        <v>2820.0</v>
      </c>
      <c r="B2821" s="15"/>
      <c r="C2821" s="15"/>
      <c r="D2821" s="105">
        <v>1.0</v>
      </c>
      <c r="E2821" s="102">
        <v>48.0</v>
      </c>
      <c r="F2821" s="107">
        <v>503.0</v>
      </c>
      <c r="G2821" s="15" t="str">
        <f t="shared" si="1"/>
        <v>48503</v>
      </c>
      <c r="H2821" s="23" t="s">
        <v>2181</v>
      </c>
      <c r="I2821" s="23" t="s">
        <v>113</v>
      </c>
      <c r="J2821" s="23" t="s">
        <v>219</v>
      </c>
      <c r="K2821" s="23" t="str">
        <f t="shared" si="44"/>
        <v>Young, TX</v>
      </c>
      <c r="L2821" s="24"/>
    </row>
    <row r="2822">
      <c r="A2822" s="99">
        <v>2821.0</v>
      </c>
      <c r="B2822" s="15"/>
      <c r="C2822" s="15"/>
      <c r="D2822" s="105">
        <v>1.0</v>
      </c>
      <c r="E2822" s="102">
        <v>48.0</v>
      </c>
      <c r="F2822" s="107">
        <v>505.0</v>
      </c>
      <c r="G2822" s="15" t="str">
        <f t="shared" si="1"/>
        <v>48505</v>
      </c>
      <c r="H2822" s="23" t="s">
        <v>2182</v>
      </c>
      <c r="I2822" s="23" t="s">
        <v>113</v>
      </c>
      <c r="J2822" s="23" t="s">
        <v>219</v>
      </c>
      <c r="K2822" s="23" t="str">
        <f t="shared" si="44"/>
        <v>Zapata, TX</v>
      </c>
      <c r="L2822" s="24"/>
    </row>
    <row r="2823">
      <c r="A2823" s="99">
        <v>2822.0</v>
      </c>
      <c r="B2823" s="15"/>
      <c r="C2823" s="15"/>
      <c r="D2823" s="105">
        <v>1.0</v>
      </c>
      <c r="E2823" s="102">
        <v>48.0</v>
      </c>
      <c r="F2823" s="107">
        <v>507.0</v>
      </c>
      <c r="G2823" s="15" t="str">
        <f t="shared" si="1"/>
        <v>48507</v>
      </c>
      <c r="H2823" s="23" t="s">
        <v>2183</v>
      </c>
      <c r="I2823" s="23" t="s">
        <v>113</v>
      </c>
      <c r="J2823" s="23" t="s">
        <v>219</v>
      </c>
      <c r="K2823" s="23" t="str">
        <f t="shared" si="44"/>
        <v>Zavala, TX</v>
      </c>
      <c r="L2823" s="24"/>
    </row>
    <row r="2824">
      <c r="A2824" s="28">
        <v>2823.0</v>
      </c>
      <c r="B2824" s="29"/>
      <c r="C2824" s="29" t="s">
        <v>25</v>
      </c>
      <c r="D2824" s="30"/>
      <c r="E2824" s="31">
        <v>49.0</v>
      </c>
      <c r="F2824" s="42">
        <v>0.0</v>
      </c>
      <c r="G2824" s="29" t="str">
        <f t="shared" si="1"/>
        <v>49000</v>
      </c>
      <c r="H2824" s="37"/>
      <c r="I2824" s="37" t="s">
        <v>114</v>
      </c>
      <c r="J2824" s="37" t="s">
        <v>368</v>
      </c>
      <c r="K2824" s="37"/>
      <c r="L2824" s="24"/>
    </row>
    <row r="2825">
      <c r="A2825" s="28">
        <v>2824.0</v>
      </c>
      <c r="B2825" s="29"/>
      <c r="C2825" s="29"/>
      <c r="D2825" s="40">
        <v>1.0</v>
      </c>
      <c r="E2825" s="31">
        <v>49.0</v>
      </c>
      <c r="F2825" s="42">
        <v>1.0</v>
      </c>
      <c r="G2825" s="29" t="str">
        <f t="shared" si="1"/>
        <v>49001</v>
      </c>
      <c r="H2825" s="37" t="s">
        <v>1710</v>
      </c>
      <c r="I2825" s="37" t="s">
        <v>114</v>
      </c>
      <c r="J2825" s="37" t="s">
        <v>368</v>
      </c>
      <c r="K2825" s="37" t="str">
        <f t="shared" ref="K2825:K2853" si="45">CONCATENATE(H2825,", ",J2825)</f>
        <v>Beaver, UT</v>
      </c>
      <c r="L2825" s="24"/>
    </row>
    <row r="2826">
      <c r="A2826" s="28">
        <v>2825.0</v>
      </c>
      <c r="B2826" s="29"/>
      <c r="C2826" s="29"/>
      <c r="D2826" s="40">
        <v>1.0</v>
      </c>
      <c r="E2826" s="31">
        <v>49.0</v>
      </c>
      <c r="F2826" s="42">
        <v>3.0</v>
      </c>
      <c r="G2826" s="29" t="str">
        <f t="shared" si="1"/>
        <v>49003</v>
      </c>
      <c r="H2826" s="37" t="s">
        <v>2185</v>
      </c>
      <c r="I2826" s="37" t="s">
        <v>114</v>
      </c>
      <c r="J2826" s="37" t="s">
        <v>368</v>
      </c>
      <c r="K2826" s="37" t="str">
        <f t="shared" si="45"/>
        <v>Box Elder, UT</v>
      </c>
      <c r="L2826" s="24"/>
    </row>
    <row r="2827">
      <c r="A2827" s="28">
        <v>2826.0</v>
      </c>
      <c r="B2827" s="29"/>
      <c r="C2827" s="29"/>
      <c r="D2827" s="40">
        <v>1.0</v>
      </c>
      <c r="E2827" s="31">
        <v>49.0</v>
      </c>
      <c r="F2827" s="42">
        <v>5.0</v>
      </c>
      <c r="G2827" s="29" t="str">
        <f t="shared" si="1"/>
        <v>49005</v>
      </c>
      <c r="H2827" s="37" t="s">
        <v>2186</v>
      </c>
      <c r="I2827" s="37" t="s">
        <v>114</v>
      </c>
      <c r="J2827" s="37" t="s">
        <v>368</v>
      </c>
      <c r="K2827" s="37" t="str">
        <f t="shared" si="45"/>
        <v>Cache, UT</v>
      </c>
      <c r="L2827" s="24"/>
    </row>
    <row r="2828">
      <c r="A2828" s="28">
        <v>2827.0</v>
      </c>
      <c r="B2828" s="29"/>
      <c r="C2828" s="29"/>
      <c r="D2828" s="40">
        <v>1.0</v>
      </c>
      <c r="E2828" s="31">
        <v>49.0</v>
      </c>
      <c r="F2828" s="42">
        <v>7.0</v>
      </c>
      <c r="G2828" s="29" t="str">
        <f t="shared" si="1"/>
        <v>49007</v>
      </c>
      <c r="H2828" s="37" t="s">
        <v>1434</v>
      </c>
      <c r="I2828" s="37" t="s">
        <v>114</v>
      </c>
      <c r="J2828" s="37" t="s">
        <v>368</v>
      </c>
      <c r="K2828" s="37" t="str">
        <f t="shared" si="45"/>
        <v>Carbon, UT</v>
      </c>
      <c r="L2828" s="24"/>
    </row>
    <row r="2829">
      <c r="A2829" s="28">
        <v>2828.0</v>
      </c>
      <c r="B2829" s="29"/>
      <c r="C2829" s="29"/>
      <c r="D2829" s="40">
        <v>1.0</v>
      </c>
      <c r="E2829" s="31">
        <v>49.0</v>
      </c>
      <c r="F2829" s="42">
        <v>9.0</v>
      </c>
      <c r="G2829" s="29" t="str">
        <f t="shared" si="1"/>
        <v>49009</v>
      </c>
      <c r="H2829" s="37" t="s">
        <v>2187</v>
      </c>
      <c r="I2829" s="37" t="s">
        <v>114</v>
      </c>
      <c r="J2829" s="37" t="s">
        <v>368</v>
      </c>
      <c r="K2829" s="37" t="str">
        <f t="shared" si="45"/>
        <v>Daggett, UT</v>
      </c>
      <c r="L2829" s="24"/>
    </row>
    <row r="2830">
      <c r="A2830" s="28">
        <v>2829.0</v>
      </c>
      <c r="B2830" s="29"/>
      <c r="C2830" s="29"/>
      <c r="D2830" s="40">
        <v>1.0</v>
      </c>
      <c r="E2830" s="31">
        <v>49.0</v>
      </c>
      <c r="F2830" s="42">
        <v>11.0</v>
      </c>
      <c r="G2830" s="29" t="str">
        <f t="shared" si="1"/>
        <v>49011</v>
      </c>
      <c r="H2830" s="37" t="s">
        <v>897</v>
      </c>
      <c r="I2830" s="37" t="s">
        <v>114</v>
      </c>
      <c r="J2830" s="37" t="s">
        <v>368</v>
      </c>
      <c r="K2830" s="37" t="str">
        <f t="shared" si="45"/>
        <v>Davis, UT</v>
      </c>
      <c r="L2830" s="24"/>
    </row>
    <row r="2831">
      <c r="A2831" s="28">
        <v>2830.0</v>
      </c>
      <c r="B2831" s="29"/>
      <c r="C2831" s="29"/>
      <c r="D2831" s="40">
        <v>1.0</v>
      </c>
      <c r="E2831" s="31">
        <v>49.0</v>
      </c>
      <c r="F2831" s="42">
        <v>13.0</v>
      </c>
      <c r="G2831" s="29" t="str">
        <f t="shared" si="1"/>
        <v>49013</v>
      </c>
      <c r="H2831" s="37" t="s">
        <v>2188</v>
      </c>
      <c r="I2831" s="37" t="s">
        <v>114</v>
      </c>
      <c r="J2831" s="37" t="s">
        <v>368</v>
      </c>
      <c r="K2831" s="37" t="str">
        <f t="shared" si="45"/>
        <v>Duchesne, UT</v>
      </c>
      <c r="L2831" s="24"/>
    </row>
    <row r="2832">
      <c r="A2832" s="28">
        <v>2831.0</v>
      </c>
      <c r="B2832" s="29"/>
      <c r="C2832" s="29"/>
      <c r="D2832" s="40">
        <v>1.0</v>
      </c>
      <c r="E2832" s="31">
        <v>49.0</v>
      </c>
      <c r="F2832" s="42">
        <v>15.0</v>
      </c>
      <c r="G2832" s="29" t="str">
        <f t="shared" si="1"/>
        <v>49015</v>
      </c>
      <c r="H2832" s="37" t="s">
        <v>2190</v>
      </c>
      <c r="I2832" s="37" t="s">
        <v>114</v>
      </c>
      <c r="J2832" s="37" t="s">
        <v>368</v>
      </c>
      <c r="K2832" s="37" t="str">
        <f t="shared" si="45"/>
        <v>Emery, UT</v>
      </c>
      <c r="L2832" s="24"/>
    </row>
    <row r="2833">
      <c r="A2833" s="28">
        <v>2832.0</v>
      </c>
      <c r="B2833" s="29"/>
      <c r="C2833" s="29"/>
      <c r="D2833" s="40">
        <v>1.0</v>
      </c>
      <c r="E2833" s="31">
        <v>49.0</v>
      </c>
      <c r="F2833" s="42">
        <v>17.0</v>
      </c>
      <c r="G2833" s="29" t="str">
        <f t="shared" si="1"/>
        <v>49017</v>
      </c>
      <c r="H2833" s="37" t="s">
        <v>417</v>
      </c>
      <c r="I2833" s="37" t="s">
        <v>114</v>
      </c>
      <c r="J2833" s="37" t="s">
        <v>368</v>
      </c>
      <c r="K2833" s="37" t="str">
        <f t="shared" si="45"/>
        <v>Garfield, UT</v>
      </c>
      <c r="L2833" s="24"/>
    </row>
    <row r="2834">
      <c r="A2834" s="28">
        <v>2833.0</v>
      </c>
      <c r="B2834" s="29"/>
      <c r="C2834" s="29"/>
      <c r="D2834" s="40">
        <v>1.0</v>
      </c>
      <c r="E2834" s="31">
        <v>49.0</v>
      </c>
      <c r="F2834" s="42">
        <v>19.0</v>
      </c>
      <c r="G2834" s="29" t="str">
        <f t="shared" si="1"/>
        <v>49019</v>
      </c>
      <c r="H2834" s="37" t="s">
        <v>421</v>
      </c>
      <c r="I2834" s="37" t="s">
        <v>114</v>
      </c>
      <c r="J2834" s="37" t="s">
        <v>368</v>
      </c>
      <c r="K2834" s="37" t="str">
        <f t="shared" si="45"/>
        <v>Grand, UT</v>
      </c>
      <c r="L2834" s="24"/>
    </row>
    <row r="2835">
      <c r="A2835" s="28">
        <v>2834.0</v>
      </c>
      <c r="B2835" s="29"/>
      <c r="C2835" s="29"/>
      <c r="D2835" s="40">
        <v>1.0</v>
      </c>
      <c r="E2835" s="31">
        <v>49.0</v>
      </c>
      <c r="F2835" s="42">
        <v>21.0</v>
      </c>
      <c r="G2835" s="29" t="str">
        <f t="shared" si="1"/>
        <v>49021</v>
      </c>
      <c r="H2835" s="37" t="s">
        <v>1259</v>
      </c>
      <c r="I2835" s="37" t="s">
        <v>114</v>
      </c>
      <c r="J2835" s="37" t="s">
        <v>368</v>
      </c>
      <c r="K2835" s="37" t="str">
        <f t="shared" si="45"/>
        <v>Iron, UT</v>
      </c>
      <c r="L2835" s="24"/>
    </row>
    <row r="2836">
      <c r="A2836" s="28">
        <v>2835.0</v>
      </c>
      <c r="B2836" s="29"/>
      <c r="C2836" s="29"/>
      <c r="D2836" s="40">
        <v>1.0</v>
      </c>
      <c r="E2836" s="31">
        <v>49.0</v>
      </c>
      <c r="F2836" s="42">
        <v>23.0</v>
      </c>
      <c r="G2836" s="29" t="str">
        <f t="shared" si="1"/>
        <v>49023</v>
      </c>
      <c r="H2836" s="37" t="s">
        <v>2191</v>
      </c>
      <c r="I2836" s="37" t="s">
        <v>114</v>
      </c>
      <c r="J2836" s="37" t="s">
        <v>368</v>
      </c>
      <c r="K2836" s="37" t="str">
        <f t="shared" si="45"/>
        <v>Juab, UT</v>
      </c>
      <c r="L2836" s="24"/>
    </row>
    <row r="2837">
      <c r="A2837" s="28">
        <v>2836.0</v>
      </c>
      <c r="B2837" s="29"/>
      <c r="C2837" s="29"/>
      <c r="D2837" s="40">
        <v>1.0</v>
      </c>
      <c r="E2837" s="31">
        <v>49.0</v>
      </c>
      <c r="F2837" s="42">
        <v>25.0</v>
      </c>
      <c r="G2837" s="29" t="str">
        <f t="shared" si="1"/>
        <v>49025</v>
      </c>
      <c r="H2837" s="37" t="s">
        <v>656</v>
      </c>
      <c r="I2837" s="37" t="s">
        <v>114</v>
      </c>
      <c r="J2837" s="37" t="s">
        <v>368</v>
      </c>
      <c r="K2837" s="37" t="str">
        <f t="shared" si="45"/>
        <v>Kane, UT</v>
      </c>
      <c r="L2837" s="24"/>
    </row>
    <row r="2838">
      <c r="A2838" s="28">
        <v>2837.0</v>
      </c>
      <c r="B2838" s="29"/>
      <c r="C2838" s="29"/>
      <c r="D2838" s="40">
        <v>1.0</v>
      </c>
      <c r="E2838" s="31">
        <v>49.0</v>
      </c>
      <c r="F2838" s="42">
        <v>27.0</v>
      </c>
      <c r="G2838" s="29" t="str">
        <f t="shared" si="1"/>
        <v>49027</v>
      </c>
      <c r="H2838" s="37" t="s">
        <v>2193</v>
      </c>
      <c r="I2838" s="37" t="s">
        <v>114</v>
      </c>
      <c r="J2838" s="37" t="s">
        <v>368</v>
      </c>
      <c r="K2838" s="37" t="str">
        <f t="shared" si="45"/>
        <v>Millard, UT</v>
      </c>
      <c r="L2838" s="24"/>
    </row>
    <row r="2839">
      <c r="A2839" s="28">
        <v>2838.0</v>
      </c>
      <c r="B2839" s="29"/>
      <c r="C2839" s="29"/>
      <c r="D2839" s="40">
        <v>1.0</v>
      </c>
      <c r="E2839" s="31">
        <v>49.0</v>
      </c>
      <c r="F2839" s="42">
        <v>29.0</v>
      </c>
      <c r="G2839" s="29" t="str">
        <f t="shared" si="1"/>
        <v>49029</v>
      </c>
      <c r="H2839" s="37" t="s">
        <v>158</v>
      </c>
      <c r="I2839" s="37" t="s">
        <v>114</v>
      </c>
      <c r="J2839" s="37" t="s">
        <v>368</v>
      </c>
      <c r="K2839" s="37" t="str">
        <f t="shared" si="45"/>
        <v>Morgan, UT</v>
      </c>
      <c r="L2839" s="24"/>
    </row>
    <row r="2840">
      <c r="A2840" s="28">
        <v>2839.0</v>
      </c>
      <c r="B2840" s="29"/>
      <c r="C2840" s="29"/>
      <c r="D2840" s="40">
        <v>1.0</v>
      </c>
      <c r="E2840" s="31">
        <v>49.0</v>
      </c>
      <c r="F2840" s="42">
        <v>31.0</v>
      </c>
      <c r="G2840" s="29" t="str">
        <f t="shared" si="1"/>
        <v>49031</v>
      </c>
      <c r="H2840" s="37" t="s">
        <v>2194</v>
      </c>
      <c r="I2840" s="37" t="s">
        <v>114</v>
      </c>
      <c r="J2840" s="37" t="s">
        <v>368</v>
      </c>
      <c r="K2840" s="37" t="str">
        <f t="shared" si="45"/>
        <v>Piute, UT</v>
      </c>
      <c r="L2840" s="24"/>
    </row>
    <row r="2841">
      <c r="A2841" s="28">
        <v>2840.0</v>
      </c>
      <c r="B2841" s="29"/>
      <c r="C2841" s="29"/>
      <c r="D2841" s="40">
        <v>1.0</v>
      </c>
      <c r="E2841" s="31">
        <v>49.0</v>
      </c>
      <c r="F2841" s="42">
        <v>33.0</v>
      </c>
      <c r="G2841" s="29" t="str">
        <f t="shared" si="1"/>
        <v>49033</v>
      </c>
      <c r="H2841" s="37" t="s">
        <v>2195</v>
      </c>
      <c r="I2841" s="37" t="s">
        <v>114</v>
      </c>
      <c r="J2841" s="37" t="s">
        <v>368</v>
      </c>
      <c r="K2841" s="37" t="str">
        <f t="shared" si="45"/>
        <v>Rich, UT</v>
      </c>
      <c r="L2841" s="24"/>
    </row>
    <row r="2842">
      <c r="A2842" s="28">
        <v>2841.0</v>
      </c>
      <c r="B2842" s="29"/>
      <c r="C2842" s="29"/>
      <c r="D2842" s="40">
        <v>1.0</v>
      </c>
      <c r="E2842" s="31">
        <v>49.0</v>
      </c>
      <c r="F2842" s="42">
        <v>35.0</v>
      </c>
      <c r="G2842" s="29" t="str">
        <f t="shared" si="1"/>
        <v>49035</v>
      </c>
      <c r="H2842" s="37" t="s">
        <v>367</v>
      </c>
      <c r="I2842" s="37" t="s">
        <v>114</v>
      </c>
      <c r="J2842" s="37" t="s">
        <v>368</v>
      </c>
      <c r="K2842" s="37" t="str">
        <f t="shared" si="45"/>
        <v>Salt Lake, UT</v>
      </c>
      <c r="L2842" s="24"/>
    </row>
    <row r="2843">
      <c r="A2843" s="28">
        <v>2842.0</v>
      </c>
      <c r="B2843" s="29"/>
      <c r="C2843" s="29"/>
      <c r="D2843" s="40">
        <v>1.0</v>
      </c>
      <c r="E2843" s="31">
        <v>49.0</v>
      </c>
      <c r="F2843" s="42">
        <v>37.0</v>
      </c>
      <c r="G2843" s="29" t="str">
        <f t="shared" si="1"/>
        <v>49037</v>
      </c>
      <c r="H2843" s="37" t="s">
        <v>457</v>
      </c>
      <c r="I2843" s="37" t="s">
        <v>114</v>
      </c>
      <c r="J2843" s="37" t="s">
        <v>368</v>
      </c>
      <c r="K2843" s="37" t="str">
        <f t="shared" si="45"/>
        <v>San Juan, UT</v>
      </c>
      <c r="L2843" s="24"/>
    </row>
    <row r="2844">
      <c r="A2844" s="28">
        <v>2843.0</v>
      </c>
      <c r="B2844" s="29"/>
      <c r="C2844" s="29"/>
      <c r="D2844" s="40">
        <v>1.0</v>
      </c>
      <c r="E2844" s="31">
        <v>49.0</v>
      </c>
      <c r="F2844" s="42">
        <v>39.0</v>
      </c>
      <c r="G2844" s="29" t="str">
        <f t="shared" si="1"/>
        <v>49039</v>
      </c>
      <c r="H2844" s="37" t="s">
        <v>2197</v>
      </c>
      <c r="I2844" s="37" t="s">
        <v>114</v>
      </c>
      <c r="J2844" s="37" t="s">
        <v>368</v>
      </c>
      <c r="K2844" s="37" t="str">
        <f t="shared" si="45"/>
        <v>Sanpete, UT</v>
      </c>
      <c r="L2844" s="24"/>
    </row>
    <row r="2845">
      <c r="A2845" s="28">
        <v>2844.0</v>
      </c>
      <c r="B2845" s="29"/>
      <c r="C2845" s="29"/>
      <c r="D2845" s="40">
        <v>1.0</v>
      </c>
      <c r="E2845" s="31">
        <v>49.0</v>
      </c>
      <c r="F2845" s="42">
        <v>41.0</v>
      </c>
      <c r="G2845" s="29" t="str">
        <f t="shared" si="1"/>
        <v>49041</v>
      </c>
      <c r="H2845" s="37" t="s">
        <v>312</v>
      </c>
      <c r="I2845" s="37" t="s">
        <v>114</v>
      </c>
      <c r="J2845" s="37" t="s">
        <v>368</v>
      </c>
      <c r="K2845" s="37" t="str">
        <f t="shared" si="45"/>
        <v>Sevier, UT</v>
      </c>
      <c r="L2845" s="24"/>
    </row>
    <row r="2846">
      <c r="A2846" s="28">
        <v>2845.0</v>
      </c>
      <c r="B2846" s="29"/>
      <c r="C2846" s="29"/>
      <c r="D2846" s="40">
        <v>1.0</v>
      </c>
      <c r="E2846" s="31">
        <v>49.0</v>
      </c>
      <c r="F2846" s="42">
        <v>43.0</v>
      </c>
      <c r="G2846" s="29" t="str">
        <f t="shared" si="1"/>
        <v>49043</v>
      </c>
      <c r="H2846" s="37" t="s">
        <v>461</v>
      </c>
      <c r="I2846" s="37" t="s">
        <v>114</v>
      </c>
      <c r="J2846" s="37" t="s">
        <v>368</v>
      </c>
      <c r="K2846" s="37" t="str">
        <f t="shared" si="45"/>
        <v>Summit, UT</v>
      </c>
      <c r="L2846" s="24"/>
    </row>
    <row r="2847">
      <c r="A2847" s="28">
        <v>2846.0</v>
      </c>
      <c r="B2847" s="29"/>
      <c r="C2847" s="29"/>
      <c r="D2847" s="40">
        <v>1.0</v>
      </c>
      <c r="E2847" s="31">
        <v>49.0</v>
      </c>
      <c r="F2847" s="42">
        <v>45.0</v>
      </c>
      <c r="G2847" s="29" t="str">
        <f t="shared" si="1"/>
        <v>49045</v>
      </c>
      <c r="H2847" s="37" t="s">
        <v>2198</v>
      </c>
      <c r="I2847" s="37" t="s">
        <v>114</v>
      </c>
      <c r="J2847" s="37" t="s">
        <v>368</v>
      </c>
      <c r="K2847" s="37" t="str">
        <f t="shared" si="45"/>
        <v>Tooele, UT</v>
      </c>
      <c r="L2847" s="24"/>
    </row>
    <row r="2848">
      <c r="A2848" s="28">
        <v>2847.0</v>
      </c>
      <c r="B2848" s="29"/>
      <c r="C2848" s="29"/>
      <c r="D2848" s="40">
        <v>1.0</v>
      </c>
      <c r="E2848" s="31">
        <v>49.0</v>
      </c>
      <c r="F2848" s="42">
        <v>47.0</v>
      </c>
      <c r="G2848" s="29" t="str">
        <f t="shared" si="1"/>
        <v>49047</v>
      </c>
      <c r="H2848" s="37" t="s">
        <v>2199</v>
      </c>
      <c r="I2848" s="37" t="s">
        <v>114</v>
      </c>
      <c r="J2848" s="37" t="s">
        <v>368</v>
      </c>
      <c r="K2848" s="37" t="str">
        <f t="shared" si="45"/>
        <v>Uintah, UT</v>
      </c>
      <c r="L2848" s="24"/>
    </row>
    <row r="2849">
      <c r="A2849" s="28">
        <v>2848.0</v>
      </c>
      <c r="B2849" s="29"/>
      <c r="C2849" s="29"/>
      <c r="D2849" s="40">
        <v>1.0</v>
      </c>
      <c r="E2849" s="31">
        <v>49.0</v>
      </c>
      <c r="F2849" s="42">
        <v>49.0</v>
      </c>
      <c r="G2849" s="29" t="str">
        <f t="shared" si="1"/>
        <v>49049</v>
      </c>
      <c r="H2849" s="37" t="s">
        <v>114</v>
      </c>
      <c r="I2849" s="37" t="s">
        <v>114</v>
      </c>
      <c r="J2849" s="37" t="s">
        <v>368</v>
      </c>
      <c r="K2849" s="37" t="str">
        <f t="shared" si="45"/>
        <v>Utah, UT</v>
      </c>
      <c r="L2849" s="24"/>
    </row>
    <row r="2850">
      <c r="A2850" s="28">
        <v>2849.0</v>
      </c>
      <c r="B2850" s="29"/>
      <c r="C2850" s="29"/>
      <c r="D2850" s="40">
        <v>1.0</v>
      </c>
      <c r="E2850" s="31">
        <v>49.0</v>
      </c>
      <c r="F2850" s="42">
        <v>51.0</v>
      </c>
      <c r="G2850" s="29" t="str">
        <f t="shared" si="1"/>
        <v>49051</v>
      </c>
      <c r="H2850" s="37" t="s">
        <v>2200</v>
      </c>
      <c r="I2850" s="37" t="s">
        <v>114</v>
      </c>
      <c r="J2850" s="37" t="s">
        <v>368</v>
      </c>
      <c r="K2850" s="37" t="str">
        <f t="shared" si="45"/>
        <v>Wasatch, UT</v>
      </c>
      <c r="L2850" s="24"/>
    </row>
    <row r="2851">
      <c r="A2851" s="28">
        <v>2850.0</v>
      </c>
      <c r="B2851" s="29"/>
      <c r="C2851" s="29"/>
      <c r="D2851" s="40">
        <v>1.0</v>
      </c>
      <c r="E2851" s="31">
        <v>49.0</v>
      </c>
      <c r="F2851" s="42">
        <v>53.0</v>
      </c>
      <c r="G2851" s="29" t="str">
        <f t="shared" si="1"/>
        <v>49053</v>
      </c>
      <c r="H2851" s="37" t="s">
        <v>119</v>
      </c>
      <c r="I2851" s="37" t="s">
        <v>114</v>
      </c>
      <c r="J2851" s="37" t="s">
        <v>368</v>
      </c>
      <c r="K2851" s="37" t="str">
        <f t="shared" si="45"/>
        <v>Washington, UT</v>
      </c>
      <c r="L2851" s="24"/>
    </row>
    <row r="2852">
      <c r="A2852" s="28">
        <v>2851.0</v>
      </c>
      <c r="B2852" s="29"/>
      <c r="C2852" s="29"/>
      <c r="D2852" s="40">
        <v>1.0</v>
      </c>
      <c r="E2852" s="31">
        <v>49.0</v>
      </c>
      <c r="F2852" s="42">
        <v>55.0</v>
      </c>
      <c r="G2852" s="29" t="str">
        <f t="shared" si="1"/>
        <v>49055</v>
      </c>
      <c r="H2852" s="37" t="s">
        <v>273</v>
      </c>
      <c r="I2852" s="37" t="s">
        <v>114</v>
      </c>
      <c r="J2852" s="37" t="s">
        <v>368</v>
      </c>
      <c r="K2852" s="37" t="str">
        <f t="shared" si="45"/>
        <v>Wayne, UT</v>
      </c>
      <c r="L2852" s="24"/>
    </row>
    <row r="2853">
      <c r="A2853" s="28">
        <v>2852.0</v>
      </c>
      <c r="B2853" s="29"/>
      <c r="C2853" s="29"/>
      <c r="D2853" s="40">
        <v>1.0</v>
      </c>
      <c r="E2853" s="31">
        <v>49.0</v>
      </c>
      <c r="F2853" s="42">
        <v>57.0</v>
      </c>
      <c r="G2853" s="29" t="str">
        <f t="shared" si="1"/>
        <v>49057</v>
      </c>
      <c r="H2853" s="37" t="s">
        <v>2202</v>
      </c>
      <c r="I2853" s="37" t="s">
        <v>114</v>
      </c>
      <c r="J2853" s="37" t="s">
        <v>368</v>
      </c>
      <c r="K2853" s="37" t="str">
        <f t="shared" si="45"/>
        <v>Weber, UT</v>
      </c>
      <c r="L2853" s="24"/>
    </row>
    <row r="2854">
      <c r="A2854" s="99">
        <v>2853.0</v>
      </c>
      <c r="B2854" s="15"/>
      <c r="C2854" s="14" t="s">
        <v>25</v>
      </c>
      <c r="D2854" s="16"/>
      <c r="E2854" s="102">
        <v>50.0</v>
      </c>
      <c r="F2854" s="107">
        <v>0.0</v>
      </c>
      <c r="G2854" s="15" t="str">
        <f t="shared" si="1"/>
        <v>50000</v>
      </c>
      <c r="H2854" s="23"/>
      <c r="I2854" s="23" t="s">
        <v>116</v>
      </c>
      <c r="J2854" s="23" t="s">
        <v>2203</v>
      </c>
      <c r="K2854" s="23"/>
      <c r="L2854" s="24"/>
    </row>
    <row r="2855">
      <c r="A2855" s="99">
        <v>2854.0</v>
      </c>
      <c r="B2855" s="15"/>
      <c r="C2855" s="15"/>
      <c r="D2855" s="105">
        <v>1.0</v>
      </c>
      <c r="E2855" s="102">
        <v>50.0</v>
      </c>
      <c r="F2855" s="107">
        <v>1.0</v>
      </c>
      <c r="G2855" s="15" t="str">
        <f t="shared" si="1"/>
        <v>50001</v>
      </c>
      <c r="H2855" s="23" t="s">
        <v>2204</v>
      </c>
      <c r="I2855" s="23" t="s">
        <v>116</v>
      </c>
      <c r="J2855" s="23" t="s">
        <v>2203</v>
      </c>
      <c r="K2855" s="23" t="str">
        <f t="shared" ref="K2855:K2868" si="46">CONCATENATE(H2855,", ",J2855)</f>
        <v>Addison, VT</v>
      </c>
      <c r="L2855" s="24"/>
    </row>
    <row r="2856">
      <c r="A2856" s="99">
        <v>2855.0</v>
      </c>
      <c r="B2856" s="15"/>
      <c r="C2856" s="15"/>
      <c r="D2856" s="105">
        <v>1.0</v>
      </c>
      <c r="E2856" s="102">
        <v>50.0</v>
      </c>
      <c r="F2856" s="107">
        <v>3.0</v>
      </c>
      <c r="G2856" s="15" t="str">
        <f t="shared" si="1"/>
        <v>50003</v>
      </c>
      <c r="H2856" s="23" t="s">
        <v>2205</v>
      </c>
      <c r="I2856" s="23" t="s">
        <v>116</v>
      </c>
      <c r="J2856" s="23" t="s">
        <v>2203</v>
      </c>
      <c r="K2856" s="23" t="str">
        <f t="shared" si="46"/>
        <v>Bennington, VT</v>
      </c>
      <c r="L2856" s="24"/>
    </row>
    <row r="2857">
      <c r="A2857" s="99">
        <v>2856.0</v>
      </c>
      <c r="B2857" s="15"/>
      <c r="C2857" s="15"/>
      <c r="D2857" s="105">
        <v>1.0</v>
      </c>
      <c r="E2857" s="102">
        <v>50.0</v>
      </c>
      <c r="F2857" s="107">
        <v>5.0</v>
      </c>
      <c r="G2857" s="15" t="str">
        <f t="shared" si="1"/>
        <v>50005</v>
      </c>
      <c r="H2857" s="23" t="s">
        <v>2206</v>
      </c>
      <c r="I2857" s="23" t="s">
        <v>116</v>
      </c>
      <c r="J2857" s="23" t="s">
        <v>2203</v>
      </c>
      <c r="K2857" s="23" t="str">
        <f t="shared" si="46"/>
        <v>Caledonia, VT</v>
      </c>
      <c r="L2857" s="24"/>
    </row>
    <row r="2858">
      <c r="A2858" s="99">
        <v>2857.0</v>
      </c>
      <c r="B2858" s="15"/>
      <c r="C2858" s="15"/>
      <c r="D2858" s="105">
        <v>1.0</v>
      </c>
      <c r="E2858" s="102">
        <v>50.0</v>
      </c>
      <c r="F2858" s="107">
        <v>7.0</v>
      </c>
      <c r="G2858" s="15" t="str">
        <f t="shared" si="1"/>
        <v>50007</v>
      </c>
      <c r="H2858" s="23" t="s">
        <v>2207</v>
      </c>
      <c r="I2858" s="23" t="s">
        <v>116</v>
      </c>
      <c r="J2858" s="23" t="s">
        <v>2203</v>
      </c>
      <c r="K2858" s="23" t="str">
        <f t="shared" si="46"/>
        <v>Chittenden, VT</v>
      </c>
      <c r="L2858" s="24"/>
    </row>
    <row r="2859">
      <c r="A2859" s="99">
        <v>2858.0</v>
      </c>
      <c r="B2859" s="15"/>
      <c r="C2859" s="15"/>
      <c r="D2859" s="105">
        <v>1.0</v>
      </c>
      <c r="E2859" s="102">
        <v>50.0</v>
      </c>
      <c r="F2859" s="107">
        <v>9.0</v>
      </c>
      <c r="G2859" s="15" t="str">
        <f t="shared" si="1"/>
        <v>50009</v>
      </c>
      <c r="H2859" s="23" t="s">
        <v>516</v>
      </c>
      <c r="I2859" s="23" t="s">
        <v>116</v>
      </c>
      <c r="J2859" s="23" t="s">
        <v>2203</v>
      </c>
      <c r="K2859" s="23" t="str">
        <f t="shared" si="46"/>
        <v>Essex, VT</v>
      </c>
      <c r="L2859" s="24"/>
    </row>
    <row r="2860">
      <c r="A2860" s="99">
        <v>2859.0</v>
      </c>
      <c r="B2860" s="15"/>
      <c r="C2860" s="15"/>
      <c r="D2860" s="105">
        <v>1.0</v>
      </c>
      <c r="E2860" s="102">
        <v>50.0</v>
      </c>
      <c r="F2860" s="107">
        <v>11.0</v>
      </c>
      <c r="G2860" s="15" t="str">
        <f t="shared" si="1"/>
        <v>50011</v>
      </c>
      <c r="H2860" s="23" t="s">
        <v>136</v>
      </c>
      <c r="I2860" s="23" t="s">
        <v>116</v>
      </c>
      <c r="J2860" s="23" t="s">
        <v>2203</v>
      </c>
      <c r="K2860" s="23" t="str">
        <f t="shared" si="46"/>
        <v>Franklin, VT</v>
      </c>
      <c r="L2860" s="24"/>
    </row>
    <row r="2861">
      <c r="A2861" s="99">
        <v>2860.0</v>
      </c>
      <c r="B2861" s="15"/>
      <c r="C2861" s="15"/>
      <c r="D2861" s="105">
        <v>1.0</v>
      </c>
      <c r="E2861" s="102">
        <v>50.0</v>
      </c>
      <c r="F2861" s="107">
        <v>13.0</v>
      </c>
      <c r="G2861" s="15" t="str">
        <f t="shared" si="1"/>
        <v>50013</v>
      </c>
      <c r="H2861" s="23" t="s">
        <v>2209</v>
      </c>
      <c r="I2861" s="23" t="s">
        <v>116</v>
      </c>
      <c r="J2861" s="23" t="s">
        <v>2203</v>
      </c>
      <c r="K2861" s="23" t="str">
        <f t="shared" si="46"/>
        <v>Grand Isle, VT</v>
      </c>
      <c r="L2861" s="24"/>
    </row>
    <row r="2862">
      <c r="A2862" s="99">
        <v>2861.0</v>
      </c>
      <c r="B2862" s="15"/>
      <c r="C2862" s="15"/>
      <c r="D2862" s="105">
        <v>1.0</v>
      </c>
      <c r="E2862" s="102">
        <v>50.0</v>
      </c>
      <c r="F2862" s="107">
        <v>15.0</v>
      </c>
      <c r="G2862" s="15" t="str">
        <f t="shared" si="1"/>
        <v>50015</v>
      </c>
      <c r="H2862" s="23" t="s">
        <v>2210</v>
      </c>
      <c r="I2862" s="23" t="s">
        <v>116</v>
      </c>
      <c r="J2862" s="23" t="s">
        <v>2203</v>
      </c>
      <c r="K2862" s="23" t="str">
        <f t="shared" si="46"/>
        <v>Lamoille, VT</v>
      </c>
      <c r="L2862" s="24"/>
    </row>
    <row r="2863">
      <c r="A2863" s="99">
        <v>2862.0</v>
      </c>
      <c r="B2863" s="15"/>
      <c r="C2863" s="15"/>
      <c r="D2863" s="105">
        <v>1.0</v>
      </c>
      <c r="E2863" s="102">
        <v>50.0</v>
      </c>
      <c r="F2863" s="107">
        <v>17.0</v>
      </c>
      <c r="G2863" s="15" t="str">
        <f t="shared" si="1"/>
        <v>50017</v>
      </c>
      <c r="H2863" s="23" t="s">
        <v>241</v>
      </c>
      <c r="I2863" s="23" t="s">
        <v>116</v>
      </c>
      <c r="J2863" s="23" t="s">
        <v>2203</v>
      </c>
      <c r="K2863" s="23" t="str">
        <f t="shared" si="46"/>
        <v>Orange, VT</v>
      </c>
      <c r="L2863" s="24"/>
    </row>
    <row r="2864">
      <c r="A2864" s="99">
        <v>2863.0</v>
      </c>
      <c r="B2864" s="15"/>
      <c r="C2864" s="15"/>
      <c r="D2864" s="105">
        <v>1.0</v>
      </c>
      <c r="E2864" s="102">
        <v>50.0</v>
      </c>
      <c r="F2864" s="107">
        <v>19.0</v>
      </c>
      <c r="G2864" s="15" t="str">
        <f t="shared" si="1"/>
        <v>50019</v>
      </c>
      <c r="H2864" s="23" t="s">
        <v>1163</v>
      </c>
      <c r="I2864" s="23" t="s">
        <v>116</v>
      </c>
      <c r="J2864" s="23" t="s">
        <v>2203</v>
      </c>
      <c r="K2864" s="23" t="str">
        <f t="shared" si="46"/>
        <v>Orleans, VT</v>
      </c>
      <c r="L2864" s="24"/>
    </row>
    <row r="2865">
      <c r="A2865" s="99">
        <v>2864.0</v>
      </c>
      <c r="B2865" s="15"/>
      <c r="C2865" s="15"/>
      <c r="D2865" s="105">
        <v>1.0</v>
      </c>
      <c r="E2865" s="102">
        <v>50.0</v>
      </c>
      <c r="F2865" s="107">
        <v>21.0</v>
      </c>
      <c r="G2865" s="15" t="str">
        <f t="shared" si="1"/>
        <v>50021</v>
      </c>
      <c r="H2865" s="23" t="s">
        <v>2211</v>
      </c>
      <c r="I2865" s="23" t="s">
        <v>116</v>
      </c>
      <c r="J2865" s="23" t="s">
        <v>2203</v>
      </c>
      <c r="K2865" s="23" t="str">
        <f t="shared" si="46"/>
        <v>Rutland, VT</v>
      </c>
      <c r="L2865" s="24"/>
    </row>
    <row r="2866">
      <c r="A2866" s="99">
        <v>2865.0</v>
      </c>
      <c r="B2866" s="15"/>
      <c r="C2866" s="15"/>
      <c r="D2866" s="105">
        <v>1.0</v>
      </c>
      <c r="E2866" s="102">
        <v>50.0</v>
      </c>
      <c r="F2866" s="107">
        <v>23.0</v>
      </c>
      <c r="G2866" s="15" t="str">
        <f t="shared" si="1"/>
        <v>50023</v>
      </c>
      <c r="H2866" s="23" t="s">
        <v>119</v>
      </c>
      <c r="I2866" s="23" t="s">
        <v>116</v>
      </c>
      <c r="J2866" s="23" t="s">
        <v>2203</v>
      </c>
      <c r="K2866" s="23" t="str">
        <f t="shared" si="46"/>
        <v>Washington, VT</v>
      </c>
      <c r="L2866" s="24"/>
    </row>
    <row r="2867">
      <c r="A2867" s="99">
        <v>2866.0</v>
      </c>
      <c r="B2867" s="15"/>
      <c r="C2867" s="15"/>
      <c r="D2867" s="105">
        <v>1.0</v>
      </c>
      <c r="E2867" s="102">
        <v>50.0</v>
      </c>
      <c r="F2867" s="107">
        <v>25.0</v>
      </c>
      <c r="G2867" s="15" t="str">
        <f t="shared" si="1"/>
        <v>50025</v>
      </c>
      <c r="H2867" s="23" t="s">
        <v>471</v>
      </c>
      <c r="I2867" s="23" t="s">
        <v>116</v>
      </c>
      <c r="J2867" s="23" t="s">
        <v>2203</v>
      </c>
      <c r="K2867" s="23" t="str">
        <f t="shared" si="46"/>
        <v>Windham, VT</v>
      </c>
      <c r="L2867" s="24"/>
    </row>
    <row r="2868">
      <c r="A2868" s="99">
        <v>2867.0</v>
      </c>
      <c r="B2868" s="15"/>
      <c r="C2868" s="15"/>
      <c r="D2868" s="105">
        <v>1.0</v>
      </c>
      <c r="E2868" s="102">
        <v>50.0</v>
      </c>
      <c r="F2868" s="107">
        <v>27.0</v>
      </c>
      <c r="G2868" s="15" t="str">
        <f t="shared" si="1"/>
        <v>50027</v>
      </c>
      <c r="H2868" s="23" t="s">
        <v>2212</v>
      </c>
      <c r="I2868" s="23" t="s">
        <v>116</v>
      </c>
      <c r="J2868" s="23" t="s">
        <v>2203</v>
      </c>
      <c r="K2868" s="23" t="str">
        <f t="shared" si="46"/>
        <v>Windsor, VT</v>
      </c>
      <c r="L2868" s="24"/>
    </row>
    <row r="2869">
      <c r="A2869" s="28">
        <v>2868.0</v>
      </c>
      <c r="B2869" s="29"/>
      <c r="C2869" s="29" t="s">
        <v>25</v>
      </c>
      <c r="D2869" s="30"/>
      <c r="E2869" s="31">
        <v>51.0</v>
      </c>
      <c r="F2869" s="42">
        <v>0.0</v>
      </c>
      <c r="G2869" s="29" t="str">
        <f t="shared" si="1"/>
        <v>51000</v>
      </c>
      <c r="H2869" s="37"/>
      <c r="I2869" s="37" t="s">
        <v>117</v>
      </c>
      <c r="J2869" s="37" t="s">
        <v>375</v>
      </c>
      <c r="K2869" s="37"/>
      <c r="L2869" s="24"/>
    </row>
    <row r="2870">
      <c r="A2870" s="28">
        <v>2869.0</v>
      </c>
      <c r="B2870" s="29"/>
      <c r="C2870" s="29"/>
      <c r="D2870" s="40">
        <v>1.0</v>
      </c>
      <c r="E2870" s="31">
        <v>51.0</v>
      </c>
      <c r="F2870" s="42">
        <v>1.0</v>
      </c>
      <c r="G2870" s="29" t="str">
        <f t="shared" si="1"/>
        <v>51001</v>
      </c>
      <c r="H2870" s="37" t="s">
        <v>2213</v>
      </c>
      <c r="I2870" s="37" t="s">
        <v>117</v>
      </c>
      <c r="J2870" s="37" t="s">
        <v>375</v>
      </c>
      <c r="K2870" s="37" t="str">
        <f t="shared" ref="K2870:K3002" si="47">CONCATENATE(H2870,", ",J2870)</f>
        <v>Accomack, VA</v>
      </c>
      <c r="L2870" s="24"/>
    </row>
    <row r="2871">
      <c r="A2871" s="28">
        <v>2870.0</v>
      </c>
      <c r="B2871" s="29"/>
      <c r="C2871" s="29"/>
      <c r="D2871" s="40">
        <v>1.0</v>
      </c>
      <c r="E2871" s="31">
        <v>51.0</v>
      </c>
      <c r="F2871" s="42">
        <v>3.0</v>
      </c>
      <c r="G2871" s="29" t="str">
        <f t="shared" si="1"/>
        <v>51003</v>
      </c>
      <c r="H2871" s="37" t="s">
        <v>2214</v>
      </c>
      <c r="I2871" s="37" t="s">
        <v>117</v>
      </c>
      <c r="J2871" s="37" t="s">
        <v>375</v>
      </c>
      <c r="K2871" s="37" t="str">
        <f t="shared" si="47"/>
        <v>Albemarle, VA</v>
      </c>
      <c r="L2871" s="24"/>
    </row>
    <row r="2872">
      <c r="A2872" s="28">
        <v>2871.0</v>
      </c>
      <c r="B2872" s="29"/>
      <c r="C2872" s="29"/>
      <c r="D2872" s="40">
        <v>1.0</v>
      </c>
      <c r="E2872" s="31">
        <v>51.0</v>
      </c>
      <c r="F2872" s="42">
        <v>5.0</v>
      </c>
      <c r="G2872" s="29" t="str">
        <f t="shared" si="1"/>
        <v>51005</v>
      </c>
      <c r="H2872" s="37" t="s">
        <v>1579</v>
      </c>
      <c r="I2872" s="37" t="s">
        <v>117</v>
      </c>
      <c r="J2872" s="37" t="s">
        <v>375</v>
      </c>
      <c r="K2872" s="37" t="str">
        <f t="shared" si="47"/>
        <v>Alleghany, VA</v>
      </c>
      <c r="L2872" s="24"/>
    </row>
    <row r="2873">
      <c r="A2873" s="28">
        <v>2872.0</v>
      </c>
      <c r="B2873" s="29"/>
      <c r="C2873" s="29"/>
      <c r="D2873" s="40">
        <v>1.0</v>
      </c>
      <c r="E2873" s="31">
        <v>51.0</v>
      </c>
      <c r="F2873" s="42">
        <v>7.0</v>
      </c>
      <c r="G2873" s="29" t="str">
        <f t="shared" si="1"/>
        <v>51007</v>
      </c>
      <c r="H2873" s="37" t="s">
        <v>2216</v>
      </c>
      <c r="I2873" s="37" t="s">
        <v>117</v>
      </c>
      <c r="J2873" s="37" t="s">
        <v>375</v>
      </c>
      <c r="K2873" s="37" t="str">
        <f t="shared" si="47"/>
        <v>Amelia, VA</v>
      </c>
      <c r="L2873" s="24"/>
    </row>
    <row r="2874">
      <c r="A2874" s="28">
        <v>2873.0</v>
      </c>
      <c r="B2874" s="29"/>
      <c r="C2874" s="29"/>
      <c r="D2874" s="40">
        <v>1.0</v>
      </c>
      <c r="E2874" s="31">
        <v>51.0</v>
      </c>
      <c r="F2874" s="42">
        <v>9.0</v>
      </c>
      <c r="G2874" s="29" t="str">
        <f t="shared" si="1"/>
        <v>51009</v>
      </c>
      <c r="H2874" s="37" t="s">
        <v>2217</v>
      </c>
      <c r="I2874" s="37" t="s">
        <v>117</v>
      </c>
      <c r="J2874" s="37" t="s">
        <v>375</v>
      </c>
      <c r="K2874" s="37" t="str">
        <f t="shared" si="47"/>
        <v>Amherst, VA</v>
      </c>
      <c r="L2874" s="24"/>
    </row>
    <row r="2875">
      <c r="A2875" s="28">
        <v>2874.0</v>
      </c>
      <c r="B2875" s="29"/>
      <c r="C2875" s="29"/>
      <c r="D2875" s="40">
        <v>1.0</v>
      </c>
      <c r="E2875" s="31">
        <v>51.0</v>
      </c>
      <c r="F2875" s="42">
        <v>11.0</v>
      </c>
      <c r="G2875" s="29" t="str">
        <f t="shared" si="1"/>
        <v>51011</v>
      </c>
      <c r="H2875" s="37" t="s">
        <v>2218</v>
      </c>
      <c r="I2875" s="37" t="s">
        <v>117</v>
      </c>
      <c r="J2875" s="37" t="s">
        <v>375</v>
      </c>
      <c r="K2875" s="37" t="str">
        <f t="shared" si="47"/>
        <v>Appomattox, VA</v>
      </c>
      <c r="L2875" s="24"/>
    </row>
    <row r="2876">
      <c r="A2876" s="28">
        <v>2875.0</v>
      </c>
      <c r="B2876" s="29"/>
      <c r="C2876" s="29"/>
      <c r="D2876" s="40">
        <v>1.0</v>
      </c>
      <c r="E2876" s="31">
        <v>51.0</v>
      </c>
      <c r="F2876" s="42">
        <v>13.0</v>
      </c>
      <c r="G2876" s="29" t="str">
        <f t="shared" si="1"/>
        <v>51013</v>
      </c>
      <c r="H2876" s="37" t="s">
        <v>2219</v>
      </c>
      <c r="I2876" s="37" t="s">
        <v>117</v>
      </c>
      <c r="J2876" s="37" t="s">
        <v>375</v>
      </c>
      <c r="K2876" s="37" t="str">
        <f t="shared" si="47"/>
        <v>Arlington, VA</v>
      </c>
      <c r="L2876" s="24"/>
    </row>
    <row r="2877">
      <c r="A2877" s="28">
        <v>2876.0</v>
      </c>
      <c r="B2877" s="29"/>
      <c r="C2877" s="29"/>
      <c r="D2877" s="40">
        <v>1.0</v>
      </c>
      <c r="E2877" s="31">
        <v>51.0</v>
      </c>
      <c r="F2877" s="42">
        <v>15.0</v>
      </c>
      <c r="G2877" s="29" t="str">
        <f t="shared" si="1"/>
        <v>51015</v>
      </c>
      <c r="H2877" s="37" t="s">
        <v>2220</v>
      </c>
      <c r="I2877" s="37" t="s">
        <v>117</v>
      </c>
      <c r="J2877" s="37" t="s">
        <v>375</v>
      </c>
      <c r="K2877" s="37" t="str">
        <f t="shared" si="47"/>
        <v>Augusta, VA</v>
      </c>
      <c r="L2877" s="24"/>
    </row>
    <row r="2878">
      <c r="A2878" s="28">
        <v>2877.0</v>
      </c>
      <c r="B2878" s="29"/>
      <c r="C2878" s="29"/>
      <c r="D2878" s="40">
        <v>1.0</v>
      </c>
      <c r="E2878" s="31">
        <v>51.0</v>
      </c>
      <c r="F2878" s="42">
        <v>17.0</v>
      </c>
      <c r="G2878" s="29" t="str">
        <f t="shared" si="1"/>
        <v>51017</v>
      </c>
      <c r="H2878" s="37" t="s">
        <v>1026</v>
      </c>
      <c r="I2878" s="37" t="s">
        <v>117</v>
      </c>
      <c r="J2878" s="37" t="s">
        <v>375</v>
      </c>
      <c r="K2878" s="37" t="str">
        <f t="shared" si="47"/>
        <v>Bath, VA</v>
      </c>
      <c r="L2878" s="24"/>
    </row>
    <row r="2879">
      <c r="A2879" s="28">
        <v>2878.0</v>
      </c>
      <c r="B2879" s="29"/>
      <c r="C2879" s="29"/>
      <c r="D2879" s="40">
        <v>1.0</v>
      </c>
      <c r="E2879" s="31">
        <v>51.0</v>
      </c>
      <c r="F2879" s="42">
        <v>19.0</v>
      </c>
      <c r="G2879" s="29" t="str">
        <f t="shared" si="1"/>
        <v>51019</v>
      </c>
      <c r="H2879" s="37" t="s">
        <v>1784</v>
      </c>
      <c r="I2879" s="37" t="s">
        <v>117</v>
      </c>
      <c r="J2879" s="37" t="s">
        <v>375</v>
      </c>
      <c r="K2879" s="37" t="str">
        <f t="shared" si="47"/>
        <v>Bedford, VA</v>
      </c>
      <c r="L2879" s="24"/>
    </row>
    <row r="2880">
      <c r="A2880" s="28">
        <v>2879.0</v>
      </c>
      <c r="B2880" s="29"/>
      <c r="C2880" s="29"/>
      <c r="D2880" s="40">
        <v>1.0</v>
      </c>
      <c r="E2880" s="31">
        <v>51.0</v>
      </c>
      <c r="F2880" s="42">
        <v>21.0</v>
      </c>
      <c r="G2880" s="29" t="str">
        <f t="shared" si="1"/>
        <v>51021</v>
      </c>
      <c r="H2880" s="37" t="s">
        <v>2222</v>
      </c>
      <c r="I2880" s="37" t="s">
        <v>117</v>
      </c>
      <c r="J2880" s="37" t="s">
        <v>375</v>
      </c>
      <c r="K2880" s="37" t="str">
        <f t="shared" si="47"/>
        <v>Bland, VA</v>
      </c>
      <c r="L2880" s="24"/>
    </row>
    <row r="2881">
      <c r="A2881" s="28">
        <v>2880.0</v>
      </c>
      <c r="B2881" s="29"/>
      <c r="C2881" s="29"/>
      <c r="D2881" s="40">
        <v>1.0</v>
      </c>
      <c r="E2881" s="31">
        <v>51.0</v>
      </c>
      <c r="F2881" s="42">
        <v>23.0</v>
      </c>
      <c r="G2881" s="29" t="str">
        <f t="shared" si="1"/>
        <v>51023</v>
      </c>
      <c r="H2881" s="37" t="s">
        <v>2223</v>
      </c>
      <c r="I2881" s="37" t="s">
        <v>117</v>
      </c>
      <c r="J2881" s="37" t="s">
        <v>375</v>
      </c>
      <c r="K2881" s="37" t="str">
        <f t="shared" si="47"/>
        <v>Botetourt, VA</v>
      </c>
      <c r="L2881" s="24"/>
    </row>
    <row r="2882">
      <c r="A2882" s="28">
        <v>2881.0</v>
      </c>
      <c r="B2882" s="29"/>
      <c r="C2882" s="29"/>
      <c r="D2882" s="40">
        <v>1.0</v>
      </c>
      <c r="E2882" s="31">
        <v>51.0</v>
      </c>
      <c r="F2882" s="42">
        <v>25.0</v>
      </c>
      <c r="G2882" s="29" t="str">
        <f t="shared" si="1"/>
        <v>51025</v>
      </c>
      <c r="H2882" s="37" t="s">
        <v>1586</v>
      </c>
      <c r="I2882" s="37" t="s">
        <v>117</v>
      </c>
      <c r="J2882" s="37" t="s">
        <v>375</v>
      </c>
      <c r="K2882" s="37" t="str">
        <f t="shared" si="47"/>
        <v>Brunswick, VA</v>
      </c>
      <c r="L2882" s="24"/>
    </row>
    <row r="2883">
      <c r="A2883" s="28">
        <v>2882.0</v>
      </c>
      <c r="B2883" s="29"/>
      <c r="C2883" s="29"/>
      <c r="D2883" s="40">
        <v>1.0</v>
      </c>
      <c r="E2883" s="31">
        <v>51.0</v>
      </c>
      <c r="F2883" s="42">
        <v>27.0</v>
      </c>
      <c r="G2883" s="29" t="str">
        <f t="shared" si="1"/>
        <v>51027</v>
      </c>
      <c r="H2883" s="37" t="s">
        <v>892</v>
      </c>
      <c r="I2883" s="37" t="s">
        <v>117</v>
      </c>
      <c r="J2883" s="37" t="s">
        <v>375</v>
      </c>
      <c r="K2883" s="37" t="str">
        <f t="shared" si="47"/>
        <v>Buchanan, VA</v>
      </c>
      <c r="L2883" s="24"/>
    </row>
    <row r="2884">
      <c r="A2884" s="28">
        <v>2883.0</v>
      </c>
      <c r="B2884" s="29"/>
      <c r="C2884" s="29"/>
      <c r="D2884" s="40">
        <v>1.0</v>
      </c>
      <c r="E2884" s="31">
        <v>51.0</v>
      </c>
      <c r="F2884" s="42">
        <v>29.0</v>
      </c>
      <c r="G2884" s="29" t="str">
        <f t="shared" si="1"/>
        <v>51029</v>
      </c>
      <c r="H2884" s="37" t="s">
        <v>2224</v>
      </c>
      <c r="I2884" s="37" t="s">
        <v>117</v>
      </c>
      <c r="J2884" s="37" t="s">
        <v>375</v>
      </c>
      <c r="K2884" s="37" t="str">
        <f t="shared" si="47"/>
        <v>Buckingham, VA</v>
      </c>
      <c r="L2884" s="24"/>
    </row>
    <row r="2885">
      <c r="A2885" s="28">
        <v>2884.0</v>
      </c>
      <c r="B2885" s="29"/>
      <c r="C2885" s="29"/>
      <c r="D2885" s="40">
        <v>1.0</v>
      </c>
      <c r="E2885" s="31">
        <v>51.0</v>
      </c>
      <c r="F2885" s="42">
        <v>31.0</v>
      </c>
      <c r="G2885" s="29" t="str">
        <f t="shared" si="1"/>
        <v>51031</v>
      </c>
      <c r="H2885" s="37" t="s">
        <v>1036</v>
      </c>
      <c r="I2885" s="37" t="s">
        <v>117</v>
      </c>
      <c r="J2885" s="37" t="s">
        <v>375</v>
      </c>
      <c r="K2885" s="37" t="str">
        <f t="shared" si="47"/>
        <v>Campbell, VA</v>
      </c>
      <c r="L2885" s="24"/>
    </row>
    <row r="2886">
      <c r="A2886" s="28">
        <v>2885.0</v>
      </c>
      <c r="B2886" s="29"/>
      <c r="C2886" s="29"/>
      <c r="D2886" s="40">
        <v>1.0</v>
      </c>
      <c r="E2886" s="31">
        <v>51.0</v>
      </c>
      <c r="F2886" s="42">
        <v>33.0</v>
      </c>
      <c r="G2886" s="29" t="str">
        <f t="shared" si="1"/>
        <v>51033</v>
      </c>
      <c r="H2886" s="37" t="s">
        <v>1200</v>
      </c>
      <c r="I2886" s="37" t="s">
        <v>117</v>
      </c>
      <c r="J2886" s="37" t="s">
        <v>375</v>
      </c>
      <c r="K2886" s="37" t="str">
        <f t="shared" si="47"/>
        <v>Caroline, VA</v>
      </c>
      <c r="L2886" s="24"/>
    </row>
    <row r="2887">
      <c r="A2887" s="28">
        <v>2886.0</v>
      </c>
      <c r="B2887" s="29"/>
      <c r="C2887" s="29"/>
      <c r="D2887" s="40">
        <v>1.0</v>
      </c>
      <c r="E2887" s="31">
        <v>51.0</v>
      </c>
      <c r="F2887" s="42">
        <v>35.0</v>
      </c>
      <c r="G2887" s="29" t="str">
        <f t="shared" si="1"/>
        <v>51035</v>
      </c>
      <c r="H2887" s="37" t="s">
        <v>248</v>
      </c>
      <c r="I2887" s="37" t="s">
        <v>117</v>
      </c>
      <c r="J2887" s="37" t="s">
        <v>375</v>
      </c>
      <c r="K2887" s="37" t="str">
        <f t="shared" si="47"/>
        <v>Carroll, VA</v>
      </c>
      <c r="L2887" s="24"/>
    </row>
    <row r="2888">
      <c r="A2888" s="28">
        <v>2887.0</v>
      </c>
      <c r="B2888" s="29"/>
      <c r="C2888" s="29"/>
      <c r="D2888" s="40">
        <v>1.0</v>
      </c>
      <c r="E2888" s="31">
        <v>51.0</v>
      </c>
      <c r="F2888" s="42">
        <v>36.0</v>
      </c>
      <c r="G2888" s="29" t="str">
        <f t="shared" si="1"/>
        <v>51036</v>
      </c>
      <c r="H2888" s="37" t="s">
        <v>2226</v>
      </c>
      <c r="I2888" s="37" t="s">
        <v>117</v>
      </c>
      <c r="J2888" s="37" t="s">
        <v>375</v>
      </c>
      <c r="K2888" s="37" t="str">
        <f t="shared" si="47"/>
        <v>Charles City, VA</v>
      </c>
      <c r="L2888" s="24"/>
    </row>
    <row r="2889">
      <c r="A2889" s="28">
        <v>2888.0</v>
      </c>
      <c r="B2889" s="29"/>
      <c r="C2889" s="29"/>
      <c r="D2889" s="40">
        <v>1.0</v>
      </c>
      <c r="E2889" s="31">
        <v>51.0</v>
      </c>
      <c r="F2889" s="42">
        <v>37.0</v>
      </c>
      <c r="G2889" s="29" t="str">
        <f t="shared" si="1"/>
        <v>51037</v>
      </c>
      <c r="H2889" s="37" t="s">
        <v>486</v>
      </c>
      <c r="I2889" s="37" t="s">
        <v>117</v>
      </c>
      <c r="J2889" s="37" t="s">
        <v>375</v>
      </c>
      <c r="K2889" s="37" t="str">
        <f t="shared" si="47"/>
        <v>Charlotte, VA</v>
      </c>
      <c r="L2889" s="24"/>
    </row>
    <row r="2890">
      <c r="A2890" s="28">
        <v>2889.0</v>
      </c>
      <c r="B2890" s="29"/>
      <c r="C2890" s="29"/>
      <c r="D2890" s="40">
        <v>1.0</v>
      </c>
      <c r="E2890" s="31">
        <v>51.0</v>
      </c>
      <c r="F2890" s="42">
        <v>41.0</v>
      </c>
      <c r="G2890" s="29" t="str">
        <f t="shared" si="1"/>
        <v>51041</v>
      </c>
      <c r="H2890" s="37" t="s">
        <v>1820</v>
      </c>
      <c r="I2890" s="37" t="s">
        <v>117</v>
      </c>
      <c r="J2890" s="37" t="s">
        <v>375</v>
      </c>
      <c r="K2890" s="37" t="str">
        <f t="shared" si="47"/>
        <v>Chesterfield, VA</v>
      </c>
      <c r="L2890" s="24"/>
    </row>
    <row r="2891">
      <c r="A2891" s="28">
        <v>2890.0</v>
      </c>
      <c r="B2891" s="29"/>
      <c r="C2891" s="29"/>
      <c r="D2891" s="40">
        <v>1.0</v>
      </c>
      <c r="E2891" s="31">
        <v>51.0</v>
      </c>
      <c r="F2891" s="42">
        <v>43.0</v>
      </c>
      <c r="G2891" s="29" t="str">
        <f t="shared" si="1"/>
        <v>51043</v>
      </c>
      <c r="H2891" s="37" t="s">
        <v>110</v>
      </c>
      <c r="I2891" s="37" t="s">
        <v>117</v>
      </c>
      <c r="J2891" s="37" t="s">
        <v>375</v>
      </c>
      <c r="K2891" s="37" t="str">
        <f t="shared" si="47"/>
        <v>Clarke, VA</v>
      </c>
      <c r="L2891" s="24"/>
    </row>
    <row r="2892">
      <c r="A2892" s="28">
        <v>2891.0</v>
      </c>
      <c r="B2892" s="29"/>
      <c r="C2892" s="29"/>
      <c r="D2892" s="40">
        <v>1.0</v>
      </c>
      <c r="E2892" s="31">
        <v>51.0</v>
      </c>
      <c r="F2892" s="42">
        <v>45.0</v>
      </c>
      <c r="G2892" s="29" t="str">
        <f t="shared" si="1"/>
        <v>51045</v>
      </c>
      <c r="H2892" s="37" t="s">
        <v>1721</v>
      </c>
      <c r="I2892" s="37" t="s">
        <v>117</v>
      </c>
      <c r="J2892" s="37" t="s">
        <v>375</v>
      </c>
      <c r="K2892" s="37" t="str">
        <f t="shared" si="47"/>
        <v>Craig, VA</v>
      </c>
      <c r="L2892" s="24"/>
    </row>
    <row r="2893">
      <c r="A2893" s="28">
        <v>2892.0</v>
      </c>
      <c r="B2893" s="29"/>
      <c r="C2893" s="29"/>
      <c r="D2893" s="40">
        <v>1.0</v>
      </c>
      <c r="E2893" s="31">
        <v>51.0</v>
      </c>
      <c r="F2893" s="42">
        <v>47.0</v>
      </c>
      <c r="G2893" s="29" t="str">
        <f t="shared" si="1"/>
        <v>51047</v>
      </c>
      <c r="H2893" s="37" t="s">
        <v>2228</v>
      </c>
      <c r="I2893" s="37" t="s">
        <v>117</v>
      </c>
      <c r="J2893" s="37" t="s">
        <v>375</v>
      </c>
      <c r="K2893" s="37" t="str">
        <f t="shared" si="47"/>
        <v>Culpeper, VA</v>
      </c>
      <c r="L2893" s="24"/>
    </row>
    <row r="2894">
      <c r="A2894" s="28">
        <v>2893.0</v>
      </c>
      <c r="B2894" s="29"/>
      <c r="C2894" s="29"/>
      <c r="D2894" s="40">
        <v>1.0</v>
      </c>
      <c r="E2894" s="31">
        <v>51.0</v>
      </c>
      <c r="F2894" s="42">
        <v>49.0</v>
      </c>
      <c r="G2894" s="29" t="str">
        <f t="shared" si="1"/>
        <v>51049</v>
      </c>
      <c r="H2894" s="37" t="s">
        <v>713</v>
      </c>
      <c r="I2894" s="37" t="s">
        <v>117</v>
      </c>
      <c r="J2894" s="37" t="s">
        <v>375</v>
      </c>
      <c r="K2894" s="37" t="str">
        <f t="shared" si="47"/>
        <v>Cumberland, VA</v>
      </c>
      <c r="L2894" s="24"/>
    </row>
    <row r="2895">
      <c r="A2895" s="28">
        <v>2894.0</v>
      </c>
      <c r="B2895" s="29"/>
      <c r="C2895" s="29"/>
      <c r="D2895" s="40">
        <v>1.0</v>
      </c>
      <c r="E2895" s="31">
        <v>51.0</v>
      </c>
      <c r="F2895" s="42">
        <v>51.0</v>
      </c>
      <c r="G2895" s="29" t="str">
        <f t="shared" si="1"/>
        <v>51051</v>
      </c>
      <c r="H2895" s="37" t="s">
        <v>2229</v>
      </c>
      <c r="I2895" s="37" t="s">
        <v>117</v>
      </c>
      <c r="J2895" s="37" t="s">
        <v>375</v>
      </c>
      <c r="K2895" s="37" t="str">
        <f t="shared" si="47"/>
        <v>Dickenson, VA</v>
      </c>
      <c r="L2895" s="24"/>
    </row>
    <row r="2896">
      <c r="A2896" s="28">
        <v>2895.0</v>
      </c>
      <c r="B2896" s="29"/>
      <c r="C2896" s="29"/>
      <c r="D2896" s="40">
        <v>1.0</v>
      </c>
      <c r="E2896" s="31">
        <v>51.0</v>
      </c>
      <c r="F2896" s="42">
        <v>53.0</v>
      </c>
      <c r="G2896" s="29" t="str">
        <f t="shared" si="1"/>
        <v>51053</v>
      </c>
      <c r="H2896" s="37" t="s">
        <v>2230</v>
      </c>
      <c r="I2896" s="37" t="s">
        <v>117</v>
      </c>
      <c r="J2896" s="37" t="s">
        <v>375</v>
      </c>
      <c r="K2896" s="37" t="str">
        <f t="shared" si="47"/>
        <v>Dinwiddie, VA</v>
      </c>
      <c r="L2896" s="24"/>
    </row>
    <row r="2897">
      <c r="A2897" s="28">
        <v>2896.0</v>
      </c>
      <c r="B2897" s="29"/>
      <c r="C2897" s="29"/>
      <c r="D2897" s="40">
        <v>1.0</v>
      </c>
      <c r="E2897" s="31">
        <v>51.0</v>
      </c>
      <c r="F2897" s="42">
        <v>57.0</v>
      </c>
      <c r="G2897" s="29" t="str">
        <f t="shared" si="1"/>
        <v>51057</v>
      </c>
      <c r="H2897" s="37" t="s">
        <v>516</v>
      </c>
      <c r="I2897" s="37" t="s">
        <v>117</v>
      </c>
      <c r="J2897" s="37" t="s">
        <v>375</v>
      </c>
      <c r="K2897" s="37" t="str">
        <f t="shared" si="47"/>
        <v>Essex, VA</v>
      </c>
      <c r="L2897" s="24"/>
    </row>
    <row r="2898">
      <c r="A2898" s="28">
        <v>2897.0</v>
      </c>
      <c r="B2898" s="29"/>
      <c r="C2898" s="29"/>
      <c r="D2898" s="40">
        <v>1.0</v>
      </c>
      <c r="E2898" s="31">
        <v>51.0</v>
      </c>
      <c r="F2898" s="42">
        <v>59.0</v>
      </c>
      <c r="G2898" s="29" t="str">
        <f t="shared" si="1"/>
        <v>51059</v>
      </c>
      <c r="H2898" s="37" t="s">
        <v>2231</v>
      </c>
      <c r="I2898" s="37" t="s">
        <v>117</v>
      </c>
      <c r="J2898" s="37" t="s">
        <v>375</v>
      </c>
      <c r="K2898" s="37" t="str">
        <f t="shared" si="47"/>
        <v>Fairfax, VA</v>
      </c>
      <c r="L2898" s="24"/>
    </row>
    <row r="2899">
      <c r="A2899" s="28">
        <v>2898.0</v>
      </c>
      <c r="B2899" s="29"/>
      <c r="C2899" s="29"/>
      <c r="D2899" s="40">
        <v>1.0</v>
      </c>
      <c r="E2899" s="31">
        <v>51.0</v>
      </c>
      <c r="F2899" s="42">
        <v>61.0</v>
      </c>
      <c r="G2899" s="29" t="str">
        <f t="shared" si="1"/>
        <v>51061</v>
      </c>
      <c r="H2899" s="37" t="s">
        <v>2232</v>
      </c>
      <c r="I2899" s="37" t="s">
        <v>117</v>
      </c>
      <c r="J2899" s="37" t="s">
        <v>375</v>
      </c>
      <c r="K2899" s="37" t="str">
        <f t="shared" si="47"/>
        <v>Fauquier, VA</v>
      </c>
      <c r="L2899" s="24"/>
    </row>
    <row r="2900">
      <c r="A2900" s="28">
        <v>2899.0</v>
      </c>
      <c r="B2900" s="29"/>
      <c r="C2900" s="29"/>
      <c r="D2900" s="40">
        <v>1.0</v>
      </c>
      <c r="E2900" s="31">
        <v>51.0</v>
      </c>
      <c r="F2900" s="42">
        <v>63.0</v>
      </c>
      <c r="G2900" s="29" t="str">
        <f t="shared" si="1"/>
        <v>51063</v>
      </c>
      <c r="H2900" s="37" t="s">
        <v>575</v>
      </c>
      <c r="I2900" s="37" t="s">
        <v>117</v>
      </c>
      <c r="J2900" s="37" t="s">
        <v>375</v>
      </c>
      <c r="K2900" s="37" t="str">
        <f t="shared" si="47"/>
        <v>Floyd, VA</v>
      </c>
      <c r="L2900" s="24"/>
    </row>
    <row r="2901">
      <c r="A2901" s="28">
        <v>2900.0</v>
      </c>
      <c r="B2901" s="29"/>
      <c r="C2901" s="29"/>
      <c r="D2901" s="40">
        <v>1.0</v>
      </c>
      <c r="E2901" s="31">
        <v>51.0</v>
      </c>
      <c r="F2901" s="42">
        <v>65.0</v>
      </c>
      <c r="G2901" s="29" t="str">
        <f t="shared" si="1"/>
        <v>51065</v>
      </c>
      <c r="H2901" s="37" t="s">
        <v>2234</v>
      </c>
      <c r="I2901" s="37" t="s">
        <v>117</v>
      </c>
      <c r="J2901" s="37" t="s">
        <v>375</v>
      </c>
      <c r="K2901" s="37" t="str">
        <f t="shared" si="47"/>
        <v>Fluvanna, VA</v>
      </c>
      <c r="L2901" s="24"/>
    </row>
    <row r="2902">
      <c r="A2902" s="28">
        <v>2901.0</v>
      </c>
      <c r="B2902" s="29"/>
      <c r="C2902" s="29"/>
      <c r="D2902" s="40">
        <v>1.0</v>
      </c>
      <c r="E2902" s="31">
        <v>51.0</v>
      </c>
      <c r="F2902" s="42">
        <v>67.0</v>
      </c>
      <c r="G2902" s="29" t="str">
        <f t="shared" si="1"/>
        <v>51067</v>
      </c>
      <c r="H2902" s="37" t="s">
        <v>136</v>
      </c>
      <c r="I2902" s="37" t="s">
        <v>117</v>
      </c>
      <c r="J2902" s="37" t="s">
        <v>375</v>
      </c>
      <c r="K2902" s="37" t="str">
        <f t="shared" si="47"/>
        <v>Franklin, VA</v>
      </c>
      <c r="L2902" s="24"/>
    </row>
    <row r="2903">
      <c r="A2903" s="28">
        <v>2902.0</v>
      </c>
      <c r="B2903" s="29"/>
      <c r="C2903" s="29"/>
      <c r="D2903" s="40">
        <v>1.0</v>
      </c>
      <c r="E2903" s="31">
        <v>51.0</v>
      </c>
      <c r="F2903" s="42">
        <v>69.0</v>
      </c>
      <c r="G2903" s="29" t="str">
        <f t="shared" si="1"/>
        <v>51069</v>
      </c>
      <c r="H2903" s="37" t="s">
        <v>1206</v>
      </c>
      <c r="I2903" s="37" t="s">
        <v>117</v>
      </c>
      <c r="J2903" s="37" t="s">
        <v>375</v>
      </c>
      <c r="K2903" s="37" t="str">
        <f t="shared" si="47"/>
        <v>Frederick, VA</v>
      </c>
      <c r="L2903" s="24"/>
    </row>
    <row r="2904">
      <c r="A2904" s="28">
        <v>2903.0</v>
      </c>
      <c r="B2904" s="29"/>
      <c r="C2904" s="29"/>
      <c r="D2904" s="40">
        <v>1.0</v>
      </c>
      <c r="E2904" s="31">
        <v>51.0</v>
      </c>
      <c r="F2904" s="42">
        <v>71.0</v>
      </c>
      <c r="G2904" s="29" t="str">
        <f t="shared" si="1"/>
        <v>51071</v>
      </c>
      <c r="H2904" s="37" t="s">
        <v>1907</v>
      </c>
      <c r="I2904" s="37" t="s">
        <v>117</v>
      </c>
      <c r="J2904" s="37" t="s">
        <v>375</v>
      </c>
      <c r="K2904" s="37" t="str">
        <f t="shared" si="47"/>
        <v>Giles, VA</v>
      </c>
      <c r="L2904" s="24"/>
    </row>
    <row r="2905">
      <c r="A2905" s="28">
        <v>2904.0</v>
      </c>
      <c r="B2905" s="29"/>
      <c r="C2905" s="29"/>
      <c r="D2905" s="40">
        <v>1.0</v>
      </c>
      <c r="E2905" s="31">
        <v>51.0</v>
      </c>
      <c r="F2905" s="42">
        <v>73.0</v>
      </c>
      <c r="G2905" s="29" t="str">
        <f t="shared" si="1"/>
        <v>51073</v>
      </c>
      <c r="H2905" s="37" t="s">
        <v>1528</v>
      </c>
      <c r="I2905" s="37" t="s">
        <v>117</v>
      </c>
      <c r="J2905" s="37" t="s">
        <v>375</v>
      </c>
      <c r="K2905" s="37" t="str">
        <f t="shared" si="47"/>
        <v>Gloucester, VA</v>
      </c>
      <c r="L2905" s="24"/>
    </row>
    <row r="2906">
      <c r="A2906" s="28">
        <v>2905.0</v>
      </c>
      <c r="B2906" s="29"/>
      <c r="C2906" s="29"/>
      <c r="D2906" s="40">
        <v>1.0</v>
      </c>
      <c r="E2906" s="31">
        <v>51.0</v>
      </c>
      <c r="F2906" s="42">
        <v>75.0</v>
      </c>
      <c r="G2906" s="29" t="str">
        <f t="shared" si="1"/>
        <v>51075</v>
      </c>
      <c r="H2906" s="37" t="s">
        <v>2236</v>
      </c>
      <c r="I2906" s="37" t="s">
        <v>117</v>
      </c>
      <c r="J2906" s="37" t="s">
        <v>375</v>
      </c>
      <c r="K2906" s="37" t="str">
        <f t="shared" si="47"/>
        <v>Goochland, VA</v>
      </c>
      <c r="L2906" s="24"/>
    </row>
    <row r="2907">
      <c r="A2907" s="28">
        <v>2906.0</v>
      </c>
      <c r="B2907" s="29"/>
      <c r="C2907" s="29"/>
      <c r="D2907" s="40">
        <v>1.0</v>
      </c>
      <c r="E2907" s="31">
        <v>51.0</v>
      </c>
      <c r="F2907" s="42">
        <v>77.0</v>
      </c>
      <c r="G2907" s="29" t="str">
        <f t="shared" si="1"/>
        <v>51077</v>
      </c>
      <c r="H2907" s="37" t="s">
        <v>1072</v>
      </c>
      <c r="I2907" s="37" t="s">
        <v>117</v>
      </c>
      <c r="J2907" s="37" t="s">
        <v>375</v>
      </c>
      <c r="K2907" s="37" t="str">
        <f t="shared" si="47"/>
        <v>Grayson, VA</v>
      </c>
      <c r="L2907" s="24"/>
    </row>
    <row r="2908">
      <c r="A2908" s="28">
        <v>2907.0</v>
      </c>
      <c r="B2908" s="29"/>
      <c r="C2908" s="29"/>
      <c r="D2908" s="40">
        <v>1.0</v>
      </c>
      <c r="E2908" s="31">
        <v>51.0</v>
      </c>
      <c r="F2908" s="42">
        <v>79.0</v>
      </c>
      <c r="G2908" s="29" t="str">
        <f t="shared" si="1"/>
        <v>51079</v>
      </c>
      <c r="H2908" s="37" t="s">
        <v>138</v>
      </c>
      <c r="I2908" s="37" t="s">
        <v>117</v>
      </c>
      <c r="J2908" s="37" t="s">
        <v>375</v>
      </c>
      <c r="K2908" s="37" t="str">
        <f t="shared" si="47"/>
        <v>Greene, VA</v>
      </c>
      <c r="L2908" s="24"/>
    </row>
    <row r="2909">
      <c r="A2909" s="28">
        <v>2908.0</v>
      </c>
      <c r="B2909" s="29"/>
      <c r="C2909" s="29"/>
      <c r="D2909" s="40">
        <v>1.0</v>
      </c>
      <c r="E2909" s="31">
        <v>51.0</v>
      </c>
      <c r="F2909" s="42">
        <v>81.0</v>
      </c>
      <c r="G2909" s="29" t="str">
        <f t="shared" si="1"/>
        <v>51081</v>
      </c>
      <c r="H2909" s="37" t="s">
        <v>2237</v>
      </c>
      <c r="I2909" s="37" t="s">
        <v>117</v>
      </c>
      <c r="J2909" s="37" t="s">
        <v>375</v>
      </c>
      <c r="K2909" s="37" t="str">
        <f t="shared" si="47"/>
        <v>Greensville, VA</v>
      </c>
      <c r="L2909" s="24"/>
    </row>
    <row r="2910">
      <c r="A2910" s="28">
        <v>2909.0</v>
      </c>
      <c r="B2910" s="29"/>
      <c r="C2910" s="29"/>
      <c r="D2910" s="40">
        <v>1.0</v>
      </c>
      <c r="E2910" s="31">
        <v>51.0</v>
      </c>
      <c r="F2910" s="42">
        <v>83.0</v>
      </c>
      <c r="G2910" s="29" t="str">
        <f t="shared" si="1"/>
        <v>51083</v>
      </c>
      <c r="H2910" s="37" t="s">
        <v>1605</v>
      </c>
      <c r="I2910" s="37" t="s">
        <v>117</v>
      </c>
      <c r="J2910" s="37" t="s">
        <v>375</v>
      </c>
      <c r="K2910" s="37" t="str">
        <f t="shared" si="47"/>
        <v>Halifax, VA</v>
      </c>
      <c r="L2910" s="24"/>
    </row>
    <row r="2911">
      <c r="A2911" s="28">
        <v>2910.0</v>
      </c>
      <c r="B2911" s="29"/>
      <c r="C2911" s="29"/>
      <c r="D2911" s="40">
        <v>1.0</v>
      </c>
      <c r="E2911" s="31">
        <v>51.0</v>
      </c>
      <c r="F2911" s="42">
        <v>85.0</v>
      </c>
      <c r="G2911" s="29" t="str">
        <f t="shared" si="1"/>
        <v>51085</v>
      </c>
      <c r="H2911" s="37" t="s">
        <v>2238</v>
      </c>
      <c r="I2911" s="37" t="s">
        <v>117</v>
      </c>
      <c r="J2911" s="37" t="s">
        <v>375</v>
      </c>
      <c r="K2911" s="37" t="str">
        <f t="shared" si="47"/>
        <v>Hanover, VA</v>
      </c>
      <c r="L2911" s="24"/>
    </row>
    <row r="2912">
      <c r="A2912" s="28">
        <v>2911.0</v>
      </c>
      <c r="B2912" s="29"/>
      <c r="C2912" s="29"/>
      <c r="D2912" s="40">
        <v>1.0</v>
      </c>
      <c r="E2912" s="31">
        <v>51.0</v>
      </c>
      <c r="F2912" s="42">
        <v>87.0</v>
      </c>
      <c r="G2912" s="29" t="str">
        <f t="shared" si="1"/>
        <v>51087</v>
      </c>
      <c r="H2912" s="37" t="s">
        <v>2239</v>
      </c>
      <c r="I2912" s="37" t="s">
        <v>117</v>
      </c>
      <c r="J2912" s="37" t="s">
        <v>375</v>
      </c>
      <c r="K2912" s="37" t="str">
        <f t="shared" si="47"/>
        <v>Henrico, VA</v>
      </c>
      <c r="L2912" s="24"/>
    </row>
    <row r="2913">
      <c r="A2913" s="28">
        <v>2912.0</v>
      </c>
      <c r="B2913" s="29"/>
      <c r="C2913" s="29"/>
      <c r="D2913" s="40">
        <v>1.0</v>
      </c>
      <c r="E2913" s="31">
        <v>51.0</v>
      </c>
      <c r="F2913" s="42">
        <v>89.0</v>
      </c>
      <c r="G2913" s="29" t="str">
        <f t="shared" si="1"/>
        <v>51089</v>
      </c>
      <c r="H2913" s="37" t="s">
        <v>140</v>
      </c>
      <c r="I2913" s="37" t="s">
        <v>117</v>
      </c>
      <c r="J2913" s="37" t="s">
        <v>375</v>
      </c>
      <c r="K2913" s="37" t="str">
        <f t="shared" si="47"/>
        <v>Henry, VA</v>
      </c>
      <c r="L2913" s="24"/>
    </row>
    <row r="2914">
      <c r="A2914" s="28">
        <v>2913.0</v>
      </c>
      <c r="B2914" s="29"/>
      <c r="C2914" s="29"/>
      <c r="D2914" s="40">
        <v>1.0</v>
      </c>
      <c r="E2914" s="31">
        <v>51.0</v>
      </c>
      <c r="F2914" s="42">
        <v>91.0</v>
      </c>
      <c r="G2914" s="29" t="str">
        <f t="shared" si="1"/>
        <v>51091</v>
      </c>
      <c r="H2914" s="37" t="s">
        <v>1684</v>
      </c>
      <c r="I2914" s="37" t="s">
        <v>117</v>
      </c>
      <c r="J2914" s="37" t="s">
        <v>375</v>
      </c>
      <c r="K2914" s="37" t="str">
        <f t="shared" si="47"/>
        <v>Highland, VA</v>
      </c>
      <c r="L2914" s="24"/>
    </row>
    <row r="2915">
      <c r="A2915" s="28">
        <v>2914.0</v>
      </c>
      <c r="B2915" s="29"/>
      <c r="C2915" s="29"/>
      <c r="D2915" s="40">
        <v>1.0</v>
      </c>
      <c r="E2915" s="31">
        <v>51.0</v>
      </c>
      <c r="F2915" s="42">
        <v>93.0</v>
      </c>
      <c r="G2915" s="29" t="str">
        <f t="shared" si="1"/>
        <v>51093</v>
      </c>
      <c r="H2915" s="37" t="s">
        <v>2241</v>
      </c>
      <c r="I2915" s="37" t="s">
        <v>117</v>
      </c>
      <c r="J2915" s="37" t="s">
        <v>375</v>
      </c>
      <c r="K2915" s="37" t="str">
        <f t="shared" si="47"/>
        <v>Isle of Wight, VA</v>
      </c>
      <c r="L2915" s="24"/>
    </row>
    <row r="2916">
      <c r="A2916" s="28">
        <v>2915.0</v>
      </c>
      <c r="B2916" s="29"/>
      <c r="C2916" s="29"/>
      <c r="D2916" s="40">
        <v>1.0</v>
      </c>
      <c r="E2916" s="31">
        <v>51.0</v>
      </c>
      <c r="F2916" s="42">
        <v>95.0</v>
      </c>
      <c r="G2916" s="29" t="str">
        <f t="shared" si="1"/>
        <v>51095</v>
      </c>
      <c r="H2916" s="37" t="s">
        <v>2242</v>
      </c>
      <c r="I2916" s="37" t="s">
        <v>117</v>
      </c>
      <c r="J2916" s="37" t="s">
        <v>375</v>
      </c>
      <c r="K2916" s="37" t="str">
        <f t="shared" si="47"/>
        <v>James City, VA</v>
      </c>
      <c r="L2916" s="24"/>
    </row>
    <row r="2917">
      <c r="A2917" s="28">
        <v>2916.0</v>
      </c>
      <c r="B2917" s="29"/>
      <c r="C2917" s="29"/>
      <c r="D2917" s="40">
        <v>1.0</v>
      </c>
      <c r="E2917" s="31">
        <v>51.0</v>
      </c>
      <c r="F2917" s="42">
        <v>97.0</v>
      </c>
      <c r="G2917" s="29" t="str">
        <f t="shared" si="1"/>
        <v>51097</v>
      </c>
      <c r="H2917" s="37" t="s">
        <v>2243</v>
      </c>
      <c r="I2917" s="37" t="s">
        <v>117</v>
      </c>
      <c r="J2917" s="37" t="s">
        <v>375</v>
      </c>
      <c r="K2917" s="136" t="str">
        <f t="shared" si="47"/>
        <v>King and Queen, VA</v>
      </c>
      <c r="L2917" s="24"/>
    </row>
    <row r="2918">
      <c r="A2918" s="28">
        <v>2917.0</v>
      </c>
      <c r="B2918" s="29"/>
      <c r="C2918" s="29"/>
      <c r="D2918" s="40">
        <v>1.0</v>
      </c>
      <c r="E2918" s="31">
        <v>51.0</v>
      </c>
      <c r="F2918" s="42">
        <v>99.0</v>
      </c>
      <c r="G2918" s="29" t="str">
        <f t="shared" si="1"/>
        <v>51099</v>
      </c>
      <c r="H2918" s="37" t="s">
        <v>2244</v>
      </c>
      <c r="I2918" s="37" t="s">
        <v>117</v>
      </c>
      <c r="J2918" s="37" t="s">
        <v>375</v>
      </c>
      <c r="K2918" s="136" t="str">
        <f t="shared" si="47"/>
        <v>King George, VA</v>
      </c>
      <c r="L2918" s="24"/>
    </row>
    <row r="2919">
      <c r="A2919" s="28">
        <v>2918.0</v>
      </c>
      <c r="B2919" s="29"/>
      <c r="C2919" s="29"/>
      <c r="D2919" s="40">
        <v>1.0</v>
      </c>
      <c r="E2919" s="31">
        <v>51.0</v>
      </c>
      <c r="F2919" s="42">
        <v>101.0</v>
      </c>
      <c r="G2919" s="29" t="str">
        <f t="shared" si="1"/>
        <v>51101</v>
      </c>
      <c r="H2919" s="37" t="s">
        <v>2245</v>
      </c>
      <c r="I2919" s="37" t="s">
        <v>117</v>
      </c>
      <c r="J2919" s="37" t="s">
        <v>375</v>
      </c>
      <c r="K2919" s="37" t="str">
        <f t="shared" si="47"/>
        <v>King William, VA</v>
      </c>
      <c r="L2919" s="24"/>
    </row>
    <row r="2920">
      <c r="A2920" s="28">
        <v>2919.0</v>
      </c>
      <c r="B2920" s="29"/>
      <c r="C2920" s="29"/>
      <c r="D2920" s="40">
        <v>1.0</v>
      </c>
      <c r="E2920" s="31">
        <v>51.0</v>
      </c>
      <c r="F2920" s="42">
        <v>103.0</v>
      </c>
      <c r="G2920" s="29" t="str">
        <f t="shared" si="1"/>
        <v>51103</v>
      </c>
      <c r="H2920" s="37" t="s">
        <v>650</v>
      </c>
      <c r="I2920" s="37" t="s">
        <v>117</v>
      </c>
      <c r="J2920" s="37" t="s">
        <v>375</v>
      </c>
      <c r="K2920" s="37" t="str">
        <f t="shared" si="47"/>
        <v>Lancaster, VA</v>
      </c>
      <c r="L2920" s="24"/>
    </row>
    <row r="2921">
      <c r="A2921" s="28">
        <v>2920.0</v>
      </c>
      <c r="B2921" s="29"/>
      <c r="C2921" s="29"/>
      <c r="D2921" s="40">
        <v>1.0</v>
      </c>
      <c r="E2921" s="31">
        <v>51.0</v>
      </c>
      <c r="F2921" s="42">
        <v>105.0</v>
      </c>
      <c r="G2921" s="29" t="str">
        <f t="shared" si="1"/>
        <v>51105</v>
      </c>
      <c r="H2921" s="37" t="s">
        <v>147</v>
      </c>
      <c r="I2921" s="37" t="s">
        <v>117</v>
      </c>
      <c r="J2921" s="37" t="s">
        <v>375</v>
      </c>
      <c r="K2921" s="37" t="str">
        <f t="shared" si="47"/>
        <v>Lee, VA</v>
      </c>
      <c r="L2921" s="24"/>
    </row>
    <row r="2922">
      <c r="A2922" s="28">
        <v>2921.0</v>
      </c>
      <c r="B2922" s="29"/>
      <c r="C2922" s="29"/>
      <c r="D2922" s="40">
        <v>1.0</v>
      </c>
      <c r="E2922" s="31">
        <v>51.0</v>
      </c>
      <c r="F2922" s="42">
        <v>107.0</v>
      </c>
      <c r="G2922" s="29" t="str">
        <f t="shared" si="1"/>
        <v>51107</v>
      </c>
      <c r="H2922" s="37" t="s">
        <v>2247</v>
      </c>
      <c r="I2922" s="37" t="s">
        <v>117</v>
      </c>
      <c r="J2922" s="37" t="s">
        <v>375</v>
      </c>
      <c r="K2922" s="37" t="str">
        <f t="shared" si="47"/>
        <v>Loudoun, VA</v>
      </c>
      <c r="L2922" s="24"/>
    </row>
    <row r="2923">
      <c r="A2923" s="28">
        <v>2922.0</v>
      </c>
      <c r="B2923" s="29"/>
      <c r="C2923" s="29"/>
      <c r="D2923" s="40">
        <v>1.0</v>
      </c>
      <c r="E2923" s="31">
        <v>51.0</v>
      </c>
      <c r="F2923" s="42">
        <v>109.0</v>
      </c>
      <c r="G2923" s="29" t="str">
        <f t="shared" si="1"/>
        <v>51109</v>
      </c>
      <c r="H2923" s="37" t="s">
        <v>908</v>
      </c>
      <c r="I2923" s="37" t="s">
        <v>117</v>
      </c>
      <c r="J2923" s="37" t="s">
        <v>375</v>
      </c>
      <c r="K2923" s="37" t="str">
        <f t="shared" si="47"/>
        <v>Louisa, VA</v>
      </c>
      <c r="L2923" s="24"/>
    </row>
    <row r="2924">
      <c r="A2924" s="28">
        <v>2923.0</v>
      </c>
      <c r="B2924" s="29"/>
      <c r="C2924" s="29"/>
      <c r="D2924" s="40">
        <v>1.0</v>
      </c>
      <c r="E2924" s="31">
        <v>51.0</v>
      </c>
      <c r="F2924" s="42">
        <v>111.0</v>
      </c>
      <c r="G2924" s="29" t="str">
        <f t="shared" si="1"/>
        <v>51111</v>
      </c>
      <c r="H2924" s="37" t="s">
        <v>2248</v>
      </c>
      <c r="I2924" s="37" t="s">
        <v>117</v>
      </c>
      <c r="J2924" s="37" t="s">
        <v>375</v>
      </c>
      <c r="K2924" s="37" t="str">
        <f t="shared" si="47"/>
        <v>Lunenburg, VA</v>
      </c>
      <c r="L2924" s="24"/>
    </row>
    <row r="2925">
      <c r="A2925" s="28">
        <v>2924.0</v>
      </c>
      <c r="B2925" s="29"/>
      <c r="C2925" s="29"/>
      <c r="D2925" s="40">
        <v>1.0</v>
      </c>
      <c r="E2925" s="31">
        <v>51.0</v>
      </c>
      <c r="F2925" s="42">
        <v>113.0</v>
      </c>
      <c r="G2925" s="29" t="str">
        <f t="shared" si="1"/>
        <v>51113</v>
      </c>
      <c r="H2925" s="37" t="s">
        <v>151</v>
      </c>
      <c r="I2925" s="37" t="s">
        <v>117</v>
      </c>
      <c r="J2925" s="37" t="s">
        <v>375</v>
      </c>
      <c r="K2925" s="37" t="str">
        <f t="shared" si="47"/>
        <v>Madison, VA</v>
      </c>
      <c r="L2925" s="24"/>
    </row>
    <row r="2926">
      <c r="A2926" s="28">
        <v>2925.0</v>
      </c>
      <c r="B2926" s="29"/>
      <c r="C2926" s="29"/>
      <c r="D2926" s="40">
        <v>1.0</v>
      </c>
      <c r="E2926" s="31">
        <v>51.0</v>
      </c>
      <c r="F2926" s="42">
        <v>115.0</v>
      </c>
      <c r="G2926" s="29" t="str">
        <f t="shared" si="1"/>
        <v>51115</v>
      </c>
      <c r="H2926" s="37" t="s">
        <v>2249</v>
      </c>
      <c r="I2926" s="37" t="s">
        <v>117</v>
      </c>
      <c r="J2926" s="37" t="s">
        <v>375</v>
      </c>
      <c r="K2926" s="37" t="str">
        <f t="shared" si="47"/>
        <v>Mathews, VA</v>
      </c>
      <c r="L2926" s="24"/>
    </row>
    <row r="2927">
      <c r="A2927" s="28">
        <v>2926.0</v>
      </c>
      <c r="B2927" s="29"/>
      <c r="C2927" s="29"/>
      <c r="D2927" s="40">
        <v>1.0</v>
      </c>
      <c r="E2927" s="31">
        <v>51.0</v>
      </c>
      <c r="F2927" s="42">
        <v>117.0</v>
      </c>
      <c r="G2927" s="29" t="str">
        <f t="shared" si="1"/>
        <v>51117</v>
      </c>
      <c r="H2927" s="37" t="s">
        <v>381</v>
      </c>
      <c r="I2927" s="37" t="s">
        <v>117</v>
      </c>
      <c r="J2927" s="37" t="s">
        <v>375</v>
      </c>
      <c r="K2927" s="136" t="str">
        <f t="shared" si="47"/>
        <v>Mecklenburg, VA</v>
      </c>
      <c r="L2927" s="24"/>
    </row>
    <row r="2928">
      <c r="A2928" s="28">
        <v>2927.0</v>
      </c>
      <c r="B2928" s="29"/>
      <c r="C2928" s="29"/>
      <c r="D2928" s="40">
        <v>1.0</v>
      </c>
      <c r="E2928" s="31">
        <v>51.0</v>
      </c>
      <c r="F2928" s="42">
        <v>119.0</v>
      </c>
      <c r="G2928" s="29" t="str">
        <f t="shared" si="1"/>
        <v>51119</v>
      </c>
      <c r="H2928" s="37" t="s">
        <v>281</v>
      </c>
      <c r="I2928" s="37" t="s">
        <v>117</v>
      </c>
      <c r="J2928" s="37" t="s">
        <v>375</v>
      </c>
      <c r="K2928" s="37" t="str">
        <f t="shared" si="47"/>
        <v>Middlesex, VA</v>
      </c>
      <c r="L2928" s="24"/>
    </row>
    <row r="2929">
      <c r="A2929" s="28">
        <v>2928.0</v>
      </c>
      <c r="B2929" s="29"/>
      <c r="C2929" s="29"/>
      <c r="D2929" s="40">
        <v>1.0</v>
      </c>
      <c r="E2929" s="31">
        <v>51.0</v>
      </c>
      <c r="F2929" s="42">
        <v>121.0</v>
      </c>
      <c r="G2929" s="29" t="str">
        <f t="shared" si="1"/>
        <v>51121</v>
      </c>
      <c r="H2929" s="37" t="s">
        <v>157</v>
      </c>
      <c r="I2929" s="37" t="s">
        <v>117</v>
      </c>
      <c r="J2929" s="37" t="s">
        <v>375</v>
      </c>
      <c r="K2929" s="37" t="str">
        <f t="shared" si="47"/>
        <v>Montgomery, VA</v>
      </c>
      <c r="L2929" s="24"/>
    </row>
    <row r="2930">
      <c r="A2930" s="28">
        <v>2929.0</v>
      </c>
      <c r="B2930" s="29"/>
      <c r="C2930" s="29"/>
      <c r="D2930" s="40">
        <v>1.0</v>
      </c>
      <c r="E2930" s="31">
        <v>51.0</v>
      </c>
      <c r="F2930" s="42">
        <v>125.0</v>
      </c>
      <c r="G2930" s="29" t="str">
        <f t="shared" si="1"/>
        <v>51125</v>
      </c>
      <c r="H2930" s="37" t="s">
        <v>1125</v>
      </c>
      <c r="I2930" s="37" t="s">
        <v>117</v>
      </c>
      <c r="J2930" s="37" t="s">
        <v>375</v>
      </c>
      <c r="K2930" s="37" t="str">
        <f t="shared" si="47"/>
        <v>Nelson, VA</v>
      </c>
      <c r="L2930" s="24"/>
    </row>
    <row r="2931">
      <c r="A2931" s="28">
        <v>2930.0</v>
      </c>
      <c r="B2931" s="29"/>
      <c r="C2931" s="29"/>
      <c r="D2931" s="40">
        <v>1.0</v>
      </c>
      <c r="E2931" s="31">
        <v>51.0</v>
      </c>
      <c r="F2931" s="42">
        <v>127.0</v>
      </c>
      <c r="G2931" s="29" t="str">
        <f t="shared" si="1"/>
        <v>51127</v>
      </c>
      <c r="H2931" s="37" t="s">
        <v>2250</v>
      </c>
      <c r="I2931" s="37" t="s">
        <v>117</v>
      </c>
      <c r="J2931" s="37" t="s">
        <v>375</v>
      </c>
      <c r="K2931" s="37" t="str">
        <f t="shared" si="47"/>
        <v>New Kent, VA</v>
      </c>
      <c r="L2931" s="24"/>
    </row>
    <row r="2932">
      <c r="A2932" s="28">
        <v>2931.0</v>
      </c>
      <c r="B2932" s="29"/>
      <c r="C2932" s="29"/>
      <c r="D2932" s="40">
        <v>1.0</v>
      </c>
      <c r="E2932" s="31">
        <v>51.0</v>
      </c>
      <c r="F2932" s="42">
        <v>131.0</v>
      </c>
      <c r="G2932" s="29" t="str">
        <f t="shared" si="1"/>
        <v>51131</v>
      </c>
      <c r="H2932" s="37" t="s">
        <v>1618</v>
      </c>
      <c r="I2932" s="37" t="s">
        <v>117</v>
      </c>
      <c r="J2932" s="37" t="s">
        <v>375</v>
      </c>
      <c r="K2932" s="136" t="str">
        <f t="shared" si="47"/>
        <v>Northampton, VA</v>
      </c>
      <c r="L2932" s="24"/>
    </row>
    <row r="2933">
      <c r="A2933" s="28">
        <v>2932.0</v>
      </c>
      <c r="B2933" s="29"/>
      <c r="C2933" s="29"/>
      <c r="D2933" s="40">
        <v>1.0</v>
      </c>
      <c r="E2933" s="31">
        <v>51.0</v>
      </c>
      <c r="F2933" s="42">
        <v>133.0</v>
      </c>
      <c r="G2933" s="29" t="str">
        <f t="shared" si="1"/>
        <v>51133</v>
      </c>
      <c r="H2933" s="37" t="s">
        <v>1804</v>
      </c>
      <c r="I2933" s="37" t="s">
        <v>117</v>
      </c>
      <c r="J2933" s="37" t="s">
        <v>375</v>
      </c>
      <c r="K2933" s="136" t="str">
        <f t="shared" si="47"/>
        <v>Northumberland, VA</v>
      </c>
      <c r="L2933" s="24"/>
    </row>
    <row r="2934">
      <c r="A2934" s="28">
        <v>2933.0</v>
      </c>
      <c r="B2934" s="29"/>
      <c r="C2934" s="29"/>
      <c r="D2934" s="40">
        <v>1.0</v>
      </c>
      <c r="E2934" s="31">
        <v>51.0</v>
      </c>
      <c r="F2934" s="42">
        <v>135.0</v>
      </c>
      <c r="G2934" s="29" t="str">
        <f t="shared" si="1"/>
        <v>51135</v>
      </c>
      <c r="H2934" s="37" t="s">
        <v>2251</v>
      </c>
      <c r="I2934" s="37" t="s">
        <v>117</v>
      </c>
      <c r="J2934" s="37" t="s">
        <v>375</v>
      </c>
      <c r="K2934" s="37" t="str">
        <f t="shared" si="47"/>
        <v>Nottoway, VA</v>
      </c>
      <c r="L2934" s="24"/>
    </row>
    <row r="2935">
      <c r="A2935" s="28">
        <v>2934.0</v>
      </c>
      <c r="B2935" s="29"/>
      <c r="C2935" s="29"/>
      <c r="D2935" s="40">
        <v>1.0</v>
      </c>
      <c r="E2935" s="31">
        <v>51.0</v>
      </c>
      <c r="F2935" s="42">
        <v>137.0</v>
      </c>
      <c r="G2935" s="29" t="str">
        <f t="shared" si="1"/>
        <v>51137</v>
      </c>
      <c r="H2935" s="37" t="s">
        <v>241</v>
      </c>
      <c r="I2935" s="37" t="s">
        <v>117</v>
      </c>
      <c r="J2935" s="37" t="s">
        <v>375</v>
      </c>
      <c r="K2935" s="37" t="str">
        <f t="shared" si="47"/>
        <v>Orange, VA</v>
      </c>
      <c r="L2935" s="24"/>
    </row>
    <row r="2936">
      <c r="A2936" s="28">
        <v>2935.0</v>
      </c>
      <c r="B2936" s="29"/>
      <c r="C2936" s="29"/>
      <c r="D2936" s="40">
        <v>1.0</v>
      </c>
      <c r="E2936" s="31">
        <v>51.0</v>
      </c>
      <c r="F2936" s="42">
        <v>139.0</v>
      </c>
      <c r="G2936" s="29" t="str">
        <f t="shared" si="1"/>
        <v>51139</v>
      </c>
      <c r="H2936" s="37" t="s">
        <v>927</v>
      </c>
      <c r="I2936" s="37" t="s">
        <v>117</v>
      </c>
      <c r="J2936" s="37" t="s">
        <v>375</v>
      </c>
      <c r="K2936" s="37" t="str">
        <f t="shared" si="47"/>
        <v>Page, VA</v>
      </c>
      <c r="L2936" s="24"/>
    </row>
    <row r="2937">
      <c r="A2937" s="28">
        <v>2936.0</v>
      </c>
      <c r="B2937" s="29"/>
      <c r="C2937" s="29"/>
      <c r="D2937" s="40">
        <v>1.0</v>
      </c>
      <c r="E2937" s="31">
        <v>51.0</v>
      </c>
      <c r="F2937" s="42">
        <v>141.0</v>
      </c>
      <c r="G2937" s="29" t="str">
        <f t="shared" si="1"/>
        <v>51141</v>
      </c>
      <c r="H2937" s="37" t="s">
        <v>2252</v>
      </c>
      <c r="I2937" s="37" t="s">
        <v>117</v>
      </c>
      <c r="J2937" s="37" t="s">
        <v>375</v>
      </c>
      <c r="K2937" s="37" t="str">
        <f t="shared" si="47"/>
        <v>Patrick, VA</v>
      </c>
      <c r="L2937" s="24"/>
    </row>
    <row r="2938">
      <c r="A2938" s="28">
        <v>2937.0</v>
      </c>
      <c r="B2938" s="29"/>
      <c r="C2938" s="29"/>
      <c r="D2938" s="40">
        <v>1.0</v>
      </c>
      <c r="E2938" s="31">
        <v>51.0</v>
      </c>
      <c r="F2938" s="42">
        <v>143.0</v>
      </c>
      <c r="G2938" s="29" t="str">
        <f t="shared" si="1"/>
        <v>51143</v>
      </c>
      <c r="H2938" s="37" t="s">
        <v>2254</v>
      </c>
      <c r="I2938" s="37" t="s">
        <v>117</v>
      </c>
      <c r="J2938" s="37" t="s">
        <v>375</v>
      </c>
      <c r="K2938" s="37" t="str">
        <f t="shared" si="47"/>
        <v>Pittsylvania, VA</v>
      </c>
      <c r="L2938" s="24"/>
    </row>
    <row r="2939">
      <c r="A2939" s="28">
        <v>2938.0</v>
      </c>
      <c r="B2939" s="29"/>
      <c r="C2939" s="29"/>
      <c r="D2939" s="40">
        <v>1.0</v>
      </c>
      <c r="E2939" s="31">
        <v>51.0</v>
      </c>
      <c r="F2939" s="42">
        <v>145.0</v>
      </c>
      <c r="G2939" s="29" t="str">
        <f t="shared" si="1"/>
        <v>51145</v>
      </c>
      <c r="H2939" s="37" t="s">
        <v>2255</v>
      </c>
      <c r="I2939" s="37" t="s">
        <v>117</v>
      </c>
      <c r="J2939" s="37" t="s">
        <v>375</v>
      </c>
      <c r="K2939" s="37" t="str">
        <f t="shared" si="47"/>
        <v>Powhatan, VA</v>
      </c>
      <c r="L2939" s="24"/>
    </row>
    <row r="2940">
      <c r="A2940" s="28">
        <v>2939.0</v>
      </c>
      <c r="B2940" s="29"/>
      <c r="C2940" s="29"/>
      <c r="D2940" s="40">
        <v>1.0</v>
      </c>
      <c r="E2940" s="31">
        <v>51.0</v>
      </c>
      <c r="F2940" s="42">
        <v>147.0</v>
      </c>
      <c r="G2940" s="29" t="str">
        <f t="shared" si="1"/>
        <v>51147</v>
      </c>
      <c r="H2940" s="37" t="s">
        <v>2256</v>
      </c>
      <c r="I2940" s="37" t="s">
        <v>117</v>
      </c>
      <c r="J2940" s="37" t="s">
        <v>375</v>
      </c>
      <c r="K2940" s="136" t="str">
        <f t="shared" si="47"/>
        <v>Prince Edward, VA</v>
      </c>
      <c r="L2940" s="24"/>
    </row>
    <row r="2941">
      <c r="A2941" s="28">
        <v>2940.0</v>
      </c>
      <c r="B2941" s="29"/>
      <c r="C2941" s="29"/>
      <c r="D2941" s="40">
        <v>1.0</v>
      </c>
      <c r="E2941" s="31">
        <v>51.0</v>
      </c>
      <c r="F2941" s="42">
        <v>149.0</v>
      </c>
      <c r="G2941" s="29" t="str">
        <f t="shared" si="1"/>
        <v>51149</v>
      </c>
      <c r="H2941" s="37" t="s">
        <v>2257</v>
      </c>
      <c r="I2941" s="37" t="s">
        <v>117</v>
      </c>
      <c r="J2941" s="37" t="s">
        <v>375</v>
      </c>
      <c r="K2941" s="136" t="str">
        <f t="shared" si="47"/>
        <v>Prince George, VA</v>
      </c>
      <c r="L2941" s="24"/>
    </row>
    <row r="2942">
      <c r="A2942" s="28">
        <v>2941.0</v>
      </c>
      <c r="B2942" s="29"/>
      <c r="C2942" s="29"/>
      <c r="D2942" s="40">
        <v>1.0</v>
      </c>
      <c r="E2942" s="31">
        <v>51.0</v>
      </c>
      <c r="F2942" s="42">
        <v>153.0</v>
      </c>
      <c r="G2942" s="29" t="str">
        <f t="shared" si="1"/>
        <v>51153</v>
      </c>
      <c r="H2942" s="37" t="s">
        <v>2258</v>
      </c>
      <c r="I2942" s="37" t="s">
        <v>117</v>
      </c>
      <c r="J2942" s="37" t="s">
        <v>375</v>
      </c>
      <c r="K2942" s="136" t="str">
        <f t="shared" si="47"/>
        <v>Prince William, VA</v>
      </c>
      <c r="L2942" s="24"/>
    </row>
    <row r="2943">
      <c r="A2943" s="28">
        <v>2942.0</v>
      </c>
      <c r="B2943" s="29"/>
      <c r="C2943" s="29"/>
      <c r="D2943" s="40">
        <v>1.0</v>
      </c>
      <c r="E2943" s="31">
        <v>51.0</v>
      </c>
      <c r="F2943" s="42">
        <v>155.0</v>
      </c>
      <c r="G2943" s="29" t="str">
        <f t="shared" si="1"/>
        <v>51155</v>
      </c>
      <c r="H2943" s="37" t="s">
        <v>305</v>
      </c>
      <c r="I2943" s="37" t="s">
        <v>117</v>
      </c>
      <c r="J2943" s="37" t="s">
        <v>375</v>
      </c>
      <c r="K2943" s="37" t="str">
        <f t="shared" si="47"/>
        <v>Pulaski, VA</v>
      </c>
      <c r="L2943" s="24"/>
    </row>
    <row r="2944">
      <c r="A2944" s="28">
        <v>2943.0</v>
      </c>
      <c r="B2944" s="29"/>
      <c r="C2944" s="29"/>
      <c r="D2944" s="40">
        <v>1.0</v>
      </c>
      <c r="E2944" s="31">
        <v>51.0</v>
      </c>
      <c r="F2944" s="42">
        <v>157.0</v>
      </c>
      <c r="G2944" s="29" t="str">
        <f t="shared" si="1"/>
        <v>51157</v>
      </c>
      <c r="H2944" s="37" t="s">
        <v>2259</v>
      </c>
      <c r="I2944" s="37" t="s">
        <v>117</v>
      </c>
      <c r="J2944" s="37" t="s">
        <v>375</v>
      </c>
      <c r="K2944" s="136" t="str">
        <f t="shared" si="47"/>
        <v>Rappahannock, VA</v>
      </c>
      <c r="L2944" s="24"/>
    </row>
    <row r="2945">
      <c r="A2945" s="28">
        <v>2944.0</v>
      </c>
      <c r="B2945" s="29"/>
      <c r="C2945" s="29"/>
      <c r="D2945" s="40">
        <v>1.0</v>
      </c>
      <c r="E2945" s="31">
        <v>51.0</v>
      </c>
      <c r="F2945" s="42">
        <v>159.0</v>
      </c>
      <c r="G2945" s="29" t="str">
        <f t="shared" si="1"/>
        <v>51159</v>
      </c>
      <c r="H2945" s="37" t="s">
        <v>621</v>
      </c>
      <c r="I2945" s="37" t="s">
        <v>117</v>
      </c>
      <c r="J2945" s="37" t="s">
        <v>375</v>
      </c>
      <c r="K2945" s="37" t="str">
        <f t="shared" si="47"/>
        <v>Richmond, VA</v>
      </c>
      <c r="L2945" s="24"/>
    </row>
    <row r="2946">
      <c r="A2946" s="28">
        <v>2945.0</v>
      </c>
      <c r="B2946" s="29"/>
      <c r="C2946" s="29"/>
      <c r="D2946" s="40">
        <v>1.0</v>
      </c>
      <c r="E2946" s="31">
        <v>51.0</v>
      </c>
      <c r="F2946" s="42">
        <v>161.0</v>
      </c>
      <c r="G2946" s="29" t="str">
        <f t="shared" si="1"/>
        <v>51161</v>
      </c>
      <c r="H2946" s="37" t="s">
        <v>2260</v>
      </c>
      <c r="I2946" s="37" t="s">
        <v>117</v>
      </c>
      <c r="J2946" s="37" t="s">
        <v>375</v>
      </c>
      <c r="K2946" s="37" t="str">
        <f t="shared" si="47"/>
        <v>Roanoke, VA</v>
      </c>
      <c r="L2946" s="24"/>
    </row>
    <row r="2947">
      <c r="A2947" s="28">
        <v>2946.0</v>
      </c>
      <c r="B2947" s="29"/>
      <c r="C2947" s="29"/>
      <c r="D2947" s="40">
        <v>1.0</v>
      </c>
      <c r="E2947" s="31">
        <v>51.0</v>
      </c>
      <c r="F2947" s="42">
        <v>163.0</v>
      </c>
      <c r="G2947" s="29" t="str">
        <f t="shared" si="1"/>
        <v>51163</v>
      </c>
      <c r="H2947" s="37" t="s">
        <v>2261</v>
      </c>
      <c r="I2947" s="37" t="s">
        <v>117</v>
      </c>
      <c r="J2947" s="37" t="s">
        <v>375</v>
      </c>
      <c r="K2947" s="37" t="str">
        <f t="shared" si="47"/>
        <v>Rockbridge, VA</v>
      </c>
      <c r="L2947" s="24"/>
    </row>
    <row r="2948">
      <c r="A2948" s="28">
        <v>2947.0</v>
      </c>
      <c r="B2948" s="29"/>
      <c r="C2948" s="29"/>
      <c r="D2948" s="40">
        <v>1.0</v>
      </c>
      <c r="E2948" s="31">
        <v>51.0</v>
      </c>
      <c r="F2948" s="42">
        <v>165.0</v>
      </c>
      <c r="G2948" s="29" t="str">
        <f t="shared" si="1"/>
        <v>51165</v>
      </c>
      <c r="H2948" s="37" t="s">
        <v>1523</v>
      </c>
      <c r="I2948" s="37" t="s">
        <v>117</v>
      </c>
      <c r="J2948" s="37" t="s">
        <v>375</v>
      </c>
      <c r="K2948" s="37" t="str">
        <f t="shared" si="47"/>
        <v>Rockingham, VA</v>
      </c>
      <c r="L2948" s="24"/>
    </row>
    <row r="2949">
      <c r="A2949" s="28">
        <v>2948.0</v>
      </c>
      <c r="B2949" s="29"/>
      <c r="C2949" s="29"/>
      <c r="D2949" s="40">
        <v>1.0</v>
      </c>
      <c r="E2949" s="31">
        <v>51.0</v>
      </c>
      <c r="F2949" s="42">
        <v>167.0</v>
      </c>
      <c r="G2949" s="29" t="str">
        <f t="shared" si="1"/>
        <v>51167</v>
      </c>
      <c r="H2949" s="37" t="s">
        <v>165</v>
      </c>
      <c r="I2949" s="37" t="s">
        <v>117</v>
      </c>
      <c r="J2949" s="37" t="s">
        <v>375</v>
      </c>
      <c r="K2949" s="37" t="str">
        <f t="shared" si="47"/>
        <v>Russell, VA</v>
      </c>
      <c r="L2949" s="24"/>
    </row>
    <row r="2950">
      <c r="A2950" s="28">
        <v>2949.0</v>
      </c>
      <c r="B2950" s="29"/>
      <c r="C2950" s="29"/>
      <c r="D2950" s="40">
        <v>1.0</v>
      </c>
      <c r="E2950" s="31">
        <v>51.0</v>
      </c>
      <c r="F2950" s="42">
        <v>169.0</v>
      </c>
      <c r="G2950" s="29" t="str">
        <f t="shared" si="1"/>
        <v>51169</v>
      </c>
      <c r="H2950" s="37" t="s">
        <v>309</v>
      </c>
      <c r="I2950" s="37" t="s">
        <v>117</v>
      </c>
      <c r="J2950" s="37" t="s">
        <v>375</v>
      </c>
      <c r="K2950" s="37" t="str">
        <f t="shared" si="47"/>
        <v>Scott, VA</v>
      </c>
      <c r="L2950" s="24"/>
    </row>
    <row r="2951">
      <c r="A2951" s="28">
        <v>2950.0</v>
      </c>
      <c r="B2951" s="29"/>
      <c r="C2951" s="29"/>
      <c r="D2951" s="40">
        <v>1.0</v>
      </c>
      <c r="E2951" s="31">
        <v>51.0</v>
      </c>
      <c r="F2951" s="42">
        <v>171.0</v>
      </c>
      <c r="G2951" s="29" t="str">
        <f t="shared" si="1"/>
        <v>51171</v>
      </c>
      <c r="H2951" s="37" t="s">
        <v>2263</v>
      </c>
      <c r="I2951" s="37" t="s">
        <v>117</v>
      </c>
      <c r="J2951" s="37" t="s">
        <v>375</v>
      </c>
      <c r="K2951" s="136" t="str">
        <f t="shared" si="47"/>
        <v>Shenandoah, VA</v>
      </c>
      <c r="L2951" s="24"/>
    </row>
    <row r="2952">
      <c r="A2952" s="28">
        <v>2951.0</v>
      </c>
      <c r="B2952" s="29"/>
      <c r="C2952" s="29"/>
      <c r="D2952" s="40">
        <v>1.0</v>
      </c>
      <c r="E2952" s="31">
        <v>51.0</v>
      </c>
      <c r="F2952" s="42">
        <v>173.0</v>
      </c>
      <c r="G2952" s="29" t="str">
        <f t="shared" si="1"/>
        <v>51173</v>
      </c>
      <c r="H2952" s="37" t="s">
        <v>2264</v>
      </c>
      <c r="I2952" s="37" t="s">
        <v>117</v>
      </c>
      <c r="J2952" s="37" t="s">
        <v>375</v>
      </c>
      <c r="K2952" s="37" t="str">
        <f t="shared" si="47"/>
        <v>Smyth, VA</v>
      </c>
      <c r="L2952" s="24"/>
    </row>
    <row r="2953">
      <c r="A2953" s="28">
        <v>2952.0</v>
      </c>
      <c r="B2953" s="29"/>
      <c r="C2953" s="29"/>
      <c r="D2953" s="40">
        <v>1.0</v>
      </c>
      <c r="E2953" s="31">
        <v>51.0</v>
      </c>
      <c r="F2953" s="42">
        <v>175.0</v>
      </c>
      <c r="G2953" s="29" t="str">
        <f t="shared" si="1"/>
        <v>51175</v>
      </c>
      <c r="H2953" s="37" t="s">
        <v>2265</v>
      </c>
      <c r="I2953" s="37" t="s">
        <v>117</v>
      </c>
      <c r="J2953" s="37" t="s">
        <v>375</v>
      </c>
      <c r="K2953" s="136" t="str">
        <f t="shared" si="47"/>
        <v>Southampton, VA</v>
      </c>
      <c r="L2953" s="24"/>
    </row>
    <row r="2954">
      <c r="A2954" s="28">
        <v>2953.0</v>
      </c>
      <c r="B2954" s="29"/>
      <c r="C2954" s="29"/>
      <c r="D2954" s="40">
        <v>1.0</v>
      </c>
      <c r="E2954" s="31">
        <v>51.0</v>
      </c>
      <c r="F2954" s="42">
        <v>177.0</v>
      </c>
      <c r="G2954" s="29" t="str">
        <f t="shared" si="1"/>
        <v>51177</v>
      </c>
      <c r="H2954" s="37" t="s">
        <v>2266</v>
      </c>
      <c r="I2954" s="37" t="s">
        <v>117</v>
      </c>
      <c r="J2954" s="37" t="s">
        <v>375</v>
      </c>
      <c r="K2954" s="136" t="str">
        <f t="shared" si="47"/>
        <v>Spotsylvania, VA</v>
      </c>
      <c r="L2954" s="24"/>
    </row>
    <row r="2955">
      <c r="A2955" s="28">
        <v>2954.0</v>
      </c>
      <c r="B2955" s="29"/>
      <c r="C2955" s="29"/>
      <c r="D2955" s="40">
        <v>1.0</v>
      </c>
      <c r="E2955" s="31">
        <v>51.0</v>
      </c>
      <c r="F2955" s="42">
        <v>179.0</v>
      </c>
      <c r="G2955" s="29" t="str">
        <f t="shared" si="1"/>
        <v>51179</v>
      </c>
      <c r="H2955" s="37" t="s">
        <v>1013</v>
      </c>
      <c r="I2955" s="37" t="s">
        <v>117</v>
      </c>
      <c r="J2955" s="37" t="s">
        <v>375</v>
      </c>
      <c r="K2955" s="37" t="str">
        <f t="shared" si="47"/>
        <v>Stafford, VA</v>
      </c>
      <c r="L2955" s="24"/>
    </row>
    <row r="2956">
      <c r="A2956" s="28">
        <v>2955.0</v>
      </c>
      <c r="B2956" s="29"/>
      <c r="C2956" s="29"/>
      <c r="D2956" s="40">
        <v>1.0</v>
      </c>
      <c r="E2956" s="31">
        <v>51.0</v>
      </c>
      <c r="F2956" s="42">
        <v>181.0</v>
      </c>
      <c r="G2956" s="29" t="str">
        <f t="shared" si="1"/>
        <v>51181</v>
      </c>
      <c r="H2956" s="37" t="s">
        <v>1631</v>
      </c>
      <c r="I2956" s="37" t="s">
        <v>117</v>
      </c>
      <c r="J2956" s="37" t="s">
        <v>375</v>
      </c>
      <c r="K2956" s="37" t="str">
        <f t="shared" si="47"/>
        <v>Surry, VA</v>
      </c>
      <c r="L2956" s="24"/>
    </row>
    <row r="2957">
      <c r="A2957" s="28">
        <v>2956.0</v>
      </c>
      <c r="B2957" s="29"/>
      <c r="C2957" s="29"/>
      <c r="D2957" s="40">
        <v>1.0</v>
      </c>
      <c r="E2957" s="31">
        <v>51.0</v>
      </c>
      <c r="F2957" s="42">
        <v>183.0</v>
      </c>
      <c r="G2957" s="29" t="str">
        <f t="shared" si="1"/>
        <v>51183</v>
      </c>
      <c r="H2957" s="37" t="s">
        <v>476</v>
      </c>
      <c r="I2957" s="37" t="s">
        <v>117</v>
      </c>
      <c r="J2957" s="37" t="s">
        <v>375</v>
      </c>
      <c r="K2957" s="37" t="str">
        <f t="shared" si="47"/>
        <v>Sussex, VA</v>
      </c>
      <c r="L2957" s="24"/>
    </row>
    <row r="2958">
      <c r="A2958" s="28">
        <v>2957.0</v>
      </c>
      <c r="B2958" s="29"/>
      <c r="C2958" s="29"/>
      <c r="D2958" s="40">
        <v>1.0</v>
      </c>
      <c r="E2958" s="31">
        <v>51.0</v>
      </c>
      <c r="F2958" s="42">
        <v>185.0</v>
      </c>
      <c r="G2958" s="29" t="str">
        <f t="shared" si="1"/>
        <v>51185</v>
      </c>
      <c r="H2958" s="37" t="s">
        <v>749</v>
      </c>
      <c r="I2958" s="37" t="s">
        <v>117</v>
      </c>
      <c r="J2958" s="37" t="s">
        <v>375</v>
      </c>
      <c r="K2958" s="37" t="str">
        <f t="shared" si="47"/>
        <v>Tazewell, VA</v>
      </c>
      <c r="L2958" s="24"/>
    </row>
    <row r="2959">
      <c r="A2959" s="28">
        <v>2958.0</v>
      </c>
      <c r="B2959" s="29"/>
      <c r="C2959" s="29"/>
      <c r="D2959" s="40">
        <v>1.0</v>
      </c>
      <c r="E2959" s="31">
        <v>51.0</v>
      </c>
      <c r="F2959" s="42">
        <v>187.0</v>
      </c>
      <c r="G2959" s="29" t="str">
        <f t="shared" si="1"/>
        <v>51187</v>
      </c>
      <c r="H2959" s="37" t="s">
        <v>647</v>
      </c>
      <c r="I2959" s="37" t="s">
        <v>117</v>
      </c>
      <c r="J2959" s="37" t="s">
        <v>375</v>
      </c>
      <c r="K2959" s="37" t="str">
        <f t="shared" si="47"/>
        <v>Warren, VA</v>
      </c>
      <c r="L2959" s="24"/>
    </row>
    <row r="2960">
      <c r="A2960" s="28">
        <v>2959.0</v>
      </c>
      <c r="B2960" s="29"/>
      <c r="C2960" s="29"/>
      <c r="D2960" s="40">
        <v>1.0</v>
      </c>
      <c r="E2960" s="31">
        <v>51.0</v>
      </c>
      <c r="F2960" s="42">
        <v>191.0</v>
      </c>
      <c r="G2960" s="29" t="str">
        <f t="shared" si="1"/>
        <v>51191</v>
      </c>
      <c r="H2960" s="37" t="s">
        <v>119</v>
      </c>
      <c r="I2960" s="37" t="s">
        <v>117</v>
      </c>
      <c r="J2960" s="37" t="s">
        <v>375</v>
      </c>
      <c r="K2960" s="37" t="str">
        <f t="shared" si="47"/>
        <v>Washington, VA</v>
      </c>
      <c r="L2960" s="24"/>
    </row>
    <row r="2961">
      <c r="A2961" s="28">
        <v>2960.0</v>
      </c>
      <c r="B2961" s="29"/>
      <c r="C2961" s="29"/>
      <c r="D2961" s="40">
        <v>1.0</v>
      </c>
      <c r="E2961" s="31">
        <v>51.0</v>
      </c>
      <c r="F2961" s="42">
        <v>193.0</v>
      </c>
      <c r="G2961" s="29" t="str">
        <f t="shared" si="1"/>
        <v>51193</v>
      </c>
      <c r="H2961" s="37" t="s">
        <v>1810</v>
      </c>
      <c r="I2961" s="37" t="s">
        <v>117</v>
      </c>
      <c r="J2961" s="37" t="s">
        <v>375</v>
      </c>
      <c r="K2961" s="136" t="str">
        <f t="shared" si="47"/>
        <v>Westmoreland, VA</v>
      </c>
      <c r="L2961" s="24"/>
    </row>
    <row r="2962">
      <c r="A2962" s="28">
        <v>2961.0</v>
      </c>
      <c r="B2962" s="29"/>
      <c r="C2962" s="29"/>
      <c r="D2962" s="40">
        <v>1.0</v>
      </c>
      <c r="E2962" s="31">
        <v>51.0</v>
      </c>
      <c r="F2962" s="42">
        <v>195.0</v>
      </c>
      <c r="G2962" s="29" t="str">
        <f t="shared" si="1"/>
        <v>51195</v>
      </c>
      <c r="H2962" s="37" t="s">
        <v>2178</v>
      </c>
      <c r="I2962" s="37" t="s">
        <v>117</v>
      </c>
      <c r="J2962" s="37" t="s">
        <v>375</v>
      </c>
      <c r="K2962" s="37" t="str">
        <f t="shared" si="47"/>
        <v>Wise, VA</v>
      </c>
      <c r="L2962" s="24"/>
    </row>
    <row r="2963">
      <c r="A2963" s="28">
        <v>2962.0</v>
      </c>
      <c r="B2963" s="29"/>
      <c r="C2963" s="29"/>
      <c r="D2963" s="40">
        <v>1.0</v>
      </c>
      <c r="E2963" s="31">
        <v>51.0</v>
      </c>
      <c r="F2963" s="42">
        <v>197.0</v>
      </c>
      <c r="G2963" s="29" t="str">
        <f t="shared" si="1"/>
        <v>51197</v>
      </c>
      <c r="H2963" s="37" t="s">
        <v>2267</v>
      </c>
      <c r="I2963" s="37" t="s">
        <v>117</v>
      </c>
      <c r="J2963" s="37" t="s">
        <v>375</v>
      </c>
      <c r="K2963" s="37" t="str">
        <f t="shared" si="47"/>
        <v>Wythe, VA</v>
      </c>
      <c r="L2963" s="24"/>
    </row>
    <row r="2964">
      <c r="A2964" s="28">
        <v>2963.0</v>
      </c>
      <c r="B2964" s="29"/>
      <c r="C2964" s="29"/>
      <c r="D2964" s="40">
        <v>1.0</v>
      </c>
      <c r="E2964" s="31">
        <v>51.0</v>
      </c>
      <c r="F2964" s="42">
        <v>199.0</v>
      </c>
      <c r="G2964" s="29" t="str">
        <f t="shared" si="1"/>
        <v>51199</v>
      </c>
      <c r="H2964" s="37" t="s">
        <v>1196</v>
      </c>
      <c r="I2964" s="37" t="s">
        <v>117</v>
      </c>
      <c r="J2964" s="37" t="s">
        <v>375</v>
      </c>
      <c r="K2964" s="37" t="str">
        <f t="shared" si="47"/>
        <v>York, VA</v>
      </c>
      <c r="L2964" s="24"/>
    </row>
    <row r="2965">
      <c r="A2965" s="28">
        <v>2964.0</v>
      </c>
      <c r="B2965" s="29"/>
      <c r="C2965" s="29"/>
      <c r="D2965" s="40">
        <v>1.0</v>
      </c>
      <c r="E2965" s="31">
        <v>51.0</v>
      </c>
      <c r="F2965" s="42">
        <v>510.0</v>
      </c>
      <c r="G2965" s="29" t="str">
        <f t="shared" si="1"/>
        <v>51510</v>
      </c>
      <c r="H2965" s="37" t="s">
        <v>2269</v>
      </c>
      <c r="I2965" s="37" t="s">
        <v>117</v>
      </c>
      <c r="J2965" s="37" t="s">
        <v>375</v>
      </c>
      <c r="K2965" s="136" t="str">
        <f t="shared" si="47"/>
        <v>Alexandria City, VA</v>
      </c>
      <c r="L2965" s="24"/>
    </row>
    <row r="2966">
      <c r="A2966" s="28">
        <v>2965.0</v>
      </c>
      <c r="B2966" s="29"/>
      <c r="C2966" s="29"/>
      <c r="D2966" s="40">
        <v>1.0</v>
      </c>
      <c r="E2966" s="31">
        <v>51.0</v>
      </c>
      <c r="F2966" s="42">
        <v>520.0</v>
      </c>
      <c r="G2966" s="29" t="str">
        <f t="shared" si="1"/>
        <v>51520</v>
      </c>
      <c r="H2966" s="37" t="s">
        <v>2270</v>
      </c>
      <c r="I2966" s="37" t="s">
        <v>117</v>
      </c>
      <c r="J2966" s="37" t="s">
        <v>375</v>
      </c>
      <c r="K2966" s="37" t="str">
        <f t="shared" si="47"/>
        <v>Bristol City, VA</v>
      </c>
      <c r="L2966" s="24"/>
    </row>
    <row r="2967">
      <c r="A2967" s="28">
        <v>2966.0</v>
      </c>
      <c r="B2967" s="29"/>
      <c r="C2967" s="29"/>
      <c r="D2967" s="40">
        <v>1.0</v>
      </c>
      <c r="E2967" s="31">
        <v>51.0</v>
      </c>
      <c r="F2967" s="42">
        <v>530.0</v>
      </c>
      <c r="G2967" s="29" t="str">
        <f t="shared" si="1"/>
        <v>51530</v>
      </c>
      <c r="H2967" s="37" t="s">
        <v>2271</v>
      </c>
      <c r="I2967" s="37" t="s">
        <v>117</v>
      </c>
      <c r="J2967" s="37" t="s">
        <v>375</v>
      </c>
      <c r="K2967" s="136" t="str">
        <f t="shared" si="47"/>
        <v>Buena Vista City, VA</v>
      </c>
      <c r="L2967" s="24"/>
    </row>
    <row r="2968">
      <c r="A2968" s="28">
        <v>2967.0</v>
      </c>
      <c r="B2968" s="29"/>
      <c r="C2968" s="29"/>
      <c r="D2968" s="40">
        <v>1.0</v>
      </c>
      <c r="E2968" s="31">
        <v>51.0</v>
      </c>
      <c r="F2968" s="42">
        <v>540.0</v>
      </c>
      <c r="G2968" s="29" t="str">
        <f t="shared" si="1"/>
        <v>51540</v>
      </c>
      <c r="H2968" s="37" t="s">
        <v>2272</v>
      </c>
      <c r="I2968" s="37" t="s">
        <v>117</v>
      </c>
      <c r="J2968" s="37" t="s">
        <v>375</v>
      </c>
      <c r="K2968" s="136" t="str">
        <f t="shared" si="47"/>
        <v>Charlottesville City, VA</v>
      </c>
      <c r="L2968" s="24"/>
    </row>
    <row r="2969">
      <c r="A2969" s="28">
        <v>2968.0</v>
      </c>
      <c r="B2969" s="29"/>
      <c r="C2969" s="29"/>
      <c r="D2969" s="40">
        <v>1.0</v>
      </c>
      <c r="E2969" s="31">
        <v>51.0</v>
      </c>
      <c r="F2969" s="42">
        <v>550.0</v>
      </c>
      <c r="G2969" s="29" t="str">
        <f t="shared" si="1"/>
        <v>51550</v>
      </c>
      <c r="H2969" s="37" t="s">
        <v>2273</v>
      </c>
      <c r="I2969" s="37" t="s">
        <v>117</v>
      </c>
      <c r="J2969" s="37" t="s">
        <v>375</v>
      </c>
      <c r="K2969" s="136" t="str">
        <f t="shared" si="47"/>
        <v>Chesapeake City, VA</v>
      </c>
      <c r="L2969" s="24"/>
    </row>
    <row r="2970">
      <c r="A2970" s="28">
        <v>2969.0</v>
      </c>
      <c r="B2970" s="29"/>
      <c r="C2970" s="29"/>
      <c r="D2970" s="40">
        <v>1.0</v>
      </c>
      <c r="E2970" s="31">
        <v>51.0</v>
      </c>
      <c r="F2970" s="42">
        <v>570.0</v>
      </c>
      <c r="G2970" s="29" t="str">
        <f t="shared" si="1"/>
        <v>51570</v>
      </c>
      <c r="H2970" s="37" t="s">
        <v>2274</v>
      </c>
      <c r="I2970" s="37" t="s">
        <v>117</v>
      </c>
      <c r="J2970" s="37" t="s">
        <v>375</v>
      </c>
      <c r="K2970" s="136" t="str">
        <f t="shared" si="47"/>
        <v>Colonial Heights City, VA</v>
      </c>
      <c r="L2970" s="24"/>
    </row>
    <row r="2971">
      <c r="A2971" s="28">
        <v>2970.0</v>
      </c>
      <c r="B2971" s="29"/>
      <c r="C2971" s="29"/>
      <c r="D2971" s="40">
        <v>1.0</v>
      </c>
      <c r="E2971" s="31">
        <v>51.0</v>
      </c>
      <c r="F2971" s="42">
        <v>580.0</v>
      </c>
      <c r="G2971" s="29" t="str">
        <f t="shared" si="1"/>
        <v>51580</v>
      </c>
      <c r="H2971" s="37" t="s">
        <v>2275</v>
      </c>
      <c r="I2971" s="37" t="s">
        <v>117</v>
      </c>
      <c r="J2971" s="37" t="s">
        <v>375</v>
      </c>
      <c r="K2971" s="136" t="str">
        <f t="shared" si="47"/>
        <v>Covington City, VA</v>
      </c>
      <c r="L2971" s="24"/>
    </row>
    <row r="2972">
      <c r="A2972" s="28">
        <v>2971.0</v>
      </c>
      <c r="B2972" s="29"/>
      <c r="C2972" s="29"/>
      <c r="D2972" s="40">
        <v>1.0</v>
      </c>
      <c r="E2972" s="31">
        <v>51.0</v>
      </c>
      <c r="F2972" s="42">
        <v>590.0</v>
      </c>
      <c r="G2972" s="29" t="str">
        <f t="shared" si="1"/>
        <v>51590</v>
      </c>
      <c r="H2972" s="37" t="s">
        <v>2276</v>
      </c>
      <c r="I2972" s="37" t="s">
        <v>117</v>
      </c>
      <c r="J2972" s="37" t="s">
        <v>375</v>
      </c>
      <c r="K2972" s="37" t="str">
        <f t="shared" si="47"/>
        <v>Danville City, VA</v>
      </c>
      <c r="L2972" s="24"/>
    </row>
    <row r="2973">
      <c r="A2973" s="28">
        <v>2972.0</v>
      </c>
      <c r="B2973" s="29"/>
      <c r="C2973" s="29"/>
      <c r="D2973" s="40">
        <v>1.0</v>
      </c>
      <c r="E2973" s="31">
        <v>51.0</v>
      </c>
      <c r="F2973" s="42">
        <v>595.0</v>
      </c>
      <c r="G2973" s="29" t="str">
        <f t="shared" si="1"/>
        <v>51595</v>
      </c>
      <c r="H2973" s="37" t="s">
        <v>2277</v>
      </c>
      <c r="I2973" s="37" t="s">
        <v>117</v>
      </c>
      <c r="J2973" s="37" t="s">
        <v>375</v>
      </c>
      <c r="K2973" s="136" t="str">
        <f t="shared" si="47"/>
        <v>Emporia City, VA</v>
      </c>
      <c r="L2973" s="24"/>
    </row>
    <row r="2974">
      <c r="A2974" s="28">
        <v>2973.0</v>
      </c>
      <c r="B2974" s="29"/>
      <c r="C2974" s="29"/>
      <c r="D2974" s="40">
        <v>1.0</v>
      </c>
      <c r="E2974" s="31">
        <v>51.0</v>
      </c>
      <c r="F2974" s="42">
        <v>600.0</v>
      </c>
      <c r="G2974" s="29" t="str">
        <f t="shared" si="1"/>
        <v>51600</v>
      </c>
      <c r="H2974" s="37" t="s">
        <v>2279</v>
      </c>
      <c r="I2974" s="37" t="s">
        <v>117</v>
      </c>
      <c r="J2974" s="37" t="s">
        <v>375</v>
      </c>
      <c r="K2974" s="37" t="str">
        <f t="shared" si="47"/>
        <v>Fairfax City, VA</v>
      </c>
      <c r="L2974" s="24"/>
    </row>
    <row r="2975">
      <c r="A2975" s="28">
        <v>2974.0</v>
      </c>
      <c r="B2975" s="29"/>
      <c r="C2975" s="29"/>
      <c r="D2975" s="40">
        <v>1.0</v>
      </c>
      <c r="E2975" s="31">
        <v>51.0</v>
      </c>
      <c r="F2975" s="42">
        <v>610.0</v>
      </c>
      <c r="G2975" s="29" t="str">
        <f t="shared" si="1"/>
        <v>51610</v>
      </c>
      <c r="H2975" s="37" t="s">
        <v>2280</v>
      </c>
      <c r="I2975" s="37" t="s">
        <v>117</v>
      </c>
      <c r="J2975" s="37" t="s">
        <v>375</v>
      </c>
      <c r="K2975" s="136" t="str">
        <f t="shared" si="47"/>
        <v>Falls Church City, VA</v>
      </c>
      <c r="L2975" s="24"/>
    </row>
    <row r="2976">
      <c r="A2976" s="28">
        <v>2975.0</v>
      </c>
      <c r="B2976" s="29"/>
      <c r="C2976" s="29"/>
      <c r="D2976" s="40">
        <v>1.0</v>
      </c>
      <c r="E2976" s="31">
        <v>51.0</v>
      </c>
      <c r="F2976" s="42">
        <v>620.0</v>
      </c>
      <c r="G2976" s="29" t="str">
        <f t="shared" si="1"/>
        <v>51620</v>
      </c>
      <c r="H2976" s="37" t="s">
        <v>2281</v>
      </c>
      <c r="I2976" s="37" t="s">
        <v>117</v>
      </c>
      <c r="J2976" s="37" t="s">
        <v>375</v>
      </c>
      <c r="K2976" s="37" t="str">
        <f t="shared" si="47"/>
        <v>Franklin City, VA</v>
      </c>
      <c r="L2976" s="24"/>
    </row>
    <row r="2977">
      <c r="A2977" s="28">
        <v>2976.0</v>
      </c>
      <c r="B2977" s="29"/>
      <c r="C2977" s="29"/>
      <c r="D2977" s="40">
        <v>1.0</v>
      </c>
      <c r="E2977" s="31">
        <v>51.0</v>
      </c>
      <c r="F2977" s="42">
        <v>630.0</v>
      </c>
      <c r="G2977" s="29" t="str">
        <f t="shared" si="1"/>
        <v>51630</v>
      </c>
      <c r="H2977" s="37" t="s">
        <v>2282</v>
      </c>
      <c r="I2977" s="37" t="s">
        <v>117</v>
      </c>
      <c r="J2977" s="37" t="s">
        <v>375</v>
      </c>
      <c r="K2977" s="136" t="str">
        <f t="shared" si="47"/>
        <v>Fredericksburg City, VA</v>
      </c>
      <c r="L2977" s="24"/>
    </row>
    <row r="2978">
      <c r="A2978" s="28">
        <v>2977.0</v>
      </c>
      <c r="B2978" s="29"/>
      <c r="C2978" s="29"/>
      <c r="D2978" s="40">
        <v>1.0</v>
      </c>
      <c r="E2978" s="31">
        <v>51.0</v>
      </c>
      <c r="F2978" s="42">
        <v>640.0</v>
      </c>
      <c r="G2978" s="29" t="str">
        <f t="shared" si="1"/>
        <v>51640</v>
      </c>
      <c r="H2978" s="37" t="s">
        <v>2283</v>
      </c>
      <c r="I2978" s="37" t="s">
        <v>117</v>
      </c>
      <c r="J2978" s="37" t="s">
        <v>375</v>
      </c>
      <c r="K2978" s="37" t="str">
        <f t="shared" si="47"/>
        <v>Galax City, VA</v>
      </c>
      <c r="L2978" s="24"/>
    </row>
    <row r="2979">
      <c r="A2979" s="28">
        <v>2978.0</v>
      </c>
      <c r="B2979" s="29"/>
      <c r="C2979" s="29"/>
      <c r="D2979" s="40">
        <v>1.0</v>
      </c>
      <c r="E2979" s="31">
        <v>51.0</v>
      </c>
      <c r="F2979" s="42">
        <v>650.0</v>
      </c>
      <c r="G2979" s="29" t="str">
        <f t="shared" si="1"/>
        <v>51650</v>
      </c>
      <c r="H2979" s="37" t="s">
        <v>2284</v>
      </c>
      <c r="I2979" s="37" t="s">
        <v>117</v>
      </c>
      <c r="J2979" s="37" t="s">
        <v>375</v>
      </c>
      <c r="K2979" s="136" t="str">
        <f t="shared" si="47"/>
        <v>Hampton City, VA</v>
      </c>
      <c r="L2979" s="24"/>
    </row>
    <row r="2980">
      <c r="A2980" s="28">
        <v>2979.0</v>
      </c>
      <c r="B2980" s="29"/>
      <c r="C2980" s="29"/>
      <c r="D2980" s="40">
        <v>1.0</v>
      </c>
      <c r="E2980" s="31">
        <v>51.0</v>
      </c>
      <c r="F2980" s="42">
        <v>660.0</v>
      </c>
      <c r="G2980" s="29" t="str">
        <f t="shared" si="1"/>
        <v>51660</v>
      </c>
      <c r="H2980" s="37" t="s">
        <v>2285</v>
      </c>
      <c r="I2980" s="37" t="s">
        <v>117</v>
      </c>
      <c r="J2980" s="37" t="s">
        <v>375</v>
      </c>
      <c r="K2980" s="136" t="str">
        <f t="shared" si="47"/>
        <v>Harrisonburg City, VA</v>
      </c>
      <c r="L2980" s="24"/>
    </row>
    <row r="2981">
      <c r="A2981" s="28">
        <v>2980.0</v>
      </c>
      <c r="B2981" s="29"/>
      <c r="C2981" s="29"/>
      <c r="D2981" s="40">
        <v>1.0</v>
      </c>
      <c r="E2981" s="31">
        <v>51.0</v>
      </c>
      <c r="F2981" s="42">
        <v>670.0</v>
      </c>
      <c r="G2981" s="29" t="str">
        <f t="shared" si="1"/>
        <v>51670</v>
      </c>
      <c r="H2981" s="37" t="s">
        <v>2286</v>
      </c>
      <c r="I2981" s="37" t="s">
        <v>117</v>
      </c>
      <c r="J2981" s="37" t="s">
        <v>375</v>
      </c>
      <c r="K2981" s="136" t="str">
        <f t="shared" si="47"/>
        <v>Hopewell City, VA</v>
      </c>
      <c r="L2981" s="24"/>
    </row>
    <row r="2982">
      <c r="A2982" s="28">
        <v>2981.0</v>
      </c>
      <c r="B2982" s="29"/>
      <c r="C2982" s="29"/>
      <c r="D2982" s="40">
        <v>1.0</v>
      </c>
      <c r="E2982" s="31">
        <v>51.0</v>
      </c>
      <c r="F2982" s="42">
        <v>678.0</v>
      </c>
      <c r="G2982" s="29" t="str">
        <f t="shared" si="1"/>
        <v>51678</v>
      </c>
      <c r="H2982" s="37" t="s">
        <v>2287</v>
      </c>
      <c r="I2982" s="37" t="s">
        <v>117</v>
      </c>
      <c r="J2982" s="37" t="s">
        <v>375</v>
      </c>
      <c r="K2982" s="136" t="str">
        <f t="shared" si="47"/>
        <v>Lexington City, VA</v>
      </c>
      <c r="L2982" s="24"/>
    </row>
    <row r="2983">
      <c r="A2983" s="28">
        <v>2982.0</v>
      </c>
      <c r="B2983" s="29"/>
      <c r="C2983" s="29"/>
      <c r="D2983" s="40">
        <v>1.0</v>
      </c>
      <c r="E2983" s="31">
        <v>51.0</v>
      </c>
      <c r="F2983" s="42">
        <v>680.0</v>
      </c>
      <c r="G2983" s="29" t="str">
        <f t="shared" si="1"/>
        <v>51680</v>
      </c>
      <c r="H2983" s="37" t="s">
        <v>2288</v>
      </c>
      <c r="I2983" s="37" t="s">
        <v>117</v>
      </c>
      <c r="J2983" s="37" t="s">
        <v>375</v>
      </c>
      <c r="K2983" s="136" t="str">
        <f t="shared" si="47"/>
        <v>Lynchburg City, VA</v>
      </c>
      <c r="L2983" s="24"/>
    </row>
    <row r="2984">
      <c r="A2984" s="28">
        <v>2983.0</v>
      </c>
      <c r="B2984" s="29"/>
      <c r="C2984" s="29"/>
      <c r="D2984" s="40">
        <v>1.0</v>
      </c>
      <c r="E2984" s="31">
        <v>51.0</v>
      </c>
      <c r="F2984" s="42">
        <v>683.0</v>
      </c>
      <c r="G2984" s="29" t="str">
        <f t="shared" si="1"/>
        <v>51683</v>
      </c>
      <c r="H2984" s="37" t="s">
        <v>2289</v>
      </c>
      <c r="I2984" s="37" t="s">
        <v>117</v>
      </c>
      <c r="J2984" s="37" t="s">
        <v>375</v>
      </c>
      <c r="K2984" s="136" t="str">
        <f t="shared" si="47"/>
        <v>Manassas City, VA</v>
      </c>
      <c r="L2984" s="24"/>
    </row>
    <row r="2985">
      <c r="A2985" s="28">
        <v>2984.0</v>
      </c>
      <c r="B2985" s="29"/>
      <c r="C2985" s="29"/>
      <c r="D2985" s="40">
        <v>1.0</v>
      </c>
      <c r="E2985" s="31">
        <v>51.0</v>
      </c>
      <c r="F2985" s="42">
        <v>685.0</v>
      </c>
      <c r="G2985" s="29" t="str">
        <f t="shared" si="1"/>
        <v>51685</v>
      </c>
      <c r="H2985" s="37" t="s">
        <v>2290</v>
      </c>
      <c r="I2985" s="37" t="s">
        <v>117</v>
      </c>
      <c r="J2985" s="37" t="s">
        <v>375</v>
      </c>
      <c r="K2985" s="136" t="str">
        <f t="shared" si="47"/>
        <v>Manassas Park City, VA</v>
      </c>
      <c r="L2985" s="24"/>
    </row>
    <row r="2986">
      <c r="A2986" s="28">
        <v>2985.0</v>
      </c>
      <c r="B2986" s="29"/>
      <c r="C2986" s="29"/>
      <c r="D2986" s="40">
        <v>1.0</v>
      </c>
      <c r="E2986" s="31">
        <v>51.0</v>
      </c>
      <c r="F2986" s="42">
        <v>690.0</v>
      </c>
      <c r="G2986" s="29" t="str">
        <f t="shared" si="1"/>
        <v>51690</v>
      </c>
      <c r="H2986" s="37" t="s">
        <v>2291</v>
      </c>
      <c r="I2986" s="37" t="s">
        <v>117</v>
      </c>
      <c r="J2986" s="37" t="s">
        <v>375</v>
      </c>
      <c r="K2986" s="136" t="str">
        <f t="shared" si="47"/>
        <v>Martinsville City, VA</v>
      </c>
      <c r="L2986" s="24"/>
    </row>
    <row r="2987">
      <c r="A2987" s="28">
        <v>2986.0</v>
      </c>
      <c r="B2987" s="29"/>
      <c r="C2987" s="29"/>
      <c r="D2987" s="40">
        <v>1.0</v>
      </c>
      <c r="E2987" s="31">
        <v>51.0</v>
      </c>
      <c r="F2987" s="42">
        <v>700.0</v>
      </c>
      <c r="G2987" s="29" t="str">
        <f t="shared" si="1"/>
        <v>51700</v>
      </c>
      <c r="H2987" s="37" t="s">
        <v>2292</v>
      </c>
      <c r="I2987" s="37" t="s">
        <v>117</v>
      </c>
      <c r="J2987" s="37" t="s">
        <v>375</v>
      </c>
      <c r="K2987" s="136" t="str">
        <f t="shared" si="47"/>
        <v>Newport News City, VA</v>
      </c>
      <c r="L2987" s="24"/>
    </row>
    <row r="2988">
      <c r="A2988" s="28">
        <v>2987.0</v>
      </c>
      <c r="B2988" s="29"/>
      <c r="C2988" s="29"/>
      <c r="D2988" s="40">
        <v>1.0</v>
      </c>
      <c r="E2988" s="31">
        <v>51.0</v>
      </c>
      <c r="F2988" s="42">
        <v>710.0</v>
      </c>
      <c r="G2988" s="29" t="str">
        <f t="shared" si="1"/>
        <v>51710</v>
      </c>
      <c r="H2988" s="37" t="s">
        <v>2293</v>
      </c>
      <c r="I2988" s="37" t="s">
        <v>117</v>
      </c>
      <c r="J2988" s="37" t="s">
        <v>375</v>
      </c>
      <c r="K2988" s="37" t="str">
        <f t="shared" si="47"/>
        <v>Norfolk City, VA</v>
      </c>
      <c r="L2988" s="24"/>
    </row>
    <row r="2989">
      <c r="A2989" s="28">
        <v>2988.0</v>
      </c>
      <c r="B2989" s="29"/>
      <c r="C2989" s="29"/>
      <c r="D2989" s="40">
        <v>1.0</v>
      </c>
      <c r="E2989" s="31">
        <v>51.0</v>
      </c>
      <c r="F2989" s="42">
        <v>720.0</v>
      </c>
      <c r="G2989" s="29" t="str">
        <f t="shared" si="1"/>
        <v>51720</v>
      </c>
      <c r="H2989" s="37" t="s">
        <v>2294</v>
      </c>
      <c r="I2989" s="37" t="s">
        <v>117</v>
      </c>
      <c r="J2989" s="37" t="s">
        <v>375</v>
      </c>
      <c r="K2989" s="37" t="str">
        <f t="shared" si="47"/>
        <v>Norton City, VA</v>
      </c>
      <c r="L2989" s="24"/>
    </row>
    <row r="2990">
      <c r="A2990" s="28">
        <v>2989.0</v>
      </c>
      <c r="B2990" s="29"/>
      <c r="C2990" s="29"/>
      <c r="D2990" s="40">
        <v>1.0</v>
      </c>
      <c r="E2990" s="31">
        <v>51.0</v>
      </c>
      <c r="F2990" s="42">
        <v>730.0</v>
      </c>
      <c r="G2990" s="29" t="str">
        <f t="shared" si="1"/>
        <v>51730</v>
      </c>
      <c r="H2990" s="37" t="s">
        <v>2295</v>
      </c>
      <c r="I2990" s="37" t="s">
        <v>117</v>
      </c>
      <c r="J2990" s="37" t="s">
        <v>375</v>
      </c>
      <c r="K2990" s="136" t="str">
        <f t="shared" si="47"/>
        <v>Petersburg City, VA</v>
      </c>
      <c r="L2990" s="24"/>
    </row>
    <row r="2991">
      <c r="A2991" s="28">
        <v>2990.0</v>
      </c>
      <c r="B2991" s="29"/>
      <c r="C2991" s="29"/>
      <c r="D2991" s="40">
        <v>1.0</v>
      </c>
      <c r="E2991" s="31">
        <v>51.0</v>
      </c>
      <c r="F2991" s="42">
        <v>735.0</v>
      </c>
      <c r="G2991" s="29" t="str">
        <f t="shared" si="1"/>
        <v>51735</v>
      </c>
      <c r="H2991" s="37" t="s">
        <v>2296</v>
      </c>
      <c r="I2991" s="37" t="s">
        <v>117</v>
      </c>
      <c r="J2991" s="37" t="s">
        <v>375</v>
      </c>
      <c r="K2991" s="136" t="str">
        <f t="shared" si="47"/>
        <v>Poquoson City, VA</v>
      </c>
      <c r="L2991" s="24"/>
    </row>
    <row r="2992">
      <c r="A2992" s="28">
        <v>2991.0</v>
      </c>
      <c r="B2992" s="29"/>
      <c r="C2992" s="29"/>
      <c r="D2992" s="40">
        <v>1.0</v>
      </c>
      <c r="E2992" s="31">
        <v>51.0</v>
      </c>
      <c r="F2992" s="42">
        <v>740.0</v>
      </c>
      <c r="G2992" s="29" t="str">
        <f t="shared" si="1"/>
        <v>51740</v>
      </c>
      <c r="H2992" s="37" t="s">
        <v>2297</v>
      </c>
      <c r="I2992" s="37" t="s">
        <v>117</v>
      </c>
      <c r="J2992" s="37" t="s">
        <v>375</v>
      </c>
      <c r="K2992" s="136" t="str">
        <f t="shared" si="47"/>
        <v>Portsmouth City, VA</v>
      </c>
      <c r="L2992" s="24"/>
    </row>
    <row r="2993">
      <c r="A2993" s="28">
        <v>2992.0</v>
      </c>
      <c r="B2993" s="29"/>
      <c r="C2993" s="29"/>
      <c r="D2993" s="40">
        <v>1.0</v>
      </c>
      <c r="E2993" s="31">
        <v>51.0</v>
      </c>
      <c r="F2993" s="42">
        <v>750.0</v>
      </c>
      <c r="G2993" s="29" t="str">
        <f t="shared" si="1"/>
        <v>51750</v>
      </c>
      <c r="H2993" s="37" t="s">
        <v>2298</v>
      </c>
      <c r="I2993" s="37" t="s">
        <v>117</v>
      </c>
      <c r="J2993" s="37" t="s">
        <v>375</v>
      </c>
      <c r="K2993" s="37" t="str">
        <f t="shared" si="47"/>
        <v>Radford, VA</v>
      </c>
      <c r="L2993" s="24"/>
    </row>
    <row r="2994">
      <c r="A2994" s="28">
        <v>2993.0</v>
      </c>
      <c r="B2994" s="29"/>
      <c r="C2994" s="29"/>
      <c r="D2994" s="40">
        <v>1.0</v>
      </c>
      <c r="E2994" s="31">
        <v>51.0</v>
      </c>
      <c r="F2994" s="42">
        <v>760.0</v>
      </c>
      <c r="G2994" s="29" t="str">
        <f t="shared" si="1"/>
        <v>51760</v>
      </c>
      <c r="H2994" s="37" t="s">
        <v>2299</v>
      </c>
      <c r="I2994" s="37" t="s">
        <v>117</v>
      </c>
      <c r="J2994" s="37" t="s">
        <v>375</v>
      </c>
      <c r="K2994" s="136" t="str">
        <f t="shared" si="47"/>
        <v>Richmond City, VA</v>
      </c>
      <c r="L2994" s="24"/>
    </row>
    <row r="2995">
      <c r="A2995" s="28">
        <v>2994.0</v>
      </c>
      <c r="B2995" s="29"/>
      <c r="C2995" s="29"/>
      <c r="D2995" s="40">
        <v>1.0</v>
      </c>
      <c r="E2995" s="31">
        <v>51.0</v>
      </c>
      <c r="F2995" s="42">
        <v>770.0</v>
      </c>
      <c r="G2995" s="29" t="str">
        <f t="shared" si="1"/>
        <v>51770</v>
      </c>
      <c r="H2995" s="37" t="s">
        <v>2300</v>
      </c>
      <c r="I2995" s="37" t="s">
        <v>117</v>
      </c>
      <c r="J2995" s="37" t="s">
        <v>375</v>
      </c>
      <c r="K2995" s="136" t="str">
        <f t="shared" si="47"/>
        <v>Roanoke City, VA</v>
      </c>
      <c r="L2995" s="24"/>
    </row>
    <row r="2996">
      <c r="A2996" s="28">
        <v>2995.0</v>
      </c>
      <c r="B2996" s="29"/>
      <c r="C2996" s="29"/>
      <c r="D2996" s="40">
        <v>1.0</v>
      </c>
      <c r="E2996" s="31">
        <v>51.0</v>
      </c>
      <c r="F2996" s="42">
        <v>775.0</v>
      </c>
      <c r="G2996" s="29" t="str">
        <f t="shared" si="1"/>
        <v>51775</v>
      </c>
      <c r="H2996" s="37" t="s">
        <v>2301</v>
      </c>
      <c r="I2996" s="37" t="s">
        <v>117</v>
      </c>
      <c r="J2996" s="37" t="s">
        <v>375</v>
      </c>
      <c r="K2996" s="37" t="str">
        <f t="shared" si="47"/>
        <v>Salem City, VA</v>
      </c>
      <c r="L2996" s="24"/>
    </row>
    <row r="2997">
      <c r="A2997" s="28">
        <v>2996.0</v>
      </c>
      <c r="B2997" s="29"/>
      <c r="C2997" s="29"/>
      <c r="D2997" s="40">
        <v>1.0</v>
      </c>
      <c r="E2997" s="31">
        <v>51.0</v>
      </c>
      <c r="F2997" s="42">
        <v>790.0</v>
      </c>
      <c r="G2997" s="29" t="str">
        <f t="shared" si="1"/>
        <v>51790</v>
      </c>
      <c r="H2997" s="37" t="s">
        <v>2302</v>
      </c>
      <c r="I2997" s="37" t="s">
        <v>117</v>
      </c>
      <c r="J2997" s="37" t="s">
        <v>375</v>
      </c>
      <c r="K2997" s="136" t="str">
        <f t="shared" si="47"/>
        <v>Staunton City, VA</v>
      </c>
      <c r="L2997" s="24"/>
    </row>
    <row r="2998">
      <c r="A2998" s="28">
        <v>2997.0</v>
      </c>
      <c r="B2998" s="29"/>
      <c r="C2998" s="29"/>
      <c r="D2998" s="40">
        <v>1.0</v>
      </c>
      <c r="E2998" s="31">
        <v>51.0</v>
      </c>
      <c r="F2998" s="42">
        <v>800.0</v>
      </c>
      <c r="G2998" s="29" t="str">
        <f t="shared" si="1"/>
        <v>51800</v>
      </c>
      <c r="H2998" s="37" t="s">
        <v>2303</v>
      </c>
      <c r="I2998" s="37" t="s">
        <v>117</v>
      </c>
      <c r="J2998" s="37" t="s">
        <v>375</v>
      </c>
      <c r="K2998" s="37" t="str">
        <f t="shared" si="47"/>
        <v>Suffolk City, VA</v>
      </c>
      <c r="L2998" s="24"/>
    </row>
    <row r="2999">
      <c r="A2999" s="28">
        <v>2998.0</v>
      </c>
      <c r="B2999" s="29"/>
      <c r="C2999" s="29"/>
      <c r="D2999" s="40">
        <v>1.0</v>
      </c>
      <c r="E2999" s="31">
        <v>51.0</v>
      </c>
      <c r="F2999" s="42">
        <v>810.0</v>
      </c>
      <c r="G2999" s="29" t="str">
        <f t="shared" si="1"/>
        <v>51810</v>
      </c>
      <c r="H2999" s="37" t="s">
        <v>2304</v>
      </c>
      <c r="I2999" s="37" t="s">
        <v>117</v>
      </c>
      <c r="J2999" s="37" t="s">
        <v>375</v>
      </c>
      <c r="K2999" s="136" t="str">
        <f t="shared" si="47"/>
        <v>Virginia Beach City, VA</v>
      </c>
      <c r="L2999" s="24"/>
    </row>
    <row r="3000">
      <c r="A3000" s="28">
        <v>2999.0</v>
      </c>
      <c r="B3000" s="29"/>
      <c r="C3000" s="29"/>
      <c r="D3000" s="40">
        <v>1.0</v>
      </c>
      <c r="E3000" s="31">
        <v>51.0</v>
      </c>
      <c r="F3000" s="42">
        <v>820.0</v>
      </c>
      <c r="G3000" s="29" t="str">
        <f t="shared" si="1"/>
        <v>51820</v>
      </c>
      <c r="H3000" s="37" t="s">
        <v>2305</v>
      </c>
      <c r="I3000" s="37" t="s">
        <v>117</v>
      </c>
      <c r="J3000" s="37" t="s">
        <v>375</v>
      </c>
      <c r="K3000" s="136" t="str">
        <f t="shared" si="47"/>
        <v>Waynesboro City, VA</v>
      </c>
      <c r="L3000" s="24"/>
    </row>
    <row r="3001">
      <c r="A3001" s="28">
        <v>3000.0</v>
      </c>
      <c r="B3001" s="29"/>
      <c r="C3001" s="29"/>
      <c r="D3001" s="40">
        <v>1.0</v>
      </c>
      <c r="E3001" s="31">
        <v>51.0</v>
      </c>
      <c r="F3001" s="42">
        <v>830.0</v>
      </c>
      <c r="G3001" s="29" t="str">
        <f t="shared" si="1"/>
        <v>51830</v>
      </c>
      <c r="H3001" s="37" t="s">
        <v>2306</v>
      </c>
      <c r="I3001" s="37" t="s">
        <v>117</v>
      </c>
      <c r="J3001" s="37" t="s">
        <v>375</v>
      </c>
      <c r="K3001" s="136" t="str">
        <f t="shared" si="47"/>
        <v>Williamsburg City, VA</v>
      </c>
      <c r="L3001" s="24"/>
    </row>
    <row r="3002">
      <c r="A3002" s="28">
        <v>3001.0</v>
      </c>
      <c r="B3002" s="29"/>
      <c r="C3002" s="29"/>
      <c r="D3002" s="40">
        <v>1.0</v>
      </c>
      <c r="E3002" s="31">
        <v>51.0</v>
      </c>
      <c r="F3002" s="42">
        <v>840.0</v>
      </c>
      <c r="G3002" s="29" t="str">
        <f t="shared" si="1"/>
        <v>51840</v>
      </c>
      <c r="H3002" s="37" t="s">
        <v>2307</v>
      </c>
      <c r="I3002" s="37" t="s">
        <v>117</v>
      </c>
      <c r="J3002" s="37" t="s">
        <v>375</v>
      </c>
      <c r="K3002" s="136" t="str">
        <f t="shared" si="47"/>
        <v>Winchester City, VA</v>
      </c>
      <c r="L3002" s="24"/>
    </row>
    <row r="3003">
      <c r="A3003" s="99">
        <v>3002.0</v>
      </c>
      <c r="B3003" s="15"/>
      <c r="C3003" s="14" t="s">
        <v>25</v>
      </c>
      <c r="D3003" s="16"/>
      <c r="E3003" s="102">
        <v>53.0</v>
      </c>
      <c r="F3003" s="107">
        <v>0.0</v>
      </c>
      <c r="G3003" s="15" t="str">
        <f t="shared" si="1"/>
        <v>53000</v>
      </c>
      <c r="H3003" s="23"/>
      <c r="I3003" s="23" t="s">
        <v>119</v>
      </c>
      <c r="J3003" s="23" t="s">
        <v>256</v>
      </c>
      <c r="K3003" s="23"/>
      <c r="L3003" s="24"/>
    </row>
    <row r="3004">
      <c r="A3004" s="99">
        <v>3003.0</v>
      </c>
      <c r="B3004" s="15"/>
      <c r="C3004" s="15"/>
      <c r="D3004" s="105">
        <v>1.0</v>
      </c>
      <c r="E3004" s="102">
        <v>53.0</v>
      </c>
      <c r="F3004" s="107">
        <v>1.0</v>
      </c>
      <c r="G3004" s="15" t="str">
        <f t="shared" si="1"/>
        <v>53001</v>
      </c>
      <c r="H3004" s="23" t="s">
        <v>386</v>
      </c>
      <c r="I3004" s="23" t="s">
        <v>119</v>
      </c>
      <c r="J3004" s="23" t="s">
        <v>256</v>
      </c>
      <c r="K3004" s="23" t="str">
        <f t="shared" ref="K3004:K3042" si="48">CONCATENATE(H3004,", ",J3004)</f>
        <v>Adams, WA</v>
      </c>
      <c r="L3004" s="24"/>
    </row>
    <row r="3005">
      <c r="A3005" s="99">
        <v>3004.0</v>
      </c>
      <c r="B3005" s="15"/>
      <c r="C3005" s="15"/>
      <c r="D3005" s="105">
        <v>1.0</v>
      </c>
      <c r="E3005" s="102">
        <v>53.0</v>
      </c>
      <c r="F3005" s="107">
        <v>3.0</v>
      </c>
      <c r="G3005" s="15" t="str">
        <f t="shared" si="1"/>
        <v>53003</v>
      </c>
      <c r="H3005" s="23" t="s">
        <v>2308</v>
      </c>
      <c r="I3005" s="23" t="s">
        <v>119</v>
      </c>
      <c r="J3005" s="23" t="s">
        <v>256</v>
      </c>
      <c r="K3005" s="23" t="str">
        <f t="shared" si="48"/>
        <v>Asotin, WA</v>
      </c>
      <c r="L3005" s="24"/>
    </row>
    <row r="3006">
      <c r="A3006" s="99">
        <v>3005.0</v>
      </c>
      <c r="B3006" s="15"/>
      <c r="C3006" s="15"/>
      <c r="D3006" s="105">
        <v>1.0</v>
      </c>
      <c r="E3006" s="102">
        <v>53.0</v>
      </c>
      <c r="F3006" s="107">
        <v>5.0</v>
      </c>
      <c r="G3006" s="15" t="str">
        <f t="shared" si="1"/>
        <v>53005</v>
      </c>
      <c r="H3006" s="23" t="s">
        <v>243</v>
      </c>
      <c r="I3006" s="23" t="s">
        <v>119</v>
      </c>
      <c r="J3006" s="23" t="s">
        <v>256</v>
      </c>
      <c r="K3006" s="23" t="str">
        <f t="shared" si="48"/>
        <v>Benton, WA</v>
      </c>
      <c r="L3006" s="24"/>
    </row>
    <row r="3007">
      <c r="A3007" s="99">
        <v>3006.0</v>
      </c>
      <c r="B3007" s="15"/>
      <c r="C3007" s="15"/>
      <c r="D3007" s="105">
        <v>1.0</v>
      </c>
      <c r="E3007" s="102">
        <v>53.0</v>
      </c>
      <c r="F3007" s="107">
        <v>7.0</v>
      </c>
      <c r="G3007" s="15" t="str">
        <f t="shared" si="1"/>
        <v>53007</v>
      </c>
      <c r="H3007" s="23" t="s">
        <v>2309</v>
      </c>
      <c r="I3007" s="23" t="s">
        <v>119</v>
      </c>
      <c r="J3007" s="23" t="s">
        <v>256</v>
      </c>
      <c r="K3007" s="23" t="str">
        <f t="shared" si="48"/>
        <v>Chelan, WA</v>
      </c>
      <c r="L3007" s="24"/>
    </row>
    <row r="3008">
      <c r="A3008" s="99">
        <v>3007.0</v>
      </c>
      <c r="B3008" s="15"/>
      <c r="C3008" s="15"/>
      <c r="D3008" s="105">
        <v>1.0</v>
      </c>
      <c r="E3008" s="102">
        <v>53.0</v>
      </c>
      <c r="F3008" s="107">
        <v>9.0</v>
      </c>
      <c r="G3008" s="15" t="str">
        <f t="shared" si="1"/>
        <v>53009</v>
      </c>
      <c r="H3008" s="23" t="s">
        <v>2310</v>
      </c>
      <c r="I3008" s="23" t="s">
        <v>119</v>
      </c>
      <c r="J3008" s="23" t="s">
        <v>256</v>
      </c>
      <c r="K3008" s="23" t="str">
        <f t="shared" si="48"/>
        <v>Clallam, WA</v>
      </c>
      <c r="L3008" s="24"/>
    </row>
    <row r="3009">
      <c r="A3009" s="99">
        <v>3008.0</v>
      </c>
      <c r="B3009" s="15"/>
      <c r="C3009" s="15"/>
      <c r="D3009" s="105">
        <v>1.0</v>
      </c>
      <c r="E3009" s="102">
        <v>53.0</v>
      </c>
      <c r="F3009" s="107">
        <v>11.0</v>
      </c>
      <c r="G3009" s="15" t="str">
        <f t="shared" si="1"/>
        <v>53011</v>
      </c>
      <c r="H3009" s="23" t="s">
        <v>253</v>
      </c>
      <c r="I3009" s="23" t="s">
        <v>119</v>
      </c>
      <c r="J3009" s="23" t="s">
        <v>256</v>
      </c>
      <c r="K3009" s="23" t="str">
        <f t="shared" si="48"/>
        <v>Clark, WA</v>
      </c>
      <c r="L3009" s="24"/>
    </row>
    <row r="3010">
      <c r="A3010" s="99">
        <v>3009.0</v>
      </c>
      <c r="B3010" s="15"/>
      <c r="C3010" s="15"/>
      <c r="D3010" s="105">
        <v>1.0</v>
      </c>
      <c r="E3010" s="102">
        <v>53.0</v>
      </c>
      <c r="F3010" s="107">
        <v>13.0</v>
      </c>
      <c r="G3010" s="15" t="str">
        <f t="shared" si="1"/>
        <v>53013</v>
      </c>
      <c r="H3010" s="23" t="s">
        <v>258</v>
      </c>
      <c r="I3010" s="23" t="s">
        <v>119</v>
      </c>
      <c r="J3010" s="23" t="s">
        <v>256</v>
      </c>
      <c r="K3010" s="23" t="str">
        <f t="shared" si="48"/>
        <v>Columbia, WA</v>
      </c>
      <c r="L3010" s="24"/>
    </row>
    <row r="3011">
      <c r="A3011" s="99">
        <v>3010.0</v>
      </c>
      <c r="B3011" s="15"/>
      <c r="C3011" s="15"/>
      <c r="D3011" s="105">
        <v>1.0</v>
      </c>
      <c r="E3011" s="102">
        <v>53.0</v>
      </c>
      <c r="F3011" s="107">
        <v>15.0</v>
      </c>
      <c r="G3011" s="15" t="str">
        <f t="shared" si="1"/>
        <v>53015</v>
      </c>
      <c r="H3011" s="23" t="s">
        <v>2311</v>
      </c>
      <c r="I3011" s="23" t="s">
        <v>119</v>
      </c>
      <c r="J3011" s="23" t="s">
        <v>256</v>
      </c>
      <c r="K3011" s="23" t="str">
        <f t="shared" si="48"/>
        <v>Cowlitz, WA</v>
      </c>
      <c r="L3011" s="24"/>
    </row>
    <row r="3012">
      <c r="A3012" s="99">
        <v>3011.0</v>
      </c>
      <c r="B3012" s="15"/>
      <c r="C3012" s="15"/>
      <c r="D3012" s="105">
        <v>1.0</v>
      </c>
      <c r="E3012" s="102">
        <v>53.0</v>
      </c>
      <c r="F3012" s="107">
        <v>17.0</v>
      </c>
      <c r="G3012" s="15" t="str">
        <f t="shared" si="1"/>
        <v>53017</v>
      </c>
      <c r="H3012" s="23" t="s">
        <v>412</v>
      </c>
      <c r="I3012" s="23" t="s">
        <v>119</v>
      </c>
      <c r="J3012" s="23" t="s">
        <v>256</v>
      </c>
      <c r="K3012" s="23" t="str">
        <f t="shared" si="48"/>
        <v>Douglas, WA</v>
      </c>
      <c r="L3012" s="24"/>
    </row>
    <row r="3013">
      <c r="A3013" s="99">
        <v>3012.0</v>
      </c>
      <c r="B3013" s="15"/>
      <c r="C3013" s="15"/>
      <c r="D3013" s="105">
        <v>1.0</v>
      </c>
      <c r="E3013" s="102">
        <v>53.0</v>
      </c>
      <c r="F3013" s="107">
        <v>19.0</v>
      </c>
      <c r="G3013" s="15" t="str">
        <f t="shared" si="1"/>
        <v>53019</v>
      </c>
      <c r="H3013" s="23" t="s">
        <v>2312</v>
      </c>
      <c r="I3013" s="23" t="s">
        <v>119</v>
      </c>
      <c r="J3013" s="23" t="s">
        <v>256</v>
      </c>
      <c r="K3013" s="23" t="str">
        <f t="shared" si="48"/>
        <v>Ferry, WA</v>
      </c>
      <c r="L3013" s="24"/>
    </row>
    <row r="3014">
      <c r="A3014" s="99">
        <v>3013.0</v>
      </c>
      <c r="B3014" s="15"/>
      <c r="C3014" s="15"/>
      <c r="D3014" s="105">
        <v>1.0</v>
      </c>
      <c r="E3014" s="102">
        <v>53.0</v>
      </c>
      <c r="F3014" s="107">
        <v>21.0</v>
      </c>
      <c r="G3014" s="15" t="str">
        <f t="shared" si="1"/>
        <v>53021</v>
      </c>
      <c r="H3014" s="23" t="s">
        <v>136</v>
      </c>
      <c r="I3014" s="23" t="s">
        <v>119</v>
      </c>
      <c r="J3014" s="23" t="s">
        <v>256</v>
      </c>
      <c r="K3014" s="23" t="str">
        <f t="shared" si="48"/>
        <v>Franklin, WA</v>
      </c>
      <c r="L3014" s="24"/>
    </row>
    <row r="3015">
      <c r="A3015" s="99">
        <v>3014.0</v>
      </c>
      <c r="B3015" s="15"/>
      <c r="C3015" s="15"/>
      <c r="D3015" s="105">
        <v>1.0</v>
      </c>
      <c r="E3015" s="102">
        <v>53.0</v>
      </c>
      <c r="F3015" s="107">
        <v>23.0</v>
      </c>
      <c r="G3015" s="15" t="str">
        <f t="shared" si="1"/>
        <v>53023</v>
      </c>
      <c r="H3015" s="23" t="s">
        <v>417</v>
      </c>
      <c r="I3015" s="23" t="s">
        <v>119</v>
      </c>
      <c r="J3015" s="23" t="s">
        <v>256</v>
      </c>
      <c r="K3015" s="23" t="str">
        <f t="shared" si="48"/>
        <v>Garfield, WA</v>
      </c>
      <c r="L3015" s="24"/>
    </row>
    <row r="3016">
      <c r="A3016" s="99">
        <v>3015.0</v>
      </c>
      <c r="B3016" s="15"/>
      <c r="C3016" s="15"/>
      <c r="D3016" s="105">
        <v>1.0</v>
      </c>
      <c r="E3016" s="102">
        <v>53.0</v>
      </c>
      <c r="F3016" s="107">
        <v>25.0</v>
      </c>
      <c r="G3016" s="15" t="str">
        <f t="shared" si="1"/>
        <v>53025</v>
      </c>
      <c r="H3016" s="23" t="s">
        <v>278</v>
      </c>
      <c r="I3016" s="23" t="s">
        <v>119</v>
      </c>
      <c r="J3016" s="23" t="s">
        <v>256</v>
      </c>
      <c r="K3016" s="23" t="str">
        <f t="shared" si="48"/>
        <v>Grant, WA</v>
      </c>
      <c r="L3016" s="24"/>
    </row>
    <row r="3017">
      <c r="A3017" s="99">
        <v>3016.0</v>
      </c>
      <c r="B3017" s="15"/>
      <c r="C3017" s="15"/>
      <c r="D3017" s="105">
        <v>1.0</v>
      </c>
      <c r="E3017" s="102">
        <v>53.0</v>
      </c>
      <c r="F3017" s="107">
        <v>27.0</v>
      </c>
      <c r="G3017" s="15" t="str">
        <f t="shared" si="1"/>
        <v>53027</v>
      </c>
      <c r="H3017" s="23" t="s">
        <v>2313</v>
      </c>
      <c r="I3017" s="23" t="s">
        <v>119</v>
      </c>
      <c r="J3017" s="23" t="s">
        <v>256</v>
      </c>
      <c r="K3017" s="112" t="str">
        <f t="shared" si="48"/>
        <v>Grays Harbor, WA</v>
      </c>
      <c r="L3017" s="24"/>
    </row>
    <row r="3018">
      <c r="A3018" s="99">
        <v>3017.0</v>
      </c>
      <c r="B3018" s="15"/>
      <c r="C3018" s="15"/>
      <c r="D3018" s="105">
        <v>1.0</v>
      </c>
      <c r="E3018" s="102">
        <v>53.0</v>
      </c>
      <c r="F3018" s="107">
        <v>29.0</v>
      </c>
      <c r="G3018" s="15" t="str">
        <f t="shared" si="1"/>
        <v>53029</v>
      </c>
      <c r="H3018" s="23" t="s">
        <v>2314</v>
      </c>
      <c r="I3018" s="23" t="s">
        <v>119</v>
      </c>
      <c r="J3018" s="23" t="s">
        <v>256</v>
      </c>
      <c r="K3018" s="23" t="str">
        <f t="shared" si="48"/>
        <v>Island, WA</v>
      </c>
      <c r="L3018" s="24"/>
    </row>
    <row r="3019">
      <c r="A3019" s="99">
        <v>3018.0</v>
      </c>
      <c r="B3019" s="15"/>
      <c r="C3019" s="15"/>
      <c r="D3019" s="105">
        <v>1.0</v>
      </c>
      <c r="E3019" s="102">
        <v>53.0</v>
      </c>
      <c r="F3019" s="107">
        <v>31.0</v>
      </c>
      <c r="G3019" s="15" t="str">
        <f t="shared" si="1"/>
        <v>53031</v>
      </c>
      <c r="H3019" s="23" t="s">
        <v>143</v>
      </c>
      <c r="I3019" s="23" t="s">
        <v>119</v>
      </c>
      <c r="J3019" s="23" t="s">
        <v>256</v>
      </c>
      <c r="K3019" s="23" t="str">
        <f t="shared" si="48"/>
        <v>Jefferson, WA</v>
      </c>
      <c r="L3019" s="24"/>
    </row>
    <row r="3020">
      <c r="A3020" s="99">
        <v>3019.0</v>
      </c>
      <c r="B3020" s="15"/>
      <c r="C3020" s="15"/>
      <c r="D3020" s="105">
        <v>1.0</v>
      </c>
      <c r="E3020" s="102">
        <v>53.0</v>
      </c>
      <c r="F3020" s="107">
        <v>33.0</v>
      </c>
      <c r="G3020" s="15" t="str">
        <f t="shared" si="1"/>
        <v>53033</v>
      </c>
      <c r="H3020" s="23" t="s">
        <v>255</v>
      </c>
      <c r="I3020" s="23" t="s">
        <v>119</v>
      </c>
      <c r="J3020" s="23" t="s">
        <v>256</v>
      </c>
      <c r="K3020" s="23" t="str">
        <f t="shared" si="48"/>
        <v>King, WA</v>
      </c>
      <c r="L3020" s="24"/>
    </row>
    <row r="3021">
      <c r="A3021" s="99">
        <v>3020.0</v>
      </c>
      <c r="B3021" s="15"/>
      <c r="C3021" s="15"/>
      <c r="D3021" s="105">
        <v>1.0</v>
      </c>
      <c r="E3021" s="102">
        <v>53.0</v>
      </c>
      <c r="F3021" s="107">
        <v>35.0</v>
      </c>
      <c r="G3021" s="15" t="str">
        <f t="shared" si="1"/>
        <v>53035</v>
      </c>
      <c r="H3021" s="23" t="s">
        <v>2315</v>
      </c>
      <c r="I3021" s="23" t="s">
        <v>119</v>
      </c>
      <c r="J3021" s="23" t="s">
        <v>256</v>
      </c>
      <c r="K3021" s="23" t="str">
        <f t="shared" si="48"/>
        <v>Kitsap, WA</v>
      </c>
      <c r="L3021" s="24"/>
    </row>
    <row r="3022">
      <c r="A3022" s="99">
        <v>3021.0</v>
      </c>
      <c r="B3022" s="15"/>
      <c r="C3022" s="15"/>
      <c r="D3022" s="105">
        <v>1.0</v>
      </c>
      <c r="E3022" s="102">
        <v>53.0</v>
      </c>
      <c r="F3022" s="107">
        <v>37.0</v>
      </c>
      <c r="G3022" s="15" t="str">
        <f t="shared" si="1"/>
        <v>53037</v>
      </c>
      <c r="H3022" s="23" t="s">
        <v>2316</v>
      </c>
      <c r="I3022" s="23" t="s">
        <v>119</v>
      </c>
      <c r="J3022" s="23" t="s">
        <v>256</v>
      </c>
      <c r="K3022" s="23" t="str">
        <f t="shared" si="48"/>
        <v>Kittitas, WA</v>
      </c>
      <c r="L3022" s="24"/>
    </row>
    <row r="3023">
      <c r="A3023" s="99">
        <v>3022.0</v>
      </c>
      <c r="B3023" s="15"/>
      <c r="C3023" s="15"/>
      <c r="D3023" s="105">
        <v>1.0</v>
      </c>
      <c r="E3023" s="102">
        <v>53.0</v>
      </c>
      <c r="F3023" s="107">
        <v>39.0</v>
      </c>
      <c r="G3023" s="15" t="str">
        <f t="shared" si="1"/>
        <v>53039</v>
      </c>
      <c r="H3023" s="23" t="s">
        <v>2317</v>
      </c>
      <c r="I3023" s="23" t="s">
        <v>119</v>
      </c>
      <c r="J3023" s="23" t="s">
        <v>256</v>
      </c>
      <c r="K3023" s="23" t="str">
        <f t="shared" si="48"/>
        <v>Klickitat, WA</v>
      </c>
      <c r="L3023" s="24"/>
    </row>
    <row r="3024">
      <c r="A3024" s="99">
        <v>3023.0</v>
      </c>
      <c r="B3024" s="15"/>
      <c r="C3024" s="15"/>
      <c r="D3024" s="105">
        <v>1.0</v>
      </c>
      <c r="E3024" s="102">
        <v>53.0</v>
      </c>
      <c r="F3024" s="107">
        <v>41.0</v>
      </c>
      <c r="G3024" s="15" t="str">
        <f t="shared" si="1"/>
        <v>53041</v>
      </c>
      <c r="H3024" s="23" t="s">
        <v>682</v>
      </c>
      <c r="I3024" s="23" t="s">
        <v>119</v>
      </c>
      <c r="J3024" s="23" t="s">
        <v>256</v>
      </c>
      <c r="K3024" s="23" t="str">
        <f t="shared" si="48"/>
        <v>Lewis, WA</v>
      </c>
      <c r="L3024" s="24"/>
    </row>
    <row r="3025">
      <c r="A3025" s="99">
        <v>3024.0</v>
      </c>
      <c r="B3025" s="15"/>
      <c r="C3025" s="15"/>
      <c r="D3025" s="105">
        <v>1.0</v>
      </c>
      <c r="E3025" s="102">
        <v>53.0</v>
      </c>
      <c r="F3025" s="107">
        <v>43.0</v>
      </c>
      <c r="G3025" s="15" t="str">
        <f t="shared" si="1"/>
        <v>53043</v>
      </c>
      <c r="H3025" s="23" t="s">
        <v>290</v>
      </c>
      <c r="I3025" s="23" t="s">
        <v>119</v>
      </c>
      <c r="J3025" s="23" t="s">
        <v>256</v>
      </c>
      <c r="K3025" s="23" t="str">
        <f t="shared" si="48"/>
        <v>Lincoln, WA</v>
      </c>
      <c r="L3025" s="24"/>
    </row>
    <row r="3026">
      <c r="A3026" s="99">
        <v>3025.0</v>
      </c>
      <c r="B3026" s="15"/>
      <c r="C3026" s="15"/>
      <c r="D3026" s="105">
        <v>1.0</v>
      </c>
      <c r="E3026" s="102">
        <v>53.0</v>
      </c>
      <c r="F3026" s="107">
        <v>45.0</v>
      </c>
      <c r="G3026" s="15" t="str">
        <f t="shared" si="1"/>
        <v>53045</v>
      </c>
      <c r="H3026" s="23" t="s">
        <v>735</v>
      </c>
      <c r="I3026" s="23" t="s">
        <v>119</v>
      </c>
      <c r="J3026" s="23" t="s">
        <v>256</v>
      </c>
      <c r="K3026" s="23" t="str">
        <f t="shared" si="48"/>
        <v>Mason, WA</v>
      </c>
      <c r="L3026" s="24"/>
    </row>
    <row r="3027">
      <c r="A3027" s="99">
        <v>3026.0</v>
      </c>
      <c r="B3027" s="15"/>
      <c r="C3027" s="15"/>
      <c r="D3027" s="105">
        <v>1.0</v>
      </c>
      <c r="E3027" s="102">
        <v>53.0</v>
      </c>
      <c r="F3027" s="107">
        <v>47.0</v>
      </c>
      <c r="G3027" s="15" t="str">
        <f t="shared" si="1"/>
        <v>53047</v>
      </c>
      <c r="H3027" s="23" t="s">
        <v>2318</v>
      </c>
      <c r="I3027" s="23" t="s">
        <v>119</v>
      </c>
      <c r="J3027" s="23" t="s">
        <v>256</v>
      </c>
      <c r="K3027" s="23" t="str">
        <f t="shared" si="48"/>
        <v>Okanogan, WA</v>
      </c>
      <c r="L3027" s="24"/>
    </row>
    <row r="3028">
      <c r="A3028" s="99">
        <v>3027.0</v>
      </c>
      <c r="B3028" s="15"/>
      <c r="C3028" s="15"/>
      <c r="D3028" s="105">
        <v>1.0</v>
      </c>
      <c r="E3028" s="102">
        <v>53.0</v>
      </c>
      <c r="F3028" s="107">
        <v>49.0</v>
      </c>
      <c r="G3028" s="15" t="str">
        <f t="shared" si="1"/>
        <v>53049</v>
      </c>
      <c r="H3028" s="23" t="s">
        <v>2319</v>
      </c>
      <c r="I3028" s="23" t="s">
        <v>119</v>
      </c>
      <c r="J3028" s="23" t="s">
        <v>256</v>
      </c>
      <c r="K3028" s="23" t="str">
        <f t="shared" si="48"/>
        <v>Pacific, WA</v>
      </c>
      <c r="L3028" s="24"/>
    </row>
    <row r="3029">
      <c r="A3029" s="99">
        <v>3028.0</v>
      </c>
      <c r="B3029" s="15"/>
      <c r="C3029" s="15"/>
      <c r="D3029" s="105">
        <v>1.0</v>
      </c>
      <c r="E3029" s="102">
        <v>53.0</v>
      </c>
      <c r="F3029" s="107">
        <v>51.0</v>
      </c>
      <c r="G3029" s="15" t="str">
        <f t="shared" si="1"/>
        <v>53051</v>
      </c>
      <c r="H3029" s="23" t="s">
        <v>2320</v>
      </c>
      <c r="I3029" s="23" t="s">
        <v>119</v>
      </c>
      <c r="J3029" s="23" t="s">
        <v>256</v>
      </c>
      <c r="K3029" s="112" t="str">
        <f t="shared" si="48"/>
        <v>Pend Oreille, WA</v>
      </c>
      <c r="L3029" s="24"/>
    </row>
    <row r="3030">
      <c r="A3030" s="99">
        <v>3029.0</v>
      </c>
      <c r="B3030" s="15"/>
      <c r="C3030" s="15"/>
      <c r="D3030" s="105">
        <v>1.0</v>
      </c>
      <c r="E3030" s="102">
        <v>53.0</v>
      </c>
      <c r="F3030" s="107">
        <v>53.0</v>
      </c>
      <c r="G3030" s="15" t="str">
        <f t="shared" si="1"/>
        <v>53053</v>
      </c>
      <c r="H3030" s="23" t="s">
        <v>473</v>
      </c>
      <c r="I3030" s="23" t="s">
        <v>119</v>
      </c>
      <c r="J3030" s="23" t="s">
        <v>256</v>
      </c>
      <c r="K3030" s="23" t="str">
        <f t="shared" si="48"/>
        <v>Pierce, WA</v>
      </c>
      <c r="L3030" s="24"/>
    </row>
    <row r="3031">
      <c r="A3031" s="99">
        <v>3030.0</v>
      </c>
      <c r="B3031" s="15"/>
      <c r="C3031" s="15"/>
      <c r="D3031" s="105">
        <v>1.0</v>
      </c>
      <c r="E3031" s="102">
        <v>53.0</v>
      </c>
      <c r="F3031" s="107">
        <v>55.0</v>
      </c>
      <c r="G3031" s="15" t="str">
        <f t="shared" si="1"/>
        <v>53055</v>
      </c>
      <c r="H3031" s="23" t="s">
        <v>457</v>
      </c>
      <c r="I3031" s="23" t="s">
        <v>119</v>
      </c>
      <c r="J3031" s="23" t="s">
        <v>256</v>
      </c>
      <c r="K3031" s="23" t="str">
        <f t="shared" si="48"/>
        <v>San Juan, WA</v>
      </c>
      <c r="L3031" s="24"/>
    </row>
    <row r="3032">
      <c r="A3032" s="99">
        <v>3031.0</v>
      </c>
      <c r="B3032" s="15"/>
      <c r="C3032" s="15"/>
      <c r="D3032" s="105">
        <v>1.0</v>
      </c>
      <c r="E3032" s="102">
        <v>53.0</v>
      </c>
      <c r="F3032" s="107">
        <v>57.0</v>
      </c>
      <c r="G3032" s="15" t="str">
        <f t="shared" si="1"/>
        <v>53057</v>
      </c>
      <c r="H3032" s="23" t="s">
        <v>2321</v>
      </c>
      <c r="I3032" s="23" t="s">
        <v>119</v>
      </c>
      <c r="J3032" s="23" t="s">
        <v>256</v>
      </c>
      <c r="K3032" s="23" t="str">
        <f t="shared" si="48"/>
        <v>Skagit, WA</v>
      </c>
      <c r="L3032" s="24"/>
    </row>
    <row r="3033">
      <c r="A3033" s="99">
        <v>3032.0</v>
      </c>
      <c r="B3033" s="15"/>
      <c r="C3033" s="15"/>
      <c r="D3033" s="105">
        <v>1.0</v>
      </c>
      <c r="E3033" s="102">
        <v>53.0</v>
      </c>
      <c r="F3033" s="107">
        <v>59.0</v>
      </c>
      <c r="G3033" s="15" t="str">
        <f t="shared" si="1"/>
        <v>53059</v>
      </c>
      <c r="H3033" s="23" t="s">
        <v>2322</v>
      </c>
      <c r="I3033" s="23" t="s">
        <v>119</v>
      </c>
      <c r="J3033" s="23" t="s">
        <v>256</v>
      </c>
      <c r="K3033" s="23" t="str">
        <f t="shared" si="48"/>
        <v>Skamania, WA</v>
      </c>
      <c r="L3033" s="24"/>
    </row>
    <row r="3034">
      <c r="A3034" s="99">
        <v>3033.0</v>
      </c>
      <c r="B3034" s="15"/>
      <c r="C3034" s="15"/>
      <c r="D3034" s="105">
        <v>1.0</v>
      </c>
      <c r="E3034" s="102">
        <v>53.0</v>
      </c>
      <c r="F3034" s="107">
        <v>61.0</v>
      </c>
      <c r="G3034" s="15" t="str">
        <f t="shared" si="1"/>
        <v>53061</v>
      </c>
      <c r="H3034" s="23" t="s">
        <v>507</v>
      </c>
      <c r="I3034" s="23" t="s">
        <v>119</v>
      </c>
      <c r="J3034" s="23" t="s">
        <v>256</v>
      </c>
      <c r="K3034" s="23" t="str">
        <f t="shared" si="48"/>
        <v>Snohomish, WA</v>
      </c>
      <c r="L3034" s="24"/>
    </row>
    <row r="3035">
      <c r="A3035" s="99">
        <v>3034.0</v>
      </c>
      <c r="B3035" s="15"/>
      <c r="C3035" s="15"/>
      <c r="D3035" s="105">
        <v>1.0</v>
      </c>
      <c r="E3035" s="102">
        <v>53.0</v>
      </c>
      <c r="F3035" s="107">
        <v>63.0</v>
      </c>
      <c r="G3035" s="15" t="str">
        <f t="shared" si="1"/>
        <v>53063</v>
      </c>
      <c r="H3035" s="23" t="s">
        <v>2323</v>
      </c>
      <c r="I3035" s="23" t="s">
        <v>119</v>
      </c>
      <c r="J3035" s="23" t="s">
        <v>256</v>
      </c>
      <c r="K3035" s="23" t="str">
        <f t="shared" si="48"/>
        <v>Spokane, WA</v>
      </c>
      <c r="L3035" s="24"/>
    </row>
    <row r="3036">
      <c r="A3036" s="99">
        <v>3035.0</v>
      </c>
      <c r="B3036" s="15"/>
      <c r="C3036" s="15"/>
      <c r="D3036" s="105">
        <v>1.0</v>
      </c>
      <c r="E3036" s="102">
        <v>53.0</v>
      </c>
      <c r="F3036" s="107">
        <v>65.0</v>
      </c>
      <c r="G3036" s="15" t="str">
        <f t="shared" si="1"/>
        <v>53065</v>
      </c>
      <c r="H3036" s="23" t="s">
        <v>1015</v>
      </c>
      <c r="I3036" s="23" t="s">
        <v>119</v>
      </c>
      <c r="J3036" s="23" t="s">
        <v>256</v>
      </c>
      <c r="K3036" s="23" t="str">
        <f t="shared" si="48"/>
        <v>Stevens, WA</v>
      </c>
      <c r="L3036" s="24"/>
    </row>
    <row r="3037">
      <c r="A3037" s="99">
        <v>3036.0</v>
      </c>
      <c r="B3037" s="15"/>
      <c r="C3037" s="15"/>
      <c r="D3037" s="105">
        <v>1.0</v>
      </c>
      <c r="E3037" s="102">
        <v>53.0</v>
      </c>
      <c r="F3037" s="107">
        <v>67.0</v>
      </c>
      <c r="G3037" s="15" t="str">
        <f t="shared" si="1"/>
        <v>53067</v>
      </c>
      <c r="H3037" s="23" t="s">
        <v>1505</v>
      </c>
      <c r="I3037" s="23" t="s">
        <v>119</v>
      </c>
      <c r="J3037" s="23" t="s">
        <v>256</v>
      </c>
      <c r="K3037" s="23" t="str">
        <f t="shared" si="48"/>
        <v>Thurston, WA</v>
      </c>
      <c r="L3037" s="24"/>
    </row>
    <row r="3038">
      <c r="A3038" s="99">
        <v>3037.0</v>
      </c>
      <c r="B3038" s="15"/>
      <c r="C3038" s="15"/>
      <c r="D3038" s="105">
        <v>1.0</v>
      </c>
      <c r="E3038" s="102">
        <v>53.0</v>
      </c>
      <c r="F3038" s="107">
        <v>69.0</v>
      </c>
      <c r="G3038" s="15" t="str">
        <f t="shared" si="1"/>
        <v>53069</v>
      </c>
      <c r="H3038" s="23" t="s">
        <v>2324</v>
      </c>
      <c r="I3038" s="23" t="s">
        <v>119</v>
      </c>
      <c r="J3038" s="23" t="s">
        <v>256</v>
      </c>
      <c r="K3038" s="23" t="str">
        <f t="shared" si="48"/>
        <v>Wahkiakum, WA</v>
      </c>
      <c r="L3038" s="24"/>
    </row>
    <row r="3039">
      <c r="A3039" s="99">
        <v>3038.0</v>
      </c>
      <c r="B3039" s="15"/>
      <c r="C3039" s="15"/>
      <c r="D3039" s="105">
        <v>1.0</v>
      </c>
      <c r="E3039" s="102">
        <v>53.0</v>
      </c>
      <c r="F3039" s="107">
        <v>71.0</v>
      </c>
      <c r="G3039" s="15" t="str">
        <f t="shared" si="1"/>
        <v>53071</v>
      </c>
      <c r="H3039" s="23" t="s">
        <v>2325</v>
      </c>
      <c r="I3039" s="23" t="s">
        <v>119</v>
      </c>
      <c r="J3039" s="23" t="s">
        <v>256</v>
      </c>
      <c r="K3039" s="23" t="str">
        <f t="shared" si="48"/>
        <v>Walla Walla, WA</v>
      </c>
      <c r="L3039" s="24"/>
    </row>
    <row r="3040">
      <c r="A3040" s="99">
        <v>3039.0</v>
      </c>
      <c r="B3040" s="15"/>
      <c r="C3040" s="15"/>
      <c r="D3040" s="105">
        <v>1.0</v>
      </c>
      <c r="E3040" s="102">
        <v>53.0</v>
      </c>
      <c r="F3040" s="107">
        <v>73.0</v>
      </c>
      <c r="G3040" s="15" t="str">
        <f t="shared" si="1"/>
        <v>53073</v>
      </c>
      <c r="H3040" s="23" t="s">
        <v>2326</v>
      </c>
      <c r="I3040" s="23" t="s">
        <v>119</v>
      </c>
      <c r="J3040" s="23" t="s">
        <v>256</v>
      </c>
      <c r="K3040" s="23" t="str">
        <f t="shared" si="48"/>
        <v>Whatcom, WA</v>
      </c>
      <c r="L3040" s="24"/>
    </row>
    <row r="3041">
      <c r="A3041" s="99">
        <v>3040.0</v>
      </c>
      <c r="B3041" s="15"/>
      <c r="C3041" s="15"/>
      <c r="D3041" s="105">
        <v>1.0</v>
      </c>
      <c r="E3041" s="102">
        <v>53.0</v>
      </c>
      <c r="F3041" s="107">
        <v>75.0</v>
      </c>
      <c r="G3041" s="15" t="str">
        <f t="shared" si="1"/>
        <v>53075</v>
      </c>
      <c r="H3041" s="23" t="s">
        <v>2327</v>
      </c>
      <c r="I3041" s="23" t="s">
        <v>119</v>
      </c>
      <c r="J3041" s="23" t="s">
        <v>256</v>
      </c>
      <c r="K3041" s="23" t="str">
        <f t="shared" si="48"/>
        <v>Whitman, WA</v>
      </c>
      <c r="L3041" s="24"/>
    </row>
    <row r="3042">
      <c r="A3042" s="99">
        <v>3041.0</v>
      </c>
      <c r="B3042" s="15"/>
      <c r="C3042" s="15"/>
      <c r="D3042" s="105">
        <v>1.0</v>
      </c>
      <c r="E3042" s="102">
        <v>53.0</v>
      </c>
      <c r="F3042" s="107">
        <v>77.0</v>
      </c>
      <c r="G3042" s="15" t="str">
        <f t="shared" si="1"/>
        <v>53077</v>
      </c>
      <c r="H3042" s="23" t="s">
        <v>2328</v>
      </c>
      <c r="I3042" s="23" t="s">
        <v>119</v>
      </c>
      <c r="J3042" s="23" t="s">
        <v>256</v>
      </c>
      <c r="K3042" s="23" t="str">
        <f t="shared" si="48"/>
        <v>Yakima, WA</v>
      </c>
      <c r="L3042" s="24"/>
    </row>
    <row r="3043">
      <c r="A3043" s="28">
        <v>3042.0</v>
      </c>
      <c r="B3043" s="29"/>
      <c r="C3043" s="29" t="s">
        <v>25</v>
      </c>
      <c r="D3043" s="30"/>
      <c r="E3043" s="31">
        <v>54.0</v>
      </c>
      <c r="F3043" s="42">
        <v>0.0</v>
      </c>
      <c r="G3043" s="29" t="str">
        <f t="shared" si="1"/>
        <v>54000</v>
      </c>
      <c r="H3043" s="37"/>
      <c r="I3043" s="37" t="s">
        <v>120</v>
      </c>
      <c r="J3043" s="37" t="s">
        <v>2329</v>
      </c>
      <c r="K3043" s="37"/>
      <c r="L3043" s="24"/>
    </row>
    <row r="3044">
      <c r="A3044" s="28">
        <v>3043.0</v>
      </c>
      <c r="B3044" s="29"/>
      <c r="C3044" s="29"/>
      <c r="D3044" s="40">
        <v>1.0</v>
      </c>
      <c r="E3044" s="31">
        <v>54.0</v>
      </c>
      <c r="F3044" s="42">
        <v>1.0</v>
      </c>
      <c r="G3044" s="29" t="str">
        <f t="shared" si="1"/>
        <v>54001</v>
      </c>
      <c r="H3044" s="37" t="s">
        <v>62</v>
      </c>
      <c r="I3044" s="37" t="s">
        <v>120</v>
      </c>
      <c r="J3044" s="37" t="s">
        <v>2329</v>
      </c>
      <c r="K3044" s="37" t="str">
        <f t="shared" ref="K3044:K3098" si="49">CONCATENATE(H3044,", ",J3044)</f>
        <v>Barbour, WV</v>
      </c>
      <c r="L3044" s="564" t="s">
        <v>62</v>
      </c>
    </row>
    <row r="3045">
      <c r="A3045" s="28">
        <v>3044.0</v>
      </c>
      <c r="B3045" s="29"/>
      <c r="C3045" s="29"/>
      <c r="D3045" s="40">
        <v>1.0</v>
      </c>
      <c r="E3045" s="31">
        <v>54.0</v>
      </c>
      <c r="F3045" s="42">
        <v>3.0</v>
      </c>
      <c r="G3045" s="29" t="str">
        <f t="shared" si="1"/>
        <v>54003</v>
      </c>
      <c r="H3045" s="37" t="s">
        <v>1818</v>
      </c>
      <c r="I3045" s="37" t="s">
        <v>120</v>
      </c>
      <c r="J3045" s="37" t="s">
        <v>2329</v>
      </c>
      <c r="K3045" s="37" t="str">
        <f t="shared" si="49"/>
        <v>Berkeley, WV</v>
      </c>
      <c r="L3045" s="564" t="s">
        <v>1818</v>
      </c>
    </row>
    <row r="3046">
      <c r="A3046" s="28">
        <v>3045.0</v>
      </c>
      <c r="B3046" s="29"/>
      <c r="C3046" s="29"/>
      <c r="D3046" s="40">
        <v>1.0</v>
      </c>
      <c r="E3046" s="31">
        <v>54.0</v>
      </c>
      <c r="F3046" s="42">
        <v>5.0</v>
      </c>
      <c r="G3046" s="29" t="str">
        <f t="shared" si="1"/>
        <v>54005</v>
      </c>
      <c r="H3046" s="37" t="s">
        <v>246</v>
      </c>
      <c r="I3046" s="37" t="s">
        <v>120</v>
      </c>
      <c r="J3046" s="37" t="s">
        <v>2329</v>
      </c>
      <c r="K3046" s="37" t="str">
        <f t="shared" si="49"/>
        <v>Boone, WV</v>
      </c>
      <c r="L3046" s="564" t="s">
        <v>246</v>
      </c>
    </row>
    <row r="3047">
      <c r="A3047" s="28">
        <v>3046.0</v>
      </c>
      <c r="B3047" s="29"/>
      <c r="C3047" s="29"/>
      <c r="D3047" s="40">
        <v>1.0</v>
      </c>
      <c r="E3047" s="31">
        <v>54.0</v>
      </c>
      <c r="F3047" s="42">
        <v>7.0</v>
      </c>
      <c r="G3047" s="29" t="str">
        <f t="shared" si="1"/>
        <v>54007</v>
      </c>
      <c r="H3047" s="37" t="s">
        <v>2330</v>
      </c>
      <c r="I3047" s="37" t="s">
        <v>120</v>
      </c>
      <c r="J3047" s="37" t="s">
        <v>2329</v>
      </c>
      <c r="K3047" s="37" t="str">
        <f t="shared" si="49"/>
        <v>Braxton, WV</v>
      </c>
      <c r="L3047" s="564" t="s">
        <v>2330</v>
      </c>
    </row>
    <row r="3048">
      <c r="A3048" s="28">
        <v>3047.0</v>
      </c>
      <c r="B3048" s="29"/>
      <c r="C3048" s="29"/>
      <c r="D3048" s="40">
        <v>1.0</v>
      </c>
      <c r="E3048" s="31">
        <v>54.0</v>
      </c>
      <c r="F3048" s="42">
        <v>9.0</v>
      </c>
      <c r="G3048" s="29" t="str">
        <f t="shared" si="1"/>
        <v>54009</v>
      </c>
      <c r="H3048" s="37" t="s">
        <v>2331</v>
      </c>
      <c r="I3048" s="37" t="s">
        <v>120</v>
      </c>
      <c r="J3048" s="37" t="s">
        <v>2329</v>
      </c>
      <c r="K3048" s="37" t="str">
        <f t="shared" si="49"/>
        <v>Brooke, WV</v>
      </c>
      <c r="L3048" s="564" t="s">
        <v>2331</v>
      </c>
    </row>
    <row r="3049">
      <c r="A3049" s="28">
        <v>3048.0</v>
      </c>
      <c r="B3049" s="29"/>
      <c r="C3049" s="29"/>
      <c r="D3049" s="40">
        <v>1.0</v>
      </c>
      <c r="E3049" s="31">
        <v>54.0</v>
      </c>
      <c r="F3049" s="42">
        <v>11.0</v>
      </c>
      <c r="G3049" s="29" t="str">
        <f t="shared" si="1"/>
        <v>54011</v>
      </c>
      <c r="H3049" s="37" t="s">
        <v>2332</v>
      </c>
      <c r="I3049" s="37" t="s">
        <v>120</v>
      </c>
      <c r="J3049" s="37" t="s">
        <v>2329</v>
      </c>
      <c r="K3049" s="37" t="str">
        <f t="shared" si="49"/>
        <v>Cabell, WV</v>
      </c>
      <c r="L3049" s="564" t="s">
        <v>2332</v>
      </c>
    </row>
    <row r="3050">
      <c r="A3050" s="28">
        <v>3049.0</v>
      </c>
      <c r="B3050" s="29"/>
      <c r="C3050" s="29"/>
      <c r="D3050" s="40">
        <v>1.0</v>
      </c>
      <c r="E3050" s="31">
        <v>54.0</v>
      </c>
      <c r="F3050" s="42">
        <v>13.0</v>
      </c>
      <c r="G3050" s="29" t="str">
        <f t="shared" si="1"/>
        <v>54013</v>
      </c>
      <c r="H3050" s="37" t="s">
        <v>93</v>
      </c>
      <c r="I3050" s="37" t="s">
        <v>120</v>
      </c>
      <c r="J3050" s="37" t="s">
        <v>2329</v>
      </c>
      <c r="K3050" s="37" t="str">
        <f t="shared" si="49"/>
        <v>Calhoun, WV</v>
      </c>
      <c r="L3050" s="564" t="s">
        <v>93</v>
      </c>
    </row>
    <row r="3051">
      <c r="A3051" s="28">
        <v>3050.0</v>
      </c>
      <c r="B3051" s="29"/>
      <c r="C3051" s="29"/>
      <c r="D3051" s="40">
        <v>1.0</v>
      </c>
      <c r="E3051" s="31">
        <v>54.0</v>
      </c>
      <c r="F3051" s="42">
        <v>15.0</v>
      </c>
      <c r="G3051" s="29" t="str">
        <f t="shared" si="1"/>
        <v>54015</v>
      </c>
      <c r="H3051" s="37" t="s">
        <v>112</v>
      </c>
      <c r="I3051" s="37" t="s">
        <v>120</v>
      </c>
      <c r="J3051" s="37" t="s">
        <v>2329</v>
      </c>
      <c r="K3051" s="37" t="str">
        <f t="shared" si="49"/>
        <v>Clay, WV</v>
      </c>
      <c r="L3051" s="564" t="s">
        <v>112</v>
      </c>
    </row>
    <row r="3052">
      <c r="A3052" s="28">
        <v>3051.0</v>
      </c>
      <c r="B3052" s="29"/>
      <c r="C3052" s="29"/>
      <c r="D3052" s="40">
        <v>1.0</v>
      </c>
      <c r="E3052" s="31">
        <v>54.0</v>
      </c>
      <c r="F3052" s="42">
        <v>17.0</v>
      </c>
      <c r="G3052" s="29" t="str">
        <f t="shared" si="1"/>
        <v>54017</v>
      </c>
      <c r="H3052" s="37" t="s">
        <v>2333</v>
      </c>
      <c r="I3052" s="37" t="s">
        <v>120</v>
      </c>
      <c r="J3052" s="37" t="s">
        <v>2329</v>
      </c>
      <c r="K3052" s="37" t="str">
        <f t="shared" si="49"/>
        <v>Doddridge, WV</v>
      </c>
      <c r="L3052" s="564" t="s">
        <v>2333</v>
      </c>
    </row>
    <row r="3053">
      <c r="A3053" s="28">
        <v>3052.0</v>
      </c>
      <c r="B3053" s="29"/>
      <c r="C3053" s="29"/>
      <c r="D3053" s="40">
        <v>1.0</v>
      </c>
      <c r="E3053" s="31">
        <v>54.0</v>
      </c>
      <c r="F3053" s="42">
        <v>19.0</v>
      </c>
      <c r="G3053" s="29" t="str">
        <f t="shared" si="1"/>
        <v>54019</v>
      </c>
      <c r="H3053" s="37" t="s">
        <v>135</v>
      </c>
      <c r="I3053" s="37" t="s">
        <v>120</v>
      </c>
      <c r="J3053" s="37" t="s">
        <v>2329</v>
      </c>
      <c r="K3053" s="37" t="str">
        <f t="shared" si="49"/>
        <v>Fayette, WV</v>
      </c>
      <c r="L3053" s="564" t="s">
        <v>135</v>
      </c>
    </row>
    <row r="3054">
      <c r="A3054" s="28">
        <v>3053.0</v>
      </c>
      <c r="B3054" s="29"/>
      <c r="C3054" s="29"/>
      <c r="D3054" s="40">
        <v>1.0</v>
      </c>
      <c r="E3054" s="31">
        <v>54.0</v>
      </c>
      <c r="F3054" s="42">
        <v>21.0</v>
      </c>
      <c r="G3054" s="29" t="str">
        <f t="shared" si="1"/>
        <v>54021</v>
      </c>
      <c r="H3054" s="37" t="s">
        <v>579</v>
      </c>
      <c r="I3054" s="37" t="s">
        <v>120</v>
      </c>
      <c r="J3054" s="37" t="s">
        <v>2329</v>
      </c>
      <c r="K3054" s="37" t="str">
        <f t="shared" si="49"/>
        <v>Gilmer, WV</v>
      </c>
      <c r="L3054" s="564" t="s">
        <v>579</v>
      </c>
    </row>
    <row r="3055">
      <c r="A3055" s="28">
        <v>3054.0</v>
      </c>
      <c r="B3055" s="29"/>
      <c r="C3055" s="29"/>
      <c r="D3055" s="40">
        <v>1.0</v>
      </c>
      <c r="E3055" s="31">
        <v>54.0</v>
      </c>
      <c r="F3055" s="42">
        <v>23.0</v>
      </c>
      <c r="G3055" s="29" t="str">
        <f t="shared" si="1"/>
        <v>54023</v>
      </c>
      <c r="H3055" s="37" t="s">
        <v>278</v>
      </c>
      <c r="I3055" s="37" t="s">
        <v>120</v>
      </c>
      <c r="J3055" s="37" t="s">
        <v>2329</v>
      </c>
      <c r="K3055" s="37" t="str">
        <f t="shared" si="49"/>
        <v>Grant, WV</v>
      </c>
      <c r="L3055" s="564" t="s">
        <v>278</v>
      </c>
    </row>
    <row r="3056">
      <c r="A3056" s="28">
        <v>3055.0</v>
      </c>
      <c r="B3056" s="29"/>
      <c r="C3056" s="29"/>
      <c r="D3056" s="40">
        <v>1.0</v>
      </c>
      <c r="E3056" s="31">
        <v>54.0</v>
      </c>
      <c r="F3056" s="42">
        <v>25.0</v>
      </c>
      <c r="G3056" s="29" t="str">
        <f t="shared" si="1"/>
        <v>54025</v>
      </c>
      <c r="H3056" s="37" t="s">
        <v>2334</v>
      </c>
      <c r="I3056" s="37" t="s">
        <v>120</v>
      </c>
      <c r="J3056" s="37" t="s">
        <v>2329</v>
      </c>
      <c r="K3056" s="37" t="str">
        <f t="shared" si="49"/>
        <v>Greenbrier, WV</v>
      </c>
      <c r="L3056" s="564" t="s">
        <v>2334</v>
      </c>
    </row>
    <row r="3057">
      <c r="A3057" s="28">
        <v>3056.0</v>
      </c>
      <c r="B3057" s="29"/>
      <c r="C3057" s="29"/>
      <c r="D3057" s="40">
        <v>1.0</v>
      </c>
      <c r="E3057" s="31">
        <v>54.0</v>
      </c>
      <c r="F3057" s="42">
        <v>27.0</v>
      </c>
      <c r="G3057" s="29" t="str">
        <f t="shared" si="1"/>
        <v>54027</v>
      </c>
      <c r="H3057" s="37" t="s">
        <v>1231</v>
      </c>
      <c r="I3057" s="37" t="s">
        <v>120</v>
      </c>
      <c r="J3057" s="37" t="s">
        <v>2329</v>
      </c>
      <c r="K3057" s="37" t="str">
        <f t="shared" si="49"/>
        <v>Hampshire, WV</v>
      </c>
      <c r="L3057" s="564" t="s">
        <v>1231</v>
      </c>
    </row>
    <row r="3058">
      <c r="A3058" s="28">
        <v>3057.0</v>
      </c>
      <c r="B3058" s="29"/>
      <c r="C3058" s="29"/>
      <c r="D3058" s="40">
        <v>1.0</v>
      </c>
      <c r="E3058" s="31">
        <v>54.0</v>
      </c>
      <c r="F3058" s="42">
        <v>29.0</v>
      </c>
      <c r="G3058" s="29" t="str">
        <f t="shared" si="1"/>
        <v>54029</v>
      </c>
      <c r="H3058" s="37" t="s">
        <v>587</v>
      </c>
      <c r="I3058" s="37" t="s">
        <v>120</v>
      </c>
      <c r="J3058" s="37" t="s">
        <v>2329</v>
      </c>
      <c r="K3058" s="37" t="str">
        <f t="shared" si="49"/>
        <v>Hancock, WV</v>
      </c>
      <c r="L3058" s="564" t="s">
        <v>587</v>
      </c>
    </row>
    <row r="3059">
      <c r="A3059" s="28">
        <v>3058.0</v>
      </c>
      <c r="B3059" s="29"/>
      <c r="C3059" s="29"/>
      <c r="D3059" s="40">
        <v>1.0</v>
      </c>
      <c r="E3059" s="31">
        <v>54.0</v>
      </c>
      <c r="F3059" s="42">
        <v>31.0</v>
      </c>
      <c r="G3059" s="29" t="str">
        <f t="shared" si="1"/>
        <v>54031</v>
      </c>
      <c r="H3059" s="37" t="s">
        <v>2335</v>
      </c>
      <c r="I3059" s="37" t="s">
        <v>120</v>
      </c>
      <c r="J3059" s="37" t="s">
        <v>2329</v>
      </c>
      <c r="K3059" s="37" t="str">
        <f t="shared" si="49"/>
        <v>Hardy, WV</v>
      </c>
      <c r="L3059" s="564" t="s">
        <v>2335</v>
      </c>
    </row>
    <row r="3060">
      <c r="A3060" s="28">
        <v>3059.0</v>
      </c>
      <c r="B3060" s="29"/>
      <c r="C3060" s="29"/>
      <c r="D3060" s="40">
        <v>1.0</v>
      </c>
      <c r="E3060" s="31">
        <v>54.0</v>
      </c>
      <c r="F3060" s="42">
        <v>33.0</v>
      </c>
      <c r="G3060" s="29" t="str">
        <f t="shared" si="1"/>
        <v>54033</v>
      </c>
      <c r="H3060" s="37" t="s">
        <v>775</v>
      </c>
      <c r="I3060" s="37" t="s">
        <v>120</v>
      </c>
      <c r="J3060" s="37" t="s">
        <v>2329</v>
      </c>
      <c r="K3060" s="37" t="str">
        <f t="shared" si="49"/>
        <v>Harrison, WV</v>
      </c>
      <c r="L3060" s="564" t="s">
        <v>775</v>
      </c>
    </row>
    <row r="3061">
      <c r="A3061" s="28">
        <v>3060.0</v>
      </c>
      <c r="B3061" s="29"/>
      <c r="C3061" s="29"/>
      <c r="D3061" s="40">
        <v>1.0</v>
      </c>
      <c r="E3061" s="31">
        <v>54.0</v>
      </c>
      <c r="F3061" s="42">
        <v>35.0</v>
      </c>
      <c r="G3061" s="29" t="str">
        <f t="shared" si="1"/>
        <v>54035</v>
      </c>
      <c r="H3061" s="37" t="s">
        <v>142</v>
      </c>
      <c r="I3061" s="37" t="s">
        <v>120</v>
      </c>
      <c r="J3061" s="37" t="s">
        <v>2329</v>
      </c>
      <c r="K3061" s="37" t="str">
        <f t="shared" si="49"/>
        <v>Jackson, WV</v>
      </c>
      <c r="L3061" s="564" t="s">
        <v>142</v>
      </c>
    </row>
    <row r="3062">
      <c r="A3062" s="28">
        <v>3061.0</v>
      </c>
      <c r="B3062" s="29"/>
      <c r="C3062" s="29"/>
      <c r="D3062" s="40">
        <v>1.0</v>
      </c>
      <c r="E3062" s="31">
        <v>54.0</v>
      </c>
      <c r="F3062" s="42">
        <v>37.0</v>
      </c>
      <c r="G3062" s="29" t="str">
        <f t="shared" si="1"/>
        <v>54037</v>
      </c>
      <c r="H3062" s="37" t="s">
        <v>143</v>
      </c>
      <c r="I3062" s="37" t="s">
        <v>120</v>
      </c>
      <c r="J3062" s="37" t="s">
        <v>2329</v>
      </c>
      <c r="K3062" s="37" t="str">
        <f t="shared" si="49"/>
        <v>Jefferson, WV</v>
      </c>
      <c r="L3062" s="564" t="s">
        <v>143</v>
      </c>
    </row>
    <row r="3063">
      <c r="A3063" s="28">
        <v>3062.0</v>
      </c>
      <c r="B3063" s="29"/>
      <c r="C3063" s="29"/>
      <c r="D3063" s="40">
        <v>1.0</v>
      </c>
      <c r="E3063" s="31">
        <v>54.0</v>
      </c>
      <c r="F3063" s="42">
        <v>39.0</v>
      </c>
      <c r="G3063" s="29" t="str">
        <f t="shared" si="1"/>
        <v>54039</v>
      </c>
      <c r="H3063" s="37" t="s">
        <v>2336</v>
      </c>
      <c r="I3063" s="37" t="s">
        <v>120</v>
      </c>
      <c r="J3063" s="37" t="s">
        <v>2329</v>
      </c>
      <c r="K3063" s="37" t="str">
        <f t="shared" si="49"/>
        <v>Kanawha, WV</v>
      </c>
      <c r="L3063" s="564" t="s">
        <v>2336</v>
      </c>
    </row>
    <row r="3064">
      <c r="A3064" s="28">
        <v>3063.0</v>
      </c>
      <c r="B3064" s="29"/>
      <c r="C3064" s="29"/>
      <c r="D3064" s="40">
        <v>1.0</v>
      </c>
      <c r="E3064" s="31">
        <v>54.0</v>
      </c>
      <c r="F3064" s="42">
        <v>41.0</v>
      </c>
      <c r="G3064" s="29" t="str">
        <f t="shared" si="1"/>
        <v>54041</v>
      </c>
      <c r="H3064" s="37" t="s">
        <v>682</v>
      </c>
      <c r="I3064" s="37" t="s">
        <v>120</v>
      </c>
      <c r="J3064" s="37" t="s">
        <v>2329</v>
      </c>
      <c r="K3064" s="37" t="str">
        <f t="shared" si="49"/>
        <v>Lewis, WV</v>
      </c>
      <c r="L3064" s="564" t="s">
        <v>682</v>
      </c>
    </row>
    <row r="3065">
      <c r="A3065" s="28">
        <v>3064.0</v>
      </c>
      <c r="B3065" s="29"/>
      <c r="C3065" s="29"/>
      <c r="D3065" s="40">
        <v>1.0</v>
      </c>
      <c r="E3065" s="31">
        <v>54.0</v>
      </c>
      <c r="F3065" s="42">
        <v>43.0</v>
      </c>
      <c r="G3065" s="29" t="str">
        <f t="shared" si="1"/>
        <v>54043</v>
      </c>
      <c r="H3065" s="37" t="s">
        <v>290</v>
      </c>
      <c r="I3065" s="37" t="s">
        <v>120</v>
      </c>
      <c r="J3065" s="37" t="s">
        <v>2329</v>
      </c>
      <c r="K3065" s="37" t="str">
        <f t="shared" si="49"/>
        <v>Lincoln, WV</v>
      </c>
      <c r="L3065" s="564" t="s">
        <v>290</v>
      </c>
    </row>
    <row r="3066">
      <c r="A3066" s="28">
        <v>3065.0</v>
      </c>
      <c r="B3066" s="29"/>
      <c r="C3066" s="29"/>
      <c r="D3066" s="40">
        <v>1.0</v>
      </c>
      <c r="E3066" s="31">
        <v>54.0</v>
      </c>
      <c r="F3066" s="42">
        <v>45.0</v>
      </c>
      <c r="G3066" s="29" t="str">
        <f t="shared" si="1"/>
        <v>54045</v>
      </c>
      <c r="H3066" s="37" t="s">
        <v>293</v>
      </c>
      <c r="I3066" s="37" t="s">
        <v>120</v>
      </c>
      <c r="J3066" s="37" t="s">
        <v>2329</v>
      </c>
      <c r="K3066" s="37" t="str">
        <f t="shared" si="49"/>
        <v>Logan, WV</v>
      </c>
      <c r="L3066" s="564" t="s">
        <v>293</v>
      </c>
    </row>
    <row r="3067">
      <c r="A3067" s="28">
        <v>3066.0</v>
      </c>
      <c r="B3067" s="29"/>
      <c r="C3067" s="29"/>
      <c r="D3067" s="40">
        <v>1.0</v>
      </c>
      <c r="E3067" s="31">
        <v>54.0</v>
      </c>
      <c r="F3067" s="42">
        <v>47.0</v>
      </c>
      <c r="G3067" s="29" t="str">
        <f t="shared" si="1"/>
        <v>54047</v>
      </c>
      <c r="H3067" s="37" t="s">
        <v>1614</v>
      </c>
      <c r="I3067" s="37" t="s">
        <v>120</v>
      </c>
      <c r="J3067" s="37" t="s">
        <v>2329</v>
      </c>
      <c r="K3067" s="37" t="str">
        <f t="shared" si="49"/>
        <v>McDowell, WV</v>
      </c>
      <c r="L3067" s="564" t="s">
        <v>1614</v>
      </c>
    </row>
    <row r="3068">
      <c r="A3068" s="28">
        <v>3067.0</v>
      </c>
      <c r="B3068" s="29"/>
      <c r="C3068" s="29"/>
      <c r="D3068" s="40">
        <v>1.0</v>
      </c>
      <c r="E3068" s="31">
        <v>54.0</v>
      </c>
      <c r="F3068" s="42">
        <v>49.0</v>
      </c>
      <c r="G3068" s="29" t="str">
        <f t="shared" si="1"/>
        <v>54049</v>
      </c>
      <c r="H3068" s="37" t="s">
        <v>153</v>
      </c>
      <c r="I3068" s="37" t="s">
        <v>120</v>
      </c>
      <c r="J3068" s="37" t="s">
        <v>2329</v>
      </c>
      <c r="K3068" s="37" t="str">
        <f t="shared" si="49"/>
        <v>Marion, WV</v>
      </c>
      <c r="L3068" s="564" t="s">
        <v>153</v>
      </c>
    </row>
    <row r="3069">
      <c r="A3069" s="28">
        <v>3068.0</v>
      </c>
      <c r="B3069" s="29"/>
      <c r="C3069" s="29"/>
      <c r="D3069" s="40">
        <v>1.0</v>
      </c>
      <c r="E3069" s="31">
        <v>54.0</v>
      </c>
      <c r="F3069" s="42">
        <v>51.0</v>
      </c>
      <c r="G3069" s="29" t="str">
        <f t="shared" si="1"/>
        <v>54051</v>
      </c>
      <c r="H3069" s="37" t="s">
        <v>154</v>
      </c>
      <c r="I3069" s="37" t="s">
        <v>120</v>
      </c>
      <c r="J3069" s="37" t="s">
        <v>2329</v>
      </c>
      <c r="K3069" s="37" t="str">
        <f t="shared" si="49"/>
        <v>Marshall, WV</v>
      </c>
      <c r="L3069" s="564" t="s">
        <v>154</v>
      </c>
    </row>
    <row r="3070">
      <c r="A3070" s="28">
        <v>3069.0</v>
      </c>
      <c r="B3070" s="29"/>
      <c r="C3070" s="29"/>
      <c r="D3070" s="40">
        <v>1.0</v>
      </c>
      <c r="E3070" s="31">
        <v>54.0</v>
      </c>
      <c r="F3070" s="42">
        <v>53.0</v>
      </c>
      <c r="G3070" s="29" t="str">
        <f t="shared" si="1"/>
        <v>54053</v>
      </c>
      <c r="H3070" s="37" t="s">
        <v>735</v>
      </c>
      <c r="I3070" s="37" t="s">
        <v>120</v>
      </c>
      <c r="J3070" s="37" t="s">
        <v>2329</v>
      </c>
      <c r="K3070" s="37" t="str">
        <f t="shared" si="49"/>
        <v>Mason, WV</v>
      </c>
      <c r="L3070" s="564" t="s">
        <v>735</v>
      </c>
    </row>
    <row r="3071">
      <c r="A3071" s="28">
        <v>3070.0</v>
      </c>
      <c r="B3071" s="29"/>
      <c r="C3071" s="29"/>
      <c r="D3071" s="40">
        <v>1.0</v>
      </c>
      <c r="E3071" s="31">
        <v>54.0</v>
      </c>
      <c r="F3071" s="42">
        <v>55.0</v>
      </c>
      <c r="G3071" s="29" t="str">
        <f t="shared" si="1"/>
        <v>54055</v>
      </c>
      <c r="H3071" s="37" t="s">
        <v>738</v>
      </c>
      <c r="I3071" s="37" t="s">
        <v>120</v>
      </c>
      <c r="J3071" s="37" t="s">
        <v>2329</v>
      </c>
      <c r="K3071" s="37" t="str">
        <f t="shared" si="49"/>
        <v>Mercer, WV</v>
      </c>
      <c r="L3071" s="564" t="s">
        <v>738</v>
      </c>
    </row>
    <row r="3072">
      <c r="A3072" s="28">
        <v>3071.0</v>
      </c>
      <c r="B3072" s="29"/>
      <c r="C3072" s="29"/>
      <c r="D3072" s="40">
        <v>1.0</v>
      </c>
      <c r="E3072" s="31">
        <v>54.0</v>
      </c>
      <c r="F3072" s="42">
        <v>57.0</v>
      </c>
      <c r="G3072" s="29" t="str">
        <f t="shared" si="1"/>
        <v>54057</v>
      </c>
      <c r="H3072" s="37" t="s">
        <v>435</v>
      </c>
      <c r="I3072" s="37" t="s">
        <v>120</v>
      </c>
      <c r="J3072" s="37" t="s">
        <v>2329</v>
      </c>
      <c r="K3072" s="37" t="str">
        <f t="shared" si="49"/>
        <v>Mineral, WV</v>
      </c>
      <c r="L3072" s="564" t="s">
        <v>435</v>
      </c>
    </row>
    <row r="3073">
      <c r="A3073" s="28">
        <v>3072.0</v>
      </c>
      <c r="B3073" s="29"/>
      <c r="C3073" s="29"/>
      <c r="D3073" s="40">
        <v>1.0</v>
      </c>
      <c r="E3073" s="31">
        <v>54.0</v>
      </c>
      <c r="F3073" s="42">
        <v>59.0</v>
      </c>
      <c r="G3073" s="29" t="str">
        <f t="shared" si="1"/>
        <v>54059</v>
      </c>
      <c r="H3073" s="37" t="s">
        <v>2337</v>
      </c>
      <c r="I3073" s="37" t="s">
        <v>120</v>
      </c>
      <c r="J3073" s="37" t="s">
        <v>2329</v>
      </c>
      <c r="K3073" s="37" t="str">
        <f t="shared" si="49"/>
        <v>Mingo, WV</v>
      </c>
      <c r="L3073" s="564" t="s">
        <v>2337</v>
      </c>
    </row>
    <row r="3074">
      <c r="A3074" s="28">
        <v>3073.0</v>
      </c>
      <c r="B3074" s="29"/>
      <c r="C3074" s="29"/>
      <c r="D3074" s="40">
        <v>1.0</v>
      </c>
      <c r="E3074" s="31">
        <v>54.0</v>
      </c>
      <c r="F3074" s="42">
        <v>61.0</v>
      </c>
      <c r="G3074" s="29" t="str">
        <f t="shared" si="1"/>
        <v>54061</v>
      </c>
      <c r="H3074" s="37" t="s">
        <v>2338</v>
      </c>
      <c r="I3074" s="37" t="s">
        <v>120</v>
      </c>
      <c r="J3074" s="37" t="s">
        <v>2329</v>
      </c>
      <c r="K3074" s="37" t="str">
        <f t="shared" si="49"/>
        <v>Monongalia, WV</v>
      </c>
      <c r="L3074" s="564" t="s">
        <v>2338</v>
      </c>
    </row>
    <row r="3075">
      <c r="A3075" s="28">
        <v>3074.0</v>
      </c>
      <c r="B3075" s="29"/>
      <c r="C3075" s="29"/>
      <c r="D3075" s="40">
        <v>1.0</v>
      </c>
      <c r="E3075" s="31">
        <v>54.0</v>
      </c>
      <c r="F3075" s="42">
        <v>63.0</v>
      </c>
      <c r="G3075" s="29" t="str">
        <f t="shared" si="1"/>
        <v>54063</v>
      </c>
      <c r="H3075" s="37" t="s">
        <v>156</v>
      </c>
      <c r="I3075" s="37" t="s">
        <v>120</v>
      </c>
      <c r="J3075" s="37" t="s">
        <v>2329</v>
      </c>
      <c r="K3075" s="37" t="str">
        <f t="shared" si="49"/>
        <v>Monroe, WV</v>
      </c>
      <c r="L3075" s="564" t="s">
        <v>156</v>
      </c>
    </row>
    <row r="3076">
      <c r="A3076" s="28">
        <v>3075.0</v>
      </c>
      <c r="B3076" s="29"/>
      <c r="C3076" s="29"/>
      <c r="D3076" s="40">
        <v>1.0</v>
      </c>
      <c r="E3076" s="31">
        <v>54.0</v>
      </c>
      <c r="F3076" s="42">
        <v>65.0</v>
      </c>
      <c r="G3076" s="29" t="str">
        <f t="shared" si="1"/>
        <v>54065</v>
      </c>
      <c r="H3076" s="37" t="s">
        <v>158</v>
      </c>
      <c r="I3076" s="37" t="s">
        <v>120</v>
      </c>
      <c r="J3076" s="37" t="s">
        <v>2329</v>
      </c>
      <c r="K3076" s="37" t="str">
        <f t="shared" si="49"/>
        <v>Morgan, WV</v>
      </c>
      <c r="L3076" s="564" t="s">
        <v>158</v>
      </c>
    </row>
    <row r="3077">
      <c r="A3077" s="28">
        <v>3076.0</v>
      </c>
      <c r="B3077" s="29"/>
      <c r="C3077" s="29"/>
      <c r="D3077" s="40">
        <v>1.0</v>
      </c>
      <c r="E3077" s="31">
        <v>54.0</v>
      </c>
      <c r="F3077" s="42">
        <v>67.0</v>
      </c>
      <c r="G3077" s="29" t="str">
        <f t="shared" si="1"/>
        <v>54067</v>
      </c>
      <c r="H3077" s="37" t="s">
        <v>1126</v>
      </c>
      <c r="I3077" s="37" t="s">
        <v>120</v>
      </c>
      <c r="J3077" s="37" t="s">
        <v>2329</v>
      </c>
      <c r="K3077" s="37" t="str">
        <f t="shared" si="49"/>
        <v>Nicholas, WV</v>
      </c>
      <c r="L3077" s="564" t="s">
        <v>1126</v>
      </c>
    </row>
    <row r="3078">
      <c r="A3078" s="28">
        <v>3077.0</v>
      </c>
      <c r="B3078" s="29"/>
      <c r="C3078" s="29"/>
      <c r="D3078" s="40">
        <v>1.0</v>
      </c>
      <c r="E3078" s="31">
        <v>54.0</v>
      </c>
      <c r="F3078" s="42">
        <v>69.0</v>
      </c>
      <c r="G3078" s="29" t="str">
        <f t="shared" si="1"/>
        <v>54069</v>
      </c>
      <c r="H3078" s="37" t="s">
        <v>100</v>
      </c>
      <c r="I3078" s="37" t="s">
        <v>120</v>
      </c>
      <c r="J3078" s="37" t="s">
        <v>2329</v>
      </c>
      <c r="K3078" s="37" t="str">
        <f t="shared" si="49"/>
        <v>Ohio, WV</v>
      </c>
      <c r="L3078" s="564" t="s">
        <v>100</v>
      </c>
    </row>
    <row r="3079">
      <c r="A3079" s="28">
        <v>3078.0</v>
      </c>
      <c r="B3079" s="29"/>
      <c r="C3079" s="29"/>
      <c r="D3079" s="40">
        <v>1.0</v>
      </c>
      <c r="E3079" s="31">
        <v>54.0</v>
      </c>
      <c r="F3079" s="42">
        <v>71.0</v>
      </c>
      <c r="G3079" s="29" t="str">
        <f t="shared" si="1"/>
        <v>54071</v>
      </c>
      <c r="H3079" s="37" t="s">
        <v>1129</v>
      </c>
      <c r="I3079" s="37" t="s">
        <v>120</v>
      </c>
      <c r="J3079" s="37" t="s">
        <v>2329</v>
      </c>
      <c r="K3079" s="37" t="str">
        <f t="shared" si="49"/>
        <v>Pendleton, WV</v>
      </c>
      <c r="L3079" s="564" t="s">
        <v>1129</v>
      </c>
    </row>
    <row r="3080">
      <c r="A3080" s="28">
        <v>3079.0</v>
      </c>
      <c r="B3080" s="29"/>
      <c r="C3080" s="29"/>
      <c r="D3080" s="40">
        <v>1.0</v>
      </c>
      <c r="E3080" s="31">
        <v>54.0</v>
      </c>
      <c r="F3080" s="42">
        <v>73.0</v>
      </c>
      <c r="G3080" s="29" t="str">
        <f t="shared" si="1"/>
        <v>54073</v>
      </c>
      <c r="H3080" s="37" t="s">
        <v>2339</v>
      </c>
      <c r="I3080" s="37" t="s">
        <v>120</v>
      </c>
      <c r="J3080" s="37" t="s">
        <v>2329</v>
      </c>
      <c r="K3080" s="37" t="str">
        <f t="shared" si="49"/>
        <v>Pleasants, WV</v>
      </c>
      <c r="L3080" s="564" t="s">
        <v>2339</v>
      </c>
    </row>
    <row r="3081">
      <c r="A3081" s="28">
        <v>3080.0</v>
      </c>
      <c r="B3081" s="29"/>
      <c r="C3081" s="29"/>
      <c r="D3081" s="40">
        <v>1.0</v>
      </c>
      <c r="E3081" s="31">
        <v>54.0</v>
      </c>
      <c r="F3081" s="42">
        <v>75.0</v>
      </c>
      <c r="G3081" s="29" t="str">
        <f t="shared" si="1"/>
        <v>54075</v>
      </c>
      <c r="H3081" s="37" t="s">
        <v>930</v>
      </c>
      <c r="I3081" s="37" t="s">
        <v>120</v>
      </c>
      <c r="J3081" s="37" t="s">
        <v>2329</v>
      </c>
      <c r="K3081" s="136" t="str">
        <f t="shared" si="49"/>
        <v>Pocahontas, WV</v>
      </c>
      <c r="L3081" s="564" t="s">
        <v>930</v>
      </c>
    </row>
    <row r="3082">
      <c r="A3082" s="28">
        <v>3081.0</v>
      </c>
      <c r="B3082" s="29"/>
      <c r="C3082" s="29"/>
      <c r="D3082" s="40">
        <v>1.0</v>
      </c>
      <c r="E3082" s="31">
        <v>54.0</v>
      </c>
      <c r="F3082" s="42">
        <v>77.0</v>
      </c>
      <c r="G3082" s="29" t="str">
        <f t="shared" si="1"/>
        <v>54077</v>
      </c>
      <c r="H3082" s="37" t="s">
        <v>2340</v>
      </c>
      <c r="I3082" s="37" t="s">
        <v>120</v>
      </c>
      <c r="J3082" s="37" t="s">
        <v>2329</v>
      </c>
      <c r="K3082" s="37" t="str">
        <f t="shared" si="49"/>
        <v>Preston, WV</v>
      </c>
      <c r="L3082" s="564" t="s">
        <v>2340</v>
      </c>
    </row>
    <row r="3083">
      <c r="A3083" s="28">
        <v>3082.0</v>
      </c>
      <c r="B3083" s="29"/>
      <c r="C3083" s="29"/>
      <c r="D3083" s="40">
        <v>1.0</v>
      </c>
      <c r="E3083" s="31">
        <v>54.0</v>
      </c>
      <c r="F3083" s="42">
        <v>79.0</v>
      </c>
      <c r="G3083" s="29" t="str">
        <f t="shared" si="1"/>
        <v>54079</v>
      </c>
      <c r="H3083" s="37" t="s">
        <v>518</v>
      </c>
      <c r="I3083" s="37" t="s">
        <v>120</v>
      </c>
      <c r="J3083" s="37" t="s">
        <v>2329</v>
      </c>
      <c r="K3083" s="37" t="str">
        <f t="shared" si="49"/>
        <v>Putnam, WV</v>
      </c>
      <c r="L3083" s="564" t="s">
        <v>518</v>
      </c>
    </row>
    <row r="3084">
      <c r="A3084" s="28">
        <v>3083.0</v>
      </c>
      <c r="B3084" s="29"/>
      <c r="C3084" s="29"/>
      <c r="D3084" s="40">
        <v>1.0</v>
      </c>
      <c r="E3084" s="31">
        <v>54.0</v>
      </c>
      <c r="F3084" s="42">
        <v>81.0</v>
      </c>
      <c r="G3084" s="29" t="str">
        <f t="shared" si="1"/>
        <v>54081</v>
      </c>
      <c r="H3084" s="37" t="s">
        <v>2341</v>
      </c>
      <c r="I3084" s="37" t="s">
        <v>120</v>
      </c>
      <c r="J3084" s="37" t="s">
        <v>2329</v>
      </c>
      <c r="K3084" s="37" t="str">
        <f t="shared" si="49"/>
        <v>Raleigh, WV</v>
      </c>
      <c r="L3084" s="564" t="s">
        <v>2341</v>
      </c>
    </row>
    <row r="3085">
      <c r="A3085" s="28">
        <v>3084.0</v>
      </c>
      <c r="B3085" s="29"/>
      <c r="C3085" s="29"/>
      <c r="D3085" s="40">
        <v>1.0</v>
      </c>
      <c r="E3085" s="31">
        <v>54.0</v>
      </c>
      <c r="F3085" s="42">
        <v>83.0</v>
      </c>
      <c r="G3085" s="29" t="str">
        <f t="shared" si="1"/>
        <v>54083</v>
      </c>
      <c r="H3085" s="37" t="s">
        <v>163</v>
      </c>
      <c r="I3085" s="37" t="s">
        <v>120</v>
      </c>
      <c r="J3085" s="37" t="s">
        <v>2329</v>
      </c>
      <c r="K3085" s="37" t="str">
        <f t="shared" si="49"/>
        <v>Randolph, WV</v>
      </c>
      <c r="L3085" s="564" t="s">
        <v>163</v>
      </c>
    </row>
    <row r="3086">
      <c r="A3086" s="28">
        <v>3085.0</v>
      </c>
      <c r="B3086" s="29"/>
      <c r="C3086" s="29"/>
      <c r="D3086" s="40">
        <v>1.0</v>
      </c>
      <c r="E3086" s="31">
        <v>54.0</v>
      </c>
      <c r="F3086" s="42">
        <v>85.0</v>
      </c>
      <c r="G3086" s="29" t="str">
        <f t="shared" si="1"/>
        <v>54085</v>
      </c>
      <c r="H3086" s="37" t="s">
        <v>2342</v>
      </c>
      <c r="I3086" s="37" t="s">
        <v>120</v>
      </c>
      <c r="J3086" s="37" t="s">
        <v>2329</v>
      </c>
      <c r="K3086" s="37" t="str">
        <f t="shared" si="49"/>
        <v>Ritchie, WV</v>
      </c>
      <c r="L3086" s="564" t="s">
        <v>2342</v>
      </c>
    </row>
    <row r="3087">
      <c r="A3087" s="28">
        <v>3086.0</v>
      </c>
      <c r="B3087" s="29"/>
      <c r="C3087" s="29"/>
      <c r="D3087" s="40">
        <v>1.0</v>
      </c>
      <c r="E3087" s="31">
        <v>54.0</v>
      </c>
      <c r="F3087" s="42">
        <v>87.0</v>
      </c>
      <c r="G3087" s="29" t="str">
        <f t="shared" si="1"/>
        <v>54087</v>
      </c>
      <c r="H3087" s="37" t="s">
        <v>1976</v>
      </c>
      <c r="I3087" s="37" t="s">
        <v>120</v>
      </c>
      <c r="J3087" s="37" t="s">
        <v>2329</v>
      </c>
      <c r="K3087" s="37" t="str">
        <f t="shared" si="49"/>
        <v>Roane, WV</v>
      </c>
      <c r="L3087" s="564" t="s">
        <v>1976</v>
      </c>
    </row>
    <row r="3088">
      <c r="A3088" s="28">
        <v>3087.0</v>
      </c>
      <c r="B3088" s="29"/>
      <c r="C3088" s="29"/>
      <c r="D3088" s="40">
        <v>1.0</v>
      </c>
      <c r="E3088" s="31">
        <v>54.0</v>
      </c>
      <c r="F3088" s="42">
        <v>89.0</v>
      </c>
      <c r="G3088" s="29" t="str">
        <f t="shared" si="1"/>
        <v>54089</v>
      </c>
      <c r="H3088" s="37" t="s">
        <v>2343</v>
      </c>
      <c r="I3088" s="37" t="s">
        <v>120</v>
      </c>
      <c r="J3088" s="37" t="s">
        <v>2329</v>
      </c>
      <c r="K3088" s="37" t="str">
        <f t="shared" si="49"/>
        <v>Summers, WV</v>
      </c>
      <c r="L3088" s="564" t="s">
        <v>2343</v>
      </c>
    </row>
    <row r="3089">
      <c r="A3089" s="28">
        <v>3088.0</v>
      </c>
      <c r="B3089" s="29"/>
      <c r="C3089" s="29"/>
      <c r="D3089" s="40">
        <v>1.0</v>
      </c>
      <c r="E3089" s="31">
        <v>54.0</v>
      </c>
      <c r="F3089" s="42">
        <v>91.0</v>
      </c>
      <c r="G3089" s="29" t="str">
        <f t="shared" si="1"/>
        <v>54091</v>
      </c>
      <c r="H3089" s="37" t="s">
        <v>526</v>
      </c>
      <c r="I3089" s="37" t="s">
        <v>120</v>
      </c>
      <c r="J3089" s="37" t="s">
        <v>2329</v>
      </c>
      <c r="K3089" s="37" t="str">
        <f t="shared" si="49"/>
        <v>Taylor, WV</v>
      </c>
      <c r="L3089" s="564" t="s">
        <v>526</v>
      </c>
    </row>
    <row r="3090">
      <c r="A3090" s="28">
        <v>3089.0</v>
      </c>
      <c r="B3090" s="29"/>
      <c r="C3090" s="29"/>
      <c r="D3090" s="40">
        <v>1.0</v>
      </c>
      <c r="E3090" s="31">
        <v>54.0</v>
      </c>
      <c r="F3090" s="42">
        <v>93.0</v>
      </c>
      <c r="G3090" s="29" t="str">
        <f t="shared" si="1"/>
        <v>54093</v>
      </c>
      <c r="H3090" s="37" t="s">
        <v>2344</v>
      </c>
      <c r="I3090" s="37" t="s">
        <v>120</v>
      </c>
      <c r="J3090" s="37" t="s">
        <v>2329</v>
      </c>
      <c r="K3090" s="37" t="str">
        <f t="shared" si="49"/>
        <v>Tucker, WV</v>
      </c>
      <c r="L3090" s="564" t="s">
        <v>2344</v>
      </c>
    </row>
    <row r="3091">
      <c r="A3091" s="28">
        <v>3090.0</v>
      </c>
      <c r="B3091" s="29"/>
      <c r="C3091" s="29"/>
      <c r="D3091" s="40">
        <v>1.0</v>
      </c>
      <c r="E3091" s="31">
        <v>54.0</v>
      </c>
      <c r="F3091" s="42">
        <v>95.0</v>
      </c>
      <c r="G3091" s="29" t="str">
        <f t="shared" si="1"/>
        <v>54095</v>
      </c>
      <c r="H3091" s="37" t="s">
        <v>2161</v>
      </c>
      <c r="I3091" s="37" t="s">
        <v>120</v>
      </c>
      <c r="J3091" s="37" t="s">
        <v>2329</v>
      </c>
      <c r="K3091" s="37" t="str">
        <f t="shared" si="49"/>
        <v>Tyler, WV</v>
      </c>
      <c r="L3091" s="564" t="s">
        <v>2161</v>
      </c>
    </row>
    <row r="3092">
      <c r="A3092" s="28">
        <v>3091.0</v>
      </c>
      <c r="B3092" s="29"/>
      <c r="C3092" s="29"/>
      <c r="D3092" s="40">
        <v>1.0</v>
      </c>
      <c r="E3092" s="31">
        <v>54.0</v>
      </c>
      <c r="F3092" s="42">
        <v>97.0</v>
      </c>
      <c r="G3092" s="29" t="str">
        <f t="shared" si="1"/>
        <v>54097</v>
      </c>
      <c r="H3092" s="37" t="s">
        <v>2162</v>
      </c>
      <c r="I3092" s="37" t="s">
        <v>120</v>
      </c>
      <c r="J3092" s="37" t="s">
        <v>2329</v>
      </c>
      <c r="K3092" s="37" t="str">
        <f t="shared" si="49"/>
        <v>Upshur, WV</v>
      </c>
      <c r="L3092" s="564" t="s">
        <v>2162</v>
      </c>
    </row>
    <row r="3093">
      <c r="A3093" s="28">
        <v>3092.0</v>
      </c>
      <c r="B3093" s="29"/>
      <c r="C3093" s="29"/>
      <c r="D3093" s="40">
        <v>1.0</v>
      </c>
      <c r="E3093" s="31">
        <v>54.0</v>
      </c>
      <c r="F3093" s="42">
        <v>99.0</v>
      </c>
      <c r="G3093" s="29" t="str">
        <f t="shared" si="1"/>
        <v>54099</v>
      </c>
      <c r="H3093" s="37" t="s">
        <v>273</v>
      </c>
      <c r="I3093" s="37" t="s">
        <v>120</v>
      </c>
      <c r="J3093" s="37" t="s">
        <v>2329</v>
      </c>
      <c r="K3093" s="37" t="str">
        <f t="shared" si="49"/>
        <v>Wayne, WV</v>
      </c>
      <c r="L3093" s="564" t="s">
        <v>273</v>
      </c>
    </row>
    <row r="3094">
      <c r="A3094" s="28">
        <v>3093.0</v>
      </c>
      <c r="B3094" s="29"/>
      <c r="C3094" s="29"/>
      <c r="D3094" s="40">
        <v>1.0</v>
      </c>
      <c r="E3094" s="31">
        <v>54.0</v>
      </c>
      <c r="F3094" s="42">
        <v>101.0</v>
      </c>
      <c r="G3094" s="29" t="str">
        <f t="shared" si="1"/>
        <v>54101</v>
      </c>
      <c r="H3094" s="37" t="s">
        <v>648</v>
      </c>
      <c r="I3094" s="37" t="s">
        <v>120</v>
      </c>
      <c r="J3094" s="37" t="s">
        <v>2329</v>
      </c>
      <c r="K3094" s="37" t="str">
        <f t="shared" si="49"/>
        <v>Webster, WV</v>
      </c>
      <c r="L3094" s="564" t="s">
        <v>648</v>
      </c>
    </row>
    <row r="3095">
      <c r="A3095" s="28">
        <v>3094.0</v>
      </c>
      <c r="B3095" s="29"/>
      <c r="C3095" s="29"/>
      <c r="D3095" s="40">
        <v>1.0</v>
      </c>
      <c r="E3095" s="31">
        <v>54.0</v>
      </c>
      <c r="F3095" s="42">
        <v>103.0</v>
      </c>
      <c r="G3095" s="29" t="str">
        <f t="shared" si="1"/>
        <v>54103</v>
      </c>
      <c r="H3095" s="37" t="s">
        <v>2345</v>
      </c>
      <c r="I3095" s="37" t="s">
        <v>120</v>
      </c>
      <c r="J3095" s="37" t="s">
        <v>2329</v>
      </c>
      <c r="K3095" s="37" t="str">
        <f t="shared" si="49"/>
        <v>Wetzel, WV</v>
      </c>
      <c r="L3095" s="564" t="s">
        <v>2345</v>
      </c>
    </row>
    <row r="3096">
      <c r="A3096" s="28">
        <v>3095.0</v>
      </c>
      <c r="B3096" s="29"/>
      <c r="C3096" s="29"/>
      <c r="D3096" s="40">
        <v>1.0</v>
      </c>
      <c r="E3096" s="31">
        <v>54.0</v>
      </c>
      <c r="F3096" s="42">
        <v>105.0</v>
      </c>
      <c r="G3096" s="29" t="str">
        <f t="shared" si="1"/>
        <v>54105</v>
      </c>
      <c r="H3096" s="37" t="s">
        <v>2346</v>
      </c>
      <c r="I3096" s="37" t="s">
        <v>120</v>
      </c>
      <c r="J3096" s="37" t="s">
        <v>2329</v>
      </c>
      <c r="K3096" s="37" t="str">
        <f t="shared" si="49"/>
        <v>Wirt, WV</v>
      </c>
      <c r="L3096" s="564" t="s">
        <v>2346</v>
      </c>
    </row>
    <row r="3097">
      <c r="A3097" s="28">
        <v>3096.0</v>
      </c>
      <c r="B3097" s="29"/>
      <c r="C3097" s="29"/>
      <c r="D3097" s="40">
        <v>1.0</v>
      </c>
      <c r="E3097" s="31">
        <v>54.0</v>
      </c>
      <c r="F3097" s="42">
        <v>107.0</v>
      </c>
      <c r="G3097" s="29" t="str">
        <f t="shared" si="1"/>
        <v>54107</v>
      </c>
      <c r="H3097" s="37" t="s">
        <v>1703</v>
      </c>
      <c r="I3097" s="37" t="s">
        <v>120</v>
      </c>
      <c r="J3097" s="37" t="s">
        <v>2329</v>
      </c>
      <c r="K3097" s="37" t="str">
        <f t="shared" si="49"/>
        <v>Wood, WV</v>
      </c>
      <c r="L3097" s="24"/>
    </row>
    <row r="3098">
      <c r="A3098" s="28">
        <v>3097.0</v>
      </c>
      <c r="B3098" s="29"/>
      <c r="C3098" s="29"/>
      <c r="D3098" s="40">
        <v>1.0</v>
      </c>
      <c r="E3098" s="31">
        <v>54.0</v>
      </c>
      <c r="F3098" s="42">
        <v>109.0</v>
      </c>
      <c r="G3098" s="29" t="str">
        <f t="shared" si="1"/>
        <v>54109</v>
      </c>
      <c r="H3098" s="37" t="s">
        <v>123</v>
      </c>
      <c r="I3098" s="37" t="s">
        <v>120</v>
      </c>
      <c r="J3098" s="37" t="s">
        <v>2329</v>
      </c>
      <c r="K3098" s="37" t="str">
        <f t="shared" si="49"/>
        <v>Wyoming, WV</v>
      </c>
      <c r="L3098" s="24"/>
    </row>
    <row r="3099">
      <c r="A3099" s="99">
        <v>3098.0</v>
      </c>
      <c r="B3099" s="15"/>
      <c r="C3099" s="14" t="s">
        <v>25</v>
      </c>
      <c r="D3099" s="16"/>
      <c r="E3099" s="102">
        <v>55.0</v>
      </c>
      <c r="F3099" s="107">
        <v>0.0</v>
      </c>
      <c r="G3099" s="15" t="str">
        <f t="shared" si="1"/>
        <v>55000</v>
      </c>
      <c r="H3099" s="23"/>
      <c r="I3099" s="23" t="s">
        <v>122</v>
      </c>
      <c r="J3099" s="23" t="s">
        <v>438</v>
      </c>
      <c r="K3099" s="23"/>
      <c r="L3099" s="24"/>
    </row>
    <row r="3100">
      <c r="A3100" s="99">
        <v>3099.0</v>
      </c>
      <c r="B3100" s="15"/>
      <c r="C3100" s="15"/>
      <c r="D3100" s="105">
        <v>1.0</v>
      </c>
      <c r="E3100" s="102">
        <v>55.0</v>
      </c>
      <c r="F3100" s="107">
        <v>1.0</v>
      </c>
      <c r="G3100" s="15" t="str">
        <f t="shared" si="1"/>
        <v>55001</v>
      </c>
      <c r="H3100" s="23" t="s">
        <v>386</v>
      </c>
      <c r="I3100" s="23" t="s">
        <v>122</v>
      </c>
      <c r="J3100" s="23" t="s">
        <v>438</v>
      </c>
      <c r="K3100" s="23" t="str">
        <f t="shared" ref="K3100:K3171" si="50">CONCATENATE(H3100,", ",J3100)</f>
        <v>Adams, WI</v>
      </c>
      <c r="L3100" s="24"/>
    </row>
    <row r="3101">
      <c r="A3101" s="99">
        <v>3100.0</v>
      </c>
      <c r="B3101" s="15"/>
      <c r="C3101" s="15"/>
      <c r="D3101" s="105">
        <v>1.0</v>
      </c>
      <c r="E3101" s="102">
        <v>55.0</v>
      </c>
      <c r="F3101" s="107">
        <v>3.0</v>
      </c>
      <c r="G3101" s="15" t="str">
        <f t="shared" si="1"/>
        <v>55003</v>
      </c>
      <c r="H3101" s="23" t="s">
        <v>1671</v>
      </c>
      <c r="I3101" s="23" t="s">
        <v>122</v>
      </c>
      <c r="J3101" s="23" t="s">
        <v>438</v>
      </c>
      <c r="K3101" s="23" t="str">
        <f t="shared" si="50"/>
        <v>Ashland, WI</v>
      </c>
      <c r="L3101" s="24"/>
    </row>
    <row r="3102">
      <c r="A3102" s="99">
        <v>3101.0</v>
      </c>
      <c r="B3102" s="15"/>
      <c r="C3102" s="15"/>
      <c r="D3102" s="105">
        <v>1.0</v>
      </c>
      <c r="E3102" s="102">
        <v>55.0</v>
      </c>
      <c r="F3102" s="107">
        <v>5.0</v>
      </c>
      <c r="G3102" s="15" t="str">
        <f t="shared" si="1"/>
        <v>55005</v>
      </c>
      <c r="H3102" s="23" t="s">
        <v>2347</v>
      </c>
      <c r="I3102" s="23" t="s">
        <v>122</v>
      </c>
      <c r="J3102" s="23" t="s">
        <v>438</v>
      </c>
      <c r="K3102" s="23" t="str">
        <f t="shared" si="50"/>
        <v>Barron, WI</v>
      </c>
      <c r="L3102" s="24"/>
    </row>
    <row r="3103">
      <c r="A3103" s="99">
        <v>3102.0</v>
      </c>
      <c r="B3103" s="15"/>
      <c r="C3103" s="15"/>
      <c r="D3103" s="105">
        <v>1.0</v>
      </c>
      <c r="E3103" s="102">
        <v>55.0</v>
      </c>
      <c r="F3103" s="107">
        <v>7.0</v>
      </c>
      <c r="G3103" s="15" t="str">
        <f t="shared" si="1"/>
        <v>55007</v>
      </c>
      <c r="H3103" s="23" t="s">
        <v>2348</v>
      </c>
      <c r="I3103" s="23" t="s">
        <v>122</v>
      </c>
      <c r="J3103" s="23" t="s">
        <v>438</v>
      </c>
      <c r="K3103" s="23" t="str">
        <f t="shared" si="50"/>
        <v>Bayfield, WI</v>
      </c>
      <c r="L3103" s="24"/>
    </row>
    <row r="3104">
      <c r="A3104" s="99">
        <v>3103.0</v>
      </c>
      <c r="B3104" s="15"/>
      <c r="C3104" s="15"/>
      <c r="D3104" s="105">
        <v>1.0</v>
      </c>
      <c r="E3104" s="102">
        <v>55.0</v>
      </c>
      <c r="F3104" s="107">
        <v>9.0</v>
      </c>
      <c r="G3104" s="15" t="str">
        <f t="shared" si="1"/>
        <v>55009</v>
      </c>
      <c r="H3104" s="23" t="s">
        <v>706</v>
      </c>
      <c r="I3104" s="23" t="s">
        <v>122</v>
      </c>
      <c r="J3104" s="23" t="s">
        <v>438</v>
      </c>
      <c r="K3104" s="23" t="str">
        <f t="shared" si="50"/>
        <v>Brown, WI</v>
      </c>
      <c r="L3104" s="24"/>
    </row>
    <row r="3105">
      <c r="A3105" s="99">
        <v>3104.0</v>
      </c>
      <c r="B3105" s="15"/>
      <c r="C3105" s="15"/>
      <c r="D3105" s="105">
        <v>1.0</v>
      </c>
      <c r="E3105" s="102">
        <v>55.0</v>
      </c>
      <c r="F3105" s="107">
        <v>11.0</v>
      </c>
      <c r="G3105" s="15" t="str">
        <f t="shared" si="1"/>
        <v>55011</v>
      </c>
      <c r="H3105" s="23" t="s">
        <v>1471</v>
      </c>
      <c r="I3105" s="23" t="s">
        <v>122</v>
      </c>
      <c r="J3105" s="23" t="s">
        <v>438</v>
      </c>
      <c r="K3105" s="23" t="str">
        <f t="shared" si="50"/>
        <v>Buffalo, WI</v>
      </c>
      <c r="L3105" s="24"/>
    </row>
    <row r="3106">
      <c r="A3106" s="99">
        <v>3105.0</v>
      </c>
      <c r="B3106" s="15"/>
      <c r="C3106" s="15"/>
      <c r="D3106" s="105">
        <v>1.0</v>
      </c>
      <c r="E3106" s="102">
        <v>55.0</v>
      </c>
      <c r="F3106" s="107">
        <v>13.0</v>
      </c>
      <c r="G3106" s="15" t="str">
        <f t="shared" si="1"/>
        <v>55013</v>
      </c>
      <c r="H3106" s="23" t="s">
        <v>2349</v>
      </c>
      <c r="I3106" s="23" t="s">
        <v>122</v>
      </c>
      <c r="J3106" s="23" t="s">
        <v>438</v>
      </c>
      <c r="K3106" s="23" t="str">
        <f t="shared" si="50"/>
        <v>Burnett, WI</v>
      </c>
      <c r="L3106" s="24"/>
    </row>
    <row r="3107">
      <c r="A3107" s="99">
        <v>3106.0</v>
      </c>
      <c r="B3107" s="15"/>
      <c r="C3107" s="15"/>
      <c r="D3107" s="105">
        <v>1.0</v>
      </c>
      <c r="E3107" s="102">
        <v>55.0</v>
      </c>
      <c r="F3107" s="107">
        <v>15.0</v>
      </c>
      <c r="G3107" s="15" t="str">
        <f t="shared" si="1"/>
        <v>55015</v>
      </c>
      <c r="H3107" s="23" t="s">
        <v>2350</v>
      </c>
      <c r="I3107" s="23" t="s">
        <v>122</v>
      </c>
      <c r="J3107" s="23" t="s">
        <v>438</v>
      </c>
      <c r="K3107" s="23" t="str">
        <f t="shared" si="50"/>
        <v>Calumet, WI</v>
      </c>
      <c r="L3107" s="24"/>
    </row>
    <row r="3108">
      <c r="A3108" s="99">
        <v>3107.0</v>
      </c>
      <c r="B3108" s="15"/>
      <c r="C3108" s="15"/>
      <c r="D3108" s="105">
        <v>1.0</v>
      </c>
      <c r="E3108" s="102">
        <v>55.0</v>
      </c>
      <c r="F3108" s="107">
        <v>17.0</v>
      </c>
      <c r="G3108" s="15" t="str">
        <f t="shared" si="1"/>
        <v>55017</v>
      </c>
      <c r="H3108" s="23" t="s">
        <v>1245</v>
      </c>
      <c r="I3108" s="23" t="s">
        <v>122</v>
      </c>
      <c r="J3108" s="23" t="s">
        <v>438</v>
      </c>
      <c r="K3108" s="23" t="str">
        <f t="shared" si="50"/>
        <v>Chippewa, WI</v>
      </c>
      <c r="L3108" s="24"/>
    </row>
    <row r="3109">
      <c r="A3109" s="99">
        <v>3108.0</v>
      </c>
      <c r="B3109" s="15"/>
      <c r="C3109" s="15"/>
      <c r="D3109" s="105">
        <v>1.0</v>
      </c>
      <c r="E3109" s="102">
        <v>55.0</v>
      </c>
      <c r="F3109" s="107">
        <v>19.0</v>
      </c>
      <c r="G3109" s="15" t="str">
        <f t="shared" si="1"/>
        <v>55019</v>
      </c>
      <c r="H3109" s="23" t="s">
        <v>253</v>
      </c>
      <c r="I3109" s="23" t="s">
        <v>122</v>
      </c>
      <c r="J3109" s="23" t="s">
        <v>438</v>
      </c>
      <c r="K3109" s="23" t="str">
        <f t="shared" si="50"/>
        <v>Clark, WI</v>
      </c>
      <c r="L3109" s="24"/>
    </row>
    <row r="3110">
      <c r="A3110" s="99">
        <v>3109.0</v>
      </c>
      <c r="B3110" s="15"/>
      <c r="C3110" s="15"/>
      <c r="D3110" s="105">
        <v>1.0</v>
      </c>
      <c r="E3110" s="102">
        <v>55.0</v>
      </c>
      <c r="F3110" s="107">
        <v>21.0</v>
      </c>
      <c r="G3110" s="15" t="str">
        <f t="shared" si="1"/>
        <v>55021</v>
      </c>
      <c r="H3110" s="23" t="s">
        <v>258</v>
      </c>
      <c r="I3110" s="23" t="s">
        <v>122</v>
      </c>
      <c r="J3110" s="23" t="s">
        <v>438</v>
      </c>
      <c r="K3110" s="23" t="str">
        <f t="shared" si="50"/>
        <v>Columbia, WI</v>
      </c>
      <c r="L3110" s="24"/>
    </row>
    <row r="3111">
      <c r="A3111" s="99">
        <v>3110.0</v>
      </c>
      <c r="B3111" s="15"/>
      <c r="C3111" s="15"/>
      <c r="D3111" s="105">
        <v>1.0</v>
      </c>
      <c r="E3111" s="102">
        <v>55.0</v>
      </c>
      <c r="F3111" s="107">
        <v>23.0</v>
      </c>
      <c r="G3111" s="15" t="str">
        <f t="shared" si="1"/>
        <v>55023</v>
      </c>
      <c r="H3111" s="23" t="s">
        <v>263</v>
      </c>
      <c r="I3111" s="23" t="s">
        <v>122</v>
      </c>
      <c r="J3111" s="23" t="s">
        <v>438</v>
      </c>
      <c r="K3111" s="23" t="str">
        <f t="shared" si="50"/>
        <v>Crawford, WI</v>
      </c>
      <c r="L3111" s="24"/>
    </row>
    <row r="3112">
      <c r="A3112" s="99">
        <v>3111.0</v>
      </c>
      <c r="B3112" s="15"/>
      <c r="C3112" s="15"/>
      <c r="D3112" s="105">
        <v>1.0</v>
      </c>
      <c r="E3112" s="102">
        <v>55.0</v>
      </c>
      <c r="F3112" s="107">
        <v>25.0</v>
      </c>
      <c r="G3112" s="15" t="str">
        <f t="shared" si="1"/>
        <v>55025</v>
      </c>
      <c r="H3112" s="23" t="s">
        <v>652</v>
      </c>
      <c r="I3112" s="23" t="s">
        <v>122</v>
      </c>
      <c r="J3112" s="23" t="s">
        <v>438</v>
      </c>
      <c r="K3112" s="23" t="str">
        <f t="shared" si="50"/>
        <v>Dane, WI</v>
      </c>
      <c r="L3112" s="24"/>
    </row>
    <row r="3113">
      <c r="A3113" s="99">
        <v>3112.0</v>
      </c>
      <c r="B3113" s="15"/>
      <c r="C3113" s="15"/>
      <c r="D3113" s="105">
        <v>1.0</v>
      </c>
      <c r="E3113" s="102">
        <v>55.0</v>
      </c>
      <c r="F3113" s="107">
        <v>27.0</v>
      </c>
      <c r="G3113" s="15" t="str">
        <f t="shared" si="1"/>
        <v>55027</v>
      </c>
      <c r="H3113" s="23" t="s">
        <v>564</v>
      </c>
      <c r="I3113" s="23" t="s">
        <v>122</v>
      </c>
      <c r="J3113" s="23" t="s">
        <v>438</v>
      </c>
      <c r="K3113" s="23" t="str">
        <f t="shared" si="50"/>
        <v>Dodge, WI</v>
      </c>
      <c r="L3113" s="24"/>
    </row>
    <row r="3114">
      <c r="A3114" s="99">
        <v>3113.0</v>
      </c>
      <c r="B3114" s="15"/>
      <c r="C3114" s="15"/>
      <c r="D3114" s="105">
        <v>1.0</v>
      </c>
      <c r="E3114" s="102">
        <v>55.0</v>
      </c>
      <c r="F3114" s="107">
        <v>29.0</v>
      </c>
      <c r="G3114" s="15" t="str">
        <f t="shared" si="1"/>
        <v>55029</v>
      </c>
      <c r="H3114" s="23" t="s">
        <v>2351</v>
      </c>
      <c r="I3114" s="23" t="s">
        <v>122</v>
      </c>
      <c r="J3114" s="23" t="s">
        <v>438</v>
      </c>
      <c r="K3114" s="23" t="str">
        <f t="shared" si="50"/>
        <v>Door, WI</v>
      </c>
      <c r="L3114" s="24"/>
    </row>
    <row r="3115">
      <c r="A3115" s="99">
        <v>3114.0</v>
      </c>
      <c r="B3115" s="15"/>
      <c r="C3115" s="15"/>
      <c r="D3115" s="105">
        <v>1.0</v>
      </c>
      <c r="E3115" s="102">
        <v>55.0</v>
      </c>
      <c r="F3115" s="107">
        <v>31.0</v>
      </c>
      <c r="G3115" s="15" t="str">
        <f t="shared" si="1"/>
        <v>55031</v>
      </c>
      <c r="H3115" s="23" t="s">
        <v>412</v>
      </c>
      <c r="I3115" s="23" t="s">
        <v>122</v>
      </c>
      <c r="J3115" s="23" t="s">
        <v>438</v>
      </c>
      <c r="K3115" s="23" t="str">
        <f t="shared" si="50"/>
        <v>Douglas, WI</v>
      </c>
      <c r="L3115" s="24"/>
    </row>
    <row r="3116">
      <c r="A3116" s="99">
        <v>3115.0</v>
      </c>
      <c r="B3116" s="15"/>
      <c r="C3116" s="15"/>
      <c r="D3116" s="105">
        <v>1.0</v>
      </c>
      <c r="E3116" s="102">
        <v>55.0</v>
      </c>
      <c r="F3116" s="107">
        <v>33.0</v>
      </c>
      <c r="G3116" s="15" t="str">
        <f t="shared" si="1"/>
        <v>55033</v>
      </c>
      <c r="H3116" s="23" t="s">
        <v>1649</v>
      </c>
      <c r="I3116" s="23" t="s">
        <v>122</v>
      </c>
      <c r="J3116" s="23" t="s">
        <v>438</v>
      </c>
      <c r="K3116" s="23" t="str">
        <f t="shared" si="50"/>
        <v>Dunn, WI</v>
      </c>
      <c r="L3116" s="24"/>
    </row>
    <row r="3117">
      <c r="A3117" s="99">
        <v>3116.0</v>
      </c>
      <c r="B3117" s="15"/>
      <c r="C3117" s="15"/>
      <c r="D3117" s="105">
        <v>1.0</v>
      </c>
      <c r="E3117" s="102">
        <v>55.0</v>
      </c>
      <c r="F3117" s="107">
        <v>35.0</v>
      </c>
      <c r="G3117" s="15" t="str">
        <f t="shared" si="1"/>
        <v>55035</v>
      </c>
      <c r="H3117" s="23" t="s">
        <v>2352</v>
      </c>
      <c r="I3117" s="23" t="s">
        <v>122</v>
      </c>
      <c r="J3117" s="23" t="s">
        <v>438</v>
      </c>
      <c r="K3117" s="23" t="str">
        <f t="shared" si="50"/>
        <v>Eau Claire, WI</v>
      </c>
      <c r="L3117" s="24"/>
    </row>
    <row r="3118">
      <c r="A3118" s="99">
        <v>3117.0</v>
      </c>
      <c r="B3118" s="15"/>
      <c r="C3118" s="15"/>
      <c r="D3118" s="105">
        <v>1.0</v>
      </c>
      <c r="E3118" s="102">
        <v>55.0</v>
      </c>
      <c r="F3118" s="107">
        <v>37.0</v>
      </c>
      <c r="G3118" s="15" t="str">
        <f t="shared" si="1"/>
        <v>55037</v>
      </c>
      <c r="H3118" s="23" t="s">
        <v>1826</v>
      </c>
      <c r="I3118" s="23" t="s">
        <v>122</v>
      </c>
      <c r="J3118" s="23" t="s">
        <v>438</v>
      </c>
      <c r="K3118" s="23" t="str">
        <f t="shared" si="50"/>
        <v>Florence, WI</v>
      </c>
      <c r="L3118" s="24"/>
    </row>
    <row r="3119">
      <c r="A3119" s="99">
        <v>3118.0</v>
      </c>
      <c r="B3119" s="15"/>
      <c r="C3119" s="15"/>
      <c r="D3119" s="105">
        <v>1.0</v>
      </c>
      <c r="E3119" s="102">
        <v>55.0</v>
      </c>
      <c r="F3119" s="107">
        <v>39.0</v>
      </c>
      <c r="G3119" s="15" t="str">
        <f t="shared" si="1"/>
        <v>55039</v>
      </c>
      <c r="H3119" s="23" t="s">
        <v>2353</v>
      </c>
      <c r="I3119" s="23" t="s">
        <v>122</v>
      </c>
      <c r="J3119" s="23" t="s">
        <v>438</v>
      </c>
      <c r="K3119" s="112" t="str">
        <f t="shared" si="50"/>
        <v>Fond Du Lac, WI</v>
      </c>
      <c r="L3119" s="24"/>
    </row>
    <row r="3120">
      <c r="A3120" s="99">
        <v>3119.0</v>
      </c>
      <c r="B3120" s="15"/>
      <c r="C3120" s="15"/>
      <c r="D3120" s="105">
        <v>1.0</v>
      </c>
      <c r="E3120" s="102">
        <v>55.0</v>
      </c>
      <c r="F3120" s="107">
        <v>41.0</v>
      </c>
      <c r="G3120" s="15" t="str">
        <f t="shared" si="1"/>
        <v>55041</v>
      </c>
      <c r="H3120" s="23" t="s">
        <v>1793</v>
      </c>
      <c r="I3120" s="23" t="s">
        <v>122</v>
      </c>
      <c r="J3120" s="23" t="s">
        <v>438</v>
      </c>
      <c r="K3120" s="23" t="str">
        <f t="shared" si="50"/>
        <v>Forest, WI</v>
      </c>
      <c r="L3120" s="24"/>
    </row>
    <row r="3121">
      <c r="A3121" s="99">
        <v>3120.0</v>
      </c>
      <c r="B3121" s="15"/>
      <c r="C3121" s="15"/>
      <c r="D3121" s="105">
        <v>1.0</v>
      </c>
      <c r="E3121" s="102">
        <v>55.0</v>
      </c>
      <c r="F3121" s="107">
        <v>43.0</v>
      </c>
      <c r="G3121" s="15" t="str">
        <f t="shared" si="1"/>
        <v>55043</v>
      </c>
      <c r="H3121" s="23" t="s">
        <v>278</v>
      </c>
      <c r="I3121" s="23" t="s">
        <v>122</v>
      </c>
      <c r="J3121" s="23" t="s">
        <v>438</v>
      </c>
      <c r="K3121" s="23" t="str">
        <f t="shared" si="50"/>
        <v>Grant, WI</v>
      </c>
      <c r="L3121" s="24"/>
    </row>
    <row r="3122">
      <c r="A3122" s="99">
        <v>3121.0</v>
      </c>
      <c r="B3122" s="15"/>
      <c r="C3122" s="15"/>
      <c r="D3122" s="105">
        <v>1.0</v>
      </c>
      <c r="E3122" s="102">
        <v>55.0</v>
      </c>
      <c r="F3122" s="107">
        <v>45.0</v>
      </c>
      <c r="G3122" s="15" t="str">
        <f t="shared" si="1"/>
        <v>55045</v>
      </c>
      <c r="H3122" s="23" t="s">
        <v>1075</v>
      </c>
      <c r="I3122" s="23" t="s">
        <v>122</v>
      </c>
      <c r="J3122" s="23" t="s">
        <v>438</v>
      </c>
      <c r="K3122" s="23" t="str">
        <f t="shared" si="50"/>
        <v>Green, WI</v>
      </c>
      <c r="L3122" s="24"/>
    </row>
    <row r="3123">
      <c r="A3123" s="99">
        <v>3122.0</v>
      </c>
      <c r="B3123" s="15"/>
      <c r="C3123" s="15"/>
      <c r="D3123" s="105">
        <v>1.0</v>
      </c>
      <c r="E3123" s="102">
        <v>55.0</v>
      </c>
      <c r="F3123" s="107">
        <v>47.0</v>
      </c>
      <c r="G3123" s="15" t="str">
        <f t="shared" si="1"/>
        <v>55047</v>
      </c>
      <c r="H3123" s="23" t="s">
        <v>2354</v>
      </c>
      <c r="I3123" s="23" t="s">
        <v>122</v>
      </c>
      <c r="J3123" s="23" t="s">
        <v>438</v>
      </c>
      <c r="K3123" s="23" t="str">
        <f t="shared" si="50"/>
        <v>Green Lake, WI</v>
      </c>
      <c r="L3123" s="24"/>
    </row>
    <row r="3124">
      <c r="A3124" s="99">
        <v>3123.0</v>
      </c>
      <c r="B3124" s="15"/>
      <c r="C3124" s="15"/>
      <c r="D3124" s="105">
        <v>1.0</v>
      </c>
      <c r="E3124" s="102">
        <v>55.0</v>
      </c>
      <c r="F3124" s="107">
        <v>49.0</v>
      </c>
      <c r="G3124" s="15" t="str">
        <f t="shared" si="1"/>
        <v>55049</v>
      </c>
      <c r="H3124" s="23" t="s">
        <v>50</v>
      </c>
      <c r="I3124" s="23" t="s">
        <v>122</v>
      </c>
      <c r="J3124" s="23" t="s">
        <v>438</v>
      </c>
      <c r="K3124" s="23" t="str">
        <f t="shared" si="50"/>
        <v>Iowa, WI</v>
      </c>
      <c r="L3124" s="24"/>
    </row>
    <row r="3125">
      <c r="A3125" s="99">
        <v>3124.0</v>
      </c>
      <c r="B3125" s="15"/>
      <c r="C3125" s="15"/>
      <c r="D3125" s="105">
        <v>1.0</v>
      </c>
      <c r="E3125" s="102">
        <v>55.0</v>
      </c>
      <c r="F3125" s="107">
        <v>51.0</v>
      </c>
      <c r="G3125" s="15" t="str">
        <f t="shared" si="1"/>
        <v>55051</v>
      </c>
      <c r="H3125" s="23" t="s">
        <v>1259</v>
      </c>
      <c r="I3125" s="23" t="s">
        <v>122</v>
      </c>
      <c r="J3125" s="23" t="s">
        <v>438</v>
      </c>
      <c r="K3125" s="23" t="str">
        <f t="shared" si="50"/>
        <v>Iron, WI</v>
      </c>
      <c r="L3125" s="24"/>
    </row>
    <row r="3126">
      <c r="A3126" s="99">
        <v>3125.0</v>
      </c>
      <c r="B3126" s="15"/>
      <c r="C3126" s="15"/>
      <c r="D3126" s="105">
        <v>1.0</v>
      </c>
      <c r="E3126" s="102">
        <v>55.0</v>
      </c>
      <c r="F3126" s="107">
        <v>53.0</v>
      </c>
      <c r="G3126" s="15" t="str">
        <f t="shared" si="1"/>
        <v>55053</v>
      </c>
      <c r="H3126" s="23" t="s">
        <v>142</v>
      </c>
      <c r="I3126" s="23" t="s">
        <v>122</v>
      </c>
      <c r="J3126" s="23" t="s">
        <v>438</v>
      </c>
      <c r="K3126" s="23" t="str">
        <f t="shared" si="50"/>
        <v>Jackson, WI</v>
      </c>
      <c r="L3126" s="24"/>
    </row>
    <row r="3127">
      <c r="A3127" s="99">
        <v>3126.0</v>
      </c>
      <c r="B3127" s="15"/>
      <c r="C3127" s="15"/>
      <c r="D3127" s="105">
        <v>1.0</v>
      </c>
      <c r="E3127" s="102">
        <v>55.0</v>
      </c>
      <c r="F3127" s="107">
        <v>55.0</v>
      </c>
      <c r="G3127" s="15" t="str">
        <f t="shared" si="1"/>
        <v>55055</v>
      </c>
      <c r="H3127" s="23" t="s">
        <v>143</v>
      </c>
      <c r="I3127" s="23" t="s">
        <v>122</v>
      </c>
      <c r="J3127" s="23" t="s">
        <v>438</v>
      </c>
      <c r="K3127" s="23" t="str">
        <f t="shared" si="50"/>
        <v>Jefferson, WI</v>
      </c>
      <c r="L3127" s="24"/>
    </row>
    <row r="3128">
      <c r="A3128" s="99">
        <v>3127.0</v>
      </c>
      <c r="B3128" s="15"/>
      <c r="C3128" s="15"/>
      <c r="D3128" s="105">
        <v>1.0</v>
      </c>
      <c r="E3128" s="102">
        <v>55.0</v>
      </c>
      <c r="F3128" s="107">
        <v>57.0</v>
      </c>
      <c r="G3128" s="15" t="str">
        <f t="shared" si="1"/>
        <v>55057</v>
      </c>
      <c r="H3128" s="23" t="s">
        <v>197</v>
      </c>
      <c r="I3128" s="23" t="s">
        <v>122</v>
      </c>
      <c r="J3128" s="23" t="s">
        <v>438</v>
      </c>
      <c r="K3128" s="23" t="str">
        <f t="shared" si="50"/>
        <v>Juneau, WI</v>
      </c>
      <c r="L3128" s="24"/>
    </row>
    <row r="3129">
      <c r="A3129" s="99">
        <v>3128.0</v>
      </c>
      <c r="B3129" s="15"/>
      <c r="C3129" s="15"/>
      <c r="D3129" s="105">
        <v>1.0</v>
      </c>
      <c r="E3129" s="102">
        <v>55.0</v>
      </c>
      <c r="F3129" s="107">
        <v>59.0</v>
      </c>
      <c r="G3129" s="15" t="str">
        <f t="shared" si="1"/>
        <v>55059</v>
      </c>
      <c r="H3129" s="23" t="s">
        <v>2355</v>
      </c>
      <c r="I3129" s="23" t="s">
        <v>122</v>
      </c>
      <c r="J3129" s="23" t="s">
        <v>438</v>
      </c>
      <c r="K3129" s="23" t="str">
        <f t="shared" si="50"/>
        <v>Kenosha, WI</v>
      </c>
      <c r="L3129" s="24"/>
    </row>
    <row r="3130">
      <c r="A3130" s="99">
        <v>3129.0</v>
      </c>
      <c r="B3130" s="15"/>
      <c r="C3130" s="15"/>
      <c r="D3130" s="105">
        <v>1.0</v>
      </c>
      <c r="E3130" s="102">
        <v>55.0</v>
      </c>
      <c r="F3130" s="107">
        <v>61.0</v>
      </c>
      <c r="G3130" s="15" t="str">
        <f t="shared" si="1"/>
        <v>55061</v>
      </c>
      <c r="H3130" s="23" t="s">
        <v>2356</v>
      </c>
      <c r="I3130" s="23" t="s">
        <v>122</v>
      </c>
      <c r="J3130" s="23" t="s">
        <v>438</v>
      </c>
      <c r="K3130" s="23" t="str">
        <f t="shared" si="50"/>
        <v>Kewaunee, WI</v>
      </c>
      <c r="L3130" s="24"/>
    </row>
    <row r="3131">
      <c r="A3131" s="99">
        <v>3130.0</v>
      </c>
      <c r="B3131" s="15"/>
      <c r="C3131" s="15"/>
      <c r="D3131" s="105">
        <v>1.0</v>
      </c>
      <c r="E3131" s="102">
        <v>55.0</v>
      </c>
      <c r="F3131" s="107">
        <v>63.0</v>
      </c>
      <c r="G3131" s="15" t="str">
        <f t="shared" si="1"/>
        <v>55063</v>
      </c>
      <c r="H3131" s="23" t="s">
        <v>2357</v>
      </c>
      <c r="I3131" s="23" t="s">
        <v>122</v>
      </c>
      <c r="J3131" s="23" t="s">
        <v>438</v>
      </c>
      <c r="K3131" s="23" t="str">
        <f t="shared" si="50"/>
        <v>La Crosse, WI</v>
      </c>
      <c r="L3131" s="24"/>
    </row>
    <row r="3132">
      <c r="A3132" s="99">
        <v>3131.0</v>
      </c>
      <c r="B3132" s="15"/>
      <c r="C3132" s="15"/>
      <c r="D3132" s="105">
        <v>1.0</v>
      </c>
      <c r="E3132" s="102">
        <v>55.0</v>
      </c>
      <c r="F3132" s="107">
        <v>65.0</v>
      </c>
      <c r="G3132" s="15" t="str">
        <f t="shared" si="1"/>
        <v>55065</v>
      </c>
      <c r="H3132" s="23" t="s">
        <v>289</v>
      </c>
      <c r="I3132" s="23" t="s">
        <v>122</v>
      </c>
      <c r="J3132" s="23" t="s">
        <v>438</v>
      </c>
      <c r="K3132" s="23" t="str">
        <f t="shared" si="50"/>
        <v>Lafayette, WI</v>
      </c>
      <c r="L3132" s="24"/>
    </row>
    <row r="3133">
      <c r="A3133" s="99">
        <v>3132.0</v>
      </c>
      <c r="B3133" s="15"/>
      <c r="C3133" s="15"/>
      <c r="D3133" s="105">
        <v>1.0</v>
      </c>
      <c r="E3133" s="102">
        <v>55.0</v>
      </c>
      <c r="F3133" s="107">
        <v>67.0</v>
      </c>
      <c r="G3133" s="15" t="str">
        <f t="shared" si="1"/>
        <v>55067</v>
      </c>
      <c r="H3133" s="23" t="s">
        <v>2358</v>
      </c>
      <c r="I3133" s="23" t="s">
        <v>122</v>
      </c>
      <c r="J3133" s="23" t="s">
        <v>438</v>
      </c>
      <c r="K3133" s="23" t="str">
        <f t="shared" si="50"/>
        <v>Langlade, WI</v>
      </c>
      <c r="L3133" s="24"/>
    </row>
    <row r="3134">
      <c r="A3134" s="99">
        <v>3133.0</v>
      </c>
      <c r="B3134" s="15"/>
      <c r="C3134" s="15"/>
      <c r="D3134" s="105">
        <v>1.0</v>
      </c>
      <c r="E3134" s="102">
        <v>55.0</v>
      </c>
      <c r="F3134" s="107">
        <v>69.0</v>
      </c>
      <c r="G3134" s="15" t="str">
        <f t="shared" si="1"/>
        <v>55069</v>
      </c>
      <c r="H3134" s="23" t="s">
        <v>290</v>
      </c>
      <c r="I3134" s="23" t="s">
        <v>122</v>
      </c>
      <c r="J3134" s="23" t="s">
        <v>438</v>
      </c>
      <c r="K3134" s="23" t="str">
        <f t="shared" si="50"/>
        <v>Lincoln, WI</v>
      </c>
      <c r="L3134" s="24"/>
    </row>
    <row r="3135">
      <c r="A3135" s="99">
        <v>3134.0</v>
      </c>
      <c r="B3135" s="15"/>
      <c r="C3135" s="15"/>
      <c r="D3135" s="105">
        <v>1.0</v>
      </c>
      <c r="E3135" s="102">
        <v>55.0</v>
      </c>
      <c r="F3135" s="107">
        <v>71.0</v>
      </c>
      <c r="G3135" s="15" t="str">
        <f t="shared" si="1"/>
        <v>55071</v>
      </c>
      <c r="H3135" s="23" t="s">
        <v>2359</v>
      </c>
      <c r="I3135" s="23" t="s">
        <v>122</v>
      </c>
      <c r="J3135" s="23" t="s">
        <v>438</v>
      </c>
      <c r="K3135" s="23" t="str">
        <f t="shared" si="50"/>
        <v>Manitowoc, WI</v>
      </c>
      <c r="L3135" s="24"/>
    </row>
    <row r="3136">
      <c r="A3136" s="99">
        <v>3135.0</v>
      </c>
      <c r="B3136" s="15"/>
      <c r="C3136" s="15"/>
      <c r="D3136" s="105">
        <v>1.0</v>
      </c>
      <c r="E3136" s="102">
        <v>55.0</v>
      </c>
      <c r="F3136" s="107">
        <v>73.0</v>
      </c>
      <c r="G3136" s="15" t="str">
        <f t="shared" si="1"/>
        <v>55073</v>
      </c>
      <c r="H3136" s="23" t="s">
        <v>2360</v>
      </c>
      <c r="I3136" s="23" t="s">
        <v>122</v>
      </c>
      <c r="J3136" s="23" t="s">
        <v>438</v>
      </c>
      <c r="K3136" s="23" t="str">
        <f t="shared" si="50"/>
        <v>Marathon, WI</v>
      </c>
      <c r="L3136" s="24"/>
    </row>
    <row r="3137">
      <c r="A3137" s="99">
        <v>3136.0</v>
      </c>
      <c r="B3137" s="15"/>
      <c r="C3137" s="15"/>
      <c r="D3137" s="105">
        <v>1.0</v>
      </c>
      <c r="E3137" s="102">
        <v>55.0</v>
      </c>
      <c r="F3137" s="107">
        <v>75.0</v>
      </c>
      <c r="G3137" s="15" t="str">
        <f t="shared" si="1"/>
        <v>55075</v>
      </c>
      <c r="H3137" s="23" t="s">
        <v>2361</v>
      </c>
      <c r="I3137" s="23" t="s">
        <v>122</v>
      </c>
      <c r="J3137" s="23" t="s">
        <v>438</v>
      </c>
      <c r="K3137" s="23" t="str">
        <f t="shared" si="50"/>
        <v>Marinette, WI</v>
      </c>
      <c r="L3137" s="24"/>
    </row>
    <row r="3138">
      <c r="A3138" s="99">
        <v>3137.0</v>
      </c>
      <c r="B3138" s="15"/>
      <c r="C3138" s="15"/>
      <c r="D3138" s="105">
        <v>1.0</v>
      </c>
      <c r="E3138" s="102">
        <v>55.0</v>
      </c>
      <c r="F3138" s="107">
        <v>77.0</v>
      </c>
      <c r="G3138" s="15" t="str">
        <f t="shared" si="1"/>
        <v>55077</v>
      </c>
      <c r="H3138" s="23" t="s">
        <v>1270</v>
      </c>
      <c r="I3138" s="23" t="s">
        <v>122</v>
      </c>
      <c r="J3138" s="23" t="s">
        <v>438</v>
      </c>
      <c r="K3138" s="23" t="str">
        <f t="shared" si="50"/>
        <v>Marquette, WI</v>
      </c>
      <c r="L3138" s="24"/>
    </row>
    <row r="3139">
      <c r="A3139" s="99">
        <v>3138.0</v>
      </c>
      <c r="B3139" s="15"/>
      <c r="C3139" s="15"/>
      <c r="D3139" s="105">
        <v>1.0</v>
      </c>
      <c r="E3139" s="102">
        <v>55.0</v>
      </c>
      <c r="F3139" s="107">
        <v>78.0</v>
      </c>
      <c r="G3139" s="15" t="str">
        <f t="shared" si="1"/>
        <v>55078</v>
      </c>
      <c r="H3139" s="23" t="s">
        <v>1272</v>
      </c>
      <c r="I3139" s="23" t="s">
        <v>122</v>
      </c>
      <c r="J3139" s="23" t="s">
        <v>438</v>
      </c>
      <c r="K3139" s="23" t="str">
        <f t="shared" si="50"/>
        <v>Menominee, WI</v>
      </c>
      <c r="L3139" s="24"/>
    </row>
    <row r="3140">
      <c r="A3140" s="99">
        <v>3139.0</v>
      </c>
      <c r="B3140" s="15"/>
      <c r="C3140" s="15"/>
      <c r="D3140" s="105">
        <v>1.0</v>
      </c>
      <c r="E3140" s="102">
        <v>55.0</v>
      </c>
      <c r="F3140" s="107">
        <v>79.0</v>
      </c>
      <c r="G3140" s="15" t="str">
        <f t="shared" si="1"/>
        <v>55079</v>
      </c>
      <c r="H3140" s="23" t="s">
        <v>437</v>
      </c>
      <c r="I3140" s="23" t="s">
        <v>122</v>
      </c>
      <c r="J3140" s="23" t="s">
        <v>438</v>
      </c>
      <c r="K3140" s="23" t="str">
        <f t="shared" si="50"/>
        <v>Milwaukee, WI</v>
      </c>
      <c r="L3140" s="24"/>
    </row>
    <row r="3141">
      <c r="A3141" s="99">
        <v>3140.0</v>
      </c>
      <c r="B3141" s="15"/>
      <c r="C3141" s="15"/>
      <c r="D3141" s="105">
        <v>1.0</v>
      </c>
      <c r="E3141" s="102">
        <v>55.0</v>
      </c>
      <c r="F3141" s="107">
        <v>81.0</v>
      </c>
      <c r="G3141" s="15" t="str">
        <f t="shared" si="1"/>
        <v>55081</v>
      </c>
      <c r="H3141" s="23" t="s">
        <v>156</v>
      </c>
      <c r="I3141" s="23" t="s">
        <v>122</v>
      </c>
      <c r="J3141" s="23" t="s">
        <v>438</v>
      </c>
      <c r="K3141" s="23" t="str">
        <f t="shared" si="50"/>
        <v>Monroe, WI</v>
      </c>
      <c r="L3141" s="24"/>
    </row>
    <row r="3142">
      <c r="A3142" s="99">
        <v>3141.0</v>
      </c>
      <c r="B3142" s="15"/>
      <c r="C3142" s="15"/>
      <c r="D3142" s="105">
        <v>1.0</v>
      </c>
      <c r="E3142" s="102">
        <v>55.0</v>
      </c>
      <c r="F3142" s="107">
        <v>83.0</v>
      </c>
      <c r="G3142" s="15" t="str">
        <f t="shared" si="1"/>
        <v>55083</v>
      </c>
      <c r="H3142" s="23" t="s">
        <v>2362</v>
      </c>
      <c r="I3142" s="23" t="s">
        <v>122</v>
      </c>
      <c r="J3142" s="23" t="s">
        <v>438</v>
      </c>
      <c r="K3142" s="23" t="str">
        <f t="shared" si="50"/>
        <v>Oconto, WI</v>
      </c>
      <c r="L3142" s="24"/>
    </row>
    <row r="3143">
      <c r="A3143" s="99">
        <v>3142.0</v>
      </c>
      <c r="B3143" s="15"/>
      <c r="C3143" s="15"/>
      <c r="D3143" s="105">
        <v>1.0</v>
      </c>
      <c r="E3143" s="102">
        <v>55.0</v>
      </c>
      <c r="F3143" s="107">
        <v>85.0</v>
      </c>
      <c r="G3143" s="15" t="str">
        <f t="shared" si="1"/>
        <v>55085</v>
      </c>
      <c r="H3143" s="23" t="s">
        <v>685</v>
      </c>
      <c r="I3143" s="23" t="s">
        <v>122</v>
      </c>
      <c r="J3143" s="23" t="s">
        <v>438</v>
      </c>
      <c r="K3143" s="23" t="str">
        <f t="shared" si="50"/>
        <v>Oneida, WI</v>
      </c>
      <c r="L3143" s="24"/>
    </row>
    <row r="3144">
      <c r="A3144" s="99">
        <v>3143.0</v>
      </c>
      <c r="B3144" s="15"/>
      <c r="C3144" s="15"/>
      <c r="D3144" s="105">
        <v>1.0</v>
      </c>
      <c r="E3144" s="102">
        <v>55.0</v>
      </c>
      <c r="F3144" s="107">
        <v>87.0</v>
      </c>
      <c r="G3144" s="15" t="str">
        <f t="shared" si="1"/>
        <v>55087</v>
      </c>
      <c r="H3144" s="23" t="s">
        <v>2363</v>
      </c>
      <c r="I3144" s="23" t="s">
        <v>122</v>
      </c>
      <c r="J3144" s="23" t="s">
        <v>438</v>
      </c>
      <c r="K3144" s="23" t="str">
        <f t="shared" si="50"/>
        <v>Outagamie, WI</v>
      </c>
      <c r="L3144" s="24"/>
    </row>
    <row r="3145">
      <c r="A3145" s="99">
        <v>3144.0</v>
      </c>
      <c r="B3145" s="15"/>
      <c r="C3145" s="15"/>
      <c r="D3145" s="105">
        <v>1.0</v>
      </c>
      <c r="E3145" s="102">
        <v>55.0</v>
      </c>
      <c r="F3145" s="107">
        <v>89.0</v>
      </c>
      <c r="G3145" s="15" t="str">
        <f t="shared" si="1"/>
        <v>55089</v>
      </c>
      <c r="H3145" s="23" t="s">
        <v>2364</v>
      </c>
      <c r="I3145" s="23" t="s">
        <v>122</v>
      </c>
      <c r="J3145" s="23" t="s">
        <v>438</v>
      </c>
      <c r="K3145" s="23" t="str">
        <f t="shared" si="50"/>
        <v>Ozaukee, WI</v>
      </c>
      <c r="L3145" s="24"/>
    </row>
    <row r="3146">
      <c r="A3146" s="99">
        <v>3145.0</v>
      </c>
      <c r="B3146" s="15"/>
      <c r="C3146" s="15"/>
      <c r="D3146" s="105">
        <v>1.0</v>
      </c>
      <c r="E3146" s="102">
        <v>55.0</v>
      </c>
      <c r="F3146" s="107">
        <v>91.0</v>
      </c>
      <c r="G3146" s="15" t="str">
        <f t="shared" si="1"/>
        <v>55091</v>
      </c>
      <c r="H3146" s="23" t="s">
        <v>2365</v>
      </c>
      <c r="I3146" s="23" t="s">
        <v>122</v>
      </c>
      <c r="J3146" s="23" t="s">
        <v>438</v>
      </c>
      <c r="K3146" s="23" t="str">
        <f t="shared" si="50"/>
        <v>Pepin, WI</v>
      </c>
      <c r="L3146" s="24"/>
    </row>
    <row r="3147">
      <c r="A3147" s="99">
        <v>3146.0</v>
      </c>
      <c r="B3147" s="15"/>
      <c r="C3147" s="15"/>
      <c r="D3147" s="105">
        <v>1.0</v>
      </c>
      <c r="E3147" s="102">
        <v>55.0</v>
      </c>
      <c r="F3147" s="107">
        <v>93.0</v>
      </c>
      <c r="G3147" s="15" t="str">
        <f t="shared" si="1"/>
        <v>55093</v>
      </c>
      <c r="H3147" s="23" t="s">
        <v>473</v>
      </c>
      <c r="I3147" s="23" t="s">
        <v>122</v>
      </c>
      <c r="J3147" s="23" t="s">
        <v>438</v>
      </c>
      <c r="K3147" s="23" t="str">
        <f t="shared" si="50"/>
        <v>Pierce, WI</v>
      </c>
      <c r="L3147" s="24"/>
    </row>
    <row r="3148">
      <c r="A3148" s="99">
        <v>3147.0</v>
      </c>
      <c r="B3148" s="15"/>
      <c r="C3148" s="15"/>
      <c r="D3148" s="105">
        <v>1.0</v>
      </c>
      <c r="E3148" s="102">
        <v>55.0</v>
      </c>
      <c r="F3148" s="107">
        <v>95.0</v>
      </c>
      <c r="G3148" s="15" t="str">
        <f t="shared" si="1"/>
        <v>55095</v>
      </c>
      <c r="H3148" s="23" t="s">
        <v>302</v>
      </c>
      <c r="I3148" s="23" t="s">
        <v>122</v>
      </c>
      <c r="J3148" s="23" t="s">
        <v>438</v>
      </c>
      <c r="K3148" s="23" t="str">
        <f t="shared" si="50"/>
        <v>Polk, WI</v>
      </c>
      <c r="L3148" s="24"/>
    </row>
    <row r="3149">
      <c r="A3149" s="99">
        <v>3148.0</v>
      </c>
      <c r="B3149" s="15"/>
      <c r="C3149" s="15"/>
      <c r="D3149" s="105">
        <v>1.0</v>
      </c>
      <c r="E3149" s="102">
        <v>55.0</v>
      </c>
      <c r="F3149" s="107">
        <v>97.0</v>
      </c>
      <c r="G3149" s="15" t="str">
        <f t="shared" si="1"/>
        <v>55097</v>
      </c>
      <c r="H3149" s="23" t="s">
        <v>1694</v>
      </c>
      <c r="I3149" s="23" t="s">
        <v>122</v>
      </c>
      <c r="J3149" s="23" t="s">
        <v>438</v>
      </c>
      <c r="K3149" s="23" t="str">
        <f t="shared" si="50"/>
        <v>Portage, WI</v>
      </c>
      <c r="L3149" s="24"/>
    </row>
    <row r="3150">
      <c r="A3150" s="99">
        <v>3149.0</v>
      </c>
      <c r="B3150" s="15"/>
      <c r="C3150" s="15"/>
      <c r="D3150" s="105">
        <v>1.0</v>
      </c>
      <c r="E3150" s="102">
        <v>55.0</v>
      </c>
      <c r="F3150" s="107">
        <v>99.0</v>
      </c>
      <c r="G3150" s="15" t="str">
        <f t="shared" si="1"/>
        <v>55099</v>
      </c>
      <c r="H3150" s="23" t="s">
        <v>2366</v>
      </c>
      <c r="I3150" s="23" t="s">
        <v>122</v>
      </c>
      <c r="J3150" s="23" t="s">
        <v>438</v>
      </c>
      <c r="K3150" s="23" t="str">
        <f t="shared" si="50"/>
        <v>Price, WI</v>
      </c>
      <c r="L3150" s="24"/>
    </row>
    <row r="3151">
      <c r="A3151" s="99">
        <v>3150.0</v>
      </c>
      <c r="B3151" s="15"/>
      <c r="C3151" s="15"/>
      <c r="D3151" s="105">
        <v>1.0</v>
      </c>
      <c r="E3151" s="102">
        <v>55.0</v>
      </c>
      <c r="F3151" s="107">
        <v>101.0</v>
      </c>
      <c r="G3151" s="15" t="str">
        <f t="shared" si="1"/>
        <v>55101</v>
      </c>
      <c r="H3151" s="23" t="s">
        <v>2367</v>
      </c>
      <c r="I3151" s="23" t="s">
        <v>122</v>
      </c>
      <c r="J3151" s="23" t="s">
        <v>438</v>
      </c>
      <c r="K3151" s="23" t="str">
        <f t="shared" si="50"/>
        <v>Racine, WI</v>
      </c>
      <c r="L3151" s="24"/>
    </row>
    <row r="3152">
      <c r="A3152" s="99">
        <v>3151.0</v>
      </c>
      <c r="B3152" s="15"/>
      <c r="C3152" s="15"/>
      <c r="D3152" s="105">
        <v>1.0</v>
      </c>
      <c r="E3152" s="102">
        <v>55.0</v>
      </c>
      <c r="F3152" s="107">
        <v>103.0</v>
      </c>
      <c r="G3152" s="15" t="str">
        <f t="shared" si="1"/>
        <v>55103</v>
      </c>
      <c r="H3152" s="23" t="s">
        <v>743</v>
      </c>
      <c r="I3152" s="23" t="s">
        <v>122</v>
      </c>
      <c r="J3152" s="23" t="s">
        <v>438</v>
      </c>
      <c r="K3152" s="23" t="str">
        <f t="shared" si="50"/>
        <v>Richland, WI</v>
      </c>
      <c r="L3152" s="24"/>
    </row>
    <row r="3153">
      <c r="A3153" s="99">
        <v>3152.0</v>
      </c>
      <c r="B3153" s="15"/>
      <c r="C3153" s="15"/>
      <c r="D3153" s="105">
        <v>1.0</v>
      </c>
      <c r="E3153" s="102">
        <v>55.0</v>
      </c>
      <c r="F3153" s="107">
        <v>105.0</v>
      </c>
      <c r="G3153" s="15" t="str">
        <f t="shared" si="1"/>
        <v>55105</v>
      </c>
      <c r="H3153" s="23" t="s">
        <v>1341</v>
      </c>
      <c r="I3153" s="23" t="s">
        <v>122</v>
      </c>
      <c r="J3153" s="23" t="s">
        <v>438</v>
      </c>
      <c r="K3153" s="23" t="str">
        <f t="shared" si="50"/>
        <v>Rock, WI</v>
      </c>
      <c r="L3153" s="24"/>
    </row>
    <row r="3154">
      <c r="A3154" s="99">
        <v>3153.0</v>
      </c>
      <c r="B3154" s="15"/>
      <c r="C3154" s="15"/>
      <c r="D3154" s="105">
        <v>1.0</v>
      </c>
      <c r="E3154" s="102">
        <v>55.0</v>
      </c>
      <c r="F3154" s="107">
        <v>107.0</v>
      </c>
      <c r="G3154" s="15" t="str">
        <f t="shared" si="1"/>
        <v>55107</v>
      </c>
      <c r="H3154" s="23" t="s">
        <v>2139</v>
      </c>
      <c r="I3154" s="23" t="s">
        <v>122</v>
      </c>
      <c r="J3154" s="23" t="s">
        <v>438</v>
      </c>
      <c r="K3154" s="23" t="str">
        <f t="shared" si="50"/>
        <v>Rusk, WI</v>
      </c>
      <c r="L3154" s="24"/>
    </row>
    <row r="3155">
      <c r="A3155" s="99">
        <v>3154.0</v>
      </c>
      <c r="B3155" s="15"/>
      <c r="C3155" s="15"/>
      <c r="D3155" s="105">
        <v>1.0</v>
      </c>
      <c r="E3155" s="102">
        <v>55.0</v>
      </c>
      <c r="F3155" s="107">
        <v>109.0</v>
      </c>
      <c r="G3155" s="15" t="str">
        <f t="shared" si="1"/>
        <v>55109</v>
      </c>
      <c r="H3155" s="23" t="s">
        <v>2368</v>
      </c>
      <c r="I3155" s="23" t="s">
        <v>122</v>
      </c>
      <c r="J3155" s="23" t="s">
        <v>438</v>
      </c>
      <c r="K3155" s="23" t="str">
        <f t="shared" si="50"/>
        <v>St Croix, WI</v>
      </c>
      <c r="L3155" s="24"/>
    </row>
    <row r="3156">
      <c r="A3156" s="99">
        <v>3155.0</v>
      </c>
      <c r="B3156" s="15"/>
      <c r="C3156" s="15"/>
      <c r="D3156" s="105">
        <v>1.0</v>
      </c>
      <c r="E3156" s="102">
        <v>55.0</v>
      </c>
      <c r="F3156" s="107">
        <v>111.0</v>
      </c>
      <c r="G3156" s="15" t="str">
        <f t="shared" si="1"/>
        <v>55111</v>
      </c>
      <c r="H3156" s="23" t="s">
        <v>2369</v>
      </c>
      <c r="I3156" s="23" t="s">
        <v>122</v>
      </c>
      <c r="J3156" s="23" t="s">
        <v>438</v>
      </c>
      <c r="K3156" s="23" t="str">
        <f t="shared" si="50"/>
        <v>Sauk, WI</v>
      </c>
      <c r="L3156" s="24"/>
    </row>
    <row r="3157">
      <c r="A3157" s="99">
        <v>3156.0</v>
      </c>
      <c r="B3157" s="15"/>
      <c r="C3157" s="15"/>
      <c r="D3157" s="105">
        <v>1.0</v>
      </c>
      <c r="E3157" s="102">
        <v>55.0</v>
      </c>
      <c r="F3157" s="107">
        <v>113.0</v>
      </c>
      <c r="G3157" s="15" t="str">
        <f t="shared" si="1"/>
        <v>55113</v>
      </c>
      <c r="H3157" s="23" t="s">
        <v>2370</v>
      </c>
      <c r="I3157" s="23" t="s">
        <v>122</v>
      </c>
      <c r="J3157" s="23" t="s">
        <v>438</v>
      </c>
      <c r="K3157" s="23" t="str">
        <f t="shared" si="50"/>
        <v>Sawyer, WI</v>
      </c>
      <c r="L3157" s="24"/>
    </row>
    <row r="3158">
      <c r="A3158" s="99">
        <v>3157.0</v>
      </c>
      <c r="B3158" s="15"/>
      <c r="C3158" s="15"/>
      <c r="D3158" s="105">
        <v>1.0</v>
      </c>
      <c r="E3158" s="102">
        <v>55.0</v>
      </c>
      <c r="F3158" s="107">
        <v>115.0</v>
      </c>
      <c r="G3158" s="15" t="str">
        <f t="shared" si="1"/>
        <v>55115</v>
      </c>
      <c r="H3158" s="23" t="s">
        <v>2371</v>
      </c>
      <c r="I3158" s="23" t="s">
        <v>122</v>
      </c>
      <c r="J3158" s="23" t="s">
        <v>438</v>
      </c>
      <c r="K3158" s="23" t="str">
        <f t="shared" si="50"/>
        <v>Shawano, WI</v>
      </c>
      <c r="L3158" s="24"/>
    </row>
    <row r="3159">
      <c r="A3159" s="99">
        <v>3158.0</v>
      </c>
      <c r="B3159" s="15"/>
      <c r="C3159" s="15"/>
      <c r="D3159" s="105">
        <v>1.0</v>
      </c>
      <c r="E3159" s="102">
        <v>55.0</v>
      </c>
      <c r="F3159" s="107">
        <v>117.0</v>
      </c>
      <c r="G3159" s="15" t="str">
        <f t="shared" si="1"/>
        <v>55117</v>
      </c>
      <c r="H3159" s="23" t="s">
        <v>2372</v>
      </c>
      <c r="I3159" s="23" t="s">
        <v>122</v>
      </c>
      <c r="J3159" s="23" t="s">
        <v>438</v>
      </c>
      <c r="K3159" s="23" t="str">
        <f t="shared" si="50"/>
        <v>Sheboygan, WI</v>
      </c>
      <c r="L3159" s="24"/>
    </row>
    <row r="3160">
      <c r="A3160" s="99">
        <v>3159.0</v>
      </c>
      <c r="B3160" s="15"/>
      <c r="C3160" s="15"/>
      <c r="D3160" s="105">
        <v>1.0</v>
      </c>
      <c r="E3160" s="102">
        <v>55.0</v>
      </c>
      <c r="F3160" s="107">
        <v>119.0</v>
      </c>
      <c r="G3160" s="15" t="str">
        <f t="shared" si="1"/>
        <v>55119</v>
      </c>
      <c r="H3160" s="23" t="s">
        <v>526</v>
      </c>
      <c r="I3160" s="23" t="s">
        <v>122</v>
      </c>
      <c r="J3160" s="23" t="s">
        <v>438</v>
      </c>
      <c r="K3160" s="23" t="str">
        <f t="shared" si="50"/>
        <v>Taylor, WI</v>
      </c>
      <c r="L3160" s="24"/>
    </row>
    <row r="3161">
      <c r="A3161" s="99">
        <v>3160.0</v>
      </c>
      <c r="B3161" s="15"/>
      <c r="C3161" s="15"/>
      <c r="D3161" s="105">
        <v>1.0</v>
      </c>
      <c r="E3161" s="102">
        <v>55.0</v>
      </c>
      <c r="F3161" s="107">
        <v>121.0</v>
      </c>
      <c r="G3161" s="15" t="str">
        <f t="shared" si="1"/>
        <v>55121</v>
      </c>
      <c r="H3161" s="23" t="s">
        <v>2373</v>
      </c>
      <c r="I3161" s="23" t="s">
        <v>122</v>
      </c>
      <c r="J3161" s="23" t="s">
        <v>438</v>
      </c>
      <c r="K3161" s="112" t="str">
        <f t="shared" si="50"/>
        <v>Trempealeau, WI</v>
      </c>
      <c r="L3161" s="24"/>
    </row>
    <row r="3162">
      <c r="A3162" s="99">
        <v>3161.0</v>
      </c>
      <c r="B3162" s="15"/>
      <c r="C3162" s="15"/>
      <c r="D3162" s="105">
        <v>1.0</v>
      </c>
      <c r="E3162" s="102">
        <v>55.0</v>
      </c>
      <c r="F3162" s="107">
        <v>123.0</v>
      </c>
      <c r="G3162" s="15" t="str">
        <f t="shared" si="1"/>
        <v>55123</v>
      </c>
      <c r="H3162" s="23" t="s">
        <v>1181</v>
      </c>
      <c r="I3162" s="23" t="s">
        <v>122</v>
      </c>
      <c r="J3162" s="23" t="s">
        <v>438</v>
      </c>
      <c r="K3162" s="23" t="str">
        <f t="shared" si="50"/>
        <v>Vernon, WI</v>
      </c>
      <c r="L3162" s="24"/>
    </row>
    <row r="3163">
      <c r="A3163" s="99">
        <v>3162.0</v>
      </c>
      <c r="B3163" s="15"/>
      <c r="C3163" s="15"/>
      <c r="D3163" s="105">
        <v>1.0</v>
      </c>
      <c r="E3163" s="102">
        <v>55.0</v>
      </c>
      <c r="F3163" s="107">
        <v>125.0</v>
      </c>
      <c r="G3163" s="15" t="str">
        <f t="shared" si="1"/>
        <v>55125</v>
      </c>
      <c r="H3163" s="23" t="s">
        <v>2374</v>
      </c>
      <c r="I3163" s="23" t="s">
        <v>122</v>
      </c>
      <c r="J3163" s="23" t="s">
        <v>438</v>
      </c>
      <c r="K3163" s="23" t="str">
        <f t="shared" si="50"/>
        <v>Vilas, WI</v>
      </c>
      <c r="L3163" s="24"/>
    </row>
    <row r="3164">
      <c r="A3164" s="99">
        <v>3163.0</v>
      </c>
      <c r="B3164" s="15"/>
      <c r="C3164" s="15"/>
      <c r="D3164" s="105">
        <v>1.0</v>
      </c>
      <c r="E3164" s="102">
        <v>55.0</v>
      </c>
      <c r="F3164" s="107">
        <v>127.0</v>
      </c>
      <c r="G3164" s="15" t="str">
        <f t="shared" si="1"/>
        <v>55127</v>
      </c>
      <c r="H3164" s="23" t="s">
        <v>1887</v>
      </c>
      <c r="I3164" s="23" t="s">
        <v>122</v>
      </c>
      <c r="J3164" s="23" t="s">
        <v>438</v>
      </c>
      <c r="K3164" s="23" t="str">
        <f t="shared" si="50"/>
        <v>Walworth, WI</v>
      </c>
      <c r="L3164" s="24"/>
    </row>
    <row r="3165">
      <c r="A3165" s="99">
        <v>3164.0</v>
      </c>
      <c r="B3165" s="15"/>
      <c r="C3165" s="15"/>
      <c r="D3165" s="105">
        <v>1.0</v>
      </c>
      <c r="E3165" s="102">
        <v>55.0</v>
      </c>
      <c r="F3165" s="107">
        <v>129.0</v>
      </c>
      <c r="G3165" s="15" t="str">
        <f t="shared" si="1"/>
        <v>55129</v>
      </c>
      <c r="H3165" s="23" t="s">
        <v>2375</v>
      </c>
      <c r="I3165" s="23" t="s">
        <v>122</v>
      </c>
      <c r="J3165" s="23" t="s">
        <v>438</v>
      </c>
      <c r="K3165" s="23" t="str">
        <f t="shared" si="50"/>
        <v>Washburn, WI</v>
      </c>
      <c r="L3165" s="24"/>
    </row>
    <row r="3166">
      <c r="A3166" s="99">
        <v>3165.0</v>
      </c>
      <c r="B3166" s="15"/>
      <c r="C3166" s="15"/>
      <c r="D3166" s="105">
        <v>1.0</v>
      </c>
      <c r="E3166" s="102">
        <v>55.0</v>
      </c>
      <c r="F3166" s="107">
        <v>131.0</v>
      </c>
      <c r="G3166" s="15" t="str">
        <f t="shared" si="1"/>
        <v>55131</v>
      </c>
      <c r="H3166" s="23" t="s">
        <v>119</v>
      </c>
      <c r="I3166" s="23" t="s">
        <v>122</v>
      </c>
      <c r="J3166" s="23" t="s">
        <v>438</v>
      </c>
      <c r="K3166" s="23" t="str">
        <f t="shared" si="50"/>
        <v>Washington, WI</v>
      </c>
      <c r="L3166" s="24"/>
    </row>
    <row r="3167">
      <c r="A3167" s="99">
        <v>3166.0</v>
      </c>
      <c r="B3167" s="15"/>
      <c r="C3167" s="15"/>
      <c r="D3167" s="105">
        <v>1.0</v>
      </c>
      <c r="E3167" s="102">
        <v>55.0</v>
      </c>
      <c r="F3167" s="107">
        <v>133.0</v>
      </c>
      <c r="G3167" s="15" t="str">
        <f t="shared" si="1"/>
        <v>55133</v>
      </c>
      <c r="H3167" s="23" t="s">
        <v>2376</v>
      </c>
      <c r="I3167" s="23" t="s">
        <v>122</v>
      </c>
      <c r="J3167" s="23" t="s">
        <v>438</v>
      </c>
      <c r="K3167" s="23" t="str">
        <f t="shared" si="50"/>
        <v>Waukesha, WI</v>
      </c>
      <c r="L3167" s="24"/>
    </row>
    <row r="3168">
      <c r="A3168" s="99">
        <v>3167.0</v>
      </c>
      <c r="B3168" s="15"/>
      <c r="C3168" s="15"/>
      <c r="D3168" s="105">
        <v>1.0</v>
      </c>
      <c r="E3168" s="102">
        <v>55.0</v>
      </c>
      <c r="F3168" s="107">
        <v>135.0</v>
      </c>
      <c r="G3168" s="15" t="str">
        <f t="shared" si="1"/>
        <v>55135</v>
      </c>
      <c r="H3168" s="23" t="s">
        <v>2377</v>
      </c>
      <c r="I3168" s="23" t="s">
        <v>122</v>
      </c>
      <c r="J3168" s="23" t="s">
        <v>438</v>
      </c>
      <c r="K3168" s="23" t="str">
        <f t="shared" si="50"/>
        <v>Waupaca, WI</v>
      </c>
      <c r="L3168" s="24"/>
    </row>
    <row r="3169">
      <c r="A3169" s="99">
        <v>3168.0</v>
      </c>
      <c r="B3169" s="15"/>
      <c r="C3169" s="15"/>
      <c r="D3169" s="105">
        <v>1.0</v>
      </c>
      <c r="E3169" s="102">
        <v>55.0</v>
      </c>
      <c r="F3169" s="107">
        <v>137.0</v>
      </c>
      <c r="G3169" s="15" t="str">
        <f t="shared" si="1"/>
        <v>55137</v>
      </c>
      <c r="H3169" s="23" t="s">
        <v>2378</v>
      </c>
      <c r="I3169" s="23" t="s">
        <v>122</v>
      </c>
      <c r="J3169" s="23" t="s">
        <v>438</v>
      </c>
      <c r="K3169" s="23" t="str">
        <f t="shared" si="50"/>
        <v>Waushara, WI</v>
      </c>
      <c r="L3169" s="24"/>
    </row>
    <row r="3170">
      <c r="A3170" s="99">
        <v>3169.0</v>
      </c>
      <c r="B3170" s="15"/>
      <c r="C3170" s="15"/>
      <c r="D3170" s="105">
        <v>1.0</v>
      </c>
      <c r="E3170" s="102">
        <v>55.0</v>
      </c>
      <c r="F3170" s="107">
        <v>139.0</v>
      </c>
      <c r="G3170" s="15" t="str">
        <f t="shared" si="1"/>
        <v>55139</v>
      </c>
      <c r="H3170" s="23" t="s">
        <v>753</v>
      </c>
      <c r="I3170" s="23" t="s">
        <v>122</v>
      </c>
      <c r="J3170" s="23" t="s">
        <v>438</v>
      </c>
      <c r="K3170" s="23" t="str">
        <f t="shared" si="50"/>
        <v>Winnebago, WI</v>
      </c>
      <c r="L3170" s="24"/>
    </row>
    <row r="3171">
      <c r="A3171" s="99">
        <v>3170.0</v>
      </c>
      <c r="B3171" s="15"/>
      <c r="C3171" s="15"/>
      <c r="D3171" s="105">
        <v>1.0</v>
      </c>
      <c r="E3171" s="102">
        <v>55.0</v>
      </c>
      <c r="F3171" s="107">
        <v>141.0</v>
      </c>
      <c r="G3171" s="15" t="str">
        <f t="shared" si="1"/>
        <v>55141</v>
      </c>
      <c r="H3171" s="23" t="s">
        <v>1703</v>
      </c>
      <c r="I3171" s="23" t="s">
        <v>122</v>
      </c>
      <c r="J3171" s="23" t="s">
        <v>438</v>
      </c>
      <c r="K3171" s="23" t="str">
        <f t="shared" si="50"/>
        <v>Wood, WI</v>
      </c>
      <c r="L3171" s="24"/>
    </row>
    <row r="3172">
      <c r="A3172" s="28">
        <v>3171.0</v>
      </c>
      <c r="B3172" s="29"/>
      <c r="C3172" s="29" t="s">
        <v>25</v>
      </c>
      <c r="D3172" s="30"/>
      <c r="E3172" s="31">
        <v>56.0</v>
      </c>
      <c r="F3172" s="42">
        <v>0.0</v>
      </c>
      <c r="G3172" s="29" t="str">
        <f t="shared" si="1"/>
        <v>56000</v>
      </c>
      <c r="H3172" s="37"/>
      <c r="I3172" s="37" t="s">
        <v>123</v>
      </c>
      <c r="J3172" s="37" t="s">
        <v>2379</v>
      </c>
      <c r="K3172" s="37"/>
      <c r="L3172" s="24"/>
    </row>
    <row r="3173">
      <c r="A3173" s="28">
        <v>3172.0</v>
      </c>
      <c r="B3173" s="29"/>
      <c r="C3173" s="29"/>
      <c r="D3173" s="40">
        <v>1.0</v>
      </c>
      <c r="E3173" s="31">
        <v>56.0</v>
      </c>
      <c r="F3173" s="42">
        <v>1.0</v>
      </c>
      <c r="G3173" s="29" t="str">
        <f t="shared" si="1"/>
        <v>56001</v>
      </c>
      <c r="H3173" s="37" t="s">
        <v>1554</v>
      </c>
      <c r="I3173" s="37" t="s">
        <v>123</v>
      </c>
      <c r="J3173" s="37" t="s">
        <v>2379</v>
      </c>
      <c r="K3173" s="37" t="str">
        <f t="shared" ref="K3173:K3195" si="51">CONCATENATE(H3173,", ",J3173)</f>
        <v>Albany, WY</v>
      </c>
      <c r="L3173" s="24"/>
    </row>
    <row r="3174">
      <c r="A3174" s="28">
        <v>3173.0</v>
      </c>
      <c r="B3174" s="29"/>
      <c r="C3174" s="29"/>
      <c r="D3174" s="40">
        <v>1.0</v>
      </c>
      <c r="E3174" s="31">
        <v>56.0</v>
      </c>
      <c r="F3174" s="42">
        <v>3.0</v>
      </c>
      <c r="G3174" s="29" t="str">
        <f t="shared" si="1"/>
        <v>56003</v>
      </c>
      <c r="H3174" s="37" t="s">
        <v>1432</v>
      </c>
      <c r="I3174" s="37" t="s">
        <v>123</v>
      </c>
      <c r="J3174" s="37" t="s">
        <v>2379</v>
      </c>
      <c r="K3174" s="37" t="str">
        <f t="shared" si="51"/>
        <v>Big Horn, WY</v>
      </c>
      <c r="L3174" s="24"/>
    </row>
    <row r="3175">
      <c r="A3175" s="28">
        <v>3174.0</v>
      </c>
      <c r="B3175" s="29"/>
      <c r="C3175" s="29"/>
      <c r="D3175" s="40">
        <v>1.0</v>
      </c>
      <c r="E3175" s="31">
        <v>56.0</v>
      </c>
      <c r="F3175" s="42">
        <v>5.0</v>
      </c>
      <c r="G3175" s="29" t="str">
        <f t="shared" si="1"/>
        <v>56005</v>
      </c>
      <c r="H3175" s="37" t="s">
        <v>1036</v>
      </c>
      <c r="I3175" s="37" t="s">
        <v>123</v>
      </c>
      <c r="J3175" s="37" t="s">
        <v>2379</v>
      </c>
      <c r="K3175" s="37" t="str">
        <f t="shared" si="51"/>
        <v>Campbell, WY</v>
      </c>
      <c r="L3175" s="24"/>
    </row>
    <row r="3176">
      <c r="A3176" s="28">
        <v>3175.0</v>
      </c>
      <c r="B3176" s="29"/>
      <c r="C3176" s="29"/>
      <c r="D3176" s="40">
        <v>1.0</v>
      </c>
      <c r="E3176" s="31">
        <v>56.0</v>
      </c>
      <c r="F3176" s="42">
        <v>7.0</v>
      </c>
      <c r="G3176" s="29" t="str">
        <f t="shared" si="1"/>
        <v>56007</v>
      </c>
      <c r="H3176" s="37" t="s">
        <v>1434</v>
      </c>
      <c r="I3176" s="37" t="s">
        <v>123</v>
      </c>
      <c r="J3176" s="37" t="s">
        <v>2379</v>
      </c>
      <c r="K3176" s="37" t="str">
        <f t="shared" si="51"/>
        <v>Carbon, WY</v>
      </c>
      <c r="L3176" s="24"/>
    </row>
    <row r="3177">
      <c r="A3177" s="28">
        <v>3176.0</v>
      </c>
      <c r="B3177" s="29"/>
      <c r="C3177" s="29"/>
      <c r="D3177" s="40">
        <v>1.0</v>
      </c>
      <c r="E3177" s="31">
        <v>56.0</v>
      </c>
      <c r="F3177" s="42">
        <v>9.0</v>
      </c>
      <c r="G3177" s="29" t="str">
        <f t="shared" si="1"/>
        <v>56009</v>
      </c>
      <c r="H3177" s="37" t="s">
        <v>2380</v>
      </c>
      <c r="I3177" s="37" t="s">
        <v>123</v>
      </c>
      <c r="J3177" s="37" t="s">
        <v>2379</v>
      </c>
      <c r="K3177" s="37" t="str">
        <f t="shared" si="51"/>
        <v>Converse, WY</v>
      </c>
      <c r="L3177" s="24"/>
    </row>
    <row r="3178">
      <c r="A3178" s="28">
        <v>3177.0</v>
      </c>
      <c r="B3178" s="29"/>
      <c r="C3178" s="29"/>
      <c r="D3178" s="40">
        <v>1.0</v>
      </c>
      <c r="E3178" s="31">
        <v>56.0</v>
      </c>
      <c r="F3178" s="42">
        <v>11.0</v>
      </c>
      <c r="G3178" s="29" t="str">
        <f t="shared" si="1"/>
        <v>56011</v>
      </c>
      <c r="H3178" s="37" t="s">
        <v>1770</v>
      </c>
      <c r="I3178" s="37" t="s">
        <v>123</v>
      </c>
      <c r="J3178" s="37" t="s">
        <v>2379</v>
      </c>
      <c r="K3178" s="37" t="str">
        <f t="shared" si="51"/>
        <v>Crook, WY</v>
      </c>
      <c r="L3178" s="24"/>
    </row>
    <row r="3179">
      <c r="A3179" s="28">
        <v>3178.0</v>
      </c>
      <c r="B3179" s="29"/>
      <c r="C3179" s="29"/>
      <c r="D3179" s="40">
        <v>1.0</v>
      </c>
      <c r="E3179" s="31">
        <v>56.0</v>
      </c>
      <c r="F3179" s="42">
        <v>13.0</v>
      </c>
      <c r="G3179" s="29" t="str">
        <f t="shared" si="1"/>
        <v>56013</v>
      </c>
      <c r="H3179" s="37" t="s">
        <v>416</v>
      </c>
      <c r="I3179" s="37" t="s">
        <v>123</v>
      </c>
      <c r="J3179" s="37" t="s">
        <v>2379</v>
      </c>
      <c r="K3179" s="37" t="str">
        <f t="shared" si="51"/>
        <v>Fremont, WY</v>
      </c>
      <c r="L3179" s="24"/>
    </row>
    <row r="3180">
      <c r="A3180" s="28">
        <v>3179.0</v>
      </c>
      <c r="B3180" s="29"/>
      <c r="C3180" s="29"/>
      <c r="D3180" s="40">
        <v>1.0</v>
      </c>
      <c r="E3180" s="31">
        <v>56.0</v>
      </c>
      <c r="F3180" s="42">
        <v>15.0</v>
      </c>
      <c r="G3180" s="29" t="str">
        <f t="shared" si="1"/>
        <v>56015</v>
      </c>
      <c r="H3180" s="37" t="s">
        <v>2381</v>
      </c>
      <c r="I3180" s="37" t="s">
        <v>123</v>
      </c>
      <c r="J3180" s="37" t="s">
        <v>2379</v>
      </c>
      <c r="K3180" s="37" t="str">
        <f t="shared" si="51"/>
        <v>Goshen, WY</v>
      </c>
      <c r="L3180" s="24"/>
    </row>
    <row r="3181">
      <c r="A3181" s="28">
        <v>3180.0</v>
      </c>
      <c r="B3181" s="29"/>
      <c r="C3181" s="29"/>
      <c r="D3181" s="40">
        <v>1.0</v>
      </c>
      <c r="E3181" s="31">
        <v>56.0</v>
      </c>
      <c r="F3181" s="42">
        <v>17.0</v>
      </c>
      <c r="G3181" s="29" t="str">
        <f t="shared" si="1"/>
        <v>56017</v>
      </c>
      <c r="H3181" s="37" t="s">
        <v>2382</v>
      </c>
      <c r="I3181" s="37" t="s">
        <v>123</v>
      </c>
      <c r="J3181" s="37" t="s">
        <v>2379</v>
      </c>
      <c r="K3181" s="136" t="str">
        <f t="shared" si="51"/>
        <v>Hot Springs, WY</v>
      </c>
      <c r="L3181" s="24"/>
    </row>
    <row r="3182">
      <c r="A3182" s="28">
        <v>3181.0</v>
      </c>
      <c r="B3182" s="29"/>
      <c r="C3182" s="29"/>
      <c r="D3182" s="40">
        <v>1.0</v>
      </c>
      <c r="E3182" s="31">
        <v>56.0</v>
      </c>
      <c r="F3182" s="42">
        <v>19.0</v>
      </c>
      <c r="G3182" s="29" t="str">
        <f t="shared" si="1"/>
        <v>56019</v>
      </c>
      <c r="H3182" s="37" t="s">
        <v>288</v>
      </c>
      <c r="I3182" s="37" t="s">
        <v>123</v>
      </c>
      <c r="J3182" s="37" t="s">
        <v>2379</v>
      </c>
      <c r="K3182" s="37" t="str">
        <f t="shared" si="51"/>
        <v>Johnson, WY</v>
      </c>
      <c r="L3182" s="24"/>
    </row>
    <row r="3183">
      <c r="A3183" s="28">
        <v>3182.0</v>
      </c>
      <c r="B3183" s="29"/>
      <c r="C3183" s="29"/>
      <c r="D3183" s="40">
        <v>1.0</v>
      </c>
      <c r="E3183" s="31">
        <v>56.0</v>
      </c>
      <c r="F3183" s="42">
        <v>21.0</v>
      </c>
      <c r="G3183" s="29" t="str">
        <f t="shared" si="1"/>
        <v>56021</v>
      </c>
      <c r="H3183" s="37" t="s">
        <v>2383</v>
      </c>
      <c r="I3183" s="37" t="s">
        <v>123</v>
      </c>
      <c r="J3183" s="37" t="s">
        <v>2379</v>
      </c>
      <c r="K3183" s="37" t="str">
        <f t="shared" si="51"/>
        <v>Laramie, WY</v>
      </c>
      <c r="L3183" s="24"/>
    </row>
    <row r="3184">
      <c r="A3184" s="28">
        <v>3183.0</v>
      </c>
      <c r="B3184" s="29"/>
      <c r="C3184" s="29"/>
      <c r="D3184" s="40">
        <v>1.0</v>
      </c>
      <c r="E3184" s="31">
        <v>56.0</v>
      </c>
      <c r="F3184" s="42">
        <v>23.0</v>
      </c>
      <c r="G3184" s="29" t="str">
        <f t="shared" si="1"/>
        <v>56023</v>
      </c>
      <c r="H3184" s="37" t="s">
        <v>290</v>
      </c>
      <c r="I3184" s="37" t="s">
        <v>123</v>
      </c>
      <c r="J3184" s="37" t="s">
        <v>2379</v>
      </c>
      <c r="K3184" s="37" t="str">
        <f t="shared" si="51"/>
        <v>Lincoln, WY</v>
      </c>
      <c r="L3184" s="24"/>
    </row>
    <row r="3185">
      <c r="A3185" s="28">
        <v>3184.0</v>
      </c>
      <c r="B3185" s="29"/>
      <c r="C3185" s="29"/>
      <c r="D3185" s="40">
        <v>1.0</v>
      </c>
      <c r="E3185" s="31">
        <v>56.0</v>
      </c>
      <c r="F3185" s="42">
        <v>25.0</v>
      </c>
      <c r="G3185" s="29" t="str">
        <f t="shared" si="1"/>
        <v>56025</v>
      </c>
      <c r="H3185" s="37" t="s">
        <v>2384</v>
      </c>
      <c r="I3185" s="37" t="s">
        <v>123</v>
      </c>
      <c r="J3185" s="37" t="s">
        <v>2379</v>
      </c>
      <c r="K3185" s="37" t="str">
        <f t="shared" si="51"/>
        <v>Natrona, WY</v>
      </c>
      <c r="L3185" s="24"/>
    </row>
    <row r="3186">
      <c r="A3186" s="28">
        <v>3185.0</v>
      </c>
      <c r="B3186" s="29"/>
      <c r="C3186" s="29"/>
      <c r="D3186" s="40">
        <v>1.0</v>
      </c>
      <c r="E3186" s="31">
        <v>56.0</v>
      </c>
      <c r="F3186" s="42">
        <v>27.0</v>
      </c>
      <c r="G3186" s="29" t="str">
        <f t="shared" si="1"/>
        <v>56027</v>
      </c>
      <c r="H3186" s="37" t="s">
        <v>2385</v>
      </c>
      <c r="I3186" s="37" t="s">
        <v>123</v>
      </c>
      <c r="J3186" s="37" t="s">
        <v>2379</v>
      </c>
      <c r="K3186" s="37" t="str">
        <f t="shared" si="51"/>
        <v>Niobrara, WY</v>
      </c>
      <c r="L3186" s="24"/>
    </row>
    <row r="3187">
      <c r="A3187" s="28">
        <v>3186.0</v>
      </c>
      <c r="B3187" s="29"/>
      <c r="C3187" s="29"/>
      <c r="D3187" s="40">
        <v>1.0</v>
      </c>
      <c r="E3187" s="31">
        <v>56.0</v>
      </c>
      <c r="F3187" s="42">
        <v>29.0</v>
      </c>
      <c r="G3187" s="29" t="str">
        <f t="shared" si="1"/>
        <v>56029</v>
      </c>
      <c r="H3187" s="37" t="s">
        <v>445</v>
      </c>
      <c r="I3187" s="37" t="s">
        <v>123</v>
      </c>
      <c r="J3187" s="37" t="s">
        <v>2379</v>
      </c>
      <c r="K3187" s="37" t="str">
        <f t="shared" si="51"/>
        <v>Park, WY</v>
      </c>
      <c r="L3187" s="24"/>
    </row>
    <row r="3188">
      <c r="A3188" s="28">
        <v>3187.0</v>
      </c>
      <c r="B3188" s="29"/>
      <c r="C3188" s="29"/>
      <c r="D3188" s="40">
        <v>1.0</v>
      </c>
      <c r="E3188" s="31">
        <v>56.0</v>
      </c>
      <c r="F3188" s="42">
        <v>31.0</v>
      </c>
      <c r="G3188" s="29" t="str">
        <f t="shared" si="1"/>
        <v>56031</v>
      </c>
      <c r="H3188" s="37" t="s">
        <v>1419</v>
      </c>
      <c r="I3188" s="37" t="s">
        <v>123</v>
      </c>
      <c r="J3188" s="37" t="s">
        <v>2379</v>
      </c>
      <c r="K3188" s="37" t="str">
        <f t="shared" si="51"/>
        <v>Platte, WY</v>
      </c>
      <c r="L3188" s="24"/>
    </row>
    <row r="3189">
      <c r="A3189" s="28">
        <v>3188.0</v>
      </c>
      <c r="B3189" s="29"/>
      <c r="C3189" s="29"/>
      <c r="D3189" s="40">
        <v>1.0</v>
      </c>
      <c r="E3189" s="31">
        <v>56.0</v>
      </c>
      <c r="F3189" s="42">
        <v>33.0</v>
      </c>
      <c r="G3189" s="29" t="str">
        <f t="shared" si="1"/>
        <v>56033</v>
      </c>
      <c r="H3189" s="37" t="s">
        <v>1010</v>
      </c>
      <c r="I3189" s="37" t="s">
        <v>123</v>
      </c>
      <c r="J3189" s="37" t="s">
        <v>2379</v>
      </c>
      <c r="K3189" s="37" t="str">
        <f t="shared" si="51"/>
        <v>Sheridan, WY</v>
      </c>
      <c r="L3189" s="24"/>
    </row>
    <row r="3190">
      <c r="A3190" s="28">
        <v>3189.0</v>
      </c>
      <c r="B3190" s="29"/>
      <c r="C3190" s="29"/>
      <c r="D3190" s="40">
        <v>1.0</v>
      </c>
      <c r="E3190" s="31">
        <v>56.0</v>
      </c>
      <c r="F3190" s="42">
        <v>35.0</v>
      </c>
      <c r="G3190" s="29" t="str">
        <f t="shared" si="1"/>
        <v>56035</v>
      </c>
      <c r="H3190" s="37" t="s">
        <v>2386</v>
      </c>
      <c r="I3190" s="37" t="s">
        <v>123</v>
      </c>
      <c r="J3190" s="37" t="s">
        <v>2379</v>
      </c>
      <c r="K3190" s="37" t="str">
        <f t="shared" si="51"/>
        <v>Sublette, WY</v>
      </c>
      <c r="L3190" s="24"/>
    </row>
    <row r="3191">
      <c r="A3191" s="28">
        <v>3190.0</v>
      </c>
      <c r="B3191" s="29"/>
      <c r="C3191" s="29"/>
      <c r="D3191" s="40">
        <v>1.0</v>
      </c>
      <c r="E3191" s="31">
        <v>56.0</v>
      </c>
      <c r="F3191" s="42">
        <v>37.0</v>
      </c>
      <c r="G3191" s="29" t="str">
        <f t="shared" si="1"/>
        <v>56037</v>
      </c>
      <c r="H3191" s="37" t="s">
        <v>2387</v>
      </c>
      <c r="I3191" s="37" t="s">
        <v>123</v>
      </c>
      <c r="J3191" s="37" t="s">
        <v>2379</v>
      </c>
      <c r="K3191" s="37" t="str">
        <f t="shared" si="51"/>
        <v>Sweetwater, WY</v>
      </c>
      <c r="L3191" s="24"/>
    </row>
    <row r="3192">
      <c r="A3192" s="28">
        <v>3191.0</v>
      </c>
      <c r="B3192" s="29"/>
      <c r="C3192" s="29"/>
      <c r="D3192" s="40">
        <v>1.0</v>
      </c>
      <c r="E3192" s="31">
        <v>56.0</v>
      </c>
      <c r="F3192" s="42">
        <v>39.0</v>
      </c>
      <c r="G3192" s="29" t="str">
        <f t="shared" si="1"/>
        <v>56039</v>
      </c>
      <c r="H3192" s="37" t="s">
        <v>690</v>
      </c>
      <c r="I3192" s="37" t="s">
        <v>123</v>
      </c>
      <c r="J3192" s="37" t="s">
        <v>2379</v>
      </c>
      <c r="K3192" s="37" t="str">
        <f t="shared" si="51"/>
        <v>Teton, WY</v>
      </c>
      <c r="L3192" s="24"/>
    </row>
    <row r="3193">
      <c r="A3193" s="28">
        <v>3192.0</v>
      </c>
      <c r="B3193" s="29"/>
      <c r="C3193" s="29"/>
      <c r="D3193" s="40">
        <v>1.0</v>
      </c>
      <c r="E3193" s="31">
        <v>56.0</v>
      </c>
      <c r="F3193" s="42">
        <v>41.0</v>
      </c>
      <c r="G3193" s="29" t="str">
        <f t="shared" si="1"/>
        <v>56041</v>
      </c>
      <c r="H3193" s="37" t="s">
        <v>2388</v>
      </c>
      <c r="I3193" s="37" t="s">
        <v>123</v>
      </c>
      <c r="J3193" s="37" t="s">
        <v>2379</v>
      </c>
      <c r="K3193" s="37" t="str">
        <f t="shared" si="51"/>
        <v>Uinta, WY</v>
      </c>
      <c r="L3193" s="24"/>
    </row>
    <row r="3194">
      <c r="A3194" s="28">
        <v>3193.0</v>
      </c>
      <c r="B3194" s="29"/>
      <c r="C3194" s="29"/>
      <c r="D3194" s="40">
        <v>1.0</v>
      </c>
      <c r="E3194" s="31">
        <v>56.0</v>
      </c>
      <c r="F3194" s="42">
        <v>43.0</v>
      </c>
      <c r="G3194" s="29" t="str">
        <f t="shared" si="1"/>
        <v>56043</v>
      </c>
      <c r="H3194" s="37" t="s">
        <v>2389</v>
      </c>
      <c r="I3194" s="37" t="s">
        <v>123</v>
      </c>
      <c r="J3194" s="37" t="s">
        <v>2379</v>
      </c>
      <c r="K3194" s="37" t="str">
        <f t="shared" si="51"/>
        <v>Washakie, WY</v>
      </c>
      <c r="L3194" s="24"/>
    </row>
    <row r="3195">
      <c r="A3195" s="28">
        <v>3194.0</v>
      </c>
      <c r="B3195" s="29"/>
      <c r="C3195" s="29"/>
      <c r="D3195" s="40">
        <v>1.0</v>
      </c>
      <c r="E3195" s="31">
        <v>56.0</v>
      </c>
      <c r="F3195" s="42">
        <v>45.0</v>
      </c>
      <c r="G3195" s="29" t="str">
        <f t="shared" si="1"/>
        <v>56045</v>
      </c>
      <c r="H3195" s="37" t="s">
        <v>2390</v>
      </c>
      <c r="I3195" s="37" t="s">
        <v>123</v>
      </c>
      <c r="J3195" s="37" t="s">
        <v>2379</v>
      </c>
      <c r="K3195" s="37" t="str">
        <f t="shared" si="51"/>
        <v>Weston, WY</v>
      </c>
      <c r="L3195" s="24"/>
    </row>
  </sheetData>
  <conditionalFormatting sqref="M254:M317">
    <cfRule type="cellIs" dxfId="4" priority="1" operator="greaterThanOrEqual">
      <formula>"100%"</formula>
    </cfRule>
  </conditionalFormatting>
  <conditionalFormatting sqref="M119:M193">
    <cfRule type="cellIs" dxfId="4" priority="2" operator="greaterThanOrEqual">
      <formula>"100%"</formula>
    </cfRule>
  </conditionalFormatting>
  <conditionalFormatting sqref="O119:O193">
    <cfRule type="cellIs" dxfId="5" priority="3" operator="greaterThanOrEqual">
      <formula>"100%"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2.63" defaultRowHeight="15.75"/>
  <cols>
    <col customWidth="1" min="1" max="1" width="18.63"/>
    <col customWidth="1" min="2" max="2" width="10.88"/>
    <col customWidth="1" min="3" max="11" width="10.13"/>
    <col customWidth="1" min="12" max="12" width="10.63"/>
    <col customWidth="1" min="13" max="19" width="10.13"/>
  </cols>
  <sheetData>
    <row r="1">
      <c r="A1" s="11"/>
      <c r="B1" s="19" t="s">
        <v>26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5"/>
      <c r="T1" s="26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</row>
    <row r="2" ht="22.5" customHeight="1">
      <c r="A2" s="11"/>
      <c r="B2" s="34" t="s">
        <v>38</v>
      </c>
      <c r="C2" s="36"/>
      <c r="D2" s="36"/>
      <c r="E2" s="36"/>
      <c r="F2" s="36"/>
      <c r="G2" s="36"/>
      <c r="H2" s="36"/>
      <c r="I2" s="36"/>
      <c r="J2" s="36"/>
      <c r="K2" s="39"/>
      <c r="L2" s="41" t="s">
        <v>43</v>
      </c>
      <c r="M2" s="43"/>
      <c r="N2" s="43"/>
      <c r="O2" s="44"/>
      <c r="P2" s="41" t="s">
        <v>46</v>
      </c>
      <c r="Q2" s="43"/>
      <c r="R2" s="43"/>
      <c r="S2" s="44"/>
      <c r="T2" s="26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</row>
    <row r="3">
      <c r="A3" s="45"/>
      <c r="B3" s="46"/>
      <c r="C3" s="47" t="s">
        <v>51</v>
      </c>
      <c r="D3" s="36"/>
      <c r="E3" s="36"/>
      <c r="F3" s="36"/>
      <c r="G3" s="36"/>
      <c r="H3" s="36"/>
      <c r="I3" s="48"/>
      <c r="J3" s="49"/>
      <c r="K3" s="50"/>
      <c r="L3" s="51"/>
      <c r="M3" s="51"/>
      <c r="N3" s="51"/>
      <c r="O3" s="52"/>
      <c r="P3" s="51"/>
      <c r="Q3" s="51"/>
      <c r="R3" s="51"/>
      <c r="S3" s="52"/>
      <c r="T3" s="26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</row>
    <row r="4">
      <c r="A4" s="54" t="s">
        <v>61</v>
      </c>
      <c r="B4" s="55" t="s">
        <v>64</v>
      </c>
      <c r="C4" s="56" t="s">
        <v>66</v>
      </c>
      <c r="D4" s="56" t="s">
        <v>69</v>
      </c>
      <c r="E4" s="56" t="s">
        <v>70</v>
      </c>
      <c r="F4" s="56" t="s">
        <v>71</v>
      </c>
      <c r="G4" s="56" t="s">
        <v>72</v>
      </c>
      <c r="H4" s="56" t="s">
        <v>74</v>
      </c>
      <c r="I4" s="57" t="s">
        <v>75</v>
      </c>
      <c r="J4" s="58" t="s">
        <v>78</v>
      </c>
      <c r="K4" s="59" t="s">
        <v>80</v>
      </c>
      <c r="L4" s="61" t="s">
        <v>83</v>
      </c>
      <c r="M4" s="61" t="s">
        <v>84</v>
      </c>
      <c r="N4" s="62" t="s">
        <v>86</v>
      </c>
      <c r="O4" s="59" t="s">
        <v>89</v>
      </c>
      <c r="P4" s="63" t="s">
        <v>90</v>
      </c>
      <c r="Q4" s="61" t="s">
        <v>92</v>
      </c>
      <c r="R4" s="64" t="s">
        <v>95</v>
      </c>
      <c r="S4" s="65" t="s">
        <v>97</v>
      </c>
      <c r="T4" s="66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</row>
    <row r="5">
      <c r="A5" s="68" t="s">
        <v>0</v>
      </c>
      <c r="B5" s="74">
        <f t="array" ref="B5:K5">VLOOKUP($A5,AL_DEMO,{2,5,6,7,8,9,10,11,12,4},FALSE)</f>
        <v>5024279</v>
      </c>
      <c r="C5" s="75">
        <v>3220452.0</v>
      </c>
      <c r="D5" s="75">
        <v>1296162.0</v>
      </c>
      <c r="E5" s="75">
        <v>33625.0</v>
      </c>
      <c r="F5" s="75">
        <v>76660.0</v>
      </c>
      <c r="G5" s="75">
        <v>2984.0</v>
      </c>
      <c r="H5" s="75">
        <v>137443.0</v>
      </c>
      <c r="I5" s="75">
        <v>256953.0</v>
      </c>
      <c r="J5" s="76">
        <v>49881.0</v>
      </c>
      <c r="K5" s="77">
        <v>23.9</v>
      </c>
      <c r="L5" s="75">
        <f>Alabama!C71</f>
        <v>5844</v>
      </c>
      <c r="M5" s="75">
        <f>Alabama!H71</f>
        <v>1989</v>
      </c>
      <c r="N5" s="75">
        <f>Alabama!I71</f>
        <v>399</v>
      </c>
      <c r="O5" s="78" t="str">
        <f>Alabama!J71</f>
        <v>NULL</v>
      </c>
      <c r="P5" s="75" t="str">
        <f>Alabama!K71</f>
        <v>NULL</v>
      </c>
      <c r="Q5" s="75">
        <f>Alabama!L71</f>
        <v>4558</v>
      </c>
      <c r="R5" s="79" t="str">
        <f>Alabama!M71</f>
        <v>NULL</v>
      </c>
      <c r="S5" s="80" t="str">
        <f t="shared" ref="S5:S55" si="2">(P5/B5)*1000</f>
        <v>#VALUE!</v>
      </c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</row>
    <row r="6">
      <c r="A6" s="68" t="s">
        <v>23</v>
      </c>
      <c r="B6" s="74">
        <f t="array" ref="B6:K6">VLOOKUP($A6,AK_DEMO,{2,5,6,7,8,9,10,11,12,4},FALSE)</f>
        <v>733391</v>
      </c>
      <c r="C6" s="75">
        <v>435392.0</v>
      </c>
      <c r="D6" s="75">
        <v>21898.0</v>
      </c>
      <c r="E6" s="75">
        <v>111575.0</v>
      </c>
      <c r="F6" s="75">
        <v>44032.0</v>
      </c>
      <c r="G6" s="75">
        <v>12698.0</v>
      </c>
      <c r="H6" s="75">
        <v>18272.0</v>
      </c>
      <c r="I6" s="75">
        <v>89524.0</v>
      </c>
      <c r="J6" s="76">
        <v>74912.0</v>
      </c>
      <c r="K6" s="77">
        <v>14.5</v>
      </c>
      <c r="L6" s="75" t="str">
        <f t="shared" ref="L6:L11" si="3">#REF!</f>
        <v>#REF!</v>
      </c>
      <c r="M6" s="75">
        <f>VLOOKUP($A6,AFCARSCSC!$A$4:$D$56,3,FALSE)</f>
        <v>328</v>
      </c>
      <c r="N6" s="75" t="str">
        <f>#REF!</f>
        <v>#REF!</v>
      </c>
      <c r="O6" s="78" t="s">
        <v>63</v>
      </c>
      <c r="P6" s="75" t="str">
        <f t="shared" ref="P6:R6" si="1">#REF!</f>
        <v>#REF!</v>
      </c>
      <c r="Q6" s="75" t="str">
        <f t="shared" si="1"/>
        <v>#REF!</v>
      </c>
      <c r="R6" s="79" t="str">
        <f t="shared" si="1"/>
        <v>#REF!</v>
      </c>
      <c r="S6" s="80" t="str">
        <f t="shared" si="2"/>
        <v>#REF!</v>
      </c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</row>
    <row r="7">
      <c r="A7" s="68" t="s">
        <v>33</v>
      </c>
      <c r="B7" s="74">
        <f t="array" ref="B7:K7">VLOOKUP($A7,AZ_DEMO,{2,5,6,7,8,9,10,11,12,4},FALSE)</f>
        <v>7151502</v>
      </c>
      <c r="C7" s="75">
        <v>4322337.0</v>
      </c>
      <c r="D7" s="75">
        <v>339150.0</v>
      </c>
      <c r="E7" s="75">
        <v>319512.0</v>
      </c>
      <c r="F7" s="75">
        <v>257430.0</v>
      </c>
      <c r="G7" s="75">
        <v>16397.0</v>
      </c>
      <c r="H7" s="75">
        <v>899870.0</v>
      </c>
      <c r="I7" s="75">
        <v>996806.0</v>
      </c>
      <c r="J7" s="76">
        <v>59079.0</v>
      </c>
      <c r="K7" s="77">
        <v>20.4</v>
      </c>
      <c r="L7" s="75" t="str">
        <f t="shared" si="3"/>
        <v>#REF!</v>
      </c>
      <c r="M7" s="75" t="str">
        <f t="shared" ref="M7:N7" si="4">#REF!</f>
        <v>#REF!</v>
      </c>
      <c r="N7" s="75" t="str">
        <f t="shared" si="4"/>
        <v>#REF!</v>
      </c>
      <c r="O7" s="78" t="s">
        <v>63</v>
      </c>
      <c r="P7" s="75" t="str">
        <f t="shared" ref="P7:R7" si="5">#REF!</f>
        <v>#REF!</v>
      </c>
      <c r="Q7" s="75" t="str">
        <f t="shared" si="5"/>
        <v>#REF!</v>
      </c>
      <c r="R7" s="79" t="str">
        <f t="shared" si="5"/>
        <v>#REF!</v>
      </c>
      <c r="S7" s="80" t="str">
        <f t="shared" si="2"/>
        <v>#REF!</v>
      </c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</row>
    <row r="8">
      <c r="A8" s="68" t="s">
        <v>34</v>
      </c>
      <c r="B8" s="94">
        <f>'County PopulationPovertyRacial '!B122</f>
        <v>3011524</v>
      </c>
      <c r="C8" s="95">
        <f>'County PopulationPovertyRacial '!E122</f>
        <v>2114512</v>
      </c>
      <c r="D8" s="95">
        <f>'County PopulationPovertyRacial '!F122</f>
        <v>453783</v>
      </c>
      <c r="E8" s="95">
        <f>'County PopulationPovertyRacial '!G122</f>
        <v>27177</v>
      </c>
      <c r="F8" s="95">
        <f>'County PopulationPovertyRacial '!H122</f>
        <v>51839</v>
      </c>
      <c r="G8" s="95">
        <f>'County PopulationPovertyRacial '!I122</f>
        <v>14533</v>
      </c>
      <c r="H8" s="95">
        <f>'County PopulationPovertyRacial '!J122</f>
        <v>136105</v>
      </c>
      <c r="I8" s="95">
        <f>'County PopulationPovertyRacial '!K122</f>
        <v>213575</v>
      </c>
      <c r="J8" s="108">
        <f>'County PopulationPovertyRacial '!$L$122</f>
        <v>47094</v>
      </c>
      <c r="K8" s="111">
        <f>'County PopulationPovertyRacial '!D122</f>
        <v>23.8</v>
      </c>
      <c r="L8" s="75" t="str">
        <f t="shared" si="3"/>
        <v>#REF!</v>
      </c>
      <c r="M8" s="75" t="str">
        <f t="shared" ref="M8:P8" si="6">#REF!</f>
        <v>#REF!</v>
      </c>
      <c r="N8" s="75" t="str">
        <f t="shared" si="6"/>
        <v>#REF!</v>
      </c>
      <c r="O8" s="78" t="str">
        <f t="shared" si="6"/>
        <v>#REF!</v>
      </c>
      <c r="P8" s="75" t="str">
        <f t="shared" si="6"/>
        <v>#REF!</v>
      </c>
      <c r="Q8" s="75" t="str">
        <f>P8*0.1</f>
        <v>#REF!</v>
      </c>
      <c r="R8" s="79" t="str">
        <f>#REF!</f>
        <v>#REF!</v>
      </c>
      <c r="S8" s="80" t="str">
        <f t="shared" si="2"/>
        <v>#REF!</v>
      </c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</row>
    <row r="9">
      <c r="A9" s="68" t="s">
        <v>35</v>
      </c>
      <c r="B9" s="94">
        <f t="array" ref="B9:K9">VLOOKUP($A9,CA_DEMO,{2,5,6,7,8,9,10,11,12,4},FALSE)</f>
        <v>39538223</v>
      </c>
      <c r="C9" s="75">
        <v>1.6296122E7</v>
      </c>
      <c r="D9" s="75">
        <v>2237044.0</v>
      </c>
      <c r="E9" s="75">
        <v>631016.0</v>
      </c>
      <c r="F9" s="75">
        <v>6085947.0</v>
      </c>
      <c r="G9" s="75">
        <v>157263.0</v>
      </c>
      <c r="H9" s="75">
        <v>8370596.0</v>
      </c>
      <c r="I9" s="75">
        <v>5760235.0</v>
      </c>
      <c r="J9" s="76">
        <v>75250.0</v>
      </c>
      <c r="K9" s="77">
        <v>17.4</v>
      </c>
      <c r="L9" s="75" t="str">
        <f t="shared" si="3"/>
        <v>#REF!</v>
      </c>
      <c r="M9" s="75">
        <f t="array" ref="M9:N9">VLOOKUP($A9,AFCARSCSC!$A$4:$D$56,{3,4},FALSE)</f>
        <v>8180</v>
      </c>
      <c r="N9" s="75">
        <v>34924.0</v>
      </c>
      <c r="O9" s="78" t="s">
        <v>63</v>
      </c>
      <c r="P9" s="75" t="str">
        <f t="shared" ref="P9:R9" si="7">#REF!</f>
        <v>#REF!</v>
      </c>
      <c r="Q9" s="75" t="str">
        <f t="shared" si="7"/>
        <v>#REF!</v>
      </c>
      <c r="R9" s="79" t="str">
        <f t="shared" si="7"/>
        <v>#REF!</v>
      </c>
      <c r="S9" s="80" t="str">
        <f t="shared" si="2"/>
        <v>#REF!</v>
      </c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</row>
    <row r="10">
      <c r="A10" s="68" t="s">
        <v>36</v>
      </c>
      <c r="B10" s="94">
        <f t="array" ref="B10:K10">VLOOKUP($A10,CO_DEMO,{2,5,6,7,8,9,10,11,12,4},FALSE)</f>
        <v>5773714</v>
      </c>
      <c r="C10" s="75">
        <v>4082927.0</v>
      </c>
      <c r="D10" s="75">
        <v>234828.0</v>
      </c>
      <c r="E10" s="75">
        <v>74129.0</v>
      </c>
      <c r="F10" s="75">
        <v>199827.0</v>
      </c>
      <c r="G10" s="75">
        <v>10287.0</v>
      </c>
      <c r="H10" s="75">
        <v>464046.0</v>
      </c>
      <c r="I10" s="75">
        <v>707670.0</v>
      </c>
      <c r="J10" s="76">
        <v>71949.0</v>
      </c>
      <c r="K10" s="77">
        <v>12.1</v>
      </c>
      <c r="L10" s="75" t="str">
        <f t="shared" si="3"/>
        <v>#REF!</v>
      </c>
      <c r="M10" s="75">
        <f t="array" ref="M10:N10">VLOOKUP($A10,AFCARSCSC!$A$4:$D$56,{3,4},FALSE)</f>
        <v>560</v>
      </c>
      <c r="N10" s="75">
        <v>2078.0</v>
      </c>
      <c r="O10" s="78" t="s">
        <v>63</v>
      </c>
      <c r="P10" s="75" t="str">
        <f t="shared" ref="P10:R10" si="8">#REF!</f>
        <v>#REF!</v>
      </c>
      <c r="Q10" s="75" t="str">
        <f t="shared" si="8"/>
        <v>#REF!</v>
      </c>
      <c r="R10" s="79" t="str">
        <f t="shared" si="8"/>
        <v>#REF!</v>
      </c>
      <c r="S10" s="80" t="str">
        <f t="shared" si="2"/>
        <v>#REF!</v>
      </c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</row>
    <row r="11">
      <c r="A11" s="68" t="s">
        <v>37</v>
      </c>
      <c r="B11" s="94">
        <f t="array" ref="B11:K11">VLOOKUP($A11,CT_DEMO,{2,5,6,7,8,9,10,11,12,4},FALSE)</f>
        <v>3605944</v>
      </c>
      <c r="C11" s="75">
        <v>2395128.0</v>
      </c>
      <c r="D11" s="75">
        <v>388675.0</v>
      </c>
      <c r="E11" s="75">
        <v>16051.0</v>
      </c>
      <c r="F11" s="75">
        <v>172455.0</v>
      </c>
      <c r="G11" s="75">
        <v>1598.0</v>
      </c>
      <c r="H11" s="75">
        <v>299133.0</v>
      </c>
      <c r="I11" s="75">
        <v>332904.0</v>
      </c>
      <c r="J11" s="76">
        <v>76366.0</v>
      </c>
      <c r="K11" s="77">
        <v>13.8</v>
      </c>
      <c r="L11" s="75" t="str">
        <f t="shared" si="3"/>
        <v>#REF!</v>
      </c>
      <c r="M11" s="75">
        <f t="array" ref="M11:N11">VLOOKUP($A11,AFCARSCSC!$A$4:$D$56,{3,4},FALSE)</f>
        <v>438</v>
      </c>
      <c r="N11" s="75">
        <v>2363.0</v>
      </c>
      <c r="O11" s="78" t="s">
        <v>63</v>
      </c>
      <c r="P11" s="75" t="str">
        <f t="shared" ref="P11:R11" si="9">#REF!</f>
        <v>#REF!</v>
      </c>
      <c r="Q11" s="75" t="str">
        <f t="shared" si="9"/>
        <v>#REF!</v>
      </c>
      <c r="R11" s="79" t="str">
        <f t="shared" si="9"/>
        <v>#REF!</v>
      </c>
      <c r="S11" s="80" t="str">
        <f t="shared" si="2"/>
        <v>#REF!</v>
      </c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</row>
    <row r="12">
      <c r="A12" s="68" t="s">
        <v>39</v>
      </c>
      <c r="B12" s="94">
        <f t="array" ref="B12:K12">VLOOKUP($A12,DC_DEMO,{2,5,6,7,8,9,10,11,12,4},FALSE)</f>
        <v>689545</v>
      </c>
      <c r="C12" s="75">
        <v>273194.0</v>
      </c>
      <c r="D12" s="75">
        <v>285810.0</v>
      </c>
      <c r="E12" s="75">
        <v>3193.0</v>
      </c>
      <c r="F12" s="75">
        <v>33545.0</v>
      </c>
      <c r="G12" s="75">
        <v>432.0</v>
      </c>
      <c r="H12" s="75">
        <v>37294.0</v>
      </c>
      <c r="I12" s="75">
        <v>56077.0</v>
      </c>
      <c r="J12" s="76">
        <v>82533.0</v>
      </c>
      <c r="K12" s="77">
        <v>24.5</v>
      </c>
      <c r="L12" s="75">
        <f>'District of Columbia'!L3</f>
        <v>346</v>
      </c>
      <c r="M12" s="75">
        <f t="array" ref="M12:N12">VLOOKUP($A12,AFCARSCSC!$A$4:$D$56,{3,4},FALSE)</f>
        <v>0</v>
      </c>
      <c r="N12" s="75">
        <v>386.0</v>
      </c>
      <c r="O12" s="78" t="str">
        <f>#REF!</f>
        <v>#REF!</v>
      </c>
      <c r="P12" s="75">
        <f>'Population &amp; Church Numbers'!D322</f>
        <v>480</v>
      </c>
      <c r="Q12" s="75">
        <f>P12*0.1</f>
        <v>48</v>
      </c>
      <c r="R12" s="79" t="str">
        <f>#REF!</f>
        <v>#REF!</v>
      </c>
      <c r="S12" s="80">
        <f t="shared" si="2"/>
        <v>0.6961112038</v>
      </c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</row>
    <row r="13">
      <c r="A13" s="68" t="s">
        <v>40</v>
      </c>
      <c r="B13" s="94">
        <f t="array" ref="B13:K13">VLOOKUP($A13,DE_DEMO,{2,5,6,7,8,9,10,11,12,4},FALSE)</f>
        <v>989948</v>
      </c>
      <c r="C13" s="75">
        <v>597763.0</v>
      </c>
      <c r="D13" s="75">
        <v>218899.0</v>
      </c>
      <c r="E13" s="75">
        <v>5148.0</v>
      </c>
      <c r="F13" s="75">
        <v>42699.0</v>
      </c>
      <c r="G13" s="75">
        <v>412.0</v>
      </c>
      <c r="H13" s="75">
        <v>48509.0</v>
      </c>
      <c r="I13" s="75">
        <v>76518.0</v>
      </c>
      <c r="J13" s="76">
        <v>65467.0</v>
      </c>
      <c r="K13" s="77">
        <v>17.6</v>
      </c>
      <c r="L13" s="75" t="str">
        <f t="shared" ref="L13:N13" si="10">#REF!</f>
        <v>#REF!</v>
      </c>
      <c r="M13" s="75" t="str">
        <f t="shared" si="10"/>
        <v>#REF!</v>
      </c>
      <c r="N13" s="75" t="str">
        <f t="shared" si="10"/>
        <v>#REF!</v>
      </c>
      <c r="O13" s="78" t="s">
        <v>63</v>
      </c>
      <c r="P13" s="75" t="str">
        <f t="shared" ref="P13:R13" si="11">#REF!</f>
        <v>#REF!</v>
      </c>
      <c r="Q13" s="75" t="str">
        <f t="shared" si="11"/>
        <v>#REF!</v>
      </c>
      <c r="R13" s="79" t="str">
        <f t="shared" si="11"/>
        <v>#REF!</v>
      </c>
      <c r="S13" s="80" t="str">
        <f t="shared" si="2"/>
        <v>#REF!</v>
      </c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</row>
    <row r="14">
      <c r="A14" s="68" t="s">
        <v>42</v>
      </c>
      <c r="B14" s="94">
        <f t="array" ref="B14:K14">VLOOKUP($A14,FL_DEMO,{2,5,6,7,8,9,10,11,12,4},FALSE)</f>
        <v>21538187</v>
      </c>
      <c r="C14" s="75">
        <v>1.2422961E7</v>
      </c>
      <c r="D14" s="75">
        <v>3246381.0</v>
      </c>
      <c r="E14" s="75">
        <v>94795.0</v>
      </c>
      <c r="F14" s="75">
        <v>643682.0</v>
      </c>
      <c r="G14" s="75">
        <v>14014.0</v>
      </c>
      <c r="H14" s="75">
        <v>1564282.0</v>
      </c>
      <c r="I14" s="75">
        <v>3552072.0</v>
      </c>
      <c r="J14" s="76">
        <v>55433.0</v>
      </c>
      <c r="K14" s="77">
        <v>20.0</v>
      </c>
      <c r="L14" s="75" t="str">
        <f>Florida!L71</f>
        <v>NULL</v>
      </c>
      <c r="M14" s="75">
        <f>VLOOKUP($A14,AFCARSCSC!$A$4:$D$56,3,FALSE)</f>
        <v>5576</v>
      </c>
      <c r="N14" s="75">
        <f>VLOOKUP($A14,AFCARSCSC!$A$4:$D$56,4,FALSE)</f>
        <v>8712</v>
      </c>
      <c r="O14" s="78" t="s">
        <v>63</v>
      </c>
      <c r="P14" s="75" t="str">
        <f t="shared" ref="P14:R14" si="12">#REF!</f>
        <v>#REF!</v>
      </c>
      <c r="Q14" s="75" t="str">
        <f t="shared" si="12"/>
        <v>#REF!</v>
      </c>
      <c r="R14" s="79" t="str">
        <f t="shared" si="12"/>
        <v>#REF!</v>
      </c>
      <c r="S14" s="80" t="str">
        <f t="shared" si="2"/>
        <v>#REF!</v>
      </c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</row>
    <row r="15">
      <c r="A15" s="68" t="s">
        <v>44</v>
      </c>
      <c r="B15" s="94">
        <f t="array" ref="B15:K15">VLOOKUP($A15,GA_DEMO,{2,5,6,7,8,9,10,11,12,4},FALSE)</f>
        <v>10711908</v>
      </c>
      <c r="C15" s="75">
        <v>5555483.0</v>
      </c>
      <c r="D15" s="75">
        <v>3320513.0</v>
      </c>
      <c r="E15" s="75">
        <v>50618.0</v>
      </c>
      <c r="F15" s="75">
        <v>479028.0</v>
      </c>
      <c r="G15" s="75">
        <v>7299.0</v>
      </c>
      <c r="H15" s="75">
        <v>555059.0</v>
      </c>
      <c r="I15" s="75">
        <v>743908.0</v>
      </c>
      <c r="J15" s="76">
        <v>58634.0</v>
      </c>
      <c r="K15" s="77">
        <v>21.0</v>
      </c>
      <c r="L15" s="75" t="str">
        <f t="shared" ref="L15:M15" si="13">#REF!</f>
        <v>#REF!</v>
      </c>
      <c r="M15" s="75" t="str">
        <f t="shared" si="13"/>
        <v>#REF!</v>
      </c>
      <c r="N15" s="75">
        <f>VLOOKUP($A15,AFCARSCSC!$A$4:$D$56,4,FALSE)</f>
        <v>4559</v>
      </c>
      <c r="O15" s="78" t="s">
        <v>63</v>
      </c>
      <c r="P15" s="75" t="str">
        <f t="shared" ref="P15:R15" si="14">#REF!</f>
        <v>#REF!</v>
      </c>
      <c r="Q15" s="75" t="str">
        <f t="shared" si="14"/>
        <v>#REF!</v>
      </c>
      <c r="R15" s="79" t="str">
        <f t="shared" si="14"/>
        <v>#REF!</v>
      </c>
      <c r="S15" s="80" t="str">
        <f t="shared" si="2"/>
        <v>#REF!</v>
      </c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</row>
    <row r="16">
      <c r="A16" s="68" t="s">
        <v>45</v>
      </c>
      <c r="B16" s="94">
        <f>'County PopulationPovertyRacial '!B564</f>
        <v>1455271</v>
      </c>
      <c r="C16" s="95">
        <f>'County PopulationPovertyRacial '!E564</f>
        <v>333261</v>
      </c>
      <c r="D16" s="95">
        <f>'County PopulationPovertyRacial '!F564</f>
        <v>23417</v>
      </c>
      <c r="E16" s="95">
        <f>'County PopulationPovertyRacial '!G564</f>
        <v>4370</v>
      </c>
      <c r="F16" s="95">
        <f>'County PopulationPovertyRacial '!H564</f>
        <v>541902</v>
      </c>
      <c r="G16" s="95">
        <f>'County PopulationPovertyRacial '!I564</f>
        <v>157445</v>
      </c>
      <c r="H16" s="95">
        <f>'County PopulationPovertyRacial '!J564</f>
        <v>26747</v>
      </c>
      <c r="I16" s="95">
        <f>'County PopulationPovertyRacial '!K564</f>
        <v>368129</v>
      </c>
      <c r="J16" s="108">
        <f>'County PopulationPovertyRacial '!$L$564</f>
        <v>80527</v>
      </c>
      <c r="K16" s="111">
        <f>'County PopulationPovertyRacial '!D564</f>
        <v>11.8</v>
      </c>
      <c r="L16" s="75">
        <f t="array" ref="L16:N16">VLOOKUP($A16,AFCARSCSC!$A$4:$D$56,{2,3,4},FALSE)</f>
        <v>1340</v>
      </c>
      <c r="M16" s="75">
        <v>228.0</v>
      </c>
      <c r="N16" s="75">
        <v>781.0</v>
      </c>
      <c r="O16" s="78" t="s">
        <v>63</v>
      </c>
      <c r="P16" s="75" t="str">
        <f t="shared" ref="P16:R16" si="15">#REF!</f>
        <v>#REF!</v>
      </c>
      <c r="Q16" s="75" t="str">
        <f t="shared" si="15"/>
        <v>#REF!</v>
      </c>
      <c r="R16" s="79" t="str">
        <f t="shared" si="15"/>
        <v>#REF!</v>
      </c>
      <c r="S16" s="80" t="str">
        <f t="shared" si="2"/>
        <v>#REF!</v>
      </c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</row>
    <row r="17">
      <c r="A17" s="68" t="s">
        <v>47</v>
      </c>
      <c r="B17" s="94">
        <f>'County PopulationPovertyRacial '!$B$570</f>
        <v>1839106</v>
      </c>
      <c r="C17" s="95">
        <f>'County PopulationPovertyRacial '!$E$570</f>
        <v>1510360</v>
      </c>
      <c r="D17" s="95">
        <f>'County PopulationPovertyRacial '!$F$570</f>
        <v>15726</v>
      </c>
      <c r="E17" s="95">
        <f>'County PopulationPovertyRacial '!$G$570</f>
        <v>25621</v>
      </c>
      <c r="F17" s="95">
        <f>'County PopulationPovertyRacial '!$H$570</f>
        <v>26836</v>
      </c>
      <c r="G17" s="95">
        <f>'County PopulationPovertyRacial '!$I$570</f>
        <v>3726</v>
      </c>
      <c r="H17" s="95">
        <f>'County PopulationPovertyRacial '!$J$570</f>
        <v>103632</v>
      </c>
      <c r="I17" s="95">
        <f>'County PopulationPovertyRacial '!$K$570</f>
        <v>153205</v>
      </c>
      <c r="J17" s="108">
        <f>'County PopulationPovertyRacial '!$L$570</f>
        <v>55524</v>
      </c>
      <c r="K17" s="111">
        <f>'County PopulationPovertyRacial '!D570</f>
        <v>14.2</v>
      </c>
      <c r="L17" s="75">
        <f t="array" ref="L17:N17">VLOOKUP($A17,AFCARSCSC!$A$4:$D$56,{2,3,4},FALSE)</f>
        <v>1548</v>
      </c>
      <c r="M17" s="75">
        <v>170.0</v>
      </c>
      <c r="N17" s="75">
        <v>1187.0</v>
      </c>
      <c r="O17" s="78" t="s">
        <v>63</v>
      </c>
      <c r="P17" s="75" t="str">
        <f t="shared" ref="P17:R17" si="16">#REF!</f>
        <v>#REF!</v>
      </c>
      <c r="Q17" s="75" t="str">
        <f t="shared" si="16"/>
        <v>#REF!</v>
      </c>
      <c r="R17" s="79" t="str">
        <f t="shared" si="16"/>
        <v>#REF!</v>
      </c>
      <c r="S17" s="80" t="str">
        <f t="shared" si="2"/>
        <v>#REF!</v>
      </c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</row>
    <row r="18">
      <c r="A18" s="68" t="s">
        <v>48</v>
      </c>
      <c r="B18" s="94">
        <f t="array" ref="B18:K18">VLOOKUP($A18,IL_DEMO,{2,5,6,7,8,9,10,11,12,4},FALSE)</f>
        <v>12812508</v>
      </c>
      <c r="C18" s="75">
        <v>7868227.0</v>
      </c>
      <c r="D18" s="75">
        <v>1808271.0</v>
      </c>
      <c r="E18" s="75">
        <v>96498.0</v>
      </c>
      <c r="F18" s="75">
        <v>754878.0</v>
      </c>
      <c r="G18" s="75">
        <v>4501.0</v>
      </c>
      <c r="H18" s="75">
        <v>1135149.0</v>
      </c>
      <c r="I18" s="75">
        <v>1144984.0</v>
      </c>
      <c r="J18" s="76">
        <v>65063.0</v>
      </c>
      <c r="K18" s="77">
        <v>16.2</v>
      </c>
      <c r="L18" s="75" t="str">
        <f t="shared" ref="L18:L22" si="18">#REF!</f>
        <v>#REF!</v>
      </c>
      <c r="M18" s="75">
        <f>VLOOKUP($A18,AFCARSCSC!$A$4:$D$56,3,FALSE)</f>
        <v>2660</v>
      </c>
      <c r="N18" s="75" t="str">
        <f>#REF!</f>
        <v>#REF!</v>
      </c>
      <c r="O18" s="78" t="s">
        <v>63</v>
      </c>
      <c r="P18" s="75" t="str">
        <f t="shared" ref="P18:R18" si="17">#REF!</f>
        <v>#REF!</v>
      </c>
      <c r="Q18" s="75" t="str">
        <f t="shared" si="17"/>
        <v>#REF!</v>
      </c>
      <c r="R18" s="79" t="str">
        <f t="shared" si="17"/>
        <v>#REF!</v>
      </c>
      <c r="S18" s="80" t="str">
        <f t="shared" si="2"/>
        <v>#REF!</v>
      </c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</row>
    <row r="19">
      <c r="A19" s="68" t="s">
        <v>49</v>
      </c>
      <c r="B19" s="94">
        <f t="array" ref="B19:K19">VLOOKUP($A19,IN_DEMO,{2,5,6,7,8,9,10,11,12,4},FALSE)</f>
        <v>6785528</v>
      </c>
      <c r="C19" s="75">
        <v>5241795.0</v>
      </c>
      <c r="D19" s="75">
        <v>648513.0</v>
      </c>
      <c r="E19" s="75">
        <v>26086.0</v>
      </c>
      <c r="F19" s="75">
        <v>167959.0</v>
      </c>
      <c r="G19" s="75">
        <v>3137.0</v>
      </c>
      <c r="H19" s="75">
        <v>261312.0</v>
      </c>
      <c r="I19" s="75">
        <v>436726.0</v>
      </c>
      <c r="J19" s="76">
        <v>55725.0</v>
      </c>
      <c r="K19" s="77">
        <v>17.5</v>
      </c>
      <c r="L19" s="75" t="str">
        <f t="shared" si="18"/>
        <v>#REF!</v>
      </c>
      <c r="M19" s="75">
        <f t="array" ref="M19:N19">VLOOKUP($A19,AFCARSCSC!$A$4:$D$56,{3,4},FALSE)</f>
        <v>1389</v>
      </c>
      <c r="N19" s="75">
        <v>4531.0</v>
      </c>
      <c r="O19" s="78" t="str">
        <f t="shared" ref="O19:R19" si="19">#REF!</f>
        <v>#REF!</v>
      </c>
      <c r="P19" s="75" t="str">
        <f t="shared" si="19"/>
        <v>#REF!</v>
      </c>
      <c r="Q19" s="75" t="str">
        <f t="shared" si="19"/>
        <v>#REF!</v>
      </c>
      <c r="R19" s="79" t="str">
        <f t="shared" si="19"/>
        <v>#REF!</v>
      </c>
      <c r="S19" s="80" t="str">
        <f t="shared" si="2"/>
        <v>#REF!</v>
      </c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</row>
    <row r="20">
      <c r="A20" s="68" t="s">
        <v>50</v>
      </c>
      <c r="B20" s="94">
        <f>'County PopulationPovertyRacial '!$B$811</f>
        <v>3190369</v>
      </c>
      <c r="C20" s="95">
        <f>'County PopulationPovertyRacial '!$E$811</f>
        <v>2694521</v>
      </c>
      <c r="D20" s="95">
        <f>'County PopulationPovertyRacial '!$F$811</f>
        <v>131972</v>
      </c>
      <c r="E20" s="95">
        <f>'County PopulationPovertyRacial '!$G$811</f>
        <v>14486</v>
      </c>
      <c r="F20" s="95">
        <f>'County PopulationPovertyRacial '!$H$811</f>
        <v>75629</v>
      </c>
      <c r="G20" s="95">
        <f>'County PopulationPovertyRacial '!$I$811</f>
        <v>5758</v>
      </c>
      <c r="H20" s="95">
        <f>'County PopulationPovertyRacial '!$J$811</f>
        <v>88720</v>
      </c>
      <c r="I20" s="95">
        <f>'County PopulationPovertyRacial '!$K$811</f>
        <v>179283</v>
      </c>
      <c r="J20" s="108">
        <f>'County PopulationPovertyRacial '!$L$811</f>
        <v>60071</v>
      </c>
      <c r="K20" s="111">
        <f>'County PopulationPovertyRacial '!$D$811</f>
        <v>13.5</v>
      </c>
      <c r="L20" s="75" t="str">
        <f t="shared" si="18"/>
        <v>#REF!</v>
      </c>
      <c r="M20" s="75">
        <f t="array" ref="M20:N20">VLOOKUP($A20,AFCARSCSC!$A$4:$D$56,{3,4},FALSE)</f>
        <v>765</v>
      </c>
      <c r="N20" s="75">
        <v>2244.0</v>
      </c>
      <c r="O20" s="78" t="s">
        <v>63</v>
      </c>
      <c r="P20" s="75" t="str">
        <f t="shared" ref="P20:R20" si="20">#REF!</f>
        <v>#REF!</v>
      </c>
      <c r="Q20" s="75" t="str">
        <f t="shared" si="20"/>
        <v>#REF!</v>
      </c>
      <c r="R20" s="79" t="str">
        <f t="shared" si="20"/>
        <v>#REF!</v>
      </c>
      <c r="S20" s="80" t="str">
        <f t="shared" si="2"/>
        <v>#REF!</v>
      </c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</row>
    <row r="21">
      <c r="A21" s="68" t="s">
        <v>53</v>
      </c>
      <c r="B21" s="94">
        <f t="array" ref="B21:K21">VLOOKUP($A21,KS_DEMO,{2,5,6,7,8,9,10,11,12,4},FALSE)</f>
        <v>2937880</v>
      </c>
      <c r="C21" s="75">
        <v>2222462.0</v>
      </c>
      <c r="D21" s="75">
        <v>168809.0</v>
      </c>
      <c r="E21" s="75">
        <v>30995.0</v>
      </c>
      <c r="F21" s="75">
        <v>86273.0</v>
      </c>
      <c r="G21" s="75">
        <v>3412.0</v>
      </c>
      <c r="H21" s="75">
        <v>145422.0</v>
      </c>
      <c r="I21" s="75">
        <v>280507.0</v>
      </c>
      <c r="J21" s="76">
        <v>58150.0</v>
      </c>
      <c r="K21" s="77">
        <v>14.8</v>
      </c>
      <c r="L21" s="75" t="str">
        <f t="shared" si="18"/>
        <v>#REF!</v>
      </c>
      <c r="M21" s="75" t="str">
        <f t="shared" ref="M21:N21" si="21">#REF!</f>
        <v>#REF!</v>
      </c>
      <c r="N21" s="75" t="str">
        <f t="shared" si="21"/>
        <v>#REF!</v>
      </c>
      <c r="O21" s="78" t="s">
        <v>63</v>
      </c>
      <c r="P21" s="75" t="str">
        <f t="shared" ref="P21:R21" si="22">#REF!</f>
        <v>#REF!</v>
      </c>
      <c r="Q21" s="75" t="str">
        <f t="shared" si="22"/>
        <v>#REF!</v>
      </c>
      <c r="R21" s="79" t="str">
        <f t="shared" si="22"/>
        <v>#REF!</v>
      </c>
      <c r="S21" s="80" t="str">
        <f t="shared" si="2"/>
        <v>#REF!</v>
      </c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</row>
    <row r="22">
      <c r="A22" s="68" t="s">
        <v>54</v>
      </c>
      <c r="B22" s="94">
        <f t="array" ref="B22:K22">VLOOKUP($A22,KY_DEMO,{2,5,6,7,8,9,10,11,12,4},FALSE)</f>
        <v>4505836</v>
      </c>
      <c r="C22" s="75">
        <v>3711254.0</v>
      </c>
      <c r="D22" s="75">
        <v>362417.0</v>
      </c>
      <c r="E22" s="75">
        <v>12801.0</v>
      </c>
      <c r="F22" s="75">
        <v>74426.0</v>
      </c>
      <c r="G22" s="75">
        <v>3681.0</v>
      </c>
      <c r="H22" s="75">
        <v>96417.0</v>
      </c>
      <c r="I22" s="75">
        <v>244840.0</v>
      </c>
      <c r="J22" s="76">
        <v>50189.0</v>
      </c>
      <c r="K22" s="77">
        <v>22.3</v>
      </c>
      <c r="L22" s="75" t="str">
        <f t="shared" si="18"/>
        <v>#REF!</v>
      </c>
      <c r="M22" s="75" t="str">
        <f>#REF!</f>
        <v>#REF!</v>
      </c>
      <c r="N22" s="75">
        <f>VLOOKUP($A22,AFCARSCSC!$A$4:$D$56,4,FALSE)</f>
        <v>5185</v>
      </c>
      <c r="O22" s="78" t="s">
        <v>63</v>
      </c>
      <c r="P22" s="75" t="str">
        <f t="shared" ref="P22:R22" si="23">#REF!</f>
        <v>#REF!</v>
      </c>
      <c r="Q22" s="75" t="str">
        <f t="shared" si="23"/>
        <v>#REF!</v>
      </c>
      <c r="R22" s="79" t="str">
        <f t="shared" si="23"/>
        <v>#REF!</v>
      </c>
      <c r="S22" s="80" t="str">
        <f t="shared" si="2"/>
        <v>#REF!</v>
      </c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</row>
    <row r="23">
      <c r="A23" s="68" t="s">
        <v>55</v>
      </c>
      <c r="B23" s="94">
        <f t="array" ref="B23:K23">VLOOKUP($A23,LA_DEMO,{2,5,6,7,8,9,10,11,12,4},FALSE)</f>
        <v>4657757</v>
      </c>
      <c r="C23" s="75">
        <v>2657652.0</v>
      </c>
      <c r="D23" s="75">
        <v>1464023.0</v>
      </c>
      <c r="E23" s="75">
        <v>31657.0</v>
      </c>
      <c r="F23" s="75">
        <v>86438.0</v>
      </c>
      <c r="G23" s="75">
        <v>1911.0</v>
      </c>
      <c r="H23" s="75">
        <v>142699.0</v>
      </c>
      <c r="I23" s="75">
        <v>273377.0</v>
      </c>
      <c r="J23" s="76">
        <v>48021.0</v>
      </c>
      <c r="K23" s="77">
        <v>26.5</v>
      </c>
      <c r="L23" s="75">
        <f t="array" ref="L23:N23">VLOOKUP($A23,AFCARSCSC!$A$4:$D$56,{2,3,4},FALSE)</f>
        <v>3682</v>
      </c>
      <c r="M23" s="75">
        <v>501.0</v>
      </c>
      <c r="N23" s="75">
        <v>1659.0</v>
      </c>
      <c r="O23" s="78" t="s">
        <v>63</v>
      </c>
      <c r="P23" s="75" t="str">
        <f t="shared" ref="P23:R23" si="24">#REF!</f>
        <v>#REF!</v>
      </c>
      <c r="Q23" s="75" t="str">
        <f t="shared" si="24"/>
        <v>#REF!</v>
      </c>
      <c r="R23" s="79" t="str">
        <f t="shared" si="24"/>
        <v>#REF!</v>
      </c>
      <c r="S23" s="80" t="str">
        <f t="shared" si="2"/>
        <v>#REF!</v>
      </c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</row>
    <row r="24">
      <c r="A24" s="68" t="s">
        <v>56</v>
      </c>
      <c r="B24" s="94">
        <f t="array" ref="B24:K24">VLOOKUP($A24,ME_DEMO,{2,5,6,7,8,9,10,11,12,4},FALSE)</f>
        <v>1338404</v>
      </c>
      <c r="C24" s="75">
        <v>1237041.0</v>
      </c>
      <c r="D24" s="75">
        <v>25752.0</v>
      </c>
      <c r="E24" s="75">
        <v>7885.0</v>
      </c>
      <c r="F24" s="75">
        <v>16798.0</v>
      </c>
      <c r="G24" s="75">
        <v>443.0</v>
      </c>
      <c r="H24" s="75">
        <v>9730.0</v>
      </c>
      <c r="I24" s="75">
        <v>64710.0</v>
      </c>
      <c r="J24" s="76">
        <v>55579.0</v>
      </c>
      <c r="K24" s="77">
        <v>14.8</v>
      </c>
      <c r="L24" s="75" t="str">
        <f t="shared" ref="L24:L25" si="26">#REF!</f>
        <v>#REF!</v>
      </c>
      <c r="M24" s="75">
        <f t="array" ref="M24:N24">VLOOKUP($A24,AFCARSCSC!$A$4:$D$56,{3,4},FALSE)</f>
        <v>107</v>
      </c>
      <c r="N24" s="75">
        <v>1767.0</v>
      </c>
      <c r="O24" s="78" t="s">
        <v>63</v>
      </c>
      <c r="P24" s="75" t="str">
        <f t="shared" ref="P24:R24" si="25">#REF!</f>
        <v>#REF!</v>
      </c>
      <c r="Q24" s="75" t="str">
        <f t="shared" si="25"/>
        <v>#REF!</v>
      </c>
      <c r="R24" s="79" t="str">
        <f t="shared" si="25"/>
        <v>#REF!</v>
      </c>
      <c r="S24" s="80" t="str">
        <f t="shared" si="2"/>
        <v>#REF!</v>
      </c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</row>
    <row r="25">
      <c r="A25" s="68" t="s">
        <v>57</v>
      </c>
      <c r="B25" s="94">
        <f t="array" ref="B25:K25">VLOOKUP($A25,MD_DEMO,{2,5,6,7,8,9,10,11,12,4},FALSE)</f>
        <v>6177224</v>
      </c>
      <c r="C25" s="75">
        <v>3007874.0</v>
      </c>
      <c r="D25" s="75">
        <v>1820472.0</v>
      </c>
      <c r="E25" s="75">
        <v>31845.0</v>
      </c>
      <c r="F25" s="75">
        <v>420944.0</v>
      </c>
      <c r="G25" s="75">
        <v>3247.0</v>
      </c>
      <c r="H25" s="75">
        <v>410941.0</v>
      </c>
      <c r="I25" s="75">
        <v>481901.0</v>
      </c>
      <c r="J25" s="76">
        <v>83076.0</v>
      </c>
      <c r="K25" s="77">
        <v>12.1</v>
      </c>
      <c r="L25" s="75" t="str">
        <f t="shared" si="26"/>
        <v>#REF!</v>
      </c>
      <c r="M25" s="75" t="str">
        <f t="shared" ref="M25:R25" si="27">#REF!</f>
        <v>#REF!</v>
      </c>
      <c r="N25" s="75" t="str">
        <f t="shared" si="27"/>
        <v>#REF!</v>
      </c>
      <c r="O25" s="78" t="str">
        <f t="shared" si="27"/>
        <v>#REF!</v>
      </c>
      <c r="P25" s="75" t="str">
        <f t="shared" si="27"/>
        <v>#REF!</v>
      </c>
      <c r="Q25" s="75" t="str">
        <f t="shared" si="27"/>
        <v>#REF!</v>
      </c>
      <c r="R25" s="79" t="str">
        <f t="shared" si="27"/>
        <v>#REF!</v>
      </c>
      <c r="S25" s="80" t="str">
        <f t="shared" si="2"/>
        <v>#REF!</v>
      </c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</row>
    <row r="26">
      <c r="A26" s="68" t="s">
        <v>59</v>
      </c>
      <c r="B26" s="94">
        <f t="array" ref="B26:K26">VLOOKUP($A26,MA_DEMO,{2,5,6,7,8,9,10,11,12,4},FALSE)</f>
        <v>7029917</v>
      </c>
      <c r="C26" s="75">
        <v>4896037.0</v>
      </c>
      <c r="D26" s="75">
        <v>494029.0</v>
      </c>
      <c r="E26" s="75">
        <v>24018.0</v>
      </c>
      <c r="F26" s="75">
        <v>507934.0</v>
      </c>
      <c r="G26" s="75">
        <v>2301.0</v>
      </c>
      <c r="H26" s="75">
        <v>496731.0</v>
      </c>
      <c r="I26" s="75">
        <v>608867.0</v>
      </c>
      <c r="J26" s="76">
        <v>79817.0</v>
      </c>
      <c r="K26" s="77">
        <v>12.4</v>
      </c>
      <c r="L26" s="75">
        <f t="array" ref="L26:N26">VLOOKUP($A26,AFCARSCSC!$A$4:$D$56,{2,3,4},FALSE)</f>
        <v>8824</v>
      </c>
      <c r="M26" s="75">
        <v>1316.0</v>
      </c>
      <c r="N26" s="75">
        <v>5159.0</v>
      </c>
      <c r="O26" s="78" t="s">
        <v>63</v>
      </c>
      <c r="P26" s="75" t="str">
        <f t="shared" ref="P26:R26" si="28">#REF!</f>
        <v>#REF!</v>
      </c>
      <c r="Q26" s="75" t="str">
        <f t="shared" si="28"/>
        <v>#REF!</v>
      </c>
      <c r="R26" s="79" t="str">
        <f t="shared" si="28"/>
        <v>#REF!</v>
      </c>
      <c r="S26" s="80" t="str">
        <f t="shared" si="2"/>
        <v>#REF!</v>
      </c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</row>
    <row r="27">
      <c r="A27" s="68" t="s">
        <v>60</v>
      </c>
      <c r="B27" s="94">
        <f t="array" ref="B27:K27">VLOOKUP($A27,MI_DEMO,{2,5,6,7,8,9,10,11,12,4},FALSE)</f>
        <v>10077331</v>
      </c>
      <c r="C27" s="75">
        <v>7444974.0</v>
      </c>
      <c r="D27" s="75">
        <v>1376579.0</v>
      </c>
      <c r="E27" s="75">
        <v>61261.0</v>
      </c>
      <c r="F27" s="75">
        <v>334300.0</v>
      </c>
      <c r="G27" s="75">
        <v>3051.0</v>
      </c>
      <c r="H27" s="75">
        <v>221851.0</v>
      </c>
      <c r="I27" s="75">
        <v>635315.0</v>
      </c>
      <c r="J27" s="76">
        <v>56640.0</v>
      </c>
      <c r="K27" s="77">
        <v>19.3</v>
      </c>
      <c r="L27" s="75" t="str">
        <f t="shared" ref="L27:M27" si="29">#REF!</f>
        <v>#REF!</v>
      </c>
      <c r="M27" s="75" t="str">
        <f t="shared" si="29"/>
        <v>#REF!</v>
      </c>
      <c r="N27" s="75">
        <f>VLOOKUP($A27,AFCARSCSC!$A$4:$D$56,4,FALSE)</f>
        <v>4169</v>
      </c>
      <c r="O27" s="78" t="s">
        <v>63</v>
      </c>
      <c r="P27" s="75" t="str">
        <f t="shared" ref="P27:R27" si="30">#REF!</f>
        <v>#REF!</v>
      </c>
      <c r="Q27" s="75" t="str">
        <f t="shared" si="30"/>
        <v>#REF!</v>
      </c>
      <c r="R27" s="79" t="str">
        <f t="shared" si="30"/>
        <v>#REF!</v>
      </c>
      <c r="S27" s="80" t="str">
        <f t="shared" si="2"/>
        <v>#REF!</v>
      </c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</row>
    <row r="28">
      <c r="A28" s="68" t="s">
        <v>65</v>
      </c>
      <c r="B28" s="94">
        <f t="array" ref="B28:K28">VLOOKUP($A28,MN_DEMO,{2,5,6,7,8,9,10,11,12,4},FALSE)</f>
        <v>5706494</v>
      </c>
      <c r="C28" s="75">
        <v>4423146.0</v>
      </c>
      <c r="D28" s="75">
        <v>398434.0</v>
      </c>
      <c r="E28" s="75">
        <v>68641.0</v>
      </c>
      <c r="F28" s="75">
        <v>299190.0</v>
      </c>
      <c r="G28" s="75">
        <v>2918.0</v>
      </c>
      <c r="H28" s="75">
        <v>168444.0</v>
      </c>
      <c r="I28" s="75">
        <v>345721.0</v>
      </c>
      <c r="J28" s="76">
        <v>70295.0</v>
      </c>
      <c r="K28" s="77">
        <v>11.5</v>
      </c>
      <c r="L28" s="75" t="str">
        <f>#REF!</f>
        <v>#REF!</v>
      </c>
      <c r="M28" s="75">
        <f t="array" ref="M28:N28">VLOOKUP($A28,AFCARSCSC!$A$4:$D$56,{3,4},FALSE)</f>
        <v>1423</v>
      </c>
      <c r="N28" s="75">
        <v>3766.0</v>
      </c>
      <c r="O28" s="78" t="s">
        <v>63</v>
      </c>
      <c r="P28" s="75" t="str">
        <f t="shared" ref="P28:R28" si="31">#REF!</f>
        <v>#REF!</v>
      </c>
      <c r="Q28" s="75" t="str">
        <f t="shared" si="31"/>
        <v>#REF!</v>
      </c>
      <c r="R28" s="79" t="str">
        <f t="shared" si="31"/>
        <v>#REF!</v>
      </c>
      <c r="S28" s="80" t="str">
        <f t="shared" si="2"/>
        <v>#REF!</v>
      </c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</row>
    <row r="29">
      <c r="A29" s="68" t="s">
        <v>67</v>
      </c>
      <c r="B29" s="94">
        <f t="array" ref="B29:K29">VLOOKUP($A29,MS_DEMO,{2,5,6,7,8,9,10,11,12,4},FALSE)</f>
        <v>2961279</v>
      </c>
      <c r="C29" s="75">
        <v>1658893.0</v>
      </c>
      <c r="D29" s="75">
        <v>1084481.0</v>
      </c>
      <c r="E29" s="75">
        <v>16450.0</v>
      </c>
      <c r="F29" s="75">
        <v>32709.0</v>
      </c>
      <c r="G29" s="75">
        <v>1154.0</v>
      </c>
      <c r="H29" s="75">
        <v>56860.0</v>
      </c>
      <c r="I29" s="75">
        <v>110732.0</v>
      </c>
      <c r="J29" s="76">
        <v>44740.0</v>
      </c>
      <c r="K29" s="77">
        <v>28.2</v>
      </c>
      <c r="L29" s="75">
        <f t="array" ref="L29:N29">VLOOKUP($A29,AFCARSCSC!$A$4:$D$56,{2,3,4},FALSE)</f>
        <v>3825</v>
      </c>
      <c r="M29" s="75">
        <v>530.0</v>
      </c>
      <c r="N29" s="75">
        <v>1691.0</v>
      </c>
      <c r="O29" s="78" t="s">
        <v>63</v>
      </c>
      <c r="P29" s="75" t="str">
        <f t="shared" ref="P29:R29" si="32">#REF!</f>
        <v>#REF!</v>
      </c>
      <c r="Q29" s="75" t="str">
        <f t="shared" si="32"/>
        <v>#REF!</v>
      </c>
      <c r="R29" s="79" t="str">
        <f t="shared" si="32"/>
        <v>#REF!</v>
      </c>
      <c r="S29" s="80" t="str">
        <f t="shared" si="2"/>
        <v>#REF!</v>
      </c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</row>
    <row r="30">
      <c r="A30" s="68" t="s">
        <v>73</v>
      </c>
      <c r="B30" s="94">
        <f t="array" ref="B30:K30">VLOOKUP($A30,MO_DEMO,{2,5,6,7,8,9,10,11,12,4},FALSE)</f>
        <v>6154913</v>
      </c>
      <c r="C30" s="75">
        <v>4740335.0</v>
      </c>
      <c r="D30" s="75">
        <v>699840.0</v>
      </c>
      <c r="E30" s="75">
        <v>30518.0</v>
      </c>
      <c r="F30" s="75">
        <v>133377.0</v>
      </c>
      <c r="G30" s="75">
        <v>9730.0</v>
      </c>
      <c r="H30" s="75">
        <v>127942.0</v>
      </c>
      <c r="I30" s="75">
        <v>413171.0</v>
      </c>
      <c r="J30" s="76">
        <v>54412.0</v>
      </c>
      <c r="K30" s="77">
        <v>18.3</v>
      </c>
      <c r="L30" s="75" t="str">
        <f t="shared" ref="L30:M30" si="33">#REF!</f>
        <v>#REF!</v>
      </c>
      <c r="M30" s="75" t="str">
        <f t="shared" si="33"/>
        <v>#REF!</v>
      </c>
      <c r="N30" s="75">
        <f>VLOOKUP($A30,AFCARSCSC!$A$4:$D$56,4,FALSE)</f>
        <v>4567</v>
      </c>
      <c r="O30" s="78" t="str">
        <f t="shared" ref="O30:R30" si="34">#REF!</f>
        <v>#REF!</v>
      </c>
      <c r="P30" s="75" t="str">
        <f t="shared" si="34"/>
        <v>#REF!</v>
      </c>
      <c r="Q30" s="75" t="str">
        <f t="shared" si="34"/>
        <v>#REF!</v>
      </c>
      <c r="R30" s="79" t="str">
        <f t="shared" si="34"/>
        <v>#REF!</v>
      </c>
      <c r="S30" s="80" t="str">
        <f t="shared" si="2"/>
        <v>#REF!</v>
      </c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</row>
    <row r="31">
      <c r="A31" s="68" t="s">
        <v>76</v>
      </c>
      <c r="B31" s="94">
        <f t="array" ref="B31:K31">VLOOKUP($A31,MT_DEMO,{2,5,6,7,8,9,10,11,12,4},FALSE)</f>
        <v>1084225</v>
      </c>
      <c r="C31" s="75">
        <v>916524.0</v>
      </c>
      <c r="D31" s="75">
        <v>5484.0</v>
      </c>
      <c r="E31" s="75">
        <v>67612.0</v>
      </c>
      <c r="F31" s="75">
        <v>8300.0</v>
      </c>
      <c r="G31" s="75">
        <v>941.0</v>
      </c>
      <c r="H31" s="75">
        <v>14089.0</v>
      </c>
      <c r="I31" s="75">
        <v>71275.0</v>
      </c>
      <c r="J31" s="76">
        <v>55248.0</v>
      </c>
      <c r="K31" s="77">
        <v>16.4</v>
      </c>
      <c r="L31" s="75" t="str">
        <f t="shared" ref="L31:L33" si="36">#REF!</f>
        <v>#REF!</v>
      </c>
      <c r="M31" s="75">
        <f t="array" ref="M31:N31">VLOOKUP($A31,AFCARSCSC!$A$4:$D$56,{3,4},FALSE)</f>
        <v>345</v>
      </c>
      <c r="N31" s="75">
        <v>1200.0</v>
      </c>
      <c r="O31" s="78" t="s">
        <v>63</v>
      </c>
      <c r="P31" s="75" t="str">
        <f t="shared" ref="P31:R31" si="35">#REF!</f>
        <v>#REF!</v>
      </c>
      <c r="Q31" s="75" t="str">
        <f t="shared" si="35"/>
        <v>#REF!</v>
      </c>
      <c r="R31" s="79" t="str">
        <f t="shared" si="35"/>
        <v>#REF!</v>
      </c>
      <c r="S31" s="80" t="str">
        <f t="shared" si="2"/>
        <v>#REF!</v>
      </c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</row>
    <row r="32">
      <c r="A32" s="68" t="s">
        <v>79</v>
      </c>
      <c r="B32" s="94">
        <f t="array" ref="B32:K32">VLOOKUP($A32,NE_DEMO,{2,5,6,7,8,9,10,11,12,4},FALSE)</f>
        <v>1961504</v>
      </c>
      <c r="C32" s="75">
        <v>1538052.0</v>
      </c>
      <c r="D32" s="75">
        <v>96535.0</v>
      </c>
      <c r="E32" s="75">
        <v>23102.0</v>
      </c>
      <c r="F32" s="75">
        <v>52951.0</v>
      </c>
      <c r="G32" s="75">
        <v>1534.0</v>
      </c>
      <c r="H32" s="75">
        <v>105167.0</v>
      </c>
      <c r="I32" s="75">
        <v>144163.0</v>
      </c>
      <c r="J32" s="76">
        <v>59724.0</v>
      </c>
      <c r="K32" s="77">
        <v>12.9</v>
      </c>
      <c r="L32" s="75" t="str">
        <f t="shared" si="36"/>
        <v>#REF!</v>
      </c>
      <c r="M32" s="75">
        <f t="array" ref="M32:N32">VLOOKUP($A32,AFCARSCSC!$A$4:$D$56,{3,4},FALSE)</f>
        <v>433</v>
      </c>
      <c r="N32" s="75">
        <v>1502.0</v>
      </c>
      <c r="O32" s="78" t="s">
        <v>63</v>
      </c>
      <c r="P32" s="75" t="str">
        <f t="shared" ref="P32:R32" si="37">#REF!</f>
        <v>#REF!</v>
      </c>
      <c r="Q32" s="75" t="str">
        <f t="shared" si="37"/>
        <v>#REF!</v>
      </c>
      <c r="R32" s="79" t="str">
        <f t="shared" si="37"/>
        <v>#REF!</v>
      </c>
      <c r="S32" s="80" t="str">
        <f t="shared" si="2"/>
        <v>#REF!</v>
      </c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</row>
    <row r="33">
      <c r="A33" s="68" t="s">
        <v>82</v>
      </c>
      <c r="B33" s="94">
        <f t="array" ref="B33:K33">VLOOKUP($A33,NV_DEMO,{2,5,6,7,8,9,10,11,12,4},FALSE)</f>
        <v>3104614</v>
      </c>
      <c r="C33" s="75">
        <v>1588463.0</v>
      </c>
      <c r="D33" s="75">
        <v>304739.0</v>
      </c>
      <c r="E33" s="75">
        <v>43932.0</v>
      </c>
      <c r="F33" s="75">
        <v>272703.0</v>
      </c>
      <c r="G33" s="75">
        <v>25011.0</v>
      </c>
      <c r="H33" s="75">
        <v>435757.0</v>
      </c>
      <c r="I33" s="75">
        <v>434009.0</v>
      </c>
      <c r="J33" s="76">
        <v>58740.0</v>
      </c>
      <c r="K33" s="77">
        <v>18.4</v>
      </c>
      <c r="L33" s="75" t="str">
        <f t="shared" si="36"/>
        <v>#REF!</v>
      </c>
      <c r="M33" s="75">
        <f t="array" ref="M33:N33">VLOOKUP($A33,AFCARSCSC!$A$4:$D$56,{3,4},FALSE)</f>
        <v>718</v>
      </c>
      <c r="N33" s="75">
        <v>1099.0</v>
      </c>
      <c r="O33" s="78" t="s">
        <v>63</v>
      </c>
      <c r="P33" s="75" t="str">
        <f t="shared" ref="P33:R33" si="38">#REF!</f>
        <v>#REF!</v>
      </c>
      <c r="Q33" s="75" t="str">
        <f t="shared" si="38"/>
        <v>#REF!</v>
      </c>
      <c r="R33" s="79" t="str">
        <f t="shared" si="38"/>
        <v>#REF!</v>
      </c>
      <c r="S33" s="80" t="str">
        <f t="shared" si="2"/>
        <v>#REF!</v>
      </c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</row>
    <row r="34">
      <c r="A34" s="68" t="s">
        <v>85</v>
      </c>
      <c r="B34" s="94">
        <f t="array" ref="B34:K34">VLOOKUP($A34,NH_DEMO,{2,5,6,7,8,9,10,11,12,4},FALSE)</f>
        <v>1377529</v>
      </c>
      <c r="C34" s="75">
        <v>1216203.0</v>
      </c>
      <c r="D34" s="75">
        <v>20127.0</v>
      </c>
      <c r="E34" s="75">
        <v>3031.0</v>
      </c>
      <c r="F34" s="75">
        <v>35871.0</v>
      </c>
      <c r="G34" s="75">
        <v>453.0</v>
      </c>
      <c r="H34" s="75">
        <v>24102.0</v>
      </c>
      <c r="I34" s="75">
        <v>77742.0</v>
      </c>
      <c r="J34" s="76">
        <v>75322.0</v>
      </c>
      <c r="K34" s="77">
        <v>10.1</v>
      </c>
      <c r="L34" s="75">
        <f t="array" ref="L34:N34">VLOOKUP($A34,AFCARSCSC!$A$4:$D$56,{2,3,4},FALSE)</f>
        <v>1181</v>
      </c>
      <c r="M34" s="75">
        <v>60.0</v>
      </c>
      <c r="N34" s="75">
        <v>599.0</v>
      </c>
      <c r="O34" s="78" t="s">
        <v>63</v>
      </c>
      <c r="P34" s="75" t="str">
        <f t="shared" ref="P34:R34" si="39">#REF!</f>
        <v>#REF!</v>
      </c>
      <c r="Q34" s="75" t="str">
        <f t="shared" si="39"/>
        <v>#REF!</v>
      </c>
      <c r="R34" s="79" t="str">
        <f t="shared" si="39"/>
        <v>#REF!</v>
      </c>
      <c r="S34" s="80" t="str">
        <f t="shared" si="2"/>
        <v>#REF!</v>
      </c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</row>
    <row r="35">
      <c r="A35" s="68" t="s">
        <v>88</v>
      </c>
      <c r="B35" s="94">
        <f t="array" ref="B35:K35">VLOOKUP($A35,NJ_DEMO,{2,5,6,7,8,9,10,11,12,4},FALSE)</f>
        <v>9288994</v>
      </c>
      <c r="C35" s="75">
        <v>5112280.0</v>
      </c>
      <c r="D35" s="75">
        <v>1219770.0</v>
      </c>
      <c r="E35" s="75">
        <v>51186.0</v>
      </c>
      <c r="F35" s="75">
        <v>950090.0</v>
      </c>
      <c r="G35" s="75">
        <v>3533.0</v>
      </c>
      <c r="H35" s="75">
        <v>1048641.0</v>
      </c>
      <c r="I35" s="75">
        <v>903494.0</v>
      </c>
      <c r="J35" s="76">
        <v>81777.0</v>
      </c>
      <c r="K35" s="77">
        <v>13.5</v>
      </c>
      <c r="L35" s="75" t="str">
        <f>#REF!</f>
        <v>#REF!</v>
      </c>
      <c r="M35" s="75">
        <f t="array" ref="M35:N35">VLOOKUP($A35,AFCARSCSC!$A$4:$D$56,{3,4},FALSE)</f>
        <v>444</v>
      </c>
      <c r="N35" s="75">
        <v>2449.0</v>
      </c>
      <c r="O35" s="78" t="s">
        <v>63</v>
      </c>
      <c r="P35" s="75" t="str">
        <f t="shared" ref="P35:R35" si="40">#REF!</f>
        <v>#REF!</v>
      </c>
      <c r="Q35" s="75" t="str">
        <f t="shared" si="40"/>
        <v>#REF!</v>
      </c>
      <c r="R35" s="79" t="str">
        <f t="shared" si="40"/>
        <v>#REF!</v>
      </c>
      <c r="S35" s="80" t="str">
        <f t="shared" si="2"/>
        <v>#REF!</v>
      </c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</row>
    <row r="36">
      <c r="A36" s="68" t="s">
        <v>91</v>
      </c>
      <c r="B36" s="94">
        <f t="array" ref="B36:K36">VLOOKUP($A36,NM_DEMO,{2,5,6,7,8,9,10,11,12,4},FALSE)</f>
        <v>2117522</v>
      </c>
      <c r="C36" s="75">
        <v>1078937.0</v>
      </c>
      <c r="D36" s="75">
        <v>45904.0</v>
      </c>
      <c r="E36" s="75">
        <v>212241.0</v>
      </c>
      <c r="F36" s="75">
        <v>37469.0</v>
      </c>
      <c r="G36" s="75">
        <v>2093.0</v>
      </c>
      <c r="H36" s="75">
        <v>318632.0</v>
      </c>
      <c r="I36" s="75">
        <v>422246.0</v>
      </c>
      <c r="J36" s="76">
        <v>47405.0</v>
      </c>
      <c r="K36" s="77">
        <v>25.3</v>
      </c>
      <c r="L36" s="75">
        <f>'NM Data'!B77</f>
        <v>1942</v>
      </c>
      <c r="M36" s="75" t="str">
        <f>#REF!</f>
        <v>#REF!</v>
      </c>
      <c r="N36" s="75">
        <f>VLOOKUP($A36,AFCARSCSC!$A$4:$D$56,4,FALSE)</f>
        <v>1007</v>
      </c>
      <c r="O36" s="78" t="s">
        <v>63</v>
      </c>
      <c r="P36" s="75" t="str">
        <f t="shared" ref="P36:R36" si="41">#REF!</f>
        <v>#REF!</v>
      </c>
      <c r="Q36" s="75" t="str">
        <f t="shared" si="41"/>
        <v>#REF!</v>
      </c>
      <c r="R36" s="79" t="str">
        <f t="shared" si="41"/>
        <v>#REF!</v>
      </c>
      <c r="S36" s="80" t="str">
        <f t="shared" si="2"/>
        <v>#REF!</v>
      </c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</row>
    <row r="37">
      <c r="A37" s="68" t="s">
        <v>94</v>
      </c>
      <c r="B37" s="94">
        <f>'County PopulationPovertyRacial '!B1867</f>
        <v>20201249</v>
      </c>
      <c r="C37" s="75">
        <f>'County PopulationPovertyRacial '!E1867</f>
        <v>11143349</v>
      </c>
      <c r="D37" s="75">
        <f>'County PopulationPovertyRacial '!F1867</f>
        <v>2986172</v>
      </c>
      <c r="E37" s="75">
        <f>'County PopulationPovertyRacial '!G1867</f>
        <v>149690</v>
      </c>
      <c r="F37" s="75">
        <f>'County PopulationPovertyRacial '!H1867</f>
        <v>1933127</v>
      </c>
      <c r="G37" s="75">
        <f>'County PopulationPovertyRacial '!I1867</f>
        <v>10815</v>
      </c>
      <c r="H37" s="75">
        <f>'County PopulationPovertyRacial '!J1867</f>
        <v>2210633</v>
      </c>
      <c r="I37" s="75">
        <f>'County PopulationPovertyRacial '!K1867</f>
        <v>1767463</v>
      </c>
      <c r="J37" s="76">
        <f>'County PopulationPovertyRacial '!$L$1867</f>
        <v>67648</v>
      </c>
      <c r="K37" s="77">
        <f>'County PopulationPovertyRacial '!D1867</f>
        <v>18.8</v>
      </c>
      <c r="L37" s="75" t="str">
        <f t="shared" ref="L37:N37" si="42">#REF!</f>
        <v>#REF!</v>
      </c>
      <c r="M37" s="75" t="str">
        <f t="shared" si="42"/>
        <v>#REF!</v>
      </c>
      <c r="N37" s="75" t="str">
        <f t="shared" si="42"/>
        <v>#REF!</v>
      </c>
      <c r="O37" s="78" t="s">
        <v>63</v>
      </c>
      <c r="P37" s="75" t="str">
        <f t="shared" ref="P37:R37" si="43">#REF!</f>
        <v>#REF!</v>
      </c>
      <c r="Q37" s="75" t="str">
        <f t="shared" si="43"/>
        <v>#REF!</v>
      </c>
      <c r="R37" s="79" t="str">
        <f t="shared" si="43"/>
        <v>#REF!</v>
      </c>
      <c r="S37" s="80" t="str">
        <f t="shared" si="2"/>
        <v>#REF!</v>
      </c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</row>
    <row r="38">
      <c r="A38" s="68" t="s">
        <v>96</v>
      </c>
      <c r="B38" s="94">
        <f t="array" ref="B38:K38">VLOOKUP($A38,NC_DEMO,{2,5,6,7,8,9,10,11,12,4},FALSE)</f>
        <v>10439388</v>
      </c>
      <c r="C38" s="75">
        <v>6488459.0</v>
      </c>
      <c r="D38" s="75">
        <v>2140217.0</v>
      </c>
      <c r="E38" s="75">
        <v>130032.0</v>
      </c>
      <c r="F38" s="75">
        <v>343051.0</v>
      </c>
      <c r="G38" s="75">
        <v>8518.0</v>
      </c>
      <c r="H38" s="75">
        <v>617390.0</v>
      </c>
      <c r="I38" s="75">
        <v>711721.0</v>
      </c>
      <c r="J38" s="76">
        <v>53922.0</v>
      </c>
      <c r="K38" s="77">
        <v>20.2</v>
      </c>
      <c r="L38" s="75" t="str">
        <f t="shared" ref="L38:L42" si="45">#REF!</f>
        <v>#REF!</v>
      </c>
      <c r="M38" s="75">
        <f t="array" ref="M38:N38">VLOOKUP($A38,AFCARSCSC!$A$4:$D$56,{3,4},FALSE)</f>
        <v>1154</v>
      </c>
      <c r="N38" s="75">
        <v>5616.0</v>
      </c>
      <c r="O38" s="78" t="s">
        <v>63</v>
      </c>
      <c r="P38" s="75" t="str">
        <f t="shared" ref="P38:R38" si="44">#REF!</f>
        <v>#REF!</v>
      </c>
      <c r="Q38" s="75" t="str">
        <f t="shared" si="44"/>
        <v>#REF!</v>
      </c>
      <c r="R38" s="79" t="str">
        <f t="shared" si="44"/>
        <v>#REF!</v>
      </c>
      <c r="S38" s="80" t="str">
        <f t="shared" si="2"/>
        <v>#REF!</v>
      </c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</row>
    <row r="39">
      <c r="A39" s="68" t="s">
        <v>99</v>
      </c>
      <c r="B39" s="94">
        <f t="array" ref="B39:K39">VLOOKUP($A39,ND_DEMO,{2,5,6,7,8,9,10,11,12,4},FALSE)</f>
        <v>779094</v>
      </c>
      <c r="C39" s="75">
        <v>645938.0</v>
      </c>
      <c r="D39" s="75">
        <v>26783.0</v>
      </c>
      <c r="E39" s="75">
        <v>38914.0</v>
      </c>
      <c r="F39" s="75">
        <v>13213.0</v>
      </c>
      <c r="G39" s="75">
        <v>924.0</v>
      </c>
      <c r="H39" s="75">
        <v>11382.0</v>
      </c>
      <c r="I39" s="75">
        <v>41940.0</v>
      </c>
      <c r="J39" s="76">
        <v>65250.0</v>
      </c>
      <c r="K39" s="77">
        <v>11.0</v>
      </c>
      <c r="L39" s="75" t="str">
        <f t="shared" si="45"/>
        <v>#REF!</v>
      </c>
      <c r="M39" s="75">
        <f t="array" ref="M39:N39">VLOOKUP($A39,AFCARSCSC!$A$4:$D$56,{3,4},FALSE)</f>
        <v>343</v>
      </c>
      <c r="N39" s="75">
        <v>974.0</v>
      </c>
      <c r="O39" s="78" t="s">
        <v>63</v>
      </c>
      <c r="P39" s="75" t="str">
        <f t="shared" ref="P39:R39" si="46">#REF!</f>
        <v>#REF!</v>
      </c>
      <c r="Q39" s="75" t="str">
        <f t="shared" si="46"/>
        <v>#REF!</v>
      </c>
      <c r="R39" s="79" t="str">
        <f t="shared" si="46"/>
        <v>#REF!</v>
      </c>
      <c r="S39" s="80" t="str">
        <f t="shared" si="2"/>
        <v>#REF!</v>
      </c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</row>
    <row r="40">
      <c r="A40" s="68" t="s">
        <v>100</v>
      </c>
      <c r="B40" s="94">
        <f t="array" ref="B40:K40">VLOOKUP($A40,OH_DEMO,{2,5,6,7,8,9,10,11,12,4},FALSE)</f>
        <v>11799448</v>
      </c>
      <c r="C40" s="75">
        <v>9080688.0</v>
      </c>
      <c r="D40" s="75">
        <v>1478781.0</v>
      </c>
      <c r="E40" s="75">
        <v>30720.0</v>
      </c>
      <c r="F40" s="75">
        <v>298509.0</v>
      </c>
      <c r="G40" s="75">
        <v>5034.0</v>
      </c>
      <c r="H40" s="75">
        <v>224344.0</v>
      </c>
      <c r="I40" s="75">
        <v>681372.0</v>
      </c>
      <c r="J40" s="76">
        <v>56155.0</v>
      </c>
      <c r="K40" s="77">
        <v>19.2</v>
      </c>
      <c r="L40" s="75" t="str">
        <f t="shared" si="45"/>
        <v>#REF!</v>
      </c>
      <c r="M40" s="75" t="str">
        <f t="shared" ref="M40:M41" si="48">#REF!</f>
        <v>#REF!</v>
      </c>
      <c r="N40" s="75">
        <f t="array" ref="N40">VLOOKUP($A40,AFCARSCSC!$A$4:$D$56,4,FALSE)</f>
        <v>7349</v>
      </c>
      <c r="O40" s="78" t="s">
        <v>63</v>
      </c>
      <c r="P40" s="75" t="str">
        <f t="shared" ref="P40:R40" si="47">#REF!</f>
        <v>#REF!</v>
      </c>
      <c r="Q40" s="75" t="str">
        <f t="shared" si="47"/>
        <v>#REF!</v>
      </c>
      <c r="R40" s="79" t="str">
        <f t="shared" si="47"/>
        <v>#REF!</v>
      </c>
      <c r="S40" s="80" t="str">
        <f t="shared" si="2"/>
        <v>#REF!</v>
      </c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</row>
    <row r="41">
      <c r="A41" s="68" t="s">
        <v>102</v>
      </c>
      <c r="B41" s="94">
        <f>'County PopulationPovertyRacial '!B2174</f>
        <v>3959353</v>
      </c>
      <c r="C41" s="75">
        <f>'County PopulationPovertyRacial '!E2174</f>
        <v>2514885</v>
      </c>
      <c r="D41" s="75">
        <f>'County PopulationPovertyRacial '!F2174</f>
        <v>289961</v>
      </c>
      <c r="E41" s="75">
        <f>'County PopulationPovertyRacial '!G2174</f>
        <v>332791</v>
      </c>
      <c r="F41" s="75">
        <f>'County PopulationPovertyRacial '!H2174</f>
        <v>90949</v>
      </c>
      <c r="G41" s="75">
        <f>'County PopulationPovertyRacial '!I2174</f>
        <v>8608</v>
      </c>
      <c r="H41" s="75">
        <f>'County PopulationPovertyRacial '!J2174</f>
        <v>214001</v>
      </c>
      <c r="I41" s="75">
        <f>'County PopulationPovertyRacial '!K2174</f>
        <v>508158</v>
      </c>
      <c r="J41" s="76">
        <f>'County PopulationPovertyRacial '!$L$2174</f>
        <v>51914</v>
      </c>
      <c r="K41" s="77">
        <f>'County PopulationPovertyRacial '!D2174</f>
        <v>21.4</v>
      </c>
      <c r="L41" s="75" t="str">
        <f t="shared" si="45"/>
        <v>#REF!</v>
      </c>
      <c r="M41" s="75" t="str">
        <f t="shared" si="48"/>
        <v>#REF!</v>
      </c>
      <c r="N41" s="75" t="str">
        <f t="shared" ref="N41:R41" si="49">#REF!</f>
        <v>#REF!</v>
      </c>
      <c r="O41" s="78" t="str">
        <f t="shared" si="49"/>
        <v>#REF!</v>
      </c>
      <c r="P41" s="75" t="str">
        <f t="shared" si="49"/>
        <v>#REF!</v>
      </c>
      <c r="Q41" s="75" t="str">
        <f t="shared" si="49"/>
        <v>#REF!</v>
      </c>
      <c r="R41" s="79" t="str">
        <f t="shared" si="49"/>
        <v>#REF!</v>
      </c>
      <c r="S41" s="80" t="str">
        <f t="shared" si="2"/>
        <v>#REF!</v>
      </c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</row>
    <row r="42">
      <c r="A42" s="68" t="s">
        <v>103</v>
      </c>
      <c r="B42" s="94">
        <f t="array" ref="B42:K42">VLOOKUP($A42,OR_DEMO,{2,5,6,7,8,9,10,11,12,4},FALSE)</f>
        <v>4237256</v>
      </c>
      <c r="C42" s="75">
        <v>3169096.0</v>
      </c>
      <c r="D42" s="75">
        <v>82655.0</v>
      </c>
      <c r="E42" s="75">
        <v>62993.0</v>
      </c>
      <c r="F42" s="75">
        <v>194538.0</v>
      </c>
      <c r="G42" s="75">
        <v>19204.0</v>
      </c>
      <c r="H42" s="75">
        <v>265431.0</v>
      </c>
      <c r="I42" s="75">
        <v>443339.0</v>
      </c>
      <c r="J42" s="76">
        <v>63168.0</v>
      </c>
      <c r="K42" s="77">
        <v>15.7</v>
      </c>
      <c r="L42" s="75" t="str">
        <f t="shared" si="45"/>
        <v>#REF!</v>
      </c>
      <c r="M42" s="75">
        <f>VLOOKUP($A42,AFCARSCSC!$A$4:$D$56,3,FALSE)</f>
        <v>700</v>
      </c>
      <c r="N42" s="75" t="str">
        <f>#REF!</f>
        <v>#REF!</v>
      </c>
      <c r="O42" s="78" t="s">
        <v>63</v>
      </c>
      <c r="P42" s="75" t="str">
        <f t="shared" ref="P42:R42" si="50">#REF!</f>
        <v>#REF!</v>
      </c>
      <c r="Q42" s="75" t="str">
        <f t="shared" si="50"/>
        <v>#REF!</v>
      </c>
      <c r="R42" s="79" t="str">
        <f t="shared" si="50"/>
        <v>#REF!</v>
      </c>
      <c r="S42" s="80" t="str">
        <f t="shared" si="2"/>
        <v>#REF!</v>
      </c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</row>
    <row r="43">
      <c r="A43" s="68" t="s">
        <v>105</v>
      </c>
      <c r="B43" s="94">
        <f t="array" ref="B43:K43">VLOOKUP($A43,PA_DEMO,{2,5,6,7,8,9,10,11,12,4},FALSE)</f>
        <v>13002700</v>
      </c>
      <c r="C43" s="75">
        <v>9750687.0</v>
      </c>
      <c r="D43" s="75">
        <v>1423169.0</v>
      </c>
      <c r="E43" s="75">
        <v>31052.0</v>
      </c>
      <c r="F43" s="75">
        <v>510501.0</v>
      </c>
      <c r="G43" s="75">
        <v>4276.0</v>
      </c>
      <c r="H43" s="75">
        <v>508531.0</v>
      </c>
      <c r="I43" s="75">
        <v>774484.0</v>
      </c>
      <c r="J43" s="76">
        <v>60891.0</v>
      </c>
      <c r="K43" s="77">
        <v>16.7</v>
      </c>
      <c r="L43" s="75">
        <f t="array" ref="L43:N43">VLOOKUP($A43,AFCARSCSC!$A$4:$D$56,{2,3,4},FALSE)</f>
        <v>12465</v>
      </c>
      <c r="M43" s="75">
        <v>1794.0</v>
      </c>
      <c r="N43" s="75">
        <v>12616.0</v>
      </c>
      <c r="O43" s="78" t="s">
        <v>63</v>
      </c>
      <c r="P43" s="75" t="str">
        <f t="shared" ref="P43:R43" si="51">#REF!</f>
        <v>#REF!</v>
      </c>
      <c r="Q43" s="75" t="str">
        <f t="shared" si="51"/>
        <v>#REF!</v>
      </c>
      <c r="R43" s="79" t="str">
        <f t="shared" si="51"/>
        <v>#REF!</v>
      </c>
      <c r="S43" s="80" t="str">
        <f t="shared" si="2"/>
        <v>#REF!</v>
      </c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</row>
    <row r="44">
      <c r="A44" s="68" t="s">
        <v>106</v>
      </c>
      <c r="B44" s="94">
        <f t="array" ref="B44:K44">VLOOKUP($A44,RI_DEMO,{2,5,6,7,8,9,10,11,12,4},FALSE)</f>
        <v>1097379</v>
      </c>
      <c r="C44" s="75">
        <v>782920.0</v>
      </c>
      <c r="D44" s="75">
        <v>62168.0</v>
      </c>
      <c r="E44" s="75">
        <v>7385.0</v>
      </c>
      <c r="F44" s="75">
        <v>38961.0</v>
      </c>
      <c r="G44" s="75">
        <v>536.0</v>
      </c>
      <c r="H44" s="75">
        <v>103615.0</v>
      </c>
      <c r="I44" s="75">
        <v>101794.0</v>
      </c>
      <c r="J44" s="76">
        <v>63787.0</v>
      </c>
      <c r="K44" s="77">
        <v>18.0</v>
      </c>
      <c r="L44" s="75">
        <f t="array" ref="L44:N44">VLOOKUP($A44,AFCARSCSC!$A$4:$D$56,{2,3,4},FALSE)</f>
        <v>1723</v>
      </c>
      <c r="M44" s="75">
        <v>94.0</v>
      </c>
      <c r="N44" s="75">
        <v>828.0</v>
      </c>
      <c r="O44" s="78" t="s">
        <v>63</v>
      </c>
      <c r="P44" s="75" t="str">
        <f t="shared" ref="P44:R44" si="52">#REF!</f>
        <v>#REF!</v>
      </c>
      <c r="Q44" s="75" t="str">
        <f t="shared" si="52"/>
        <v>#REF!</v>
      </c>
      <c r="R44" s="79" t="str">
        <f t="shared" si="52"/>
        <v>#REF!</v>
      </c>
      <c r="S44" s="80" t="str">
        <f t="shared" si="2"/>
        <v>#REF!</v>
      </c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</row>
    <row r="45">
      <c r="A45" s="68" t="s">
        <v>108</v>
      </c>
      <c r="B45" s="94">
        <f t="array" ref="B45:K45">VLOOKUP($A45,SC_DEMO,{2,5,6,7,8,9,10,11,12,4},FALSE)</f>
        <v>5118425</v>
      </c>
      <c r="C45" s="75">
        <v>3243442.0</v>
      </c>
      <c r="D45" s="75">
        <v>1280531.0</v>
      </c>
      <c r="E45" s="75">
        <v>24303.0</v>
      </c>
      <c r="F45" s="75">
        <v>90466.0</v>
      </c>
      <c r="G45" s="75">
        <v>3431.0</v>
      </c>
      <c r="H45" s="75">
        <v>177876.0</v>
      </c>
      <c r="I45" s="75">
        <v>298376.0</v>
      </c>
      <c r="J45" s="76">
        <v>52449.0</v>
      </c>
      <c r="K45" s="77">
        <v>22.1</v>
      </c>
      <c r="L45" s="75" t="str">
        <f t="shared" ref="L45:R45" si="53">#REF!</f>
        <v>#REF!</v>
      </c>
      <c r="M45" s="75" t="str">
        <f t="shared" si="53"/>
        <v>#REF!</v>
      </c>
      <c r="N45" s="75" t="str">
        <f t="shared" si="53"/>
        <v>#REF!</v>
      </c>
      <c r="O45" s="78" t="str">
        <f t="shared" si="53"/>
        <v>#REF!</v>
      </c>
      <c r="P45" s="75" t="str">
        <f t="shared" si="53"/>
        <v>#REF!</v>
      </c>
      <c r="Q45" s="75" t="str">
        <f t="shared" si="53"/>
        <v>#REF!</v>
      </c>
      <c r="R45" s="79" t="str">
        <f t="shared" si="53"/>
        <v>#REF!</v>
      </c>
      <c r="S45" s="80" t="str">
        <f t="shared" si="2"/>
        <v>#REF!</v>
      </c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</row>
    <row r="46">
      <c r="A46" s="68" t="s">
        <v>109</v>
      </c>
      <c r="B46" s="94">
        <f t="array" ref="B46:K46">VLOOKUP($A46,SD_DEMO,{2,5,6,7,8,9,10,11,12,4},FALSE)</f>
        <v>886667</v>
      </c>
      <c r="C46" s="75">
        <v>715336.0</v>
      </c>
      <c r="D46" s="75">
        <v>17842.0</v>
      </c>
      <c r="E46" s="75">
        <v>77748.0</v>
      </c>
      <c r="F46" s="75">
        <v>13476.0</v>
      </c>
      <c r="G46" s="75">
        <v>543.0</v>
      </c>
      <c r="H46" s="75">
        <v>15057.0</v>
      </c>
      <c r="I46" s="75">
        <v>46665.0</v>
      </c>
      <c r="J46" s="76">
        <v>57041.0</v>
      </c>
      <c r="K46" s="77">
        <v>16.1</v>
      </c>
      <c r="L46" s="75">
        <f t="array" ref="L46:N46">VLOOKUP($A46,AFCARSCSC!$A$4:$D$56,{2,3,4},FALSE)</f>
        <v>1615</v>
      </c>
      <c r="M46" s="75">
        <v>440.0</v>
      </c>
      <c r="N46" s="75">
        <v>835.0</v>
      </c>
      <c r="O46" s="78" t="s">
        <v>63</v>
      </c>
      <c r="P46" s="75" t="str">
        <f t="shared" ref="P46:R46" si="54">#REF!</f>
        <v>#REF!</v>
      </c>
      <c r="Q46" s="75" t="str">
        <f t="shared" si="54"/>
        <v>#REF!</v>
      </c>
      <c r="R46" s="79" t="str">
        <f t="shared" si="54"/>
        <v>#REF!</v>
      </c>
      <c r="S46" s="80" t="str">
        <f t="shared" si="2"/>
        <v>#REF!</v>
      </c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</row>
    <row r="47">
      <c r="A47" s="68" t="s">
        <v>111</v>
      </c>
      <c r="B47" s="94">
        <f t="array" ref="B47:K47">VLOOKUP($A47,TN_DEMO,{2,5,6,7,8,9,10,11,12,4},FALSE)</f>
        <v>6910840</v>
      </c>
      <c r="C47" s="75">
        <v>4990938.0</v>
      </c>
      <c r="D47" s="75">
        <v>1092948.0</v>
      </c>
      <c r="E47" s="75">
        <v>28044.0</v>
      </c>
      <c r="F47" s="75">
        <v>135615.0</v>
      </c>
      <c r="G47" s="75">
        <v>4115.0</v>
      </c>
      <c r="H47" s="75">
        <v>246282.0</v>
      </c>
      <c r="I47" s="75">
        <v>412898.0</v>
      </c>
      <c r="J47" s="76">
        <v>52366.0</v>
      </c>
      <c r="K47" s="77">
        <v>21.8</v>
      </c>
      <c r="L47" s="75">
        <f t="array" ref="L47:N47">VLOOKUP($A47,AFCARSCSC!$A$4:$D$56,{2,3,4},FALSE)</f>
        <v>9053</v>
      </c>
      <c r="M47" s="75">
        <v>1155.0</v>
      </c>
      <c r="N47" s="75">
        <v>4509.0</v>
      </c>
      <c r="O47" s="78" t="s">
        <v>63</v>
      </c>
      <c r="P47" s="75" t="str">
        <f t="shared" ref="P47:R47" si="55">#REF!</f>
        <v>#REF!</v>
      </c>
      <c r="Q47" s="75" t="str">
        <f t="shared" si="55"/>
        <v>#REF!</v>
      </c>
      <c r="R47" s="79" t="str">
        <f t="shared" si="55"/>
        <v>#REF!</v>
      </c>
      <c r="S47" s="80" t="str">
        <f t="shared" si="2"/>
        <v>#REF!</v>
      </c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</row>
    <row r="48">
      <c r="A48" s="68" t="s">
        <v>113</v>
      </c>
      <c r="B48" s="94">
        <f t="array" ref="B48:K48">VLOOKUP($A48,TX_DEMO,{2,5,6,7,8,9,10,11,12,4},FALSE)</f>
        <v>29145505</v>
      </c>
      <c r="C48" s="75">
        <v>1.4609365E7</v>
      </c>
      <c r="D48" s="75">
        <v>3552997.0</v>
      </c>
      <c r="E48" s="75">
        <v>278948.0</v>
      </c>
      <c r="F48" s="75">
        <v>1585480.0</v>
      </c>
      <c r="G48" s="75">
        <v>33611.0</v>
      </c>
      <c r="H48" s="75">
        <v>3951366.0</v>
      </c>
      <c r="I48" s="75">
        <v>5133738.0</v>
      </c>
      <c r="J48" s="76">
        <v>60632.0</v>
      </c>
      <c r="K48" s="77">
        <v>21.1</v>
      </c>
      <c r="L48" s="75" t="str">
        <f t="shared" ref="L48:M48" si="56">#REF!</f>
        <v>#REF!</v>
      </c>
      <c r="M48" s="75" t="str">
        <f t="shared" si="56"/>
        <v>#REF!</v>
      </c>
      <c r="N48" s="75" t="str">
        <f>VLOOKUP($A48,AFCARSCSC!$A$4:$D$56,4,FALSE)</f>
        <v>NULL</v>
      </c>
      <c r="O48" s="78" t="str">
        <f t="shared" ref="O48:R48" si="57">#REF!</f>
        <v>#REF!</v>
      </c>
      <c r="P48" s="75" t="str">
        <f t="shared" si="57"/>
        <v>#REF!</v>
      </c>
      <c r="Q48" s="75" t="str">
        <f t="shared" si="57"/>
        <v>#REF!</v>
      </c>
      <c r="R48" s="79" t="str">
        <f t="shared" si="57"/>
        <v>#REF!</v>
      </c>
      <c r="S48" s="80" t="str">
        <f t="shared" si="2"/>
        <v>#REF!</v>
      </c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</row>
    <row r="49">
      <c r="A49" s="68" t="s">
        <v>114</v>
      </c>
      <c r="B49" s="94">
        <f>'County PopulationPovertyRacial '!B2828</f>
        <v>3271616</v>
      </c>
      <c r="C49" s="75">
        <f>'County PopulationPovertyRacial '!E2828</f>
        <v>2573413</v>
      </c>
      <c r="D49" s="75">
        <f>'County PopulationPovertyRacial '!F2828</f>
        <v>40058</v>
      </c>
      <c r="E49" s="75">
        <f>'County PopulationPovertyRacial '!G2828</f>
        <v>41644</v>
      </c>
      <c r="F49" s="75">
        <f>'County PopulationPovertyRacial '!H2828</f>
        <v>80438</v>
      </c>
      <c r="G49" s="75">
        <f>'County PopulationPovertyRacial '!I2828</f>
        <v>36930</v>
      </c>
      <c r="H49" s="75">
        <f>'County PopulationPovertyRacial '!J2828</f>
        <v>220120</v>
      </c>
      <c r="I49" s="75">
        <f>'County PopulationPovertyRacial '!K2828</f>
        <v>279013</v>
      </c>
      <c r="J49" s="76">
        <f>'County PopulationPovertyRacial '!$L$2828</f>
        <v>71381</v>
      </c>
      <c r="K49" s="77">
        <f>'County PopulationPovertyRacial '!D2828</f>
        <v>9.7</v>
      </c>
      <c r="L49" s="75" t="str">
        <f>#REF!</f>
        <v>#REF!</v>
      </c>
      <c r="M49" s="75">
        <f t="array" ref="M49:N49">VLOOKUP($A49,AFCARSCSC!$A$4:$D$56,{3,4},FALSE)</f>
        <v>257</v>
      </c>
      <c r="N49" s="75">
        <v>1120.0</v>
      </c>
      <c r="O49" s="78" t="str">
        <f t="shared" ref="O49:R49" si="58">#REF!</f>
        <v>#REF!</v>
      </c>
      <c r="P49" s="75" t="str">
        <f t="shared" si="58"/>
        <v>#REF!</v>
      </c>
      <c r="Q49" s="75" t="str">
        <f t="shared" si="58"/>
        <v>#REF!</v>
      </c>
      <c r="R49" s="79" t="str">
        <f t="shared" si="58"/>
        <v>#REF!</v>
      </c>
      <c r="S49" s="80" t="str">
        <f t="shared" si="2"/>
        <v>#REF!</v>
      </c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</row>
    <row r="50">
      <c r="A50" s="68" t="s">
        <v>116</v>
      </c>
      <c r="B50" s="94">
        <f t="array" ref="B50:K50">VLOOKUP($A50,VT_DEMO,{2,5,6,7,8,9,10,11,12,4},FALSE)</f>
        <v>643077</v>
      </c>
      <c r="C50" s="75">
        <v>577751.0</v>
      </c>
      <c r="D50" s="75">
        <v>9034.0</v>
      </c>
      <c r="E50" s="75">
        <v>2289.0</v>
      </c>
      <c r="F50" s="75">
        <v>11549.0</v>
      </c>
      <c r="G50" s="75">
        <v>181.0</v>
      </c>
      <c r="H50" s="75">
        <v>5247.0</v>
      </c>
      <c r="I50" s="75">
        <v>37026.0</v>
      </c>
      <c r="J50" s="76">
        <v>60917.0</v>
      </c>
      <c r="K50" s="77">
        <v>12.2</v>
      </c>
      <c r="L50" s="75">
        <f t="array" ref="L50:N50">VLOOKUP($A50,AFCARSCSC!$A$4:$D$56,{2,3,4},FALSE)</f>
        <v>1096</v>
      </c>
      <c r="M50" s="75">
        <v>159.0</v>
      </c>
      <c r="N50" s="75">
        <v>810.0</v>
      </c>
      <c r="O50" s="78" t="s">
        <v>63</v>
      </c>
      <c r="P50" s="75" t="str">
        <f t="shared" ref="P50:R50" si="59">#REF!</f>
        <v>#REF!</v>
      </c>
      <c r="Q50" s="75" t="str">
        <f t="shared" si="59"/>
        <v>#REF!</v>
      </c>
      <c r="R50" s="79" t="str">
        <f t="shared" si="59"/>
        <v>#REF!</v>
      </c>
      <c r="S50" s="80" t="str">
        <f t="shared" si="2"/>
        <v>#REF!</v>
      </c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</row>
    <row r="51">
      <c r="A51" s="68" t="s">
        <v>117</v>
      </c>
      <c r="B51" s="94">
        <f t="array" ref="B51:K51">VLOOKUP($A51,VA_DEMO,{2,5,6,7,8,9,10,11,12,4},FALSE)</f>
        <v>8631393</v>
      </c>
      <c r="C51" s="75">
        <v>5208856.0</v>
      </c>
      <c r="D51" s="75">
        <v>1607581.0</v>
      </c>
      <c r="E51" s="75">
        <v>40007.0</v>
      </c>
      <c r="F51" s="75">
        <v>615436.0</v>
      </c>
      <c r="G51" s="75">
        <v>7156.0</v>
      </c>
      <c r="H51" s="75">
        <v>446650.0</v>
      </c>
      <c r="I51" s="75">
        <v>705707.0</v>
      </c>
      <c r="J51" s="76">
        <v>72600.0</v>
      </c>
      <c r="K51" s="77">
        <v>13.8</v>
      </c>
      <c r="L51" s="75" t="str">
        <f t="shared" ref="L51:M51" si="60">#REF!</f>
        <v>#REF!</v>
      </c>
      <c r="M51" s="75" t="str">
        <f t="shared" si="60"/>
        <v>#REF!</v>
      </c>
      <c r="N51" s="75">
        <f>VLOOKUP($A51,AFCARSCSC!$A$4:$D$56,4,FALSE)</f>
        <v>4735</v>
      </c>
      <c r="O51" s="78" t="s">
        <v>63</v>
      </c>
      <c r="P51" s="75" t="str">
        <f t="shared" ref="P51:R51" si="61">#REF!</f>
        <v>#REF!</v>
      </c>
      <c r="Q51" s="75" t="str">
        <f t="shared" si="61"/>
        <v>#REF!</v>
      </c>
      <c r="R51" s="79" t="str">
        <f t="shared" si="61"/>
        <v>#REF!</v>
      </c>
      <c r="S51" s="80" t="str">
        <f t="shared" si="2"/>
        <v>#REF!</v>
      </c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</row>
    <row r="52">
      <c r="A52" s="68" t="s">
        <v>119</v>
      </c>
      <c r="B52" s="94">
        <f t="array" ref="B52:K52">VLOOKUP($A52,WA_DEMO,{2,5,6,7,8,9,10,11,12,4},FALSE)</f>
        <v>7705281</v>
      </c>
      <c r="C52" s="75">
        <v>5130920.0</v>
      </c>
      <c r="D52" s="75">
        <v>307565.0</v>
      </c>
      <c r="E52" s="75">
        <v>121468.0</v>
      </c>
      <c r="F52" s="75">
        <v>730596.0</v>
      </c>
      <c r="G52" s="75">
        <v>64933.0</v>
      </c>
      <c r="H52" s="75">
        <v>513140.0</v>
      </c>
      <c r="I52" s="75">
        <v>836659.0</v>
      </c>
      <c r="J52" s="76">
        <v>74023.0</v>
      </c>
      <c r="K52" s="77">
        <v>12.6</v>
      </c>
      <c r="L52" s="75" t="str">
        <f t="shared" ref="L52:L54" si="63">#REF!</f>
        <v>#REF!</v>
      </c>
      <c r="M52" s="75">
        <f t="array" ref="M52:N52">VLOOKUP($A52,AFCARSCSC!$A$4:$D$56,{3,4},FALSE)</f>
        <v>997</v>
      </c>
      <c r="N52" s="75">
        <v>4341.0</v>
      </c>
      <c r="O52" s="78" t="s">
        <v>63</v>
      </c>
      <c r="P52" s="75" t="str">
        <f t="shared" ref="P52:R52" si="62">#REF!</f>
        <v>#REF!</v>
      </c>
      <c r="Q52" s="75" t="str">
        <f t="shared" si="62"/>
        <v>#REF!</v>
      </c>
      <c r="R52" s="79" t="str">
        <f t="shared" si="62"/>
        <v>#REF!</v>
      </c>
      <c r="S52" s="80" t="str">
        <f t="shared" si="2"/>
        <v>#REF!</v>
      </c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</row>
    <row r="53">
      <c r="A53" s="68" t="s">
        <v>120</v>
      </c>
      <c r="B53" s="94">
        <f t="array" ref="B53:K53">VLOOKUP($A53,WV_DEMO,{2,5,6,7,8,9,10,11,12,4},FALSE)</f>
        <v>1793716</v>
      </c>
      <c r="C53" s="75">
        <v>1610749.0</v>
      </c>
      <c r="D53" s="75">
        <v>65813.0</v>
      </c>
      <c r="E53" s="75">
        <v>3706.0</v>
      </c>
      <c r="F53" s="75">
        <v>15109.0</v>
      </c>
      <c r="G53" s="75">
        <v>476.0</v>
      </c>
      <c r="H53" s="75">
        <v>12919.0</v>
      </c>
      <c r="I53" s="75">
        <v>84944.0</v>
      </c>
      <c r="J53" s="76">
        <v>44038.0</v>
      </c>
      <c r="K53" s="77">
        <v>23.2</v>
      </c>
      <c r="L53" s="75" t="str">
        <f t="shared" si="63"/>
        <v>#REF!</v>
      </c>
      <c r="M53" s="75">
        <f t="array" ref="M53:N53">VLOOKUP($A53,AFCARSCSC!$A$4:$D$56,{3,4},FALSE)</f>
        <v>1748</v>
      </c>
      <c r="N53" s="75">
        <v>3148.0</v>
      </c>
      <c r="O53" s="78" t="s">
        <v>63</v>
      </c>
      <c r="P53" s="75" t="str">
        <f t="shared" ref="P53:R53" si="64">#REF!</f>
        <v>#REF!</v>
      </c>
      <c r="Q53" s="75" t="str">
        <f t="shared" si="64"/>
        <v>#REF!</v>
      </c>
      <c r="R53" s="79" t="str">
        <f t="shared" si="64"/>
        <v>#REF!</v>
      </c>
      <c r="S53" s="80" t="str">
        <f t="shared" si="2"/>
        <v>#REF!</v>
      </c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</row>
    <row r="54">
      <c r="A54" s="68" t="s">
        <v>122</v>
      </c>
      <c r="B54" s="94">
        <f t="array" ref="B54:K54">VLOOKUP($A54,WI_DEMO,{2,5,6,7,8,9,10,11,12,4},FALSE)</f>
        <v>5893718</v>
      </c>
      <c r="C54" s="75">
        <v>4737545.0</v>
      </c>
      <c r="D54" s="75">
        <v>376256.0</v>
      </c>
      <c r="E54" s="75">
        <v>60428.0</v>
      </c>
      <c r="F54" s="75">
        <v>175702.0</v>
      </c>
      <c r="G54" s="75">
        <v>2199.0</v>
      </c>
      <c r="H54" s="75">
        <v>182054.0</v>
      </c>
      <c r="I54" s="75">
        <v>359534.0</v>
      </c>
      <c r="J54" s="76">
        <v>60779.0</v>
      </c>
      <c r="K54" s="77">
        <v>14.1</v>
      </c>
      <c r="L54" s="75" t="str">
        <f t="shared" si="63"/>
        <v>#REF!</v>
      </c>
      <c r="M54" s="75">
        <f t="array" ref="M54:N54">VLOOKUP($A54,AFCARSCSC!$A$4:$D$56,{3,4},FALSE)</f>
        <v>667</v>
      </c>
      <c r="N54" s="75">
        <v>2968.0</v>
      </c>
      <c r="O54" s="78" t="s">
        <v>63</v>
      </c>
      <c r="P54" s="75" t="str">
        <f t="shared" ref="P54:R54" si="65">#REF!</f>
        <v>#REF!</v>
      </c>
      <c r="Q54" s="75" t="str">
        <f t="shared" si="65"/>
        <v>#REF!</v>
      </c>
      <c r="R54" s="79" t="str">
        <f t="shared" si="65"/>
        <v>#REF!</v>
      </c>
      <c r="S54" s="80" t="str">
        <f t="shared" si="2"/>
        <v>#REF!</v>
      </c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</row>
    <row r="55">
      <c r="A55" s="68" t="s">
        <v>123</v>
      </c>
      <c r="B55" s="94">
        <f t="array" ref="B55:K55">VLOOKUP($A55,WY_DEMO,{2,5,6,7,8,9,10,11,12,4},FALSE)</f>
        <v>576851</v>
      </c>
      <c r="C55" s="75">
        <v>488374.0</v>
      </c>
      <c r="D55" s="75">
        <v>5232.0</v>
      </c>
      <c r="E55" s="75">
        <v>13898.0</v>
      </c>
      <c r="F55" s="75">
        <v>5212.0</v>
      </c>
      <c r="G55" s="75">
        <v>579.0</v>
      </c>
      <c r="H55" s="75">
        <v>20083.0</v>
      </c>
      <c r="I55" s="75">
        <v>43473.0</v>
      </c>
      <c r="J55" s="76">
        <v>62259.0</v>
      </c>
      <c r="K55" s="77">
        <v>13.1</v>
      </c>
      <c r="L55" s="75">
        <f t="array" ref="L55:N55">VLOOKUP($A55,AFCARSCSC!$A$4:$D$56,{2,3,4},FALSE)</f>
        <v>756</v>
      </c>
      <c r="M55" s="75">
        <v>10.0</v>
      </c>
      <c r="N55" s="75">
        <v>468.0</v>
      </c>
      <c r="O55" s="78" t="s">
        <v>63</v>
      </c>
      <c r="P55" s="75" t="str">
        <f t="shared" ref="P55:R55" si="66">#REF!</f>
        <v>#REF!</v>
      </c>
      <c r="Q55" s="75" t="str">
        <f t="shared" si="66"/>
        <v>#REF!</v>
      </c>
      <c r="R55" s="79" t="str">
        <f t="shared" si="66"/>
        <v>#REF!</v>
      </c>
      <c r="S55" s="80" t="str">
        <f t="shared" si="2"/>
        <v>#REF!</v>
      </c>
      <c r="T55" s="103" t="s">
        <v>398</v>
      </c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</row>
    <row r="56">
      <c r="A56" s="68"/>
      <c r="B56" s="142"/>
      <c r="C56" s="143"/>
      <c r="D56" s="143"/>
      <c r="E56" s="143"/>
      <c r="F56" s="143"/>
      <c r="G56" s="143"/>
      <c r="H56" s="143"/>
      <c r="I56" s="143"/>
      <c r="J56" s="143"/>
      <c r="K56" s="144"/>
      <c r="L56" s="143"/>
      <c r="M56" s="143"/>
      <c r="N56" s="143"/>
      <c r="O56" s="145"/>
      <c r="P56" s="143"/>
      <c r="Q56" s="143"/>
      <c r="R56" s="146"/>
      <c r="S56" s="80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</row>
    <row r="57">
      <c r="A57" s="147" t="s">
        <v>401</v>
      </c>
      <c r="B57" s="148">
        <f t="array" ref="B57:K57">VLOOKUP($A57,US_DEMO,{2,5,6,7,8,9,10,11,12,4},FALSE)</f>
        <v>331449281</v>
      </c>
      <c r="C57" s="148">
        <v>2.04277273E8</v>
      </c>
      <c r="D57" s="148">
        <v>4.11042E7</v>
      </c>
      <c r="E57" s="148">
        <v>3727135.0</v>
      </c>
      <c r="F57" s="148">
        <v>1.9886049E7</v>
      </c>
      <c r="G57" s="148">
        <v>689966.0</v>
      </c>
      <c r="H57" s="148">
        <v>2.7915715E7</v>
      </c>
      <c r="I57" s="148">
        <v>3.3848943E7</v>
      </c>
      <c r="J57" s="149">
        <v>61937.0</v>
      </c>
      <c r="K57" s="150">
        <v>18.0</v>
      </c>
      <c r="L57" s="151">
        <f t="array" ref="L57:N57">VLOOKUP($A57,AFCARSCSC!$A$4:$D$56,{2,3,4},FALSE)</f>
        <v>368530</v>
      </c>
      <c r="M57" s="152">
        <v>64561.0</v>
      </c>
      <c r="N57" s="152">
        <v>208823.0</v>
      </c>
      <c r="O57" s="153" t="s">
        <v>63</v>
      </c>
      <c r="P57" s="154">
        <v>234667.0</v>
      </c>
      <c r="Q57" s="155" t="str">
        <f t="shared" ref="Q57:R57" si="67">SUM(Q5:Q55)</f>
        <v>#REF!</v>
      </c>
      <c r="R57" s="156" t="str">
        <f t="shared" si="67"/>
        <v>#REF!</v>
      </c>
      <c r="S57" s="157">
        <f>(P57/B57)*1000</f>
        <v>0.7080027427</v>
      </c>
      <c r="T57" s="158"/>
      <c r="U57" s="158"/>
      <c r="V57" s="158"/>
      <c r="W57" s="158"/>
      <c r="X57" s="158"/>
      <c r="Y57" s="158"/>
      <c r="Z57" s="158"/>
      <c r="AA57" s="158"/>
      <c r="AB57" s="158"/>
      <c r="AC57" s="158"/>
      <c r="AD57" s="158"/>
      <c r="AE57" s="158"/>
      <c r="AF57" s="158"/>
      <c r="AG57" s="158"/>
      <c r="AH57" s="158"/>
      <c r="AI57" s="158"/>
      <c r="AJ57" s="158"/>
    </row>
    <row r="58">
      <c r="A58" s="159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160"/>
      <c r="S58" s="160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</row>
    <row r="59">
      <c r="A59" s="159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103"/>
      <c r="M59" s="27"/>
      <c r="N59" s="27"/>
      <c r="O59" s="27"/>
      <c r="P59" s="27"/>
      <c r="Q59" s="27"/>
      <c r="R59" s="160"/>
      <c r="S59" s="160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</row>
    <row r="60">
      <c r="A60" s="159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160"/>
      <c r="S60" s="160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</row>
    <row r="61">
      <c r="A61" s="159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160"/>
      <c r="S61" s="160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</row>
    <row r="62">
      <c r="A62" s="159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160"/>
      <c r="S62" s="160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</row>
    <row r="63">
      <c r="A63" s="159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160"/>
      <c r="S63" s="160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</row>
    <row r="64">
      <c r="A64" s="159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160"/>
      <c r="S64" s="160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</row>
    <row r="65">
      <c r="A65" s="159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160"/>
      <c r="S65" s="160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</row>
    <row r="66">
      <c r="A66" s="159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160"/>
      <c r="S66" s="160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</row>
    <row r="67">
      <c r="A67" s="159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160"/>
      <c r="S67" s="160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</row>
    <row r="68">
      <c r="A68" s="159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160"/>
      <c r="S68" s="160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</row>
    <row r="69">
      <c r="A69" s="159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160"/>
      <c r="S69" s="160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</row>
    <row r="70">
      <c r="A70" s="159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160"/>
      <c r="S70" s="160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</row>
    <row r="71">
      <c r="A71" s="159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160"/>
      <c r="S71" s="160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</row>
    <row r="72">
      <c r="A72" s="159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160"/>
      <c r="S72" s="160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</row>
    <row r="73">
      <c r="A73" s="159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160"/>
      <c r="S73" s="160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</row>
    <row r="74">
      <c r="A74" s="159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160"/>
      <c r="S74" s="160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</row>
    <row r="75">
      <c r="A75" s="159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160"/>
      <c r="S75" s="160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</row>
    <row r="76">
      <c r="A76" s="159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160"/>
      <c r="S76" s="160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</row>
    <row r="77">
      <c r="A77" s="159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160"/>
      <c r="S77" s="160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</row>
    <row r="78">
      <c r="A78" s="159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160"/>
      <c r="S78" s="160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</row>
    <row r="79">
      <c r="A79" s="159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160"/>
      <c r="S79" s="160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</row>
    <row r="80">
      <c r="A80" s="159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160"/>
      <c r="S80" s="160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</row>
    <row r="81">
      <c r="A81" s="159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160"/>
      <c r="S81" s="160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</row>
    <row r="82">
      <c r="A82" s="159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160"/>
      <c r="S82" s="160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</row>
    <row r="83">
      <c r="A83" s="159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160"/>
      <c r="S83" s="160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</row>
    <row r="84">
      <c r="A84" s="159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160"/>
      <c r="S84" s="160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</row>
    <row r="85">
      <c r="A85" s="159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160"/>
      <c r="S85" s="160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</row>
    <row r="86">
      <c r="A86" s="159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160"/>
      <c r="S86" s="160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</row>
    <row r="87">
      <c r="A87" s="159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160"/>
      <c r="S87" s="160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</row>
    <row r="88">
      <c r="A88" s="159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160"/>
      <c r="S88" s="160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</row>
    <row r="89">
      <c r="A89" s="159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160"/>
      <c r="S89" s="160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</row>
    <row r="90">
      <c r="A90" s="159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160"/>
      <c r="S90" s="160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</row>
    <row r="91">
      <c r="A91" s="159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160"/>
      <c r="S91" s="160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</row>
    <row r="92">
      <c r="A92" s="159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160"/>
      <c r="S92" s="160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</row>
    <row r="93">
      <c r="A93" s="159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160"/>
      <c r="S93" s="160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</row>
    <row r="94">
      <c r="A94" s="159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160"/>
      <c r="S94" s="160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</row>
    <row r="95">
      <c r="A95" s="159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160"/>
      <c r="S95" s="160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</row>
    <row r="96">
      <c r="A96" s="159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160"/>
      <c r="S96" s="160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</row>
    <row r="97">
      <c r="A97" s="159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160"/>
      <c r="S97" s="160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</row>
    <row r="98">
      <c r="A98" s="159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160"/>
      <c r="S98" s="160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</row>
    <row r="99">
      <c r="A99" s="159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160"/>
      <c r="S99" s="160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</row>
    <row r="100">
      <c r="A100" s="159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160"/>
      <c r="S100" s="160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</row>
    <row r="101">
      <c r="A101" s="159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160"/>
      <c r="S101" s="160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</row>
    <row r="102">
      <c r="A102" s="159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160"/>
      <c r="S102" s="160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</row>
    <row r="103">
      <c r="A103" s="159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160"/>
      <c r="S103" s="160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</row>
    <row r="104">
      <c r="A104" s="159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160"/>
      <c r="S104" s="160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</row>
    <row r="105">
      <c r="A105" s="159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160"/>
      <c r="S105" s="160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</row>
    <row r="106">
      <c r="A106" s="159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160"/>
      <c r="S106" s="160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</row>
    <row r="107">
      <c r="A107" s="159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160"/>
      <c r="S107" s="160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</row>
    <row r="108">
      <c r="A108" s="159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160"/>
      <c r="S108" s="160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</row>
    <row r="109">
      <c r="A109" s="159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160"/>
      <c r="S109" s="160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</row>
    <row r="110">
      <c r="A110" s="159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160"/>
      <c r="S110" s="160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</row>
    <row r="111">
      <c r="A111" s="159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160"/>
      <c r="S111" s="160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</row>
    <row r="112">
      <c r="A112" s="159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160"/>
      <c r="S112" s="160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</row>
    <row r="113">
      <c r="A113" s="159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160"/>
      <c r="S113" s="160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</row>
    <row r="114">
      <c r="A114" s="159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160"/>
      <c r="S114" s="160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</row>
    <row r="115">
      <c r="A115" s="159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160"/>
      <c r="S115" s="160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</row>
    <row r="116">
      <c r="A116" s="159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160"/>
      <c r="S116" s="160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</row>
    <row r="117">
      <c r="A117" s="159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160"/>
      <c r="S117" s="160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</row>
    <row r="118">
      <c r="A118" s="159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160"/>
      <c r="S118" s="160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</row>
    <row r="119">
      <c r="A119" s="159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160"/>
      <c r="S119" s="160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</row>
    <row r="120">
      <c r="A120" s="159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160"/>
      <c r="S120" s="160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</row>
    <row r="121">
      <c r="A121" s="159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160"/>
      <c r="S121" s="160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</row>
    <row r="122">
      <c r="A122" s="159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160"/>
      <c r="S122" s="160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</row>
    <row r="123">
      <c r="A123" s="159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160"/>
      <c r="S123" s="160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</row>
    <row r="124">
      <c r="A124" s="159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160"/>
      <c r="S124" s="160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</row>
    <row r="125">
      <c r="A125" s="159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160"/>
      <c r="S125" s="160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</row>
    <row r="126">
      <c r="A126" s="159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160"/>
      <c r="S126" s="160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</row>
    <row r="127">
      <c r="A127" s="159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160"/>
      <c r="S127" s="160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</row>
    <row r="128">
      <c r="A128" s="159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160"/>
      <c r="S128" s="160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</row>
    <row r="129">
      <c r="A129" s="159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160"/>
      <c r="S129" s="160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</row>
    <row r="130">
      <c r="A130" s="159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160"/>
      <c r="S130" s="160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</row>
    <row r="131">
      <c r="A131" s="159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160"/>
      <c r="S131" s="160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</row>
    <row r="132">
      <c r="A132" s="159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160"/>
      <c r="S132" s="160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</row>
    <row r="133">
      <c r="A133" s="159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160"/>
      <c r="S133" s="160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</row>
    <row r="134">
      <c r="A134" s="159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160"/>
      <c r="S134" s="160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</row>
    <row r="135">
      <c r="A135" s="159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160"/>
      <c r="S135" s="160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</row>
    <row r="136">
      <c r="A136" s="159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160"/>
      <c r="S136" s="160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</row>
    <row r="137">
      <c r="A137" s="159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160"/>
      <c r="S137" s="160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</row>
    <row r="138">
      <c r="A138" s="159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160"/>
      <c r="S138" s="160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</row>
    <row r="139">
      <c r="A139" s="159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160"/>
      <c r="S139" s="160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</row>
    <row r="140">
      <c r="A140" s="159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160"/>
      <c r="S140" s="160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</row>
    <row r="141">
      <c r="A141" s="159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160"/>
      <c r="S141" s="160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</row>
    <row r="142">
      <c r="A142" s="159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160"/>
      <c r="S142" s="160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</row>
    <row r="143">
      <c r="A143" s="159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160"/>
      <c r="S143" s="160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</row>
    <row r="144">
      <c r="A144" s="159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160"/>
      <c r="S144" s="160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</row>
    <row r="145">
      <c r="A145" s="159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160"/>
      <c r="S145" s="160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</row>
    <row r="146">
      <c r="A146" s="159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160"/>
      <c r="S146" s="160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</row>
    <row r="147">
      <c r="A147" s="159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160"/>
      <c r="S147" s="160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</row>
    <row r="148">
      <c r="A148" s="159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160"/>
      <c r="S148" s="160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</row>
    <row r="149">
      <c r="A149" s="159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160"/>
      <c r="S149" s="160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</row>
    <row r="150">
      <c r="A150" s="159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160"/>
      <c r="S150" s="160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</row>
    <row r="151">
      <c r="A151" s="159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160"/>
      <c r="S151" s="160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</row>
    <row r="152">
      <c r="A152" s="159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160"/>
      <c r="S152" s="160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</row>
    <row r="153">
      <c r="A153" s="159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160"/>
      <c r="S153" s="160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</row>
    <row r="154">
      <c r="A154" s="159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160"/>
      <c r="S154" s="160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</row>
    <row r="155">
      <c r="A155" s="159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160"/>
      <c r="S155" s="160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</row>
    <row r="156">
      <c r="A156" s="159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160"/>
      <c r="S156" s="160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</row>
    <row r="157">
      <c r="A157" s="159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160"/>
      <c r="S157" s="160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</row>
    <row r="158">
      <c r="A158" s="159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160"/>
      <c r="S158" s="160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</row>
    <row r="159">
      <c r="A159" s="159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160"/>
      <c r="S159" s="160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</row>
    <row r="160">
      <c r="A160" s="159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160"/>
      <c r="S160" s="160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</row>
    <row r="161">
      <c r="A161" s="159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160"/>
      <c r="S161" s="160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</row>
    <row r="162">
      <c r="A162" s="159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160"/>
      <c r="S162" s="160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</row>
    <row r="163">
      <c r="A163" s="159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160"/>
      <c r="S163" s="160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</row>
    <row r="164">
      <c r="A164" s="159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160"/>
      <c r="S164" s="160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</row>
    <row r="165">
      <c r="A165" s="159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160"/>
      <c r="S165" s="160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</row>
    <row r="166">
      <c r="A166" s="159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160"/>
      <c r="S166" s="160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</row>
    <row r="167">
      <c r="A167" s="159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160"/>
      <c r="S167" s="160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</row>
    <row r="168">
      <c r="A168" s="159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160"/>
      <c r="S168" s="160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</row>
    <row r="169">
      <c r="A169" s="159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160"/>
      <c r="S169" s="160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</row>
    <row r="170">
      <c r="A170" s="159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160"/>
      <c r="S170" s="160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</row>
    <row r="171">
      <c r="A171" s="159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160"/>
      <c r="S171" s="160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</row>
    <row r="172">
      <c r="A172" s="159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160"/>
      <c r="S172" s="160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</row>
    <row r="173">
      <c r="A173" s="159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160"/>
      <c r="S173" s="160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</row>
    <row r="174">
      <c r="A174" s="159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160"/>
      <c r="S174" s="160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</row>
    <row r="175">
      <c r="A175" s="159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160"/>
      <c r="S175" s="160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</row>
    <row r="176">
      <c r="A176" s="159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160"/>
      <c r="S176" s="160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</row>
    <row r="177">
      <c r="A177" s="159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160"/>
      <c r="S177" s="160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</row>
    <row r="178">
      <c r="A178" s="159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160"/>
      <c r="S178" s="160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</row>
    <row r="179">
      <c r="A179" s="159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160"/>
      <c r="S179" s="160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</row>
    <row r="180">
      <c r="A180" s="159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160"/>
      <c r="S180" s="160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</row>
    <row r="181">
      <c r="A181" s="159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160"/>
      <c r="S181" s="160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</row>
    <row r="182">
      <c r="A182" s="159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160"/>
      <c r="S182" s="160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</row>
    <row r="183">
      <c r="A183" s="159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160"/>
      <c r="S183" s="160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</row>
    <row r="184">
      <c r="A184" s="159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160"/>
      <c r="S184" s="160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</row>
    <row r="185">
      <c r="A185" s="159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160"/>
      <c r="S185" s="160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</row>
    <row r="186">
      <c r="A186" s="159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160"/>
      <c r="S186" s="160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</row>
    <row r="187">
      <c r="A187" s="159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160"/>
      <c r="S187" s="160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</row>
    <row r="188">
      <c r="A188" s="159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160"/>
      <c r="S188" s="160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</row>
    <row r="189">
      <c r="A189" s="159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160"/>
      <c r="S189" s="160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</row>
    <row r="190">
      <c r="A190" s="159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160"/>
      <c r="S190" s="160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</row>
    <row r="191">
      <c r="A191" s="159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160"/>
      <c r="S191" s="160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</row>
    <row r="192">
      <c r="A192" s="159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160"/>
      <c r="S192" s="160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</row>
    <row r="193">
      <c r="A193" s="159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160"/>
      <c r="S193" s="160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</row>
    <row r="194">
      <c r="A194" s="159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160"/>
      <c r="S194" s="160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</row>
    <row r="195">
      <c r="A195" s="159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160"/>
      <c r="S195" s="160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</row>
    <row r="196">
      <c r="A196" s="159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160"/>
      <c r="S196" s="160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</row>
    <row r="197">
      <c r="A197" s="159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160"/>
      <c r="S197" s="160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</row>
    <row r="198">
      <c r="A198" s="159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160"/>
      <c r="S198" s="160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</row>
    <row r="199">
      <c r="A199" s="159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160"/>
      <c r="S199" s="160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</row>
    <row r="200">
      <c r="A200" s="159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160"/>
      <c r="S200" s="160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</row>
    <row r="201">
      <c r="A201" s="159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160"/>
      <c r="S201" s="160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</row>
    <row r="202">
      <c r="A202" s="159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160"/>
      <c r="S202" s="160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</row>
    <row r="203">
      <c r="A203" s="159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160"/>
      <c r="S203" s="160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</row>
    <row r="204">
      <c r="A204" s="159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160"/>
      <c r="S204" s="160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</row>
    <row r="205">
      <c r="A205" s="159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160"/>
      <c r="S205" s="160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</row>
    <row r="206">
      <c r="A206" s="159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160"/>
      <c r="S206" s="160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</row>
    <row r="207">
      <c r="A207" s="159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160"/>
      <c r="S207" s="160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</row>
    <row r="208">
      <c r="A208" s="159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160"/>
      <c r="S208" s="160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</row>
    <row r="209">
      <c r="A209" s="159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160"/>
      <c r="S209" s="160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</row>
    <row r="210">
      <c r="A210" s="159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160"/>
      <c r="S210" s="160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</row>
    <row r="211">
      <c r="A211" s="159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160"/>
      <c r="S211" s="160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</row>
    <row r="212">
      <c r="A212" s="159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160"/>
      <c r="S212" s="160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</row>
    <row r="213">
      <c r="A213" s="159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160"/>
      <c r="S213" s="160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</row>
    <row r="214">
      <c r="A214" s="159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160"/>
      <c r="S214" s="160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</row>
    <row r="215">
      <c r="A215" s="159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160"/>
      <c r="S215" s="160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</row>
    <row r="216">
      <c r="A216" s="159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160"/>
      <c r="S216" s="160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</row>
    <row r="217">
      <c r="A217" s="159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160"/>
      <c r="S217" s="160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</row>
    <row r="218">
      <c r="A218" s="159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160"/>
      <c r="S218" s="160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</row>
    <row r="219">
      <c r="A219" s="159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160"/>
      <c r="S219" s="160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</row>
    <row r="220">
      <c r="A220" s="159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160"/>
      <c r="S220" s="160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</row>
    <row r="221">
      <c r="A221" s="159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160"/>
      <c r="S221" s="160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</row>
    <row r="222">
      <c r="A222" s="159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160"/>
      <c r="S222" s="160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</row>
    <row r="223">
      <c r="A223" s="159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160"/>
      <c r="S223" s="160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</row>
    <row r="224">
      <c r="A224" s="159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160"/>
      <c r="S224" s="160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</row>
    <row r="225">
      <c r="A225" s="159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160"/>
      <c r="S225" s="160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</row>
    <row r="226">
      <c r="A226" s="159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160"/>
      <c r="S226" s="160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</row>
    <row r="227">
      <c r="A227" s="159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160"/>
      <c r="S227" s="160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</row>
    <row r="228">
      <c r="A228" s="159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160"/>
      <c r="S228" s="160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</row>
    <row r="229">
      <c r="A229" s="159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160"/>
      <c r="S229" s="160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</row>
    <row r="230">
      <c r="A230" s="159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160"/>
      <c r="S230" s="160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</row>
    <row r="231">
      <c r="A231" s="159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160"/>
      <c r="S231" s="160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</row>
    <row r="232">
      <c r="A232" s="159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160"/>
      <c r="S232" s="160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</row>
    <row r="233">
      <c r="A233" s="159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160"/>
      <c r="S233" s="160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</row>
    <row r="234">
      <c r="A234" s="159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160"/>
      <c r="S234" s="160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</row>
    <row r="235">
      <c r="A235" s="159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160"/>
      <c r="S235" s="160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</row>
    <row r="236">
      <c r="A236" s="159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160"/>
      <c r="S236" s="160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</row>
    <row r="237">
      <c r="A237" s="159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160"/>
      <c r="S237" s="160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</row>
    <row r="238">
      <c r="A238" s="159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160"/>
      <c r="S238" s="160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</row>
    <row r="239">
      <c r="A239" s="159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160"/>
      <c r="S239" s="160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</row>
    <row r="240">
      <c r="A240" s="159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160"/>
      <c r="S240" s="160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</row>
    <row r="241">
      <c r="A241" s="159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160"/>
      <c r="S241" s="160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</row>
    <row r="242">
      <c r="A242" s="159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160"/>
      <c r="S242" s="160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</row>
    <row r="243">
      <c r="A243" s="159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160"/>
      <c r="S243" s="160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</row>
    <row r="244">
      <c r="A244" s="159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160"/>
      <c r="S244" s="160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</row>
    <row r="245">
      <c r="A245" s="159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160"/>
      <c r="S245" s="160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</row>
    <row r="246">
      <c r="A246" s="159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160"/>
      <c r="S246" s="160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</row>
    <row r="247">
      <c r="A247" s="159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160"/>
      <c r="S247" s="160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</row>
    <row r="248">
      <c r="A248" s="159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160"/>
      <c r="S248" s="160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</row>
    <row r="249">
      <c r="A249" s="159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160"/>
      <c r="S249" s="160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</row>
    <row r="250">
      <c r="A250" s="159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160"/>
      <c r="S250" s="160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</row>
    <row r="251">
      <c r="A251" s="159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160"/>
      <c r="S251" s="160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</row>
    <row r="252">
      <c r="A252" s="159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160"/>
      <c r="S252" s="160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</row>
    <row r="253">
      <c r="A253" s="159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160"/>
      <c r="S253" s="160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</row>
    <row r="254">
      <c r="A254" s="159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160"/>
      <c r="S254" s="160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</row>
    <row r="255">
      <c r="A255" s="159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160"/>
      <c r="S255" s="160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</row>
    <row r="256">
      <c r="A256" s="159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160"/>
      <c r="S256" s="160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</row>
    <row r="257">
      <c r="A257" s="159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160"/>
      <c r="S257" s="160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</row>
    <row r="258">
      <c r="A258" s="159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160"/>
      <c r="S258" s="160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</row>
    <row r="259">
      <c r="A259" s="159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160"/>
      <c r="S259" s="160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</row>
    <row r="260">
      <c r="A260" s="159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160"/>
      <c r="S260" s="160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</row>
    <row r="261">
      <c r="A261" s="159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160"/>
      <c r="S261" s="160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</row>
    <row r="262">
      <c r="A262" s="159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160"/>
      <c r="S262" s="160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</row>
    <row r="263">
      <c r="A263" s="159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160"/>
      <c r="S263" s="160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</row>
    <row r="264">
      <c r="A264" s="159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160"/>
      <c r="S264" s="160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</row>
    <row r="265">
      <c r="A265" s="159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160"/>
      <c r="S265" s="160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</row>
    <row r="266">
      <c r="A266" s="159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160"/>
      <c r="S266" s="160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</row>
    <row r="267">
      <c r="A267" s="159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160"/>
      <c r="S267" s="160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</row>
    <row r="268">
      <c r="A268" s="159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160"/>
      <c r="S268" s="160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</row>
    <row r="269">
      <c r="A269" s="159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160"/>
      <c r="S269" s="160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</row>
    <row r="270">
      <c r="A270" s="159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160"/>
      <c r="S270" s="160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</row>
    <row r="271">
      <c r="A271" s="159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160"/>
      <c r="S271" s="160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</row>
    <row r="272">
      <c r="A272" s="159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160"/>
      <c r="S272" s="160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</row>
    <row r="273">
      <c r="A273" s="159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160"/>
      <c r="S273" s="160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</row>
    <row r="274">
      <c r="A274" s="159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160"/>
      <c r="S274" s="160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</row>
    <row r="275">
      <c r="A275" s="159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160"/>
      <c r="S275" s="160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</row>
    <row r="276">
      <c r="A276" s="159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160"/>
      <c r="S276" s="160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</row>
    <row r="277">
      <c r="A277" s="159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160"/>
      <c r="S277" s="160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</row>
    <row r="278">
      <c r="A278" s="159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160"/>
      <c r="S278" s="160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</row>
    <row r="279">
      <c r="A279" s="159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160"/>
      <c r="S279" s="160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</row>
    <row r="280">
      <c r="A280" s="159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160"/>
      <c r="S280" s="160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</row>
    <row r="281">
      <c r="A281" s="159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160"/>
      <c r="S281" s="160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</row>
    <row r="282">
      <c r="A282" s="159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160"/>
      <c r="S282" s="160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</row>
    <row r="283">
      <c r="A283" s="159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160"/>
      <c r="S283" s="160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</row>
    <row r="284">
      <c r="A284" s="159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160"/>
      <c r="S284" s="160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</row>
    <row r="285">
      <c r="A285" s="159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160"/>
      <c r="S285" s="160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</row>
    <row r="286">
      <c r="A286" s="159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160"/>
      <c r="S286" s="160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</row>
    <row r="287">
      <c r="A287" s="159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160"/>
      <c r="S287" s="160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</row>
    <row r="288">
      <c r="A288" s="159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160"/>
      <c r="S288" s="160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</row>
    <row r="289">
      <c r="A289" s="159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160"/>
      <c r="S289" s="160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</row>
    <row r="290">
      <c r="A290" s="159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160"/>
      <c r="S290" s="160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</row>
    <row r="291">
      <c r="A291" s="159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160"/>
      <c r="S291" s="160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</row>
    <row r="292">
      <c r="A292" s="159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160"/>
      <c r="S292" s="160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</row>
    <row r="293">
      <c r="A293" s="159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160"/>
      <c r="S293" s="160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</row>
    <row r="294">
      <c r="A294" s="159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160"/>
      <c r="S294" s="160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</row>
    <row r="295">
      <c r="A295" s="159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160"/>
      <c r="S295" s="160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</row>
    <row r="296">
      <c r="A296" s="159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160"/>
      <c r="S296" s="160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</row>
    <row r="297">
      <c r="A297" s="159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160"/>
      <c r="S297" s="160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</row>
    <row r="298">
      <c r="A298" s="159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160"/>
      <c r="S298" s="160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</row>
    <row r="299">
      <c r="A299" s="159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160"/>
      <c r="S299" s="160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</row>
    <row r="300">
      <c r="A300" s="159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160"/>
      <c r="S300" s="160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</row>
    <row r="301">
      <c r="A301" s="159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160"/>
      <c r="S301" s="160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</row>
    <row r="302">
      <c r="A302" s="159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160"/>
      <c r="S302" s="160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</row>
    <row r="303">
      <c r="A303" s="159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160"/>
      <c r="S303" s="160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</row>
    <row r="304">
      <c r="A304" s="159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160"/>
      <c r="S304" s="160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</row>
    <row r="305">
      <c r="A305" s="159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160"/>
      <c r="S305" s="160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</row>
    <row r="306">
      <c r="A306" s="159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160"/>
      <c r="S306" s="160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</row>
    <row r="307">
      <c r="A307" s="159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160"/>
      <c r="S307" s="160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</row>
    <row r="308">
      <c r="A308" s="159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160"/>
      <c r="S308" s="160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</row>
    <row r="309">
      <c r="A309" s="159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160"/>
      <c r="S309" s="160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</row>
    <row r="310">
      <c r="A310" s="159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160"/>
      <c r="S310" s="160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</row>
    <row r="311">
      <c r="A311" s="159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160"/>
      <c r="S311" s="160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</row>
    <row r="312">
      <c r="A312" s="159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160"/>
      <c r="S312" s="160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</row>
    <row r="313">
      <c r="A313" s="159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160"/>
      <c r="S313" s="160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</row>
    <row r="314">
      <c r="A314" s="159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160"/>
      <c r="S314" s="160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</row>
    <row r="315">
      <c r="A315" s="159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160"/>
      <c r="S315" s="160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</row>
    <row r="316">
      <c r="A316" s="159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160"/>
      <c r="S316" s="160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</row>
    <row r="317">
      <c r="A317" s="159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160"/>
      <c r="S317" s="160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</row>
    <row r="318">
      <c r="A318" s="159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160"/>
      <c r="S318" s="160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</row>
    <row r="319">
      <c r="A319" s="159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160"/>
      <c r="S319" s="160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</row>
    <row r="320">
      <c r="A320" s="159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160"/>
      <c r="S320" s="160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</row>
    <row r="321">
      <c r="A321" s="159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160"/>
      <c r="S321" s="160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</row>
    <row r="322">
      <c r="A322" s="159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160"/>
      <c r="S322" s="160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</row>
    <row r="323">
      <c r="A323" s="159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160"/>
      <c r="S323" s="160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</row>
    <row r="324">
      <c r="A324" s="159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160"/>
      <c r="S324" s="160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</row>
    <row r="325">
      <c r="A325" s="159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160"/>
      <c r="S325" s="160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</row>
    <row r="326">
      <c r="A326" s="159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160"/>
      <c r="S326" s="160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</row>
    <row r="327">
      <c r="A327" s="159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160"/>
      <c r="S327" s="160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</row>
    <row r="328">
      <c r="A328" s="159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160"/>
      <c r="S328" s="160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</row>
    <row r="329">
      <c r="A329" s="159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160"/>
      <c r="S329" s="160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</row>
    <row r="330">
      <c r="A330" s="159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160"/>
      <c r="S330" s="160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</row>
    <row r="331">
      <c r="A331" s="159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160"/>
      <c r="S331" s="160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</row>
    <row r="332">
      <c r="A332" s="159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160"/>
      <c r="S332" s="160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</row>
    <row r="333">
      <c r="A333" s="159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160"/>
      <c r="S333" s="160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</row>
    <row r="334">
      <c r="A334" s="159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160"/>
      <c r="S334" s="160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</row>
    <row r="335">
      <c r="A335" s="159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160"/>
      <c r="S335" s="160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</row>
    <row r="336">
      <c r="A336" s="159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160"/>
      <c r="S336" s="160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</row>
    <row r="337">
      <c r="A337" s="159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160"/>
      <c r="S337" s="160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</row>
    <row r="338">
      <c r="A338" s="159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160"/>
      <c r="S338" s="160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</row>
    <row r="339">
      <c r="A339" s="159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160"/>
      <c r="S339" s="160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</row>
    <row r="340">
      <c r="A340" s="159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160"/>
      <c r="S340" s="160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</row>
    <row r="341">
      <c r="A341" s="159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160"/>
      <c r="S341" s="160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</row>
    <row r="342">
      <c r="A342" s="159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160"/>
      <c r="S342" s="160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</row>
    <row r="343">
      <c r="A343" s="159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160"/>
      <c r="S343" s="160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</row>
    <row r="344">
      <c r="A344" s="159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160"/>
      <c r="S344" s="160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</row>
    <row r="345">
      <c r="A345" s="159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160"/>
      <c r="S345" s="160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</row>
    <row r="346">
      <c r="A346" s="159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160"/>
      <c r="S346" s="160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</row>
    <row r="347">
      <c r="A347" s="159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160"/>
      <c r="S347" s="160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</row>
    <row r="348">
      <c r="A348" s="159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160"/>
      <c r="S348" s="160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</row>
    <row r="349">
      <c r="A349" s="159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160"/>
      <c r="S349" s="160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</row>
    <row r="350">
      <c r="A350" s="159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160"/>
      <c r="S350" s="160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</row>
    <row r="351">
      <c r="A351" s="159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160"/>
      <c r="S351" s="160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</row>
    <row r="352">
      <c r="A352" s="159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160"/>
      <c r="S352" s="160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</row>
    <row r="353">
      <c r="A353" s="159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160"/>
      <c r="S353" s="160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</row>
    <row r="354">
      <c r="A354" s="159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160"/>
      <c r="S354" s="160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</row>
    <row r="355">
      <c r="A355" s="159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160"/>
      <c r="S355" s="160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</row>
    <row r="356">
      <c r="A356" s="159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160"/>
      <c r="S356" s="160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</row>
    <row r="357">
      <c r="A357" s="159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160"/>
      <c r="S357" s="160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</row>
    <row r="358">
      <c r="A358" s="159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160"/>
      <c r="S358" s="160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</row>
    <row r="359">
      <c r="A359" s="159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160"/>
      <c r="S359" s="160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</row>
    <row r="360">
      <c r="A360" s="159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160"/>
      <c r="S360" s="160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</row>
    <row r="361">
      <c r="A361" s="159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160"/>
      <c r="S361" s="160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</row>
    <row r="362">
      <c r="A362" s="159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160"/>
      <c r="S362" s="160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</row>
    <row r="363">
      <c r="A363" s="159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160"/>
      <c r="S363" s="160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</row>
    <row r="364">
      <c r="A364" s="159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160"/>
      <c r="S364" s="160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</row>
    <row r="365">
      <c r="A365" s="159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160"/>
      <c r="S365" s="160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</row>
    <row r="366">
      <c r="A366" s="159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160"/>
      <c r="S366" s="160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</row>
    <row r="367">
      <c r="A367" s="159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160"/>
      <c r="S367" s="160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</row>
    <row r="368">
      <c r="A368" s="159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160"/>
      <c r="S368" s="160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</row>
    <row r="369">
      <c r="A369" s="159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160"/>
      <c r="S369" s="160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</row>
    <row r="370">
      <c r="A370" s="159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160"/>
      <c r="S370" s="160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</row>
    <row r="371">
      <c r="A371" s="159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160"/>
      <c r="S371" s="160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</row>
    <row r="372">
      <c r="A372" s="159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160"/>
      <c r="S372" s="160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</row>
    <row r="373">
      <c r="A373" s="159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160"/>
      <c r="S373" s="160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</row>
    <row r="374">
      <c r="A374" s="159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160"/>
      <c r="S374" s="160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</row>
    <row r="375">
      <c r="A375" s="159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160"/>
      <c r="S375" s="160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</row>
    <row r="376">
      <c r="A376" s="159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160"/>
      <c r="S376" s="160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</row>
    <row r="377">
      <c r="A377" s="159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160"/>
      <c r="S377" s="160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</row>
    <row r="378">
      <c r="A378" s="159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160"/>
      <c r="S378" s="160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</row>
    <row r="379">
      <c r="A379" s="159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160"/>
      <c r="S379" s="160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</row>
    <row r="380">
      <c r="A380" s="159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160"/>
      <c r="S380" s="160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</row>
    <row r="381">
      <c r="A381" s="159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160"/>
      <c r="S381" s="160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</row>
    <row r="382">
      <c r="A382" s="159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160"/>
      <c r="S382" s="160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</row>
    <row r="383">
      <c r="A383" s="159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160"/>
      <c r="S383" s="160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</row>
    <row r="384">
      <c r="A384" s="159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160"/>
      <c r="S384" s="160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</row>
    <row r="385">
      <c r="A385" s="159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160"/>
      <c r="S385" s="160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</row>
    <row r="386">
      <c r="A386" s="159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160"/>
      <c r="S386" s="160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</row>
    <row r="387">
      <c r="A387" s="159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160"/>
      <c r="S387" s="160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</row>
    <row r="388">
      <c r="A388" s="159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160"/>
      <c r="S388" s="160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</row>
    <row r="389">
      <c r="A389" s="159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160"/>
      <c r="S389" s="160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</row>
    <row r="390">
      <c r="A390" s="159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160"/>
      <c r="S390" s="160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</row>
    <row r="391">
      <c r="A391" s="159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160"/>
      <c r="S391" s="160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</row>
    <row r="392">
      <c r="A392" s="159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160"/>
      <c r="S392" s="160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</row>
    <row r="393">
      <c r="A393" s="159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160"/>
      <c r="S393" s="160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</row>
    <row r="394">
      <c r="A394" s="159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160"/>
      <c r="S394" s="160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</row>
    <row r="395">
      <c r="A395" s="159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160"/>
      <c r="S395" s="160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</row>
    <row r="396">
      <c r="A396" s="159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160"/>
      <c r="S396" s="160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</row>
    <row r="397">
      <c r="A397" s="159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160"/>
      <c r="S397" s="160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  <c r="AI397" s="27"/>
      <c r="AJ397" s="27"/>
    </row>
    <row r="398">
      <c r="A398" s="159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160"/>
      <c r="S398" s="160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  <c r="AI398" s="27"/>
      <c r="AJ398" s="27"/>
    </row>
    <row r="399">
      <c r="A399" s="159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160"/>
      <c r="S399" s="160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  <c r="AI399" s="27"/>
      <c r="AJ399" s="27"/>
    </row>
    <row r="400">
      <c r="A400" s="159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160"/>
      <c r="S400" s="160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  <c r="AI400" s="27"/>
      <c r="AJ400" s="27"/>
    </row>
    <row r="401">
      <c r="A401" s="159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160"/>
      <c r="S401" s="160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27"/>
      <c r="AI401" s="27"/>
      <c r="AJ401" s="27"/>
    </row>
    <row r="402">
      <c r="A402" s="159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160"/>
      <c r="S402" s="160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  <c r="AI402" s="27"/>
      <c r="AJ402" s="27"/>
    </row>
    <row r="403">
      <c r="A403" s="159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160"/>
      <c r="S403" s="160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27"/>
      <c r="AI403" s="27"/>
      <c r="AJ403" s="27"/>
    </row>
    <row r="404">
      <c r="A404" s="159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160"/>
      <c r="S404" s="160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27"/>
      <c r="AI404" s="27"/>
      <c r="AJ404" s="27"/>
    </row>
    <row r="405">
      <c r="A405" s="159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160"/>
      <c r="S405" s="160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27"/>
      <c r="AI405" s="27"/>
      <c r="AJ405" s="27"/>
    </row>
    <row r="406">
      <c r="A406" s="159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160"/>
      <c r="S406" s="160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</row>
    <row r="407">
      <c r="A407" s="159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160"/>
      <c r="S407" s="160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  <c r="AH407" s="27"/>
      <c r="AI407" s="27"/>
      <c r="AJ407" s="27"/>
    </row>
    <row r="408">
      <c r="A408" s="159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160"/>
      <c r="S408" s="160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27"/>
      <c r="AI408" s="27"/>
      <c r="AJ408" s="27"/>
    </row>
    <row r="409">
      <c r="A409" s="159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160"/>
      <c r="S409" s="160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27"/>
      <c r="AI409" s="27"/>
      <c r="AJ409" s="27"/>
    </row>
    <row r="410">
      <c r="A410" s="159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160"/>
      <c r="S410" s="160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27"/>
      <c r="AI410" s="27"/>
      <c r="AJ410" s="27"/>
    </row>
    <row r="411">
      <c r="A411" s="159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160"/>
      <c r="S411" s="160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27"/>
      <c r="AI411" s="27"/>
      <c r="AJ411" s="27"/>
    </row>
    <row r="412">
      <c r="A412" s="159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160"/>
      <c r="S412" s="160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27"/>
      <c r="AI412" s="27"/>
      <c r="AJ412" s="27"/>
    </row>
    <row r="413">
      <c r="A413" s="159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160"/>
      <c r="S413" s="160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27"/>
      <c r="AI413" s="27"/>
      <c r="AJ413" s="27"/>
    </row>
    <row r="414">
      <c r="A414" s="159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160"/>
      <c r="S414" s="160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27"/>
      <c r="AI414" s="27"/>
      <c r="AJ414" s="27"/>
    </row>
    <row r="415">
      <c r="A415" s="159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160"/>
      <c r="S415" s="160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27"/>
      <c r="AI415" s="27"/>
      <c r="AJ415" s="27"/>
    </row>
    <row r="416">
      <c r="A416" s="159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160"/>
      <c r="S416" s="160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27"/>
      <c r="AI416" s="27"/>
      <c r="AJ416" s="27"/>
    </row>
    <row r="417">
      <c r="A417" s="159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160"/>
      <c r="S417" s="160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  <c r="AI417" s="27"/>
      <c r="AJ417" s="27"/>
    </row>
    <row r="418">
      <c r="A418" s="159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160"/>
      <c r="S418" s="160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27"/>
      <c r="AI418" s="27"/>
      <c r="AJ418" s="27"/>
    </row>
    <row r="419">
      <c r="A419" s="159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160"/>
      <c r="S419" s="160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27"/>
      <c r="AI419" s="27"/>
      <c r="AJ419" s="27"/>
    </row>
    <row r="420">
      <c r="A420" s="159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160"/>
      <c r="S420" s="160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27"/>
      <c r="AI420" s="27"/>
      <c r="AJ420" s="27"/>
    </row>
    <row r="421">
      <c r="A421" s="159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160"/>
      <c r="S421" s="160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27"/>
      <c r="AI421" s="27"/>
      <c r="AJ421" s="27"/>
    </row>
    <row r="422">
      <c r="A422" s="159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160"/>
      <c r="S422" s="160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27"/>
      <c r="AI422" s="27"/>
      <c r="AJ422" s="27"/>
    </row>
    <row r="423">
      <c r="A423" s="159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160"/>
      <c r="S423" s="160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27"/>
      <c r="AI423" s="27"/>
      <c r="AJ423" s="27"/>
    </row>
    <row r="424">
      <c r="A424" s="159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160"/>
      <c r="S424" s="160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27"/>
      <c r="AI424" s="27"/>
      <c r="AJ424" s="27"/>
    </row>
    <row r="425">
      <c r="A425" s="159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160"/>
      <c r="S425" s="160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27"/>
      <c r="AI425" s="27"/>
      <c r="AJ425" s="27"/>
    </row>
    <row r="426">
      <c r="A426" s="159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160"/>
      <c r="S426" s="160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27"/>
      <c r="AI426" s="27"/>
      <c r="AJ426" s="27"/>
    </row>
    <row r="427">
      <c r="A427" s="159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160"/>
      <c r="S427" s="160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27"/>
      <c r="AI427" s="27"/>
      <c r="AJ427" s="27"/>
    </row>
    <row r="428">
      <c r="A428" s="159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160"/>
      <c r="S428" s="160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27"/>
      <c r="AI428" s="27"/>
      <c r="AJ428" s="27"/>
    </row>
    <row r="429">
      <c r="A429" s="159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160"/>
      <c r="S429" s="160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27"/>
      <c r="AI429" s="27"/>
      <c r="AJ429" s="27"/>
    </row>
    <row r="430">
      <c r="A430" s="159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160"/>
      <c r="S430" s="160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27"/>
      <c r="AI430" s="27"/>
      <c r="AJ430" s="27"/>
    </row>
    <row r="431">
      <c r="A431" s="159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160"/>
      <c r="S431" s="160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27"/>
      <c r="AI431" s="27"/>
      <c r="AJ431" s="27"/>
    </row>
    <row r="432">
      <c r="A432" s="159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160"/>
      <c r="S432" s="160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27"/>
      <c r="AI432" s="27"/>
      <c r="AJ432" s="27"/>
    </row>
    <row r="433">
      <c r="A433" s="159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160"/>
      <c r="S433" s="160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  <c r="AH433" s="27"/>
      <c r="AI433" s="27"/>
      <c r="AJ433" s="27"/>
    </row>
    <row r="434">
      <c r="A434" s="159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160"/>
      <c r="S434" s="160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27"/>
      <c r="AI434" s="27"/>
      <c r="AJ434" s="27"/>
    </row>
    <row r="435">
      <c r="A435" s="159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160"/>
      <c r="S435" s="160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  <c r="AI435" s="27"/>
      <c r="AJ435" s="27"/>
    </row>
    <row r="436">
      <c r="A436" s="159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160"/>
      <c r="S436" s="160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27"/>
      <c r="AI436" s="27"/>
      <c r="AJ436" s="27"/>
    </row>
    <row r="437">
      <c r="A437" s="159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160"/>
      <c r="S437" s="160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  <c r="AI437" s="27"/>
      <c r="AJ437" s="27"/>
    </row>
    <row r="438">
      <c r="A438" s="159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160"/>
      <c r="S438" s="160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  <c r="AI438" s="27"/>
      <c r="AJ438" s="27"/>
    </row>
    <row r="439">
      <c r="A439" s="159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160"/>
      <c r="S439" s="160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27"/>
      <c r="AI439" s="27"/>
      <c r="AJ439" s="27"/>
    </row>
    <row r="440">
      <c r="A440" s="159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160"/>
      <c r="S440" s="160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27"/>
      <c r="AI440" s="27"/>
      <c r="AJ440" s="27"/>
    </row>
    <row r="441">
      <c r="A441" s="159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160"/>
      <c r="S441" s="160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27"/>
      <c r="AI441" s="27"/>
      <c r="AJ441" s="27"/>
    </row>
    <row r="442">
      <c r="A442" s="159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160"/>
      <c r="S442" s="160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27"/>
      <c r="AI442" s="27"/>
      <c r="AJ442" s="27"/>
    </row>
    <row r="443">
      <c r="A443" s="159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160"/>
      <c r="S443" s="160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27"/>
      <c r="AI443" s="27"/>
      <c r="AJ443" s="27"/>
    </row>
    <row r="444">
      <c r="A444" s="159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160"/>
      <c r="S444" s="160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</row>
    <row r="445">
      <c r="A445" s="159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160"/>
      <c r="S445" s="160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  <c r="AH445" s="27"/>
      <c r="AI445" s="27"/>
      <c r="AJ445" s="27"/>
    </row>
    <row r="446">
      <c r="A446" s="159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160"/>
      <c r="S446" s="160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27"/>
      <c r="AI446" s="27"/>
      <c r="AJ446" s="27"/>
    </row>
    <row r="447">
      <c r="A447" s="159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160"/>
      <c r="S447" s="160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  <c r="AH447" s="27"/>
      <c r="AI447" s="27"/>
      <c r="AJ447" s="27"/>
    </row>
    <row r="448">
      <c r="A448" s="159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160"/>
      <c r="S448" s="160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27"/>
      <c r="AI448" s="27"/>
      <c r="AJ448" s="27"/>
    </row>
    <row r="449">
      <c r="A449" s="159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160"/>
      <c r="S449" s="160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  <c r="AH449" s="27"/>
      <c r="AI449" s="27"/>
      <c r="AJ449" s="27"/>
    </row>
    <row r="450">
      <c r="A450" s="159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160"/>
      <c r="S450" s="160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27"/>
      <c r="AI450" s="27"/>
      <c r="AJ450" s="27"/>
    </row>
    <row r="451">
      <c r="A451" s="159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160"/>
      <c r="S451" s="160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27"/>
      <c r="AI451" s="27"/>
      <c r="AJ451" s="27"/>
    </row>
    <row r="452">
      <c r="A452" s="159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160"/>
      <c r="S452" s="160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27"/>
      <c r="AH452" s="27"/>
      <c r="AI452" s="27"/>
      <c r="AJ452" s="27"/>
    </row>
    <row r="453">
      <c r="A453" s="159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160"/>
      <c r="S453" s="160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  <c r="AH453" s="27"/>
      <c r="AI453" s="27"/>
      <c r="AJ453" s="27"/>
    </row>
    <row r="454">
      <c r="A454" s="159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160"/>
      <c r="S454" s="160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  <c r="AH454" s="27"/>
      <c r="AI454" s="27"/>
      <c r="AJ454" s="27"/>
    </row>
    <row r="455">
      <c r="A455" s="159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160"/>
      <c r="S455" s="160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  <c r="AH455" s="27"/>
      <c r="AI455" s="27"/>
      <c r="AJ455" s="27"/>
    </row>
    <row r="456">
      <c r="A456" s="159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160"/>
      <c r="S456" s="160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  <c r="AH456" s="27"/>
      <c r="AI456" s="27"/>
      <c r="AJ456" s="27"/>
    </row>
    <row r="457">
      <c r="A457" s="159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160"/>
      <c r="S457" s="160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27"/>
      <c r="AI457" s="27"/>
      <c r="AJ457" s="27"/>
    </row>
    <row r="458">
      <c r="A458" s="159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160"/>
      <c r="S458" s="160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27"/>
      <c r="AI458" s="27"/>
      <c r="AJ458" s="27"/>
    </row>
    <row r="459">
      <c r="A459" s="159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160"/>
      <c r="S459" s="160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27"/>
      <c r="AI459" s="27"/>
      <c r="AJ459" s="27"/>
    </row>
    <row r="460">
      <c r="A460" s="159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160"/>
      <c r="S460" s="160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27"/>
      <c r="AI460" s="27"/>
      <c r="AJ460" s="27"/>
    </row>
    <row r="461">
      <c r="A461" s="159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160"/>
      <c r="S461" s="160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  <c r="AH461" s="27"/>
      <c r="AI461" s="27"/>
      <c r="AJ461" s="27"/>
    </row>
    <row r="462">
      <c r="A462" s="159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160"/>
      <c r="S462" s="160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27"/>
      <c r="AI462" s="27"/>
      <c r="AJ462" s="27"/>
    </row>
    <row r="463">
      <c r="A463" s="159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160"/>
      <c r="S463" s="160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27"/>
      <c r="AI463" s="27"/>
      <c r="AJ463" s="27"/>
    </row>
    <row r="464">
      <c r="A464" s="159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160"/>
      <c r="S464" s="160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27"/>
      <c r="AI464" s="27"/>
      <c r="AJ464" s="27"/>
    </row>
    <row r="465">
      <c r="A465" s="159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160"/>
      <c r="S465" s="160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27"/>
      <c r="AI465" s="27"/>
      <c r="AJ465" s="27"/>
    </row>
    <row r="466">
      <c r="A466" s="159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160"/>
      <c r="S466" s="160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27"/>
      <c r="AI466" s="27"/>
      <c r="AJ466" s="27"/>
    </row>
    <row r="467">
      <c r="A467" s="159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160"/>
      <c r="S467" s="160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27"/>
      <c r="AI467" s="27"/>
      <c r="AJ467" s="27"/>
    </row>
    <row r="468">
      <c r="A468" s="159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160"/>
      <c r="S468" s="160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27"/>
      <c r="AI468" s="27"/>
      <c r="AJ468" s="27"/>
    </row>
    <row r="469">
      <c r="A469" s="159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160"/>
      <c r="S469" s="160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27"/>
      <c r="AI469" s="27"/>
      <c r="AJ469" s="27"/>
    </row>
    <row r="470">
      <c r="A470" s="159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160"/>
      <c r="S470" s="160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27"/>
      <c r="AI470" s="27"/>
      <c r="AJ470" s="27"/>
    </row>
    <row r="471">
      <c r="A471" s="159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160"/>
      <c r="S471" s="160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27"/>
      <c r="AI471" s="27"/>
      <c r="AJ471" s="27"/>
    </row>
    <row r="472">
      <c r="A472" s="159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160"/>
      <c r="S472" s="160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27"/>
      <c r="AI472" s="27"/>
      <c r="AJ472" s="27"/>
    </row>
    <row r="473">
      <c r="A473" s="159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160"/>
      <c r="S473" s="160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27"/>
      <c r="AI473" s="27"/>
      <c r="AJ473" s="27"/>
    </row>
    <row r="474">
      <c r="A474" s="159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160"/>
      <c r="S474" s="160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27"/>
      <c r="AI474" s="27"/>
      <c r="AJ474" s="27"/>
    </row>
    <row r="475">
      <c r="A475" s="159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160"/>
      <c r="S475" s="160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27"/>
      <c r="AI475" s="27"/>
      <c r="AJ475" s="27"/>
    </row>
    <row r="476">
      <c r="A476" s="159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160"/>
      <c r="S476" s="160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27"/>
      <c r="AI476" s="27"/>
      <c r="AJ476" s="27"/>
    </row>
    <row r="477">
      <c r="A477" s="159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160"/>
      <c r="S477" s="160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  <c r="AH477" s="27"/>
      <c r="AI477" s="27"/>
      <c r="AJ477" s="27"/>
    </row>
    <row r="478">
      <c r="A478" s="159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160"/>
      <c r="S478" s="160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  <c r="AH478" s="27"/>
      <c r="AI478" s="27"/>
      <c r="AJ478" s="27"/>
    </row>
    <row r="479">
      <c r="A479" s="159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160"/>
      <c r="S479" s="160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27"/>
      <c r="AI479" s="27"/>
      <c r="AJ479" s="27"/>
    </row>
    <row r="480">
      <c r="A480" s="159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160"/>
      <c r="S480" s="160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  <c r="AH480" s="27"/>
      <c r="AI480" s="27"/>
      <c r="AJ480" s="27"/>
    </row>
    <row r="481">
      <c r="A481" s="159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160"/>
      <c r="S481" s="160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  <c r="AH481" s="27"/>
      <c r="AI481" s="27"/>
      <c r="AJ481" s="27"/>
    </row>
    <row r="482">
      <c r="A482" s="159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160"/>
      <c r="S482" s="160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</row>
    <row r="483">
      <c r="A483" s="159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160"/>
      <c r="S483" s="160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27"/>
      <c r="AH483" s="27"/>
      <c r="AI483" s="27"/>
      <c r="AJ483" s="27"/>
    </row>
    <row r="484">
      <c r="A484" s="159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160"/>
      <c r="S484" s="160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27"/>
      <c r="AH484" s="27"/>
      <c r="AI484" s="27"/>
      <c r="AJ484" s="27"/>
    </row>
    <row r="485">
      <c r="A485" s="159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160"/>
      <c r="S485" s="160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27"/>
      <c r="AH485" s="27"/>
      <c r="AI485" s="27"/>
      <c r="AJ485" s="27"/>
    </row>
    <row r="486">
      <c r="A486" s="159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160"/>
      <c r="S486" s="160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27"/>
      <c r="AH486" s="27"/>
      <c r="AI486" s="27"/>
      <c r="AJ486" s="27"/>
    </row>
    <row r="487">
      <c r="A487" s="159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160"/>
      <c r="S487" s="160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27"/>
      <c r="AH487" s="27"/>
      <c r="AI487" s="27"/>
      <c r="AJ487" s="27"/>
    </row>
    <row r="488">
      <c r="A488" s="159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160"/>
      <c r="S488" s="160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27"/>
      <c r="AH488" s="27"/>
      <c r="AI488" s="27"/>
      <c r="AJ488" s="27"/>
    </row>
    <row r="489">
      <c r="A489" s="159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160"/>
      <c r="S489" s="160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  <c r="AH489" s="27"/>
      <c r="AI489" s="27"/>
      <c r="AJ489" s="27"/>
    </row>
    <row r="490">
      <c r="A490" s="159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160"/>
      <c r="S490" s="160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27"/>
      <c r="AH490" s="27"/>
      <c r="AI490" s="27"/>
      <c r="AJ490" s="27"/>
    </row>
    <row r="491">
      <c r="A491" s="159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160"/>
      <c r="S491" s="160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27"/>
      <c r="AH491" s="27"/>
      <c r="AI491" s="27"/>
      <c r="AJ491" s="27"/>
    </row>
    <row r="492">
      <c r="A492" s="159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160"/>
      <c r="S492" s="160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27"/>
      <c r="AH492" s="27"/>
      <c r="AI492" s="27"/>
      <c r="AJ492" s="27"/>
    </row>
    <row r="493">
      <c r="A493" s="159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160"/>
      <c r="S493" s="160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27"/>
      <c r="AH493" s="27"/>
      <c r="AI493" s="27"/>
      <c r="AJ493" s="27"/>
    </row>
    <row r="494">
      <c r="A494" s="159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160"/>
      <c r="S494" s="160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27"/>
      <c r="AH494" s="27"/>
      <c r="AI494" s="27"/>
      <c r="AJ494" s="27"/>
    </row>
    <row r="495">
      <c r="A495" s="159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160"/>
      <c r="S495" s="160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27"/>
      <c r="AH495" s="27"/>
      <c r="AI495" s="27"/>
      <c r="AJ495" s="27"/>
    </row>
    <row r="496">
      <c r="A496" s="159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160"/>
      <c r="S496" s="160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27"/>
      <c r="AH496" s="27"/>
      <c r="AI496" s="27"/>
      <c r="AJ496" s="27"/>
    </row>
    <row r="497">
      <c r="A497" s="159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160"/>
      <c r="S497" s="160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  <c r="AH497" s="27"/>
      <c r="AI497" s="27"/>
      <c r="AJ497" s="27"/>
    </row>
    <row r="498">
      <c r="A498" s="159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160"/>
      <c r="S498" s="160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27"/>
      <c r="AH498" s="27"/>
      <c r="AI498" s="27"/>
      <c r="AJ498" s="27"/>
    </row>
    <row r="499">
      <c r="A499" s="159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160"/>
      <c r="S499" s="160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27"/>
      <c r="AH499" s="27"/>
      <c r="AI499" s="27"/>
      <c r="AJ499" s="27"/>
    </row>
    <row r="500">
      <c r="A500" s="159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160"/>
      <c r="S500" s="160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27"/>
      <c r="AH500" s="27"/>
      <c r="AI500" s="27"/>
      <c r="AJ500" s="27"/>
    </row>
    <row r="501">
      <c r="A501" s="159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160"/>
      <c r="S501" s="160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27"/>
      <c r="AH501" s="27"/>
      <c r="AI501" s="27"/>
      <c r="AJ501" s="27"/>
    </row>
    <row r="502">
      <c r="A502" s="159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160"/>
      <c r="S502" s="160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  <c r="AH502" s="27"/>
      <c r="AI502" s="27"/>
      <c r="AJ502" s="27"/>
    </row>
    <row r="503">
      <c r="A503" s="159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160"/>
      <c r="S503" s="160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  <c r="AH503" s="27"/>
      <c r="AI503" s="27"/>
      <c r="AJ503" s="27"/>
    </row>
    <row r="504">
      <c r="A504" s="159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160"/>
      <c r="S504" s="160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  <c r="AH504" s="27"/>
      <c r="AI504" s="27"/>
      <c r="AJ504" s="27"/>
    </row>
    <row r="505">
      <c r="A505" s="159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160"/>
      <c r="S505" s="160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  <c r="AH505" s="27"/>
      <c r="AI505" s="27"/>
      <c r="AJ505" s="27"/>
    </row>
    <row r="506">
      <c r="A506" s="159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160"/>
      <c r="S506" s="160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  <c r="AH506" s="27"/>
      <c r="AI506" s="27"/>
      <c r="AJ506" s="27"/>
    </row>
    <row r="507">
      <c r="A507" s="159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160"/>
      <c r="S507" s="160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  <c r="AH507" s="27"/>
      <c r="AI507" s="27"/>
      <c r="AJ507" s="27"/>
    </row>
    <row r="508">
      <c r="A508" s="159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160"/>
      <c r="S508" s="160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  <c r="AH508" s="27"/>
      <c r="AI508" s="27"/>
      <c r="AJ508" s="27"/>
    </row>
    <row r="509">
      <c r="A509" s="159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160"/>
      <c r="S509" s="160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27"/>
      <c r="AH509" s="27"/>
      <c r="AI509" s="27"/>
      <c r="AJ509" s="27"/>
    </row>
    <row r="510">
      <c r="A510" s="159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160"/>
      <c r="S510" s="160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27"/>
      <c r="AH510" s="27"/>
      <c r="AI510" s="27"/>
      <c r="AJ510" s="27"/>
    </row>
    <row r="511">
      <c r="A511" s="159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160"/>
      <c r="S511" s="160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27"/>
      <c r="AH511" s="27"/>
      <c r="AI511" s="27"/>
      <c r="AJ511" s="27"/>
    </row>
    <row r="512">
      <c r="A512" s="159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160"/>
      <c r="S512" s="160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27"/>
      <c r="AH512" s="27"/>
      <c r="AI512" s="27"/>
      <c r="AJ512" s="27"/>
    </row>
    <row r="513">
      <c r="A513" s="159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160"/>
      <c r="S513" s="160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27"/>
      <c r="AH513" s="27"/>
      <c r="AI513" s="27"/>
      <c r="AJ513" s="27"/>
    </row>
    <row r="514">
      <c r="A514" s="159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160"/>
      <c r="S514" s="160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27"/>
      <c r="AH514" s="27"/>
      <c r="AI514" s="27"/>
      <c r="AJ514" s="27"/>
    </row>
    <row r="515">
      <c r="A515" s="159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160"/>
      <c r="S515" s="160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27"/>
      <c r="AH515" s="27"/>
      <c r="AI515" s="27"/>
      <c r="AJ515" s="27"/>
    </row>
    <row r="516">
      <c r="A516" s="159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160"/>
      <c r="S516" s="160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27"/>
      <c r="AH516" s="27"/>
      <c r="AI516" s="27"/>
      <c r="AJ516" s="27"/>
    </row>
    <row r="517">
      <c r="A517" s="159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160"/>
      <c r="S517" s="160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27"/>
      <c r="AH517" s="27"/>
      <c r="AI517" s="27"/>
      <c r="AJ517" s="27"/>
    </row>
    <row r="518">
      <c r="A518" s="159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160"/>
      <c r="S518" s="160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27"/>
      <c r="AH518" s="27"/>
      <c r="AI518" s="27"/>
      <c r="AJ518" s="27"/>
    </row>
    <row r="519">
      <c r="A519" s="159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160"/>
      <c r="S519" s="160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27"/>
      <c r="AH519" s="27"/>
      <c r="AI519" s="27"/>
      <c r="AJ519" s="27"/>
    </row>
    <row r="520">
      <c r="A520" s="159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160"/>
      <c r="S520" s="160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</row>
    <row r="521">
      <c r="A521" s="159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160"/>
      <c r="S521" s="160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27"/>
      <c r="AH521" s="27"/>
      <c r="AI521" s="27"/>
      <c r="AJ521" s="27"/>
    </row>
    <row r="522">
      <c r="A522" s="159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160"/>
      <c r="S522" s="160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27"/>
      <c r="AH522" s="27"/>
      <c r="AI522" s="27"/>
      <c r="AJ522" s="27"/>
    </row>
    <row r="523">
      <c r="A523" s="159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160"/>
      <c r="S523" s="160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27"/>
      <c r="AH523" s="27"/>
      <c r="AI523" s="27"/>
      <c r="AJ523" s="27"/>
    </row>
    <row r="524">
      <c r="A524" s="159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160"/>
      <c r="S524" s="160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27"/>
      <c r="AH524" s="27"/>
      <c r="AI524" s="27"/>
      <c r="AJ524" s="27"/>
    </row>
    <row r="525">
      <c r="A525" s="159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160"/>
      <c r="S525" s="160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27"/>
      <c r="AH525" s="27"/>
      <c r="AI525" s="27"/>
      <c r="AJ525" s="27"/>
    </row>
    <row r="526">
      <c r="A526" s="159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160"/>
      <c r="S526" s="160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27"/>
      <c r="AH526" s="27"/>
      <c r="AI526" s="27"/>
      <c r="AJ526" s="27"/>
    </row>
    <row r="527">
      <c r="A527" s="159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160"/>
      <c r="S527" s="160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27"/>
      <c r="AH527" s="27"/>
      <c r="AI527" s="27"/>
      <c r="AJ527" s="27"/>
    </row>
    <row r="528">
      <c r="A528" s="159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160"/>
      <c r="S528" s="160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27"/>
      <c r="AH528" s="27"/>
      <c r="AI528" s="27"/>
      <c r="AJ528" s="27"/>
    </row>
    <row r="529">
      <c r="A529" s="159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160"/>
      <c r="S529" s="160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27"/>
      <c r="AH529" s="27"/>
      <c r="AI529" s="27"/>
      <c r="AJ529" s="27"/>
    </row>
    <row r="530">
      <c r="A530" s="159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160"/>
      <c r="S530" s="160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27"/>
      <c r="AH530" s="27"/>
      <c r="AI530" s="27"/>
      <c r="AJ530" s="27"/>
    </row>
    <row r="531">
      <c r="A531" s="159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160"/>
      <c r="S531" s="160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27"/>
      <c r="AH531" s="27"/>
      <c r="AI531" s="27"/>
      <c r="AJ531" s="27"/>
    </row>
    <row r="532">
      <c r="A532" s="159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160"/>
      <c r="S532" s="160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27"/>
      <c r="AH532" s="27"/>
      <c r="AI532" s="27"/>
      <c r="AJ532" s="27"/>
    </row>
    <row r="533">
      <c r="A533" s="159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160"/>
      <c r="S533" s="160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27"/>
      <c r="AH533" s="27"/>
      <c r="AI533" s="27"/>
      <c r="AJ533" s="27"/>
    </row>
    <row r="534">
      <c r="A534" s="159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160"/>
      <c r="S534" s="160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27"/>
      <c r="AH534" s="27"/>
      <c r="AI534" s="27"/>
      <c r="AJ534" s="27"/>
    </row>
    <row r="535">
      <c r="A535" s="159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160"/>
      <c r="S535" s="160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27"/>
      <c r="AH535" s="27"/>
      <c r="AI535" s="27"/>
      <c r="AJ535" s="27"/>
    </row>
    <row r="536">
      <c r="A536" s="159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160"/>
      <c r="S536" s="160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27"/>
      <c r="AH536" s="27"/>
      <c r="AI536" s="27"/>
      <c r="AJ536" s="27"/>
    </row>
    <row r="537">
      <c r="A537" s="159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160"/>
      <c r="S537" s="160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27"/>
      <c r="AH537" s="27"/>
      <c r="AI537" s="27"/>
      <c r="AJ537" s="27"/>
    </row>
    <row r="538">
      <c r="A538" s="159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160"/>
      <c r="S538" s="160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27"/>
      <c r="AH538" s="27"/>
      <c r="AI538" s="27"/>
      <c r="AJ538" s="27"/>
    </row>
    <row r="539">
      <c r="A539" s="159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160"/>
      <c r="S539" s="160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27"/>
      <c r="AH539" s="27"/>
      <c r="AI539" s="27"/>
      <c r="AJ539" s="27"/>
    </row>
    <row r="540">
      <c r="A540" s="159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160"/>
      <c r="S540" s="160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27"/>
      <c r="AH540" s="27"/>
      <c r="AI540" s="27"/>
      <c r="AJ540" s="27"/>
    </row>
    <row r="541">
      <c r="A541" s="159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160"/>
      <c r="S541" s="160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27"/>
      <c r="AH541" s="27"/>
      <c r="AI541" s="27"/>
      <c r="AJ541" s="27"/>
    </row>
    <row r="542">
      <c r="A542" s="159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160"/>
      <c r="S542" s="160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27"/>
      <c r="AH542" s="27"/>
      <c r="AI542" s="27"/>
      <c r="AJ542" s="27"/>
    </row>
    <row r="543">
      <c r="A543" s="159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160"/>
      <c r="S543" s="160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27"/>
      <c r="AH543" s="27"/>
      <c r="AI543" s="27"/>
      <c r="AJ543" s="27"/>
    </row>
    <row r="544">
      <c r="A544" s="159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160"/>
      <c r="S544" s="160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27"/>
      <c r="AH544" s="27"/>
      <c r="AI544" s="27"/>
      <c r="AJ544" s="27"/>
    </row>
    <row r="545">
      <c r="A545" s="159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160"/>
      <c r="S545" s="160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27"/>
      <c r="AH545" s="27"/>
      <c r="AI545" s="27"/>
      <c r="AJ545" s="27"/>
    </row>
    <row r="546">
      <c r="A546" s="159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160"/>
      <c r="S546" s="160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27"/>
      <c r="AH546" s="27"/>
      <c r="AI546" s="27"/>
      <c r="AJ546" s="27"/>
    </row>
    <row r="547">
      <c r="A547" s="159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160"/>
      <c r="S547" s="160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27"/>
      <c r="AH547" s="27"/>
      <c r="AI547" s="27"/>
      <c r="AJ547" s="27"/>
    </row>
    <row r="548">
      <c r="A548" s="159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160"/>
      <c r="S548" s="160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27"/>
      <c r="AH548" s="27"/>
      <c r="AI548" s="27"/>
      <c r="AJ548" s="27"/>
    </row>
    <row r="549">
      <c r="A549" s="159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160"/>
      <c r="S549" s="160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27"/>
      <c r="AH549" s="27"/>
      <c r="AI549" s="27"/>
      <c r="AJ549" s="27"/>
    </row>
    <row r="550">
      <c r="A550" s="159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160"/>
      <c r="S550" s="160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27"/>
      <c r="AH550" s="27"/>
      <c r="AI550" s="27"/>
      <c r="AJ550" s="27"/>
    </row>
    <row r="551">
      <c r="A551" s="159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160"/>
      <c r="S551" s="160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27"/>
      <c r="AH551" s="27"/>
      <c r="AI551" s="27"/>
      <c r="AJ551" s="27"/>
    </row>
    <row r="552">
      <c r="A552" s="159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160"/>
      <c r="S552" s="160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27"/>
      <c r="AH552" s="27"/>
      <c r="AI552" s="27"/>
      <c r="AJ552" s="27"/>
    </row>
    <row r="553">
      <c r="A553" s="159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160"/>
      <c r="S553" s="160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27"/>
      <c r="AH553" s="27"/>
      <c r="AI553" s="27"/>
      <c r="AJ553" s="27"/>
    </row>
    <row r="554">
      <c r="A554" s="159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160"/>
      <c r="S554" s="160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27"/>
      <c r="AH554" s="27"/>
      <c r="AI554" s="27"/>
      <c r="AJ554" s="27"/>
    </row>
    <row r="555">
      <c r="A555" s="159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160"/>
      <c r="S555" s="160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27"/>
      <c r="AH555" s="27"/>
      <c r="AI555" s="27"/>
      <c r="AJ555" s="27"/>
    </row>
    <row r="556">
      <c r="A556" s="159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160"/>
      <c r="S556" s="160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27"/>
      <c r="AH556" s="27"/>
      <c r="AI556" s="27"/>
      <c r="AJ556" s="27"/>
    </row>
    <row r="557">
      <c r="A557" s="159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160"/>
      <c r="S557" s="160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27"/>
      <c r="AH557" s="27"/>
      <c r="AI557" s="27"/>
      <c r="AJ557" s="27"/>
    </row>
    <row r="558">
      <c r="A558" s="159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160"/>
      <c r="S558" s="160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</row>
    <row r="559">
      <c r="A559" s="159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160"/>
      <c r="S559" s="160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27"/>
      <c r="AH559" s="27"/>
      <c r="AI559" s="27"/>
      <c r="AJ559" s="27"/>
    </row>
    <row r="560">
      <c r="A560" s="159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160"/>
      <c r="S560" s="160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27"/>
      <c r="AH560" s="27"/>
      <c r="AI560" s="27"/>
      <c r="AJ560" s="27"/>
    </row>
    <row r="561">
      <c r="A561" s="159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160"/>
      <c r="S561" s="160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27"/>
      <c r="AH561" s="27"/>
      <c r="AI561" s="27"/>
      <c r="AJ561" s="27"/>
    </row>
    <row r="562">
      <c r="A562" s="159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160"/>
      <c r="S562" s="160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27"/>
      <c r="AH562" s="27"/>
      <c r="AI562" s="27"/>
      <c r="AJ562" s="27"/>
    </row>
    <row r="563">
      <c r="A563" s="159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160"/>
      <c r="S563" s="160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27"/>
      <c r="AH563" s="27"/>
      <c r="AI563" s="27"/>
      <c r="AJ563" s="27"/>
    </row>
    <row r="564">
      <c r="A564" s="159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160"/>
      <c r="S564" s="160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27"/>
      <c r="AH564" s="27"/>
      <c r="AI564" s="27"/>
      <c r="AJ564" s="27"/>
    </row>
    <row r="565">
      <c r="A565" s="159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160"/>
      <c r="S565" s="160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27"/>
      <c r="AH565" s="27"/>
      <c r="AI565" s="27"/>
      <c r="AJ565" s="27"/>
    </row>
    <row r="566">
      <c r="A566" s="159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160"/>
      <c r="S566" s="160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27"/>
      <c r="AH566" s="27"/>
      <c r="AI566" s="27"/>
      <c r="AJ566" s="27"/>
    </row>
    <row r="567">
      <c r="A567" s="159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160"/>
      <c r="S567" s="160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27"/>
      <c r="AH567" s="27"/>
      <c r="AI567" s="27"/>
      <c r="AJ567" s="27"/>
    </row>
    <row r="568">
      <c r="A568" s="159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160"/>
      <c r="S568" s="160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27"/>
      <c r="AH568" s="27"/>
      <c r="AI568" s="27"/>
      <c r="AJ568" s="27"/>
    </row>
    <row r="569">
      <c r="A569" s="159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160"/>
      <c r="S569" s="160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27"/>
      <c r="AH569" s="27"/>
      <c r="AI569" s="27"/>
      <c r="AJ569" s="27"/>
    </row>
    <row r="570">
      <c r="A570" s="159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160"/>
      <c r="S570" s="160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27"/>
      <c r="AH570" s="27"/>
      <c r="AI570" s="27"/>
      <c r="AJ570" s="27"/>
    </row>
    <row r="571">
      <c r="A571" s="159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160"/>
      <c r="S571" s="160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27"/>
      <c r="AH571" s="27"/>
      <c r="AI571" s="27"/>
      <c r="AJ571" s="27"/>
    </row>
    <row r="572">
      <c r="A572" s="159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160"/>
      <c r="S572" s="160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27"/>
      <c r="AH572" s="27"/>
      <c r="AI572" s="27"/>
      <c r="AJ572" s="27"/>
    </row>
    <row r="573">
      <c r="A573" s="159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160"/>
      <c r="S573" s="160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27"/>
      <c r="AH573" s="27"/>
      <c r="AI573" s="27"/>
      <c r="AJ573" s="27"/>
    </row>
    <row r="574">
      <c r="A574" s="159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160"/>
      <c r="S574" s="160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27"/>
      <c r="AH574" s="27"/>
      <c r="AI574" s="27"/>
      <c r="AJ574" s="27"/>
    </row>
    <row r="575">
      <c r="A575" s="159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160"/>
      <c r="S575" s="160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27"/>
      <c r="AH575" s="27"/>
      <c r="AI575" s="27"/>
      <c r="AJ575" s="27"/>
    </row>
    <row r="576">
      <c r="A576" s="159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160"/>
      <c r="S576" s="160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27"/>
      <c r="AH576" s="27"/>
      <c r="AI576" s="27"/>
      <c r="AJ576" s="27"/>
    </row>
    <row r="577">
      <c r="A577" s="159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160"/>
      <c r="S577" s="160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27"/>
      <c r="AH577" s="27"/>
      <c r="AI577" s="27"/>
      <c r="AJ577" s="27"/>
    </row>
    <row r="578">
      <c r="A578" s="159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160"/>
      <c r="S578" s="160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27"/>
      <c r="AH578" s="27"/>
      <c r="AI578" s="27"/>
      <c r="AJ578" s="27"/>
    </row>
    <row r="579">
      <c r="A579" s="159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160"/>
      <c r="S579" s="160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27"/>
      <c r="AH579" s="27"/>
      <c r="AI579" s="27"/>
      <c r="AJ579" s="27"/>
    </row>
    <row r="580">
      <c r="A580" s="159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160"/>
      <c r="S580" s="160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27"/>
      <c r="AH580" s="27"/>
      <c r="AI580" s="27"/>
      <c r="AJ580" s="27"/>
    </row>
    <row r="581">
      <c r="A581" s="159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160"/>
      <c r="S581" s="160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27"/>
      <c r="AH581" s="27"/>
      <c r="AI581" s="27"/>
      <c r="AJ581" s="27"/>
    </row>
    <row r="582">
      <c r="A582" s="159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160"/>
      <c r="S582" s="160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27"/>
      <c r="AH582" s="27"/>
      <c r="AI582" s="27"/>
      <c r="AJ582" s="27"/>
    </row>
    <row r="583">
      <c r="A583" s="159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160"/>
      <c r="S583" s="160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27"/>
      <c r="AH583" s="27"/>
      <c r="AI583" s="27"/>
      <c r="AJ583" s="27"/>
    </row>
    <row r="584">
      <c r="A584" s="159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160"/>
      <c r="S584" s="160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27"/>
      <c r="AH584" s="27"/>
      <c r="AI584" s="27"/>
      <c r="AJ584" s="27"/>
    </row>
    <row r="585">
      <c r="A585" s="159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160"/>
      <c r="S585" s="160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27"/>
      <c r="AH585" s="27"/>
      <c r="AI585" s="27"/>
      <c r="AJ585" s="27"/>
    </row>
    <row r="586">
      <c r="A586" s="159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160"/>
      <c r="S586" s="160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27"/>
      <c r="AH586" s="27"/>
      <c r="AI586" s="27"/>
      <c r="AJ586" s="27"/>
    </row>
    <row r="587">
      <c r="A587" s="159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160"/>
      <c r="S587" s="160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27"/>
      <c r="AH587" s="27"/>
      <c r="AI587" s="27"/>
      <c r="AJ587" s="27"/>
    </row>
    <row r="588">
      <c r="A588" s="159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160"/>
      <c r="S588" s="160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27"/>
      <c r="AH588" s="27"/>
      <c r="AI588" s="27"/>
      <c r="AJ588" s="27"/>
    </row>
    <row r="589">
      <c r="A589" s="159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160"/>
      <c r="S589" s="160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27"/>
      <c r="AH589" s="27"/>
      <c r="AI589" s="27"/>
      <c r="AJ589" s="27"/>
    </row>
    <row r="590">
      <c r="A590" s="159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160"/>
      <c r="S590" s="160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27"/>
      <c r="AH590" s="27"/>
      <c r="AI590" s="27"/>
      <c r="AJ590" s="27"/>
    </row>
    <row r="591">
      <c r="A591" s="159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160"/>
      <c r="S591" s="160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27"/>
      <c r="AH591" s="27"/>
      <c r="AI591" s="27"/>
      <c r="AJ591" s="27"/>
    </row>
    <row r="592">
      <c r="A592" s="159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160"/>
      <c r="S592" s="160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27"/>
      <c r="AH592" s="27"/>
      <c r="AI592" s="27"/>
      <c r="AJ592" s="27"/>
    </row>
    <row r="593">
      <c r="A593" s="159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160"/>
      <c r="S593" s="160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27"/>
      <c r="AH593" s="27"/>
      <c r="AI593" s="27"/>
      <c r="AJ593" s="27"/>
    </row>
    <row r="594">
      <c r="A594" s="159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160"/>
      <c r="S594" s="160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27"/>
      <c r="AH594" s="27"/>
      <c r="AI594" s="27"/>
      <c r="AJ594" s="27"/>
    </row>
    <row r="595">
      <c r="A595" s="159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160"/>
      <c r="S595" s="160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27"/>
      <c r="AH595" s="27"/>
      <c r="AI595" s="27"/>
      <c r="AJ595" s="27"/>
    </row>
    <row r="596">
      <c r="A596" s="159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160"/>
      <c r="S596" s="160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</row>
    <row r="597">
      <c r="A597" s="159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160"/>
      <c r="S597" s="160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27"/>
      <c r="AH597" s="27"/>
      <c r="AI597" s="27"/>
      <c r="AJ597" s="27"/>
    </row>
    <row r="598">
      <c r="A598" s="159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160"/>
      <c r="S598" s="160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27"/>
      <c r="AH598" s="27"/>
      <c r="AI598" s="27"/>
      <c r="AJ598" s="27"/>
    </row>
    <row r="599">
      <c r="A599" s="159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160"/>
      <c r="S599" s="160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27"/>
      <c r="AH599" s="27"/>
      <c r="AI599" s="27"/>
      <c r="AJ599" s="27"/>
    </row>
    <row r="600">
      <c r="A600" s="159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160"/>
      <c r="S600" s="160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27"/>
      <c r="AH600" s="27"/>
      <c r="AI600" s="27"/>
      <c r="AJ600" s="27"/>
    </row>
    <row r="601">
      <c r="A601" s="159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160"/>
      <c r="S601" s="160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27"/>
      <c r="AH601" s="27"/>
      <c r="AI601" s="27"/>
      <c r="AJ601" s="27"/>
    </row>
    <row r="602">
      <c r="A602" s="159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160"/>
      <c r="S602" s="160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27"/>
      <c r="AH602" s="27"/>
      <c r="AI602" s="27"/>
      <c r="AJ602" s="27"/>
    </row>
    <row r="603">
      <c r="A603" s="159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160"/>
      <c r="S603" s="160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27"/>
      <c r="AH603" s="27"/>
      <c r="AI603" s="27"/>
      <c r="AJ603" s="27"/>
    </row>
    <row r="604">
      <c r="A604" s="159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160"/>
      <c r="S604" s="160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27"/>
      <c r="AH604" s="27"/>
      <c r="AI604" s="27"/>
      <c r="AJ604" s="27"/>
    </row>
    <row r="605">
      <c r="A605" s="159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160"/>
      <c r="S605" s="160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27"/>
      <c r="AH605" s="27"/>
      <c r="AI605" s="27"/>
      <c r="AJ605" s="27"/>
    </row>
    <row r="606">
      <c r="A606" s="159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160"/>
      <c r="S606" s="160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27"/>
      <c r="AH606" s="27"/>
      <c r="AI606" s="27"/>
      <c r="AJ606" s="27"/>
    </row>
    <row r="607">
      <c r="A607" s="159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160"/>
      <c r="S607" s="160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27"/>
      <c r="AH607" s="27"/>
      <c r="AI607" s="27"/>
      <c r="AJ607" s="27"/>
    </row>
    <row r="608">
      <c r="A608" s="159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160"/>
      <c r="S608" s="160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27"/>
      <c r="AH608" s="27"/>
      <c r="AI608" s="27"/>
      <c r="AJ608" s="27"/>
    </row>
    <row r="609">
      <c r="A609" s="159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160"/>
      <c r="S609" s="160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27"/>
      <c r="AH609" s="27"/>
      <c r="AI609" s="27"/>
      <c r="AJ609" s="27"/>
    </row>
    <row r="610">
      <c r="A610" s="159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160"/>
      <c r="S610" s="160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27"/>
      <c r="AH610" s="27"/>
      <c r="AI610" s="27"/>
      <c r="AJ610" s="27"/>
    </row>
    <row r="611">
      <c r="A611" s="159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160"/>
      <c r="S611" s="160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27"/>
      <c r="AH611" s="27"/>
      <c r="AI611" s="27"/>
      <c r="AJ611" s="27"/>
    </row>
    <row r="612">
      <c r="A612" s="159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160"/>
      <c r="S612" s="160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27"/>
      <c r="AH612" s="27"/>
      <c r="AI612" s="27"/>
      <c r="AJ612" s="27"/>
    </row>
    <row r="613">
      <c r="A613" s="159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160"/>
      <c r="S613" s="160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27"/>
      <c r="AH613" s="27"/>
      <c r="AI613" s="27"/>
      <c r="AJ613" s="27"/>
    </row>
    <row r="614">
      <c r="A614" s="159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160"/>
      <c r="S614" s="160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27"/>
      <c r="AH614" s="27"/>
      <c r="AI614" s="27"/>
      <c r="AJ614" s="27"/>
    </row>
    <row r="615">
      <c r="A615" s="159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160"/>
      <c r="S615" s="160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27"/>
      <c r="AH615" s="27"/>
      <c r="AI615" s="27"/>
      <c r="AJ615" s="27"/>
    </row>
    <row r="616">
      <c r="A616" s="159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160"/>
      <c r="S616" s="160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27"/>
      <c r="AH616" s="27"/>
      <c r="AI616" s="27"/>
      <c r="AJ616" s="27"/>
    </row>
    <row r="617">
      <c r="A617" s="159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160"/>
      <c r="S617" s="160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27"/>
      <c r="AH617" s="27"/>
      <c r="AI617" s="27"/>
      <c r="AJ617" s="27"/>
    </row>
    <row r="618">
      <c r="A618" s="159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160"/>
      <c r="S618" s="160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27"/>
      <c r="AH618" s="27"/>
      <c r="AI618" s="27"/>
      <c r="AJ618" s="27"/>
    </row>
    <row r="619">
      <c r="A619" s="159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160"/>
      <c r="S619" s="160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27"/>
      <c r="AH619" s="27"/>
      <c r="AI619" s="27"/>
      <c r="AJ619" s="27"/>
    </row>
    <row r="620">
      <c r="A620" s="159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160"/>
      <c r="S620" s="160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27"/>
      <c r="AH620" s="27"/>
      <c r="AI620" s="27"/>
      <c r="AJ620" s="27"/>
    </row>
    <row r="621">
      <c r="A621" s="159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160"/>
      <c r="S621" s="160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27"/>
      <c r="AH621" s="27"/>
      <c r="AI621" s="27"/>
      <c r="AJ621" s="27"/>
    </row>
    <row r="622">
      <c r="A622" s="159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160"/>
      <c r="S622" s="160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27"/>
      <c r="AH622" s="27"/>
      <c r="AI622" s="27"/>
      <c r="AJ622" s="27"/>
    </row>
    <row r="623">
      <c r="A623" s="159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160"/>
      <c r="S623" s="160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27"/>
      <c r="AH623" s="27"/>
      <c r="AI623" s="27"/>
      <c r="AJ623" s="27"/>
    </row>
    <row r="624">
      <c r="A624" s="159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160"/>
      <c r="S624" s="160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27"/>
      <c r="AH624" s="27"/>
      <c r="AI624" s="27"/>
      <c r="AJ624" s="27"/>
    </row>
    <row r="625">
      <c r="A625" s="159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160"/>
      <c r="S625" s="160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27"/>
      <c r="AH625" s="27"/>
      <c r="AI625" s="27"/>
      <c r="AJ625" s="27"/>
    </row>
    <row r="626">
      <c r="A626" s="159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160"/>
      <c r="S626" s="160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27"/>
      <c r="AH626" s="27"/>
      <c r="AI626" s="27"/>
      <c r="AJ626" s="27"/>
    </row>
    <row r="627">
      <c r="A627" s="159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160"/>
      <c r="S627" s="160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27"/>
      <c r="AH627" s="27"/>
      <c r="AI627" s="27"/>
      <c r="AJ627" s="27"/>
    </row>
    <row r="628">
      <c r="A628" s="159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160"/>
      <c r="S628" s="160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27"/>
      <c r="AH628" s="27"/>
      <c r="AI628" s="27"/>
      <c r="AJ628" s="27"/>
    </row>
    <row r="629">
      <c r="A629" s="159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160"/>
      <c r="S629" s="160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27"/>
      <c r="AH629" s="27"/>
      <c r="AI629" s="27"/>
      <c r="AJ629" s="27"/>
    </row>
    <row r="630">
      <c r="A630" s="159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160"/>
      <c r="S630" s="160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27"/>
      <c r="AH630" s="27"/>
      <c r="AI630" s="27"/>
      <c r="AJ630" s="27"/>
    </row>
    <row r="631">
      <c r="A631" s="159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160"/>
      <c r="S631" s="160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27"/>
      <c r="AH631" s="27"/>
      <c r="AI631" s="27"/>
      <c r="AJ631" s="27"/>
    </row>
    <row r="632">
      <c r="A632" s="159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160"/>
      <c r="S632" s="160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27"/>
      <c r="AH632" s="27"/>
      <c r="AI632" s="27"/>
      <c r="AJ632" s="27"/>
    </row>
    <row r="633">
      <c r="A633" s="159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160"/>
      <c r="S633" s="160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27"/>
      <c r="AH633" s="27"/>
      <c r="AI633" s="27"/>
      <c r="AJ633" s="27"/>
    </row>
    <row r="634">
      <c r="A634" s="159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160"/>
      <c r="S634" s="160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</row>
    <row r="635">
      <c r="A635" s="159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160"/>
      <c r="S635" s="160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27"/>
      <c r="AH635" s="27"/>
      <c r="AI635" s="27"/>
      <c r="AJ635" s="27"/>
    </row>
    <row r="636">
      <c r="A636" s="159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160"/>
      <c r="S636" s="160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27"/>
      <c r="AH636" s="27"/>
      <c r="AI636" s="27"/>
      <c r="AJ636" s="27"/>
    </row>
    <row r="637">
      <c r="A637" s="159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160"/>
      <c r="S637" s="160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27"/>
      <c r="AH637" s="27"/>
      <c r="AI637" s="27"/>
      <c r="AJ637" s="27"/>
    </row>
    <row r="638">
      <c r="A638" s="159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160"/>
      <c r="S638" s="160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27"/>
      <c r="AH638" s="27"/>
      <c r="AI638" s="27"/>
      <c r="AJ638" s="27"/>
    </row>
    <row r="639">
      <c r="A639" s="159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160"/>
      <c r="S639" s="160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27"/>
      <c r="AH639" s="27"/>
      <c r="AI639" s="27"/>
      <c r="AJ639" s="27"/>
    </row>
    <row r="640">
      <c r="A640" s="159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160"/>
      <c r="S640" s="160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27"/>
      <c r="AH640" s="27"/>
      <c r="AI640" s="27"/>
      <c r="AJ640" s="27"/>
    </row>
    <row r="641">
      <c r="A641" s="159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160"/>
      <c r="S641" s="160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27"/>
      <c r="AH641" s="27"/>
      <c r="AI641" s="27"/>
      <c r="AJ641" s="27"/>
    </row>
    <row r="642">
      <c r="A642" s="159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160"/>
      <c r="S642" s="160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27"/>
      <c r="AH642" s="27"/>
      <c r="AI642" s="27"/>
      <c r="AJ642" s="27"/>
    </row>
    <row r="643">
      <c r="A643" s="159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160"/>
      <c r="S643" s="160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27"/>
      <c r="AH643" s="27"/>
      <c r="AI643" s="27"/>
      <c r="AJ643" s="27"/>
    </row>
    <row r="644">
      <c r="A644" s="159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160"/>
      <c r="S644" s="160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27"/>
      <c r="AH644" s="27"/>
      <c r="AI644" s="27"/>
      <c r="AJ644" s="27"/>
    </row>
    <row r="645">
      <c r="A645" s="159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160"/>
      <c r="S645" s="160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27"/>
      <c r="AH645" s="27"/>
      <c r="AI645" s="27"/>
      <c r="AJ645" s="27"/>
    </row>
    <row r="646">
      <c r="A646" s="159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160"/>
      <c r="S646" s="160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27"/>
      <c r="AH646" s="27"/>
      <c r="AI646" s="27"/>
      <c r="AJ646" s="27"/>
    </row>
    <row r="647">
      <c r="A647" s="159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160"/>
      <c r="S647" s="160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27"/>
      <c r="AH647" s="27"/>
      <c r="AI647" s="27"/>
      <c r="AJ647" s="27"/>
    </row>
    <row r="648">
      <c r="A648" s="159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160"/>
      <c r="S648" s="160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27"/>
      <c r="AH648" s="27"/>
      <c r="AI648" s="27"/>
      <c r="AJ648" s="27"/>
    </row>
    <row r="649">
      <c r="A649" s="159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160"/>
      <c r="S649" s="160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27"/>
      <c r="AH649" s="27"/>
      <c r="AI649" s="27"/>
      <c r="AJ649" s="27"/>
    </row>
    <row r="650">
      <c r="A650" s="159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160"/>
      <c r="S650" s="160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27"/>
      <c r="AH650" s="27"/>
      <c r="AI650" s="27"/>
      <c r="AJ650" s="27"/>
    </row>
    <row r="651">
      <c r="A651" s="159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160"/>
      <c r="S651" s="160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27"/>
      <c r="AH651" s="27"/>
      <c r="AI651" s="27"/>
      <c r="AJ651" s="27"/>
    </row>
    <row r="652">
      <c r="A652" s="159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160"/>
      <c r="S652" s="160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27"/>
      <c r="AH652" s="27"/>
      <c r="AI652" s="27"/>
      <c r="AJ652" s="27"/>
    </row>
    <row r="653">
      <c r="A653" s="159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160"/>
      <c r="S653" s="160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27"/>
      <c r="AH653" s="27"/>
      <c r="AI653" s="27"/>
      <c r="AJ653" s="27"/>
    </row>
    <row r="654">
      <c r="A654" s="159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160"/>
      <c r="S654" s="160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27"/>
      <c r="AH654" s="27"/>
      <c r="AI654" s="27"/>
      <c r="AJ654" s="27"/>
    </row>
    <row r="655">
      <c r="A655" s="159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160"/>
      <c r="S655" s="160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27"/>
      <c r="AH655" s="27"/>
      <c r="AI655" s="27"/>
      <c r="AJ655" s="27"/>
    </row>
    <row r="656">
      <c r="A656" s="159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160"/>
      <c r="S656" s="160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27"/>
      <c r="AH656" s="27"/>
      <c r="AI656" s="27"/>
      <c r="AJ656" s="27"/>
    </row>
    <row r="657">
      <c r="A657" s="159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160"/>
      <c r="S657" s="160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27"/>
      <c r="AH657" s="27"/>
      <c r="AI657" s="27"/>
      <c r="AJ657" s="27"/>
    </row>
    <row r="658">
      <c r="A658" s="159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160"/>
      <c r="S658" s="160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27"/>
      <c r="AH658" s="27"/>
      <c r="AI658" s="27"/>
      <c r="AJ658" s="27"/>
    </row>
    <row r="659">
      <c r="A659" s="159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160"/>
      <c r="S659" s="160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27"/>
      <c r="AH659" s="27"/>
      <c r="AI659" s="27"/>
      <c r="AJ659" s="27"/>
    </row>
    <row r="660">
      <c r="A660" s="159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160"/>
      <c r="S660" s="160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27"/>
      <c r="AH660" s="27"/>
      <c r="AI660" s="27"/>
      <c r="AJ660" s="27"/>
    </row>
    <row r="661">
      <c r="A661" s="159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160"/>
      <c r="S661" s="160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27"/>
      <c r="AH661" s="27"/>
      <c r="AI661" s="27"/>
      <c r="AJ661" s="27"/>
    </row>
    <row r="662">
      <c r="A662" s="159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160"/>
      <c r="S662" s="160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27"/>
      <c r="AH662" s="27"/>
      <c r="AI662" s="27"/>
      <c r="AJ662" s="27"/>
    </row>
    <row r="663">
      <c r="A663" s="159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160"/>
      <c r="S663" s="160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27"/>
      <c r="AH663" s="27"/>
      <c r="AI663" s="27"/>
      <c r="AJ663" s="27"/>
    </row>
    <row r="664">
      <c r="A664" s="159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160"/>
      <c r="S664" s="160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27"/>
      <c r="AH664" s="27"/>
      <c r="AI664" s="27"/>
      <c r="AJ664" s="27"/>
    </row>
    <row r="665">
      <c r="A665" s="159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160"/>
      <c r="S665" s="160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27"/>
      <c r="AH665" s="27"/>
      <c r="AI665" s="27"/>
      <c r="AJ665" s="27"/>
    </row>
    <row r="666">
      <c r="A666" s="159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160"/>
      <c r="S666" s="160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27"/>
      <c r="AH666" s="27"/>
      <c r="AI666" s="27"/>
      <c r="AJ666" s="27"/>
    </row>
    <row r="667">
      <c r="A667" s="159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160"/>
      <c r="S667" s="160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27"/>
      <c r="AH667" s="27"/>
      <c r="AI667" s="27"/>
      <c r="AJ667" s="27"/>
    </row>
    <row r="668">
      <c r="A668" s="159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160"/>
      <c r="S668" s="160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27"/>
      <c r="AH668" s="27"/>
      <c r="AI668" s="27"/>
      <c r="AJ668" s="27"/>
    </row>
    <row r="669">
      <c r="A669" s="159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160"/>
      <c r="S669" s="160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27"/>
      <c r="AH669" s="27"/>
      <c r="AI669" s="27"/>
      <c r="AJ669" s="27"/>
    </row>
    <row r="670">
      <c r="A670" s="159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160"/>
      <c r="S670" s="160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27"/>
      <c r="AH670" s="27"/>
      <c r="AI670" s="27"/>
      <c r="AJ670" s="27"/>
    </row>
    <row r="671">
      <c r="A671" s="159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160"/>
      <c r="S671" s="160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27"/>
      <c r="AH671" s="27"/>
      <c r="AI671" s="27"/>
      <c r="AJ671" s="27"/>
    </row>
    <row r="672">
      <c r="A672" s="159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160"/>
      <c r="S672" s="160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</row>
    <row r="673">
      <c r="A673" s="159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160"/>
      <c r="S673" s="160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  <c r="AE673" s="27"/>
      <c r="AF673" s="27"/>
      <c r="AG673" s="27"/>
      <c r="AH673" s="27"/>
      <c r="AI673" s="27"/>
      <c r="AJ673" s="27"/>
    </row>
    <row r="674">
      <c r="A674" s="159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160"/>
      <c r="S674" s="160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  <c r="AE674" s="27"/>
      <c r="AF674" s="27"/>
      <c r="AG674" s="27"/>
      <c r="AH674" s="27"/>
      <c r="AI674" s="27"/>
      <c r="AJ674" s="27"/>
    </row>
    <row r="675">
      <c r="A675" s="159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160"/>
      <c r="S675" s="160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  <c r="AE675" s="27"/>
      <c r="AF675" s="27"/>
      <c r="AG675" s="27"/>
      <c r="AH675" s="27"/>
      <c r="AI675" s="27"/>
      <c r="AJ675" s="27"/>
    </row>
    <row r="676">
      <c r="A676" s="159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160"/>
      <c r="S676" s="160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  <c r="AE676" s="27"/>
      <c r="AF676" s="27"/>
      <c r="AG676" s="27"/>
      <c r="AH676" s="27"/>
      <c r="AI676" s="27"/>
      <c r="AJ676" s="27"/>
    </row>
    <row r="677">
      <c r="A677" s="159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160"/>
      <c r="S677" s="160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  <c r="AF677" s="27"/>
      <c r="AG677" s="27"/>
      <c r="AH677" s="27"/>
      <c r="AI677" s="27"/>
      <c r="AJ677" s="27"/>
    </row>
    <row r="678">
      <c r="A678" s="159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160"/>
      <c r="S678" s="160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  <c r="AE678" s="27"/>
      <c r="AF678" s="27"/>
      <c r="AG678" s="27"/>
      <c r="AH678" s="27"/>
      <c r="AI678" s="27"/>
      <c r="AJ678" s="27"/>
    </row>
    <row r="679">
      <c r="A679" s="159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160"/>
      <c r="S679" s="160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  <c r="AE679" s="27"/>
      <c r="AF679" s="27"/>
      <c r="AG679" s="27"/>
      <c r="AH679" s="27"/>
      <c r="AI679" s="27"/>
      <c r="AJ679" s="27"/>
    </row>
    <row r="680">
      <c r="A680" s="159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160"/>
      <c r="S680" s="160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  <c r="AE680" s="27"/>
      <c r="AF680" s="27"/>
      <c r="AG680" s="27"/>
      <c r="AH680" s="27"/>
      <c r="AI680" s="27"/>
      <c r="AJ680" s="27"/>
    </row>
    <row r="681">
      <c r="A681" s="159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160"/>
      <c r="S681" s="160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  <c r="AE681" s="27"/>
      <c r="AF681" s="27"/>
      <c r="AG681" s="27"/>
      <c r="AH681" s="27"/>
      <c r="AI681" s="27"/>
      <c r="AJ681" s="27"/>
    </row>
    <row r="682">
      <c r="A682" s="159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160"/>
      <c r="S682" s="160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  <c r="AE682" s="27"/>
      <c r="AF682" s="27"/>
      <c r="AG682" s="27"/>
      <c r="AH682" s="27"/>
      <c r="AI682" s="27"/>
      <c r="AJ682" s="27"/>
    </row>
    <row r="683">
      <c r="A683" s="159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160"/>
      <c r="S683" s="160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  <c r="AE683" s="27"/>
      <c r="AF683" s="27"/>
      <c r="AG683" s="27"/>
      <c r="AH683" s="27"/>
      <c r="AI683" s="27"/>
      <c r="AJ683" s="27"/>
    </row>
    <row r="684">
      <c r="A684" s="159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160"/>
      <c r="S684" s="160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  <c r="AE684" s="27"/>
      <c r="AF684" s="27"/>
      <c r="AG684" s="27"/>
      <c r="AH684" s="27"/>
      <c r="AI684" s="27"/>
      <c r="AJ684" s="27"/>
    </row>
    <row r="685">
      <c r="A685" s="159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160"/>
      <c r="S685" s="160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  <c r="AG685" s="27"/>
      <c r="AH685" s="27"/>
      <c r="AI685" s="27"/>
      <c r="AJ685" s="27"/>
    </row>
    <row r="686">
      <c r="A686" s="159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160"/>
      <c r="S686" s="160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  <c r="AF686" s="27"/>
      <c r="AG686" s="27"/>
      <c r="AH686" s="27"/>
      <c r="AI686" s="27"/>
      <c r="AJ686" s="27"/>
    </row>
    <row r="687">
      <c r="A687" s="159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160"/>
      <c r="S687" s="160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  <c r="AE687" s="27"/>
      <c r="AF687" s="27"/>
      <c r="AG687" s="27"/>
      <c r="AH687" s="27"/>
      <c r="AI687" s="27"/>
      <c r="AJ687" s="27"/>
    </row>
    <row r="688">
      <c r="A688" s="159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160"/>
      <c r="S688" s="160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  <c r="AE688" s="27"/>
      <c r="AF688" s="27"/>
      <c r="AG688" s="27"/>
      <c r="AH688" s="27"/>
      <c r="AI688" s="27"/>
      <c r="AJ688" s="27"/>
    </row>
    <row r="689">
      <c r="A689" s="159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160"/>
      <c r="S689" s="160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  <c r="AE689" s="27"/>
      <c r="AF689" s="27"/>
      <c r="AG689" s="27"/>
      <c r="AH689" s="27"/>
      <c r="AI689" s="27"/>
      <c r="AJ689" s="27"/>
    </row>
    <row r="690">
      <c r="A690" s="159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160"/>
      <c r="S690" s="160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  <c r="AE690" s="27"/>
      <c r="AF690" s="27"/>
      <c r="AG690" s="27"/>
      <c r="AH690" s="27"/>
      <c r="AI690" s="27"/>
      <c r="AJ690" s="27"/>
    </row>
    <row r="691">
      <c r="A691" s="159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160"/>
      <c r="S691" s="160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  <c r="AE691" s="27"/>
      <c r="AF691" s="27"/>
      <c r="AG691" s="27"/>
      <c r="AH691" s="27"/>
      <c r="AI691" s="27"/>
      <c r="AJ691" s="27"/>
    </row>
    <row r="692">
      <c r="A692" s="159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160"/>
      <c r="S692" s="160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  <c r="AE692" s="27"/>
      <c r="AF692" s="27"/>
      <c r="AG692" s="27"/>
      <c r="AH692" s="27"/>
      <c r="AI692" s="27"/>
      <c r="AJ692" s="27"/>
    </row>
    <row r="693">
      <c r="A693" s="159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160"/>
      <c r="S693" s="160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  <c r="AF693" s="27"/>
      <c r="AG693" s="27"/>
      <c r="AH693" s="27"/>
      <c r="AI693" s="27"/>
      <c r="AJ693" s="27"/>
    </row>
    <row r="694">
      <c r="A694" s="159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160"/>
      <c r="S694" s="160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  <c r="AE694" s="27"/>
      <c r="AF694" s="27"/>
      <c r="AG694" s="27"/>
      <c r="AH694" s="27"/>
      <c r="AI694" s="27"/>
      <c r="AJ694" s="27"/>
    </row>
    <row r="695">
      <c r="A695" s="159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160"/>
      <c r="S695" s="160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  <c r="AE695" s="27"/>
      <c r="AF695" s="27"/>
      <c r="AG695" s="27"/>
      <c r="AH695" s="27"/>
      <c r="AI695" s="27"/>
      <c r="AJ695" s="27"/>
    </row>
    <row r="696">
      <c r="A696" s="159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160"/>
      <c r="S696" s="160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  <c r="AE696" s="27"/>
      <c r="AF696" s="27"/>
      <c r="AG696" s="27"/>
      <c r="AH696" s="27"/>
      <c r="AI696" s="27"/>
      <c r="AJ696" s="27"/>
    </row>
    <row r="697">
      <c r="A697" s="159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160"/>
      <c r="S697" s="160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  <c r="AE697" s="27"/>
      <c r="AF697" s="27"/>
      <c r="AG697" s="27"/>
      <c r="AH697" s="27"/>
      <c r="AI697" s="27"/>
      <c r="AJ697" s="27"/>
    </row>
    <row r="698">
      <c r="A698" s="159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160"/>
      <c r="S698" s="160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  <c r="AE698" s="27"/>
      <c r="AF698" s="27"/>
      <c r="AG698" s="27"/>
      <c r="AH698" s="27"/>
      <c r="AI698" s="27"/>
      <c r="AJ698" s="27"/>
    </row>
    <row r="699">
      <c r="A699" s="159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160"/>
      <c r="S699" s="160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  <c r="AE699" s="27"/>
      <c r="AF699" s="27"/>
      <c r="AG699" s="27"/>
      <c r="AH699" s="27"/>
      <c r="AI699" s="27"/>
      <c r="AJ699" s="27"/>
    </row>
    <row r="700">
      <c r="A700" s="159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160"/>
      <c r="S700" s="160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  <c r="AE700" s="27"/>
      <c r="AF700" s="27"/>
      <c r="AG700" s="27"/>
      <c r="AH700" s="27"/>
      <c r="AI700" s="27"/>
      <c r="AJ700" s="27"/>
    </row>
    <row r="701">
      <c r="A701" s="159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160"/>
      <c r="S701" s="160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  <c r="AE701" s="27"/>
      <c r="AF701" s="27"/>
      <c r="AG701" s="27"/>
      <c r="AH701" s="27"/>
      <c r="AI701" s="27"/>
      <c r="AJ701" s="27"/>
    </row>
    <row r="702">
      <c r="A702" s="159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160"/>
      <c r="S702" s="160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  <c r="AE702" s="27"/>
      <c r="AF702" s="27"/>
      <c r="AG702" s="27"/>
      <c r="AH702" s="27"/>
      <c r="AI702" s="27"/>
      <c r="AJ702" s="27"/>
    </row>
    <row r="703">
      <c r="A703" s="159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160"/>
      <c r="S703" s="160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  <c r="AE703" s="27"/>
      <c r="AF703" s="27"/>
      <c r="AG703" s="27"/>
      <c r="AH703" s="27"/>
      <c r="AI703" s="27"/>
      <c r="AJ703" s="27"/>
    </row>
    <row r="704">
      <c r="A704" s="159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160"/>
      <c r="S704" s="160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  <c r="AE704" s="27"/>
      <c r="AF704" s="27"/>
      <c r="AG704" s="27"/>
      <c r="AH704" s="27"/>
      <c r="AI704" s="27"/>
      <c r="AJ704" s="27"/>
    </row>
    <row r="705">
      <c r="A705" s="159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160"/>
      <c r="S705" s="160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  <c r="AE705" s="27"/>
      <c r="AF705" s="27"/>
      <c r="AG705" s="27"/>
      <c r="AH705" s="27"/>
      <c r="AI705" s="27"/>
      <c r="AJ705" s="27"/>
    </row>
    <row r="706">
      <c r="A706" s="159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160"/>
      <c r="S706" s="160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  <c r="AE706" s="27"/>
      <c r="AF706" s="27"/>
      <c r="AG706" s="27"/>
      <c r="AH706" s="27"/>
      <c r="AI706" s="27"/>
      <c r="AJ706" s="27"/>
    </row>
    <row r="707">
      <c r="A707" s="159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160"/>
      <c r="S707" s="160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  <c r="AF707" s="27"/>
      <c r="AG707" s="27"/>
      <c r="AH707" s="27"/>
      <c r="AI707" s="27"/>
      <c r="AJ707" s="27"/>
    </row>
    <row r="708">
      <c r="A708" s="159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160"/>
      <c r="S708" s="160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  <c r="AF708" s="27"/>
      <c r="AG708" s="27"/>
      <c r="AH708" s="27"/>
      <c r="AI708" s="27"/>
      <c r="AJ708" s="27"/>
    </row>
    <row r="709">
      <c r="A709" s="159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160"/>
      <c r="S709" s="160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  <c r="AE709" s="27"/>
      <c r="AF709" s="27"/>
      <c r="AG709" s="27"/>
      <c r="AH709" s="27"/>
      <c r="AI709" s="27"/>
      <c r="AJ709" s="27"/>
    </row>
    <row r="710">
      <c r="A710" s="159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160"/>
      <c r="S710" s="160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</row>
    <row r="711">
      <c r="A711" s="159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160"/>
      <c r="S711" s="160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  <c r="AE711" s="27"/>
      <c r="AF711" s="27"/>
      <c r="AG711" s="27"/>
      <c r="AH711" s="27"/>
      <c r="AI711" s="27"/>
      <c r="AJ711" s="27"/>
    </row>
    <row r="712">
      <c r="A712" s="159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160"/>
      <c r="S712" s="160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  <c r="AE712" s="27"/>
      <c r="AF712" s="27"/>
      <c r="AG712" s="27"/>
      <c r="AH712" s="27"/>
      <c r="AI712" s="27"/>
      <c r="AJ712" s="27"/>
    </row>
    <row r="713">
      <c r="A713" s="159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160"/>
      <c r="S713" s="160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  <c r="AF713" s="27"/>
      <c r="AG713" s="27"/>
      <c r="AH713" s="27"/>
      <c r="AI713" s="27"/>
      <c r="AJ713" s="27"/>
    </row>
    <row r="714">
      <c r="A714" s="159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160"/>
      <c r="S714" s="160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  <c r="AE714" s="27"/>
      <c r="AF714" s="27"/>
      <c r="AG714" s="27"/>
      <c r="AH714" s="27"/>
      <c r="AI714" s="27"/>
      <c r="AJ714" s="27"/>
    </row>
    <row r="715">
      <c r="A715" s="159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160"/>
      <c r="S715" s="160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  <c r="AE715" s="27"/>
      <c r="AF715" s="27"/>
      <c r="AG715" s="27"/>
      <c r="AH715" s="27"/>
      <c r="AI715" s="27"/>
      <c r="AJ715" s="27"/>
    </row>
    <row r="716">
      <c r="A716" s="159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160"/>
      <c r="S716" s="160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  <c r="AE716" s="27"/>
      <c r="AF716" s="27"/>
      <c r="AG716" s="27"/>
      <c r="AH716" s="27"/>
      <c r="AI716" s="27"/>
      <c r="AJ716" s="27"/>
    </row>
    <row r="717">
      <c r="A717" s="159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160"/>
      <c r="S717" s="160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  <c r="AE717" s="27"/>
      <c r="AF717" s="27"/>
      <c r="AG717" s="27"/>
      <c r="AH717" s="27"/>
      <c r="AI717" s="27"/>
      <c r="AJ717" s="27"/>
    </row>
    <row r="718">
      <c r="A718" s="159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160"/>
      <c r="S718" s="160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  <c r="AE718" s="27"/>
      <c r="AF718" s="27"/>
      <c r="AG718" s="27"/>
      <c r="AH718" s="27"/>
      <c r="AI718" s="27"/>
      <c r="AJ718" s="27"/>
    </row>
    <row r="719">
      <c r="A719" s="159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160"/>
      <c r="S719" s="160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  <c r="AE719" s="27"/>
      <c r="AF719" s="27"/>
      <c r="AG719" s="27"/>
      <c r="AH719" s="27"/>
      <c r="AI719" s="27"/>
      <c r="AJ719" s="27"/>
    </row>
    <row r="720">
      <c r="A720" s="159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160"/>
      <c r="S720" s="160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  <c r="AE720" s="27"/>
      <c r="AF720" s="27"/>
      <c r="AG720" s="27"/>
      <c r="AH720" s="27"/>
      <c r="AI720" s="27"/>
      <c r="AJ720" s="27"/>
    </row>
    <row r="721">
      <c r="A721" s="159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160"/>
      <c r="S721" s="160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  <c r="AE721" s="27"/>
      <c r="AF721" s="27"/>
      <c r="AG721" s="27"/>
      <c r="AH721" s="27"/>
      <c r="AI721" s="27"/>
      <c r="AJ721" s="27"/>
    </row>
    <row r="722">
      <c r="A722" s="159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160"/>
      <c r="S722" s="160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  <c r="AE722" s="27"/>
      <c r="AF722" s="27"/>
      <c r="AG722" s="27"/>
      <c r="AH722" s="27"/>
      <c r="AI722" s="27"/>
      <c r="AJ722" s="27"/>
    </row>
    <row r="723">
      <c r="A723" s="159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160"/>
      <c r="S723" s="160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  <c r="AE723" s="27"/>
      <c r="AF723" s="27"/>
      <c r="AG723" s="27"/>
      <c r="AH723" s="27"/>
      <c r="AI723" s="27"/>
      <c r="AJ723" s="27"/>
    </row>
    <row r="724">
      <c r="A724" s="159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160"/>
      <c r="S724" s="160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  <c r="AD724" s="27"/>
      <c r="AE724" s="27"/>
      <c r="AF724" s="27"/>
      <c r="AG724" s="27"/>
      <c r="AH724" s="27"/>
      <c r="AI724" s="27"/>
      <c r="AJ724" s="27"/>
    </row>
    <row r="725">
      <c r="A725" s="159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160"/>
      <c r="S725" s="160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  <c r="AD725" s="27"/>
      <c r="AE725" s="27"/>
      <c r="AF725" s="27"/>
      <c r="AG725" s="27"/>
      <c r="AH725" s="27"/>
      <c r="AI725" s="27"/>
      <c r="AJ725" s="27"/>
    </row>
    <row r="726">
      <c r="A726" s="159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160"/>
      <c r="S726" s="160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  <c r="AD726" s="27"/>
      <c r="AE726" s="27"/>
      <c r="AF726" s="27"/>
      <c r="AG726" s="27"/>
      <c r="AH726" s="27"/>
      <c r="AI726" s="27"/>
      <c r="AJ726" s="27"/>
    </row>
    <row r="727">
      <c r="A727" s="159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160"/>
      <c r="S727" s="160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  <c r="AE727" s="27"/>
      <c r="AF727" s="27"/>
      <c r="AG727" s="27"/>
      <c r="AH727" s="27"/>
      <c r="AI727" s="27"/>
      <c r="AJ727" s="27"/>
    </row>
    <row r="728">
      <c r="A728" s="159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160"/>
      <c r="S728" s="160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  <c r="AE728" s="27"/>
      <c r="AF728" s="27"/>
      <c r="AG728" s="27"/>
      <c r="AH728" s="27"/>
      <c r="AI728" s="27"/>
      <c r="AJ728" s="27"/>
    </row>
    <row r="729">
      <c r="A729" s="159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160"/>
      <c r="S729" s="160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  <c r="AD729" s="27"/>
      <c r="AE729" s="27"/>
      <c r="AF729" s="27"/>
      <c r="AG729" s="27"/>
      <c r="AH729" s="27"/>
      <c r="AI729" s="27"/>
      <c r="AJ729" s="27"/>
    </row>
    <row r="730">
      <c r="A730" s="159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160"/>
      <c r="S730" s="160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  <c r="AD730" s="27"/>
      <c r="AE730" s="27"/>
      <c r="AF730" s="27"/>
      <c r="AG730" s="27"/>
      <c r="AH730" s="27"/>
      <c r="AI730" s="27"/>
      <c r="AJ730" s="27"/>
    </row>
    <row r="731">
      <c r="A731" s="159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160"/>
      <c r="S731" s="160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  <c r="AE731" s="27"/>
      <c r="AF731" s="27"/>
      <c r="AG731" s="27"/>
      <c r="AH731" s="27"/>
      <c r="AI731" s="27"/>
      <c r="AJ731" s="27"/>
    </row>
    <row r="732">
      <c r="A732" s="159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160"/>
      <c r="S732" s="160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  <c r="AE732" s="27"/>
      <c r="AF732" s="27"/>
      <c r="AG732" s="27"/>
      <c r="AH732" s="27"/>
      <c r="AI732" s="27"/>
      <c r="AJ732" s="27"/>
    </row>
    <row r="733">
      <c r="A733" s="159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160"/>
      <c r="S733" s="160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  <c r="AE733" s="27"/>
      <c r="AF733" s="27"/>
      <c r="AG733" s="27"/>
      <c r="AH733" s="27"/>
      <c r="AI733" s="27"/>
      <c r="AJ733" s="27"/>
    </row>
    <row r="734">
      <c r="A734" s="159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160"/>
      <c r="S734" s="160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  <c r="AE734" s="27"/>
      <c r="AF734" s="27"/>
      <c r="AG734" s="27"/>
      <c r="AH734" s="27"/>
      <c r="AI734" s="27"/>
      <c r="AJ734" s="27"/>
    </row>
    <row r="735">
      <c r="A735" s="159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160"/>
      <c r="S735" s="160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  <c r="AE735" s="27"/>
      <c r="AF735" s="27"/>
      <c r="AG735" s="27"/>
      <c r="AH735" s="27"/>
      <c r="AI735" s="27"/>
      <c r="AJ735" s="27"/>
    </row>
    <row r="736">
      <c r="A736" s="159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160"/>
      <c r="S736" s="160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  <c r="AD736" s="27"/>
      <c r="AE736" s="27"/>
      <c r="AF736" s="27"/>
      <c r="AG736" s="27"/>
      <c r="AH736" s="27"/>
      <c r="AI736" s="27"/>
      <c r="AJ736" s="27"/>
    </row>
    <row r="737">
      <c r="A737" s="159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160"/>
      <c r="S737" s="160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  <c r="AD737" s="27"/>
      <c r="AE737" s="27"/>
      <c r="AF737" s="27"/>
      <c r="AG737" s="27"/>
      <c r="AH737" s="27"/>
      <c r="AI737" s="27"/>
      <c r="AJ737" s="27"/>
    </row>
    <row r="738">
      <c r="A738" s="159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160"/>
      <c r="S738" s="160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  <c r="AE738" s="27"/>
      <c r="AF738" s="27"/>
      <c r="AG738" s="27"/>
      <c r="AH738" s="27"/>
      <c r="AI738" s="27"/>
      <c r="AJ738" s="27"/>
    </row>
    <row r="739">
      <c r="A739" s="159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160"/>
      <c r="S739" s="160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  <c r="AE739" s="27"/>
      <c r="AF739" s="27"/>
      <c r="AG739" s="27"/>
      <c r="AH739" s="27"/>
      <c r="AI739" s="27"/>
      <c r="AJ739" s="27"/>
    </row>
    <row r="740">
      <c r="A740" s="159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160"/>
      <c r="S740" s="160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  <c r="AE740" s="27"/>
      <c r="AF740" s="27"/>
      <c r="AG740" s="27"/>
      <c r="AH740" s="27"/>
      <c r="AI740" s="27"/>
      <c r="AJ740" s="27"/>
    </row>
    <row r="741">
      <c r="A741" s="159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160"/>
      <c r="S741" s="160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  <c r="AE741" s="27"/>
      <c r="AF741" s="27"/>
      <c r="AG741" s="27"/>
      <c r="AH741" s="27"/>
      <c r="AI741" s="27"/>
      <c r="AJ741" s="27"/>
    </row>
    <row r="742">
      <c r="A742" s="159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160"/>
      <c r="S742" s="160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  <c r="AE742" s="27"/>
      <c r="AF742" s="27"/>
      <c r="AG742" s="27"/>
      <c r="AH742" s="27"/>
      <c r="AI742" s="27"/>
      <c r="AJ742" s="27"/>
    </row>
    <row r="743">
      <c r="A743" s="159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160"/>
      <c r="S743" s="160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  <c r="AD743" s="27"/>
      <c r="AE743" s="27"/>
      <c r="AF743" s="27"/>
      <c r="AG743" s="27"/>
      <c r="AH743" s="27"/>
      <c r="AI743" s="27"/>
      <c r="AJ743" s="27"/>
    </row>
    <row r="744">
      <c r="A744" s="159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160"/>
      <c r="S744" s="160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  <c r="AD744" s="27"/>
      <c r="AE744" s="27"/>
      <c r="AF744" s="27"/>
      <c r="AG744" s="27"/>
      <c r="AH744" s="27"/>
      <c r="AI744" s="27"/>
      <c r="AJ744" s="27"/>
    </row>
    <row r="745">
      <c r="A745" s="159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160"/>
      <c r="S745" s="160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  <c r="AD745" s="27"/>
      <c r="AE745" s="27"/>
      <c r="AF745" s="27"/>
      <c r="AG745" s="27"/>
      <c r="AH745" s="27"/>
      <c r="AI745" s="27"/>
      <c r="AJ745" s="27"/>
    </row>
    <row r="746">
      <c r="A746" s="159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160"/>
      <c r="S746" s="160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  <c r="AD746" s="27"/>
      <c r="AE746" s="27"/>
      <c r="AF746" s="27"/>
      <c r="AG746" s="27"/>
      <c r="AH746" s="27"/>
      <c r="AI746" s="27"/>
      <c r="AJ746" s="27"/>
    </row>
    <row r="747">
      <c r="A747" s="159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160"/>
      <c r="S747" s="160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  <c r="AD747" s="27"/>
      <c r="AE747" s="27"/>
      <c r="AF747" s="27"/>
      <c r="AG747" s="27"/>
      <c r="AH747" s="27"/>
      <c r="AI747" s="27"/>
      <c r="AJ747" s="27"/>
    </row>
    <row r="748">
      <c r="A748" s="159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160"/>
      <c r="S748" s="160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</row>
    <row r="749">
      <c r="A749" s="159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160"/>
      <c r="S749" s="160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  <c r="AD749" s="27"/>
      <c r="AE749" s="27"/>
      <c r="AF749" s="27"/>
      <c r="AG749" s="27"/>
      <c r="AH749" s="27"/>
      <c r="AI749" s="27"/>
      <c r="AJ749" s="27"/>
    </row>
    <row r="750">
      <c r="A750" s="159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160"/>
      <c r="S750" s="160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  <c r="AD750" s="27"/>
      <c r="AE750" s="27"/>
      <c r="AF750" s="27"/>
      <c r="AG750" s="27"/>
      <c r="AH750" s="27"/>
      <c r="AI750" s="27"/>
      <c r="AJ750" s="27"/>
    </row>
    <row r="751">
      <c r="A751" s="159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160"/>
      <c r="S751" s="160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  <c r="AD751" s="27"/>
      <c r="AE751" s="27"/>
      <c r="AF751" s="27"/>
      <c r="AG751" s="27"/>
      <c r="AH751" s="27"/>
      <c r="AI751" s="27"/>
      <c r="AJ751" s="27"/>
    </row>
    <row r="752">
      <c r="A752" s="159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160"/>
      <c r="S752" s="160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  <c r="AD752" s="27"/>
      <c r="AE752" s="27"/>
      <c r="AF752" s="27"/>
      <c r="AG752" s="27"/>
      <c r="AH752" s="27"/>
      <c r="AI752" s="27"/>
      <c r="AJ752" s="27"/>
    </row>
    <row r="753">
      <c r="A753" s="159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160"/>
      <c r="S753" s="160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  <c r="AD753" s="27"/>
      <c r="AE753" s="27"/>
      <c r="AF753" s="27"/>
      <c r="AG753" s="27"/>
      <c r="AH753" s="27"/>
      <c r="AI753" s="27"/>
      <c r="AJ753" s="27"/>
    </row>
    <row r="754">
      <c r="A754" s="159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160"/>
      <c r="S754" s="160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  <c r="AD754" s="27"/>
      <c r="AE754" s="27"/>
      <c r="AF754" s="27"/>
      <c r="AG754" s="27"/>
      <c r="AH754" s="27"/>
      <c r="AI754" s="27"/>
      <c r="AJ754" s="27"/>
    </row>
    <row r="755">
      <c r="A755" s="159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160"/>
      <c r="S755" s="160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  <c r="AD755" s="27"/>
      <c r="AE755" s="27"/>
      <c r="AF755" s="27"/>
      <c r="AG755" s="27"/>
      <c r="AH755" s="27"/>
      <c r="AI755" s="27"/>
      <c r="AJ755" s="27"/>
    </row>
    <row r="756">
      <c r="A756" s="159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160"/>
      <c r="S756" s="160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  <c r="AD756" s="27"/>
      <c r="AE756" s="27"/>
      <c r="AF756" s="27"/>
      <c r="AG756" s="27"/>
      <c r="AH756" s="27"/>
      <c r="AI756" s="27"/>
      <c r="AJ756" s="27"/>
    </row>
    <row r="757">
      <c r="A757" s="159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160"/>
      <c r="S757" s="160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  <c r="AD757" s="27"/>
      <c r="AE757" s="27"/>
      <c r="AF757" s="27"/>
      <c r="AG757" s="27"/>
      <c r="AH757" s="27"/>
      <c r="AI757" s="27"/>
      <c r="AJ757" s="27"/>
    </row>
    <row r="758">
      <c r="A758" s="159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160"/>
      <c r="S758" s="160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  <c r="AD758" s="27"/>
      <c r="AE758" s="27"/>
      <c r="AF758" s="27"/>
      <c r="AG758" s="27"/>
      <c r="AH758" s="27"/>
      <c r="AI758" s="27"/>
      <c r="AJ758" s="27"/>
    </row>
    <row r="759">
      <c r="A759" s="159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160"/>
      <c r="S759" s="160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  <c r="AD759" s="27"/>
      <c r="AE759" s="27"/>
      <c r="AF759" s="27"/>
      <c r="AG759" s="27"/>
      <c r="AH759" s="27"/>
      <c r="AI759" s="27"/>
      <c r="AJ759" s="27"/>
    </row>
    <row r="760">
      <c r="A760" s="159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160"/>
      <c r="S760" s="160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  <c r="AD760" s="27"/>
      <c r="AE760" s="27"/>
      <c r="AF760" s="27"/>
      <c r="AG760" s="27"/>
      <c r="AH760" s="27"/>
      <c r="AI760" s="27"/>
      <c r="AJ760" s="27"/>
    </row>
    <row r="761">
      <c r="A761" s="159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160"/>
      <c r="S761" s="160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  <c r="AD761" s="27"/>
      <c r="AE761" s="27"/>
      <c r="AF761" s="27"/>
      <c r="AG761" s="27"/>
      <c r="AH761" s="27"/>
      <c r="AI761" s="27"/>
      <c r="AJ761" s="27"/>
    </row>
    <row r="762">
      <c r="A762" s="159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160"/>
      <c r="S762" s="160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  <c r="AD762" s="27"/>
      <c r="AE762" s="27"/>
      <c r="AF762" s="27"/>
      <c r="AG762" s="27"/>
      <c r="AH762" s="27"/>
      <c r="AI762" s="27"/>
      <c r="AJ762" s="27"/>
    </row>
    <row r="763">
      <c r="A763" s="159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160"/>
      <c r="S763" s="160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  <c r="AD763" s="27"/>
      <c r="AE763" s="27"/>
      <c r="AF763" s="27"/>
      <c r="AG763" s="27"/>
      <c r="AH763" s="27"/>
      <c r="AI763" s="27"/>
      <c r="AJ763" s="27"/>
    </row>
    <row r="764">
      <c r="A764" s="159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160"/>
      <c r="S764" s="160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  <c r="AD764" s="27"/>
      <c r="AE764" s="27"/>
      <c r="AF764" s="27"/>
      <c r="AG764" s="27"/>
      <c r="AH764" s="27"/>
      <c r="AI764" s="27"/>
      <c r="AJ764" s="27"/>
    </row>
    <row r="765">
      <c r="A765" s="159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160"/>
      <c r="S765" s="160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  <c r="AD765" s="27"/>
      <c r="AE765" s="27"/>
      <c r="AF765" s="27"/>
      <c r="AG765" s="27"/>
      <c r="AH765" s="27"/>
      <c r="AI765" s="27"/>
      <c r="AJ765" s="27"/>
    </row>
    <row r="766">
      <c r="A766" s="159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160"/>
      <c r="S766" s="160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  <c r="AD766" s="27"/>
      <c r="AE766" s="27"/>
      <c r="AF766" s="27"/>
      <c r="AG766" s="27"/>
      <c r="AH766" s="27"/>
      <c r="AI766" s="27"/>
      <c r="AJ766" s="27"/>
    </row>
    <row r="767">
      <c r="A767" s="159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160"/>
      <c r="S767" s="160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  <c r="AD767" s="27"/>
      <c r="AE767" s="27"/>
      <c r="AF767" s="27"/>
      <c r="AG767" s="27"/>
      <c r="AH767" s="27"/>
      <c r="AI767" s="27"/>
      <c r="AJ767" s="27"/>
    </row>
    <row r="768">
      <c r="A768" s="159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160"/>
      <c r="S768" s="160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  <c r="AD768" s="27"/>
      <c r="AE768" s="27"/>
      <c r="AF768" s="27"/>
      <c r="AG768" s="27"/>
      <c r="AH768" s="27"/>
      <c r="AI768" s="27"/>
      <c r="AJ768" s="27"/>
    </row>
    <row r="769">
      <c r="A769" s="159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160"/>
      <c r="S769" s="160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  <c r="AD769" s="27"/>
      <c r="AE769" s="27"/>
      <c r="AF769" s="27"/>
      <c r="AG769" s="27"/>
      <c r="AH769" s="27"/>
      <c r="AI769" s="27"/>
      <c r="AJ769" s="27"/>
    </row>
    <row r="770">
      <c r="A770" s="159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160"/>
      <c r="S770" s="160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  <c r="AD770" s="27"/>
      <c r="AE770" s="27"/>
      <c r="AF770" s="27"/>
      <c r="AG770" s="27"/>
      <c r="AH770" s="27"/>
      <c r="AI770" s="27"/>
      <c r="AJ770" s="27"/>
    </row>
    <row r="771">
      <c r="A771" s="159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160"/>
      <c r="S771" s="160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  <c r="AD771" s="27"/>
      <c r="AE771" s="27"/>
      <c r="AF771" s="27"/>
      <c r="AG771" s="27"/>
      <c r="AH771" s="27"/>
      <c r="AI771" s="27"/>
      <c r="AJ771" s="27"/>
    </row>
    <row r="772">
      <c r="A772" s="159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160"/>
      <c r="S772" s="160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  <c r="AE772" s="27"/>
      <c r="AF772" s="27"/>
      <c r="AG772" s="27"/>
      <c r="AH772" s="27"/>
      <c r="AI772" s="27"/>
      <c r="AJ772" s="27"/>
    </row>
    <row r="773">
      <c r="A773" s="159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160"/>
      <c r="S773" s="160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  <c r="AE773" s="27"/>
      <c r="AF773" s="27"/>
      <c r="AG773" s="27"/>
      <c r="AH773" s="27"/>
      <c r="AI773" s="27"/>
      <c r="AJ773" s="27"/>
    </row>
    <row r="774">
      <c r="A774" s="159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160"/>
      <c r="S774" s="160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  <c r="AE774" s="27"/>
      <c r="AF774" s="27"/>
      <c r="AG774" s="27"/>
      <c r="AH774" s="27"/>
      <c r="AI774" s="27"/>
      <c r="AJ774" s="27"/>
    </row>
    <row r="775">
      <c r="A775" s="159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160"/>
      <c r="S775" s="160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  <c r="AE775" s="27"/>
      <c r="AF775" s="27"/>
      <c r="AG775" s="27"/>
      <c r="AH775" s="27"/>
      <c r="AI775" s="27"/>
      <c r="AJ775" s="27"/>
    </row>
    <row r="776">
      <c r="A776" s="159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160"/>
      <c r="S776" s="160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  <c r="AD776" s="27"/>
      <c r="AE776" s="27"/>
      <c r="AF776" s="27"/>
      <c r="AG776" s="27"/>
      <c r="AH776" s="27"/>
      <c r="AI776" s="27"/>
      <c r="AJ776" s="27"/>
    </row>
    <row r="777">
      <c r="A777" s="159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160"/>
      <c r="S777" s="160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  <c r="AD777" s="27"/>
      <c r="AE777" s="27"/>
      <c r="AF777" s="27"/>
      <c r="AG777" s="27"/>
      <c r="AH777" s="27"/>
      <c r="AI777" s="27"/>
      <c r="AJ777" s="27"/>
    </row>
    <row r="778">
      <c r="A778" s="159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160"/>
      <c r="S778" s="160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  <c r="AD778" s="27"/>
      <c r="AE778" s="27"/>
      <c r="AF778" s="27"/>
      <c r="AG778" s="27"/>
      <c r="AH778" s="27"/>
      <c r="AI778" s="27"/>
      <c r="AJ778" s="27"/>
    </row>
    <row r="779">
      <c r="A779" s="159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160"/>
      <c r="S779" s="160"/>
      <c r="T779" s="27"/>
      <c r="U779" s="27"/>
      <c r="V779" s="27"/>
      <c r="W779" s="27"/>
      <c r="X779" s="27"/>
      <c r="Y779" s="27"/>
      <c r="Z779" s="27"/>
      <c r="AA779" s="27"/>
      <c r="AB779" s="27"/>
      <c r="AC779" s="27"/>
      <c r="AD779" s="27"/>
      <c r="AE779" s="27"/>
      <c r="AF779" s="27"/>
      <c r="AG779" s="27"/>
      <c r="AH779" s="27"/>
      <c r="AI779" s="27"/>
      <c r="AJ779" s="27"/>
    </row>
    <row r="780">
      <c r="A780" s="159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160"/>
      <c r="S780" s="160"/>
      <c r="T780" s="27"/>
      <c r="U780" s="27"/>
      <c r="V780" s="27"/>
      <c r="W780" s="27"/>
      <c r="X780" s="27"/>
      <c r="Y780" s="27"/>
      <c r="Z780" s="27"/>
      <c r="AA780" s="27"/>
      <c r="AB780" s="27"/>
      <c r="AC780" s="27"/>
      <c r="AD780" s="27"/>
      <c r="AE780" s="27"/>
      <c r="AF780" s="27"/>
      <c r="AG780" s="27"/>
      <c r="AH780" s="27"/>
      <c r="AI780" s="27"/>
      <c r="AJ780" s="27"/>
    </row>
    <row r="781">
      <c r="A781" s="159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160"/>
      <c r="S781" s="160"/>
      <c r="T781" s="27"/>
      <c r="U781" s="27"/>
      <c r="V781" s="27"/>
      <c r="W781" s="27"/>
      <c r="X781" s="27"/>
      <c r="Y781" s="27"/>
      <c r="Z781" s="27"/>
      <c r="AA781" s="27"/>
      <c r="AB781" s="27"/>
      <c r="AC781" s="27"/>
      <c r="AD781" s="27"/>
      <c r="AE781" s="27"/>
      <c r="AF781" s="27"/>
      <c r="AG781" s="27"/>
      <c r="AH781" s="27"/>
      <c r="AI781" s="27"/>
      <c r="AJ781" s="27"/>
    </row>
    <row r="782">
      <c r="A782" s="159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160"/>
      <c r="S782" s="160"/>
      <c r="T782" s="27"/>
      <c r="U782" s="27"/>
      <c r="V782" s="27"/>
      <c r="W782" s="27"/>
      <c r="X782" s="27"/>
      <c r="Y782" s="27"/>
      <c r="Z782" s="27"/>
      <c r="AA782" s="27"/>
      <c r="AB782" s="27"/>
      <c r="AC782" s="27"/>
      <c r="AD782" s="27"/>
      <c r="AE782" s="27"/>
      <c r="AF782" s="27"/>
      <c r="AG782" s="27"/>
      <c r="AH782" s="27"/>
      <c r="AI782" s="27"/>
      <c r="AJ782" s="27"/>
    </row>
    <row r="783">
      <c r="A783" s="159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160"/>
      <c r="S783" s="160"/>
      <c r="T783" s="27"/>
      <c r="U783" s="27"/>
      <c r="V783" s="27"/>
      <c r="W783" s="27"/>
      <c r="X783" s="27"/>
      <c r="Y783" s="27"/>
      <c r="Z783" s="27"/>
      <c r="AA783" s="27"/>
      <c r="AB783" s="27"/>
      <c r="AC783" s="27"/>
      <c r="AD783" s="27"/>
      <c r="AE783" s="27"/>
      <c r="AF783" s="27"/>
      <c r="AG783" s="27"/>
      <c r="AH783" s="27"/>
      <c r="AI783" s="27"/>
      <c r="AJ783" s="27"/>
    </row>
    <row r="784">
      <c r="A784" s="159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160"/>
      <c r="S784" s="160"/>
      <c r="T784" s="27"/>
      <c r="U784" s="27"/>
      <c r="V784" s="27"/>
      <c r="W784" s="27"/>
      <c r="X784" s="27"/>
      <c r="Y784" s="27"/>
      <c r="Z784" s="27"/>
      <c r="AA784" s="27"/>
      <c r="AB784" s="27"/>
      <c r="AC784" s="27"/>
      <c r="AD784" s="27"/>
      <c r="AE784" s="27"/>
      <c r="AF784" s="27"/>
      <c r="AG784" s="27"/>
      <c r="AH784" s="27"/>
      <c r="AI784" s="27"/>
      <c r="AJ784" s="27"/>
    </row>
    <row r="785">
      <c r="A785" s="159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160"/>
      <c r="S785" s="160"/>
      <c r="T785" s="27"/>
      <c r="U785" s="27"/>
      <c r="V785" s="27"/>
      <c r="W785" s="27"/>
      <c r="X785" s="27"/>
      <c r="Y785" s="27"/>
      <c r="Z785" s="27"/>
      <c r="AA785" s="27"/>
      <c r="AB785" s="27"/>
      <c r="AC785" s="27"/>
      <c r="AD785" s="27"/>
      <c r="AE785" s="27"/>
      <c r="AF785" s="27"/>
      <c r="AG785" s="27"/>
      <c r="AH785" s="27"/>
      <c r="AI785" s="27"/>
      <c r="AJ785" s="27"/>
    </row>
    <row r="786">
      <c r="A786" s="159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160"/>
      <c r="S786" s="160"/>
      <c r="T786" s="27"/>
      <c r="U786" s="27"/>
      <c r="V786" s="27"/>
      <c r="W786" s="27"/>
      <c r="X786" s="27"/>
      <c r="Y786" s="27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</row>
    <row r="787">
      <c r="A787" s="159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160"/>
      <c r="S787" s="160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  <c r="AD787" s="27"/>
      <c r="AE787" s="27"/>
      <c r="AF787" s="27"/>
      <c r="AG787" s="27"/>
      <c r="AH787" s="27"/>
      <c r="AI787" s="27"/>
      <c r="AJ787" s="27"/>
    </row>
    <row r="788">
      <c r="A788" s="159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160"/>
      <c r="S788" s="160"/>
      <c r="T788" s="27"/>
      <c r="U788" s="27"/>
      <c r="V788" s="27"/>
      <c r="W788" s="27"/>
      <c r="X788" s="27"/>
      <c r="Y788" s="27"/>
      <c r="Z788" s="27"/>
      <c r="AA788" s="27"/>
      <c r="AB788" s="27"/>
      <c r="AC788" s="27"/>
      <c r="AD788" s="27"/>
      <c r="AE788" s="27"/>
      <c r="AF788" s="27"/>
      <c r="AG788" s="27"/>
      <c r="AH788" s="27"/>
      <c r="AI788" s="27"/>
      <c r="AJ788" s="27"/>
    </row>
    <row r="789">
      <c r="A789" s="159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160"/>
      <c r="S789" s="160"/>
      <c r="T789" s="27"/>
      <c r="U789" s="27"/>
      <c r="V789" s="27"/>
      <c r="W789" s="27"/>
      <c r="X789" s="27"/>
      <c r="Y789" s="27"/>
      <c r="Z789" s="27"/>
      <c r="AA789" s="27"/>
      <c r="AB789" s="27"/>
      <c r="AC789" s="27"/>
      <c r="AD789" s="27"/>
      <c r="AE789" s="27"/>
      <c r="AF789" s="27"/>
      <c r="AG789" s="27"/>
      <c r="AH789" s="27"/>
      <c r="AI789" s="27"/>
      <c r="AJ789" s="27"/>
    </row>
    <row r="790">
      <c r="A790" s="159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160"/>
      <c r="S790" s="160"/>
      <c r="T790" s="27"/>
      <c r="U790" s="27"/>
      <c r="V790" s="27"/>
      <c r="W790" s="27"/>
      <c r="X790" s="27"/>
      <c r="Y790" s="27"/>
      <c r="Z790" s="27"/>
      <c r="AA790" s="27"/>
      <c r="AB790" s="27"/>
      <c r="AC790" s="27"/>
      <c r="AD790" s="27"/>
      <c r="AE790" s="27"/>
      <c r="AF790" s="27"/>
      <c r="AG790" s="27"/>
      <c r="AH790" s="27"/>
      <c r="AI790" s="27"/>
      <c r="AJ790" s="27"/>
    </row>
    <row r="791">
      <c r="A791" s="159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160"/>
      <c r="S791" s="160"/>
      <c r="T791" s="27"/>
      <c r="U791" s="27"/>
      <c r="V791" s="27"/>
      <c r="W791" s="27"/>
      <c r="X791" s="27"/>
      <c r="Y791" s="27"/>
      <c r="Z791" s="27"/>
      <c r="AA791" s="27"/>
      <c r="AB791" s="27"/>
      <c r="AC791" s="27"/>
      <c r="AD791" s="27"/>
      <c r="AE791" s="27"/>
      <c r="AF791" s="27"/>
      <c r="AG791" s="27"/>
      <c r="AH791" s="27"/>
      <c r="AI791" s="27"/>
      <c r="AJ791" s="27"/>
    </row>
    <row r="792">
      <c r="A792" s="159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160"/>
      <c r="S792" s="160"/>
      <c r="T792" s="27"/>
      <c r="U792" s="27"/>
      <c r="V792" s="27"/>
      <c r="W792" s="27"/>
      <c r="X792" s="27"/>
      <c r="Y792" s="27"/>
      <c r="Z792" s="27"/>
      <c r="AA792" s="27"/>
      <c r="AB792" s="27"/>
      <c r="AC792" s="27"/>
      <c r="AD792" s="27"/>
      <c r="AE792" s="27"/>
      <c r="AF792" s="27"/>
      <c r="AG792" s="27"/>
      <c r="AH792" s="27"/>
      <c r="AI792" s="27"/>
      <c r="AJ792" s="27"/>
    </row>
    <row r="793">
      <c r="A793" s="159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160"/>
      <c r="S793" s="160"/>
      <c r="T793" s="27"/>
      <c r="U793" s="27"/>
      <c r="V793" s="27"/>
      <c r="W793" s="27"/>
      <c r="X793" s="27"/>
      <c r="Y793" s="27"/>
      <c r="Z793" s="27"/>
      <c r="AA793" s="27"/>
      <c r="AB793" s="27"/>
      <c r="AC793" s="27"/>
      <c r="AD793" s="27"/>
      <c r="AE793" s="27"/>
      <c r="AF793" s="27"/>
      <c r="AG793" s="27"/>
      <c r="AH793" s="27"/>
      <c r="AI793" s="27"/>
      <c r="AJ793" s="27"/>
    </row>
    <row r="794">
      <c r="A794" s="159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160"/>
      <c r="S794" s="160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  <c r="AD794" s="27"/>
      <c r="AE794" s="27"/>
      <c r="AF794" s="27"/>
      <c r="AG794" s="27"/>
      <c r="AH794" s="27"/>
      <c r="AI794" s="27"/>
      <c r="AJ794" s="27"/>
    </row>
    <row r="795">
      <c r="A795" s="159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160"/>
      <c r="S795" s="160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  <c r="AD795" s="27"/>
      <c r="AE795" s="27"/>
      <c r="AF795" s="27"/>
      <c r="AG795" s="27"/>
      <c r="AH795" s="27"/>
      <c r="AI795" s="27"/>
      <c r="AJ795" s="27"/>
    </row>
    <row r="796">
      <c r="A796" s="159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160"/>
      <c r="S796" s="160"/>
      <c r="T796" s="27"/>
      <c r="U796" s="27"/>
      <c r="V796" s="27"/>
      <c r="W796" s="27"/>
      <c r="X796" s="27"/>
      <c r="Y796" s="27"/>
      <c r="Z796" s="27"/>
      <c r="AA796" s="27"/>
      <c r="AB796" s="27"/>
      <c r="AC796" s="27"/>
      <c r="AD796" s="27"/>
      <c r="AE796" s="27"/>
      <c r="AF796" s="27"/>
      <c r="AG796" s="27"/>
      <c r="AH796" s="27"/>
      <c r="AI796" s="27"/>
      <c r="AJ796" s="27"/>
    </row>
    <row r="797">
      <c r="A797" s="159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160"/>
      <c r="S797" s="160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  <c r="AD797" s="27"/>
      <c r="AE797" s="27"/>
      <c r="AF797" s="27"/>
      <c r="AG797" s="27"/>
      <c r="AH797" s="27"/>
      <c r="AI797" s="27"/>
      <c r="AJ797" s="27"/>
    </row>
    <row r="798">
      <c r="A798" s="159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160"/>
      <c r="S798" s="160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  <c r="AD798" s="27"/>
      <c r="AE798" s="27"/>
      <c r="AF798" s="27"/>
      <c r="AG798" s="27"/>
      <c r="AH798" s="27"/>
      <c r="AI798" s="27"/>
      <c r="AJ798" s="27"/>
    </row>
    <row r="799">
      <c r="A799" s="159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160"/>
      <c r="S799" s="160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  <c r="AD799" s="27"/>
      <c r="AE799" s="27"/>
      <c r="AF799" s="27"/>
      <c r="AG799" s="27"/>
      <c r="AH799" s="27"/>
      <c r="AI799" s="27"/>
      <c r="AJ799" s="27"/>
    </row>
    <row r="800">
      <c r="A800" s="159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160"/>
      <c r="S800" s="160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  <c r="AD800" s="27"/>
      <c r="AE800" s="27"/>
      <c r="AF800" s="27"/>
      <c r="AG800" s="27"/>
      <c r="AH800" s="27"/>
      <c r="AI800" s="27"/>
      <c r="AJ800" s="27"/>
    </row>
    <row r="801">
      <c r="A801" s="159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160"/>
      <c r="S801" s="160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  <c r="AD801" s="27"/>
      <c r="AE801" s="27"/>
      <c r="AF801" s="27"/>
      <c r="AG801" s="27"/>
      <c r="AH801" s="27"/>
      <c r="AI801" s="27"/>
      <c r="AJ801" s="27"/>
    </row>
    <row r="802">
      <c r="A802" s="159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160"/>
      <c r="S802" s="160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  <c r="AD802" s="27"/>
      <c r="AE802" s="27"/>
      <c r="AF802" s="27"/>
      <c r="AG802" s="27"/>
      <c r="AH802" s="27"/>
      <c r="AI802" s="27"/>
      <c r="AJ802" s="27"/>
    </row>
    <row r="803">
      <c r="A803" s="159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160"/>
      <c r="S803" s="160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  <c r="AD803" s="27"/>
      <c r="AE803" s="27"/>
      <c r="AF803" s="27"/>
      <c r="AG803" s="27"/>
      <c r="AH803" s="27"/>
      <c r="AI803" s="27"/>
      <c r="AJ803" s="27"/>
    </row>
    <row r="804">
      <c r="A804" s="159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160"/>
      <c r="S804" s="160"/>
      <c r="T804" s="27"/>
      <c r="U804" s="27"/>
      <c r="V804" s="27"/>
      <c r="W804" s="27"/>
      <c r="X804" s="27"/>
      <c r="Y804" s="27"/>
      <c r="Z804" s="27"/>
      <c r="AA804" s="27"/>
      <c r="AB804" s="27"/>
      <c r="AC804" s="27"/>
      <c r="AD804" s="27"/>
      <c r="AE804" s="27"/>
      <c r="AF804" s="27"/>
      <c r="AG804" s="27"/>
      <c r="AH804" s="27"/>
      <c r="AI804" s="27"/>
      <c r="AJ804" s="27"/>
    </row>
    <row r="805">
      <c r="A805" s="159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160"/>
      <c r="S805" s="160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  <c r="AD805" s="27"/>
      <c r="AE805" s="27"/>
      <c r="AF805" s="27"/>
      <c r="AG805" s="27"/>
      <c r="AH805" s="27"/>
      <c r="AI805" s="27"/>
      <c r="AJ805" s="27"/>
    </row>
    <row r="806">
      <c r="A806" s="159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160"/>
      <c r="S806" s="160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  <c r="AD806" s="27"/>
      <c r="AE806" s="27"/>
      <c r="AF806" s="27"/>
      <c r="AG806" s="27"/>
      <c r="AH806" s="27"/>
      <c r="AI806" s="27"/>
      <c r="AJ806" s="27"/>
    </row>
    <row r="807">
      <c r="A807" s="159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160"/>
      <c r="S807" s="160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  <c r="AD807" s="27"/>
      <c r="AE807" s="27"/>
      <c r="AF807" s="27"/>
      <c r="AG807" s="27"/>
      <c r="AH807" s="27"/>
      <c r="AI807" s="27"/>
      <c r="AJ807" s="27"/>
    </row>
    <row r="808">
      <c r="A808" s="159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160"/>
      <c r="S808" s="160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  <c r="AD808" s="27"/>
      <c r="AE808" s="27"/>
      <c r="AF808" s="27"/>
      <c r="AG808" s="27"/>
      <c r="AH808" s="27"/>
      <c r="AI808" s="27"/>
      <c r="AJ808" s="27"/>
    </row>
    <row r="809">
      <c r="A809" s="159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160"/>
      <c r="S809" s="160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  <c r="AD809" s="27"/>
      <c r="AE809" s="27"/>
      <c r="AF809" s="27"/>
      <c r="AG809" s="27"/>
      <c r="AH809" s="27"/>
      <c r="AI809" s="27"/>
      <c r="AJ809" s="27"/>
    </row>
    <row r="810">
      <c r="A810" s="159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160"/>
      <c r="S810" s="160"/>
      <c r="T810" s="27"/>
      <c r="U810" s="27"/>
      <c r="V810" s="27"/>
      <c r="W810" s="27"/>
      <c r="X810" s="27"/>
      <c r="Y810" s="27"/>
      <c r="Z810" s="27"/>
      <c r="AA810" s="27"/>
      <c r="AB810" s="27"/>
      <c r="AC810" s="27"/>
      <c r="AD810" s="27"/>
      <c r="AE810" s="27"/>
      <c r="AF810" s="27"/>
      <c r="AG810" s="27"/>
      <c r="AH810" s="27"/>
      <c r="AI810" s="27"/>
      <c r="AJ810" s="27"/>
    </row>
    <row r="811">
      <c r="A811" s="159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160"/>
      <c r="S811" s="160"/>
      <c r="T811" s="27"/>
      <c r="U811" s="27"/>
      <c r="V811" s="27"/>
      <c r="W811" s="27"/>
      <c r="X811" s="27"/>
      <c r="Y811" s="27"/>
      <c r="Z811" s="27"/>
      <c r="AA811" s="27"/>
      <c r="AB811" s="27"/>
      <c r="AC811" s="27"/>
      <c r="AD811" s="27"/>
      <c r="AE811" s="27"/>
      <c r="AF811" s="27"/>
      <c r="AG811" s="27"/>
      <c r="AH811" s="27"/>
      <c r="AI811" s="27"/>
      <c r="AJ811" s="27"/>
    </row>
    <row r="812">
      <c r="A812" s="159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160"/>
      <c r="S812" s="160"/>
      <c r="T812" s="27"/>
      <c r="U812" s="27"/>
      <c r="V812" s="27"/>
      <c r="W812" s="27"/>
      <c r="X812" s="27"/>
      <c r="Y812" s="27"/>
      <c r="Z812" s="27"/>
      <c r="AA812" s="27"/>
      <c r="AB812" s="27"/>
      <c r="AC812" s="27"/>
      <c r="AD812" s="27"/>
      <c r="AE812" s="27"/>
      <c r="AF812" s="27"/>
      <c r="AG812" s="27"/>
      <c r="AH812" s="27"/>
      <c r="AI812" s="27"/>
      <c r="AJ812" s="27"/>
    </row>
    <row r="813">
      <c r="A813" s="159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160"/>
      <c r="S813" s="160"/>
      <c r="T813" s="27"/>
      <c r="U813" s="27"/>
      <c r="V813" s="27"/>
      <c r="W813" s="27"/>
      <c r="X813" s="27"/>
      <c r="Y813" s="27"/>
      <c r="Z813" s="27"/>
      <c r="AA813" s="27"/>
      <c r="AB813" s="27"/>
      <c r="AC813" s="27"/>
      <c r="AD813" s="27"/>
      <c r="AE813" s="27"/>
      <c r="AF813" s="27"/>
      <c r="AG813" s="27"/>
      <c r="AH813" s="27"/>
      <c r="AI813" s="27"/>
      <c r="AJ813" s="27"/>
    </row>
    <row r="814">
      <c r="A814" s="159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160"/>
      <c r="S814" s="160"/>
      <c r="T814" s="27"/>
      <c r="U814" s="27"/>
      <c r="V814" s="27"/>
      <c r="W814" s="27"/>
      <c r="X814" s="27"/>
      <c r="Y814" s="27"/>
      <c r="Z814" s="27"/>
      <c r="AA814" s="27"/>
      <c r="AB814" s="27"/>
      <c r="AC814" s="27"/>
      <c r="AD814" s="27"/>
      <c r="AE814" s="27"/>
      <c r="AF814" s="27"/>
      <c r="AG814" s="27"/>
      <c r="AH814" s="27"/>
      <c r="AI814" s="27"/>
      <c r="AJ814" s="27"/>
    </row>
    <row r="815">
      <c r="A815" s="159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160"/>
      <c r="S815" s="160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  <c r="AD815" s="27"/>
      <c r="AE815" s="27"/>
      <c r="AF815" s="27"/>
      <c r="AG815" s="27"/>
      <c r="AH815" s="27"/>
      <c r="AI815" s="27"/>
      <c r="AJ815" s="27"/>
    </row>
    <row r="816">
      <c r="A816" s="159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160"/>
      <c r="S816" s="160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  <c r="AD816" s="27"/>
      <c r="AE816" s="27"/>
      <c r="AF816" s="27"/>
      <c r="AG816" s="27"/>
      <c r="AH816" s="27"/>
      <c r="AI816" s="27"/>
      <c r="AJ816" s="27"/>
    </row>
    <row r="817">
      <c r="A817" s="159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160"/>
      <c r="S817" s="160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  <c r="AD817" s="27"/>
      <c r="AE817" s="27"/>
      <c r="AF817" s="27"/>
      <c r="AG817" s="27"/>
      <c r="AH817" s="27"/>
      <c r="AI817" s="27"/>
      <c r="AJ817" s="27"/>
    </row>
    <row r="818">
      <c r="A818" s="159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160"/>
      <c r="S818" s="160"/>
      <c r="T818" s="27"/>
      <c r="U818" s="27"/>
      <c r="V818" s="27"/>
      <c r="W818" s="27"/>
      <c r="X818" s="27"/>
      <c r="Y818" s="27"/>
      <c r="Z818" s="27"/>
      <c r="AA818" s="27"/>
      <c r="AB818" s="27"/>
      <c r="AC818" s="27"/>
      <c r="AD818" s="27"/>
      <c r="AE818" s="27"/>
      <c r="AF818" s="27"/>
      <c r="AG818" s="27"/>
      <c r="AH818" s="27"/>
      <c r="AI818" s="27"/>
      <c r="AJ818" s="27"/>
    </row>
    <row r="819">
      <c r="A819" s="159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160"/>
      <c r="S819" s="160"/>
      <c r="T819" s="27"/>
      <c r="U819" s="27"/>
      <c r="V819" s="27"/>
      <c r="W819" s="27"/>
      <c r="X819" s="27"/>
      <c r="Y819" s="27"/>
      <c r="Z819" s="27"/>
      <c r="AA819" s="27"/>
      <c r="AB819" s="27"/>
      <c r="AC819" s="27"/>
      <c r="AD819" s="27"/>
      <c r="AE819" s="27"/>
      <c r="AF819" s="27"/>
      <c r="AG819" s="27"/>
      <c r="AH819" s="27"/>
      <c r="AI819" s="27"/>
      <c r="AJ819" s="27"/>
    </row>
    <row r="820">
      <c r="A820" s="159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160"/>
      <c r="S820" s="160"/>
      <c r="T820" s="27"/>
      <c r="U820" s="27"/>
      <c r="V820" s="27"/>
      <c r="W820" s="27"/>
      <c r="X820" s="27"/>
      <c r="Y820" s="27"/>
      <c r="Z820" s="27"/>
      <c r="AA820" s="27"/>
      <c r="AB820" s="27"/>
      <c r="AC820" s="27"/>
      <c r="AD820" s="27"/>
      <c r="AE820" s="27"/>
      <c r="AF820" s="27"/>
      <c r="AG820" s="27"/>
      <c r="AH820" s="27"/>
      <c r="AI820" s="27"/>
      <c r="AJ820" s="27"/>
    </row>
    <row r="821">
      <c r="A821" s="159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160"/>
      <c r="S821" s="160"/>
      <c r="T821" s="27"/>
      <c r="U821" s="27"/>
      <c r="V821" s="27"/>
      <c r="W821" s="27"/>
      <c r="X821" s="27"/>
      <c r="Y821" s="27"/>
      <c r="Z821" s="27"/>
      <c r="AA821" s="27"/>
      <c r="AB821" s="27"/>
      <c r="AC821" s="27"/>
      <c r="AD821" s="27"/>
      <c r="AE821" s="27"/>
      <c r="AF821" s="27"/>
      <c r="AG821" s="27"/>
      <c r="AH821" s="27"/>
      <c r="AI821" s="27"/>
      <c r="AJ821" s="27"/>
    </row>
    <row r="822">
      <c r="A822" s="159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160"/>
      <c r="S822" s="160"/>
      <c r="T822" s="27"/>
      <c r="U822" s="27"/>
      <c r="V822" s="27"/>
      <c r="W822" s="27"/>
      <c r="X822" s="27"/>
      <c r="Y822" s="27"/>
      <c r="Z822" s="27"/>
      <c r="AA822" s="27"/>
      <c r="AB822" s="27"/>
      <c r="AC822" s="27"/>
      <c r="AD822" s="27"/>
      <c r="AE822" s="27"/>
      <c r="AF822" s="27"/>
      <c r="AG822" s="27"/>
      <c r="AH822" s="27"/>
      <c r="AI822" s="27"/>
      <c r="AJ822" s="27"/>
    </row>
    <row r="823">
      <c r="A823" s="159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160"/>
      <c r="S823" s="160"/>
      <c r="T823" s="27"/>
      <c r="U823" s="27"/>
      <c r="V823" s="27"/>
      <c r="W823" s="27"/>
      <c r="X823" s="27"/>
      <c r="Y823" s="27"/>
      <c r="Z823" s="27"/>
      <c r="AA823" s="27"/>
      <c r="AB823" s="27"/>
      <c r="AC823" s="27"/>
      <c r="AD823" s="27"/>
      <c r="AE823" s="27"/>
      <c r="AF823" s="27"/>
      <c r="AG823" s="27"/>
      <c r="AH823" s="27"/>
      <c r="AI823" s="27"/>
      <c r="AJ823" s="27"/>
    </row>
    <row r="824">
      <c r="A824" s="159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160"/>
      <c r="S824" s="160"/>
      <c r="T824" s="27"/>
      <c r="U824" s="27"/>
      <c r="V824" s="27"/>
      <c r="W824" s="27"/>
      <c r="X824" s="27"/>
      <c r="Y824" s="27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</row>
    <row r="825">
      <c r="A825" s="159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160"/>
      <c r="S825" s="160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  <c r="AD825" s="27"/>
      <c r="AE825" s="27"/>
      <c r="AF825" s="27"/>
      <c r="AG825" s="27"/>
      <c r="AH825" s="27"/>
      <c r="AI825" s="27"/>
      <c r="AJ825" s="27"/>
    </row>
    <row r="826">
      <c r="A826" s="159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160"/>
      <c r="S826" s="160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  <c r="AD826" s="27"/>
      <c r="AE826" s="27"/>
      <c r="AF826" s="27"/>
      <c r="AG826" s="27"/>
      <c r="AH826" s="27"/>
      <c r="AI826" s="27"/>
      <c r="AJ826" s="27"/>
    </row>
    <row r="827">
      <c r="A827" s="159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160"/>
      <c r="S827" s="160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  <c r="AD827" s="27"/>
      <c r="AE827" s="27"/>
      <c r="AF827" s="27"/>
      <c r="AG827" s="27"/>
      <c r="AH827" s="27"/>
      <c r="AI827" s="27"/>
      <c r="AJ827" s="27"/>
    </row>
    <row r="828">
      <c r="A828" s="159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160"/>
      <c r="S828" s="160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  <c r="AD828" s="27"/>
      <c r="AE828" s="27"/>
      <c r="AF828" s="27"/>
      <c r="AG828" s="27"/>
      <c r="AH828" s="27"/>
      <c r="AI828" s="27"/>
      <c r="AJ828" s="27"/>
    </row>
    <row r="829">
      <c r="A829" s="159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160"/>
      <c r="S829" s="160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  <c r="AD829" s="27"/>
      <c r="AE829" s="27"/>
      <c r="AF829" s="27"/>
      <c r="AG829" s="27"/>
      <c r="AH829" s="27"/>
      <c r="AI829" s="27"/>
      <c r="AJ829" s="27"/>
    </row>
    <row r="830">
      <c r="A830" s="159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160"/>
      <c r="S830" s="160"/>
      <c r="T830" s="27"/>
      <c r="U830" s="27"/>
      <c r="V830" s="27"/>
      <c r="W830" s="27"/>
      <c r="X830" s="27"/>
      <c r="Y830" s="27"/>
      <c r="Z830" s="27"/>
      <c r="AA830" s="27"/>
      <c r="AB830" s="27"/>
      <c r="AC830" s="27"/>
      <c r="AD830" s="27"/>
      <c r="AE830" s="27"/>
      <c r="AF830" s="27"/>
      <c r="AG830" s="27"/>
      <c r="AH830" s="27"/>
      <c r="AI830" s="27"/>
      <c r="AJ830" s="27"/>
    </row>
    <row r="831">
      <c r="A831" s="159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160"/>
      <c r="S831" s="160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  <c r="AD831" s="27"/>
      <c r="AE831" s="27"/>
      <c r="AF831" s="27"/>
      <c r="AG831" s="27"/>
      <c r="AH831" s="27"/>
      <c r="AI831" s="27"/>
      <c r="AJ831" s="27"/>
    </row>
    <row r="832">
      <c r="A832" s="159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160"/>
      <c r="S832" s="160"/>
      <c r="T832" s="27"/>
      <c r="U832" s="27"/>
      <c r="V832" s="27"/>
      <c r="W832" s="27"/>
      <c r="X832" s="27"/>
      <c r="Y832" s="27"/>
      <c r="Z832" s="27"/>
      <c r="AA832" s="27"/>
      <c r="AB832" s="27"/>
      <c r="AC832" s="27"/>
      <c r="AD832" s="27"/>
      <c r="AE832" s="27"/>
      <c r="AF832" s="27"/>
      <c r="AG832" s="27"/>
      <c r="AH832" s="27"/>
      <c r="AI832" s="27"/>
      <c r="AJ832" s="27"/>
    </row>
    <row r="833">
      <c r="A833" s="159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160"/>
      <c r="S833" s="160"/>
      <c r="T833" s="27"/>
      <c r="U833" s="27"/>
      <c r="V833" s="27"/>
      <c r="W833" s="27"/>
      <c r="X833" s="27"/>
      <c r="Y833" s="27"/>
      <c r="Z833" s="27"/>
      <c r="AA833" s="27"/>
      <c r="AB833" s="27"/>
      <c r="AC833" s="27"/>
      <c r="AD833" s="27"/>
      <c r="AE833" s="27"/>
      <c r="AF833" s="27"/>
      <c r="AG833" s="27"/>
      <c r="AH833" s="27"/>
      <c r="AI833" s="27"/>
      <c r="AJ833" s="27"/>
    </row>
    <row r="834">
      <c r="A834" s="159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160"/>
      <c r="S834" s="160"/>
      <c r="T834" s="27"/>
      <c r="U834" s="27"/>
      <c r="V834" s="27"/>
      <c r="W834" s="27"/>
      <c r="X834" s="27"/>
      <c r="Y834" s="27"/>
      <c r="Z834" s="27"/>
      <c r="AA834" s="27"/>
      <c r="AB834" s="27"/>
      <c r="AC834" s="27"/>
      <c r="AD834" s="27"/>
      <c r="AE834" s="27"/>
      <c r="AF834" s="27"/>
      <c r="AG834" s="27"/>
      <c r="AH834" s="27"/>
      <c r="AI834" s="27"/>
      <c r="AJ834" s="27"/>
    </row>
    <row r="835">
      <c r="A835" s="159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160"/>
      <c r="S835" s="160"/>
      <c r="T835" s="27"/>
      <c r="U835" s="27"/>
      <c r="V835" s="27"/>
      <c r="W835" s="27"/>
      <c r="X835" s="27"/>
      <c r="Y835" s="27"/>
      <c r="Z835" s="27"/>
      <c r="AA835" s="27"/>
      <c r="AB835" s="27"/>
      <c r="AC835" s="27"/>
      <c r="AD835" s="27"/>
      <c r="AE835" s="27"/>
      <c r="AF835" s="27"/>
      <c r="AG835" s="27"/>
      <c r="AH835" s="27"/>
      <c r="AI835" s="27"/>
      <c r="AJ835" s="27"/>
    </row>
    <row r="836">
      <c r="A836" s="159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160"/>
      <c r="S836" s="160"/>
      <c r="T836" s="27"/>
      <c r="U836" s="27"/>
      <c r="V836" s="27"/>
      <c r="W836" s="27"/>
      <c r="X836" s="27"/>
      <c r="Y836" s="27"/>
      <c r="Z836" s="27"/>
      <c r="AA836" s="27"/>
      <c r="AB836" s="27"/>
      <c r="AC836" s="27"/>
      <c r="AD836" s="27"/>
      <c r="AE836" s="27"/>
      <c r="AF836" s="27"/>
      <c r="AG836" s="27"/>
      <c r="AH836" s="27"/>
      <c r="AI836" s="27"/>
      <c r="AJ836" s="27"/>
    </row>
    <row r="837">
      <c r="A837" s="159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160"/>
      <c r="S837" s="160"/>
      <c r="T837" s="27"/>
      <c r="U837" s="27"/>
      <c r="V837" s="27"/>
      <c r="W837" s="27"/>
      <c r="X837" s="27"/>
      <c r="Y837" s="27"/>
      <c r="Z837" s="27"/>
      <c r="AA837" s="27"/>
      <c r="AB837" s="27"/>
      <c r="AC837" s="27"/>
      <c r="AD837" s="27"/>
      <c r="AE837" s="27"/>
      <c r="AF837" s="27"/>
      <c r="AG837" s="27"/>
      <c r="AH837" s="27"/>
      <c r="AI837" s="27"/>
      <c r="AJ837" s="27"/>
    </row>
    <row r="838">
      <c r="A838" s="159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160"/>
      <c r="S838" s="160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  <c r="AD838" s="27"/>
      <c r="AE838" s="27"/>
      <c r="AF838" s="27"/>
      <c r="AG838" s="27"/>
      <c r="AH838" s="27"/>
      <c r="AI838" s="27"/>
      <c r="AJ838" s="27"/>
    </row>
    <row r="839">
      <c r="A839" s="159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160"/>
      <c r="S839" s="160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  <c r="AD839" s="27"/>
      <c r="AE839" s="27"/>
      <c r="AF839" s="27"/>
      <c r="AG839" s="27"/>
      <c r="AH839" s="27"/>
      <c r="AI839" s="27"/>
      <c r="AJ839" s="27"/>
    </row>
    <row r="840">
      <c r="A840" s="159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160"/>
      <c r="S840" s="160"/>
      <c r="T840" s="27"/>
      <c r="U840" s="27"/>
      <c r="V840" s="27"/>
      <c r="W840" s="27"/>
      <c r="X840" s="27"/>
      <c r="Y840" s="27"/>
      <c r="Z840" s="27"/>
      <c r="AA840" s="27"/>
      <c r="AB840" s="27"/>
      <c r="AC840" s="27"/>
      <c r="AD840" s="27"/>
      <c r="AE840" s="27"/>
      <c r="AF840" s="27"/>
      <c r="AG840" s="27"/>
      <c r="AH840" s="27"/>
      <c r="AI840" s="27"/>
      <c r="AJ840" s="27"/>
    </row>
    <row r="841">
      <c r="A841" s="159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160"/>
      <c r="S841" s="160"/>
      <c r="T841" s="27"/>
      <c r="U841" s="27"/>
      <c r="V841" s="27"/>
      <c r="W841" s="27"/>
      <c r="X841" s="27"/>
      <c r="Y841" s="27"/>
      <c r="Z841" s="27"/>
      <c r="AA841" s="27"/>
      <c r="AB841" s="27"/>
      <c r="AC841" s="27"/>
      <c r="AD841" s="27"/>
      <c r="AE841" s="27"/>
      <c r="AF841" s="27"/>
      <c r="AG841" s="27"/>
      <c r="AH841" s="27"/>
      <c r="AI841" s="27"/>
      <c r="AJ841" s="27"/>
    </row>
    <row r="842">
      <c r="A842" s="159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160"/>
      <c r="S842" s="160"/>
      <c r="T842" s="27"/>
      <c r="U842" s="27"/>
      <c r="V842" s="27"/>
      <c r="W842" s="27"/>
      <c r="X842" s="27"/>
      <c r="Y842" s="27"/>
      <c r="Z842" s="27"/>
      <c r="AA842" s="27"/>
      <c r="AB842" s="27"/>
      <c r="AC842" s="27"/>
      <c r="AD842" s="27"/>
      <c r="AE842" s="27"/>
      <c r="AF842" s="27"/>
      <c r="AG842" s="27"/>
      <c r="AH842" s="27"/>
      <c r="AI842" s="27"/>
      <c r="AJ842" s="27"/>
    </row>
    <row r="843">
      <c r="A843" s="159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160"/>
      <c r="S843" s="160"/>
      <c r="T843" s="27"/>
      <c r="U843" s="27"/>
      <c r="V843" s="27"/>
      <c r="W843" s="27"/>
      <c r="X843" s="27"/>
      <c r="Y843" s="27"/>
      <c r="Z843" s="27"/>
      <c r="AA843" s="27"/>
      <c r="AB843" s="27"/>
      <c r="AC843" s="27"/>
      <c r="AD843" s="27"/>
      <c r="AE843" s="27"/>
      <c r="AF843" s="27"/>
      <c r="AG843" s="27"/>
      <c r="AH843" s="27"/>
      <c r="AI843" s="27"/>
      <c r="AJ843" s="27"/>
    </row>
    <row r="844">
      <c r="A844" s="159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160"/>
      <c r="S844" s="160"/>
      <c r="T844" s="27"/>
      <c r="U844" s="27"/>
      <c r="V844" s="27"/>
      <c r="W844" s="27"/>
      <c r="X844" s="27"/>
      <c r="Y844" s="27"/>
      <c r="Z844" s="27"/>
      <c r="AA844" s="27"/>
      <c r="AB844" s="27"/>
      <c r="AC844" s="27"/>
      <c r="AD844" s="27"/>
      <c r="AE844" s="27"/>
      <c r="AF844" s="27"/>
      <c r="AG844" s="27"/>
      <c r="AH844" s="27"/>
      <c r="AI844" s="27"/>
      <c r="AJ844" s="27"/>
    </row>
    <row r="845">
      <c r="A845" s="159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160"/>
      <c r="S845" s="160"/>
      <c r="T845" s="27"/>
      <c r="U845" s="27"/>
      <c r="V845" s="27"/>
      <c r="W845" s="27"/>
      <c r="X845" s="27"/>
      <c r="Y845" s="27"/>
      <c r="Z845" s="27"/>
      <c r="AA845" s="27"/>
      <c r="AB845" s="27"/>
      <c r="AC845" s="27"/>
      <c r="AD845" s="27"/>
      <c r="AE845" s="27"/>
      <c r="AF845" s="27"/>
      <c r="AG845" s="27"/>
      <c r="AH845" s="27"/>
      <c r="AI845" s="27"/>
      <c r="AJ845" s="27"/>
    </row>
    <row r="846">
      <c r="A846" s="159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160"/>
      <c r="S846" s="160"/>
      <c r="T846" s="27"/>
      <c r="U846" s="27"/>
      <c r="V846" s="27"/>
      <c r="W846" s="27"/>
      <c r="X846" s="27"/>
      <c r="Y846" s="27"/>
      <c r="Z846" s="27"/>
      <c r="AA846" s="27"/>
      <c r="AB846" s="27"/>
      <c r="AC846" s="27"/>
      <c r="AD846" s="27"/>
      <c r="AE846" s="27"/>
      <c r="AF846" s="27"/>
      <c r="AG846" s="27"/>
      <c r="AH846" s="27"/>
      <c r="AI846" s="27"/>
      <c r="AJ846" s="27"/>
    </row>
    <row r="847">
      <c r="A847" s="159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160"/>
      <c r="S847" s="160"/>
      <c r="T847" s="27"/>
      <c r="U847" s="27"/>
      <c r="V847" s="27"/>
      <c r="W847" s="27"/>
      <c r="X847" s="27"/>
      <c r="Y847" s="27"/>
      <c r="Z847" s="27"/>
      <c r="AA847" s="27"/>
      <c r="AB847" s="27"/>
      <c r="AC847" s="27"/>
      <c r="AD847" s="27"/>
      <c r="AE847" s="27"/>
      <c r="AF847" s="27"/>
      <c r="AG847" s="27"/>
      <c r="AH847" s="27"/>
      <c r="AI847" s="27"/>
      <c r="AJ847" s="27"/>
    </row>
    <row r="848">
      <c r="A848" s="159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160"/>
      <c r="S848" s="160"/>
      <c r="T848" s="27"/>
      <c r="U848" s="27"/>
      <c r="V848" s="27"/>
      <c r="W848" s="27"/>
      <c r="X848" s="27"/>
      <c r="Y848" s="27"/>
      <c r="Z848" s="27"/>
      <c r="AA848" s="27"/>
      <c r="AB848" s="27"/>
      <c r="AC848" s="27"/>
      <c r="AD848" s="27"/>
      <c r="AE848" s="27"/>
      <c r="AF848" s="27"/>
      <c r="AG848" s="27"/>
      <c r="AH848" s="27"/>
      <c r="AI848" s="27"/>
      <c r="AJ848" s="27"/>
    </row>
    <row r="849">
      <c r="A849" s="159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160"/>
      <c r="S849" s="160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  <c r="AD849" s="27"/>
      <c r="AE849" s="27"/>
      <c r="AF849" s="27"/>
      <c r="AG849" s="27"/>
      <c r="AH849" s="27"/>
      <c r="AI849" s="27"/>
      <c r="AJ849" s="27"/>
    </row>
    <row r="850">
      <c r="A850" s="159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160"/>
      <c r="S850" s="160"/>
      <c r="T850" s="27"/>
      <c r="U850" s="27"/>
      <c r="V850" s="27"/>
      <c r="W850" s="27"/>
      <c r="X850" s="27"/>
      <c r="Y850" s="27"/>
      <c r="Z850" s="27"/>
      <c r="AA850" s="27"/>
      <c r="AB850" s="27"/>
      <c r="AC850" s="27"/>
      <c r="AD850" s="27"/>
      <c r="AE850" s="27"/>
      <c r="AF850" s="27"/>
      <c r="AG850" s="27"/>
      <c r="AH850" s="27"/>
      <c r="AI850" s="27"/>
      <c r="AJ850" s="27"/>
    </row>
    <row r="851">
      <c r="A851" s="159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160"/>
      <c r="S851" s="160"/>
      <c r="T851" s="27"/>
      <c r="U851" s="27"/>
      <c r="V851" s="27"/>
      <c r="W851" s="27"/>
      <c r="X851" s="27"/>
      <c r="Y851" s="27"/>
      <c r="Z851" s="27"/>
      <c r="AA851" s="27"/>
      <c r="AB851" s="27"/>
      <c r="AC851" s="27"/>
      <c r="AD851" s="27"/>
      <c r="AE851" s="27"/>
      <c r="AF851" s="27"/>
      <c r="AG851" s="27"/>
      <c r="AH851" s="27"/>
      <c r="AI851" s="27"/>
      <c r="AJ851" s="27"/>
    </row>
    <row r="852">
      <c r="A852" s="159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160"/>
      <c r="S852" s="160"/>
      <c r="T852" s="27"/>
      <c r="U852" s="27"/>
      <c r="V852" s="27"/>
      <c r="W852" s="27"/>
      <c r="X852" s="27"/>
      <c r="Y852" s="27"/>
      <c r="Z852" s="27"/>
      <c r="AA852" s="27"/>
      <c r="AB852" s="27"/>
      <c r="AC852" s="27"/>
      <c r="AD852" s="27"/>
      <c r="AE852" s="27"/>
      <c r="AF852" s="27"/>
      <c r="AG852" s="27"/>
      <c r="AH852" s="27"/>
      <c r="AI852" s="27"/>
      <c r="AJ852" s="27"/>
    </row>
    <row r="853">
      <c r="A853" s="159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160"/>
      <c r="S853" s="160"/>
      <c r="T853" s="27"/>
      <c r="U853" s="27"/>
      <c r="V853" s="27"/>
      <c r="W853" s="27"/>
      <c r="X853" s="27"/>
      <c r="Y853" s="27"/>
      <c r="Z853" s="27"/>
      <c r="AA853" s="27"/>
      <c r="AB853" s="27"/>
      <c r="AC853" s="27"/>
      <c r="AD853" s="27"/>
      <c r="AE853" s="27"/>
      <c r="AF853" s="27"/>
      <c r="AG853" s="27"/>
      <c r="AH853" s="27"/>
      <c r="AI853" s="27"/>
      <c r="AJ853" s="27"/>
    </row>
    <row r="854">
      <c r="A854" s="159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160"/>
      <c r="S854" s="160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  <c r="AD854" s="27"/>
      <c r="AE854" s="27"/>
      <c r="AF854" s="27"/>
      <c r="AG854" s="27"/>
      <c r="AH854" s="27"/>
      <c r="AI854" s="27"/>
      <c r="AJ854" s="27"/>
    </row>
    <row r="855">
      <c r="A855" s="159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160"/>
      <c r="S855" s="160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  <c r="AD855" s="27"/>
      <c r="AE855" s="27"/>
      <c r="AF855" s="27"/>
      <c r="AG855" s="27"/>
      <c r="AH855" s="27"/>
      <c r="AI855" s="27"/>
      <c r="AJ855" s="27"/>
    </row>
    <row r="856">
      <c r="A856" s="159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160"/>
      <c r="S856" s="160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  <c r="AD856" s="27"/>
      <c r="AE856" s="27"/>
      <c r="AF856" s="27"/>
      <c r="AG856" s="27"/>
      <c r="AH856" s="27"/>
      <c r="AI856" s="27"/>
      <c r="AJ856" s="27"/>
    </row>
    <row r="857">
      <c r="A857" s="159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160"/>
      <c r="S857" s="160"/>
      <c r="T857" s="27"/>
      <c r="U857" s="27"/>
      <c r="V857" s="27"/>
      <c r="W857" s="27"/>
      <c r="X857" s="27"/>
      <c r="Y857" s="27"/>
      <c r="Z857" s="27"/>
      <c r="AA857" s="27"/>
      <c r="AB857" s="27"/>
      <c r="AC857" s="27"/>
      <c r="AD857" s="27"/>
      <c r="AE857" s="27"/>
      <c r="AF857" s="27"/>
      <c r="AG857" s="27"/>
      <c r="AH857" s="27"/>
      <c r="AI857" s="27"/>
      <c r="AJ857" s="27"/>
    </row>
    <row r="858">
      <c r="A858" s="159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160"/>
      <c r="S858" s="160"/>
      <c r="T858" s="27"/>
      <c r="U858" s="27"/>
      <c r="V858" s="27"/>
      <c r="W858" s="27"/>
      <c r="X858" s="27"/>
      <c r="Y858" s="27"/>
      <c r="Z858" s="27"/>
      <c r="AA858" s="27"/>
      <c r="AB858" s="27"/>
      <c r="AC858" s="27"/>
      <c r="AD858" s="27"/>
      <c r="AE858" s="27"/>
      <c r="AF858" s="27"/>
      <c r="AG858" s="27"/>
      <c r="AH858" s="27"/>
      <c r="AI858" s="27"/>
      <c r="AJ858" s="27"/>
    </row>
    <row r="859">
      <c r="A859" s="159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160"/>
      <c r="S859" s="160"/>
      <c r="T859" s="27"/>
      <c r="U859" s="27"/>
      <c r="V859" s="27"/>
      <c r="W859" s="27"/>
      <c r="X859" s="27"/>
      <c r="Y859" s="27"/>
      <c r="Z859" s="27"/>
      <c r="AA859" s="27"/>
      <c r="AB859" s="27"/>
      <c r="AC859" s="27"/>
      <c r="AD859" s="27"/>
      <c r="AE859" s="27"/>
      <c r="AF859" s="27"/>
      <c r="AG859" s="27"/>
      <c r="AH859" s="27"/>
      <c r="AI859" s="27"/>
      <c r="AJ859" s="27"/>
    </row>
    <row r="860">
      <c r="A860" s="159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160"/>
      <c r="S860" s="160"/>
      <c r="T860" s="27"/>
      <c r="U860" s="27"/>
      <c r="V860" s="27"/>
      <c r="W860" s="27"/>
      <c r="X860" s="27"/>
      <c r="Y860" s="27"/>
      <c r="Z860" s="27"/>
      <c r="AA860" s="27"/>
      <c r="AB860" s="27"/>
      <c r="AC860" s="27"/>
      <c r="AD860" s="27"/>
      <c r="AE860" s="27"/>
      <c r="AF860" s="27"/>
      <c r="AG860" s="27"/>
      <c r="AH860" s="27"/>
      <c r="AI860" s="27"/>
      <c r="AJ860" s="27"/>
    </row>
    <row r="861">
      <c r="A861" s="159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160"/>
      <c r="S861" s="160"/>
      <c r="T861" s="27"/>
      <c r="U861" s="27"/>
      <c r="V861" s="27"/>
      <c r="W861" s="27"/>
      <c r="X861" s="27"/>
      <c r="Y861" s="27"/>
      <c r="Z861" s="27"/>
      <c r="AA861" s="27"/>
      <c r="AB861" s="27"/>
      <c r="AC861" s="27"/>
      <c r="AD861" s="27"/>
      <c r="AE861" s="27"/>
      <c r="AF861" s="27"/>
      <c r="AG861" s="27"/>
      <c r="AH861" s="27"/>
      <c r="AI861" s="27"/>
      <c r="AJ861" s="27"/>
    </row>
    <row r="862">
      <c r="A862" s="159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160"/>
      <c r="S862" s="160"/>
      <c r="T862" s="27"/>
      <c r="U862" s="27"/>
      <c r="V862" s="27"/>
      <c r="W862" s="27"/>
      <c r="X862" s="27"/>
      <c r="Y862" s="27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</row>
    <row r="863">
      <c r="A863" s="159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160"/>
      <c r="S863" s="160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  <c r="AD863" s="27"/>
      <c r="AE863" s="27"/>
      <c r="AF863" s="27"/>
      <c r="AG863" s="27"/>
      <c r="AH863" s="27"/>
      <c r="AI863" s="27"/>
      <c r="AJ863" s="27"/>
    </row>
    <row r="864">
      <c r="A864" s="159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160"/>
      <c r="S864" s="160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  <c r="AD864" s="27"/>
      <c r="AE864" s="27"/>
      <c r="AF864" s="27"/>
      <c r="AG864" s="27"/>
      <c r="AH864" s="27"/>
      <c r="AI864" s="27"/>
      <c r="AJ864" s="27"/>
    </row>
    <row r="865">
      <c r="A865" s="159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160"/>
      <c r="S865" s="160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  <c r="AD865" s="27"/>
      <c r="AE865" s="27"/>
      <c r="AF865" s="27"/>
      <c r="AG865" s="27"/>
      <c r="AH865" s="27"/>
      <c r="AI865" s="27"/>
      <c r="AJ865" s="27"/>
    </row>
    <row r="866">
      <c r="A866" s="159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160"/>
      <c r="S866" s="160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  <c r="AD866" s="27"/>
      <c r="AE866" s="27"/>
      <c r="AF866" s="27"/>
      <c r="AG866" s="27"/>
      <c r="AH866" s="27"/>
      <c r="AI866" s="27"/>
      <c r="AJ866" s="27"/>
    </row>
    <row r="867">
      <c r="A867" s="159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160"/>
      <c r="S867" s="160"/>
      <c r="T867" s="27"/>
      <c r="U867" s="27"/>
      <c r="V867" s="27"/>
      <c r="W867" s="27"/>
      <c r="X867" s="27"/>
      <c r="Y867" s="27"/>
      <c r="Z867" s="27"/>
      <c r="AA867" s="27"/>
      <c r="AB867" s="27"/>
      <c r="AC867" s="27"/>
      <c r="AD867" s="27"/>
      <c r="AE867" s="27"/>
      <c r="AF867" s="27"/>
      <c r="AG867" s="27"/>
      <c r="AH867" s="27"/>
      <c r="AI867" s="27"/>
      <c r="AJ867" s="27"/>
    </row>
    <row r="868">
      <c r="A868" s="159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160"/>
      <c r="S868" s="160"/>
      <c r="T868" s="27"/>
      <c r="U868" s="27"/>
      <c r="V868" s="27"/>
      <c r="W868" s="27"/>
      <c r="X868" s="27"/>
      <c r="Y868" s="27"/>
      <c r="Z868" s="27"/>
      <c r="AA868" s="27"/>
      <c r="AB868" s="27"/>
      <c r="AC868" s="27"/>
      <c r="AD868" s="27"/>
      <c r="AE868" s="27"/>
      <c r="AF868" s="27"/>
      <c r="AG868" s="27"/>
      <c r="AH868" s="27"/>
      <c r="AI868" s="27"/>
      <c r="AJ868" s="27"/>
    </row>
    <row r="869">
      <c r="A869" s="159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160"/>
      <c r="S869" s="160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  <c r="AD869" s="27"/>
      <c r="AE869" s="27"/>
      <c r="AF869" s="27"/>
      <c r="AG869" s="27"/>
      <c r="AH869" s="27"/>
      <c r="AI869" s="27"/>
      <c r="AJ869" s="27"/>
    </row>
    <row r="870">
      <c r="A870" s="159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160"/>
      <c r="S870" s="160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  <c r="AD870" s="27"/>
      <c r="AE870" s="27"/>
      <c r="AF870" s="27"/>
      <c r="AG870" s="27"/>
      <c r="AH870" s="27"/>
      <c r="AI870" s="27"/>
      <c r="AJ870" s="27"/>
    </row>
    <row r="871">
      <c r="A871" s="159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160"/>
      <c r="S871" s="160"/>
      <c r="T871" s="27"/>
      <c r="U871" s="27"/>
      <c r="V871" s="27"/>
      <c r="W871" s="27"/>
      <c r="X871" s="27"/>
      <c r="Y871" s="27"/>
      <c r="Z871" s="27"/>
      <c r="AA871" s="27"/>
      <c r="AB871" s="27"/>
      <c r="AC871" s="27"/>
      <c r="AD871" s="27"/>
      <c r="AE871" s="27"/>
      <c r="AF871" s="27"/>
      <c r="AG871" s="27"/>
      <c r="AH871" s="27"/>
      <c r="AI871" s="27"/>
      <c r="AJ871" s="27"/>
    </row>
    <row r="872">
      <c r="A872" s="159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160"/>
      <c r="S872" s="160"/>
      <c r="T872" s="27"/>
      <c r="U872" s="27"/>
      <c r="V872" s="27"/>
      <c r="W872" s="27"/>
      <c r="X872" s="27"/>
      <c r="Y872" s="27"/>
      <c r="Z872" s="27"/>
      <c r="AA872" s="27"/>
      <c r="AB872" s="27"/>
      <c r="AC872" s="27"/>
      <c r="AD872" s="27"/>
      <c r="AE872" s="27"/>
      <c r="AF872" s="27"/>
      <c r="AG872" s="27"/>
      <c r="AH872" s="27"/>
      <c r="AI872" s="27"/>
      <c r="AJ872" s="27"/>
    </row>
    <row r="873">
      <c r="A873" s="159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160"/>
      <c r="S873" s="160"/>
      <c r="T873" s="27"/>
      <c r="U873" s="27"/>
      <c r="V873" s="27"/>
      <c r="W873" s="27"/>
      <c r="X873" s="27"/>
      <c r="Y873" s="27"/>
      <c r="Z873" s="27"/>
      <c r="AA873" s="27"/>
      <c r="AB873" s="27"/>
      <c r="AC873" s="27"/>
      <c r="AD873" s="27"/>
      <c r="AE873" s="27"/>
      <c r="AF873" s="27"/>
      <c r="AG873" s="27"/>
      <c r="AH873" s="27"/>
      <c r="AI873" s="27"/>
      <c r="AJ873" s="27"/>
    </row>
    <row r="874">
      <c r="A874" s="159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160"/>
      <c r="S874" s="160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  <c r="AD874" s="27"/>
      <c r="AE874" s="27"/>
      <c r="AF874" s="27"/>
      <c r="AG874" s="27"/>
      <c r="AH874" s="27"/>
      <c r="AI874" s="27"/>
      <c r="AJ874" s="27"/>
    </row>
    <row r="875">
      <c r="A875" s="159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160"/>
      <c r="S875" s="160"/>
      <c r="T875" s="27"/>
      <c r="U875" s="27"/>
      <c r="V875" s="27"/>
      <c r="W875" s="27"/>
      <c r="X875" s="27"/>
      <c r="Y875" s="27"/>
      <c r="Z875" s="27"/>
      <c r="AA875" s="27"/>
      <c r="AB875" s="27"/>
      <c r="AC875" s="27"/>
      <c r="AD875" s="27"/>
      <c r="AE875" s="27"/>
      <c r="AF875" s="27"/>
      <c r="AG875" s="27"/>
      <c r="AH875" s="27"/>
      <c r="AI875" s="27"/>
      <c r="AJ875" s="27"/>
    </row>
    <row r="876">
      <c r="A876" s="159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160"/>
      <c r="S876" s="160"/>
      <c r="T876" s="27"/>
      <c r="U876" s="27"/>
      <c r="V876" s="27"/>
      <c r="W876" s="27"/>
      <c r="X876" s="27"/>
      <c r="Y876" s="27"/>
      <c r="Z876" s="27"/>
      <c r="AA876" s="27"/>
      <c r="AB876" s="27"/>
      <c r="AC876" s="27"/>
      <c r="AD876" s="27"/>
      <c r="AE876" s="27"/>
      <c r="AF876" s="27"/>
      <c r="AG876" s="27"/>
      <c r="AH876" s="27"/>
      <c r="AI876" s="27"/>
      <c r="AJ876" s="27"/>
    </row>
    <row r="877">
      <c r="A877" s="159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160"/>
      <c r="S877" s="160"/>
      <c r="T877" s="27"/>
      <c r="U877" s="27"/>
      <c r="V877" s="27"/>
      <c r="W877" s="27"/>
      <c r="X877" s="27"/>
      <c r="Y877" s="27"/>
      <c r="Z877" s="27"/>
      <c r="AA877" s="27"/>
      <c r="AB877" s="27"/>
      <c r="AC877" s="27"/>
      <c r="AD877" s="27"/>
      <c r="AE877" s="27"/>
      <c r="AF877" s="27"/>
      <c r="AG877" s="27"/>
      <c r="AH877" s="27"/>
      <c r="AI877" s="27"/>
      <c r="AJ877" s="27"/>
    </row>
    <row r="878">
      <c r="A878" s="159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160"/>
      <c r="S878" s="160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  <c r="AD878" s="27"/>
      <c r="AE878" s="27"/>
      <c r="AF878" s="27"/>
      <c r="AG878" s="27"/>
      <c r="AH878" s="27"/>
      <c r="AI878" s="27"/>
      <c r="AJ878" s="27"/>
    </row>
    <row r="879">
      <c r="A879" s="159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160"/>
      <c r="S879" s="160"/>
      <c r="T879" s="27"/>
      <c r="U879" s="27"/>
      <c r="V879" s="27"/>
      <c r="W879" s="27"/>
      <c r="X879" s="27"/>
      <c r="Y879" s="27"/>
      <c r="Z879" s="27"/>
      <c r="AA879" s="27"/>
      <c r="AB879" s="27"/>
      <c r="AC879" s="27"/>
      <c r="AD879" s="27"/>
      <c r="AE879" s="27"/>
      <c r="AF879" s="27"/>
      <c r="AG879" s="27"/>
      <c r="AH879" s="27"/>
      <c r="AI879" s="27"/>
      <c r="AJ879" s="27"/>
    </row>
    <row r="880">
      <c r="A880" s="159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160"/>
      <c r="S880" s="160"/>
      <c r="T880" s="27"/>
      <c r="U880" s="27"/>
      <c r="V880" s="27"/>
      <c r="W880" s="27"/>
      <c r="X880" s="27"/>
      <c r="Y880" s="27"/>
      <c r="Z880" s="27"/>
      <c r="AA880" s="27"/>
      <c r="AB880" s="27"/>
      <c r="AC880" s="27"/>
      <c r="AD880" s="27"/>
      <c r="AE880" s="27"/>
      <c r="AF880" s="27"/>
      <c r="AG880" s="27"/>
      <c r="AH880" s="27"/>
      <c r="AI880" s="27"/>
      <c r="AJ880" s="27"/>
    </row>
    <row r="881">
      <c r="A881" s="159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160"/>
      <c r="S881" s="160"/>
      <c r="T881" s="27"/>
      <c r="U881" s="27"/>
      <c r="V881" s="27"/>
      <c r="W881" s="27"/>
      <c r="X881" s="27"/>
      <c r="Y881" s="27"/>
      <c r="Z881" s="27"/>
      <c r="AA881" s="27"/>
      <c r="AB881" s="27"/>
      <c r="AC881" s="27"/>
      <c r="AD881" s="27"/>
      <c r="AE881" s="27"/>
      <c r="AF881" s="27"/>
      <c r="AG881" s="27"/>
      <c r="AH881" s="27"/>
      <c r="AI881" s="27"/>
      <c r="AJ881" s="27"/>
    </row>
    <row r="882">
      <c r="A882" s="159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160"/>
      <c r="S882" s="160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  <c r="AD882" s="27"/>
      <c r="AE882" s="27"/>
      <c r="AF882" s="27"/>
      <c r="AG882" s="27"/>
      <c r="AH882" s="27"/>
      <c r="AI882" s="27"/>
      <c r="AJ882" s="27"/>
    </row>
    <row r="883">
      <c r="A883" s="159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160"/>
      <c r="S883" s="160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  <c r="AD883" s="27"/>
      <c r="AE883" s="27"/>
      <c r="AF883" s="27"/>
      <c r="AG883" s="27"/>
      <c r="AH883" s="27"/>
      <c r="AI883" s="27"/>
      <c r="AJ883" s="27"/>
    </row>
    <row r="884">
      <c r="A884" s="159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160"/>
      <c r="S884" s="160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  <c r="AD884" s="27"/>
      <c r="AE884" s="27"/>
      <c r="AF884" s="27"/>
      <c r="AG884" s="27"/>
      <c r="AH884" s="27"/>
      <c r="AI884" s="27"/>
      <c r="AJ884" s="27"/>
    </row>
    <row r="885">
      <c r="A885" s="159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160"/>
      <c r="S885" s="160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  <c r="AD885" s="27"/>
      <c r="AE885" s="27"/>
      <c r="AF885" s="27"/>
      <c r="AG885" s="27"/>
      <c r="AH885" s="27"/>
      <c r="AI885" s="27"/>
      <c r="AJ885" s="27"/>
    </row>
    <row r="886">
      <c r="A886" s="159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160"/>
      <c r="S886" s="160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  <c r="AD886" s="27"/>
      <c r="AE886" s="27"/>
      <c r="AF886" s="27"/>
      <c r="AG886" s="27"/>
      <c r="AH886" s="27"/>
      <c r="AI886" s="27"/>
      <c r="AJ886" s="27"/>
    </row>
    <row r="887">
      <c r="A887" s="159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160"/>
      <c r="S887" s="160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  <c r="AD887" s="27"/>
      <c r="AE887" s="27"/>
      <c r="AF887" s="27"/>
      <c r="AG887" s="27"/>
      <c r="AH887" s="27"/>
      <c r="AI887" s="27"/>
      <c r="AJ887" s="27"/>
    </row>
    <row r="888">
      <c r="A888" s="159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160"/>
      <c r="S888" s="160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  <c r="AD888" s="27"/>
      <c r="AE888" s="27"/>
      <c r="AF888" s="27"/>
      <c r="AG888" s="27"/>
      <c r="AH888" s="27"/>
      <c r="AI888" s="27"/>
      <c r="AJ888" s="27"/>
    </row>
    <row r="889">
      <c r="A889" s="159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160"/>
      <c r="S889" s="160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  <c r="AD889" s="27"/>
      <c r="AE889" s="27"/>
      <c r="AF889" s="27"/>
      <c r="AG889" s="27"/>
      <c r="AH889" s="27"/>
      <c r="AI889" s="27"/>
      <c r="AJ889" s="27"/>
    </row>
    <row r="890">
      <c r="A890" s="159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160"/>
      <c r="S890" s="160"/>
      <c r="T890" s="27"/>
      <c r="U890" s="27"/>
      <c r="V890" s="27"/>
      <c r="W890" s="27"/>
      <c r="X890" s="27"/>
      <c r="Y890" s="27"/>
      <c r="Z890" s="27"/>
      <c r="AA890" s="27"/>
      <c r="AB890" s="27"/>
      <c r="AC890" s="27"/>
      <c r="AD890" s="27"/>
      <c r="AE890" s="27"/>
      <c r="AF890" s="27"/>
      <c r="AG890" s="27"/>
      <c r="AH890" s="27"/>
      <c r="AI890" s="27"/>
      <c r="AJ890" s="27"/>
    </row>
    <row r="891">
      <c r="A891" s="159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160"/>
      <c r="S891" s="160"/>
      <c r="T891" s="27"/>
      <c r="U891" s="27"/>
      <c r="V891" s="27"/>
      <c r="W891" s="27"/>
      <c r="X891" s="27"/>
      <c r="Y891" s="27"/>
      <c r="Z891" s="27"/>
      <c r="AA891" s="27"/>
      <c r="AB891" s="27"/>
      <c r="AC891" s="27"/>
      <c r="AD891" s="27"/>
      <c r="AE891" s="27"/>
      <c r="AF891" s="27"/>
      <c r="AG891" s="27"/>
      <c r="AH891" s="27"/>
      <c r="AI891" s="27"/>
      <c r="AJ891" s="27"/>
    </row>
    <row r="892">
      <c r="A892" s="159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160"/>
      <c r="S892" s="160"/>
      <c r="T892" s="27"/>
      <c r="U892" s="27"/>
      <c r="V892" s="27"/>
      <c r="W892" s="27"/>
      <c r="X892" s="27"/>
      <c r="Y892" s="27"/>
      <c r="Z892" s="27"/>
      <c r="AA892" s="27"/>
      <c r="AB892" s="27"/>
      <c r="AC892" s="27"/>
      <c r="AD892" s="27"/>
      <c r="AE892" s="27"/>
      <c r="AF892" s="27"/>
      <c r="AG892" s="27"/>
      <c r="AH892" s="27"/>
      <c r="AI892" s="27"/>
      <c r="AJ892" s="27"/>
    </row>
    <row r="893">
      <c r="A893" s="159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160"/>
      <c r="S893" s="160"/>
      <c r="T893" s="27"/>
      <c r="U893" s="27"/>
      <c r="V893" s="27"/>
      <c r="W893" s="27"/>
      <c r="X893" s="27"/>
      <c r="Y893" s="27"/>
      <c r="Z893" s="27"/>
      <c r="AA893" s="27"/>
      <c r="AB893" s="27"/>
      <c r="AC893" s="27"/>
      <c r="AD893" s="27"/>
      <c r="AE893" s="27"/>
      <c r="AF893" s="27"/>
      <c r="AG893" s="27"/>
      <c r="AH893" s="27"/>
      <c r="AI893" s="27"/>
      <c r="AJ893" s="27"/>
    </row>
    <row r="894">
      <c r="A894" s="159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160"/>
      <c r="S894" s="160"/>
      <c r="T894" s="27"/>
      <c r="U894" s="27"/>
      <c r="V894" s="27"/>
      <c r="W894" s="27"/>
      <c r="X894" s="27"/>
      <c r="Y894" s="27"/>
      <c r="Z894" s="27"/>
      <c r="AA894" s="27"/>
      <c r="AB894" s="27"/>
      <c r="AC894" s="27"/>
      <c r="AD894" s="27"/>
      <c r="AE894" s="27"/>
      <c r="AF894" s="27"/>
      <c r="AG894" s="27"/>
      <c r="AH894" s="27"/>
      <c r="AI894" s="27"/>
      <c r="AJ894" s="27"/>
    </row>
    <row r="895">
      <c r="A895" s="159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160"/>
      <c r="S895" s="160"/>
      <c r="T895" s="27"/>
      <c r="U895" s="27"/>
      <c r="V895" s="27"/>
      <c r="W895" s="27"/>
      <c r="X895" s="27"/>
      <c r="Y895" s="27"/>
      <c r="Z895" s="27"/>
      <c r="AA895" s="27"/>
      <c r="AB895" s="27"/>
      <c r="AC895" s="27"/>
      <c r="AD895" s="27"/>
      <c r="AE895" s="27"/>
      <c r="AF895" s="27"/>
      <c r="AG895" s="27"/>
      <c r="AH895" s="27"/>
      <c r="AI895" s="27"/>
      <c r="AJ895" s="27"/>
    </row>
    <row r="896">
      <c r="A896" s="159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160"/>
      <c r="S896" s="160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  <c r="AD896" s="27"/>
      <c r="AE896" s="27"/>
      <c r="AF896" s="27"/>
      <c r="AG896" s="27"/>
      <c r="AH896" s="27"/>
      <c r="AI896" s="27"/>
      <c r="AJ896" s="27"/>
    </row>
    <row r="897">
      <c r="A897" s="159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160"/>
      <c r="S897" s="160"/>
      <c r="T897" s="27"/>
      <c r="U897" s="27"/>
      <c r="V897" s="27"/>
      <c r="W897" s="27"/>
      <c r="X897" s="27"/>
      <c r="Y897" s="27"/>
      <c r="Z897" s="27"/>
      <c r="AA897" s="27"/>
      <c r="AB897" s="27"/>
      <c r="AC897" s="27"/>
      <c r="AD897" s="27"/>
      <c r="AE897" s="27"/>
      <c r="AF897" s="27"/>
      <c r="AG897" s="27"/>
      <c r="AH897" s="27"/>
      <c r="AI897" s="27"/>
      <c r="AJ897" s="27"/>
    </row>
    <row r="898">
      <c r="A898" s="159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160"/>
      <c r="S898" s="160"/>
      <c r="T898" s="27"/>
      <c r="U898" s="27"/>
      <c r="V898" s="27"/>
      <c r="W898" s="27"/>
      <c r="X898" s="27"/>
      <c r="Y898" s="27"/>
      <c r="Z898" s="27"/>
      <c r="AA898" s="27"/>
      <c r="AB898" s="27"/>
      <c r="AC898" s="27"/>
      <c r="AD898" s="27"/>
      <c r="AE898" s="27"/>
      <c r="AF898" s="27"/>
      <c r="AG898" s="27"/>
      <c r="AH898" s="27"/>
      <c r="AI898" s="27"/>
      <c r="AJ898" s="27"/>
    </row>
    <row r="899">
      <c r="A899" s="159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160"/>
      <c r="S899" s="160"/>
      <c r="T899" s="27"/>
      <c r="U899" s="27"/>
      <c r="V899" s="27"/>
      <c r="W899" s="27"/>
      <c r="X899" s="27"/>
      <c r="Y899" s="27"/>
      <c r="Z899" s="27"/>
      <c r="AA899" s="27"/>
      <c r="AB899" s="27"/>
      <c r="AC899" s="27"/>
      <c r="AD899" s="27"/>
      <c r="AE899" s="27"/>
      <c r="AF899" s="27"/>
      <c r="AG899" s="27"/>
      <c r="AH899" s="27"/>
      <c r="AI899" s="27"/>
      <c r="AJ899" s="27"/>
    </row>
    <row r="900">
      <c r="A900" s="159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160"/>
      <c r="S900" s="160"/>
      <c r="T900" s="27"/>
      <c r="U900" s="27"/>
      <c r="V900" s="27"/>
      <c r="W900" s="27"/>
      <c r="X900" s="27"/>
      <c r="Y900" s="27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</row>
    <row r="901">
      <c r="A901" s="159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160"/>
      <c r="S901" s="160"/>
      <c r="T901" s="27"/>
      <c r="U901" s="27"/>
      <c r="V901" s="27"/>
      <c r="W901" s="27"/>
      <c r="X901" s="27"/>
      <c r="Y901" s="27"/>
      <c r="Z901" s="27"/>
      <c r="AA901" s="27"/>
      <c r="AB901" s="27"/>
      <c r="AC901" s="27"/>
      <c r="AD901" s="27"/>
      <c r="AE901" s="27"/>
      <c r="AF901" s="27"/>
      <c r="AG901" s="27"/>
      <c r="AH901" s="27"/>
      <c r="AI901" s="27"/>
      <c r="AJ901" s="27"/>
    </row>
    <row r="902">
      <c r="A902" s="159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160"/>
      <c r="S902" s="160"/>
      <c r="T902" s="27"/>
      <c r="U902" s="27"/>
      <c r="V902" s="27"/>
      <c r="W902" s="27"/>
      <c r="X902" s="27"/>
      <c r="Y902" s="27"/>
      <c r="Z902" s="27"/>
      <c r="AA902" s="27"/>
      <c r="AB902" s="27"/>
      <c r="AC902" s="27"/>
      <c r="AD902" s="27"/>
      <c r="AE902" s="27"/>
      <c r="AF902" s="27"/>
      <c r="AG902" s="27"/>
      <c r="AH902" s="27"/>
      <c r="AI902" s="27"/>
      <c r="AJ902" s="27"/>
    </row>
    <row r="903">
      <c r="A903" s="159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160"/>
      <c r="S903" s="160"/>
      <c r="T903" s="27"/>
      <c r="U903" s="27"/>
      <c r="V903" s="27"/>
      <c r="W903" s="27"/>
      <c r="X903" s="27"/>
      <c r="Y903" s="27"/>
      <c r="Z903" s="27"/>
      <c r="AA903" s="27"/>
      <c r="AB903" s="27"/>
      <c r="AC903" s="27"/>
      <c r="AD903" s="27"/>
      <c r="AE903" s="27"/>
      <c r="AF903" s="27"/>
      <c r="AG903" s="27"/>
      <c r="AH903" s="27"/>
      <c r="AI903" s="27"/>
      <c r="AJ903" s="27"/>
    </row>
    <row r="904">
      <c r="A904" s="159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160"/>
      <c r="S904" s="160"/>
      <c r="T904" s="27"/>
      <c r="U904" s="27"/>
      <c r="V904" s="27"/>
      <c r="W904" s="27"/>
      <c r="X904" s="27"/>
      <c r="Y904" s="27"/>
      <c r="Z904" s="27"/>
      <c r="AA904" s="27"/>
      <c r="AB904" s="27"/>
      <c r="AC904" s="27"/>
      <c r="AD904" s="27"/>
      <c r="AE904" s="27"/>
      <c r="AF904" s="27"/>
      <c r="AG904" s="27"/>
      <c r="AH904" s="27"/>
      <c r="AI904" s="27"/>
      <c r="AJ904" s="27"/>
    </row>
    <row r="905">
      <c r="A905" s="159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160"/>
      <c r="S905" s="160"/>
      <c r="T905" s="27"/>
      <c r="U905" s="27"/>
      <c r="V905" s="27"/>
      <c r="W905" s="27"/>
      <c r="X905" s="27"/>
      <c r="Y905" s="27"/>
      <c r="Z905" s="27"/>
      <c r="AA905" s="27"/>
      <c r="AB905" s="27"/>
      <c r="AC905" s="27"/>
      <c r="AD905" s="27"/>
      <c r="AE905" s="27"/>
      <c r="AF905" s="27"/>
      <c r="AG905" s="27"/>
      <c r="AH905" s="27"/>
      <c r="AI905" s="27"/>
      <c r="AJ905" s="27"/>
    </row>
    <row r="906">
      <c r="A906" s="159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160"/>
      <c r="S906" s="160"/>
      <c r="T906" s="27"/>
      <c r="U906" s="27"/>
      <c r="V906" s="27"/>
      <c r="W906" s="27"/>
      <c r="X906" s="27"/>
      <c r="Y906" s="27"/>
      <c r="Z906" s="27"/>
      <c r="AA906" s="27"/>
      <c r="AB906" s="27"/>
      <c r="AC906" s="27"/>
      <c r="AD906" s="27"/>
      <c r="AE906" s="27"/>
      <c r="AF906" s="27"/>
      <c r="AG906" s="27"/>
      <c r="AH906" s="27"/>
      <c r="AI906" s="27"/>
      <c r="AJ906" s="27"/>
    </row>
    <row r="907">
      <c r="A907" s="159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160"/>
      <c r="S907" s="160"/>
      <c r="T907" s="27"/>
      <c r="U907" s="27"/>
      <c r="V907" s="27"/>
      <c r="W907" s="27"/>
      <c r="X907" s="27"/>
      <c r="Y907" s="27"/>
      <c r="Z907" s="27"/>
      <c r="AA907" s="27"/>
      <c r="AB907" s="27"/>
      <c r="AC907" s="27"/>
      <c r="AD907" s="27"/>
      <c r="AE907" s="27"/>
      <c r="AF907" s="27"/>
      <c r="AG907" s="27"/>
      <c r="AH907" s="27"/>
      <c r="AI907" s="27"/>
      <c r="AJ907" s="27"/>
    </row>
    <row r="908">
      <c r="A908" s="159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160"/>
      <c r="S908" s="160"/>
      <c r="T908" s="27"/>
      <c r="U908" s="27"/>
      <c r="V908" s="27"/>
      <c r="W908" s="27"/>
      <c r="X908" s="27"/>
      <c r="Y908" s="27"/>
      <c r="Z908" s="27"/>
      <c r="AA908" s="27"/>
      <c r="AB908" s="27"/>
      <c r="AC908" s="27"/>
      <c r="AD908" s="27"/>
      <c r="AE908" s="27"/>
      <c r="AF908" s="27"/>
      <c r="AG908" s="27"/>
      <c r="AH908" s="27"/>
      <c r="AI908" s="27"/>
      <c r="AJ908" s="27"/>
    </row>
    <row r="909">
      <c r="A909" s="159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160"/>
      <c r="S909" s="160"/>
      <c r="T909" s="27"/>
      <c r="U909" s="27"/>
      <c r="V909" s="27"/>
      <c r="W909" s="27"/>
      <c r="X909" s="27"/>
      <c r="Y909" s="27"/>
      <c r="Z909" s="27"/>
      <c r="AA909" s="27"/>
      <c r="AB909" s="27"/>
      <c r="AC909" s="27"/>
      <c r="AD909" s="27"/>
      <c r="AE909" s="27"/>
      <c r="AF909" s="27"/>
      <c r="AG909" s="27"/>
      <c r="AH909" s="27"/>
      <c r="AI909" s="27"/>
      <c r="AJ909" s="27"/>
    </row>
    <row r="910">
      <c r="A910" s="159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160"/>
      <c r="S910" s="160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  <c r="AD910" s="27"/>
      <c r="AE910" s="27"/>
      <c r="AF910" s="27"/>
      <c r="AG910" s="27"/>
      <c r="AH910" s="27"/>
      <c r="AI910" s="27"/>
      <c r="AJ910" s="27"/>
    </row>
    <row r="911">
      <c r="A911" s="159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160"/>
      <c r="S911" s="160"/>
      <c r="T911" s="27"/>
      <c r="U911" s="27"/>
      <c r="V911" s="27"/>
      <c r="W911" s="27"/>
      <c r="X911" s="27"/>
      <c r="Y911" s="27"/>
      <c r="Z911" s="27"/>
      <c r="AA911" s="27"/>
      <c r="AB911" s="27"/>
      <c r="AC911" s="27"/>
      <c r="AD911" s="27"/>
      <c r="AE911" s="27"/>
      <c r="AF911" s="27"/>
      <c r="AG911" s="27"/>
      <c r="AH911" s="27"/>
      <c r="AI911" s="27"/>
      <c r="AJ911" s="27"/>
    </row>
    <row r="912">
      <c r="A912" s="159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160"/>
      <c r="S912" s="160"/>
      <c r="T912" s="27"/>
      <c r="U912" s="27"/>
      <c r="V912" s="27"/>
      <c r="W912" s="27"/>
      <c r="X912" s="27"/>
      <c r="Y912" s="27"/>
      <c r="Z912" s="27"/>
      <c r="AA912" s="27"/>
      <c r="AB912" s="27"/>
      <c r="AC912" s="27"/>
      <c r="AD912" s="27"/>
      <c r="AE912" s="27"/>
      <c r="AF912" s="27"/>
      <c r="AG912" s="27"/>
      <c r="AH912" s="27"/>
      <c r="AI912" s="27"/>
      <c r="AJ912" s="27"/>
    </row>
    <row r="913">
      <c r="A913" s="159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160"/>
      <c r="S913" s="160"/>
      <c r="T913" s="27"/>
      <c r="U913" s="27"/>
      <c r="V913" s="27"/>
      <c r="W913" s="27"/>
      <c r="X913" s="27"/>
      <c r="Y913" s="27"/>
      <c r="Z913" s="27"/>
      <c r="AA913" s="27"/>
      <c r="AB913" s="27"/>
      <c r="AC913" s="27"/>
      <c r="AD913" s="27"/>
      <c r="AE913" s="27"/>
      <c r="AF913" s="27"/>
      <c r="AG913" s="27"/>
      <c r="AH913" s="27"/>
      <c r="AI913" s="27"/>
      <c r="AJ913" s="27"/>
    </row>
    <row r="914">
      <c r="A914" s="159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160"/>
      <c r="S914" s="160"/>
      <c r="T914" s="27"/>
      <c r="U914" s="27"/>
      <c r="V914" s="27"/>
      <c r="W914" s="27"/>
      <c r="X914" s="27"/>
      <c r="Y914" s="27"/>
      <c r="Z914" s="27"/>
      <c r="AA914" s="27"/>
      <c r="AB914" s="27"/>
      <c r="AC914" s="27"/>
      <c r="AD914" s="27"/>
      <c r="AE914" s="27"/>
      <c r="AF914" s="27"/>
      <c r="AG914" s="27"/>
      <c r="AH914" s="27"/>
      <c r="AI914" s="27"/>
      <c r="AJ914" s="27"/>
    </row>
    <row r="915">
      <c r="A915" s="159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160"/>
      <c r="S915" s="160"/>
      <c r="T915" s="27"/>
      <c r="U915" s="27"/>
      <c r="V915" s="27"/>
      <c r="W915" s="27"/>
      <c r="X915" s="27"/>
      <c r="Y915" s="27"/>
      <c r="Z915" s="27"/>
      <c r="AA915" s="27"/>
      <c r="AB915" s="27"/>
      <c r="AC915" s="27"/>
      <c r="AD915" s="27"/>
      <c r="AE915" s="27"/>
      <c r="AF915" s="27"/>
      <c r="AG915" s="27"/>
      <c r="AH915" s="27"/>
      <c r="AI915" s="27"/>
      <c r="AJ915" s="27"/>
    </row>
    <row r="916">
      <c r="A916" s="159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160"/>
      <c r="S916" s="160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  <c r="AD916" s="27"/>
      <c r="AE916" s="27"/>
      <c r="AF916" s="27"/>
      <c r="AG916" s="27"/>
      <c r="AH916" s="27"/>
      <c r="AI916" s="27"/>
      <c r="AJ916" s="27"/>
    </row>
    <row r="917">
      <c r="A917" s="159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160"/>
      <c r="S917" s="160"/>
      <c r="T917" s="27"/>
      <c r="U917" s="27"/>
      <c r="V917" s="27"/>
      <c r="W917" s="27"/>
      <c r="X917" s="27"/>
      <c r="Y917" s="27"/>
      <c r="Z917" s="27"/>
      <c r="AA917" s="27"/>
      <c r="AB917" s="27"/>
      <c r="AC917" s="27"/>
      <c r="AD917" s="27"/>
      <c r="AE917" s="27"/>
      <c r="AF917" s="27"/>
      <c r="AG917" s="27"/>
      <c r="AH917" s="27"/>
      <c r="AI917" s="27"/>
      <c r="AJ917" s="27"/>
    </row>
    <row r="918">
      <c r="A918" s="159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160"/>
      <c r="S918" s="160"/>
      <c r="T918" s="27"/>
      <c r="U918" s="27"/>
      <c r="V918" s="27"/>
      <c r="W918" s="27"/>
      <c r="X918" s="27"/>
      <c r="Y918" s="27"/>
      <c r="Z918" s="27"/>
      <c r="AA918" s="27"/>
      <c r="AB918" s="27"/>
      <c r="AC918" s="27"/>
      <c r="AD918" s="27"/>
      <c r="AE918" s="27"/>
      <c r="AF918" s="27"/>
      <c r="AG918" s="27"/>
      <c r="AH918" s="27"/>
      <c r="AI918" s="27"/>
      <c r="AJ918" s="27"/>
    </row>
    <row r="919">
      <c r="A919" s="159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160"/>
      <c r="S919" s="160"/>
      <c r="T919" s="27"/>
      <c r="U919" s="27"/>
      <c r="V919" s="27"/>
      <c r="W919" s="27"/>
      <c r="X919" s="27"/>
      <c r="Y919" s="27"/>
      <c r="Z919" s="27"/>
      <c r="AA919" s="27"/>
      <c r="AB919" s="27"/>
      <c r="AC919" s="27"/>
      <c r="AD919" s="27"/>
      <c r="AE919" s="27"/>
      <c r="AF919" s="27"/>
      <c r="AG919" s="27"/>
      <c r="AH919" s="27"/>
      <c r="AI919" s="27"/>
      <c r="AJ919" s="27"/>
    </row>
    <row r="920">
      <c r="A920" s="159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160"/>
      <c r="S920" s="160"/>
      <c r="T920" s="27"/>
      <c r="U920" s="27"/>
      <c r="V920" s="27"/>
      <c r="W920" s="27"/>
      <c r="X920" s="27"/>
      <c r="Y920" s="27"/>
      <c r="Z920" s="27"/>
      <c r="AA920" s="27"/>
      <c r="AB920" s="27"/>
      <c r="AC920" s="27"/>
      <c r="AD920" s="27"/>
      <c r="AE920" s="27"/>
      <c r="AF920" s="27"/>
      <c r="AG920" s="27"/>
      <c r="AH920" s="27"/>
      <c r="AI920" s="27"/>
      <c r="AJ920" s="27"/>
    </row>
    <row r="921">
      <c r="A921" s="159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160"/>
      <c r="S921" s="160"/>
      <c r="T921" s="27"/>
      <c r="U921" s="27"/>
      <c r="V921" s="27"/>
      <c r="W921" s="27"/>
      <c r="X921" s="27"/>
      <c r="Y921" s="27"/>
      <c r="Z921" s="27"/>
      <c r="AA921" s="27"/>
      <c r="AB921" s="27"/>
      <c r="AC921" s="27"/>
      <c r="AD921" s="27"/>
      <c r="AE921" s="27"/>
      <c r="AF921" s="27"/>
      <c r="AG921" s="27"/>
      <c r="AH921" s="27"/>
      <c r="AI921" s="27"/>
      <c r="AJ921" s="27"/>
    </row>
    <row r="922">
      <c r="A922" s="159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160"/>
      <c r="S922" s="160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  <c r="AD922" s="27"/>
      <c r="AE922" s="27"/>
      <c r="AF922" s="27"/>
      <c r="AG922" s="27"/>
      <c r="AH922" s="27"/>
      <c r="AI922" s="27"/>
      <c r="AJ922" s="27"/>
    </row>
    <row r="923">
      <c r="A923" s="159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160"/>
      <c r="S923" s="160"/>
      <c r="T923" s="27"/>
      <c r="U923" s="27"/>
      <c r="V923" s="27"/>
      <c r="W923" s="27"/>
      <c r="X923" s="27"/>
      <c r="Y923" s="27"/>
      <c r="Z923" s="27"/>
      <c r="AA923" s="27"/>
      <c r="AB923" s="27"/>
      <c r="AC923" s="27"/>
      <c r="AD923" s="27"/>
      <c r="AE923" s="27"/>
      <c r="AF923" s="27"/>
      <c r="AG923" s="27"/>
      <c r="AH923" s="27"/>
      <c r="AI923" s="27"/>
      <c r="AJ923" s="27"/>
    </row>
    <row r="924">
      <c r="A924" s="159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160"/>
      <c r="S924" s="160"/>
      <c r="T924" s="27"/>
      <c r="U924" s="27"/>
      <c r="V924" s="27"/>
      <c r="W924" s="27"/>
      <c r="X924" s="27"/>
      <c r="Y924" s="27"/>
      <c r="Z924" s="27"/>
      <c r="AA924" s="27"/>
      <c r="AB924" s="27"/>
      <c r="AC924" s="27"/>
      <c r="AD924" s="27"/>
      <c r="AE924" s="27"/>
      <c r="AF924" s="27"/>
      <c r="AG924" s="27"/>
      <c r="AH924" s="27"/>
      <c r="AI924" s="27"/>
      <c r="AJ924" s="27"/>
    </row>
    <row r="925">
      <c r="A925" s="159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160"/>
      <c r="S925" s="160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  <c r="AD925" s="27"/>
      <c r="AE925" s="27"/>
      <c r="AF925" s="27"/>
      <c r="AG925" s="27"/>
      <c r="AH925" s="27"/>
      <c r="AI925" s="27"/>
      <c r="AJ925" s="27"/>
    </row>
    <row r="926">
      <c r="A926" s="159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160"/>
      <c r="S926" s="160"/>
      <c r="T926" s="27"/>
      <c r="U926" s="27"/>
      <c r="V926" s="27"/>
      <c r="W926" s="27"/>
      <c r="X926" s="27"/>
      <c r="Y926" s="27"/>
      <c r="Z926" s="27"/>
      <c r="AA926" s="27"/>
      <c r="AB926" s="27"/>
      <c r="AC926" s="27"/>
      <c r="AD926" s="27"/>
      <c r="AE926" s="27"/>
      <c r="AF926" s="27"/>
      <c r="AG926" s="27"/>
      <c r="AH926" s="27"/>
      <c r="AI926" s="27"/>
      <c r="AJ926" s="27"/>
    </row>
    <row r="927">
      <c r="A927" s="159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160"/>
      <c r="S927" s="160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  <c r="AD927" s="27"/>
      <c r="AE927" s="27"/>
      <c r="AF927" s="27"/>
      <c r="AG927" s="27"/>
      <c r="AH927" s="27"/>
      <c r="AI927" s="27"/>
      <c r="AJ927" s="27"/>
    </row>
    <row r="928">
      <c r="A928" s="159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160"/>
      <c r="S928" s="160"/>
      <c r="T928" s="27"/>
      <c r="U928" s="27"/>
      <c r="V928" s="27"/>
      <c r="W928" s="27"/>
      <c r="X928" s="27"/>
      <c r="Y928" s="27"/>
      <c r="Z928" s="27"/>
      <c r="AA928" s="27"/>
      <c r="AB928" s="27"/>
      <c r="AC928" s="27"/>
      <c r="AD928" s="27"/>
      <c r="AE928" s="27"/>
      <c r="AF928" s="27"/>
      <c r="AG928" s="27"/>
      <c r="AH928" s="27"/>
      <c r="AI928" s="27"/>
      <c r="AJ928" s="27"/>
    </row>
    <row r="929">
      <c r="A929" s="159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160"/>
      <c r="S929" s="160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  <c r="AD929" s="27"/>
      <c r="AE929" s="27"/>
      <c r="AF929" s="27"/>
      <c r="AG929" s="27"/>
      <c r="AH929" s="27"/>
      <c r="AI929" s="27"/>
      <c r="AJ929" s="27"/>
    </row>
    <row r="930">
      <c r="A930" s="159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160"/>
      <c r="S930" s="160"/>
      <c r="T930" s="27"/>
      <c r="U930" s="27"/>
      <c r="V930" s="27"/>
      <c r="W930" s="27"/>
      <c r="X930" s="27"/>
      <c r="Y930" s="27"/>
      <c r="Z930" s="27"/>
      <c r="AA930" s="27"/>
      <c r="AB930" s="27"/>
      <c r="AC930" s="27"/>
      <c r="AD930" s="27"/>
      <c r="AE930" s="27"/>
      <c r="AF930" s="27"/>
      <c r="AG930" s="27"/>
      <c r="AH930" s="27"/>
      <c r="AI930" s="27"/>
      <c r="AJ930" s="27"/>
    </row>
    <row r="931">
      <c r="A931" s="159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160"/>
      <c r="S931" s="160"/>
      <c r="T931" s="27"/>
      <c r="U931" s="27"/>
      <c r="V931" s="27"/>
      <c r="W931" s="27"/>
      <c r="X931" s="27"/>
      <c r="Y931" s="27"/>
      <c r="Z931" s="27"/>
      <c r="AA931" s="27"/>
      <c r="AB931" s="27"/>
      <c r="AC931" s="27"/>
      <c r="AD931" s="27"/>
      <c r="AE931" s="27"/>
      <c r="AF931" s="27"/>
      <c r="AG931" s="27"/>
      <c r="AH931" s="27"/>
      <c r="AI931" s="27"/>
      <c r="AJ931" s="27"/>
    </row>
    <row r="932">
      <c r="A932" s="159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160"/>
      <c r="S932" s="160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  <c r="AD932" s="27"/>
      <c r="AE932" s="27"/>
      <c r="AF932" s="27"/>
      <c r="AG932" s="27"/>
      <c r="AH932" s="27"/>
      <c r="AI932" s="27"/>
      <c r="AJ932" s="27"/>
    </row>
    <row r="933">
      <c r="A933" s="159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160"/>
      <c r="S933" s="160"/>
      <c r="T933" s="27"/>
      <c r="U933" s="27"/>
      <c r="V933" s="27"/>
      <c r="W933" s="27"/>
      <c r="X933" s="27"/>
      <c r="Y933" s="27"/>
      <c r="Z933" s="27"/>
      <c r="AA933" s="27"/>
      <c r="AB933" s="27"/>
      <c r="AC933" s="27"/>
      <c r="AD933" s="27"/>
      <c r="AE933" s="27"/>
      <c r="AF933" s="27"/>
      <c r="AG933" s="27"/>
      <c r="AH933" s="27"/>
      <c r="AI933" s="27"/>
      <c r="AJ933" s="27"/>
    </row>
    <row r="934">
      <c r="A934" s="159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160"/>
      <c r="S934" s="160"/>
      <c r="T934" s="27"/>
      <c r="U934" s="27"/>
      <c r="V934" s="27"/>
      <c r="W934" s="27"/>
      <c r="X934" s="27"/>
      <c r="Y934" s="27"/>
      <c r="Z934" s="27"/>
      <c r="AA934" s="27"/>
      <c r="AB934" s="27"/>
      <c r="AC934" s="27"/>
      <c r="AD934" s="27"/>
      <c r="AE934" s="27"/>
      <c r="AF934" s="27"/>
      <c r="AG934" s="27"/>
      <c r="AH934" s="27"/>
      <c r="AI934" s="27"/>
      <c r="AJ934" s="27"/>
    </row>
    <row r="935">
      <c r="A935" s="159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160"/>
      <c r="S935" s="160"/>
      <c r="T935" s="27"/>
      <c r="U935" s="27"/>
      <c r="V935" s="27"/>
      <c r="W935" s="27"/>
      <c r="X935" s="27"/>
      <c r="Y935" s="27"/>
      <c r="Z935" s="27"/>
      <c r="AA935" s="27"/>
      <c r="AB935" s="27"/>
      <c r="AC935" s="27"/>
      <c r="AD935" s="27"/>
      <c r="AE935" s="27"/>
      <c r="AF935" s="27"/>
      <c r="AG935" s="27"/>
      <c r="AH935" s="27"/>
      <c r="AI935" s="27"/>
      <c r="AJ935" s="27"/>
    </row>
    <row r="936">
      <c r="A936" s="159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160"/>
      <c r="S936" s="160"/>
      <c r="T936" s="27"/>
      <c r="U936" s="27"/>
      <c r="V936" s="27"/>
      <c r="W936" s="27"/>
      <c r="X936" s="27"/>
      <c r="Y936" s="27"/>
      <c r="Z936" s="27"/>
      <c r="AA936" s="27"/>
      <c r="AB936" s="27"/>
      <c r="AC936" s="27"/>
      <c r="AD936" s="27"/>
      <c r="AE936" s="27"/>
      <c r="AF936" s="27"/>
      <c r="AG936" s="27"/>
      <c r="AH936" s="27"/>
      <c r="AI936" s="27"/>
      <c r="AJ936" s="27"/>
    </row>
    <row r="937">
      <c r="A937" s="159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160"/>
      <c r="S937" s="160"/>
      <c r="T937" s="27"/>
      <c r="U937" s="27"/>
      <c r="V937" s="27"/>
      <c r="W937" s="27"/>
      <c r="X937" s="27"/>
      <c r="Y937" s="27"/>
      <c r="Z937" s="27"/>
      <c r="AA937" s="27"/>
      <c r="AB937" s="27"/>
      <c r="AC937" s="27"/>
      <c r="AD937" s="27"/>
      <c r="AE937" s="27"/>
      <c r="AF937" s="27"/>
      <c r="AG937" s="27"/>
      <c r="AH937" s="27"/>
      <c r="AI937" s="27"/>
      <c r="AJ937" s="27"/>
    </row>
    <row r="938">
      <c r="A938" s="159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160"/>
      <c r="S938" s="160"/>
      <c r="T938" s="27"/>
      <c r="U938" s="27"/>
      <c r="V938" s="27"/>
      <c r="W938" s="27"/>
      <c r="X938" s="27"/>
      <c r="Y938" s="27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</row>
    <row r="939">
      <c r="A939" s="159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160"/>
      <c r="S939" s="160"/>
      <c r="T939" s="27"/>
      <c r="U939" s="27"/>
      <c r="V939" s="27"/>
      <c r="W939" s="27"/>
      <c r="X939" s="27"/>
      <c r="Y939" s="27"/>
      <c r="Z939" s="27"/>
      <c r="AA939" s="27"/>
      <c r="AB939" s="27"/>
      <c r="AC939" s="27"/>
      <c r="AD939" s="27"/>
      <c r="AE939" s="27"/>
      <c r="AF939" s="27"/>
      <c r="AG939" s="27"/>
      <c r="AH939" s="27"/>
      <c r="AI939" s="27"/>
      <c r="AJ939" s="27"/>
    </row>
    <row r="940">
      <c r="A940" s="159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160"/>
      <c r="S940" s="160"/>
      <c r="T940" s="27"/>
      <c r="U940" s="27"/>
      <c r="V940" s="27"/>
      <c r="W940" s="27"/>
      <c r="X940" s="27"/>
      <c r="Y940" s="27"/>
      <c r="Z940" s="27"/>
      <c r="AA940" s="27"/>
      <c r="AB940" s="27"/>
      <c r="AC940" s="27"/>
      <c r="AD940" s="27"/>
      <c r="AE940" s="27"/>
      <c r="AF940" s="27"/>
      <c r="AG940" s="27"/>
      <c r="AH940" s="27"/>
      <c r="AI940" s="27"/>
      <c r="AJ940" s="27"/>
    </row>
    <row r="941">
      <c r="A941" s="159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160"/>
      <c r="S941" s="160"/>
      <c r="T941" s="27"/>
      <c r="U941" s="27"/>
      <c r="V941" s="27"/>
      <c r="W941" s="27"/>
      <c r="X941" s="27"/>
      <c r="Y941" s="27"/>
      <c r="Z941" s="27"/>
      <c r="AA941" s="27"/>
      <c r="AB941" s="27"/>
      <c r="AC941" s="27"/>
      <c r="AD941" s="27"/>
      <c r="AE941" s="27"/>
      <c r="AF941" s="27"/>
      <c r="AG941" s="27"/>
      <c r="AH941" s="27"/>
      <c r="AI941" s="27"/>
      <c r="AJ941" s="27"/>
    </row>
    <row r="942">
      <c r="A942" s="159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160"/>
      <c r="S942" s="160"/>
      <c r="T942" s="27"/>
      <c r="U942" s="27"/>
      <c r="V942" s="27"/>
      <c r="W942" s="27"/>
      <c r="X942" s="27"/>
      <c r="Y942" s="27"/>
      <c r="Z942" s="27"/>
      <c r="AA942" s="27"/>
      <c r="AB942" s="27"/>
      <c r="AC942" s="27"/>
      <c r="AD942" s="27"/>
      <c r="AE942" s="27"/>
      <c r="AF942" s="27"/>
      <c r="AG942" s="27"/>
      <c r="AH942" s="27"/>
      <c r="AI942" s="27"/>
      <c r="AJ942" s="27"/>
    </row>
    <row r="943">
      <c r="A943" s="159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160"/>
      <c r="S943" s="160"/>
      <c r="T943" s="27"/>
      <c r="U943" s="27"/>
      <c r="V943" s="27"/>
      <c r="W943" s="27"/>
      <c r="X943" s="27"/>
      <c r="Y943" s="27"/>
      <c r="Z943" s="27"/>
      <c r="AA943" s="27"/>
      <c r="AB943" s="27"/>
      <c r="AC943" s="27"/>
      <c r="AD943" s="27"/>
      <c r="AE943" s="27"/>
      <c r="AF943" s="27"/>
      <c r="AG943" s="27"/>
      <c r="AH943" s="27"/>
      <c r="AI943" s="27"/>
      <c r="AJ943" s="27"/>
    </row>
    <row r="944">
      <c r="A944" s="159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160"/>
      <c r="S944" s="160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  <c r="AD944" s="27"/>
      <c r="AE944" s="27"/>
      <c r="AF944" s="27"/>
      <c r="AG944" s="27"/>
      <c r="AH944" s="27"/>
      <c r="AI944" s="27"/>
      <c r="AJ944" s="27"/>
    </row>
    <row r="945">
      <c r="A945" s="159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160"/>
      <c r="S945" s="160"/>
      <c r="T945" s="27"/>
      <c r="U945" s="27"/>
      <c r="V945" s="27"/>
      <c r="W945" s="27"/>
      <c r="X945" s="27"/>
      <c r="Y945" s="27"/>
      <c r="Z945" s="27"/>
      <c r="AA945" s="27"/>
      <c r="AB945" s="27"/>
      <c r="AC945" s="27"/>
      <c r="AD945" s="27"/>
      <c r="AE945" s="27"/>
      <c r="AF945" s="27"/>
      <c r="AG945" s="27"/>
      <c r="AH945" s="27"/>
      <c r="AI945" s="27"/>
      <c r="AJ945" s="27"/>
    </row>
    <row r="946">
      <c r="A946" s="159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160"/>
      <c r="S946" s="160"/>
      <c r="T946" s="27"/>
      <c r="U946" s="27"/>
      <c r="V946" s="27"/>
      <c r="W946" s="27"/>
      <c r="X946" s="27"/>
      <c r="Y946" s="27"/>
      <c r="Z946" s="27"/>
      <c r="AA946" s="27"/>
      <c r="AB946" s="27"/>
      <c r="AC946" s="27"/>
      <c r="AD946" s="27"/>
      <c r="AE946" s="27"/>
      <c r="AF946" s="27"/>
      <c r="AG946" s="27"/>
      <c r="AH946" s="27"/>
      <c r="AI946" s="27"/>
      <c r="AJ946" s="27"/>
    </row>
    <row r="947">
      <c r="A947" s="159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160"/>
      <c r="S947" s="160"/>
      <c r="T947" s="27"/>
      <c r="U947" s="27"/>
      <c r="V947" s="27"/>
      <c r="W947" s="27"/>
      <c r="X947" s="27"/>
      <c r="Y947" s="27"/>
      <c r="Z947" s="27"/>
      <c r="AA947" s="27"/>
      <c r="AB947" s="27"/>
      <c r="AC947" s="27"/>
      <c r="AD947" s="27"/>
      <c r="AE947" s="27"/>
      <c r="AF947" s="27"/>
      <c r="AG947" s="27"/>
      <c r="AH947" s="27"/>
      <c r="AI947" s="27"/>
      <c r="AJ947" s="27"/>
    </row>
    <row r="948">
      <c r="A948" s="159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160"/>
      <c r="S948" s="160"/>
      <c r="T948" s="27"/>
      <c r="U948" s="27"/>
      <c r="V948" s="27"/>
      <c r="W948" s="27"/>
      <c r="X948" s="27"/>
      <c r="Y948" s="27"/>
      <c r="Z948" s="27"/>
      <c r="AA948" s="27"/>
      <c r="AB948" s="27"/>
      <c r="AC948" s="27"/>
      <c r="AD948" s="27"/>
      <c r="AE948" s="27"/>
      <c r="AF948" s="27"/>
      <c r="AG948" s="27"/>
      <c r="AH948" s="27"/>
      <c r="AI948" s="27"/>
      <c r="AJ948" s="27"/>
    </row>
    <row r="949">
      <c r="A949" s="159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160"/>
      <c r="S949" s="160"/>
      <c r="T949" s="27"/>
      <c r="U949" s="27"/>
      <c r="V949" s="27"/>
      <c r="W949" s="27"/>
      <c r="X949" s="27"/>
      <c r="Y949" s="27"/>
      <c r="Z949" s="27"/>
      <c r="AA949" s="27"/>
      <c r="AB949" s="27"/>
      <c r="AC949" s="27"/>
      <c r="AD949" s="27"/>
      <c r="AE949" s="27"/>
      <c r="AF949" s="27"/>
      <c r="AG949" s="27"/>
      <c r="AH949" s="27"/>
      <c r="AI949" s="27"/>
      <c r="AJ949" s="27"/>
    </row>
    <row r="950">
      <c r="A950" s="159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160"/>
      <c r="S950" s="160"/>
      <c r="T950" s="27"/>
      <c r="U950" s="27"/>
      <c r="V950" s="27"/>
      <c r="W950" s="27"/>
      <c r="X950" s="27"/>
      <c r="Y950" s="27"/>
      <c r="Z950" s="27"/>
      <c r="AA950" s="27"/>
      <c r="AB950" s="27"/>
      <c r="AC950" s="27"/>
      <c r="AD950" s="27"/>
      <c r="AE950" s="27"/>
      <c r="AF950" s="27"/>
      <c r="AG950" s="27"/>
      <c r="AH950" s="27"/>
      <c r="AI950" s="27"/>
      <c r="AJ950" s="27"/>
    </row>
    <row r="951">
      <c r="A951" s="159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160"/>
      <c r="S951" s="160"/>
      <c r="T951" s="27"/>
      <c r="U951" s="27"/>
      <c r="V951" s="27"/>
      <c r="W951" s="27"/>
      <c r="X951" s="27"/>
      <c r="Y951" s="27"/>
      <c r="Z951" s="27"/>
      <c r="AA951" s="27"/>
      <c r="AB951" s="27"/>
      <c r="AC951" s="27"/>
      <c r="AD951" s="27"/>
      <c r="AE951" s="27"/>
      <c r="AF951" s="27"/>
      <c r="AG951" s="27"/>
      <c r="AH951" s="27"/>
      <c r="AI951" s="27"/>
      <c r="AJ951" s="27"/>
    </row>
    <row r="952">
      <c r="A952" s="159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160"/>
      <c r="S952" s="160"/>
      <c r="T952" s="27"/>
      <c r="U952" s="27"/>
      <c r="V952" s="27"/>
      <c r="W952" s="27"/>
      <c r="X952" s="27"/>
      <c r="Y952" s="27"/>
      <c r="Z952" s="27"/>
      <c r="AA952" s="27"/>
      <c r="AB952" s="27"/>
      <c r="AC952" s="27"/>
      <c r="AD952" s="27"/>
      <c r="AE952" s="27"/>
      <c r="AF952" s="27"/>
      <c r="AG952" s="27"/>
      <c r="AH952" s="27"/>
      <c r="AI952" s="27"/>
      <c r="AJ952" s="27"/>
    </row>
    <row r="953">
      <c r="A953" s="159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160"/>
      <c r="S953" s="160"/>
      <c r="T953" s="27"/>
      <c r="U953" s="27"/>
      <c r="V953" s="27"/>
      <c r="W953" s="27"/>
      <c r="X953" s="27"/>
      <c r="Y953" s="27"/>
      <c r="Z953" s="27"/>
      <c r="AA953" s="27"/>
      <c r="AB953" s="27"/>
      <c r="AC953" s="27"/>
      <c r="AD953" s="27"/>
      <c r="AE953" s="27"/>
      <c r="AF953" s="27"/>
      <c r="AG953" s="27"/>
      <c r="AH953" s="27"/>
      <c r="AI953" s="27"/>
      <c r="AJ953" s="27"/>
    </row>
    <row r="954">
      <c r="A954" s="159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160"/>
      <c r="S954" s="160"/>
      <c r="T954" s="27"/>
      <c r="U954" s="27"/>
      <c r="V954" s="27"/>
      <c r="W954" s="27"/>
      <c r="X954" s="27"/>
      <c r="Y954" s="27"/>
      <c r="Z954" s="27"/>
      <c r="AA954" s="27"/>
      <c r="AB954" s="27"/>
      <c r="AC954" s="27"/>
      <c r="AD954" s="27"/>
      <c r="AE954" s="27"/>
      <c r="AF954" s="27"/>
      <c r="AG954" s="27"/>
      <c r="AH954" s="27"/>
      <c r="AI954" s="27"/>
      <c r="AJ954" s="27"/>
    </row>
    <row r="955">
      <c r="A955" s="159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160"/>
      <c r="S955" s="160"/>
      <c r="T955" s="27"/>
      <c r="U955" s="27"/>
      <c r="V955" s="27"/>
      <c r="W955" s="27"/>
      <c r="X955" s="27"/>
      <c r="Y955" s="27"/>
      <c r="Z955" s="27"/>
      <c r="AA955" s="27"/>
      <c r="AB955" s="27"/>
      <c r="AC955" s="27"/>
      <c r="AD955" s="27"/>
      <c r="AE955" s="27"/>
      <c r="AF955" s="27"/>
      <c r="AG955" s="27"/>
      <c r="AH955" s="27"/>
      <c r="AI955" s="27"/>
      <c r="AJ955" s="27"/>
    </row>
    <row r="956">
      <c r="A956" s="159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160"/>
      <c r="S956" s="160"/>
      <c r="T956" s="27"/>
      <c r="U956" s="27"/>
      <c r="V956" s="27"/>
      <c r="W956" s="27"/>
      <c r="X956" s="27"/>
      <c r="Y956" s="27"/>
      <c r="Z956" s="27"/>
      <c r="AA956" s="27"/>
      <c r="AB956" s="27"/>
      <c r="AC956" s="27"/>
      <c r="AD956" s="27"/>
      <c r="AE956" s="27"/>
      <c r="AF956" s="27"/>
      <c r="AG956" s="27"/>
      <c r="AH956" s="27"/>
      <c r="AI956" s="27"/>
      <c r="AJ956" s="27"/>
    </row>
    <row r="957">
      <c r="A957" s="159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160"/>
      <c r="S957" s="160"/>
      <c r="T957" s="27"/>
      <c r="U957" s="27"/>
      <c r="V957" s="27"/>
      <c r="W957" s="27"/>
      <c r="X957" s="27"/>
      <c r="Y957" s="27"/>
      <c r="Z957" s="27"/>
      <c r="AA957" s="27"/>
      <c r="AB957" s="27"/>
      <c r="AC957" s="27"/>
      <c r="AD957" s="27"/>
      <c r="AE957" s="27"/>
      <c r="AF957" s="27"/>
      <c r="AG957" s="27"/>
      <c r="AH957" s="27"/>
      <c r="AI957" s="27"/>
      <c r="AJ957" s="27"/>
    </row>
    <row r="958">
      <c r="A958" s="159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160"/>
      <c r="S958" s="160"/>
      <c r="T958" s="27"/>
      <c r="U958" s="27"/>
      <c r="V958" s="27"/>
      <c r="W958" s="27"/>
      <c r="X958" s="27"/>
      <c r="Y958" s="27"/>
      <c r="Z958" s="27"/>
      <c r="AA958" s="27"/>
      <c r="AB958" s="27"/>
      <c r="AC958" s="27"/>
      <c r="AD958" s="27"/>
      <c r="AE958" s="27"/>
      <c r="AF958" s="27"/>
      <c r="AG958" s="27"/>
      <c r="AH958" s="27"/>
      <c r="AI958" s="27"/>
      <c r="AJ958" s="27"/>
    </row>
    <row r="959">
      <c r="A959" s="159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160"/>
      <c r="S959" s="160"/>
      <c r="T959" s="27"/>
      <c r="U959" s="27"/>
      <c r="V959" s="27"/>
      <c r="W959" s="27"/>
      <c r="X959" s="27"/>
      <c r="Y959" s="27"/>
      <c r="Z959" s="27"/>
      <c r="AA959" s="27"/>
      <c r="AB959" s="27"/>
      <c r="AC959" s="27"/>
      <c r="AD959" s="27"/>
      <c r="AE959" s="27"/>
      <c r="AF959" s="27"/>
      <c r="AG959" s="27"/>
      <c r="AH959" s="27"/>
      <c r="AI959" s="27"/>
      <c r="AJ959" s="27"/>
    </row>
    <row r="960">
      <c r="A960" s="159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160"/>
      <c r="S960" s="160"/>
      <c r="T960" s="27"/>
      <c r="U960" s="27"/>
      <c r="V960" s="27"/>
      <c r="W960" s="27"/>
      <c r="X960" s="27"/>
      <c r="Y960" s="27"/>
      <c r="Z960" s="27"/>
      <c r="AA960" s="27"/>
      <c r="AB960" s="27"/>
      <c r="AC960" s="27"/>
      <c r="AD960" s="27"/>
      <c r="AE960" s="27"/>
      <c r="AF960" s="27"/>
      <c r="AG960" s="27"/>
      <c r="AH960" s="27"/>
      <c r="AI960" s="27"/>
      <c r="AJ960" s="27"/>
    </row>
    <row r="961">
      <c r="A961" s="159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160"/>
      <c r="S961" s="160"/>
      <c r="T961" s="27"/>
      <c r="U961" s="27"/>
      <c r="V961" s="27"/>
      <c r="W961" s="27"/>
      <c r="X961" s="27"/>
      <c r="Y961" s="27"/>
      <c r="Z961" s="27"/>
      <c r="AA961" s="27"/>
      <c r="AB961" s="27"/>
      <c r="AC961" s="27"/>
      <c r="AD961" s="27"/>
      <c r="AE961" s="27"/>
      <c r="AF961" s="27"/>
      <c r="AG961" s="27"/>
      <c r="AH961" s="27"/>
      <c r="AI961" s="27"/>
      <c r="AJ961" s="27"/>
    </row>
    <row r="962">
      <c r="A962" s="159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160"/>
      <c r="S962" s="160"/>
      <c r="T962" s="27"/>
      <c r="U962" s="27"/>
      <c r="V962" s="27"/>
      <c r="W962" s="27"/>
      <c r="X962" s="27"/>
      <c r="Y962" s="27"/>
      <c r="Z962" s="27"/>
      <c r="AA962" s="27"/>
      <c r="AB962" s="27"/>
      <c r="AC962" s="27"/>
      <c r="AD962" s="27"/>
      <c r="AE962" s="27"/>
      <c r="AF962" s="27"/>
      <c r="AG962" s="27"/>
      <c r="AH962" s="27"/>
      <c r="AI962" s="27"/>
      <c r="AJ962" s="27"/>
    </row>
    <row r="963">
      <c r="A963" s="159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160"/>
      <c r="S963" s="160"/>
      <c r="T963" s="27"/>
      <c r="U963" s="27"/>
      <c r="V963" s="27"/>
      <c r="W963" s="27"/>
      <c r="X963" s="27"/>
      <c r="Y963" s="27"/>
      <c r="Z963" s="27"/>
      <c r="AA963" s="27"/>
      <c r="AB963" s="27"/>
      <c r="AC963" s="27"/>
      <c r="AD963" s="27"/>
      <c r="AE963" s="27"/>
      <c r="AF963" s="27"/>
      <c r="AG963" s="27"/>
      <c r="AH963" s="27"/>
      <c r="AI963" s="27"/>
      <c r="AJ963" s="27"/>
    </row>
    <row r="964">
      <c r="A964" s="159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160"/>
      <c r="S964" s="160"/>
      <c r="T964" s="27"/>
      <c r="U964" s="27"/>
      <c r="V964" s="27"/>
      <c r="W964" s="27"/>
      <c r="X964" s="27"/>
      <c r="Y964" s="27"/>
      <c r="Z964" s="27"/>
      <c r="AA964" s="27"/>
      <c r="AB964" s="27"/>
      <c r="AC964" s="27"/>
      <c r="AD964" s="27"/>
      <c r="AE964" s="27"/>
      <c r="AF964" s="27"/>
      <c r="AG964" s="27"/>
      <c r="AH964" s="27"/>
      <c r="AI964" s="27"/>
      <c r="AJ964" s="27"/>
    </row>
    <row r="965">
      <c r="A965" s="159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160"/>
      <c r="S965" s="160"/>
      <c r="T965" s="27"/>
      <c r="U965" s="27"/>
      <c r="V965" s="27"/>
      <c r="W965" s="27"/>
      <c r="X965" s="27"/>
      <c r="Y965" s="27"/>
      <c r="Z965" s="27"/>
      <c r="AA965" s="27"/>
      <c r="AB965" s="27"/>
      <c r="AC965" s="27"/>
      <c r="AD965" s="27"/>
      <c r="AE965" s="27"/>
      <c r="AF965" s="27"/>
      <c r="AG965" s="27"/>
      <c r="AH965" s="27"/>
      <c r="AI965" s="27"/>
      <c r="AJ965" s="27"/>
    </row>
    <row r="966">
      <c r="A966" s="159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160"/>
      <c r="S966" s="160"/>
      <c r="T966" s="27"/>
      <c r="U966" s="27"/>
      <c r="V966" s="27"/>
      <c r="W966" s="27"/>
      <c r="X966" s="27"/>
      <c r="Y966" s="27"/>
      <c r="Z966" s="27"/>
      <c r="AA966" s="27"/>
      <c r="AB966" s="27"/>
      <c r="AC966" s="27"/>
      <c r="AD966" s="27"/>
      <c r="AE966" s="27"/>
      <c r="AF966" s="27"/>
      <c r="AG966" s="27"/>
      <c r="AH966" s="27"/>
      <c r="AI966" s="27"/>
      <c r="AJ966" s="27"/>
    </row>
    <row r="967">
      <c r="A967" s="159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160"/>
      <c r="S967" s="160"/>
      <c r="T967" s="27"/>
      <c r="U967" s="27"/>
      <c r="V967" s="27"/>
      <c r="W967" s="27"/>
      <c r="X967" s="27"/>
      <c r="Y967" s="27"/>
      <c r="Z967" s="27"/>
      <c r="AA967" s="27"/>
      <c r="AB967" s="27"/>
      <c r="AC967" s="27"/>
      <c r="AD967" s="27"/>
      <c r="AE967" s="27"/>
      <c r="AF967" s="27"/>
      <c r="AG967" s="27"/>
      <c r="AH967" s="27"/>
      <c r="AI967" s="27"/>
      <c r="AJ967" s="27"/>
    </row>
    <row r="968">
      <c r="A968" s="159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160"/>
      <c r="S968" s="160"/>
      <c r="T968" s="27"/>
      <c r="U968" s="27"/>
      <c r="V968" s="27"/>
      <c r="W968" s="27"/>
      <c r="X968" s="27"/>
      <c r="Y968" s="27"/>
      <c r="Z968" s="27"/>
      <c r="AA968" s="27"/>
      <c r="AB968" s="27"/>
      <c r="AC968" s="27"/>
      <c r="AD968" s="27"/>
      <c r="AE968" s="27"/>
      <c r="AF968" s="27"/>
      <c r="AG968" s="27"/>
      <c r="AH968" s="27"/>
      <c r="AI968" s="27"/>
      <c r="AJ968" s="27"/>
    </row>
    <row r="969">
      <c r="A969" s="159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160"/>
      <c r="S969" s="160"/>
      <c r="T969" s="27"/>
      <c r="U969" s="27"/>
      <c r="V969" s="27"/>
      <c r="W969" s="27"/>
      <c r="X969" s="27"/>
      <c r="Y969" s="27"/>
      <c r="Z969" s="27"/>
      <c r="AA969" s="27"/>
      <c r="AB969" s="27"/>
      <c r="AC969" s="27"/>
      <c r="AD969" s="27"/>
      <c r="AE969" s="27"/>
      <c r="AF969" s="27"/>
      <c r="AG969" s="27"/>
      <c r="AH969" s="27"/>
      <c r="AI969" s="27"/>
      <c r="AJ969" s="27"/>
    </row>
    <row r="970">
      <c r="A970" s="159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160"/>
      <c r="S970" s="160"/>
      <c r="T970" s="27"/>
      <c r="U970" s="27"/>
      <c r="V970" s="27"/>
      <c r="W970" s="27"/>
      <c r="X970" s="27"/>
      <c r="Y970" s="27"/>
      <c r="Z970" s="27"/>
      <c r="AA970" s="27"/>
      <c r="AB970" s="27"/>
      <c r="AC970" s="27"/>
      <c r="AD970" s="27"/>
      <c r="AE970" s="27"/>
      <c r="AF970" s="27"/>
      <c r="AG970" s="27"/>
      <c r="AH970" s="27"/>
      <c r="AI970" s="27"/>
      <c r="AJ970" s="27"/>
    </row>
    <row r="971">
      <c r="A971" s="159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160"/>
      <c r="S971" s="160"/>
      <c r="T971" s="27"/>
      <c r="U971" s="27"/>
      <c r="V971" s="27"/>
      <c r="W971" s="27"/>
      <c r="X971" s="27"/>
      <c r="Y971" s="27"/>
      <c r="Z971" s="27"/>
      <c r="AA971" s="27"/>
      <c r="AB971" s="27"/>
      <c r="AC971" s="27"/>
      <c r="AD971" s="27"/>
      <c r="AE971" s="27"/>
      <c r="AF971" s="27"/>
      <c r="AG971" s="27"/>
      <c r="AH971" s="27"/>
      <c r="AI971" s="27"/>
      <c r="AJ971" s="27"/>
    </row>
    <row r="972">
      <c r="A972" s="159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160"/>
      <c r="S972" s="160"/>
      <c r="T972" s="27"/>
      <c r="U972" s="27"/>
      <c r="V972" s="27"/>
      <c r="W972" s="27"/>
      <c r="X972" s="27"/>
      <c r="Y972" s="27"/>
      <c r="Z972" s="27"/>
      <c r="AA972" s="27"/>
      <c r="AB972" s="27"/>
      <c r="AC972" s="27"/>
      <c r="AD972" s="27"/>
      <c r="AE972" s="27"/>
      <c r="AF972" s="27"/>
      <c r="AG972" s="27"/>
      <c r="AH972" s="27"/>
      <c r="AI972" s="27"/>
      <c r="AJ972" s="27"/>
    </row>
    <row r="973">
      <c r="A973" s="159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160"/>
      <c r="S973" s="160"/>
      <c r="T973" s="27"/>
      <c r="U973" s="27"/>
      <c r="V973" s="27"/>
      <c r="W973" s="27"/>
      <c r="X973" s="27"/>
      <c r="Y973" s="27"/>
      <c r="Z973" s="27"/>
      <c r="AA973" s="27"/>
      <c r="AB973" s="27"/>
      <c r="AC973" s="27"/>
      <c r="AD973" s="27"/>
      <c r="AE973" s="27"/>
      <c r="AF973" s="27"/>
      <c r="AG973" s="27"/>
      <c r="AH973" s="27"/>
      <c r="AI973" s="27"/>
      <c r="AJ973" s="27"/>
    </row>
    <row r="974">
      <c r="A974" s="159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160"/>
      <c r="S974" s="160"/>
      <c r="T974" s="27"/>
      <c r="U974" s="27"/>
      <c r="V974" s="27"/>
      <c r="W974" s="27"/>
      <c r="X974" s="27"/>
      <c r="Y974" s="27"/>
      <c r="Z974" s="27"/>
      <c r="AA974" s="27"/>
      <c r="AB974" s="27"/>
      <c r="AC974" s="27"/>
      <c r="AD974" s="27"/>
      <c r="AE974" s="27"/>
      <c r="AF974" s="27"/>
      <c r="AG974" s="27"/>
      <c r="AH974" s="27"/>
      <c r="AI974" s="27"/>
      <c r="AJ974" s="27"/>
    </row>
    <row r="975">
      <c r="A975" s="159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160"/>
      <c r="S975" s="160"/>
      <c r="T975" s="27"/>
      <c r="U975" s="27"/>
      <c r="V975" s="27"/>
      <c r="W975" s="27"/>
      <c r="X975" s="27"/>
      <c r="Y975" s="27"/>
      <c r="Z975" s="27"/>
      <c r="AA975" s="27"/>
      <c r="AB975" s="27"/>
      <c r="AC975" s="27"/>
      <c r="AD975" s="27"/>
      <c r="AE975" s="27"/>
      <c r="AF975" s="27"/>
      <c r="AG975" s="27"/>
      <c r="AH975" s="27"/>
      <c r="AI975" s="27"/>
      <c r="AJ975" s="27"/>
    </row>
    <row r="976">
      <c r="A976" s="159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160"/>
      <c r="S976" s="160"/>
      <c r="T976" s="27"/>
      <c r="U976" s="27"/>
      <c r="V976" s="27"/>
      <c r="W976" s="27"/>
      <c r="X976" s="27"/>
      <c r="Y976" s="27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</row>
    <row r="977">
      <c r="A977" s="159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160"/>
      <c r="S977" s="160"/>
      <c r="T977" s="27"/>
      <c r="U977" s="27"/>
      <c r="V977" s="27"/>
      <c r="W977" s="27"/>
      <c r="X977" s="27"/>
      <c r="Y977" s="27"/>
      <c r="Z977" s="27"/>
      <c r="AA977" s="27"/>
      <c r="AB977" s="27"/>
      <c r="AC977" s="27"/>
      <c r="AD977" s="27"/>
      <c r="AE977" s="27"/>
      <c r="AF977" s="27"/>
      <c r="AG977" s="27"/>
      <c r="AH977" s="27"/>
      <c r="AI977" s="27"/>
      <c r="AJ977" s="27"/>
    </row>
    <row r="978">
      <c r="A978" s="159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160"/>
      <c r="S978" s="160"/>
      <c r="T978" s="27"/>
      <c r="U978" s="27"/>
      <c r="V978" s="27"/>
      <c r="W978" s="27"/>
      <c r="X978" s="27"/>
      <c r="Y978" s="27"/>
      <c r="Z978" s="27"/>
      <c r="AA978" s="27"/>
      <c r="AB978" s="27"/>
      <c r="AC978" s="27"/>
      <c r="AD978" s="27"/>
      <c r="AE978" s="27"/>
      <c r="AF978" s="27"/>
      <c r="AG978" s="27"/>
      <c r="AH978" s="27"/>
      <c r="AI978" s="27"/>
      <c r="AJ978" s="27"/>
    </row>
    <row r="979">
      <c r="A979" s="159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160"/>
      <c r="S979" s="160"/>
      <c r="T979" s="27"/>
      <c r="U979" s="27"/>
      <c r="V979" s="27"/>
      <c r="W979" s="27"/>
      <c r="X979" s="27"/>
      <c r="Y979" s="27"/>
      <c r="Z979" s="27"/>
      <c r="AA979" s="27"/>
      <c r="AB979" s="27"/>
      <c r="AC979" s="27"/>
      <c r="AD979" s="27"/>
      <c r="AE979" s="27"/>
      <c r="AF979" s="27"/>
      <c r="AG979" s="27"/>
      <c r="AH979" s="27"/>
      <c r="AI979" s="27"/>
      <c r="AJ979" s="27"/>
    </row>
    <row r="980">
      <c r="A980" s="159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160"/>
      <c r="S980" s="160"/>
      <c r="T980" s="27"/>
      <c r="U980" s="27"/>
      <c r="V980" s="27"/>
      <c r="W980" s="27"/>
      <c r="X980" s="27"/>
      <c r="Y980" s="27"/>
      <c r="Z980" s="27"/>
      <c r="AA980" s="27"/>
      <c r="AB980" s="27"/>
      <c r="AC980" s="27"/>
      <c r="AD980" s="27"/>
      <c r="AE980" s="27"/>
      <c r="AF980" s="27"/>
      <c r="AG980" s="27"/>
      <c r="AH980" s="27"/>
      <c r="AI980" s="27"/>
      <c r="AJ980" s="27"/>
    </row>
    <row r="981">
      <c r="A981" s="159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160"/>
      <c r="S981" s="160"/>
      <c r="T981" s="27"/>
      <c r="U981" s="27"/>
      <c r="V981" s="27"/>
      <c r="W981" s="27"/>
      <c r="X981" s="27"/>
      <c r="Y981" s="27"/>
      <c r="Z981" s="27"/>
      <c r="AA981" s="27"/>
      <c r="AB981" s="27"/>
      <c r="AC981" s="27"/>
      <c r="AD981" s="27"/>
      <c r="AE981" s="27"/>
      <c r="AF981" s="27"/>
      <c r="AG981" s="27"/>
      <c r="AH981" s="27"/>
      <c r="AI981" s="27"/>
      <c r="AJ981" s="27"/>
    </row>
    <row r="982">
      <c r="A982" s="159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160"/>
      <c r="S982" s="160"/>
      <c r="T982" s="27"/>
      <c r="U982" s="27"/>
      <c r="V982" s="27"/>
      <c r="W982" s="27"/>
      <c r="X982" s="27"/>
      <c r="Y982" s="27"/>
      <c r="Z982" s="27"/>
      <c r="AA982" s="27"/>
      <c r="AB982" s="27"/>
      <c r="AC982" s="27"/>
      <c r="AD982" s="27"/>
      <c r="AE982" s="27"/>
      <c r="AF982" s="27"/>
      <c r="AG982" s="27"/>
      <c r="AH982" s="27"/>
      <c r="AI982" s="27"/>
      <c r="AJ982" s="27"/>
    </row>
    <row r="983">
      <c r="A983" s="159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160"/>
      <c r="S983" s="160"/>
      <c r="T983" s="27"/>
      <c r="U983" s="27"/>
      <c r="V983" s="27"/>
      <c r="W983" s="27"/>
      <c r="X983" s="27"/>
      <c r="Y983" s="27"/>
      <c r="Z983" s="27"/>
      <c r="AA983" s="27"/>
      <c r="AB983" s="27"/>
      <c r="AC983" s="27"/>
      <c r="AD983" s="27"/>
      <c r="AE983" s="27"/>
      <c r="AF983" s="27"/>
      <c r="AG983" s="27"/>
      <c r="AH983" s="27"/>
      <c r="AI983" s="27"/>
      <c r="AJ983" s="27"/>
    </row>
    <row r="984">
      <c r="A984" s="159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160"/>
      <c r="S984" s="160"/>
      <c r="T984" s="27"/>
      <c r="U984" s="27"/>
      <c r="V984" s="27"/>
      <c r="W984" s="27"/>
      <c r="X984" s="27"/>
      <c r="Y984" s="27"/>
      <c r="Z984" s="27"/>
      <c r="AA984" s="27"/>
      <c r="AB984" s="27"/>
      <c r="AC984" s="27"/>
      <c r="AD984" s="27"/>
      <c r="AE984" s="27"/>
      <c r="AF984" s="27"/>
      <c r="AG984" s="27"/>
      <c r="AH984" s="27"/>
      <c r="AI984" s="27"/>
      <c r="AJ984" s="27"/>
    </row>
    <row r="985">
      <c r="A985" s="159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160"/>
      <c r="S985" s="160"/>
      <c r="T985" s="27"/>
      <c r="U985" s="27"/>
      <c r="V985" s="27"/>
      <c r="W985" s="27"/>
      <c r="X985" s="27"/>
      <c r="Y985" s="27"/>
      <c r="Z985" s="27"/>
      <c r="AA985" s="27"/>
      <c r="AB985" s="27"/>
      <c r="AC985" s="27"/>
      <c r="AD985" s="27"/>
      <c r="AE985" s="27"/>
      <c r="AF985" s="27"/>
      <c r="AG985" s="27"/>
      <c r="AH985" s="27"/>
      <c r="AI985" s="27"/>
      <c r="AJ985" s="27"/>
    </row>
    <row r="986">
      <c r="A986" s="159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160"/>
      <c r="S986" s="160"/>
      <c r="T986" s="27"/>
      <c r="U986" s="27"/>
      <c r="V986" s="27"/>
      <c r="W986" s="27"/>
      <c r="X986" s="27"/>
      <c r="Y986" s="27"/>
      <c r="Z986" s="27"/>
      <c r="AA986" s="27"/>
      <c r="AB986" s="27"/>
      <c r="AC986" s="27"/>
      <c r="AD986" s="27"/>
      <c r="AE986" s="27"/>
      <c r="AF986" s="27"/>
      <c r="AG986" s="27"/>
      <c r="AH986" s="27"/>
      <c r="AI986" s="27"/>
      <c r="AJ986" s="27"/>
    </row>
    <row r="987">
      <c r="A987" s="159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160"/>
      <c r="S987" s="160"/>
      <c r="T987" s="27"/>
      <c r="U987" s="27"/>
      <c r="V987" s="27"/>
      <c r="W987" s="27"/>
      <c r="X987" s="27"/>
      <c r="Y987" s="27"/>
      <c r="Z987" s="27"/>
      <c r="AA987" s="27"/>
      <c r="AB987" s="27"/>
      <c r="AC987" s="27"/>
      <c r="AD987" s="27"/>
      <c r="AE987" s="27"/>
      <c r="AF987" s="27"/>
      <c r="AG987" s="27"/>
      <c r="AH987" s="27"/>
      <c r="AI987" s="27"/>
      <c r="AJ987" s="27"/>
    </row>
    <row r="988">
      <c r="A988" s="159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160"/>
      <c r="S988" s="160"/>
      <c r="T988" s="27"/>
      <c r="U988" s="27"/>
      <c r="V988" s="27"/>
      <c r="W988" s="27"/>
      <c r="X988" s="27"/>
      <c r="Y988" s="27"/>
      <c r="Z988" s="27"/>
      <c r="AA988" s="27"/>
      <c r="AB988" s="27"/>
      <c r="AC988" s="27"/>
      <c r="AD988" s="27"/>
      <c r="AE988" s="27"/>
      <c r="AF988" s="27"/>
      <c r="AG988" s="27"/>
      <c r="AH988" s="27"/>
      <c r="AI988" s="27"/>
      <c r="AJ988" s="27"/>
    </row>
    <row r="989">
      <c r="A989" s="159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160"/>
      <c r="S989" s="160"/>
      <c r="T989" s="27"/>
      <c r="U989" s="27"/>
      <c r="V989" s="27"/>
      <c r="W989" s="27"/>
      <c r="X989" s="27"/>
      <c r="Y989" s="27"/>
      <c r="Z989" s="27"/>
      <c r="AA989" s="27"/>
      <c r="AB989" s="27"/>
      <c r="AC989" s="27"/>
      <c r="AD989" s="27"/>
      <c r="AE989" s="27"/>
      <c r="AF989" s="27"/>
      <c r="AG989" s="27"/>
      <c r="AH989" s="27"/>
      <c r="AI989" s="27"/>
      <c r="AJ989" s="27"/>
    </row>
    <row r="990">
      <c r="A990" s="159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160"/>
      <c r="S990" s="160"/>
      <c r="T990" s="27"/>
      <c r="U990" s="27"/>
      <c r="V990" s="27"/>
      <c r="W990" s="27"/>
      <c r="X990" s="27"/>
      <c r="Y990" s="27"/>
      <c r="Z990" s="27"/>
      <c r="AA990" s="27"/>
      <c r="AB990" s="27"/>
      <c r="AC990" s="27"/>
      <c r="AD990" s="27"/>
      <c r="AE990" s="27"/>
      <c r="AF990" s="27"/>
      <c r="AG990" s="27"/>
      <c r="AH990" s="27"/>
      <c r="AI990" s="27"/>
      <c r="AJ990" s="27"/>
    </row>
    <row r="991">
      <c r="A991" s="159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160"/>
      <c r="S991" s="160"/>
      <c r="T991" s="27"/>
      <c r="U991" s="27"/>
      <c r="V991" s="27"/>
      <c r="W991" s="27"/>
      <c r="X991" s="27"/>
      <c r="Y991" s="27"/>
      <c r="Z991" s="27"/>
      <c r="AA991" s="27"/>
      <c r="AB991" s="27"/>
      <c r="AC991" s="27"/>
      <c r="AD991" s="27"/>
      <c r="AE991" s="27"/>
      <c r="AF991" s="27"/>
      <c r="AG991" s="27"/>
      <c r="AH991" s="27"/>
      <c r="AI991" s="27"/>
      <c r="AJ991" s="27"/>
    </row>
    <row r="992">
      <c r="A992" s="159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160"/>
      <c r="S992" s="160"/>
      <c r="T992" s="27"/>
      <c r="U992" s="27"/>
      <c r="V992" s="27"/>
      <c r="W992" s="27"/>
      <c r="X992" s="27"/>
      <c r="Y992" s="27"/>
      <c r="Z992" s="27"/>
      <c r="AA992" s="27"/>
      <c r="AB992" s="27"/>
      <c r="AC992" s="27"/>
      <c r="AD992" s="27"/>
      <c r="AE992" s="27"/>
      <c r="AF992" s="27"/>
      <c r="AG992" s="27"/>
      <c r="AH992" s="27"/>
      <c r="AI992" s="27"/>
      <c r="AJ992" s="27"/>
    </row>
    <row r="993">
      <c r="A993" s="159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160"/>
      <c r="S993" s="160"/>
      <c r="T993" s="27"/>
      <c r="U993" s="27"/>
      <c r="V993" s="27"/>
      <c r="W993" s="27"/>
      <c r="X993" s="27"/>
      <c r="Y993" s="27"/>
      <c r="Z993" s="27"/>
      <c r="AA993" s="27"/>
      <c r="AB993" s="27"/>
      <c r="AC993" s="27"/>
      <c r="AD993" s="27"/>
      <c r="AE993" s="27"/>
      <c r="AF993" s="27"/>
      <c r="AG993" s="27"/>
      <c r="AH993" s="27"/>
      <c r="AI993" s="27"/>
      <c r="AJ993" s="27"/>
    </row>
    <row r="994">
      <c r="A994" s="159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160"/>
      <c r="S994" s="160"/>
      <c r="T994" s="27"/>
      <c r="U994" s="27"/>
      <c r="V994" s="27"/>
      <c r="W994" s="27"/>
      <c r="X994" s="27"/>
      <c r="Y994" s="27"/>
      <c r="Z994" s="27"/>
      <c r="AA994" s="27"/>
      <c r="AB994" s="27"/>
      <c r="AC994" s="27"/>
      <c r="AD994" s="27"/>
      <c r="AE994" s="27"/>
      <c r="AF994" s="27"/>
      <c r="AG994" s="27"/>
      <c r="AH994" s="27"/>
      <c r="AI994" s="27"/>
      <c r="AJ994" s="27"/>
    </row>
    <row r="995">
      <c r="A995" s="159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160"/>
      <c r="S995" s="160"/>
      <c r="T995" s="27"/>
      <c r="U995" s="27"/>
      <c r="V995" s="27"/>
      <c r="W995" s="27"/>
      <c r="X995" s="27"/>
      <c r="Y995" s="27"/>
      <c r="Z995" s="27"/>
      <c r="AA995" s="27"/>
      <c r="AB995" s="27"/>
      <c r="AC995" s="27"/>
      <c r="AD995" s="27"/>
      <c r="AE995" s="27"/>
      <c r="AF995" s="27"/>
      <c r="AG995" s="27"/>
      <c r="AH995" s="27"/>
      <c r="AI995" s="27"/>
      <c r="AJ995" s="27"/>
    </row>
    <row r="996">
      <c r="A996" s="159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160"/>
      <c r="S996" s="160"/>
      <c r="T996" s="27"/>
      <c r="U996" s="27"/>
      <c r="V996" s="27"/>
      <c r="W996" s="27"/>
      <c r="X996" s="27"/>
      <c r="Y996" s="27"/>
      <c r="Z996" s="27"/>
      <c r="AA996" s="27"/>
      <c r="AB996" s="27"/>
      <c r="AC996" s="27"/>
      <c r="AD996" s="27"/>
      <c r="AE996" s="27"/>
      <c r="AF996" s="27"/>
      <c r="AG996" s="27"/>
      <c r="AH996" s="27"/>
      <c r="AI996" s="27"/>
      <c r="AJ996" s="27"/>
    </row>
    <row r="997">
      <c r="A997" s="159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160"/>
      <c r="S997" s="160"/>
      <c r="T997" s="27"/>
      <c r="U997" s="27"/>
      <c r="V997" s="27"/>
      <c r="W997" s="27"/>
      <c r="X997" s="27"/>
      <c r="Y997" s="27"/>
      <c r="Z997" s="27"/>
      <c r="AA997" s="27"/>
      <c r="AB997" s="27"/>
      <c r="AC997" s="27"/>
      <c r="AD997" s="27"/>
      <c r="AE997" s="27"/>
      <c r="AF997" s="27"/>
      <c r="AG997" s="27"/>
      <c r="AH997" s="27"/>
      <c r="AI997" s="27"/>
      <c r="AJ997" s="27"/>
    </row>
    <row r="998">
      <c r="A998" s="159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160"/>
      <c r="S998" s="160"/>
      <c r="T998" s="27"/>
      <c r="U998" s="27"/>
      <c r="V998" s="27"/>
      <c r="W998" s="27"/>
      <c r="X998" s="27"/>
      <c r="Y998" s="27"/>
      <c r="Z998" s="27"/>
      <c r="AA998" s="27"/>
      <c r="AB998" s="27"/>
      <c r="AC998" s="27"/>
      <c r="AD998" s="27"/>
      <c r="AE998" s="27"/>
      <c r="AF998" s="27"/>
      <c r="AG998" s="27"/>
      <c r="AH998" s="27"/>
      <c r="AI998" s="27"/>
      <c r="AJ998" s="27"/>
    </row>
    <row r="999">
      <c r="A999" s="159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160"/>
      <c r="S999" s="160"/>
      <c r="T999" s="27"/>
      <c r="U999" s="27"/>
      <c r="V999" s="27"/>
      <c r="W999" s="27"/>
      <c r="X999" s="27"/>
      <c r="Y999" s="27"/>
      <c r="Z999" s="27"/>
      <c r="AA999" s="27"/>
      <c r="AB999" s="27"/>
      <c r="AC999" s="27"/>
      <c r="AD999" s="27"/>
      <c r="AE999" s="27"/>
      <c r="AF999" s="27"/>
      <c r="AG999" s="27"/>
      <c r="AH999" s="27"/>
      <c r="AI999" s="27"/>
      <c r="AJ999" s="27"/>
    </row>
  </sheetData>
  <mergeCells count="5">
    <mergeCell ref="B1:S1"/>
    <mergeCell ref="B2:K2"/>
    <mergeCell ref="L2:O3"/>
    <mergeCell ref="P2:S3"/>
    <mergeCell ref="C3:I3"/>
  </mergeCells>
  <conditionalFormatting sqref="R5:S57">
    <cfRule type="containsText" dxfId="3" priority="1" operator="containsText" text="RED">
      <formula>NOT(ISERROR(SEARCH(("RED"),(R5))))</formula>
    </cfRule>
  </conditionalFormatting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2.63" defaultRowHeight="15.75"/>
  <sheetData>
    <row r="2">
      <c r="B2" s="81"/>
      <c r="C2" s="82"/>
      <c r="D2" s="83" t="s">
        <v>161</v>
      </c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48"/>
    </row>
    <row r="3">
      <c r="B3" s="84"/>
      <c r="C3" s="85"/>
      <c r="D3" s="86" t="s">
        <v>164</v>
      </c>
      <c r="E3" s="36"/>
      <c r="F3" s="36"/>
      <c r="G3" s="36"/>
      <c r="H3" s="36"/>
      <c r="I3" s="36"/>
      <c r="J3" s="36"/>
      <c r="K3" s="36"/>
      <c r="L3" s="36"/>
      <c r="M3" s="39"/>
      <c r="N3" s="41" t="s">
        <v>166</v>
      </c>
      <c r="O3" s="43"/>
      <c r="P3" s="43"/>
      <c r="Q3" s="43"/>
      <c r="R3" s="44"/>
      <c r="S3" s="41" t="s">
        <v>46</v>
      </c>
      <c r="T3" s="43"/>
      <c r="U3" s="43"/>
      <c r="V3" s="43"/>
      <c r="W3" s="87"/>
    </row>
    <row r="4">
      <c r="B4" s="88"/>
      <c r="C4" s="89"/>
      <c r="D4" s="90"/>
      <c r="E4" s="47" t="s">
        <v>51</v>
      </c>
      <c r="F4" s="36"/>
      <c r="G4" s="36"/>
      <c r="H4" s="36"/>
      <c r="I4" s="36"/>
      <c r="J4" s="36"/>
      <c r="K4" s="48"/>
      <c r="L4" s="91"/>
      <c r="M4" s="50"/>
      <c r="N4" s="51"/>
      <c r="O4" s="51"/>
      <c r="P4" s="51"/>
      <c r="Q4" s="51"/>
      <c r="R4" s="52"/>
      <c r="S4" s="51"/>
      <c r="T4" s="51"/>
      <c r="U4" s="51"/>
      <c r="V4" s="51"/>
      <c r="W4" s="92"/>
    </row>
    <row r="5">
      <c r="B5" s="93" t="s">
        <v>172</v>
      </c>
      <c r="C5" s="93" t="s">
        <v>61</v>
      </c>
      <c r="D5" s="61" t="s">
        <v>174</v>
      </c>
      <c r="E5" s="56" t="s">
        <v>66</v>
      </c>
      <c r="F5" s="56" t="s">
        <v>69</v>
      </c>
      <c r="G5" s="56" t="s">
        <v>70</v>
      </c>
      <c r="H5" s="56" t="s">
        <v>71</v>
      </c>
      <c r="I5" s="56" t="s">
        <v>72</v>
      </c>
      <c r="J5" s="56" t="s">
        <v>74</v>
      </c>
      <c r="K5" s="57" t="s">
        <v>75</v>
      </c>
      <c r="L5" s="96" t="s">
        <v>78</v>
      </c>
      <c r="M5" s="59" t="s">
        <v>177</v>
      </c>
      <c r="N5" s="97" t="s">
        <v>83</v>
      </c>
      <c r="O5" s="97" t="s">
        <v>179</v>
      </c>
      <c r="P5" s="61" t="s">
        <v>84</v>
      </c>
      <c r="Q5" s="98" t="s">
        <v>86</v>
      </c>
      <c r="R5" s="59" t="s">
        <v>89</v>
      </c>
      <c r="S5" s="63" t="s">
        <v>90</v>
      </c>
      <c r="T5" s="61" t="s">
        <v>92</v>
      </c>
      <c r="U5" s="100" t="s">
        <v>97</v>
      </c>
      <c r="V5" s="101" t="s">
        <v>180</v>
      </c>
      <c r="W5" s="101" t="s">
        <v>181</v>
      </c>
    </row>
    <row r="6">
      <c r="A6" s="103">
        <v>1.0</v>
      </c>
      <c r="B6" s="104" t="s">
        <v>183</v>
      </c>
      <c r="C6" s="106" t="s">
        <v>184</v>
      </c>
      <c r="D6" s="109">
        <f>California!B$21</f>
        <v>10014009</v>
      </c>
      <c r="E6" s="110">
        <f>California!C$21</f>
        <v>15018</v>
      </c>
      <c r="F6" s="27" t="str">
        <f>California!D$21</f>
        <v>NULL</v>
      </c>
      <c r="G6" s="110">
        <f>California!E$21</f>
        <v>6150</v>
      </c>
      <c r="H6" s="110">
        <f>California!F$21</f>
        <v>6029</v>
      </c>
      <c r="I6" s="27" t="str">
        <f>California!G$21</f>
        <v>NULL</v>
      </c>
      <c r="J6" s="27" t="str">
        <f>California!H$21</f>
        <v>NULL</v>
      </c>
      <c r="K6" s="113">
        <f>California!I$21</f>
        <v>3563</v>
      </c>
      <c r="L6" s="27" t="str">
        <f>California!J$21</f>
        <v>NULL</v>
      </c>
      <c r="M6" s="114">
        <f>California!K$21</f>
        <v>0.4816819317</v>
      </c>
      <c r="N6" s="27" t="str">
        <f t="array" ref="N6:Q6">VLOOKUP($B6,'CarePortal - Audrey'!$A$2:$T$166,{8,17,18,20},FALSE)</f>
        <v>#REF!</v>
      </c>
      <c r="O6" s="27" t="e">
        <v>#REF!</v>
      </c>
      <c r="P6" s="27" t="e">
        <v>#REF!</v>
      </c>
      <c r="Q6" s="27" t="e">
        <v>#REF!</v>
      </c>
      <c r="R6" s="115" t="str">
        <f t="shared" ref="R6:W6" si="1">#REF!</f>
        <v>#REF!</v>
      </c>
      <c r="S6" s="27" t="str">
        <f t="shared" si="1"/>
        <v>#REF!</v>
      </c>
      <c r="T6" s="27" t="str">
        <f t="shared" si="1"/>
        <v>#REF!</v>
      </c>
      <c r="U6" s="27" t="str">
        <f t="shared" si="1"/>
        <v>#REF!</v>
      </c>
      <c r="V6" s="27" t="str">
        <f t="shared" si="1"/>
        <v>#REF!</v>
      </c>
      <c r="W6" s="116" t="str">
        <f t="shared" si="1"/>
        <v>#REF!</v>
      </c>
    </row>
    <row r="7">
      <c r="A7" s="103">
        <v>2.0</v>
      </c>
      <c r="B7" s="104" t="s">
        <v>202</v>
      </c>
      <c r="C7" s="85" t="s">
        <v>203</v>
      </c>
      <c r="D7" s="109">
        <f>Illinois!B$18</f>
        <v>5275541</v>
      </c>
      <c r="E7" s="27">
        <f>Illinois!C$18</f>
        <v>2458</v>
      </c>
      <c r="F7" s="27" t="str">
        <f>Illinois!D$18</f>
        <v>NULL</v>
      </c>
      <c r="G7" s="27">
        <f>Illinois!E$18</f>
        <v>1044</v>
      </c>
      <c r="H7" s="27">
        <f>Illinois!F$18</f>
        <v>1191</v>
      </c>
      <c r="I7" s="27" t="str">
        <f>Illinois!G$18</f>
        <v>NULL</v>
      </c>
      <c r="J7" s="27">
        <f>Illinois!H$18</f>
        <v>1282</v>
      </c>
      <c r="K7" s="27">
        <f>Illinois!I$18</f>
        <v>169</v>
      </c>
      <c r="L7" s="27" t="str">
        <f>Illinois!J$18</f>
        <v>NULL</v>
      </c>
      <c r="M7" s="115" t="str">
        <f>Illinois!K$18</f>
        <v>NULL</v>
      </c>
      <c r="N7" s="27" t="str">
        <f t="array" ref="N7:Q7">VLOOKUP($B7,'CarePortal - Audrey'!$A$2:$T$166,{8,17,18,20},FALSE)</f>
        <v>#REF!</v>
      </c>
      <c r="O7" s="27" t="e">
        <v>#REF!</v>
      </c>
      <c r="P7" s="27" t="e">
        <v>#REF!</v>
      </c>
      <c r="Q7" s="27" t="e">
        <v>#REF!</v>
      </c>
      <c r="R7" s="115" t="str">
        <f t="shared" ref="R7:W7" si="2">#REF!</f>
        <v>#REF!</v>
      </c>
      <c r="S7" s="27" t="str">
        <f t="shared" si="2"/>
        <v>#REF!</v>
      </c>
      <c r="T7" s="27" t="str">
        <f t="shared" si="2"/>
        <v>#REF!</v>
      </c>
      <c r="U7" s="27" t="str">
        <f t="shared" si="2"/>
        <v>#REF!</v>
      </c>
      <c r="V7" s="27" t="str">
        <f t="shared" si="2"/>
        <v>#REF!</v>
      </c>
      <c r="W7" s="116" t="str">
        <f t="shared" si="2"/>
        <v>#REF!</v>
      </c>
    </row>
    <row r="8">
      <c r="A8" s="103">
        <v>3.0</v>
      </c>
      <c r="B8" s="104" t="s">
        <v>218</v>
      </c>
      <c r="C8" s="85" t="s">
        <v>219</v>
      </c>
      <c r="D8" s="27" t="str">
        <f t="shared" ref="D8:M8" si="3">#REF!</f>
        <v>#REF!</v>
      </c>
      <c r="E8" s="27" t="str">
        <f t="shared" si="3"/>
        <v>#REF!</v>
      </c>
      <c r="F8" s="27" t="str">
        <f t="shared" si="3"/>
        <v>#REF!</v>
      </c>
      <c r="G8" s="27" t="str">
        <f t="shared" si="3"/>
        <v>#REF!</v>
      </c>
      <c r="H8" s="27" t="str">
        <f t="shared" si="3"/>
        <v>#REF!</v>
      </c>
      <c r="I8" s="27" t="str">
        <f t="shared" si="3"/>
        <v>#REF!</v>
      </c>
      <c r="J8" s="27" t="str">
        <f t="shared" si="3"/>
        <v>#REF!</v>
      </c>
      <c r="K8" s="27" t="str">
        <f t="shared" si="3"/>
        <v>#REF!</v>
      </c>
      <c r="L8" s="27" t="str">
        <f t="shared" si="3"/>
        <v>#REF!</v>
      </c>
      <c r="M8" s="115" t="str">
        <f t="shared" si="3"/>
        <v>#REF!</v>
      </c>
      <c r="N8" s="27" t="str">
        <f t="array" ref="N8:Q8">VLOOKUP($B8,'CarePortal - Audrey'!$A$2:$T$166,{8,17,18,20},FALSE)</f>
        <v>#REF!</v>
      </c>
      <c r="O8" s="27" t="e">
        <v>#REF!</v>
      </c>
      <c r="P8" s="27" t="e">
        <v>#REF!</v>
      </c>
      <c r="Q8" s="27" t="e">
        <v>#REF!</v>
      </c>
      <c r="R8" s="115" t="str">
        <f t="shared" ref="R8:W8" si="4">#REF!</f>
        <v>#REF!</v>
      </c>
      <c r="S8" s="27" t="str">
        <f t="shared" si="4"/>
        <v>#REF!</v>
      </c>
      <c r="T8" s="27" t="str">
        <f t="shared" si="4"/>
        <v>#REF!</v>
      </c>
      <c r="U8" s="27" t="str">
        <f t="shared" si="4"/>
        <v>#REF!</v>
      </c>
      <c r="V8" s="27" t="str">
        <f t="shared" si="4"/>
        <v>#REF!</v>
      </c>
      <c r="W8" s="116" t="str">
        <f t="shared" si="4"/>
        <v>#REF!</v>
      </c>
    </row>
    <row r="9">
      <c r="A9" s="103">
        <v>4.0</v>
      </c>
      <c r="B9" s="104" t="s">
        <v>225</v>
      </c>
      <c r="C9" s="106" t="s">
        <v>217</v>
      </c>
      <c r="D9" s="109">
        <f>Arizona!B$10</f>
        <v>4420568</v>
      </c>
      <c r="E9" s="110">
        <f>Arizona!C$10</f>
        <v>5184</v>
      </c>
      <c r="F9" s="27" t="str">
        <f>Arizona!D$10</f>
        <v>NULL</v>
      </c>
      <c r="G9" s="27" t="str">
        <f>Arizona!E$10</f>
        <v>NULL</v>
      </c>
      <c r="H9" s="27" t="str">
        <f>Arizona!F$10</f>
        <v>NULL</v>
      </c>
      <c r="I9" s="27" t="str">
        <f>Arizona!G$10</f>
        <v>NULL</v>
      </c>
      <c r="J9" s="27" t="str">
        <f>Arizona!H$10</f>
        <v>NULL</v>
      </c>
      <c r="K9" s="27" t="str">
        <f>Arizona!I$10</f>
        <v>NULL</v>
      </c>
      <c r="L9" s="27" t="str">
        <f>Arizona!J$10</f>
        <v>NULL</v>
      </c>
      <c r="M9" s="115" t="str">
        <f>Arizona!K$10</f>
        <v>NULL</v>
      </c>
      <c r="N9" s="27" t="str">
        <f t="array" ref="N9:Q9">VLOOKUP($B9,'CarePortal - Audrey'!$A$2:$T$166,{8,17,18,20},FALSE)</f>
        <v>#REF!</v>
      </c>
      <c r="O9" s="27" t="e">
        <v>#REF!</v>
      </c>
      <c r="P9" s="27" t="e">
        <v>#REF!</v>
      </c>
      <c r="Q9" s="27" t="e">
        <v>#REF!</v>
      </c>
      <c r="R9" s="115" t="str">
        <f t="shared" ref="R9:W9" si="5">#REF!</f>
        <v>#REF!</v>
      </c>
      <c r="S9" s="27" t="str">
        <f t="shared" si="5"/>
        <v>#REF!</v>
      </c>
      <c r="T9" s="27" t="str">
        <f t="shared" si="5"/>
        <v>#REF!</v>
      </c>
      <c r="U9" s="27" t="str">
        <f t="shared" si="5"/>
        <v>#REF!</v>
      </c>
      <c r="V9" s="27" t="str">
        <f t="shared" si="5"/>
        <v>#REF!</v>
      </c>
      <c r="W9" s="116" t="str">
        <f t="shared" si="5"/>
        <v>#REF!</v>
      </c>
    </row>
    <row r="10">
      <c r="A10" s="103">
        <v>5.0</v>
      </c>
      <c r="B10" s="104" t="s">
        <v>239</v>
      </c>
      <c r="C10" s="106" t="s">
        <v>184</v>
      </c>
      <c r="D10" s="109">
        <f>California!B$39</f>
        <v>3298634</v>
      </c>
      <c r="E10" s="110">
        <f>California!C$39</f>
        <v>1655</v>
      </c>
      <c r="F10" s="27" t="str">
        <f>California!D$39</f>
        <v>NULL</v>
      </c>
      <c r="G10" s="27">
        <f>California!E$39</f>
        <v>636</v>
      </c>
      <c r="H10" s="27">
        <f>California!F$39</f>
        <v>587</v>
      </c>
      <c r="I10" s="27" t="str">
        <f>California!G$39</f>
        <v>NULL</v>
      </c>
      <c r="J10" s="27" t="str">
        <f>California!H$39</f>
        <v>NULL</v>
      </c>
      <c r="K10" s="113">
        <f>California!I$39</f>
        <v>192</v>
      </c>
      <c r="L10" s="27" t="str">
        <f>California!J$39</f>
        <v>NULL</v>
      </c>
      <c r="M10" s="114">
        <f>California!K$39</f>
        <v>0.4560546875</v>
      </c>
      <c r="N10" s="27" t="str">
        <f t="array" ref="N10:Q10">VLOOKUP($B10,'CarePortal - Audrey'!$A$2:$T$166,{8,17,18,20},FALSE)</f>
        <v>#REF!</v>
      </c>
      <c r="O10" s="27" t="e">
        <v>#REF!</v>
      </c>
      <c r="P10" s="27" t="e">
        <v>#REF!</v>
      </c>
      <c r="Q10" s="27" t="e">
        <v>#REF!</v>
      </c>
      <c r="R10" s="115" t="str">
        <f t="shared" ref="R10:W10" si="6">#REF!</f>
        <v>#REF!</v>
      </c>
      <c r="S10" s="27" t="str">
        <f t="shared" si="6"/>
        <v>#REF!</v>
      </c>
      <c r="T10" s="27" t="str">
        <f t="shared" si="6"/>
        <v>#REF!</v>
      </c>
      <c r="U10" s="27" t="str">
        <f t="shared" si="6"/>
        <v>#REF!</v>
      </c>
      <c r="V10" s="27" t="str">
        <f t="shared" si="6"/>
        <v>#REF!</v>
      </c>
      <c r="W10" s="116" t="str">
        <f t="shared" si="6"/>
        <v>#REF!</v>
      </c>
    </row>
    <row r="11">
      <c r="A11" s="103">
        <v>6.0</v>
      </c>
      <c r="B11" s="104" t="s">
        <v>241</v>
      </c>
      <c r="C11" s="106" t="s">
        <v>184</v>
      </c>
      <c r="D11" s="109">
        <f>California!B$32</f>
        <v>3186989</v>
      </c>
      <c r="E11" s="110">
        <f>California!C$32</f>
        <v>2205</v>
      </c>
      <c r="F11" s="27" t="str">
        <f>California!D$32</f>
        <v>NULL</v>
      </c>
      <c r="G11" s="27">
        <f>California!E$32</f>
        <v>543</v>
      </c>
      <c r="H11" s="110">
        <f>California!F$32</f>
        <v>1107</v>
      </c>
      <c r="I11" s="27" t="str">
        <f>California!G$32</f>
        <v>NULL</v>
      </c>
      <c r="J11" s="27" t="str">
        <f>California!H$32</f>
        <v>NULL</v>
      </c>
      <c r="K11" s="113">
        <f>California!I$32</f>
        <v>344</v>
      </c>
      <c r="L11" s="27" t="str">
        <f>California!J$32</f>
        <v>NULL</v>
      </c>
      <c r="M11" s="114">
        <f>California!K$32</f>
        <v>0.5245769541</v>
      </c>
      <c r="N11" s="27" t="str">
        <f t="array" ref="N11:Q11">VLOOKUP($B11,'CarePortal - Audrey'!$A$2:$T$166,{8,17,18,20},FALSE)</f>
        <v>#REF!</v>
      </c>
      <c r="O11" s="27" t="e">
        <v>#REF!</v>
      </c>
      <c r="P11" s="27" t="e">
        <v>#REF!</v>
      </c>
      <c r="Q11" s="27" t="e">
        <v>#REF!</v>
      </c>
      <c r="R11" s="115" t="str">
        <f t="shared" ref="R11:W11" si="7">#REF!</f>
        <v>#REF!</v>
      </c>
      <c r="S11" s="27" t="str">
        <f t="shared" si="7"/>
        <v>#REF!</v>
      </c>
      <c r="T11" s="27" t="str">
        <f t="shared" si="7"/>
        <v>#REF!</v>
      </c>
      <c r="U11" s="27" t="str">
        <f t="shared" si="7"/>
        <v>#REF!</v>
      </c>
      <c r="V11" s="27" t="str">
        <f t="shared" si="7"/>
        <v>#REF!</v>
      </c>
      <c r="W11" s="116" t="str">
        <f t="shared" si="7"/>
        <v>#REF!</v>
      </c>
    </row>
    <row r="12">
      <c r="A12" s="103">
        <v>7.0</v>
      </c>
      <c r="B12" s="104" t="s">
        <v>244</v>
      </c>
      <c r="C12" s="85" t="s">
        <v>245</v>
      </c>
      <c r="D12" s="109">
        <f>Florida!B$45</f>
        <v>2701767</v>
      </c>
      <c r="E12" s="110">
        <f>Florida!C$45</f>
        <v>1338</v>
      </c>
      <c r="F12" s="27" t="str">
        <f>Florida!D$45</f>
        <v>NULL</v>
      </c>
      <c r="G12" s="110">
        <f>Florida!E$45</f>
        <v>709</v>
      </c>
      <c r="H12" s="110">
        <f>Florida!F$45</f>
        <v>348</v>
      </c>
      <c r="I12" s="27" t="str">
        <f>Florida!G$45</f>
        <v>NULL</v>
      </c>
      <c r="J12" s="27" t="str">
        <f>Florida!H$45</f>
        <v>NULL</v>
      </c>
      <c r="K12" s="27" t="str">
        <f>Florida!I$45</f>
        <v>NULL</v>
      </c>
      <c r="L12" s="126" t="str">
        <f>Florida!J$45</f>
        <v>NULL</v>
      </c>
      <c r="M12" s="114">
        <f>Florida!K$45</f>
        <v>0.6579925651</v>
      </c>
      <c r="N12" s="27" t="str">
        <f t="array" ref="N12:Q12">VLOOKUP($B12,'CarePortal - Audrey'!$A$2:$T$166,{8,17,18,20},FALSE)</f>
        <v>#REF!</v>
      </c>
      <c r="O12" s="27" t="e">
        <v>#REF!</v>
      </c>
      <c r="P12" s="27" t="e">
        <v>#REF!</v>
      </c>
      <c r="Q12" s="27" t="e">
        <v>#REF!</v>
      </c>
      <c r="R12" s="115" t="str">
        <f t="shared" ref="R12:W12" si="8">#REF!</f>
        <v>#REF!</v>
      </c>
      <c r="S12" s="27" t="str">
        <f t="shared" si="8"/>
        <v>#REF!</v>
      </c>
      <c r="T12" s="27" t="str">
        <f t="shared" si="8"/>
        <v>#REF!</v>
      </c>
      <c r="U12" s="27" t="str">
        <f t="shared" si="8"/>
        <v>#REF!</v>
      </c>
      <c r="V12" s="27" t="str">
        <f t="shared" si="8"/>
        <v>#REF!</v>
      </c>
      <c r="W12" s="116" t="str">
        <f t="shared" si="8"/>
        <v>#REF!</v>
      </c>
    </row>
    <row r="13">
      <c r="A13" s="103">
        <v>8.0</v>
      </c>
      <c r="B13" s="104" t="s">
        <v>130</v>
      </c>
      <c r="C13" s="85" t="s">
        <v>219</v>
      </c>
      <c r="D13" s="109">
        <f>Texas!B$254</f>
        <v>17867</v>
      </c>
      <c r="E13" s="27">
        <f>Texas!C$254</f>
        <v>50</v>
      </c>
      <c r="F13" s="27" t="str">
        <f>Texas!D$254</f>
        <v>NULL</v>
      </c>
      <c r="G13" s="27">
        <f>Texas!E$254</f>
        <v>29</v>
      </c>
      <c r="H13" s="27">
        <f>Texas!F$254</f>
        <v>16</v>
      </c>
      <c r="I13" s="27" t="str">
        <f>Texas!G$254</f>
        <v>NULL</v>
      </c>
      <c r="J13" s="27">
        <f>Texas!H$254</f>
        <v>21</v>
      </c>
      <c r="K13" s="27">
        <f>Texas!I$254</f>
        <v>1</v>
      </c>
      <c r="L13" s="27" t="str">
        <f>Texas!J$254</f>
        <v>NULL</v>
      </c>
      <c r="M13" s="115" t="str">
        <f>Texas!K$254</f>
        <v>NULL</v>
      </c>
      <c r="N13" s="27" t="str">
        <f t="array" ref="N13:Q13">VLOOKUP($B13,'CarePortal - Audrey'!$A$2:$T$166,{8,17,18,20},FALSE)</f>
        <v>#REF!</v>
      </c>
      <c r="O13" s="27" t="e">
        <v>#REF!</v>
      </c>
      <c r="P13" s="27" t="e">
        <v>#REF!</v>
      </c>
      <c r="Q13" s="27" t="e">
        <v>#REF!</v>
      </c>
      <c r="R13" s="115" t="str">
        <f t="shared" ref="R13:W13" si="9">#REF!</f>
        <v>#REF!</v>
      </c>
      <c r="S13" s="27" t="str">
        <f t="shared" si="9"/>
        <v>#REF!</v>
      </c>
      <c r="T13" s="27" t="str">
        <f t="shared" si="9"/>
        <v>#REF!</v>
      </c>
      <c r="U13" s="27" t="str">
        <f t="shared" si="9"/>
        <v>#REF!</v>
      </c>
      <c r="V13" s="27" t="str">
        <f t="shared" si="9"/>
        <v>#REF!</v>
      </c>
      <c r="W13" s="116" t="str">
        <f t="shared" si="9"/>
        <v>#REF!</v>
      </c>
    </row>
    <row r="14">
      <c r="A14" s="103">
        <v>9.0</v>
      </c>
      <c r="B14" s="104" t="s">
        <v>249</v>
      </c>
      <c r="C14" s="85" t="s">
        <v>250</v>
      </c>
      <c r="D14" s="109">
        <f>'New York'!B$26</f>
        <v>2736074</v>
      </c>
      <c r="E14" s="27" t="str">
        <f>'New York'!C$26</f>
        <v>NULL</v>
      </c>
      <c r="F14" s="27" t="str">
        <f>'New York'!D$26</f>
        <v>NULL</v>
      </c>
      <c r="G14" s="27" t="str">
        <f>'New York'!E$26</f>
        <v>NULL</v>
      </c>
      <c r="H14" s="27" t="str">
        <f>'New York'!F$26</f>
        <v>NULL</v>
      </c>
      <c r="I14" s="27" t="str">
        <f>'New York'!G$26</f>
        <v>NULL</v>
      </c>
      <c r="J14" s="27" t="str">
        <f>'New York'!H$26</f>
        <v>NULL</v>
      </c>
      <c r="K14" s="27" t="str">
        <f>'New York'!I$26</f>
        <v>NULL</v>
      </c>
      <c r="L14" s="27" t="str">
        <f>'New York'!J$26</f>
        <v>NULL</v>
      </c>
      <c r="M14" s="115" t="str">
        <f>'New York'!K$26</f>
        <v>NULL</v>
      </c>
      <c r="N14" s="27" t="str">
        <f t="array" ref="N14:Q14">VLOOKUP($B14,'CarePortal - Audrey'!$A$2:$T$166,{8,17,18,20},FALSE)</f>
        <v>#REF!</v>
      </c>
      <c r="O14" s="27" t="e">
        <v>#REF!</v>
      </c>
      <c r="P14" s="27" t="e">
        <v>#REF!</v>
      </c>
      <c r="Q14" s="27" t="e">
        <v>#REF!</v>
      </c>
      <c r="R14" s="115" t="str">
        <f t="shared" ref="R14:W14" si="10">#REF!</f>
        <v>#REF!</v>
      </c>
      <c r="S14" s="27" t="str">
        <f t="shared" si="10"/>
        <v>#REF!</v>
      </c>
      <c r="T14" s="27" t="str">
        <f t="shared" si="10"/>
        <v>#REF!</v>
      </c>
      <c r="U14" s="27" t="str">
        <f t="shared" si="10"/>
        <v>#REF!</v>
      </c>
      <c r="V14" s="27" t="str">
        <f t="shared" si="10"/>
        <v>#REF!</v>
      </c>
      <c r="W14" s="116" t="str">
        <f t="shared" si="10"/>
        <v>#REF!</v>
      </c>
    </row>
    <row r="15">
      <c r="A15" s="103">
        <v>10.0</v>
      </c>
      <c r="B15" s="104" t="s">
        <v>252</v>
      </c>
      <c r="C15" s="106" t="s">
        <v>184</v>
      </c>
      <c r="D15" s="109">
        <f>California!B$35</f>
        <v>2418185</v>
      </c>
      <c r="E15" s="110">
        <f>California!C$35</f>
        <v>3119</v>
      </c>
      <c r="F15" s="27" t="str">
        <f>California!D$35</f>
        <v>NULL</v>
      </c>
      <c r="G15" s="110">
        <f>California!E$35</f>
        <v>1320</v>
      </c>
      <c r="H15" s="110">
        <f>California!F$35</f>
        <v>1177</v>
      </c>
      <c r="I15" s="27" t="str">
        <f>California!G$35</f>
        <v>NULL</v>
      </c>
      <c r="J15" s="27" t="str">
        <f>California!H$35</f>
        <v>NULL</v>
      </c>
      <c r="K15" s="113">
        <f>California!I$35</f>
        <v>357</v>
      </c>
      <c r="L15" s="27" t="str">
        <f>California!J$35</f>
        <v>NULL</v>
      </c>
      <c r="M15" s="114">
        <f>California!K$35</f>
        <v>0.526034713</v>
      </c>
      <c r="N15" s="27" t="str">
        <f t="array" ref="N15:Q15">VLOOKUP($B15,'CarePortal - Audrey'!$A$2:$T$166,{8,17,18,20},FALSE)</f>
        <v>#REF!</v>
      </c>
      <c r="O15" s="27" t="e">
        <v>#REF!</v>
      </c>
      <c r="P15" s="27" t="e">
        <v>#REF!</v>
      </c>
      <c r="Q15" s="27" t="e">
        <v>#REF!</v>
      </c>
      <c r="R15" s="115" t="str">
        <f t="shared" ref="R15:W15" si="11">#REF!</f>
        <v>#REF!</v>
      </c>
      <c r="S15" s="27" t="str">
        <f t="shared" si="11"/>
        <v>#REF!</v>
      </c>
      <c r="T15" s="27" t="str">
        <f t="shared" si="11"/>
        <v>#REF!</v>
      </c>
      <c r="U15" s="27" t="str">
        <f t="shared" si="11"/>
        <v>#REF!</v>
      </c>
      <c r="V15" s="27" t="str">
        <f t="shared" si="11"/>
        <v>#REF!</v>
      </c>
      <c r="W15" s="116" t="str">
        <f t="shared" si="11"/>
        <v>#REF!</v>
      </c>
    </row>
    <row r="16">
      <c r="A16" s="103">
        <v>11.0</v>
      </c>
      <c r="B16" s="104" t="s">
        <v>254</v>
      </c>
      <c r="C16" s="85" t="s">
        <v>250</v>
      </c>
      <c r="D16" s="109">
        <f>'New York'!B$43</f>
        <v>2405464</v>
      </c>
      <c r="E16" s="27" t="str">
        <f>'New York'!C$43</f>
        <v>NULL</v>
      </c>
      <c r="F16" s="27" t="str">
        <f>'New York'!D$43</f>
        <v>NULL</v>
      </c>
      <c r="G16" s="27" t="str">
        <f>'New York'!E$43</f>
        <v>NULL</v>
      </c>
      <c r="H16" s="27" t="str">
        <f>'New York'!F$43</f>
        <v>NULL</v>
      </c>
      <c r="I16" s="27" t="str">
        <f>'New York'!G$43</f>
        <v>NULL</v>
      </c>
      <c r="J16" s="27" t="str">
        <f>'New York'!H$43</f>
        <v>NULL</v>
      </c>
      <c r="K16" s="27" t="str">
        <f>'New York'!I$43</f>
        <v>NULL</v>
      </c>
      <c r="L16" s="27" t="str">
        <f>'New York'!J$43</f>
        <v>NULL</v>
      </c>
      <c r="M16" s="115" t="str">
        <f>'New York'!K$43</f>
        <v>NULL</v>
      </c>
      <c r="N16" s="27" t="str">
        <f t="array" ref="N16:Q16">VLOOKUP($B16,'CarePortal - Audrey'!$A$2:$T$166,{8,17,18,20},FALSE)</f>
        <v>#REF!</v>
      </c>
      <c r="O16" s="27" t="e">
        <v>#REF!</v>
      </c>
      <c r="P16" s="27" t="e">
        <v>#REF!</v>
      </c>
      <c r="Q16" s="27" t="e">
        <v>#REF!</v>
      </c>
      <c r="R16" s="115" t="str">
        <f t="shared" ref="R16:W16" si="12">#REF!</f>
        <v>#REF!</v>
      </c>
      <c r="S16" s="27" t="str">
        <f t="shared" si="12"/>
        <v>#REF!</v>
      </c>
      <c r="T16" s="27" t="str">
        <f t="shared" si="12"/>
        <v>#REF!</v>
      </c>
      <c r="U16" s="27" t="str">
        <f t="shared" si="12"/>
        <v>#REF!</v>
      </c>
      <c r="V16" s="27" t="str">
        <f t="shared" si="12"/>
        <v>#REF!</v>
      </c>
      <c r="W16" s="116" t="str">
        <f t="shared" si="12"/>
        <v>#REF!</v>
      </c>
    </row>
    <row r="17">
      <c r="A17" s="103">
        <v>12.0</v>
      </c>
      <c r="B17" s="104" t="s">
        <v>255</v>
      </c>
      <c r="C17" s="85" t="s">
        <v>256</v>
      </c>
      <c r="D17" s="109">
        <f>Washington!B$19</f>
        <v>2269675</v>
      </c>
      <c r="E17" s="27" t="str">
        <f>Washington!C$19</f>
        <v>NULL</v>
      </c>
      <c r="F17" s="27" t="str">
        <f>Washington!D$19</f>
        <v>NULL</v>
      </c>
      <c r="G17" s="27" t="str">
        <f>Washington!E$19</f>
        <v>NULL</v>
      </c>
      <c r="H17" s="27" t="str">
        <f>Washington!F$19</f>
        <v>NULL</v>
      </c>
      <c r="I17" s="27" t="str">
        <f>Washington!G$19</f>
        <v>NULL</v>
      </c>
      <c r="J17" s="27" t="str">
        <f>Washington!H$19</f>
        <v>NULL</v>
      </c>
      <c r="K17" s="27" t="str">
        <f>Washington!I$19</f>
        <v>NULL</v>
      </c>
      <c r="L17" s="27" t="str">
        <f>Washington!J$19</f>
        <v>NULL</v>
      </c>
      <c r="M17" s="115" t="str">
        <f>Washington!K$19</f>
        <v>NULL</v>
      </c>
      <c r="N17" s="27" t="str">
        <f t="array" ref="N17:Q17">VLOOKUP($B17,'CarePortal - Audrey'!$A$2:$T$166,{8,17,18,20},FALSE)</f>
        <v>#REF!</v>
      </c>
      <c r="O17" s="27" t="e">
        <v>#REF!</v>
      </c>
      <c r="P17" s="27" t="e">
        <v>#REF!</v>
      </c>
      <c r="Q17" s="27" t="e">
        <v>#REF!</v>
      </c>
      <c r="R17" s="115" t="str">
        <f t="shared" ref="R17:W17" si="13">#REF!</f>
        <v>#REF!</v>
      </c>
      <c r="S17" s="27" t="str">
        <f t="shared" si="13"/>
        <v>#REF!</v>
      </c>
      <c r="T17" s="27" t="str">
        <f t="shared" si="13"/>
        <v>#REF!</v>
      </c>
      <c r="U17" s="27" t="str">
        <f t="shared" si="13"/>
        <v>#REF!</v>
      </c>
      <c r="V17" s="27" t="str">
        <f t="shared" si="13"/>
        <v>#REF!</v>
      </c>
      <c r="W17" s="116" t="str">
        <f t="shared" si="13"/>
        <v>#REF!</v>
      </c>
    </row>
    <row r="18">
      <c r="A18" s="103">
        <v>13.0</v>
      </c>
      <c r="B18" s="104" t="s">
        <v>253</v>
      </c>
      <c r="C18" s="85" t="s">
        <v>259</v>
      </c>
      <c r="D18" s="109">
        <f>Nevada!B$5</f>
        <v>49488</v>
      </c>
      <c r="E18" s="27" t="str">
        <f>Nevada!C$5</f>
        <v>NULL</v>
      </c>
      <c r="F18" s="27" t="str">
        <f>Nevada!D$5</f>
        <v>NULL</v>
      </c>
      <c r="G18" s="27" t="str">
        <f>Nevada!E$5</f>
        <v>NULL</v>
      </c>
      <c r="H18" s="27" t="str">
        <f>Nevada!F$5</f>
        <v>NULL</v>
      </c>
      <c r="I18" s="27" t="str">
        <f>Nevada!G$5</f>
        <v>NULL</v>
      </c>
      <c r="J18" s="27" t="str">
        <f>Nevada!H$5</f>
        <v>NULL</v>
      </c>
      <c r="K18" s="27" t="str">
        <f>Nevada!I$5</f>
        <v>NULL</v>
      </c>
      <c r="L18" s="27" t="str">
        <f>Nevada!J$5</f>
        <v>NULL</v>
      </c>
      <c r="M18" s="115" t="str">
        <f>Nevada!K$5</f>
        <v>NULL</v>
      </c>
      <c r="N18" s="27" t="str">
        <f t="array" ref="N18:Q18">VLOOKUP($B18,'CarePortal - Audrey'!$A$2:$T$166,{8,17,18,20},FALSE)</f>
        <v>#REF!</v>
      </c>
      <c r="O18" s="27" t="e">
        <v>#REF!</v>
      </c>
      <c r="P18" s="27" t="e">
        <v>#REF!</v>
      </c>
      <c r="Q18" s="27" t="e">
        <v>#REF!</v>
      </c>
      <c r="R18" s="115" t="str">
        <f t="shared" ref="R18:W18" si="14">#REF!</f>
        <v>#REF!</v>
      </c>
      <c r="S18" s="27" t="str">
        <f t="shared" si="14"/>
        <v>#REF!</v>
      </c>
      <c r="T18" s="27" t="str">
        <f t="shared" si="14"/>
        <v>#REF!</v>
      </c>
      <c r="U18" s="27" t="str">
        <f t="shared" si="14"/>
        <v>#REF!</v>
      </c>
      <c r="V18" s="27" t="str">
        <f t="shared" si="14"/>
        <v>#REF!</v>
      </c>
      <c r="W18" s="116" t="str">
        <f t="shared" si="14"/>
        <v>#REF!</v>
      </c>
    </row>
    <row r="19">
      <c r="A19" s="103">
        <v>14.0</v>
      </c>
      <c r="B19" s="104" t="s">
        <v>261</v>
      </c>
      <c r="C19" s="106" t="s">
        <v>184</v>
      </c>
      <c r="D19" s="109">
        <f>California!B$38</f>
        <v>2181654</v>
      </c>
      <c r="E19" s="110">
        <f>California!C$38</f>
        <v>4996</v>
      </c>
      <c r="F19" s="27" t="str">
        <f>California!D$38</f>
        <v>NULL</v>
      </c>
      <c r="G19" s="110">
        <f>California!E$38</f>
        <v>2220</v>
      </c>
      <c r="H19" s="110">
        <f>California!F$38</f>
        <v>1544</v>
      </c>
      <c r="I19" s="27" t="str">
        <f>California!G$38</f>
        <v>NULL</v>
      </c>
      <c r="J19" s="27" t="str">
        <f>California!H$38</f>
        <v>NULL</v>
      </c>
      <c r="K19" s="113">
        <f>California!I$38</f>
        <v>643</v>
      </c>
      <c r="L19" s="27" t="str">
        <f>California!J$38</f>
        <v>NULL</v>
      </c>
      <c r="M19" s="114">
        <f>California!K$38</f>
        <v>0.4505163511</v>
      </c>
      <c r="N19" s="27" t="str">
        <f t="array" ref="N19:Q19">VLOOKUP($B19,'CarePortal - Audrey'!$A$2:$T$166,{8,17,18,20},FALSE)</f>
        <v>#REF!</v>
      </c>
      <c r="O19" s="27" t="e">
        <v>#REF!</v>
      </c>
      <c r="P19" s="27" t="e">
        <v>#REF!</v>
      </c>
      <c r="Q19" s="27" t="e">
        <v>#REF!</v>
      </c>
      <c r="R19" s="115" t="str">
        <f t="shared" ref="R19:W19" si="15">#REF!</f>
        <v>#REF!</v>
      </c>
      <c r="S19" s="27" t="str">
        <f t="shared" si="15"/>
        <v>#REF!</v>
      </c>
      <c r="T19" s="27" t="str">
        <f t="shared" si="15"/>
        <v>#REF!</v>
      </c>
      <c r="U19" s="27" t="str">
        <f t="shared" si="15"/>
        <v>#REF!</v>
      </c>
      <c r="V19" s="27" t="str">
        <f t="shared" si="15"/>
        <v>#REF!</v>
      </c>
      <c r="W19" s="116" t="str">
        <f t="shared" si="15"/>
        <v>#REF!</v>
      </c>
    </row>
    <row r="20">
      <c r="A20" s="103">
        <v>15.0</v>
      </c>
      <c r="B20" s="104" t="s">
        <v>265</v>
      </c>
      <c r="C20" s="85" t="s">
        <v>219</v>
      </c>
      <c r="D20" s="27" t="str">
        <f t="shared" ref="D20:M20" si="16">#REF!</f>
        <v>#REF!</v>
      </c>
      <c r="E20" s="27" t="str">
        <f t="shared" si="16"/>
        <v>#REF!</v>
      </c>
      <c r="F20" s="27" t="str">
        <f t="shared" si="16"/>
        <v>#REF!</v>
      </c>
      <c r="G20" s="27" t="str">
        <f t="shared" si="16"/>
        <v>#REF!</v>
      </c>
      <c r="H20" s="27" t="str">
        <f t="shared" si="16"/>
        <v>#REF!</v>
      </c>
      <c r="I20" s="27" t="str">
        <f t="shared" si="16"/>
        <v>#REF!</v>
      </c>
      <c r="J20" s="27" t="str">
        <f t="shared" si="16"/>
        <v>#REF!</v>
      </c>
      <c r="K20" s="27" t="str">
        <f t="shared" si="16"/>
        <v>#REF!</v>
      </c>
      <c r="L20" s="27" t="str">
        <f t="shared" si="16"/>
        <v>#REF!</v>
      </c>
      <c r="M20" s="115" t="str">
        <f t="shared" si="16"/>
        <v>#REF!</v>
      </c>
      <c r="N20" s="27" t="str">
        <f t="array" ref="N20:Q20">VLOOKUP($B20,'CarePortal - Audrey'!$A$2:$T$166,{8,17,18,20},FALSE)</f>
        <v>#REF!</v>
      </c>
      <c r="O20" s="27" t="e">
        <v>#REF!</v>
      </c>
      <c r="P20" s="27" t="e">
        <v>#REF!</v>
      </c>
      <c r="Q20" s="27" t="e">
        <v>#REF!</v>
      </c>
      <c r="R20" s="115" t="str">
        <f t="shared" ref="R20:W20" si="17">#REF!</f>
        <v>#REF!</v>
      </c>
      <c r="S20" s="27" t="str">
        <f t="shared" si="17"/>
        <v>#REF!</v>
      </c>
      <c r="T20" s="27" t="str">
        <f t="shared" si="17"/>
        <v>#REF!</v>
      </c>
      <c r="U20" s="27" t="str">
        <f t="shared" si="17"/>
        <v>#REF!</v>
      </c>
      <c r="V20" s="27" t="str">
        <f t="shared" si="17"/>
        <v>#REF!</v>
      </c>
      <c r="W20" s="116" t="str">
        <f t="shared" si="17"/>
        <v>#REF!</v>
      </c>
    </row>
    <row r="21">
      <c r="A21" s="103">
        <v>16.0</v>
      </c>
      <c r="B21" s="104" t="s">
        <v>267</v>
      </c>
      <c r="C21" s="85" t="s">
        <v>219</v>
      </c>
      <c r="D21" s="109">
        <f>Texas!B$212</f>
        <v>24022</v>
      </c>
      <c r="E21" s="27">
        <f>Texas!C$212</f>
        <v>28</v>
      </c>
      <c r="F21" s="27" t="str">
        <f>Texas!D$212</f>
        <v>NULL</v>
      </c>
      <c r="G21" s="27">
        <f>Texas!E$212</f>
        <v>13</v>
      </c>
      <c r="H21" s="27">
        <f>Texas!F$212</f>
        <v>13</v>
      </c>
      <c r="I21" s="27" t="str">
        <f>Texas!G$212</f>
        <v>NULL</v>
      </c>
      <c r="J21" s="27">
        <f>Texas!H$212</f>
        <v>18</v>
      </c>
      <c r="K21" s="27">
        <f>Texas!I$212</f>
        <v>4</v>
      </c>
      <c r="L21" s="27" t="str">
        <f>Texas!J$212</f>
        <v>NULL</v>
      </c>
      <c r="M21" s="115" t="str">
        <f>Texas!K$212</f>
        <v>NULL</v>
      </c>
      <c r="N21" s="27" t="str">
        <f t="array" ref="N21:Q21">VLOOKUP($B21,'CarePortal - Audrey'!$A$2:$T$166,{8,17,18,20},FALSE)</f>
        <v>#REF!</v>
      </c>
      <c r="O21" s="27" t="e">
        <v>#REF!</v>
      </c>
      <c r="P21" s="27" t="e">
        <v>#REF!</v>
      </c>
      <c r="Q21" s="27" t="e">
        <v>#REF!</v>
      </c>
      <c r="R21" s="115" t="str">
        <f t="shared" ref="R21:W21" si="18">#REF!</f>
        <v>#REF!</v>
      </c>
      <c r="S21" s="27" t="str">
        <f t="shared" si="18"/>
        <v>#REF!</v>
      </c>
      <c r="T21" s="27" t="str">
        <f t="shared" si="18"/>
        <v>#REF!</v>
      </c>
      <c r="U21" s="27" t="str">
        <f t="shared" si="18"/>
        <v>#REF!</v>
      </c>
      <c r="V21" s="27" t="str">
        <f t="shared" si="18"/>
        <v>#REF!</v>
      </c>
      <c r="W21" s="116" t="str">
        <f t="shared" si="18"/>
        <v>#REF!</v>
      </c>
    </row>
    <row r="22">
      <c r="A22" s="103">
        <v>17.0</v>
      </c>
      <c r="B22" s="104" t="s">
        <v>269</v>
      </c>
      <c r="C22" s="85" t="s">
        <v>245</v>
      </c>
      <c r="D22" s="109">
        <f>Florida!B$8</f>
        <v>1944375</v>
      </c>
      <c r="E22" s="110">
        <f>Florida!C$8</f>
        <v>1067</v>
      </c>
      <c r="F22" s="27" t="str">
        <f>Florida!D$8</f>
        <v>NULL</v>
      </c>
      <c r="G22" s="110">
        <f>Florida!E$8</f>
        <v>456</v>
      </c>
      <c r="H22" s="110">
        <f>Florida!F$8</f>
        <v>365</v>
      </c>
      <c r="I22" s="27" t="str">
        <f>Florida!G$8</f>
        <v>NULL</v>
      </c>
      <c r="J22" s="27" t="str">
        <f>Florida!H$8</f>
        <v>NULL</v>
      </c>
      <c r="K22" s="27" t="str">
        <f>Florida!I$8</f>
        <v>NULL</v>
      </c>
      <c r="L22" s="126" t="str">
        <f>Florida!J$8</f>
        <v>NULL</v>
      </c>
      <c r="M22" s="114">
        <f>Florida!K$8</f>
        <v>0.6872093023</v>
      </c>
      <c r="N22" s="27" t="str">
        <f t="array" ref="N22:Q22">VLOOKUP($B22,'CarePortal - Audrey'!$A$2:$T$166,{8,17,18,20},FALSE)</f>
        <v>#REF!</v>
      </c>
      <c r="O22" s="27" t="e">
        <v>#REF!</v>
      </c>
      <c r="P22" s="27" t="e">
        <v>#REF!</v>
      </c>
      <c r="Q22" s="27" t="e">
        <v>#REF!</v>
      </c>
      <c r="R22" s="115" t="str">
        <f t="shared" ref="R22:W22" si="19">#REF!</f>
        <v>#REF!</v>
      </c>
      <c r="S22" s="27" t="str">
        <f t="shared" si="19"/>
        <v>#REF!</v>
      </c>
      <c r="T22" s="27" t="str">
        <f t="shared" si="19"/>
        <v>#REF!</v>
      </c>
      <c r="U22" s="27" t="str">
        <f t="shared" si="19"/>
        <v>#REF!</v>
      </c>
      <c r="V22" s="27" t="str">
        <f t="shared" si="19"/>
        <v>#REF!</v>
      </c>
      <c r="W22" s="116" t="str">
        <f t="shared" si="19"/>
        <v>#REF!</v>
      </c>
    </row>
    <row r="23">
      <c r="A23" s="103">
        <v>18.0</v>
      </c>
      <c r="B23" s="104" t="s">
        <v>272</v>
      </c>
      <c r="C23" s="106" t="s">
        <v>184</v>
      </c>
      <c r="D23" s="109">
        <f>California!B$45</f>
        <v>1936259</v>
      </c>
      <c r="E23" s="110">
        <f>California!C$45</f>
        <v>494</v>
      </c>
      <c r="F23" s="27" t="str">
        <f>California!D$45</f>
        <v>NULL</v>
      </c>
      <c r="G23" s="27">
        <f>California!E$45</f>
        <v>234</v>
      </c>
      <c r="H23" s="27">
        <f>California!F$45</f>
        <v>111</v>
      </c>
      <c r="I23" s="27" t="str">
        <f>California!G$45</f>
        <v>NULL</v>
      </c>
      <c r="J23" s="27" t="str">
        <f>California!H$45</f>
        <v>NULL</v>
      </c>
      <c r="K23" s="113">
        <f>California!I$45</f>
        <v>85</v>
      </c>
      <c r="L23" s="27" t="str">
        <f>California!J$45</f>
        <v>NULL</v>
      </c>
      <c r="M23" s="114">
        <f>California!K$45</f>
        <v>0.2277227723</v>
      </c>
      <c r="N23" s="27" t="str">
        <f t="array" ref="N23:Q23">VLOOKUP($B23,'CarePortal - Audrey'!$A$2:$T$166,{8,17,18,20},FALSE)</f>
        <v>#REF!</v>
      </c>
      <c r="O23" s="27" t="e">
        <v>#REF!</v>
      </c>
      <c r="P23" s="27" t="e">
        <v>#REF!</v>
      </c>
      <c r="Q23" s="27" t="e">
        <v>#REF!</v>
      </c>
      <c r="R23" s="115" t="str">
        <f t="shared" ref="R23:W23" si="20">#REF!</f>
        <v>#REF!</v>
      </c>
      <c r="S23" s="27" t="str">
        <f t="shared" si="20"/>
        <v>#REF!</v>
      </c>
      <c r="T23" s="27" t="str">
        <f t="shared" si="20"/>
        <v>#REF!</v>
      </c>
      <c r="U23" s="27" t="str">
        <f t="shared" si="20"/>
        <v>#REF!</v>
      </c>
      <c r="V23" s="27" t="str">
        <f t="shared" si="20"/>
        <v>#REF!</v>
      </c>
      <c r="W23" s="116" t="str">
        <f t="shared" si="20"/>
        <v>#REF!</v>
      </c>
    </row>
    <row r="24">
      <c r="A24" s="103">
        <v>19.0</v>
      </c>
      <c r="B24" s="104" t="s">
        <v>273</v>
      </c>
      <c r="C24" s="85" t="s">
        <v>274</v>
      </c>
      <c r="D24" s="27" t="str">
        <f t="shared" ref="D24:M24" si="21">#REF!</f>
        <v>#REF!</v>
      </c>
      <c r="E24" s="27" t="str">
        <f t="shared" si="21"/>
        <v>#REF!</v>
      </c>
      <c r="F24" s="27" t="str">
        <f t="shared" si="21"/>
        <v>#REF!</v>
      </c>
      <c r="G24" s="27" t="str">
        <f t="shared" si="21"/>
        <v>#REF!</v>
      </c>
      <c r="H24" s="27" t="str">
        <f t="shared" si="21"/>
        <v>#REF!</v>
      </c>
      <c r="I24" s="27" t="str">
        <f t="shared" si="21"/>
        <v>#REF!</v>
      </c>
      <c r="J24" s="27" t="str">
        <f t="shared" si="21"/>
        <v>#REF!</v>
      </c>
      <c r="K24" s="27" t="str">
        <f t="shared" si="21"/>
        <v>#REF!</v>
      </c>
      <c r="L24" s="27" t="str">
        <f t="shared" si="21"/>
        <v>#REF!</v>
      </c>
      <c r="M24" s="115" t="str">
        <f t="shared" si="21"/>
        <v>#REF!</v>
      </c>
      <c r="N24" s="27" t="str">
        <f t="array" ref="N24:Q24">VLOOKUP($B24,'CarePortal - Audrey'!$A$2:$T$166,{8,17,18,20},FALSE)</f>
        <v>#REF!</v>
      </c>
      <c r="O24" s="27" t="e">
        <v>#REF!</v>
      </c>
      <c r="P24" s="27" t="e">
        <v>#REF!</v>
      </c>
      <c r="Q24" s="27" t="e">
        <v>#REF!</v>
      </c>
      <c r="R24" s="115" t="str">
        <f t="shared" ref="R24:W24" si="22">#REF!</f>
        <v>#REF!</v>
      </c>
      <c r="S24" s="27" t="str">
        <f t="shared" si="22"/>
        <v>#REF!</v>
      </c>
      <c r="T24" s="27" t="str">
        <f t="shared" si="22"/>
        <v>#REF!</v>
      </c>
      <c r="U24" s="27" t="str">
        <f t="shared" si="22"/>
        <v>#REF!</v>
      </c>
      <c r="V24" s="27" t="str">
        <f t="shared" si="22"/>
        <v>#REF!</v>
      </c>
      <c r="W24" s="116" t="str">
        <f t="shared" si="22"/>
        <v>#REF!</v>
      </c>
    </row>
    <row r="25">
      <c r="A25" s="103">
        <v>20.0</v>
      </c>
      <c r="B25" s="104" t="s">
        <v>276</v>
      </c>
      <c r="C25" s="106" t="s">
        <v>184</v>
      </c>
      <c r="D25" s="109">
        <f>California!B$3</f>
        <v>1682353</v>
      </c>
      <c r="E25" s="110">
        <f>California!C$3</f>
        <v>916</v>
      </c>
      <c r="F25" s="27" t="str">
        <f>California!D$3</f>
        <v>NULL</v>
      </c>
      <c r="G25" s="27">
        <f>California!E$3</f>
        <v>294</v>
      </c>
      <c r="H25" s="27">
        <f>California!F$3</f>
        <v>336</v>
      </c>
      <c r="I25" s="27" t="str">
        <f>California!G$3</f>
        <v>NULL</v>
      </c>
      <c r="J25" s="27" t="str">
        <f>California!H$3</f>
        <v>NULL</v>
      </c>
      <c r="K25" s="113">
        <f>California!I$3</f>
        <v>86</v>
      </c>
      <c r="L25" s="27" t="str">
        <f>California!J$3</f>
        <v>NULL</v>
      </c>
      <c r="M25" s="114">
        <f>California!K$3</f>
        <v>0.4064837905</v>
      </c>
      <c r="N25" s="27" t="str">
        <f t="array" ref="N25:Q25">VLOOKUP($B25,'CarePortal - Audrey'!$A$2:$T$166,{8,17,18,20},FALSE)</f>
        <v>#REF!</v>
      </c>
      <c r="O25" s="27" t="e">
        <v>#REF!</v>
      </c>
      <c r="P25" s="27" t="e">
        <v>#REF!</v>
      </c>
      <c r="Q25" s="27" t="e">
        <v>#REF!</v>
      </c>
      <c r="R25" s="115" t="str">
        <f t="shared" ref="R25:W25" si="23">#REF!</f>
        <v>#REF!</v>
      </c>
      <c r="S25" s="27" t="str">
        <f t="shared" si="23"/>
        <v>#REF!</v>
      </c>
      <c r="T25" s="27" t="str">
        <f t="shared" si="23"/>
        <v>#REF!</v>
      </c>
      <c r="U25" s="27" t="str">
        <f t="shared" si="23"/>
        <v>#REF!</v>
      </c>
      <c r="V25" s="27" t="str">
        <f t="shared" si="23"/>
        <v>#REF!</v>
      </c>
      <c r="W25" s="116" t="str">
        <f t="shared" si="23"/>
        <v>#REF!</v>
      </c>
    </row>
    <row r="26">
      <c r="A26" s="103">
        <v>21.0</v>
      </c>
      <c r="B26" s="104" t="s">
        <v>94</v>
      </c>
      <c r="C26" s="85" t="s">
        <v>250</v>
      </c>
      <c r="D26" s="109">
        <f>'New York'!B$33</f>
        <v>1694251</v>
      </c>
      <c r="E26" s="27" t="str">
        <f>'New York'!C$33</f>
        <v>NULL</v>
      </c>
      <c r="F26" s="27" t="str">
        <f>'New York'!D$33</f>
        <v>NULL</v>
      </c>
      <c r="G26" s="27" t="str">
        <f>'New York'!E$33</f>
        <v>NULL</v>
      </c>
      <c r="H26" s="27" t="str">
        <f>'New York'!F$33</f>
        <v>NULL</v>
      </c>
      <c r="I26" s="27" t="str">
        <f>'New York'!G$33</f>
        <v>NULL</v>
      </c>
      <c r="J26" s="27" t="str">
        <f>'New York'!H$33</f>
        <v>NULL</v>
      </c>
      <c r="K26" s="27" t="str">
        <f>'New York'!I$33</f>
        <v>NULL</v>
      </c>
      <c r="L26" s="27" t="str">
        <f>'New York'!J$33</f>
        <v>NULL</v>
      </c>
      <c r="M26" s="115" t="str">
        <f>'New York'!K$33</f>
        <v>NULL</v>
      </c>
      <c r="N26" s="27" t="str">
        <f t="array" ref="N26:Q26">VLOOKUP($B26,'CarePortal - Audrey'!$A$2:$T$166,{8,17,18,20},FALSE)</f>
        <v>#REF!</v>
      </c>
      <c r="O26" s="27" t="e">
        <v>#REF!</v>
      </c>
      <c r="P26" s="27" t="e">
        <v>#REF!</v>
      </c>
      <c r="Q26" s="27" t="e">
        <v>#REF!</v>
      </c>
      <c r="R26" s="115" t="str">
        <f t="shared" ref="R26:W26" si="24">#REF!</f>
        <v>#REF!</v>
      </c>
      <c r="S26" s="27" t="str">
        <f t="shared" si="24"/>
        <v>#REF!</v>
      </c>
      <c r="T26" s="27" t="str">
        <f t="shared" si="24"/>
        <v>#REF!</v>
      </c>
      <c r="U26" s="27" t="str">
        <f t="shared" si="24"/>
        <v>#REF!</v>
      </c>
      <c r="V26" s="27" t="str">
        <f t="shared" si="24"/>
        <v>#REF!</v>
      </c>
      <c r="W26" s="116" t="str">
        <f t="shared" si="24"/>
        <v>#REF!</v>
      </c>
    </row>
    <row r="27">
      <c r="A27" s="103">
        <v>22.0</v>
      </c>
      <c r="B27" s="104" t="s">
        <v>281</v>
      </c>
      <c r="C27" s="85" t="s">
        <v>282</v>
      </c>
      <c r="D27" s="27" t="str">
        <f t="shared" ref="D27:M27" si="25">#REF!</f>
        <v>#REF!</v>
      </c>
      <c r="E27" s="27" t="str">
        <f t="shared" si="25"/>
        <v>#REF!</v>
      </c>
      <c r="F27" s="27" t="str">
        <f t="shared" si="25"/>
        <v>#REF!</v>
      </c>
      <c r="G27" s="27" t="str">
        <f t="shared" si="25"/>
        <v>#REF!</v>
      </c>
      <c r="H27" s="27" t="str">
        <f t="shared" si="25"/>
        <v>#REF!</v>
      </c>
      <c r="I27" s="27" t="str">
        <f t="shared" si="25"/>
        <v>#REF!</v>
      </c>
      <c r="J27" s="27" t="str">
        <f t="shared" si="25"/>
        <v>#REF!</v>
      </c>
      <c r="K27" s="27" t="str">
        <f t="shared" si="25"/>
        <v>#REF!</v>
      </c>
      <c r="L27" s="27" t="str">
        <f t="shared" si="25"/>
        <v>#REF!</v>
      </c>
      <c r="M27" s="115" t="str">
        <f t="shared" si="25"/>
        <v>#REF!</v>
      </c>
      <c r="N27" s="27" t="str">
        <f t="array" ref="N27:Q27">VLOOKUP($B27,'CarePortal - Audrey'!$A$2:$T$166,{8,17,18,20},FALSE)</f>
        <v>#REF!</v>
      </c>
      <c r="O27" s="27" t="e">
        <v>#REF!</v>
      </c>
      <c r="P27" s="27" t="e">
        <v>#REF!</v>
      </c>
      <c r="Q27" s="27" t="e">
        <v>#REF!</v>
      </c>
      <c r="R27" s="115" t="str">
        <f t="shared" ref="R27:W27" si="26">#REF!</f>
        <v>#REF!</v>
      </c>
      <c r="S27" s="27" t="str">
        <f t="shared" si="26"/>
        <v>#REF!</v>
      </c>
      <c r="T27" s="27" t="str">
        <f t="shared" si="26"/>
        <v>#REF!</v>
      </c>
      <c r="U27" s="27" t="str">
        <f t="shared" si="26"/>
        <v>#REF!</v>
      </c>
      <c r="V27" s="27" t="str">
        <f t="shared" si="26"/>
        <v>#REF!</v>
      </c>
      <c r="W27" s="116" t="str">
        <f t="shared" si="26"/>
        <v>#REF!</v>
      </c>
    </row>
    <row r="28">
      <c r="A28" s="103">
        <v>23.0</v>
      </c>
      <c r="B28" s="104" t="s">
        <v>286</v>
      </c>
      <c r="C28" s="85" t="s">
        <v>287</v>
      </c>
      <c r="D28" s="109">
        <f>Pennsylvania!B$53</f>
        <v>1603797</v>
      </c>
      <c r="E28" s="27">
        <f>Pennsylvania!C$53</f>
        <v>3753</v>
      </c>
      <c r="F28" s="27" t="str">
        <f>Pennsylvania!D$53</f>
        <v>NULL</v>
      </c>
      <c r="G28" s="27">
        <f>Pennsylvania!E$53</f>
        <v>1452</v>
      </c>
      <c r="H28" s="27">
        <f>Pennsylvania!F$53</f>
        <v>1850</v>
      </c>
      <c r="I28" s="27" t="str">
        <f>Pennsylvania!G$53</f>
        <v>NULL</v>
      </c>
      <c r="J28" s="27" t="str">
        <f>Pennsylvania!H$53</f>
        <v>NULL</v>
      </c>
      <c r="K28" s="27" t="str">
        <f>Pennsylvania!I$53</f>
        <v>NULL</v>
      </c>
      <c r="L28" s="27" t="str">
        <f>Pennsylvania!J$53</f>
        <v>NULL</v>
      </c>
      <c r="M28" s="115" t="str">
        <f>Pennsylvania!K$53</f>
        <v>NULL</v>
      </c>
      <c r="N28" s="27" t="str">
        <f t="array" ref="N28:Q28">VLOOKUP($B28,'CarePortal - Audrey'!$A$2:$T$166,{8,17,18,20},FALSE)</f>
        <v>#REF!</v>
      </c>
      <c r="O28" s="27" t="e">
        <v>#REF!</v>
      </c>
      <c r="P28" s="27" t="e">
        <v>#REF!</v>
      </c>
      <c r="Q28" s="27" t="e">
        <v>#REF!</v>
      </c>
      <c r="R28" s="115" t="str">
        <f t="shared" ref="R28:W28" si="27">#REF!</f>
        <v>#REF!</v>
      </c>
      <c r="S28" s="27" t="str">
        <f t="shared" si="27"/>
        <v>#REF!</v>
      </c>
      <c r="T28" s="27" t="str">
        <f t="shared" si="27"/>
        <v>#REF!</v>
      </c>
      <c r="U28" s="27" t="str">
        <f t="shared" si="27"/>
        <v>#REF!</v>
      </c>
      <c r="V28" s="27" t="str">
        <f t="shared" si="27"/>
        <v>#REF!</v>
      </c>
      <c r="W28" s="116" t="str">
        <f t="shared" si="27"/>
        <v>#REF!</v>
      </c>
    </row>
    <row r="29">
      <c r="A29" s="103">
        <v>24.0</v>
      </c>
      <c r="B29" s="104" t="s">
        <v>292</v>
      </c>
      <c r="C29" s="106" t="s">
        <v>184</v>
      </c>
      <c r="D29" s="109">
        <f>California!B$36</f>
        <v>1585055</v>
      </c>
      <c r="E29" s="110">
        <f>California!C$36</f>
        <v>1176</v>
      </c>
      <c r="F29" s="27" t="str">
        <f>California!D$36</f>
        <v>NULL</v>
      </c>
      <c r="G29" s="27">
        <f>California!E$36</f>
        <v>457</v>
      </c>
      <c r="H29" s="27">
        <f>California!F$36</f>
        <v>277</v>
      </c>
      <c r="I29" s="27" t="str">
        <f>California!G$36</f>
        <v>NULL</v>
      </c>
      <c r="J29" s="27" t="str">
        <f>California!H$36</f>
        <v>NULL</v>
      </c>
      <c r="K29" s="113">
        <f>California!I$36</f>
        <v>166</v>
      </c>
      <c r="L29" s="27" t="str">
        <f>California!J$36</f>
        <v>NULL</v>
      </c>
      <c r="M29" s="114">
        <f>California!K$36</f>
        <v>0.4616306954</v>
      </c>
      <c r="N29" s="27" t="str">
        <f t="array" ref="N29:Q29">VLOOKUP($B29,'CarePortal - Audrey'!$A$2:$T$166,{8,17,18,20},FALSE)</f>
        <v>#REF!</v>
      </c>
      <c r="O29" s="27" t="e">
        <v>#REF!</v>
      </c>
      <c r="P29" s="27" t="e">
        <v>#REF!</v>
      </c>
      <c r="Q29" s="27" t="e">
        <v>#REF!</v>
      </c>
      <c r="R29" s="115" t="str">
        <f t="shared" ref="R29:W29" si="28">#REF!</f>
        <v>#REF!</v>
      </c>
      <c r="S29" s="27" t="str">
        <f t="shared" si="28"/>
        <v>#REF!</v>
      </c>
      <c r="T29" s="27" t="str">
        <f t="shared" si="28"/>
        <v>#REF!</v>
      </c>
      <c r="U29" s="27" t="str">
        <f t="shared" si="28"/>
        <v>#REF!</v>
      </c>
      <c r="V29" s="27" t="str">
        <f t="shared" si="28"/>
        <v>#REF!</v>
      </c>
      <c r="W29" s="116" t="str">
        <f t="shared" si="28"/>
        <v>#REF!</v>
      </c>
    </row>
    <row r="30">
      <c r="A30" s="103">
        <v>25.0</v>
      </c>
      <c r="B30" s="104" t="s">
        <v>296</v>
      </c>
      <c r="C30" s="85" t="s">
        <v>245</v>
      </c>
      <c r="D30" s="109">
        <f>Florida!B$52</f>
        <v>1492191</v>
      </c>
      <c r="E30" s="27">
        <f>Florida!C$52</f>
        <v>854</v>
      </c>
      <c r="F30" s="27" t="str">
        <f>Florida!D$52</f>
        <v>NULL</v>
      </c>
      <c r="G30" s="110">
        <f>Florida!E$52</f>
        <v>347</v>
      </c>
      <c r="H30" s="110">
        <f>Florida!F$52</f>
        <v>289</v>
      </c>
      <c r="I30" s="27" t="str">
        <f>Florida!G$52</f>
        <v>NULL</v>
      </c>
      <c r="J30" s="27" t="str">
        <f>Florida!H$52</f>
        <v>NULL</v>
      </c>
      <c r="K30" s="27" t="str">
        <f>Florida!I$52</f>
        <v>NULL</v>
      </c>
      <c r="L30" s="126" t="str">
        <f>Florida!J$52</f>
        <v>NULL</v>
      </c>
      <c r="M30" s="114">
        <f>Florida!K$52</f>
        <v>0.7578534031</v>
      </c>
      <c r="N30" s="27" t="str">
        <f t="array" ref="N30:Q30">VLOOKUP($B30,'CarePortal - Audrey'!$A$2:$T$166,{8,17,18,20},FALSE)</f>
        <v>#REF!</v>
      </c>
      <c r="O30" s="27" t="e">
        <v>#REF!</v>
      </c>
      <c r="P30" s="27" t="e">
        <v>#REF!</v>
      </c>
      <c r="Q30" s="27" t="e">
        <v>#REF!</v>
      </c>
      <c r="R30" s="115" t="str">
        <f t="shared" ref="R30:W30" si="29">#REF!</f>
        <v>#REF!</v>
      </c>
      <c r="S30" s="27" t="str">
        <f t="shared" si="29"/>
        <v>#REF!</v>
      </c>
      <c r="T30" s="27" t="str">
        <f t="shared" si="29"/>
        <v>#REF!</v>
      </c>
      <c r="U30" s="27" t="str">
        <f t="shared" si="29"/>
        <v>#REF!</v>
      </c>
      <c r="V30" s="27" t="str">
        <f t="shared" si="29"/>
        <v>#REF!</v>
      </c>
      <c r="W30" s="116" t="str">
        <f t="shared" si="29"/>
        <v>#REF!</v>
      </c>
    </row>
    <row r="31">
      <c r="A31" s="103">
        <v>26.0</v>
      </c>
      <c r="B31" s="104" t="s">
        <v>299</v>
      </c>
      <c r="C31" s="85" t="s">
        <v>250</v>
      </c>
      <c r="D31" s="109">
        <f>'New York'!B$54</f>
        <v>1525920</v>
      </c>
      <c r="E31" s="27">
        <f>'New York'!C$54</f>
        <v>518</v>
      </c>
      <c r="F31" s="133">
        <f>'New York'!D$54</f>
        <v>1.953436807</v>
      </c>
      <c r="G31" s="27">
        <f>'New York'!E$54</f>
        <v>241</v>
      </c>
      <c r="H31" s="27">
        <f>'New York'!F$54</f>
        <v>163</v>
      </c>
      <c r="I31" s="27" t="str">
        <f>'New York'!G$54</f>
        <v>NULL</v>
      </c>
      <c r="J31" s="27">
        <f>'New York'!H$54</f>
        <v>451</v>
      </c>
      <c r="K31" s="27">
        <f>'New York'!I$54</f>
        <v>170</v>
      </c>
      <c r="L31" s="27" t="str">
        <f>'New York'!J$54</f>
        <v>NULL</v>
      </c>
      <c r="M31" s="134">
        <f>'New York'!K$54</f>
        <v>0.597</v>
      </c>
      <c r="N31" s="27" t="str">
        <f t="array" ref="N31:Q31">VLOOKUP($B31,'CarePortal - Audrey'!$A$2:$T$166,{8,17,18,20},FALSE)</f>
        <v>#REF!</v>
      </c>
      <c r="O31" s="27" t="e">
        <v>#REF!</v>
      </c>
      <c r="P31" s="27" t="e">
        <v>#REF!</v>
      </c>
      <c r="Q31" s="27" t="e">
        <v>#REF!</v>
      </c>
      <c r="R31" s="115" t="str">
        <f t="shared" ref="R31:W31" si="30">#REF!</f>
        <v>#REF!</v>
      </c>
      <c r="S31" s="27" t="str">
        <f t="shared" si="30"/>
        <v>#REF!</v>
      </c>
      <c r="T31" s="27" t="str">
        <f t="shared" si="30"/>
        <v>#REF!</v>
      </c>
      <c r="U31" s="27" t="str">
        <f t="shared" si="30"/>
        <v>#REF!</v>
      </c>
      <c r="V31" s="27" t="str">
        <f t="shared" si="30"/>
        <v>#REF!</v>
      </c>
      <c r="W31" s="116" t="str">
        <f t="shared" si="30"/>
        <v>#REF!</v>
      </c>
    </row>
    <row r="32">
      <c r="A32" s="103">
        <v>27.0</v>
      </c>
      <c r="B32" s="104" t="s">
        <v>306</v>
      </c>
      <c r="C32" s="85" t="s">
        <v>245</v>
      </c>
      <c r="D32" s="109">
        <f>Florida!B$30</f>
        <v>1459762</v>
      </c>
      <c r="E32" s="110">
        <f>Florida!C$30</f>
        <v>1716</v>
      </c>
      <c r="F32" s="27" t="str">
        <f>Florida!D$30</f>
        <v>NULL</v>
      </c>
      <c r="G32" s="110">
        <f>Florida!E$30</f>
        <v>831</v>
      </c>
      <c r="H32" s="110">
        <f>Florida!F$30</f>
        <v>510</v>
      </c>
      <c r="I32" s="27" t="str">
        <f>Florida!G$30</f>
        <v>NULL</v>
      </c>
      <c r="J32" s="27" t="str">
        <f>Florida!H$30</f>
        <v>NULL</v>
      </c>
      <c r="K32" s="27" t="str">
        <f>Florida!I$30</f>
        <v>NULL</v>
      </c>
      <c r="L32" s="126" t="str">
        <f>Florida!J$30</f>
        <v>NULL</v>
      </c>
      <c r="M32" s="114">
        <f>Florida!K$30</f>
        <v>0.9394221808</v>
      </c>
      <c r="N32" s="27" t="str">
        <f t="array" ref="N32:Q32">VLOOKUP($B32,'CarePortal - Audrey'!$A$2:$T$166,{8,17,18,20},FALSE)</f>
        <v>#REF!</v>
      </c>
      <c r="O32" s="27" t="e">
        <v>#REF!</v>
      </c>
      <c r="P32" s="27" t="e">
        <v>#REF!</v>
      </c>
      <c r="Q32" s="27" t="e">
        <v>#REF!</v>
      </c>
      <c r="R32" s="115" t="str">
        <f t="shared" ref="R32:W32" si="31">#REF!</f>
        <v>#REF!</v>
      </c>
      <c r="S32" s="27" t="str">
        <f t="shared" si="31"/>
        <v>#REF!</v>
      </c>
      <c r="T32" s="27" t="str">
        <f t="shared" si="31"/>
        <v>#REF!</v>
      </c>
      <c r="U32" s="27" t="str">
        <f t="shared" si="31"/>
        <v>#REF!</v>
      </c>
      <c r="V32" s="27" t="str">
        <f t="shared" si="31"/>
        <v>#REF!</v>
      </c>
      <c r="W32" s="116" t="str">
        <f t="shared" si="31"/>
        <v>#REF!</v>
      </c>
    </row>
    <row r="33">
      <c r="A33" s="103">
        <v>28.0</v>
      </c>
      <c r="B33" s="104" t="s">
        <v>314</v>
      </c>
      <c r="C33" s="85" t="s">
        <v>250</v>
      </c>
      <c r="D33" s="109">
        <f>'New York'!B$5</f>
        <v>1472654</v>
      </c>
      <c r="E33" s="27" t="str">
        <f>'New York'!C$5</f>
        <v>NULL</v>
      </c>
      <c r="F33" s="27" t="str">
        <f>'New York'!D$5</f>
        <v>NULL</v>
      </c>
      <c r="G33" s="27" t="str">
        <f>'New York'!E$5</f>
        <v>NULL</v>
      </c>
      <c r="H33" s="27" t="str">
        <f>'New York'!F$5</f>
        <v>NULL</v>
      </c>
      <c r="I33" s="27" t="str">
        <f>'New York'!G$5</f>
        <v>NULL</v>
      </c>
      <c r="J33" s="27" t="str">
        <f>'New York'!H$5</f>
        <v>NULL</v>
      </c>
      <c r="K33" s="27" t="str">
        <f>'New York'!I$5</f>
        <v>NULL</v>
      </c>
      <c r="L33" s="27" t="str">
        <f>'New York'!J$5</f>
        <v>NULL</v>
      </c>
      <c r="M33" s="115" t="str">
        <f>'New York'!K$5</f>
        <v>NULL</v>
      </c>
      <c r="N33" s="27" t="str">
        <f t="array" ref="N33:Q33">VLOOKUP($B33,'CarePortal - Audrey'!$A$2:$T$166,{8,17,18,20},FALSE)</f>
        <v>#REF!</v>
      </c>
      <c r="O33" s="27" t="e">
        <v>#REF!</v>
      </c>
      <c r="P33" s="27" t="e">
        <v>#REF!</v>
      </c>
      <c r="Q33" s="27" t="e">
        <v>#REF!</v>
      </c>
      <c r="R33" s="115" t="str">
        <f t="shared" ref="R33:W33" si="32">#REF!</f>
        <v>#REF!</v>
      </c>
      <c r="S33" s="27" t="str">
        <f t="shared" si="32"/>
        <v>#REF!</v>
      </c>
      <c r="T33" s="27" t="str">
        <f t="shared" si="32"/>
        <v>#REF!</v>
      </c>
      <c r="U33" s="27" t="str">
        <f t="shared" si="32"/>
        <v>#REF!</v>
      </c>
      <c r="V33" s="27" t="str">
        <f t="shared" si="32"/>
        <v>#REF!</v>
      </c>
      <c r="W33" s="116" t="str">
        <f t="shared" si="32"/>
        <v>#REF!</v>
      </c>
    </row>
    <row r="34">
      <c r="A34" s="103">
        <v>29.0</v>
      </c>
      <c r="B34" s="104" t="s">
        <v>241</v>
      </c>
      <c r="C34" s="85" t="s">
        <v>245</v>
      </c>
      <c r="D34" s="109">
        <f>Florida!B$50</f>
        <v>1429908</v>
      </c>
      <c r="E34" s="110">
        <f>Florida!C$50</f>
        <v>943</v>
      </c>
      <c r="F34" s="27" t="str">
        <f>Florida!D$50</f>
        <v>NULL</v>
      </c>
      <c r="G34" s="110">
        <f>Florida!E$50</f>
        <v>434</v>
      </c>
      <c r="H34" s="110">
        <f>Florida!F$50</f>
        <v>305</v>
      </c>
      <c r="I34" s="27" t="str">
        <f>Florida!G$50</f>
        <v>NULL</v>
      </c>
      <c r="J34" s="27" t="str">
        <f>Florida!H$50</f>
        <v>NULL</v>
      </c>
      <c r="K34" s="27" t="str">
        <f>Florida!I$50</f>
        <v>NULL</v>
      </c>
      <c r="L34" s="126" t="str">
        <f>Florida!J$50</f>
        <v>NULL</v>
      </c>
      <c r="M34" s="114">
        <f>Florida!K$50</f>
        <v>0.8375527426</v>
      </c>
      <c r="N34" s="27" t="str">
        <f t="array" ref="N34:Q34">VLOOKUP($B34,'CarePortal - Audrey'!$A$2:$T$166,{8,17,18,20},FALSE)</f>
        <v>#REF!</v>
      </c>
      <c r="O34" s="27" t="e">
        <v>#REF!</v>
      </c>
      <c r="P34" s="27" t="e">
        <v>#REF!</v>
      </c>
      <c r="Q34" s="27" t="e">
        <v>#REF!</v>
      </c>
      <c r="R34" s="115" t="str">
        <f t="shared" ref="R34:W34" si="33">#REF!</f>
        <v>#REF!</v>
      </c>
      <c r="S34" s="27" t="str">
        <f t="shared" si="33"/>
        <v>#REF!</v>
      </c>
      <c r="T34" s="27" t="str">
        <f t="shared" si="33"/>
        <v>#REF!</v>
      </c>
      <c r="U34" s="27" t="str">
        <f t="shared" si="33"/>
        <v>#REF!</v>
      </c>
      <c r="V34" s="27" t="str">
        <f t="shared" si="33"/>
        <v>#REF!</v>
      </c>
      <c r="W34" s="116" t="str">
        <f t="shared" si="33"/>
        <v>#REF!</v>
      </c>
    </row>
    <row r="35">
      <c r="A35" s="103">
        <v>30.0</v>
      </c>
      <c r="B35" s="104" t="s">
        <v>330</v>
      </c>
      <c r="C35" s="84" t="s">
        <v>250</v>
      </c>
      <c r="D35" s="109">
        <f>'New York'!B$32</f>
        <v>1395774</v>
      </c>
      <c r="E35" s="27">
        <f>'New York'!C$32</f>
        <v>159</v>
      </c>
      <c r="F35" s="133">
        <f>'New York'!D$32</f>
        <v>2.764705882</v>
      </c>
      <c r="G35" s="27">
        <f>'New York'!E$32</f>
        <v>87</v>
      </c>
      <c r="H35" s="27">
        <f>'New York'!F$32</f>
        <v>24</v>
      </c>
      <c r="I35" s="27" t="str">
        <f>'New York'!G$32</f>
        <v>NULL</v>
      </c>
      <c r="J35" s="27">
        <f>'New York'!H$32</f>
        <v>213</v>
      </c>
      <c r="K35" s="27">
        <f>'New York'!I$32</f>
        <v>37</v>
      </c>
      <c r="L35" s="27" t="str">
        <f>'New York'!J$32</f>
        <v>NULL</v>
      </c>
      <c r="M35" s="134">
        <f>'New York'!K$32</f>
        <v>0.707</v>
      </c>
      <c r="N35" s="27" t="str">
        <f t="array" ref="N35:Q35">VLOOKUP($B35,'CarePortal - Audrey'!$A$2:$T$166,{8,17,18,20},FALSE)</f>
        <v>#REF!</v>
      </c>
      <c r="O35" s="27" t="e">
        <v>#REF!</v>
      </c>
      <c r="P35" s="27" t="e">
        <v>#REF!</v>
      </c>
      <c r="Q35" s="27" t="e">
        <v>#REF!</v>
      </c>
      <c r="R35" s="115" t="str">
        <f t="shared" ref="R35:W35" si="34">#REF!</f>
        <v>#REF!</v>
      </c>
      <c r="S35" s="27" t="str">
        <f t="shared" si="34"/>
        <v>#REF!</v>
      </c>
      <c r="T35" s="27" t="str">
        <f t="shared" si="34"/>
        <v>#REF!</v>
      </c>
      <c r="U35" s="27" t="str">
        <f t="shared" si="34"/>
        <v>#REF!</v>
      </c>
      <c r="V35" s="27" t="str">
        <f t="shared" si="34"/>
        <v>#REF!</v>
      </c>
      <c r="W35" s="116" t="str">
        <f t="shared" si="34"/>
        <v>#REF!</v>
      </c>
    </row>
    <row r="36">
      <c r="A36" s="103">
        <v>31.0</v>
      </c>
      <c r="B36" s="104" t="s">
        <v>136</v>
      </c>
      <c r="C36" s="84" t="s">
        <v>339</v>
      </c>
      <c r="D36" s="137">
        <f>Ohio!B$88</f>
        <v>37102</v>
      </c>
      <c r="E36" s="8">
        <f>Ohio!C$88</f>
        <v>30</v>
      </c>
      <c r="F36" s="8" t="str">
        <f>Ohio!D$88</f>
        <v>NULL</v>
      </c>
      <c r="G36" s="8">
        <f>Ohio!E$88</f>
        <v>23</v>
      </c>
      <c r="H36" s="8" t="str">
        <f>Ohio!F$88</f>
        <v>NULL</v>
      </c>
      <c r="I36" s="8" t="str">
        <f>Ohio!G$88</f>
        <v>NULL</v>
      </c>
      <c r="J36" s="8" t="str">
        <f>Ohio!H$88</f>
        <v>NULL</v>
      </c>
      <c r="K36" s="8" t="str">
        <f>Ohio!I$88</f>
        <v>NULL</v>
      </c>
      <c r="L36" s="8" t="str">
        <f>Ohio!J$88</f>
        <v>NULL</v>
      </c>
      <c r="M36" s="138">
        <f>Ohio!K$88</f>
        <v>0.6956521739</v>
      </c>
      <c r="N36" s="27" t="str">
        <f t="array" ref="N36:Q36">VLOOKUP($B36,'CarePortal - Audrey'!$A$2:$T$166,{8,17,18,20},FALSE)</f>
        <v>#REF!</v>
      </c>
      <c r="O36" s="8" t="e">
        <v>#REF!</v>
      </c>
      <c r="P36" s="8" t="e">
        <v>#REF!</v>
      </c>
      <c r="Q36" s="8" t="e">
        <v>#REF!</v>
      </c>
      <c r="R36" s="139" t="str">
        <f t="shared" ref="R36:W36" si="35">#REF!</f>
        <v>#REF!</v>
      </c>
      <c r="S36" s="8" t="str">
        <f t="shared" si="35"/>
        <v>#REF!</v>
      </c>
      <c r="T36" s="8" t="str">
        <f t="shared" si="35"/>
        <v>#REF!</v>
      </c>
      <c r="U36" s="8" t="str">
        <f t="shared" si="35"/>
        <v>#REF!</v>
      </c>
      <c r="V36" s="8" t="str">
        <f t="shared" si="35"/>
        <v>#REF!</v>
      </c>
      <c r="W36" s="140" t="str">
        <f t="shared" si="35"/>
        <v>#REF!</v>
      </c>
    </row>
    <row r="37">
      <c r="A37" s="103">
        <v>32.0</v>
      </c>
      <c r="B37" s="104" t="s">
        <v>350</v>
      </c>
      <c r="C37" s="84" t="s">
        <v>351</v>
      </c>
      <c r="M37" s="139"/>
      <c r="N37" s="27" t="str">
        <f t="array" ref="N37:Q37">VLOOKUP($B37,'CarePortal - Audrey'!$A$2:$T$166,{8,17,18,20},FALSE)</f>
        <v>#REF!</v>
      </c>
      <c r="O37" s="8" t="e">
        <v>#REF!</v>
      </c>
      <c r="P37" s="8" t="e">
        <v>#REF!</v>
      </c>
      <c r="Q37" s="8" t="e">
        <v>#REF!</v>
      </c>
      <c r="R37" s="139"/>
      <c r="W37" s="140"/>
    </row>
    <row r="38">
      <c r="A38" s="103">
        <v>33.0</v>
      </c>
      <c r="B38" s="104" t="s">
        <v>353</v>
      </c>
      <c r="C38" s="84" t="s">
        <v>274</v>
      </c>
      <c r="M38" s="139"/>
      <c r="N38" s="27" t="str">
        <f t="array" ref="N38:Q38">VLOOKUP($B38,'CarePortal - Audrey'!$A$2:$T$166,{8,17,18,20},FALSE)</f>
        <v>#REF!</v>
      </c>
      <c r="O38" s="8" t="e">
        <v>#REF!</v>
      </c>
      <c r="P38" s="8" t="e">
        <v>#REF!</v>
      </c>
      <c r="Q38" s="8" t="e">
        <v>#REF!</v>
      </c>
      <c r="R38" s="139"/>
      <c r="W38" s="140"/>
    </row>
    <row r="39">
      <c r="A39" s="103">
        <v>34.0</v>
      </c>
      <c r="B39" s="104" t="s">
        <v>355</v>
      </c>
      <c r="C39" s="84" t="s">
        <v>219</v>
      </c>
      <c r="M39" s="139"/>
      <c r="N39" s="27" t="str">
        <f t="array" ref="N39:Q39">VLOOKUP($B39,'CarePortal - Audrey'!$A$2:$T$166,{8,17,18,20},FALSE)</f>
        <v>#REF!</v>
      </c>
      <c r="O39" s="8" t="e">
        <v>#REF!</v>
      </c>
      <c r="P39" s="8" t="e">
        <v>#REF!</v>
      </c>
      <c r="Q39" s="8" t="e">
        <v>#REF!</v>
      </c>
      <c r="R39" s="139"/>
      <c r="W39" s="140"/>
    </row>
    <row r="40">
      <c r="A40" s="103">
        <v>35.0</v>
      </c>
      <c r="B40" s="104" t="s">
        <v>359</v>
      </c>
      <c r="C40" s="84" t="s">
        <v>339</v>
      </c>
      <c r="M40" s="139"/>
      <c r="N40" s="27" t="str">
        <f t="array" ref="N40:Q40">VLOOKUP($B40,'CarePortal - Audrey'!$A$2:$T$166,{8,17,18,20},FALSE)</f>
        <v>#REF!</v>
      </c>
      <c r="O40" s="8" t="e">
        <v>#REF!</v>
      </c>
      <c r="P40" s="8" t="e">
        <v>#REF!</v>
      </c>
      <c r="Q40" s="8" t="e">
        <v>#REF!</v>
      </c>
      <c r="R40" s="139"/>
      <c r="W40" s="140"/>
    </row>
    <row r="41">
      <c r="A41" s="103">
        <v>36.0</v>
      </c>
      <c r="B41" s="104" t="s">
        <v>363</v>
      </c>
      <c r="C41" s="84" t="s">
        <v>287</v>
      </c>
      <c r="M41" s="139"/>
      <c r="N41" s="27" t="str">
        <f t="array" ref="N41:Q41">VLOOKUP($B41,'CarePortal - Audrey'!$A$2:$T$166,{8,17,18,20},FALSE)</f>
        <v>#REF!</v>
      </c>
      <c r="O41" s="8" t="e">
        <v>#REF!</v>
      </c>
      <c r="P41" s="8" t="e">
        <v>#REF!</v>
      </c>
      <c r="Q41" s="8" t="e">
        <v>#REF!</v>
      </c>
      <c r="R41" s="139"/>
      <c r="W41" s="140"/>
    </row>
    <row r="42">
      <c r="A42" s="103">
        <v>37.0</v>
      </c>
      <c r="B42" s="104" t="s">
        <v>367</v>
      </c>
      <c r="C42" s="84" t="s">
        <v>368</v>
      </c>
      <c r="M42" s="139"/>
      <c r="N42" s="27" t="str">
        <f t="array" ref="N42:Q42">VLOOKUP($B42,'CarePortal - Audrey'!$A$2:$T$166,{8,17,18,20},FALSE)</f>
        <v>#REF!</v>
      </c>
      <c r="O42" s="8" t="e">
        <v>#REF!</v>
      </c>
      <c r="P42" s="8" t="e">
        <v>#REF!</v>
      </c>
      <c r="Q42" s="8" t="e">
        <v>#REF!</v>
      </c>
      <c r="R42" s="139"/>
      <c r="W42" s="140"/>
    </row>
    <row r="43">
      <c r="A43" s="103">
        <v>38.0</v>
      </c>
      <c r="B43" s="104" t="s">
        <v>374</v>
      </c>
      <c r="C43" s="84" t="s">
        <v>375</v>
      </c>
      <c r="M43" s="139"/>
      <c r="N43" s="27"/>
      <c r="R43" s="139"/>
      <c r="W43" s="140"/>
    </row>
    <row r="44">
      <c r="A44" s="103">
        <v>39.0</v>
      </c>
      <c r="B44" s="104" t="s">
        <v>327</v>
      </c>
      <c r="C44" s="141" t="s">
        <v>184</v>
      </c>
      <c r="M44" s="139"/>
      <c r="N44" s="27" t="str">
        <f t="array" ref="N44:Q44">VLOOKUP($B44,'CarePortal - Audrey'!$A$2:$T$166,{8,17,18,20},FALSE)</f>
        <v>#REF!</v>
      </c>
      <c r="O44" s="8" t="e">
        <v>#REF!</v>
      </c>
      <c r="P44" s="8" t="e">
        <v>#REF!</v>
      </c>
      <c r="Q44" s="8" t="e">
        <v>#REF!</v>
      </c>
      <c r="R44" s="139"/>
      <c r="W44" s="140"/>
    </row>
    <row r="45">
      <c r="A45" s="103">
        <v>40.0</v>
      </c>
      <c r="B45" s="104" t="s">
        <v>381</v>
      </c>
      <c r="C45" s="84" t="s">
        <v>382</v>
      </c>
      <c r="M45" s="139"/>
      <c r="N45" s="27" t="str">
        <f t="array" ref="N45:Q45">VLOOKUP($B45,'CarePortal - Audrey'!$A$2:$T$166,{8,17,18,20},FALSE)</f>
        <v>#REF!</v>
      </c>
      <c r="O45" s="8" t="e">
        <v>#REF!</v>
      </c>
      <c r="P45" s="8" t="e">
        <v>#REF!</v>
      </c>
      <c r="Q45" s="8" t="e">
        <v>#REF!</v>
      </c>
      <c r="R45" s="139"/>
      <c r="W45" s="140"/>
    </row>
    <row r="46">
      <c r="A46" s="103">
        <v>41.0</v>
      </c>
      <c r="B46" s="104" t="s">
        <v>385</v>
      </c>
      <c r="C46" s="84" t="s">
        <v>382</v>
      </c>
      <c r="M46" s="139"/>
      <c r="N46" s="27" t="str">
        <f t="array" ref="N46:Q46">VLOOKUP($B46,'CarePortal - Audrey'!$A$2:$T$166,{8,17,18,20},FALSE)</f>
        <v>#REF!</v>
      </c>
      <c r="O46" s="8" t="e">
        <v>#REF!</v>
      </c>
      <c r="P46" s="8" t="e">
        <v>#REF!</v>
      </c>
      <c r="Q46" s="8" t="e">
        <v>#REF!</v>
      </c>
      <c r="R46" s="139"/>
      <c r="W46" s="140"/>
    </row>
    <row r="47">
      <c r="A47" s="103">
        <v>42.0</v>
      </c>
      <c r="B47" s="104" t="s">
        <v>157</v>
      </c>
      <c r="C47" s="84" t="s">
        <v>387</v>
      </c>
      <c r="M47" s="139"/>
      <c r="N47" s="27" t="str">
        <f t="array" ref="N47:Q47">VLOOKUP($B47,'CarePortal - Audrey'!$A$2:$T$166,{8,17,18,20},FALSE)</f>
        <v>#REF!</v>
      </c>
      <c r="O47" s="8" t="e">
        <v>#REF!</v>
      </c>
      <c r="P47" s="8" t="e">
        <v>#REF!</v>
      </c>
      <c r="Q47" s="8" t="e">
        <v>#REF!</v>
      </c>
      <c r="R47" s="139"/>
      <c r="W47" s="140"/>
    </row>
    <row r="48">
      <c r="A48" s="103">
        <v>43.0</v>
      </c>
      <c r="B48" s="104" t="s">
        <v>275</v>
      </c>
      <c r="C48" s="84" t="s">
        <v>393</v>
      </c>
      <c r="M48" s="139"/>
      <c r="N48" s="27" t="str">
        <f t="array" ref="N48:Q48">VLOOKUP($B48,'CarePortal - Audrey'!$A$2:$T$166,{8,17,18,20},FALSE)</f>
        <v>#REF!</v>
      </c>
      <c r="O48" s="8" t="e">
        <v>#REF!</v>
      </c>
      <c r="P48" s="8" t="e">
        <v>#REF!</v>
      </c>
      <c r="Q48" s="8" t="e">
        <v>#REF!</v>
      </c>
      <c r="R48" s="139"/>
      <c r="W48" s="140"/>
    </row>
    <row r="49">
      <c r="A49" s="103">
        <v>44.0</v>
      </c>
      <c r="B49" s="104" t="s">
        <v>230</v>
      </c>
      <c r="C49" s="141" t="s">
        <v>217</v>
      </c>
      <c r="M49" s="139"/>
      <c r="N49" s="27" t="str">
        <f t="array" ref="N49:Q49">VLOOKUP($B49,'CarePortal - Audrey'!$A$2:$T$166,{8,17,18,20},FALSE)</f>
        <v>#REF!</v>
      </c>
      <c r="O49" s="8" t="e">
        <v>#REF!</v>
      </c>
      <c r="P49" s="8" t="e">
        <v>#REF!</v>
      </c>
      <c r="Q49" s="8" t="e">
        <v>#REF!</v>
      </c>
      <c r="R49" s="139"/>
      <c r="W49" s="140"/>
    </row>
    <row r="50">
      <c r="A50" s="103">
        <v>45.0</v>
      </c>
      <c r="B50" s="104" t="s">
        <v>405</v>
      </c>
      <c r="C50" s="84" t="s">
        <v>219</v>
      </c>
      <c r="M50" s="139"/>
      <c r="N50" s="27" t="str">
        <f t="array" ref="N50:Q50">VLOOKUP($B50,'CarePortal - Audrey'!$A$2:$T$166,{8,17,18,20},FALSE)</f>
        <v>#REF!</v>
      </c>
      <c r="O50" s="8" t="e">
        <v>#REF!</v>
      </c>
      <c r="P50" s="8" t="e">
        <v>#REF!</v>
      </c>
      <c r="Q50" s="8" t="e">
        <v>#REF!</v>
      </c>
      <c r="R50" s="139"/>
      <c r="W50" s="140"/>
    </row>
    <row r="51">
      <c r="A51" s="103">
        <v>46.0</v>
      </c>
      <c r="B51" s="104" t="s">
        <v>409</v>
      </c>
      <c r="C51" s="84" t="s">
        <v>410</v>
      </c>
      <c r="M51" s="139"/>
      <c r="N51" s="27" t="str">
        <f t="array" ref="N51:Q51">VLOOKUP($B51,'CarePortal - Audrey'!$A$2:$T$166,{8,17,18,20},FALSE)</f>
        <v>#REF!</v>
      </c>
      <c r="O51" s="8" t="e">
        <v>#REF!</v>
      </c>
      <c r="P51" s="8" t="e">
        <v>#REF!</v>
      </c>
      <c r="Q51" s="8" t="e">
        <v>#REF!</v>
      </c>
      <c r="R51" s="139"/>
      <c r="W51" s="140"/>
    </row>
    <row r="52">
      <c r="A52" s="103">
        <v>47.0</v>
      </c>
      <c r="B52" s="104" t="s">
        <v>331</v>
      </c>
      <c r="C52" s="141" t="s">
        <v>184</v>
      </c>
      <c r="M52" s="139"/>
      <c r="N52" s="27" t="str">
        <f t="array" ref="N52:Q52">VLOOKUP($B52,'CarePortal - Audrey'!$A$2:$T$166,{8,17,18,20},FALSE)</f>
        <v>#REF!</v>
      </c>
      <c r="O52" s="8" t="e">
        <v>#REF!</v>
      </c>
      <c r="P52" s="8" t="e">
        <v>#REF!</v>
      </c>
      <c r="Q52" s="8" t="e">
        <v>#REF!</v>
      </c>
      <c r="R52" s="139"/>
      <c r="W52" s="140"/>
    </row>
    <row r="53">
      <c r="A53" s="103">
        <v>48.0</v>
      </c>
      <c r="B53" s="104" t="s">
        <v>419</v>
      </c>
      <c r="C53" s="84" t="s">
        <v>420</v>
      </c>
      <c r="M53" s="139"/>
      <c r="N53" s="27" t="str">
        <f t="array" ref="N53:Q53">VLOOKUP($B53,'CarePortal - Audrey'!$A$2:$T$166,{8,17,18,20},FALSE)</f>
        <v>#REF!</v>
      </c>
      <c r="O53" s="8" t="e">
        <v>#REF!</v>
      </c>
      <c r="P53" s="8" t="e">
        <v>#REF!</v>
      </c>
      <c r="Q53" s="8" t="e">
        <v>#REF!</v>
      </c>
      <c r="R53" s="139"/>
      <c r="W53" s="140"/>
    </row>
    <row r="54">
      <c r="A54" s="103">
        <v>49.0</v>
      </c>
      <c r="B54" s="104" t="s">
        <v>423</v>
      </c>
      <c r="C54" s="84" t="s">
        <v>245</v>
      </c>
      <c r="M54" s="139"/>
      <c r="N54" s="27" t="str">
        <f t="array" ref="N54:Q54">VLOOKUP($B54,'CarePortal - Audrey'!$A$2:$T$166,{8,17,18,20},FALSE)</f>
        <v>#REF!</v>
      </c>
      <c r="O54" s="8" t="e">
        <v>#REF!</v>
      </c>
      <c r="P54" s="8" t="e">
        <v>#REF!</v>
      </c>
      <c r="Q54" s="8" t="e">
        <v>#REF!</v>
      </c>
      <c r="R54" s="139"/>
      <c r="W54" s="140"/>
    </row>
    <row r="55">
      <c r="A55" s="103">
        <v>50.0</v>
      </c>
      <c r="B55" s="104" t="s">
        <v>426</v>
      </c>
      <c r="C55" s="84" t="s">
        <v>250</v>
      </c>
      <c r="M55" s="139"/>
      <c r="N55" s="27" t="str">
        <f t="array" ref="N55:Q55">VLOOKUP($B55,'CarePortal - Audrey'!$A$2:$T$166,{8,17,18,20},FALSE)</f>
        <v>#REF!</v>
      </c>
      <c r="O55" s="8" t="e">
        <v>#REF!</v>
      </c>
      <c r="P55" s="8" t="e">
        <v>#REF!</v>
      </c>
      <c r="Q55" s="8" t="e">
        <v>#REF!</v>
      </c>
      <c r="R55" s="139"/>
      <c r="W55" s="140"/>
    </row>
    <row r="56">
      <c r="A56" s="103">
        <v>51.0</v>
      </c>
      <c r="B56" s="104" t="s">
        <v>153</v>
      </c>
      <c r="C56" s="84" t="s">
        <v>430</v>
      </c>
      <c r="M56" s="139"/>
      <c r="N56" s="27" t="str">
        <f t="array" ref="N56:Q56">VLOOKUP($B56,'CarePortal - Audrey'!$A$2:$T$166,{8,17,18,20},FALSE)</f>
        <v>#REF!</v>
      </c>
      <c r="O56" s="8" t="e">
        <v>#REF!</v>
      </c>
      <c r="P56" s="8" t="e">
        <v>#REF!</v>
      </c>
      <c r="Q56" s="8" t="e">
        <v>#REF!</v>
      </c>
      <c r="R56" s="139"/>
      <c r="W56" s="140"/>
    </row>
    <row r="57">
      <c r="A57" s="103">
        <v>52.0</v>
      </c>
      <c r="B57" s="104" t="s">
        <v>433</v>
      </c>
      <c r="C57" s="84" t="s">
        <v>245</v>
      </c>
      <c r="M57" s="139"/>
      <c r="N57" s="27" t="str">
        <f t="array" ref="N57:Q57">VLOOKUP($B57,'CarePortal - Audrey'!$A$2:$T$166,{8,17,18,20},FALSE)</f>
        <v>#REF!</v>
      </c>
      <c r="O57" s="8" t="e">
        <v>#REF!</v>
      </c>
      <c r="P57" s="8" t="e">
        <v>#REF!</v>
      </c>
      <c r="Q57" s="8" t="e">
        <v>#REF!</v>
      </c>
      <c r="R57" s="139"/>
      <c r="W57" s="140"/>
    </row>
    <row r="58">
      <c r="A58" s="103">
        <v>53.0</v>
      </c>
      <c r="B58" s="104" t="s">
        <v>437</v>
      </c>
      <c r="C58" s="84" t="s">
        <v>438</v>
      </c>
      <c r="M58" s="139"/>
      <c r="N58" s="27" t="str">
        <f t="array" ref="N58:Q58">VLOOKUP($B58,'CarePortal - Audrey'!$A$2:$T$166,{8,17,18,20},FALSE)</f>
        <v>#REF!</v>
      </c>
      <c r="O58" s="8" t="e">
        <v>#REF!</v>
      </c>
      <c r="P58" s="8" t="e">
        <v>#REF!</v>
      </c>
      <c r="Q58" s="8" t="e">
        <v>#REF!</v>
      </c>
      <c r="R58" s="139"/>
      <c r="W58" s="140"/>
    </row>
    <row r="59">
      <c r="A59" s="103">
        <v>54.0</v>
      </c>
      <c r="B59" s="104" t="s">
        <v>442</v>
      </c>
      <c r="C59" s="84" t="s">
        <v>443</v>
      </c>
      <c r="M59" s="139"/>
      <c r="N59" s="27" t="str">
        <f t="array" ref="N59:Q59">VLOOKUP($B59,'CarePortal - Audrey'!$A$2:$T$166,{8,17,18,20},FALSE)</f>
        <v>#REF!</v>
      </c>
      <c r="O59" s="8" t="e">
        <v>#REF!</v>
      </c>
      <c r="P59" s="8" t="e">
        <v>#REF!</v>
      </c>
      <c r="Q59" s="8" t="e">
        <v>#REF!</v>
      </c>
      <c r="R59" s="139"/>
      <c r="W59" s="140"/>
    </row>
    <row r="60">
      <c r="A60" s="103">
        <v>55.0</v>
      </c>
      <c r="B60" s="104" t="s">
        <v>447</v>
      </c>
      <c r="C60" s="84" t="s">
        <v>448</v>
      </c>
      <c r="M60" s="139"/>
      <c r="N60" s="27" t="str">
        <f t="array" ref="N60:Q60">VLOOKUP($B60,'CarePortal - Audrey'!$A$2:$T$166,{8,17,18,20},FALSE)</f>
        <v>#REF!</v>
      </c>
      <c r="O60" s="8" t="e">
        <v>#REF!</v>
      </c>
      <c r="P60" s="8" t="e">
        <v>#REF!</v>
      </c>
      <c r="Q60" s="8" t="e">
        <v>#REF!</v>
      </c>
      <c r="R60" s="139"/>
      <c r="W60" s="140"/>
    </row>
    <row r="61">
      <c r="A61" s="103">
        <v>56.0</v>
      </c>
      <c r="B61" s="104" t="s">
        <v>168</v>
      </c>
      <c r="C61" s="84" t="s">
        <v>452</v>
      </c>
      <c r="M61" s="139"/>
      <c r="N61" s="27" t="str">
        <f t="array" ref="N61:Q61">VLOOKUP($B61,'CarePortal - Audrey'!$A$2:$T$166,{8,17,18,20},FALSE)</f>
        <v>#REF!</v>
      </c>
      <c r="O61" s="8" t="e">
        <v>#REF!</v>
      </c>
      <c r="P61" s="8" t="e">
        <v>#REF!</v>
      </c>
      <c r="Q61" s="8" t="e">
        <v>#REF!</v>
      </c>
      <c r="R61" s="139"/>
      <c r="W61" s="140"/>
    </row>
    <row r="62">
      <c r="A62" s="103">
        <v>57.0</v>
      </c>
      <c r="B62" s="104" t="s">
        <v>456</v>
      </c>
      <c r="C62" s="84" t="s">
        <v>203</v>
      </c>
      <c r="M62" s="139"/>
      <c r="N62" s="27" t="str">
        <f t="array" ref="N62:Q62">VLOOKUP($B62,'CarePortal - Audrey'!$A$2:$T$166,{8,17,18,20},FALSE)</f>
        <v>#REF!</v>
      </c>
      <c r="O62" s="8" t="e">
        <v>#REF!</v>
      </c>
      <c r="P62" s="8" t="e">
        <v>#REF!</v>
      </c>
      <c r="Q62" s="8" t="e">
        <v>#REF!</v>
      </c>
      <c r="R62" s="139"/>
      <c r="W62" s="140"/>
    </row>
    <row r="63">
      <c r="A63" s="103">
        <v>58.0</v>
      </c>
      <c r="B63" s="104" t="s">
        <v>460</v>
      </c>
      <c r="C63" s="84" t="s">
        <v>393</v>
      </c>
      <c r="M63" s="139"/>
      <c r="N63" s="27" t="str">
        <f t="array" ref="N63:Q63">VLOOKUP($B63,'CarePortal - Audrey'!$A$2:$T$166,{8,17,18,20},FALSE)</f>
        <v>#REF!</v>
      </c>
      <c r="O63" s="8" t="e">
        <v>#REF!</v>
      </c>
      <c r="P63" s="8" t="e">
        <v>#REF!</v>
      </c>
      <c r="Q63" s="8" t="e">
        <v>#REF!</v>
      </c>
      <c r="R63" s="139"/>
      <c r="W63" s="140"/>
    </row>
    <row r="64">
      <c r="A64" s="103">
        <v>59.0</v>
      </c>
      <c r="B64" s="104" t="s">
        <v>464</v>
      </c>
      <c r="C64" s="84" t="s">
        <v>250</v>
      </c>
      <c r="M64" s="139"/>
      <c r="N64" s="27" t="str">
        <f t="array" ref="N64:Q64">VLOOKUP($B64,'CarePortal - Audrey'!$A$2:$T$166,{8,17,18,20},FALSE)</f>
        <v>#REF!</v>
      </c>
      <c r="O64" s="8" t="e">
        <v>#REF!</v>
      </c>
      <c r="P64" s="8" t="e">
        <v>#REF!</v>
      </c>
      <c r="Q64" s="8" t="e">
        <v>#REF!</v>
      </c>
      <c r="R64" s="139"/>
      <c r="W64" s="140"/>
    </row>
    <row r="65">
      <c r="A65" s="103">
        <v>60.0</v>
      </c>
      <c r="B65" s="104" t="s">
        <v>465</v>
      </c>
      <c r="C65" s="84" t="s">
        <v>387</v>
      </c>
      <c r="M65" s="139"/>
      <c r="N65" s="27" t="str">
        <f t="array" ref="N65:Q65">VLOOKUP($B65,'CarePortal - Audrey'!$A$2:$T$166,{8,17,18,20},FALSE)</f>
        <v>#REF!</v>
      </c>
      <c r="O65" s="8" t="e">
        <v>#REF!</v>
      </c>
      <c r="P65" s="8" t="e">
        <v>#REF!</v>
      </c>
      <c r="Q65" s="8" t="e">
        <v>#REF!</v>
      </c>
      <c r="R65" s="139"/>
      <c r="W65" s="140"/>
    </row>
    <row r="66">
      <c r="A66" s="103">
        <v>61.0</v>
      </c>
      <c r="B66" s="104" t="s">
        <v>336</v>
      </c>
      <c r="C66" s="141" t="s">
        <v>184</v>
      </c>
      <c r="M66" s="139"/>
      <c r="N66" s="27" t="str">
        <f t="array" ref="N66:Q66">VLOOKUP($B66,'CarePortal - Audrey'!$A$2:$T$166,{8,17,18,20},FALSE)</f>
        <v>#REF!</v>
      </c>
      <c r="O66" s="8" t="e">
        <v>#REF!</v>
      </c>
      <c r="P66" s="8" t="e">
        <v>#REF!</v>
      </c>
      <c r="Q66" s="8" t="e">
        <v>#REF!</v>
      </c>
      <c r="R66" s="139"/>
      <c r="W66" s="140"/>
    </row>
    <row r="67">
      <c r="A67" s="103">
        <v>62.0</v>
      </c>
      <c r="B67" s="104" t="s">
        <v>466</v>
      </c>
      <c r="C67" s="84" t="s">
        <v>443</v>
      </c>
      <c r="M67" s="139"/>
      <c r="N67" s="27" t="str">
        <f t="array" ref="N67:Q67">VLOOKUP($B67,'CarePortal - Audrey'!$A$2:$T$166,{8,17,18,20},FALSE)</f>
        <v>#REF!</v>
      </c>
      <c r="O67" s="8" t="e">
        <v>#REF!</v>
      </c>
      <c r="P67" s="8" t="e">
        <v>#REF!</v>
      </c>
      <c r="Q67" s="8" t="e">
        <v>#REF!</v>
      </c>
      <c r="R67" s="139"/>
      <c r="W67" s="140"/>
    </row>
    <row r="68">
      <c r="A68" s="103">
        <v>63.0</v>
      </c>
      <c r="B68" s="104" t="s">
        <v>473</v>
      </c>
      <c r="C68" s="84" t="s">
        <v>256</v>
      </c>
      <c r="M68" s="139"/>
      <c r="N68" s="27" t="str">
        <f t="array" ref="N68:Q68">VLOOKUP($B68,'CarePortal - Audrey'!$A$2:$T$166,{8,17,18,20},FALSE)</f>
        <v>#REF!</v>
      </c>
      <c r="O68" s="8" t="e">
        <v>#REF!</v>
      </c>
      <c r="P68" s="8" t="e">
        <v>#REF!</v>
      </c>
      <c r="Q68" s="8" t="e">
        <v>#REF!</v>
      </c>
      <c r="R68" s="139"/>
      <c r="W68" s="140"/>
    </row>
    <row r="69">
      <c r="A69" s="103">
        <v>64.0</v>
      </c>
      <c r="B69" s="104" t="s">
        <v>357</v>
      </c>
      <c r="C69" s="141" t="s">
        <v>184</v>
      </c>
      <c r="M69" s="139"/>
      <c r="N69" s="27" t="str">
        <f t="array" ref="N69:Q69">VLOOKUP($B69,'CarePortal - Audrey'!$A$2:$T$166,{8,17,18,20},FALSE)</f>
        <v>#REF!</v>
      </c>
      <c r="O69" s="8" t="e">
        <v>#REF!</v>
      </c>
      <c r="P69" s="8" t="e">
        <v>#REF!</v>
      </c>
      <c r="Q69" s="8" t="e">
        <v>#REF!</v>
      </c>
      <c r="R69" s="139"/>
      <c r="W69" s="140"/>
    </row>
    <row r="70">
      <c r="A70" s="103">
        <v>65.0</v>
      </c>
      <c r="B70" s="104" t="s">
        <v>478</v>
      </c>
      <c r="C70" s="84" t="s">
        <v>274</v>
      </c>
      <c r="M70" s="139"/>
      <c r="N70" s="27" t="str">
        <f t="array" ref="N70:Q70">VLOOKUP($B70,'CarePortal - Audrey'!$A$2:$T$166,{8,17,18,20},FALSE)</f>
        <v>#REF!</v>
      </c>
      <c r="O70" s="8" t="e">
        <v>#REF!</v>
      </c>
      <c r="P70" s="8" t="e">
        <v>#REF!</v>
      </c>
      <c r="Q70" s="8" t="e">
        <v>#REF!</v>
      </c>
      <c r="R70" s="139"/>
      <c r="W70" s="140"/>
    </row>
    <row r="71">
      <c r="A71" s="103">
        <v>66.0</v>
      </c>
      <c r="B71" s="104" t="s">
        <v>480</v>
      </c>
      <c r="C71" s="84" t="s">
        <v>219</v>
      </c>
      <c r="M71" s="139"/>
      <c r="N71" s="27" t="str">
        <f t="array" ref="N71:Q71">VLOOKUP($B71,'CarePortal - Audrey'!$A$2:$T$166,{8,17,18,20},FALSE)</f>
        <v>#REF!</v>
      </c>
      <c r="O71" s="8" t="e">
        <v>#REF!</v>
      </c>
      <c r="P71" s="8" t="e">
        <v>#REF!</v>
      </c>
      <c r="Q71" s="8" t="e">
        <v>#REF!</v>
      </c>
      <c r="R71" s="139"/>
      <c r="W71" s="140"/>
    </row>
    <row r="72">
      <c r="A72" s="103">
        <v>67.0</v>
      </c>
      <c r="B72" s="104" t="s">
        <v>485</v>
      </c>
      <c r="C72" s="84" t="s">
        <v>219</v>
      </c>
      <c r="M72" s="139"/>
      <c r="N72" s="27" t="str">
        <f t="array" ref="N72:Q72">VLOOKUP($B72,'CarePortal - Audrey'!$A$2:$T$166,{8,17,18,20},FALSE)</f>
        <v>#REF!</v>
      </c>
      <c r="O72" s="8" t="e">
        <v>#REF!</v>
      </c>
      <c r="P72" s="8" t="e">
        <v>#REF!</v>
      </c>
      <c r="Q72" s="8" t="e">
        <v>#REF!</v>
      </c>
      <c r="R72" s="139"/>
      <c r="W72" s="140"/>
    </row>
    <row r="73">
      <c r="A73" s="103">
        <v>68.0</v>
      </c>
      <c r="B73" s="104" t="s">
        <v>468</v>
      </c>
      <c r="C73" s="84" t="s">
        <v>443</v>
      </c>
      <c r="M73" s="139"/>
      <c r="N73" s="27" t="str">
        <f t="array" ref="N73:Q73">VLOOKUP($B73,'CarePortal - Audrey'!$A$2:$T$166,{8,17,18,20},FALSE)</f>
        <v>#REF!</v>
      </c>
      <c r="O73" s="8" t="e">
        <v>#REF!</v>
      </c>
      <c r="P73" s="8" t="e">
        <v>#REF!</v>
      </c>
      <c r="Q73" s="8" t="e">
        <v>#REF!</v>
      </c>
      <c r="R73" s="139"/>
      <c r="W73" s="140"/>
    </row>
    <row r="74">
      <c r="A74" s="103">
        <v>69.0</v>
      </c>
      <c r="B74" s="104" t="s">
        <v>379</v>
      </c>
      <c r="C74" s="141" t="s">
        <v>184</v>
      </c>
      <c r="M74" s="139"/>
      <c r="N74" s="27" t="str">
        <f t="array" ref="N74:Q74">VLOOKUP($B74,'CarePortal - Audrey'!$A$2:$T$166,{8,17,18,20},FALSE)</f>
        <v>#REF!</v>
      </c>
      <c r="O74" s="8" t="e">
        <v>#REF!</v>
      </c>
      <c r="P74" s="8" t="e">
        <v>#REF!</v>
      </c>
      <c r="Q74" s="8" t="e">
        <v>#REF!</v>
      </c>
      <c r="R74" s="139"/>
      <c r="W74" s="140"/>
    </row>
    <row r="75">
      <c r="A75" s="103">
        <v>70.0</v>
      </c>
      <c r="B75" s="104" t="s">
        <v>415</v>
      </c>
      <c r="C75" s="84" t="s">
        <v>219</v>
      </c>
      <c r="M75" s="139"/>
      <c r="N75" s="27" t="str">
        <f t="array" ref="N75:Q75">VLOOKUP($B75,'CarePortal - Audrey'!$A$2:$T$166,{8,17,18,20},FALSE)</f>
        <v>#REF!</v>
      </c>
      <c r="O75" s="8" t="e">
        <v>#REF!</v>
      </c>
      <c r="P75" s="8" t="e">
        <v>#REF!</v>
      </c>
      <c r="Q75" s="8" t="e">
        <v>#REF!</v>
      </c>
      <c r="R75" s="139"/>
      <c r="W75" s="140"/>
    </row>
    <row r="76">
      <c r="A76" s="103">
        <v>71.0</v>
      </c>
      <c r="B76" s="104" t="s">
        <v>492</v>
      </c>
      <c r="C76" s="84" t="s">
        <v>282</v>
      </c>
      <c r="M76" s="139"/>
      <c r="N76" s="27" t="str">
        <f t="array" ref="N76:Q76">VLOOKUP($B76,'CarePortal - Audrey'!$A$2:$T$166,{8,17,18,20},FALSE)</f>
        <v>#REF!</v>
      </c>
      <c r="O76" s="8" t="e">
        <v>#REF!</v>
      </c>
      <c r="P76" s="8" t="e">
        <v>#REF!</v>
      </c>
      <c r="Q76" s="8" t="e">
        <v>#REF!</v>
      </c>
      <c r="R76" s="139"/>
      <c r="W76" s="140"/>
    </row>
    <row r="77">
      <c r="A77" s="103">
        <v>72.0</v>
      </c>
      <c r="B77" s="104" t="s">
        <v>281</v>
      </c>
      <c r="C77" s="84" t="s">
        <v>448</v>
      </c>
      <c r="M77" s="139"/>
      <c r="N77" s="27" t="str">
        <f t="array" ref="N77:Q77">VLOOKUP($B77,'CarePortal - Audrey'!$A$2:$T$166,{8,17,18,20},FALSE)</f>
        <v>#REF!</v>
      </c>
      <c r="O77" s="8" t="e">
        <v>#REF!</v>
      </c>
      <c r="P77" s="8" t="e">
        <v>#REF!</v>
      </c>
      <c r="Q77" s="8" t="e">
        <v>#REF!</v>
      </c>
      <c r="R77" s="139"/>
      <c r="W77" s="140"/>
    </row>
    <row r="78">
      <c r="A78" s="103">
        <v>73.0</v>
      </c>
      <c r="B78" s="104" t="s">
        <v>157</v>
      </c>
      <c r="C78" s="84" t="s">
        <v>287</v>
      </c>
      <c r="M78" s="139"/>
      <c r="N78" s="27" t="str">
        <f t="array" ref="N78:Q78">VLOOKUP($B78,'CarePortal - Audrey'!$A$2:$T$166,{8,17,18,20},FALSE)</f>
        <v>#REF!</v>
      </c>
      <c r="O78" s="8" t="e">
        <v>#REF!</v>
      </c>
      <c r="P78" s="8" t="e">
        <v>#REF!</v>
      </c>
      <c r="Q78" s="8" t="e">
        <v>#REF!</v>
      </c>
      <c r="R78" s="139"/>
      <c r="W78" s="140"/>
    </row>
    <row r="79">
      <c r="A79" s="103">
        <v>74.0</v>
      </c>
      <c r="B79" s="104" t="s">
        <v>503</v>
      </c>
      <c r="C79" s="84" t="s">
        <v>387</v>
      </c>
      <c r="M79" s="139"/>
      <c r="N79" s="27" t="str">
        <f t="array" ref="N79:Q79">VLOOKUP($B79,'CarePortal - Audrey'!$A$2:$T$166,{8,17,18,20},FALSE)</f>
        <v>#REF!</v>
      </c>
      <c r="O79" s="8" t="e">
        <v>#REF!</v>
      </c>
      <c r="P79" s="8" t="e">
        <v>#REF!</v>
      </c>
      <c r="Q79" s="8" t="e">
        <v>#REF!</v>
      </c>
      <c r="R79" s="139"/>
      <c r="W79" s="140"/>
    </row>
    <row r="80">
      <c r="A80" s="103">
        <v>75.0</v>
      </c>
      <c r="B80" s="104" t="s">
        <v>497</v>
      </c>
      <c r="C80" s="84" t="s">
        <v>339</v>
      </c>
      <c r="M80" s="139"/>
      <c r="N80" s="27" t="str">
        <f t="array" ref="N80:Q80">VLOOKUP($B80,'CarePortal - Audrey'!$A$2:$T$166,{8,17,18,20},FALSE)</f>
        <v>#REF!</v>
      </c>
      <c r="O80" s="8" t="e">
        <v>#REF!</v>
      </c>
      <c r="P80" s="8" t="e">
        <v>#REF!</v>
      </c>
      <c r="Q80" s="8" t="e">
        <v>#REF!</v>
      </c>
      <c r="R80" s="139"/>
      <c r="W80" s="140"/>
    </row>
    <row r="81">
      <c r="A81" s="103">
        <v>76.0</v>
      </c>
      <c r="B81" s="104" t="s">
        <v>507</v>
      </c>
      <c r="C81" s="84" t="s">
        <v>256</v>
      </c>
      <c r="M81" s="139"/>
      <c r="N81" s="27" t="str">
        <f t="array" ref="N81:Q81">VLOOKUP($B81,'CarePortal - Audrey'!$A$2:$T$166,{8,17,18,20},FALSE)</f>
        <v>#REF!</v>
      </c>
      <c r="O81" s="8" t="e">
        <v>#REF!</v>
      </c>
      <c r="P81" s="8" t="e">
        <v>#REF!</v>
      </c>
      <c r="Q81" s="8" t="e">
        <v>#REF!</v>
      </c>
      <c r="R81" s="139"/>
      <c r="W81" s="140"/>
    </row>
    <row r="82">
      <c r="A82" s="103">
        <v>77.0</v>
      </c>
      <c r="B82" s="104" t="s">
        <v>511</v>
      </c>
      <c r="C82" s="84" t="s">
        <v>512</v>
      </c>
      <c r="M82" s="139"/>
      <c r="N82" s="27" t="str">
        <f t="array" ref="N82:Q82">VLOOKUP($B82,'CarePortal - Audrey'!$A$2:$T$166,{8,17,18,20},FALSE)</f>
        <v>#REF!</v>
      </c>
      <c r="O82" s="8" t="e">
        <v>#REF!</v>
      </c>
      <c r="P82" s="8" t="e">
        <v>#REF!</v>
      </c>
      <c r="Q82" s="8" t="e">
        <v>#REF!</v>
      </c>
      <c r="R82" s="139"/>
      <c r="W82" s="140"/>
    </row>
    <row r="83">
      <c r="A83" s="103">
        <v>78.0</v>
      </c>
      <c r="B83" s="104" t="s">
        <v>299</v>
      </c>
      <c r="C83" s="84" t="s">
        <v>282</v>
      </c>
      <c r="M83" s="139"/>
      <c r="N83" s="27" t="str">
        <f t="array" ref="N83:Q83">VLOOKUP($B83,'CarePortal - Audrey'!$A$2:$T$166,{8,17,18,20},FALSE)</f>
        <v>#REF!</v>
      </c>
      <c r="O83" s="8" t="e">
        <v>#REF!</v>
      </c>
      <c r="P83" s="8" t="e">
        <v>#REF!</v>
      </c>
      <c r="Q83" s="8" t="e">
        <v>#REF!</v>
      </c>
      <c r="R83" s="139"/>
      <c r="W83" s="140"/>
    </row>
    <row r="84">
      <c r="A84" s="103">
        <v>79.0</v>
      </c>
      <c r="B84" s="104" t="s">
        <v>516</v>
      </c>
      <c r="C84" s="84" t="s">
        <v>448</v>
      </c>
      <c r="M84" s="139"/>
      <c r="N84" s="27" t="str">
        <f t="array" ref="N84:Q84">VLOOKUP($B84,'CarePortal - Audrey'!$A$2:$T$166,{8,17,18,20},FALSE)</f>
        <v>#REF!</v>
      </c>
      <c r="O84" s="8" t="e">
        <v>#REF!</v>
      </c>
      <c r="P84" s="8" t="e">
        <v>#REF!</v>
      </c>
      <c r="Q84" s="8" t="e">
        <v>#REF!</v>
      </c>
      <c r="R84" s="139"/>
      <c r="W84" s="140"/>
    </row>
    <row r="85">
      <c r="A85" s="103">
        <v>80.0</v>
      </c>
      <c r="B85" s="104" t="s">
        <v>102</v>
      </c>
      <c r="C85" s="84" t="s">
        <v>519</v>
      </c>
      <c r="M85" s="139"/>
      <c r="N85" s="27" t="str">
        <f t="array" ref="N85:Q85">VLOOKUP($B85,'CarePortal - Audrey'!$A$2:$T$166,{8,17,18,20},FALSE)</f>
        <v>#REF!</v>
      </c>
      <c r="O85" s="8" t="e">
        <v>#REF!</v>
      </c>
      <c r="P85" s="8" t="e">
        <v>#REF!</v>
      </c>
      <c r="Q85" s="8" t="e">
        <v>#REF!</v>
      </c>
      <c r="R85" s="139"/>
      <c r="W85" s="140"/>
    </row>
    <row r="86">
      <c r="A86" s="103">
        <v>81.0</v>
      </c>
      <c r="B86" s="104" t="s">
        <v>516</v>
      </c>
      <c r="C86" s="84" t="s">
        <v>282</v>
      </c>
      <c r="M86" s="139"/>
      <c r="N86" s="27" t="str">
        <f t="array" ref="N86:Q86">VLOOKUP($B86,'CarePortal - Audrey'!$A$2:$T$166,{8,17,18,20},FALSE)</f>
        <v>#REF!</v>
      </c>
      <c r="O86" s="8" t="e">
        <v>#REF!</v>
      </c>
      <c r="P86" s="8" t="e">
        <v>#REF!</v>
      </c>
      <c r="Q86" s="8" t="e">
        <v>#REF!</v>
      </c>
      <c r="R86" s="139"/>
      <c r="W86" s="140"/>
    </row>
    <row r="87">
      <c r="A87" s="103">
        <v>82.0</v>
      </c>
      <c r="B87" s="104" t="s">
        <v>527</v>
      </c>
      <c r="C87" s="84" t="s">
        <v>219</v>
      </c>
      <c r="M87" s="139"/>
      <c r="N87" s="27" t="str">
        <f t="array" ref="N87:Q87">VLOOKUP($B87,'CarePortal - Audrey'!$A$2:$T$166,{8,17,18,20},FALSE)</f>
        <v>#REF!</v>
      </c>
      <c r="O87" s="8" t="e">
        <v>#REF!</v>
      </c>
      <c r="P87" s="8" t="e">
        <v>#REF!</v>
      </c>
      <c r="Q87" s="8" t="e">
        <v>#REF!</v>
      </c>
      <c r="R87" s="139"/>
      <c r="W87" s="140"/>
    </row>
    <row r="88">
      <c r="A88" s="103">
        <v>83.0</v>
      </c>
      <c r="B88" s="104" t="s">
        <v>143</v>
      </c>
      <c r="C88" s="84" t="s">
        <v>531</v>
      </c>
      <c r="M88" s="139"/>
      <c r="N88" s="27" t="str">
        <f t="array" ref="N88:Q88">VLOOKUP($B88,'CarePortal - Audrey'!$A$2:$T$166,{8,17,18,20},FALSE)</f>
        <v>#REF!</v>
      </c>
      <c r="O88" s="8" t="e">
        <v>#REF!</v>
      </c>
      <c r="P88" s="8" t="e">
        <v>#REF!</v>
      </c>
      <c r="Q88" s="8" t="e">
        <v>#REF!</v>
      </c>
      <c r="R88" s="139"/>
      <c r="W88" s="140"/>
    </row>
    <row r="89">
      <c r="A89" s="103">
        <v>84.0</v>
      </c>
      <c r="B89" s="104" t="s">
        <v>361</v>
      </c>
      <c r="C89" s="141" t="s">
        <v>184</v>
      </c>
      <c r="M89" s="139"/>
      <c r="N89" s="27" t="str">
        <f t="array" ref="N89:Q89">VLOOKUP($B89,'CarePortal - Audrey'!$A$2:$T$166,{8,17,18,20},FALSE)</f>
        <v>#REF!</v>
      </c>
      <c r="O89" s="8" t="e">
        <v>#REF!</v>
      </c>
      <c r="P89" s="8" t="e">
        <v>#REF!</v>
      </c>
      <c r="Q89" s="8" t="e">
        <v>#REF!</v>
      </c>
      <c r="R89" s="139"/>
      <c r="W89" s="140"/>
    </row>
    <row r="90">
      <c r="A90" s="103">
        <v>85.0</v>
      </c>
      <c r="B90" s="104" t="s">
        <v>536</v>
      </c>
      <c r="C90" s="84" t="s">
        <v>393</v>
      </c>
      <c r="M90" s="139"/>
      <c r="N90" s="27" t="str">
        <f t="array" ref="N90:Q90">VLOOKUP($B90,'CarePortal - Audrey'!$A$2:$T$166,{8,17,18,20},FALSE)</f>
        <v>#REF!</v>
      </c>
      <c r="O90" s="8" t="e">
        <v>#REF!</v>
      </c>
      <c r="P90" s="8" t="e">
        <v>#REF!</v>
      </c>
      <c r="Q90" s="8" t="e">
        <v>#REF!</v>
      </c>
      <c r="R90" s="139"/>
      <c r="W90" s="140"/>
    </row>
    <row r="91">
      <c r="A91" s="103">
        <v>86.0</v>
      </c>
      <c r="B91" s="104" t="s">
        <v>131</v>
      </c>
      <c r="C91" s="84" t="s">
        <v>393</v>
      </c>
      <c r="M91" s="139"/>
      <c r="N91" s="27" t="str">
        <f t="array" ref="N91:Q91">VLOOKUP($B91,'CarePortal - Audrey'!$A$2:$T$166,{8,17,18,20},FALSE)</f>
        <v>#REF!</v>
      </c>
      <c r="O91" s="8" t="e">
        <v>#REF!</v>
      </c>
      <c r="P91" s="8" t="e">
        <v>#REF!</v>
      </c>
      <c r="Q91" s="8" t="e">
        <v>#REF!</v>
      </c>
      <c r="R91" s="139"/>
      <c r="W91" s="140"/>
    </row>
    <row r="92">
      <c r="A92" s="103">
        <v>87.0</v>
      </c>
      <c r="B92" s="104" t="s">
        <v>147</v>
      </c>
      <c r="C92" s="84" t="s">
        <v>245</v>
      </c>
      <c r="M92" s="139"/>
      <c r="N92" s="27" t="str">
        <f t="array" ref="N92:Q92">VLOOKUP($B92,'CarePortal - Audrey'!$A$2:$T$166,{8,17,18,20},FALSE)</f>
        <v>#REF!</v>
      </c>
      <c r="O92" s="8" t="e">
        <v>#REF!</v>
      </c>
      <c r="P92" s="8" t="e">
        <v>#REF!</v>
      </c>
      <c r="Q92" s="8" t="e">
        <v>#REF!</v>
      </c>
      <c r="R92" s="139"/>
      <c r="W92" s="140"/>
    </row>
    <row r="93">
      <c r="A93" s="103">
        <v>88.0</v>
      </c>
      <c r="B93" s="104" t="s">
        <v>358</v>
      </c>
      <c r="C93" s="141" t="s">
        <v>184</v>
      </c>
      <c r="M93" s="139"/>
      <c r="N93" s="27" t="str">
        <f t="array" ref="N93:Q93">VLOOKUP($B93,'CarePortal - Audrey'!$A$2:$T$166,{8,17,18,20},FALSE)</f>
        <v>#REF!</v>
      </c>
      <c r="O93" s="8" t="e">
        <v>#REF!</v>
      </c>
      <c r="P93" s="8" t="e">
        <v>#REF!</v>
      </c>
      <c r="Q93" s="8" t="e">
        <v>#REF!</v>
      </c>
      <c r="R93" s="139"/>
      <c r="W93" s="140"/>
    </row>
    <row r="94">
      <c r="A94" s="103">
        <v>89.0</v>
      </c>
      <c r="B94" s="104" t="s">
        <v>156</v>
      </c>
      <c r="C94" s="84" t="s">
        <v>250</v>
      </c>
      <c r="M94" s="139"/>
      <c r="N94" s="27" t="str">
        <f t="array" ref="N94:Q94">VLOOKUP($B94,'CarePortal - Audrey'!$A$2:$T$166,{8,17,18,20},FALSE)</f>
        <v>#REF!</v>
      </c>
      <c r="O94" s="8" t="e">
        <v>#REF!</v>
      </c>
      <c r="P94" s="8" t="e">
        <v>#REF!</v>
      </c>
      <c r="Q94" s="8" t="e">
        <v>#REF!</v>
      </c>
      <c r="R94" s="139"/>
      <c r="W94" s="140"/>
    </row>
    <row r="95">
      <c r="A95" s="103">
        <v>90.0</v>
      </c>
      <c r="B95" s="104" t="s">
        <v>408</v>
      </c>
      <c r="C95" s="84" t="s">
        <v>384</v>
      </c>
      <c r="M95" s="139"/>
      <c r="N95" s="27" t="str">
        <f t="array" ref="N95:Q95">VLOOKUP($B95,'CarePortal - Audrey'!$A$2:$T$166,{8,17,18,20},FALSE)</f>
        <v>#REF!</v>
      </c>
      <c r="O95" s="8" t="e">
        <v>#REF!</v>
      </c>
      <c r="P95" s="8" t="e">
        <v>#REF!</v>
      </c>
      <c r="Q95" s="8" t="e">
        <v>#REF!</v>
      </c>
      <c r="R95" s="139"/>
      <c r="W95" s="140"/>
    </row>
    <row r="96">
      <c r="A96" s="103">
        <v>91.0</v>
      </c>
      <c r="B96" s="104" t="s">
        <v>415</v>
      </c>
      <c r="C96" s="84" t="s">
        <v>384</v>
      </c>
      <c r="M96" s="139"/>
      <c r="N96" s="27" t="str">
        <f t="array" ref="N96:Q96">VLOOKUP($B96,'CarePortal - Audrey'!$A$2:$T$166,{8,17,18,20},FALSE)</f>
        <v>#REF!</v>
      </c>
      <c r="O96" s="8" t="e">
        <v>#REF!</v>
      </c>
      <c r="P96" s="8" t="e">
        <v>#REF!</v>
      </c>
      <c r="Q96" s="8" t="e">
        <v>#REF!</v>
      </c>
      <c r="R96" s="139"/>
      <c r="W96" s="140"/>
    </row>
    <row r="97">
      <c r="A97" s="103">
        <v>92.0</v>
      </c>
      <c r="B97" s="104" t="s">
        <v>302</v>
      </c>
      <c r="C97" s="84" t="s">
        <v>245</v>
      </c>
      <c r="M97" s="139"/>
      <c r="N97" s="27" t="str">
        <f t="array" ref="N97:Q97">VLOOKUP($B97,'CarePortal - Audrey'!$A$2:$T$166,{8,17,18,20},FALSE)</f>
        <v>#REF!</v>
      </c>
      <c r="O97" s="8" t="e">
        <v>#REF!</v>
      </c>
      <c r="P97" s="8" t="e">
        <v>#REF!</v>
      </c>
      <c r="Q97" s="8" t="e">
        <v>#REF!</v>
      </c>
      <c r="R97" s="139"/>
      <c r="W97" s="140"/>
    </row>
    <row r="98">
      <c r="A98" s="103">
        <v>93.0</v>
      </c>
      <c r="B98" s="104" t="s">
        <v>558</v>
      </c>
      <c r="C98" s="84" t="s">
        <v>282</v>
      </c>
      <c r="M98" s="139"/>
      <c r="N98" s="27" t="str">
        <f t="array" ref="N98:Q98">VLOOKUP($B98,'CarePortal - Audrey'!$A$2:$T$166,{8,17,18,20},FALSE)</f>
        <v>#REF!</v>
      </c>
      <c r="O98" s="8" t="e">
        <v>#REF!</v>
      </c>
      <c r="P98" s="8" t="e">
        <v>#REF!</v>
      </c>
      <c r="Q98" s="8" t="e">
        <v>#REF!</v>
      </c>
      <c r="R98" s="139"/>
      <c r="W98" s="140"/>
    </row>
    <row r="99">
      <c r="A99" s="103">
        <v>94.0</v>
      </c>
      <c r="B99" s="104" t="s">
        <v>39</v>
      </c>
      <c r="C99" s="84" t="s">
        <v>477</v>
      </c>
      <c r="M99" s="139"/>
      <c r="N99" s="27" t="str">
        <f t="array" ref="N99:Q99">VLOOKUP($B99,'CarePortal - Audrey'!$A$2:$T$166,{8,17,18,20},FALSE)</f>
        <v>#REF!</v>
      </c>
      <c r="O99" s="8" t="e">
        <v>#REF!</v>
      </c>
      <c r="P99" s="8" t="e">
        <v>#REF!</v>
      </c>
      <c r="Q99" s="8" t="e">
        <v>#REF!</v>
      </c>
      <c r="R99" s="139"/>
      <c r="W99" s="140"/>
    </row>
    <row r="100">
      <c r="A100" s="103">
        <v>95.0</v>
      </c>
      <c r="B100" s="104" t="s">
        <v>337</v>
      </c>
      <c r="C100" s="84" t="s">
        <v>203</v>
      </c>
      <c r="M100" s="139"/>
      <c r="N100" s="27" t="str">
        <f t="array" ref="N100:Q100">VLOOKUP($B100,'CarePortal - Audrey'!$A$2:$T$166,{8,17,18,20},FALSE)</f>
        <v>#REF!</v>
      </c>
      <c r="O100" s="8" t="e">
        <v>#REF!</v>
      </c>
      <c r="P100" s="8" t="e">
        <v>#REF!</v>
      </c>
      <c r="Q100" s="8" t="e">
        <v>#REF!</v>
      </c>
      <c r="R100" s="139"/>
      <c r="W100" s="140"/>
    </row>
    <row r="101">
      <c r="A101" s="103">
        <v>96.0</v>
      </c>
      <c r="B101" s="104" t="s">
        <v>142</v>
      </c>
      <c r="C101" s="84" t="s">
        <v>410</v>
      </c>
      <c r="M101" s="139"/>
      <c r="N101" s="27" t="str">
        <f t="array" ref="N101:Q101">VLOOKUP($B101,'CarePortal - Audrey'!$A$2:$T$166,{8,17,18,20},FALSE)</f>
        <v>#REF!</v>
      </c>
      <c r="O101" s="8" t="e">
        <v>#REF!</v>
      </c>
      <c r="P101" s="8" t="e">
        <v>#REF!</v>
      </c>
      <c r="Q101" s="8" t="e">
        <v>#REF!</v>
      </c>
      <c r="R101" s="139"/>
      <c r="W101" s="140"/>
    </row>
    <row r="102">
      <c r="A102" s="103">
        <v>97.0</v>
      </c>
      <c r="B102" s="104" t="s">
        <v>570</v>
      </c>
      <c r="C102" s="84" t="s">
        <v>452</v>
      </c>
      <c r="M102" s="139"/>
      <c r="N102" s="27" t="str">
        <f t="array" ref="N102:Q102">VLOOKUP($B102,'CarePortal - Audrey'!$A$2:$T$166,{8,17,18,20},FALSE)</f>
        <v>#REF!</v>
      </c>
      <c r="O102" s="8" t="e">
        <v>#REF!</v>
      </c>
      <c r="P102" s="8" t="e">
        <v>#REF!</v>
      </c>
      <c r="Q102" s="8" t="e">
        <v>#REF!</v>
      </c>
      <c r="R102" s="139"/>
      <c r="W102" s="140"/>
    </row>
    <row r="103">
      <c r="A103" s="103">
        <v>98.0</v>
      </c>
      <c r="B103" s="104" t="s">
        <v>573</v>
      </c>
      <c r="C103" s="84" t="s">
        <v>203</v>
      </c>
      <c r="M103" s="139"/>
      <c r="N103" s="27" t="str">
        <f t="array" ref="N103:Q103">VLOOKUP($B103,'CarePortal - Audrey'!$A$2:$T$166,{8,17,18,20},FALSE)</f>
        <v>#REF!</v>
      </c>
      <c r="O103" s="8" t="e">
        <v>#REF!</v>
      </c>
      <c r="P103" s="8" t="e">
        <v>#REF!</v>
      </c>
      <c r="Q103" s="8" t="e">
        <v>#REF!</v>
      </c>
      <c r="R103" s="139"/>
      <c r="W103" s="140"/>
    </row>
    <row r="104">
      <c r="A104" s="103">
        <v>99.0</v>
      </c>
      <c r="B104" s="104" t="s">
        <v>577</v>
      </c>
      <c r="C104" s="84" t="s">
        <v>578</v>
      </c>
      <c r="M104" s="139"/>
      <c r="N104" s="27" t="str">
        <f t="array" ref="N104:Q104">VLOOKUP($B104,'CarePortal - Audrey'!$A$2:$T$166,{8,17,18,20},FALSE)</f>
        <v>#REF!</v>
      </c>
      <c r="O104" s="8" t="e">
        <v>#REF!</v>
      </c>
      <c r="P104" s="8" t="e">
        <v>#REF!</v>
      </c>
      <c r="Q104" s="8" t="e">
        <v>#REF!</v>
      </c>
      <c r="R104" s="139"/>
      <c r="W104" s="140"/>
    </row>
    <row r="105">
      <c r="A105" s="103">
        <v>100.0</v>
      </c>
      <c r="B105" s="104" t="s">
        <v>580</v>
      </c>
      <c r="C105" s="84" t="s">
        <v>448</v>
      </c>
      <c r="M105" s="139"/>
      <c r="N105" s="27" t="str">
        <f t="array" ref="N105:Q105">VLOOKUP($B105,'CarePortal - Audrey'!$A$2:$T$166,{8,17,18,20},FALSE)</f>
        <v>#REF!</v>
      </c>
      <c r="O105" s="8" t="e">
        <v>#REF!</v>
      </c>
      <c r="P105" s="8" t="e">
        <v>#REF!</v>
      </c>
      <c r="Q105" s="8" t="e">
        <v>#REF!</v>
      </c>
      <c r="R105" s="139"/>
      <c r="W105" s="140"/>
    </row>
    <row r="106">
      <c r="A106" s="103">
        <v>101.0</v>
      </c>
      <c r="B106" s="104" t="s">
        <v>143</v>
      </c>
      <c r="C106" s="84" t="s">
        <v>41</v>
      </c>
      <c r="M106" s="139"/>
      <c r="N106" s="27" t="str">
        <f t="array" ref="N106:Q106">VLOOKUP($B106,'CarePortal - Audrey'!$A$2:$T$166,{8,17,18,20},FALSE)</f>
        <v>#REF!</v>
      </c>
      <c r="O106" s="8" t="e">
        <v>#REF!</v>
      </c>
      <c r="P106" s="8" t="e">
        <v>#REF!</v>
      </c>
      <c r="Q106" s="8" t="e">
        <v>#REF!</v>
      </c>
      <c r="R106" s="139"/>
      <c r="W106" s="140"/>
    </row>
    <row r="107">
      <c r="A107" s="103">
        <v>102.0</v>
      </c>
      <c r="B107" s="104" t="s">
        <v>474</v>
      </c>
      <c r="C107" s="84" t="s">
        <v>274</v>
      </c>
      <c r="M107" s="139"/>
      <c r="N107" s="27" t="str">
        <f t="array" ref="N107:Q107">VLOOKUP($B107,'CarePortal - Audrey'!$A$2:$T$166,{8,17,18,20},FALSE)</f>
        <v>#REF!</v>
      </c>
      <c r="O107" s="8" t="e">
        <v>#REF!</v>
      </c>
      <c r="P107" s="8" t="e">
        <v>#REF!</v>
      </c>
      <c r="Q107" s="8" t="e">
        <v>#REF!</v>
      </c>
      <c r="R107" s="139"/>
      <c r="W107" s="140"/>
    </row>
    <row r="108">
      <c r="A108" s="103">
        <v>103.0</v>
      </c>
      <c r="B108" s="104" t="s">
        <v>389</v>
      </c>
      <c r="C108" s="84" t="s">
        <v>384</v>
      </c>
      <c r="M108" s="139"/>
      <c r="N108" s="27" t="str">
        <f t="array" ref="N108:Q108">VLOOKUP($B108,'CarePortal - Audrey'!$A$2:$T$166,{8,17,18,20},FALSE)</f>
        <v>#REF!</v>
      </c>
      <c r="O108" s="8" t="e">
        <v>#REF!</v>
      </c>
      <c r="P108" s="8" t="e">
        <v>#REF!</v>
      </c>
      <c r="Q108" s="8" t="e">
        <v>#REF!</v>
      </c>
      <c r="R108" s="139"/>
      <c r="W108" s="140"/>
    </row>
    <row r="109">
      <c r="A109" s="103">
        <v>104.0</v>
      </c>
      <c r="B109" s="104" t="s">
        <v>592</v>
      </c>
      <c r="C109" s="84" t="s">
        <v>519</v>
      </c>
      <c r="M109" s="139"/>
      <c r="N109" s="27" t="str">
        <f t="array" ref="N109:Q109">VLOOKUP($B109,'CarePortal - Audrey'!$A$2:$T$166,{8,17,18,20},FALSE)</f>
        <v>#REF!</v>
      </c>
      <c r="O109" s="8" t="e">
        <v>#REF!</v>
      </c>
      <c r="P109" s="8" t="e">
        <v>#REF!</v>
      </c>
      <c r="Q109" s="8" t="e">
        <v>#REF!</v>
      </c>
      <c r="R109" s="139"/>
      <c r="W109" s="140"/>
    </row>
    <row r="110">
      <c r="A110" s="103">
        <v>105.0</v>
      </c>
      <c r="B110" s="104" t="s">
        <v>595</v>
      </c>
      <c r="C110" s="84" t="s">
        <v>596</v>
      </c>
      <c r="M110" s="139"/>
      <c r="N110" s="27" t="str">
        <f t="array" ref="N110:Q110">VLOOKUP($B110,'CarePortal - Audrey'!$A$2:$T$166,{8,17,18,20},FALSE)</f>
        <v>#REF!</v>
      </c>
      <c r="O110" s="8" t="e">
        <v>#REF!</v>
      </c>
      <c r="P110" s="8" t="e">
        <v>#REF!</v>
      </c>
      <c r="Q110" s="8" t="e">
        <v>#REF!</v>
      </c>
      <c r="R110" s="139"/>
      <c r="W110" s="140"/>
    </row>
    <row r="111">
      <c r="A111" s="103">
        <v>106.0</v>
      </c>
      <c r="B111" s="104" t="s">
        <v>599</v>
      </c>
      <c r="C111" s="84" t="s">
        <v>287</v>
      </c>
      <c r="M111" s="139"/>
      <c r="N111" s="27" t="str">
        <f t="array" ref="N111:Q111">VLOOKUP($B111,'CarePortal - Audrey'!$A$2:$T$166,{8,17,18,20},FALSE)</f>
        <v>#REF!</v>
      </c>
      <c r="O111" s="8" t="e">
        <v>#REF!</v>
      </c>
      <c r="P111" s="8" t="e">
        <v>#REF!</v>
      </c>
      <c r="Q111" s="8" t="e">
        <v>#REF!</v>
      </c>
      <c r="R111" s="139"/>
      <c r="W111" s="140"/>
    </row>
    <row r="112">
      <c r="A112" s="103">
        <v>107.0</v>
      </c>
      <c r="B112" s="104" t="s">
        <v>114</v>
      </c>
      <c r="C112" s="84" t="s">
        <v>368</v>
      </c>
      <c r="M112" s="139"/>
      <c r="N112" s="27" t="str">
        <f t="array" ref="N112:Q112">VLOOKUP($B112,'CarePortal - Audrey'!$A$2:$T$166,{8,17,18,20},FALSE)</f>
        <v>#REF!</v>
      </c>
      <c r="O112" s="8" t="e">
        <v>#REF!</v>
      </c>
      <c r="P112" s="8" t="e">
        <v>#REF!</v>
      </c>
      <c r="Q112" s="8" t="e">
        <v>#REF!</v>
      </c>
      <c r="R112" s="139"/>
      <c r="W112" s="140"/>
    </row>
    <row r="113">
      <c r="A113" s="103">
        <v>108.0</v>
      </c>
      <c r="B113" s="104" t="s">
        <v>603</v>
      </c>
      <c r="C113" s="84" t="s">
        <v>448</v>
      </c>
      <c r="M113" s="139"/>
      <c r="N113" s="27" t="str">
        <f t="array" ref="N113:Q113">VLOOKUP($B113,'CarePortal - Audrey'!$A$2:$T$166,{8,17,18,20},FALSE)</f>
        <v>#REF!</v>
      </c>
      <c r="O113" s="8" t="e">
        <v>#REF!</v>
      </c>
      <c r="P113" s="8" t="e">
        <v>#REF!</v>
      </c>
      <c r="Q113" s="8" t="e">
        <v>#REF!</v>
      </c>
      <c r="R113" s="139"/>
      <c r="W113" s="140"/>
    </row>
    <row r="114">
      <c r="A114" s="103">
        <v>109.0</v>
      </c>
      <c r="B114" s="104" t="s">
        <v>607</v>
      </c>
      <c r="C114" s="84" t="s">
        <v>387</v>
      </c>
      <c r="M114" s="139"/>
      <c r="N114" s="27" t="str">
        <f t="array" ref="N114:Q114">VLOOKUP($B114,'CarePortal - Audrey'!$A$2:$T$166,{8,17,18,20},FALSE)</f>
        <v>#REF!</v>
      </c>
      <c r="O114" s="8" t="e">
        <v>#REF!</v>
      </c>
      <c r="P114" s="8" t="e">
        <v>#REF!</v>
      </c>
      <c r="Q114" s="8" t="e">
        <v>#REF!</v>
      </c>
      <c r="R114" s="139"/>
      <c r="W114" s="140"/>
    </row>
    <row r="115">
      <c r="A115" s="103">
        <v>110.0</v>
      </c>
      <c r="B115" s="104" t="s">
        <v>608</v>
      </c>
      <c r="C115" s="84" t="s">
        <v>448</v>
      </c>
      <c r="M115" s="139"/>
      <c r="N115" s="27" t="str">
        <f t="array" ref="N115:Q115">VLOOKUP($B115,'CarePortal - Audrey'!$A$2:$T$166,{8,17,18,20},FALSE)</f>
        <v>#REF!</v>
      </c>
      <c r="O115" s="8" t="e">
        <v>#REF!</v>
      </c>
      <c r="P115" s="8" t="e">
        <v>#REF!</v>
      </c>
      <c r="Q115" s="8" t="e">
        <v>#REF!</v>
      </c>
      <c r="R115" s="139"/>
      <c r="W115" s="140"/>
    </row>
    <row r="116">
      <c r="A116" s="103">
        <v>111.0</v>
      </c>
      <c r="B116" s="104" t="s">
        <v>119</v>
      </c>
      <c r="C116" s="84" t="s">
        <v>512</v>
      </c>
      <c r="M116" s="139"/>
      <c r="N116" s="27" t="str">
        <f t="array" ref="N116:Q116">VLOOKUP($B116,'CarePortal - Audrey'!$A$2:$T$166,{8,17,18,20},FALSE)</f>
        <v>#REF!</v>
      </c>
      <c r="O116" s="8" t="e">
        <v>#REF!</v>
      </c>
      <c r="P116" s="8" t="e">
        <v>#REF!</v>
      </c>
      <c r="Q116" s="8" t="e">
        <v>#REF!</v>
      </c>
      <c r="R116" s="139"/>
      <c r="W116" s="140"/>
    </row>
    <row r="117">
      <c r="A117" s="103">
        <v>112.0</v>
      </c>
      <c r="B117" s="104" t="s">
        <v>288</v>
      </c>
      <c r="C117" s="84" t="s">
        <v>612</v>
      </c>
      <c r="M117" s="139"/>
      <c r="N117" s="27" t="str">
        <f t="array" ref="N117:Q117">VLOOKUP($B117,'CarePortal - Audrey'!$A$2:$T$166,{8,17,18,20},FALSE)</f>
        <v>#REF!</v>
      </c>
      <c r="O117" s="8" t="e">
        <v>#REF!</v>
      </c>
      <c r="P117" s="8" t="e">
        <v>#REF!</v>
      </c>
      <c r="Q117" s="8" t="e">
        <v>#REF!</v>
      </c>
      <c r="R117" s="139"/>
      <c r="W117" s="140"/>
    </row>
    <row r="118">
      <c r="A118" s="103">
        <v>113.0</v>
      </c>
      <c r="B118" s="104" t="s">
        <v>484</v>
      </c>
      <c r="C118" s="84" t="s">
        <v>245</v>
      </c>
      <c r="M118" s="139"/>
      <c r="N118" s="27" t="str">
        <f t="array" ref="N118:Q118">VLOOKUP($B118,'CarePortal - Audrey'!$A$2:$T$166,{8,17,18,20},FALSE)</f>
        <v>#REF!</v>
      </c>
      <c r="O118" s="8" t="e">
        <v>#REF!</v>
      </c>
      <c r="P118" s="8" t="e">
        <v>#REF!</v>
      </c>
      <c r="Q118" s="8" t="e">
        <v>#REF!</v>
      </c>
      <c r="R118" s="139"/>
      <c r="W118" s="140"/>
    </row>
    <row r="119">
      <c r="A119" s="103">
        <v>114.0</v>
      </c>
      <c r="B119" s="104" t="s">
        <v>157</v>
      </c>
      <c r="C119" s="84" t="s">
        <v>219</v>
      </c>
      <c r="M119" s="139"/>
      <c r="N119" s="27" t="str">
        <f t="array" ref="N119:Q119">VLOOKUP($B119,'CarePortal - Audrey'!$A$2:$T$166,{8,17,18,20},FALSE)</f>
        <v>#REF!</v>
      </c>
      <c r="O119" s="8" t="e">
        <v>#REF!</v>
      </c>
      <c r="P119" s="8" t="e">
        <v>#REF!</v>
      </c>
      <c r="Q119" s="8" t="e">
        <v>#REF!</v>
      </c>
      <c r="R119" s="139"/>
      <c r="W119" s="140"/>
    </row>
    <row r="120">
      <c r="A120" s="103">
        <v>115.0</v>
      </c>
      <c r="B120" s="104" t="s">
        <v>143</v>
      </c>
      <c r="C120" s="84" t="s">
        <v>384</v>
      </c>
      <c r="M120" s="139"/>
      <c r="N120" s="27" t="str">
        <f t="array" ref="N120:Q120">VLOOKUP($B120,'CarePortal - Audrey'!$A$2:$T$166,{8,17,18,20},FALSE)</f>
        <v>#REF!</v>
      </c>
      <c r="O120" s="8" t="e">
        <v>#REF!</v>
      </c>
      <c r="P120" s="8" t="e">
        <v>#REF!</v>
      </c>
      <c r="Q120" s="8" t="e">
        <v>#REF!</v>
      </c>
      <c r="R120" s="139"/>
      <c r="W120" s="140"/>
    </row>
    <row r="121">
      <c r="A121" s="103">
        <v>116.0</v>
      </c>
      <c r="B121" s="104" t="s">
        <v>620</v>
      </c>
      <c r="C121" s="84" t="s">
        <v>387</v>
      </c>
      <c r="M121" s="139"/>
      <c r="N121" s="27" t="str">
        <f t="array" ref="N121:Q121">VLOOKUP($B121,'CarePortal - Audrey'!$A$2:$T$166,{8,17,18,20},FALSE)</f>
        <v>#REF!</v>
      </c>
      <c r="O121" s="8" t="e">
        <v>#REF!</v>
      </c>
      <c r="P121" s="8" t="e">
        <v>#REF!</v>
      </c>
      <c r="Q121" s="8" t="e">
        <v>#REF!</v>
      </c>
      <c r="R121" s="139"/>
      <c r="W121" s="140"/>
    </row>
    <row r="122">
      <c r="A122" s="103">
        <v>117.0</v>
      </c>
      <c r="B122" s="104" t="s">
        <v>412</v>
      </c>
      <c r="C122" s="84" t="s">
        <v>624</v>
      </c>
      <c r="M122" s="139"/>
      <c r="N122" s="27" t="str">
        <f t="array" ref="N122:Q122">VLOOKUP($B122,'CarePortal - Audrey'!$A$2:$T$166,{8,17,18,20},FALSE)</f>
        <v>#REF!</v>
      </c>
      <c r="O122" s="8" t="e">
        <v>#REF!</v>
      </c>
      <c r="P122" s="8" t="e">
        <v>#REF!</v>
      </c>
      <c r="Q122" s="8" t="e">
        <v>#REF!</v>
      </c>
      <c r="R122" s="139"/>
      <c r="W122" s="140"/>
    </row>
    <row r="123">
      <c r="A123" s="103">
        <v>118.0</v>
      </c>
      <c r="B123" s="104" t="s">
        <v>627</v>
      </c>
      <c r="C123" s="84" t="s">
        <v>219</v>
      </c>
      <c r="M123" s="139"/>
      <c r="N123" s="27" t="str">
        <f t="array" ref="N123:Q123">VLOOKUP($B123,'CarePortal - Audrey'!$A$2:$T$166,{8,17,18,20},FALSE)</f>
        <v>#REF!</v>
      </c>
      <c r="O123" s="8" t="e">
        <v>#REF!</v>
      </c>
      <c r="P123" s="8" t="e">
        <v>#REF!</v>
      </c>
      <c r="Q123" s="8" t="e">
        <v>#REF!</v>
      </c>
      <c r="R123" s="139"/>
      <c r="W123" s="140"/>
    </row>
    <row r="124">
      <c r="A124" s="103">
        <v>119.0</v>
      </c>
      <c r="B124" s="104" t="s">
        <v>40</v>
      </c>
      <c r="C124" s="84" t="s">
        <v>287</v>
      </c>
      <c r="M124" s="139"/>
      <c r="N124" s="27" t="str">
        <f t="array" ref="N124:Q124">VLOOKUP($B124,'CarePortal - Audrey'!$A$2:$T$166,{8,17,18,20},FALSE)</f>
        <v>#REF!</v>
      </c>
      <c r="O124" s="8" t="e">
        <v>#REF!</v>
      </c>
      <c r="P124" s="8" t="e">
        <v>#REF!</v>
      </c>
      <c r="Q124" s="8" t="e">
        <v>#REF!</v>
      </c>
      <c r="R124" s="139"/>
      <c r="W124" s="140"/>
    </row>
    <row r="125">
      <c r="A125" s="103">
        <v>120.0</v>
      </c>
      <c r="B125" s="104" t="s">
        <v>634</v>
      </c>
      <c r="C125" s="84" t="s">
        <v>282</v>
      </c>
      <c r="M125" s="139"/>
      <c r="N125" s="27" t="str">
        <f t="array" ref="N125:Q125">VLOOKUP($B125,'CarePortal - Audrey'!$A$2:$T$166,{8,17,18,20},FALSE)</f>
        <v>#REF!</v>
      </c>
      <c r="O125" s="8" t="e">
        <v>#REF!</v>
      </c>
      <c r="P125" s="8" t="e">
        <v>#REF!</v>
      </c>
      <c r="Q125" s="8" t="e">
        <v>#REF!</v>
      </c>
      <c r="R125" s="139"/>
      <c r="W125" s="140"/>
    </row>
    <row r="126">
      <c r="A126" s="103">
        <v>121.0</v>
      </c>
      <c r="B126" s="104" t="s">
        <v>475</v>
      </c>
      <c r="C126" s="84" t="s">
        <v>472</v>
      </c>
      <c r="M126" s="139"/>
      <c r="N126" s="27" t="str">
        <f t="array" ref="N126:Q126">VLOOKUP($B126,'CarePortal - Audrey'!$A$2:$T$166,{8,17,18,20},FALSE)</f>
        <v>#REF!</v>
      </c>
      <c r="O126" s="8" t="e">
        <v>#REF!</v>
      </c>
      <c r="P126" s="8" t="e">
        <v>#REF!</v>
      </c>
      <c r="Q126" s="8" t="e">
        <v>#REF!</v>
      </c>
      <c r="R126" s="139"/>
      <c r="W126" s="140"/>
    </row>
    <row r="127">
      <c r="A127" s="103">
        <v>122.0</v>
      </c>
      <c r="B127" s="104" t="s">
        <v>316</v>
      </c>
      <c r="C127" s="84" t="s">
        <v>448</v>
      </c>
      <c r="M127" s="139"/>
      <c r="N127" s="27" t="str">
        <f t="array" ref="N127:Q127">VLOOKUP($B127,'CarePortal - Audrey'!$A$2:$T$166,{8,17,18,20},FALSE)</f>
        <v>#REF!</v>
      </c>
      <c r="O127" s="8" t="e">
        <v>#REF!</v>
      </c>
      <c r="P127" s="8" t="e">
        <v>#REF!</v>
      </c>
      <c r="Q127" s="8" t="e">
        <v>#REF!</v>
      </c>
      <c r="R127" s="139"/>
      <c r="W127" s="140"/>
    </row>
    <row r="128">
      <c r="A128" s="103">
        <v>123.0</v>
      </c>
      <c r="B128" s="104" t="s">
        <v>645</v>
      </c>
      <c r="C128" s="84" t="s">
        <v>351</v>
      </c>
      <c r="M128" s="139"/>
      <c r="N128" s="27" t="str">
        <f t="array" ref="N128:Q128">VLOOKUP($B128,'CarePortal - Audrey'!$A$2:$T$166,{8,17,18,20},FALSE)</f>
        <v>#REF!</v>
      </c>
      <c r="O128" s="8" t="e">
        <v>#REF!</v>
      </c>
      <c r="P128" s="8" t="e">
        <v>#REF!</v>
      </c>
      <c r="Q128" s="8" t="e">
        <v>#REF!</v>
      </c>
      <c r="R128" s="139"/>
      <c r="W128" s="140"/>
    </row>
    <row r="129">
      <c r="A129" s="103">
        <v>124.0</v>
      </c>
      <c r="B129" s="104" t="s">
        <v>371</v>
      </c>
      <c r="C129" s="141" t="s">
        <v>184</v>
      </c>
      <c r="M129" s="139"/>
      <c r="N129" s="27" t="str">
        <f t="array" ref="N129:Q129">VLOOKUP($B129,'CarePortal - Audrey'!$A$2:$T$166,{8,17,18,20},FALSE)</f>
        <v>#REF!</v>
      </c>
      <c r="O129" s="8" t="e">
        <v>#REF!</v>
      </c>
      <c r="P129" s="8" t="e">
        <v>#REF!</v>
      </c>
      <c r="Q129" s="8" t="e">
        <v>#REF!</v>
      </c>
      <c r="R129" s="139"/>
      <c r="W129" s="140"/>
    </row>
    <row r="130">
      <c r="A130" s="103">
        <v>125.0</v>
      </c>
      <c r="B130" s="104" t="s">
        <v>528</v>
      </c>
      <c r="C130" s="84" t="s">
        <v>245</v>
      </c>
      <c r="M130" s="139"/>
      <c r="N130" s="27" t="str">
        <f t="array" ref="N130:Q130">VLOOKUP($B130,'CarePortal - Audrey'!$A$2:$T$166,{8,17,18,20},FALSE)</f>
        <v>#REF!</v>
      </c>
      <c r="O130" s="8" t="e">
        <v>#REF!</v>
      </c>
      <c r="P130" s="8" t="e">
        <v>#REF!</v>
      </c>
      <c r="Q130" s="8" t="e">
        <v>#REF!</v>
      </c>
      <c r="R130" s="139"/>
      <c r="W130" s="140"/>
    </row>
    <row r="131">
      <c r="A131" s="103">
        <v>126.0</v>
      </c>
      <c r="B131" s="104" t="s">
        <v>650</v>
      </c>
      <c r="C131" s="84" t="s">
        <v>287</v>
      </c>
      <c r="M131" s="139"/>
      <c r="N131" s="27" t="str">
        <f t="array" ref="N131:Q131">VLOOKUP($B131,'CarePortal - Audrey'!$A$2:$T$166,{8,17,18,20},FALSE)</f>
        <v>#REF!</v>
      </c>
      <c r="O131" s="8" t="e">
        <v>#REF!</v>
      </c>
      <c r="P131" s="8" t="e">
        <v>#REF!</v>
      </c>
      <c r="Q131" s="8" t="e">
        <v>#REF!</v>
      </c>
      <c r="R131" s="139"/>
      <c r="W131" s="140"/>
    </row>
    <row r="132">
      <c r="A132" s="103">
        <v>127.0</v>
      </c>
      <c r="B132" s="104" t="s">
        <v>652</v>
      </c>
      <c r="C132" s="84" t="s">
        <v>438</v>
      </c>
      <c r="M132" s="139"/>
      <c r="N132" s="27" t="str">
        <f t="array" ref="N132:Q132">VLOOKUP($B132,'CarePortal - Audrey'!$A$2:$T$166,{8,17,18,20},FALSE)</f>
        <v>#REF!</v>
      </c>
      <c r="O132" s="8" t="e">
        <v>#REF!</v>
      </c>
      <c r="P132" s="8" t="e">
        <v>#REF!</v>
      </c>
      <c r="Q132" s="8" t="e">
        <v>#REF!</v>
      </c>
      <c r="R132" s="139"/>
      <c r="W132" s="140"/>
    </row>
    <row r="133">
      <c r="A133" s="103">
        <v>128.0</v>
      </c>
      <c r="B133" s="104" t="s">
        <v>461</v>
      </c>
      <c r="C133" s="84" t="s">
        <v>339</v>
      </c>
      <c r="M133" s="139"/>
      <c r="N133" s="27" t="str">
        <f t="array" ref="N133:Q133">VLOOKUP($B133,'CarePortal - Audrey'!$A$2:$T$166,{8,17,18,20},FALSE)</f>
        <v>#REF!</v>
      </c>
      <c r="O133" s="8" t="e">
        <v>#REF!</v>
      </c>
      <c r="P133" s="8" t="e">
        <v>#REF!</v>
      </c>
      <c r="Q133" s="8" t="e">
        <v>#REF!</v>
      </c>
      <c r="R133" s="139"/>
      <c r="W133" s="140"/>
    </row>
    <row r="134">
      <c r="A134" s="103">
        <v>129.0</v>
      </c>
      <c r="B134" s="104" t="s">
        <v>517</v>
      </c>
      <c r="C134" s="84" t="s">
        <v>245</v>
      </c>
      <c r="M134" s="139"/>
      <c r="N134" s="27" t="str">
        <f t="array" ref="N134:Q134">VLOOKUP($B134,'CarePortal - Audrey'!$A$2:$T$166,{8,17,18,20},FALSE)</f>
        <v>#REF!</v>
      </c>
      <c r="O134" s="8" t="e">
        <v>#REF!</v>
      </c>
      <c r="P134" s="8" t="e">
        <v>#REF!</v>
      </c>
      <c r="Q134" s="8" t="e">
        <v>#REF!</v>
      </c>
      <c r="R134" s="139"/>
      <c r="W134" s="140"/>
    </row>
    <row r="135">
      <c r="A135" s="103">
        <v>130.0</v>
      </c>
      <c r="B135" s="162" t="s">
        <v>656</v>
      </c>
      <c r="C135" s="88" t="s">
        <v>203</v>
      </c>
      <c r="D135" s="163"/>
      <c r="E135" s="163"/>
      <c r="F135" s="163"/>
      <c r="G135" s="163"/>
      <c r="H135" s="163"/>
      <c r="I135" s="163"/>
      <c r="J135" s="163"/>
      <c r="K135" s="163"/>
      <c r="L135" s="163"/>
      <c r="M135" s="164"/>
      <c r="N135" s="165" t="str">
        <f t="array" ref="N135:Q135">VLOOKUP($B135,'CarePortal - Audrey'!$A$2:$T$166,{8,17,18,20},FALSE)</f>
        <v>#REF!</v>
      </c>
      <c r="O135" s="163" t="e">
        <v>#REF!</v>
      </c>
      <c r="P135" s="163" t="e">
        <v>#REF!</v>
      </c>
      <c r="Q135" s="163" t="e">
        <v>#REF!</v>
      </c>
      <c r="R135" s="164"/>
      <c r="S135" s="163"/>
      <c r="T135" s="163"/>
      <c r="U135" s="163"/>
      <c r="V135" s="163"/>
      <c r="W135" s="166"/>
    </row>
    <row r="136">
      <c r="B136" s="103"/>
      <c r="C136" s="103"/>
    </row>
  </sheetData>
  <mergeCells count="5">
    <mergeCell ref="D2:W2"/>
    <mergeCell ref="D3:M3"/>
    <mergeCell ref="N3:R4"/>
    <mergeCell ref="S3:W4"/>
    <mergeCell ref="E4:K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3.63"/>
    <col customWidth="1" min="2" max="2" width="12.38"/>
    <col customWidth="1" min="3" max="3" width="12.88"/>
    <col customWidth="1" min="4" max="8" width="11.13"/>
    <col customWidth="1" min="9" max="9" width="10.13"/>
    <col customWidth="1" min="10" max="10" width="12.25"/>
    <col customWidth="1" min="11" max="11" width="10.13"/>
    <col customWidth="1" min="12" max="12" width="10.88"/>
    <col customWidth="1" min="13" max="13" width="12.13"/>
    <col customWidth="1" min="14" max="14" width="10.88"/>
    <col customWidth="1" min="15" max="15" width="12.25"/>
    <col customWidth="1" min="16" max="16" width="11.5"/>
  </cols>
  <sheetData>
    <row r="1">
      <c r="A1" s="167"/>
      <c r="B1" s="168" t="s">
        <v>0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</row>
    <row r="2">
      <c r="A2" s="169" t="s">
        <v>172</v>
      </c>
      <c r="B2" s="170" t="s">
        <v>174</v>
      </c>
      <c r="C2" s="171" t="s">
        <v>693</v>
      </c>
      <c r="D2" s="172" t="s">
        <v>694</v>
      </c>
      <c r="E2" s="172" t="s">
        <v>695</v>
      </c>
      <c r="F2" s="172" t="s">
        <v>179</v>
      </c>
      <c r="G2" s="172" t="s">
        <v>696</v>
      </c>
      <c r="H2" s="173" t="s">
        <v>697</v>
      </c>
      <c r="I2" s="174" t="s">
        <v>84</v>
      </c>
      <c r="J2" s="170" t="s">
        <v>698</v>
      </c>
      <c r="K2" s="175" t="s">
        <v>699</v>
      </c>
      <c r="L2" s="173" t="s">
        <v>89</v>
      </c>
      <c r="M2" s="176" t="s">
        <v>700</v>
      </c>
      <c r="N2" s="177" t="s">
        <v>701</v>
      </c>
      <c r="O2" s="177" t="s">
        <v>702</v>
      </c>
      <c r="P2" s="178" t="s">
        <v>90</v>
      </c>
      <c r="Q2" s="179" t="s">
        <v>703</v>
      </c>
    </row>
    <row r="3">
      <c r="A3" s="180" t="s">
        <v>52</v>
      </c>
      <c r="B3" s="181">
        <f t="array" ref="B3">VLOOKUP($A3,AL_DEMO,2,FALSE)</f>
        <v>58805</v>
      </c>
      <c r="C3" s="182" t="s">
        <v>63</v>
      </c>
      <c r="D3" s="183" t="s">
        <v>63</v>
      </c>
      <c r="E3" s="183" t="s">
        <v>63</v>
      </c>
      <c r="F3" s="183" t="s">
        <v>63</v>
      </c>
      <c r="G3" s="183" t="s">
        <v>63</v>
      </c>
      <c r="H3" s="183" t="s">
        <v>63</v>
      </c>
      <c r="I3" s="183" t="s">
        <v>63</v>
      </c>
      <c r="J3" s="183" t="s">
        <v>63</v>
      </c>
      <c r="K3" s="183" t="s">
        <v>63</v>
      </c>
      <c r="L3" s="184" t="s">
        <v>63</v>
      </c>
      <c r="M3" s="183" t="s">
        <v>63</v>
      </c>
      <c r="N3" s="185" t="s">
        <v>63</v>
      </c>
      <c r="O3" s="186" t="s">
        <v>63</v>
      </c>
      <c r="P3" s="187" t="s">
        <v>63</v>
      </c>
      <c r="Q3" s="183" t="s">
        <v>63</v>
      </c>
    </row>
    <row r="4">
      <c r="A4" s="188" t="s">
        <v>58</v>
      </c>
      <c r="B4" s="189">
        <f t="array" ref="B4">VLOOKUP($A4,AL_DEMO,2,FALSE)</f>
        <v>231767</v>
      </c>
      <c r="C4" s="190" t="s">
        <v>63</v>
      </c>
      <c r="D4" s="191" t="s">
        <v>63</v>
      </c>
      <c r="E4" s="191" t="s">
        <v>63</v>
      </c>
      <c r="F4" s="191" t="s">
        <v>63</v>
      </c>
      <c r="G4" s="191" t="s">
        <v>63</v>
      </c>
      <c r="H4" s="191" t="s">
        <v>63</v>
      </c>
      <c r="I4" s="191" t="s">
        <v>63</v>
      </c>
      <c r="J4" s="191" t="s">
        <v>63</v>
      </c>
      <c r="K4" s="191" t="s">
        <v>63</v>
      </c>
      <c r="L4" s="192" t="s">
        <v>63</v>
      </c>
      <c r="M4" s="191" t="s">
        <v>63</v>
      </c>
      <c r="N4" s="193" t="s">
        <v>63</v>
      </c>
      <c r="O4" s="194" t="s">
        <v>63</v>
      </c>
      <c r="P4" s="195" t="s">
        <v>63</v>
      </c>
      <c r="Q4" s="191" t="s">
        <v>63</v>
      </c>
    </row>
    <row r="5">
      <c r="A5" s="180" t="s">
        <v>62</v>
      </c>
      <c r="B5" s="181">
        <f t="array" ref="B5">VLOOKUP($A5,AL_DEMO,2,FALSE)</f>
        <v>25223</v>
      </c>
      <c r="C5" s="182" t="s">
        <v>63</v>
      </c>
      <c r="D5" s="183" t="s">
        <v>63</v>
      </c>
      <c r="E5" s="183" t="s">
        <v>63</v>
      </c>
      <c r="F5" s="183" t="s">
        <v>63</v>
      </c>
      <c r="G5" s="183" t="s">
        <v>63</v>
      </c>
      <c r="H5" s="183" t="s">
        <v>63</v>
      </c>
      <c r="I5" s="183" t="s">
        <v>63</v>
      </c>
      <c r="J5" s="183" t="s">
        <v>63</v>
      </c>
      <c r="K5" s="183" t="s">
        <v>63</v>
      </c>
      <c r="L5" s="184" t="s">
        <v>63</v>
      </c>
      <c r="M5" s="183" t="s">
        <v>63</v>
      </c>
      <c r="N5" s="185" t="s">
        <v>63</v>
      </c>
      <c r="O5" s="186" t="s">
        <v>63</v>
      </c>
      <c r="P5" s="187" t="s">
        <v>63</v>
      </c>
      <c r="Q5" s="183" t="s">
        <v>63</v>
      </c>
    </row>
    <row r="6">
      <c r="A6" s="188" t="s">
        <v>68</v>
      </c>
      <c r="B6" s="189">
        <f t="array" ref="B6">VLOOKUP($A6,AL_DEMO,2,FALSE)</f>
        <v>22293</v>
      </c>
      <c r="C6" s="190" t="s">
        <v>63</v>
      </c>
      <c r="D6" s="191" t="s">
        <v>63</v>
      </c>
      <c r="E6" s="191" t="s">
        <v>63</v>
      </c>
      <c r="F6" s="191" t="s">
        <v>63</v>
      </c>
      <c r="G6" s="191" t="s">
        <v>63</v>
      </c>
      <c r="H6" s="191" t="s">
        <v>63</v>
      </c>
      <c r="I6" s="191" t="s">
        <v>63</v>
      </c>
      <c r="J6" s="191" t="s">
        <v>63</v>
      </c>
      <c r="K6" s="191" t="s">
        <v>63</v>
      </c>
      <c r="L6" s="192" t="s">
        <v>63</v>
      </c>
      <c r="M6" s="191" t="s">
        <v>63</v>
      </c>
      <c r="N6" s="193" t="s">
        <v>63</v>
      </c>
      <c r="O6" s="194" t="s">
        <v>63</v>
      </c>
      <c r="P6" s="195" t="s">
        <v>63</v>
      </c>
      <c r="Q6" s="191" t="s">
        <v>63</v>
      </c>
    </row>
    <row r="7">
      <c r="A7" s="180" t="s">
        <v>77</v>
      </c>
      <c r="B7" s="181">
        <f t="array" ref="B7">VLOOKUP($A7,AL_DEMO,2,FALSE)</f>
        <v>59134</v>
      </c>
      <c r="C7" s="182" t="s">
        <v>63</v>
      </c>
      <c r="D7" s="183" t="s">
        <v>63</v>
      </c>
      <c r="E7" s="183" t="s">
        <v>63</v>
      </c>
      <c r="F7" s="183" t="s">
        <v>63</v>
      </c>
      <c r="G7" s="183" t="s">
        <v>63</v>
      </c>
      <c r="H7" s="183" t="s">
        <v>63</v>
      </c>
      <c r="I7" s="183" t="s">
        <v>63</v>
      </c>
      <c r="J7" s="183" t="s">
        <v>63</v>
      </c>
      <c r="K7" s="183" t="s">
        <v>63</v>
      </c>
      <c r="L7" s="184" t="s">
        <v>63</v>
      </c>
      <c r="M7" s="183" t="s">
        <v>63</v>
      </c>
      <c r="N7" s="185" t="s">
        <v>63</v>
      </c>
      <c r="O7" s="186" t="s">
        <v>63</v>
      </c>
      <c r="P7" s="187" t="s">
        <v>63</v>
      </c>
      <c r="Q7" s="183" t="s">
        <v>63</v>
      </c>
    </row>
    <row r="8">
      <c r="A8" s="188" t="s">
        <v>81</v>
      </c>
      <c r="B8" s="189">
        <f t="array" ref="B8">VLOOKUP($A8,AL_DEMO,2,FALSE)</f>
        <v>10357</v>
      </c>
      <c r="C8" s="190" t="s">
        <v>63</v>
      </c>
      <c r="D8" s="191" t="s">
        <v>63</v>
      </c>
      <c r="E8" s="191" t="s">
        <v>63</v>
      </c>
      <c r="F8" s="191" t="s">
        <v>63</v>
      </c>
      <c r="G8" s="191" t="s">
        <v>63</v>
      </c>
      <c r="H8" s="191" t="s">
        <v>63</v>
      </c>
      <c r="I8" s="191" t="s">
        <v>63</v>
      </c>
      <c r="J8" s="191" t="s">
        <v>63</v>
      </c>
      <c r="K8" s="191" t="s">
        <v>63</v>
      </c>
      <c r="L8" s="192" t="s">
        <v>63</v>
      </c>
      <c r="M8" s="191" t="s">
        <v>63</v>
      </c>
      <c r="N8" s="193" t="s">
        <v>63</v>
      </c>
      <c r="O8" s="194" t="s">
        <v>63</v>
      </c>
      <c r="P8" s="195" t="s">
        <v>63</v>
      </c>
      <c r="Q8" s="191" t="s">
        <v>63</v>
      </c>
    </row>
    <row r="9">
      <c r="A9" s="180" t="s">
        <v>87</v>
      </c>
      <c r="B9" s="181">
        <f t="array" ref="B9">VLOOKUP($A9,AL_DEMO,2,FALSE)</f>
        <v>19051</v>
      </c>
      <c r="C9" s="182" t="s">
        <v>63</v>
      </c>
      <c r="D9" s="183" t="s">
        <v>63</v>
      </c>
      <c r="E9" s="183" t="s">
        <v>63</v>
      </c>
      <c r="F9" s="183" t="s">
        <v>63</v>
      </c>
      <c r="G9" s="183" t="s">
        <v>63</v>
      </c>
      <c r="H9" s="183" t="s">
        <v>63</v>
      </c>
      <c r="I9" s="183" t="s">
        <v>63</v>
      </c>
      <c r="J9" s="183" t="s">
        <v>63</v>
      </c>
      <c r="K9" s="183" t="s">
        <v>63</v>
      </c>
      <c r="L9" s="184" t="s">
        <v>63</v>
      </c>
      <c r="M9" s="183" t="s">
        <v>63</v>
      </c>
      <c r="N9" s="185" t="s">
        <v>63</v>
      </c>
      <c r="O9" s="186" t="s">
        <v>63</v>
      </c>
      <c r="P9" s="187" t="s">
        <v>63</v>
      </c>
      <c r="Q9" s="183" t="s">
        <v>63</v>
      </c>
    </row>
    <row r="10">
      <c r="A10" s="188" t="s">
        <v>93</v>
      </c>
      <c r="B10" s="189">
        <f t="array" ref="B10">VLOOKUP($A10,AL_DEMO,2,FALSE)</f>
        <v>116441</v>
      </c>
      <c r="C10" s="190" t="s">
        <v>63</v>
      </c>
      <c r="D10" s="191" t="s">
        <v>63</v>
      </c>
      <c r="E10" s="191" t="s">
        <v>63</v>
      </c>
      <c r="F10" s="191" t="s">
        <v>63</v>
      </c>
      <c r="G10" s="191" t="s">
        <v>63</v>
      </c>
      <c r="H10" s="191" t="s">
        <v>63</v>
      </c>
      <c r="I10" s="191" t="s">
        <v>63</v>
      </c>
      <c r="J10" s="191" t="s">
        <v>63</v>
      </c>
      <c r="K10" s="191" t="s">
        <v>63</v>
      </c>
      <c r="L10" s="192" t="s">
        <v>63</v>
      </c>
      <c r="M10" s="191" t="s">
        <v>63</v>
      </c>
      <c r="N10" s="193" t="s">
        <v>63</v>
      </c>
      <c r="O10" s="194" t="s">
        <v>63</v>
      </c>
      <c r="P10" s="195" t="s">
        <v>63</v>
      </c>
      <c r="Q10" s="191" t="s">
        <v>63</v>
      </c>
    </row>
    <row r="11">
      <c r="A11" s="180" t="s">
        <v>98</v>
      </c>
      <c r="B11" s="181">
        <f t="array" ref="B11">VLOOKUP($A11,AL_DEMO,2,FALSE)</f>
        <v>34772</v>
      </c>
      <c r="C11" s="182" t="s">
        <v>63</v>
      </c>
      <c r="D11" s="183" t="s">
        <v>63</v>
      </c>
      <c r="E11" s="183" t="s">
        <v>63</v>
      </c>
      <c r="F11" s="183" t="s">
        <v>63</v>
      </c>
      <c r="G11" s="183" t="s">
        <v>63</v>
      </c>
      <c r="H11" s="183" t="s">
        <v>63</v>
      </c>
      <c r="I11" s="183" t="s">
        <v>63</v>
      </c>
      <c r="J11" s="183" t="s">
        <v>63</v>
      </c>
      <c r="K11" s="183" t="s">
        <v>63</v>
      </c>
      <c r="L11" s="184" t="s">
        <v>63</v>
      </c>
      <c r="M11" s="183" t="s">
        <v>63</v>
      </c>
      <c r="N11" s="185" t="s">
        <v>63</v>
      </c>
      <c r="O11" s="186" t="s">
        <v>63</v>
      </c>
      <c r="P11" s="187" t="s">
        <v>63</v>
      </c>
      <c r="Q11" s="183" t="s">
        <v>63</v>
      </c>
    </row>
    <row r="12">
      <c r="A12" s="188" t="s">
        <v>101</v>
      </c>
      <c r="B12" s="189">
        <f t="array" ref="B12">VLOOKUP($A12,AL_DEMO,2,FALSE)</f>
        <v>24971</v>
      </c>
      <c r="C12" s="190" t="s">
        <v>63</v>
      </c>
      <c r="D12" s="191" t="s">
        <v>63</v>
      </c>
      <c r="E12" s="191" t="s">
        <v>63</v>
      </c>
      <c r="F12" s="191" t="s">
        <v>63</v>
      </c>
      <c r="G12" s="191" t="s">
        <v>63</v>
      </c>
      <c r="H12" s="191" t="s">
        <v>63</v>
      </c>
      <c r="I12" s="191" t="s">
        <v>63</v>
      </c>
      <c r="J12" s="191" t="s">
        <v>63</v>
      </c>
      <c r="K12" s="191" t="s">
        <v>63</v>
      </c>
      <c r="L12" s="192" t="s">
        <v>63</v>
      </c>
      <c r="M12" s="191" t="s">
        <v>63</v>
      </c>
      <c r="N12" s="193" t="s">
        <v>63</v>
      </c>
      <c r="O12" s="194" t="s">
        <v>63</v>
      </c>
      <c r="P12" s="195" t="s">
        <v>63</v>
      </c>
      <c r="Q12" s="191" t="s">
        <v>63</v>
      </c>
    </row>
    <row r="13">
      <c r="A13" s="180" t="s">
        <v>104</v>
      </c>
      <c r="B13" s="181">
        <f t="array" ref="B13">VLOOKUP($A13,AL_DEMO,2,FALSE)</f>
        <v>45014</v>
      </c>
      <c r="C13" s="182" t="s">
        <v>63</v>
      </c>
      <c r="D13" s="183" t="s">
        <v>63</v>
      </c>
      <c r="E13" s="183" t="s">
        <v>63</v>
      </c>
      <c r="F13" s="183" t="s">
        <v>63</v>
      </c>
      <c r="G13" s="183" t="s">
        <v>63</v>
      </c>
      <c r="H13" s="183" t="s">
        <v>63</v>
      </c>
      <c r="I13" s="183" t="s">
        <v>63</v>
      </c>
      <c r="J13" s="183" t="s">
        <v>63</v>
      </c>
      <c r="K13" s="183" t="s">
        <v>63</v>
      </c>
      <c r="L13" s="184" t="s">
        <v>63</v>
      </c>
      <c r="M13" s="183" t="s">
        <v>63</v>
      </c>
      <c r="N13" s="185" t="s">
        <v>63</v>
      </c>
      <c r="O13" s="186" t="s">
        <v>63</v>
      </c>
      <c r="P13" s="187" t="s">
        <v>63</v>
      </c>
      <c r="Q13" s="183" t="s">
        <v>63</v>
      </c>
    </row>
    <row r="14">
      <c r="A14" s="188" t="s">
        <v>107</v>
      </c>
      <c r="B14" s="189">
        <f t="array" ref="B14">VLOOKUP($A14,AL_DEMO,2,FALSE)</f>
        <v>12665</v>
      </c>
      <c r="C14" s="190" t="s">
        <v>63</v>
      </c>
      <c r="D14" s="191" t="s">
        <v>63</v>
      </c>
      <c r="E14" s="191" t="s">
        <v>63</v>
      </c>
      <c r="F14" s="191" t="s">
        <v>63</v>
      </c>
      <c r="G14" s="191" t="s">
        <v>63</v>
      </c>
      <c r="H14" s="191" t="s">
        <v>63</v>
      </c>
      <c r="I14" s="191" t="s">
        <v>63</v>
      </c>
      <c r="J14" s="191" t="s">
        <v>63</v>
      </c>
      <c r="K14" s="191" t="s">
        <v>63</v>
      </c>
      <c r="L14" s="192" t="s">
        <v>63</v>
      </c>
      <c r="M14" s="191" t="s">
        <v>63</v>
      </c>
      <c r="N14" s="193" t="s">
        <v>63</v>
      </c>
      <c r="O14" s="194" t="s">
        <v>63</v>
      </c>
      <c r="P14" s="195" t="s">
        <v>63</v>
      </c>
      <c r="Q14" s="191" t="s">
        <v>63</v>
      </c>
    </row>
    <row r="15">
      <c r="A15" s="180" t="s">
        <v>110</v>
      </c>
      <c r="B15" s="181">
        <f t="array" ref="B15">VLOOKUP($A15,AL_DEMO,2,FALSE)</f>
        <v>23087</v>
      </c>
      <c r="C15" s="182" t="s">
        <v>63</v>
      </c>
      <c r="D15" s="183" t="s">
        <v>63</v>
      </c>
      <c r="E15" s="183" t="s">
        <v>63</v>
      </c>
      <c r="F15" s="183" t="s">
        <v>63</v>
      </c>
      <c r="G15" s="183" t="s">
        <v>63</v>
      </c>
      <c r="H15" s="183" t="s">
        <v>63</v>
      </c>
      <c r="I15" s="183" t="s">
        <v>63</v>
      </c>
      <c r="J15" s="183" t="s">
        <v>63</v>
      </c>
      <c r="K15" s="183" t="s">
        <v>63</v>
      </c>
      <c r="L15" s="184" t="s">
        <v>63</v>
      </c>
      <c r="M15" s="183" t="s">
        <v>63</v>
      </c>
      <c r="N15" s="185" t="s">
        <v>63</v>
      </c>
      <c r="O15" s="186" t="s">
        <v>63</v>
      </c>
      <c r="P15" s="187" t="s">
        <v>63</v>
      </c>
      <c r="Q15" s="183" t="s">
        <v>63</v>
      </c>
    </row>
    <row r="16">
      <c r="A16" s="188" t="s">
        <v>112</v>
      </c>
      <c r="B16" s="189">
        <f t="array" ref="B16">VLOOKUP($A16,AL_DEMO,2,FALSE)</f>
        <v>14236</v>
      </c>
      <c r="C16" s="190" t="s">
        <v>63</v>
      </c>
      <c r="D16" s="191" t="s">
        <v>63</v>
      </c>
      <c r="E16" s="191" t="s">
        <v>63</v>
      </c>
      <c r="F16" s="191" t="s">
        <v>63</v>
      </c>
      <c r="G16" s="191" t="s">
        <v>63</v>
      </c>
      <c r="H16" s="191" t="s">
        <v>63</v>
      </c>
      <c r="I16" s="191" t="s">
        <v>63</v>
      </c>
      <c r="J16" s="191" t="s">
        <v>63</v>
      </c>
      <c r="K16" s="191" t="s">
        <v>63</v>
      </c>
      <c r="L16" s="192" t="s">
        <v>63</v>
      </c>
      <c r="M16" s="191" t="s">
        <v>63</v>
      </c>
      <c r="N16" s="193" t="s">
        <v>63</v>
      </c>
      <c r="O16" s="194" t="s">
        <v>63</v>
      </c>
      <c r="P16" s="195" t="s">
        <v>63</v>
      </c>
      <c r="Q16" s="191" t="s">
        <v>63</v>
      </c>
    </row>
    <row r="17">
      <c r="A17" s="180" t="s">
        <v>115</v>
      </c>
      <c r="B17" s="181">
        <f t="array" ref="B17">VLOOKUP($A17,AL_DEMO,2,FALSE)</f>
        <v>15056</v>
      </c>
      <c r="C17" s="182" t="s">
        <v>63</v>
      </c>
      <c r="D17" s="183" t="s">
        <v>63</v>
      </c>
      <c r="E17" s="183" t="s">
        <v>63</v>
      </c>
      <c r="F17" s="183" t="s">
        <v>63</v>
      </c>
      <c r="G17" s="183" t="s">
        <v>63</v>
      </c>
      <c r="H17" s="183" t="s">
        <v>63</v>
      </c>
      <c r="I17" s="183" t="s">
        <v>63</v>
      </c>
      <c r="J17" s="183" t="s">
        <v>63</v>
      </c>
      <c r="K17" s="183" t="s">
        <v>63</v>
      </c>
      <c r="L17" s="184" t="s">
        <v>63</v>
      </c>
      <c r="M17" s="183" t="s">
        <v>63</v>
      </c>
      <c r="N17" s="185" t="s">
        <v>63</v>
      </c>
      <c r="O17" s="186" t="s">
        <v>63</v>
      </c>
      <c r="P17" s="187" t="s">
        <v>63</v>
      </c>
      <c r="Q17" s="183" t="s">
        <v>63</v>
      </c>
    </row>
    <row r="18">
      <c r="A18" s="188" t="s">
        <v>118</v>
      </c>
      <c r="B18" s="189">
        <f t="array" ref="B18">VLOOKUP($A18,AL_DEMO,2,FALSE)</f>
        <v>53465</v>
      </c>
      <c r="C18" s="190" t="s">
        <v>63</v>
      </c>
      <c r="D18" s="191" t="s">
        <v>63</v>
      </c>
      <c r="E18" s="191" t="s">
        <v>63</v>
      </c>
      <c r="F18" s="191" t="s">
        <v>63</v>
      </c>
      <c r="G18" s="191" t="s">
        <v>63</v>
      </c>
      <c r="H18" s="191" t="s">
        <v>63</v>
      </c>
      <c r="I18" s="191" t="s">
        <v>63</v>
      </c>
      <c r="J18" s="191" t="s">
        <v>63</v>
      </c>
      <c r="K18" s="191" t="s">
        <v>63</v>
      </c>
      <c r="L18" s="192" t="s">
        <v>63</v>
      </c>
      <c r="M18" s="191" t="s">
        <v>63</v>
      </c>
      <c r="N18" s="193" t="s">
        <v>63</v>
      </c>
      <c r="O18" s="194" t="s">
        <v>63</v>
      </c>
      <c r="P18" s="195" t="s">
        <v>63</v>
      </c>
      <c r="Q18" s="191" t="s">
        <v>63</v>
      </c>
    </row>
    <row r="19">
      <c r="A19" s="180" t="s">
        <v>121</v>
      </c>
      <c r="B19" s="181">
        <f t="array" ref="B19">VLOOKUP($A19,AL_DEMO,2,FALSE)</f>
        <v>57227</v>
      </c>
      <c r="C19" s="182" t="s">
        <v>63</v>
      </c>
      <c r="D19" s="183" t="s">
        <v>63</v>
      </c>
      <c r="E19" s="183" t="s">
        <v>63</v>
      </c>
      <c r="F19" s="183" t="s">
        <v>63</v>
      </c>
      <c r="G19" s="183" t="s">
        <v>63</v>
      </c>
      <c r="H19" s="183" t="s">
        <v>63</v>
      </c>
      <c r="I19" s="183" t="s">
        <v>63</v>
      </c>
      <c r="J19" s="183" t="s">
        <v>63</v>
      </c>
      <c r="K19" s="183" t="s">
        <v>63</v>
      </c>
      <c r="L19" s="184" t="s">
        <v>63</v>
      </c>
      <c r="M19" s="183" t="s">
        <v>63</v>
      </c>
      <c r="N19" s="185" t="s">
        <v>63</v>
      </c>
      <c r="O19" s="186" t="s">
        <v>63</v>
      </c>
      <c r="P19" s="187" t="s">
        <v>63</v>
      </c>
      <c r="Q19" s="183" t="s">
        <v>63</v>
      </c>
    </row>
    <row r="20">
      <c r="A20" s="188" t="s">
        <v>124</v>
      </c>
      <c r="B20" s="189">
        <f t="array" ref="B20">VLOOKUP($A20,AL_DEMO,2,FALSE)</f>
        <v>11597</v>
      </c>
      <c r="C20" s="190" t="s">
        <v>63</v>
      </c>
      <c r="D20" s="191" t="s">
        <v>63</v>
      </c>
      <c r="E20" s="191" t="s">
        <v>63</v>
      </c>
      <c r="F20" s="191" t="s">
        <v>63</v>
      </c>
      <c r="G20" s="191" t="s">
        <v>63</v>
      </c>
      <c r="H20" s="191" t="s">
        <v>63</v>
      </c>
      <c r="I20" s="191" t="s">
        <v>63</v>
      </c>
      <c r="J20" s="191" t="s">
        <v>63</v>
      </c>
      <c r="K20" s="191" t="s">
        <v>63</v>
      </c>
      <c r="L20" s="192" t="s">
        <v>63</v>
      </c>
      <c r="M20" s="191" t="s">
        <v>63</v>
      </c>
      <c r="N20" s="193" t="s">
        <v>63</v>
      </c>
      <c r="O20" s="194" t="s">
        <v>63</v>
      </c>
      <c r="P20" s="195" t="s">
        <v>63</v>
      </c>
      <c r="Q20" s="191" t="s">
        <v>63</v>
      </c>
    </row>
    <row r="21">
      <c r="A21" s="180" t="s">
        <v>125</v>
      </c>
      <c r="B21" s="181">
        <f t="array" ref="B21">VLOOKUP($A21,AL_DEMO,2,FALSE)</f>
        <v>10387</v>
      </c>
      <c r="C21" s="182" t="s">
        <v>63</v>
      </c>
      <c r="D21" s="183" t="s">
        <v>63</v>
      </c>
      <c r="E21" s="183" t="s">
        <v>63</v>
      </c>
      <c r="F21" s="183" t="s">
        <v>63</v>
      </c>
      <c r="G21" s="183" t="s">
        <v>63</v>
      </c>
      <c r="H21" s="183" t="s">
        <v>63</v>
      </c>
      <c r="I21" s="183" t="s">
        <v>63</v>
      </c>
      <c r="J21" s="183" t="s">
        <v>63</v>
      </c>
      <c r="K21" s="183" t="s">
        <v>63</v>
      </c>
      <c r="L21" s="184" t="s">
        <v>63</v>
      </c>
      <c r="M21" s="183" t="s">
        <v>63</v>
      </c>
      <c r="N21" s="185" t="s">
        <v>63</v>
      </c>
      <c r="O21" s="186" t="s">
        <v>63</v>
      </c>
      <c r="P21" s="187" t="s">
        <v>63</v>
      </c>
      <c r="Q21" s="183" t="s">
        <v>63</v>
      </c>
    </row>
    <row r="22">
      <c r="A22" s="188" t="s">
        <v>126</v>
      </c>
      <c r="B22" s="189">
        <f t="array" ref="B22">VLOOKUP($A22,AL_DEMO,2,FALSE)</f>
        <v>37570</v>
      </c>
      <c r="C22" s="190" t="s">
        <v>63</v>
      </c>
      <c r="D22" s="191" t="s">
        <v>63</v>
      </c>
      <c r="E22" s="191" t="s">
        <v>63</v>
      </c>
      <c r="F22" s="191" t="s">
        <v>63</v>
      </c>
      <c r="G22" s="191" t="s">
        <v>63</v>
      </c>
      <c r="H22" s="191" t="s">
        <v>63</v>
      </c>
      <c r="I22" s="191" t="s">
        <v>63</v>
      </c>
      <c r="J22" s="191" t="s">
        <v>63</v>
      </c>
      <c r="K22" s="191" t="s">
        <v>63</v>
      </c>
      <c r="L22" s="192" t="s">
        <v>63</v>
      </c>
      <c r="M22" s="191" t="s">
        <v>63</v>
      </c>
      <c r="N22" s="193" t="s">
        <v>63</v>
      </c>
      <c r="O22" s="194" t="s">
        <v>63</v>
      </c>
      <c r="P22" s="195" t="s">
        <v>63</v>
      </c>
      <c r="Q22" s="191" t="s">
        <v>63</v>
      </c>
    </row>
    <row r="23">
      <c r="A23" s="180" t="s">
        <v>127</v>
      </c>
      <c r="B23" s="181">
        <f t="array" ref="B23">VLOOKUP($A23,AL_DEMO,2,FALSE)</f>
        <v>13194</v>
      </c>
      <c r="C23" s="182" t="s">
        <v>63</v>
      </c>
      <c r="D23" s="183" t="s">
        <v>63</v>
      </c>
      <c r="E23" s="183" t="s">
        <v>63</v>
      </c>
      <c r="F23" s="183" t="s">
        <v>63</v>
      </c>
      <c r="G23" s="183" t="s">
        <v>63</v>
      </c>
      <c r="H23" s="183" t="s">
        <v>63</v>
      </c>
      <c r="I23" s="183" t="s">
        <v>63</v>
      </c>
      <c r="J23" s="183" t="s">
        <v>63</v>
      </c>
      <c r="K23" s="183" t="s">
        <v>63</v>
      </c>
      <c r="L23" s="184" t="s">
        <v>63</v>
      </c>
      <c r="M23" s="183" t="s">
        <v>63</v>
      </c>
      <c r="N23" s="185" t="s">
        <v>63</v>
      </c>
      <c r="O23" s="186" t="s">
        <v>63</v>
      </c>
      <c r="P23" s="187" t="s">
        <v>63</v>
      </c>
      <c r="Q23" s="183" t="s">
        <v>63</v>
      </c>
    </row>
    <row r="24">
      <c r="A24" s="188" t="s">
        <v>128</v>
      </c>
      <c r="B24" s="189">
        <f t="array" ref="B24">VLOOKUP($A24,AL_DEMO,2,FALSE)</f>
        <v>87866</v>
      </c>
      <c r="C24" s="190" t="s">
        <v>63</v>
      </c>
      <c r="D24" s="191" t="s">
        <v>63</v>
      </c>
      <c r="E24" s="191" t="s">
        <v>63</v>
      </c>
      <c r="F24" s="191" t="s">
        <v>63</v>
      </c>
      <c r="G24" s="191" t="s">
        <v>63</v>
      </c>
      <c r="H24" s="191" t="s">
        <v>63</v>
      </c>
      <c r="I24" s="191" t="s">
        <v>63</v>
      </c>
      <c r="J24" s="191" t="s">
        <v>63</v>
      </c>
      <c r="K24" s="191" t="s">
        <v>63</v>
      </c>
      <c r="L24" s="192" t="s">
        <v>63</v>
      </c>
      <c r="M24" s="191" t="s">
        <v>63</v>
      </c>
      <c r="N24" s="193" t="s">
        <v>63</v>
      </c>
      <c r="O24" s="194" t="s">
        <v>63</v>
      </c>
      <c r="P24" s="195" t="s">
        <v>63</v>
      </c>
      <c r="Q24" s="191" t="s">
        <v>63</v>
      </c>
    </row>
    <row r="25">
      <c r="A25" s="180" t="s">
        <v>129</v>
      </c>
      <c r="B25" s="181">
        <f t="array" ref="B25">VLOOKUP($A25,AL_DEMO,2,FALSE)</f>
        <v>49326</v>
      </c>
      <c r="C25" s="182" t="s">
        <v>63</v>
      </c>
      <c r="D25" s="183" t="s">
        <v>63</v>
      </c>
      <c r="E25" s="183" t="s">
        <v>63</v>
      </c>
      <c r="F25" s="183" t="s">
        <v>63</v>
      </c>
      <c r="G25" s="183" t="s">
        <v>63</v>
      </c>
      <c r="H25" s="183" t="s">
        <v>63</v>
      </c>
      <c r="I25" s="183" t="s">
        <v>63</v>
      </c>
      <c r="J25" s="183" t="s">
        <v>63</v>
      </c>
      <c r="K25" s="183" t="s">
        <v>63</v>
      </c>
      <c r="L25" s="184" t="s">
        <v>63</v>
      </c>
      <c r="M25" s="183" t="s">
        <v>63</v>
      </c>
      <c r="N25" s="185" t="s">
        <v>63</v>
      </c>
      <c r="O25" s="186" t="s">
        <v>63</v>
      </c>
      <c r="P25" s="187" t="s">
        <v>63</v>
      </c>
      <c r="Q25" s="183" t="s">
        <v>63</v>
      </c>
    </row>
    <row r="26">
      <c r="A26" s="188" t="s">
        <v>130</v>
      </c>
      <c r="B26" s="189">
        <f t="array" ref="B26">VLOOKUP($A26,AL_DEMO,2,FALSE)</f>
        <v>38462</v>
      </c>
      <c r="C26" s="190" t="s">
        <v>63</v>
      </c>
      <c r="D26" s="191" t="s">
        <v>63</v>
      </c>
      <c r="E26" s="191" t="s">
        <v>63</v>
      </c>
      <c r="F26" s="191" t="s">
        <v>63</v>
      </c>
      <c r="G26" s="191" t="s">
        <v>63</v>
      </c>
      <c r="H26" s="191" t="s">
        <v>63</v>
      </c>
      <c r="I26" s="191" t="s">
        <v>63</v>
      </c>
      <c r="J26" s="191" t="s">
        <v>63</v>
      </c>
      <c r="K26" s="191" t="s">
        <v>63</v>
      </c>
      <c r="L26" s="192" t="s">
        <v>63</v>
      </c>
      <c r="M26" s="191" t="s">
        <v>63</v>
      </c>
      <c r="N26" s="193" t="s">
        <v>63</v>
      </c>
      <c r="O26" s="194" t="s">
        <v>63</v>
      </c>
      <c r="P26" s="195" t="s">
        <v>63</v>
      </c>
      <c r="Q26" s="191" t="s">
        <v>63</v>
      </c>
    </row>
    <row r="27">
      <c r="A27" s="180" t="s">
        <v>131</v>
      </c>
      <c r="B27" s="181">
        <f t="array" ref="B27">VLOOKUP($A27,AL_DEMO,2,FALSE)</f>
        <v>71608</v>
      </c>
      <c r="C27" s="182" t="s">
        <v>63</v>
      </c>
      <c r="D27" s="183" t="s">
        <v>63</v>
      </c>
      <c r="E27" s="183" t="s">
        <v>63</v>
      </c>
      <c r="F27" s="183" t="s">
        <v>63</v>
      </c>
      <c r="G27" s="183" t="s">
        <v>63</v>
      </c>
      <c r="H27" s="183" t="s">
        <v>63</v>
      </c>
      <c r="I27" s="183" t="s">
        <v>63</v>
      </c>
      <c r="J27" s="183" t="s">
        <v>63</v>
      </c>
      <c r="K27" s="183" t="s">
        <v>63</v>
      </c>
      <c r="L27" s="184" t="s">
        <v>63</v>
      </c>
      <c r="M27" s="183" t="s">
        <v>63</v>
      </c>
      <c r="N27" s="185" t="s">
        <v>63</v>
      </c>
      <c r="O27" s="186" t="s">
        <v>63</v>
      </c>
      <c r="P27" s="187" t="s">
        <v>63</v>
      </c>
      <c r="Q27" s="183" t="s">
        <v>63</v>
      </c>
    </row>
    <row r="28">
      <c r="A28" s="188" t="s">
        <v>132</v>
      </c>
      <c r="B28" s="189">
        <f t="array" ref="B28">VLOOKUP($A28,AL_DEMO,2,FALSE)</f>
        <v>87977</v>
      </c>
      <c r="C28" s="190" t="s">
        <v>63</v>
      </c>
      <c r="D28" s="191" t="s">
        <v>63</v>
      </c>
      <c r="E28" s="191" t="s">
        <v>63</v>
      </c>
      <c r="F28" s="191" t="s">
        <v>63</v>
      </c>
      <c r="G28" s="191" t="s">
        <v>63</v>
      </c>
      <c r="H28" s="191" t="s">
        <v>63</v>
      </c>
      <c r="I28" s="191" t="s">
        <v>63</v>
      </c>
      <c r="J28" s="191" t="s">
        <v>63</v>
      </c>
      <c r="K28" s="191" t="s">
        <v>63</v>
      </c>
      <c r="L28" s="192" t="s">
        <v>63</v>
      </c>
      <c r="M28" s="191" t="s">
        <v>63</v>
      </c>
      <c r="N28" s="193" t="s">
        <v>63</v>
      </c>
      <c r="O28" s="194" t="s">
        <v>63</v>
      </c>
      <c r="P28" s="195" t="s">
        <v>63</v>
      </c>
      <c r="Q28" s="191" t="s">
        <v>63</v>
      </c>
    </row>
    <row r="29">
      <c r="A29" s="180" t="s">
        <v>133</v>
      </c>
      <c r="B29" s="181">
        <f t="array" ref="B29">VLOOKUP($A29,AL_DEMO,2,FALSE)</f>
        <v>36757</v>
      </c>
      <c r="C29" s="182" t="s">
        <v>63</v>
      </c>
      <c r="D29" s="183" t="s">
        <v>63</v>
      </c>
      <c r="E29" s="183" t="s">
        <v>63</v>
      </c>
      <c r="F29" s="183" t="s">
        <v>63</v>
      </c>
      <c r="G29" s="183" t="s">
        <v>63</v>
      </c>
      <c r="H29" s="183" t="s">
        <v>63</v>
      </c>
      <c r="I29" s="183" t="s">
        <v>63</v>
      </c>
      <c r="J29" s="183" t="s">
        <v>63</v>
      </c>
      <c r="K29" s="183" t="s">
        <v>63</v>
      </c>
      <c r="L29" s="184" t="s">
        <v>63</v>
      </c>
      <c r="M29" s="183" t="s">
        <v>63</v>
      </c>
      <c r="N29" s="185" t="s">
        <v>63</v>
      </c>
      <c r="O29" s="186" t="s">
        <v>63</v>
      </c>
      <c r="P29" s="187" t="s">
        <v>63</v>
      </c>
      <c r="Q29" s="183" t="s">
        <v>63</v>
      </c>
    </row>
    <row r="30">
      <c r="A30" s="188" t="s">
        <v>134</v>
      </c>
      <c r="B30" s="189">
        <f t="array" ref="B30">VLOOKUP($A30,AL_DEMO,2,FALSE)</f>
        <v>103436</v>
      </c>
      <c r="C30" s="190" t="s">
        <v>63</v>
      </c>
      <c r="D30" s="191" t="s">
        <v>63</v>
      </c>
      <c r="E30" s="191" t="s">
        <v>63</v>
      </c>
      <c r="F30" s="191" t="s">
        <v>63</v>
      </c>
      <c r="G30" s="191" t="s">
        <v>63</v>
      </c>
      <c r="H30" s="191" t="s">
        <v>63</v>
      </c>
      <c r="I30" s="191" t="s">
        <v>63</v>
      </c>
      <c r="J30" s="191" t="s">
        <v>63</v>
      </c>
      <c r="K30" s="191" t="s">
        <v>63</v>
      </c>
      <c r="L30" s="192" t="s">
        <v>63</v>
      </c>
      <c r="M30" s="191" t="s">
        <v>63</v>
      </c>
      <c r="N30" s="193" t="s">
        <v>63</v>
      </c>
      <c r="O30" s="194" t="s">
        <v>63</v>
      </c>
      <c r="P30" s="195" t="s">
        <v>63</v>
      </c>
      <c r="Q30" s="191" t="s">
        <v>63</v>
      </c>
    </row>
    <row r="31">
      <c r="A31" s="180" t="s">
        <v>135</v>
      </c>
      <c r="B31" s="181">
        <f t="array" ref="B31">VLOOKUP($A31,AL_DEMO,2,FALSE)</f>
        <v>16321</v>
      </c>
      <c r="C31" s="182" t="s">
        <v>63</v>
      </c>
      <c r="D31" s="183" t="s">
        <v>63</v>
      </c>
      <c r="E31" s="183" t="s">
        <v>63</v>
      </c>
      <c r="F31" s="183" t="s">
        <v>63</v>
      </c>
      <c r="G31" s="183" t="s">
        <v>63</v>
      </c>
      <c r="H31" s="183" t="s">
        <v>63</v>
      </c>
      <c r="I31" s="183" t="s">
        <v>63</v>
      </c>
      <c r="J31" s="183" t="s">
        <v>63</v>
      </c>
      <c r="K31" s="183" t="s">
        <v>63</v>
      </c>
      <c r="L31" s="184" t="s">
        <v>63</v>
      </c>
      <c r="M31" s="183" t="s">
        <v>63</v>
      </c>
      <c r="N31" s="185" t="s">
        <v>63</v>
      </c>
      <c r="O31" s="186" t="s">
        <v>63</v>
      </c>
      <c r="P31" s="187" t="s">
        <v>63</v>
      </c>
      <c r="Q31" s="183" t="s">
        <v>63</v>
      </c>
    </row>
    <row r="32">
      <c r="A32" s="188" t="s">
        <v>136</v>
      </c>
      <c r="B32" s="189">
        <f t="array" ref="B32">VLOOKUP($A32,AL_DEMO,2,FALSE)</f>
        <v>32113</v>
      </c>
      <c r="C32" s="190" t="s">
        <v>63</v>
      </c>
      <c r="D32" s="191" t="s">
        <v>63</v>
      </c>
      <c r="E32" s="191" t="s">
        <v>63</v>
      </c>
      <c r="F32" s="191" t="s">
        <v>63</v>
      </c>
      <c r="G32" s="191" t="s">
        <v>63</v>
      </c>
      <c r="H32" s="191" t="s">
        <v>63</v>
      </c>
      <c r="I32" s="191" t="s">
        <v>63</v>
      </c>
      <c r="J32" s="191" t="s">
        <v>63</v>
      </c>
      <c r="K32" s="191" t="s">
        <v>63</v>
      </c>
      <c r="L32" s="192" t="s">
        <v>63</v>
      </c>
      <c r="M32" s="191" t="s">
        <v>63</v>
      </c>
      <c r="N32" s="193" t="s">
        <v>63</v>
      </c>
      <c r="O32" s="194" t="s">
        <v>63</v>
      </c>
      <c r="P32" s="195" t="s">
        <v>63</v>
      </c>
      <c r="Q32" s="191" t="s">
        <v>63</v>
      </c>
    </row>
    <row r="33">
      <c r="A33" s="180" t="s">
        <v>137</v>
      </c>
      <c r="B33" s="181">
        <f t="array" ref="B33">VLOOKUP($A33,AL_DEMO,2,FALSE)</f>
        <v>26659</v>
      </c>
      <c r="C33" s="182" t="s">
        <v>63</v>
      </c>
      <c r="D33" s="183" t="s">
        <v>63</v>
      </c>
      <c r="E33" s="183" t="s">
        <v>63</v>
      </c>
      <c r="F33" s="183" t="s">
        <v>63</v>
      </c>
      <c r="G33" s="183" t="s">
        <v>63</v>
      </c>
      <c r="H33" s="183" t="s">
        <v>63</v>
      </c>
      <c r="I33" s="183" t="s">
        <v>63</v>
      </c>
      <c r="J33" s="183" t="s">
        <v>63</v>
      </c>
      <c r="K33" s="183" t="s">
        <v>63</v>
      </c>
      <c r="L33" s="184" t="s">
        <v>63</v>
      </c>
      <c r="M33" s="183" t="s">
        <v>63</v>
      </c>
      <c r="N33" s="185" t="s">
        <v>63</v>
      </c>
      <c r="O33" s="186" t="s">
        <v>63</v>
      </c>
      <c r="P33" s="187" t="s">
        <v>63</v>
      </c>
      <c r="Q33" s="183" t="s">
        <v>63</v>
      </c>
    </row>
    <row r="34">
      <c r="A34" s="188" t="s">
        <v>138</v>
      </c>
      <c r="B34" s="189">
        <f t="array" ref="B34">VLOOKUP($A34,AL_DEMO,2,FALSE)</f>
        <v>7730</v>
      </c>
      <c r="C34" s="190" t="s">
        <v>63</v>
      </c>
      <c r="D34" s="191" t="s">
        <v>63</v>
      </c>
      <c r="E34" s="191" t="s">
        <v>63</v>
      </c>
      <c r="F34" s="191" t="s">
        <v>63</v>
      </c>
      <c r="G34" s="191" t="s">
        <v>63</v>
      </c>
      <c r="H34" s="191" t="s">
        <v>63</v>
      </c>
      <c r="I34" s="191" t="s">
        <v>63</v>
      </c>
      <c r="J34" s="191" t="s">
        <v>63</v>
      </c>
      <c r="K34" s="191" t="s">
        <v>63</v>
      </c>
      <c r="L34" s="192" t="s">
        <v>63</v>
      </c>
      <c r="M34" s="191" t="s">
        <v>63</v>
      </c>
      <c r="N34" s="193" t="s">
        <v>63</v>
      </c>
      <c r="O34" s="194" t="s">
        <v>63</v>
      </c>
      <c r="P34" s="195" t="s">
        <v>63</v>
      </c>
      <c r="Q34" s="191" t="s">
        <v>63</v>
      </c>
    </row>
    <row r="35">
      <c r="A35" s="180" t="s">
        <v>139</v>
      </c>
      <c r="B35" s="181">
        <f t="array" ref="B35">VLOOKUP($A35,AL_DEMO,2,FALSE)</f>
        <v>14785</v>
      </c>
      <c r="C35" s="182" t="s">
        <v>63</v>
      </c>
      <c r="D35" s="183" t="s">
        <v>63</v>
      </c>
      <c r="E35" s="183" t="s">
        <v>63</v>
      </c>
      <c r="F35" s="183" t="s">
        <v>63</v>
      </c>
      <c r="G35" s="183" t="s">
        <v>63</v>
      </c>
      <c r="H35" s="183" t="s">
        <v>63</v>
      </c>
      <c r="I35" s="183" t="s">
        <v>63</v>
      </c>
      <c r="J35" s="183" t="s">
        <v>63</v>
      </c>
      <c r="K35" s="183" t="s">
        <v>63</v>
      </c>
      <c r="L35" s="184" t="s">
        <v>63</v>
      </c>
      <c r="M35" s="183" t="s">
        <v>63</v>
      </c>
      <c r="N35" s="185" t="s">
        <v>63</v>
      </c>
      <c r="O35" s="186" t="s">
        <v>63</v>
      </c>
      <c r="P35" s="187" t="s">
        <v>63</v>
      </c>
      <c r="Q35" s="183" t="s">
        <v>63</v>
      </c>
    </row>
    <row r="36">
      <c r="A36" s="188" t="s">
        <v>140</v>
      </c>
      <c r="B36" s="189">
        <f t="array" ref="B36">VLOOKUP($A36,AL_DEMO,2,FALSE)</f>
        <v>17146</v>
      </c>
      <c r="C36" s="190" t="s">
        <v>63</v>
      </c>
      <c r="D36" s="191" t="s">
        <v>63</v>
      </c>
      <c r="E36" s="191" t="s">
        <v>63</v>
      </c>
      <c r="F36" s="191" t="s">
        <v>63</v>
      </c>
      <c r="G36" s="191" t="s">
        <v>63</v>
      </c>
      <c r="H36" s="191" t="s">
        <v>63</v>
      </c>
      <c r="I36" s="191" t="s">
        <v>63</v>
      </c>
      <c r="J36" s="191" t="s">
        <v>63</v>
      </c>
      <c r="K36" s="191" t="s">
        <v>63</v>
      </c>
      <c r="L36" s="192" t="s">
        <v>63</v>
      </c>
      <c r="M36" s="191" t="s">
        <v>63</v>
      </c>
      <c r="N36" s="193" t="s">
        <v>63</v>
      </c>
      <c r="O36" s="194" t="s">
        <v>63</v>
      </c>
      <c r="P36" s="195" t="s">
        <v>63</v>
      </c>
      <c r="Q36" s="191" t="s">
        <v>63</v>
      </c>
    </row>
    <row r="37">
      <c r="A37" s="180" t="s">
        <v>141</v>
      </c>
      <c r="B37" s="181">
        <f t="array" ref="B37">VLOOKUP($A37,AL_DEMO,2,FALSE)</f>
        <v>107202</v>
      </c>
      <c r="C37" s="182" t="s">
        <v>63</v>
      </c>
      <c r="D37" s="183" t="s">
        <v>63</v>
      </c>
      <c r="E37" s="183" t="s">
        <v>63</v>
      </c>
      <c r="F37" s="183" t="s">
        <v>63</v>
      </c>
      <c r="G37" s="183" t="s">
        <v>63</v>
      </c>
      <c r="H37" s="183" t="s">
        <v>63</v>
      </c>
      <c r="I37" s="183" t="s">
        <v>63</v>
      </c>
      <c r="J37" s="183" t="s">
        <v>63</v>
      </c>
      <c r="K37" s="183" t="s">
        <v>63</v>
      </c>
      <c r="L37" s="184" t="s">
        <v>63</v>
      </c>
      <c r="M37" s="183" t="s">
        <v>63</v>
      </c>
      <c r="N37" s="185" t="s">
        <v>63</v>
      </c>
      <c r="O37" s="186" t="s">
        <v>63</v>
      </c>
      <c r="P37" s="187" t="s">
        <v>63</v>
      </c>
      <c r="Q37" s="183" t="s">
        <v>63</v>
      </c>
    </row>
    <row r="38">
      <c r="A38" s="188" t="s">
        <v>142</v>
      </c>
      <c r="B38" s="189">
        <f t="array" ref="B38">VLOOKUP($A38,AL_DEMO,2,FALSE)</f>
        <v>52579</v>
      </c>
      <c r="C38" s="190" t="s">
        <v>63</v>
      </c>
      <c r="D38" s="191" t="s">
        <v>63</v>
      </c>
      <c r="E38" s="191" t="s">
        <v>63</v>
      </c>
      <c r="F38" s="191" t="s">
        <v>63</v>
      </c>
      <c r="G38" s="191" t="s">
        <v>63</v>
      </c>
      <c r="H38" s="191" t="s">
        <v>63</v>
      </c>
      <c r="I38" s="191" t="s">
        <v>63</v>
      </c>
      <c r="J38" s="191" t="s">
        <v>63</v>
      </c>
      <c r="K38" s="191" t="s">
        <v>63</v>
      </c>
      <c r="L38" s="192" t="s">
        <v>63</v>
      </c>
      <c r="M38" s="191" t="s">
        <v>63</v>
      </c>
      <c r="N38" s="193" t="s">
        <v>63</v>
      </c>
      <c r="O38" s="194" t="s">
        <v>63</v>
      </c>
      <c r="P38" s="195" t="s">
        <v>63</v>
      </c>
      <c r="Q38" s="191" t="s">
        <v>63</v>
      </c>
    </row>
    <row r="39">
      <c r="A39" s="180" t="s">
        <v>143</v>
      </c>
      <c r="B39" s="181">
        <f t="array" ref="B39">VLOOKUP($A39,AL_DEMO,2,FALSE)</f>
        <v>674721</v>
      </c>
      <c r="C39" s="182" t="s">
        <v>63</v>
      </c>
      <c r="D39" s="183" t="s">
        <v>63</v>
      </c>
      <c r="E39" s="183" t="s">
        <v>63</v>
      </c>
      <c r="F39" s="183" t="s">
        <v>63</v>
      </c>
      <c r="G39" s="183" t="s">
        <v>63</v>
      </c>
      <c r="H39" s="183" t="s">
        <v>63</v>
      </c>
      <c r="I39" s="183" t="s">
        <v>63</v>
      </c>
      <c r="J39" s="183" t="s">
        <v>63</v>
      </c>
      <c r="K39" s="183" t="s">
        <v>63</v>
      </c>
      <c r="L39" s="184" t="s">
        <v>63</v>
      </c>
      <c r="M39" s="183" t="s">
        <v>63</v>
      </c>
      <c r="N39" s="185" t="s">
        <v>63</v>
      </c>
      <c r="O39" s="186" t="s">
        <v>63</v>
      </c>
      <c r="P39" s="187" t="s">
        <v>63</v>
      </c>
      <c r="Q39" s="183" t="s">
        <v>63</v>
      </c>
    </row>
    <row r="40">
      <c r="A40" s="188" t="s">
        <v>144</v>
      </c>
      <c r="B40" s="189">
        <f t="array" ref="B40">VLOOKUP($A40,AL_DEMO,2,FALSE)</f>
        <v>13972</v>
      </c>
      <c r="C40" s="190" t="s">
        <v>63</v>
      </c>
      <c r="D40" s="191" t="s">
        <v>63</v>
      </c>
      <c r="E40" s="191" t="s">
        <v>63</v>
      </c>
      <c r="F40" s="191" t="s">
        <v>63</v>
      </c>
      <c r="G40" s="191" t="s">
        <v>63</v>
      </c>
      <c r="H40" s="191" t="s">
        <v>63</v>
      </c>
      <c r="I40" s="191" t="s">
        <v>63</v>
      </c>
      <c r="J40" s="191" t="s">
        <v>63</v>
      </c>
      <c r="K40" s="191" t="s">
        <v>63</v>
      </c>
      <c r="L40" s="192" t="s">
        <v>63</v>
      </c>
      <c r="M40" s="191" t="s">
        <v>63</v>
      </c>
      <c r="N40" s="193" t="s">
        <v>63</v>
      </c>
      <c r="O40" s="194" t="s">
        <v>63</v>
      </c>
      <c r="P40" s="195" t="s">
        <v>63</v>
      </c>
      <c r="Q40" s="191" t="s">
        <v>63</v>
      </c>
    </row>
    <row r="41">
      <c r="A41" s="180" t="s">
        <v>145</v>
      </c>
      <c r="B41" s="181">
        <f t="array" ref="B41">VLOOKUP($A41,AL_DEMO,2,FALSE)</f>
        <v>93564</v>
      </c>
      <c r="C41" s="182" t="s">
        <v>63</v>
      </c>
      <c r="D41" s="183" t="s">
        <v>63</v>
      </c>
      <c r="E41" s="183" t="s">
        <v>63</v>
      </c>
      <c r="F41" s="183" t="s">
        <v>63</v>
      </c>
      <c r="G41" s="183" t="s">
        <v>63</v>
      </c>
      <c r="H41" s="183" t="s">
        <v>63</v>
      </c>
      <c r="I41" s="183" t="s">
        <v>63</v>
      </c>
      <c r="J41" s="183" t="s">
        <v>63</v>
      </c>
      <c r="K41" s="183" t="s">
        <v>63</v>
      </c>
      <c r="L41" s="184" t="s">
        <v>63</v>
      </c>
      <c r="M41" s="183" t="s">
        <v>63</v>
      </c>
      <c r="N41" s="185" t="s">
        <v>63</v>
      </c>
      <c r="O41" s="186" t="s">
        <v>63</v>
      </c>
      <c r="P41" s="187" t="s">
        <v>63</v>
      </c>
      <c r="Q41" s="183" t="s">
        <v>63</v>
      </c>
    </row>
    <row r="42">
      <c r="A42" s="188" t="s">
        <v>146</v>
      </c>
      <c r="B42" s="189">
        <f t="array" ref="B42">VLOOKUP($A42,AL_DEMO,2,FALSE)</f>
        <v>33073</v>
      </c>
      <c r="C42" s="190" t="s">
        <v>63</v>
      </c>
      <c r="D42" s="191" t="s">
        <v>63</v>
      </c>
      <c r="E42" s="191" t="s">
        <v>63</v>
      </c>
      <c r="F42" s="191" t="s">
        <v>63</v>
      </c>
      <c r="G42" s="191" t="s">
        <v>63</v>
      </c>
      <c r="H42" s="191" t="s">
        <v>63</v>
      </c>
      <c r="I42" s="191" t="s">
        <v>63</v>
      </c>
      <c r="J42" s="191" t="s">
        <v>63</v>
      </c>
      <c r="K42" s="191" t="s">
        <v>63</v>
      </c>
      <c r="L42" s="192" t="s">
        <v>63</v>
      </c>
      <c r="M42" s="191" t="s">
        <v>63</v>
      </c>
      <c r="N42" s="193" t="s">
        <v>63</v>
      </c>
      <c r="O42" s="194" t="s">
        <v>63</v>
      </c>
      <c r="P42" s="195" t="s">
        <v>63</v>
      </c>
      <c r="Q42" s="191" t="s">
        <v>63</v>
      </c>
    </row>
    <row r="43">
      <c r="A43" s="180" t="s">
        <v>147</v>
      </c>
      <c r="B43" s="181">
        <f t="array" ref="B43">VLOOKUP($A43,AL_DEMO,2,FALSE)</f>
        <v>174241</v>
      </c>
      <c r="C43" s="182" t="s">
        <v>63</v>
      </c>
      <c r="D43" s="183" t="s">
        <v>63</v>
      </c>
      <c r="E43" s="183" t="s">
        <v>63</v>
      </c>
      <c r="F43" s="183" t="s">
        <v>63</v>
      </c>
      <c r="G43" s="183" t="s">
        <v>63</v>
      </c>
      <c r="H43" s="183" t="s">
        <v>63</v>
      </c>
      <c r="I43" s="183" t="s">
        <v>63</v>
      </c>
      <c r="J43" s="183" t="s">
        <v>63</v>
      </c>
      <c r="K43" s="183" t="s">
        <v>63</v>
      </c>
      <c r="L43" s="184" t="s">
        <v>63</v>
      </c>
      <c r="M43" s="183" t="s">
        <v>63</v>
      </c>
      <c r="N43" s="185" t="s">
        <v>63</v>
      </c>
      <c r="O43" s="186" t="s">
        <v>63</v>
      </c>
      <c r="P43" s="187" t="s">
        <v>63</v>
      </c>
      <c r="Q43" s="183" t="s">
        <v>63</v>
      </c>
    </row>
    <row r="44">
      <c r="A44" s="188" t="s">
        <v>148</v>
      </c>
      <c r="B44" s="189">
        <f t="array" ref="B44">VLOOKUP($A44,AL_DEMO,2,FALSE)</f>
        <v>103570</v>
      </c>
      <c r="C44" s="190" t="s">
        <v>63</v>
      </c>
      <c r="D44" s="191" t="s">
        <v>63</v>
      </c>
      <c r="E44" s="191" t="s">
        <v>63</v>
      </c>
      <c r="F44" s="191" t="s">
        <v>63</v>
      </c>
      <c r="G44" s="191" t="s">
        <v>63</v>
      </c>
      <c r="H44" s="191" t="s">
        <v>63</v>
      </c>
      <c r="I44" s="191" t="s">
        <v>63</v>
      </c>
      <c r="J44" s="191" t="s">
        <v>63</v>
      </c>
      <c r="K44" s="191" t="s">
        <v>63</v>
      </c>
      <c r="L44" s="192" t="s">
        <v>63</v>
      </c>
      <c r="M44" s="191" t="s">
        <v>63</v>
      </c>
      <c r="N44" s="193" t="s">
        <v>63</v>
      </c>
      <c r="O44" s="194" t="s">
        <v>63</v>
      </c>
      <c r="P44" s="195" t="s">
        <v>63</v>
      </c>
      <c r="Q44" s="191" t="s">
        <v>63</v>
      </c>
    </row>
    <row r="45">
      <c r="A45" s="180" t="s">
        <v>149</v>
      </c>
      <c r="B45" s="181">
        <f t="array" ref="B45">VLOOKUP($A45,AL_DEMO,2,FALSE)</f>
        <v>10311</v>
      </c>
      <c r="C45" s="182" t="s">
        <v>63</v>
      </c>
      <c r="D45" s="183" t="s">
        <v>63</v>
      </c>
      <c r="E45" s="183" t="s">
        <v>63</v>
      </c>
      <c r="F45" s="183" t="s">
        <v>63</v>
      </c>
      <c r="G45" s="183" t="s">
        <v>63</v>
      </c>
      <c r="H45" s="183" t="s">
        <v>63</v>
      </c>
      <c r="I45" s="183" t="s">
        <v>63</v>
      </c>
      <c r="J45" s="183" t="s">
        <v>63</v>
      </c>
      <c r="K45" s="183" t="s">
        <v>63</v>
      </c>
      <c r="L45" s="184" t="s">
        <v>63</v>
      </c>
      <c r="M45" s="183" t="s">
        <v>63</v>
      </c>
      <c r="N45" s="185" t="s">
        <v>63</v>
      </c>
      <c r="O45" s="186" t="s">
        <v>63</v>
      </c>
      <c r="P45" s="187" t="s">
        <v>63</v>
      </c>
      <c r="Q45" s="183" t="s">
        <v>63</v>
      </c>
    </row>
    <row r="46">
      <c r="A46" s="188" t="s">
        <v>150</v>
      </c>
      <c r="B46" s="189">
        <f t="array" ref="B46">VLOOKUP($A46,AL_DEMO,2,FALSE)</f>
        <v>19532</v>
      </c>
      <c r="C46" s="190" t="s">
        <v>63</v>
      </c>
      <c r="D46" s="191" t="s">
        <v>63</v>
      </c>
      <c r="E46" s="191" t="s">
        <v>63</v>
      </c>
      <c r="F46" s="191" t="s">
        <v>63</v>
      </c>
      <c r="G46" s="191" t="s">
        <v>63</v>
      </c>
      <c r="H46" s="191" t="s">
        <v>63</v>
      </c>
      <c r="I46" s="191" t="s">
        <v>63</v>
      </c>
      <c r="J46" s="191" t="s">
        <v>63</v>
      </c>
      <c r="K46" s="191" t="s">
        <v>63</v>
      </c>
      <c r="L46" s="192" t="s">
        <v>63</v>
      </c>
      <c r="M46" s="191" t="s">
        <v>63</v>
      </c>
      <c r="N46" s="193" t="s">
        <v>63</v>
      </c>
      <c r="O46" s="194" t="s">
        <v>63</v>
      </c>
      <c r="P46" s="195" t="s">
        <v>63</v>
      </c>
      <c r="Q46" s="191" t="s">
        <v>63</v>
      </c>
    </row>
    <row r="47">
      <c r="A47" s="180" t="s">
        <v>151</v>
      </c>
      <c r="B47" s="181">
        <f t="array" ref="B47">VLOOKUP($A47,AL_DEMO,2,FALSE)</f>
        <v>388153</v>
      </c>
      <c r="C47" s="182" t="s">
        <v>63</v>
      </c>
      <c r="D47" s="183" t="s">
        <v>63</v>
      </c>
      <c r="E47" s="183" t="s">
        <v>63</v>
      </c>
      <c r="F47" s="183" t="s">
        <v>63</v>
      </c>
      <c r="G47" s="183" t="s">
        <v>63</v>
      </c>
      <c r="H47" s="183" t="s">
        <v>63</v>
      </c>
      <c r="I47" s="183" t="s">
        <v>63</v>
      </c>
      <c r="J47" s="183" t="s">
        <v>63</v>
      </c>
      <c r="K47" s="183" t="s">
        <v>63</v>
      </c>
      <c r="L47" s="184" t="s">
        <v>63</v>
      </c>
      <c r="M47" s="183" t="s">
        <v>63</v>
      </c>
      <c r="N47" s="185" t="s">
        <v>63</v>
      </c>
      <c r="O47" s="186" t="s">
        <v>63</v>
      </c>
      <c r="P47" s="187" t="s">
        <v>63</v>
      </c>
      <c r="Q47" s="183" t="s">
        <v>63</v>
      </c>
    </row>
    <row r="48">
      <c r="A48" s="188" t="s">
        <v>152</v>
      </c>
      <c r="B48" s="189">
        <f t="array" ref="B48">VLOOKUP($A48,AL_DEMO,2,FALSE)</f>
        <v>19323</v>
      </c>
      <c r="C48" s="190" t="s">
        <v>63</v>
      </c>
      <c r="D48" s="191" t="s">
        <v>63</v>
      </c>
      <c r="E48" s="191" t="s">
        <v>63</v>
      </c>
      <c r="F48" s="191" t="s">
        <v>63</v>
      </c>
      <c r="G48" s="191" t="s">
        <v>63</v>
      </c>
      <c r="H48" s="191" t="s">
        <v>63</v>
      </c>
      <c r="I48" s="191" t="s">
        <v>63</v>
      </c>
      <c r="J48" s="191" t="s">
        <v>63</v>
      </c>
      <c r="K48" s="191" t="s">
        <v>63</v>
      </c>
      <c r="L48" s="192" t="s">
        <v>63</v>
      </c>
      <c r="M48" s="191" t="s">
        <v>63</v>
      </c>
      <c r="N48" s="193" t="s">
        <v>63</v>
      </c>
      <c r="O48" s="194" t="s">
        <v>63</v>
      </c>
      <c r="P48" s="195" t="s">
        <v>63</v>
      </c>
      <c r="Q48" s="191" t="s">
        <v>63</v>
      </c>
    </row>
    <row r="49">
      <c r="A49" s="180" t="s">
        <v>153</v>
      </c>
      <c r="B49" s="181">
        <f t="array" ref="B49">VLOOKUP($A49,AL_DEMO,2,FALSE)</f>
        <v>29341</v>
      </c>
      <c r="C49" s="182" t="s">
        <v>63</v>
      </c>
      <c r="D49" s="183" t="s">
        <v>63</v>
      </c>
      <c r="E49" s="183" t="s">
        <v>63</v>
      </c>
      <c r="F49" s="183" t="s">
        <v>63</v>
      </c>
      <c r="G49" s="183" t="s">
        <v>63</v>
      </c>
      <c r="H49" s="183" t="s">
        <v>63</v>
      </c>
      <c r="I49" s="183" t="s">
        <v>63</v>
      </c>
      <c r="J49" s="183" t="s">
        <v>63</v>
      </c>
      <c r="K49" s="183" t="s">
        <v>63</v>
      </c>
      <c r="L49" s="184" t="s">
        <v>63</v>
      </c>
      <c r="M49" s="183" t="s">
        <v>63</v>
      </c>
      <c r="N49" s="185" t="s">
        <v>63</v>
      </c>
      <c r="O49" s="186" t="s">
        <v>63</v>
      </c>
      <c r="P49" s="187" t="s">
        <v>63</v>
      </c>
      <c r="Q49" s="183" t="s">
        <v>63</v>
      </c>
    </row>
    <row r="50">
      <c r="A50" s="188" t="s">
        <v>154</v>
      </c>
      <c r="B50" s="189">
        <f t="array" ref="B50">VLOOKUP($A50,AL_DEMO,2,FALSE)</f>
        <v>97612</v>
      </c>
      <c r="C50" s="190" t="s">
        <v>63</v>
      </c>
      <c r="D50" s="191" t="s">
        <v>63</v>
      </c>
      <c r="E50" s="191" t="s">
        <v>63</v>
      </c>
      <c r="F50" s="191" t="s">
        <v>63</v>
      </c>
      <c r="G50" s="191" t="s">
        <v>63</v>
      </c>
      <c r="H50" s="191" t="s">
        <v>63</v>
      </c>
      <c r="I50" s="191" t="s">
        <v>63</v>
      </c>
      <c r="J50" s="191" t="s">
        <v>63</v>
      </c>
      <c r="K50" s="191" t="s">
        <v>63</v>
      </c>
      <c r="L50" s="192" t="s">
        <v>63</v>
      </c>
      <c r="M50" s="191" t="s">
        <v>63</v>
      </c>
      <c r="N50" s="193" t="s">
        <v>63</v>
      </c>
      <c r="O50" s="194" t="s">
        <v>63</v>
      </c>
      <c r="P50" s="195" t="s">
        <v>63</v>
      </c>
      <c r="Q50" s="191" t="s">
        <v>63</v>
      </c>
    </row>
    <row r="51">
      <c r="A51" s="180" t="s">
        <v>155</v>
      </c>
      <c r="B51" s="181">
        <f t="array" ref="B51">VLOOKUP($A51,AL_DEMO,2,FALSE)</f>
        <v>414809</v>
      </c>
      <c r="C51" s="182" t="s">
        <v>63</v>
      </c>
      <c r="D51" s="183" t="s">
        <v>63</v>
      </c>
      <c r="E51" s="183" t="s">
        <v>63</v>
      </c>
      <c r="F51" s="183" t="s">
        <v>63</v>
      </c>
      <c r="G51" s="183" t="s">
        <v>63</v>
      </c>
      <c r="H51" s="183" t="s">
        <v>63</v>
      </c>
      <c r="I51" s="183" t="s">
        <v>63</v>
      </c>
      <c r="J51" s="183" t="s">
        <v>63</v>
      </c>
      <c r="K51" s="183" t="s">
        <v>63</v>
      </c>
      <c r="L51" s="184" t="s">
        <v>63</v>
      </c>
      <c r="M51" s="183" t="s">
        <v>63</v>
      </c>
      <c r="N51" s="185" t="s">
        <v>63</v>
      </c>
      <c r="O51" s="186" t="s">
        <v>63</v>
      </c>
      <c r="P51" s="187" t="s">
        <v>63</v>
      </c>
      <c r="Q51" s="183" t="s">
        <v>63</v>
      </c>
    </row>
    <row r="52">
      <c r="A52" s="188" t="s">
        <v>156</v>
      </c>
      <c r="B52" s="189">
        <f t="array" ref="B52">VLOOKUP($A52,AL_DEMO,2,FALSE)</f>
        <v>19772</v>
      </c>
      <c r="C52" s="190" t="s">
        <v>63</v>
      </c>
      <c r="D52" s="191" t="s">
        <v>63</v>
      </c>
      <c r="E52" s="191" t="s">
        <v>63</v>
      </c>
      <c r="F52" s="191" t="s">
        <v>63</v>
      </c>
      <c r="G52" s="191" t="s">
        <v>63</v>
      </c>
      <c r="H52" s="191" t="s">
        <v>63</v>
      </c>
      <c r="I52" s="191" t="s">
        <v>63</v>
      </c>
      <c r="J52" s="191" t="s">
        <v>63</v>
      </c>
      <c r="K52" s="191" t="s">
        <v>63</v>
      </c>
      <c r="L52" s="192" t="s">
        <v>63</v>
      </c>
      <c r="M52" s="191" t="s">
        <v>63</v>
      </c>
      <c r="N52" s="193" t="s">
        <v>63</v>
      </c>
      <c r="O52" s="194" t="s">
        <v>63</v>
      </c>
      <c r="P52" s="195" t="s">
        <v>63</v>
      </c>
      <c r="Q52" s="191" t="s">
        <v>63</v>
      </c>
    </row>
    <row r="53">
      <c r="A53" s="180" t="s">
        <v>157</v>
      </c>
      <c r="B53" s="181">
        <f t="array" ref="B53">VLOOKUP($A53,AL_DEMO,2,FALSE)</f>
        <v>228954</v>
      </c>
      <c r="C53" s="182" t="s">
        <v>63</v>
      </c>
      <c r="D53" s="183" t="s">
        <v>63</v>
      </c>
      <c r="E53" s="183" t="s">
        <v>63</v>
      </c>
      <c r="F53" s="183" t="s">
        <v>63</v>
      </c>
      <c r="G53" s="183" t="s">
        <v>63</v>
      </c>
      <c r="H53" s="183" t="s">
        <v>63</v>
      </c>
      <c r="I53" s="183" t="s">
        <v>63</v>
      </c>
      <c r="J53" s="183" t="s">
        <v>63</v>
      </c>
      <c r="K53" s="183" t="s">
        <v>63</v>
      </c>
      <c r="L53" s="184" t="s">
        <v>63</v>
      </c>
      <c r="M53" s="183" t="s">
        <v>63</v>
      </c>
      <c r="N53" s="185" t="s">
        <v>63</v>
      </c>
      <c r="O53" s="186" t="s">
        <v>63</v>
      </c>
      <c r="P53" s="187" t="s">
        <v>63</v>
      </c>
      <c r="Q53" s="183" t="s">
        <v>63</v>
      </c>
    </row>
    <row r="54">
      <c r="A54" s="188" t="s">
        <v>158</v>
      </c>
      <c r="B54" s="189">
        <f t="array" ref="B54">VLOOKUP($A54,AL_DEMO,2,FALSE)</f>
        <v>123421</v>
      </c>
      <c r="C54" s="190" t="s">
        <v>63</v>
      </c>
      <c r="D54" s="191" t="s">
        <v>63</v>
      </c>
      <c r="E54" s="191" t="s">
        <v>63</v>
      </c>
      <c r="F54" s="191" t="s">
        <v>63</v>
      </c>
      <c r="G54" s="191" t="s">
        <v>63</v>
      </c>
      <c r="H54" s="191" t="s">
        <v>63</v>
      </c>
      <c r="I54" s="191" t="s">
        <v>63</v>
      </c>
      <c r="J54" s="191" t="s">
        <v>63</v>
      </c>
      <c r="K54" s="191" t="s">
        <v>63</v>
      </c>
      <c r="L54" s="192" t="s">
        <v>63</v>
      </c>
      <c r="M54" s="191" t="s">
        <v>63</v>
      </c>
      <c r="N54" s="193" t="s">
        <v>63</v>
      </c>
      <c r="O54" s="194" t="s">
        <v>63</v>
      </c>
      <c r="P54" s="195" t="s">
        <v>63</v>
      </c>
      <c r="Q54" s="191" t="s">
        <v>63</v>
      </c>
    </row>
    <row r="55">
      <c r="A55" s="180" t="s">
        <v>159</v>
      </c>
      <c r="B55" s="181">
        <f t="array" ref="B55">VLOOKUP($A55,AL_DEMO,2,FALSE)</f>
        <v>8511</v>
      </c>
      <c r="C55" s="182" t="s">
        <v>63</v>
      </c>
      <c r="D55" s="183" t="s">
        <v>63</v>
      </c>
      <c r="E55" s="183" t="s">
        <v>63</v>
      </c>
      <c r="F55" s="183" t="s">
        <v>63</v>
      </c>
      <c r="G55" s="183" t="s">
        <v>63</v>
      </c>
      <c r="H55" s="183" t="s">
        <v>63</v>
      </c>
      <c r="I55" s="183" t="s">
        <v>63</v>
      </c>
      <c r="J55" s="183" t="s">
        <v>63</v>
      </c>
      <c r="K55" s="183" t="s">
        <v>63</v>
      </c>
      <c r="L55" s="184" t="s">
        <v>63</v>
      </c>
      <c r="M55" s="183" t="s">
        <v>63</v>
      </c>
      <c r="N55" s="185" t="s">
        <v>63</v>
      </c>
      <c r="O55" s="186" t="s">
        <v>63</v>
      </c>
      <c r="P55" s="187" t="s">
        <v>63</v>
      </c>
      <c r="Q55" s="183" t="s">
        <v>63</v>
      </c>
    </row>
    <row r="56">
      <c r="A56" s="188" t="s">
        <v>160</v>
      </c>
      <c r="B56" s="189">
        <f t="array" ref="B56">VLOOKUP($A56,AL_DEMO,2,FALSE)</f>
        <v>19123</v>
      </c>
      <c r="C56" s="190" t="s">
        <v>63</v>
      </c>
      <c r="D56" s="191" t="s">
        <v>63</v>
      </c>
      <c r="E56" s="191" t="s">
        <v>63</v>
      </c>
      <c r="F56" s="191" t="s">
        <v>63</v>
      </c>
      <c r="G56" s="191" t="s">
        <v>63</v>
      </c>
      <c r="H56" s="191" t="s">
        <v>63</v>
      </c>
      <c r="I56" s="191" t="s">
        <v>63</v>
      </c>
      <c r="J56" s="191" t="s">
        <v>63</v>
      </c>
      <c r="K56" s="191" t="s">
        <v>63</v>
      </c>
      <c r="L56" s="192" t="s">
        <v>63</v>
      </c>
      <c r="M56" s="191" t="s">
        <v>63</v>
      </c>
      <c r="N56" s="193" t="s">
        <v>63</v>
      </c>
      <c r="O56" s="194" t="s">
        <v>63</v>
      </c>
      <c r="P56" s="195" t="s">
        <v>63</v>
      </c>
      <c r="Q56" s="191" t="s">
        <v>63</v>
      </c>
    </row>
    <row r="57">
      <c r="A57" s="180" t="s">
        <v>162</v>
      </c>
      <c r="B57" s="181">
        <f t="array" ref="B57">VLOOKUP($A57,AL_DEMO,2,FALSE)</f>
        <v>33009</v>
      </c>
      <c r="C57" s="182" t="s">
        <v>63</v>
      </c>
      <c r="D57" s="183" t="s">
        <v>63</v>
      </c>
      <c r="E57" s="183" t="s">
        <v>63</v>
      </c>
      <c r="F57" s="183" t="s">
        <v>63</v>
      </c>
      <c r="G57" s="183" t="s">
        <v>63</v>
      </c>
      <c r="H57" s="183" t="s">
        <v>63</v>
      </c>
      <c r="I57" s="183" t="s">
        <v>63</v>
      </c>
      <c r="J57" s="183" t="s">
        <v>63</v>
      </c>
      <c r="K57" s="183" t="s">
        <v>63</v>
      </c>
      <c r="L57" s="184" t="s">
        <v>63</v>
      </c>
      <c r="M57" s="183" t="s">
        <v>63</v>
      </c>
      <c r="N57" s="185" t="s">
        <v>63</v>
      </c>
      <c r="O57" s="186" t="s">
        <v>63</v>
      </c>
      <c r="P57" s="187" t="s">
        <v>63</v>
      </c>
      <c r="Q57" s="183" t="s">
        <v>63</v>
      </c>
    </row>
    <row r="58">
      <c r="A58" s="188" t="s">
        <v>163</v>
      </c>
      <c r="B58" s="189">
        <f t="array" ref="B58">VLOOKUP($A58,AL_DEMO,2,FALSE)</f>
        <v>21967</v>
      </c>
      <c r="C58" s="190" t="s">
        <v>63</v>
      </c>
      <c r="D58" s="191" t="s">
        <v>63</v>
      </c>
      <c r="E58" s="191" t="s">
        <v>63</v>
      </c>
      <c r="F58" s="191" t="s">
        <v>63</v>
      </c>
      <c r="G58" s="191" t="s">
        <v>63</v>
      </c>
      <c r="H58" s="191" t="s">
        <v>63</v>
      </c>
      <c r="I58" s="191" t="s">
        <v>63</v>
      </c>
      <c r="J58" s="191" t="s">
        <v>63</v>
      </c>
      <c r="K58" s="191" t="s">
        <v>63</v>
      </c>
      <c r="L58" s="192" t="s">
        <v>63</v>
      </c>
      <c r="M58" s="191" t="s">
        <v>63</v>
      </c>
      <c r="N58" s="193" t="s">
        <v>63</v>
      </c>
      <c r="O58" s="194" t="s">
        <v>63</v>
      </c>
      <c r="P58" s="195" t="s">
        <v>63</v>
      </c>
      <c r="Q58" s="191" t="s">
        <v>63</v>
      </c>
    </row>
    <row r="59">
      <c r="A59" s="180" t="s">
        <v>165</v>
      </c>
      <c r="B59" s="181">
        <f t="array" ref="B59">VLOOKUP($A59,AL_DEMO,2,FALSE)</f>
        <v>59183</v>
      </c>
      <c r="C59" s="182" t="s">
        <v>63</v>
      </c>
      <c r="D59" s="183" t="s">
        <v>63</v>
      </c>
      <c r="E59" s="183" t="s">
        <v>63</v>
      </c>
      <c r="F59" s="183" t="s">
        <v>63</v>
      </c>
      <c r="G59" s="183" t="s">
        <v>63</v>
      </c>
      <c r="H59" s="183" t="s">
        <v>63</v>
      </c>
      <c r="I59" s="183" t="s">
        <v>63</v>
      </c>
      <c r="J59" s="183" t="s">
        <v>63</v>
      </c>
      <c r="K59" s="183" t="s">
        <v>63</v>
      </c>
      <c r="L59" s="184" t="s">
        <v>63</v>
      </c>
      <c r="M59" s="183" t="s">
        <v>63</v>
      </c>
      <c r="N59" s="185" t="s">
        <v>63</v>
      </c>
      <c r="O59" s="186" t="s">
        <v>63</v>
      </c>
      <c r="P59" s="187" t="s">
        <v>63</v>
      </c>
      <c r="Q59" s="183" t="s">
        <v>63</v>
      </c>
    </row>
    <row r="60">
      <c r="A60" s="188" t="s">
        <v>768</v>
      </c>
      <c r="B60" s="189">
        <f t="array" ref="B60">VLOOKUP($A60,AL_DEMO,2,FALSE)</f>
        <v>91103</v>
      </c>
      <c r="C60" s="190" t="s">
        <v>63</v>
      </c>
      <c r="D60" s="191" t="s">
        <v>63</v>
      </c>
      <c r="E60" s="191" t="s">
        <v>63</v>
      </c>
      <c r="F60" s="191" t="s">
        <v>63</v>
      </c>
      <c r="G60" s="191" t="s">
        <v>63</v>
      </c>
      <c r="H60" s="191" t="s">
        <v>63</v>
      </c>
      <c r="I60" s="191" t="s">
        <v>63</v>
      </c>
      <c r="J60" s="191" t="s">
        <v>63</v>
      </c>
      <c r="K60" s="191" t="s">
        <v>63</v>
      </c>
      <c r="L60" s="192" t="s">
        <v>63</v>
      </c>
      <c r="M60" s="191" t="s">
        <v>63</v>
      </c>
      <c r="N60" s="193" t="s">
        <v>63</v>
      </c>
      <c r="O60" s="194" t="s">
        <v>63</v>
      </c>
      <c r="P60" s="195" t="s">
        <v>63</v>
      </c>
      <c r="Q60" s="191" t="s">
        <v>63</v>
      </c>
    </row>
    <row r="61">
      <c r="A61" s="180" t="s">
        <v>168</v>
      </c>
      <c r="B61" s="181">
        <f t="array" ref="B61">VLOOKUP($A61,AL_DEMO,2,FALSE)</f>
        <v>223024</v>
      </c>
      <c r="C61" s="182" t="s">
        <v>63</v>
      </c>
      <c r="D61" s="183" t="s">
        <v>63</v>
      </c>
      <c r="E61" s="183" t="s">
        <v>63</v>
      </c>
      <c r="F61" s="183" t="s">
        <v>63</v>
      </c>
      <c r="G61" s="183" t="s">
        <v>63</v>
      </c>
      <c r="H61" s="183" t="s">
        <v>63</v>
      </c>
      <c r="I61" s="183" t="s">
        <v>63</v>
      </c>
      <c r="J61" s="183" t="s">
        <v>63</v>
      </c>
      <c r="K61" s="183" t="s">
        <v>63</v>
      </c>
      <c r="L61" s="184" t="s">
        <v>63</v>
      </c>
      <c r="M61" s="183" t="s">
        <v>63</v>
      </c>
      <c r="N61" s="185" t="s">
        <v>63</v>
      </c>
      <c r="O61" s="186" t="s">
        <v>63</v>
      </c>
      <c r="P61" s="187" t="s">
        <v>63</v>
      </c>
      <c r="Q61" s="183" t="s">
        <v>63</v>
      </c>
    </row>
    <row r="62">
      <c r="A62" s="188" t="s">
        <v>169</v>
      </c>
      <c r="B62" s="189">
        <f t="array" ref="B62">VLOOKUP($A62,AL_DEMO,2,FALSE)</f>
        <v>12345</v>
      </c>
      <c r="C62" s="190" t="s">
        <v>63</v>
      </c>
      <c r="D62" s="191" t="s">
        <v>63</v>
      </c>
      <c r="E62" s="191" t="s">
        <v>63</v>
      </c>
      <c r="F62" s="191" t="s">
        <v>63</v>
      </c>
      <c r="G62" s="191" t="s">
        <v>63</v>
      </c>
      <c r="H62" s="191" t="s">
        <v>63</v>
      </c>
      <c r="I62" s="191" t="s">
        <v>63</v>
      </c>
      <c r="J62" s="191" t="s">
        <v>63</v>
      </c>
      <c r="K62" s="191" t="s">
        <v>63</v>
      </c>
      <c r="L62" s="192" t="s">
        <v>63</v>
      </c>
      <c r="M62" s="191" t="s">
        <v>63</v>
      </c>
      <c r="N62" s="193" t="s">
        <v>63</v>
      </c>
      <c r="O62" s="194" t="s">
        <v>63</v>
      </c>
      <c r="P62" s="195" t="s">
        <v>63</v>
      </c>
      <c r="Q62" s="191" t="s">
        <v>63</v>
      </c>
    </row>
    <row r="63">
      <c r="A63" s="180" t="s">
        <v>170</v>
      </c>
      <c r="B63" s="181">
        <f t="array" ref="B63">VLOOKUP($A63,AL_DEMO,2,FALSE)</f>
        <v>82149</v>
      </c>
      <c r="C63" s="182" t="s">
        <v>63</v>
      </c>
      <c r="D63" s="183" t="s">
        <v>63</v>
      </c>
      <c r="E63" s="183" t="s">
        <v>63</v>
      </c>
      <c r="F63" s="183" t="s">
        <v>63</v>
      </c>
      <c r="G63" s="183" t="s">
        <v>63</v>
      </c>
      <c r="H63" s="183" t="s">
        <v>63</v>
      </c>
      <c r="I63" s="183" t="s">
        <v>63</v>
      </c>
      <c r="J63" s="183" t="s">
        <v>63</v>
      </c>
      <c r="K63" s="183" t="s">
        <v>63</v>
      </c>
      <c r="L63" s="184" t="s">
        <v>63</v>
      </c>
      <c r="M63" s="183" t="s">
        <v>63</v>
      </c>
      <c r="N63" s="185" t="s">
        <v>63</v>
      </c>
      <c r="O63" s="186" t="s">
        <v>63</v>
      </c>
      <c r="P63" s="187" t="s">
        <v>63</v>
      </c>
      <c r="Q63" s="183" t="s">
        <v>63</v>
      </c>
    </row>
    <row r="64">
      <c r="A64" s="188" t="s">
        <v>171</v>
      </c>
      <c r="B64" s="189">
        <f t="array" ref="B64">VLOOKUP($A64,AL_DEMO,2,FALSE)</f>
        <v>41311</v>
      </c>
      <c r="C64" s="190" t="s">
        <v>63</v>
      </c>
      <c r="D64" s="191" t="s">
        <v>63</v>
      </c>
      <c r="E64" s="191" t="s">
        <v>63</v>
      </c>
      <c r="F64" s="191" t="s">
        <v>63</v>
      </c>
      <c r="G64" s="191" t="s">
        <v>63</v>
      </c>
      <c r="H64" s="191" t="s">
        <v>63</v>
      </c>
      <c r="I64" s="191" t="s">
        <v>63</v>
      </c>
      <c r="J64" s="191" t="s">
        <v>63</v>
      </c>
      <c r="K64" s="191" t="s">
        <v>63</v>
      </c>
      <c r="L64" s="192" t="s">
        <v>63</v>
      </c>
      <c r="M64" s="191" t="s">
        <v>63</v>
      </c>
      <c r="N64" s="193" t="s">
        <v>63</v>
      </c>
      <c r="O64" s="194" t="s">
        <v>63</v>
      </c>
      <c r="P64" s="195" t="s">
        <v>63</v>
      </c>
      <c r="Q64" s="191" t="s">
        <v>63</v>
      </c>
    </row>
    <row r="65">
      <c r="A65" s="180" t="s">
        <v>173</v>
      </c>
      <c r="B65" s="181">
        <f t="array" ref="B65">VLOOKUP($A65,AL_DEMO,2,FALSE)</f>
        <v>227036</v>
      </c>
      <c r="C65" s="182" t="s">
        <v>63</v>
      </c>
      <c r="D65" s="183" t="s">
        <v>63</v>
      </c>
      <c r="E65" s="183" t="s">
        <v>63</v>
      </c>
      <c r="F65" s="183" t="s">
        <v>63</v>
      </c>
      <c r="G65" s="183" t="s">
        <v>63</v>
      </c>
      <c r="H65" s="183" t="s">
        <v>63</v>
      </c>
      <c r="I65" s="183" t="s">
        <v>63</v>
      </c>
      <c r="J65" s="183" t="s">
        <v>63</v>
      </c>
      <c r="K65" s="183" t="s">
        <v>63</v>
      </c>
      <c r="L65" s="184" t="s">
        <v>63</v>
      </c>
      <c r="M65" s="183" t="s">
        <v>63</v>
      </c>
      <c r="N65" s="185" t="s">
        <v>63</v>
      </c>
      <c r="O65" s="186" t="s">
        <v>63</v>
      </c>
      <c r="P65" s="187" t="s">
        <v>63</v>
      </c>
      <c r="Q65" s="183" t="s">
        <v>63</v>
      </c>
    </row>
    <row r="66">
      <c r="A66" s="188" t="s">
        <v>175</v>
      </c>
      <c r="B66" s="189">
        <f t="array" ref="B66">VLOOKUP($A66,AL_DEMO,2,FALSE)</f>
        <v>65342</v>
      </c>
      <c r="C66" s="190" t="s">
        <v>63</v>
      </c>
      <c r="D66" s="191" t="s">
        <v>63</v>
      </c>
      <c r="E66" s="191" t="s">
        <v>63</v>
      </c>
      <c r="F66" s="191" t="s">
        <v>63</v>
      </c>
      <c r="G66" s="191" t="s">
        <v>63</v>
      </c>
      <c r="H66" s="191" t="s">
        <v>63</v>
      </c>
      <c r="I66" s="191" t="s">
        <v>63</v>
      </c>
      <c r="J66" s="191" t="s">
        <v>63</v>
      </c>
      <c r="K66" s="191" t="s">
        <v>63</v>
      </c>
      <c r="L66" s="192" t="s">
        <v>63</v>
      </c>
      <c r="M66" s="191" t="s">
        <v>63</v>
      </c>
      <c r="N66" s="193" t="s">
        <v>63</v>
      </c>
      <c r="O66" s="194" t="s">
        <v>63</v>
      </c>
      <c r="P66" s="195" t="s">
        <v>63</v>
      </c>
      <c r="Q66" s="191" t="s">
        <v>63</v>
      </c>
    </row>
    <row r="67">
      <c r="A67" s="180" t="s">
        <v>119</v>
      </c>
      <c r="B67" s="181">
        <f t="array" ref="B67">VLOOKUP($A67,AL_DEMO,2,FALSE)</f>
        <v>15388</v>
      </c>
      <c r="C67" s="182" t="s">
        <v>63</v>
      </c>
      <c r="D67" s="183" t="s">
        <v>63</v>
      </c>
      <c r="E67" s="183" t="s">
        <v>63</v>
      </c>
      <c r="F67" s="183" t="s">
        <v>63</v>
      </c>
      <c r="G67" s="183" t="s">
        <v>63</v>
      </c>
      <c r="H67" s="183" t="s">
        <v>63</v>
      </c>
      <c r="I67" s="183" t="s">
        <v>63</v>
      </c>
      <c r="J67" s="183" t="s">
        <v>63</v>
      </c>
      <c r="K67" s="183" t="s">
        <v>63</v>
      </c>
      <c r="L67" s="184" t="s">
        <v>63</v>
      </c>
      <c r="M67" s="183" t="s">
        <v>63</v>
      </c>
      <c r="N67" s="185" t="s">
        <v>63</v>
      </c>
      <c r="O67" s="186" t="s">
        <v>63</v>
      </c>
      <c r="P67" s="187" t="s">
        <v>63</v>
      </c>
      <c r="Q67" s="183" t="s">
        <v>63</v>
      </c>
    </row>
    <row r="68">
      <c r="A68" s="188" t="s">
        <v>176</v>
      </c>
      <c r="B68" s="189">
        <f t="array" ref="B68">VLOOKUP($A68,AL_DEMO,2,FALSE)</f>
        <v>10600</v>
      </c>
      <c r="C68" s="190" t="s">
        <v>63</v>
      </c>
      <c r="D68" s="191" t="s">
        <v>63</v>
      </c>
      <c r="E68" s="191" t="s">
        <v>63</v>
      </c>
      <c r="F68" s="191" t="s">
        <v>63</v>
      </c>
      <c r="G68" s="191" t="s">
        <v>63</v>
      </c>
      <c r="H68" s="191" t="s">
        <v>63</v>
      </c>
      <c r="I68" s="191" t="s">
        <v>63</v>
      </c>
      <c r="J68" s="191" t="s">
        <v>63</v>
      </c>
      <c r="K68" s="191" t="s">
        <v>63</v>
      </c>
      <c r="L68" s="192" t="s">
        <v>63</v>
      </c>
      <c r="M68" s="191" t="s">
        <v>63</v>
      </c>
      <c r="N68" s="193" t="s">
        <v>63</v>
      </c>
      <c r="O68" s="194" t="s">
        <v>63</v>
      </c>
      <c r="P68" s="195" t="s">
        <v>63</v>
      </c>
      <c r="Q68" s="191" t="s">
        <v>63</v>
      </c>
    </row>
    <row r="69">
      <c r="A69" s="180" t="s">
        <v>178</v>
      </c>
      <c r="B69" s="181">
        <f t="array" ref="B69">VLOOKUP($A69,AL_DEMO,2,FALSE)</f>
        <v>23540</v>
      </c>
      <c r="C69" s="182" t="s">
        <v>63</v>
      </c>
      <c r="D69" s="183" t="s">
        <v>63</v>
      </c>
      <c r="E69" s="183" t="s">
        <v>63</v>
      </c>
      <c r="F69" s="183" t="s">
        <v>63</v>
      </c>
      <c r="G69" s="183" t="s">
        <v>63</v>
      </c>
      <c r="H69" s="183" t="s">
        <v>63</v>
      </c>
      <c r="I69" s="183" t="s">
        <v>63</v>
      </c>
      <c r="J69" s="183" t="s">
        <v>63</v>
      </c>
      <c r="K69" s="183" t="s">
        <v>63</v>
      </c>
      <c r="L69" s="184" t="s">
        <v>63</v>
      </c>
      <c r="M69" s="183" t="s">
        <v>63</v>
      </c>
      <c r="N69" s="185" t="s">
        <v>63</v>
      </c>
      <c r="O69" s="186" t="s">
        <v>63</v>
      </c>
      <c r="P69" s="187" t="s">
        <v>63</v>
      </c>
      <c r="Q69" s="183" t="s">
        <v>63</v>
      </c>
    </row>
    <row r="70">
      <c r="A70" s="217"/>
      <c r="B70" s="218"/>
      <c r="C70" s="219"/>
      <c r="D70" s="220"/>
      <c r="E70" s="220"/>
      <c r="F70" s="220"/>
      <c r="G70" s="220"/>
      <c r="H70" s="221"/>
      <c r="I70" s="222"/>
      <c r="J70" s="223"/>
      <c r="K70" s="219"/>
      <c r="L70" s="224"/>
      <c r="M70" s="225"/>
      <c r="N70" s="226"/>
      <c r="O70" s="220"/>
      <c r="P70" s="221"/>
      <c r="Q70" s="227"/>
    </row>
    <row r="71">
      <c r="A71" s="228" t="s">
        <v>2</v>
      </c>
      <c r="B71" s="229">
        <f>'County PopulationPovertyRacial '!B7</f>
        <v>5024279</v>
      </c>
      <c r="C71" s="230">
        <f>'AL Data'!B71</f>
        <v>5844</v>
      </c>
      <c r="D71" s="231" t="s">
        <v>63</v>
      </c>
      <c r="E71" s="231" t="s">
        <v>63</v>
      </c>
      <c r="F71" s="231" t="s">
        <v>63</v>
      </c>
      <c r="G71" s="231" t="s">
        <v>63</v>
      </c>
      <c r="H71" s="233">
        <f>'AL Data'!B200</f>
        <v>1989</v>
      </c>
      <c r="I71" s="234">
        <f>'AL Data'!B128</f>
        <v>399</v>
      </c>
      <c r="J71" s="235" t="s">
        <v>63</v>
      </c>
      <c r="K71" s="236" t="s">
        <v>63</v>
      </c>
      <c r="L71" s="233">
        <f>'AL Data'!B274</f>
        <v>4558</v>
      </c>
      <c r="M71" s="237" t="s">
        <v>63</v>
      </c>
      <c r="N71" s="238" t="s">
        <v>63</v>
      </c>
      <c r="O71" s="231" t="s">
        <v>63</v>
      </c>
      <c r="P71" s="233">
        <f>sum(P3:P69)</f>
        <v>0</v>
      </c>
      <c r="Q71" s="239" t="s">
        <v>63</v>
      </c>
    </row>
  </sheetData>
  <autoFilter ref="$A$2:$Q$69"/>
  <customSheetViews>
    <customSheetView guid="{5D3793E4-3EFC-44E9-9B71-9456C4158874}" filter="1" showAutoFilter="1">
      <autoFilter ref="$A$2:$P$71"/>
    </customSheetView>
  </customSheetViews>
  <mergeCells count="1">
    <mergeCell ref="B1:Q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13"/>
    <col customWidth="1" min="5" max="5" width="30.63"/>
    <col customWidth="1" min="9" max="9" width="14.25"/>
    <col customWidth="1" min="11" max="11" width="16.25"/>
  </cols>
  <sheetData>
    <row r="1">
      <c r="A1" s="196" t="s">
        <v>764</v>
      </c>
      <c r="B1" s="197"/>
      <c r="C1" s="197"/>
      <c r="D1" s="198" t="s">
        <v>765</v>
      </c>
      <c r="E1" s="198" t="s">
        <v>766</v>
      </c>
      <c r="F1" s="197"/>
      <c r="G1" s="197"/>
      <c r="H1" s="198" t="s">
        <v>767</v>
      </c>
      <c r="I1" s="199">
        <v>44666.0</v>
      </c>
      <c r="J1" s="200" t="s">
        <v>769</v>
      </c>
      <c r="K1" s="199">
        <v>44619.0</v>
      </c>
      <c r="L1" s="201"/>
    </row>
    <row r="3">
      <c r="A3" s="202" t="s">
        <v>172</v>
      </c>
      <c r="B3" s="202" t="s">
        <v>770</v>
      </c>
      <c r="E3" s="203" t="s">
        <v>771</v>
      </c>
      <c r="F3" s="202" t="s">
        <v>772</v>
      </c>
    </row>
    <row r="4">
      <c r="A4" s="204" t="s">
        <v>52</v>
      </c>
      <c r="B4" s="205">
        <v>45.0</v>
      </c>
      <c r="E4" s="204" t="s">
        <v>773</v>
      </c>
      <c r="F4" s="206"/>
    </row>
    <row r="5">
      <c r="A5" s="207" t="s">
        <v>58</v>
      </c>
      <c r="B5" s="206">
        <v>187.0</v>
      </c>
      <c r="E5" s="204" t="s">
        <v>774</v>
      </c>
      <c r="F5" s="208"/>
    </row>
    <row r="6">
      <c r="A6" s="207" t="s">
        <v>62</v>
      </c>
      <c r="B6" s="206">
        <v>40.0</v>
      </c>
      <c r="E6" s="204" t="s">
        <v>776</v>
      </c>
      <c r="F6" s="206"/>
    </row>
    <row r="7">
      <c r="A7" s="207" t="s">
        <v>68</v>
      </c>
      <c r="B7" s="206">
        <v>39.0</v>
      </c>
      <c r="E7" s="204" t="s">
        <v>777</v>
      </c>
      <c r="F7" s="206"/>
    </row>
    <row r="8">
      <c r="A8" s="207" t="s">
        <v>77</v>
      </c>
      <c r="B8" s="206">
        <v>52.0</v>
      </c>
      <c r="E8" s="204" t="s">
        <v>779</v>
      </c>
      <c r="F8" s="206"/>
    </row>
    <row r="9">
      <c r="A9" s="207" t="s">
        <v>81</v>
      </c>
      <c r="B9" s="206">
        <v>13.0</v>
      </c>
      <c r="E9" s="204" t="s">
        <v>780</v>
      </c>
      <c r="F9" s="206"/>
    </row>
    <row r="10">
      <c r="A10" s="207" t="s">
        <v>87</v>
      </c>
      <c r="B10" s="206">
        <v>13.0</v>
      </c>
      <c r="E10" s="204" t="s">
        <v>781</v>
      </c>
      <c r="F10" s="206"/>
    </row>
    <row r="11">
      <c r="A11" s="207" t="s">
        <v>93</v>
      </c>
      <c r="B11" s="206">
        <v>301.0</v>
      </c>
      <c r="E11" s="204" t="s">
        <v>782</v>
      </c>
      <c r="F11" s="206"/>
    </row>
    <row r="12">
      <c r="A12" s="207" t="s">
        <v>98</v>
      </c>
      <c r="B12" s="206">
        <v>72.0</v>
      </c>
      <c r="E12" s="204" t="s">
        <v>783</v>
      </c>
      <c r="F12" s="206"/>
    </row>
    <row r="13">
      <c r="A13" s="207" t="s">
        <v>101</v>
      </c>
      <c r="B13" s="206">
        <v>18.0</v>
      </c>
      <c r="E13" s="204" t="s">
        <v>784</v>
      </c>
      <c r="F13" s="209"/>
    </row>
    <row r="14">
      <c r="A14" s="207" t="s">
        <v>104</v>
      </c>
      <c r="B14" s="206">
        <v>133.0</v>
      </c>
    </row>
    <row r="15">
      <c r="A15" s="207" t="s">
        <v>107</v>
      </c>
      <c r="B15" s="206">
        <v>23.0</v>
      </c>
    </row>
    <row r="16">
      <c r="A16" s="207" t="s">
        <v>110</v>
      </c>
      <c r="B16" s="206">
        <v>14.0</v>
      </c>
    </row>
    <row r="17">
      <c r="A17" s="207" t="s">
        <v>112</v>
      </c>
      <c r="B17" s="206">
        <v>11.0</v>
      </c>
    </row>
    <row r="18">
      <c r="A18" s="207" t="s">
        <v>115</v>
      </c>
      <c r="B18" s="206">
        <v>31.0</v>
      </c>
    </row>
    <row r="19">
      <c r="A19" s="207" t="s">
        <v>118</v>
      </c>
      <c r="B19" s="206">
        <v>52.0</v>
      </c>
    </row>
    <row r="20">
      <c r="A20" s="207" t="s">
        <v>121</v>
      </c>
      <c r="B20" s="206">
        <v>79.0</v>
      </c>
    </row>
    <row r="21">
      <c r="A21" s="207" t="s">
        <v>124</v>
      </c>
      <c r="B21" s="206">
        <v>42.0</v>
      </c>
    </row>
    <row r="22">
      <c r="A22" s="207" t="s">
        <v>125</v>
      </c>
      <c r="B22" s="206">
        <v>17.0</v>
      </c>
    </row>
    <row r="23">
      <c r="A23" s="207" t="s">
        <v>126</v>
      </c>
      <c r="B23" s="206">
        <v>48.0</v>
      </c>
    </row>
    <row r="24">
      <c r="A24" s="207" t="s">
        <v>127</v>
      </c>
      <c r="B24" s="206">
        <v>7.0</v>
      </c>
    </row>
    <row r="25">
      <c r="A25" s="207" t="s">
        <v>128</v>
      </c>
      <c r="B25" s="206">
        <v>167.0</v>
      </c>
    </row>
    <row r="26">
      <c r="A26" s="207" t="s">
        <v>129</v>
      </c>
      <c r="B26" s="206">
        <v>58.0</v>
      </c>
    </row>
    <row r="27">
      <c r="A27" s="207" t="s">
        <v>130</v>
      </c>
      <c r="B27" s="206">
        <v>38.0</v>
      </c>
    </row>
    <row r="28">
      <c r="A28" s="207" t="s">
        <v>131</v>
      </c>
      <c r="B28" s="206">
        <v>119.0</v>
      </c>
    </row>
    <row r="29">
      <c r="A29" s="207" t="s">
        <v>132</v>
      </c>
      <c r="B29" s="206">
        <v>92.0</v>
      </c>
    </row>
    <row r="30">
      <c r="A30" s="207" t="s">
        <v>133</v>
      </c>
      <c r="B30" s="206">
        <v>49.0</v>
      </c>
    </row>
    <row r="31">
      <c r="A31" s="207" t="s">
        <v>134</v>
      </c>
      <c r="B31" s="206">
        <v>198.0</v>
      </c>
    </row>
    <row r="32">
      <c r="A32" s="207" t="s">
        <v>135</v>
      </c>
      <c r="B32" s="206">
        <v>21.0</v>
      </c>
    </row>
    <row r="33">
      <c r="A33" s="207" t="s">
        <v>136</v>
      </c>
      <c r="B33" s="206">
        <v>53.0</v>
      </c>
    </row>
    <row r="34">
      <c r="A34" s="207" t="s">
        <v>137</v>
      </c>
      <c r="B34" s="206">
        <v>50.0</v>
      </c>
    </row>
    <row r="35">
      <c r="A35" s="207" t="s">
        <v>138</v>
      </c>
      <c r="B35" s="206">
        <v>4.0</v>
      </c>
    </row>
    <row r="36">
      <c r="A36" s="207" t="s">
        <v>139</v>
      </c>
      <c r="B36" s="206">
        <v>55.0</v>
      </c>
    </row>
    <row r="37">
      <c r="A37" s="207" t="s">
        <v>140</v>
      </c>
      <c r="B37" s="206">
        <v>17.0</v>
      </c>
    </row>
    <row r="38">
      <c r="A38" s="207" t="s">
        <v>141</v>
      </c>
      <c r="B38" s="206">
        <v>166.0</v>
      </c>
    </row>
    <row r="39">
      <c r="A39" s="207" t="s">
        <v>142</v>
      </c>
      <c r="B39" s="206">
        <v>84.0</v>
      </c>
    </row>
    <row r="40">
      <c r="A40" s="207" t="s">
        <v>143</v>
      </c>
      <c r="B40" s="206">
        <v>635.0</v>
      </c>
    </row>
    <row r="41">
      <c r="A41" s="207" t="s">
        <v>144</v>
      </c>
      <c r="B41" s="206">
        <v>12.0</v>
      </c>
    </row>
    <row r="42">
      <c r="A42" s="207" t="s">
        <v>145</v>
      </c>
      <c r="B42" s="206">
        <v>124.0</v>
      </c>
    </row>
    <row r="43">
      <c r="A43" s="207" t="s">
        <v>146</v>
      </c>
      <c r="B43" s="206">
        <v>74.0</v>
      </c>
    </row>
    <row r="44">
      <c r="A44" s="207" t="s">
        <v>147</v>
      </c>
      <c r="B44" s="206">
        <v>111.0</v>
      </c>
    </row>
    <row r="45">
      <c r="A45" s="207" t="s">
        <v>148</v>
      </c>
      <c r="B45" s="206">
        <v>115.0</v>
      </c>
    </row>
    <row r="46">
      <c r="A46" s="207" t="s">
        <v>149</v>
      </c>
      <c r="B46" s="206">
        <v>12.0</v>
      </c>
    </row>
    <row r="47">
      <c r="A47" s="207" t="s">
        <v>150</v>
      </c>
      <c r="B47" s="206">
        <v>11.0</v>
      </c>
    </row>
    <row r="48">
      <c r="A48" s="207" t="s">
        <v>151</v>
      </c>
      <c r="B48" s="206">
        <v>473.0</v>
      </c>
    </row>
    <row r="49">
      <c r="A49" s="207" t="s">
        <v>152</v>
      </c>
      <c r="B49" s="206">
        <v>14.0</v>
      </c>
    </row>
    <row r="50">
      <c r="A50" s="207" t="s">
        <v>153</v>
      </c>
      <c r="B50" s="206">
        <v>17.0</v>
      </c>
    </row>
    <row r="51">
      <c r="A51" s="207" t="s">
        <v>154</v>
      </c>
      <c r="B51" s="206">
        <v>164.0</v>
      </c>
    </row>
    <row r="52">
      <c r="A52" s="207" t="s">
        <v>155</v>
      </c>
      <c r="B52" s="206">
        <v>488.0</v>
      </c>
    </row>
    <row r="53">
      <c r="A53" s="207" t="s">
        <v>156</v>
      </c>
      <c r="B53" s="206">
        <v>2.0</v>
      </c>
    </row>
    <row r="54">
      <c r="A54" s="207" t="s">
        <v>157</v>
      </c>
      <c r="B54" s="206">
        <v>179.0</v>
      </c>
    </row>
    <row r="55">
      <c r="A55" s="207" t="s">
        <v>158</v>
      </c>
      <c r="B55" s="206">
        <v>117.0</v>
      </c>
    </row>
    <row r="56">
      <c r="A56" s="207" t="s">
        <v>159</v>
      </c>
      <c r="B56" s="206">
        <v>10.0</v>
      </c>
    </row>
    <row r="57">
      <c r="A57" s="207" t="s">
        <v>160</v>
      </c>
      <c r="B57" s="206">
        <v>14.0</v>
      </c>
    </row>
    <row r="58">
      <c r="A58" s="207" t="s">
        <v>162</v>
      </c>
      <c r="B58" s="206">
        <v>37.0</v>
      </c>
    </row>
    <row r="59">
      <c r="A59" s="207" t="s">
        <v>163</v>
      </c>
      <c r="B59" s="206">
        <v>12.0</v>
      </c>
    </row>
    <row r="60">
      <c r="A60" s="207" t="s">
        <v>165</v>
      </c>
      <c r="B60" s="206">
        <v>87.0</v>
      </c>
    </row>
    <row r="61">
      <c r="A61" s="207" t="s">
        <v>768</v>
      </c>
      <c r="B61" s="206">
        <v>91.0</v>
      </c>
    </row>
    <row r="62">
      <c r="A62" s="207" t="s">
        <v>168</v>
      </c>
      <c r="B62" s="206">
        <v>161.0</v>
      </c>
    </row>
    <row r="63">
      <c r="A63" s="207" t="s">
        <v>169</v>
      </c>
      <c r="B63" s="206">
        <v>16.0</v>
      </c>
    </row>
    <row r="64">
      <c r="A64" s="207" t="s">
        <v>170</v>
      </c>
      <c r="B64" s="206">
        <v>65.0</v>
      </c>
    </row>
    <row r="65">
      <c r="A65" s="207" t="s">
        <v>171</v>
      </c>
      <c r="B65" s="206">
        <v>53.0</v>
      </c>
    </row>
    <row r="66">
      <c r="A66" s="207" t="s">
        <v>173</v>
      </c>
      <c r="B66" s="206">
        <v>108.0</v>
      </c>
    </row>
    <row r="67">
      <c r="A67" s="207" t="s">
        <v>175</v>
      </c>
      <c r="B67" s="206">
        <v>145.0</v>
      </c>
    </row>
    <row r="68">
      <c r="A68" s="207" t="s">
        <v>119</v>
      </c>
      <c r="B68" s="206">
        <v>32.0</v>
      </c>
    </row>
    <row r="69">
      <c r="A69" s="207" t="s">
        <v>176</v>
      </c>
      <c r="B69" s="206">
        <v>0.0</v>
      </c>
    </row>
    <row r="70">
      <c r="A70" s="207" t="s">
        <v>178</v>
      </c>
      <c r="B70" s="206">
        <v>57.0</v>
      </c>
    </row>
    <row r="71">
      <c r="A71" s="207" t="s">
        <v>784</v>
      </c>
      <c r="B71" s="208">
        <v>5844.0</v>
      </c>
    </row>
    <row r="72">
      <c r="A72" s="210"/>
      <c r="B72" s="211"/>
    </row>
    <row r="73">
      <c r="A73" s="212"/>
      <c r="B73" s="213"/>
    </row>
    <row r="75">
      <c r="A75" s="196" t="s">
        <v>792</v>
      </c>
      <c r="B75" s="197"/>
      <c r="C75" s="197"/>
      <c r="D75" s="198" t="s">
        <v>765</v>
      </c>
      <c r="E75" s="198" t="s">
        <v>766</v>
      </c>
      <c r="F75" s="197"/>
      <c r="G75" s="197"/>
      <c r="H75" s="198" t="s">
        <v>767</v>
      </c>
      <c r="I75" s="214">
        <v>44490.0</v>
      </c>
      <c r="J75" s="198" t="s">
        <v>769</v>
      </c>
      <c r="K75" s="214">
        <v>44614.0</v>
      </c>
      <c r="L75" s="215"/>
    </row>
    <row r="77">
      <c r="A77" s="204" t="s">
        <v>172</v>
      </c>
      <c r="B77" s="204" t="s">
        <v>794</v>
      </c>
    </row>
    <row r="78">
      <c r="A78" s="204" t="s">
        <v>795</v>
      </c>
      <c r="B78" s="206">
        <v>4.0</v>
      </c>
    </row>
    <row r="79">
      <c r="A79" s="204" t="s">
        <v>796</v>
      </c>
      <c r="B79" s="206">
        <v>4.0</v>
      </c>
    </row>
    <row r="80">
      <c r="A80" s="204" t="s">
        <v>797</v>
      </c>
      <c r="B80" s="206">
        <v>1.0</v>
      </c>
    </row>
    <row r="81">
      <c r="A81" s="204" t="s">
        <v>798</v>
      </c>
      <c r="B81" s="206">
        <v>6.0</v>
      </c>
    </row>
    <row r="82">
      <c r="A82" s="204" t="s">
        <v>799</v>
      </c>
      <c r="B82" s="206">
        <v>34.0</v>
      </c>
    </row>
    <row r="83">
      <c r="A83" s="204" t="s">
        <v>800</v>
      </c>
      <c r="B83" s="206">
        <v>4.0</v>
      </c>
    </row>
    <row r="84">
      <c r="A84" s="204" t="s">
        <v>801</v>
      </c>
      <c r="B84" s="206">
        <v>1.0</v>
      </c>
    </row>
    <row r="85">
      <c r="A85" s="204" t="s">
        <v>803</v>
      </c>
      <c r="B85" s="206">
        <v>6.0</v>
      </c>
    </row>
    <row r="86">
      <c r="A86" s="204" t="s">
        <v>804</v>
      </c>
      <c r="B86" s="206">
        <v>2.0</v>
      </c>
    </row>
    <row r="87">
      <c r="A87" s="204" t="s">
        <v>805</v>
      </c>
      <c r="B87" s="206">
        <v>5.0</v>
      </c>
    </row>
    <row r="88">
      <c r="A88" s="204" t="s">
        <v>806</v>
      </c>
      <c r="B88" s="206">
        <v>5.0</v>
      </c>
    </row>
    <row r="89">
      <c r="A89" s="204" t="s">
        <v>808</v>
      </c>
      <c r="B89" s="206">
        <v>3.0</v>
      </c>
    </row>
    <row r="90">
      <c r="A90" s="204" t="s">
        <v>809</v>
      </c>
      <c r="B90" s="206">
        <v>1.0</v>
      </c>
    </row>
    <row r="91">
      <c r="A91" s="204" t="s">
        <v>810</v>
      </c>
      <c r="B91" s="206">
        <v>2.0</v>
      </c>
    </row>
    <row r="92">
      <c r="A92" s="204" t="s">
        <v>811</v>
      </c>
      <c r="B92" s="206">
        <v>1.0</v>
      </c>
    </row>
    <row r="93">
      <c r="A93" s="204" t="s">
        <v>812</v>
      </c>
      <c r="B93" s="206">
        <v>5.0</v>
      </c>
    </row>
    <row r="94">
      <c r="A94" s="204" t="s">
        <v>813</v>
      </c>
      <c r="B94" s="206">
        <v>0.0</v>
      </c>
    </row>
    <row r="95">
      <c r="A95" s="204" t="s">
        <v>814</v>
      </c>
      <c r="B95" s="206">
        <v>5.0</v>
      </c>
    </row>
    <row r="96">
      <c r="A96" s="204" t="s">
        <v>815</v>
      </c>
      <c r="B96" s="206">
        <v>3.0</v>
      </c>
    </row>
    <row r="97">
      <c r="A97" s="204" t="s">
        <v>816</v>
      </c>
      <c r="B97" s="206">
        <v>1.0</v>
      </c>
    </row>
    <row r="98">
      <c r="A98" s="204" t="s">
        <v>817</v>
      </c>
      <c r="B98" s="206">
        <v>9.0</v>
      </c>
    </row>
    <row r="99">
      <c r="A99" s="204" t="s">
        <v>818</v>
      </c>
      <c r="B99" s="206">
        <v>25.0</v>
      </c>
    </row>
    <row r="100">
      <c r="A100" s="204" t="s">
        <v>820</v>
      </c>
      <c r="B100" s="206">
        <v>4.0</v>
      </c>
    </row>
    <row r="101">
      <c r="A101" s="204" t="s">
        <v>821</v>
      </c>
      <c r="B101" s="206">
        <v>1.0</v>
      </c>
    </row>
    <row r="102">
      <c r="A102" s="204" t="s">
        <v>822</v>
      </c>
      <c r="B102" s="206">
        <v>0.0</v>
      </c>
    </row>
    <row r="103">
      <c r="A103" s="204" t="s">
        <v>824</v>
      </c>
      <c r="B103" s="206">
        <v>1.0</v>
      </c>
    </row>
    <row r="104">
      <c r="A104" s="204" t="s">
        <v>825</v>
      </c>
      <c r="B104" s="206">
        <v>10.0</v>
      </c>
    </row>
    <row r="105">
      <c r="A105" s="204" t="s">
        <v>826</v>
      </c>
      <c r="B105" s="206">
        <v>5.0</v>
      </c>
    </row>
    <row r="106">
      <c r="A106" s="204" t="s">
        <v>827</v>
      </c>
      <c r="B106" s="206">
        <v>44.0</v>
      </c>
    </row>
    <row r="107">
      <c r="A107" s="204" t="s">
        <v>828</v>
      </c>
      <c r="B107" s="206">
        <v>9.0</v>
      </c>
    </row>
    <row r="108">
      <c r="A108" s="204" t="s">
        <v>829</v>
      </c>
      <c r="B108" s="206">
        <v>14.0</v>
      </c>
    </row>
    <row r="109">
      <c r="A109" s="204" t="s">
        <v>830</v>
      </c>
      <c r="B109" s="206">
        <v>7.0</v>
      </c>
    </row>
    <row r="110">
      <c r="A110" s="204" t="s">
        <v>831</v>
      </c>
      <c r="B110" s="206">
        <v>8.0</v>
      </c>
    </row>
    <row r="111">
      <c r="A111" s="204" t="s">
        <v>832</v>
      </c>
      <c r="B111" s="206">
        <v>3.0</v>
      </c>
    </row>
    <row r="112">
      <c r="A112" s="204" t="s">
        <v>833</v>
      </c>
      <c r="B112" s="206">
        <v>30.0</v>
      </c>
    </row>
    <row r="113">
      <c r="A113" s="204" t="s">
        <v>834</v>
      </c>
      <c r="B113" s="206">
        <v>0.0</v>
      </c>
    </row>
    <row r="114">
      <c r="A114" s="204" t="s">
        <v>835</v>
      </c>
      <c r="B114" s="206">
        <v>19.0</v>
      </c>
    </row>
    <row r="115">
      <c r="A115" s="204" t="s">
        <v>836</v>
      </c>
      <c r="B115" s="206">
        <v>18.0</v>
      </c>
    </row>
    <row r="116">
      <c r="A116" s="204" t="s">
        <v>837</v>
      </c>
      <c r="B116" s="206">
        <v>18.0</v>
      </c>
    </row>
    <row r="117">
      <c r="A117" s="204" t="s">
        <v>838</v>
      </c>
      <c r="B117" s="206">
        <v>23.0</v>
      </c>
    </row>
    <row r="118">
      <c r="A118" s="204" t="s">
        <v>840</v>
      </c>
      <c r="B118" s="206">
        <v>5.0</v>
      </c>
    </row>
    <row r="119">
      <c r="A119" s="204" t="s">
        <v>841</v>
      </c>
      <c r="B119" s="206">
        <v>2.0</v>
      </c>
    </row>
    <row r="120">
      <c r="A120" s="204" t="s">
        <v>843</v>
      </c>
      <c r="B120" s="206">
        <v>3.0</v>
      </c>
    </row>
    <row r="121">
      <c r="A121" s="204" t="s">
        <v>844</v>
      </c>
      <c r="B121" s="206">
        <v>8.0</v>
      </c>
    </row>
    <row r="122">
      <c r="A122" s="204" t="s">
        <v>845</v>
      </c>
      <c r="B122" s="206">
        <v>11.0</v>
      </c>
    </row>
    <row r="123">
      <c r="A123" s="204" t="s">
        <v>846</v>
      </c>
      <c r="B123" s="206">
        <v>8.0</v>
      </c>
    </row>
    <row r="124">
      <c r="A124" s="204" t="s">
        <v>848</v>
      </c>
      <c r="B124" s="206">
        <v>1.0</v>
      </c>
    </row>
    <row r="125">
      <c r="A125" s="204" t="s">
        <v>849</v>
      </c>
      <c r="B125" s="206">
        <v>4.0</v>
      </c>
    </row>
    <row r="126">
      <c r="A126" s="204" t="s">
        <v>850</v>
      </c>
      <c r="B126" s="206">
        <v>7.0</v>
      </c>
    </row>
    <row r="127">
      <c r="A127" s="204" t="s">
        <v>851</v>
      </c>
      <c r="B127" s="206">
        <v>9.0</v>
      </c>
    </row>
    <row r="128">
      <c r="A128" s="204" t="s">
        <v>784</v>
      </c>
      <c r="B128" s="206">
        <v>399.0</v>
      </c>
    </row>
    <row r="132">
      <c r="A132" s="196" t="s">
        <v>852</v>
      </c>
      <c r="B132" s="197"/>
      <c r="C132" s="197"/>
      <c r="D132" s="198" t="s">
        <v>765</v>
      </c>
      <c r="E132" s="198" t="s">
        <v>766</v>
      </c>
      <c r="F132" s="197"/>
      <c r="G132" s="197"/>
      <c r="H132" s="198" t="s">
        <v>767</v>
      </c>
      <c r="I132" s="214">
        <v>44490.0</v>
      </c>
      <c r="J132" s="198" t="s">
        <v>769</v>
      </c>
      <c r="K132" s="214">
        <v>44593.0</v>
      </c>
      <c r="L132" s="215"/>
    </row>
    <row r="134">
      <c r="A134" s="204" t="s">
        <v>172</v>
      </c>
      <c r="B134" s="204" t="s">
        <v>853</v>
      </c>
    </row>
    <row r="135">
      <c r="A135" s="204" t="s">
        <v>795</v>
      </c>
      <c r="B135" s="206">
        <v>15.0</v>
      </c>
      <c r="D135" s="216"/>
    </row>
    <row r="136">
      <c r="A136" s="204" t="s">
        <v>796</v>
      </c>
      <c r="B136" s="206">
        <v>56.0</v>
      </c>
      <c r="D136" s="216"/>
    </row>
    <row r="137">
      <c r="A137" s="204" t="s">
        <v>797</v>
      </c>
      <c r="B137" s="206">
        <v>17.0</v>
      </c>
      <c r="D137" s="216"/>
    </row>
    <row r="138">
      <c r="A138" s="204" t="s">
        <v>855</v>
      </c>
      <c r="B138" s="206">
        <v>21.0</v>
      </c>
      <c r="D138" s="216"/>
    </row>
    <row r="139">
      <c r="A139" s="204" t="s">
        <v>798</v>
      </c>
      <c r="B139" s="206">
        <v>23.0</v>
      </c>
      <c r="D139" s="216"/>
    </row>
    <row r="140">
      <c r="A140" s="204" t="s">
        <v>857</v>
      </c>
      <c r="B140" s="206">
        <v>5.0</v>
      </c>
      <c r="D140" s="216"/>
    </row>
    <row r="141">
      <c r="A141" s="204" t="s">
        <v>858</v>
      </c>
      <c r="B141" s="206">
        <v>12.0</v>
      </c>
      <c r="D141" s="216"/>
    </row>
    <row r="142">
      <c r="A142" s="204" t="s">
        <v>799</v>
      </c>
      <c r="B142" s="206">
        <v>48.0</v>
      </c>
      <c r="D142" s="216"/>
    </row>
    <row r="143">
      <c r="A143" s="204" t="s">
        <v>800</v>
      </c>
      <c r="B143" s="206">
        <v>42.0</v>
      </c>
      <c r="D143" s="216"/>
    </row>
    <row r="144">
      <c r="A144" s="204" t="s">
        <v>801</v>
      </c>
      <c r="B144" s="206">
        <v>21.0</v>
      </c>
      <c r="D144" s="216"/>
    </row>
    <row r="145">
      <c r="A145" s="204" t="s">
        <v>803</v>
      </c>
      <c r="B145" s="206">
        <v>64.0</v>
      </c>
      <c r="D145" s="216"/>
    </row>
    <row r="146">
      <c r="A146" s="204" t="s">
        <v>861</v>
      </c>
      <c r="B146" s="206">
        <v>3.0</v>
      </c>
      <c r="D146" s="216"/>
    </row>
    <row r="147">
      <c r="A147" s="204" t="s">
        <v>804</v>
      </c>
      <c r="B147" s="206">
        <v>3.0</v>
      </c>
      <c r="D147" s="216"/>
    </row>
    <row r="148">
      <c r="A148" s="204" t="s">
        <v>805</v>
      </c>
      <c r="B148" s="206">
        <v>7.0</v>
      </c>
      <c r="D148" s="216"/>
    </row>
    <row r="149">
      <c r="A149" s="204" t="s">
        <v>806</v>
      </c>
      <c r="B149" s="206">
        <v>16.0</v>
      </c>
      <c r="D149" s="216"/>
    </row>
    <row r="150">
      <c r="A150" s="204" t="s">
        <v>808</v>
      </c>
      <c r="B150" s="206">
        <v>31.0</v>
      </c>
      <c r="D150" s="216"/>
    </row>
    <row r="151">
      <c r="A151" s="204" t="s">
        <v>809</v>
      </c>
      <c r="B151" s="206">
        <v>4.0</v>
      </c>
      <c r="D151" s="216"/>
    </row>
    <row r="152">
      <c r="A152" s="204" t="s">
        <v>863</v>
      </c>
      <c r="B152" s="206">
        <v>3.0</v>
      </c>
      <c r="D152" s="216"/>
    </row>
    <row r="153">
      <c r="A153" s="204" t="s">
        <v>810</v>
      </c>
      <c r="B153" s="206">
        <v>19.0</v>
      </c>
      <c r="D153" s="216"/>
    </row>
    <row r="154">
      <c r="A154" s="204" t="s">
        <v>811</v>
      </c>
      <c r="B154" s="206">
        <v>12.0</v>
      </c>
      <c r="D154" s="216"/>
    </row>
    <row r="155">
      <c r="A155" s="204" t="s">
        <v>812</v>
      </c>
      <c r="B155" s="206">
        <v>44.0</v>
      </c>
      <c r="D155" s="216"/>
    </row>
    <row r="156">
      <c r="A156" s="204" t="s">
        <v>814</v>
      </c>
      <c r="B156" s="206">
        <v>23.0</v>
      </c>
      <c r="D156" s="216"/>
    </row>
    <row r="157">
      <c r="A157" s="204" t="s">
        <v>813</v>
      </c>
      <c r="B157" s="206">
        <v>20.0</v>
      </c>
      <c r="D157" s="216"/>
    </row>
    <row r="158">
      <c r="A158" s="204" t="s">
        <v>815</v>
      </c>
      <c r="B158" s="206">
        <v>51.0</v>
      </c>
      <c r="D158" s="216"/>
    </row>
    <row r="159">
      <c r="A159" s="204" t="s">
        <v>816</v>
      </c>
      <c r="B159" s="206">
        <v>29.0</v>
      </c>
      <c r="D159" s="216"/>
    </row>
    <row r="160">
      <c r="A160" s="204" t="s">
        <v>817</v>
      </c>
      <c r="B160" s="206">
        <v>12.0</v>
      </c>
      <c r="D160" s="216"/>
    </row>
    <row r="161">
      <c r="A161" s="204" t="s">
        <v>818</v>
      </c>
      <c r="B161" s="206">
        <v>57.0</v>
      </c>
      <c r="D161" s="216"/>
    </row>
    <row r="162">
      <c r="A162" s="204" t="s">
        <v>867</v>
      </c>
      <c r="B162" s="206">
        <v>10.0</v>
      </c>
      <c r="D162" s="216"/>
    </row>
    <row r="163">
      <c r="A163" s="204" t="s">
        <v>820</v>
      </c>
      <c r="B163" s="206">
        <v>21.0</v>
      </c>
      <c r="D163" s="216"/>
    </row>
    <row r="164">
      <c r="A164" s="204" t="s">
        <v>821</v>
      </c>
      <c r="B164" s="206">
        <v>20.0</v>
      </c>
      <c r="D164" s="216"/>
    </row>
    <row r="165">
      <c r="A165" s="204" t="s">
        <v>822</v>
      </c>
      <c r="B165" s="206">
        <v>3.0</v>
      </c>
      <c r="D165" s="216"/>
    </row>
    <row r="166">
      <c r="A166" s="204" t="s">
        <v>869</v>
      </c>
      <c r="B166" s="206">
        <v>7.0</v>
      </c>
      <c r="D166" s="216"/>
    </row>
    <row r="167">
      <c r="A167" s="204" t="s">
        <v>824</v>
      </c>
      <c r="B167" s="206">
        <v>8.0</v>
      </c>
      <c r="D167" s="216"/>
    </row>
    <row r="168">
      <c r="A168" s="204" t="s">
        <v>825</v>
      </c>
      <c r="B168" s="206">
        <v>42.0</v>
      </c>
      <c r="D168" s="216"/>
    </row>
    <row r="169">
      <c r="A169" s="204" t="s">
        <v>826</v>
      </c>
      <c r="B169" s="206">
        <v>43.0</v>
      </c>
      <c r="D169" s="216"/>
    </row>
    <row r="170">
      <c r="A170" s="204" t="s">
        <v>827</v>
      </c>
      <c r="B170" s="206">
        <v>193.0</v>
      </c>
      <c r="D170" s="216"/>
    </row>
    <row r="171">
      <c r="A171" s="204" t="s">
        <v>871</v>
      </c>
      <c r="B171" s="206">
        <v>8.0</v>
      </c>
      <c r="D171" s="216"/>
    </row>
    <row r="172">
      <c r="A172" s="204" t="s">
        <v>828</v>
      </c>
      <c r="B172" s="206">
        <v>38.0</v>
      </c>
      <c r="D172" s="216"/>
    </row>
    <row r="173">
      <c r="A173" s="204" t="s">
        <v>829</v>
      </c>
      <c r="B173" s="206">
        <v>26.0</v>
      </c>
      <c r="D173" s="216"/>
    </row>
    <row r="174">
      <c r="A174" s="204" t="s">
        <v>830</v>
      </c>
      <c r="B174" s="206">
        <v>51.0</v>
      </c>
      <c r="D174" s="216"/>
    </row>
    <row r="175">
      <c r="A175" s="204" t="s">
        <v>831</v>
      </c>
      <c r="B175" s="206">
        <v>45.0</v>
      </c>
      <c r="D175" s="216"/>
    </row>
    <row r="176">
      <c r="A176" s="204" t="s">
        <v>832</v>
      </c>
      <c r="B176" s="206">
        <v>3.0</v>
      </c>
      <c r="D176" s="216"/>
    </row>
    <row r="177">
      <c r="A177" s="204" t="s">
        <v>873</v>
      </c>
      <c r="B177" s="206">
        <v>0.0</v>
      </c>
      <c r="D177" s="216"/>
    </row>
    <row r="178">
      <c r="A178" s="204" t="s">
        <v>833</v>
      </c>
      <c r="B178" s="206">
        <v>204.0</v>
      </c>
      <c r="D178" s="216"/>
    </row>
    <row r="179">
      <c r="A179" s="204" t="s">
        <v>834</v>
      </c>
      <c r="B179" s="206">
        <v>12.0</v>
      </c>
      <c r="D179" s="216"/>
    </row>
    <row r="180">
      <c r="A180" s="204" t="s">
        <v>874</v>
      </c>
      <c r="B180" s="206">
        <v>6.0</v>
      </c>
      <c r="D180" s="216"/>
    </row>
    <row r="181">
      <c r="A181" s="204" t="s">
        <v>835</v>
      </c>
      <c r="B181" s="206">
        <v>45.0</v>
      </c>
      <c r="D181" s="216"/>
    </row>
    <row r="182">
      <c r="A182" s="204" t="s">
        <v>836</v>
      </c>
      <c r="B182" s="206">
        <v>105.0</v>
      </c>
      <c r="D182" s="216"/>
    </row>
    <row r="183">
      <c r="A183" s="204" t="s">
        <v>875</v>
      </c>
      <c r="B183" s="206">
        <v>3.0</v>
      </c>
      <c r="D183" s="216"/>
    </row>
    <row r="184">
      <c r="A184" s="204" t="s">
        <v>837</v>
      </c>
      <c r="B184" s="206">
        <v>49.0</v>
      </c>
      <c r="D184" s="216"/>
    </row>
    <row r="185">
      <c r="A185" s="204" t="s">
        <v>838</v>
      </c>
      <c r="B185" s="206">
        <v>26.0</v>
      </c>
      <c r="D185" s="216"/>
    </row>
    <row r="186">
      <c r="A186" s="204" t="s">
        <v>877</v>
      </c>
      <c r="B186" s="206">
        <v>3.0</v>
      </c>
      <c r="D186" s="216"/>
    </row>
    <row r="187">
      <c r="A187" s="204" t="s">
        <v>878</v>
      </c>
      <c r="B187" s="206">
        <v>10.0</v>
      </c>
      <c r="D187" s="216"/>
    </row>
    <row r="188">
      <c r="A188" s="204" t="s">
        <v>840</v>
      </c>
      <c r="B188" s="206">
        <v>17.0</v>
      </c>
      <c r="D188" s="216"/>
    </row>
    <row r="189">
      <c r="A189" s="204" t="s">
        <v>841</v>
      </c>
      <c r="B189" s="206">
        <v>7.0</v>
      </c>
      <c r="D189" s="216"/>
    </row>
    <row r="190">
      <c r="A190" s="204" t="s">
        <v>843</v>
      </c>
      <c r="B190" s="206">
        <v>30.0</v>
      </c>
      <c r="D190" s="216"/>
    </row>
    <row r="191">
      <c r="A191" s="204" t="s">
        <v>844</v>
      </c>
      <c r="B191" s="206">
        <v>43.0</v>
      </c>
      <c r="D191" s="216"/>
    </row>
    <row r="192">
      <c r="A192" s="204" t="s">
        <v>845</v>
      </c>
      <c r="B192" s="206">
        <v>70.0</v>
      </c>
      <c r="D192" s="216"/>
    </row>
    <row r="193">
      <c r="A193" s="204" t="s">
        <v>880</v>
      </c>
      <c r="B193" s="206">
        <v>5.0</v>
      </c>
      <c r="D193" s="216"/>
    </row>
    <row r="194">
      <c r="A194" s="204" t="s">
        <v>846</v>
      </c>
      <c r="B194" s="206">
        <v>42.0</v>
      </c>
      <c r="D194" s="216"/>
    </row>
    <row r="195">
      <c r="A195" s="204" t="s">
        <v>848</v>
      </c>
      <c r="B195" s="206">
        <v>28.0</v>
      </c>
      <c r="D195" s="216"/>
    </row>
    <row r="196">
      <c r="A196" s="204" t="s">
        <v>849</v>
      </c>
      <c r="B196" s="206">
        <v>45.0</v>
      </c>
      <c r="D196" s="216"/>
    </row>
    <row r="197">
      <c r="A197" s="204" t="s">
        <v>850</v>
      </c>
      <c r="B197" s="206">
        <v>44.0</v>
      </c>
      <c r="D197" s="216"/>
    </row>
    <row r="198">
      <c r="A198" s="204" t="s">
        <v>883</v>
      </c>
      <c r="B198" s="206">
        <v>2.0</v>
      </c>
      <c r="D198" s="216"/>
    </row>
    <row r="199">
      <c r="A199" s="204" t="s">
        <v>851</v>
      </c>
      <c r="B199" s="206">
        <v>17.0</v>
      </c>
      <c r="D199" s="216"/>
    </row>
    <row r="200">
      <c r="A200" s="204" t="s">
        <v>784</v>
      </c>
      <c r="B200" s="208">
        <v>1989.0</v>
      </c>
      <c r="D200" s="232"/>
    </row>
    <row r="201">
      <c r="A201" s="204"/>
      <c r="B201" s="208"/>
    </row>
    <row r="204">
      <c r="A204" s="196" t="s">
        <v>884</v>
      </c>
      <c r="B204" s="197"/>
      <c r="C204" s="197"/>
      <c r="D204" s="198" t="s">
        <v>765</v>
      </c>
      <c r="E204" s="198" t="s">
        <v>766</v>
      </c>
      <c r="F204" s="197"/>
      <c r="G204" s="197"/>
      <c r="H204" s="198" t="s">
        <v>767</v>
      </c>
      <c r="I204" s="214">
        <v>44490.0</v>
      </c>
      <c r="J204" s="198" t="s">
        <v>769</v>
      </c>
      <c r="K204" s="214">
        <v>44592.0</v>
      </c>
      <c r="L204" s="215"/>
    </row>
    <row r="206">
      <c r="A206" s="204" t="s">
        <v>172</v>
      </c>
      <c r="B206" s="204" t="s">
        <v>885</v>
      </c>
    </row>
    <row r="207">
      <c r="A207" s="204" t="s">
        <v>795</v>
      </c>
      <c r="B207" s="206">
        <v>24.0</v>
      </c>
    </row>
    <row r="208">
      <c r="A208" s="204" t="s">
        <v>796</v>
      </c>
      <c r="B208" s="206">
        <v>127.0</v>
      </c>
    </row>
    <row r="209">
      <c r="A209" s="204" t="s">
        <v>797</v>
      </c>
      <c r="B209" s="206">
        <v>25.0</v>
      </c>
    </row>
    <row r="210">
      <c r="A210" s="204" t="s">
        <v>855</v>
      </c>
      <c r="B210" s="206">
        <v>61.0</v>
      </c>
    </row>
    <row r="211">
      <c r="A211" s="204" t="s">
        <v>798</v>
      </c>
      <c r="B211" s="206">
        <v>104.0</v>
      </c>
    </row>
    <row r="212">
      <c r="A212" s="204" t="s">
        <v>857</v>
      </c>
      <c r="B212" s="206">
        <v>4.0</v>
      </c>
    </row>
    <row r="213">
      <c r="A213" s="204" t="s">
        <v>858</v>
      </c>
      <c r="B213" s="206">
        <v>14.0</v>
      </c>
    </row>
    <row r="214">
      <c r="A214" s="204" t="s">
        <v>799</v>
      </c>
      <c r="B214" s="206">
        <v>101.0</v>
      </c>
    </row>
    <row r="215">
      <c r="A215" s="204" t="s">
        <v>800</v>
      </c>
      <c r="B215" s="206">
        <v>33.0</v>
      </c>
    </row>
    <row r="216">
      <c r="A216" s="204" t="s">
        <v>801</v>
      </c>
      <c r="B216" s="206">
        <v>12.0</v>
      </c>
    </row>
    <row r="217">
      <c r="A217" s="204" t="s">
        <v>803</v>
      </c>
      <c r="B217" s="206">
        <v>14.0</v>
      </c>
    </row>
    <row r="218">
      <c r="A218" s="204" t="s">
        <v>889</v>
      </c>
      <c r="B218" s="206">
        <v>14.0</v>
      </c>
    </row>
    <row r="219">
      <c r="A219" s="204" t="s">
        <v>861</v>
      </c>
      <c r="B219" s="206">
        <v>5.0</v>
      </c>
    </row>
    <row r="220">
      <c r="A220" s="204" t="s">
        <v>804</v>
      </c>
      <c r="B220" s="206">
        <v>9.0</v>
      </c>
    </row>
    <row r="221">
      <c r="A221" s="204" t="s">
        <v>805</v>
      </c>
      <c r="B221" s="206">
        <v>14.0</v>
      </c>
    </row>
    <row r="222">
      <c r="A222" s="204" t="s">
        <v>806</v>
      </c>
      <c r="B222" s="206">
        <v>35.0</v>
      </c>
    </row>
    <row r="223">
      <c r="A223" s="204" t="s">
        <v>808</v>
      </c>
      <c r="B223" s="206">
        <v>83.0</v>
      </c>
    </row>
    <row r="224">
      <c r="A224" s="204" t="s">
        <v>809</v>
      </c>
      <c r="B224" s="206">
        <v>1.0</v>
      </c>
    </row>
    <row r="225">
      <c r="A225" s="204" t="s">
        <v>863</v>
      </c>
      <c r="B225" s="206">
        <v>9.0</v>
      </c>
    </row>
    <row r="226">
      <c r="A226" s="204" t="s">
        <v>810</v>
      </c>
      <c r="B226" s="206">
        <v>31.0</v>
      </c>
    </row>
    <row r="227">
      <c r="A227" s="204" t="s">
        <v>811</v>
      </c>
      <c r="B227" s="206">
        <v>10.0</v>
      </c>
    </row>
    <row r="228">
      <c r="A228" s="204" t="s">
        <v>812</v>
      </c>
      <c r="B228" s="206">
        <v>130.0</v>
      </c>
    </row>
    <row r="229">
      <c r="A229" s="204" t="s">
        <v>814</v>
      </c>
      <c r="B229" s="206">
        <v>32.0</v>
      </c>
    </row>
    <row r="230">
      <c r="A230" s="204" t="s">
        <v>813</v>
      </c>
      <c r="B230" s="206">
        <v>88.0</v>
      </c>
    </row>
    <row r="231">
      <c r="A231" s="204" t="s">
        <v>815</v>
      </c>
      <c r="B231" s="206">
        <v>50.0</v>
      </c>
    </row>
    <row r="232">
      <c r="A232" s="204" t="s">
        <v>816</v>
      </c>
      <c r="B232" s="206">
        <v>62.0</v>
      </c>
    </row>
    <row r="233">
      <c r="A233" s="204" t="s">
        <v>817</v>
      </c>
      <c r="B233" s="206">
        <v>42.0</v>
      </c>
    </row>
    <row r="234">
      <c r="A234" s="204" t="s">
        <v>818</v>
      </c>
      <c r="B234" s="206">
        <v>117.0</v>
      </c>
    </row>
    <row r="235">
      <c r="A235" s="204" t="s">
        <v>867</v>
      </c>
      <c r="B235" s="206">
        <v>10.0</v>
      </c>
    </row>
    <row r="236">
      <c r="A236" s="204" t="s">
        <v>820</v>
      </c>
      <c r="B236" s="206">
        <v>15.0</v>
      </c>
    </row>
    <row r="237">
      <c r="A237" s="204" t="s">
        <v>821</v>
      </c>
      <c r="B237" s="206">
        <v>10.0</v>
      </c>
    </row>
    <row r="238">
      <c r="A238" s="204" t="s">
        <v>822</v>
      </c>
      <c r="B238" s="206">
        <v>5.0</v>
      </c>
    </row>
    <row r="239">
      <c r="A239" s="204" t="s">
        <v>869</v>
      </c>
      <c r="B239" s="206">
        <v>13.0</v>
      </c>
    </row>
    <row r="240">
      <c r="A240" s="204" t="s">
        <v>824</v>
      </c>
      <c r="B240" s="206">
        <v>16.0</v>
      </c>
    </row>
    <row r="241">
      <c r="A241" s="204" t="s">
        <v>825</v>
      </c>
      <c r="B241" s="206">
        <v>158.0</v>
      </c>
    </row>
    <row r="242">
      <c r="A242" s="204" t="s">
        <v>826</v>
      </c>
      <c r="B242" s="206">
        <v>27.0</v>
      </c>
    </row>
    <row r="243">
      <c r="A243" s="204" t="s">
        <v>827</v>
      </c>
      <c r="B243" s="206">
        <v>722.0</v>
      </c>
    </row>
    <row r="244">
      <c r="A244" s="204" t="s">
        <v>871</v>
      </c>
      <c r="B244" s="206">
        <v>5.0</v>
      </c>
    </row>
    <row r="245">
      <c r="A245" s="204" t="s">
        <v>828</v>
      </c>
      <c r="B245" s="206">
        <v>90.0</v>
      </c>
    </row>
    <row r="246">
      <c r="A246" s="204" t="s">
        <v>829</v>
      </c>
      <c r="B246" s="206">
        <v>26.0</v>
      </c>
    </row>
    <row r="247">
      <c r="A247" s="204" t="s">
        <v>830</v>
      </c>
      <c r="B247" s="206">
        <v>133.0</v>
      </c>
    </row>
    <row r="248">
      <c r="A248" s="204" t="s">
        <v>831</v>
      </c>
      <c r="B248" s="206">
        <v>48.0</v>
      </c>
    </row>
    <row r="249">
      <c r="A249" s="204" t="s">
        <v>832</v>
      </c>
      <c r="B249" s="206">
        <v>5.0</v>
      </c>
    </row>
    <row r="250">
      <c r="A250" s="204" t="s">
        <v>873</v>
      </c>
      <c r="B250" s="206">
        <v>23.0</v>
      </c>
    </row>
    <row r="251">
      <c r="A251" s="204" t="s">
        <v>833</v>
      </c>
      <c r="B251" s="206">
        <v>258.0</v>
      </c>
    </row>
    <row r="252">
      <c r="A252" s="204" t="s">
        <v>834</v>
      </c>
      <c r="B252" s="206">
        <v>16.0</v>
      </c>
    </row>
    <row r="253">
      <c r="A253" s="204" t="s">
        <v>874</v>
      </c>
      <c r="B253" s="206">
        <v>19.0</v>
      </c>
    </row>
    <row r="254">
      <c r="A254" s="204" t="s">
        <v>835</v>
      </c>
      <c r="B254" s="206">
        <v>161.0</v>
      </c>
    </row>
    <row r="255">
      <c r="A255" s="204" t="s">
        <v>836</v>
      </c>
      <c r="B255" s="206">
        <v>390.0</v>
      </c>
    </row>
    <row r="256">
      <c r="A256" s="204" t="s">
        <v>875</v>
      </c>
      <c r="B256" s="206">
        <v>10.0</v>
      </c>
    </row>
    <row r="257">
      <c r="A257" s="204" t="s">
        <v>837</v>
      </c>
      <c r="B257" s="206">
        <v>112.0</v>
      </c>
    </row>
    <row r="258">
      <c r="A258" s="204" t="s">
        <v>838</v>
      </c>
      <c r="B258" s="206">
        <v>104.0</v>
      </c>
    </row>
    <row r="259">
      <c r="A259" s="204" t="s">
        <v>877</v>
      </c>
      <c r="B259" s="206">
        <v>15.0</v>
      </c>
    </row>
    <row r="260">
      <c r="A260" s="204" t="s">
        <v>878</v>
      </c>
      <c r="B260" s="206">
        <v>8.0</v>
      </c>
    </row>
    <row r="261">
      <c r="A261" s="204" t="s">
        <v>840</v>
      </c>
      <c r="B261" s="206">
        <v>23.0</v>
      </c>
    </row>
    <row r="262">
      <c r="A262" s="204" t="s">
        <v>841</v>
      </c>
      <c r="B262" s="206">
        <v>9.0</v>
      </c>
    </row>
    <row r="263">
      <c r="A263" s="204" t="s">
        <v>843</v>
      </c>
      <c r="B263" s="206">
        <v>45.0</v>
      </c>
    </row>
    <row r="264">
      <c r="A264" s="204" t="s">
        <v>844</v>
      </c>
      <c r="B264" s="206">
        <v>142.0</v>
      </c>
    </row>
    <row r="265">
      <c r="A265" s="204" t="s">
        <v>845</v>
      </c>
      <c r="B265" s="206">
        <v>211.0</v>
      </c>
    </row>
    <row r="266">
      <c r="A266" s="204" t="s">
        <v>880</v>
      </c>
      <c r="B266" s="206">
        <v>4.0</v>
      </c>
    </row>
    <row r="267">
      <c r="A267" s="204" t="s">
        <v>846</v>
      </c>
      <c r="B267" s="206">
        <v>197.0</v>
      </c>
    </row>
    <row r="268">
      <c r="A268" s="204" t="s">
        <v>848</v>
      </c>
      <c r="B268" s="206">
        <v>15.0</v>
      </c>
    </row>
    <row r="269">
      <c r="A269" s="204" t="s">
        <v>849</v>
      </c>
      <c r="B269" s="206">
        <v>101.0</v>
      </c>
    </row>
    <row r="270">
      <c r="A270" s="204" t="s">
        <v>850</v>
      </c>
      <c r="B270" s="206">
        <v>95.0</v>
      </c>
    </row>
    <row r="271">
      <c r="A271" s="204" t="s">
        <v>883</v>
      </c>
      <c r="B271" s="206">
        <v>9.0</v>
      </c>
    </row>
    <row r="272">
      <c r="A272" s="204" t="s">
        <v>176</v>
      </c>
      <c r="B272" s="206">
        <v>17.0</v>
      </c>
    </row>
    <row r="273">
      <c r="A273" s="204" t="s">
        <v>851</v>
      </c>
      <c r="B273" s="206">
        <v>40.0</v>
      </c>
    </row>
    <row r="274">
      <c r="A274" s="204" t="s">
        <v>784</v>
      </c>
      <c r="B274" s="208">
        <v>4558.0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22.75"/>
    <col customWidth="1" min="2" max="11" width="10.75"/>
    <col customWidth="1" min="12" max="12" width="13.0"/>
    <col customWidth="1" min="13" max="17" width="10.75"/>
  </cols>
  <sheetData>
    <row r="1">
      <c r="A1" s="167"/>
      <c r="B1" s="168" t="s">
        <v>23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</row>
    <row r="2">
      <c r="A2" s="169" t="s">
        <v>172</v>
      </c>
      <c r="B2" s="240" t="s">
        <v>174</v>
      </c>
      <c r="C2" s="241" t="s">
        <v>693</v>
      </c>
      <c r="D2" s="242" t="s">
        <v>694</v>
      </c>
      <c r="E2" s="242" t="s">
        <v>695</v>
      </c>
      <c r="F2" s="242" t="s">
        <v>179</v>
      </c>
      <c r="G2" s="242" t="s">
        <v>696</v>
      </c>
      <c r="H2" s="243" t="s">
        <v>697</v>
      </c>
      <c r="I2" s="244" t="s">
        <v>84</v>
      </c>
      <c r="J2" s="240" t="s">
        <v>698</v>
      </c>
      <c r="K2" s="245" t="s">
        <v>699</v>
      </c>
      <c r="L2" s="243" t="s">
        <v>89</v>
      </c>
      <c r="M2" s="246" t="s">
        <v>700</v>
      </c>
      <c r="N2" s="247" t="s">
        <v>701</v>
      </c>
      <c r="O2" s="247" t="s">
        <v>702</v>
      </c>
      <c r="P2" s="248" t="s">
        <v>90</v>
      </c>
      <c r="Q2" s="249" t="s">
        <v>703</v>
      </c>
    </row>
    <row r="3">
      <c r="A3" s="250" t="s">
        <v>187</v>
      </c>
      <c r="B3" s="251"/>
      <c r="C3" s="252">
        <f>'AK Data'!B4</f>
        <v>858</v>
      </c>
      <c r="D3" s="253" t="s">
        <v>63</v>
      </c>
      <c r="E3" s="253">
        <f>'AK Data'!B5</f>
        <v>431</v>
      </c>
      <c r="F3" s="253">
        <f>'AK Data'!B6</f>
        <v>418</v>
      </c>
      <c r="G3" s="253" t="s">
        <v>63</v>
      </c>
      <c r="H3" s="254" t="s">
        <v>63</v>
      </c>
      <c r="I3" s="255">
        <f>'AK Data'!B10</f>
        <v>280</v>
      </c>
      <c r="J3" s="256" t="s">
        <v>63</v>
      </c>
      <c r="K3" s="257">
        <f>'AK Data'!B12</f>
        <v>0.524</v>
      </c>
      <c r="L3" s="254" t="s">
        <v>63</v>
      </c>
      <c r="M3" s="258" t="s">
        <v>63</v>
      </c>
      <c r="N3" s="259">
        <f>'AK Data'!B12</f>
        <v>0.524</v>
      </c>
      <c r="O3" s="260" t="s">
        <v>63</v>
      </c>
      <c r="P3" s="261">
        <f>ifna(vlookup(A3,'Population &amp; Church Numbers'!$A$70:$D$98,4,FALSE),"NULL")</f>
        <v>210</v>
      </c>
      <c r="Q3" s="262" t="s">
        <v>63</v>
      </c>
    </row>
    <row r="4">
      <c r="A4" s="263" t="s">
        <v>904</v>
      </c>
      <c r="B4" s="189"/>
      <c r="C4" s="264">
        <f>'AK Data'!D4</f>
        <v>440</v>
      </c>
      <c r="D4" s="265" t="s">
        <v>63</v>
      </c>
      <c r="E4" s="265">
        <f>'AK Data'!D5</f>
        <v>242</v>
      </c>
      <c r="F4" s="265">
        <f>'AK Data'!D6</f>
        <v>193</v>
      </c>
      <c r="G4" s="265" t="s">
        <v>63</v>
      </c>
      <c r="H4" s="266" t="s">
        <v>63</v>
      </c>
      <c r="I4" s="267">
        <f>'AK Data'!D10</f>
        <v>174</v>
      </c>
      <c r="J4" s="268" t="s">
        <v>63</v>
      </c>
      <c r="K4" s="269">
        <f>'AK Data'!D12</f>
        <v>0.534</v>
      </c>
      <c r="L4" s="266" t="s">
        <v>63</v>
      </c>
      <c r="M4" s="267" t="s">
        <v>63</v>
      </c>
      <c r="N4" s="270">
        <f>'AK Data'!D12</f>
        <v>0.534</v>
      </c>
      <c r="O4" s="271" t="s">
        <v>63</v>
      </c>
      <c r="P4" s="272" t="str">
        <f>ifna(vlookup(A4,'Population &amp; Church Numbers'!$A$70:$D$98,4,FALSE),"NULL")</f>
        <v>NULL</v>
      </c>
      <c r="Q4" s="273" t="s">
        <v>63</v>
      </c>
    </row>
    <row r="5">
      <c r="A5" s="250" t="s">
        <v>911</v>
      </c>
      <c r="B5" s="251"/>
      <c r="C5" s="252">
        <f>'AK Data'!C4</f>
        <v>562</v>
      </c>
      <c r="D5" s="253" t="s">
        <v>63</v>
      </c>
      <c r="E5" s="253">
        <f>'AK Data'!C5</f>
        <v>261</v>
      </c>
      <c r="F5" s="253">
        <f>'AK Data'!C6</f>
        <v>290</v>
      </c>
      <c r="G5" s="253" t="s">
        <v>63</v>
      </c>
      <c r="H5" s="254" t="s">
        <v>63</v>
      </c>
      <c r="I5" s="255">
        <f>'AK Data'!C10</f>
        <v>277</v>
      </c>
      <c r="J5" s="256" t="s">
        <v>63</v>
      </c>
      <c r="K5" s="274" t="s">
        <v>63</v>
      </c>
      <c r="L5" s="254" t="s">
        <v>63</v>
      </c>
      <c r="M5" s="255" t="s">
        <v>63</v>
      </c>
      <c r="N5" s="259">
        <f>'AK Data'!C12</f>
        <v>0.498</v>
      </c>
      <c r="O5" s="260" t="s">
        <v>63</v>
      </c>
      <c r="P5" s="261" t="str">
        <f>ifna(vlookup(A5,'Population &amp; Church Numbers'!$A$70:$D$98,4,FALSE),"NULL")</f>
        <v>NULL</v>
      </c>
      <c r="Q5" s="262" t="s">
        <v>63</v>
      </c>
    </row>
    <row r="6">
      <c r="A6" s="263" t="s">
        <v>926</v>
      </c>
      <c r="B6" s="189"/>
      <c r="C6" s="264">
        <f>'AK Data'!F4</f>
        <v>146</v>
      </c>
      <c r="D6" s="265" t="s">
        <v>63</v>
      </c>
      <c r="E6" s="265">
        <f>'AK Data'!F5</f>
        <v>76</v>
      </c>
      <c r="F6" s="265">
        <f>'AK Data'!F6</f>
        <v>68</v>
      </c>
      <c r="G6" s="265" t="s">
        <v>63</v>
      </c>
      <c r="H6" s="266" t="s">
        <v>63</v>
      </c>
      <c r="I6" s="267">
        <f>'AK Data'!F10</f>
        <v>42</v>
      </c>
      <c r="J6" s="268" t="s">
        <v>63</v>
      </c>
      <c r="K6" s="284" t="s">
        <v>63</v>
      </c>
      <c r="L6" s="266" t="s">
        <v>63</v>
      </c>
      <c r="M6" s="267" t="s">
        <v>63</v>
      </c>
      <c r="N6" s="270">
        <f>'AK Data'!F12</f>
        <v>0.397</v>
      </c>
      <c r="O6" s="271" t="s">
        <v>63</v>
      </c>
      <c r="P6" s="272" t="str">
        <f>ifna(vlookup(A6,'Population &amp; Church Numbers'!$A$70:$D$98,4,FALSE),"NULL")</f>
        <v>NULL</v>
      </c>
      <c r="Q6" s="273" t="s">
        <v>63</v>
      </c>
    </row>
    <row r="7">
      <c r="A7" s="250" t="s">
        <v>934</v>
      </c>
      <c r="B7" s="251"/>
      <c r="C7" s="252">
        <f>'AK Data'!E4</f>
        <v>255</v>
      </c>
      <c r="D7" s="253" t="s">
        <v>63</v>
      </c>
      <c r="E7" s="253">
        <f>'AK Data'!E5</f>
        <v>102</v>
      </c>
      <c r="F7" s="253">
        <f>'AK Data'!E6</f>
        <v>148</v>
      </c>
      <c r="G7" s="253" t="s">
        <v>63</v>
      </c>
      <c r="H7" s="254" t="s">
        <v>63</v>
      </c>
      <c r="I7" s="255">
        <f>'AK Data'!E10</f>
        <v>80</v>
      </c>
      <c r="J7" s="256" t="s">
        <v>63</v>
      </c>
      <c r="K7" s="274" t="s">
        <v>63</v>
      </c>
      <c r="L7" s="254" t="s">
        <v>63</v>
      </c>
      <c r="M7" s="255" t="s">
        <v>63</v>
      </c>
      <c r="N7" s="259">
        <f>'AK Data'!E12</f>
        <v>0.486</v>
      </c>
      <c r="O7" s="260" t="s">
        <v>63</v>
      </c>
      <c r="P7" s="261" t="str">
        <f>ifna(vlookup(A7,'Population &amp; Church Numbers'!$A$70:$D$98,4,FALSE),"NULL")</f>
        <v>NULL</v>
      </c>
      <c r="Q7" s="262" t="s">
        <v>63</v>
      </c>
    </row>
    <row r="8">
      <c r="A8" s="217"/>
      <c r="B8" s="218"/>
      <c r="C8" s="219"/>
      <c r="D8" s="220"/>
      <c r="E8" s="220"/>
      <c r="F8" s="220"/>
      <c r="G8" s="220"/>
      <c r="H8" s="221"/>
      <c r="I8" s="222"/>
      <c r="J8" s="223"/>
      <c r="K8" s="219"/>
      <c r="L8" s="224"/>
      <c r="M8" s="225"/>
      <c r="N8" s="226"/>
      <c r="O8" s="220"/>
      <c r="P8" s="221"/>
      <c r="Q8" s="295"/>
    </row>
    <row r="9">
      <c r="A9" s="228" t="s">
        <v>2</v>
      </c>
      <c r="B9" s="229"/>
      <c r="C9" s="230">
        <f>'AK Data'!G4</f>
        <v>2261</v>
      </c>
      <c r="D9" s="231">
        <f>'AK Data'!G8</f>
        <v>2.08</v>
      </c>
      <c r="E9" s="231">
        <f>'AK Data'!G5</f>
        <v>1112</v>
      </c>
      <c r="F9" s="231">
        <f>'AK Data'!G6</f>
        <v>1117</v>
      </c>
      <c r="G9" s="231" t="s">
        <v>63</v>
      </c>
      <c r="H9" s="233">
        <f>'AK Data'!B17</f>
        <v>1486</v>
      </c>
      <c r="I9" s="234">
        <f>'AK Data'!G10</f>
        <v>853</v>
      </c>
      <c r="J9" s="305" t="s">
        <v>63</v>
      </c>
      <c r="K9" s="308">
        <f>'AK Data'!G12</f>
        <v>0.4878</v>
      </c>
      <c r="L9" s="309" t="s">
        <v>63</v>
      </c>
      <c r="M9" s="237" t="s">
        <v>63</v>
      </c>
      <c r="N9" s="311" t="s">
        <v>63</v>
      </c>
      <c r="O9" s="231" t="s">
        <v>63</v>
      </c>
      <c r="P9" s="233">
        <f>sum(P3:P7)</f>
        <v>210</v>
      </c>
      <c r="Q9" s="313" t="s">
        <v>63</v>
      </c>
    </row>
  </sheetData>
  <autoFilter ref="$A$2:$Q$7"/>
  <mergeCells count="1">
    <mergeCell ref="B1:Q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9" max="9" width="14.75"/>
    <col customWidth="1" min="11" max="11" width="16.13"/>
  </cols>
  <sheetData>
    <row r="1">
      <c r="A1" s="1" t="s">
        <v>914</v>
      </c>
    </row>
    <row r="2">
      <c r="A2" s="275" t="s">
        <v>916</v>
      </c>
      <c r="B2" s="276"/>
      <c r="C2" s="276"/>
      <c r="D2" s="276"/>
      <c r="E2" s="275" t="s">
        <v>765</v>
      </c>
      <c r="F2" s="276"/>
      <c r="G2" s="276"/>
      <c r="H2" s="276"/>
      <c r="I2" s="275" t="s">
        <v>767</v>
      </c>
      <c r="J2" s="277">
        <v>45462.0</v>
      </c>
      <c r="K2" s="275" t="s">
        <v>769</v>
      </c>
      <c r="L2" s="277">
        <v>44986.0</v>
      </c>
      <c r="M2" s="276"/>
    </row>
    <row r="3">
      <c r="A3" s="278"/>
      <c r="B3" s="278" t="s">
        <v>918</v>
      </c>
      <c r="C3" s="278" t="s">
        <v>919</v>
      </c>
      <c r="D3" s="278" t="s">
        <v>920</v>
      </c>
      <c r="E3" s="278" t="s">
        <v>921</v>
      </c>
      <c r="F3" s="278" t="s">
        <v>922</v>
      </c>
      <c r="G3" s="278" t="s">
        <v>923</v>
      </c>
      <c r="H3" s="279" t="s">
        <v>924</v>
      </c>
      <c r="I3" s="278"/>
      <c r="J3" s="278"/>
      <c r="K3" s="278"/>
      <c r="L3" s="278"/>
      <c r="M3" s="278"/>
      <c r="N3" s="278"/>
      <c r="O3" s="278"/>
      <c r="P3" s="278"/>
      <c r="Q3" s="278"/>
      <c r="R3" s="278"/>
      <c r="S3" s="278"/>
      <c r="T3" s="278"/>
      <c r="U3" s="278"/>
      <c r="V3" s="278"/>
      <c r="W3" s="278"/>
      <c r="X3" s="278"/>
      <c r="Y3" s="278"/>
      <c r="Z3" s="278"/>
    </row>
    <row r="4">
      <c r="A4" s="280" t="s">
        <v>693</v>
      </c>
      <c r="B4" s="281">
        <v>858.0</v>
      </c>
      <c r="C4" s="281">
        <v>562.0</v>
      </c>
      <c r="D4" s="281">
        <v>440.0</v>
      </c>
      <c r="E4" s="281">
        <v>255.0</v>
      </c>
      <c r="F4" s="281">
        <v>146.0</v>
      </c>
      <c r="G4" s="282">
        <f t="shared" ref="G4:G6" si="1">SUM(B4:F4)</f>
        <v>2261</v>
      </c>
      <c r="H4" s="278"/>
      <c r="I4" s="278"/>
      <c r="J4" s="278"/>
      <c r="K4" s="278"/>
      <c r="L4" s="278"/>
      <c r="M4" s="278"/>
      <c r="N4" s="278"/>
      <c r="O4" s="278"/>
      <c r="P4" s="278"/>
      <c r="Q4" s="278"/>
      <c r="R4" s="278"/>
      <c r="S4" s="278"/>
      <c r="T4" s="278"/>
      <c r="U4" s="278"/>
      <c r="V4" s="278"/>
      <c r="W4" s="278"/>
      <c r="X4" s="278"/>
      <c r="Y4" s="278"/>
      <c r="Z4" s="278"/>
    </row>
    <row r="5">
      <c r="A5" s="283" t="s">
        <v>695</v>
      </c>
      <c r="B5" s="285">
        <v>431.0</v>
      </c>
      <c r="C5" s="285">
        <v>261.0</v>
      </c>
      <c r="D5" s="285">
        <v>242.0</v>
      </c>
      <c r="E5" s="285">
        <v>102.0</v>
      </c>
      <c r="F5" s="285">
        <v>76.0</v>
      </c>
      <c r="G5" s="282">
        <f t="shared" si="1"/>
        <v>1112</v>
      </c>
      <c r="H5" s="286"/>
      <c r="I5" s="286"/>
      <c r="J5" s="286"/>
      <c r="K5" s="286"/>
      <c r="L5" s="278"/>
      <c r="M5" s="278"/>
      <c r="N5" s="278"/>
      <c r="O5" s="278"/>
      <c r="P5" s="278"/>
      <c r="Q5" s="278"/>
      <c r="R5" s="278"/>
      <c r="S5" s="278"/>
      <c r="T5" s="278"/>
      <c r="U5" s="278"/>
      <c r="V5" s="278"/>
      <c r="W5" s="278"/>
      <c r="X5" s="278"/>
      <c r="Y5" s="278"/>
      <c r="Z5" s="278"/>
    </row>
    <row r="6">
      <c r="A6" s="283" t="s">
        <v>179</v>
      </c>
      <c r="B6" s="281">
        <v>418.0</v>
      </c>
      <c r="C6" s="281">
        <v>290.0</v>
      </c>
      <c r="D6" s="281">
        <v>193.0</v>
      </c>
      <c r="E6" s="281">
        <v>148.0</v>
      </c>
      <c r="F6" s="281">
        <v>68.0</v>
      </c>
      <c r="G6" s="282">
        <f t="shared" si="1"/>
        <v>1117</v>
      </c>
      <c r="H6" s="278"/>
      <c r="I6" s="278"/>
      <c r="J6" s="278"/>
      <c r="K6" s="278"/>
      <c r="L6" s="278"/>
      <c r="M6" s="278"/>
      <c r="N6" s="278"/>
      <c r="O6" s="278"/>
      <c r="P6" s="278"/>
      <c r="Q6" s="278"/>
      <c r="R6" s="278"/>
      <c r="S6" s="278"/>
      <c r="T6" s="278"/>
      <c r="U6" s="278"/>
      <c r="V6" s="278"/>
      <c r="W6" s="278"/>
      <c r="X6" s="278"/>
      <c r="Y6" s="278"/>
      <c r="Z6" s="278"/>
    </row>
    <row r="7">
      <c r="A7" s="287" t="s">
        <v>696</v>
      </c>
      <c r="B7" s="288" t="s">
        <v>933</v>
      </c>
      <c r="C7" s="286"/>
      <c r="D7" s="286"/>
      <c r="E7" s="286"/>
      <c r="F7" s="286"/>
      <c r="G7" s="286"/>
      <c r="H7" s="286"/>
      <c r="I7" s="289"/>
      <c r="J7" s="289"/>
      <c r="K7" s="286"/>
      <c r="L7" s="278"/>
      <c r="M7" s="278"/>
      <c r="N7" s="278"/>
      <c r="O7" s="278"/>
      <c r="P7" s="278"/>
      <c r="Q7" s="278"/>
      <c r="R7" s="278"/>
      <c r="S7" s="278"/>
      <c r="T7" s="278"/>
      <c r="U7" s="278"/>
      <c r="V7" s="278"/>
      <c r="W7" s="278"/>
      <c r="X7" s="278"/>
      <c r="Y7" s="278"/>
      <c r="Z7" s="278"/>
    </row>
    <row r="8">
      <c r="A8" s="283" t="s">
        <v>694</v>
      </c>
      <c r="B8" s="281">
        <v>2.4</v>
      </c>
      <c r="C8" s="281">
        <v>2.0</v>
      </c>
      <c r="D8" s="281">
        <v>1.8</v>
      </c>
      <c r="E8" s="281">
        <v>2.1</v>
      </c>
      <c r="F8" s="281">
        <v>2.1</v>
      </c>
      <c r="G8" s="281">
        <f>AVERAGE(B8:F8)</f>
        <v>2.08</v>
      </c>
      <c r="H8" s="278"/>
      <c r="I8" s="278"/>
      <c r="J8" s="278"/>
      <c r="K8" s="278"/>
      <c r="L8" s="278"/>
      <c r="M8" s="278"/>
      <c r="N8" s="278"/>
      <c r="O8" s="278"/>
      <c r="P8" s="278"/>
      <c r="Q8" s="278"/>
      <c r="R8" s="278"/>
      <c r="S8" s="278"/>
      <c r="T8" s="278"/>
      <c r="U8" s="278"/>
      <c r="V8" s="278"/>
      <c r="W8" s="278"/>
      <c r="X8" s="278"/>
      <c r="Y8" s="278"/>
      <c r="Z8" s="278"/>
    </row>
    <row r="9">
      <c r="A9" s="280" t="s">
        <v>697</v>
      </c>
      <c r="B9" s="278"/>
      <c r="C9" s="278"/>
      <c r="D9" s="278"/>
      <c r="E9" s="278"/>
      <c r="F9" s="278"/>
      <c r="G9" s="278"/>
      <c r="H9" s="278"/>
      <c r="I9" s="278"/>
      <c r="J9" s="278"/>
      <c r="K9" s="278"/>
      <c r="L9" s="278"/>
      <c r="M9" s="278"/>
      <c r="N9" s="278"/>
      <c r="O9" s="278"/>
      <c r="P9" s="278"/>
      <c r="Q9" s="278"/>
      <c r="R9" s="278"/>
      <c r="S9" s="278"/>
      <c r="T9" s="278"/>
      <c r="U9" s="278"/>
      <c r="V9" s="278"/>
      <c r="W9" s="278"/>
      <c r="X9" s="278"/>
      <c r="Y9" s="278"/>
      <c r="Z9" s="278"/>
    </row>
    <row r="10">
      <c r="A10" s="287" t="s">
        <v>938</v>
      </c>
      <c r="B10" s="281">
        <v>280.0</v>
      </c>
      <c r="C10" s="281">
        <v>277.0</v>
      </c>
      <c r="D10" s="281">
        <v>174.0</v>
      </c>
      <c r="E10" s="281">
        <v>80.0</v>
      </c>
      <c r="F10" s="281">
        <v>42.0</v>
      </c>
      <c r="G10" s="281">
        <f>SUM(B10:F10)</f>
        <v>853</v>
      </c>
      <c r="H10" s="278"/>
      <c r="I10" s="278"/>
      <c r="J10" s="278"/>
      <c r="K10" s="278"/>
      <c r="L10" s="278"/>
      <c r="M10" s="278"/>
      <c r="N10" s="278"/>
      <c r="O10" s="278"/>
      <c r="P10" s="278"/>
      <c r="Q10" s="278"/>
      <c r="R10" s="278"/>
      <c r="S10" s="278"/>
      <c r="T10" s="278"/>
      <c r="U10" s="278"/>
      <c r="V10" s="278"/>
      <c r="W10" s="278"/>
      <c r="X10" s="278"/>
      <c r="Y10" s="278"/>
      <c r="Z10" s="278"/>
    </row>
    <row r="11">
      <c r="A11" s="287" t="s">
        <v>89</v>
      </c>
      <c r="B11" s="279" t="s">
        <v>941</v>
      </c>
      <c r="C11" s="278"/>
      <c r="D11" s="278"/>
      <c r="E11" s="278"/>
      <c r="F11" s="278"/>
      <c r="G11" s="278"/>
      <c r="H11" s="278"/>
      <c r="I11" s="278"/>
      <c r="J11" s="278"/>
      <c r="K11" s="278"/>
      <c r="L11" s="278"/>
      <c r="M11" s="278"/>
      <c r="N11" s="278"/>
      <c r="O11" s="278"/>
      <c r="P11" s="278"/>
      <c r="Q11" s="278"/>
      <c r="R11" s="278"/>
      <c r="S11" s="278"/>
      <c r="T11" s="278"/>
      <c r="U11" s="278"/>
      <c r="V11" s="278"/>
      <c r="W11" s="278"/>
      <c r="X11" s="278"/>
      <c r="Y11" s="278"/>
      <c r="Z11" s="278"/>
    </row>
    <row r="12">
      <c r="A12" s="287" t="s">
        <v>699</v>
      </c>
      <c r="B12" s="290">
        <v>0.524</v>
      </c>
      <c r="C12" s="290">
        <v>0.498</v>
      </c>
      <c r="D12" s="290">
        <v>0.534</v>
      </c>
      <c r="E12" s="290">
        <v>0.486</v>
      </c>
      <c r="F12" s="290">
        <v>0.397</v>
      </c>
      <c r="G12" s="291">
        <f>AVERAGE(B12:F12)</f>
        <v>0.4878</v>
      </c>
      <c r="H12" s="278"/>
      <c r="I12" s="278"/>
      <c r="J12" s="278"/>
      <c r="K12" s="278"/>
      <c r="L12" s="278"/>
      <c r="M12" s="278"/>
      <c r="N12" s="278"/>
      <c r="O12" s="278"/>
      <c r="P12" s="278"/>
      <c r="Q12" s="278"/>
      <c r="R12" s="278"/>
      <c r="S12" s="278"/>
      <c r="T12" s="278"/>
      <c r="U12" s="278"/>
      <c r="V12" s="278"/>
      <c r="W12" s="278"/>
      <c r="X12" s="278"/>
      <c r="Y12" s="278"/>
      <c r="Z12" s="278"/>
    </row>
    <row r="13">
      <c r="A13" s="292"/>
    </row>
    <row r="15">
      <c r="A15" s="293" t="s">
        <v>852</v>
      </c>
      <c r="B15" s="294"/>
      <c r="C15" s="294"/>
      <c r="D15" s="294"/>
      <c r="E15" s="296" t="s">
        <v>765</v>
      </c>
      <c r="F15" s="297" t="s">
        <v>943</v>
      </c>
      <c r="G15" s="298"/>
      <c r="H15" s="298"/>
      <c r="I15" s="296" t="s">
        <v>767</v>
      </c>
      <c r="J15" s="299">
        <v>45462.0</v>
      </c>
      <c r="K15" s="296" t="s">
        <v>769</v>
      </c>
      <c r="L15" s="299">
        <v>45291.0</v>
      </c>
      <c r="M15" s="300"/>
    </row>
    <row r="17">
      <c r="A17" s="301" t="s">
        <v>944</v>
      </c>
      <c r="B17" s="302">
        <v>1486.0</v>
      </c>
      <c r="C17" s="303"/>
    </row>
    <row r="18">
      <c r="A18" s="301" t="s">
        <v>947</v>
      </c>
      <c r="B18" s="304"/>
    </row>
    <row r="19">
      <c r="A19" s="301" t="s">
        <v>948</v>
      </c>
      <c r="B19" s="304"/>
    </row>
    <row r="20">
      <c r="A20" s="301" t="s">
        <v>950</v>
      </c>
      <c r="B20" s="304"/>
    </row>
    <row r="21">
      <c r="A21" s="301" t="s">
        <v>951</v>
      </c>
      <c r="B21" s="304"/>
    </row>
    <row r="22">
      <c r="A22" s="301" t="s">
        <v>952</v>
      </c>
      <c r="B22" s="304"/>
    </row>
    <row r="23">
      <c r="A23" s="301" t="s">
        <v>953</v>
      </c>
      <c r="B23" s="304"/>
    </row>
    <row r="25">
      <c r="A25" s="306" t="s">
        <v>187</v>
      </c>
      <c r="B25" s="307" t="s">
        <v>187</v>
      </c>
      <c r="C25" s="310" t="str">
        <f t="shared" ref="C25:C26" si="2">B18</f>
        <v/>
      </c>
      <c r="D25" s="306" t="s">
        <v>323</v>
      </c>
      <c r="E25" s="312" t="str">
        <f t="shared" ref="E25:E54" si="3">CONCAT(C25,D25)</f>
        <v>*</v>
      </c>
    </row>
    <row r="26">
      <c r="A26" s="315" t="s">
        <v>194</v>
      </c>
      <c r="B26" s="316" t="s">
        <v>904</v>
      </c>
      <c r="C26" s="317" t="str">
        <f t="shared" si="2"/>
        <v/>
      </c>
      <c r="D26" s="318" t="s">
        <v>323</v>
      </c>
      <c r="E26" s="319" t="str">
        <f t="shared" si="3"/>
        <v>*</v>
      </c>
    </row>
    <row r="27">
      <c r="A27" s="320" t="s">
        <v>207</v>
      </c>
      <c r="B27" s="321" t="s">
        <v>904</v>
      </c>
      <c r="C27" s="322" t="str">
        <f t="shared" ref="C27:C32" si="4">$C$26</f>
        <v/>
      </c>
      <c r="D27" s="323" t="s">
        <v>323</v>
      </c>
      <c r="E27" s="322" t="str">
        <f t="shared" si="3"/>
        <v>*</v>
      </c>
    </row>
    <row r="28">
      <c r="A28" s="320" t="s">
        <v>208</v>
      </c>
      <c r="B28" s="321" t="s">
        <v>904</v>
      </c>
      <c r="C28" s="322" t="str">
        <f t="shared" si="4"/>
        <v/>
      </c>
      <c r="D28" s="323" t="s">
        <v>323</v>
      </c>
      <c r="E28" s="322" t="str">
        <f t="shared" si="3"/>
        <v>*</v>
      </c>
    </row>
    <row r="29">
      <c r="A29" s="320" t="s">
        <v>206</v>
      </c>
      <c r="B29" s="321" t="s">
        <v>904</v>
      </c>
      <c r="C29" s="322" t="str">
        <f t="shared" si="4"/>
        <v/>
      </c>
      <c r="D29" s="323" t="s">
        <v>323</v>
      </c>
      <c r="E29" s="322" t="str">
        <f t="shared" si="3"/>
        <v>*</v>
      </c>
    </row>
    <row r="30">
      <c r="A30" s="323" t="s">
        <v>216</v>
      </c>
      <c r="B30" s="321" t="s">
        <v>904</v>
      </c>
      <c r="C30" s="322" t="str">
        <f t="shared" si="4"/>
        <v/>
      </c>
      <c r="D30" s="323" t="s">
        <v>323</v>
      </c>
      <c r="E30" s="322" t="str">
        <f t="shared" si="3"/>
        <v>*</v>
      </c>
    </row>
    <row r="31">
      <c r="A31" s="323" t="s">
        <v>213</v>
      </c>
      <c r="B31" s="321" t="s">
        <v>904</v>
      </c>
      <c r="C31" s="322" t="str">
        <f t="shared" si="4"/>
        <v/>
      </c>
      <c r="D31" s="323" t="s">
        <v>323</v>
      </c>
      <c r="E31" s="322" t="str">
        <f t="shared" si="3"/>
        <v>*</v>
      </c>
    </row>
    <row r="32">
      <c r="A32" s="306" t="s">
        <v>192</v>
      </c>
      <c r="B32" s="307" t="s">
        <v>904</v>
      </c>
      <c r="C32" s="312" t="str">
        <f t="shared" si="4"/>
        <v/>
      </c>
      <c r="D32" s="324" t="s">
        <v>323</v>
      </c>
      <c r="E32" s="312" t="str">
        <f t="shared" si="3"/>
        <v>*</v>
      </c>
    </row>
    <row r="33">
      <c r="A33" s="315" t="s">
        <v>188</v>
      </c>
      <c r="B33" s="316" t="s">
        <v>934</v>
      </c>
      <c r="C33" s="317" t="str">
        <f>B22</f>
        <v/>
      </c>
      <c r="D33" s="318" t="s">
        <v>323</v>
      </c>
      <c r="E33" s="319" t="str">
        <f t="shared" si="3"/>
        <v>*</v>
      </c>
    </row>
    <row r="34">
      <c r="A34" s="324" t="s">
        <v>201</v>
      </c>
      <c r="B34" s="307" t="s">
        <v>934</v>
      </c>
      <c r="C34" s="312" t="str">
        <f>C33</f>
        <v/>
      </c>
      <c r="D34" s="324" t="s">
        <v>323</v>
      </c>
      <c r="E34" s="312" t="str">
        <f t="shared" si="3"/>
        <v>*</v>
      </c>
    </row>
    <row r="35">
      <c r="A35" s="315" t="s">
        <v>193</v>
      </c>
      <c r="B35" s="316" t="s">
        <v>911</v>
      </c>
      <c r="C35" s="317" t="str">
        <f>B20</f>
        <v/>
      </c>
      <c r="D35" s="318" t="s">
        <v>323</v>
      </c>
      <c r="E35" s="319" t="str">
        <f t="shared" si="3"/>
        <v>*</v>
      </c>
    </row>
    <row r="36">
      <c r="A36" s="320" t="s">
        <v>198</v>
      </c>
      <c r="B36" s="321" t="s">
        <v>911</v>
      </c>
      <c r="C36" s="322" t="str">
        <f t="shared" ref="C36:C44" si="5">$C$35</f>
        <v/>
      </c>
      <c r="D36" s="323" t="s">
        <v>323</v>
      </c>
      <c r="E36" s="322" t="str">
        <f t="shared" si="3"/>
        <v>*</v>
      </c>
    </row>
    <row r="37">
      <c r="A37" s="320" t="s">
        <v>200</v>
      </c>
      <c r="B37" s="321" t="s">
        <v>911</v>
      </c>
      <c r="C37" s="322" t="str">
        <f t="shared" si="5"/>
        <v/>
      </c>
      <c r="D37" s="323" t="s">
        <v>323</v>
      </c>
      <c r="E37" s="322" t="str">
        <f t="shared" si="3"/>
        <v>*</v>
      </c>
    </row>
    <row r="38">
      <c r="A38" s="320" t="s">
        <v>190</v>
      </c>
      <c r="B38" s="321" t="s">
        <v>911</v>
      </c>
      <c r="C38" s="322" t="str">
        <f t="shared" si="5"/>
        <v/>
      </c>
      <c r="D38" s="323" t="s">
        <v>323</v>
      </c>
      <c r="E38" s="322" t="str">
        <f t="shared" si="3"/>
        <v>*</v>
      </c>
    </row>
    <row r="39">
      <c r="A39" s="320" t="s">
        <v>191</v>
      </c>
      <c r="B39" s="321" t="s">
        <v>911</v>
      </c>
      <c r="C39" s="322" t="str">
        <f t="shared" si="5"/>
        <v/>
      </c>
      <c r="D39" s="323" t="s">
        <v>323</v>
      </c>
      <c r="E39" s="322" t="str">
        <f t="shared" si="3"/>
        <v>*</v>
      </c>
    </row>
    <row r="40">
      <c r="A40" s="323" t="s">
        <v>185</v>
      </c>
      <c r="B40" s="321" t="s">
        <v>911</v>
      </c>
      <c r="C40" s="322" t="str">
        <f t="shared" si="5"/>
        <v/>
      </c>
      <c r="D40" s="323" t="s">
        <v>323</v>
      </c>
      <c r="E40" s="322" t="str">
        <f t="shared" si="3"/>
        <v>*</v>
      </c>
    </row>
    <row r="41">
      <c r="A41" s="323" t="s">
        <v>186</v>
      </c>
      <c r="B41" s="321" t="s">
        <v>911</v>
      </c>
      <c r="C41" s="322" t="str">
        <f t="shared" si="5"/>
        <v/>
      </c>
      <c r="D41" s="323" t="s">
        <v>323</v>
      </c>
      <c r="E41" s="322" t="str">
        <f t="shared" si="3"/>
        <v>*</v>
      </c>
    </row>
    <row r="42">
      <c r="A42" s="323" t="s">
        <v>966</v>
      </c>
      <c r="B42" s="321" t="s">
        <v>911</v>
      </c>
      <c r="C42" s="322" t="str">
        <f t="shared" si="5"/>
        <v/>
      </c>
      <c r="D42" s="323" t="s">
        <v>323</v>
      </c>
      <c r="E42" s="322" t="str">
        <f t="shared" si="3"/>
        <v>*</v>
      </c>
    </row>
    <row r="43">
      <c r="A43" s="320" t="s">
        <v>189</v>
      </c>
      <c r="B43" s="321" t="s">
        <v>911</v>
      </c>
      <c r="C43" s="322" t="str">
        <f t="shared" si="5"/>
        <v/>
      </c>
      <c r="D43" s="323" t="s">
        <v>323</v>
      </c>
      <c r="E43" s="322" t="str">
        <f t="shared" si="3"/>
        <v>*</v>
      </c>
    </row>
    <row r="44">
      <c r="A44" s="324" t="s">
        <v>205</v>
      </c>
      <c r="B44" s="307" t="s">
        <v>911</v>
      </c>
      <c r="C44" s="312" t="str">
        <f t="shared" si="5"/>
        <v/>
      </c>
      <c r="D44" s="324" t="s">
        <v>323</v>
      </c>
      <c r="E44" s="312" t="str">
        <f t="shared" si="3"/>
        <v>*</v>
      </c>
    </row>
    <row r="45">
      <c r="A45" s="315" t="s">
        <v>197</v>
      </c>
      <c r="B45" s="316" t="s">
        <v>926</v>
      </c>
      <c r="C45" s="317" t="str">
        <f>B21</f>
        <v/>
      </c>
      <c r="D45" s="318" t="s">
        <v>323</v>
      </c>
      <c r="E45" s="319" t="str">
        <f t="shared" si="3"/>
        <v>*</v>
      </c>
    </row>
    <row r="46">
      <c r="A46" s="320" t="s">
        <v>211</v>
      </c>
      <c r="B46" s="321" t="s">
        <v>926</v>
      </c>
      <c r="C46" s="322" t="str">
        <f t="shared" ref="C46:C54" si="6">$C$45</f>
        <v/>
      </c>
      <c r="D46" s="323" t="s">
        <v>323</v>
      </c>
      <c r="E46" s="322" t="str">
        <f t="shared" si="3"/>
        <v>*</v>
      </c>
    </row>
    <row r="47">
      <c r="A47" s="320" t="s">
        <v>199</v>
      </c>
      <c r="B47" s="321" t="s">
        <v>926</v>
      </c>
      <c r="C47" s="322" t="str">
        <f t="shared" si="6"/>
        <v/>
      </c>
      <c r="D47" s="323" t="s">
        <v>323</v>
      </c>
      <c r="E47" s="322" t="str">
        <f t="shared" si="3"/>
        <v>*</v>
      </c>
    </row>
    <row r="48">
      <c r="A48" s="320" t="s">
        <v>209</v>
      </c>
      <c r="B48" s="321" t="s">
        <v>926</v>
      </c>
      <c r="C48" s="322" t="str">
        <f t="shared" si="6"/>
        <v/>
      </c>
      <c r="D48" s="323" t="s">
        <v>323</v>
      </c>
      <c r="E48" s="322" t="str">
        <f t="shared" si="3"/>
        <v>*</v>
      </c>
    </row>
    <row r="49">
      <c r="A49" s="323" t="s">
        <v>972</v>
      </c>
      <c r="B49" s="321" t="s">
        <v>926</v>
      </c>
      <c r="C49" s="322" t="str">
        <f t="shared" si="6"/>
        <v/>
      </c>
      <c r="D49" s="323" t="s">
        <v>323</v>
      </c>
      <c r="E49" s="322" t="str">
        <f t="shared" si="3"/>
        <v>*</v>
      </c>
    </row>
    <row r="50">
      <c r="A50" s="323" t="s">
        <v>215</v>
      </c>
      <c r="B50" s="321" t="s">
        <v>926</v>
      </c>
      <c r="C50" s="322" t="str">
        <f t="shared" si="6"/>
        <v/>
      </c>
      <c r="D50" s="323" t="s">
        <v>323</v>
      </c>
      <c r="E50" s="322" t="str">
        <f t="shared" si="3"/>
        <v>*</v>
      </c>
    </row>
    <row r="51">
      <c r="A51" s="323" t="s">
        <v>212</v>
      </c>
      <c r="B51" s="321" t="s">
        <v>926</v>
      </c>
      <c r="C51" s="322" t="str">
        <f t="shared" si="6"/>
        <v/>
      </c>
      <c r="D51" s="323" t="s">
        <v>323</v>
      </c>
      <c r="E51" s="322" t="str">
        <f t="shared" si="3"/>
        <v>*</v>
      </c>
    </row>
    <row r="52">
      <c r="A52" s="323" t="s">
        <v>214</v>
      </c>
      <c r="B52" s="321" t="s">
        <v>926</v>
      </c>
      <c r="C52" s="322" t="str">
        <f t="shared" si="6"/>
        <v/>
      </c>
      <c r="D52" s="323" t="s">
        <v>323</v>
      </c>
      <c r="E52" s="322" t="str">
        <f t="shared" si="3"/>
        <v>*</v>
      </c>
    </row>
    <row r="53">
      <c r="A53" s="323" t="s">
        <v>196</v>
      </c>
      <c r="B53" s="321" t="s">
        <v>926</v>
      </c>
      <c r="C53" s="322" t="str">
        <f t="shared" si="6"/>
        <v/>
      </c>
      <c r="D53" s="323" t="s">
        <v>323</v>
      </c>
      <c r="E53" s="322" t="str">
        <f t="shared" si="3"/>
        <v>*</v>
      </c>
    </row>
    <row r="54">
      <c r="A54" s="306" t="s">
        <v>195</v>
      </c>
      <c r="B54" s="307" t="s">
        <v>926</v>
      </c>
      <c r="C54" s="312" t="str">
        <f t="shared" si="6"/>
        <v/>
      </c>
      <c r="D54" s="324" t="s">
        <v>323</v>
      </c>
      <c r="E54" s="312" t="str">
        <f t="shared" si="3"/>
        <v>*</v>
      </c>
    </row>
    <row r="55">
      <c r="A55" s="328" t="s">
        <v>923</v>
      </c>
      <c r="B55" s="330"/>
      <c r="C55" s="331">
        <f>B17</f>
        <v>1486</v>
      </c>
      <c r="D55" s="332"/>
      <c r="E55" s="332"/>
    </row>
  </sheetData>
  <mergeCells count="1">
    <mergeCell ref="F15:H15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2" max="11" width="10.75"/>
    <col customWidth="1" min="12" max="12" width="12.88"/>
    <col customWidth="1" min="13" max="17" width="10.75"/>
  </cols>
  <sheetData>
    <row r="1">
      <c r="A1" s="167"/>
      <c r="B1" s="168" t="s">
        <v>33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</row>
    <row r="2">
      <c r="A2" s="169" t="s">
        <v>172</v>
      </c>
      <c r="B2" s="170" t="s">
        <v>174</v>
      </c>
      <c r="C2" s="171" t="s">
        <v>693</v>
      </c>
      <c r="D2" s="172" t="s">
        <v>694</v>
      </c>
      <c r="E2" s="172" t="s">
        <v>695</v>
      </c>
      <c r="F2" s="172" t="s">
        <v>179</v>
      </c>
      <c r="G2" s="172" t="s">
        <v>696</v>
      </c>
      <c r="H2" s="173" t="s">
        <v>697</v>
      </c>
      <c r="I2" s="174" t="s">
        <v>84</v>
      </c>
      <c r="J2" s="170" t="s">
        <v>698</v>
      </c>
      <c r="K2" s="175" t="s">
        <v>699</v>
      </c>
      <c r="L2" s="173" t="s">
        <v>89</v>
      </c>
      <c r="M2" s="176" t="s">
        <v>700</v>
      </c>
      <c r="N2" s="177" t="s">
        <v>701</v>
      </c>
      <c r="O2" s="177" t="s">
        <v>702</v>
      </c>
      <c r="P2" s="178" t="s">
        <v>90</v>
      </c>
      <c r="Q2" s="325" t="s">
        <v>703</v>
      </c>
    </row>
    <row r="3">
      <c r="A3" s="326" t="s">
        <v>220</v>
      </c>
      <c r="B3" s="251">
        <f t="array" ref="B3">VLOOKUP($A3,AZ_DEMO,2,FALSE)</f>
        <v>66021</v>
      </c>
      <c r="C3" s="327">
        <f>VLOOKUP($A3,'AZ Data'!$A$24:$B$38,2,FALSE)</f>
        <v>26</v>
      </c>
      <c r="D3" s="253" t="s">
        <v>63</v>
      </c>
      <c r="E3" s="253" t="s">
        <v>63</v>
      </c>
      <c r="F3" s="253" t="s">
        <v>63</v>
      </c>
      <c r="G3" s="253" t="s">
        <v>63</v>
      </c>
      <c r="H3" s="254" t="s">
        <v>63</v>
      </c>
      <c r="I3" s="255" t="s">
        <v>63</v>
      </c>
      <c r="J3" s="256" t="s">
        <v>63</v>
      </c>
      <c r="K3" s="274" t="s">
        <v>63</v>
      </c>
      <c r="L3" s="254" t="s">
        <v>63</v>
      </c>
      <c r="M3" s="258" t="s">
        <v>63</v>
      </c>
      <c r="N3" s="253" t="s">
        <v>63</v>
      </c>
      <c r="O3" s="253" t="s">
        <v>63</v>
      </c>
      <c r="P3" s="261">
        <f>ifna(vlookup(A3,'Population &amp; Church Numbers'!$A$99:$D$113,4,FALSE),"NULL")</f>
        <v>48</v>
      </c>
      <c r="Q3" s="329" t="s">
        <v>63</v>
      </c>
    </row>
    <row r="4">
      <c r="A4" s="188" t="s">
        <v>221</v>
      </c>
      <c r="B4" s="189">
        <f t="array" ref="B4">VLOOKUP($A4,AZ_DEMO,2,FALSE)</f>
        <v>125447</v>
      </c>
      <c r="C4" s="333">
        <f>VLOOKUP($A4,'AZ Data'!$A$24:$B$38,2,FALSE)</f>
        <v>215</v>
      </c>
      <c r="D4" s="265" t="s">
        <v>63</v>
      </c>
      <c r="E4" s="265" t="s">
        <v>63</v>
      </c>
      <c r="F4" s="265" t="s">
        <v>63</v>
      </c>
      <c r="G4" s="265" t="s">
        <v>63</v>
      </c>
      <c r="H4" s="266" t="s">
        <v>63</v>
      </c>
      <c r="I4" s="267" t="s">
        <v>63</v>
      </c>
      <c r="J4" s="268" t="s">
        <v>63</v>
      </c>
      <c r="K4" s="284" t="s">
        <v>63</v>
      </c>
      <c r="L4" s="266" t="s">
        <v>63</v>
      </c>
      <c r="M4" s="267" t="s">
        <v>63</v>
      </c>
      <c r="N4" s="265" t="s">
        <v>63</v>
      </c>
      <c r="O4" s="265" t="s">
        <v>63</v>
      </c>
      <c r="P4" s="272">
        <f>ifna(vlookup(A4,'Population &amp; Church Numbers'!$A$99:$D$113,4,FALSE),"NULL")</f>
        <v>129</v>
      </c>
      <c r="Q4" s="334" t="s">
        <v>63</v>
      </c>
    </row>
    <row r="5">
      <c r="A5" s="326" t="s">
        <v>222</v>
      </c>
      <c r="B5" s="251">
        <f t="array" ref="B5">VLOOKUP($A5,AZ_DEMO,2,FALSE)</f>
        <v>145101</v>
      </c>
      <c r="C5" s="327">
        <f>VLOOKUP($A5,'AZ Data'!$A$24:$B$38,2,FALSE)</f>
        <v>120</v>
      </c>
      <c r="D5" s="253" t="s">
        <v>63</v>
      </c>
      <c r="E5" s="253" t="s">
        <v>63</v>
      </c>
      <c r="F5" s="253" t="s">
        <v>63</v>
      </c>
      <c r="G5" s="253" t="s">
        <v>63</v>
      </c>
      <c r="H5" s="254" t="s">
        <v>63</v>
      </c>
      <c r="I5" s="255" t="s">
        <v>63</v>
      </c>
      <c r="J5" s="256" t="s">
        <v>63</v>
      </c>
      <c r="K5" s="274" t="s">
        <v>63</v>
      </c>
      <c r="L5" s="254" t="s">
        <v>63</v>
      </c>
      <c r="M5" s="255" t="s">
        <v>63</v>
      </c>
      <c r="N5" s="253" t="s">
        <v>63</v>
      </c>
      <c r="O5" s="253" t="s">
        <v>63</v>
      </c>
      <c r="P5" s="261">
        <f>ifna(vlookup(A5,'Population &amp; Church Numbers'!$A$99:$D$113,4,FALSE),"NULL")</f>
        <v>76</v>
      </c>
      <c r="Q5" s="329" t="s">
        <v>63</v>
      </c>
    </row>
    <row r="6">
      <c r="A6" s="188" t="s">
        <v>223</v>
      </c>
      <c r="B6" s="189">
        <f t="array" ref="B6">VLOOKUP($A6,AZ_DEMO,2,FALSE)</f>
        <v>53272</v>
      </c>
      <c r="C6" s="333">
        <f>VLOOKUP($A6,'AZ Data'!$A$24:$B$38,2,FALSE)</f>
        <v>99</v>
      </c>
      <c r="D6" s="265" t="s">
        <v>63</v>
      </c>
      <c r="E6" s="265" t="s">
        <v>63</v>
      </c>
      <c r="F6" s="265" t="s">
        <v>63</v>
      </c>
      <c r="G6" s="265" t="s">
        <v>63</v>
      </c>
      <c r="H6" s="266" t="s">
        <v>63</v>
      </c>
      <c r="I6" s="267" t="s">
        <v>63</v>
      </c>
      <c r="J6" s="268" t="s">
        <v>63</v>
      </c>
      <c r="K6" s="284" t="s">
        <v>63</v>
      </c>
      <c r="L6" s="266" t="s">
        <v>63</v>
      </c>
      <c r="M6" s="267" t="s">
        <v>63</v>
      </c>
      <c r="N6" s="265" t="s">
        <v>63</v>
      </c>
      <c r="O6" s="265" t="s">
        <v>63</v>
      </c>
      <c r="P6" s="272">
        <f>ifna(vlookup(A6,'Population &amp; Church Numbers'!$A$99:$D$113,4,FALSE),"NULL")</f>
        <v>62</v>
      </c>
      <c r="Q6" s="334" t="s">
        <v>63</v>
      </c>
    </row>
    <row r="7">
      <c r="A7" s="326" t="s">
        <v>224</v>
      </c>
      <c r="B7" s="251">
        <f t="array" ref="B7">VLOOKUP($A7,AZ_DEMO,2,FALSE)</f>
        <v>38533</v>
      </c>
      <c r="C7" s="327">
        <f>VLOOKUP($A7,'AZ Data'!$A$24:$B$38,2,FALSE)</f>
        <v>43</v>
      </c>
      <c r="D7" s="253" t="s">
        <v>63</v>
      </c>
      <c r="E7" s="253" t="s">
        <v>63</v>
      </c>
      <c r="F7" s="253" t="s">
        <v>63</v>
      </c>
      <c r="G7" s="253" t="s">
        <v>63</v>
      </c>
      <c r="H7" s="254" t="s">
        <v>63</v>
      </c>
      <c r="I7" s="255" t="s">
        <v>63</v>
      </c>
      <c r="J7" s="256" t="s">
        <v>63</v>
      </c>
      <c r="K7" s="274" t="s">
        <v>63</v>
      </c>
      <c r="L7" s="254" t="s">
        <v>63</v>
      </c>
      <c r="M7" s="255" t="s">
        <v>63</v>
      </c>
      <c r="N7" s="253" t="s">
        <v>63</v>
      </c>
      <c r="O7" s="253" t="s">
        <v>63</v>
      </c>
      <c r="P7" s="261">
        <f>ifna(vlookup(A7,'Population &amp; Church Numbers'!$A$99:$D$113,4,FALSE),"NULL")</f>
        <v>24</v>
      </c>
      <c r="Q7" s="329" t="s">
        <v>63</v>
      </c>
    </row>
    <row r="8">
      <c r="A8" s="188" t="s">
        <v>226</v>
      </c>
      <c r="B8" s="189">
        <f t="array" ref="B8">VLOOKUP($A8,AZ_DEMO,2,FALSE)</f>
        <v>9563</v>
      </c>
      <c r="C8" s="333">
        <f>VLOOKUP($A8,'AZ Data'!$A$24:$B$38,2,FALSE)</f>
        <v>7</v>
      </c>
      <c r="D8" s="265" t="s">
        <v>63</v>
      </c>
      <c r="E8" s="265" t="s">
        <v>63</v>
      </c>
      <c r="F8" s="265" t="s">
        <v>63</v>
      </c>
      <c r="G8" s="265" t="s">
        <v>63</v>
      </c>
      <c r="H8" s="266" t="s">
        <v>63</v>
      </c>
      <c r="I8" s="267" t="s">
        <v>63</v>
      </c>
      <c r="J8" s="268" t="s">
        <v>63</v>
      </c>
      <c r="K8" s="284" t="s">
        <v>63</v>
      </c>
      <c r="L8" s="266" t="s">
        <v>63</v>
      </c>
      <c r="M8" s="267" t="s">
        <v>63</v>
      </c>
      <c r="N8" s="265" t="s">
        <v>63</v>
      </c>
      <c r="O8" s="265" t="s">
        <v>63</v>
      </c>
      <c r="P8" s="272">
        <f>ifna(vlookup(A8,'Population &amp; Church Numbers'!$A$99:$D$113,4,FALSE),"NULL")</f>
        <v>7</v>
      </c>
      <c r="Q8" s="334" t="s">
        <v>63</v>
      </c>
    </row>
    <row r="9">
      <c r="A9" s="326" t="s">
        <v>227</v>
      </c>
      <c r="B9" s="251">
        <f t="array" ref="B9">VLOOKUP($A9,AZ_DEMO,2,FALSE)</f>
        <v>16557</v>
      </c>
      <c r="C9" s="327">
        <f>VLOOKUP($A9,'AZ Data'!$A$24:$B$38,2,FALSE)</f>
        <v>18</v>
      </c>
      <c r="D9" s="253" t="s">
        <v>63</v>
      </c>
      <c r="E9" s="253" t="s">
        <v>63</v>
      </c>
      <c r="F9" s="253" t="s">
        <v>63</v>
      </c>
      <c r="G9" s="253" t="s">
        <v>63</v>
      </c>
      <c r="H9" s="254" t="s">
        <v>63</v>
      </c>
      <c r="I9" s="255" t="s">
        <v>63</v>
      </c>
      <c r="J9" s="256" t="s">
        <v>63</v>
      </c>
      <c r="K9" s="274" t="s">
        <v>63</v>
      </c>
      <c r="L9" s="254" t="s">
        <v>63</v>
      </c>
      <c r="M9" s="255" t="s">
        <v>63</v>
      </c>
      <c r="N9" s="253" t="s">
        <v>63</v>
      </c>
      <c r="O9" s="253" t="s">
        <v>63</v>
      </c>
      <c r="P9" s="261">
        <f>ifna(vlookup(A9,'Population &amp; Church Numbers'!$A$99:$D$113,4,FALSE),"NULL")</f>
        <v>25</v>
      </c>
      <c r="Q9" s="329" t="s">
        <v>63</v>
      </c>
    </row>
    <row r="10">
      <c r="A10" s="188" t="s">
        <v>225</v>
      </c>
      <c r="B10" s="189">
        <f t="array" ref="B10">VLOOKUP($A10,AZ_DEMO,2,FALSE)</f>
        <v>4420568</v>
      </c>
      <c r="C10" s="335">
        <f>VLOOKUP($A10,'AZ Data'!$A$24:$B$38,2,FALSE)</f>
        <v>5184</v>
      </c>
      <c r="D10" s="265" t="s">
        <v>63</v>
      </c>
      <c r="E10" s="265" t="s">
        <v>63</v>
      </c>
      <c r="F10" s="265" t="s">
        <v>63</v>
      </c>
      <c r="G10" s="265" t="s">
        <v>63</v>
      </c>
      <c r="H10" s="266" t="s">
        <v>63</v>
      </c>
      <c r="I10" s="267" t="s">
        <v>63</v>
      </c>
      <c r="J10" s="268" t="s">
        <v>63</v>
      </c>
      <c r="K10" s="284" t="s">
        <v>63</v>
      </c>
      <c r="L10" s="266" t="s">
        <v>63</v>
      </c>
      <c r="M10" s="267" t="s">
        <v>63</v>
      </c>
      <c r="N10" s="265" t="s">
        <v>63</v>
      </c>
      <c r="O10" s="265" t="s">
        <v>63</v>
      </c>
      <c r="P10" s="272">
        <f>ifna(vlookup(A10,'Population &amp; Church Numbers'!$A$99:$D$113,4,FALSE),"NULL")</f>
        <v>1166</v>
      </c>
      <c r="Q10" s="334" t="s">
        <v>63</v>
      </c>
    </row>
    <row r="11">
      <c r="A11" s="326" t="s">
        <v>228</v>
      </c>
      <c r="B11" s="251">
        <f t="array" ref="B11">VLOOKUP($A11,AZ_DEMO,2,FALSE)</f>
        <v>213267</v>
      </c>
      <c r="C11" s="336">
        <f>VLOOKUP($A11,'AZ Data'!$A$24:$B$38,2,FALSE)</f>
        <v>305</v>
      </c>
      <c r="D11" s="253" t="s">
        <v>63</v>
      </c>
      <c r="E11" s="253" t="s">
        <v>63</v>
      </c>
      <c r="F11" s="253" t="s">
        <v>63</v>
      </c>
      <c r="G11" s="253" t="s">
        <v>63</v>
      </c>
      <c r="H11" s="254" t="s">
        <v>63</v>
      </c>
      <c r="I11" s="255" t="s">
        <v>63</v>
      </c>
      <c r="J11" s="256" t="s">
        <v>63</v>
      </c>
      <c r="K11" s="274" t="s">
        <v>63</v>
      </c>
      <c r="L11" s="254" t="s">
        <v>63</v>
      </c>
      <c r="M11" s="255" t="s">
        <v>63</v>
      </c>
      <c r="N11" s="253" t="s">
        <v>63</v>
      </c>
      <c r="O11" s="253" t="s">
        <v>63</v>
      </c>
      <c r="P11" s="261">
        <f>ifna(vlookup(A11,'Population &amp; Church Numbers'!$A$99:$D$113,4,FALSE),"NULL")</f>
        <v>104</v>
      </c>
      <c r="Q11" s="329" t="s">
        <v>63</v>
      </c>
    </row>
    <row r="12">
      <c r="A12" s="188" t="s">
        <v>229</v>
      </c>
      <c r="B12" s="189">
        <f t="array" ref="B12">VLOOKUP($A12,AZ_DEMO,2,FALSE)</f>
        <v>106717</v>
      </c>
      <c r="C12" s="335">
        <f>VLOOKUP($A12,'AZ Data'!$A$24:$B$38,2,FALSE)</f>
        <v>101</v>
      </c>
      <c r="D12" s="265" t="s">
        <v>63</v>
      </c>
      <c r="E12" s="265" t="s">
        <v>63</v>
      </c>
      <c r="F12" s="265" t="s">
        <v>63</v>
      </c>
      <c r="G12" s="265" t="s">
        <v>63</v>
      </c>
      <c r="H12" s="266" t="s">
        <v>63</v>
      </c>
      <c r="I12" s="267" t="s">
        <v>63</v>
      </c>
      <c r="J12" s="268" t="s">
        <v>63</v>
      </c>
      <c r="K12" s="284" t="s">
        <v>63</v>
      </c>
      <c r="L12" s="266" t="s">
        <v>63</v>
      </c>
      <c r="M12" s="267" t="s">
        <v>63</v>
      </c>
      <c r="N12" s="265" t="s">
        <v>63</v>
      </c>
      <c r="O12" s="265" t="s">
        <v>63</v>
      </c>
      <c r="P12" s="272">
        <f>ifna(vlookup(A12,'Population &amp; Church Numbers'!$A$99:$D$113,4,FALSE),"NULL")</f>
        <v>81</v>
      </c>
      <c r="Q12" s="334" t="s">
        <v>63</v>
      </c>
    </row>
    <row r="13">
      <c r="A13" s="326" t="s">
        <v>230</v>
      </c>
      <c r="B13" s="251">
        <f t="array" ref="B13">VLOOKUP($A13,AZ_DEMO,2,FALSE)</f>
        <v>1043433</v>
      </c>
      <c r="C13" s="336">
        <f>VLOOKUP($A13,'AZ Data'!$A$24:$B$38,2,FALSE)</f>
        <v>1744</v>
      </c>
      <c r="D13" s="253" t="s">
        <v>63</v>
      </c>
      <c r="E13" s="253" t="s">
        <v>63</v>
      </c>
      <c r="F13" s="253" t="s">
        <v>63</v>
      </c>
      <c r="G13" s="253" t="s">
        <v>63</v>
      </c>
      <c r="H13" s="254" t="s">
        <v>63</v>
      </c>
      <c r="I13" s="255" t="s">
        <v>63</v>
      </c>
      <c r="J13" s="256" t="s">
        <v>63</v>
      </c>
      <c r="K13" s="274" t="s">
        <v>63</v>
      </c>
      <c r="L13" s="254" t="s">
        <v>63</v>
      </c>
      <c r="M13" s="255" t="s">
        <v>63</v>
      </c>
      <c r="N13" s="253" t="s">
        <v>63</v>
      </c>
      <c r="O13" s="253" t="s">
        <v>63</v>
      </c>
      <c r="P13" s="261">
        <f>ifna(vlookup(A13,'Population &amp; Church Numbers'!$A$99:$D$113,4,FALSE),"NULL")</f>
        <v>404</v>
      </c>
      <c r="Q13" s="329" t="s">
        <v>63</v>
      </c>
    </row>
    <row r="14">
      <c r="A14" s="188" t="s">
        <v>231</v>
      </c>
      <c r="B14" s="189">
        <f t="array" ref="B14">VLOOKUP($A14,AZ_DEMO,2,FALSE)</f>
        <v>425264</v>
      </c>
      <c r="C14" s="335">
        <f>VLOOKUP($A14,'AZ Data'!$A$24:$B$38,2,FALSE)</f>
        <v>501</v>
      </c>
      <c r="D14" s="265" t="s">
        <v>63</v>
      </c>
      <c r="E14" s="265" t="s">
        <v>63</v>
      </c>
      <c r="F14" s="265" t="s">
        <v>63</v>
      </c>
      <c r="G14" s="265" t="s">
        <v>63</v>
      </c>
      <c r="H14" s="266" t="s">
        <v>63</v>
      </c>
      <c r="I14" s="267" t="s">
        <v>63</v>
      </c>
      <c r="J14" s="268" t="s">
        <v>63</v>
      </c>
      <c r="K14" s="284" t="s">
        <v>63</v>
      </c>
      <c r="L14" s="266" t="s">
        <v>63</v>
      </c>
      <c r="M14" s="267" t="s">
        <v>63</v>
      </c>
      <c r="N14" s="265" t="s">
        <v>63</v>
      </c>
      <c r="O14" s="265" t="s">
        <v>63</v>
      </c>
      <c r="P14" s="272">
        <f>ifna(vlookup(A14,'Population &amp; Church Numbers'!$A$99:$D$113,4,FALSE),"NULL")</f>
        <v>131</v>
      </c>
      <c r="Q14" s="334" t="s">
        <v>63</v>
      </c>
    </row>
    <row r="15">
      <c r="A15" s="326" t="s">
        <v>232</v>
      </c>
      <c r="B15" s="251">
        <f t="array" ref="B15">VLOOKUP($A15,AZ_DEMO,2,FALSE)</f>
        <v>47669</v>
      </c>
      <c r="C15" s="336">
        <f>VLOOKUP($A15,'AZ Data'!$A$24:$B$38,2,FALSE)</f>
        <v>73</v>
      </c>
      <c r="D15" s="253" t="s">
        <v>63</v>
      </c>
      <c r="E15" s="253" t="s">
        <v>63</v>
      </c>
      <c r="F15" s="253" t="s">
        <v>63</v>
      </c>
      <c r="G15" s="253" t="s">
        <v>63</v>
      </c>
      <c r="H15" s="254" t="s">
        <v>63</v>
      </c>
      <c r="I15" s="255" t="s">
        <v>63</v>
      </c>
      <c r="J15" s="256" t="s">
        <v>63</v>
      </c>
      <c r="K15" s="274" t="s">
        <v>63</v>
      </c>
      <c r="L15" s="254" t="s">
        <v>63</v>
      </c>
      <c r="M15" s="255" t="s">
        <v>63</v>
      </c>
      <c r="N15" s="253" t="s">
        <v>63</v>
      </c>
      <c r="O15" s="253" t="s">
        <v>63</v>
      </c>
      <c r="P15" s="261">
        <f>ifna(vlookup(A15,'Population &amp; Church Numbers'!$A$99:$D$113,4,FALSE),"NULL")</f>
        <v>19</v>
      </c>
      <c r="Q15" s="329" t="s">
        <v>63</v>
      </c>
    </row>
    <row r="16">
      <c r="A16" s="188" t="s">
        <v>234</v>
      </c>
      <c r="B16" s="189">
        <f t="array" ref="B16">VLOOKUP($A16,AZ_DEMO,2,FALSE)</f>
        <v>236209</v>
      </c>
      <c r="C16" s="333">
        <f>VLOOKUP($A16,'AZ Data'!$A$24:$B$38,2,FALSE)</f>
        <v>231</v>
      </c>
      <c r="D16" s="265" t="s">
        <v>63</v>
      </c>
      <c r="E16" s="265" t="s">
        <v>63</v>
      </c>
      <c r="F16" s="265" t="s">
        <v>63</v>
      </c>
      <c r="G16" s="265" t="s">
        <v>63</v>
      </c>
      <c r="H16" s="266" t="s">
        <v>63</v>
      </c>
      <c r="I16" s="267" t="s">
        <v>63</v>
      </c>
      <c r="J16" s="268" t="s">
        <v>63</v>
      </c>
      <c r="K16" s="284" t="s">
        <v>63</v>
      </c>
      <c r="L16" s="266" t="s">
        <v>63</v>
      </c>
      <c r="M16" s="267" t="s">
        <v>63</v>
      </c>
      <c r="N16" s="265" t="s">
        <v>63</v>
      </c>
      <c r="O16" s="265" t="s">
        <v>63</v>
      </c>
      <c r="P16" s="272">
        <f>ifna(vlookup(A16,'Population &amp; Church Numbers'!$A$99:$D$113,4,FALSE),"NULL")</f>
        <v>161</v>
      </c>
      <c r="Q16" s="334" t="s">
        <v>63</v>
      </c>
    </row>
    <row r="17">
      <c r="A17" s="326" t="s">
        <v>236</v>
      </c>
      <c r="B17" s="251">
        <f t="array" ref="B17">VLOOKUP($A17,AZ_DEMO,2,FALSE)</f>
        <v>203881</v>
      </c>
      <c r="C17" s="327">
        <f>VLOOKUP($A17,'AZ Data'!$A$24:$B$38,2,FALSE)</f>
        <v>169</v>
      </c>
      <c r="D17" s="253" t="s">
        <v>63</v>
      </c>
      <c r="E17" s="253" t="s">
        <v>63</v>
      </c>
      <c r="F17" s="253" t="s">
        <v>63</v>
      </c>
      <c r="G17" s="253" t="s">
        <v>63</v>
      </c>
      <c r="H17" s="254" t="s">
        <v>63</v>
      </c>
      <c r="I17" s="255" t="s">
        <v>63</v>
      </c>
      <c r="J17" s="256" t="s">
        <v>63</v>
      </c>
      <c r="K17" s="274" t="s">
        <v>63</v>
      </c>
      <c r="L17" s="254" t="s">
        <v>63</v>
      </c>
      <c r="M17" s="255" t="s">
        <v>63</v>
      </c>
      <c r="N17" s="253" t="s">
        <v>63</v>
      </c>
      <c r="O17" s="253" t="s">
        <v>63</v>
      </c>
      <c r="P17" s="261">
        <f>ifna(vlookup(A17,'Population &amp; Church Numbers'!$A$99:$D$113,4,FALSE),"NULL")</f>
        <v>70</v>
      </c>
      <c r="Q17" s="329" t="s">
        <v>63</v>
      </c>
    </row>
    <row r="18">
      <c r="A18" s="217"/>
      <c r="B18" s="218"/>
      <c r="C18" s="219"/>
      <c r="D18" s="220"/>
      <c r="E18" s="220"/>
      <c r="F18" s="220"/>
      <c r="G18" s="220"/>
      <c r="H18" s="221"/>
      <c r="I18" s="222"/>
      <c r="J18" s="223"/>
      <c r="K18" s="219"/>
      <c r="L18" s="224"/>
      <c r="M18" s="225"/>
      <c r="N18" s="226"/>
      <c r="O18" s="220"/>
      <c r="P18" s="221"/>
      <c r="Q18" s="295"/>
    </row>
    <row r="19">
      <c r="A19" s="228" t="s">
        <v>2</v>
      </c>
      <c r="B19" s="229"/>
      <c r="C19" s="230">
        <f>'AZ Data'!B5</f>
        <v>8839</v>
      </c>
      <c r="D19" s="311" t="s">
        <v>63</v>
      </c>
      <c r="E19" s="311" t="s">
        <v>63</v>
      </c>
      <c r="F19" s="311" t="s">
        <v>63</v>
      </c>
      <c r="G19" s="311" t="s">
        <v>63</v>
      </c>
      <c r="H19" s="233">
        <f>'AZ Data'!C62</f>
        <v>2170</v>
      </c>
      <c r="I19" s="234">
        <f>'AZ Data'!E67</f>
        <v>1606</v>
      </c>
      <c r="J19" s="235" t="s">
        <v>63</v>
      </c>
      <c r="K19" s="236" t="s">
        <v>63</v>
      </c>
      <c r="L19" s="359" t="s">
        <v>63</v>
      </c>
      <c r="M19" s="360" t="s">
        <v>63</v>
      </c>
      <c r="N19" s="311" t="s">
        <v>63</v>
      </c>
      <c r="O19" s="311" t="s">
        <v>63</v>
      </c>
      <c r="P19" s="233">
        <f>SUM(P3:P17)</f>
        <v>2507</v>
      </c>
      <c r="Q19" s="361" t="s">
        <v>63</v>
      </c>
    </row>
  </sheetData>
  <autoFilter ref="$A$2:$Q$17"/>
  <mergeCells count="1">
    <mergeCell ref="B1:Q1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9" max="9" width="31.0"/>
    <col customWidth="1" min="11" max="11" width="16.38"/>
  </cols>
  <sheetData>
    <row r="1">
      <c r="A1" s="337" t="s">
        <v>1040</v>
      </c>
      <c r="B1" s="338"/>
      <c r="C1" s="338"/>
      <c r="D1" s="338"/>
      <c r="E1" s="337" t="s">
        <v>765</v>
      </c>
      <c r="F1" s="337" t="s">
        <v>1042</v>
      </c>
      <c r="G1" s="338"/>
      <c r="H1" s="338"/>
      <c r="I1" s="337" t="s">
        <v>1043</v>
      </c>
      <c r="J1" s="339">
        <v>45442.0</v>
      </c>
      <c r="K1" s="337" t="s">
        <v>1044</v>
      </c>
      <c r="L1" s="339">
        <v>45382.0</v>
      </c>
      <c r="M1" s="338"/>
    </row>
    <row r="2">
      <c r="A2" s="1"/>
      <c r="B2" s="1"/>
      <c r="C2" s="1"/>
      <c r="D2" s="1"/>
      <c r="E2" s="1"/>
      <c r="F2" s="1"/>
      <c r="G2" s="1"/>
      <c r="H2" s="340"/>
      <c r="I2" s="340"/>
      <c r="J2" s="340"/>
      <c r="K2" s="340"/>
      <c r="L2" s="340"/>
      <c r="M2" s="340"/>
      <c r="N2" s="340"/>
      <c r="O2" s="340"/>
      <c r="P2" s="340"/>
    </row>
    <row r="3">
      <c r="B3" s="341"/>
      <c r="D3" s="341"/>
    </row>
    <row r="4">
      <c r="A4" s="342" t="s">
        <v>1047</v>
      </c>
      <c r="B4" s="343" t="s">
        <v>1048</v>
      </c>
      <c r="D4" s="344" t="s">
        <v>1050</v>
      </c>
      <c r="J4" s="10" t="s">
        <v>1051</v>
      </c>
      <c r="K4" s="10" t="s">
        <v>1052</v>
      </c>
    </row>
    <row r="5">
      <c r="A5" s="345" t="s">
        <v>1053</v>
      </c>
      <c r="B5" s="346">
        <v>8839.0</v>
      </c>
      <c r="D5" s="346">
        <v>937.0</v>
      </c>
      <c r="I5" s="347" t="s">
        <v>1054</v>
      </c>
      <c r="J5" s="208">
        <v>4252.0</v>
      </c>
      <c r="K5" s="206">
        <v>58.0</v>
      </c>
      <c r="M5" s="348" t="s">
        <v>1055</v>
      </c>
      <c r="N5" s="349"/>
    </row>
    <row r="6">
      <c r="A6" s="345" t="s">
        <v>1056</v>
      </c>
      <c r="B6" s="349"/>
      <c r="D6" s="350"/>
      <c r="I6" s="351" t="s">
        <v>1057</v>
      </c>
      <c r="J6" s="208">
        <v>2611.0</v>
      </c>
      <c r="K6" s="206">
        <v>36.0</v>
      </c>
      <c r="M6" s="348" t="s">
        <v>1058</v>
      </c>
      <c r="N6" s="349"/>
    </row>
    <row r="7">
      <c r="A7" s="345" t="s">
        <v>1059</v>
      </c>
      <c r="B7" s="346">
        <v>856.0</v>
      </c>
      <c r="D7" s="352"/>
      <c r="I7" s="351" t="s">
        <v>1057</v>
      </c>
      <c r="J7" s="208">
        <v>1383.0</v>
      </c>
      <c r="K7" s="206">
        <v>11.0</v>
      </c>
    </row>
    <row r="8">
      <c r="A8" s="345" t="s">
        <v>1061</v>
      </c>
      <c r="B8" s="346">
        <v>795.0</v>
      </c>
      <c r="D8" s="352"/>
      <c r="I8" s="351" t="s">
        <v>1062</v>
      </c>
      <c r="J8" s="206">
        <v>378.0</v>
      </c>
      <c r="K8" s="206">
        <v>1.0</v>
      </c>
    </row>
    <row r="9">
      <c r="A9" s="345" t="s">
        <v>1063</v>
      </c>
      <c r="B9" s="346">
        <v>1040.0</v>
      </c>
      <c r="D9" s="352"/>
      <c r="I9" s="351" t="s">
        <v>1064</v>
      </c>
      <c r="J9" s="206">
        <v>89.0</v>
      </c>
      <c r="K9" s="206">
        <v>0.0</v>
      </c>
    </row>
    <row r="10">
      <c r="A10" s="345" t="s">
        <v>1065</v>
      </c>
      <c r="B10" s="346">
        <v>890.0</v>
      </c>
      <c r="D10" s="352"/>
      <c r="I10" s="351" t="s">
        <v>1066</v>
      </c>
      <c r="J10" s="206">
        <v>26.0</v>
      </c>
      <c r="K10" s="206">
        <v>11.0</v>
      </c>
    </row>
    <row r="11">
      <c r="A11" s="345" t="s">
        <v>1067</v>
      </c>
      <c r="B11" s="346">
        <v>1241.0</v>
      </c>
      <c r="D11" s="352"/>
      <c r="I11" s="351" t="s">
        <v>1069</v>
      </c>
      <c r="J11" s="206">
        <v>645.0</v>
      </c>
      <c r="K11" s="206">
        <v>12.0</v>
      </c>
    </row>
    <row r="12">
      <c r="A12" s="345" t="s">
        <v>1070</v>
      </c>
      <c r="B12" s="346">
        <v>1454.0</v>
      </c>
      <c r="D12" s="352"/>
      <c r="I12" s="351" t="s">
        <v>1071</v>
      </c>
      <c r="J12" s="206">
        <v>90.0</v>
      </c>
      <c r="K12" s="206">
        <v>1.0</v>
      </c>
    </row>
    <row r="13">
      <c r="A13" s="345" t="s">
        <v>1073</v>
      </c>
      <c r="B13" s="346">
        <v>2563.0</v>
      </c>
      <c r="D13" s="353"/>
      <c r="I13" s="351" t="s">
        <v>1074</v>
      </c>
      <c r="J13" s="206">
        <v>691.0</v>
      </c>
      <c r="K13" s="206">
        <v>5.0</v>
      </c>
    </row>
    <row r="14">
      <c r="A14" s="345" t="s">
        <v>1076</v>
      </c>
      <c r="B14" s="354">
        <v>0.0</v>
      </c>
      <c r="D14" s="353"/>
      <c r="I14" s="347" t="s">
        <v>1077</v>
      </c>
      <c r="J14" s="208">
        <v>2173.0</v>
      </c>
      <c r="K14" s="206">
        <v>14.0</v>
      </c>
    </row>
    <row r="15">
      <c r="A15" s="345" t="s">
        <v>1079</v>
      </c>
      <c r="B15" s="355"/>
      <c r="D15" s="353"/>
      <c r="I15" s="351" t="s">
        <v>1080</v>
      </c>
      <c r="J15" s="206">
        <v>16.0</v>
      </c>
      <c r="K15" s="206">
        <v>0.0</v>
      </c>
    </row>
    <row r="16">
      <c r="A16" s="345" t="s">
        <v>1081</v>
      </c>
      <c r="B16" s="346">
        <v>1659.0</v>
      </c>
      <c r="D16" s="354">
        <v>199.0</v>
      </c>
      <c r="I16" s="351" t="s">
        <v>1082</v>
      </c>
      <c r="J16" s="206">
        <v>969.0</v>
      </c>
      <c r="K16" s="206">
        <v>168.0</v>
      </c>
    </row>
    <row r="17">
      <c r="A17" s="345" t="s">
        <v>1083</v>
      </c>
      <c r="B17" s="346">
        <v>993.0</v>
      </c>
      <c r="D17" s="354">
        <v>61.0</v>
      </c>
      <c r="I17" s="351" t="s">
        <v>1084</v>
      </c>
      <c r="J17" s="206">
        <v>677.0</v>
      </c>
      <c r="K17" s="206">
        <v>140.0</v>
      </c>
    </row>
    <row r="18">
      <c r="A18" s="345" t="s">
        <v>71</v>
      </c>
      <c r="B18" s="346">
        <v>105.0</v>
      </c>
      <c r="D18" s="354">
        <v>17.0</v>
      </c>
      <c r="I18" s="351" t="s">
        <v>1085</v>
      </c>
      <c r="J18" s="206">
        <v>1.0</v>
      </c>
      <c r="K18" s="206">
        <v>11.0</v>
      </c>
    </row>
    <row r="19">
      <c r="A19" s="345" t="s">
        <v>1086</v>
      </c>
      <c r="B19" s="346">
        <v>2968.0</v>
      </c>
      <c r="D19" s="354">
        <v>339.0</v>
      </c>
      <c r="I19" s="351" t="s">
        <v>1087</v>
      </c>
      <c r="J19" s="206">
        <v>194.0</v>
      </c>
      <c r="K19" s="206">
        <v>10.0</v>
      </c>
    </row>
    <row r="20">
      <c r="A20" s="345" t="s">
        <v>1089</v>
      </c>
      <c r="B20" s="346">
        <v>75.0</v>
      </c>
      <c r="D20" s="354">
        <v>1.0</v>
      </c>
      <c r="I20" s="351" t="s">
        <v>1090</v>
      </c>
      <c r="J20" s="206">
        <v>97.0</v>
      </c>
      <c r="K20" s="206">
        <v>7.0</v>
      </c>
    </row>
    <row r="21">
      <c r="A21" s="345" t="s">
        <v>1091</v>
      </c>
      <c r="B21" s="346">
        <v>3039.0</v>
      </c>
      <c r="D21" s="354">
        <v>320.0</v>
      </c>
      <c r="I21" s="351" t="s">
        <v>1092</v>
      </c>
      <c r="J21" s="206">
        <v>329.0</v>
      </c>
      <c r="K21" s="206">
        <v>4.0</v>
      </c>
    </row>
    <row r="22">
      <c r="A22" s="349"/>
      <c r="B22" s="355"/>
      <c r="D22" s="355"/>
      <c r="F22" s="10" t="s">
        <v>1093</v>
      </c>
      <c r="I22" s="351" t="s">
        <v>1094</v>
      </c>
      <c r="J22" s="206">
        <v>90.0</v>
      </c>
      <c r="K22" s="206">
        <v>1.0</v>
      </c>
    </row>
    <row r="23">
      <c r="A23" s="345" t="s">
        <v>1095</v>
      </c>
      <c r="B23" s="355"/>
      <c r="D23" s="355"/>
      <c r="F23" s="356"/>
      <c r="I23" s="351" t="s">
        <v>1096</v>
      </c>
      <c r="J23" s="206">
        <v>30.0</v>
      </c>
      <c r="K23" s="206">
        <v>2.0</v>
      </c>
    </row>
    <row r="24">
      <c r="A24" s="345" t="s">
        <v>220</v>
      </c>
      <c r="B24" s="354">
        <v>26.0</v>
      </c>
      <c r="D24" s="354">
        <v>4.0</v>
      </c>
      <c r="F24" s="357">
        <f t="shared" ref="F24:F38" si="1">B24+D24</f>
        <v>30</v>
      </c>
      <c r="I24" s="351" t="s">
        <v>1098</v>
      </c>
      <c r="J24" s="206">
        <v>209.0</v>
      </c>
      <c r="K24" s="206">
        <v>1.0</v>
      </c>
    </row>
    <row r="25">
      <c r="A25" s="345" t="s">
        <v>221</v>
      </c>
      <c r="B25" s="354">
        <v>215.0</v>
      </c>
      <c r="D25" s="354">
        <v>12.0</v>
      </c>
      <c r="F25" s="357">
        <f t="shared" si="1"/>
        <v>227</v>
      </c>
      <c r="I25" s="351" t="s">
        <v>1100</v>
      </c>
      <c r="J25" s="206">
        <v>231.0</v>
      </c>
      <c r="K25" s="358"/>
    </row>
    <row r="26">
      <c r="A26" s="345" t="s">
        <v>222</v>
      </c>
      <c r="B26" s="354">
        <v>120.0</v>
      </c>
      <c r="D26" s="354">
        <v>15.0</v>
      </c>
      <c r="F26" s="357">
        <f t="shared" si="1"/>
        <v>135</v>
      </c>
      <c r="I26" s="351" t="s">
        <v>1101</v>
      </c>
      <c r="J26" s="206">
        <v>65.0</v>
      </c>
      <c r="K26" s="206">
        <v>0.0</v>
      </c>
    </row>
    <row r="27">
      <c r="A27" s="345" t="s">
        <v>223</v>
      </c>
      <c r="B27" s="354">
        <v>99.0</v>
      </c>
      <c r="D27" s="354">
        <v>5.0</v>
      </c>
      <c r="F27" s="357">
        <f t="shared" si="1"/>
        <v>104</v>
      </c>
      <c r="I27" s="351" t="s">
        <v>1103</v>
      </c>
      <c r="J27" s="206">
        <v>83.0</v>
      </c>
      <c r="K27" s="206">
        <v>0.0</v>
      </c>
    </row>
    <row r="28">
      <c r="A28" s="345" t="s">
        <v>224</v>
      </c>
      <c r="B28" s="354">
        <v>43.0</v>
      </c>
      <c r="D28" s="354">
        <v>2.0</v>
      </c>
      <c r="F28" s="357">
        <f t="shared" si="1"/>
        <v>45</v>
      </c>
      <c r="I28" s="351" t="s">
        <v>1104</v>
      </c>
      <c r="J28" s="206">
        <v>30.0</v>
      </c>
      <c r="K28" s="206">
        <v>2.0</v>
      </c>
    </row>
    <row r="29">
      <c r="A29" s="345" t="s">
        <v>226</v>
      </c>
      <c r="B29" s="354">
        <v>7.0</v>
      </c>
      <c r="D29" s="354">
        <v>1.0</v>
      </c>
      <c r="F29" s="357">
        <f t="shared" si="1"/>
        <v>8</v>
      </c>
      <c r="I29" s="351" t="s">
        <v>1106</v>
      </c>
      <c r="J29" s="206">
        <v>53.0</v>
      </c>
      <c r="K29" s="206">
        <v>1.0</v>
      </c>
    </row>
    <row r="30">
      <c r="A30" s="345" t="s">
        <v>227</v>
      </c>
      <c r="B30" s="354">
        <v>18.0</v>
      </c>
      <c r="D30" s="354">
        <v>3.0</v>
      </c>
      <c r="F30" s="357">
        <f t="shared" si="1"/>
        <v>21</v>
      </c>
      <c r="I30" s="351" t="s">
        <v>1108</v>
      </c>
      <c r="J30" s="206">
        <v>0.0</v>
      </c>
      <c r="K30" s="206">
        <v>0.0</v>
      </c>
    </row>
    <row r="31">
      <c r="A31" s="345" t="s">
        <v>225</v>
      </c>
      <c r="B31" s="346">
        <v>5184.0</v>
      </c>
      <c r="D31" s="354">
        <v>582.0</v>
      </c>
      <c r="F31" s="362">
        <f t="shared" si="1"/>
        <v>5766</v>
      </c>
      <c r="I31" s="351" t="s">
        <v>1109</v>
      </c>
      <c r="J31" s="206">
        <v>1.0</v>
      </c>
      <c r="K31" s="206">
        <v>605.0</v>
      </c>
    </row>
    <row r="32">
      <c r="A32" s="345" t="s">
        <v>228</v>
      </c>
      <c r="B32" s="346">
        <v>305.0</v>
      </c>
      <c r="D32" s="354">
        <v>25.0</v>
      </c>
      <c r="F32" s="362">
        <f t="shared" si="1"/>
        <v>330</v>
      </c>
      <c r="I32" s="351" t="s">
        <v>781</v>
      </c>
      <c r="J32" s="206">
        <v>110.0</v>
      </c>
      <c r="K32" s="206">
        <v>1.0</v>
      </c>
    </row>
    <row r="33">
      <c r="A33" s="345" t="s">
        <v>229</v>
      </c>
      <c r="B33" s="346">
        <v>101.0</v>
      </c>
      <c r="D33" s="354">
        <v>10.0</v>
      </c>
      <c r="F33" s="362">
        <f t="shared" si="1"/>
        <v>111</v>
      </c>
      <c r="I33" s="351" t="s">
        <v>1112</v>
      </c>
      <c r="J33" s="206">
        <v>17.0</v>
      </c>
      <c r="K33" s="206">
        <v>0.0</v>
      </c>
    </row>
    <row r="34">
      <c r="A34" s="345" t="s">
        <v>230</v>
      </c>
      <c r="B34" s="346">
        <v>1744.0</v>
      </c>
      <c r="D34" s="354">
        <v>155.0</v>
      </c>
      <c r="F34" s="362">
        <f t="shared" si="1"/>
        <v>1899</v>
      </c>
      <c r="I34" s="351" t="s">
        <v>1113</v>
      </c>
      <c r="J34" s="206">
        <v>303.0</v>
      </c>
      <c r="K34" s="206">
        <v>84.0</v>
      </c>
    </row>
    <row r="35">
      <c r="A35" s="345" t="s">
        <v>231</v>
      </c>
      <c r="B35" s="346">
        <v>501.0</v>
      </c>
      <c r="D35" s="354">
        <v>61.0</v>
      </c>
      <c r="F35" s="362">
        <f t="shared" si="1"/>
        <v>562</v>
      </c>
      <c r="I35" s="351" t="s">
        <v>1114</v>
      </c>
      <c r="J35" s="206">
        <v>0.0</v>
      </c>
      <c r="K35" s="206">
        <v>0.0</v>
      </c>
    </row>
    <row r="36">
      <c r="A36" s="345" t="s">
        <v>232</v>
      </c>
      <c r="B36" s="346">
        <v>73.0</v>
      </c>
      <c r="D36" s="354">
        <v>4.0</v>
      </c>
      <c r="F36" s="362">
        <f t="shared" si="1"/>
        <v>77</v>
      </c>
    </row>
    <row r="37">
      <c r="A37" s="345" t="s">
        <v>234</v>
      </c>
      <c r="B37" s="354">
        <v>231.0</v>
      </c>
      <c r="D37" s="354">
        <v>34.0</v>
      </c>
      <c r="F37" s="357">
        <f t="shared" si="1"/>
        <v>265</v>
      </c>
    </row>
    <row r="38">
      <c r="A38" s="345" t="s">
        <v>236</v>
      </c>
      <c r="B38" s="354">
        <v>169.0</v>
      </c>
      <c r="D38" s="354">
        <v>20.0</v>
      </c>
      <c r="F38" s="357">
        <f t="shared" si="1"/>
        <v>189</v>
      </c>
    </row>
    <row r="39">
      <c r="A39" s="345"/>
      <c r="B39" s="354">
        <v>3.0</v>
      </c>
      <c r="D39" s="354">
        <v>4.0</v>
      </c>
      <c r="F39" s="357"/>
    </row>
    <row r="40">
      <c r="A40" s="345"/>
      <c r="B40" s="363"/>
      <c r="D40" s="355"/>
      <c r="F40" s="357"/>
    </row>
    <row r="41">
      <c r="A41" s="345"/>
      <c r="B41" s="364"/>
      <c r="D41" s="354"/>
      <c r="F41" s="357"/>
    </row>
    <row r="42">
      <c r="A42" s="345"/>
      <c r="B42" s="346"/>
      <c r="D42" s="354"/>
      <c r="F42" s="357"/>
    </row>
    <row r="43">
      <c r="A43" s="345"/>
      <c r="B43" s="346"/>
      <c r="D43" s="354"/>
      <c r="F43" s="357"/>
    </row>
    <row r="44">
      <c r="A44" s="345"/>
      <c r="B44" s="346"/>
      <c r="D44" s="354"/>
      <c r="F44" s="357"/>
    </row>
    <row r="45">
      <c r="A45" s="345"/>
      <c r="B45" s="346"/>
      <c r="D45" s="354"/>
      <c r="F45" s="357"/>
    </row>
    <row r="46">
      <c r="A46" s="345"/>
      <c r="B46" s="354"/>
      <c r="D46" s="354"/>
      <c r="F46" s="357"/>
    </row>
    <row r="47">
      <c r="A47" s="345"/>
      <c r="B47" s="354"/>
      <c r="D47" s="354"/>
      <c r="F47" s="357"/>
    </row>
    <row r="48">
      <c r="A48" s="345"/>
      <c r="B48" s="354"/>
      <c r="D48" s="354"/>
      <c r="F48" s="357"/>
    </row>
    <row r="49">
      <c r="A49" s="345"/>
      <c r="B49" s="354"/>
      <c r="D49" s="354"/>
      <c r="F49" s="357"/>
    </row>
    <row r="50">
      <c r="A50" s="345"/>
      <c r="B50" s="354"/>
      <c r="D50" s="354"/>
      <c r="F50" s="357"/>
    </row>
    <row r="51">
      <c r="A51" s="345"/>
      <c r="B51" s="354"/>
      <c r="D51" s="355"/>
      <c r="F51" s="357"/>
    </row>
    <row r="52">
      <c r="A52" s="345"/>
      <c r="B52" s="364"/>
      <c r="D52" s="354"/>
      <c r="F52" s="357"/>
    </row>
    <row r="53">
      <c r="A53" s="345"/>
      <c r="B53" s="346"/>
      <c r="D53" s="354"/>
      <c r="F53" s="357"/>
    </row>
    <row r="54">
      <c r="A54" s="345"/>
      <c r="B54" s="346"/>
      <c r="D54" s="354"/>
      <c r="F54" s="357"/>
    </row>
    <row r="55">
      <c r="A55" s="345"/>
      <c r="B55" s="346"/>
      <c r="D55" s="354"/>
      <c r="F55" s="357"/>
    </row>
    <row r="56">
      <c r="A56" s="345"/>
      <c r="B56" s="354"/>
      <c r="D56" s="346"/>
      <c r="F56" s="357"/>
    </row>
    <row r="57">
      <c r="A57" s="365"/>
      <c r="B57" s="354"/>
      <c r="D57" s="354"/>
      <c r="F57" s="310"/>
    </row>
    <row r="58">
      <c r="A58" s="366"/>
      <c r="B58" s="303"/>
      <c r="C58" s="367"/>
      <c r="D58" s="354"/>
      <c r="E58" s="367"/>
      <c r="G58" s="367"/>
      <c r="H58" s="367"/>
      <c r="I58" s="367"/>
      <c r="J58" s="367"/>
      <c r="K58" s="367"/>
      <c r="L58" s="367"/>
      <c r="M58" s="367"/>
      <c r="N58" s="367"/>
      <c r="O58" s="367"/>
      <c r="P58" s="367"/>
      <c r="Q58" s="367"/>
      <c r="R58" s="367"/>
      <c r="S58" s="367"/>
      <c r="T58" s="367"/>
      <c r="U58" s="367"/>
      <c r="V58" s="367"/>
      <c r="W58" s="367"/>
      <c r="X58" s="367"/>
      <c r="Y58" s="367"/>
      <c r="Z58" s="367"/>
    </row>
    <row r="59">
      <c r="A59" s="366"/>
      <c r="B59" s="1"/>
      <c r="C59" s="367"/>
      <c r="D59" s="367"/>
      <c r="E59" s="367"/>
      <c r="F59" s="367"/>
      <c r="G59" s="367"/>
      <c r="H59" s="367"/>
      <c r="I59" s="367"/>
      <c r="J59" s="367"/>
      <c r="K59" s="367"/>
      <c r="L59" s="367"/>
      <c r="M59" s="367"/>
      <c r="N59" s="367"/>
      <c r="O59" s="367"/>
      <c r="P59" s="367"/>
      <c r="Q59" s="367"/>
      <c r="R59" s="367"/>
      <c r="S59" s="367"/>
      <c r="T59" s="367"/>
      <c r="U59" s="367"/>
      <c r="V59" s="367"/>
      <c r="W59" s="367"/>
      <c r="X59" s="367"/>
      <c r="Y59" s="367"/>
      <c r="Z59" s="367"/>
    </row>
    <row r="60">
      <c r="A60" s="368" t="s">
        <v>852</v>
      </c>
      <c r="B60" s="369"/>
      <c r="C60" s="369"/>
      <c r="D60" s="369"/>
      <c r="E60" s="370" t="s">
        <v>765</v>
      </c>
      <c r="F60" s="370" t="s">
        <v>1042</v>
      </c>
      <c r="G60" s="369"/>
      <c r="H60" s="369"/>
      <c r="I60" s="371" t="s">
        <v>767</v>
      </c>
      <c r="J60" s="372">
        <v>45442.0</v>
      </c>
      <c r="K60" s="371" t="s">
        <v>769</v>
      </c>
      <c r="L60" s="372">
        <v>45381.0</v>
      </c>
      <c r="M60" s="373"/>
      <c r="N60" s="367"/>
      <c r="O60" s="367"/>
      <c r="P60" s="367"/>
      <c r="Q60" s="367"/>
      <c r="R60" s="367"/>
      <c r="S60" s="367"/>
      <c r="T60" s="367"/>
      <c r="U60" s="367"/>
      <c r="V60" s="367"/>
      <c r="W60" s="367"/>
      <c r="X60" s="367"/>
      <c r="Y60" s="367"/>
      <c r="Z60" s="367"/>
    </row>
    <row r="61">
      <c r="A61" s="367"/>
      <c r="B61" s="367"/>
      <c r="C61" s="367"/>
      <c r="D61" s="367"/>
      <c r="E61" s="367"/>
      <c r="F61" s="367"/>
      <c r="G61" s="367"/>
      <c r="H61" s="367"/>
      <c r="I61" s="367"/>
      <c r="J61" s="367"/>
      <c r="K61" s="367"/>
      <c r="L61" s="367"/>
      <c r="M61" s="367"/>
      <c r="N61" s="367"/>
      <c r="O61" s="367"/>
      <c r="P61" s="367"/>
      <c r="Q61" s="367"/>
      <c r="R61" s="367"/>
      <c r="S61" s="367"/>
      <c r="T61" s="367"/>
      <c r="U61" s="367"/>
      <c r="V61" s="367"/>
      <c r="W61" s="367"/>
      <c r="X61" s="367"/>
      <c r="Y61" s="367"/>
      <c r="Z61" s="367"/>
    </row>
    <row r="62">
      <c r="A62" s="374" t="s">
        <v>1120</v>
      </c>
      <c r="B62" s="375"/>
      <c r="C62" s="208">
        <v>2170.0</v>
      </c>
      <c r="D62" s="367"/>
      <c r="E62" s="367"/>
      <c r="F62" s="367"/>
      <c r="G62" s="367"/>
      <c r="H62" s="367"/>
      <c r="I62" s="367"/>
      <c r="J62" s="367"/>
      <c r="K62" s="367"/>
      <c r="L62" s="367"/>
      <c r="M62" s="367"/>
      <c r="N62" s="367"/>
      <c r="O62" s="367"/>
      <c r="P62" s="367"/>
      <c r="Q62" s="367"/>
      <c r="R62" s="367"/>
      <c r="S62" s="367"/>
      <c r="T62" s="367"/>
      <c r="U62" s="367"/>
      <c r="V62" s="367"/>
      <c r="W62" s="367"/>
      <c r="X62" s="367"/>
      <c r="Y62" s="367"/>
      <c r="Z62" s="367"/>
    </row>
    <row r="63">
      <c r="A63" s="367"/>
      <c r="B63" s="367"/>
      <c r="C63" s="367"/>
      <c r="D63" s="367"/>
      <c r="E63" s="367"/>
      <c r="F63" s="367"/>
      <c r="G63" s="367"/>
      <c r="H63" s="367"/>
      <c r="I63" s="367"/>
      <c r="J63" s="367"/>
      <c r="K63" s="367"/>
      <c r="L63" s="367"/>
      <c r="M63" s="367"/>
      <c r="N63" s="367"/>
      <c r="O63" s="367"/>
      <c r="P63" s="367"/>
      <c r="Q63" s="367"/>
      <c r="R63" s="367"/>
      <c r="S63" s="367"/>
      <c r="T63" s="367"/>
      <c r="U63" s="367"/>
      <c r="V63" s="367"/>
      <c r="W63" s="367"/>
      <c r="X63" s="367"/>
      <c r="Y63" s="367"/>
      <c r="Z63" s="367"/>
    </row>
    <row r="64">
      <c r="A64" s="367"/>
      <c r="B64" s="367"/>
      <c r="C64" s="367"/>
      <c r="D64" s="367"/>
      <c r="E64" s="367"/>
      <c r="F64" s="367"/>
      <c r="G64" s="367"/>
      <c r="H64" s="367"/>
      <c r="I64" s="367"/>
      <c r="J64" s="367"/>
      <c r="K64" s="367"/>
      <c r="L64" s="367"/>
      <c r="M64" s="367"/>
      <c r="N64" s="367"/>
      <c r="O64" s="367"/>
      <c r="P64" s="367"/>
      <c r="Q64" s="367"/>
      <c r="R64" s="367"/>
      <c r="S64" s="367"/>
      <c r="T64" s="367"/>
      <c r="U64" s="367"/>
      <c r="V64" s="367"/>
      <c r="W64" s="367"/>
      <c r="X64" s="367"/>
      <c r="Y64" s="367"/>
      <c r="Z64" s="367"/>
    </row>
    <row r="65">
      <c r="A65" s="368" t="s">
        <v>792</v>
      </c>
      <c r="B65" s="369"/>
      <c r="C65" s="369"/>
      <c r="D65" s="369"/>
      <c r="E65" s="370" t="s">
        <v>765</v>
      </c>
      <c r="F65" s="370" t="s">
        <v>1042</v>
      </c>
      <c r="G65" s="369"/>
      <c r="H65" s="369"/>
      <c r="I65" s="371" t="s">
        <v>767</v>
      </c>
      <c r="J65" s="372">
        <v>45442.0</v>
      </c>
      <c r="K65" s="371" t="s">
        <v>769</v>
      </c>
      <c r="L65" s="372">
        <v>45381.0</v>
      </c>
      <c r="M65" s="373"/>
      <c r="N65" s="367"/>
      <c r="O65" s="367"/>
      <c r="P65" s="367"/>
      <c r="Q65" s="367"/>
      <c r="R65" s="367"/>
      <c r="S65" s="367"/>
      <c r="T65" s="367"/>
      <c r="U65" s="367"/>
      <c r="V65" s="367"/>
      <c r="W65" s="367"/>
      <c r="X65" s="367"/>
      <c r="Y65" s="367"/>
      <c r="Z65" s="367"/>
    </row>
    <row r="66">
      <c r="A66" s="367"/>
      <c r="B66" s="367"/>
      <c r="C66" s="367"/>
      <c r="D66" s="367"/>
      <c r="E66" s="367"/>
      <c r="F66" s="367"/>
      <c r="G66" s="367"/>
      <c r="H66" s="367"/>
      <c r="I66" s="367"/>
      <c r="J66" s="367"/>
      <c r="K66" s="367"/>
      <c r="L66" s="367"/>
      <c r="M66" s="367"/>
      <c r="N66" s="367"/>
      <c r="O66" s="367"/>
      <c r="P66" s="367"/>
      <c r="Q66" s="367"/>
      <c r="R66" s="367"/>
      <c r="S66" s="367"/>
      <c r="T66" s="367"/>
      <c r="U66" s="367"/>
      <c r="V66" s="367"/>
      <c r="W66" s="367"/>
      <c r="X66" s="367"/>
      <c r="Y66" s="367"/>
      <c r="Z66" s="367"/>
    </row>
    <row r="67">
      <c r="A67" s="378" t="s">
        <v>1123</v>
      </c>
      <c r="B67" s="379"/>
      <c r="C67" s="379"/>
      <c r="D67" s="379"/>
      <c r="E67" s="380">
        <v>1606.0</v>
      </c>
      <c r="F67" s="381"/>
      <c r="G67" s="367"/>
      <c r="H67" s="367"/>
      <c r="I67" s="367"/>
      <c r="J67" s="367"/>
      <c r="K67" s="367"/>
      <c r="L67" s="367"/>
      <c r="M67" s="367"/>
      <c r="N67" s="367"/>
      <c r="O67" s="367"/>
      <c r="P67" s="367"/>
      <c r="Q67" s="367"/>
      <c r="R67" s="367"/>
      <c r="S67" s="367"/>
      <c r="T67" s="367"/>
      <c r="U67" s="367"/>
      <c r="V67" s="367"/>
      <c r="W67" s="367"/>
      <c r="X67" s="367"/>
      <c r="Y67" s="367"/>
      <c r="Z67" s="367"/>
    </row>
    <row r="68">
      <c r="A68" s="367"/>
      <c r="B68" s="367"/>
      <c r="C68" s="367"/>
      <c r="D68" s="367"/>
      <c r="E68" s="367"/>
      <c r="F68" s="367"/>
      <c r="G68" s="367"/>
      <c r="H68" s="367"/>
      <c r="I68" s="367"/>
      <c r="J68" s="367"/>
      <c r="K68" s="367"/>
      <c r="L68" s="367"/>
      <c r="M68" s="367"/>
      <c r="N68" s="367"/>
      <c r="O68" s="367"/>
      <c r="P68" s="367"/>
      <c r="Q68" s="367"/>
      <c r="R68" s="367"/>
      <c r="S68" s="367"/>
      <c r="T68" s="367"/>
      <c r="U68" s="367"/>
      <c r="V68" s="367"/>
      <c r="W68" s="367"/>
      <c r="X68" s="367"/>
      <c r="Y68" s="367"/>
      <c r="Z68" s="367"/>
    </row>
    <row r="69">
      <c r="A69" s="367"/>
      <c r="B69" s="367"/>
      <c r="C69" s="367"/>
      <c r="D69" s="367"/>
      <c r="E69" s="367"/>
      <c r="F69" s="367"/>
      <c r="G69" s="367"/>
      <c r="H69" s="367"/>
      <c r="I69" s="367"/>
      <c r="J69" s="367"/>
      <c r="K69" s="367"/>
      <c r="L69" s="367"/>
      <c r="M69" s="367"/>
      <c r="N69" s="367"/>
      <c r="O69" s="367"/>
      <c r="P69" s="367"/>
      <c r="Q69" s="367"/>
      <c r="R69" s="367"/>
      <c r="S69" s="367"/>
      <c r="T69" s="367"/>
      <c r="U69" s="367"/>
      <c r="V69" s="367"/>
      <c r="W69" s="367"/>
      <c r="X69" s="367"/>
      <c r="Y69" s="367"/>
      <c r="Z69" s="367"/>
    </row>
    <row r="70">
      <c r="A70" s="367"/>
      <c r="B70" s="367"/>
      <c r="C70" s="367"/>
      <c r="D70" s="367"/>
      <c r="E70" s="367"/>
      <c r="F70" s="367"/>
      <c r="G70" s="367"/>
      <c r="H70" s="367"/>
      <c r="I70" s="367"/>
      <c r="J70" s="367"/>
      <c r="K70" s="367"/>
      <c r="L70" s="367"/>
      <c r="M70" s="367"/>
      <c r="N70" s="367"/>
      <c r="O70" s="367"/>
      <c r="P70" s="367"/>
      <c r="Q70" s="367"/>
      <c r="R70" s="367"/>
      <c r="S70" s="367"/>
      <c r="T70" s="367"/>
      <c r="U70" s="367"/>
      <c r="V70" s="367"/>
      <c r="W70" s="367"/>
      <c r="X70" s="367"/>
      <c r="Y70" s="367"/>
      <c r="Z70" s="367"/>
    </row>
    <row r="71">
      <c r="A71" s="367"/>
      <c r="B71" s="367"/>
      <c r="C71" s="367"/>
      <c r="D71" s="367"/>
      <c r="E71" s="367"/>
      <c r="F71" s="367"/>
      <c r="G71" s="367"/>
      <c r="H71" s="367"/>
      <c r="I71" s="367"/>
      <c r="J71" s="367"/>
      <c r="K71" s="367"/>
      <c r="L71" s="367"/>
      <c r="M71" s="367"/>
      <c r="N71" s="367"/>
      <c r="O71" s="367"/>
      <c r="P71" s="367"/>
      <c r="Q71" s="367"/>
      <c r="R71" s="367"/>
      <c r="S71" s="367"/>
      <c r="T71" s="367"/>
      <c r="U71" s="367"/>
      <c r="V71" s="367"/>
      <c r="W71" s="367"/>
      <c r="X71" s="367"/>
      <c r="Y71" s="367"/>
      <c r="Z71" s="367"/>
    </row>
    <row r="72">
      <c r="A72" s="367"/>
      <c r="B72" s="367"/>
      <c r="C72" s="367"/>
      <c r="D72" s="367"/>
      <c r="E72" s="367"/>
      <c r="F72" s="367"/>
      <c r="G72" s="367"/>
      <c r="H72" s="367"/>
      <c r="I72" s="367"/>
      <c r="J72" s="367"/>
      <c r="K72" s="367"/>
      <c r="L72" s="367"/>
      <c r="M72" s="367"/>
      <c r="N72" s="367"/>
      <c r="O72" s="367"/>
      <c r="P72" s="367"/>
      <c r="Q72" s="367"/>
      <c r="R72" s="367"/>
      <c r="S72" s="367"/>
      <c r="T72" s="367"/>
      <c r="U72" s="367"/>
      <c r="V72" s="367"/>
      <c r="W72" s="367"/>
      <c r="X72" s="367"/>
      <c r="Y72" s="367"/>
      <c r="Z72" s="367"/>
    </row>
    <row r="73">
      <c r="A73" s="367"/>
      <c r="B73" s="367"/>
      <c r="C73" s="367"/>
      <c r="D73" s="367"/>
      <c r="E73" s="367"/>
      <c r="F73" s="367"/>
      <c r="G73" s="367"/>
      <c r="H73" s="367"/>
      <c r="I73" s="367"/>
      <c r="J73" s="367"/>
      <c r="K73" s="367"/>
      <c r="L73" s="367"/>
      <c r="M73" s="367"/>
      <c r="N73" s="367"/>
      <c r="O73" s="367"/>
      <c r="P73" s="367"/>
      <c r="Q73" s="367"/>
      <c r="R73" s="367"/>
      <c r="S73" s="367"/>
      <c r="T73" s="367"/>
      <c r="U73" s="367"/>
      <c r="V73" s="367"/>
      <c r="W73" s="367"/>
      <c r="X73" s="367"/>
      <c r="Y73" s="367"/>
      <c r="Z73" s="367"/>
    </row>
    <row r="74">
      <c r="A74" s="367"/>
      <c r="B74" s="367"/>
      <c r="C74" s="367"/>
      <c r="D74" s="367"/>
      <c r="E74" s="367"/>
      <c r="F74" s="367"/>
      <c r="G74" s="367"/>
      <c r="H74" s="367"/>
      <c r="I74" s="367"/>
      <c r="J74" s="367"/>
      <c r="K74" s="367"/>
      <c r="L74" s="367"/>
      <c r="M74" s="367"/>
      <c r="N74" s="367"/>
      <c r="O74" s="367"/>
      <c r="P74" s="367"/>
      <c r="Q74" s="367"/>
      <c r="R74" s="367"/>
      <c r="S74" s="367"/>
      <c r="T74" s="367"/>
      <c r="U74" s="367"/>
      <c r="V74" s="367"/>
      <c r="W74" s="367"/>
      <c r="X74" s="367"/>
      <c r="Y74" s="367"/>
      <c r="Z74" s="367"/>
    </row>
    <row r="75">
      <c r="A75" s="367"/>
      <c r="B75" s="367"/>
      <c r="C75" s="367"/>
      <c r="D75" s="367"/>
      <c r="E75" s="367"/>
      <c r="F75" s="367"/>
      <c r="G75" s="367"/>
      <c r="H75" s="367"/>
      <c r="I75" s="367"/>
      <c r="J75" s="367"/>
      <c r="K75" s="367"/>
      <c r="L75" s="367"/>
      <c r="M75" s="367"/>
      <c r="N75" s="367"/>
      <c r="O75" s="367"/>
      <c r="P75" s="367"/>
      <c r="Q75" s="367"/>
      <c r="R75" s="367"/>
      <c r="S75" s="367"/>
      <c r="T75" s="367"/>
      <c r="U75" s="367"/>
      <c r="V75" s="367"/>
      <c r="W75" s="367"/>
      <c r="X75" s="367"/>
      <c r="Y75" s="367"/>
      <c r="Z75" s="367"/>
    </row>
    <row r="76">
      <c r="A76" s="367"/>
      <c r="B76" s="367"/>
      <c r="C76" s="367"/>
      <c r="D76" s="367"/>
      <c r="E76" s="367"/>
      <c r="F76" s="367"/>
      <c r="G76" s="367"/>
      <c r="H76" s="367"/>
      <c r="I76" s="367"/>
      <c r="J76" s="367"/>
      <c r="K76" s="367"/>
      <c r="L76" s="367"/>
      <c r="M76" s="367"/>
      <c r="N76" s="367"/>
      <c r="O76" s="367"/>
      <c r="P76" s="367"/>
      <c r="Q76" s="367"/>
      <c r="R76" s="367"/>
      <c r="S76" s="367"/>
      <c r="T76" s="367"/>
      <c r="U76" s="367"/>
      <c r="V76" s="367"/>
      <c r="W76" s="367"/>
      <c r="X76" s="367"/>
      <c r="Y76" s="367"/>
      <c r="Z76" s="367"/>
    </row>
    <row r="77">
      <c r="A77" s="367"/>
      <c r="B77" s="367"/>
      <c r="C77" s="367"/>
      <c r="D77" s="367"/>
      <c r="E77" s="367"/>
      <c r="F77" s="367"/>
      <c r="G77" s="367"/>
      <c r="H77" s="367"/>
      <c r="I77" s="367"/>
      <c r="J77" s="367"/>
      <c r="K77" s="367"/>
      <c r="L77" s="367"/>
      <c r="M77" s="367"/>
      <c r="N77" s="367"/>
      <c r="O77" s="367"/>
      <c r="P77" s="367"/>
      <c r="Q77" s="367"/>
      <c r="R77" s="367"/>
      <c r="S77" s="367"/>
      <c r="T77" s="367"/>
      <c r="U77" s="367"/>
      <c r="V77" s="367"/>
      <c r="W77" s="367"/>
      <c r="X77" s="367"/>
      <c r="Y77" s="367"/>
      <c r="Z77" s="367"/>
    </row>
    <row r="78">
      <c r="A78" s="367"/>
      <c r="B78" s="367"/>
      <c r="C78" s="367"/>
      <c r="D78" s="367"/>
      <c r="E78" s="367"/>
      <c r="F78" s="367"/>
      <c r="G78" s="367"/>
      <c r="H78" s="367"/>
      <c r="I78" s="367"/>
      <c r="J78" s="367"/>
      <c r="K78" s="367"/>
      <c r="L78" s="367"/>
      <c r="M78" s="367"/>
      <c r="N78" s="367"/>
      <c r="O78" s="367"/>
      <c r="P78" s="367"/>
      <c r="Q78" s="367"/>
      <c r="R78" s="367"/>
      <c r="S78" s="367"/>
      <c r="T78" s="367"/>
      <c r="U78" s="367"/>
      <c r="V78" s="367"/>
      <c r="W78" s="367"/>
      <c r="X78" s="367"/>
      <c r="Y78" s="367"/>
      <c r="Z78" s="367"/>
    </row>
    <row r="79">
      <c r="A79" s="367"/>
      <c r="B79" s="367"/>
      <c r="C79" s="367"/>
      <c r="D79" s="367"/>
      <c r="E79" s="367"/>
      <c r="F79" s="367"/>
      <c r="G79" s="367"/>
      <c r="H79" s="367"/>
      <c r="I79" s="367"/>
      <c r="J79" s="367"/>
      <c r="K79" s="367"/>
      <c r="L79" s="367"/>
      <c r="M79" s="367"/>
      <c r="N79" s="367"/>
      <c r="O79" s="367"/>
      <c r="P79" s="367"/>
      <c r="Q79" s="367"/>
      <c r="R79" s="367"/>
      <c r="S79" s="367"/>
      <c r="T79" s="367"/>
      <c r="U79" s="367"/>
      <c r="V79" s="367"/>
      <c r="W79" s="367"/>
      <c r="X79" s="367"/>
      <c r="Y79" s="367"/>
      <c r="Z79" s="367"/>
    </row>
    <row r="80">
      <c r="A80" s="367"/>
      <c r="B80" s="367"/>
      <c r="C80" s="367"/>
      <c r="D80" s="367"/>
      <c r="E80" s="367"/>
      <c r="F80" s="367"/>
      <c r="G80" s="367"/>
      <c r="H80" s="367"/>
      <c r="I80" s="367"/>
      <c r="J80" s="367"/>
      <c r="K80" s="367"/>
      <c r="L80" s="367"/>
      <c r="M80" s="367"/>
      <c r="N80" s="367"/>
      <c r="O80" s="367"/>
      <c r="P80" s="367"/>
      <c r="Q80" s="367"/>
      <c r="R80" s="367"/>
      <c r="S80" s="367"/>
      <c r="T80" s="367"/>
      <c r="U80" s="367"/>
      <c r="V80" s="367"/>
      <c r="W80" s="367"/>
      <c r="X80" s="367"/>
      <c r="Y80" s="367"/>
      <c r="Z80" s="367"/>
    </row>
    <row r="81">
      <c r="A81" s="367"/>
      <c r="B81" s="367"/>
      <c r="C81" s="367"/>
      <c r="D81" s="367"/>
      <c r="E81" s="367"/>
      <c r="F81" s="367"/>
      <c r="G81" s="367"/>
      <c r="H81" s="367"/>
      <c r="I81" s="367"/>
      <c r="J81" s="367"/>
      <c r="K81" s="367"/>
      <c r="L81" s="367"/>
      <c r="M81" s="367"/>
      <c r="N81" s="367"/>
      <c r="O81" s="367"/>
      <c r="P81" s="367"/>
      <c r="Q81" s="367"/>
      <c r="R81" s="367"/>
      <c r="S81" s="367"/>
      <c r="T81" s="367"/>
      <c r="U81" s="367"/>
      <c r="V81" s="367"/>
      <c r="W81" s="367"/>
      <c r="X81" s="367"/>
      <c r="Y81" s="367"/>
      <c r="Z81" s="367"/>
    </row>
    <row r="82">
      <c r="A82" s="367"/>
      <c r="B82" s="367"/>
      <c r="C82" s="367"/>
      <c r="D82" s="367"/>
      <c r="E82" s="367"/>
      <c r="F82" s="367"/>
      <c r="G82" s="367"/>
      <c r="H82" s="367"/>
      <c r="I82" s="367"/>
      <c r="J82" s="367"/>
      <c r="K82" s="367"/>
      <c r="L82" s="367"/>
      <c r="M82" s="367"/>
      <c r="N82" s="367"/>
      <c r="O82" s="367"/>
      <c r="P82" s="367"/>
      <c r="Q82" s="367"/>
      <c r="R82" s="367"/>
      <c r="S82" s="367"/>
      <c r="T82" s="367"/>
      <c r="U82" s="367"/>
      <c r="V82" s="367"/>
      <c r="W82" s="367"/>
      <c r="X82" s="367"/>
      <c r="Y82" s="367"/>
      <c r="Z82" s="367"/>
    </row>
    <row r="83">
      <c r="A83" s="367"/>
      <c r="B83" s="367"/>
      <c r="C83" s="367"/>
      <c r="D83" s="367"/>
      <c r="E83" s="367"/>
      <c r="F83" s="367"/>
      <c r="G83" s="367"/>
      <c r="H83" s="367"/>
      <c r="I83" s="367"/>
      <c r="J83" s="367"/>
      <c r="K83" s="367"/>
      <c r="L83" s="367"/>
      <c r="M83" s="367"/>
      <c r="N83" s="367"/>
      <c r="O83" s="367"/>
      <c r="P83" s="367"/>
      <c r="Q83" s="367"/>
      <c r="R83" s="367"/>
      <c r="S83" s="367"/>
      <c r="T83" s="367"/>
      <c r="U83" s="367"/>
      <c r="V83" s="367"/>
      <c r="W83" s="367"/>
      <c r="X83" s="367"/>
      <c r="Y83" s="367"/>
      <c r="Z83" s="367"/>
    </row>
    <row r="84">
      <c r="A84" s="367"/>
      <c r="B84" s="367"/>
      <c r="C84" s="367"/>
      <c r="D84" s="367"/>
      <c r="E84" s="367"/>
      <c r="F84" s="367"/>
      <c r="G84" s="367"/>
      <c r="H84" s="367"/>
      <c r="I84" s="367"/>
      <c r="J84" s="367"/>
      <c r="K84" s="367"/>
      <c r="L84" s="367"/>
      <c r="M84" s="367"/>
      <c r="N84" s="367"/>
      <c r="O84" s="367"/>
      <c r="P84" s="367"/>
      <c r="Q84" s="367"/>
      <c r="R84" s="367"/>
      <c r="S84" s="367"/>
      <c r="T84" s="367"/>
      <c r="U84" s="367"/>
      <c r="V84" s="367"/>
      <c r="W84" s="367"/>
      <c r="X84" s="367"/>
      <c r="Y84" s="367"/>
      <c r="Z84" s="367"/>
    </row>
    <row r="85">
      <c r="A85" s="367"/>
      <c r="B85" s="367"/>
      <c r="C85" s="367"/>
      <c r="D85" s="367"/>
      <c r="E85" s="367"/>
      <c r="F85" s="367"/>
      <c r="G85" s="367"/>
      <c r="H85" s="367"/>
      <c r="I85" s="367"/>
      <c r="J85" s="367"/>
      <c r="K85" s="367"/>
      <c r="L85" s="367"/>
      <c r="M85" s="367"/>
      <c r="N85" s="367"/>
      <c r="O85" s="367"/>
      <c r="P85" s="367"/>
      <c r="Q85" s="367"/>
      <c r="R85" s="367"/>
      <c r="S85" s="367"/>
      <c r="T85" s="367"/>
      <c r="U85" s="367"/>
      <c r="V85" s="367"/>
      <c r="W85" s="367"/>
      <c r="X85" s="367"/>
      <c r="Y85" s="367"/>
      <c r="Z85" s="367"/>
    </row>
    <row r="86">
      <c r="A86" s="367"/>
      <c r="B86" s="367"/>
      <c r="C86" s="367"/>
      <c r="D86" s="367"/>
      <c r="E86" s="367"/>
      <c r="F86" s="367"/>
      <c r="G86" s="367"/>
      <c r="H86" s="367"/>
      <c r="I86" s="367"/>
      <c r="J86" s="367"/>
      <c r="K86" s="367"/>
      <c r="L86" s="367"/>
      <c r="M86" s="367"/>
      <c r="N86" s="367"/>
      <c r="O86" s="367"/>
      <c r="P86" s="367"/>
      <c r="Q86" s="367"/>
      <c r="R86" s="367"/>
      <c r="S86" s="367"/>
      <c r="T86" s="367"/>
      <c r="U86" s="367"/>
      <c r="V86" s="367"/>
      <c r="W86" s="367"/>
      <c r="X86" s="367"/>
      <c r="Y86" s="367"/>
      <c r="Z86" s="367"/>
    </row>
    <row r="87">
      <c r="A87" s="367"/>
      <c r="B87" s="367"/>
      <c r="C87" s="367"/>
      <c r="D87" s="367"/>
      <c r="E87" s="367"/>
      <c r="F87" s="367"/>
      <c r="G87" s="367"/>
      <c r="H87" s="367"/>
      <c r="I87" s="367"/>
      <c r="J87" s="367"/>
      <c r="K87" s="367"/>
      <c r="L87" s="367"/>
      <c r="M87" s="367"/>
      <c r="N87" s="367"/>
      <c r="O87" s="367"/>
      <c r="P87" s="367"/>
      <c r="Q87" s="367"/>
      <c r="R87" s="367"/>
      <c r="S87" s="367"/>
      <c r="T87" s="367"/>
      <c r="U87" s="367"/>
      <c r="V87" s="367"/>
      <c r="W87" s="367"/>
      <c r="X87" s="367"/>
      <c r="Y87" s="367"/>
      <c r="Z87" s="367"/>
    </row>
    <row r="88">
      <c r="A88" s="367"/>
      <c r="B88" s="367"/>
      <c r="C88" s="367"/>
      <c r="D88" s="367"/>
      <c r="E88" s="367"/>
      <c r="F88" s="367"/>
      <c r="G88" s="367"/>
      <c r="H88" s="367"/>
      <c r="I88" s="367"/>
      <c r="J88" s="367"/>
      <c r="K88" s="367"/>
      <c r="L88" s="367"/>
      <c r="M88" s="367"/>
      <c r="N88" s="367"/>
      <c r="O88" s="367"/>
      <c r="P88" s="367"/>
      <c r="Q88" s="367"/>
      <c r="R88" s="367"/>
      <c r="S88" s="367"/>
      <c r="T88" s="367"/>
      <c r="U88" s="367"/>
      <c r="V88" s="367"/>
      <c r="W88" s="367"/>
      <c r="X88" s="367"/>
      <c r="Y88" s="367"/>
      <c r="Z88" s="367"/>
    </row>
    <row r="89">
      <c r="A89" s="367"/>
      <c r="B89" s="367"/>
      <c r="C89" s="367"/>
      <c r="D89" s="367"/>
      <c r="E89" s="367"/>
      <c r="F89" s="367"/>
      <c r="G89" s="367"/>
      <c r="H89" s="367"/>
      <c r="I89" s="367"/>
      <c r="J89" s="367"/>
      <c r="K89" s="367"/>
      <c r="L89" s="367"/>
      <c r="M89" s="367"/>
      <c r="N89" s="367"/>
      <c r="O89" s="367"/>
      <c r="P89" s="367"/>
      <c r="Q89" s="367"/>
      <c r="R89" s="367"/>
      <c r="S89" s="367"/>
      <c r="T89" s="367"/>
      <c r="U89" s="367"/>
      <c r="V89" s="367"/>
      <c r="W89" s="367"/>
      <c r="X89" s="367"/>
      <c r="Y89" s="367"/>
      <c r="Z89" s="367"/>
    </row>
    <row r="90">
      <c r="A90" s="367"/>
      <c r="B90" s="367"/>
      <c r="C90" s="367"/>
      <c r="D90" s="367"/>
      <c r="E90" s="367"/>
      <c r="F90" s="367"/>
      <c r="G90" s="367"/>
      <c r="H90" s="367"/>
      <c r="I90" s="367"/>
      <c r="J90" s="367"/>
      <c r="K90" s="367"/>
      <c r="L90" s="367"/>
      <c r="M90" s="367"/>
      <c r="N90" s="367"/>
      <c r="O90" s="367"/>
      <c r="P90" s="367"/>
      <c r="Q90" s="367"/>
      <c r="R90" s="367"/>
      <c r="S90" s="367"/>
      <c r="T90" s="367"/>
      <c r="U90" s="367"/>
      <c r="V90" s="367"/>
      <c r="W90" s="367"/>
      <c r="X90" s="367"/>
      <c r="Y90" s="367"/>
      <c r="Z90" s="367"/>
    </row>
    <row r="91">
      <c r="A91" s="367"/>
      <c r="B91" s="367"/>
      <c r="C91" s="367"/>
      <c r="D91" s="367"/>
      <c r="E91" s="367"/>
      <c r="F91" s="367"/>
      <c r="G91" s="367"/>
      <c r="H91" s="367"/>
      <c r="I91" s="367"/>
      <c r="J91" s="367"/>
      <c r="K91" s="367"/>
      <c r="L91" s="367"/>
      <c r="M91" s="367"/>
      <c r="N91" s="367"/>
      <c r="O91" s="367"/>
      <c r="P91" s="367"/>
      <c r="Q91" s="367"/>
      <c r="R91" s="367"/>
      <c r="S91" s="367"/>
      <c r="T91" s="367"/>
      <c r="U91" s="367"/>
      <c r="V91" s="367"/>
      <c r="W91" s="367"/>
      <c r="X91" s="367"/>
      <c r="Y91" s="367"/>
      <c r="Z91" s="367"/>
    </row>
    <row r="92">
      <c r="A92" s="367"/>
      <c r="B92" s="367"/>
      <c r="C92" s="367"/>
      <c r="D92" s="367"/>
      <c r="E92" s="367"/>
      <c r="F92" s="367"/>
      <c r="G92" s="367"/>
      <c r="H92" s="367"/>
      <c r="I92" s="367"/>
      <c r="J92" s="367"/>
      <c r="K92" s="367"/>
      <c r="L92" s="367"/>
      <c r="M92" s="367"/>
      <c r="N92" s="367"/>
      <c r="O92" s="367"/>
      <c r="P92" s="367"/>
      <c r="Q92" s="367"/>
      <c r="R92" s="367"/>
      <c r="S92" s="367"/>
      <c r="T92" s="367"/>
      <c r="U92" s="367"/>
      <c r="V92" s="367"/>
      <c r="W92" s="367"/>
      <c r="X92" s="367"/>
      <c r="Y92" s="367"/>
      <c r="Z92" s="367"/>
    </row>
    <row r="93">
      <c r="A93" s="367"/>
      <c r="B93" s="367"/>
      <c r="C93" s="367"/>
      <c r="D93" s="367"/>
      <c r="E93" s="367"/>
      <c r="F93" s="367"/>
      <c r="G93" s="367"/>
      <c r="H93" s="367"/>
      <c r="I93" s="367"/>
      <c r="J93" s="367"/>
      <c r="K93" s="367"/>
      <c r="L93" s="367"/>
      <c r="M93" s="367"/>
      <c r="N93" s="367"/>
      <c r="O93" s="367"/>
      <c r="P93" s="367"/>
      <c r="Q93" s="367"/>
      <c r="R93" s="367"/>
      <c r="S93" s="367"/>
      <c r="T93" s="367"/>
      <c r="U93" s="367"/>
      <c r="V93" s="367"/>
      <c r="W93" s="367"/>
      <c r="X93" s="367"/>
      <c r="Y93" s="367"/>
      <c r="Z93" s="367"/>
    </row>
    <row r="94">
      <c r="A94" s="367"/>
      <c r="B94" s="367"/>
      <c r="C94" s="367"/>
      <c r="D94" s="367"/>
      <c r="E94" s="367"/>
      <c r="F94" s="367"/>
      <c r="G94" s="367"/>
      <c r="H94" s="367"/>
      <c r="I94" s="367"/>
      <c r="J94" s="367"/>
      <c r="K94" s="367"/>
      <c r="L94" s="367"/>
      <c r="M94" s="367"/>
      <c r="N94" s="367"/>
      <c r="O94" s="367"/>
      <c r="P94" s="367"/>
      <c r="Q94" s="367"/>
      <c r="R94" s="367"/>
      <c r="S94" s="367"/>
      <c r="T94" s="367"/>
      <c r="U94" s="367"/>
      <c r="V94" s="367"/>
      <c r="W94" s="367"/>
      <c r="X94" s="367"/>
      <c r="Y94" s="367"/>
      <c r="Z94" s="367"/>
    </row>
    <row r="95">
      <c r="A95" s="367"/>
      <c r="B95" s="367"/>
      <c r="C95" s="367"/>
      <c r="D95" s="367"/>
      <c r="E95" s="367"/>
      <c r="F95" s="367"/>
      <c r="G95" s="367"/>
      <c r="H95" s="367"/>
      <c r="I95" s="367"/>
      <c r="J95" s="367"/>
      <c r="K95" s="367"/>
      <c r="L95" s="367"/>
      <c r="M95" s="367"/>
      <c r="N95" s="367"/>
      <c r="O95" s="367"/>
      <c r="P95" s="367"/>
      <c r="Q95" s="367"/>
      <c r="R95" s="367"/>
      <c r="S95" s="367"/>
      <c r="T95" s="367"/>
      <c r="U95" s="367"/>
      <c r="V95" s="367"/>
      <c r="W95" s="367"/>
      <c r="X95" s="367"/>
      <c r="Y95" s="367"/>
      <c r="Z95" s="367"/>
    </row>
    <row r="96">
      <c r="A96" s="367"/>
      <c r="B96" s="367"/>
      <c r="C96" s="367"/>
      <c r="D96" s="367"/>
      <c r="E96" s="367"/>
      <c r="F96" s="367"/>
      <c r="G96" s="367"/>
      <c r="H96" s="367"/>
      <c r="I96" s="367"/>
      <c r="J96" s="367"/>
      <c r="K96" s="367"/>
      <c r="L96" s="367"/>
      <c r="M96" s="367"/>
      <c r="N96" s="367"/>
      <c r="O96" s="367"/>
      <c r="P96" s="367"/>
      <c r="Q96" s="367"/>
      <c r="R96" s="367"/>
      <c r="S96" s="367"/>
      <c r="T96" s="367"/>
      <c r="U96" s="367"/>
      <c r="V96" s="367"/>
      <c r="W96" s="367"/>
      <c r="X96" s="367"/>
      <c r="Y96" s="367"/>
      <c r="Z96" s="367"/>
    </row>
    <row r="97">
      <c r="A97" s="367"/>
      <c r="B97" s="367"/>
      <c r="C97" s="367"/>
      <c r="D97" s="367"/>
      <c r="E97" s="367"/>
      <c r="F97" s="367"/>
      <c r="G97" s="367"/>
      <c r="H97" s="367"/>
      <c r="I97" s="367"/>
      <c r="J97" s="367"/>
      <c r="K97" s="367"/>
      <c r="L97" s="367"/>
      <c r="M97" s="367"/>
      <c r="N97" s="367"/>
      <c r="O97" s="367"/>
      <c r="P97" s="367"/>
      <c r="Q97" s="367"/>
      <c r="R97" s="367"/>
      <c r="S97" s="367"/>
      <c r="T97" s="367"/>
      <c r="U97" s="367"/>
      <c r="V97" s="367"/>
      <c r="W97" s="367"/>
      <c r="X97" s="367"/>
      <c r="Y97" s="367"/>
      <c r="Z97" s="367"/>
    </row>
    <row r="98">
      <c r="A98" s="367"/>
      <c r="B98" s="367"/>
      <c r="C98" s="367"/>
      <c r="D98" s="367"/>
      <c r="E98" s="367"/>
      <c r="F98" s="367"/>
      <c r="G98" s="367"/>
      <c r="H98" s="367"/>
      <c r="I98" s="367"/>
      <c r="J98" s="367"/>
      <c r="K98" s="367"/>
      <c r="L98" s="367"/>
      <c r="M98" s="367"/>
      <c r="N98" s="367"/>
      <c r="O98" s="367"/>
      <c r="P98" s="367"/>
      <c r="Q98" s="367"/>
      <c r="R98" s="367"/>
      <c r="S98" s="367"/>
      <c r="T98" s="367"/>
      <c r="U98" s="367"/>
      <c r="V98" s="367"/>
      <c r="W98" s="367"/>
      <c r="X98" s="367"/>
      <c r="Y98" s="367"/>
      <c r="Z98" s="367"/>
    </row>
    <row r="99">
      <c r="A99" s="367"/>
      <c r="B99" s="367"/>
      <c r="C99" s="367"/>
      <c r="D99" s="367"/>
      <c r="E99" s="367"/>
      <c r="F99" s="367"/>
      <c r="G99" s="367"/>
      <c r="H99" s="367"/>
      <c r="I99" s="367"/>
      <c r="J99" s="367"/>
      <c r="K99" s="367"/>
      <c r="L99" s="367"/>
      <c r="M99" s="367"/>
      <c r="N99" s="367"/>
      <c r="O99" s="367"/>
      <c r="P99" s="367"/>
      <c r="Q99" s="367"/>
      <c r="R99" s="367"/>
      <c r="S99" s="367"/>
      <c r="T99" s="367"/>
      <c r="U99" s="367"/>
      <c r="V99" s="367"/>
      <c r="W99" s="367"/>
      <c r="X99" s="367"/>
      <c r="Y99" s="367"/>
      <c r="Z99" s="367"/>
    </row>
    <row r="100">
      <c r="A100" s="367"/>
      <c r="B100" s="367"/>
      <c r="C100" s="367"/>
      <c r="D100" s="367"/>
      <c r="E100" s="367"/>
      <c r="F100" s="367"/>
      <c r="G100" s="367"/>
      <c r="H100" s="367"/>
      <c r="I100" s="367"/>
      <c r="J100" s="367"/>
      <c r="K100" s="367"/>
      <c r="L100" s="367"/>
      <c r="M100" s="367"/>
      <c r="N100" s="367"/>
      <c r="O100" s="367"/>
      <c r="P100" s="367"/>
      <c r="Q100" s="367"/>
      <c r="R100" s="367"/>
      <c r="S100" s="367"/>
      <c r="T100" s="367"/>
      <c r="U100" s="367"/>
      <c r="V100" s="367"/>
      <c r="W100" s="367"/>
      <c r="X100" s="367"/>
      <c r="Y100" s="367"/>
      <c r="Z100" s="367"/>
    </row>
    <row r="101">
      <c r="A101" s="367"/>
      <c r="B101" s="367"/>
      <c r="C101" s="367"/>
      <c r="D101" s="367"/>
      <c r="E101" s="367"/>
      <c r="F101" s="367"/>
      <c r="G101" s="367"/>
      <c r="H101" s="367"/>
      <c r="I101" s="367"/>
      <c r="J101" s="367"/>
      <c r="K101" s="367"/>
      <c r="L101" s="367"/>
      <c r="M101" s="367"/>
      <c r="N101" s="367"/>
      <c r="O101" s="367"/>
      <c r="P101" s="367"/>
      <c r="Q101" s="367"/>
      <c r="R101" s="367"/>
      <c r="S101" s="367"/>
      <c r="T101" s="367"/>
      <c r="U101" s="367"/>
      <c r="V101" s="367"/>
      <c r="W101" s="367"/>
      <c r="X101" s="367"/>
      <c r="Y101" s="367"/>
      <c r="Z101" s="367"/>
    </row>
    <row r="102">
      <c r="A102" s="367"/>
      <c r="B102" s="367"/>
      <c r="C102" s="367"/>
      <c r="D102" s="367"/>
      <c r="E102" s="367"/>
      <c r="F102" s="367"/>
      <c r="G102" s="367"/>
      <c r="H102" s="367"/>
      <c r="I102" s="367"/>
      <c r="J102" s="367"/>
      <c r="K102" s="367"/>
      <c r="L102" s="367"/>
      <c r="M102" s="367"/>
      <c r="N102" s="367"/>
      <c r="O102" s="367"/>
      <c r="P102" s="367"/>
      <c r="Q102" s="367"/>
      <c r="R102" s="367"/>
      <c r="S102" s="367"/>
      <c r="T102" s="367"/>
      <c r="U102" s="367"/>
      <c r="V102" s="367"/>
      <c r="W102" s="367"/>
      <c r="X102" s="367"/>
      <c r="Y102" s="367"/>
      <c r="Z102" s="367"/>
    </row>
    <row r="103">
      <c r="A103" s="367"/>
      <c r="B103" s="367"/>
      <c r="C103" s="367"/>
      <c r="D103" s="367"/>
      <c r="E103" s="367"/>
      <c r="F103" s="367"/>
      <c r="G103" s="367"/>
      <c r="H103" s="367"/>
      <c r="I103" s="367"/>
      <c r="J103" s="367"/>
      <c r="K103" s="367"/>
      <c r="L103" s="367"/>
      <c r="M103" s="367"/>
      <c r="N103" s="367"/>
      <c r="O103" s="367"/>
      <c r="P103" s="367"/>
      <c r="Q103" s="367"/>
      <c r="R103" s="367"/>
      <c r="S103" s="367"/>
      <c r="T103" s="367"/>
      <c r="U103" s="367"/>
      <c r="V103" s="367"/>
      <c r="W103" s="367"/>
      <c r="X103" s="367"/>
      <c r="Y103" s="367"/>
      <c r="Z103" s="367"/>
    </row>
    <row r="104">
      <c r="A104" s="390"/>
      <c r="B104" s="367"/>
      <c r="C104" s="367"/>
      <c r="D104" s="367"/>
      <c r="E104" s="367"/>
      <c r="F104" s="367"/>
      <c r="G104" s="367"/>
      <c r="H104" s="367"/>
      <c r="I104" s="367"/>
      <c r="J104" s="367"/>
      <c r="K104" s="367"/>
      <c r="L104" s="367"/>
      <c r="M104" s="367"/>
      <c r="N104" s="367"/>
      <c r="O104" s="367"/>
      <c r="P104" s="367"/>
      <c r="Q104" s="367"/>
      <c r="R104" s="367"/>
      <c r="S104" s="367"/>
      <c r="T104" s="367"/>
      <c r="U104" s="367"/>
      <c r="V104" s="367"/>
      <c r="W104" s="367"/>
      <c r="X104" s="367"/>
      <c r="Y104" s="367"/>
      <c r="Z104" s="367"/>
    </row>
    <row r="105">
      <c r="A105" s="367"/>
      <c r="B105" s="367"/>
      <c r="C105" s="367"/>
      <c r="D105" s="367"/>
      <c r="E105" s="390"/>
      <c r="F105" s="367"/>
      <c r="G105" s="367"/>
      <c r="H105" s="367"/>
      <c r="I105" s="390"/>
      <c r="J105" s="367"/>
      <c r="K105" s="390"/>
      <c r="L105" s="367"/>
      <c r="M105" s="367"/>
      <c r="N105" s="367"/>
      <c r="O105" s="367"/>
      <c r="P105" s="367"/>
      <c r="Q105" s="367"/>
      <c r="R105" s="367"/>
      <c r="S105" s="367"/>
      <c r="T105" s="367"/>
      <c r="U105" s="367"/>
      <c r="V105" s="367"/>
      <c r="W105" s="367"/>
      <c r="X105" s="367"/>
      <c r="Y105" s="367"/>
      <c r="Z105" s="367"/>
    </row>
    <row r="106">
      <c r="A106" s="367"/>
      <c r="C106" s="367"/>
      <c r="E106" s="367"/>
      <c r="F106" s="367"/>
      <c r="G106" s="367"/>
      <c r="H106" s="367"/>
      <c r="I106" s="367"/>
      <c r="J106" s="367"/>
      <c r="K106" s="367"/>
      <c r="L106" s="367"/>
      <c r="M106" s="367"/>
      <c r="N106" s="367"/>
      <c r="O106" s="367"/>
      <c r="P106" s="367"/>
      <c r="Q106" s="367"/>
      <c r="R106" s="367"/>
      <c r="S106" s="367"/>
      <c r="T106" s="367"/>
      <c r="U106" s="367"/>
      <c r="V106" s="367"/>
      <c r="W106" s="367"/>
      <c r="X106" s="367"/>
      <c r="Y106" s="367"/>
      <c r="Z106" s="367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4.25"/>
    <col customWidth="1" min="2" max="2" width="11.0"/>
    <col customWidth="1" min="3" max="9" width="10.13"/>
    <col customWidth="1" min="10" max="10" width="10.88"/>
    <col customWidth="1" min="11" max="11" width="10.13"/>
    <col customWidth="1" min="12" max="12" width="13.13"/>
    <col customWidth="1" min="13" max="14" width="10.13"/>
    <col customWidth="1" min="15" max="15" width="11.25"/>
    <col customWidth="1" min="16" max="17" width="10.13"/>
  </cols>
  <sheetData>
    <row r="1">
      <c r="A1" s="167"/>
      <c r="B1" s="168" t="s">
        <v>34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</row>
    <row r="2">
      <c r="A2" s="169" t="s">
        <v>172</v>
      </c>
      <c r="B2" s="170" t="s">
        <v>174</v>
      </c>
      <c r="C2" s="171" t="s">
        <v>693</v>
      </c>
      <c r="D2" s="172" t="s">
        <v>694</v>
      </c>
      <c r="E2" s="172" t="s">
        <v>695</v>
      </c>
      <c r="F2" s="172" t="s">
        <v>179</v>
      </c>
      <c r="G2" s="172" t="s">
        <v>696</v>
      </c>
      <c r="H2" s="173" t="s">
        <v>697</v>
      </c>
      <c r="I2" s="174" t="s">
        <v>84</v>
      </c>
      <c r="J2" s="170" t="s">
        <v>698</v>
      </c>
      <c r="K2" s="175" t="s">
        <v>699</v>
      </c>
      <c r="L2" s="173" t="s">
        <v>89</v>
      </c>
      <c r="M2" s="176" t="s">
        <v>700</v>
      </c>
      <c r="N2" s="177" t="s">
        <v>701</v>
      </c>
      <c r="O2" s="177" t="s">
        <v>702</v>
      </c>
      <c r="P2" s="178" t="s">
        <v>90</v>
      </c>
      <c r="Q2" s="179" t="s">
        <v>703</v>
      </c>
    </row>
    <row r="3">
      <c r="A3" s="326" t="s">
        <v>34</v>
      </c>
      <c r="B3" s="251">
        <f t="array" ref="B3">VLOOKUP($A3,AR_DEMO,2,FALSE)</f>
        <v>17149</v>
      </c>
      <c r="C3" s="327">
        <f>vlookup(A3,'AR Data'!$A$3:$N$84,2, FALSE)</f>
        <v>15</v>
      </c>
      <c r="D3" s="376">
        <f>(vlookup(A3,'AR Data'!$A$3:$N$84,6,FALSE))/(vlookup(A3,'AR Data'!$A$3:$N$84,5,FALSE))</f>
        <v>1.8</v>
      </c>
      <c r="E3" s="377" t="s">
        <v>63</v>
      </c>
      <c r="F3" s="382">
        <f>vlookup(A3,'AR Data'!$A$3:$N$84,10,FALSE)</f>
        <v>6</v>
      </c>
      <c r="G3" s="382" t="s">
        <v>63</v>
      </c>
      <c r="H3" s="254">
        <f>vlookup(A3,'AR Data'!$A$3:$N$84,5,FALSE)+vlookup(A3,'AR Data'!$A$3:$N$84,7, FALSE)</f>
        <v>5</v>
      </c>
      <c r="I3" s="255">
        <f>vlookup(A3,'AR Data'!$A$3:$N$84,3, FALSE)</f>
        <v>3</v>
      </c>
      <c r="J3" s="383" t="s">
        <v>63</v>
      </c>
      <c r="K3" s="384" t="s">
        <v>63</v>
      </c>
      <c r="L3" s="385">
        <f>vlookup(A3,'AR Data'!$A$3:$N$84,4, FALSE)</f>
        <v>9</v>
      </c>
      <c r="M3" s="386" t="s">
        <v>63</v>
      </c>
      <c r="N3" s="377" t="s">
        <v>63</v>
      </c>
      <c r="O3" s="377" t="s">
        <v>63</v>
      </c>
      <c r="P3" s="261">
        <f>ifna(vlookup(A3,'Population &amp; Church Numbers'!$A$114:$D$188,4,FALSE),"NULL")</f>
        <v>33</v>
      </c>
      <c r="Q3" s="387" t="s">
        <v>63</v>
      </c>
    </row>
    <row r="4">
      <c r="A4" s="188" t="s">
        <v>240</v>
      </c>
      <c r="B4" s="189">
        <f t="array" ref="B4">VLOOKUP($A4,AR_DEMO,2,FALSE)</f>
        <v>19062</v>
      </c>
      <c r="C4" s="333">
        <f>vlookup(A4,'AR Data'!$A$3:$N$84,2, FALSE)</f>
        <v>10</v>
      </c>
      <c r="D4" s="388">
        <f>(vlookup(A4,'AR Data'!$A$3:$N$84,6,FALSE))/(vlookup(A4,'AR Data'!$A$3:$N$84,5,FALSE))</f>
        <v>1.777777778</v>
      </c>
      <c r="E4" s="389" t="s">
        <v>63</v>
      </c>
      <c r="F4" s="391">
        <f>vlookup(A4,'AR Data'!$A$3:$N$84,10,FALSE)</f>
        <v>7</v>
      </c>
      <c r="G4" s="391" t="s">
        <v>63</v>
      </c>
      <c r="H4" s="266">
        <f>vlookup(A4,'AR Data'!$A$3:$N$84,5,FALSE)+vlookup(A4,'AR Data'!$A$3:$N$84,7, FALSE)</f>
        <v>15</v>
      </c>
      <c r="I4" s="267">
        <f>vlookup(A4,'AR Data'!$A$3:$N$84,3, FALSE)</f>
        <v>0</v>
      </c>
      <c r="J4" s="392" t="s">
        <v>63</v>
      </c>
      <c r="K4" s="393" t="s">
        <v>63</v>
      </c>
      <c r="L4" s="394">
        <f>vlookup(A4,'AR Data'!$A$3:$N$84,4, FALSE)</f>
        <v>4</v>
      </c>
      <c r="M4" s="395" t="s">
        <v>63</v>
      </c>
      <c r="N4" s="389" t="s">
        <v>63</v>
      </c>
      <c r="O4" s="389" t="s">
        <v>63</v>
      </c>
      <c r="P4" s="272">
        <f>ifna(vlookup(A4,'Population &amp; Church Numbers'!$A$114:$D$188,4,FALSE),"NULL")</f>
        <v>52</v>
      </c>
      <c r="Q4" s="396" t="s">
        <v>63</v>
      </c>
    </row>
    <row r="5">
      <c r="A5" s="326" t="s">
        <v>242</v>
      </c>
      <c r="B5" s="251">
        <f t="array" ref="B5">VLOOKUP($A5,AR_DEMO,2,FALSE)</f>
        <v>41627</v>
      </c>
      <c r="C5" s="327">
        <f>vlookup(A5,'AR Data'!$A$3:$N$84,2, FALSE)</f>
        <v>29</v>
      </c>
      <c r="D5" s="376">
        <f>(vlookup(A5,'AR Data'!$A$3:$N$84,6,FALSE))/(vlookup(A5,'AR Data'!$A$3:$N$84,5,FALSE))</f>
        <v>1.619047619</v>
      </c>
      <c r="E5" s="377" t="s">
        <v>63</v>
      </c>
      <c r="F5" s="382">
        <f>vlookup(A5,'AR Data'!$A$3:$N$84,10,FALSE)</f>
        <v>5</v>
      </c>
      <c r="G5" s="382" t="s">
        <v>63</v>
      </c>
      <c r="H5" s="254">
        <f>vlookup(A5,'AR Data'!$A$3:$N$84,5,FALSE)+vlookup(A5,'AR Data'!$A$3:$N$84,7, FALSE)</f>
        <v>27</v>
      </c>
      <c r="I5" s="255">
        <f>vlookup(A5,'AR Data'!$A$3:$N$84,3, FALSE)</f>
        <v>4</v>
      </c>
      <c r="J5" s="383" t="s">
        <v>63</v>
      </c>
      <c r="K5" s="384" t="s">
        <v>63</v>
      </c>
      <c r="L5" s="385">
        <f>vlookup(A5,'AR Data'!$A$3:$N$84,4, FALSE)</f>
        <v>13</v>
      </c>
      <c r="M5" s="397" t="s">
        <v>63</v>
      </c>
      <c r="N5" s="377" t="s">
        <v>63</v>
      </c>
      <c r="O5" s="377" t="s">
        <v>63</v>
      </c>
      <c r="P5" s="261">
        <f>ifna(vlookup(A5,'Population &amp; Church Numbers'!$A$114:$D$188,4,FALSE),"NULL")</f>
        <v>52</v>
      </c>
      <c r="Q5" s="387" t="s">
        <v>63</v>
      </c>
    </row>
    <row r="6">
      <c r="A6" s="188" t="s">
        <v>243</v>
      </c>
      <c r="B6" s="189">
        <f t="array" ref="B6">VLOOKUP($A6,AR_DEMO,2,FALSE)</f>
        <v>284333</v>
      </c>
      <c r="C6" s="333">
        <f>vlookup(A6,'AR Data'!$A$3:$N$84,2, FALSE)</f>
        <v>129</v>
      </c>
      <c r="D6" s="388">
        <f>(vlookup(A6,'AR Data'!$A$3:$N$84,6,FALSE))/(vlookup(A6,'AR Data'!$A$3:$N$84,5,FALSE))</f>
        <v>1.965909091</v>
      </c>
      <c r="E6" s="389" t="s">
        <v>63</v>
      </c>
      <c r="F6" s="391">
        <f>vlookup(A6,'AR Data'!$A$3:$N$84,10,FALSE)</f>
        <v>33</v>
      </c>
      <c r="G6" s="391" t="s">
        <v>63</v>
      </c>
      <c r="H6" s="266">
        <f>vlookup(A6,'AR Data'!$A$3:$N$84,5,FALSE)+vlookup(A6,'AR Data'!$A$3:$N$84,7, FALSE)</f>
        <v>113</v>
      </c>
      <c r="I6" s="267">
        <f>vlookup(A6,'AR Data'!$A$3:$N$84,3, FALSE)</f>
        <v>7</v>
      </c>
      <c r="J6" s="392" t="s">
        <v>63</v>
      </c>
      <c r="K6" s="393" t="s">
        <v>63</v>
      </c>
      <c r="L6" s="394">
        <f>vlookup(A6,'AR Data'!$A$3:$N$84,4, FALSE)</f>
        <v>65</v>
      </c>
      <c r="M6" s="395" t="s">
        <v>63</v>
      </c>
      <c r="N6" s="389" t="s">
        <v>63</v>
      </c>
      <c r="O6" s="389" t="s">
        <v>63</v>
      </c>
      <c r="P6" s="272">
        <f>ifna(vlookup(A6,'Population &amp; Church Numbers'!$A$114:$D$188,4,FALSE),"NULL")</f>
        <v>197</v>
      </c>
      <c r="Q6" s="396" t="s">
        <v>63</v>
      </c>
    </row>
    <row r="7">
      <c r="A7" s="326" t="s">
        <v>246</v>
      </c>
      <c r="B7" s="251">
        <f t="array" ref="B7">VLOOKUP($A7,AR_DEMO,2,FALSE)</f>
        <v>37373</v>
      </c>
      <c r="C7" s="327">
        <f>vlookup(A7,'AR Data'!$A$3:$N$84,2, FALSE)</f>
        <v>40</v>
      </c>
      <c r="D7" s="376">
        <f>(vlookup(A7,'AR Data'!$A$3:$N$84,6,FALSE))/(vlookup(A7,'AR Data'!$A$3:$N$84,5,FALSE))</f>
        <v>2.238095238</v>
      </c>
      <c r="E7" s="377" t="s">
        <v>63</v>
      </c>
      <c r="F7" s="382">
        <f>vlookup(A7,'AR Data'!$A$3:$N$84,10,FALSE)</f>
        <v>18</v>
      </c>
      <c r="G7" s="382" t="s">
        <v>63</v>
      </c>
      <c r="H7" s="254">
        <f>vlookup(A7,'AR Data'!$A$3:$N$84,5,FALSE)+vlookup(A7,'AR Data'!$A$3:$N$84,7, FALSE)</f>
        <v>27</v>
      </c>
      <c r="I7" s="255">
        <f>vlookup(A7,'AR Data'!$A$3:$N$84,3, FALSE)</f>
        <v>5</v>
      </c>
      <c r="J7" s="383" t="s">
        <v>63</v>
      </c>
      <c r="K7" s="384" t="s">
        <v>63</v>
      </c>
      <c r="L7" s="385">
        <f>vlookup(A7,'AR Data'!$A$3:$N$84,4, FALSE)</f>
        <v>30</v>
      </c>
      <c r="M7" s="397" t="s">
        <v>63</v>
      </c>
      <c r="N7" s="377" t="s">
        <v>63</v>
      </c>
      <c r="O7" s="377" t="s">
        <v>63</v>
      </c>
      <c r="P7" s="261">
        <f>ifna(vlookup(A7,'Population &amp; Church Numbers'!$A$114:$D$188,4,FALSE),"NULL")</f>
        <v>67</v>
      </c>
      <c r="Q7" s="387" t="s">
        <v>63</v>
      </c>
    </row>
    <row r="8">
      <c r="A8" s="188" t="s">
        <v>247</v>
      </c>
      <c r="B8" s="189">
        <f t="array" ref="B8">VLOOKUP($A8,AR_DEMO,2,FALSE)</f>
        <v>10545</v>
      </c>
      <c r="C8" s="333">
        <f>vlookup(A8,'AR Data'!$A$3:$N$84,2, FALSE)</f>
        <v>7</v>
      </c>
      <c r="D8" s="388">
        <f>(vlookup(A8,'AR Data'!$A$3:$N$84,6,FALSE))/(vlookup(A8,'AR Data'!$A$3:$N$84,5,FALSE))</f>
        <v>2.25</v>
      </c>
      <c r="E8" s="389" t="s">
        <v>63</v>
      </c>
      <c r="F8" s="391">
        <f>vlookup(A8,'AR Data'!$A$3:$N$84,10,FALSE)</f>
        <v>5</v>
      </c>
      <c r="G8" s="391" t="s">
        <v>63</v>
      </c>
      <c r="H8" s="266">
        <f>vlookup(A8,'AR Data'!$A$3:$N$84,5,FALSE)+vlookup(A8,'AR Data'!$A$3:$N$84,7, FALSE)</f>
        <v>7</v>
      </c>
      <c r="I8" s="267">
        <f>vlookup(A8,'AR Data'!$A$3:$N$84,3, FALSE)</f>
        <v>0</v>
      </c>
      <c r="J8" s="392" t="s">
        <v>63</v>
      </c>
      <c r="K8" s="393" t="s">
        <v>63</v>
      </c>
      <c r="L8" s="394">
        <f>vlookup(A8,'AR Data'!$A$3:$N$84,4, FALSE)</f>
        <v>5</v>
      </c>
      <c r="M8" s="395" t="s">
        <v>63</v>
      </c>
      <c r="N8" s="389" t="s">
        <v>63</v>
      </c>
      <c r="O8" s="389" t="s">
        <v>63</v>
      </c>
      <c r="P8" s="272">
        <f>ifna(vlookup(A8,'Population &amp; Church Numbers'!$A$114:$D$188,4,FALSE),"NULL")</f>
        <v>18</v>
      </c>
      <c r="Q8" s="396" t="s">
        <v>63</v>
      </c>
    </row>
    <row r="9">
      <c r="A9" s="326" t="s">
        <v>93</v>
      </c>
      <c r="B9" s="251">
        <f t="array" ref="B9">VLOOKUP($A9,AR_DEMO,2,FALSE)</f>
        <v>4739</v>
      </c>
      <c r="C9" s="327">
        <f>vlookup(A9,'AR Data'!$A$3:$N$84,2, FALSE)</f>
        <v>1</v>
      </c>
      <c r="D9" s="376">
        <f>(vlookup(A9,'AR Data'!$A$3:$N$84,6,FALSE))/(vlookup(A9,'AR Data'!$A$3:$N$84,5,FALSE))</f>
        <v>1.333333333</v>
      </c>
      <c r="E9" s="377" t="s">
        <v>63</v>
      </c>
      <c r="F9" s="382">
        <f>vlookup(A9,'AR Data'!$A$3:$N$84,10,FALSE)</f>
        <v>1</v>
      </c>
      <c r="G9" s="382" t="s">
        <v>63</v>
      </c>
      <c r="H9" s="254">
        <f>vlookup(A9,'AR Data'!$A$3:$N$84,5,FALSE)+vlookup(A9,'AR Data'!$A$3:$N$84,7, FALSE)</f>
        <v>5</v>
      </c>
      <c r="I9" s="255">
        <f>vlookup(A9,'AR Data'!$A$3:$N$84,3, FALSE)</f>
        <v>0</v>
      </c>
      <c r="J9" s="383" t="s">
        <v>63</v>
      </c>
      <c r="K9" s="384" t="s">
        <v>63</v>
      </c>
      <c r="L9" s="385">
        <f>vlookup(A9,'AR Data'!$A$3:$N$84,4, FALSE)</f>
        <v>1</v>
      </c>
      <c r="M9" s="397" t="s">
        <v>63</v>
      </c>
      <c r="N9" s="377" t="s">
        <v>63</v>
      </c>
      <c r="O9" s="377" t="s">
        <v>63</v>
      </c>
      <c r="P9" s="261">
        <f>ifna(vlookup(A9,'Population &amp; Church Numbers'!$A$114:$D$188,4,FALSE),"NULL")</f>
        <v>16</v>
      </c>
      <c r="Q9" s="387" t="s">
        <v>63</v>
      </c>
    </row>
    <row r="10">
      <c r="A10" s="188" t="s">
        <v>248</v>
      </c>
      <c r="B10" s="189">
        <f t="array" ref="B10">VLOOKUP($A10,AR_DEMO,2,FALSE)</f>
        <v>28260</v>
      </c>
      <c r="C10" s="333">
        <f>vlookup(A10,'AR Data'!$A$3:$N$84,2, FALSE)</f>
        <v>30</v>
      </c>
      <c r="D10" s="388">
        <f>(vlookup(A10,'AR Data'!$A$3:$N$84,6,FALSE))/(vlookup(A10,'AR Data'!$A$3:$N$84,5,FALSE))</f>
        <v>2</v>
      </c>
      <c r="E10" s="389" t="s">
        <v>63</v>
      </c>
      <c r="F10" s="391">
        <f>vlookup(A10,'AR Data'!$A$3:$N$84,10,FALSE)</f>
        <v>10</v>
      </c>
      <c r="G10" s="391" t="s">
        <v>63</v>
      </c>
      <c r="H10" s="266">
        <f>vlookup(A10,'AR Data'!$A$3:$N$84,5,FALSE)+vlookup(A10,'AR Data'!$A$3:$N$84,7, FALSE)</f>
        <v>9</v>
      </c>
      <c r="I10" s="267">
        <f>vlookup(A10,'AR Data'!$A$3:$N$84,3, FALSE)</f>
        <v>1</v>
      </c>
      <c r="J10" s="392" t="s">
        <v>63</v>
      </c>
      <c r="K10" s="393" t="s">
        <v>63</v>
      </c>
      <c r="L10" s="394">
        <f>vlookup(A10,'AR Data'!$A$3:$N$84,4, FALSE)</f>
        <v>16</v>
      </c>
      <c r="M10" s="395" t="s">
        <v>63</v>
      </c>
      <c r="N10" s="389" t="s">
        <v>63</v>
      </c>
      <c r="O10" s="389" t="s">
        <v>63</v>
      </c>
      <c r="P10" s="272">
        <f>ifna(vlookup(A10,'Population &amp; Church Numbers'!$A$114:$D$188,4,FALSE),"NULL")</f>
        <v>35</v>
      </c>
      <c r="Q10" s="396" t="s">
        <v>63</v>
      </c>
    </row>
    <row r="11">
      <c r="A11" s="326" t="s">
        <v>251</v>
      </c>
      <c r="B11" s="251">
        <f t="array" ref="B11">VLOOKUP($A11,AR_DEMO,2,FALSE)</f>
        <v>10208</v>
      </c>
      <c r="C11" s="327">
        <f>vlookup(A11,'AR Data'!$A$3:$N$84,2, FALSE)</f>
        <v>7</v>
      </c>
      <c r="D11" s="376">
        <f>(vlookup(A11,'AR Data'!$A$3:$N$84,6,FALSE))/(vlookup(A11,'AR Data'!$A$3:$N$84,5,FALSE))</f>
        <v>2</v>
      </c>
      <c r="E11" s="377" t="s">
        <v>63</v>
      </c>
      <c r="F11" s="382">
        <f>vlookup(A11,'AR Data'!$A$3:$N$84,10,FALSE)</f>
        <v>2</v>
      </c>
      <c r="G11" s="382" t="s">
        <v>63</v>
      </c>
      <c r="H11" s="254">
        <f>vlookup(A11,'AR Data'!$A$3:$N$84,5,FALSE)+vlookup(A11,'AR Data'!$A$3:$N$84,7, FALSE)</f>
        <v>5</v>
      </c>
      <c r="I11" s="255">
        <f>vlookup(A11,'AR Data'!$A$3:$N$84,3, FALSE)</f>
        <v>0</v>
      </c>
      <c r="J11" s="383" t="s">
        <v>63</v>
      </c>
      <c r="K11" s="384" t="s">
        <v>63</v>
      </c>
      <c r="L11" s="385">
        <f>vlookup(A11,'AR Data'!$A$3:$N$84,4, FALSE)</f>
        <v>5</v>
      </c>
      <c r="M11" s="397" t="s">
        <v>63</v>
      </c>
      <c r="N11" s="377" t="s">
        <v>63</v>
      </c>
      <c r="O11" s="377" t="s">
        <v>63</v>
      </c>
      <c r="P11" s="261">
        <f>ifna(vlookup(A11,'Population &amp; Church Numbers'!$A$114:$D$188,4,FALSE),"NULL")</f>
        <v>24</v>
      </c>
      <c r="Q11" s="387" t="s">
        <v>63</v>
      </c>
    </row>
    <row r="12">
      <c r="A12" s="188" t="s">
        <v>253</v>
      </c>
      <c r="B12" s="189">
        <f t="array" ref="B12">VLOOKUP($A12,AR_DEMO,2,FALSE)</f>
        <v>21446</v>
      </c>
      <c r="C12" s="333">
        <f>vlookup(A12,'AR Data'!$A$3:$N$84,2, FALSE)</f>
        <v>12</v>
      </c>
      <c r="D12" s="388">
        <f>(vlookup(A12,'AR Data'!$A$3:$N$84,6,FALSE))/(vlookup(A12,'AR Data'!$A$3:$N$84,5,FALSE))</f>
        <v>1.941176471</v>
      </c>
      <c r="E12" s="389" t="s">
        <v>63</v>
      </c>
      <c r="F12" s="391">
        <f>vlookup(A12,'AR Data'!$A$3:$N$84,10,FALSE)</f>
        <v>4</v>
      </c>
      <c r="G12" s="391" t="s">
        <v>63</v>
      </c>
      <c r="H12" s="266">
        <f>vlookup(A12,'AR Data'!$A$3:$N$84,5,FALSE)+vlookup(A12,'AR Data'!$A$3:$N$84,7, FALSE)</f>
        <v>19</v>
      </c>
      <c r="I12" s="267">
        <f>vlookup(A12,'AR Data'!$A$3:$N$84,3, FALSE)</f>
        <v>1</v>
      </c>
      <c r="J12" s="392" t="s">
        <v>63</v>
      </c>
      <c r="K12" s="393" t="s">
        <v>63</v>
      </c>
      <c r="L12" s="394">
        <f>vlookup(A12,'AR Data'!$A$3:$N$84,4, FALSE)</f>
        <v>9</v>
      </c>
      <c r="M12" s="395" t="s">
        <v>63</v>
      </c>
      <c r="N12" s="389" t="s">
        <v>63</v>
      </c>
      <c r="O12" s="389" t="s">
        <v>63</v>
      </c>
      <c r="P12" s="272">
        <f>ifna(vlookup(A12,'Population &amp; Church Numbers'!$A$114:$D$188,4,FALSE),"NULL")</f>
        <v>48</v>
      </c>
      <c r="Q12" s="396" t="s">
        <v>63</v>
      </c>
    </row>
    <row r="13">
      <c r="A13" s="326" t="s">
        <v>112</v>
      </c>
      <c r="B13" s="251">
        <f t="array" ref="B13">VLOOKUP($A13,AR_DEMO,2,FALSE)</f>
        <v>14552</v>
      </c>
      <c r="C13" s="327">
        <f>vlookup(A13,'AR Data'!$A$3:$N$84,2, FALSE)</f>
        <v>14</v>
      </c>
      <c r="D13" s="376">
        <f>(vlookup(A13,'AR Data'!$A$3:$N$84,6,FALSE))/(vlookup(A13,'AR Data'!$A$3:$N$84,5,FALSE))</f>
        <v>2.25</v>
      </c>
      <c r="E13" s="377" t="s">
        <v>63</v>
      </c>
      <c r="F13" s="382">
        <f>vlookup(A13,'AR Data'!$A$3:$N$84,10,FALSE)</f>
        <v>5</v>
      </c>
      <c r="G13" s="382" t="s">
        <v>63</v>
      </c>
      <c r="H13" s="254">
        <f>vlookup(A13,'AR Data'!$A$3:$N$84,5,FALSE)+vlookup(A13,'AR Data'!$A$3:$N$84,7, FALSE)</f>
        <v>10</v>
      </c>
      <c r="I13" s="255">
        <f>vlookup(A13,'AR Data'!$A$3:$N$84,3, FALSE)</f>
        <v>3</v>
      </c>
      <c r="J13" s="383" t="s">
        <v>63</v>
      </c>
      <c r="K13" s="384" t="s">
        <v>63</v>
      </c>
      <c r="L13" s="385">
        <f>vlookup(A13,'AR Data'!$A$3:$N$84,4, FALSE)</f>
        <v>12</v>
      </c>
      <c r="M13" s="397" t="s">
        <v>63</v>
      </c>
      <c r="N13" s="377" t="s">
        <v>63</v>
      </c>
      <c r="O13" s="377" t="s">
        <v>63</v>
      </c>
      <c r="P13" s="261">
        <f>ifna(vlookup(A13,'Population &amp; Church Numbers'!$A$114:$D$188,4,FALSE),"NULL")</f>
        <v>21</v>
      </c>
      <c r="Q13" s="387" t="s">
        <v>63</v>
      </c>
    </row>
    <row r="14">
      <c r="A14" s="188" t="s">
        <v>115</v>
      </c>
      <c r="B14" s="189">
        <f t="array" ref="B14">VLOOKUP($A14,AR_DEMO,2,FALSE)</f>
        <v>24711</v>
      </c>
      <c r="C14" s="333">
        <f>vlookup(A14,'AR Data'!$A$3:$N$84,2, FALSE)</f>
        <v>38</v>
      </c>
      <c r="D14" s="388">
        <f>(vlookup(A14,'AR Data'!$A$3:$N$84,6,FALSE))/(vlookup(A14,'AR Data'!$A$3:$N$84,5,FALSE))</f>
        <v>1.916666667</v>
      </c>
      <c r="E14" s="389" t="s">
        <v>63</v>
      </c>
      <c r="F14" s="391">
        <f>vlookup(A14,'AR Data'!$A$3:$N$84,10,FALSE)</f>
        <v>14</v>
      </c>
      <c r="G14" s="391" t="s">
        <v>63</v>
      </c>
      <c r="H14" s="266">
        <f>vlookup(A14,'AR Data'!$A$3:$N$84,5,FALSE)+vlookup(A14,'AR Data'!$A$3:$N$84,7, FALSE)</f>
        <v>15</v>
      </c>
      <c r="I14" s="267">
        <f>vlookup(A14,'AR Data'!$A$3:$N$84,3, FALSE)</f>
        <v>1</v>
      </c>
      <c r="J14" s="392" t="s">
        <v>63</v>
      </c>
      <c r="K14" s="393" t="s">
        <v>63</v>
      </c>
      <c r="L14" s="394">
        <f>vlookup(A14,'AR Data'!$A$3:$N$84,4, FALSE)</f>
        <v>16</v>
      </c>
      <c r="M14" s="395" t="s">
        <v>63</v>
      </c>
      <c r="N14" s="389" t="s">
        <v>63</v>
      </c>
      <c r="O14" s="389" t="s">
        <v>63</v>
      </c>
      <c r="P14" s="272">
        <f>ifna(vlookup(A14,'Population &amp; Church Numbers'!$A$114:$D$188,4,FALSE),"NULL")</f>
        <v>47</v>
      </c>
      <c r="Q14" s="396" t="s">
        <v>63</v>
      </c>
    </row>
    <row r="15">
      <c r="A15" s="326" t="s">
        <v>257</v>
      </c>
      <c r="B15" s="251">
        <f t="array" ref="B15">VLOOKUP($A15,AR_DEMO,2,FALSE)</f>
        <v>7550</v>
      </c>
      <c r="C15" s="327">
        <f>vlookup(A15,'AR Data'!$A$3:$N$84,2, FALSE)</f>
        <v>2</v>
      </c>
      <c r="D15" s="376">
        <f>(vlookup(A15,'AR Data'!$A$3:$N$84,6,FALSE))/(vlookup(A15,'AR Data'!$A$3:$N$84,5,FALSE))</f>
        <v>2.666666667</v>
      </c>
      <c r="E15" s="377" t="s">
        <v>63</v>
      </c>
      <c r="F15" s="382">
        <f>vlookup(A15,'AR Data'!$A$3:$N$84,10,FALSE)</f>
        <v>2</v>
      </c>
      <c r="G15" s="382" t="s">
        <v>63</v>
      </c>
      <c r="H15" s="254">
        <f>vlookup(A15,'AR Data'!$A$3:$N$84,5,FALSE)+vlookup(A15,'AR Data'!$A$3:$N$84,7, FALSE)</f>
        <v>3</v>
      </c>
      <c r="I15" s="255">
        <f>vlookup(A15,'AR Data'!$A$3:$N$84,3, FALSE)</f>
        <v>0</v>
      </c>
      <c r="J15" s="383" t="s">
        <v>63</v>
      </c>
      <c r="K15" s="384" t="s">
        <v>63</v>
      </c>
      <c r="L15" s="385">
        <f>vlookup(A15,'AR Data'!$A$3:$N$84,4, FALSE)</f>
        <v>2</v>
      </c>
      <c r="M15" s="397" t="s">
        <v>63</v>
      </c>
      <c r="N15" s="377" t="s">
        <v>63</v>
      </c>
      <c r="O15" s="377" t="s">
        <v>63</v>
      </c>
      <c r="P15" s="261">
        <f>ifna(vlookup(A15,'Population &amp; Church Numbers'!$A$114:$D$188,4,FALSE),"NULL")</f>
        <v>18</v>
      </c>
      <c r="Q15" s="387" t="s">
        <v>63</v>
      </c>
    </row>
    <row r="16">
      <c r="A16" s="188" t="s">
        <v>258</v>
      </c>
      <c r="B16" s="189">
        <f t="array" ref="B16">VLOOKUP($A16,AR_DEMO,2,FALSE)</f>
        <v>22801</v>
      </c>
      <c r="C16" s="333">
        <f>vlookup(A16,'AR Data'!$A$3:$N$84,2, FALSE)</f>
        <v>14</v>
      </c>
      <c r="D16" s="388">
        <f>(vlookup(A16,'AR Data'!$A$3:$N$84,6,FALSE))/(vlookup(A16,'AR Data'!$A$3:$N$84,5,FALSE))</f>
        <v>1.846153846</v>
      </c>
      <c r="E16" s="389" t="s">
        <v>63</v>
      </c>
      <c r="F16" s="391">
        <f>vlookup(A16,'AR Data'!$A$3:$N$84,10,FALSE)</f>
        <v>7</v>
      </c>
      <c r="G16" s="391" t="s">
        <v>63</v>
      </c>
      <c r="H16" s="266">
        <f>vlookup(A16,'AR Data'!$A$3:$N$84,5,FALSE)+vlookup(A16,'AR Data'!$A$3:$N$84,7, FALSE)</f>
        <v>17</v>
      </c>
      <c r="I16" s="267">
        <f>vlookup(A16,'AR Data'!$A$3:$N$84,3, FALSE)</f>
        <v>0</v>
      </c>
      <c r="J16" s="392" t="s">
        <v>63</v>
      </c>
      <c r="K16" s="393" t="s">
        <v>63</v>
      </c>
      <c r="L16" s="394">
        <f>vlookup(A16,'AR Data'!$A$3:$N$84,4, FALSE)</f>
        <v>13</v>
      </c>
      <c r="M16" s="395" t="s">
        <v>63</v>
      </c>
      <c r="N16" s="389" t="s">
        <v>63</v>
      </c>
      <c r="O16" s="389" t="s">
        <v>63</v>
      </c>
      <c r="P16" s="272">
        <f>ifna(vlookup(A16,'Population &amp; Church Numbers'!$A$114:$D$188,4,FALSE),"NULL")</f>
        <v>36</v>
      </c>
      <c r="Q16" s="396" t="s">
        <v>63</v>
      </c>
    </row>
    <row r="17">
      <c r="A17" s="326" t="s">
        <v>260</v>
      </c>
      <c r="B17" s="251">
        <f t="array" ref="B17">VLOOKUP($A17,AR_DEMO,2,FALSE)</f>
        <v>20715</v>
      </c>
      <c r="C17" s="327">
        <f>vlookup(A17,'AR Data'!$A$3:$N$84,2, FALSE)</f>
        <v>32</v>
      </c>
      <c r="D17" s="376">
        <f>(vlookup(A17,'AR Data'!$A$3:$N$84,6,FALSE))/(vlookup(A17,'AR Data'!$A$3:$N$84,5,FALSE))</f>
        <v>5</v>
      </c>
      <c r="E17" s="377" t="s">
        <v>63</v>
      </c>
      <c r="F17" s="382">
        <f>vlookup(A17,'AR Data'!$A$3:$N$84,10,FALSE)</f>
        <v>13</v>
      </c>
      <c r="G17" s="382" t="s">
        <v>63</v>
      </c>
      <c r="H17" s="254">
        <f>vlookup(A17,'AR Data'!$A$3:$N$84,5,FALSE)+vlookup(A17,'AR Data'!$A$3:$N$84,7, FALSE)</f>
        <v>2</v>
      </c>
      <c r="I17" s="255">
        <f>vlookup(A17,'AR Data'!$A$3:$N$84,3, FALSE)</f>
        <v>0</v>
      </c>
      <c r="J17" s="383" t="s">
        <v>63</v>
      </c>
      <c r="K17" s="384" t="s">
        <v>63</v>
      </c>
      <c r="L17" s="385">
        <f>vlookup(A17,'AR Data'!$A$3:$N$84,4, FALSE)</f>
        <v>10</v>
      </c>
      <c r="M17" s="397" t="s">
        <v>63</v>
      </c>
      <c r="N17" s="377" t="s">
        <v>63</v>
      </c>
      <c r="O17" s="377" t="s">
        <v>63</v>
      </c>
      <c r="P17" s="261">
        <f>ifna(vlookup(A17,'Population &amp; Church Numbers'!$A$114:$D$188,4,FALSE),"NULL")</f>
        <v>32</v>
      </c>
      <c r="Q17" s="387" t="s">
        <v>63</v>
      </c>
    </row>
    <row r="18">
      <c r="A18" s="188" t="s">
        <v>262</v>
      </c>
      <c r="B18" s="189">
        <f t="array" ref="B18">VLOOKUP($A18,AR_DEMO,2,FALSE)</f>
        <v>111231</v>
      </c>
      <c r="C18" s="333">
        <f>vlookup(A18,'AR Data'!$A$3:$N$84,2, FALSE)</f>
        <v>95</v>
      </c>
      <c r="D18" s="388">
        <f>(vlookup(A18,'AR Data'!$A$3:$N$84,6,FALSE))/(vlookup(A18,'AR Data'!$A$3:$N$84,5,FALSE))</f>
        <v>1.945945946</v>
      </c>
      <c r="E18" s="389" t="s">
        <v>63</v>
      </c>
      <c r="F18" s="391">
        <f>vlookup(A18,'AR Data'!$A$3:$N$84,10,FALSE)</f>
        <v>29</v>
      </c>
      <c r="G18" s="391" t="s">
        <v>63</v>
      </c>
      <c r="H18" s="266">
        <f>vlookup(A18,'AR Data'!$A$3:$N$84,5,FALSE)+vlookup(A18,'AR Data'!$A$3:$N$84,7, FALSE)</f>
        <v>44</v>
      </c>
      <c r="I18" s="267">
        <f>vlookup(A18,'AR Data'!$A$3:$N$84,3, FALSE)</f>
        <v>4</v>
      </c>
      <c r="J18" s="392" t="s">
        <v>63</v>
      </c>
      <c r="K18" s="393" t="s">
        <v>63</v>
      </c>
      <c r="L18" s="394">
        <f>vlookup(A18,'AR Data'!$A$3:$N$84,4, FALSE)</f>
        <v>68</v>
      </c>
      <c r="M18" s="395" t="s">
        <v>63</v>
      </c>
      <c r="N18" s="389" t="s">
        <v>63</v>
      </c>
      <c r="O18" s="389" t="s">
        <v>63</v>
      </c>
      <c r="P18" s="272">
        <f>ifna(vlookup(A18,'Population &amp; Church Numbers'!$A$114:$D$188,4,FALSE),"NULL")</f>
        <v>114</v>
      </c>
      <c r="Q18" s="396" t="s">
        <v>63</v>
      </c>
    </row>
    <row r="19">
      <c r="A19" s="326" t="s">
        <v>263</v>
      </c>
      <c r="B19" s="251">
        <f t="array" ref="B19">VLOOKUP($A19,AR_DEMO,2,FALSE)</f>
        <v>60133</v>
      </c>
      <c r="C19" s="327">
        <f>vlookup(A19,'AR Data'!$A$3:$N$84,2, FALSE)</f>
        <v>66</v>
      </c>
      <c r="D19" s="376">
        <f>(vlookup(A19,'AR Data'!$A$3:$N$84,6,FALSE))/(vlookup(A19,'AR Data'!$A$3:$N$84,5,FALSE))</f>
        <v>1.813953488</v>
      </c>
      <c r="E19" s="377" t="s">
        <v>63</v>
      </c>
      <c r="F19" s="382">
        <f>vlookup(A19,'AR Data'!$A$3:$N$84,10,FALSE)</f>
        <v>23</v>
      </c>
      <c r="G19" s="382" t="s">
        <v>63</v>
      </c>
      <c r="H19" s="254">
        <f>vlookup(A19,'AR Data'!$A$3:$N$84,5,FALSE)+vlookup(A19,'AR Data'!$A$3:$N$84,7, FALSE)</f>
        <v>63</v>
      </c>
      <c r="I19" s="255">
        <f>vlookup(A19,'AR Data'!$A$3:$N$84,3, FALSE)</f>
        <v>0</v>
      </c>
      <c r="J19" s="383" t="s">
        <v>63</v>
      </c>
      <c r="K19" s="384" t="s">
        <v>63</v>
      </c>
      <c r="L19" s="385">
        <f>vlookup(A19,'AR Data'!$A$3:$N$84,4, FALSE)</f>
        <v>53</v>
      </c>
      <c r="M19" s="397" t="s">
        <v>63</v>
      </c>
      <c r="N19" s="377" t="s">
        <v>63</v>
      </c>
      <c r="O19" s="377" t="s">
        <v>63</v>
      </c>
      <c r="P19" s="261">
        <f>ifna(vlookup(A19,'Population &amp; Church Numbers'!$A$114:$D$188,4,FALSE),"NULL")</f>
        <v>63</v>
      </c>
      <c r="Q19" s="387" t="s">
        <v>63</v>
      </c>
    </row>
    <row r="20">
      <c r="A20" s="188" t="s">
        <v>264</v>
      </c>
      <c r="B20" s="189">
        <f t="array" ref="B20">VLOOKUP($A20,AR_DEMO,2,FALSE)</f>
        <v>48163</v>
      </c>
      <c r="C20" s="333">
        <f>vlookup(A20,'AR Data'!$A$3:$N$84,2, FALSE)</f>
        <v>67</v>
      </c>
      <c r="D20" s="388">
        <f>(vlookup(A20,'AR Data'!$A$3:$N$84,6,FALSE))/(vlookup(A20,'AR Data'!$A$3:$N$84,5,FALSE))</f>
        <v>1.75</v>
      </c>
      <c r="E20" s="389" t="s">
        <v>63</v>
      </c>
      <c r="F20" s="391">
        <f>vlookup(A20,'AR Data'!$A$3:$N$84,10,FALSE)</f>
        <v>17</v>
      </c>
      <c r="G20" s="391" t="s">
        <v>63</v>
      </c>
      <c r="H20" s="266">
        <f>vlookup(A20,'AR Data'!$A$3:$N$84,5,FALSE)+vlookup(A20,'AR Data'!$A$3:$N$84,7, FALSE)</f>
        <v>18</v>
      </c>
      <c r="I20" s="267">
        <f>vlookup(A20,'AR Data'!$A$3:$N$84,3, FALSE)</f>
        <v>0</v>
      </c>
      <c r="J20" s="392" t="s">
        <v>63</v>
      </c>
      <c r="K20" s="393" t="s">
        <v>63</v>
      </c>
      <c r="L20" s="394">
        <f>vlookup(A20,'AR Data'!$A$3:$N$84,4, FALSE)</f>
        <v>35</v>
      </c>
      <c r="M20" s="395" t="s">
        <v>63</v>
      </c>
      <c r="N20" s="389" t="s">
        <v>63</v>
      </c>
      <c r="O20" s="389" t="s">
        <v>63</v>
      </c>
      <c r="P20" s="272">
        <f>ifna(vlookup(A20,'Population &amp; Church Numbers'!$A$114:$D$188,4,FALSE),"NULL")</f>
        <v>64</v>
      </c>
      <c r="Q20" s="396" t="s">
        <v>63</v>
      </c>
    </row>
    <row r="21">
      <c r="A21" s="326" t="s">
        <v>266</v>
      </c>
      <c r="B21" s="251">
        <f t="array" ref="B21">VLOOKUP($A21,AR_DEMO,2,FALSE)</f>
        <v>16833</v>
      </c>
      <c r="C21" s="327">
        <f>vlookup(A21,'AR Data'!$A$3:$N$84,2, FALSE)</f>
        <v>23</v>
      </c>
      <c r="D21" s="376">
        <f>(vlookup(A21,'AR Data'!$A$3:$N$84,6,FALSE))/(vlookup(A21,'AR Data'!$A$3:$N$84,5,FALSE))</f>
        <v>2.206896552</v>
      </c>
      <c r="E21" s="377" t="s">
        <v>63</v>
      </c>
      <c r="F21" s="382">
        <f>vlookup(A21,'AR Data'!$A$3:$N$84,10,FALSE)</f>
        <v>5</v>
      </c>
      <c r="G21" s="382" t="s">
        <v>63</v>
      </c>
      <c r="H21" s="254">
        <f>vlookup(A21,'AR Data'!$A$3:$N$84,5,FALSE)+vlookup(A21,'AR Data'!$A$3:$N$84,7, FALSE)</f>
        <v>33</v>
      </c>
      <c r="I21" s="255">
        <f>vlookup(A21,'AR Data'!$A$3:$N$84,3, FALSE)</f>
        <v>1</v>
      </c>
      <c r="J21" s="383" t="s">
        <v>63</v>
      </c>
      <c r="K21" s="384" t="s">
        <v>63</v>
      </c>
      <c r="L21" s="385">
        <f>vlookup(A21,'AR Data'!$A$3:$N$84,4, FALSE)</f>
        <v>13</v>
      </c>
      <c r="M21" s="397" t="s">
        <v>63</v>
      </c>
      <c r="N21" s="377" t="s">
        <v>63</v>
      </c>
      <c r="O21" s="377" t="s">
        <v>63</v>
      </c>
      <c r="P21" s="261">
        <f>ifna(vlookup(A21,'Population &amp; Church Numbers'!$A$114:$D$188,4,FALSE),"NULL")</f>
        <v>29</v>
      </c>
      <c r="Q21" s="387" t="s">
        <v>63</v>
      </c>
    </row>
    <row r="22">
      <c r="A22" s="188" t="s">
        <v>130</v>
      </c>
      <c r="B22" s="189">
        <f t="array" ref="B22">VLOOKUP($A22,AR_DEMO,2,FALSE)</f>
        <v>6482</v>
      </c>
      <c r="C22" s="333">
        <f>vlookup(A22,'AR Data'!$A$3:$N$84,2, FALSE)</f>
        <v>15</v>
      </c>
      <c r="D22" s="388">
        <f>(vlookup(A22,'AR Data'!$A$3:$N$84,6,FALSE))/(vlookup(A22,'AR Data'!$A$3:$N$84,5,FALSE))</f>
        <v>2</v>
      </c>
      <c r="E22" s="389" t="s">
        <v>63</v>
      </c>
      <c r="F22" s="391">
        <f>vlookup(A22,'AR Data'!$A$3:$N$84,10,FALSE)</f>
        <v>3</v>
      </c>
      <c r="G22" s="391" t="s">
        <v>63</v>
      </c>
      <c r="H22" s="266">
        <f>vlookup(A22,'AR Data'!$A$3:$N$84,5,FALSE)+vlookup(A22,'AR Data'!$A$3:$N$84,7, FALSE)</f>
        <v>1</v>
      </c>
      <c r="I22" s="267">
        <f>vlookup(A22,'AR Data'!$A$3:$N$84,3, FALSE)</f>
        <v>4</v>
      </c>
      <c r="J22" s="392" t="s">
        <v>63</v>
      </c>
      <c r="K22" s="393" t="s">
        <v>63</v>
      </c>
      <c r="L22" s="394">
        <f>vlookup(A22,'AR Data'!$A$3:$N$84,4, FALSE)</f>
        <v>2</v>
      </c>
      <c r="M22" s="395" t="s">
        <v>63</v>
      </c>
      <c r="N22" s="389" t="s">
        <v>63</v>
      </c>
      <c r="O22" s="389" t="s">
        <v>63</v>
      </c>
      <c r="P22" s="272">
        <f>ifna(vlookup(A22,'Population &amp; Church Numbers'!$A$114:$D$188,4,FALSE),"NULL")</f>
        <v>30</v>
      </c>
      <c r="Q22" s="396" t="s">
        <v>63</v>
      </c>
    </row>
    <row r="23">
      <c r="A23" s="326" t="s">
        <v>268</v>
      </c>
      <c r="B23" s="251">
        <f t="array" ref="B23">VLOOKUP($A23,AR_DEMO,2,FALSE)</f>
        <v>11395</v>
      </c>
      <c r="C23" s="327">
        <f>vlookup(A23,'AR Data'!$A$3:$N$84,2, FALSE)</f>
        <v>1</v>
      </c>
      <c r="D23" s="376">
        <f>(vlookup(A23,'AR Data'!$A$3:$N$84,6,FALSE))/(vlookup(A23,'AR Data'!$A$3:$N$84,5,FALSE))</f>
        <v>1.666666667</v>
      </c>
      <c r="E23" s="377" t="s">
        <v>63</v>
      </c>
      <c r="F23" s="382">
        <f>vlookup(A23,'AR Data'!$A$3:$N$84,10,FALSE)</f>
        <v>1</v>
      </c>
      <c r="G23" s="382" t="s">
        <v>63</v>
      </c>
      <c r="H23" s="254">
        <f>vlookup(A23,'AR Data'!$A$3:$N$84,5,FALSE)+vlookup(A23,'AR Data'!$A$3:$N$84,7, FALSE)</f>
        <v>5</v>
      </c>
      <c r="I23" s="255">
        <f>vlookup(A23,'AR Data'!$A$3:$N$84,3, FALSE)</f>
        <v>0</v>
      </c>
      <c r="J23" s="383" t="s">
        <v>63</v>
      </c>
      <c r="K23" s="384" t="s">
        <v>63</v>
      </c>
      <c r="L23" s="385">
        <f>vlookup(A23,'AR Data'!$A$3:$N$84,4, FALSE)</f>
        <v>1</v>
      </c>
      <c r="M23" s="397" t="s">
        <v>63</v>
      </c>
      <c r="N23" s="377" t="s">
        <v>63</v>
      </c>
      <c r="O23" s="377" t="s">
        <v>63</v>
      </c>
      <c r="P23" s="261">
        <f>ifna(vlookup(A23,'Population &amp; Church Numbers'!$A$114:$D$188,4,FALSE),"NULL")</f>
        <v>24</v>
      </c>
      <c r="Q23" s="387" t="s">
        <v>63</v>
      </c>
    </row>
    <row r="24">
      <c r="A24" s="188" t="s">
        <v>270</v>
      </c>
      <c r="B24" s="189">
        <f t="array" ref="B24">VLOOKUP($A24,AR_DEMO,2,FALSE)</f>
        <v>17350</v>
      </c>
      <c r="C24" s="333">
        <f>vlookup(A24,'AR Data'!$A$3:$N$84,2, FALSE)</f>
        <v>12</v>
      </c>
      <c r="D24" s="388">
        <f>(vlookup(A24,'AR Data'!$A$3:$N$84,6,FALSE))/(vlookup(A24,'AR Data'!$A$3:$N$84,5,FALSE))</f>
        <v>2.5</v>
      </c>
      <c r="E24" s="389" t="s">
        <v>63</v>
      </c>
      <c r="F24" s="391">
        <f>vlookup(A24,'AR Data'!$A$3:$N$84,10,FALSE)</f>
        <v>7</v>
      </c>
      <c r="G24" s="391" t="s">
        <v>63</v>
      </c>
      <c r="H24" s="266">
        <f>vlookup(A24,'AR Data'!$A$3:$N$84,5,FALSE)+vlookup(A24,'AR Data'!$A$3:$N$84,7, FALSE)</f>
        <v>24</v>
      </c>
      <c r="I24" s="267">
        <f>vlookup(A24,'AR Data'!$A$3:$N$84,3, FALSE)</f>
        <v>1</v>
      </c>
      <c r="J24" s="392" t="s">
        <v>63</v>
      </c>
      <c r="K24" s="393" t="s">
        <v>63</v>
      </c>
      <c r="L24" s="394">
        <f>vlookup(A24,'AR Data'!$A$3:$N$84,4, FALSE)</f>
        <v>6</v>
      </c>
      <c r="M24" s="395" t="s">
        <v>63</v>
      </c>
      <c r="N24" s="389" t="s">
        <v>63</v>
      </c>
      <c r="O24" s="389" t="s">
        <v>63</v>
      </c>
      <c r="P24" s="272">
        <f>ifna(vlookup(A24,'Population &amp; Church Numbers'!$A$114:$D$188,4,FALSE),"NULL")</f>
        <v>28</v>
      </c>
      <c r="Q24" s="396" t="s">
        <v>63</v>
      </c>
    </row>
    <row r="25">
      <c r="A25" s="326" t="s">
        <v>271</v>
      </c>
      <c r="B25" s="251">
        <f t="array" ref="B25">VLOOKUP($A25,AR_DEMO,2,FALSE)</f>
        <v>123498</v>
      </c>
      <c r="C25" s="327">
        <f>vlookup(A25,'AR Data'!$A$3:$N$84,2, FALSE)</f>
        <v>91</v>
      </c>
      <c r="D25" s="376">
        <f>(vlookup(A25,'AR Data'!$A$3:$N$84,6,FALSE))/(vlookup(A25,'AR Data'!$A$3:$N$84,5,FALSE))</f>
        <v>1.730769231</v>
      </c>
      <c r="E25" s="377" t="s">
        <v>63</v>
      </c>
      <c r="F25" s="382">
        <f>vlookup(A25,'AR Data'!$A$3:$N$84,10,FALSE)</f>
        <v>25</v>
      </c>
      <c r="G25" s="382" t="s">
        <v>63</v>
      </c>
      <c r="H25" s="254">
        <f>vlookup(A25,'AR Data'!$A$3:$N$84,5,FALSE)+vlookup(A25,'AR Data'!$A$3:$N$84,7, FALSE)</f>
        <v>62</v>
      </c>
      <c r="I25" s="255">
        <f>vlookup(A25,'AR Data'!$A$3:$N$84,3, FALSE)</f>
        <v>10</v>
      </c>
      <c r="J25" s="383" t="s">
        <v>63</v>
      </c>
      <c r="K25" s="384" t="s">
        <v>63</v>
      </c>
      <c r="L25" s="385">
        <f>vlookup(A25,'AR Data'!$A$3:$N$84,4, FALSE)</f>
        <v>56</v>
      </c>
      <c r="M25" s="397" t="s">
        <v>63</v>
      </c>
      <c r="N25" s="377" t="s">
        <v>63</v>
      </c>
      <c r="O25" s="377" t="s">
        <v>63</v>
      </c>
      <c r="P25" s="261">
        <f>ifna(vlookup(A25,'Population &amp; Church Numbers'!$A$114:$D$188,4,FALSE),"NULL")</f>
        <v>114</v>
      </c>
      <c r="Q25" s="387" t="s">
        <v>63</v>
      </c>
    </row>
    <row r="26">
      <c r="A26" s="188" t="s">
        <v>136</v>
      </c>
      <c r="B26" s="189">
        <f t="array" ref="B26">VLOOKUP($A26,AR_DEMO,2,FALSE)</f>
        <v>17097</v>
      </c>
      <c r="C26" s="333">
        <f>vlookup(A26,'AR Data'!$A$3:$N$84,2, FALSE)</f>
        <v>42</v>
      </c>
      <c r="D26" s="388">
        <f>(vlookup(A26,'AR Data'!$A$3:$N$84,6,FALSE))/(vlookup(A26,'AR Data'!$A$3:$N$84,5,FALSE))</f>
        <v>1.714285714</v>
      </c>
      <c r="E26" s="389" t="s">
        <v>63</v>
      </c>
      <c r="F26" s="391">
        <f>vlookup(A26,'AR Data'!$A$3:$N$84,10,FALSE)</f>
        <v>19</v>
      </c>
      <c r="G26" s="391" t="s">
        <v>63</v>
      </c>
      <c r="H26" s="266">
        <f>vlookup(A26,'AR Data'!$A$3:$N$84,5,FALSE)+vlookup(A26,'AR Data'!$A$3:$N$84,7, FALSE)</f>
        <v>12</v>
      </c>
      <c r="I26" s="267">
        <f>vlookup(A26,'AR Data'!$A$3:$N$84,3, FALSE)</f>
        <v>3</v>
      </c>
      <c r="J26" s="392" t="s">
        <v>63</v>
      </c>
      <c r="K26" s="393" t="s">
        <v>63</v>
      </c>
      <c r="L26" s="394">
        <f>vlookup(A26,'AR Data'!$A$3:$N$84,4, FALSE)</f>
        <v>9</v>
      </c>
      <c r="M26" s="395" t="s">
        <v>63</v>
      </c>
      <c r="N26" s="389" t="s">
        <v>63</v>
      </c>
      <c r="O26" s="389" t="s">
        <v>63</v>
      </c>
      <c r="P26" s="272">
        <f>ifna(vlookup(A26,'Population &amp; Church Numbers'!$A$114:$D$188,4,FALSE),"NULL")</f>
        <v>22</v>
      </c>
      <c r="Q26" s="396" t="s">
        <v>63</v>
      </c>
    </row>
    <row r="27">
      <c r="A27" s="326" t="s">
        <v>275</v>
      </c>
      <c r="B27" s="251">
        <f t="array" ref="B27">VLOOKUP($A27,AR_DEMO,2,FALSE)</f>
        <v>12075</v>
      </c>
      <c r="C27" s="327">
        <f>vlookup(A27,'AR Data'!$A$3:$N$84,2, FALSE)</f>
        <v>8</v>
      </c>
      <c r="D27" s="376">
        <f>(vlookup(A27,'AR Data'!$A$3:$N$84,6,FALSE))/(vlookup(A27,'AR Data'!$A$3:$N$84,5,FALSE))</f>
        <v>2.5</v>
      </c>
      <c r="E27" s="377" t="s">
        <v>63</v>
      </c>
      <c r="F27" s="382">
        <f>vlookup(A27,'AR Data'!$A$3:$N$84,10,FALSE)</f>
        <v>2</v>
      </c>
      <c r="G27" s="382" t="s">
        <v>63</v>
      </c>
      <c r="H27" s="254">
        <f>vlookup(A27,'AR Data'!$A$3:$N$84,5,FALSE)+vlookup(A27,'AR Data'!$A$3:$N$84,7, FALSE)</f>
        <v>4</v>
      </c>
      <c r="I27" s="255">
        <f>vlookup(A27,'AR Data'!$A$3:$N$84,3, FALSE)</f>
        <v>0</v>
      </c>
      <c r="J27" s="383" t="s">
        <v>63</v>
      </c>
      <c r="K27" s="384" t="s">
        <v>63</v>
      </c>
      <c r="L27" s="385">
        <f>vlookup(A27,'AR Data'!$A$3:$N$84,4, FALSE)</f>
        <v>10</v>
      </c>
      <c r="M27" s="397" t="s">
        <v>63</v>
      </c>
      <c r="N27" s="377" t="s">
        <v>63</v>
      </c>
      <c r="O27" s="377" t="s">
        <v>63</v>
      </c>
      <c r="P27" s="261">
        <f>ifna(vlookup(A27,'Population &amp; Church Numbers'!$A$114:$D$188,4,FALSE),"NULL")</f>
        <v>19</v>
      </c>
      <c r="Q27" s="387" t="s">
        <v>63</v>
      </c>
    </row>
    <row r="28">
      <c r="A28" s="188" t="s">
        <v>277</v>
      </c>
      <c r="B28" s="189">
        <f t="array" ref="B28">VLOOKUP($A28,AR_DEMO,2,FALSE)</f>
        <v>100180</v>
      </c>
      <c r="C28" s="333">
        <f>vlookup(A28,'AR Data'!$A$3:$N$84,2, FALSE)</f>
        <v>170</v>
      </c>
      <c r="D28" s="388">
        <f>(vlookup(A28,'AR Data'!$A$3:$N$84,6,FALSE))/(vlookup(A28,'AR Data'!$A$3:$N$84,5,FALSE))</f>
        <v>1.86440678</v>
      </c>
      <c r="E28" s="389" t="s">
        <v>63</v>
      </c>
      <c r="F28" s="391">
        <f>vlookup(A28,'AR Data'!$A$3:$N$84,10,FALSE)</f>
        <v>32</v>
      </c>
      <c r="G28" s="391" t="s">
        <v>63</v>
      </c>
      <c r="H28" s="266">
        <f>vlookup(A28,'AR Data'!$A$3:$N$84,5,FALSE)+vlookup(A28,'AR Data'!$A$3:$N$84,7, FALSE)</f>
        <v>69</v>
      </c>
      <c r="I28" s="267">
        <f>vlookup(A28,'AR Data'!$A$3:$N$84,3, FALSE)</f>
        <v>23</v>
      </c>
      <c r="J28" s="392" t="s">
        <v>63</v>
      </c>
      <c r="K28" s="393" t="s">
        <v>63</v>
      </c>
      <c r="L28" s="394">
        <f>vlookup(A28,'AR Data'!$A$3:$N$84,4, FALSE)</f>
        <v>41</v>
      </c>
      <c r="M28" s="395" t="s">
        <v>63</v>
      </c>
      <c r="N28" s="389" t="s">
        <v>63</v>
      </c>
      <c r="O28" s="389" t="s">
        <v>63</v>
      </c>
      <c r="P28" s="272">
        <f>ifna(vlookup(A28,'Population &amp; Church Numbers'!$A$114:$D$188,4,FALSE),"NULL")</f>
        <v>107</v>
      </c>
      <c r="Q28" s="396" t="s">
        <v>63</v>
      </c>
    </row>
    <row r="29">
      <c r="A29" s="326" t="s">
        <v>278</v>
      </c>
      <c r="B29" s="251">
        <f t="array" ref="B29">VLOOKUP($A29,AR_DEMO,2,FALSE)</f>
        <v>17958</v>
      </c>
      <c r="C29" s="327">
        <f>vlookup(A29,'AR Data'!$A$3:$N$84,2, FALSE)</f>
        <v>27</v>
      </c>
      <c r="D29" s="376">
        <f>(vlookup(A29,'AR Data'!$A$3:$N$84,6,FALSE))/(vlookup(A29,'AR Data'!$A$3:$N$84,5,FALSE))</f>
        <v>2.5</v>
      </c>
      <c r="E29" s="377" t="s">
        <v>63</v>
      </c>
      <c r="F29" s="382">
        <f>vlookup(A29,'AR Data'!$A$3:$N$84,10,FALSE)</f>
        <v>13</v>
      </c>
      <c r="G29" s="382" t="s">
        <v>63</v>
      </c>
      <c r="H29" s="254">
        <f>vlookup(A29,'AR Data'!$A$3:$N$84,5,FALSE)+vlookup(A29,'AR Data'!$A$3:$N$84,7, FALSE)</f>
        <v>15</v>
      </c>
      <c r="I29" s="255">
        <f>vlookup(A29,'AR Data'!$A$3:$N$84,3, FALSE)</f>
        <v>0</v>
      </c>
      <c r="J29" s="383" t="s">
        <v>63</v>
      </c>
      <c r="K29" s="384" t="s">
        <v>63</v>
      </c>
      <c r="L29" s="385">
        <f>vlookup(A29,'AR Data'!$A$3:$N$84,4, FALSE)</f>
        <v>9</v>
      </c>
      <c r="M29" s="397" t="s">
        <v>63</v>
      </c>
      <c r="N29" s="377" t="s">
        <v>63</v>
      </c>
      <c r="O29" s="377" t="s">
        <v>63</v>
      </c>
      <c r="P29" s="261">
        <f>ifna(vlookup(A29,'Population &amp; Church Numbers'!$A$114:$D$188,4,FALSE),"NULL")</f>
        <v>31</v>
      </c>
      <c r="Q29" s="387" t="s">
        <v>63</v>
      </c>
    </row>
    <row r="30">
      <c r="A30" s="188" t="s">
        <v>138</v>
      </c>
      <c r="B30" s="189">
        <f t="array" ref="B30">VLOOKUP($A30,AR_DEMO,2,FALSE)</f>
        <v>45736</v>
      </c>
      <c r="C30" s="333">
        <f>vlookup(A30,'AR Data'!$A$3:$N$84,2, FALSE)</f>
        <v>102</v>
      </c>
      <c r="D30" s="388">
        <f>(vlookup(A30,'AR Data'!$A$3:$N$84,6,FALSE))/(vlookup(A30,'AR Data'!$A$3:$N$84,5,FALSE))</f>
        <v>2.235294118</v>
      </c>
      <c r="E30" s="389" t="s">
        <v>63</v>
      </c>
      <c r="F30" s="391">
        <f>vlookup(A30,'AR Data'!$A$3:$N$84,10,FALSE)</f>
        <v>24</v>
      </c>
      <c r="G30" s="391" t="s">
        <v>63</v>
      </c>
      <c r="H30" s="266">
        <f>vlookup(A30,'AR Data'!$A$3:$N$84,5,FALSE)+vlookup(A30,'AR Data'!$A$3:$N$84,7, FALSE)</f>
        <v>23</v>
      </c>
      <c r="I30" s="267">
        <f>vlookup(A30,'AR Data'!$A$3:$N$84,3, FALSE)</f>
        <v>10</v>
      </c>
      <c r="J30" s="392" t="s">
        <v>63</v>
      </c>
      <c r="K30" s="393" t="s">
        <v>63</v>
      </c>
      <c r="L30" s="394">
        <f>vlookup(A30,'AR Data'!$A$3:$N$84,4, FALSE)</f>
        <v>38</v>
      </c>
      <c r="M30" s="395" t="s">
        <v>63</v>
      </c>
      <c r="N30" s="389" t="s">
        <v>63</v>
      </c>
      <c r="O30" s="389" t="s">
        <v>63</v>
      </c>
      <c r="P30" s="272">
        <f>ifna(vlookup(A30,'Population &amp; Church Numbers'!$A$114:$D$188,4,FALSE),"NULL")</f>
        <v>45</v>
      </c>
      <c r="Q30" s="396" t="s">
        <v>63</v>
      </c>
    </row>
    <row r="31">
      <c r="A31" s="326" t="s">
        <v>279</v>
      </c>
      <c r="B31" s="251">
        <f t="array" ref="B31">VLOOKUP($A31,AR_DEMO,2,FALSE)</f>
        <v>20065</v>
      </c>
      <c r="C31" s="327">
        <f>vlookup(A31,'AR Data'!$A$3:$N$84,2, FALSE)</f>
        <v>29</v>
      </c>
      <c r="D31" s="376">
        <f>(vlookup(A31,'AR Data'!$A$3:$N$84,6,FALSE))/(vlookup(A31,'AR Data'!$A$3:$N$84,5,FALSE))</f>
        <v>2.25</v>
      </c>
      <c r="E31" s="377" t="s">
        <v>63</v>
      </c>
      <c r="F31" s="382">
        <f>vlookup(A31,'AR Data'!$A$3:$N$84,10,FALSE)</f>
        <v>5</v>
      </c>
      <c r="G31" s="382" t="s">
        <v>63</v>
      </c>
      <c r="H31" s="254">
        <f>vlookup(A31,'AR Data'!$A$3:$N$84,5,FALSE)+vlookup(A31,'AR Data'!$A$3:$N$84,7, FALSE)</f>
        <v>10</v>
      </c>
      <c r="I31" s="255">
        <f>vlookup(A31,'AR Data'!$A$3:$N$84,3, FALSE)</f>
        <v>0</v>
      </c>
      <c r="J31" s="383" t="s">
        <v>63</v>
      </c>
      <c r="K31" s="384" t="s">
        <v>63</v>
      </c>
      <c r="L31" s="385">
        <f>vlookup(A31,'AR Data'!$A$3:$N$84,4, FALSE)</f>
        <v>8</v>
      </c>
      <c r="M31" s="397" t="s">
        <v>63</v>
      </c>
      <c r="N31" s="377" t="s">
        <v>63</v>
      </c>
      <c r="O31" s="377" t="s">
        <v>63</v>
      </c>
      <c r="P31" s="261">
        <f>ifna(vlookup(A31,'Population &amp; Church Numbers'!$A$114:$D$188,4,FALSE),"NULL")</f>
        <v>36</v>
      </c>
      <c r="Q31" s="387" t="s">
        <v>63</v>
      </c>
    </row>
    <row r="32">
      <c r="A32" s="188" t="s">
        <v>280</v>
      </c>
      <c r="B32" s="189">
        <f t="array" ref="B32">VLOOKUP($A32,AR_DEMO,2,FALSE)</f>
        <v>33040</v>
      </c>
      <c r="C32" s="333">
        <f>vlookup(A32,'AR Data'!$A$3:$N$84,2, FALSE)</f>
        <v>39</v>
      </c>
      <c r="D32" s="388">
        <f>(vlookup(A32,'AR Data'!$A$3:$N$84,6,FALSE))/(vlookup(A32,'AR Data'!$A$3:$N$84,5,FALSE))</f>
        <v>2.090909091</v>
      </c>
      <c r="E32" s="389" t="s">
        <v>63</v>
      </c>
      <c r="F32" s="391">
        <f>vlookup(A32,'AR Data'!$A$3:$N$84,10,FALSE)</f>
        <v>19</v>
      </c>
      <c r="G32" s="391" t="s">
        <v>63</v>
      </c>
      <c r="H32" s="266">
        <f>vlookup(A32,'AR Data'!$A$3:$N$84,5,FALSE)+vlookup(A32,'AR Data'!$A$3:$N$84,7, FALSE)</f>
        <v>16</v>
      </c>
      <c r="I32" s="267">
        <f>vlookup(A32,'AR Data'!$A$3:$N$84,3, FALSE)</f>
        <v>4</v>
      </c>
      <c r="J32" s="392" t="s">
        <v>63</v>
      </c>
      <c r="K32" s="393" t="s">
        <v>63</v>
      </c>
      <c r="L32" s="394">
        <f>vlookup(A32,'AR Data'!$A$3:$N$84,4, FALSE)</f>
        <v>19</v>
      </c>
      <c r="M32" s="395" t="s">
        <v>63</v>
      </c>
      <c r="N32" s="389" t="s">
        <v>63</v>
      </c>
      <c r="O32" s="389" t="s">
        <v>63</v>
      </c>
      <c r="P32" s="272">
        <f>ifna(vlookup(A32,'Population &amp; Church Numbers'!$A$114:$D$188,4,FALSE),"NULL")</f>
        <v>54</v>
      </c>
      <c r="Q32" s="396" t="s">
        <v>63</v>
      </c>
    </row>
    <row r="33">
      <c r="A33" s="326" t="s">
        <v>283</v>
      </c>
      <c r="B33" s="251">
        <f t="array" ref="B33">VLOOKUP($A33,AR_DEMO,2,FALSE)</f>
        <v>12785</v>
      </c>
      <c r="C33" s="327">
        <f>vlookup(A33,'AR Data'!$A$3:$N$84,2, FALSE)</f>
        <v>13</v>
      </c>
      <c r="D33" s="376">
        <f>(vlookup(A33,'AR Data'!$A$3:$N$84,6,FALSE))/(vlookup(A33,'AR Data'!$A$3:$N$84,5,FALSE))</f>
        <v>1.625</v>
      </c>
      <c r="E33" s="377" t="s">
        <v>63</v>
      </c>
      <c r="F33" s="382">
        <f>vlookup(A33,'AR Data'!$A$3:$N$84,10,FALSE)</f>
        <v>6</v>
      </c>
      <c r="G33" s="382" t="s">
        <v>63</v>
      </c>
      <c r="H33" s="254">
        <f>vlookup(A33,'AR Data'!$A$3:$N$84,5,FALSE)+vlookup(A33,'AR Data'!$A$3:$N$84,7, FALSE)</f>
        <v>10</v>
      </c>
      <c r="I33" s="255">
        <f>vlookup(A33,'AR Data'!$A$3:$N$84,3, FALSE)</f>
        <v>1</v>
      </c>
      <c r="J33" s="383" t="s">
        <v>63</v>
      </c>
      <c r="K33" s="384" t="s">
        <v>63</v>
      </c>
      <c r="L33" s="385">
        <f>vlookup(A33,'AR Data'!$A$3:$N$84,4, FALSE)</f>
        <v>4</v>
      </c>
      <c r="M33" s="397" t="s">
        <v>63</v>
      </c>
      <c r="N33" s="377" t="s">
        <v>63</v>
      </c>
      <c r="O33" s="377" t="s">
        <v>63</v>
      </c>
      <c r="P33" s="261">
        <f>ifna(vlookup(A33,'Population &amp; Church Numbers'!$A$114:$D$188,4,FALSE),"NULL")</f>
        <v>26</v>
      </c>
      <c r="Q33" s="387" t="s">
        <v>63</v>
      </c>
    </row>
    <row r="34">
      <c r="A34" s="188" t="s">
        <v>284</v>
      </c>
      <c r="B34" s="189">
        <f t="array" ref="B34">VLOOKUP($A34,AR_DEMO,2,FALSE)</f>
        <v>37938</v>
      </c>
      <c r="C34" s="333">
        <f>vlookup(A34,'AR Data'!$A$3:$N$84,2, FALSE)</f>
        <v>52</v>
      </c>
      <c r="D34" s="388">
        <f>(vlookup(A34,'AR Data'!$A$3:$N$84,6,FALSE))/(vlookup(A34,'AR Data'!$A$3:$N$84,5,FALSE))</f>
        <v>2.363636364</v>
      </c>
      <c r="E34" s="389" t="s">
        <v>63</v>
      </c>
      <c r="F34" s="391">
        <f>vlookup(A34,'AR Data'!$A$3:$N$84,10,FALSE)</f>
        <v>14</v>
      </c>
      <c r="G34" s="391" t="s">
        <v>63</v>
      </c>
      <c r="H34" s="266">
        <f>vlookup(A34,'AR Data'!$A$3:$N$84,5,FALSE)+vlookup(A34,'AR Data'!$A$3:$N$84,7, FALSE)</f>
        <v>15</v>
      </c>
      <c r="I34" s="267">
        <f>vlookup(A34,'AR Data'!$A$3:$N$84,3, FALSE)</f>
        <v>3</v>
      </c>
      <c r="J34" s="392" t="s">
        <v>63</v>
      </c>
      <c r="K34" s="393" t="s">
        <v>63</v>
      </c>
      <c r="L34" s="394">
        <f>vlookup(A34,'AR Data'!$A$3:$N$84,4, FALSE)</f>
        <v>18</v>
      </c>
      <c r="M34" s="395" t="s">
        <v>63</v>
      </c>
      <c r="N34" s="389" t="s">
        <v>63</v>
      </c>
      <c r="O34" s="389" t="s">
        <v>63</v>
      </c>
      <c r="P34" s="272">
        <f>ifna(vlookup(A34,'Population &amp; Church Numbers'!$A$114:$D$188,4,FALSE),"NULL")</f>
        <v>45</v>
      </c>
      <c r="Q34" s="396" t="s">
        <v>63</v>
      </c>
    </row>
    <row r="35">
      <c r="A35" s="326" t="s">
        <v>285</v>
      </c>
      <c r="B35" s="251">
        <f t="array" ref="B35">VLOOKUP($A35,AR_DEMO,2,FALSE)</f>
        <v>13577</v>
      </c>
      <c r="C35" s="327">
        <f>vlookup(A35,'AR Data'!$A$3:$N$84,2, FALSE)</f>
        <v>21</v>
      </c>
      <c r="D35" s="376">
        <f>(vlookup(A35,'AR Data'!$A$3:$N$84,6,FALSE))/(vlookup(A35,'AR Data'!$A$3:$N$84,5,FALSE))</f>
        <v>3.5</v>
      </c>
      <c r="E35" s="377" t="s">
        <v>63</v>
      </c>
      <c r="F35" s="382">
        <f>vlookup(A35,'AR Data'!$A$3:$N$84,10,FALSE)</f>
        <v>9</v>
      </c>
      <c r="G35" s="382" t="s">
        <v>63</v>
      </c>
      <c r="H35" s="254">
        <f>vlookup(A35,'AR Data'!$A$3:$N$84,5,FALSE)+vlookup(A35,'AR Data'!$A$3:$N$84,7, FALSE)</f>
        <v>2</v>
      </c>
      <c r="I35" s="255">
        <f>vlookup(A35,'AR Data'!$A$3:$N$84,3, FALSE)</f>
        <v>2</v>
      </c>
      <c r="J35" s="383" t="s">
        <v>63</v>
      </c>
      <c r="K35" s="384" t="s">
        <v>63</v>
      </c>
      <c r="L35" s="385">
        <f>vlookup(A35,'AR Data'!$A$3:$N$84,4, FALSE)</f>
        <v>3</v>
      </c>
      <c r="M35" s="397" t="s">
        <v>63</v>
      </c>
      <c r="N35" s="377" t="s">
        <v>63</v>
      </c>
      <c r="O35" s="377" t="s">
        <v>63</v>
      </c>
      <c r="P35" s="261">
        <f>ifna(vlookup(A35,'Population &amp; Church Numbers'!$A$114:$D$188,4,FALSE),"NULL")</f>
        <v>32</v>
      </c>
      <c r="Q35" s="387" t="s">
        <v>63</v>
      </c>
    </row>
    <row r="36">
      <c r="A36" s="188" t="s">
        <v>142</v>
      </c>
      <c r="B36" s="189">
        <f t="array" ref="B36">VLOOKUP($A36,AR_DEMO,2,FALSE)</f>
        <v>16755</v>
      </c>
      <c r="C36" s="333">
        <f>vlookup(A36,'AR Data'!$A$3:$N$84,2, FALSE)</f>
        <v>28</v>
      </c>
      <c r="D36" s="388">
        <f>(vlookup(A36,'AR Data'!$A$3:$N$84,6,FALSE))/(vlookup(A36,'AR Data'!$A$3:$N$84,5,FALSE))</f>
        <v>2.6</v>
      </c>
      <c r="E36" s="389" t="s">
        <v>63</v>
      </c>
      <c r="F36" s="391">
        <f>vlookup(A36,'AR Data'!$A$3:$N$84,10,FALSE)</f>
        <v>7</v>
      </c>
      <c r="G36" s="391" t="s">
        <v>63</v>
      </c>
      <c r="H36" s="266">
        <f>vlookup(A36,'AR Data'!$A$3:$N$84,5,FALSE)+vlookup(A36,'AR Data'!$A$3:$N$84,7, FALSE)</f>
        <v>7</v>
      </c>
      <c r="I36" s="267">
        <f>vlookup(A36,'AR Data'!$A$3:$N$84,3, FALSE)</f>
        <v>1</v>
      </c>
      <c r="J36" s="392" t="s">
        <v>63</v>
      </c>
      <c r="K36" s="393" t="s">
        <v>63</v>
      </c>
      <c r="L36" s="394">
        <f>vlookup(A36,'AR Data'!$A$3:$N$84,4, FALSE)</f>
        <v>14</v>
      </c>
      <c r="M36" s="395" t="s">
        <v>63</v>
      </c>
      <c r="N36" s="389" t="s">
        <v>63</v>
      </c>
      <c r="O36" s="389" t="s">
        <v>63</v>
      </c>
      <c r="P36" s="272">
        <f>ifna(vlookup(A36,'Population &amp; Church Numbers'!$A$114:$D$188,4,FALSE),"NULL")</f>
        <v>26</v>
      </c>
      <c r="Q36" s="396" t="s">
        <v>63</v>
      </c>
    </row>
    <row r="37">
      <c r="A37" s="326" t="s">
        <v>143</v>
      </c>
      <c r="B37" s="251">
        <f t="array" ref="B37">VLOOKUP($A37,AR_DEMO,2,FALSE)</f>
        <v>67260</v>
      </c>
      <c r="C37" s="327">
        <f>vlookup(A37,'AR Data'!$A$3:$N$84,2, FALSE)</f>
        <v>83</v>
      </c>
      <c r="D37" s="376">
        <f>(vlookup(A37,'AR Data'!$A$3:$N$84,6,FALSE))/(vlookup(A37,'AR Data'!$A$3:$N$84,5,FALSE))</f>
        <v>2.535714286</v>
      </c>
      <c r="E37" s="377" t="s">
        <v>63</v>
      </c>
      <c r="F37" s="382">
        <f>vlookup(A37,'AR Data'!$A$3:$N$84,10,FALSE)</f>
        <v>30</v>
      </c>
      <c r="G37" s="382" t="s">
        <v>63</v>
      </c>
      <c r="H37" s="254">
        <f>vlookup(A37,'AR Data'!$A$3:$N$84,5,FALSE)+vlookup(A37,'AR Data'!$A$3:$N$84,7, FALSE)</f>
        <v>35</v>
      </c>
      <c r="I37" s="255">
        <f>vlookup(A37,'AR Data'!$A$3:$N$84,3, FALSE)</f>
        <v>2</v>
      </c>
      <c r="J37" s="383" t="s">
        <v>63</v>
      </c>
      <c r="K37" s="384" t="s">
        <v>63</v>
      </c>
      <c r="L37" s="385">
        <f>vlookup(A37,'AR Data'!$A$3:$N$84,4, FALSE)</f>
        <v>52</v>
      </c>
      <c r="M37" s="397" t="s">
        <v>63</v>
      </c>
      <c r="N37" s="377" t="s">
        <v>63</v>
      </c>
      <c r="O37" s="377" t="s">
        <v>63</v>
      </c>
      <c r="P37" s="261">
        <f>ifna(vlookup(A37,'Population &amp; Church Numbers'!$A$114:$D$188,4,FALSE),"NULL")</f>
        <v>125</v>
      </c>
      <c r="Q37" s="387" t="s">
        <v>63</v>
      </c>
    </row>
    <row r="38">
      <c r="A38" s="188" t="s">
        <v>288</v>
      </c>
      <c r="B38" s="189">
        <f t="array" ref="B38">VLOOKUP($A38,AR_DEMO,2,FALSE)</f>
        <v>25749</v>
      </c>
      <c r="C38" s="333">
        <f>vlookup(A38,'AR Data'!$A$3:$N$84,2, FALSE)</f>
        <v>32</v>
      </c>
      <c r="D38" s="388">
        <f>(vlookup(A38,'AR Data'!$A$3:$N$84,6,FALSE))/(vlookup(A38,'AR Data'!$A$3:$N$84,5,FALSE))</f>
        <v>1.636363636</v>
      </c>
      <c r="E38" s="389" t="s">
        <v>63</v>
      </c>
      <c r="F38" s="391">
        <f>vlookup(A38,'AR Data'!$A$3:$N$84,10,FALSE)</f>
        <v>22</v>
      </c>
      <c r="G38" s="391" t="s">
        <v>63</v>
      </c>
      <c r="H38" s="266">
        <f>vlookup(A38,'AR Data'!$A$3:$N$84,5,FALSE)+vlookup(A38,'AR Data'!$A$3:$N$84,7, FALSE)</f>
        <v>17</v>
      </c>
      <c r="I38" s="267">
        <f>vlookup(A38,'AR Data'!$A$3:$N$84,3, FALSE)</f>
        <v>1</v>
      </c>
      <c r="J38" s="392" t="s">
        <v>63</v>
      </c>
      <c r="K38" s="393" t="s">
        <v>63</v>
      </c>
      <c r="L38" s="394">
        <f>vlookup(A38,'AR Data'!$A$3:$N$84,4, FALSE)</f>
        <v>17</v>
      </c>
      <c r="M38" s="395" t="s">
        <v>63</v>
      </c>
      <c r="N38" s="389" t="s">
        <v>63</v>
      </c>
      <c r="O38" s="389" t="s">
        <v>63</v>
      </c>
      <c r="P38" s="272">
        <f>ifna(vlookup(A38,'Population &amp; Church Numbers'!$A$114:$D$188,4,FALSE),"NULL")</f>
        <v>39</v>
      </c>
      <c r="Q38" s="396" t="s">
        <v>63</v>
      </c>
    </row>
    <row r="39">
      <c r="A39" s="326" t="s">
        <v>289</v>
      </c>
      <c r="B39" s="251">
        <f t="array" ref="B39">VLOOKUP($A39,AR_DEMO,2,FALSE)</f>
        <v>6308</v>
      </c>
      <c r="C39" s="327">
        <f>vlookup(A39,'AR Data'!$A$3:$N$84,2, FALSE)</f>
        <v>4</v>
      </c>
      <c r="D39" s="376">
        <f>(vlookup(A39,'AR Data'!$A$3:$N$84,6,FALSE))/(vlookup(A39,'AR Data'!$A$3:$N$84,5,FALSE))</f>
        <v>1.5</v>
      </c>
      <c r="E39" s="377" t="s">
        <v>63</v>
      </c>
      <c r="F39" s="382">
        <f>vlookup(A39,'AR Data'!$A$3:$N$84,10,FALSE)</f>
        <v>0</v>
      </c>
      <c r="G39" s="382" t="s">
        <v>63</v>
      </c>
      <c r="H39" s="254">
        <f>vlookup(A39,'AR Data'!$A$3:$N$84,5,FALSE)+vlookup(A39,'AR Data'!$A$3:$N$84,7, FALSE)</f>
        <v>3</v>
      </c>
      <c r="I39" s="255">
        <f>vlookup(A39,'AR Data'!$A$3:$N$84,3, FALSE)</f>
        <v>0</v>
      </c>
      <c r="J39" s="383" t="s">
        <v>63</v>
      </c>
      <c r="K39" s="384" t="s">
        <v>63</v>
      </c>
      <c r="L39" s="385">
        <f>vlookup(A39,'AR Data'!$A$3:$N$84,4, FALSE)</f>
        <v>4</v>
      </c>
      <c r="M39" s="397" t="s">
        <v>63</v>
      </c>
      <c r="N39" s="377" t="s">
        <v>63</v>
      </c>
      <c r="O39" s="377" t="s">
        <v>63</v>
      </c>
      <c r="P39" s="261">
        <f>ifna(vlookup(A39,'Population &amp; Church Numbers'!$A$114:$D$188,4,FALSE),"NULL")</f>
        <v>23</v>
      </c>
      <c r="Q39" s="387" t="s">
        <v>63</v>
      </c>
    </row>
    <row r="40">
      <c r="A40" s="188" t="s">
        <v>146</v>
      </c>
      <c r="B40" s="189">
        <f t="array" ref="B40">VLOOKUP($A40,AR_DEMO,2,FALSE)</f>
        <v>16216</v>
      </c>
      <c r="C40" s="333">
        <f>vlookup(A40,'AR Data'!$A$3:$N$84,2, FALSE)</f>
        <v>26</v>
      </c>
      <c r="D40" s="388">
        <f>(vlookup(A40,'AR Data'!$A$3:$N$84,6,FALSE))/(vlookup(A40,'AR Data'!$A$3:$N$84,5,FALSE))</f>
        <v>2.625</v>
      </c>
      <c r="E40" s="389" t="s">
        <v>63</v>
      </c>
      <c r="F40" s="391">
        <f>vlookup(A40,'AR Data'!$A$3:$N$84,10,FALSE)</f>
        <v>9</v>
      </c>
      <c r="G40" s="391" t="s">
        <v>63</v>
      </c>
      <c r="H40" s="266">
        <f>vlookup(A40,'AR Data'!$A$3:$N$84,5,FALSE)+vlookup(A40,'AR Data'!$A$3:$N$84,7, FALSE)</f>
        <v>10</v>
      </c>
      <c r="I40" s="267">
        <f>vlookup(A40,'AR Data'!$A$3:$N$84,3, FALSE)</f>
        <v>1</v>
      </c>
      <c r="J40" s="392" t="s">
        <v>63</v>
      </c>
      <c r="K40" s="393" t="s">
        <v>63</v>
      </c>
      <c r="L40" s="394">
        <f>vlookup(A40,'AR Data'!$A$3:$N$84,4, FALSE)</f>
        <v>16</v>
      </c>
      <c r="M40" s="395" t="s">
        <v>63</v>
      </c>
      <c r="N40" s="389" t="s">
        <v>63</v>
      </c>
      <c r="O40" s="389" t="s">
        <v>63</v>
      </c>
      <c r="P40" s="272">
        <f>ifna(vlookup(A40,'Population &amp; Church Numbers'!$A$114:$D$188,4,FALSE),"NULL")</f>
        <v>28</v>
      </c>
      <c r="Q40" s="396" t="s">
        <v>63</v>
      </c>
    </row>
    <row r="41">
      <c r="A41" s="326" t="s">
        <v>147</v>
      </c>
      <c r="B41" s="251">
        <f t="array" ref="B41">VLOOKUP($A41,AR_DEMO,2,FALSE)</f>
        <v>8600</v>
      </c>
      <c r="C41" s="327">
        <f>vlookup(A41,'AR Data'!$A$3:$N$84,2, FALSE)</f>
        <v>10</v>
      </c>
      <c r="D41" s="376">
        <f>(vlookup(A41,'AR Data'!$A$3:$N$84,6,FALSE))/(vlookup(A41,'AR Data'!$A$3:$N$84,5,FALSE))</f>
        <v>2</v>
      </c>
      <c r="E41" s="377" t="s">
        <v>63</v>
      </c>
      <c r="F41" s="382">
        <f>vlookup(A41,'AR Data'!$A$3:$N$84,10,FALSE)</f>
        <v>10</v>
      </c>
      <c r="G41" s="382" t="s">
        <v>63</v>
      </c>
      <c r="H41" s="254">
        <f>vlookup(A41,'AR Data'!$A$3:$N$84,5,FALSE)+vlookup(A41,'AR Data'!$A$3:$N$84,7, FALSE)</f>
        <v>7</v>
      </c>
      <c r="I41" s="255">
        <f>vlookup(A41,'AR Data'!$A$3:$N$84,3, FALSE)</f>
        <v>0</v>
      </c>
      <c r="J41" s="383" t="s">
        <v>63</v>
      </c>
      <c r="K41" s="384" t="s">
        <v>63</v>
      </c>
      <c r="L41" s="385">
        <f>vlookup(A41,'AR Data'!$A$3:$N$84,4, FALSE)</f>
        <v>5</v>
      </c>
      <c r="M41" s="397" t="s">
        <v>63</v>
      </c>
      <c r="N41" s="377" t="s">
        <v>63</v>
      </c>
      <c r="O41" s="377" t="s">
        <v>63</v>
      </c>
      <c r="P41" s="261">
        <f>ifna(vlookup(A41,'Population &amp; Church Numbers'!$A$114:$D$188,4,FALSE),"NULL")</f>
        <v>20</v>
      </c>
      <c r="Q41" s="387" t="s">
        <v>63</v>
      </c>
    </row>
    <row r="42">
      <c r="A42" s="188" t="s">
        <v>290</v>
      </c>
      <c r="B42" s="189">
        <f t="array" ref="B42">VLOOKUP($A42,AR_DEMO,2,FALSE)</f>
        <v>12941</v>
      </c>
      <c r="C42" s="333">
        <f>vlookup(A42,'AR Data'!$A$3:$N$84,2, FALSE)</f>
        <v>13</v>
      </c>
      <c r="D42" s="388">
        <f>(vlookup(A42,'AR Data'!$A$3:$N$84,6,FALSE))/(vlookup(A42,'AR Data'!$A$3:$N$84,5,FALSE))</f>
        <v>2.6</v>
      </c>
      <c r="E42" s="389" t="s">
        <v>63</v>
      </c>
      <c r="F42" s="391">
        <f>vlookup(A42,'AR Data'!$A$3:$N$84,10,FALSE)</f>
        <v>9</v>
      </c>
      <c r="G42" s="391" t="s">
        <v>63</v>
      </c>
      <c r="H42" s="266">
        <f>vlookup(A42,'AR Data'!$A$3:$N$84,5,FALSE)+vlookup(A42,'AR Data'!$A$3:$N$84,7, FALSE)</f>
        <v>7</v>
      </c>
      <c r="I42" s="267">
        <f>vlookup(A42,'AR Data'!$A$3:$N$84,3, FALSE)</f>
        <v>0</v>
      </c>
      <c r="J42" s="392" t="s">
        <v>63</v>
      </c>
      <c r="K42" s="393" t="s">
        <v>63</v>
      </c>
      <c r="L42" s="394">
        <f>vlookup(A42,'AR Data'!$A$3:$N$84,4, FALSE)</f>
        <v>7</v>
      </c>
      <c r="M42" s="395" t="s">
        <v>63</v>
      </c>
      <c r="N42" s="389" t="s">
        <v>63</v>
      </c>
      <c r="O42" s="389" t="s">
        <v>63</v>
      </c>
      <c r="P42" s="272">
        <f>ifna(vlookup(A42,'Population &amp; Church Numbers'!$A$114:$D$188,4,FALSE),"NULL")</f>
        <v>14</v>
      </c>
      <c r="Q42" s="396" t="s">
        <v>63</v>
      </c>
    </row>
    <row r="43">
      <c r="A43" s="326" t="s">
        <v>291</v>
      </c>
      <c r="B43" s="251">
        <f t="array" ref="B43">VLOOKUP($A43,AR_DEMO,2,FALSE)</f>
        <v>12026</v>
      </c>
      <c r="C43" s="327">
        <f>vlookup(A43,'AR Data'!$A$3:$N$84,2, FALSE)</f>
        <v>40</v>
      </c>
      <c r="D43" s="376">
        <f>(vlookup(A43,'AR Data'!$A$3:$N$84,6,FALSE))/(vlookup(A43,'AR Data'!$A$3:$N$84,5,FALSE))</f>
        <v>1.777777778</v>
      </c>
      <c r="E43" s="377" t="s">
        <v>63</v>
      </c>
      <c r="F43" s="382">
        <f>vlookup(A43,'AR Data'!$A$3:$N$84,10,FALSE)</f>
        <v>14</v>
      </c>
      <c r="G43" s="382" t="s">
        <v>63</v>
      </c>
      <c r="H43" s="254">
        <f>vlookup(A43,'AR Data'!$A$3:$N$84,5,FALSE)+vlookup(A43,'AR Data'!$A$3:$N$84,7, FALSE)</f>
        <v>15</v>
      </c>
      <c r="I43" s="255">
        <f>vlookup(A43,'AR Data'!$A$3:$N$84,3, FALSE)</f>
        <v>7</v>
      </c>
      <c r="J43" s="383" t="s">
        <v>63</v>
      </c>
      <c r="K43" s="384" t="s">
        <v>63</v>
      </c>
      <c r="L43" s="385">
        <f>vlookup(A43,'AR Data'!$A$3:$N$84,4, FALSE)</f>
        <v>5</v>
      </c>
      <c r="M43" s="397" t="s">
        <v>63</v>
      </c>
      <c r="N43" s="377" t="s">
        <v>63</v>
      </c>
      <c r="O43" s="377" t="s">
        <v>63</v>
      </c>
      <c r="P43" s="261">
        <f>ifna(vlookup(A43,'Population &amp; Church Numbers'!$A$114:$D$188,4,FALSE),"NULL")</f>
        <v>27</v>
      </c>
      <c r="Q43" s="387" t="s">
        <v>63</v>
      </c>
    </row>
    <row r="44">
      <c r="A44" s="188" t="s">
        <v>293</v>
      </c>
      <c r="B44" s="189">
        <f t="array" ref="B44">VLOOKUP($A44,AR_DEMO,2,FALSE)</f>
        <v>21131</v>
      </c>
      <c r="C44" s="333">
        <f>vlookup(A44,'AR Data'!$A$3:$N$84,2, FALSE)</f>
        <v>60</v>
      </c>
      <c r="D44" s="388">
        <f>(vlookup(A44,'AR Data'!$A$3:$N$84,6,FALSE))/(vlookup(A44,'AR Data'!$A$3:$N$84,5,FALSE))</f>
        <v>2.1</v>
      </c>
      <c r="E44" s="389" t="s">
        <v>63</v>
      </c>
      <c r="F44" s="391">
        <f>vlookup(A44,'AR Data'!$A$3:$N$84,10,FALSE)</f>
        <v>21</v>
      </c>
      <c r="G44" s="391" t="s">
        <v>63</v>
      </c>
      <c r="H44" s="266">
        <f>vlookup(A44,'AR Data'!$A$3:$N$84,5,FALSE)+vlookup(A44,'AR Data'!$A$3:$N$84,7, FALSE)</f>
        <v>15</v>
      </c>
      <c r="I44" s="267">
        <f>vlookup(A44,'AR Data'!$A$3:$N$84,3, FALSE)</f>
        <v>11</v>
      </c>
      <c r="J44" s="392" t="s">
        <v>63</v>
      </c>
      <c r="K44" s="393" t="s">
        <v>63</v>
      </c>
      <c r="L44" s="394">
        <f>vlookup(A44,'AR Data'!$A$3:$N$84,4, FALSE)</f>
        <v>33</v>
      </c>
      <c r="M44" s="395" t="s">
        <v>63</v>
      </c>
      <c r="N44" s="389" t="s">
        <v>63</v>
      </c>
      <c r="O44" s="389" t="s">
        <v>63</v>
      </c>
      <c r="P44" s="272">
        <f>ifna(vlookup(A44,'Population &amp; Church Numbers'!$A$114:$D$188,4,FALSE),"NULL")</f>
        <v>46</v>
      </c>
      <c r="Q44" s="396" t="s">
        <v>63</v>
      </c>
    </row>
    <row r="45">
      <c r="A45" s="326" t="s">
        <v>294</v>
      </c>
      <c r="B45" s="251">
        <f t="array" ref="B45">VLOOKUP($A45,AR_DEMO,2,FALSE)</f>
        <v>74015</v>
      </c>
      <c r="C45" s="327">
        <f>vlookup(A45,'AR Data'!$A$3:$N$84,2, FALSE)</f>
        <v>68</v>
      </c>
      <c r="D45" s="376">
        <f>(vlookup(A45,'AR Data'!$A$3:$N$84,6,FALSE))/(vlookup(A45,'AR Data'!$A$3:$N$84,5,FALSE))</f>
        <v>1.826086957</v>
      </c>
      <c r="E45" s="377" t="s">
        <v>63</v>
      </c>
      <c r="F45" s="382">
        <f>vlookup(A45,'AR Data'!$A$3:$N$84,10,FALSE)</f>
        <v>11</v>
      </c>
      <c r="G45" s="382" t="s">
        <v>63</v>
      </c>
      <c r="H45" s="254">
        <f>vlookup(A45,'AR Data'!$A$3:$N$84,5,FALSE)+vlookup(A45,'AR Data'!$A$3:$N$84,7, FALSE)</f>
        <v>59</v>
      </c>
      <c r="I45" s="255">
        <f>vlookup(A45,'AR Data'!$A$3:$N$84,3, FALSE)</f>
        <v>14</v>
      </c>
      <c r="J45" s="383" t="s">
        <v>63</v>
      </c>
      <c r="K45" s="384" t="s">
        <v>63</v>
      </c>
      <c r="L45" s="385">
        <f>vlookup(A45,'AR Data'!$A$3:$N$84,4, FALSE)</f>
        <v>25</v>
      </c>
      <c r="M45" s="397" t="s">
        <v>63</v>
      </c>
      <c r="N45" s="377" t="s">
        <v>63</v>
      </c>
      <c r="O45" s="377" t="s">
        <v>63</v>
      </c>
      <c r="P45" s="261">
        <f>ifna(vlookup(A45,'Population &amp; Church Numbers'!$A$114:$D$188,4,FALSE),"NULL")</f>
        <v>60</v>
      </c>
      <c r="Q45" s="387" t="s">
        <v>63</v>
      </c>
    </row>
    <row r="46">
      <c r="A46" s="188" t="s">
        <v>151</v>
      </c>
      <c r="B46" s="189">
        <f t="array" ref="B46">VLOOKUP($A46,AR_DEMO,2,FALSE)</f>
        <v>16521</v>
      </c>
      <c r="C46" s="333">
        <f>vlookup(A46,'AR Data'!$A$3:$N$84,2, FALSE)</f>
        <v>33</v>
      </c>
      <c r="D46" s="388">
        <f>(vlookup(A46,'AR Data'!$A$3:$N$84,6,FALSE))/(vlookup(A46,'AR Data'!$A$3:$N$84,5,FALSE))</f>
        <v>1.666666667</v>
      </c>
      <c r="E46" s="389" t="s">
        <v>63</v>
      </c>
      <c r="F46" s="391">
        <f>vlookup(A46,'AR Data'!$A$3:$N$84,10,FALSE)</f>
        <v>19</v>
      </c>
      <c r="G46" s="391" t="s">
        <v>63</v>
      </c>
      <c r="H46" s="266">
        <f>vlookup(A46,'AR Data'!$A$3:$N$84,5,FALSE)+vlookup(A46,'AR Data'!$A$3:$N$84,7, FALSE)</f>
        <v>14</v>
      </c>
      <c r="I46" s="267">
        <f>vlookup(A46,'AR Data'!$A$3:$N$84,3, FALSE)</f>
        <v>1</v>
      </c>
      <c r="J46" s="392" t="s">
        <v>63</v>
      </c>
      <c r="K46" s="393" t="s">
        <v>63</v>
      </c>
      <c r="L46" s="394">
        <f>vlookup(A46,'AR Data'!$A$3:$N$84,4, FALSE)</f>
        <v>1</v>
      </c>
      <c r="M46" s="395" t="s">
        <v>63</v>
      </c>
      <c r="N46" s="389" t="s">
        <v>63</v>
      </c>
      <c r="O46" s="389" t="s">
        <v>63</v>
      </c>
      <c r="P46" s="272">
        <f>ifna(vlookup(A46,'Population &amp; Church Numbers'!$A$114:$D$188,4,FALSE),"NULL")</f>
        <v>19</v>
      </c>
      <c r="Q46" s="396" t="s">
        <v>63</v>
      </c>
    </row>
    <row r="47">
      <c r="A47" s="326" t="s">
        <v>153</v>
      </c>
      <c r="B47" s="251">
        <f t="array" ref="B47">VLOOKUP($A47,AR_DEMO,2,FALSE)</f>
        <v>16826</v>
      </c>
      <c r="C47" s="327">
        <f>vlookup(A47,'AR Data'!$A$3:$N$84,2, FALSE)</f>
        <v>20</v>
      </c>
      <c r="D47" s="376">
        <f>(vlookup(A47,'AR Data'!$A$3:$N$84,6,FALSE))/(vlookup(A47,'AR Data'!$A$3:$N$84,5,FALSE))</f>
        <v>2</v>
      </c>
      <c r="E47" s="377" t="s">
        <v>63</v>
      </c>
      <c r="F47" s="382">
        <f>vlookup(A47,'AR Data'!$A$3:$N$84,10,FALSE)</f>
        <v>10</v>
      </c>
      <c r="G47" s="382" t="s">
        <v>63</v>
      </c>
      <c r="H47" s="254">
        <f>vlookup(A47,'AR Data'!$A$3:$N$84,5,FALSE)+vlookup(A47,'AR Data'!$A$3:$N$84,7, FALSE)</f>
        <v>10</v>
      </c>
      <c r="I47" s="255">
        <f>vlookup(A47,'AR Data'!$A$3:$N$84,3, FALSE)</f>
        <v>0</v>
      </c>
      <c r="J47" s="383" t="s">
        <v>63</v>
      </c>
      <c r="K47" s="384" t="s">
        <v>63</v>
      </c>
      <c r="L47" s="385">
        <f>vlookup(A47,'AR Data'!$A$3:$N$84,4, FALSE)</f>
        <v>3</v>
      </c>
      <c r="M47" s="397" t="s">
        <v>63</v>
      </c>
      <c r="N47" s="377" t="s">
        <v>63</v>
      </c>
      <c r="O47" s="377" t="s">
        <v>63</v>
      </c>
      <c r="P47" s="261">
        <f>ifna(vlookup(A47,'Population &amp; Church Numbers'!$A$114:$D$188,4,FALSE),"NULL")</f>
        <v>27</v>
      </c>
      <c r="Q47" s="387" t="s">
        <v>63</v>
      </c>
    </row>
    <row r="48">
      <c r="A48" s="188" t="s">
        <v>295</v>
      </c>
      <c r="B48" s="189">
        <f t="array" ref="B48">VLOOKUP($A48,AR_DEMO,2,FALSE)</f>
        <v>42600</v>
      </c>
      <c r="C48" s="333">
        <f>vlookup(A48,'AR Data'!$A$3:$N$84,2, FALSE)</f>
        <v>114</v>
      </c>
      <c r="D48" s="388">
        <f>(vlookup(A48,'AR Data'!$A$3:$N$84,6,FALSE))/(vlookup(A48,'AR Data'!$A$3:$N$84,5,FALSE))</f>
        <v>1.863636364</v>
      </c>
      <c r="E48" s="389" t="s">
        <v>63</v>
      </c>
      <c r="F48" s="391">
        <f>vlookup(A48,'AR Data'!$A$3:$N$84,10,FALSE)</f>
        <v>36</v>
      </c>
      <c r="G48" s="391" t="s">
        <v>63</v>
      </c>
      <c r="H48" s="266">
        <f>vlookup(A48,'AR Data'!$A$3:$N$84,5,FALSE)+vlookup(A48,'AR Data'!$A$3:$N$84,7, FALSE)</f>
        <v>31</v>
      </c>
      <c r="I48" s="267">
        <f>vlookup(A48,'AR Data'!$A$3:$N$84,3, FALSE)</f>
        <v>5</v>
      </c>
      <c r="J48" s="392" t="s">
        <v>63</v>
      </c>
      <c r="K48" s="393" t="s">
        <v>63</v>
      </c>
      <c r="L48" s="394">
        <f>vlookup(A48,'AR Data'!$A$3:$N$84,4, FALSE)</f>
        <v>25</v>
      </c>
      <c r="M48" s="395" t="s">
        <v>63</v>
      </c>
      <c r="N48" s="389" t="s">
        <v>63</v>
      </c>
      <c r="O48" s="389" t="s">
        <v>63</v>
      </c>
      <c r="P48" s="272">
        <f>ifna(vlookup(A48,'Population &amp; Church Numbers'!$A$114:$D$188,4,FALSE),"NULL")</f>
        <v>75</v>
      </c>
      <c r="Q48" s="396" t="s">
        <v>63</v>
      </c>
    </row>
    <row r="49">
      <c r="A49" s="326" t="s">
        <v>67</v>
      </c>
      <c r="B49" s="251">
        <f t="array" ref="B49">VLOOKUP($A49,AR_DEMO,2,FALSE)</f>
        <v>40685</v>
      </c>
      <c r="C49" s="327">
        <f>vlookup(A49,'AR Data'!$A$3:$N$84,2, FALSE)</f>
        <v>27</v>
      </c>
      <c r="D49" s="376">
        <f>(vlookup(A49,'AR Data'!$A$3:$N$84,6,FALSE))/(vlookup(A49,'AR Data'!$A$3:$N$84,5,FALSE))</f>
        <v>1.545454545</v>
      </c>
      <c r="E49" s="377" t="s">
        <v>63</v>
      </c>
      <c r="F49" s="382">
        <f>vlookup(A49,'AR Data'!$A$3:$N$84,10,FALSE)</f>
        <v>8</v>
      </c>
      <c r="G49" s="382" t="s">
        <v>63</v>
      </c>
      <c r="H49" s="254">
        <f>vlookup(A49,'AR Data'!$A$3:$N$84,5,FALSE)+vlookup(A49,'AR Data'!$A$3:$N$84,7, FALSE)</f>
        <v>16</v>
      </c>
      <c r="I49" s="255">
        <f>vlookup(A49,'AR Data'!$A$3:$N$84,3, FALSE)</f>
        <v>1</v>
      </c>
      <c r="J49" s="383" t="s">
        <v>63</v>
      </c>
      <c r="K49" s="384" t="s">
        <v>63</v>
      </c>
      <c r="L49" s="385">
        <f>vlookup(A49,'AR Data'!$A$3:$N$84,4, FALSE)</f>
        <v>7</v>
      </c>
      <c r="M49" s="397" t="s">
        <v>63</v>
      </c>
      <c r="N49" s="377" t="s">
        <v>63</v>
      </c>
      <c r="O49" s="377" t="s">
        <v>63</v>
      </c>
      <c r="P49" s="261">
        <f>ifna(vlookup(A49,'Population &amp; Church Numbers'!$A$114:$D$188,4,FALSE),"NULL")</f>
        <v>78</v>
      </c>
      <c r="Q49" s="387" t="s">
        <v>63</v>
      </c>
    </row>
    <row r="50">
      <c r="A50" s="188" t="s">
        <v>156</v>
      </c>
      <c r="B50" s="189">
        <f t="array" ref="B50">VLOOKUP($A50,AR_DEMO,2,FALSE)</f>
        <v>6799</v>
      </c>
      <c r="C50" s="333">
        <f>vlookup(A50,'AR Data'!$A$3:$N$84,2, FALSE)</f>
        <v>12</v>
      </c>
      <c r="D50" s="388">
        <f>(vlookup(A50,'AR Data'!$A$3:$N$84,6,FALSE))/(vlookup(A50,'AR Data'!$A$3:$N$84,5,FALSE))</f>
        <v>2.25</v>
      </c>
      <c r="E50" s="389" t="s">
        <v>63</v>
      </c>
      <c r="F50" s="391">
        <f>vlookup(A50,'AR Data'!$A$3:$N$84,10,FALSE)</f>
        <v>7</v>
      </c>
      <c r="G50" s="391" t="s">
        <v>63</v>
      </c>
      <c r="H50" s="266">
        <f>vlookup(A50,'AR Data'!$A$3:$N$84,5,FALSE)+vlookup(A50,'AR Data'!$A$3:$N$84,7, FALSE)</f>
        <v>9</v>
      </c>
      <c r="I50" s="267">
        <f>vlookup(A50,'AR Data'!$A$3:$N$84,3, FALSE)</f>
        <v>1</v>
      </c>
      <c r="J50" s="392" t="s">
        <v>63</v>
      </c>
      <c r="K50" s="393" t="s">
        <v>63</v>
      </c>
      <c r="L50" s="394">
        <f>vlookup(A50,'AR Data'!$A$3:$N$84,4, FALSE)</f>
        <v>5</v>
      </c>
      <c r="M50" s="395" t="s">
        <v>63</v>
      </c>
      <c r="N50" s="389" t="s">
        <v>63</v>
      </c>
      <c r="O50" s="389" t="s">
        <v>63</v>
      </c>
      <c r="P50" s="272">
        <f>ifna(vlookup(A50,'Population &amp; Church Numbers'!$A$114:$D$188,4,FALSE),"NULL")</f>
        <v>15</v>
      </c>
      <c r="Q50" s="396" t="s">
        <v>63</v>
      </c>
    </row>
    <row r="51">
      <c r="A51" s="326" t="s">
        <v>157</v>
      </c>
      <c r="B51" s="251">
        <f t="array" ref="B51">VLOOKUP($A51,AR_DEMO,2,FALSE)</f>
        <v>8484</v>
      </c>
      <c r="C51" s="327">
        <f>vlookup(A51,'AR Data'!$A$3:$N$84,2, FALSE)</f>
        <v>8</v>
      </c>
      <c r="D51" s="376">
        <f>(vlookup(A51,'AR Data'!$A$3:$N$84,6,FALSE))/(vlookup(A51,'AR Data'!$A$3:$N$84,5,FALSE))</f>
        <v>1.333333333</v>
      </c>
      <c r="E51" s="377" t="s">
        <v>63</v>
      </c>
      <c r="F51" s="382">
        <f>vlookup(A51,'AR Data'!$A$3:$N$84,10,FALSE)</f>
        <v>4</v>
      </c>
      <c r="G51" s="382" t="s">
        <v>63</v>
      </c>
      <c r="H51" s="254">
        <f>vlookup(A51,'AR Data'!$A$3:$N$84,5,FALSE)+vlookup(A51,'AR Data'!$A$3:$N$84,7, FALSE)</f>
        <v>4</v>
      </c>
      <c r="I51" s="255">
        <f>vlookup(A51,'AR Data'!$A$3:$N$84,3, FALSE)</f>
        <v>0</v>
      </c>
      <c r="J51" s="383" t="s">
        <v>63</v>
      </c>
      <c r="K51" s="384" t="s">
        <v>63</v>
      </c>
      <c r="L51" s="385">
        <f>vlookup(A51,'AR Data'!$A$3:$N$84,4, FALSE)</f>
        <v>3</v>
      </c>
      <c r="M51" s="397" t="s">
        <v>63</v>
      </c>
      <c r="N51" s="377" t="s">
        <v>63</v>
      </c>
      <c r="O51" s="377" t="s">
        <v>63</v>
      </c>
      <c r="P51" s="261">
        <f>ifna(vlookup(A51,'Population &amp; Church Numbers'!$A$114:$D$188,4,FALSE),"NULL")</f>
        <v>17</v>
      </c>
      <c r="Q51" s="387" t="s">
        <v>63</v>
      </c>
    </row>
    <row r="52">
      <c r="A52" s="188" t="s">
        <v>82</v>
      </c>
      <c r="B52" s="189">
        <f t="array" ref="B52">VLOOKUP($A52,AR_DEMO,2,FALSE)</f>
        <v>8310</v>
      </c>
      <c r="C52" s="333">
        <f>vlookup(A52,'AR Data'!$A$3:$N$84,2, FALSE)</f>
        <v>2</v>
      </c>
      <c r="D52" s="388">
        <f>(vlookup(A52,'AR Data'!$A$3:$N$84,6,FALSE))/(vlookup(A52,'AR Data'!$A$3:$N$84,5,FALSE))</f>
        <v>1</v>
      </c>
      <c r="E52" s="389" t="s">
        <v>63</v>
      </c>
      <c r="F52" s="391">
        <f>vlookup(A52,'AR Data'!$A$3:$N$84,10,FALSE)</f>
        <v>1</v>
      </c>
      <c r="G52" s="391" t="s">
        <v>63</v>
      </c>
      <c r="H52" s="266">
        <f>vlookup(A52,'AR Data'!$A$3:$N$84,5,FALSE)+vlookup(A52,'AR Data'!$A$3:$N$84,7, FALSE)</f>
        <v>3</v>
      </c>
      <c r="I52" s="267">
        <f>vlookup(A52,'AR Data'!$A$3:$N$84,3, FALSE)</f>
        <v>0</v>
      </c>
      <c r="J52" s="392" t="s">
        <v>63</v>
      </c>
      <c r="K52" s="393" t="s">
        <v>63</v>
      </c>
      <c r="L52" s="394">
        <f>vlookup(A52,'AR Data'!$A$3:$N$84,4, FALSE)</f>
        <v>2</v>
      </c>
      <c r="M52" s="395" t="s">
        <v>63</v>
      </c>
      <c r="N52" s="389" t="s">
        <v>63</v>
      </c>
      <c r="O52" s="389" t="s">
        <v>63</v>
      </c>
      <c r="P52" s="272">
        <f>ifna(vlookup(A52,'Population &amp; Church Numbers'!$A$114:$D$188,4,FALSE),"NULL")</f>
        <v>14</v>
      </c>
      <c r="Q52" s="396" t="s">
        <v>63</v>
      </c>
    </row>
    <row r="53">
      <c r="A53" s="326" t="s">
        <v>297</v>
      </c>
      <c r="B53" s="251">
        <f t="array" ref="B53">VLOOKUP($A53,AR_DEMO,2,FALSE)</f>
        <v>7225</v>
      </c>
      <c r="C53" s="327">
        <f>vlookup(A53,'AR Data'!$A$3:$N$84,2, FALSE)</f>
        <v>8</v>
      </c>
      <c r="D53" s="376">
        <f>(vlookup(A53,'AR Data'!$A$3:$N$84,6,FALSE))/(vlookup(A53,'AR Data'!$A$3:$N$84,5,FALSE))</f>
        <v>1</v>
      </c>
      <c r="E53" s="377" t="s">
        <v>63</v>
      </c>
      <c r="F53" s="382">
        <f>vlookup(A53,'AR Data'!$A$3:$N$84,10,FALSE)</f>
        <v>1</v>
      </c>
      <c r="G53" s="382" t="s">
        <v>63</v>
      </c>
      <c r="H53" s="254">
        <f>vlookup(A53,'AR Data'!$A$3:$N$84,5,FALSE)+vlookup(A53,'AR Data'!$A$3:$N$84,7, FALSE)</f>
        <v>6</v>
      </c>
      <c r="I53" s="255">
        <f>vlookup(A53,'AR Data'!$A$3:$N$84,3, FALSE)</f>
        <v>0</v>
      </c>
      <c r="J53" s="383" t="s">
        <v>63</v>
      </c>
      <c r="K53" s="384" t="s">
        <v>63</v>
      </c>
      <c r="L53" s="385">
        <f>vlookup(A53,'AR Data'!$A$3:$N$84,4, FALSE)</f>
        <v>5</v>
      </c>
      <c r="M53" s="397" t="s">
        <v>63</v>
      </c>
      <c r="N53" s="377" t="s">
        <v>63</v>
      </c>
      <c r="O53" s="377" t="s">
        <v>63</v>
      </c>
      <c r="P53" s="261">
        <f>ifna(vlookup(A53,'Population &amp; Church Numbers'!$A$114:$D$188,4,FALSE),"NULL")</f>
        <v>18</v>
      </c>
      <c r="Q53" s="387" t="s">
        <v>63</v>
      </c>
    </row>
    <row r="54">
      <c r="A54" s="188" t="s">
        <v>298</v>
      </c>
      <c r="B54" s="189">
        <f t="array" ref="B54">VLOOKUP($A54,AR_DEMO,2,FALSE)</f>
        <v>22650</v>
      </c>
      <c r="C54" s="333">
        <f>vlookup(A54,'AR Data'!$A$3:$N$84,2, FALSE)</f>
        <v>21</v>
      </c>
      <c r="D54" s="388">
        <f>(vlookup(A54,'AR Data'!$A$3:$N$84,6,FALSE))/(vlookup(A54,'AR Data'!$A$3:$N$84,5,FALSE))</f>
        <v>1.5</v>
      </c>
      <c r="E54" s="389" t="s">
        <v>63</v>
      </c>
      <c r="F54" s="391">
        <f>vlookup(A54,'AR Data'!$A$3:$N$84,10,FALSE)</f>
        <v>8</v>
      </c>
      <c r="G54" s="391" t="s">
        <v>63</v>
      </c>
      <c r="H54" s="266">
        <f>vlookup(A54,'AR Data'!$A$3:$N$84,5,FALSE)+vlookup(A54,'AR Data'!$A$3:$N$84,7, FALSE)</f>
        <v>15</v>
      </c>
      <c r="I54" s="267">
        <f>vlookup(A54,'AR Data'!$A$3:$N$84,3, FALSE)</f>
        <v>0</v>
      </c>
      <c r="J54" s="392" t="s">
        <v>63</v>
      </c>
      <c r="K54" s="393" t="s">
        <v>63</v>
      </c>
      <c r="L54" s="394">
        <f>vlookup(A54,'AR Data'!$A$3:$N$84,4, FALSE)</f>
        <v>10</v>
      </c>
      <c r="M54" s="395" t="s">
        <v>63</v>
      </c>
      <c r="N54" s="389" t="s">
        <v>63</v>
      </c>
      <c r="O54" s="389" t="s">
        <v>63</v>
      </c>
      <c r="P54" s="272">
        <f>ifna(vlookup(A54,'Population &amp; Church Numbers'!$A$114:$D$188,4,FALSE),"NULL")</f>
        <v>68</v>
      </c>
      <c r="Q54" s="396" t="s">
        <v>63</v>
      </c>
    </row>
    <row r="55">
      <c r="A55" s="326" t="s">
        <v>159</v>
      </c>
      <c r="B55" s="251">
        <f t="array" ref="B55">VLOOKUP($A55,AR_DEMO,2,FALSE)</f>
        <v>10019</v>
      </c>
      <c r="C55" s="327">
        <f>vlookup(A55,'AR Data'!$A$3:$N$84,2, FALSE)</f>
        <v>15</v>
      </c>
      <c r="D55" s="376">
        <f>(vlookup(A55,'AR Data'!$A$3:$N$84,6,FALSE))/(vlookup(A55,'AR Data'!$A$3:$N$84,5,FALSE))</f>
        <v>1</v>
      </c>
      <c r="E55" s="377" t="s">
        <v>63</v>
      </c>
      <c r="F55" s="382">
        <f>vlookup(A55,'AR Data'!$A$3:$N$84,10,FALSE)</f>
        <v>7</v>
      </c>
      <c r="G55" s="382" t="s">
        <v>63</v>
      </c>
      <c r="H55" s="254">
        <f>vlookup(A55,'AR Data'!$A$3:$N$84,5,FALSE)+vlookup(A55,'AR Data'!$A$3:$N$84,7, FALSE)</f>
        <v>2</v>
      </c>
      <c r="I55" s="255">
        <f>vlookup(A55,'AR Data'!$A$3:$N$84,3, FALSE)</f>
        <v>0</v>
      </c>
      <c r="J55" s="383" t="s">
        <v>63</v>
      </c>
      <c r="K55" s="384" t="s">
        <v>63</v>
      </c>
      <c r="L55" s="385">
        <f>vlookup(A55,'AR Data'!$A$3:$N$84,4, FALSE)</f>
        <v>5</v>
      </c>
      <c r="M55" s="397" t="s">
        <v>63</v>
      </c>
      <c r="N55" s="377" t="s">
        <v>63</v>
      </c>
      <c r="O55" s="377" t="s">
        <v>63</v>
      </c>
      <c r="P55" s="261">
        <f>ifna(vlookup(A55,'Population &amp; Church Numbers'!$A$114:$D$188,4,FALSE),"NULL")</f>
        <v>20</v>
      </c>
      <c r="Q55" s="387" t="s">
        <v>63</v>
      </c>
    </row>
    <row r="56">
      <c r="A56" s="188" t="s">
        <v>300</v>
      </c>
      <c r="B56" s="189">
        <f t="array" ref="B56">VLOOKUP($A56,AR_DEMO,2,FALSE)</f>
        <v>16568</v>
      </c>
      <c r="C56" s="333">
        <f>vlookup(A56,'AR Data'!$A$3:$N$84,2, FALSE)</f>
        <v>17</v>
      </c>
      <c r="D56" s="388">
        <f>(vlookup(A56,'AR Data'!$A$3:$N$84,6,FALSE))/(vlookup(A56,'AR Data'!$A$3:$N$84,5,FALSE))</f>
        <v>1.666666667</v>
      </c>
      <c r="E56" s="389" t="s">
        <v>63</v>
      </c>
      <c r="F56" s="391">
        <f>vlookup(A56,'AR Data'!$A$3:$N$84,10,FALSE)</f>
        <v>16</v>
      </c>
      <c r="G56" s="391" t="s">
        <v>63</v>
      </c>
      <c r="H56" s="266">
        <f>vlookup(A56,'AR Data'!$A$3:$N$84,5,FALSE)+vlookup(A56,'AR Data'!$A$3:$N$84,7, FALSE)</f>
        <v>5</v>
      </c>
      <c r="I56" s="267">
        <f>vlookup(A56,'AR Data'!$A$3:$N$84,3, FALSE)</f>
        <v>1</v>
      </c>
      <c r="J56" s="392" t="s">
        <v>63</v>
      </c>
      <c r="K56" s="393" t="s">
        <v>63</v>
      </c>
      <c r="L56" s="394">
        <f>vlookup(A56,'AR Data'!$A$3:$N$84,4, FALSE)</f>
        <v>9</v>
      </c>
      <c r="M56" s="395" t="s">
        <v>63</v>
      </c>
      <c r="N56" s="389" t="s">
        <v>63</v>
      </c>
      <c r="O56" s="389" t="s">
        <v>63</v>
      </c>
      <c r="P56" s="272">
        <f>ifna(vlookup(A56,'Population &amp; Church Numbers'!$A$114:$D$188,4,FALSE),"NULL")</f>
        <v>30</v>
      </c>
      <c r="Q56" s="396" t="s">
        <v>63</v>
      </c>
    </row>
    <row r="57">
      <c r="A57" s="326" t="s">
        <v>162</v>
      </c>
      <c r="B57" s="251">
        <f t="array" ref="B57">VLOOKUP($A57,AR_DEMO,2,FALSE)</f>
        <v>10171</v>
      </c>
      <c r="C57" s="327">
        <f>vlookup(A57,'AR Data'!$A$3:$N$84,2, FALSE)</f>
        <v>9</v>
      </c>
      <c r="D57" s="376">
        <f>(vlookup(A57,'AR Data'!$A$3:$N$84,6,FALSE))/(vlookup(A57,'AR Data'!$A$3:$N$84,5,FALSE))</f>
        <v>1.75</v>
      </c>
      <c r="E57" s="377" t="s">
        <v>63</v>
      </c>
      <c r="F57" s="382">
        <f>vlookup(A57,'AR Data'!$A$3:$N$84,10,FALSE)</f>
        <v>1</v>
      </c>
      <c r="G57" s="382" t="s">
        <v>63</v>
      </c>
      <c r="H57" s="254">
        <f>vlookup(A57,'AR Data'!$A$3:$N$84,5,FALSE)+vlookup(A57,'AR Data'!$A$3:$N$84,7, FALSE)</f>
        <v>5</v>
      </c>
      <c r="I57" s="255">
        <f>vlookup(A57,'AR Data'!$A$3:$N$84,3, FALSE)</f>
        <v>1</v>
      </c>
      <c r="J57" s="383" t="s">
        <v>63</v>
      </c>
      <c r="K57" s="384" t="s">
        <v>63</v>
      </c>
      <c r="L57" s="385">
        <f>vlookup(A57,'AR Data'!$A$3:$N$84,4, FALSE)</f>
        <v>3</v>
      </c>
      <c r="M57" s="397" t="s">
        <v>63</v>
      </c>
      <c r="N57" s="377" t="s">
        <v>63</v>
      </c>
      <c r="O57" s="377" t="s">
        <v>63</v>
      </c>
      <c r="P57" s="261">
        <f>ifna(vlookup(A57,'Population &amp; Church Numbers'!$A$114:$D$188,4,FALSE),"NULL")</f>
        <v>26</v>
      </c>
      <c r="Q57" s="387" t="s">
        <v>63</v>
      </c>
    </row>
    <row r="58">
      <c r="A58" s="188" t="s">
        <v>301</v>
      </c>
      <c r="B58" s="189">
        <f t="array" ref="B58">VLOOKUP($A58,AR_DEMO,2,FALSE)</f>
        <v>22965</v>
      </c>
      <c r="C58" s="333">
        <f>vlookup(A58,'AR Data'!$A$3:$N$84,2, FALSE)</f>
        <v>96</v>
      </c>
      <c r="D58" s="388">
        <f>(vlookup(A58,'AR Data'!$A$3:$N$84,6,FALSE))/(vlookup(A58,'AR Data'!$A$3:$N$84,5,FALSE))</f>
        <v>2.25</v>
      </c>
      <c r="E58" s="389" t="s">
        <v>63</v>
      </c>
      <c r="F58" s="391">
        <f>vlookup(A58,'AR Data'!$A$3:$N$84,10,FALSE)</f>
        <v>24</v>
      </c>
      <c r="G58" s="391" t="s">
        <v>63</v>
      </c>
      <c r="H58" s="266">
        <f>vlookup(A58,'AR Data'!$A$3:$N$84,5,FALSE)+vlookup(A58,'AR Data'!$A$3:$N$84,7, FALSE)</f>
        <v>18</v>
      </c>
      <c r="I58" s="267">
        <f>vlookup(A58,'AR Data'!$A$3:$N$84,3, FALSE)</f>
        <v>9</v>
      </c>
      <c r="J58" s="392" t="s">
        <v>63</v>
      </c>
      <c r="K58" s="393" t="s">
        <v>63</v>
      </c>
      <c r="L58" s="394">
        <f>vlookup(A58,'AR Data'!$A$3:$N$84,4, FALSE)</f>
        <v>29</v>
      </c>
      <c r="M58" s="395" t="s">
        <v>63</v>
      </c>
      <c r="N58" s="389" t="s">
        <v>63</v>
      </c>
      <c r="O58" s="389" t="s">
        <v>63</v>
      </c>
      <c r="P58" s="272">
        <f>ifna(vlookup(A58,'Population &amp; Church Numbers'!$A$114:$D$188,4,FALSE),"NULL")</f>
        <v>39</v>
      </c>
      <c r="Q58" s="396" t="s">
        <v>63</v>
      </c>
    </row>
    <row r="59">
      <c r="A59" s="326" t="s">
        <v>302</v>
      </c>
      <c r="B59" s="251">
        <f t="array" ref="B59">VLOOKUP($A59,AR_DEMO,2,FALSE)</f>
        <v>19221</v>
      </c>
      <c r="C59" s="327">
        <f>vlookup(A59,'AR Data'!$A$3:$N$84,2, FALSE)</f>
        <v>16</v>
      </c>
      <c r="D59" s="376">
        <f>(vlookup(A59,'AR Data'!$A$3:$N$84,6,FALSE))/(vlookup(A59,'AR Data'!$A$3:$N$84,5,FALSE))</f>
        <v>2.2</v>
      </c>
      <c r="E59" s="377" t="s">
        <v>63</v>
      </c>
      <c r="F59" s="382">
        <f>vlookup(A59,'AR Data'!$A$3:$N$84,10,FALSE)</f>
        <v>7</v>
      </c>
      <c r="G59" s="382" t="s">
        <v>63</v>
      </c>
      <c r="H59" s="254">
        <f>vlookup(A59,'AR Data'!$A$3:$N$84,5,FALSE)+vlookup(A59,'AR Data'!$A$3:$N$84,7, FALSE)</f>
        <v>15</v>
      </c>
      <c r="I59" s="255">
        <f>vlookup(A59,'AR Data'!$A$3:$N$84,3, FALSE)</f>
        <v>2</v>
      </c>
      <c r="J59" s="383" t="s">
        <v>63</v>
      </c>
      <c r="K59" s="384" t="s">
        <v>63</v>
      </c>
      <c r="L59" s="385">
        <f>vlookup(A59,'AR Data'!$A$3:$N$84,4, FALSE)</f>
        <v>11</v>
      </c>
      <c r="M59" s="397" t="s">
        <v>63</v>
      </c>
      <c r="N59" s="377" t="s">
        <v>63</v>
      </c>
      <c r="O59" s="377" t="s">
        <v>63</v>
      </c>
      <c r="P59" s="261">
        <f>ifna(vlookup(A59,'Population &amp; Church Numbers'!$A$114:$D$188,4,FALSE),"NULL")</f>
        <v>30</v>
      </c>
      <c r="Q59" s="387" t="s">
        <v>63</v>
      </c>
    </row>
    <row r="60">
      <c r="A60" s="188" t="s">
        <v>303</v>
      </c>
      <c r="B60" s="189">
        <f t="array" ref="B60">VLOOKUP($A60,AR_DEMO,2,FALSE)</f>
        <v>63381</v>
      </c>
      <c r="C60" s="333">
        <f>vlookup(A60,'AR Data'!$A$3:$N$84,2, FALSE)</f>
        <v>48</v>
      </c>
      <c r="D60" s="388">
        <f>(vlookup(A60,'AR Data'!$A$3:$N$84,6,FALSE))/(vlookup(A60,'AR Data'!$A$3:$N$84,5,FALSE))</f>
        <v>2.032258065</v>
      </c>
      <c r="E60" s="389" t="s">
        <v>63</v>
      </c>
      <c r="F60" s="391">
        <f>vlookup(A60,'AR Data'!$A$3:$N$84,10,FALSE)</f>
        <v>19</v>
      </c>
      <c r="G60" s="391" t="s">
        <v>63</v>
      </c>
      <c r="H60" s="266">
        <f>vlookup(A60,'AR Data'!$A$3:$N$84,5,FALSE)+vlookup(A60,'AR Data'!$A$3:$N$84,7, FALSE)</f>
        <v>40</v>
      </c>
      <c r="I60" s="267">
        <f>vlookup(A60,'AR Data'!$A$3:$N$84,3, FALSE)</f>
        <v>2</v>
      </c>
      <c r="J60" s="392" t="s">
        <v>63</v>
      </c>
      <c r="K60" s="393" t="s">
        <v>63</v>
      </c>
      <c r="L60" s="394">
        <f>vlookup(A60,'AR Data'!$A$3:$N$84,4, FALSE)</f>
        <v>36</v>
      </c>
      <c r="M60" s="395" t="s">
        <v>63</v>
      </c>
      <c r="N60" s="389" t="s">
        <v>63</v>
      </c>
      <c r="O60" s="389" t="s">
        <v>63</v>
      </c>
      <c r="P60" s="272">
        <f>ifna(vlookup(A60,'Population &amp; Church Numbers'!$A$114:$D$188,4,FALSE),"NULL")</f>
        <v>87</v>
      </c>
      <c r="Q60" s="396" t="s">
        <v>63</v>
      </c>
    </row>
    <row r="61">
      <c r="A61" s="326" t="s">
        <v>304</v>
      </c>
      <c r="B61" s="251">
        <f t="array" ref="B61">VLOOKUP($A61,AR_DEMO,2,FALSE)</f>
        <v>8282</v>
      </c>
      <c r="C61" s="327">
        <f>vlookup(A61,'AR Data'!$A$3:$N$84,2, FALSE)</f>
        <v>2</v>
      </c>
      <c r="D61" s="376">
        <f>(vlookup(A61,'AR Data'!$A$3:$N$84,6,FALSE))/(vlookup(A61,'AR Data'!$A$3:$N$84,5,FALSE))</f>
        <v>4</v>
      </c>
      <c r="E61" s="377" t="s">
        <v>63</v>
      </c>
      <c r="F61" s="382">
        <f>vlookup(A61,'AR Data'!$A$3:$N$84,10,FALSE)</f>
        <v>2</v>
      </c>
      <c r="G61" s="382" t="s">
        <v>63</v>
      </c>
      <c r="H61" s="254">
        <f>vlookup(A61,'AR Data'!$A$3:$N$84,5,FALSE)+vlookup(A61,'AR Data'!$A$3:$N$84,7, FALSE)</f>
        <v>3</v>
      </c>
      <c r="I61" s="255">
        <f>vlookup(A61,'AR Data'!$A$3:$N$84,3, FALSE)</f>
        <v>0</v>
      </c>
      <c r="J61" s="383" t="s">
        <v>63</v>
      </c>
      <c r="K61" s="384" t="s">
        <v>63</v>
      </c>
      <c r="L61" s="385">
        <f>vlookup(A61,'AR Data'!$A$3:$N$84,4, FALSE)</f>
        <v>6</v>
      </c>
      <c r="M61" s="397" t="s">
        <v>63</v>
      </c>
      <c r="N61" s="377" t="s">
        <v>63</v>
      </c>
      <c r="O61" s="377" t="s">
        <v>63</v>
      </c>
      <c r="P61" s="261">
        <f>ifna(vlookup(A61,'Population &amp; Church Numbers'!$A$114:$D$188,4,FALSE),"NULL")</f>
        <v>17</v>
      </c>
      <c r="Q61" s="387" t="s">
        <v>63</v>
      </c>
    </row>
    <row r="62">
      <c r="A62" s="188" t="s">
        <v>305</v>
      </c>
      <c r="B62" s="189">
        <f t="array" ref="B62">VLOOKUP($A62,AR_DEMO,2,FALSE)</f>
        <v>399125</v>
      </c>
      <c r="C62" s="333">
        <f>vlookup(A62,'AR Data'!$A$3:$N$84,2, FALSE)</f>
        <v>480</v>
      </c>
      <c r="D62" s="388">
        <f>(vlookup(A62,'AR Data'!$A$3:$N$84,6,FALSE))/(vlookup(A62,'AR Data'!$A$3:$N$84,5,FALSE))</f>
        <v>1.703703704</v>
      </c>
      <c r="E62" s="389" t="s">
        <v>63</v>
      </c>
      <c r="F62" s="391">
        <f>vlookup(A62,'AR Data'!$A$3:$N$84,10,FALSE)</f>
        <v>129</v>
      </c>
      <c r="G62" s="391" t="s">
        <v>63</v>
      </c>
      <c r="H62" s="266">
        <f>vlookup(A62,'AR Data'!$A$3:$N$84,5,FALSE)+vlookup(A62,'AR Data'!$A$3:$N$84,7, FALSE)</f>
        <v>195</v>
      </c>
      <c r="I62" s="267">
        <f>vlookup(A62,'AR Data'!$A$3:$N$84,3, FALSE)</f>
        <v>32</v>
      </c>
      <c r="J62" s="392" t="s">
        <v>63</v>
      </c>
      <c r="K62" s="393" t="s">
        <v>63</v>
      </c>
      <c r="L62" s="394">
        <f>vlookup(A62,'AR Data'!$A$3:$N$84,4, FALSE)</f>
        <v>137</v>
      </c>
      <c r="M62" s="395" t="s">
        <v>63</v>
      </c>
      <c r="N62" s="389" t="s">
        <v>63</v>
      </c>
      <c r="O62" s="389" t="s">
        <v>63</v>
      </c>
      <c r="P62" s="272">
        <f>ifna(vlookup(A62,'Population &amp; Church Numbers'!$A$114:$D$188,4,FALSE),"NULL")</f>
        <v>458</v>
      </c>
      <c r="Q62" s="396" t="s">
        <v>63</v>
      </c>
    </row>
    <row r="63">
      <c r="A63" s="326" t="s">
        <v>163</v>
      </c>
      <c r="B63" s="251">
        <f t="array" ref="B63">VLOOKUP($A63,AR_DEMO,2,FALSE)</f>
        <v>18571</v>
      </c>
      <c r="C63" s="327">
        <f>vlookup(A63,'AR Data'!$A$3:$N$84,2, FALSE)</f>
        <v>42</v>
      </c>
      <c r="D63" s="376">
        <f>(vlookup(A63,'AR Data'!$A$3:$N$84,6,FALSE))/(vlookup(A63,'AR Data'!$A$3:$N$84,5,FALSE))</f>
        <v>3.2</v>
      </c>
      <c r="E63" s="377" t="s">
        <v>63</v>
      </c>
      <c r="F63" s="382">
        <f>vlookup(A63,'AR Data'!$A$3:$N$84,10,FALSE)</f>
        <v>16</v>
      </c>
      <c r="G63" s="382" t="s">
        <v>63</v>
      </c>
      <c r="H63" s="254">
        <f>vlookup(A63,'AR Data'!$A$3:$N$84,5,FALSE)+vlookup(A63,'AR Data'!$A$3:$N$84,7, FALSE)</f>
        <v>7</v>
      </c>
      <c r="I63" s="255">
        <f>vlookup(A63,'AR Data'!$A$3:$N$84,3, FALSE)</f>
        <v>2</v>
      </c>
      <c r="J63" s="383" t="s">
        <v>63</v>
      </c>
      <c r="K63" s="384" t="s">
        <v>63</v>
      </c>
      <c r="L63" s="385">
        <f>vlookup(A63,'AR Data'!$A$3:$N$84,4, FALSE)</f>
        <v>13</v>
      </c>
      <c r="M63" s="397" t="s">
        <v>63</v>
      </c>
      <c r="N63" s="377" t="s">
        <v>63</v>
      </c>
      <c r="O63" s="377" t="s">
        <v>63</v>
      </c>
      <c r="P63" s="261">
        <f>ifna(vlookup(A63,'Population &amp; Church Numbers'!$A$114:$D$188,4,FALSE),"NULL")</f>
        <v>23</v>
      </c>
      <c r="Q63" s="387" t="s">
        <v>63</v>
      </c>
    </row>
    <row r="64">
      <c r="A64" s="188" t="s">
        <v>1335</v>
      </c>
      <c r="B64" s="189">
        <f t="array" ref="B64">VLOOKUP($A64,AR_DEMO,2,FALSE)</f>
        <v>23090</v>
      </c>
      <c r="C64" s="333">
        <f>vlookup(A64,'AR Data'!$A$3:$N$84,2, FALSE)</f>
        <v>21</v>
      </c>
      <c r="D64" s="388">
        <f>(vlookup(A64,'AR Data'!$A$3:$N$84,6,FALSE))/(vlookup(A64,'AR Data'!$A$3:$N$84,5,FALSE))</f>
        <v>2</v>
      </c>
      <c r="E64" s="389" t="s">
        <v>63</v>
      </c>
      <c r="F64" s="391">
        <f>vlookup(A64,'AR Data'!$A$3:$N$84,10,FALSE)</f>
        <v>13</v>
      </c>
      <c r="G64" s="391" t="s">
        <v>63</v>
      </c>
      <c r="H64" s="266">
        <f>vlookup(A64,'AR Data'!$A$3:$N$84,5,FALSE)+vlookup(A64,'AR Data'!$A$3:$N$84,7, FALSE)</f>
        <v>12</v>
      </c>
      <c r="I64" s="267">
        <f>vlookup(A64,'AR Data'!$A$3:$N$84,3, FALSE)</f>
        <v>0</v>
      </c>
      <c r="J64" s="392" t="s">
        <v>63</v>
      </c>
      <c r="K64" s="393" t="s">
        <v>63</v>
      </c>
      <c r="L64" s="394">
        <f>vlookup(A64,'AR Data'!$A$3:$N$84,4, FALSE)</f>
        <v>26</v>
      </c>
      <c r="M64" s="395" t="s">
        <v>63</v>
      </c>
      <c r="N64" s="389" t="s">
        <v>63</v>
      </c>
      <c r="O64" s="389" t="s">
        <v>63</v>
      </c>
      <c r="P64" s="272">
        <f>ifna(vlookup(A64,'Population &amp; Church Numbers'!$A$114:$D$188,4,FALSE),"NULL")</f>
        <v>44</v>
      </c>
      <c r="Q64" s="396" t="s">
        <v>63</v>
      </c>
    </row>
    <row r="65">
      <c r="A65" s="326" t="s">
        <v>308</v>
      </c>
      <c r="B65" s="251">
        <f t="array" ref="B65">VLOOKUP($A65,AR_DEMO,2,FALSE)</f>
        <v>123416</v>
      </c>
      <c r="C65" s="327">
        <f>vlookup(A65,'AR Data'!$A$3:$N$84,2, FALSE)</f>
        <v>52</v>
      </c>
      <c r="D65" s="376">
        <f>(vlookup(A65,'AR Data'!$A$3:$N$84,6,FALSE))/(vlookup(A65,'AR Data'!$A$3:$N$84,5,FALSE))</f>
        <v>2.494117647</v>
      </c>
      <c r="E65" s="377" t="s">
        <v>63</v>
      </c>
      <c r="F65" s="382">
        <f>vlookup(A65,'AR Data'!$A$3:$N$84,10,FALSE)</f>
        <v>17</v>
      </c>
      <c r="G65" s="382" t="s">
        <v>63</v>
      </c>
      <c r="H65" s="254">
        <f>vlookup(A65,'AR Data'!$A$3:$N$84,5,FALSE)+vlookup(A65,'AR Data'!$A$3:$N$84,7, FALSE)</f>
        <v>98</v>
      </c>
      <c r="I65" s="255">
        <f>vlookup(A65,'AR Data'!$A$3:$N$84,3, FALSE)</f>
        <v>4</v>
      </c>
      <c r="J65" s="383" t="s">
        <v>63</v>
      </c>
      <c r="K65" s="384" t="s">
        <v>63</v>
      </c>
      <c r="L65" s="385">
        <f>vlookup(A65,'AR Data'!$A$3:$N$84,4, FALSE)</f>
        <v>30</v>
      </c>
      <c r="M65" s="397" t="s">
        <v>63</v>
      </c>
      <c r="N65" s="377" t="s">
        <v>63</v>
      </c>
      <c r="O65" s="377" t="s">
        <v>63</v>
      </c>
      <c r="P65" s="261">
        <f>ifna(vlookup(A65,'Population &amp; Church Numbers'!$A$114:$D$188,4,FALSE),"NULL")</f>
        <v>93</v>
      </c>
      <c r="Q65" s="387" t="s">
        <v>63</v>
      </c>
    </row>
    <row r="66">
      <c r="A66" s="188" t="s">
        <v>309</v>
      </c>
      <c r="B66" s="189">
        <f t="array" ref="B66">VLOOKUP($A66,AR_DEMO,2,FALSE)</f>
        <v>9836</v>
      </c>
      <c r="C66" s="333">
        <f>vlookup(A66,'AR Data'!$A$3:$N$84,2, FALSE)</f>
        <v>21</v>
      </c>
      <c r="D66" s="388">
        <f>(vlookup(A66,'AR Data'!$A$3:$N$84,6,FALSE))/(vlookup(A66,'AR Data'!$A$3:$N$84,5,FALSE))</f>
        <v>2.5</v>
      </c>
      <c r="E66" s="389" t="s">
        <v>63</v>
      </c>
      <c r="F66" s="391">
        <f>vlookup(A66,'AR Data'!$A$3:$N$84,10,FALSE)</f>
        <v>6</v>
      </c>
      <c r="G66" s="391" t="s">
        <v>63</v>
      </c>
      <c r="H66" s="266">
        <f>vlookup(A66,'AR Data'!$A$3:$N$84,5,FALSE)+vlookup(A66,'AR Data'!$A$3:$N$84,7, FALSE)</f>
        <v>8</v>
      </c>
      <c r="I66" s="267">
        <f>vlookup(A66,'AR Data'!$A$3:$N$84,3, FALSE)</f>
        <v>4</v>
      </c>
      <c r="J66" s="392" t="s">
        <v>63</v>
      </c>
      <c r="K66" s="393" t="s">
        <v>63</v>
      </c>
      <c r="L66" s="394">
        <f>vlookup(A66,'AR Data'!$A$3:$N$84,4, FALSE)</f>
        <v>3</v>
      </c>
      <c r="M66" s="395" t="s">
        <v>63</v>
      </c>
      <c r="N66" s="389" t="s">
        <v>63</v>
      </c>
      <c r="O66" s="389" t="s">
        <v>63</v>
      </c>
      <c r="P66" s="272">
        <f>ifna(vlookup(A66,'Population &amp; Church Numbers'!$A$114:$D$188,4,FALSE),"NULL")</f>
        <v>24</v>
      </c>
      <c r="Q66" s="396" t="s">
        <v>63</v>
      </c>
    </row>
    <row r="67">
      <c r="A67" s="326" t="s">
        <v>310</v>
      </c>
      <c r="B67" s="251">
        <f t="array" ref="B67">VLOOKUP($A67,AR_DEMO,2,FALSE)</f>
        <v>7828</v>
      </c>
      <c r="C67" s="327">
        <f>vlookup(A67,'AR Data'!$A$3:$N$84,2, FALSE)</f>
        <v>11</v>
      </c>
      <c r="D67" s="376">
        <f>(vlookup(A67,'AR Data'!$A$3:$N$84,6,FALSE))/(vlookup(A67,'AR Data'!$A$3:$N$84,5,FALSE))</f>
        <v>2.5</v>
      </c>
      <c r="E67" s="377" t="s">
        <v>63</v>
      </c>
      <c r="F67" s="382">
        <f>vlookup(A67,'AR Data'!$A$3:$N$84,10,FALSE)</f>
        <v>4</v>
      </c>
      <c r="G67" s="382" t="s">
        <v>63</v>
      </c>
      <c r="H67" s="254">
        <f>vlookup(A67,'AR Data'!$A$3:$N$84,5,FALSE)+vlookup(A67,'AR Data'!$A$3:$N$84,7, FALSE)</f>
        <v>5</v>
      </c>
      <c r="I67" s="255">
        <f>vlookup(A67,'AR Data'!$A$3:$N$84,3, FALSE)</f>
        <v>0</v>
      </c>
      <c r="J67" s="383" t="s">
        <v>63</v>
      </c>
      <c r="K67" s="384" t="s">
        <v>63</v>
      </c>
      <c r="L67" s="385">
        <f>vlookup(A67,'AR Data'!$A$3:$N$84,4, FALSE)</f>
        <v>4</v>
      </c>
      <c r="M67" s="397" t="s">
        <v>63</v>
      </c>
      <c r="N67" s="377" t="s">
        <v>63</v>
      </c>
      <c r="O67" s="377" t="s">
        <v>63</v>
      </c>
      <c r="P67" s="261">
        <f>ifna(vlookup(A67,'Population &amp; Church Numbers'!$A$114:$D$188,4,FALSE),"NULL")</f>
        <v>14</v>
      </c>
      <c r="Q67" s="387" t="s">
        <v>63</v>
      </c>
    </row>
    <row r="68">
      <c r="A68" s="188" t="s">
        <v>311</v>
      </c>
      <c r="B68" s="189">
        <f t="array" ref="B68">VLOOKUP($A68,AR_DEMO,2,FALSE)</f>
        <v>127799</v>
      </c>
      <c r="C68" s="333">
        <f>vlookup(A68,'AR Data'!$A$3:$N$84,2, FALSE)</f>
        <v>387</v>
      </c>
      <c r="D68" s="388">
        <f>(vlookup(A68,'AR Data'!$A$3:$N$84,6,FALSE))/(vlookup(A68,'AR Data'!$A$3:$N$84,5,FALSE))</f>
        <v>1.88372093</v>
      </c>
      <c r="E68" s="389" t="s">
        <v>63</v>
      </c>
      <c r="F68" s="391">
        <f>vlookup(A68,'AR Data'!$A$3:$N$84,10,FALSE)</f>
        <v>127</v>
      </c>
      <c r="G68" s="391" t="s">
        <v>63</v>
      </c>
      <c r="H68" s="266">
        <f>vlookup(A68,'AR Data'!$A$3:$N$84,5,FALSE)+vlookup(A68,'AR Data'!$A$3:$N$84,7, FALSE)</f>
        <v>137</v>
      </c>
      <c r="I68" s="267">
        <f>vlookup(A68,'AR Data'!$A$3:$N$84,3, FALSE)</f>
        <v>36</v>
      </c>
      <c r="J68" s="392" t="s">
        <v>63</v>
      </c>
      <c r="K68" s="393" t="s">
        <v>63</v>
      </c>
      <c r="L68" s="394">
        <f>vlookup(A68,'AR Data'!$A$3:$N$84,4, FALSE)</f>
        <v>75</v>
      </c>
      <c r="M68" s="395" t="s">
        <v>63</v>
      </c>
      <c r="N68" s="389" t="s">
        <v>63</v>
      </c>
      <c r="O68" s="389" t="s">
        <v>63</v>
      </c>
      <c r="P68" s="272">
        <f>ifna(vlookup(A68,'Population &amp; Church Numbers'!$A$114:$D$188,4,FALSE),"NULL")</f>
        <v>127</v>
      </c>
      <c r="Q68" s="396" t="s">
        <v>63</v>
      </c>
    </row>
    <row r="69">
      <c r="A69" s="326" t="s">
        <v>312</v>
      </c>
      <c r="B69" s="251">
        <f t="array" ref="B69">VLOOKUP($A69,AR_DEMO,2,FALSE)</f>
        <v>15839</v>
      </c>
      <c r="C69" s="327">
        <f>vlookup(A69,'AR Data'!$A$3:$N$84,2, FALSE)</f>
        <v>25</v>
      </c>
      <c r="D69" s="376">
        <f>(vlookup(A69,'AR Data'!$A$3:$N$84,6,FALSE))/(vlookup(A69,'AR Data'!$A$3:$N$84,5,FALSE))</f>
        <v>1.5</v>
      </c>
      <c r="E69" s="377" t="s">
        <v>63</v>
      </c>
      <c r="F69" s="382">
        <f>vlookup(A69,'AR Data'!$A$3:$N$84,10,FALSE)</f>
        <v>12</v>
      </c>
      <c r="G69" s="382" t="s">
        <v>63</v>
      </c>
      <c r="H69" s="254">
        <f>vlookup(A69,'AR Data'!$A$3:$N$84,5,FALSE)+vlookup(A69,'AR Data'!$A$3:$N$84,7, FALSE)</f>
        <v>13</v>
      </c>
      <c r="I69" s="255">
        <f>vlookup(A69,'AR Data'!$A$3:$N$84,3, FALSE)</f>
        <v>3</v>
      </c>
      <c r="J69" s="383" t="s">
        <v>63</v>
      </c>
      <c r="K69" s="384" t="s">
        <v>63</v>
      </c>
      <c r="L69" s="385">
        <f>vlookup(A69,'AR Data'!$A$3:$N$84,4, FALSE)</f>
        <v>8</v>
      </c>
      <c r="M69" s="397" t="s">
        <v>63</v>
      </c>
      <c r="N69" s="377" t="s">
        <v>63</v>
      </c>
      <c r="O69" s="377" t="s">
        <v>63</v>
      </c>
      <c r="P69" s="261">
        <f>ifna(vlookup(A69,'Population &amp; Church Numbers'!$A$114:$D$188,4,FALSE),"NULL")</f>
        <v>24</v>
      </c>
      <c r="Q69" s="387" t="s">
        <v>63</v>
      </c>
    </row>
    <row r="70">
      <c r="A70" s="188" t="s">
        <v>313</v>
      </c>
      <c r="B70" s="189">
        <f t="array" ref="B70">VLOOKUP($A70,AR_DEMO,2,FALSE)</f>
        <v>17271</v>
      </c>
      <c r="C70" s="333">
        <f>vlookup(A70,'AR Data'!$A$3:$N$84,2, FALSE)</f>
        <v>31</v>
      </c>
      <c r="D70" s="388">
        <f>(vlookup(A70,'AR Data'!$A$3:$N$84,6,FALSE))/(vlookup(A70,'AR Data'!$A$3:$N$84,5,FALSE))</f>
        <v>1.916666667</v>
      </c>
      <c r="E70" s="389" t="s">
        <v>63</v>
      </c>
      <c r="F70" s="391">
        <f>vlookup(A70,'AR Data'!$A$3:$N$84,10,FALSE)</f>
        <v>8</v>
      </c>
      <c r="G70" s="391" t="s">
        <v>63</v>
      </c>
      <c r="H70" s="266">
        <f>vlookup(A70,'AR Data'!$A$3:$N$84,5,FALSE)+vlookup(A70,'AR Data'!$A$3:$N$84,7, FALSE)</f>
        <v>19</v>
      </c>
      <c r="I70" s="267">
        <f>vlookup(A70,'AR Data'!$A$3:$N$84,3, FALSE)</f>
        <v>6</v>
      </c>
      <c r="J70" s="392" t="s">
        <v>63</v>
      </c>
      <c r="K70" s="393" t="s">
        <v>63</v>
      </c>
      <c r="L70" s="394">
        <f>vlookup(A70,'AR Data'!$A$3:$N$84,4, FALSE)</f>
        <v>17</v>
      </c>
      <c r="M70" s="395" t="s">
        <v>63</v>
      </c>
      <c r="N70" s="389" t="s">
        <v>63</v>
      </c>
      <c r="O70" s="389" t="s">
        <v>63</v>
      </c>
      <c r="P70" s="272">
        <f>ifna(vlookup(A70,'Population &amp; Church Numbers'!$A$114:$D$188,4,FALSE),"NULL")</f>
        <v>37</v>
      </c>
      <c r="Q70" s="396" t="s">
        <v>63</v>
      </c>
    </row>
    <row r="71">
      <c r="A71" s="326" t="s">
        <v>315</v>
      </c>
      <c r="B71" s="251">
        <f t="array" ref="B71">VLOOKUP($A71,AR_DEMO,2,FALSE)</f>
        <v>12359</v>
      </c>
      <c r="C71" s="327">
        <f>vlookup(A71,'AR Data'!$A$3:$N$84,2, FALSE)</f>
        <v>3</v>
      </c>
      <c r="D71" s="376">
        <f>(vlookup(A71,'AR Data'!$A$3:$N$84,6,FALSE))/(vlookup(A71,'AR Data'!$A$3:$N$84,5,FALSE))</f>
        <v>1.888888889</v>
      </c>
      <c r="E71" s="377" t="s">
        <v>63</v>
      </c>
      <c r="F71" s="382">
        <f>vlookup(A71,'AR Data'!$A$3:$N$84,10,FALSE)</f>
        <v>0</v>
      </c>
      <c r="G71" s="382" t="s">
        <v>63</v>
      </c>
      <c r="H71" s="254">
        <f>vlookup(A71,'AR Data'!$A$3:$N$84,5,FALSE)+vlookup(A71,'AR Data'!$A$3:$N$84,7, FALSE)</f>
        <v>11</v>
      </c>
      <c r="I71" s="255">
        <f>vlookup(A71,'AR Data'!$A$3:$N$84,3, FALSE)</f>
        <v>1</v>
      </c>
      <c r="J71" s="383" t="s">
        <v>63</v>
      </c>
      <c r="K71" s="384" t="s">
        <v>63</v>
      </c>
      <c r="L71" s="385">
        <f>vlookup(A71,'AR Data'!$A$3:$N$84,4, FALSE)</f>
        <v>10</v>
      </c>
      <c r="M71" s="397" t="s">
        <v>63</v>
      </c>
      <c r="N71" s="377" t="s">
        <v>63</v>
      </c>
      <c r="O71" s="377" t="s">
        <v>63</v>
      </c>
      <c r="P71" s="261">
        <f>ifna(vlookup(A71,'Population &amp; Church Numbers'!$A$114:$D$188,4,FALSE),"NULL")</f>
        <v>28</v>
      </c>
      <c r="Q71" s="387" t="s">
        <v>63</v>
      </c>
    </row>
    <row r="72">
      <c r="A72" s="188" t="s">
        <v>316</v>
      </c>
      <c r="B72" s="189">
        <f t="array" ref="B72">VLOOKUP($A72,AR_DEMO,2,FALSE)</f>
        <v>39054</v>
      </c>
      <c r="C72" s="333">
        <f>vlookup(A72,'AR Data'!$A$3:$N$84,2, FALSE)</f>
        <v>31</v>
      </c>
      <c r="D72" s="388">
        <f>(vlookup(A72,'AR Data'!$A$3:$N$84,6,FALSE))/(vlookup(A72,'AR Data'!$A$3:$N$84,5,FALSE))</f>
        <v>1.777777778</v>
      </c>
      <c r="E72" s="389" t="s">
        <v>63</v>
      </c>
      <c r="F72" s="391">
        <f>vlookup(A72,'AR Data'!$A$3:$N$84,10,FALSE)</f>
        <v>13</v>
      </c>
      <c r="G72" s="391" t="s">
        <v>63</v>
      </c>
      <c r="H72" s="266">
        <f>vlookup(A72,'AR Data'!$A$3:$N$84,5,FALSE)+vlookup(A72,'AR Data'!$A$3:$N$84,7, FALSE)</f>
        <v>15</v>
      </c>
      <c r="I72" s="267">
        <f>vlookup(A72,'AR Data'!$A$3:$N$84,3, FALSE)</f>
        <v>2</v>
      </c>
      <c r="J72" s="392" t="s">
        <v>63</v>
      </c>
      <c r="K72" s="393" t="s">
        <v>63</v>
      </c>
      <c r="L72" s="394">
        <f>vlookup(A72,'AR Data'!$A$3:$N$84,4, FALSE)</f>
        <v>18</v>
      </c>
      <c r="M72" s="395" t="s">
        <v>63</v>
      </c>
      <c r="N72" s="389" t="s">
        <v>63</v>
      </c>
      <c r="O72" s="389" t="s">
        <v>63</v>
      </c>
      <c r="P72" s="272">
        <f>ifna(vlookup(A72,'Population &amp; Church Numbers'!$A$114:$D$188,4,FALSE),"NULL")</f>
        <v>91</v>
      </c>
      <c r="Q72" s="396" t="s">
        <v>63</v>
      </c>
    </row>
    <row r="73">
      <c r="A73" s="326" t="s">
        <v>317</v>
      </c>
      <c r="B73" s="251">
        <f t="array" ref="B73">VLOOKUP($A73,AR_DEMO,2,FALSE)</f>
        <v>15796</v>
      </c>
      <c r="C73" s="327">
        <f>vlookup(A73,'AR Data'!$A$3:$N$84,2, FALSE)</f>
        <v>20</v>
      </c>
      <c r="D73" s="376">
        <f>(vlookup(A73,'AR Data'!$A$3:$N$84,6,FALSE))/(vlookup(A73,'AR Data'!$A$3:$N$84,5,FALSE))</f>
        <v>2.875</v>
      </c>
      <c r="E73" s="377" t="s">
        <v>63</v>
      </c>
      <c r="F73" s="382">
        <f>vlookup(A73,'AR Data'!$A$3:$N$84,10,FALSE)</f>
        <v>13</v>
      </c>
      <c r="G73" s="382" t="s">
        <v>63</v>
      </c>
      <c r="H73" s="254">
        <f>vlookup(A73,'AR Data'!$A$3:$N$84,5,FALSE)+vlookup(A73,'AR Data'!$A$3:$N$84,7, FALSE)</f>
        <v>12</v>
      </c>
      <c r="I73" s="255">
        <f>vlookup(A73,'AR Data'!$A$3:$N$84,3, FALSE)</f>
        <v>3</v>
      </c>
      <c r="J73" s="383" t="s">
        <v>63</v>
      </c>
      <c r="K73" s="384" t="s">
        <v>63</v>
      </c>
      <c r="L73" s="385">
        <f>vlookup(A73,'AR Data'!$A$3:$N$84,4, FALSE)</f>
        <v>7</v>
      </c>
      <c r="M73" s="397" t="s">
        <v>63</v>
      </c>
      <c r="N73" s="377" t="s">
        <v>63</v>
      </c>
      <c r="O73" s="377" t="s">
        <v>63</v>
      </c>
      <c r="P73" s="261">
        <f>ifna(vlookup(A73,'Population &amp; Church Numbers'!$A$114:$D$188,4,FALSE),"NULL")</f>
        <v>26</v>
      </c>
      <c r="Q73" s="387" t="s">
        <v>63</v>
      </c>
    </row>
    <row r="74">
      <c r="A74" s="188" t="s">
        <v>119</v>
      </c>
      <c r="B74" s="189">
        <f t="array" ref="B74">VLOOKUP($A74,AR_DEMO,2,FALSE)</f>
        <v>245871</v>
      </c>
      <c r="C74" s="333">
        <f>vlookup(A74,'AR Data'!$A$3:$N$84,2, FALSE)</f>
        <v>253</v>
      </c>
      <c r="D74" s="388">
        <f>(vlookup(A74,'AR Data'!$A$3:$N$84,6,FALSE))/(vlookup(A74,'AR Data'!$A$3:$N$84,5,FALSE))</f>
        <v>1.965909091</v>
      </c>
      <c r="E74" s="389" t="s">
        <v>63</v>
      </c>
      <c r="F74" s="391">
        <f>vlookup(A74,'AR Data'!$A$3:$N$84,10,FALSE)</f>
        <v>88</v>
      </c>
      <c r="G74" s="391" t="s">
        <v>63</v>
      </c>
      <c r="H74" s="266">
        <f>vlookup(A74,'AR Data'!$A$3:$N$84,5,FALSE)+vlookup(A74,'AR Data'!$A$3:$N$84,7, FALSE)</f>
        <v>118</v>
      </c>
      <c r="I74" s="267">
        <f>vlookup(A74,'AR Data'!$A$3:$N$84,3, FALSE)</f>
        <v>36</v>
      </c>
      <c r="J74" s="392" t="s">
        <v>63</v>
      </c>
      <c r="K74" s="393" t="s">
        <v>63</v>
      </c>
      <c r="L74" s="394">
        <f>vlookup(A74,'AR Data'!$A$3:$N$84,4, FALSE)</f>
        <v>64</v>
      </c>
      <c r="M74" s="395" t="s">
        <v>63</v>
      </c>
      <c r="N74" s="389" t="s">
        <v>63</v>
      </c>
      <c r="O74" s="389" t="s">
        <v>63</v>
      </c>
      <c r="P74" s="272">
        <f>ifna(vlookup(A74,'Population &amp; Church Numbers'!$A$114:$D$188,4,FALSE),"NULL")</f>
        <v>155</v>
      </c>
      <c r="Q74" s="396" t="s">
        <v>63</v>
      </c>
    </row>
    <row r="75">
      <c r="A75" s="326" t="s">
        <v>66</v>
      </c>
      <c r="B75" s="251">
        <f t="array" ref="B75">VLOOKUP($A75,AR_DEMO,2,FALSE)</f>
        <v>76822</v>
      </c>
      <c r="C75" s="327">
        <f>vlookup(A75,'AR Data'!$A$3:$N$84,2, FALSE)</f>
        <v>90</v>
      </c>
      <c r="D75" s="376">
        <f>(vlookup(A75,'AR Data'!$A$3:$N$84,6,FALSE))/(vlookup(A75,'AR Data'!$A$3:$N$84,5,FALSE))</f>
        <v>1.967741935</v>
      </c>
      <c r="E75" s="377" t="s">
        <v>63</v>
      </c>
      <c r="F75" s="382">
        <f>vlookup(A75,'AR Data'!$A$3:$N$84,10,FALSE)</f>
        <v>24</v>
      </c>
      <c r="G75" s="382" t="s">
        <v>63</v>
      </c>
      <c r="H75" s="254">
        <f>vlookup(A75,'AR Data'!$A$3:$N$84,5,FALSE)+vlookup(A75,'AR Data'!$A$3:$N$84,7, FALSE)</f>
        <v>80</v>
      </c>
      <c r="I75" s="255">
        <f>vlookup(A75,'AR Data'!$A$3:$N$84,3, FALSE)</f>
        <v>12</v>
      </c>
      <c r="J75" s="383" t="s">
        <v>63</v>
      </c>
      <c r="K75" s="384" t="s">
        <v>63</v>
      </c>
      <c r="L75" s="385">
        <f>vlookup(A75,'AR Data'!$A$3:$N$84,4, FALSE)</f>
        <v>54</v>
      </c>
      <c r="M75" s="397" t="s">
        <v>63</v>
      </c>
      <c r="N75" s="377" t="s">
        <v>63</v>
      </c>
      <c r="O75" s="377" t="s">
        <v>63</v>
      </c>
      <c r="P75" s="261">
        <f>ifna(vlookup(A75,'Population &amp; Church Numbers'!$A$114:$D$188,4,FALSE),"NULL")</f>
        <v>94</v>
      </c>
      <c r="Q75" s="387" t="s">
        <v>63</v>
      </c>
    </row>
    <row r="76">
      <c r="A76" s="188" t="s">
        <v>318</v>
      </c>
      <c r="B76" s="189">
        <f t="array" ref="B76">VLOOKUP($A76,AR_DEMO,2,FALSE)</f>
        <v>6269</v>
      </c>
      <c r="C76" s="333">
        <f>vlookup(A76,'AR Data'!$A$3:$N$84,2, FALSE)</f>
        <v>44</v>
      </c>
      <c r="D76" s="388">
        <f>(vlookup(A76,'AR Data'!$A$3:$N$84,6,FALSE))/(vlookup(A76,'AR Data'!$A$3:$N$84,5,FALSE))</f>
        <v>2.2</v>
      </c>
      <c r="E76" s="389" t="s">
        <v>63</v>
      </c>
      <c r="F76" s="391">
        <f>vlookup(A76,'AR Data'!$A$3:$N$84,10,FALSE)</f>
        <v>15</v>
      </c>
      <c r="G76" s="391" t="s">
        <v>63</v>
      </c>
      <c r="H76" s="266">
        <f>vlookup(A76,'AR Data'!$A$3:$N$84,5,FALSE)+vlookup(A76,'AR Data'!$A$3:$N$84,7, FALSE)</f>
        <v>10</v>
      </c>
      <c r="I76" s="267">
        <f>vlookup(A76,'AR Data'!$A$3:$N$84,3, FALSE)</f>
        <v>5</v>
      </c>
      <c r="J76" s="392" t="s">
        <v>63</v>
      </c>
      <c r="K76" s="393" t="s">
        <v>63</v>
      </c>
      <c r="L76" s="394">
        <f>vlookup(A76,'AR Data'!$A$3:$N$84,4, FALSE)</f>
        <v>10</v>
      </c>
      <c r="M76" s="395" t="s">
        <v>63</v>
      </c>
      <c r="N76" s="389" t="s">
        <v>63</v>
      </c>
      <c r="O76" s="389" t="s">
        <v>63</v>
      </c>
      <c r="P76" s="272">
        <f>ifna(vlookup(A76,'Population &amp; Church Numbers'!$A$114:$D$188,4,FALSE),"NULL")</f>
        <v>9</v>
      </c>
      <c r="Q76" s="396" t="s">
        <v>63</v>
      </c>
    </row>
    <row r="77">
      <c r="A77" s="326" t="s">
        <v>319</v>
      </c>
      <c r="B77" s="251">
        <f t="array" ref="B77">VLOOKUP($A77,AR_DEMO,2,FALSE)</f>
        <v>20263</v>
      </c>
      <c r="C77" s="327">
        <f>vlookup(A77,'AR Data'!$A$3:$N$84,2, FALSE)</f>
        <v>28</v>
      </c>
      <c r="D77" s="376">
        <f>(vlookup(A77,'AR Data'!$A$3:$N$84,6,FALSE))/(vlookup(A77,'AR Data'!$A$3:$N$84,5,FALSE))</f>
        <v>1.454545455</v>
      </c>
      <c r="E77" s="377" t="s">
        <v>63</v>
      </c>
      <c r="F77" s="382">
        <f>vlookup(A77,'AR Data'!$A$3:$N$84,10,FALSE)</f>
        <v>13</v>
      </c>
      <c r="G77" s="382" t="s">
        <v>63</v>
      </c>
      <c r="H77" s="254">
        <f>vlookup(A77,'AR Data'!$A$3:$N$84,5,FALSE)+vlookup(A77,'AR Data'!$A$3:$N$84,7, FALSE)</f>
        <v>19</v>
      </c>
      <c r="I77" s="255">
        <f>vlookup(A77,'AR Data'!$A$3:$N$84,3, FALSE)</f>
        <v>2</v>
      </c>
      <c r="J77" s="383" t="s">
        <v>63</v>
      </c>
      <c r="K77" s="384" t="s">
        <v>63</v>
      </c>
      <c r="L77" s="385">
        <f>vlookup(A77,'AR Data'!$A$3:$N$84,4, FALSE)</f>
        <v>19</v>
      </c>
      <c r="M77" s="397" t="s">
        <v>63</v>
      </c>
      <c r="N77" s="377" t="s">
        <v>63</v>
      </c>
      <c r="O77" s="377" t="s">
        <v>63</v>
      </c>
      <c r="P77" s="261">
        <f>ifna(vlookup(A77,'Population &amp; Church Numbers'!$A$114:$D$188,4,FALSE),"NULL")</f>
        <v>32</v>
      </c>
      <c r="Q77" s="387" t="s">
        <v>63</v>
      </c>
    </row>
    <row r="78">
      <c r="A78" s="457"/>
      <c r="B78" s="458"/>
      <c r="C78" s="333"/>
      <c r="D78" s="459"/>
      <c r="E78" s="459"/>
      <c r="F78" s="459"/>
      <c r="G78" s="459"/>
      <c r="H78" s="460"/>
      <c r="I78" s="461"/>
      <c r="J78" s="462"/>
      <c r="K78" s="333"/>
      <c r="L78" s="394"/>
      <c r="M78" s="463"/>
      <c r="N78" s="464"/>
      <c r="O78" s="459"/>
      <c r="P78" s="460"/>
      <c r="Q78" s="227"/>
    </row>
    <row r="79">
      <c r="A79" s="228" t="s">
        <v>2</v>
      </c>
      <c r="B79" s="229"/>
      <c r="C79" s="230">
        <f>'AR Data'!B82</f>
        <v>3604</v>
      </c>
      <c r="D79" s="465">
        <f>'AR Data'!F82/'AR Data'!E82</f>
        <v>1.980463097</v>
      </c>
      <c r="E79" s="238" t="s">
        <v>63</v>
      </c>
      <c r="F79" s="238" t="s">
        <v>63</v>
      </c>
      <c r="G79" s="238" t="s">
        <v>63</v>
      </c>
      <c r="H79" s="233">
        <f>'AR Data'!E82+'AR Data'!G82</f>
        <v>1835</v>
      </c>
      <c r="I79" s="234">
        <f>'AR Data'!C82</f>
        <v>299</v>
      </c>
      <c r="J79" s="466" t="s">
        <v>63</v>
      </c>
      <c r="K79" s="467" t="s">
        <v>63</v>
      </c>
      <c r="L79" s="233">
        <f>'AR Data'!D82</f>
        <v>1436</v>
      </c>
      <c r="M79" s="468" t="s">
        <v>63</v>
      </c>
      <c r="N79" s="238" t="s">
        <v>63</v>
      </c>
      <c r="O79" s="238" t="s">
        <v>63</v>
      </c>
      <c r="P79" s="233">
        <f>SUM(P3:P77)</f>
        <v>3846</v>
      </c>
      <c r="Q79" s="469" t="s">
        <v>63</v>
      </c>
    </row>
  </sheetData>
  <autoFilter ref="$A$2:$Q$79"/>
  <mergeCells count="1">
    <mergeCell ref="B1:Q1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13"/>
    <col customWidth="1" min="3" max="3" width="14.38"/>
    <col customWidth="1" min="7" max="7" width="13.63"/>
    <col customWidth="1" min="9" max="9" width="16.0"/>
  </cols>
  <sheetData>
    <row r="1">
      <c r="A1" s="398" t="s">
        <v>1202</v>
      </c>
      <c r="B1" s="399"/>
      <c r="C1" s="400" t="s">
        <v>765</v>
      </c>
      <c r="D1" s="400" t="s">
        <v>1205</v>
      </c>
      <c r="E1" s="399"/>
      <c r="F1" s="399"/>
      <c r="G1" s="400" t="s">
        <v>767</v>
      </c>
      <c r="H1" s="401">
        <v>45470.0</v>
      </c>
      <c r="I1" s="400" t="s">
        <v>769</v>
      </c>
      <c r="J1" s="401">
        <v>45412.0</v>
      </c>
      <c r="K1" s="402"/>
    </row>
    <row r="2">
      <c r="A2" s="1"/>
    </row>
    <row r="3">
      <c r="A3" s="403" t="s">
        <v>172</v>
      </c>
      <c r="B3" s="404" t="s">
        <v>695</v>
      </c>
      <c r="C3" s="404" t="s">
        <v>1209</v>
      </c>
      <c r="D3" s="405" t="s">
        <v>1210</v>
      </c>
      <c r="E3" s="406" t="s">
        <v>1211</v>
      </c>
      <c r="F3" s="406" t="s">
        <v>1212</v>
      </c>
      <c r="G3" s="406" t="s">
        <v>1213</v>
      </c>
      <c r="H3" s="406" t="s">
        <v>1214</v>
      </c>
      <c r="I3" s="406" t="s">
        <v>1215</v>
      </c>
      <c r="J3" s="406" t="s">
        <v>1216</v>
      </c>
      <c r="K3" s="406" t="s">
        <v>1217</v>
      </c>
      <c r="L3" s="406" t="s">
        <v>1218</v>
      </c>
      <c r="M3" s="406" t="s">
        <v>1219</v>
      </c>
      <c r="N3" s="406" t="s">
        <v>1220</v>
      </c>
      <c r="P3" s="10" t="s">
        <v>1221</v>
      </c>
      <c r="R3" s="10" t="s">
        <v>1223</v>
      </c>
    </row>
    <row r="4">
      <c r="A4" s="407" t="s">
        <v>243</v>
      </c>
      <c r="B4" s="408">
        <v>129.0</v>
      </c>
      <c r="C4" s="408">
        <v>7.0</v>
      </c>
      <c r="D4" s="409">
        <v>65.0</v>
      </c>
      <c r="E4" s="410">
        <v>88.0</v>
      </c>
      <c r="F4" s="411">
        <v>173.0</v>
      </c>
      <c r="G4" s="410">
        <v>25.0</v>
      </c>
      <c r="H4" s="411">
        <v>37.0</v>
      </c>
      <c r="I4" s="206">
        <v>125.0</v>
      </c>
      <c r="J4" s="206">
        <v>33.0</v>
      </c>
      <c r="K4" s="206">
        <v>26.4</v>
      </c>
      <c r="L4" s="206">
        <v>92.0</v>
      </c>
      <c r="M4" s="206">
        <v>38.0</v>
      </c>
      <c r="N4" s="206">
        <v>41.3</v>
      </c>
      <c r="P4" s="8">
        <f t="shared" ref="P4:P82" si="1">M4+J4</f>
        <v>71</v>
      </c>
      <c r="R4" s="8">
        <f t="shared" ref="R4:R82" si="2">B4-(J4+M4)</f>
        <v>58</v>
      </c>
    </row>
    <row r="5">
      <c r="A5" s="412" t="s">
        <v>248</v>
      </c>
      <c r="B5" s="413">
        <v>30.0</v>
      </c>
      <c r="C5" s="413">
        <v>1.0</v>
      </c>
      <c r="D5" s="414">
        <v>16.0</v>
      </c>
      <c r="E5" s="413">
        <v>7.0</v>
      </c>
      <c r="F5" s="413">
        <v>14.0</v>
      </c>
      <c r="G5" s="413">
        <v>2.0</v>
      </c>
      <c r="H5" s="206">
        <v>4.0</v>
      </c>
      <c r="I5" s="206">
        <v>27.0</v>
      </c>
      <c r="J5" s="206">
        <v>10.0</v>
      </c>
      <c r="K5" s="206">
        <v>37.0</v>
      </c>
      <c r="L5" s="206">
        <v>17.0</v>
      </c>
      <c r="M5" s="206">
        <v>0.0</v>
      </c>
      <c r="N5" s="206">
        <v>0.0</v>
      </c>
      <c r="P5" s="8">
        <f t="shared" si="1"/>
        <v>10</v>
      </c>
      <c r="R5" s="8">
        <f t="shared" si="2"/>
        <v>20</v>
      </c>
    </row>
    <row r="6">
      <c r="A6" s="412" t="s">
        <v>151</v>
      </c>
      <c r="B6" s="413">
        <v>33.0</v>
      </c>
      <c r="C6" s="413">
        <v>1.0</v>
      </c>
      <c r="D6" s="414">
        <v>1.0</v>
      </c>
      <c r="E6" s="413">
        <v>9.0</v>
      </c>
      <c r="F6" s="413">
        <v>15.0</v>
      </c>
      <c r="G6" s="413">
        <v>5.0</v>
      </c>
      <c r="H6" s="206">
        <v>7.0</v>
      </c>
      <c r="I6" s="206">
        <v>30.0</v>
      </c>
      <c r="J6" s="206">
        <v>19.0</v>
      </c>
      <c r="K6" s="206">
        <v>63.3</v>
      </c>
      <c r="L6" s="206">
        <v>11.0</v>
      </c>
      <c r="M6" s="206">
        <v>1.0</v>
      </c>
      <c r="N6" s="206">
        <v>9.1</v>
      </c>
      <c r="P6" s="8">
        <f t="shared" si="1"/>
        <v>20</v>
      </c>
      <c r="R6" s="8">
        <f t="shared" si="2"/>
        <v>13</v>
      </c>
    </row>
    <row r="7">
      <c r="A7" s="412" t="s">
        <v>119</v>
      </c>
      <c r="B7" s="413">
        <v>253.0</v>
      </c>
      <c r="C7" s="413">
        <v>36.0</v>
      </c>
      <c r="D7" s="414">
        <v>64.0</v>
      </c>
      <c r="E7" s="413">
        <v>88.0</v>
      </c>
      <c r="F7" s="413">
        <v>173.0</v>
      </c>
      <c r="G7" s="413">
        <v>30.0</v>
      </c>
      <c r="H7" s="206">
        <v>49.0</v>
      </c>
      <c r="I7" s="206">
        <v>234.0</v>
      </c>
      <c r="J7" s="206">
        <v>88.0</v>
      </c>
      <c r="K7" s="206">
        <v>37.6</v>
      </c>
      <c r="L7" s="206">
        <v>146.0</v>
      </c>
      <c r="M7" s="206">
        <v>35.0</v>
      </c>
      <c r="N7" s="206">
        <v>24.0</v>
      </c>
      <c r="P7" s="8">
        <f t="shared" si="1"/>
        <v>123</v>
      </c>
      <c r="R7" s="8">
        <f t="shared" si="2"/>
        <v>130</v>
      </c>
    </row>
    <row r="8">
      <c r="A8" s="412" t="s">
        <v>263</v>
      </c>
      <c r="B8" s="413">
        <v>66.0</v>
      </c>
      <c r="C8" s="413">
        <v>0.0</v>
      </c>
      <c r="D8" s="414">
        <v>53.0</v>
      </c>
      <c r="E8" s="413">
        <v>43.0</v>
      </c>
      <c r="F8" s="413">
        <v>78.0</v>
      </c>
      <c r="G8" s="413">
        <v>20.0</v>
      </c>
      <c r="H8" s="206">
        <v>31.0</v>
      </c>
      <c r="I8" s="206">
        <v>61.0</v>
      </c>
      <c r="J8" s="206">
        <v>23.0</v>
      </c>
      <c r="K8" s="206">
        <v>37.7</v>
      </c>
      <c r="L8" s="206">
        <v>38.0</v>
      </c>
      <c r="M8" s="206">
        <v>9.0</v>
      </c>
      <c r="N8" s="206">
        <v>23.7</v>
      </c>
      <c r="P8" s="8">
        <f t="shared" si="1"/>
        <v>32</v>
      </c>
      <c r="R8" s="8">
        <f t="shared" si="2"/>
        <v>34</v>
      </c>
    </row>
    <row r="9">
      <c r="A9" s="412" t="s">
        <v>136</v>
      </c>
      <c r="B9" s="413">
        <v>42.0</v>
      </c>
      <c r="C9" s="413">
        <v>3.0</v>
      </c>
      <c r="D9" s="414">
        <v>9.0</v>
      </c>
      <c r="E9" s="410">
        <v>7.0</v>
      </c>
      <c r="F9" s="410">
        <v>12.0</v>
      </c>
      <c r="G9" s="410">
        <v>5.0</v>
      </c>
      <c r="H9" s="206">
        <v>8.0</v>
      </c>
      <c r="I9" s="206">
        <v>36.0</v>
      </c>
      <c r="J9" s="206">
        <v>19.0</v>
      </c>
      <c r="K9" s="206">
        <v>52.8</v>
      </c>
      <c r="L9" s="206">
        <v>17.0</v>
      </c>
      <c r="M9" s="206">
        <v>2.0</v>
      </c>
      <c r="N9" s="206">
        <v>11.8</v>
      </c>
      <c r="P9" s="8">
        <f t="shared" si="1"/>
        <v>21</v>
      </c>
      <c r="R9" s="8">
        <f t="shared" si="2"/>
        <v>21</v>
      </c>
    </row>
    <row r="10">
      <c r="A10" s="412" t="s">
        <v>288</v>
      </c>
      <c r="B10" s="408">
        <v>32.0</v>
      </c>
      <c r="C10" s="408">
        <v>1.0</v>
      </c>
      <c r="D10" s="409">
        <v>17.0</v>
      </c>
      <c r="E10" s="408">
        <v>11.0</v>
      </c>
      <c r="F10" s="408">
        <v>18.0</v>
      </c>
      <c r="G10" s="408">
        <v>6.0</v>
      </c>
      <c r="H10" s="206">
        <v>8.0</v>
      </c>
      <c r="I10" s="206">
        <v>29.0</v>
      </c>
      <c r="J10" s="206">
        <v>22.0</v>
      </c>
      <c r="K10" s="206">
        <v>75.9</v>
      </c>
      <c r="L10" s="206">
        <v>7.0</v>
      </c>
      <c r="M10" s="206">
        <v>1.0</v>
      </c>
      <c r="N10" s="206">
        <v>14.3</v>
      </c>
      <c r="P10" s="8">
        <f t="shared" si="1"/>
        <v>23</v>
      </c>
      <c r="R10" s="8">
        <f t="shared" si="2"/>
        <v>9</v>
      </c>
    </row>
    <row r="11">
      <c r="A11" s="412" t="s">
        <v>293</v>
      </c>
      <c r="B11" s="413">
        <v>60.0</v>
      </c>
      <c r="C11" s="413">
        <v>11.0</v>
      </c>
      <c r="D11" s="414">
        <v>33.0</v>
      </c>
      <c r="E11" s="413">
        <v>10.0</v>
      </c>
      <c r="F11" s="413">
        <v>21.0</v>
      </c>
      <c r="G11" s="413">
        <v>5.0</v>
      </c>
      <c r="H11" s="206">
        <v>11.0</v>
      </c>
      <c r="I11" s="206">
        <v>51.0</v>
      </c>
      <c r="J11" s="206">
        <v>21.0</v>
      </c>
      <c r="K11" s="206">
        <v>41.2</v>
      </c>
      <c r="L11" s="206">
        <v>30.0</v>
      </c>
      <c r="M11" s="206">
        <v>2.0</v>
      </c>
      <c r="N11" s="206">
        <v>6.7</v>
      </c>
      <c r="P11" s="8">
        <f t="shared" si="1"/>
        <v>23</v>
      </c>
      <c r="R11" s="8">
        <f t="shared" si="2"/>
        <v>37</v>
      </c>
    </row>
    <row r="12">
      <c r="A12" s="412" t="s">
        <v>309</v>
      </c>
      <c r="B12" s="413">
        <v>21.0</v>
      </c>
      <c r="C12" s="413">
        <v>4.0</v>
      </c>
      <c r="D12" s="414">
        <v>3.0</v>
      </c>
      <c r="E12" s="413">
        <v>6.0</v>
      </c>
      <c r="F12" s="413">
        <v>15.0</v>
      </c>
      <c r="G12" s="413">
        <v>2.0</v>
      </c>
      <c r="H12" s="206">
        <v>5.0</v>
      </c>
      <c r="I12" s="206">
        <v>21.0</v>
      </c>
      <c r="J12" s="206">
        <v>6.0</v>
      </c>
      <c r="K12" s="206">
        <v>28.6</v>
      </c>
      <c r="L12" s="206">
        <v>15.0</v>
      </c>
      <c r="M12" s="206">
        <v>1.0</v>
      </c>
      <c r="N12" s="206">
        <v>6.7</v>
      </c>
      <c r="P12" s="8">
        <f t="shared" si="1"/>
        <v>7</v>
      </c>
      <c r="R12" s="8">
        <f t="shared" si="2"/>
        <v>14</v>
      </c>
    </row>
    <row r="13">
      <c r="A13" s="412" t="s">
        <v>311</v>
      </c>
      <c r="B13" s="413">
        <v>387.0</v>
      </c>
      <c r="C13" s="413">
        <v>36.0</v>
      </c>
      <c r="D13" s="414">
        <v>75.0</v>
      </c>
      <c r="E13" s="413">
        <v>86.0</v>
      </c>
      <c r="F13" s="413">
        <v>162.0</v>
      </c>
      <c r="G13" s="413">
        <v>51.0</v>
      </c>
      <c r="H13" s="206">
        <v>74.0</v>
      </c>
      <c r="I13" s="206">
        <v>354.0</v>
      </c>
      <c r="J13" s="206">
        <v>127.0</v>
      </c>
      <c r="K13" s="206">
        <v>35.9</v>
      </c>
      <c r="L13" s="206">
        <v>227.0</v>
      </c>
      <c r="M13" s="206">
        <v>75.0</v>
      </c>
      <c r="N13" s="206">
        <v>33.0</v>
      </c>
      <c r="P13" s="8">
        <f t="shared" si="1"/>
        <v>202</v>
      </c>
      <c r="R13" s="8">
        <f t="shared" si="2"/>
        <v>185</v>
      </c>
    </row>
    <row r="14">
      <c r="A14" s="412" t="s">
        <v>319</v>
      </c>
      <c r="B14" s="413">
        <v>28.0</v>
      </c>
      <c r="C14" s="413">
        <v>2.0</v>
      </c>
      <c r="D14" s="414">
        <v>19.0</v>
      </c>
      <c r="E14" s="413">
        <v>11.0</v>
      </c>
      <c r="F14" s="413">
        <v>16.0</v>
      </c>
      <c r="G14" s="413">
        <v>8.0</v>
      </c>
      <c r="H14" s="206">
        <v>10.0</v>
      </c>
      <c r="I14" s="206">
        <v>21.0</v>
      </c>
      <c r="J14" s="206">
        <v>13.0</v>
      </c>
      <c r="K14" s="206">
        <v>61.9</v>
      </c>
      <c r="L14" s="206">
        <v>8.0</v>
      </c>
      <c r="M14" s="206">
        <v>1.0</v>
      </c>
      <c r="N14" s="206">
        <v>12.5</v>
      </c>
      <c r="P14" s="8">
        <f t="shared" si="1"/>
        <v>14</v>
      </c>
      <c r="R14" s="8">
        <f t="shared" si="2"/>
        <v>14</v>
      </c>
    </row>
    <row r="15">
      <c r="A15" s="412" t="s">
        <v>253</v>
      </c>
      <c r="B15" s="413">
        <v>12.0</v>
      </c>
      <c r="C15" s="413">
        <v>1.0</v>
      </c>
      <c r="D15" s="414">
        <v>9.0</v>
      </c>
      <c r="E15" s="413">
        <v>17.0</v>
      </c>
      <c r="F15" s="413">
        <v>33.0</v>
      </c>
      <c r="G15" s="413">
        <v>2.0</v>
      </c>
      <c r="H15" s="206">
        <v>5.0</v>
      </c>
      <c r="I15" s="206">
        <v>11.0</v>
      </c>
      <c r="J15" s="206">
        <v>4.0</v>
      </c>
      <c r="K15" s="206">
        <v>36.4</v>
      </c>
      <c r="L15" s="206">
        <v>7.0</v>
      </c>
      <c r="M15" s="206">
        <v>2.0</v>
      </c>
      <c r="N15" s="206">
        <v>28.6</v>
      </c>
      <c r="P15" s="8">
        <f t="shared" si="1"/>
        <v>6</v>
      </c>
      <c r="R15" s="8">
        <f t="shared" si="2"/>
        <v>6</v>
      </c>
    </row>
    <row r="16">
      <c r="A16" s="412" t="s">
        <v>277</v>
      </c>
      <c r="B16" s="413">
        <v>170.0</v>
      </c>
      <c r="C16" s="413">
        <v>23.0</v>
      </c>
      <c r="D16" s="414">
        <v>41.0</v>
      </c>
      <c r="E16" s="413">
        <v>59.0</v>
      </c>
      <c r="F16" s="413">
        <v>110.0</v>
      </c>
      <c r="G16" s="413">
        <v>10.0</v>
      </c>
      <c r="H16" s="206">
        <v>18.0</v>
      </c>
      <c r="I16" s="206">
        <v>153.0</v>
      </c>
      <c r="J16" s="206">
        <v>32.0</v>
      </c>
      <c r="K16" s="206">
        <v>20.9</v>
      </c>
      <c r="L16" s="206">
        <v>121.0</v>
      </c>
      <c r="M16" s="206">
        <v>42.0</v>
      </c>
      <c r="N16" s="206">
        <v>34.7</v>
      </c>
      <c r="P16" s="8">
        <f t="shared" si="1"/>
        <v>74</v>
      </c>
      <c r="R16" s="8">
        <f t="shared" si="2"/>
        <v>96</v>
      </c>
    </row>
    <row r="17">
      <c r="A17" s="412" t="s">
        <v>280</v>
      </c>
      <c r="B17" s="413">
        <v>39.0</v>
      </c>
      <c r="C17" s="413">
        <v>4.0</v>
      </c>
      <c r="D17" s="414">
        <v>19.0</v>
      </c>
      <c r="E17" s="413">
        <v>11.0</v>
      </c>
      <c r="F17" s="413">
        <v>23.0</v>
      </c>
      <c r="G17" s="413">
        <v>5.0</v>
      </c>
      <c r="H17" s="206">
        <v>10.0</v>
      </c>
      <c r="I17" s="206">
        <v>39.0</v>
      </c>
      <c r="J17" s="206">
        <v>19.0</v>
      </c>
      <c r="K17" s="206">
        <v>48.7</v>
      </c>
      <c r="L17" s="206">
        <v>20.0</v>
      </c>
      <c r="M17" s="206">
        <v>2.0</v>
      </c>
      <c r="N17" s="206">
        <v>10.0</v>
      </c>
      <c r="P17" s="8">
        <f t="shared" si="1"/>
        <v>21</v>
      </c>
      <c r="R17" s="8">
        <f t="shared" si="2"/>
        <v>18</v>
      </c>
    </row>
    <row r="18">
      <c r="A18" s="412" t="s">
        <v>283</v>
      </c>
      <c r="B18" s="413">
        <v>13.0</v>
      </c>
      <c r="C18" s="413">
        <v>1.0</v>
      </c>
      <c r="D18" s="414">
        <v>4.0</v>
      </c>
      <c r="E18" s="410">
        <v>8.0</v>
      </c>
      <c r="F18" s="410">
        <v>13.0</v>
      </c>
      <c r="G18" s="410">
        <v>2.0</v>
      </c>
      <c r="H18" s="206">
        <v>4.0</v>
      </c>
      <c r="I18" s="206">
        <v>12.0</v>
      </c>
      <c r="J18" s="206">
        <v>6.0</v>
      </c>
      <c r="K18" s="206">
        <v>50.0</v>
      </c>
      <c r="L18" s="206">
        <v>6.0</v>
      </c>
      <c r="M18" s="206">
        <v>1.0</v>
      </c>
      <c r="N18" s="206">
        <v>16.7</v>
      </c>
      <c r="P18" s="8">
        <f t="shared" si="1"/>
        <v>7</v>
      </c>
      <c r="R18" s="8">
        <f t="shared" si="2"/>
        <v>6</v>
      </c>
    </row>
    <row r="19">
      <c r="A19" s="412" t="s">
        <v>157</v>
      </c>
      <c r="B19" s="408">
        <v>8.0</v>
      </c>
      <c r="C19" s="408">
        <v>0.0</v>
      </c>
      <c r="D19" s="409">
        <v>3.0</v>
      </c>
      <c r="E19" s="408">
        <v>3.0</v>
      </c>
      <c r="F19" s="408">
        <v>4.0</v>
      </c>
      <c r="G19" s="408">
        <v>1.0</v>
      </c>
      <c r="H19" s="206">
        <v>1.0</v>
      </c>
      <c r="I19" s="206">
        <v>8.0</v>
      </c>
      <c r="J19" s="206">
        <v>4.0</v>
      </c>
      <c r="K19" s="206">
        <v>50.0</v>
      </c>
      <c r="L19" s="206">
        <v>4.0</v>
      </c>
      <c r="M19" s="206">
        <v>0.0</v>
      </c>
      <c r="N19" s="206">
        <v>0.0</v>
      </c>
      <c r="P19" s="8">
        <f t="shared" si="1"/>
        <v>4</v>
      </c>
      <c r="R19" s="8">
        <f t="shared" si="2"/>
        <v>4</v>
      </c>
    </row>
    <row r="20">
      <c r="A20" s="412" t="s">
        <v>159</v>
      </c>
      <c r="B20" s="413">
        <v>15.0</v>
      </c>
      <c r="C20" s="413">
        <v>0.0</v>
      </c>
      <c r="D20" s="414">
        <v>5.0</v>
      </c>
      <c r="E20" s="413">
        <v>1.0</v>
      </c>
      <c r="F20" s="413">
        <v>1.0</v>
      </c>
      <c r="G20" s="413">
        <v>1.0</v>
      </c>
      <c r="H20" s="206">
        <v>1.0</v>
      </c>
      <c r="I20" s="206">
        <v>15.0</v>
      </c>
      <c r="J20" s="206">
        <v>7.0</v>
      </c>
      <c r="K20" s="206">
        <v>46.7</v>
      </c>
      <c r="L20" s="206">
        <v>8.0</v>
      </c>
      <c r="M20" s="206">
        <v>0.0</v>
      </c>
      <c r="N20" s="206">
        <v>0.0</v>
      </c>
      <c r="P20" s="8">
        <f t="shared" si="1"/>
        <v>7</v>
      </c>
      <c r="R20" s="8">
        <f t="shared" si="2"/>
        <v>8</v>
      </c>
    </row>
    <row r="21">
      <c r="A21" s="412" t="s">
        <v>162</v>
      </c>
      <c r="B21" s="413">
        <v>9.0</v>
      </c>
      <c r="C21" s="413">
        <v>1.0</v>
      </c>
      <c r="D21" s="414">
        <v>3.0</v>
      </c>
      <c r="E21" s="413">
        <v>4.0</v>
      </c>
      <c r="F21" s="413">
        <v>7.0</v>
      </c>
      <c r="G21" s="413">
        <v>1.0</v>
      </c>
      <c r="H21" s="206">
        <v>1.0</v>
      </c>
      <c r="I21" s="206">
        <v>9.0</v>
      </c>
      <c r="J21" s="206">
        <v>1.0</v>
      </c>
      <c r="K21" s="206">
        <v>11.1</v>
      </c>
      <c r="L21" s="206">
        <v>8.0</v>
      </c>
      <c r="M21" s="206">
        <v>1.0</v>
      </c>
      <c r="N21" s="206">
        <v>12.5</v>
      </c>
      <c r="P21" s="8">
        <f t="shared" si="1"/>
        <v>2</v>
      </c>
      <c r="R21" s="8">
        <f t="shared" si="2"/>
        <v>7</v>
      </c>
    </row>
    <row r="22">
      <c r="A22" s="412" t="s">
        <v>302</v>
      </c>
      <c r="B22" s="413">
        <v>16.0</v>
      </c>
      <c r="C22" s="413">
        <v>2.0</v>
      </c>
      <c r="D22" s="414">
        <v>11.0</v>
      </c>
      <c r="E22" s="413">
        <v>10.0</v>
      </c>
      <c r="F22" s="413">
        <v>22.0</v>
      </c>
      <c r="G22" s="413">
        <v>5.0</v>
      </c>
      <c r="H22" s="206">
        <v>12.0</v>
      </c>
      <c r="I22" s="206">
        <v>16.0</v>
      </c>
      <c r="J22" s="206">
        <v>7.0</v>
      </c>
      <c r="K22" s="206">
        <v>43.8</v>
      </c>
      <c r="L22" s="206">
        <v>9.0</v>
      </c>
      <c r="M22" s="206">
        <v>1.0</v>
      </c>
      <c r="N22" s="206">
        <v>11.1</v>
      </c>
      <c r="P22" s="8">
        <f t="shared" si="1"/>
        <v>8</v>
      </c>
      <c r="R22" s="8">
        <f t="shared" si="2"/>
        <v>8</v>
      </c>
    </row>
    <row r="23">
      <c r="A23" s="412" t="s">
        <v>308</v>
      </c>
      <c r="B23" s="413">
        <v>52.0</v>
      </c>
      <c r="C23" s="413">
        <v>4.0</v>
      </c>
      <c r="D23" s="414">
        <v>30.0</v>
      </c>
      <c r="E23" s="413">
        <v>85.0</v>
      </c>
      <c r="F23" s="413">
        <v>212.0</v>
      </c>
      <c r="G23" s="413">
        <v>13.0</v>
      </c>
      <c r="H23" s="206">
        <v>19.0</v>
      </c>
      <c r="I23" s="206">
        <v>49.0</v>
      </c>
      <c r="J23" s="206">
        <v>17.0</v>
      </c>
      <c r="K23" s="206">
        <v>34.7</v>
      </c>
      <c r="L23" s="206">
        <v>32.0</v>
      </c>
      <c r="M23" s="206">
        <v>9.0</v>
      </c>
      <c r="N23" s="206">
        <v>28.1</v>
      </c>
      <c r="P23" s="8">
        <f t="shared" si="1"/>
        <v>26</v>
      </c>
      <c r="R23" s="8">
        <f t="shared" si="2"/>
        <v>26</v>
      </c>
    </row>
    <row r="24">
      <c r="A24" s="412" t="s">
        <v>258</v>
      </c>
      <c r="B24" s="413">
        <v>14.0</v>
      </c>
      <c r="C24" s="413">
        <v>0.0</v>
      </c>
      <c r="D24" s="414">
        <v>13.0</v>
      </c>
      <c r="E24" s="413">
        <v>13.0</v>
      </c>
      <c r="F24" s="413">
        <v>24.0</v>
      </c>
      <c r="G24" s="413">
        <v>4.0</v>
      </c>
      <c r="H24" s="206">
        <v>6.0</v>
      </c>
      <c r="I24" s="206">
        <v>14.0</v>
      </c>
      <c r="J24" s="206">
        <v>7.0</v>
      </c>
      <c r="K24" s="206">
        <v>50.0</v>
      </c>
      <c r="L24" s="206">
        <v>7.0</v>
      </c>
      <c r="M24" s="206">
        <v>2.0</v>
      </c>
      <c r="N24" s="206">
        <v>28.6</v>
      </c>
      <c r="P24" s="8">
        <f t="shared" si="1"/>
        <v>9</v>
      </c>
      <c r="R24" s="8">
        <f t="shared" si="2"/>
        <v>5</v>
      </c>
    </row>
    <row r="25">
      <c r="A25" s="412" t="s">
        <v>279</v>
      </c>
      <c r="B25" s="413">
        <v>29.0</v>
      </c>
      <c r="C25" s="413">
        <v>0.0</v>
      </c>
      <c r="D25" s="414">
        <v>8.0</v>
      </c>
      <c r="E25" s="413">
        <v>8.0</v>
      </c>
      <c r="F25" s="413">
        <v>18.0</v>
      </c>
      <c r="G25" s="413">
        <v>2.0</v>
      </c>
      <c r="H25" s="206">
        <v>5.0</v>
      </c>
      <c r="I25" s="206">
        <v>28.0</v>
      </c>
      <c r="J25" s="206">
        <v>5.0</v>
      </c>
      <c r="K25" s="206">
        <v>17.9</v>
      </c>
      <c r="L25" s="206">
        <v>23.0</v>
      </c>
      <c r="M25" s="206">
        <v>2.0</v>
      </c>
      <c r="N25" s="206">
        <v>8.7</v>
      </c>
      <c r="P25" s="8">
        <f t="shared" si="1"/>
        <v>7</v>
      </c>
      <c r="R25" s="8">
        <f t="shared" si="2"/>
        <v>22</v>
      </c>
    </row>
    <row r="26">
      <c r="A26" s="412" t="s">
        <v>289</v>
      </c>
      <c r="B26" s="413">
        <v>4.0</v>
      </c>
      <c r="C26" s="413">
        <v>0.0</v>
      </c>
      <c r="D26" s="414">
        <v>4.0</v>
      </c>
      <c r="E26" s="413">
        <v>2.0</v>
      </c>
      <c r="F26" s="413">
        <v>3.0</v>
      </c>
      <c r="G26" s="413">
        <v>1.0</v>
      </c>
      <c r="H26" s="206">
        <v>1.0</v>
      </c>
      <c r="I26" s="206">
        <v>3.0</v>
      </c>
      <c r="J26" s="206">
        <v>0.0</v>
      </c>
      <c r="K26" s="206">
        <v>0.0</v>
      </c>
      <c r="L26" s="206">
        <v>3.0</v>
      </c>
      <c r="M26" s="206">
        <v>0.0</v>
      </c>
      <c r="N26" s="206">
        <v>0.0</v>
      </c>
      <c r="P26" s="8">
        <f t="shared" si="1"/>
        <v>0</v>
      </c>
      <c r="R26" s="8">
        <f t="shared" si="2"/>
        <v>4</v>
      </c>
    </row>
    <row r="27">
      <c r="A27" s="412" t="s">
        <v>291</v>
      </c>
      <c r="B27" s="413">
        <v>40.0</v>
      </c>
      <c r="C27" s="413">
        <v>7.0</v>
      </c>
      <c r="D27" s="414">
        <v>5.0</v>
      </c>
      <c r="E27" s="413">
        <v>9.0</v>
      </c>
      <c r="F27" s="413">
        <v>16.0</v>
      </c>
      <c r="G27" s="413">
        <v>6.0</v>
      </c>
      <c r="H27" s="206">
        <v>10.0</v>
      </c>
      <c r="I27" s="206">
        <v>39.0</v>
      </c>
      <c r="J27" s="206">
        <v>14.0</v>
      </c>
      <c r="K27" s="206">
        <v>35.9</v>
      </c>
      <c r="L27" s="206">
        <v>25.0</v>
      </c>
      <c r="M27" s="206">
        <v>4.0</v>
      </c>
      <c r="N27" s="206">
        <v>16.0</v>
      </c>
      <c r="P27" s="8">
        <f t="shared" si="1"/>
        <v>18</v>
      </c>
      <c r="R27" s="8">
        <f t="shared" si="2"/>
        <v>22</v>
      </c>
    </row>
    <row r="28">
      <c r="A28" s="412" t="s">
        <v>295</v>
      </c>
      <c r="B28" s="413">
        <v>114.0</v>
      </c>
      <c r="C28" s="413">
        <v>5.0</v>
      </c>
      <c r="D28" s="414">
        <v>25.0</v>
      </c>
      <c r="E28" s="410">
        <v>22.0</v>
      </c>
      <c r="F28" s="410">
        <v>41.0</v>
      </c>
      <c r="G28" s="410">
        <v>9.0</v>
      </c>
      <c r="H28" s="206">
        <v>12.0</v>
      </c>
      <c r="I28" s="206">
        <v>99.0</v>
      </c>
      <c r="J28" s="206">
        <v>36.0</v>
      </c>
      <c r="K28" s="206">
        <v>36.4</v>
      </c>
      <c r="L28" s="206">
        <v>63.0</v>
      </c>
      <c r="M28" s="206">
        <v>26.0</v>
      </c>
      <c r="N28" s="206">
        <v>41.3</v>
      </c>
      <c r="P28" s="8">
        <f t="shared" si="1"/>
        <v>62</v>
      </c>
      <c r="R28" s="8">
        <f t="shared" si="2"/>
        <v>52</v>
      </c>
    </row>
    <row r="29">
      <c r="A29" s="412" t="s">
        <v>82</v>
      </c>
      <c r="B29" s="408">
        <v>2.0</v>
      </c>
      <c r="C29" s="408">
        <v>0.0</v>
      </c>
      <c r="D29" s="409">
        <v>2.0</v>
      </c>
      <c r="E29" s="408">
        <v>2.0</v>
      </c>
      <c r="F29" s="408">
        <v>2.0</v>
      </c>
      <c r="G29" s="408">
        <v>1.0</v>
      </c>
      <c r="H29" s="206">
        <v>1.0</v>
      </c>
      <c r="I29" s="206">
        <v>2.0</v>
      </c>
      <c r="J29" s="206">
        <v>1.0</v>
      </c>
      <c r="K29" s="206">
        <v>50.0</v>
      </c>
      <c r="L29" s="206">
        <v>1.0</v>
      </c>
      <c r="M29" s="206">
        <v>0.0</v>
      </c>
      <c r="N29" s="206">
        <v>0.0</v>
      </c>
      <c r="P29" s="8">
        <f t="shared" si="1"/>
        <v>1</v>
      </c>
      <c r="R29" s="8">
        <f t="shared" si="2"/>
        <v>1</v>
      </c>
    </row>
    <row r="30">
      <c r="A30" s="412" t="s">
        <v>298</v>
      </c>
      <c r="B30" s="413">
        <v>21.0</v>
      </c>
      <c r="C30" s="413">
        <v>0.0</v>
      </c>
      <c r="D30" s="414">
        <v>10.0</v>
      </c>
      <c r="E30" s="413">
        <v>10.0</v>
      </c>
      <c r="F30" s="413">
        <v>15.0</v>
      </c>
      <c r="G30" s="413">
        <v>5.0</v>
      </c>
      <c r="H30" s="206">
        <v>6.0</v>
      </c>
      <c r="I30" s="206">
        <v>21.0</v>
      </c>
      <c r="J30" s="206">
        <v>8.0</v>
      </c>
      <c r="K30" s="206">
        <v>38.1</v>
      </c>
      <c r="L30" s="206">
        <v>13.0</v>
      </c>
      <c r="M30" s="206">
        <v>3.0</v>
      </c>
      <c r="N30" s="206">
        <v>23.1</v>
      </c>
      <c r="P30" s="8">
        <f t="shared" si="1"/>
        <v>11</v>
      </c>
      <c r="R30" s="8">
        <f t="shared" si="2"/>
        <v>10</v>
      </c>
    </row>
    <row r="31">
      <c r="A31" s="412" t="s">
        <v>312</v>
      </c>
      <c r="B31" s="413">
        <v>25.0</v>
      </c>
      <c r="C31" s="413">
        <v>3.0</v>
      </c>
      <c r="D31" s="414">
        <v>8.0</v>
      </c>
      <c r="E31" s="413">
        <v>8.0</v>
      </c>
      <c r="F31" s="413">
        <v>12.0</v>
      </c>
      <c r="G31" s="413">
        <v>5.0</v>
      </c>
      <c r="H31" s="206">
        <v>5.0</v>
      </c>
      <c r="I31" s="206">
        <v>25.0</v>
      </c>
      <c r="J31" s="206">
        <v>12.0</v>
      </c>
      <c r="K31" s="206">
        <v>48.0</v>
      </c>
      <c r="L31" s="206">
        <v>13.0</v>
      </c>
      <c r="M31" s="206">
        <v>4.0</v>
      </c>
      <c r="N31" s="206">
        <v>30.8</v>
      </c>
      <c r="P31" s="8">
        <f t="shared" si="1"/>
        <v>16</v>
      </c>
      <c r="R31" s="8">
        <f t="shared" si="2"/>
        <v>9</v>
      </c>
    </row>
    <row r="32">
      <c r="A32" s="412" t="s">
        <v>316</v>
      </c>
      <c r="B32" s="413">
        <v>31.0</v>
      </c>
      <c r="C32" s="413">
        <v>2.0</v>
      </c>
      <c r="D32" s="414">
        <v>18.0</v>
      </c>
      <c r="E32" s="413">
        <v>9.0</v>
      </c>
      <c r="F32" s="413">
        <v>16.0</v>
      </c>
      <c r="G32" s="413">
        <v>6.0</v>
      </c>
      <c r="H32" s="206">
        <v>7.0</v>
      </c>
      <c r="I32" s="206">
        <v>26.0</v>
      </c>
      <c r="J32" s="206">
        <v>13.0</v>
      </c>
      <c r="K32" s="206">
        <v>50.0</v>
      </c>
      <c r="L32" s="206">
        <v>13.0</v>
      </c>
      <c r="M32" s="206">
        <v>3.0</v>
      </c>
      <c r="N32" s="206">
        <v>23.1</v>
      </c>
      <c r="P32" s="8">
        <f t="shared" si="1"/>
        <v>16</v>
      </c>
      <c r="R32" s="8">
        <f t="shared" si="2"/>
        <v>15</v>
      </c>
    </row>
    <row r="33">
      <c r="A33" s="412" t="s">
        <v>242</v>
      </c>
      <c r="B33" s="413">
        <v>29.0</v>
      </c>
      <c r="C33" s="413">
        <v>4.0</v>
      </c>
      <c r="D33" s="414">
        <v>13.0</v>
      </c>
      <c r="E33" s="413">
        <v>21.0</v>
      </c>
      <c r="F33" s="413">
        <v>34.0</v>
      </c>
      <c r="G33" s="413">
        <v>6.0</v>
      </c>
      <c r="H33" s="206">
        <v>7.0</v>
      </c>
      <c r="I33" s="206">
        <v>28.0</v>
      </c>
      <c r="J33" s="206">
        <v>5.0</v>
      </c>
      <c r="K33" s="206">
        <v>17.9</v>
      </c>
      <c r="L33" s="206">
        <v>23.0</v>
      </c>
      <c r="M33" s="206">
        <v>12.0</v>
      </c>
      <c r="N33" s="206">
        <v>52.2</v>
      </c>
      <c r="P33" s="8">
        <f t="shared" si="1"/>
        <v>17</v>
      </c>
      <c r="R33" s="8">
        <f t="shared" si="2"/>
        <v>12</v>
      </c>
    </row>
    <row r="34">
      <c r="A34" s="412" t="s">
        <v>246</v>
      </c>
      <c r="B34" s="413">
        <v>40.0</v>
      </c>
      <c r="C34" s="413">
        <v>5.0</v>
      </c>
      <c r="D34" s="414">
        <v>30.0</v>
      </c>
      <c r="E34" s="413">
        <v>21.0</v>
      </c>
      <c r="F34" s="413">
        <v>47.0</v>
      </c>
      <c r="G34" s="413">
        <v>6.0</v>
      </c>
      <c r="H34" s="206">
        <v>11.0</v>
      </c>
      <c r="I34" s="206">
        <v>39.0</v>
      </c>
      <c r="J34" s="206">
        <v>18.0</v>
      </c>
      <c r="K34" s="206">
        <v>46.2</v>
      </c>
      <c r="L34" s="206">
        <v>21.0</v>
      </c>
      <c r="M34" s="206">
        <v>7.0</v>
      </c>
      <c r="N34" s="206">
        <v>33.3</v>
      </c>
      <c r="P34" s="8">
        <f t="shared" si="1"/>
        <v>25</v>
      </c>
      <c r="R34" s="8">
        <f t="shared" si="2"/>
        <v>15</v>
      </c>
    </row>
    <row r="35">
      <c r="A35" s="412" t="s">
        <v>260</v>
      </c>
      <c r="B35" s="413">
        <v>32.0</v>
      </c>
      <c r="C35" s="413">
        <v>0.0</v>
      </c>
      <c r="D35" s="414">
        <v>10.0</v>
      </c>
      <c r="E35" s="413">
        <v>2.0</v>
      </c>
      <c r="F35" s="413">
        <v>10.0</v>
      </c>
      <c r="G35" s="413">
        <v>0.0</v>
      </c>
      <c r="H35" s="206">
        <v>0.0</v>
      </c>
      <c r="I35" s="206">
        <v>31.0</v>
      </c>
      <c r="J35" s="206">
        <v>13.0</v>
      </c>
      <c r="K35" s="206">
        <v>41.9</v>
      </c>
      <c r="L35" s="206">
        <v>18.0</v>
      </c>
      <c r="M35" s="206">
        <v>3.0</v>
      </c>
      <c r="N35" s="206">
        <v>16.7</v>
      </c>
      <c r="P35" s="8">
        <f t="shared" si="1"/>
        <v>16</v>
      </c>
      <c r="R35" s="8">
        <f t="shared" si="2"/>
        <v>16</v>
      </c>
    </row>
    <row r="36">
      <c r="A36" s="412" t="s">
        <v>271</v>
      </c>
      <c r="B36" s="413">
        <v>91.0</v>
      </c>
      <c r="C36" s="413">
        <v>10.0</v>
      </c>
      <c r="D36" s="414">
        <v>56.0</v>
      </c>
      <c r="E36" s="413">
        <v>52.0</v>
      </c>
      <c r="F36" s="413">
        <v>90.0</v>
      </c>
      <c r="G36" s="413">
        <v>10.0</v>
      </c>
      <c r="H36" s="206">
        <v>13.0</v>
      </c>
      <c r="I36" s="206">
        <v>82.0</v>
      </c>
      <c r="J36" s="206">
        <v>25.0</v>
      </c>
      <c r="K36" s="206">
        <v>30.5</v>
      </c>
      <c r="L36" s="206">
        <v>57.0</v>
      </c>
      <c r="M36" s="206">
        <v>30.0</v>
      </c>
      <c r="N36" s="206">
        <v>52.6</v>
      </c>
      <c r="P36" s="8">
        <f t="shared" si="1"/>
        <v>55</v>
      </c>
      <c r="R36" s="8">
        <f t="shared" si="2"/>
        <v>36</v>
      </c>
    </row>
    <row r="37">
      <c r="A37" s="412" t="s">
        <v>153</v>
      </c>
      <c r="B37" s="413">
        <v>20.0</v>
      </c>
      <c r="C37" s="413">
        <v>0.0</v>
      </c>
      <c r="D37" s="414">
        <v>3.0</v>
      </c>
      <c r="E37" s="413">
        <v>8.0</v>
      </c>
      <c r="F37" s="413">
        <v>16.0</v>
      </c>
      <c r="G37" s="413">
        <v>2.0</v>
      </c>
      <c r="H37" s="206">
        <v>2.0</v>
      </c>
      <c r="I37" s="206">
        <v>20.0</v>
      </c>
      <c r="J37" s="206">
        <v>10.0</v>
      </c>
      <c r="K37" s="206">
        <v>50.0</v>
      </c>
      <c r="L37" s="206">
        <v>10.0</v>
      </c>
      <c r="M37" s="206">
        <v>2.0</v>
      </c>
      <c r="N37" s="206">
        <v>20.0</v>
      </c>
      <c r="P37" s="8">
        <f t="shared" si="1"/>
        <v>12</v>
      </c>
      <c r="R37" s="8">
        <f t="shared" si="2"/>
        <v>8</v>
      </c>
    </row>
    <row r="38">
      <c r="A38" s="412" t="s">
        <v>297</v>
      </c>
      <c r="B38" s="410">
        <v>8.0</v>
      </c>
      <c r="C38" s="410">
        <v>0.0</v>
      </c>
      <c r="D38" s="415">
        <v>5.0</v>
      </c>
      <c r="E38" s="410">
        <v>3.0</v>
      </c>
      <c r="F38" s="410">
        <v>3.0</v>
      </c>
      <c r="G38" s="410">
        <v>3.0</v>
      </c>
      <c r="H38" s="206">
        <v>3.0</v>
      </c>
      <c r="I38" s="206">
        <v>7.0</v>
      </c>
      <c r="J38" s="206">
        <v>1.0</v>
      </c>
      <c r="K38" s="206">
        <v>14.3</v>
      </c>
      <c r="L38" s="206">
        <v>6.0</v>
      </c>
      <c r="M38" s="206">
        <v>1.0</v>
      </c>
      <c r="N38" s="206">
        <v>16.7</v>
      </c>
      <c r="P38" s="8">
        <f t="shared" si="1"/>
        <v>2</v>
      </c>
      <c r="R38" s="8">
        <f t="shared" si="2"/>
        <v>6</v>
      </c>
    </row>
    <row r="39">
      <c r="A39" s="412" t="s">
        <v>303</v>
      </c>
      <c r="B39" s="408">
        <v>48.0</v>
      </c>
      <c r="C39" s="408">
        <v>2.0</v>
      </c>
      <c r="D39" s="409">
        <v>36.0</v>
      </c>
      <c r="E39" s="408">
        <v>31.0</v>
      </c>
      <c r="F39" s="408">
        <v>63.0</v>
      </c>
      <c r="G39" s="408">
        <v>9.0</v>
      </c>
      <c r="H39" s="206">
        <v>18.0</v>
      </c>
      <c r="I39" s="206">
        <v>44.0</v>
      </c>
      <c r="J39" s="206">
        <v>19.0</v>
      </c>
      <c r="K39" s="206">
        <v>43.2</v>
      </c>
      <c r="L39" s="206">
        <v>25.0</v>
      </c>
      <c r="M39" s="206">
        <v>7.0</v>
      </c>
      <c r="N39" s="206">
        <v>28.0</v>
      </c>
      <c r="P39" s="8">
        <f t="shared" si="1"/>
        <v>26</v>
      </c>
      <c r="R39" s="8">
        <f t="shared" si="2"/>
        <v>22</v>
      </c>
    </row>
    <row r="40">
      <c r="A40" s="412" t="s">
        <v>310</v>
      </c>
      <c r="B40" s="413">
        <v>11.0</v>
      </c>
      <c r="C40" s="413">
        <v>0.0</v>
      </c>
      <c r="D40" s="414">
        <v>4.0</v>
      </c>
      <c r="E40" s="413">
        <v>4.0</v>
      </c>
      <c r="F40" s="413">
        <v>10.0</v>
      </c>
      <c r="G40" s="413">
        <v>1.0</v>
      </c>
      <c r="H40" s="206">
        <v>2.0</v>
      </c>
      <c r="I40" s="206">
        <v>11.0</v>
      </c>
      <c r="J40" s="206">
        <v>4.0</v>
      </c>
      <c r="K40" s="206">
        <v>36.4</v>
      </c>
      <c r="L40" s="206">
        <v>7.0</v>
      </c>
      <c r="M40" s="206">
        <v>1.0</v>
      </c>
      <c r="N40" s="206">
        <v>14.3</v>
      </c>
      <c r="P40" s="8">
        <f t="shared" si="1"/>
        <v>5</v>
      </c>
      <c r="R40" s="8">
        <f t="shared" si="2"/>
        <v>6</v>
      </c>
    </row>
    <row r="41">
      <c r="A41" s="412" t="s">
        <v>317</v>
      </c>
      <c r="B41" s="413">
        <v>20.0</v>
      </c>
      <c r="C41" s="413">
        <v>3.0</v>
      </c>
      <c r="D41" s="414">
        <v>7.0</v>
      </c>
      <c r="E41" s="413">
        <v>8.0</v>
      </c>
      <c r="F41" s="413">
        <v>23.0</v>
      </c>
      <c r="G41" s="413">
        <v>4.0</v>
      </c>
      <c r="H41" s="206">
        <v>7.0</v>
      </c>
      <c r="I41" s="206">
        <v>20.0</v>
      </c>
      <c r="J41" s="206">
        <v>13.0</v>
      </c>
      <c r="K41" s="206">
        <v>65.0</v>
      </c>
      <c r="L41" s="206">
        <v>7.0</v>
      </c>
      <c r="M41" s="206">
        <v>0.0</v>
      </c>
      <c r="N41" s="206">
        <v>0.0</v>
      </c>
      <c r="P41" s="8">
        <f t="shared" si="1"/>
        <v>13</v>
      </c>
      <c r="R41" s="8">
        <f t="shared" si="2"/>
        <v>7</v>
      </c>
    </row>
    <row r="42">
      <c r="A42" s="412" t="s">
        <v>1279</v>
      </c>
      <c r="B42" s="413">
        <v>76.0</v>
      </c>
      <c r="C42" s="413">
        <v>9.0</v>
      </c>
      <c r="D42" s="414">
        <v>36.0</v>
      </c>
      <c r="E42" s="413">
        <v>20.0</v>
      </c>
      <c r="F42" s="413">
        <v>37.0</v>
      </c>
      <c r="G42" s="413">
        <v>4.0</v>
      </c>
      <c r="H42" s="206">
        <v>5.0</v>
      </c>
      <c r="I42" s="206">
        <v>68.0</v>
      </c>
      <c r="J42" s="206">
        <v>29.0</v>
      </c>
      <c r="K42" s="206">
        <v>42.6</v>
      </c>
      <c r="L42" s="206">
        <v>39.0</v>
      </c>
      <c r="M42" s="206">
        <v>23.0</v>
      </c>
      <c r="N42" s="206">
        <v>59.0</v>
      </c>
      <c r="P42" s="8">
        <f t="shared" si="1"/>
        <v>52</v>
      </c>
      <c r="R42" s="8">
        <f t="shared" si="2"/>
        <v>24</v>
      </c>
    </row>
    <row r="43">
      <c r="A43" s="412" t="s">
        <v>1283</v>
      </c>
      <c r="B43" s="413">
        <v>192.0</v>
      </c>
      <c r="C43" s="413">
        <v>13.0</v>
      </c>
      <c r="D43" s="414">
        <v>36.0</v>
      </c>
      <c r="E43" s="413">
        <v>61.0</v>
      </c>
      <c r="F43" s="413">
        <v>104.0</v>
      </c>
      <c r="G43" s="413">
        <v>13.0</v>
      </c>
      <c r="H43" s="206">
        <v>19.0</v>
      </c>
      <c r="I43" s="206">
        <v>171.0</v>
      </c>
      <c r="J43" s="206">
        <v>44.0</v>
      </c>
      <c r="K43" s="206">
        <v>25.7</v>
      </c>
      <c r="L43" s="206">
        <v>127.0</v>
      </c>
      <c r="M43" s="206">
        <v>59.0</v>
      </c>
      <c r="N43" s="206">
        <v>46.5</v>
      </c>
      <c r="P43" s="8">
        <f t="shared" si="1"/>
        <v>103</v>
      </c>
      <c r="R43" s="8">
        <f t="shared" si="2"/>
        <v>89</v>
      </c>
    </row>
    <row r="44">
      <c r="A44" s="412" t="s">
        <v>1285</v>
      </c>
      <c r="B44" s="413">
        <v>124.0</v>
      </c>
      <c r="C44" s="413">
        <v>4.0</v>
      </c>
      <c r="D44" s="414">
        <v>33.0</v>
      </c>
      <c r="E44" s="413">
        <v>56.0</v>
      </c>
      <c r="F44" s="413">
        <v>97.0</v>
      </c>
      <c r="G44" s="413">
        <v>14.0</v>
      </c>
      <c r="H44" s="206">
        <v>27.0</v>
      </c>
      <c r="I44" s="206">
        <v>111.0</v>
      </c>
      <c r="J44" s="206">
        <v>33.0</v>
      </c>
      <c r="K44" s="206">
        <v>29.7</v>
      </c>
      <c r="L44" s="206">
        <v>78.0</v>
      </c>
      <c r="M44" s="206">
        <v>39.0</v>
      </c>
      <c r="N44" s="206">
        <v>50.0</v>
      </c>
      <c r="P44" s="8">
        <f t="shared" si="1"/>
        <v>72</v>
      </c>
      <c r="R44" s="8">
        <f t="shared" si="2"/>
        <v>52</v>
      </c>
    </row>
    <row r="45">
      <c r="A45" s="412" t="s">
        <v>1287</v>
      </c>
      <c r="B45" s="413">
        <v>88.0</v>
      </c>
      <c r="C45" s="413">
        <v>6.0</v>
      </c>
      <c r="D45" s="414">
        <v>32.0</v>
      </c>
      <c r="E45" s="413">
        <v>25.0</v>
      </c>
      <c r="F45" s="413">
        <v>38.0</v>
      </c>
      <c r="G45" s="413">
        <v>2.0</v>
      </c>
      <c r="H45" s="206">
        <v>3.0</v>
      </c>
      <c r="I45" s="206">
        <v>76.0</v>
      </c>
      <c r="J45" s="206">
        <v>23.0</v>
      </c>
      <c r="K45" s="206">
        <v>30.3</v>
      </c>
      <c r="L45" s="206">
        <v>53.0</v>
      </c>
      <c r="M45" s="206">
        <v>25.0</v>
      </c>
      <c r="N45" s="206">
        <v>47.2</v>
      </c>
      <c r="P45" s="8">
        <f t="shared" si="1"/>
        <v>48</v>
      </c>
      <c r="R45" s="8">
        <f t="shared" si="2"/>
        <v>40</v>
      </c>
    </row>
    <row r="46">
      <c r="A46" s="412" t="s">
        <v>247</v>
      </c>
      <c r="B46" s="413">
        <v>7.0</v>
      </c>
      <c r="C46" s="413">
        <v>0.0</v>
      </c>
      <c r="D46" s="414">
        <v>5.0</v>
      </c>
      <c r="E46" s="413">
        <v>4.0</v>
      </c>
      <c r="F46" s="413">
        <v>9.0</v>
      </c>
      <c r="G46" s="413">
        <v>3.0</v>
      </c>
      <c r="H46" s="206">
        <v>6.0</v>
      </c>
      <c r="I46" s="206">
        <v>7.0</v>
      </c>
      <c r="J46" s="206">
        <v>5.0</v>
      </c>
      <c r="K46" s="206">
        <v>71.4</v>
      </c>
      <c r="L46" s="206">
        <v>2.0</v>
      </c>
      <c r="M46" s="206">
        <v>0.0</v>
      </c>
      <c r="N46" s="206">
        <v>0.0</v>
      </c>
      <c r="P46" s="8">
        <f t="shared" si="1"/>
        <v>5</v>
      </c>
      <c r="R46" s="8">
        <f t="shared" si="2"/>
        <v>2</v>
      </c>
    </row>
    <row r="47">
      <c r="A47" s="412" t="s">
        <v>93</v>
      </c>
      <c r="B47" s="413">
        <v>1.0</v>
      </c>
      <c r="C47" s="413">
        <v>0.0</v>
      </c>
      <c r="D47" s="414">
        <v>1.0</v>
      </c>
      <c r="E47" s="413">
        <v>3.0</v>
      </c>
      <c r="F47" s="413">
        <v>4.0</v>
      </c>
      <c r="G47" s="413">
        <v>2.0</v>
      </c>
      <c r="H47" s="206">
        <v>2.0</v>
      </c>
      <c r="I47" s="206">
        <v>1.0</v>
      </c>
      <c r="J47" s="206">
        <v>1.0</v>
      </c>
      <c r="K47" s="206">
        <v>100.0</v>
      </c>
      <c r="L47" s="206">
        <v>0.0</v>
      </c>
      <c r="M47" s="206">
        <v>0.0</v>
      </c>
      <c r="N47" s="358"/>
      <c r="P47" s="8">
        <f t="shared" si="1"/>
        <v>1</v>
      </c>
      <c r="R47" s="8">
        <f t="shared" si="2"/>
        <v>0</v>
      </c>
    </row>
    <row r="48">
      <c r="A48" s="412" t="s">
        <v>257</v>
      </c>
      <c r="B48" s="413">
        <v>2.0</v>
      </c>
      <c r="C48" s="413">
        <v>0.0</v>
      </c>
      <c r="D48" s="414">
        <v>2.0</v>
      </c>
      <c r="E48" s="413">
        <v>3.0</v>
      </c>
      <c r="F48" s="413">
        <v>8.0</v>
      </c>
      <c r="G48" s="413">
        <v>0.0</v>
      </c>
      <c r="H48" s="206">
        <v>0.0</v>
      </c>
      <c r="I48" s="206">
        <v>2.0</v>
      </c>
      <c r="J48" s="206">
        <v>2.0</v>
      </c>
      <c r="K48" s="206">
        <v>100.0</v>
      </c>
      <c r="L48" s="206">
        <v>0.0</v>
      </c>
      <c r="M48" s="206">
        <v>0.0</v>
      </c>
      <c r="N48" s="206"/>
      <c r="P48" s="8">
        <f t="shared" si="1"/>
        <v>2</v>
      </c>
      <c r="R48" s="8">
        <f t="shared" si="2"/>
        <v>0</v>
      </c>
    </row>
    <row r="49">
      <c r="A49" s="412" t="s">
        <v>130</v>
      </c>
      <c r="B49" s="413">
        <v>15.0</v>
      </c>
      <c r="C49" s="413">
        <v>4.0</v>
      </c>
      <c r="D49" s="414">
        <v>2.0</v>
      </c>
      <c r="E49" s="413">
        <v>1.0</v>
      </c>
      <c r="F49" s="413">
        <v>2.0</v>
      </c>
      <c r="G49" s="413">
        <v>0.0</v>
      </c>
      <c r="H49" s="206">
        <v>0.0</v>
      </c>
      <c r="I49" s="206">
        <v>15.0</v>
      </c>
      <c r="J49" s="206">
        <v>3.0</v>
      </c>
      <c r="K49" s="206">
        <v>20.0</v>
      </c>
      <c r="L49" s="206">
        <v>12.0</v>
      </c>
      <c r="M49" s="206">
        <v>1.0</v>
      </c>
      <c r="N49" s="206">
        <v>8.3</v>
      </c>
      <c r="P49" s="8">
        <f t="shared" si="1"/>
        <v>4</v>
      </c>
      <c r="R49" s="8">
        <f t="shared" si="2"/>
        <v>11</v>
      </c>
    </row>
    <row r="50">
      <c r="A50" s="412" t="s">
        <v>278</v>
      </c>
      <c r="B50" s="410">
        <v>27.0</v>
      </c>
      <c r="C50" s="410">
        <v>0.0</v>
      </c>
      <c r="D50" s="415">
        <v>9.0</v>
      </c>
      <c r="E50" s="410">
        <v>12.0</v>
      </c>
      <c r="F50" s="410">
        <v>30.0</v>
      </c>
      <c r="G50" s="410">
        <v>3.0</v>
      </c>
      <c r="H50" s="206">
        <v>7.0</v>
      </c>
      <c r="I50" s="206">
        <v>25.0</v>
      </c>
      <c r="J50" s="206">
        <v>13.0</v>
      </c>
      <c r="K50" s="206">
        <v>52.0</v>
      </c>
      <c r="L50" s="206">
        <v>12.0</v>
      </c>
      <c r="M50" s="206">
        <v>5.0</v>
      </c>
      <c r="N50" s="206">
        <v>41.7</v>
      </c>
      <c r="P50" s="8">
        <f t="shared" si="1"/>
        <v>18</v>
      </c>
      <c r="R50" s="8">
        <f t="shared" si="2"/>
        <v>9</v>
      </c>
    </row>
    <row r="51">
      <c r="A51" s="412" t="s">
        <v>143</v>
      </c>
      <c r="B51" s="408">
        <v>83.0</v>
      </c>
      <c r="C51" s="408">
        <v>2.0</v>
      </c>
      <c r="D51" s="409">
        <v>52.0</v>
      </c>
      <c r="E51" s="408">
        <v>28.0</v>
      </c>
      <c r="F51" s="408">
        <v>71.0</v>
      </c>
      <c r="G51" s="408">
        <v>7.0</v>
      </c>
      <c r="H51" s="206">
        <v>11.0</v>
      </c>
      <c r="I51" s="206">
        <v>76.0</v>
      </c>
      <c r="J51" s="206">
        <v>30.0</v>
      </c>
      <c r="K51" s="206">
        <v>39.5</v>
      </c>
      <c r="L51" s="206">
        <v>46.0</v>
      </c>
      <c r="M51" s="206">
        <v>16.0</v>
      </c>
      <c r="N51" s="206">
        <v>34.8</v>
      </c>
      <c r="P51" s="8">
        <f t="shared" si="1"/>
        <v>46</v>
      </c>
      <c r="R51" s="8">
        <f t="shared" si="2"/>
        <v>37</v>
      </c>
    </row>
    <row r="52">
      <c r="A52" s="412" t="s">
        <v>290</v>
      </c>
      <c r="B52" s="413">
        <v>13.0</v>
      </c>
      <c r="C52" s="413">
        <v>0.0</v>
      </c>
      <c r="D52" s="414">
        <v>7.0</v>
      </c>
      <c r="E52" s="413">
        <v>5.0</v>
      </c>
      <c r="F52" s="413">
        <v>13.0</v>
      </c>
      <c r="G52" s="413">
        <v>2.0</v>
      </c>
      <c r="H52" s="206">
        <v>6.0</v>
      </c>
      <c r="I52" s="206">
        <v>12.0</v>
      </c>
      <c r="J52" s="206">
        <v>9.0</v>
      </c>
      <c r="K52" s="206">
        <v>75.0</v>
      </c>
      <c r="L52" s="206">
        <v>3.0</v>
      </c>
      <c r="M52" s="206">
        <v>1.0</v>
      </c>
      <c r="N52" s="206">
        <v>33.3</v>
      </c>
      <c r="P52" s="8">
        <f t="shared" si="1"/>
        <v>10</v>
      </c>
      <c r="R52" s="8">
        <f t="shared" si="2"/>
        <v>3</v>
      </c>
    </row>
    <row r="53">
      <c r="A53" s="412" t="s">
        <v>294</v>
      </c>
      <c r="B53" s="413">
        <v>68.0</v>
      </c>
      <c r="C53" s="413">
        <v>14.0</v>
      </c>
      <c r="D53" s="414">
        <v>25.0</v>
      </c>
      <c r="E53" s="413">
        <v>46.0</v>
      </c>
      <c r="F53" s="413">
        <v>84.0</v>
      </c>
      <c r="G53" s="413">
        <v>13.0</v>
      </c>
      <c r="H53" s="206">
        <v>22.0</v>
      </c>
      <c r="I53" s="206">
        <v>66.0</v>
      </c>
      <c r="J53" s="206">
        <v>11.0</v>
      </c>
      <c r="K53" s="206">
        <v>16.7</v>
      </c>
      <c r="L53" s="206">
        <v>55.0</v>
      </c>
      <c r="M53" s="206">
        <v>14.0</v>
      </c>
      <c r="N53" s="206">
        <v>25.5</v>
      </c>
      <c r="P53" s="8">
        <f t="shared" si="1"/>
        <v>25</v>
      </c>
      <c r="R53" s="8">
        <f t="shared" si="2"/>
        <v>43</v>
      </c>
    </row>
    <row r="54">
      <c r="A54" s="412" t="s">
        <v>304</v>
      </c>
      <c r="B54" s="413">
        <v>2.0</v>
      </c>
      <c r="C54" s="413">
        <v>0.0</v>
      </c>
      <c r="D54" s="414">
        <v>6.0</v>
      </c>
      <c r="E54" s="413">
        <v>2.0</v>
      </c>
      <c r="F54" s="413">
        <v>8.0</v>
      </c>
      <c r="G54" s="413">
        <v>1.0</v>
      </c>
      <c r="H54" s="206">
        <v>4.0</v>
      </c>
      <c r="I54" s="206">
        <v>2.0</v>
      </c>
      <c r="J54" s="206">
        <v>2.0</v>
      </c>
      <c r="K54" s="206">
        <v>100.0</v>
      </c>
      <c r="L54" s="206">
        <v>0.0</v>
      </c>
      <c r="M54" s="206">
        <v>0.0</v>
      </c>
      <c r="N54" s="358"/>
      <c r="P54" s="8">
        <f t="shared" si="1"/>
        <v>2</v>
      </c>
      <c r="R54" s="8">
        <f t="shared" si="2"/>
        <v>0</v>
      </c>
    </row>
    <row r="55">
      <c r="A55" s="412" t="s">
        <v>112</v>
      </c>
      <c r="B55" s="413">
        <v>14.0</v>
      </c>
      <c r="C55" s="413">
        <v>3.0</v>
      </c>
      <c r="D55" s="414">
        <v>12.0</v>
      </c>
      <c r="E55" s="413">
        <v>8.0</v>
      </c>
      <c r="F55" s="413">
        <v>18.0</v>
      </c>
      <c r="G55" s="413">
        <v>2.0</v>
      </c>
      <c r="H55" s="206">
        <v>2.0</v>
      </c>
      <c r="I55" s="206">
        <v>14.0</v>
      </c>
      <c r="J55" s="206">
        <v>5.0</v>
      </c>
      <c r="K55" s="206">
        <v>35.7</v>
      </c>
      <c r="L55" s="206">
        <v>9.0</v>
      </c>
      <c r="M55" s="206">
        <v>8.0</v>
      </c>
      <c r="N55" s="206">
        <v>88.9</v>
      </c>
      <c r="P55" s="8">
        <f t="shared" si="1"/>
        <v>13</v>
      </c>
      <c r="R55" s="8">
        <f t="shared" si="2"/>
        <v>1</v>
      </c>
    </row>
    <row r="56">
      <c r="A56" s="412" t="s">
        <v>262</v>
      </c>
      <c r="B56" s="413">
        <v>95.0</v>
      </c>
      <c r="C56" s="413">
        <v>4.0</v>
      </c>
      <c r="D56" s="414">
        <v>68.0</v>
      </c>
      <c r="E56" s="413">
        <v>37.0</v>
      </c>
      <c r="F56" s="413">
        <v>72.0</v>
      </c>
      <c r="G56" s="413">
        <v>7.0</v>
      </c>
      <c r="H56" s="206">
        <v>10.0</v>
      </c>
      <c r="I56" s="206">
        <v>91.0</v>
      </c>
      <c r="J56" s="206">
        <v>29.0</v>
      </c>
      <c r="K56" s="206">
        <v>31.9</v>
      </c>
      <c r="L56" s="206">
        <v>62.0</v>
      </c>
      <c r="M56" s="206">
        <v>24.0</v>
      </c>
      <c r="N56" s="206">
        <v>38.7</v>
      </c>
      <c r="P56" s="8">
        <f t="shared" si="1"/>
        <v>53</v>
      </c>
      <c r="R56" s="8">
        <f t="shared" si="2"/>
        <v>42</v>
      </c>
    </row>
    <row r="57">
      <c r="A57" s="412" t="s">
        <v>275</v>
      </c>
      <c r="B57" s="413">
        <v>8.0</v>
      </c>
      <c r="C57" s="413">
        <v>0.0</v>
      </c>
      <c r="D57" s="414">
        <v>10.0</v>
      </c>
      <c r="E57" s="413">
        <v>4.0</v>
      </c>
      <c r="F57" s="413">
        <v>10.0</v>
      </c>
      <c r="G57" s="413">
        <v>0.0</v>
      </c>
      <c r="H57" s="206">
        <v>0.0</v>
      </c>
      <c r="I57" s="206">
        <v>8.0</v>
      </c>
      <c r="J57" s="206">
        <v>2.0</v>
      </c>
      <c r="K57" s="206">
        <v>25.0</v>
      </c>
      <c r="L57" s="206">
        <v>6.0</v>
      </c>
      <c r="M57" s="206">
        <v>2.0</v>
      </c>
      <c r="N57" s="206">
        <v>33.3</v>
      </c>
      <c r="P57" s="8">
        <f t="shared" si="1"/>
        <v>4</v>
      </c>
      <c r="R57" s="8">
        <f t="shared" si="2"/>
        <v>4</v>
      </c>
    </row>
    <row r="58">
      <c r="A58" s="412" t="s">
        <v>138</v>
      </c>
      <c r="B58" s="413">
        <v>102.0</v>
      </c>
      <c r="C58" s="413">
        <v>10.0</v>
      </c>
      <c r="D58" s="414">
        <v>38.0</v>
      </c>
      <c r="E58" s="413">
        <v>17.0</v>
      </c>
      <c r="F58" s="413">
        <v>38.0</v>
      </c>
      <c r="G58" s="413">
        <v>6.0</v>
      </c>
      <c r="H58" s="206">
        <v>13.0</v>
      </c>
      <c r="I58" s="206">
        <v>99.0</v>
      </c>
      <c r="J58" s="206">
        <v>24.0</v>
      </c>
      <c r="K58" s="206">
        <v>24.2</v>
      </c>
      <c r="L58" s="206">
        <v>75.0</v>
      </c>
      <c r="M58" s="206">
        <v>10.0</v>
      </c>
      <c r="N58" s="206">
        <v>13.3</v>
      </c>
      <c r="P58" s="8">
        <f t="shared" si="1"/>
        <v>34</v>
      </c>
      <c r="R58" s="8">
        <f t="shared" si="2"/>
        <v>68</v>
      </c>
    </row>
    <row r="59">
      <c r="A59" s="412" t="s">
        <v>285</v>
      </c>
      <c r="B59" s="413">
        <v>21.0</v>
      </c>
      <c r="C59" s="413">
        <v>2.0</v>
      </c>
      <c r="D59" s="414">
        <v>3.0</v>
      </c>
      <c r="E59" s="413">
        <v>2.0</v>
      </c>
      <c r="F59" s="413">
        <v>7.0</v>
      </c>
      <c r="G59" s="413">
        <v>0.0</v>
      </c>
      <c r="H59" s="206">
        <v>0.0</v>
      </c>
      <c r="I59" s="206">
        <v>21.0</v>
      </c>
      <c r="J59" s="206">
        <v>9.0</v>
      </c>
      <c r="K59" s="206">
        <v>42.9</v>
      </c>
      <c r="L59" s="206">
        <v>12.0</v>
      </c>
      <c r="M59" s="206">
        <v>0.0</v>
      </c>
      <c r="N59" s="206">
        <v>0.0</v>
      </c>
      <c r="P59" s="8">
        <f t="shared" si="1"/>
        <v>9</v>
      </c>
      <c r="R59" s="8">
        <f t="shared" si="2"/>
        <v>12</v>
      </c>
    </row>
    <row r="60">
      <c r="A60" s="412" t="s">
        <v>146</v>
      </c>
      <c r="B60" s="410">
        <v>26.0</v>
      </c>
      <c r="C60" s="410">
        <v>1.0</v>
      </c>
      <c r="D60" s="415">
        <v>16.0</v>
      </c>
      <c r="E60" s="410">
        <v>8.0</v>
      </c>
      <c r="F60" s="410">
        <v>21.0</v>
      </c>
      <c r="G60" s="410">
        <v>2.0</v>
      </c>
      <c r="H60" s="206">
        <v>5.0</v>
      </c>
      <c r="I60" s="206">
        <v>24.0</v>
      </c>
      <c r="J60" s="206">
        <v>9.0</v>
      </c>
      <c r="K60" s="206">
        <v>37.5</v>
      </c>
      <c r="L60" s="206">
        <v>15.0</v>
      </c>
      <c r="M60" s="206">
        <v>2.0</v>
      </c>
      <c r="N60" s="206">
        <v>13.3</v>
      </c>
      <c r="P60" s="8">
        <f t="shared" si="1"/>
        <v>11</v>
      </c>
      <c r="R60" s="8">
        <f t="shared" si="2"/>
        <v>15</v>
      </c>
    </row>
    <row r="61">
      <c r="A61" s="412" t="s">
        <v>67</v>
      </c>
      <c r="B61" s="408">
        <v>27.0</v>
      </c>
      <c r="C61" s="408">
        <v>1.0</v>
      </c>
      <c r="D61" s="409">
        <v>7.0</v>
      </c>
      <c r="E61" s="408">
        <v>11.0</v>
      </c>
      <c r="F61" s="408">
        <v>17.0</v>
      </c>
      <c r="G61" s="408">
        <v>5.0</v>
      </c>
      <c r="H61" s="206">
        <v>6.0</v>
      </c>
      <c r="I61" s="206">
        <v>22.0</v>
      </c>
      <c r="J61" s="206">
        <v>8.0</v>
      </c>
      <c r="K61" s="206">
        <v>36.4</v>
      </c>
      <c r="L61" s="206">
        <v>14.0</v>
      </c>
      <c r="M61" s="206">
        <v>2.0</v>
      </c>
      <c r="N61" s="206">
        <v>14.3</v>
      </c>
      <c r="P61" s="8">
        <f t="shared" si="1"/>
        <v>10</v>
      </c>
      <c r="R61" s="8">
        <f t="shared" si="2"/>
        <v>17</v>
      </c>
    </row>
    <row r="62">
      <c r="A62" s="412" t="s">
        <v>163</v>
      </c>
      <c r="B62" s="413">
        <v>42.0</v>
      </c>
      <c r="C62" s="413">
        <v>2.0</v>
      </c>
      <c r="D62" s="414">
        <v>13.0</v>
      </c>
      <c r="E62" s="413">
        <v>5.0</v>
      </c>
      <c r="F62" s="413">
        <v>16.0</v>
      </c>
      <c r="G62" s="413">
        <v>2.0</v>
      </c>
      <c r="H62" s="206">
        <v>3.0</v>
      </c>
      <c r="I62" s="206">
        <v>35.0</v>
      </c>
      <c r="J62" s="206">
        <v>16.0</v>
      </c>
      <c r="K62" s="206">
        <v>45.7</v>
      </c>
      <c r="L62" s="206">
        <v>19.0</v>
      </c>
      <c r="M62" s="206">
        <v>4.0</v>
      </c>
      <c r="N62" s="206">
        <v>21.1</v>
      </c>
      <c r="P62" s="8">
        <f t="shared" si="1"/>
        <v>20</v>
      </c>
      <c r="R62" s="8">
        <f t="shared" si="2"/>
        <v>22</v>
      </c>
    </row>
    <row r="63">
      <c r="A63" s="412" t="s">
        <v>313</v>
      </c>
      <c r="B63" s="413">
        <v>31.0</v>
      </c>
      <c r="C63" s="413">
        <v>6.0</v>
      </c>
      <c r="D63" s="414">
        <v>17.0</v>
      </c>
      <c r="E63" s="413">
        <v>12.0</v>
      </c>
      <c r="F63" s="413">
        <v>23.0</v>
      </c>
      <c r="G63" s="413">
        <v>7.0</v>
      </c>
      <c r="H63" s="206">
        <v>9.0</v>
      </c>
      <c r="I63" s="206">
        <v>31.0</v>
      </c>
      <c r="J63" s="206">
        <v>8.0</v>
      </c>
      <c r="K63" s="206">
        <v>25.8</v>
      </c>
      <c r="L63" s="206">
        <v>23.0</v>
      </c>
      <c r="M63" s="206">
        <v>6.0</v>
      </c>
      <c r="N63" s="206">
        <v>26.1</v>
      </c>
      <c r="P63" s="8">
        <f t="shared" si="1"/>
        <v>14</v>
      </c>
      <c r="R63" s="8">
        <f t="shared" si="2"/>
        <v>17</v>
      </c>
    </row>
    <row r="64">
      <c r="A64" s="412" t="s">
        <v>115</v>
      </c>
      <c r="B64" s="413">
        <v>38.0</v>
      </c>
      <c r="C64" s="413">
        <v>1.0</v>
      </c>
      <c r="D64" s="414">
        <v>16.0</v>
      </c>
      <c r="E64" s="413">
        <v>12.0</v>
      </c>
      <c r="F64" s="413">
        <v>23.0</v>
      </c>
      <c r="G64" s="413">
        <v>3.0</v>
      </c>
      <c r="H64" s="206">
        <v>4.0</v>
      </c>
      <c r="I64" s="206">
        <v>36.0</v>
      </c>
      <c r="J64" s="206">
        <v>14.0</v>
      </c>
      <c r="K64" s="206">
        <v>38.9</v>
      </c>
      <c r="L64" s="206">
        <v>22.0</v>
      </c>
      <c r="M64" s="206">
        <v>2.0</v>
      </c>
      <c r="N64" s="206">
        <v>9.1</v>
      </c>
      <c r="P64" s="8">
        <f t="shared" si="1"/>
        <v>16</v>
      </c>
      <c r="R64" s="8">
        <f t="shared" si="2"/>
        <v>22</v>
      </c>
    </row>
    <row r="65">
      <c r="A65" s="412" t="s">
        <v>264</v>
      </c>
      <c r="B65" s="413">
        <v>67.0</v>
      </c>
      <c r="C65" s="413">
        <v>0.0</v>
      </c>
      <c r="D65" s="414">
        <v>35.0</v>
      </c>
      <c r="E65" s="413">
        <v>12.0</v>
      </c>
      <c r="F65" s="413">
        <v>21.0</v>
      </c>
      <c r="G65" s="413">
        <v>6.0</v>
      </c>
      <c r="H65" s="206">
        <v>8.0</v>
      </c>
      <c r="I65" s="206">
        <v>61.0</v>
      </c>
      <c r="J65" s="206">
        <v>17.0</v>
      </c>
      <c r="K65" s="206">
        <v>27.9</v>
      </c>
      <c r="L65" s="206">
        <v>44.0</v>
      </c>
      <c r="M65" s="206">
        <v>6.0</v>
      </c>
      <c r="N65" s="206">
        <v>13.6</v>
      </c>
      <c r="P65" s="8">
        <f t="shared" si="1"/>
        <v>23</v>
      </c>
      <c r="R65" s="8">
        <f t="shared" si="2"/>
        <v>44</v>
      </c>
    </row>
    <row r="66">
      <c r="A66" s="412" t="s">
        <v>266</v>
      </c>
      <c r="B66" s="413">
        <v>23.0</v>
      </c>
      <c r="C66" s="413">
        <v>1.0</v>
      </c>
      <c r="D66" s="414">
        <v>13.0</v>
      </c>
      <c r="E66" s="413">
        <v>29.0</v>
      </c>
      <c r="F66" s="413">
        <v>64.0</v>
      </c>
      <c r="G66" s="413">
        <v>4.0</v>
      </c>
      <c r="H66" s="206">
        <v>8.0</v>
      </c>
      <c r="I66" s="206">
        <v>22.0</v>
      </c>
      <c r="J66" s="206">
        <v>5.0</v>
      </c>
      <c r="K66" s="206">
        <v>22.7</v>
      </c>
      <c r="L66" s="206">
        <v>17.0</v>
      </c>
      <c r="M66" s="206">
        <v>0.0</v>
      </c>
      <c r="N66" s="206">
        <v>0.0</v>
      </c>
      <c r="P66" s="8">
        <f t="shared" si="1"/>
        <v>5</v>
      </c>
      <c r="R66" s="8">
        <f t="shared" si="2"/>
        <v>18</v>
      </c>
    </row>
    <row r="67">
      <c r="A67" s="412" t="s">
        <v>284</v>
      </c>
      <c r="B67" s="413">
        <v>52.0</v>
      </c>
      <c r="C67" s="413">
        <v>3.0</v>
      </c>
      <c r="D67" s="414">
        <v>18.0</v>
      </c>
      <c r="E67" s="413">
        <v>11.0</v>
      </c>
      <c r="F67" s="413">
        <v>26.0</v>
      </c>
      <c r="G67" s="413">
        <v>4.0</v>
      </c>
      <c r="H67" s="206">
        <v>7.0</v>
      </c>
      <c r="I67" s="206">
        <v>51.0</v>
      </c>
      <c r="J67" s="206">
        <v>14.0</v>
      </c>
      <c r="K67" s="206">
        <v>27.5</v>
      </c>
      <c r="L67" s="206">
        <v>37.0</v>
      </c>
      <c r="M67" s="206">
        <v>13.0</v>
      </c>
      <c r="N67" s="206">
        <v>35.1</v>
      </c>
      <c r="P67" s="8">
        <f t="shared" si="1"/>
        <v>27</v>
      </c>
      <c r="R67" s="8">
        <f t="shared" si="2"/>
        <v>25</v>
      </c>
    </row>
    <row r="68">
      <c r="A68" s="412" t="s">
        <v>142</v>
      </c>
      <c r="B68" s="413">
        <v>28.0</v>
      </c>
      <c r="C68" s="413">
        <v>1.0</v>
      </c>
      <c r="D68" s="414">
        <v>14.0</v>
      </c>
      <c r="E68" s="413">
        <v>5.0</v>
      </c>
      <c r="F68" s="413">
        <v>13.0</v>
      </c>
      <c r="G68" s="413">
        <v>2.0</v>
      </c>
      <c r="H68" s="206">
        <v>5.0</v>
      </c>
      <c r="I68" s="206">
        <v>24.0</v>
      </c>
      <c r="J68" s="206">
        <v>7.0</v>
      </c>
      <c r="K68" s="206">
        <v>29.2</v>
      </c>
      <c r="L68" s="206">
        <v>17.0</v>
      </c>
      <c r="M68" s="206">
        <v>0.0</v>
      </c>
      <c r="N68" s="206">
        <v>0.0</v>
      </c>
      <c r="P68" s="8">
        <f t="shared" si="1"/>
        <v>7</v>
      </c>
      <c r="R68" s="8">
        <f t="shared" si="2"/>
        <v>21</v>
      </c>
    </row>
    <row r="69">
      <c r="A69" s="412" t="s">
        <v>301</v>
      </c>
      <c r="B69" s="413">
        <v>96.0</v>
      </c>
      <c r="C69" s="413">
        <v>9.0</v>
      </c>
      <c r="D69" s="414">
        <v>29.0</v>
      </c>
      <c r="E69" s="413">
        <v>12.0</v>
      </c>
      <c r="F69" s="413">
        <v>27.0</v>
      </c>
      <c r="G69" s="413">
        <v>6.0</v>
      </c>
      <c r="H69" s="206">
        <v>8.0</v>
      </c>
      <c r="I69" s="206">
        <v>81.0</v>
      </c>
      <c r="J69" s="206">
        <v>24.0</v>
      </c>
      <c r="K69" s="206">
        <v>29.6</v>
      </c>
      <c r="L69" s="206">
        <v>57.0</v>
      </c>
      <c r="M69" s="206">
        <v>4.0</v>
      </c>
      <c r="N69" s="206">
        <v>7.0</v>
      </c>
      <c r="P69" s="8">
        <f t="shared" si="1"/>
        <v>28</v>
      </c>
      <c r="R69" s="8">
        <f t="shared" si="2"/>
        <v>68</v>
      </c>
    </row>
    <row r="70">
      <c r="A70" s="412" t="s">
        <v>315</v>
      </c>
      <c r="B70" s="413">
        <v>3.0</v>
      </c>
      <c r="C70" s="413">
        <v>1.0</v>
      </c>
      <c r="D70" s="414">
        <v>10.0</v>
      </c>
      <c r="E70" s="410">
        <v>9.0</v>
      </c>
      <c r="F70" s="410">
        <v>17.0</v>
      </c>
      <c r="G70" s="410">
        <v>2.0</v>
      </c>
      <c r="H70" s="206">
        <v>5.0</v>
      </c>
      <c r="I70" s="206">
        <v>3.0</v>
      </c>
      <c r="J70" s="206">
        <v>0.0</v>
      </c>
      <c r="K70" s="206">
        <v>0.0</v>
      </c>
      <c r="L70" s="206">
        <v>3.0</v>
      </c>
      <c r="M70" s="206">
        <v>1.0</v>
      </c>
      <c r="N70" s="206">
        <v>33.3</v>
      </c>
      <c r="P70" s="8">
        <f t="shared" si="1"/>
        <v>1</v>
      </c>
      <c r="R70" s="8">
        <f t="shared" si="2"/>
        <v>2</v>
      </c>
    </row>
    <row r="71">
      <c r="A71" s="412" t="s">
        <v>66</v>
      </c>
      <c r="B71" s="408">
        <v>90.0</v>
      </c>
      <c r="C71" s="408">
        <v>12.0</v>
      </c>
      <c r="D71" s="409">
        <v>54.0</v>
      </c>
      <c r="E71" s="408">
        <v>62.0</v>
      </c>
      <c r="F71" s="408">
        <v>122.0</v>
      </c>
      <c r="G71" s="408">
        <v>18.0</v>
      </c>
      <c r="H71" s="206">
        <v>27.0</v>
      </c>
      <c r="I71" s="206">
        <v>84.0</v>
      </c>
      <c r="J71" s="206">
        <v>24.0</v>
      </c>
      <c r="K71" s="206">
        <v>28.6</v>
      </c>
      <c r="L71" s="206">
        <v>60.0</v>
      </c>
      <c r="M71" s="206">
        <v>14.0</v>
      </c>
      <c r="N71" s="206">
        <v>23.3</v>
      </c>
      <c r="P71" s="8">
        <f t="shared" si="1"/>
        <v>38</v>
      </c>
      <c r="R71" s="8">
        <f t="shared" si="2"/>
        <v>52</v>
      </c>
    </row>
    <row r="72">
      <c r="A72" s="412" t="s">
        <v>318</v>
      </c>
      <c r="B72" s="413">
        <v>44.0</v>
      </c>
      <c r="C72" s="413">
        <v>5.0</v>
      </c>
      <c r="D72" s="414">
        <v>10.0</v>
      </c>
      <c r="E72" s="413">
        <v>5.0</v>
      </c>
      <c r="F72" s="413">
        <v>11.0</v>
      </c>
      <c r="G72" s="413">
        <v>5.0</v>
      </c>
      <c r="H72" s="206">
        <v>11.0</v>
      </c>
      <c r="I72" s="206">
        <v>40.0</v>
      </c>
      <c r="J72" s="206">
        <v>15.0</v>
      </c>
      <c r="K72" s="206">
        <v>37.5</v>
      </c>
      <c r="L72" s="206">
        <v>25.0</v>
      </c>
      <c r="M72" s="206">
        <v>0.0</v>
      </c>
      <c r="N72" s="206">
        <v>0.0</v>
      </c>
      <c r="P72" s="8">
        <f t="shared" si="1"/>
        <v>15</v>
      </c>
      <c r="R72" s="8">
        <f t="shared" si="2"/>
        <v>29</v>
      </c>
    </row>
    <row r="73">
      <c r="A73" s="412" t="s">
        <v>34</v>
      </c>
      <c r="B73" s="413">
        <v>15.0</v>
      </c>
      <c r="C73" s="413">
        <v>3.0</v>
      </c>
      <c r="D73" s="414">
        <v>9.0</v>
      </c>
      <c r="E73" s="413">
        <v>5.0</v>
      </c>
      <c r="F73" s="413">
        <v>9.0</v>
      </c>
      <c r="G73" s="413">
        <v>0.0</v>
      </c>
      <c r="H73" s="206">
        <v>0.0</v>
      </c>
      <c r="I73" s="206">
        <v>13.0</v>
      </c>
      <c r="J73" s="206">
        <v>6.0</v>
      </c>
      <c r="K73" s="206">
        <v>46.2</v>
      </c>
      <c r="L73" s="206">
        <v>7.0</v>
      </c>
      <c r="M73" s="206">
        <v>1.0</v>
      </c>
      <c r="N73" s="206">
        <v>14.3</v>
      </c>
      <c r="P73" s="8">
        <f t="shared" si="1"/>
        <v>7</v>
      </c>
      <c r="R73" s="8">
        <f t="shared" si="2"/>
        <v>8</v>
      </c>
    </row>
    <row r="74">
      <c r="A74" s="412" t="s">
        <v>240</v>
      </c>
      <c r="B74" s="413">
        <v>10.0</v>
      </c>
      <c r="C74" s="413">
        <v>0.0</v>
      </c>
      <c r="D74" s="414">
        <v>4.0</v>
      </c>
      <c r="E74" s="413">
        <v>9.0</v>
      </c>
      <c r="F74" s="413">
        <v>16.0</v>
      </c>
      <c r="G74" s="413">
        <v>6.0</v>
      </c>
      <c r="H74" s="206">
        <v>10.0</v>
      </c>
      <c r="I74" s="206">
        <v>10.0</v>
      </c>
      <c r="J74" s="206">
        <v>7.0</v>
      </c>
      <c r="K74" s="206">
        <v>70.0</v>
      </c>
      <c r="L74" s="206">
        <v>3.0</v>
      </c>
      <c r="M74" s="206">
        <v>0.0</v>
      </c>
      <c r="N74" s="206">
        <v>0.0</v>
      </c>
      <c r="P74" s="8">
        <f t="shared" si="1"/>
        <v>7</v>
      </c>
      <c r="R74" s="8">
        <f t="shared" si="2"/>
        <v>3</v>
      </c>
    </row>
    <row r="75">
      <c r="A75" s="412" t="s">
        <v>251</v>
      </c>
      <c r="B75" s="413">
        <v>7.0</v>
      </c>
      <c r="C75" s="413">
        <v>0.0</v>
      </c>
      <c r="D75" s="414">
        <v>5.0</v>
      </c>
      <c r="E75" s="413">
        <v>3.0</v>
      </c>
      <c r="F75" s="413">
        <v>6.0</v>
      </c>
      <c r="G75" s="413">
        <v>2.0</v>
      </c>
      <c r="H75" s="206">
        <v>4.0</v>
      </c>
      <c r="I75" s="206">
        <v>7.0</v>
      </c>
      <c r="J75" s="206">
        <v>2.0</v>
      </c>
      <c r="K75" s="206">
        <v>28.6</v>
      </c>
      <c r="L75" s="206">
        <v>5.0</v>
      </c>
      <c r="M75" s="206">
        <v>0.0</v>
      </c>
      <c r="N75" s="206">
        <v>0.0</v>
      </c>
      <c r="P75" s="8">
        <f t="shared" si="1"/>
        <v>2</v>
      </c>
      <c r="R75" s="8">
        <f t="shared" si="2"/>
        <v>5</v>
      </c>
    </row>
    <row r="76">
      <c r="A76" s="412" t="s">
        <v>268</v>
      </c>
      <c r="B76" s="413">
        <v>1.0</v>
      </c>
      <c r="C76" s="413">
        <v>0.0</v>
      </c>
      <c r="D76" s="414">
        <v>1.0</v>
      </c>
      <c r="E76" s="413">
        <v>3.0</v>
      </c>
      <c r="F76" s="413">
        <v>5.0</v>
      </c>
      <c r="G76" s="413">
        <v>2.0</v>
      </c>
      <c r="H76" s="206">
        <v>4.0</v>
      </c>
      <c r="I76" s="206">
        <v>1.0</v>
      </c>
      <c r="J76" s="206">
        <v>1.0</v>
      </c>
      <c r="K76" s="206">
        <v>100.0</v>
      </c>
      <c r="L76" s="206">
        <v>0.0</v>
      </c>
      <c r="M76" s="206">
        <v>0.0</v>
      </c>
      <c r="N76" s="358"/>
      <c r="P76" s="8">
        <f t="shared" si="1"/>
        <v>1</v>
      </c>
      <c r="R76" s="8">
        <f t="shared" si="2"/>
        <v>0</v>
      </c>
    </row>
    <row r="77">
      <c r="A77" s="412" t="s">
        <v>270</v>
      </c>
      <c r="B77" s="413">
        <v>12.0</v>
      </c>
      <c r="C77" s="413">
        <v>1.0</v>
      </c>
      <c r="D77" s="414">
        <v>6.0</v>
      </c>
      <c r="E77" s="413">
        <v>16.0</v>
      </c>
      <c r="F77" s="413">
        <v>40.0</v>
      </c>
      <c r="G77" s="413">
        <v>8.0</v>
      </c>
      <c r="H77" s="206">
        <v>9.0</v>
      </c>
      <c r="I77" s="206">
        <v>12.0</v>
      </c>
      <c r="J77" s="206">
        <v>7.0</v>
      </c>
      <c r="K77" s="206">
        <v>58.3</v>
      </c>
      <c r="L77" s="206">
        <v>5.0</v>
      </c>
      <c r="M77" s="206">
        <v>0.0</v>
      </c>
      <c r="N77" s="206">
        <v>0.0</v>
      </c>
      <c r="P77" s="8">
        <f t="shared" si="1"/>
        <v>7</v>
      </c>
      <c r="R77" s="8">
        <f t="shared" si="2"/>
        <v>5</v>
      </c>
    </row>
    <row r="78">
      <c r="A78" s="412" t="s">
        <v>147</v>
      </c>
      <c r="B78" s="413">
        <v>10.0</v>
      </c>
      <c r="C78" s="413">
        <v>0.0</v>
      </c>
      <c r="D78" s="414">
        <v>5.0</v>
      </c>
      <c r="E78" s="413">
        <v>4.0</v>
      </c>
      <c r="F78" s="413">
        <v>8.0</v>
      </c>
      <c r="G78" s="413">
        <v>3.0</v>
      </c>
      <c r="H78" s="206">
        <v>6.0</v>
      </c>
      <c r="I78" s="206">
        <v>10.0</v>
      </c>
      <c r="J78" s="206">
        <v>10.0</v>
      </c>
      <c r="K78" s="206">
        <v>100.0</v>
      </c>
      <c r="L78" s="206">
        <v>0.0</v>
      </c>
      <c r="M78" s="206">
        <v>0.0</v>
      </c>
      <c r="N78" s="358"/>
      <c r="P78" s="8">
        <f t="shared" si="1"/>
        <v>10</v>
      </c>
      <c r="R78" s="8">
        <f t="shared" si="2"/>
        <v>0</v>
      </c>
    </row>
    <row r="79">
      <c r="A79" s="412" t="s">
        <v>156</v>
      </c>
      <c r="B79" s="413">
        <v>12.0</v>
      </c>
      <c r="C79" s="413">
        <v>1.0</v>
      </c>
      <c r="D79" s="414">
        <v>5.0</v>
      </c>
      <c r="E79" s="413">
        <v>8.0</v>
      </c>
      <c r="F79" s="413">
        <v>18.0</v>
      </c>
      <c r="G79" s="413">
        <v>1.0</v>
      </c>
      <c r="H79" s="206">
        <v>1.0</v>
      </c>
      <c r="I79" s="206">
        <v>12.0</v>
      </c>
      <c r="J79" s="206">
        <v>7.0</v>
      </c>
      <c r="K79" s="206">
        <v>58.3</v>
      </c>
      <c r="L79" s="206">
        <v>5.0</v>
      </c>
      <c r="M79" s="206">
        <v>2.0</v>
      </c>
      <c r="N79" s="206">
        <v>40.0</v>
      </c>
      <c r="P79" s="8">
        <f t="shared" si="1"/>
        <v>9</v>
      </c>
      <c r="R79" s="8">
        <f t="shared" si="2"/>
        <v>3</v>
      </c>
    </row>
    <row r="80">
      <c r="A80" s="412" t="s">
        <v>300</v>
      </c>
      <c r="B80" s="413">
        <v>17.0</v>
      </c>
      <c r="C80" s="413">
        <v>1.0</v>
      </c>
      <c r="D80" s="414">
        <v>9.0</v>
      </c>
      <c r="E80" s="410">
        <v>3.0</v>
      </c>
      <c r="F80" s="410">
        <v>5.0</v>
      </c>
      <c r="G80" s="410">
        <v>2.0</v>
      </c>
      <c r="H80" s="206">
        <v>3.0</v>
      </c>
      <c r="I80" s="206">
        <v>17.0</v>
      </c>
      <c r="J80" s="206">
        <v>16.0</v>
      </c>
      <c r="K80" s="206">
        <v>94.1</v>
      </c>
      <c r="L80" s="206">
        <v>1.0</v>
      </c>
      <c r="M80" s="206">
        <v>0.0</v>
      </c>
      <c r="N80" s="206">
        <v>0.0</v>
      </c>
      <c r="P80" s="8">
        <f t="shared" si="1"/>
        <v>16</v>
      </c>
      <c r="R80" s="8">
        <f t="shared" si="2"/>
        <v>1</v>
      </c>
    </row>
    <row r="81">
      <c r="A81" s="412" t="s">
        <v>1335</v>
      </c>
      <c r="B81" s="413">
        <v>21.0</v>
      </c>
      <c r="C81" s="413">
        <v>0.0</v>
      </c>
      <c r="D81" s="414">
        <v>26.0</v>
      </c>
      <c r="E81" s="413">
        <v>7.0</v>
      </c>
      <c r="F81" s="413">
        <v>14.0</v>
      </c>
      <c r="G81" s="413">
        <v>5.0</v>
      </c>
      <c r="H81" s="206">
        <v>8.0</v>
      </c>
      <c r="I81" s="206">
        <v>21.0</v>
      </c>
      <c r="J81" s="206">
        <v>13.0</v>
      </c>
      <c r="K81" s="206">
        <v>61.9</v>
      </c>
      <c r="L81" s="206">
        <v>8.0</v>
      </c>
      <c r="M81" s="206">
        <v>1.0</v>
      </c>
      <c r="N81" s="206">
        <v>12.5</v>
      </c>
      <c r="P81" s="8">
        <f t="shared" si="1"/>
        <v>14</v>
      </c>
      <c r="R81" s="8">
        <f t="shared" si="2"/>
        <v>7</v>
      </c>
    </row>
    <row r="82">
      <c r="A82" s="412" t="s">
        <v>2</v>
      </c>
      <c r="B82" s="416">
        <v>3604.0</v>
      </c>
      <c r="C82" s="413">
        <v>299.0</v>
      </c>
      <c r="D82" s="417">
        <v>1436.0</v>
      </c>
      <c r="E82" s="416">
        <v>1382.0</v>
      </c>
      <c r="F82" s="416">
        <v>2737.0</v>
      </c>
      <c r="G82" s="413">
        <v>453.0</v>
      </c>
      <c r="H82" s="206">
        <v>719.0</v>
      </c>
      <c r="I82" s="208">
        <v>3322.0</v>
      </c>
      <c r="J82" s="208">
        <v>1186.0</v>
      </c>
      <c r="K82" s="206">
        <v>35.7</v>
      </c>
      <c r="L82" s="208">
        <v>2136.0</v>
      </c>
      <c r="M82" s="206">
        <v>615.0</v>
      </c>
      <c r="N82" s="206">
        <v>28.8</v>
      </c>
      <c r="P82" s="418">
        <f t="shared" si="1"/>
        <v>1801</v>
      </c>
      <c r="R82" s="418">
        <f t="shared" si="2"/>
        <v>1803</v>
      </c>
    </row>
    <row r="83">
      <c r="A83" s="419"/>
      <c r="B83" s="419"/>
      <c r="C83" s="419"/>
      <c r="D83" s="419"/>
      <c r="E83" s="419"/>
      <c r="F83" s="419"/>
      <c r="G83" s="419"/>
      <c r="H83" s="419"/>
    </row>
    <row r="84">
      <c r="A84" s="328" t="s">
        <v>305</v>
      </c>
      <c r="B84" s="420">
        <f t="shared" ref="B84:N84" si="3">sum(B42:B45)</f>
        <v>480</v>
      </c>
      <c r="C84" s="420">
        <f t="shared" si="3"/>
        <v>32</v>
      </c>
      <c r="D84" s="420">
        <f t="shared" si="3"/>
        <v>137</v>
      </c>
      <c r="E84" s="420">
        <f t="shared" si="3"/>
        <v>162</v>
      </c>
      <c r="F84" s="420">
        <f t="shared" si="3"/>
        <v>276</v>
      </c>
      <c r="G84" s="420">
        <f t="shared" si="3"/>
        <v>33</v>
      </c>
      <c r="H84" s="420">
        <f t="shared" si="3"/>
        <v>54</v>
      </c>
      <c r="I84" s="420">
        <f t="shared" si="3"/>
        <v>426</v>
      </c>
      <c r="J84" s="420">
        <f t="shared" si="3"/>
        <v>129</v>
      </c>
      <c r="K84" s="420">
        <f t="shared" si="3"/>
        <v>128.3</v>
      </c>
      <c r="L84" s="420">
        <f t="shared" si="3"/>
        <v>297</v>
      </c>
      <c r="M84" s="420">
        <f t="shared" si="3"/>
        <v>146</v>
      </c>
      <c r="N84" s="420">
        <f t="shared" si="3"/>
        <v>202.7</v>
      </c>
      <c r="P84" s="8">
        <f>M84+J84</f>
        <v>275</v>
      </c>
      <c r="R84" s="8">
        <f>B84-(J84+M84)</f>
        <v>205</v>
      </c>
    </row>
    <row r="85">
      <c r="A85" s="421"/>
      <c r="B85" s="419"/>
      <c r="C85" s="419"/>
      <c r="D85" s="419"/>
      <c r="E85" s="419"/>
      <c r="F85" s="419"/>
      <c r="G85" s="419"/>
      <c r="H85" s="419"/>
      <c r="I85" s="419"/>
    </row>
    <row r="86">
      <c r="A86" s="421"/>
      <c r="B86" s="419"/>
      <c r="C86" s="419"/>
      <c r="D86" s="419"/>
      <c r="E86" s="419"/>
      <c r="F86" s="419"/>
      <c r="G86" s="419"/>
      <c r="H86" s="419"/>
      <c r="I86" s="419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7.0"/>
    <col customWidth="1" min="2" max="2" width="10.88"/>
    <col customWidth="1" min="3" max="9" width="10.13"/>
    <col customWidth="1" min="10" max="10" width="11.0"/>
    <col customWidth="1" min="11" max="11" width="10.13"/>
    <col customWidth="1" min="12" max="12" width="13.0"/>
    <col customWidth="1" min="13" max="17" width="11.5"/>
  </cols>
  <sheetData>
    <row r="1">
      <c r="A1" s="167"/>
      <c r="B1" s="168" t="s">
        <v>35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</row>
    <row r="2">
      <c r="A2" s="169" t="s">
        <v>172</v>
      </c>
      <c r="B2" s="170" t="s">
        <v>174</v>
      </c>
      <c r="C2" s="171" t="s">
        <v>693</v>
      </c>
      <c r="D2" s="172" t="s">
        <v>694</v>
      </c>
      <c r="E2" s="172" t="s">
        <v>695</v>
      </c>
      <c r="F2" s="172" t="s">
        <v>179</v>
      </c>
      <c r="G2" s="172" t="s">
        <v>696</v>
      </c>
      <c r="H2" s="173" t="s">
        <v>697</v>
      </c>
      <c r="I2" s="174" t="s">
        <v>84</v>
      </c>
      <c r="J2" s="170" t="s">
        <v>698</v>
      </c>
      <c r="K2" s="175" t="s">
        <v>699</v>
      </c>
      <c r="L2" s="173" t="s">
        <v>89</v>
      </c>
      <c r="M2" s="176" t="s">
        <v>700</v>
      </c>
      <c r="N2" s="177" t="s">
        <v>701</v>
      </c>
      <c r="O2" s="177" t="s">
        <v>702</v>
      </c>
      <c r="P2" s="422" t="s">
        <v>90</v>
      </c>
      <c r="Q2" s="325" t="s">
        <v>703</v>
      </c>
    </row>
    <row r="3">
      <c r="A3" s="326" t="s">
        <v>276</v>
      </c>
      <c r="B3" s="251">
        <f t="array" ref="B3">VLOOKUP($A3,CA_DEMO,2,FALSE)</f>
        <v>1682353</v>
      </c>
      <c r="C3" s="336">
        <f>vlookup(A3,'CA Data'!$A$3:$D$62,2,FALSE)</f>
        <v>916</v>
      </c>
      <c r="D3" s="253" t="s">
        <v>63</v>
      </c>
      <c r="E3" s="253">
        <f>vlookup(A3,'CA Data'!$A$3:$D$62,3,FALSE)</f>
        <v>294</v>
      </c>
      <c r="F3" s="253">
        <f>vlookup(A3,'CA Data'!$A$3:$D$62,4,FALSE)</f>
        <v>336</v>
      </c>
      <c r="G3" s="253" t="s">
        <v>63</v>
      </c>
      <c r="H3" s="254" t="s">
        <v>63</v>
      </c>
      <c r="I3" s="423">
        <f>vlookup(A3,'CA Data'!$A$212:$B$271,2,FALSE)</f>
        <v>86</v>
      </c>
      <c r="J3" s="256" t="s">
        <v>63</v>
      </c>
      <c r="K3" s="424">
        <v>0.40648379052369077</v>
      </c>
      <c r="L3" s="425">
        <f>vlookup(A3,'CA Data'!$A$271:$D$338,4,FALSE)</f>
        <v>295</v>
      </c>
      <c r="M3" s="258" t="s">
        <v>63</v>
      </c>
      <c r="N3" s="253" t="s">
        <v>63</v>
      </c>
      <c r="O3" s="253" t="s">
        <v>63</v>
      </c>
      <c r="P3" s="261">
        <f>ifna(vlookup(A3,'Population &amp; Church Numbers'!$A$189:$D$246,4,FALSE),"NULL")</f>
        <v>647</v>
      </c>
      <c r="Q3" s="329" t="s">
        <v>63</v>
      </c>
    </row>
    <row r="4">
      <c r="A4" s="188" t="s">
        <v>320</v>
      </c>
      <c r="B4" s="189">
        <f t="array" ref="B4">VLOOKUP($A4,CA_DEMO,2,FALSE)</f>
        <v>1204</v>
      </c>
      <c r="C4" s="333">
        <f>vlookup(A4,'CA Data'!$A$3:$B$62,2,FALSE)</f>
        <v>0</v>
      </c>
      <c r="D4" s="265" t="s">
        <v>63</v>
      </c>
      <c r="E4" s="265">
        <f>vlookup(A4,'CA Data'!$A$3:$D$62,3,FALSE)</f>
        <v>0</v>
      </c>
      <c r="F4" s="265">
        <f>vlookup(A4,'CA Data'!$A$3:$D$62,4,FALSE)</f>
        <v>0</v>
      </c>
      <c r="G4" s="265" t="s">
        <v>63</v>
      </c>
      <c r="H4" s="266" t="s">
        <v>63</v>
      </c>
      <c r="I4" s="426">
        <f>vlookup(A4,'CA Data'!$A$212:$B$271,2,FALSE)</f>
        <v>0</v>
      </c>
      <c r="J4" s="268" t="s">
        <v>63</v>
      </c>
      <c r="K4" s="427" t="s">
        <v>321</v>
      </c>
      <c r="L4" s="428">
        <f>vlookup(A4,'CA Data'!$A$271:$D$338,4,FALSE)</f>
        <v>0</v>
      </c>
      <c r="M4" s="267" t="s">
        <v>63</v>
      </c>
      <c r="N4" s="265" t="s">
        <v>63</v>
      </c>
      <c r="O4" s="265" t="s">
        <v>63</v>
      </c>
      <c r="P4" s="272" t="str">
        <f>ifna(vlookup(A4,'Population &amp; Church Numbers'!$A$189:$D$246,4,FALSE),"NULL")</f>
        <v>NULL</v>
      </c>
      <c r="Q4" s="334" t="s">
        <v>63</v>
      </c>
    </row>
    <row r="5">
      <c r="A5" s="326" t="s">
        <v>322</v>
      </c>
      <c r="B5" s="251">
        <f t="array" ref="B5">VLOOKUP($A5,CA_DEMO,2,FALSE)</f>
        <v>40474</v>
      </c>
      <c r="C5" s="327">
        <f>vlookup(A5,'CA Data'!$A$3:$B$62,2,FALSE)</f>
        <v>54</v>
      </c>
      <c r="D5" s="253" t="s">
        <v>63</v>
      </c>
      <c r="E5" s="253">
        <f>vlookup(A5,'CA Data'!$A$3:$D$62,3,FALSE)</f>
        <v>22</v>
      </c>
      <c r="F5" s="253">
        <f>vlookup(A5,'CA Data'!$A$3:$D$62,4,FALSE)</f>
        <v>18</v>
      </c>
      <c r="G5" s="253" t="s">
        <v>63</v>
      </c>
      <c r="H5" s="254" t="s">
        <v>63</v>
      </c>
      <c r="I5" s="423" t="str">
        <f>vlookup(A5,'CA Data'!$A$212:$B$271,2,FALSE)</f>
        <v>*</v>
      </c>
      <c r="J5" s="256" t="s">
        <v>63</v>
      </c>
      <c r="K5" s="429" t="s">
        <v>321</v>
      </c>
      <c r="L5" s="425">
        <f>vlookup(A5,'CA Data'!$A$271:$D$338,4,FALSE)</f>
        <v>0</v>
      </c>
      <c r="M5" s="255" t="s">
        <v>63</v>
      </c>
      <c r="N5" s="253" t="s">
        <v>63</v>
      </c>
      <c r="O5" s="253" t="s">
        <v>63</v>
      </c>
      <c r="P5" s="261">
        <f>ifna(vlookup(A5,'Population &amp; Church Numbers'!$A$189:$D$246,4,FALSE),"NULL")</f>
        <v>25</v>
      </c>
      <c r="Q5" s="329" t="s">
        <v>63</v>
      </c>
    </row>
    <row r="6">
      <c r="A6" s="188" t="s">
        <v>324</v>
      </c>
      <c r="B6" s="189">
        <f t="array" ref="B6">VLOOKUP($A6,CA_DEMO,2,FALSE)</f>
        <v>211632</v>
      </c>
      <c r="C6" s="333">
        <f>vlookup(A6,'CA Data'!$A$3:$B$62,2,FALSE)</f>
        <v>347</v>
      </c>
      <c r="D6" s="265" t="s">
        <v>63</v>
      </c>
      <c r="E6" s="265">
        <f>vlookup(A6,'CA Data'!$A$3:$D$62,3,FALSE)</f>
        <v>147</v>
      </c>
      <c r="F6" s="265">
        <f>vlookup(A6,'CA Data'!$A$3:$D$62,4,FALSE)</f>
        <v>92</v>
      </c>
      <c r="G6" s="265" t="s">
        <v>63</v>
      </c>
      <c r="H6" s="266" t="s">
        <v>63</v>
      </c>
      <c r="I6" s="426">
        <f>vlookup(A6,'CA Data'!$A$212:$B$271,2,FALSE)</f>
        <v>104</v>
      </c>
      <c r="J6" s="268" t="s">
        <v>63</v>
      </c>
      <c r="K6" s="430">
        <v>0.48148148148148145</v>
      </c>
      <c r="L6" s="428">
        <f>vlookup(A6,'CA Data'!$A$271:$D$338,4,FALSE)</f>
        <v>43</v>
      </c>
      <c r="M6" s="267" t="s">
        <v>63</v>
      </c>
      <c r="N6" s="265" t="s">
        <v>63</v>
      </c>
      <c r="O6" s="265" t="s">
        <v>63</v>
      </c>
      <c r="P6" s="272">
        <f>ifna(vlookup(A6,'Population &amp; Church Numbers'!$A$189:$D$246,4,FALSE),"NULL")</f>
        <v>118</v>
      </c>
      <c r="Q6" s="334" t="s">
        <v>63</v>
      </c>
    </row>
    <row r="7">
      <c r="A7" s="326" t="s">
        <v>325</v>
      </c>
      <c r="B7" s="251">
        <f t="array" ref="B7">VLOOKUP($A7,CA_DEMO,2,FALSE)</f>
        <v>45292</v>
      </c>
      <c r="C7" s="327">
        <f>vlookup(A7,'CA Data'!$A$3:$B$62,2,FALSE)</f>
        <v>53</v>
      </c>
      <c r="D7" s="253" t="s">
        <v>63</v>
      </c>
      <c r="E7" s="253">
        <f>vlookup(A7,'CA Data'!$A$3:$D$62,3,FALSE)</f>
        <v>26</v>
      </c>
      <c r="F7" s="253">
        <f>vlookup(A7,'CA Data'!$A$3:$D$62,4,FALSE)</f>
        <v>15</v>
      </c>
      <c r="G7" s="253" t="s">
        <v>63</v>
      </c>
      <c r="H7" s="254" t="s">
        <v>63</v>
      </c>
      <c r="I7" s="423" t="str">
        <f>vlookup(A7,'CA Data'!$A$212:$B$271,2,FALSE)</f>
        <v>*</v>
      </c>
      <c r="J7" s="256" t="s">
        <v>63</v>
      </c>
      <c r="K7" s="424">
        <v>0.5769230769230769</v>
      </c>
      <c r="L7" s="425">
        <f>vlookup(A7,'CA Data'!$A$271:$D$338,4,FALSE)</f>
        <v>25</v>
      </c>
      <c r="M7" s="255" t="s">
        <v>63</v>
      </c>
      <c r="N7" s="253" t="s">
        <v>63</v>
      </c>
      <c r="O7" s="253" t="s">
        <v>63</v>
      </c>
      <c r="P7" s="261">
        <f>ifna(vlookup(A7,'Population &amp; Church Numbers'!$A$189:$D$246,4,FALSE),"NULL")</f>
        <v>40</v>
      </c>
      <c r="Q7" s="329" t="s">
        <v>63</v>
      </c>
    </row>
    <row r="8">
      <c r="A8" s="188" t="s">
        <v>326</v>
      </c>
      <c r="B8" s="189">
        <f t="array" ref="B8">VLOOKUP($A8,CA_DEMO,2,FALSE)</f>
        <v>21839</v>
      </c>
      <c r="C8" s="333">
        <f>vlookup(A8,'CA Data'!$A$3:$B$62,2,FALSE)</f>
        <v>35</v>
      </c>
      <c r="D8" s="265" t="s">
        <v>63</v>
      </c>
      <c r="E8" s="265">
        <f>vlookup(A8,'CA Data'!$A$3:$D$62,3,FALSE)</f>
        <v>22</v>
      </c>
      <c r="F8" s="265" t="str">
        <f>vlookup(A8,'CA Data'!$A$3:$D$62,4,FALSE)</f>
        <v>NULL</v>
      </c>
      <c r="G8" s="265" t="s">
        <v>63</v>
      </c>
      <c r="H8" s="266" t="s">
        <v>63</v>
      </c>
      <c r="I8" s="426" t="str">
        <f>vlookup(A8,'CA Data'!$A$212:$B$271,2,FALSE)</f>
        <v>*</v>
      </c>
      <c r="J8" s="268" t="s">
        <v>63</v>
      </c>
      <c r="K8" s="427" t="s">
        <v>321</v>
      </c>
      <c r="L8" s="428">
        <f>vlookup(A8,'CA Data'!$A$271:$D$338,4,FALSE)</f>
        <v>0</v>
      </c>
      <c r="M8" s="267" t="s">
        <v>63</v>
      </c>
      <c r="N8" s="265" t="s">
        <v>63</v>
      </c>
      <c r="O8" s="265" t="s">
        <v>63</v>
      </c>
      <c r="P8" s="272">
        <f>ifna(vlookup(A8,'Population &amp; Church Numbers'!$A$189:$D$246,4,FALSE),"NULL")</f>
        <v>20</v>
      </c>
      <c r="Q8" s="334" t="s">
        <v>63</v>
      </c>
    </row>
    <row r="9">
      <c r="A9" s="326" t="s">
        <v>327</v>
      </c>
      <c r="B9" s="251">
        <f t="array" ref="B9">VLOOKUP($A9,CA_DEMO,2,FALSE)</f>
        <v>1165927</v>
      </c>
      <c r="C9" s="327">
        <f>vlookup(A9,'CA Data'!$A$3:$B$62,2,FALSE)</f>
        <v>513</v>
      </c>
      <c r="D9" s="253" t="s">
        <v>63</v>
      </c>
      <c r="E9" s="253">
        <f>vlookup(A9,'CA Data'!$A$3:$D$62,3,FALSE)</f>
        <v>219</v>
      </c>
      <c r="F9" s="253">
        <f>vlookup(A9,'CA Data'!$A$3:$D$62,4,FALSE)</f>
        <v>122</v>
      </c>
      <c r="G9" s="253" t="s">
        <v>63</v>
      </c>
      <c r="H9" s="254" t="s">
        <v>63</v>
      </c>
      <c r="I9" s="423">
        <f>vlookup(A9,'CA Data'!$A$212:$B$271,2,FALSE)</f>
        <v>28</v>
      </c>
      <c r="J9" s="256" t="s">
        <v>63</v>
      </c>
      <c r="K9" s="424">
        <v>0.45353159851301117</v>
      </c>
      <c r="L9" s="425">
        <f>vlookup(A9,'CA Data'!$A$271:$D$338,4,FALSE)</f>
        <v>188</v>
      </c>
      <c r="M9" s="255" t="s">
        <v>63</v>
      </c>
      <c r="N9" s="253" t="s">
        <v>63</v>
      </c>
      <c r="O9" s="253" t="s">
        <v>63</v>
      </c>
      <c r="P9" s="261">
        <f>ifna(vlookup(A9,'Population &amp; Church Numbers'!$A$189:$D$246,4,FALSE),"NULL")</f>
        <v>405</v>
      </c>
      <c r="Q9" s="329" t="s">
        <v>63</v>
      </c>
    </row>
    <row r="10">
      <c r="A10" s="188" t="s">
        <v>328</v>
      </c>
      <c r="B10" s="189">
        <f t="array" ref="B10">VLOOKUP($A10,CA_DEMO,2,FALSE)</f>
        <v>27743</v>
      </c>
      <c r="C10" s="333">
        <f>vlookup(A10,'CA Data'!$A$3:$B$62,2,FALSE)</f>
        <v>86</v>
      </c>
      <c r="D10" s="265" t="s">
        <v>63</v>
      </c>
      <c r="E10" s="265">
        <f>vlookup(A10,'CA Data'!$A$3:$D$62,3,FALSE)</f>
        <v>38</v>
      </c>
      <c r="F10" s="265">
        <f>vlookup(A10,'CA Data'!$A$3:$D$62,4,FALSE)</f>
        <v>17</v>
      </c>
      <c r="G10" s="265" t="s">
        <v>63</v>
      </c>
      <c r="H10" s="266" t="s">
        <v>63</v>
      </c>
      <c r="I10" s="426">
        <f>vlookup(A10,'CA Data'!$A$212:$B$271,2,FALSE)</f>
        <v>11</v>
      </c>
      <c r="J10" s="268" t="s">
        <v>63</v>
      </c>
      <c r="K10" s="430">
        <v>0.6470588235294118</v>
      </c>
      <c r="L10" s="428">
        <f>vlookup(A10,'CA Data'!$A$271:$D$338,4,FALSE)</f>
        <v>0</v>
      </c>
      <c r="M10" s="267" t="s">
        <v>63</v>
      </c>
      <c r="N10" s="265" t="s">
        <v>63</v>
      </c>
      <c r="O10" s="265" t="s">
        <v>63</v>
      </c>
      <c r="P10" s="272">
        <f>ifna(vlookup(A10,'Population &amp; Church Numbers'!$A$189:$D$246,4,FALSE),"NULL")</f>
        <v>23</v>
      </c>
      <c r="Q10" s="334" t="s">
        <v>63</v>
      </c>
    </row>
    <row r="11">
      <c r="A11" s="326" t="s">
        <v>329</v>
      </c>
      <c r="B11" s="251">
        <f t="array" ref="B11">VLOOKUP($A11,CA_DEMO,2,FALSE)</f>
        <v>191185</v>
      </c>
      <c r="C11" s="327">
        <f>vlookup(A11,'CA Data'!$A$3:$B$62,2,FALSE)</f>
        <v>99</v>
      </c>
      <c r="D11" s="253" t="s">
        <v>63</v>
      </c>
      <c r="E11" s="253">
        <f>vlookup(A11,'CA Data'!$A$3:$D$62,3,FALSE)</f>
        <v>32</v>
      </c>
      <c r="F11" s="253">
        <f>vlookup(A11,'CA Data'!$A$3:$D$62,4,FALSE)</f>
        <v>39</v>
      </c>
      <c r="G11" s="253" t="s">
        <v>63</v>
      </c>
      <c r="H11" s="254" t="s">
        <v>63</v>
      </c>
      <c r="I11" s="423" t="str">
        <f>vlookup(A11,'CA Data'!$A$212:$B$271,2,FALSE)</f>
        <v>*</v>
      </c>
      <c r="J11" s="256" t="s">
        <v>63</v>
      </c>
      <c r="K11" s="424">
        <v>0.3924050632911392</v>
      </c>
      <c r="L11" s="425">
        <f>vlookup(A11,'CA Data'!$A$271:$D$338,4,FALSE)</f>
        <v>85</v>
      </c>
      <c r="M11" s="255" t="s">
        <v>63</v>
      </c>
      <c r="N11" s="253" t="s">
        <v>63</v>
      </c>
      <c r="O11" s="253" t="s">
        <v>63</v>
      </c>
      <c r="P11" s="261">
        <f>ifna(vlookup(A11,'Population &amp; Church Numbers'!$A$189:$D$246,4,FALSE),"NULL")</f>
        <v>69</v>
      </c>
      <c r="Q11" s="329" t="s">
        <v>63</v>
      </c>
    </row>
    <row r="12">
      <c r="A12" s="188" t="s">
        <v>331</v>
      </c>
      <c r="B12" s="189">
        <f t="array" ref="B12">VLOOKUP($A12,CA_DEMO,2,FALSE)</f>
        <v>1008654</v>
      </c>
      <c r="C12" s="335">
        <f>vlookup(A12,'CA Data'!$A$3:$B$62,2,FALSE)</f>
        <v>2093</v>
      </c>
      <c r="D12" s="265" t="s">
        <v>63</v>
      </c>
      <c r="E12" s="265">
        <f>vlookup(A12,'CA Data'!$A$3:$D$62,3,FALSE)</f>
        <v>979</v>
      </c>
      <c r="F12" s="265">
        <f>vlookup(A12,'CA Data'!$A$3:$D$62,4,FALSE)</f>
        <v>541</v>
      </c>
      <c r="G12" s="265" t="s">
        <v>63</v>
      </c>
      <c r="H12" s="266" t="s">
        <v>63</v>
      </c>
      <c r="I12" s="426">
        <f>vlookup(A12,'CA Data'!$A$212:$B$271,2,FALSE)</f>
        <v>258</v>
      </c>
      <c r="J12" s="268" t="s">
        <v>63</v>
      </c>
      <c r="K12" s="430">
        <v>0.5034722222222222</v>
      </c>
      <c r="L12" s="428">
        <f>vlookup(A12,'CA Data'!$A$271:$D$338,4,FALSE)</f>
        <v>207</v>
      </c>
      <c r="M12" s="267" t="s">
        <v>63</v>
      </c>
      <c r="N12" s="265" t="s">
        <v>63</v>
      </c>
      <c r="O12" s="265" t="s">
        <v>63</v>
      </c>
      <c r="P12" s="272">
        <f>ifna(vlookup(A12,'Population &amp; Church Numbers'!$A$189:$D$246,4,FALSE),"NULL")</f>
        <v>423</v>
      </c>
      <c r="Q12" s="334" t="s">
        <v>63</v>
      </c>
    </row>
    <row r="13">
      <c r="A13" s="326" t="s">
        <v>332</v>
      </c>
      <c r="B13" s="251">
        <f t="array" ref="B13">VLOOKUP($A13,CA_DEMO,2,FALSE)</f>
        <v>28917</v>
      </c>
      <c r="C13" s="327">
        <f>vlookup(A13,'CA Data'!$A$3:$B$62,2,FALSE)</f>
        <v>46</v>
      </c>
      <c r="D13" s="253" t="s">
        <v>63</v>
      </c>
      <c r="E13" s="253" t="str">
        <f>vlookup(A13,'CA Data'!$A$3:$D$62,3,FALSE)</f>
        <v>NULL</v>
      </c>
      <c r="F13" s="253">
        <f>vlookup(A13,'CA Data'!$A$3:$D$62,4,FALSE)</f>
        <v>14</v>
      </c>
      <c r="G13" s="253" t="s">
        <v>63</v>
      </c>
      <c r="H13" s="254" t="s">
        <v>63</v>
      </c>
      <c r="I13" s="423" t="str">
        <f>vlookup(A13,'CA Data'!$A$212:$B$271,2,FALSE)</f>
        <v>*</v>
      </c>
      <c r="J13" s="256" t="s">
        <v>63</v>
      </c>
      <c r="K13" s="429" t="s">
        <v>321</v>
      </c>
      <c r="L13" s="425">
        <f>vlookup(A13,'CA Data'!$A$271:$D$338,4,FALSE)</f>
        <v>30</v>
      </c>
      <c r="M13" s="255" t="s">
        <v>63</v>
      </c>
      <c r="N13" s="253" t="s">
        <v>63</v>
      </c>
      <c r="O13" s="253" t="s">
        <v>63</v>
      </c>
      <c r="P13" s="261">
        <f>ifna(vlookup(A13,'Population &amp; Church Numbers'!$A$189:$D$246,4,FALSE),"NULL")</f>
        <v>27</v>
      </c>
      <c r="Q13" s="329" t="s">
        <v>63</v>
      </c>
    </row>
    <row r="14">
      <c r="A14" s="188" t="s">
        <v>333</v>
      </c>
      <c r="B14" s="189">
        <f t="array" ref="B14">VLOOKUP($A14,CA_DEMO,2,FALSE)</f>
        <v>136463</v>
      </c>
      <c r="C14" s="333">
        <f>vlookup(A14,'CA Data'!$A$3:$B$62,2,FALSE)</f>
        <v>281</v>
      </c>
      <c r="D14" s="265" t="s">
        <v>63</v>
      </c>
      <c r="E14" s="265">
        <f>vlookup(A14,'CA Data'!$A$3:$D$62,3,FALSE)</f>
        <v>78</v>
      </c>
      <c r="F14" s="265">
        <f>vlookup(A14,'CA Data'!$A$3:$D$62,4,FALSE)</f>
        <v>93</v>
      </c>
      <c r="G14" s="265" t="s">
        <v>63</v>
      </c>
      <c r="H14" s="266" t="s">
        <v>63</v>
      </c>
      <c r="I14" s="426">
        <f>vlookup(A14,'CA Data'!$A$212:$B$271,2,FALSE)</f>
        <v>18</v>
      </c>
      <c r="J14" s="268" t="s">
        <v>63</v>
      </c>
      <c r="K14" s="430">
        <v>0.3333333333333333</v>
      </c>
      <c r="L14" s="428">
        <f>vlookup(A14,'CA Data'!$A$271:$D$338,4,FALSE)</f>
        <v>135</v>
      </c>
      <c r="M14" s="267" t="s">
        <v>63</v>
      </c>
      <c r="N14" s="265" t="s">
        <v>63</v>
      </c>
      <c r="O14" s="265" t="s">
        <v>63</v>
      </c>
      <c r="P14" s="272">
        <f>ifna(vlookup(A14,'Population &amp; Church Numbers'!$A$189:$D$246,4,FALSE),"NULL")</f>
        <v>100</v>
      </c>
      <c r="Q14" s="334" t="s">
        <v>63</v>
      </c>
    </row>
    <row r="15">
      <c r="A15" s="326" t="s">
        <v>334</v>
      </c>
      <c r="B15" s="251">
        <f t="array" ref="B15">VLOOKUP($A15,CA_DEMO,2,FALSE)</f>
        <v>179702</v>
      </c>
      <c r="C15" s="327">
        <f>vlookup(A15,'CA Data'!$A$3:$B$62,2,FALSE)</f>
        <v>270</v>
      </c>
      <c r="D15" s="253" t="s">
        <v>63</v>
      </c>
      <c r="E15" s="253">
        <f>vlookup(A15,'CA Data'!$A$3:$D$62,3,FALSE)</f>
        <v>102</v>
      </c>
      <c r="F15" s="253">
        <f>vlookup(A15,'CA Data'!$A$3:$D$62,4,FALSE)</f>
        <v>102</v>
      </c>
      <c r="G15" s="253" t="s">
        <v>63</v>
      </c>
      <c r="H15" s="254" t="s">
        <v>63</v>
      </c>
      <c r="I15" s="423">
        <f>vlookup(A15,'CA Data'!$A$212:$B$271,2,FALSE)</f>
        <v>56</v>
      </c>
      <c r="J15" s="256" t="s">
        <v>63</v>
      </c>
      <c r="K15" s="424">
        <v>0.5317919075144508</v>
      </c>
      <c r="L15" s="425">
        <f>vlookup(A15,'CA Data'!$A$271:$D$338,4,FALSE)</f>
        <v>57</v>
      </c>
      <c r="M15" s="255" t="s">
        <v>63</v>
      </c>
      <c r="N15" s="253" t="s">
        <v>63</v>
      </c>
      <c r="O15" s="253" t="s">
        <v>63</v>
      </c>
      <c r="P15" s="261">
        <f>ifna(vlookup(A15,'Population &amp; Church Numbers'!$A$189:$D$246,4,FALSE),"NULL")</f>
        <v>72</v>
      </c>
      <c r="Q15" s="329" t="s">
        <v>63</v>
      </c>
    </row>
    <row r="16">
      <c r="A16" s="188" t="s">
        <v>335</v>
      </c>
      <c r="B16" s="189">
        <f t="array" ref="B16">VLOOKUP($A16,CA_DEMO,2,FALSE)</f>
        <v>19016</v>
      </c>
      <c r="C16" s="333">
        <f>vlookup(A16,'CA Data'!$A$3:$B$62,2,FALSE)</f>
        <v>33</v>
      </c>
      <c r="D16" s="265" t="s">
        <v>63</v>
      </c>
      <c r="E16" s="265">
        <f>vlookup(A16,'CA Data'!$A$3:$D$62,3,FALSE)</f>
        <v>12</v>
      </c>
      <c r="F16" s="265">
        <f>vlookup(A16,'CA Data'!$A$3:$D$62,4,FALSE)</f>
        <v>15</v>
      </c>
      <c r="G16" s="265" t="s">
        <v>63</v>
      </c>
      <c r="H16" s="266" t="s">
        <v>63</v>
      </c>
      <c r="I16" s="426">
        <f>vlookup(A16,'CA Data'!$A$212:$B$271,2,FALSE)</f>
        <v>0</v>
      </c>
      <c r="J16" s="268" t="s">
        <v>63</v>
      </c>
      <c r="K16" s="427" t="s">
        <v>321</v>
      </c>
      <c r="L16" s="428">
        <f>vlookup(A16,'CA Data'!$A$271:$D$338,4,FALSE)</f>
        <v>0</v>
      </c>
      <c r="M16" s="267" t="s">
        <v>63</v>
      </c>
      <c r="N16" s="265" t="s">
        <v>63</v>
      </c>
      <c r="O16" s="265" t="s">
        <v>63</v>
      </c>
      <c r="P16" s="272">
        <f>ifna(vlookup(A16,'Population &amp; Church Numbers'!$A$189:$D$246,4,FALSE),"NULL")</f>
        <v>24</v>
      </c>
      <c r="Q16" s="334" t="s">
        <v>63</v>
      </c>
    </row>
    <row r="17">
      <c r="A17" s="326" t="s">
        <v>336</v>
      </c>
      <c r="B17" s="251">
        <f t="array" ref="B17">VLOOKUP($A17,CA_DEMO,2,FALSE)</f>
        <v>909235</v>
      </c>
      <c r="C17" s="336">
        <f>vlookup(A17,'CA Data'!$A$3:$B$62,2,FALSE)</f>
        <v>1728</v>
      </c>
      <c r="D17" s="253" t="s">
        <v>63</v>
      </c>
      <c r="E17" s="253">
        <f>vlookup(A17,'CA Data'!$A$3:$D$62,3,FALSE)</f>
        <v>881</v>
      </c>
      <c r="F17" s="253">
        <f>vlookup(A17,'CA Data'!$A$3:$D$62,4,FALSE)</f>
        <v>512</v>
      </c>
      <c r="G17" s="253" t="s">
        <v>63</v>
      </c>
      <c r="H17" s="254" t="s">
        <v>63</v>
      </c>
      <c r="I17" s="423">
        <f>vlookup(A17,'CA Data'!$A$212:$B$271,2,FALSE)</f>
        <v>150</v>
      </c>
      <c r="J17" s="256" t="s">
        <v>63</v>
      </c>
      <c r="K17" s="424">
        <v>0.4900105152471083</v>
      </c>
      <c r="L17" s="425">
        <f>vlookup(A17,'CA Data'!$A$271:$D$338,4,FALSE)</f>
        <v>307</v>
      </c>
      <c r="M17" s="255" t="s">
        <v>63</v>
      </c>
      <c r="N17" s="253" t="s">
        <v>63</v>
      </c>
      <c r="O17" s="253" t="s">
        <v>63</v>
      </c>
      <c r="P17" s="261">
        <f>ifna(vlookup(A17,'Population &amp; Church Numbers'!$A$189:$D$246,4,FALSE),"NULL")</f>
        <v>381</v>
      </c>
      <c r="Q17" s="329" t="s">
        <v>63</v>
      </c>
    </row>
    <row r="18">
      <c r="A18" s="188" t="s">
        <v>249</v>
      </c>
      <c r="B18" s="189">
        <f t="array" ref="B18">VLOOKUP($A18,CA_DEMO,2,FALSE)</f>
        <v>152486</v>
      </c>
      <c r="C18" s="333">
        <f>vlookup(A18,'CA Data'!$A$3:$B$62,2,FALSE)</f>
        <v>298</v>
      </c>
      <c r="D18" s="265" t="s">
        <v>63</v>
      </c>
      <c r="E18" s="265">
        <f>vlookup(A18,'CA Data'!$A$3:$D$62,3,FALSE)</f>
        <v>121</v>
      </c>
      <c r="F18" s="265">
        <f>vlookup(A18,'CA Data'!$A$3:$D$62,4,FALSE)</f>
        <v>124</v>
      </c>
      <c r="G18" s="265" t="s">
        <v>63</v>
      </c>
      <c r="H18" s="266" t="s">
        <v>63</v>
      </c>
      <c r="I18" s="426">
        <f>vlookup(A18,'CA Data'!$A$212:$B$271,2,FALSE)</f>
        <v>12</v>
      </c>
      <c r="J18" s="268" t="s">
        <v>63</v>
      </c>
      <c r="K18" s="430">
        <v>0.4174757281553398</v>
      </c>
      <c r="L18" s="428">
        <f>vlookup(A18,'CA Data'!$A$271:$D$338,4,FALSE)</f>
        <v>74</v>
      </c>
      <c r="M18" s="267" t="s">
        <v>63</v>
      </c>
      <c r="N18" s="265" t="s">
        <v>63</v>
      </c>
      <c r="O18" s="265" t="s">
        <v>63</v>
      </c>
      <c r="P18" s="272">
        <f>ifna(vlookup(A18,'Population &amp; Church Numbers'!$A$189:$D$246,4,FALSE),"NULL")</f>
        <v>60</v>
      </c>
      <c r="Q18" s="334" t="s">
        <v>63</v>
      </c>
    </row>
    <row r="19">
      <c r="A19" s="326" t="s">
        <v>337</v>
      </c>
      <c r="B19" s="251">
        <f t="array" ref="B19">VLOOKUP($A19,CA_DEMO,2,FALSE)</f>
        <v>68163</v>
      </c>
      <c r="C19" s="327">
        <f>vlookup(A19,'CA Data'!$A$3:$B$62,2,FALSE)</f>
        <v>69</v>
      </c>
      <c r="D19" s="253" t="s">
        <v>63</v>
      </c>
      <c r="E19" s="253">
        <f>vlookup(A19,'CA Data'!$A$3:$D$62,3,FALSE)</f>
        <v>17</v>
      </c>
      <c r="F19" s="253">
        <f>vlookup(A19,'CA Data'!$A$3:$D$62,4,FALSE)</f>
        <v>23</v>
      </c>
      <c r="G19" s="253" t="s">
        <v>63</v>
      </c>
      <c r="H19" s="254" t="s">
        <v>63</v>
      </c>
      <c r="I19" s="423" t="str">
        <f>vlookup(A19,'CA Data'!$A$212:$B$271,2,FALSE)</f>
        <v>*</v>
      </c>
      <c r="J19" s="256" t="s">
        <v>63</v>
      </c>
      <c r="K19" s="429" t="s">
        <v>321</v>
      </c>
      <c r="L19" s="425">
        <f>vlookup(A19,'CA Data'!$A$271:$D$338,4,FALSE)</f>
        <v>0</v>
      </c>
      <c r="M19" s="255" t="s">
        <v>63</v>
      </c>
      <c r="N19" s="253" t="s">
        <v>63</v>
      </c>
      <c r="O19" s="253" t="s">
        <v>63</v>
      </c>
      <c r="P19" s="261">
        <f>ifna(vlookup(A19,'Population &amp; Church Numbers'!$A$189:$D$246,4,FALSE),"NULL")</f>
        <v>43</v>
      </c>
      <c r="Q19" s="329" t="s">
        <v>63</v>
      </c>
    </row>
    <row r="20">
      <c r="A20" s="188" t="s">
        <v>338</v>
      </c>
      <c r="B20" s="189">
        <f t="array" ref="B20">VLOOKUP($A20,CA_DEMO,2,FALSE)</f>
        <v>32730</v>
      </c>
      <c r="C20" s="333">
        <f>vlookup(A20,'CA Data'!$A$3:$B$62,2,FALSE)</f>
        <v>52</v>
      </c>
      <c r="D20" s="265" t="s">
        <v>63</v>
      </c>
      <c r="E20" s="265">
        <f>vlookup(A20,'CA Data'!$A$3:$D$62,3,FALSE)</f>
        <v>35</v>
      </c>
      <c r="F20" s="265" t="str">
        <f>vlookup(A20,'CA Data'!$A$3:$D$62,4,FALSE)</f>
        <v>NULL</v>
      </c>
      <c r="G20" s="265" t="s">
        <v>63</v>
      </c>
      <c r="H20" s="266" t="s">
        <v>63</v>
      </c>
      <c r="I20" s="426" t="str">
        <f>vlookup(A20,'CA Data'!$A$212:$B$271,2,FALSE)</f>
        <v>*</v>
      </c>
      <c r="J20" s="268" t="s">
        <v>63</v>
      </c>
      <c r="K20" s="430">
        <v>0.6296296296296297</v>
      </c>
      <c r="L20" s="428">
        <f>vlookup(A20,'CA Data'!$A$271:$D$338,4,FALSE)</f>
        <v>0</v>
      </c>
      <c r="M20" s="267" t="s">
        <v>63</v>
      </c>
      <c r="N20" s="265" t="s">
        <v>63</v>
      </c>
      <c r="O20" s="265" t="s">
        <v>63</v>
      </c>
      <c r="P20" s="272">
        <f>ifna(vlookup(A20,'Population &amp; Church Numbers'!$A$189:$D$246,4,FALSE),"NULL")</f>
        <v>29</v>
      </c>
      <c r="Q20" s="334" t="s">
        <v>63</v>
      </c>
    </row>
    <row r="21">
      <c r="A21" s="326" t="s">
        <v>183</v>
      </c>
      <c r="B21" s="251">
        <f t="array" ref="B21">VLOOKUP($A21,CA_DEMO,2,FALSE)</f>
        <v>10014009</v>
      </c>
      <c r="C21" s="336">
        <f>vlookup(A21,'CA Data'!$A$3:$B$62,2,FALSE)</f>
        <v>15018</v>
      </c>
      <c r="D21" s="253" t="s">
        <v>63</v>
      </c>
      <c r="E21" s="382">
        <f>vlookup(A21,'CA Data'!$A$3:$D$62,3,FALSE)</f>
        <v>6150</v>
      </c>
      <c r="F21" s="382">
        <f>vlookup(A21,'CA Data'!$A$3:$D$62,4,FALSE)</f>
        <v>6029</v>
      </c>
      <c r="G21" s="253" t="s">
        <v>63</v>
      </c>
      <c r="H21" s="254" t="s">
        <v>63</v>
      </c>
      <c r="I21" s="423">
        <f>vlookup(A21,'CA Data'!$A$212:$B$271,2,FALSE)</f>
        <v>3563</v>
      </c>
      <c r="J21" s="256" t="s">
        <v>63</v>
      </c>
      <c r="K21" s="424">
        <v>0.4816819317235637</v>
      </c>
      <c r="L21" s="431">
        <f>vlookup(A21,'CA Data'!$A$271:$D$338,4,FALSE)</f>
        <v>6395</v>
      </c>
      <c r="M21" s="255" t="s">
        <v>63</v>
      </c>
      <c r="N21" s="253" t="s">
        <v>63</v>
      </c>
      <c r="O21" s="253" t="s">
        <v>63</v>
      </c>
      <c r="P21" s="261">
        <f>ifna(vlookup(A21,'Population &amp; Church Numbers'!$A$189:$D$246,4,FALSE),"NULL")</f>
        <v>3447</v>
      </c>
      <c r="Q21" s="329" t="s">
        <v>63</v>
      </c>
    </row>
    <row r="22">
      <c r="A22" s="188" t="s">
        <v>340</v>
      </c>
      <c r="B22" s="189">
        <f t="array" ref="B22">VLOOKUP($A22,CA_DEMO,2,FALSE)</f>
        <v>156255</v>
      </c>
      <c r="C22" s="333">
        <f>vlookup(A22,'CA Data'!$A$3:$B$62,2,FALSE)</f>
        <v>210</v>
      </c>
      <c r="D22" s="265" t="s">
        <v>63</v>
      </c>
      <c r="E22" s="265">
        <f>vlookup(A22,'CA Data'!$A$3:$D$62,3,FALSE)</f>
        <v>95</v>
      </c>
      <c r="F22" s="265">
        <f>vlookup(A22,'CA Data'!$A$3:$D$62,4,FALSE)</f>
        <v>57</v>
      </c>
      <c r="G22" s="265" t="s">
        <v>63</v>
      </c>
      <c r="H22" s="266" t="s">
        <v>63</v>
      </c>
      <c r="I22" s="426" t="str">
        <f>vlookup(A22,'CA Data'!$A$212:$B$271,2,FALSE)</f>
        <v>*</v>
      </c>
      <c r="J22" s="268" t="s">
        <v>63</v>
      </c>
      <c r="K22" s="430">
        <v>0.5081967213114754</v>
      </c>
      <c r="L22" s="428">
        <f>vlookup(A22,'CA Data'!$A$271:$D$338,4,FALSE)</f>
        <v>93</v>
      </c>
      <c r="M22" s="267" t="s">
        <v>63</v>
      </c>
      <c r="N22" s="265" t="s">
        <v>63</v>
      </c>
      <c r="O22" s="265" t="s">
        <v>63</v>
      </c>
      <c r="P22" s="272">
        <f>ifna(vlookup(A22,'Population &amp; Church Numbers'!$A$189:$D$246,4,FALSE),"NULL")</f>
        <v>67</v>
      </c>
      <c r="Q22" s="334" t="s">
        <v>63</v>
      </c>
    </row>
    <row r="23">
      <c r="A23" s="326" t="s">
        <v>341</v>
      </c>
      <c r="B23" s="251">
        <f t="array" ref="B23">VLOOKUP($A23,CA_DEMO,2,FALSE)</f>
        <v>262321</v>
      </c>
      <c r="C23" s="327">
        <f>vlookup(A23,'CA Data'!$A$3:$B$62,2,FALSE)</f>
        <v>69</v>
      </c>
      <c r="D23" s="253" t="s">
        <v>63</v>
      </c>
      <c r="E23" s="253" t="str">
        <f>vlookup(A23,'CA Data'!$A$3:$D$62,3,FALSE)</f>
        <v>NULL</v>
      </c>
      <c r="F23" s="253">
        <f>vlookup(A23,'CA Data'!$A$3:$D$62,4,FALSE)</f>
        <v>26</v>
      </c>
      <c r="G23" s="253" t="s">
        <v>63</v>
      </c>
      <c r="H23" s="254" t="s">
        <v>63</v>
      </c>
      <c r="I23" s="423" t="str">
        <f>vlookup(A23,'CA Data'!$A$212:$B$271,2,FALSE)</f>
        <v>*</v>
      </c>
      <c r="J23" s="256" t="s">
        <v>63</v>
      </c>
      <c r="K23" s="424">
        <v>0.36585365853658536</v>
      </c>
      <c r="L23" s="425">
        <f>vlookup(A23,'CA Data'!$A$271:$D$338,4,FALSE)</f>
        <v>31</v>
      </c>
      <c r="M23" s="255" t="s">
        <v>63</v>
      </c>
      <c r="N23" s="253" t="s">
        <v>63</v>
      </c>
      <c r="O23" s="253" t="s">
        <v>63</v>
      </c>
      <c r="P23" s="261">
        <f>ifna(vlookup(A23,'Population &amp; Church Numbers'!$A$189:$D$246,4,FALSE),"NULL")</f>
        <v>92</v>
      </c>
      <c r="Q23" s="329" t="s">
        <v>63</v>
      </c>
    </row>
    <row r="24">
      <c r="A24" s="188" t="s">
        <v>342</v>
      </c>
      <c r="B24" s="189">
        <f t="array" ref="B24">VLOOKUP($A24,CA_DEMO,2,FALSE)</f>
        <v>17131</v>
      </c>
      <c r="C24" s="333">
        <f>vlookup(A24,'CA Data'!$A$3:$B$62,2,FALSE)</f>
        <v>35</v>
      </c>
      <c r="D24" s="265" t="s">
        <v>63</v>
      </c>
      <c r="E24" s="265">
        <f>vlookup(A24,'CA Data'!$A$3:$D$62,3,FALSE)</f>
        <v>14</v>
      </c>
      <c r="F24" s="265" t="str">
        <f>vlookup(A24,'CA Data'!$A$3:$D$62,4,FALSE)</f>
        <v>NULL</v>
      </c>
      <c r="G24" s="265" t="s">
        <v>63</v>
      </c>
      <c r="H24" s="266" t="s">
        <v>63</v>
      </c>
      <c r="I24" s="426">
        <f>vlookup(A24,'CA Data'!$A$212:$B$271,2,FALSE)</f>
        <v>0</v>
      </c>
      <c r="J24" s="268" t="s">
        <v>63</v>
      </c>
      <c r="K24" s="427" t="s">
        <v>321</v>
      </c>
      <c r="L24" s="428">
        <f>vlookup(A24,'CA Data'!$A$271:$D$338,4,FALSE)</f>
        <v>0</v>
      </c>
      <c r="M24" s="267" t="s">
        <v>63</v>
      </c>
      <c r="N24" s="265" t="s">
        <v>63</v>
      </c>
      <c r="O24" s="265" t="s">
        <v>63</v>
      </c>
      <c r="P24" s="272">
        <f>ifna(vlookup(A24,'Population &amp; Church Numbers'!$A$189:$D$246,4,FALSE),"NULL")</f>
        <v>20</v>
      </c>
      <c r="Q24" s="334" t="s">
        <v>63</v>
      </c>
    </row>
    <row r="25">
      <c r="A25" s="326" t="s">
        <v>343</v>
      </c>
      <c r="B25" s="251">
        <f t="array" ref="B25">VLOOKUP($A25,CA_DEMO,2,FALSE)</f>
        <v>91601</v>
      </c>
      <c r="C25" s="327">
        <f>vlookup(A25,'CA Data'!$A$3:$B$62,2,FALSE)</f>
        <v>205</v>
      </c>
      <c r="D25" s="253" t="s">
        <v>63</v>
      </c>
      <c r="E25" s="253">
        <f>vlookup(A25,'CA Data'!$A$3:$D$62,3,FALSE)</f>
        <v>94</v>
      </c>
      <c r="F25" s="253">
        <f>vlookup(A25,'CA Data'!$A$3:$D$62,4,FALSE)</f>
        <v>36</v>
      </c>
      <c r="G25" s="253" t="s">
        <v>63</v>
      </c>
      <c r="H25" s="254" t="s">
        <v>63</v>
      </c>
      <c r="I25" s="423" t="str">
        <f>vlookup(A25,'CA Data'!$A$212:$B$271,2,FALSE)</f>
        <v>*</v>
      </c>
      <c r="J25" s="256" t="s">
        <v>63</v>
      </c>
      <c r="K25" s="424">
        <v>0.5472972972972973</v>
      </c>
      <c r="L25" s="425">
        <f>vlookup(A25,'CA Data'!$A$271:$D$338,4,FALSE)</f>
        <v>60</v>
      </c>
      <c r="M25" s="255" t="s">
        <v>63</v>
      </c>
      <c r="N25" s="253" t="s">
        <v>63</v>
      </c>
      <c r="O25" s="253" t="s">
        <v>63</v>
      </c>
      <c r="P25" s="261">
        <f>ifna(vlookup(A25,'Population &amp; Church Numbers'!$A$189:$D$246,4,FALSE),"NULL")</f>
        <v>53</v>
      </c>
      <c r="Q25" s="329" t="s">
        <v>63</v>
      </c>
    </row>
    <row r="26">
      <c r="A26" s="188" t="s">
        <v>344</v>
      </c>
      <c r="B26" s="189">
        <f t="array" ref="B26">VLOOKUP($A26,CA_DEMO,2,FALSE)</f>
        <v>281202</v>
      </c>
      <c r="C26" s="333">
        <f>vlookup(A26,'CA Data'!$A$3:$B$62,2,FALSE)</f>
        <v>615</v>
      </c>
      <c r="D26" s="265" t="s">
        <v>63</v>
      </c>
      <c r="E26" s="265">
        <f>vlookup(A26,'CA Data'!$A$3:$D$62,3,FALSE)</f>
        <v>285</v>
      </c>
      <c r="F26" s="265">
        <f>vlookup(A26,'CA Data'!$A$3:$D$62,4,FALSE)</f>
        <v>224</v>
      </c>
      <c r="G26" s="265" t="s">
        <v>63</v>
      </c>
      <c r="H26" s="266" t="s">
        <v>63</v>
      </c>
      <c r="I26" s="426">
        <f>vlookup(A26,'CA Data'!$A$212:$B$271,2,FALSE)</f>
        <v>81</v>
      </c>
      <c r="J26" s="268" t="s">
        <v>63</v>
      </c>
      <c r="K26" s="430">
        <v>0.5874439461883408</v>
      </c>
      <c r="L26" s="428">
        <f>vlookup(A26,'CA Data'!$A$271:$D$338,4,FALSE)</f>
        <v>76</v>
      </c>
      <c r="M26" s="267" t="s">
        <v>63</v>
      </c>
      <c r="N26" s="265" t="s">
        <v>63</v>
      </c>
      <c r="O26" s="265" t="s">
        <v>63</v>
      </c>
      <c r="P26" s="272">
        <f>ifna(vlookup(A26,'Population &amp; Church Numbers'!$A$189:$D$246,4,FALSE),"NULL")</f>
        <v>111</v>
      </c>
      <c r="Q26" s="334" t="s">
        <v>63</v>
      </c>
    </row>
    <row r="27">
      <c r="A27" s="326" t="s">
        <v>345</v>
      </c>
      <c r="B27" s="251">
        <f t="array" ref="B27">VLOOKUP($A27,CA_DEMO,2,FALSE)</f>
        <v>8700</v>
      </c>
      <c r="C27" s="327">
        <f>vlookup(A27,'CA Data'!$A$3:$B$62,2,FALSE)</f>
        <v>18</v>
      </c>
      <c r="D27" s="253" t="s">
        <v>63</v>
      </c>
      <c r="E27" s="253" t="str">
        <f>vlookup(A27,'CA Data'!$A$3:$D$62,3,FALSE)</f>
        <v>NULL</v>
      </c>
      <c r="F27" s="253" t="str">
        <f>vlookup(A27,'CA Data'!$A$3:$D$62,4,FALSE)</f>
        <v>NULL</v>
      </c>
      <c r="G27" s="253" t="s">
        <v>63</v>
      </c>
      <c r="H27" s="254" t="s">
        <v>63</v>
      </c>
      <c r="I27" s="423" t="str">
        <f>vlookup(A27,'CA Data'!$A$212:$B$271,2,FALSE)</f>
        <v>*</v>
      </c>
      <c r="J27" s="256" t="s">
        <v>63</v>
      </c>
      <c r="K27" s="424">
        <v>0.9</v>
      </c>
      <c r="L27" s="425">
        <f>vlookup(A27,'CA Data'!$A$271:$D$338,4,FALSE)</f>
        <v>12</v>
      </c>
      <c r="M27" s="255" t="s">
        <v>63</v>
      </c>
      <c r="N27" s="253" t="s">
        <v>63</v>
      </c>
      <c r="O27" s="253" t="s">
        <v>63</v>
      </c>
      <c r="P27" s="261">
        <f>ifna(vlookup(A27,'Population &amp; Church Numbers'!$A$189:$D$246,4,FALSE),"NULL")</f>
        <v>12</v>
      </c>
      <c r="Q27" s="329" t="s">
        <v>63</v>
      </c>
    </row>
    <row r="28">
      <c r="A28" s="188" t="s">
        <v>346</v>
      </c>
      <c r="B28" s="189">
        <f t="array" ref="B28">VLOOKUP($A28,CA_DEMO,2,FALSE)</f>
        <v>13195</v>
      </c>
      <c r="C28" s="333" t="str">
        <f>vlookup(A28,'CA Data'!$A$3:$B$62,2,FALSE)</f>
        <v>M</v>
      </c>
      <c r="D28" s="265" t="s">
        <v>63</v>
      </c>
      <c r="E28" s="265" t="str">
        <f>vlookup(A28,'CA Data'!$A$3:$D$62,3,FALSE)</f>
        <v>NULL</v>
      </c>
      <c r="F28" s="265" t="str">
        <f>vlookup(A28,'CA Data'!$A$3:$D$62,4,FALSE)</f>
        <v>NULL</v>
      </c>
      <c r="G28" s="265" t="s">
        <v>63</v>
      </c>
      <c r="H28" s="266" t="s">
        <v>63</v>
      </c>
      <c r="I28" s="426">
        <f>vlookup(A28,'CA Data'!$A$212:$B$271,2,FALSE)</f>
        <v>0</v>
      </c>
      <c r="J28" s="268" t="s">
        <v>63</v>
      </c>
      <c r="K28" s="427" t="s">
        <v>321</v>
      </c>
      <c r="L28" s="428">
        <f>vlookup(A28,'CA Data'!$A$271:$D$338,4,FALSE)</f>
        <v>0</v>
      </c>
      <c r="M28" s="267" t="s">
        <v>63</v>
      </c>
      <c r="N28" s="265" t="s">
        <v>63</v>
      </c>
      <c r="O28" s="265" t="s">
        <v>63</v>
      </c>
      <c r="P28" s="272">
        <f>ifna(vlookup(A28,'Population &amp; Church Numbers'!$A$189:$D$246,4,FALSE),"NULL")</f>
        <v>12</v>
      </c>
      <c r="Q28" s="334" t="s">
        <v>63</v>
      </c>
    </row>
    <row r="29">
      <c r="A29" s="326" t="s">
        <v>348</v>
      </c>
      <c r="B29" s="251">
        <f t="array" ref="B29">VLOOKUP($A29,CA_DEMO,2,FALSE)</f>
        <v>439035</v>
      </c>
      <c r="C29" s="327">
        <f>vlookup(A29,'CA Data'!$A$3:$B$62,2,FALSE)</f>
        <v>161</v>
      </c>
      <c r="D29" s="253" t="s">
        <v>63</v>
      </c>
      <c r="E29" s="253">
        <f>vlookup(A29,'CA Data'!$A$3:$D$62,3,FALSE)</f>
        <v>84</v>
      </c>
      <c r="F29" s="253">
        <f>vlookup(A29,'CA Data'!$A$3:$D$62,4,FALSE)</f>
        <v>32</v>
      </c>
      <c r="G29" s="253" t="s">
        <v>63</v>
      </c>
      <c r="H29" s="254" t="s">
        <v>63</v>
      </c>
      <c r="I29" s="423" t="str">
        <f>vlookup(A29,'CA Data'!$A$212:$B$271,2,FALSE)</f>
        <v>*</v>
      </c>
      <c r="J29" s="256" t="s">
        <v>63</v>
      </c>
      <c r="K29" s="424">
        <v>0.33766233766233766</v>
      </c>
      <c r="L29" s="425">
        <f>vlookup(A29,'CA Data'!$A$271:$D$338,4,FALSE)</f>
        <v>57</v>
      </c>
      <c r="M29" s="255" t="s">
        <v>63</v>
      </c>
      <c r="N29" s="253" t="s">
        <v>63</v>
      </c>
      <c r="O29" s="253" t="s">
        <v>63</v>
      </c>
      <c r="P29" s="261">
        <f>ifna(vlookup(A29,'Population &amp; Church Numbers'!$A$189:$D$246,4,FALSE),"NULL")</f>
        <v>173</v>
      </c>
      <c r="Q29" s="329" t="s">
        <v>63</v>
      </c>
    </row>
    <row r="30">
      <c r="A30" s="188" t="s">
        <v>349</v>
      </c>
      <c r="B30" s="189">
        <f t="array" ref="B30">VLOOKUP($A30,CA_DEMO,2,FALSE)</f>
        <v>138019</v>
      </c>
      <c r="C30" s="333">
        <f>vlookup(A30,'CA Data'!$A$3:$B$62,2,FALSE)</f>
        <v>61</v>
      </c>
      <c r="D30" s="265" t="s">
        <v>63</v>
      </c>
      <c r="E30" s="265">
        <f>vlookup(A30,'CA Data'!$A$3:$D$62,3,FALSE)</f>
        <v>15</v>
      </c>
      <c r="F30" s="265">
        <f>vlookup(A30,'CA Data'!$A$3:$D$62,4,FALSE)</f>
        <v>19</v>
      </c>
      <c r="G30" s="265" t="s">
        <v>63</v>
      </c>
      <c r="H30" s="266" t="s">
        <v>63</v>
      </c>
      <c r="I30" s="426">
        <f>vlookup(A30,'CA Data'!$A$212:$B$271,2,FALSE)</f>
        <v>16</v>
      </c>
      <c r="J30" s="268" t="s">
        <v>63</v>
      </c>
      <c r="K30" s="430">
        <v>0.4827586206896552</v>
      </c>
      <c r="L30" s="428">
        <f>vlookup(A30,'CA Data'!$A$271:$D$338,4,FALSE)</f>
        <v>32</v>
      </c>
      <c r="M30" s="267" t="s">
        <v>63</v>
      </c>
      <c r="N30" s="265" t="s">
        <v>63</v>
      </c>
      <c r="O30" s="265" t="s">
        <v>63</v>
      </c>
      <c r="P30" s="272">
        <f>ifna(vlookup(A30,'Population &amp; Church Numbers'!$A$189:$D$246,4,FALSE),"NULL")</f>
        <v>50</v>
      </c>
      <c r="Q30" s="334" t="s">
        <v>63</v>
      </c>
    </row>
    <row r="31">
      <c r="A31" s="326" t="s">
        <v>82</v>
      </c>
      <c r="B31" s="251">
        <f t="array" ref="B31">VLOOKUP($A31,CA_DEMO,2,FALSE)</f>
        <v>102241</v>
      </c>
      <c r="C31" s="327">
        <f>vlookup(A31,'CA Data'!$A$3:$B$62,2,FALSE)</f>
        <v>36</v>
      </c>
      <c r="D31" s="253" t="s">
        <v>63</v>
      </c>
      <c r="E31" s="253">
        <f>vlookup(A31,'CA Data'!$A$3:$D$62,3,FALSE)</f>
        <v>11</v>
      </c>
      <c r="F31" s="253">
        <f>vlookup(A31,'CA Data'!$A$3:$D$62,4,FALSE)</f>
        <v>13</v>
      </c>
      <c r="G31" s="253" t="s">
        <v>63</v>
      </c>
      <c r="H31" s="254" t="s">
        <v>63</v>
      </c>
      <c r="I31" s="423" t="str">
        <f>vlookup(A31,'CA Data'!$A$212:$B$271,2,FALSE)</f>
        <v>*</v>
      </c>
      <c r="J31" s="256" t="s">
        <v>63</v>
      </c>
      <c r="K31" s="429" t="s">
        <v>321</v>
      </c>
      <c r="L31" s="425">
        <f>vlookup(A31,'CA Data'!$A$271:$D$338,4,FALSE)</f>
        <v>0</v>
      </c>
      <c r="M31" s="255" t="s">
        <v>63</v>
      </c>
      <c r="N31" s="253" t="s">
        <v>63</v>
      </c>
      <c r="O31" s="253" t="s">
        <v>63</v>
      </c>
      <c r="P31" s="261">
        <f>ifna(vlookup(A31,'Population &amp; Church Numbers'!$A$189:$D$246,4,FALSE),"NULL")</f>
        <v>44</v>
      </c>
      <c r="Q31" s="329" t="s">
        <v>63</v>
      </c>
    </row>
    <row r="32">
      <c r="A32" s="188" t="s">
        <v>241</v>
      </c>
      <c r="B32" s="189">
        <f t="array" ref="B32">VLOOKUP($A32,CA_DEMO,2,FALSE)</f>
        <v>3186989</v>
      </c>
      <c r="C32" s="335">
        <f>vlookup(A32,'CA Data'!$A$3:$B$62,2,FALSE)</f>
        <v>2205</v>
      </c>
      <c r="D32" s="265" t="s">
        <v>63</v>
      </c>
      <c r="E32" s="265">
        <f>vlookup(A32,'CA Data'!$A$3:$D$62,3,FALSE)</f>
        <v>543</v>
      </c>
      <c r="F32" s="391">
        <f>vlookup(A32,'CA Data'!$A$3:$D$62,4,FALSE)</f>
        <v>1107</v>
      </c>
      <c r="G32" s="265" t="s">
        <v>63</v>
      </c>
      <c r="H32" s="266" t="s">
        <v>63</v>
      </c>
      <c r="I32" s="426">
        <f>vlookup(A32,'CA Data'!$A$212:$B$271,2,FALSE)</f>
        <v>344</v>
      </c>
      <c r="J32" s="268" t="s">
        <v>63</v>
      </c>
      <c r="K32" s="430">
        <v>0.5245769540692989</v>
      </c>
      <c r="L32" s="428">
        <f>vlookup(A32,'CA Data'!$A$271:$D$338,4,FALSE)</f>
        <v>1069</v>
      </c>
      <c r="M32" s="267" t="s">
        <v>63</v>
      </c>
      <c r="N32" s="265" t="s">
        <v>63</v>
      </c>
      <c r="O32" s="265" t="s">
        <v>63</v>
      </c>
      <c r="P32" s="272">
        <f>ifna(vlookup(A32,'Population &amp; Church Numbers'!$A$189:$D$246,4,FALSE),"NULL")</f>
        <v>856</v>
      </c>
      <c r="Q32" s="334" t="s">
        <v>63</v>
      </c>
    </row>
    <row r="33">
      <c r="A33" s="326" t="s">
        <v>352</v>
      </c>
      <c r="B33" s="251">
        <f t="array" ref="B33">VLOOKUP($A33,CA_DEMO,2,FALSE)</f>
        <v>404739</v>
      </c>
      <c r="C33" s="327">
        <f>vlookup(A33,'CA Data'!$A$3:$B$62,2,FALSE)</f>
        <v>153</v>
      </c>
      <c r="D33" s="253" t="s">
        <v>63</v>
      </c>
      <c r="E33" s="253">
        <f>vlookup(A33,'CA Data'!$A$3:$D$62,3,FALSE)</f>
        <v>51</v>
      </c>
      <c r="F33" s="253">
        <f>vlookup(A33,'CA Data'!$A$3:$D$62,4,FALSE)</f>
        <v>56</v>
      </c>
      <c r="G33" s="253" t="s">
        <v>63</v>
      </c>
      <c r="H33" s="254" t="s">
        <v>63</v>
      </c>
      <c r="I33" s="423" t="str">
        <f>vlookup(A33,'CA Data'!$A$212:$B$271,2,FALSE)</f>
        <v>*</v>
      </c>
      <c r="J33" s="256" t="s">
        <v>63</v>
      </c>
      <c r="K33" s="424">
        <v>0.5544554455445545</v>
      </c>
      <c r="L33" s="425">
        <f>vlookup(A33,'CA Data'!$A$271:$D$338,4,FALSE)</f>
        <v>58</v>
      </c>
      <c r="M33" s="255" t="s">
        <v>63</v>
      </c>
      <c r="N33" s="253" t="s">
        <v>63</v>
      </c>
      <c r="O33" s="253" t="s">
        <v>63</v>
      </c>
      <c r="P33" s="261">
        <f>ifna(vlookup(A33,'Population &amp; Church Numbers'!$A$189:$D$246,4,FALSE),"NULL")</f>
        <v>142</v>
      </c>
      <c r="Q33" s="329" t="s">
        <v>63</v>
      </c>
    </row>
    <row r="34">
      <c r="A34" s="188" t="s">
        <v>354</v>
      </c>
      <c r="B34" s="189">
        <f t="array" ref="B34">VLOOKUP($A34,CA_DEMO,2,FALSE)</f>
        <v>19790</v>
      </c>
      <c r="C34" s="333">
        <f>vlookup(A34,'CA Data'!$A$3:$B$62,2,FALSE)</f>
        <v>22</v>
      </c>
      <c r="D34" s="265" t="s">
        <v>63</v>
      </c>
      <c r="E34" s="265" t="str">
        <f>vlookup(A34,'CA Data'!$A$3:$D$62,3,FALSE)</f>
        <v>NULL</v>
      </c>
      <c r="F34" s="265" t="str">
        <f>vlookup(A34,'CA Data'!$A$3:$D$62,4,FALSE)</f>
        <v>NULL</v>
      </c>
      <c r="G34" s="265" t="s">
        <v>63</v>
      </c>
      <c r="H34" s="266" t="s">
        <v>63</v>
      </c>
      <c r="I34" s="426" t="str">
        <f>vlookup(A34,'CA Data'!$A$212:$B$271,2,FALSE)</f>
        <v>*</v>
      </c>
      <c r="J34" s="268" t="s">
        <v>63</v>
      </c>
      <c r="K34" s="430">
        <v>0.7272727272727273</v>
      </c>
      <c r="L34" s="428">
        <f>vlookup(A34,'CA Data'!$A$271:$D$338,4,FALSE)</f>
        <v>14</v>
      </c>
      <c r="M34" s="267" t="s">
        <v>63</v>
      </c>
      <c r="N34" s="265" t="s">
        <v>63</v>
      </c>
      <c r="O34" s="265" t="s">
        <v>63</v>
      </c>
      <c r="P34" s="272">
        <f>ifna(vlookup(A34,'Population &amp; Church Numbers'!$A$189:$D$246,4,FALSE),"NULL")</f>
        <v>28</v>
      </c>
      <c r="Q34" s="334" t="s">
        <v>63</v>
      </c>
    </row>
    <row r="35">
      <c r="A35" s="326" t="s">
        <v>252</v>
      </c>
      <c r="B35" s="251">
        <f t="array" ref="B35">VLOOKUP($A35,CA_DEMO,2,FALSE)</f>
        <v>2418185</v>
      </c>
      <c r="C35" s="336">
        <f>vlookup(A35,'CA Data'!$A$3:$B$62,2,FALSE)</f>
        <v>3119</v>
      </c>
      <c r="D35" s="253" t="s">
        <v>63</v>
      </c>
      <c r="E35" s="382">
        <f>vlookup(A35,'CA Data'!$A$3:$D$62,3,FALSE)</f>
        <v>1320</v>
      </c>
      <c r="F35" s="382">
        <f>vlookup(A35,'CA Data'!$A$3:$D$62,4,FALSE)</f>
        <v>1177</v>
      </c>
      <c r="G35" s="253" t="s">
        <v>63</v>
      </c>
      <c r="H35" s="254" t="s">
        <v>63</v>
      </c>
      <c r="I35" s="423">
        <f>vlookup(A35,'CA Data'!$A$212:$B$271,2,FALSE)</f>
        <v>357</v>
      </c>
      <c r="J35" s="256" t="s">
        <v>63</v>
      </c>
      <c r="K35" s="424">
        <v>0.5260347129506008</v>
      </c>
      <c r="L35" s="431">
        <f>vlookup(A35,'CA Data'!$A$271:$D$338,4,FALSE)</f>
        <v>1706</v>
      </c>
      <c r="M35" s="255" t="s">
        <v>63</v>
      </c>
      <c r="N35" s="253" t="s">
        <v>63</v>
      </c>
      <c r="O35" s="253" t="s">
        <v>63</v>
      </c>
      <c r="P35" s="261">
        <f>ifna(vlookup(A35,'Population &amp; Church Numbers'!$A$189:$D$246,4,FALSE),"NULL")</f>
        <v>656</v>
      </c>
      <c r="Q35" s="329" t="s">
        <v>63</v>
      </c>
    </row>
    <row r="36">
      <c r="A36" s="188" t="s">
        <v>292</v>
      </c>
      <c r="B36" s="189">
        <f t="array" ref="B36">VLOOKUP($A36,CA_DEMO,2,FALSE)</f>
        <v>1585055</v>
      </c>
      <c r="C36" s="335">
        <f>vlookup(A36,'CA Data'!$A$3:$B$62,2,FALSE)</f>
        <v>1176</v>
      </c>
      <c r="D36" s="265" t="s">
        <v>63</v>
      </c>
      <c r="E36" s="265">
        <f>vlookup(A36,'CA Data'!$A$3:$D$62,3,FALSE)</f>
        <v>457</v>
      </c>
      <c r="F36" s="265">
        <f>vlookup(A36,'CA Data'!$A$3:$D$62,4,FALSE)</f>
        <v>277</v>
      </c>
      <c r="G36" s="265" t="s">
        <v>63</v>
      </c>
      <c r="H36" s="266" t="s">
        <v>63</v>
      </c>
      <c r="I36" s="426">
        <f>vlookup(A36,'CA Data'!$A$212:$B$271,2,FALSE)</f>
        <v>166</v>
      </c>
      <c r="J36" s="268" t="s">
        <v>63</v>
      </c>
      <c r="K36" s="430">
        <v>0.4616306954436451</v>
      </c>
      <c r="L36" s="428">
        <f>vlookup(A36,'CA Data'!$A$271:$D$338,4,FALSE)</f>
        <v>469</v>
      </c>
      <c r="M36" s="267" t="s">
        <v>63</v>
      </c>
      <c r="N36" s="265" t="s">
        <v>63</v>
      </c>
      <c r="O36" s="265" t="s">
        <v>63</v>
      </c>
      <c r="P36" s="272">
        <f>ifna(vlookup(A36,'Population &amp; Church Numbers'!$A$189:$D$246,4,FALSE),"NULL")</f>
        <v>538</v>
      </c>
      <c r="Q36" s="334" t="s">
        <v>63</v>
      </c>
    </row>
    <row r="37">
      <c r="A37" s="326" t="s">
        <v>356</v>
      </c>
      <c r="B37" s="251">
        <f t="array" ref="B37">VLOOKUP($A37,CA_DEMO,2,FALSE)</f>
        <v>64209</v>
      </c>
      <c r="C37" s="327">
        <f>vlookup(A37,'CA Data'!$A$3:$B$62,2,FALSE)</f>
        <v>26</v>
      </c>
      <c r="D37" s="253" t="s">
        <v>63</v>
      </c>
      <c r="E37" s="253" t="str">
        <f>vlookup(A37,'CA Data'!$A$3:$D$62,3,FALSE)</f>
        <v>NULL</v>
      </c>
      <c r="F37" s="253">
        <f>vlookup(A37,'CA Data'!$A$3:$D$62,4,FALSE)</f>
        <v>13</v>
      </c>
      <c r="G37" s="253" t="s">
        <v>63</v>
      </c>
      <c r="H37" s="254" t="s">
        <v>63</v>
      </c>
      <c r="I37" s="423">
        <f>vlookup(A37,'CA Data'!$A$212:$B$271,2,FALSE)</f>
        <v>0</v>
      </c>
      <c r="J37" s="256" t="s">
        <v>63</v>
      </c>
      <c r="K37" s="424">
        <v>0.7083333333333334</v>
      </c>
      <c r="L37" s="425">
        <f>vlookup(A37,'CA Data'!$A$271:$D$338,4,FALSE)</f>
        <v>12</v>
      </c>
      <c r="M37" s="255" t="s">
        <v>63</v>
      </c>
      <c r="N37" s="253" t="s">
        <v>63</v>
      </c>
      <c r="O37" s="253" t="s">
        <v>63</v>
      </c>
      <c r="P37" s="261">
        <f>ifna(vlookup(A37,'Population &amp; Church Numbers'!$A$189:$D$246,4,FALSE),"NULL")</f>
        <v>23</v>
      </c>
      <c r="Q37" s="329" t="s">
        <v>63</v>
      </c>
    </row>
    <row r="38">
      <c r="A38" s="188" t="s">
        <v>261</v>
      </c>
      <c r="B38" s="189">
        <f t="array" ref="B38">VLOOKUP($A38,CA_DEMO,2,FALSE)</f>
        <v>2181654</v>
      </c>
      <c r="C38" s="335">
        <f>vlookup(A38,'CA Data'!$A$3:$B$62,2,FALSE)</f>
        <v>4996</v>
      </c>
      <c r="D38" s="265" t="s">
        <v>63</v>
      </c>
      <c r="E38" s="391">
        <f>vlookup(A38,'CA Data'!$A$3:$D$62,3,FALSE)</f>
        <v>2220</v>
      </c>
      <c r="F38" s="391">
        <f>vlookup(A38,'CA Data'!$A$3:$D$62,4,FALSE)</f>
        <v>1544</v>
      </c>
      <c r="G38" s="265" t="s">
        <v>63</v>
      </c>
      <c r="H38" s="266" t="s">
        <v>63</v>
      </c>
      <c r="I38" s="426">
        <f>vlookup(A38,'CA Data'!$A$212:$B$271,2,FALSE)</f>
        <v>643</v>
      </c>
      <c r="J38" s="268" t="s">
        <v>63</v>
      </c>
      <c r="K38" s="430">
        <v>0.45051635111876076</v>
      </c>
      <c r="L38" s="428">
        <f>vlookup(A38,'CA Data'!$A$271:$D$338,4,FALSE)</f>
        <v>795</v>
      </c>
      <c r="M38" s="267" t="s">
        <v>63</v>
      </c>
      <c r="N38" s="265" t="s">
        <v>63</v>
      </c>
      <c r="O38" s="265" t="s">
        <v>63</v>
      </c>
      <c r="P38" s="272">
        <f>ifna(vlookup(A38,'Population &amp; Church Numbers'!$A$189:$D$246,4,FALSE),"NULL")</f>
        <v>703</v>
      </c>
      <c r="Q38" s="334" t="s">
        <v>63</v>
      </c>
    </row>
    <row r="39">
      <c r="A39" s="326" t="s">
        <v>239</v>
      </c>
      <c r="B39" s="251">
        <f t="array" ref="B39">VLOOKUP($A39,CA_DEMO,2,FALSE)</f>
        <v>3298634</v>
      </c>
      <c r="C39" s="336">
        <f>vlookup(A39,'CA Data'!$A$3:$B$62,2,FALSE)</f>
        <v>1655</v>
      </c>
      <c r="D39" s="253" t="s">
        <v>63</v>
      </c>
      <c r="E39" s="253">
        <f>vlookup(A39,'CA Data'!$A$3:$D$62,3,FALSE)</f>
        <v>636</v>
      </c>
      <c r="F39" s="253">
        <f>vlookup(A39,'CA Data'!$A$3:$D$62,4,FALSE)</f>
        <v>587</v>
      </c>
      <c r="G39" s="253" t="s">
        <v>63</v>
      </c>
      <c r="H39" s="254" t="s">
        <v>63</v>
      </c>
      <c r="I39" s="423">
        <f>vlookup(A39,'CA Data'!$A$212:$B$271,2,FALSE)</f>
        <v>192</v>
      </c>
      <c r="J39" s="256" t="s">
        <v>63</v>
      </c>
      <c r="K39" s="424">
        <v>0.4560546875</v>
      </c>
      <c r="L39" s="425">
        <f>vlookup(A39,'CA Data'!$A$271:$D$338,4,FALSE)</f>
        <v>416</v>
      </c>
      <c r="M39" s="255" t="s">
        <v>63</v>
      </c>
      <c r="N39" s="253" t="s">
        <v>63</v>
      </c>
      <c r="O39" s="253" t="s">
        <v>63</v>
      </c>
      <c r="P39" s="261">
        <f>ifna(vlookup(A39,'Population &amp; Church Numbers'!$A$189:$D$246,4,FALSE),"NULL")</f>
        <v>991</v>
      </c>
      <c r="Q39" s="329" t="s">
        <v>63</v>
      </c>
    </row>
    <row r="40">
      <c r="A40" s="188" t="s">
        <v>357</v>
      </c>
      <c r="B40" s="189">
        <f t="array" ref="B40">VLOOKUP($A40,CA_DEMO,2,FALSE)</f>
        <v>873965</v>
      </c>
      <c r="C40" s="333">
        <f>vlookup(A40,'CA Data'!$A$3:$B$62,2,FALSE)</f>
        <v>620</v>
      </c>
      <c r="D40" s="265" t="s">
        <v>63</v>
      </c>
      <c r="E40" s="265">
        <f>vlookup(A40,'CA Data'!$A$3:$D$62,3,FALSE)</f>
        <v>274</v>
      </c>
      <c r="F40" s="265">
        <f>vlookup(A40,'CA Data'!$A$3:$D$62,4,FALSE)</f>
        <v>195</v>
      </c>
      <c r="G40" s="265" t="s">
        <v>63</v>
      </c>
      <c r="H40" s="266" t="s">
        <v>63</v>
      </c>
      <c r="I40" s="426">
        <f>vlookup(A40,'CA Data'!$A$212:$B$271,2,FALSE)</f>
        <v>12</v>
      </c>
      <c r="J40" s="268" t="s">
        <v>63</v>
      </c>
      <c r="K40" s="430">
        <v>0.4493927125506073</v>
      </c>
      <c r="L40" s="428">
        <f>vlookup(A40,'CA Data'!$A$271:$D$338,4,FALSE)</f>
        <v>266</v>
      </c>
      <c r="M40" s="267" t="s">
        <v>63</v>
      </c>
      <c r="N40" s="265" t="s">
        <v>63</v>
      </c>
      <c r="O40" s="265" t="s">
        <v>63</v>
      </c>
      <c r="P40" s="272">
        <f>ifna(vlookup(A40,'Population &amp; Church Numbers'!$A$189:$D$246,4,FALSE),"NULL")</f>
        <v>276</v>
      </c>
      <c r="Q40" s="334" t="s">
        <v>63</v>
      </c>
    </row>
    <row r="41">
      <c r="A41" s="326" t="s">
        <v>358</v>
      </c>
      <c r="B41" s="251">
        <f t="array" ref="B41">VLOOKUP($A41,CA_DEMO,2,FALSE)</f>
        <v>779233</v>
      </c>
      <c r="C41" s="336">
        <f>vlookup(A41,'CA Data'!$A$3:$B$62,2,FALSE)</f>
        <v>1170</v>
      </c>
      <c r="D41" s="253" t="s">
        <v>63</v>
      </c>
      <c r="E41" s="253">
        <f>vlookup(A41,'CA Data'!$A$3:$D$62,3,FALSE)</f>
        <v>485</v>
      </c>
      <c r="F41" s="253">
        <f>vlookup(A41,'CA Data'!$A$3:$D$62,4,FALSE)</f>
        <v>429</v>
      </c>
      <c r="G41" s="253" t="s">
        <v>63</v>
      </c>
      <c r="H41" s="254" t="s">
        <v>63</v>
      </c>
      <c r="I41" s="423">
        <f>vlookup(A41,'CA Data'!$A$212:$B$271,2,FALSE)</f>
        <v>152</v>
      </c>
      <c r="J41" s="256" t="s">
        <v>63</v>
      </c>
      <c r="K41" s="424">
        <v>0.44889779559118237</v>
      </c>
      <c r="L41" s="425">
        <f>vlookup(A41,'CA Data'!$A$271:$D$338,4,FALSE)</f>
        <v>200</v>
      </c>
      <c r="M41" s="255" t="s">
        <v>63</v>
      </c>
      <c r="N41" s="253" t="s">
        <v>63</v>
      </c>
      <c r="O41" s="253" t="s">
        <v>63</v>
      </c>
      <c r="P41" s="261">
        <f>ifna(vlookup(A41,'Population &amp; Church Numbers'!$A$189:$D$246,4,FALSE),"NULL")</f>
        <v>271</v>
      </c>
      <c r="Q41" s="329" t="s">
        <v>63</v>
      </c>
    </row>
    <row r="42">
      <c r="A42" s="188" t="s">
        <v>360</v>
      </c>
      <c r="B42" s="189">
        <f t="array" ref="B42">VLOOKUP($A42,CA_DEMO,2,FALSE)</f>
        <v>282424</v>
      </c>
      <c r="C42" s="333">
        <f>vlookup(A42,'CA Data'!$A$3:$B$62,2,FALSE)</f>
        <v>260</v>
      </c>
      <c r="D42" s="265" t="s">
        <v>63</v>
      </c>
      <c r="E42" s="265">
        <f>vlookup(A42,'CA Data'!$A$3:$D$62,3,FALSE)</f>
        <v>106</v>
      </c>
      <c r="F42" s="265">
        <f>vlookup(A42,'CA Data'!$A$3:$D$62,4,FALSE)</f>
        <v>98</v>
      </c>
      <c r="G42" s="265" t="s">
        <v>63</v>
      </c>
      <c r="H42" s="266" t="s">
        <v>63</v>
      </c>
      <c r="I42" s="426">
        <f>vlookup(A42,'CA Data'!$A$212:$B$271,2,FALSE)</f>
        <v>33</v>
      </c>
      <c r="J42" s="268" t="s">
        <v>63</v>
      </c>
      <c r="K42" s="430">
        <v>0.5585585585585585</v>
      </c>
      <c r="L42" s="428">
        <f>vlookup(A42,'CA Data'!$A$271:$D$338,4,FALSE)</f>
        <v>73</v>
      </c>
      <c r="M42" s="267" t="s">
        <v>63</v>
      </c>
      <c r="N42" s="265" t="s">
        <v>63</v>
      </c>
      <c r="O42" s="265" t="s">
        <v>63</v>
      </c>
      <c r="P42" s="272">
        <f>ifna(vlookup(A42,'Population &amp; Church Numbers'!$A$189:$D$246,4,FALSE),"NULL")</f>
        <v>146</v>
      </c>
      <c r="Q42" s="334" t="s">
        <v>63</v>
      </c>
    </row>
    <row r="43">
      <c r="A43" s="326" t="s">
        <v>361</v>
      </c>
      <c r="B43" s="251">
        <f t="array" ref="B43">VLOOKUP($A43,CA_DEMO,2,FALSE)</f>
        <v>764442</v>
      </c>
      <c r="C43" s="327">
        <f>vlookup(A43,'CA Data'!$A$3:$B$62,2,FALSE)</f>
        <v>115</v>
      </c>
      <c r="D43" s="253" t="s">
        <v>63</v>
      </c>
      <c r="E43" s="253">
        <f>vlookup(A43,'CA Data'!$A$3:$D$62,3,FALSE)</f>
        <v>45</v>
      </c>
      <c r="F43" s="253">
        <f>vlookup(A43,'CA Data'!$A$3:$D$62,4,FALSE)</f>
        <v>25</v>
      </c>
      <c r="G43" s="253" t="s">
        <v>63</v>
      </c>
      <c r="H43" s="254" t="s">
        <v>63</v>
      </c>
      <c r="I43" s="423" t="str">
        <f>vlookup(A43,'CA Data'!$A$212:$B$271,2,FALSE)</f>
        <v>*</v>
      </c>
      <c r="J43" s="256" t="s">
        <v>63</v>
      </c>
      <c r="K43" s="424">
        <v>0.4482758620689655</v>
      </c>
      <c r="L43" s="425">
        <f>vlookup(A43,'CA Data'!$A$271:$D$338,4,FALSE)</f>
        <v>60</v>
      </c>
      <c r="M43" s="255" t="s">
        <v>63</v>
      </c>
      <c r="N43" s="253" t="s">
        <v>63</v>
      </c>
      <c r="O43" s="253" t="s">
        <v>63</v>
      </c>
      <c r="P43" s="261">
        <f>ifna(vlookup(A43,'Population &amp; Church Numbers'!$A$189:$D$246,4,FALSE),"NULL")</f>
        <v>236</v>
      </c>
      <c r="Q43" s="329" t="s">
        <v>63</v>
      </c>
    </row>
    <row r="44">
      <c r="A44" s="188" t="s">
        <v>362</v>
      </c>
      <c r="B44" s="189">
        <f t="array" ref="B44">VLOOKUP($A44,CA_DEMO,2,FALSE)</f>
        <v>448229</v>
      </c>
      <c r="C44" s="333">
        <f>vlookup(A44,'CA Data'!$A$3:$B$62,2,FALSE)</f>
        <v>387</v>
      </c>
      <c r="D44" s="265" t="s">
        <v>63</v>
      </c>
      <c r="E44" s="265">
        <f>vlookup(A44,'CA Data'!$A$3:$D$62,3,FALSE)</f>
        <v>164</v>
      </c>
      <c r="F44" s="265">
        <f>vlookup(A44,'CA Data'!$A$3:$D$62,4,FALSE)</f>
        <v>137</v>
      </c>
      <c r="G44" s="265" t="s">
        <v>63</v>
      </c>
      <c r="H44" s="266" t="s">
        <v>63</v>
      </c>
      <c r="I44" s="426" t="str">
        <f>vlookup(A44,'CA Data'!$A$212:$B$271,2,FALSE)</f>
        <v>*</v>
      </c>
      <c r="J44" s="268" t="s">
        <v>63</v>
      </c>
      <c r="K44" s="430">
        <v>0.33879781420765026</v>
      </c>
      <c r="L44" s="428">
        <f>vlookup(A44,'CA Data'!$A$271:$D$338,4,FALSE)</f>
        <v>88</v>
      </c>
      <c r="M44" s="267" t="s">
        <v>63</v>
      </c>
      <c r="N44" s="265" t="s">
        <v>63</v>
      </c>
      <c r="O44" s="265" t="s">
        <v>63</v>
      </c>
      <c r="P44" s="272">
        <f>ifna(vlookup(A44,'Population &amp; Church Numbers'!$A$189:$D$246,4,FALSE),"NULL")</f>
        <v>193</v>
      </c>
      <c r="Q44" s="334" t="s">
        <v>63</v>
      </c>
    </row>
    <row r="45">
      <c r="A45" s="326" t="s">
        <v>272</v>
      </c>
      <c r="B45" s="251">
        <f t="array" ref="B45">VLOOKUP($A45,CA_DEMO,2,FALSE)</f>
        <v>1936259</v>
      </c>
      <c r="C45" s="336">
        <f>vlookup(A45,'CA Data'!$A$3:$B$62,2,FALSE)</f>
        <v>494</v>
      </c>
      <c r="D45" s="253" t="s">
        <v>63</v>
      </c>
      <c r="E45" s="253">
        <f>vlookup(A45,'CA Data'!$A$3:$D$62,3,FALSE)</f>
        <v>234</v>
      </c>
      <c r="F45" s="253">
        <f>vlookup(A45,'CA Data'!$A$3:$D$62,4,FALSE)</f>
        <v>111</v>
      </c>
      <c r="G45" s="253" t="s">
        <v>63</v>
      </c>
      <c r="H45" s="254" t="s">
        <v>63</v>
      </c>
      <c r="I45" s="423">
        <f>vlookup(A45,'CA Data'!$A$212:$B$271,2,FALSE)</f>
        <v>85</v>
      </c>
      <c r="J45" s="256" t="s">
        <v>63</v>
      </c>
      <c r="K45" s="424">
        <v>0.22772277227722773</v>
      </c>
      <c r="L45" s="425">
        <f>vlookup(A45,'CA Data'!$A$271:$D$338,4,FALSE)</f>
        <v>293</v>
      </c>
      <c r="M45" s="255" t="s">
        <v>63</v>
      </c>
      <c r="N45" s="253" t="s">
        <v>63</v>
      </c>
      <c r="O45" s="253" t="s">
        <v>63</v>
      </c>
      <c r="P45" s="261">
        <f>ifna(vlookup(A45,'Population &amp; Church Numbers'!$A$189:$D$246,4,FALSE),"NULL")</f>
        <v>516</v>
      </c>
      <c r="Q45" s="329" t="s">
        <v>63</v>
      </c>
    </row>
    <row r="46">
      <c r="A46" s="188" t="s">
        <v>232</v>
      </c>
      <c r="B46" s="189">
        <f t="array" ref="B46">VLOOKUP($A46,CA_DEMO,2,FALSE)</f>
        <v>270861</v>
      </c>
      <c r="C46" s="333">
        <f>vlookup(A46,'CA Data'!$A$3:$B$62,2,FALSE)</f>
        <v>116</v>
      </c>
      <c r="D46" s="265" t="s">
        <v>63</v>
      </c>
      <c r="E46" s="265">
        <f>vlookup(A46,'CA Data'!$A$3:$D$62,3,FALSE)</f>
        <v>34</v>
      </c>
      <c r="F46" s="265">
        <f>vlookup(A46,'CA Data'!$A$3:$D$62,4,FALSE)</f>
        <v>46</v>
      </c>
      <c r="G46" s="265" t="s">
        <v>63</v>
      </c>
      <c r="H46" s="266" t="s">
        <v>63</v>
      </c>
      <c r="I46" s="426">
        <f>vlookup(A46,'CA Data'!$A$212:$B$271,2,FALSE)</f>
        <v>11</v>
      </c>
      <c r="J46" s="268" t="s">
        <v>63</v>
      </c>
      <c r="K46" s="430">
        <v>0.4675324675324675</v>
      </c>
      <c r="L46" s="428">
        <f>vlookup(A46,'CA Data'!$A$271:$D$338,4,FALSE)</f>
        <v>40</v>
      </c>
      <c r="M46" s="267" t="s">
        <v>63</v>
      </c>
      <c r="N46" s="265" t="s">
        <v>63</v>
      </c>
      <c r="O46" s="265" t="s">
        <v>63</v>
      </c>
      <c r="P46" s="272">
        <f>ifna(vlookup(A46,'Population &amp; Church Numbers'!$A$189:$D$246,4,FALSE),"NULL")</f>
        <v>78</v>
      </c>
      <c r="Q46" s="334" t="s">
        <v>63</v>
      </c>
    </row>
    <row r="47">
      <c r="A47" s="326" t="s">
        <v>364</v>
      </c>
      <c r="B47" s="251">
        <f t="array" ref="B47">VLOOKUP($A47,CA_DEMO,2,FALSE)</f>
        <v>182155</v>
      </c>
      <c r="C47" s="327">
        <f>vlookup(A47,'CA Data'!$A$3:$B$62,2,FALSE)</f>
        <v>376</v>
      </c>
      <c r="D47" s="253" t="s">
        <v>63</v>
      </c>
      <c r="E47" s="253">
        <f>vlookup(A47,'CA Data'!$A$3:$D$62,3,FALSE)</f>
        <v>179</v>
      </c>
      <c r="F47" s="253">
        <f>vlookup(A47,'CA Data'!$A$3:$D$62,4,FALSE)</f>
        <v>127</v>
      </c>
      <c r="G47" s="253" t="s">
        <v>63</v>
      </c>
      <c r="H47" s="254" t="s">
        <v>63</v>
      </c>
      <c r="I47" s="423">
        <f>vlookup(A47,'CA Data'!$A$212:$B$271,2,FALSE)</f>
        <v>43</v>
      </c>
      <c r="J47" s="256" t="s">
        <v>63</v>
      </c>
      <c r="K47" s="424">
        <v>0.5118483412322274</v>
      </c>
      <c r="L47" s="425">
        <f>vlookup(A47,'CA Data'!$A$271:$D$338,4,FALSE)</f>
        <v>39</v>
      </c>
      <c r="M47" s="255" t="s">
        <v>63</v>
      </c>
      <c r="N47" s="253" t="s">
        <v>63</v>
      </c>
      <c r="O47" s="253" t="s">
        <v>63</v>
      </c>
      <c r="P47" s="261">
        <f>ifna(vlookup(A47,'Population &amp; Church Numbers'!$A$189:$D$246,4,FALSE),"NULL")</f>
        <v>95</v>
      </c>
      <c r="Q47" s="329" t="s">
        <v>63</v>
      </c>
    </row>
    <row r="48">
      <c r="A48" s="188" t="s">
        <v>365</v>
      </c>
      <c r="B48" s="189">
        <f t="array" ref="B48">VLOOKUP($A48,CA_DEMO,2,FALSE)</f>
        <v>3236</v>
      </c>
      <c r="C48" s="333">
        <f>vlookup(A48,'CA Data'!$A$3:$B$62,2,FALSE)</f>
        <v>11</v>
      </c>
      <c r="D48" s="265" t="s">
        <v>63</v>
      </c>
      <c r="E48" s="265" t="str">
        <f>vlookup(A48,'CA Data'!$A$3:$D$62,3,FALSE)</f>
        <v>NULL</v>
      </c>
      <c r="F48" s="265" t="str">
        <f>vlookup(A48,'CA Data'!$A$3:$D$62,4,FALSE)</f>
        <v>NULL</v>
      </c>
      <c r="G48" s="265" t="s">
        <v>63</v>
      </c>
      <c r="H48" s="266" t="s">
        <v>63</v>
      </c>
      <c r="I48" s="426">
        <f>vlookup(A48,'CA Data'!$A$212:$B$271,2,FALSE)</f>
        <v>0</v>
      </c>
      <c r="J48" s="268" t="s">
        <v>63</v>
      </c>
      <c r="K48" s="427" t="s">
        <v>321</v>
      </c>
      <c r="L48" s="428">
        <f>vlookup(A48,'CA Data'!$A$271:$D$338,4,FALSE)</f>
        <v>0</v>
      </c>
      <c r="M48" s="267" t="s">
        <v>63</v>
      </c>
      <c r="N48" s="265" t="s">
        <v>63</v>
      </c>
      <c r="O48" s="265" t="s">
        <v>63</v>
      </c>
      <c r="P48" s="272">
        <f>ifna(vlookup(A48,'Population &amp; Church Numbers'!$A$189:$D$246,4,FALSE),"NULL")</f>
        <v>4</v>
      </c>
      <c r="Q48" s="334" t="s">
        <v>63</v>
      </c>
    </row>
    <row r="49">
      <c r="A49" s="326" t="s">
        <v>366</v>
      </c>
      <c r="B49" s="251">
        <f t="array" ref="B49">VLOOKUP($A49,CA_DEMO,2,FALSE)</f>
        <v>44076</v>
      </c>
      <c r="C49" s="327">
        <f>vlookup(A49,'CA Data'!$A$3:$B$62,2,FALSE)</f>
        <v>85</v>
      </c>
      <c r="D49" s="253" t="s">
        <v>63</v>
      </c>
      <c r="E49" s="253">
        <f>vlookup(A49,'CA Data'!$A$3:$D$62,3,FALSE)</f>
        <v>49</v>
      </c>
      <c r="F49" s="253">
        <f>vlookup(A49,'CA Data'!$A$3:$D$62,4,FALSE)</f>
        <v>18</v>
      </c>
      <c r="G49" s="253" t="s">
        <v>63</v>
      </c>
      <c r="H49" s="254" t="s">
        <v>63</v>
      </c>
      <c r="I49" s="423" t="str">
        <f>vlookup(A49,'CA Data'!$A$212:$B$271,2,FALSE)</f>
        <v>*</v>
      </c>
      <c r="J49" s="256" t="s">
        <v>63</v>
      </c>
      <c r="K49" s="424">
        <v>0.6666666666666666</v>
      </c>
      <c r="L49" s="425">
        <f>vlookup(A49,'CA Data'!$A$271:$D$338,4,FALSE)</f>
        <v>0</v>
      </c>
      <c r="M49" s="255" t="s">
        <v>63</v>
      </c>
      <c r="N49" s="253" t="s">
        <v>63</v>
      </c>
      <c r="O49" s="253" t="s">
        <v>63</v>
      </c>
      <c r="P49" s="261">
        <f>ifna(vlookup(A49,'Population &amp; Church Numbers'!$A$189:$D$246,4,FALSE),"NULL")</f>
        <v>51</v>
      </c>
      <c r="Q49" s="329" t="s">
        <v>63</v>
      </c>
    </row>
    <row r="50">
      <c r="A50" s="188" t="s">
        <v>369</v>
      </c>
      <c r="B50" s="189">
        <f t="array" ref="B50">VLOOKUP($A50,CA_DEMO,2,FALSE)</f>
        <v>453491</v>
      </c>
      <c r="C50" s="333">
        <f>vlookup(A50,'CA Data'!$A$3:$B$62,2,FALSE)</f>
        <v>305</v>
      </c>
      <c r="D50" s="265" t="s">
        <v>63</v>
      </c>
      <c r="E50" s="265">
        <f>vlookup(A50,'CA Data'!$A$3:$D$62,3,FALSE)</f>
        <v>133</v>
      </c>
      <c r="F50" s="265">
        <f>vlookup(A50,'CA Data'!$A$3:$D$62,4,FALSE)</f>
        <v>95</v>
      </c>
      <c r="G50" s="265" t="s">
        <v>63</v>
      </c>
      <c r="H50" s="266" t="s">
        <v>63</v>
      </c>
      <c r="I50" s="426">
        <f>vlookup(A50,'CA Data'!$A$212:$B$271,2,FALSE)</f>
        <v>60</v>
      </c>
      <c r="J50" s="268" t="s">
        <v>63</v>
      </c>
      <c r="K50" s="430">
        <v>0.2846715328467153</v>
      </c>
      <c r="L50" s="428">
        <f>vlookup(A50,'CA Data'!$A$271:$D$338,4,FALSE)</f>
        <v>55</v>
      </c>
      <c r="M50" s="267" t="s">
        <v>63</v>
      </c>
      <c r="N50" s="265" t="s">
        <v>63</v>
      </c>
      <c r="O50" s="265" t="s">
        <v>63</v>
      </c>
      <c r="P50" s="272">
        <f>ifna(vlookup(A50,'Population &amp; Church Numbers'!$A$189:$D$246,4,FALSE),"NULL")</f>
        <v>188</v>
      </c>
      <c r="Q50" s="334" t="s">
        <v>63</v>
      </c>
    </row>
    <row r="51">
      <c r="A51" s="326" t="s">
        <v>370</v>
      </c>
      <c r="B51" s="251">
        <f t="array" ref="B51">VLOOKUP($A51,CA_DEMO,2,FALSE)</f>
        <v>488863</v>
      </c>
      <c r="C51" s="327">
        <f>vlookup(A51,'CA Data'!$A$3:$B$62,2,FALSE)</f>
        <v>446</v>
      </c>
      <c r="D51" s="253" t="s">
        <v>63</v>
      </c>
      <c r="E51" s="253">
        <f>vlookup(A51,'CA Data'!$A$3:$D$62,3,FALSE)</f>
        <v>167</v>
      </c>
      <c r="F51" s="253">
        <f>vlookup(A51,'CA Data'!$A$3:$D$62,4,FALSE)</f>
        <v>122</v>
      </c>
      <c r="G51" s="253" t="s">
        <v>63</v>
      </c>
      <c r="H51" s="254" t="s">
        <v>63</v>
      </c>
      <c r="I51" s="423">
        <f>vlookup(A51,'CA Data'!$A$212:$B$271,2,FALSE)</f>
        <v>132</v>
      </c>
      <c r="J51" s="256" t="s">
        <v>63</v>
      </c>
      <c r="K51" s="424">
        <v>0.484375</v>
      </c>
      <c r="L51" s="425">
        <f>vlookup(A51,'CA Data'!$A$271:$D$338,4,FALSE)</f>
        <v>177</v>
      </c>
      <c r="M51" s="255" t="s">
        <v>63</v>
      </c>
      <c r="N51" s="253" t="s">
        <v>63</v>
      </c>
      <c r="O51" s="253" t="s">
        <v>63</v>
      </c>
      <c r="P51" s="261">
        <f>ifna(vlookup(A51,'Population &amp; Church Numbers'!$A$189:$D$246,4,FALSE),"NULL")</f>
        <v>155</v>
      </c>
      <c r="Q51" s="329" t="s">
        <v>63</v>
      </c>
    </row>
    <row r="52">
      <c r="A52" s="188" t="s">
        <v>371</v>
      </c>
      <c r="B52" s="189">
        <f t="array" ref="B52">VLOOKUP($A52,CA_DEMO,2,FALSE)</f>
        <v>552878</v>
      </c>
      <c r="C52" s="333">
        <f>vlookup(A52,'CA Data'!$A$3:$B$62,2,FALSE)</f>
        <v>514</v>
      </c>
      <c r="D52" s="265" t="s">
        <v>63</v>
      </c>
      <c r="E52" s="265">
        <f>vlookup(A52,'CA Data'!$A$3:$D$62,3,FALSE)</f>
        <v>252</v>
      </c>
      <c r="F52" s="265">
        <f>vlookup(A52,'CA Data'!$A$3:$D$62,4,FALSE)</f>
        <v>65</v>
      </c>
      <c r="G52" s="265" t="s">
        <v>63</v>
      </c>
      <c r="H52" s="266" t="s">
        <v>63</v>
      </c>
      <c r="I52" s="426" t="str">
        <f>vlookup(A52,'CA Data'!$A$212:$B$271,2,FALSE)</f>
        <v>*</v>
      </c>
      <c r="J52" s="268" t="s">
        <v>63</v>
      </c>
      <c r="K52" s="430">
        <v>0.45739910313901344</v>
      </c>
      <c r="L52" s="428">
        <f>vlookup(A52,'CA Data'!$A$271:$D$338,4,FALSE)</f>
        <v>114</v>
      </c>
      <c r="M52" s="267" t="s">
        <v>63</v>
      </c>
      <c r="N52" s="265" t="s">
        <v>63</v>
      </c>
      <c r="O52" s="265" t="s">
        <v>63</v>
      </c>
      <c r="P52" s="272">
        <f>ifna(vlookup(A52,'Population &amp; Church Numbers'!$A$189:$D$246,4,FALSE),"NULL")</f>
        <v>231</v>
      </c>
      <c r="Q52" s="334" t="s">
        <v>63</v>
      </c>
    </row>
    <row r="53">
      <c r="A53" s="326" t="s">
        <v>372</v>
      </c>
      <c r="B53" s="251">
        <f t="array" ref="B53">VLOOKUP($A53,CA_DEMO,2,FALSE)</f>
        <v>99633</v>
      </c>
      <c r="C53" s="327">
        <f>vlookup(A53,'CA Data'!$A$3:$B$62,2,FALSE)</f>
        <v>96</v>
      </c>
      <c r="D53" s="253" t="s">
        <v>63</v>
      </c>
      <c r="E53" s="253">
        <f>vlookup(A53,'CA Data'!$A$3:$D$62,3,FALSE)</f>
        <v>45</v>
      </c>
      <c r="F53" s="253">
        <f>vlookup(A53,'CA Data'!$A$3:$D$62,4,FALSE)</f>
        <v>21</v>
      </c>
      <c r="G53" s="253" t="s">
        <v>63</v>
      </c>
      <c r="H53" s="254" t="s">
        <v>63</v>
      </c>
      <c r="I53" s="423" t="str">
        <f>vlookup(A53,'CA Data'!$A$212:$B$271,2,FALSE)</f>
        <v>*</v>
      </c>
      <c r="J53" s="256" t="s">
        <v>63</v>
      </c>
      <c r="K53" s="424">
        <v>0.4791666666666667</v>
      </c>
      <c r="L53" s="425">
        <f>vlookup(A53,'CA Data'!$A$271:$D$338,4,FALSE)</f>
        <v>0</v>
      </c>
      <c r="M53" s="255" t="s">
        <v>63</v>
      </c>
      <c r="N53" s="253" t="s">
        <v>63</v>
      </c>
      <c r="O53" s="253" t="s">
        <v>63</v>
      </c>
      <c r="P53" s="261">
        <f>ifna(vlookup(A53,'Population &amp; Church Numbers'!$A$189:$D$246,4,FALSE),"NULL")</f>
        <v>37</v>
      </c>
      <c r="Q53" s="329" t="s">
        <v>63</v>
      </c>
    </row>
    <row r="54">
      <c r="A54" s="188" t="s">
        <v>373</v>
      </c>
      <c r="B54" s="189">
        <f t="array" ref="B54">VLOOKUP($A54,CA_DEMO,2,FALSE)</f>
        <v>65829</v>
      </c>
      <c r="C54" s="333">
        <f>vlookup(A54,'CA Data'!$A$3:$B$62,2,FALSE)</f>
        <v>120</v>
      </c>
      <c r="D54" s="265" t="s">
        <v>63</v>
      </c>
      <c r="E54" s="265">
        <f>vlookup(A54,'CA Data'!$A$3:$D$62,3,FALSE)</f>
        <v>59</v>
      </c>
      <c r="F54" s="265">
        <f>vlookup(A54,'CA Data'!$A$3:$D$62,4,FALSE)</f>
        <v>16</v>
      </c>
      <c r="G54" s="265" t="s">
        <v>63</v>
      </c>
      <c r="H54" s="266" t="s">
        <v>63</v>
      </c>
      <c r="I54" s="426">
        <f>vlookup(A54,'CA Data'!$A$212:$B$271,2,FALSE)</f>
        <v>15</v>
      </c>
      <c r="J54" s="268" t="s">
        <v>63</v>
      </c>
      <c r="K54" s="430">
        <v>0.6285714285714286</v>
      </c>
      <c r="L54" s="428">
        <f>vlookup(A54,'CA Data'!$A$271:$D$338,4,FALSE)</f>
        <v>13</v>
      </c>
      <c r="M54" s="267" t="s">
        <v>63</v>
      </c>
      <c r="N54" s="265" t="s">
        <v>63</v>
      </c>
      <c r="O54" s="265" t="s">
        <v>63</v>
      </c>
      <c r="P54" s="272">
        <f>ifna(vlookup(A54,'Population &amp; Church Numbers'!$A$189:$D$246,4,FALSE),"NULL")</f>
        <v>46</v>
      </c>
      <c r="Q54" s="334" t="s">
        <v>63</v>
      </c>
    </row>
    <row r="55">
      <c r="A55" s="326" t="s">
        <v>376</v>
      </c>
      <c r="B55" s="251">
        <f t="array" ref="B55">VLOOKUP($A55,CA_DEMO,2,FALSE)</f>
        <v>16112</v>
      </c>
      <c r="C55" s="327">
        <f>vlookup(A55,'CA Data'!$A$3:$B$62,2,FALSE)</f>
        <v>26</v>
      </c>
      <c r="D55" s="253" t="s">
        <v>63</v>
      </c>
      <c r="E55" s="253" t="str">
        <f>vlookup(A55,'CA Data'!$A$3:$D$62,3,FALSE)</f>
        <v>NULL</v>
      </c>
      <c r="F55" s="253" t="str">
        <f>vlookup(A55,'CA Data'!$A$3:$D$62,4,FALSE)</f>
        <v>NULL</v>
      </c>
      <c r="G55" s="253" t="s">
        <v>63</v>
      </c>
      <c r="H55" s="254" t="s">
        <v>63</v>
      </c>
      <c r="I55" s="423" t="str">
        <f>vlookup(A55,'CA Data'!$A$212:$B$271,2,FALSE)</f>
        <v>*</v>
      </c>
      <c r="J55" s="256" t="s">
        <v>63</v>
      </c>
      <c r="K55" s="429" t="s">
        <v>321</v>
      </c>
      <c r="L55" s="425">
        <f>vlookup(A55,'CA Data'!$A$271:$D$338,4,FALSE)</f>
        <v>0</v>
      </c>
      <c r="M55" s="255" t="s">
        <v>63</v>
      </c>
      <c r="N55" s="253" t="s">
        <v>63</v>
      </c>
      <c r="O55" s="253" t="s">
        <v>63</v>
      </c>
      <c r="P55" s="261">
        <f>ifna(vlookup(A55,'Population &amp; Church Numbers'!$A$189:$D$246,4,FALSE),"NULL")</f>
        <v>13</v>
      </c>
      <c r="Q55" s="329" t="s">
        <v>63</v>
      </c>
    </row>
    <row r="56">
      <c r="A56" s="188" t="s">
        <v>377</v>
      </c>
      <c r="B56" s="189">
        <f t="array" ref="B56">VLOOKUP($A56,CA_DEMO,2,FALSE)</f>
        <v>473117</v>
      </c>
      <c r="C56" s="335">
        <f>vlookup(A56,'CA Data'!$A$3:$B$62,2,FALSE)</f>
        <v>837</v>
      </c>
      <c r="D56" s="265" t="s">
        <v>63</v>
      </c>
      <c r="E56" s="265">
        <f>vlookup(A56,'CA Data'!$A$3:$D$62,3,FALSE)</f>
        <v>416</v>
      </c>
      <c r="F56" s="265">
        <f>vlookup(A56,'CA Data'!$A$3:$D$62,4,FALSE)</f>
        <v>239</v>
      </c>
      <c r="G56" s="265" t="s">
        <v>63</v>
      </c>
      <c r="H56" s="266" t="s">
        <v>63</v>
      </c>
      <c r="I56" s="426">
        <f>vlookup(A56,'CA Data'!$A$212:$B$271,2,FALSE)</f>
        <v>126</v>
      </c>
      <c r="J56" s="268" t="s">
        <v>63</v>
      </c>
      <c r="K56" s="430">
        <v>0.3795454545454545</v>
      </c>
      <c r="L56" s="428">
        <f>vlookup(A56,'CA Data'!$A$271:$D$338,4,FALSE)</f>
        <v>278</v>
      </c>
      <c r="M56" s="267" t="s">
        <v>63</v>
      </c>
      <c r="N56" s="265" t="s">
        <v>63</v>
      </c>
      <c r="O56" s="265" t="s">
        <v>63</v>
      </c>
      <c r="P56" s="272">
        <f>ifna(vlookup(A56,'Population &amp; Church Numbers'!$A$189:$D$246,4,FALSE),"NULL")</f>
        <v>250</v>
      </c>
      <c r="Q56" s="334" t="s">
        <v>63</v>
      </c>
    </row>
    <row r="57">
      <c r="A57" s="326" t="s">
        <v>378</v>
      </c>
      <c r="B57" s="251">
        <f t="array" ref="B57">VLOOKUP($A57,CA_DEMO,2,FALSE)</f>
        <v>55620</v>
      </c>
      <c r="C57" s="327">
        <f>vlookup(A57,'CA Data'!$A$3:$B$62,2,FALSE)</f>
        <v>63</v>
      </c>
      <c r="D57" s="253" t="s">
        <v>63</v>
      </c>
      <c r="E57" s="253">
        <f>vlookup(A57,'CA Data'!$A$3:$D$62,3,FALSE)</f>
        <v>24</v>
      </c>
      <c r="F57" s="253">
        <f>vlookup(A57,'CA Data'!$A$3:$D$62,4,FALSE)</f>
        <v>18</v>
      </c>
      <c r="G57" s="253" t="s">
        <v>63</v>
      </c>
      <c r="H57" s="254" t="s">
        <v>63</v>
      </c>
      <c r="I57" s="423" t="str">
        <f>vlookup(A57,'CA Data'!$A$212:$B$271,2,FALSE)</f>
        <v>*</v>
      </c>
      <c r="J57" s="256" t="s">
        <v>63</v>
      </c>
      <c r="K57" s="429" t="s">
        <v>321</v>
      </c>
      <c r="L57" s="425">
        <f>vlookup(A57,'CA Data'!$A$271:$D$338,4,FALSE)</f>
        <v>16</v>
      </c>
      <c r="M57" s="255" t="s">
        <v>63</v>
      </c>
      <c r="N57" s="253" t="s">
        <v>63</v>
      </c>
      <c r="O57" s="253" t="s">
        <v>63</v>
      </c>
      <c r="P57" s="261">
        <f>ifna(vlookup(A57,'Population &amp; Church Numbers'!$A$189:$D$246,4,FALSE),"NULL")</f>
        <v>41</v>
      </c>
      <c r="Q57" s="329" t="s">
        <v>63</v>
      </c>
    </row>
    <row r="58">
      <c r="A58" s="188" t="s">
        <v>379</v>
      </c>
      <c r="B58" s="189">
        <f t="array" ref="B58">VLOOKUP($A58,CA_DEMO,2,FALSE)</f>
        <v>843843</v>
      </c>
      <c r="C58" s="333">
        <f>vlookup(A58,'CA Data'!$A$3:$B$62,2,FALSE)</f>
        <v>435</v>
      </c>
      <c r="D58" s="265" t="s">
        <v>63</v>
      </c>
      <c r="E58" s="265">
        <f>vlookup(A58,'CA Data'!$A$3:$D$62,3,FALSE)</f>
        <v>107</v>
      </c>
      <c r="F58" s="265">
        <f>vlookup(A58,'CA Data'!$A$3:$D$62,4,FALSE)</f>
        <v>193</v>
      </c>
      <c r="G58" s="265" t="s">
        <v>63</v>
      </c>
      <c r="H58" s="266" t="s">
        <v>63</v>
      </c>
      <c r="I58" s="426">
        <f>vlookup(A58,'CA Data'!$A$212:$B$271,2,FALSE)</f>
        <v>58</v>
      </c>
      <c r="J58" s="268" t="s">
        <v>63</v>
      </c>
      <c r="K58" s="430">
        <v>0.2988929889298893</v>
      </c>
      <c r="L58" s="266">
        <f>vlookup(A58,'CA Data'!$A$271:$D$338,4,FALSE)</f>
        <v>164</v>
      </c>
      <c r="M58" s="267" t="s">
        <v>63</v>
      </c>
      <c r="N58" s="265" t="s">
        <v>63</v>
      </c>
      <c r="O58" s="265" t="s">
        <v>63</v>
      </c>
      <c r="P58" s="272">
        <f>ifna(vlookup(A58,'Population &amp; Church Numbers'!$A$189:$D$246,4,FALSE),"NULL")</f>
        <v>269</v>
      </c>
      <c r="Q58" s="334" t="s">
        <v>63</v>
      </c>
    </row>
    <row r="59">
      <c r="A59" s="326" t="s">
        <v>380</v>
      </c>
      <c r="B59" s="251">
        <f t="array" ref="B59">VLOOKUP($A59,CA_DEMO,2,FALSE)</f>
        <v>216403</v>
      </c>
      <c r="C59" s="327">
        <f>vlookup(A59,'CA Data'!$A$3:$B$62,2,FALSE)</f>
        <v>244</v>
      </c>
      <c r="D59" s="253" t="s">
        <v>63</v>
      </c>
      <c r="E59" s="253">
        <f>vlookup(A59,'CA Data'!$A$3:$D$62,3,FALSE)</f>
        <v>152</v>
      </c>
      <c r="F59" s="253">
        <f>vlookup(A59,'CA Data'!$A$3:$D$62,4,FALSE)</f>
        <v>64</v>
      </c>
      <c r="G59" s="253" t="s">
        <v>63</v>
      </c>
      <c r="H59" s="254" t="s">
        <v>63</v>
      </c>
      <c r="I59" s="423">
        <f>vlookup(A59,'CA Data'!$A$212:$B$271,2,FALSE)</f>
        <v>48</v>
      </c>
      <c r="J59" s="256" t="s">
        <v>63</v>
      </c>
      <c r="K59" s="424">
        <v>0.4911242603550296</v>
      </c>
      <c r="L59" s="254">
        <f>vlookup(A59,'CA Data'!$A$271:$D$338,4,FALSE)</f>
        <v>73</v>
      </c>
      <c r="M59" s="255" t="s">
        <v>63</v>
      </c>
      <c r="N59" s="253" t="s">
        <v>63</v>
      </c>
      <c r="O59" s="253" t="s">
        <v>63</v>
      </c>
      <c r="P59" s="261">
        <f>ifna(vlookup(A59,'Population &amp; Church Numbers'!$A$189:$D$246,4,FALSE),"NULL")</f>
        <v>87</v>
      </c>
      <c r="Q59" s="329" t="s">
        <v>63</v>
      </c>
    </row>
    <row r="60">
      <c r="A60" s="188" t="s">
        <v>383</v>
      </c>
      <c r="B60" s="189">
        <f t="array" ref="B60">VLOOKUP($A60,CA_DEMO,2,FALSE)</f>
        <v>81575</v>
      </c>
      <c r="C60" s="333">
        <f>vlookup(A60,'CA Data'!$A$3:$B$62,2,FALSE)</f>
        <v>152</v>
      </c>
      <c r="D60" s="265" t="s">
        <v>63</v>
      </c>
      <c r="E60" s="265">
        <f>vlookup(A60,'CA Data'!$A$3:$D$62,3,FALSE)</f>
        <v>87</v>
      </c>
      <c r="F60" s="265">
        <f>vlookup(A60,'CA Data'!$A$3:$D$62,4,FALSE)</f>
        <v>21</v>
      </c>
      <c r="G60" s="265" t="s">
        <v>63</v>
      </c>
      <c r="H60" s="266" t="s">
        <v>63</v>
      </c>
      <c r="I60" s="426" t="str">
        <f>vlookup(A60,'CA Data'!$A$212:$B$271,2,FALSE)</f>
        <v>*</v>
      </c>
      <c r="J60" s="268" t="s">
        <v>63</v>
      </c>
      <c r="K60" s="430">
        <v>0.5675675675675675</v>
      </c>
      <c r="L60" s="266" t="str">
        <f>vlookup(A60,'CA Data'!$A$271:$D$338,4,FALSE)</f>
        <v/>
      </c>
      <c r="M60" s="267" t="s">
        <v>63</v>
      </c>
      <c r="N60" s="265" t="s">
        <v>63</v>
      </c>
      <c r="O60" s="265" t="s">
        <v>63</v>
      </c>
      <c r="P60" s="272">
        <f>ifna(vlookup(A60,'Population &amp; Church Numbers'!$A$189:$D$246,4,FALSE),"NULL")</f>
        <v>39</v>
      </c>
      <c r="Q60" s="334" t="s">
        <v>63</v>
      </c>
    </row>
    <row r="61">
      <c r="A61" s="217"/>
      <c r="B61" s="218"/>
      <c r="C61" s="219"/>
      <c r="D61" s="220"/>
      <c r="E61" s="220"/>
      <c r="F61" s="220"/>
      <c r="G61" s="220"/>
      <c r="H61" s="221"/>
      <c r="I61" s="222"/>
      <c r="J61" s="223"/>
      <c r="K61" s="219"/>
      <c r="L61" s="224"/>
      <c r="M61" s="225"/>
      <c r="N61" s="226"/>
      <c r="O61" s="220"/>
      <c r="P61" s="432"/>
      <c r="Q61" s="295"/>
    </row>
    <row r="62">
      <c r="A62" s="228" t="s">
        <v>2</v>
      </c>
      <c r="B62" s="229"/>
      <c r="C62" s="230">
        <f>'CA Data'!B4</f>
        <v>43633</v>
      </c>
      <c r="D62" s="231" t="s">
        <v>63</v>
      </c>
      <c r="E62" s="231">
        <f>'CA Data'!C4</f>
        <v>18246</v>
      </c>
      <c r="F62" s="231">
        <f>'CA Data'!D4</f>
        <v>15332</v>
      </c>
      <c r="G62" s="231" t="s">
        <v>63</v>
      </c>
      <c r="H62" s="233">
        <f>AFCARSCSC!D8</f>
        <v>34924</v>
      </c>
      <c r="I62" s="234">
        <f>AFCARSCSC!C8</f>
        <v>8180</v>
      </c>
      <c r="J62" s="235" t="s">
        <v>63</v>
      </c>
      <c r="K62" s="236" t="s">
        <v>63</v>
      </c>
      <c r="L62" s="359" t="s">
        <v>63</v>
      </c>
      <c r="M62" s="433" t="s">
        <v>63</v>
      </c>
      <c r="N62" s="231" t="s">
        <v>63</v>
      </c>
      <c r="O62" s="231" t="s">
        <v>63</v>
      </c>
      <c r="P62" s="359" t="s">
        <v>63</v>
      </c>
      <c r="Q62" s="313" t="s">
        <v>63</v>
      </c>
    </row>
  </sheetData>
  <autoFilter ref="$A$2:$Q$60"/>
  <mergeCells count="1">
    <mergeCell ref="B1:Q1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9" max="9" width="18.13"/>
  </cols>
  <sheetData>
    <row r="1">
      <c r="A1" s="398" t="s">
        <v>1040</v>
      </c>
      <c r="B1" s="399"/>
      <c r="C1" s="399"/>
      <c r="D1" s="400" t="s">
        <v>1706</v>
      </c>
      <c r="E1" s="399"/>
      <c r="F1" s="399"/>
      <c r="G1" s="400" t="s">
        <v>1707</v>
      </c>
      <c r="H1" s="434">
        <v>45292.0</v>
      </c>
      <c r="I1" s="399"/>
      <c r="J1" s="400" t="s">
        <v>1709</v>
      </c>
      <c r="K1" s="401">
        <v>45442.0</v>
      </c>
      <c r="L1" s="402"/>
    </row>
    <row r="2">
      <c r="A2" s="435"/>
      <c r="B2" s="436"/>
    </row>
    <row r="3">
      <c r="A3" s="328" t="s">
        <v>172</v>
      </c>
      <c r="B3" s="437" t="s">
        <v>1712</v>
      </c>
      <c r="C3" s="328" t="s">
        <v>1651</v>
      </c>
      <c r="D3" s="438" t="s">
        <v>1713</v>
      </c>
      <c r="E3" s="438" t="s">
        <v>1714</v>
      </c>
      <c r="F3" s="328" t="s">
        <v>1715</v>
      </c>
      <c r="I3" s="439" t="s">
        <v>771</v>
      </c>
      <c r="J3" s="438" t="s">
        <v>35</v>
      </c>
      <c r="K3" s="328" t="s">
        <v>276</v>
      </c>
      <c r="L3" s="328" t="s">
        <v>324</v>
      </c>
      <c r="M3" s="328" t="s">
        <v>322</v>
      </c>
      <c r="N3" s="328" t="s">
        <v>325</v>
      </c>
      <c r="O3" s="328" t="s">
        <v>326</v>
      </c>
      <c r="P3" s="328" t="s">
        <v>327</v>
      </c>
      <c r="Q3" s="328" t="s">
        <v>328</v>
      </c>
      <c r="R3" s="328" t="s">
        <v>329</v>
      </c>
    </row>
    <row r="4">
      <c r="A4" s="328" t="s">
        <v>35</v>
      </c>
      <c r="B4" s="440">
        <v>43633.0</v>
      </c>
      <c r="C4" s="441">
        <f>sum(J4+J6+J7)</f>
        <v>18246</v>
      </c>
      <c r="D4" s="441">
        <f>J5</f>
        <v>15332</v>
      </c>
      <c r="E4" s="319"/>
      <c r="F4" s="319"/>
      <c r="H4" s="1" t="s">
        <v>1651</v>
      </c>
      <c r="I4" s="442" t="s">
        <v>1719</v>
      </c>
      <c r="J4" s="443">
        <v>2457.0</v>
      </c>
      <c r="K4" s="444">
        <v>16.0</v>
      </c>
      <c r="L4" s="444" t="s">
        <v>347</v>
      </c>
      <c r="M4" s="444" t="s">
        <v>347</v>
      </c>
      <c r="N4" s="444" t="s">
        <v>347</v>
      </c>
      <c r="O4" s="444">
        <v>0.0</v>
      </c>
      <c r="P4" s="445" t="s">
        <v>347</v>
      </c>
      <c r="Q4" s="444" t="s">
        <v>347</v>
      </c>
      <c r="R4" s="445">
        <v>0.0</v>
      </c>
    </row>
    <row r="5">
      <c r="A5" s="446" t="s">
        <v>276</v>
      </c>
      <c r="B5" s="447">
        <v>916.0</v>
      </c>
      <c r="C5" s="322">
        <f>K4+K6+K7</f>
        <v>294</v>
      </c>
      <c r="D5" s="322">
        <f>K5</f>
        <v>336</v>
      </c>
      <c r="E5" s="322"/>
      <c r="F5" s="322"/>
      <c r="H5" s="1" t="s">
        <v>1724</v>
      </c>
      <c r="I5" s="439" t="s">
        <v>1725</v>
      </c>
      <c r="J5" s="448">
        <v>15332.0</v>
      </c>
      <c r="K5" s="206">
        <v>336.0</v>
      </c>
      <c r="L5" s="444">
        <v>92.0</v>
      </c>
      <c r="M5" s="206">
        <v>18.0</v>
      </c>
      <c r="N5" s="206">
        <v>15.0</v>
      </c>
      <c r="O5" s="206" t="s">
        <v>347</v>
      </c>
      <c r="P5" s="449">
        <v>122.0</v>
      </c>
      <c r="Q5" s="206">
        <v>17.0</v>
      </c>
      <c r="R5" s="449">
        <v>39.0</v>
      </c>
    </row>
    <row r="6">
      <c r="A6" s="446" t="s">
        <v>320</v>
      </c>
      <c r="B6" s="449">
        <v>0.0</v>
      </c>
      <c r="C6" s="320">
        <v>0.0</v>
      </c>
      <c r="D6" s="320">
        <v>0.0</v>
      </c>
      <c r="E6" s="322"/>
      <c r="F6" s="322"/>
      <c r="H6" s="1" t="s">
        <v>1651</v>
      </c>
      <c r="I6" s="439" t="s">
        <v>1651</v>
      </c>
      <c r="J6" s="448">
        <v>7316.0</v>
      </c>
      <c r="K6" s="206">
        <v>84.0</v>
      </c>
      <c r="L6" s="444">
        <v>55.0</v>
      </c>
      <c r="M6" s="206" t="s">
        <v>347</v>
      </c>
      <c r="N6" s="206">
        <v>13.0</v>
      </c>
      <c r="O6" s="206" t="s">
        <v>347</v>
      </c>
      <c r="P6" s="449">
        <v>148.0</v>
      </c>
      <c r="Q6" s="206">
        <v>38.0</v>
      </c>
      <c r="R6" s="449" t="s">
        <v>347</v>
      </c>
    </row>
    <row r="7">
      <c r="A7" s="446" t="s">
        <v>322</v>
      </c>
      <c r="B7" s="449">
        <v>54.0</v>
      </c>
      <c r="C7" s="322">
        <f>M7</f>
        <v>22</v>
      </c>
      <c r="D7" s="322">
        <f>M5</f>
        <v>18</v>
      </c>
      <c r="E7" s="322"/>
      <c r="F7" s="322"/>
      <c r="H7" s="1" t="s">
        <v>1651</v>
      </c>
      <c r="I7" s="439" t="s">
        <v>1728</v>
      </c>
      <c r="J7" s="448">
        <v>8473.0</v>
      </c>
      <c r="K7" s="206">
        <v>194.0</v>
      </c>
      <c r="L7" s="444">
        <v>92.0</v>
      </c>
      <c r="M7" s="206">
        <v>22.0</v>
      </c>
      <c r="N7" s="206">
        <v>13.0</v>
      </c>
      <c r="O7" s="206">
        <v>22.0</v>
      </c>
      <c r="P7" s="449">
        <v>71.0</v>
      </c>
      <c r="Q7" s="206" t="s">
        <v>347</v>
      </c>
      <c r="R7" s="449">
        <v>32.0</v>
      </c>
    </row>
    <row r="8">
      <c r="A8" s="446" t="s">
        <v>324</v>
      </c>
      <c r="B8" s="449">
        <v>347.0</v>
      </c>
      <c r="C8" s="322">
        <f>L6+L7</f>
        <v>147</v>
      </c>
      <c r="D8" s="322">
        <f>L5</f>
        <v>92</v>
      </c>
      <c r="E8" s="322"/>
      <c r="F8" s="322"/>
      <c r="H8" s="1" t="s">
        <v>1715</v>
      </c>
      <c r="I8" s="439" t="s">
        <v>1731</v>
      </c>
      <c r="J8" s="450">
        <v>561.0</v>
      </c>
      <c r="K8" s="206" t="s">
        <v>347</v>
      </c>
      <c r="L8" s="444" t="s">
        <v>347</v>
      </c>
      <c r="M8" s="206">
        <v>0.0</v>
      </c>
      <c r="N8" s="206">
        <v>0.0</v>
      </c>
      <c r="O8" s="206">
        <v>0.0</v>
      </c>
      <c r="P8" s="449">
        <v>0.0</v>
      </c>
      <c r="Q8" s="206" t="s">
        <v>347</v>
      </c>
      <c r="R8" s="449">
        <v>0.0</v>
      </c>
    </row>
    <row r="9">
      <c r="A9" s="446" t="s">
        <v>325</v>
      </c>
      <c r="B9" s="449">
        <v>53.0</v>
      </c>
      <c r="C9" s="322">
        <f>N6+N7</f>
        <v>26</v>
      </c>
      <c r="D9" s="322">
        <f>N5</f>
        <v>15</v>
      </c>
      <c r="E9" s="322"/>
      <c r="F9" s="322"/>
      <c r="H9" s="1" t="s">
        <v>1715</v>
      </c>
      <c r="I9" s="438" t="s">
        <v>1734</v>
      </c>
      <c r="J9" s="450">
        <v>151.0</v>
      </c>
      <c r="K9" s="206">
        <v>0.0</v>
      </c>
      <c r="L9" s="444" t="s">
        <v>347</v>
      </c>
      <c r="M9" s="206">
        <v>0.0</v>
      </c>
      <c r="N9" s="206">
        <v>0.0</v>
      </c>
      <c r="O9" s="206">
        <v>0.0</v>
      </c>
      <c r="P9" s="449">
        <v>0.0</v>
      </c>
      <c r="Q9" s="206">
        <v>0.0</v>
      </c>
      <c r="R9" s="449">
        <v>0.0</v>
      </c>
    </row>
    <row r="10">
      <c r="A10" s="446" t="s">
        <v>326</v>
      </c>
      <c r="B10" s="449">
        <v>35.0</v>
      </c>
      <c r="C10" s="322">
        <f>O7</f>
        <v>22</v>
      </c>
      <c r="D10" s="320" t="s">
        <v>63</v>
      </c>
      <c r="E10" s="322"/>
      <c r="F10" s="322"/>
      <c r="H10" s="1" t="s">
        <v>1737</v>
      </c>
      <c r="I10" s="439" t="s">
        <v>1738</v>
      </c>
      <c r="J10" s="448">
        <v>1436.0</v>
      </c>
      <c r="K10" s="206">
        <v>55.0</v>
      </c>
      <c r="L10" s="444">
        <v>11.0</v>
      </c>
      <c r="M10" s="206" t="s">
        <v>347</v>
      </c>
      <c r="N10" s="206" t="s">
        <v>347</v>
      </c>
      <c r="O10" s="206" t="s">
        <v>347</v>
      </c>
      <c r="P10" s="449">
        <v>28.0</v>
      </c>
      <c r="Q10" s="206" t="s">
        <v>347</v>
      </c>
      <c r="R10" s="449" t="s">
        <v>347</v>
      </c>
    </row>
    <row r="11">
      <c r="A11" s="446" t="s">
        <v>327</v>
      </c>
      <c r="B11" s="449">
        <v>513.0</v>
      </c>
      <c r="C11" s="322">
        <f>P6+P7</f>
        <v>219</v>
      </c>
      <c r="D11" s="322">
        <f>P5</f>
        <v>122</v>
      </c>
      <c r="E11" s="322"/>
      <c r="F11" s="322"/>
      <c r="H11" s="1" t="s">
        <v>1737</v>
      </c>
      <c r="I11" s="439" t="s">
        <v>1740</v>
      </c>
      <c r="J11" s="448">
        <v>168.0</v>
      </c>
      <c r="K11" s="206">
        <v>0.0</v>
      </c>
      <c r="L11" s="444">
        <v>0.0</v>
      </c>
      <c r="M11" s="206">
        <v>0.0</v>
      </c>
      <c r="N11" s="206">
        <v>0.0</v>
      </c>
      <c r="O11" s="206">
        <v>0.0</v>
      </c>
      <c r="P11" s="449">
        <v>0.0</v>
      </c>
      <c r="Q11" s="206">
        <v>0.0</v>
      </c>
      <c r="R11" s="449">
        <v>0.0</v>
      </c>
    </row>
    <row r="12">
      <c r="A12" s="446" t="s">
        <v>328</v>
      </c>
      <c r="B12" s="449">
        <v>86.0</v>
      </c>
      <c r="C12" s="322">
        <f>Q6</f>
        <v>38</v>
      </c>
      <c r="D12" s="322">
        <f>Q5</f>
        <v>17</v>
      </c>
      <c r="E12" s="322"/>
      <c r="F12" s="322"/>
      <c r="H12" s="1" t="s">
        <v>1715</v>
      </c>
      <c r="I12" s="439" t="s">
        <v>1743</v>
      </c>
      <c r="J12" s="450">
        <v>406.0</v>
      </c>
      <c r="K12" s="206" t="s">
        <v>347</v>
      </c>
      <c r="L12" s="444" t="s">
        <v>347</v>
      </c>
      <c r="M12" s="206" t="s">
        <v>347</v>
      </c>
      <c r="N12" s="206">
        <v>0.0</v>
      </c>
      <c r="O12" s="206">
        <v>0.0</v>
      </c>
      <c r="P12" s="449">
        <v>14.0</v>
      </c>
      <c r="Q12" s="206">
        <v>0.0</v>
      </c>
      <c r="R12" s="449" t="s">
        <v>347</v>
      </c>
    </row>
    <row r="13">
      <c r="A13" s="446" t="s">
        <v>329</v>
      </c>
      <c r="B13" s="449">
        <v>99.0</v>
      </c>
      <c r="C13" s="322">
        <f>R7+R4</f>
        <v>32</v>
      </c>
      <c r="D13" s="322">
        <f>R5</f>
        <v>39</v>
      </c>
      <c r="E13" s="322"/>
      <c r="F13" s="322"/>
      <c r="H13" s="1" t="s">
        <v>1715</v>
      </c>
      <c r="I13" s="439" t="s">
        <v>1745</v>
      </c>
      <c r="J13" s="450">
        <v>561.0</v>
      </c>
      <c r="K13" s="206">
        <v>0.0</v>
      </c>
      <c r="L13" s="444" t="s">
        <v>347</v>
      </c>
      <c r="M13" s="206">
        <v>0.0</v>
      </c>
      <c r="N13" s="206" t="s">
        <v>347</v>
      </c>
      <c r="O13" s="206">
        <v>0.0</v>
      </c>
      <c r="P13" s="449" t="s">
        <v>347</v>
      </c>
      <c r="Q13" s="206">
        <v>0.0</v>
      </c>
      <c r="R13" s="449">
        <v>0.0</v>
      </c>
    </row>
    <row r="14">
      <c r="A14" s="446" t="s">
        <v>331</v>
      </c>
      <c r="B14" s="447">
        <v>2093.0</v>
      </c>
      <c r="C14" s="322">
        <f>J24+J26+J27</f>
        <v>979</v>
      </c>
      <c r="D14" s="322">
        <f>J25</f>
        <v>541</v>
      </c>
      <c r="E14" s="322"/>
      <c r="F14" s="322"/>
      <c r="H14" s="1" t="s">
        <v>1715</v>
      </c>
      <c r="I14" s="439" t="s">
        <v>1748</v>
      </c>
      <c r="J14" s="450">
        <v>240.0</v>
      </c>
      <c r="K14" s="206">
        <v>0.0</v>
      </c>
      <c r="L14" s="444" t="s">
        <v>347</v>
      </c>
      <c r="M14" s="206">
        <v>0.0</v>
      </c>
      <c r="N14" s="206">
        <v>0.0</v>
      </c>
      <c r="O14" s="206">
        <v>0.0</v>
      </c>
      <c r="P14" s="449" t="s">
        <v>347</v>
      </c>
      <c r="Q14" s="206" t="s">
        <v>347</v>
      </c>
      <c r="R14" s="449">
        <v>0.0</v>
      </c>
    </row>
    <row r="15">
      <c r="A15" s="446" t="s">
        <v>332</v>
      </c>
      <c r="B15" s="449">
        <v>46.0</v>
      </c>
      <c r="C15" s="320" t="s">
        <v>63</v>
      </c>
      <c r="D15" s="322">
        <f>K25</f>
        <v>14</v>
      </c>
      <c r="E15" s="322"/>
      <c r="F15" s="322"/>
      <c r="H15" s="1" t="s">
        <v>1715</v>
      </c>
      <c r="I15" s="439" t="s">
        <v>781</v>
      </c>
      <c r="J15" s="450">
        <v>525.0</v>
      </c>
      <c r="K15" s="206">
        <v>32.0</v>
      </c>
      <c r="L15" s="444" t="s">
        <v>347</v>
      </c>
      <c r="M15" s="206">
        <v>0.0</v>
      </c>
      <c r="N15" s="206">
        <v>0.0</v>
      </c>
      <c r="O15" s="206">
        <v>0.0</v>
      </c>
      <c r="P15" s="449" t="s">
        <v>347</v>
      </c>
      <c r="Q15" s="206" t="s">
        <v>347</v>
      </c>
      <c r="R15" s="449">
        <v>0.0</v>
      </c>
    </row>
    <row r="16">
      <c r="A16" s="446" t="s">
        <v>333</v>
      </c>
      <c r="B16" s="449">
        <v>281.0</v>
      </c>
      <c r="C16" s="322">
        <f>L24+L26+L27</f>
        <v>78</v>
      </c>
      <c r="D16" s="322">
        <f>L25</f>
        <v>93</v>
      </c>
      <c r="E16" s="322"/>
      <c r="F16" s="322"/>
      <c r="H16" s="1" t="s">
        <v>1753</v>
      </c>
      <c r="I16" s="439" t="s">
        <v>1754</v>
      </c>
      <c r="J16" s="450">
        <v>494.0</v>
      </c>
      <c r="K16" s="206" t="s">
        <v>347</v>
      </c>
      <c r="L16" s="444">
        <v>13.0</v>
      </c>
      <c r="M16" s="206">
        <v>0.0</v>
      </c>
      <c r="N16" s="206">
        <v>0.0</v>
      </c>
      <c r="O16" s="206">
        <v>0.0</v>
      </c>
      <c r="P16" s="449" t="s">
        <v>347</v>
      </c>
      <c r="Q16" s="206">
        <v>0.0</v>
      </c>
      <c r="R16" s="449">
        <v>0.0</v>
      </c>
    </row>
    <row r="17">
      <c r="A17" s="446" t="s">
        <v>334</v>
      </c>
      <c r="B17" s="449">
        <v>270.0</v>
      </c>
      <c r="C17" s="322">
        <f>M26+M27</f>
        <v>102</v>
      </c>
      <c r="D17" s="322">
        <f>M25</f>
        <v>102</v>
      </c>
      <c r="E17" s="322"/>
      <c r="F17" s="322"/>
      <c r="H17" s="1" t="s">
        <v>1715</v>
      </c>
      <c r="I17" s="439" t="s">
        <v>1756</v>
      </c>
      <c r="J17" s="448">
        <v>2899.0</v>
      </c>
      <c r="K17" s="206">
        <v>75.0</v>
      </c>
      <c r="L17" s="444" t="s">
        <v>347</v>
      </c>
      <c r="M17" s="206" t="s">
        <v>347</v>
      </c>
      <c r="N17" s="206" t="s">
        <v>347</v>
      </c>
      <c r="O17" s="206">
        <v>0.0</v>
      </c>
      <c r="P17" s="449">
        <v>36.0</v>
      </c>
      <c r="Q17" s="206" t="s">
        <v>347</v>
      </c>
      <c r="R17" s="449">
        <v>12.0</v>
      </c>
    </row>
    <row r="18">
      <c r="A18" s="446" t="s">
        <v>335</v>
      </c>
      <c r="B18" s="449">
        <v>33.0</v>
      </c>
      <c r="C18" s="322">
        <f>N26+N24</f>
        <v>12</v>
      </c>
      <c r="D18" s="322">
        <f>N25</f>
        <v>15</v>
      </c>
      <c r="E18" s="322"/>
      <c r="F18" s="322"/>
      <c r="H18" s="1" t="s">
        <v>1715</v>
      </c>
      <c r="I18" s="439" t="s">
        <v>1760</v>
      </c>
      <c r="J18" s="448">
        <v>1898.0</v>
      </c>
      <c r="K18" s="206">
        <v>96.0</v>
      </c>
      <c r="L18" s="444">
        <v>41.0</v>
      </c>
      <c r="M18" s="206">
        <v>0.0</v>
      </c>
      <c r="N18" s="206">
        <v>0.0</v>
      </c>
      <c r="O18" s="206" t="s">
        <v>347</v>
      </c>
      <c r="P18" s="449">
        <v>56.0</v>
      </c>
      <c r="Q18" s="206">
        <v>0.0</v>
      </c>
      <c r="R18" s="449" t="s">
        <v>347</v>
      </c>
    </row>
    <row r="19">
      <c r="A19" s="446" t="s">
        <v>336</v>
      </c>
      <c r="B19" s="447">
        <v>1728.0</v>
      </c>
      <c r="C19" s="322">
        <f>O24+O26+O27</f>
        <v>881</v>
      </c>
      <c r="D19" s="322">
        <f>O25</f>
        <v>512</v>
      </c>
      <c r="E19" s="322"/>
      <c r="F19" s="322"/>
      <c r="H19" s="1" t="s">
        <v>1715</v>
      </c>
      <c r="I19" s="439" t="s">
        <v>1715</v>
      </c>
      <c r="J19" s="448">
        <v>716.0</v>
      </c>
      <c r="K19" s="206" t="s">
        <v>347</v>
      </c>
      <c r="L19" s="444" t="s">
        <v>347</v>
      </c>
      <c r="M19" s="206">
        <v>0.0</v>
      </c>
      <c r="N19" s="206" t="s">
        <v>347</v>
      </c>
      <c r="O19" s="206">
        <v>0.0</v>
      </c>
      <c r="P19" s="449" t="s">
        <v>347</v>
      </c>
      <c r="Q19" s="206" t="s">
        <v>347</v>
      </c>
      <c r="R19" s="449" t="s">
        <v>347</v>
      </c>
    </row>
    <row r="20">
      <c r="A20" s="446" t="s">
        <v>249</v>
      </c>
      <c r="B20" s="449">
        <v>298.0</v>
      </c>
      <c r="C20" s="322">
        <f>P26+P27</f>
        <v>121</v>
      </c>
      <c r="D20" s="322">
        <f>P25</f>
        <v>124</v>
      </c>
      <c r="E20" s="322"/>
      <c r="F20" s="322"/>
      <c r="H20" s="1" t="s">
        <v>1715</v>
      </c>
      <c r="I20" s="439" t="s">
        <v>1764</v>
      </c>
      <c r="J20" s="450">
        <v>0.0</v>
      </c>
      <c r="K20" s="206">
        <v>0.0</v>
      </c>
      <c r="L20" s="444">
        <v>0.0</v>
      </c>
      <c r="M20" s="206">
        <v>0.0</v>
      </c>
      <c r="N20" s="206">
        <v>0.0</v>
      </c>
      <c r="O20" s="206">
        <v>0.0</v>
      </c>
      <c r="P20" s="449">
        <v>0.0</v>
      </c>
      <c r="Q20" s="206">
        <v>0.0</v>
      </c>
      <c r="R20" s="449">
        <v>0.0</v>
      </c>
    </row>
    <row r="21">
      <c r="A21" s="446" t="s">
        <v>337</v>
      </c>
      <c r="B21" s="449">
        <v>69.0</v>
      </c>
      <c r="C21" s="322">
        <f>Q26</f>
        <v>17</v>
      </c>
      <c r="D21" s="322">
        <f>Q25</f>
        <v>23</v>
      </c>
      <c r="E21" s="322"/>
      <c r="F21" s="322"/>
      <c r="I21" s="439" t="s">
        <v>923</v>
      </c>
      <c r="J21" s="448">
        <v>43633.0</v>
      </c>
      <c r="K21" s="208">
        <v>916.0</v>
      </c>
      <c r="L21" s="444">
        <v>347.0</v>
      </c>
      <c r="M21" s="206">
        <v>54.0</v>
      </c>
      <c r="N21" s="206">
        <v>53.0</v>
      </c>
      <c r="O21" s="206">
        <v>35.0</v>
      </c>
      <c r="P21" s="449">
        <v>513.0</v>
      </c>
      <c r="Q21" s="206">
        <v>86.0</v>
      </c>
      <c r="R21" s="449">
        <v>99.0</v>
      </c>
    </row>
    <row r="22">
      <c r="A22" s="446" t="s">
        <v>338</v>
      </c>
      <c r="B22" s="449">
        <v>52.0</v>
      </c>
      <c r="C22" s="322">
        <f>R24+R26+R27</f>
        <v>35</v>
      </c>
      <c r="D22" s="320" t="s">
        <v>63</v>
      </c>
      <c r="E22" s="322"/>
      <c r="F22" s="322"/>
      <c r="J22" s="303"/>
    </row>
    <row r="23">
      <c r="A23" s="446" t="s">
        <v>183</v>
      </c>
      <c r="B23" s="447">
        <v>15018.0</v>
      </c>
      <c r="C23" s="451">
        <f>J44+J46+J47</f>
        <v>6150</v>
      </c>
      <c r="D23" s="451">
        <f>J45</f>
        <v>6029</v>
      </c>
      <c r="E23" s="322"/>
      <c r="F23" s="322"/>
      <c r="I23" s="439" t="s">
        <v>771</v>
      </c>
      <c r="J23" s="328" t="s">
        <v>331</v>
      </c>
      <c r="K23" s="328" t="s">
        <v>332</v>
      </c>
      <c r="L23" s="328" t="s">
        <v>333</v>
      </c>
      <c r="M23" s="328" t="s">
        <v>334</v>
      </c>
      <c r="N23" s="328" t="s">
        <v>335</v>
      </c>
      <c r="O23" s="328" t="s">
        <v>336</v>
      </c>
      <c r="P23" s="328" t="s">
        <v>249</v>
      </c>
      <c r="Q23" s="328" t="s">
        <v>337</v>
      </c>
      <c r="R23" s="328" t="s">
        <v>338</v>
      </c>
    </row>
    <row r="24">
      <c r="A24" s="446" t="s">
        <v>340</v>
      </c>
      <c r="B24" s="449">
        <v>210.0</v>
      </c>
      <c r="C24" s="322">
        <f>K46+K47</f>
        <v>95</v>
      </c>
      <c r="D24" s="322">
        <f>K45</f>
        <v>57</v>
      </c>
      <c r="E24" s="322"/>
      <c r="F24" s="322"/>
      <c r="H24" s="1" t="s">
        <v>1651</v>
      </c>
      <c r="I24" s="442" t="s">
        <v>1719</v>
      </c>
      <c r="J24" s="445">
        <v>92.0</v>
      </c>
      <c r="K24" s="444" t="s">
        <v>347</v>
      </c>
      <c r="L24" s="444">
        <v>12.0</v>
      </c>
      <c r="M24" s="445" t="s">
        <v>347</v>
      </c>
      <c r="N24" s="444">
        <v>0.0</v>
      </c>
      <c r="O24" s="444">
        <v>27.0</v>
      </c>
      <c r="P24" s="444" t="s">
        <v>347</v>
      </c>
      <c r="Q24" s="444" t="s">
        <v>347</v>
      </c>
      <c r="R24" s="444">
        <v>0.0</v>
      </c>
    </row>
    <row r="25">
      <c r="A25" s="446" t="s">
        <v>341</v>
      </c>
      <c r="B25" s="449">
        <v>69.0</v>
      </c>
      <c r="C25" s="320" t="s">
        <v>63</v>
      </c>
      <c r="D25" s="322">
        <f>L45</f>
        <v>26</v>
      </c>
      <c r="E25" s="322"/>
      <c r="F25" s="322"/>
      <c r="H25" s="1" t="s">
        <v>1724</v>
      </c>
      <c r="I25" s="439" t="s">
        <v>1725</v>
      </c>
      <c r="J25" s="449">
        <v>541.0</v>
      </c>
      <c r="K25" s="206">
        <v>14.0</v>
      </c>
      <c r="L25" s="206">
        <v>93.0</v>
      </c>
      <c r="M25" s="449">
        <v>102.0</v>
      </c>
      <c r="N25" s="206">
        <v>15.0</v>
      </c>
      <c r="O25" s="206">
        <v>512.0</v>
      </c>
      <c r="P25" s="206">
        <v>124.0</v>
      </c>
      <c r="Q25" s="206">
        <v>23.0</v>
      </c>
      <c r="R25" s="206" t="s">
        <v>347</v>
      </c>
    </row>
    <row r="26">
      <c r="A26" s="446" t="s">
        <v>342</v>
      </c>
      <c r="B26" s="449">
        <v>35.0</v>
      </c>
      <c r="C26" s="322">
        <f>M46+M44</f>
        <v>14</v>
      </c>
      <c r="D26" s="320" t="s">
        <v>63</v>
      </c>
      <c r="E26" s="322"/>
      <c r="F26" s="322"/>
      <c r="H26" s="1" t="s">
        <v>1651</v>
      </c>
      <c r="I26" s="439" t="s">
        <v>1651</v>
      </c>
      <c r="J26" s="449">
        <v>256.0</v>
      </c>
      <c r="K26" s="206" t="s">
        <v>347</v>
      </c>
      <c r="L26" s="206">
        <v>42.0</v>
      </c>
      <c r="M26" s="449">
        <v>62.0</v>
      </c>
      <c r="N26" s="206">
        <v>12.0</v>
      </c>
      <c r="O26" s="206">
        <v>503.0</v>
      </c>
      <c r="P26" s="206">
        <v>81.0</v>
      </c>
      <c r="Q26" s="206">
        <v>17.0</v>
      </c>
      <c r="R26" s="206">
        <v>16.0</v>
      </c>
    </row>
    <row r="27">
      <c r="A27" s="446" t="s">
        <v>343</v>
      </c>
      <c r="B27" s="449">
        <v>205.0</v>
      </c>
      <c r="C27" s="322">
        <f>N46+N47</f>
        <v>94</v>
      </c>
      <c r="D27" s="322">
        <f>N45</f>
        <v>36</v>
      </c>
      <c r="E27" s="322"/>
      <c r="F27" s="322"/>
      <c r="H27" s="1" t="s">
        <v>1651</v>
      </c>
      <c r="I27" s="439" t="s">
        <v>1728</v>
      </c>
      <c r="J27" s="449">
        <v>631.0</v>
      </c>
      <c r="K27" s="206" t="s">
        <v>347</v>
      </c>
      <c r="L27" s="206">
        <v>24.0</v>
      </c>
      <c r="M27" s="449">
        <v>40.0</v>
      </c>
      <c r="N27" s="206" t="s">
        <v>347</v>
      </c>
      <c r="O27" s="206">
        <v>351.0</v>
      </c>
      <c r="P27" s="206">
        <v>40.0</v>
      </c>
      <c r="Q27" s="206" t="s">
        <v>347</v>
      </c>
      <c r="R27" s="206">
        <v>19.0</v>
      </c>
    </row>
    <row r="28">
      <c r="A28" s="446" t="s">
        <v>344</v>
      </c>
      <c r="B28" s="449">
        <v>615.0</v>
      </c>
      <c r="C28" s="322">
        <f>O44+O46+O47</f>
        <v>285</v>
      </c>
      <c r="D28" s="322">
        <f>O45</f>
        <v>224</v>
      </c>
      <c r="E28" s="322"/>
      <c r="F28" s="322"/>
      <c r="H28" s="1" t="s">
        <v>1715</v>
      </c>
      <c r="I28" s="439" t="s">
        <v>1731</v>
      </c>
      <c r="J28" s="449">
        <v>32.0</v>
      </c>
      <c r="K28" s="206">
        <v>0.0</v>
      </c>
      <c r="L28" s="206" t="s">
        <v>347</v>
      </c>
      <c r="M28" s="449">
        <v>0.0</v>
      </c>
      <c r="N28" s="206">
        <v>0.0</v>
      </c>
      <c r="O28" s="206" t="s">
        <v>347</v>
      </c>
      <c r="P28" s="206" t="s">
        <v>347</v>
      </c>
      <c r="Q28" s="206">
        <v>0.0</v>
      </c>
      <c r="R28" s="206">
        <v>0.0</v>
      </c>
    </row>
    <row r="29">
      <c r="A29" s="446" t="s">
        <v>345</v>
      </c>
      <c r="B29" s="449">
        <v>18.0</v>
      </c>
      <c r="C29" s="320" t="s">
        <v>63</v>
      </c>
      <c r="D29" s="320" t="s">
        <v>63</v>
      </c>
      <c r="E29" s="322"/>
      <c r="F29" s="322"/>
      <c r="H29" s="1" t="s">
        <v>1715</v>
      </c>
      <c r="I29" s="439"/>
      <c r="J29" s="449" t="s">
        <v>347</v>
      </c>
      <c r="K29" s="206" t="s">
        <v>347</v>
      </c>
      <c r="L29" s="206">
        <v>41.0</v>
      </c>
      <c r="M29" s="449">
        <v>0.0</v>
      </c>
      <c r="N29" s="206" t="s">
        <v>347</v>
      </c>
      <c r="O29" s="206">
        <v>0.0</v>
      </c>
      <c r="P29" s="206" t="s">
        <v>347</v>
      </c>
      <c r="Q29" s="206">
        <v>0.0</v>
      </c>
      <c r="R29" s="206" t="s">
        <v>347</v>
      </c>
    </row>
    <row r="30">
      <c r="A30" s="446" t="s">
        <v>346</v>
      </c>
      <c r="B30" s="449" t="s">
        <v>347</v>
      </c>
      <c r="C30" s="320" t="s">
        <v>63</v>
      </c>
      <c r="D30" s="320" t="s">
        <v>63</v>
      </c>
      <c r="E30" s="322"/>
      <c r="F30" s="322"/>
      <c r="H30" s="1" t="s">
        <v>1737</v>
      </c>
      <c r="I30" s="439" t="s">
        <v>1738</v>
      </c>
      <c r="J30" s="449">
        <v>70.0</v>
      </c>
      <c r="K30" s="206" t="s">
        <v>347</v>
      </c>
      <c r="L30" s="206" t="s">
        <v>347</v>
      </c>
      <c r="M30" s="449">
        <v>15.0</v>
      </c>
      <c r="N30" s="206" t="s">
        <v>347</v>
      </c>
      <c r="O30" s="206">
        <v>37.0</v>
      </c>
      <c r="P30" s="206" t="s">
        <v>347</v>
      </c>
      <c r="Q30" s="206" t="s">
        <v>347</v>
      </c>
      <c r="R30" s="206" t="s">
        <v>347</v>
      </c>
    </row>
    <row r="31">
      <c r="A31" s="446" t="s">
        <v>348</v>
      </c>
      <c r="B31" s="449">
        <v>161.0</v>
      </c>
      <c r="C31" s="322">
        <f>R46+R47</f>
        <v>84</v>
      </c>
      <c r="D31" s="322">
        <f>R45</f>
        <v>32</v>
      </c>
      <c r="E31" s="322"/>
      <c r="F31" s="322"/>
      <c r="H31" s="1" t="s">
        <v>1737</v>
      </c>
      <c r="I31" s="439" t="s">
        <v>1740</v>
      </c>
      <c r="J31" s="449">
        <v>0.0</v>
      </c>
      <c r="K31" s="206">
        <v>0.0</v>
      </c>
      <c r="L31" s="206" t="s">
        <v>347</v>
      </c>
      <c r="M31" s="449" t="s">
        <v>347</v>
      </c>
      <c r="N31" s="206">
        <v>0.0</v>
      </c>
      <c r="O31" s="206" t="s">
        <v>347</v>
      </c>
      <c r="P31" s="206">
        <v>0.0</v>
      </c>
      <c r="Q31" s="206">
        <v>0.0</v>
      </c>
      <c r="R31" s="206">
        <v>0.0</v>
      </c>
    </row>
    <row r="32">
      <c r="A32" s="446" t="s">
        <v>349</v>
      </c>
      <c r="B32" s="449">
        <v>61.0</v>
      </c>
      <c r="C32" s="322">
        <f>J64+J67</f>
        <v>15</v>
      </c>
      <c r="D32" s="322">
        <f>J65</f>
        <v>19</v>
      </c>
      <c r="E32" s="322"/>
      <c r="F32" s="322"/>
      <c r="H32" s="1" t="s">
        <v>1715</v>
      </c>
      <c r="I32" s="439" t="s">
        <v>1743</v>
      </c>
      <c r="J32" s="449" t="s">
        <v>347</v>
      </c>
      <c r="K32" s="206">
        <v>0.0</v>
      </c>
      <c r="L32" s="206">
        <v>0.0</v>
      </c>
      <c r="M32" s="449" t="s">
        <v>347</v>
      </c>
      <c r="N32" s="206">
        <v>0.0</v>
      </c>
      <c r="O32" s="206" t="s">
        <v>347</v>
      </c>
      <c r="P32" s="206" t="s">
        <v>347</v>
      </c>
      <c r="Q32" s="206">
        <v>0.0</v>
      </c>
      <c r="R32" s="206">
        <v>0.0</v>
      </c>
    </row>
    <row r="33">
      <c r="A33" s="446" t="s">
        <v>82</v>
      </c>
      <c r="B33" s="449">
        <v>36.0</v>
      </c>
      <c r="C33" s="322">
        <f>K64+K67</f>
        <v>11</v>
      </c>
      <c r="D33" s="322">
        <f>K65</f>
        <v>13</v>
      </c>
      <c r="E33" s="322"/>
      <c r="F33" s="322"/>
      <c r="H33" s="1" t="s">
        <v>1715</v>
      </c>
      <c r="I33" s="439" t="s">
        <v>1745</v>
      </c>
      <c r="J33" s="449">
        <v>33.0</v>
      </c>
      <c r="K33" s="206">
        <v>0.0</v>
      </c>
      <c r="L33" s="206" t="s">
        <v>347</v>
      </c>
      <c r="M33" s="449" t="s">
        <v>347</v>
      </c>
      <c r="N33" s="206">
        <v>0.0</v>
      </c>
      <c r="O33" s="206">
        <v>12.0</v>
      </c>
      <c r="P33" s="206">
        <v>0.0</v>
      </c>
      <c r="Q33" s="206">
        <v>0.0</v>
      </c>
      <c r="R33" s="206">
        <v>0.0</v>
      </c>
    </row>
    <row r="34">
      <c r="A34" s="446" t="s">
        <v>241</v>
      </c>
      <c r="B34" s="447">
        <v>2205.0</v>
      </c>
      <c r="C34" s="322">
        <f>L64+L66+L67</f>
        <v>543</v>
      </c>
      <c r="D34" s="451">
        <f>L65</f>
        <v>1107</v>
      </c>
      <c r="E34" s="322"/>
      <c r="F34" s="322"/>
      <c r="H34" s="1" t="s">
        <v>1715</v>
      </c>
      <c r="I34" s="439" t="s">
        <v>1748</v>
      </c>
      <c r="J34" s="449">
        <v>15.0</v>
      </c>
      <c r="K34" s="206">
        <v>0.0</v>
      </c>
      <c r="L34" s="206">
        <v>0.0</v>
      </c>
      <c r="M34" s="449" t="s">
        <v>347</v>
      </c>
      <c r="N34" s="206">
        <v>0.0</v>
      </c>
      <c r="O34" s="206" t="s">
        <v>347</v>
      </c>
      <c r="P34" s="206" t="s">
        <v>347</v>
      </c>
      <c r="Q34" s="206">
        <v>0.0</v>
      </c>
      <c r="R34" s="206">
        <v>0.0</v>
      </c>
    </row>
    <row r="35">
      <c r="A35" s="446" t="s">
        <v>352</v>
      </c>
      <c r="B35" s="449">
        <v>153.0</v>
      </c>
      <c r="C35" s="322">
        <f>M64+M67</f>
        <v>51</v>
      </c>
      <c r="D35" s="322">
        <f>M65</f>
        <v>56</v>
      </c>
      <c r="E35" s="322"/>
      <c r="F35" s="322"/>
      <c r="H35" s="1" t="s">
        <v>1715</v>
      </c>
      <c r="I35" s="439" t="s">
        <v>781</v>
      </c>
      <c r="J35" s="449">
        <v>40.0</v>
      </c>
      <c r="K35" s="206" t="s">
        <v>347</v>
      </c>
      <c r="L35" s="206" t="s">
        <v>347</v>
      </c>
      <c r="M35" s="449" t="s">
        <v>347</v>
      </c>
      <c r="N35" s="206">
        <v>0.0</v>
      </c>
      <c r="O35" s="206">
        <v>43.0</v>
      </c>
      <c r="P35" s="206" t="s">
        <v>347</v>
      </c>
      <c r="Q35" s="206" t="s">
        <v>347</v>
      </c>
      <c r="R35" s="206">
        <v>0.0</v>
      </c>
    </row>
    <row r="36">
      <c r="A36" s="446" t="s">
        <v>354</v>
      </c>
      <c r="B36" s="449">
        <v>22.0</v>
      </c>
      <c r="C36" s="320" t="s">
        <v>63</v>
      </c>
      <c r="D36" s="320" t="s">
        <v>63</v>
      </c>
      <c r="E36" s="322"/>
      <c r="F36" s="322"/>
      <c r="H36" s="1" t="s">
        <v>1753</v>
      </c>
      <c r="I36" s="439" t="s">
        <v>1754</v>
      </c>
      <c r="J36" s="449">
        <v>138.0</v>
      </c>
      <c r="K36" s="206" t="s">
        <v>347</v>
      </c>
      <c r="L36" s="206">
        <v>0.0</v>
      </c>
      <c r="M36" s="449">
        <v>0.0</v>
      </c>
      <c r="N36" s="206">
        <v>0.0</v>
      </c>
      <c r="O36" s="206">
        <v>0.0</v>
      </c>
      <c r="P36" s="206">
        <v>0.0</v>
      </c>
      <c r="Q36" s="206">
        <v>0.0</v>
      </c>
      <c r="R36" s="206">
        <v>0.0</v>
      </c>
    </row>
    <row r="37">
      <c r="A37" s="446" t="s">
        <v>252</v>
      </c>
      <c r="B37" s="447">
        <v>3119.0</v>
      </c>
      <c r="C37" s="451">
        <f>O64+O66+O67</f>
        <v>1320</v>
      </c>
      <c r="D37" s="451">
        <f>O65</f>
        <v>1177</v>
      </c>
      <c r="E37" s="322"/>
      <c r="F37" s="322"/>
      <c r="H37" s="1" t="s">
        <v>1715</v>
      </c>
      <c r="I37" s="439" t="s">
        <v>1756</v>
      </c>
      <c r="J37" s="449">
        <v>73.0</v>
      </c>
      <c r="K37" s="206" t="s">
        <v>347</v>
      </c>
      <c r="L37" s="206">
        <v>20.0</v>
      </c>
      <c r="M37" s="449">
        <v>27.0</v>
      </c>
      <c r="N37" s="206">
        <v>0.0</v>
      </c>
      <c r="O37" s="206">
        <v>99.0</v>
      </c>
      <c r="P37" s="206">
        <v>33.0</v>
      </c>
      <c r="Q37" s="206" t="s">
        <v>347</v>
      </c>
      <c r="R37" s="206" t="s">
        <v>347</v>
      </c>
    </row>
    <row r="38">
      <c r="A38" s="446" t="s">
        <v>292</v>
      </c>
      <c r="B38" s="447">
        <v>1176.0</v>
      </c>
      <c r="C38" s="322">
        <f>P64+P66+P67</f>
        <v>457</v>
      </c>
      <c r="D38" s="322">
        <f>P65</f>
        <v>277</v>
      </c>
      <c r="E38" s="322"/>
      <c r="F38" s="322"/>
      <c r="H38" s="1" t="s">
        <v>1715</v>
      </c>
      <c r="I38" s="439" t="s">
        <v>1760</v>
      </c>
      <c r="J38" s="449">
        <v>88.0</v>
      </c>
      <c r="K38" s="206" t="s">
        <v>347</v>
      </c>
      <c r="L38" s="206">
        <v>20.0</v>
      </c>
      <c r="M38" s="449" t="s">
        <v>347</v>
      </c>
      <c r="N38" s="206">
        <v>0.0</v>
      </c>
      <c r="O38" s="206">
        <v>71.0</v>
      </c>
      <c r="P38" s="206" t="s">
        <v>347</v>
      </c>
      <c r="Q38" s="206" t="s">
        <v>347</v>
      </c>
      <c r="R38" s="206">
        <v>0.0</v>
      </c>
    </row>
    <row r="39">
      <c r="A39" s="446" t="s">
        <v>356</v>
      </c>
      <c r="B39" s="449">
        <v>26.0</v>
      </c>
      <c r="C39" s="320" t="s">
        <v>63</v>
      </c>
      <c r="D39" s="322">
        <f>Q65</f>
        <v>13</v>
      </c>
      <c r="E39" s="322"/>
      <c r="F39" s="322"/>
      <c r="H39" s="1" t="s">
        <v>1715</v>
      </c>
      <c r="I39" s="439" t="s">
        <v>1715</v>
      </c>
      <c r="J39" s="449">
        <v>71.0</v>
      </c>
      <c r="K39" s="206" t="s">
        <v>347</v>
      </c>
      <c r="L39" s="206">
        <v>20.0</v>
      </c>
      <c r="M39" s="449" t="s">
        <v>347</v>
      </c>
      <c r="N39" s="206" t="s">
        <v>347</v>
      </c>
      <c r="O39" s="206">
        <v>46.0</v>
      </c>
      <c r="P39" s="206">
        <v>0.0</v>
      </c>
      <c r="Q39" s="206" t="s">
        <v>347</v>
      </c>
      <c r="R39" s="206" t="s">
        <v>347</v>
      </c>
    </row>
    <row r="40">
      <c r="A40" s="446" t="s">
        <v>261</v>
      </c>
      <c r="B40" s="447">
        <v>4996.0</v>
      </c>
      <c r="C40" s="451">
        <f>R64+R66+R67</f>
        <v>2220</v>
      </c>
      <c r="D40" s="451">
        <f>R65</f>
        <v>1544</v>
      </c>
      <c r="E40" s="322"/>
      <c r="F40" s="322"/>
      <c r="H40" s="1" t="s">
        <v>1715</v>
      </c>
      <c r="I40" s="439" t="s">
        <v>1764</v>
      </c>
      <c r="J40" s="449">
        <v>0.0</v>
      </c>
      <c r="K40" s="206">
        <v>0.0</v>
      </c>
      <c r="L40" s="206">
        <v>0.0</v>
      </c>
      <c r="M40" s="449">
        <v>0.0</v>
      </c>
      <c r="N40" s="206">
        <v>0.0</v>
      </c>
      <c r="O40" s="206">
        <v>0.0</v>
      </c>
      <c r="P40" s="206">
        <v>0.0</v>
      </c>
      <c r="Q40" s="206">
        <v>0.0</v>
      </c>
      <c r="R40" s="206">
        <v>0.0</v>
      </c>
    </row>
    <row r="41">
      <c r="A41" s="446" t="s">
        <v>239</v>
      </c>
      <c r="B41" s="447">
        <v>1655.0</v>
      </c>
      <c r="C41" s="322">
        <f>J84+J86+J87</f>
        <v>636</v>
      </c>
      <c r="D41" s="322">
        <f>J85</f>
        <v>587</v>
      </c>
      <c r="E41" s="322"/>
      <c r="F41" s="322"/>
      <c r="I41" s="439" t="s">
        <v>923</v>
      </c>
      <c r="J41" s="447">
        <v>2093.0</v>
      </c>
      <c r="K41" s="206">
        <v>46.0</v>
      </c>
      <c r="L41" s="206">
        <v>281.0</v>
      </c>
      <c r="M41" s="449">
        <v>270.0</v>
      </c>
      <c r="N41" s="206">
        <v>33.0</v>
      </c>
      <c r="O41" s="208">
        <v>1728.0</v>
      </c>
      <c r="P41" s="206">
        <v>298.0</v>
      </c>
      <c r="Q41" s="206">
        <v>69.0</v>
      </c>
      <c r="R41" s="206">
        <v>52.0</v>
      </c>
    </row>
    <row r="42">
      <c r="A42" s="446" t="s">
        <v>357</v>
      </c>
      <c r="B42" s="449">
        <v>620.0</v>
      </c>
      <c r="C42" s="322">
        <f>K86+K87</f>
        <v>274</v>
      </c>
      <c r="D42" s="322">
        <f>K85</f>
        <v>195</v>
      </c>
      <c r="E42" s="322"/>
      <c r="F42" s="322"/>
    </row>
    <row r="43">
      <c r="A43" s="446" t="s">
        <v>358</v>
      </c>
      <c r="B43" s="447">
        <v>1170.0</v>
      </c>
      <c r="C43" s="322">
        <f>L84+L86+L87</f>
        <v>485</v>
      </c>
      <c r="D43" s="322">
        <f>L85</f>
        <v>429</v>
      </c>
      <c r="E43" s="322"/>
      <c r="F43" s="322"/>
      <c r="I43" s="439" t="s">
        <v>771</v>
      </c>
      <c r="J43" s="328" t="s">
        <v>183</v>
      </c>
      <c r="K43" s="328" t="s">
        <v>340</v>
      </c>
      <c r="L43" s="328" t="s">
        <v>341</v>
      </c>
      <c r="M43" s="328" t="s">
        <v>342</v>
      </c>
      <c r="N43" s="328" t="s">
        <v>343</v>
      </c>
      <c r="O43" s="328" t="s">
        <v>344</v>
      </c>
      <c r="P43" s="328" t="s">
        <v>345</v>
      </c>
      <c r="Q43" s="328" t="s">
        <v>346</v>
      </c>
      <c r="R43" s="328" t="s">
        <v>348</v>
      </c>
    </row>
    <row r="44">
      <c r="A44" s="446" t="s">
        <v>360</v>
      </c>
      <c r="B44" s="449">
        <v>260.0</v>
      </c>
      <c r="C44" s="322">
        <f>M84+M86+M87</f>
        <v>106</v>
      </c>
      <c r="D44" s="322">
        <f>M85</f>
        <v>98</v>
      </c>
      <c r="E44" s="322"/>
      <c r="F44" s="322"/>
      <c r="H44" s="1" t="s">
        <v>1651</v>
      </c>
      <c r="I44" s="442" t="s">
        <v>1719</v>
      </c>
      <c r="J44" s="452">
        <v>1810.0</v>
      </c>
      <c r="K44" s="444" t="s">
        <v>347</v>
      </c>
      <c r="L44" s="444" t="s">
        <v>347</v>
      </c>
      <c r="M44" s="444">
        <v>0.0</v>
      </c>
      <c r="N44" s="444" t="s">
        <v>347</v>
      </c>
      <c r="O44" s="444">
        <v>33.0</v>
      </c>
      <c r="P44" s="444" t="s">
        <v>347</v>
      </c>
      <c r="Q44" s="444">
        <v>0.0</v>
      </c>
      <c r="R44" s="444" t="s">
        <v>347</v>
      </c>
    </row>
    <row r="45">
      <c r="A45" s="446" t="s">
        <v>361</v>
      </c>
      <c r="B45" s="449">
        <v>115.0</v>
      </c>
      <c r="C45" s="322">
        <f>N86+N87</f>
        <v>45</v>
      </c>
      <c r="D45" s="322">
        <f>N85</f>
        <v>25</v>
      </c>
      <c r="E45" s="322"/>
      <c r="F45" s="322"/>
      <c r="H45" s="1" t="s">
        <v>1724</v>
      </c>
      <c r="I45" s="439" t="s">
        <v>1725</v>
      </c>
      <c r="J45" s="447">
        <v>6029.0</v>
      </c>
      <c r="K45" s="206">
        <v>57.0</v>
      </c>
      <c r="L45" s="206">
        <v>26.0</v>
      </c>
      <c r="M45" s="206" t="s">
        <v>347</v>
      </c>
      <c r="N45" s="206">
        <v>36.0</v>
      </c>
      <c r="O45" s="206">
        <v>224.0</v>
      </c>
      <c r="P45" s="206" t="s">
        <v>347</v>
      </c>
      <c r="Q45" s="206" t="s">
        <v>347</v>
      </c>
      <c r="R45" s="206">
        <v>32.0</v>
      </c>
    </row>
    <row r="46">
      <c r="A46" s="446" t="s">
        <v>362</v>
      </c>
      <c r="B46" s="449">
        <v>387.0</v>
      </c>
      <c r="C46" s="322">
        <f>O86+O87</f>
        <v>164</v>
      </c>
      <c r="D46" s="322">
        <f>O85</f>
        <v>137</v>
      </c>
      <c r="E46" s="322"/>
      <c r="F46" s="322"/>
      <c r="H46" s="1" t="s">
        <v>1651</v>
      </c>
      <c r="I46" s="439" t="s">
        <v>1651</v>
      </c>
      <c r="J46" s="447">
        <v>2663.0</v>
      </c>
      <c r="K46" s="206">
        <v>62.0</v>
      </c>
      <c r="L46" s="206" t="s">
        <v>347</v>
      </c>
      <c r="M46" s="206">
        <v>14.0</v>
      </c>
      <c r="N46" s="206">
        <v>48.0</v>
      </c>
      <c r="O46" s="206">
        <v>107.0</v>
      </c>
      <c r="P46" s="206" t="s">
        <v>347</v>
      </c>
      <c r="Q46" s="206" t="s">
        <v>347</v>
      </c>
      <c r="R46" s="206">
        <v>66.0</v>
      </c>
    </row>
    <row r="47">
      <c r="A47" s="446" t="s">
        <v>272</v>
      </c>
      <c r="B47" s="447">
        <v>494.0</v>
      </c>
      <c r="C47" s="322">
        <f>P86+P87</f>
        <v>234</v>
      </c>
      <c r="D47" s="322">
        <f>P85</f>
        <v>111</v>
      </c>
      <c r="E47" s="322"/>
      <c r="F47" s="322"/>
      <c r="H47" s="1" t="s">
        <v>1651</v>
      </c>
      <c r="I47" s="439" t="s">
        <v>1728</v>
      </c>
      <c r="J47" s="447">
        <v>1677.0</v>
      </c>
      <c r="K47" s="206">
        <v>33.0</v>
      </c>
      <c r="L47" s="206" t="s">
        <v>347</v>
      </c>
      <c r="M47" s="206" t="s">
        <v>347</v>
      </c>
      <c r="N47" s="206">
        <v>46.0</v>
      </c>
      <c r="O47" s="206">
        <v>145.0</v>
      </c>
      <c r="P47" s="206" t="s">
        <v>347</v>
      </c>
      <c r="Q47" s="206">
        <v>0.0</v>
      </c>
      <c r="R47" s="206">
        <v>18.0</v>
      </c>
    </row>
    <row r="48">
      <c r="A48" s="446" t="s">
        <v>232</v>
      </c>
      <c r="B48" s="449">
        <v>116.0</v>
      </c>
      <c r="C48" s="322">
        <f>Q84+Q86</f>
        <v>34</v>
      </c>
      <c r="D48" s="322">
        <f>Q85</f>
        <v>46</v>
      </c>
      <c r="E48" s="322"/>
      <c r="F48" s="322"/>
      <c r="H48" s="1" t="s">
        <v>1715</v>
      </c>
      <c r="I48" s="439" t="s">
        <v>1731</v>
      </c>
      <c r="J48" s="449">
        <v>229.0</v>
      </c>
      <c r="K48" s="206">
        <v>0.0</v>
      </c>
      <c r="L48" s="206">
        <v>0.0</v>
      </c>
      <c r="M48" s="206">
        <v>0.0</v>
      </c>
      <c r="N48" s="206" t="s">
        <v>347</v>
      </c>
      <c r="O48" s="206" t="s">
        <v>347</v>
      </c>
      <c r="P48" s="206">
        <v>0.0</v>
      </c>
      <c r="Q48" s="206">
        <v>0.0</v>
      </c>
      <c r="R48" s="206">
        <v>0.0</v>
      </c>
    </row>
    <row r="49">
      <c r="A49" s="446" t="s">
        <v>364</v>
      </c>
      <c r="B49" s="449">
        <v>376.0</v>
      </c>
      <c r="C49" s="322">
        <f>R84+R86+R87</f>
        <v>179</v>
      </c>
      <c r="D49" s="322">
        <f>R85</f>
        <v>127</v>
      </c>
      <c r="E49" s="322"/>
      <c r="F49" s="322"/>
      <c r="H49" s="1" t="s">
        <v>1715</v>
      </c>
      <c r="I49" s="439"/>
      <c r="J49" s="449">
        <v>0.0</v>
      </c>
      <c r="K49" s="206" t="s">
        <v>347</v>
      </c>
      <c r="L49" s="206">
        <v>0.0</v>
      </c>
      <c r="M49" s="206">
        <v>0.0</v>
      </c>
      <c r="N49" s="206">
        <v>23.0</v>
      </c>
      <c r="O49" s="206">
        <v>0.0</v>
      </c>
      <c r="P49" s="206">
        <v>0.0</v>
      </c>
      <c r="Q49" s="206">
        <v>0.0</v>
      </c>
      <c r="R49" s="206">
        <v>0.0</v>
      </c>
    </row>
    <row r="50">
      <c r="A50" s="446" t="s">
        <v>365</v>
      </c>
      <c r="B50" s="449">
        <v>11.0</v>
      </c>
      <c r="C50" s="320" t="s">
        <v>63</v>
      </c>
      <c r="D50" s="320" t="s">
        <v>63</v>
      </c>
      <c r="E50" s="322"/>
      <c r="F50" s="322"/>
      <c r="H50" s="1" t="s">
        <v>1737</v>
      </c>
      <c r="I50" s="439" t="s">
        <v>1738</v>
      </c>
      <c r="J50" s="449">
        <v>246.0</v>
      </c>
      <c r="K50" s="206" t="s">
        <v>347</v>
      </c>
      <c r="L50" s="206" t="s">
        <v>347</v>
      </c>
      <c r="M50" s="206" t="s">
        <v>347</v>
      </c>
      <c r="N50" s="206">
        <v>12.0</v>
      </c>
      <c r="O50" s="206">
        <v>16.0</v>
      </c>
      <c r="P50" s="206" t="s">
        <v>347</v>
      </c>
      <c r="Q50" s="206">
        <v>0.0</v>
      </c>
      <c r="R50" s="206" t="s">
        <v>347</v>
      </c>
    </row>
    <row r="51">
      <c r="A51" s="446" t="s">
        <v>366</v>
      </c>
      <c r="B51" s="449">
        <v>85.0</v>
      </c>
      <c r="C51" s="322">
        <f>K104+K106+K107</f>
        <v>49</v>
      </c>
      <c r="D51" s="322">
        <f>K105</f>
        <v>18</v>
      </c>
      <c r="E51" s="322"/>
      <c r="F51" s="322"/>
      <c r="H51" s="1" t="s">
        <v>1737</v>
      </c>
      <c r="I51" s="439" t="s">
        <v>1740</v>
      </c>
      <c r="J51" s="449">
        <v>0.0</v>
      </c>
      <c r="K51" s="206">
        <v>0.0</v>
      </c>
      <c r="L51" s="206">
        <v>0.0</v>
      </c>
      <c r="M51" s="206">
        <v>0.0</v>
      </c>
      <c r="N51" s="206" t="s">
        <v>347</v>
      </c>
      <c r="O51" s="206">
        <v>0.0</v>
      </c>
      <c r="P51" s="206">
        <v>0.0</v>
      </c>
      <c r="Q51" s="206">
        <v>0.0</v>
      </c>
      <c r="R51" s="206" t="s">
        <v>347</v>
      </c>
    </row>
    <row r="52">
      <c r="A52" s="446" t="s">
        <v>369</v>
      </c>
      <c r="B52" s="449">
        <v>305.0</v>
      </c>
      <c r="C52" s="322">
        <f>L104+L106+L107</f>
        <v>133</v>
      </c>
      <c r="D52" s="322">
        <f>L105</f>
        <v>95</v>
      </c>
      <c r="E52" s="322"/>
      <c r="F52" s="322"/>
      <c r="H52" s="1" t="s">
        <v>1715</v>
      </c>
      <c r="I52" s="439" t="s">
        <v>1743</v>
      </c>
      <c r="J52" s="449">
        <v>108.0</v>
      </c>
      <c r="K52" s="206" t="s">
        <v>347</v>
      </c>
      <c r="L52" s="206">
        <v>0.0</v>
      </c>
      <c r="M52" s="206">
        <v>0.0</v>
      </c>
      <c r="N52" s="206" t="s">
        <v>347</v>
      </c>
      <c r="O52" s="206">
        <v>0.0</v>
      </c>
      <c r="P52" s="206">
        <v>0.0</v>
      </c>
      <c r="Q52" s="206">
        <v>0.0</v>
      </c>
      <c r="R52" s="206" t="s">
        <v>347</v>
      </c>
    </row>
    <row r="53">
      <c r="A53" s="453" t="s">
        <v>370</v>
      </c>
      <c r="B53" s="449">
        <v>446.0</v>
      </c>
      <c r="C53" s="322">
        <f>M104+M106+M107</f>
        <v>167</v>
      </c>
      <c r="D53" s="322">
        <f>M105</f>
        <v>122</v>
      </c>
      <c r="E53" s="322"/>
      <c r="F53" s="322"/>
      <c r="H53" s="1" t="s">
        <v>1715</v>
      </c>
      <c r="I53" s="439" t="s">
        <v>1745</v>
      </c>
      <c r="J53" s="449">
        <v>334.0</v>
      </c>
      <c r="K53" s="206" t="s">
        <v>347</v>
      </c>
      <c r="L53" s="206">
        <v>0.0</v>
      </c>
      <c r="M53" s="206">
        <v>0.0</v>
      </c>
      <c r="N53" s="206" t="s">
        <v>347</v>
      </c>
      <c r="O53" s="206">
        <v>0.0</v>
      </c>
      <c r="P53" s="206">
        <v>0.0</v>
      </c>
      <c r="Q53" s="206">
        <v>0.0</v>
      </c>
      <c r="R53" s="206">
        <v>0.0</v>
      </c>
    </row>
    <row r="54">
      <c r="A54" s="446" t="s">
        <v>371</v>
      </c>
      <c r="B54" s="449">
        <v>514.0</v>
      </c>
      <c r="C54" s="322">
        <f>N106+N107</f>
        <v>252</v>
      </c>
      <c r="D54" s="322">
        <f>N105</f>
        <v>65</v>
      </c>
      <c r="E54" s="322"/>
      <c r="F54" s="322"/>
      <c r="H54" s="1" t="s">
        <v>1715</v>
      </c>
      <c r="I54" s="439" t="s">
        <v>1748</v>
      </c>
      <c r="J54" s="449">
        <v>96.0</v>
      </c>
      <c r="K54" s="206" t="s">
        <v>347</v>
      </c>
      <c r="L54" s="206">
        <v>0.0</v>
      </c>
      <c r="M54" s="206">
        <v>0.0</v>
      </c>
      <c r="N54" s="206">
        <v>0.0</v>
      </c>
      <c r="O54" s="206" t="s">
        <v>347</v>
      </c>
      <c r="P54" s="206" t="s">
        <v>347</v>
      </c>
      <c r="Q54" s="206">
        <v>0.0</v>
      </c>
      <c r="R54" s="206">
        <v>0.0</v>
      </c>
    </row>
    <row r="55">
      <c r="A55" s="446" t="s">
        <v>372</v>
      </c>
      <c r="B55" s="449">
        <v>96.0</v>
      </c>
      <c r="C55" s="322">
        <f>O107</f>
        <v>45</v>
      </c>
      <c r="D55" s="322">
        <f>O105</f>
        <v>21</v>
      </c>
      <c r="E55" s="322"/>
      <c r="F55" s="322"/>
      <c r="H55" s="1" t="s">
        <v>1715</v>
      </c>
      <c r="I55" s="439" t="s">
        <v>781</v>
      </c>
      <c r="J55" s="449">
        <v>120.0</v>
      </c>
      <c r="K55" s="206" t="s">
        <v>347</v>
      </c>
      <c r="L55" s="206" t="s">
        <v>347</v>
      </c>
      <c r="M55" s="206">
        <v>0.0</v>
      </c>
      <c r="N55" s="206" t="s">
        <v>347</v>
      </c>
      <c r="O55" s="206" t="s">
        <v>347</v>
      </c>
      <c r="P55" s="206">
        <v>0.0</v>
      </c>
      <c r="Q55" s="206">
        <v>0.0</v>
      </c>
      <c r="R55" s="206" t="s">
        <v>347</v>
      </c>
    </row>
    <row r="56">
      <c r="A56" s="446" t="s">
        <v>373</v>
      </c>
      <c r="B56" s="449">
        <v>120.0</v>
      </c>
      <c r="C56" s="322">
        <f>P106+P107</f>
        <v>59</v>
      </c>
      <c r="D56" s="322">
        <f>P105</f>
        <v>16</v>
      </c>
      <c r="E56" s="322"/>
      <c r="F56" s="322"/>
      <c r="H56" s="1" t="s">
        <v>1753</v>
      </c>
      <c r="I56" s="439" t="s">
        <v>1754</v>
      </c>
      <c r="J56" s="449">
        <v>11.0</v>
      </c>
      <c r="K56" s="206">
        <v>0.0</v>
      </c>
      <c r="L56" s="206">
        <v>0.0</v>
      </c>
      <c r="M56" s="206" t="s">
        <v>347</v>
      </c>
      <c r="N56" s="206" t="s">
        <v>347</v>
      </c>
      <c r="O56" s="206">
        <v>11.0</v>
      </c>
      <c r="P56" s="206">
        <v>0.0</v>
      </c>
      <c r="Q56" s="206" t="s">
        <v>347</v>
      </c>
      <c r="R56" s="206">
        <v>0.0</v>
      </c>
    </row>
    <row r="57">
      <c r="A57" s="446" t="s">
        <v>376</v>
      </c>
      <c r="B57" s="449">
        <v>26.0</v>
      </c>
      <c r="C57" s="320" t="s">
        <v>63</v>
      </c>
      <c r="D57" s="320" t="s">
        <v>63</v>
      </c>
      <c r="E57" s="322"/>
      <c r="F57" s="322"/>
      <c r="H57" s="1" t="s">
        <v>1715</v>
      </c>
      <c r="I57" s="439" t="s">
        <v>1756</v>
      </c>
      <c r="J57" s="447">
        <v>1145.0</v>
      </c>
      <c r="K57" s="206">
        <v>14.0</v>
      </c>
      <c r="L57" s="206" t="s">
        <v>347</v>
      </c>
      <c r="M57" s="206" t="s">
        <v>347</v>
      </c>
      <c r="N57" s="206">
        <v>18.0</v>
      </c>
      <c r="O57" s="206">
        <v>24.0</v>
      </c>
      <c r="P57" s="206">
        <v>0.0</v>
      </c>
      <c r="Q57" s="206">
        <v>0.0</v>
      </c>
      <c r="R57" s="206">
        <v>17.0</v>
      </c>
    </row>
    <row r="58">
      <c r="A58" s="446" t="s">
        <v>377</v>
      </c>
      <c r="B58" s="447">
        <v>837.0</v>
      </c>
      <c r="C58" s="322">
        <f>R104+R106+R107</f>
        <v>416</v>
      </c>
      <c r="D58" s="322">
        <f>R105</f>
        <v>239</v>
      </c>
      <c r="E58" s="322"/>
      <c r="F58" s="322"/>
      <c r="H58" s="1" t="s">
        <v>1715</v>
      </c>
      <c r="I58" s="439" t="s">
        <v>1760</v>
      </c>
      <c r="J58" s="449">
        <v>368.0</v>
      </c>
      <c r="K58" s="206">
        <v>15.0</v>
      </c>
      <c r="L58" s="206">
        <v>12.0</v>
      </c>
      <c r="M58" s="206">
        <v>0.0</v>
      </c>
      <c r="N58" s="206" t="s">
        <v>347</v>
      </c>
      <c r="O58" s="206">
        <v>37.0</v>
      </c>
      <c r="P58" s="206">
        <v>0.0</v>
      </c>
      <c r="Q58" s="206">
        <v>0.0</v>
      </c>
      <c r="R58" s="206" t="s">
        <v>347</v>
      </c>
    </row>
    <row r="59">
      <c r="A59" s="446" t="s">
        <v>378</v>
      </c>
      <c r="B59" s="449">
        <v>63.0</v>
      </c>
      <c r="C59" s="322">
        <f>J124+J126</f>
        <v>24</v>
      </c>
      <c r="D59" s="322">
        <f>J125</f>
        <v>18</v>
      </c>
      <c r="E59" s="322"/>
      <c r="F59" s="322"/>
      <c r="H59" s="1" t="s">
        <v>1715</v>
      </c>
      <c r="I59" s="439" t="s">
        <v>1715</v>
      </c>
      <c r="J59" s="449">
        <v>182.0</v>
      </c>
      <c r="K59" s="206" t="s">
        <v>347</v>
      </c>
      <c r="L59" s="206" t="s">
        <v>347</v>
      </c>
      <c r="M59" s="206">
        <v>0.0</v>
      </c>
      <c r="N59" s="206" t="s">
        <v>347</v>
      </c>
      <c r="O59" s="206" t="s">
        <v>347</v>
      </c>
      <c r="P59" s="206">
        <v>0.0</v>
      </c>
      <c r="Q59" s="206">
        <v>0.0</v>
      </c>
      <c r="R59" s="206" t="s">
        <v>347</v>
      </c>
    </row>
    <row r="60">
      <c r="A60" s="446" t="s">
        <v>379</v>
      </c>
      <c r="B60" s="449">
        <v>435.0</v>
      </c>
      <c r="C60" s="322">
        <f>K126+K127</f>
        <v>107</v>
      </c>
      <c r="D60" s="322">
        <f>K125</f>
        <v>193</v>
      </c>
      <c r="E60" s="322"/>
      <c r="F60" s="322"/>
      <c r="H60" s="1" t="s">
        <v>1715</v>
      </c>
      <c r="I60" s="439" t="s">
        <v>1764</v>
      </c>
      <c r="J60" s="449">
        <v>0.0</v>
      </c>
      <c r="K60" s="206">
        <v>0.0</v>
      </c>
      <c r="L60" s="206">
        <v>0.0</v>
      </c>
      <c r="M60" s="206">
        <v>0.0</v>
      </c>
      <c r="N60" s="206">
        <v>0.0</v>
      </c>
      <c r="O60" s="206">
        <v>0.0</v>
      </c>
      <c r="P60" s="206">
        <v>0.0</v>
      </c>
      <c r="Q60" s="206">
        <v>0.0</v>
      </c>
      <c r="R60" s="206">
        <v>0.0</v>
      </c>
    </row>
    <row r="61">
      <c r="A61" s="446" t="s">
        <v>380</v>
      </c>
      <c r="B61" s="449">
        <v>244.0</v>
      </c>
      <c r="C61" s="322">
        <f>L126+L127</f>
        <v>152</v>
      </c>
      <c r="D61" s="322">
        <f>L125</f>
        <v>64</v>
      </c>
      <c r="E61" s="322"/>
      <c r="F61" s="322"/>
      <c r="I61" s="439" t="s">
        <v>923</v>
      </c>
      <c r="J61" s="447">
        <v>15018.0</v>
      </c>
      <c r="K61" s="206">
        <v>210.0</v>
      </c>
      <c r="L61" s="206">
        <v>69.0</v>
      </c>
      <c r="M61" s="206">
        <v>35.0</v>
      </c>
      <c r="N61" s="206">
        <v>205.0</v>
      </c>
      <c r="O61" s="206">
        <v>615.0</v>
      </c>
      <c r="P61" s="206">
        <v>18.0</v>
      </c>
      <c r="Q61" s="206" t="s">
        <v>347</v>
      </c>
      <c r="R61" s="206">
        <v>161.0</v>
      </c>
    </row>
    <row r="62">
      <c r="A62" s="446" t="s">
        <v>383</v>
      </c>
      <c r="B62" s="449">
        <v>152.0</v>
      </c>
      <c r="C62" s="322">
        <f>M126+M127</f>
        <v>87</v>
      </c>
      <c r="D62" s="322">
        <f>M125</f>
        <v>21</v>
      </c>
      <c r="E62" s="322"/>
      <c r="F62" s="322"/>
    </row>
    <row r="63">
      <c r="I63" s="439" t="s">
        <v>771</v>
      </c>
      <c r="J63" s="454" t="s">
        <v>349</v>
      </c>
      <c r="K63" s="454" t="s">
        <v>82</v>
      </c>
      <c r="L63" s="454" t="s">
        <v>241</v>
      </c>
      <c r="M63" s="454" t="s">
        <v>352</v>
      </c>
      <c r="N63" s="454" t="s">
        <v>354</v>
      </c>
      <c r="O63" s="454" t="s">
        <v>252</v>
      </c>
      <c r="P63" s="454" t="s">
        <v>292</v>
      </c>
      <c r="Q63" s="454" t="s">
        <v>356</v>
      </c>
      <c r="R63" s="454" t="s">
        <v>261</v>
      </c>
    </row>
    <row r="64">
      <c r="H64" s="1" t="s">
        <v>1651</v>
      </c>
      <c r="I64" s="455" t="s">
        <v>1719</v>
      </c>
      <c r="J64" s="206">
        <v>0.0</v>
      </c>
      <c r="K64" s="206">
        <v>0.0</v>
      </c>
      <c r="L64" s="206">
        <v>59.0</v>
      </c>
      <c r="M64" s="206">
        <v>0.0</v>
      </c>
      <c r="N64" s="206">
        <v>0.0</v>
      </c>
      <c r="O64" s="206">
        <v>37.0</v>
      </c>
      <c r="P64" s="206">
        <v>22.0</v>
      </c>
      <c r="Q64" s="206">
        <v>0.0</v>
      </c>
      <c r="R64" s="206">
        <v>57.0</v>
      </c>
    </row>
    <row r="65">
      <c r="H65" s="1" t="s">
        <v>1724</v>
      </c>
      <c r="I65" s="456" t="s">
        <v>1725</v>
      </c>
      <c r="J65" s="206">
        <v>19.0</v>
      </c>
      <c r="K65" s="206">
        <v>13.0</v>
      </c>
      <c r="L65" s="208">
        <v>1107.0</v>
      </c>
      <c r="M65" s="206">
        <v>56.0</v>
      </c>
      <c r="N65" s="206" t="s">
        <v>347</v>
      </c>
      <c r="O65" s="208">
        <v>1177.0</v>
      </c>
      <c r="P65" s="206">
        <v>277.0</v>
      </c>
      <c r="Q65" s="206">
        <v>13.0</v>
      </c>
      <c r="R65" s="208">
        <v>1544.0</v>
      </c>
    </row>
    <row r="66">
      <c r="H66" s="1" t="s">
        <v>1651</v>
      </c>
      <c r="I66" s="456" t="s">
        <v>1651</v>
      </c>
      <c r="J66" s="206" t="s">
        <v>347</v>
      </c>
      <c r="K66" s="206" t="s">
        <v>347</v>
      </c>
      <c r="L66" s="206">
        <v>283.0</v>
      </c>
      <c r="M66" s="206" t="s">
        <v>347</v>
      </c>
      <c r="N66" s="206" t="s">
        <v>347</v>
      </c>
      <c r="O66" s="206">
        <v>216.0</v>
      </c>
      <c r="P66" s="206">
        <v>190.0</v>
      </c>
      <c r="Q66" s="206" t="s">
        <v>347</v>
      </c>
      <c r="R66" s="206">
        <v>463.0</v>
      </c>
    </row>
    <row r="67">
      <c r="H67" s="1" t="s">
        <v>1651</v>
      </c>
      <c r="I67" s="456" t="s">
        <v>1728</v>
      </c>
      <c r="J67" s="206">
        <v>15.0</v>
      </c>
      <c r="K67" s="206">
        <v>11.0</v>
      </c>
      <c r="L67" s="206">
        <v>201.0</v>
      </c>
      <c r="M67" s="206">
        <v>51.0</v>
      </c>
      <c r="N67" s="206" t="s">
        <v>347</v>
      </c>
      <c r="O67" s="208">
        <v>1067.0</v>
      </c>
      <c r="P67" s="206">
        <v>245.0</v>
      </c>
      <c r="Q67" s="206" t="s">
        <v>347</v>
      </c>
      <c r="R67" s="208">
        <v>1700.0</v>
      </c>
    </row>
    <row r="68">
      <c r="H68" s="1" t="s">
        <v>1715</v>
      </c>
      <c r="I68" s="456" t="s">
        <v>1731</v>
      </c>
      <c r="J68" s="206" t="s">
        <v>347</v>
      </c>
      <c r="K68" s="206">
        <v>0.0</v>
      </c>
      <c r="L68" s="206" t="s">
        <v>347</v>
      </c>
      <c r="M68" s="206" t="s">
        <v>347</v>
      </c>
      <c r="N68" s="206">
        <v>0.0</v>
      </c>
      <c r="O68" s="206">
        <v>49.0</v>
      </c>
      <c r="P68" s="206">
        <v>34.0</v>
      </c>
      <c r="Q68" s="206">
        <v>0.0</v>
      </c>
      <c r="R68" s="206">
        <v>77.0</v>
      </c>
    </row>
    <row r="69">
      <c r="H69" s="1" t="s">
        <v>1715</v>
      </c>
      <c r="I69" s="456"/>
      <c r="J69" s="206">
        <v>0.0</v>
      </c>
      <c r="K69" s="206">
        <v>0.0</v>
      </c>
      <c r="L69" s="206">
        <v>0.0</v>
      </c>
      <c r="M69" s="206" t="s">
        <v>347</v>
      </c>
      <c r="N69" s="206">
        <v>0.0</v>
      </c>
      <c r="O69" s="206" t="s">
        <v>347</v>
      </c>
      <c r="P69" s="206" t="s">
        <v>347</v>
      </c>
      <c r="Q69" s="206">
        <v>0.0</v>
      </c>
      <c r="R69" s="206" t="s">
        <v>347</v>
      </c>
    </row>
    <row r="70">
      <c r="H70" s="1" t="s">
        <v>1737</v>
      </c>
      <c r="I70" s="456" t="s">
        <v>1738</v>
      </c>
      <c r="J70" s="206" t="s">
        <v>347</v>
      </c>
      <c r="K70" s="206" t="s">
        <v>347</v>
      </c>
      <c r="L70" s="206">
        <v>62.0</v>
      </c>
      <c r="M70" s="206" t="s">
        <v>347</v>
      </c>
      <c r="N70" s="206" t="s">
        <v>347</v>
      </c>
      <c r="O70" s="206">
        <v>119.0</v>
      </c>
      <c r="P70" s="206">
        <v>58.0</v>
      </c>
      <c r="Q70" s="206">
        <v>0.0</v>
      </c>
      <c r="R70" s="206">
        <v>324.0</v>
      </c>
    </row>
    <row r="71">
      <c r="H71" s="1" t="s">
        <v>1737</v>
      </c>
      <c r="I71" s="456" t="s">
        <v>1740</v>
      </c>
      <c r="J71" s="206">
        <v>0.0</v>
      </c>
      <c r="K71" s="206">
        <v>0.0</v>
      </c>
      <c r="L71" s="206">
        <v>74.0</v>
      </c>
      <c r="M71" s="206">
        <v>0.0</v>
      </c>
      <c r="N71" s="206">
        <v>0.0</v>
      </c>
      <c r="O71" s="206">
        <v>0.0</v>
      </c>
      <c r="P71" s="206">
        <v>0.0</v>
      </c>
      <c r="Q71" s="206">
        <v>0.0</v>
      </c>
      <c r="R71" s="206">
        <v>0.0</v>
      </c>
    </row>
    <row r="72">
      <c r="H72" s="1" t="s">
        <v>1715</v>
      </c>
      <c r="I72" s="456" t="s">
        <v>1743</v>
      </c>
      <c r="J72" s="206" t="s">
        <v>347</v>
      </c>
      <c r="K72" s="206" t="s">
        <v>347</v>
      </c>
      <c r="L72" s="206">
        <v>49.0</v>
      </c>
      <c r="M72" s="206" t="s">
        <v>347</v>
      </c>
      <c r="N72" s="206">
        <v>0.0</v>
      </c>
      <c r="O72" s="206">
        <v>44.0</v>
      </c>
      <c r="P72" s="206">
        <v>23.0</v>
      </c>
      <c r="Q72" s="206">
        <v>0.0</v>
      </c>
      <c r="R72" s="206">
        <v>72.0</v>
      </c>
    </row>
    <row r="73">
      <c r="H73" s="1" t="s">
        <v>1715</v>
      </c>
      <c r="I73" s="456" t="s">
        <v>1745</v>
      </c>
      <c r="J73" s="206">
        <v>0.0</v>
      </c>
      <c r="K73" s="206">
        <v>0.0</v>
      </c>
      <c r="L73" s="206" t="s">
        <v>347</v>
      </c>
      <c r="M73" s="206">
        <v>0.0</v>
      </c>
      <c r="N73" s="206">
        <v>0.0</v>
      </c>
      <c r="O73" s="206">
        <v>17.0</v>
      </c>
      <c r="P73" s="206">
        <v>50.0</v>
      </c>
      <c r="Q73" s="206">
        <v>0.0</v>
      </c>
      <c r="R73" s="206">
        <v>33.0</v>
      </c>
    </row>
    <row r="74">
      <c r="H74" s="1" t="s">
        <v>1715</v>
      </c>
      <c r="I74" s="456" t="s">
        <v>1748</v>
      </c>
      <c r="J74" s="206">
        <v>0.0</v>
      </c>
      <c r="K74" s="206">
        <v>0.0</v>
      </c>
      <c r="L74" s="206">
        <v>0.0</v>
      </c>
      <c r="M74" s="206" t="s">
        <v>347</v>
      </c>
      <c r="N74" s="206">
        <v>0.0</v>
      </c>
      <c r="O74" s="206" t="s">
        <v>347</v>
      </c>
      <c r="P74" s="206" t="s">
        <v>347</v>
      </c>
      <c r="Q74" s="206">
        <v>0.0</v>
      </c>
      <c r="R74" s="206" t="s">
        <v>347</v>
      </c>
    </row>
    <row r="75">
      <c r="H75" s="1" t="s">
        <v>1715</v>
      </c>
      <c r="I75" s="456" t="s">
        <v>781</v>
      </c>
      <c r="J75" s="206">
        <v>0.0</v>
      </c>
      <c r="K75" s="206">
        <v>0.0</v>
      </c>
      <c r="L75" s="206">
        <v>18.0</v>
      </c>
      <c r="M75" s="206" t="s">
        <v>347</v>
      </c>
      <c r="N75" s="206">
        <v>0.0</v>
      </c>
      <c r="O75" s="206">
        <v>25.0</v>
      </c>
      <c r="P75" s="206">
        <v>24.0</v>
      </c>
      <c r="Q75" s="206" t="s">
        <v>347</v>
      </c>
      <c r="R75" s="206">
        <v>76.0</v>
      </c>
    </row>
    <row r="76">
      <c r="H76" s="1" t="s">
        <v>1753</v>
      </c>
      <c r="I76" s="456" t="s">
        <v>1754</v>
      </c>
      <c r="J76" s="206">
        <v>0.0</v>
      </c>
      <c r="K76" s="206">
        <v>0.0</v>
      </c>
      <c r="L76" s="206">
        <v>89.0</v>
      </c>
      <c r="M76" s="206">
        <v>0.0</v>
      </c>
      <c r="N76" s="206" t="s">
        <v>347</v>
      </c>
      <c r="O76" s="206">
        <v>17.0</v>
      </c>
      <c r="P76" s="206">
        <v>0.0</v>
      </c>
      <c r="Q76" s="206">
        <v>0.0</v>
      </c>
      <c r="R76" s="206">
        <v>108.0</v>
      </c>
    </row>
    <row r="77">
      <c r="H77" s="1" t="s">
        <v>1715</v>
      </c>
      <c r="I77" s="456" t="s">
        <v>1756</v>
      </c>
      <c r="J77" s="206" t="s">
        <v>347</v>
      </c>
      <c r="K77" s="206" t="s">
        <v>347</v>
      </c>
      <c r="L77" s="206">
        <v>129.0</v>
      </c>
      <c r="M77" s="206" t="s">
        <v>347</v>
      </c>
      <c r="N77" s="206" t="s">
        <v>347</v>
      </c>
      <c r="O77" s="206">
        <v>145.0</v>
      </c>
      <c r="P77" s="206">
        <v>99.0</v>
      </c>
      <c r="Q77" s="206" t="s">
        <v>347</v>
      </c>
      <c r="R77" s="206">
        <v>262.0</v>
      </c>
    </row>
    <row r="78">
      <c r="H78" s="1" t="s">
        <v>1715</v>
      </c>
      <c r="I78" s="456" t="s">
        <v>1760</v>
      </c>
      <c r="J78" s="206" t="s">
        <v>347</v>
      </c>
      <c r="K78" s="206">
        <v>0.0</v>
      </c>
      <c r="L78" s="206">
        <v>91.0</v>
      </c>
      <c r="M78" s="206">
        <v>15.0</v>
      </c>
      <c r="N78" s="206" t="s">
        <v>347</v>
      </c>
      <c r="O78" s="206">
        <v>144.0</v>
      </c>
      <c r="P78" s="206">
        <v>123.0</v>
      </c>
      <c r="Q78" s="206">
        <v>0.0</v>
      </c>
      <c r="R78" s="206">
        <v>155.0</v>
      </c>
    </row>
    <row r="79">
      <c r="H79" s="1" t="s">
        <v>1715</v>
      </c>
      <c r="I79" s="456" t="s">
        <v>1715</v>
      </c>
      <c r="J79" s="206">
        <v>0.0</v>
      </c>
      <c r="K79" s="206">
        <v>0.0</v>
      </c>
      <c r="L79" s="206">
        <v>18.0</v>
      </c>
      <c r="M79" s="206" t="s">
        <v>347</v>
      </c>
      <c r="N79" s="206" t="s">
        <v>347</v>
      </c>
      <c r="O79" s="206">
        <v>52.0</v>
      </c>
      <c r="P79" s="206">
        <v>24.0</v>
      </c>
      <c r="Q79" s="206" t="s">
        <v>347</v>
      </c>
      <c r="R79" s="206">
        <v>101.0</v>
      </c>
    </row>
    <row r="80">
      <c r="H80" s="1" t="s">
        <v>1715</v>
      </c>
      <c r="I80" s="456" t="s">
        <v>1764</v>
      </c>
      <c r="J80" s="206">
        <v>0.0</v>
      </c>
      <c r="K80" s="206">
        <v>0.0</v>
      </c>
      <c r="L80" s="206">
        <v>0.0</v>
      </c>
      <c r="M80" s="206">
        <v>0.0</v>
      </c>
      <c r="N80" s="206">
        <v>0.0</v>
      </c>
      <c r="O80" s="206">
        <v>0.0</v>
      </c>
      <c r="P80" s="206">
        <v>0.0</v>
      </c>
      <c r="Q80" s="206">
        <v>0.0</v>
      </c>
      <c r="R80" s="206">
        <v>0.0</v>
      </c>
    </row>
    <row r="81">
      <c r="I81" s="456" t="s">
        <v>923</v>
      </c>
      <c r="J81" s="206">
        <v>61.0</v>
      </c>
      <c r="K81" s="206">
        <v>36.0</v>
      </c>
      <c r="L81" s="208">
        <v>2205.0</v>
      </c>
      <c r="M81" s="206">
        <v>153.0</v>
      </c>
      <c r="N81" s="206">
        <v>22.0</v>
      </c>
      <c r="O81" s="208">
        <v>3119.0</v>
      </c>
      <c r="P81" s="208">
        <v>1176.0</v>
      </c>
      <c r="Q81" s="206">
        <v>26.0</v>
      </c>
      <c r="R81" s="208">
        <v>4996.0</v>
      </c>
    </row>
    <row r="83">
      <c r="I83" s="439" t="s">
        <v>771</v>
      </c>
      <c r="J83" s="328" t="s">
        <v>239</v>
      </c>
      <c r="K83" s="328" t="s">
        <v>357</v>
      </c>
      <c r="L83" s="328" t="s">
        <v>358</v>
      </c>
      <c r="M83" s="328" t="s">
        <v>360</v>
      </c>
      <c r="N83" s="328" t="s">
        <v>361</v>
      </c>
      <c r="O83" s="328" t="s">
        <v>362</v>
      </c>
      <c r="P83" s="328" t="s">
        <v>272</v>
      </c>
      <c r="Q83" s="328" t="s">
        <v>232</v>
      </c>
      <c r="R83" s="328" t="s">
        <v>364</v>
      </c>
    </row>
    <row r="84">
      <c r="H84" s="1" t="s">
        <v>1651</v>
      </c>
      <c r="I84" s="442" t="s">
        <v>1719</v>
      </c>
      <c r="J84" s="445">
        <v>60.0</v>
      </c>
      <c r="K84" s="444" t="s">
        <v>347</v>
      </c>
      <c r="L84" s="444">
        <v>24.0</v>
      </c>
      <c r="M84" s="444">
        <v>12.0</v>
      </c>
      <c r="N84" s="444" t="s">
        <v>347</v>
      </c>
      <c r="O84" s="444" t="s">
        <v>347</v>
      </c>
      <c r="P84" s="444" t="s">
        <v>347</v>
      </c>
      <c r="Q84" s="444">
        <v>0.0</v>
      </c>
      <c r="R84" s="444">
        <v>11.0</v>
      </c>
    </row>
    <row r="85">
      <c r="H85" s="1" t="s">
        <v>1724</v>
      </c>
      <c r="I85" s="439" t="s">
        <v>1725</v>
      </c>
      <c r="J85" s="449">
        <v>587.0</v>
      </c>
      <c r="K85" s="206">
        <v>195.0</v>
      </c>
      <c r="L85" s="206">
        <v>429.0</v>
      </c>
      <c r="M85" s="206">
        <v>98.0</v>
      </c>
      <c r="N85" s="206">
        <v>25.0</v>
      </c>
      <c r="O85" s="206">
        <v>137.0</v>
      </c>
      <c r="P85" s="206">
        <v>111.0</v>
      </c>
      <c r="Q85" s="206">
        <v>46.0</v>
      </c>
      <c r="R85" s="206">
        <v>127.0</v>
      </c>
    </row>
    <row r="86">
      <c r="H86" s="1" t="s">
        <v>1651</v>
      </c>
      <c r="I86" s="439" t="s">
        <v>1651</v>
      </c>
      <c r="J86" s="449">
        <v>448.0</v>
      </c>
      <c r="K86" s="206">
        <v>66.0</v>
      </c>
      <c r="L86" s="206">
        <v>150.0</v>
      </c>
      <c r="M86" s="206">
        <v>75.0</v>
      </c>
      <c r="N86" s="206">
        <v>29.0</v>
      </c>
      <c r="O86" s="206">
        <v>128.0</v>
      </c>
      <c r="P86" s="206">
        <v>148.0</v>
      </c>
      <c r="Q86" s="206">
        <v>34.0</v>
      </c>
      <c r="R86" s="206">
        <v>84.0</v>
      </c>
    </row>
    <row r="87">
      <c r="H87" s="1" t="s">
        <v>1651</v>
      </c>
      <c r="I87" s="439" t="s">
        <v>1728</v>
      </c>
      <c r="J87" s="449">
        <v>128.0</v>
      </c>
      <c r="K87" s="206">
        <v>208.0</v>
      </c>
      <c r="L87" s="206">
        <v>311.0</v>
      </c>
      <c r="M87" s="206">
        <v>19.0</v>
      </c>
      <c r="N87" s="206">
        <v>16.0</v>
      </c>
      <c r="O87" s="206">
        <v>36.0</v>
      </c>
      <c r="P87" s="206">
        <v>86.0</v>
      </c>
      <c r="Q87" s="206" t="s">
        <v>347</v>
      </c>
      <c r="R87" s="206">
        <v>84.0</v>
      </c>
    </row>
    <row r="88">
      <c r="H88" s="1" t="s">
        <v>1715</v>
      </c>
      <c r="I88" s="439" t="s">
        <v>1731</v>
      </c>
      <c r="J88" s="449">
        <v>45.0</v>
      </c>
      <c r="K88" s="206">
        <v>0.0</v>
      </c>
      <c r="L88" s="206">
        <v>0.0</v>
      </c>
      <c r="M88" s="206">
        <v>0.0</v>
      </c>
      <c r="N88" s="206">
        <v>0.0</v>
      </c>
      <c r="O88" s="206" t="s">
        <v>347</v>
      </c>
      <c r="P88" s="206" t="s">
        <v>347</v>
      </c>
      <c r="Q88" s="206">
        <v>0.0</v>
      </c>
      <c r="R88" s="206" t="s">
        <v>347</v>
      </c>
    </row>
    <row r="89">
      <c r="H89" s="1" t="s">
        <v>1715</v>
      </c>
      <c r="I89" s="439"/>
      <c r="J89" s="449" t="s">
        <v>347</v>
      </c>
      <c r="K89" s="206">
        <v>0.0</v>
      </c>
      <c r="L89" s="206">
        <v>0.0</v>
      </c>
      <c r="M89" s="206">
        <v>0.0</v>
      </c>
      <c r="N89" s="206">
        <v>0.0</v>
      </c>
      <c r="O89" s="206">
        <v>0.0</v>
      </c>
      <c r="P89" s="206">
        <v>0.0</v>
      </c>
      <c r="Q89" s="206">
        <v>0.0</v>
      </c>
      <c r="R89" s="206" t="s">
        <v>347</v>
      </c>
    </row>
    <row r="90">
      <c r="H90" s="1" t="s">
        <v>1737</v>
      </c>
      <c r="I90" s="439" t="s">
        <v>1738</v>
      </c>
      <c r="J90" s="449">
        <v>107.0</v>
      </c>
      <c r="K90" s="206" t="s">
        <v>347</v>
      </c>
      <c r="L90" s="206">
        <v>48.0</v>
      </c>
      <c r="M90" s="206" t="s">
        <v>347</v>
      </c>
      <c r="N90" s="206" t="s">
        <v>347</v>
      </c>
      <c r="O90" s="206">
        <v>13.0</v>
      </c>
      <c r="P90" s="206">
        <v>14.0</v>
      </c>
      <c r="Q90" s="206" t="s">
        <v>347</v>
      </c>
      <c r="R90" s="206" t="s">
        <v>347</v>
      </c>
    </row>
    <row r="91">
      <c r="H91" s="1" t="s">
        <v>1737</v>
      </c>
      <c r="I91" s="439" t="s">
        <v>1740</v>
      </c>
      <c r="J91" s="449">
        <v>34.0</v>
      </c>
      <c r="K91" s="206">
        <v>0.0</v>
      </c>
      <c r="L91" s="206">
        <v>16.0</v>
      </c>
      <c r="M91" s="206">
        <v>0.0</v>
      </c>
      <c r="N91" s="206" t="s">
        <v>347</v>
      </c>
      <c r="O91" s="206">
        <v>0.0</v>
      </c>
      <c r="P91" s="206">
        <v>0.0</v>
      </c>
      <c r="Q91" s="206">
        <v>0.0</v>
      </c>
      <c r="R91" s="206">
        <v>0.0</v>
      </c>
    </row>
    <row r="92">
      <c r="H92" s="1" t="s">
        <v>1715</v>
      </c>
      <c r="I92" s="439" t="s">
        <v>1743</v>
      </c>
      <c r="J92" s="449">
        <v>12.0</v>
      </c>
      <c r="K92" s="206" t="s">
        <v>347</v>
      </c>
      <c r="L92" s="206" t="s">
        <v>347</v>
      </c>
      <c r="M92" s="206" t="s">
        <v>347</v>
      </c>
      <c r="N92" s="206">
        <v>0.0</v>
      </c>
      <c r="O92" s="206" t="s">
        <v>347</v>
      </c>
      <c r="P92" s="206" t="s">
        <v>347</v>
      </c>
      <c r="Q92" s="206">
        <v>0.0</v>
      </c>
      <c r="R92" s="206" t="s">
        <v>347</v>
      </c>
    </row>
    <row r="93">
      <c r="H93" s="1" t="s">
        <v>1715</v>
      </c>
      <c r="I93" s="439" t="s">
        <v>1745</v>
      </c>
      <c r="J93" s="449" t="s">
        <v>347</v>
      </c>
      <c r="K93" s="206">
        <v>0.0</v>
      </c>
      <c r="L93" s="206">
        <v>0.0</v>
      </c>
      <c r="M93" s="206">
        <v>0.0</v>
      </c>
      <c r="N93" s="206">
        <v>0.0</v>
      </c>
      <c r="O93" s="206">
        <v>0.0</v>
      </c>
      <c r="P93" s="206">
        <v>0.0</v>
      </c>
      <c r="Q93" s="206" t="s">
        <v>347</v>
      </c>
      <c r="R93" s="206" t="s">
        <v>347</v>
      </c>
    </row>
    <row r="94">
      <c r="H94" s="1" t="s">
        <v>1715</v>
      </c>
      <c r="I94" s="439" t="s">
        <v>1748</v>
      </c>
      <c r="J94" s="449" t="s">
        <v>347</v>
      </c>
      <c r="K94" s="206" t="s">
        <v>347</v>
      </c>
      <c r="L94" s="206">
        <v>0.0</v>
      </c>
      <c r="M94" s="206">
        <v>0.0</v>
      </c>
      <c r="N94" s="206">
        <v>0.0</v>
      </c>
      <c r="O94" s="206">
        <v>0.0</v>
      </c>
      <c r="P94" s="206" t="s">
        <v>347</v>
      </c>
      <c r="Q94" s="206">
        <v>0.0</v>
      </c>
      <c r="R94" s="206" t="s">
        <v>347</v>
      </c>
    </row>
    <row r="95">
      <c r="H95" s="1" t="s">
        <v>1715</v>
      </c>
      <c r="I95" s="439" t="s">
        <v>781</v>
      </c>
      <c r="J95" s="449">
        <v>17.0</v>
      </c>
      <c r="K95" s="206">
        <v>14.0</v>
      </c>
      <c r="L95" s="206">
        <v>12.0</v>
      </c>
      <c r="M95" s="206" t="s">
        <v>347</v>
      </c>
      <c r="N95" s="206" t="s">
        <v>347</v>
      </c>
      <c r="O95" s="206" t="s">
        <v>347</v>
      </c>
      <c r="P95" s="206" t="s">
        <v>347</v>
      </c>
      <c r="Q95" s="206" t="s">
        <v>347</v>
      </c>
      <c r="R95" s="206" t="s">
        <v>347</v>
      </c>
    </row>
    <row r="96">
      <c r="H96" s="1" t="s">
        <v>1753</v>
      </c>
      <c r="I96" s="439" t="s">
        <v>1754</v>
      </c>
      <c r="J96" s="449">
        <v>14.0</v>
      </c>
      <c r="K96" s="206" t="s">
        <v>347</v>
      </c>
      <c r="L96" s="206" t="s">
        <v>347</v>
      </c>
      <c r="M96" s="206" t="s">
        <v>347</v>
      </c>
      <c r="N96" s="206">
        <v>0.0</v>
      </c>
      <c r="O96" s="206">
        <v>0.0</v>
      </c>
      <c r="P96" s="206">
        <v>0.0</v>
      </c>
      <c r="Q96" s="206" t="s">
        <v>347</v>
      </c>
      <c r="R96" s="206" t="s">
        <v>347</v>
      </c>
    </row>
    <row r="97">
      <c r="H97" s="1" t="s">
        <v>1715</v>
      </c>
      <c r="I97" s="439" t="s">
        <v>1756</v>
      </c>
      <c r="J97" s="449">
        <v>77.0</v>
      </c>
      <c r="K97" s="206">
        <v>47.0</v>
      </c>
      <c r="L97" s="206">
        <v>91.0</v>
      </c>
      <c r="M97" s="206">
        <v>32.0</v>
      </c>
      <c r="N97" s="206">
        <v>17.0</v>
      </c>
      <c r="O97" s="206">
        <v>39.0</v>
      </c>
      <c r="P97" s="206">
        <v>60.0</v>
      </c>
      <c r="Q97" s="206">
        <v>11.0</v>
      </c>
      <c r="R97" s="206" t="s">
        <v>347</v>
      </c>
    </row>
    <row r="98">
      <c r="H98" s="1" t="s">
        <v>1715</v>
      </c>
      <c r="I98" s="439" t="s">
        <v>1760</v>
      </c>
      <c r="J98" s="449">
        <v>102.0</v>
      </c>
      <c r="K98" s="206">
        <v>61.0</v>
      </c>
      <c r="L98" s="206">
        <v>33.0</v>
      </c>
      <c r="M98" s="206" t="s">
        <v>347</v>
      </c>
      <c r="N98" s="206" t="s">
        <v>347</v>
      </c>
      <c r="O98" s="206">
        <v>13.0</v>
      </c>
      <c r="P98" s="206">
        <v>41.0</v>
      </c>
      <c r="Q98" s="206" t="s">
        <v>347</v>
      </c>
      <c r="R98" s="206">
        <v>30.0</v>
      </c>
    </row>
    <row r="99">
      <c r="H99" s="1" t="s">
        <v>1715</v>
      </c>
      <c r="I99" s="439" t="s">
        <v>1715</v>
      </c>
      <c r="J99" s="449" t="s">
        <v>347</v>
      </c>
      <c r="K99" s="206" t="s">
        <v>347</v>
      </c>
      <c r="L99" s="206">
        <v>49.0</v>
      </c>
      <c r="M99" s="206">
        <v>0.0</v>
      </c>
      <c r="N99" s="206" t="s">
        <v>347</v>
      </c>
      <c r="O99" s="206">
        <v>0.0</v>
      </c>
      <c r="P99" s="206" t="s">
        <v>347</v>
      </c>
      <c r="Q99" s="206">
        <v>0.0</v>
      </c>
      <c r="R99" s="206" t="s">
        <v>347</v>
      </c>
    </row>
    <row r="100">
      <c r="H100" s="1" t="s">
        <v>1715</v>
      </c>
      <c r="I100" s="439" t="s">
        <v>1764</v>
      </c>
      <c r="J100" s="449">
        <v>0.0</v>
      </c>
      <c r="K100" s="206">
        <v>0.0</v>
      </c>
      <c r="L100" s="206">
        <v>0.0</v>
      </c>
      <c r="M100" s="206">
        <v>0.0</v>
      </c>
      <c r="N100" s="206">
        <v>0.0</v>
      </c>
      <c r="O100" s="206">
        <v>0.0</v>
      </c>
      <c r="P100" s="206">
        <v>0.0</v>
      </c>
      <c r="Q100" s="206">
        <v>0.0</v>
      </c>
      <c r="R100" s="206">
        <v>0.0</v>
      </c>
    </row>
    <row r="101">
      <c r="I101" s="439" t="s">
        <v>923</v>
      </c>
      <c r="J101" s="447">
        <v>1655.0</v>
      </c>
      <c r="K101" s="206">
        <v>620.0</v>
      </c>
      <c r="L101" s="208">
        <v>1170.0</v>
      </c>
      <c r="M101" s="206">
        <v>260.0</v>
      </c>
      <c r="N101" s="206">
        <v>115.0</v>
      </c>
      <c r="O101" s="206">
        <v>387.0</v>
      </c>
      <c r="P101" s="208">
        <v>494.0</v>
      </c>
      <c r="Q101" s="206">
        <v>116.0</v>
      </c>
      <c r="R101" s="206">
        <v>376.0</v>
      </c>
    </row>
    <row r="103">
      <c r="I103" s="439" t="s">
        <v>771</v>
      </c>
      <c r="J103" s="328" t="s">
        <v>365</v>
      </c>
      <c r="K103" s="328" t="s">
        <v>366</v>
      </c>
      <c r="L103" s="328" t="s">
        <v>369</v>
      </c>
      <c r="M103" s="328" t="s">
        <v>370</v>
      </c>
      <c r="N103" s="328" t="s">
        <v>371</v>
      </c>
      <c r="O103" s="328" t="s">
        <v>372</v>
      </c>
      <c r="P103" s="328" t="s">
        <v>373</v>
      </c>
      <c r="Q103" s="328" t="s">
        <v>376</v>
      </c>
      <c r="R103" s="328" t="s">
        <v>377</v>
      </c>
    </row>
    <row r="104">
      <c r="H104" s="1" t="s">
        <v>1651</v>
      </c>
      <c r="I104" s="442" t="s">
        <v>1719</v>
      </c>
      <c r="J104" s="445" t="s">
        <v>347</v>
      </c>
      <c r="K104" s="444">
        <v>0.0</v>
      </c>
      <c r="L104" s="444">
        <v>11.0</v>
      </c>
      <c r="M104" s="444">
        <v>68.0</v>
      </c>
      <c r="N104" s="444" t="s">
        <v>347</v>
      </c>
      <c r="O104" s="444" t="s">
        <v>347</v>
      </c>
      <c r="P104" s="444" t="s">
        <v>347</v>
      </c>
      <c r="Q104" s="444" t="s">
        <v>347</v>
      </c>
      <c r="R104" s="444">
        <v>16.0</v>
      </c>
    </row>
    <row r="105">
      <c r="H105" s="1" t="s">
        <v>1724</v>
      </c>
      <c r="I105" s="439" t="s">
        <v>1725</v>
      </c>
      <c r="J105" s="449" t="s">
        <v>347</v>
      </c>
      <c r="K105" s="206">
        <v>18.0</v>
      </c>
      <c r="L105" s="206">
        <v>95.0</v>
      </c>
      <c r="M105" s="206">
        <v>122.0</v>
      </c>
      <c r="N105" s="206">
        <v>65.0</v>
      </c>
      <c r="O105" s="206">
        <v>21.0</v>
      </c>
      <c r="P105" s="206">
        <v>16.0</v>
      </c>
      <c r="Q105" s="206" t="s">
        <v>347</v>
      </c>
      <c r="R105" s="206">
        <v>239.0</v>
      </c>
    </row>
    <row r="106">
      <c r="H106" s="1" t="s">
        <v>1651</v>
      </c>
      <c r="I106" s="439" t="s">
        <v>1651</v>
      </c>
      <c r="J106" s="449" t="s">
        <v>347</v>
      </c>
      <c r="K106" s="206">
        <v>23.0</v>
      </c>
      <c r="L106" s="206">
        <v>48.0</v>
      </c>
      <c r="M106" s="206">
        <v>47.0</v>
      </c>
      <c r="N106" s="206">
        <v>68.0</v>
      </c>
      <c r="O106" s="206" t="s">
        <v>347</v>
      </c>
      <c r="P106" s="206">
        <v>37.0</v>
      </c>
      <c r="Q106" s="206" t="s">
        <v>347</v>
      </c>
      <c r="R106" s="206">
        <v>242.0</v>
      </c>
    </row>
    <row r="107">
      <c r="H107" s="1" t="s">
        <v>1651</v>
      </c>
      <c r="I107" s="439" t="s">
        <v>1728</v>
      </c>
      <c r="J107" s="449" t="s">
        <v>347</v>
      </c>
      <c r="K107" s="206">
        <v>26.0</v>
      </c>
      <c r="L107" s="206">
        <v>74.0</v>
      </c>
      <c r="M107" s="206">
        <v>52.0</v>
      </c>
      <c r="N107" s="206">
        <v>184.0</v>
      </c>
      <c r="O107" s="206">
        <v>45.0</v>
      </c>
      <c r="P107" s="206">
        <v>22.0</v>
      </c>
      <c r="Q107" s="206" t="s">
        <v>347</v>
      </c>
      <c r="R107" s="206">
        <v>158.0</v>
      </c>
    </row>
    <row r="108">
      <c r="H108" s="1" t="s">
        <v>1715</v>
      </c>
      <c r="I108" s="439" t="s">
        <v>1731</v>
      </c>
      <c r="J108" s="449">
        <v>0.0</v>
      </c>
      <c r="K108" s="206">
        <v>0.0</v>
      </c>
      <c r="L108" s="206">
        <v>0.0</v>
      </c>
      <c r="M108" s="206">
        <v>15.0</v>
      </c>
      <c r="N108" s="206" t="s">
        <v>347</v>
      </c>
      <c r="O108" s="206">
        <v>0.0</v>
      </c>
      <c r="P108" s="206" t="s">
        <v>347</v>
      </c>
      <c r="Q108" s="206">
        <v>0.0</v>
      </c>
      <c r="R108" s="206" t="s">
        <v>347</v>
      </c>
    </row>
    <row r="109">
      <c r="H109" s="1" t="s">
        <v>1715</v>
      </c>
      <c r="I109" s="439"/>
      <c r="J109" s="449">
        <v>0.0</v>
      </c>
      <c r="K109" s="206">
        <v>0.0</v>
      </c>
      <c r="L109" s="206">
        <v>0.0</v>
      </c>
      <c r="M109" s="206" t="s">
        <v>347</v>
      </c>
      <c r="N109" s="206">
        <v>0.0</v>
      </c>
      <c r="O109" s="206">
        <v>0.0</v>
      </c>
      <c r="P109" s="206" t="s">
        <v>347</v>
      </c>
      <c r="Q109" s="206">
        <v>0.0</v>
      </c>
      <c r="R109" s="206" t="s">
        <v>347</v>
      </c>
    </row>
    <row r="110">
      <c r="H110" s="1" t="s">
        <v>1737</v>
      </c>
      <c r="I110" s="439" t="s">
        <v>1738</v>
      </c>
      <c r="J110" s="449">
        <v>0.0</v>
      </c>
      <c r="K110" s="206">
        <v>0.0</v>
      </c>
      <c r="L110" s="206">
        <v>17.0</v>
      </c>
      <c r="M110" s="206">
        <v>14.0</v>
      </c>
      <c r="N110" s="206">
        <v>26.0</v>
      </c>
      <c r="O110" s="206">
        <v>0.0</v>
      </c>
      <c r="P110" s="206" t="s">
        <v>347</v>
      </c>
      <c r="Q110" s="206" t="s">
        <v>347</v>
      </c>
      <c r="R110" s="206">
        <v>18.0</v>
      </c>
    </row>
    <row r="111">
      <c r="H111" s="1" t="s">
        <v>1737</v>
      </c>
      <c r="I111" s="439" t="s">
        <v>1740</v>
      </c>
      <c r="J111" s="449">
        <v>0.0</v>
      </c>
      <c r="K111" s="206">
        <v>0.0</v>
      </c>
      <c r="L111" s="206">
        <v>0.0</v>
      </c>
      <c r="M111" s="206">
        <v>25.0</v>
      </c>
      <c r="N111" s="206">
        <v>0.0</v>
      </c>
      <c r="O111" s="206">
        <v>0.0</v>
      </c>
      <c r="P111" s="206">
        <v>0.0</v>
      </c>
      <c r="Q111" s="206">
        <v>0.0</v>
      </c>
      <c r="R111" s="206">
        <v>0.0</v>
      </c>
    </row>
    <row r="112">
      <c r="H112" s="1" t="s">
        <v>1715</v>
      </c>
      <c r="I112" s="439" t="s">
        <v>1743</v>
      </c>
      <c r="J112" s="449">
        <v>0.0</v>
      </c>
      <c r="K112" s="206">
        <v>0.0</v>
      </c>
      <c r="L112" s="206" t="s">
        <v>347</v>
      </c>
      <c r="M112" s="206">
        <v>0.0</v>
      </c>
      <c r="N112" s="206" t="s">
        <v>347</v>
      </c>
      <c r="O112" s="206">
        <v>0.0</v>
      </c>
      <c r="P112" s="206">
        <v>0.0</v>
      </c>
      <c r="Q112" s="206">
        <v>0.0</v>
      </c>
      <c r="R112" s="206" t="s">
        <v>347</v>
      </c>
    </row>
    <row r="113">
      <c r="H113" s="1" t="s">
        <v>1715</v>
      </c>
      <c r="I113" s="439" t="s">
        <v>1745</v>
      </c>
      <c r="J113" s="449">
        <v>0.0</v>
      </c>
      <c r="K113" s="206" t="s">
        <v>347</v>
      </c>
      <c r="L113" s="206">
        <v>0.0</v>
      </c>
      <c r="M113" s="206" t="s">
        <v>347</v>
      </c>
      <c r="N113" s="206" t="s">
        <v>347</v>
      </c>
      <c r="O113" s="206" t="s">
        <v>347</v>
      </c>
      <c r="P113" s="206" t="s">
        <v>347</v>
      </c>
      <c r="Q113" s="206" t="s">
        <v>347</v>
      </c>
      <c r="R113" s="206">
        <v>20.0</v>
      </c>
    </row>
    <row r="114">
      <c r="H114" s="1" t="s">
        <v>1715</v>
      </c>
      <c r="I114" s="439" t="s">
        <v>1748</v>
      </c>
      <c r="J114" s="449">
        <v>0.0</v>
      </c>
      <c r="K114" s="206">
        <v>0.0</v>
      </c>
      <c r="L114" s="206" t="s">
        <v>347</v>
      </c>
      <c r="M114" s="206" t="s">
        <v>347</v>
      </c>
      <c r="N114" s="206">
        <v>38.0</v>
      </c>
      <c r="O114" s="206">
        <v>0.0</v>
      </c>
      <c r="P114" s="206" t="s">
        <v>347</v>
      </c>
      <c r="Q114" s="206" t="s">
        <v>347</v>
      </c>
      <c r="R114" s="206" t="s">
        <v>347</v>
      </c>
    </row>
    <row r="115">
      <c r="H115" s="1" t="s">
        <v>1715</v>
      </c>
      <c r="I115" s="439" t="s">
        <v>781</v>
      </c>
      <c r="J115" s="449">
        <v>0.0</v>
      </c>
      <c r="K115" s="206">
        <v>0.0</v>
      </c>
      <c r="L115" s="206" t="s">
        <v>347</v>
      </c>
      <c r="M115" s="206" t="s">
        <v>347</v>
      </c>
      <c r="N115" s="206" t="s">
        <v>347</v>
      </c>
      <c r="O115" s="206">
        <v>0.0</v>
      </c>
      <c r="P115" s="206">
        <v>0.0</v>
      </c>
      <c r="Q115" s="206">
        <v>0.0</v>
      </c>
      <c r="R115" s="206">
        <v>11.0</v>
      </c>
    </row>
    <row r="116">
      <c r="H116" s="1" t="s">
        <v>1753</v>
      </c>
      <c r="I116" s="439" t="s">
        <v>1754</v>
      </c>
      <c r="J116" s="449">
        <v>0.0</v>
      </c>
      <c r="K116" s="206" t="s">
        <v>347</v>
      </c>
      <c r="L116" s="206">
        <v>0.0</v>
      </c>
      <c r="M116" s="206" t="s">
        <v>347</v>
      </c>
      <c r="N116" s="206">
        <v>21.0</v>
      </c>
      <c r="O116" s="206" t="s">
        <v>347</v>
      </c>
      <c r="P116" s="206">
        <v>0.0</v>
      </c>
      <c r="Q116" s="206">
        <v>0.0</v>
      </c>
      <c r="R116" s="206">
        <v>0.0</v>
      </c>
    </row>
    <row r="117">
      <c r="A117" s="390"/>
      <c r="B117" s="367"/>
      <c r="C117" s="367"/>
      <c r="D117" s="390"/>
      <c r="E117" s="367"/>
      <c r="F117" s="367"/>
      <c r="G117" s="367"/>
      <c r="H117" s="1" t="s">
        <v>1715</v>
      </c>
      <c r="I117" s="439" t="s">
        <v>1756</v>
      </c>
      <c r="J117" s="449">
        <v>0.0</v>
      </c>
      <c r="K117" s="206">
        <v>0.0</v>
      </c>
      <c r="L117" s="206">
        <v>21.0</v>
      </c>
      <c r="M117" s="206">
        <v>31.0</v>
      </c>
      <c r="N117" s="206">
        <v>20.0</v>
      </c>
      <c r="O117" s="206">
        <v>0.0</v>
      </c>
      <c r="P117" s="206">
        <v>16.0</v>
      </c>
      <c r="Q117" s="206" t="s">
        <v>347</v>
      </c>
      <c r="R117" s="206">
        <v>105.0</v>
      </c>
    </row>
    <row r="118">
      <c r="A118" s="390"/>
      <c r="B118" s="367"/>
      <c r="C118" s="367"/>
      <c r="D118" s="390"/>
      <c r="E118" s="367"/>
      <c r="F118" s="367"/>
      <c r="G118" s="367"/>
      <c r="H118" s="390" t="s">
        <v>1715</v>
      </c>
      <c r="I118" s="439" t="s">
        <v>1760</v>
      </c>
      <c r="J118" s="449">
        <v>0.0</v>
      </c>
      <c r="K118" s="206" t="s">
        <v>347</v>
      </c>
      <c r="L118" s="206">
        <v>29.0</v>
      </c>
      <c r="M118" s="206">
        <v>46.0</v>
      </c>
      <c r="N118" s="206">
        <v>49.0</v>
      </c>
      <c r="O118" s="206" t="s">
        <v>347</v>
      </c>
      <c r="P118" s="206">
        <v>0.0</v>
      </c>
      <c r="Q118" s="206" t="s">
        <v>347</v>
      </c>
      <c r="R118" s="206" t="s">
        <v>347</v>
      </c>
    </row>
    <row r="119">
      <c r="A119" s="390"/>
      <c r="B119" s="367"/>
      <c r="C119" s="367"/>
      <c r="D119" s="390"/>
      <c r="E119" s="367"/>
      <c r="F119" s="367"/>
      <c r="G119" s="367"/>
      <c r="H119" s="390" t="s">
        <v>1715</v>
      </c>
      <c r="I119" s="439" t="s">
        <v>1715</v>
      </c>
      <c r="J119" s="449" t="s">
        <v>347</v>
      </c>
      <c r="K119" s="206" t="s">
        <v>347</v>
      </c>
      <c r="L119" s="206" t="s">
        <v>347</v>
      </c>
      <c r="M119" s="206" t="s">
        <v>347</v>
      </c>
      <c r="N119" s="206" t="s">
        <v>347</v>
      </c>
      <c r="O119" s="206" t="s">
        <v>347</v>
      </c>
      <c r="P119" s="206" t="s">
        <v>347</v>
      </c>
      <c r="Q119" s="206" t="s">
        <v>347</v>
      </c>
      <c r="R119" s="206" t="s">
        <v>347</v>
      </c>
    </row>
    <row r="120">
      <c r="A120" s="390"/>
      <c r="B120" s="367"/>
      <c r="C120" s="367"/>
      <c r="D120" s="390"/>
      <c r="E120" s="367"/>
      <c r="F120" s="367"/>
      <c r="G120" s="367"/>
      <c r="H120" s="390" t="s">
        <v>1715</v>
      </c>
      <c r="I120" s="439" t="s">
        <v>1764</v>
      </c>
      <c r="J120" s="449">
        <v>0.0</v>
      </c>
      <c r="K120" s="206">
        <v>0.0</v>
      </c>
      <c r="L120" s="206">
        <v>0.0</v>
      </c>
      <c r="M120" s="206">
        <v>0.0</v>
      </c>
      <c r="N120" s="206">
        <v>0.0</v>
      </c>
      <c r="O120" s="206">
        <v>0.0</v>
      </c>
      <c r="P120" s="206">
        <v>0.0</v>
      </c>
      <c r="Q120" s="206">
        <v>0.0</v>
      </c>
      <c r="R120" s="206">
        <v>0.0</v>
      </c>
    </row>
    <row r="121">
      <c r="A121" s="390"/>
      <c r="B121" s="367"/>
      <c r="C121" s="367"/>
      <c r="D121" s="390"/>
      <c r="E121" s="367"/>
      <c r="F121" s="367"/>
      <c r="G121" s="367"/>
      <c r="H121" s="390"/>
      <c r="I121" s="439" t="s">
        <v>923</v>
      </c>
      <c r="J121" s="447">
        <v>11.0</v>
      </c>
      <c r="K121" s="206">
        <v>85.0</v>
      </c>
      <c r="L121" s="208">
        <v>305.0</v>
      </c>
      <c r="M121" s="206">
        <v>446.0</v>
      </c>
      <c r="N121" s="206">
        <v>514.0</v>
      </c>
      <c r="O121" s="206">
        <v>96.0</v>
      </c>
      <c r="P121" s="208">
        <v>120.0</v>
      </c>
      <c r="Q121" s="206">
        <v>26.0</v>
      </c>
      <c r="R121" s="208">
        <v>837.0</v>
      </c>
    </row>
    <row r="122">
      <c r="A122" s="390"/>
      <c r="B122" s="367"/>
      <c r="C122" s="367"/>
      <c r="D122" s="390"/>
      <c r="E122" s="367"/>
      <c r="F122" s="367"/>
      <c r="G122" s="367"/>
      <c r="H122" s="390"/>
    </row>
    <row r="123">
      <c r="A123" s="390"/>
      <c r="B123" s="367"/>
      <c r="C123" s="367"/>
      <c r="D123" s="390"/>
      <c r="E123" s="367"/>
      <c r="F123" s="367"/>
      <c r="G123" s="367"/>
      <c r="H123" s="390"/>
      <c r="I123" s="439" t="s">
        <v>771</v>
      </c>
      <c r="J123" s="328" t="s">
        <v>378</v>
      </c>
      <c r="K123" s="328" t="s">
        <v>379</v>
      </c>
      <c r="L123" s="328" t="s">
        <v>380</v>
      </c>
      <c r="M123" s="470" t="s">
        <v>383</v>
      </c>
      <c r="N123" s="471"/>
      <c r="O123" s="10"/>
      <c r="P123" s="10"/>
      <c r="Q123" s="10"/>
      <c r="R123" s="10"/>
    </row>
    <row r="124">
      <c r="A124" s="390"/>
      <c r="B124" s="367"/>
      <c r="C124" s="367"/>
      <c r="D124" s="390"/>
      <c r="E124" s="367"/>
      <c r="F124" s="367"/>
      <c r="G124" s="367"/>
      <c r="H124" s="390" t="s">
        <v>1651</v>
      </c>
      <c r="I124" s="442" t="s">
        <v>1719</v>
      </c>
      <c r="J124" s="445">
        <v>0.0</v>
      </c>
      <c r="K124" s="444" t="s">
        <v>347</v>
      </c>
      <c r="L124" s="444" t="s">
        <v>347</v>
      </c>
      <c r="M124" s="472" t="s">
        <v>347</v>
      </c>
      <c r="N124" s="473"/>
      <c r="O124" s="1"/>
      <c r="P124" s="1"/>
      <c r="Q124" s="1"/>
      <c r="R124" s="1"/>
    </row>
    <row r="125">
      <c r="A125" s="390"/>
      <c r="B125" s="367"/>
      <c r="C125" s="367"/>
      <c r="D125" s="390"/>
      <c r="E125" s="367"/>
      <c r="F125" s="367"/>
      <c r="G125" s="367"/>
      <c r="H125" s="390" t="s">
        <v>1724</v>
      </c>
      <c r="I125" s="439" t="s">
        <v>1725</v>
      </c>
      <c r="J125" s="449">
        <v>18.0</v>
      </c>
      <c r="K125" s="206">
        <v>193.0</v>
      </c>
      <c r="L125" s="206">
        <v>64.0</v>
      </c>
      <c r="M125" s="474">
        <v>21.0</v>
      </c>
      <c r="N125" s="473"/>
      <c r="O125" s="1"/>
      <c r="P125" s="1"/>
      <c r="Q125" s="1"/>
      <c r="R125" s="1"/>
    </row>
    <row r="126">
      <c r="A126" s="390"/>
      <c r="B126" s="367"/>
      <c r="C126" s="367"/>
      <c r="D126" s="390"/>
      <c r="E126" s="367"/>
      <c r="F126" s="367"/>
      <c r="G126" s="367"/>
      <c r="H126" s="390" t="s">
        <v>1651</v>
      </c>
      <c r="I126" s="439" t="s">
        <v>1651</v>
      </c>
      <c r="J126" s="449">
        <v>24.0</v>
      </c>
      <c r="K126" s="206">
        <v>84.0</v>
      </c>
      <c r="L126" s="206">
        <v>49.0</v>
      </c>
      <c r="M126" s="474">
        <v>16.0</v>
      </c>
      <c r="N126" s="473"/>
      <c r="O126" s="1"/>
      <c r="P126" s="1"/>
      <c r="Q126" s="1"/>
      <c r="R126" s="1"/>
    </row>
    <row r="127">
      <c r="A127" s="390"/>
      <c r="B127" s="367"/>
      <c r="C127" s="367"/>
      <c r="D127" s="390"/>
      <c r="E127" s="367"/>
      <c r="F127" s="367"/>
      <c r="G127" s="367"/>
      <c r="H127" s="390" t="s">
        <v>1651</v>
      </c>
      <c r="I127" s="439" t="s">
        <v>1728</v>
      </c>
      <c r="J127" s="449" t="s">
        <v>347</v>
      </c>
      <c r="K127" s="206">
        <v>23.0</v>
      </c>
      <c r="L127" s="206">
        <v>103.0</v>
      </c>
      <c r="M127" s="474">
        <v>71.0</v>
      </c>
      <c r="N127" s="473"/>
      <c r="O127" s="1"/>
      <c r="P127" s="1"/>
      <c r="Q127" s="1"/>
      <c r="R127" s="1"/>
    </row>
    <row r="128">
      <c r="A128" s="390"/>
      <c r="B128" s="367"/>
      <c r="C128" s="367"/>
      <c r="D128" s="390"/>
      <c r="E128" s="367"/>
      <c r="F128" s="367"/>
      <c r="G128" s="367"/>
      <c r="H128" s="390" t="s">
        <v>1715</v>
      </c>
      <c r="I128" s="439" t="s">
        <v>1731</v>
      </c>
      <c r="J128" s="449">
        <v>0.0</v>
      </c>
      <c r="K128" s="206" t="s">
        <v>347</v>
      </c>
      <c r="L128" s="206">
        <v>0.0</v>
      </c>
      <c r="M128" s="474">
        <v>13.0</v>
      </c>
      <c r="N128" s="473"/>
      <c r="O128" s="1"/>
      <c r="P128" s="1"/>
      <c r="Q128" s="1"/>
      <c r="R128" s="1"/>
    </row>
    <row r="129">
      <c r="A129" s="390"/>
      <c r="B129" s="367"/>
      <c r="C129" s="367"/>
      <c r="D129" s="390"/>
      <c r="E129" s="367"/>
      <c r="F129" s="367"/>
      <c r="G129" s="367"/>
      <c r="H129" s="390" t="s">
        <v>1715</v>
      </c>
      <c r="I129" s="439"/>
      <c r="J129" s="449" t="s">
        <v>347</v>
      </c>
      <c r="K129" s="206">
        <v>0.0</v>
      </c>
      <c r="L129" s="206">
        <v>0.0</v>
      </c>
      <c r="M129" s="474">
        <v>0.0</v>
      </c>
      <c r="N129" s="473"/>
      <c r="O129" s="1"/>
      <c r="P129" s="1"/>
      <c r="Q129" s="1"/>
      <c r="R129" s="1"/>
    </row>
    <row r="130">
      <c r="A130" s="390"/>
      <c r="B130" s="367"/>
      <c r="C130" s="367"/>
      <c r="D130" s="390"/>
      <c r="E130" s="367"/>
      <c r="F130" s="367"/>
      <c r="G130" s="367"/>
      <c r="H130" s="390" t="s">
        <v>1737</v>
      </c>
      <c r="I130" s="439" t="s">
        <v>1738</v>
      </c>
      <c r="J130" s="449" t="s">
        <v>347</v>
      </c>
      <c r="K130" s="206" t="s">
        <v>347</v>
      </c>
      <c r="L130" s="206" t="s">
        <v>347</v>
      </c>
      <c r="M130" s="474" t="s">
        <v>347</v>
      </c>
      <c r="N130" s="473"/>
      <c r="O130" s="1"/>
      <c r="P130" s="1"/>
      <c r="Q130" s="1"/>
      <c r="R130" s="1"/>
    </row>
    <row r="131">
      <c r="A131" s="390"/>
      <c r="B131" s="367"/>
      <c r="C131" s="367"/>
      <c r="D131" s="390"/>
      <c r="E131" s="367"/>
      <c r="F131" s="367"/>
      <c r="G131" s="367"/>
      <c r="H131" s="390" t="s">
        <v>1737</v>
      </c>
      <c r="I131" s="439" t="s">
        <v>1740</v>
      </c>
      <c r="J131" s="449">
        <v>0.0</v>
      </c>
      <c r="K131" s="206">
        <v>0.0</v>
      </c>
      <c r="L131" s="206">
        <v>0.0</v>
      </c>
      <c r="M131" s="474">
        <v>0.0</v>
      </c>
      <c r="N131" s="473"/>
      <c r="O131" s="1"/>
      <c r="P131" s="1"/>
      <c r="Q131" s="1"/>
      <c r="R131" s="1"/>
    </row>
    <row r="132">
      <c r="A132" s="390"/>
      <c r="B132" s="367"/>
      <c r="C132" s="367"/>
      <c r="D132" s="390"/>
      <c r="E132" s="367"/>
      <c r="F132" s="367"/>
      <c r="G132" s="367"/>
      <c r="H132" s="390" t="s">
        <v>1715</v>
      </c>
      <c r="I132" s="439" t="s">
        <v>1743</v>
      </c>
      <c r="J132" s="449">
        <v>0.0</v>
      </c>
      <c r="K132" s="206" t="s">
        <v>347</v>
      </c>
      <c r="L132" s="206" t="s">
        <v>347</v>
      </c>
      <c r="M132" s="474" t="s">
        <v>347</v>
      </c>
      <c r="N132" s="473"/>
      <c r="O132" s="1"/>
      <c r="P132" s="1"/>
      <c r="Q132" s="1"/>
      <c r="R132" s="1"/>
    </row>
    <row r="133">
      <c r="A133" s="390"/>
      <c r="B133" s="367"/>
      <c r="C133" s="367"/>
      <c r="D133" s="390"/>
      <c r="E133" s="367"/>
      <c r="F133" s="367"/>
      <c r="G133" s="367"/>
      <c r="H133" s="390" t="s">
        <v>1715</v>
      </c>
      <c r="I133" s="439" t="s">
        <v>1745</v>
      </c>
      <c r="J133" s="449">
        <v>0.0</v>
      </c>
      <c r="K133" s="206" t="s">
        <v>347</v>
      </c>
      <c r="L133" s="206">
        <v>0.0</v>
      </c>
      <c r="M133" s="474" t="s">
        <v>347</v>
      </c>
      <c r="N133" s="473"/>
      <c r="O133" s="1"/>
      <c r="P133" s="1"/>
      <c r="Q133" s="1"/>
      <c r="R133" s="1"/>
    </row>
    <row r="134">
      <c r="A134" s="390"/>
      <c r="B134" s="367"/>
      <c r="C134" s="367"/>
      <c r="D134" s="390"/>
      <c r="E134" s="367"/>
      <c r="F134" s="367"/>
      <c r="G134" s="367"/>
      <c r="H134" s="390" t="s">
        <v>1715</v>
      </c>
      <c r="I134" s="439" t="s">
        <v>1748</v>
      </c>
      <c r="J134" s="449" t="s">
        <v>347</v>
      </c>
      <c r="K134" s="206" t="s">
        <v>347</v>
      </c>
      <c r="L134" s="206">
        <v>0.0</v>
      </c>
      <c r="M134" s="474">
        <v>0.0</v>
      </c>
      <c r="N134" s="473"/>
      <c r="O134" s="1"/>
      <c r="P134" s="1"/>
      <c r="Q134" s="1"/>
      <c r="R134" s="1"/>
    </row>
    <row r="135">
      <c r="A135" s="390"/>
      <c r="B135" s="367"/>
      <c r="C135" s="367"/>
      <c r="D135" s="390"/>
      <c r="E135" s="367"/>
      <c r="F135" s="367"/>
      <c r="G135" s="367"/>
      <c r="H135" s="390" t="s">
        <v>1715</v>
      </c>
      <c r="I135" s="439" t="s">
        <v>781</v>
      </c>
      <c r="J135" s="449">
        <v>0.0</v>
      </c>
      <c r="K135" s="206" t="s">
        <v>347</v>
      </c>
      <c r="L135" s="206" t="s">
        <v>347</v>
      </c>
      <c r="M135" s="474" t="s">
        <v>347</v>
      </c>
      <c r="N135" s="473"/>
      <c r="O135" s="1"/>
      <c r="P135" s="1"/>
      <c r="Q135" s="1"/>
      <c r="R135" s="1"/>
    </row>
    <row r="136">
      <c r="A136" s="390"/>
      <c r="B136" s="367"/>
      <c r="C136" s="367"/>
      <c r="D136" s="390"/>
      <c r="E136" s="367"/>
      <c r="F136" s="367"/>
      <c r="G136" s="367"/>
      <c r="H136" s="390" t="s">
        <v>1753</v>
      </c>
      <c r="I136" s="439" t="s">
        <v>1754</v>
      </c>
      <c r="J136" s="449" t="s">
        <v>347</v>
      </c>
      <c r="K136" s="206">
        <v>18.0</v>
      </c>
      <c r="L136" s="206">
        <v>0.0</v>
      </c>
      <c r="M136" s="474">
        <v>0.0</v>
      </c>
      <c r="N136" s="473"/>
      <c r="O136" s="1"/>
      <c r="P136" s="1"/>
      <c r="Q136" s="1"/>
      <c r="R136" s="1"/>
    </row>
    <row r="137">
      <c r="A137" s="390"/>
      <c r="B137" s="367"/>
      <c r="C137" s="367"/>
      <c r="D137" s="390"/>
      <c r="E137" s="367"/>
      <c r="F137" s="367"/>
      <c r="G137" s="367"/>
      <c r="H137" s="390" t="s">
        <v>1715</v>
      </c>
      <c r="I137" s="439" t="s">
        <v>1756</v>
      </c>
      <c r="J137" s="449" t="s">
        <v>347</v>
      </c>
      <c r="K137" s="206">
        <v>32.0</v>
      </c>
      <c r="L137" s="206" t="s">
        <v>347</v>
      </c>
      <c r="M137" s="474" t="s">
        <v>347</v>
      </c>
      <c r="N137" s="473"/>
      <c r="O137" s="1"/>
      <c r="P137" s="1"/>
      <c r="Q137" s="1"/>
      <c r="R137" s="1"/>
    </row>
    <row r="138">
      <c r="A138" s="390"/>
      <c r="B138" s="367"/>
      <c r="C138" s="367"/>
      <c r="D138" s="390"/>
      <c r="E138" s="367"/>
      <c r="F138" s="367"/>
      <c r="G138" s="367"/>
      <c r="H138" s="390" t="s">
        <v>1715</v>
      </c>
      <c r="I138" s="439" t="s">
        <v>1760</v>
      </c>
      <c r="J138" s="449">
        <v>0.0</v>
      </c>
      <c r="K138" s="206">
        <v>47.0</v>
      </c>
      <c r="L138" s="206" t="s">
        <v>347</v>
      </c>
      <c r="M138" s="474">
        <v>20.0</v>
      </c>
      <c r="N138" s="473"/>
      <c r="O138" s="1"/>
      <c r="P138" s="1"/>
      <c r="Q138" s="1"/>
      <c r="R138" s="1"/>
    </row>
    <row r="139">
      <c r="A139" s="1"/>
      <c r="D139" s="1"/>
      <c r="H139" s="390" t="s">
        <v>1715</v>
      </c>
      <c r="I139" s="439" t="s">
        <v>1715</v>
      </c>
      <c r="J139" s="449" t="s">
        <v>347</v>
      </c>
      <c r="K139" s="206" t="s">
        <v>347</v>
      </c>
      <c r="L139" s="206" t="s">
        <v>347</v>
      </c>
      <c r="M139" s="474">
        <v>0.0</v>
      </c>
      <c r="N139" s="473"/>
      <c r="O139" s="1"/>
      <c r="P139" s="1"/>
      <c r="Q139" s="1"/>
      <c r="R139" s="1"/>
    </row>
    <row r="140">
      <c r="A140" s="1"/>
      <c r="D140" s="1"/>
      <c r="H140" s="390" t="s">
        <v>1715</v>
      </c>
      <c r="I140" s="439" t="s">
        <v>1764</v>
      </c>
      <c r="J140" s="449">
        <v>0.0</v>
      </c>
      <c r="K140" s="206">
        <v>0.0</v>
      </c>
      <c r="L140" s="206">
        <v>0.0</v>
      </c>
      <c r="M140" s="474">
        <v>0.0</v>
      </c>
      <c r="N140" s="473"/>
      <c r="O140" s="1"/>
      <c r="P140" s="303"/>
      <c r="Q140" s="1"/>
      <c r="R140" s="303"/>
    </row>
    <row r="141">
      <c r="A141" s="1"/>
      <c r="D141" s="1"/>
      <c r="H141" s="390"/>
      <c r="I141" s="439" t="s">
        <v>923</v>
      </c>
      <c r="J141" s="447">
        <v>63.0</v>
      </c>
      <c r="K141" s="206">
        <v>435.0</v>
      </c>
      <c r="L141" s="208">
        <v>244.0</v>
      </c>
      <c r="M141" s="474">
        <v>152.0</v>
      </c>
    </row>
    <row r="142">
      <c r="A142" s="1"/>
      <c r="D142" s="1"/>
      <c r="H142" s="390"/>
      <c r="I142" s="367"/>
      <c r="J142" s="390"/>
      <c r="K142" s="475"/>
      <c r="L142" s="367"/>
    </row>
    <row r="143">
      <c r="A143" s="1"/>
      <c r="D143" s="1"/>
      <c r="H143" s="390"/>
      <c r="I143" s="367"/>
      <c r="J143" s="390"/>
      <c r="K143" s="475"/>
      <c r="L143" s="367"/>
    </row>
    <row r="144">
      <c r="A144" s="1"/>
      <c r="D144" s="1"/>
      <c r="H144" s="390"/>
      <c r="I144" s="367"/>
      <c r="J144" s="390"/>
      <c r="K144" s="475"/>
      <c r="L144" s="367"/>
    </row>
    <row r="145">
      <c r="A145" s="1"/>
      <c r="D145" s="1"/>
      <c r="H145" s="390"/>
      <c r="I145" s="367"/>
      <c r="J145" s="390"/>
      <c r="K145" s="475"/>
      <c r="L145" s="367"/>
    </row>
    <row r="146">
      <c r="A146" s="1"/>
      <c r="D146" s="1"/>
      <c r="H146" s="390"/>
      <c r="I146" s="367"/>
      <c r="J146" s="390"/>
      <c r="K146" s="475"/>
      <c r="L146" s="367"/>
    </row>
    <row r="147">
      <c r="A147" s="275" t="s">
        <v>852</v>
      </c>
      <c r="B147" s="276"/>
      <c r="C147" s="276"/>
      <c r="D147" s="275" t="s">
        <v>765</v>
      </c>
      <c r="E147" s="276"/>
      <c r="F147" s="276"/>
      <c r="G147" s="276"/>
      <c r="H147" s="275" t="s">
        <v>767</v>
      </c>
      <c r="I147" s="276"/>
      <c r="J147" s="275" t="s">
        <v>769</v>
      </c>
      <c r="K147" s="476">
        <v>43922.0</v>
      </c>
      <c r="L147" s="276"/>
    </row>
    <row r="148">
      <c r="A148" s="349"/>
      <c r="B148" s="349"/>
      <c r="C148" s="349"/>
      <c r="D148" s="349"/>
      <c r="E148" s="349"/>
      <c r="F148" s="349"/>
      <c r="G148" s="355" t="s">
        <v>1865</v>
      </c>
      <c r="H148" s="355" t="s">
        <v>1866</v>
      </c>
      <c r="I148" s="355" t="s">
        <v>1867</v>
      </c>
      <c r="J148" s="355" t="s">
        <v>1868</v>
      </c>
      <c r="K148" s="355" t="s">
        <v>1869</v>
      </c>
    </row>
    <row r="149">
      <c r="A149" s="204" t="s">
        <v>1870</v>
      </c>
      <c r="C149" s="1">
        <v>0.0</v>
      </c>
      <c r="D149" s="1" t="s">
        <v>1871</v>
      </c>
      <c r="E149" s="1">
        <v>2020.0</v>
      </c>
      <c r="F149" s="340">
        <v>43922.0</v>
      </c>
      <c r="G149" s="354"/>
      <c r="H149" s="354"/>
      <c r="I149" s="354"/>
      <c r="J149" s="354"/>
      <c r="K149" s="354"/>
    </row>
    <row r="150">
      <c r="A150" s="204" t="s">
        <v>276</v>
      </c>
      <c r="C150" s="1">
        <v>1.0</v>
      </c>
      <c r="D150" s="1" t="s">
        <v>1871</v>
      </c>
      <c r="E150" s="1">
        <v>2020.0</v>
      </c>
      <c r="F150" s="340">
        <v>43922.0</v>
      </c>
      <c r="G150" s="354"/>
      <c r="H150" s="354"/>
      <c r="I150" s="354"/>
      <c r="J150" s="354"/>
      <c r="K150" s="354"/>
    </row>
    <row r="151">
      <c r="A151" s="204" t="s">
        <v>320</v>
      </c>
      <c r="B151" s="1" t="s">
        <v>1873</v>
      </c>
      <c r="C151" s="1">
        <v>2.0</v>
      </c>
      <c r="D151" s="1" t="s">
        <v>1871</v>
      </c>
      <c r="E151" s="1">
        <v>2020.0</v>
      </c>
      <c r="F151" s="340">
        <v>43922.0</v>
      </c>
      <c r="G151" s="477"/>
      <c r="H151" s="477"/>
      <c r="I151" s="477"/>
      <c r="J151" s="477"/>
      <c r="K151" s="477"/>
    </row>
    <row r="152">
      <c r="A152" s="204" t="s">
        <v>322</v>
      </c>
      <c r="B152" s="1" t="s">
        <v>1873</v>
      </c>
      <c r="C152" s="1">
        <v>3.0</v>
      </c>
      <c r="D152" s="1" t="s">
        <v>1871</v>
      </c>
      <c r="E152" s="1">
        <v>2020.0</v>
      </c>
      <c r="F152" s="340">
        <v>43922.0</v>
      </c>
      <c r="G152" s="477"/>
      <c r="H152" s="477"/>
      <c r="I152" s="477"/>
      <c r="J152" s="477"/>
      <c r="K152" s="477"/>
    </row>
    <row r="153">
      <c r="A153" s="204" t="s">
        <v>324</v>
      </c>
      <c r="C153" s="1">
        <v>4.0</v>
      </c>
      <c r="D153" s="1" t="s">
        <v>1871</v>
      </c>
      <c r="E153" s="1">
        <v>2020.0</v>
      </c>
      <c r="F153" s="340">
        <v>43922.0</v>
      </c>
      <c r="G153" s="354"/>
      <c r="H153" s="354"/>
      <c r="I153" s="354"/>
      <c r="J153" s="354"/>
      <c r="K153" s="354"/>
    </row>
    <row r="154">
      <c r="A154" s="204" t="s">
        <v>325</v>
      </c>
      <c r="B154" s="1" t="s">
        <v>1873</v>
      </c>
      <c r="C154" s="1">
        <v>5.0</v>
      </c>
      <c r="D154" s="1" t="s">
        <v>1871</v>
      </c>
      <c r="E154" s="1">
        <v>2020.0</v>
      </c>
      <c r="F154" s="340">
        <v>43922.0</v>
      </c>
      <c r="G154" s="477"/>
      <c r="H154" s="477"/>
      <c r="I154" s="477"/>
      <c r="J154" s="477"/>
      <c r="K154" s="477"/>
    </row>
    <row r="155">
      <c r="A155" s="204" t="s">
        <v>326</v>
      </c>
      <c r="B155" s="1" t="s">
        <v>1873</v>
      </c>
      <c r="C155" s="1">
        <v>6.0</v>
      </c>
      <c r="D155" s="1" t="s">
        <v>1871</v>
      </c>
      <c r="E155" s="1">
        <v>2020.0</v>
      </c>
      <c r="F155" s="340">
        <v>43922.0</v>
      </c>
      <c r="G155" s="477"/>
      <c r="H155" s="477"/>
      <c r="I155" s="477"/>
      <c r="J155" s="477"/>
      <c r="K155" s="477"/>
    </row>
    <row r="156">
      <c r="A156" s="204" t="s">
        <v>327</v>
      </c>
      <c r="C156" s="1">
        <v>7.0</v>
      </c>
      <c r="D156" s="1" t="s">
        <v>1871</v>
      </c>
      <c r="E156" s="1">
        <v>2020.0</v>
      </c>
      <c r="F156" s="340">
        <v>43922.0</v>
      </c>
      <c r="G156" s="354"/>
      <c r="H156" s="354"/>
      <c r="I156" s="354"/>
      <c r="J156" s="354"/>
      <c r="K156" s="354"/>
    </row>
    <row r="157">
      <c r="A157" s="204" t="s">
        <v>328</v>
      </c>
      <c r="C157" s="1">
        <v>8.0</v>
      </c>
      <c r="D157" s="1" t="s">
        <v>1871</v>
      </c>
      <c r="E157" s="1">
        <v>2020.0</v>
      </c>
      <c r="F157" s="340">
        <v>43922.0</v>
      </c>
      <c r="G157" s="354"/>
      <c r="H157" s="354"/>
      <c r="I157" s="354"/>
      <c r="J157" s="354"/>
      <c r="K157" s="354"/>
    </row>
    <row r="158">
      <c r="A158" s="204" t="s">
        <v>329</v>
      </c>
      <c r="C158" s="1">
        <v>9.0</v>
      </c>
      <c r="D158" s="1" t="s">
        <v>1871</v>
      </c>
      <c r="E158" s="1">
        <v>2020.0</v>
      </c>
      <c r="F158" s="340">
        <v>43922.0</v>
      </c>
      <c r="G158" s="354"/>
      <c r="H158" s="354"/>
      <c r="I158" s="354"/>
      <c r="J158" s="354"/>
      <c r="K158" s="354"/>
    </row>
    <row r="159">
      <c r="A159" s="204" t="s">
        <v>331</v>
      </c>
      <c r="C159" s="1">
        <v>10.0</v>
      </c>
      <c r="D159" s="1" t="s">
        <v>1871</v>
      </c>
      <c r="E159" s="1">
        <v>2020.0</v>
      </c>
      <c r="F159" s="340">
        <v>43922.0</v>
      </c>
      <c r="G159" s="354"/>
      <c r="H159" s="354"/>
      <c r="I159" s="354"/>
      <c r="J159" s="354"/>
      <c r="K159" s="354"/>
    </row>
    <row r="160">
      <c r="A160" s="204" t="s">
        <v>332</v>
      </c>
      <c r="C160" s="1">
        <v>11.0</v>
      </c>
      <c r="D160" s="1" t="s">
        <v>1871</v>
      </c>
      <c r="E160" s="1">
        <v>2020.0</v>
      </c>
      <c r="F160" s="340">
        <v>43922.0</v>
      </c>
      <c r="G160" s="354"/>
      <c r="H160" s="354"/>
      <c r="I160" s="354"/>
      <c r="J160" s="354"/>
      <c r="K160" s="354"/>
    </row>
    <row r="161">
      <c r="A161" s="204" t="s">
        <v>333</v>
      </c>
      <c r="B161" s="1" t="s">
        <v>1873</v>
      </c>
      <c r="C161" s="1">
        <v>12.0</v>
      </c>
      <c r="D161" s="1" t="s">
        <v>1871</v>
      </c>
      <c r="E161" s="1">
        <v>2020.0</v>
      </c>
      <c r="F161" s="340">
        <v>43922.0</v>
      </c>
      <c r="G161" s="477"/>
      <c r="H161" s="477"/>
      <c r="I161" s="477"/>
      <c r="J161" s="477"/>
      <c r="K161" s="477"/>
    </row>
    <row r="162">
      <c r="A162" s="204" t="s">
        <v>334</v>
      </c>
      <c r="C162" s="1">
        <v>13.0</v>
      </c>
      <c r="D162" s="1" t="s">
        <v>1871</v>
      </c>
      <c r="E162" s="1">
        <v>2020.0</v>
      </c>
      <c r="F162" s="340">
        <v>43922.0</v>
      </c>
      <c r="G162" s="354"/>
      <c r="H162" s="354"/>
      <c r="I162" s="354"/>
      <c r="J162" s="354"/>
      <c r="K162" s="354"/>
    </row>
    <row r="163">
      <c r="A163" s="204" t="s">
        <v>335</v>
      </c>
      <c r="C163" s="1">
        <v>14.0</v>
      </c>
      <c r="D163" s="1" t="s">
        <v>1871</v>
      </c>
      <c r="E163" s="1">
        <v>2020.0</v>
      </c>
      <c r="F163" s="340">
        <v>43922.0</v>
      </c>
      <c r="G163" s="354"/>
      <c r="H163" s="354"/>
      <c r="I163" s="354"/>
      <c r="J163" s="354"/>
      <c r="K163" s="354"/>
    </row>
    <row r="164">
      <c r="A164" s="204" t="s">
        <v>336</v>
      </c>
      <c r="C164" s="1">
        <v>15.0</v>
      </c>
      <c r="D164" s="1" t="s">
        <v>1871</v>
      </c>
      <c r="E164" s="1">
        <v>2020.0</v>
      </c>
      <c r="F164" s="340">
        <v>43922.0</v>
      </c>
      <c r="G164" s="354"/>
      <c r="H164" s="354"/>
      <c r="I164" s="354"/>
      <c r="J164" s="354"/>
      <c r="K164" s="354"/>
    </row>
    <row r="165">
      <c r="A165" s="204" t="s">
        <v>249</v>
      </c>
      <c r="C165" s="1">
        <v>16.0</v>
      </c>
      <c r="D165" s="1" t="s">
        <v>1871</v>
      </c>
      <c r="E165" s="1">
        <v>2020.0</v>
      </c>
      <c r="F165" s="340">
        <v>43922.0</v>
      </c>
      <c r="G165" s="354"/>
      <c r="H165" s="354"/>
      <c r="I165" s="354"/>
      <c r="J165" s="354"/>
      <c r="K165" s="354"/>
    </row>
    <row r="166">
      <c r="A166" s="204" t="s">
        <v>337</v>
      </c>
      <c r="B166" s="1" t="s">
        <v>1873</v>
      </c>
      <c r="C166" s="1">
        <v>17.0</v>
      </c>
      <c r="D166" s="1" t="s">
        <v>1871</v>
      </c>
      <c r="E166" s="1">
        <v>2020.0</v>
      </c>
      <c r="F166" s="340">
        <v>43922.0</v>
      </c>
      <c r="G166" s="477"/>
      <c r="H166" s="477"/>
      <c r="I166" s="477"/>
      <c r="J166" s="477"/>
      <c r="K166" s="477"/>
    </row>
    <row r="167">
      <c r="A167" s="204" t="s">
        <v>338</v>
      </c>
      <c r="B167" s="1" t="s">
        <v>1873</v>
      </c>
      <c r="C167" s="1">
        <v>18.0</v>
      </c>
      <c r="D167" s="1" t="s">
        <v>1871</v>
      </c>
      <c r="E167" s="1">
        <v>2020.0</v>
      </c>
      <c r="F167" s="340">
        <v>43922.0</v>
      </c>
      <c r="G167" s="477"/>
      <c r="H167" s="477"/>
      <c r="I167" s="477"/>
      <c r="J167" s="477"/>
      <c r="K167" s="477"/>
    </row>
    <row r="168">
      <c r="A168" s="204" t="s">
        <v>183</v>
      </c>
      <c r="B168" s="1" t="s">
        <v>1873</v>
      </c>
      <c r="C168" s="1">
        <v>19.0</v>
      </c>
      <c r="D168" s="1" t="s">
        <v>1871</v>
      </c>
      <c r="E168" s="1">
        <v>2020.0</v>
      </c>
      <c r="F168" s="340">
        <v>43922.0</v>
      </c>
      <c r="G168" s="477"/>
      <c r="H168" s="477"/>
      <c r="I168" s="477"/>
      <c r="J168" s="477"/>
      <c r="K168" s="477"/>
    </row>
    <row r="169">
      <c r="A169" s="204" t="s">
        <v>340</v>
      </c>
      <c r="B169" s="1" t="s">
        <v>1873</v>
      </c>
      <c r="C169" s="1">
        <v>20.0</v>
      </c>
      <c r="D169" s="1" t="s">
        <v>1871</v>
      </c>
      <c r="E169" s="1">
        <v>2020.0</v>
      </c>
      <c r="F169" s="340">
        <v>43922.0</v>
      </c>
      <c r="G169" s="477"/>
      <c r="H169" s="477"/>
      <c r="I169" s="477"/>
      <c r="J169" s="477"/>
      <c r="K169" s="477"/>
    </row>
    <row r="170">
      <c r="A170" s="204" t="s">
        <v>341</v>
      </c>
      <c r="C170" s="1">
        <v>21.0</v>
      </c>
      <c r="D170" s="1" t="s">
        <v>1871</v>
      </c>
      <c r="E170" s="1">
        <v>2020.0</v>
      </c>
      <c r="F170" s="340">
        <v>43922.0</v>
      </c>
      <c r="G170" s="354"/>
      <c r="H170" s="354"/>
      <c r="I170" s="354"/>
      <c r="J170" s="354"/>
      <c r="K170" s="354"/>
    </row>
    <row r="171">
      <c r="A171" s="204" t="s">
        <v>342</v>
      </c>
      <c r="C171" s="1">
        <v>22.0</v>
      </c>
      <c r="D171" s="1" t="s">
        <v>1871</v>
      </c>
      <c r="E171" s="1">
        <v>2020.0</v>
      </c>
      <c r="F171" s="340">
        <v>43922.0</v>
      </c>
      <c r="G171" s="354"/>
      <c r="H171" s="354"/>
      <c r="I171" s="354"/>
      <c r="J171" s="354"/>
      <c r="K171" s="354"/>
    </row>
    <row r="172">
      <c r="A172" s="204" t="s">
        <v>343</v>
      </c>
      <c r="B172" s="1" t="s">
        <v>1873</v>
      </c>
      <c r="C172" s="1">
        <v>23.0</v>
      </c>
      <c r="D172" s="1" t="s">
        <v>1871</v>
      </c>
      <c r="E172" s="1">
        <v>2020.0</v>
      </c>
      <c r="F172" s="340">
        <v>43922.0</v>
      </c>
      <c r="G172" s="477"/>
      <c r="H172" s="477"/>
      <c r="I172" s="477"/>
      <c r="J172" s="477"/>
      <c r="K172" s="477"/>
    </row>
    <row r="173">
      <c r="A173" s="204" t="s">
        <v>344</v>
      </c>
      <c r="C173" s="1">
        <v>24.0</v>
      </c>
      <c r="D173" s="1" t="s">
        <v>1871</v>
      </c>
      <c r="E173" s="1">
        <v>2020.0</v>
      </c>
      <c r="F173" s="340">
        <v>43922.0</v>
      </c>
      <c r="G173" s="354"/>
      <c r="H173" s="354"/>
      <c r="I173" s="354"/>
      <c r="J173" s="354"/>
      <c r="K173" s="354"/>
    </row>
    <row r="174">
      <c r="A174" s="204" t="s">
        <v>345</v>
      </c>
      <c r="B174" s="1" t="s">
        <v>1873</v>
      </c>
      <c r="C174" s="1">
        <v>25.0</v>
      </c>
      <c r="D174" s="1" t="s">
        <v>1871</v>
      </c>
      <c r="E174" s="1">
        <v>2020.0</v>
      </c>
      <c r="F174" s="340">
        <v>43922.0</v>
      </c>
      <c r="G174" s="477"/>
      <c r="H174" s="477"/>
      <c r="I174" s="477"/>
      <c r="J174" s="477"/>
      <c r="K174" s="477"/>
    </row>
    <row r="175">
      <c r="A175" s="204" t="s">
        <v>346</v>
      </c>
      <c r="B175" s="1" t="s">
        <v>1873</v>
      </c>
      <c r="C175" s="1">
        <v>26.0</v>
      </c>
      <c r="D175" s="1" t="s">
        <v>1871</v>
      </c>
      <c r="E175" s="1">
        <v>2020.0</v>
      </c>
      <c r="F175" s="340">
        <v>43922.0</v>
      </c>
      <c r="G175" s="477"/>
      <c r="H175" s="477"/>
      <c r="I175" s="477"/>
      <c r="J175" s="477"/>
      <c r="K175" s="477"/>
    </row>
    <row r="176">
      <c r="A176" s="204" t="s">
        <v>348</v>
      </c>
      <c r="C176" s="1">
        <v>27.0</v>
      </c>
      <c r="D176" s="1" t="s">
        <v>1871</v>
      </c>
      <c r="E176" s="1">
        <v>2020.0</v>
      </c>
      <c r="F176" s="340">
        <v>43922.0</v>
      </c>
      <c r="G176" s="354"/>
      <c r="H176" s="354"/>
      <c r="I176" s="354"/>
      <c r="J176" s="354"/>
      <c r="K176" s="354"/>
    </row>
    <row r="177">
      <c r="A177" s="204" t="s">
        <v>349</v>
      </c>
      <c r="C177" s="1">
        <v>28.0</v>
      </c>
      <c r="D177" s="1" t="s">
        <v>1871</v>
      </c>
      <c r="E177" s="1">
        <v>2020.0</v>
      </c>
      <c r="F177" s="340">
        <v>43922.0</v>
      </c>
      <c r="G177" s="354"/>
      <c r="H177" s="354"/>
      <c r="I177" s="354"/>
      <c r="J177" s="354"/>
      <c r="K177" s="354"/>
    </row>
    <row r="178">
      <c r="A178" s="204" t="s">
        <v>82</v>
      </c>
      <c r="B178" s="1" t="s">
        <v>1873</v>
      </c>
      <c r="C178" s="1">
        <v>29.0</v>
      </c>
      <c r="D178" s="1" t="s">
        <v>1871</v>
      </c>
      <c r="E178" s="1">
        <v>2020.0</v>
      </c>
      <c r="F178" s="340">
        <v>43922.0</v>
      </c>
      <c r="G178" s="477"/>
      <c r="H178" s="477"/>
      <c r="I178" s="477"/>
      <c r="J178" s="477"/>
      <c r="K178" s="477"/>
    </row>
    <row r="179">
      <c r="A179" s="204" t="s">
        <v>241</v>
      </c>
      <c r="C179" s="1">
        <v>30.0</v>
      </c>
      <c r="D179" s="1" t="s">
        <v>1871</v>
      </c>
      <c r="E179" s="1">
        <v>2020.0</v>
      </c>
      <c r="F179" s="340">
        <v>43922.0</v>
      </c>
      <c r="G179" s="354"/>
      <c r="H179" s="354"/>
      <c r="I179" s="354"/>
      <c r="J179" s="354"/>
      <c r="K179" s="354"/>
    </row>
    <row r="180">
      <c r="A180" s="204" t="s">
        <v>352</v>
      </c>
      <c r="C180" s="1">
        <v>31.0</v>
      </c>
      <c r="D180" s="1" t="s">
        <v>1871</v>
      </c>
      <c r="E180" s="1">
        <v>2020.0</v>
      </c>
      <c r="F180" s="340">
        <v>43922.0</v>
      </c>
      <c r="G180" s="354"/>
      <c r="H180" s="354"/>
      <c r="I180" s="354"/>
      <c r="J180" s="354"/>
      <c r="K180" s="354"/>
    </row>
    <row r="181">
      <c r="A181" s="204" t="s">
        <v>354</v>
      </c>
      <c r="B181" s="1" t="s">
        <v>1873</v>
      </c>
      <c r="C181" s="1">
        <v>32.0</v>
      </c>
      <c r="D181" s="1" t="s">
        <v>1871</v>
      </c>
      <c r="E181" s="1">
        <v>2020.0</v>
      </c>
      <c r="F181" s="340">
        <v>43922.0</v>
      </c>
      <c r="G181" s="477"/>
      <c r="H181" s="477"/>
      <c r="I181" s="477"/>
      <c r="J181" s="477"/>
      <c r="K181" s="477"/>
    </row>
    <row r="182">
      <c r="A182" s="204" t="s">
        <v>252</v>
      </c>
      <c r="B182" s="1" t="s">
        <v>1873</v>
      </c>
      <c r="C182" s="1">
        <v>33.0</v>
      </c>
      <c r="D182" s="1" t="s">
        <v>1871</v>
      </c>
      <c r="E182" s="1">
        <v>2020.0</v>
      </c>
      <c r="F182" s="340">
        <v>43922.0</v>
      </c>
      <c r="G182" s="477"/>
      <c r="H182" s="477"/>
      <c r="I182" s="477"/>
      <c r="J182" s="477"/>
      <c r="K182" s="477"/>
    </row>
    <row r="183">
      <c r="A183" s="204" t="s">
        <v>292</v>
      </c>
      <c r="C183" s="1">
        <v>34.0</v>
      </c>
      <c r="D183" s="1" t="s">
        <v>1871</v>
      </c>
      <c r="E183" s="1">
        <v>2020.0</v>
      </c>
      <c r="F183" s="340">
        <v>43922.0</v>
      </c>
      <c r="G183" s="354"/>
      <c r="H183" s="354"/>
      <c r="I183" s="354"/>
      <c r="J183" s="354"/>
      <c r="K183" s="354"/>
    </row>
    <row r="184">
      <c r="A184" s="204" t="s">
        <v>356</v>
      </c>
      <c r="C184" s="1">
        <v>35.0</v>
      </c>
      <c r="D184" s="1" t="s">
        <v>1871</v>
      </c>
      <c r="E184" s="1">
        <v>2020.0</v>
      </c>
      <c r="F184" s="340">
        <v>43922.0</v>
      </c>
      <c r="G184" s="354"/>
      <c r="H184" s="354"/>
      <c r="I184" s="354"/>
      <c r="J184" s="354"/>
      <c r="K184" s="354"/>
    </row>
    <row r="185">
      <c r="A185" s="204" t="s">
        <v>261</v>
      </c>
      <c r="C185" s="1">
        <v>36.0</v>
      </c>
      <c r="D185" s="1" t="s">
        <v>1871</v>
      </c>
      <c r="E185" s="1">
        <v>2020.0</v>
      </c>
      <c r="F185" s="340">
        <v>43922.0</v>
      </c>
      <c r="G185" s="354"/>
      <c r="H185" s="354"/>
      <c r="I185" s="354"/>
      <c r="J185" s="354"/>
      <c r="K185" s="354"/>
    </row>
    <row r="186">
      <c r="A186" s="204" t="s">
        <v>239</v>
      </c>
      <c r="C186" s="1">
        <v>37.0</v>
      </c>
      <c r="D186" s="1" t="s">
        <v>1871</v>
      </c>
      <c r="E186" s="1">
        <v>2020.0</v>
      </c>
      <c r="F186" s="340">
        <v>43922.0</v>
      </c>
      <c r="G186" s="354"/>
      <c r="H186" s="354"/>
      <c r="I186" s="354"/>
      <c r="J186" s="354"/>
      <c r="K186" s="354"/>
    </row>
    <row r="187">
      <c r="A187" s="204" t="s">
        <v>357</v>
      </c>
      <c r="C187" s="1">
        <v>38.0</v>
      </c>
      <c r="D187" s="1" t="s">
        <v>1871</v>
      </c>
      <c r="E187" s="1">
        <v>2020.0</v>
      </c>
      <c r="F187" s="340">
        <v>43922.0</v>
      </c>
      <c r="G187" s="354"/>
      <c r="H187" s="354"/>
      <c r="I187" s="354"/>
      <c r="J187" s="354"/>
      <c r="K187" s="354"/>
    </row>
    <row r="188">
      <c r="A188" s="204" t="s">
        <v>358</v>
      </c>
      <c r="C188" s="1">
        <v>39.0</v>
      </c>
      <c r="D188" s="1" t="s">
        <v>1871</v>
      </c>
      <c r="E188" s="1">
        <v>2020.0</v>
      </c>
      <c r="F188" s="340">
        <v>43922.0</v>
      </c>
      <c r="G188" s="354"/>
      <c r="H188" s="354"/>
      <c r="I188" s="354"/>
      <c r="J188" s="354"/>
      <c r="K188" s="354"/>
    </row>
    <row r="189">
      <c r="A189" s="204" t="s">
        <v>360</v>
      </c>
      <c r="C189" s="1">
        <v>40.0</v>
      </c>
      <c r="D189" s="1" t="s">
        <v>1871</v>
      </c>
      <c r="E189" s="1">
        <v>2020.0</v>
      </c>
      <c r="F189" s="340">
        <v>43922.0</v>
      </c>
      <c r="G189" s="354"/>
      <c r="H189" s="354"/>
      <c r="I189" s="354"/>
      <c r="J189" s="354"/>
      <c r="K189" s="354"/>
    </row>
    <row r="190">
      <c r="A190" s="204" t="s">
        <v>361</v>
      </c>
      <c r="C190" s="1">
        <v>41.0</v>
      </c>
      <c r="D190" s="1" t="s">
        <v>1871</v>
      </c>
      <c r="E190" s="1">
        <v>2020.0</v>
      </c>
      <c r="F190" s="340">
        <v>43922.0</v>
      </c>
      <c r="G190" s="354"/>
      <c r="H190" s="354"/>
      <c r="I190" s="354"/>
      <c r="J190" s="354"/>
      <c r="K190" s="354"/>
    </row>
    <row r="191">
      <c r="A191" s="204" t="s">
        <v>362</v>
      </c>
      <c r="C191" s="1">
        <v>42.0</v>
      </c>
      <c r="D191" s="1" t="s">
        <v>1871</v>
      </c>
      <c r="E191" s="1">
        <v>2020.0</v>
      </c>
      <c r="F191" s="340">
        <v>43922.0</v>
      </c>
      <c r="G191" s="354"/>
      <c r="H191" s="354"/>
      <c r="I191" s="354"/>
      <c r="J191" s="354"/>
      <c r="K191" s="354"/>
    </row>
    <row r="192">
      <c r="A192" s="204" t="s">
        <v>272</v>
      </c>
      <c r="C192" s="1">
        <v>43.0</v>
      </c>
      <c r="D192" s="1" t="s">
        <v>1871</v>
      </c>
      <c r="E192" s="1">
        <v>2020.0</v>
      </c>
      <c r="F192" s="340">
        <v>43922.0</v>
      </c>
      <c r="G192" s="354"/>
      <c r="H192" s="354"/>
      <c r="I192" s="354"/>
      <c r="J192" s="354"/>
      <c r="K192" s="354"/>
    </row>
    <row r="193">
      <c r="A193" s="204" t="s">
        <v>232</v>
      </c>
      <c r="C193" s="1">
        <v>44.0</v>
      </c>
      <c r="D193" s="1" t="s">
        <v>1871</v>
      </c>
      <c r="E193" s="1">
        <v>2020.0</v>
      </c>
      <c r="F193" s="340">
        <v>43922.0</v>
      </c>
      <c r="G193" s="354"/>
      <c r="H193" s="354"/>
      <c r="I193" s="354"/>
      <c r="J193" s="354"/>
      <c r="K193" s="354"/>
    </row>
    <row r="194">
      <c r="A194" s="204" t="s">
        <v>364</v>
      </c>
      <c r="C194" s="1">
        <v>45.0</v>
      </c>
      <c r="D194" s="1" t="s">
        <v>1871</v>
      </c>
      <c r="E194" s="1">
        <v>2020.0</v>
      </c>
      <c r="F194" s="340">
        <v>43922.0</v>
      </c>
      <c r="G194" s="354"/>
      <c r="H194" s="354"/>
      <c r="I194" s="354"/>
      <c r="J194" s="354"/>
      <c r="K194" s="354"/>
    </row>
    <row r="195">
      <c r="A195" s="204" t="s">
        <v>365</v>
      </c>
      <c r="B195" s="1" t="s">
        <v>1873</v>
      </c>
      <c r="C195" s="1">
        <v>46.0</v>
      </c>
      <c r="D195" s="1" t="s">
        <v>1871</v>
      </c>
      <c r="E195" s="1">
        <v>2020.0</v>
      </c>
      <c r="F195" s="340">
        <v>43922.0</v>
      </c>
      <c r="G195" s="477"/>
      <c r="H195" s="477"/>
      <c r="I195" s="477"/>
      <c r="J195" s="477"/>
      <c r="K195" s="477"/>
    </row>
    <row r="196">
      <c r="A196" s="204" t="s">
        <v>366</v>
      </c>
      <c r="B196" s="1" t="s">
        <v>1873</v>
      </c>
      <c r="C196" s="1">
        <v>47.0</v>
      </c>
      <c r="D196" s="1" t="s">
        <v>1871</v>
      </c>
      <c r="E196" s="1">
        <v>2020.0</v>
      </c>
      <c r="F196" s="340">
        <v>43922.0</v>
      </c>
      <c r="G196" s="477"/>
      <c r="H196" s="477"/>
      <c r="I196" s="477"/>
      <c r="J196" s="477"/>
      <c r="K196" s="477"/>
    </row>
    <row r="197">
      <c r="A197" s="204" t="s">
        <v>369</v>
      </c>
      <c r="B197" s="1" t="s">
        <v>1873</v>
      </c>
      <c r="C197" s="1">
        <v>48.0</v>
      </c>
      <c r="D197" s="1" t="s">
        <v>1871</v>
      </c>
      <c r="E197" s="1">
        <v>2020.0</v>
      </c>
      <c r="F197" s="340">
        <v>43922.0</v>
      </c>
      <c r="G197" s="477"/>
      <c r="H197" s="477"/>
      <c r="I197" s="477"/>
      <c r="J197" s="477"/>
      <c r="K197" s="477"/>
    </row>
    <row r="198">
      <c r="A198" s="204" t="s">
        <v>370</v>
      </c>
      <c r="C198" s="1">
        <v>49.0</v>
      </c>
      <c r="D198" s="1" t="s">
        <v>1871</v>
      </c>
      <c r="E198" s="1">
        <v>2020.0</v>
      </c>
      <c r="F198" s="340">
        <v>43922.0</v>
      </c>
      <c r="G198" s="354"/>
      <c r="H198" s="354"/>
      <c r="I198" s="354"/>
      <c r="J198" s="354"/>
      <c r="K198" s="354"/>
    </row>
    <row r="199">
      <c r="A199" s="204" t="s">
        <v>371</v>
      </c>
      <c r="C199" s="1">
        <v>50.0</v>
      </c>
      <c r="D199" s="1" t="s">
        <v>1871</v>
      </c>
      <c r="E199" s="1">
        <v>2020.0</v>
      </c>
      <c r="F199" s="340">
        <v>43922.0</v>
      </c>
      <c r="G199" s="354"/>
      <c r="H199" s="354"/>
      <c r="I199" s="354"/>
      <c r="J199" s="354"/>
      <c r="K199" s="354"/>
    </row>
    <row r="200">
      <c r="A200" s="204" t="s">
        <v>372</v>
      </c>
      <c r="C200" s="1">
        <v>51.0</v>
      </c>
      <c r="D200" s="1" t="s">
        <v>1871</v>
      </c>
      <c r="E200" s="1">
        <v>2020.0</v>
      </c>
      <c r="F200" s="340">
        <v>43922.0</v>
      </c>
      <c r="G200" s="354"/>
      <c r="H200" s="354"/>
      <c r="I200" s="354"/>
      <c r="J200" s="354"/>
      <c r="K200" s="354"/>
    </row>
    <row r="201">
      <c r="A201" s="204" t="s">
        <v>373</v>
      </c>
      <c r="C201" s="1">
        <v>52.0</v>
      </c>
      <c r="D201" s="1" t="s">
        <v>1871</v>
      </c>
      <c r="E201" s="1">
        <v>2020.0</v>
      </c>
      <c r="F201" s="340">
        <v>43922.0</v>
      </c>
      <c r="G201" s="354"/>
      <c r="H201" s="354"/>
      <c r="I201" s="354"/>
      <c r="J201" s="354"/>
      <c r="K201" s="354"/>
    </row>
    <row r="202">
      <c r="A202" s="204" t="s">
        <v>376</v>
      </c>
      <c r="B202" s="1" t="s">
        <v>1873</v>
      </c>
      <c r="C202" s="1">
        <v>53.0</v>
      </c>
      <c r="D202" s="1" t="s">
        <v>1871</v>
      </c>
      <c r="E202" s="1">
        <v>2020.0</v>
      </c>
      <c r="F202" s="340">
        <v>43922.0</v>
      </c>
      <c r="G202" s="477"/>
      <c r="H202" s="477"/>
      <c r="I202" s="477"/>
      <c r="J202" s="477"/>
      <c r="K202" s="477"/>
    </row>
    <row r="203">
      <c r="A203" s="204" t="s">
        <v>377</v>
      </c>
      <c r="C203" s="1">
        <v>54.0</v>
      </c>
      <c r="D203" s="1" t="s">
        <v>1871</v>
      </c>
      <c r="E203" s="1">
        <v>2020.0</v>
      </c>
      <c r="F203" s="340">
        <v>43922.0</v>
      </c>
      <c r="G203" s="354"/>
      <c r="H203" s="354"/>
      <c r="I203" s="354"/>
      <c r="J203" s="354"/>
      <c r="K203" s="354"/>
    </row>
    <row r="204">
      <c r="A204" s="204" t="s">
        <v>378</v>
      </c>
      <c r="C204" s="1">
        <v>55.0</v>
      </c>
      <c r="D204" s="1" t="s">
        <v>1871</v>
      </c>
      <c r="E204" s="1">
        <v>2020.0</v>
      </c>
      <c r="F204" s="340">
        <v>43922.0</v>
      </c>
      <c r="G204" s="354"/>
      <c r="H204" s="354"/>
      <c r="I204" s="354"/>
      <c r="J204" s="354"/>
      <c r="K204" s="354"/>
    </row>
    <row r="205">
      <c r="A205" s="204" t="s">
        <v>379</v>
      </c>
      <c r="C205" s="1">
        <v>56.0</v>
      </c>
      <c r="D205" s="1" t="s">
        <v>1871</v>
      </c>
      <c r="E205" s="1">
        <v>2020.0</v>
      </c>
      <c r="F205" s="340">
        <v>43922.0</v>
      </c>
      <c r="G205" s="354"/>
      <c r="H205" s="354"/>
      <c r="I205" s="354"/>
      <c r="J205" s="354"/>
      <c r="K205" s="354"/>
      <c r="S205" s="276"/>
      <c r="T205" s="276"/>
      <c r="U205" s="276"/>
      <c r="V205" s="276"/>
      <c r="W205" s="276"/>
      <c r="X205" s="276"/>
      <c r="Y205" s="276"/>
      <c r="Z205" s="276"/>
    </row>
    <row r="206">
      <c r="A206" s="204" t="s">
        <v>380</v>
      </c>
      <c r="B206" s="1" t="s">
        <v>1873</v>
      </c>
      <c r="C206" s="1">
        <v>57.0</v>
      </c>
      <c r="D206" s="1" t="s">
        <v>1871</v>
      </c>
      <c r="E206" s="1">
        <v>2020.0</v>
      </c>
      <c r="F206" s="340">
        <v>43922.0</v>
      </c>
      <c r="G206" s="477"/>
      <c r="H206" s="477"/>
      <c r="I206" s="477"/>
      <c r="J206" s="477"/>
      <c r="K206" s="477"/>
      <c r="S206" s="481"/>
      <c r="T206" s="481"/>
      <c r="U206" s="482"/>
    </row>
    <row r="207">
      <c r="A207" s="204" t="s">
        <v>383</v>
      </c>
      <c r="C207" s="1">
        <v>58.0</v>
      </c>
      <c r="D207" s="1" t="s">
        <v>1871</v>
      </c>
      <c r="E207" s="1">
        <v>2020.0</v>
      </c>
      <c r="F207" s="340">
        <v>43922.0</v>
      </c>
      <c r="G207" s="354"/>
      <c r="H207" s="354"/>
      <c r="I207" s="354"/>
      <c r="J207" s="354"/>
      <c r="K207" s="354"/>
      <c r="S207" s="483"/>
      <c r="T207" s="484"/>
      <c r="U207" s="485"/>
    </row>
    <row r="208">
      <c r="S208" s="486"/>
      <c r="T208" s="485"/>
      <c r="U208" s="485"/>
    </row>
    <row r="209">
      <c r="K209" s="487" t="s">
        <v>2</v>
      </c>
      <c r="L209" s="488"/>
      <c r="S209" s="486"/>
      <c r="T209" s="485"/>
      <c r="U209" s="485"/>
    </row>
    <row r="210">
      <c r="S210" s="486"/>
      <c r="T210" s="485"/>
      <c r="U210" s="485"/>
    </row>
    <row r="211">
      <c r="N211" s="276"/>
      <c r="O211" s="276"/>
      <c r="P211" s="276"/>
      <c r="Q211" s="276"/>
      <c r="R211" s="276"/>
      <c r="S211" s="486"/>
      <c r="T211" s="485"/>
      <c r="U211" s="485"/>
    </row>
    <row r="212">
      <c r="A212" s="489" t="s">
        <v>1910</v>
      </c>
      <c r="B212" s="490"/>
      <c r="C212" s="492" t="s">
        <v>1913</v>
      </c>
      <c r="D212" s="490"/>
      <c r="E212" s="490"/>
      <c r="F212" s="492" t="s">
        <v>1707</v>
      </c>
      <c r="G212" s="493">
        <v>45565.0</v>
      </c>
      <c r="H212" s="490"/>
      <c r="I212" s="492" t="s">
        <v>1709</v>
      </c>
      <c r="J212" s="494">
        <v>45728.0</v>
      </c>
      <c r="K212" s="495"/>
      <c r="L212" s="496"/>
      <c r="M212" s="485"/>
      <c r="N212" s="485"/>
      <c r="O212" s="485"/>
      <c r="P212" s="485"/>
      <c r="Q212" s="485"/>
      <c r="R212" s="485"/>
      <c r="S212" s="485"/>
      <c r="T212" s="485"/>
      <c r="U212" s="485"/>
      <c r="V212" s="485"/>
      <c r="W212" s="485"/>
      <c r="X212" s="485"/>
      <c r="Y212" s="485"/>
      <c r="Z212" s="485"/>
    </row>
    <row r="213">
      <c r="A213" s="497" t="s">
        <v>1916</v>
      </c>
      <c r="B213" s="499">
        <v>6967.0</v>
      </c>
      <c r="C213" s="500"/>
      <c r="D213" s="500"/>
      <c r="E213" s="500"/>
      <c r="F213" s="481"/>
      <c r="G213" s="481"/>
      <c r="H213" s="481"/>
      <c r="I213" s="481"/>
      <c r="J213" s="481"/>
      <c r="K213" s="481"/>
      <c r="L213" s="481"/>
      <c r="M213" s="481"/>
      <c r="N213" s="501"/>
      <c r="O213" s="502"/>
      <c r="P213" s="503"/>
      <c r="Q213" s="503"/>
      <c r="R213" s="504"/>
      <c r="S213" s="486"/>
      <c r="T213" s="485"/>
      <c r="U213" s="485"/>
    </row>
    <row r="214">
      <c r="A214" s="505" t="s">
        <v>1918</v>
      </c>
      <c r="B214" s="506">
        <v>86.0</v>
      </c>
      <c r="C214" s="507"/>
      <c r="D214" s="501"/>
      <c r="E214" s="502"/>
      <c r="F214" s="485"/>
      <c r="G214" s="501"/>
      <c r="H214" s="501"/>
      <c r="I214" s="501"/>
      <c r="J214" s="501"/>
      <c r="K214" s="501"/>
      <c r="L214" s="501"/>
      <c r="M214" s="502"/>
      <c r="N214" s="501"/>
      <c r="O214" s="501"/>
      <c r="P214" s="485"/>
      <c r="Q214" s="485"/>
      <c r="R214" s="485"/>
      <c r="S214" s="486"/>
      <c r="T214" s="485"/>
      <c r="U214" s="485"/>
    </row>
    <row r="215">
      <c r="A215" s="508" t="s">
        <v>1919</v>
      </c>
      <c r="B215" s="509">
        <v>0.0</v>
      </c>
      <c r="C215" s="507"/>
      <c r="D215" s="501"/>
      <c r="E215" s="485"/>
      <c r="F215" s="485"/>
      <c r="G215" s="501"/>
      <c r="H215" s="501"/>
      <c r="I215" s="501"/>
      <c r="J215" s="501"/>
      <c r="K215" s="501"/>
      <c r="L215" s="482"/>
      <c r="M215" s="501"/>
      <c r="N215" s="501"/>
      <c r="O215" s="501"/>
      <c r="P215" s="503"/>
      <c r="Q215" s="503"/>
      <c r="R215" s="504"/>
      <c r="S215" s="486"/>
      <c r="T215" s="485"/>
      <c r="U215" s="485"/>
    </row>
    <row r="216">
      <c r="A216" s="508" t="s">
        <v>1921</v>
      </c>
      <c r="B216" s="509" t="s">
        <v>323</v>
      </c>
      <c r="C216" s="507"/>
      <c r="D216" s="501"/>
      <c r="E216" s="485"/>
      <c r="F216" s="485"/>
      <c r="G216" s="501"/>
      <c r="H216" s="501"/>
      <c r="I216" s="501"/>
      <c r="J216" s="501"/>
      <c r="K216" s="501"/>
      <c r="L216" s="501"/>
      <c r="M216" s="501"/>
      <c r="N216" s="501"/>
      <c r="O216" s="501"/>
      <c r="P216" s="485"/>
      <c r="Q216" s="485"/>
      <c r="R216" s="485"/>
      <c r="S216" s="486"/>
      <c r="T216" s="485"/>
      <c r="U216" s="485"/>
    </row>
    <row r="217">
      <c r="A217" s="508" t="s">
        <v>1922</v>
      </c>
      <c r="B217" s="509">
        <v>104.0</v>
      </c>
      <c r="C217" s="507"/>
      <c r="D217" s="501"/>
      <c r="E217" s="485"/>
      <c r="F217" s="485"/>
      <c r="G217" s="501"/>
      <c r="H217" s="501"/>
      <c r="I217" s="501"/>
      <c r="J217" s="501"/>
      <c r="K217" s="501"/>
      <c r="L217" s="482"/>
      <c r="M217" s="501"/>
      <c r="N217" s="501"/>
      <c r="O217" s="501"/>
      <c r="P217" s="485"/>
      <c r="Q217" s="485"/>
      <c r="R217" s="485"/>
      <c r="S217" s="486"/>
      <c r="T217" s="485"/>
      <c r="U217" s="485"/>
    </row>
    <row r="218">
      <c r="A218" s="508" t="s">
        <v>1923</v>
      </c>
      <c r="B218" s="509" t="s">
        <v>323</v>
      </c>
      <c r="C218" s="507"/>
      <c r="D218" s="501"/>
      <c r="E218" s="485"/>
      <c r="F218" s="485"/>
      <c r="G218" s="501"/>
      <c r="H218" s="501"/>
      <c r="I218" s="501"/>
      <c r="J218" s="501"/>
      <c r="K218" s="501"/>
      <c r="L218" s="501"/>
      <c r="M218" s="501"/>
      <c r="N218" s="501"/>
      <c r="O218" s="501"/>
      <c r="P218" s="485"/>
      <c r="Q218" s="485"/>
      <c r="R218" s="485"/>
      <c r="S218" s="486"/>
      <c r="T218" s="485"/>
      <c r="U218" s="485"/>
    </row>
    <row r="219">
      <c r="A219" s="508" t="s">
        <v>1924</v>
      </c>
      <c r="B219" s="509" t="s">
        <v>323</v>
      </c>
      <c r="C219" s="510"/>
      <c r="D219" s="501"/>
      <c r="E219" s="485"/>
      <c r="F219" s="485"/>
      <c r="G219" s="501"/>
      <c r="H219" s="501"/>
      <c r="I219" s="501"/>
      <c r="J219" s="501"/>
      <c r="K219" s="501"/>
      <c r="L219" s="482"/>
      <c r="M219" s="501"/>
      <c r="N219" s="501"/>
      <c r="O219" s="501"/>
      <c r="P219" s="485"/>
      <c r="Q219" s="485"/>
      <c r="R219" s="485"/>
      <c r="S219" s="486"/>
      <c r="T219" s="485"/>
      <c r="U219" s="485"/>
    </row>
    <row r="220">
      <c r="A220" s="508" t="s">
        <v>1926</v>
      </c>
      <c r="B220" s="509">
        <v>28.0</v>
      </c>
      <c r="C220" s="510"/>
      <c r="D220" s="501"/>
      <c r="E220" s="501"/>
      <c r="F220" s="485"/>
      <c r="G220" s="501"/>
      <c r="H220" s="501"/>
      <c r="I220" s="501"/>
      <c r="J220" s="501"/>
      <c r="K220" s="501"/>
      <c r="L220" s="501"/>
      <c r="M220" s="501"/>
      <c r="N220" s="501"/>
      <c r="O220" s="501"/>
      <c r="P220" s="485"/>
      <c r="Q220" s="485"/>
      <c r="R220" s="485"/>
      <c r="S220" s="486"/>
      <c r="T220" s="485"/>
      <c r="U220" s="485"/>
    </row>
    <row r="221">
      <c r="A221" s="508" t="s">
        <v>1927</v>
      </c>
      <c r="B221" s="509">
        <v>11.0</v>
      </c>
      <c r="C221" s="507"/>
      <c r="D221" s="501"/>
      <c r="E221" s="485"/>
      <c r="F221" s="485"/>
      <c r="G221" s="501"/>
      <c r="H221" s="501"/>
      <c r="I221" s="501"/>
      <c r="J221" s="501"/>
      <c r="K221" s="501"/>
      <c r="L221" s="482"/>
      <c r="M221" s="501"/>
      <c r="N221" s="501"/>
      <c r="O221" s="501"/>
      <c r="P221" s="485"/>
      <c r="Q221" s="485"/>
      <c r="R221" s="485"/>
      <c r="S221" s="486"/>
      <c r="T221" s="485"/>
      <c r="U221" s="485"/>
    </row>
    <row r="222">
      <c r="A222" s="508" t="s">
        <v>1928</v>
      </c>
      <c r="B222" s="509" t="s">
        <v>323</v>
      </c>
      <c r="C222" s="510"/>
      <c r="D222" s="501"/>
      <c r="E222" s="485"/>
      <c r="F222" s="485"/>
      <c r="G222" s="501"/>
      <c r="H222" s="501"/>
      <c r="I222" s="501"/>
      <c r="J222" s="501"/>
      <c r="K222" s="501"/>
      <c r="L222" s="482"/>
      <c r="M222" s="501"/>
      <c r="N222" s="501"/>
      <c r="O222" s="502"/>
      <c r="P222" s="503"/>
      <c r="Q222" s="503"/>
      <c r="R222" s="504"/>
      <c r="S222" s="486"/>
      <c r="T222" s="485"/>
      <c r="U222" s="485"/>
    </row>
    <row r="223">
      <c r="A223" s="508" t="s">
        <v>1929</v>
      </c>
      <c r="B223" s="509">
        <v>258.0</v>
      </c>
      <c r="C223" s="502"/>
      <c r="D223" s="501"/>
      <c r="E223" s="485"/>
      <c r="F223" s="485"/>
      <c r="G223" s="501"/>
      <c r="H223" s="501"/>
      <c r="I223" s="501"/>
      <c r="J223" s="501"/>
      <c r="K223" s="501"/>
      <c r="L223" s="501"/>
      <c r="M223" s="501"/>
      <c r="N223" s="501"/>
      <c r="O223" s="502"/>
      <c r="P223" s="485"/>
      <c r="Q223" s="485"/>
      <c r="R223" s="485"/>
      <c r="S223" s="486"/>
      <c r="T223" s="485"/>
      <c r="U223" s="485"/>
    </row>
    <row r="224">
      <c r="A224" s="508" t="s">
        <v>1931</v>
      </c>
      <c r="B224" s="509" t="s">
        <v>323</v>
      </c>
      <c r="C224" s="502"/>
      <c r="D224" s="501"/>
      <c r="E224" s="485"/>
      <c r="F224" s="485"/>
      <c r="G224" s="501"/>
      <c r="H224" s="501"/>
      <c r="I224" s="501"/>
      <c r="J224" s="501"/>
      <c r="K224" s="501"/>
      <c r="L224" s="482"/>
      <c r="M224" s="501"/>
      <c r="N224" s="501"/>
      <c r="O224" s="501"/>
      <c r="P224" s="485"/>
      <c r="Q224" s="485"/>
      <c r="R224" s="485"/>
      <c r="S224" s="486"/>
      <c r="T224" s="485"/>
      <c r="U224" s="485"/>
    </row>
    <row r="225">
      <c r="A225" s="508" t="s">
        <v>1934</v>
      </c>
      <c r="B225" s="509">
        <v>18.0</v>
      </c>
      <c r="C225" s="510"/>
      <c r="D225" s="501"/>
      <c r="E225" s="485"/>
      <c r="F225" s="485"/>
      <c r="G225" s="501"/>
      <c r="H225" s="501"/>
      <c r="I225" s="501"/>
      <c r="J225" s="501"/>
      <c r="K225" s="501"/>
      <c r="L225" s="501"/>
      <c r="M225" s="501"/>
      <c r="N225" s="501"/>
      <c r="O225" s="501"/>
      <c r="P225" s="485"/>
      <c r="Q225" s="485"/>
      <c r="R225" s="485"/>
    </row>
    <row r="226">
      <c r="A226" s="508" t="s">
        <v>1936</v>
      </c>
      <c r="B226" s="509">
        <v>56.0</v>
      </c>
      <c r="C226" s="510"/>
      <c r="D226" s="501"/>
      <c r="E226" s="485"/>
      <c r="F226" s="485"/>
      <c r="G226" s="501"/>
      <c r="H226" s="501"/>
      <c r="I226" s="501"/>
      <c r="J226" s="501"/>
      <c r="K226" s="501"/>
      <c r="L226" s="482"/>
      <c r="M226" s="501"/>
      <c r="N226" s="501"/>
      <c r="O226" s="501"/>
      <c r="P226" s="485"/>
      <c r="Q226" s="485"/>
      <c r="R226" s="485"/>
    </row>
    <row r="227">
      <c r="A227" s="508" t="s">
        <v>1937</v>
      </c>
      <c r="B227" s="509">
        <v>0.0</v>
      </c>
      <c r="C227" s="502"/>
      <c r="D227" s="501"/>
      <c r="E227" s="485"/>
      <c r="F227" s="485"/>
      <c r="G227" s="501"/>
      <c r="H227" s="501"/>
      <c r="I227" s="501"/>
      <c r="J227" s="501"/>
      <c r="K227" s="501"/>
      <c r="L227" s="501"/>
      <c r="M227" s="501"/>
      <c r="N227" s="501"/>
      <c r="O227" s="501"/>
      <c r="P227" s="485"/>
      <c r="Q227" s="485"/>
      <c r="R227" s="485"/>
    </row>
    <row r="228">
      <c r="A228" s="508" t="s">
        <v>1938</v>
      </c>
      <c r="B228" s="509">
        <v>150.0</v>
      </c>
      <c r="C228" s="501"/>
      <c r="D228" s="501"/>
      <c r="E228" s="485"/>
      <c r="F228" s="485"/>
      <c r="G228" s="501"/>
      <c r="H228" s="501"/>
      <c r="I228" s="501"/>
      <c r="J228" s="501"/>
      <c r="K228" s="501"/>
      <c r="L228" s="501"/>
      <c r="M228" s="501"/>
      <c r="N228" s="501"/>
      <c r="O228" s="501"/>
      <c r="P228" s="485"/>
      <c r="Q228" s="485"/>
      <c r="R228" s="485"/>
    </row>
    <row r="229">
      <c r="A229" s="508" t="s">
        <v>1939</v>
      </c>
      <c r="B229" s="509">
        <v>12.0</v>
      </c>
      <c r="C229" s="510"/>
      <c r="D229" s="501"/>
      <c r="E229" s="485"/>
      <c r="F229" s="485"/>
      <c r="G229" s="501"/>
      <c r="H229" s="501"/>
      <c r="I229" s="501"/>
      <c r="J229" s="501"/>
      <c r="K229" s="501"/>
      <c r="L229" s="501"/>
      <c r="M229" s="501"/>
      <c r="N229" s="501"/>
      <c r="O229" s="501"/>
      <c r="P229" s="485"/>
      <c r="Q229" s="485"/>
      <c r="R229" s="485"/>
    </row>
    <row r="230">
      <c r="A230" s="508" t="s">
        <v>1940</v>
      </c>
      <c r="B230" s="509" t="s">
        <v>323</v>
      </c>
      <c r="C230" s="502"/>
      <c r="D230" s="501"/>
      <c r="E230" s="485"/>
      <c r="F230" s="485"/>
      <c r="G230" s="501"/>
      <c r="H230" s="501"/>
      <c r="I230" s="501"/>
      <c r="J230" s="501"/>
      <c r="K230" s="501"/>
      <c r="L230" s="501"/>
      <c r="M230" s="501"/>
      <c r="N230" s="501"/>
      <c r="O230" s="501"/>
      <c r="P230" s="485"/>
      <c r="Q230" s="485"/>
      <c r="R230" s="485"/>
    </row>
    <row r="231">
      <c r="A231" s="508" t="s">
        <v>1941</v>
      </c>
      <c r="B231" s="509" t="s">
        <v>323</v>
      </c>
      <c r="C231" s="510"/>
      <c r="D231" s="501"/>
      <c r="E231" s="485"/>
      <c r="F231" s="485"/>
      <c r="G231" s="501"/>
      <c r="H231" s="501"/>
      <c r="I231" s="501"/>
      <c r="J231" s="501"/>
      <c r="K231" s="501"/>
      <c r="L231" s="482"/>
      <c r="M231" s="501"/>
    </row>
    <row r="232">
      <c r="A232" s="508" t="s">
        <v>1943</v>
      </c>
      <c r="B232" s="509">
        <v>3563.0</v>
      </c>
    </row>
    <row r="233">
      <c r="A233" s="508" t="s">
        <v>1944</v>
      </c>
      <c r="B233" s="509" t="s">
        <v>323</v>
      </c>
    </row>
    <row r="234">
      <c r="A234" s="508" t="s">
        <v>1945</v>
      </c>
      <c r="B234" s="509" t="s">
        <v>323</v>
      </c>
    </row>
    <row r="235">
      <c r="A235" s="508" t="s">
        <v>1946</v>
      </c>
      <c r="B235" s="509">
        <v>0.0</v>
      </c>
    </row>
    <row r="236">
      <c r="A236" s="508" t="s">
        <v>1947</v>
      </c>
      <c r="B236" s="509" t="s">
        <v>323</v>
      </c>
    </row>
    <row r="237">
      <c r="A237" s="508" t="s">
        <v>1949</v>
      </c>
      <c r="B237" s="509">
        <v>81.0</v>
      </c>
    </row>
    <row r="238">
      <c r="A238" s="508" t="s">
        <v>1950</v>
      </c>
      <c r="B238" s="509" t="s">
        <v>323</v>
      </c>
    </row>
    <row r="239">
      <c r="A239" s="508" t="s">
        <v>1951</v>
      </c>
      <c r="B239" s="509">
        <v>0.0</v>
      </c>
    </row>
    <row r="240">
      <c r="A240" s="508" t="s">
        <v>1952</v>
      </c>
      <c r="B240" s="509" t="s">
        <v>323</v>
      </c>
    </row>
    <row r="241">
      <c r="A241" s="508" t="s">
        <v>1953</v>
      </c>
      <c r="B241" s="509">
        <v>16.0</v>
      </c>
    </row>
    <row r="242">
      <c r="A242" s="508" t="s">
        <v>1954</v>
      </c>
      <c r="B242" s="509" t="s">
        <v>323</v>
      </c>
    </row>
    <row r="243">
      <c r="A243" s="508" t="s">
        <v>1955</v>
      </c>
      <c r="B243" s="509">
        <v>344.0</v>
      </c>
    </row>
    <row r="244">
      <c r="A244" s="508" t="s">
        <v>1956</v>
      </c>
      <c r="B244" s="509" t="s">
        <v>323</v>
      </c>
    </row>
    <row r="245">
      <c r="A245" s="508" t="s">
        <v>1958</v>
      </c>
      <c r="B245" s="509" t="s">
        <v>323</v>
      </c>
    </row>
    <row r="246">
      <c r="A246" s="508" t="s">
        <v>1959</v>
      </c>
      <c r="B246" s="509">
        <v>357.0</v>
      </c>
    </row>
    <row r="247">
      <c r="A247" s="508" t="s">
        <v>1961</v>
      </c>
      <c r="B247" s="509">
        <v>166.0</v>
      </c>
    </row>
    <row r="248">
      <c r="A248" s="508" t="s">
        <v>1962</v>
      </c>
      <c r="B248" s="509">
        <v>0.0</v>
      </c>
    </row>
    <row r="249">
      <c r="A249" s="508" t="s">
        <v>1963</v>
      </c>
      <c r="B249" s="509">
        <v>643.0</v>
      </c>
    </row>
    <row r="250">
      <c r="A250" s="508" t="s">
        <v>1964</v>
      </c>
      <c r="B250" s="509">
        <v>192.0</v>
      </c>
    </row>
    <row r="251">
      <c r="A251" s="508" t="s">
        <v>1966</v>
      </c>
      <c r="B251" s="509">
        <v>12.0</v>
      </c>
    </row>
    <row r="252">
      <c r="A252" s="508" t="s">
        <v>1968</v>
      </c>
      <c r="B252" s="509">
        <v>152.0</v>
      </c>
    </row>
    <row r="253">
      <c r="A253" s="508" t="s">
        <v>1969</v>
      </c>
      <c r="B253" s="509">
        <v>33.0</v>
      </c>
    </row>
    <row r="254">
      <c r="A254" s="508" t="s">
        <v>1970</v>
      </c>
      <c r="B254" s="509" t="s">
        <v>323</v>
      </c>
    </row>
    <row r="255">
      <c r="A255" s="508" t="s">
        <v>1971</v>
      </c>
      <c r="B255" s="509" t="s">
        <v>323</v>
      </c>
    </row>
    <row r="256">
      <c r="A256" s="508" t="s">
        <v>1972</v>
      </c>
      <c r="B256" s="509">
        <v>85.0</v>
      </c>
    </row>
    <row r="257">
      <c r="A257" s="508" t="s">
        <v>1974</v>
      </c>
      <c r="B257" s="509">
        <v>11.0</v>
      </c>
    </row>
    <row r="258">
      <c r="A258" s="508" t="s">
        <v>1975</v>
      </c>
      <c r="B258" s="509">
        <v>43.0</v>
      </c>
    </row>
    <row r="259">
      <c r="A259" s="508" t="s">
        <v>1977</v>
      </c>
      <c r="B259" s="509">
        <v>0.0</v>
      </c>
    </row>
    <row r="260">
      <c r="A260" s="508" t="s">
        <v>1978</v>
      </c>
      <c r="B260" s="509" t="s">
        <v>323</v>
      </c>
    </row>
    <row r="261">
      <c r="A261" s="508" t="s">
        <v>1979</v>
      </c>
      <c r="B261" s="509">
        <v>60.0</v>
      </c>
    </row>
    <row r="262">
      <c r="A262" s="508" t="s">
        <v>1980</v>
      </c>
      <c r="B262" s="509">
        <v>132.0</v>
      </c>
    </row>
    <row r="263">
      <c r="A263" s="508" t="s">
        <v>1981</v>
      </c>
      <c r="B263" s="509" t="s">
        <v>323</v>
      </c>
    </row>
    <row r="264">
      <c r="A264" s="508" t="s">
        <v>1982</v>
      </c>
      <c r="B264" s="509" t="s">
        <v>323</v>
      </c>
    </row>
    <row r="265">
      <c r="A265" s="508" t="s">
        <v>1983</v>
      </c>
      <c r="B265" s="509">
        <v>15.0</v>
      </c>
    </row>
    <row r="266">
      <c r="A266" s="508" t="s">
        <v>1986</v>
      </c>
      <c r="B266" s="509" t="s">
        <v>323</v>
      </c>
    </row>
    <row r="267">
      <c r="A267" s="508" t="s">
        <v>1987</v>
      </c>
      <c r="B267" s="509">
        <v>126.0</v>
      </c>
    </row>
    <row r="268">
      <c r="A268" s="508" t="s">
        <v>1988</v>
      </c>
      <c r="B268" s="509" t="s">
        <v>323</v>
      </c>
    </row>
    <row r="269">
      <c r="A269" s="508" t="s">
        <v>1989</v>
      </c>
      <c r="B269" s="509">
        <v>58.0</v>
      </c>
    </row>
    <row r="270">
      <c r="A270" s="508" t="s">
        <v>1991</v>
      </c>
      <c r="B270" s="509">
        <v>48.0</v>
      </c>
    </row>
    <row r="271">
      <c r="A271" s="511" t="s">
        <v>1992</v>
      </c>
      <c r="B271" s="512" t="s">
        <v>323</v>
      </c>
    </row>
    <row r="272">
      <c r="A272" s="278"/>
      <c r="B272" s="513"/>
    </row>
    <row r="275">
      <c r="A275" s="514" t="s">
        <v>1993</v>
      </c>
      <c r="B275" s="490"/>
      <c r="C275" s="492" t="s">
        <v>1913</v>
      </c>
      <c r="D275" s="490"/>
      <c r="E275" s="490"/>
      <c r="F275" s="492" t="s">
        <v>1707</v>
      </c>
      <c r="G275" s="515">
        <v>45292.0</v>
      </c>
      <c r="H275" s="490"/>
      <c r="I275" s="492" t="s">
        <v>1709</v>
      </c>
      <c r="J275" s="494">
        <v>45728.0</v>
      </c>
      <c r="K275" s="495"/>
      <c r="L275" s="496"/>
      <c r="M275" s="485"/>
      <c r="N275" s="485"/>
      <c r="O275" s="485"/>
      <c r="P275" s="485"/>
      <c r="Q275" s="485"/>
      <c r="R275" s="485"/>
      <c r="S275" s="485"/>
      <c r="T275" s="485"/>
      <c r="U275" s="485"/>
      <c r="V275" s="485"/>
      <c r="W275" s="485"/>
      <c r="X275" s="485"/>
      <c r="Y275" s="485"/>
      <c r="Z275" s="485"/>
    </row>
    <row r="276">
      <c r="A276" s="516" t="s">
        <v>172</v>
      </c>
      <c r="B276" s="517" t="s">
        <v>1998</v>
      </c>
      <c r="C276" s="518"/>
    </row>
    <row r="277">
      <c r="A277" s="519"/>
      <c r="B277" s="520" t="s">
        <v>2000</v>
      </c>
      <c r="C277" s="521" t="s">
        <v>2001</v>
      </c>
    </row>
    <row r="278">
      <c r="A278" s="522"/>
      <c r="B278" s="520" t="s">
        <v>2003</v>
      </c>
      <c r="C278" s="521" t="s">
        <v>2003</v>
      </c>
    </row>
    <row r="279">
      <c r="A279" s="523" t="s">
        <v>35</v>
      </c>
      <c r="B279" s="524">
        <v>9346.0</v>
      </c>
      <c r="C279" s="524">
        <v>5499.0</v>
      </c>
    </row>
    <row r="280">
      <c r="A280" s="523" t="s">
        <v>276</v>
      </c>
      <c r="B280" s="525">
        <v>169.0</v>
      </c>
      <c r="C280" s="526">
        <v>126.0</v>
      </c>
      <c r="D280" s="527">
        <f t="shared" ref="D280:D338" si="1">SUM(B280:C280)</f>
        <v>295</v>
      </c>
    </row>
    <row r="281">
      <c r="A281" s="523" t="s">
        <v>320</v>
      </c>
      <c r="B281" s="525">
        <v>0.0</v>
      </c>
      <c r="C281" s="526" t="s">
        <v>323</v>
      </c>
      <c r="D281" s="527">
        <f t="shared" si="1"/>
        <v>0</v>
      </c>
    </row>
    <row r="282">
      <c r="A282" s="523" t="s">
        <v>322</v>
      </c>
      <c r="B282" s="525" t="s">
        <v>323</v>
      </c>
      <c r="C282" s="526" t="s">
        <v>323</v>
      </c>
      <c r="D282" s="527">
        <f t="shared" si="1"/>
        <v>0</v>
      </c>
    </row>
    <row r="283">
      <c r="A283" s="523" t="s">
        <v>324</v>
      </c>
      <c r="B283" s="525" t="s">
        <v>323</v>
      </c>
      <c r="C283" s="526">
        <v>43.0</v>
      </c>
      <c r="D283" s="527">
        <f t="shared" si="1"/>
        <v>43</v>
      </c>
    </row>
    <row r="284">
      <c r="A284" s="523" t="s">
        <v>325</v>
      </c>
      <c r="B284" s="525" t="s">
        <v>323</v>
      </c>
      <c r="C284" s="526">
        <v>25.0</v>
      </c>
      <c r="D284" s="527">
        <f t="shared" si="1"/>
        <v>25</v>
      </c>
    </row>
    <row r="285">
      <c r="A285" s="523" t="s">
        <v>326</v>
      </c>
      <c r="B285" s="525" t="s">
        <v>323</v>
      </c>
      <c r="C285" s="526" t="s">
        <v>323</v>
      </c>
      <c r="D285" s="527">
        <f t="shared" si="1"/>
        <v>0</v>
      </c>
    </row>
    <row r="286">
      <c r="A286" s="523" t="s">
        <v>327</v>
      </c>
      <c r="B286" s="525">
        <v>122.0</v>
      </c>
      <c r="C286" s="526">
        <v>66.0</v>
      </c>
      <c r="D286" s="527">
        <f t="shared" si="1"/>
        <v>188</v>
      </c>
    </row>
    <row r="287">
      <c r="A287" s="523" t="s">
        <v>328</v>
      </c>
      <c r="B287" s="525" t="s">
        <v>323</v>
      </c>
      <c r="C287" s="526" t="s">
        <v>323</v>
      </c>
      <c r="D287" s="527">
        <f t="shared" si="1"/>
        <v>0</v>
      </c>
    </row>
    <row r="288">
      <c r="A288" s="523" t="s">
        <v>329</v>
      </c>
      <c r="B288" s="525">
        <v>49.0</v>
      </c>
      <c r="C288" s="526">
        <v>36.0</v>
      </c>
      <c r="D288" s="527">
        <f t="shared" si="1"/>
        <v>85</v>
      </c>
    </row>
    <row r="289">
      <c r="A289" s="523" t="s">
        <v>331</v>
      </c>
      <c r="B289" s="525">
        <v>125.0</v>
      </c>
      <c r="C289" s="526">
        <v>82.0</v>
      </c>
      <c r="D289" s="527">
        <f t="shared" si="1"/>
        <v>207</v>
      </c>
    </row>
    <row r="290">
      <c r="A290" s="523" t="s">
        <v>332</v>
      </c>
      <c r="B290" s="525">
        <v>30.0</v>
      </c>
      <c r="C290" s="526" t="s">
        <v>323</v>
      </c>
      <c r="D290" s="527">
        <f t="shared" si="1"/>
        <v>30</v>
      </c>
    </row>
    <row r="291">
      <c r="A291" s="523" t="s">
        <v>333</v>
      </c>
      <c r="B291" s="525">
        <v>83.0</v>
      </c>
      <c r="C291" s="526">
        <v>52.0</v>
      </c>
      <c r="D291" s="527">
        <f t="shared" si="1"/>
        <v>135</v>
      </c>
    </row>
    <row r="292">
      <c r="A292" s="523" t="s">
        <v>334</v>
      </c>
      <c r="B292" s="525">
        <v>11.0</v>
      </c>
      <c r="C292" s="526">
        <v>46.0</v>
      </c>
      <c r="D292" s="527">
        <f t="shared" si="1"/>
        <v>57</v>
      </c>
    </row>
    <row r="293">
      <c r="A293" s="523" t="s">
        <v>335</v>
      </c>
      <c r="B293" s="525" t="s">
        <v>323</v>
      </c>
      <c r="C293" s="526" t="s">
        <v>323</v>
      </c>
      <c r="D293" s="527">
        <f t="shared" si="1"/>
        <v>0</v>
      </c>
    </row>
    <row r="294">
      <c r="A294" s="523" t="s">
        <v>336</v>
      </c>
      <c r="B294" s="525">
        <v>88.0</v>
      </c>
      <c r="C294" s="526">
        <v>219.0</v>
      </c>
      <c r="D294" s="527">
        <f t="shared" si="1"/>
        <v>307</v>
      </c>
    </row>
    <row r="295">
      <c r="A295" s="523" t="s">
        <v>249</v>
      </c>
      <c r="B295" s="525">
        <v>17.0</v>
      </c>
      <c r="C295" s="526">
        <v>57.0</v>
      </c>
      <c r="D295" s="527">
        <f t="shared" si="1"/>
        <v>74</v>
      </c>
    </row>
    <row r="296">
      <c r="A296" s="523" t="s">
        <v>337</v>
      </c>
      <c r="B296" s="525">
        <v>0.0</v>
      </c>
      <c r="C296" s="526" t="s">
        <v>323</v>
      </c>
      <c r="D296" s="527">
        <f t="shared" si="1"/>
        <v>0</v>
      </c>
    </row>
    <row r="297">
      <c r="A297" s="523" t="s">
        <v>338</v>
      </c>
      <c r="B297" s="525" t="s">
        <v>323</v>
      </c>
      <c r="C297" s="526" t="s">
        <v>323</v>
      </c>
      <c r="D297" s="527">
        <f t="shared" si="1"/>
        <v>0</v>
      </c>
    </row>
    <row r="298">
      <c r="A298" s="523" t="s">
        <v>183</v>
      </c>
      <c r="B298" s="524">
        <v>4427.0</v>
      </c>
      <c r="C298" s="524">
        <v>1968.0</v>
      </c>
      <c r="D298" s="418">
        <f t="shared" si="1"/>
        <v>6395</v>
      </c>
    </row>
    <row r="299">
      <c r="A299" s="523" t="s">
        <v>340</v>
      </c>
      <c r="B299" s="525">
        <v>40.0</v>
      </c>
      <c r="C299" s="526">
        <v>53.0</v>
      </c>
      <c r="D299" s="527">
        <f t="shared" si="1"/>
        <v>93</v>
      </c>
    </row>
    <row r="300">
      <c r="A300" s="523" t="s">
        <v>341</v>
      </c>
      <c r="B300" s="525">
        <v>16.0</v>
      </c>
      <c r="C300" s="526">
        <v>15.0</v>
      </c>
      <c r="D300" s="527">
        <f t="shared" si="1"/>
        <v>31</v>
      </c>
    </row>
    <row r="301">
      <c r="A301" s="523" t="s">
        <v>342</v>
      </c>
      <c r="B301" s="525" t="s">
        <v>323</v>
      </c>
      <c r="C301" s="526" t="s">
        <v>323</v>
      </c>
      <c r="D301" s="527">
        <f t="shared" si="1"/>
        <v>0</v>
      </c>
    </row>
    <row r="302">
      <c r="A302" s="523" t="s">
        <v>343</v>
      </c>
      <c r="B302" s="525">
        <v>16.0</v>
      </c>
      <c r="C302" s="526">
        <v>44.0</v>
      </c>
      <c r="D302" s="527">
        <f t="shared" si="1"/>
        <v>60</v>
      </c>
    </row>
    <row r="303">
      <c r="A303" s="523" t="s">
        <v>344</v>
      </c>
      <c r="B303" s="525">
        <v>28.0</v>
      </c>
      <c r="C303" s="526">
        <v>48.0</v>
      </c>
      <c r="D303" s="527">
        <f t="shared" si="1"/>
        <v>76</v>
      </c>
    </row>
    <row r="304">
      <c r="A304" s="523" t="s">
        <v>345</v>
      </c>
      <c r="B304" s="525" t="s">
        <v>323</v>
      </c>
      <c r="C304" s="526">
        <v>12.0</v>
      </c>
      <c r="D304" s="527">
        <f t="shared" si="1"/>
        <v>12</v>
      </c>
    </row>
    <row r="305">
      <c r="A305" s="523" t="s">
        <v>346</v>
      </c>
      <c r="B305" s="525" t="s">
        <v>323</v>
      </c>
      <c r="C305" s="526" t="s">
        <v>323</v>
      </c>
      <c r="D305" s="527">
        <f t="shared" si="1"/>
        <v>0</v>
      </c>
    </row>
    <row r="306">
      <c r="A306" s="523" t="s">
        <v>348</v>
      </c>
      <c r="B306" s="525">
        <v>33.0</v>
      </c>
      <c r="C306" s="526">
        <v>24.0</v>
      </c>
      <c r="D306" s="527">
        <f t="shared" si="1"/>
        <v>57</v>
      </c>
    </row>
    <row r="307">
      <c r="A307" s="523" t="s">
        <v>349</v>
      </c>
      <c r="B307" s="525">
        <v>32.0</v>
      </c>
      <c r="C307" s="526" t="s">
        <v>323</v>
      </c>
      <c r="D307" s="527">
        <f t="shared" si="1"/>
        <v>32</v>
      </c>
    </row>
    <row r="308">
      <c r="A308" s="523" t="s">
        <v>82</v>
      </c>
      <c r="B308" s="525" t="s">
        <v>323</v>
      </c>
      <c r="C308" s="526" t="s">
        <v>323</v>
      </c>
      <c r="D308" s="527">
        <f t="shared" si="1"/>
        <v>0</v>
      </c>
    </row>
    <row r="309">
      <c r="A309" s="523" t="s">
        <v>241</v>
      </c>
      <c r="B309" s="525">
        <v>692.0</v>
      </c>
      <c r="C309" s="526">
        <v>377.0</v>
      </c>
      <c r="D309" s="527">
        <f t="shared" si="1"/>
        <v>1069</v>
      </c>
    </row>
    <row r="310">
      <c r="A310" s="523" t="s">
        <v>352</v>
      </c>
      <c r="B310" s="525">
        <v>40.0</v>
      </c>
      <c r="C310" s="526">
        <v>18.0</v>
      </c>
      <c r="D310" s="527">
        <f t="shared" si="1"/>
        <v>58</v>
      </c>
    </row>
    <row r="311">
      <c r="A311" s="523" t="s">
        <v>354</v>
      </c>
      <c r="B311" s="525">
        <v>14.0</v>
      </c>
      <c r="C311" s="526" t="s">
        <v>323</v>
      </c>
      <c r="D311" s="527">
        <f t="shared" si="1"/>
        <v>14</v>
      </c>
    </row>
    <row r="312">
      <c r="A312" s="523" t="s">
        <v>252</v>
      </c>
      <c r="B312" s="524">
        <v>1138.0</v>
      </c>
      <c r="C312" s="526">
        <v>568.0</v>
      </c>
      <c r="D312" s="418">
        <f t="shared" si="1"/>
        <v>1706</v>
      </c>
    </row>
    <row r="313">
      <c r="A313" s="523" t="s">
        <v>292</v>
      </c>
      <c r="B313" s="525">
        <v>339.0</v>
      </c>
      <c r="C313" s="526">
        <v>130.0</v>
      </c>
      <c r="D313" s="527">
        <f t="shared" si="1"/>
        <v>469</v>
      </c>
    </row>
    <row r="314">
      <c r="A314" s="523" t="s">
        <v>356</v>
      </c>
      <c r="B314" s="525">
        <v>0.0</v>
      </c>
      <c r="C314" s="526">
        <v>12.0</v>
      </c>
      <c r="D314" s="527">
        <f t="shared" si="1"/>
        <v>12</v>
      </c>
    </row>
    <row r="315">
      <c r="A315" s="523" t="s">
        <v>261</v>
      </c>
      <c r="B315" s="525">
        <v>316.0</v>
      </c>
      <c r="C315" s="526">
        <v>479.0</v>
      </c>
      <c r="D315" s="527">
        <f t="shared" si="1"/>
        <v>795</v>
      </c>
    </row>
    <row r="316">
      <c r="A316" s="523" t="s">
        <v>239</v>
      </c>
      <c r="B316" s="525">
        <v>236.0</v>
      </c>
      <c r="C316" s="526">
        <v>180.0</v>
      </c>
      <c r="D316" s="527">
        <f t="shared" si="1"/>
        <v>416</v>
      </c>
    </row>
    <row r="317">
      <c r="A317" s="523" t="s">
        <v>357</v>
      </c>
      <c r="B317" s="525">
        <v>177.0</v>
      </c>
      <c r="C317" s="526">
        <v>89.0</v>
      </c>
      <c r="D317" s="527">
        <f t="shared" si="1"/>
        <v>266</v>
      </c>
    </row>
    <row r="318">
      <c r="A318" s="523" t="s">
        <v>358</v>
      </c>
      <c r="B318" s="525">
        <v>108.0</v>
      </c>
      <c r="C318" s="526">
        <v>92.0</v>
      </c>
      <c r="D318" s="527">
        <f t="shared" si="1"/>
        <v>200</v>
      </c>
    </row>
    <row r="319">
      <c r="A319" s="523" t="s">
        <v>360</v>
      </c>
      <c r="B319" s="525">
        <v>31.0</v>
      </c>
      <c r="C319" s="526">
        <v>42.0</v>
      </c>
      <c r="D319" s="527">
        <f t="shared" si="1"/>
        <v>73</v>
      </c>
    </row>
    <row r="320">
      <c r="A320" s="523" t="s">
        <v>361</v>
      </c>
      <c r="B320" s="525">
        <v>49.0</v>
      </c>
      <c r="C320" s="526">
        <v>11.0</v>
      </c>
      <c r="D320" s="527">
        <f t="shared" si="1"/>
        <v>60</v>
      </c>
    </row>
    <row r="321">
      <c r="A321" s="523" t="s">
        <v>362</v>
      </c>
      <c r="B321" s="525">
        <v>60.0</v>
      </c>
      <c r="C321" s="526">
        <v>28.0</v>
      </c>
      <c r="D321" s="527">
        <f t="shared" si="1"/>
        <v>88</v>
      </c>
    </row>
    <row r="322">
      <c r="A322" s="523" t="s">
        <v>272</v>
      </c>
      <c r="B322" s="525">
        <v>242.0</v>
      </c>
      <c r="C322" s="526">
        <v>51.0</v>
      </c>
      <c r="D322" s="527">
        <f t="shared" si="1"/>
        <v>293</v>
      </c>
    </row>
    <row r="323">
      <c r="A323" s="523" t="s">
        <v>232</v>
      </c>
      <c r="B323" s="525">
        <v>17.0</v>
      </c>
      <c r="C323" s="526">
        <v>23.0</v>
      </c>
      <c r="D323" s="527">
        <f t="shared" si="1"/>
        <v>40</v>
      </c>
    </row>
    <row r="324">
      <c r="A324" s="523" t="s">
        <v>364</v>
      </c>
      <c r="B324" s="525">
        <v>12.0</v>
      </c>
      <c r="C324" s="526">
        <v>27.0</v>
      </c>
      <c r="D324" s="527">
        <f t="shared" si="1"/>
        <v>39</v>
      </c>
    </row>
    <row r="325">
      <c r="A325" s="523" t="s">
        <v>365</v>
      </c>
      <c r="B325" s="525">
        <v>0.0</v>
      </c>
      <c r="C325" s="526">
        <v>0.0</v>
      </c>
      <c r="D325" s="527">
        <f t="shared" si="1"/>
        <v>0</v>
      </c>
    </row>
    <row r="326">
      <c r="A326" s="523" t="s">
        <v>366</v>
      </c>
      <c r="B326" s="525" t="s">
        <v>323</v>
      </c>
      <c r="C326" s="526" t="s">
        <v>323</v>
      </c>
      <c r="D326" s="527">
        <f t="shared" si="1"/>
        <v>0</v>
      </c>
    </row>
    <row r="327">
      <c r="A327" s="523" t="s">
        <v>369</v>
      </c>
      <c r="B327" s="525">
        <v>16.0</v>
      </c>
      <c r="C327" s="526">
        <v>39.0</v>
      </c>
      <c r="D327" s="527">
        <f t="shared" si="1"/>
        <v>55</v>
      </c>
    </row>
    <row r="328">
      <c r="A328" s="523" t="s">
        <v>370</v>
      </c>
      <c r="B328" s="525">
        <v>118.0</v>
      </c>
      <c r="C328" s="526">
        <v>59.0</v>
      </c>
      <c r="D328" s="527">
        <f t="shared" si="1"/>
        <v>177</v>
      </c>
    </row>
    <row r="329">
      <c r="A329" s="523" t="s">
        <v>371</v>
      </c>
      <c r="B329" s="525">
        <v>99.0</v>
      </c>
      <c r="C329" s="526">
        <v>15.0</v>
      </c>
      <c r="D329" s="527">
        <f t="shared" si="1"/>
        <v>114</v>
      </c>
    </row>
    <row r="330">
      <c r="A330" s="523" t="s">
        <v>372</v>
      </c>
      <c r="B330" s="525" t="s">
        <v>323</v>
      </c>
      <c r="C330" s="526" t="s">
        <v>323</v>
      </c>
      <c r="D330" s="527">
        <f t="shared" si="1"/>
        <v>0</v>
      </c>
    </row>
    <row r="331">
      <c r="A331" s="523" t="s">
        <v>373</v>
      </c>
      <c r="B331" s="525" t="s">
        <v>323</v>
      </c>
      <c r="C331" s="526">
        <v>13.0</v>
      </c>
      <c r="D331" s="527">
        <f t="shared" si="1"/>
        <v>13</v>
      </c>
    </row>
    <row r="332">
      <c r="A332" s="523" t="s">
        <v>376</v>
      </c>
      <c r="B332" s="525">
        <v>0.0</v>
      </c>
      <c r="C332" s="526" t="s">
        <v>323</v>
      </c>
      <c r="D332" s="527">
        <f t="shared" si="1"/>
        <v>0</v>
      </c>
    </row>
    <row r="333">
      <c r="A333" s="523" t="s">
        <v>377</v>
      </c>
      <c r="B333" s="525">
        <v>140.0</v>
      </c>
      <c r="C333" s="526">
        <v>138.0</v>
      </c>
      <c r="D333" s="527">
        <f t="shared" si="1"/>
        <v>278</v>
      </c>
    </row>
    <row r="334">
      <c r="A334" s="523" t="s">
        <v>378</v>
      </c>
      <c r="B334" s="525">
        <v>0.0</v>
      </c>
      <c r="C334" s="526">
        <v>16.0</v>
      </c>
      <c r="D334" s="527">
        <f t="shared" si="1"/>
        <v>16</v>
      </c>
    </row>
    <row r="335">
      <c r="A335" s="523" t="s">
        <v>379</v>
      </c>
      <c r="B335" s="526">
        <v>117.0</v>
      </c>
      <c r="C335" s="526">
        <v>47.0</v>
      </c>
      <c r="D335" s="8">
        <f t="shared" si="1"/>
        <v>164</v>
      </c>
    </row>
    <row r="336">
      <c r="A336" s="523" t="s">
        <v>380</v>
      </c>
      <c r="B336" s="526">
        <v>30.0</v>
      </c>
      <c r="C336" s="526">
        <v>43.0</v>
      </c>
      <c r="D336" s="8">
        <f t="shared" si="1"/>
        <v>73</v>
      </c>
    </row>
    <row r="337">
      <c r="A337" s="523" t="s">
        <v>383</v>
      </c>
      <c r="B337" s="526">
        <v>17.0</v>
      </c>
      <c r="C337" s="526">
        <v>18.0</v>
      </c>
      <c r="D337" s="8">
        <f t="shared" si="1"/>
        <v>35</v>
      </c>
    </row>
    <row r="338">
      <c r="A338" s="528" t="s">
        <v>1764</v>
      </c>
      <c r="B338" s="529">
        <v>0.0</v>
      </c>
      <c r="C338" s="529">
        <v>0.0</v>
      </c>
      <c r="D338" s="8">
        <f t="shared" si="1"/>
        <v>0</v>
      </c>
    </row>
    <row r="339">
      <c r="A339" s="530"/>
      <c r="B339" s="531"/>
      <c r="C339" s="518"/>
    </row>
    <row r="341">
      <c r="A341" s="514" t="s">
        <v>2053</v>
      </c>
      <c r="B341" s="490"/>
      <c r="C341" s="492" t="s">
        <v>1913</v>
      </c>
      <c r="D341" s="490"/>
      <c r="E341" s="490"/>
      <c r="F341" s="492" t="s">
        <v>1707</v>
      </c>
      <c r="G341" s="532" t="s">
        <v>2054</v>
      </c>
      <c r="H341" s="490"/>
      <c r="I341" s="492" t="s">
        <v>1709</v>
      </c>
      <c r="J341" s="494">
        <v>45728.0</v>
      </c>
      <c r="K341" s="495"/>
      <c r="L341" s="496"/>
      <c r="M341" s="485"/>
      <c r="N341" s="485"/>
      <c r="O341" s="485"/>
      <c r="P341" s="485"/>
      <c r="Q341" s="485"/>
      <c r="R341" s="485"/>
      <c r="S341" s="485"/>
      <c r="T341" s="485"/>
      <c r="U341" s="485"/>
      <c r="V341" s="485"/>
      <c r="W341" s="485"/>
      <c r="X341" s="485"/>
      <c r="Y341" s="485"/>
      <c r="Z341" s="485"/>
    </row>
    <row r="342">
      <c r="A342" s="516" t="s">
        <v>172</v>
      </c>
      <c r="B342" s="517" t="s">
        <v>1998</v>
      </c>
      <c r="C342" s="518"/>
    </row>
    <row r="343">
      <c r="A343" s="519"/>
      <c r="B343" s="533" t="s">
        <v>2058</v>
      </c>
      <c r="C343" s="534" t="s">
        <v>2060</v>
      </c>
    </row>
    <row r="344">
      <c r="A344" s="522"/>
      <c r="B344" s="520" t="s">
        <v>2003</v>
      </c>
      <c r="C344" s="521" t="s">
        <v>2003</v>
      </c>
    </row>
    <row r="345">
      <c r="A345" s="523" t="s">
        <v>35</v>
      </c>
      <c r="B345" s="524"/>
      <c r="C345" s="524"/>
    </row>
    <row r="346">
      <c r="A346" s="523" t="s">
        <v>276</v>
      </c>
      <c r="B346" s="535">
        <v>151.0</v>
      </c>
      <c r="C346" s="536">
        <v>378.0</v>
      </c>
      <c r="D346" s="537">
        <f t="shared" ref="D346:D403" si="2">B346/C346</f>
        <v>0.3994708995</v>
      </c>
    </row>
    <row r="347">
      <c r="A347" s="523" t="s">
        <v>320</v>
      </c>
      <c r="B347" s="525">
        <v>0.0</v>
      </c>
      <c r="C347" s="536">
        <v>0.0</v>
      </c>
      <c r="D347" s="537" t="str">
        <f t="shared" si="2"/>
        <v>#DIV/0!</v>
      </c>
    </row>
    <row r="348">
      <c r="A348" s="523" t="s">
        <v>322</v>
      </c>
      <c r="B348" s="535">
        <v>15.0</v>
      </c>
      <c r="C348" s="536">
        <v>26.0</v>
      </c>
      <c r="D348" s="537">
        <f t="shared" si="2"/>
        <v>0.5769230769</v>
      </c>
    </row>
    <row r="349">
      <c r="A349" s="523" t="s">
        <v>324</v>
      </c>
      <c r="B349" s="535">
        <v>76.0</v>
      </c>
      <c r="C349" s="536">
        <v>180.0</v>
      </c>
      <c r="D349" s="537">
        <f t="shared" si="2"/>
        <v>0.4222222222</v>
      </c>
    </row>
    <row r="350">
      <c r="A350" s="523" t="s">
        <v>325</v>
      </c>
      <c r="B350" s="535">
        <v>43.0</v>
      </c>
      <c r="C350" s="536">
        <v>62.0</v>
      </c>
      <c r="D350" s="537">
        <f t="shared" si="2"/>
        <v>0.6935483871</v>
      </c>
    </row>
    <row r="351">
      <c r="A351" s="523" t="s">
        <v>326</v>
      </c>
      <c r="B351" s="535">
        <v>11.0</v>
      </c>
      <c r="C351" s="536">
        <v>16.0</v>
      </c>
      <c r="D351" s="537">
        <f t="shared" si="2"/>
        <v>0.6875</v>
      </c>
    </row>
    <row r="352">
      <c r="A352" s="523" t="s">
        <v>327</v>
      </c>
      <c r="B352" s="535">
        <v>143.0</v>
      </c>
      <c r="C352" s="536">
        <v>286.0</v>
      </c>
      <c r="D352" s="537">
        <f t="shared" si="2"/>
        <v>0.5</v>
      </c>
    </row>
    <row r="353">
      <c r="A353" s="523" t="s">
        <v>328</v>
      </c>
      <c r="B353" s="535">
        <v>38.0</v>
      </c>
      <c r="C353" s="536">
        <v>56.0</v>
      </c>
      <c r="D353" s="537">
        <f t="shared" si="2"/>
        <v>0.6785714286</v>
      </c>
    </row>
    <row r="354">
      <c r="A354" s="523" t="s">
        <v>329</v>
      </c>
      <c r="B354" s="535">
        <v>48.0</v>
      </c>
      <c r="C354" s="536">
        <v>76.0</v>
      </c>
      <c r="D354" s="537">
        <f t="shared" si="2"/>
        <v>0.6315789474</v>
      </c>
    </row>
    <row r="355">
      <c r="A355" s="523" t="s">
        <v>331</v>
      </c>
      <c r="B355" s="535">
        <v>578.0</v>
      </c>
      <c r="C355" s="536">
        <v>1062.0</v>
      </c>
      <c r="D355" s="537">
        <f t="shared" si="2"/>
        <v>0.5442561205</v>
      </c>
    </row>
    <row r="356">
      <c r="A356" s="523" t="s">
        <v>332</v>
      </c>
      <c r="B356" s="535" t="s">
        <v>347</v>
      </c>
      <c r="C356" s="536" t="s">
        <v>347</v>
      </c>
      <c r="D356" s="537" t="str">
        <f t="shared" si="2"/>
        <v>#VALUE!</v>
      </c>
    </row>
    <row r="357">
      <c r="A357" s="523" t="s">
        <v>333</v>
      </c>
      <c r="B357" s="535">
        <v>66.0</v>
      </c>
      <c r="C357" s="536">
        <v>148.0</v>
      </c>
      <c r="D357" s="537">
        <f t="shared" si="2"/>
        <v>0.4459459459</v>
      </c>
    </row>
    <row r="358">
      <c r="A358" s="523" t="s">
        <v>334</v>
      </c>
      <c r="B358" s="535">
        <v>87.0</v>
      </c>
      <c r="C358" s="536">
        <v>177.0</v>
      </c>
      <c r="D358" s="537">
        <f t="shared" si="2"/>
        <v>0.4915254237</v>
      </c>
    </row>
    <row r="359">
      <c r="A359" s="523" t="s">
        <v>335</v>
      </c>
      <c r="B359" s="525" t="s">
        <v>323</v>
      </c>
      <c r="C359" s="526" t="s">
        <v>323</v>
      </c>
      <c r="D359" s="537" t="str">
        <f t="shared" si="2"/>
        <v>#VALUE!</v>
      </c>
    </row>
    <row r="360">
      <c r="A360" s="523" t="s">
        <v>336</v>
      </c>
      <c r="B360" s="535">
        <v>418.0</v>
      </c>
      <c r="C360" s="536">
        <v>827.0</v>
      </c>
      <c r="D360" s="537">
        <f t="shared" si="2"/>
        <v>0.5054413543</v>
      </c>
    </row>
    <row r="361">
      <c r="A361" s="523" t="s">
        <v>249</v>
      </c>
      <c r="B361" s="535">
        <v>132.0</v>
      </c>
      <c r="C361" s="536">
        <v>207.0</v>
      </c>
      <c r="D361" s="537">
        <f t="shared" si="2"/>
        <v>0.6376811594</v>
      </c>
    </row>
    <row r="362">
      <c r="A362" s="523" t="s">
        <v>337</v>
      </c>
      <c r="B362" s="535">
        <v>18.0</v>
      </c>
      <c r="C362" s="536">
        <v>36.0</v>
      </c>
      <c r="D362" s="537">
        <f t="shared" si="2"/>
        <v>0.5</v>
      </c>
    </row>
    <row r="363">
      <c r="A363" s="523" t="s">
        <v>338</v>
      </c>
      <c r="B363" s="535">
        <v>16.0</v>
      </c>
      <c r="C363" s="536">
        <v>28.0</v>
      </c>
      <c r="D363" s="537">
        <f t="shared" si="2"/>
        <v>0.5714285714</v>
      </c>
    </row>
    <row r="364">
      <c r="A364" s="523" t="s">
        <v>183</v>
      </c>
      <c r="B364" s="303">
        <v>2983.0</v>
      </c>
      <c r="C364" s="303">
        <v>7388.0</v>
      </c>
      <c r="D364" s="537">
        <f t="shared" si="2"/>
        <v>0.4037628587</v>
      </c>
    </row>
    <row r="365">
      <c r="A365" s="523" t="s">
        <v>340</v>
      </c>
      <c r="B365" s="538">
        <v>80.0</v>
      </c>
      <c r="C365" s="1">
        <v>132.0</v>
      </c>
      <c r="D365" s="537">
        <f t="shared" si="2"/>
        <v>0.6060606061</v>
      </c>
    </row>
    <row r="366">
      <c r="A366" s="523" t="s">
        <v>341</v>
      </c>
      <c r="B366" s="538">
        <v>17.0</v>
      </c>
      <c r="C366" s="536">
        <v>37.0</v>
      </c>
      <c r="D366" s="537">
        <f t="shared" si="2"/>
        <v>0.4594594595</v>
      </c>
    </row>
    <row r="367">
      <c r="A367" s="523" t="s">
        <v>342</v>
      </c>
      <c r="B367" s="535">
        <v>14.0</v>
      </c>
      <c r="C367" s="536">
        <v>18.0</v>
      </c>
      <c r="D367" s="537">
        <f t="shared" si="2"/>
        <v>0.7777777778</v>
      </c>
    </row>
    <row r="368">
      <c r="A368" s="523" t="s">
        <v>343</v>
      </c>
      <c r="B368" s="535">
        <v>67.0</v>
      </c>
      <c r="C368" s="536">
        <v>117.0</v>
      </c>
      <c r="D368" s="537">
        <f t="shared" si="2"/>
        <v>0.5726495726</v>
      </c>
    </row>
    <row r="369">
      <c r="A369" s="523" t="s">
        <v>344</v>
      </c>
      <c r="B369" s="535">
        <v>167.0</v>
      </c>
      <c r="C369" s="536">
        <v>307.0</v>
      </c>
      <c r="D369" s="537">
        <f t="shared" si="2"/>
        <v>0.5439739414</v>
      </c>
    </row>
    <row r="370">
      <c r="A370" s="523" t="s">
        <v>345</v>
      </c>
      <c r="B370" s="535" t="s">
        <v>347</v>
      </c>
      <c r="C370" s="536">
        <v>14.0</v>
      </c>
      <c r="D370" s="537" t="str">
        <f t="shared" si="2"/>
        <v>#VALUE!</v>
      </c>
    </row>
    <row r="371">
      <c r="A371" s="523" t="s">
        <v>346</v>
      </c>
      <c r="B371" s="525" t="s">
        <v>323</v>
      </c>
      <c r="C371" s="526" t="s">
        <v>323</v>
      </c>
      <c r="D371" s="537" t="str">
        <f t="shared" si="2"/>
        <v>#VALUE!</v>
      </c>
    </row>
    <row r="372">
      <c r="A372" s="523" t="s">
        <v>348</v>
      </c>
      <c r="B372" s="535">
        <v>24.0</v>
      </c>
      <c r="C372" s="536">
        <v>33.0</v>
      </c>
      <c r="D372" s="537">
        <f t="shared" si="2"/>
        <v>0.7272727273</v>
      </c>
    </row>
    <row r="373">
      <c r="A373" s="523" t="s">
        <v>349</v>
      </c>
      <c r="B373" s="525">
        <v>32.0</v>
      </c>
      <c r="C373" s="526" t="s">
        <v>323</v>
      </c>
      <c r="D373" s="537" t="str">
        <f t="shared" si="2"/>
        <v>#VALUE!</v>
      </c>
    </row>
    <row r="374">
      <c r="A374" s="523" t="s">
        <v>82</v>
      </c>
      <c r="B374" s="525" t="s">
        <v>323</v>
      </c>
      <c r="C374" s="526" t="s">
        <v>323</v>
      </c>
      <c r="D374" s="537" t="str">
        <f t="shared" si="2"/>
        <v>#VALUE!</v>
      </c>
    </row>
    <row r="375">
      <c r="A375" s="523" t="s">
        <v>241</v>
      </c>
      <c r="B375" s="535">
        <v>377.0</v>
      </c>
      <c r="C375" s="536">
        <v>692.0</v>
      </c>
      <c r="D375" s="537">
        <f t="shared" si="2"/>
        <v>0.5447976879</v>
      </c>
    </row>
    <row r="376">
      <c r="A376" s="523" t="s">
        <v>352</v>
      </c>
      <c r="B376" s="535">
        <v>18.0</v>
      </c>
      <c r="C376" s="536">
        <v>40.0</v>
      </c>
      <c r="D376" s="537">
        <f t="shared" si="2"/>
        <v>0.45</v>
      </c>
    </row>
    <row r="377">
      <c r="A377" s="523" t="s">
        <v>354</v>
      </c>
      <c r="B377" s="525">
        <v>14.0</v>
      </c>
      <c r="C377" s="526" t="s">
        <v>323</v>
      </c>
      <c r="D377" s="537" t="str">
        <f t="shared" si="2"/>
        <v>#VALUE!</v>
      </c>
    </row>
    <row r="378">
      <c r="A378" s="523" t="s">
        <v>252</v>
      </c>
      <c r="B378" s="539">
        <v>568.0</v>
      </c>
      <c r="C378" s="524">
        <v>1138.0</v>
      </c>
      <c r="D378" s="537">
        <f t="shared" si="2"/>
        <v>0.4991212654</v>
      </c>
    </row>
    <row r="379">
      <c r="A379" s="523" t="s">
        <v>292</v>
      </c>
      <c r="B379" s="535">
        <v>130.0</v>
      </c>
      <c r="C379" s="536">
        <v>339.0</v>
      </c>
      <c r="D379" s="537">
        <f t="shared" si="2"/>
        <v>0.383480826</v>
      </c>
    </row>
    <row r="380">
      <c r="A380" s="523" t="s">
        <v>356</v>
      </c>
      <c r="B380" s="525">
        <v>0.0</v>
      </c>
      <c r="C380" s="526">
        <v>12.0</v>
      </c>
      <c r="D380" s="537">
        <f t="shared" si="2"/>
        <v>0</v>
      </c>
    </row>
    <row r="381">
      <c r="A381" s="523" t="s">
        <v>261</v>
      </c>
      <c r="B381" s="525">
        <v>316.0</v>
      </c>
      <c r="C381" s="526">
        <v>479.0</v>
      </c>
      <c r="D381" s="537">
        <f t="shared" si="2"/>
        <v>0.6597077244</v>
      </c>
    </row>
    <row r="382">
      <c r="A382" s="523" t="s">
        <v>239</v>
      </c>
      <c r="B382" s="535">
        <v>180.0</v>
      </c>
      <c r="C382" s="536">
        <v>236.0</v>
      </c>
      <c r="D382" s="537">
        <f t="shared" si="2"/>
        <v>0.7627118644</v>
      </c>
    </row>
    <row r="383">
      <c r="A383" s="523" t="s">
        <v>357</v>
      </c>
      <c r="B383" s="535">
        <v>89.0</v>
      </c>
      <c r="C383" s="536">
        <v>177.0</v>
      </c>
      <c r="D383" s="537">
        <f t="shared" si="2"/>
        <v>0.5028248588</v>
      </c>
    </row>
    <row r="384">
      <c r="A384" s="523" t="s">
        <v>358</v>
      </c>
      <c r="B384" s="525">
        <v>108.0</v>
      </c>
      <c r="C384" s="526">
        <v>92.0</v>
      </c>
      <c r="D384" s="537">
        <f t="shared" si="2"/>
        <v>1.173913043</v>
      </c>
    </row>
    <row r="385">
      <c r="A385" s="523" t="s">
        <v>360</v>
      </c>
      <c r="B385" s="525">
        <v>31.0</v>
      </c>
      <c r="C385" s="526">
        <v>42.0</v>
      </c>
      <c r="D385" s="537">
        <f t="shared" si="2"/>
        <v>0.7380952381</v>
      </c>
    </row>
    <row r="386">
      <c r="A386" s="523" t="s">
        <v>361</v>
      </c>
      <c r="B386" s="525">
        <v>49.0</v>
      </c>
      <c r="C386" s="526">
        <v>11.0</v>
      </c>
      <c r="D386" s="537">
        <f t="shared" si="2"/>
        <v>4.454545455</v>
      </c>
    </row>
    <row r="387">
      <c r="A387" s="523" t="s">
        <v>362</v>
      </c>
      <c r="B387" s="525">
        <v>60.0</v>
      </c>
      <c r="C387" s="526">
        <v>28.0</v>
      </c>
      <c r="D387" s="537">
        <f t="shared" si="2"/>
        <v>2.142857143</v>
      </c>
    </row>
    <row r="388">
      <c r="A388" s="523" t="s">
        <v>272</v>
      </c>
      <c r="B388" s="525">
        <v>242.0</v>
      </c>
      <c r="C388" s="526">
        <v>51.0</v>
      </c>
      <c r="D388" s="537">
        <f t="shared" si="2"/>
        <v>4.745098039</v>
      </c>
    </row>
    <row r="389">
      <c r="A389" s="523" t="s">
        <v>232</v>
      </c>
      <c r="B389" s="525">
        <v>17.0</v>
      </c>
      <c r="C389" s="526">
        <v>23.0</v>
      </c>
      <c r="D389" s="537">
        <f t="shared" si="2"/>
        <v>0.7391304348</v>
      </c>
    </row>
    <row r="390">
      <c r="A390" s="523" t="s">
        <v>364</v>
      </c>
      <c r="B390" s="525">
        <v>12.0</v>
      </c>
      <c r="C390" s="526">
        <v>27.0</v>
      </c>
      <c r="D390" s="537">
        <f t="shared" si="2"/>
        <v>0.4444444444</v>
      </c>
    </row>
    <row r="391">
      <c r="A391" s="523" t="s">
        <v>365</v>
      </c>
      <c r="B391" s="525">
        <v>0.0</v>
      </c>
      <c r="C391" s="526">
        <v>0.0</v>
      </c>
      <c r="D391" s="537" t="str">
        <f t="shared" si="2"/>
        <v>#DIV/0!</v>
      </c>
    </row>
    <row r="392">
      <c r="A392" s="523" t="s">
        <v>366</v>
      </c>
      <c r="B392" s="525" t="s">
        <v>323</v>
      </c>
      <c r="C392" s="526" t="s">
        <v>323</v>
      </c>
      <c r="D392" s="537" t="str">
        <f t="shared" si="2"/>
        <v>#VALUE!</v>
      </c>
    </row>
    <row r="393">
      <c r="A393" s="523" t="s">
        <v>369</v>
      </c>
      <c r="B393" s="525">
        <v>16.0</v>
      </c>
      <c r="C393" s="526">
        <v>39.0</v>
      </c>
      <c r="D393" s="537">
        <f t="shared" si="2"/>
        <v>0.4102564103</v>
      </c>
    </row>
    <row r="394">
      <c r="A394" s="523" t="s">
        <v>370</v>
      </c>
      <c r="B394" s="525">
        <v>118.0</v>
      </c>
      <c r="C394" s="526">
        <v>59.0</v>
      </c>
      <c r="D394" s="537">
        <f t="shared" si="2"/>
        <v>2</v>
      </c>
    </row>
    <row r="395">
      <c r="A395" s="523" t="s">
        <v>371</v>
      </c>
      <c r="B395" s="525">
        <v>99.0</v>
      </c>
      <c r="C395" s="526">
        <v>15.0</v>
      </c>
      <c r="D395" s="537">
        <f t="shared" si="2"/>
        <v>6.6</v>
      </c>
    </row>
    <row r="396">
      <c r="A396" s="523" t="s">
        <v>372</v>
      </c>
      <c r="B396" s="525" t="s">
        <v>323</v>
      </c>
      <c r="C396" s="526" t="s">
        <v>323</v>
      </c>
      <c r="D396" s="537" t="str">
        <f t="shared" si="2"/>
        <v>#VALUE!</v>
      </c>
    </row>
    <row r="397">
      <c r="A397" s="523" t="s">
        <v>373</v>
      </c>
      <c r="B397" s="525" t="s">
        <v>323</v>
      </c>
      <c r="C397" s="526">
        <v>13.0</v>
      </c>
      <c r="D397" s="537" t="str">
        <f t="shared" si="2"/>
        <v>#VALUE!</v>
      </c>
    </row>
    <row r="398">
      <c r="A398" s="523" t="s">
        <v>376</v>
      </c>
      <c r="B398" s="525">
        <v>0.0</v>
      </c>
      <c r="C398" s="526" t="s">
        <v>323</v>
      </c>
      <c r="D398" s="537" t="str">
        <f t="shared" si="2"/>
        <v>#VALUE!</v>
      </c>
    </row>
    <row r="399">
      <c r="A399" s="523" t="s">
        <v>377</v>
      </c>
      <c r="B399" s="525">
        <v>140.0</v>
      </c>
      <c r="C399" s="526">
        <v>138.0</v>
      </c>
      <c r="D399" s="537">
        <f t="shared" si="2"/>
        <v>1.014492754</v>
      </c>
    </row>
    <row r="400">
      <c r="A400" s="523" t="s">
        <v>378</v>
      </c>
      <c r="B400" s="525">
        <v>0.0</v>
      </c>
      <c r="C400" s="526">
        <v>16.0</v>
      </c>
      <c r="D400" s="537">
        <f t="shared" si="2"/>
        <v>0</v>
      </c>
    </row>
    <row r="401">
      <c r="A401" s="523" t="s">
        <v>379</v>
      </c>
      <c r="B401" s="526">
        <v>117.0</v>
      </c>
      <c r="C401" s="526">
        <v>47.0</v>
      </c>
      <c r="D401" s="537">
        <f t="shared" si="2"/>
        <v>2.489361702</v>
      </c>
    </row>
    <row r="402">
      <c r="A402" s="523" t="s">
        <v>380</v>
      </c>
      <c r="B402" s="526">
        <v>30.0</v>
      </c>
      <c r="C402" s="526">
        <v>43.0</v>
      </c>
      <c r="D402" s="537">
        <f t="shared" si="2"/>
        <v>0.6976744186</v>
      </c>
    </row>
    <row r="403">
      <c r="A403" s="523" t="s">
        <v>383</v>
      </c>
      <c r="B403" s="526">
        <v>17.0</v>
      </c>
      <c r="C403" s="526">
        <v>18.0</v>
      </c>
      <c r="D403" s="537">
        <f t="shared" si="2"/>
        <v>0.9444444444</v>
      </c>
    </row>
    <row r="404">
      <c r="A404" s="528" t="s">
        <v>1764</v>
      </c>
      <c r="B404" s="529">
        <v>0.0</v>
      </c>
      <c r="C404" s="529">
        <v>0.0</v>
      </c>
      <c r="D404" s="1" t="s">
        <v>2091</v>
      </c>
    </row>
  </sheetData>
  <mergeCells count="5">
    <mergeCell ref="A276:A278"/>
    <mergeCell ref="B276:C276"/>
    <mergeCell ref="A339:C339"/>
    <mergeCell ref="A342:A344"/>
    <mergeCell ref="B342:C342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2" max="2" width="11.38"/>
    <col customWidth="1" min="3" max="9" width="10.13"/>
    <col customWidth="1" min="10" max="10" width="11.5"/>
    <col customWidth="1" min="11" max="11" width="10.13"/>
    <col customWidth="1" min="12" max="12" width="13.5"/>
    <col customWidth="1" min="13" max="14" width="10.13"/>
    <col customWidth="1" min="15" max="15" width="10.88"/>
    <col customWidth="1" min="16" max="17" width="10.13"/>
  </cols>
  <sheetData>
    <row r="1">
      <c r="A1" s="167"/>
      <c r="B1" s="168" t="s">
        <v>36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</row>
    <row r="2">
      <c r="A2" s="169" t="s">
        <v>172</v>
      </c>
      <c r="B2" s="170" t="s">
        <v>174</v>
      </c>
      <c r="C2" s="171" t="s">
        <v>693</v>
      </c>
      <c r="D2" s="172" t="s">
        <v>694</v>
      </c>
      <c r="E2" s="172" t="s">
        <v>695</v>
      </c>
      <c r="F2" s="172" t="s">
        <v>179</v>
      </c>
      <c r="G2" s="172" t="s">
        <v>696</v>
      </c>
      <c r="H2" s="173" t="s">
        <v>697</v>
      </c>
      <c r="I2" s="174" t="s">
        <v>84</v>
      </c>
      <c r="J2" s="170" t="s">
        <v>698</v>
      </c>
      <c r="K2" s="175" t="s">
        <v>699</v>
      </c>
      <c r="L2" s="173" t="s">
        <v>89</v>
      </c>
      <c r="M2" s="176" t="s">
        <v>700</v>
      </c>
      <c r="N2" s="177" t="s">
        <v>701</v>
      </c>
      <c r="O2" s="177" t="s">
        <v>702</v>
      </c>
      <c r="P2" s="422" t="s">
        <v>90</v>
      </c>
      <c r="Q2" s="325" t="s">
        <v>703</v>
      </c>
    </row>
    <row r="3">
      <c r="A3" s="326" t="s">
        <v>386</v>
      </c>
      <c r="B3" s="251">
        <f t="array" ref="B3">VLOOKUP($A3,CO_DEMO,2,FALSE)</f>
        <v>519572</v>
      </c>
      <c r="C3" s="327">
        <f>IFERROR(HLOOKUP(A3,'CO Data'!$A$5:$DM$31,3,FALSE),"NULL")</f>
        <v>263</v>
      </c>
      <c r="D3" s="253">
        <f>IFERROR(IF(vlookup(A3,'CO Data'!$A$321:$B$376,2,FALSE)="&lt;11 foster homes","2",vlookup(A3,'CO Data'!$A$321:$B$376,2,FALSE)),"2")</f>
        <v>3</v>
      </c>
      <c r="E3" s="253">
        <f>IFERROR((HLOOKUP(A3,'CO Data'!$A$5:$DM$31,19,FALSE)+HLOOKUP(A3,'CO Data'!$A$5:$DM$31,20,FALSE)+HLOOKUP(A3,'CO Data'!$A$5:$DM$31,21,FALSE)),"NULL")</f>
        <v>117</v>
      </c>
      <c r="F3" s="253">
        <f>IFERROR((HLOOKUP(A3,'CO Data'!$A$5:$DM$31,17,FALSE)+HLOOKUP(A3,'CO Data'!$A$5:$DM$31,18,FALSE)),"NULL")</f>
        <v>123</v>
      </c>
      <c r="G3" s="253" t="s">
        <v>63</v>
      </c>
      <c r="H3" s="254">
        <f>IFERROR(IF(vlookup(A3,'CO Data'!$A$255:$B$316,2,FALSE)="&lt;11","NULL",vlookup(A3,'CO Data'!$A$255:$B$316,2,FALSE)),"NULL")</f>
        <v>337</v>
      </c>
      <c r="I3" s="255">
        <f>IFERROR(IF(vlookup(A3,'CO Data'!$A$176:$B$202,2,FALSE)="&lt;11","NULL",vlookup(A3,'CO Data'!$A$176:$B$202,2,FALSE)),"NULL")</f>
        <v>45</v>
      </c>
      <c r="J3" s="478" t="s">
        <v>63</v>
      </c>
      <c r="K3" s="479">
        <f>IFERROR(IF(vlookup(A3,'CO Data'!$A$446:$B$497,2,FALSE)="&lt;11 clients","NULL",vlookup(A3,'CO Data'!$A$446:$B$497,2,FALSE)),"NULL")</f>
        <v>0.489</v>
      </c>
      <c r="L3" s="254">
        <f>IFERROR(IF(vlookup(A3,'CO Data'!$A$380:$B$442,2,FALSE)="&lt;11","NULL",vlookup(A3,'CO Data'!$A$380:$B$442,2,FALSE)),"NULL")</f>
        <v>507</v>
      </c>
      <c r="M3" s="480" t="s">
        <v>63</v>
      </c>
      <c r="N3" s="260" t="s">
        <v>63</v>
      </c>
      <c r="O3" s="260" t="s">
        <v>63</v>
      </c>
      <c r="P3" s="261">
        <f>ifna(vlookup(A3,'Population &amp; Church Numbers'!$A$247:$D$310,4,FALSE),"NULL")</f>
        <v>142</v>
      </c>
      <c r="Q3" s="329" t="s">
        <v>63</v>
      </c>
    </row>
    <row r="4">
      <c r="A4" s="188" t="s">
        <v>388</v>
      </c>
      <c r="B4" s="189">
        <f t="array" ref="B4">VLOOKUP($A4,CO_DEMO,2,FALSE)</f>
        <v>16376</v>
      </c>
      <c r="C4" s="333">
        <f>IFERROR(HLOOKUP(A4,'CO Data'!$A$5:$DM$31,3,FALSE),"NULL")</f>
        <v>19</v>
      </c>
      <c r="D4" s="265">
        <f>IFERROR(IF(vlookup(A4,'CO Data'!$A$321:$B$376,2,FALSE)="&lt;11 foster homes","2",vlookup(A4,'CO Data'!$A$321:$B$376,2,FALSE)),"2")</f>
        <v>3</v>
      </c>
      <c r="E4" s="265">
        <f>IFERROR((HLOOKUP(A4,'CO Data'!$A$5:$DM$31,19,FALSE)+HLOOKUP(A4,'CO Data'!$A$5:$DM$31,20,FALSE)+HLOOKUP(A4,'CO Data'!$A$5:$DM$31,21,FALSE)),"NULL")</f>
        <v>7</v>
      </c>
      <c r="F4" s="265">
        <f>IFERROR((HLOOKUP(A4,'CO Data'!$A$5:$DM$31,17,FALSE)+HLOOKUP(A4,'CO Data'!$A$5:$DM$31,18,FALSE)),"NULL")</f>
        <v>9</v>
      </c>
      <c r="G4" s="265" t="s">
        <v>63</v>
      </c>
      <c r="H4" s="266">
        <f>IFERROR(IF(vlookup(A4,'CO Data'!$A$255:$B$316,2,FALSE)="&lt;11","NULL",vlookup(A4,'CO Data'!$A$255:$B$316,2,FALSE)),"NULL")</f>
        <v>25</v>
      </c>
      <c r="I4" s="267" t="str">
        <f>IFERROR(IF(vlookup(A4,'CO Data'!$A$176:$B$202,2,FALSE)="&lt;11","NULL",vlookup(A4,'CO Data'!$A$176:$B$202,2,FALSE)),"NULL")</f>
        <v>NULL</v>
      </c>
      <c r="J4" s="491" t="s">
        <v>63</v>
      </c>
      <c r="K4" s="498">
        <f>IFERROR(IF(vlookup(A4,'CO Data'!$A$446:$B$497,2,FALSE)="&lt;11 clients","NULL",vlookup(A4,'CO Data'!$A$446:$B$497,2,FALSE)),"NULL")</f>
        <v>0.762</v>
      </c>
      <c r="L4" s="266">
        <f>IFERROR(IF(vlookup(A4,'CO Data'!$A$380:$B$442,2,FALSE)="&lt;11","NULL",vlookup(A4,'CO Data'!$A$380:$B$442,2,FALSE)),"NULL")</f>
        <v>30</v>
      </c>
      <c r="M4" s="271" t="s">
        <v>63</v>
      </c>
      <c r="N4" s="271" t="s">
        <v>63</v>
      </c>
      <c r="O4" s="271" t="s">
        <v>63</v>
      </c>
      <c r="P4" s="272">
        <f>ifna(vlookup(A4,'Population &amp; Church Numbers'!$A$247:$D$310,4,FALSE),"NULL")</f>
        <v>16</v>
      </c>
      <c r="Q4" s="334" t="s">
        <v>63</v>
      </c>
    </row>
    <row r="5">
      <c r="A5" s="326" t="s">
        <v>389</v>
      </c>
      <c r="B5" s="251">
        <f t="array" ref="B5">VLOOKUP($A5,CO_DEMO,2,FALSE)</f>
        <v>655070</v>
      </c>
      <c r="C5" s="327">
        <f>IFERROR(HLOOKUP(A5,'CO Data'!$A$5:$DM$31,3,FALSE),"NULL")</f>
        <v>371</v>
      </c>
      <c r="D5" s="253">
        <f>IFERROR(IF(vlookup(A5,'CO Data'!$A$321:$B$376,2,FALSE)="&lt;11 foster homes","2",vlookup(A5,'CO Data'!$A$321:$B$376,2,FALSE)),"2")</f>
        <v>3</v>
      </c>
      <c r="E5" s="253">
        <f>IFERROR((HLOOKUP(A5,'CO Data'!$A$5:$DM$31,19,FALSE)+HLOOKUP(A5,'CO Data'!$A$5:$DM$31,20,FALSE)+HLOOKUP(A5,'CO Data'!$A$5:$DM$31,21,FALSE)),"NULL")</f>
        <v>199</v>
      </c>
      <c r="F5" s="253">
        <f>IFERROR((HLOOKUP(A5,'CO Data'!$A$5:$DM$31,17,FALSE)+HLOOKUP(A5,'CO Data'!$A$5:$DM$31,18,FALSE)),"NULL")</f>
        <v>138</v>
      </c>
      <c r="G5" s="253" t="s">
        <v>63</v>
      </c>
      <c r="H5" s="254">
        <f>IFERROR(IF(vlookup(A5,'CO Data'!$A$255:$B$316,2,FALSE)="&lt;11","NULL",vlookup(A5,'CO Data'!$A$255:$B$316,2,FALSE)),"NULL")</f>
        <v>482</v>
      </c>
      <c r="I5" s="255">
        <f>IFERROR(IF(vlookup(A5,'CO Data'!$A$176:$B$202,2,FALSE)="&lt;11","NULL",vlookup(A5,'CO Data'!$A$176:$B$202,2,FALSE)),"NULL")</f>
        <v>32</v>
      </c>
      <c r="J5" s="478" t="s">
        <v>63</v>
      </c>
      <c r="K5" s="479">
        <f>IFERROR(IF(vlookup(A5,'CO Data'!$A$446:$B$497,2,FALSE)="&lt;11 clients","NULL",vlookup(A5,'CO Data'!$A$446:$B$497,2,FALSE)),"NULL")</f>
        <v>0.705</v>
      </c>
      <c r="L5" s="254">
        <f>IFERROR(IF(vlookup(A5,'CO Data'!$A$380:$B$442,2,FALSE)="&lt;11","NULL",vlookup(A5,'CO Data'!$A$380:$B$442,2,FALSE)),"NULL")</f>
        <v>809</v>
      </c>
      <c r="M5" s="260" t="s">
        <v>63</v>
      </c>
      <c r="N5" s="260" t="s">
        <v>63</v>
      </c>
      <c r="O5" s="260" t="s">
        <v>63</v>
      </c>
      <c r="P5" s="261">
        <f>ifna(vlookup(A5,'Population &amp; Church Numbers'!$A$247:$D$310,4,FALSE),"NULL")</f>
        <v>215</v>
      </c>
      <c r="Q5" s="329" t="s">
        <v>63</v>
      </c>
    </row>
    <row r="6">
      <c r="A6" s="188" t="s">
        <v>390</v>
      </c>
      <c r="B6" s="189">
        <f t="array" ref="B6">VLOOKUP($A6,CO_DEMO,2,FALSE)</f>
        <v>13359</v>
      </c>
      <c r="C6" s="333">
        <f>IFERROR(HLOOKUP(A6,'CO Data'!$A$5:$DM$31,3,FALSE),"NULL")</f>
        <v>14</v>
      </c>
      <c r="D6" s="265" t="str">
        <f>IFERROR(IF(vlookup(A6,'CO Data'!$A$321:$B$376,2,FALSE)="&lt;11 foster homes","2",vlookup(A6,'CO Data'!$A$321:$B$376,2,FALSE)),"2")</f>
        <v>2</v>
      </c>
      <c r="E6" s="265">
        <f>IFERROR((HLOOKUP(A6,'CO Data'!$A$5:$DM$31,19,FALSE)+HLOOKUP(A6,'CO Data'!$A$5:$DM$31,20,FALSE)+HLOOKUP(A6,'CO Data'!$A$5:$DM$31,21,FALSE)),"NULL")</f>
        <v>1</v>
      </c>
      <c r="F6" s="265">
        <f>IFERROR((HLOOKUP(A6,'CO Data'!$A$5:$DM$31,17,FALSE)+HLOOKUP(A6,'CO Data'!$A$5:$DM$31,18,FALSE)),"NULL")</f>
        <v>8</v>
      </c>
      <c r="G6" s="265" t="s">
        <v>63</v>
      </c>
      <c r="H6" s="266" t="str">
        <f>IFERROR(IF(vlookup(A6,'CO Data'!$A$255:$B$316,2,FALSE)="&lt;11","NULL",vlookup(A6,'CO Data'!$A$255:$B$316,2,FALSE)),"NULL")</f>
        <v>NULL</v>
      </c>
      <c r="I6" s="267" t="str">
        <f>IFERROR(IF(vlookup(A6,'CO Data'!$A$176:$B$202,2,FALSE)="&lt;11","NULL",vlookup(A6,'CO Data'!$A$176:$B$202,2,FALSE)),"NULL")</f>
        <v>NULL</v>
      </c>
      <c r="J6" s="491" t="s">
        <v>63</v>
      </c>
      <c r="K6" s="498" t="str">
        <f>IFERROR(IF(vlookup(A6,'CO Data'!$A$446:$B$497,2,FALSE)="&lt;11 clients","NULL",vlookup(A6,'CO Data'!$A$446:$B$497,2,FALSE)),"NULL")</f>
        <v>NULL</v>
      </c>
      <c r="L6" s="266">
        <f>IFERROR(IF(vlookup(A6,'CO Data'!$A$380:$B$442,2,FALSE)="&lt;11","NULL",vlookup(A6,'CO Data'!$A$380:$B$442,2,FALSE)),"NULL")</f>
        <v>19</v>
      </c>
      <c r="M6" s="271" t="s">
        <v>63</v>
      </c>
      <c r="N6" s="271" t="s">
        <v>63</v>
      </c>
      <c r="O6" s="271" t="s">
        <v>63</v>
      </c>
      <c r="P6" s="272">
        <f>ifna(vlookup(A6,'Population &amp; Church Numbers'!$A$247:$D$310,4,FALSE),"NULL")</f>
        <v>20</v>
      </c>
      <c r="Q6" s="334" t="s">
        <v>63</v>
      </c>
    </row>
    <row r="7">
      <c r="A7" s="326" t="s">
        <v>392</v>
      </c>
      <c r="B7" s="251">
        <f t="array" ref="B7">VLOOKUP($A7,CO_DEMO,2,FALSE)</f>
        <v>3506</v>
      </c>
      <c r="C7" s="327">
        <f>IFERROR(HLOOKUP(A7,'CO Data'!$A$5:$DM$31,3,FALSE),"NULL")</f>
        <v>2</v>
      </c>
      <c r="D7" s="253" t="str">
        <f>IFERROR(IF(vlookup(A7,'CO Data'!$A$321:$B$376,2,FALSE)="&lt;11 foster homes","2",vlookup(A7,'CO Data'!$A$321:$B$376,2,FALSE)),"2")</f>
        <v>2</v>
      </c>
      <c r="E7" s="253">
        <f>IFERROR((HLOOKUP(A7,'CO Data'!$A$5:$DM$31,19,FALSE)+HLOOKUP(A7,'CO Data'!$A$5:$DM$31,20,FALSE)+HLOOKUP(A7,'CO Data'!$A$5:$DM$31,21,FALSE)),"NULL")</f>
        <v>1</v>
      </c>
      <c r="F7" s="253">
        <f>IFERROR((HLOOKUP(A7,'CO Data'!$A$5:$DM$31,17,FALSE)+HLOOKUP(A7,'CO Data'!$A$5:$DM$31,18,FALSE)),"NULL")</f>
        <v>1</v>
      </c>
      <c r="G7" s="253" t="s">
        <v>63</v>
      </c>
      <c r="H7" s="254" t="str">
        <f>IFERROR(IF(vlookup(A7,'CO Data'!$A$255:$B$316,2,FALSE)="&lt;11","NULL",vlookup(A7,'CO Data'!$A$255:$B$316,2,FALSE)),"NULL")</f>
        <v>NULL</v>
      </c>
      <c r="I7" s="255" t="str">
        <f>IFERROR(IF(vlookup(A7,'CO Data'!$A$176:$B$202,2,FALSE)="&lt;11","NULL",vlookup(A7,'CO Data'!$A$176:$B$202,2,FALSE)),"NULL")</f>
        <v>NULL</v>
      </c>
      <c r="J7" s="478" t="s">
        <v>63</v>
      </c>
      <c r="K7" s="479" t="str">
        <f>IFERROR(IF(vlookup(A7,'CO Data'!$A$446:$B$497,2,FALSE)="&lt;11 clients","NULL",vlookup(A7,'CO Data'!$A$446:$B$497,2,FALSE)),"NULL")</f>
        <v>NULL</v>
      </c>
      <c r="L7" s="254" t="str">
        <f>IFERROR(IF(vlookup(A7,'CO Data'!$A$380:$B$442,2,FALSE)="&lt;11","NULL",vlookup(A7,'CO Data'!$A$380:$B$442,2,FALSE)),"NULL")</f>
        <v>NULL</v>
      </c>
      <c r="M7" s="260" t="s">
        <v>63</v>
      </c>
      <c r="N7" s="260" t="s">
        <v>63</v>
      </c>
      <c r="O7" s="260" t="s">
        <v>63</v>
      </c>
      <c r="P7" s="261">
        <f>ifna(vlookup(A7,'Population &amp; Church Numbers'!$A$247:$D$310,4,FALSE),"NULL")</f>
        <v>8</v>
      </c>
      <c r="Q7" s="329" t="s">
        <v>63</v>
      </c>
    </row>
    <row r="8">
      <c r="A8" s="188" t="s">
        <v>394</v>
      </c>
      <c r="B8" s="189">
        <f t="array" ref="B8">VLOOKUP($A8,CO_DEMO,2,FALSE)</f>
        <v>5650</v>
      </c>
      <c r="C8" s="333">
        <f>IFERROR(HLOOKUP(A8,'CO Data'!$A$5:$DM$31,3,FALSE),"NULL")</f>
        <v>1</v>
      </c>
      <c r="D8" s="265" t="str">
        <f>IFERROR(IF(vlookup(A8,'CO Data'!$A$321:$B$376,2,FALSE)="&lt;11 foster homes","2",vlookup(A8,'CO Data'!$A$321:$B$376,2,FALSE)),"2")</f>
        <v>2</v>
      </c>
      <c r="E8" s="265">
        <f>IFERROR((HLOOKUP(A8,'CO Data'!$A$5:$DM$31,19,FALSE)+HLOOKUP(A8,'CO Data'!$A$5:$DM$31,20,FALSE)+HLOOKUP(A8,'CO Data'!$A$5:$DM$31,21,FALSE)),"NULL")</f>
        <v>1</v>
      </c>
      <c r="F8" s="265">
        <f>IFERROR((HLOOKUP(A8,'CO Data'!$A$5:$DM$31,17,FALSE)+HLOOKUP(A8,'CO Data'!$A$5:$DM$31,18,FALSE)),"NULL")</f>
        <v>0</v>
      </c>
      <c r="G8" s="265" t="s">
        <v>63</v>
      </c>
      <c r="H8" s="266" t="str">
        <f>IFERROR(IF(vlookup(A8,'CO Data'!$A$255:$B$316,2,FALSE)="&lt;11","NULL",vlookup(A8,'CO Data'!$A$255:$B$316,2,FALSE)),"NULL")</f>
        <v>NULL</v>
      </c>
      <c r="I8" s="267" t="str">
        <f>IFERROR(IF(vlookup(A8,'CO Data'!$A$176:$B$202,2,FALSE)="&lt;11","NULL",vlookup(A8,'CO Data'!$A$176:$B$202,2,FALSE)),"NULL")</f>
        <v>NULL</v>
      </c>
      <c r="J8" s="491" t="s">
        <v>63</v>
      </c>
      <c r="K8" s="498" t="str">
        <f>IFERROR(IF(vlookup(A8,'CO Data'!$A$446:$B$497,2,FALSE)="&lt;11 clients","NULL",vlookup(A8,'CO Data'!$A$446:$B$497,2,FALSE)),"NULL")</f>
        <v>NULL</v>
      </c>
      <c r="L8" s="266">
        <f>IFERROR(IF(vlookup(A8,'CO Data'!$A$380:$B$442,2,FALSE)="&lt;11","NULL",vlookup(A8,'CO Data'!$A$380:$B$442,2,FALSE)),"NULL")</f>
        <v>13</v>
      </c>
      <c r="M8" s="271" t="s">
        <v>63</v>
      </c>
      <c r="N8" s="271" t="s">
        <v>63</v>
      </c>
      <c r="O8" s="271" t="s">
        <v>63</v>
      </c>
      <c r="P8" s="272">
        <f>ifna(vlookup(A8,'Population &amp; Church Numbers'!$A$247:$D$310,4,FALSE),"NULL")</f>
        <v>4</v>
      </c>
      <c r="Q8" s="334" t="s">
        <v>63</v>
      </c>
    </row>
    <row r="9">
      <c r="A9" s="326" t="s">
        <v>395</v>
      </c>
      <c r="B9" s="251">
        <f t="array" ref="B9">VLOOKUP($A9,CO_DEMO,2,FALSE)</f>
        <v>330758</v>
      </c>
      <c r="C9" s="327">
        <f>IFERROR(HLOOKUP(A9,'CO Data'!$A$5:$DM$31,3,FALSE),"NULL")</f>
        <v>97</v>
      </c>
      <c r="D9" s="253">
        <f>IFERROR(IF(vlookup(A9,'CO Data'!$A$321:$B$376,2,FALSE)="&lt;11 foster homes","2",vlookup(A9,'CO Data'!$A$321:$B$376,2,FALSE)),"2")</f>
        <v>2</v>
      </c>
      <c r="E9" s="253">
        <f>IFERROR((HLOOKUP(A9,'CO Data'!$A$5:$DM$31,19,FALSE)+HLOOKUP(A9,'CO Data'!$A$5:$DM$31,20,FALSE)+HLOOKUP(A9,'CO Data'!$A$5:$DM$31,21,FALSE)),"NULL")</f>
        <v>35</v>
      </c>
      <c r="F9" s="253">
        <f>IFERROR((HLOOKUP(A9,'CO Data'!$A$5:$DM$31,17,FALSE)+HLOOKUP(A9,'CO Data'!$A$5:$DM$31,18,FALSE)),"NULL")</f>
        <v>48</v>
      </c>
      <c r="G9" s="253" t="s">
        <v>63</v>
      </c>
      <c r="H9" s="254">
        <f>IFERROR(IF(vlookup(A9,'CO Data'!$A$255:$B$316,2,FALSE)="&lt;11","NULL",vlookup(A9,'CO Data'!$A$255:$B$316,2,FALSE)),"NULL")</f>
        <v>87</v>
      </c>
      <c r="I9" s="255" t="str">
        <f>IFERROR(IF(vlookup(A9,'CO Data'!$A$176:$B$202,2,FALSE)="&lt;11","NULL",vlookup(A9,'CO Data'!$A$176:$B$202,2,FALSE)),"NULL")</f>
        <v>NULL</v>
      </c>
      <c r="J9" s="478" t="s">
        <v>63</v>
      </c>
      <c r="K9" s="479">
        <f>IFERROR(IF(vlookup(A9,'CO Data'!$A$446:$B$497,2,FALSE)="&lt;11 clients","NULL",vlookup(A9,'CO Data'!$A$446:$B$497,2,FALSE)),"NULL")</f>
        <v>0.571</v>
      </c>
      <c r="L9" s="254">
        <f>IFERROR(IF(vlookup(A9,'CO Data'!$A$380:$B$442,2,FALSE)="&lt;11","NULL",vlookup(A9,'CO Data'!$A$380:$B$442,2,FALSE)),"NULL")</f>
        <v>171</v>
      </c>
      <c r="M9" s="260" t="s">
        <v>63</v>
      </c>
      <c r="N9" s="260" t="s">
        <v>63</v>
      </c>
      <c r="O9" s="260" t="s">
        <v>63</v>
      </c>
      <c r="P9" s="261">
        <f>ifna(vlookup(A9,'Population &amp; Church Numbers'!$A$247:$D$310,4,FALSE),"NULL")</f>
        <v>127</v>
      </c>
      <c r="Q9" s="329" t="s">
        <v>63</v>
      </c>
    </row>
    <row r="10">
      <c r="A10" s="188" t="s">
        <v>396</v>
      </c>
      <c r="B10" s="189">
        <f t="array" ref="B10">VLOOKUP($A10,CO_DEMO,2,FALSE)</f>
        <v>74112</v>
      </c>
      <c r="C10" s="333">
        <f>IFERROR(HLOOKUP(A10,'CO Data'!$A$5:$DM$31,3,FALSE),"NULL")</f>
        <v>6</v>
      </c>
      <c r="D10" s="265">
        <f>IFERROR(IF(vlookup(A10,'CO Data'!$A$321:$B$376,2,FALSE)="&lt;11 foster homes","2",vlookup(A10,'CO Data'!$A$321:$B$376,2,FALSE)),"2")</f>
        <v>2</v>
      </c>
      <c r="E10" s="265">
        <f>IFERROR((HLOOKUP(A10,'CO Data'!$A$5:$DM$31,19,FALSE)+HLOOKUP(A10,'CO Data'!$A$5:$DM$31,20,FALSE)+HLOOKUP(A10,'CO Data'!$A$5:$DM$31,21,FALSE)),"NULL")</f>
        <v>4</v>
      </c>
      <c r="F10" s="265">
        <f>IFERROR((HLOOKUP(A10,'CO Data'!$A$5:$DM$31,17,FALSE)+HLOOKUP(A10,'CO Data'!$A$5:$DM$31,18,FALSE)),"NULL")</f>
        <v>1</v>
      </c>
      <c r="G10" s="265" t="s">
        <v>63</v>
      </c>
      <c r="H10" s="266">
        <f>IFERROR(IF(vlookup(A10,'CO Data'!$A$255:$B$316,2,FALSE)="&lt;11","NULL",vlookup(A10,'CO Data'!$A$255:$B$316,2,FALSE)),"NULL")</f>
        <v>24</v>
      </c>
      <c r="I10" s="267" t="str">
        <f>IFERROR(IF(vlookup(A10,'CO Data'!$A$176:$B$202,2,FALSE)="&lt;11","NULL",vlookup(A10,'CO Data'!$A$176:$B$202,2,FALSE)),"NULL")</f>
        <v>NULL</v>
      </c>
      <c r="J10" s="491" t="s">
        <v>63</v>
      </c>
      <c r="K10" s="498" t="str">
        <f>IFERROR(IF(vlookup(A10,'CO Data'!$A$446:$B$497,2,FALSE)="&lt;11 clients","NULL",vlookup(A10,'CO Data'!$A$446:$B$497,2,FALSE)),"NULL")</f>
        <v>NULL</v>
      </c>
      <c r="L10" s="266">
        <f>IFERROR(IF(vlookup(A10,'CO Data'!$A$380:$B$442,2,FALSE)="&lt;11","NULL",vlookup(A10,'CO Data'!$A$380:$B$442,2,FALSE)),"NULL")</f>
        <v>20</v>
      </c>
      <c r="M10" s="271" t="s">
        <v>63</v>
      </c>
      <c r="N10" s="271" t="s">
        <v>63</v>
      </c>
      <c r="O10" s="271" t="s">
        <v>63</v>
      </c>
      <c r="P10" s="272">
        <f>ifna(vlookup(A10,'Population &amp; Church Numbers'!$A$247:$D$310,4,FALSE),"NULL")</f>
        <v>23</v>
      </c>
      <c r="Q10" s="334" t="s">
        <v>63</v>
      </c>
    </row>
    <row r="11">
      <c r="A11" s="326" t="s">
        <v>397</v>
      </c>
      <c r="B11" s="251">
        <f t="array" ref="B11">VLOOKUP($A11,CO_DEMO,2,FALSE)</f>
        <v>19476</v>
      </c>
      <c r="C11" s="327">
        <f>IFERROR(HLOOKUP(A11,'CO Data'!$A$5:$DM$31,3,FALSE),"NULL")</f>
        <v>10</v>
      </c>
      <c r="D11" s="253" t="str">
        <f>IFERROR(IF(vlookup(A11,'CO Data'!$A$321:$B$376,2,FALSE)="&lt;11 foster homes","2",vlookup(A11,'CO Data'!$A$321:$B$376,2,FALSE)),"2")</f>
        <v>2</v>
      </c>
      <c r="E11" s="253">
        <f>IFERROR((HLOOKUP(A11,'CO Data'!$A$5:$DM$31,19,FALSE)+HLOOKUP(A11,'CO Data'!$A$5:$DM$31,20,FALSE)+HLOOKUP(A11,'CO Data'!$A$5:$DM$31,21,FALSE)),"NULL")</f>
        <v>8</v>
      </c>
      <c r="F11" s="253">
        <f>IFERROR((HLOOKUP(A11,'CO Data'!$A$5:$DM$31,17,FALSE)+HLOOKUP(A11,'CO Data'!$A$5:$DM$31,18,FALSE)),"NULL")</f>
        <v>1</v>
      </c>
      <c r="G11" s="253" t="s">
        <v>63</v>
      </c>
      <c r="H11" s="254">
        <f>IFERROR(IF(vlookup(A11,'CO Data'!$A$255:$B$316,2,FALSE)="&lt;11","NULL",vlookup(A11,'CO Data'!$A$255:$B$316,2,FALSE)),"NULL")</f>
        <v>13</v>
      </c>
      <c r="I11" s="255" t="str">
        <f>IFERROR(IF(vlookup(A11,'CO Data'!$A$176:$B$202,2,FALSE)="&lt;11","NULL",vlookup(A11,'CO Data'!$A$176:$B$202,2,FALSE)),"NULL")</f>
        <v>NULL</v>
      </c>
      <c r="J11" s="478" t="s">
        <v>63</v>
      </c>
      <c r="K11" s="479" t="str">
        <f>IFERROR(IF(vlookup(A11,'CO Data'!$A$446:$B$497,2,FALSE)="&lt;11 clients","NULL",vlookup(A11,'CO Data'!$A$446:$B$497,2,FALSE)),"NULL")</f>
        <v>NULL</v>
      </c>
      <c r="L11" s="254">
        <f>IFERROR(IF(vlookup(A11,'CO Data'!$A$380:$B$442,2,FALSE)="&lt;11","NULL",vlookup(A11,'CO Data'!$A$380:$B$442,2,FALSE)),"NULL")</f>
        <v>28</v>
      </c>
      <c r="M11" s="260" t="s">
        <v>63</v>
      </c>
      <c r="N11" s="260" t="s">
        <v>63</v>
      </c>
      <c r="O11" s="260" t="s">
        <v>63</v>
      </c>
      <c r="P11" s="261">
        <f>ifna(vlookup(A11,'Population &amp; Church Numbers'!$A$247:$D$310,4,FALSE),"NULL")</f>
        <v>30</v>
      </c>
      <c r="Q11" s="329" t="s">
        <v>63</v>
      </c>
    </row>
    <row r="12">
      <c r="A12" s="188" t="s">
        <v>399</v>
      </c>
      <c r="B12" s="189">
        <f t="array" ref="B12">VLOOKUP($A12,CO_DEMO,2,FALSE)</f>
        <v>1748</v>
      </c>
      <c r="C12" s="333">
        <f>IFERROR(HLOOKUP(A12,'CO Data'!$A$5:$DM$31,3,FALSE),"NULL")</f>
        <v>5</v>
      </c>
      <c r="D12" s="265" t="str">
        <f>IFERROR(IF(vlookup(A12,'CO Data'!$A$321:$B$376,2,FALSE)="&lt;11 foster homes","2",vlookup(A12,'CO Data'!$A$321:$B$376,2,FALSE)),"2")</f>
        <v>2</v>
      </c>
      <c r="E12" s="265">
        <f>IFERROR((HLOOKUP(A12,'CO Data'!$A$5:$DM$31,19,FALSE)+HLOOKUP(A12,'CO Data'!$A$5:$DM$31,20,FALSE)+HLOOKUP(A12,'CO Data'!$A$5:$DM$31,21,FALSE)),"NULL")</f>
        <v>5</v>
      </c>
      <c r="F12" s="265">
        <f>IFERROR((HLOOKUP(A12,'CO Data'!$A$5:$DM$31,17,FALSE)+HLOOKUP(A12,'CO Data'!$A$5:$DM$31,18,FALSE)),"NULL")</f>
        <v>0</v>
      </c>
      <c r="G12" s="265" t="s">
        <v>63</v>
      </c>
      <c r="H12" s="266" t="str">
        <f>IFERROR(IF(vlookup(A12,'CO Data'!$A$255:$B$316,2,FALSE)="&lt;11","NULL",vlookup(A12,'CO Data'!$A$255:$B$316,2,FALSE)),"NULL")</f>
        <v>NULL</v>
      </c>
      <c r="I12" s="267" t="str">
        <f>IFERROR(IF(vlookup(A12,'CO Data'!$A$176:$B$202,2,FALSE)="&lt;11","NULL",vlookup(A12,'CO Data'!$A$176:$B$202,2,FALSE)),"NULL")</f>
        <v>NULL</v>
      </c>
      <c r="J12" s="491" t="s">
        <v>63</v>
      </c>
      <c r="K12" s="498" t="str">
        <f>IFERROR(IF(vlookup(A12,'CO Data'!$A$446:$B$497,2,FALSE)="&lt;11 clients","NULL",vlookup(A12,'CO Data'!$A$446:$B$497,2,FALSE)),"NULL")</f>
        <v>NULL</v>
      </c>
      <c r="L12" s="266" t="str">
        <f>IFERROR(IF(vlookup(A12,'CO Data'!$A$380:$B$442,2,FALSE)="&lt;11","NULL",vlookup(A12,'CO Data'!$A$380:$B$442,2,FALSE)),"NULL")</f>
        <v>NULL</v>
      </c>
      <c r="M12" s="271" t="s">
        <v>63</v>
      </c>
      <c r="N12" s="271" t="s">
        <v>63</v>
      </c>
      <c r="O12" s="271" t="s">
        <v>63</v>
      </c>
      <c r="P12" s="272">
        <f>ifna(vlookup(A12,'Population &amp; Church Numbers'!$A$247:$D$310,4,FALSE),"NULL")</f>
        <v>4</v>
      </c>
      <c r="Q12" s="334" t="s">
        <v>63</v>
      </c>
    </row>
    <row r="13">
      <c r="A13" s="326" t="s">
        <v>400</v>
      </c>
      <c r="B13" s="251">
        <f t="array" ref="B13">VLOOKUP($A13,CO_DEMO,2,FALSE)</f>
        <v>9397</v>
      </c>
      <c r="C13" s="327">
        <f>IFERROR(HLOOKUP(A13,'CO Data'!$A$5:$DM$31,3,FALSE),"NULL")</f>
        <v>4</v>
      </c>
      <c r="D13" s="253" t="str">
        <f>IFERROR(IF(vlookup(A13,'CO Data'!$A$321:$B$376,2,FALSE)="&lt;11 foster homes","2",vlookup(A13,'CO Data'!$A$321:$B$376,2,FALSE)),"2")</f>
        <v>2</v>
      </c>
      <c r="E13" s="253">
        <f>IFERROR((HLOOKUP(A13,'CO Data'!$A$5:$DM$31,19,FALSE)+HLOOKUP(A13,'CO Data'!$A$5:$DM$31,20,FALSE)+HLOOKUP(A13,'CO Data'!$A$5:$DM$31,21,FALSE)),"NULL")</f>
        <v>2</v>
      </c>
      <c r="F13" s="253">
        <f>IFERROR((HLOOKUP(A13,'CO Data'!$A$5:$DM$31,17,FALSE)+HLOOKUP(A13,'CO Data'!$A$5:$DM$31,18,FALSE)),"NULL")</f>
        <v>2</v>
      </c>
      <c r="G13" s="253" t="s">
        <v>63</v>
      </c>
      <c r="H13" s="254" t="str">
        <f>IFERROR(IF(vlookup(A13,'CO Data'!$A$255:$B$316,2,FALSE)="&lt;11","NULL",vlookup(A13,'CO Data'!$A$255:$B$316,2,FALSE)),"NULL")</f>
        <v>NULL</v>
      </c>
      <c r="I13" s="255" t="str">
        <f>IFERROR(IF(vlookup(A13,'CO Data'!$A$176:$B$202,2,FALSE)="&lt;11","NULL",vlookup(A13,'CO Data'!$A$176:$B$202,2,FALSE)),"NULL")</f>
        <v>NULL</v>
      </c>
      <c r="J13" s="478" t="s">
        <v>63</v>
      </c>
      <c r="K13" s="479" t="str">
        <f>IFERROR(IF(vlookup(A13,'CO Data'!$A$446:$B$497,2,FALSE)="&lt;11 clients","NULL",vlookup(A13,'CO Data'!$A$446:$B$497,2,FALSE)),"NULL")</f>
        <v>NULL</v>
      </c>
      <c r="L13" s="254">
        <f>IFERROR(IF(vlookup(A13,'CO Data'!$A$380:$B$442,2,FALSE)="&lt;11","NULL",vlookup(A13,'CO Data'!$A$380:$B$442,2,FALSE)),"NULL")</f>
        <v>16</v>
      </c>
      <c r="M13" s="260" t="s">
        <v>63</v>
      </c>
      <c r="N13" s="260" t="s">
        <v>63</v>
      </c>
      <c r="O13" s="260" t="s">
        <v>63</v>
      </c>
      <c r="P13" s="261">
        <f>ifna(vlookup(A13,'Population &amp; Church Numbers'!$A$247:$D$310,4,FALSE),"NULL")</f>
        <v>7</v>
      </c>
      <c r="Q13" s="329" t="s">
        <v>63</v>
      </c>
    </row>
    <row r="14">
      <c r="A14" s="188" t="s">
        <v>402</v>
      </c>
      <c r="B14" s="189">
        <f t="array" ref="B14">VLOOKUP($A14,CO_DEMO,2,FALSE)</f>
        <v>7461</v>
      </c>
      <c r="C14" s="333">
        <f>IFERROR(HLOOKUP(A14,'CO Data'!$A$5:$DM$31,3,FALSE),"NULL")</f>
        <v>2</v>
      </c>
      <c r="D14" s="265" t="str">
        <f>IFERROR(IF(vlookup(A14,'CO Data'!$A$321:$B$376,2,FALSE)="&lt;11 foster homes","2",vlookup(A14,'CO Data'!$A$321:$B$376,2,FALSE)),"2")</f>
        <v>2</v>
      </c>
      <c r="E14" s="265">
        <f>IFERROR((HLOOKUP(A14,'CO Data'!$A$5:$DM$31,19,FALSE)+HLOOKUP(A14,'CO Data'!$A$5:$DM$31,20,FALSE)+HLOOKUP(A14,'CO Data'!$A$5:$DM$31,21,FALSE)),"NULL")</f>
        <v>2</v>
      </c>
      <c r="F14" s="265">
        <f>IFERROR((HLOOKUP(A14,'CO Data'!$A$5:$DM$31,17,FALSE)+HLOOKUP(A14,'CO Data'!$A$5:$DM$31,18,FALSE)),"NULL")</f>
        <v>0</v>
      </c>
      <c r="G14" s="265" t="s">
        <v>63</v>
      </c>
      <c r="H14" s="266" t="str">
        <f>IFERROR(IF(vlookup(A14,'CO Data'!$A$255:$B$316,2,FALSE)="&lt;11","NULL",vlookup(A14,'CO Data'!$A$255:$B$316,2,FALSE)),"NULL")</f>
        <v>NULL</v>
      </c>
      <c r="I14" s="267" t="str">
        <f>IFERROR(IF(vlookup(A14,'CO Data'!$A$176:$B$202,2,FALSE)="&lt;11","NULL",vlookup(A14,'CO Data'!$A$176:$B$202,2,FALSE)),"NULL")</f>
        <v>NULL</v>
      </c>
      <c r="J14" s="491" t="s">
        <v>63</v>
      </c>
      <c r="K14" s="498" t="str">
        <f>IFERROR(IF(vlookup(A14,'CO Data'!$A$446:$B$497,2,FALSE)="&lt;11 clients","NULL",vlookup(A14,'CO Data'!$A$446:$B$497,2,FALSE)),"NULL")</f>
        <v>NULL</v>
      </c>
      <c r="L14" s="266">
        <f>IFERROR(IF(vlookup(A14,'CO Data'!$A$380:$B$442,2,FALSE)="&lt;11","NULL",vlookup(A14,'CO Data'!$A$380:$B$442,2,FALSE)),"NULL")</f>
        <v>13</v>
      </c>
      <c r="M14" s="271" t="s">
        <v>63</v>
      </c>
      <c r="N14" s="271" t="s">
        <v>63</v>
      </c>
      <c r="O14" s="271" t="s">
        <v>63</v>
      </c>
      <c r="P14" s="272">
        <f>ifna(vlookup(A14,'Population &amp; Church Numbers'!$A$247:$D$310,4,FALSE),"NULL")</f>
        <v>10</v>
      </c>
      <c r="Q14" s="334" t="s">
        <v>63</v>
      </c>
    </row>
    <row r="15">
      <c r="A15" s="326" t="s">
        <v>403</v>
      </c>
      <c r="B15" s="251">
        <f t="array" ref="B15">VLOOKUP($A15,CO_DEMO,2,FALSE)</f>
        <v>3499</v>
      </c>
      <c r="C15" s="327">
        <f>IFERROR(HLOOKUP(A15,'CO Data'!$A$5:$DM$31,3,FALSE),"NULL")</f>
        <v>14</v>
      </c>
      <c r="D15" s="253" t="str">
        <f>IFERROR(IF(vlookup(A15,'CO Data'!$A$321:$B$376,2,FALSE)="&lt;11 foster homes","2",vlookup(A15,'CO Data'!$A$321:$B$376,2,FALSE)),"2")</f>
        <v>2</v>
      </c>
      <c r="E15" s="253">
        <f>IFERROR((HLOOKUP(A15,'CO Data'!$A$5:$DM$31,19,FALSE)+HLOOKUP(A15,'CO Data'!$A$5:$DM$31,20,FALSE)+HLOOKUP(A15,'CO Data'!$A$5:$DM$31,21,FALSE)),"NULL")</f>
        <v>8</v>
      </c>
      <c r="F15" s="253">
        <f>IFERROR((HLOOKUP(A15,'CO Data'!$A$5:$DM$31,17,FALSE)+HLOOKUP(A15,'CO Data'!$A$5:$DM$31,18,FALSE)),"NULL")</f>
        <v>2</v>
      </c>
      <c r="G15" s="253" t="s">
        <v>63</v>
      </c>
      <c r="H15" s="254">
        <f>IFERROR(IF(vlookup(A15,'CO Data'!$A$255:$B$316,2,FALSE)="&lt;11","NULL",vlookup(A15,'CO Data'!$A$255:$B$316,2,FALSE)),"NULL")</f>
        <v>12</v>
      </c>
      <c r="I15" s="255" t="str">
        <f>IFERROR(IF(vlookup(A15,'CO Data'!$A$176:$B$202,2,FALSE)="&lt;11","NULL",vlookup(A15,'CO Data'!$A$176:$B$202,2,FALSE)),"NULL")</f>
        <v>NULL</v>
      </c>
      <c r="J15" s="478" t="s">
        <v>63</v>
      </c>
      <c r="K15" s="479" t="str">
        <f>IFERROR(IF(vlookup(A15,'CO Data'!$A$446:$B$497,2,FALSE)="&lt;11 clients","NULL",vlookup(A15,'CO Data'!$A$446:$B$497,2,FALSE)),"NULL")</f>
        <v>NULL</v>
      </c>
      <c r="L15" s="254">
        <f>IFERROR(IF(vlookup(A15,'CO Data'!$A$380:$B$442,2,FALSE)="&lt;11","NULL",vlookup(A15,'CO Data'!$A$380:$B$442,2,FALSE)),"NULL")</f>
        <v>17</v>
      </c>
      <c r="M15" s="260" t="s">
        <v>63</v>
      </c>
      <c r="N15" s="260" t="s">
        <v>63</v>
      </c>
      <c r="O15" s="260" t="s">
        <v>63</v>
      </c>
      <c r="P15" s="261">
        <f>ifna(vlookup(A15,'Population &amp; Church Numbers'!$A$247:$D$310,4,FALSE),"NULL")</f>
        <v>3</v>
      </c>
      <c r="Q15" s="329" t="s">
        <v>63</v>
      </c>
    </row>
    <row r="16">
      <c r="A16" s="188" t="s">
        <v>404</v>
      </c>
      <c r="B16" s="189">
        <f t="array" ref="B16">VLOOKUP($A16,CO_DEMO,2,FALSE)</f>
        <v>5922</v>
      </c>
      <c r="C16" s="333">
        <f>IFERROR(HLOOKUP(A16,'CO Data'!$A$5:$DM$31,3,FALSE),"NULL")</f>
        <v>10</v>
      </c>
      <c r="D16" s="265" t="str">
        <f>IFERROR(IF(vlookup(A16,'CO Data'!$A$321:$B$376,2,FALSE)="&lt;11 foster homes","2",vlookup(A16,'CO Data'!$A$321:$B$376,2,FALSE)),"2")</f>
        <v>2</v>
      </c>
      <c r="E16" s="265">
        <f>IFERROR((HLOOKUP(A16,'CO Data'!$A$5:$DM$31,19,FALSE)+HLOOKUP(A16,'CO Data'!$A$5:$DM$31,20,FALSE)+HLOOKUP(A16,'CO Data'!$A$5:$DM$31,21,FALSE)),"NULL")</f>
        <v>10</v>
      </c>
      <c r="F16" s="265">
        <f>IFERROR((HLOOKUP(A16,'CO Data'!$A$5:$DM$31,17,FALSE)+HLOOKUP(A16,'CO Data'!$A$5:$DM$31,18,FALSE)),"NULL")</f>
        <v>0</v>
      </c>
      <c r="G16" s="265" t="s">
        <v>63</v>
      </c>
      <c r="H16" s="266" t="str">
        <f>IFERROR(IF(vlookup(A16,'CO Data'!$A$255:$B$316,2,FALSE)="&lt;11","NULL",vlookup(A16,'CO Data'!$A$255:$B$316,2,FALSE)),"NULL")</f>
        <v>NULL</v>
      </c>
      <c r="I16" s="267" t="str">
        <f>IFERROR(IF(vlookup(A16,'CO Data'!$A$176:$B$202,2,FALSE)="&lt;11","NULL",vlookup(A16,'CO Data'!$A$176:$B$202,2,FALSE)),"NULL")</f>
        <v>NULL</v>
      </c>
      <c r="J16" s="491" t="s">
        <v>63</v>
      </c>
      <c r="K16" s="498" t="str">
        <f>IFERROR(IF(vlookup(A16,'CO Data'!$A$446:$B$497,2,FALSE)="&lt;11 clients","NULL",vlookup(A16,'CO Data'!$A$446:$B$497,2,FALSE)),"NULL")</f>
        <v>NULL</v>
      </c>
      <c r="L16" s="266" t="str">
        <f>IFERROR(IF(vlookup(A16,'CO Data'!$A$380:$B$442,2,FALSE)="&lt;11","NULL",vlookup(A16,'CO Data'!$A$380:$B$442,2,FALSE)),"NULL")</f>
        <v>NULL</v>
      </c>
      <c r="M16" s="271" t="s">
        <v>63</v>
      </c>
      <c r="N16" s="271" t="s">
        <v>63</v>
      </c>
      <c r="O16" s="271" t="s">
        <v>63</v>
      </c>
      <c r="P16" s="272">
        <f>ifna(vlookup(A16,'Population &amp; Church Numbers'!$A$247:$D$310,4,FALSE),"NULL")</f>
        <v>5</v>
      </c>
      <c r="Q16" s="334" t="s">
        <v>63</v>
      </c>
    </row>
    <row r="17">
      <c r="A17" s="326" t="s">
        <v>406</v>
      </c>
      <c r="B17" s="251">
        <f t="array" ref="B17">VLOOKUP($A17,CO_DEMO,2,FALSE)</f>
        <v>4704</v>
      </c>
      <c r="C17" s="327">
        <f>IFERROR(HLOOKUP(A17,'CO Data'!$A$5:$DM$31,3,FALSE),"NULL")</f>
        <v>4</v>
      </c>
      <c r="D17" s="253" t="str">
        <f>IFERROR(IF(vlookup(A17,'CO Data'!$A$321:$B$376,2,FALSE)="&lt;11 foster homes","2",vlookup(A17,'CO Data'!$A$321:$B$376,2,FALSE)),"2")</f>
        <v>2</v>
      </c>
      <c r="E17" s="253">
        <f>IFERROR((HLOOKUP(A17,'CO Data'!$A$5:$DM$31,19,FALSE)+HLOOKUP(A17,'CO Data'!$A$5:$DM$31,20,FALSE)+HLOOKUP(A17,'CO Data'!$A$5:$DM$31,21,FALSE)),"NULL")</f>
        <v>3</v>
      </c>
      <c r="F17" s="253">
        <f>IFERROR((HLOOKUP(A17,'CO Data'!$A$5:$DM$31,17,FALSE)+HLOOKUP(A17,'CO Data'!$A$5:$DM$31,18,FALSE)),"NULL")</f>
        <v>0</v>
      </c>
      <c r="G17" s="253" t="s">
        <v>63</v>
      </c>
      <c r="H17" s="254" t="str">
        <f>IFERROR(IF(vlookup(A17,'CO Data'!$A$255:$B$316,2,FALSE)="&lt;11","NULL",vlookup(A17,'CO Data'!$A$255:$B$316,2,FALSE)),"NULL")</f>
        <v>NULL</v>
      </c>
      <c r="I17" s="255" t="str">
        <f>IFERROR(IF(vlookup(A17,'CO Data'!$A$176:$B$202,2,FALSE)="&lt;11","NULL",vlookup(A17,'CO Data'!$A$176:$B$202,2,FALSE)),"NULL")</f>
        <v>NULL</v>
      </c>
      <c r="J17" s="478" t="s">
        <v>63</v>
      </c>
      <c r="K17" s="479" t="str">
        <f>IFERROR(IF(vlookup(A17,'CO Data'!$A$446:$B$497,2,FALSE)="&lt;11 clients","NULL",vlookup(A17,'CO Data'!$A$446:$B$497,2,FALSE)),"NULL")</f>
        <v>NULL</v>
      </c>
      <c r="L17" s="254" t="str">
        <f>IFERROR(IF(vlookup(A17,'CO Data'!$A$380:$B$442,2,FALSE)="&lt;11","NULL",vlookup(A17,'CO Data'!$A$380:$B$442,2,FALSE)),"NULL")</f>
        <v>NULL</v>
      </c>
      <c r="M17" s="260" t="s">
        <v>63</v>
      </c>
      <c r="N17" s="260" t="s">
        <v>63</v>
      </c>
      <c r="O17" s="260" t="s">
        <v>63</v>
      </c>
      <c r="P17" s="261">
        <f>ifna(vlookup(A17,'Population &amp; Church Numbers'!$A$247:$D$310,4,FALSE),"NULL")</f>
        <v>11</v>
      </c>
      <c r="Q17" s="329" t="s">
        <v>63</v>
      </c>
    </row>
    <row r="18">
      <c r="A18" s="188" t="s">
        <v>407</v>
      </c>
      <c r="B18" s="189">
        <f t="array" ref="B18">VLOOKUP($A18,CO_DEMO,2,FALSE)</f>
        <v>31196</v>
      </c>
      <c r="C18" s="333">
        <f>IFERROR(HLOOKUP(A18,'CO Data'!$A$5:$DM$31,3,FALSE),"NULL")</f>
        <v>74</v>
      </c>
      <c r="D18" s="265">
        <f>IFERROR(IF(vlookup(A18,'CO Data'!$A$321:$B$376,2,FALSE)="&lt;11 foster homes","2",vlookup(A18,'CO Data'!$A$321:$B$376,2,FALSE)),"2")</f>
        <v>4</v>
      </c>
      <c r="E18" s="265">
        <f>IFERROR((HLOOKUP(A18,'CO Data'!$A$5:$DM$31,19,FALSE)+HLOOKUP(A18,'CO Data'!$A$5:$DM$31,20,FALSE)+HLOOKUP(A18,'CO Data'!$A$5:$DM$31,21,FALSE)),"NULL")</f>
        <v>46</v>
      </c>
      <c r="F18" s="265">
        <f>IFERROR((HLOOKUP(A18,'CO Data'!$A$5:$DM$31,17,FALSE)+HLOOKUP(A18,'CO Data'!$A$5:$DM$31,18,FALSE)),"NULL")</f>
        <v>9</v>
      </c>
      <c r="G18" s="265" t="s">
        <v>63</v>
      </c>
      <c r="H18" s="266">
        <f>IFERROR(IF(vlookup(A18,'CO Data'!$A$255:$B$316,2,FALSE)="&lt;11","NULL",vlookup(A18,'CO Data'!$A$255:$B$316,2,FALSE)),"NULL")</f>
        <v>54</v>
      </c>
      <c r="I18" s="267" t="str">
        <f>IFERROR(IF(vlookup(A18,'CO Data'!$A$176:$B$202,2,FALSE)="&lt;11","NULL",vlookup(A18,'CO Data'!$A$176:$B$202,2,FALSE)),"NULL")</f>
        <v>NULL</v>
      </c>
      <c r="J18" s="491" t="s">
        <v>63</v>
      </c>
      <c r="K18" s="498">
        <f>IFERROR(IF(vlookup(A18,'CO Data'!$A$446:$B$497,2,FALSE)="&lt;11 clients","NULL",vlookup(A18,'CO Data'!$A$446:$B$497,2,FALSE)),"NULL")</f>
        <v>0.846</v>
      </c>
      <c r="L18" s="266">
        <f>IFERROR(IF(vlookup(A18,'CO Data'!$A$380:$B$442,2,FALSE)="&lt;11","NULL",vlookup(A18,'CO Data'!$A$380:$B$442,2,FALSE)),"NULL")</f>
        <v>62</v>
      </c>
      <c r="M18" s="271" t="s">
        <v>63</v>
      </c>
      <c r="N18" s="271" t="s">
        <v>63</v>
      </c>
      <c r="O18" s="271" t="s">
        <v>63</v>
      </c>
      <c r="P18" s="272">
        <f>ifna(vlookup(A18,'Population &amp; Church Numbers'!$A$247:$D$310,4,FALSE),"NULL")</f>
        <v>47</v>
      </c>
      <c r="Q18" s="334" t="s">
        <v>63</v>
      </c>
    </row>
    <row r="19">
      <c r="A19" s="326" t="s">
        <v>408</v>
      </c>
      <c r="B19" s="251">
        <f t="array" ref="B19">VLOOKUP($A19,CO_DEMO,2,FALSE)</f>
        <v>715522</v>
      </c>
      <c r="C19" s="327">
        <f>IFERROR(HLOOKUP(A19,'CO Data'!$A$5:$DM$31,3,FALSE),"NULL")</f>
        <v>506</v>
      </c>
      <c r="D19" s="253">
        <f>IFERROR(IF(vlookup(A19,'CO Data'!$A$321:$B$376,2,FALSE)="&lt;11 foster homes","2",vlookup(A19,'CO Data'!$A$321:$B$376,2,FALSE)),"2")</f>
        <v>3</v>
      </c>
      <c r="E19" s="253">
        <f>IFERROR((HLOOKUP(A19,'CO Data'!$A$5:$DM$31,19,FALSE)+HLOOKUP(A19,'CO Data'!$A$5:$DM$31,20,FALSE)+HLOOKUP(A19,'CO Data'!$A$5:$DM$31,21,FALSE)),"NULL")</f>
        <v>213</v>
      </c>
      <c r="F19" s="253">
        <f>IFERROR((HLOOKUP(A19,'CO Data'!$A$5:$DM$31,17,FALSE)+HLOOKUP(A19,'CO Data'!$A$5:$DM$31,18,FALSE)),"NULL")</f>
        <v>254</v>
      </c>
      <c r="G19" s="253" t="s">
        <v>63</v>
      </c>
      <c r="H19" s="254">
        <f>IFERROR(IF(vlookup(A19,'CO Data'!$A$255:$B$316,2,FALSE)="&lt;11","NULL",vlookup(A19,'CO Data'!$A$255:$B$316,2,FALSE)),"NULL")</f>
        <v>400</v>
      </c>
      <c r="I19" s="255">
        <f>IFERROR(IF(vlookup(A19,'CO Data'!$A$176:$B$202,2,FALSE)="&lt;11","NULL",vlookup(A19,'CO Data'!$A$176:$B$202,2,FALSE)),"NULL")</f>
        <v>77</v>
      </c>
      <c r="J19" s="478" t="s">
        <v>63</v>
      </c>
      <c r="K19" s="479">
        <f>IFERROR(IF(vlookup(A19,'CO Data'!$A$446:$B$497,2,FALSE)="&lt;11 clients","NULL",vlookup(A19,'CO Data'!$A$446:$B$497,2,FALSE)),"NULL")</f>
        <v>0.567</v>
      </c>
      <c r="L19" s="254">
        <f>IFERROR(IF(vlookup(A19,'CO Data'!$A$380:$B$442,2,FALSE)="&lt;11","NULL",vlookup(A19,'CO Data'!$A$380:$B$442,2,FALSE)),"NULL")</f>
        <v>734</v>
      </c>
      <c r="M19" s="260" t="s">
        <v>63</v>
      </c>
      <c r="N19" s="260" t="s">
        <v>63</v>
      </c>
      <c r="O19" s="260" t="s">
        <v>63</v>
      </c>
      <c r="P19" s="261">
        <f>ifna(vlookup(A19,'Population &amp; Church Numbers'!$A$247:$D$310,4,FALSE),"NULL")</f>
        <v>292</v>
      </c>
      <c r="Q19" s="329" t="s">
        <v>63</v>
      </c>
    </row>
    <row r="20">
      <c r="A20" s="188" t="s">
        <v>411</v>
      </c>
      <c r="B20" s="189">
        <f t="array" ref="B20">VLOOKUP($A20,CO_DEMO,2,FALSE)</f>
        <v>2326</v>
      </c>
      <c r="C20" s="333">
        <f>IFERROR(HLOOKUP(A20,'CO Data'!$A$5:$DM$31,3,FALSE),"NULL")</f>
        <v>1</v>
      </c>
      <c r="D20" s="265" t="str">
        <f>IFERROR(IF(vlookup(A20,'CO Data'!$A$321:$B$376,2,FALSE)="&lt;11 foster homes","2",vlookup(A20,'CO Data'!$A$321:$B$376,2,FALSE)),"2")</f>
        <v>2</v>
      </c>
      <c r="E20" s="265">
        <f>IFERROR((HLOOKUP(A20,'CO Data'!$A$5:$DM$31,19,FALSE)+HLOOKUP(A20,'CO Data'!$A$5:$DM$31,20,FALSE)+HLOOKUP(A20,'CO Data'!$A$5:$DM$31,21,FALSE)),"NULL")</f>
        <v>0</v>
      </c>
      <c r="F20" s="265">
        <f>IFERROR((HLOOKUP(A20,'CO Data'!$A$5:$DM$31,17,FALSE)+HLOOKUP(A20,'CO Data'!$A$5:$DM$31,18,FALSE)),"NULL")</f>
        <v>1</v>
      </c>
      <c r="G20" s="265" t="s">
        <v>63</v>
      </c>
      <c r="H20" s="266" t="str">
        <f>IFERROR(IF(vlookup(A20,'CO Data'!$A$255:$B$316,2,FALSE)="&lt;11","NULL",vlookup(A20,'CO Data'!$A$255:$B$316,2,FALSE)),"NULL")</f>
        <v>NULL</v>
      </c>
      <c r="I20" s="267" t="str">
        <f>IFERROR(IF(vlookup(A20,'CO Data'!$A$176:$B$202,2,FALSE)="&lt;11","NULL",vlookup(A20,'CO Data'!$A$176:$B$202,2,FALSE)),"NULL")</f>
        <v>NULL</v>
      </c>
      <c r="J20" s="491" t="s">
        <v>63</v>
      </c>
      <c r="K20" s="498" t="str">
        <f>IFERROR(IF(vlookup(A20,'CO Data'!$A$446:$B$497,2,FALSE)="&lt;11 clients","NULL",vlookup(A20,'CO Data'!$A$446:$B$497,2,FALSE)),"NULL")</f>
        <v>NULL</v>
      </c>
      <c r="L20" s="266" t="str">
        <f>IFERROR(IF(vlookup(A20,'CO Data'!$A$380:$B$442,2,FALSE)="&lt;11","NULL",vlookup(A20,'CO Data'!$A$380:$B$442,2,FALSE)),"NULL")</f>
        <v>NULL</v>
      </c>
      <c r="M20" s="271" t="s">
        <v>63</v>
      </c>
      <c r="N20" s="271" t="s">
        <v>63</v>
      </c>
      <c r="O20" s="271" t="s">
        <v>63</v>
      </c>
      <c r="P20" s="272">
        <f>ifna(vlookup(A20,'Population &amp; Church Numbers'!$A$247:$D$310,4,FALSE),"NULL")</f>
        <v>7</v>
      </c>
      <c r="Q20" s="334" t="s">
        <v>63</v>
      </c>
    </row>
    <row r="21">
      <c r="A21" s="326" t="s">
        <v>412</v>
      </c>
      <c r="B21" s="251">
        <f t="array" ref="B21">VLOOKUP($A21,CO_DEMO,2,FALSE)</f>
        <v>357978</v>
      </c>
      <c r="C21" s="327">
        <f>IFERROR(HLOOKUP(A21,'CO Data'!$A$5:$DM$31,3,FALSE),"NULL")</f>
        <v>73</v>
      </c>
      <c r="D21" s="253">
        <f>IFERROR(IF(vlookup(A21,'CO Data'!$A$321:$B$376,2,FALSE)="&lt;11 foster homes","2",vlookup(A21,'CO Data'!$A$321:$B$376,2,FALSE)),"2")</f>
        <v>3</v>
      </c>
      <c r="E21" s="253">
        <f>IFERROR((HLOOKUP(A21,'CO Data'!$A$5:$DM$31,19,FALSE)+HLOOKUP(A21,'CO Data'!$A$5:$DM$31,20,FALSE)+HLOOKUP(A21,'CO Data'!$A$5:$DM$31,21,FALSE)),"NULL")</f>
        <v>31</v>
      </c>
      <c r="F21" s="253">
        <f>IFERROR((HLOOKUP(A21,'CO Data'!$A$5:$DM$31,17,FALSE)+HLOOKUP(A21,'CO Data'!$A$5:$DM$31,18,FALSE)),"NULL")</f>
        <v>31</v>
      </c>
      <c r="G21" s="253" t="s">
        <v>63</v>
      </c>
      <c r="H21" s="254">
        <f>IFERROR(IF(vlookup(A21,'CO Data'!$A$255:$B$316,2,FALSE)="&lt;11","NULL",vlookup(A21,'CO Data'!$A$255:$B$316,2,FALSE)),"NULL")</f>
        <v>172</v>
      </c>
      <c r="I21" s="255" t="str">
        <f>IFERROR(IF(vlookup(A21,'CO Data'!$A$176:$B$202,2,FALSE)="&lt;11","NULL",vlookup(A21,'CO Data'!$A$176:$B$202,2,FALSE)),"NULL")</f>
        <v>NULL</v>
      </c>
      <c r="J21" s="478" t="s">
        <v>63</v>
      </c>
      <c r="K21" s="479">
        <f>IFERROR(IF(vlookup(A21,'CO Data'!$A$446:$B$497,2,FALSE)="&lt;11 clients","NULL",vlookup(A21,'CO Data'!$A$446:$B$497,2,FALSE)),"NULL")</f>
        <v>0.773</v>
      </c>
      <c r="L21" s="254">
        <f>IFERROR(IF(vlookup(A21,'CO Data'!$A$380:$B$442,2,FALSE)="&lt;11","NULL",vlookup(A21,'CO Data'!$A$380:$B$442,2,FALSE)),"NULL")</f>
        <v>236</v>
      </c>
      <c r="M21" s="260" t="s">
        <v>63</v>
      </c>
      <c r="N21" s="260" t="s">
        <v>63</v>
      </c>
      <c r="O21" s="260" t="s">
        <v>63</v>
      </c>
      <c r="P21" s="261">
        <f>ifna(vlookup(A21,'Population &amp; Church Numbers'!$A$247:$D$310,4,FALSE),"NULL")</f>
        <v>76</v>
      </c>
      <c r="Q21" s="329" t="s">
        <v>63</v>
      </c>
    </row>
    <row r="22">
      <c r="A22" s="188" t="s">
        <v>413</v>
      </c>
      <c r="B22" s="189">
        <f t="array" ref="B22">VLOOKUP($A22,CO_DEMO,2,FALSE)</f>
        <v>55731</v>
      </c>
      <c r="C22" s="333">
        <f>IFERROR(HLOOKUP(A22,'CO Data'!$A$5:$DM$31,3,FALSE),"NULL")</f>
        <v>3</v>
      </c>
      <c r="D22" s="265" t="str">
        <f>IFERROR(IF(vlookup(A22,'CO Data'!$A$321:$B$376,2,FALSE)="&lt;11 foster homes","2",vlookup(A22,'CO Data'!$A$321:$B$376,2,FALSE)),"2")</f>
        <v>2</v>
      </c>
      <c r="E22" s="265">
        <f>IFERROR((HLOOKUP(A22,'CO Data'!$A$5:$DM$31,19,FALSE)+HLOOKUP(A22,'CO Data'!$A$5:$DM$31,20,FALSE)+HLOOKUP(A22,'CO Data'!$A$5:$DM$31,21,FALSE)),"NULL")</f>
        <v>1</v>
      </c>
      <c r="F22" s="265">
        <f>IFERROR((HLOOKUP(A22,'CO Data'!$A$5:$DM$31,17,FALSE)+HLOOKUP(A22,'CO Data'!$A$5:$DM$31,18,FALSE)),"NULL")</f>
        <v>2</v>
      </c>
      <c r="G22" s="265" t="s">
        <v>63</v>
      </c>
      <c r="H22" s="266" t="str">
        <f>IFERROR(IF(vlookup(A22,'CO Data'!$A$255:$B$316,2,FALSE)="&lt;11","NULL",vlookup(A22,'CO Data'!$A$255:$B$316,2,FALSE)),"NULL")</f>
        <v>NULL</v>
      </c>
      <c r="I22" s="267" t="str">
        <f>IFERROR(IF(vlookup(A22,'CO Data'!$A$176:$B$202,2,FALSE)="&lt;11","NULL",vlookup(A22,'CO Data'!$A$176:$B$202,2,FALSE)),"NULL")</f>
        <v>NULL</v>
      </c>
      <c r="J22" s="491" t="s">
        <v>63</v>
      </c>
      <c r="K22" s="498" t="str">
        <f>IFERROR(IF(vlookup(A22,'CO Data'!$A$446:$B$497,2,FALSE)="&lt;11 clients","NULL",vlookup(A22,'CO Data'!$A$446:$B$497,2,FALSE)),"NULL")</f>
        <v>NULL</v>
      </c>
      <c r="L22" s="266">
        <f>IFERROR(IF(vlookup(A22,'CO Data'!$A$380:$B$442,2,FALSE)="&lt;11","NULL",vlookup(A22,'CO Data'!$A$380:$B$442,2,FALSE)),"NULL")</f>
        <v>29</v>
      </c>
      <c r="M22" s="271" t="s">
        <v>63</v>
      </c>
      <c r="N22" s="271" t="s">
        <v>63</v>
      </c>
      <c r="O22" s="271" t="s">
        <v>63</v>
      </c>
      <c r="P22" s="272">
        <f>ifna(vlookup(A22,'Population &amp; Church Numbers'!$A$247:$D$310,4,FALSE),"NULL")</f>
        <v>30</v>
      </c>
      <c r="Q22" s="334" t="s">
        <v>63</v>
      </c>
    </row>
    <row r="23">
      <c r="A23" s="326" t="s">
        <v>415</v>
      </c>
      <c r="B23" s="251">
        <f t="array" ref="B23">VLOOKUP($A23,CO_DEMO,2,FALSE)</f>
        <v>730395</v>
      </c>
      <c r="C23" s="327">
        <f>IFERROR(HLOOKUP(A23,'CO Data'!$A$5:$DM$31,3,FALSE),"NULL")</f>
        <v>614</v>
      </c>
      <c r="D23" s="253">
        <f>IFERROR(IF(vlookup(A23,'CO Data'!$A$321:$B$376,2,FALSE)="&lt;11 foster homes","2",vlookup(A23,'CO Data'!$A$321:$B$376,2,FALSE)),"2")</f>
        <v>4</v>
      </c>
      <c r="E23" s="253">
        <f>IFERROR((HLOOKUP(A23,'CO Data'!$A$5:$DM$31,19,FALSE)+HLOOKUP(A23,'CO Data'!$A$5:$DM$31,20,FALSE)+HLOOKUP(A23,'CO Data'!$A$5:$DM$31,21,FALSE)),"NULL")</f>
        <v>368</v>
      </c>
      <c r="F23" s="253">
        <f>IFERROR((HLOOKUP(A23,'CO Data'!$A$5:$DM$31,17,FALSE)+HLOOKUP(A23,'CO Data'!$A$5:$DM$31,18,FALSE)),"NULL")</f>
        <v>175</v>
      </c>
      <c r="G23" s="253" t="s">
        <v>63</v>
      </c>
      <c r="H23" s="254">
        <f>IFERROR(IF(vlookup(A23,'CO Data'!$A$255:$B$316,2,FALSE)="&lt;11","NULL",vlookup(A23,'CO Data'!$A$255:$B$316,2,FALSE)),"NULL")</f>
        <v>496</v>
      </c>
      <c r="I23" s="255">
        <f>IFERROR(IF(vlookup(A23,'CO Data'!$A$176:$B$202,2,FALSE)="&lt;11","NULL",vlookup(A23,'CO Data'!$A$176:$B$202,2,FALSE)),"NULL")</f>
        <v>63</v>
      </c>
      <c r="J23" s="478" t="s">
        <v>63</v>
      </c>
      <c r="K23" s="479">
        <f>IFERROR(IF(vlookup(A23,'CO Data'!$A$446:$B$497,2,FALSE)="&lt;11 clients","NULL",vlookup(A23,'CO Data'!$A$446:$B$497,2,FALSE)),"NULL")</f>
        <v>0.657</v>
      </c>
      <c r="L23" s="254">
        <f>IFERROR(IF(vlookup(A23,'CO Data'!$A$380:$B$442,2,FALSE)="&lt;11","NULL",vlookup(A23,'CO Data'!$A$380:$B$442,2,FALSE)),"NULL")</f>
        <v>879</v>
      </c>
      <c r="M23" s="260" t="s">
        <v>63</v>
      </c>
      <c r="N23" s="260" t="s">
        <v>63</v>
      </c>
      <c r="O23" s="260" t="s">
        <v>63</v>
      </c>
      <c r="P23" s="261">
        <f>ifna(vlookup(A23,'Population &amp; Church Numbers'!$A$247:$D$310,4,FALSE),"NULL")</f>
        <v>306</v>
      </c>
      <c r="Q23" s="329" t="s">
        <v>63</v>
      </c>
    </row>
    <row r="24">
      <c r="A24" s="188" t="s">
        <v>414</v>
      </c>
      <c r="B24" s="189">
        <f t="array" ref="B24">VLOOKUP($A24,CO_DEMO,2,FALSE)</f>
        <v>26062</v>
      </c>
      <c r="C24" s="333">
        <f>IFERROR(HLOOKUP(A24,'CO Data'!$A$5:$DM$31,3,FALSE),"NULL")</f>
        <v>11</v>
      </c>
      <c r="D24" s="265">
        <f>IFERROR(IF(vlookup(A24,'CO Data'!$A$321:$B$376,2,FALSE)="&lt;11 foster homes","2",vlookup(A24,'CO Data'!$A$321:$B$376,2,FALSE)),"2")</f>
        <v>4</v>
      </c>
      <c r="E24" s="265">
        <f>IFERROR((HLOOKUP(A24,'CO Data'!$A$5:$DM$31,19,FALSE)+HLOOKUP(A24,'CO Data'!$A$5:$DM$31,20,FALSE)+HLOOKUP(A24,'CO Data'!$A$5:$DM$31,21,FALSE)),"NULL")</f>
        <v>3</v>
      </c>
      <c r="F24" s="265">
        <f>IFERROR((HLOOKUP(A24,'CO Data'!$A$5:$DM$31,17,FALSE)+HLOOKUP(A24,'CO Data'!$A$5:$DM$31,18,FALSE)),"NULL")</f>
        <v>3</v>
      </c>
      <c r="G24" s="265" t="s">
        <v>63</v>
      </c>
      <c r="H24" s="266">
        <f>IFERROR(IF(vlookup(A24,'CO Data'!$A$255:$B$316,2,FALSE)="&lt;11","NULL",vlookup(A24,'CO Data'!$A$255:$B$316,2,FALSE)),"NULL")</f>
        <v>16</v>
      </c>
      <c r="I24" s="267" t="str">
        <f>IFERROR(IF(vlookup(A24,'CO Data'!$A$176:$B$202,2,FALSE)="&lt;11","NULL",vlookup(A24,'CO Data'!$A$176:$B$202,2,FALSE)),"NULL")</f>
        <v>NULL</v>
      </c>
      <c r="J24" s="491" t="s">
        <v>63</v>
      </c>
      <c r="K24" s="498">
        <f>IFERROR(IF(vlookup(A24,'CO Data'!$A$446:$B$497,2,FALSE)="&lt;11 clients","NULL",vlookup(A24,'CO Data'!$A$446:$B$497,2,FALSE)),"NULL")</f>
        <v>0.706</v>
      </c>
      <c r="L24" s="266">
        <f>IFERROR(IF(vlookup(A24,'CO Data'!$A$380:$B$442,2,FALSE)="&lt;11","NULL",vlookup(A24,'CO Data'!$A$380:$B$442,2,FALSE)),"NULL")</f>
        <v>24</v>
      </c>
      <c r="M24" s="271" t="s">
        <v>63</v>
      </c>
      <c r="N24" s="271" t="s">
        <v>63</v>
      </c>
      <c r="O24" s="271" t="s">
        <v>63</v>
      </c>
      <c r="P24" s="272">
        <f>ifna(vlookup(A24,'Population &amp; Church Numbers'!$A$247:$D$310,4,FALSE),"NULL")</f>
        <v>18</v>
      </c>
      <c r="Q24" s="334" t="s">
        <v>63</v>
      </c>
    </row>
    <row r="25">
      <c r="A25" s="326" t="s">
        <v>416</v>
      </c>
      <c r="B25" s="251">
        <f t="array" ref="B25">VLOOKUP($A25,CO_DEMO,2,FALSE)</f>
        <v>48939</v>
      </c>
      <c r="C25" s="327">
        <f>IFERROR(HLOOKUP(A25,'CO Data'!$A$5:$DM$31,3,FALSE),"NULL")</f>
        <v>33</v>
      </c>
      <c r="D25" s="253">
        <f>IFERROR(IF(vlookup(A25,'CO Data'!$A$321:$B$376,2,FALSE)="&lt;11 foster homes","2",vlookup(A25,'CO Data'!$A$321:$B$376,2,FALSE)),"2")</f>
        <v>3</v>
      </c>
      <c r="E25" s="253">
        <f>IFERROR((HLOOKUP(A25,'CO Data'!$A$5:$DM$31,19,FALSE)+HLOOKUP(A25,'CO Data'!$A$5:$DM$31,20,FALSE)+HLOOKUP(A25,'CO Data'!$A$5:$DM$31,21,FALSE)),"NULL")</f>
        <v>19</v>
      </c>
      <c r="F25" s="253">
        <f>IFERROR((HLOOKUP(A25,'CO Data'!$A$5:$DM$31,17,FALSE)+HLOOKUP(A25,'CO Data'!$A$5:$DM$31,18,FALSE)),"NULL")</f>
        <v>11</v>
      </c>
      <c r="G25" s="253" t="s">
        <v>63</v>
      </c>
      <c r="H25" s="254">
        <f>IFERROR(IF(vlookup(A25,'CO Data'!$A$255:$B$316,2,FALSE)="&lt;11","NULL",vlookup(A25,'CO Data'!$A$255:$B$316,2,FALSE)),"NULL")</f>
        <v>34</v>
      </c>
      <c r="I25" s="255" t="str">
        <f>IFERROR(IF(vlookup(A25,'CO Data'!$A$176:$B$202,2,FALSE)="&lt;11","NULL",vlookup(A25,'CO Data'!$A$176:$B$202,2,FALSE)),"NULL")</f>
        <v>NULL</v>
      </c>
      <c r="J25" s="478" t="s">
        <v>63</v>
      </c>
      <c r="K25" s="479">
        <f>IFERROR(IF(vlookup(A25,'CO Data'!$A$446:$B$497,2,FALSE)="&lt;11 clients","NULL",vlookup(A25,'CO Data'!$A$446:$B$497,2,FALSE)),"NULL")</f>
        <v>0.714</v>
      </c>
      <c r="L25" s="254">
        <f>IFERROR(IF(vlookup(A25,'CO Data'!$A$380:$B$442,2,FALSE)="&lt;11","NULL",vlookup(A25,'CO Data'!$A$380:$B$442,2,FALSE)),"NULL")</f>
        <v>100</v>
      </c>
      <c r="M25" s="260" t="s">
        <v>63</v>
      </c>
      <c r="N25" s="260" t="s">
        <v>63</v>
      </c>
      <c r="O25" s="260" t="s">
        <v>63</v>
      </c>
      <c r="P25" s="261">
        <f>ifna(vlookup(A25,'Population &amp; Church Numbers'!$A$247:$D$310,4,FALSE),"NULL")</f>
        <v>39</v>
      </c>
      <c r="Q25" s="329" t="s">
        <v>63</v>
      </c>
    </row>
    <row r="26">
      <c r="A26" s="188" t="s">
        <v>417</v>
      </c>
      <c r="B26" s="189">
        <f t="array" ref="B26">VLOOKUP($A26,CO_DEMO,2,FALSE)</f>
        <v>61685</v>
      </c>
      <c r="C26" s="333">
        <f>IFERROR(HLOOKUP(A26,'CO Data'!$A$5:$DM$31,3,FALSE),"NULL")</f>
        <v>26</v>
      </c>
      <c r="D26" s="265" t="str">
        <f>IFERROR(IF(vlookup(A26,'CO Data'!$A$321:$B$376,2,FALSE)="&lt;11 foster homes","2",vlookup(A26,'CO Data'!$A$321:$B$376,2,FALSE)),"2")</f>
        <v>2</v>
      </c>
      <c r="E26" s="265">
        <f>IFERROR((HLOOKUP(A26,'CO Data'!$A$5:$DM$31,19,FALSE)+HLOOKUP(A26,'CO Data'!$A$5:$DM$31,20,FALSE)+HLOOKUP(A26,'CO Data'!$A$5:$DM$31,21,FALSE)),"NULL")</f>
        <v>12</v>
      </c>
      <c r="F26" s="265">
        <f>IFERROR((HLOOKUP(A26,'CO Data'!$A$5:$DM$31,17,FALSE)+HLOOKUP(A26,'CO Data'!$A$5:$DM$31,18,FALSE)),"NULL")</f>
        <v>11</v>
      </c>
      <c r="G26" s="265" t="s">
        <v>63</v>
      </c>
      <c r="H26" s="266">
        <f>IFERROR(IF(vlookup(A26,'CO Data'!$A$255:$B$316,2,FALSE)="&lt;11","NULL",vlookup(A26,'CO Data'!$A$255:$B$316,2,FALSE)),"NULL")</f>
        <v>24</v>
      </c>
      <c r="I26" s="267" t="str">
        <f>IFERROR(IF(vlookup(A26,'CO Data'!$A$176:$B$202,2,FALSE)="&lt;11","NULL",vlookup(A26,'CO Data'!$A$176:$B$202,2,FALSE)),"NULL")</f>
        <v>NULL</v>
      </c>
      <c r="J26" s="491" t="s">
        <v>63</v>
      </c>
      <c r="K26" s="498">
        <f>IFERROR(IF(vlookup(A26,'CO Data'!$A$446:$B$497,2,FALSE)="&lt;11 clients","NULL",vlookup(A26,'CO Data'!$A$446:$B$497,2,FALSE)),"NULL")</f>
        <v>0.571</v>
      </c>
      <c r="L26" s="266">
        <f>IFERROR(IF(vlookup(A26,'CO Data'!$A$380:$B$442,2,FALSE)="&lt;11","NULL",vlookup(A26,'CO Data'!$A$380:$B$442,2,FALSE)),"NULL")</f>
        <v>61</v>
      </c>
      <c r="M26" s="271" t="s">
        <v>63</v>
      </c>
      <c r="N26" s="271" t="s">
        <v>63</v>
      </c>
      <c r="O26" s="271" t="s">
        <v>63</v>
      </c>
      <c r="P26" s="272">
        <f>ifna(vlookup(A26,'Population &amp; Church Numbers'!$A$247:$D$310,4,FALSE),"NULL")</f>
        <v>49</v>
      </c>
      <c r="Q26" s="334" t="s">
        <v>63</v>
      </c>
    </row>
    <row r="27">
      <c r="A27" s="326" t="s">
        <v>418</v>
      </c>
      <c r="B27" s="251">
        <f t="array" ref="B27">VLOOKUP($A27,CO_DEMO,2,FALSE)</f>
        <v>5808</v>
      </c>
      <c r="C27" s="327">
        <f>IFERROR(HLOOKUP(A27,'CO Data'!$A$5:$DM$31,3,FALSE),"NULL")</f>
        <v>1</v>
      </c>
      <c r="D27" s="253" t="str">
        <f>IFERROR(IF(vlookup(A27,'CO Data'!$A$321:$B$376,2,FALSE)="&lt;11 foster homes","2",vlookup(A27,'CO Data'!$A$321:$B$376,2,FALSE)),"2")</f>
        <v>2</v>
      </c>
      <c r="E27" s="253">
        <f>IFERROR((HLOOKUP(A27,'CO Data'!$A$5:$DM$31,19,FALSE)+HLOOKUP(A27,'CO Data'!$A$5:$DM$31,20,FALSE)+HLOOKUP(A27,'CO Data'!$A$5:$DM$31,21,FALSE)),"NULL")</f>
        <v>0</v>
      </c>
      <c r="F27" s="253">
        <f>IFERROR((HLOOKUP(A27,'CO Data'!$A$5:$DM$31,17,FALSE)+HLOOKUP(A27,'CO Data'!$A$5:$DM$31,18,FALSE)),"NULL")</f>
        <v>1</v>
      </c>
      <c r="G27" s="253" t="s">
        <v>63</v>
      </c>
      <c r="H27" s="254" t="str">
        <f>IFERROR(IF(vlookup(A27,'CO Data'!$A$255:$B$316,2,FALSE)="&lt;11","NULL",vlookup(A27,'CO Data'!$A$255:$B$316,2,FALSE)),"NULL")</f>
        <v>NULL</v>
      </c>
      <c r="I27" s="255" t="str">
        <f>IFERROR(IF(vlookup(A27,'CO Data'!$A$176:$B$202,2,FALSE)="&lt;11","NULL",vlookup(A27,'CO Data'!$A$176:$B$202,2,FALSE)),"NULL")</f>
        <v>NULL</v>
      </c>
      <c r="J27" s="478" t="s">
        <v>63</v>
      </c>
      <c r="K27" s="479" t="str">
        <f>IFERROR(IF(vlookup(A27,'CO Data'!$A$446:$B$497,2,FALSE)="&lt;11 clients","NULL",vlookup(A27,'CO Data'!$A$446:$B$497,2,FALSE)),"NULL")</f>
        <v>NULL</v>
      </c>
      <c r="L27" s="254" t="str">
        <f>IFERROR(IF(vlookup(A27,'CO Data'!$A$380:$B$442,2,FALSE)="&lt;11","NULL",vlookup(A27,'CO Data'!$A$380:$B$442,2,FALSE)),"NULL")</f>
        <v>NULL</v>
      </c>
      <c r="M27" s="260" t="s">
        <v>63</v>
      </c>
      <c r="N27" s="260" t="s">
        <v>63</v>
      </c>
      <c r="O27" s="260" t="s">
        <v>63</v>
      </c>
      <c r="P27" s="261">
        <f>ifna(vlookup(A27,'Population &amp; Church Numbers'!$A$247:$D$310,4,FALSE),"NULL")</f>
        <v>3</v>
      </c>
      <c r="Q27" s="329" t="s">
        <v>63</v>
      </c>
    </row>
    <row r="28">
      <c r="A28" s="188" t="s">
        <v>421</v>
      </c>
      <c r="B28" s="189">
        <f t="array" ref="B28">VLOOKUP($A28,CO_DEMO,2,FALSE)</f>
        <v>15717</v>
      </c>
      <c r="C28" s="333">
        <f>IFERROR(HLOOKUP(A28,'CO Data'!$A$5:$DM$31,3,FALSE),"NULL")</f>
        <v>4</v>
      </c>
      <c r="D28" s="265" t="str">
        <f>IFERROR(IF(vlookup(A28,'CO Data'!$A$321:$B$376,2,FALSE)="&lt;11 foster homes","2",vlookup(A28,'CO Data'!$A$321:$B$376,2,FALSE)),"2")</f>
        <v>2</v>
      </c>
      <c r="E28" s="265">
        <f>IFERROR((HLOOKUP(A28,'CO Data'!$A$5:$DM$31,19,FALSE)+HLOOKUP(A28,'CO Data'!$A$5:$DM$31,20,FALSE)+HLOOKUP(A28,'CO Data'!$A$5:$DM$31,21,FALSE)),"NULL")</f>
        <v>1</v>
      </c>
      <c r="F28" s="265">
        <f>IFERROR((HLOOKUP(A28,'CO Data'!$A$5:$DM$31,17,FALSE)+HLOOKUP(A28,'CO Data'!$A$5:$DM$31,18,FALSE)),"NULL")</f>
        <v>0</v>
      </c>
      <c r="G28" s="265" t="s">
        <v>63</v>
      </c>
      <c r="H28" s="266" t="str">
        <f>IFERROR(IF(vlookup(A28,'CO Data'!$A$255:$B$316,2,FALSE)="&lt;11","NULL",vlookup(A28,'CO Data'!$A$255:$B$316,2,FALSE)),"NULL")</f>
        <v>NULL</v>
      </c>
      <c r="I28" s="267" t="str">
        <f>IFERROR(IF(vlookup(A28,'CO Data'!$A$176:$B$202,2,FALSE)="&lt;11","NULL",vlookup(A28,'CO Data'!$A$176:$B$202,2,FALSE)),"NULL")</f>
        <v>NULL</v>
      </c>
      <c r="J28" s="491" t="s">
        <v>63</v>
      </c>
      <c r="K28" s="498" t="str">
        <f>IFERROR(IF(vlookup(A28,'CO Data'!$A$446:$B$497,2,FALSE)="&lt;11 clients","NULL",vlookup(A28,'CO Data'!$A$446:$B$497,2,FALSE)),"NULL")</f>
        <v>NULL</v>
      </c>
      <c r="L28" s="266" t="str">
        <f>IFERROR(IF(vlookup(A28,'CO Data'!$A$380:$B$442,2,FALSE)="&lt;11","NULL",vlookup(A28,'CO Data'!$A$380:$B$442,2,FALSE)),"NULL")</f>
        <v>NULL</v>
      </c>
      <c r="M28" s="271" t="s">
        <v>63</v>
      </c>
      <c r="N28" s="271" t="s">
        <v>63</v>
      </c>
      <c r="O28" s="271" t="s">
        <v>63</v>
      </c>
      <c r="P28" s="272">
        <f>ifna(vlookup(A28,'Population &amp; Church Numbers'!$A$247:$D$310,4,FALSE),"NULL")</f>
        <v>15</v>
      </c>
      <c r="Q28" s="334" t="s">
        <v>63</v>
      </c>
    </row>
    <row r="29">
      <c r="A29" s="326" t="s">
        <v>422</v>
      </c>
      <c r="B29" s="251">
        <f t="array" ref="B29">VLOOKUP($A29,CO_DEMO,2,FALSE)</f>
        <v>16918</v>
      </c>
      <c r="C29" s="327">
        <f>IFERROR(HLOOKUP(A29,'CO Data'!$A$5:$DM$31,3,FALSE),"NULL")</f>
        <v>7</v>
      </c>
      <c r="D29" s="253" t="str">
        <f>IFERROR(IF(vlookup(A29,'CO Data'!$A$321:$B$376,2,FALSE)="&lt;11 foster homes","2",vlookup(A29,'CO Data'!$A$321:$B$376,2,FALSE)),"2")</f>
        <v>2</v>
      </c>
      <c r="E29" s="253">
        <f>IFERROR((HLOOKUP(A29,'CO Data'!$A$5:$DM$31,19,FALSE)+HLOOKUP(A29,'CO Data'!$A$5:$DM$31,20,FALSE)+HLOOKUP(A29,'CO Data'!$A$5:$DM$31,21,FALSE)),"NULL")</f>
        <v>3</v>
      </c>
      <c r="F29" s="253">
        <f>IFERROR((HLOOKUP(A29,'CO Data'!$A$5:$DM$31,17,FALSE)+HLOOKUP(A29,'CO Data'!$A$5:$DM$31,18,FALSE)),"NULL")</f>
        <v>4</v>
      </c>
      <c r="G29" s="253" t="s">
        <v>63</v>
      </c>
      <c r="H29" s="254" t="str">
        <f>IFERROR(IF(vlookup(A29,'CO Data'!$A$255:$B$316,2,FALSE)="&lt;11","NULL",vlookup(A29,'CO Data'!$A$255:$B$316,2,FALSE)),"NULL")</f>
        <v>NULL</v>
      </c>
      <c r="I29" s="255" t="str">
        <f>IFERROR(IF(vlookup(A29,'CO Data'!$A$176:$B$202,2,FALSE)="&lt;11","NULL",vlookup(A29,'CO Data'!$A$176:$B$202,2,FALSE)),"NULL")</f>
        <v>NULL</v>
      </c>
      <c r="J29" s="478" t="s">
        <v>63</v>
      </c>
      <c r="K29" s="479" t="str">
        <f>IFERROR(IF(vlookup(A29,'CO Data'!$A$446:$B$497,2,FALSE)="&lt;11 clients","NULL",vlookup(A29,'CO Data'!$A$446:$B$497,2,FALSE)),"NULL")</f>
        <v>NULL</v>
      </c>
      <c r="L29" s="254">
        <f>IFERROR(IF(vlookup(A29,'CO Data'!$A$380:$B$442,2,FALSE)="&lt;11","NULL",vlookup(A29,'CO Data'!$A$380:$B$442,2,FALSE)),"NULL")</f>
        <v>13</v>
      </c>
      <c r="M29" s="260" t="s">
        <v>63</v>
      </c>
      <c r="N29" s="260" t="s">
        <v>63</v>
      </c>
      <c r="O29" s="260" t="s">
        <v>63</v>
      </c>
      <c r="P29" s="261">
        <f>ifna(vlookup(A29,'Population &amp; Church Numbers'!$A$247:$D$310,4,FALSE),"NULL")</f>
        <v>15</v>
      </c>
      <c r="Q29" s="329" t="s">
        <v>63</v>
      </c>
    </row>
    <row r="30">
      <c r="A30" s="188" t="s">
        <v>424</v>
      </c>
      <c r="B30" s="189">
        <f t="array" ref="B30">VLOOKUP($A30,CO_DEMO,2,FALSE)</f>
        <v>788</v>
      </c>
      <c r="C30" s="333" t="str">
        <f>IFERROR(HLOOKUP(A30,'CO Data'!$A$5:$DM$31,3,FALSE),"NULL")</f>
        <v>NULL</v>
      </c>
      <c r="D30" s="265" t="str">
        <f>IFERROR(IF(vlookup(A30,'CO Data'!$A$321:$B$376,2,FALSE)="&lt;11 foster homes","2",vlookup(A30,'CO Data'!$A$321:$B$376,2,FALSE)),"2")</f>
        <v>2</v>
      </c>
      <c r="E30" s="265" t="str">
        <f>IFERROR((HLOOKUP(A30,'CO Data'!$A$5:$DM$31,19,FALSE)+HLOOKUP(A30,'CO Data'!$A$5:$DM$31,20,FALSE)+HLOOKUP(A30,'CO Data'!$A$5:$DM$31,21,FALSE)),"NULL")</f>
        <v>NULL</v>
      </c>
      <c r="F30" s="265" t="str">
        <f>IFERROR((HLOOKUP(A30,'CO Data'!$A$5:$DM$31,17,FALSE)+HLOOKUP(A30,'CO Data'!$A$5:$DM$31,18,FALSE)),"NULL")</f>
        <v>NULL</v>
      </c>
      <c r="G30" s="265" t="s">
        <v>63</v>
      </c>
      <c r="H30" s="266" t="str">
        <f>IFERROR(IF(vlookup(A30,'CO Data'!$A$255:$B$316,2,FALSE)="&lt;11","NULL",vlookup(A30,'CO Data'!$A$255:$B$316,2,FALSE)),"NULL")</f>
        <v>NULL</v>
      </c>
      <c r="I30" s="267" t="str">
        <f>IFERROR(IF(vlookup(A30,'CO Data'!$A$176:$B$202,2,FALSE)="&lt;11","NULL",vlookup(A30,'CO Data'!$A$176:$B$202,2,FALSE)),"NULL")</f>
        <v>NULL</v>
      </c>
      <c r="J30" s="491" t="s">
        <v>63</v>
      </c>
      <c r="K30" s="498" t="str">
        <f>IFERROR(IF(vlookup(A30,'CO Data'!$A$446:$B$497,2,FALSE)="&lt;11 clients","NULL",vlookup(A30,'CO Data'!$A$446:$B$497,2,FALSE)),"NULL")</f>
        <v>NULL</v>
      </c>
      <c r="L30" s="266" t="str">
        <f>IFERROR(IF(vlookup(A30,'CO Data'!$A$380:$B$442,2,FALSE)="&lt;11","NULL",vlookup(A30,'CO Data'!$A$380:$B$442,2,FALSE)),"NULL")</f>
        <v>NULL</v>
      </c>
      <c r="M30" s="271" t="s">
        <v>63</v>
      </c>
      <c r="N30" s="271" t="s">
        <v>63</v>
      </c>
      <c r="O30" s="271" t="s">
        <v>63</v>
      </c>
      <c r="P30" s="272" t="str">
        <f>ifna(vlookup(A30,'Population &amp; Church Numbers'!$A$247:$D$310,4,FALSE),"NULL")</f>
        <v>NULL</v>
      </c>
      <c r="Q30" s="334" t="s">
        <v>63</v>
      </c>
    </row>
    <row r="31">
      <c r="A31" s="326" t="s">
        <v>425</v>
      </c>
      <c r="B31" s="251">
        <f t="array" ref="B31">VLOOKUP($A31,CO_DEMO,2,FALSE)</f>
        <v>6820</v>
      </c>
      <c r="C31" s="327">
        <f>IFERROR(HLOOKUP(A31,'CO Data'!$A$5:$DM$31,3,FALSE),"NULL")</f>
        <v>12</v>
      </c>
      <c r="D31" s="253" t="str">
        <f>IFERROR(IF(vlookup(A31,'CO Data'!$A$321:$B$376,2,FALSE)="&lt;11 foster homes","2",vlookup(A31,'CO Data'!$A$321:$B$376,2,FALSE)),"2")</f>
        <v>2</v>
      </c>
      <c r="E31" s="253">
        <f>IFERROR((HLOOKUP(A31,'CO Data'!$A$5:$DM$31,19,FALSE)+HLOOKUP(A31,'CO Data'!$A$5:$DM$31,20,FALSE)+HLOOKUP(A31,'CO Data'!$A$5:$DM$31,21,FALSE)),"NULL")</f>
        <v>9</v>
      </c>
      <c r="F31" s="253">
        <f>IFERROR((HLOOKUP(A31,'CO Data'!$A$5:$DM$31,17,FALSE)+HLOOKUP(A31,'CO Data'!$A$5:$DM$31,18,FALSE)),"NULL")</f>
        <v>1</v>
      </c>
      <c r="G31" s="253" t="s">
        <v>63</v>
      </c>
      <c r="H31" s="254" t="str">
        <f>IFERROR(IF(vlookup(A31,'CO Data'!$A$255:$B$316,2,FALSE)="&lt;11","NULL",vlookup(A31,'CO Data'!$A$255:$B$316,2,FALSE)),"NULL")</f>
        <v>NULL</v>
      </c>
      <c r="I31" s="255" t="str">
        <f>IFERROR(IF(vlookup(A31,'CO Data'!$A$176:$B$202,2,FALSE)="&lt;11","NULL",vlookup(A31,'CO Data'!$A$176:$B$202,2,FALSE)),"NULL")</f>
        <v>NULL</v>
      </c>
      <c r="J31" s="478" t="s">
        <v>63</v>
      </c>
      <c r="K31" s="479">
        <f>IFERROR(IF(vlookup(A31,'CO Data'!$A$446:$B$497,2,FALSE)="&lt;11 clients","NULL",vlookup(A31,'CO Data'!$A$446:$B$497,2,FALSE)),"NULL")</f>
        <v>0.923</v>
      </c>
      <c r="L31" s="254">
        <f>IFERROR(IF(vlookup(A31,'CO Data'!$A$380:$B$442,2,FALSE)="&lt;11","NULL",vlookup(A31,'CO Data'!$A$380:$B$442,2,FALSE)),"NULL")</f>
        <v>31</v>
      </c>
      <c r="M31" s="260" t="s">
        <v>63</v>
      </c>
      <c r="N31" s="260" t="s">
        <v>63</v>
      </c>
      <c r="O31" s="260" t="s">
        <v>63</v>
      </c>
      <c r="P31" s="261">
        <f>ifna(vlookup(A31,'Population &amp; Church Numbers'!$A$247:$D$310,4,FALSE),"NULL")</f>
        <v>16</v>
      </c>
      <c r="Q31" s="329" t="s">
        <v>63</v>
      </c>
    </row>
    <row r="32">
      <c r="A32" s="188" t="s">
        <v>142</v>
      </c>
      <c r="B32" s="189">
        <f t="array" ref="B32">VLOOKUP($A32,CO_DEMO,2,FALSE)</f>
        <v>1379</v>
      </c>
      <c r="C32" s="333" t="str">
        <f>IFERROR(HLOOKUP(A32,'CO Data'!$A$5:$DM$31,3,FALSE),"NULL")</f>
        <v>NULL</v>
      </c>
      <c r="D32" s="265" t="str">
        <f>IFERROR(IF(vlookup(A32,'CO Data'!$A$321:$B$376,2,FALSE)="&lt;11 foster homes","2",vlookup(A32,'CO Data'!$A$321:$B$376,2,FALSE)),"2")</f>
        <v>2</v>
      </c>
      <c r="E32" s="265" t="str">
        <f>IFERROR((HLOOKUP(A32,'CO Data'!$A$5:$DM$31,19,FALSE)+HLOOKUP(A32,'CO Data'!$A$5:$DM$31,20,FALSE)+HLOOKUP(A32,'CO Data'!$A$5:$DM$31,21,FALSE)),"NULL")</f>
        <v>NULL</v>
      </c>
      <c r="F32" s="265" t="str">
        <f>IFERROR((HLOOKUP(A32,'CO Data'!$A$5:$DM$31,17,FALSE)+HLOOKUP(A32,'CO Data'!$A$5:$DM$31,18,FALSE)),"NULL")</f>
        <v>NULL</v>
      </c>
      <c r="G32" s="265" t="s">
        <v>63</v>
      </c>
      <c r="H32" s="266" t="str">
        <f>IFERROR(IF(vlookup(A32,'CO Data'!$A$255:$B$316,2,FALSE)="&lt;11","NULL",vlookup(A32,'CO Data'!$A$255:$B$316,2,FALSE)),"NULL")</f>
        <v>NULL</v>
      </c>
      <c r="I32" s="267" t="str">
        <f>IFERROR(IF(vlookup(A32,'CO Data'!$A$176:$B$202,2,FALSE)="&lt;11","NULL",vlookup(A32,'CO Data'!$A$176:$B$202,2,FALSE)),"NULL")</f>
        <v>NULL</v>
      </c>
      <c r="J32" s="491" t="s">
        <v>63</v>
      </c>
      <c r="K32" s="498" t="str">
        <f>IFERROR(IF(vlookup(A32,'CO Data'!$A$446:$B$497,2,FALSE)="&lt;11 clients","NULL",vlookup(A32,'CO Data'!$A$446:$B$497,2,FALSE)),"NULL")</f>
        <v>NULL</v>
      </c>
      <c r="L32" s="266" t="str">
        <f>IFERROR(IF(vlookup(A32,'CO Data'!$A$380:$B$442,2,FALSE)="&lt;11","NULL",vlookup(A32,'CO Data'!$A$380:$B$442,2,FALSE)),"NULL")</f>
        <v>NULL</v>
      </c>
      <c r="M32" s="271" t="s">
        <v>63</v>
      </c>
      <c r="N32" s="271" t="s">
        <v>63</v>
      </c>
      <c r="O32" s="271" t="s">
        <v>63</v>
      </c>
      <c r="P32" s="272">
        <f>ifna(vlookup(A32,'Population &amp; Church Numbers'!$A$247:$D$310,4,FALSE),"NULL")</f>
        <v>2</v>
      </c>
      <c r="Q32" s="334" t="s">
        <v>63</v>
      </c>
    </row>
    <row r="33">
      <c r="A33" s="326" t="s">
        <v>143</v>
      </c>
      <c r="B33" s="251">
        <f t="array" ref="B33">VLOOKUP($A33,CO_DEMO,2,FALSE)</f>
        <v>582910</v>
      </c>
      <c r="C33" s="327">
        <f>IFERROR(HLOOKUP(A33,'CO Data'!$A$5:$DM$31,3,FALSE),"NULL")</f>
        <v>223</v>
      </c>
      <c r="D33" s="253">
        <f>IFERROR(IF(vlookup(A33,'CO Data'!$A$321:$B$376,2,FALSE)="&lt;11 foster homes","2",vlookup(A33,'CO Data'!$A$321:$B$376,2,FALSE)),"2")</f>
        <v>3</v>
      </c>
      <c r="E33" s="253">
        <f>IFERROR((HLOOKUP(A33,'CO Data'!$A$5:$DM$31,19,FALSE)+HLOOKUP(A33,'CO Data'!$A$5:$DM$31,20,FALSE)+HLOOKUP(A33,'CO Data'!$A$5:$DM$31,21,FALSE)),"NULL")</f>
        <v>85</v>
      </c>
      <c r="F33" s="253">
        <f>IFERROR((HLOOKUP(A33,'CO Data'!$A$5:$DM$31,17,FALSE)+HLOOKUP(A33,'CO Data'!$A$5:$DM$31,18,FALSE)),"NULL")</f>
        <v>105</v>
      </c>
      <c r="G33" s="253" t="s">
        <v>63</v>
      </c>
      <c r="H33" s="254">
        <f>IFERROR(IF(vlookup(A33,'CO Data'!$A$255:$B$316,2,FALSE)="&lt;11","NULL",vlookup(A33,'CO Data'!$A$255:$B$316,2,FALSE)),"NULL")</f>
        <v>324</v>
      </c>
      <c r="I33" s="255">
        <f>IFERROR(IF(vlookup(A33,'CO Data'!$A$176:$B$202,2,FALSE)="&lt;11","NULL",vlookup(A33,'CO Data'!$A$176:$B$202,2,FALSE)),"NULL")</f>
        <v>32</v>
      </c>
      <c r="J33" s="478" t="s">
        <v>63</v>
      </c>
      <c r="K33" s="479">
        <f>IFERROR(IF(vlookup(A33,'CO Data'!$A$446:$B$497,2,FALSE)="&lt;11 clients","NULL",vlookup(A33,'CO Data'!$A$446:$B$497,2,FALSE)),"NULL")</f>
        <v>0.689</v>
      </c>
      <c r="L33" s="254">
        <f>IFERROR(IF(vlookup(A33,'CO Data'!$A$380:$B$442,2,FALSE)="&lt;11","NULL",vlookup(A33,'CO Data'!$A$380:$B$442,2,FALSE)),"NULL")</f>
        <v>377</v>
      </c>
      <c r="M33" s="260" t="s">
        <v>63</v>
      </c>
      <c r="N33" s="260" t="s">
        <v>63</v>
      </c>
      <c r="O33" s="260" t="s">
        <v>63</v>
      </c>
      <c r="P33" s="261">
        <f>ifna(vlookup(A33,'Population &amp; Church Numbers'!$A$247:$D$310,4,FALSE),"NULL")</f>
        <v>224</v>
      </c>
      <c r="Q33" s="329" t="s">
        <v>63</v>
      </c>
    </row>
    <row r="34">
      <c r="A34" s="188" t="s">
        <v>427</v>
      </c>
      <c r="B34" s="189">
        <f t="array" ref="B34">VLOOKUP($A34,CO_DEMO,2,FALSE)</f>
        <v>1446</v>
      </c>
      <c r="C34" s="333" t="str">
        <f>IFERROR(HLOOKUP(A34,'CO Data'!$A$5:$DM$31,3,FALSE),"NULL")</f>
        <v>NULL</v>
      </c>
      <c r="D34" s="265" t="str">
        <f>IFERROR(IF(vlookup(A34,'CO Data'!$A$321:$B$376,2,FALSE)="&lt;11 foster homes","2",vlookup(A34,'CO Data'!$A$321:$B$376,2,FALSE)),"2")</f>
        <v>2</v>
      </c>
      <c r="E34" s="265" t="str">
        <f>IFERROR((HLOOKUP(A34,'CO Data'!$A$5:$DM$31,19,FALSE)+HLOOKUP(A34,'CO Data'!$A$5:$DM$31,20,FALSE)+HLOOKUP(A34,'CO Data'!$A$5:$DM$31,21,FALSE)),"NULL")</f>
        <v>NULL</v>
      </c>
      <c r="F34" s="265" t="str">
        <f>IFERROR((HLOOKUP(A34,'CO Data'!$A$5:$DM$31,17,FALSE)+HLOOKUP(A34,'CO Data'!$A$5:$DM$31,18,FALSE)),"NULL")</f>
        <v>NULL</v>
      </c>
      <c r="G34" s="265" t="s">
        <v>63</v>
      </c>
      <c r="H34" s="266" t="str">
        <f>IFERROR(IF(vlookup(A34,'CO Data'!$A$255:$B$316,2,FALSE)="&lt;11","NULL",vlookup(A34,'CO Data'!$A$255:$B$316,2,FALSE)),"NULL")</f>
        <v>NULL</v>
      </c>
      <c r="I34" s="267" t="str">
        <f>IFERROR(IF(vlookup(A34,'CO Data'!$A$176:$B$202,2,FALSE)="&lt;11","NULL",vlookup(A34,'CO Data'!$A$176:$B$202,2,FALSE)),"NULL")</f>
        <v>NULL</v>
      </c>
      <c r="J34" s="491" t="s">
        <v>63</v>
      </c>
      <c r="K34" s="498" t="str">
        <f>IFERROR(IF(vlookup(A34,'CO Data'!$A$446:$B$497,2,FALSE)="&lt;11 clients","NULL",vlookup(A34,'CO Data'!$A$446:$B$497,2,FALSE)),"NULL")</f>
        <v>NULL</v>
      </c>
      <c r="L34" s="266" t="str">
        <f>IFERROR(IF(vlookup(A34,'CO Data'!$A$380:$B$442,2,FALSE)="&lt;11","NULL",vlookup(A34,'CO Data'!$A$380:$B$442,2,FALSE)),"NULL")</f>
        <v>NULL</v>
      </c>
      <c r="M34" s="271" t="s">
        <v>63</v>
      </c>
      <c r="N34" s="271" t="s">
        <v>63</v>
      </c>
      <c r="O34" s="271" t="s">
        <v>63</v>
      </c>
      <c r="P34" s="272">
        <f>ifna(vlookup(A34,'Population &amp; Church Numbers'!$A$247:$D$310,4,FALSE),"NULL")</f>
        <v>7</v>
      </c>
      <c r="Q34" s="334" t="s">
        <v>63</v>
      </c>
    </row>
    <row r="35">
      <c r="A35" s="326" t="s">
        <v>428</v>
      </c>
      <c r="B35" s="251">
        <f t="array" ref="B35">VLOOKUP($A35,CO_DEMO,2,FALSE)</f>
        <v>7087</v>
      </c>
      <c r="C35" s="327">
        <f>IFERROR(HLOOKUP(A35,'CO Data'!$A$5:$DM$31,3,FALSE),"NULL")</f>
        <v>8</v>
      </c>
      <c r="D35" s="253" t="str">
        <f>IFERROR(IF(vlookup(A35,'CO Data'!$A$321:$B$376,2,FALSE)="&lt;11 foster homes","2",vlookup(A35,'CO Data'!$A$321:$B$376,2,FALSE)),"2")</f>
        <v>2</v>
      </c>
      <c r="E35" s="253">
        <f>IFERROR((HLOOKUP(A35,'CO Data'!$A$5:$DM$31,19,FALSE)+HLOOKUP(A35,'CO Data'!$A$5:$DM$31,20,FALSE)+HLOOKUP(A35,'CO Data'!$A$5:$DM$31,21,FALSE)),"NULL")</f>
        <v>2</v>
      </c>
      <c r="F35" s="253">
        <f>IFERROR((HLOOKUP(A35,'CO Data'!$A$5:$DM$31,17,FALSE)+HLOOKUP(A35,'CO Data'!$A$5:$DM$31,18,FALSE)),"NULL")</f>
        <v>3</v>
      </c>
      <c r="G35" s="253" t="s">
        <v>63</v>
      </c>
      <c r="H35" s="254" t="str">
        <f>IFERROR(IF(vlookup(A35,'CO Data'!$A$255:$B$316,2,FALSE)="&lt;11","NULL",vlookup(A35,'CO Data'!$A$255:$B$316,2,FALSE)),"NULL")</f>
        <v>NULL</v>
      </c>
      <c r="I35" s="255" t="str">
        <f>IFERROR(IF(vlookup(A35,'CO Data'!$A$176:$B$202,2,FALSE)="&lt;11","NULL",vlookup(A35,'CO Data'!$A$176:$B$202,2,FALSE)),"NULL")</f>
        <v>NULL</v>
      </c>
      <c r="J35" s="478" t="s">
        <v>63</v>
      </c>
      <c r="K35" s="479" t="str">
        <f>IFERROR(IF(vlookup(A35,'CO Data'!$A$446:$B$497,2,FALSE)="&lt;11 clients","NULL",vlookup(A35,'CO Data'!$A$446:$B$497,2,FALSE)),"NULL")</f>
        <v>NULL</v>
      </c>
      <c r="L35" s="254">
        <f>IFERROR(IF(vlookup(A35,'CO Data'!$A$380:$B$442,2,FALSE)="&lt;11","NULL",vlookup(A35,'CO Data'!$A$380:$B$442,2,FALSE)),"NULL")</f>
        <v>15</v>
      </c>
      <c r="M35" s="260" t="s">
        <v>63</v>
      </c>
      <c r="N35" s="260" t="s">
        <v>63</v>
      </c>
      <c r="O35" s="260" t="s">
        <v>63</v>
      </c>
      <c r="P35" s="261">
        <f>ifna(vlookup(A35,'Population &amp; Church Numbers'!$A$247:$D$310,4,FALSE),"NULL")</f>
        <v>21</v>
      </c>
      <c r="Q35" s="329" t="s">
        <v>63</v>
      </c>
    </row>
    <row r="36">
      <c r="A36" s="188" t="s">
        <v>337</v>
      </c>
      <c r="B36" s="189">
        <f t="array" ref="B36">VLOOKUP($A36,CO_DEMO,2,FALSE)</f>
        <v>7436</v>
      </c>
      <c r="C36" s="333">
        <f>IFERROR(HLOOKUP(A36,'CO Data'!$A$5:$DM$31,3,FALSE),"NULL")</f>
        <v>3</v>
      </c>
      <c r="D36" s="265" t="str">
        <f>IFERROR(IF(vlookup(A36,'CO Data'!$A$321:$B$376,2,FALSE)="&lt;11 foster homes","2",vlookup(A36,'CO Data'!$A$321:$B$376,2,FALSE)),"2")</f>
        <v>2</v>
      </c>
      <c r="E36" s="265">
        <f>IFERROR((HLOOKUP(A36,'CO Data'!$A$5:$DM$31,19,FALSE)+HLOOKUP(A36,'CO Data'!$A$5:$DM$31,20,FALSE)+HLOOKUP(A36,'CO Data'!$A$5:$DM$31,21,FALSE)),"NULL")</f>
        <v>0</v>
      </c>
      <c r="F36" s="265">
        <f>IFERROR((HLOOKUP(A36,'CO Data'!$A$5:$DM$31,17,FALSE)+HLOOKUP(A36,'CO Data'!$A$5:$DM$31,18,FALSE)),"NULL")</f>
        <v>3</v>
      </c>
      <c r="G36" s="265" t="s">
        <v>63</v>
      </c>
      <c r="H36" s="266" t="str">
        <f>IFERROR(IF(vlookup(A36,'CO Data'!$A$255:$B$316,2,FALSE)="&lt;11","NULL",vlookup(A36,'CO Data'!$A$255:$B$316,2,FALSE)),"NULL")</f>
        <v>NULL</v>
      </c>
      <c r="I36" s="267" t="str">
        <f>IFERROR(IF(vlookup(A36,'CO Data'!$A$176:$B$202,2,FALSE)="&lt;11","NULL",vlookup(A36,'CO Data'!$A$176:$B$202,2,FALSE)),"NULL")</f>
        <v>NULL</v>
      </c>
      <c r="J36" s="491" t="s">
        <v>63</v>
      </c>
      <c r="K36" s="498" t="str">
        <f>IFERROR(IF(vlookup(A36,'CO Data'!$A$446:$B$497,2,FALSE)="&lt;11 clients","NULL",vlookup(A36,'CO Data'!$A$446:$B$497,2,FALSE)),"NULL")</f>
        <v>NULL</v>
      </c>
      <c r="L36" s="266" t="str">
        <f>IFERROR(IF(vlookup(A36,'CO Data'!$A$380:$B$442,2,FALSE)="&lt;11","NULL",vlookup(A36,'CO Data'!$A$380:$B$442,2,FALSE)),"NULL")</f>
        <v>NULL</v>
      </c>
      <c r="M36" s="271" t="s">
        <v>63</v>
      </c>
      <c r="N36" s="271" t="s">
        <v>63</v>
      </c>
      <c r="O36" s="271" t="s">
        <v>63</v>
      </c>
      <c r="P36" s="272">
        <f>ifna(vlookup(A36,'Population &amp; Church Numbers'!$A$247:$D$310,4,FALSE),"NULL")</f>
        <v>8</v>
      </c>
      <c r="Q36" s="334" t="s">
        <v>63</v>
      </c>
    </row>
    <row r="37">
      <c r="A37" s="326" t="s">
        <v>429</v>
      </c>
      <c r="B37" s="251">
        <f t="array" ref="B37">VLOOKUP($A37,CO_DEMO,2,FALSE)</f>
        <v>55638</v>
      </c>
      <c r="C37" s="327">
        <f>IFERROR(HLOOKUP(A37,'CO Data'!$A$5:$DM$31,3,FALSE),"NULL")</f>
        <v>10</v>
      </c>
      <c r="D37" s="253">
        <f>IFERROR(IF(vlookup(A37,'CO Data'!$A$321:$B$376,2,FALSE)="&lt;11 foster homes","2",vlookup(A37,'CO Data'!$A$321:$B$376,2,FALSE)),"2")</f>
        <v>3</v>
      </c>
      <c r="E37" s="253">
        <f>IFERROR((HLOOKUP(A37,'CO Data'!$A$5:$DM$31,19,FALSE)+HLOOKUP(A37,'CO Data'!$A$5:$DM$31,20,FALSE)+HLOOKUP(A37,'CO Data'!$A$5:$DM$31,21,FALSE)),"NULL")</f>
        <v>6</v>
      </c>
      <c r="F37" s="253">
        <f>IFERROR((HLOOKUP(A37,'CO Data'!$A$5:$DM$31,17,FALSE)+HLOOKUP(A37,'CO Data'!$A$5:$DM$31,18,FALSE)),"NULL")</f>
        <v>3</v>
      </c>
      <c r="G37" s="253" t="s">
        <v>63</v>
      </c>
      <c r="H37" s="254">
        <f>IFERROR(IF(vlookup(A37,'CO Data'!$A$255:$B$316,2,FALSE)="&lt;11","NULL",vlookup(A37,'CO Data'!$A$255:$B$316,2,FALSE)),"NULL")</f>
        <v>24</v>
      </c>
      <c r="I37" s="255" t="str">
        <f>IFERROR(IF(vlookup(A37,'CO Data'!$A$176:$B$202,2,FALSE)="&lt;11","NULL",vlookup(A37,'CO Data'!$A$176:$B$202,2,FALSE)),"NULL")</f>
        <v>NULL</v>
      </c>
      <c r="J37" s="478" t="s">
        <v>63</v>
      </c>
      <c r="K37" s="479" t="str">
        <f>IFERROR(IF(vlookup(A37,'CO Data'!$A$446:$B$497,2,FALSE)="&lt;11 clients","NULL",vlookup(A37,'CO Data'!$A$446:$B$497,2,FALSE)),"NULL")</f>
        <v>NULL</v>
      </c>
      <c r="L37" s="254">
        <f>IFERROR(IF(vlookup(A37,'CO Data'!$A$380:$B$442,2,FALSE)="&lt;11","NULL",vlookup(A37,'CO Data'!$A$380:$B$442,2,FALSE)),"NULL")</f>
        <v>65</v>
      </c>
      <c r="M37" s="260" t="s">
        <v>63</v>
      </c>
      <c r="N37" s="260" t="s">
        <v>63</v>
      </c>
      <c r="O37" s="260" t="s">
        <v>63</v>
      </c>
      <c r="P37" s="261">
        <f>ifna(vlookup(A37,'Population &amp; Church Numbers'!$A$247:$D$310,4,FALSE),"NULL")</f>
        <v>45</v>
      </c>
      <c r="Q37" s="329" t="s">
        <v>63</v>
      </c>
    </row>
    <row r="38">
      <c r="A38" s="188" t="s">
        <v>431</v>
      </c>
      <c r="B38" s="189">
        <f t="array" ref="B38">VLOOKUP($A38,CO_DEMO,2,FALSE)</f>
        <v>359066</v>
      </c>
      <c r="C38" s="333">
        <f>IFERROR(HLOOKUP(A38,'CO Data'!$A$5:$DM$31,3,FALSE),"NULL")</f>
        <v>194</v>
      </c>
      <c r="D38" s="265">
        <f>IFERROR(IF(vlookup(A38,'CO Data'!$A$321:$B$376,2,FALSE)="&lt;11 foster homes","2",vlookup(A38,'CO Data'!$A$321:$B$376,2,FALSE)),"2")</f>
        <v>2</v>
      </c>
      <c r="E38" s="265">
        <f>IFERROR((HLOOKUP(A38,'CO Data'!$A$5:$DM$31,19,FALSE)+HLOOKUP(A38,'CO Data'!$A$5:$DM$31,20,FALSE)+HLOOKUP(A38,'CO Data'!$A$5:$DM$31,21,FALSE)),"NULL")</f>
        <v>68</v>
      </c>
      <c r="F38" s="265">
        <f>IFERROR((HLOOKUP(A38,'CO Data'!$A$5:$DM$31,17,FALSE)+HLOOKUP(A38,'CO Data'!$A$5:$DM$31,18,FALSE)),"NULL")</f>
        <v>90</v>
      </c>
      <c r="G38" s="265" t="s">
        <v>63</v>
      </c>
      <c r="H38" s="266">
        <f>IFERROR(IF(vlookup(A38,'CO Data'!$A$255:$B$316,2,FALSE)="&lt;11","NULL",vlookup(A38,'CO Data'!$A$255:$B$316,2,FALSE)),"NULL")</f>
        <v>207</v>
      </c>
      <c r="I38" s="267">
        <f>IFERROR(IF(vlookup(A38,'CO Data'!$A$176:$B$202,2,FALSE)="&lt;11","NULL",vlookup(A38,'CO Data'!$A$176:$B$202,2,FALSE)),"NULL")</f>
        <v>22</v>
      </c>
      <c r="J38" s="491" t="s">
        <v>63</v>
      </c>
      <c r="K38" s="498">
        <f>IFERROR(IF(vlookup(A38,'CO Data'!$A$446:$B$497,2,FALSE)="&lt;11 clients","NULL",vlookup(A38,'CO Data'!$A$446:$B$497,2,FALSE)),"NULL")</f>
        <v>0.672</v>
      </c>
      <c r="L38" s="266">
        <f>IFERROR(IF(vlookup(A38,'CO Data'!$A$380:$B$442,2,FALSE)="&lt;11","NULL",vlookup(A38,'CO Data'!$A$380:$B$442,2,FALSE)),"NULL")</f>
        <v>693</v>
      </c>
      <c r="M38" s="271" t="s">
        <v>63</v>
      </c>
      <c r="N38" s="271" t="s">
        <v>63</v>
      </c>
      <c r="O38" s="271" t="s">
        <v>63</v>
      </c>
      <c r="P38" s="272">
        <f>ifna(vlookup(A38,'Population &amp; Church Numbers'!$A$247:$D$310,4,FALSE),"NULL")</f>
        <v>167</v>
      </c>
      <c r="Q38" s="334" t="s">
        <v>63</v>
      </c>
    </row>
    <row r="39">
      <c r="A39" s="326" t="s">
        <v>432</v>
      </c>
      <c r="B39" s="251">
        <f t="array" ref="B39">VLOOKUP($A39,CO_DEMO,2,FALSE)</f>
        <v>14555</v>
      </c>
      <c r="C39" s="327">
        <f>IFERROR(HLOOKUP(A39,'CO Data'!$A$5:$DM$31,3,FALSE),"NULL")</f>
        <v>20</v>
      </c>
      <c r="D39" s="253" t="str">
        <f>IFERROR(IF(vlookup(A39,'CO Data'!$A$321:$B$376,2,FALSE)="&lt;11 foster homes","2",vlookup(A39,'CO Data'!$A$321:$B$376,2,FALSE)),"2")</f>
        <v>2</v>
      </c>
      <c r="E39" s="253">
        <f>IFERROR((HLOOKUP(A39,'CO Data'!$A$5:$DM$31,19,FALSE)+HLOOKUP(A39,'CO Data'!$A$5:$DM$31,20,FALSE)+HLOOKUP(A39,'CO Data'!$A$5:$DM$31,21,FALSE)),"NULL")</f>
        <v>9</v>
      </c>
      <c r="F39" s="253">
        <f>IFERROR((HLOOKUP(A39,'CO Data'!$A$5:$DM$31,17,FALSE)+HLOOKUP(A39,'CO Data'!$A$5:$DM$31,18,FALSE)),"NULL")</f>
        <v>11</v>
      </c>
      <c r="G39" s="253" t="s">
        <v>63</v>
      </c>
      <c r="H39" s="254">
        <f>IFERROR(IF(vlookup(A39,'CO Data'!$A$255:$B$316,2,FALSE)="&lt;11","NULL",vlookup(A39,'CO Data'!$A$255:$B$316,2,FALSE)),"NULL")</f>
        <v>22</v>
      </c>
      <c r="I39" s="255" t="str">
        <f>IFERROR(IF(vlookup(A39,'CO Data'!$A$176:$B$202,2,FALSE)="&lt;11","NULL",vlookup(A39,'CO Data'!$A$176:$B$202,2,FALSE)),"NULL")</f>
        <v>NULL</v>
      </c>
      <c r="J39" s="478" t="s">
        <v>63</v>
      </c>
      <c r="K39" s="479" t="str">
        <f>IFERROR(IF(vlookup(A39,'CO Data'!$A$446:$B$497,2,FALSE)="&lt;11 clients","NULL",vlookup(A39,'CO Data'!$A$446:$B$497,2,FALSE)),"NULL")</f>
        <v>NULL</v>
      </c>
      <c r="L39" s="254">
        <f>IFERROR(IF(vlookup(A39,'CO Data'!$A$380:$B$442,2,FALSE)="&lt;11","NULL",vlookup(A39,'CO Data'!$A$380:$B$442,2,FALSE)),"NULL")</f>
        <v>28</v>
      </c>
      <c r="M39" s="260" t="s">
        <v>63</v>
      </c>
      <c r="N39" s="260" t="s">
        <v>63</v>
      </c>
      <c r="O39" s="260" t="s">
        <v>63</v>
      </c>
      <c r="P39" s="261">
        <f>ifna(vlookup(A39,'Population &amp; Church Numbers'!$A$247:$D$310,4,FALSE),"NULL")</f>
        <v>15</v>
      </c>
      <c r="Q39" s="329" t="s">
        <v>63</v>
      </c>
    </row>
    <row r="40">
      <c r="A40" s="188" t="s">
        <v>290</v>
      </c>
      <c r="B40" s="189">
        <f t="array" ref="B40">VLOOKUP($A40,CO_DEMO,2,FALSE)</f>
        <v>5675</v>
      </c>
      <c r="C40" s="333">
        <f>IFERROR(HLOOKUP(A40,'CO Data'!$A$5:$DM$31,3,FALSE),"NULL")</f>
        <v>7</v>
      </c>
      <c r="D40" s="265" t="str">
        <f>IFERROR(IF(vlookup(A40,'CO Data'!$A$321:$B$376,2,FALSE)="&lt;11 foster homes","2",vlookup(A40,'CO Data'!$A$321:$B$376,2,FALSE)),"2")</f>
        <v>2</v>
      </c>
      <c r="E40" s="265">
        <f>IFERROR((HLOOKUP(A40,'CO Data'!$A$5:$DM$31,19,FALSE)+HLOOKUP(A40,'CO Data'!$A$5:$DM$31,20,FALSE)+HLOOKUP(A40,'CO Data'!$A$5:$DM$31,21,FALSE)),"NULL")</f>
        <v>4</v>
      </c>
      <c r="F40" s="265">
        <f>IFERROR((HLOOKUP(A40,'CO Data'!$A$5:$DM$31,17,FALSE)+HLOOKUP(A40,'CO Data'!$A$5:$DM$31,18,FALSE)),"NULL")</f>
        <v>3</v>
      </c>
      <c r="G40" s="265" t="s">
        <v>63</v>
      </c>
      <c r="H40" s="266" t="str">
        <f>IFERROR(IF(vlookup(A40,'CO Data'!$A$255:$B$316,2,FALSE)="&lt;11","NULL",vlookup(A40,'CO Data'!$A$255:$B$316,2,FALSE)),"NULL")</f>
        <v>NULL</v>
      </c>
      <c r="I40" s="267" t="str">
        <f>IFERROR(IF(vlookup(A40,'CO Data'!$A$176:$B$202,2,FALSE)="&lt;11","NULL",vlookup(A40,'CO Data'!$A$176:$B$202,2,FALSE)),"NULL")</f>
        <v>NULL</v>
      </c>
      <c r="J40" s="491" t="s">
        <v>63</v>
      </c>
      <c r="K40" s="498" t="str">
        <f>IFERROR(IF(vlookup(A40,'CO Data'!$A$446:$B$497,2,FALSE)="&lt;11 clients","NULL",vlookup(A40,'CO Data'!$A$446:$B$497,2,FALSE)),"NULL")</f>
        <v>NULL</v>
      </c>
      <c r="L40" s="266">
        <f>IFERROR(IF(vlookup(A40,'CO Data'!$A$380:$B$442,2,FALSE)="&lt;11","NULL",vlookup(A40,'CO Data'!$A$380:$B$442,2,FALSE)),"NULL")</f>
        <v>13</v>
      </c>
      <c r="M40" s="271" t="s">
        <v>63</v>
      </c>
      <c r="N40" s="271" t="s">
        <v>63</v>
      </c>
      <c r="O40" s="271" t="s">
        <v>63</v>
      </c>
      <c r="P40" s="272">
        <f>ifna(vlookup(A40,'Population &amp; Church Numbers'!$A$247:$D$310,4,FALSE),"NULL")</f>
        <v>17</v>
      </c>
      <c r="Q40" s="334" t="s">
        <v>63</v>
      </c>
    </row>
    <row r="41">
      <c r="A41" s="326" t="s">
        <v>293</v>
      </c>
      <c r="B41" s="251">
        <f t="array" ref="B41">VLOOKUP($A41,CO_DEMO,2,FALSE)</f>
        <v>21528</v>
      </c>
      <c r="C41" s="327">
        <f>IFERROR(HLOOKUP(A41,'CO Data'!$A$5:$DM$31,3,FALSE),"NULL")</f>
        <v>43</v>
      </c>
      <c r="D41" s="253">
        <f>IFERROR(IF(vlookup(A41,'CO Data'!$A$321:$B$376,2,FALSE)="&lt;11 foster homes","2",vlookup(A41,'CO Data'!$A$321:$B$376,2,FALSE)),"2")</f>
        <v>3</v>
      </c>
      <c r="E41" s="253">
        <f>IFERROR((HLOOKUP(A41,'CO Data'!$A$5:$DM$31,19,FALSE)+HLOOKUP(A41,'CO Data'!$A$5:$DM$31,20,FALSE)+HLOOKUP(A41,'CO Data'!$A$5:$DM$31,21,FALSE)),"NULL")</f>
        <v>11</v>
      </c>
      <c r="F41" s="253">
        <f>IFERROR((HLOOKUP(A41,'CO Data'!$A$5:$DM$31,17,FALSE)+HLOOKUP(A41,'CO Data'!$A$5:$DM$31,18,FALSE)),"NULL")</f>
        <v>26</v>
      </c>
      <c r="G41" s="253" t="s">
        <v>63</v>
      </c>
      <c r="H41" s="254">
        <f>IFERROR(IF(vlookup(A41,'CO Data'!$A$255:$B$316,2,FALSE)="&lt;11","NULL",vlookup(A41,'CO Data'!$A$255:$B$316,2,FALSE)),"NULL")</f>
        <v>25</v>
      </c>
      <c r="I41" s="255" t="str">
        <f>IFERROR(IF(vlookup(A41,'CO Data'!$A$176:$B$202,2,FALSE)="&lt;11","NULL",vlookup(A41,'CO Data'!$A$176:$B$202,2,FALSE)),"NULL")</f>
        <v>NULL</v>
      </c>
      <c r="J41" s="478" t="s">
        <v>63</v>
      </c>
      <c r="K41" s="479" t="str">
        <f>IFERROR(IF(vlookup(A41,'CO Data'!$A$446:$B$497,2,FALSE)="&lt;11 clients","NULL",vlookup(A41,'CO Data'!$A$446:$B$497,2,FALSE)),"NULL")</f>
        <v>NULL</v>
      </c>
      <c r="L41" s="254">
        <f>IFERROR(IF(vlookup(A41,'CO Data'!$A$380:$B$442,2,FALSE)="&lt;11","NULL",vlookup(A41,'CO Data'!$A$380:$B$442,2,FALSE)),"NULL")</f>
        <v>33</v>
      </c>
      <c r="M41" s="260" t="s">
        <v>63</v>
      </c>
      <c r="N41" s="260" t="s">
        <v>63</v>
      </c>
      <c r="O41" s="260" t="s">
        <v>63</v>
      </c>
      <c r="P41" s="261">
        <f>ifna(vlookup(A41,'Population &amp; Church Numbers'!$A$247:$D$310,4,FALSE),"NULL")</f>
        <v>33</v>
      </c>
      <c r="Q41" s="329" t="s">
        <v>63</v>
      </c>
    </row>
    <row r="42">
      <c r="A42" s="188" t="s">
        <v>434</v>
      </c>
      <c r="B42" s="189">
        <f t="array" ref="B42">VLOOKUP($A42,CO_DEMO,2,FALSE)</f>
        <v>155703</v>
      </c>
      <c r="C42" s="333">
        <f>IFERROR(HLOOKUP(A42,'CO Data'!$A$5:$DM$31,3,FALSE),"NULL")</f>
        <v>173</v>
      </c>
      <c r="D42" s="265">
        <f>IFERROR(IF(vlookup(A42,'CO Data'!$A$321:$B$376,2,FALSE)="&lt;11 foster homes","2",vlookup(A42,'CO Data'!$A$321:$B$376,2,FALSE)),"2")</f>
        <v>3</v>
      </c>
      <c r="E42" s="265">
        <f>IFERROR((HLOOKUP(A42,'CO Data'!$A$5:$DM$31,19,FALSE)+HLOOKUP(A42,'CO Data'!$A$5:$DM$31,20,FALSE)+HLOOKUP(A42,'CO Data'!$A$5:$DM$31,21,FALSE)),"NULL")</f>
        <v>92</v>
      </c>
      <c r="F42" s="265">
        <f>IFERROR((HLOOKUP(A42,'CO Data'!$A$5:$DM$31,17,FALSE)+HLOOKUP(A42,'CO Data'!$A$5:$DM$31,18,FALSE)),"NULL")</f>
        <v>47</v>
      </c>
      <c r="G42" s="265" t="s">
        <v>63</v>
      </c>
      <c r="H42" s="266">
        <f>IFERROR(IF(vlookup(A42,'CO Data'!$A$255:$B$316,2,FALSE)="&lt;11","NULL",vlookup(A42,'CO Data'!$A$255:$B$316,2,FALSE)),"NULL")</f>
        <v>130</v>
      </c>
      <c r="I42" s="267">
        <f>IFERROR(IF(vlookup(A42,'CO Data'!$A$176:$B$202,2,FALSE)="&lt;11","NULL",vlookup(A42,'CO Data'!$A$176:$B$202,2,FALSE)),"NULL")</f>
        <v>27</v>
      </c>
      <c r="J42" s="491" t="s">
        <v>63</v>
      </c>
      <c r="K42" s="498">
        <f>IFERROR(IF(vlookup(A42,'CO Data'!$A$446:$B$497,2,FALSE)="&lt;11 clients","NULL",vlookup(A42,'CO Data'!$A$446:$B$497,2,FALSE)),"NULL")</f>
        <v>0.675</v>
      </c>
      <c r="L42" s="266">
        <f>IFERROR(IF(vlookup(A42,'CO Data'!$A$380:$B$442,2,FALSE)="&lt;11","NULL",vlookup(A42,'CO Data'!$A$380:$B$442,2,FALSE)),"NULL")</f>
        <v>200</v>
      </c>
      <c r="M42" s="271" t="s">
        <v>63</v>
      </c>
      <c r="N42" s="271" t="s">
        <v>63</v>
      </c>
      <c r="O42" s="271" t="s">
        <v>63</v>
      </c>
      <c r="P42" s="272">
        <f>ifna(vlookup(A42,'Population &amp; Church Numbers'!$A$247:$D$310,4,FALSE),"NULL")</f>
        <v>109</v>
      </c>
      <c r="Q42" s="334" t="s">
        <v>63</v>
      </c>
    </row>
    <row r="43">
      <c r="A43" s="326" t="s">
        <v>435</v>
      </c>
      <c r="B43" s="251">
        <f t="array" ref="B43">VLOOKUP($A43,CO_DEMO,2,FALSE)</f>
        <v>865</v>
      </c>
      <c r="C43" s="327" t="str">
        <f>IFERROR(HLOOKUP(A43,'CO Data'!$A$5:$DM$31,3,FALSE),"NULL")</f>
        <v>NULL</v>
      </c>
      <c r="D43" s="253" t="str">
        <f>IFERROR(IF(vlookup(A43,'CO Data'!$A$321:$B$376,2,FALSE)="&lt;11 foster homes","2",vlookup(A43,'CO Data'!$A$321:$B$376,2,FALSE)),"2")</f>
        <v>2</v>
      </c>
      <c r="E43" s="253" t="str">
        <f>IFERROR((HLOOKUP(A43,'CO Data'!$A$5:$DM$31,19,FALSE)+HLOOKUP(A43,'CO Data'!$A$5:$DM$31,20,FALSE)+HLOOKUP(A43,'CO Data'!$A$5:$DM$31,21,FALSE)),"NULL")</f>
        <v>NULL</v>
      </c>
      <c r="F43" s="253" t="str">
        <f>IFERROR((HLOOKUP(A43,'CO Data'!$A$5:$DM$31,17,FALSE)+HLOOKUP(A43,'CO Data'!$A$5:$DM$31,18,FALSE)),"NULL")</f>
        <v>NULL</v>
      </c>
      <c r="G43" s="253" t="s">
        <v>63</v>
      </c>
      <c r="H43" s="254" t="str">
        <f>IFERROR(IF(vlookup(A43,'CO Data'!$A$255:$B$316,2,FALSE)="&lt;11","NULL",vlookup(A43,'CO Data'!$A$255:$B$316,2,FALSE)),"NULL")</f>
        <v>NULL</v>
      </c>
      <c r="I43" s="255" t="str">
        <f>IFERROR(IF(vlookup(A43,'CO Data'!$A$176:$B$202,2,FALSE)="&lt;11","NULL",vlookup(A43,'CO Data'!$A$176:$B$202,2,FALSE)),"NULL")</f>
        <v>NULL</v>
      </c>
      <c r="J43" s="478" t="s">
        <v>63</v>
      </c>
      <c r="K43" s="479" t="str">
        <f>IFERROR(IF(vlookup(A43,'CO Data'!$A$446:$B$497,2,FALSE)="&lt;11 clients","NULL",vlookup(A43,'CO Data'!$A$446:$B$497,2,FALSE)),"NULL")</f>
        <v>NULL</v>
      </c>
      <c r="L43" s="254" t="str">
        <f>IFERROR(IF(vlookup(A43,'CO Data'!$A$380:$B$442,2,FALSE)="&lt;11","NULL",vlookup(A43,'CO Data'!$A$380:$B$442,2,FALSE)),"NULL")</f>
        <v>NULL</v>
      </c>
      <c r="M43" s="260" t="s">
        <v>63</v>
      </c>
      <c r="N43" s="260" t="s">
        <v>63</v>
      </c>
      <c r="O43" s="260" t="s">
        <v>63</v>
      </c>
      <c r="P43" s="261">
        <f>ifna(vlookup(A43,'Population &amp; Church Numbers'!$A$247:$D$310,4,FALSE),"NULL")</f>
        <v>2</v>
      </c>
      <c r="Q43" s="329" t="s">
        <v>63</v>
      </c>
    </row>
    <row r="44">
      <c r="A44" s="188" t="s">
        <v>436</v>
      </c>
      <c r="B44" s="189">
        <f t="array" ref="B44">VLOOKUP($A44,CO_DEMO,2,FALSE)</f>
        <v>13292</v>
      </c>
      <c r="C44" s="333">
        <f>IFERROR(HLOOKUP(A44,'CO Data'!$A$5:$DM$31,3,FALSE),"NULL")</f>
        <v>2</v>
      </c>
      <c r="D44" s="265" t="str">
        <f>IFERROR(IF(vlookup(A44,'CO Data'!$A$321:$B$376,2,FALSE)="&lt;11 foster homes","2",vlookup(A44,'CO Data'!$A$321:$B$376,2,FALSE)),"2")</f>
        <v>2</v>
      </c>
      <c r="E44" s="265">
        <f>IFERROR((HLOOKUP(A44,'CO Data'!$A$5:$DM$31,19,FALSE)+HLOOKUP(A44,'CO Data'!$A$5:$DM$31,20,FALSE)+HLOOKUP(A44,'CO Data'!$A$5:$DM$31,21,FALSE)),"NULL")</f>
        <v>0</v>
      </c>
      <c r="F44" s="265">
        <f>IFERROR((HLOOKUP(A44,'CO Data'!$A$5:$DM$31,17,FALSE)+HLOOKUP(A44,'CO Data'!$A$5:$DM$31,18,FALSE)),"NULL")</f>
        <v>1</v>
      </c>
      <c r="G44" s="265" t="s">
        <v>63</v>
      </c>
      <c r="H44" s="266">
        <f>IFERROR(IF(vlookup(A44,'CO Data'!$A$255:$B$316,2,FALSE)="&lt;11","NULL",vlookup(A44,'CO Data'!$A$255:$B$316,2,FALSE)),"NULL")</f>
        <v>13</v>
      </c>
      <c r="I44" s="267" t="str">
        <f>IFERROR(IF(vlookup(A44,'CO Data'!$A$176:$B$202,2,FALSE)="&lt;11","NULL",vlookup(A44,'CO Data'!$A$176:$B$202,2,FALSE)),"NULL")</f>
        <v>NULL</v>
      </c>
      <c r="J44" s="491" t="s">
        <v>63</v>
      </c>
      <c r="K44" s="498" t="str">
        <f>IFERROR(IF(vlookup(A44,'CO Data'!$A$446:$B$497,2,FALSE)="&lt;11 clients","NULL",vlookup(A44,'CO Data'!$A$446:$B$497,2,FALSE)),"NULL")</f>
        <v>NULL</v>
      </c>
      <c r="L44" s="266">
        <f>IFERROR(IF(vlookup(A44,'CO Data'!$A$380:$B$442,2,FALSE)="&lt;11","NULL",vlookup(A44,'CO Data'!$A$380:$B$442,2,FALSE)),"NULL")</f>
        <v>18</v>
      </c>
      <c r="M44" s="271" t="s">
        <v>63</v>
      </c>
      <c r="N44" s="271" t="s">
        <v>63</v>
      </c>
      <c r="O44" s="271" t="s">
        <v>63</v>
      </c>
      <c r="P44" s="272">
        <f>ifna(vlookup(A44,'Population &amp; Church Numbers'!$A$247:$D$310,4,FALSE),"NULL")</f>
        <v>16</v>
      </c>
      <c r="Q44" s="334" t="s">
        <v>63</v>
      </c>
    </row>
    <row r="45">
      <c r="A45" s="326" t="s">
        <v>439</v>
      </c>
      <c r="B45" s="251">
        <f t="array" ref="B45">VLOOKUP($A45,CO_DEMO,2,FALSE)</f>
        <v>25849</v>
      </c>
      <c r="C45" s="327">
        <f>IFERROR(HLOOKUP(A45,'CO Data'!$A$5:$DM$31,3,FALSE),"NULL")</f>
        <v>14</v>
      </c>
      <c r="D45" s="253" t="str">
        <f>IFERROR(IF(vlookup(A45,'CO Data'!$A$321:$B$376,2,FALSE)="&lt;11 foster homes","2",vlookup(A45,'CO Data'!$A$321:$B$376,2,FALSE)),"2")</f>
        <v>2</v>
      </c>
      <c r="E45" s="253">
        <f>IFERROR((HLOOKUP(A45,'CO Data'!$A$5:$DM$31,19,FALSE)+HLOOKUP(A45,'CO Data'!$A$5:$DM$31,20,FALSE)+HLOOKUP(A45,'CO Data'!$A$5:$DM$31,21,FALSE)),"NULL")</f>
        <v>4</v>
      </c>
      <c r="F45" s="253">
        <f>IFERROR((HLOOKUP(A45,'CO Data'!$A$5:$DM$31,17,FALSE)+HLOOKUP(A45,'CO Data'!$A$5:$DM$31,18,FALSE)),"NULL")</f>
        <v>9</v>
      </c>
      <c r="G45" s="253" t="s">
        <v>63</v>
      </c>
      <c r="H45" s="254">
        <f>IFERROR(IF(vlookup(A45,'CO Data'!$A$255:$B$316,2,FALSE)="&lt;11","NULL",vlookup(A45,'CO Data'!$A$255:$B$316,2,FALSE)),"NULL")</f>
        <v>19</v>
      </c>
      <c r="I45" s="255" t="str">
        <f>IFERROR(IF(vlookup(A45,'CO Data'!$A$176:$B$202,2,FALSE)="&lt;11","NULL",vlookup(A45,'CO Data'!$A$176:$B$202,2,FALSE)),"NULL")</f>
        <v>NULL</v>
      </c>
      <c r="J45" s="478" t="s">
        <v>63</v>
      </c>
      <c r="K45" s="479" t="str">
        <f>IFERROR(IF(vlookup(A45,'CO Data'!$A$446:$B$497,2,FALSE)="&lt;11 clients","NULL",vlookup(A45,'CO Data'!$A$446:$B$497,2,FALSE)),"NULL")</f>
        <v>NULL</v>
      </c>
      <c r="L45" s="254">
        <f>IFERROR(IF(vlookup(A45,'CO Data'!$A$380:$B$442,2,FALSE)="&lt;11","NULL",vlookup(A45,'CO Data'!$A$380:$B$442,2,FALSE)),"NULL")</f>
        <v>33</v>
      </c>
      <c r="M45" s="260" t="s">
        <v>63</v>
      </c>
      <c r="N45" s="260" t="s">
        <v>63</v>
      </c>
      <c r="O45" s="260" t="s">
        <v>63</v>
      </c>
      <c r="P45" s="261">
        <f>ifna(vlookup(A45,'Population &amp; Church Numbers'!$A$247:$D$310,4,FALSE),"NULL")</f>
        <v>31</v>
      </c>
      <c r="Q45" s="329" t="s">
        <v>63</v>
      </c>
    </row>
    <row r="46">
      <c r="A46" s="188" t="s">
        <v>440</v>
      </c>
      <c r="B46" s="189">
        <f t="array" ref="B46">VLOOKUP($A46,CO_DEMO,2,FALSE)</f>
        <v>42679</v>
      </c>
      <c r="C46" s="333">
        <f>IFERROR(HLOOKUP(A46,'CO Data'!$A$5:$DM$31,3,FALSE),"NULL")</f>
        <v>65</v>
      </c>
      <c r="D46" s="265">
        <f>IFERROR(IF(vlookup(A46,'CO Data'!$A$321:$B$376,2,FALSE)="&lt;11 foster homes","2",vlookup(A46,'CO Data'!$A$321:$B$376,2,FALSE)),"2")</f>
        <v>4</v>
      </c>
      <c r="E46" s="265">
        <f>IFERROR((HLOOKUP(A46,'CO Data'!$A$5:$DM$31,19,FALSE)+HLOOKUP(A46,'CO Data'!$A$5:$DM$31,20,FALSE)+HLOOKUP(A46,'CO Data'!$A$5:$DM$31,21,FALSE)),"NULL")</f>
        <v>48</v>
      </c>
      <c r="F46" s="265">
        <f>IFERROR((HLOOKUP(A46,'CO Data'!$A$5:$DM$31,17,FALSE)+HLOOKUP(A46,'CO Data'!$A$5:$DM$31,18,FALSE)),"NULL")</f>
        <v>12</v>
      </c>
      <c r="G46" s="265" t="s">
        <v>63</v>
      </c>
      <c r="H46" s="266">
        <f>IFERROR(IF(vlookup(A46,'CO Data'!$A$255:$B$316,2,FALSE)="&lt;11","NULL",vlookup(A46,'CO Data'!$A$255:$B$316,2,FALSE)),"NULL")</f>
        <v>89</v>
      </c>
      <c r="I46" s="267" t="str">
        <f>IFERROR(IF(vlookup(A46,'CO Data'!$A$176:$B$202,2,FALSE)="&lt;11","NULL",vlookup(A46,'CO Data'!$A$176:$B$202,2,FALSE)),"NULL")</f>
        <v>NULL</v>
      </c>
      <c r="J46" s="491" t="s">
        <v>63</v>
      </c>
      <c r="K46" s="498">
        <f>IFERROR(IF(vlookup(A46,'CO Data'!$A$446:$B$497,2,FALSE)="&lt;11 clients","NULL",vlookup(A46,'CO Data'!$A$446:$B$497,2,FALSE)),"NULL")</f>
        <v>0.678</v>
      </c>
      <c r="L46" s="266">
        <f>IFERROR(IF(vlookup(A46,'CO Data'!$A$380:$B$442,2,FALSE)="&lt;11","NULL",vlookup(A46,'CO Data'!$A$380:$B$442,2,FALSE)),"NULL")</f>
        <v>73</v>
      </c>
      <c r="M46" s="271" t="s">
        <v>63</v>
      </c>
      <c r="N46" s="271" t="s">
        <v>63</v>
      </c>
      <c r="O46" s="271" t="s">
        <v>63</v>
      </c>
      <c r="P46" s="272">
        <f>ifna(vlookup(A46,'Population &amp; Church Numbers'!$A$247:$D$310,4,FALSE),"NULL")</f>
        <v>42</v>
      </c>
      <c r="Q46" s="334" t="s">
        <v>63</v>
      </c>
    </row>
    <row r="47">
      <c r="A47" s="326" t="s">
        <v>158</v>
      </c>
      <c r="B47" s="251">
        <f t="array" ref="B47">VLOOKUP($A47,CO_DEMO,2,FALSE)</f>
        <v>29111</v>
      </c>
      <c r="C47" s="327">
        <f>IFERROR(HLOOKUP(A47,'CO Data'!$A$5:$DM$31,3,FALSE),"NULL")</f>
        <v>26</v>
      </c>
      <c r="D47" s="253" t="str">
        <f>IFERROR(IF(vlookup(A47,'CO Data'!$A$321:$B$376,2,FALSE)="&lt;11 foster homes","2",vlookup(A47,'CO Data'!$A$321:$B$376,2,FALSE)),"2")</f>
        <v>2</v>
      </c>
      <c r="E47" s="253">
        <f>IFERROR((HLOOKUP(A47,'CO Data'!$A$5:$DM$31,19,FALSE)+HLOOKUP(A47,'CO Data'!$A$5:$DM$31,20,FALSE)+HLOOKUP(A47,'CO Data'!$A$5:$DM$31,21,FALSE)),"NULL")</f>
        <v>4</v>
      </c>
      <c r="F47" s="253">
        <f>IFERROR((HLOOKUP(A47,'CO Data'!$A$5:$DM$31,17,FALSE)+HLOOKUP(A47,'CO Data'!$A$5:$DM$31,18,FALSE)),"NULL")</f>
        <v>20</v>
      </c>
      <c r="G47" s="253" t="s">
        <v>63</v>
      </c>
      <c r="H47" s="254">
        <f>IFERROR(IF(vlookup(A47,'CO Data'!$A$255:$B$316,2,FALSE)="&lt;11","NULL",vlookup(A47,'CO Data'!$A$255:$B$316,2,FALSE)),"NULL")</f>
        <v>28</v>
      </c>
      <c r="I47" s="255" t="str">
        <f>IFERROR(IF(vlookup(A47,'CO Data'!$A$176:$B$202,2,FALSE)="&lt;11","NULL",vlookup(A47,'CO Data'!$A$176:$B$202,2,FALSE)),"NULL")</f>
        <v>NULL</v>
      </c>
      <c r="J47" s="478" t="s">
        <v>63</v>
      </c>
      <c r="K47" s="479">
        <f>IFERROR(IF(vlookup(A47,'CO Data'!$A$446:$B$497,2,FALSE)="&lt;11 clients","NULL",vlookup(A47,'CO Data'!$A$446:$B$497,2,FALSE)),"NULL")</f>
        <v>0.808</v>
      </c>
      <c r="L47" s="254">
        <f>IFERROR(IF(vlookup(A47,'CO Data'!$A$380:$B$442,2,FALSE)="&lt;11","NULL",vlookup(A47,'CO Data'!$A$380:$B$442,2,FALSE)),"NULL")</f>
        <v>69</v>
      </c>
      <c r="M47" s="260" t="s">
        <v>63</v>
      </c>
      <c r="N47" s="260" t="s">
        <v>63</v>
      </c>
      <c r="O47" s="260" t="s">
        <v>63</v>
      </c>
      <c r="P47" s="261">
        <f>ifna(vlookup(A47,'Population &amp; Church Numbers'!$A$247:$D$310,4,FALSE),"NULL")</f>
        <v>37</v>
      </c>
      <c r="Q47" s="329" t="s">
        <v>63</v>
      </c>
    </row>
    <row r="48">
      <c r="A48" s="188" t="s">
        <v>441</v>
      </c>
      <c r="B48" s="189">
        <f t="array" ref="B48">VLOOKUP($A48,CO_DEMO,2,FALSE)</f>
        <v>18690</v>
      </c>
      <c r="C48" s="333">
        <f>IFERROR(HLOOKUP(A48,'CO Data'!$A$5:$DM$31,3,FALSE),"NULL")</f>
        <v>17</v>
      </c>
      <c r="D48" s="265" t="str">
        <f>IFERROR(IF(vlookup(A48,'CO Data'!$A$321:$B$376,2,FALSE)="&lt;11 foster homes","2",vlookup(A48,'CO Data'!$A$321:$B$376,2,FALSE)),"2")</f>
        <v>2</v>
      </c>
      <c r="E48" s="265">
        <f>IFERROR((HLOOKUP(A48,'CO Data'!$A$5:$DM$31,19,FALSE)+HLOOKUP(A48,'CO Data'!$A$5:$DM$31,20,FALSE)+HLOOKUP(A48,'CO Data'!$A$5:$DM$31,21,FALSE)),"NULL")</f>
        <v>10</v>
      </c>
      <c r="F48" s="265">
        <f>IFERROR((HLOOKUP(A48,'CO Data'!$A$5:$DM$31,17,FALSE)+HLOOKUP(A48,'CO Data'!$A$5:$DM$31,18,FALSE)),"NULL")</f>
        <v>5</v>
      </c>
      <c r="G48" s="265" t="s">
        <v>63</v>
      </c>
      <c r="H48" s="266">
        <f>IFERROR(IF(vlookup(A48,'CO Data'!$A$255:$B$316,2,FALSE)="&lt;11","NULL",vlookup(A48,'CO Data'!$A$255:$B$316,2,FALSE)),"NULL")</f>
        <v>15</v>
      </c>
      <c r="I48" s="267" t="str">
        <f>IFERROR(IF(vlookup(A48,'CO Data'!$A$176:$B$202,2,FALSE)="&lt;11","NULL",vlookup(A48,'CO Data'!$A$176:$B$202,2,FALSE)),"NULL")</f>
        <v>NULL</v>
      </c>
      <c r="J48" s="491" t="s">
        <v>63</v>
      </c>
      <c r="K48" s="498">
        <f>IFERROR(IF(vlookup(A48,'CO Data'!$A$446:$B$497,2,FALSE)="&lt;11 clients","NULL",vlookup(A48,'CO Data'!$A$446:$B$497,2,FALSE)),"NULL")</f>
        <v>0.6</v>
      </c>
      <c r="L48" s="266">
        <f>IFERROR(IF(vlookup(A48,'CO Data'!$A$380:$B$442,2,FALSE)="&lt;11","NULL",vlookup(A48,'CO Data'!$A$380:$B$442,2,FALSE)),"NULL")</f>
        <v>24</v>
      </c>
      <c r="M48" s="271" t="s">
        <v>63</v>
      </c>
      <c r="N48" s="271" t="s">
        <v>63</v>
      </c>
      <c r="O48" s="271" t="s">
        <v>63</v>
      </c>
      <c r="P48" s="272">
        <f>ifna(vlookup(A48,'Population &amp; Church Numbers'!$A$247:$D$310,4,FALSE),"NULL")</f>
        <v>33</v>
      </c>
      <c r="Q48" s="334" t="s">
        <v>63</v>
      </c>
    </row>
    <row r="49">
      <c r="A49" s="326" t="s">
        <v>444</v>
      </c>
      <c r="B49" s="251">
        <f t="array" ref="B49">VLOOKUP($A49,CO_DEMO,2,FALSE)</f>
        <v>4874</v>
      </c>
      <c r="C49" s="327" t="str">
        <f>IFERROR(HLOOKUP(A49,'CO Data'!$A$5:$DM$31,3,FALSE),"NULL")</f>
        <v>NULL</v>
      </c>
      <c r="D49" s="253" t="str">
        <f>IFERROR(IF(vlookup(A49,'CO Data'!$A$321:$B$376,2,FALSE)="&lt;11 foster homes","2",vlookup(A49,'CO Data'!$A$321:$B$376,2,FALSE)),"2")</f>
        <v>2</v>
      </c>
      <c r="E49" s="253" t="str">
        <f>IFERROR((HLOOKUP(A49,'CO Data'!$A$5:$DM$31,19,FALSE)+HLOOKUP(A49,'CO Data'!$A$5:$DM$31,20,FALSE)+HLOOKUP(A49,'CO Data'!$A$5:$DM$31,21,FALSE)),"NULL")</f>
        <v>NULL</v>
      </c>
      <c r="F49" s="253" t="str">
        <f>IFERROR((HLOOKUP(A49,'CO Data'!$A$5:$DM$31,17,FALSE)+HLOOKUP(A49,'CO Data'!$A$5:$DM$31,18,FALSE)),"NULL")</f>
        <v>NULL</v>
      </c>
      <c r="G49" s="253" t="s">
        <v>63</v>
      </c>
      <c r="H49" s="254" t="str">
        <f>IFERROR(IF(vlookup(A49,'CO Data'!$A$255:$B$316,2,FALSE)="&lt;11","NULL",vlookup(A49,'CO Data'!$A$255:$B$316,2,FALSE)),"NULL")</f>
        <v>NULL</v>
      </c>
      <c r="I49" s="255" t="str">
        <f>IFERROR(IF(vlookup(A49,'CO Data'!$A$176:$B$202,2,FALSE)="&lt;11","NULL",vlookup(A49,'CO Data'!$A$176:$B$202,2,FALSE)),"NULL")</f>
        <v>NULL</v>
      </c>
      <c r="J49" s="478" t="s">
        <v>63</v>
      </c>
      <c r="K49" s="479" t="str">
        <f>IFERROR(IF(vlookup(A49,'CO Data'!$A$446:$B$497,2,FALSE)="&lt;11 clients","NULL",vlookup(A49,'CO Data'!$A$446:$B$497,2,FALSE)),"NULL")</f>
        <v>NULL</v>
      </c>
      <c r="L49" s="254" t="str">
        <f>IFERROR(IF(vlookup(A49,'CO Data'!$A$380:$B$442,2,FALSE)="&lt;11","NULL",vlookup(A49,'CO Data'!$A$380:$B$442,2,FALSE)),"NULL")</f>
        <v>NULL</v>
      </c>
      <c r="M49" s="260" t="s">
        <v>63</v>
      </c>
      <c r="N49" s="260" t="s">
        <v>63</v>
      </c>
      <c r="O49" s="260" t="s">
        <v>63</v>
      </c>
      <c r="P49" s="261">
        <f>ifna(vlookup(A49,'Population &amp; Church Numbers'!$A$247:$D$310,4,FALSE),"NULL")</f>
        <v>6</v>
      </c>
      <c r="Q49" s="329" t="s">
        <v>63</v>
      </c>
    </row>
    <row r="50">
      <c r="A50" s="188" t="s">
        <v>445</v>
      </c>
      <c r="B50" s="189">
        <f t="array" ref="B50">VLOOKUP($A50,CO_DEMO,2,FALSE)</f>
        <v>17390</v>
      </c>
      <c r="C50" s="333">
        <f>IFERROR(HLOOKUP(A50,'CO Data'!$A$5:$DM$31,3,FALSE),"NULL")</f>
        <v>14</v>
      </c>
      <c r="D50" s="265" t="str">
        <f>IFERROR(IF(vlookup(A50,'CO Data'!$A$321:$B$376,2,FALSE)="&lt;11 foster homes","2",vlookup(A50,'CO Data'!$A$321:$B$376,2,FALSE)),"2")</f>
        <v>2</v>
      </c>
      <c r="E50" s="265">
        <f>IFERROR((HLOOKUP(A50,'CO Data'!$A$5:$DM$31,19,FALSE)+HLOOKUP(A50,'CO Data'!$A$5:$DM$31,20,FALSE)+HLOOKUP(A50,'CO Data'!$A$5:$DM$31,21,FALSE)),"NULL")</f>
        <v>4</v>
      </c>
      <c r="F50" s="265">
        <f>IFERROR((HLOOKUP(A50,'CO Data'!$A$5:$DM$31,17,FALSE)+HLOOKUP(A50,'CO Data'!$A$5:$DM$31,18,FALSE)),"NULL")</f>
        <v>10</v>
      </c>
      <c r="G50" s="265" t="s">
        <v>63</v>
      </c>
      <c r="H50" s="266">
        <f>IFERROR(IF(vlookup(A50,'CO Data'!$A$255:$B$316,2,FALSE)="&lt;11","NULL",vlookup(A50,'CO Data'!$A$255:$B$316,2,FALSE)),"NULL")</f>
        <v>14</v>
      </c>
      <c r="I50" s="267" t="str">
        <f>IFERROR(IF(vlookup(A50,'CO Data'!$A$176:$B$202,2,FALSE)="&lt;11","NULL",vlookup(A50,'CO Data'!$A$176:$B$202,2,FALSE)),"NULL")</f>
        <v>NULL</v>
      </c>
      <c r="J50" s="491" t="s">
        <v>63</v>
      </c>
      <c r="K50" s="498" t="str">
        <f>IFERROR(IF(vlookup(A50,'CO Data'!$A$446:$B$497,2,FALSE)="&lt;11 clients","NULL",vlookup(A50,'CO Data'!$A$446:$B$497,2,FALSE)),"NULL")</f>
        <v>NULL</v>
      </c>
      <c r="L50" s="266">
        <f>IFERROR(IF(vlookup(A50,'CO Data'!$A$380:$B$442,2,FALSE)="&lt;11","NULL",vlookup(A50,'CO Data'!$A$380:$B$442,2,FALSE)),"NULL")</f>
        <v>17</v>
      </c>
      <c r="M50" s="271" t="s">
        <v>63</v>
      </c>
      <c r="N50" s="271" t="s">
        <v>63</v>
      </c>
      <c r="O50" s="271" t="s">
        <v>63</v>
      </c>
      <c r="P50" s="272">
        <f>ifna(vlookup(A50,'Population &amp; Church Numbers'!$A$247:$D$310,4,FALSE),"NULL")</f>
        <v>14</v>
      </c>
      <c r="Q50" s="334" t="s">
        <v>63</v>
      </c>
    </row>
    <row r="51">
      <c r="A51" s="326" t="s">
        <v>300</v>
      </c>
      <c r="B51" s="251">
        <f t="array" ref="B51">VLOOKUP($A51,CO_DEMO,2,FALSE)</f>
        <v>4530</v>
      </c>
      <c r="C51" s="327" t="str">
        <f>IFERROR(HLOOKUP(A51,'CO Data'!$A$5:$DM$31,3,FALSE),"NULL")</f>
        <v>NULL</v>
      </c>
      <c r="D51" s="253" t="str">
        <f>IFERROR(IF(vlookup(A51,'CO Data'!$A$321:$B$376,2,FALSE)="&lt;11 foster homes","2",vlookup(A51,'CO Data'!$A$321:$B$376,2,FALSE)),"2")</f>
        <v>2</v>
      </c>
      <c r="E51" s="253" t="str">
        <f>IFERROR((HLOOKUP(A51,'CO Data'!$A$5:$DM$31,19,FALSE)+HLOOKUP(A51,'CO Data'!$A$5:$DM$31,20,FALSE)+HLOOKUP(A51,'CO Data'!$A$5:$DM$31,21,FALSE)),"NULL")</f>
        <v>NULL</v>
      </c>
      <c r="F51" s="253" t="str">
        <f>IFERROR((HLOOKUP(A51,'CO Data'!$A$5:$DM$31,17,FALSE)+HLOOKUP(A51,'CO Data'!$A$5:$DM$31,18,FALSE)),"NULL")</f>
        <v>NULL</v>
      </c>
      <c r="G51" s="253" t="s">
        <v>63</v>
      </c>
      <c r="H51" s="254" t="str">
        <f>IFERROR(IF(vlookup(A51,'CO Data'!$A$255:$B$316,2,FALSE)="&lt;11","NULL",vlookup(A51,'CO Data'!$A$255:$B$316,2,FALSE)),"NULL")</f>
        <v>NULL</v>
      </c>
      <c r="I51" s="255" t="str">
        <f>IFERROR(IF(vlookup(A51,'CO Data'!$A$176:$B$202,2,FALSE)="&lt;11","NULL",vlookup(A51,'CO Data'!$A$176:$B$202,2,FALSE)),"NULL")</f>
        <v>NULL</v>
      </c>
      <c r="J51" s="478" t="s">
        <v>63</v>
      </c>
      <c r="K51" s="479" t="str">
        <f>IFERROR(IF(vlookup(A51,'CO Data'!$A$446:$B$497,2,FALSE)="&lt;11 clients","NULL",vlookup(A51,'CO Data'!$A$446:$B$497,2,FALSE)),"NULL")</f>
        <v>NULL</v>
      </c>
      <c r="L51" s="254" t="str">
        <f>IFERROR(IF(vlookup(A51,'CO Data'!$A$380:$B$442,2,FALSE)="&lt;11","NULL",vlookup(A51,'CO Data'!$A$380:$B$442,2,FALSE)),"NULL")</f>
        <v>NULL</v>
      </c>
      <c r="M51" s="260" t="s">
        <v>63</v>
      </c>
      <c r="N51" s="260" t="s">
        <v>63</v>
      </c>
      <c r="O51" s="260" t="s">
        <v>63</v>
      </c>
      <c r="P51" s="261">
        <f>ifna(vlookup(A51,'Population &amp; Church Numbers'!$A$247:$D$310,4,FALSE),"NULL")</f>
        <v>12</v>
      </c>
      <c r="Q51" s="329" t="s">
        <v>63</v>
      </c>
    </row>
    <row r="52">
      <c r="A52" s="188" t="s">
        <v>446</v>
      </c>
      <c r="B52" s="189">
        <f t="array" ref="B52">VLOOKUP($A52,CO_DEMO,2,FALSE)</f>
        <v>17358</v>
      </c>
      <c r="C52" s="333">
        <f>IFERROR(HLOOKUP(A52,'CO Data'!$A$5:$DM$31,3,FALSE),"NULL")</f>
        <v>1</v>
      </c>
      <c r="D52" s="265" t="str">
        <f>IFERROR(IF(vlookup(A52,'CO Data'!$A$321:$B$376,2,FALSE)="&lt;11 foster homes","2",vlookup(A52,'CO Data'!$A$321:$B$376,2,FALSE)),"2")</f>
        <v>2</v>
      </c>
      <c r="E52" s="265">
        <f>IFERROR((HLOOKUP(A52,'CO Data'!$A$5:$DM$31,19,FALSE)+HLOOKUP(A52,'CO Data'!$A$5:$DM$31,20,FALSE)+HLOOKUP(A52,'CO Data'!$A$5:$DM$31,21,FALSE)),"NULL")</f>
        <v>0</v>
      </c>
      <c r="F52" s="265">
        <f>IFERROR((HLOOKUP(A52,'CO Data'!$A$5:$DM$31,17,FALSE)+HLOOKUP(A52,'CO Data'!$A$5:$DM$31,18,FALSE)),"NULL")</f>
        <v>1</v>
      </c>
      <c r="G52" s="265" t="s">
        <v>63</v>
      </c>
      <c r="H52" s="266" t="str">
        <f>IFERROR(IF(vlookup(A52,'CO Data'!$A$255:$B$316,2,FALSE)="&lt;11","NULL",vlookup(A52,'CO Data'!$A$255:$B$316,2,FALSE)),"NULL")</f>
        <v>NULL</v>
      </c>
      <c r="I52" s="267" t="str">
        <f>IFERROR(IF(vlookup(A52,'CO Data'!$A$176:$B$202,2,FALSE)="&lt;11","NULL",vlookup(A52,'CO Data'!$A$176:$B$202,2,FALSE)),"NULL")</f>
        <v>NULL</v>
      </c>
      <c r="J52" s="491" t="s">
        <v>63</v>
      </c>
      <c r="K52" s="498" t="str">
        <f>IFERROR(IF(vlookup(A52,'CO Data'!$A$446:$B$497,2,FALSE)="&lt;11 clients","NULL",vlookup(A52,'CO Data'!$A$446:$B$497,2,FALSE)),"NULL")</f>
        <v>NULL</v>
      </c>
      <c r="L52" s="266" t="str">
        <f>IFERROR(IF(vlookup(A52,'CO Data'!$A$380:$B$442,2,FALSE)="&lt;11","NULL",vlookup(A52,'CO Data'!$A$380:$B$442,2,FALSE)),"NULL")</f>
        <v>NULL</v>
      </c>
      <c r="M52" s="271" t="s">
        <v>63</v>
      </c>
      <c r="N52" s="271" t="s">
        <v>63</v>
      </c>
      <c r="O52" s="271" t="s">
        <v>63</v>
      </c>
      <c r="P52" s="272">
        <f>ifna(vlookup(A52,'Population &amp; Church Numbers'!$A$247:$D$310,4,FALSE),"NULL")</f>
        <v>13</v>
      </c>
      <c r="Q52" s="334" t="s">
        <v>63</v>
      </c>
    </row>
    <row r="53">
      <c r="A53" s="326" t="s">
        <v>449</v>
      </c>
      <c r="B53" s="251">
        <f t="array" ref="B53">VLOOKUP($A53,CO_DEMO,2,FALSE)</f>
        <v>11999</v>
      </c>
      <c r="C53" s="327">
        <f>IFERROR(HLOOKUP(A53,'CO Data'!$A$5:$DM$31,3,FALSE),"NULL")</f>
        <v>5</v>
      </c>
      <c r="D53" s="253" t="str">
        <f>IFERROR(IF(vlookup(A53,'CO Data'!$A$321:$B$376,2,FALSE)="&lt;11 foster homes","2",vlookup(A53,'CO Data'!$A$321:$B$376,2,FALSE)),"2")</f>
        <v>2</v>
      </c>
      <c r="E53" s="253">
        <f>IFERROR((HLOOKUP(A53,'CO Data'!$A$5:$DM$31,19,FALSE)+HLOOKUP(A53,'CO Data'!$A$5:$DM$31,20,FALSE)+HLOOKUP(A53,'CO Data'!$A$5:$DM$31,21,FALSE)),"NULL")</f>
        <v>2</v>
      </c>
      <c r="F53" s="253">
        <f>IFERROR((HLOOKUP(A53,'CO Data'!$A$5:$DM$31,17,FALSE)+HLOOKUP(A53,'CO Data'!$A$5:$DM$31,18,FALSE)),"NULL")</f>
        <v>1</v>
      </c>
      <c r="G53" s="253" t="s">
        <v>63</v>
      </c>
      <c r="H53" s="254" t="str">
        <f>IFERROR(IF(vlookup(A53,'CO Data'!$A$255:$B$316,2,FALSE)="&lt;11","NULL",vlookup(A53,'CO Data'!$A$255:$B$316,2,FALSE)),"NULL")</f>
        <v>NULL</v>
      </c>
      <c r="I53" s="255" t="str">
        <f>IFERROR(IF(vlookup(A53,'CO Data'!$A$176:$B$202,2,FALSE)="&lt;11","NULL",vlookup(A53,'CO Data'!$A$176:$B$202,2,FALSE)),"NULL")</f>
        <v>NULL</v>
      </c>
      <c r="J53" s="478" t="s">
        <v>63</v>
      </c>
      <c r="K53" s="479" t="str">
        <f>IFERROR(IF(vlookup(A53,'CO Data'!$A$446:$B$497,2,FALSE)="&lt;11 clients","NULL",vlookup(A53,'CO Data'!$A$446:$B$497,2,FALSE)),"NULL")</f>
        <v>NULL</v>
      </c>
      <c r="L53" s="254">
        <f>IFERROR(IF(vlookup(A53,'CO Data'!$A$380:$B$442,2,FALSE)="&lt;11","NULL",vlookup(A53,'CO Data'!$A$380:$B$442,2,FALSE)),"NULL")</f>
        <v>14</v>
      </c>
      <c r="M53" s="260" t="s">
        <v>63</v>
      </c>
      <c r="N53" s="260" t="s">
        <v>63</v>
      </c>
      <c r="O53" s="260" t="s">
        <v>63</v>
      </c>
      <c r="P53" s="261">
        <f>ifna(vlookup(A53,'Population &amp; Church Numbers'!$A$247:$D$310,4,FALSE),"NULL")</f>
        <v>26</v>
      </c>
      <c r="Q53" s="329" t="s">
        <v>63</v>
      </c>
    </row>
    <row r="54">
      <c r="A54" s="188" t="s">
        <v>450</v>
      </c>
      <c r="B54" s="189">
        <f t="array" ref="B54">VLOOKUP($A54,CO_DEMO,2,FALSE)</f>
        <v>168162</v>
      </c>
      <c r="C54" s="333">
        <f>IFERROR(HLOOKUP(A54,'CO Data'!$A$5:$DM$31,3,FALSE),"NULL")</f>
        <v>162</v>
      </c>
      <c r="D54" s="265">
        <f>IFERROR(IF(vlookup(A54,'CO Data'!$A$321:$B$376,2,FALSE)="&lt;11 foster homes","2",vlookup(A54,'CO Data'!$A$321:$B$376,2,FALSE)),"2")</f>
        <v>4</v>
      </c>
      <c r="E54" s="265">
        <f>IFERROR((HLOOKUP(A54,'CO Data'!$A$5:$DM$31,19,FALSE)+HLOOKUP(A54,'CO Data'!$A$5:$DM$31,20,FALSE)+HLOOKUP(A54,'CO Data'!$A$5:$DM$31,21,FALSE)),"NULL")</f>
        <v>59</v>
      </c>
      <c r="F54" s="265">
        <f>IFERROR((HLOOKUP(A54,'CO Data'!$A$5:$DM$31,17,FALSE)+HLOOKUP(A54,'CO Data'!$A$5:$DM$31,18,FALSE)),"NULL")</f>
        <v>63</v>
      </c>
      <c r="G54" s="265" t="s">
        <v>63</v>
      </c>
      <c r="H54" s="266">
        <f>IFERROR(IF(vlookup(A54,'CO Data'!$A$255:$B$316,2,FALSE)="&lt;11","NULL",vlookup(A54,'CO Data'!$A$255:$B$316,2,FALSE)),"NULL")</f>
        <v>120</v>
      </c>
      <c r="I54" s="267">
        <f>IFERROR(IF(vlookup(A54,'CO Data'!$A$176:$B$202,2,FALSE)="&lt;11","NULL",vlookup(A54,'CO Data'!$A$176:$B$202,2,FALSE)),"NULL")</f>
        <v>18</v>
      </c>
      <c r="J54" s="491" t="s">
        <v>63</v>
      </c>
      <c r="K54" s="498">
        <f>IFERROR(IF(vlookup(A54,'CO Data'!$A$446:$B$497,2,FALSE)="&lt;11 clients","NULL",vlookup(A54,'CO Data'!$A$446:$B$497,2,FALSE)),"NULL")</f>
        <v>0.75</v>
      </c>
      <c r="L54" s="266">
        <f>IFERROR(IF(vlookup(A54,'CO Data'!$A$380:$B$442,2,FALSE)="&lt;11","NULL",vlookup(A54,'CO Data'!$A$380:$B$442,2,FALSE)),"NULL")</f>
        <v>363</v>
      </c>
      <c r="M54" s="271" t="s">
        <v>63</v>
      </c>
      <c r="N54" s="271" t="s">
        <v>63</v>
      </c>
      <c r="O54" s="271" t="s">
        <v>63</v>
      </c>
      <c r="P54" s="272">
        <f>ifna(vlookup(A54,'Population &amp; Church Numbers'!$A$247:$D$310,4,FALSE),"NULL")</f>
        <v>105</v>
      </c>
      <c r="Q54" s="334" t="s">
        <v>63</v>
      </c>
    </row>
    <row r="55">
      <c r="A55" s="326" t="s">
        <v>451</v>
      </c>
      <c r="B55" s="251">
        <f t="array" ref="B55">VLOOKUP($A55,CO_DEMO,2,FALSE)</f>
        <v>6529</v>
      </c>
      <c r="C55" s="327">
        <f>IFERROR(HLOOKUP(A55,'CO Data'!$A$5:$DM$31,3,FALSE),"NULL")</f>
        <v>13</v>
      </c>
      <c r="D55" s="253" t="str">
        <f>IFERROR(IF(vlookup(A55,'CO Data'!$A$321:$B$376,2,FALSE)="&lt;11 foster homes","2",vlookup(A55,'CO Data'!$A$321:$B$376,2,FALSE)),"2")</f>
        <v>2</v>
      </c>
      <c r="E55" s="253">
        <f>IFERROR((HLOOKUP(A55,'CO Data'!$A$5:$DM$31,19,FALSE)+HLOOKUP(A55,'CO Data'!$A$5:$DM$31,20,FALSE)+HLOOKUP(A55,'CO Data'!$A$5:$DM$31,21,FALSE)),"NULL")</f>
        <v>5</v>
      </c>
      <c r="F55" s="253">
        <f>IFERROR((HLOOKUP(A55,'CO Data'!$A$5:$DM$31,17,FALSE)+HLOOKUP(A55,'CO Data'!$A$5:$DM$31,18,FALSE)),"NULL")</f>
        <v>6</v>
      </c>
      <c r="G55" s="253" t="s">
        <v>63</v>
      </c>
      <c r="H55" s="254" t="str">
        <f>IFERROR(IF(vlookup(A55,'CO Data'!$A$255:$B$316,2,FALSE)="&lt;11","NULL",vlookup(A55,'CO Data'!$A$255:$B$316,2,FALSE)),"NULL")</f>
        <v>NULL</v>
      </c>
      <c r="I55" s="255" t="str">
        <f>IFERROR(IF(vlookup(A55,'CO Data'!$A$176:$B$202,2,FALSE)="&lt;11","NULL",vlookup(A55,'CO Data'!$A$176:$B$202,2,FALSE)),"NULL")</f>
        <v>NULL</v>
      </c>
      <c r="J55" s="478" t="s">
        <v>63</v>
      </c>
      <c r="K55" s="479" t="str">
        <f>IFERROR(IF(vlookup(A55,'CO Data'!$A$446:$B$497,2,FALSE)="&lt;11 clients","NULL",vlookup(A55,'CO Data'!$A$446:$B$497,2,FALSE)),"NULL")</f>
        <v>NULL</v>
      </c>
      <c r="L55" s="254" t="str">
        <f>IFERROR(IF(vlookup(A55,'CO Data'!$A$380:$B$442,2,FALSE)="&lt;11","NULL",vlookup(A55,'CO Data'!$A$380:$B$442,2,FALSE)),"NULL")</f>
        <v>NULL</v>
      </c>
      <c r="M55" s="260" t="s">
        <v>63</v>
      </c>
      <c r="N55" s="260" t="s">
        <v>63</v>
      </c>
      <c r="O55" s="260" t="s">
        <v>63</v>
      </c>
      <c r="P55" s="261">
        <f>ifna(vlookup(A55,'Population &amp; Church Numbers'!$A$247:$D$310,4,FALSE),"NULL")</f>
        <v>12</v>
      </c>
      <c r="Q55" s="329" t="s">
        <v>63</v>
      </c>
    </row>
    <row r="56">
      <c r="A56" s="188" t="s">
        <v>453</v>
      </c>
      <c r="B56" s="189">
        <f t="array" ref="B56">VLOOKUP($A56,CO_DEMO,2,FALSE)</f>
        <v>11539</v>
      </c>
      <c r="C56" s="333">
        <f>IFERROR(HLOOKUP(A56,'CO Data'!$A$5:$DM$31,3,FALSE),"NULL")</f>
        <v>12</v>
      </c>
      <c r="D56" s="265" t="str">
        <f>IFERROR(IF(vlookup(A56,'CO Data'!$A$321:$B$376,2,FALSE)="&lt;11 foster homes","2",vlookup(A56,'CO Data'!$A$321:$B$376,2,FALSE)),"2")</f>
        <v>2</v>
      </c>
      <c r="E56" s="265">
        <f>IFERROR((HLOOKUP(A56,'CO Data'!$A$5:$DM$31,19,FALSE)+HLOOKUP(A56,'CO Data'!$A$5:$DM$31,20,FALSE)+HLOOKUP(A56,'CO Data'!$A$5:$DM$31,21,FALSE)),"NULL")</f>
        <v>5</v>
      </c>
      <c r="F56" s="265">
        <f>IFERROR((HLOOKUP(A56,'CO Data'!$A$5:$DM$31,17,FALSE)+HLOOKUP(A56,'CO Data'!$A$5:$DM$31,18,FALSE)),"NULL")</f>
        <v>4</v>
      </c>
      <c r="G56" s="265" t="s">
        <v>63</v>
      </c>
      <c r="H56" s="266">
        <f>IFERROR(IF(vlookup(A56,'CO Data'!$A$255:$B$316,2,FALSE)="&lt;11","NULL",vlookup(A56,'CO Data'!$A$255:$B$316,2,FALSE)),"NULL")</f>
        <v>13</v>
      </c>
      <c r="I56" s="267" t="str">
        <f>IFERROR(IF(vlookup(A56,'CO Data'!$A$176:$B$202,2,FALSE)="&lt;11","NULL",vlookup(A56,'CO Data'!$A$176:$B$202,2,FALSE)),"NULL")</f>
        <v>NULL</v>
      </c>
      <c r="J56" s="491" t="s">
        <v>63</v>
      </c>
      <c r="K56" s="498" t="str">
        <f>IFERROR(IF(vlookup(A56,'CO Data'!$A$446:$B$497,2,FALSE)="&lt;11 clients","NULL",vlookup(A56,'CO Data'!$A$446:$B$497,2,FALSE)),"NULL")</f>
        <v>NULL</v>
      </c>
      <c r="L56" s="266">
        <f>IFERROR(IF(vlookup(A56,'CO Data'!$A$380:$B$442,2,FALSE)="&lt;11","NULL",vlookup(A56,'CO Data'!$A$380:$B$442,2,FALSE)),"NULL")</f>
        <v>25</v>
      </c>
      <c r="M56" s="271" t="s">
        <v>63</v>
      </c>
      <c r="N56" s="271" t="s">
        <v>63</v>
      </c>
      <c r="O56" s="271" t="s">
        <v>63</v>
      </c>
      <c r="P56" s="272">
        <f>ifna(vlookup(A56,'Population &amp; Church Numbers'!$A$247:$D$310,4,FALSE),"NULL")</f>
        <v>26</v>
      </c>
      <c r="Q56" s="334" t="s">
        <v>63</v>
      </c>
    </row>
    <row r="57">
      <c r="A57" s="326" t="s">
        <v>454</v>
      </c>
      <c r="B57" s="251">
        <f t="array" ref="B57">VLOOKUP($A57,CO_DEMO,2,FALSE)</f>
        <v>24829</v>
      </c>
      <c r="C57" s="327">
        <f>IFERROR(HLOOKUP(A57,'CO Data'!$A$5:$DM$31,3,FALSE),"NULL")</f>
        <v>6</v>
      </c>
      <c r="D57" s="253" t="str">
        <f>IFERROR(IF(vlookup(A57,'CO Data'!$A$321:$B$376,2,FALSE)="&lt;11 foster homes","2",vlookup(A57,'CO Data'!$A$321:$B$376,2,FALSE)),"2")</f>
        <v>2</v>
      </c>
      <c r="E57" s="253">
        <f>IFERROR((HLOOKUP(A57,'CO Data'!$A$5:$DM$31,19,FALSE)+HLOOKUP(A57,'CO Data'!$A$5:$DM$31,20,FALSE)+HLOOKUP(A57,'CO Data'!$A$5:$DM$31,21,FALSE)),"NULL")</f>
        <v>5</v>
      </c>
      <c r="F57" s="253">
        <f>IFERROR((HLOOKUP(A57,'CO Data'!$A$5:$DM$31,17,FALSE)+HLOOKUP(A57,'CO Data'!$A$5:$DM$31,18,FALSE)),"NULL")</f>
        <v>1</v>
      </c>
      <c r="G57" s="253" t="s">
        <v>63</v>
      </c>
      <c r="H57" s="254" t="str">
        <f>IFERROR(IF(vlookup(A57,'CO Data'!$A$255:$B$316,2,FALSE)="&lt;11","NULL",vlookup(A57,'CO Data'!$A$255:$B$316,2,FALSE)),"NULL")</f>
        <v>NULL</v>
      </c>
      <c r="I57" s="255" t="str">
        <f>IFERROR(IF(vlookup(A57,'CO Data'!$A$176:$B$202,2,FALSE)="&lt;11","NULL",vlookup(A57,'CO Data'!$A$176:$B$202,2,FALSE)),"NULL")</f>
        <v>NULL</v>
      </c>
      <c r="J57" s="478" t="s">
        <v>63</v>
      </c>
      <c r="K57" s="479" t="str">
        <f>IFERROR(IF(vlookup(A57,'CO Data'!$A$446:$B$497,2,FALSE)="&lt;11 clients","NULL",vlookup(A57,'CO Data'!$A$446:$B$497,2,FALSE)),"NULL")</f>
        <v>NULL</v>
      </c>
      <c r="L57" s="254">
        <f>IFERROR(IF(vlookup(A57,'CO Data'!$A$380:$B$442,2,FALSE)="&lt;11","NULL",vlookup(A57,'CO Data'!$A$380:$B$442,2,FALSE)),"NULL")</f>
        <v>13</v>
      </c>
      <c r="M57" s="260" t="s">
        <v>63</v>
      </c>
      <c r="N57" s="260" t="s">
        <v>63</v>
      </c>
      <c r="O57" s="260" t="s">
        <v>63</v>
      </c>
      <c r="P57" s="261">
        <f>ifna(vlookup(A57,'Population &amp; Church Numbers'!$A$247:$D$310,4,FALSE),"NULL")</f>
        <v>14</v>
      </c>
      <c r="Q57" s="329" t="s">
        <v>63</v>
      </c>
    </row>
    <row r="58">
      <c r="A58" s="188" t="s">
        <v>455</v>
      </c>
      <c r="B58" s="189">
        <f t="array" ref="B58">VLOOKUP($A58,CO_DEMO,2,FALSE)</f>
        <v>6368</v>
      </c>
      <c r="C58" s="333">
        <f>IFERROR(HLOOKUP(A58,'CO Data'!$A$5:$DM$31,3,FALSE),"NULL")</f>
        <v>10</v>
      </c>
      <c r="D58" s="265" t="str">
        <f>IFERROR(IF(vlookup(A58,'CO Data'!$A$321:$B$376,2,FALSE)="&lt;11 foster homes","2",vlookup(A58,'CO Data'!$A$321:$B$376,2,FALSE)),"2")</f>
        <v>2</v>
      </c>
      <c r="E58" s="265">
        <f>IFERROR((HLOOKUP(A58,'CO Data'!$A$5:$DM$31,19,FALSE)+HLOOKUP(A58,'CO Data'!$A$5:$DM$31,20,FALSE)+HLOOKUP(A58,'CO Data'!$A$5:$DM$31,21,FALSE)),"NULL")</f>
        <v>1</v>
      </c>
      <c r="F58" s="265">
        <f>IFERROR((HLOOKUP(A58,'CO Data'!$A$5:$DM$31,17,FALSE)+HLOOKUP(A58,'CO Data'!$A$5:$DM$31,18,FALSE)),"NULL")</f>
        <v>5</v>
      </c>
      <c r="G58" s="265" t="s">
        <v>63</v>
      </c>
      <c r="H58" s="266" t="str">
        <f>IFERROR(IF(vlookup(A58,'CO Data'!$A$255:$B$316,2,FALSE)="&lt;11","NULL",vlookup(A58,'CO Data'!$A$255:$B$316,2,FALSE)),"NULL")</f>
        <v>NULL</v>
      </c>
      <c r="I58" s="267" t="str">
        <f>IFERROR(IF(vlookup(A58,'CO Data'!$A$176:$B$202,2,FALSE)="&lt;11","NULL",vlookup(A58,'CO Data'!$A$176:$B$202,2,FALSE)),"NULL")</f>
        <v>NULL</v>
      </c>
      <c r="J58" s="491" t="s">
        <v>63</v>
      </c>
      <c r="K58" s="498" t="str">
        <f>IFERROR(IF(vlookup(A58,'CO Data'!$A$446:$B$497,2,FALSE)="&lt;11 clients","NULL",vlookup(A58,'CO Data'!$A$446:$B$497,2,FALSE)),"NULL")</f>
        <v>NULL</v>
      </c>
      <c r="L58" s="266">
        <f>IFERROR(IF(vlookup(A58,'CO Data'!$A$380:$B$442,2,FALSE)="&lt;11","NULL",vlookup(A58,'CO Data'!$A$380:$B$442,2,FALSE)),"NULL")</f>
        <v>14</v>
      </c>
      <c r="M58" s="271" t="s">
        <v>63</v>
      </c>
      <c r="N58" s="271" t="s">
        <v>63</v>
      </c>
      <c r="O58" s="271" t="s">
        <v>63</v>
      </c>
      <c r="P58" s="272">
        <f>ifna(vlookup(A58,'Population &amp; Church Numbers'!$A$247:$D$310,4,FALSE),"NULL")</f>
        <v>3</v>
      </c>
      <c r="Q58" s="334" t="s">
        <v>63</v>
      </c>
    </row>
    <row r="59">
      <c r="A59" s="326" t="s">
        <v>457</v>
      </c>
      <c r="B59" s="251">
        <f t="array" ref="B59">VLOOKUP($A59,CO_DEMO,2,FALSE)</f>
        <v>705</v>
      </c>
      <c r="C59" s="327" t="str">
        <f>IFERROR(HLOOKUP(A59,'CO Data'!$A$5:$DM$31,3,FALSE),"NULL")</f>
        <v>NULL</v>
      </c>
      <c r="D59" s="253" t="str">
        <f>IFERROR(IF(vlookup(A59,'CO Data'!$A$321:$B$376,2,FALSE)="&lt;11 foster homes","2",vlookup(A59,'CO Data'!$A$321:$B$376,2,FALSE)),"2")</f>
        <v>2</v>
      </c>
      <c r="E59" s="253" t="str">
        <f>IFERROR((HLOOKUP(A59,'CO Data'!$A$5:$DM$31,19,FALSE)+HLOOKUP(A59,'CO Data'!$A$5:$DM$31,20,FALSE)+HLOOKUP(A59,'CO Data'!$A$5:$DM$31,21,FALSE)),"NULL")</f>
        <v>NULL</v>
      </c>
      <c r="F59" s="253" t="str">
        <f>IFERROR((HLOOKUP(A59,'CO Data'!$A$5:$DM$31,17,FALSE)+HLOOKUP(A59,'CO Data'!$A$5:$DM$31,18,FALSE)),"NULL")</f>
        <v>NULL</v>
      </c>
      <c r="G59" s="253" t="s">
        <v>63</v>
      </c>
      <c r="H59" s="254" t="str">
        <f>IFERROR(IF(vlookup(A59,'CO Data'!$A$255:$B$316,2,FALSE)="&lt;11","NULL",vlookup(A59,'CO Data'!$A$255:$B$316,2,FALSE)),"NULL")</f>
        <v>NULL</v>
      </c>
      <c r="I59" s="255" t="str">
        <f>IFERROR(IF(vlookup(A59,'CO Data'!$A$176:$B$202,2,FALSE)="&lt;11","NULL",vlookup(A59,'CO Data'!$A$176:$B$202,2,FALSE)),"NULL")</f>
        <v>NULL</v>
      </c>
      <c r="J59" s="478" t="s">
        <v>63</v>
      </c>
      <c r="K59" s="479" t="str">
        <f>IFERROR(IF(vlookup(A59,'CO Data'!$A$446:$B$497,2,FALSE)="&lt;11 clients","NULL",vlookup(A59,'CO Data'!$A$446:$B$497,2,FALSE)),"NULL")</f>
        <v>NULL</v>
      </c>
      <c r="L59" s="254" t="str">
        <f>IFERROR(IF(vlookup(A59,'CO Data'!$A$380:$B$442,2,FALSE)="&lt;11","NULL",vlookup(A59,'CO Data'!$A$380:$B$442,2,FALSE)),"NULL")</f>
        <v>NULL</v>
      </c>
      <c r="M59" s="260" t="s">
        <v>63</v>
      </c>
      <c r="N59" s="260" t="s">
        <v>63</v>
      </c>
      <c r="O59" s="260" t="s">
        <v>63</v>
      </c>
      <c r="P59" s="261">
        <f>ifna(vlookup(A59,'Population &amp; Church Numbers'!$A$247:$D$310,4,FALSE),"NULL")</f>
        <v>3</v>
      </c>
      <c r="Q59" s="329" t="s">
        <v>63</v>
      </c>
    </row>
    <row r="60">
      <c r="A60" s="188" t="s">
        <v>458</v>
      </c>
      <c r="B60" s="189">
        <f t="array" ref="B60">VLOOKUP($A60,CO_DEMO,2,FALSE)</f>
        <v>8072</v>
      </c>
      <c r="C60" s="333">
        <f>IFERROR(HLOOKUP(A60,'CO Data'!$A$5:$DM$31,3,FALSE),"NULL")</f>
        <v>3</v>
      </c>
      <c r="D60" s="265" t="str">
        <f>IFERROR(IF(vlookup(A60,'CO Data'!$A$321:$B$376,2,FALSE)="&lt;11 foster homes","2",vlookup(A60,'CO Data'!$A$321:$B$376,2,FALSE)),"2")</f>
        <v>2</v>
      </c>
      <c r="E60" s="265">
        <f>IFERROR((HLOOKUP(A60,'CO Data'!$A$5:$DM$31,19,FALSE)+HLOOKUP(A60,'CO Data'!$A$5:$DM$31,20,FALSE)+HLOOKUP(A60,'CO Data'!$A$5:$DM$31,21,FALSE)),"NULL")</f>
        <v>1</v>
      </c>
      <c r="F60" s="265">
        <f>IFERROR((HLOOKUP(A60,'CO Data'!$A$5:$DM$31,17,FALSE)+HLOOKUP(A60,'CO Data'!$A$5:$DM$31,18,FALSE)),"NULL")</f>
        <v>2</v>
      </c>
      <c r="G60" s="265" t="s">
        <v>63</v>
      </c>
      <c r="H60" s="266" t="str">
        <f>IFERROR(IF(vlookup(A60,'CO Data'!$A$255:$B$316,2,FALSE)="&lt;11","NULL",vlookup(A60,'CO Data'!$A$255:$B$316,2,FALSE)),"NULL")</f>
        <v>NULL</v>
      </c>
      <c r="I60" s="267" t="str">
        <f>IFERROR(IF(vlookup(A60,'CO Data'!$A$176:$B$202,2,FALSE)="&lt;11","NULL",vlookup(A60,'CO Data'!$A$176:$B$202,2,FALSE)),"NULL")</f>
        <v>NULL</v>
      </c>
      <c r="J60" s="491" t="s">
        <v>63</v>
      </c>
      <c r="K60" s="498" t="str">
        <f>IFERROR(IF(vlookup(A60,'CO Data'!$A$446:$B$497,2,FALSE)="&lt;11 clients","NULL",vlookup(A60,'CO Data'!$A$446:$B$497,2,FALSE)),"NULL")</f>
        <v>NULL</v>
      </c>
      <c r="L60" s="266" t="str">
        <f>IFERROR(IF(vlookup(A60,'CO Data'!$A$380:$B$442,2,FALSE)="&lt;11","NULL",vlookup(A60,'CO Data'!$A$380:$B$442,2,FALSE)),"NULL")</f>
        <v>NULL</v>
      </c>
      <c r="M60" s="271" t="s">
        <v>63</v>
      </c>
      <c r="N60" s="271" t="s">
        <v>63</v>
      </c>
      <c r="O60" s="271" t="s">
        <v>63</v>
      </c>
      <c r="P60" s="272">
        <f>ifna(vlookup(A60,'Population &amp; Church Numbers'!$A$247:$D$310,4,FALSE),"NULL")</f>
        <v>7</v>
      </c>
      <c r="Q60" s="334" t="s">
        <v>63</v>
      </c>
    </row>
    <row r="61">
      <c r="A61" s="326" t="s">
        <v>459</v>
      </c>
      <c r="B61" s="251">
        <f t="array" ref="B61">VLOOKUP($A61,CO_DEMO,2,FALSE)</f>
        <v>2404</v>
      </c>
      <c r="C61" s="327" t="str">
        <f>IFERROR(HLOOKUP(A61,'CO Data'!$A$5:$DM$31,3,FALSE),"NULL")</f>
        <v>NULL</v>
      </c>
      <c r="D61" s="253" t="str">
        <f>IFERROR(IF(vlookup(A61,'CO Data'!$A$321:$B$376,2,FALSE)="&lt;11 foster homes","2",vlookup(A61,'CO Data'!$A$321:$B$376,2,FALSE)),"2")</f>
        <v>2</v>
      </c>
      <c r="E61" s="253" t="str">
        <f>IFERROR((HLOOKUP(A61,'CO Data'!$A$5:$DM$31,19,FALSE)+HLOOKUP(A61,'CO Data'!$A$5:$DM$31,20,FALSE)+HLOOKUP(A61,'CO Data'!$A$5:$DM$31,21,FALSE)),"NULL")</f>
        <v>NULL</v>
      </c>
      <c r="F61" s="253" t="str">
        <f>IFERROR((HLOOKUP(A61,'CO Data'!$A$5:$DM$31,17,FALSE)+HLOOKUP(A61,'CO Data'!$A$5:$DM$31,18,FALSE)),"NULL")</f>
        <v>NULL</v>
      </c>
      <c r="G61" s="253" t="s">
        <v>63</v>
      </c>
      <c r="H61" s="254" t="str">
        <f>IFERROR(IF(vlookup(A61,'CO Data'!$A$255:$B$316,2,FALSE)="&lt;11","NULL",vlookup(A61,'CO Data'!$A$255:$B$316,2,FALSE)),"NULL")</f>
        <v>NULL</v>
      </c>
      <c r="I61" s="255" t="str">
        <f>IFERROR(IF(vlookup(A61,'CO Data'!$A$176:$B$202,2,FALSE)="&lt;11","NULL",vlookup(A61,'CO Data'!$A$176:$B$202,2,FALSE)),"NULL")</f>
        <v>NULL</v>
      </c>
      <c r="J61" s="478" t="s">
        <v>63</v>
      </c>
      <c r="K61" s="479" t="str">
        <f>IFERROR(IF(vlookup(A61,'CO Data'!$A$446:$B$497,2,FALSE)="&lt;11 clients","NULL",vlookup(A61,'CO Data'!$A$446:$B$497,2,FALSE)),"NULL")</f>
        <v>NULL</v>
      </c>
      <c r="L61" s="254" t="str">
        <f>IFERROR(IF(vlookup(A61,'CO Data'!$A$380:$B$442,2,FALSE)="&lt;11","NULL",vlookup(A61,'CO Data'!$A$380:$B$442,2,FALSE)),"NULL")</f>
        <v>NULL</v>
      </c>
      <c r="M61" s="260" t="s">
        <v>63</v>
      </c>
      <c r="N61" s="260" t="s">
        <v>63</v>
      </c>
      <c r="O61" s="260" t="s">
        <v>63</v>
      </c>
      <c r="P61" s="261">
        <f>ifna(vlookup(A61,'Population &amp; Church Numbers'!$A$247:$D$310,4,FALSE),"NULL")</f>
        <v>6</v>
      </c>
      <c r="Q61" s="329" t="s">
        <v>63</v>
      </c>
    </row>
    <row r="62">
      <c r="A62" s="188" t="s">
        <v>461</v>
      </c>
      <c r="B62" s="189">
        <f t="array" ref="B62">VLOOKUP($A62,CO_DEMO,2,FALSE)</f>
        <v>31055</v>
      </c>
      <c r="C62" s="333">
        <f>IFERROR(HLOOKUP(A62,'CO Data'!$A$5:$DM$31,3,FALSE),"NULL")</f>
        <v>6</v>
      </c>
      <c r="D62" s="265" t="str">
        <f>IFERROR(IF(vlookup(A62,'CO Data'!$A$321:$B$376,2,FALSE)="&lt;11 foster homes","2",vlookup(A62,'CO Data'!$A$321:$B$376,2,FALSE)),"2")</f>
        <v>2</v>
      </c>
      <c r="E62" s="265">
        <f>IFERROR((HLOOKUP(A62,'CO Data'!$A$5:$DM$31,19,FALSE)+HLOOKUP(A62,'CO Data'!$A$5:$DM$31,20,FALSE)+HLOOKUP(A62,'CO Data'!$A$5:$DM$31,21,FALSE)),"NULL")</f>
        <v>0</v>
      </c>
      <c r="F62" s="265">
        <f>IFERROR((HLOOKUP(A62,'CO Data'!$A$5:$DM$31,17,FALSE)+HLOOKUP(A62,'CO Data'!$A$5:$DM$31,18,FALSE)),"NULL")</f>
        <v>5</v>
      </c>
      <c r="G62" s="265" t="s">
        <v>63</v>
      </c>
      <c r="H62" s="266" t="str">
        <f>IFERROR(IF(vlookup(A62,'CO Data'!$A$255:$B$316,2,FALSE)="&lt;11","NULL",vlookup(A62,'CO Data'!$A$255:$B$316,2,FALSE)),"NULL")</f>
        <v>NULL</v>
      </c>
      <c r="I62" s="267" t="str">
        <f>IFERROR(IF(vlookup(A62,'CO Data'!$A$176:$B$202,2,FALSE)="&lt;11","NULL",vlookup(A62,'CO Data'!$A$176:$B$202,2,FALSE)),"NULL")</f>
        <v>NULL</v>
      </c>
      <c r="J62" s="491" t="s">
        <v>63</v>
      </c>
      <c r="K62" s="498" t="str">
        <f>IFERROR(IF(vlookup(A62,'CO Data'!$A$446:$B$497,2,FALSE)="&lt;11 clients","NULL",vlookup(A62,'CO Data'!$A$446:$B$497,2,FALSE)),"NULL")</f>
        <v>NULL</v>
      </c>
      <c r="L62" s="266" t="str">
        <f>IFERROR(IF(vlookup(A62,'CO Data'!$A$380:$B$442,2,FALSE)="&lt;11","NULL",vlookup(A62,'CO Data'!$A$380:$B$442,2,FALSE)),"NULL")</f>
        <v>NULL</v>
      </c>
      <c r="M62" s="271" t="s">
        <v>63</v>
      </c>
      <c r="N62" s="271" t="s">
        <v>63</v>
      </c>
      <c r="O62" s="271" t="s">
        <v>63</v>
      </c>
      <c r="P62" s="272">
        <f>ifna(vlookup(A62,'Population &amp; Church Numbers'!$A$247:$D$310,4,FALSE),"NULL")</f>
        <v>20</v>
      </c>
      <c r="Q62" s="334" t="s">
        <v>63</v>
      </c>
    </row>
    <row r="63">
      <c r="A63" s="326" t="s">
        <v>462</v>
      </c>
      <c r="B63" s="251">
        <f t="array" ref="B63">VLOOKUP($A63,CO_DEMO,2,FALSE)</f>
        <v>24710</v>
      </c>
      <c r="C63" s="327">
        <f>IFERROR(HLOOKUP(A63,'CO Data'!$A$5:$DM$31,3,FALSE),"NULL")</f>
        <v>11</v>
      </c>
      <c r="D63" s="253" t="str">
        <f>IFERROR(IF(vlookup(A63,'CO Data'!$A$321:$B$376,2,FALSE)="&lt;11 foster homes","2",vlookup(A63,'CO Data'!$A$321:$B$376,2,FALSE)),"2")</f>
        <v>2</v>
      </c>
      <c r="E63" s="253">
        <f>IFERROR((HLOOKUP(A63,'CO Data'!$A$5:$DM$31,19,FALSE)+HLOOKUP(A63,'CO Data'!$A$5:$DM$31,20,FALSE)+HLOOKUP(A63,'CO Data'!$A$5:$DM$31,21,FALSE)),"NULL")</f>
        <v>6</v>
      </c>
      <c r="F63" s="253">
        <f>IFERROR((HLOOKUP(A63,'CO Data'!$A$5:$DM$31,17,FALSE)+HLOOKUP(A63,'CO Data'!$A$5:$DM$31,18,FALSE)),"NULL")</f>
        <v>3</v>
      </c>
      <c r="G63" s="253" t="s">
        <v>63</v>
      </c>
      <c r="H63" s="254" t="str">
        <f>IFERROR(IF(vlookup(A63,'CO Data'!$A$255:$B$316,2,FALSE)="&lt;11","NULL",vlookup(A63,'CO Data'!$A$255:$B$316,2,FALSE)),"NULL")</f>
        <v>NULL</v>
      </c>
      <c r="I63" s="255" t="str">
        <f>IFERROR(IF(vlookup(A63,'CO Data'!$A$176:$B$202,2,FALSE)="&lt;11","NULL",vlookup(A63,'CO Data'!$A$176:$B$202,2,FALSE)),"NULL")</f>
        <v>NULL</v>
      </c>
      <c r="J63" s="478" t="s">
        <v>63</v>
      </c>
      <c r="K63" s="479" t="str">
        <f>IFERROR(IF(vlookup(A63,'CO Data'!$A$446:$B$497,2,FALSE)="&lt;11 clients","NULL",vlookup(A63,'CO Data'!$A$446:$B$497,2,FALSE)),"NULL")</f>
        <v>NULL</v>
      </c>
      <c r="L63" s="254">
        <f>IFERROR(IF(vlookup(A63,'CO Data'!$A$380:$B$442,2,FALSE)="&lt;11","NULL",vlookup(A63,'CO Data'!$A$380:$B$442,2,FALSE)),"NULL")</f>
        <v>29</v>
      </c>
      <c r="M63" s="260" t="s">
        <v>63</v>
      </c>
      <c r="N63" s="260" t="s">
        <v>63</v>
      </c>
      <c r="O63" s="260" t="s">
        <v>63</v>
      </c>
      <c r="P63" s="261">
        <f>ifna(vlookup(A63,'Population &amp; Church Numbers'!$A$247:$D$310,4,FALSE),"NULL")</f>
        <v>21</v>
      </c>
      <c r="Q63" s="329" t="s">
        <v>63</v>
      </c>
    </row>
    <row r="64">
      <c r="A64" s="188" t="s">
        <v>119</v>
      </c>
      <c r="B64" s="189">
        <f t="array" ref="B64">VLOOKUP($A64,CO_DEMO,2,FALSE)</f>
        <v>4817</v>
      </c>
      <c r="C64" s="333">
        <f>IFERROR(HLOOKUP(A64,'CO Data'!$A$5:$DM$31,3,FALSE),"NULL")</f>
        <v>3</v>
      </c>
      <c r="D64" s="265" t="str">
        <f>IFERROR(IF(vlookup(A64,'CO Data'!$A$321:$B$376,2,FALSE)="&lt;11 foster homes","2",vlookup(A64,'CO Data'!$A$321:$B$376,2,FALSE)),"2")</f>
        <v>2</v>
      </c>
      <c r="E64" s="265">
        <f>IFERROR((HLOOKUP(A64,'CO Data'!$A$5:$DM$31,19,FALSE)+HLOOKUP(A64,'CO Data'!$A$5:$DM$31,20,FALSE)+HLOOKUP(A64,'CO Data'!$A$5:$DM$31,21,FALSE)),"NULL")</f>
        <v>0</v>
      </c>
      <c r="F64" s="265">
        <f>IFERROR((HLOOKUP(A64,'CO Data'!$A$5:$DM$31,17,FALSE)+HLOOKUP(A64,'CO Data'!$A$5:$DM$31,18,FALSE)),"NULL")</f>
        <v>0</v>
      </c>
      <c r="G64" s="265" t="s">
        <v>63</v>
      </c>
      <c r="H64" s="266" t="str">
        <f>IFERROR(IF(vlookup(A64,'CO Data'!$A$255:$B$316,2,FALSE)="&lt;11","NULL",vlookup(A64,'CO Data'!$A$255:$B$316,2,FALSE)),"NULL")</f>
        <v>NULL</v>
      </c>
      <c r="I64" s="267" t="str">
        <f>IFERROR(IF(vlookup(A64,'CO Data'!$A$176:$B$202,2,FALSE)="&lt;11","NULL",vlookup(A64,'CO Data'!$A$176:$B$202,2,FALSE)),"NULL")</f>
        <v>NULL</v>
      </c>
      <c r="J64" s="491" t="s">
        <v>63</v>
      </c>
      <c r="K64" s="498" t="str">
        <f>IFERROR(IF(vlookup(A64,'CO Data'!$A$446:$B$497,2,FALSE)="&lt;11 clients","NULL",vlookup(A64,'CO Data'!$A$446:$B$497,2,FALSE)),"NULL")</f>
        <v>NULL</v>
      </c>
      <c r="L64" s="266">
        <f>IFERROR(IF(vlookup(A64,'CO Data'!$A$380:$B$442,2,FALSE)="&lt;11","NULL",vlookup(A64,'CO Data'!$A$380:$B$442,2,FALSE)),"NULL")</f>
        <v>15</v>
      </c>
      <c r="M64" s="271" t="s">
        <v>63</v>
      </c>
      <c r="N64" s="271" t="s">
        <v>63</v>
      </c>
      <c r="O64" s="271" t="s">
        <v>63</v>
      </c>
      <c r="P64" s="272">
        <f>ifna(vlookup(A64,'Population &amp; Church Numbers'!$A$247:$D$310,4,FALSE),"NULL")</f>
        <v>13</v>
      </c>
      <c r="Q64" s="334" t="s">
        <v>63</v>
      </c>
    </row>
    <row r="65">
      <c r="A65" s="326" t="s">
        <v>463</v>
      </c>
      <c r="B65" s="251">
        <f t="array" ref="B65">VLOOKUP($A65,CO_DEMO,2,FALSE)</f>
        <v>328981</v>
      </c>
      <c r="C65" s="327">
        <f>IFERROR(HLOOKUP(A65,'CO Data'!$A$5:$DM$31,3,FALSE),"NULL")</f>
        <v>187</v>
      </c>
      <c r="D65" s="253">
        <f>IFERROR(IF(vlookup(A65,'CO Data'!$A$321:$B$376,2,FALSE)="&lt;11 foster homes","2",vlookup(A65,'CO Data'!$A$321:$B$376,2,FALSE)),"2")</f>
        <v>3</v>
      </c>
      <c r="E65" s="253">
        <f>IFERROR((HLOOKUP(A65,'CO Data'!$A$5:$DM$31,19,FALSE)+HLOOKUP(A65,'CO Data'!$A$5:$DM$31,20,FALSE)+HLOOKUP(A65,'CO Data'!$A$5:$DM$31,21,FALSE)),"NULL")</f>
        <v>85</v>
      </c>
      <c r="F65" s="253">
        <f>IFERROR((HLOOKUP(A65,'CO Data'!$A$5:$DM$31,17,FALSE)+HLOOKUP(A65,'CO Data'!$A$5:$DM$31,18,FALSE)),"NULL")</f>
        <v>75</v>
      </c>
      <c r="G65" s="253" t="s">
        <v>63</v>
      </c>
      <c r="H65" s="254">
        <f>IFERROR(IF(vlookup(A65,'CO Data'!$A$255:$B$316,2,FALSE)="&lt;11","NULL",vlookup(A65,'CO Data'!$A$255:$B$316,2,FALSE)),"NULL")</f>
        <v>232</v>
      </c>
      <c r="I65" s="255">
        <f>IFERROR(IF(vlookup(A65,'CO Data'!$A$176:$B$202,2,FALSE)="&lt;11","NULL",vlookup(A65,'CO Data'!$A$176:$B$202,2,FALSE)),"NULL")</f>
        <v>26</v>
      </c>
      <c r="J65" s="478" t="s">
        <v>63</v>
      </c>
      <c r="K65" s="479">
        <f>IFERROR(IF(vlookup(A65,'CO Data'!$A$446:$B$497,2,FALSE)="&lt;11 clients","NULL",vlookup(A65,'CO Data'!$A$446:$B$497,2,FALSE)),"NULL")</f>
        <v>0.745</v>
      </c>
      <c r="L65" s="254">
        <f>IFERROR(IF(vlookup(A65,'CO Data'!$A$380:$B$442,2,FALSE)="&lt;11","NULL",vlookup(A65,'CO Data'!$A$380:$B$442,2,FALSE)),"NULL")</f>
        <v>426</v>
      </c>
      <c r="M65" s="260" t="s">
        <v>63</v>
      </c>
      <c r="N65" s="260" t="s">
        <v>63</v>
      </c>
      <c r="O65" s="260" t="s">
        <v>63</v>
      </c>
      <c r="P65" s="261">
        <f>ifna(vlookup(A65,'Population &amp; Church Numbers'!$A$247:$D$310,4,FALSE),"NULL")</f>
        <v>151</v>
      </c>
      <c r="Q65" s="329" t="s">
        <v>63</v>
      </c>
    </row>
    <row r="66">
      <c r="A66" s="188" t="s">
        <v>236</v>
      </c>
      <c r="B66" s="189">
        <f t="array" ref="B66">VLOOKUP($A66,CO_DEMO,2,FALSE)</f>
        <v>9988</v>
      </c>
      <c r="C66" s="333">
        <f>IFERROR(HLOOKUP(A66,'CO Data'!$A$5:$DM$31,3,FALSE),"NULL")</f>
        <v>3</v>
      </c>
      <c r="D66" s="265" t="str">
        <f>IFERROR(IF(vlookup(A66,'CO Data'!$A$321:$B$376,2,FALSE)="&lt;11 foster homes","2",vlookup(A66,'CO Data'!$A$321:$B$376,2,FALSE)),"2")</f>
        <v>2</v>
      </c>
      <c r="E66" s="265">
        <f>IFERROR((HLOOKUP(A66,'CO Data'!$A$5:$DM$31,19,FALSE)+HLOOKUP(A66,'CO Data'!$A$5:$DM$31,20,FALSE)+HLOOKUP(A66,'CO Data'!$A$5:$DM$31,21,FALSE)),"NULL")</f>
        <v>0</v>
      </c>
      <c r="F66" s="265">
        <f>IFERROR((HLOOKUP(A66,'CO Data'!$A$5:$DM$31,17,FALSE)+HLOOKUP(A66,'CO Data'!$A$5:$DM$31,18,FALSE)),"NULL")</f>
        <v>3</v>
      </c>
      <c r="G66" s="265" t="s">
        <v>63</v>
      </c>
      <c r="H66" s="266" t="str">
        <f>IFERROR(IF(vlookup(A66,'CO Data'!$A$255:$B$316,2,FALSE)="&lt;11","NULL",vlookup(A66,'CO Data'!$A$255:$B$316,2,FALSE)),"NULL")</f>
        <v>NULL</v>
      </c>
      <c r="I66" s="267" t="str">
        <f>IFERROR(IF(vlookup(A66,'CO Data'!$A$176:$B$202,2,FALSE)="&lt;11","NULL",vlookup(A66,'CO Data'!$A$176:$B$202,2,FALSE)),"NULL")</f>
        <v>NULL</v>
      </c>
      <c r="J66" s="491" t="s">
        <v>63</v>
      </c>
      <c r="K66" s="498" t="str">
        <f>IFERROR(IF(vlookup(A66,'CO Data'!$A$446:$B$497,2,FALSE)="&lt;11 clients","NULL",vlookup(A66,'CO Data'!$A$446:$B$497,2,FALSE)),"NULL")</f>
        <v>NULL</v>
      </c>
      <c r="L66" s="266">
        <f>IFERROR(IF(vlookup(A66,'CO Data'!$A$380:$B$442,2,FALSE)="&lt;11","NULL",vlookup(A66,'CO Data'!$A$380:$B$442,2,FALSE)),"NULL")</f>
        <v>12</v>
      </c>
      <c r="M66" s="271" t="s">
        <v>63</v>
      </c>
      <c r="N66" s="271" t="s">
        <v>63</v>
      </c>
      <c r="O66" s="271" t="s">
        <v>63</v>
      </c>
      <c r="P66" s="272">
        <f>ifna(vlookup(A66,'Population &amp; Church Numbers'!$A$247:$D$310,4,FALSE),"NULL")</f>
        <v>25</v>
      </c>
      <c r="Q66" s="334" t="s">
        <v>63</v>
      </c>
    </row>
    <row r="67">
      <c r="A67" s="217"/>
      <c r="B67" s="218"/>
      <c r="C67" s="219"/>
      <c r="D67" s="220"/>
      <c r="E67" s="220"/>
      <c r="F67" s="220"/>
      <c r="G67" s="220"/>
      <c r="H67" s="221"/>
      <c r="I67" s="222"/>
      <c r="J67" s="223"/>
      <c r="K67" s="219"/>
      <c r="L67" s="224"/>
      <c r="M67" s="225"/>
      <c r="N67" s="226"/>
      <c r="O67" s="220"/>
      <c r="P67" s="432"/>
      <c r="Q67" s="295"/>
    </row>
    <row r="68">
      <c r="A68" s="228" t="s">
        <v>2</v>
      </c>
      <c r="B68" s="229"/>
      <c r="C68" s="230">
        <f>'CO Data'!DL7</f>
        <v>3538</v>
      </c>
      <c r="D68" s="231">
        <v>2.0</v>
      </c>
      <c r="E68" s="465">
        <f>SUM('CO Data'!DL23:DL25)</f>
        <v>1626</v>
      </c>
      <c r="F68" s="465">
        <f>SUM('CO Data'!DL21:DL22)</f>
        <v>1353</v>
      </c>
      <c r="G68" s="231">
        <f>'CO Data'!B251</f>
        <v>759</v>
      </c>
      <c r="H68" s="233">
        <f>'CO Data'!B316</f>
        <v>3585</v>
      </c>
      <c r="I68" s="234">
        <f>'CO Data'!B202</f>
        <v>393</v>
      </c>
      <c r="J68" s="584" t="s">
        <v>63</v>
      </c>
      <c r="K68" s="684">
        <f>'CO Data'!B497</f>
        <v>0.655</v>
      </c>
      <c r="L68" s="359">
        <f>'CO Data'!B442</f>
        <v>6431</v>
      </c>
      <c r="M68" s="587" t="s">
        <v>63</v>
      </c>
      <c r="N68" s="588" t="s">
        <v>63</v>
      </c>
      <c r="O68" s="588" t="s">
        <v>63</v>
      </c>
      <c r="P68" s="624">
        <f>SUM(P3:P66)</f>
        <v>2824</v>
      </c>
      <c r="Q68" s="239" t="s">
        <v>63</v>
      </c>
    </row>
  </sheetData>
  <autoFilter ref="$A$2:$Q$66"/>
  <mergeCells count="1">
    <mergeCell ref="B1:Q1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2.88"/>
    <col customWidth="1" min="11" max="11" width="14.0"/>
    <col customWidth="1" min="13" max="13" width="16.0"/>
  </cols>
  <sheetData>
    <row r="1">
      <c r="A1" s="275" t="s">
        <v>1040</v>
      </c>
      <c r="B1" s="276"/>
      <c r="C1" s="276"/>
      <c r="D1" s="276"/>
      <c r="E1" s="275"/>
      <c r="F1" s="275"/>
      <c r="G1" s="275" t="s">
        <v>765</v>
      </c>
      <c r="H1" s="540" t="s">
        <v>2141</v>
      </c>
      <c r="K1" s="275" t="s">
        <v>767</v>
      </c>
      <c r="L1" s="277">
        <v>45448.0</v>
      </c>
      <c r="M1" s="275" t="s">
        <v>769</v>
      </c>
      <c r="N1" s="277">
        <v>45382.0</v>
      </c>
      <c r="O1" s="276"/>
    </row>
    <row r="2">
      <c r="A2" s="541" t="s">
        <v>36</v>
      </c>
      <c r="B2" s="485"/>
    </row>
    <row r="3">
      <c r="A3" s="542" t="s">
        <v>2147</v>
      </c>
      <c r="B3" s="543"/>
    </row>
    <row r="4">
      <c r="A4" s="541"/>
      <c r="B4" s="485"/>
      <c r="H4" s="421"/>
      <c r="I4" s="421"/>
      <c r="J4" s="421"/>
      <c r="K4" s="421"/>
      <c r="L4" s="421"/>
      <c r="M4" s="421"/>
      <c r="N4" s="421"/>
      <c r="O4" s="421"/>
      <c r="P4" s="421"/>
      <c r="Q4" s="421"/>
      <c r="R4" s="421"/>
      <c r="S4" s="421"/>
      <c r="T4" s="421"/>
      <c r="U4" s="421"/>
      <c r="V4" s="421"/>
      <c r="W4" s="421"/>
      <c r="X4" s="544"/>
      <c r="Y4" s="545"/>
      <c r="Z4" s="545"/>
      <c r="AA4" s="545"/>
      <c r="AB4" s="545"/>
      <c r="AC4" s="545"/>
      <c r="AD4" s="545"/>
      <c r="AE4" s="545"/>
      <c r="AF4" s="545"/>
      <c r="AG4" s="545"/>
      <c r="AH4" s="545"/>
      <c r="AI4" s="545"/>
      <c r="AJ4" s="545"/>
      <c r="AK4" s="545"/>
      <c r="AL4" s="545"/>
      <c r="AM4" s="545"/>
      <c r="AN4" s="545"/>
      <c r="AO4" s="545"/>
      <c r="AP4" s="545"/>
      <c r="AQ4" s="545"/>
      <c r="AR4" s="545"/>
      <c r="AS4" s="545"/>
      <c r="AT4" s="545"/>
      <c r="AU4" s="545"/>
      <c r="AV4" s="545"/>
      <c r="AW4" s="545"/>
      <c r="AX4" s="545"/>
      <c r="AY4" s="545"/>
      <c r="AZ4" s="545"/>
      <c r="BA4" s="545"/>
      <c r="BB4" s="545"/>
      <c r="BC4" s="545"/>
      <c r="BD4" s="545"/>
      <c r="BE4" s="545"/>
      <c r="BF4" s="545"/>
      <c r="BG4" s="545"/>
      <c r="BH4" s="545"/>
      <c r="BI4" s="545"/>
      <c r="BJ4" s="545"/>
      <c r="BK4" s="545"/>
      <c r="BL4" s="545"/>
      <c r="BM4" s="545"/>
      <c r="BN4" s="545"/>
      <c r="BO4" s="545"/>
      <c r="BP4" s="545"/>
      <c r="BQ4" s="545"/>
      <c r="BR4" s="545"/>
      <c r="BS4" s="545"/>
      <c r="BT4" s="545"/>
      <c r="BU4" s="545"/>
      <c r="BV4" s="545"/>
      <c r="BW4" s="545"/>
      <c r="BX4" s="545"/>
      <c r="BY4" s="545"/>
      <c r="BZ4" s="545"/>
      <c r="CA4" s="545"/>
      <c r="CB4" s="545"/>
      <c r="CC4" s="545"/>
      <c r="CD4" s="545"/>
      <c r="CE4" s="545"/>
      <c r="CF4" s="545"/>
      <c r="CG4" s="545"/>
      <c r="CH4" s="545"/>
      <c r="CI4" s="545"/>
      <c r="CJ4" s="545"/>
      <c r="CK4" s="545"/>
      <c r="CL4" s="545"/>
      <c r="CM4" s="545"/>
      <c r="CN4" s="545"/>
      <c r="CO4" s="545"/>
      <c r="CP4" s="545"/>
      <c r="CQ4" s="545"/>
      <c r="CR4" s="545"/>
      <c r="CS4" s="545"/>
      <c r="CT4" s="545"/>
      <c r="CU4" s="545"/>
      <c r="CV4" s="545"/>
      <c r="CW4" s="545"/>
      <c r="CX4" s="545"/>
      <c r="CY4" s="545"/>
      <c r="CZ4" s="545"/>
      <c r="DA4" s="545"/>
      <c r="DB4" s="545"/>
      <c r="DC4" s="545"/>
      <c r="DD4" s="545"/>
      <c r="DE4" s="545"/>
      <c r="DF4" s="545"/>
      <c r="DG4" s="545"/>
      <c r="DH4" s="545"/>
      <c r="DI4" s="545"/>
      <c r="DJ4" s="545"/>
      <c r="DK4" s="545"/>
      <c r="DL4" s="545"/>
      <c r="DM4" s="545"/>
      <c r="DN4" s="545"/>
      <c r="DO4" s="545"/>
      <c r="DP4" s="545"/>
      <c r="DQ4" s="545"/>
      <c r="DR4" s="545"/>
      <c r="DS4" s="545"/>
      <c r="DT4" s="545"/>
    </row>
    <row r="5">
      <c r="A5" s="546" t="s">
        <v>2155</v>
      </c>
      <c r="B5" s="547" t="s">
        <v>386</v>
      </c>
      <c r="C5" s="547"/>
      <c r="D5" s="547" t="s">
        <v>388</v>
      </c>
      <c r="E5" s="547"/>
      <c r="F5" s="547" t="s">
        <v>389</v>
      </c>
      <c r="G5" s="547"/>
      <c r="H5" s="547" t="s">
        <v>390</v>
      </c>
      <c r="I5" s="547"/>
      <c r="J5" s="547" t="s">
        <v>392</v>
      </c>
      <c r="K5" s="547"/>
      <c r="L5" s="547" t="s">
        <v>394</v>
      </c>
      <c r="M5" s="547"/>
      <c r="N5" s="547" t="s">
        <v>395</v>
      </c>
      <c r="O5" s="547"/>
      <c r="P5" s="547" t="s">
        <v>396</v>
      </c>
      <c r="Q5" s="547"/>
      <c r="R5" s="351" t="s">
        <v>397</v>
      </c>
      <c r="S5" s="548"/>
      <c r="T5" s="351" t="s">
        <v>399</v>
      </c>
      <c r="U5" s="548"/>
      <c r="V5" s="351" t="s">
        <v>400</v>
      </c>
      <c r="W5" s="548"/>
      <c r="X5" s="351" t="s">
        <v>402</v>
      </c>
      <c r="Y5" s="548"/>
      <c r="Z5" s="351" t="s">
        <v>403</v>
      </c>
      <c r="AA5" s="548"/>
      <c r="AB5" s="351" t="s">
        <v>404</v>
      </c>
      <c r="AC5" s="548"/>
      <c r="AD5" s="351" t="s">
        <v>406</v>
      </c>
      <c r="AE5" s="548"/>
      <c r="AF5" s="351" t="s">
        <v>407</v>
      </c>
      <c r="AG5" s="548"/>
      <c r="AH5" s="351" t="s">
        <v>408</v>
      </c>
      <c r="AI5" s="548"/>
      <c r="AJ5" s="351" t="s">
        <v>2158</v>
      </c>
      <c r="AK5" s="548"/>
      <c r="AL5" s="351" t="s">
        <v>411</v>
      </c>
      <c r="AM5" s="548"/>
      <c r="AN5" s="351" t="s">
        <v>412</v>
      </c>
      <c r="AO5" s="548"/>
      <c r="AP5" s="351" t="s">
        <v>413</v>
      </c>
      <c r="AQ5" s="548"/>
      <c r="AR5" s="351" t="s">
        <v>415</v>
      </c>
      <c r="AS5" s="548"/>
      <c r="AT5" s="351" t="s">
        <v>414</v>
      </c>
      <c r="AU5" s="548"/>
      <c r="AV5" s="351" t="s">
        <v>416</v>
      </c>
      <c r="AW5" s="548"/>
      <c r="AX5" s="351" t="s">
        <v>417</v>
      </c>
      <c r="AY5" s="548"/>
      <c r="AZ5" s="351" t="s">
        <v>418</v>
      </c>
      <c r="BA5" s="548"/>
      <c r="BB5" s="351" t="s">
        <v>421</v>
      </c>
      <c r="BC5" s="548"/>
      <c r="BD5" s="351" t="s">
        <v>422</v>
      </c>
      <c r="BE5" s="548"/>
      <c r="BF5" s="351" t="s">
        <v>425</v>
      </c>
      <c r="BG5" s="548"/>
      <c r="BH5" s="351" t="s">
        <v>143</v>
      </c>
      <c r="BI5" s="548"/>
      <c r="BJ5" s="351" t="s">
        <v>428</v>
      </c>
      <c r="BK5" s="548"/>
      <c r="BL5" s="351" t="s">
        <v>429</v>
      </c>
      <c r="BM5" s="548"/>
      <c r="BN5" s="351" t="s">
        <v>337</v>
      </c>
      <c r="BO5" s="548"/>
      <c r="BP5" s="351" t="s">
        <v>431</v>
      </c>
      <c r="BQ5" s="548"/>
      <c r="BR5" s="351" t="s">
        <v>432</v>
      </c>
      <c r="BS5" s="548"/>
      <c r="BT5" s="351" t="s">
        <v>290</v>
      </c>
      <c r="BU5" s="548"/>
      <c r="BV5" s="351" t="s">
        <v>293</v>
      </c>
      <c r="BW5" s="548"/>
      <c r="BX5" s="351" t="s">
        <v>434</v>
      </c>
      <c r="BY5" s="548"/>
      <c r="BZ5" s="351" t="s">
        <v>436</v>
      </c>
      <c r="CA5" s="548"/>
      <c r="CB5" s="351" t="s">
        <v>439</v>
      </c>
      <c r="CC5" s="548"/>
      <c r="CD5" s="351" t="s">
        <v>440</v>
      </c>
      <c r="CE5" s="548"/>
      <c r="CF5" s="351" t="s">
        <v>158</v>
      </c>
      <c r="CG5" s="548"/>
      <c r="CH5" s="351" t="s">
        <v>441</v>
      </c>
      <c r="CI5" s="548"/>
      <c r="CJ5" s="351" t="s">
        <v>445</v>
      </c>
      <c r="CK5" s="548"/>
      <c r="CL5" s="351" t="s">
        <v>446</v>
      </c>
      <c r="CM5" s="548"/>
      <c r="CN5" s="351" t="s">
        <v>449</v>
      </c>
      <c r="CO5" s="548"/>
      <c r="CP5" s="351" t="s">
        <v>450</v>
      </c>
      <c r="CQ5" s="548"/>
      <c r="CR5" s="351" t="s">
        <v>451</v>
      </c>
      <c r="CS5" s="548"/>
      <c r="CT5" s="351" t="s">
        <v>453</v>
      </c>
      <c r="CU5" s="548"/>
      <c r="CV5" s="351" t="s">
        <v>454</v>
      </c>
      <c r="CW5" s="548"/>
      <c r="CX5" s="351" t="s">
        <v>455</v>
      </c>
      <c r="CY5" s="548"/>
      <c r="CZ5" s="351" t="s">
        <v>458</v>
      </c>
      <c r="DA5" s="548"/>
      <c r="DB5" s="351" t="s">
        <v>461</v>
      </c>
      <c r="DC5" s="548"/>
      <c r="DD5" s="351" t="s">
        <v>462</v>
      </c>
      <c r="DE5" s="548"/>
      <c r="DF5" s="351" t="s">
        <v>119</v>
      </c>
      <c r="DG5" s="548"/>
      <c r="DH5" s="351" t="s">
        <v>463</v>
      </c>
      <c r="DI5" s="548"/>
      <c r="DJ5" s="351" t="s">
        <v>236</v>
      </c>
      <c r="DK5" s="548"/>
      <c r="DL5" s="351" t="s">
        <v>923</v>
      </c>
      <c r="DM5" s="548"/>
    </row>
    <row r="6">
      <c r="A6" s="549"/>
      <c r="B6" s="550" t="s">
        <v>2163</v>
      </c>
      <c r="C6" s="550" t="s">
        <v>2165</v>
      </c>
      <c r="D6" s="550" t="s">
        <v>2163</v>
      </c>
      <c r="E6" s="550" t="s">
        <v>2165</v>
      </c>
      <c r="F6" s="550" t="s">
        <v>2163</v>
      </c>
      <c r="G6" s="550" t="s">
        <v>2165</v>
      </c>
      <c r="H6" s="550" t="s">
        <v>2163</v>
      </c>
      <c r="I6" s="550" t="s">
        <v>2165</v>
      </c>
      <c r="J6" s="550" t="s">
        <v>2163</v>
      </c>
      <c r="K6" s="550" t="s">
        <v>2165</v>
      </c>
      <c r="L6" s="550" t="s">
        <v>2163</v>
      </c>
      <c r="M6" s="550" t="s">
        <v>2165</v>
      </c>
      <c r="N6" s="550" t="s">
        <v>2163</v>
      </c>
      <c r="O6" s="550" t="s">
        <v>2165</v>
      </c>
      <c r="P6" s="550" t="s">
        <v>2163</v>
      </c>
      <c r="Q6" s="550" t="s">
        <v>2165</v>
      </c>
      <c r="R6" s="351" t="s">
        <v>2163</v>
      </c>
      <c r="S6" s="351" t="s">
        <v>2165</v>
      </c>
      <c r="T6" s="351" t="s">
        <v>2163</v>
      </c>
      <c r="U6" s="351" t="s">
        <v>2165</v>
      </c>
      <c r="V6" s="351" t="s">
        <v>2163</v>
      </c>
      <c r="W6" s="351" t="s">
        <v>2165</v>
      </c>
      <c r="X6" s="351" t="s">
        <v>2163</v>
      </c>
      <c r="Y6" s="351" t="s">
        <v>2165</v>
      </c>
      <c r="Z6" s="351" t="s">
        <v>2163</v>
      </c>
      <c r="AA6" s="351" t="s">
        <v>2165</v>
      </c>
      <c r="AB6" s="351" t="s">
        <v>2163</v>
      </c>
      <c r="AC6" s="351" t="s">
        <v>2165</v>
      </c>
      <c r="AD6" s="351" t="s">
        <v>2163</v>
      </c>
      <c r="AE6" s="351" t="s">
        <v>2165</v>
      </c>
      <c r="AF6" s="351" t="s">
        <v>2163</v>
      </c>
      <c r="AG6" s="351" t="s">
        <v>2165</v>
      </c>
      <c r="AH6" s="351" t="s">
        <v>2163</v>
      </c>
      <c r="AI6" s="351" t="s">
        <v>2165</v>
      </c>
      <c r="AJ6" s="351" t="s">
        <v>2163</v>
      </c>
      <c r="AK6" s="351" t="s">
        <v>2165</v>
      </c>
      <c r="AL6" s="351" t="s">
        <v>2163</v>
      </c>
      <c r="AM6" s="351" t="s">
        <v>2165</v>
      </c>
      <c r="AN6" s="351" t="s">
        <v>2163</v>
      </c>
      <c r="AO6" s="351" t="s">
        <v>2165</v>
      </c>
      <c r="AP6" s="351" t="s">
        <v>2163</v>
      </c>
      <c r="AQ6" s="351" t="s">
        <v>2165</v>
      </c>
      <c r="AR6" s="351" t="s">
        <v>2163</v>
      </c>
      <c r="AS6" s="351" t="s">
        <v>2165</v>
      </c>
      <c r="AT6" s="351" t="s">
        <v>2163</v>
      </c>
      <c r="AU6" s="351" t="s">
        <v>2165</v>
      </c>
      <c r="AV6" s="351" t="s">
        <v>2163</v>
      </c>
      <c r="AW6" s="351" t="s">
        <v>2165</v>
      </c>
      <c r="AX6" s="351" t="s">
        <v>2163</v>
      </c>
      <c r="AY6" s="351" t="s">
        <v>2165</v>
      </c>
      <c r="AZ6" s="351" t="s">
        <v>2163</v>
      </c>
      <c r="BA6" s="351" t="s">
        <v>2165</v>
      </c>
      <c r="BB6" s="351" t="s">
        <v>2163</v>
      </c>
      <c r="BC6" s="351" t="s">
        <v>2165</v>
      </c>
      <c r="BD6" s="351" t="s">
        <v>2163</v>
      </c>
      <c r="BE6" s="351" t="s">
        <v>2165</v>
      </c>
      <c r="BF6" s="351" t="s">
        <v>2163</v>
      </c>
      <c r="BG6" s="351" t="s">
        <v>2165</v>
      </c>
      <c r="BH6" s="351" t="s">
        <v>2163</v>
      </c>
      <c r="BI6" s="351" t="s">
        <v>2165</v>
      </c>
      <c r="BJ6" s="351" t="s">
        <v>2163</v>
      </c>
      <c r="BK6" s="351" t="s">
        <v>2165</v>
      </c>
      <c r="BL6" s="351" t="s">
        <v>2163</v>
      </c>
      <c r="BM6" s="351" t="s">
        <v>2165</v>
      </c>
      <c r="BN6" s="351" t="s">
        <v>2163</v>
      </c>
      <c r="BO6" s="351" t="s">
        <v>2165</v>
      </c>
      <c r="BP6" s="351" t="s">
        <v>2163</v>
      </c>
      <c r="BQ6" s="351" t="s">
        <v>2165</v>
      </c>
      <c r="BR6" s="351" t="s">
        <v>2163</v>
      </c>
      <c r="BS6" s="351" t="s">
        <v>2165</v>
      </c>
      <c r="BT6" s="351" t="s">
        <v>2163</v>
      </c>
      <c r="BU6" s="351" t="s">
        <v>2165</v>
      </c>
      <c r="BV6" s="351" t="s">
        <v>2163</v>
      </c>
      <c r="BW6" s="351" t="s">
        <v>2165</v>
      </c>
      <c r="BX6" s="351" t="s">
        <v>2163</v>
      </c>
      <c r="BY6" s="351" t="s">
        <v>2165</v>
      </c>
      <c r="BZ6" s="351" t="s">
        <v>2163</v>
      </c>
      <c r="CA6" s="351" t="s">
        <v>2165</v>
      </c>
      <c r="CB6" s="351" t="s">
        <v>2163</v>
      </c>
      <c r="CC6" s="351" t="s">
        <v>2165</v>
      </c>
      <c r="CD6" s="351" t="s">
        <v>2163</v>
      </c>
      <c r="CE6" s="351" t="s">
        <v>2165</v>
      </c>
      <c r="CF6" s="351" t="s">
        <v>2163</v>
      </c>
      <c r="CG6" s="351" t="s">
        <v>2165</v>
      </c>
      <c r="CH6" s="351" t="s">
        <v>2163</v>
      </c>
      <c r="CI6" s="351" t="s">
        <v>2165</v>
      </c>
      <c r="CJ6" s="351" t="s">
        <v>2163</v>
      </c>
      <c r="CK6" s="351" t="s">
        <v>2165</v>
      </c>
      <c r="CL6" s="351" t="s">
        <v>2163</v>
      </c>
      <c r="CM6" s="351" t="s">
        <v>2165</v>
      </c>
      <c r="CN6" s="351" t="s">
        <v>2163</v>
      </c>
      <c r="CO6" s="351" t="s">
        <v>2165</v>
      </c>
      <c r="CP6" s="351" t="s">
        <v>2163</v>
      </c>
      <c r="CQ6" s="351" t="s">
        <v>2165</v>
      </c>
      <c r="CR6" s="351" t="s">
        <v>2163</v>
      </c>
      <c r="CS6" s="351" t="s">
        <v>2165</v>
      </c>
      <c r="CT6" s="351" t="s">
        <v>2163</v>
      </c>
      <c r="CU6" s="351" t="s">
        <v>2165</v>
      </c>
      <c r="CV6" s="351" t="s">
        <v>2163</v>
      </c>
      <c r="CW6" s="351" t="s">
        <v>2165</v>
      </c>
      <c r="CX6" s="351" t="s">
        <v>2163</v>
      </c>
      <c r="CY6" s="351" t="s">
        <v>2165</v>
      </c>
      <c r="CZ6" s="351" t="s">
        <v>2163</v>
      </c>
      <c r="DA6" s="351" t="s">
        <v>2165</v>
      </c>
      <c r="DB6" s="351" t="s">
        <v>2163</v>
      </c>
      <c r="DC6" s="351" t="s">
        <v>2165</v>
      </c>
      <c r="DD6" s="351" t="s">
        <v>2163</v>
      </c>
      <c r="DE6" s="351" t="s">
        <v>2165</v>
      </c>
      <c r="DF6" s="351" t="s">
        <v>2163</v>
      </c>
      <c r="DG6" s="351" t="s">
        <v>2165</v>
      </c>
      <c r="DH6" s="351" t="s">
        <v>2163</v>
      </c>
      <c r="DI6" s="351" t="s">
        <v>2165</v>
      </c>
      <c r="DJ6" s="351" t="s">
        <v>2163</v>
      </c>
      <c r="DK6" s="351" t="s">
        <v>2165</v>
      </c>
      <c r="DL6" s="351" t="s">
        <v>2163</v>
      </c>
      <c r="DM6" s="351" t="s">
        <v>2165</v>
      </c>
    </row>
    <row r="7">
      <c r="A7" s="549" t="s">
        <v>2171</v>
      </c>
      <c r="B7" s="551">
        <v>263.0</v>
      </c>
      <c r="C7" s="552">
        <v>1.0</v>
      </c>
      <c r="D7" s="551">
        <v>19.0</v>
      </c>
      <c r="E7" s="552">
        <v>1.0</v>
      </c>
      <c r="F7" s="551">
        <v>371.0</v>
      </c>
      <c r="G7" s="552">
        <v>1.0</v>
      </c>
      <c r="H7" s="551">
        <v>14.0</v>
      </c>
      <c r="I7" s="552">
        <v>1.0</v>
      </c>
      <c r="J7" s="551">
        <v>2.0</v>
      </c>
      <c r="K7" s="552">
        <v>1.0</v>
      </c>
      <c r="L7" s="551">
        <v>1.0</v>
      </c>
      <c r="M7" s="552">
        <v>1.0</v>
      </c>
      <c r="N7" s="551">
        <v>97.0</v>
      </c>
      <c r="O7" s="552">
        <v>1.0</v>
      </c>
      <c r="P7" s="551">
        <v>6.0</v>
      </c>
      <c r="Q7" s="552">
        <v>1.0</v>
      </c>
      <c r="R7" s="206">
        <v>10.0</v>
      </c>
      <c r="S7" s="553">
        <v>1.0</v>
      </c>
      <c r="T7" s="206">
        <v>5.0</v>
      </c>
      <c r="U7" s="553">
        <v>1.0</v>
      </c>
      <c r="V7" s="206">
        <v>4.0</v>
      </c>
      <c r="W7" s="553">
        <v>1.0</v>
      </c>
      <c r="X7" s="206">
        <v>2.0</v>
      </c>
      <c r="Y7" s="553">
        <v>1.0</v>
      </c>
      <c r="Z7" s="206">
        <v>14.0</v>
      </c>
      <c r="AA7" s="553">
        <v>1.0</v>
      </c>
      <c r="AB7" s="206">
        <v>10.0</v>
      </c>
      <c r="AC7" s="553">
        <v>1.0</v>
      </c>
      <c r="AD7" s="206">
        <v>4.0</v>
      </c>
      <c r="AE7" s="553">
        <v>1.0</v>
      </c>
      <c r="AF7" s="206">
        <v>74.0</v>
      </c>
      <c r="AG7" s="553">
        <v>1.0</v>
      </c>
      <c r="AH7" s="206">
        <v>506.0</v>
      </c>
      <c r="AI7" s="553">
        <v>1.0</v>
      </c>
      <c r="AJ7" s="206">
        <v>110.0</v>
      </c>
      <c r="AK7" s="553">
        <v>1.0</v>
      </c>
      <c r="AL7" s="206">
        <v>1.0</v>
      </c>
      <c r="AM7" s="553">
        <v>1.0</v>
      </c>
      <c r="AN7" s="206">
        <v>73.0</v>
      </c>
      <c r="AO7" s="553">
        <v>1.0</v>
      </c>
      <c r="AP7" s="206">
        <v>3.0</v>
      </c>
      <c r="AQ7" s="553">
        <v>1.0</v>
      </c>
      <c r="AR7" s="206">
        <v>614.0</v>
      </c>
      <c r="AS7" s="553">
        <v>1.0</v>
      </c>
      <c r="AT7" s="206">
        <v>11.0</v>
      </c>
      <c r="AU7" s="553">
        <v>1.0</v>
      </c>
      <c r="AV7" s="206">
        <v>33.0</v>
      </c>
      <c r="AW7" s="553">
        <v>1.0</v>
      </c>
      <c r="AX7" s="206">
        <v>26.0</v>
      </c>
      <c r="AY7" s="553">
        <v>1.0</v>
      </c>
      <c r="AZ7" s="206">
        <v>1.0</v>
      </c>
      <c r="BA7" s="553">
        <v>1.0</v>
      </c>
      <c r="BB7" s="206">
        <v>4.0</v>
      </c>
      <c r="BC7" s="553">
        <v>1.0</v>
      </c>
      <c r="BD7" s="206">
        <v>7.0</v>
      </c>
      <c r="BE7" s="553">
        <v>1.0</v>
      </c>
      <c r="BF7" s="206">
        <v>12.0</v>
      </c>
      <c r="BG7" s="553">
        <v>1.0</v>
      </c>
      <c r="BH7" s="206">
        <v>223.0</v>
      </c>
      <c r="BI7" s="553">
        <v>1.0</v>
      </c>
      <c r="BJ7" s="206">
        <v>8.0</v>
      </c>
      <c r="BK7" s="553">
        <v>1.0</v>
      </c>
      <c r="BL7" s="206">
        <v>10.0</v>
      </c>
      <c r="BM7" s="553">
        <v>1.0</v>
      </c>
      <c r="BN7" s="206">
        <v>3.0</v>
      </c>
      <c r="BO7" s="553">
        <v>1.0</v>
      </c>
      <c r="BP7" s="206">
        <v>194.0</v>
      </c>
      <c r="BQ7" s="553">
        <v>1.0</v>
      </c>
      <c r="BR7" s="206">
        <v>20.0</v>
      </c>
      <c r="BS7" s="553">
        <v>1.0</v>
      </c>
      <c r="BT7" s="206">
        <v>7.0</v>
      </c>
      <c r="BU7" s="553">
        <v>1.0</v>
      </c>
      <c r="BV7" s="206">
        <v>43.0</v>
      </c>
      <c r="BW7" s="553">
        <v>1.0</v>
      </c>
      <c r="BX7" s="206">
        <v>173.0</v>
      </c>
      <c r="BY7" s="553">
        <v>1.0</v>
      </c>
      <c r="BZ7" s="206">
        <v>2.0</v>
      </c>
      <c r="CA7" s="553">
        <v>1.0</v>
      </c>
      <c r="CB7" s="206">
        <v>14.0</v>
      </c>
      <c r="CC7" s="553">
        <v>1.0</v>
      </c>
      <c r="CD7" s="206">
        <v>65.0</v>
      </c>
      <c r="CE7" s="553">
        <v>1.0</v>
      </c>
      <c r="CF7" s="206">
        <v>26.0</v>
      </c>
      <c r="CG7" s="553">
        <v>1.0</v>
      </c>
      <c r="CH7" s="206">
        <v>17.0</v>
      </c>
      <c r="CI7" s="553">
        <v>1.0</v>
      </c>
      <c r="CJ7" s="206">
        <v>14.0</v>
      </c>
      <c r="CK7" s="553">
        <v>1.0</v>
      </c>
      <c r="CL7" s="206">
        <v>1.0</v>
      </c>
      <c r="CM7" s="553">
        <v>1.0</v>
      </c>
      <c r="CN7" s="206">
        <v>5.0</v>
      </c>
      <c r="CO7" s="553">
        <v>1.0</v>
      </c>
      <c r="CP7" s="206">
        <v>162.0</v>
      </c>
      <c r="CQ7" s="553">
        <v>1.0</v>
      </c>
      <c r="CR7" s="206">
        <v>13.0</v>
      </c>
      <c r="CS7" s="553">
        <v>1.0</v>
      </c>
      <c r="CT7" s="206">
        <v>12.0</v>
      </c>
      <c r="CU7" s="553">
        <v>1.0</v>
      </c>
      <c r="CV7" s="206">
        <v>6.0</v>
      </c>
      <c r="CW7" s="553">
        <v>1.0</v>
      </c>
      <c r="CX7" s="206">
        <v>10.0</v>
      </c>
      <c r="CY7" s="553">
        <v>1.0</v>
      </c>
      <c r="CZ7" s="206">
        <v>3.0</v>
      </c>
      <c r="DA7" s="553">
        <v>1.0</v>
      </c>
      <c r="DB7" s="206">
        <v>6.0</v>
      </c>
      <c r="DC7" s="553">
        <v>1.0</v>
      </c>
      <c r="DD7" s="206">
        <v>11.0</v>
      </c>
      <c r="DE7" s="553">
        <v>1.0</v>
      </c>
      <c r="DF7" s="206">
        <v>3.0</v>
      </c>
      <c r="DG7" s="553">
        <v>1.0</v>
      </c>
      <c r="DH7" s="206">
        <v>187.0</v>
      </c>
      <c r="DI7" s="553">
        <v>1.0</v>
      </c>
      <c r="DJ7" s="206">
        <v>3.0</v>
      </c>
      <c r="DK7" s="553">
        <v>1.0</v>
      </c>
      <c r="DL7" s="206">
        <v>3538.0</v>
      </c>
      <c r="DM7" s="553">
        <v>1.0</v>
      </c>
    </row>
    <row r="8">
      <c r="A8" s="549" t="s">
        <v>2175</v>
      </c>
      <c r="B8" s="551">
        <v>17.0</v>
      </c>
      <c r="C8" s="552">
        <v>0.065</v>
      </c>
      <c r="D8" s="551">
        <v>1.0</v>
      </c>
      <c r="E8" s="552">
        <v>0.053</v>
      </c>
      <c r="F8" s="551">
        <v>17.0</v>
      </c>
      <c r="G8" s="552">
        <v>0.046</v>
      </c>
      <c r="H8" s="551">
        <v>1.0</v>
      </c>
      <c r="I8" s="552">
        <v>0.071</v>
      </c>
      <c r="J8" s="551">
        <v>0.0</v>
      </c>
      <c r="K8" s="552">
        <v>0.0</v>
      </c>
      <c r="L8" s="551">
        <v>0.0</v>
      </c>
      <c r="M8" s="552">
        <v>0.0</v>
      </c>
      <c r="N8" s="551">
        <v>8.0</v>
      </c>
      <c r="O8" s="552">
        <v>0.082</v>
      </c>
      <c r="P8" s="551">
        <v>1.0</v>
      </c>
      <c r="Q8" s="552">
        <v>0.167</v>
      </c>
      <c r="R8" s="206">
        <v>0.0</v>
      </c>
      <c r="S8" s="553">
        <v>0.0</v>
      </c>
      <c r="T8" s="206">
        <v>0.0</v>
      </c>
      <c r="U8" s="553">
        <v>0.0</v>
      </c>
      <c r="V8" s="206">
        <v>0.0</v>
      </c>
      <c r="W8" s="553">
        <v>0.0</v>
      </c>
      <c r="X8" s="206">
        <v>0.0</v>
      </c>
      <c r="Y8" s="553">
        <v>0.0</v>
      </c>
      <c r="Z8" s="206">
        <v>1.0</v>
      </c>
      <c r="AA8" s="553">
        <v>0.071</v>
      </c>
      <c r="AB8" s="206">
        <v>0.0</v>
      </c>
      <c r="AC8" s="553">
        <v>0.0</v>
      </c>
      <c r="AD8" s="206">
        <v>0.0</v>
      </c>
      <c r="AE8" s="553">
        <v>0.0</v>
      </c>
      <c r="AF8" s="206">
        <v>5.0</v>
      </c>
      <c r="AG8" s="553">
        <v>0.068</v>
      </c>
      <c r="AH8" s="206">
        <v>22.0</v>
      </c>
      <c r="AI8" s="553">
        <v>0.043</v>
      </c>
      <c r="AJ8" s="206">
        <v>97.0</v>
      </c>
      <c r="AK8" s="553">
        <v>0.882</v>
      </c>
      <c r="AL8" s="206">
        <v>0.0</v>
      </c>
      <c r="AM8" s="553">
        <v>0.0</v>
      </c>
      <c r="AN8" s="206">
        <v>7.0</v>
      </c>
      <c r="AO8" s="553">
        <v>0.096</v>
      </c>
      <c r="AP8" s="206">
        <v>0.0</v>
      </c>
      <c r="AQ8" s="553">
        <v>0.0</v>
      </c>
      <c r="AR8" s="206">
        <v>48.0</v>
      </c>
      <c r="AS8" s="553">
        <v>0.078</v>
      </c>
      <c r="AT8" s="206">
        <v>2.0</v>
      </c>
      <c r="AU8" s="553">
        <v>0.182</v>
      </c>
      <c r="AV8" s="206">
        <v>2.0</v>
      </c>
      <c r="AW8" s="553">
        <v>0.061</v>
      </c>
      <c r="AX8" s="206">
        <v>3.0</v>
      </c>
      <c r="AY8" s="553">
        <v>0.115</v>
      </c>
      <c r="AZ8" s="206">
        <v>0.0</v>
      </c>
      <c r="BA8" s="553">
        <v>0.0</v>
      </c>
      <c r="BB8" s="206">
        <v>3.0</v>
      </c>
      <c r="BC8" s="553">
        <v>0.75</v>
      </c>
      <c r="BD8" s="206">
        <v>0.0</v>
      </c>
      <c r="BE8" s="553">
        <v>0.0</v>
      </c>
      <c r="BF8" s="206">
        <v>1.0</v>
      </c>
      <c r="BG8" s="553">
        <v>0.083</v>
      </c>
      <c r="BH8" s="206">
        <v>11.0</v>
      </c>
      <c r="BI8" s="553">
        <v>0.049</v>
      </c>
      <c r="BJ8" s="206">
        <v>1.0</v>
      </c>
      <c r="BK8" s="553">
        <v>0.125</v>
      </c>
      <c r="BL8" s="206">
        <v>0.0</v>
      </c>
      <c r="BM8" s="553">
        <v>0.0</v>
      </c>
      <c r="BN8" s="206">
        <v>0.0</v>
      </c>
      <c r="BO8" s="553">
        <v>0.0</v>
      </c>
      <c r="BP8" s="206">
        <v>10.0</v>
      </c>
      <c r="BQ8" s="553">
        <v>0.052</v>
      </c>
      <c r="BR8" s="206">
        <v>0.0</v>
      </c>
      <c r="BS8" s="553">
        <v>0.0</v>
      </c>
      <c r="BT8" s="206">
        <v>0.0</v>
      </c>
      <c r="BU8" s="553">
        <v>0.0</v>
      </c>
      <c r="BV8" s="206">
        <v>2.0</v>
      </c>
      <c r="BW8" s="553">
        <v>0.047</v>
      </c>
      <c r="BX8" s="206">
        <v>17.0</v>
      </c>
      <c r="BY8" s="553">
        <v>0.098</v>
      </c>
      <c r="BZ8" s="206">
        <v>1.0</v>
      </c>
      <c r="CA8" s="553">
        <v>0.5</v>
      </c>
      <c r="CB8" s="206">
        <v>0.0</v>
      </c>
      <c r="CC8" s="553">
        <v>0.0</v>
      </c>
      <c r="CD8" s="206">
        <v>2.0</v>
      </c>
      <c r="CE8" s="553">
        <v>0.031</v>
      </c>
      <c r="CF8" s="206">
        <v>2.0</v>
      </c>
      <c r="CG8" s="553">
        <v>0.077</v>
      </c>
      <c r="CH8" s="206">
        <v>1.0</v>
      </c>
      <c r="CI8" s="553">
        <v>0.059</v>
      </c>
      <c r="CJ8" s="206">
        <v>0.0</v>
      </c>
      <c r="CK8" s="553">
        <v>0.0</v>
      </c>
      <c r="CL8" s="206">
        <v>0.0</v>
      </c>
      <c r="CM8" s="553">
        <v>0.0</v>
      </c>
      <c r="CN8" s="206">
        <v>1.0</v>
      </c>
      <c r="CO8" s="553">
        <v>0.2</v>
      </c>
      <c r="CP8" s="206">
        <v>15.0</v>
      </c>
      <c r="CQ8" s="553">
        <v>0.093</v>
      </c>
      <c r="CR8" s="206">
        <v>2.0</v>
      </c>
      <c r="CS8" s="553">
        <v>0.154</v>
      </c>
      <c r="CT8" s="206">
        <v>2.0</v>
      </c>
      <c r="CU8" s="553">
        <v>0.167</v>
      </c>
      <c r="CV8" s="206">
        <v>0.0</v>
      </c>
      <c r="CW8" s="553">
        <v>0.0</v>
      </c>
      <c r="CX8" s="206">
        <v>3.0</v>
      </c>
      <c r="CY8" s="553">
        <v>0.3</v>
      </c>
      <c r="CZ8" s="206">
        <v>0.0</v>
      </c>
      <c r="DA8" s="553">
        <v>0.0</v>
      </c>
      <c r="DB8" s="206">
        <v>1.0</v>
      </c>
      <c r="DC8" s="553">
        <v>0.167</v>
      </c>
      <c r="DD8" s="206">
        <v>2.0</v>
      </c>
      <c r="DE8" s="553">
        <v>0.182</v>
      </c>
      <c r="DF8" s="206">
        <v>0.0</v>
      </c>
      <c r="DG8" s="553">
        <v>0.0</v>
      </c>
      <c r="DH8" s="206">
        <v>8.0</v>
      </c>
      <c r="DI8" s="553">
        <v>0.043</v>
      </c>
      <c r="DJ8" s="206">
        <v>0.0</v>
      </c>
      <c r="DK8" s="553">
        <v>0.0</v>
      </c>
      <c r="DL8" s="206">
        <v>317.0</v>
      </c>
      <c r="DM8" s="553">
        <v>0.09</v>
      </c>
    </row>
    <row r="9">
      <c r="A9" s="549" t="s">
        <v>2180</v>
      </c>
      <c r="B9" s="551">
        <v>4.0</v>
      </c>
      <c r="C9" s="552">
        <v>0.015</v>
      </c>
      <c r="D9" s="551">
        <v>1.0</v>
      </c>
      <c r="E9" s="552">
        <v>0.053</v>
      </c>
      <c r="F9" s="551">
        <v>0.0</v>
      </c>
      <c r="G9" s="552">
        <v>0.0</v>
      </c>
      <c r="H9" s="551">
        <v>0.0</v>
      </c>
      <c r="I9" s="552">
        <v>0.0</v>
      </c>
      <c r="J9" s="551">
        <v>0.0</v>
      </c>
      <c r="K9" s="552">
        <v>0.0</v>
      </c>
      <c r="L9" s="551">
        <v>0.0</v>
      </c>
      <c r="M9" s="552">
        <v>0.0</v>
      </c>
      <c r="N9" s="551">
        <v>0.0</v>
      </c>
      <c r="O9" s="552">
        <v>0.0</v>
      </c>
      <c r="P9" s="551">
        <v>0.0</v>
      </c>
      <c r="Q9" s="552">
        <v>0.0</v>
      </c>
      <c r="R9" s="206">
        <v>0.0</v>
      </c>
      <c r="S9" s="553">
        <v>0.0</v>
      </c>
      <c r="T9" s="206">
        <v>0.0</v>
      </c>
      <c r="U9" s="553">
        <v>0.0</v>
      </c>
      <c r="V9" s="206">
        <v>0.0</v>
      </c>
      <c r="W9" s="553">
        <v>0.0</v>
      </c>
      <c r="X9" s="206">
        <v>0.0</v>
      </c>
      <c r="Y9" s="553">
        <v>0.0</v>
      </c>
      <c r="Z9" s="206">
        <v>0.0</v>
      </c>
      <c r="AA9" s="553">
        <v>0.0</v>
      </c>
      <c r="AB9" s="206">
        <v>0.0</v>
      </c>
      <c r="AC9" s="553">
        <v>0.0</v>
      </c>
      <c r="AD9" s="206">
        <v>0.0</v>
      </c>
      <c r="AE9" s="553">
        <v>0.0</v>
      </c>
      <c r="AF9" s="206">
        <v>2.0</v>
      </c>
      <c r="AG9" s="553">
        <v>0.027</v>
      </c>
      <c r="AH9" s="206">
        <v>10.0</v>
      </c>
      <c r="AI9" s="553">
        <v>0.02</v>
      </c>
      <c r="AJ9" s="206">
        <v>2.0</v>
      </c>
      <c r="AK9" s="553">
        <v>0.018</v>
      </c>
      <c r="AL9" s="206">
        <v>0.0</v>
      </c>
      <c r="AM9" s="553">
        <v>0.0</v>
      </c>
      <c r="AN9" s="206">
        <v>1.0</v>
      </c>
      <c r="AO9" s="553">
        <v>0.014</v>
      </c>
      <c r="AP9" s="206">
        <v>0.0</v>
      </c>
      <c r="AQ9" s="553">
        <v>0.0</v>
      </c>
      <c r="AR9" s="206">
        <v>3.0</v>
      </c>
      <c r="AS9" s="553">
        <v>0.005</v>
      </c>
      <c r="AT9" s="206">
        <v>0.0</v>
      </c>
      <c r="AU9" s="553">
        <v>0.0</v>
      </c>
      <c r="AV9" s="206">
        <v>0.0</v>
      </c>
      <c r="AW9" s="553">
        <v>0.0</v>
      </c>
      <c r="AX9" s="206">
        <v>1.0</v>
      </c>
      <c r="AY9" s="553">
        <v>0.038</v>
      </c>
      <c r="AZ9" s="206">
        <v>0.0</v>
      </c>
      <c r="BA9" s="553">
        <v>0.0</v>
      </c>
      <c r="BB9" s="206">
        <v>0.0</v>
      </c>
      <c r="BC9" s="553">
        <v>0.0</v>
      </c>
      <c r="BD9" s="206">
        <v>0.0</v>
      </c>
      <c r="BE9" s="553">
        <v>0.0</v>
      </c>
      <c r="BF9" s="206">
        <v>0.0</v>
      </c>
      <c r="BG9" s="553">
        <v>0.0</v>
      </c>
      <c r="BH9" s="206">
        <v>4.0</v>
      </c>
      <c r="BI9" s="553">
        <v>0.018</v>
      </c>
      <c r="BJ9" s="206">
        <v>1.0</v>
      </c>
      <c r="BK9" s="553">
        <v>0.125</v>
      </c>
      <c r="BL9" s="206">
        <v>0.0</v>
      </c>
      <c r="BM9" s="553">
        <v>0.0</v>
      </c>
      <c r="BN9" s="206">
        <v>0.0</v>
      </c>
      <c r="BO9" s="553">
        <v>0.0</v>
      </c>
      <c r="BP9" s="206">
        <v>1.0</v>
      </c>
      <c r="BQ9" s="553">
        <v>0.005</v>
      </c>
      <c r="BR9" s="206">
        <v>0.0</v>
      </c>
      <c r="BS9" s="553">
        <v>0.0</v>
      </c>
      <c r="BT9" s="206">
        <v>0.0</v>
      </c>
      <c r="BU9" s="553">
        <v>0.0</v>
      </c>
      <c r="BV9" s="206">
        <v>1.0</v>
      </c>
      <c r="BW9" s="553">
        <v>0.023</v>
      </c>
      <c r="BX9" s="206">
        <v>4.0</v>
      </c>
      <c r="BY9" s="553">
        <v>0.023</v>
      </c>
      <c r="BZ9" s="206">
        <v>0.0</v>
      </c>
      <c r="CA9" s="553">
        <v>0.0</v>
      </c>
      <c r="CB9" s="206">
        <v>0.0</v>
      </c>
      <c r="CC9" s="553">
        <v>0.0</v>
      </c>
      <c r="CD9" s="206">
        <v>0.0</v>
      </c>
      <c r="CE9" s="553">
        <v>0.0</v>
      </c>
      <c r="CF9" s="206">
        <v>0.0</v>
      </c>
      <c r="CG9" s="553">
        <v>0.0</v>
      </c>
      <c r="CH9" s="206">
        <v>0.0</v>
      </c>
      <c r="CI9" s="553">
        <v>0.0</v>
      </c>
      <c r="CJ9" s="206">
        <v>0.0</v>
      </c>
      <c r="CK9" s="553">
        <v>0.0</v>
      </c>
      <c r="CL9" s="206">
        <v>0.0</v>
      </c>
      <c r="CM9" s="553">
        <v>0.0</v>
      </c>
      <c r="CN9" s="206">
        <v>0.0</v>
      </c>
      <c r="CO9" s="553">
        <v>0.0</v>
      </c>
      <c r="CP9" s="206">
        <v>1.0</v>
      </c>
      <c r="CQ9" s="553">
        <v>0.006</v>
      </c>
      <c r="CR9" s="206">
        <v>1.0</v>
      </c>
      <c r="CS9" s="553">
        <v>0.077</v>
      </c>
      <c r="CT9" s="206">
        <v>1.0</v>
      </c>
      <c r="CU9" s="553">
        <v>0.083</v>
      </c>
      <c r="CV9" s="206">
        <v>0.0</v>
      </c>
      <c r="CW9" s="553">
        <v>0.0</v>
      </c>
      <c r="CX9" s="206">
        <v>0.0</v>
      </c>
      <c r="CY9" s="553">
        <v>0.0</v>
      </c>
      <c r="CZ9" s="206">
        <v>0.0</v>
      </c>
      <c r="DA9" s="553">
        <v>0.0</v>
      </c>
      <c r="DB9" s="206">
        <v>1.0</v>
      </c>
      <c r="DC9" s="553">
        <v>0.167</v>
      </c>
      <c r="DD9" s="206">
        <v>0.0</v>
      </c>
      <c r="DE9" s="553">
        <v>0.0</v>
      </c>
      <c r="DF9" s="206">
        <v>0.0</v>
      </c>
      <c r="DG9" s="553">
        <v>0.0</v>
      </c>
      <c r="DH9" s="206">
        <v>0.0</v>
      </c>
      <c r="DI9" s="553">
        <v>0.0</v>
      </c>
      <c r="DJ9" s="206">
        <v>0.0</v>
      </c>
      <c r="DK9" s="553">
        <v>0.0</v>
      </c>
      <c r="DL9" s="206">
        <v>39.0</v>
      </c>
      <c r="DM9" s="553">
        <v>0.011</v>
      </c>
    </row>
    <row r="10">
      <c r="A10" s="549" t="s">
        <v>2184</v>
      </c>
      <c r="B10" s="551">
        <v>4.0</v>
      </c>
      <c r="C10" s="552">
        <v>0.015</v>
      </c>
      <c r="D10" s="551">
        <v>0.0</v>
      </c>
      <c r="E10" s="552">
        <v>0.0</v>
      </c>
      <c r="F10" s="551">
        <v>12.0</v>
      </c>
      <c r="G10" s="552">
        <v>0.032</v>
      </c>
      <c r="H10" s="551">
        <v>1.0</v>
      </c>
      <c r="I10" s="552">
        <v>0.071</v>
      </c>
      <c r="J10" s="551">
        <v>0.0</v>
      </c>
      <c r="K10" s="552">
        <v>0.0</v>
      </c>
      <c r="L10" s="551">
        <v>0.0</v>
      </c>
      <c r="M10" s="552">
        <v>0.0</v>
      </c>
      <c r="N10" s="551">
        <v>3.0</v>
      </c>
      <c r="O10" s="552">
        <v>0.031</v>
      </c>
      <c r="P10" s="551">
        <v>1.0</v>
      </c>
      <c r="Q10" s="552">
        <v>0.167</v>
      </c>
      <c r="R10" s="206">
        <v>0.0</v>
      </c>
      <c r="S10" s="553">
        <v>0.0</v>
      </c>
      <c r="T10" s="206">
        <v>0.0</v>
      </c>
      <c r="U10" s="553">
        <v>0.0</v>
      </c>
      <c r="V10" s="206">
        <v>0.0</v>
      </c>
      <c r="W10" s="553">
        <v>0.0</v>
      </c>
      <c r="X10" s="206">
        <v>0.0</v>
      </c>
      <c r="Y10" s="553">
        <v>0.0</v>
      </c>
      <c r="Z10" s="206">
        <v>0.0</v>
      </c>
      <c r="AA10" s="553">
        <v>0.0</v>
      </c>
      <c r="AB10" s="206">
        <v>0.0</v>
      </c>
      <c r="AC10" s="553">
        <v>0.0</v>
      </c>
      <c r="AD10" s="206">
        <v>0.0</v>
      </c>
      <c r="AE10" s="553">
        <v>0.0</v>
      </c>
      <c r="AF10" s="206">
        <v>1.0</v>
      </c>
      <c r="AG10" s="553">
        <v>0.014</v>
      </c>
      <c r="AH10" s="206">
        <v>2.0</v>
      </c>
      <c r="AI10" s="553">
        <v>0.004</v>
      </c>
      <c r="AJ10" s="206">
        <v>4.0</v>
      </c>
      <c r="AK10" s="553">
        <v>0.036</v>
      </c>
      <c r="AL10" s="206">
        <v>0.0</v>
      </c>
      <c r="AM10" s="553">
        <v>0.0</v>
      </c>
      <c r="AN10" s="206">
        <v>3.0</v>
      </c>
      <c r="AO10" s="553">
        <v>0.041</v>
      </c>
      <c r="AP10" s="206">
        <v>0.0</v>
      </c>
      <c r="AQ10" s="553">
        <v>0.0</v>
      </c>
      <c r="AR10" s="206">
        <v>9.0</v>
      </c>
      <c r="AS10" s="553">
        <v>0.015</v>
      </c>
      <c r="AT10" s="206">
        <v>0.0</v>
      </c>
      <c r="AU10" s="553">
        <v>0.0</v>
      </c>
      <c r="AV10" s="206">
        <v>1.0</v>
      </c>
      <c r="AW10" s="553">
        <v>0.03</v>
      </c>
      <c r="AX10" s="206">
        <v>0.0</v>
      </c>
      <c r="AY10" s="553">
        <v>0.0</v>
      </c>
      <c r="AZ10" s="206">
        <v>0.0</v>
      </c>
      <c r="BA10" s="553">
        <v>0.0</v>
      </c>
      <c r="BB10" s="206">
        <v>0.0</v>
      </c>
      <c r="BC10" s="553">
        <v>0.0</v>
      </c>
      <c r="BD10" s="206">
        <v>0.0</v>
      </c>
      <c r="BE10" s="553">
        <v>0.0</v>
      </c>
      <c r="BF10" s="206">
        <v>1.0</v>
      </c>
      <c r="BG10" s="553">
        <v>0.083</v>
      </c>
      <c r="BH10" s="206">
        <v>5.0</v>
      </c>
      <c r="BI10" s="553">
        <v>0.022</v>
      </c>
      <c r="BJ10" s="206">
        <v>0.0</v>
      </c>
      <c r="BK10" s="553">
        <v>0.0</v>
      </c>
      <c r="BL10" s="206">
        <v>0.0</v>
      </c>
      <c r="BM10" s="553">
        <v>0.0</v>
      </c>
      <c r="BN10" s="206">
        <v>0.0</v>
      </c>
      <c r="BO10" s="553">
        <v>0.0</v>
      </c>
      <c r="BP10" s="206">
        <v>4.0</v>
      </c>
      <c r="BQ10" s="553">
        <v>0.021</v>
      </c>
      <c r="BR10" s="206">
        <v>0.0</v>
      </c>
      <c r="BS10" s="553">
        <v>0.0</v>
      </c>
      <c r="BT10" s="206">
        <v>0.0</v>
      </c>
      <c r="BU10" s="553">
        <v>0.0</v>
      </c>
      <c r="BV10" s="206">
        <v>1.0</v>
      </c>
      <c r="BW10" s="553">
        <v>0.023</v>
      </c>
      <c r="BX10" s="206">
        <v>5.0</v>
      </c>
      <c r="BY10" s="553">
        <v>0.029</v>
      </c>
      <c r="BZ10" s="206">
        <v>0.0</v>
      </c>
      <c r="CA10" s="553">
        <v>0.0</v>
      </c>
      <c r="CB10" s="206">
        <v>0.0</v>
      </c>
      <c r="CC10" s="553">
        <v>0.0</v>
      </c>
      <c r="CD10" s="206">
        <v>0.0</v>
      </c>
      <c r="CE10" s="553">
        <v>0.0</v>
      </c>
      <c r="CF10" s="206">
        <v>0.0</v>
      </c>
      <c r="CG10" s="553">
        <v>0.0</v>
      </c>
      <c r="CH10" s="206">
        <v>1.0</v>
      </c>
      <c r="CI10" s="553">
        <v>0.059</v>
      </c>
      <c r="CJ10" s="206">
        <v>0.0</v>
      </c>
      <c r="CK10" s="553">
        <v>0.0</v>
      </c>
      <c r="CL10" s="206">
        <v>0.0</v>
      </c>
      <c r="CM10" s="553">
        <v>0.0</v>
      </c>
      <c r="CN10" s="206">
        <v>1.0</v>
      </c>
      <c r="CO10" s="553">
        <v>0.2</v>
      </c>
      <c r="CP10" s="206">
        <v>3.0</v>
      </c>
      <c r="CQ10" s="553">
        <v>0.019</v>
      </c>
      <c r="CR10" s="206">
        <v>1.0</v>
      </c>
      <c r="CS10" s="553">
        <v>0.077</v>
      </c>
      <c r="CT10" s="206">
        <v>1.0</v>
      </c>
      <c r="CU10" s="553">
        <v>0.083</v>
      </c>
      <c r="CV10" s="206">
        <v>0.0</v>
      </c>
      <c r="CW10" s="553">
        <v>0.0</v>
      </c>
      <c r="CX10" s="206">
        <v>0.0</v>
      </c>
      <c r="CY10" s="553">
        <v>0.0</v>
      </c>
      <c r="CZ10" s="206">
        <v>0.0</v>
      </c>
      <c r="DA10" s="553">
        <v>0.0</v>
      </c>
      <c r="DB10" s="206">
        <v>0.0</v>
      </c>
      <c r="DC10" s="553">
        <v>0.0</v>
      </c>
      <c r="DD10" s="206">
        <v>1.0</v>
      </c>
      <c r="DE10" s="553">
        <v>0.091</v>
      </c>
      <c r="DF10" s="206">
        <v>0.0</v>
      </c>
      <c r="DG10" s="553">
        <v>0.0</v>
      </c>
      <c r="DH10" s="206">
        <v>0.0</v>
      </c>
      <c r="DI10" s="553">
        <v>0.0</v>
      </c>
      <c r="DJ10" s="206">
        <v>0.0</v>
      </c>
      <c r="DK10" s="553">
        <v>0.0</v>
      </c>
      <c r="DL10" s="206">
        <v>65.0</v>
      </c>
      <c r="DM10" s="553">
        <v>0.018</v>
      </c>
    </row>
    <row r="11">
      <c r="A11" s="549" t="s">
        <v>2189</v>
      </c>
      <c r="B11" s="551">
        <v>1.0</v>
      </c>
      <c r="C11" s="552">
        <v>0.004</v>
      </c>
      <c r="D11" s="551">
        <v>0.0</v>
      </c>
      <c r="E11" s="552">
        <v>0.0</v>
      </c>
      <c r="F11" s="551">
        <v>7.0</v>
      </c>
      <c r="G11" s="552">
        <v>0.019</v>
      </c>
      <c r="H11" s="551">
        <v>0.0</v>
      </c>
      <c r="I11" s="552">
        <v>0.0</v>
      </c>
      <c r="J11" s="551">
        <v>0.0</v>
      </c>
      <c r="K11" s="552">
        <v>0.0</v>
      </c>
      <c r="L11" s="551">
        <v>0.0</v>
      </c>
      <c r="M11" s="552">
        <v>0.0</v>
      </c>
      <c r="N11" s="551">
        <v>0.0</v>
      </c>
      <c r="O11" s="552">
        <v>0.0</v>
      </c>
      <c r="P11" s="551">
        <v>1.0</v>
      </c>
      <c r="Q11" s="552">
        <v>0.167</v>
      </c>
      <c r="R11" s="206">
        <v>0.0</v>
      </c>
      <c r="S11" s="553">
        <v>0.0</v>
      </c>
      <c r="T11" s="206">
        <v>0.0</v>
      </c>
      <c r="U11" s="553">
        <v>0.0</v>
      </c>
      <c r="V11" s="206">
        <v>0.0</v>
      </c>
      <c r="W11" s="553">
        <v>0.0</v>
      </c>
      <c r="X11" s="206">
        <v>0.0</v>
      </c>
      <c r="Y11" s="553">
        <v>0.0</v>
      </c>
      <c r="Z11" s="206">
        <v>0.0</v>
      </c>
      <c r="AA11" s="553">
        <v>0.0</v>
      </c>
      <c r="AB11" s="206">
        <v>0.0</v>
      </c>
      <c r="AC11" s="553">
        <v>0.0</v>
      </c>
      <c r="AD11" s="206">
        <v>0.0</v>
      </c>
      <c r="AE11" s="553">
        <v>0.0</v>
      </c>
      <c r="AF11" s="206">
        <v>1.0</v>
      </c>
      <c r="AG11" s="553">
        <v>0.014</v>
      </c>
      <c r="AH11" s="206">
        <v>0.0</v>
      </c>
      <c r="AI11" s="553">
        <v>0.0</v>
      </c>
      <c r="AJ11" s="206">
        <v>4.0</v>
      </c>
      <c r="AK11" s="553">
        <v>0.036</v>
      </c>
      <c r="AL11" s="206">
        <v>0.0</v>
      </c>
      <c r="AM11" s="553">
        <v>0.0</v>
      </c>
      <c r="AN11" s="206">
        <v>2.0</v>
      </c>
      <c r="AO11" s="553">
        <v>0.027</v>
      </c>
      <c r="AP11" s="206">
        <v>0.0</v>
      </c>
      <c r="AQ11" s="553">
        <v>0.0</v>
      </c>
      <c r="AR11" s="206">
        <v>7.0</v>
      </c>
      <c r="AS11" s="553">
        <v>0.011</v>
      </c>
      <c r="AT11" s="206">
        <v>0.0</v>
      </c>
      <c r="AU11" s="553">
        <v>0.0</v>
      </c>
      <c r="AV11" s="206">
        <v>0.0</v>
      </c>
      <c r="AW11" s="553">
        <v>0.0</v>
      </c>
      <c r="AX11" s="206">
        <v>0.0</v>
      </c>
      <c r="AY11" s="553">
        <v>0.0</v>
      </c>
      <c r="AZ11" s="206">
        <v>0.0</v>
      </c>
      <c r="BA11" s="553">
        <v>0.0</v>
      </c>
      <c r="BB11" s="206">
        <v>0.0</v>
      </c>
      <c r="BC11" s="553">
        <v>0.0</v>
      </c>
      <c r="BD11" s="206">
        <v>0.0</v>
      </c>
      <c r="BE11" s="553">
        <v>0.0</v>
      </c>
      <c r="BF11" s="206">
        <v>0.0</v>
      </c>
      <c r="BG11" s="553">
        <v>0.0</v>
      </c>
      <c r="BH11" s="206">
        <v>2.0</v>
      </c>
      <c r="BI11" s="553">
        <v>0.009</v>
      </c>
      <c r="BJ11" s="206">
        <v>0.0</v>
      </c>
      <c r="BK11" s="553">
        <v>0.0</v>
      </c>
      <c r="BL11" s="206">
        <v>0.0</v>
      </c>
      <c r="BM11" s="553">
        <v>0.0</v>
      </c>
      <c r="BN11" s="206">
        <v>0.0</v>
      </c>
      <c r="BO11" s="553">
        <v>0.0</v>
      </c>
      <c r="BP11" s="206">
        <v>2.0</v>
      </c>
      <c r="BQ11" s="553">
        <v>0.01</v>
      </c>
      <c r="BR11" s="206">
        <v>0.0</v>
      </c>
      <c r="BS11" s="553">
        <v>0.0</v>
      </c>
      <c r="BT11" s="206">
        <v>0.0</v>
      </c>
      <c r="BU11" s="553">
        <v>0.0</v>
      </c>
      <c r="BV11" s="206">
        <v>1.0</v>
      </c>
      <c r="BW11" s="553">
        <v>0.023</v>
      </c>
      <c r="BX11" s="206">
        <v>4.0</v>
      </c>
      <c r="BY11" s="553">
        <v>0.023</v>
      </c>
      <c r="BZ11" s="206">
        <v>0.0</v>
      </c>
      <c r="CA11" s="553">
        <v>0.0</v>
      </c>
      <c r="CB11" s="206">
        <v>0.0</v>
      </c>
      <c r="CC11" s="553">
        <v>0.0</v>
      </c>
      <c r="CD11" s="206">
        <v>0.0</v>
      </c>
      <c r="CE11" s="553">
        <v>0.0</v>
      </c>
      <c r="CF11" s="206">
        <v>0.0</v>
      </c>
      <c r="CG11" s="553">
        <v>0.0</v>
      </c>
      <c r="CH11" s="206">
        <v>0.0</v>
      </c>
      <c r="CI11" s="553">
        <v>0.0</v>
      </c>
      <c r="CJ11" s="206">
        <v>0.0</v>
      </c>
      <c r="CK11" s="553">
        <v>0.0</v>
      </c>
      <c r="CL11" s="206">
        <v>0.0</v>
      </c>
      <c r="CM11" s="553">
        <v>0.0</v>
      </c>
      <c r="CN11" s="206">
        <v>1.0</v>
      </c>
      <c r="CO11" s="553">
        <v>0.2</v>
      </c>
      <c r="CP11" s="206">
        <v>3.0</v>
      </c>
      <c r="CQ11" s="553">
        <v>0.019</v>
      </c>
      <c r="CR11" s="206">
        <v>1.0</v>
      </c>
      <c r="CS11" s="553">
        <v>0.077</v>
      </c>
      <c r="CT11" s="206">
        <v>1.0</v>
      </c>
      <c r="CU11" s="553">
        <v>0.083</v>
      </c>
      <c r="CV11" s="206">
        <v>0.0</v>
      </c>
      <c r="CW11" s="553">
        <v>0.0</v>
      </c>
      <c r="CX11" s="206">
        <v>0.0</v>
      </c>
      <c r="CY11" s="553">
        <v>0.0</v>
      </c>
      <c r="CZ11" s="206">
        <v>0.0</v>
      </c>
      <c r="DA11" s="553">
        <v>0.0</v>
      </c>
      <c r="DB11" s="206">
        <v>0.0</v>
      </c>
      <c r="DC11" s="553">
        <v>0.0</v>
      </c>
      <c r="DD11" s="206">
        <v>1.0</v>
      </c>
      <c r="DE11" s="553">
        <v>0.091</v>
      </c>
      <c r="DF11" s="206">
        <v>0.0</v>
      </c>
      <c r="DG11" s="553">
        <v>0.0</v>
      </c>
      <c r="DH11" s="206">
        <v>0.0</v>
      </c>
      <c r="DI11" s="553">
        <v>0.0</v>
      </c>
      <c r="DJ11" s="206">
        <v>0.0</v>
      </c>
      <c r="DK11" s="553">
        <v>0.0</v>
      </c>
      <c r="DL11" s="206">
        <v>39.0</v>
      </c>
      <c r="DM11" s="553">
        <v>0.011</v>
      </c>
    </row>
    <row r="12">
      <c r="A12" s="549" t="s">
        <v>2192</v>
      </c>
      <c r="B12" s="551">
        <v>3.0</v>
      </c>
      <c r="C12" s="552">
        <v>0.011</v>
      </c>
      <c r="D12" s="551">
        <v>0.0</v>
      </c>
      <c r="E12" s="552">
        <v>0.0</v>
      </c>
      <c r="F12" s="551">
        <v>5.0</v>
      </c>
      <c r="G12" s="552">
        <v>0.013</v>
      </c>
      <c r="H12" s="551">
        <v>1.0</v>
      </c>
      <c r="I12" s="552">
        <v>0.071</v>
      </c>
      <c r="J12" s="551">
        <v>0.0</v>
      </c>
      <c r="K12" s="552">
        <v>0.0</v>
      </c>
      <c r="L12" s="551">
        <v>0.0</v>
      </c>
      <c r="M12" s="552">
        <v>0.0</v>
      </c>
      <c r="N12" s="551">
        <v>3.0</v>
      </c>
      <c r="O12" s="552">
        <v>0.031</v>
      </c>
      <c r="P12" s="551">
        <v>0.0</v>
      </c>
      <c r="Q12" s="552">
        <v>0.0</v>
      </c>
      <c r="R12" s="206">
        <v>0.0</v>
      </c>
      <c r="S12" s="553">
        <v>0.0</v>
      </c>
      <c r="T12" s="206">
        <v>0.0</v>
      </c>
      <c r="U12" s="553">
        <v>0.0</v>
      </c>
      <c r="V12" s="206">
        <v>0.0</v>
      </c>
      <c r="W12" s="553">
        <v>0.0</v>
      </c>
      <c r="X12" s="206">
        <v>0.0</v>
      </c>
      <c r="Y12" s="553">
        <v>0.0</v>
      </c>
      <c r="Z12" s="206">
        <v>0.0</v>
      </c>
      <c r="AA12" s="553">
        <v>0.0</v>
      </c>
      <c r="AB12" s="206">
        <v>0.0</v>
      </c>
      <c r="AC12" s="553">
        <v>0.0</v>
      </c>
      <c r="AD12" s="206">
        <v>0.0</v>
      </c>
      <c r="AE12" s="553">
        <v>0.0</v>
      </c>
      <c r="AF12" s="206">
        <v>0.0</v>
      </c>
      <c r="AG12" s="553">
        <v>0.0</v>
      </c>
      <c r="AH12" s="206">
        <v>2.0</v>
      </c>
      <c r="AI12" s="553">
        <v>0.004</v>
      </c>
      <c r="AJ12" s="206">
        <v>0.0</v>
      </c>
      <c r="AK12" s="553">
        <v>0.0</v>
      </c>
      <c r="AL12" s="206">
        <v>0.0</v>
      </c>
      <c r="AM12" s="553">
        <v>0.0</v>
      </c>
      <c r="AN12" s="206">
        <v>1.0</v>
      </c>
      <c r="AO12" s="553">
        <v>0.014</v>
      </c>
      <c r="AP12" s="206">
        <v>0.0</v>
      </c>
      <c r="AQ12" s="553">
        <v>0.0</v>
      </c>
      <c r="AR12" s="206">
        <v>2.0</v>
      </c>
      <c r="AS12" s="553">
        <v>0.003</v>
      </c>
      <c r="AT12" s="206">
        <v>0.0</v>
      </c>
      <c r="AU12" s="553">
        <v>0.0</v>
      </c>
      <c r="AV12" s="206">
        <v>1.0</v>
      </c>
      <c r="AW12" s="553">
        <v>0.03</v>
      </c>
      <c r="AX12" s="206">
        <v>0.0</v>
      </c>
      <c r="AY12" s="553">
        <v>0.0</v>
      </c>
      <c r="AZ12" s="206">
        <v>0.0</v>
      </c>
      <c r="BA12" s="553">
        <v>0.0</v>
      </c>
      <c r="BB12" s="206">
        <v>0.0</v>
      </c>
      <c r="BC12" s="553">
        <v>0.0</v>
      </c>
      <c r="BD12" s="206">
        <v>0.0</v>
      </c>
      <c r="BE12" s="553">
        <v>0.0</v>
      </c>
      <c r="BF12" s="206">
        <v>1.0</v>
      </c>
      <c r="BG12" s="553">
        <v>0.083</v>
      </c>
      <c r="BH12" s="206">
        <v>3.0</v>
      </c>
      <c r="BI12" s="553">
        <v>0.013</v>
      </c>
      <c r="BJ12" s="206">
        <v>0.0</v>
      </c>
      <c r="BK12" s="553">
        <v>0.0</v>
      </c>
      <c r="BL12" s="206">
        <v>0.0</v>
      </c>
      <c r="BM12" s="553">
        <v>0.0</v>
      </c>
      <c r="BN12" s="206">
        <v>0.0</v>
      </c>
      <c r="BO12" s="553">
        <v>0.0</v>
      </c>
      <c r="BP12" s="206">
        <v>2.0</v>
      </c>
      <c r="BQ12" s="553">
        <v>0.01</v>
      </c>
      <c r="BR12" s="206">
        <v>0.0</v>
      </c>
      <c r="BS12" s="553">
        <v>0.0</v>
      </c>
      <c r="BT12" s="206">
        <v>0.0</v>
      </c>
      <c r="BU12" s="553">
        <v>0.0</v>
      </c>
      <c r="BV12" s="206">
        <v>0.0</v>
      </c>
      <c r="BW12" s="553">
        <v>0.0</v>
      </c>
      <c r="BX12" s="206">
        <v>1.0</v>
      </c>
      <c r="BY12" s="553">
        <v>0.006</v>
      </c>
      <c r="BZ12" s="206">
        <v>0.0</v>
      </c>
      <c r="CA12" s="553">
        <v>0.0</v>
      </c>
      <c r="CB12" s="206">
        <v>0.0</v>
      </c>
      <c r="CC12" s="553">
        <v>0.0</v>
      </c>
      <c r="CD12" s="206">
        <v>0.0</v>
      </c>
      <c r="CE12" s="553">
        <v>0.0</v>
      </c>
      <c r="CF12" s="206">
        <v>0.0</v>
      </c>
      <c r="CG12" s="553">
        <v>0.0</v>
      </c>
      <c r="CH12" s="206">
        <v>1.0</v>
      </c>
      <c r="CI12" s="553">
        <v>0.059</v>
      </c>
      <c r="CJ12" s="206">
        <v>0.0</v>
      </c>
      <c r="CK12" s="553">
        <v>0.0</v>
      </c>
      <c r="CL12" s="206">
        <v>0.0</v>
      </c>
      <c r="CM12" s="553">
        <v>0.0</v>
      </c>
      <c r="CN12" s="206">
        <v>0.0</v>
      </c>
      <c r="CO12" s="553">
        <v>0.0</v>
      </c>
      <c r="CP12" s="206">
        <v>0.0</v>
      </c>
      <c r="CQ12" s="553">
        <v>0.0</v>
      </c>
      <c r="CR12" s="206">
        <v>0.0</v>
      </c>
      <c r="CS12" s="553">
        <v>0.0</v>
      </c>
      <c r="CT12" s="206">
        <v>0.0</v>
      </c>
      <c r="CU12" s="553">
        <v>0.0</v>
      </c>
      <c r="CV12" s="206">
        <v>0.0</v>
      </c>
      <c r="CW12" s="553">
        <v>0.0</v>
      </c>
      <c r="CX12" s="206">
        <v>0.0</v>
      </c>
      <c r="CY12" s="553">
        <v>0.0</v>
      </c>
      <c r="CZ12" s="206">
        <v>0.0</v>
      </c>
      <c r="DA12" s="553">
        <v>0.0</v>
      </c>
      <c r="DB12" s="206">
        <v>0.0</v>
      </c>
      <c r="DC12" s="553">
        <v>0.0</v>
      </c>
      <c r="DD12" s="206">
        <v>0.0</v>
      </c>
      <c r="DE12" s="553">
        <v>0.0</v>
      </c>
      <c r="DF12" s="206">
        <v>0.0</v>
      </c>
      <c r="DG12" s="553">
        <v>0.0</v>
      </c>
      <c r="DH12" s="206">
        <v>0.0</v>
      </c>
      <c r="DI12" s="553">
        <v>0.0</v>
      </c>
      <c r="DJ12" s="206">
        <v>0.0</v>
      </c>
      <c r="DK12" s="553">
        <v>0.0</v>
      </c>
      <c r="DL12" s="206">
        <v>26.0</v>
      </c>
      <c r="DM12" s="553">
        <v>0.007</v>
      </c>
    </row>
    <row r="13">
      <c r="A13" s="549" t="s">
        <v>2196</v>
      </c>
      <c r="B13" s="551">
        <v>7.0</v>
      </c>
      <c r="C13" s="552">
        <v>0.027</v>
      </c>
      <c r="D13" s="551">
        <v>0.0</v>
      </c>
      <c r="E13" s="552">
        <v>0.0</v>
      </c>
      <c r="F13" s="551">
        <v>4.0</v>
      </c>
      <c r="G13" s="552">
        <v>0.011</v>
      </c>
      <c r="H13" s="551">
        <v>0.0</v>
      </c>
      <c r="I13" s="552">
        <v>0.0</v>
      </c>
      <c r="J13" s="551">
        <v>0.0</v>
      </c>
      <c r="K13" s="552">
        <v>0.0</v>
      </c>
      <c r="L13" s="551">
        <v>0.0</v>
      </c>
      <c r="M13" s="552">
        <v>0.0</v>
      </c>
      <c r="N13" s="551">
        <v>5.0</v>
      </c>
      <c r="O13" s="552">
        <v>0.052</v>
      </c>
      <c r="P13" s="551">
        <v>0.0</v>
      </c>
      <c r="Q13" s="552">
        <v>0.0</v>
      </c>
      <c r="R13" s="206">
        <v>0.0</v>
      </c>
      <c r="S13" s="553">
        <v>0.0</v>
      </c>
      <c r="T13" s="206">
        <v>0.0</v>
      </c>
      <c r="U13" s="553">
        <v>0.0</v>
      </c>
      <c r="V13" s="206">
        <v>0.0</v>
      </c>
      <c r="W13" s="553">
        <v>0.0</v>
      </c>
      <c r="X13" s="206">
        <v>0.0</v>
      </c>
      <c r="Y13" s="553">
        <v>0.0</v>
      </c>
      <c r="Z13" s="206">
        <v>1.0</v>
      </c>
      <c r="AA13" s="553">
        <v>0.071</v>
      </c>
      <c r="AB13" s="206">
        <v>0.0</v>
      </c>
      <c r="AC13" s="553">
        <v>0.0</v>
      </c>
      <c r="AD13" s="206">
        <v>0.0</v>
      </c>
      <c r="AE13" s="553">
        <v>0.0</v>
      </c>
      <c r="AF13" s="206">
        <v>2.0</v>
      </c>
      <c r="AG13" s="553">
        <v>0.027</v>
      </c>
      <c r="AH13" s="206">
        <v>7.0</v>
      </c>
      <c r="AI13" s="553">
        <v>0.014</v>
      </c>
      <c r="AJ13" s="206">
        <v>20.0</v>
      </c>
      <c r="AK13" s="553">
        <v>0.182</v>
      </c>
      <c r="AL13" s="206">
        <v>0.0</v>
      </c>
      <c r="AM13" s="553">
        <v>0.0</v>
      </c>
      <c r="AN13" s="206">
        <v>3.0</v>
      </c>
      <c r="AO13" s="553">
        <v>0.041</v>
      </c>
      <c r="AP13" s="206">
        <v>0.0</v>
      </c>
      <c r="AQ13" s="553">
        <v>0.0</v>
      </c>
      <c r="AR13" s="206">
        <v>35.0</v>
      </c>
      <c r="AS13" s="553">
        <v>0.057</v>
      </c>
      <c r="AT13" s="206">
        <v>2.0</v>
      </c>
      <c r="AU13" s="553">
        <v>0.182</v>
      </c>
      <c r="AV13" s="206">
        <v>1.0</v>
      </c>
      <c r="AW13" s="553">
        <v>0.03</v>
      </c>
      <c r="AX13" s="206">
        <v>2.0</v>
      </c>
      <c r="AY13" s="553">
        <v>0.077</v>
      </c>
      <c r="AZ13" s="206">
        <v>0.0</v>
      </c>
      <c r="BA13" s="553">
        <v>0.0</v>
      </c>
      <c r="BB13" s="206">
        <v>3.0</v>
      </c>
      <c r="BC13" s="553">
        <v>0.75</v>
      </c>
      <c r="BD13" s="206">
        <v>0.0</v>
      </c>
      <c r="BE13" s="553">
        <v>0.0</v>
      </c>
      <c r="BF13" s="206">
        <v>0.0</v>
      </c>
      <c r="BG13" s="553">
        <v>0.0</v>
      </c>
      <c r="BH13" s="206">
        <v>1.0</v>
      </c>
      <c r="BI13" s="553">
        <v>0.004</v>
      </c>
      <c r="BJ13" s="206">
        <v>0.0</v>
      </c>
      <c r="BK13" s="553">
        <v>0.0</v>
      </c>
      <c r="BL13" s="206">
        <v>0.0</v>
      </c>
      <c r="BM13" s="553">
        <v>0.0</v>
      </c>
      <c r="BN13" s="206">
        <v>0.0</v>
      </c>
      <c r="BO13" s="553">
        <v>0.0</v>
      </c>
      <c r="BP13" s="206">
        <v>3.0</v>
      </c>
      <c r="BQ13" s="553">
        <v>0.015</v>
      </c>
      <c r="BR13" s="206">
        <v>0.0</v>
      </c>
      <c r="BS13" s="553">
        <v>0.0</v>
      </c>
      <c r="BT13" s="206">
        <v>0.0</v>
      </c>
      <c r="BU13" s="553">
        <v>0.0</v>
      </c>
      <c r="BV13" s="206">
        <v>0.0</v>
      </c>
      <c r="BW13" s="553">
        <v>0.0</v>
      </c>
      <c r="BX13" s="206">
        <v>7.0</v>
      </c>
      <c r="BY13" s="553">
        <v>0.04</v>
      </c>
      <c r="BZ13" s="206">
        <v>1.0</v>
      </c>
      <c r="CA13" s="553">
        <v>0.5</v>
      </c>
      <c r="CB13" s="206">
        <v>0.0</v>
      </c>
      <c r="CC13" s="553">
        <v>0.0</v>
      </c>
      <c r="CD13" s="206">
        <v>2.0</v>
      </c>
      <c r="CE13" s="553">
        <v>0.031</v>
      </c>
      <c r="CF13" s="206">
        <v>1.0</v>
      </c>
      <c r="CG13" s="553">
        <v>0.038</v>
      </c>
      <c r="CH13" s="206">
        <v>0.0</v>
      </c>
      <c r="CI13" s="553">
        <v>0.0</v>
      </c>
      <c r="CJ13" s="206">
        <v>0.0</v>
      </c>
      <c r="CK13" s="553">
        <v>0.0</v>
      </c>
      <c r="CL13" s="206">
        <v>0.0</v>
      </c>
      <c r="CM13" s="553">
        <v>0.0</v>
      </c>
      <c r="CN13" s="206">
        <v>0.0</v>
      </c>
      <c r="CO13" s="553">
        <v>0.0</v>
      </c>
      <c r="CP13" s="206">
        <v>9.0</v>
      </c>
      <c r="CQ13" s="553">
        <v>0.056</v>
      </c>
      <c r="CR13" s="206">
        <v>0.0</v>
      </c>
      <c r="CS13" s="553">
        <v>0.0</v>
      </c>
      <c r="CT13" s="206">
        <v>0.0</v>
      </c>
      <c r="CU13" s="553">
        <v>0.0</v>
      </c>
      <c r="CV13" s="206">
        <v>0.0</v>
      </c>
      <c r="CW13" s="553">
        <v>0.0</v>
      </c>
      <c r="CX13" s="206">
        <v>3.0</v>
      </c>
      <c r="CY13" s="553">
        <v>0.3</v>
      </c>
      <c r="CZ13" s="206">
        <v>0.0</v>
      </c>
      <c r="DA13" s="553">
        <v>0.0</v>
      </c>
      <c r="DB13" s="206">
        <v>0.0</v>
      </c>
      <c r="DC13" s="553">
        <v>0.0</v>
      </c>
      <c r="DD13" s="206">
        <v>1.0</v>
      </c>
      <c r="DE13" s="553">
        <v>0.091</v>
      </c>
      <c r="DF13" s="206">
        <v>0.0</v>
      </c>
      <c r="DG13" s="553">
        <v>0.0</v>
      </c>
      <c r="DH13" s="206">
        <v>7.0</v>
      </c>
      <c r="DI13" s="553">
        <v>0.037</v>
      </c>
      <c r="DJ13" s="206">
        <v>0.0</v>
      </c>
      <c r="DK13" s="553">
        <v>0.0</v>
      </c>
      <c r="DL13" s="206">
        <v>127.0</v>
      </c>
      <c r="DM13" s="553">
        <v>0.036</v>
      </c>
    </row>
    <row r="14">
      <c r="A14" s="549" t="s">
        <v>2201</v>
      </c>
      <c r="B14" s="551">
        <v>5.0</v>
      </c>
      <c r="C14" s="552">
        <v>0.019</v>
      </c>
      <c r="D14" s="551">
        <v>0.0</v>
      </c>
      <c r="E14" s="552">
        <v>0.0</v>
      </c>
      <c r="F14" s="551">
        <v>1.0</v>
      </c>
      <c r="G14" s="552">
        <v>0.003</v>
      </c>
      <c r="H14" s="551">
        <v>0.0</v>
      </c>
      <c r="I14" s="552">
        <v>0.0</v>
      </c>
      <c r="J14" s="551">
        <v>0.0</v>
      </c>
      <c r="K14" s="552">
        <v>0.0</v>
      </c>
      <c r="L14" s="551">
        <v>0.0</v>
      </c>
      <c r="M14" s="552">
        <v>0.0</v>
      </c>
      <c r="N14" s="551">
        <v>3.0</v>
      </c>
      <c r="O14" s="552">
        <v>0.031</v>
      </c>
      <c r="P14" s="551">
        <v>0.0</v>
      </c>
      <c r="Q14" s="552">
        <v>0.0</v>
      </c>
      <c r="R14" s="206">
        <v>0.0</v>
      </c>
      <c r="S14" s="553">
        <v>0.0</v>
      </c>
      <c r="T14" s="206">
        <v>0.0</v>
      </c>
      <c r="U14" s="553">
        <v>0.0</v>
      </c>
      <c r="V14" s="206">
        <v>0.0</v>
      </c>
      <c r="W14" s="553">
        <v>0.0</v>
      </c>
      <c r="X14" s="206">
        <v>0.0</v>
      </c>
      <c r="Y14" s="553">
        <v>0.0</v>
      </c>
      <c r="Z14" s="206">
        <v>0.0</v>
      </c>
      <c r="AA14" s="553">
        <v>0.0</v>
      </c>
      <c r="AB14" s="206">
        <v>0.0</v>
      </c>
      <c r="AC14" s="553">
        <v>0.0</v>
      </c>
      <c r="AD14" s="206">
        <v>0.0</v>
      </c>
      <c r="AE14" s="553">
        <v>0.0</v>
      </c>
      <c r="AF14" s="206">
        <v>2.0</v>
      </c>
      <c r="AG14" s="553">
        <v>0.027</v>
      </c>
      <c r="AH14" s="206">
        <v>2.0</v>
      </c>
      <c r="AI14" s="553">
        <v>0.004</v>
      </c>
      <c r="AJ14" s="206">
        <v>17.0</v>
      </c>
      <c r="AK14" s="553">
        <v>0.155</v>
      </c>
      <c r="AL14" s="206">
        <v>0.0</v>
      </c>
      <c r="AM14" s="553">
        <v>0.0</v>
      </c>
      <c r="AN14" s="206">
        <v>3.0</v>
      </c>
      <c r="AO14" s="553">
        <v>0.041</v>
      </c>
      <c r="AP14" s="206">
        <v>0.0</v>
      </c>
      <c r="AQ14" s="553">
        <v>0.0</v>
      </c>
      <c r="AR14" s="206">
        <v>19.0</v>
      </c>
      <c r="AS14" s="553">
        <v>0.031</v>
      </c>
      <c r="AT14" s="206">
        <v>1.0</v>
      </c>
      <c r="AU14" s="553">
        <v>0.091</v>
      </c>
      <c r="AV14" s="206">
        <v>1.0</v>
      </c>
      <c r="AW14" s="553">
        <v>0.03</v>
      </c>
      <c r="AX14" s="206">
        <v>1.0</v>
      </c>
      <c r="AY14" s="553">
        <v>0.038</v>
      </c>
      <c r="AZ14" s="206">
        <v>0.0</v>
      </c>
      <c r="BA14" s="553">
        <v>0.0</v>
      </c>
      <c r="BB14" s="206">
        <v>2.0</v>
      </c>
      <c r="BC14" s="553">
        <v>0.5</v>
      </c>
      <c r="BD14" s="206">
        <v>0.0</v>
      </c>
      <c r="BE14" s="553">
        <v>0.0</v>
      </c>
      <c r="BF14" s="206">
        <v>0.0</v>
      </c>
      <c r="BG14" s="553">
        <v>0.0</v>
      </c>
      <c r="BH14" s="206">
        <v>1.0</v>
      </c>
      <c r="BI14" s="553">
        <v>0.004</v>
      </c>
      <c r="BJ14" s="206">
        <v>0.0</v>
      </c>
      <c r="BK14" s="553">
        <v>0.0</v>
      </c>
      <c r="BL14" s="206">
        <v>0.0</v>
      </c>
      <c r="BM14" s="553">
        <v>0.0</v>
      </c>
      <c r="BN14" s="206">
        <v>0.0</v>
      </c>
      <c r="BO14" s="553">
        <v>0.0</v>
      </c>
      <c r="BP14" s="206">
        <v>1.0</v>
      </c>
      <c r="BQ14" s="553">
        <v>0.005</v>
      </c>
      <c r="BR14" s="206">
        <v>0.0</v>
      </c>
      <c r="BS14" s="553">
        <v>0.0</v>
      </c>
      <c r="BT14" s="206">
        <v>0.0</v>
      </c>
      <c r="BU14" s="553">
        <v>0.0</v>
      </c>
      <c r="BV14" s="206">
        <v>0.0</v>
      </c>
      <c r="BW14" s="553">
        <v>0.0</v>
      </c>
      <c r="BX14" s="206">
        <v>6.0</v>
      </c>
      <c r="BY14" s="553">
        <v>0.035</v>
      </c>
      <c r="BZ14" s="206">
        <v>0.0</v>
      </c>
      <c r="CA14" s="553">
        <v>0.0</v>
      </c>
      <c r="CB14" s="206">
        <v>0.0</v>
      </c>
      <c r="CC14" s="553">
        <v>0.0</v>
      </c>
      <c r="CD14" s="206">
        <v>0.0</v>
      </c>
      <c r="CE14" s="553">
        <v>0.0</v>
      </c>
      <c r="CF14" s="206">
        <v>0.0</v>
      </c>
      <c r="CG14" s="553">
        <v>0.0</v>
      </c>
      <c r="CH14" s="206">
        <v>0.0</v>
      </c>
      <c r="CI14" s="553">
        <v>0.0</v>
      </c>
      <c r="CJ14" s="206">
        <v>0.0</v>
      </c>
      <c r="CK14" s="553">
        <v>0.0</v>
      </c>
      <c r="CL14" s="206">
        <v>0.0</v>
      </c>
      <c r="CM14" s="553">
        <v>0.0</v>
      </c>
      <c r="CN14" s="206">
        <v>0.0</v>
      </c>
      <c r="CO14" s="553">
        <v>0.0</v>
      </c>
      <c r="CP14" s="206">
        <v>4.0</v>
      </c>
      <c r="CQ14" s="553">
        <v>0.025</v>
      </c>
      <c r="CR14" s="206">
        <v>0.0</v>
      </c>
      <c r="CS14" s="553">
        <v>0.0</v>
      </c>
      <c r="CT14" s="206">
        <v>0.0</v>
      </c>
      <c r="CU14" s="553">
        <v>0.0</v>
      </c>
      <c r="CV14" s="206">
        <v>0.0</v>
      </c>
      <c r="CW14" s="553">
        <v>0.0</v>
      </c>
      <c r="CX14" s="206">
        <v>3.0</v>
      </c>
      <c r="CY14" s="553">
        <v>0.3</v>
      </c>
      <c r="CZ14" s="206">
        <v>0.0</v>
      </c>
      <c r="DA14" s="553">
        <v>0.0</v>
      </c>
      <c r="DB14" s="206">
        <v>0.0</v>
      </c>
      <c r="DC14" s="553">
        <v>0.0</v>
      </c>
      <c r="DD14" s="206">
        <v>1.0</v>
      </c>
      <c r="DE14" s="553">
        <v>0.091</v>
      </c>
      <c r="DF14" s="206">
        <v>0.0</v>
      </c>
      <c r="DG14" s="553">
        <v>0.0</v>
      </c>
      <c r="DH14" s="206">
        <v>5.0</v>
      </c>
      <c r="DI14" s="553">
        <v>0.027</v>
      </c>
      <c r="DJ14" s="206">
        <v>0.0</v>
      </c>
      <c r="DK14" s="553">
        <v>0.0</v>
      </c>
      <c r="DL14" s="206">
        <v>78.0</v>
      </c>
      <c r="DM14" s="553">
        <v>0.022</v>
      </c>
    </row>
    <row r="15">
      <c r="A15" s="549" t="s">
        <v>1740</v>
      </c>
      <c r="B15" s="551">
        <v>0.0</v>
      </c>
      <c r="C15" s="552">
        <v>0.0</v>
      </c>
      <c r="D15" s="551">
        <v>0.0</v>
      </c>
      <c r="E15" s="552">
        <v>0.0</v>
      </c>
      <c r="F15" s="551">
        <v>0.0</v>
      </c>
      <c r="G15" s="552">
        <v>0.0</v>
      </c>
      <c r="H15" s="551">
        <v>0.0</v>
      </c>
      <c r="I15" s="552">
        <v>0.0</v>
      </c>
      <c r="J15" s="551">
        <v>0.0</v>
      </c>
      <c r="K15" s="552">
        <v>0.0</v>
      </c>
      <c r="L15" s="551">
        <v>0.0</v>
      </c>
      <c r="M15" s="552">
        <v>0.0</v>
      </c>
      <c r="N15" s="551">
        <v>1.0</v>
      </c>
      <c r="O15" s="552">
        <v>0.01</v>
      </c>
      <c r="P15" s="551">
        <v>0.0</v>
      </c>
      <c r="Q15" s="552">
        <v>0.0</v>
      </c>
      <c r="R15" s="206">
        <v>0.0</v>
      </c>
      <c r="S15" s="553">
        <v>0.0</v>
      </c>
      <c r="T15" s="206">
        <v>0.0</v>
      </c>
      <c r="U15" s="553">
        <v>0.0</v>
      </c>
      <c r="V15" s="206">
        <v>0.0</v>
      </c>
      <c r="W15" s="553">
        <v>0.0</v>
      </c>
      <c r="X15" s="206">
        <v>0.0</v>
      </c>
      <c r="Y15" s="553">
        <v>0.0</v>
      </c>
      <c r="Z15" s="206">
        <v>1.0</v>
      </c>
      <c r="AA15" s="553">
        <v>0.071</v>
      </c>
      <c r="AB15" s="206">
        <v>0.0</v>
      </c>
      <c r="AC15" s="553">
        <v>0.0</v>
      </c>
      <c r="AD15" s="206">
        <v>0.0</v>
      </c>
      <c r="AE15" s="553">
        <v>0.0</v>
      </c>
      <c r="AF15" s="206">
        <v>0.0</v>
      </c>
      <c r="AG15" s="553">
        <v>0.0</v>
      </c>
      <c r="AH15" s="206">
        <v>0.0</v>
      </c>
      <c r="AI15" s="553">
        <v>0.0</v>
      </c>
      <c r="AJ15" s="206">
        <v>0.0</v>
      </c>
      <c r="AK15" s="553">
        <v>0.0</v>
      </c>
      <c r="AL15" s="206">
        <v>0.0</v>
      </c>
      <c r="AM15" s="553">
        <v>0.0</v>
      </c>
      <c r="AN15" s="206">
        <v>0.0</v>
      </c>
      <c r="AO15" s="553">
        <v>0.0</v>
      </c>
      <c r="AP15" s="206">
        <v>0.0</v>
      </c>
      <c r="AQ15" s="553">
        <v>0.0</v>
      </c>
      <c r="AR15" s="206">
        <v>1.0</v>
      </c>
      <c r="AS15" s="553">
        <v>0.002</v>
      </c>
      <c r="AT15" s="206">
        <v>0.0</v>
      </c>
      <c r="AU15" s="553">
        <v>0.0</v>
      </c>
      <c r="AV15" s="206">
        <v>0.0</v>
      </c>
      <c r="AW15" s="553">
        <v>0.0</v>
      </c>
      <c r="AX15" s="206">
        <v>0.0</v>
      </c>
      <c r="AY15" s="553">
        <v>0.0</v>
      </c>
      <c r="AZ15" s="206">
        <v>0.0</v>
      </c>
      <c r="BA15" s="553">
        <v>0.0</v>
      </c>
      <c r="BB15" s="206">
        <v>0.0</v>
      </c>
      <c r="BC15" s="553">
        <v>0.0</v>
      </c>
      <c r="BD15" s="206">
        <v>0.0</v>
      </c>
      <c r="BE15" s="553">
        <v>0.0</v>
      </c>
      <c r="BF15" s="206">
        <v>0.0</v>
      </c>
      <c r="BG15" s="553">
        <v>0.0</v>
      </c>
      <c r="BH15" s="206">
        <v>0.0</v>
      </c>
      <c r="BI15" s="553">
        <v>0.0</v>
      </c>
      <c r="BJ15" s="206">
        <v>0.0</v>
      </c>
      <c r="BK15" s="553">
        <v>0.0</v>
      </c>
      <c r="BL15" s="206">
        <v>0.0</v>
      </c>
      <c r="BM15" s="553">
        <v>0.0</v>
      </c>
      <c r="BN15" s="206">
        <v>0.0</v>
      </c>
      <c r="BO15" s="553">
        <v>0.0</v>
      </c>
      <c r="BP15" s="206">
        <v>0.0</v>
      </c>
      <c r="BQ15" s="553">
        <v>0.0</v>
      </c>
      <c r="BR15" s="206">
        <v>0.0</v>
      </c>
      <c r="BS15" s="553">
        <v>0.0</v>
      </c>
      <c r="BT15" s="206">
        <v>0.0</v>
      </c>
      <c r="BU15" s="553">
        <v>0.0</v>
      </c>
      <c r="BV15" s="206">
        <v>0.0</v>
      </c>
      <c r="BW15" s="553">
        <v>0.0</v>
      </c>
      <c r="BX15" s="206">
        <v>0.0</v>
      </c>
      <c r="BY15" s="553">
        <v>0.0</v>
      </c>
      <c r="BZ15" s="206">
        <v>0.0</v>
      </c>
      <c r="CA15" s="553">
        <v>0.0</v>
      </c>
      <c r="CB15" s="206">
        <v>0.0</v>
      </c>
      <c r="CC15" s="553">
        <v>0.0</v>
      </c>
      <c r="CD15" s="206">
        <v>0.0</v>
      </c>
      <c r="CE15" s="553">
        <v>0.0</v>
      </c>
      <c r="CF15" s="206">
        <v>0.0</v>
      </c>
      <c r="CG15" s="553">
        <v>0.0</v>
      </c>
      <c r="CH15" s="206">
        <v>0.0</v>
      </c>
      <c r="CI15" s="553">
        <v>0.0</v>
      </c>
      <c r="CJ15" s="206">
        <v>0.0</v>
      </c>
      <c r="CK15" s="553">
        <v>0.0</v>
      </c>
      <c r="CL15" s="206">
        <v>0.0</v>
      </c>
      <c r="CM15" s="553">
        <v>0.0</v>
      </c>
      <c r="CN15" s="206">
        <v>0.0</v>
      </c>
      <c r="CO15" s="553">
        <v>0.0</v>
      </c>
      <c r="CP15" s="206">
        <v>0.0</v>
      </c>
      <c r="CQ15" s="553">
        <v>0.0</v>
      </c>
      <c r="CR15" s="206">
        <v>0.0</v>
      </c>
      <c r="CS15" s="553">
        <v>0.0</v>
      </c>
      <c r="CT15" s="206">
        <v>0.0</v>
      </c>
      <c r="CU15" s="553">
        <v>0.0</v>
      </c>
      <c r="CV15" s="206">
        <v>0.0</v>
      </c>
      <c r="CW15" s="553">
        <v>0.0</v>
      </c>
      <c r="CX15" s="206">
        <v>0.0</v>
      </c>
      <c r="CY15" s="553">
        <v>0.0</v>
      </c>
      <c r="CZ15" s="206">
        <v>0.0</v>
      </c>
      <c r="DA15" s="553">
        <v>0.0</v>
      </c>
      <c r="DB15" s="206">
        <v>0.0</v>
      </c>
      <c r="DC15" s="553">
        <v>0.0</v>
      </c>
      <c r="DD15" s="206">
        <v>0.0</v>
      </c>
      <c r="DE15" s="553">
        <v>0.0</v>
      </c>
      <c r="DF15" s="206">
        <v>0.0</v>
      </c>
      <c r="DG15" s="553">
        <v>0.0</v>
      </c>
      <c r="DH15" s="206">
        <v>0.0</v>
      </c>
      <c r="DI15" s="553">
        <v>0.0</v>
      </c>
      <c r="DJ15" s="206">
        <v>0.0</v>
      </c>
      <c r="DK15" s="553">
        <v>0.0</v>
      </c>
      <c r="DL15" s="206">
        <v>3.0</v>
      </c>
      <c r="DM15" s="553">
        <v>0.001</v>
      </c>
    </row>
    <row r="16">
      <c r="A16" s="549" t="s">
        <v>2208</v>
      </c>
      <c r="B16" s="551">
        <v>2.0</v>
      </c>
      <c r="C16" s="552">
        <v>0.008</v>
      </c>
      <c r="D16" s="551">
        <v>0.0</v>
      </c>
      <c r="E16" s="552">
        <v>0.0</v>
      </c>
      <c r="F16" s="551">
        <v>3.0</v>
      </c>
      <c r="G16" s="552">
        <v>0.008</v>
      </c>
      <c r="H16" s="551">
        <v>0.0</v>
      </c>
      <c r="I16" s="552">
        <v>0.0</v>
      </c>
      <c r="J16" s="551">
        <v>0.0</v>
      </c>
      <c r="K16" s="552">
        <v>0.0</v>
      </c>
      <c r="L16" s="551">
        <v>0.0</v>
      </c>
      <c r="M16" s="552">
        <v>0.0</v>
      </c>
      <c r="N16" s="551">
        <v>1.0</v>
      </c>
      <c r="O16" s="552">
        <v>0.01</v>
      </c>
      <c r="P16" s="551">
        <v>0.0</v>
      </c>
      <c r="Q16" s="552">
        <v>0.0</v>
      </c>
      <c r="R16" s="206">
        <v>0.0</v>
      </c>
      <c r="S16" s="553">
        <v>0.0</v>
      </c>
      <c r="T16" s="206">
        <v>0.0</v>
      </c>
      <c r="U16" s="553">
        <v>0.0</v>
      </c>
      <c r="V16" s="206">
        <v>0.0</v>
      </c>
      <c r="W16" s="553">
        <v>0.0</v>
      </c>
      <c r="X16" s="206">
        <v>0.0</v>
      </c>
      <c r="Y16" s="553">
        <v>0.0</v>
      </c>
      <c r="Z16" s="206">
        <v>0.0</v>
      </c>
      <c r="AA16" s="553">
        <v>0.0</v>
      </c>
      <c r="AB16" s="206">
        <v>0.0</v>
      </c>
      <c r="AC16" s="553">
        <v>0.0</v>
      </c>
      <c r="AD16" s="206">
        <v>0.0</v>
      </c>
      <c r="AE16" s="553">
        <v>0.0</v>
      </c>
      <c r="AF16" s="206">
        <v>0.0</v>
      </c>
      <c r="AG16" s="553">
        <v>0.0</v>
      </c>
      <c r="AH16" s="206">
        <v>5.0</v>
      </c>
      <c r="AI16" s="553">
        <v>0.01</v>
      </c>
      <c r="AJ16" s="206">
        <v>3.0</v>
      </c>
      <c r="AK16" s="553">
        <v>0.027</v>
      </c>
      <c r="AL16" s="206">
        <v>0.0</v>
      </c>
      <c r="AM16" s="553">
        <v>0.0</v>
      </c>
      <c r="AN16" s="206">
        <v>0.0</v>
      </c>
      <c r="AO16" s="553">
        <v>0.0</v>
      </c>
      <c r="AP16" s="206">
        <v>0.0</v>
      </c>
      <c r="AQ16" s="553">
        <v>0.0</v>
      </c>
      <c r="AR16" s="206">
        <v>15.0</v>
      </c>
      <c r="AS16" s="553">
        <v>0.024</v>
      </c>
      <c r="AT16" s="206">
        <v>1.0</v>
      </c>
      <c r="AU16" s="553">
        <v>0.091</v>
      </c>
      <c r="AV16" s="206">
        <v>0.0</v>
      </c>
      <c r="AW16" s="553">
        <v>0.0</v>
      </c>
      <c r="AX16" s="206">
        <v>1.0</v>
      </c>
      <c r="AY16" s="553">
        <v>0.038</v>
      </c>
      <c r="AZ16" s="206">
        <v>0.0</v>
      </c>
      <c r="BA16" s="553">
        <v>0.0</v>
      </c>
      <c r="BB16" s="206">
        <v>1.0</v>
      </c>
      <c r="BC16" s="553">
        <v>0.25</v>
      </c>
      <c r="BD16" s="206">
        <v>0.0</v>
      </c>
      <c r="BE16" s="553">
        <v>0.0</v>
      </c>
      <c r="BF16" s="206">
        <v>0.0</v>
      </c>
      <c r="BG16" s="553">
        <v>0.0</v>
      </c>
      <c r="BH16" s="206">
        <v>0.0</v>
      </c>
      <c r="BI16" s="553">
        <v>0.0</v>
      </c>
      <c r="BJ16" s="206">
        <v>0.0</v>
      </c>
      <c r="BK16" s="553">
        <v>0.0</v>
      </c>
      <c r="BL16" s="206">
        <v>0.0</v>
      </c>
      <c r="BM16" s="553">
        <v>0.0</v>
      </c>
      <c r="BN16" s="206">
        <v>0.0</v>
      </c>
      <c r="BO16" s="553">
        <v>0.0</v>
      </c>
      <c r="BP16" s="206">
        <v>2.0</v>
      </c>
      <c r="BQ16" s="553">
        <v>0.01</v>
      </c>
      <c r="BR16" s="206">
        <v>0.0</v>
      </c>
      <c r="BS16" s="553">
        <v>0.0</v>
      </c>
      <c r="BT16" s="206">
        <v>0.0</v>
      </c>
      <c r="BU16" s="553">
        <v>0.0</v>
      </c>
      <c r="BV16" s="206">
        <v>0.0</v>
      </c>
      <c r="BW16" s="553">
        <v>0.0</v>
      </c>
      <c r="BX16" s="206">
        <v>1.0</v>
      </c>
      <c r="BY16" s="553">
        <v>0.006</v>
      </c>
      <c r="BZ16" s="206">
        <v>1.0</v>
      </c>
      <c r="CA16" s="553">
        <v>0.5</v>
      </c>
      <c r="CB16" s="206">
        <v>0.0</v>
      </c>
      <c r="CC16" s="553">
        <v>0.0</v>
      </c>
      <c r="CD16" s="206">
        <v>2.0</v>
      </c>
      <c r="CE16" s="553">
        <v>0.031</v>
      </c>
      <c r="CF16" s="206">
        <v>1.0</v>
      </c>
      <c r="CG16" s="553">
        <v>0.038</v>
      </c>
      <c r="CH16" s="206">
        <v>0.0</v>
      </c>
      <c r="CI16" s="553">
        <v>0.0</v>
      </c>
      <c r="CJ16" s="206">
        <v>0.0</v>
      </c>
      <c r="CK16" s="553">
        <v>0.0</v>
      </c>
      <c r="CL16" s="206">
        <v>0.0</v>
      </c>
      <c r="CM16" s="553">
        <v>0.0</v>
      </c>
      <c r="CN16" s="206">
        <v>0.0</v>
      </c>
      <c r="CO16" s="553">
        <v>0.0</v>
      </c>
      <c r="CP16" s="206">
        <v>5.0</v>
      </c>
      <c r="CQ16" s="553">
        <v>0.031</v>
      </c>
      <c r="CR16" s="206">
        <v>0.0</v>
      </c>
      <c r="CS16" s="553">
        <v>0.0</v>
      </c>
      <c r="CT16" s="206">
        <v>0.0</v>
      </c>
      <c r="CU16" s="553">
        <v>0.0</v>
      </c>
      <c r="CV16" s="206">
        <v>0.0</v>
      </c>
      <c r="CW16" s="553">
        <v>0.0</v>
      </c>
      <c r="CX16" s="206">
        <v>0.0</v>
      </c>
      <c r="CY16" s="553">
        <v>0.0</v>
      </c>
      <c r="CZ16" s="206">
        <v>0.0</v>
      </c>
      <c r="DA16" s="553">
        <v>0.0</v>
      </c>
      <c r="DB16" s="206">
        <v>0.0</v>
      </c>
      <c r="DC16" s="553">
        <v>0.0</v>
      </c>
      <c r="DD16" s="206">
        <v>0.0</v>
      </c>
      <c r="DE16" s="553">
        <v>0.0</v>
      </c>
      <c r="DF16" s="206">
        <v>0.0</v>
      </c>
      <c r="DG16" s="553">
        <v>0.0</v>
      </c>
      <c r="DH16" s="206">
        <v>2.0</v>
      </c>
      <c r="DI16" s="553">
        <v>0.011</v>
      </c>
      <c r="DJ16" s="206">
        <v>0.0</v>
      </c>
      <c r="DK16" s="553">
        <v>0.0</v>
      </c>
      <c r="DL16" s="206">
        <v>46.0</v>
      </c>
      <c r="DM16" s="553">
        <v>0.013</v>
      </c>
    </row>
    <row r="17">
      <c r="A17" s="549" t="s">
        <v>1106</v>
      </c>
      <c r="B17" s="551">
        <v>0.0</v>
      </c>
      <c r="C17" s="552">
        <v>0.0</v>
      </c>
      <c r="D17" s="551">
        <v>0.0</v>
      </c>
      <c r="E17" s="552">
        <v>0.0</v>
      </c>
      <c r="F17" s="551">
        <v>0.0</v>
      </c>
      <c r="G17" s="552">
        <v>0.0</v>
      </c>
      <c r="H17" s="551">
        <v>0.0</v>
      </c>
      <c r="I17" s="552">
        <v>0.0</v>
      </c>
      <c r="J17" s="551">
        <v>0.0</v>
      </c>
      <c r="K17" s="552">
        <v>0.0</v>
      </c>
      <c r="L17" s="551">
        <v>0.0</v>
      </c>
      <c r="M17" s="552">
        <v>0.0</v>
      </c>
      <c r="N17" s="551">
        <v>0.0</v>
      </c>
      <c r="O17" s="552">
        <v>0.0</v>
      </c>
      <c r="P17" s="551">
        <v>0.0</v>
      </c>
      <c r="Q17" s="552">
        <v>0.0</v>
      </c>
      <c r="R17" s="206">
        <v>0.0</v>
      </c>
      <c r="S17" s="553">
        <v>0.0</v>
      </c>
      <c r="T17" s="206">
        <v>0.0</v>
      </c>
      <c r="U17" s="553">
        <v>0.0</v>
      </c>
      <c r="V17" s="206">
        <v>0.0</v>
      </c>
      <c r="W17" s="553">
        <v>0.0</v>
      </c>
      <c r="X17" s="206">
        <v>0.0</v>
      </c>
      <c r="Y17" s="553">
        <v>0.0</v>
      </c>
      <c r="Z17" s="206">
        <v>0.0</v>
      </c>
      <c r="AA17" s="553">
        <v>0.0</v>
      </c>
      <c r="AB17" s="206">
        <v>0.0</v>
      </c>
      <c r="AC17" s="553">
        <v>0.0</v>
      </c>
      <c r="AD17" s="206">
        <v>0.0</v>
      </c>
      <c r="AE17" s="553">
        <v>0.0</v>
      </c>
      <c r="AF17" s="206">
        <v>0.0</v>
      </c>
      <c r="AG17" s="553">
        <v>0.0</v>
      </c>
      <c r="AH17" s="206">
        <v>0.0</v>
      </c>
      <c r="AI17" s="553">
        <v>0.0</v>
      </c>
      <c r="AJ17" s="206">
        <v>0.0</v>
      </c>
      <c r="AK17" s="553">
        <v>0.0</v>
      </c>
      <c r="AL17" s="206">
        <v>0.0</v>
      </c>
      <c r="AM17" s="553">
        <v>0.0</v>
      </c>
      <c r="AN17" s="206">
        <v>0.0</v>
      </c>
      <c r="AO17" s="553">
        <v>0.0</v>
      </c>
      <c r="AP17" s="206">
        <v>0.0</v>
      </c>
      <c r="AQ17" s="553">
        <v>0.0</v>
      </c>
      <c r="AR17" s="206">
        <v>0.0</v>
      </c>
      <c r="AS17" s="553">
        <v>0.0</v>
      </c>
      <c r="AT17" s="206">
        <v>0.0</v>
      </c>
      <c r="AU17" s="553">
        <v>0.0</v>
      </c>
      <c r="AV17" s="206">
        <v>0.0</v>
      </c>
      <c r="AW17" s="553">
        <v>0.0</v>
      </c>
      <c r="AX17" s="206">
        <v>0.0</v>
      </c>
      <c r="AY17" s="553">
        <v>0.0</v>
      </c>
      <c r="AZ17" s="206">
        <v>0.0</v>
      </c>
      <c r="BA17" s="553">
        <v>0.0</v>
      </c>
      <c r="BB17" s="206">
        <v>0.0</v>
      </c>
      <c r="BC17" s="553">
        <v>0.0</v>
      </c>
      <c r="BD17" s="206">
        <v>0.0</v>
      </c>
      <c r="BE17" s="553">
        <v>0.0</v>
      </c>
      <c r="BF17" s="206">
        <v>0.0</v>
      </c>
      <c r="BG17" s="553">
        <v>0.0</v>
      </c>
      <c r="BH17" s="206">
        <v>0.0</v>
      </c>
      <c r="BI17" s="553">
        <v>0.0</v>
      </c>
      <c r="BJ17" s="206">
        <v>0.0</v>
      </c>
      <c r="BK17" s="553">
        <v>0.0</v>
      </c>
      <c r="BL17" s="206">
        <v>0.0</v>
      </c>
      <c r="BM17" s="553">
        <v>0.0</v>
      </c>
      <c r="BN17" s="206">
        <v>0.0</v>
      </c>
      <c r="BO17" s="553">
        <v>0.0</v>
      </c>
      <c r="BP17" s="206">
        <v>0.0</v>
      </c>
      <c r="BQ17" s="553">
        <v>0.0</v>
      </c>
      <c r="BR17" s="206">
        <v>0.0</v>
      </c>
      <c r="BS17" s="553">
        <v>0.0</v>
      </c>
      <c r="BT17" s="206">
        <v>0.0</v>
      </c>
      <c r="BU17" s="553">
        <v>0.0</v>
      </c>
      <c r="BV17" s="206">
        <v>0.0</v>
      </c>
      <c r="BW17" s="553">
        <v>0.0</v>
      </c>
      <c r="BX17" s="206">
        <v>0.0</v>
      </c>
      <c r="BY17" s="553">
        <v>0.0</v>
      </c>
      <c r="BZ17" s="206">
        <v>0.0</v>
      </c>
      <c r="CA17" s="553">
        <v>0.0</v>
      </c>
      <c r="CB17" s="206">
        <v>0.0</v>
      </c>
      <c r="CC17" s="553">
        <v>0.0</v>
      </c>
      <c r="CD17" s="206">
        <v>0.0</v>
      </c>
      <c r="CE17" s="553">
        <v>0.0</v>
      </c>
      <c r="CF17" s="206">
        <v>0.0</v>
      </c>
      <c r="CG17" s="553">
        <v>0.0</v>
      </c>
      <c r="CH17" s="206">
        <v>0.0</v>
      </c>
      <c r="CI17" s="553">
        <v>0.0</v>
      </c>
      <c r="CJ17" s="206">
        <v>0.0</v>
      </c>
      <c r="CK17" s="553">
        <v>0.0</v>
      </c>
      <c r="CL17" s="206">
        <v>0.0</v>
      </c>
      <c r="CM17" s="553">
        <v>0.0</v>
      </c>
      <c r="CN17" s="206">
        <v>0.0</v>
      </c>
      <c r="CO17" s="553">
        <v>0.0</v>
      </c>
      <c r="CP17" s="206">
        <v>0.0</v>
      </c>
      <c r="CQ17" s="553">
        <v>0.0</v>
      </c>
      <c r="CR17" s="206">
        <v>0.0</v>
      </c>
      <c r="CS17" s="553">
        <v>0.0</v>
      </c>
      <c r="CT17" s="206">
        <v>0.0</v>
      </c>
      <c r="CU17" s="553">
        <v>0.0</v>
      </c>
      <c r="CV17" s="206">
        <v>0.0</v>
      </c>
      <c r="CW17" s="553">
        <v>0.0</v>
      </c>
      <c r="CX17" s="206">
        <v>0.0</v>
      </c>
      <c r="CY17" s="553">
        <v>0.0</v>
      </c>
      <c r="CZ17" s="206">
        <v>0.0</v>
      </c>
      <c r="DA17" s="553">
        <v>0.0</v>
      </c>
      <c r="DB17" s="206">
        <v>0.0</v>
      </c>
      <c r="DC17" s="553">
        <v>0.0</v>
      </c>
      <c r="DD17" s="206">
        <v>0.0</v>
      </c>
      <c r="DE17" s="553">
        <v>0.0</v>
      </c>
      <c r="DF17" s="206">
        <v>0.0</v>
      </c>
      <c r="DG17" s="553">
        <v>0.0</v>
      </c>
      <c r="DH17" s="206">
        <v>0.0</v>
      </c>
      <c r="DI17" s="553">
        <v>0.0</v>
      </c>
      <c r="DJ17" s="206">
        <v>0.0</v>
      </c>
      <c r="DK17" s="553">
        <v>0.0</v>
      </c>
      <c r="DL17" s="206">
        <v>0.0</v>
      </c>
      <c r="DM17" s="553">
        <v>0.0</v>
      </c>
    </row>
    <row r="18">
      <c r="A18" s="549" t="s">
        <v>2215</v>
      </c>
      <c r="B18" s="551">
        <v>2.0</v>
      </c>
      <c r="C18" s="552">
        <v>0.008</v>
      </c>
      <c r="D18" s="551">
        <v>0.0</v>
      </c>
      <c r="E18" s="552">
        <v>0.0</v>
      </c>
      <c r="F18" s="551">
        <v>1.0</v>
      </c>
      <c r="G18" s="552">
        <v>0.003</v>
      </c>
      <c r="H18" s="551">
        <v>0.0</v>
      </c>
      <c r="I18" s="552">
        <v>0.0</v>
      </c>
      <c r="J18" s="551">
        <v>0.0</v>
      </c>
      <c r="K18" s="552">
        <v>0.0</v>
      </c>
      <c r="L18" s="551">
        <v>0.0</v>
      </c>
      <c r="M18" s="552">
        <v>0.0</v>
      </c>
      <c r="N18" s="551">
        <v>0.0</v>
      </c>
      <c r="O18" s="552">
        <v>0.0</v>
      </c>
      <c r="P18" s="551">
        <v>0.0</v>
      </c>
      <c r="Q18" s="552">
        <v>0.0</v>
      </c>
      <c r="R18" s="206">
        <v>0.0</v>
      </c>
      <c r="S18" s="553">
        <v>0.0</v>
      </c>
      <c r="T18" s="206">
        <v>0.0</v>
      </c>
      <c r="U18" s="553">
        <v>0.0</v>
      </c>
      <c r="V18" s="206">
        <v>0.0</v>
      </c>
      <c r="W18" s="553">
        <v>0.0</v>
      </c>
      <c r="X18" s="206">
        <v>0.0</v>
      </c>
      <c r="Y18" s="553">
        <v>0.0</v>
      </c>
      <c r="Z18" s="206">
        <v>0.0</v>
      </c>
      <c r="AA18" s="553">
        <v>0.0</v>
      </c>
      <c r="AB18" s="206">
        <v>0.0</v>
      </c>
      <c r="AC18" s="553">
        <v>0.0</v>
      </c>
      <c r="AD18" s="206">
        <v>0.0</v>
      </c>
      <c r="AE18" s="553">
        <v>0.0</v>
      </c>
      <c r="AF18" s="206">
        <v>0.0</v>
      </c>
      <c r="AG18" s="553">
        <v>0.0</v>
      </c>
      <c r="AH18" s="206">
        <v>3.0</v>
      </c>
      <c r="AI18" s="553">
        <v>0.006</v>
      </c>
      <c r="AJ18" s="206">
        <v>71.0</v>
      </c>
      <c r="AK18" s="553">
        <v>0.645</v>
      </c>
      <c r="AL18" s="206">
        <v>0.0</v>
      </c>
      <c r="AM18" s="553">
        <v>0.0</v>
      </c>
      <c r="AN18" s="206">
        <v>0.0</v>
      </c>
      <c r="AO18" s="553">
        <v>0.0</v>
      </c>
      <c r="AP18" s="206">
        <v>0.0</v>
      </c>
      <c r="AQ18" s="553">
        <v>0.0</v>
      </c>
      <c r="AR18" s="206">
        <v>1.0</v>
      </c>
      <c r="AS18" s="553">
        <v>0.002</v>
      </c>
      <c r="AT18" s="206">
        <v>0.0</v>
      </c>
      <c r="AU18" s="553">
        <v>0.0</v>
      </c>
      <c r="AV18" s="206">
        <v>0.0</v>
      </c>
      <c r="AW18" s="553">
        <v>0.0</v>
      </c>
      <c r="AX18" s="206">
        <v>0.0</v>
      </c>
      <c r="AY18" s="553">
        <v>0.0</v>
      </c>
      <c r="AZ18" s="206">
        <v>0.0</v>
      </c>
      <c r="BA18" s="553">
        <v>0.0</v>
      </c>
      <c r="BB18" s="206">
        <v>0.0</v>
      </c>
      <c r="BC18" s="553">
        <v>0.0</v>
      </c>
      <c r="BD18" s="206">
        <v>0.0</v>
      </c>
      <c r="BE18" s="553">
        <v>0.0</v>
      </c>
      <c r="BF18" s="206">
        <v>0.0</v>
      </c>
      <c r="BG18" s="553">
        <v>0.0</v>
      </c>
      <c r="BH18" s="206">
        <v>1.0</v>
      </c>
      <c r="BI18" s="553">
        <v>0.004</v>
      </c>
      <c r="BJ18" s="206">
        <v>0.0</v>
      </c>
      <c r="BK18" s="553">
        <v>0.0</v>
      </c>
      <c r="BL18" s="206">
        <v>0.0</v>
      </c>
      <c r="BM18" s="553">
        <v>0.0</v>
      </c>
      <c r="BN18" s="206">
        <v>0.0</v>
      </c>
      <c r="BO18" s="553">
        <v>0.0</v>
      </c>
      <c r="BP18" s="206">
        <v>2.0</v>
      </c>
      <c r="BQ18" s="553">
        <v>0.01</v>
      </c>
      <c r="BR18" s="206">
        <v>0.0</v>
      </c>
      <c r="BS18" s="553">
        <v>0.0</v>
      </c>
      <c r="BT18" s="206">
        <v>0.0</v>
      </c>
      <c r="BU18" s="553">
        <v>0.0</v>
      </c>
      <c r="BV18" s="206">
        <v>0.0</v>
      </c>
      <c r="BW18" s="553">
        <v>0.0</v>
      </c>
      <c r="BX18" s="206">
        <v>1.0</v>
      </c>
      <c r="BY18" s="553">
        <v>0.006</v>
      </c>
      <c r="BZ18" s="206">
        <v>0.0</v>
      </c>
      <c r="CA18" s="553">
        <v>0.0</v>
      </c>
      <c r="CB18" s="206">
        <v>0.0</v>
      </c>
      <c r="CC18" s="553">
        <v>0.0</v>
      </c>
      <c r="CD18" s="206">
        <v>0.0</v>
      </c>
      <c r="CE18" s="553">
        <v>0.0</v>
      </c>
      <c r="CF18" s="206">
        <v>1.0</v>
      </c>
      <c r="CG18" s="553">
        <v>0.038</v>
      </c>
      <c r="CH18" s="206">
        <v>0.0</v>
      </c>
      <c r="CI18" s="553">
        <v>0.0</v>
      </c>
      <c r="CJ18" s="206">
        <v>0.0</v>
      </c>
      <c r="CK18" s="553">
        <v>0.0</v>
      </c>
      <c r="CL18" s="206">
        <v>0.0</v>
      </c>
      <c r="CM18" s="553">
        <v>0.0</v>
      </c>
      <c r="CN18" s="206">
        <v>0.0</v>
      </c>
      <c r="CO18" s="553">
        <v>0.0</v>
      </c>
      <c r="CP18" s="206">
        <v>2.0</v>
      </c>
      <c r="CQ18" s="553">
        <v>0.012</v>
      </c>
      <c r="CR18" s="206">
        <v>0.0</v>
      </c>
      <c r="CS18" s="553">
        <v>0.0</v>
      </c>
      <c r="CT18" s="206">
        <v>0.0</v>
      </c>
      <c r="CU18" s="553">
        <v>0.0</v>
      </c>
      <c r="CV18" s="206">
        <v>0.0</v>
      </c>
      <c r="CW18" s="553">
        <v>0.0</v>
      </c>
      <c r="CX18" s="206">
        <v>0.0</v>
      </c>
      <c r="CY18" s="553">
        <v>0.0</v>
      </c>
      <c r="CZ18" s="206">
        <v>0.0</v>
      </c>
      <c r="DA18" s="553">
        <v>0.0</v>
      </c>
      <c r="DB18" s="206">
        <v>0.0</v>
      </c>
      <c r="DC18" s="553">
        <v>0.0</v>
      </c>
      <c r="DD18" s="206">
        <v>0.0</v>
      </c>
      <c r="DE18" s="553">
        <v>0.0</v>
      </c>
      <c r="DF18" s="206">
        <v>0.0</v>
      </c>
      <c r="DG18" s="553">
        <v>0.0</v>
      </c>
      <c r="DH18" s="206">
        <v>1.0</v>
      </c>
      <c r="DI18" s="553">
        <v>0.005</v>
      </c>
      <c r="DJ18" s="206">
        <v>0.0</v>
      </c>
      <c r="DK18" s="553">
        <v>0.0</v>
      </c>
      <c r="DL18" s="206">
        <v>86.0</v>
      </c>
      <c r="DM18" s="553">
        <v>0.024</v>
      </c>
    </row>
    <row r="19">
      <c r="A19" s="549" t="s">
        <v>2221</v>
      </c>
      <c r="B19" s="551">
        <v>240.0</v>
      </c>
      <c r="C19" s="552">
        <v>0.913</v>
      </c>
      <c r="D19" s="551">
        <v>16.0</v>
      </c>
      <c r="E19" s="552">
        <v>0.842</v>
      </c>
      <c r="F19" s="551">
        <v>337.0</v>
      </c>
      <c r="G19" s="552">
        <v>0.908</v>
      </c>
      <c r="H19" s="551">
        <v>13.0</v>
      </c>
      <c r="I19" s="552">
        <v>0.929</v>
      </c>
      <c r="J19" s="551">
        <v>2.0</v>
      </c>
      <c r="K19" s="552">
        <v>1.0</v>
      </c>
      <c r="L19" s="551">
        <v>1.0</v>
      </c>
      <c r="M19" s="552">
        <v>1.0</v>
      </c>
      <c r="N19" s="551">
        <v>88.0</v>
      </c>
      <c r="O19" s="552">
        <v>0.907</v>
      </c>
      <c r="P19" s="551">
        <v>5.0</v>
      </c>
      <c r="Q19" s="552">
        <v>0.833</v>
      </c>
      <c r="R19" s="206">
        <v>9.0</v>
      </c>
      <c r="S19" s="553">
        <v>0.9</v>
      </c>
      <c r="T19" s="206">
        <v>5.0</v>
      </c>
      <c r="U19" s="553">
        <v>1.0</v>
      </c>
      <c r="V19" s="206">
        <v>4.0</v>
      </c>
      <c r="W19" s="553">
        <v>1.0</v>
      </c>
      <c r="X19" s="206">
        <v>2.0</v>
      </c>
      <c r="Y19" s="553">
        <v>1.0</v>
      </c>
      <c r="Z19" s="206">
        <v>13.0</v>
      </c>
      <c r="AA19" s="553">
        <v>0.929</v>
      </c>
      <c r="AB19" s="206">
        <v>10.0</v>
      </c>
      <c r="AC19" s="553">
        <v>1.0</v>
      </c>
      <c r="AD19" s="206">
        <v>3.0</v>
      </c>
      <c r="AE19" s="553">
        <v>0.75</v>
      </c>
      <c r="AF19" s="206">
        <v>67.0</v>
      </c>
      <c r="AG19" s="553">
        <v>0.905</v>
      </c>
      <c r="AH19" s="206">
        <v>476.0</v>
      </c>
      <c r="AI19" s="553">
        <v>0.941</v>
      </c>
      <c r="AJ19" s="206">
        <v>2.0</v>
      </c>
      <c r="AK19" s="553">
        <v>0.018</v>
      </c>
      <c r="AL19" s="206">
        <v>1.0</v>
      </c>
      <c r="AM19" s="553">
        <v>1.0</v>
      </c>
      <c r="AN19" s="206">
        <v>63.0</v>
      </c>
      <c r="AO19" s="553">
        <v>0.863</v>
      </c>
      <c r="AP19" s="206">
        <v>3.0</v>
      </c>
      <c r="AQ19" s="553">
        <v>1.0</v>
      </c>
      <c r="AR19" s="206">
        <v>550.0</v>
      </c>
      <c r="AS19" s="553">
        <v>0.896</v>
      </c>
      <c r="AT19" s="206">
        <v>9.0</v>
      </c>
      <c r="AU19" s="553">
        <v>0.818</v>
      </c>
      <c r="AV19" s="206">
        <v>30.0</v>
      </c>
      <c r="AW19" s="553">
        <v>0.909</v>
      </c>
      <c r="AX19" s="206">
        <v>23.0</v>
      </c>
      <c r="AY19" s="553">
        <v>0.885</v>
      </c>
      <c r="AZ19" s="206">
        <v>1.0</v>
      </c>
      <c r="BA19" s="553">
        <v>1.0</v>
      </c>
      <c r="BB19" s="206">
        <v>1.0</v>
      </c>
      <c r="BC19" s="553">
        <v>0.25</v>
      </c>
      <c r="BD19" s="206">
        <v>7.0</v>
      </c>
      <c r="BE19" s="553">
        <v>1.0</v>
      </c>
      <c r="BF19" s="206">
        <v>11.0</v>
      </c>
      <c r="BG19" s="553">
        <v>0.917</v>
      </c>
      <c r="BH19" s="206">
        <v>199.0</v>
      </c>
      <c r="BI19" s="553">
        <v>0.892</v>
      </c>
      <c r="BJ19" s="206">
        <v>7.0</v>
      </c>
      <c r="BK19" s="553">
        <v>0.875</v>
      </c>
      <c r="BL19" s="206">
        <v>9.0</v>
      </c>
      <c r="BM19" s="553">
        <v>0.9</v>
      </c>
      <c r="BN19" s="206">
        <v>3.0</v>
      </c>
      <c r="BO19" s="553">
        <v>1.0</v>
      </c>
      <c r="BP19" s="206">
        <v>170.0</v>
      </c>
      <c r="BQ19" s="553">
        <v>0.876</v>
      </c>
      <c r="BR19" s="206">
        <v>20.0</v>
      </c>
      <c r="BS19" s="553">
        <v>1.0</v>
      </c>
      <c r="BT19" s="206">
        <v>7.0</v>
      </c>
      <c r="BU19" s="553">
        <v>1.0</v>
      </c>
      <c r="BV19" s="206">
        <v>39.0</v>
      </c>
      <c r="BW19" s="553">
        <v>0.907</v>
      </c>
      <c r="BX19" s="206">
        <v>147.0</v>
      </c>
      <c r="BY19" s="553">
        <v>0.85</v>
      </c>
      <c r="BZ19" s="206">
        <v>1.0</v>
      </c>
      <c r="CA19" s="553">
        <v>0.5</v>
      </c>
      <c r="CB19" s="206">
        <v>14.0</v>
      </c>
      <c r="CC19" s="553">
        <v>1.0</v>
      </c>
      <c r="CD19" s="206">
        <v>62.0</v>
      </c>
      <c r="CE19" s="553">
        <v>0.954</v>
      </c>
      <c r="CF19" s="206">
        <v>24.0</v>
      </c>
      <c r="CG19" s="553">
        <v>0.923</v>
      </c>
      <c r="CH19" s="206">
        <v>15.0</v>
      </c>
      <c r="CI19" s="553">
        <v>0.882</v>
      </c>
      <c r="CJ19" s="206">
        <v>14.0</v>
      </c>
      <c r="CK19" s="553">
        <v>1.0</v>
      </c>
      <c r="CL19" s="206">
        <v>1.0</v>
      </c>
      <c r="CM19" s="553">
        <v>1.0</v>
      </c>
      <c r="CN19" s="206">
        <v>3.0</v>
      </c>
      <c r="CO19" s="553">
        <v>0.6</v>
      </c>
      <c r="CP19" s="206">
        <v>139.0</v>
      </c>
      <c r="CQ19" s="553">
        <v>0.858</v>
      </c>
      <c r="CR19" s="206">
        <v>11.0</v>
      </c>
      <c r="CS19" s="553">
        <v>0.846</v>
      </c>
      <c r="CT19" s="206">
        <v>10.0</v>
      </c>
      <c r="CU19" s="553">
        <v>0.833</v>
      </c>
      <c r="CV19" s="206">
        <v>6.0</v>
      </c>
      <c r="CW19" s="553">
        <v>1.0</v>
      </c>
      <c r="CX19" s="206">
        <v>7.0</v>
      </c>
      <c r="CY19" s="553">
        <v>0.7</v>
      </c>
      <c r="CZ19" s="206">
        <v>3.0</v>
      </c>
      <c r="DA19" s="553">
        <v>1.0</v>
      </c>
      <c r="DB19" s="206">
        <v>5.0</v>
      </c>
      <c r="DC19" s="553">
        <v>0.833</v>
      </c>
      <c r="DD19" s="206">
        <v>9.0</v>
      </c>
      <c r="DE19" s="553">
        <v>0.818</v>
      </c>
      <c r="DF19" s="206">
        <v>3.0</v>
      </c>
      <c r="DG19" s="553">
        <v>1.0</v>
      </c>
      <c r="DH19" s="206">
        <v>174.0</v>
      </c>
      <c r="DI19" s="553">
        <v>0.93</v>
      </c>
      <c r="DJ19" s="206">
        <v>3.0</v>
      </c>
      <c r="DK19" s="553">
        <v>1.0</v>
      </c>
      <c r="DL19" s="206">
        <v>3097.0</v>
      </c>
      <c r="DM19" s="553">
        <v>0.875</v>
      </c>
    </row>
    <row r="20">
      <c r="A20" s="549" t="s">
        <v>2225</v>
      </c>
      <c r="B20" s="551">
        <v>240.0</v>
      </c>
      <c r="C20" s="552">
        <v>0.913</v>
      </c>
      <c r="D20" s="551">
        <v>16.0</v>
      </c>
      <c r="E20" s="552">
        <v>0.842</v>
      </c>
      <c r="F20" s="551">
        <v>337.0</v>
      </c>
      <c r="G20" s="552">
        <v>0.908</v>
      </c>
      <c r="H20" s="551">
        <v>9.0</v>
      </c>
      <c r="I20" s="552">
        <v>0.643</v>
      </c>
      <c r="J20" s="551">
        <v>2.0</v>
      </c>
      <c r="K20" s="552">
        <v>1.0</v>
      </c>
      <c r="L20" s="551">
        <v>1.0</v>
      </c>
      <c r="M20" s="552">
        <v>1.0</v>
      </c>
      <c r="N20" s="551">
        <v>83.0</v>
      </c>
      <c r="O20" s="552">
        <v>0.856</v>
      </c>
      <c r="P20" s="551">
        <v>5.0</v>
      </c>
      <c r="Q20" s="552">
        <v>0.833</v>
      </c>
      <c r="R20" s="206">
        <v>9.0</v>
      </c>
      <c r="S20" s="553">
        <v>0.9</v>
      </c>
      <c r="T20" s="206">
        <v>5.0</v>
      </c>
      <c r="U20" s="553">
        <v>1.0</v>
      </c>
      <c r="V20" s="206">
        <v>4.0</v>
      </c>
      <c r="W20" s="553">
        <v>1.0</v>
      </c>
      <c r="X20" s="206">
        <v>2.0</v>
      </c>
      <c r="Y20" s="553">
        <v>1.0</v>
      </c>
      <c r="Z20" s="206">
        <v>10.0</v>
      </c>
      <c r="AA20" s="553">
        <v>0.714</v>
      </c>
      <c r="AB20" s="206">
        <v>10.0</v>
      </c>
      <c r="AC20" s="553">
        <v>1.0</v>
      </c>
      <c r="AD20" s="206">
        <v>3.0</v>
      </c>
      <c r="AE20" s="553">
        <v>0.75</v>
      </c>
      <c r="AF20" s="206">
        <v>55.0</v>
      </c>
      <c r="AG20" s="553">
        <v>0.743</v>
      </c>
      <c r="AH20" s="206">
        <v>467.0</v>
      </c>
      <c r="AI20" s="553">
        <v>0.923</v>
      </c>
      <c r="AJ20" s="206">
        <v>1.0</v>
      </c>
      <c r="AK20" s="553">
        <v>0.009</v>
      </c>
      <c r="AL20" s="206">
        <v>1.0</v>
      </c>
      <c r="AM20" s="553">
        <v>1.0</v>
      </c>
      <c r="AN20" s="206">
        <v>62.0</v>
      </c>
      <c r="AO20" s="553">
        <v>0.849</v>
      </c>
      <c r="AP20" s="206">
        <v>3.0</v>
      </c>
      <c r="AQ20" s="553">
        <v>1.0</v>
      </c>
      <c r="AR20" s="206">
        <v>543.0</v>
      </c>
      <c r="AS20" s="553">
        <v>0.884</v>
      </c>
      <c r="AT20" s="206">
        <v>6.0</v>
      </c>
      <c r="AU20" s="553">
        <v>0.545</v>
      </c>
      <c r="AV20" s="206">
        <v>30.0</v>
      </c>
      <c r="AW20" s="553">
        <v>0.909</v>
      </c>
      <c r="AX20" s="206">
        <v>23.0</v>
      </c>
      <c r="AY20" s="553">
        <v>0.885</v>
      </c>
      <c r="AZ20" s="206">
        <v>1.0</v>
      </c>
      <c r="BA20" s="553">
        <v>1.0</v>
      </c>
      <c r="BB20" s="206">
        <v>1.0</v>
      </c>
      <c r="BC20" s="553">
        <v>0.25</v>
      </c>
      <c r="BD20" s="206">
        <v>7.0</v>
      </c>
      <c r="BE20" s="553">
        <v>1.0</v>
      </c>
      <c r="BF20" s="206">
        <v>10.0</v>
      </c>
      <c r="BG20" s="553">
        <v>0.833</v>
      </c>
      <c r="BH20" s="206">
        <v>190.0</v>
      </c>
      <c r="BI20" s="553">
        <v>0.852</v>
      </c>
      <c r="BJ20" s="206">
        <v>5.0</v>
      </c>
      <c r="BK20" s="553">
        <v>0.625</v>
      </c>
      <c r="BL20" s="206">
        <v>9.0</v>
      </c>
      <c r="BM20" s="553">
        <v>0.9</v>
      </c>
      <c r="BN20" s="206">
        <v>3.0</v>
      </c>
      <c r="BO20" s="553">
        <v>1.0</v>
      </c>
      <c r="BP20" s="206">
        <v>158.0</v>
      </c>
      <c r="BQ20" s="553">
        <v>0.814</v>
      </c>
      <c r="BR20" s="206">
        <v>20.0</v>
      </c>
      <c r="BS20" s="553">
        <v>1.0</v>
      </c>
      <c r="BT20" s="206">
        <v>7.0</v>
      </c>
      <c r="BU20" s="553">
        <v>1.0</v>
      </c>
      <c r="BV20" s="206">
        <v>37.0</v>
      </c>
      <c r="BW20" s="553">
        <v>0.86</v>
      </c>
      <c r="BX20" s="206">
        <v>139.0</v>
      </c>
      <c r="BY20" s="553">
        <v>0.803</v>
      </c>
      <c r="BZ20" s="206">
        <v>1.0</v>
      </c>
      <c r="CA20" s="553">
        <v>0.5</v>
      </c>
      <c r="CB20" s="206">
        <v>13.0</v>
      </c>
      <c r="CC20" s="553">
        <v>0.929</v>
      </c>
      <c r="CD20" s="206">
        <v>60.0</v>
      </c>
      <c r="CE20" s="553">
        <v>0.923</v>
      </c>
      <c r="CF20" s="206">
        <v>24.0</v>
      </c>
      <c r="CG20" s="553">
        <v>0.923</v>
      </c>
      <c r="CH20" s="206">
        <v>15.0</v>
      </c>
      <c r="CI20" s="553">
        <v>0.882</v>
      </c>
      <c r="CJ20" s="206">
        <v>14.0</v>
      </c>
      <c r="CK20" s="553">
        <v>1.0</v>
      </c>
      <c r="CL20" s="206">
        <v>1.0</v>
      </c>
      <c r="CM20" s="553">
        <v>1.0</v>
      </c>
      <c r="CN20" s="206">
        <v>3.0</v>
      </c>
      <c r="CO20" s="553">
        <v>0.6</v>
      </c>
      <c r="CP20" s="206">
        <v>122.0</v>
      </c>
      <c r="CQ20" s="553">
        <v>0.753</v>
      </c>
      <c r="CR20" s="206">
        <v>11.0</v>
      </c>
      <c r="CS20" s="553">
        <v>0.846</v>
      </c>
      <c r="CT20" s="206">
        <v>9.0</v>
      </c>
      <c r="CU20" s="553">
        <v>0.75</v>
      </c>
      <c r="CV20" s="206">
        <v>6.0</v>
      </c>
      <c r="CW20" s="553">
        <v>1.0</v>
      </c>
      <c r="CX20" s="206">
        <v>6.0</v>
      </c>
      <c r="CY20" s="553">
        <v>0.6</v>
      </c>
      <c r="CZ20" s="206">
        <v>3.0</v>
      </c>
      <c r="DA20" s="553">
        <v>1.0</v>
      </c>
      <c r="DB20" s="206">
        <v>5.0</v>
      </c>
      <c r="DC20" s="553">
        <v>0.833</v>
      </c>
      <c r="DD20" s="206">
        <v>9.0</v>
      </c>
      <c r="DE20" s="553">
        <v>0.818</v>
      </c>
      <c r="DF20" s="206">
        <v>0.0</v>
      </c>
      <c r="DG20" s="553">
        <v>0.0</v>
      </c>
      <c r="DH20" s="206">
        <v>160.0</v>
      </c>
      <c r="DI20" s="553">
        <v>0.856</v>
      </c>
      <c r="DJ20" s="206">
        <v>3.0</v>
      </c>
      <c r="DK20" s="553">
        <v>1.0</v>
      </c>
      <c r="DL20" s="206">
        <v>2979.0</v>
      </c>
      <c r="DM20" s="553">
        <v>0.842</v>
      </c>
    </row>
    <row r="21">
      <c r="A21" s="549" t="s">
        <v>2227</v>
      </c>
      <c r="B21" s="551">
        <v>55.0</v>
      </c>
      <c r="C21" s="552">
        <v>0.209</v>
      </c>
      <c r="D21" s="551">
        <v>3.0</v>
      </c>
      <c r="E21" s="552">
        <v>0.158</v>
      </c>
      <c r="F21" s="551">
        <v>44.0</v>
      </c>
      <c r="G21" s="552">
        <v>0.119</v>
      </c>
      <c r="H21" s="551">
        <v>6.0</v>
      </c>
      <c r="I21" s="552">
        <v>0.429</v>
      </c>
      <c r="J21" s="551">
        <v>0.0</v>
      </c>
      <c r="K21" s="552">
        <v>0.0</v>
      </c>
      <c r="L21" s="551">
        <v>0.0</v>
      </c>
      <c r="M21" s="552">
        <v>0.0</v>
      </c>
      <c r="N21" s="551">
        <v>31.0</v>
      </c>
      <c r="O21" s="552">
        <v>0.32</v>
      </c>
      <c r="P21" s="551">
        <v>1.0</v>
      </c>
      <c r="Q21" s="552">
        <v>0.167</v>
      </c>
      <c r="R21" s="206">
        <v>0.0</v>
      </c>
      <c r="S21" s="553">
        <v>0.0</v>
      </c>
      <c r="T21" s="206">
        <v>0.0</v>
      </c>
      <c r="U21" s="553">
        <v>0.0</v>
      </c>
      <c r="V21" s="206">
        <v>2.0</v>
      </c>
      <c r="W21" s="553">
        <v>0.5</v>
      </c>
      <c r="X21" s="206">
        <v>0.0</v>
      </c>
      <c r="Y21" s="553">
        <v>0.0</v>
      </c>
      <c r="Z21" s="206">
        <v>0.0</v>
      </c>
      <c r="AA21" s="553">
        <v>0.0</v>
      </c>
      <c r="AB21" s="206">
        <v>0.0</v>
      </c>
      <c r="AC21" s="553">
        <v>0.0</v>
      </c>
      <c r="AD21" s="206">
        <v>0.0</v>
      </c>
      <c r="AE21" s="553">
        <v>0.0</v>
      </c>
      <c r="AF21" s="206">
        <v>0.0</v>
      </c>
      <c r="AG21" s="553">
        <v>0.0</v>
      </c>
      <c r="AH21" s="206">
        <v>154.0</v>
      </c>
      <c r="AI21" s="553">
        <v>0.304</v>
      </c>
      <c r="AJ21" s="206">
        <v>0.0</v>
      </c>
      <c r="AK21" s="553">
        <v>0.0</v>
      </c>
      <c r="AL21" s="206">
        <v>1.0</v>
      </c>
      <c r="AM21" s="553">
        <v>1.0</v>
      </c>
      <c r="AN21" s="206">
        <v>24.0</v>
      </c>
      <c r="AO21" s="553">
        <v>0.329</v>
      </c>
      <c r="AP21" s="206">
        <v>2.0</v>
      </c>
      <c r="AQ21" s="553">
        <v>0.667</v>
      </c>
      <c r="AR21" s="206">
        <v>75.0</v>
      </c>
      <c r="AS21" s="553">
        <v>0.122</v>
      </c>
      <c r="AT21" s="206">
        <v>1.0</v>
      </c>
      <c r="AU21" s="553">
        <v>0.091</v>
      </c>
      <c r="AV21" s="206">
        <v>4.0</v>
      </c>
      <c r="AW21" s="553">
        <v>0.121</v>
      </c>
      <c r="AX21" s="206">
        <v>11.0</v>
      </c>
      <c r="AY21" s="553">
        <v>0.423</v>
      </c>
      <c r="AZ21" s="206">
        <v>0.0</v>
      </c>
      <c r="BA21" s="553">
        <v>0.0</v>
      </c>
      <c r="BB21" s="206">
        <v>0.0</v>
      </c>
      <c r="BC21" s="553">
        <v>0.0</v>
      </c>
      <c r="BD21" s="206">
        <v>3.0</v>
      </c>
      <c r="BE21" s="553">
        <v>0.429</v>
      </c>
      <c r="BF21" s="206">
        <v>0.0</v>
      </c>
      <c r="BG21" s="553">
        <v>0.0</v>
      </c>
      <c r="BH21" s="206">
        <v>41.0</v>
      </c>
      <c r="BI21" s="553">
        <v>0.184</v>
      </c>
      <c r="BJ21" s="206">
        <v>0.0</v>
      </c>
      <c r="BK21" s="553">
        <v>0.0</v>
      </c>
      <c r="BL21" s="206">
        <v>3.0</v>
      </c>
      <c r="BM21" s="553">
        <v>0.3</v>
      </c>
      <c r="BN21" s="206">
        <v>0.0</v>
      </c>
      <c r="BO21" s="553">
        <v>0.0</v>
      </c>
      <c r="BP21" s="206">
        <v>42.0</v>
      </c>
      <c r="BQ21" s="553">
        <v>0.216</v>
      </c>
      <c r="BR21" s="206">
        <v>0.0</v>
      </c>
      <c r="BS21" s="553">
        <v>0.0</v>
      </c>
      <c r="BT21" s="206">
        <v>0.0</v>
      </c>
      <c r="BU21" s="553">
        <v>0.0</v>
      </c>
      <c r="BV21" s="206">
        <v>16.0</v>
      </c>
      <c r="BW21" s="553">
        <v>0.372</v>
      </c>
      <c r="BX21" s="206">
        <v>31.0</v>
      </c>
      <c r="BY21" s="553">
        <v>0.179</v>
      </c>
      <c r="BZ21" s="206">
        <v>1.0</v>
      </c>
      <c r="CA21" s="553">
        <v>0.5</v>
      </c>
      <c r="CB21" s="206">
        <v>9.0</v>
      </c>
      <c r="CC21" s="553">
        <v>0.643</v>
      </c>
      <c r="CD21" s="206">
        <v>0.0</v>
      </c>
      <c r="CE21" s="553">
        <v>0.0</v>
      </c>
      <c r="CF21" s="206">
        <v>13.0</v>
      </c>
      <c r="CG21" s="553">
        <v>0.5</v>
      </c>
      <c r="CH21" s="206">
        <v>0.0</v>
      </c>
      <c r="CI21" s="553">
        <v>0.0</v>
      </c>
      <c r="CJ21" s="206">
        <v>9.0</v>
      </c>
      <c r="CK21" s="553">
        <v>0.643</v>
      </c>
      <c r="CL21" s="206">
        <v>1.0</v>
      </c>
      <c r="CM21" s="553">
        <v>1.0</v>
      </c>
      <c r="CN21" s="206">
        <v>0.0</v>
      </c>
      <c r="CO21" s="553">
        <v>0.0</v>
      </c>
      <c r="CP21" s="206">
        <v>18.0</v>
      </c>
      <c r="CQ21" s="553">
        <v>0.111</v>
      </c>
      <c r="CR21" s="206">
        <v>3.0</v>
      </c>
      <c r="CS21" s="553">
        <v>0.231</v>
      </c>
      <c r="CT21" s="206">
        <v>2.0</v>
      </c>
      <c r="CU21" s="553">
        <v>0.167</v>
      </c>
      <c r="CV21" s="206">
        <v>1.0</v>
      </c>
      <c r="CW21" s="553">
        <v>0.167</v>
      </c>
      <c r="CX21" s="206">
        <v>4.0</v>
      </c>
      <c r="CY21" s="553">
        <v>0.4</v>
      </c>
      <c r="CZ21" s="206">
        <v>2.0</v>
      </c>
      <c r="DA21" s="553">
        <v>0.667</v>
      </c>
      <c r="DB21" s="206">
        <v>5.0</v>
      </c>
      <c r="DC21" s="553">
        <v>0.833</v>
      </c>
      <c r="DD21" s="206">
        <v>2.0</v>
      </c>
      <c r="DE21" s="553">
        <v>0.182</v>
      </c>
      <c r="DF21" s="206">
        <v>0.0</v>
      </c>
      <c r="DG21" s="553">
        <v>0.0</v>
      </c>
      <c r="DH21" s="206">
        <v>41.0</v>
      </c>
      <c r="DI21" s="553">
        <v>0.219</v>
      </c>
      <c r="DJ21" s="206">
        <v>2.0</v>
      </c>
      <c r="DK21" s="553">
        <v>0.667</v>
      </c>
      <c r="DL21" s="206">
        <v>663.0</v>
      </c>
      <c r="DM21" s="553">
        <v>0.187</v>
      </c>
    </row>
    <row r="22">
      <c r="A22" s="549" t="s">
        <v>2233</v>
      </c>
      <c r="B22" s="551">
        <v>68.0</v>
      </c>
      <c r="C22" s="552">
        <v>0.259</v>
      </c>
      <c r="D22" s="551">
        <v>6.0</v>
      </c>
      <c r="E22" s="552">
        <v>0.316</v>
      </c>
      <c r="F22" s="551">
        <v>94.0</v>
      </c>
      <c r="G22" s="552">
        <v>0.253</v>
      </c>
      <c r="H22" s="551">
        <v>2.0</v>
      </c>
      <c r="I22" s="552">
        <v>0.143</v>
      </c>
      <c r="J22" s="551">
        <v>1.0</v>
      </c>
      <c r="K22" s="552">
        <v>0.5</v>
      </c>
      <c r="L22" s="551">
        <v>0.0</v>
      </c>
      <c r="M22" s="552">
        <v>0.0</v>
      </c>
      <c r="N22" s="551">
        <v>17.0</v>
      </c>
      <c r="O22" s="552">
        <v>0.175</v>
      </c>
      <c r="P22" s="551">
        <v>0.0</v>
      </c>
      <c r="Q22" s="552">
        <v>0.0</v>
      </c>
      <c r="R22" s="206">
        <v>1.0</v>
      </c>
      <c r="S22" s="553">
        <v>0.1</v>
      </c>
      <c r="T22" s="206">
        <v>0.0</v>
      </c>
      <c r="U22" s="553">
        <v>0.0</v>
      </c>
      <c r="V22" s="206">
        <v>0.0</v>
      </c>
      <c r="W22" s="553">
        <v>0.0</v>
      </c>
      <c r="X22" s="206">
        <v>0.0</v>
      </c>
      <c r="Y22" s="553">
        <v>0.0</v>
      </c>
      <c r="Z22" s="206">
        <v>2.0</v>
      </c>
      <c r="AA22" s="553">
        <v>0.143</v>
      </c>
      <c r="AB22" s="206">
        <v>0.0</v>
      </c>
      <c r="AC22" s="553">
        <v>0.0</v>
      </c>
      <c r="AD22" s="206">
        <v>0.0</v>
      </c>
      <c r="AE22" s="553">
        <v>0.0</v>
      </c>
      <c r="AF22" s="206">
        <v>9.0</v>
      </c>
      <c r="AG22" s="553">
        <v>0.122</v>
      </c>
      <c r="AH22" s="206">
        <v>100.0</v>
      </c>
      <c r="AI22" s="553">
        <v>0.198</v>
      </c>
      <c r="AJ22" s="206">
        <v>0.0</v>
      </c>
      <c r="AK22" s="553">
        <v>0.0</v>
      </c>
      <c r="AL22" s="206">
        <v>0.0</v>
      </c>
      <c r="AM22" s="553">
        <v>0.0</v>
      </c>
      <c r="AN22" s="206">
        <v>7.0</v>
      </c>
      <c r="AO22" s="553">
        <v>0.096</v>
      </c>
      <c r="AP22" s="206">
        <v>0.0</v>
      </c>
      <c r="AQ22" s="553">
        <v>0.0</v>
      </c>
      <c r="AR22" s="206">
        <v>100.0</v>
      </c>
      <c r="AS22" s="553">
        <v>0.163</v>
      </c>
      <c r="AT22" s="206">
        <v>2.0</v>
      </c>
      <c r="AU22" s="553">
        <v>0.182</v>
      </c>
      <c r="AV22" s="206">
        <v>7.0</v>
      </c>
      <c r="AW22" s="553">
        <v>0.212</v>
      </c>
      <c r="AX22" s="206">
        <v>0.0</v>
      </c>
      <c r="AY22" s="553">
        <v>0.0</v>
      </c>
      <c r="AZ22" s="206">
        <v>1.0</v>
      </c>
      <c r="BA22" s="553">
        <v>1.0</v>
      </c>
      <c r="BB22" s="206">
        <v>0.0</v>
      </c>
      <c r="BC22" s="553">
        <v>0.0</v>
      </c>
      <c r="BD22" s="206">
        <v>1.0</v>
      </c>
      <c r="BE22" s="553">
        <v>0.143</v>
      </c>
      <c r="BF22" s="206">
        <v>1.0</v>
      </c>
      <c r="BG22" s="553">
        <v>0.083</v>
      </c>
      <c r="BH22" s="206">
        <v>64.0</v>
      </c>
      <c r="BI22" s="553">
        <v>0.287</v>
      </c>
      <c r="BJ22" s="206">
        <v>3.0</v>
      </c>
      <c r="BK22" s="553">
        <v>0.375</v>
      </c>
      <c r="BL22" s="206">
        <v>0.0</v>
      </c>
      <c r="BM22" s="553">
        <v>0.0</v>
      </c>
      <c r="BN22" s="206">
        <v>3.0</v>
      </c>
      <c r="BO22" s="553">
        <v>1.0</v>
      </c>
      <c r="BP22" s="206">
        <v>48.0</v>
      </c>
      <c r="BQ22" s="553">
        <v>0.247</v>
      </c>
      <c r="BR22" s="206">
        <v>11.0</v>
      </c>
      <c r="BS22" s="553">
        <v>0.55</v>
      </c>
      <c r="BT22" s="206">
        <v>3.0</v>
      </c>
      <c r="BU22" s="553">
        <v>0.429</v>
      </c>
      <c r="BV22" s="206">
        <v>10.0</v>
      </c>
      <c r="BW22" s="553">
        <v>0.233</v>
      </c>
      <c r="BX22" s="206">
        <v>16.0</v>
      </c>
      <c r="BY22" s="553">
        <v>0.092</v>
      </c>
      <c r="BZ22" s="206">
        <v>0.0</v>
      </c>
      <c r="CA22" s="553">
        <v>0.0</v>
      </c>
      <c r="CB22" s="206">
        <v>0.0</v>
      </c>
      <c r="CC22" s="553">
        <v>0.0</v>
      </c>
      <c r="CD22" s="206">
        <v>12.0</v>
      </c>
      <c r="CE22" s="553">
        <v>0.185</v>
      </c>
      <c r="CF22" s="206">
        <v>7.0</v>
      </c>
      <c r="CG22" s="553">
        <v>0.269</v>
      </c>
      <c r="CH22" s="206">
        <v>5.0</v>
      </c>
      <c r="CI22" s="553">
        <v>0.294</v>
      </c>
      <c r="CJ22" s="206">
        <v>1.0</v>
      </c>
      <c r="CK22" s="553">
        <v>0.071</v>
      </c>
      <c r="CL22" s="206">
        <v>0.0</v>
      </c>
      <c r="CM22" s="553">
        <v>0.0</v>
      </c>
      <c r="CN22" s="206">
        <v>1.0</v>
      </c>
      <c r="CO22" s="553">
        <v>0.2</v>
      </c>
      <c r="CP22" s="206">
        <v>45.0</v>
      </c>
      <c r="CQ22" s="553">
        <v>0.278</v>
      </c>
      <c r="CR22" s="206">
        <v>3.0</v>
      </c>
      <c r="CS22" s="553">
        <v>0.231</v>
      </c>
      <c r="CT22" s="206">
        <v>2.0</v>
      </c>
      <c r="CU22" s="553">
        <v>0.167</v>
      </c>
      <c r="CV22" s="206">
        <v>0.0</v>
      </c>
      <c r="CW22" s="553">
        <v>0.0</v>
      </c>
      <c r="CX22" s="206">
        <v>1.0</v>
      </c>
      <c r="CY22" s="553">
        <v>0.1</v>
      </c>
      <c r="CZ22" s="206">
        <v>0.0</v>
      </c>
      <c r="DA22" s="553">
        <v>0.0</v>
      </c>
      <c r="DB22" s="206">
        <v>0.0</v>
      </c>
      <c r="DC22" s="553">
        <v>0.0</v>
      </c>
      <c r="DD22" s="206">
        <v>1.0</v>
      </c>
      <c r="DE22" s="553">
        <v>0.091</v>
      </c>
      <c r="DF22" s="206">
        <v>0.0</v>
      </c>
      <c r="DG22" s="553">
        <v>0.0</v>
      </c>
      <c r="DH22" s="206">
        <v>34.0</v>
      </c>
      <c r="DI22" s="553">
        <v>0.182</v>
      </c>
      <c r="DJ22" s="206">
        <v>1.0</v>
      </c>
      <c r="DK22" s="553">
        <v>0.333</v>
      </c>
      <c r="DL22" s="206">
        <v>690.0</v>
      </c>
      <c r="DM22" s="553">
        <v>0.195</v>
      </c>
    </row>
    <row r="23">
      <c r="A23" s="549" t="s">
        <v>2235</v>
      </c>
      <c r="B23" s="551">
        <v>52.0</v>
      </c>
      <c r="C23" s="552">
        <v>0.198</v>
      </c>
      <c r="D23" s="551">
        <v>2.0</v>
      </c>
      <c r="E23" s="552">
        <v>0.105</v>
      </c>
      <c r="F23" s="551">
        <v>91.0</v>
      </c>
      <c r="G23" s="552">
        <v>0.245</v>
      </c>
      <c r="H23" s="551">
        <v>1.0</v>
      </c>
      <c r="I23" s="552">
        <v>0.071</v>
      </c>
      <c r="J23" s="551">
        <v>0.0</v>
      </c>
      <c r="K23" s="552">
        <v>0.0</v>
      </c>
      <c r="L23" s="551">
        <v>1.0</v>
      </c>
      <c r="M23" s="552">
        <v>1.0</v>
      </c>
      <c r="N23" s="551">
        <v>19.0</v>
      </c>
      <c r="O23" s="552">
        <v>0.196</v>
      </c>
      <c r="P23" s="551">
        <v>4.0</v>
      </c>
      <c r="Q23" s="552">
        <v>0.667</v>
      </c>
      <c r="R23" s="206">
        <v>3.0</v>
      </c>
      <c r="S23" s="553">
        <v>0.3</v>
      </c>
      <c r="T23" s="206">
        <v>0.0</v>
      </c>
      <c r="U23" s="553">
        <v>0.0</v>
      </c>
      <c r="V23" s="206">
        <v>2.0</v>
      </c>
      <c r="W23" s="553">
        <v>0.5</v>
      </c>
      <c r="X23" s="206">
        <v>0.0</v>
      </c>
      <c r="Y23" s="553">
        <v>0.0</v>
      </c>
      <c r="Z23" s="206">
        <v>1.0</v>
      </c>
      <c r="AA23" s="553">
        <v>0.071</v>
      </c>
      <c r="AB23" s="206">
        <v>2.0</v>
      </c>
      <c r="AC23" s="553">
        <v>0.2</v>
      </c>
      <c r="AD23" s="206">
        <v>0.0</v>
      </c>
      <c r="AE23" s="553">
        <v>0.0</v>
      </c>
      <c r="AF23" s="206">
        <v>3.0</v>
      </c>
      <c r="AG23" s="553">
        <v>0.041</v>
      </c>
      <c r="AH23" s="206">
        <v>50.0</v>
      </c>
      <c r="AI23" s="553">
        <v>0.099</v>
      </c>
      <c r="AJ23" s="206">
        <v>1.0</v>
      </c>
      <c r="AK23" s="553">
        <v>0.009</v>
      </c>
      <c r="AL23" s="206">
        <v>0.0</v>
      </c>
      <c r="AM23" s="553">
        <v>0.0</v>
      </c>
      <c r="AN23" s="206">
        <v>16.0</v>
      </c>
      <c r="AO23" s="553">
        <v>0.219</v>
      </c>
      <c r="AP23" s="206">
        <v>1.0</v>
      </c>
      <c r="AQ23" s="553">
        <v>0.333</v>
      </c>
      <c r="AR23" s="206">
        <v>6.0</v>
      </c>
      <c r="AS23" s="553">
        <v>0.01</v>
      </c>
      <c r="AT23" s="206">
        <v>0.0</v>
      </c>
      <c r="AU23" s="553">
        <v>0.0</v>
      </c>
      <c r="AV23" s="206">
        <v>4.0</v>
      </c>
      <c r="AW23" s="553">
        <v>0.121</v>
      </c>
      <c r="AX23" s="206">
        <v>10.0</v>
      </c>
      <c r="AY23" s="553">
        <v>0.385</v>
      </c>
      <c r="AZ23" s="206">
        <v>0.0</v>
      </c>
      <c r="BA23" s="553">
        <v>0.0</v>
      </c>
      <c r="BB23" s="206">
        <v>0.0</v>
      </c>
      <c r="BC23" s="553">
        <v>0.0</v>
      </c>
      <c r="BD23" s="206">
        <v>0.0</v>
      </c>
      <c r="BE23" s="553">
        <v>0.0</v>
      </c>
      <c r="BF23" s="206">
        <v>7.0</v>
      </c>
      <c r="BG23" s="553">
        <v>0.583</v>
      </c>
      <c r="BH23" s="206">
        <v>32.0</v>
      </c>
      <c r="BI23" s="553">
        <v>0.143</v>
      </c>
      <c r="BJ23" s="206">
        <v>0.0</v>
      </c>
      <c r="BK23" s="553">
        <v>0.0</v>
      </c>
      <c r="BL23" s="206">
        <v>5.0</v>
      </c>
      <c r="BM23" s="553">
        <v>0.5</v>
      </c>
      <c r="BN23" s="206">
        <v>0.0</v>
      </c>
      <c r="BO23" s="553">
        <v>0.0</v>
      </c>
      <c r="BP23" s="206">
        <v>43.0</v>
      </c>
      <c r="BQ23" s="553">
        <v>0.222</v>
      </c>
      <c r="BR23" s="206">
        <v>1.0</v>
      </c>
      <c r="BS23" s="553">
        <v>0.05</v>
      </c>
      <c r="BT23" s="206">
        <v>4.0</v>
      </c>
      <c r="BU23" s="553">
        <v>0.571</v>
      </c>
      <c r="BV23" s="206">
        <v>7.0</v>
      </c>
      <c r="BW23" s="553">
        <v>0.163</v>
      </c>
      <c r="BX23" s="206">
        <v>37.0</v>
      </c>
      <c r="BY23" s="553">
        <v>0.214</v>
      </c>
      <c r="BZ23" s="206">
        <v>0.0</v>
      </c>
      <c r="CA23" s="553">
        <v>0.0</v>
      </c>
      <c r="CB23" s="206">
        <v>1.0</v>
      </c>
      <c r="CC23" s="553">
        <v>0.071</v>
      </c>
      <c r="CD23" s="206">
        <v>2.0</v>
      </c>
      <c r="CE23" s="553">
        <v>0.031</v>
      </c>
      <c r="CF23" s="206">
        <v>3.0</v>
      </c>
      <c r="CG23" s="553">
        <v>0.115</v>
      </c>
      <c r="CH23" s="206">
        <v>7.0</v>
      </c>
      <c r="CI23" s="553">
        <v>0.412</v>
      </c>
      <c r="CJ23" s="206">
        <v>2.0</v>
      </c>
      <c r="CK23" s="553">
        <v>0.143</v>
      </c>
      <c r="CL23" s="206">
        <v>0.0</v>
      </c>
      <c r="CM23" s="553">
        <v>0.0</v>
      </c>
      <c r="CN23" s="206">
        <v>2.0</v>
      </c>
      <c r="CO23" s="553">
        <v>0.4</v>
      </c>
      <c r="CP23" s="206">
        <v>27.0</v>
      </c>
      <c r="CQ23" s="553">
        <v>0.167</v>
      </c>
      <c r="CR23" s="206">
        <v>4.0</v>
      </c>
      <c r="CS23" s="553">
        <v>0.308</v>
      </c>
      <c r="CT23" s="206">
        <v>0.0</v>
      </c>
      <c r="CU23" s="553">
        <v>0.0</v>
      </c>
      <c r="CV23" s="206">
        <v>3.0</v>
      </c>
      <c r="CW23" s="553">
        <v>0.5</v>
      </c>
      <c r="CX23" s="206">
        <v>0.0</v>
      </c>
      <c r="CY23" s="553">
        <v>0.0</v>
      </c>
      <c r="CZ23" s="206">
        <v>0.0</v>
      </c>
      <c r="DA23" s="553">
        <v>0.0</v>
      </c>
      <c r="DB23" s="206">
        <v>0.0</v>
      </c>
      <c r="DC23" s="553">
        <v>0.0</v>
      </c>
      <c r="DD23" s="206">
        <v>3.0</v>
      </c>
      <c r="DE23" s="553">
        <v>0.273</v>
      </c>
      <c r="DF23" s="206">
        <v>0.0</v>
      </c>
      <c r="DG23" s="553">
        <v>0.0</v>
      </c>
      <c r="DH23" s="206">
        <v>74.0</v>
      </c>
      <c r="DI23" s="553">
        <v>0.396</v>
      </c>
      <c r="DJ23" s="206">
        <v>0.0</v>
      </c>
      <c r="DK23" s="553">
        <v>0.0</v>
      </c>
      <c r="DL23" s="206">
        <v>533.0</v>
      </c>
      <c r="DM23" s="553">
        <v>0.151</v>
      </c>
    </row>
    <row r="24">
      <c r="A24" s="320" t="s">
        <v>2240</v>
      </c>
      <c r="B24" s="206">
        <v>65.0</v>
      </c>
      <c r="C24" s="553">
        <v>0.247</v>
      </c>
      <c r="D24" s="206">
        <v>5.0</v>
      </c>
      <c r="E24" s="553">
        <v>0.263</v>
      </c>
      <c r="F24" s="206">
        <v>108.0</v>
      </c>
      <c r="G24" s="553">
        <v>0.291</v>
      </c>
      <c r="H24" s="206">
        <v>0.0</v>
      </c>
      <c r="I24" s="553">
        <v>0.0</v>
      </c>
      <c r="J24" s="206">
        <v>1.0</v>
      </c>
      <c r="K24" s="553">
        <v>0.5</v>
      </c>
      <c r="L24" s="206">
        <v>0.0</v>
      </c>
      <c r="M24" s="553">
        <v>0.0</v>
      </c>
      <c r="N24" s="206">
        <v>16.0</v>
      </c>
      <c r="O24" s="553">
        <v>0.165</v>
      </c>
      <c r="P24" s="206">
        <v>0.0</v>
      </c>
      <c r="Q24" s="553">
        <v>0.0</v>
      </c>
      <c r="R24" s="206">
        <v>5.0</v>
      </c>
      <c r="S24" s="553">
        <v>0.5</v>
      </c>
      <c r="T24" s="206">
        <v>5.0</v>
      </c>
      <c r="U24" s="553">
        <v>1.0</v>
      </c>
      <c r="V24" s="206">
        <v>0.0</v>
      </c>
      <c r="W24" s="553">
        <v>0.0</v>
      </c>
      <c r="X24" s="206">
        <v>2.0</v>
      </c>
      <c r="Y24" s="553">
        <v>1.0</v>
      </c>
      <c r="Z24" s="206">
        <v>7.0</v>
      </c>
      <c r="AA24" s="553">
        <v>0.5</v>
      </c>
      <c r="AB24" s="206">
        <v>8.0</v>
      </c>
      <c r="AC24" s="553">
        <v>0.8</v>
      </c>
      <c r="AD24" s="206">
        <v>3.0</v>
      </c>
      <c r="AE24" s="553">
        <v>0.75</v>
      </c>
      <c r="AF24" s="206">
        <v>43.0</v>
      </c>
      <c r="AG24" s="553">
        <v>0.581</v>
      </c>
      <c r="AH24" s="206">
        <v>163.0</v>
      </c>
      <c r="AI24" s="553">
        <v>0.322</v>
      </c>
      <c r="AJ24" s="206">
        <v>0.0</v>
      </c>
      <c r="AK24" s="553">
        <v>0.0</v>
      </c>
      <c r="AL24" s="206">
        <v>0.0</v>
      </c>
      <c r="AM24" s="553">
        <v>0.0</v>
      </c>
      <c r="AN24" s="206">
        <v>15.0</v>
      </c>
      <c r="AO24" s="553">
        <v>0.205</v>
      </c>
      <c r="AP24" s="206">
        <v>0.0</v>
      </c>
      <c r="AQ24" s="553">
        <v>0.0</v>
      </c>
      <c r="AR24" s="206">
        <v>362.0</v>
      </c>
      <c r="AS24" s="553">
        <v>0.59</v>
      </c>
      <c r="AT24" s="206">
        <v>3.0</v>
      </c>
      <c r="AU24" s="553">
        <v>0.273</v>
      </c>
      <c r="AV24" s="206">
        <v>15.0</v>
      </c>
      <c r="AW24" s="553">
        <v>0.455</v>
      </c>
      <c r="AX24" s="206">
        <v>2.0</v>
      </c>
      <c r="AY24" s="553">
        <v>0.077</v>
      </c>
      <c r="AZ24" s="206">
        <v>0.0</v>
      </c>
      <c r="BA24" s="553">
        <v>0.0</v>
      </c>
      <c r="BB24" s="206">
        <v>1.0</v>
      </c>
      <c r="BC24" s="553">
        <v>0.25</v>
      </c>
      <c r="BD24" s="206">
        <v>3.0</v>
      </c>
      <c r="BE24" s="553">
        <v>0.429</v>
      </c>
      <c r="BF24" s="206">
        <v>2.0</v>
      </c>
      <c r="BG24" s="553">
        <v>0.167</v>
      </c>
      <c r="BH24" s="206">
        <v>53.0</v>
      </c>
      <c r="BI24" s="553">
        <v>0.238</v>
      </c>
      <c r="BJ24" s="206">
        <v>2.0</v>
      </c>
      <c r="BK24" s="553">
        <v>0.25</v>
      </c>
      <c r="BL24" s="206">
        <v>1.0</v>
      </c>
      <c r="BM24" s="553">
        <v>0.1</v>
      </c>
      <c r="BN24" s="206">
        <v>0.0</v>
      </c>
      <c r="BO24" s="553">
        <v>0.0</v>
      </c>
      <c r="BP24" s="206">
        <v>25.0</v>
      </c>
      <c r="BQ24" s="553">
        <v>0.129</v>
      </c>
      <c r="BR24" s="206">
        <v>8.0</v>
      </c>
      <c r="BS24" s="553">
        <v>0.4</v>
      </c>
      <c r="BT24" s="206">
        <v>0.0</v>
      </c>
      <c r="BU24" s="553">
        <v>0.0</v>
      </c>
      <c r="BV24" s="206">
        <v>4.0</v>
      </c>
      <c r="BW24" s="553">
        <v>0.093</v>
      </c>
      <c r="BX24" s="206">
        <v>55.0</v>
      </c>
      <c r="BY24" s="553">
        <v>0.318</v>
      </c>
      <c r="BZ24" s="206">
        <v>0.0</v>
      </c>
      <c r="CA24" s="553">
        <v>0.0</v>
      </c>
      <c r="CB24" s="206">
        <v>3.0</v>
      </c>
      <c r="CC24" s="553">
        <v>0.214</v>
      </c>
      <c r="CD24" s="206">
        <v>46.0</v>
      </c>
      <c r="CE24" s="553">
        <v>0.708</v>
      </c>
      <c r="CF24" s="206">
        <v>1.0</v>
      </c>
      <c r="CG24" s="553">
        <v>0.038</v>
      </c>
      <c r="CH24" s="206">
        <v>3.0</v>
      </c>
      <c r="CI24" s="553">
        <v>0.176</v>
      </c>
      <c r="CJ24" s="206">
        <v>2.0</v>
      </c>
      <c r="CK24" s="553">
        <v>0.143</v>
      </c>
      <c r="CL24" s="206">
        <v>0.0</v>
      </c>
      <c r="CM24" s="553">
        <v>0.0</v>
      </c>
      <c r="CN24" s="206">
        <v>0.0</v>
      </c>
      <c r="CO24" s="553">
        <v>0.0</v>
      </c>
      <c r="CP24" s="206">
        <v>32.0</v>
      </c>
      <c r="CQ24" s="553">
        <v>0.198</v>
      </c>
      <c r="CR24" s="206">
        <v>1.0</v>
      </c>
      <c r="CS24" s="553">
        <v>0.077</v>
      </c>
      <c r="CT24" s="206">
        <v>5.0</v>
      </c>
      <c r="CU24" s="553">
        <v>0.417</v>
      </c>
      <c r="CV24" s="206">
        <v>2.0</v>
      </c>
      <c r="CW24" s="553">
        <v>0.333</v>
      </c>
      <c r="CX24" s="206">
        <v>1.0</v>
      </c>
      <c r="CY24" s="553">
        <v>0.1</v>
      </c>
      <c r="CZ24" s="206">
        <v>1.0</v>
      </c>
      <c r="DA24" s="553">
        <v>0.333</v>
      </c>
      <c r="DB24" s="206">
        <v>0.0</v>
      </c>
      <c r="DC24" s="553">
        <v>0.0</v>
      </c>
      <c r="DD24" s="206">
        <v>3.0</v>
      </c>
      <c r="DE24" s="553">
        <v>0.273</v>
      </c>
      <c r="DF24" s="206">
        <v>0.0</v>
      </c>
      <c r="DG24" s="553">
        <v>0.0</v>
      </c>
      <c r="DH24" s="206">
        <v>11.0</v>
      </c>
      <c r="DI24" s="553">
        <v>0.059</v>
      </c>
      <c r="DJ24" s="206">
        <v>0.0</v>
      </c>
      <c r="DK24" s="553">
        <v>0.0</v>
      </c>
      <c r="DL24" s="206">
        <v>1093.0</v>
      </c>
      <c r="DM24" s="553">
        <v>0.309</v>
      </c>
    </row>
    <row r="25">
      <c r="A25" s="549" t="s">
        <v>2246</v>
      </c>
      <c r="B25" s="554">
        <v>0.0</v>
      </c>
      <c r="C25" s="555">
        <v>0.0</v>
      </c>
      <c r="D25" s="554">
        <v>0.0</v>
      </c>
      <c r="E25" s="555">
        <v>0.0</v>
      </c>
      <c r="F25" s="554">
        <v>0.0</v>
      </c>
      <c r="G25" s="555">
        <v>0.0</v>
      </c>
      <c r="H25" s="554">
        <v>0.0</v>
      </c>
      <c r="I25" s="555">
        <v>0.0</v>
      </c>
      <c r="J25" s="554">
        <v>0.0</v>
      </c>
      <c r="K25" s="555">
        <v>0.0</v>
      </c>
      <c r="L25" s="554">
        <v>0.0</v>
      </c>
      <c r="M25" s="555">
        <v>0.0</v>
      </c>
      <c r="N25" s="554">
        <v>0.0</v>
      </c>
      <c r="O25" s="555">
        <v>0.0</v>
      </c>
      <c r="P25" s="554">
        <v>0.0</v>
      </c>
      <c r="Q25" s="556">
        <v>0.0</v>
      </c>
      <c r="R25" s="557">
        <v>0.0</v>
      </c>
      <c r="S25" s="558">
        <v>0.0</v>
      </c>
      <c r="T25" s="557">
        <v>0.0</v>
      </c>
      <c r="U25" s="558">
        <v>0.0</v>
      </c>
      <c r="V25" s="557">
        <v>0.0</v>
      </c>
      <c r="W25" s="558">
        <v>0.0</v>
      </c>
      <c r="X25" s="557">
        <v>0.0</v>
      </c>
      <c r="Y25" s="558">
        <v>0.0</v>
      </c>
      <c r="Z25" s="557">
        <v>0.0</v>
      </c>
      <c r="AA25" s="558">
        <v>0.0</v>
      </c>
      <c r="AB25" s="557">
        <v>0.0</v>
      </c>
      <c r="AC25" s="558">
        <v>0.0</v>
      </c>
      <c r="AD25" s="557">
        <v>0.0</v>
      </c>
      <c r="AE25" s="558">
        <v>0.0</v>
      </c>
      <c r="AF25" s="557">
        <v>0.0</v>
      </c>
      <c r="AG25" s="558">
        <v>0.0</v>
      </c>
      <c r="AH25" s="557">
        <v>0.0</v>
      </c>
      <c r="AI25" s="558">
        <v>0.0</v>
      </c>
      <c r="AJ25" s="557">
        <v>0.0</v>
      </c>
      <c r="AK25" s="558">
        <v>0.0</v>
      </c>
      <c r="AL25" s="557">
        <v>0.0</v>
      </c>
      <c r="AM25" s="558">
        <v>0.0</v>
      </c>
      <c r="AN25" s="557">
        <v>0.0</v>
      </c>
      <c r="AO25" s="558">
        <v>0.0</v>
      </c>
      <c r="AP25" s="557">
        <v>0.0</v>
      </c>
      <c r="AQ25" s="558">
        <v>0.0</v>
      </c>
      <c r="AR25" s="557">
        <v>0.0</v>
      </c>
      <c r="AS25" s="558">
        <v>0.0</v>
      </c>
      <c r="AT25" s="557">
        <v>0.0</v>
      </c>
      <c r="AU25" s="558">
        <v>0.0</v>
      </c>
      <c r="AV25" s="557">
        <v>0.0</v>
      </c>
      <c r="AW25" s="558">
        <v>0.0</v>
      </c>
      <c r="AX25" s="557">
        <v>0.0</v>
      </c>
      <c r="AY25" s="558">
        <v>0.0</v>
      </c>
      <c r="AZ25" s="557">
        <v>0.0</v>
      </c>
      <c r="BA25" s="558">
        <v>0.0</v>
      </c>
      <c r="BB25" s="557">
        <v>0.0</v>
      </c>
      <c r="BC25" s="558">
        <v>0.0</v>
      </c>
      <c r="BD25" s="557">
        <v>0.0</v>
      </c>
      <c r="BE25" s="558">
        <v>0.0</v>
      </c>
      <c r="BF25" s="557">
        <v>0.0</v>
      </c>
      <c r="BG25" s="558">
        <v>0.0</v>
      </c>
      <c r="BH25" s="557">
        <v>0.0</v>
      </c>
      <c r="BI25" s="558">
        <v>0.0</v>
      </c>
      <c r="BJ25" s="557">
        <v>0.0</v>
      </c>
      <c r="BK25" s="558">
        <v>0.0</v>
      </c>
      <c r="BL25" s="557">
        <v>0.0</v>
      </c>
      <c r="BM25" s="558">
        <v>0.0</v>
      </c>
      <c r="BN25" s="557">
        <v>0.0</v>
      </c>
      <c r="BO25" s="558">
        <v>0.0</v>
      </c>
      <c r="BP25" s="557">
        <v>0.0</v>
      </c>
      <c r="BQ25" s="558">
        <v>0.0</v>
      </c>
      <c r="BR25" s="557">
        <v>0.0</v>
      </c>
      <c r="BS25" s="558">
        <v>0.0</v>
      </c>
      <c r="BT25" s="557">
        <v>0.0</v>
      </c>
      <c r="BU25" s="558">
        <v>0.0</v>
      </c>
      <c r="BV25" s="557">
        <v>0.0</v>
      </c>
      <c r="BW25" s="558">
        <v>0.0</v>
      </c>
      <c r="BX25" s="557">
        <v>0.0</v>
      </c>
      <c r="BY25" s="558">
        <v>0.0</v>
      </c>
      <c r="BZ25" s="557">
        <v>0.0</v>
      </c>
      <c r="CA25" s="558">
        <v>0.0</v>
      </c>
      <c r="CB25" s="557">
        <v>0.0</v>
      </c>
      <c r="CC25" s="558">
        <v>0.0</v>
      </c>
      <c r="CD25" s="557">
        <v>0.0</v>
      </c>
      <c r="CE25" s="558">
        <v>0.0</v>
      </c>
      <c r="CF25" s="557">
        <v>0.0</v>
      </c>
      <c r="CG25" s="558">
        <v>0.0</v>
      </c>
      <c r="CH25" s="557">
        <v>0.0</v>
      </c>
      <c r="CI25" s="558">
        <v>0.0</v>
      </c>
      <c r="CJ25" s="557">
        <v>0.0</v>
      </c>
      <c r="CK25" s="558">
        <v>0.0</v>
      </c>
      <c r="CL25" s="557">
        <v>0.0</v>
      </c>
      <c r="CM25" s="558">
        <v>0.0</v>
      </c>
      <c r="CN25" s="557">
        <v>0.0</v>
      </c>
      <c r="CO25" s="558">
        <v>0.0</v>
      </c>
      <c r="CP25" s="557">
        <v>0.0</v>
      </c>
      <c r="CQ25" s="558">
        <v>0.0</v>
      </c>
      <c r="CR25" s="557">
        <v>0.0</v>
      </c>
      <c r="CS25" s="558">
        <v>0.0</v>
      </c>
      <c r="CT25" s="557">
        <v>0.0</v>
      </c>
      <c r="CU25" s="558">
        <v>0.0</v>
      </c>
      <c r="CV25" s="557">
        <v>0.0</v>
      </c>
      <c r="CW25" s="558">
        <v>0.0</v>
      </c>
      <c r="CX25" s="557">
        <v>0.0</v>
      </c>
      <c r="CY25" s="558">
        <v>0.0</v>
      </c>
      <c r="CZ25" s="557">
        <v>0.0</v>
      </c>
      <c r="DA25" s="558">
        <v>0.0</v>
      </c>
      <c r="DB25" s="557">
        <v>0.0</v>
      </c>
      <c r="DC25" s="558">
        <v>0.0</v>
      </c>
      <c r="DD25" s="557">
        <v>0.0</v>
      </c>
      <c r="DE25" s="558">
        <v>0.0</v>
      </c>
      <c r="DF25" s="557">
        <v>0.0</v>
      </c>
      <c r="DG25" s="558">
        <v>0.0</v>
      </c>
      <c r="DH25" s="557">
        <v>0.0</v>
      </c>
      <c r="DI25" s="558">
        <v>0.0</v>
      </c>
      <c r="DJ25" s="557">
        <v>0.0</v>
      </c>
      <c r="DK25" s="558">
        <v>0.0</v>
      </c>
      <c r="DL25" s="557">
        <v>0.0</v>
      </c>
      <c r="DM25" s="558">
        <v>0.0</v>
      </c>
    </row>
    <row r="26">
      <c r="A26" s="549" t="s">
        <v>1754</v>
      </c>
      <c r="B26" s="554">
        <v>0.0</v>
      </c>
      <c r="C26" s="555">
        <v>0.0</v>
      </c>
      <c r="D26" s="554">
        <v>0.0</v>
      </c>
      <c r="E26" s="555">
        <v>0.0</v>
      </c>
      <c r="F26" s="554">
        <v>0.0</v>
      </c>
      <c r="G26" s="555">
        <v>0.0</v>
      </c>
      <c r="H26" s="554">
        <v>4.0</v>
      </c>
      <c r="I26" s="555">
        <v>0.286</v>
      </c>
      <c r="J26" s="554">
        <v>0.0</v>
      </c>
      <c r="K26" s="555">
        <v>0.0</v>
      </c>
      <c r="L26" s="554">
        <v>0.0</v>
      </c>
      <c r="M26" s="555">
        <v>0.0</v>
      </c>
      <c r="N26" s="554">
        <v>5.0</v>
      </c>
      <c r="O26" s="555">
        <v>0.052</v>
      </c>
      <c r="P26" s="554">
        <v>0.0</v>
      </c>
      <c r="Q26" s="555">
        <v>0.0</v>
      </c>
      <c r="R26" s="206">
        <v>0.0</v>
      </c>
      <c r="S26" s="553">
        <v>0.0</v>
      </c>
      <c r="T26" s="206">
        <v>0.0</v>
      </c>
      <c r="U26" s="553">
        <v>0.0</v>
      </c>
      <c r="V26" s="206">
        <v>0.0</v>
      </c>
      <c r="W26" s="553">
        <v>0.0</v>
      </c>
      <c r="X26" s="206">
        <v>0.0</v>
      </c>
      <c r="Y26" s="553">
        <v>0.0</v>
      </c>
      <c r="Z26" s="206">
        <v>3.0</v>
      </c>
      <c r="AA26" s="553">
        <v>0.214</v>
      </c>
      <c r="AB26" s="206">
        <v>0.0</v>
      </c>
      <c r="AC26" s="553">
        <v>0.0</v>
      </c>
      <c r="AD26" s="206">
        <v>0.0</v>
      </c>
      <c r="AE26" s="553">
        <v>0.0</v>
      </c>
      <c r="AF26" s="206">
        <v>12.0</v>
      </c>
      <c r="AG26" s="553">
        <v>0.162</v>
      </c>
      <c r="AH26" s="206">
        <v>9.0</v>
      </c>
      <c r="AI26" s="553">
        <v>0.018</v>
      </c>
      <c r="AJ26" s="206">
        <v>1.0</v>
      </c>
      <c r="AK26" s="553">
        <v>0.009</v>
      </c>
      <c r="AL26" s="206">
        <v>0.0</v>
      </c>
      <c r="AM26" s="553">
        <v>0.0</v>
      </c>
      <c r="AN26" s="206">
        <v>1.0</v>
      </c>
      <c r="AO26" s="553">
        <v>0.014</v>
      </c>
      <c r="AP26" s="206">
        <v>0.0</v>
      </c>
      <c r="AQ26" s="553">
        <v>0.0</v>
      </c>
      <c r="AR26" s="206">
        <v>7.0</v>
      </c>
      <c r="AS26" s="553">
        <v>0.011</v>
      </c>
      <c r="AT26" s="206">
        <v>3.0</v>
      </c>
      <c r="AU26" s="553">
        <v>0.273</v>
      </c>
      <c r="AV26" s="206">
        <v>0.0</v>
      </c>
      <c r="AW26" s="553">
        <v>0.0</v>
      </c>
      <c r="AX26" s="206">
        <v>0.0</v>
      </c>
      <c r="AY26" s="553">
        <v>0.0</v>
      </c>
      <c r="AZ26" s="206">
        <v>0.0</v>
      </c>
      <c r="BA26" s="553">
        <v>0.0</v>
      </c>
      <c r="BB26" s="206">
        <v>0.0</v>
      </c>
      <c r="BC26" s="553">
        <v>0.0</v>
      </c>
      <c r="BD26" s="206">
        <v>0.0</v>
      </c>
      <c r="BE26" s="553">
        <v>0.0</v>
      </c>
      <c r="BF26" s="206">
        <v>1.0</v>
      </c>
      <c r="BG26" s="553">
        <v>0.083</v>
      </c>
      <c r="BH26" s="206">
        <v>9.0</v>
      </c>
      <c r="BI26" s="553">
        <v>0.04</v>
      </c>
      <c r="BJ26" s="206">
        <v>2.0</v>
      </c>
      <c r="BK26" s="553">
        <v>0.25</v>
      </c>
      <c r="BL26" s="206">
        <v>0.0</v>
      </c>
      <c r="BM26" s="553">
        <v>0.0</v>
      </c>
      <c r="BN26" s="206">
        <v>0.0</v>
      </c>
      <c r="BO26" s="553">
        <v>0.0</v>
      </c>
      <c r="BP26" s="206">
        <v>12.0</v>
      </c>
      <c r="BQ26" s="553">
        <v>0.062</v>
      </c>
      <c r="BR26" s="206">
        <v>0.0</v>
      </c>
      <c r="BS26" s="553">
        <v>0.0</v>
      </c>
      <c r="BT26" s="206">
        <v>0.0</v>
      </c>
      <c r="BU26" s="553">
        <v>0.0</v>
      </c>
      <c r="BV26" s="206">
        <v>2.0</v>
      </c>
      <c r="BW26" s="553">
        <v>0.047</v>
      </c>
      <c r="BX26" s="206">
        <v>8.0</v>
      </c>
      <c r="BY26" s="553">
        <v>0.046</v>
      </c>
      <c r="BZ26" s="206">
        <v>0.0</v>
      </c>
      <c r="CA26" s="553">
        <v>0.0</v>
      </c>
      <c r="CB26" s="206">
        <v>1.0</v>
      </c>
      <c r="CC26" s="553">
        <v>0.071</v>
      </c>
      <c r="CD26" s="206">
        <v>2.0</v>
      </c>
      <c r="CE26" s="553">
        <v>0.031</v>
      </c>
      <c r="CF26" s="206">
        <v>0.0</v>
      </c>
      <c r="CG26" s="553">
        <v>0.0</v>
      </c>
      <c r="CH26" s="206">
        <v>0.0</v>
      </c>
      <c r="CI26" s="553">
        <v>0.0</v>
      </c>
      <c r="CJ26" s="206">
        <v>0.0</v>
      </c>
      <c r="CK26" s="553">
        <v>0.0</v>
      </c>
      <c r="CL26" s="206">
        <v>0.0</v>
      </c>
      <c r="CM26" s="553">
        <v>0.0</v>
      </c>
      <c r="CN26" s="206">
        <v>0.0</v>
      </c>
      <c r="CO26" s="553">
        <v>0.0</v>
      </c>
      <c r="CP26" s="206">
        <v>17.0</v>
      </c>
      <c r="CQ26" s="553">
        <v>0.105</v>
      </c>
      <c r="CR26" s="206">
        <v>0.0</v>
      </c>
      <c r="CS26" s="553">
        <v>0.0</v>
      </c>
      <c r="CT26" s="206">
        <v>1.0</v>
      </c>
      <c r="CU26" s="553">
        <v>0.083</v>
      </c>
      <c r="CV26" s="206">
        <v>0.0</v>
      </c>
      <c r="CW26" s="553">
        <v>0.0</v>
      </c>
      <c r="CX26" s="206">
        <v>1.0</v>
      </c>
      <c r="CY26" s="553">
        <v>0.1</v>
      </c>
      <c r="CZ26" s="206">
        <v>0.0</v>
      </c>
      <c r="DA26" s="553">
        <v>0.0</v>
      </c>
      <c r="DB26" s="206">
        <v>0.0</v>
      </c>
      <c r="DC26" s="553">
        <v>0.0</v>
      </c>
      <c r="DD26" s="206">
        <v>0.0</v>
      </c>
      <c r="DE26" s="553">
        <v>0.0</v>
      </c>
      <c r="DF26" s="206">
        <v>3.0</v>
      </c>
      <c r="DG26" s="553">
        <v>1.0</v>
      </c>
      <c r="DH26" s="206">
        <v>14.0</v>
      </c>
      <c r="DI26" s="553">
        <v>0.075</v>
      </c>
      <c r="DJ26" s="206">
        <v>0.0</v>
      </c>
      <c r="DK26" s="553">
        <v>0.0</v>
      </c>
      <c r="DL26" s="206">
        <v>118.0</v>
      </c>
      <c r="DM26" s="553">
        <v>0.033</v>
      </c>
    </row>
    <row r="27">
      <c r="A27" s="549" t="s">
        <v>2253</v>
      </c>
      <c r="B27" s="551">
        <v>2.0</v>
      </c>
      <c r="C27" s="552">
        <v>0.008</v>
      </c>
      <c r="D27" s="551">
        <v>1.0</v>
      </c>
      <c r="E27" s="552">
        <v>0.053</v>
      </c>
      <c r="F27" s="551">
        <v>3.0</v>
      </c>
      <c r="G27" s="552">
        <v>0.008</v>
      </c>
      <c r="H27" s="551">
        <v>0.0</v>
      </c>
      <c r="I27" s="552">
        <v>0.0</v>
      </c>
      <c r="J27" s="551">
        <v>0.0</v>
      </c>
      <c r="K27" s="552">
        <v>0.0</v>
      </c>
      <c r="L27" s="551">
        <v>0.0</v>
      </c>
      <c r="M27" s="552">
        <v>0.0</v>
      </c>
      <c r="N27" s="551">
        <v>1.0</v>
      </c>
      <c r="O27" s="552">
        <v>0.01</v>
      </c>
      <c r="P27" s="551">
        <v>0.0</v>
      </c>
      <c r="Q27" s="552">
        <v>0.0</v>
      </c>
      <c r="R27" s="206">
        <v>1.0</v>
      </c>
      <c r="S27" s="553">
        <v>0.1</v>
      </c>
      <c r="T27" s="206">
        <v>0.0</v>
      </c>
      <c r="U27" s="553">
        <v>0.0</v>
      </c>
      <c r="V27" s="206">
        <v>0.0</v>
      </c>
      <c r="W27" s="553">
        <v>0.0</v>
      </c>
      <c r="X27" s="206">
        <v>0.0</v>
      </c>
      <c r="Y27" s="553">
        <v>0.0</v>
      </c>
      <c r="Z27" s="206">
        <v>0.0</v>
      </c>
      <c r="AA27" s="553">
        <v>0.0</v>
      </c>
      <c r="AB27" s="206">
        <v>0.0</v>
      </c>
      <c r="AC27" s="553">
        <v>0.0</v>
      </c>
      <c r="AD27" s="206">
        <v>0.0</v>
      </c>
      <c r="AE27" s="553">
        <v>0.0</v>
      </c>
      <c r="AF27" s="206">
        <v>2.0</v>
      </c>
      <c r="AG27" s="553">
        <v>0.027</v>
      </c>
      <c r="AH27" s="206">
        <v>4.0</v>
      </c>
      <c r="AI27" s="553">
        <v>0.008</v>
      </c>
      <c r="AJ27" s="206">
        <v>0.0</v>
      </c>
      <c r="AK27" s="553">
        <v>0.0</v>
      </c>
      <c r="AL27" s="206">
        <v>0.0</v>
      </c>
      <c r="AM27" s="553">
        <v>0.0</v>
      </c>
      <c r="AN27" s="206">
        <v>1.0</v>
      </c>
      <c r="AO27" s="553">
        <v>0.014</v>
      </c>
      <c r="AP27" s="206">
        <v>0.0</v>
      </c>
      <c r="AQ27" s="553">
        <v>0.0</v>
      </c>
      <c r="AR27" s="206">
        <v>12.0</v>
      </c>
      <c r="AS27" s="553">
        <v>0.02</v>
      </c>
      <c r="AT27" s="206">
        <v>0.0</v>
      </c>
      <c r="AU27" s="553">
        <v>0.0</v>
      </c>
      <c r="AV27" s="206">
        <v>1.0</v>
      </c>
      <c r="AW27" s="553">
        <v>0.03</v>
      </c>
      <c r="AX27" s="206">
        <v>0.0</v>
      </c>
      <c r="AY27" s="553">
        <v>0.0</v>
      </c>
      <c r="AZ27" s="206">
        <v>0.0</v>
      </c>
      <c r="BA27" s="553">
        <v>0.0</v>
      </c>
      <c r="BB27" s="206">
        <v>0.0</v>
      </c>
      <c r="BC27" s="553">
        <v>0.0</v>
      </c>
      <c r="BD27" s="206">
        <v>0.0</v>
      </c>
      <c r="BE27" s="553">
        <v>0.0</v>
      </c>
      <c r="BF27" s="206">
        <v>0.0</v>
      </c>
      <c r="BG27" s="553">
        <v>0.0</v>
      </c>
      <c r="BH27" s="206">
        <v>4.0</v>
      </c>
      <c r="BI27" s="553">
        <v>0.018</v>
      </c>
      <c r="BJ27" s="206">
        <v>0.0</v>
      </c>
      <c r="BK27" s="553">
        <v>0.0</v>
      </c>
      <c r="BL27" s="206">
        <v>0.0</v>
      </c>
      <c r="BM27" s="553">
        <v>0.0</v>
      </c>
      <c r="BN27" s="206">
        <v>0.0</v>
      </c>
      <c r="BO27" s="553">
        <v>0.0</v>
      </c>
      <c r="BP27" s="206">
        <v>9.0</v>
      </c>
      <c r="BQ27" s="553">
        <v>0.046</v>
      </c>
      <c r="BR27" s="206">
        <v>0.0</v>
      </c>
      <c r="BS27" s="553">
        <v>0.0</v>
      </c>
      <c r="BT27" s="206">
        <v>0.0</v>
      </c>
      <c r="BU27" s="553">
        <v>0.0</v>
      </c>
      <c r="BV27" s="206">
        <v>0.0</v>
      </c>
      <c r="BW27" s="553">
        <v>0.0</v>
      </c>
      <c r="BX27" s="206">
        <v>8.0</v>
      </c>
      <c r="BY27" s="553">
        <v>0.046</v>
      </c>
      <c r="BZ27" s="206">
        <v>0.0</v>
      </c>
      <c r="CA27" s="553">
        <v>0.0</v>
      </c>
      <c r="CB27" s="206">
        <v>0.0</v>
      </c>
      <c r="CC27" s="553">
        <v>0.0</v>
      </c>
      <c r="CD27" s="206">
        <v>0.0</v>
      </c>
      <c r="CE27" s="553">
        <v>0.0</v>
      </c>
      <c r="CF27" s="206">
        <v>0.0</v>
      </c>
      <c r="CG27" s="553">
        <v>0.0</v>
      </c>
      <c r="CH27" s="206">
        <v>0.0</v>
      </c>
      <c r="CI27" s="553">
        <v>0.0</v>
      </c>
      <c r="CJ27" s="206">
        <v>0.0</v>
      </c>
      <c r="CK27" s="553">
        <v>0.0</v>
      </c>
      <c r="CL27" s="206">
        <v>0.0</v>
      </c>
      <c r="CM27" s="553">
        <v>0.0</v>
      </c>
      <c r="CN27" s="206">
        <v>0.0</v>
      </c>
      <c r="CO27" s="553">
        <v>0.0</v>
      </c>
      <c r="CP27" s="206">
        <v>0.0</v>
      </c>
      <c r="CQ27" s="553">
        <v>0.0</v>
      </c>
      <c r="CR27" s="206">
        <v>0.0</v>
      </c>
      <c r="CS27" s="553">
        <v>0.0</v>
      </c>
      <c r="CT27" s="206">
        <v>0.0</v>
      </c>
      <c r="CU27" s="553">
        <v>0.0</v>
      </c>
      <c r="CV27" s="206">
        <v>0.0</v>
      </c>
      <c r="CW27" s="553">
        <v>0.0</v>
      </c>
      <c r="CX27" s="206">
        <v>0.0</v>
      </c>
      <c r="CY27" s="553">
        <v>0.0</v>
      </c>
      <c r="CZ27" s="206">
        <v>0.0</v>
      </c>
      <c r="DA27" s="553">
        <v>0.0</v>
      </c>
      <c r="DB27" s="206">
        <v>0.0</v>
      </c>
      <c r="DC27" s="553">
        <v>0.0</v>
      </c>
      <c r="DD27" s="206">
        <v>0.0</v>
      </c>
      <c r="DE27" s="553">
        <v>0.0</v>
      </c>
      <c r="DF27" s="206">
        <v>0.0</v>
      </c>
      <c r="DG27" s="553">
        <v>0.0</v>
      </c>
      <c r="DH27" s="206">
        <v>4.0</v>
      </c>
      <c r="DI27" s="553">
        <v>0.021</v>
      </c>
      <c r="DJ27" s="206">
        <v>0.0</v>
      </c>
      <c r="DK27" s="553">
        <v>0.0</v>
      </c>
      <c r="DL27" s="206">
        <v>53.0</v>
      </c>
      <c r="DM27" s="553">
        <v>0.015</v>
      </c>
    </row>
    <row r="28">
      <c r="A28" s="549" t="s">
        <v>2262</v>
      </c>
      <c r="B28" s="551">
        <v>0.0</v>
      </c>
      <c r="C28" s="552">
        <v>0.0</v>
      </c>
      <c r="D28" s="551">
        <v>0.0</v>
      </c>
      <c r="E28" s="552">
        <v>0.0</v>
      </c>
      <c r="F28" s="551">
        <v>9.0</v>
      </c>
      <c r="G28" s="552">
        <v>0.024</v>
      </c>
      <c r="H28" s="551">
        <v>0.0</v>
      </c>
      <c r="I28" s="552">
        <v>0.0</v>
      </c>
      <c r="J28" s="551">
        <v>0.0</v>
      </c>
      <c r="K28" s="552">
        <v>0.0</v>
      </c>
      <c r="L28" s="551">
        <v>0.0</v>
      </c>
      <c r="M28" s="552">
        <v>0.0</v>
      </c>
      <c r="N28" s="551">
        <v>0.0</v>
      </c>
      <c r="O28" s="552">
        <v>0.0</v>
      </c>
      <c r="P28" s="551">
        <v>0.0</v>
      </c>
      <c r="Q28" s="552">
        <v>0.0</v>
      </c>
      <c r="R28" s="206">
        <v>0.0</v>
      </c>
      <c r="S28" s="553">
        <v>0.0</v>
      </c>
      <c r="T28" s="206">
        <v>0.0</v>
      </c>
      <c r="U28" s="553">
        <v>0.0</v>
      </c>
      <c r="V28" s="206">
        <v>0.0</v>
      </c>
      <c r="W28" s="553">
        <v>0.0</v>
      </c>
      <c r="X28" s="206">
        <v>0.0</v>
      </c>
      <c r="Y28" s="553">
        <v>0.0</v>
      </c>
      <c r="Z28" s="206">
        <v>0.0</v>
      </c>
      <c r="AA28" s="553">
        <v>0.0</v>
      </c>
      <c r="AB28" s="206">
        <v>0.0</v>
      </c>
      <c r="AC28" s="553">
        <v>0.0</v>
      </c>
      <c r="AD28" s="206">
        <v>0.0</v>
      </c>
      <c r="AE28" s="553">
        <v>0.0</v>
      </c>
      <c r="AF28" s="206">
        <v>0.0</v>
      </c>
      <c r="AG28" s="553">
        <v>0.0</v>
      </c>
      <c r="AH28" s="206">
        <v>1.0</v>
      </c>
      <c r="AI28" s="553">
        <v>0.002</v>
      </c>
      <c r="AJ28" s="206">
        <v>5.0</v>
      </c>
      <c r="AK28" s="553">
        <v>0.045</v>
      </c>
      <c r="AL28" s="206">
        <v>0.0</v>
      </c>
      <c r="AM28" s="553">
        <v>0.0</v>
      </c>
      <c r="AN28" s="206">
        <v>0.0</v>
      </c>
      <c r="AO28" s="553">
        <v>0.0</v>
      </c>
      <c r="AP28" s="206">
        <v>0.0</v>
      </c>
      <c r="AQ28" s="553">
        <v>0.0</v>
      </c>
      <c r="AR28" s="206">
        <v>1.0</v>
      </c>
      <c r="AS28" s="553">
        <v>0.002</v>
      </c>
      <c r="AT28" s="206">
        <v>0.0</v>
      </c>
      <c r="AU28" s="553">
        <v>0.0</v>
      </c>
      <c r="AV28" s="206">
        <v>0.0</v>
      </c>
      <c r="AW28" s="553">
        <v>0.0</v>
      </c>
      <c r="AX28" s="206">
        <v>0.0</v>
      </c>
      <c r="AY28" s="553">
        <v>0.0</v>
      </c>
      <c r="AZ28" s="206">
        <v>0.0</v>
      </c>
      <c r="BA28" s="553">
        <v>0.0</v>
      </c>
      <c r="BB28" s="206">
        <v>0.0</v>
      </c>
      <c r="BC28" s="553">
        <v>0.0</v>
      </c>
      <c r="BD28" s="206">
        <v>0.0</v>
      </c>
      <c r="BE28" s="553">
        <v>0.0</v>
      </c>
      <c r="BF28" s="206">
        <v>0.0</v>
      </c>
      <c r="BG28" s="553">
        <v>0.0</v>
      </c>
      <c r="BH28" s="206">
        <v>5.0</v>
      </c>
      <c r="BI28" s="553">
        <v>0.022</v>
      </c>
      <c r="BJ28" s="206">
        <v>0.0</v>
      </c>
      <c r="BK28" s="553">
        <v>0.0</v>
      </c>
      <c r="BL28" s="206">
        <v>0.0</v>
      </c>
      <c r="BM28" s="553">
        <v>0.0</v>
      </c>
      <c r="BN28" s="206">
        <v>0.0</v>
      </c>
      <c r="BO28" s="553">
        <v>0.0</v>
      </c>
      <c r="BP28" s="206">
        <v>0.0</v>
      </c>
      <c r="BQ28" s="553">
        <v>0.0</v>
      </c>
      <c r="BR28" s="206">
        <v>0.0</v>
      </c>
      <c r="BS28" s="553">
        <v>0.0</v>
      </c>
      <c r="BT28" s="206">
        <v>0.0</v>
      </c>
      <c r="BU28" s="553">
        <v>0.0</v>
      </c>
      <c r="BV28" s="206">
        <v>1.0</v>
      </c>
      <c r="BW28" s="553">
        <v>0.023</v>
      </c>
      <c r="BX28" s="206">
        <v>1.0</v>
      </c>
      <c r="BY28" s="553">
        <v>0.006</v>
      </c>
      <c r="BZ28" s="206">
        <v>0.0</v>
      </c>
      <c r="CA28" s="553">
        <v>0.0</v>
      </c>
      <c r="CB28" s="206">
        <v>0.0</v>
      </c>
      <c r="CC28" s="553">
        <v>0.0</v>
      </c>
      <c r="CD28" s="206">
        <v>1.0</v>
      </c>
      <c r="CE28" s="553">
        <v>0.015</v>
      </c>
      <c r="CF28" s="206">
        <v>0.0</v>
      </c>
      <c r="CG28" s="553">
        <v>0.0</v>
      </c>
      <c r="CH28" s="206">
        <v>1.0</v>
      </c>
      <c r="CI28" s="553">
        <v>0.059</v>
      </c>
      <c r="CJ28" s="206">
        <v>0.0</v>
      </c>
      <c r="CK28" s="553">
        <v>0.0</v>
      </c>
      <c r="CL28" s="206">
        <v>0.0</v>
      </c>
      <c r="CM28" s="553">
        <v>0.0</v>
      </c>
      <c r="CN28" s="206">
        <v>1.0</v>
      </c>
      <c r="CO28" s="553">
        <v>0.2</v>
      </c>
      <c r="CP28" s="206">
        <v>2.0</v>
      </c>
      <c r="CQ28" s="553">
        <v>0.012</v>
      </c>
      <c r="CR28" s="206">
        <v>0.0</v>
      </c>
      <c r="CS28" s="553">
        <v>0.0</v>
      </c>
      <c r="CT28" s="206">
        <v>0.0</v>
      </c>
      <c r="CU28" s="553">
        <v>0.0</v>
      </c>
      <c r="CV28" s="206">
        <v>0.0</v>
      </c>
      <c r="CW28" s="553">
        <v>0.0</v>
      </c>
      <c r="CX28" s="206">
        <v>0.0</v>
      </c>
      <c r="CY28" s="553">
        <v>0.0</v>
      </c>
      <c r="CZ28" s="206">
        <v>0.0</v>
      </c>
      <c r="DA28" s="553">
        <v>0.0</v>
      </c>
      <c r="DB28" s="206">
        <v>0.0</v>
      </c>
      <c r="DC28" s="553">
        <v>0.0</v>
      </c>
      <c r="DD28" s="206">
        <v>0.0</v>
      </c>
      <c r="DE28" s="553">
        <v>0.0</v>
      </c>
      <c r="DF28" s="206">
        <v>0.0</v>
      </c>
      <c r="DG28" s="553">
        <v>0.0</v>
      </c>
      <c r="DH28" s="206">
        <v>0.0</v>
      </c>
      <c r="DI28" s="553">
        <v>0.0</v>
      </c>
      <c r="DJ28" s="206">
        <v>0.0</v>
      </c>
      <c r="DK28" s="553">
        <v>0.0</v>
      </c>
      <c r="DL28" s="206">
        <v>28.0</v>
      </c>
      <c r="DM28" s="553">
        <v>0.008</v>
      </c>
    </row>
    <row r="29">
      <c r="A29" s="549" t="s">
        <v>1715</v>
      </c>
      <c r="B29" s="551">
        <v>0.0</v>
      </c>
      <c r="C29" s="552">
        <v>0.0</v>
      </c>
      <c r="D29" s="551">
        <v>1.0</v>
      </c>
      <c r="E29" s="552">
        <v>0.053</v>
      </c>
      <c r="F29" s="551">
        <v>2.0</v>
      </c>
      <c r="G29" s="552">
        <v>0.005</v>
      </c>
      <c r="H29" s="551">
        <v>0.0</v>
      </c>
      <c r="I29" s="552">
        <v>0.0</v>
      </c>
      <c r="J29" s="551">
        <v>0.0</v>
      </c>
      <c r="K29" s="552">
        <v>0.0</v>
      </c>
      <c r="L29" s="551">
        <v>0.0</v>
      </c>
      <c r="M29" s="552">
        <v>0.0</v>
      </c>
      <c r="N29" s="551">
        <v>0.0</v>
      </c>
      <c r="O29" s="552">
        <v>0.0</v>
      </c>
      <c r="P29" s="551">
        <v>0.0</v>
      </c>
      <c r="Q29" s="552">
        <v>0.0</v>
      </c>
      <c r="R29" s="206">
        <v>0.0</v>
      </c>
      <c r="S29" s="553">
        <v>0.0</v>
      </c>
      <c r="T29" s="206">
        <v>0.0</v>
      </c>
      <c r="U29" s="553">
        <v>0.0</v>
      </c>
      <c r="V29" s="206">
        <v>0.0</v>
      </c>
      <c r="W29" s="553">
        <v>0.0</v>
      </c>
      <c r="X29" s="206">
        <v>0.0</v>
      </c>
      <c r="Y29" s="553">
        <v>0.0</v>
      </c>
      <c r="Z29" s="206">
        <v>0.0</v>
      </c>
      <c r="AA29" s="553">
        <v>0.0</v>
      </c>
      <c r="AB29" s="206">
        <v>0.0</v>
      </c>
      <c r="AC29" s="553">
        <v>0.0</v>
      </c>
      <c r="AD29" s="206">
        <v>0.0</v>
      </c>
      <c r="AE29" s="553">
        <v>0.0</v>
      </c>
      <c r="AF29" s="206">
        <v>0.0</v>
      </c>
      <c r="AG29" s="553">
        <v>0.0</v>
      </c>
      <c r="AH29" s="206">
        <v>3.0</v>
      </c>
      <c r="AI29" s="553">
        <v>0.006</v>
      </c>
      <c r="AJ29" s="206">
        <v>6.0</v>
      </c>
      <c r="AK29" s="553">
        <v>0.055</v>
      </c>
      <c r="AL29" s="206">
        <v>0.0</v>
      </c>
      <c r="AM29" s="553">
        <v>0.0</v>
      </c>
      <c r="AN29" s="206">
        <v>1.0</v>
      </c>
      <c r="AO29" s="553">
        <v>0.014</v>
      </c>
      <c r="AP29" s="206">
        <v>0.0</v>
      </c>
      <c r="AQ29" s="553">
        <v>0.0</v>
      </c>
      <c r="AR29" s="206">
        <v>3.0</v>
      </c>
      <c r="AS29" s="553">
        <v>0.005</v>
      </c>
      <c r="AT29" s="206">
        <v>0.0</v>
      </c>
      <c r="AU29" s="553">
        <v>0.0</v>
      </c>
      <c r="AV29" s="206">
        <v>0.0</v>
      </c>
      <c r="AW29" s="553">
        <v>0.0</v>
      </c>
      <c r="AX29" s="206">
        <v>0.0</v>
      </c>
      <c r="AY29" s="553">
        <v>0.0</v>
      </c>
      <c r="AZ29" s="206">
        <v>0.0</v>
      </c>
      <c r="BA29" s="553">
        <v>0.0</v>
      </c>
      <c r="BB29" s="206">
        <v>0.0</v>
      </c>
      <c r="BC29" s="553">
        <v>0.0</v>
      </c>
      <c r="BD29" s="206">
        <v>0.0</v>
      </c>
      <c r="BE29" s="553">
        <v>0.0</v>
      </c>
      <c r="BF29" s="206">
        <v>0.0</v>
      </c>
      <c r="BG29" s="553">
        <v>0.0</v>
      </c>
      <c r="BH29" s="206">
        <v>0.0</v>
      </c>
      <c r="BI29" s="553">
        <v>0.0</v>
      </c>
      <c r="BJ29" s="206">
        <v>0.0</v>
      </c>
      <c r="BK29" s="553">
        <v>0.0</v>
      </c>
      <c r="BL29" s="206">
        <v>0.0</v>
      </c>
      <c r="BM29" s="553">
        <v>0.0</v>
      </c>
      <c r="BN29" s="206">
        <v>0.0</v>
      </c>
      <c r="BO29" s="553">
        <v>0.0</v>
      </c>
      <c r="BP29" s="206">
        <v>0.0</v>
      </c>
      <c r="BQ29" s="553">
        <v>0.0</v>
      </c>
      <c r="BR29" s="206">
        <v>0.0</v>
      </c>
      <c r="BS29" s="553">
        <v>0.0</v>
      </c>
      <c r="BT29" s="206">
        <v>0.0</v>
      </c>
      <c r="BU29" s="553">
        <v>0.0</v>
      </c>
      <c r="BV29" s="206">
        <v>0.0</v>
      </c>
      <c r="BW29" s="553">
        <v>0.0</v>
      </c>
      <c r="BX29" s="206">
        <v>0.0</v>
      </c>
      <c r="BY29" s="553">
        <v>0.0</v>
      </c>
      <c r="BZ29" s="206">
        <v>0.0</v>
      </c>
      <c r="CA29" s="553">
        <v>0.0</v>
      </c>
      <c r="CB29" s="206">
        <v>0.0</v>
      </c>
      <c r="CC29" s="553">
        <v>0.0</v>
      </c>
      <c r="CD29" s="206">
        <v>0.0</v>
      </c>
      <c r="CE29" s="553">
        <v>0.0</v>
      </c>
      <c r="CF29" s="206">
        <v>0.0</v>
      </c>
      <c r="CG29" s="553">
        <v>0.0</v>
      </c>
      <c r="CH29" s="206">
        <v>0.0</v>
      </c>
      <c r="CI29" s="553">
        <v>0.0</v>
      </c>
      <c r="CJ29" s="206">
        <v>0.0</v>
      </c>
      <c r="CK29" s="553">
        <v>0.0</v>
      </c>
      <c r="CL29" s="206">
        <v>0.0</v>
      </c>
      <c r="CM29" s="553">
        <v>0.0</v>
      </c>
      <c r="CN29" s="206">
        <v>0.0</v>
      </c>
      <c r="CO29" s="553">
        <v>0.0</v>
      </c>
      <c r="CP29" s="206">
        <v>5.0</v>
      </c>
      <c r="CQ29" s="553">
        <v>0.031</v>
      </c>
      <c r="CR29" s="206">
        <v>0.0</v>
      </c>
      <c r="CS29" s="553">
        <v>0.0</v>
      </c>
      <c r="CT29" s="206">
        <v>0.0</v>
      </c>
      <c r="CU29" s="553">
        <v>0.0</v>
      </c>
      <c r="CV29" s="206">
        <v>0.0</v>
      </c>
      <c r="CW29" s="553">
        <v>0.0</v>
      </c>
      <c r="CX29" s="206">
        <v>0.0</v>
      </c>
      <c r="CY29" s="553">
        <v>0.0</v>
      </c>
      <c r="CZ29" s="206">
        <v>0.0</v>
      </c>
      <c r="DA29" s="553">
        <v>0.0</v>
      </c>
      <c r="DB29" s="206">
        <v>0.0</v>
      </c>
      <c r="DC29" s="553">
        <v>0.0</v>
      </c>
      <c r="DD29" s="206">
        <v>0.0</v>
      </c>
      <c r="DE29" s="553">
        <v>0.0</v>
      </c>
      <c r="DF29" s="206">
        <v>0.0</v>
      </c>
      <c r="DG29" s="553">
        <v>0.0</v>
      </c>
      <c r="DH29" s="206">
        <v>1.0</v>
      </c>
      <c r="DI29" s="553">
        <v>0.005</v>
      </c>
      <c r="DJ29" s="206">
        <v>0.0</v>
      </c>
      <c r="DK29" s="553">
        <v>0.0</v>
      </c>
      <c r="DL29" s="206">
        <v>22.0</v>
      </c>
      <c r="DM29" s="553">
        <v>0.006</v>
      </c>
    </row>
    <row r="30">
      <c r="A30" s="549" t="s">
        <v>2268</v>
      </c>
      <c r="B30" s="551">
        <v>4.0</v>
      </c>
      <c r="C30" s="552">
        <v>0.015</v>
      </c>
      <c r="D30" s="551">
        <v>0.0</v>
      </c>
      <c r="E30" s="552">
        <v>0.0</v>
      </c>
      <c r="F30" s="551">
        <v>3.0</v>
      </c>
      <c r="G30" s="552">
        <v>0.008</v>
      </c>
      <c r="H30" s="551">
        <v>0.0</v>
      </c>
      <c r="I30" s="552">
        <v>0.0</v>
      </c>
      <c r="J30" s="551">
        <v>0.0</v>
      </c>
      <c r="K30" s="552">
        <v>0.0</v>
      </c>
      <c r="L30" s="551">
        <v>0.0</v>
      </c>
      <c r="M30" s="552">
        <v>0.0</v>
      </c>
      <c r="N30" s="551">
        <v>0.0</v>
      </c>
      <c r="O30" s="552">
        <v>0.0</v>
      </c>
      <c r="P30" s="551">
        <v>0.0</v>
      </c>
      <c r="Q30" s="552">
        <v>0.0</v>
      </c>
      <c r="R30" s="206">
        <v>0.0</v>
      </c>
      <c r="S30" s="553">
        <v>0.0</v>
      </c>
      <c r="T30" s="206">
        <v>0.0</v>
      </c>
      <c r="U30" s="553">
        <v>0.0</v>
      </c>
      <c r="V30" s="206">
        <v>0.0</v>
      </c>
      <c r="W30" s="553">
        <v>0.0</v>
      </c>
      <c r="X30" s="206">
        <v>0.0</v>
      </c>
      <c r="Y30" s="553">
        <v>0.0</v>
      </c>
      <c r="Z30" s="206">
        <v>0.0</v>
      </c>
      <c r="AA30" s="553">
        <v>0.0</v>
      </c>
      <c r="AB30" s="206">
        <v>0.0</v>
      </c>
      <c r="AC30" s="553">
        <v>0.0</v>
      </c>
      <c r="AD30" s="206">
        <v>1.0</v>
      </c>
      <c r="AE30" s="553">
        <v>0.25</v>
      </c>
      <c r="AF30" s="206">
        <v>0.0</v>
      </c>
      <c r="AG30" s="553">
        <v>0.0</v>
      </c>
      <c r="AH30" s="206">
        <v>0.0</v>
      </c>
      <c r="AI30" s="553">
        <v>0.0</v>
      </c>
      <c r="AJ30" s="206">
        <v>0.0</v>
      </c>
      <c r="AK30" s="553">
        <v>0.0</v>
      </c>
      <c r="AL30" s="206">
        <v>0.0</v>
      </c>
      <c r="AM30" s="553">
        <v>0.0</v>
      </c>
      <c r="AN30" s="206">
        <v>1.0</v>
      </c>
      <c r="AO30" s="553">
        <v>0.014</v>
      </c>
      <c r="AP30" s="206">
        <v>0.0</v>
      </c>
      <c r="AQ30" s="553">
        <v>0.0</v>
      </c>
      <c r="AR30" s="206">
        <v>0.0</v>
      </c>
      <c r="AS30" s="553">
        <v>0.0</v>
      </c>
      <c r="AT30" s="206">
        <v>0.0</v>
      </c>
      <c r="AU30" s="553">
        <v>0.0</v>
      </c>
      <c r="AV30" s="206">
        <v>0.0</v>
      </c>
      <c r="AW30" s="553">
        <v>0.0</v>
      </c>
      <c r="AX30" s="206">
        <v>0.0</v>
      </c>
      <c r="AY30" s="553">
        <v>0.0</v>
      </c>
      <c r="AZ30" s="206">
        <v>0.0</v>
      </c>
      <c r="BA30" s="553">
        <v>0.0</v>
      </c>
      <c r="BB30" s="206">
        <v>0.0</v>
      </c>
      <c r="BC30" s="553">
        <v>0.0</v>
      </c>
      <c r="BD30" s="206">
        <v>0.0</v>
      </c>
      <c r="BE30" s="553">
        <v>0.0</v>
      </c>
      <c r="BF30" s="206">
        <v>0.0</v>
      </c>
      <c r="BG30" s="553">
        <v>0.0</v>
      </c>
      <c r="BH30" s="206">
        <v>4.0</v>
      </c>
      <c r="BI30" s="553">
        <v>0.018</v>
      </c>
      <c r="BJ30" s="206">
        <v>0.0</v>
      </c>
      <c r="BK30" s="553">
        <v>0.0</v>
      </c>
      <c r="BL30" s="206">
        <v>1.0</v>
      </c>
      <c r="BM30" s="553">
        <v>0.1</v>
      </c>
      <c r="BN30" s="206">
        <v>0.0</v>
      </c>
      <c r="BO30" s="553">
        <v>0.0</v>
      </c>
      <c r="BP30" s="206">
        <v>5.0</v>
      </c>
      <c r="BQ30" s="553">
        <v>0.026</v>
      </c>
      <c r="BR30" s="206">
        <v>0.0</v>
      </c>
      <c r="BS30" s="553">
        <v>0.0</v>
      </c>
      <c r="BT30" s="206">
        <v>0.0</v>
      </c>
      <c r="BU30" s="553">
        <v>0.0</v>
      </c>
      <c r="BV30" s="206">
        <v>1.0</v>
      </c>
      <c r="BW30" s="553">
        <v>0.023</v>
      </c>
      <c r="BX30" s="206">
        <v>0.0</v>
      </c>
      <c r="BY30" s="553">
        <v>0.0</v>
      </c>
      <c r="BZ30" s="206">
        <v>0.0</v>
      </c>
      <c r="CA30" s="553">
        <v>0.0</v>
      </c>
      <c r="CB30" s="206">
        <v>0.0</v>
      </c>
      <c r="CC30" s="553">
        <v>0.0</v>
      </c>
      <c r="CD30" s="206">
        <v>0.0</v>
      </c>
      <c r="CE30" s="553">
        <v>0.0</v>
      </c>
      <c r="CF30" s="206">
        <v>0.0</v>
      </c>
      <c r="CG30" s="553">
        <v>0.0</v>
      </c>
      <c r="CH30" s="206">
        <v>0.0</v>
      </c>
      <c r="CI30" s="553">
        <v>0.0</v>
      </c>
      <c r="CJ30" s="206">
        <v>0.0</v>
      </c>
      <c r="CK30" s="553">
        <v>0.0</v>
      </c>
      <c r="CL30" s="206">
        <v>0.0</v>
      </c>
      <c r="CM30" s="553">
        <v>0.0</v>
      </c>
      <c r="CN30" s="206">
        <v>0.0</v>
      </c>
      <c r="CO30" s="553">
        <v>0.0</v>
      </c>
      <c r="CP30" s="206">
        <v>1.0</v>
      </c>
      <c r="CQ30" s="553">
        <v>0.006</v>
      </c>
      <c r="CR30" s="206">
        <v>0.0</v>
      </c>
      <c r="CS30" s="553">
        <v>0.0</v>
      </c>
      <c r="CT30" s="206">
        <v>0.0</v>
      </c>
      <c r="CU30" s="553">
        <v>0.0</v>
      </c>
      <c r="CV30" s="206">
        <v>0.0</v>
      </c>
      <c r="CW30" s="553">
        <v>0.0</v>
      </c>
      <c r="CX30" s="206">
        <v>0.0</v>
      </c>
      <c r="CY30" s="553">
        <v>0.0</v>
      </c>
      <c r="CZ30" s="206">
        <v>0.0</v>
      </c>
      <c r="DA30" s="553">
        <v>0.0</v>
      </c>
      <c r="DB30" s="206">
        <v>0.0</v>
      </c>
      <c r="DC30" s="553">
        <v>0.0</v>
      </c>
      <c r="DD30" s="206">
        <v>0.0</v>
      </c>
      <c r="DE30" s="553">
        <v>0.0</v>
      </c>
      <c r="DF30" s="206">
        <v>0.0</v>
      </c>
      <c r="DG30" s="553">
        <v>0.0</v>
      </c>
      <c r="DH30" s="206">
        <v>0.0</v>
      </c>
      <c r="DI30" s="553">
        <v>0.0</v>
      </c>
      <c r="DJ30" s="206">
        <v>0.0</v>
      </c>
      <c r="DK30" s="553">
        <v>0.0</v>
      </c>
      <c r="DL30" s="206">
        <v>21.0</v>
      </c>
      <c r="DM30" s="553">
        <v>0.006</v>
      </c>
    </row>
    <row r="31">
      <c r="A31" s="549" t="s">
        <v>2278</v>
      </c>
      <c r="B31" s="559">
        <v>45382.0</v>
      </c>
      <c r="C31" s="550"/>
      <c r="D31" s="559">
        <v>45382.0</v>
      </c>
      <c r="E31" s="550"/>
      <c r="F31" s="559">
        <v>45382.0</v>
      </c>
      <c r="G31" s="550"/>
      <c r="H31" s="559">
        <v>45382.0</v>
      </c>
      <c r="I31" s="550"/>
      <c r="J31" s="559">
        <v>45382.0</v>
      </c>
      <c r="K31" s="550"/>
      <c r="L31" s="559">
        <v>45382.0</v>
      </c>
      <c r="M31" s="550"/>
      <c r="N31" s="559">
        <v>45382.0</v>
      </c>
      <c r="O31" s="550"/>
      <c r="P31" s="559">
        <v>45382.0</v>
      </c>
      <c r="Q31" s="550"/>
      <c r="R31" s="560">
        <v>45382.0</v>
      </c>
      <c r="S31" s="548"/>
      <c r="T31" s="560">
        <v>45382.0</v>
      </c>
      <c r="U31" s="548"/>
      <c r="V31" s="560">
        <v>45382.0</v>
      </c>
      <c r="W31" s="548"/>
      <c r="X31" s="560">
        <v>45382.0</v>
      </c>
      <c r="Y31" s="548"/>
      <c r="Z31" s="560">
        <v>45382.0</v>
      </c>
      <c r="AA31" s="548"/>
      <c r="AB31" s="560">
        <v>45382.0</v>
      </c>
      <c r="AC31" s="548"/>
      <c r="AD31" s="560">
        <v>45382.0</v>
      </c>
      <c r="AE31" s="548"/>
      <c r="AF31" s="560">
        <v>45382.0</v>
      </c>
      <c r="AG31" s="548"/>
      <c r="AH31" s="560">
        <v>45382.0</v>
      </c>
      <c r="AI31" s="548"/>
      <c r="AJ31" s="560">
        <v>45382.0</v>
      </c>
      <c r="AK31" s="548"/>
      <c r="AL31" s="560">
        <v>45382.0</v>
      </c>
      <c r="AM31" s="548"/>
      <c r="AN31" s="560">
        <v>45382.0</v>
      </c>
      <c r="AO31" s="548"/>
      <c r="AP31" s="560">
        <v>45382.0</v>
      </c>
      <c r="AQ31" s="548"/>
      <c r="AR31" s="560">
        <v>45382.0</v>
      </c>
      <c r="AS31" s="548"/>
      <c r="AT31" s="560">
        <v>45382.0</v>
      </c>
      <c r="AU31" s="548"/>
      <c r="AV31" s="560">
        <v>45382.0</v>
      </c>
      <c r="AW31" s="548"/>
      <c r="AX31" s="560">
        <v>45382.0</v>
      </c>
      <c r="AY31" s="548"/>
      <c r="AZ31" s="560">
        <v>45382.0</v>
      </c>
      <c r="BA31" s="548"/>
      <c r="BB31" s="560">
        <v>45382.0</v>
      </c>
      <c r="BC31" s="548"/>
      <c r="BD31" s="560">
        <v>45382.0</v>
      </c>
      <c r="BE31" s="548"/>
      <c r="BF31" s="560">
        <v>45382.0</v>
      </c>
      <c r="BG31" s="548"/>
      <c r="BH31" s="560">
        <v>45382.0</v>
      </c>
      <c r="BI31" s="548"/>
      <c r="BJ31" s="560">
        <v>45382.0</v>
      </c>
      <c r="BK31" s="548"/>
      <c r="BL31" s="560">
        <v>45382.0</v>
      </c>
      <c r="BM31" s="548"/>
      <c r="BN31" s="560">
        <v>45382.0</v>
      </c>
      <c r="BO31" s="548"/>
      <c r="BP31" s="560">
        <v>45382.0</v>
      </c>
      <c r="BQ31" s="548"/>
      <c r="BR31" s="560">
        <v>45382.0</v>
      </c>
      <c r="BS31" s="548"/>
      <c r="BT31" s="560">
        <v>45382.0</v>
      </c>
      <c r="BU31" s="548"/>
      <c r="BV31" s="560">
        <v>45382.0</v>
      </c>
      <c r="BW31" s="548"/>
      <c r="BX31" s="560">
        <v>45382.0</v>
      </c>
      <c r="BY31" s="548"/>
      <c r="BZ31" s="560">
        <v>45382.0</v>
      </c>
      <c r="CA31" s="548"/>
      <c r="CB31" s="560">
        <v>45382.0</v>
      </c>
      <c r="CC31" s="548"/>
      <c r="CD31" s="560">
        <v>45382.0</v>
      </c>
      <c r="CE31" s="548"/>
      <c r="CF31" s="560">
        <v>45382.0</v>
      </c>
      <c r="CG31" s="548"/>
      <c r="CH31" s="560">
        <v>45382.0</v>
      </c>
      <c r="CI31" s="548"/>
      <c r="CJ31" s="560">
        <v>45382.0</v>
      </c>
      <c r="CK31" s="548"/>
      <c r="CL31" s="560">
        <v>45382.0</v>
      </c>
      <c r="CM31" s="548"/>
      <c r="CN31" s="560">
        <v>45382.0</v>
      </c>
      <c r="CO31" s="548"/>
      <c r="CP31" s="560">
        <v>45382.0</v>
      </c>
      <c r="CQ31" s="548"/>
      <c r="CR31" s="560">
        <v>45382.0</v>
      </c>
      <c r="CS31" s="548"/>
      <c r="CT31" s="560">
        <v>45382.0</v>
      </c>
      <c r="CU31" s="548"/>
      <c r="CV31" s="560">
        <v>45382.0</v>
      </c>
      <c r="CW31" s="548"/>
      <c r="CX31" s="560">
        <v>45382.0</v>
      </c>
      <c r="CY31" s="548"/>
      <c r="CZ31" s="560">
        <v>45382.0</v>
      </c>
      <c r="DA31" s="548"/>
      <c r="DB31" s="560">
        <v>45382.0</v>
      </c>
      <c r="DC31" s="548"/>
      <c r="DD31" s="560">
        <v>45382.0</v>
      </c>
      <c r="DE31" s="548"/>
      <c r="DF31" s="560">
        <v>45382.0</v>
      </c>
      <c r="DG31" s="548"/>
      <c r="DH31" s="560">
        <v>45382.0</v>
      </c>
      <c r="DI31" s="548"/>
      <c r="DJ31" s="560">
        <v>45382.0</v>
      </c>
      <c r="DK31" s="548"/>
      <c r="DL31" s="560">
        <v>45382.0</v>
      </c>
      <c r="DM31" s="548"/>
    </row>
    <row r="32">
      <c r="B32" s="561"/>
      <c r="C32" s="562"/>
      <c r="D32" s="562"/>
      <c r="E32" s="562"/>
      <c r="F32" s="562"/>
      <c r="G32" s="562"/>
      <c r="H32" s="562"/>
      <c r="I32" s="562"/>
      <c r="J32" s="562"/>
      <c r="K32" s="562"/>
      <c r="L32" s="562"/>
      <c r="M32" s="562"/>
      <c r="N32" s="562"/>
      <c r="O32" s="562"/>
      <c r="P32" s="562"/>
      <c r="Q32" s="562"/>
      <c r="R32" s="562"/>
    </row>
    <row r="33">
      <c r="B33" s="561"/>
      <c r="C33" s="562"/>
      <c r="D33" s="562"/>
      <c r="E33" s="562"/>
      <c r="F33" s="562"/>
      <c r="G33" s="562"/>
      <c r="H33" s="562"/>
      <c r="I33" s="562"/>
      <c r="J33" s="562"/>
      <c r="K33" s="562"/>
      <c r="L33" s="562"/>
      <c r="M33" s="562"/>
      <c r="N33" s="562"/>
      <c r="O33" s="562"/>
      <c r="P33" s="562"/>
      <c r="Q33" s="562"/>
      <c r="R33" s="562"/>
    </row>
    <row r="34">
      <c r="B34" s="561"/>
      <c r="C34" s="562"/>
      <c r="D34" s="562"/>
      <c r="E34" s="562"/>
      <c r="F34" s="562"/>
      <c r="G34" s="562"/>
      <c r="H34" s="562"/>
      <c r="I34" s="562"/>
      <c r="J34" s="562"/>
      <c r="K34" s="562"/>
      <c r="L34" s="562"/>
      <c r="M34" s="562"/>
      <c r="N34" s="562"/>
      <c r="O34" s="562"/>
      <c r="P34" s="562"/>
      <c r="Q34" s="562"/>
      <c r="R34" s="562"/>
    </row>
    <row r="35">
      <c r="B35" s="561"/>
      <c r="C35" s="562"/>
      <c r="D35" s="562"/>
      <c r="E35" s="562"/>
      <c r="F35" s="562"/>
      <c r="G35" s="562"/>
      <c r="H35" s="562"/>
      <c r="I35" s="562"/>
      <c r="J35" s="562"/>
      <c r="K35" s="562"/>
      <c r="L35" s="562"/>
      <c r="M35" s="562"/>
      <c r="N35" s="562"/>
      <c r="O35" s="562"/>
      <c r="P35" s="562"/>
      <c r="Q35" s="562"/>
      <c r="R35" s="562"/>
    </row>
    <row r="36">
      <c r="B36" s="561"/>
      <c r="C36" s="562"/>
      <c r="D36" s="562"/>
      <c r="E36" s="562"/>
      <c r="F36" s="562"/>
      <c r="G36" s="562"/>
      <c r="H36" s="562"/>
      <c r="I36" s="562"/>
      <c r="J36" s="562"/>
      <c r="K36" s="562"/>
      <c r="L36" s="562"/>
      <c r="M36" s="562"/>
      <c r="N36" s="562"/>
      <c r="O36" s="562"/>
      <c r="P36" s="562"/>
      <c r="Q36" s="562"/>
      <c r="R36" s="562"/>
    </row>
    <row r="37">
      <c r="B37" s="561"/>
      <c r="C37" s="562"/>
      <c r="D37" s="562"/>
      <c r="E37" s="562"/>
      <c r="F37" s="562"/>
      <c r="G37" s="562"/>
      <c r="H37" s="562"/>
      <c r="I37" s="562"/>
      <c r="J37" s="562"/>
      <c r="K37" s="562"/>
      <c r="L37" s="562"/>
      <c r="M37" s="562"/>
      <c r="N37" s="562"/>
      <c r="O37" s="562"/>
      <c r="P37" s="562"/>
      <c r="Q37" s="562"/>
      <c r="R37" s="562"/>
    </row>
    <row r="38">
      <c r="B38" s="561"/>
      <c r="C38" s="562"/>
      <c r="D38" s="562"/>
      <c r="E38" s="562"/>
      <c r="F38" s="562"/>
      <c r="G38" s="562"/>
      <c r="H38" s="562"/>
      <c r="I38" s="562"/>
      <c r="J38" s="562"/>
      <c r="K38" s="562"/>
      <c r="L38" s="562"/>
      <c r="M38" s="562"/>
      <c r="N38" s="562"/>
      <c r="O38" s="562"/>
      <c r="P38" s="562"/>
      <c r="Q38" s="562"/>
      <c r="R38" s="562"/>
    </row>
    <row r="39">
      <c r="B39" s="561"/>
      <c r="C39" s="562"/>
      <c r="D39" s="562"/>
      <c r="E39" s="562"/>
      <c r="F39" s="562"/>
      <c r="G39" s="562"/>
      <c r="H39" s="562"/>
      <c r="I39" s="562"/>
      <c r="J39" s="562"/>
      <c r="K39" s="562"/>
      <c r="L39" s="562"/>
      <c r="M39" s="562"/>
      <c r="N39" s="562"/>
      <c r="O39" s="562"/>
      <c r="P39" s="562"/>
      <c r="Q39" s="562"/>
      <c r="R39" s="562"/>
    </row>
    <row r="40">
      <c r="B40" s="561"/>
      <c r="C40" s="562"/>
      <c r="D40" s="562"/>
      <c r="E40" s="562"/>
      <c r="F40" s="562"/>
      <c r="G40" s="562"/>
      <c r="H40" s="562"/>
      <c r="I40" s="562"/>
      <c r="J40" s="562"/>
      <c r="K40" s="562"/>
      <c r="L40" s="562"/>
      <c r="M40" s="562"/>
      <c r="N40" s="562"/>
      <c r="O40" s="562"/>
      <c r="P40" s="562"/>
      <c r="Q40" s="562"/>
      <c r="R40" s="562"/>
    </row>
    <row r="41">
      <c r="B41" s="561"/>
      <c r="C41" s="562"/>
      <c r="D41" s="562"/>
      <c r="E41" s="562"/>
      <c r="F41" s="562"/>
      <c r="G41" s="562"/>
      <c r="H41" s="562"/>
      <c r="I41" s="562"/>
      <c r="J41" s="562"/>
      <c r="K41" s="562"/>
      <c r="L41" s="562"/>
      <c r="M41" s="562"/>
      <c r="N41" s="562"/>
      <c r="O41" s="562"/>
      <c r="P41" s="562"/>
      <c r="Q41" s="562"/>
      <c r="R41" s="562"/>
    </row>
    <row r="42">
      <c r="B42" s="561"/>
      <c r="C42" s="562"/>
      <c r="D42" s="562"/>
      <c r="E42" s="562"/>
      <c r="F42" s="562"/>
      <c r="G42" s="562"/>
      <c r="H42" s="562"/>
      <c r="I42" s="562"/>
      <c r="J42" s="562"/>
      <c r="K42" s="562"/>
      <c r="L42" s="562"/>
      <c r="M42" s="562"/>
      <c r="N42" s="562"/>
      <c r="O42" s="562"/>
      <c r="P42" s="562"/>
      <c r="Q42" s="562"/>
      <c r="R42" s="562"/>
    </row>
    <row r="43">
      <c r="B43" s="561"/>
      <c r="C43" s="562"/>
      <c r="D43" s="562"/>
      <c r="E43" s="562"/>
      <c r="F43" s="562"/>
      <c r="G43" s="562"/>
      <c r="H43" s="562"/>
      <c r="I43" s="562"/>
      <c r="J43" s="562"/>
      <c r="K43" s="562"/>
      <c r="L43" s="562"/>
      <c r="M43" s="562"/>
      <c r="N43" s="562"/>
      <c r="O43" s="562"/>
      <c r="P43" s="562"/>
      <c r="Q43" s="562"/>
      <c r="R43" s="562"/>
    </row>
    <row r="44">
      <c r="B44" s="561"/>
      <c r="C44" s="562"/>
      <c r="D44" s="562"/>
      <c r="E44" s="562"/>
      <c r="F44" s="562"/>
      <c r="G44" s="562"/>
      <c r="H44" s="562"/>
      <c r="I44" s="562"/>
      <c r="J44" s="562"/>
      <c r="K44" s="562"/>
      <c r="L44" s="562"/>
      <c r="M44" s="562"/>
      <c r="N44" s="562"/>
      <c r="O44" s="562"/>
      <c r="P44" s="562"/>
      <c r="Q44" s="562"/>
      <c r="R44" s="562"/>
    </row>
    <row r="46">
      <c r="B46" s="561"/>
      <c r="C46" s="421"/>
      <c r="D46" s="421"/>
      <c r="E46" s="421"/>
      <c r="F46" s="421"/>
      <c r="G46" s="421"/>
      <c r="H46" s="421"/>
      <c r="I46" s="421"/>
      <c r="J46" s="421"/>
      <c r="K46" s="421"/>
      <c r="L46" s="421"/>
      <c r="M46" s="421"/>
      <c r="N46" s="421"/>
      <c r="O46" s="421"/>
      <c r="P46" s="421"/>
      <c r="Q46" s="421"/>
      <c r="R46" s="544"/>
    </row>
    <row r="47">
      <c r="B47" s="563"/>
      <c r="C47" s="421"/>
      <c r="D47" s="421"/>
      <c r="E47" s="421"/>
      <c r="F47" s="421"/>
      <c r="G47" s="421"/>
      <c r="H47" s="421"/>
      <c r="I47" s="421"/>
      <c r="J47" s="421"/>
      <c r="K47" s="421"/>
      <c r="L47" s="421"/>
      <c r="M47" s="421"/>
      <c r="N47" s="421"/>
      <c r="O47" s="421"/>
      <c r="P47" s="421"/>
      <c r="Q47" s="421"/>
      <c r="R47" s="421"/>
    </row>
    <row r="48">
      <c r="B48" s="561"/>
      <c r="C48" s="562"/>
      <c r="D48" s="562"/>
      <c r="E48" s="562"/>
      <c r="F48" s="562"/>
      <c r="G48" s="562"/>
      <c r="H48" s="562"/>
      <c r="I48" s="562"/>
      <c r="J48" s="562"/>
      <c r="K48" s="562"/>
      <c r="L48" s="562"/>
      <c r="M48" s="562"/>
      <c r="N48" s="562"/>
      <c r="O48" s="562"/>
      <c r="P48" s="562"/>
      <c r="Q48" s="562"/>
      <c r="R48" s="562"/>
    </row>
    <row r="49">
      <c r="B49" s="561"/>
      <c r="C49" s="562"/>
      <c r="D49" s="562"/>
      <c r="E49" s="562"/>
      <c r="F49" s="562"/>
      <c r="G49" s="562"/>
      <c r="H49" s="562"/>
      <c r="I49" s="562"/>
      <c r="J49" s="562"/>
      <c r="K49" s="562"/>
      <c r="L49" s="562"/>
      <c r="M49" s="562"/>
      <c r="N49" s="562"/>
      <c r="O49" s="562"/>
      <c r="P49" s="562"/>
      <c r="Q49" s="562"/>
      <c r="R49" s="562"/>
    </row>
    <row r="50">
      <c r="B50" s="561"/>
      <c r="C50" s="562"/>
      <c r="D50" s="562"/>
      <c r="E50" s="562"/>
      <c r="F50" s="562"/>
      <c r="G50" s="562"/>
      <c r="H50" s="562"/>
      <c r="I50" s="562"/>
      <c r="J50" s="562"/>
      <c r="K50" s="562"/>
      <c r="L50" s="562"/>
      <c r="M50" s="562"/>
      <c r="N50" s="562"/>
      <c r="O50" s="562"/>
      <c r="P50" s="562"/>
      <c r="Q50" s="562"/>
      <c r="R50" s="562"/>
    </row>
    <row r="51">
      <c r="B51" s="561"/>
      <c r="C51" s="562"/>
      <c r="D51" s="562"/>
      <c r="E51" s="562"/>
      <c r="F51" s="562"/>
      <c r="G51" s="562"/>
      <c r="H51" s="562"/>
      <c r="I51" s="562"/>
      <c r="J51" s="562"/>
      <c r="K51" s="562"/>
      <c r="L51" s="562"/>
      <c r="M51" s="562"/>
      <c r="N51" s="562"/>
      <c r="O51" s="562"/>
      <c r="P51" s="562"/>
      <c r="Q51" s="562"/>
      <c r="R51" s="562"/>
    </row>
    <row r="52">
      <c r="B52" s="561"/>
      <c r="C52" s="562"/>
      <c r="D52" s="562"/>
      <c r="E52" s="562"/>
      <c r="F52" s="562"/>
      <c r="G52" s="562"/>
      <c r="H52" s="562"/>
      <c r="I52" s="562"/>
      <c r="J52" s="562"/>
      <c r="K52" s="562"/>
      <c r="L52" s="562"/>
      <c r="M52" s="562"/>
      <c r="N52" s="562"/>
      <c r="O52" s="562"/>
      <c r="P52" s="562"/>
      <c r="Q52" s="562"/>
      <c r="R52" s="562"/>
    </row>
    <row r="53">
      <c r="B53" s="561"/>
      <c r="C53" s="562"/>
      <c r="D53" s="562"/>
      <c r="E53" s="562"/>
      <c r="F53" s="562"/>
      <c r="G53" s="562"/>
      <c r="H53" s="562"/>
      <c r="I53" s="562"/>
      <c r="J53" s="562"/>
      <c r="K53" s="562"/>
      <c r="L53" s="562"/>
      <c r="M53" s="562"/>
      <c r="N53" s="562"/>
      <c r="O53" s="562"/>
      <c r="P53" s="562"/>
      <c r="Q53" s="562"/>
      <c r="R53" s="562"/>
    </row>
    <row r="54">
      <c r="B54" s="561"/>
      <c r="C54" s="562"/>
      <c r="D54" s="562"/>
      <c r="E54" s="562"/>
      <c r="F54" s="562"/>
      <c r="G54" s="562"/>
      <c r="H54" s="562"/>
      <c r="I54" s="562"/>
      <c r="J54" s="562"/>
      <c r="K54" s="562"/>
      <c r="L54" s="562"/>
      <c r="M54" s="562"/>
      <c r="N54" s="562"/>
      <c r="O54" s="562"/>
      <c r="P54" s="562"/>
      <c r="Q54" s="562"/>
      <c r="R54" s="562"/>
    </row>
    <row r="55">
      <c r="B55" s="561"/>
      <c r="C55" s="562"/>
      <c r="D55" s="562"/>
      <c r="E55" s="562"/>
      <c r="F55" s="562"/>
      <c r="G55" s="562"/>
      <c r="H55" s="562"/>
      <c r="I55" s="562"/>
      <c r="J55" s="562"/>
      <c r="K55" s="562"/>
      <c r="L55" s="562"/>
      <c r="M55" s="562"/>
      <c r="N55" s="562"/>
      <c r="O55" s="562"/>
      <c r="P55" s="562"/>
      <c r="Q55" s="562"/>
      <c r="R55" s="562"/>
    </row>
    <row r="56">
      <c r="B56" s="561"/>
      <c r="C56" s="562"/>
      <c r="D56" s="562"/>
      <c r="E56" s="562"/>
      <c r="F56" s="562"/>
      <c r="G56" s="562"/>
      <c r="H56" s="562"/>
      <c r="I56" s="562"/>
      <c r="J56" s="562"/>
      <c r="K56" s="562"/>
      <c r="L56" s="562"/>
      <c r="M56" s="562"/>
      <c r="N56" s="562"/>
      <c r="O56" s="562"/>
      <c r="P56" s="562"/>
      <c r="Q56" s="562"/>
      <c r="R56" s="562"/>
    </row>
    <row r="57">
      <c r="B57" s="561"/>
      <c r="C57" s="562"/>
      <c r="D57" s="562"/>
      <c r="E57" s="562"/>
      <c r="F57" s="562"/>
      <c r="G57" s="562"/>
      <c r="H57" s="562"/>
      <c r="I57" s="562"/>
      <c r="J57" s="562"/>
      <c r="K57" s="562"/>
      <c r="L57" s="562"/>
      <c r="M57" s="562"/>
      <c r="N57" s="562"/>
      <c r="O57" s="562"/>
      <c r="P57" s="562"/>
      <c r="Q57" s="562"/>
      <c r="R57" s="562"/>
    </row>
    <row r="58">
      <c r="B58" s="561"/>
      <c r="C58" s="562"/>
      <c r="D58" s="562"/>
      <c r="E58" s="562"/>
      <c r="F58" s="562"/>
      <c r="G58" s="562"/>
      <c r="H58" s="562"/>
      <c r="I58" s="562"/>
      <c r="J58" s="562"/>
      <c r="K58" s="562"/>
      <c r="L58" s="562"/>
      <c r="M58" s="562"/>
      <c r="N58" s="562"/>
      <c r="O58" s="562"/>
      <c r="P58" s="562"/>
      <c r="Q58" s="562"/>
      <c r="R58" s="562"/>
    </row>
    <row r="59">
      <c r="B59" s="561"/>
      <c r="C59" s="562"/>
      <c r="D59" s="562"/>
      <c r="E59" s="562"/>
      <c r="F59" s="562"/>
      <c r="G59" s="562"/>
      <c r="H59" s="562"/>
      <c r="I59" s="562"/>
      <c r="J59" s="562"/>
      <c r="K59" s="562"/>
      <c r="L59" s="562"/>
      <c r="M59" s="562"/>
      <c r="N59" s="562"/>
      <c r="O59" s="562"/>
      <c r="P59" s="562"/>
      <c r="Q59" s="562"/>
      <c r="R59" s="562"/>
    </row>
    <row r="60">
      <c r="B60" s="561"/>
      <c r="C60" s="562"/>
      <c r="D60" s="562"/>
      <c r="E60" s="562"/>
      <c r="F60" s="562"/>
      <c r="G60" s="562"/>
      <c r="H60" s="562"/>
      <c r="I60" s="562"/>
      <c r="J60" s="562"/>
      <c r="K60" s="562"/>
      <c r="L60" s="562"/>
      <c r="M60" s="562"/>
      <c r="N60" s="562"/>
      <c r="O60" s="562"/>
      <c r="P60" s="562"/>
      <c r="Q60" s="562"/>
      <c r="R60" s="562"/>
    </row>
    <row r="61">
      <c r="B61" s="561"/>
      <c r="C61" s="562"/>
      <c r="D61" s="562"/>
      <c r="E61" s="562"/>
      <c r="F61" s="562"/>
      <c r="G61" s="562"/>
      <c r="H61" s="562"/>
      <c r="I61" s="562"/>
      <c r="J61" s="562"/>
      <c r="K61" s="562"/>
      <c r="L61" s="562"/>
      <c r="M61" s="562"/>
      <c r="N61" s="562"/>
      <c r="O61" s="562"/>
      <c r="P61" s="562"/>
      <c r="Q61" s="562"/>
      <c r="R61" s="562"/>
    </row>
    <row r="62">
      <c r="B62" s="561"/>
      <c r="C62" s="562"/>
      <c r="D62" s="562"/>
      <c r="E62" s="562"/>
      <c r="F62" s="562"/>
      <c r="G62" s="562"/>
      <c r="H62" s="562"/>
      <c r="I62" s="562"/>
      <c r="J62" s="562"/>
      <c r="K62" s="562"/>
      <c r="L62" s="562"/>
      <c r="M62" s="562"/>
      <c r="N62" s="562"/>
      <c r="O62" s="562"/>
      <c r="P62" s="562"/>
      <c r="Q62" s="562"/>
      <c r="R62" s="562"/>
    </row>
    <row r="63">
      <c r="B63" s="561"/>
      <c r="C63" s="562"/>
      <c r="D63" s="562"/>
      <c r="E63" s="562"/>
      <c r="F63" s="562"/>
      <c r="G63" s="562"/>
      <c r="H63" s="562"/>
      <c r="I63" s="562"/>
      <c r="J63" s="562"/>
      <c r="K63" s="562"/>
      <c r="L63" s="562"/>
      <c r="M63" s="562"/>
      <c r="N63" s="562"/>
      <c r="O63" s="562"/>
      <c r="P63" s="562"/>
      <c r="Q63" s="562"/>
      <c r="R63" s="562"/>
    </row>
    <row r="64">
      <c r="B64" s="561"/>
      <c r="C64" s="562"/>
      <c r="D64" s="562"/>
      <c r="E64" s="562"/>
      <c r="F64" s="562"/>
      <c r="G64" s="562"/>
      <c r="H64" s="562"/>
      <c r="I64" s="562"/>
      <c r="J64" s="562"/>
      <c r="K64" s="562"/>
      <c r="L64" s="562"/>
      <c r="M64" s="562"/>
      <c r="N64" s="562"/>
      <c r="O64" s="562"/>
      <c r="P64" s="562"/>
      <c r="Q64" s="562"/>
      <c r="R64" s="562"/>
    </row>
    <row r="65">
      <c r="B65" s="561"/>
      <c r="C65" s="562"/>
      <c r="D65" s="562"/>
      <c r="E65" s="562"/>
      <c r="F65" s="562"/>
      <c r="G65" s="562"/>
      <c r="H65" s="562"/>
      <c r="I65" s="562"/>
      <c r="J65" s="562"/>
      <c r="K65" s="562"/>
      <c r="L65" s="562"/>
      <c r="M65" s="562"/>
      <c r="N65" s="562"/>
      <c r="O65" s="562"/>
      <c r="P65" s="562"/>
      <c r="Q65" s="562"/>
      <c r="R65" s="562"/>
    </row>
    <row r="67">
      <c r="B67" s="561"/>
      <c r="C67" s="565"/>
      <c r="D67" s="566"/>
      <c r="E67" s="566"/>
      <c r="F67" s="565"/>
      <c r="G67" s="565"/>
      <c r="H67" s="565"/>
      <c r="I67" s="565"/>
      <c r="J67" s="565"/>
      <c r="K67" s="565"/>
      <c r="L67" s="565"/>
      <c r="M67" s="565"/>
      <c r="N67" s="565"/>
      <c r="O67" s="565"/>
      <c r="P67" s="565"/>
      <c r="Q67" s="565"/>
      <c r="R67" s="565"/>
      <c r="S67" s="565"/>
      <c r="T67" s="567"/>
      <c r="U67" s="567"/>
      <c r="V67" s="567"/>
      <c r="W67" s="567"/>
      <c r="X67" s="567"/>
      <c r="Y67" s="567"/>
      <c r="Z67" s="567"/>
      <c r="AA67" s="567"/>
      <c r="AB67" s="567"/>
      <c r="AC67" s="567"/>
      <c r="AD67" s="567"/>
      <c r="AE67" s="567"/>
      <c r="AF67" s="567"/>
      <c r="AG67" s="567"/>
      <c r="AH67" s="567"/>
      <c r="AI67" s="567"/>
      <c r="AJ67" s="567"/>
      <c r="AK67" s="567"/>
      <c r="AL67" s="567"/>
      <c r="AM67" s="567"/>
      <c r="AN67" s="567"/>
      <c r="AO67" s="567"/>
      <c r="AP67" s="567"/>
      <c r="AQ67" s="567"/>
      <c r="AR67" s="567"/>
      <c r="AS67" s="567"/>
      <c r="AT67" s="567"/>
      <c r="AU67" s="567"/>
      <c r="AV67" s="567"/>
      <c r="AW67" s="567"/>
      <c r="AX67" s="567"/>
      <c r="AY67" s="567"/>
      <c r="AZ67" s="567"/>
      <c r="BA67" s="567"/>
      <c r="BB67" s="567"/>
      <c r="BC67" s="567"/>
      <c r="BD67" s="567"/>
      <c r="BE67" s="567"/>
      <c r="BF67" s="567"/>
      <c r="BG67" s="567"/>
      <c r="BH67" s="567"/>
      <c r="BI67" s="567"/>
      <c r="BJ67" s="567"/>
      <c r="BK67" s="567"/>
      <c r="BL67" s="567"/>
      <c r="BM67" s="567"/>
      <c r="BN67" s="567"/>
      <c r="BO67" s="567"/>
      <c r="BP67" s="567"/>
      <c r="BQ67" s="567"/>
      <c r="BR67" s="567"/>
      <c r="BS67" s="567"/>
      <c r="BT67" s="567"/>
      <c r="BU67" s="567"/>
      <c r="BV67" s="567"/>
      <c r="BW67" s="567"/>
      <c r="BX67" s="567"/>
      <c r="BY67" s="567"/>
      <c r="BZ67" s="567"/>
      <c r="CA67" s="567"/>
      <c r="CB67" s="567"/>
      <c r="CC67" s="567"/>
      <c r="CD67" s="567"/>
      <c r="CE67" s="567"/>
      <c r="CF67" s="567"/>
      <c r="CG67" s="567"/>
      <c r="CH67" s="567"/>
      <c r="CI67" s="567"/>
      <c r="CJ67" s="567"/>
      <c r="CK67" s="567"/>
      <c r="CL67" s="567"/>
      <c r="CM67" s="567"/>
      <c r="CN67" s="567"/>
      <c r="CO67" s="567"/>
      <c r="CP67" s="567"/>
      <c r="CQ67" s="567"/>
      <c r="CR67" s="567"/>
      <c r="CS67" s="567"/>
      <c r="CT67" s="567"/>
      <c r="CU67" s="567"/>
      <c r="CV67" s="567"/>
      <c r="CW67" s="567"/>
      <c r="CX67" s="567"/>
      <c r="CY67" s="567"/>
      <c r="CZ67" s="567"/>
      <c r="DA67" s="567"/>
      <c r="DB67" s="567"/>
      <c r="DC67" s="567"/>
      <c r="DD67" s="567"/>
      <c r="DE67" s="567"/>
      <c r="DF67" s="567"/>
      <c r="DG67" s="567"/>
      <c r="DH67" s="567"/>
      <c r="DI67" s="567"/>
      <c r="DJ67" s="567"/>
      <c r="DK67" s="567"/>
      <c r="DL67" s="567"/>
      <c r="DM67" s="567"/>
      <c r="DN67" s="567"/>
    </row>
    <row r="68">
      <c r="B68" s="563"/>
      <c r="C68" s="566"/>
      <c r="D68" s="566"/>
      <c r="E68" s="566"/>
      <c r="F68" s="566"/>
      <c r="G68" s="566"/>
      <c r="H68" s="566"/>
      <c r="I68" s="566"/>
      <c r="J68" s="566"/>
      <c r="K68" s="566"/>
      <c r="L68" s="566"/>
      <c r="M68" s="566"/>
      <c r="N68" s="566"/>
      <c r="O68" s="566"/>
      <c r="P68" s="566"/>
      <c r="Q68" s="566"/>
      <c r="R68" s="566"/>
      <c r="S68" s="566"/>
      <c r="T68" s="566"/>
      <c r="U68" s="568"/>
    </row>
    <row r="69">
      <c r="B69" s="561"/>
      <c r="C69" s="562"/>
      <c r="D69" s="562"/>
      <c r="E69" s="562"/>
      <c r="F69" s="562"/>
      <c r="G69" s="562"/>
      <c r="H69" s="562"/>
      <c r="I69" s="562"/>
      <c r="J69" s="562"/>
      <c r="K69" s="562"/>
      <c r="L69" s="562"/>
      <c r="M69" s="562"/>
      <c r="N69" s="562"/>
      <c r="O69" s="562"/>
      <c r="P69" s="562"/>
      <c r="Q69" s="562"/>
      <c r="R69" s="562"/>
      <c r="S69" s="562"/>
      <c r="T69" s="562"/>
    </row>
    <row r="70">
      <c r="A70" s="569"/>
      <c r="B70" s="561"/>
      <c r="C70" s="562"/>
      <c r="D70" s="562"/>
      <c r="E70" s="562"/>
      <c r="F70" s="562"/>
      <c r="G70" s="562"/>
      <c r="H70" s="562"/>
      <c r="I70" s="562"/>
      <c r="J70" s="562"/>
      <c r="K70" s="562"/>
      <c r="L70" s="562"/>
      <c r="M70" s="562"/>
      <c r="N70" s="562"/>
      <c r="O70" s="562"/>
      <c r="P70" s="562"/>
      <c r="Q70" s="562"/>
      <c r="R70" s="562"/>
      <c r="S70" s="562"/>
      <c r="T70" s="562"/>
    </row>
    <row r="71">
      <c r="A71" s="570"/>
      <c r="B71" s="561"/>
      <c r="C71" s="562"/>
      <c r="D71" s="562"/>
      <c r="E71" s="562"/>
      <c r="F71" s="562"/>
      <c r="G71" s="562"/>
      <c r="H71" s="562"/>
      <c r="I71" s="562"/>
      <c r="J71" s="562"/>
      <c r="K71" s="562"/>
      <c r="L71" s="562"/>
      <c r="M71" s="562"/>
      <c r="N71" s="562"/>
      <c r="O71" s="562"/>
      <c r="P71" s="562"/>
      <c r="Q71" s="562"/>
      <c r="R71" s="562"/>
      <c r="S71" s="562"/>
      <c r="T71" s="562"/>
    </row>
    <row r="72">
      <c r="G72" s="570"/>
      <c r="H72" s="561"/>
      <c r="I72" s="562"/>
      <c r="J72" s="562"/>
      <c r="K72" s="562"/>
      <c r="L72" s="562"/>
      <c r="M72" s="562"/>
      <c r="N72" s="562"/>
      <c r="O72" s="562"/>
      <c r="P72" s="562"/>
      <c r="Q72" s="562"/>
      <c r="R72" s="562"/>
      <c r="S72" s="562"/>
      <c r="T72" s="562"/>
      <c r="U72" s="562"/>
      <c r="V72" s="562"/>
      <c r="W72" s="562"/>
      <c r="X72" s="562"/>
      <c r="Y72" s="562"/>
      <c r="Z72" s="562"/>
    </row>
    <row r="73">
      <c r="G73" s="570"/>
      <c r="H73" s="561"/>
      <c r="I73" s="562"/>
      <c r="J73" s="562"/>
      <c r="K73" s="562"/>
      <c r="L73" s="562"/>
      <c r="M73" s="562"/>
      <c r="N73" s="562"/>
      <c r="O73" s="562"/>
      <c r="P73" s="562"/>
      <c r="Q73" s="562"/>
      <c r="R73" s="562"/>
      <c r="S73" s="562"/>
      <c r="T73" s="562"/>
      <c r="U73" s="562"/>
      <c r="V73" s="562"/>
      <c r="W73" s="562"/>
      <c r="X73" s="562"/>
      <c r="Y73" s="562"/>
      <c r="Z73" s="562"/>
    </row>
    <row r="74">
      <c r="G74" s="570"/>
      <c r="H74" s="561"/>
      <c r="I74" s="562"/>
      <c r="J74" s="562"/>
      <c r="K74" s="562"/>
      <c r="L74" s="562"/>
      <c r="M74" s="562"/>
      <c r="N74" s="562"/>
      <c r="O74" s="562"/>
      <c r="P74" s="562"/>
      <c r="Q74" s="562"/>
      <c r="R74" s="562"/>
      <c r="S74" s="562"/>
      <c r="T74" s="562"/>
      <c r="U74" s="562"/>
      <c r="V74" s="562"/>
      <c r="W74" s="562"/>
      <c r="X74" s="562"/>
      <c r="Y74" s="562"/>
      <c r="Z74" s="562"/>
    </row>
    <row r="75">
      <c r="A75" s="571"/>
      <c r="B75" s="572"/>
      <c r="C75" s="569"/>
      <c r="D75" s="572"/>
      <c r="E75" s="569"/>
      <c r="F75" s="569"/>
      <c r="G75" s="570"/>
      <c r="H75" s="561"/>
      <c r="I75" s="562"/>
      <c r="J75" s="562"/>
      <c r="K75" s="562"/>
      <c r="L75" s="562"/>
      <c r="M75" s="562"/>
      <c r="N75" s="562"/>
      <c r="O75" s="562"/>
      <c r="P75" s="562"/>
      <c r="Q75" s="562"/>
      <c r="R75" s="562"/>
      <c r="S75" s="562"/>
      <c r="T75" s="562"/>
      <c r="U75" s="562"/>
      <c r="V75" s="562"/>
      <c r="W75" s="562"/>
      <c r="X75" s="562"/>
      <c r="Y75" s="562"/>
      <c r="Z75" s="562"/>
    </row>
    <row r="76">
      <c r="A76" s="570"/>
      <c r="B76" s="570"/>
      <c r="C76" s="570"/>
      <c r="D76" s="570"/>
      <c r="E76" s="570"/>
      <c r="F76" s="570"/>
      <c r="H76" s="561"/>
      <c r="I76" s="562"/>
      <c r="J76" s="562"/>
      <c r="K76" s="562"/>
      <c r="L76" s="562"/>
      <c r="M76" s="562"/>
      <c r="N76" s="562"/>
      <c r="O76" s="562"/>
      <c r="P76" s="562"/>
      <c r="Q76" s="562"/>
      <c r="R76" s="562"/>
      <c r="S76" s="562"/>
      <c r="T76" s="562"/>
      <c r="U76" s="562"/>
      <c r="V76" s="562"/>
      <c r="W76" s="562"/>
      <c r="X76" s="562"/>
      <c r="Y76" s="562"/>
      <c r="Z76" s="562"/>
    </row>
    <row r="77">
      <c r="A77" s="570"/>
      <c r="B77" s="570"/>
      <c r="C77" s="570"/>
      <c r="D77" s="570"/>
      <c r="E77" s="570"/>
      <c r="F77" s="570"/>
      <c r="H77" s="561"/>
      <c r="I77" s="562"/>
      <c r="J77" s="562"/>
      <c r="K77" s="562"/>
      <c r="L77" s="562"/>
      <c r="M77" s="562"/>
      <c r="N77" s="562"/>
      <c r="O77" s="562"/>
      <c r="P77" s="562"/>
      <c r="Q77" s="562"/>
      <c r="R77" s="562"/>
      <c r="S77" s="562"/>
      <c r="T77" s="562"/>
      <c r="U77" s="562"/>
      <c r="V77" s="562"/>
      <c r="W77" s="562"/>
      <c r="X77" s="562"/>
      <c r="Y77" s="562"/>
      <c r="Z77" s="562"/>
    </row>
    <row r="78">
      <c r="A78" s="570"/>
      <c r="B78" s="570"/>
      <c r="C78" s="570"/>
      <c r="D78" s="570"/>
      <c r="E78" s="570"/>
      <c r="F78" s="570"/>
      <c r="H78" s="561"/>
      <c r="I78" s="562"/>
      <c r="J78" s="562"/>
      <c r="K78" s="562"/>
      <c r="L78" s="562"/>
      <c r="M78" s="562"/>
      <c r="N78" s="562"/>
      <c r="O78" s="562"/>
      <c r="P78" s="562"/>
      <c r="Q78" s="562"/>
      <c r="R78" s="562"/>
      <c r="S78" s="562"/>
      <c r="T78" s="562"/>
      <c r="U78" s="562"/>
      <c r="V78" s="562"/>
      <c r="W78" s="562"/>
      <c r="X78" s="562"/>
      <c r="Y78" s="562"/>
      <c r="Z78" s="562"/>
    </row>
    <row r="79">
      <c r="A79" s="570"/>
      <c r="B79" s="570"/>
      <c r="C79" s="570"/>
      <c r="D79" s="570"/>
      <c r="E79" s="570"/>
      <c r="F79" s="570"/>
      <c r="H79" s="561"/>
      <c r="I79" s="562"/>
      <c r="J79" s="562"/>
      <c r="K79" s="562"/>
      <c r="L79" s="562"/>
      <c r="M79" s="562"/>
      <c r="N79" s="562"/>
      <c r="O79" s="562"/>
      <c r="P79" s="562"/>
      <c r="Q79" s="562"/>
      <c r="R79" s="562"/>
      <c r="S79" s="562"/>
      <c r="T79" s="562"/>
      <c r="U79" s="562"/>
      <c r="V79" s="562"/>
      <c r="W79" s="562"/>
      <c r="X79" s="562"/>
      <c r="Y79" s="562"/>
      <c r="Z79" s="562"/>
    </row>
    <row r="80">
      <c r="A80" s="570"/>
      <c r="B80" s="570"/>
      <c r="C80" s="570"/>
      <c r="D80" s="570"/>
      <c r="E80" s="570"/>
      <c r="F80" s="570"/>
      <c r="H80" s="561"/>
      <c r="I80" s="562"/>
      <c r="J80" s="562"/>
      <c r="K80" s="562"/>
      <c r="L80" s="562"/>
      <c r="M80" s="562"/>
      <c r="N80" s="562"/>
      <c r="O80" s="562"/>
      <c r="P80" s="562"/>
      <c r="Q80" s="562"/>
      <c r="R80" s="562"/>
      <c r="S80" s="562"/>
      <c r="T80" s="562"/>
      <c r="U80" s="562"/>
      <c r="V80" s="562"/>
      <c r="W80" s="562"/>
      <c r="X80" s="562"/>
      <c r="Y80" s="562"/>
      <c r="Z80" s="562"/>
    </row>
    <row r="81">
      <c r="H81" s="561"/>
      <c r="I81" s="562"/>
      <c r="J81" s="562"/>
      <c r="K81" s="562"/>
      <c r="L81" s="562"/>
      <c r="M81" s="562"/>
      <c r="N81" s="562"/>
      <c r="O81" s="562"/>
      <c r="P81" s="562"/>
      <c r="Q81" s="562"/>
      <c r="R81" s="562"/>
      <c r="S81" s="562"/>
      <c r="T81" s="562"/>
      <c r="U81" s="562"/>
      <c r="V81" s="562"/>
      <c r="W81" s="562"/>
      <c r="X81" s="562"/>
      <c r="Y81" s="562"/>
      <c r="Z81" s="562"/>
    </row>
    <row r="82">
      <c r="H82" s="561"/>
      <c r="I82" s="562"/>
      <c r="J82" s="562"/>
      <c r="K82" s="562"/>
      <c r="L82" s="562"/>
      <c r="M82" s="562"/>
      <c r="N82" s="562"/>
      <c r="O82" s="562"/>
      <c r="P82" s="562"/>
      <c r="Q82" s="562"/>
      <c r="R82" s="562"/>
      <c r="S82" s="562"/>
      <c r="T82" s="562"/>
      <c r="U82" s="562"/>
      <c r="V82" s="562"/>
      <c r="W82" s="562"/>
      <c r="X82" s="562"/>
      <c r="Y82" s="562"/>
      <c r="Z82" s="562"/>
    </row>
    <row r="83">
      <c r="H83" s="561"/>
      <c r="I83" s="562"/>
      <c r="J83" s="562"/>
      <c r="K83" s="562"/>
      <c r="L83" s="562"/>
      <c r="M83" s="562"/>
      <c r="N83" s="562"/>
      <c r="O83" s="562"/>
      <c r="P83" s="562"/>
      <c r="Q83" s="562"/>
      <c r="R83" s="562"/>
      <c r="S83" s="562"/>
      <c r="T83" s="562"/>
      <c r="U83" s="562"/>
      <c r="V83" s="562"/>
      <c r="W83" s="562"/>
      <c r="X83" s="562"/>
      <c r="Y83" s="562"/>
      <c r="Z83" s="562"/>
    </row>
    <row r="84">
      <c r="H84" s="561"/>
      <c r="I84" s="562"/>
      <c r="J84" s="562"/>
      <c r="K84" s="562"/>
      <c r="L84" s="562"/>
      <c r="M84" s="562"/>
      <c r="N84" s="562"/>
      <c r="O84" s="562"/>
      <c r="P84" s="562"/>
      <c r="Q84" s="562"/>
      <c r="R84" s="562"/>
      <c r="S84" s="562"/>
      <c r="T84" s="562"/>
      <c r="U84" s="562"/>
      <c r="V84" s="562"/>
      <c r="W84" s="562"/>
      <c r="X84" s="562"/>
      <c r="Y84" s="562"/>
      <c r="Z84" s="562"/>
    </row>
    <row r="85">
      <c r="B85" s="573"/>
      <c r="H85" s="561"/>
      <c r="I85" s="562"/>
      <c r="J85" s="562"/>
      <c r="K85" s="562"/>
      <c r="L85" s="562"/>
      <c r="M85" s="562"/>
      <c r="N85" s="562"/>
      <c r="O85" s="562"/>
      <c r="P85" s="562"/>
      <c r="Q85" s="562"/>
      <c r="R85" s="562"/>
      <c r="S85" s="562"/>
      <c r="T85" s="562"/>
      <c r="U85" s="562"/>
      <c r="V85" s="562"/>
      <c r="W85" s="562"/>
      <c r="X85" s="562"/>
      <c r="Y85" s="562"/>
      <c r="Z85" s="562"/>
    </row>
    <row r="86">
      <c r="H86" s="561"/>
      <c r="I86" s="562"/>
      <c r="J86" s="562"/>
      <c r="K86" s="562"/>
      <c r="L86" s="562"/>
      <c r="M86" s="562"/>
      <c r="N86" s="562"/>
      <c r="O86" s="562"/>
      <c r="P86" s="562"/>
      <c r="Q86" s="562"/>
      <c r="R86" s="562"/>
      <c r="S86" s="562"/>
      <c r="T86" s="562"/>
      <c r="U86" s="562"/>
      <c r="V86" s="562"/>
      <c r="W86" s="562"/>
      <c r="X86" s="562"/>
      <c r="Y86" s="562"/>
      <c r="Z86" s="562"/>
    </row>
    <row r="87">
      <c r="B87" s="573"/>
    </row>
    <row r="88">
      <c r="H88" s="561"/>
      <c r="I88" s="421"/>
      <c r="J88" s="421"/>
      <c r="K88" s="421"/>
      <c r="L88" s="421"/>
      <c r="M88" s="421"/>
      <c r="N88" s="421"/>
      <c r="O88" s="421"/>
      <c r="P88" s="421"/>
      <c r="Q88" s="421"/>
      <c r="R88" s="421"/>
      <c r="S88" s="421"/>
      <c r="T88" s="421"/>
      <c r="U88" s="421"/>
      <c r="V88" s="421"/>
      <c r="W88" s="421"/>
      <c r="X88" s="421"/>
      <c r="Y88" s="421"/>
      <c r="Z88" s="544"/>
      <c r="AA88" s="545"/>
      <c r="AB88" s="545"/>
      <c r="AC88" s="545"/>
      <c r="AD88" s="545"/>
      <c r="AE88" s="545"/>
      <c r="AF88" s="545"/>
      <c r="AG88" s="545"/>
      <c r="AH88" s="545"/>
      <c r="AI88" s="545"/>
      <c r="AJ88" s="545"/>
      <c r="AK88" s="545"/>
      <c r="AL88" s="545"/>
      <c r="AM88" s="545"/>
      <c r="AN88" s="545"/>
      <c r="AO88" s="545"/>
      <c r="AP88" s="545"/>
      <c r="AQ88" s="545"/>
      <c r="AR88" s="545"/>
      <c r="AS88" s="545"/>
      <c r="AT88" s="545"/>
      <c r="AU88" s="545"/>
      <c r="AV88" s="545"/>
      <c r="AW88" s="545"/>
      <c r="AX88" s="545"/>
      <c r="AY88" s="545"/>
      <c r="AZ88" s="545"/>
      <c r="BA88" s="545"/>
      <c r="BB88" s="545"/>
      <c r="BC88" s="545"/>
      <c r="BD88" s="545"/>
      <c r="BE88" s="545"/>
      <c r="BF88" s="545"/>
      <c r="BG88" s="545"/>
      <c r="BH88" s="545"/>
      <c r="BI88" s="545"/>
      <c r="BJ88" s="545"/>
      <c r="BK88" s="545"/>
      <c r="BL88" s="545"/>
      <c r="BM88" s="545"/>
      <c r="BN88" s="545"/>
      <c r="BO88" s="545"/>
      <c r="BP88" s="545"/>
      <c r="BQ88" s="545"/>
      <c r="BR88" s="545"/>
      <c r="BS88" s="545"/>
      <c r="BT88" s="545"/>
      <c r="BU88" s="545"/>
      <c r="BV88" s="545"/>
      <c r="BW88" s="545"/>
      <c r="BX88" s="545"/>
      <c r="BY88" s="545"/>
      <c r="BZ88" s="545"/>
      <c r="CA88" s="545"/>
      <c r="CB88" s="545"/>
      <c r="CC88" s="545"/>
      <c r="CD88" s="545"/>
      <c r="CE88" s="545"/>
      <c r="CF88" s="545"/>
      <c r="CG88" s="545"/>
      <c r="CH88" s="545"/>
      <c r="CI88" s="545"/>
      <c r="CJ88" s="545"/>
      <c r="CK88" s="545"/>
      <c r="CL88" s="545"/>
      <c r="CM88" s="545"/>
      <c r="CN88" s="545"/>
      <c r="CO88" s="545"/>
      <c r="CP88" s="545"/>
      <c r="CQ88" s="545"/>
      <c r="CR88" s="545"/>
      <c r="CS88" s="545"/>
      <c r="CT88" s="545"/>
      <c r="CU88" s="545"/>
      <c r="CV88" s="545"/>
      <c r="CW88" s="545"/>
      <c r="CX88" s="545"/>
      <c r="CY88" s="545"/>
      <c r="CZ88" s="545"/>
      <c r="DA88" s="545"/>
      <c r="DB88" s="545"/>
      <c r="DC88" s="545"/>
      <c r="DD88" s="545"/>
      <c r="DE88" s="545"/>
      <c r="DF88" s="545"/>
      <c r="DG88" s="545"/>
      <c r="DH88" s="545"/>
      <c r="DI88" s="545"/>
      <c r="DJ88" s="545"/>
      <c r="DK88" s="545"/>
      <c r="DL88" s="545"/>
      <c r="DM88" s="545"/>
      <c r="DN88" s="545"/>
      <c r="DO88" s="545"/>
      <c r="DP88" s="545"/>
      <c r="DQ88" s="545"/>
      <c r="DR88" s="545"/>
      <c r="DS88" s="545"/>
      <c r="DT88" s="545"/>
    </row>
    <row r="89">
      <c r="H89" s="563"/>
      <c r="I89" s="421"/>
      <c r="J89" s="421"/>
      <c r="K89" s="421"/>
      <c r="L89" s="421"/>
      <c r="M89" s="421"/>
      <c r="N89" s="421"/>
      <c r="O89" s="421"/>
      <c r="P89" s="421"/>
      <c r="Q89" s="421"/>
      <c r="R89" s="421"/>
      <c r="S89" s="421"/>
      <c r="T89" s="421"/>
      <c r="U89" s="421"/>
      <c r="V89" s="421"/>
      <c r="W89" s="421"/>
      <c r="X89" s="421"/>
      <c r="Y89" s="421"/>
      <c r="Z89" s="421"/>
    </row>
    <row r="90">
      <c r="H90" s="561"/>
      <c r="I90" s="562"/>
      <c r="J90" s="562"/>
      <c r="K90" s="562"/>
      <c r="L90" s="562"/>
      <c r="M90" s="562"/>
      <c r="N90" s="562"/>
      <c r="O90" s="562"/>
      <c r="P90" s="562"/>
      <c r="Q90" s="562"/>
      <c r="R90" s="562"/>
      <c r="S90" s="562"/>
      <c r="T90" s="562"/>
      <c r="U90" s="562"/>
      <c r="V90" s="562"/>
      <c r="W90" s="562"/>
      <c r="X90" s="562"/>
      <c r="Y90" s="562"/>
      <c r="Z90" s="562"/>
      <c r="AA90" s="574"/>
    </row>
    <row r="91">
      <c r="H91" s="561"/>
      <c r="I91" s="562"/>
      <c r="J91" s="562"/>
      <c r="K91" s="562"/>
      <c r="L91" s="562"/>
      <c r="M91" s="562"/>
      <c r="N91" s="562"/>
      <c r="O91" s="562"/>
      <c r="P91" s="562"/>
      <c r="Q91" s="562"/>
      <c r="R91" s="562"/>
      <c r="S91" s="562"/>
      <c r="T91" s="562"/>
      <c r="U91" s="562"/>
      <c r="V91" s="562"/>
      <c r="W91" s="562"/>
      <c r="X91" s="562"/>
      <c r="Y91" s="562"/>
      <c r="Z91" s="562"/>
      <c r="AA91" s="574"/>
    </row>
    <row r="92">
      <c r="H92" s="561"/>
      <c r="I92" s="562"/>
      <c r="J92" s="562"/>
      <c r="K92" s="562"/>
      <c r="L92" s="562"/>
      <c r="M92" s="562"/>
      <c r="N92" s="562"/>
      <c r="O92" s="562"/>
      <c r="P92" s="562"/>
      <c r="Q92" s="562"/>
      <c r="R92" s="562"/>
      <c r="S92" s="562"/>
      <c r="T92" s="562"/>
      <c r="U92" s="562"/>
      <c r="V92" s="562"/>
      <c r="W92" s="562"/>
      <c r="X92" s="562"/>
      <c r="Y92" s="562"/>
      <c r="Z92" s="562"/>
      <c r="AA92" s="574"/>
    </row>
    <row r="93">
      <c r="H93" s="561"/>
      <c r="I93" s="562"/>
      <c r="J93" s="562"/>
      <c r="K93" s="562"/>
      <c r="L93" s="562"/>
      <c r="M93" s="562"/>
      <c r="N93" s="562"/>
      <c r="O93" s="562"/>
      <c r="P93" s="562"/>
      <c r="Q93" s="562"/>
      <c r="R93" s="562"/>
      <c r="S93" s="562"/>
      <c r="T93" s="562"/>
      <c r="U93" s="562"/>
      <c r="V93" s="562"/>
      <c r="W93" s="562"/>
      <c r="X93" s="562"/>
      <c r="Y93" s="562"/>
      <c r="Z93" s="562"/>
      <c r="AA93" s="574"/>
    </row>
    <row r="94">
      <c r="H94" s="561"/>
      <c r="I94" s="562"/>
      <c r="J94" s="562"/>
      <c r="K94" s="562"/>
      <c r="L94" s="562"/>
      <c r="M94" s="562"/>
      <c r="N94" s="562"/>
      <c r="O94" s="562"/>
      <c r="P94" s="562"/>
      <c r="Q94" s="562"/>
      <c r="R94" s="562"/>
      <c r="S94" s="562"/>
      <c r="T94" s="562"/>
      <c r="U94" s="562"/>
      <c r="V94" s="562"/>
      <c r="W94" s="562"/>
      <c r="X94" s="562"/>
      <c r="Y94" s="562"/>
      <c r="Z94" s="562"/>
      <c r="AA94" s="574"/>
    </row>
    <row r="95">
      <c r="H95" s="561"/>
      <c r="I95" s="562"/>
      <c r="J95" s="562"/>
      <c r="K95" s="562"/>
      <c r="L95" s="562"/>
      <c r="M95" s="562"/>
      <c r="N95" s="562"/>
      <c r="O95" s="562"/>
      <c r="P95" s="562"/>
      <c r="Q95" s="562"/>
      <c r="R95" s="562"/>
      <c r="S95" s="562"/>
      <c r="T95" s="562"/>
      <c r="U95" s="562"/>
      <c r="V95" s="562"/>
      <c r="W95" s="562"/>
      <c r="X95" s="562"/>
      <c r="Y95" s="562"/>
      <c r="Z95" s="562"/>
      <c r="AA95" s="574"/>
    </row>
    <row r="96">
      <c r="H96" s="561"/>
      <c r="I96" s="562"/>
      <c r="J96" s="562"/>
      <c r="K96" s="562"/>
      <c r="L96" s="562"/>
      <c r="M96" s="562"/>
      <c r="N96" s="562"/>
      <c r="O96" s="562"/>
      <c r="P96" s="562"/>
      <c r="Q96" s="562"/>
      <c r="R96" s="562"/>
      <c r="S96" s="562"/>
      <c r="T96" s="562"/>
      <c r="U96" s="562"/>
      <c r="V96" s="562"/>
      <c r="W96" s="562"/>
      <c r="X96" s="562"/>
      <c r="Y96" s="562"/>
      <c r="Z96" s="562"/>
      <c r="AA96" s="574"/>
    </row>
    <row r="97">
      <c r="H97" s="561"/>
      <c r="I97" s="562"/>
      <c r="J97" s="562"/>
      <c r="K97" s="562"/>
      <c r="L97" s="562"/>
      <c r="M97" s="562"/>
      <c r="N97" s="562"/>
      <c r="O97" s="562"/>
      <c r="P97" s="562"/>
      <c r="Q97" s="562"/>
      <c r="R97" s="562"/>
      <c r="S97" s="562"/>
      <c r="T97" s="562"/>
      <c r="U97" s="562"/>
      <c r="V97" s="562"/>
      <c r="W97" s="562"/>
      <c r="X97" s="562"/>
      <c r="Y97" s="562"/>
      <c r="Z97" s="562"/>
      <c r="AA97" s="574"/>
    </row>
    <row r="98">
      <c r="H98" s="561"/>
      <c r="I98" s="562"/>
      <c r="J98" s="562"/>
      <c r="K98" s="562"/>
      <c r="L98" s="562"/>
      <c r="M98" s="562"/>
      <c r="N98" s="562"/>
      <c r="O98" s="562"/>
      <c r="P98" s="562"/>
      <c r="Q98" s="562"/>
      <c r="R98" s="562"/>
      <c r="S98" s="562"/>
      <c r="T98" s="562"/>
      <c r="U98" s="562"/>
      <c r="V98" s="562"/>
      <c r="W98" s="562"/>
      <c r="X98" s="562"/>
      <c r="Y98" s="562"/>
      <c r="Z98" s="562"/>
      <c r="AA98" s="574"/>
    </row>
    <row r="99">
      <c r="H99" s="561"/>
      <c r="I99" s="562"/>
      <c r="J99" s="562"/>
      <c r="K99" s="562"/>
      <c r="L99" s="562"/>
      <c r="M99" s="562"/>
      <c r="N99" s="562"/>
      <c r="O99" s="562"/>
      <c r="P99" s="562"/>
      <c r="Q99" s="562"/>
      <c r="R99" s="562"/>
      <c r="S99" s="562"/>
      <c r="T99" s="562"/>
      <c r="U99" s="562"/>
      <c r="V99" s="562"/>
      <c r="W99" s="562"/>
      <c r="X99" s="562"/>
      <c r="Y99" s="562"/>
      <c r="Z99" s="562"/>
      <c r="AA99" s="574"/>
    </row>
    <row r="100">
      <c r="H100" s="561"/>
      <c r="I100" s="562"/>
      <c r="J100" s="562"/>
      <c r="K100" s="562"/>
      <c r="L100" s="562"/>
      <c r="M100" s="562"/>
      <c r="N100" s="562"/>
      <c r="O100" s="562"/>
      <c r="P100" s="562"/>
      <c r="Q100" s="562"/>
      <c r="R100" s="562"/>
      <c r="S100" s="562"/>
      <c r="T100" s="562"/>
      <c r="U100" s="562"/>
      <c r="V100" s="562"/>
      <c r="W100" s="562"/>
      <c r="X100" s="562"/>
      <c r="Y100" s="562"/>
      <c r="Z100" s="562"/>
      <c r="AA100" s="574"/>
    </row>
    <row r="101">
      <c r="H101" s="561"/>
      <c r="I101" s="562"/>
      <c r="J101" s="562"/>
      <c r="K101" s="562"/>
      <c r="L101" s="562"/>
      <c r="M101" s="562"/>
      <c r="N101" s="562"/>
      <c r="O101" s="562"/>
      <c r="P101" s="562"/>
      <c r="Q101" s="562"/>
      <c r="R101" s="562"/>
      <c r="S101" s="562"/>
      <c r="T101" s="562"/>
      <c r="U101" s="562"/>
      <c r="V101" s="562"/>
      <c r="W101" s="562"/>
      <c r="X101" s="562"/>
      <c r="Y101" s="562"/>
      <c r="Z101" s="562"/>
      <c r="AA101" s="574"/>
    </row>
    <row r="102">
      <c r="H102" s="561"/>
      <c r="I102" s="562"/>
      <c r="J102" s="562"/>
      <c r="K102" s="562"/>
      <c r="L102" s="562"/>
      <c r="M102" s="562"/>
      <c r="N102" s="562"/>
      <c r="O102" s="562"/>
      <c r="P102" s="562"/>
      <c r="Q102" s="562"/>
      <c r="R102" s="562"/>
      <c r="S102" s="562"/>
      <c r="T102" s="562"/>
      <c r="U102" s="562"/>
      <c r="V102" s="562"/>
      <c r="W102" s="562"/>
      <c r="X102" s="562"/>
      <c r="Y102" s="562"/>
      <c r="Z102" s="562"/>
      <c r="AA102" s="574"/>
    </row>
    <row r="103">
      <c r="H103" s="561"/>
      <c r="I103" s="562"/>
      <c r="J103" s="562"/>
      <c r="K103" s="562"/>
      <c r="L103" s="562"/>
      <c r="M103" s="562"/>
      <c r="N103" s="562"/>
      <c r="O103" s="562"/>
      <c r="P103" s="562"/>
      <c r="Q103" s="562"/>
      <c r="R103" s="562"/>
      <c r="S103" s="562"/>
      <c r="T103" s="562"/>
      <c r="U103" s="562"/>
      <c r="V103" s="562"/>
      <c r="W103" s="562"/>
      <c r="X103" s="562"/>
      <c r="Y103" s="562"/>
      <c r="Z103" s="562"/>
      <c r="AA103" s="574"/>
    </row>
    <row r="104">
      <c r="H104" s="561"/>
      <c r="I104" s="562"/>
      <c r="J104" s="562"/>
      <c r="K104" s="562"/>
      <c r="L104" s="562"/>
      <c r="M104" s="562"/>
      <c r="N104" s="562"/>
      <c r="O104" s="562"/>
      <c r="P104" s="562"/>
      <c r="Q104" s="562"/>
      <c r="R104" s="562"/>
      <c r="S104" s="562"/>
      <c r="T104" s="562"/>
      <c r="U104" s="562"/>
      <c r="V104" s="562"/>
      <c r="W104" s="562"/>
      <c r="X104" s="562"/>
      <c r="Y104" s="562"/>
      <c r="Z104" s="562"/>
      <c r="AA104" s="574"/>
    </row>
    <row r="105">
      <c r="H105" s="561"/>
      <c r="I105" s="562"/>
      <c r="J105" s="562"/>
      <c r="K105" s="562"/>
      <c r="L105" s="562"/>
      <c r="M105" s="562"/>
      <c r="N105" s="562"/>
      <c r="O105" s="562"/>
      <c r="P105" s="562"/>
      <c r="Q105" s="562"/>
      <c r="R105" s="562"/>
      <c r="S105" s="562"/>
      <c r="T105" s="562"/>
      <c r="U105" s="562"/>
      <c r="V105" s="562"/>
      <c r="W105" s="562"/>
      <c r="X105" s="562"/>
      <c r="Y105" s="562"/>
      <c r="Z105" s="562"/>
      <c r="AA105" s="574"/>
    </row>
    <row r="106">
      <c r="H106" s="561"/>
      <c r="I106" s="562"/>
      <c r="J106" s="562"/>
      <c r="K106" s="562"/>
      <c r="L106" s="562"/>
      <c r="M106" s="562"/>
      <c r="N106" s="562"/>
      <c r="O106" s="562"/>
      <c r="P106" s="562"/>
      <c r="Q106" s="562"/>
      <c r="R106" s="562"/>
      <c r="S106" s="562"/>
      <c r="T106" s="562"/>
      <c r="U106" s="562"/>
      <c r="V106" s="562"/>
      <c r="W106" s="562"/>
      <c r="X106" s="562"/>
      <c r="Y106" s="562"/>
      <c r="Z106" s="562"/>
      <c r="AA106" s="574"/>
    </row>
    <row r="107">
      <c r="H107" s="561"/>
      <c r="I107" s="562"/>
      <c r="J107" s="562"/>
      <c r="K107" s="562"/>
      <c r="L107" s="562"/>
      <c r="M107" s="562"/>
      <c r="N107" s="562"/>
      <c r="O107" s="562"/>
      <c r="P107" s="562"/>
      <c r="Q107" s="562"/>
      <c r="R107" s="562"/>
      <c r="S107" s="562"/>
      <c r="T107" s="562"/>
      <c r="U107" s="562"/>
      <c r="V107" s="562"/>
      <c r="W107" s="562"/>
      <c r="X107" s="562"/>
      <c r="Y107" s="562"/>
      <c r="Z107" s="562"/>
      <c r="AA107" s="574"/>
    </row>
    <row r="109">
      <c r="H109" s="561"/>
      <c r="I109" s="421"/>
      <c r="J109" s="421"/>
      <c r="K109" s="421"/>
      <c r="L109" s="421"/>
      <c r="M109" s="421"/>
      <c r="N109" s="421"/>
      <c r="O109" s="421"/>
      <c r="P109" s="421"/>
      <c r="Q109" s="421"/>
      <c r="R109" s="421"/>
      <c r="S109" s="421"/>
      <c r="T109" s="421"/>
      <c r="U109" s="421"/>
      <c r="V109" s="421"/>
      <c r="W109" s="421"/>
      <c r="X109" s="421"/>
      <c r="Y109" s="421"/>
      <c r="Z109" s="544"/>
      <c r="AA109" s="545"/>
      <c r="AB109" s="545"/>
      <c r="AC109" s="545"/>
      <c r="AD109" s="545"/>
      <c r="AE109" s="545"/>
      <c r="AF109" s="545"/>
      <c r="AG109" s="545"/>
      <c r="AH109" s="545"/>
      <c r="AI109" s="545"/>
      <c r="AJ109" s="545"/>
      <c r="AK109" s="545"/>
      <c r="AL109" s="545"/>
      <c r="AM109" s="545"/>
      <c r="AN109" s="545"/>
      <c r="AO109" s="545"/>
      <c r="AP109" s="545"/>
      <c r="AQ109" s="545"/>
      <c r="AR109" s="545"/>
      <c r="AS109" s="545"/>
      <c r="AT109" s="545"/>
      <c r="AU109" s="545"/>
      <c r="AV109" s="545"/>
      <c r="AW109" s="545"/>
      <c r="AX109" s="545"/>
      <c r="AY109" s="545"/>
      <c r="AZ109" s="545"/>
      <c r="BA109" s="545"/>
      <c r="BB109" s="545"/>
      <c r="BC109" s="545"/>
      <c r="BD109" s="545"/>
      <c r="BE109" s="545"/>
      <c r="BF109" s="545"/>
      <c r="BG109" s="545"/>
      <c r="BH109" s="545"/>
      <c r="BI109" s="545"/>
      <c r="BJ109" s="545"/>
      <c r="BK109" s="545"/>
      <c r="BL109" s="545"/>
      <c r="BM109" s="545"/>
      <c r="BN109" s="545"/>
      <c r="BO109" s="545"/>
      <c r="BP109" s="545"/>
      <c r="BQ109" s="545"/>
      <c r="BR109" s="545"/>
      <c r="BS109" s="545"/>
      <c r="BT109" s="545"/>
      <c r="BU109" s="545"/>
      <c r="BV109" s="545"/>
      <c r="BW109" s="545"/>
      <c r="BX109" s="545"/>
      <c r="BY109" s="545"/>
      <c r="BZ109" s="545"/>
      <c r="CA109" s="545"/>
      <c r="CB109" s="545"/>
      <c r="CC109" s="545"/>
      <c r="CD109" s="545"/>
      <c r="CE109" s="545"/>
      <c r="CF109" s="545"/>
      <c r="CG109" s="545"/>
      <c r="CH109" s="545"/>
      <c r="CI109" s="545"/>
      <c r="CJ109" s="545"/>
      <c r="CK109" s="545"/>
      <c r="CL109" s="545"/>
      <c r="CM109" s="545"/>
      <c r="CN109" s="545"/>
      <c r="CO109" s="545"/>
      <c r="CP109" s="545"/>
      <c r="CQ109" s="545"/>
      <c r="CR109" s="545"/>
      <c r="CS109" s="545"/>
      <c r="CT109" s="545"/>
      <c r="CU109" s="545"/>
      <c r="CV109" s="545"/>
      <c r="CW109" s="545"/>
      <c r="CX109" s="545"/>
      <c r="CY109" s="545"/>
      <c r="CZ109" s="545"/>
      <c r="DA109" s="545"/>
      <c r="DB109" s="545"/>
      <c r="DC109" s="545"/>
      <c r="DD109" s="545"/>
      <c r="DE109" s="545"/>
      <c r="DF109" s="545"/>
      <c r="DG109" s="545"/>
      <c r="DH109" s="545"/>
      <c r="DI109" s="545"/>
      <c r="DJ109" s="545"/>
      <c r="DK109" s="545"/>
      <c r="DL109" s="545"/>
      <c r="DM109" s="545"/>
      <c r="DN109" s="545"/>
      <c r="DO109" s="545"/>
      <c r="DP109" s="545"/>
      <c r="DQ109" s="545"/>
      <c r="DR109" s="545"/>
      <c r="DS109" s="545"/>
      <c r="DT109" s="545"/>
    </row>
    <row r="110">
      <c r="H110" s="563"/>
      <c r="I110" s="421"/>
      <c r="J110" s="421"/>
      <c r="K110" s="421"/>
      <c r="L110" s="421"/>
      <c r="M110" s="421"/>
      <c r="N110" s="421"/>
      <c r="O110" s="421"/>
      <c r="P110" s="421"/>
      <c r="Q110" s="421"/>
      <c r="R110" s="421"/>
      <c r="S110" s="421"/>
      <c r="T110" s="421"/>
      <c r="U110" s="421"/>
      <c r="V110" s="421"/>
      <c r="W110" s="421"/>
      <c r="X110" s="421"/>
      <c r="Y110" s="421"/>
      <c r="Z110" s="421"/>
    </row>
    <row r="111">
      <c r="H111" s="561"/>
      <c r="I111" s="562"/>
      <c r="J111" s="562"/>
      <c r="K111" s="562"/>
      <c r="L111" s="562"/>
      <c r="M111" s="562"/>
      <c r="N111" s="562"/>
      <c r="O111" s="562"/>
      <c r="P111" s="562"/>
      <c r="Q111" s="562"/>
      <c r="R111" s="562"/>
      <c r="S111" s="562"/>
      <c r="T111" s="562"/>
      <c r="U111" s="562"/>
      <c r="V111" s="562"/>
      <c r="W111" s="562"/>
      <c r="X111" s="562"/>
      <c r="Y111" s="562"/>
      <c r="Z111" s="562"/>
    </row>
    <row r="112">
      <c r="H112" s="561"/>
      <c r="I112" s="562"/>
      <c r="J112" s="562"/>
      <c r="K112" s="562"/>
      <c r="L112" s="562"/>
      <c r="M112" s="562"/>
      <c r="N112" s="562"/>
      <c r="O112" s="562"/>
      <c r="P112" s="562"/>
      <c r="Q112" s="562"/>
      <c r="R112" s="562"/>
      <c r="S112" s="562"/>
      <c r="T112" s="562"/>
      <c r="U112" s="562"/>
      <c r="V112" s="562"/>
      <c r="W112" s="562"/>
      <c r="X112" s="562"/>
      <c r="Y112" s="562"/>
      <c r="Z112" s="562"/>
    </row>
    <row r="113">
      <c r="H113" s="561"/>
      <c r="I113" s="562"/>
      <c r="J113" s="562"/>
      <c r="K113" s="562"/>
      <c r="L113" s="562"/>
      <c r="M113" s="562"/>
      <c r="N113" s="562"/>
      <c r="O113" s="562"/>
      <c r="P113" s="562"/>
      <c r="Q113" s="562"/>
      <c r="R113" s="562"/>
      <c r="S113" s="562"/>
      <c r="T113" s="562"/>
      <c r="U113" s="562"/>
      <c r="V113" s="562"/>
      <c r="W113" s="562"/>
      <c r="X113" s="562"/>
      <c r="Y113" s="562"/>
      <c r="Z113" s="562"/>
    </row>
    <row r="114">
      <c r="H114" s="561"/>
      <c r="I114" s="562"/>
      <c r="J114" s="562"/>
      <c r="K114" s="562"/>
      <c r="L114" s="562"/>
      <c r="M114" s="562"/>
      <c r="N114" s="562"/>
      <c r="O114" s="562"/>
      <c r="P114" s="562"/>
      <c r="Q114" s="562"/>
      <c r="R114" s="562"/>
      <c r="S114" s="562"/>
      <c r="T114" s="562"/>
      <c r="U114" s="562"/>
      <c r="V114" s="562"/>
      <c r="W114" s="562"/>
      <c r="X114" s="562"/>
      <c r="Y114" s="562"/>
      <c r="Z114" s="562"/>
    </row>
    <row r="115">
      <c r="H115" s="561"/>
      <c r="I115" s="562"/>
      <c r="J115" s="562"/>
      <c r="K115" s="562"/>
      <c r="L115" s="562"/>
      <c r="M115" s="562"/>
      <c r="N115" s="562"/>
      <c r="O115" s="562"/>
      <c r="P115" s="562"/>
      <c r="Q115" s="562"/>
      <c r="R115" s="562"/>
      <c r="S115" s="562"/>
      <c r="T115" s="562"/>
      <c r="U115" s="562"/>
      <c r="V115" s="562"/>
      <c r="W115" s="562"/>
      <c r="X115" s="562"/>
      <c r="Y115" s="562"/>
      <c r="Z115" s="562"/>
    </row>
    <row r="116">
      <c r="H116" s="561"/>
      <c r="I116" s="562"/>
      <c r="J116" s="562"/>
      <c r="K116" s="562"/>
      <c r="L116" s="562"/>
      <c r="M116" s="562"/>
      <c r="N116" s="562"/>
      <c r="O116" s="562"/>
      <c r="P116" s="562"/>
      <c r="Q116" s="562"/>
      <c r="R116" s="562"/>
      <c r="S116" s="562"/>
      <c r="T116" s="562"/>
      <c r="U116" s="562"/>
      <c r="V116" s="562"/>
      <c r="W116" s="562"/>
      <c r="X116" s="562"/>
      <c r="Y116" s="562"/>
      <c r="Z116" s="562"/>
    </row>
    <row r="117">
      <c r="H117" s="561"/>
      <c r="I117" s="562"/>
      <c r="J117" s="562"/>
      <c r="K117" s="562"/>
      <c r="L117" s="562"/>
      <c r="M117" s="562"/>
      <c r="N117" s="562"/>
      <c r="O117" s="562"/>
      <c r="P117" s="562"/>
      <c r="Q117" s="562"/>
      <c r="R117" s="562"/>
      <c r="S117" s="562"/>
      <c r="T117" s="562"/>
      <c r="U117" s="562"/>
      <c r="V117" s="562"/>
      <c r="W117" s="562"/>
      <c r="X117" s="562"/>
      <c r="Y117" s="562"/>
      <c r="Z117" s="562"/>
    </row>
    <row r="118">
      <c r="H118" s="561"/>
      <c r="I118" s="562"/>
      <c r="J118" s="562"/>
      <c r="K118" s="562"/>
      <c r="L118" s="562"/>
      <c r="M118" s="562"/>
      <c r="N118" s="562"/>
      <c r="O118" s="562"/>
      <c r="P118" s="562"/>
      <c r="Q118" s="562"/>
      <c r="R118" s="562"/>
      <c r="S118" s="562"/>
      <c r="T118" s="562"/>
      <c r="U118" s="562"/>
      <c r="V118" s="562"/>
      <c r="W118" s="562"/>
      <c r="X118" s="562"/>
      <c r="Y118" s="562"/>
      <c r="Z118" s="562"/>
    </row>
    <row r="119">
      <c r="H119" s="561"/>
      <c r="I119" s="562"/>
      <c r="J119" s="562"/>
      <c r="K119" s="562"/>
      <c r="L119" s="562"/>
      <c r="M119" s="562"/>
      <c r="N119" s="562"/>
      <c r="O119" s="562"/>
      <c r="P119" s="562"/>
      <c r="Q119" s="562"/>
      <c r="R119" s="562"/>
      <c r="S119" s="562"/>
      <c r="T119" s="562"/>
      <c r="U119" s="562"/>
      <c r="V119" s="562"/>
      <c r="W119" s="562"/>
      <c r="X119" s="562"/>
      <c r="Y119" s="562"/>
      <c r="Z119" s="562"/>
    </row>
    <row r="120">
      <c r="H120" s="561"/>
      <c r="I120" s="562"/>
      <c r="J120" s="562"/>
      <c r="K120" s="562"/>
      <c r="L120" s="562"/>
      <c r="M120" s="562"/>
      <c r="N120" s="562"/>
      <c r="O120" s="562"/>
      <c r="P120" s="562"/>
      <c r="Q120" s="562"/>
      <c r="R120" s="562"/>
      <c r="S120" s="562"/>
      <c r="T120" s="562"/>
      <c r="U120" s="562"/>
      <c r="V120" s="562"/>
      <c r="W120" s="562"/>
      <c r="X120" s="562"/>
      <c r="Y120" s="562"/>
      <c r="Z120" s="562"/>
    </row>
    <row r="121">
      <c r="H121" s="561"/>
      <c r="I121" s="562"/>
      <c r="J121" s="562"/>
      <c r="K121" s="562"/>
      <c r="L121" s="562"/>
      <c r="M121" s="562"/>
      <c r="N121" s="562"/>
      <c r="O121" s="562"/>
      <c r="P121" s="562"/>
      <c r="Q121" s="562"/>
      <c r="R121" s="562"/>
      <c r="S121" s="562"/>
      <c r="T121" s="562"/>
      <c r="U121" s="562"/>
      <c r="V121" s="562"/>
      <c r="W121" s="562"/>
      <c r="X121" s="562"/>
      <c r="Y121" s="562"/>
      <c r="Z121" s="562"/>
    </row>
    <row r="122">
      <c r="H122" s="561"/>
      <c r="I122" s="562"/>
      <c r="J122" s="562"/>
      <c r="K122" s="562"/>
      <c r="L122" s="562"/>
      <c r="M122" s="562"/>
      <c r="N122" s="562"/>
      <c r="O122" s="562"/>
      <c r="P122" s="562"/>
      <c r="Q122" s="562"/>
      <c r="R122" s="562"/>
      <c r="S122" s="562"/>
      <c r="T122" s="562"/>
      <c r="U122" s="562"/>
      <c r="V122" s="562"/>
      <c r="W122" s="562"/>
      <c r="X122" s="562"/>
      <c r="Y122" s="562"/>
      <c r="Z122" s="562"/>
    </row>
    <row r="123">
      <c r="H123" s="561"/>
      <c r="I123" s="562"/>
      <c r="J123" s="562"/>
      <c r="K123" s="562"/>
      <c r="L123" s="562"/>
      <c r="M123" s="562"/>
      <c r="N123" s="562"/>
      <c r="O123" s="562"/>
      <c r="P123" s="562"/>
      <c r="Q123" s="562"/>
      <c r="R123" s="562"/>
      <c r="S123" s="562"/>
      <c r="T123" s="562"/>
      <c r="U123" s="562"/>
      <c r="V123" s="562"/>
      <c r="W123" s="562"/>
      <c r="X123" s="562"/>
      <c r="Y123" s="562"/>
      <c r="Z123" s="562"/>
    </row>
    <row r="124">
      <c r="H124" s="561"/>
      <c r="I124" s="562"/>
      <c r="J124" s="562"/>
      <c r="K124" s="562"/>
      <c r="L124" s="562"/>
      <c r="M124" s="562"/>
      <c r="N124" s="562"/>
      <c r="O124" s="562"/>
      <c r="P124" s="562"/>
      <c r="Q124" s="562"/>
      <c r="R124" s="562"/>
      <c r="S124" s="562"/>
      <c r="T124" s="562"/>
      <c r="U124" s="562"/>
      <c r="V124" s="562"/>
      <c r="W124" s="562"/>
      <c r="X124" s="562"/>
      <c r="Y124" s="562"/>
      <c r="Z124" s="562"/>
    </row>
    <row r="125">
      <c r="H125" s="561"/>
      <c r="I125" s="562"/>
      <c r="J125" s="562"/>
      <c r="K125" s="562"/>
      <c r="L125" s="562"/>
      <c r="M125" s="562"/>
      <c r="N125" s="562"/>
      <c r="O125" s="562"/>
      <c r="P125" s="562"/>
      <c r="Q125" s="562"/>
      <c r="R125" s="562"/>
      <c r="S125" s="562"/>
      <c r="T125" s="562"/>
      <c r="U125" s="562"/>
      <c r="V125" s="562"/>
      <c r="W125" s="562"/>
      <c r="X125" s="562"/>
      <c r="Y125" s="562"/>
      <c r="Z125" s="562"/>
    </row>
    <row r="126">
      <c r="H126" s="561"/>
      <c r="I126" s="562"/>
      <c r="J126" s="562"/>
      <c r="K126" s="562"/>
      <c r="L126" s="562"/>
      <c r="M126" s="562"/>
      <c r="N126" s="562"/>
      <c r="O126" s="562"/>
      <c r="P126" s="562"/>
      <c r="Q126" s="562"/>
      <c r="R126" s="562"/>
      <c r="S126" s="562"/>
      <c r="T126" s="562"/>
      <c r="U126" s="562"/>
      <c r="V126" s="562"/>
      <c r="W126" s="562"/>
      <c r="X126" s="562"/>
      <c r="Y126" s="562"/>
      <c r="Z126" s="562"/>
    </row>
    <row r="127">
      <c r="H127" s="561"/>
      <c r="I127" s="562"/>
      <c r="J127" s="562"/>
      <c r="K127" s="562"/>
      <c r="L127" s="562"/>
      <c r="M127" s="562"/>
      <c r="N127" s="562"/>
      <c r="O127" s="562"/>
      <c r="P127" s="562"/>
      <c r="Q127" s="562"/>
      <c r="R127" s="562"/>
      <c r="S127" s="562"/>
      <c r="T127" s="562"/>
      <c r="U127" s="562"/>
      <c r="V127" s="562"/>
      <c r="W127" s="562"/>
      <c r="X127" s="562"/>
      <c r="Y127" s="562"/>
      <c r="Z127" s="562"/>
    </row>
    <row r="128">
      <c r="H128" s="561"/>
      <c r="I128" s="562"/>
      <c r="J128" s="562"/>
      <c r="K128" s="562"/>
      <c r="L128" s="562"/>
      <c r="M128" s="562"/>
      <c r="N128" s="562"/>
      <c r="O128" s="562"/>
      <c r="P128" s="562"/>
      <c r="Q128" s="562"/>
      <c r="R128" s="562"/>
      <c r="S128" s="562"/>
      <c r="T128" s="562"/>
      <c r="U128" s="562"/>
      <c r="V128" s="562"/>
      <c r="W128" s="562"/>
      <c r="X128" s="562"/>
      <c r="Y128" s="562"/>
      <c r="Z128" s="562"/>
    </row>
    <row r="130">
      <c r="H130" s="561"/>
      <c r="I130" s="421"/>
      <c r="J130" s="421"/>
      <c r="K130" s="421"/>
      <c r="L130" s="421"/>
      <c r="M130" s="421"/>
      <c r="N130" s="421"/>
      <c r="O130" s="421"/>
      <c r="P130" s="421"/>
      <c r="Q130" s="421"/>
      <c r="R130" s="421"/>
      <c r="S130" s="421"/>
      <c r="T130" s="421"/>
      <c r="U130" s="421"/>
      <c r="V130" s="421"/>
      <c r="W130" s="421"/>
      <c r="X130" s="421"/>
      <c r="Y130" s="421"/>
      <c r="Z130" s="544"/>
      <c r="AA130" s="545"/>
      <c r="AB130" s="545"/>
      <c r="AC130" s="545"/>
      <c r="AD130" s="545"/>
      <c r="AE130" s="545"/>
      <c r="AF130" s="545"/>
      <c r="AG130" s="545"/>
      <c r="AH130" s="545"/>
      <c r="AI130" s="545"/>
      <c r="AJ130" s="545"/>
      <c r="AK130" s="545"/>
      <c r="AL130" s="545"/>
      <c r="AM130" s="545"/>
      <c r="AN130" s="545"/>
      <c r="AO130" s="545"/>
      <c r="AP130" s="545"/>
      <c r="AQ130" s="545"/>
      <c r="AR130" s="545"/>
      <c r="AS130" s="545"/>
      <c r="AT130" s="545"/>
      <c r="AU130" s="545"/>
      <c r="AV130" s="545"/>
      <c r="AW130" s="545"/>
      <c r="AX130" s="545"/>
      <c r="AY130" s="545"/>
      <c r="AZ130" s="545"/>
      <c r="BA130" s="545"/>
      <c r="BB130" s="545"/>
      <c r="BC130" s="545"/>
      <c r="BD130" s="545"/>
      <c r="BE130" s="545"/>
      <c r="BF130" s="545"/>
      <c r="BG130" s="545"/>
      <c r="BH130" s="545"/>
      <c r="BI130" s="545"/>
      <c r="BJ130" s="545"/>
      <c r="BK130" s="545"/>
      <c r="BL130" s="545"/>
      <c r="BM130" s="545"/>
      <c r="BN130" s="545"/>
      <c r="BO130" s="545"/>
      <c r="BP130" s="545"/>
      <c r="BQ130" s="545"/>
      <c r="BR130" s="545"/>
      <c r="BS130" s="545"/>
      <c r="BT130" s="545"/>
      <c r="BU130" s="545"/>
      <c r="BV130" s="545"/>
      <c r="BW130" s="545"/>
      <c r="BX130" s="545"/>
      <c r="BY130" s="545"/>
      <c r="BZ130" s="545"/>
      <c r="CA130" s="545"/>
      <c r="CB130" s="545"/>
      <c r="CC130" s="545"/>
      <c r="CD130" s="545"/>
      <c r="CE130" s="545"/>
      <c r="CF130" s="545"/>
      <c r="CG130" s="545"/>
      <c r="CH130" s="545"/>
      <c r="CI130" s="545"/>
      <c r="CJ130" s="545"/>
      <c r="CK130" s="545"/>
      <c r="CL130" s="545"/>
      <c r="CM130" s="545"/>
      <c r="CN130" s="545"/>
      <c r="CO130" s="545"/>
      <c r="CP130" s="545"/>
      <c r="CQ130" s="545"/>
      <c r="CR130" s="545"/>
      <c r="CS130" s="545"/>
      <c r="CT130" s="545"/>
      <c r="CU130" s="545"/>
      <c r="CV130" s="545"/>
      <c r="CW130" s="545"/>
      <c r="CX130" s="545"/>
      <c r="CY130" s="545"/>
      <c r="CZ130" s="545"/>
      <c r="DA130" s="545"/>
      <c r="DB130" s="545"/>
      <c r="DC130" s="545"/>
      <c r="DD130" s="545"/>
      <c r="DE130" s="545"/>
      <c r="DF130" s="545"/>
      <c r="DG130" s="545"/>
      <c r="DH130" s="545"/>
      <c r="DI130" s="545"/>
      <c r="DJ130" s="545"/>
      <c r="DK130" s="545"/>
      <c r="DL130" s="545"/>
      <c r="DM130" s="545"/>
      <c r="DN130" s="545"/>
      <c r="DO130" s="545"/>
      <c r="DP130" s="545"/>
      <c r="DQ130" s="545"/>
      <c r="DR130" s="545"/>
      <c r="DS130" s="545"/>
      <c r="DT130" s="545"/>
    </row>
    <row r="131">
      <c r="H131" s="563"/>
      <c r="I131" s="421"/>
      <c r="J131" s="421"/>
      <c r="K131" s="421"/>
      <c r="L131" s="421"/>
      <c r="M131" s="421"/>
      <c r="N131" s="421"/>
      <c r="O131" s="421"/>
      <c r="P131" s="421"/>
      <c r="Q131" s="421"/>
      <c r="R131" s="421"/>
      <c r="S131" s="421"/>
      <c r="T131" s="421"/>
      <c r="U131" s="421"/>
      <c r="V131" s="421"/>
      <c r="W131" s="421"/>
      <c r="X131" s="421"/>
      <c r="Y131" s="421"/>
      <c r="Z131" s="421"/>
    </row>
    <row r="132">
      <c r="H132" s="561"/>
      <c r="I132" s="562"/>
      <c r="J132" s="562"/>
      <c r="K132" s="562"/>
      <c r="L132" s="562"/>
      <c r="M132" s="562"/>
      <c r="N132" s="562"/>
      <c r="O132" s="562"/>
      <c r="P132" s="562"/>
      <c r="Q132" s="562"/>
      <c r="R132" s="562"/>
      <c r="S132" s="562"/>
      <c r="T132" s="562"/>
      <c r="U132" s="562"/>
      <c r="V132" s="562"/>
      <c r="W132" s="562"/>
      <c r="X132" s="562"/>
      <c r="Y132" s="562"/>
      <c r="Z132" s="562"/>
    </row>
    <row r="133">
      <c r="H133" s="561"/>
      <c r="I133" s="562"/>
      <c r="J133" s="562"/>
      <c r="K133" s="562"/>
      <c r="L133" s="562"/>
      <c r="M133" s="562"/>
      <c r="N133" s="562"/>
      <c r="O133" s="562"/>
      <c r="P133" s="562"/>
      <c r="Q133" s="562"/>
      <c r="R133" s="562"/>
      <c r="S133" s="562"/>
      <c r="T133" s="562"/>
      <c r="U133" s="562"/>
      <c r="V133" s="562"/>
      <c r="W133" s="562"/>
      <c r="X133" s="562"/>
      <c r="Y133" s="562"/>
      <c r="Z133" s="562"/>
    </row>
    <row r="134">
      <c r="H134" s="561"/>
      <c r="I134" s="562"/>
      <c r="J134" s="562"/>
      <c r="K134" s="562"/>
      <c r="L134" s="562"/>
      <c r="M134" s="562"/>
      <c r="N134" s="562"/>
      <c r="O134" s="562"/>
      <c r="P134" s="562"/>
      <c r="Q134" s="562"/>
      <c r="R134" s="562"/>
      <c r="S134" s="562"/>
      <c r="T134" s="562"/>
      <c r="U134" s="562"/>
      <c r="V134" s="562"/>
      <c r="W134" s="562"/>
      <c r="X134" s="562"/>
      <c r="Y134" s="562"/>
      <c r="Z134" s="562"/>
    </row>
    <row r="135">
      <c r="H135" s="561"/>
      <c r="I135" s="562"/>
      <c r="J135" s="562"/>
      <c r="K135" s="562"/>
      <c r="L135" s="562"/>
      <c r="M135" s="562"/>
      <c r="N135" s="562"/>
      <c r="O135" s="562"/>
      <c r="P135" s="562"/>
      <c r="Q135" s="562"/>
      <c r="R135" s="562"/>
      <c r="S135" s="562"/>
      <c r="T135" s="562"/>
      <c r="U135" s="562"/>
      <c r="V135" s="562"/>
      <c r="W135" s="562"/>
      <c r="X135" s="562"/>
      <c r="Y135" s="562"/>
      <c r="Z135" s="562"/>
    </row>
    <row r="136">
      <c r="H136" s="561"/>
      <c r="I136" s="562"/>
      <c r="J136" s="562"/>
      <c r="K136" s="562"/>
      <c r="L136" s="562"/>
      <c r="M136" s="562"/>
      <c r="N136" s="562"/>
      <c r="O136" s="562"/>
      <c r="P136" s="562"/>
      <c r="Q136" s="562"/>
      <c r="R136" s="562"/>
      <c r="S136" s="562"/>
      <c r="T136" s="562"/>
      <c r="U136" s="562"/>
      <c r="V136" s="562"/>
      <c r="W136" s="562"/>
      <c r="X136" s="562"/>
      <c r="Y136" s="562"/>
      <c r="Z136" s="562"/>
    </row>
    <row r="137">
      <c r="H137" s="561"/>
      <c r="I137" s="562"/>
      <c r="J137" s="562"/>
      <c r="K137" s="562"/>
      <c r="L137" s="562"/>
      <c r="M137" s="562"/>
      <c r="N137" s="562"/>
      <c r="O137" s="562"/>
      <c r="P137" s="562"/>
      <c r="Q137" s="562"/>
      <c r="R137" s="562"/>
      <c r="S137" s="562"/>
      <c r="T137" s="562"/>
      <c r="U137" s="562"/>
      <c r="V137" s="562"/>
      <c r="W137" s="562"/>
      <c r="X137" s="562"/>
      <c r="Y137" s="562"/>
      <c r="Z137" s="562"/>
    </row>
    <row r="138">
      <c r="H138" s="561"/>
      <c r="I138" s="562"/>
      <c r="J138" s="562"/>
      <c r="K138" s="562"/>
      <c r="L138" s="562"/>
      <c r="M138" s="562"/>
      <c r="N138" s="562"/>
      <c r="O138" s="562"/>
      <c r="P138" s="562"/>
      <c r="Q138" s="562"/>
      <c r="R138" s="562"/>
      <c r="S138" s="562"/>
      <c r="T138" s="562"/>
      <c r="U138" s="562"/>
      <c r="V138" s="562"/>
      <c r="W138" s="562"/>
      <c r="X138" s="562"/>
      <c r="Y138" s="562"/>
      <c r="Z138" s="562"/>
    </row>
    <row r="139">
      <c r="H139" s="561"/>
      <c r="I139" s="562"/>
      <c r="J139" s="562"/>
      <c r="K139" s="562"/>
      <c r="L139" s="562"/>
      <c r="M139" s="562"/>
      <c r="N139" s="562"/>
      <c r="O139" s="562"/>
      <c r="P139" s="562"/>
      <c r="Q139" s="562"/>
      <c r="R139" s="562"/>
      <c r="S139" s="562"/>
      <c r="T139" s="562"/>
      <c r="U139" s="562"/>
      <c r="V139" s="562"/>
      <c r="W139" s="562"/>
      <c r="X139" s="562"/>
      <c r="Y139" s="562"/>
      <c r="Z139" s="562"/>
    </row>
    <row r="140">
      <c r="H140" s="561"/>
      <c r="I140" s="562"/>
      <c r="J140" s="562"/>
      <c r="K140" s="562"/>
      <c r="L140" s="562"/>
      <c r="M140" s="562"/>
      <c r="N140" s="562"/>
      <c r="O140" s="562"/>
      <c r="P140" s="562"/>
      <c r="Q140" s="562"/>
      <c r="R140" s="562"/>
      <c r="S140" s="562"/>
      <c r="T140" s="562"/>
      <c r="U140" s="562"/>
      <c r="V140" s="562"/>
      <c r="W140" s="562"/>
      <c r="X140" s="562"/>
      <c r="Y140" s="562"/>
      <c r="Z140" s="562"/>
    </row>
    <row r="141">
      <c r="H141" s="561"/>
      <c r="I141" s="562"/>
      <c r="J141" s="562"/>
      <c r="K141" s="562"/>
      <c r="L141" s="562"/>
      <c r="M141" s="562"/>
      <c r="N141" s="562"/>
      <c r="O141" s="562"/>
      <c r="P141" s="562"/>
      <c r="Q141" s="562"/>
      <c r="R141" s="562"/>
      <c r="S141" s="562"/>
      <c r="T141" s="562"/>
      <c r="U141" s="562"/>
      <c r="V141" s="562"/>
      <c r="W141" s="562"/>
      <c r="X141" s="562"/>
      <c r="Y141" s="562"/>
      <c r="Z141" s="562"/>
    </row>
    <row r="142">
      <c r="H142" s="561"/>
      <c r="I142" s="562"/>
      <c r="J142" s="562"/>
      <c r="K142" s="562"/>
      <c r="L142" s="562"/>
      <c r="M142" s="562"/>
      <c r="N142" s="562"/>
      <c r="O142" s="562"/>
      <c r="P142" s="562"/>
      <c r="Q142" s="562"/>
      <c r="R142" s="562"/>
      <c r="S142" s="562"/>
      <c r="T142" s="562"/>
      <c r="U142" s="562"/>
      <c r="V142" s="562"/>
      <c r="W142" s="562"/>
      <c r="X142" s="562"/>
      <c r="Y142" s="562"/>
      <c r="Z142" s="562"/>
    </row>
    <row r="143">
      <c r="H143" s="561"/>
      <c r="I143" s="562"/>
      <c r="J143" s="562"/>
      <c r="K143" s="562"/>
      <c r="L143" s="562"/>
      <c r="M143" s="562"/>
      <c r="N143" s="562"/>
      <c r="O143" s="562"/>
      <c r="P143" s="562"/>
      <c r="Q143" s="562"/>
      <c r="R143" s="562"/>
      <c r="S143" s="562"/>
      <c r="T143" s="562"/>
      <c r="U143" s="562"/>
      <c r="V143" s="562"/>
      <c r="W143" s="562"/>
      <c r="X143" s="562"/>
      <c r="Y143" s="562"/>
      <c r="Z143" s="562"/>
    </row>
    <row r="144">
      <c r="H144" s="561"/>
      <c r="I144" s="562"/>
      <c r="J144" s="562"/>
      <c r="K144" s="562"/>
      <c r="L144" s="562"/>
      <c r="M144" s="562"/>
      <c r="N144" s="562"/>
      <c r="O144" s="562"/>
      <c r="P144" s="562"/>
      <c r="Q144" s="562"/>
      <c r="R144" s="562"/>
      <c r="S144" s="562"/>
      <c r="T144" s="562"/>
      <c r="U144" s="562"/>
      <c r="V144" s="562"/>
      <c r="W144" s="562"/>
      <c r="X144" s="562"/>
      <c r="Y144" s="562"/>
      <c r="Z144" s="562"/>
    </row>
    <row r="145">
      <c r="H145" s="561"/>
      <c r="I145" s="562"/>
      <c r="J145" s="562"/>
      <c r="K145" s="562"/>
      <c r="L145" s="562"/>
      <c r="M145" s="562"/>
      <c r="N145" s="562"/>
      <c r="O145" s="562"/>
      <c r="P145" s="562"/>
      <c r="Q145" s="562"/>
      <c r="R145" s="562"/>
      <c r="S145" s="562"/>
      <c r="T145" s="562"/>
      <c r="U145" s="562"/>
      <c r="V145" s="562"/>
      <c r="W145" s="562"/>
      <c r="X145" s="562"/>
      <c r="Y145" s="562"/>
      <c r="Z145" s="562"/>
    </row>
    <row r="146">
      <c r="H146" s="561"/>
      <c r="I146" s="562"/>
      <c r="J146" s="562"/>
      <c r="K146" s="562"/>
      <c r="L146" s="562"/>
      <c r="M146" s="562"/>
      <c r="N146" s="562"/>
      <c r="O146" s="562"/>
      <c r="P146" s="562"/>
      <c r="Q146" s="562"/>
      <c r="R146" s="562"/>
      <c r="S146" s="562"/>
      <c r="T146" s="562"/>
      <c r="U146" s="562"/>
      <c r="V146" s="562"/>
      <c r="W146" s="562"/>
      <c r="X146" s="562"/>
      <c r="Y146" s="562"/>
      <c r="Z146" s="562"/>
    </row>
    <row r="147">
      <c r="H147" s="561"/>
      <c r="I147" s="562"/>
      <c r="J147" s="562"/>
      <c r="K147" s="562"/>
      <c r="L147" s="562"/>
      <c r="M147" s="562"/>
      <c r="N147" s="562"/>
      <c r="O147" s="562"/>
      <c r="P147" s="562"/>
      <c r="Q147" s="562"/>
      <c r="R147" s="562"/>
      <c r="S147" s="562"/>
      <c r="T147" s="562"/>
      <c r="U147" s="562"/>
      <c r="V147" s="562"/>
      <c r="W147" s="562"/>
      <c r="X147" s="562"/>
      <c r="Y147" s="562"/>
      <c r="Z147" s="562"/>
    </row>
    <row r="148">
      <c r="H148" s="561"/>
      <c r="I148" s="562"/>
      <c r="J148" s="562"/>
      <c r="K148" s="562"/>
      <c r="L148" s="562"/>
      <c r="M148" s="562"/>
      <c r="N148" s="562"/>
      <c r="O148" s="562"/>
      <c r="P148" s="562"/>
      <c r="Q148" s="562"/>
      <c r="R148" s="562"/>
      <c r="S148" s="562"/>
      <c r="T148" s="562"/>
      <c r="U148" s="562"/>
      <c r="V148" s="562"/>
      <c r="W148" s="562"/>
      <c r="X148" s="562"/>
      <c r="Y148" s="562"/>
      <c r="Z148" s="562"/>
    </row>
    <row r="149">
      <c r="H149" s="561"/>
      <c r="I149" s="562"/>
      <c r="J149" s="562"/>
      <c r="K149" s="562"/>
      <c r="L149" s="562"/>
      <c r="M149" s="562"/>
      <c r="N149" s="562"/>
      <c r="O149" s="562"/>
      <c r="P149" s="562"/>
      <c r="Q149" s="562"/>
      <c r="R149" s="562"/>
      <c r="S149" s="562"/>
      <c r="T149" s="562"/>
      <c r="U149" s="562"/>
      <c r="V149" s="562"/>
      <c r="W149" s="562"/>
      <c r="X149" s="562"/>
      <c r="Y149" s="562"/>
      <c r="Z149" s="562"/>
    </row>
    <row r="151">
      <c r="H151" s="561"/>
      <c r="I151" s="421"/>
      <c r="J151" s="421"/>
      <c r="K151" s="421"/>
      <c r="L151" s="421"/>
      <c r="M151" s="421"/>
      <c r="N151" s="421"/>
      <c r="O151" s="421"/>
      <c r="P151" s="421"/>
      <c r="Q151" s="421"/>
      <c r="R151" s="544"/>
      <c r="S151" s="545"/>
      <c r="T151" s="545"/>
      <c r="U151" s="545"/>
      <c r="V151" s="545"/>
    </row>
    <row r="152">
      <c r="H152" s="563"/>
      <c r="I152" s="421"/>
      <c r="J152" s="421"/>
      <c r="K152" s="421"/>
      <c r="L152" s="421"/>
      <c r="M152" s="421"/>
      <c r="N152" s="421"/>
      <c r="O152" s="421"/>
      <c r="P152" s="421"/>
      <c r="Q152" s="421"/>
      <c r="R152" s="421"/>
    </row>
    <row r="153">
      <c r="H153" s="561"/>
      <c r="I153" s="562"/>
      <c r="J153" s="562"/>
      <c r="K153" s="562"/>
      <c r="L153" s="562"/>
      <c r="M153" s="562"/>
      <c r="N153" s="562"/>
      <c r="O153" s="562"/>
      <c r="P153" s="562"/>
      <c r="Q153" s="562"/>
      <c r="R153" s="562"/>
    </row>
    <row r="154">
      <c r="H154" s="561"/>
      <c r="I154" s="562"/>
      <c r="J154" s="562"/>
      <c r="K154" s="562"/>
      <c r="L154" s="562"/>
      <c r="M154" s="562"/>
      <c r="N154" s="562"/>
      <c r="O154" s="562"/>
      <c r="P154" s="562"/>
      <c r="Q154" s="562"/>
      <c r="R154" s="562"/>
    </row>
    <row r="155">
      <c r="H155" s="561"/>
      <c r="I155" s="562"/>
      <c r="J155" s="562"/>
      <c r="K155" s="562"/>
      <c r="L155" s="562"/>
      <c r="M155" s="562"/>
      <c r="N155" s="562"/>
      <c r="O155" s="562"/>
      <c r="P155" s="562"/>
      <c r="Q155" s="562"/>
      <c r="R155" s="562"/>
    </row>
    <row r="156">
      <c r="H156" s="561"/>
      <c r="I156" s="562"/>
      <c r="J156" s="562"/>
      <c r="K156" s="562"/>
      <c r="L156" s="562"/>
      <c r="M156" s="562"/>
      <c r="N156" s="562"/>
      <c r="O156" s="562"/>
      <c r="P156" s="562"/>
      <c r="Q156" s="562"/>
      <c r="R156" s="562"/>
    </row>
    <row r="157">
      <c r="H157" s="561"/>
      <c r="I157" s="562"/>
      <c r="J157" s="562"/>
      <c r="K157" s="562"/>
      <c r="L157" s="562"/>
      <c r="M157" s="562"/>
      <c r="N157" s="562"/>
      <c r="O157" s="562"/>
      <c r="P157" s="562"/>
      <c r="Q157" s="562"/>
      <c r="R157" s="562"/>
    </row>
    <row r="158">
      <c r="H158" s="561"/>
      <c r="I158" s="562"/>
      <c r="J158" s="562"/>
      <c r="K158" s="562"/>
      <c r="L158" s="562"/>
      <c r="M158" s="562"/>
      <c r="N158" s="562"/>
      <c r="O158" s="562"/>
      <c r="P158" s="562"/>
      <c r="Q158" s="562"/>
      <c r="R158" s="562"/>
    </row>
    <row r="159">
      <c r="H159" s="561"/>
      <c r="I159" s="562"/>
      <c r="J159" s="562"/>
      <c r="K159" s="562"/>
      <c r="L159" s="562"/>
      <c r="M159" s="562"/>
      <c r="N159" s="562"/>
      <c r="O159" s="562"/>
      <c r="P159" s="562"/>
      <c r="Q159" s="562"/>
      <c r="R159" s="562"/>
    </row>
    <row r="160">
      <c r="H160" s="561"/>
      <c r="I160" s="562"/>
      <c r="J160" s="562"/>
      <c r="K160" s="562"/>
      <c r="L160" s="562"/>
      <c r="M160" s="562"/>
      <c r="N160" s="562"/>
      <c r="O160" s="562"/>
      <c r="P160" s="562"/>
      <c r="Q160" s="562"/>
      <c r="R160" s="562"/>
    </row>
    <row r="161">
      <c r="H161" s="561"/>
      <c r="I161" s="562"/>
      <c r="J161" s="562"/>
      <c r="K161" s="562"/>
      <c r="L161" s="562"/>
      <c r="M161" s="562"/>
      <c r="N161" s="562"/>
      <c r="O161" s="562"/>
      <c r="P161" s="562"/>
      <c r="Q161" s="562"/>
      <c r="R161" s="562"/>
    </row>
    <row r="162">
      <c r="H162" s="561"/>
      <c r="I162" s="562"/>
      <c r="J162" s="562"/>
      <c r="K162" s="562"/>
      <c r="L162" s="562"/>
      <c r="M162" s="562"/>
      <c r="N162" s="562"/>
      <c r="O162" s="562"/>
      <c r="P162" s="562"/>
      <c r="Q162" s="562"/>
      <c r="R162" s="562"/>
    </row>
    <row r="163">
      <c r="H163" s="561"/>
      <c r="I163" s="562"/>
      <c r="J163" s="562"/>
      <c r="K163" s="562"/>
      <c r="L163" s="562"/>
      <c r="M163" s="562"/>
      <c r="N163" s="562"/>
      <c r="O163" s="562"/>
      <c r="P163" s="562"/>
      <c r="Q163" s="562"/>
      <c r="R163" s="562"/>
    </row>
    <row r="164">
      <c r="H164" s="561"/>
      <c r="I164" s="562"/>
      <c r="J164" s="562"/>
      <c r="K164" s="562"/>
      <c r="L164" s="562"/>
      <c r="M164" s="562"/>
      <c r="N164" s="562"/>
      <c r="O164" s="562"/>
      <c r="P164" s="562"/>
      <c r="Q164" s="562"/>
      <c r="R164" s="562"/>
    </row>
    <row r="165">
      <c r="H165" s="561"/>
      <c r="I165" s="562"/>
      <c r="J165" s="562"/>
      <c r="K165" s="562"/>
      <c r="L165" s="562"/>
      <c r="M165" s="562"/>
      <c r="N165" s="562"/>
      <c r="O165" s="562"/>
      <c r="P165" s="562"/>
      <c r="Q165" s="562"/>
      <c r="R165" s="562"/>
    </row>
    <row r="166">
      <c r="H166" s="561"/>
      <c r="I166" s="562"/>
      <c r="J166" s="562"/>
      <c r="K166" s="562"/>
      <c r="L166" s="562"/>
      <c r="M166" s="562"/>
      <c r="N166" s="562"/>
      <c r="O166" s="562"/>
      <c r="P166" s="562"/>
      <c r="Q166" s="562"/>
      <c r="R166" s="562"/>
    </row>
    <row r="167">
      <c r="H167" s="561"/>
      <c r="I167" s="562"/>
      <c r="J167" s="562"/>
      <c r="K167" s="562"/>
      <c r="L167" s="562"/>
      <c r="M167" s="562"/>
      <c r="N167" s="562"/>
      <c r="O167" s="562"/>
      <c r="P167" s="562"/>
      <c r="Q167" s="562"/>
      <c r="R167" s="562"/>
    </row>
    <row r="168">
      <c r="H168" s="561"/>
      <c r="I168" s="562"/>
      <c r="J168" s="562"/>
      <c r="K168" s="562"/>
      <c r="L168" s="562"/>
      <c r="M168" s="562"/>
      <c r="N168" s="562"/>
      <c r="O168" s="562"/>
      <c r="P168" s="562"/>
      <c r="Q168" s="562"/>
      <c r="R168" s="562"/>
    </row>
    <row r="169">
      <c r="H169" s="561"/>
      <c r="I169" s="562"/>
      <c r="J169" s="562"/>
      <c r="K169" s="562"/>
      <c r="L169" s="562"/>
      <c r="M169" s="562"/>
      <c r="N169" s="562"/>
      <c r="O169" s="562"/>
      <c r="P169" s="562"/>
      <c r="Q169" s="562"/>
      <c r="R169" s="562"/>
    </row>
    <row r="170">
      <c r="H170" s="561"/>
      <c r="I170" s="562"/>
      <c r="J170" s="562"/>
      <c r="K170" s="562"/>
      <c r="L170" s="562"/>
      <c r="M170" s="562"/>
      <c r="N170" s="562"/>
      <c r="O170" s="562"/>
      <c r="P170" s="562"/>
      <c r="Q170" s="562"/>
      <c r="R170" s="562"/>
    </row>
    <row r="173">
      <c r="A173" s="275" t="s">
        <v>792</v>
      </c>
      <c r="B173" s="276"/>
      <c r="C173" s="276"/>
      <c r="D173" s="276"/>
      <c r="E173" s="275"/>
      <c r="F173" s="275"/>
      <c r="G173" s="275" t="s">
        <v>765</v>
      </c>
      <c r="H173" s="540" t="s">
        <v>2391</v>
      </c>
      <c r="I173" s="276"/>
      <c r="J173" s="276"/>
      <c r="K173" s="275" t="s">
        <v>767</v>
      </c>
      <c r="L173" s="277">
        <v>45448.0</v>
      </c>
      <c r="M173" s="275" t="s">
        <v>769</v>
      </c>
      <c r="N173" s="277">
        <v>45397.0</v>
      </c>
      <c r="O173" s="276"/>
    </row>
    <row r="175">
      <c r="A175" s="548"/>
      <c r="B175" s="351" t="s">
        <v>2392</v>
      </c>
    </row>
    <row r="176">
      <c r="A176" s="578" t="s">
        <v>172</v>
      </c>
      <c r="B176" s="578" t="s">
        <v>2393</v>
      </c>
    </row>
    <row r="177">
      <c r="A177" s="578" t="s">
        <v>386</v>
      </c>
      <c r="B177" s="578">
        <v>45.0</v>
      </c>
    </row>
    <row r="178">
      <c r="A178" s="582" t="s">
        <v>389</v>
      </c>
      <c r="B178" s="582">
        <v>32.0</v>
      </c>
    </row>
    <row r="179">
      <c r="A179" s="582" t="s">
        <v>392</v>
      </c>
      <c r="B179" s="582" t="s">
        <v>2394</v>
      </c>
    </row>
    <row r="180">
      <c r="A180" s="582" t="s">
        <v>395</v>
      </c>
      <c r="B180" s="582" t="s">
        <v>2394</v>
      </c>
    </row>
    <row r="181">
      <c r="A181" s="582" t="s">
        <v>397</v>
      </c>
      <c r="B181" s="582" t="s">
        <v>2394</v>
      </c>
    </row>
    <row r="182">
      <c r="A182" s="578" t="s">
        <v>400</v>
      </c>
      <c r="B182" s="578" t="s">
        <v>2394</v>
      </c>
    </row>
    <row r="183">
      <c r="A183" s="578" t="s">
        <v>408</v>
      </c>
      <c r="B183" s="578">
        <v>77.0</v>
      </c>
    </row>
    <row r="184">
      <c r="A184" s="578" t="s">
        <v>412</v>
      </c>
      <c r="B184" s="578" t="s">
        <v>2394</v>
      </c>
    </row>
    <row r="185">
      <c r="A185" s="578" t="s">
        <v>415</v>
      </c>
      <c r="B185" s="578">
        <v>63.0</v>
      </c>
    </row>
    <row r="186">
      <c r="A186" s="578" t="s">
        <v>414</v>
      </c>
      <c r="B186" s="578" t="s">
        <v>2394</v>
      </c>
    </row>
    <row r="187">
      <c r="A187" s="578" t="s">
        <v>416</v>
      </c>
      <c r="B187" s="578" t="s">
        <v>2394</v>
      </c>
    </row>
    <row r="188">
      <c r="A188" s="578" t="s">
        <v>417</v>
      </c>
      <c r="B188" s="578" t="s">
        <v>2394</v>
      </c>
    </row>
    <row r="189">
      <c r="A189" s="578" t="s">
        <v>143</v>
      </c>
      <c r="B189" s="578">
        <v>32.0</v>
      </c>
    </row>
    <row r="190">
      <c r="A190" s="578" t="s">
        <v>431</v>
      </c>
      <c r="B190" s="578">
        <v>22.0</v>
      </c>
    </row>
    <row r="191">
      <c r="A191" s="578" t="s">
        <v>432</v>
      </c>
      <c r="B191" s="578" t="s">
        <v>2394</v>
      </c>
    </row>
    <row r="192">
      <c r="A192" s="578" t="s">
        <v>434</v>
      </c>
      <c r="B192" s="578">
        <v>27.0</v>
      </c>
    </row>
    <row r="193">
      <c r="A193" s="578" t="s">
        <v>439</v>
      </c>
      <c r="B193" s="578" t="s">
        <v>2394</v>
      </c>
    </row>
    <row r="194">
      <c r="A194" s="578" t="s">
        <v>440</v>
      </c>
      <c r="B194" s="578" t="s">
        <v>2394</v>
      </c>
    </row>
    <row r="195">
      <c r="A195" s="578" t="s">
        <v>158</v>
      </c>
      <c r="B195" s="578" t="s">
        <v>2394</v>
      </c>
    </row>
    <row r="196">
      <c r="A196" s="578" t="s">
        <v>441</v>
      </c>
      <c r="B196" s="578" t="s">
        <v>2394</v>
      </c>
    </row>
    <row r="197">
      <c r="A197" s="578" t="s">
        <v>450</v>
      </c>
      <c r="B197" s="578">
        <v>18.0</v>
      </c>
    </row>
    <row r="198">
      <c r="A198" s="578" t="s">
        <v>451</v>
      </c>
      <c r="B198" s="578" t="s">
        <v>2394</v>
      </c>
    </row>
    <row r="199">
      <c r="A199" s="578" t="s">
        <v>453</v>
      </c>
      <c r="B199" s="578" t="s">
        <v>2394</v>
      </c>
    </row>
    <row r="200">
      <c r="A200" s="578" t="s">
        <v>454</v>
      </c>
      <c r="B200" s="578" t="s">
        <v>2394</v>
      </c>
    </row>
    <row r="201">
      <c r="A201" s="578" t="s">
        <v>463</v>
      </c>
      <c r="B201" s="578">
        <v>26.0</v>
      </c>
    </row>
    <row r="202">
      <c r="A202" s="578" t="s">
        <v>2395</v>
      </c>
      <c r="B202" s="578">
        <v>393.0</v>
      </c>
    </row>
    <row r="205">
      <c r="A205" s="275" t="s">
        <v>2396</v>
      </c>
      <c r="B205" s="276"/>
      <c r="C205" s="276"/>
      <c r="D205" s="276"/>
      <c r="E205" s="275"/>
      <c r="F205" s="275"/>
      <c r="G205" s="275" t="s">
        <v>765</v>
      </c>
      <c r="H205" s="540" t="s">
        <v>2391</v>
      </c>
      <c r="I205" s="276"/>
      <c r="J205" s="276"/>
      <c r="K205" s="275" t="s">
        <v>767</v>
      </c>
      <c r="L205" s="277">
        <v>45448.0</v>
      </c>
      <c r="M205" s="275" t="s">
        <v>769</v>
      </c>
      <c r="N205" s="277">
        <v>45397.0</v>
      </c>
      <c r="O205" s="276"/>
    </row>
    <row r="207">
      <c r="A207" s="351" t="s">
        <v>2397</v>
      </c>
      <c r="B207" s="351" t="s">
        <v>2393</v>
      </c>
    </row>
    <row r="208">
      <c r="A208" s="351" t="s">
        <v>386</v>
      </c>
      <c r="B208" s="351">
        <v>67.0</v>
      </c>
    </row>
    <row r="209">
      <c r="A209" s="351" t="s">
        <v>388</v>
      </c>
      <c r="B209" s="351" t="s">
        <v>2394</v>
      </c>
    </row>
    <row r="210">
      <c r="A210" s="351" t="s">
        <v>389</v>
      </c>
      <c r="B210" s="351">
        <v>139.0</v>
      </c>
    </row>
    <row r="211">
      <c r="A211" s="351" t="s">
        <v>392</v>
      </c>
      <c r="B211" s="351" t="s">
        <v>2394</v>
      </c>
    </row>
    <row r="212">
      <c r="A212" s="351" t="s">
        <v>394</v>
      </c>
      <c r="B212" s="351" t="s">
        <v>2394</v>
      </c>
    </row>
    <row r="213">
      <c r="A213" s="351" t="s">
        <v>395</v>
      </c>
      <c r="B213" s="351">
        <v>24.0</v>
      </c>
    </row>
    <row r="214">
      <c r="A214" s="351" t="s">
        <v>396</v>
      </c>
      <c r="B214" s="351" t="s">
        <v>2394</v>
      </c>
    </row>
    <row r="215">
      <c r="A215" s="351" t="s">
        <v>397</v>
      </c>
      <c r="B215" s="351" t="s">
        <v>2394</v>
      </c>
    </row>
    <row r="216">
      <c r="A216" s="351" t="s">
        <v>400</v>
      </c>
      <c r="B216" s="351" t="s">
        <v>2394</v>
      </c>
    </row>
    <row r="217">
      <c r="A217" s="351" t="s">
        <v>402</v>
      </c>
      <c r="B217" s="351" t="s">
        <v>2394</v>
      </c>
    </row>
    <row r="218">
      <c r="A218" s="351" t="s">
        <v>403</v>
      </c>
      <c r="B218" s="351" t="s">
        <v>2394</v>
      </c>
    </row>
    <row r="219">
      <c r="A219" s="351" t="s">
        <v>404</v>
      </c>
      <c r="B219" s="351" t="s">
        <v>2394</v>
      </c>
    </row>
    <row r="220">
      <c r="A220" s="351" t="s">
        <v>407</v>
      </c>
      <c r="B220" s="351">
        <v>29.0</v>
      </c>
    </row>
    <row r="221">
      <c r="A221" s="351" t="s">
        <v>408</v>
      </c>
      <c r="B221" s="351">
        <v>161.0</v>
      </c>
    </row>
    <row r="222">
      <c r="A222" s="351" t="s">
        <v>412</v>
      </c>
      <c r="B222" s="351">
        <v>25.0</v>
      </c>
    </row>
    <row r="223">
      <c r="A223" s="351" t="s">
        <v>413</v>
      </c>
      <c r="B223" s="351" t="s">
        <v>2394</v>
      </c>
    </row>
    <row r="224">
      <c r="A224" s="351" t="s">
        <v>415</v>
      </c>
      <c r="B224" s="351">
        <v>60.0</v>
      </c>
    </row>
    <row r="225">
      <c r="A225" s="351" t="s">
        <v>414</v>
      </c>
      <c r="B225" s="351" t="s">
        <v>2394</v>
      </c>
    </row>
    <row r="226">
      <c r="A226" s="351" t="s">
        <v>416</v>
      </c>
      <c r="B226" s="351">
        <v>11.0</v>
      </c>
    </row>
    <row r="227">
      <c r="A227" s="351" t="s">
        <v>417</v>
      </c>
      <c r="B227" s="351" t="s">
        <v>2394</v>
      </c>
    </row>
    <row r="228">
      <c r="A228" s="351" t="s">
        <v>421</v>
      </c>
      <c r="B228" s="351" t="s">
        <v>2394</v>
      </c>
    </row>
    <row r="229">
      <c r="A229" s="351" t="s">
        <v>422</v>
      </c>
      <c r="B229" s="351" t="s">
        <v>2394</v>
      </c>
    </row>
    <row r="230">
      <c r="A230" s="351" t="s">
        <v>425</v>
      </c>
      <c r="B230" s="351" t="s">
        <v>2394</v>
      </c>
    </row>
    <row r="231">
      <c r="A231" s="351" t="s">
        <v>143</v>
      </c>
      <c r="B231" s="351">
        <v>70.0</v>
      </c>
    </row>
    <row r="232">
      <c r="A232" s="351" t="s">
        <v>428</v>
      </c>
      <c r="B232" s="351" t="s">
        <v>2394</v>
      </c>
    </row>
    <row r="233">
      <c r="A233" s="351" t="s">
        <v>429</v>
      </c>
      <c r="B233" s="351" t="s">
        <v>2394</v>
      </c>
    </row>
    <row r="234">
      <c r="A234" s="351" t="s">
        <v>431</v>
      </c>
      <c r="B234" s="351">
        <v>20.0</v>
      </c>
    </row>
    <row r="235">
      <c r="A235" s="351" t="s">
        <v>432</v>
      </c>
      <c r="B235" s="351" t="s">
        <v>2394</v>
      </c>
    </row>
    <row r="236">
      <c r="A236" s="351" t="s">
        <v>293</v>
      </c>
      <c r="B236" s="351" t="s">
        <v>2394</v>
      </c>
    </row>
    <row r="237">
      <c r="A237" s="351" t="s">
        <v>434</v>
      </c>
      <c r="B237" s="351">
        <v>20.0</v>
      </c>
    </row>
    <row r="238">
      <c r="A238" s="351" t="s">
        <v>439</v>
      </c>
      <c r="B238" s="351" t="s">
        <v>2394</v>
      </c>
    </row>
    <row r="239">
      <c r="A239" s="351" t="s">
        <v>440</v>
      </c>
      <c r="B239" s="351">
        <v>13.0</v>
      </c>
    </row>
    <row r="240">
      <c r="A240" s="351" t="s">
        <v>158</v>
      </c>
      <c r="B240" s="351" t="s">
        <v>2394</v>
      </c>
    </row>
    <row r="241">
      <c r="A241" s="351" t="s">
        <v>441</v>
      </c>
      <c r="B241" s="351" t="s">
        <v>2394</v>
      </c>
    </row>
    <row r="242">
      <c r="A242" s="351" t="s">
        <v>445</v>
      </c>
      <c r="B242" s="351" t="s">
        <v>2394</v>
      </c>
    </row>
    <row r="243">
      <c r="A243" s="351" t="s">
        <v>450</v>
      </c>
      <c r="B243" s="351">
        <v>20.0</v>
      </c>
    </row>
    <row r="244">
      <c r="A244" s="351" t="s">
        <v>451</v>
      </c>
      <c r="B244" s="351" t="s">
        <v>2394</v>
      </c>
    </row>
    <row r="245">
      <c r="A245" s="351" t="s">
        <v>453</v>
      </c>
      <c r="B245" s="351" t="s">
        <v>2394</v>
      </c>
    </row>
    <row r="246">
      <c r="A246" s="351" t="s">
        <v>454</v>
      </c>
      <c r="B246" s="351" t="s">
        <v>2394</v>
      </c>
    </row>
    <row r="247">
      <c r="A247" s="351" t="s">
        <v>455</v>
      </c>
      <c r="B247" s="351" t="s">
        <v>2394</v>
      </c>
    </row>
    <row r="248">
      <c r="A248" s="351" t="s">
        <v>458</v>
      </c>
      <c r="B248" s="351" t="s">
        <v>2394</v>
      </c>
    </row>
    <row r="249">
      <c r="A249" s="351" t="s">
        <v>462</v>
      </c>
      <c r="B249" s="351" t="s">
        <v>2394</v>
      </c>
    </row>
    <row r="250">
      <c r="A250" s="351" t="s">
        <v>463</v>
      </c>
      <c r="B250" s="351">
        <v>11.0</v>
      </c>
    </row>
    <row r="251">
      <c r="A251" s="351" t="s">
        <v>2395</v>
      </c>
      <c r="B251" s="351">
        <v>759.0</v>
      </c>
    </row>
    <row r="253">
      <c r="A253" s="275" t="s">
        <v>2413</v>
      </c>
      <c r="B253" s="276"/>
      <c r="C253" s="276"/>
      <c r="D253" s="276"/>
      <c r="E253" s="275"/>
      <c r="F253" s="275"/>
      <c r="G253" s="275" t="s">
        <v>765</v>
      </c>
      <c r="H253" s="540" t="s">
        <v>2391</v>
      </c>
      <c r="I253" s="276"/>
      <c r="J253" s="276"/>
      <c r="K253" s="275" t="s">
        <v>767</v>
      </c>
      <c r="L253" s="277">
        <v>45448.0</v>
      </c>
      <c r="M253" s="275" t="s">
        <v>769</v>
      </c>
      <c r="N253" s="277">
        <v>45394.0</v>
      </c>
      <c r="O253" s="276"/>
    </row>
    <row r="255">
      <c r="A255" s="351" t="s">
        <v>172</v>
      </c>
      <c r="B255" s="351" t="s">
        <v>2414</v>
      </c>
      <c r="G255" s="1" t="s">
        <v>2415</v>
      </c>
    </row>
    <row r="256">
      <c r="A256" s="351" t="s">
        <v>386</v>
      </c>
      <c r="B256" s="351">
        <v>337.0</v>
      </c>
    </row>
    <row r="257">
      <c r="A257" s="351" t="s">
        <v>388</v>
      </c>
      <c r="B257" s="351">
        <v>25.0</v>
      </c>
    </row>
    <row r="258">
      <c r="A258" s="351" t="s">
        <v>389</v>
      </c>
      <c r="B258" s="351">
        <v>482.0</v>
      </c>
    </row>
    <row r="259">
      <c r="A259" s="351" t="s">
        <v>390</v>
      </c>
      <c r="B259" s="351" t="s">
        <v>2394</v>
      </c>
    </row>
    <row r="260">
      <c r="A260" s="351" t="s">
        <v>392</v>
      </c>
      <c r="B260" s="351" t="s">
        <v>2394</v>
      </c>
    </row>
    <row r="261">
      <c r="A261" s="351" t="s">
        <v>394</v>
      </c>
      <c r="B261" s="351" t="s">
        <v>2394</v>
      </c>
    </row>
    <row r="262">
      <c r="A262" s="351" t="s">
        <v>395</v>
      </c>
      <c r="B262" s="351">
        <v>87.0</v>
      </c>
    </row>
    <row r="263">
      <c r="A263" s="351" t="s">
        <v>396</v>
      </c>
      <c r="B263" s="351">
        <v>24.0</v>
      </c>
    </row>
    <row r="264">
      <c r="A264" s="351" t="s">
        <v>397</v>
      </c>
      <c r="B264" s="351">
        <v>13.0</v>
      </c>
    </row>
    <row r="265">
      <c r="A265" s="351" t="s">
        <v>399</v>
      </c>
      <c r="B265" s="351" t="s">
        <v>2394</v>
      </c>
    </row>
    <row r="266">
      <c r="A266" s="351" t="s">
        <v>400</v>
      </c>
      <c r="B266" s="351" t="s">
        <v>2394</v>
      </c>
    </row>
    <row r="267">
      <c r="A267" s="351" t="s">
        <v>402</v>
      </c>
      <c r="B267" s="351" t="s">
        <v>2394</v>
      </c>
    </row>
    <row r="268">
      <c r="A268" s="351" t="s">
        <v>403</v>
      </c>
      <c r="B268" s="351">
        <v>12.0</v>
      </c>
    </row>
    <row r="269">
      <c r="A269" s="351" t="s">
        <v>404</v>
      </c>
      <c r="B269" s="351" t="s">
        <v>2394</v>
      </c>
    </row>
    <row r="270">
      <c r="A270" s="351" t="s">
        <v>406</v>
      </c>
      <c r="B270" s="351" t="s">
        <v>2394</v>
      </c>
    </row>
    <row r="271">
      <c r="A271" s="351" t="s">
        <v>407</v>
      </c>
      <c r="B271" s="351">
        <v>54.0</v>
      </c>
    </row>
    <row r="272">
      <c r="A272" s="351" t="s">
        <v>408</v>
      </c>
      <c r="B272" s="351">
        <v>400.0</v>
      </c>
    </row>
    <row r="273">
      <c r="A273" s="351" t="s">
        <v>411</v>
      </c>
      <c r="B273" s="351" t="s">
        <v>2394</v>
      </c>
    </row>
    <row r="274">
      <c r="A274" s="351" t="s">
        <v>412</v>
      </c>
      <c r="B274" s="351">
        <v>172.0</v>
      </c>
    </row>
    <row r="275">
      <c r="A275" s="351" t="s">
        <v>413</v>
      </c>
      <c r="B275" s="351" t="s">
        <v>2394</v>
      </c>
    </row>
    <row r="276">
      <c r="A276" s="351" t="s">
        <v>415</v>
      </c>
      <c r="B276" s="351">
        <v>496.0</v>
      </c>
    </row>
    <row r="277">
      <c r="A277" s="351" t="s">
        <v>414</v>
      </c>
      <c r="B277" s="351">
        <v>16.0</v>
      </c>
    </row>
    <row r="278">
      <c r="A278" s="351" t="s">
        <v>416</v>
      </c>
      <c r="B278" s="351">
        <v>34.0</v>
      </c>
    </row>
    <row r="279">
      <c r="A279" s="351" t="s">
        <v>417</v>
      </c>
      <c r="B279" s="351">
        <v>24.0</v>
      </c>
    </row>
    <row r="280">
      <c r="A280" s="351" t="s">
        <v>418</v>
      </c>
      <c r="B280" s="351" t="s">
        <v>2394</v>
      </c>
    </row>
    <row r="281">
      <c r="A281" s="351" t="s">
        <v>421</v>
      </c>
      <c r="B281" s="351" t="s">
        <v>2394</v>
      </c>
    </row>
    <row r="282">
      <c r="A282" s="351" t="s">
        <v>422</v>
      </c>
      <c r="B282" s="351" t="s">
        <v>2394</v>
      </c>
    </row>
    <row r="283">
      <c r="A283" s="351" t="s">
        <v>425</v>
      </c>
      <c r="B283" s="351" t="s">
        <v>2394</v>
      </c>
    </row>
    <row r="284">
      <c r="A284" s="351" t="s">
        <v>143</v>
      </c>
      <c r="B284" s="351">
        <v>324.0</v>
      </c>
    </row>
    <row r="285">
      <c r="A285" s="351" t="s">
        <v>427</v>
      </c>
      <c r="B285" s="351" t="s">
        <v>2394</v>
      </c>
    </row>
    <row r="286">
      <c r="A286" s="351" t="s">
        <v>428</v>
      </c>
      <c r="B286" s="351" t="s">
        <v>2394</v>
      </c>
    </row>
    <row r="287">
      <c r="A287" s="351" t="s">
        <v>429</v>
      </c>
      <c r="B287" s="351">
        <v>24.0</v>
      </c>
    </row>
    <row r="288">
      <c r="A288" s="351" t="s">
        <v>337</v>
      </c>
      <c r="B288" s="351" t="s">
        <v>2394</v>
      </c>
    </row>
    <row r="289">
      <c r="A289" s="351" t="s">
        <v>431</v>
      </c>
      <c r="B289" s="351">
        <v>207.0</v>
      </c>
    </row>
    <row r="290">
      <c r="A290" s="351" t="s">
        <v>432</v>
      </c>
      <c r="B290" s="351">
        <v>22.0</v>
      </c>
    </row>
    <row r="291">
      <c r="A291" s="351" t="s">
        <v>290</v>
      </c>
      <c r="B291" s="351" t="s">
        <v>2394</v>
      </c>
    </row>
    <row r="292">
      <c r="A292" s="351" t="s">
        <v>293</v>
      </c>
      <c r="B292" s="351">
        <v>25.0</v>
      </c>
    </row>
    <row r="293">
      <c r="A293" s="351" t="s">
        <v>434</v>
      </c>
      <c r="B293" s="351">
        <v>130.0</v>
      </c>
    </row>
    <row r="294">
      <c r="A294" s="351" t="s">
        <v>436</v>
      </c>
      <c r="B294" s="351">
        <v>13.0</v>
      </c>
    </row>
    <row r="295">
      <c r="A295" s="351" t="s">
        <v>439</v>
      </c>
      <c r="B295" s="351">
        <v>19.0</v>
      </c>
    </row>
    <row r="296">
      <c r="A296" s="351" t="s">
        <v>440</v>
      </c>
      <c r="B296" s="351">
        <v>89.0</v>
      </c>
    </row>
    <row r="297">
      <c r="A297" s="351" t="s">
        <v>158</v>
      </c>
      <c r="B297" s="351">
        <v>28.0</v>
      </c>
    </row>
    <row r="298">
      <c r="A298" s="351" t="s">
        <v>441</v>
      </c>
      <c r="B298" s="351">
        <v>15.0</v>
      </c>
    </row>
    <row r="299">
      <c r="A299" s="351" t="s">
        <v>444</v>
      </c>
      <c r="B299" s="351" t="s">
        <v>2394</v>
      </c>
    </row>
    <row r="300">
      <c r="A300" s="351" t="s">
        <v>445</v>
      </c>
      <c r="B300" s="351">
        <v>14.0</v>
      </c>
    </row>
    <row r="301">
      <c r="A301" s="351" t="s">
        <v>300</v>
      </c>
      <c r="B301" s="351" t="s">
        <v>2394</v>
      </c>
    </row>
    <row r="302">
      <c r="A302" s="351" t="s">
        <v>446</v>
      </c>
      <c r="B302" s="351" t="s">
        <v>2394</v>
      </c>
    </row>
    <row r="303">
      <c r="A303" s="351" t="s">
        <v>449</v>
      </c>
      <c r="B303" s="351" t="s">
        <v>2394</v>
      </c>
    </row>
    <row r="304">
      <c r="A304" s="351" t="s">
        <v>450</v>
      </c>
      <c r="B304" s="351">
        <v>120.0</v>
      </c>
    </row>
    <row r="305">
      <c r="A305" s="351" t="s">
        <v>451</v>
      </c>
      <c r="B305" s="351" t="s">
        <v>2394</v>
      </c>
    </row>
    <row r="306">
      <c r="A306" s="351" t="s">
        <v>453</v>
      </c>
      <c r="B306" s="351">
        <v>13.0</v>
      </c>
    </row>
    <row r="307">
      <c r="A307" s="351" t="s">
        <v>454</v>
      </c>
      <c r="B307" s="351" t="s">
        <v>2394</v>
      </c>
    </row>
    <row r="308">
      <c r="A308" s="351" t="s">
        <v>455</v>
      </c>
      <c r="B308" s="351" t="s">
        <v>2394</v>
      </c>
    </row>
    <row r="309">
      <c r="A309" s="351" t="s">
        <v>457</v>
      </c>
      <c r="B309" s="351" t="s">
        <v>2394</v>
      </c>
    </row>
    <row r="310">
      <c r="A310" s="351" t="s">
        <v>458</v>
      </c>
      <c r="B310" s="351" t="s">
        <v>2394</v>
      </c>
    </row>
    <row r="311">
      <c r="A311" s="351" t="s">
        <v>461</v>
      </c>
      <c r="B311" s="351" t="s">
        <v>2394</v>
      </c>
    </row>
    <row r="312">
      <c r="A312" s="351" t="s">
        <v>462</v>
      </c>
      <c r="B312" s="351" t="s">
        <v>2394</v>
      </c>
    </row>
    <row r="313">
      <c r="A313" s="351" t="s">
        <v>119</v>
      </c>
      <c r="B313" s="351" t="s">
        <v>2394</v>
      </c>
    </row>
    <row r="314">
      <c r="A314" s="351" t="s">
        <v>463</v>
      </c>
      <c r="B314" s="351">
        <v>232.0</v>
      </c>
    </row>
    <row r="315">
      <c r="A315" s="351" t="s">
        <v>236</v>
      </c>
      <c r="B315" s="351" t="s">
        <v>2394</v>
      </c>
    </row>
    <row r="316">
      <c r="A316" s="351" t="s">
        <v>2</v>
      </c>
      <c r="B316" s="598">
        <v>3585.0</v>
      </c>
    </row>
    <row r="319">
      <c r="A319" s="275" t="s">
        <v>2416</v>
      </c>
      <c r="B319" s="276"/>
      <c r="C319" s="276"/>
      <c r="D319" s="276"/>
      <c r="E319" s="275"/>
      <c r="F319" s="275"/>
      <c r="G319" s="275" t="s">
        <v>765</v>
      </c>
      <c r="H319" s="540" t="s">
        <v>2391</v>
      </c>
      <c r="I319" s="276"/>
      <c r="J319" s="276"/>
      <c r="K319" s="275" t="s">
        <v>767</v>
      </c>
      <c r="L319" s="277">
        <v>45448.0</v>
      </c>
      <c r="M319" s="275" t="s">
        <v>769</v>
      </c>
      <c r="N319" s="277">
        <v>45394.0</v>
      </c>
      <c r="O319" s="276"/>
    </row>
    <row r="321">
      <c r="A321" s="351" t="s">
        <v>172</v>
      </c>
      <c r="B321" s="351" t="s">
        <v>2417</v>
      </c>
    </row>
    <row r="322">
      <c r="A322" s="351" t="s">
        <v>386</v>
      </c>
      <c r="B322" s="351">
        <v>3.0</v>
      </c>
    </row>
    <row r="323">
      <c r="A323" s="351" t="s">
        <v>388</v>
      </c>
      <c r="B323" s="351">
        <v>3.0</v>
      </c>
    </row>
    <row r="324">
      <c r="A324" s="351" t="s">
        <v>389</v>
      </c>
      <c r="B324" s="351">
        <v>3.0</v>
      </c>
    </row>
    <row r="325">
      <c r="A325" s="351" t="s">
        <v>390</v>
      </c>
      <c r="B325" s="351" t="s">
        <v>2418</v>
      </c>
    </row>
    <row r="326">
      <c r="A326" s="351" t="s">
        <v>394</v>
      </c>
      <c r="B326" s="351" t="s">
        <v>2418</v>
      </c>
    </row>
    <row r="327">
      <c r="A327" s="351" t="s">
        <v>395</v>
      </c>
      <c r="B327" s="351">
        <v>2.0</v>
      </c>
    </row>
    <row r="328">
      <c r="A328" s="351" t="s">
        <v>396</v>
      </c>
      <c r="B328" s="351">
        <v>2.0</v>
      </c>
    </row>
    <row r="329">
      <c r="A329" s="351" t="s">
        <v>397</v>
      </c>
      <c r="B329" s="351" t="s">
        <v>2418</v>
      </c>
    </row>
    <row r="330">
      <c r="A330" s="351" t="s">
        <v>399</v>
      </c>
      <c r="B330" s="351" t="s">
        <v>2418</v>
      </c>
    </row>
    <row r="331">
      <c r="A331" s="351" t="s">
        <v>402</v>
      </c>
      <c r="B331" s="351" t="s">
        <v>2418</v>
      </c>
    </row>
    <row r="332">
      <c r="A332" s="351" t="s">
        <v>404</v>
      </c>
      <c r="B332" s="351" t="s">
        <v>2418</v>
      </c>
    </row>
    <row r="333">
      <c r="A333" s="351" t="s">
        <v>406</v>
      </c>
      <c r="B333" s="351" t="s">
        <v>2418</v>
      </c>
    </row>
    <row r="334">
      <c r="A334" s="351" t="s">
        <v>407</v>
      </c>
      <c r="B334" s="351">
        <v>4.0</v>
      </c>
    </row>
    <row r="335">
      <c r="A335" s="351" t="s">
        <v>408</v>
      </c>
      <c r="B335" s="351">
        <v>3.0</v>
      </c>
    </row>
    <row r="336">
      <c r="A336" s="351" t="s">
        <v>412</v>
      </c>
      <c r="B336" s="351">
        <v>3.0</v>
      </c>
    </row>
    <row r="337">
      <c r="A337" s="351" t="s">
        <v>413</v>
      </c>
      <c r="B337" s="351" t="s">
        <v>2418</v>
      </c>
    </row>
    <row r="338">
      <c r="A338" s="351" t="s">
        <v>415</v>
      </c>
      <c r="B338" s="351">
        <v>4.0</v>
      </c>
    </row>
    <row r="339">
      <c r="A339" s="351" t="s">
        <v>414</v>
      </c>
      <c r="B339" s="351">
        <v>4.0</v>
      </c>
    </row>
    <row r="340">
      <c r="A340" s="351" t="s">
        <v>416</v>
      </c>
      <c r="B340" s="351">
        <v>3.0</v>
      </c>
    </row>
    <row r="341">
      <c r="A341" s="351" t="s">
        <v>417</v>
      </c>
      <c r="B341" s="351" t="s">
        <v>2418</v>
      </c>
    </row>
    <row r="342">
      <c r="A342" s="351" t="s">
        <v>418</v>
      </c>
      <c r="B342" s="351" t="s">
        <v>2418</v>
      </c>
    </row>
    <row r="343">
      <c r="A343" s="351" t="s">
        <v>421</v>
      </c>
      <c r="B343" s="351" t="s">
        <v>2418</v>
      </c>
    </row>
    <row r="344">
      <c r="A344" s="351" t="s">
        <v>422</v>
      </c>
      <c r="B344" s="351" t="s">
        <v>2418</v>
      </c>
    </row>
    <row r="345">
      <c r="A345" s="351" t="s">
        <v>425</v>
      </c>
      <c r="B345" s="351" t="s">
        <v>2418</v>
      </c>
    </row>
    <row r="346">
      <c r="A346" s="351" t="s">
        <v>143</v>
      </c>
      <c r="B346" s="351">
        <v>3.0</v>
      </c>
    </row>
    <row r="347">
      <c r="A347" s="351" t="s">
        <v>427</v>
      </c>
      <c r="B347" s="351" t="s">
        <v>2418</v>
      </c>
    </row>
    <row r="348">
      <c r="A348" s="351" t="s">
        <v>428</v>
      </c>
      <c r="B348" s="351" t="s">
        <v>2418</v>
      </c>
    </row>
    <row r="349">
      <c r="A349" s="351" t="s">
        <v>429</v>
      </c>
      <c r="B349" s="351">
        <v>3.0</v>
      </c>
    </row>
    <row r="350">
      <c r="A350" s="351" t="s">
        <v>337</v>
      </c>
      <c r="B350" s="351" t="s">
        <v>2418</v>
      </c>
    </row>
    <row r="351">
      <c r="A351" s="351" t="s">
        <v>431</v>
      </c>
      <c r="B351" s="351">
        <v>2.0</v>
      </c>
    </row>
    <row r="352">
      <c r="A352" s="351" t="s">
        <v>432</v>
      </c>
      <c r="B352" s="351" t="s">
        <v>2418</v>
      </c>
    </row>
    <row r="353">
      <c r="A353" s="351" t="s">
        <v>290</v>
      </c>
      <c r="B353" s="351" t="s">
        <v>2418</v>
      </c>
    </row>
    <row r="354">
      <c r="A354" s="351" t="s">
        <v>293</v>
      </c>
      <c r="B354" s="351">
        <v>3.0</v>
      </c>
    </row>
    <row r="355">
      <c r="A355" s="351" t="s">
        <v>434</v>
      </c>
      <c r="B355" s="351">
        <v>3.0</v>
      </c>
    </row>
    <row r="356">
      <c r="A356" s="351" t="s">
        <v>436</v>
      </c>
      <c r="B356" s="351" t="s">
        <v>2418</v>
      </c>
    </row>
    <row r="357">
      <c r="A357" s="351" t="s">
        <v>439</v>
      </c>
      <c r="B357" s="351" t="s">
        <v>2418</v>
      </c>
    </row>
    <row r="358">
      <c r="A358" s="351" t="s">
        <v>440</v>
      </c>
      <c r="B358" s="351">
        <v>4.0</v>
      </c>
    </row>
    <row r="359">
      <c r="A359" s="351" t="s">
        <v>158</v>
      </c>
      <c r="B359" s="351" t="s">
        <v>2418</v>
      </c>
    </row>
    <row r="360">
      <c r="A360" s="351" t="s">
        <v>441</v>
      </c>
      <c r="B360" s="351" t="s">
        <v>2418</v>
      </c>
    </row>
    <row r="361">
      <c r="A361" s="351" t="s">
        <v>444</v>
      </c>
      <c r="B361" s="351" t="s">
        <v>2418</v>
      </c>
    </row>
    <row r="362">
      <c r="A362" s="351" t="s">
        <v>445</v>
      </c>
      <c r="B362" s="351" t="s">
        <v>2418</v>
      </c>
    </row>
    <row r="363">
      <c r="A363" s="351" t="s">
        <v>300</v>
      </c>
      <c r="B363" s="351" t="s">
        <v>2418</v>
      </c>
    </row>
    <row r="364">
      <c r="A364" s="351" t="s">
        <v>446</v>
      </c>
      <c r="B364" s="351" t="s">
        <v>2418</v>
      </c>
    </row>
    <row r="365">
      <c r="A365" s="351" t="s">
        <v>449</v>
      </c>
      <c r="B365" s="351" t="s">
        <v>2418</v>
      </c>
    </row>
    <row r="366">
      <c r="A366" s="351" t="s">
        <v>450</v>
      </c>
      <c r="B366" s="351">
        <v>4.0</v>
      </c>
    </row>
    <row r="367">
      <c r="A367" s="351" t="s">
        <v>451</v>
      </c>
      <c r="B367" s="351" t="s">
        <v>2418</v>
      </c>
    </row>
    <row r="368">
      <c r="A368" s="351" t="s">
        <v>453</v>
      </c>
      <c r="B368" s="351" t="s">
        <v>2418</v>
      </c>
    </row>
    <row r="369">
      <c r="A369" s="351" t="s">
        <v>454</v>
      </c>
      <c r="B369" s="351" t="s">
        <v>2418</v>
      </c>
    </row>
    <row r="370">
      <c r="A370" s="351" t="s">
        <v>457</v>
      </c>
      <c r="B370" s="351" t="s">
        <v>2418</v>
      </c>
    </row>
    <row r="371">
      <c r="A371" s="351" t="s">
        <v>458</v>
      </c>
      <c r="B371" s="351" t="s">
        <v>2418</v>
      </c>
    </row>
    <row r="372">
      <c r="A372" s="351" t="s">
        <v>461</v>
      </c>
      <c r="B372" s="351" t="s">
        <v>2418</v>
      </c>
    </row>
    <row r="373">
      <c r="A373" s="351" t="s">
        <v>462</v>
      </c>
      <c r="B373" s="351" t="s">
        <v>2418</v>
      </c>
    </row>
    <row r="374">
      <c r="A374" s="351" t="s">
        <v>119</v>
      </c>
      <c r="B374" s="351" t="s">
        <v>2418</v>
      </c>
    </row>
    <row r="375">
      <c r="A375" s="351" t="s">
        <v>463</v>
      </c>
      <c r="B375" s="351">
        <v>3.0</v>
      </c>
    </row>
    <row r="376">
      <c r="A376" s="351" t="s">
        <v>236</v>
      </c>
      <c r="B376" s="351" t="s">
        <v>2418</v>
      </c>
    </row>
    <row r="378">
      <c r="A378" s="275" t="s">
        <v>2424</v>
      </c>
      <c r="B378" s="276"/>
      <c r="C378" s="276"/>
      <c r="D378" s="276"/>
      <c r="E378" s="275"/>
      <c r="F378" s="275"/>
      <c r="G378" s="275" t="s">
        <v>765</v>
      </c>
      <c r="H378" s="540" t="s">
        <v>2391</v>
      </c>
      <c r="I378" s="276"/>
      <c r="J378" s="276"/>
      <c r="K378" s="275" t="s">
        <v>767</v>
      </c>
      <c r="L378" s="277">
        <v>45448.0</v>
      </c>
      <c r="M378" s="275" t="s">
        <v>769</v>
      </c>
      <c r="N378" s="277">
        <v>45401.0</v>
      </c>
      <c r="O378" s="276"/>
    </row>
    <row r="380">
      <c r="A380" s="351" t="s">
        <v>172</v>
      </c>
      <c r="B380" s="351" t="s">
        <v>2425</v>
      </c>
    </row>
    <row r="381">
      <c r="A381" s="351" t="s">
        <v>386</v>
      </c>
      <c r="B381" s="351">
        <v>507.0</v>
      </c>
    </row>
    <row r="382">
      <c r="A382" s="351" t="s">
        <v>388</v>
      </c>
      <c r="B382" s="351">
        <v>30.0</v>
      </c>
    </row>
    <row r="383">
      <c r="A383" s="351" t="s">
        <v>389</v>
      </c>
      <c r="B383" s="351">
        <v>809.0</v>
      </c>
    </row>
    <row r="384">
      <c r="A384" s="351" t="s">
        <v>390</v>
      </c>
      <c r="B384" s="351">
        <v>19.0</v>
      </c>
    </row>
    <row r="385">
      <c r="A385" s="351" t="s">
        <v>392</v>
      </c>
      <c r="B385" s="351" t="s">
        <v>2394</v>
      </c>
    </row>
    <row r="386">
      <c r="A386" s="351" t="s">
        <v>394</v>
      </c>
      <c r="B386" s="351">
        <v>13.0</v>
      </c>
    </row>
    <row r="387">
      <c r="A387" s="351" t="s">
        <v>395</v>
      </c>
      <c r="B387" s="351">
        <v>171.0</v>
      </c>
    </row>
    <row r="388">
      <c r="A388" s="351" t="s">
        <v>396</v>
      </c>
      <c r="B388" s="351">
        <v>20.0</v>
      </c>
    </row>
    <row r="389">
      <c r="A389" s="351" t="s">
        <v>397</v>
      </c>
      <c r="B389" s="351">
        <v>28.0</v>
      </c>
    </row>
    <row r="390">
      <c r="A390" s="351" t="s">
        <v>399</v>
      </c>
      <c r="B390" s="351" t="s">
        <v>2394</v>
      </c>
    </row>
    <row r="391">
      <c r="A391" s="351" t="s">
        <v>400</v>
      </c>
      <c r="B391" s="351">
        <v>16.0</v>
      </c>
    </row>
    <row r="392">
      <c r="A392" s="351" t="s">
        <v>402</v>
      </c>
      <c r="B392" s="351">
        <v>13.0</v>
      </c>
    </row>
    <row r="393">
      <c r="A393" s="351" t="s">
        <v>403</v>
      </c>
      <c r="B393" s="351">
        <v>17.0</v>
      </c>
    </row>
    <row r="394">
      <c r="A394" s="351" t="s">
        <v>404</v>
      </c>
      <c r="B394" s="351" t="s">
        <v>2394</v>
      </c>
    </row>
    <row r="395">
      <c r="A395" s="351" t="s">
        <v>406</v>
      </c>
      <c r="B395" s="351" t="s">
        <v>2394</v>
      </c>
    </row>
    <row r="396">
      <c r="A396" s="351" t="s">
        <v>407</v>
      </c>
      <c r="B396" s="351">
        <v>62.0</v>
      </c>
    </row>
    <row r="397">
      <c r="A397" s="351" t="s">
        <v>408</v>
      </c>
      <c r="B397" s="351">
        <v>734.0</v>
      </c>
    </row>
    <row r="398">
      <c r="A398" s="351" t="s">
        <v>411</v>
      </c>
      <c r="B398" s="351" t="s">
        <v>2394</v>
      </c>
    </row>
    <row r="399">
      <c r="A399" s="351" t="s">
        <v>412</v>
      </c>
      <c r="B399" s="351">
        <v>236.0</v>
      </c>
    </row>
    <row r="400">
      <c r="A400" s="351" t="s">
        <v>413</v>
      </c>
      <c r="B400" s="351">
        <v>29.0</v>
      </c>
    </row>
    <row r="401">
      <c r="A401" s="351" t="s">
        <v>415</v>
      </c>
      <c r="B401" s="351">
        <v>879.0</v>
      </c>
    </row>
    <row r="402">
      <c r="A402" s="351" t="s">
        <v>414</v>
      </c>
      <c r="B402" s="351">
        <v>24.0</v>
      </c>
    </row>
    <row r="403">
      <c r="A403" s="351" t="s">
        <v>416</v>
      </c>
      <c r="B403" s="351">
        <v>100.0</v>
      </c>
    </row>
    <row r="404">
      <c r="A404" s="351" t="s">
        <v>417</v>
      </c>
      <c r="B404" s="351">
        <v>61.0</v>
      </c>
    </row>
    <row r="405">
      <c r="A405" s="351" t="s">
        <v>418</v>
      </c>
      <c r="B405" s="351" t="s">
        <v>2394</v>
      </c>
    </row>
    <row r="406">
      <c r="A406" s="351" t="s">
        <v>421</v>
      </c>
      <c r="B406" s="351" t="s">
        <v>2394</v>
      </c>
    </row>
    <row r="407">
      <c r="A407" s="351" t="s">
        <v>422</v>
      </c>
      <c r="B407" s="351">
        <v>13.0</v>
      </c>
    </row>
    <row r="408">
      <c r="A408" s="351" t="s">
        <v>425</v>
      </c>
      <c r="B408" s="351">
        <v>31.0</v>
      </c>
    </row>
    <row r="409">
      <c r="A409" s="351" t="s">
        <v>143</v>
      </c>
      <c r="B409" s="351">
        <v>377.0</v>
      </c>
    </row>
    <row r="410">
      <c r="A410" s="351" t="s">
        <v>427</v>
      </c>
      <c r="B410" s="351" t="s">
        <v>2394</v>
      </c>
    </row>
    <row r="411">
      <c r="A411" s="351" t="s">
        <v>428</v>
      </c>
      <c r="B411" s="351">
        <v>15.0</v>
      </c>
    </row>
    <row r="412">
      <c r="A412" s="351" t="s">
        <v>429</v>
      </c>
      <c r="B412" s="351">
        <v>65.0</v>
      </c>
    </row>
    <row r="413">
      <c r="A413" s="351" t="s">
        <v>337</v>
      </c>
      <c r="B413" s="351" t="s">
        <v>2394</v>
      </c>
    </row>
    <row r="414">
      <c r="A414" s="351" t="s">
        <v>431</v>
      </c>
      <c r="B414" s="351">
        <v>693.0</v>
      </c>
    </row>
    <row r="415">
      <c r="A415" s="351" t="s">
        <v>432</v>
      </c>
      <c r="B415" s="351">
        <v>28.0</v>
      </c>
    </row>
    <row r="416">
      <c r="A416" s="351" t="s">
        <v>290</v>
      </c>
      <c r="B416" s="351">
        <v>13.0</v>
      </c>
    </row>
    <row r="417">
      <c r="A417" s="351" t="s">
        <v>293</v>
      </c>
      <c r="B417" s="351">
        <v>33.0</v>
      </c>
    </row>
    <row r="418">
      <c r="A418" s="351" t="s">
        <v>434</v>
      </c>
      <c r="B418" s="351">
        <v>200.0</v>
      </c>
    </row>
    <row r="419">
      <c r="A419" s="351" t="s">
        <v>436</v>
      </c>
      <c r="B419" s="351">
        <v>18.0</v>
      </c>
    </row>
    <row r="420">
      <c r="A420" s="351" t="s">
        <v>439</v>
      </c>
      <c r="B420" s="351">
        <v>33.0</v>
      </c>
    </row>
    <row r="421">
      <c r="A421" s="351" t="s">
        <v>440</v>
      </c>
      <c r="B421" s="351">
        <v>73.0</v>
      </c>
    </row>
    <row r="422">
      <c r="A422" s="351" t="s">
        <v>158</v>
      </c>
      <c r="B422" s="351">
        <v>69.0</v>
      </c>
    </row>
    <row r="423">
      <c r="A423" s="351" t="s">
        <v>441</v>
      </c>
      <c r="B423" s="351">
        <v>24.0</v>
      </c>
    </row>
    <row r="424">
      <c r="A424" s="351" t="s">
        <v>444</v>
      </c>
      <c r="B424" s="351" t="s">
        <v>2394</v>
      </c>
    </row>
    <row r="425">
      <c r="A425" s="351" t="s">
        <v>445</v>
      </c>
      <c r="B425" s="351">
        <v>17.0</v>
      </c>
    </row>
    <row r="426">
      <c r="A426" s="351" t="s">
        <v>300</v>
      </c>
      <c r="B426" s="351" t="s">
        <v>2394</v>
      </c>
    </row>
    <row r="427">
      <c r="A427" s="351" t="s">
        <v>446</v>
      </c>
      <c r="B427" s="351" t="s">
        <v>2394</v>
      </c>
    </row>
    <row r="428">
      <c r="A428" s="351" t="s">
        <v>449</v>
      </c>
      <c r="B428" s="351">
        <v>14.0</v>
      </c>
    </row>
    <row r="429">
      <c r="A429" s="351" t="s">
        <v>450</v>
      </c>
      <c r="B429" s="351">
        <v>363.0</v>
      </c>
    </row>
    <row r="430">
      <c r="A430" s="351" t="s">
        <v>451</v>
      </c>
      <c r="B430" s="351" t="s">
        <v>2394</v>
      </c>
    </row>
    <row r="431">
      <c r="A431" s="351" t="s">
        <v>453</v>
      </c>
      <c r="B431" s="351">
        <v>25.0</v>
      </c>
    </row>
    <row r="432">
      <c r="A432" s="351" t="s">
        <v>454</v>
      </c>
      <c r="B432" s="351">
        <v>13.0</v>
      </c>
    </row>
    <row r="433">
      <c r="A433" s="351" t="s">
        <v>455</v>
      </c>
      <c r="B433" s="351">
        <v>14.0</v>
      </c>
    </row>
    <row r="434">
      <c r="A434" s="351" t="s">
        <v>458</v>
      </c>
      <c r="B434" s="351" t="s">
        <v>2394</v>
      </c>
    </row>
    <row r="435">
      <c r="A435" s="351" t="s">
        <v>459</v>
      </c>
      <c r="B435" s="351" t="s">
        <v>2394</v>
      </c>
    </row>
    <row r="436">
      <c r="A436" s="351" t="s">
        <v>461</v>
      </c>
      <c r="B436" s="351" t="s">
        <v>2394</v>
      </c>
    </row>
    <row r="437">
      <c r="A437" s="351" t="s">
        <v>462</v>
      </c>
      <c r="B437" s="351">
        <v>29.0</v>
      </c>
    </row>
    <row r="438">
      <c r="A438" s="351" t="s">
        <v>2426</v>
      </c>
      <c r="B438" s="351" t="s">
        <v>2394</v>
      </c>
    </row>
    <row r="439">
      <c r="A439" s="351" t="s">
        <v>119</v>
      </c>
      <c r="B439" s="351">
        <v>15.0</v>
      </c>
    </row>
    <row r="440">
      <c r="A440" s="351" t="s">
        <v>463</v>
      </c>
      <c r="B440" s="351">
        <v>426.0</v>
      </c>
    </row>
    <row r="441">
      <c r="A441" s="351" t="s">
        <v>236</v>
      </c>
      <c r="B441" s="351">
        <v>12.0</v>
      </c>
    </row>
    <row r="442">
      <c r="A442" s="351" t="s">
        <v>923</v>
      </c>
      <c r="B442" s="351">
        <v>6431.0</v>
      </c>
    </row>
    <row r="444">
      <c r="A444" s="275" t="s">
        <v>2428</v>
      </c>
      <c r="B444" s="276"/>
      <c r="C444" s="276"/>
      <c r="D444" s="276"/>
      <c r="E444" s="275"/>
      <c r="F444" s="275"/>
      <c r="G444" s="275" t="s">
        <v>765</v>
      </c>
      <c r="H444" s="540" t="s">
        <v>2391</v>
      </c>
      <c r="I444" s="276"/>
      <c r="J444" s="276"/>
      <c r="K444" s="275" t="s">
        <v>767</v>
      </c>
      <c r="L444" s="277">
        <v>45448.0</v>
      </c>
      <c r="M444" s="275" t="s">
        <v>769</v>
      </c>
      <c r="N444" s="277">
        <v>45405.0</v>
      </c>
      <c r="O444" s="276"/>
    </row>
    <row r="446">
      <c r="A446" s="351" t="s">
        <v>172</v>
      </c>
      <c r="B446" s="351" t="s">
        <v>2431</v>
      </c>
    </row>
    <row r="447">
      <c r="A447" s="351" t="s">
        <v>386</v>
      </c>
      <c r="B447" s="640">
        <v>0.489</v>
      </c>
    </row>
    <row r="448">
      <c r="A448" s="351" t="s">
        <v>388</v>
      </c>
      <c r="B448" s="640">
        <v>0.762</v>
      </c>
    </row>
    <row r="449">
      <c r="A449" s="351" t="s">
        <v>389</v>
      </c>
      <c r="B449" s="640">
        <v>0.705</v>
      </c>
    </row>
    <row r="450">
      <c r="A450" s="351" t="s">
        <v>390</v>
      </c>
      <c r="B450" s="351" t="s">
        <v>2437</v>
      </c>
    </row>
    <row r="451">
      <c r="A451" s="351" t="s">
        <v>394</v>
      </c>
      <c r="B451" s="351" t="s">
        <v>2437</v>
      </c>
    </row>
    <row r="452">
      <c r="A452" s="351" t="s">
        <v>395</v>
      </c>
      <c r="B452" s="640">
        <v>0.571</v>
      </c>
    </row>
    <row r="453">
      <c r="A453" s="351" t="s">
        <v>396</v>
      </c>
      <c r="B453" s="351" t="s">
        <v>2437</v>
      </c>
    </row>
    <row r="454">
      <c r="A454" s="351" t="s">
        <v>397</v>
      </c>
      <c r="B454" s="351" t="s">
        <v>2437</v>
      </c>
    </row>
    <row r="455">
      <c r="A455" s="351" t="s">
        <v>399</v>
      </c>
      <c r="B455" s="351" t="s">
        <v>2437</v>
      </c>
    </row>
    <row r="456">
      <c r="A456" s="351" t="s">
        <v>400</v>
      </c>
      <c r="B456" s="351" t="s">
        <v>2437</v>
      </c>
    </row>
    <row r="457">
      <c r="A457" s="351" t="s">
        <v>402</v>
      </c>
      <c r="B457" s="351" t="s">
        <v>2437</v>
      </c>
    </row>
    <row r="458">
      <c r="A458" s="351" t="s">
        <v>403</v>
      </c>
      <c r="B458" s="351" t="s">
        <v>2437</v>
      </c>
    </row>
    <row r="459">
      <c r="A459" s="351" t="s">
        <v>404</v>
      </c>
      <c r="B459" s="351" t="s">
        <v>2437</v>
      </c>
    </row>
    <row r="460">
      <c r="A460" s="351" t="s">
        <v>407</v>
      </c>
      <c r="B460" s="640">
        <v>0.846</v>
      </c>
    </row>
    <row r="461">
      <c r="A461" s="351" t="s">
        <v>408</v>
      </c>
      <c r="B461" s="640">
        <v>0.567</v>
      </c>
    </row>
    <row r="462">
      <c r="A462" s="351" t="s">
        <v>412</v>
      </c>
      <c r="B462" s="640">
        <v>0.773</v>
      </c>
    </row>
    <row r="463">
      <c r="A463" s="351" t="s">
        <v>413</v>
      </c>
      <c r="B463" s="351" t="s">
        <v>2437</v>
      </c>
    </row>
    <row r="464">
      <c r="A464" s="351" t="s">
        <v>415</v>
      </c>
      <c r="B464" s="640">
        <v>0.657</v>
      </c>
    </row>
    <row r="465">
      <c r="A465" s="351" t="s">
        <v>414</v>
      </c>
      <c r="B465" s="640">
        <v>0.706</v>
      </c>
    </row>
    <row r="466">
      <c r="A466" s="351" t="s">
        <v>416</v>
      </c>
      <c r="B466" s="640">
        <v>0.714</v>
      </c>
    </row>
    <row r="467">
      <c r="A467" s="351" t="s">
        <v>417</v>
      </c>
      <c r="B467" s="640">
        <v>0.571</v>
      </c>
    </row>
    <row r="468">
      <c r="A468" s="351" t="s">
        <v>418</v>
      </c>
      <c r="B468" s="351" t="s">
        <v>2437</v>
      </c>
    </row>
    <row r="469">
      <c r="A469" s="351" t="s">
        <v>421</v>
      </c>
      <c r="B469" s="351" t="s">
        <v>2437</v>
      </c>
    </row>
    <row r="470">
      <c r="A470" s="351" t="s">
        <v>425</v>
      </c>
      <c r="B470" s="640">
        <v>0.923</v>
      </c>
    </row>
    <row r="471">
      <c r="A471" s="351" t="s">
        <v>143</v>
      </c>
      <c r="B471" s="640">
        <v>0.689</v>
      </c>
    </row>
    <row r="472">
      <c r="A472" s="351" t="s">
        <v>427</v>
      </c>
      <c r="B472" s="351" t="s">
        <v>2437</v>
      </c>
    </row>
    <row r="473">
      <c r="A473" s="351" t="s">
        <v>428</v>
      </c>
      <c r="B473" s="351" t="s">
        <v>2437</v>
      </c>
    </row>
    <row r="474">
      <c r="A474" s="351" t="s">
        <v>429</v>
      </c>
      <c r="B474" s="351" t="s">
        <v>2437</v>
      </c>
    </row>
    <row r="475">
      <c r="A475" s="351" t="s">
        <v>337</v>
      </c>
      <c r="B475" s="351" t="s">
        <v>2437</v>
      </c>
    </row>
    <row r="476">
      <c r="A476" s="351" t="s">
        <v>431</v>
      </c>
      <c r="B476" s="640">
        <v>0.672</v>
      </c>
    </row>
    <row r="477">
      <c r="A477" s="351" t="s">
        <v>432</v>
      </c>
      <c r="B477" s="351" t="s">
        <v>2437</v>
      </c>
    </row>
    <row r="478">
      <c r="A478" s="351" t="s">
        <v>293</v>
      </c>
      <c r="B478" s="351" t="s">
        <v>2437</v>
      </c>
    </row>
    <row r="479">
      <c r="A479" s="351" t="s">
        <v>434</v>
      </c>
      <c r="B479" s="640">
        <v>0.675</v>
      </c>
    </row>
    <row r="480">
      <c r="A480" s="351" t="s">
        <v>436</v>
      </c>
      <c r="B480" s="351" t="s">
        <v>2437</v>
      </c>
    </row>
    <row r="481">
      <c r="A481" s="351" t="s">
        <v>439</v>
      </c>
      <c r="B481" s="351" t="s">
        <v>2437</v>
      </c>
    </row>
    <row r="482">
      <c r="A482" s="351" t="s">
        <v>440</v>
      </c>
      <c r="B482" s="640">
        <v>0.678</v>
      </c>
    </row>
    <row r="483">
      <c r="A483" s="351" t="s">
        <v>158</v>
      </c>
      <c r="B483" s="640">
        <v>0.808</v>
      </c>
    </row>
    <row r="484">
      <c r="A484" s="351" t="s">
        <v>441</v>
      </c>
      <c r="B484" s="640">
        <v>0.6</v>
      </c>
    </row>
    <row r="485">
      <c r="A485" s="351" t="s">
        <v>445</v>
      </c>
      <c r="B485" s="351" t="s">
        <v>2437</v>
      </c>
    </row>
    <row r="486">
      <c r="A486" s="351" t="s">
        <v>300</v>
      </c>
      <c r="B486" s="351" t="s">
        <v>2437</v>
      </c>
    </row>
    <row r="487">
      <c r="A487" s="351" t="s">
        <v>449</v>
      </c>
      <c r="B487" s="351" t="s">
        <v>2437</v>
      </c>
    </row>
    <row r="488">
      <c r="A488" s="351" t="s">
        <v>450</v>
      </c>
      <c r="B488" s="640">
        <v>0.75</v>
      </c>
    </row>
    <row r="489">
      <c r="A489" s="351" t="s">
        <v>451</v>
      </c>
      <c r="B489" s="351" t="s">
        <v>2437</v>
      </c>
    </row>
    <row r="490">
      <c r="A490" s="351" t="s">
        <v>453</v>
      </c>
      <c r="B490" s="351" t="s">
        <v>2437</v>
      </c>
    </row>
    <row r="491">
      <c r="A491" s="351" t="s">
        <v>454</v>
      </c>
      <c r="B491" s="351" t="s">
        <v>2437</v>
      </c>
    </row>
    <row r="492">
      <c r="A492" s="351" t="s">
        <v>455</v>
      </c>
      <c r="B492" s="351" t="s">
        <v>2437</v>
      </c>
    </row>
    <row r="493">
      <c r="A493" s="351" t="s">
        <v>458</v>
      </c>
      <c r="B493" s="351" t="s">
        <v>2437</v>
      </c>
    </row>
    <row r="494">
      <c r="A494" s="351" t="s">
        <v>462</v>
      </c>
      <c r="B494" s="351" t="s">
        <v>2437</v>
      </c>
    </row>
    <row r="495">
      <c r="A495" s="351" t="s">
        <v>119</v>
      </c>
      <c r="B495" s="351" t="s">
        <v>2437</v>
      </c>
    </row>
    <row r="496">
      <c r="A496" s="351" t="s">
        <v>463</v>
      </c>
      <c r="B496" s="640">
        <v>0.745</v>
      </c>
    </row>
    <row r="497">
      <c r="A497" s="351" t="s">
        <v>1870</v>
      </c>
      <c r="B497" s="640">
        <v>0.655</v>
      </c>
    </row>
  </sheetData>
  <mergeCells count="1">
    <mergeCell ref="H1:J2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3.88"/>
    <col customWidth="1" min="2" max="2" width="10.75"/>
    <col customWidth="1" min="3" max="9" width="10.13"/>
    <col customWidth="1" min="10" max="10" width="10.88"/>
    <col customWidth="1" min="11" max="11" width="10.13"/>
    <col customWidth="1" min="12" max="12" width="14.13"/>
    <col customWidth="1" min="13" max="13" width="10.13"/>
    <col customWidth="1" min="14" max="14" width="11.88"/>
    <col customWidth="1" min="15" max="15" width="12.25"/>
    <col customWidth="1" min="16" max="16" width="11.13"/>
    <col customWidth="1" min="17" max="17" width="11.25"/>
  </cols>
  <sheetData>
    <row r="1">
      <c r="A1" s="167"/>
      <c r="B1" s="168" t="s">
        <v>37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</row>
    <row r="2">
      <c r="A2" s="169" t="s">
        <v>172</v>
      </c>
      <c r="B2" s="170" t="s">
        <v>174</v>
      </c>
      <c r="C2" s="171" t="s">
        <v>693</v>
      </c>
      <c r="D2" s="172" t="s">
        <v>694</v>
      </c>
      <c r="E2" s="172" t="s">
        <v>695</v>
      </c>
      <c r="F2" s="172" t="s">
        <v>179</v>
      </c>
      <c r="G2" s="172" t="s">
        <v>696</v>
      </c>
      <c r="H2" s="173" t="s">
        <v>697</v>
      </c>
      <c r="I2" s="174" t="s">
        <v>84</v>
      </c>
      <c r="J2" s="170" t="s">
        <v>698</v>
      </c>
      <c r="K2" s="175" t="s">
        <v>699</v>
      </c>
      <c r="L2" s="173" t="s">
        <v>89</v>
      </c>
      <c r="M2" s="176" t="s">
        <v>700</v>
      </c>
      <c r="N2" s="177" t="s">
        <v>701</v>
      </c>
      <c r="O2" s="177" t="s">
        <v>702</v>
      </c>
      <c r="P2" s="178" t="s">
        <v>90</v>
      </c>
      <c r="Q2" s="325" t="s">
        <v>703</v>
      </c>
    </row>
    <row r="3">
      <c r="A3" s="326" t="s">
        <v>442</v>
      </c>
      <c r="B3" s="251">
        <f t="array" ref="B3">VLOOKUP($A3,CT_DEMO,2,FALSE)</f>
        <v>957419</v>
      </c>
      <c r="C3" s="252" t="s">
        <v>63</v>
      </c>
      <c r="D3" s="253" t="s">
        <v>63</v>
      </c>
      <c r="E3" s="253" t="s">
        <v>63</v>
      </c>
      <c r="F3" s="253" t="s">
        <v>63</v>
      </c>
      <c r="G3" s="253" t="s">
        <v>63</v>
      </c>
      <c r="H3" s="254" t="s">
        <v>63</v>
      </c>
      <c r="I3" s="255" t="s">
        <v>63</v>
      </c>
      <c r="J3" s="478" t="s">
        <v>63</v>
      </c>
      <c r="K3" s="576" t="s">
        <v>63</v>
      </c>
      <c r="L3" s="577" t="s">
        <v>63</v>
      </c>
      <c r="M3" s="480" t="s">
        <v>63</v>
      </c>
      <c r="N3" s="260" t="s">
        <v>63</v>
      </c>
      <c r="O3" s="260" t="s">
        <v>63</v>
      </c>
      <c r="P3" s="261">
        <f>ifna(vlookup(A3,'Population &amp; Church Numbers'!$A$311:$D$318,4,FALSE),"NULL")</f>
        <v>518</v>
      </c>
      <c r="Q3" s="329" t="s">
        <v>63</v>
      </c>
    </row>
    <row r="4">
      <c r="A4" s="188" t="s">
        <v>466</v>
      </c>
      <c r="B4" s="189">
        <f t="array" ref="B4">VLOOKUP($A4,CT_DEMO,2,FALSE)</f>
        <v>899498</v>
      </c>
      <c r="C4" s="264" t="s">
        <v>63</v>
      </c>
      <c r="D4" s="265" t="s">
        <v>63</v>
      </c>
      <c r="E4" s="265" t="s">
        <v>63</v>
      </c>
      <c r="F4" s="265" t="s">
        <v>63</v>
      </c>
      <c r="G4" s="265" t="s">
        <v>63</v>
      </c>
      <c r="H4" s="266" t="s">
        <v>63</v>
      </c>
      <c r="I4" s="267" t="s">
        <v>63</v>
      </c>
      <c r="J4" s="491" t="s">
        <v>63</v>
      </c>
      <c r="K4" s="579" t="s">
        <v>63</v>
      </c>
      <c r="L4" s="580" t="s">
        <v>63</v>
      </c>
      <c r="M4" s="581" t="s">
        <v>63</v>
      </c>
      <c r="N4" s="271" t="s">
        <v>63</v>
      </c>
      <c r="O4" s="271" t="s">
        <v>63</v>
      </c>
      <c r="P4" s="272">
        <f>ifna(vlookup(A4,'Population &amp; Church Numbers'!$A$311:$D$318,4,FALSE),"NULL")</f>
        <v>466</v>
      </c>
      <c r="Q4" s="334" t="s">
        <v>63</v>
      </c>
    </row>
    <row r="5">
      <c r="A5" s="326" t="s">
        <v>467</v>
      </c>
      <c r="B5" s="251">
        <f t="array" ref="B5">VLOOKUP($A5,CT_DEMO,2,FALSE)</f>
        <v>185186</v>
      </c>
      <c r="C5" s="252" t="s">
        <v>63</v>
      </c>
      <c r="D5" s="253" t="s">
        <v>63</v>
      </c>
      <c r="E5" s="253" t="s">
        <v>63</v>
      </c>
      <c r="F5" s="253" t="s">
        <v>63</v>
      </c>
      <c r="G5" s="253" t="s">
        <v>63</v>
      </c>
      <c r="H5" s="254" t="s">
        <v>63</v>
      </c>
      <c r="I5" s="255" t="s">
        <v>63</v>
      </c>
      <c r="J5" s="478" t="s">
        <v>63</v>
      </c>
      <c r="K5" s="576" t="s">
        <v>63</v>
      </c>
      <c r="L5" s="577" t="s">
        <v>63</v>
      </c>
      <c r="M5" s="583" t="s">
        <v>63</v>
      </c>
      <c r="N5" s="260" t="s">
        <v>63</v>
      </c>
      <c r="O5" s="260" t="s">
        <v>63</v>
      </c>
      <c r="P5" s="261">
        <f>ifna(vlookup(A5,'Population &amp; Church Numbers'!$A$311:$D$318,4,FALSE),"NULL")</f>
        <v>149</v>
      </c>
      <c r="Q5" s="329" t="s">
        <v>63</v>
      </c>
    </row>
    <row r="6">
      <c r="A6" s="188" t="s">
        <v>281</v>
      </c>
      <c r="B6" s="189">
        <f t="array" ref="B6">VLOOKUP($A6,CT_DEMO,2,FALSE)</f>
        <v>164245</v>
      </c>
      <c r="C6" s="264" t="s">
        <v>63</v>
      </c>
      <c r="D6" s="265" t="s">
        <v>63</v>
      </c>
      <c r="E6" s="265" t="s">
        <v>63</v>
      </c>
      <c r="F6" s="265" t="s">
        <v>63</v>
      </c>
      <c r="G6" s="265" t="s">
        <v>63</v>
      </c>
      <c r="H6" s="266" t="s">
        <v>63</v>
      </c>
      <c r="I6" s="267" t="s">
        <v>63</v>
      </c>
      <c r="J6" s="491" t="s">
        <v>63</v>
      </c>
      <c r="K6" s="579" t="s">
        <v>63</v>
      </c>
      <c r="L6" s="580" t="s">
        <v>63</v>
      </c>
      <c r="M6" s="581" t="s">
        <v>63</v>
      </c>
      <c r="N6" s="271" t="s">
        <v>63</v>
      </c>
      <c r="O6" s="271" t="s">
        <v>63</v>
      </c>
      <c r="P6" s="272">
        <f>ifna(vlookup(A6,'Population &amp; Church Numbers'!$A$311:$D$318,4,FALSE),"NULL")</f>
        <v>98</v>
      </c>
      <c r="Q6" s="334" t="s">
        <v>63</v>
      </c>
    </row>
    <row r="7">
      <c r="A7" s="326" t="s">
        <v>468</v>
      </c>
      <c r="B7" s="251">
        <f t="array" ref="B7">VLOOKUP($A7,CT_DEMO,2,FALSE)</f>
        <v>864835</v>
      </c>
      <c r="C7" s="252" t="s">
        <v>63</v>
      </c>
      <c r="D7" s="253" t="s">
        <v>63</v>
      </c>
      <c r="E7" s="253" t="s">
        <v>63</v>
      </c>
      <c r="F7" s="253" t="s">
        <v>63</v>
      </c>
      <c r="G7" s="253" t="s">
        <v>63</v>
      </c>
      <c r="H7" s="254" t="s">
        <v>63</v>
      </c>
      <c r="I7" s="255" t="s">
        <v>63</v>
      </c>
      <c r="J7" s="478" t="s">
        <v>63</v>
      </c>
      <c r="K7" s="576" t="s">
        <v>63</v>
      </c>
      <c r="L7" s="577" t="s">
        <v>63</v>
      </c>
      <c r="M7" s="583" t="s">
        <v>63</v>
      </c>
      <c r="N7" s="260" t="s">
        <v>63</v>
      </c>
      <c r="O7" s="260" t="s">
        <v>63</v>
      </c>
      <c r="P7" s="261">
        <f>ifna(vlookup(A7,'Population &amp; Church Numbers'!$A$311:$D$318,4,FALSE),"NULL")</f>
        <v>473</v>
      </c>
      <c r="Q7" s="329" t="s">
        <v>63</v>
      </c>
    </row>
    <row r="8">
      <c r="A8" s="188" t="s">
        <v>469</v>
      </c>
      <c r="B8" s="189">
        <f t="array" ref="B8">VLOOKUP($A8,CT_DEMO,2,FALSE)</f>
        <v>268555</v>
      </c>
      <c r="C8" s="264" t="s">
        <v>63</v>
      </c>
      <c r="D8" s="265" t="s">
        <v>63</v>
      </c>
      <c r="E8" s="265" t="s">
        <v>63</v>
      </c>
      <c r="F8" s="265" t="s">
        <v>63</v>
      </c>
      <c r="G8" s="265" t="s">
        <v>63</v>
      </c>
      <c r="H8" s="266" t="s">
        <v>63</v>
      </c>
      <c r="I8" s="267" t="s">
        <v>63</v>
      </c>
      <c r="J8" s="491" t="s">
        <v>63</v>
      </c>
      <c r="K8" s="579" t="s">
        <v>63</v>
      </c>
      <c r="L8" s="580" t="s">
        <v>63</v>
      </c>
      <c r="M8" s="581" t="s">
        <v>63</v>
      </c>
      <c r="N8" s="271" t="s">
        <v>63</v>
      </c>
      <c r="O8" s="271" t="s">
        <v>63</v>
      </c>
      <c r="P8" s="272">
        <f>ifna(vlookup(A8,'Population &amp; Church Numbers'!$A$311:$D$318,4,FALSE),"NULL")</f>
        <v>188</v>
      </c>
      <c r="Q8" s="334" t="s">
        <v>63</v>
      </c>
    </row>
    <row r="9">
      <c r="A9" s="326" t="s">
        <v>470</v>
      </c>
      <c r="B9" s="251">
        <f t="array" ref="B9">VLOOKUP($A9,CT_DEMO,2,FALSE)</f>
        <v>149788</v>
      </c>
      <c r="C9" s="252" t="s">
        <v>63</v>
      </c>
      <c r="D9" s="253" t="s">
        <v>63</v>
      </c>
      <c r="E9" s="253" t="s">
        <v>63</v>
      </c>
      <c r="F9" s="253" t="s">
        <v>63</v>
      </c>
      <c r="G9" s="253" t="s">
        <v>63</v>
      </c>
      <c r="H9" s="254" t="s">
        <v>63</v>
      </c>
      <c r="I9" s="255" t="s">
        <v>63</v>
      </c>
      <c r="J9" s="478" t="s">
        <v>63</v>
      </c>
      <c r="K9" s="576" t="s">
        <v>63</v>
      </c>
      <c r="L9" s="577" t="s">
        <v>63</v>
      </c>
      <c r="M9" s="583" t="s">
        <v>63</v>
      </c>
      <c r="N9" s="260" t="s">
        <v>63</v>
      </c>
      <c r="O9" s="260" t="s">
        <v>63</v>
      </c>
      <c r="P9" s="261">
        <f>ifna(vlookup(A9,'Population &amp; Church Numbers'!$A$311:$D$318,4,FALSE),"NULL")</f>
        <v>81</v>
      </c>
      <c r="Q9" s="329" t="s">
        <v>63</v>
      </c>
    </row>
    <row r="10">
      <c r="A10" s="188" t="s">
        <v>471</v>
      </c>
      <c r="B10" s="189">
        <f t="array" ref="B10">VLOOKUP($A10,CT_DEMO,2,FALSE)</f>
        <v>116418</v>
      </c>
      <c r="C10" s="264" t="s">
        <v>63</v>
      </c>
      <c r="D10" s="265" t="s">
        <v>63</v>
      </c>
      <c r="E10" s="265" t="s">
        <v>63</v>
      </c>
      <c r="F10" s="265" t="s">
        <v>63</v>
      </c>
      <c r="G10" s="265" t="s">
        <v>63</v>
      </c>
      <c r="H10" s="266" t="s">
        <v>63</v>
      </c>
      <c r="I10" s="267" t="s">
        <v>63</v>
      </c>
      <c r="J10" s="491" t="s">
        <v>63</v>
      </c>
      <c r="K10" s="579" t="s">
        <v>63</v>
      </c>
      <c r="L10" s="580" t="s">
        <v>63</v>
      </c>
      <c r="M10" s="581" t="s">
        <v>63</v>
      </c>
      <c r="N10" s="271" t="s">
        <v>63</v>
      </c>
      <c r="O10" s="271" t="s">
        <v>63</v>
      </c>
      <c r="P10" s="272">
        <f>ifna(vlookup(A10,'Population &amp; Church Numbers'!$A$311:$D$318,4,FALSE),"NULL")</f>
        <v>96</v>
      </c>
      <c r="Q10" s="334" t="s">
        <v>63</v>
      </c>
    </row>
    <row r="11">
      <c r="A11" s="217"/>
      <c r="B11" s="218"/>
      <c r="C11" s="219"/>
      <c r="D11" s="220"/>
      <c r="E11" s="220"/>
      <c r="F11" s="220"/>
      <c r="G11" s="220"/>
      <c r="H11" s="221"/>
      <c r="I11" s="222"/>
      <c r="J11" s="223"/>
      <c r="K11" s="219"/>
      <c r="L11" s="224"/>
      <c r="M11" s="225"/>
      <c r="N11" s="226"/>
      <c r="O11" s="220"/>
      <c r="P11" s="221"/>
      <c r="Q11" s="227"/>
    </row>
    <row r="12">
      <c r="A12" s="228" t="s">
        <v>2</v>
      </c>
      <c r="B12" s="229"/>
      <c r="C12" s="230">
        <f>'CT Data'!A4</f>
        <v>3121</v>
      </c>
      <c r="D12" s="231" t="s">
        <v>63</v>
      </c>
      <c r="E12" s="465">
        <f>'CT Data'!C4</f>
        <v>1232.795</v>
      </c>
      <c r="F12" s="465">
        <f>'CT Data'!E4</f>
        <v>1104.834</v>
      </c>
      <c r="G12" s="231" t="s">
        <v>63</v>
      </c>
      <c r="H12" s="233">
        <f>AFCARSCSC!D10</f>
        <v>2363</v>
      </c>
      <c r="I12" s="433">
        <f>AFCARSCSC!C10</f>
        <v>438</v>
      </c>
      <c r="J12" s="584" t="s">
        <v>63</v>
      </c>
      <c r="K12" s="585" t="s">
        <v>63</v>
      </c>
      <c r="L12" s="586" t="s">
        <v>63</v>
      </c>
      <c r="M12" s="587" t="s">
        <v>63</v>
      </c>
      <c r="N12" s="588" t="s">
        <v>63</v>
      </c>
      <c r="O12" s="588" t="s">
        <v>63</v>
      </c>
      <c r="P12" s="233">
        <f>SUM(P3:P10)</f>
        <v>2069</v>
      </c>
      <c r="Q12" s="239" t="s">
        <v>63</v>
      </c>
    </row>
  </sheetData>
  <autoFilter ref="$A$2:$Q$10"/>
  <mergeCells count="1">
    <mergeCell ref="B1:Q1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6" t="s">
        <v>1040</v>
      </c>
      <c r="B1" s="197"/>
      <c r="C1" s="197"/>
      <c r="D1" s="197"/>
      <c r="E1" s="198" t="s">
        <v>765</v>
      </c>
      <c r="F1" s="198" t="s">
        <v>2398</v>
      </c>
      <c r="G1" s="197"/>
      <c r="H1" s="197"/>
      <c r="I1" s="198" t="s">
        <v>767</v>
      </c>
      <c r="J1" s="214">
        <v>45469.0</v>
      </c>
      <c r="K1" s="198" t="s">
        <v>769</v>
      </c>
      <c r="L1" s="214">
        <v>45261.0</v>
      </c>
      <c r="M1" s="589"/>
    </row>
    <row r="3">
      <c r="A3" s="344" t="s">
        <v>2399</v>
      </c>
      <c r="B3" s="344" t="s">
        <v>1058</v>
      </c>
      <c r="C3" s="590"/>
      <c r="D3" s="344" t="s">
        <v>2400</v>
      </c>
      <c r="E3" s="590"/>
      <c r="F3" s="344" t="s">
        <v>2401</v>
      </c>
      <c r="G3" s="590"/>
      <c r="H3" s="344" t="s">
        <v>1109</v>
      </c>
      <c r="I3" s="590"/>
      <c r="J3" s="344" t="s">
        <v>1714</v>
      </c>
      <c r="K3" s="548"/>
    </row>
    <row r="4">
      <c r="A4" s="208">
        <v>3121.0</v>
      </c>
      <c r="B4" s="553">
        <v>0.395</v>
      </c>
      <c r="C4" s="451">
        <f>A4*B4</f>
        <v>1232.795</v>
      </c>
      <c r="D4" s="553">
        <v>0.354</v>
      </c>
      <c r="E4" s="451">
        <f>A4*D4</f>
        <v>1104.834</v>
      </c>
      <c r="F4" s="553">
        <v>0.069</v>
      </c>
      <c r="G4" s="451">
        <f>A4*F4</f>
        <v>215.349</v>
      </c>
      <c r="H4" s="553">
        <v>0.118</v>
      </c>
      <c r="I4" s="451">
        <f>A4*H4</f>
        <v>368.278</v>
      </c>
      <c r="J4" s="553">
        <v>0.064</v>
      </c>
      <c r="K4" s="451">
        <f>A4*J4</f>
        <v>199.744</v>
      </c>
      <c r="L4" s="591"/>
      <c r="M4" s="591"/>
      <c r="N4" s="591"/>
    </row>
    <row r="5">
      <c r="A5" s="592"/>
      <c r="B5" s="593"/>
      <c r="C5" s="593"/>
      <c r="D5" s="593"/>
      <c r="E5" s="593"/>
      <c r="F5" s="593"/>
      <c r="G5" s="593"/>
      <c r="H5" s="593"/>
      <c r="I5" s="593"/>
      <c r="J5" s="593"/>
      <c r="K5" s="593"/>
    </row>
    <row r="6">
      <c r="C6" s="418">
        <f>SUM(C4+E4+G4+I4+K4)</f>
        <v>3121</v>
      </c>
    </row>
    <row r="50">
      <c r="A50" s="275" t="s">
        <v>792</v>
      </c>
      <c r="B50" s="276"/>
      <c r="C50" s="276"/>
      <c r="D50" s="276"/>
      <c r="E50" s="275" t="s">
        <v>765</v>
      </c>
      <c r="F50" s="276"/>
      <c r="G50" s="276"/>
      <c r="H50" s="276"/>
      <c r="I50" s="275" t="s">
        <v>767</v>
      </c>
      <c r="J50" s="276"/>
      <c r="K50" s="275" t="s">
        <v>769</v>
      </c>
      <c r="L50" s="276"/>
      <c r="M50" s="276"/>
    </row>
    <row r="52">
      <c r="B52" s="1" t="s">
        <v>2402</v>
      </c>
    </row>
    <row r="53">
      <c r="B53" s="594" t="s">
        <v>2403</v>
      </c>
      <c r="C53" s="594" t="s">
        <v>2404</v>
      </c>
      <c r="D53" s="594" t="s">
        <v>2405</v>
      </c>
      <c r="E53" s="594" t="s">
        <v>2406</v>
      </c>
      <c r="F53" s="594" t="s">
        <v>2407</v>
      </c>
      <c r="G53" s="594" t="s">
        <v>2408</v>
      </c>
      <c r="H53" s="594" t="s">
        <v>2409</v>
      </c>
      <c r="I53" s="594" t="s">
        <v>2410</v>
      </c>
      <c r="J53" s="594" t="s">
        <v>2411</v>
      </c>
      <c r="K53" s="594" t="s">
        <v>2412</v>
      </c>
    </row>
    <row r="54">
      <c r="A54" s="1" t="s">
        <v>2402</v>
      </c>
    </row>
    <row r="55">
      <c r="A55" s="595" t="s">
        <v>37</v>
      </c>
      <c r="B55" s="596">
        <v>1261.0</v>
      </c>
      <c r="C55" s="596">
        <v>1344.0</v>
      </c>
      <c r="D55" s="596">
        <v>1385.0</v>
      </c>
      <c r="E55" s="596">
        <v>1166.0</v>
      </c>
      <c r="F55" s="596">
        <v>1343.0</v>
      </c>
      <c r="G55" s="596">
        <v>1197.0</v>
      </c>
      <c r="H55" s="596">
        <v>1111.0</v>
      </c>
      <c r="I55" s="596">
        <v>1157.0</v>
      </c>
      <c r="J55" s="596">
        <v>1235.0</v>
      </c>
      <c r="K55" s="596">
        <v>1166.0</v>
      </c>
    </row>
    <row r="100">
      <c r="A100" s="275" t="s">
        <v>852</v>
      </c>
      <c r="B100" s="276"/>
      <c r="C100" s="276"/>
      <c r="D100" s="276"/>
      <c r="E100" s="275" t="s">
        <v>765</v>
      </c>
      <c r="F100" s="276"/>
      <c r="G100" s="276"/>
      <c r="H100" s="276"/>
      <c r="I100" s="275" t="s">
        <v>767</v>
      </c>
      <c r="J100" s="276"/>
      <c r="K100" s="275" t="s">
        <v>769</v>
      </c>
      <c r="L100" s="276"/>
      <c r="M100" s="276"/>
    </row>
  </sheetData>
  <hyperlinks>
    <hyperlink r:id="rId1" location="Served!B8" ref="B53"/>
    <hyperlink r:id="rId2" location="Served!B8" ref="C53"/>
    <hyperlink r:id="rId3" location="Served!B8" ref="D53"/>
    <hyperlink r:id="rId4" location="Served!B8" ref="E53"/>
    <hyperlink r:id="rId5" location="Served!B8" ref="F53"/>
    <hyperlink r:id="rId6" location="Served!B8" ref="G53"/>
    <hyperlink r:id="rId7" location="Served!B8" ref="H53"/>
    <hyperlink r:id="rId8" location="Served!B8" ref="I53"/>
    <hyperlink r:id="rId9" location="Served!B8" ref="J53"/>
    <hyperlink r:id="rId10" location="Served!B8" ref="K53"/>
  </hyperlinks>
  <drawing r:id="rId1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2" max="2" width="11.25"/>
    <col customWidth="1" min="3" max="9" width="10.13"/>
    <col customWidth="1" min="10" max="10" width="11.13"/>
    <col customWidth="1" min="11" max="11" width="10.13"/>
    <col customWidth="1" min="12" max="12" width="12.88"/>
    <col customWidth="1" min="13" max="14" width="10.13"/>
    <col customWidth="1" min="15" max="15" width="11.25"/>
    <col customWidth="1" min="16" max="17" width="10.13"/>
  </cols>
  <sheetData>
    <row r="1">
      <c r="A1" s="167"/>
      <c r="B1" s="168" t="s">
        <v>40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</row>
    <row r="2">
      <c r="A2" s="169" t="s">
        <v>172</v>
      </c>
      <c r="B2" s="170" t="s">
        <v>174</v>
      </c>
      <c r="C2" s="171" t="s">
        <v>693</v>
      </c>
      <c r="D2" s="172" t="s">
        <v>694</v>
      </c>
      <c r="E2" s="172" t="s">
        <v>695</v>
      </c>
      <c r="F2" s="172" t="s">
        <v>179</v>
      </c>
      <c r="G2" s="172" t="s">
        <v>696</v>
      </c>
      <c r="H2" s="173" t="s">
        <v>697</v>
      </c>
      <c r="I2" s="174" t="s">
        <v>84</v>
      </c>
      <c r="J2" s="170" t="s">
        <v>698</v>
      </c>
      <c r="K2" s="175" t="s">
        <v>699</v>
      </c>
      <c r="L2" s="173" t="s">
        <v>89</v>
      </c>
      <c r="M2" s="176" t="s">
        <v>700</v>
      </c>
      <c r="N2" s="177" t="s">
        <v>701</v>
      </c>
      <c r="O2" s="177" t="s">
        <v>702</v>
      </c>
      <c r="P2" s="178" t="s">
        <v>90</v>
      </c>
      <c r="Q2" s="325" t="s">
        <v>703</v>
      </c>
    </row>
    <row r="3">
      <c r="A3" s="326" t="s">
        <v>474</v>
      </c>
      <c r="B3" s="251">
        <f t="array" ref="B3">VLOOKUP($A3,DE_DEMO,2,FALSE)</f>
        <v>181851</v>
      </c>
      <c r="C3" s="327">
        <f>vlookup(A3,'DE Data'!$A$3:$D$6,4,FALSE)</f>
        <v>169</v>
      </c>
      <c r="D3" s="253" t="s">
        <v>63</v>
      </c>
      <c r="E3" s="253" t="s">
        <v>63</v>
      </c>
      <c r="F3" s="253" t="s">
        <v>63</v>
      </c>
      <c r="G3" s="253" t="s">
        <v>63</v>
      </c>
      <c r="H3" s="254">
        <f>vlookup(A3,'DE Data'!$A$13:$D$16,4,FALSE)</f>
        <v>54</v>
      </c>
      <c r="I3" s="255" t="s">
        <v>63</v>
      </c>
      <c r="J3" s="256" t="s">
        <v>63</v>
      </c>
      <c r="K3" s="274" t="s">
        <v>63</v>
      </c>
      <c r="L3" s="254" t="s">
        <v>63</v>
      </c>
      <c r="M3" s="480" t="s">
        <v>63</v>
      </c>
      <c r="N3" s="260" t="s">
        <v>63</v>
      </c>
      <c r="O3" s="260" t="s">
        <v>63</v>
      </c>
      <c r="P3" s="261">
        <f>ifna(vlookup(A3,'Population &amp; Church Numbers'!$A$319:$D$321,4,FALSE),"NULL")</f>
        <v>126</v>
      </c>
      <c r="Q3" s="597" t="s">
        <v>63</v>
      </c>
    </row>
    <row r="4">
      <c r="A4" s="188" t="s">
        <v>475</v>
      </c>
      <c r="B4" s="189">
        <f t="array" ref="B4">VLOOKUP($A4,DE_DEMO,2,FALSE)</f>
        <v>570719</v>
      </c>
      <c r="C4" s="333">
        <f>vlookup(A4,'DE Data'!$A$3:$D$6,4,FALSE)</f>
        <v>243</v>
      </c>
      <c r="D4" s="265" t="s">
        <v>63</v>
      </c>
      <c r="E4" s="265" t="s">
        <v>63</v>
      </c>
      <c r="F4" s="265" t="s">
        <v>63</v>
      </c>
      <c r="G4" s="265" t="s">
        <v>63</v>
      </c>
      <c r="H4" s="266">
        <f>vlookup(A4,'DE Data'!$A$13:$D$16,4,FALSE)</f>
        <v>104</v>
      </c>
      <c r="I4" s="267" t="s">
        <v>63</v>
      </c>
      <c r="J4" s="268" t="s">
        <v>63</v>
      </c>
      <c r="K4" s="284" t="s">
        <v>63</v>
      </c>
      <c r="L4" s="266" t="s">
        <v>63</v>
      </c>
      <c r="M4" s="581" t="s">
        <v>63</v>
      </c>
      <c r="N4" s="271" t="s">
        <v>63</v>
      </c>
      <c r="O4" s="271" t="s">
        <v>63</v>
      </c>
      <c r="P4" s="272">
        <f>ifna(vlookup(A4,'Population &amp; Church Numbers'!$A$319:$D$321,4,FALSE),"NULL")</f>
        <v>354</v>
      </c>
      <c r="Q4" s="599" t="s">
        <v>63</v>
      </c>
    </row>
    <row r="5">
      <c r="A5" s="326" t="s">
        <v>476</v>
      </c>
      <c r="B5" s="251">
        <f t="array" ref="B5">VLOOKUP($A5,DE_DEMO,2,FALSE)</f>
        <v>237378</v>
      </c>
      <c r="C5" s="327">
        <f>vlookup(A5,'DE Data'!$A$3:$D$6,4,FALSE)</f>
        <v>96</v>
      </c>
      <c r="D5" s="253" t="s">
        <v>63</v>
      </c>
      <c r="E5" s="253" t="s">
        <v>63</v>
      </c>
      <c r="F5" s="253" t="s">
        <v>63</v>
      </c>
      <c r="G5" s="253" t="s">
        <v>63</v>
      </c>
      <c r="H5" s="254">
        <f>vlookup(A5,'DE Data'!$A$13:$D$16,4,FALSE)</f>
        <v>49</v>
      </c>
      <c r="I5" s="255" t="s">
        <v>63</v>
      </c>
      <c r="J5" s="256" t="s">
        <v>63</v>
      </c>
      <c r="K5" s="274" t="s">
        <v>63</v>
      </c>
      <c r="L5" s="254" t="s">
        <v>63</v>
      </c>
      <c r="M5" s="583" t="s">
        <v>63</v>
      </c>
      <c r="N5" s="260" t="s">
        <v>63</v>
      </c>
      <c r="O5" s="260" t="s">
        <v>63</v>
      </c>
      <c r="P5" s="261">
        <f>ifna(vlookup(A5,'Population &amp; Church Numbers'!$A$319:$D$321,4,FALSE),"NULL")</f>
        <v>229</v>
      </c>
      <c r="Q5" s="597" t="s">
        <v>63</v>
      </c>
    </row>
    <row r="6">
      <c r="A6" s="217"/>
      <c r="B6" s="218"/>
      <c r="C6" s="219"/>
      <c r="D6" s="220"/>
      <c r="E6" s="220"/>
      <c r="F6" s="220"/>
      <c r="G6" s="220"/>
      <c r="H6" s="221"/>
      <c r="I6" s="222"/>
      <c r="J6" s="223"/>
      <c r="K6" s="219"/>
      <c r="L6" s="224"/>
      <c r="M6" s="225"/>
      <c r="N6" s="226"/>
      <c r="O6" s="220"/>
      <c r="P6" s="221"/>
      <c r="Q6" s="227"/>
    </row>
    <row r="7">
      <c r="A7" s="228" t="s">
        <v>2</v>
      </c>
      <c r="B7" s="229"/>
      <c r="C7" s="230">
        <f>'DE Data'!D3</f>
        <v>508</v>
      </c>
      <c r="D7" s="311" t="s">
        <v>63</v>
      </c>
      <c r="E7" s="311" t="s">
        <v>63</v>
      </c>
      <c r="F7" s="311" t="s">
        <v>63</v>
      </c>
      <c r="G7" s="311" t="s">
        <v>63</v>
      </c>
      <c r="H7" s="233">
        <f>'DE Data'!D13</f>
        <v>207</v>
      </c>
      <c r="I7" s="234">
        <f>AFCARSCSC!C11</f>
        <v>41</v>
      </c>
      <c r="J7" s="235" t="s">
        <v>63</v>
      </c>
      <c r="K7" s="236" t="s">
        <v>63</v>
      </c>
      <c r="L7" s="359" t="s">
        <v>63</v>
      </c>
      <c r="M7" s="587" t="s">
        <v>63</v>
      </c>
      <c r="N7" s="588" t="s">
        <v>63</v>
      </c>
      <c r="O7" s="588" t="s">
        <v>63</v>
      </c>
      <c r="P7" s="233">
        <f>SUM(P3:P5)</f>
        <v>709</v>
      </c>
      <c r="Q7" s="600" t="s">
        <v>63</v>
      </c>
    </row>
  </sheetData>
  <autoFilter ref="$A$2:$Q$5"/>
  <mergeCells count="1">
    <mergeCell ref="B1:Q1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68" t="s">
        <v>1040</v>
      </c>
      <c r="B1" s="369"/>
      <c r="C1" s="369"/>
      <c r="D1" s="369"/>
      <c r="E1" s="601" t="s">
        <v>765</v>
      </c>
      <c r="F1" s="601" t="s">
        <v>2419</v>
      </c>
      <c r="G1" s="369"/>
      <c r="H1" s="369"/>
      <c r="I1" s="601" t="s">
        <v>767</v>
      </c>
      <c r="J1" s="602">
        <v>45428.0</v>
      </c>
      <c r="K1" s="601" t="s">
        <v>769</v>
      </c>
      <c r="L1" s="602">
        <v>45138.0</v>
      </c>
      <c r="M1" s="373"/>
    </row>
    <row r="3">
      <c r="A3" s="603" t="s">
        <v>40</v>
      </c>
      <c r="B3" s="603" t="s">
        <v>2420</v>
      </c>
      <c r="C3" s="603" t="s">
        <v>2421</v>
      </c>
      <c r="D3" s="557">
        <v>508.0</v>
      </c>
    </row>
    <row r="4">
      <c r="A4" s="603" t="s">
        <v>475</v>
      </c>
      <c r="B4" s="604" t="s">
        <v>2420</v>
      </c>
      <c r="C4" s="604" t="s">
        <v>2421</v>
      </c>
      <c r="D4" s="605">
        <v>243.0</v>
      </c>
      <c r="E4" s="591"/>
      <c r="F4" s="591"/>
      <c r="G4" s="591"/>
      <c r="H4" s="591"/>
      <c r="I4" s="591"/>
      <c r="J4" s="591"/>
    </row>
    <row r="5">
      <c r="A5" s="604" t="s">
        <v>474</v>
      </c>
      <c r="B5" s="604" t="s">
        <v>2420</v>
      </c>
      <c r="C5" s="604" t="s">
        <v>2421</v>
      </c>
      <c r="D5" s="605">
        <v>169.0</v>
      </c>
      <c r="E5" s="606"/>
      <c r="F5" s="606"/>
      <c r="G5" s="606"/>
      <c r="H5" s="606"/>
      <c r="I5" s="606"/>
      <c r="J5" s="606"/>
    </row>
    <row r="6">
      <c r="A6" s="603" t="s">
        <v>476</v>
      </c>
      <c r="B6" s="603" t="s">
        <v>2420</v>
      </c>
      <c r="C6" s="603" t="s">
        <v>2421</v>
      </c>
      <c r="D6" s="557">
        <v>96.0</v>
      </c>
    </row>
    <row r="11">
      <c r="A11" s="368" t="s">
        <v>852</v>
      </c>
      <c r="B11" s="369"/>
      <c r="C11" s="369"/>
      <c r="D11" s="369"/>
      <c r="E11" s="601" t="s">
        <v>765</v>
      </c>
      <c r="F11" s="601" t="s">
        <v>2419</v>
      </c>
      <c r="G11" s="369"/>
      <c r="H11" s="369"/>
      <c r="I11" s="601" t="s">
        <v>767</v>
      </c>
      <c r="J11" s="602">
        <v>45428.0</v>
      </c>
      <c r="K11" s="601" t="s">
        <v>769</v>
      </c>
      <c r="L11" s="602">
        <v>45138.0</v>
      </c>
      <c r="M11" s="373"/>
    </row>
    <row r="13">
      <c r="A13" s="603" t="s">
        <v>40</v>
      </c>
      <c r="B13" s="603" t="s">
        <v>2422</v>
      </c>
      <c r="C13" s="603" t="s">
        <v>2421</v>
      </c>
      <c r="D13" s="557">
        <v>207.0</v>
      </c>
    </row>
    <row r="14">
      <c r="A14" s="603" t="s">
        <v>475</v>
      </c>
      <c r="B14" s="603" t="s">
        <v>2422</v>
      </c>
      <c r="C14" s="603" t="s">
        <v>2421</v>
      </c>
      <c r="D14" s="557">
        <v>104.0</v>
      </c>
    </row>
    <row r="15">
      <c r="A15" s="603" t="s">
        <v>474</v>
      </c>
      <c r="B15" s="603" t="s">
        <v>2422</v>
      </c>
      <c r="C15" s="603" t="s">
        <v>2421</v>
      </c>
      <c r="D15" s="557">
        <v>54.0</v>
      </c>
    </row>
    <row r="16">
      <c r="A16" s="603" t="s">
        <v>476</v>
      </c>
      <c r="B16" s="603" t="s">
        <v>2422</v>
      </c>
      <c r="C16" s="603" t="s">
        <v>2421</v>
      </c>
      <c r="D16" s="557">
        <v>49.0</v>
      </c>
    </row>
    <row r="50">
      <c r="A50" s="275" t="s">
        <v>792</v>
      </c>
      <c r="B50" s="276"/>
      <c r="C50" s="276"/>
      <c r="D50" s="276"/>
      <c r="E50" s="275" t="s">
        <v>765</v>
      </c>
      <c r="F50" s="275" t="s">
        <v>2423</v>
      </c>
      <c r="G50" s="276"/>
      <c r="H50" s="276"/>
      <c r="I50" s="275" t="s">
        <v>767</v>
      </c>
      <c r="J50" s="276"/>
      <c r="K50" s="275" t="s">
        <v>769</v>
      </c>
      <c r="L50" s="276"/>
      <c r="M50" s="276"/>
    </row>
    <row r="53">
      <c r="B53" s="1" t="s">
        <v>2402</v>
      </c>
    </row>
    <row r="54">
      <c r="A54" s="1" t="s">
        <v>2402</v>
      </c>
      <c r="B54" s="594" t="s">
        <v>2403</v>
      </c>
      <c r="C54" s="594" t="s">
        <v>2404</v>
      </c>
      <c r="D54" s="594" t="s">
        <v>2405</v>
      </c>
      <c r="E54" s="594" t="s">
        <v>2406</v>
      </c>
      <c r="F54" s="594" t="s">
        <v>2407</v>
      </c>
      <c r="G54" s="594" t="s">
        <v>2408</v>
      </c>
      <c r="H54" s="594" t="s">
        <v>2409</v>
      </c>
      <c r="I54" s="594" t="s">
        <v>2410</v>
      </c>
      <c r="J54" s="594" t="s">
        <v>2411</v>
      </c>
      <c r="K54" s="594" t="s">
        <v>2412</v>
      </c>
    </row>
    <row r="55">
      <c r="A55" s="592" t="s">
        <v>40</v>
      </c>
      <c r="B55" s="607">
        <v>253.0</v>
      </c>
      <c r="C55" s="607">
        <v>244.0</v>
      </c>
      <c r="D55" s="607">
        <v>243.0</v>
      </c>
      <c r="E55" s="607">
        <v>218.0</v>
      </c>
      <c r="F55" s="607">
        <v>202.0</v>
      </c>
      <c r="G55" s="607">
        <v>223.0</v>
      </c>
      <c r="H55" s="607">
        <v>254.0</v>
      </c>
      <c r="I55" s="607">
        <v>281.0</v>
      </c>
      <c r="J55" s="607">
        <v>252.0</v>
      </c>
      <c r="K55" s="607">
        <v>163.0</v>
      </c>
    </row>
  </sheetData>
  <hyperlinks>
    <hyperlink r:id="rId1" location="Served!B8" ref="B54"/>
    <hyperlink r:id="rId2" location="Served!B8" ref="C54"/>
    <hyperlink r:id="rId3" location="Served!B8" ref="D54"/>
    <hyperlink r:id="rId4" location="Served!B8" ref="E54"/>
    <hyperlink r:id="rId5" location="Served!B8" ref="F54"/>
    <hyperlink r:id="rId6" location="Served!B8" ref="G54"/>
    <hyperlink r:id="rId7" location="Served!B8" ref="H54"/>
    <hyperlink r:id="rId8" location="Served!B8" ref="I54"/>
    <hyperlink r:id="rId9" location="Served!B8" ref="J54"/>
    <hyperlink r:id="rId10" location="Served!B8" ref="K54"/>
  </hyperlinks>
  <drawing r:id="rId1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2" max="11" width="10.13"/>
    <col customWidth="1" min="12" max="12" width="11.13"/>
    <col customWidth="1" min="13" max="17" width="10.13"/>
  </cols>
  <sheetData>
    <row r="1">
      <c r="A1" s="167"/>
      <c r="B1" s="168" t="s">
        <v>39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</row>
    <row r="2">
      <c r="A2" s="169" t="s">
        <v>172</v>
      </c>
      <c r="B2" s="170" t="s">
        <v>174</v>
      </c>
      <c r="C2" s="171" t="s">
        <v>693</v>
      </c>
      <c r="D2" s="608" t="s">
        <v>694</v>
      </c>
      <c r="E2" s="608" t="s">
        <v>695</v>
      </c>
      <c r="F2" s="608" t="s">
        <v>179</v>
      </c>
      <c r="G2" s="608" t="s">
        <v>696</v>
      </c>
      <c r="H2" s="173" t="s">
        <v>697</v>
      </c>
      <c r="I2" s="174" t="s">
        <v>84</v>
      </c>
      <c r="J2" s="170" t="s">
        <v>698</v>
      </c>
      <c r="K2" s="175" t="s">
        <v>699</v>
      </c>
      <c r="L2" s="173" t="s">
        <v>89</v>
      </c>
      <c r="M2" s="176" t="s">
        <v>700</v>
      </c>
      <c r="N2" s="177" t="s">
        <v>701</v>
      </c>
      <c r="O2" s="177" t="s">
        <v>702</v>
      </c>
      <c r="P2" s="178" t="s">
        <v>90</v>
      </c>
      <c r="Q2" s="325" t="s">
        <v>703</v>
      </c>
    </row>
    <row r="3">
      <c r="A3" s="609" t="s">
        <v>39</v>
      </c>
      <c r="B3" s="610">
        <f t="array" ref="B3">VLOOKUP($A3,DC_DEMO,2,FALSE)</f>
        <v>689545</v>
      </c>
      <c r="C3" s="611">
        <f>'DC Data'!B22</f>
        <v>503</v>
      </c>
      <c r="D3" s="612" t="s">
        <v>63</v>
      </c>
      <c r="E3" s="612">
        <f>'DC Data'!B16</f>
        <v>257</v>
      </c>
      <c r="F3" s="612">
        <f>'DC Data'!B12</f>
        <v>111</v>
      </c>
      <c r="G3" s="612">
        <f>'DC Data'!A48</f>
        <v>4</v>
      </c>
      <c r="H3" s="613">
        <f>AFCARSCSC!D12</f>
        <v>386</v>
      </c>
      <c r="I3" s="614">
        <f>AFCARSCSC!C12</f>
        <v>0</v>
      </c>
      <c r="J3" s="615" t="s">
        <v>63</v>
      </c>
      <c r="K3" s="616" t="s">
        <v>63</v>
      </c>
      <c r="L3" s="617">
        <f>'DC Data'!C31</f>
        <v>346</v>
      </c>
      <c r="M3" s="618" t="s">
        <v>63</v>
      </c>
      <c r="N3" s="619" t="s">
        <v>63</v>
      </c>
      <c r="O3" s="619" t="s">
        <v>63</v>
      </c>
      <c r="P3" s="620">
        <f>ifna(vlookup(A3,'Population &amp; Church Numbers'!$A$322:$D$322,4,FALSE),"NULL")</f>
        <v>480</v>
      </c>
      <c r="Q3" s="621" t="s">
        <v>63</v>
      </c>
    </row>
    <row r="4">
      <c r="A4" s="217"/>
      <c r="B4" s="218"/>
      <c r="C4" s="219"/>
      <c r="D4" s="220"/>
      <c r="E4" s="220"/>
      <c r="F4" s="220"/>
      <c r="G4" s="220"/>
      <c r="H4" s="221"/>
      <c r="I4" s="222"/>
      <c r="J4" s="223"/>
      <c r="K4" s="219"/>
      <c r="L4" s="224"/>
      <c r="M4" s="225"/>
      <c r="N4" s="226"/>
      <c r="O4" s="220"/>
      <c r="P4" s="221"/>
      <c r="Q4" s="227"/>
    </row>
    <row r="5">
      <c r="A5" s="228" t="s">
        <v>2</v>
      </c>
      <c r="B5" s="229"/>
      <c r="C5" s="230">
        <f>'DC Data'!B22</f>
        <v>503</v>
      </c>
      <c r="D5" s="311" t="s">
        <v>63</v>
      </c>
      <c r="E5" s="311">
        <f>'DC Data'!B16</f>
        <v>257</v>
      </c>
      <c r="F5" s="311">
        <f>'DC Data'!B12</f>
        <v>111</v>
      </c>
      <c r="G5" s="311" t="s">
        <v>63</v>
      </c>
      <c r="H5" s="233">
        <f>AFCARSCSC!D12</f>
        <v>386</v>
      </c>
      <c r="I5" s="234">
        <f>AFCARSCSC!C12</f>
        <v>0</v>
      </c>
      <c r="J5" s="622">
        <f>'AL Data'!B274</f>
        <v>4558</v>
      </c>
      <c r="K5" s="585" t="s">
        <v>63</v>
      </c>
      <c r="L5" s="623">
        <f>'DC Data'!C31</f>
        <v>346</v>
      </c>
      <c r="M5" s="587" t="s">
        <v>63</v>
      </c>
      <c r="N5" s="588" t="s">
        <v>63</v>
      </c>
      <c r="O5" s="588" t="s">
        <v>63</v>
      </c>
      <c r="P5" s="624">
        <v>480.0</v>
      </c>
      <c r="Q5" s="600" t="s">
        <v>63</v>
      </c>
    </row>
  </sheetData>
  <mergeCells count="1">
    <mergeCell ref="B1:Q1"/>
  </mergeCells>
  <drawing r:id="rId1"/>
  <tableParts count="1">
    <tablePart r:id="rId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2" max="2" width="25.25"/>
    <col customWidth="1" min="8" max="8" width="20.88"/>
    <col customWidth="1" min="9" max="9" width="25.13"/>
    <col customWidth="1" min="11" max="11" width="13.25"/>
  </cols>
  <sheetData>
    <row r="1">
      <c r="A1" s="196" t="s">
        <v>1040</v>
      </c>
      <c r="B1" s="197"/>
      <c r="C1" s="197"/>
      <c r="D1" s="197"/>
      <c r="E1" s="198" t="s">
        <v>765</v>
      </c>
      <c r="F1" s="197"/>
      <c r="G1" s="197"/>
      <c r="H1" s="197"/>
      <c r="I1" s="198" t="s">
        <v>767</v>
      </c>
      <c r="J1" s="625">
        <v>45442.0</v>
      </c>
      <c r="K1" s="198" t="s">
        <v>769</v>
      </c>
      <c r="L1" s="625">
        <v>45291.0</v>
      </c>
      <c r="M1" s="589"/>
    </row>
    <row r="3">
      <c r="A3" s="626" t="s">
        <v>2427</v>
      </c>
      <c r="B3" s="627">
        <v>0.0</v>
      </c>
      <c r="C3" s="628"/>
      <c r="H3" s="10"/>
    </row>
    <row r="4">
      <c r="A4" s="626" t="s">
        <v>2427</v>
      </c>
      <c r="B4" s="629">
        <v>2.0</v>
      </c>
      <c r="C4" s="628"/>
    </row>
    <row r="5">
      <c r="A5" s="630" t="s">
        <v>2429</v>
      </c>
      <c r="B5" s="631"/>
      <c r="C5" s="632"/>
      <c r="E5" s="1"/>
      <c r="F5" s="1"/>
      <c r="H5" s="633"/>
    </row>
    <row r="6">
      <c r="A6" s="630" t="s">
        <v>2429</v>
      </c>
      <c r="B6" s="631"/>
      <c r="C6" s="632"/>
      <c r="H6" s="634"/>
      <c r="I6" s="634"/>
      <c r="J6" s="635"/>
    </row>
    <row r="7">
      <c r="A7" s="630" t="s">
        <v>2430</v>
      </c>
      <c r="B7" s="636">
        <v>0.02</v>
      </c>
      <c r="C7" s="637"/>
      <c r="I7" s="634"/>
      <c r="J7" s="638"/>
    </row>
    <row r="8">
      <c r="A8" s="630" t="s">
        <v>2430</v>
      </c>
      <c r="B8" s="639">
        <v>10.0</v>
      </c>
      <c r="C8" s="632"/>
      <c r="H8" s="634"/>
      <c r="I8" s="634"/>
      <c r="J8" s="635"/>
    </row>
    <row r="9">
      <c r="A9" s="630" t="s">
        <v>2432</v>
      </c>
      <c r="B9" s="636">
        <v>0.14</v>
      </c>
      <c r="C9" s="632"/>
      <c r="I9" s="634"/>
      <c r="J9" s="638"/>
    </row>
    <row r="10">
      <c r="A10" s="630" t="s">
        <v>2432</v>
      </c>
      <c r="B10" s="639">
        <v>71.0</v>
      </c>
      <c r="C10" s="632"/>
      <c r="H10" s="634"/>
      <c r="I10" s="634"/>
      <c r="J10" s="635"/>
    </row>
    <row r="11">
      <c r="A11" s="630" t="s">
        <v>2433</v>
      </c>
      <c r="B11" s="636">
        <v>0.22</v>
      </c>
      <c r="C11" s="632"/>
      <c r="I11" s="634"/>
      <c r="J11" s="638"/>
    </row>
    <row r="12">
      <c r="A12" s="630" t="s">
        <v>2433</v>
      </c>
      <c r="B12" s="639">
        <v>111.0</v>
      </c>
      <c r="C12" s="632"/>
      <c r="H12" s="634"/>
      <c r="I12" s="634"/>
      <c r="J12" s="635"/>
    </row>
    <row r="13">
      <c r="A13" s="630" t="s">
        <v>2434</v>
      </c>
      <c r="B13" s="636">
        <v>0.1</v>
      </c>
      <c r="C13" s="632"/>
      <c r="I13" s="634"/>
      <c r="J13" s="638"/>
    </row>
    <row r="14">
      <c r="A14" s="630" t="s">
        <v>2434</v>
      </c>
      <c r="B14" s="639">
        <v>51.0</v>
      </c>
      <c r="C14" s="632"/>
      <c r="H14" s="634"/>
      <c r="I14" s="634"/>
      <c r="J14" s="635"/>
    </row>
    <row r="15">
      <c r="A15" s="630" t="s">
        <v>2225</v>
      </c>
      <c r="B15" s="636">
        <v>0.51</v>
      </c>
      <c r="C15" s="632"/>
      <c r="I15" s="634"/>
      <c r="J15" s="638"/>
    </row>
    <row r="16">
      <c r="A16" s="630" t="s">
        <v>2225</v>
      </c>
      <c r="B16" s="639">
        <v>257.0</v>
      </c>
      <c r="C16" s="632"/>
      <c r="H16" s="634"/>
      <c r="I16" s="634"/>
      <c r="J16" s="635"/>
    </row>
    <row r="17">
      <c r="A17" s="630" t="s">
        <v>2435</v>
      </c>
      <c r="B17" s="636">
        <v>0.0</v>
      </c>
      <c r="C17" s="632"/>
      <c r="I17" s="634"/>
      <c r="J17" s="638"/>
    </row>
    <row r="18" ht="27.0" customHeight="1">
      <c r="A18" s="630" t="s">
        <v>2435</v>
      </c>
      <c r="B18" s="639">
        <v>1.0</v>
      </c>
      <c r="C18" s="632"/>
    </row>
    <row r="19">
      <c r="A19" s="630" t="s">
        <v>2436</v>
      </c>
      <c r="B19" s="631"/>
      <c r="C19" s="632"/>
    </row>
    <row r="20">
      <c r="A20" s="630" t="s">
        <v>2436</v>
      </c>
      <c r="B20" s="631"/>
      <c r="C20" s="632"/>
    </row>
    <row r="21">
      <c r="A21" s="641" t="s">
        <v>2395</v>
      </c>
      <c r="B21" s="642">
        <v>1.0</v>
      </c>
    </row>
    <row r="22">
      <c r="A22" s="643" t="s">
        <v>2395</v>
      </c>
      <c r="B22" s="644">
        <v>503.0</v>
      </c>
    </row>
    <row r="28">
      <c r="A28" s="196" t="s">
        <v>2438</v>
      </c>
      <c r="B28" s="197"/>
      <c r="C28" s="197"/>
      <c r="D28" s="197"/>
      <c r="E28" s="198" t="s">
        <v>765</v>
      </c>
      <c r="F28" s="197"/>
      <c r="G28" s="197"/>
      <c r="H28" s="197"/>
      <c r="I28" s="198" t="s">
        <v>767</v>
      </c>
      <c r="J28" s="625">
        <v>45442.0</v>
      </c>
      <c r="K28" s="198" t="s">
        <v>769</v>
      </c>
      <c r="L28" s="625">
        <v>45381.0</v>
      </c>
      <c r="M28" s="589"/>
    </row>
    <row r="30">
      <c r="A30" s="645" t="s">
        <v>2439</v>
      </c>
      <c r="B30" s="646" t="s">
        <v>2420</v>
      </c>
      <c r="C30" s="646" t="s">
        <v>2440</v>
      </c>
    </row>
    <row r="31">
      <c r="B31" s="647">
        <v>908.0</v>
      </c>
      <c r="C31" s="444">
        <v>346.0</v>
      </c>
    </row>
    <row r="47">
      <c r="A47" s="275" t="s">
        <v>2441</v>
      </c>
      <c r="B47" s="276"/>
      <c r="C47" s="276"/>
      <c r="D47" s="276"/>
      <c r="E47" s="275" t="s">
        <v>765</v>
      </c>
      <c r="F47" s="275" t="s">
        <v>2442</v>
      </c>
      <c r="G47" s="276"/>
      <c r="H47" s="276"/>
      <c r="I47" s="275" t="s">
        <v>767</v>
      </c>
      <c r="J47" s="648">
        <v>45728.0</v>
      </c>
      <c r="K47" s="275" t="s">
        <v>769</v>
      </c>
      <c r="L47" s="276"/>
      <c r="M47" s="275" t="s">
        <v>2443</v>
      </c>
    </row>
    <row r="48">
      <c r="A48" s="1">
        <v>4.0</v>
      </c>
    </row>
    <row r="97">
      <c r="A97" s="275" t="s">
        <v>2444</v>
      </c>
      <c r="B97" s="276"/>
      <c r="C97" s="276"/>
      <c r="D97" s="276"/>
      <c r="E97" s="275" t="s">
        <v>765</v>
      </c>
      <c r="F97" s="275" t="s">
        <v>2442</v>
      </c>
      <c r="G97" s="276"/>
      <c r="H97" s="276"/>
      <c r="I97" s="275" t="s">
        <v>767</v>
      </c>
      <c r="J97" s="648">
        <v>45728.0</v>
      </c>
      <c r="K97" s="275" t="s">
        <v>769</v>
      </c>
      <c r="L97" s="276"/>
      <c r="M97" s="275" t="s">
        <v>2445</v>
      </c>
    </row>
    <row r="98">
      <c r="A98" s="649">
        <v>0.37</v>
      </c>
    </row>
  </sheetData>
  <mergeCells count="7">
    <mergeCell ref="H5:J5"/>
    <mergeCell ref="H6:H7"/>
    <mergeCell ref="H8:H9"/>
    <mergeCell ref="H10:H11"/>
    <mergeCell ref="H12:H13"/>
    <mergeCell ref="H14:H15"/>
    <mergeCell ref="H16:H17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2" width="10.75"/>
    <col customWidth="1" min="3" max="9" width="10.13"/>
    <col customWidth="1" min="10" max="10" width="11.13"/>
    <col customWidth="1" min="11" max="11" width="10.13"/>
    <col customWidth="1" min="12" max="12" width="13.63"/>
    <col customWidth="1" min="13" max="14" width="10.13"/>
    <col customWidth="1" min="15" max="15" width="11.38"/>
    <col customWidth="1" min="16" max="17" width="10.13"/>
  </cols>
  <sheetData>
    <row r="1">
      <c r="A1" s="167"/>
      <c r="B1" s="168" t="s">
        <v>42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</row>
    <row r="2">
      <c r="A2" s="169" t="s">
        <v>172</v>
      </c>
      <c r="B2" s="170" t="s">
        <v>174</v>
      </c>
      <c r="C2" s="171" t="s">
        <v>693</v>
      </c>
      <c r="D2" s="172" t="s">
        <v>694</v>
      </c>
      <c r="E2" s="172" t="s">
        <v>695</v>
      </c>
      <c r="F2" s="172" t="s">
        <v>179</v>
      </c>
      <c r="G2" s="172" t="s">
        <v>696</v>
      </c>
      <c r="H2" s="173" t="s">
        <v>697</v>
      </c>
      <c r="I2" s="174" t="s">
        <v>84</v>
      </c>
      <c r="J2" s="170" t="s">
        <v>698</v>
      </c>
      <c r="K2" s="175" t="s">
        <v>699</v>
      </c>
      <c r="L2" s="173" t="s">
        <v>89</v>
      </c>
      <c r="M2" s="176" t="s">
        <v>700</v>
      </c>
      <c r="N2" s="177" t="s">
        <v>701</v>
      </c>
      <c r="O2" s="177" t="s">
        <v>702</v>
      </c>
      <c r="P2" s="178" t="s">
        <v>90</v>
      </c>
      <c r="Q2" s="325" t="s">
        <v>703</v>
      </c>
    </row>
    <row r="3">
      <c r="A3" s="326" t="s">
        <v>479</v>
      </c>
      <c r="B3" s="251">
        <f t="array" ref="B3">VLOOKUP($A3,FL_DEMO,2,FALSE)</f>
        <v>278468</v>
      </c>
      <c r="C3" s="327">
        <f>vlookup(A3,'FL Data'!$A$3:$F$71,2,FALSE)</f>
        <v>232</v>
      </c>
      <c r="D3" s="253" t="s">
        <v>63</v>
      </c>
      <c r="E3" s="382">
        <f>vlookup(A3,'FL Data'!$A$3:$F$71,3,FALSE)</f>
        <v>132</v>
      </c>
      <c r="F3" s="382">
        <f>vlookup(A3,'FL Data'!$A$3:$F$71,4,FALSE)</f>
        <v>76</v>
      </c>
      <c r="G3" s="253" t="s">
        <v>63</v>
      </c>
      <c r="H3" s="254" t="s">
        <v>63</v>
      </c>
      <c r="I3" s="255" t="s">
        <v>63</v>
      </c>
      <c r="J3" s="478" t="s">
        <v>63</v>
      </c>
      <c r="K3" s="650">
        <v>0.7413793103448276</v>
      </c>
      <c r="L3" s="254" t="s">
        <v>63</v>
      </c>
      <c r="M3" s="480" t="s">
        <v>63</v>
      </c>
      <c r="N3" s="260" t="s">
        <v>63</v>
      </c>
      <c r="O3" s="260" t="s">
        <v>63</v>
      </c>
      <c r="P3" s="261">
        <f>ifna(vlookup(A3,'Population &amp; Church Numbers'!$A$323:$D$389,4,FALSE),"NULL")</f>
        <v>214</v>
      </c>
      <c r="Q3" s="597" t="s">
        <v>63</v>
      </c>
    </row>
    <row r="4">
      <c r="A4" s="188" t="s">
        <v>481</v>
      </c>
      <c r="B4" s="189">
        <f t="array" ref="B4">VLOOKUP($A4,FL_DEMO,2,FALSE)</f>
        <v>28259</v>
      </c>
      <c r="C4" s="333">
        <f>vlookup(A4,'FL Data'!$A$3:$F$71,2,FALSE)</f>
        <v>28</v>
      </c>
      <c r="D4" s="265" t="s">
        <v>63</v>
      </c>
      <c r="E4" s="391">
        <f>vlookup(A4,'FL Data'!$A$3:$F$71,3,FALSE)</f>
        <v>18</v>
      </c>
      <c r="F4" s="391">
        <f>vlookup(A4,'FL Data'!$A$3:$F$71,4,FALSE)</f>
        <v>5</v>
      </c>
      <c r="G4" s="265" t="s">
        <v>63</v>
      </c>
      <c r="H4" s="266" t="s">
        <v>63</v>
      </c>
      <c r="I4" s="267" t="s">
        <v>63</v>
      </c>
      <c r="J4" s="491" t="s">
        <v>63</v>
      </c>
      <c r="K4" s="651">
        <v>0.8</v>
      </c>
      <c r="L4" s="266" t="s">
        <v>63</v>
      </c>
      <c r="M4" s="581" t="s">
        <v>63</v>
      </c>
      <c r="N4" s="271" t="s">
        <v>63</v>
      </c>
      <c r="O4" s="271" t="s">
        <v>63</v>
      </c>
      <c r="P4" s="272">
        <f>ifna(vlookup(A4,'Population &amp; Church Numbers'!$A$323:$D$389,4,FALSE),"NULL")</f>
        <v>38</v>
      </c>
      <c r="Q4" s="599" t="s">
        <v>63</v>
      </c>
    </row>
    <row r="5">
      <c r="A5" s="326" t="s">
        <v>482</v>
      </c>
      <c r="B5" s="251">
        <f t="array" ref="B5">VLOOKUP($A5,FL_DEMO,2,FALSE)</f>
        <v>175216</v>
      </c>
      <c r="C5" s="327">
        <f>vlookup(A5,'FL Data'!$A$3:$F$71,2,FALSE)</f>
        <v>244</v>
      </c>
      <c r="D5" s="253" t="s">
        <v>63</v>
      </c>
      <c r="E5" s="382">
        <f>vlookup(A5,'FL Data'!$A$3:$F$71,3,FALSE)</f>
        <v>141</v>
      </c>
      <c r="F5" s="382">
        <f>vlookup(A5,'FL Data'!$A$3:$F$71,4,FALSE)</f>
        <v>56</v>
      </c>
      <c r="G5" s="253" t="s">
        <v>63</v>
      </c>
      <c r="H5" s="254" t="s">
        <v>63</v>
      </c>
      <c r="I5" s="255" t="s">
        <v>63</v>
      </c>
      <c r="J5" s="478" t="s">
        <v>63</v>
      </c>
      <c r="K5" s="650">
        <v>0.8657407407407407</v>
      </c>
      <c r="L5" s="254" t="s">
        <v>63</v>
      </c>
      <c r="M5" s="583" t="s">
        <v>63</v>
      </c>
      <c r="N5" s="260" t="s">
        <v>63</v>
      </c>
      <c r="O5" s="260" t="s">
        <v>63</v>
      </c>
      <c r="P5" s="261">
        <f>ifna(vlookup(A5,'Population &amp; Church Numbers'!$A$323:$D$389,4,FALSE),"NULL")</f>
        <v>144</v>
      </c>
      <c r="Q5" s="597" t="s">
        <v>63</v>
      </c>
    </row>
    <row r="6">
      <c r="A6" s="188" t="s">
        <v>483</v>
      </c>
      <c r="B6" s="189">
        <f t="array" ref="B6">VLOOKUP($A6,FL_DEMO,2,FALSE)</f>
        <v>28303</v>
      </c>
      <c r="C6" s="333">
        <f>vlookup(A6,'FL Data'!$A$3:$F$71,2,FALSE)</f>
        <v>42</v>
      </c>
      <c r="D6" s="265" t="s">
        <v>63</v>
      </c>
      <c r="E6" s="391">
        <f>vlookup(A6,'FL Data'!$A$3:$F$71,3,FALSE)</f>
        <v>22</v>
      </c>
      <c r="F6" s="391">
        <f>vlookup(A6,'FL Data'!$A$3:$F$71,4,FALSE)</f>
        <v>8</v>
      </c>
      <c r="G6" s="265" t="s">
        <v>63</v>
      </c>
      <c r="H6" s="266" t="s">
        <v>63</v>
      </c>
      <c r="I6" s="267" t="s">
        <v>63</v>
      </c>
      <c r="J6" s="491" t="s">
        <v>63</v>
      </c>
      <c r="K6" s="651">
        <v>0.48717948717948717</v>
      </c>
      <c r="L6" s="266" t="s">
        <v>63</v>
      </c>
      <c r="M6" s="581" t="s">
        <v>63</v>
      </c>
      <c r="N6" s="271" t="s">
        <v>63</v>
      </c>
      <c r="O6" s="271" t="s">
        <v>63</v>
      </c>
      <c r="P6" s="272">
        <f>ifna(vlookup(A6,'Population &amp; Church Numbers'!$A$323:$D$389,4,FALSE),"NULL")</f>
        <v>50</v>
      </c>
      <c r="Q6" s="599" t="s">
        <v>63</v>
      </c>
    </row>
    <row r="7">
      <c r="A7" s="326" t="s">
        <v>484</v>
      </c>
      <c r="B7" s="251">
        <f t="array" ref="B7">VLOOKUP($A7,FL_DEMO,2,FALSE)</f>
        <v>606612</v>
      </c>
      <c r="C7" s="327">
        <f>vlookup(A7,'FL Data'!$A$3:$F$71,2,FALSE)</f>
        <v>699</v>
      </c>
      <c r="D7" s="253" t="s">
        <v>63</v>
      </c>
      <c r="E7" s="382">
        <f>vlookup(A7,'FL Data'!$A$3:$F$71,3,FALSE)</f>
        <v>304</v>
      </c>
      <c r="F7" s="382">
        <f>vlookup(A7,'FL Data'!$A$3:$F$71,4,FALSE)</f>
        <v>266</v>
      </c>
      <c r="G7" s="253" t="s">
        <v>63</v>
      </c>
      <c r="H7" s="254" t="s">
        <v>63</v>
      </c>
      <c r="I7" s="255" t="s">
        <v>63</v>
      </c>
      <c r="J7" s="478" t="s">
        <v>63</v>
      </c>
      <c r="K7" s="650">
        <v>0.7963709677419355</v>
      </c>
      <c r="L7" s="254" t="s">
        <v>63</v>
      </c>
      <c r="M7" s="583" t="s">
        <v>63</v>
      </c>
      <c r="N7" s="260" t="s">
        <v>63</v>
      </c>
      <c r="O7" s="260" t="s">
        <v>63</v>
      </c>
      <c r="P7" s="261">
        <f>ifna(vlookup(A7,'Population &amp; Church Numbers'!$A$323:$D$389,4,FALSE),"NULL")</f>
        <v>324</v>
      </c>
      <c r="Q7" s="597" t="s">
        <v>63</v>
      </c>
    </row>
    <row r="8">
      <c r="A8" s="188" t="s">
        <v>269</v>
      </c>
      <c r="B8" s="189">
        <f t="array" ref="B8">VLOOKUP($A8,FL_DEMO,2,FALSE)</f>
        <v>1944375</v>
      </c>
      <c r="C8" s="335">
        <f>vlookup(A8,'FL Data'!$A$3:$F$71,2,FALSE)</f>
        <v>1067</v>
      </c>
      <c r="D8" s="265" t="s">
        <v>63</v>
      </c>
      <c r="E8" s="391">
        <f>vlookup(A8,'FL Data'!$A$3:$F$71,3,FALSE)</f>
        <v>456</v>
      </c>
      <c r="F8" s="391">
        <f>vlookup(A8,'FL Data'!$A$3:$F$71,4,FALSE)</f>
        <v>365</v>
      </c>
      <c r="G8" s="265" t="s">
        <v>63</v>
      </c>
      <c r="H8" s="266" t="s">
        <v>63</v>
      </c>
      <c r="I8" s="267" t="s">
        <v>63</v>
      </c>
      <c r="J8" s="491" t="s">
        <v>63</v>
      </c>
      <c r="K8" s="651">
        <v>0.6872093023255814</v>
      </c>
      <c r="L8" s="266" t="s">
        <v>63</v>
      </c>
      <c r="M8" s="581" t="s">
        <v>63</v>
      </c>
      <c r="N8" s="271" t="s">
        <v>63</v>
      </c>
      <c r="O8" s="271" t="s">
        <v>63</v>
      </c>
      <c r="P8" s="272">
        <f>ifna(vlookup(A8,'Population &amp; Church Numbers'!$A$323:$D$389,4,FALSE),"NULL")</f>
        <v>702</v>
      </c>
      <c r="Q8" s="599" t="s">
        <v>63</v>
      </c>
    </row>
    <row r="9">
      <c r="A9" s="326" t="s">
        <v>93</v>
      </c>
      <c r="B9" s="251">
        <f t="array" ref="B9">VLOOKUP($A9,FL_DEMO,2,FALSE)</f>
        <v>13648</v>
      </c>
      <c r="C9" s="327">
        <f>vlookup(A9,'FL Data'!$A$3:$F$71,2,FALSE)</f>
        <v>11</v>
      </c>
      <c r="D9" s="253" t="s">
        <v>63</v>
      </c>
      <c r="E9" s="382">
        <f>vlookup(A9,'FL Data'!$A$3:$F$71,3,FALSE)</f>
        <v>7</v>
      </c>
      <c r="F9" s="382">
        <f>vlookup(A9,'FL Data'!$A$3:$F$71,4,FALSE)</f>
        <v>2</v>
      </c>
      <c r="G9" s="253" t="s">
        <v>63</v>
      </c>
      <c r="H9" s="254" t="s">
        <v>63</v>
      </c>
      <c r="I9" s="255" t="s">
        <v>63</v>
      </c>
      <c r="J9" s="478" t="s">
        <v>63</v>
      </c>
      <c r="K9" s="650">
        <v>0.0</v>
      </c>
      <c r="L9" s="254" t="s">
        <v>63</v>
      </c>
      <c r="M9" s="583" t="s">
        <v>63</v>
      </c>
      <c r="N9" s="260" t="s">
        <v>63</v>
      </c>
      <c r="O9" s="260" t="s">
        <v>63</v>
      </c>
      <c r="P9" s="261">
        <f>ifna(vlookup(A9,'Population &amp; Church Numbers'!$A$323:$D$389,4,FALSE),"NULL")</f>
        <v>27</v>
      </c>
      <c r="Q9" s="597" t="s">
        <v>63</v>
      </c>
    </row>
    <row r="10">
      <c r="A10" s="188" t="s">
        <v>486</v>
      </c>
      <c r="B10" s="189">
        <f t="array" ref="B10">VLOOKUP($A10,FL_DEMO,2,FALSE)</f>
        <v>186847</v>
      </c>
      <c r="C10" s="333">
        <f>vlookup(A10,'FL Data'!$A$3:$F$71,2,FALSE)</f>
        <v>62</v>
      </c>
      <c r="D10" s="265" t="s">
        <v>63</v>
      </c>
      <c r="E10" s="391">
        <f>vlookup(A10,'FL Data'!$A$3:$F$71,3,FALSE)</f>
        <v>36</v>
      </c>
      <c r="F10" s="391">
        <f>vlookup(A10,'FL Data'!$A$3:$F$71,4,FALSE)</f>
        <v>16</v>
      </c>
      <c r="G10" s="265" t="s">
        <v>63</v>
      </c>
      <c r="H10" s="266" t="s">
        <v>63</v>
      </c>
      <c r="I10" s="267" t="s">
        <v>63</v>
      </c>
      <c r="J10" s="491" t="s">
        <v>63</v>
      </c>
      <c r="K10" s="651">
        <v>0.36619718309859156</v>
      </c>
      <c r="L10" s="266" t="s">
        <v>63</v>
      </c>
      <c r="M10" s="581" t="s">
        <v>63</v>
      </c>
      <c r="N10" s="271" t="s">
        <v>63</v>
      </c>
      <c r="O10" s="271" t="s">
        <v>63</v>
      </c>
      <c r="P10" s="272">
        <f>ifna(vlookup(A10,'Population &amp; Church Numbers'!$A$323:$D$389,4,FALSE),"NULL")</f>
        <v>97</v>
      </c>
      <c r="Q10" s="599" t="s">
        <v>63</v>
      </c>
    </row>
    <row r="11">
      <c r="A11" s="326" t="s">
        <v>487</v>
      </c>
      <c r="B11" s="251">
        <f t="array" ref="B11">VLOOKUP($A11,FL_DEMO,2,FALSE)</f>
        <v>153843</v>
      </c>
      <c r="C11" s="327">
        <f>vlookup(A11,'FL Data'!$A$3:$F$71,2,FALSE)</f>
        <v>248</v>
      </c>
      <c r="D11" s="253" t="s">
        <v>63</v>
      </c>
      <c r="E11" s="382">
        <f>vlookup(A11,'FL Data'!$A$3:$F$71,3,FALSE)</f>
        <v>108</v>
      </c>
      <c r="F11" s="382">
        <f>vlookup(A11,'FL Data'!$A$3:$F$71,4,FALSE)</f>
        <v>106</v>
      </c>
      <c r="G11" s="253" t="s">
        <v>63</v>
      </c>
      <c r="H11" s="254" t="s">
        <v>63</v>
      </c>
      <c r="I11" s="255" t="s">
        <v>63</v>
      </c>
      <c r="J11" s="478" t="s">
        <v>63</v>
      </c>
      <c r="K11" s="650">
        <v>0.8524590163934426</v>
      </c>
      <c r="L11" s="254" t="s">
        <v>63</v>
      </c>
      <c r="M11" s="583" t="s">
        <v>63</v>
      </c>
      <c r="N11" s="260" t="s">
        <v>63</v>
      </c>
      <c r="O11" s="260" t="s">
        <v>63</v>
      </c>
      <c r="P11" s="261">
        <f>ifna(vlookup(A11,'Population &amp; Church Numbers'!$A$323:$D$389,4,FALSE),"NULL")</f>
        <v>105</v>
      </c>
      <c r="Q11" s="597" t="s">
        <v>63</v>
      </c>
    </row>
    <row r="12">
      <c r="A12" s="188" t="s">
        <v>112</v>
      </c>
      <c r="B12" s="189">
        <f t="array" ref="B12">VLOOKUP($A12,FL_DEMO,2,FALSE)</f>
        <v>218245</v>
      </c>
      <c r="C12" s="333">
        <f>vlookup(A12,'FL Data'!$A$3:$F$71,2,FALSE)</f>
        <v>179</v>
      </c>
      <c r="D12" s="265" t="s">
        <v>63</v>
      </c>
      <c r="E12" s="391">
        <f>vlookup(A12,'FL Data'!$A$3:$F$71,3,FALSE)</f>
        <v>119</v>
      </c>
      <c r="F12" s="391">
        <f>vlookup(A12,'FL Data'!$A$3:$F$71,4,FALSE)</f>
        <v>42</v>
      </c>
      <c r="G12" s="265" t="s">
        <v>63</v>
      </c>
      <c r="H12" s="266" t="s">
        <v>63</v>
      </c>
      <c r="I12" s="267" t="s">
        <v>63</v>
      </c>
      <c r="J12" s="491" t="s">
        <v>63</v>
      </c>
      <c r="K12" s="651">
        <v>0.9150943396226415</v>
      </c>
      <c r="L12" s="266" t="s">
        <v>63</v>
      </c>
      <c r="M12" s="581" t="s">
        <v>63</v>
      </c>
      <c r="N12" s="271" t="s">
        <v>63</v>
      </c>
      <c r="O12" s="271" t="s">
        <v>63</v>
      </c>
      <c r="P12" s="272">
        <f>ifna(vlookup(A12,'Population &amp; Church Numbers'!$A$323:$D$389,4,FALSE),"NULL")</f>
        <v>120</v>
      </c>
      <c r="Q12" s="599" t="s">
        <v>63</v>
      </c>
    </row>
    <row r="13">
      <c r="A13" s="326" t="s">
        <v>488</v>
      </c>
      <c r="B13" s="251">
        <f t="array" ref="B13">VLOOKUP($A13,FL_DEMO,2,FALSE)</f>
        <v>375752</v>
      </c>
      <c r="C13" s="327">
        <f>vlookup(A13,'FL Data'!$A$3:$F$71,2,FALSE)</f>
        <v>176</v>
      </c>
      <c r="D13" s="253" t="s">
        <v>63</v>
      </c>
      <c r="E13" s="382">
        <f>vlookup(A13,'FL Data'!$A$3:$F$71,3,FALSE)</f>
        <v>105</v>
      </c>
      <c r="F13" s="382">
        <f>vlookup(A13,'FL Data'!$A$3:$F$71,4,FALSE)</f>
        <v>40</v>
      </c>
      <c r="G13" s="253" t="s">
        <v>63</v>
      </c>
      <c r="H13" s="254" t="s">
        <v>63</v>
      </c>
      <c r="I13" s="255" t="s">
        <v>63</v>
      </c>
      <c r="J13" s="478" t="s">
        <v>63</v>
      </c>
      <c r="K13" s="650">
        <v>0.7574257425742574</v>
      </c>
      <c r="L13" s="254" t="s">
        <v>63</v>
      </c>
      <c r="M13" s="583" t="s">
        <v>63</v>
      </c>
      <c r="N13" s="260" t="s">
        <v>63</v>
      </c>
      <c r="O13" s="260" t="s">
        <v>63</v>
      </c>
      <c r="P13" s="261">
        <f>ifna(vlookup(A13,'Population &amp; Church Numbers'!$A$323:$D$389,4,FALSE),"NULL")</f>
        <v>139</v>
      </c>
      <c r="Q13" s="597" t="s">
        <v>63</v>
      </c>
    </row>
    <row r="14">
      <c r="A14" s="188" t="s">
        <v>258</v>
      </c>
      <c r="B14" s="189">
        <f t="array" ref="B14">VLOOKUP($A14,FL_DEMO,2,FALSE)</f>
        <v>69698</v>
      </c>
      <c r="C14" s="333">
        <f>vlookup(A14,'FL Data'!$A$3:$F$71,2,FALSE)</f>
        <v>189</v>
      </c>
      <c r="D14" s="265" t="s">
        <v>63</v>
      </c>
      <c r="E14" s="391">
        <f>vlookup(A14,'FL Data'!$A$3:$F$71,3,FALSE)</f>
        <v>106</v>
      </c>
      <c r="F14" s="391">
        <f>vlookup(A14,'FL Data'!$A$3:$F$71,4,FALSE)</f>
        <v>54</v>
      </c>
      <c r="G14" s="265" t="s">
        <v>63</v>
      </c>
      <c r="H14" s="266" t="s">
        <v>63</v>
      </c>
      <c r="I14" s="267" t="s">
        <v>63</v>
      </c>
      <c r="J14" s="491" t="s">
        <v>63</v>
      </c>
      <c r="K14" s="651">
        <v>0.6509433962264151</v>
      </c>
      <c r="L14" s="266" t="s">
        <v>63</v>
      </c>
      <c r="M14" s="581" t="s">
        <v>63</v>
      </c>
      <c r="N14" s="271" t="s">
        <v>63</v>
      </c>
      <c r="O14" s="271" t="s">
        <v>63</v>
      </c>
      <c r="P14" s="272">
        <f>ifna(vlookup(A14,'Population &amp; Church Numbers'!$A$323:$D$389,4,FALSE),"NULL")</f>
        <v>83</v>
      </c>
      <c r="Q14" s="599" t="s">
        <v>63</v>
      </c>
    </row>
    <row r="15">
      <c r="A15" s="326" t="s">
        <v>2446</v>
      </c>
      <c r="B15" s="251">
        <f t="array" ref="B15">VLOOKUP($A15,FL_DEMO,2,FALSE)</f>
        <v>33976</v>
      </c>
      <c r="C15" s="327">
        <f>vlookup(A15,'FL Data'!$A$3:$F$71,2,FALSE)</f>
        <v>51</v>
      </c>
      <c r="D15" s="253" t="s">
        <v>63</v>
      </c>
      <c r="E15" s="382">
        <f>vlookup(A15,'FL Data'!$A$3:$F$71,3,FALSE)</f>
        <v>21</v>
      </c>
      <c r="F15" s="382">
        <f>vlookup(A15,'FL Data'!$A$3:$F$71,4,FALSE)</f>
        <v>18</v>
      </c>
      <c r="G15" s="253" t="s">
        <v>63</v>
      </c>
      <c r="H15" s="254" t="s">
        <v>63</v>
      </c>
      <c r="I15" s="255" t="s">
        <v>63</v>
      </c>
      <c r="J15" s="478" t="s">
        <v>63</v>
      </c>
      <c r="K15" s="650">
        <v>0.5252525252525253</v>
      </c>
      <c r="L15" s="254" t="s">
        <v>63</v>
      </c>
      <c r="M15" s="583" t="s">
        <v>63</v>
      </c>
      <c r="N15" s="260" t="s">
        <v>63</v>
      </c>
      <c r="O15" s="260" t="s">
        <v>63</v>
      </c>
      <c r="P15" s="261">
        <f>ifna(vlookup(A15,'Population &amp; Church Numbers'!$A$323:$D$389,4,FALSE),"NULL")</f>
        <v>32</v>
      </c>
      <c r="Q15" s="597" t="s">
        <v>63</v>
      </c>
    </row>
    <row r="16">
      <c r="A16" s="188" t="s">
        <v>490</v>
      </c>
      <c r="B16" s="189">
        <f t="array" ref="B16">VLOOKUP($A16,FL_DEMO,2,FALSE)</f>
        <v>16759</v>
      </c>
      <c r="C16" s="333">
        <f>vlookup(A16,'FL Data'!$A$3:$F$71,2,FALSE)</f>
        <v>42</v>
      </c>
      <c r="D16" s="265" t="s">
        <v>63</v>
      </c>
      <c r="E16" s="391">
        <f>vlookup(A16,'FL Data'!$A$3:$F$71,3,FALSE)</f>
        <v>29</v>
      </c>
      <c r="F16" s="391">
        <f>vlookup(A16,'FL Data'!$A$3:$F$71,4,FALSE)</f>
        <v>9</v>
      </c>
      <c r="G16" s="265" t="s">
        <v>63</v>
      </c>
      <c r="H16" s="266" t="s">
        <v>63</v>
      </c>
      <c r="I16" s="267" t="s">
        <v>63</v>
      </c>
      <c r="J16" s="491" t="s">
        <v>63</v>
      </c>
      <c r="K16" s="651">
        <v>0.8181818181818182</v>
      </c>
      <c r="L16" s="266" t="s">
        <v>63</v>
      </c>
      <c r="M16" s="581" t="s">
        <v>63</v>
      </c>
      <c r="N16" s="271" t="s">
        <v>63</v>
      </c>
      <c r="O16" s="271" t="s">
        <v>63</v>
      </c>
      <c r="P16" s="272">
        <f>ifna(vlookup(A16,'Population &amp; Church Numbers'!$A$323:$D$389,4,FALSE),"NULL")</f>
        <v>22</v>
      </c>
      <c r="Q16" s="599" t="s">
        <v>63</v>
      </c>
    </row>
    <row r="17">
      <c r="A17" s="326" t="s">
        <v>433</v>
      </c>
      <c r="B17" s="251">
        <f t="array" ref="B17">VLOOKUP($A17,FL_DEMO,2,FALSE)</f>
        <v>995567</v>
      </c>
      <c r="C17" s="327">
        <f>vlookup(A17,'FL Data'!$A$3:$F$71,2,FALSE)</f>
        <v>1069</v>
      </c>
      <c r="D17" s="253" t="s">
        <v>63</v>
      </c>
      <c r="E17" s="382">
        <f>vlookup(A17,'FL Data'!$A$3:$F$71,3,FALSE)</f>
        <v>740</v>
      </c>
      <c r="F17" s="382">
        <f>vlookup(A17,'FL Data'!$A$3:$F$71,4,FALSE)</f>
        <v>184</v>
      </c>
      <c r="G17" s="253" t="s">
        <v>63</v>
      </c>
      <c r="H17" s="254" t="s">
        <v>63</v>
      </c>
      <c r="I17" s="255" t="s">
        <v>63</v>
      </c>
      <c r="J17" s="478" t="s">
        <v>63</v>
      </c>
      <c r="K17" s="650">
        <v>0.6840077071290944</v>
      </c>
      <c r="L17" s="254" t="s">
        <v>63</v>
      </c>
      <c r="M17" s="583" t="s">
        <v>63</v>
      </c>
      <c r="N17" s="260" t="s">
        <v>63</v>
      </c>
      <c r="O17" s="260" t="s">
        <v>63</v>
      </c>
      <c r="P17" s="261">
        <f>ifna(vlookup(A17,'Population &amp; Church Numbers'!$A$323:$D$389,4,FALSE),"NULL")</f>
        <v>711</v>
      </c>
      <c r="Q17" s="597" t="s">
        <v>63</v>
      </c>
    </row>
    <row r="18">
      <c r="A18" s="188" t="s">
        <v>133</v>
      </c>
      <c r="B18" s="189">
        <f t="array" ref="B18">VLOOKUP($A18,FL_DEMO,2,FALSE)</f>
        <v>321905</v>
      </c>
      <c r="C18" s="333">
        <f>vlookup(A18,'FL Data'!$A$3:$F$71,2,FALSE)</f>
        <v>582</v>
      </c>
      <c r="D18" s="265" t="s">
        <v>63</v>
      </c>
      <c r="E18" s="391">
        <f>vlookup(A18,'FL Data'!$A$3:$F$71,3,FALSE)</f>
        <v>369</v>
      </c>
      <c r="F18" s="391">
        <f>vlookup(A18,'FL Data'!$A$3:$F$71,4,FALSE)</f>
        <v>113</v>
      </c>
      <c r="G18" s="265" t="s">
        <v>63</v>
      </c>
      <c r="H18" s="266" t="s">
        <v>63</v>
      </c>
      <c r="I18" s="267" t="s">
        <v>63</v>
      </c>
      <c r="J18" s="491" t="s">
        <v>63</v>
      </c>
      <c r="K18" s="651">
        <v>0.7647058823529411</v>
      </c>
      <c r="L18" s="266" t="s">
        <v>63</v>
      </c>
      <c r="M18" s="581" t="s">
        <v>63</v>
      </c>
      <c r="N18" s="271" t="s">
        <v>63</v>
      </c>
      <c r="O18" s="271" t="s">
        <v>63</v>
      </c>
      <c r="P18" s="272">
        <f>ifna(vlookup(A18,'Population &amp; Church Numbers'!$A$323:$D$389,4,FALSE),"NULL")</f>
        <v>304</v>
      </c>
      <c r="Q18" s="599" t="s">
        <v>63</v>
      </c>
    </row>
    <row r="19">
      <c r="A19" s="326" t="s">
        <v>491</v>
      </c>
      <c r="B19" s="251">
        <f t="array" ref="B19">VLOOKUP($A19,FL_DEMO,2,FALSE)</f>
        <v>115378</v>
      </c>
      <c r="C19" s="327">
        <f>vlookup(A19,'FL Data'!$A$3:$F$71,2,FALSE)</f>
        <v>47</v>
      </c>
      <c r="D19" s="253" t="s">
        <v>63</v>
      </c>
      <c r="E19" s="382">
        <f>vlookup(A19,'FL Data'!$A$3:$F$71,3,FALSE)</f>
        <v>23</v>
      </c>
      <c r="F19" s="382">
        <f>vlookup(A19,'FL Data'!$A$3:$F$71,4,FALSE)</f>
        <v>13</v>
      </c>
      <c r="G19" s="253" t="s">
        <v>63</v>
      </c>
      <c r="H19" s="254" t="s">
        <v>63</v>
      </c>
      <c r="I19" s="255" t="s">
        <v>63</v>
      </c>
      <c r="J19" s="478" t="s">
        <v>63</v>
      </c>
      <c r="K19" s="650">
        <v>0.8</v>
      </c>
      <c r="L19" s="254" t="s">
        <v>63</v>
      </c>
      <c r="M19" s="583" t="s">
        <v>63</v>
      </c>
      <c r="N19" s="260" t="s">
        <v>63</v>
      </c>
      <c r="O19" s="260" t="s">
        <v>63</v>
      </c>
      <c r="P19" s="261">
        <f>ifna(vlookup(A19,'Population &amp; Church Numbers'!$A$323:$D$389,4,FALSE),"NULL")</f>
        <v>52</v>
      </c>
      <c r="Q19" s="597" t="s">
        <v>63</v>
      </c>
    </row>
    <row r="20">
      <c r="A20" s="188" t="s">
        <v>136</v>
      </c>
      <c r="B20" s="189">
        <f t="array" ref="B20">VLOOKUP($A20,FL_DEMO,2,FALSE)</f>
        <v>12451</v>
      </c>
      <c r="C20" s="333">
        <f>vlookup(A20,'FL Data'!$A$3:$F$71,2,FALSE)</f>
        <v>10</v>
      </c>
      <c r="D20" s="265" t="s">
        <v>63</v>
      </c>
      <c r="E20" s="391">
        <f>vlookup(A20,'FL Data'!$A$3:$F$71,3,FALSE)</f>
        <v>8</v>
      </c>
      <c r="F20" s="391">
        <f>vlookup(A20,'FL Data'!$A$3:$F$71,4,FALSE)</f>
        <v>2</v>
      </c>
      <c r="G20" s="265" t="s">
        <v>63</v>
      </c>
      <c r="H20" s="266" t="s">
        <v>63</v>
      </c>
      <c r="I20" s="267" t="s">
        <v>63</v>
      </c>
      <c r="J20" s="491" t="s">
        <v>63</v>
      </c>
      <c r="K20" s="651">
        <v>0.8571428571428571</v>
      </c>
      <c r="L20" s="266" t="s">
        <v>63</v>
      </c>
      <c r="M20" s="581" t="s">
        <v>63</v>
      </c>
      <c r="N20" s="271" t="s">
        <v>63</v>
      </c>
      <c r="O20" s="271" t="s">
        <v>63</v>
      </c>
      <c r="P20" s="272">
        <f>ifna(vlookup(A20,'Population &amp; Church Numbers'!$A$323:$D$389,4,FALSE),"NULL")</f>
        <v>23</v>
      </c>
      <c r="Q20" s="599" t="s">
        <v>63</v>
      </c>
    </row>
    <row r="21">
      <c r="A21" s="326" t="s">
        <v>493</v>
      </c>
      <c r="B21" s="251">
        <f t="array" ref="B21">VLOOKUP($A21,FL_DEMO,2,FALSE)</f>
        <v>43826</v>
      </c>
      <c r="C21" s="327">
        <f>vlookup(A21,'FL Data'!$A$3:$F$71,2,FALSE)</f>
        <v>22</v>
      </c>
      <c r="D21" s="253" t="s">
        <v>63</v>
      </c>
      <c r="E21" s="382">
        <f>vlookup(A21,'FL Data'!$A$3:$F$71,3,FALSE)</f>
        <v>9</v>
      </c>
      <c r="F21" s="382">
        <f>vlookup(A21,'FL Data'!$A$3:$F$71,4,FALSE)</f>
        <v>5</v>
      </c>
      <c r="G21" s="253" t="s">
        <v>63</v>
      </c>
      <c r="H21" s="254" t="s">
        <v>63</v>
      </c>
      <c r="I21" s="255" t="s">
        <v>63</v>
      </c>
      <c r="J21" s="478" t="s">
        <v>63</v>
      </c>
      <c r="K21" s="650">
        <v>1.0</v>
      </c>
      <c r="L21" s="254" t="s">
        <v>63</v>
      </c>
      <c r="M21" s="583" t="s">
        <v>63</v>
      </c>
      <c r="N21" s="260" t="s">
        <v>63</v>
      </c>
      <c r="O21" s="260" t="s">
        <v>63</v>
      </c>
      <c r="P21" s="261">
        <f>ifna(vlookup(A21,'Population &amp; Church Numbers'!$A$323:$D$389,4,FALSE),"NULL")</f>
        <v>93</v>
      </c>
      <c r="Q21" s="597" t="s">
        <v>63</v>
      </c>
    </row>
    <row r="22">
      <c r="A22" s="188" t="s">
        <v>494</v>
      </c>
      <c r="B22" s="189">
        <f t="array" ref="B22">VLOOKUP($A22,FL_DEMO,2,FALSE)</f>
        <v>17864</v>
      </c>
      <c r="C22" s="333">
        <f>vlookup(A22,'FL Data'!$A$3:$F$71,2,FALSE)</f>
        <v>15</v>
      </c>
      <c r="D22" s="265" t="s">
        <v>63</v>
      </c>
      <c r="E22" s="391">
        <f>vlookup(A22,'FL Data'!$A$3:$F$71,3,FALSE)</f>
        <v>9</v>
      </c>
      <c r="F22" s="391">
        <f>vlookup(A22,'FL Data'!$A$3:$F$71,4,FALSE)</f>
        <v>3</v>
      </c>
      <c r="G22" s="265" t="s">
        <v>63</v>
      </c>
      <c r="H22" s="266" t="s">
        <v>63</v>
      </c>
      <c r="I22" s="267" t="s">
        <v>63</v>
      </c>
      <c r="J22" s="491" t="s">
        <v>63</v>
      </c>
      <c r="K22" s="651">
        <v>1.0</v>
      </c>
      <c r="L22" s="266" t="s">
        <v>63</v>
      </c>
      <c r="M22" s="581" t="s">
        <v>63</v>
      </c>
      <c r="N22" s="271" t="s">
        <v>63</v>
      </c>
      <c r="O22" s="271" t="s">
        <v>63</v>
      </c>
      <c r="P22" s="272">
        <f>ifna(vlookup(A22,'Population &amp; Church Numbers'!$A$323:$D$389,4,FALSE),"NULL")</f>
        <v>16</v>
      </c>
      <c r="Q22" s="599" t="s">
        <v>63</v>
      </c>
    </row>
    <row r="23">
      <c r="A23" s="326" t="s">
        <v>495</v>
      </c>
      <c r="B23" s="251">
        <f t="array" ref="B23">VLOOKUP($A23,FL_DEMO,2,FALSE)</f>
        <v>12126</v>
      </c>
      <c r="C23" s="327">
        <f>vlookup(A23,'FL Data'!$A$3:$F$71,2,FALSE)</f>
        <v>12</v>
      </c>
      <c r="D23" s="253" t="s">
        <v>63</v>
      </c>
      <c r="E23" s="382">
        <f>vlookup(A23,'FL Data'!$A$3:$F$71,3,FALSE)</f>
        <v>2</v>
      </c>
      <c r="F23" s="382">
        <f>vlookup(A23,'FL Data'!$A$3:$F$71,4,FALSE)</f>
        <v>9</v>
      </c>
      <c r="G23" s="253" t="s">
        <v>63</v>
      </c>
      <c r="H23" s="254" t="s">
        <v>63</v>
      </c>
      <c r="I23" s="255" t="s">
        <v>63</v>
      </c>
      <c r="J23" s="478" t="s">
        <v>63</v>
      </c>
      <c r="K23" s="663" t="s">
        <v>321</v>
      </c>
      <c r="L23" s="254" t="s">
        <v>63</v>
      </c>
      <c r="M23" s="583" t="s">
        <v>63</v>
      </c>
      <c r="N23" s="260" t="s">
        <v>63</v>
      </c>
      <c r="O23" s="260" t="s">
        <v>63</v>
      </c>
      <c r="P23" s="261">
        <f>ifna(vlookup(A23,'Population &amp; Church Numbers'!$A$323:$D$389,4,FALSE),"NULL")</f>
        <v>12</v>
      </c>
      <c r="Q23" s="597" t="s">
        <v>63</v>
      </c>
    </row>
    <row r="24">
      <c r="A24" s="188" t="s">
        <v>496</v>
      </c>
      <c r="B24" s="189">
        <f t="array" ref="B24">VLOOKUP($A24,FL_DEMO,2,FALSE)</f>
        <v>14192</v>
      </c>
      <c r="C24" s="333">
        <f>vlookup(A24,'FL Data'!$A$3:$F$71,2,FALSE)</f>
        <v>9</v>
      </c>
      <c r="D24" s="265" t="s">
        <v>63</v>
      </c>
      <c r="E24" s="391">
        <f>vlookup(A24,'FL Data'!$A$3:$F$71,3,FALSE)</f>
        <v>4</v>
      </c>
      <c r="F24" s="391">
        <f>vlookup(A24,'FL Data'!$A$3:$F$71,4,FALSE)</f>
        <v>4</v>
      </c>
      <c r="G24" s="265" t="s">
        <v>63</v>
      </c>
      <c r="H24" s="266" t="s">
        <v>63</v>
      </c>
      <c r="I24" s="267" t="s">
        <v>63</v>
      </c>
      <c r="J24" s="491" t="s">
        <v>63</v>
      </c>
      <c r="K24" s="651">
        <v>1.0</v>
      </c>
      <c r="L24" s="266" t="s">
        <v>63</v>
      </c>
      <c r="M24" s="581" t="s">
        <v>63</v>
      </c>
      <c r="N24" s="271" t="s">
        <v>63</v>
      </c>
      <c r="O24" s="271" t="s">
        <v>63</v>
      </c>
      <c r="P24" s="272">
        <f>ifna(vlookup(A24,'Population &amp; Church Numbers'!$A$323:$D$389,4,FALSE),"NULL")</f>
        <v>39</v>
      </c>
      <c r="Q24" s="599" t="s">
        <v>63</v>
      </c>
    </row>
    <row r="25">
      <c r="A25" s="326" t="s">
        <v>497</v>
      </c>
      <c r="B25" s="251">
        <f t="array" ref="B25">VLOOKUP($A25,FL_DEMO,2,FALSE)</f>
        <v>14004</v>
      </c>
      <c r="C25" s="327">
        <f>vlookup(A25,'FL Data'!$A$3:$F$71,2,FALSE)</f>
        <v>21</v>
      </c>
      <c r="D25" s="253" t="s">
        <v>63</v>
      </c>
      <c r="E25" s="382">
        <f>vlookup(A25,'FL Data'!$A$3:$F$71,3,FALSE)</f>
        <v>18</v>
      </c>
      <c r="F25" s="382">
        <f>vlookup(A25,'FL Data'!$A$3:$F$71,4,FALSE)</f>
        <v>3</v>
      </c>
      <c r="G25" s="253" t="s">
        <v>63</v>
      </c>
      <c r="H25" s="254" t="s">
        <v>63</v>
      </c>
      <c r="I25" s="255" t="s">
        <v>63</v>
      </c>
      <c r="J25" s="478" t="s">
        <v>63</v>
      </c>
      <c r="K25" s="650">
        <v>0.5909090909090909</v>
      </c>
      <c r="L25" s="254" t="s">
        <v>63</v>
      </c>
      <c r="M25" s="583" t="s">
        <v>63</v>
      </c>
      <c r="N25" s="260" t="s">
        <v>63</v>
      </c>
      <c r="O25" s="260" t="s">
        <v>63</v>
      </c>
      <c r="P25" s="261">
        <f>ifna(vlookup(A25,'Population &amp; Church Numbers'!$A$323:$D$389,4,FALSE),"NULL")</f>
        <v>19</v>
      </c>
      <c r="Q25" s="597" t="s">
        <v>63</v>
      </c>
    </row>
    <row r="26">
      <c r="A26" s="188" t="s">
        <v>498</v>
      </c>
      <c r="B26" s="189">
        <f t="array" ref="B26">VLOOKUP($A26,FL_DEMO,2,FALSE)</f>
        <v>25327</v>
      </c>
      <c r="C26" s="333">
        <f>vlookup(A26,'FL Data'!$A$3:$F$71,2,FALSE)</f>
        <v>33</v>
      </c>
      <c r="D26" s="265" t="s">
        <v>63</v>
      </c>
      <c r="E26" s="391">
        <f>vlookup(A26,'FL Data'!$A$3:$F$71,3,FALSE)</f>
        <v>20</v>
      </c>
      <c r="F26" s="391">
        <f>vlookup(A26,'FL Data'!$A$3:$F$71,4,FALSE)</f>
        <v>2</v>
      </c>
      <c r="G26" s="265" t="s">
        <v>63</v>
      </c>
      <c r="H26" s="266" t="s">
        <v>63</v>
      </c>
      <c r="I26" s="267" t="s">
        <v>63</v>
      </c>
      <c r="J26" s="491" t="s">
        <v>63</v>
      </c>
      <c r="K26" s="651">
        <v>1.0</v>
      </c>
      <c r="L26" s="266" t="s">
        <v>63</v>
      </c>
      <c r="M26" s="581" t="s">
        <v>63</v>
      </c>
      <c r="N26" s="271" t="s">
        <v>63</v>
      </c>
      <c r="O26" s="271" t="s">
        <v>63</v>
      </c>
      <c r="P26" s="272">
        <f>ifna(vlookup(A26,'Population &amp; Church Numbers'!$A$323:$D$389,4,FALSE),"NULL")</f>
        <v>38</v>
      </c>
      <c r="Q26" s="599" t="s">
        <v>63</v>
      </c>
    </row>
    <row r="27">
      <c r="A27" s="326" t="s">
        <v>499</v>
      </c>
      <c r="B27" s="251">
        <f t="array" ref="B27">VLOOKUP($A27,FL_DEMO,2,FALSE)</f>
        <v>39619</v>
      </c>
      <c r="C27" s="327">
        <f>vlookup(A27,'FL Data'!$A$3:$F$71,2,FALSE)</f>
        <v>68</v>
      </c>
      <c r="D27" s="253" t="s">
        <v>63</v>
      </c>
      <c r="E27" s="382">
        <f>vlookup(A27,'FL Data'!$A$3:$F$71,3,FALSE)</f>
        <v>26</v>
      </c>
      <c r="F27" s="382">
        <f>vlookup(A27,'FL Data'!$A$3:$F$71,4,FALSE)</f>
        <v>29</v>
      </c>
      <c r="G27" s="253" t="s">
        <v>63</v>
      </c>
      <c r="H27" s="254" t="s">
        <v>63</v>
      </c>
      <c r="I27" s="255" t="s">
        <v>63</v>
      </c>
      <c r="J27" s="478" t="s">
        <v>63</v>
      </c>
      <c r="K27" s="650">
        <v>0.6666666666666666</v>
      </c>
      <c r="L27" s="254" t="s">
        <v>63</v>
      </c>
      <c r="M27" s="583" t="s">
        <v>63</v>
      </c>
      <c r="N27" s="260" t="s">
        <v>63</v>
      </c>
      <c r="O27" s="260" t="s">
        <v>63</v>
      </c>
      <c r="P27" s="261">
        <f>ifna(vlookup(A27,'Population &amp; Church Numbers'!$A$323:$D$389,4,FALSE),"NULL")</f>
        <v>40</v>
      </c>
      <c r="Q27" s="597" t="s">
        <v>63</v>
      </c>
    </row>
    <row r="28">
      <c r="A28" s="188" t="s">
        <v>500</v>
      </c>
      <c r="B28" s="189">
        <f t="array" ref="B28">VLOOKUP($A28,FL_DEMO,2,FALSE)</f>
        <v>194515</v>
      </c>
      <c r="C28" s="333">
        <f>vlookup(A28,'FL Data'!$A$3:$F$71,2,FALSE)</f>
        <v>178</v>
      </c>
      <c r="D28" s="265" t="s">
        <v>63</v>
      </c>
      <c r="E28" s="391">
        <f>vlookup(A28,'FL Data'!$A$3:$F$71,3,FALSE)</f>
        <v>87</v>
      </c>
      <c r="F28" s="391">
        <f>vlookup(A28,'FL Data'!$A$3:$F$71,4,FALSE)</f>
        <v>74</v>
      </c>
      <c r="G28" s="265" t="s">
        <v>63</v>
      </c>
      <c r="H28" s="266" t="s">
        <v>63</v>
      </c>
      <c r="I28" s="267" t="s">
        <v>63</v>
      </c>
      <c r="J28" s="491" t="s">
        <v>63</v>
      </c>
      <c r="K28" s="651">
        <v>0.6972477064220184</v>
      </c>
      <c r="L28" s="266" t="s">
        <v>63</v>
      </c>
      <c r="M28" s="581" t="s">
        <v>63</v>
      </c>
      <c r="N28" s="271" t="s">
        <v>63</v>
      </c>
      <c r="O28" s="271" t="s">
        <v>63</v>
      </c>
      <c r="P28" s="272">
        <f>ifna(vlookup(A28,'Population &amp; Church Numbers'!$A$323:$D$389,4,FALSE),"NULL")</f>
        <v>97</v>
      </c>
      <c r="Q28" s="599" t="s">
        <v>63</v>
      </c>
    </row>
    <row r="29">
      <c r="A29" s="326" t="s">
        <v>501</v>
      </c>
      <c r="B29" s="251">
        <f t="array" ref="B29">VLOOKUP($A29,FL_DEMO,2,FALSE)</f>
        <v>101235</v>
      </c>
      <c r="C29" s="327">
        <f>vlookup(A29,'FL Data'!$A$3:$F$71,2,FALSE)</f>
        <v>291</v>
      </c>
      <c r="D29" s="253" t="s">
        <v>63</v>
      </c>
      <c r="E29" s="382">
        <f>vlookup(A29,'FL Data'!$A$3:$F$71,3,FALSE)</f>
        <v>153</v>
      </c>
      <c r="F29" s="382">
        <f>vlookup(A29,'FL Data'!$A$3:$F$71,4,FALSE)</f>
        <v>107</v>
      </c>
      <c r="G29" s="253" t="s">
        <v>63</v>
      </c>
      <c r="H29" s="254" t="s">
        <v>63</v>
      </c>
      <c r="I29" s="255" t="s">
        <v>63</v>
      </c>
      <c r="J29" s="478" t="s">
        <v>63</v>
      </c>
      <c r="K29" s="650">
        <v>0.7840909090909091</v>
      </c>
      <c r="L29" s="254" t="s">
        <v>63</v>
      </c>
      <c r="M29" s="583" t="s">
        <v>63</v>
      </c>
      <c r="N29" s="260" t="s">
        <v>63</v>
      </c>
      <c r="O29" s="260" t="s">
        <v>63</v>
      </c>
      <c r="P29" s="261">
        <f>ifna(vlookup(A29,'Population &amp; Church Numbers'!$A$323:$D$389,4,FALSE),"NULL")</f>
        <v>110</v>
      </c>
      <c r="Q29" s="597" t="s">
        <v>63</v>
      </c>
    </row>
    <row r="30">
      <c r="A30" s="188" t="s">
        <v>306</v>
      </c>
      <c r="B30" s="189">
        <f t="array" ref="B30">VLOOKUP($A30,FL_DEMO,2,FALSE)</f>
        <v>1459762</v>
      </c>
      <c r="C30" s="335">
        <f>vlookup(A30,'FL Data'!$A$3:$F$71,2,FALSE)</f>
        <v>1716</v>
      </c>
      <c r="D30" s="265" t="s">
        <v>63</v>
      </c>
      <c r="E30" s="391">
        <f>vlookup(A30,'FL Data'!$A$3:$F$71,3,FALSE)</f>
        <v>831</v>
      </c>
      <c r="F30" s="391">
        <f>vlookup(A30,'FL Data'!$A$3:$F$71,4,FALSE)</f>
        <v>510</v>
      </c>
      <c r="G30" s="265" t="s">
        <v>63</v>
      </c>
      <c r="H30" s="266" t="s">
        <v>63</v>
      </c>
      <c r="I30" s="267" t="s">
        <v>63</v>
      </c>
      <c r="J30" s="491" t="s">
        <v>63</v>
      </c>
      <c r="K30" s="651">
        <v>0.9394221808014911</v>
      </c>
      <c r="L30" s="266" t="s">
        <v>63</v>
      </c>
      <c r="M30" s="581" t="s">
        <v>63</v>
      </c>
      <c r="N30" s="271" t="s">
        <v>63</v>
      </c>
      <c r="O30" s="271" t="s">
        <v>63</v>
      </c>
      <c r="P30" s="272">
        <f>ifna(vlookup(A30,'Population &amp; Church Numbers'!$A$323:$D$389,4,FALSE),"NULL")</f>
        <v>654</v>
      </c>
      <c r="Q30" s="599" t="s">
        <v>63</v>
      </c>
    </row>
    <row r="31">
      <c r="A31" s="326" t="s">
        <v>502</v>
      </c>
      <c r="B31" s="251">
        <f t="array" ref="B31">VLOOKUP($A31,FL_DEMO,2,FALSE)</f>
        <v>19653</v>
      </c>
      <c r="C31" s="327">
        <f>vlookup(A31,'FL Data'!$A$3:$F$71,2,FALSE)</f>
        <v>36</v>
      </c>
      <c r="D31" s="253" t="s">
        <v>63</v>
      </c>
      <c r="E31" s="382">
        <f>vlookup(A31,'FL Data'!$A$3:$F$71,3,FALSE)</f>
        <v>20</v>
      </c>
      <c r="F31" s="382">
        <f>vlookup(A31,'FL Data'!$A$3:$F$71,4,FALSE)</f>
        <v>9</v>
      </c>
      <c r="G31" s="253" t="s">
        <v>63</v>
      </c>
      <c r="H31" s="254" t="s">
        <v>63</v>
      </c>
      <c r="I31" s="255" t="s">
        <v>63</v>
      </c>
      <c r="J31" s="478" t="s">
        <v>63</v>
      </c>
      <c r="K31" s="650">
        <v>0.9047619047619048</v>
      </c>
      <c r="L31" s="254" t="s">
        <v>63</v>
      </c>
      <c r="M31" s="583" t="s">
        <v>63</v>
      </c>
      <c r="N31" s="260" t="s">
        <v>63</v>
      </c>
      <c r="O31" s="260" t="s">
        <v>63</v>
      </c>
      <c r="P31" s="261">
        <f>ifna(vlookup(A31,'Population &amp; Church Numbers'!$A$323:$D$389,4,FALSE),"NULL")</f>
        <v>49</v>
      </c>
      <c r="Q31" s="597" t="s">
        <v>63</v>
      </c>
    </row>
    <row r="32">
      <c r="A32" s="188" t="s">
        <v>504</v>
      </c>
      <c r="B32" s="189">
        <f t="array" ref="B32">VLOOKUP($A32,FL_DEMO,2,FALSE)</f>
        <v>159788</v>
      </c>
      <c r="C32" s="333">
        <f>vlookup(A32,'FL Data'!$A$3:$F$71,2,FALSE)</f>
        <v>107</v>
      </c>
      <c r="D32" s="265" t="s">
        <v>63</v>
      </c>
      <c r="E32" s="391">
        <f>vlookup(A32,'FL Data'!$A$3:$F$71,3,FALSE)</f>
        <v>47</v>
      </c>
      <c r="F32" s="391">
        <f>vlookup(A32,'FL Data'!$A$3:$F$71,4,FALSE)</f>
        <v>42</v>
      </c>
      <c r="G32" s="265" t="s">
        <v>63</v>
      </c>
      <c r="H32" s="266" t="s">
        <v>63</v>
      </c>
      <c r="I32" s="267" t="s">
        <v>63</v>
      </c>
      <c r="J32" s="491" t="s">
        <v>63</v>
      </c>
      <c r="K32" s="651">
        <v>0.8205128205128205</v>
      </c>
      <c r="L32" s="266" t="s">
        <v>63</v>
      </c>
      <c r="M32" s="581" t="s">
        <v>63</v>
      </c>
      <c r="N32" s="271" t="s">
        <v>63</v>
      </c>
      <c r="O32" s="271" t="s">
        <v>63</v>
      </c>
      <c r="P32" s="272">
        <f>ifna(vlookup(A32,'Population &amp; Church Numbers'!$A$323:$D$389,4,FALSE),"NULL")</f>
        <v>101</v>
      </c>
      <c r="Q32" s="599" t="s">
        <v>63</v>
      </c>
    </row>
    <row r="33">
      <c r="A33" s="326" t="s">
        <v>142</v>
      </c>
      <c r="B33" s="251">
        <f t="array" ref="B33">VLOOKUP($A33,FL_DEMO,2,FALSE)</f>
        <v>47319</v>
      </c>
      <c r="C33" s="327">
        <f>vlookup(A33,'FL Data'!$A$3:$F$71,2,FALSE)</f>
        <v>75</v>
      </c>
      <c r="D33" s="253" t="s">
        <v>63</v>
      </c>
      <c r="E33" s="382">
        <f>vlookup(A33,'FL Data'!$A$3:$F$71,3,FALSE)</f>
        <v>59</v>
      </c>
      <c r="F33" s="382">
        <f>vlookup(A33,'FL Data'!$A$3:$F$71,4,FALSE)</f>
        <v>11</v>
      </c>
      <c r="G33" s="253" t="s">
        <v>63</v>
      </c>
      <c r="H33" s="254" t="s">
        <v>63</v>
      </c>
      <c r="I33" s="255" t="s">
        <v>63</v>
      </c>
      <c r="J33" s="478" t="s">
        <v>63</v>
      </c>
      <c r="K33" s="650">
        <v>0.8805970149253731</v>
      </c>
      <c r="L33" s="254" t="s">
        <v>63</v>
      </c>
      <c r="M33" s="583" t="s">
        <v>63</v>
      </c>
      <c r="N33" s="260" t="s">
        <v>63</v>
      </c>
      <c r="O33" s="260" t="s">
        <v>63</v>
      </c>
      <c r="P33" s="261">
        <f>ifna(vlookup(A33,'Population &amp; Church Numbers'!$A$323:$D$389,4,FALSE),"NULL")</f>
        <v>99</v>
      </c>
      <c r="Q33" s="597" t="s">
        <v>63</v>
      </c>
    </row>
    <row r="34">
      <c r="A34" s="188" t="s">
        <v>143</v>
      </c>
      <c r="B34" s="189">
        <f t="array" ref="B34">VLOOKUP($A34,FL_DEMO,2,FALSE)</f>
        <v>14510</v>
      </c>
      <c r="C34" s="333">
        <f>vlookup(A34,'FL Data'!$A$3:$F$71,2,FALSE)</f>
        <v>9</v>
      </c>
      <c r="D34" s="265" t="s">
        <v>63</v>
      </c>
      <c r="E34" s="391">
        <f>vlookup(A34,'FL Data'!$A$3:$F$71,3,FALSE)</f>
        <v>8</v>
      </c>
      <c r="F34" s="391">
        <f>vlookup(A34,'FL Data'!$A$3:$F$71,4,FALSE)</f>
        <v>0</v>
      </c>
      <c r="G34" s="265" t="s">
        <v>63</v>
      </c>
      <c r="H34" s="266" t="s">
        <v>63</v>
      </c>
      <c r="I34" s="267" t="s">
        <v>63</v>
      </c>
      <c r="J34" s="491" t="s">
        <v>63</v>
      </c>
      <c r="K34" s="651">
        <v>1.0</v>
      </c>
      <c r="L34" s="266" t="s">
        <v>63</v>
      </c>
      <c r="M34" s="581" t="s">
        <v>63</v>
      </c>
      <c r="N34" s="271" t="s">
        <v>63</v>
      </c>
      <c r="O34" s="271" t="s">
        <v>63</v>
      </c>
      <c r="P34" s="272">
        <f>ifna(vlookup(A34,'Population &amp; Church Numbers'!$A$323:$D$389,4,FALSE),"NULL")</f>
        <v>46</v>
      </c>
      <c r="Q34" s="599" t="s">
        <v>63</v>
      </c>
    </row>
    <row r="35">
      <c r="A35" s="326" t="s">
        <v>289</v>
      </c>
      <c r="B35" s="251">
        <f t="array" ref="B35">VLOOKUP($A35,FL_DEMO,2,FALSE)</f>
        <v>8226</v>
      </c>
      <c r="C35" s="327">
        <f>vlookup(A35,'FL Data'!$A$3:$F$71,2,FALSE)</f>
        <v>7</v>
      </c>
      <c r="D35" s="253" t="s">
        <v>63</v>
      </c>
      <c r="E35" s="382">
        <f>vlookup(A35,'FL Data'!$A$3:$F$71,3,FALSE)</f>
        <v>3</v>
      </c>
      <c r="F35" s="382">
        <f>vlookup(A35,'FL Data'!$A$3:$F$71,4,FALSE)</f>
        <v>1</v>
      </c>
      <c r="G35" s="253" t="s">
        <v>63</v>
      </c>
      <c r="H35" s="254" t="s">
        <v>63</v>
      </c>
      <c r="I35" s="255" t="s">
        <v>63</v>
      </c>
      <c r="J35" s="478" t="s">
        <v>63</v>
      </c>
      <c r="K35" s="663" t="s">
        <v>321</v>
      </c>
      <c r="L35" s="254" t="s">
        <v>63</v>
      </c>
      <c r="M35" s="583" t="s">
        <v>63</v>
      </c>
      <c r="N35" s="260" t="s">
        <v>63</v>
      </c>
      <c r="O35" s="260" t="s">
        <v>63</v>
      </c>
      <c r="P35" s="261">
        <f>ifna(vlookup(A35,'Population &amp; Church Numbers'!$A$323:$D$389,4,FALSE),"NULL")</f>
        <v>21</v>
      </c>
      <c r="Q35" s="597" t="s">
        <v>63</v>
      </c>
    </row>
    <row r="36">
      <c r="A36" s="188" t="s">
        <v>337</v>
      </c>
      <c r="B36" s="189">
        <f t="array" ref="B36">VLOOKUP($A36,FL_DEMO,2,FALSE)</f>
        <v>383956</v>
      </c>
      <c r="C36" s="333">
        <f>vlookup(A36,'FL Data'!$A$3:$F$71,2,FALSE)</f>
        <v>298</v>
      </c>
      <c r="D36" s="265" t="s">
        <v>63</v>
      </c>
      <c r="E36" s="391">
        <f>vlookup(A36,'FL Data'!$A$3:$F$71,3,FALSE)</f>
        <v>160</v>
      </c>
      <c r="F36" s="391">
        <f>vlookup(A36,'FL Data'!$A$3:$F$71,4,FALSE)</f>
        <v>108</v>
      </c>
      <c r="G36" s="265" t="s">
        <v>63</v>
      </c>
      <c r="H36" s="266" t="s">
        <v>63</v>
      </c>
      <c r="I36" s="267" t="s">
        <v>63</v>
      </c>
      <c r="J36" s="491" t="s">
        <v>63</v>
      </c>
      <c r="K36" s="651">
        <v>0.9067796610169492</v>
      </c>
      <c r="L36" s="266" t="s">
        <v>63</v>
      </c>
      <c r="M36" s="581" t="s">
        <v>63</v>
      </c>
      <c r="N36" s="271" t="s">
        <v>63</v>
      </c>
      <c r="O36" s="271" t="s">
        <v>63</v>
      </c>
      <c r="P36" s="272">
        <f>ifna(vlookup(A36,'Population &amp; Church Numbers'!$A$323:$D$389,4,FALSE),"NULL")</f>
        <v>231</v>
      </c>
      <c r="Q36" s="599" t="s">
        <v>63</v>
      </c>
    </row>
    <row r="37">
      <c r="A37" s="326" t="s">
        <v>147</v>
      </c>
      <c r="B37" s="251">
        <f t="array" ref="B37">VLOOKUP($A37,FL_DEMO,2,FALSE)</f>
        <v>760822</v>
      </c>
      <c r="C37" s="327">
        <f>vlookup(A37,'FL Data'!$A$3:$F$71,2,FALSE)</f>
        <v>584</v>
      </c>
      <c r="D37" s="253" t="s">
        <v>63</v>
      </c>
      <c r="E37" s="382">
        <f>vlookup(A37,'FL Data'!$A$3:$F$71,3,FALSE)</f>
        <v>302</v>
      </c>
      <c r="F37" s="382">
        <f>vlookup(A37,'FL Data'!$A$3:$F$71,4,FALSE)</f>
        <v>157</v>
      </c>
      <c r="G37" s="253" t="s">
        <v>63</v>
      </c>
      <c r="H37" s="254" t="s">
        <v>63</v>
      </c>
      <c r="I37" s="255" t="s">
        <v>63</v>
      </c>
      <c r="J37" s="478" t="s">
        <v>63</v>
      </c>
      <c r="K37" s="650">
        <v>0.7406779661016949</v>
      </c>
      <c r="L37" s="254" t="s">
        <v>63</v>
      </c>
      <c r="M37" s="583" t="s">
        <v>63</v>
      </c>
      <c r="N37" s="260" t="s">
        <v>63</v>
      </c>
      <c r="O37" s="260" t="s">
        <v>63</v>
      </c>
      <c r="P37" s="261">
        <f>ifna(vlookup(A37,'Population &amp; Church Numbers'!$A$323:$D$389,4,FALSE),"NULL")</f>
        <v>293</v>
      </c>
      <c r="Q37" s="597" t="s">
        <v>63</v>
      </c>
    </row>
    <row r="38">
      <c r="A38" s="188" t="s">
        <v>505</v>
      </c>
      <c r="B38" s="189">
        <f t="array" ref="B38">VLOOKUP($A38,FL_DEMO,2,FALSE)</f>
        <v>292198</v>
      </c>
      <c r="C38" s="333">
        <f>vlookup(A38,'FL Data'!$A$3:$F$71,2,FALSE)</f>
        <v>305</v>
      </c>
      <c r="D38" s="265" t="s">
        <v>63</v>
      </c>
      <c r="E38" s="391">
        <f>vlookup(A38,'FL Data'!$A$3:$F$71,3,FALSE)</f>
        <v>202</v>
      </c>
      <c r="F38" s="391">
        <f>vlookup(A38,'FL Data'!$A$3:$F$71,4,FALSE)</f>
        <v>46</v>
      </c>
      <c r="G38" s="265" t="s">
        <v>63</v>
      </c>
      <c r="H38" s="266" t="s">
        <v>63</v>
      </c>
      <c r="I38" s="267" t="s">
        <v>63</v>
      </c>
      <c r="J38" s="491" t="s">
        <v>63</v>
      </c>
      <c r="K38" s="651">
        <v>0.927461139896373</v>
      </c>
      <c r="L38" s="266" t="s">
        <v>63</v>
      </c>
      <c r="M38" s="581" t="s">
        <v>63</v>
      </c>
      <c r="N38" s="271" t="s">
        <v>63</v>
      </c>
      <c r="O38" s="271" t="s">
        <v>63</v>
      </c>
      <c r="P38" s="272">
        <f>ifna(vlookup(A38,'Population &amp; Church Numbers'!$A$323:$D$389,4,FALSE),"NULL")</f>
        <v>227</v>
      </c>
      <c r="Q38" s="599" t="s">
        <v>63</v>
      </c>
    </row>
    <row r="39">
      <c r="A39" s="326" t="s">
        <v>506</v>
      </c>
      <c r="B39" s="251">
        <f t="array" ref="B39">VLOOKUP($A39,FL_DEMO,2,FALSE)</f>
        <v>42915</v>
      </c>
      <c r="C39" s="327">
        <f>vlookup(A39,'FL Data'!$A$3:$F$71,2,FALSE)</f>
        <v>66</v>
      </c>
      <c r="D39" s="253" t="s">
        <v>63</v>
      </c>
      <c r="E39" s="382">
        <f>vlookup(A39,'FL Data'!$A$3:$F$71,3,FALSE)</f>
        <v>34</v>
      </c>
      <c r="F39" s="382">
        <f>vlookup(A39,'FL Data'!$A$3:$F$71,4,FALSE)</f>
        <v>26</v>
      </c>
      <c r="G39" s="253" t="s">
        <v>63</v>
      </c>
      <c r="H39" s="254" t="s">
        <v>63</v>
      </c>
      <c r="I39" s="255" t="s">
        <v>63</v>
      </c>
      <c r="J39" s="478" t="s">
        <v>63</v>
      </c>
      <c r="K39" s="650">
        <v>0.7777777777777778</v>
      </c>
      <c r="L39" s="254" t="s">
        <v>63</v>
      </c>
      <c r="M39" s="583" t="s">
        <v>63</v>
      </c>
      <c r="N39" s="260" t="s">
        <v>63</v>
      </c>
      <c r="O39" s="260" t="s">
        <v>63</v>
      </c>
      <c r="P39" s="261">
        <f>ifna(vlookup(A39,'Population &amp; Church Numbers'!$A$323:$D$389,4,FALSE),"NULL")</f>
        <v>54</v>
      </c>
      <c r="Q39" s="597" t="s">
        <v>63</v>
      </c>
    </row>
    <row r="40">
      <c r="A40" s="188" t="s">
        <v>508</v>
      </c>
      <c r="B40" s="189">
        <f t="array" ref="B40">VLOOKUP($A40,FL_DEMO,2,FALSE)</f>
        <v>7974</v>
      </c>
      <c r="C40" s="333">
        <f>vlookup(A40,'FL Data'!$A$3:$F$71,2,FALSE)</f>
        <v>0</v>
      </c>
      <c r="D40" s="265" t="s">
        <v>63</v>
      </c>
      <c r="E40" s="391">
        <f>vlookup(A40,'FL Data'!$A$3:$F$71,3,FALSE)</f>
        <v>0</v>
      </c>
      <c r="F40" s="391">
        <f>vlookup(A40,'FL Data'!$A$3:$F$71,4,FALSE)</f>
        <v>0</v>
      </c>
      <c r="G40" s="265" t="s">
        <v>63</v>
      </c>
      <c r="H40" s="266" t="s">
        <v>63</v>
      </c>
      <c r="I40" s="267" t="s">
        <v>63</v>
      </c>
      <c r="J40" s="491" t="s">
        <v>63</v>
      </c>
      <c r="K40" s="651">
        <v>1.0</v>
      </c>
      <c r="L40" s="266" t="s">
        <v>63</v>
      </c>
      <c r="M40" s="581" t="s">
        <v>63</v>
      </c>
      <c r="N40" s="271" t="s">
        <v>63</v>
      </c>
      <c r="O40" s="271" t="s">
        <v>63</v>
      </c>
      <c r="P40" s="272">
        <f>ifna(vlookup(A40,'Population &amp; Church Numbers'!$A$323:$D$389,4,FALSE),"NULL")</f>
        <v>13</v>
      </c>
      <c r="Q40" s="599" t="s">
        <v>63</v>
      </c>
    </row>
    <row r="41">
      <c r="A41" s="326" t="s">
        <v>151</v>
      </c>
      <c r="B41" s="251">
        <f t="array" ref="B41">VLOOKUP($A41,FL_DEMO,2,FALSE)</f>
        <v>17968</v>
      </c>
      <c r="C41" s="327">
        <f>vlookup(A41,'FL Data'!$A$3:$F$71,2,FALSE)</f>
        <v>22</v>
      </c>
      <c r="D41" s="253" t="s">
        <v>63</v>
      </c>
      <c r="E41" s="382">
        <f>vlookup(A41,'FL Data'!$A$3:$F$71,3,FALSE)</f>
        <v>19</v>
      </c>
      <c r="F41" s="382">
        <f>vlookup(A41,'FL Data'!$A$3:$F$71,4,FALSE)</f>
        <v>2</v>
      </c>
      <c r="G41" s="253" t="s">
        <v>63</v>
      </c>
      <c r="H41" s="254" t="s">
        <v>63</v>
      </c>
      <c r="I41" s="255" t="s">
        <v>63</v>
      </c>
      <c r="J41" s="478" t="s">
        <v>63</v>
      </c>
      <c r="K41" s="650">
        <v>0.5714285714285714</v>
      </c>
      <c r="L41" s="254" t="s">
        <v>63</v>
      </c>
      <c r="M41" s="583" t="s">
        <v>63</v>
      </c>
      <c r="N41" s="260" t="s">
        <v>63</v>
      </c>
      <c r="O41" s="260" t="s">
        <v>63</v>
      </c>
      <c r="P41" s="261">
        <f>ifna(vlookup(A41,'Population &amp; Church Numbers'!$A$323:$D$389,4,FALSE),"NULL")</f>
        <v>34</v>
      </c>
      <c r="Q41" s="597" t="s">
        <v>63</v>
      </c>
    </row>
    <row r="42">
      <c r="A42" s="188" t="s">
        <v>509</v>
      </c>
      <c r="B42" s="189">
        <f t="array" ref="B42">VLOOKUP($A42,FL_DEMO,2,FALSE)</f>
        <v>399710</v>
      </c>
      <c r="C42" s="333">
        <f>vlookup(A42,'FL Data'!$A$3:$F$71,2,FALSE)</f>
        <v>365</v>
      </c>
      <c r="D42" s="265" t="s">
        <v>63</v>
      </c>
      <c r="E42" s="391">
        <f>vlookup(A42,'FL Data'!$A$3:$F$71,3,FALSE)</f>
        <v>160</v>
      </c>
      <c r="F42" s="391">
        <f>vlookup(A42,'FL Data'!$A$3:$F$71,4,FALSE)</f>
        <v>118</v>
      </c>
      <c r="G42" s="265" t="s">
        <v>63</v>
      </c>
      <c r="H42" s="266" t="s">
        <v>63</v>
      </c>
      <c r="I42" s="267" t="s">
        <v>63</v>
      </c>
      <c r="J42" s="491" t="s">
        <v>63</v>
      </c>
      <c r="K42" s="651">
        <v>0.7952380952380952</v>
      </c>
      <c r="L42" s="266" t="s">
        <v>63</v>
      </c>
      <c r="M42" s="581" t="s">
        <v>63</v>
      </c>
      <c r="N42" s="271" t="s">
        <v>63</v>
      </c>
      <c r="O42" s="271" t="s">
        <v>63</v>
      </c>
      <c r="P42" s="272">
        <f>ifna(vlookup(A42,'Population &amp; Church Numbers'!$A$323:$D$389,4,FALSE),"NULL")</f>
        <v>196</v>
      </c>
      <c r="Q42" s="599" t="s">
        <v>63</v>
      </c>
    </row>
    <row r="43">
      <c r="A43" s="326" t="s">
        <v>153</v>
      </c>
      <c r="B43" s="251">
        <f t="array" ref="B43">VLOOKUP($A43,FL_DEMO,2,FALSE)</f>
        <v>375908</v>
      </c>
      <c r="C43" s="327">
        <f>vlookup(A43,'FL Data'!$A$3:$F$71,2,FALSE)</f>
        <v>752</v>
      </c>
      <c r="D43" s="253" t="s">
        <v>63</v>
      </c>
      <c r="E43" s="382">
        <f>vlookup(A43,'FL Data'!$A$3:$F$71,3,FALSE)</f>
        <v>352</v>
      </c>
      <c r="F43" s="382">
        <f>vlookup(A43,'FL Data'!$A$3:$F$71,4,FALSE)</f>
        <v>310</v>
      </c>
      <c r="G43" s="253" t="s">
        <v>63</v>
      </c>
      <c r="H43" s="254" t="s">
        <v>63</v>
      </c>
      <c r="I43" s="255" t="s">
        <v>63</v>
      </c>
      <c r="J43" s="478" t="s">
        <v>63</v>
      </c>
      <c r="K43" s="650">
        <v>0.7771929824561403</v>
      </c>
      <c r="L43" s="254" t="s">
        <v>63</v>
      </c>
      <c r="M43" s="583" t="s">
        <v>63</v>
      </c>
      <c r="N43" s="260" t="s">
        <v>63</v>
      </c>
      <c r="O43" s="260" t="s">
        <v>63</v>
      </c>
      <c r="P43" s="261">
        <f>ifna(vlookup(A43,'Population &amp; Church Numbers'!$A$323:$D$389,4,FALSE),"NULL")</f>
        <v>288</v>
      </c>
      <c r="Q43" s="597" t="s">
        <v>63</v>
      </c>
    </row>
    <row r="44">
      <c r="A44" s="188" t="s">
        <v>510</v>
      </c>
      <c r="B44" s="189">
        <f t="array" ref="B44">VLOOKUP($A44,FL_DEMO,2,FALSE)</f>
        <v>158431</v>
      </c>
      <c r="C44" s="333">
        <f>vlookup(A44,'FL Data'!$A$3:$F$71,2,FALSE)</f>
        <v>27</v>
      </c>
      <c r="D44" s="265" t="s">
        <v>63</v>
      </c>
      <c r="E44" s="391">
        <f>vlookup(A44,'FL Data'!$A$3:$F$71,3,FALSE)</f>
        <v>8</v>
      </c>
      <c r="F44" s="391">
        <f>vlookup(A44,'FL Data'!$A$3:$F$71,4,FALSE)</f>
        <v>10</v>
      </c>
      <c r="G44" s="265" t="s">
        <v>63</v>
      </c>
      <c r="H44" s="266" t="s">
        <v>63</v>
      </c>
      <c r="I44" s="267" t="s">
        <v>63</v>
      </c>
      <c r="J44" s="491" t="s">
        <v>63</v>
      </c>
      <c r="K44" s="651">
        <v>0.6716417910447762</v>
      </c>
      <c r="L44" s="266" t="s">
        <v>63</v>
      </c>
      <c r="M44" s="581" t="s">
        <v>63</v>
      </c>
      <c r="N44" s="271" t="s">
        <v>63</v>
      </c>
      <c r="O44" s="271" t="s">
        <v>63</v>
      </c>
      <c r="P44" s="272">
        <f>ifna(vlookup(A44,'Population &amp; Church Numbers'!$A$323:$D$389,4,FALSE),"NULL")</f>
        <v>75</v>
      </c>
      <c r="Q44" s="599" t="s">
        <v>63</v>
      </c>
    </row>
    <row r="45">
      <c r="A45" s="326" t="s">
        <v>244</v>
      </c>
      <c r="B45" s="251">
        <f t="array" ref="B45">VLOOKUP($A45,FL_DEMO,2,FALSE)</f>
        <v>2701767</v>
      </c>
      <c r="C45" s="336">
        <f>vlookup(A45,'FL Data'!$A$3:$F$71,2,FALSE)</f>
        <v>1338</v>
      </c>
      <c r="D45" s="253" t="s">
        <v>63</v>
      </c>
      <c r="E45" s="382">
        <f>vlookup(A45,'FL Data'!$A$3:$F$71,3,FALSE)</f>
        <v>709</v>
      </c>
      <c r="F45" s="382">
        <f>vlookup(A45,'FL Data'!$A$3:$F$71,4,FALSE)</f>
        <v>348</v>
      </c>
      <c r="G45" s="253" t="s">
        <v>63</v>
      </c>
      <c r="H45" s="254" t="s">
        <v>63</v>
      </c>
      <c r="I45" s="255" t="s">
        <v>63</v>
      </c>
      <c r="J45" s="478" t="s">
        <v>63</v>
      </c>
      <c r="K45" s="650">
        <v>0.6579925650557621</v>
      </c>
      <c r="L45" s="254" t="s">
        <v>63</v>
      </c>
      <c r="M45" s="583" t="s">
        <v>63</v>
      </c>
      <c r="N45" s="260" t="s">
        <v>63</v>
      </c>
      <c r="O45" s="260" t="s">
        <v>63</v>
      </c>
      <c r="P45" s="261">
        <f>ifna(vlookup(A45,'Population &amp; Church Numbers'!$A$323:$D$389,4,FALSE),"NULL")</f>
        <v>880</v>
      </c>
      <c r="Q45" s="597" t="s">
        <v>63</v>
      </c>
    </row>
    <row r="46">
      <c r="A46" s="188" t="s">
        <v>156</v>
      </c>
      <c r="B46" s="189">
        <f t="array" ref="B46">VLOOKUP($A46,FL_DEMO,2,FALSE)</f>
        <v>82874</v>
      </c>
      <c r="C46" s="333">
        <f>vlookup(A46,'FL Data'!$A$3:$F$71,2,FALSE)</f>
        <v>57</v>
      </c>
      <c r="D46" s="265" t="s">
        <v>63</v>
      </c>
      <c r="E46" s="391">
        <f>vlookup(A46,'FL Data'!$A$3:$F$71,3,FALSE)</f>
        <v>33</v>
      </c>
      <c r="F46" s="391">
        <f>vlookup(A46,'FL Data'!$A$3:$F$71,4,FALSE)</f>
        <v>18</v>
      </c>
      <c r="G46" s="265" t="s">
        <v>63</v>
      </c>
      <c r="H46" s="266" t="s">
        <v>63</v>
      </c>
      <c r="I46" s="267" t="s">
        <v>63</v>
      </c>
      <c r="J46" s="491" t="s">
        <v>63</v>
      </c>
      <c r="K46" s="651">
        <v>0.7272727272727273</v>
      </c>
      <c r="L46" s="266" t="s">
        <v>63</v>
      </c>
      <c r="M46" s="581" t="s">
        <v>63</v>
      </c>
      <c r="N46" s="271" t="s">
        <v>63</v>
      </c>
      <c r="O46" s="271" t="s">
        <v>63</v>
      </c>
      <c r="P46" s="272">
        <f>ifna(vlookup(A46,'Population &amp; Church Numbers'!$A$323:$D$389,4,FALSE),"NULL")</f>
        <v>53</v>
      </c>
      <c r="Q46" s="599" t="s">
        <v>63</v>
      </c>
    </row>
    <row r="47">
      <c r="A47" s="326" t="s">
        <v>330</v>
      </c>
      <c r="B47" s="251">
        <f t="array" ref="B47">VLOOKUP($A47,FL_DEMO,2,FALSE)</f>
        <v>90352</v>
      </c>
      <c r="C47" s="327">
        <f>vlookup(A47,'FL Data'!$A$3:$F$71,2,FALSE)</f>
        <v>31</v>
      </c>
      <c r="D47" s="253" t="s">
        <v>63</v>
      </c>
      <c r="E47" s="382">
        <f>vlookup(A47,'FL Data'!$A$3:$F$71,3,FALSE)</f>
        <v>21</v>
      </c>
      <c r="F47" s="382">
        <f>vlookup(A47,'FL Data'!$A$3:$F$71,4,FALSE)</f>
        <v>6</v>
      </c>
      <c r="G47" s="253" t="s">
        <v>63</v>
      </c>
      <c r="H47" s="254" t="s">
        <v>63</v>
      </c>
      <c r="I47" s="255" t="s">
        <v>63</v>
      </c>
      <c r="J47" s="478" t="s">
        <v>63</v>
      </c>
      <c r="K47" s="650">
        <v>0.8529411764705882</v>
      </c>
      <c r="L47" s="254" t="s">
        <v>63</v>
      </c>
      <c r="M47" s="583" t="s">
        <v>63</v>
      </c>
      <c r="N47" s="260" t="s">
        <v>63</v>
      </c>
      <c r="O47" s="260" t="s">
        <v>63</v>
      </c>
      <c r="P47" s="261">
        <f>ifna(vlookup(A47,'Population &amp; Church Numbers'!$A$323:$D$389,4,FALSE),"NULL")</f>
        <v>81</v>
      </c>
      <c r="Q47" s="597" t="s">
        <v>63</v>
      </c>
    </row>
    <row r="48">
      <c r="A48" s="188" t="s">
        <v>513</v>
      </c>
      <c r="B48" s="189">
        <f t="array" ref="B48">VLOOKUP($A48,FL_DEMO,2,FALSE)</f>
        <v>211668</v>
      </c>
      <c r="C48" s="333">
        <f>vlookup(A48,'FL Data'!$A$3:$F$71,2,FALSE)</f>
        <v>191</v>
      </c>
      <c r="D48" s="265" t="s">
        <v>63</v>
      </c>
      <c r="E48" s="391">
        <f>vlookup(A48,'FL Data'!$A$3:$F$71,3,FALSE)</f>
        <v>129</v>
      </c>
      <c r="F48" s="391">
        <f>vlookup(A48,'FL Data'!$A$3:$F$71,4,FALSE)</f>
        <v>36</v>
      </c>
      <c r="G48" s="265" t="s">
        <v>63</v>
      </c>
      <c r="H48" s="266" t="s">
        <v>63</v>
      </c>
      <c r="I48" s="267" t="s">
        <v>63</v>
      </c>
      <c r="J48" s="491" t="s">
        <v>63</v>
      </c>
      <c r="K48" s="651">
        <v>0.8496732026143791</v>
      </c>
      <c r="L48" s="266" t="s">
        <v>63</v>
      </c>
      <c r="M48" s="581" t="s">
        <v>63</v>
      </c>
      <c r="N48" s="271" t="s">
        <v>63</v>
      </c>
      <c r="O48" s="271" t="s">
        <v>63</v>
      </c>
      <c r="P48" s="272">
        <f>ifna(vlookup(A48,'Population &amp; Church Numbers'!$A$323:$D$389,4,FALSE),"NULL")</f>
        <v>184</v>
      </c>
      <c r="Q48" s="599" t="s">
        <v>63</v>
      </c>
    </row>
    <row r="49">
      <c r="A49" s="326" t="s">
        <v>514</v>
      </c>
      <c r="B49" s="251">
        <f t="array" ref="B49">VLOOKUP($A49,FL_DEMO,2,FALSE)</f>
        <v>39644</v>
      </c>
      <c r="C49" s="327">
        <f>vlookup(A49,'FL Data'!$A$3:$F$71,2,FALSE)</f>
        <v>61</v>
      </c>
      <c r="D49" s="253" t="s">
        <v>63</v>
      </c>
      <c r="E49" s="382">
        <f>vlookup(A49,'FL Data'!$A$3:$F$71,3,FALSE)</f>
        <v>25</v>
      </c>
      <c r="F49" s="382">
        <f>vlookup(A49,'FL Data'!$A$3:$F$71,4,FALSE)</f>
        <v>12</v>
      </c>
      <c r="G49" s="253" t="s">
        <v>63</v>
      </c>
      <c r="H49" s="254" t="s">
        <v>63</v>
      </c>
      <c r="I49" s="255" t="s">
        <v>63</v>
      </c>
      <c r="J49" s="478" t="s">
        <v>63</v>
      </c>
      <c r="K49" s="650">
        <v>0.6666666666666666</v>
      </c>
      <c r="L49" s="254" t="s">
        <v>63</v>
      </c>
      <c r="M49" s="583" t="s">
        <v>63</v>
      </c>
      <c r="N49" s="260" t="s">
        <v>63</v>
      </c>
      <c r="O49" s="260" t="s">
        <v>63</v>
      </c>
      <c r="P49" s="261">
        <f>ifna(vlookup(A49,'Population &amp; Church Numbers'!$A$323:$D$389,4,FALSE),"NULL")</f>
        <v>40</v>
      </c>
      <c r="Q49" s="597" t="s">
        <v>63</v>
      </c>
    </row>
    <row r="50">
      <c r="A50" s="188" t="s">
        <v>241</v>
      </c>
      <c r="B50" s="189">
        <f t="array" ref="B50">VLOOKUP($A50,FL_DEMO,2,FALSE)</f>
        <v>1429908</v>
      </c>
      <c r="C50" s="335">
        <f>vlookup(A50,'FL Data'!$A$3:$F$71,2,FALSE)</f>
        <v>943</v>
      </c>
      <c r="D50" s="265" t="s">
        <v>63</v>
      </c>
      <c r="E50" s="391">
        <f>vlookup(A50,'FL Data'!$A$3:$F$71,3,FALSE)</f>
        <v>434</v>
      </c>
      <c r="F50" s="391">
        <f>vlookup(A50,'FL Data'!$A$3:$F$71,4,FALSE)</f>
        <v>305</v>
      </c>
      <c r="G50" s="265" t="s">
        <v>63</v>
      </c>
      <c r="H50" s="266" t="s">
        <v>63</v>
      </c>
      <c r="I50" s="267" t="s">
        <v>63</v>
      </c>
      <c r="J50" s="491" t="s">
        <v>63</v>
      </c>
      <c r="K50" s="651">
        <v>0.8375527426160337</v>
      </c>
      <c r="L50" s="266" t="s">
        <v>63</v>
      </c>
      <c r="M50" s="581" t="s">
        <v>63</v>
      </c>
      <c r="N50" s="271" t="s">
        <v>63</v>
      </c>
      <c r="O50" s="271" t="s">
        <v>63</v>
      </c>
      <c r="P50" s="272">
        <f>ifna(vlookup(A50,'Population &amp; Church Numbers'!$A$323:$D$389,4,FALSE),"NULL")</f>
        <v>598</v>
      </c>
      <c r="Q50" s="599" t="s">
        <v>63</v>
      </c>
    </row>
    <row r="51">
      <c r="A51" s="326" t="s">
        <v>515</v>
      </c>
      <c r="B51" s="251">
        <f t="array" ref="B51">VLOOKUP($A51,FL_DEMO,2,FALSE)</f>
        <v>388656</v>
      </c>
      <c r="C51" s="327">
        <f>vlookup(A51,'FL Data'!$A$3:$F$71,2,FALSE)</f>
        <v>310</v>
      </c>
      <c r="D51" s="253" t="s">
        <v>63</v>
      </c>
      <c r="E51" s="382">
        <f>vlookup(A51,'FL Data'!$A$3:$F$71,3,FALSE)</f>
        <v>132</v>
      </c>
      <c r="F51" s="382">
        <f>vlookup(A51,'FL Data'!$A$3:$F$71,4,FALSE)</f>
        <v>76</v>
      </c>
      <c r="G51" s="253" t="s">
        <v>63</v>
      </c>
      <c r="H51" s="254" t="s">
        <v>63</v>
      </c>
      <c r="I51" s="255" t="s">
        <v>63</v>
      </c>
      <c r="J51" s="478" t="s">
        <v>63</v>
      </c>
      <c r="K51" s="650">
        <v>0.9605263157894737</v>
      </c>
      <c r="L51" s="254" t="s">
        <v>63</v>
      </c>
      <c r="M51" s="583" t="s">
        <v>63</v>
      </c>
      <c r="N51" s="260" t="s">
        <v>63</v>
      </c>
      <c r="O51" s="260" t="s">
        <v>63</v>
      </c>
      <c r="P51" s="261">
        <f>ifna(vlookup(A51,'Population &amp; Church Numbers'!$A$323:$D$389,4,FALSE),"NULL")</f>
        <v>131</v>
      </c>
      <c r="Q51" s="597" t="s">
        <v>63</v>
      </c>
    </row>
    <row r="52">
      <c r="A52" s="188" t="s">
        <v>296</v>
      </c>
      <c r="B52" s="189">
        <f t="array" ref="B52">VLOOKUP($A52,FL_DEMO,2,FALSE)</f>
        <v>1492191</v>
      </c>
      <c r="C52" s="333">
        <f>vlookup(A52,'FL Data'!$A$3:$F$71,2,FALSE)</f>
        <v>854</v>
      </c>
      <c r="D52" s="265" t="s">
        <v>63</v>
      </c>
      <c r="E52" s="391">
        <f>vlookup(A52,'FL Data'!$A$3:$F$71,3,FALSE)</f>
        <v>347</v>
      </c>
      <c r="F52" s="391">
        <f>vlookup(A52,'FL Data'!$A$3:$F$71,4,FALSE)</f>
        <v>289</v>
      </c>
      <c r="G52" s="265" t="s">
        <v>63</v>
      </c>
      <c r="H52" s="266" t="s">
        <v>63</v>
      </c>
      <c r="I52" s="267" t="s">
        <v>63</v>
      </c>
      <c r="J52" s="491" t="s">
        <v>63</v>
      </c>
      <c r="K52" s="651">
        <v>0.7578534031413613</v>
      </c>
      <c r="L52" s="266" t="s">
        <v>63</v>
      </c>
      <c r="M52" s="581" t="s">
        <v>63</v>
      </c>
      <c r="N52" s="271" t="s">
        <v>63</v>
      </c>
      <c r="O52" s="271" t="s">
        <v>63</v>
      </c>
      <c r="P52" s="272">
        <f>ifna(vlookup(A52,'Population &amp; Church Numbers'!$A$323:$D$389,4,FALSE),"NULL")</f>
        <v>486</v>
      </c>
      <c r="Q52" s="599" t="s">
        <v>63</v>
      </c>
    </row>
    <row r="53">
      <c r="A53" s="326" t="s">
        <v>517</v>
      </c>
      <c r="B53" s="251">
        <f t="array" ref="B53">VLOOKUP($A53,FL_DEMO,2,FALSE)</f>
        <v>561891</v>
      </c>
      <c r="C53" s="327">
        <f>vlookup(A53,'FL Data'!$A$3:$F$71,2,FALSE)</f>
        <v>675</v>
      </c>
      <c r="D53" s="253" t="s">
        <v>63</v>
      </c>
      <c r="E53" s="382">
        <f>vlookup(A53,'FL Data'!$A$3:$F$71,3,FALSE)</f>
        <v>321</v>
      </c>
      <c r="F53" s="382">
        <f>vlookup(A53,'FL Data'!$A$3:$F$71,4,FALSE)</f>
        <v>191</v>
      </c>
      <c r="G53" s="253" t="s">
        <v>63</v>
      </c>
      <c r="H53" s="254" t="s">
        <v>63</v>
      </c>
      <c r="I53" s="255" t="s">
        <v>63</v>
      </c>
      <c r="J53" s="478" t="s">
        <v>63</v>
      </c>
      <c r="K53" s="650">
        <v>0.8576214405360134</v>
      </c>
      <c r="L53" s="254" t="s">
        <v>63</v>
      </c>
      <c r="M53" s="583" t="s">
        <v>63</v>
      </c>
      <c r="N53" s="260" t="s">
        <v>63</v>
      </c>
      <c r="O53" s="260" t="s">
        <v>63</v>
      </c>
      <c r="P53" s="261">
        <f>ifna(vlookup(A53,'Population &amp; Church Numbers'!$A$323:$D$389,4,FALSE),"NULL")</f>
        <v>214</v>
      </c>
      <c r="Q53" s="597" t="s">
        <v>63</v>
      </c>
    </row>
    <row r="54">
      <c r="A54" s="188" t="s">
        <v>423</v>
      </c>
      <c r="B54" s="189">
        <f t="array" ref="B54">VLOOKUP($A54,FL_DEMO,2,FALSE)</f>
        <v>959107</v>
      </c>
      <c r="C54" s="335">
        <f>vlookup(A54,'FL Data'!$A$3:$F$71,2,FALSE)</f>
        <v>992</v>
      </c>
      <c r="D54" s="265" t="s">
        <v>63</v>
      </c>
      <c r="E54" s="391">
        <f>vlookup(A54,'FL Data'!$A$3:$F$71,3,FALSE)</f>
        <v>485</v>
      </c>
      <c r="F54" s="391">
        <f>vlookup(A54,'FL Data'!$A$3:$F$71,4,FALSE)</f>
        <v>282</v>
      </c>
      <c r="G54" s="265" t="s">
        <v>63</v>
      </c>
      <c r="H54" s="266" t="s">
        <v>63</v>
      </c>
      <c r="I54" s="267" t="s">
        <v>63</v>
      </c>
      <c r="J54" s="491" t="s">
        <v>63</v>
      </c>
      <c r="K54" s="651">
        <v>0.8520625889046942</v>
      </c>
      <c r="L54" s="266" t="s">
        <v>63</v>
      </c>
      <c r="M54" s="581" t="s">
        <v>63</v>
      </c>
      <c r="N54" s="271" t="s">
        <v>63</v>
      </c>
      <c r="O54" s="271" t="s">
        <v>63</v>
      </c>
      <c r="P54" s="272">
        <f>ifna(vlookup(A54,'Population &amp; Church Numbers'!$A$323:$D$389,4,FALSE),"NULL")</f>
        <v>423</v>
      </c>
      <c r="Q54" s="599" t="s">
        <v>63</v>
      </c>
    </row>
    <row r="55">
      <c r="A55" s="326" t="s">
        <v>302</v>
      </c>
      <c r="B55" s="251">
        <f t="array" ref="B55">VLOOKUP($A55,FL_DEMO,2,FALSE)</f>
        <v>725046</v>
      </c>
      <c r="C55" s="327">
        <f>vlookup(A55,'FL Data'!$A$3:$F$71,2,FALSE)</f>
        <v>877</v>
      </c>
      <c r="D55" s="253" t="s">
        <v>63</v>
      </c>
      <c r="E55" s="382">
        <f>vlookup(A55,'FL Data'!$A$3:$F$71,3,FALSE)</f>
        <v>470</v>
      </c>
      <c r="F55" s="382">
        <f>vlookup(A55,'FL Data'!$A$3:$F$71,4,FALSE)</f>
        <v>269</v>
      </c>
      <c r="G55" s="253" t="s">
        <v>63</v>
      </c>
      <c r="H55" s="254" t="s">
        <v>63</v>
      </c>
      <c r="I55" s="255" t="s">
        <v>63</v>
      </c>
      <c r="J55" s="478" t="s">
        <v>63</v>
      </c>
      <c r="K55" s="650">
        <v>0.7703252032520326</v>
      </c>
      <c r="L55" s="254" t="s">
        <v>63</v>
      </c>
      <c r="M55" s="583" t="s">
        <v>63</v>
      </c>
      <c r="N55" s="260" t="s">
        <v>63</v>
      </c>
      <c r="O55" s="260" t="s">
        <v>63</v>
      </c>
      <c r="P55" s="261">
        <f>ifna(vlookup(A55,'Population &amp; Church Numbers'!$A$323:$D$389,4,FALSE),"NULL")</f>
        <v>487</v>
      </c>
      <c r="Q55" s="597" t="s">
        <v>63</v>
      </c>
    </row>
    <row r="56">
      <c r="A56" s="188" t="s">
        <v>518</v>
      </c>
      <c r="B56" s="189">
        <f t="array" ref="B56">VLOOKUP($A56,FL_DEMO,2,FALSE)</f>
        <v>73321</v>
      </c>
      <c r="C56" s="333">
        <f>vlookup(A56,'FL Data'!$A$3:$F$71,2,FALSE)</f>
        <v>124</v>
      </c>
      <c r="D56" s="265" t="s">
        <v>63</v>
      </c>
      <c r="E56" s="391">
        <f>vlookup(A56,'FL Data'!$A$3:$F$71,3,FALSE)</f>
        <v>60</v>
      </c>
      <c r="F56" s="391">
        <f>vlookup(A56,'FL Data'!$A$3:$F$71,4,FALSE)</f>
        <v>39</v>
      </c>
      <c r="G56" s="265" t="s">
        <v>63</v>
      </c>
      <c r="H56" s="266" t="s">
        <v>63</v>
      </c>
      <c r="I56" s="267" t="s">
        <v>63</v>
      </c>
      <c r="J56" s="491" t="s">
        <v>63</v>
      </c>
      <c r="K56" s="651">
        <v>0.7313432835820896</v>
      </c>
      <c r="L56" s="266" t="s">
        <v>63</v>
      </c>
      <c r="M56" s="581" t="s">
        <v>63</v>
      </c>
      <c r="N56" s="271" t="s">
        <v>63</v>
      </c>
      <c r="O56" s="271" t="s">
        <v>63</v>
      </c>
      <c r="P56" s="272">
        <f>ifna(vlookup(A56,'Population &amp; Church Numbers'!$A$323:$D$389,4,FALSE),"NULL")</f>
        <v>105</v>
      </c>
      <c r="Q56" s="599" t="s">
        <v>63</v>
      </c>
    </row>
    <row r="57">
      <c r="A57" s="326" t="s">
        <v>2457</v>
      </c>
      <c r="B57" s="251">
        <f t="array" ref="B57">VLOOKUP($A57,FL_DEMO,2,FALSE)</f>
        <v>273425</v>
      </c>
      <c r="C57" s="327">
        <f>vlookup(A57,'FL Data'!$A$3:$F$71,2,FALSE)</f>
        <v>55</v>
      </c>
      <c r="D57" s="253" t="s">
        <v>63</v>
      </c>
      <c r="E57" s="382">
        <f>vlookup(A57,'FL Data'!$A$3:$F$71,3,FALSE)</f>
        <v>22</v>
      </c>
      <c r="F57" s="382">
        <f>vlookup(A57,'FL Data'!$A$3:$F$71,4,FALSE)</f>
        <v>10</v>
      </c>
      <c r="G57" s="253" t="s">
        <v>63</v>
      </c>
      <c r="H57" s="254" t="s">
        <v>63</v>
      </c>
      <c r="I57" s="255" t="s">
        <v>63</v>
      </c>
      <c r="J57" s="478" t="s">
        <v>63</v>
      </c>
      <c r="K57" s="650">
        <v>0.5846153846153846</v>
      </c>
      <c r="L57" s="254" t="s">
        <v>63</v>
      </c>
      <c r="M57" s="583" t="s">
        <v>63</v>
      </c>
      <c r="N57" s="260" t="s">
        <v>63</v>
      </c>
      <c r="O57" s="260" t="s">
        <v>63</v>
      </c>
      <c r="P57" s="261">
        <f>ifna(vlookup(A57,'Population &amp; Church Numbers'!$A$323:$D$389,4,FALSE),"NULL")</f>
        <v>103</v>
      </c>
      <c r="Q57" s="597" t="s">
        <v>63</v>
      </c>
    </row>
    <row r="58">
      <c r="A58" s="188" t="s">
        <v>2458</v>
      </c>
      <c r="B58" s="189">
        <f t="array" ref="B58">VLOOKUP($A58,FL_DEMO,2,FALSE)</f>
        <v>329226</v>
      </c>
      <c r="C58" s="333">
        <f>vlookup(A58,'FL Data'!$A$3:$F$71,2,FALSE)</f>
        <v>263</v>
      </c>
      <c r="D58" s="265" t="s">
        <v>63</v>
      </c>
      <c r="E58" s="391">
        <f>vlookup(A58,'FL Data'!$A$3:$F$71,3,FALSE)</f>
        <v>125</v>
      </c>
      <c r="F58" s="391">
        <f>vlookup(A58,'FL Data'!$A$3:$F$71,4,FALSE)</f>
        <v>75</v>
      </c>
      <c r="G58" s="265" t="s">
        <v>63</v>
      </c>
      <c r="H58" s="266" t="s">
        <v>63</v>
      </c>
      <c r="I58" s="267" t="s">
        <v>63</v>
      </c>
      <c r="J58" s="491" t="s">
        <v>63</v>
      </c>
      <c r="K58" s="651">
        <v>0.8850574712643678</v>
      </c>
      <c r="L58" s="266" t="s">
        <v>63</v>
      </c>
      <c r="M58" s="581" t="s">
        <v>63</v>
      </c>
      <c r="N58" s="271" t="s">
        <v>63</v>
      </c>
      <c r="O58" s="271" t="s">
        <v>63</v>
      </c>
      <c r="P58" s="272">
        <f>ifna(vlookup(A58,'Population &amp; Church Numbers'!$A$323:$D$389,4,FALSE),"NULL")</f>
        <v>133</v>
      </c>
      <c r="Q58" s="599" t="s">
        <v>63</v>
      </c>
    </row>
    <row r="59">
      <c r="A59" s="326" t="s">
        <v>522</v>
      </c>
      <c r="B59" s="251">
        <f t="array" ref="B59">VLOOKUP($A59,FL_DEMO,2,FALSE)</f>
        <v>188000</v>
      </c>
      <c r="C59" s="327">
        <f>vlookup(A59,'FL Data'!$A$3:$F$71,2,FALSE)</f>
        <v>232</v>
      </c>
      <c r="D59" s="253" t="s">
        <v>63</v>
      </c>
      <c r="E59" s="382">
        <f>vlookup(A59,'FL Data'!$A$3:$F$71,3,FALSE)</f>
        <v>141</v>
      </c>
      <c r="F59" s="382">
        <f>vlookup(A59,'FL Data'!$A$3:$F$71,4,FALSE)</f>
        <v>53</v>
      </c>
      <c r="G59" s="253" t="s">
        <v>63</v>
      </c>
      <c r="H59" s="254" t="s">
        <v>63</v>
      </c>
      <c r="I59" s="255" t="s">
        <v>63</v>
      </c>
      <c r="J59" s="478" t="s">
        <v>63</v>
      </c>
      <c r="K59" s="650">
        <v>0.943089430894309</v>
      </c>
      <c r="L59" s="254" t="s">
        <v>63</v>
      </c>
      <c r="M59" s="583" t="s">
        <v>63</v>
      </c>
      <c r="N59" s="260" t="s">
        <v>63</v>
      </c>
      <c r="O59" s="260" t="s">
        <v>63</v>
      </c>
      <c r="P59" s="261">
        <f>ifna(vlookup(A59,'Population &amp; Church Numbers'!$A$323:$D$389,4,FALSE),"NULL")</f>
        <v>120</v>
      </c>
      <c r="Q59" s="597" t="s">
        <v>63</v>
      </c>
    </row>
    <row r="60">
      <c r="A60" s="188" t="s">
        <v>523</v>
      </c>
      <c r="B60" s="189">
        <f t="array" ref="B60">VLOOKUP($A60,FL_DEMO,2,FALSE)</f>
        <v>434006</v>
      </c>
      <c r="C60" s="333">
        <f>vlookup(A60,'FL Data'!$A$3:$F$71,2,FALSE)</f>
        <v>201</v>
      </c>
      <c r="D60" s="265" t="s">
        <v>63</v>
      </c>
      <c r="E60" s="391">
        <f>vlookup(A60,'FL Data'!$A$3:$F$71,3,FALSE)</f>
        <v>91</v>
      </c>
      <c r="F60" s="391">
        <f>vlookup(A60,'FL Data'!$A$3:$F$71,4,FALSE)</f>
        <v>70</v>
      </c>
      <c r="G60" s="265" t="s">
        <v>63</v>
      </c>
      <c r="H60" s="266" t="s">
        <v>63</v>
      </c>
      <c r="I60" s="267" t="s">
        <v>63</v>
      </c>
      <c r="J60" s="491" t="s">
        <v>63</v>
      </c>
      <c r="K60" s="651">
        <v>0.6625514403292181</v>
      </c>
      <c r="L60" s="266" t="s">
        <v>63</v>
      </c>
      <c r="M60" s="581" t="s">
        <v>63</v>
      </c>
      <c r="N60" s="271" t="s">
        <v>63</v>
      </c>
      <c r="O60" s="271" t="s">
        <v>63</v>
      </c>
      <c r="P60" s="272">
        <f>ifna(vlookup(A60,'Population &amp; Church Numbers'!$A$323:$D$389,4,FALSE),"NULL")</f>
        <v>221</v>
      </c>
      <c r="Q60" s="599" t="s">
        <v>63</v>
      </c>
    </row>
    <row r="61">
      <c r="A61" s="326" t="s">
        <v>524</v>
      </c>
      <c r="B61" s="251">
        <f t="array" ref="B61">VLOOKUP($A61,FL_DEMO,2,FALSE)</f>
        <v>470856</v>
      </c>
      <c r="C61" s="327">
        <f>vlookup(A61,'FL Data'!$A$3:$F$71,2,FALSE)</f>
        <v>347</v>
      </c>
      <c r="D61" s="253" t="s">
        <v>63</v>
      </c>
      <c r="E61" s="382">
        <f>vlookup(A61,'FL Data'!$A$3:$F$71,3,FALSE)</f>
        <v>163</v>
      </c>
      <c r="F61" s="382">
        <f>vlookup(A61,'FL Data'!$A$3:$F$71,4,FALSE)</f>
        <v>115</v>
      </c>
      <c r="G61" s="253" t="s">
        <v>63</v>
      </c>
      <c r="H61" s="254" t="s">
        <v>63</v>
      </c>
      <c r="I61" s="255" t="s">
        <v>63</v>
      </c>
      <c r="J61" s="478" t="s">
        <v>63</v>
      </c>
      <c r="K61" s="650">
        <v>0.7696476964769647</v>
      </c>
      <c r="L61" s="254" t="s">
        <v>63</v>
      </c>
      <c r="M61" s="583" t="s">
        <v>63</v>
      </c>
      <c r="N61" s="260" t="s">
        <v>63</v>
      </c>
      <c r="O61" s="260" t="s">
        <v>63</v>
      </c>
      <c r="P61" s="261">
        <f>ifna(vlookup(A61,'Population &amp; Church Numbers'!$A$323:$D$389,4,FALSE),"NULL")</f>
        <v>188</v>
      </c>
      <c r="Q61" s="597" t="s">
        <v>63</v>
      </c>
    </row>
    <row r="62">
      <c r="A62" s="188" t="s">
        <v>169</v>
      </c>
      <c r="B62" s="189">
        <f t="array" ref="B62">VLOOKUP($A62,FL_DEMO,2,FALSE)</f>
        <v>129752</v>
      </c>
      <c r="C62" s="333">
        <f>vlookup(A62,'FL Data'!$A$3:$F$71,2,FALSE)</f>
        <v>117</v>
      </c>
      <c r="D62" s="265" t="s">
        <v>63</v>
      </c>
      <c r="E62" s="391">
        <f>vlookup(A62,'FL Data'!$A$3:$F$71,3,FALSE)</f>
        <v>65</v>
      </c>
      <c r="F62" s="391">
        <f>vlookup(A62,'FL Data'!$A$3:$F$71,4,FALSE)</f>
        <v>45</v>
      </c>
      <c r="G62" s="265" t="s">
        <v>63</v>
      </c>
      <c r="H62" s="266" t="s">
        <v>63</v>
      </c>
      <c r="I62" s="267" t="s">
        <v>63</v>
      </c>
      <c r="J62" s="491" t="s">
        <v>63</v>
      </c>
      <c r="K62" s="651">
        <v>0.6774193548387096</v>
      </c>
      <c r="L62" s="266" t="s">
        <v>63</v>
      </c>
      <c r="M62" s="581" t="s">
        <v>63</v>
      </c>
      <c r="N62" s="271" t="s">
        <v>63</v>
      </c>
      <c r="O62" s="271" t="s">
        <v>63</v>
      </c>
      <c r="P62" s="272">
        <f>ifna(vlookup(A62,'Population &amp; Church Numbers'!$A$323:$D$389,4,FALSE),"NULL")</f>
        <v>73</v>
      </c>
      <c r="Q62" s="599" t="s">
        <v>63</v>
      </c>
    </row>
    <row r="63">
      <c r="A63" s="326" t="s">
        <v>525</v>
      </c>
      <c r="B63" s="251">
        <f t="array" ref="B63">VLOOKUP($A63,FL_DEMO,2,FALSE)</f>
        <v>43474</v>
      </c>
      <c r="C63" s="327">
        <f>vlookup(A63,'FL Data'!$A$3:$F$71,2,FALSE)</f>
        <v>78</v>
      </c>
      <c r="D63" s="253" t="s">
        <v>63</v>
      </c>
      <c r="E63" s="382">
        <f>vlookup(A63,'FL Data'!$A$3:$F$71,3,FALSE)</f>
        <v>42</v>
      </c>
      <c r="F63" s="382">
        <f>vlookup(A63,'FL Data'!$A$3:$F$71,4,FALSE)</f>
        <v>29</v>
      </c>
      <c r="G63" s="253" t="s">
        <v>63</v>
      </c>
      <c r="H63" s="254" t="s">
        <v>63</v>
      </c>
      <c r="I63" s="255" t="s">
        <v>63</v>
      </c>
      <c r="J63" s="478" t="s">
        <v>63</v>
      </c>
      <c r="K63" s="650">
        <v>0.7209302325581395</v>
      </c>
      <c r="L63" s="254" t="s">
        <v>63</v>
      </c>
      <c r="M63" s="583" t="s">
        <v>63</v>
      </c>
      <c r="N63" s="260" t="s">
        <v>63</v>
      </c>
      <c r="O63" s="260" t="s">
        <v>63</v>
      </c>
      <c r="P63" s="261">
        <f>ifna(vlookup(A63,'Population &amp; Church Numbers'!$A$323:$D$389,4,FALSE),"NULL")</f>
        <v>72</v>
      </c>
      <c r="Q63" s="597" t="s">
        <v>63</v>
      </c>
    </row>
    <row r="64">
      <c r="A64" s="188" t="s">
        <v>526</v>
      </c>
      <c r="B64" s="189">
        <f t="array" ref="B64">VLOOKUP($A64,FL_DEMO,2,FALSE)</f>
        <v>21796</v>
      </c>
      <c r="C64" s="333">
        <f>vlookup(A64,'FL Data'!$A$3:$F$71,2,FALSE)</f>
        <v>42</v>
      </c>
      <c r="D64" s="265" t="s">
        <v>63</v>
      </c>
      <c r="E64" s="391">
        <f>vlookup(A64,'FL Data'!$A$3:$F$71,3,FALSE)</f>
        <v>21</v>
      </c>
      <c r="F64" s="391">
        <f>vlookup(A64,'FL Data'!$A$3:$F$71,4,FALSE)</f>
        <v>13</v>
      </c>
      <c r="G64" s="265" t="s">
        <v>63</v>
      </c>
      <c r="H64" s="266" t="s">
        <v>63</v>
      </c>
      <c r="I64" s="267" t="s">
        <v>63</v>
      </c>
      <c r="J64" s="491" t="s">
        <v>63</v>
      </c>
      <c r="K64" s="651">
        <v>1.0</v>
      </c>
      <c r="L64" s="266" t="s">
        <v>63</v>
      </c>
      <c r="M64" s="581" t="s">
        <v>63</v>
      </c>
      <c r="N64" s="271" t="s">
        <v>63</v>
      </c>
      <c r="O64" s="271" t="s">
        <v>63</v>
      </c>
      <c r="P64" s="272">
        <f>ifna(vlookup(A64,'Population &amp; Church Numbers'!$A$323:$D$389,4,FALSE),"NULL")</f>
        <v>46</v>
      </c>
      <c r="Q64" s="599" t="s">
        <v>63</v>
      </c>
    </row>
    <row r="65">
      <c r="A65" s="326" t="s">
        <v>316</v>
      </c>
      <c r="B65" s="251">
        <f t="array" ref="B65">VLOOKUP($A65,FL_DEMO,2,FALSE)</f>
        <v>16147</v>
      </c>
      <c r="C65" s="327">
        <f>vlookup(A65,'FL Data'!$A$3:$F$71,2,FALSE)</f>
        <v>16</v>
      </c>
      <c r="D65" s="253" t="s">
        <v>63</v>
      </c>
      <c r="E65" s="382">
        <f>vlookup(A65,'FL Data'!$A$3:$F$71,3,FALSE)</f>
        <v>5</v>
      </c>
      <c r="F65" s="382">
        <f>vlookup(A65,'FL Data'!$A$3:$F$71,4,FALSE)</f>
        <v>7</v>
      </c>
      <c r="G65" s="253" t="s">
        <v>63</v>
      </c>
      <c r="H65" s="254" t="s">
        <v>63</v>
      </c>
      <c r="I65" s="255" t="s">
        <v>63</v>
      </c>
      <c r="J65" s="478" t="s">
        <v>63</v>
      </c>
      <c r="K65" s="650">
        <v>0.9</v>
      </c>
      <c r="L65" s="254" t="s">
        <v>63</v>
      </c>
      <c r="M65" s="583" t="s">
        <v>63</v>
      </c>
      <c r="N65" s="260" t="s">
        <v>63</v>
      </c>
      <c r="O65" s="260" t="s">
        <v>63</v>
      </c>
      <c r="P65" s="261">
        <f>ifna(vlookup(A65,'Population &amp; Church Numbers'!$A$323:$D$389,4,FALSE),"NULL")</f>
        <v>19</v>
      </c>
      <c r="Q65" s="597" t="s">
        <v>63</v>
      </c>
    </row>
    <row r="66">
      <c r="A66" s="188" t="s">
        <v>528</v>
      </c>
      <c r="B66" s="189">
        <f t="array" ref="B66">VLOOKUP($A66,FL_DEMO,2,FALSE)</f>
        <v>553543</v>
      </c>
      <c r="C66" s="333">
        <f>vlookup(A66,'FL Data'!$A$3:$F$71,2,FALSE)</f>
        <v>473</v>
      </c>
      <c r="D66" s="265" t="s">
        <v>63</v>
      </c>
      <c r="E66" s="391">
        <f>vlookup(A66,'FL Data'!$A$3:$F$71,3,FALSE)</f>
        <v>255</v>
      </c>
      <c r="F66" s="391">
        <f>vlookup(A66,'FL Data'!$A$3:$F$71,4,FALSE)</f>
        <v>111</v>
      </c>
      <c r="G66" s="265" t="s">
        <v>63</v>
      </c>
      <c r="H66" s="266" t="s">
        <v>63</v>
      </c>
      <c r="I66" s="267" t="s">
        <v>63</v>
      </c>
      <c r="J66" s="491" t="s">
        <v>63</v>
      </c>
      <c r="K66" s="651">
        <v>0.7896253602305475</v>
      </c>
      <c r="L66" s="266" t="s">
        <v>63</v>
      </c>
      <c r="M66" s="581" t="s">
        <v>63</v>
      </c>
      <c r="N66" s="271" t="s">
        <v>63</v>
      </c>
      <c r="O66" s="271" t="s">
        <v>63</v>
      </c>
      <c r="P66" s="272">
        <f>ifna(vlookup(A66,'Population &amp; Church Numbers'!$A$323:$D$389,4,FALSE),"NULL")</f>
        <v>294</v>
      </c>
      <c r="Q66" s="599" t="s">
        <v>63</v>
      </c>
    </row>
    <row r="67">
      <c r="A67" s="326" t="s">
        <v>529</v>
      </c>
      <c r="B67" s="251">
        <f t="array" ref="B67">VLOOKUP($A67,FL_DEMO,2,FALSE)</f>
        <v>33764</v>
      </c>
      <c r="C67" s="327">
        <f>vlookup(A67,'FL Data'!$A$3:$F$71,2,FALSE)</f>
        <v>27</v>
      </c>
      <c r="D67" s="253" t="s">
        <v>63</v>
      </c>
      <c r="E67" s="382">
        <f>vlookup(A67,'FL Data'!$A$3:$F$71,3,FALSE)</f>
        <v>20</v>
      </c>
      <c r="F67" s="382">
        <f>vlookup(A67,'FL Data'!$A$3:$F$71,4,FALSE)</f>
        <v>0</v>
      </c>
      <c r="G67" s="253" t="s">
        <v>63</v>
      </c>
      <c r="H67" s="254" t="s">
        <v>63</v>
      </c>
      <c r="I67" s="255" t="s">
        <v>63</v>
      </c>
      <c r="J67" s="478" t="s">
        <v>63</v>
      </c>
      <c r="K67" s="650">
        <v>1.0</v>
      </c>
      <c r="L67" s="254" t="s">
        <v>63</v>
      </c>
      <c r="M67" s="583" t="s">
        <v>63</v>
      </c>
      <c r="N67" s="260" t="s">
        <v>63</v>
      </c>
      <c r="O67" s="260" t="s">
        <v>63</v>
      </c>
      <c r="P67" s="261">
        <f>ifna(vlookup(A67,'Population &amp; Church Numbers'!$A$323:$D$389,4,FALSE),"NULL")</f>
        <v>35</v>
      </c>
      <c r="Q67" s="597" t="s">
        <v>63</v>
      </c>
    </row>
    <row r="68">
      <c r="A68" s="188" t="s">
        <v>530</v>
      </c>
      <c r="B68" s="189">
        <f t="array" ref="B68">VLOOKUP($A68,FL_DEMO,2,FALSE)</f>
        <v>75305</v>
      </c>
      <c r="C68" s="333">
        <f>vlookup(A68,'FL Data'!$A$3:$F$71,2,FALSE)</f>
        <v>77</v>
      </c>
      <c r="D68" s="265" t="s">
        <v>63</v>
      </c>
      <c r="E68" s="391">
        <f>vlookup(A68,'FL Data'!$A$3:$F$71,3,FALSE)</f>
        <v>38</v>
      </c>
      <c r="F68" s="391">
        <f>vlookup(A68,'FL Data'!$A$3:$F$71,4,FALSE)</f>
        <v>18</v>
      </c>
      <c r="G68" s="265" t="s">
        <v>63</v>
      </c>
      <c r="H68" s="266" t="s">
        <v>63</v>
      </c>
      <c r="I68" s="267" t="s">
        <v>63</v>
      </c>
      <c r="J68" s="491" t="s">
        <v>63</v>
      </c>
      <c r="K68" s="651">
        <v>0.8160919540229885</v>
      </c>
      <c r="L68" s="266" t="s">
        <v>63</v>
      </c>
      <c r="M68" s="581" t="s">
        <v>63</v>
      </c>
      <c r="N68" s="271" t="s">
        <v>63</v>
      </c>
      <c r="O68" s="271" t="s">
        <v>63</v>
      </c>
      <c r="P68" s="272">
        <f>ifna(vlookup(A68,'Population &amp; Church Numbers'!$A$323:$D$389,4,FALSE),"NULL")</f>
        <v>77</v>
      </c>
      <c r="Q68" s="599" t="s">
        <v>63</v>
      </c>
    </row>
    <row r="69">
      <c r="A69" s="326" t="s">
        <v>119</v>
      </c>
      <c r="B69" s="251">
        <f t="array" ref="B69">VLOOKUP($A69,FL_DEMO,2,FALSE)</f>
        <v>25318</v>
      </c>
      <c r="C69" s="327">
        <f>vlookup(A69,'FL Data'!$A$3:$F$71,2,FALSE)</f>
        <v>52</v>
      </c>
      <c r="D69" s="253" t="s">
        <v>63</v>
      </c>
      <c r="E69" s="382">
        <f>vlookup(A69,'FL Data'!$A$3:$F$71,3,FALSE)</f>
        <v>26</v>
      </c>
      <c r="F69" s="382">
        <f>vlookup(A69,'FL Data'!$A$3:$F$71,4,FALSE)</f>
        <v>20</v>
      </c>
      <c r="G69" s="253" t="s">
        <v>63</v>
      </c>
      <c r="H69" s="254" t="s">
        <v>63</v>
      </c>
      <c r="I69" s="255" t="s">
        <v>63</v>
      </c>
      <c r="J69" s="478" t="s">
        <v>63</v>
      </c>
      <c r="K69" s="650">
        <v>0.9629629629629629</v>
      </c>
      <c r="L69" s="254" t="s">
        <v>63</v>
      </c>
      <c r="M69" s="583" t="s">
        <v>63</v>
      </c>
      <c r="N69" s="260" t="s">
        <v>63</v>
      </c>
      <c r="O69" s="260" t="s">
        <v>63</v>
      </c>
      <c r="P69" s="261">
        <f>ifna(vlookup(A69,'Population &amp; Church Numbers'!$A$323:$D$389,4,FALSE),"NULL")</f>
        <v>37</v>
      </c>
      <c r="Q69" s="597" t="s">
        <v>63</v>
      </c>
    </row>
    <row r="70">
      <c r="A70" s="217"/>
      <c r="B70" s="218"/>
      <c r="C70" s="219"/>
      <c r="D70" s="220"/>
      <c r="E70" s="220"/>
      <c r="F70" s="220"/>
      <c r="G70" s="220"/>
      <c r="H70" s="221"/>
      <c r="I70" s="222"/>
      <c r="J70" s="223"/>
      <c r="K70" s="219"/>
      <c r="L70" s="224"/>
      <c r="M70" s="225"/>
      <c r="N70" s="226"/>
      <c r="O70" s="220"/>
      <c r="P70" s="221"/>
      <c r="Q70" s="227"/>
    </row>
    <row r="71">
      <c r="A71" s="228" t="s">
        <v>2</v>
      </c>
      <c r="B71" s="229"/>
      <c r="C71" s="230">
        <f>'FL Data'!B4</f>
        <v>18430</v>
      </c>
      <c r="D71" s="311" t="s">
        <v>63</v>
      </c>
      <c r="E71" s="465">
        <f>'FL Data'!C4</f>
        <v>9457</v>
      </c>
      <c r="F71" s="465">
        <f>'FL Data'!D4</f>
        <v>5398</v>
      </c>
      <c r="G71" s="311" t="s">
        <v>63</v>
      </c>
      <c r="H71" s="233">
        <f>'FL Data'!B79</f>
        <v>7678</v>
      </c>
      <c r="I71" s="234">
        <f>AFCARSCSC!C13</f>
        <v>5576</v>
      </c>
      <c r="J71" s="584" t="s">
        <v>63</v>
      </c>
      <c r="K71" s="585" t="s">
        <v>63</v>
      </c>
      <c r="L71" s="309" t="s">
        <v>63</v>
      </c>
      <c r="M71" s="587" t="s">
        <v>63</v>
      </c>
      <c r="N71" s="588" t="s">
        <v>63</v>
      </c>
      <c r="O71" s="588" t="s">
        <v>63</v>
      </c>
      <c r="P71" s="233">
        <f>SUM(P3:P69)</f>
        <v>11132</v>
      </c>
      <c r="Q71" s="600" t="s">
        <v>63</v>
      </c>
    </row>
  </sheetData>
  <autoFilter ref="$A$2:$Q$69"/>
  <mergeCells count="1">
    <mergeCell ref="B1:Q1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4.25"/>
    <col customWidth="1" min="11" max="11" width="15.88"/>
    <col customWidth="1" min="18" max="18" width="16.5"/>
  </cols>
  <sheetData>
    <row r="1">
      <c r="A1" s="398" t="s">
        <v>1040</v>
      </c>
      <c r="B1" s="399"/>
      <c r="C1" s="399"/>
      <c r="D1" s="399"/>
      <c r="E1" s="400" t="s">
        <v>765</v>
      </c>
      <c r="F1" s="400" t="s">
        <v>2447</v>
      </c>
      <c r="G1" s="399"/>
      <c r="H1" s="399"/>
      <c r="I1" s="400" t="s">
        <v>767</v>
      </c>
      <c r="J1" s="434">
        <v>45474.0</v>
      </c>
      <c r="K1" s="400" t="s">
        <v>769</v>
      </c>
      <c r="L1" s="653">
        <v>45443.0</v>
      </c>
      <c r="M1" s="402"/>
    </row>
    <row r="2">
      <c r="A2" s="367"/>
      <c r="B2" s="367"/>
      <c r="C2" s="1"/>
      <c r="D2" s="1"/>
    </row>
    <row r="3">
      <c r="A3" s="367"/>
      <c r="B3" s="328" t="s">
        <v>2448</v>
      </c>
      <c r="C3" s="328" t="s">
        <v>1058</v>
      </c>
      <c r="D3" s="438" t="s">
        <v>1713</v>
      </c>
      <c r="E3" s="438" t="s">
        <v>1714</v>
      </c>
      <c r="F3" s="438" t="s">
        <v>1715</v>
      </c>
      <c r="G3" s="328" t="s">
        <v>2449</v>
      </c>
      <c r="I3" s="438" t="s">
        <v>2450</v>
      </c>
      <c r="J3" s="438" t="s">
        <v>2451</v>
      </c>
      <c r="K3" s="438" t="s">
        <v>2452</v>
      </c>
      <c r="L3" s="438" t="s">
        <v>2453</v>
      </c>
      <c r="M3" s="438" t="s">
        <v>1715</v>
      </c>
      <c r="N3" s="438" t="s">
        <v>2196</v>
      </c>
      <c r="P3" s="438" t="s">
        <v>2454</v>
      </c>
      <c r="Q3" s="438" t="s">
        <v>66</v>
      </c>
      <c r="R3" s="438" t="s">
        <v>2455</v>
      </c>
    </row>
    <row r="4">
      <c r="A4" s="654" t="s">
        <v>42</v>
      </c>
      <c r="B4" s="655">
        <v>18430.0</v>
      </c>
      <c r="C4" s="656">
        <f t="shared" ref="C4:C71" si="1">$L4</f>
        <v>9457</v>
      </c>
      <c r="D4" s="657">
        <f t="shared" ref="D4:D71" si="2">$I4+$J4</f>
        <v>5398</v>
      </c>
      <c r="E4" s="657">
        <f t="shared" ref="E4:E71" si="3">$K4+$N4</f>
        <v>0</v>
      </c>
      <c r="F4" s="658" t="str">
        <f t="shared" ref="F4:F71" si="4">$M4</f>
        <v/>
      </c>
      <c r="G4" s="452"/>
      <c r="I4" s="647">
        <v>1508.0</v>
      </c>
      <c r="J4" s="647">
        <v>3890.0</v>
      </c>
      <c r="K4" s="647"/>
      <c r="L4" s="647">
        <v>9457.0</v>
      </c>
      <c r="M4" s="444"/>
      <c r="N4" s="444"/>
      <c r="P4" s="647"/>
      <c r="Q4" s="647"/>
      <c r="R4" s="647"/>
    </row>
    <row r="5">
      <c r="A5" s="659" t="s">
        <v>479</v>
      </c>
      <c r="B5" s="660">
        <v>232.0</v>
      </c>
      <c r="C5" s="656">
        <f t="shared" si="1"/>
        <v>132</v>
      </c>
      <c r="D5" s="657">
        <f t="shared" si="2"/>
        <v>76</v>
      </c>
      <c r="E5" s="657">
        <f t="shared" si="3"/>
        <v>0</v>
      </c>
      <c r="F5" s="658" t="str">
        <f t="shared" si="4"/>
        <v/>
      </c>
      <c r="G5" s="452"/>
      <c r="I5" s="206">
        <v>26.0</v>
      </c>
      <c r="J5" s="208">
        <v>50.0</v>
      </c>
      <c r="K5" s="661"/>
      <c r="L5" s="206">
        <v>132.0</v>
      </c>
      <c r="M5" s="206"/>
      <c r="N5" s="206"/>
      <c r="P5" s="206"/>
      <c r="Q5" s="206"/>
      <c r="R5" s="206"/>
    </row>
    <row r="6">
      <c r="A6" s="659" t="s">
        <v>481</v>
      </c>
      <c r="B6" s="660">
        <v>28.0</v>
      </c>
      <c r="C6" s="656">
        <f t="shared" si="1"/>
        <v>18</v>
      </c>
      <c r="D6" s="657">
        <f t="shared" si="2"/>
        <v>5</v>
      </c>
      <c r="E6" s="657">
        <f t="shared" si="3"/>
        <v>0</v>
      </c>
      <c r="F6" s="658" t="str">
        <f t="shared" si="4"/>
        <v/>
      </c>
      <c r="G6" s="452"/>
      <c r="I6" s="206">
        <v>3.0</v>
      </c>
      <c r="J6" s="206">
        <v>2.0</v>
      </c>
      <c r="K6" s="206"/>
      <c r="L6" s="206">
        <v>18.0</v>
      </c>
      <c r="M6" s="206"/>
      <c r="N6" s="206"/>
      <c r="P6" s="206"/>
      <c r="Q6" s="206"/>
      <c r="R6" s="206"/>
    </row>
    <row r="7">
      <c r="A7" s="659" t="s">
        <v>482</v>
      </c>
      <c r="B7" s="660">
        <v>244.0</v>
      </c>
      <c r="C7" s="656">
        <f t="shared" si="1"/>
        <v>141</v>
      </c>
      <c r="D7" s="657">
        <f t="shared" si="2"/>
        <v>56</v>
      </c>
      <c r="E7" s="657">
        <f t="shared" si="3"/>
        <v>0</v>
      </c>
      <c r="F7" s="658" t="str">
        <f t="shared" si="4"/>
        <v/>
      </c>
      <c r="G7" s="452"/>
      <c r="I7" s="206">
        <v>25.0</v>
      </c>
      <c r="J7" s="206">
        <v>31.0</v>
      </c>
      <c r="K7" s="206"/>
      <c r="L7" s="206">
        <v>141.0</v>
      </c>
      <c r="M7" s="206"/>
      <c r="N7" s="206"/>
      <c r="P7" s="206"/>
      <c r="Q7" s="206"/>
      <c r="R7" s="206"/>
    </row>
    <row r="8">
      <c r="A8" s="659" t="s">
        <v>483</v>
      </c>
      <c r="B8" s="660">
        <v>42.0</v>
      </c>
      <c r="C8" s="656">
        <f t="shared" si="1"/>
        <v>22</v>
      </c>
      <c r="D8" s="657">
        <f t="shared" si="2"/>
        <v>8</v>
      </c>
      <c r="E8" s="657">
        <f t="shared" si="3"/>
        <v>0</v>
      </c>
      <c r="F8" s="658" t="str">
        <f t="shared" si="4"/>
        <v/>
      </c>
      <c r="G8" s="452"/>
      <c r="I8" s="206">
        <v>3.0</v>
      </c>
      <c r="J8" s="206">
        <v>5.0</v>
      </c>
      <c r="K8" s="206"/>
      <c r="L8" s="206">
        <v>22.0</v>
      </c>
      <c r="M8" s="206"/>
      <c r="N8" s="206"/>
      <c r="P8" s="206"/>
      <c r="Q8" s="206"/>
      <c r="R8" s="206"/>
    </row>
    <row r="9">
      <c r="A9" s="659" t="s">
        <v>484</v>
      </c>
      <c r="B9" s="660">
        <v>699.0</v>
      </c>
      <c r="C9" s="656">
        <f t="shared" si="1"/>
        <v>304</v>
      </c>
      <c r="D9" s="657">
        <f t="shared" si="2"/>
        <v>266</v>
      </c>
      <c r="E9" s="657">
        <f t="shared" si="3"/>
        <v>0</v>
      </c>
      <c r="F9" s="658" t="str">
        <f t="shared" si="4"/>
        <v/>
      </c>
      <c r="G9" s="452"/>
      <c r="I9" s="206">
        <v>85.0</v>
      </c>
      <c r="J9" s="206">
        <v>181.0</v>
      </c>
      <c r="K9" s="206"/>
      <c r="L9" s="206">
        <v>304.0</v>
      </c>
      <c r="M9" s="206"/>
      <c r="N9" s="206"/>
      <c r="P9" s="206"/>
      <c r="Q9" s="206"/>
      <c r="R9" s="206"/>
    </row>
    <row r="10">
      <c r="A10" s="659" t="s">
        <v>269</v>
      </c>
      <c r="B10" s="662">
        <v>1067.0</v>
      </c>
      <c r="C10" s="656">
        <f t="shared" si="1"/>
        <v>456</v>
      </c>
      <c r="D10" s="657">
        <f t="shared" si="2"/>
        <v>365</v>
      </c>
      <c r="E10" s="657">
        <f t="shared" si="3"/>
        <v>0</v>
      </c>
      <c r="F10" s="658" t="str">
        <f t="shared" si="4"/>
        <v/>
      </c>
      <c r="G10" s="452"/>
      <c r="I10" s="206">
        <v>71.0</v>
      </c>
      <c r="J10" s="206">
        <v>294.0</v>
      </c>
      <c r="K10" s="206"/>
      <c r="L10" s="206">
        <v>456.0</v>
      </c>
      <c r="M10" s="206"/>
      <c r="N10" s="206"/>
      <c r="P10" s="206"/>
      <c r="Q10" s="206"/>
      <c r="R10" s="206"/>
    </row>
    <row r="11">
      <c r="A11" s="659" t="s">
        <v>93</v>
      </c>
      <c r="B11" s="660">
        <v>11.0</v>
      </c>
      <c r="C11" s="656">
        <f t="shared" si="1"/>
        <v>7</v>
      </c>
      <c r="D11" s="657">
        <f t="shared" si="2"/>
        <v>2</v>
      </c>
      <c r="E11" s="657">
        <f t="shared" si="3"/>
        <v>0</v>
      </c>
      <c r="F11" s="658" t="str">
        <f t="shared" si="4"/>
        <v/>
      </c>
      <c r="G11" s="452"/>
      <c r="I11" s="206">
        <v>2.0</v>
      </c>
      <c r="J11" s="206">
        <v>0.0</v>
      </c>
      <c r="K11" s="206"/>
      <c r="L11" s="206">
        <v>7.0</v>
      </c>
      <c r="M11" s="206"/>
      <c r="N11" s="206"/>
      <c r="P11" s="206"/>
      <c r="Q11" s="206"/>
      <c r="R11" s="206"/>
    </row>
    <row r="12">
      <c r="A12" s="659" t="s">
        <v>486</v>
      </c>
      <c r="B12" s="660">
        <v>62.0</v>
      </c>
      <c r="C12" s="656">
        <f t="shared" si="1"/>
        <v>36</v>
      </c>
      <c r="D12" s="657">
        <f t="shared" si="2"/>
        <v>16</v>
      </c>
      <c r="E12" s="657">
        <f t="shared" si="3"/>
        <v>0</v>
      </c>
      <c r="F12" s="658" t="str">
        <f t="shared" si="4"/>
        <v/>
      </c>
      <c r="G12" s="452"/>
      <c r="I12" s="206">
        <v>5.0</v>
      </c>
      <c r="J12" s="206">
        <v>11.0</v>
      </c>
      <c r="K12" s="206"/>
      <c r="L12" s="206">
        <v>36.0</v>
      </c>
      <c r="M12" s="206"/>
      <c r="N12" s="206"/>
      <c r="P12" s="206"/>
      <c r="Q12" s="206"/>
      <c r="R12" s="206"/>
    </row>
    <row r="13">
      <c r="A13" s="659" t="s">
        <v>487</v>
      </c>
      <c r="B13" s="660">
        <v>248.0</v>
      </c>
      <c r="C13" s="656">
        <f t="shared" si="1"/>
        <v>108</v>
      </c>
      <c r="D13" s="657">
        <f t="shared" si="2"/>
        <v>106</v>
      </c>
      <c r="E13" s="657">
        <f t="shared" si="3"/>
        <v>0</v>
      </c>
      <c r="F13" s="658" t="str">
        <f t="shared" si="4"/>
        <v/>
      </c>
      <c r="G13" s="452"/>
      <c r="I13" s="206">
        <v>34.0</v>
      </c>
      <c r="J13" s="206">
        <v>72.0</v>
      </c>
      <c r="K13" s="206"/>
      <c r="L13" s="206">
        <v>108.0</v>
      </c>
      <c r="M13" s="206"/>
      <c r="N13" s="206"/>
      <c r="P13" s="206"/>
      <c r="Q13" s="206"/>
      <c r="R13" s="206"/>
    </row>
    <row r="14">
      <c r="A14" s="659" t="s">
        <v>112</v>
      </c>
      <c r="B14" s="660">
        <v>179.0</v>
      </c>
      <c r="C14" s="656">
        <f t="shared" si="1"/>
        <v>119</v>
      </c>
      <c r="D14" s="657">
        <f t="shared" si="2"/>
        <v>42</v>
      </c>
      <c r="E14" s="657">
        <f t="shared" si="3"/>
        <v>0</v>
      </c>
      <c r="F14" s="658" t="str">
        <f t="shared" si="4"/>
        <v/>
      </c>
      <c r="G14" s="452"/>
      <c r="I14" s="206">
        <v>11.0</v>
      </c>
      <c r="J14" s="206">
        <v>31.0</v>
      </c>
      <c r="K14" s="206"/>
      <c r="L14" s="206">
        <v>119.0</v>
      </c>
      <c r="M14" s="206"/>
      <c r="N14" s="206"/>
      <c r="P14" s="206"/>
      <c r="Q14" s="206"/>
      <c r="R14" s="206"/>
    </row>
    <row r="15">
      <c r="A15" s="659" t="s">
        <v>488</v>
      </c>
      <c r="B15" s="660">
        <v>176.0</v>
      </c>
      <c r="C15" s="656">
        <f t="shared" si="1"/>
        <v>105</v>
      </c>
      <c r="D15" s="657">
        <f t="shared" si="2"/>
        <v>40</v>
      </c>
      <c r="E15" s="657">
        <f t="shared" si="3"/>
        <v>0</v>
      </c>
      <c r="F15" s="658" t="str">
        <f t="shared" si="4"/>
        <v/>
      </c>
      <c r="G15" s="452"/>
      <c r="I15" s="206">
        <v>17.0</v>
      </c>
      <c r="J15" s="206">
        <v>23.0</v>
      </c>
      <c r="K15" s="206"/>
      <c r="L15" s="206">
        <v>105.0</v>
      </c>
      <c r="M15" s="206"/>
      <c r="N15" s="206"/>
      <c r="P15" s="206"/>
      <c r="Q15" s="206"/>
      <c r="R15" s="206"/>
    </row>
    <row r="16">
      <c r="A16" s="659" t="s">
        <v>258</v>
      </c>
      <c r="B16" s="660">
        <v>189.0</v>
      </c>
      <c r="C16" s="656">
        <f t="shared" si="1"/>
        <v>106</v>
      </c>
      <c r="D16" s="657">
        <f t="shared" si="2"/>
        <v>54</v>
      </c>
      <c r="E16" s="657">
        <f t="shared" si="3"/>
        <v>0</v>
      </c>
      <c r="F16" s="658" t="str">
        <f t="shared" si="4"/>
        <v/>
      </c>
      <c r="G16" s="452"/>
      <c r="I16" s="206">
        <v>17.0</v>
      </c>
      <c r="J16" s="206">
        <v>37.0</v>
      </c>
      <c r="K16" s="206"/>
      <c r="L16" s="206">
        <v>106.0</v>
      </c>
      <c r="M16" s="206"/>
      <c r="N16" s="206"/>
      <c r="P16" s="206"/>
      <c r="Q16" s="206"/>
      <c r="R16" s="206"/>
    </row>
    <row r="17">
      <c r="A17" s="659" t="s">
        <v>2456</v>
      </c>
      <c r="B17" s="660">
        <v>51.0</v>
      </c>
      <c r="C17" s="656">
        <f t="shared" si="1"/>
        <v>21</v>
      </c>
      <c r="D17" s="657">
        <f t="shared" si="2"/>
        <v>18</v>
      </c>
      <c r="E17" s="657">
        <f t="shared" si="3"/>
        <v>0</v>
      </c>
      <c r="F17" s="658" t="str">
        <f t="shared" si="4"/>
        <v/>
      </c>
      <c r="G17" s="452"/>
      <c r="I17" s="206">
        <v>8.0</v>
      </c>
      <c r="J17" s="206">
        <v>10.0</v>
      </c>
      <c r="K17" s="206"/>
      <c r="L17" s="206">
        <v>21.0</v>
      </c>
      <c r="M17" s="206"/>
      <c r="N17" s="206"/>
      <c r="P17" s="206"/>
      <c r="Q17" s="206"/>
      <c r="R17" s="206"/>
    </row>
    <row r="18">
      <c r="A18" s="659" t="s">
        <v>490</v>
      </c>
      <c r="B18" s="660">
        <v>42.0</v>
      </c>
      <c r="C18" s="656">
        <f t="shared" si="1"/>
        <v>29</v>
      </c>
      <c r="D18" s="657">
        <f t="shared" si="2"/>
        <v>9</v>
      </c>
      <c r="E18" s="657">
        <f t="shared" si="3"/>
        <v>0</v>
      </c>
      <c r="F18" s="658" t="str">
        <f t="shared" si="4"/>
        <v/>
      </c>
      <c r="G18" s="452"/>
      <c r="I18" s="206">
        <v>4.0</v>
      </c>
      <c r="J18" s="206">
        <v>5.0</v>
      </c>
      <c r="K18" s="206"/>
      <c r="L18" s="206">
        <v>29.0</v>
      </c>
      <c r="M18" s="206"/>
      <c r="N18" s="206"/>
      <c r="P18" s="206"/>
      <c r="Q18" s="206"/>
      <c r="R18" s="206"/>
    </row>
    <row r="19">
      <c r="A19" s="659" t="s">
        <v>433</v>
      </c>
      <c r="B19" s="660">
        <v>1069.0</v>
      </c>
      <c r="C19" s="656">
        <f t="shared" si="1"/>
        <v>740</v>
      </c>
      <c r="D19" s="657">
        <f t="shared" si="2"/>
        <v>184</v>
      </c>
      <c r="E19" s="657">
        <f t="shared" si="3"/>
        <v>0</v>
      </c>
      <c r="F19" s="658" t="str">
        <f t="shared" si="4"/>
        <v/>
      </c>
      <c r="G19" s="452"/>
      <c r="I19" s="206">
        <v>61.0</v>
      </c>
      <c r="J19" s="206">
        <v>123.0</v>
      </c>
      <c r="K19" s="206"/>
      <c r="L19" s="206">
        <v>740.0</v>
      </c>
      <c r="M19" s="206"/>
      <c r="N19" s="206"/>
      <c r="P19" s="206"/>
      <c r="Q19" s="206"/>
      <c r="R19" s="206"/>
    </row>
    <row r="20">
      <c r="A20" s="659" t="s">
        <v>133</v>
      </c>
      <c r="B20" s="660">
        <v>582.0</v>
      </c>
      <c r="C20" s="656">
        <f t="shared" si="1"/>
        <v>369</v>
      </c>
      <c r="D20" s="657">
        <f t="shared" si="2"/>
        <v>113</v>
      </c>
      <c r="E20" s="657">
        <f t="shared" si="3"/>
        <v>0</v>
      </c>
      <c r="F20" s="658" t="str">
        <f t="shared" si="4"/>
        <v/>
      </c>
      <c r="G20" s="452"/>
      <c r="I20" s="206">
        <v>54.0</v>
      </c>
      <c r="J20" s="206">
        <v>59.0</v>
      </c>
      <c r="K20" s="206"/>
      <c r="L20" s="206">
        <v>369.0</v>
      </c>
      <c r="M20" s="206"/>
      <c r="N20" s="206"/>
      <c r="P20" s="206"/>
      <c r="Q20" s="206"/>
      <c r="R20" s="206"/>
    </row>
    <row r="21">
      <c r="A21" s="659" t="s">
        <v>491</v>
      </c>
      <c r="B21" s="660">
        <v>47.0</v>
      </c>
      <c r="C21" s="656">
        <f t="shared" si="1"/>
        <v>23</v>
      </c>
      <c r="D21" s="657">
        <f t="shared" si="2"/>
        <v>13</v>
      </c>
      <c r="E21" s="657">
        <f t="shared" si="3"/>
        <v>0</v>
      </c>
      <c r="F21" s="658" t="str">
        <f t="shared" si="4"/>
        <v/>
      </c>
      <c r="G21" s="452"/>
      <c r="I21" s="206">
        <v>3.0</v>
      </c>
      <c r="J21" s="206">
        <v>10.0</v>
      </c>
      <c r="K21" s="206"/>
      <c r="L21" s="206">
        <v>23.0</v>
      </c>
      <c r="M21" s="206"/>
      <c r="N21" s="206"/>
      <c r="P21" s="206"/>
      <c r="Q21" s="206"/>
      <c r="R21" s="206"/>
    </row>
    <row r="22">
      <c r="A22" s="659" t="s">
        <v>136</v>
      </c>
      <c r="B22" s="660">
        <v>10.0</v>
      </c>
      <c r="C22" s="656">
        <f t="shared" si="1"/>
        <v>8</v>
      </c>
      <c r="D22" s="657">
        <f t="shared" si="2"/>
        <v>2</v>
      </c>
      <c r="E22" s="657">
        <f t="shared" si="3"/>
        <v>0</v>
      </c>
      <c r="F22" s="658" t="str">
        <f t="shared" si="4"/>
        <v/>
      </c>
      <c r="G22" s="452"/>
      <c r="I22" s="206">
        <v>2.0</v>
      </c>
      <c r="J22" s="206">
        <v>0.0</v>
      </c>
      <c r="K22" s="206"/>
      <c r="L22" s="206">
        <v>8.0</v>
      </c>
      <c r="M22" s="206"/>
      <c r="N22" s="206"/>
      <c r="P22" s="206"/>
      <c r="Q22" s="206"/>
      <c r="R22" s="206"/>
    </row>
    <row r="23">
      <c r="A23" s="659" t="s">
        <v>493</v>
      </c>
      <c r="B23" s="660">
        <v>22.0</v>
      </c>
      <c r="C23" s="656">
        <f t="shared" si="1"/>
        <v>9</v>
      </c>
      <c r="D23" s="657">
        <f t="shared" si="2"/>
        <v>5</v>
      </c>
      <c r="E23" s="657">
        <f t="shared" si="3"/>
        <v>0</v>
      </c>
      <c r="F23" s="658" t="str">
        <f t="shared" si="4"/>
        <v/>
      </c>
      <c r="G23" s="452"/>
      <c r="I23" s="206">
        <v>1.0</v>
      </c>
      <c r="J23" s="206">
        <v>4.0</v>
      </c>
      <c r="K23" s="206"/>
      <c r="L23" s="206">
        <v>9.0</v>
      </c>
      <c r="M23" s="206"/>
      <c r="N23" s="206"/>
      <c r="P23" s="206"/>
      <c r="Q23" s="206"/>
      <c r="R23" s="206"/>
    </row>
    <row r="24">
      <c r="A24" s="659" t="s">
        <v>494</v>
      </c>
      <c r="B24" s="660">
        <v>15.0</v>
      </c>
      <c r="C24" s="656">
        <f t="shared" si="1"/>
        <v>9</v>
      </c>
      <c r="D24" s="657">
        <f t="shared" si="2"/>
        <v>3</v>
      </c>
      <c r="E24" s="657">
        <f t="shared" si="3"/>
        <v>0</v>
      </c>
      <c r="F24" s="658" t="str">
        <f t="shared" si="4"/>
        <v/>
      </c>
      <c r="G24" s="452"/>
      <c r="I24" s="206">
        <v>1.0</v>
      </c>
      <c r="J24" s="206">
        <v>2.0</v>
      </c>
      <c r="K24" s="206"/>
      <c r="L24" s="206">
        <v>9.0</v>
      </c>
      <c r="M24" s="206"/>
      <c r="N24" s="206"/>
      <c r="P24" s="206"/>
      <c r="Q24" s="206"/>
      <c r="R24" s="206"/>
    </row>
    <row r="25">
      <c r="A25" s="659" t="s">
        <v>495</v>
      </c>
      <c r="B25" s="660">
        <v>12.0</v>
      </c>
      <c r="C25" s="656">
        <f t="shared" si="1"/>
        <v>2</v>
      </c>
      <c r="D25" s="657">
        <f t="shared" si="2"/>
        <v>9</v>
      </c>
      <c r="E25" s="657">
        <f t="shared" si="3"/>
        <v>0</v>
      </c>
      <c r="F25" s="658" t="str">
        <f t="shared" si="4"/>
        <v/>
      </c>
      <c r="G25" s="452"/>
      <c r="I25" s="206">
        <v>4.0</v>
      </c>
      <c r="J25" s="206">
        <v>5.0</v>
      </c>
      <c r="K25" s="206"/>
      <c r="L25" s="206">
        <v>2.0</v>
      </c>
      <c r="M25" s="206"/>
      <c r="N25" s="206"/>
      <c r="P25" s="206"/>
      <c r="Q25" s="206"/>
      <c r="R25" s="206"/>
    </row>
    <row r="26">
      <c r="A26" s="659" t="s">
        <v>496</v>
      </c>
      <c r="B26" s="660">
        <v>9.0</v>
      </c>
      <c r="C26" s="656">
        <f t="shared" si="1"/>
        <v>4</v>
      </c>
      <c r="D26" s="657">
        <f t="shared" si="2"/>
        <v>4</v>
      </c>
      <c r="E26" s="657">
        <f t="shared" si="3"/>
        <v>0</v>
      </c>
      <c r="F26" s="658" t="str">
        <f t="shared" si="4"/>
        <v/>
      </c>
      <c r="G26" s="452"/>
      <c r="I26" s="206">
        <v>2.0</v>
      </c>
      <c r="J26" s="206">
        <v>2.0</v>
      </c>
      <c r="K26" s="206"/>
      <c r="L26" s="206">
        <v>4.0</v>
      </c>
      <c r="M26" s="206"/>
      <c r="N26" s="206"/>
      <c r="P26" s="206"/>
      <c r="Q26" s="206"/>
      <c r="R26" s="206"/>
    </row>
    <row r="27">
      <c r="A27" s="659" t="s">
        <v>497</v>
      </c>
      <c r="B27" s="660">
        <v>21.0</v>
      </c>
      <c r="C27" s="656">
        <f t="shared" si="1"/>
        <v>18</v>
      </c>
      <c r="D27" s="657">
        <f t="shared" si="2"/>
        <v>3</v>
      </c>
      <c r="E27" s="657">
        <f t="shared" si="3"/>
        <v>0</v>
      </c>
      <c r="F27" s="658" t="str">
        <f t="shared" si="4"/>
        <v/>
      </c>
      <c r="G27" s="452"/>
      <c r="I27" s="206">
        <v>1.0</v>
      </c>
      <c r="J27" s="206">
        <v>2.0</v>
      </c>
      <c r="K27" s="206"/>
      <c r="L27" s="206">
        <v>18.0</v>
      </c>
      <c r="M27" s="206"/>
      <c r="N27" s="206"/>
      <c r="P27" s="206"/>
      <c r="Q27" s="206"/>
      <c r="R27" s="206"/>
    </row>
    <row r="28">
      <c r="A28" s="659" t="s">
        <v>498</v>
      </c>
      <c r="B28" s="660">
        <v>33.0</v>
      </c>
      <c r="C28" s="656">
        <f t="shared" si="1"/>
        <v>20</v>
      </c>
      <c r="D28" s="657">
        <f t="shared" si="2"/>
        <v>2</v>
      </c>
      <c r="E28" s="657">
        <f t="shared" si="3"/>
        <v>0</v>
      </c>
      <c r="F28" s="658" t="str">
        <f t="shared" si="4"/>
        <v/>
      </c>
      <c r="G28" s="452"/>
      <c r="I28" s="206">
        <v>0.0</v>
      </c>
      <c r="J28" s="206">
        <v>2.0</v>
      </c>
      <c r="K28" s="206"/>
      <c r="L28" s="206">
        <v>20.0</v>
      </c>
      <c r="M28" s="206"/>
      <c r="N28" s="206"/>
      <c r="P28" s="206"/>
      <c r="Q28" s="206"/>
      <c r="R28" s="206"/>
    </row>
    <row r="29">
      <c r="A29" s="659" t="s">
        <v>499</v>
      </c>
      <c r="B29" s="660">
        <v>68.0</v>
      </c>
      <c r="C29" s="656">
        <f t="shared" si="1"/>
        <v>26</v>
      </c>
      <c r="D29" s="657">
        <f t="shared" si="2"/>
        <v>29</v>
      </c>
      <c r="E29" s="657">
        <f t="shared" si="3"/>
        <v>0</v>
      </c>
      <c r="F29" s="658" t="str">
        <f t="shared" si="4"/>
        <v/>
      </c>
      <c r="G29" s="452"/>
      <c r="I29" s="206">
        <v>11.0</v>
      </c>
      <c r="J29" s="206">
        <v>18.0</v>
      </c>
      <c r="K29" s="206"/>
      <c r="L29" s="206">
        <v>26.0</v>
      </c>
      <c r="M29" s="206"/>
      <c r="N29" s="206"/>
      <c r="P29" s="206"/>
      <c r="Q29" s="206"/>
      <c r="R29" s="206"/>
    </row>
    <row r="30">
      <c r="A30" s="659" t="s">
        <v>500</v>
      </c>
      <c r="B30" s="660">
        <v>178.0</v>
      </c>
      <c r="C30" s="656">
        <f t="shared" si="1"/>
        <v>87</v>
      </c>
      <c r="D30" s="657">
        <f t="shared" si="2"/>
        <v>74</v>
      </c>
      <c r="E30" s="657">
        <f t="shared" si="3"/>
        <v>0</v>
      </c>
      <c r="F30" s="658" t="str">
        <f t="shared" si="4"/>
        <v/>
      </c>
      <c r="G30" s="452"/>
      <c r="I30" s="206">
        <v>17.0</v>
      </c>
      <c r="J30" s="206">
        <v>57.0</v>
      </c>
      <c r="K30" s="206"/>
      <c r="L30" s="206">
        <v>87.0</v>
      </c>
      <c r="M30" s="206"/>
      <c r="N30" s="206"/>
      <c r="P30" s="206"/>
      <c r="Q30" s="206"/>
      <c r="R30" s="206"/>
    </row>
    <row r="31">
      <c r="A31" s="659" t="s">
        <v>501</v>
      </c>
      <c r="B31" s="660">
        <v>291.0</v>
      </c>
      <c r="C31" s="656">
        <f t="shared" si="1"/>
        <v>153</v>
      </c>
      <c r="D31" s="657">
        <f t="shared" si="2"/>
        <v>107</v>
      </c>
      <c r="E31" s="657">
        <f t="shared" si="3"/>
        <v>0</v>
      </c>
      <c r="F31" s="658" t="str">
        <f t="shared" si="4"/>
        <v/>
      </c>
      <c r="G31" s="452"/>
      <c r="I31" s="206">
        <v>48.0</v>
      </c>
      <c r="J31" s="206">
        <v>59.0</v>
      </c>
      <c r="K31" s="206"/>
      <c r="L31" s="206">
        <v>153.0</v>
      </c>
      <c r="M31" s="206"/>
      <c r="N31" s="206"/>
      <c r="P31" s="206"/>
      <c r="Q31" s="206"/>
      <c r="R31" s="206"/>
    </row>
    <row r="32">
      <c r="A32" s="659" t="s">
        <v>306</v>
      </c>
      <c r="B32" s="662">
        <v>1716.0</v>
      </c>
      <c r="C32" s="656">
        <f t="shared" si="1"/>
        <v>831</v>
      </c>
      <c r="D32" s="657">
        <f t="shared" si="2"/>
        <v>510</v>
      </c>
      <c r="E32" s="657">
        <f t="shared" si="3"/>
        <v>0</v>
      </c>
      <c r="F32" s="658" t="str">
        <f t="shared" si="4"/>
        <v/>
      </c>
      <c r="G32" s="452"/>
      <c r="I32" s="206">
        <v>135.0</v>
      </c>
      <c r="J32" s="206">
        <v>375.0</v>
      </c>
      <c r="K32" s="206"/>
      <c r="L32" s="208">
        <v>831.0</v>
      </c>
      <c r="M32" s="206"/>
      <c r="N32" s="206"/>
      <c r="P32" s="206"/>
      <c r="Q32" s="208"/>
      <c r="R32" s="206"/>
    </row>
    <row r="33">
      <c r="A33" s="659" t="s">
        <v>502</v>
      </c>
      <c r="B33" s="660">
        <v>36.0</v>
      </c>
      <c r="C33" s="656">
        <f t="shared" si="1"/>
        <v>20</v>
      </c>
      <c r="D33" s="657">
        <f t="shared" si="2"/>
        <v>9</v>
      </c>
      <c r="E33" s="657">
        <f t="shared" si="3"/>
        <v>0</v>
      </c>
      <c r="F33" s="658" t="str">
        <f t="shared" si="4"/>
        <v/>
      </c>
      <c r="G33" s="452"/>
      <c r="I33" s="206">
        <v>4.0</v>
      </c>
      <c r="J33" s="206">
        <v>5.0</v>
      </c>
      <c r="K33" s="206"/>
      <c r="L33" s="206">
        <v>20.0</v>
      </c>
      <c r="M33" s="206"/>
      <c r="N33" s="206"/>
      <c r="P33" s="206"/>
      <c r="Q33" s="206"/>
      <c r="R33" s="206"/>
    </row>
    <row r="34">
      <c r="A34" s="659" t="s">
        <v>504</v>
      </c>
      <c r="B34" s="660">
        <v>107.0</v>
      </c>
      <c r="C34" s="656">
        <f t="shared" si="1"/>
        <v>47</v>
      </c>
      <c r="D34" s="657">
        <f t="shared" si="2"/>
        <v>42</v>
      </c>
      <c r="E34" s="657">
        <f t="shared" si="3"/>
        <v>0</v>
      </c>
      <c r="F34" s="658" t="str">
        <f t="shared" si="4"/>
        <v/>
      </c>
      <c r="G34" s="452"/>
      <c r="I34" s="206">
        <v>13.0</v>
      </c>
      <c r="J34" s="206">
        <v>29.0</v>
      </c>
      <c r="K34" s="206"/>
      <c r="L34" s="206">
        <v>47.0</v>
      </c>
      <c r="M34" s="206"/>
      <c r="N34" s="206"/>
      <c r="P34" s="206"/>
      <c r="Q34" s="206"/>
      <c r="R34" s="206"/>
    </row>
    <row r="35">
      <c r="A35" s="664" t="s">
        <v>142</v>
      </c>
      <c r="B35" s="660">
        <v>75.0</v>
      </c>
      <c r="C35" s="656">
        <f t="shared" si="1"/>
        <v>59</v>
      </c>
      <c r="D35" s="657">
        <f t="shared" si="2"/>
        <v>11</v>
      </c>
      <c r="E35" s="657">
        <f t="shared" si="3"/>
        <v>0</v>
      </c>
      <c r="F35" s="658" t="str">
        <f t="shared" si="4"/>
        <v/>
      </c>
      <c r="G35" s="452"/>
      <c r="I35" s="206">
        <v>3.0</v>
      </c>
      <c r="J35" s="206">
        <v>8.0</v>
      </c>
      <c r="K35" s="206"/>
      <c r="L35" s="206">
        <v>59.0</v>
      </c>
      <c r="M35" s="206"/>
      <c r="N35" s="206"/>
      <c r="P35" s="206"/>
      <c r="Q35" s="206"/>
      <c r="R35" s="206"/>
    </row>
    <row r="36">
      <c r="A36" s="659" t="s">
        <v>143</v>
      </c>
      <c r="B36" s="660">
        <v>9.0</v>
      </c>
      <c r="C36" s="656">
        <f t="shared" si="1"/>
        <v>8</v>
      </c>
      <c r="D36" s="657">
        <f t="shared" si="2"/>
        <v>0</v>
      </c>
      <c r="E36" s="657">
        <f t="shared" si="3"/>
        <v>0</v>
      </c>
      <c r="F36" s="658" t="str">
        <f t="shared" si="4"/>
        <v/>
      </c>
      <c r="G36" s="452"/>
      <c r="I36" s="206">
        <v>0.0</v>
      </c>
      <c r="J36" s="206">
        <v>0.0</v>
      </c>
      <c r="K36" s="206"/>
      <c r="L36" s="206">
        <v>8.0</v>
      </c>
      <c r="M36" s="206"/>
      <c r="N36" s="206"/>
      <c r="P36" s="206"/>
      <c r="Q36" s="206"/>
      <c r="R36" s="206"/>
    </row>
    <row r="37">
      <c r="A37" s="659" t="s">
        <v>289</v>
      </c>
      <c r="B37" s="660">
        <v>7.0</v>
      </c>
      <c r="C37" s="656">
        <f t="shared" si="1"/>
        <v>3</v>
      </c>
      <c r="D37" s="657">
        <f t="shared" si="2"/>
        <v>1</v>
      </c>
      <c r="E37" s="657">
        <f t="shared" si="3"/>
        <v>0</v>
      </c>
      <c r="F37" s="658" t="str">
        <f t="shared" si="4"/>
        <v/>
      </c>
      <c r="G37" s="452"/>
      <c r="I37" s="206">
        <v>0.0</v>
      </c>
      <c r="J37" s="206">
        <v>1.0</v>
      </c>
      <c r="K37" s="206"/>
      <c r="L37" s="206">
        <v>3.0</v>
      </c>
      <c r="M37" s="206"/>
      <c r="N37" s="206"/>
      <c r="P37" s="206"/>
      <c r="Q37" s="206"/>
      <c r="R37" s="206"/>
    </row>
    <row r="38">
      <c r="A38" s="659" t="s">
        <v>337</v>
      </c>
      <c r="B38" s="660">
        <v>298.0</v>
      </c>
      <c r="C38" s="656">
        <f t="shared" si="1"/>
        <v>160</v>
      </c>
      <c r="D38" s="657">
        <f t="shared" si="2"/>
        <v>108</v>
      </c>
      <c r="E38" s="657">
        <f t="shared" si="3"/>
        <v>0</v>
      </c>
      <c r="F38" s="658" t="str">
        <f t="shared" si="4"/>
        <v/>
      </c>
      <c r="G38" s="452"/>
      <c r="I38" s="206">
        <v>28.0</v>
      </c>
      <c r="J38" s="206">
        <v>80.0</v>
      </c>
      <c r="K38" s="206"/>
      <c r="L38" s="206">
        <v>160.0</v>
      </c>
      <c r="M38" s="206"/>
      <c r="N38" s="206"/>
      <c r="P38" s="206"/>
      <c r="Q38" s="206"/>
      <c r="R38" s="206"/>
    </row>
    <row r="39">
      <c r="A39" s="659" t="s">
        <v>147</v>
      </c>
      <c r="B39" s="660">
        <v>584.0</v>
      </c>
      <c r="C39" s="656">
        <f t="shared" si="1"/>
        <v>302</v>
      </c>
      <c r="D39" s="657">
        <f t="shared" si="2"/>
        <v>157</v>
      </c>
      <c r="E39" s="657">
        <f t="shared" si="3"/>
        <v>0</v>
      </c>
      <c r="F39" s="658" t="str">
        <f t="shared" si="4"/>
        <v/>
      </c>
      <c r="G39" s="452"/>
      <c r="I39" s="206">
        <v>49.0</v>
      </c>
      <c r="J39" s="206">
        <v>108.0</v>
      </c>
      <c r="K39" s="206"/>
      <c r="L39" s="206">
        <v>302.0</v>
      </c>
      <c r="M39" s="206"/>
      <c r="N39" s="206"/>
      <c r="P39" s="206"/>
      <c r="Q39" s="206"/>
      <c r="R39" s="206"/>
    </row>
    <row r="40">
      <c r="A40" s="659" t="s">
        <v>505</v>
      </c>
      <c r="B40" s="660">
        <v>305.0</v>
      </c>
      <c r="C40" s="656">
        <f t="shared" si="1"/>
        <v>202</v>
      </c>
      <c r="D40" s="657">
        <f t="shared" si="2"/>
        <v>46</v>
      </c>
      <c r="E40" s="657">
        <f t="shared" si="3"/>
        <v>0</v>
      </c>
      <c r="F40" s="658" t="str">
        <f t="shared" si="4"/>
        <v/>
      </c>
      <c r="G40" s="452"/>
      <c r="I40" s="206">
        <v>11.0</v>
      </c>
      <c r="J40" s="206">
        <v>35.0</v>
      </c>
      <c r="K40" s="206"/>
      <c r="L40" s="206">
        <v>202.0</v>
      </c>
      <c r="M40" s="206"/>
      <c r="N40" s="206"/>
      <c r="P40" s="206"/>
      <c r="Q40" s="206"/>
      <c r="R40" s="206"/>
    </row>
    <row r="41">
      <c r="A41" s="659" t="s">
        <v>506</v>
      </c>
      <c r="B41" s="660">
        <v>66.0</v>
      </c>
      <c r="C41" s="656">
        <f t="shared" si="1"/>
        <v>34</v>
      </c>
      <c r="D41" s="657">
        <f t="shared" si="2"/>
        <v>26</v>
      </c>
      <c r="E41" s="657">
        <f t="shared" si="3"/>
        <v>0</v>
      </c>
      <c r="F41" s="658" t="str">
        <f t="shared" si="4"/>
        <v/>
      </c>
      <c r="G41" s="452"/>
      <c r="I41" s="206">
        <v>10.0</v>
      </c>
      <c r="J41" s="206">
        <v>16.0</v>
      </c>
      <c r="K41" s="206"/>
      <c r="L41" s="206">
        <v>34.0</v>
      </c>
      <c r="M41" s="206"/>
      <c r="N41" s="206"/>
      <c r="P41" s="206"/>
      <c r="Q41" s="206"/>
      <c r="R41" s="206"/>
    </row>
    <row r="42">
      <c r="A42" s="659" t="s">
        <v>508</v>
      </c>
      <c r="B42" s="660">
        <v>0.0</v>
      </c>
      <c r="C42" s="656">
        <f t="shared" si="1"/>
        <v>0</v>
      </c>
      <c r="D42" s="657">
        <f t="shared" si="2"/>
        <v>0</v>
      </c>
      <c r="E42" s="657">
        <f t="shared" si="3"/>
        <v>0</v>
      </c>
      <c r="F42" s="658" t="str">
        <f t="shared" si="4"/>
        <v/>
      </c>
      <c r="G42" s="452"/>
      <c r="I42" s="206">
        <v>0.0</v>
      </c>
      <c r="J42" s="206">
        <v>0.0</v>
      </c>
      <c r="K42" s="206"/>
      <c r="L42" s="206">
        <v>0.0</v>
      </c>
      <c r="M42" s="206"/>
      <c r="N42" s="206"/>
      <c r="P42" s="206"/>
      <c r="Q42" s="206"/>
      <c r="R42" s="206"/>
    </row>
    <row r="43">
      <c r="A43" s="659" t="s">
        <v>151</v>
      </c>
      <c r="B43" s="660">
        <v>22.0</v>
      </c>
      <c r="C43" s="656">
        <f t="shared" si="1"/>
        <v>19</v>
      </c>
      <c r="D43" s="657">
        <f t="shared" si="2"/>
        <v>2</v>
      </c>
      <c r="E43" s="657">
        <f t="shared" si="3"/>
        <v>0</v>
      </c>
      <c r="F43" s="658" t="str">
        <f t="shared" si="4"/>
        <v/>
      </c>
      <c r="G43" s="452"/>
      <c r="I43" s="206">
        <v>0.0</v>
      </c>
      <c r="J43" s="206">
        <v>2.0</v>
      </c>
      <c r="K43" s="206"/>
      <c r="L43" s="206">
        <v>19.0</v>
      </c>
      <c r="M43" s="206"/>
      <c r="N43" s="206"/>
      <c r="P43" s="206"/>
      <c r="Q43" s="206"/>
      <c r="R43" s="206"/>
    </row>
    <row r="44">
      <c r="A44" s="659" t="s">
        <v>509</v>
      </c>
      <c r="B44" s="660">
        <v>365.0</v>
      </c>
      <c r="C44" s="656">
        <f t="shared" si="1"/>
        <v>160</v>
      </c>
      <c r="D44" s="657">
        <f t="shared" si="2"/>
        <v>118</v>
      </c>
      <c r="E44" s="657">
        <f t="shared" si="3"/>
        <v>0</v>
      </c>
      <c r="F44" s="658" t="str">
        <f t="shared" si="4"/>
        <v/>
      </c>
      <c r="G44" s="452"/>
      <c r="I44" s="206">
        <v>33.0</v>
      </c>
      <c r="J44" s="206">
        <v>85.0</v>
      </c>
      <c r="K44" s="206"/>
      <c r="L44" s="206">
        <v>160.0</v>
      </c>
      <c r="M44" s="206"/>
      <c r="N44" s="206"/>
      <c r="P44" s="206"/>
      <c r="Q44" s="206"/>
      <c r="R44" s="206"/>
    </row>
    <row r="45">
      <c r="A45" s="659" t="s">
        <v>153</v>
      </c>
      <c r="B45" s="660">
        <v>752.0</v>
      </c>
      <c r="C45" s="656">
        <f t="shared" si="1"/>
        <v>352</v>
      </c>
      <c r="D45" s="657">
        <f t="shared" si="2"/>
        <v>310</v>
      </c>
      <c r="E45" s="657">
        <f t="shared" si="3"/>
        <v>0</v>
      </c>
      <c r="F45" s="658" t="str">
        <f t="shared" si="4"/>
        <v/>
      </c>
      <c r="G45" s="452"/>
      <c r="I45" s="206">
        <v>93.0</v>
      </c>
      <c r="J45" s="206">
        <v>217.0</v>
      </c>
      <c r="K45" s="206"/>
      <c r="L45" s="206">
        <v>352.0</v>
      </c>
      <c r="M45" s="206"/>
      <c r="N45" s="206"/>
      <c r="P45" s="206"/>
      <c r="Q45" s="206"/>
      <c r="R45" s="206"/>
    </row>
    <row r="46">
      <c r="A46" s="659" t="s">
        <v>510</v>
      </c>
      <c r="B46" s="660">
        <v>27.0</v>
      </c>
      <c r="C46" s="656">
        <f t="shared" si="1"/>
        <v>8</v>
      </c>
      <c r="D46" s="657">
        <f t="shared" si="2"/>
        <v>10</v>
      </c>
      <c r="E46" s="657">
        <f t="shared" si="3"/>
        <v>0</v>
      </c>
      <c r="F46" s="658" t="str">
        <f t="shared" si="4"/>
        <v/>
      </c>
      <c r="G46" s="452"/>
      <c r="I46" s="206">
        <v>2.0</v>
      </c>
      <c r="J46" s="206">
        <v>8.0</v>
      </c>
      <c r="K46" s="206"/>
      <c r="L46" s="206">
        <v>8.0</v>
      </c>
      <c r="M46" s="206"/>
      <c r="N46" s="206"/>
      <c r="P46" s="206"/>
      <c r="Q46" s="206"/>
      <c r="R46" s="206"/>
    </row>
    <row r="47">
      <c r="A47" s="659" t="s">
        <v>244</v>
      </c>
      <c r="B47" s="662">
        <v>1338.0</v>
      </c>
      <c r="C47" s="656">
        <f t="shared" si="1"/>
        <v>709</v>
      </c>
      <c r="D47" s="657">
        <f t="shared" si="2"/>
        <v>348</v>
      </c>
      <c r="E47" s="657">
        <f t="shared" si="3"/>
        <v>0</v>
      </c>
      <c r="F47" s="658" t="str">
        <f t="shared" si="4"/>
        <v/>
      </c>
      <c r="G47" s="452"/>
      <c r="I47" s="206">
        <v>82.0</v>
      </c>
      <c r="J47" s="206">
        <v>266.0</v>
      </c>
      <c r="K47" s="206"/>
      <c r="L47" s="206">
        <v>709.0</v>
      </c>
      <c r="M47" s="206"/>
      <c r="N47" s="206"/>
      <c r="P47" s="206"/>
      <c r="Q47" s="206"/>
      <c r="R47" s="206"/>
    </row>
    <row r="48">
      <c r="A48" s="659" t="s">
        <v>156</v>
      </c>
      <c r="B48" s="660">
        <v>57.0</v>
      </c>
      <c r="C48" s="656">
        <f t="shared" si="1"/>
        <v>33</v>
      </c>
      <c r="D48" s="657">
        <f t="shared" si="2"/>
        <v>18</v>
      </c>
      <c r="E48" s="657">
        <f t="shared" si="3"/>
        <v>0</v>
      </c>
      <c r="F48" s="658" t="str">
        <f t="shared" si="4"/>
        <v/>
      </c>
      <c r="G48" s="452"/>
      <c r="I48" s="206">
        <v>2.0</v>
      </c>
      <c r="J48" s="206">
        <v>16.0</v>
      </c>
      <c r="K48" s="206"/>
      <c r="L48" s="206">
        <v>33.0</v>
      </c>
      <c r="M48" s="206"/>
      <c r="N48" s="206"/>
      <c r="P48" s="206"/>
      <c r="Q48" s="206"/>
      <c r="R48" s="206"/>
    </row>
    <row r="49">
      <c r="A49" s="659" t="s">
        <v>330</v>
      </c>
      <c r="B49" s="660">
        <v>31.0</v>
      </c>
      <c r="C49" s="656">
        <f t="shared" si="1"/>
        <v>21</v>
      </c>
      <c r="D49" s="657">
        <f t="shared" si="2"/>
        <v>6</v>
      </c>
      <c r="E49" s="657">
        <f t="shared" si="3"/>
        <v>0</v>
      </c>
      <c r="F49" s="658" t="str">
        <f t="shared" si="4"/>
        <v/>
      </c>
      <c r="G49" s="452"/>
      <c r="I49" s="206">
        <v>0.0</v>
      </c>
      <c r="J49" s="206">
        <v>6.0</v>
      </c>
      <c r="K49" s="206"/>
      <c r="L49" s="206">
        <v>21.0</v>
      </c>
      <c r="M49" s="206"/>
      <c r="N49" s="206"/>
      <c r="P49" s="206"/>
      <c r="Q49" s="206"/>
      <c r="R49" s="206"/>
    </row>
    <row r="50">
      <c r="A50" s="659" t="s">
        <v>513</v>
      </c>
      <c r="B50" s="660">
        <v>191.0</v>
      </c>
      <c r="C50" s="656">
        <f t="shared" si="1"/>
        <v>129</v>
      </c>
      <c r="D50" s="657">
        <f t="shared" si="2"/>
        <v>36</v>
      </c>
      <c r="E50" s="657">
        <f t="shared" si="3"/>
        <v>0</v>
      </c>
      <c r="F50" s="658" t="str">
        <f t="shared" si="4"/>
        <v/>
      </c>
      <c r="G50" s="452"/>
      <c r="I50" s="206">
        <v>9.0</v>
      </c>
      <c r="J50" s="206">
        <v>27.0</v>
      </c>
      <c r="K50" s="206"/>
      <c r="L50" s="206">
        <v>129.0</v>
      </c>
      <c r="M50" s="206"/>
      <c r="N50" s="206"/>
      <c r="P50" s="206"/>
      <c r="Q50" s="206"/>
      <c r="R50" s="206"/>
    </row>
    <row r="51">
      <c r="A51" s="659" t="s">
        <v>514</v>
      </c>
      <c r="B51" s="660">
        <v>61.0</v>
      </c>
      <c r="C51" s="656">
        <f t="shared" si="1"/>
        <v>25</v>
      </c>
      <c r="D51" s="657">
        <f t="shared" si="2"/>
        <v>12</v>
      </c>
      <c r="E51" s="657">
        <f t="shared" si="3"/>
        <v>0</v>
      </c>
      <c r="F51" s="658" t="str">
        <f t="shared" si="4"/>
        <v/>
      </c>
      <c r="G51" s="452"/>
      <c r="H51" s="367"/>
      <c r="I51" s="206">
        <v>4.0</v>
      </c>
      <c r="J51" s="206">
        <v>8.0</v>
      </c>
      <c r="K51" s="206"/>
      <c r="L51" s="206">
        <v>25.0</v>
      </c>
      <c r="M51" s="206"/>
      <c r="N51" s="206"/>
      <c r="O51" s="367"/>
      <c r="P51" s="206"/>
      <c r="Q51" s="206"/>
      <c r="R51" s="206"/>
    </row>
    <row r="52">
      <c r="A52" s="659" t="s">
        <v>241</v>
      </c>
      <c r="B52" s="662">
        <v>943.0</v>
      </c>
      <c r="C52" s="656">
        <f t="shared" si="1"/>
        <v>434</v>
      </c>
      <c r="D52" s="657">
        <f t="shared" si="2"/>
        <v>305</v>
      </c>
      <c r="E52" s="657">
        <f t="shared" si="3"/>
        <v>0</v>
      </c>
      <c r="F52" s="658" t="str">
        <f t="shared" si="4"/>
        <v/>
      </c>
      <c r="G52" s="452"/>
      <c r="I52" s="206">
        <v>67.0</v>
      </c>
      <c r="J52" s="206">
        <v>238.0</v>
      </c>
      <c r="K52" s="206"/>
      <c r="L52" s="206">
        <v>434.0</v>
      </c>
      <c r="M52" s="206"/>
      <c r="N52" s="206"/>
      <c r="P52" s="206"/>
      <c r="Q52" s="206"/>
      <c r="R52" s="206"/>
    </row>
    <row r="53">
      <c r="A53" s="659" t="s">
        <v>515</v>
      </c>
      <c r="B53" s="660">
        <v>310.0</v>
      </c>
      <c r="C53" s="656">
        <f t="shared" si="1"/>
        <v>132</v>
      </c>
      <c r="D53" s="657">
        <f t="shared" si="2"/>
        <v>76</v>
      </c>
      <c r="E53" s="657">
        <f t="shared" si="3"/>
        <v>0</v>
      </c>
      <c r="F53" s="658" t="str">
        <f t="shared" si="4"/>
        <v/>
      </c>
      <c r="G53" s="452"/>
      <c r="I53" s="206">
        <v>16.0</v>
      </c>
      <c r="J53" s="206">
        <v>60.0</v>
      </c>
      <c r="K53" s="206"/>
      <c r="L53" s="206">
        <v>132.0</v>
      </c>
      <c r="M53" s="206"/>
      <c r="N53" s="206"/>
      <c r="P53" s="206"/>
      <c r="Q53" s="206"/>
      <c r="R53" s="206"/>
    </row>
    <row r="54">
      <c r="A54" s="659" t="s">
        <v>296</v>
      </c>
      <c r="B54" s="660">
        <v>854.0</v>
      </c>
      <c r="C54" s="656">
        <f t="shared" si="1"/>
        <v>347</v>
      </c>
      <c r="D54" s="657">
        <f t="shared" si="2"/>
        <v>289</v>
      </c>
      <c r="E54" s="657">
        <f t="shared" si="3"/>
        <v>0</v>
      </c>
      <c r="F54" s="658" t="str">
        <f t="shared" si="4"/>
        <v/>
      </c>
      <c r="G54" s="452"/>
      <c r="I54" s="206">
        <v>65.0</v>
      </c>
      <c r="J54" s="206">
        <v>224.0</v>
      </c>
      <c r="K54" s="206"/>
      <c r="L54" s="206">
        <v>347.0</v>
      </c>
      <c r="M54" s="206"/>
      <c r="N54" s="206"/>
      <c r="P54" s="206"/>
      <c r="Q54" s="206"/>
      <c r="R54" s="206"/>
    </row>
    <row r="55">
      <c r="A55" s="659" t="s">
        <v>517</v>
      </c>
      <c r="B55" s="660">
        <v>675.0</v>
      </c>
      <c r="C55" s="656">
        <f t="shared" si="1"/>
        <v>321</v>
      </c>
      <c r="D55" s="657">
        <f t="shared" si="2"/>
        <v>191</v>
      </c>
      <c r="E55" s="657">
        <f t="shared" si="3"/>
        <v>0</v>
      </c>
      <c r="F55" s="658" t="str">
        <f t="shared" si="4"/>
        <v/>
      </c>
      <c r="G55" s="452"/>
      <c r="I55" s="206">
        <v>54.0</v>
      </c>
      <c r="J55" s="206">
        <v>137.0</v>
      </c>
      <c r="K55" s="206"/>
      <c r="L55" s="206">
        <v>321.0</v>
      </c>
      <c r="M55" s="206"/>
      <c r="N55" s="206"/>
      <c r="P55" s="206"/>
      <c r="Q55" s="206"/>
      <c r="R55" s="206"/>
    </row>
    <row r="56">
      <c r="A56" s="659" t="s">
        <v>423</v>
      </c>
      <c r="B56" s="662">
        <v>992.0</v>
      </c>
      <c r="C56" s="656">
        <f t="shared" si="1"/>
        <v>485</v>
      </c>
      <c r="D56" s="657">
        <f t="shared" si="2"/>
        <v>282</v>
      </c>
      <c r="E56" s="657">
        <f t="shared" si="3"/>
        <v>0</v>
      </c>
      <c r="F56" s="658" t="str">
        <f t="shared" si="4"/>
        <v/>
      </c>
      <c r="G56" s="452"/>
      <c r="I56" s="206">
        <v>67.0</v>
      </c>
      <c r="J56" s="206">
        <v>215.0</v>
      </c>
      <c r="K56" s="206"/>
      <c r="L56" s="206">
        <v>485.0</v>
      </c>
      <c r="M56" s="206"/>
      <c r="N56" s="206"/>
      <c r="P56" s="206"/>
      <c r="Q56" s="206"/>
      <c r="R56" s="206"/>
    </row>
    <row r="57">
      <c r="A57" s="659" t="s">
        <v>302</v>
      </c>
      <c r="B57" s="660">
        <v>877.0</v>
      </c>
      <c r="C57" s="656">
        <f t="shared" si="1"/>
        <v>470</v>
      </c>
      <c r="D57" s="657">
        <f t="shared" si="2"/>
        <v>269</v>
      </c>
      <c r="E57" s="657">
        <f t="shared" si="3"/>
        <v>0</v>
      </c>
      <c r="F57" s="658" t="str">
        <f t="shared" si="4"/>
        <v/>
      </c>
      <c r="G57" s="452"/>
      <c r="I57" s="206">
        <v>62.0</v>
      </c>
      <c r="J57" s="206">
        <v>207.0</v>
      </c>
      <c r="K57" s="206"/>
      <c r="L57" s="206">
        <v>470.0</v>
      </c>
      <c r="M57" s="206"/>
      <c r="N57" s="206"/>
      <c r="P57" s="206"/>
      <c r="Q57" s="206"/>
      <c r="R57" s="206"/>
    </row>
    <row r="58">
      <c r="A58" s="659" t="s">
        <v>518</v>
      </c>
      <c r="B58" s="660">
        <v>124.0</v>
      </c>
      <c r="C58" s="656">
        <f t="shared" si="1"/>
        <v>60</v>
      </c>
      <c r="D58" s="657">
        <f t="shared" si="2"/>
        <v>39</v>
      </c>
      <c r="E58" s="657">
        <f t="shared" si="3"/>
        <v>0</v>
      </c>
      <c r="F58" s="658" t="str">
        <f t="shared" si="4"/>
        <v/>
      </c>
      <c r="G58" s="452"/>
      <c r="I58" s="206">
        <v>15.0</v>
      </c>
      <c r="J58" s="206">
        <v>24.0</v>
      </c>
      <c r="K58" s="206"/>
      <c r="L58" s="206">
        <v>60.0</v>
      </c>
      <c r="M58" s="206"/>
      <c r="N58" s="206"/>
      <c r="P58" s="206"/>
      <c r="Q58" s="206"/>
      <c r="R58" s="206"/>
    </row>
    <row r="59">
      <c r="A59" s="659" t="s">
        <v>522</v>
      </c>
      <c r="B59" s="660">
        <v>232.0</v>
      </c>
      <c r="C59" s="656">
        <f t="shared" si="1"/>
        <v>141</v>
      </c>
      <c r="D59" s="657">
        <f t="shared" si="2"/>
        <v>53</v>
      </c>
      <c r="E59" s="657">
        <f t="shared" si="3"/>
        <v>0</v>
      </c>
      <c r="F59" s="658" t="str">
        <f t="shared" si="4"/>
        <v/>
      </c>
      <c r="G59" s="452"/>
      <c r="I59" s="206">
        <v>19.0</v>
      </c>
      <c r="J59" s="206">
        <v>34.0</v>
      </c>
      <c r="K59" s="206"/>
      <c r="L59" s="206">
        <v>141.0</v>
      </c>
      <c r="M59" s="206"/>
      <c r="N59" s="206"/>
      <c r="P59" s="206"/>
      <c r="Q59" s="206"/>
      <c r="R59" s="206"/>
    </row>
    <row r="60">
      <c r="A60" s="659" t="s">
        <v>523</v>
      </c>
      <c r="B60" s="660">
        <v>201.0</v>
      </c>
      <c r="C60" s="656">
        <f t="shared" si="1"/>
        <v>91</v>
      </c>
      <c r="D60" s="657">
        <f t="shared" si="2"/>
        <v>70</v>
      </c>
      <c r="E60" s="657">
        <f t="shared" si="3"/>
        <v>0</v>
      </c>
      <c r="F60" s="658" t="str">
        <f t="shared" si="4"/>
        <v/>
      </c>
      <c r="G60" s="452"/>
      <c r="I60" s="206">
        <v>24.0</v>
      </c>
      <c r="J60" s="206">
        <v>46.0</v>
      </c>
      <c r="K60" s="206"/>
      <c r="L60" s="206">
        <v>91.0</v>
      </c>
      <c r="M60" s="206"/>
      <c r="N60" s="206"/>
      <c r="P60" s="206"/>
      <c r="Q60" s="206"/>
      <c r="R60" s="206"/>
    </row>
    <row r="61">
      <c r="A61" s="659" t="s">
        <v>524</v>
      </c>
      <c r="B61" s="660">
        <v>347.0</v>
      </c>
      <c r="C61" s="656">
        <f t="shared" si="1"/>
        <v>163</v>
      </c>
      <c r="D61" s="657">
        <f t="shared" si="2"/>
        <v>115</v>
      </c>
      <c r="E61" s="657">
        <f t="shared" si="3"/>
        <v>0</v>
      </c>
      <c r="F61" s="658" t="str">
        <f t="shared" si="4"/>
        <v/>
      </c>
      <c r="G61" s="452"/>
      <c r="I61" s="206">
        <v>22.0</v>
      </c>
      <c r="J61" s="206">
        <v>93.0</v>
      </c>
      <c r="K61" s="206"/>
      <c r="L61" s="206">
        <v>163.0</v>
      </c>
      <c r="M61" s="206"/>
      <c r="N61" s="206"/>
      <c r="P61" s="206"/>
      <c r="Q61" s="206"/>
      <c r="R61" s="206"/>
    </row>
    <row r="62">
      <c r="A62" s="659" t="s">
        <v>2457</v>
      </c>
      <c r="B62" s="660">
        <v>55.0</v>
      </c>
      <c r="C62" s="656">
        <f t="shared" si="1"/>
        <v>22</v>
      </c>
      <c r="D62" s="657">
        <f t="shared" si="2"/>
        <v>10</v>
      </c>
      <c r="E62" s="657">
        <f t="shared" si="3"/>
        <v>0</v>
      </c>
      <c r="F62" s="658" t="str">
        <f t="shared" si="4"/>
        <v/>
      </c>
      <c r="G62" s="452"/>
      <c r="I62" s="206">
        <v>3.0</v>
      </c>
      <c r="J62" s="206">
        <v>7.0</v>
      </c>
      <c r="K62" s="206"/>
      <c r="L62" s="206">
        <v>22.0</v>
      </c>
      <c r="M62" s="206"/>
      <c r="N62" s="206"/>
      <c r="P62" s="206"/>
      <c r="Q62" s="206"/>
      <c r="R62" s="206"/>
    </row>
    <row r="63">
      <c r="A63" s="659" t="s">
        <v>2458</v>
      </c>
      <c r="B63" s="660">
        <v>263.0</v>
      </c>
      <c r="C63" s="656">
        <f t="shared" si="1"/>
        <v>125</v>
      </c>
      <c r="D63" s="657">
        <f t="shared" si="2"/>
        <v>75</v>
      </c>
      <c r="E63" s="657">
        <f t="shared" si="3"/>
        <v>0</v>
      </c>
      <c r="F63" s="658" t="str">
        <f t="shared" si="4"/>
        <v/>
      </c>
      <c r="G63" s="452"/>
      <c r="I63" s="206">
        <v>23.0</v>
      </c>
      <c r="J63" s="206">
        <v>52.0</v>
      </c>
      <c r="K63" s="206"/>
      <c r="L63" s="206">
        <v>125.0</v>
      </c>
      <c r="M63" s="206"/>
      <c r="N63" s="206"/>
      <c r="P63" s="206"/>
      <c r="Q63" s="206"/>
      <c r="R63" s="206"/>
    </row>
    <row r="64">
      <c r="A64" s="659" t="s">
        <v>169</v>
      </c>
      <c r="B64" s="660">
        <v>117.0</v>
      </c>
      <c r="C64" s="656">
        <f t="shared" si="1"/>
        <v>65</v>
      </c>
      <c r="D64" s="657">
        <f t="shared" si="2"/>
        <v>45</v>
      </c>
      <c r="E64" s="657">
        <f t="shared" si="3"/>
        <v>0</v>
      </c>
      <c r="F64" s="658" t="str">
        <f t="shared" si="4"/>
        <v/>
      </c>
      <c r="G64" s="452"/>
      <c r="I64" s="206">
        <v>13.0</v>
      </c>
      <c r="J64" s="206">
        <v>32.0</v>
      </c>
      <c r="K64" s="206"/>
      <c r="L64" s="206">
        <v>65.0</v>
      </c>
      <c r="M64" s="206"/>
      <c r="N64" s="206"/>
      <c r="P64" s="206"/>
      <c r="Q64" s="206"/>
      <c r="R64" s="206"/>
    </row>
    <row r="65">
      <c r="A65" s="659" t="s">
        <v>525</v>
      </c>
      <c r="B65" s="660">
        <v>78.0</v>
      </c>
      <c r="C65" s="656">
        <f t="shared" si="1"/>
        <v>42</v>
      </c>
      <c r="D65" s="657">
        <f t="shared" si="2"/>
        <v>29</v>
      </c>
      <c r="E65" s="657">
        <f t="shared" si="3"/>
        <v>0</v>
      </c>
      <c r="F65" s="658" t="str">
        <f t="shared" si="4"/>
        <v/>
      </c>
      <c r="G65" s="452"/>
      <c r="I65" s="206">
        <v>4.0</v>
      </c>
      <c r="J65" s="206">
        <v>25.0</v>
      </c>
      <c r="K65" s="206"/>
      <c r="L65" s="206">
        <v>42.0</v>
      </c>
      <c r="M65" s="206"/>
      <c r="N65" s="206"/>
      <c r="P65" s="206"/>
      <c r="Q65" s="206"/>
      <c r="R65" s="206"/>
    </row>
    <row r="66">
      <c r="A66" s="659" t="s">
        <v>526</v>
      </c>
      <c r="B66" s="660">
        <v>42.0</v>
      </c>
      <c r="C66" s="656">
        <f t="shared" si="1"/>
        <v>21</v>
      </c>
      <c r="D66" s="657">
        <f t="shared" si="2"/>
        <v>13</v>
      </c>
      <c r="E66" s="657">
        <f t="shared" si="3"/>
        <v>0</v>
      </c>
      <c r="F66" s="658" t="str">
        <f t="shared" si="4"/>
        <v/>
      </c>
      <c r="G66" s="452"/>
      <c r="I66" s="206">
        <v>6.0</v>
      </c>
      <c r="J66" s="206">
        <v>7.0</v>
      </c>
      <c r="K66" s="206"/>
      <c r="L66" s="206">
        <v>21.0</v>
      </c>
      <c r="M66" s="206"/>
      <c r="N66" s="206"/>
      <c r="P66" s="206"/>
      <c r="Q66" s="206"/>
      <c r="R66" s="206"/>
    </row>
    <row r="67">
      <c r="A67" s="664" t="s">
        <v>316</v>
      </c>
      <c r="B67" s="660">
        <v>16.0</v>
      </c>
      <c r="C67" s="656">
        <f t="shared" si="1"/>
        <v>5</v>
      </c>
      <c r="D67" s="657">
        <f t="shared" si="2"/>
        <v>7</v>
      </c>
      <c r="E67" s="657">
        <f t="shared" si="3"/>
        <v>0</v>
      </c>
      <c r="F67" s="658" t="str">
        <f t="shared" si="4"/>
        <v/>
      </c>
      <c r="G67" s="452"/>
      <c r="I67" s="206">
        <v>3.0</v>
      </c>
      <c r="J67" s="206">
        <v>4.0</v>
      </c>
      <c r="K67" s="206"/>
      <c r="L67" s="206">
        <v>5.0</v>
      </c>
      <c r="M67" s="206"/>
      <c r="N67" s="206"/>
      <c r="P67" s="206"/>
      <c r="Q67" s="206"/>
      <c r="R67" s="206"/>
    </row>
    <row r="68">
      <c r="A68" s="659" t="s">
        <v>528</v>
      </c>
      <c r="B68" s="660">
        <v>473.0</v>
      </c>
      <c r="C68" s="656">
        <f t="shared" si="1"/>
        <v>255</v>
      </c>
      <c r="D68" s="657">
        <f t="shared" si="2"/>
        <v>111</v>
      </c>
      <c r="E68" s="657">
        <f t="shared" si="3"/>
        <v>0</v>
      </c>
      <c r="F68" s="658" t="str">
        <f t="shared" si="4"/>
        <v/>
      </c>
      <c r="G68" s="452"/>
      <c r="I68" s="206">
        <v>36.0</v>
      </c>
      <c r="J68" s="206">
        <v>75.0</v>
      </c>
      <c r="K68" s="206"/>
      <c r="L68" s="206">
        <v>255.0</v>
      </c>
      <c r="M68" s="206"/>
      <c r="N68" s="206"/>
      <c r="P68" s="206"/>
      <c r="Q68" s="206"/>
      <c r="R68" s="206"/>
    </row>
    <row r="69">
      <c r="A69" s="659" t="s">
        <v>529</v>
      </c>
      <c r="B69" s="660">
        <v>27.0</v>
      </c>
      <c r="C69" s="656">
        <f t="shared" si="1"/>
        <v>20</v>
      </c>
      <c r="D69" s="657">
        <f t="shared" si="2"/>
        <v>0</v>
      </c>
      <c r="E69" s="657">
        <f t="shared" si="3"/>
        <v>0</v>
      </c>
      <c r="F69" s="658" t="str">
        <f t="shared" si="4"/>
        <v/>
      </c>
      <c r="G69" s="452"/>
      <c r="I69" s="206">
        <v>0.0</v>
      </c>
      <c r="J69" s="206">
        <v>0.0</v>
      </c>
      <c r="K69" s="206"/>
      <c r="L69" s="206">
        <v>20.0</v>
      </c>
      <c r="M69" s="206"/>
      <c r="N69" s="206"/>
      <c r="P69" s="206"/>
      <c r="Q69" s="206"/>
      <c r="R69" s="206"/>
    </row>
    <row r="70">
      <c r="A70" s="659" t="s">
        <v>530</v>
      </c>
      <c r="B70" s="660">
        <v>77.0</v>
      </c>
      <c r="C70" s="656">
        <f t="shared" si="1"/>
        <v>38</v>
      </c>
      <c r="D70" s="657">
        <f t="shared" si="2"/>
        <v>18</v>
      </c>
      <c r="E70" s="657">
        <f t="shared" si="3"/>
        <v>0</v>
      </c>
      <c r="F70" s="658" t="str">
        <f t="shared" si="4"/>
        <v/>
      </c>
      <c r="G70" s="452"/>
      <c r="I70" s="206">
        <v>6.0</v>
      </c>
      <c r="J70" s="206">
        <v>12.0</v>
      </c>
      <c r="K70" s="206"/>
      <c r="L70" s="206">
        <v>38.0</v>
      </c>
      <c r="M70" s="206"/>
      <c r="N70" s="206"/>
      <c r="P70" s="206"/>
      <c r="Q70" s="206"/>
      <c r="R70" s="206"/>
    </row>
    <row r="71">
      <c r="A71" s="665" t="s">
        <v>119</v>
      </c>
      <c r="B71" s="660">
        <v>52.0</v>
      </c>
      <c r="C71" s="666">
        <f t="shared" si="1"/>
        <v>26</v>
      </c>
      <c r="D71" s="667">
        <f t="shared" si="2"/>
        <v>20</v>
      </c>
      <c r="E71" s="667">
        <f t="shared" si="3"/>
        <v>0</v>
      </c>
      <c r="F71" s="668" t="str">
        <f t="shared" si="4"/>
        <v/>
      </c>
      <c r="G71" s="452"/>
      <c r="I71" s="206">
        <v>9.0</v>
      </c>
      <c r="J71" s="206">
        <v>11.0</v>
      </c>
      <c r="K71" s="206"/>
      <c r="L71" s="206">
        <v>26.0</v>
      </c>
      <c r="M71" s="206"/>
      <c r="N71" s="206"/>
      <c r="P71" s="206"/>
      <c r="Q71" s="206"/>
      <c r="R71" s="206"/>
    </row>
    <row r="72">
      <c r="A72" s="390"/>
      <c r="B72" s="303"/>
    </row>
    <row r="73">
      <c r="A73" s="390"/>
    </row>
    <row r="74">
      <c r="A74" s="390"/>
    </row>
    <row r="75">
      <c r="A75" s="390"/>
    </row>
    <row r="76">
      <c r="A76" s="390"/>
    </row>
    <row r="77">
      <c r="A77" s="398" t="s">
        <v>2459</v>
      </c>
      <c r="B77" s="399"/>
      <c r="C77" s="399"/>
      <c r="D77" s="399"/>
      <c r="E77" s="400" t="s">
        <v>765</v>
      </c>
      <c r="F77" s="400" t="s">
        <v>2447</v>
      </c>
      <c r="G77" s="399"/>
      <c r="H77" s="399"/>
      <c r="I77" s="400" t="s">
        <v>767</v>
      </c>
      <c r="J77" s="434">
        <v>45467.0</v>
      </c>
      <c r="K77" s="400" t="s">
        <v>769</v>
      </c>
      <c r="L77" s="653">
        <v>45443.0</v>
      </c>
      <c r="M77" s="402"/>
    </row>
    <row r="78">
      <c r="A78" s="390"/>
    </row>
    <row r="79">
      <c r="A79" s="654" t="s">
        <v>42</v>
      </c>
      <c r="B79" s="206">
        <v>7678.0</v>
      </c>
    </row>
    <row r="80">
      <c r="A80" s="659" t="s">
        <v>479</v>
      </c>
    </row>
    <row r="81">
      <c r="A81" s="659" t="s">
        <v>481</v>
      </c>
    </row>
    <row r="82">
      <c r="A82" s="659" t="s">
        <v>482</v>
      </c>
    </row>
    <row r="83">
      <c r="A83" s="659" t="s">
        <v>483</v>
      </c>
    </row>
    <row r="84">
      <c r="A84" s="659" t="s">
        <v>484</v>
      </c>
    </row>
    <row r="85">
      <c r="A85" s="659" t="s">
        <v>269</v>
      </c>
    </row>
    <row r="86">
      <c r="A86" s="659" t="s">
        <v>93</v>
      </c>
    </row>
    <row r="87">
      <c r="A87" s="659" t="s">
        <v>486</v>
      </c>
    </row>
    <row r="88">
      <c r="A88" s="659" t="s">
        <v>487</v>
      </c>
    </row>
    <row r="89">
      <c r="A89" s="659" t="s">
        <v>112</v>
      </c>
    </row>
    <row r="90">
      <c r="A90" s="659" t="s">
        <v>488</v>
      </c>
    </row>
    <row r="91">
      <c r="A91" s="659" t="s">
        <v>258</v>
      </c>
      <c r="B91" s="390"/>
    </row>
    <row r="92">
      <c r="A92" s="659" t="s">
        <v>2456</v>
      </c>
      <c r="B92" s="390"/>
    </row>
    <row r="93">
      <c r="A93" s="659" t="s">
        <v>490</v>
      </c>
      <c r="B93" s="390"/>
    </row>
    <row r="94">
      <c r="A94" s="659" t="s">
        <v>433</v>
      </c>
      <c r="B94" s="390"/>
    </row>
    <row r="95">
      <c r="A95" s="659" t="s">
        <v>133</v>
      </c>
      <c r="B95" s="390"/>
    </row>
    <row r="96">
      <c r="A96" s="659" t="s">
        <v>491</v>
      </c>
      <c r="B96" s="390"/>
    </row>
    <row r="97">
      <c r="A97" s="659" t="s">
        <v>136</v>
      </c>
      <c r="B97" s="390"/>
    </row>
    <row r="98">
      <c r="A98" s="659" t="s">
        <v>493</v>
      </c>
      <c r="B98" s="390"/>
    </row>
    <row r="99">
      <c r="A99" s="659" t="s">
        <v>494</v>
      </c>
      <c r="B99" s="390"/>
      <c r="C99" s="670"/>
    </row>
    <row r="100">
      <c r="A100" s="659" t="s">
        <v>495</v>
      </c>
      <c r="B100" s="390"/>
      <c r="C100" s="303"/>
    </row>
    <row r="101">
      <c r="A101" s="659" t="s">
        <v>496</v>
      </c>
      <c r="B101" s="390"/>
      <c r="C101" s="303"/>
      <c r="E101" s="390"/>
      <c r="F101" s="367"/>
      <c r="G101" s="367"/>
      <c r="H101" s="367"/>
      <c r="I101" s="390"/>
      <c r="J101" s="367"/>
      <c r="K101" s="390"/>
      <c r="L101" s="367"/>
      <c r="M101" s="367"/>
    </row>
    <row r="102">
      <c r="A102" s="659" t="s">
        <v>497</v>
      </c>
      <c r="B102" s="390"/>
      <c r="C102" s="303"/>
    </row>
    <row r="103">
      <c r="A103" s="659" t="s">
        <v>498</v>
      </c>
      <c r="B103" s="390"/>
      <c r="C103" s="303"/>
    </row>
    <row r="104">
      <c r="A104" s="659" t="s">
        <v>499</v>
      </c>
      <c r="B104" s="390"/>
      <c r="C104" s="303"/>
    </row>
    <row r="105">
      <c r="A105" s="659" t="s">
        <v>500</v>
      </c>
      <c r="B105" s="390"/>
    </row>
    <row r="106">
      <c r="A106" s="659" t="s">
        <v>501</v>
      </c>
      <c r="B106" s="390"/>
    </row>
    <row r="107">
      <c r="A107" s="659" t="s">
        <v>306</v>
      </c>
      <c r="B107" s="390"/>
    </row>
    <row r="108">
      <c r="A108" s="659" t="s">
        <v>502</v>
      </c>
      <c r="B108" s="390"/>
    </row>
    <row r="109">
      <c r="A109" s="659" t="s">
        <v>504</v>
      </c>
      <c r="B109" s="390"/>
    </row>
    <row r="110">
      <c r="A110" s="664" t="s">
        <v>142</v>
      </c>
      <c r="B110" s="390"/>
    </row>
    <row r="111">
      <c r="A111" s="659" t="s">
        <v>143</v>
      </c>
      <c r="B111" s="390"/>
    </row>
    <row r="112">
      <c r="A112" s="659" t="s">
        <v>289</v>
      </c>
      <c r="B112" s="390"/>
    </row>
    <row r="113">
      <c r="A113" s="659" t="s">
        <v>337</v>
      </c>
      <c r="B113" s="390"/>
    </row>
    <row r="114">
      <c r="A114" s="659" t="s">
        <v>147</v>
      </c>
      <c r="B114" s="390"/>
    </row>
    <row r="115">
      <c r="A115" s="659" t="s">
        <v>505</v>
      </c>
      <c r="B115" s="390"/>
    </row>
    <row r="116">
      <c r="A116" s="659" t="s">
        <v>506</v>
      </c>
      <c r="B116" s="390"/>
    </row>
    <row r="117">
      <c r="A117" s="659" t="s">
        <v>508</v>
      </c>
      <c r="B117" s="390"/>
    </row>
    <row r="118">
      <c r="A118" s="659" t="s">
        <v>151</v>
      </c>
    </row>
    <row r="119">
      <c r="A119" s="659" t="s">
        <v>509</v>
      </c>
    </row>
    <row r="120">
      <c r="A120" s="659" t="s">
        <v>153</v>
      </c>
    </row>
    <row r="121">
      <c r="A121" s="659" t="s">
        <v>510</v>
      </c>
    </row>
    <row r="122">
      <c r="A122" s="659" t="s">
        <v>244</v>
      </c>
    </row>
    <row r="123">
      <c r="A123" s="659" t="s">
        <v>156</v>
      </c>
    </row>
    <row r="124">
      <c r="A124" s="659" t="s">
        <v>330</v>
      </c>
    </row>
    <row r="125">
      <c r="A125" s="659" t="s">
        <v>513</v>
      </c>
    </row>
    <row r="126">
      <c r="A126" s="659" t="s">
        <v>514</v>
      </c>
    </row>
    <row r="127">
      <c r="A127" s="659" t="s">
        <v>241</v>
      </c>
    </row>
    <row r="128">
      <c r="A128" s="659" t="s">
        <v>515</v>
      </c>
    </row>
    <row r="129">
      <c r="A129" s="659" t="s">
        <v>296</v>
      </c>
    </row>
    <row r="130">
      <c r="A130" s="659" t="s">
        <v>517</v>
      </c>
    </row>
    <row r="131">
      <c r="A131" s="659" t="s">
        <v>423</v>
      </c>
    </row>
    <row r="132">
      <c r="A132" s="659" t="s">
        <v>302</v>
      </c>
    </row>
    <row r="133">
      <c r="A133" s="659" t="s">
        <v>518</v>
      </c>
    </row>
    <row r="134">
      <c r="A134" s="659" t="s">
        <v>522</v>
      </c>
    </row>
    <row r="135">
      <c r="A135" s="659" t="s">
        <v>523</v>
      </c>
    </row>
    <row r="136">
      <c r="A136" s="659" t="s">
        <v>524</v>
      </c>
    </row>
    <row r="137">
      <c r="A137" s="659" t="s">
        <v>2457</v>
      </c>
    </row>
    <row r="138">
      <c r="A138" s="659" t="s">
        <v>2458</v>
      </c>
    </row>
    <row r="139">
      <c r="A139" s="659" t="s">
        <v>169</v>
      </c>
    </row>
    <row r="140">
      <c r="A140" s="659" t="s">
        <v>525</v>
      </c>
    </row>
    <row r="141">
      <c r="A141" s="659" t="s">
        <v>526</v>
      </c>
    </row>
    <row r="142">
      <c r="A142" s="664" t="s">
        <v>316</v>
      </c>
    </row>
    <row r="143">
      <c r="A143" s="659" t="s">
        <v>528</v>
      </c>
    </row>
    <row r="144">
      <c r="A144" s="659" t="s">
        <v>529</v>
      </c>
    </row>
    <row r="145">
      <c r="A145" s="659" t="s">
        <v>530</v>
      </c>
    </row>
    <row r="146">
      <c r="A146" s="665" t="s">
        <v>119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6.88"/>
    <col customWidth="1" min="2" max="2" width="11.25"/>
    <col customWidth="1" min="3" max="9" width="10.13"/>
    <col customWidth="1" min="10" max="10" width="10.88"/>
    <col customWidth="1" min="11" max="11" width="10.13"/>
    <col customWidth="1" min="12" max="12" width="13.38"/>
    <col customWidth="1" min="13" max="14" width="10.13"/>
    <col customWidth="1" min="15" max="15" width="11.13"/>
    <col customWidth="1" min="16" max="17" width="10.13"/>
  </cols>
  <sheetData>
    <row r="1">
      <c r="A1" s="167"/>
      <c r="B1" s="168" t="s">
        <v>44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</row>
    <row r="2">
      <c r="A2" s="169" t="s">
        <v>172</v>
      </c>
      <c r="B2" s="170" t="s">
        <v>174</v>
      </c>
      <c r="C2" s="171" t="s">
        <v>693</v>
      </c>
      <c r="D2" s="608" t="s">
        <v>694</v>
      </c>
      <c r="E2" s="608" t="s">
        <v>695</v>
      </c>
      <c r="F2" s="608" t="s">
        <v>179</v>
      </c>
      <c r="G2" s="608" t="s">
        <v>696</v>
      </c>
      <c r="H2" s="173" t="s">
        <v>697</v>
      </c>
      <c r="I2" s="174" t="s">
        <v>84</v>
      </c>
      <c r="J2" s="170" t="s">
        <v>698</v>
      </c>
      <c r="K2" s="175" t="s">
        <v>699</v>
      </c>
      <c r="L2" s="173" t="s">
        <v>89</v>
      </c>
      <c r="M2" s="176" t="s">
        <v>700</v>
      </c>
      <c r="N2" s="177" t="s">
        <v>701</v>
      </c>
      <c r="O2" s="177" t="s">
        <v>702</v>
      </c>
      <c r="P2" s="178" t="s">
        <v>90</v>
      </c>
      <c r="Q2" s="325" t="s">
        <v>703</v>
      </c>
    </row>
    <row r="3">
      <c r="A3" s="609" t="s">
        <v>532</v>
      </c>
      <c r="B3" s="610">
        <f t="array" ref="B3">VLOOKUP($A3,GA_DEMO,2,FALSE)</f>
        <v>18444</v>
      </c>
      <c r="C3" s="611">
        <f>VLOOKUP($A3,'GA Data'!$B$3:$L$162,2,FALSE)</f>
        <v>53</v>
      </c>
      <c r="D3" s="612" t="s">
        <v>63</v>
      </c>
      <c r="E3" s="612">
        <f>VLOOKUP($A3,'GA Data'!$B$3:$L$162,11,FALSE)</f>
        <v>13</v>
      </c>
      <c r="F3" s="612">
        <f>VLOOKUP($A3,'GA Data'!$B$3:$L$162,8,FALSE)</f>
        <v>18</v>
      </c>
      <c r="G3" s="612" t="s">
        <v>63</v>
      </c>
      <c r="H3" s="671">
        <f>vlookup(A3,'GA Data'!$B$170:$C$329,2,FALSE)</f>
        <v>4</v>
      </c>
      <c r="I3" s="614">
        <f>vlookup(A3,'GA Data'!$A$333:$B$494,2,FALSE)</f>
        <v>2</v>
      </c>
      <c r="J3" s="615" t="s">
        <v>63</v>
      </c>
      <c r="K3" s="672" t="s">
        <v>63</v>
      </c>
      <c r="L3" s="671" t="s">
        <v>63</v>
      </c>
      <c r="M3" s="673" t="s">
        <v>63</v>
      </c>
      <c r="N3" s="612" t="s">
        <v>63</v>
      </c>
      <c r="O3" s="612" t="s">
        <v>63</v>
      </c>
      <c r="P3" s="620">
        <f>ifna(vlookup(A3,'Population &amp; Church Numbers'!$A$390:$D$548,4,FALSE),"NULL")</f>
        <v>40</v>
      </c>
      <c r="Q3" s="674" t="s">
        <v>63</v>
      </c>
    </row>
    <row r="4">
      <c r="A4" s="609" t="s">
        <v>533</v>
      </c>
      <c r="B4" s="610">
        <f t="array" ref="B4">VLOOKUP($A4,GA_DEMO,2,FALSE)</f>
        <v>8286</v>
      </c>
      <c r="C4" s="611">
        <f>VLOOKUP($A4,'GA Data'!$B$3:$L$162,2,FALSE)</f>
        <v>10</v>
      </c>
      <c r="D4" s="612" t="s">
        <v>63</v>
      </c>
      <c r="E4" s="612">
        <f>VLOOKUP($A4,'GA Data'!$B$3:$L$162,11,FALSE)</f>
        <v>3</v>
      </c>
      <c r="F4" s="612">
        <f>VLOOKUP($A4,'GA Data'!$B$3:$L$162,8,FALSE)</f>
        <v>6</v>
      </c>
      <c r="G4" s="612" t="s">
        <v>63</v>
      </c>
      <c r="H4" s="671">
        <f>vlookup(A4,'GA Data'!$B$170:$C$329,2,FALSE)</f>
        <v>1</v>
      </c>
      <c r="I4" s="614">
        <f>vlookup(A4,'GA Data'!$A$333:$B$494,2,FALSE)</f>
        <v>2</v>
      </c>
      <c r="J4" s="615" t="s">
        <v>63</v>
      </c>
      <c r="K4" s="672" t="s">
        <v>63</v>
      </c>
      <c r="L4" s="671" t="s">
        <v>63</v>
      </c>
      <c r="M4" s="614" t="s">
        <v>63</v>
      </c>
      <c r="N4" s="612" t="s">
        <v>63</v>
      </c>
      <c r="O4" s="612" t="s">
        <v>63</v>
      </c>
      <c r="P4" s="620">
        <f>ifna(vlookup(A4,'Population &amp; Church Numbers'!$A$390:$D$548,4,FALSE),"NULL")</f>
        <v>14</v>
      </c>
      <c r="Q4" s="674" t="s">
        <v>63</v>
      </c>
    </row>
    <row r="5">
      <c r="A5" s="609" t="s">
        <v>534</v>
      </c>
      <c r="B5" s="610">
        <f t="array" ref="B5">VLOOKUP($A5,GA_DEMO,2,FALSE)</f>
        <v>11140</v>
      </c>
      <c r="C5" s="611">
        <f>VLOOKUP($A5,'GA Data'!$B$3:$L$162,2,FALSE)</f>
        <v>45</v>
      </c>
      <c r="D5" s="612" t="s">
        <v>63</v>
      </c>
      <c r="E5" s="612">
        <f>VLOOKUP($A5,'GA Data'!$B$3:$L$162,11,FALSE)</f>
        <v>25</v>
      </c>
      <c r="F5" s="612">
        <f>VLOOKUP($A5,'GA Data'!$B$3:$L$162,8,FALSE)</f>
        <v>13</v>
      </c>
      <c r="G5" s="612" t="s">
        <v>63</v>
      </c>
      <c r="H5" s="671">
        <f>vlookup(A5,'GA Data'!$B$170:$C$329,2,FALSE)</f>
        <v>8</v>
      </c>
      <c r="I5" s="614">
        <f>vlookup(A5,'GA Data'!$A$333:$B$494,2,FALSE)</f>
        <v>4</v>
      </c>
      <c r="J5" s="615" t="s">
        <v>63</v>
      </c>
      <c r="K5" s="672" t="s">
        <v>63</v>
      </c>
      <c r="L5" s="671" t="s">
        <v>63</v>
      </c>
      <c r="M5" s="614" t="s">
        <v>63</v>
      </c>
      <c r="N5" s="612" t="s">
        <v>63</v>
      </c>
      <c r="O5" s="612" t="s">
        <v>63</v>
      </c>
      <c r="P5" s="620">
        <f>ifna(vlookup(A5,'Population &amp; Church Numbers'!$A$390:$D$548,4,FALSE),"NULL")</f>
        <v>22</v>
      </c>
      <c r="Q5" s="674" t="s">
        <v>63</v>
      </c>
    </row>
    <row r="6">
      <c r="A6" s="609" t="s">
        <v>481</v>
      </c>
      <c r="B6" s="610">
        <f t="array" ref="B6">VLOOKUP($A6,GA_DEMO,2,FALSE)</f>
        <v>2876</v>
      </c>
      <c r="C6" s="611">
        <f>VLOOKUP($A6,'GA Data'!$B$3:$L$162,2,FALSE)</f>
        <v>3</v>
      </c>
      <c r="D6" s="612" t="s">
        <v>63</v>
      </c>
      <c r="E6" s="612">
        <f>VLOOKUP($A6,'GA Data'!$B$3:$L$162,11,FALSE)</f>
        <v>2</v>
      </c>
      <c r="F6" s="612">
        <f>VLOOKUP($A6,'GA Data'!$B$3:$L$162,8,FALSE)</f>
        <v>0</v>
      </c>
      <c r="G6" s="612" t="s">
        <v>63</v>
      </c>
      <c r="H6" s="671">
        <f>vlookup(A6,'GA Data'!$B$170:$C$329,2,FALSE)</f>
        <v>3</v>
      </c>
      <c r="I6" s="614">
        <f>vlookup(A6,'GA Data'!$A$333:$B$494,2,FALSE)</f>
        <v>2</v>
      </c>
      <c r="J6" s="615" t="s">
        <v>63</v>
      </c>
      <c r="K6" s="672" t="s">
        <v>63</v>
      </c>
      <c r="L6" s="671" t="s">
        <v>63</v>
      </c>
      <c r="M6" s="614" t="s">
        <v>63</v>
      </c>
      <c r="N6" s="612" t="s">
        <v>63</v>
      </c>
      <c r="O6" s="612" t="s">
        <v>63</v>
      </c>
      <c r="P6" s="620" t="str">
        <f>ifna(vlookup(A6,'Population &amp; Church Numbers'!$A$390:$D$548,4,FALSE),"NULL")</f>
        <v>NULL</v>
      </c>
      <c r="Q6" s="674" t="s">
        <v>63</v>
      </c>
    </row>
    <row r="7">
      <c r="A7" s="609" t="s">
        <v>58</v>
      </c>
      <c r="B7" s="610">
        <f t="array" ref="B7">VLOOKUP($A7,GA_DEMO,2,FALSE)</f>
        <v>43799</v>
      </c>
      <c r="C7" s="611">
        <f>VLOOKUP($A7,'GA Data'!$B$3:$L$162,2,FALSE)</f>
        <v>90</v>
      </c>
      <c r="D7" s="612" t="s">
        <v>63</v>
      </c>
      <c r="E7" s="612">
        <f>VLOOKUP($A7,'GA Data'!$B$3:$L$162,11,FALSE)</f>
        <v>56</v>
      </c>
      <c r="F7" s="612">
        <f>VLOOKUP($A7,'GA Data'!$B$3:$L$162,8,FALSE)</f>
        <v>10</v>
      </c>
      <c r="G7" s="612" t="s">
        <v>63</v>
      </c>
      <c r="H7" s="671">
        <f>vlookup(A7,'GA Data'!$B$170:$C$329,2,FALSE)</f>
        <v>33</v>
      </c>
      <c r="I7" s="614">
        <f>vlookup(A7,'GA Data'!$A$333:$B$494,2,FALSE)</f>
        <v>19</v>
      </c>
      <c r="J7" s="615" t="s">
        <v>63</v>
      </c>
      <c r="K7" s="672" t="s">
        <v>63</v>
      </c>
      <c r="L7" s="671" t="s">
        <v>63</v>
      </c>
      <c r="M7" s="614" t="s">
        <v>63</v>
      </c>
      <c r="N7" s="612" t="s">
        <v>63</v>
      </c>
      <c r="O7" s="612" t="s">
        <v>63</v>
      </c>
      <c r="P7" s="620">
        <f>ifna(vlookup(A7,'Population &amp; Church Numbers'!$A$390:$D$548,4,FALSE),"NULL")</f>
        <v>66</v>
      </c>
      <c r="Q7" s="674" t="s">
        <v>63</v>
      </c>
    </row>
    <row r="8">
      <c r="A8" s="609" t="s">
        <v>535</v>
      </c>
      <c r="B8" s="610">
        <f t="array" ref="B8">VLOOKUP($A8,GA_DEMO,2,FALSE)</f>
        <v>18035</v>
      </c>
      <c r="C8" s="611">
        <f>VLOOKUP($A8,'GA Data'!$B$3:$L$162,2,FALSE)</f>
        <v>32</v>
      </c>
      <c r="D8" s="612" t="s">
        <v>63</v>
      </c>
      <c r="E8" s="612">
        <f>VLOOKUP($A8,'GA Data'!$B$3:$L$162,11,FALSE)</f>
        <v>24</v>
      </c>
      <c r="F8" s="612">
        <f>VLOOKUP($A8,'GA Data'!$B$3:$L$162,8,FALSE)</f>
        <v>4</v>
      </c>
      <c r="G8" s="612" t="s">
        <v>63</v>
      </c>
      <c r="H8" s="671">
        <f>vlookup(A8,'GA Data'!$B$170:$C$329,2,FALSE)</f>
        <v>5</v>
      </c>
      <c r="I8" s="614">
        <f>vlookup(A8,'GA Data'!$A$333:$B$494,2,FALSE)</f>
        <v>9</v>
      </c>
      <c r="J8" s="615" t="s">
        <v>63</v>
      </c>
      <c r="K8" s="672" t="s">
        <v>63</v>
      </c>
      <c r="L8" s="671" t="s">
        <v>63</v>
      </c>
      <c r="M8" s="614" t="s">
        <v>63</v>
      </c>
      <c r="N8" s="612" t="s">
        <v>63</v>
      </c>
      <c r="O8" s="612" t="s">
        <v>63</v>
      </c>
      <c r="P8" s="620">
        <f>ifna(vlookup(A8,'Population &amp; Church Numbers'!$A$390:$D$548,4,FALSE),"NULL")</f>
        <v>22</v>
      </c>
      <c r="Q8" s="674" t="s">
        <v>63</v>
      </c>
    </row>
    <row r="9">
      <c r="A9" s="609" t="s">
        <v>537</v>
      </c>
      <c r="B9" s="610">
        <f t="array" ref="B9">VLOOKUP($A9,GA_DEMO,2,FALSE)</f>
        <v>83505</v>
      </c>
      <c r="C9" s="611">
        <f>VLOOKUP($A9,'GA Data'!$B$3:$L$162,2,FALSE)</f>
        <v>102</v>
      </c>
      <c r="D9" s="612" t="s">
        <v>63</v>
      </c>
      <c r="E9" s="612">
        <f>VLOOKUP($A9,'GA Data'!$B$3:$L$162,11,FALSE)</f>
        <v>54</v>
      </c>
      <c r="F9" s="612">
        <f>VLOOKUP($A9,'GA Data'!$B$3:$L$162,8,FALSE)</f>
        <v>18</v>
      </c>
      <c r="G9" s="612" t="s">
        <v>63</v>
      </c>
      <c r="H9" s="671">
        <f>vlookup(A9,'GA Data'!$B$170:$C$329,2,FALSE)</f>
        <v>51</v>
      </c>
      <c r="I9" s="614">
        <f>vlookup(A9,'GA Data'!$A$333:$B$494,2,FALSE)</f>
        <v>31</v>
      </c>
      <c r="J9" s="615" t="s">
        <v>63</v>
      </c>
      <c r="K9" s="672" t="s">
        <v>63</v>
      </c>
      <c r="L9" s="671" t="s">
        <v>63</v>
      </c>
      <c r="M9" s="614" t="s">
        <v>63</v>
      </c>
      <c r="N9" s="612" t="s">
        <v>63</v>
      </c>
      <c r="O9" s="612" t="s">
        <v>63</v>
      </c>
      <c r="P9" s="620">
        <f>ifna(vlookup(A9,'Population &amp; Church Numbers'!$A$390:$D$548,4,FALSE),"NULL")</f>
        <v>71</v>
      </c>
      <c r="Q9" s="674" t="s">
        <v>63</v>
      </c>
    </row>
    <row r="10">
      <c r="A10" s="609" t="s">
        <v>538</v>
      </c>
      <c r="B10" s="610">
        <f t="array" ref="B10">VLOOKUP($A10,GA_DEMO,2,FALSE)</f>
        <v>108901</v>
      </c>
      <c r="C10" s="611">
        <f>VLOOKUP($A10,'GA Data'!$B$3:$L$162,2,FALSE)</f>
        <v>174</v>
      </c>
      <c r="D10" s="612" t="s">
        <v>63</v>
      </c>
      <c r="E10" s="612">
        <f>VLOOKUP($A10,'GA Data'!$B$3:$L$162,11,FALSE)</f>
        <v>70</v>
      </c>
      <c r="F10" s="612">
        <f>VLOOKUP($A10,'GA Data'!$B$3:$L$162,8,FALSE)</f>
        <v>58</v>
      </c>
      <c r="G10" s="612" t="s">
        <v>63</v>
      </c>
      <c r="H10" s="671">
        <f>vlookup(A10,'GA Data'!$B$170:$C$329,2,FALSE)</f>
        <v>71</v>
      </c>
      <c r="I10" s="614">
        <f>vlookup(A10,'GA Data'!$A$333:$B$494,2,FALSE)</f>
        <v>9</v>
      </c>
      <c r="J10" s="615" t="s">
        <v>63</v>
      </c>
      <c r="K10" s="672" t="s">
        <v>63</v>
      </c>
      <c r="L10" s="671" t="s">
        <v>63</v>
      </c>
      <c r="M10" s="614" t="s">
        <v>63</v>
      </c>
      <c r="N10" s="612" t="s">
        <v>63</v>
      </c>
      <c r="O10" s="612" t="s">
        <v>63</v>
      </c>
      <c r="P10" s="620">
        <f>ifna(vlookup(A10,'Population &amp; Church Numbers'!$A$390:$D$548,4,FALSE),"NULL")</f>
        <v>107</v>
      </c>
      <c r="Q10" s="674" t="s">
        <v>63</v>
      </c>
    </row>
    <row r="11">
      <c r="A11" s="609" t="s">
        <v>539</v>
      </c>
      <c r="B11" s="610">
        <f t="array" ref="B11">VLOOKUP($A11,GA_DEMO,2,FALSE)</f>
        <v>17194</v>
      </c>
      <c r="C11" s="611">
        <f>VLOOKUP($A11,'GA Data'!$B$3:$L$162,2,FALSE)</f>
        <v>118</v>
      </c>
      <c r="D11" s="612" t="s">
        <v>63</v>
      </c>
      <c r="E11" s="612">
        <f>VLOOKUP($A11,'GA Data'!$B$3:$L$162,11,FALSE)</f>
        <v>63</v>
      </c>
      <c r="F11" s="612">
        <f>VLOOKUP($A11,'GA Data'!$B$3:$L$162,8,FALSE)</f>
        <v>38</v>
      </c>
      <c r="G11" s="612" t="s">
        <v>63</v>
      </c>
      <c r="H11" s="671">
        <f>vlookup(A11,'GA Data'!$B$170:$C$329,2,FALSE)</f>
        <v>11</v>
      </c>
      <c r="I11" s="614">
        <f>vlookup(A11,'GA Data'!$A$333:$B$494,2,FALSE)</f>
        <v>11</v>
      </c>
      <c r="J11" s="615" t="s">
        <v>63</v>
      </c>
      <c r="K11" s="672" t="s">
        <v>63</v>
      </c>
      <c r="L11" s="671" t="s">
        <v>63</v>
      </c>
      <c r="M11" s="614" t="s">
        <v>63</v>
      </c>
      <c r="N11" s="612" t="s">
        <v>63</v>
      </c>
      <c r="O11" s="612" t="s">
        <v>63</v>
      </c>
      <c r="P11" s="620">
        <f>ifna(vlookup(A11,'Population &amp; Church Numbers'!$A$390:$D$548,4,FALSE),"NULL")</f>
        <v>25</v>
      </c>
      <c r="Q11" s="674" t="s">
        <v>63</v>
      </c>
    </row>
    <row r="12">
      <c r="A12" s="609" t="s">
        <v>540</v>
      </c>
      <c r="B12" s="610">
        <f t="array" ref="B12">VLOOKUP($A12,GA_DEMO,2,FALSE)</f>
        <v>18160</v>
      </c>
      <c r="C12" s="611">
        <f>VLOOKUP($A12,'GA Data'!$B$3:$L$162,2,FALSE)</f>
        <v>48</v>
      </c>
      <c r="D12" s="612" t="s">
        <v>63</v>
      </c>
      <c r="E12" s="612">
        <f>VLOOKUP($A12,'GA Data'!$B$3:$L$162,11,FALSE)</f>
        <v>32</v>
      </c>
      <c r="F12" s="612">
        <f>VLOOKUP($A12,'GA Data'!$B$3:$L$162,8,FALSE)</f>
        <v>4</v>
      </c>
      <c r="G12" s="612" t="s">
        <v>63</v>
      </c>
      <c r="H12" s="671">
        <f>vlookup(A12,'GA Data'!$B$170:$C$329,2,FALSE)</f>
        <v>10</v>
      </c>
      <c r="I12" s="614">
        <f>vlookup(A12,'GA Data'!$A$333:$B$494,2,FALSE)</f>
        <v>1</v>
      </c>
      <c r="J12" s="615" t="s">
        <v>63</v>
      </c>
      <c r="K12" s="672" t="s">
        <v>63</v>
      </c>
      <c r="L12" s="671" t="s">
        <v>63</v>
      </c>
      <c r="M12" s="614" t="s">
        <v>63</v>
      </c>
      <c r="N12" s="612" t="s">
        <v>63</v>
      </c>
      <c r="O12" s="612" t="s">
        <v>63</v>
      </c>
      <c r="P12" s="620">
        <f>ifna(vlookup(A12,'Population &amp; Church Numbers'!$A$390:$D$548,4,FALSE),"NULL")</f>
        <v>11</v>
      </c>
      <c r="Q12" s="674" t="s">
        <v>63</v>
      </c>
    </row>
    <row r="13">
      <c r="A13" s="609" t="s">
        <v>68</v>
      </c>
      <c r="B13" s="610">
        <f t="array" ref="B13">VLOOKUP($A13,GA_DEMO,2,FALSE)</f>
        <v>157346</v>
      </c>
      <c r="C13" s="611">
        <f>VLOOKUP($A13,'GA Data'!$B$3:$L$162,2,FALSE)</f>
        <v>217</v>
      </c>
      <c r="D13" s="612" t="s">
        <v>63</v>
      </c>
      <c r="E13" s="612">
        <f>VLOOKUP($A13,'GA Data'!$B$3:$L$162,11,FALSE)</f>
        <v>135</v>
      </c>
      <c r="F13" s="612">
        <f>VLOOKUP($A13,'GA Data'!$B$3:$L$162,8,FALSE)</f>
        <v>33</v>
      </c>
      <c r="G13" s="612" t="s">
        <v>63</v>
      </c>
      <c r="H13" s="671">
        <f>vlookup(A13,'GA Data'!$B$170:$C$329,2,FALSE)</f>
        <v>134</v>
      </c>
      <c r="I13" s="614">
        <f>vlookup(A13,'GA Data'!$A$333:$B$494,2,FALSE)</f>
        <v>36</v>
      </c>
      <c r="J13" s="615" t="s">
        <v>63</v>
      </c>
      <c r="K13" s="672" t="s">
        <v>63</v>
      </c>
      <c r="L13" s="671" t="s">
        <v>63</v>
      </c>
      <c r="M13" s="614" t="s">
        <v>63</v>
      </c>
      <c r="N13" s="612" t="s">
        <v>63</v>
      </c>
      <c r="O13" s="612" t="s">
        <v>63</v>
      </c>
      <c r="P13" s="620">
        <f>ifna(vlookup(A13,'Population &amp; Church Numbers'!$A$390:$D$548,4,FALSE),"NULL")</f>
        <v>222</v>
      </c>
      <c r="Q13" s="674" t="s">
        <v>63</v>
      </c>
    </row>
    <row r="14">
      <c r="A14" s="609" t="s">
        <v>541</v>
      </c>
      <c r="B14" s="610">
        <f t="array" ref="B14">VLOOKUP($A14,GA_DEMO,2,FALSE)</f>
        <v>12583</v>
      </c>
      <c r="C14" s="611">
        <f>VLOOKUP($A14,'GA Data'!$B$3:$L$162,2,FALSE)</f>
        <v>13</v>
      </c>
      <c r="D14" s="612" t="s">
        <v>63</v>
      </c>
      <c r="E14" s="612">
        <f>VLOOKUP($A14,'GA Data'!$B$3:$L$162,11,FALSE)</f>
        <v>3</v>
      </c>
      <c r="F14" s="612">
        <f>VLOOKUP($A14,'GA Data'!$B$3:$L$162,8,FALSE)</f>
        <v>6</v>
      </c>
      <c r="G14" s="612" t="s">
        <v>63</v>
      </c>
      <c r="H14" s="671">
        <f>vlookup(A14,'GA Data'!$B$170:$C$329,2,FALSE)</f>
        <v>4</v>
      </c>
      <c r="I14" s="614">
        <f>vlookup(A14,'GA Data'!$A$333:$B$494,2,FALSE)</f>
        <v>1</v>
      </c>
      <c r="J14" s="615" t="s">
        <v>63</v>
      </c>
      <c r="K14" s="672" t="s">
        <v>63</v>
      </c>
      <c r="L14" s="671" t="s">
        <v>63</v>
      </c>
      <c r="M14" s="614" t="s">
        <v>63</v>
      </c>
      <c r="N14" s="612" t="s">
        <v>63</v>
      </c>
      <c r="O14" s="612" t="s">
        <v>63</v>
      </c>
      <c r="P14" s="620">
        <f>ifna(vlookup(A14,'Population &amp; Church Numbers'!$A$390:$D$548,4,FALSE),"NULL")</f>
        <v>24</v>
      </c>
      <c r="Q14" s="674" t="s">
        <v>63</v>
      </c>
    </row>
    <row r="15">
      <c r="A15" s="609" t="s">
        <v>542</v>
      </c>
      <c r="B15" s="610">
        <f t="array" ref="B15">VLOOKUP($A15,GA_DEMO,2,FALSE)</f>
        <v>18021</v>
      </c>
      <c r="C15" s="611">
        <f>VLOOKUP($A15,'GA Data'!$B$3:$L$162,2,FALSE)</f>
        <v>64</v>
      </c>
      <c r="D15" s="612" t="s">
        <v>63</v>
      </c>
      <c r="E15" s="612">
        <f>VLOOKUP($A15,'GA Data'!$B$3:$L$162,11,FALSE)</f>
        <v>18</v>
      </c>
      <c r="F15" s="612">
        <f>VLOOKUP($A15,'GA Data'!$B$3:$L$162,8,FALSE)</f>
        <v>21</v>
      </c>
      <c r="G15" s="612" t="s">
        <v>63</v>
      </c>
      <c r="H15" s="671">
        <f>vlookup(A15,'GA Data'!$B$170:$C$329,2,FALSE)</f>
        <v>15</v>
      </c>
      <c r="I15" s="614">
        <f>vlookup(A15,'GA Data'!$A$333:$B$494,2,FALSE)</f>
        <v>9</v>
      </c>
      <c r="J15" s="615" t="s">
        <v>63</v>
      </c>
      <c r="K15" s="672" t="s">
        <v>63</v>
      </c>
      <c r="L15" s="671" t="s">
        <v>63</v>
      </c>
      <c r="M15" s="614" t="s">
        <v>63</v>
      </c>
      <c r="N15" s="612" t="s">
        <v>63</v>
      </c>
      <c r="O15" s="612" t="s">
        <v>63</v>
      </c>
      <c r="P15" s="620">
        <f>ifna(vlookup(A15,'Population &amp; Church Numbers'!$A$390:$D$548,4,FALSE),"NULL")</f>
        <v>27</v>
      </c>
      <c r="Q15" s="674" t="s">
        <v>63</v>
      </c>
    </row>
    <row r="16">
      <c r="A16" s="609" t="s">
        <v>543</v>
      </c>
      <c r="B16" s="610">
        <f t="array" ref="B16">VLOOKUP($A16,GA_DEMO,2,FALSE)</f>
        <v>16301</v>
      </c>
      <c r="C16" s="611">
        <f>VLOOKUP($A16,'GA Data'!$B$3:$L$162,2,FALSE)</f>
        <v>27</v>
      </c>
      <c r="D16" s="612" t="s">
        <v>63</v>
      </c>
      <c r="E16" s="612">
        <f>VLOOKUP($A16,'GA Data'!$B$3:$L$162,11,FALSE)</f>
        <v>15</v>
      </c>
      <c r="F16" s="612">
        <f>VLOOKUP($A16,'GA Data'!$B$3:$L$162,8,FALSE)</f>
        <v>10</v>
      </c>
      <c r="G16" s="612" t="s">
        <v>63</v>
      </c>
      <c r="H16" s="671">
        <f>vlookup(A16,'GA Data'!$B$170:$C$329,2,FALSE)</f>
        <v>13</v>
      </c>
      <c r="I16" s="614">
        <f>vlookup(A16,'GA Data'!$A$333:$B$494,2,FALSE)</f>
        <v>1</v>
      </c>
      <c r="J16" s="615" t="s">
        <v>63</v>
      </c>
      <c r="K16" s="672" t="s">
        <v>63</v>
      </c>
      <c r="L16" s="671" t="s">
        <v>63</v>
      </c>
      <c r="M16" s="614" t="s">
        <v>63</v>
      </c>
      <c r="N16" s="612" t="s">
        <v>63</v>
      </c>
      <c r="O16" s="612" t="s">
        <v>63</v>
      </c>
      <c r="P16" s="620">
        <f>ifna(vlookup(A16,'Population &amp; Church Numbers'!$A$390:$D$548,4,FALSE),"NULL")</f>
        <v>30</v>
      </c>
      <c r="Q16" s="674" t="s">
        <v>63</v>
      </c>
    </row>
    <row r="17">
      <c r="A17" s="609" t="s">
        <v>544</v>
      </c>
      <c r="B17" s="610">
        <f t="array" ref="B17">VLOOKUP($A17,GA_DEMO,2,FALSE)</f>
        <v>44738</v>
      </c>
      <c r="C17" s="611">
        <f>VLOOKUP($A17,'GA Data'!$B$3:$L$162,2,FALSE)</f>
        <v>28</v>
      </c>
      <c r="D17" s="612" t="s">
        <v>63</v>
      </c>
      <c r="E17" s="612">
        <f>VLOOKUP($A17,'GA Data'!$B$3:$L$162,11,FALSE)</f>
        <v>16</v>
      </c>
      <c r="F17" s="612">
        <f>VLOOKUP($A17,'GA Data'!$B$3:$L$162,8,FALSE)</f>
        <v>3</v>
      </c>
      <c r="G17" s="612" t="s">
        <v>63</v>
      </c>
      <c r="H17" s="671">
        <f>vlookup(A17,'GA Data'!$B$170:$C$329,2,FALSE)</f>
        <v>26</v>
      </c>
      <c r="I17" s="614">
        <f>vlookup(A17,'GA Data'!$A$333:$B$494,2,FALSE)</f>
        <v>7</v>
      </c>
      <c r="J17" s="615" t="s">
        <v>63</v>
      </c>
      <c r="K17" s="672" t="s">
        <v>63</v>
      </c>
      <c r="L17" s="671" t="s">
        <v>63</v>
      </c>
      <c r="M17" s="614" t="s">
        <v>63</v>
      </c>
      <c r="N17" s="612" t="s">
        <v>63</v>
      </c>
      <c r="O17" s="612" t="s">
        <v>63</v>
      </c>
      <c r="P17" s="620">
        <f>ifna(vlookup(A17,'Population &amp; Church Numbers'!$A$390:$D$548,4,FALSE),"NULL")</f>
        <v>39</v>
      </c>
      <c r="Q17" s="674" t="s">
        <v>63</v>
      </c>
    </row>
    <row r="18">
      <c r="A18" s="609" t="s">
        <v>545</v>
      </c>
      <c r="B18" s="610">
        <f t="array" ref="B18">VLOOKUP($A18,GA_DEMO,2,FALSE)</f>
        <v>81099</v>
      </c>
      <c r="C18" s="611">
        <f>VLOOKUP($A18,'GA Data'!$B$3:$L$162,2,FALSE)</f>
        <v>33</v>
      </c>
      <c r="D18" s="612" t="s">
        <v>63</v>
      </c>
      <c r="E18" s="612">
        <f>VLOOKUP($A18,'GA Data'!$B$3:$L$162,11,FALSE)</f>
        <v>21</v>
      </c>
      <c r="F18" s="612">
        <f>VLOOKUP($A18,'GA Data'!$B$3:$L$162,8,FALSE)</f>
        <v>5</v>
      </c>
      <c r="G18" s="612" t="s">
        <v>63</v>
      </c>
      <c r="H18" s="671">
        <f>vlookup(A18,'GA Data'!$B$170:$C$329,2,FALSE)</f>
        <v>46</v>
      </c>
      <c r="I18" s="614">
        <f>vlookup(A18,'GA Data'!$A$333:$B$494,2,FALSE)</f>
        <v>10</v>
      </c>
      <c r="J18" s="615" t="s">
        <v>63</v>
      </c>
      <c r="K18" s="672" t="s">
        <v>63</v>
      </c>
      <c r="L18" s="671" t="s">
        <v>63</v>
      </c>
      <c r="M18" s="614" t="s">
        <v>63</v>
      </c>
      <c r="N18" s="612" t="s">
        <v>63</v>
      </c>
      <c r="O18" s="612" t="s">
        <v>63</v>
      </c>
      <c r="P18" s="620">
        <f>ifna(vlookup(A18,'Population &amp; Church Numbers'!$A$390:$D$548,4,FALSE),"NULL")</f>
        <v>81</v>
      </c>
      <c r="Q18" s="674" t="s">
        <v>63</v>
      </c>
    </row>
    <row r="19">
      <c r="A19" s="609" t="s">
        <v>546</v>
      </c>
      <c r="B19" s="610">
        <f t="array" ref="B19">VLOOKUP($A19,GA_DEMO,2,FALSE)</f>
        <v>24596</v>
      </c>
      <c r="C19" s="611">
        <f>VLOOKUP($A19,'GA Data'!$B$3:$L$162,2,FALSE)</f>
        <v>38</v>
      </c>
      <c r="D19" s="612" t="s">
        <v>63</v>
      </c>
      <c r="E19" s="612">
        <f>VLOOKUP($A19,'GA Data'!$B$3:$L$162,11,FALSE)</f>
        <v>23</v>
      </c>
      <c r="F19" s="612">
        <f>VLOOKUP($A19,'GA Data'!$B$3:$L$162,8,FALSE)</f>
        <v>4</v>
      </c>
      <c r="G19" s="612" t="s">
        <v>63</v>
      </c>
      <c r="H19" s="671">
        <f>vlookup(A19,'GA Data'!$B$170:$C$329,2,FALSE)</f>
        <v>23</v>
      </c>
      <c r="I19" s="614">
        <f>vlookup(A19,'GA Data'!$A$333:$B$494,2,FALSE)</f>
        <v>8</v>
      </c>
      <c r="J19" s="615" t="s">
        <v>63</v>
      </c>
      <c r="K19" s="672" t="s">
        <v>63</v>
      </c>
      <c r="L19" s="671" t="s">
        <v>63</v>
      </c>
      <c r="M19" s="614" t="s">
        <v>63</v>
      </c>
      <c r="N19" s="612" t="s">
        <v>63</v>
      </c>
      <c r="O19" s="612" t="s">
        <v>63</v>
      </c>
      <c r="P19" s="620">
        <f>ifna(vlookup(A19,'Population &amp; Church Numbers'!$A$390:$D$548,4,FALSE),"NULL")</f>
        <v>53</v>
      </c>
      <c r="Q19" s="674" t="s">
        <v>63</v>
      </c>
    </row>
    <row r="20">
      <c r="A20" s="609" t="s">
        <v>547</v>
      </c>
      <c r="B20" s="610">
        <f t="array" ref="B20">VLOOKUP($A20,GA_DEMO,2,FALSE)</f>
        <v>25434</v>
      </c>
      <c r="C20" s="611">
        <f>VLOOKUP($A20,'GA Data'!$B$3:$L$162,2,FALSE)</f>
        <v>47</v>
      </c>
      <c r="D20" s="612" t="s">
        <v>63</v>
      </c>
      <c r="E20" s="612">
        <f>VLOOKUP($A20,'GA Data'!$B$3:$L$162,11,FALSE)</f>
        <v>19</v>
      </c>
      <c r="F20" s="612">
        <f>VLOOKUP($A20,'GA Data'!$B$3:$L$162,8,FALSE)</f>
        <v>16</v>
      </c>
      <c r="G20" s="612" t="s">
        <v>63</v>
      </c>
      <c r="H20" s="671">
        <f>vlookup(A20,'GA Data'!$B$170:$C$329,2,FALSE)</f>
        <v>12</v>
      </c>
      <c r="I20" s="614">
        <f>vlookup(A20,'GA Data'!$A$333:$B$494,2,FALSE)</f>
        <v>2</v>
      </c>
      <c r="J20" s="615" t="s">
        <v>63</v>
      </c>
      <c r="K20" s="672" t="s">
        <v>63</v>
      </c>
      <c r="L20" s="671" t="s">
        <v>63</v>
      </c>
      <c r="M20" s="614" t="s">
        <v>63</v>
      </c>
      <c r="N20" s="612" t="s">
        <v>63</v>
      </c>
      <c r="O20" s="612" t="s">
        <v>63</v>
      </c>
      <c r="P20" s="620">
        <f>ifna(vlookup(A20,'Population &amp; Church Numbers'!$A$390:$D$548,4,FALSE),"NULL")</f>
        <v>34</v>
      </c>
      <c r="Q20" s="674" t="s">
        <v>63</v>
      </c>
    </row>
    <row r="21">
      <c r="A21" s="609" t="s">
        <v>93</v>
      </c>
      <c r="B21" s="610">
        <f t="array" ref="B21">VLOOKUP($A21,GA_DEMO,2,FALSE)</f>
        <v>5573</v>
      </c>
      <c r="C21" s="611">
        <f>VLOOKUP($A21,'GA Data'!$B$3:$L$162,2,FALSE)</f>
        <v>1</v>
      </c>
      <c r="D21" s="612" t="s">
        <v>63</v>
      </c>
      <c r="E21" s="612">
        <f>VLOOKUP($A21,'GA Data'!$B$3:$L$162,11,FALSE)</f>
        <v>0</v>
      </c>
      <c r="F21" s="612">
        <f>VLOOKUP($A21,'GA Data'!$B$3:$L$162,8,FALSE)</f>
        <v>0</v>
      </c>
      <c r="G21" s="612" t="s">
        <v>63</v>
      </c>
      <c r="H21" s="671">
        <f>vlookup(A21,'GA Data'!$B$170:$C$329,2,FALSE)</f>
        <v>1</v>
      </c>
      <c r="I21" s="614">
        <f>vlookup(A21,'GA Data'!$A$333:$B$494,2,FALSE)</f>
        <v>0</v>
      </c>
      <c r="J21" s="615" t="s">
        <v>63</v>
      </c>
      <c r="K21" s="672" t="s">
        <v>63</v>
      </c>
      <c r="L21" s="671" t="s">
        <v>63</v>
      </c>
      <c r="M21" s="614" t="s">
        <v>63</v>
      </c>
      <c r="N21" s="612" t="s">
        <v>63</v>
      </c>
      <c r="O21" s="612" t="s">
        <v>63</v>
      </c>
      <c r="P21" s="620">
        <f>ifna(vlookup(A21,'Population &amp; Church Numbers'!$A$390:$D$548,4,FALSE),"NULL")</f>
        <v>12</v>
      </c>
      <c r="Q21" s="674" t="s">
        <v>63</v>
      </c>
    </row>
    <row r="22">
      <c r="A22" s="609" t="s">
        <v>548</v>
      </c>
      <c r="B22" s="610">
        <f t="array" ref="B22">VLOOKUP($A22,GA_DEMO,2,FALSE)</f>
        <v>54768</v>
      </c>
      <c r="C22" s="611">
        <f>VLOOKUP($A22,'GA Data'!$B$3:$L$162,2,FALSE)</f>
        <v>120</v>
      </c>
      <c r="D22" s="612" t="s">
        <v>63</v>
      </c>
      <c r="E22" s="612">
        <f>VLOOKUP($A22,'GA Data'!$B$3:$L$162,11,FALSE)</f>
        <v>67</v>
      </c>
      <c r="F22" s="612">
        <f>VLOOKUP($A22,'GA Data'!$B$3:$L$162,8,FALSE)</f>
        <v>15</v>
      </c>
      <c r="G22" s="612" t="s">
        <v>63</v>
      </c>
      <c r="H22" s="671">
        <f>vlookup(A22,'GA Data'!$B$170:$C$329,2,FALSE)</f>
        <v>40</v>
      </c>
      <c r="I22" s="614">
        <f>vlookup(A22,'GA Data'!$A$333:$B$494,2,FALSE)</f>
        <v>28</v>
      </c>
      <c r="J22" s="615" t="s">
        <v>63</v>
      </c>
      <c r="K22" s="672" t="s">
        <v>63</v>
      </c>
      <c r="L22" s="671" t="s">
        <v>63</v>
      </c>
      <c r="M22" s="614" t="s">
        <v>63</v>
      </c>
      <c r="N22" s="612" t="s">
        <v>63</v>
      </c>
      <c r="O22" s="612" t="s">
        <v>63</v>
      </c>
      <c r="P22" s="620">
        <f>ifna(vlookup(A22,'Population &amp; Church Numbers'!$A$390:$D$548,4,FALSE),"NULL")</f>
        <v>71</v>
      </c>
      <c r="Q22" s="674" t="s">
        <v>63</v>
      </c>
    </row>
    <row r="23">
      <c r="A23" s="609" t="s">
        <v>549</v>
      </c>
      <c r="B23" s="610">
        <f t="array" ref="B23">VLOOKUP($A23,GA_DEMO,2,FALSE)</f>
        <v>10981</v>
      </c>
      <c r="C23" s="611">
        <f>VLOOKUP($A23,'GA Data'!$B$3:$L$162,2,FALSE)</f>
        <v>6</v>
      </c>
      <c r="D23" s="612" t="s">
        <v>63</v>
      </c>
      <c r="E23" s="612">
        <f>VLOOKUP($A23,'GA Data'!$B$3:$L$162,11,FALSE)</f>
        <v>5</v>
      </c>
      <c r="F23" s="612">
        <f>VLOOKUP($A23,'GA Data'!$B$3:$L$162,8,FALSE)</f>
        <v>0</v>
      </c>
      <c r="G23" s="612" t="s">
        <v>63</v>
      </c>
      <c r="H23" s="671">
        <f>vlookup(A23,'GA Data'!$B$170:$C$329,2,FALSE)</f>
        <v>5</v>
      </c>
      <c r="I23" s="614">
        <f>vlookup(A23,'GA Data'!$A$333:$B$494,2,FALSE)</f>
        <v>2</v>
      </c>
      <c r="J23" s="615" t="s">
        <v>63</v>
      </c>
      <c r="K23" s="672" t="s">
        <v>63</v>
      </c>
      <c r="L23" s="671" t="s">
        <v>63</v>
      </c>
      <c r="M23" s="614" t="s">
        <v>63</v>
      </c>
      <c r="N23" s="612" t="s">
        <v>63</v>
      </c>
      <c r="O23" s="612" t="s">
        <v>63</v>
      </c>
      <c r="P23" s="620">
        <f>ifna(vlookup(A23,'Population &amp; Church Numbers'!$A$390:$D$548,4,FALSE),"NULL")</f>
        <v>25</v>
      </c>
      <c r="Q23" s="674" t="s">
        <v>63</v>
      </c>
    </row>
    <row r="24">
      <c r="A24" s="609" t="s">
        <v>248</v>
      </c>
      <c r="B24" s="610">
        <f t="array" ref="B24">VLOOKUP($A24,GA_DEMO,2,FALSE)</f>
        <v>119148</v>
      </c>
      <c r="C24" s="611">
        <f>VLOOKUP($A24,'GA Data'!$B$3:$L$162,2,FALSE)</f>
        <v>220</v>
      </c>
      <c r="D24" s="612" t="s">
        <v>63</v>
      </c>
      <c r="E24" s="612">
        <f>VLOOKUP($A24,'GA Data'!$B$3:$L$162,11,FALSE)</f>
        <v>108</v>
      </c>
      <c r="F24" s="612">
        <f>VLOOKUP($A24,'GA Data'!$B$3:$L$162,8,FALSE)</f>
        <v>52</v>
      </c>
      <c r="G24" s="612" t="s">
        <v>63</v>
      </c>
      <c r="H24" s="671">
        <f>vlookup(A24,'GA Data'!$B$170:$C$329,2,FALSE)</f>
        <v>58</v>
      </c>
      <c r="I24" s="614">
        <f>vlookup(A24,'GA Data'!$A$333:$B$494,2,FALSE)</f>
        <v>19</v>
      </c>
      <c r="J24" s="615" t="s">
        <v>63</v>
      </c>
      <c r="K24" s="672" t="s">
        <v>63</v>
      </c>
      <c r="L24" s="671" t="s">
        <v>63</v>
      </c>
      <c r="M24" s="614" t="s">
        <v>63</v>
      </c>
      <c r="N24" s="612" t="s">
        <v>63</v>
      </c>
      <c r="O24" s="612" t="s">
        <v>63</v>
      </c>
      <c r="P24" s="620">
        <f>ifna(vlookup(A24,'Population &amp; Church Numbers'!$A$390:$D$548,4,FALSE),"NULL")</f>
        <v>122</v>
      </c>
      <c r="Q24" s="674" t="s">
        <v>63</v>
      </c>
    </row>
    <row r="25">
      <c r="A25" s="609" t="s">
        <v>550</v>
      </c>
      <c r="B25" s="610">
        <f t="array" ref="B25">VLOOKUP($A25,GA_DEMO,2,FALSE)</f>
        <v>67872</v>
      </c>
      <c r="C25" s="611">
        <f>VLOOKUP($A25,'GA Data'!$B$3:$L$162,2,FALSE)</f>
        <v>93</v>
      </c>
      <c r="D25" s="612" t="s">
        <v>63</v>
      </c>
      <c r="E25" s="612">
        <f>VLOOKUP($A25,'GA Data'!$B$3:$L$162,11,FALSE)</f>
        <v>61</v>
      </c>
      <c r="F25" s="612">
        <f>VLOOKUP($A25,'GA Data'!$B$3:$L$162,8,FALSE)</f>
        <v>10</v>
      </c>
      <c r="G25" s="612" t="s">
        <v>63</v>
      </c>
      <c r="H25" s="671">
        <f>vlookup(A25,'GA Data'!$B$170:$C$329,2,FALSE)</f>
        <v>44</v>
      </c>
      <c r="I25" s="614">
        <f>vlookup(A25,'GA Data'!$A$333:$B$494,2,FALSE)</f>
        <v>15</v>
      </c>
      <c r="J25" s="615" t="s">
        <v>63</v>
      </c>
      <c r="K25" s="672" t="s">
        <v>63</v>
      </c>
      <c r="L25" s="671" t="s">
        <v>63</v>
      </c>
      <c r="M25" s="614" t="s">
        <v>63</v>
      </c>
      <c r="N25" s="612" t="s">
        <v>63</v>
      </c>
      <c r="O25" s="612" t="s">
        <v>63</v>
      </c>
      <c r="P25" s="620">
        <f>ifna(vlookup(A25,'Population &amp; Church Numbers'!$A$390:$D$548,4,FALSE),"NULL")</f>
        <v>66</v>
      </c>
      <c r="Q25" s="674" t="s">
        <v>63</v>
      </c>
    </row>
    <row r="26">
      <c r="A26" s="609" t="s">
        <v>551</v>
      </c>
      <c r="B26" s="610">
        <f t="array" ref="B26">VLOOKUP($A26,GA_DEMO,2,FALSE)</f>
        <v>12518</v>
      </c>
      <c r="C26" s="611">
        <f>VLOOKUP($A26,'GA Data'!$B$3:$L$162,2,FALSE)</f>
        <v>36</v>
      </c>
      <c r="D26" s="612" t="s">
        <v>63</v>
      </c>
      <c r="E26" s="612">
        <f>VLOOKUP($A26,'GA Data'!$B$3:$L$162,11,FALSE)</f>
        <v>16</v>
      </c>
      <c r="F26" s="612">
        <f>VLOOKUP($A26,'GA Data'!$B$3:$L$162,8,FALSE)</f>
        <v>10</v>
      </c>
      <c r="G26" s="612" t="s">
        <v>63</v>
      </c>
      <c r="H26" s="671">
        <f>vlookup(A26,'GA Data'!$B$170:$C$329,2,FALSE)</f>
        <v>10</v>
      </c>
      <c r="I26" s="614">
        <f>vlookup(A26,'GA Data'!$A$333:$B$494,2,FALSE)</f>
        <v>11</v>
      </c>
      <c r="J26" s="615" t="s">
        <v>63</v>
      </c>
      <c r="K26" s="672" t="s">
        <v>63</v>
      </c>
      <c r="L26" s="671" t="s">
        <v>63</v>
      </c>
      <c r="M26" s="614" t="s">
        <v>63</v>
      </c>
      <c r="N26" s="612" t="s">
        <v>63</v>
      </c>
      <c r="O26" s="612" t="s">
        <v>63</v>
      </c>
      <c r="P26" s="620">
        <f>ifna(vlookup(A26,'Population &amp; Church Numbers'!$A$390:$D$548,4,FALSE),"NULL")</f>
        <v>24</v>
      </c>
      <c r="Q26" s="674" t="s">
        <v>63</v>
      </c>
    </row>
    <row r="27">
      <c r="A27" s="609" t="s">
        <v>552</v>
      </c>
      <c r="B27" s="610">
        <f t="array" ref="B27">VLOOKUP($A27,GA_DEMO,2,FALSE)</f>
        <v>295291</v>
      </c>
      <c r="C27" s="611">
        <f>VLOOKUP($A27,'GA Data'!$B$3:$L$162,2,FALSE)</f>
        <v>304</v>
      </c>
      <c r="D27" s="612" t="s">
        <v>63</v>
      </c>
      <c r="E27" s="612">
        <f>VLOOKUP($A27,'GA Data'!$B$3:$L$162,11,FALSE)</f>
        <v>208</v>
      </c>
      <c r="F27" s="612">
        <f>VLOOKUP($A27,'GA Data'!$B$3:$L$162,8,FALSE)</f>
        <v>22</v>
      </c>
      <c r="G27" s="612" t="s">
        <v>63</v>
      </c>
      <c r="H27" s="671">
        <f>vlookup(A27,'GA Data'!$B$170:$C$329,2,FALSE)</f>
        <v>141</v>
      </c>
      <c r="I27" s="614">
        <f>vlookup(A27,'GA Data'!$A$333:$B$494,2,FALSE)</f>
        <v>38</v>
      </c>
      <c r="J27" s="615" t="s">
        <v>63</v>
      </c>
      <c r="K27" s="672" t="s">
        <v>63</v>
      </c>
      <c r="L27" s="671" t="s">
        <v>63</v>
      </c>
      <c r="M27" s="614" t="s">
        <v>63</v>
      </c>
      <c r="N27" s="612" t="s">
        <v>63</v>
      </c>
      <c r="O27" s="612" t="s">
        <v>63</v>
      </c>
      <c r="P27" s="620">
        <f>ifna(vlookup(A27,'Population &amp; Church Numbers'!$A$390:$D$548,4,FALSE),"NULL")</f>
        <v>316</v>
      </c>
      <c r="Q27" s="674" t="s">
        <v>63</v>
      </c>
    </row>
    <row r="28">
      <c r="A28" s="609" t="s">
        <v>553</v>
      </c>
      <c r="B28" s="610">
        <f t="array" ref="B28">VLOOKUP($A28,GA_DEMO,2,FALSE)</f>
        <v>9565</v>
      </c>
      <c r="C28" s="611">
        <f>VLOOKUP($A28,'GA Data'!$B$3:$L$162,2,FALSE)</f>
        <v>11</v>
      </c>
      <c r="D28" s="612" t="s">
        <v>63</v>
      </c>
      <c r="E28" s="612">
        <f>VLOOKUP($A28,'GA Data'!$B$3:$L$162,11,FALSE)</f>
        <v>4</v>
      </c>
      <c r="F28" s="612">
        <f>VLOOKUP($A28,'GA Data'!$B$3:$L$162,8,FALSE)</f>
        <v>5</v>
      </c>
      <c r="G28" s="612" t="s">
        <v>63</v>
      </c>
      <c r="H28" s="671">
        <f>vlookup(A28,'GA Data'!$B$170:$C$329,2,FALSE)</f>
        <v>4</v>
      </c>
      <c r="I28" s="614">
        <f>vlookup(A28,'GA Data'!$A$333:$B$494,2,FALSE)</f>
        <v>0</v>
      </c>
      <c r="J28" s="615" t="s">
        <v>63</v>
      </c>
      <c r="K28" s="672" t="s">
        <v>63</v>
      </c>
      <c r="L28" s="671" t="s">
        <v>63</v>
      </c>
      <c r="M28" s="614" t="s">
        <v>63</v>
      </c>
      <c r="N28" s="612" t="s">
        <v>63</v>
      </c>
      <c r="O28" s="612" t="s">
        <v>63</v>
      </c>
      <c r="P28" s="620">
        <f>ifna(vlookup(A28,'Population &amp; Church Numbers'!$A$390:$D$548,4,FALSE),"NULL")</f>
        <v>2</v>
      </c>
      <c r="Q28" s="674" t="s">
        <v>63</v>
      </c>
    </row>
    <row r="29">
      <c r="A29" s="609" t="s">
        <v>554</v>
      </c>
      <c r="B29" s="610">
        <f t="array" ref="B29">VLOOKUP($A29,GA_DEMO,2,FALSE)</f>
        <v>24965</v>
      </c>
      <c r="C29" s="611">
        <f>VLOOKUP($A29,'GA Data'!$B$3:$L$162,2,FALSE)</f>
        <v>74</v>
      </c>
      <c r="D29" s="612" t="s">
        <v>63</v>
      </c>
      <c r="E29" s="612">
        <f>VLOOKUP($A29,'GA Data'!$B$3:$L$162,11,FALSE)</f>
        <v>38</v>
      </c>
      <c r="F29" s="612">
        <f>VLOOKUP($A29,'GA Data'!$B$3:$L$162,8,FALSE)</f>
        <v>21</v>
      </c>
      <c r="G29" s="612" t="s">
        <v>63</v>
      </c>
      <c r="H29" s="671">
        <f>vlookup(A29,'GA Data'!$B$170:$C$329,2,FALSE)</f>
        <v>13</v>
      </c>
      <c r="I29" s="614">
        <f>vlookup(A29,'GA Data'!$A$333:$B$494,2,FALSE)</f>
        <v>5</v>
      </c>
      <c r="J29" s="615" t="s">
        <v>63</v>
      </c>
      <c r="K29" s="672" t="s">
        <v>63</v>
      </c>
      <c r="L29" s="671" t="s">
        <v>63</v>
      </c>
      <c r="M29" s="614" t="s">
        <v>63</v>
      </c>
      <c r="N29" s="612" t="s">
        <v>63</v>
      </c>
      <c r="O29" s="612" t="s">
        <v>63</v>
      </c>
      <c r="P29" s="620">
        <f>ifna(vlookup(A29,'Population &amp; Church Numbers'!$A$390:$D$548,4,FALSE),"NULL")</f>
        <v>38</v>
      </c>
      <c r="Q29" s="674" t="s">
        <v>63</v>
      </c>
    </row>
    <row r="30">
      <c r="A30" s="609" t="s">
        <v>101</v>
      </c>
      <c r="B30" s="610">
        <f t="array" ref="B30">VLOOKUP($A30,GA_DEMO,2,FALSE)</f>
        <v>266620</v>
      </c>
      <c r="C30" s="611">
        <f>VLOOKUP($A30,'GA Data'!$B$3:$L$162,2,FALSE)</f>
        <v>444</v>
      </c>
      <c r="D30" s="612" t="s">
        <v>63</v>
      </c>
      <c r="E30" s="612">
        <f>VLOOKUP($A30,'GA Data'!$B$3:$L$162,11,FALSE)</f>
        <v>246</v>
      </c>
      <c r="F30" s="612">
        <f>VLOOKUP($A30,'GA Data'!$B$3:$L$162,8,FALSE)</f>
        <v>97</v>
      </c>
      <c r="G30" s="612" t="s">
        <v>63</v>
      </c>
      <c r="H30" s="671">
        <f>vlookup(A30,'GA Data'!$B$170:$C$329,2,FALSE)</f>
        <v>181</v>
      </c>
      <c r="I30" s="614">
        <f>vlookup(A30,'GA Data'!$A$333:$B$494,2,FALSE)</f>
        <v>18</v>
      </c>
      <c r="J30" s="615" t="s">
        <v>63</v>
      </c>
      <c r="K30" s="672" t="s">
        <v>63</v>
      </c>
      <c r="L30" s="671" t="s">
        <v>63</v>
      </c>
      <c r="M30" s="614" t="s">
        <v>63</v>
      </c>
      <c r="N30" s="612" t="s">
        <v>63</v>
      </c>
      <c r="O30" s="612" t="s">
        <v>63</v>
      </c>
      <c r="P30" s="620">
        <f>ifna(vlookup(A30,'Population &amp; Church Numbers'!$A$390:$D$548,4,FALSE),"NULL")</f>
        <v>114</v>
      </c>
      <c r="Q30" s="674" t="s">
        <v>63</v>
      </c>
    </row>
    <row r="31">
      <c r="A31" s="609" t="s">
        <v>110</v>
      </c>
      <c r="B31" s="610">
        <f t="array" ref="B31">VLOOKUP($A31,GA_DEMO,2,FALSE)</f>
        <v>128671</v>
      </c>
      <c r="C31" s="611">
        <f>VLOOKUP($A31,'GA Data'!$B$3:$L$162,2,FALSE)</f>
        <v>221</v>
      </c>
      <c r="D31" s="612" t="s">
        <v>63</v>
      </c>
      <c r="E31" s="612">
        <f>VLOOKUP($A31,'GA Data'!$B$3:$L$162,11,FALSE)</f>
        <v>120</v>
      </c>
      <c r="F31" s="612">
        <f>VLOOKUP($A31,'GA Data'!$B$3:$L$162,8,FALSE)</f>
        <v>47</v>
      </c>
      <c r="G31" s="612" t="s">
        <v>63</v>
      </c>
      <c r="H31" s="671">
        <f>vlookup(A31,'GA Data'!$B$170:$C$329,2,FALSE)</f>
        <v>23</v>
      </c>
      <c r="I31" s="614">
        <f>vlookup(A31,'GA Data'!$A$333:$B$494,2,FALSE)</f>
        <v>21</v>
      </c>
      <c r="J31" s="615" t="s">
        <v>63</v>
      </c>
      <c r="K31" s="672" t="s">
        <v>63</v>
      </c>
      <c r="L31" s="671" t="s">
        <v>63</v>
      </c>
      <c r="M31" s="614" t="s">
        <v>63</v>
      </c>
      <c r="N31" s="612" t="s">
        <v>63</v>
      </c>
      <c r="O31" s="612" t="s">
        <v>63</v>
      </c>
      <c r="P31" s="620">
        <f>ifna(vlookup(A31,'Population &amp; Church Numbers'!$A$390:$D$548,4,FALSE),"NULL")</f>
        <v>80</v>
      </c>
      <c r="Q31" s="674" t="s">
        <v>63</v>
      </c>
    </row>
    <row r="32">
      <c r="A32" s="609" t="s">
        <v>112</v>
      </c>
      <c r="B32" s="610">
        <f t="array" ref="B32">VLOOKUP($A32,GA_DEMO,2,FALSE)</f>
        <v>2848</v>
      </c>
      <c r="C32" s="611">
        <f>VLOOKUP($A32,'GA Data'!$B$3:$L$162,2,FALSE)</f>
        <v>1</v>
      </c>
      <c r="D32" s="612" t="s">
        <v>63</v>
      </c>
      <c r="E32" s="612">
        <f>VLOOKUP($A32,'GA Data'!$B$3:$L$162,11,FALSE)</f>
        <v>0</v>
      </c>
      <c r="F32" s="612">
        <f>VLOOKUP($A32,'GA Data'!$B$3:$L$162,8,FALSE)</f>
        <v>0</v>
      </c>
      <c r="G32" s="612" t="s">
        <v>63</v>
      </c>
      <c r="H32" s="671">
        <f>vlookup(A32,'GA Data'!$B$170:$C$329,2,FALSE)</f>
        <v>0</v>
      </c>
      <c r="I32" s="614">
        <f>vlookup(A32,'GA Data'!$A$333:$B$494,2,FALSE)</f>
        <v>0</v>
      </c>
      <c r="J32" s="615" t="s">
        <v>63</v>
      </c>
      <c r="K32" s="672" t="s">
        <v>63</v>
      </c>
      <c r="L32" s="671" t="s">
        <v>63</v>
      </c>
      <c r="M32" s="614" t="s">
        <v>63</v>
      </c>
      <c r="N32" s="612" t="s">
        <v>63</v>
      </c>
      <c r="O32" s="612" t="s">
        <v>63</v>
      </c>
      <c r="P32" s="620">
        <f>ifna(vlookup(A32,'Population &amp; Church Numbers'!$A$390:$D$548,4,FALSE),"NULL")</f>
        <v>8</v>
      </c>
      <c r="Q32" s="674" t="s">
        <v>63</v>
      </c>
    </row>
    <row r="33">
      <c r="A33" s="609" t="s">
        <v>555</v>
      </c>
      <c r="B33" s="610">
        <f t="array" ref="B33">VLOOKUP($A33,GA_DEMO,2,FALSE)</f>
        <v>297595</v>
      </c>
      <c r="C33" s="611">
        <f>VLOOKUP($A33,'GA Data'!$B$3:$L$162,2,FALSE)</f>
        <v>271</v>
      </c>
      <c r="D33" s="612" t="s">
        <v>63</v>
      </c>
      <c r="E33" s="612">
        <f>VLOOKUP($A33,'GA Data'!$B$3:$L$162,11,FALSE)</f>
        <v>185</v>
      </c>
      <c r="F33" s="612">
        <f>VLOOKUP($A33,'GA Data'!$B$3:$L$162,8,FALSE)</f>
        <v>35</v>
      </c>
      <c r="G33" s="612" t="s">
        <v>63</v>
      </c>
      <c r="H33" s="671">
        <f>vlookup(A33,'GA Data'!$B$170:$C$329,2,FALSE)</f>
        <v>147</v>
      </c>
      <c r="I33" s="614">
        <f>vlookup(A33,'GA Data'!$A$333:$B$494,2,FALSE)</f>
        <v>20</v>
      </c>
      <c r="J33" s="615" t="s">
        <v>63</v>
      </c>
      <c r="K33" s="672" t="s">
        <v>63</v>
      </c>
      <c r="L33" s="671" t="s">
        <v>63</v>
      </c>
      <c r="M33" s="614" t="s">
        <v>63</v>
      </c>
      <c r="N33" s="612" t="s">
        <v>63</v>
      </c>
      <c r="O33" s="612" t="s">
        <v>63</v>
      </c>
      <c r="P33" s="620">
        <f>ifna(vlookup(A33,'Population &amp; Church Numbers'!$A$390:$D$548,4,FALSE),"NULL")</f>
        <v>128</v>
      </c>
      <c r="Q33" s="674" t="s">
        <v>63</v>
      </c>
    </row>
    <row r="34">
      <c r="A34" s="609" t="s">
        <v>556</v>
      </c>
      <c r="B34" s="610">
        <f t="array" ref="B34">VLOOKUP($A34,GA_DEMO,2,FALSE)</f>
        <v>6749</v>
      </c>
      <c r="C34" s="611">
        <f>VLOOKUP($A34,'GA Data'!$B$3:$L$162,2,FALSE)</f>
        <v>17</v>
      </c>
      <c r="D34" s="612" t="s">
        <v>63</v>
      </c>
      <c r="E34" s="612">
        <f>VLOOKUP($A34,'GA Data'!$B$3:$L$162,11,FALSE)</f>
        <v>6</v>
      </c>
      <c r="F34" s="612">
        <f>VLOOKUP($A34,'GA Data'!$B$3:$L$162,8,FALSE)</f>
        <v>5</v>
      </c>
      <c r="G34" s="612" t="s">
        <v>63</v>
      </c>
      <c r="H34" s="671">
        <f>vlookup(A34,'GA Data'!$B$170:$C$329,2,FALSE)</f>
        <v>3</v>
      </c>
      <c r="I34" s="614">
        <f>vlookup(A34,'GA Data'!$A$333:$B$494,2,FALSE)</f>
        <v>0</v>
      </c>
      <c r="J34" s="615" t="s">
        <v>63</v>
      </c>
      <c r="K34" s="672" t="s">
        <v>63</v>
      </c>
      <c r="L34" s="671" t="s">
        <v>63</v>
      </c>
      <c r="M34" s="614" t="s">
        <v>63</v>
      </c>
      <c r="N34" s="612" t="s">
        <v>63</v>
      </c>
      <c r="O34" s="612" t="s">
        <v>63</v>
      </c>
      <c r="P34" s="620">
        <f>ifna(vlookup(A34,'Population &amp; Church Numbers'!$A$390:$D$548,4,FALSE),"NULL")</f>
        <v>18</v>
      </c>
      <c r="Q34" s="674" t="s">
        <v>63</v>
      </c>
    </row>
    <row r="35">
      <c r="A35" s="609" t="s">
        <v>536</v>
      </c>
      <c r="B35" s="610">
        <f t="array" ref="B35">VLOOKUP($A35,GA_DEMO,2,FALSE)</f>
        <v>766149</v>
      </c>
      <c r="C35" s="611">
        <f>VLOOKUP($A35,'GA Data'!$B$3:$L$162,2,FALSE)</f>
        <v>504</v>
      </c>
      <c r="D35" s="612" t="s">
        <v>63</v>
      </c>
      <c r="E35" s="612">
        <f>VLOOKUP($A35,'GA Data'!$B$3:$L$162,11,FALSE)</f>
        <v>249</v>
      </c>
      <c r="F35" s="612">
        <f>VLOOKUP($A35,'GA Data'!$B$3:$L$162,8,FALSE)</f>
        <v>121</v>
      </c>
      <c r="G35" s="612" t="s">
        <v>63</v>
      </c>
      <c r="H35" s="671">
        <f>vlookup(A35,'GA Data'!$B$170:$C$329,2,FALSE)</f>
        <v>264</v>
      </c>
      <c r="I35" s="614">
        <f>vlookup(A35,'GA Data'!$A$333:$B$494,2,FALSE)</f>
        <v>54</v>
      </c>
      <c r="J35" s="615" t="s">
        <v>63</v>
      </c>
      <c r="K35" s="672" t="s">
        <v>63</v>
      </c>
      <c r="L35" s="671" t="s">
        <v>63</v>
      </c>
      <c r="M35" s="614" t="s">
        <v>63</v>
      </c>
      <c r="N35" s="612" t="s">
        <v>63</v>
      </c>
      <c r="O35" s="612" t="s">
        <v>63</v>
      </c>
      <c r="P35" s="620">
        <f>ifna(vlookup(A35,'Population &amp; Church Numbers'!$A$390:$D$548,4,FALSE),"NULL")</f>
        <v>338</v>
      </c>
      <c r="Q35" s="674" t="s">
        <v>63</v>
      </c>
    </row>
    <row r="36">
      <c r="A36" s="609" t="s">
        <v>118</v>
      </c>
      <c r="B36" s="610">
        <f t="array" ref="B36">VLOOKUP($A36,GA_DEMO,2,FALSE)</f>
        <v>43092</v>
      </c>
      <c r="C36" s="611">
        <f>VLOOKUP($A36,'GA Data'!$B$3:$L$162,2,FALSE)</f>
        <v>223</v>
      </c>
      <c r="D36" s="612" t="s">
        <v>63</v>
      </c>
      <c r="E36" s="612">
        <f>VLOOKUP($A36,'GA Data'!$B$3:$L$162,11,FALSE)</f>
        <v>119</v>
      </c>
      <c r="F36" s="612">
        <f>VLOOKUP($A36,'GA Data'!$B$3:$L$162,8,FALSE)</f>
        <v>56</v>
      </c>
      <c r="G36" s="612" t="s">
        <v>63</v>
      </c>
      <c r="H36" s="671">
        <f>vlookup(A36,'GA Data'!$B$170:$C$329,2,FALSE)</f>
        <v>38</v>
      </c>
      <c r="I36" s="614">
        <f>vlookup(A36,'GA Data'!$A$333:$B$494,2,FALSE)</f>
        <v>4</v>
      </c>
      <c r="J36" s="615" t="s">
        <v>63</v>
      </c>
      <c r="K36" s="672" t="s">
        <v>63</v>
      </c>
      <c r="L36" s="671" t="s">
        <v>63</v>
      </c>
      <c r="M36" s="614" t="s">
        <v>63</v>
      </c>
      <c r="N36" s="612" t="s">
        <v>63</v>
      </c>
      <c r="O36" s="612" t="s">
        <v>63</v>
      </c>
      <c r="P36" s="620">
        <f>ifna(vlookup(A36,'Population &amp; Church Numbers'!$A$390:$D$548,4,FALSE),"NULL")</f>
        <v>77</v>
      </c>
      <c r="Q36" s="674" t="s">
        <v>63</v>
      </c>
    </row>
    <row r="37">
      <c r="A37" s="609" t="s">
        <v>557</v>
      </c>
      <c r="B37" s="610">
        <f t="array" ref="B37">VLOOKUP($A37,GA_DEMO,2,FALSE)</f>
        <v>45898</v>
      </c>
      <c r="C37" s="611">
        <f>VLOOKUP($A37,'GA Data'!$B$3:$L$162,2,FALSE)</f>
        <v>30</v>
      </c>
      <c r="D37" s="612" t="s">
        <v>63</v>
      </c>
      <c r="E37" s="612">
        <f>VLOOKUP($A37,'GA Data'!$B$3:$L$162,11,FALSE)</f>
        <v>13</v>
      </c>
      <c r="F37" s="612">
        <f>VLOOKUP($A37,'GA Data'!$B$3:$L$162,8,FALSE)</f>
        <v>6</v>
      </c>
      <c r="G37" s="612" t="s">
        <v>63</v>
      </c>
      <c r="H37" s="671">
        <f>vlookup(A37,'GA Data'!$B$170:$C$329,2,FALSE)</f>
        <v>16</v>
      </c>
      <c r="I37" s="614">
        <f>vlookup(A37,'GA Data'!$A$333:$B$494,2,FALSE)</f>
        <v>18</v>
      </c>
      <c r="J37" s="615" t="s">
        <v>63</v>
      </c>
      <c r="K37" s="672" t="s">
        <v>63</v>
      </c>
      <c r="L37" s="671" t="s">
        <v>63</v>
      </c>
      <c r="M37" s="614" t="s">
        <v>63</v>
      </c>
      <c r="N37" s="612" t="s">
        <v>63</v>
      </c>
      <c r="O37" s="612" t="s">
        <v>63</v>
      </c>
      <c r="P37" s="620">
        <f>ifna(vlookup(A37,'Population &amp; Church Numbers'!$A$390:$D$548,4,FALSE),"NULL")</f>
        <v>73</v>
      </c>
      <c r="Q37" s="674" t="s">
        <v>63</v>
      </c>
    </row>
    <row r="38">
      <c r="A38" s="609" t="s">
        <v>258</v>
      </c>
      <c r="B38" s="610">
        <f t="array" ref="B38">VLOOKUP($A38,GA_DEMO,2,FALSE)</f>
        <v>156010</v>
      </c>
      <c r="C38" s="611">
        <f>VLOOKUP($A38,'GA Data'!$B$3:$L$162,2,FALSE)</f>
        <v>62</v>
      </c>
      <c r="D38" s="612" t="s">
        <v>63</v>
      </c>
      <c r="E38" s="612">
        <f>VLOOKUP($A38,'GA Data'!$B$3:$L$162,11,FALSE)</f>
        <v>34</v>
      </c>
      <c r="F38" s="612">
        <f>VLOOKUP($A38,'GA Data'!$B$3:$L$162,8,FALSE)</f>
        <v>13</v>
      </c>
      <c r="G38" s="612" t="s">
        <v>63</v>
      </c>
      <c r="H38" s="671">
        <f>vlookup(A38,'GA Data'!$B$170:$C$329,2,FALSE)</f>
        <v>98</v>
      </c>
      <c r="I38" s="614">
        <f>vlookup(A38,'GA Data'!$A$333:$B$494,2,FALSE)</f>
        <v>5</v>
      </c>
      <c r="J38" s="615" t="s">
        <v>63</v>
      </c>
      <c r="K38" s="672" t="s">
        <v>63</v>
      </c>
      <c r="L38" s="671" t="s">
        <v>63</v>
      </c>
      <c r="M38" s="614" t="s">
        <v>63</v>
      </c>
      <c r="N38" s="612" t="s">
        <v>63</v>
      </c>
      <c r="O38" s="612" t="s">
        <v>63</v>
      </c>
      <c r="P38" s="620">
        <f>ifna(vlookup(A38,'Population &amp; Church Numbers'!$A$390:$D$548,4,FALSE),"NULL")</f>
        <v>104</v>
      </c>
      <c r="Q38" s="674" t="s">
        <v>63</v>
      </c>
    </row>
    <row r="39">
      <c r="A39" s="609" t="s">
        <v>202</v>
      </c>
      <c r="B39" s="610">
        <f t="array" ref="B39">VLOOKUP($A39,GA_DEMO,2,FALSE)</f>
        <v>17229</v>
      </c>
      <c r="C39" s="611">
        <f>VLOOKUP($A39,'GA Data'!$B$3:$L$162,2,FALSE)</f>
        <v>50</v>
      </c>
      <c r="D39" s="612" t="s">
        <v>63</v>
      </c>
      <c r="E39" s="612">
        <f>VLOOKUP($A39,'GA Data'!$B$3:$L$162,11,FALSE)</f>
        <v>41</v>
      </c>
      <c r="F39" s="612">
        <f>VLOOKUP($A39,'GA Data'!$B$3:$L$162,8,FALSE)</f>
        <v>5</v>
      </c>
      <c r="G39" s="612" t="s">
        <v>63</v>
      </c>
      <c r="H39" s="671">
        <f>vlookup(A39,'GA Data'!$B$170:$C$329,2,FALSE)</f>
        <v>14</v>
      </c>
      <c r="I39" s="614">
        <f>vlookup(A39,'GA Data'!$A$333:$B$494,2,FALSE)</f>
        <v>2</v>
      </c>
      <c r="J39" s="615" t="s">
        <v>63</v>
      </c>
      <c r="K39" s="672" t="s">
        <v>63</v>
      </c>
      <c r="L39" s="671" t="s">
        <v>63</v>
      </c>
      <c r="M39" s="614" t="s">
        <v>63</v>
      </c>
      <c r="N39" s="612" t="s">
        <v>63</v>
      </c>
      <c r="O39" s="612" t="s">
        <v>63</v>
      </c>
      <c r="P39" s="620">
        <f>ifna(vlookup(A39,'Population &amp; Church Numbers'!$A$390:$D$548,4,FALSE),"NULL")</f>
        <v>30</v>
      </c>
      <c r="Q39" s="674" t="s">
        <v>63</v>
      </c>
    </row>
    <row r="40">
      <c r="A40" s="609" t="s">
        <v>559</v>
      </c>
      <c r="B40" s="610">
        <f t="array" ref="B40">VLOOKUP($A40,GA_DEMO,2,FALSE)</f>
        <v>146158</v>
      </c>
      <c r="C40" s="611">
        <f>VLOOKUP($A40,'GA Data'!$B$3:$L$162,2,FALSE)</f>
        <v>79</v>
      </c>
      <c r="D40" s="612" t="s">
        <v>63</v>
      </c>
      <c r="E40" s="612">
        <f>VLOOKUP($A40,'GA Data'!$B$3:$L$162,11,FALSE)</f>
        <v>45</v>
      </c>
      <c r="F40" s="612">
        <f>VLOOKUP($A40,'GA Data'!$B$3:$L$162,8,FALSE)</f>
        <v>13</v>
      </c>
      <c r="G40" s="612" t="s">
        <v>63</v>
      </c>
      <c r="H40" s="671">
        <f>vlookup(A40,'GA Data'!$B$170:$C$329,2,FALSE)</f>
        <v>94</v>
      </c>
      <c r="I40" s="614">
        <f>vlookup(A40,'GA Data'!$A$333:$B$494,2,FALSE)</f>
        <v>20</v>
      </c>
      <c r="J40" s="615" t="s">
        <v>63</v>
      </c>
      <c r="K40" s="672" t="s">
        <v>63</v>
      </c>
      <c r="L40" s="671" t="s">
        <v>63</v>
      </c>
      <c r="M40" s="614" t="s">
        <v>63</v>
      </c>
      <c r="N40" s="612" t="s">
        <v>63</v>
      </c>
      <c r="O40" s="612" t="s">
        <v>63</v>
      </c>
      <c r="P40" s="620">
        <f>ifna(vlookup(A40,'Population &amp; Church Numbers'!$A$390:$D$548,4,FALSE),"NULL")</f>
        <v>108</v>
      </c>
      <c r="Q40" s="674" t="s">
        <v>63</v>
      </c>
    </row>
    <row r="41">
      <c r="A41" s="609" t="s">
        <v>263</v>
      </c>
      <c r="B41" s="610">
        <f t="array" ref="B41">VLOOKUP($A41,GA_DEMO,2,FALSE)</f>
        <v>12130</v>
      </c>
      <c r="C41" s="611">
        <f>VLOOKUP($A41,'GA Data'!$B$3:$L$162,2,FALSE)</f>
        <v>22</v>
      </c>
      <c r="D41" s="612" t="s">
        <v>63</v>
      </c>
      <c r="E41" s="612">
        <f>VLOOKUP($A41,'GA Data'!$B$3:$L$162,11,FALSE)</f>
        <v>10</v>
      </c>
      <c r="F41" s="612">
        <f>VLOOKUP($A41,'GA Data'!$B$3:$L$162,8,FALSE)</f>
        <v>5</v>
      </c>
      <c r="G41" s="612" t="s">
        <v>63</v>
      </c>
      <c r="H41" s="671">
        <f>vlookup(A41,'GA Data'!$B$170:$C$329,2,FALSE)</f>
        <v>8</v>
      </c>
      <c r="I41" s="614">
        <f>vlookup(A41,'GA Data'!$A$333:$B$494,2,FALSE)</f>
        <v>2</v>
      </c>
      <c r="J41" s="615" t="s">
        <v>63</v>
      </c>
      <c r="K41" s="672" t="s">
        <v>63</v>
      </c>
      <c r="L41" s="671" t="s">
        <v>63</v>
      </c>
      <c r="M41" s="614" t="s">
        <v>63</v>
      </c>
      <c r="N41" s="612" t="s">
        <v>63</v>
      </c>
      <c r="O41" s="612" t="s">
        <v>63</v>
      </c>
      <c r="P41" s="620">
        <f>ifna(vlookup(A41,'Population &amp; Church Numbers'!$A$390:$D$548,4,FALSE),"NULL")</f>
        <v>19</v>
      </c>
      <c r="Q41" s="674" t="s">
        <v>63</v>
      </c>
    </row>
    <row r="42">
      <c r="A42" s="609" t="s">
        <v>560</v>
      </c>
      <c r="B42" s="610">
        <f t="array" ref="B42">VLOOKUP($A42,GA_DEMO,2,FALSE)</f>
        <v>20128</v>
      </c>
      <c r="C42" s="611">
        <f>VLOOKUP($A42,'GA Data'!$B$3:$L$162,2,FALSE)</f>
        <v>107</v>
      </c>
      <c r="D42" s="612" t="s">
        <v>63</v>
      </c>
      <c r="E42" s="612">
        <f>VLOOKUP($A42,'GA Data'!$B$3:$L$162,11,FALSE)</f>
        <v>64</v>
      </c>
      <c r="F42" s="612">
        <f>VLOOKUP($A42,'GA Data'!$B$3:$L$162,8,FALSE)</f>
        <v>32</v>
      </c>
      <c r="G42" s="612" t="s">
        <v>63</v>
      </c>
      <c r="H42" s="671">
        <f>vlookup(A42,'GA Data'!$B$170:$C$329,2,FALSE)</f>
        <v>10</v>
      </c>
      <c r="I42" s="614">
        <f>vlookup(A42,'GA Data'!$A$333:$B$494,2,FALSE)</f>
        <v>1</v>
      </c>
      <c r="J42" s="615" t="s">
        <v>63</v>
      </c>
      <c r="K42" s="672" t="s">
        <v>63</v>
      </c>
      <c r="L42" s="671" t="s">
        <v>63</v>
      </c>
      <c r="M42" s="614" t="s">
        <v>63</v>
      </c>
      <c r="N42" s="612" t="s">
        <v>63</v>
      </c>
      <c r="O42" s="612" t="s">
        <v>63</v>
      </c>
      <c r="P42" s="620">
        <f>ifna(vlookup(A42,'Population &amp; Church Numbers'!$A$390:$D$548,4,FALSE),"NULL")</f>
        <v>32</v>
      </c>
      <c r="Q42" s="674" t="s">
        <v>63</v>
      </c>
    </row>
    <row r="43">
      <c r="A43" s="609" t="s">
        <v>561</v>
      </c>
      <c r="B43" s="610">
        <f t="array" ref="B43">VLOOKUP($A43,GA_DEMO,2,FALSE)</f>
        <v>16251</v>
      </c>
      <c r="C43" s="611">
        <f>VLOOKUP($A43,'GA Data'!$B$3:$L$162,2,FALSE)</f>
        <v>24</v>
      </c>
      <c r="D43" s="612" t="s">
        <v>63</v>
      </c>
      <c r="E43" s="612">
        <f>VLOOKUP($A43,'GA Data'!$B$3:$L$162,11,FALSE)</f>
        <v>13</v>
      </c>
      <c r="F43" s="612">
        <f>VLOOKUP($A43,'GA Data'!$B$3:$L$162,8,FALSE)</f>
        <v>6</v>
      </c>
      <c r="G43" s="612" t="s">
        <v>63</v>
      </c>
      <c r="H43" s="671">
        <f>vlookup(A43,'GA Data'!$B$170:$C$329,2,FALSE)</f>
        <v>11</v>
      </c>
      <c r="I43" s="614">
        <f>vlookup(A43,'GA Data'!$A$333:$B$494,2,FALSE)</f>
        <v>3</v>
      </c>
      <c r="J43" s="615" t="s">
        <v>63</v>
      </c>
      <c r="K43" s="672" t="s">
        <v>63</v>
      </c>
      <c r="L43" s="671" t="s">
        <v>63</v>
      </c>
      <c r="M43" s="614" t="s">
        <v>63</v>
      </c>
      <c r="N43" s="612" t="s">
        <v>63</v>
      </c>
      <c r="O43" s="612" t="s">
        <v>63</v>
      </c>
      <c r="P43" s="620">
        <f>ifna(vlookup(A43,'Population &amp; Church Numbers'!$A$390:$D$548,4,FALSE),"NULL")</f>
        <v>20</v>
      </c>
      <c r="Q43" s="674" t="s">
        <v>63</v>
      </c>
    </row>
    <row r="44">
      <c r="A44" s="609" t="s">
        <v>562</v>
      </c>
      <c r="B44" s="610">
        <f t="array" ref="B44">VLOOKUP($A44,GA_DEMO,2,FALSE)</f>
        <v>26798</v>
      </c>
      <c r="C44" s="611">
        <f>VLOOKUP($A44,'GA Data'!$B$3:$L$162,2,FALSE)</f>
        <v>40</v>
      </c>
      <c r="D44" s="612" t="s">
        <v>63</v>
      </c>
      <c r="E44" s="612">
        <f>VLOOKUP($A44,'GA Data'!$B$3:$L$162,11,FALSE)</f>
        <v>24</v>
      </c>
      <c r="F44" s="612">
        <f>VLOOKUP($A44,'GA Data'!$B$3:$L$162,8,FALSE)</f>
        <v>6</v>
      </c>
      <c r="G44" s="612" t="s">
        <v>63</v>
      </c>
      <c r="H44" s="671">
        <f>vlookup(A44,'GA Data'!$B$170:$C$329,2,FALSE)</f>
        <v>11</v>
      </c>
      <c r="I44" s="614">
        <f>vlookup(A44,'GA Data'!$A$333:$B$494,2,FALSE)</f>
        <v>19</v>
      </c>
      <c r="J44" s="615" t="s">
        <v>63</v>
      </c>
      <c r="K44" s="672" t="s">
        <v>63</v>
      </c>
      <c r="L44" s="671" t="s">
        <v>63</v>
      </c>
      <c r="M44" s="614" t="s">
        <v>63</v>
      </c>
      <c r="N44" s="612" t="s">
        <v>63</v>
      </c>
      <c r="O44" s="612" t="s">
        <v>63</v>
      </c>
      <c r="P44" s="620">
        <f>ifna(vlookup(A44,'Population &amp; Church Numbers'!$A$390:$D$548,4,FALSE),"NULL")</f>
        <v>30</v>
      </c>
      <c r="Q44" s="674" t="s">
        <v>63</v>
      </c>
    </row>
    <row r="45">
      <c r="A45" s="609" t="s">
        <v>563</v>
      </c>
      <c r="B45" s="610">
        <f t="array" ref="B45">VLOOKUP($A45,GA_DEMO,2,FALSE)</f>
        <v>29367</v>
      </c>
      <c r="C45" s="611">
        <f>VLOOKUP($A45,'GA Data'!$B$3:$L$162,2,FALSE)</f>
        <v>38</v>
      </c>
      <c r="D45" s="612" t="s">
        <v>63</v>
      </c>
      <c r="E45" s="612">
        <f>VLOOKUP($A45,'GA Data'!$B$3:$L$162,11,FALSE)</f>
        <v>11</v>
      </c>
      <c r="F45" s="612">
        <f>VLOOKUP($A45,'GA Data'!$B$3:$L$162,8,FALSE)</f>
        <v>19</v>
      </c>
      <c r="G45" s="612" t="s">
        <v>63</v>
      </c>
      <c r="H45" s="671">
        <f>vlookup(A45,'GA Data'!$B$170:$C$329,2,FALSE)</f>
        <v>14</v>
      </c>
      <c r="I45" s="614">
        <f>vlookup(A45,'GA Data'!$A$333:$B$494,2,FALSE)</f>
        <v>14</v>
      </c>
      <c r="J45" s="615" t="s">
        <v>63</v>
      </c>
      <c r="K45" s="672" t="s">
        <v>63</v>
      </c>
      <c r="L45" s="671" t="s">
        <v>63</v>
      </c>
      <c r="M45" s="614" t="s">
        <v>63</v>
      </c>
      <c r="N45" s="612" t="s">
        <v>63</v>
      </c>
      <c r="O45" s="612" t="s">
        <v>63</v>
      </c>
      <c r="P45" s="620">
        <f>ifna(vlookup(A45,'Population &amp; Church Numbers'!$A$390:$D$548,4,FALSE),"NULL")</f>
        <v>36</v>
      </c>
      <c r="Q45" s="674" t="s">
        <v>63</v>
      </c>
    </row>
    <row r="46">
      <c r="A46" s="609" t="s">
        <v>131</v>
      </c>
      <c r="B46" s="610">
        <f t="array" ref="B46">VLOOKUP($A46,GA_DEMO,2,FALSE)</f>
        <v>764382</v>
      </c>
      <c r="C46" s="611">
        <f>VLOOKUP($A46,'GA Data'!$B$3:$L$162,2,FALSE)</f>
        <v>715</v>
      </c>
      <c r="D46" s="612" t="s">
        <v>63</v>
      </c>
      <c r="E46" s="612">
        <f>VLOOKUP($A46,'GA Data'!$B$3:$L$162,11,FALSE)</f>
        <v>405</v>
      </c>
      <c r="F46" s="612">
        <f>VLOOKUP($A46,'GA Data'!$B$3:$L$162,8,FALSE)</f>
        <v>149</v>
      </c>
      <c r="G46" s="612" t="s">
        <v>63</v>
      </c>
      <c r="H46" s="671">
        <f>vlookup(A46,'GA Data'!$B$170:$C$329,2,FALSE)</f>
        <v>297</v>
      </c>
      <c r="I46" s="614">
        <f>vlookup(A46,'GA Data'!$A$333:$B$494,2,FALSE)</f>
        <v>73</v>
      </c>
      <c r="J46" s="615" t="s">
        <v>63</v>
      </c>
      <c r="K46" s="672" t="s">
        <v>63</v>
      </c>
      <c r="L46" s="671" t="s">
        <v>63</v>
      </c>
      <c r="M46" s="614" t="s">
        <v>63</v>
      </c>
      <c r="N46" s="612" t="s">
        <v>63</v>
      </c>
      <c r="O46" s="612" t="s">
        <v>63</v>
      </c>
      <c r="P46" s="620">
        <f>ifna(vlookup(A46,'Population &amp; Church Numbers'!$A$390:$D$548,4,FALSE),"NULL")</f>
        <v>383</v>
      </c>
      <c r="Q46" s="674" t="s">
        <v>63</v>
      </c>
    </row>
    <row r="47">
      <c r="A47" s="609" t="s">
        <v>564</v>
      </c>
      <c r="B47" s="610">
        <f t="array" ref="B47">VLOOKUP($A47,GA_DEMO,2,FALSE)</f>
        <v>19925</v>
      </c>
      <c r="C47" s="611">
        <f>VLOOKUP($A47,'GA Data'!$B$3:$L$162,2,FALSE)</f>
        <v>43</v>
      </c>
      <c r="D47" s="612" t="s">
        <v>63</v>
      </c>
      <c r="E47" s="612">
        <f>VLOOKUP($A47,'GA Data'!$B$3:$L$162,11,FALSE)</f>
        <v>18</v>
      </c>
      <c r="F47" s="612">
        <f>VLOOKUP($A47,'GA Data'!$B$3:$L$162,8,FALSE)</f>
        <v>17</v>
      </c>
      <c r="G47" s="612" t="s">
        <v>63</v>
      </c>
      <c r="H47" s="671">
        <f>vlookup(A47,'GA Data'!$B$170:$C$329,2,FALSE)</f>
        <v>16</v>
      </c>
      <c r="I47" s="614">
        <f>vlookup(A47,'GA Data'!$A$333:$B$494,2,FALSE)</f>
        <v>0</v>
      </c>
      <c r="J47" s="615" t="s">
        <v>63</v>
      </c>
      <c r="K47" s="672" t="s">
        <v>63</v>
      </c>
      <c r="L47" s="671" t="s">
        <v>63</v>
      </c>
      <c r="M47" s="614" t="s">
        <v>63</v>
      </c>
      <c r="N47" s="612" t="s">
        <v>63</v>
      </c>
      <c r="O47" s="612" t="s">
        <v>63</v>
      </c>
      <c r="P47" s="620">
        <f>ifna(vlookup(A47,'Population &amp; Church Numbers'!$A$390:$D$548,4,FALSE),"NULL")</f>
        <v>35</v>
      </c>
      <c r="Q47" s="674" t="s">
        <v>63</v>
      </c>
    </row>
    <row r="48">
      <c r="A48" s="609" t="s">
        <v>565</v>
      </c>
      <c r="B48" s="610">
        <f t="array" ref="B48">VLOOKUP($A48,GA_DEMO,2,FALSE)</f>
        <v>11208</v>
      </c>
      <c r="C48" s="611">
        <f>VLOOKUP($A48,'GA Data'!$B$3:$L$162,2,FALSE)</f>
        <v>28</v>
      </c>
      <c r="D48" s="612" t="s">
        <v>63</v>
      </c>
      <c r="E48" s="612">
        <f>VLOOKUP($A48,'GA Data'!$B$3:$L$162,11,FALSE)</f>
        <v>16</v>
      </c>
      <c r="F48" s="612">
        <f>VLOOKUP($A48,'GA Data'!$B$3:$L$162,8,FALSE)</f>
        <v>10</v>
      </c>
      <c r="G48" s="612" t="s">
        <v>63</v>
      </c>
      <c r="H48" s="671">
        <f>vlookup(A48,'GA Data'!$B$170:$C$329,2,FALSE)</f>
        <v>1</v>
      </c>
      <c r="I48" s="614">
        <f>vlookup(A48,'GA Data'!$A$333:$B$494,2,FALSE)</f>
        <v>0</v>
      </c>
      <c r="J48" s="615" t="s">
        <v>63</v>
      </c>
      <c r="K48" s="672" t="s">
        <v>63</v>
      </c>
      <c r="L48" s="671" t="s">
        <v>63</v>
      </c>
      <c r="M48" s="614" t="s">
        <v>63</v>
      </c>
      <c r="N48" s="612" t="s">
        <v>63</v>
      </c>
      <c r="O48" s="612" t="s">
        <v>63</v>
      </c>
      <c r="P48" s="620">
        <f>ifna(vlookup(A48,'Population &amp; Church Numbers'!$A$390:$D$548,4,FALSE),"NULL")</f>
        <v>24</v>
      </c>
      <c r="Q48" s="674" t="s">
        <v>63</v>
      </c>
    </row>
    <row r="49">
      <c r="A49" s="609" t="s">
        <v>566</v>
      </c>
      <c r="B49" s="610">
        <f t="array" ref="B49">VLOOKUP($A49,GA_DEMO,2,FALSE)</f>
        <v>85790</v>
      </c>
      <c r="C49" s="611">
        <f>VLOOKUP($A49,'GA Data'!$B$3:$L$162,2,FALSE)</f>
        <v>251</v>
      </c>
      <c r="D49" s="612" t="s">
        <v>63</v>
      </c>
      <c r="E49" s="612">
        <f>VLOOKUP($A49,'GA Data'!$B$3:$L$162,11,FALSE)</f>
        <v>199</v>
      </c>
      <c r="F49" s="612">
        <f>VLOOKUP($A49,'GA Data'!$B$3:$L$162,8,FALSE)</f>
        <v>15</v>
      </c>
      <c r="G49" s="612" t="s">
        <v>63</v>
      </c>
      <c r="H49" s="671">
        <f>vlookup(A49,'GA Data'!$B$170:$C$329,2,FALSE)</f>
        <v>117</v>
      </c>
      <c r="I49" s="614">
        <f>vlookup(A49,'GA Data'!$A$333:$B$494,2,FALSE)</f>
        <v>5</v>
      </c>
      <c r="J49" s="615" t="s">
        <v>63</v>
      </c>
      <c r="K49" s="672" t="s">
        <v>63</v>
      </c>
      <c r="L49" s="671" t="s">
        <v>63</v>
      </c>
      <c r="M49" s="614" t="s">
        <v>63</v>
      </c>
      <c r="N49" s="612" t="s">
        <v>63</v>
      </c>
      <c r="O49" s="612" t="s">
        <v>63</v>
      </c>
      <c r="P49" s="620">
        <f>ifna(vlookup(A49,'Population &amp; Church Numbers'!$A$390:$D$548,4,FALSE),"NULL")</f>
        <v>125</v>
      </c>
      <c r="Q49" s="674" t="s">
        <v>63</v>
      </c>
    </row>
    <row r="50">
      <c r="A50" s="609" t="s">
        <v>412</v>
      </c>
      <c r="B50" s="610">
        <f t="array" ref="B50">VLOOKUP($A50,GA_DEMO,2,FALSE)</f>
        <v>144237</v>
      </c>
      <c r="C50" s="611">
        <f>VLOOKUP($A50,'GA Data'!$B$3:$L$162,2,FALSE)</f>
        <v>147</v>
      </c>
      <c r="D50" s="612" t="s">
        <v>63</v>
      </c>
      <c r="E50" s="612">
        <f>VLOOKUP($A50,'GA Data'!$B$3:$L$162,11,FALSE)</f>
        <v>74</v>
      </c>
      <c r="F50" s="612">
        <f>VLOOKUP($A50,'GA Data'!$B$3:$L$162,8,FALSE)</f>
        <v>35</v>
      </c>
      <c r="G50" s="612" t="s">
        <v>63</v>
      </c>
      <c r="H50" s="671">
        <f>vlookup(A50,'GA Data'!$B$170:$C$329,2,FALSE)</f>
        <v>91</v>
      </c>
      <c r="I50" s="614">
        <f>vlookup(A50,'GA Data'!$A$333:$B$494,2,FALSE)</f>
        <v>21</v>
      </c>
      <c r="J50" s="615" t="s">
        <v>63</v>
      </c>
      <c r="K50" s="672" t="s">
        <v>63</v>
      </c>
      <c r="L50" s="671" t="s">
        <v>63</v>
      </c>
      <c r="M50" s="614" t="s">
        <v>63</v>
      </c>
      <c r="N50" s="612" t="s">
        <v>63</v>
      </c>
      <c r="O50" s="612" t="s">
        <v>63</v>
      </c>
      <c r="P50" s="620">
        <f>ifna(vlookup(A50,'Population &amp; Church Numbers'!$A$390:$D$548,4,FALSE),"NULL")</f>
        <v>87</v>
      </c>
      <c r="Q50" s="674" t="s">
        <v>63</v>
      </c>
    </row>
    <row r="51">
      <c r="A51" s="609" t="s">
        <v>567</v>
      </c>
      <c r="B51" s="610">
        <f t="array" ref="B51">VLOOKUP($A51,GA_DEMO,2,FALSE)</f>
        <v>10854</v>
      </c>
      <c r="C51" s="611">
        <f>VLOOKUP($A51,'GA Data'!$B$3:$L$162,2,FALSE)</f>
        <v>4</v>
      </c>
      <c r="D51" s="612" t="s">
        <v>63</v>
      </c>
      <c r="E51" s="612">
        <f>VLOOKUP($A51,'GA Data'!$B$3:$L$162,11,FALSE)</f>
        <v>2</v>
      </c>
      <c r="F51" s="612">
        <f>VLOOKUP($A51,'GA Data'!$B$3:$L$162,8,FALSE)</f>
        <v>0</v>
      </c>
      <c r="G51" s="612" t="s">
        <v>63</v>
      </c>
      <c r="H51" s="671">
        <f>vlookup(A51,'GA Data'!$B$170:$C$329,2,FALSE)</f>
        <v>4</v>
      </c>
      <c r="I51" s="614">
        <f>vlookup(A51,'GA Data'!$A$333:$B$494,2,FALSE)</f>
        <v>2</v>
      </c>
      <c r="J51" s="615" t="s">
        <v>63</v>
      </c>
      <c r="K51" s="672" t="s">
        <v>63</v>
      </c>
      <c r="L51" s="671" t="s">
        <v>63</v>
      </c>
      <c r="M51" s="614" t="s">
        <v>63</v>
      </c>
      <c r="N51" s="612" t="s">
        <v>63</v>
      </c>
      <c r="O51" s="612" t="s">
        <v>63</v>
      </c>
      <c r="P51" s="620">
        <f>ifna(vlookup(A51,'Population &amp; Church Numbers'!$A$390:$D$548,4,FALSE),"NULL")</f>
        <v>21</v>
      </c>
      <c r="Q51" s="674" t="s">
        <v>63</v>
      </c>
    </row>
    <row r="52">
      <c r="A52" s="609" t="s">
        <v>568</v>
      </c>
      <c r="B52" s="610">
        <f t="array" ref="B52">VLOOKUP($A52,GA_DEMO,2,FALSE)</f>
        <v>3697</v>
      </c>
      <c r="C52" s="611">
        <f>VLOOKUP($A52,'GA Data'!$B$3:$L$162,2,FALSE)</f>
        <v>2</v>
      </c>
      <c r="D52" s="612" t="s">
        <v>63</v>
      </c>
      <c r="E52" s="612">
        <f>VLOOKUP($A52,'GA Data'!$B$3:$L$162,11,FALSE)</f>
        <v>2</v>
      </c>
      <c r="F52" s="612">
        <f>VLOOKUP($A52,'GA Data'!$B$3:$L$162,8,FALSE)</f>
        <v>0</v>
      </c>
      <c r="G52" s="612" t="s">
        <v>63</v>
      </c>
      <c r="H52" s="671">
        <f>vlookup(A52,'GA Data'!$B$170:$C$329,2,FALSE)</f>
        <v>0</v>
      </c>
      <c r="I52" s="614">
        <f>vlookup(A52,'GA Data'!$A$333:$B$494,2,FALSE)</f>
        <v>0</v>
      </c>
      <c r="J52" s="615" t="s">
        <v>63</v>
      </c>
      <c r="K52" s="672" t="s">
        <v>63</v>
      </c>
      <c r="L52" s="671" t="s">
        <v>63</v>
      </c>
      <c r="M52" s="614" t="s">
        <v>63</v>
      </c>
      <c r="N52" s="612" t="s">
        <v>63</v>
      </c>
      <c r="O52" s="612" t="s">
        <v>63</v>
      </c>
      <c r="P52" s="620">
        <f>ifna(vlookup(A52,'Population &amp; Church Numbers'!$A$390:$D$548,4,FALSE),"NULL")</f>
        <v>2</v>
      </c>
      <c r="Q52" s="674" t="s">
        <v>63</v>
      </c>
    </row>
    <row r="53">
      <c r="A53" s="609" t="s">
        <v>569</v>
      </c>
      <c r="B53" s="610">
        <f t="array" ref="B53">VLOOKUP($A53,GA_DEMO,2,FALSE)</f>
        <v>64769</v>
      </c>
      <c r="C53" s="611">
        <f>VLOOKUP($A53,'GA Data'!$B$3:$L$162,2,FALSE)</f>
        <v>46</v>
      </c>
      <c r="D53" s="612" t="s">
        <v>63</v>
      </c>
      <c r="E53" s="612">
        <f>VLOOKUP($A53,'GA Data'!$B$3:$L$162,11,FALSE)</f>
        <v>24</v>
      </c>
      <c r="F53" s="612">
        <f>VLOOKUP($A53,'GA Data'!$B$3:$L$162,8,FALSE)</f>
        <v>6</v>
      </c>
      <c r="G53" s="612" t="s">
        <v>63</v>
      </c>
      <c r="H53" s="671">
        <f>vlookup(A53,'GA Data'!$B$170:$C$329,2,FALSE)</f>
        <v>38</v>
      </c>
      <c r="I53" s="614">
        <f>vlookup(A53,'GA Data'!$A$333:$B$494,2,FALSE)</f>
        <v>10</v>
      </c>
      <c r="J53" s="615" t="s">
        <v>63</v>
      </c>
      <c r="K53" s="672" t="s">
        <v>63</v>
      </c>
      <c r="L53" s="671" t="s">
        <v>63</v>
      </c>
      <c r="M53" s="614" t="s">
        <v>63</v>
      </c>
      <c r="N53" s="612" t="s">
        <v>63</v>
      </c>
      <c r="O53" s="612" t="s">
        <v>63</v>
      </c>
      <c r="P53" s="620">
        <f>ifna(vlookup(A53,'Population &amp; Church Numbers'!$A$390:$D$548,4,FALSE),"NULL")</f>
        <v>90</v>
      </c>
      <c r="Q53" s="674" t="s">
        <v>63</v>
      </c>
    </row>
    <row r="54">
      <c r="A54" s="609" t="s">
        <v>414</v>
      </c>
      <c r="B54" s="610">
        <f t="array" ref="B54">VLOOKUP($A54,GA_DEMO,2,FALSE)</f>
        <v>19637</v>
      </c>
      <c r="C54" s="611">
        <f>VLOOKUP($A54,'GA Data'!$B$3:$L$162,2,FALSE)</f>
        <v>24</v>
      </c>
      <c r="D54" s="612" t="s">
        <v>63</v>
      </c>
      <c r="E54" s="612">
        <f>VLOOKUP($A54,'GA Data'!$B$3:$L$162,11,FALSE)</f>
        <v>9</v>
      </c>
      <c r="F54" s="612">
        <f>VLOOKUP($A54,'GA Data'!$B$3:$L$162,8,FALSE)</f>
        <v>6</v>
      </c>
      <c r="G54" s="612" t="s">
        <v>63</v>
      </c>
      <c r="H54" s="671">
        <f>vlookup(A54,'GA Data'!$B$170:$C$329,2,FALSE)</f>
        <v>4</v>
      </c>
      <c r="I54" s="614">
        <f>vlookup(A54,'GA Data'!$A$333:$B$494,2,FALSE)</f>
        <v>4</v>
      </c>
      <c r="J54" s="615" t="s">
        <v>63</v>
      </c>
      <c r="K54" s="672" t="s">
        <v>63</v>
      </c>
      <c r="L54" s="671" t="s">
        <v>63</v>
      </c>
      <c r="M54" s="614" t="s">
        <v>63</v>
      </c>
      <c r="N54" s="612" t="s">
        <v>63</v>
      </c>
      <c r="O54" s="612" t="s">
        <v>63</v>
      </c>
      <c r="P54" s="620">
        <f>ifna(vlookup(A54,'Population &amp; Church Numbers'!$A$390:$D$548,4,FALSE),"NULL")</f>
        <v>43</v>
      </c>
      <c r="Q54" s="674" t="s">
        <v>63</v>
      </c>
    </row>
    <row r="55">
      <c r="A55" s="609" t="s">
        <v>571</v>
      </c>
      <c r="B55" s="610">
        <f t="array" ref="B55">VLOOKUP($A55,GA_DEMO,2,FALSE)</f>
        <v>22768</v>
      </c>
      <c r="C55" s="611">
        <f>VLOOKUP($A55,'GA Data'!$B$3:$L$162,2,FALSE)</f>
        <v>18</v>
      </c>
      <c r="D55" s="612" t="s">
        <v>63</v>
      </c>
      <c r="E55" s="612">
        <f>VLOOKUP($A55,'GA Data'!$B$3:$L$162,11,FALSE)</f>
        <v>7</v>
      </c>
      <c r="F55" s="612">
        <f>VLOOKUP($A55,'GA Data'!$B$3:$L$162,8,FALSE)</f>
        <v>4</v>
      </c>
      <c r="G55" s="612" t="s">
        <v>63</v>
      </c>
      <c r="H55" s="671">
        <f>vlookup(A55,'GA Data'!$B$170:$C$329,2,FALSE)</f>
        <v>5</v>
      </c>
      <c r="I55" s="614">
        <f>vlookup(A55,'GA Data'!$A$333:$B$494,2,FALSE)</f>
        <v>8</v>
      </c>
      <c r="J55" s="615" t="s">
        <v>63</v>
      </c>
      <c r="K55" s="672" t="s">
        <v>63</v>
      </c>
      <c r="L55" s="671" t="s">
        <v>63</v>
      </c>
      <c r="M55" s="614" t="s">
        <v>63</v>
      </c>
      <c r="N55" s="612" t="s">
        <v>63</v>
      </c>
      <c r="O55" s="612" t="s">
        <v>63</v>
      </c>
      <c r="P55" s="620">
        <f>ifna(vlookup(A55,'Population &amp; Church Numbers'!$A$390:$D$548,4,FALSE),"NULL")</f>
        <v>37</v>
      </c>
      <c r="Q55" s="674" t="s">
        <v>63</v>
      </c>
    </row>
    <row r="56">
      <c r="A56" s="609" t="s">
        <v>572</v>
      </c>
      <c r="B56" s="610">
        <f t="array" ref="B56">VLOOKUP($A56,GA_DEMO,2,FALSE)</f>
        <v>10774</v>
      </c>
      <c r="C56" s="611">
        <f>VLOOKUP($A56,'GA Data'!$B$3:$L$162,2,FALSE)</f>
        <v>19</v>
      </c>
      <c r="D56" s="612" t="s">
        <v>63</v>
      </c>
      <c r="E56" s="612">
        <f>VLOOKUP($A56,'GA Data'!$B$3:$L$162,11,FALSE)</f>
        <v>8</v>
      </c>
      <c r="F56" s="612">
        <f>VLOOKUP($A56,'GA Data'!$B$3:$L$162,8,FALSE)</f>
        <v>6</v>
      </c>
      <c r="G56" s="612" t="s">
        <v>63</v>
      </c>
      <c r="H56" s="671">
        <f>vlookup(A56,'GA Data'!$B$170:$C$329,2,FALSE)</f>
        <v>5</v>
      </c>
      <c r="I56" s="614">
        <f>vlookup(A56,'GA Data'!$A$333:$B$494,2,FALSE)</f>
        <v>0</v>
      </c>
      <c r="J56" s="615" t="s">
        <v>63</v>
      </c>
      <c r="K56" s="672" t="s">
        <v>63</v>
      </c>
      <c r="L56" s="671" t="s">
        <v>63</v>
      </c>
      <c r="M56" s="614" t="s">
        <v>63</v>
      </c>
      <c r="N56" s="612" t="s">
        <v>63</v>
      </c>
      <c r="O56" s="612" t="s">
        <v>63</v>
      </c>
      <c r="P56" s="620">
        <f>ifna(vlookup(A56,'Population &amp; Church Numbers'!$A$390:$D$548,4,FALSE),"NULL")</f>
        <v>21</v>
      </c>
      <c r="Q56" s="674" t="s">
        <v>63</v>
      </c>
    </row>
    <row r="57">
      <c r="A57" s="609" t="s">
        <v>574</v>
      </c>
      <c r="B57" s="610">
        <f t="array" ref="B57">VLOOKUP($A57,GA_DEMO,2,FALSE)</f>
        <v>25319</v>
      </c>
      <c r="C57" s="611">
        <f>VLOOKUP($A57,'GA Data'!$B$3:$L$162,2,FALSE)</f>
        <v>44</v>
      </c>
      <c r="D57" s="612" t="s">
        <v>63</v>
      </c>
      <c r="E57" s="612">
        <f>VLOOKUP($A57,'GA Data'!$B$3:$L$162,11,FALSE)</f>
        <v>12</v>
      </c>
      <c r="F57" s="612">
        <f>VLOOKUP($A57,'GA Data'!$B$3:$L$162,8,FALSE)</f>
        <v>16</v>
      </c>
      <c r="G57" s="612" t="s">
        <v>63</v>
      </c>
      <c r="H57" s="671">
        <f>vlookup(A57,'GA Data'!$B$170:$C$329,2,FALSE)</f>
        <v>13</v>
      </c>
      <c r="I57" s="614">
        <f>vlookup(A57,'GA Data'!$A$333:$B$494,2,FALSE)</f>
        <v>10</v>
      </c>
      <c r="J57" s="615" t="s">
        <v>63</v>
      </c>
      <c r="K57" s="672" t="s">
        <v>63</v>
      </c>
      <c r="L57" s="671" t="s">
        <v>63</v>
      </c>
      <c r="M57" s="614" t="s">
        <v>63</v>
      </c>
      <c r="N57" s="612" t="s">
        <v>63</v>
      </c>
      <c r="O57" s="612" t="s">
        <v>63</v>
      </c>
      <c r="P57" s="620">
        <f>ifna(vlookup(A57,'Population &amp; Church Numbers'!$A$390:$D$548,4,FALSE),"NULL")</f>
        <v>38</v>
      </c>
      <c r="Q57" s="674" t="s">
        <v>63</v>
      </c>
    </row>
    <row r="58">
      <c r="A58" s="609" t="s">
        <v>135</v>
      </c>
      <c r="B58" s="610">
        <f t="array" ref="B58">VLOOKUP($A58,GA_DEMO,2,FALSE)</f>
        <v>119194</v>
      </c>
      <c r="C58" s="611">
        <f>VLOOKUP($A58,'GA Data'!$B$3:$L$162,2,FALSE)</f>
        <v>20</v>
      </c>
      <c r="D58" s="612" t="s">
        <v>63</v>
      </c>
      <c r="E58" s="612">
        <f>VLOOKUP($A58,'GA Data'!$B$3:$L$162,11,FALSE)</f>
        <v>8</v>
      </c>
      <c r="F58" s="612">
        <f>VLOOKUP($A58,'GA Data'!$B$3:$L$162,8,FALSE)</f>
        <v>5</v>
      </c>
      <c r="G58" s="612" t="s">
        <v>63</v>
      </c>
      <c r="H58" s="671">
        <f>vlookup(A58,'GA Data'!$B$170:$C$329,2,FALSE)</f>
        <v>63</v>
      </c>
      <c r="I58" s="614">
        <f>vlookup(A58,'GA Data'!$A$333:$B$494,2,FALSE)</f>
        <v>0</v>
      </c>
      <c r="J58" s="615" t="s">
        <v>63</v>
      </c>
      <c r="K58" s="672" t="s">
        <v>63</v>
      </c>
      <c r="L58" s="671" t="s">
        <v>63</v>
      </c>
      <c r="M58" s="614" t="s">
        <v>63</v>
      </c>
      <c r="N58" s="612" t="s">
        <v>63</v>
      </c>
      <c r="O58" s="612" t="s">
        <v>63</v>
      </c>
      <c r="P58" s="620">
        <f>ifna(vlookup(A58,'Population &amp; Church Numbers'!$A$390:$D$548,4,FALSE),"NULL")</f>
        <v>99</v>
      </c>
      <c r="Q58" s="674" t="s">
        <v>63</v>
      </c>
    </row>
    <row r="59">
      <c r="A59" s="609" t="s">
        <v>575</v>
      </c>
      <c r="B59" s="610">
        <f t="array" ref="B59">VLOOKUP($A59,GA_DEMO,2,FALSE)</f>
        <v>98584</v>
      </c>
      <c r="C59" s="611">
        <f>VLOOKUP($A59,'GA Data'!$B$3:$L$162,2,FALSE)</f>
        <v>134</v>
      </c>
      <c r="D59" s="612" t="s">
        <v>63</v>
      </c>
      <c r="E59" s="612">
        <f>VLOOKUP($A59,'GA Data'!$B$3:$L$162,11,FALSE)</f>
        <v>71</v>
      </c>
      <c r="F59" s="612">
        <f>VLOOKUP($A59,'GA Data'!$B$3:$L$162,8,FALSE)</f>
        <v>8</v>
      </c>
      <c r="G59" s="612" t="s">
        <v>63</v>
      </c>
      <c r="H59" s="671">
        <f>vlookup(A59,'GA Data'!$B$170:$C$329,2,FALSE)</f>
        <v>30</v>
      </c>
      <c r="I59" s="614">
        <f>vlookup(A59,'GA Data'!$A$333:$B$494,2,FALSE)</f>
        <v>29</v>
      </c>
      <c r="J59" s="615" t="s">
        <v>63</v>
      </c>
      <c r="K59" s="672" t="s">
        <v>63</v>
      </c>
      <c r="L59" s="671" t="s">
        <v>63</v>
      </c>
      <c r="M59" s="614" t="s">
        <v>63</v>
      </c>
      <c r="N59" s="612" t="s">
        <v>63</v>
      </c>
      <c r="O59" s="612" t="s">
        <v>63</v>
      </c>
      <c r="P59" s="620">
        <f>ifna(vlookup(A59,'Population &amp; Church Numbers'!$A$390:$D$548,4,FALSE),"NULL")</f>
        <v>98</v>
      </c>
      <c r="Q59" s="674" t="s">
        <v>63</v>
      </c>
    </row>
    <row r="60">
      <c r="A60" s="609" t="s">
        <v>576</v>
      </c>
      <c r="B60" s="610">
        <f t="array" ref="B60">VLOOKUP($A60,GA_DEMO,2,FALSE)</f>
        <v>251283</v>
      </c>
      <c r="C60" s="611">
        <f>VLOOKUP($A60,'GA Data'!$B$3:$L$162,2,FALSE)</f>
        <v>101</v>
      </c>
      <c r="D60" s="612" t="s">
        <v>63</v>
      </c>
      <c r="E60" s="612">
        <f>VLOOKUP($A60,'GA Data'!$B$3:$L$162,11,FALSE)</f>
        <v>56</v>
      </c>
      <c r="F60" s="612">
        <f>VLOOKUP($A60,'GA Data'!$B$3:$L$162,8,FALSE)</f>
        <v>20</v>
      </c>
      <c r="G60" s="612" t="s">
        <v>63</v>
      </c>
      <c r="H60" s="671">
        <f>vlookup(A60,'GA Data'!$B$170:$C$329,2,FALSE)</f>
        <v>93</v>
      </c>
      <c r="I60" s="614">
        <f>vlookup(A60,'GA Data'!$A$333:$B$494,2,FALSE)</f>
        <v>23</v>
      </c>
      <c r="J60" s="615" t="s">
        <v>63</v>
      </c>
      <c r="K60" s="672" t="s">
        <v>63</v>
      </c>
      <c r="L60" s="671" t="s">
        <v>63</v>
      </c>
      <c r="M60" s="614" t="s">
        <v>63</v>
      </c>
      <c r="N60" s="612" t="s">
        <v>63</v>
      </c>
      <c r="O60" s="612" t="s">
        <v>63</v>
      </c>
      <c r="P60" s="620">
        <f>ifna(vlookup(A60,'Population &amp; Church Numbers'!$A$390:$D$548,4,FALSE),"NULL")</f>
        <v>84</v>
      </c>
      <c r="Q60" s="674" t="s">
        <v>63</v>
      </c>
    </row>
    <row r="61">
      <c r="A61" s="609" t="s">
        <v>136</v>
      </c>
      <c r="B61" s="610">
        <f t="array" ref="B61">VLOOKUP($A61,GA_DEMO,2,FALSE)</f>
        <v>23424</v>
      </c>
      <c r="C61" s="611">
        <f>VLOOKUP($A61,'GA Data'!$B$3:$L$162,2,FALSE)</f>
        <v>38</v>
      </c>
      <c r="D61" s="612" t="s">
        <v>63</v>
      </c>
      <c r="E61" s="612">
        <f>VLOOKUP($A61,'GA Data'!$B$3:$L$162,11,FALSE)</f>
        <v>22</v>
      </c>
      <c r="F61" s="612">
        <f>VLOOKUP($A61,'GA Data'!$B$3:$L$162,8,FALSE)</f>
        <v>5</v>
      </c>
      <c r="G61" s="612" t="s">
        <v>63</v>
      </c>
      <c r="H61" s="671">
        <f>vlookup(A61,'GA Data'!$B$170:$C$329,2,FALSE)</f>
        <v>15</v>
      </c>
      <c r="I61" s="614">
        <f>vlookup(A61,'GA Data'!$A$333:$B$494,2,FALSE)</f>
        <v>7</v>
      </c>
      <c r="J61" s="615" t="s">
        <v>63</v>
      </c>
      <c r="K61" s="672" t="s">
        <v>63</v>
      </c>
      <c r="L61" s="671" t="s">
        <v>63</v>
      </c>
      <c r="M61" s="614" t="s">
        <v>63</v>
      </c>
      <c r="N61" s="612" t="s">
        <v>63</v>
      </c>
      <c r="O61" s="612" t="s">
        <v>63</v>
      </c>
      <c r="P61" s="620">
        <f>ifna(vlookup(A61,'Population &amp; Church Numbers'!$A$390:$D$548,4,FALSE),"NULL")</f>
        <v>42</v>
      </c>
      <c r="Q61" s="674" t="s">
        <v>63</v>
      </c>
    </row>
    <row r="62">
      <c r="A62" s="609" t="s">
        <v>275</v>
      </c>
      <c r="B62" s="610">
        <f t="array" ref="B62">VLOOKUP($A62,GA_DEMO,2,FALSE)</f>
        <v>1066710</v>
      </c>
      <c r="C62" s="611">
        <f>VLOOKUP($A62,'GA Data'!$B$3:$L$162,2,FALSE)</f>
        <v>494</v>
      </c>
      <c r="D62" s="612" t="s">
        <v>63</v>
      </c>
      <c r="E62" s="612">
        <f>VLOOKUP($A62,'GA Data'!$B$3:$L$162,11,FALSE)</f>
        <v>219</v>
      </c>
      <c r="F62" s="612">
        <f>VLOOKUP($A62,'GA Data'!$B$3:$L$162,8,FALSE)</f>
        <v>136</v>
      </c>
      <c r="G62" s="612" t="s">
        <v>63</v>
      </c>
      <c r="H62" s="671">
        <f>vlookup(A62,'GA Data'!$B$170:$C$329,2,FALSE)</f>
        <v>284</v>
      </c>
      <c r="I62" s="614">
        <f>vlookup(A62,'GA Data'!$A$333:$B$494,2,FALSE)</f>
        <v>45</v>
      </c>
      <c r="J62" s="615" t="s">
        <v>63</v>
      </c>
      <c r="K62" s="672" t="s">
        <v>63</v>
      </c>
      <c r="L62" s="671" t="s">
        <v>63</v>
      </c>
      <c r="M62" s="614" t="s">
        <v>63</v>
      </c>
      <c r="N62" s="612" t="s">
        <v>63</v>
      </c>
      <c r="O62" s="612" t="s">
        <v>63</v>
      </c>
      <c r="P62" s="620">
        <f>ifna(vlookup(A62,'Population &amp; Church Numbers'!$A$390:$D$548,4,FALSE),"NULL")</f>
        <v>556</v>
      </c>
      <c r="Q62" s="674" t="s">
        <v>63</v>
      </c>
    </row>
    <row r="63">
      <c r="A63" s="609" t="s">
        <v>579</v>
      </c>
      <c r="B63" s="610">
        <f t="array" ref="B63">VLOOKUP($A63,GA_DEMO,2,FALSE)</f>
        <v>31353</v>
      </c>
      <c r="C63" s="611">
        <f>VLOOKUP($A63,'GA Data'!$B$3:$L$162,2,FALSE)</f>
        <v>54</v>
      </c>
      <c r="D63" s="612" t="s">
        <v>63</v>
      </c>
      <c r="E63" s="612">
        <f>VLOOKUP($A63,'GA Data'!$B$3:$L$162,11,FALSE)</f>
        <v>27</v>
      </c>
      <c r="F63" s="612">
        <f>VLOOKUP($A63,'GA Data'!$B$3:$L$162,8,FALSE)</f>
        <v>17</v>
      </c>
      <c r="G63" s="612" t="s">
        <v>63</v>
      </c>
      <c r="H63" s="671">
        <f>vlookup(A63,'GA Data'!$B$170:$C$329,2,FALSE)</f>
        <v>17</v>
      </c>
      <c r="I63" s="614">
        <f>vlookup(A63,'GA Data'!$A$333:$B$494,2,FALSE)</f>
        <v>2</v>
      </c>
      <c r="J63" s="615" t="s">
        <v>63</v>
      </c>
      <c r="K63" s="672" t="s">
        <v>63</v>
      </c>
      <c r="L63" s="671" t="s">
        <v>63</v>
      </c>
      <c r="M63" s="614" t="s">
        <v>63</v>
      </c>
      <c r="N63" s="612" t="s">
        <v>63</v>
      </c>
      <c r="O63" s="612" t="s">
        <v>63</v>
      </c>
      <c r="P63" s="620">
        <f>ifna(vlookup(A63,'Population &amp; Church Numbers'!$A$390:$D$548,4,FALSE),"NULL")</f>
        <v>37</v>
      </c>
      <c r="Q63" s="674" t="s">
        <v>63</v>
      </c>
    </row>
    <row r="64">
      <c r="A64" s="609" t="s">
        <v>581</v>
      </c>
      <c r="B64" s="610">
        <f t="array" ref="B64">VLOOKUP($A64,GA_DEMO,2,FALSE)</f>
        <v>2884</v>
      </c>
      <c r="C64" s="611">
        <f>VLOOKUP($A64,'GA Data'!$B$3:$L$162,2,FALSE)</f>
        <v>5</v>
      </c>
      <c r="D64" s="612" t="s">
        <v>63</v>
      </c>
      <c r="E64" s="612">
        <f>VLOOKUP($A64,'GA Data'!$B$3:$L$162,11,FALSE)</f>
        <v>1</v>
      </c>
      <c r="F64" s="612">
        <f>VLOOKUP($A64,'GA Data'!$B$3:$L$162,8,FALSE)</f>
        <v>3</v>
      </c>
      <c r="G64" s="612" t="s">
        <v>63</v>
      </c>
      <c r="H64" s="671">
        <f>vlookup(A64,'GA Data'!$B$170:$C$329,2,FALSE)</f>
        <v>2</v>
      </c>
      <c r="I64" s="614">
        <f>vlookup(A64,'GA Data'!$A$333:$B$494,2,FALSE)</f>
        <v>0</v>
      </c>
      <c r="J64" s="615" t="s">
        <v>63</v>
      </c>
      <c r="K64" s="672" t="s">
        <v>63</v>
      </c>
      <c r="L64" s="671" t="s">
        <v>63</v>
      </c>
      <c r="M64" s="614" t="s">
        <v>63</v>
      </c>
      <c r="N64" s="612" t="s">
        <v>63</v>
      </c>
      <c r="O64" s="612" t="s">
        <v>63</v>
      </c>
      <c r="P64" s="620">
        <f>ifna(vlookup(A64,'Population &amp; Church Numbers'!$A$390:$D$548,4,FALSE),"NULL")</f>
        <v>7</v>
      </c>
      <c r="Q64" s="674" t="s">
        <v>63</v>
      </c>
    </row>
    <row r="65">
      <c r="A65" s="609" t="s">
        <v>582</v>
      </c>
      <c r="B65" s="610">
        <f t="array" ref="B65">VLOOKUP($A65,GA_DEMO,2,FALSE)</f>
        <v>84499</v>
      </c>
      <c r="C65" s="611">
        <f>VLOOKUP($A65,'GA Data'!$B$3:$L$162,2,FALSE)</f>
        <v>86</v>
      </c>
      <c r="D65" s="612" t="s">
        <v>63</v>
      </c>
      <c r="E65" s="612">
        <f>VLOOKUP($A65,'GA Data'!$B$3:$L$162,11,FALSE)</f>
        <v>49</v>
      </c>
      <c r="F65" s="612">
        <f>VLOOKUP($A65,'GA Data'!$B$3:$L$162,8,FALSE)</f>
        <v>16</v>
      </c>
      <c r="G65" s="612" t="s">
        <v>63</v>
      </c>
      <c r="H65" s="671">
        <f>vlookup(A65,'GA Data'!$B$170:$C$329,2,FALSE)</f>
        <v>52</v>
      </c>
      <c r="I65" s="614">
        <f>vlookup(A65,'GA Data'!$A$333:$B$494,2,FALSE)</f>
        <v>23</v>
      </c>
      <c r="J65" s="615" t="s">
        <v>63</v>
      </c>
      <c r="K65" s="672" t="s">
        <v>63</v>
      </c>
      <c r="L65" s="671" t="s">
        <v>63</v>
      </c>
      <c r="M65" s="614" t="s">
        <v>63</v>
      </c>
      <c r="N65" s="612" t="s">
        <v>63</v>
      </c>
      <c r="O65" s="612" t="s">
        <v>63</v>
      </c>
      <c r="P65" s="620">
        <f>ifna(vlookup(A65,'Population &amp; Church Numbers'!$A$390:$D$548,4,FALSE),"NULL")</f>
        <v>104</v>
      </c>
      <c r="Q65" s="674" t="s">
        <v>63</v>
      </c>
    </row>
    <row r="66">
      <c r="A66" s="609" t="s">
        <v>583</v>
      </c>
      <c r="B66" s="610">
        <f t="array" ref="B66">VLOOKUP($A66,GA_DEMO,2,FALSE)</f>
        <v>57544</v>
      </c>
      <c r="C66" s="611">
        <f>VLOOKUP($A66,'GA Data'!$B$3:$L$162,2,FALSE)</f>
        <v>117</v>
      </c>
      <c r="D66" s="612" t="s">
        <v>63</v>
      </c>
      <c r="E66" s="612">
        <f>VLOOKUP($A66,'GA Data'!$B$3:$L$162,11,FALSE)</f>
        <v>59</v>
      </c>
      <c r="F66" s="612">
        <f>VLOOKUP($A66,'GA Data'!$B$3:$L$162,8,FALSE)</f>
        <v>33</v>
      </c>
      <c r="G66" s="612" t="s">
        <v>63</v>
      </c>
      <c r="H66" s="671">
        <f>vlookup(A66,'GA Data'!$B$170:$C$329,2,FALSE)</f>
        <v>50</v>
      </c>
      <c r="I66" s="614">
        <f>vlookup(A66,'GA Data'!$A$333:$B$494,2,FALSE)</f>
        <v>19</v>
      </c>
      <c r="J66" s="615" t="s">
        <v>63</v>
      </c>
      <c r="K66" s="672" t="s">
        <v>63</v>
      </c>
      <c r="L66" s="671" t="s">
        <v>63</v>
      </c>
      <c r="M66" s="614" t="s">
        <v>63</v>
      </c>
      <c r="N66" s="612" t="s">
        <v>63</v>
      </c>
      <c r="O66" s="612" t="s">
        <v>63</v>
      </c>
      <c r="P66" s="620">
        <f>ifna(vlookup(A66,'Population &amp; Church Numbers'!$A$390:$D$548,4,FALSE),"NULL")</f>
        <v>54</v>
      </c>
      <c r="Q66" s="674" t="s">
        <v>63</v>
      </c>
    </row>
    <row r="67">
      <c r="A67" s="609" t="s">
        <v>584</v>
      </c>
      <c r="B67" s="610">
        <f t="array" ref="B67">VLOOKUP($A67,GA_DEMO,2,FALSE)</f>
        <v>26236</v>
      </c>
      <c r="C67" s="611">
        <f>VLOOKUP($A67,'GA Data'!$B$3:$L$162,2,FALSE)</f>
        <v>20</v>
      </c>
      <c r="D67" s="612" t="s">
        <v>63</v>
      </c>
      <c r="E67" s="612">
        <f>VLOOKUP($A67,'GA Data'!$B$3:$L$162,11,FALSE)</f>
        <v>6</v>
      </c>
      <c r="F67" s="612">
        <f>VLOOKUP($A67,'GA Data'!$B$3:$L$162,8,FALSE)</f>
        <v>0</v>
      </c>
      <c r="G67" s="612" t="s">
        <v>63</v>
      </c>
      <c r="H67" s="671">
        <f>vlookup(A67,'GA Data'!$B$170:$C$329,2,FALSE)</f>
        <v>15</v>
      </c>
      <c r="I67" s="614">
        <f>vlookup(A67,'GA Data'!$A$333:$B$494,2,FALSE)</f>
        <v>12</v>
      </c>
      <c r="J67" s="615" t="s">
        <v>63</v>
      </c>
      <c r="K67" s="672" t="s">
        <v>63</v>
      </c>
      <c r="L67" s="671" t="s">
        <v>63</v>
      </c>
      <c r="M67" s="614" t="s">
        <v>63</v>
      </c>
      <c r="N67" s="612" t="s">
        <v>63</v>
      </c>
      <c r="O67" s="612" t="s">
        <v>63</v>
      </c>
      <c r="P67" s="620">
        <f>ifna(vlookup(A67,'Population &amp; Church Numbers'!$A$390:$D$548,4,FALSE),"NULL")</f>
        <v>49</v>
      </c>
      <c r="Q67" s="674" t="s">
        <v>63</v>
      </c>
    </row>
    <row r="68">
      <c r="A68" s="609" t="s">
        <v>138</v>
      </c>
      <c r="B68" s="610">
        <f t="array" ref="B68">VLOOKUP($A68,GA_DEMO,2,FALSE)</f>
        <v>18915</v>
      </c>
      <c r="C68" s="611">
        <f>VLOOKUP($A68,'GA Data'!$B$3:$L$162,2,FALSE)</f>
        <v>49</v>
      </c>
      <c r="D68" s="612" t="s">
        <v>63</v>
      </c>
      <c r="E68" s="612">
        <f>VLOOKUP($A68,'GA Data'!$B$3:$L$162,11,FALSE)</f>
        <v>33</v>
      </c>
      <c r="F68" s="612">
        <f>VLOOKUP($A68,'GA Data'!$B$3:$L$162,8,FALSE)</f>
        <v>2</v>
      </c>
      <c r="G68" s="612" t="s">
        <v>63</v>
      </c>
      <c r="H68" s="671">
        <f>vlookup(A68,'GA Data'!$B$170:$C$329,2,FALSE)</f>
        <v>7</v>
      </c>
      <c r="I68" s="614">
        <f>vlookup(A68,'GA Data'!$A$333:$B$494,2,FALSE)</f>
        <v>7</v>
      </c>
      <c r="J68" s="615" t="s">
        <v>63</v>
      </c>
      <c r="K68" s="672" t="s">
        <v>63</v>
      </c>
      <c r="L68" s="671" t="s">
        <v>63</v>
      </c>
      <c r="M68" s="614" t="s">
        <v>63</v>
      </c>
      <c r="N68" s="612" t="s">
        <v>63</v>
      </c>
      <c r="O68" s="612" t="s">
        <v>63</v>
      </c>
      <c r="P68" s="620">
        <f>ifna(vlookup(A68,'Population &amp; Church Numbers'!$A$390:$D$548,4,FALSE),"NULL")</f>
        <v>32</v>
      </c>
      <c r="Q68" s="674" t="s">
        <v>63</v>
      </c>
    </row>
    <row r="69">
      <c r="A69" s="609" t="s">
        <v>460</v>
      </c>
      <c r="B69" s="610">
        <f t="array" ref="B69">VLOOKUP($A69,GA_DEMO,2,FALSE)</f>
        <v>957062</v>
      </c>
      <c r="C69" s="611">
        <f>VLOOKUP($A69,'GA Data'!$B$3:$L$162,2,FALSE)</f>
        <v>425</v>
      </c>
      <c r="D69" s="612" t="s">
        <v>63</v>
      </c>
      <c r="E69" s="612">
        <f>VLOOKUP($A69,'GA Data'!$B$3:$L$162,11,FALSE)</f>
        <v>259</v>
      </c>
      <c r="F69" s="612">
        <f>VLOOKUP($A69,'GA Data'!$B$3:$L$162,8,FALSE)</f>
        <v>77</v>
      </c>
      <c r="G69" s="612" t="s">
        <v>63</v>
      </c>
      <c r="H69" s="671">
        <f>vlookup(A69,'GA Data'!$B$170:$C$329,2,FALSE)</f>
        <v>372</v>
      </c>
      <c r="I69" s="614">
        <f>vlookup(A69,'GA Data'!$A$333:$B$494,2,FALSE)</f>
        <v>44</v>
      </c>
      <c r="J69" s="615" t="s">
        <v>63</v>
      </c>
      <c r="K69" s="672" t="s">
        <v>63</v>
      </c>
      <c r="L69" s="671" t="s">
        <v>63</v>
      </c>
      <c r="M69" s="614" t="s">
        <v>63</v>
      </c>
      <c r="N69" s="612" t="s">
        <v>63</v>
      </c>
      <c r="O69" s="612" t="s">
        <v>63</v>
      </c>
      <c r="P69" s="620">
        <f>ifna(vlookup(A69,'Population &amp; Church Numbers'!$A$390:$D$548,4,FALSE),"NULL")</f>
        <v>341</v>
      </c>
      <c r="Q69" s="674" t="s">
        <v>63</v>
      </c>
    </row>
    <row r="70">
      <c r="A70" s="609" t="s">
        <v>585</v>
      </c>
      <c r="B70" s="610">
        <f t="array" ref="B70">VLOOKUP($A70,GA_DEMO,2,FALSE)</f>
        <v>46031</v>
      </c>
      <c r="C70" s="611">
        <f>VLOOKUP($A70,'GA Data'!$B$3:$L$162,2,FALSE)</f>
        <v>78</v>
      </c>
      <c r="D70" s="612" t="s">
        <v>63</v>
      </c>
      <c r="E70" s="612">
        <f>VLOOKUP($A70,'GA Data'!$B$3:$L$162,11,FALSE)</f>
        <v>48</v>
      </c>
      <c r="F70" s="612">
        <f>VLOOKUP($A70,'GA Data'!$B$3:$L$162,8,FALSE)</f>
        <v>14</v>
      </c>
      <c r="G70" s="612" t="s">
        <v>63</v>
      </c>
      <c r="H70" s="671">
        <f>vlookup(A70,'GA Data'!$B$170:$C$329,2,FALSE)</f>
        <v>26</v>
      </c>
      <c r="I70" s="614">
        <f>vlookup(A70,'GA Data'!$A$333:$B$494,2,FALSE)</f>
        <v>24</v>
      </c>
      <c r="J70" s="615" t="s">
        <v>63</v>
      </c>
      <c r="K70" s="672" t="s">
        <v>63</v>
      </c>
      <c r="L70" s="671" t="s">
        <v>63</v>
      </c>
      <c r="M70" s="614" t="s">
        <v>63</v>
      </c>
      <c r="N70" s="612" t="s">
        <v>63</v>
      </c>
      <c r="O70" s="612" t="s">
        <v>63</v>
      </c>
      <c r="P70" s="620">
        <f>ifna(vlookup(A70,'Population &amp; Church Numbers'!$A$390:$D$548,4,FALSE),"NULL")</f>
        <v>64</v>
      </c>
      <c r="Q70" s="674" t="s">
        <v>63</v>
      </c>
    </row>
    <row r="71">
      <c r="A71" s="609" t="s">
        <v>586</v>
      </c>
      <c r="B71" s="610">
        <f t="array" ref="B71">VLOOKUP($A71,GA_DEMO,2,FALSE)</f>
        <v>203136</v>
      </c>
      <c r="C71" s="611">
        <f>VLOOKUP($A71,'GA Data'!$B$3:$L$162,2,FALSE)</f>
        <v>311</v>
      </c>
      <c r="D71" s="612" t="s">
        <v>63</v>
      </c>
      <c r="E71" s="612">
        <f>VLOOKUP($A71,'GA Data'!$B$3:$L$162,11,FALSE)</f>
        <v>178</v>
      </c>
      <c r="F71" s="612">
        <f>VLOOKUP($A71,'GA Data'!$B$3:$L$162,8,FALSE)</f>
        <v>57</v>
      </c>
      <c r="G71" s="612" t="s">
        <v>63</v>
      </c>
      <c r="H71" s="671">
        <f>vlookup(A71,'GA Data'!$B$170:$C$329,2,FALSE)</f>
        <v>91</v>
      </c>
      <c r="I71" s="614">
        <f>vlookup(A71,'GA Data'!$A$333:$B$494,2,FALSE)</f>
        <v>84</v>
      </c>
      <c r="J71" s="615" t="s">
        <v>63</v>
      </c>
      <c r="K71" s="672" t="s">
        <v>63</v>
      </c>
      <c r="L71" s="671" t="s">
        <v>63</v>
      </c>
      <c r="M71" s="614" t="s">
        <v>63</v>
      </c>
      <c r="N71" s="612" t="s">
        <v>63</v>
      </c>
      <c r="O71" s="612" t="s">
        <v>63</v>
      </c>
      <c r="P71" s="620">
        <f>ifna(vlookup(A71,'Population &amp; Church Numbers'!$A$390:$D$548,4,FALSE),"NULL")</f>
        <v>128</v>
      </c>
      <c r="Q71" s="674" t="s">
        <v>63</v>
      </c>
    </row>
    <row r="72">
      <c r="A72" s="609" t="s">
        <v>587</v>
      </c>
      <c r="B72" s="610">
        <f t="array" ref="B72">VLOOKUP($A72,GA_DEMO,2,FALSE)</f>
        <v>8735</v>
      </c>
      <c r="C72" s="611">
        <f>VLOOKUP($A72,'GA Data'!$B$3:$L$162,2,FALSE)</f>
        <v>25</v>
      </c>
      <c r="D72" s="612" t="s">
        <v>63</v>
      </c>
      <c r="E72" s="612">
        <f>VLOOKUP($A72,'GA Data'!$B$3:$L$162,11,FALSE)</f>
        <v>20</v>
      </c>
      <c r="F72" s="612">
        <f>VLOOKUP($A72,'GA Data'!$B$3:$L$162,8,FALSE)</f>
        <v>3</v>
      </c>
      <c r="G72" s="612" t="s">
        <v>63</v>
      </c>
      <c r="H72" s="671">
        <f>vlookup(A72,'GA Data'!$B$170:$C$329,2,FALSE)</f>
        <v>2</v>
      </c>
      <c r="I72" s="614">
        <f>vlookup(A72,'GA Data'!$A$333:$B$494,2,FALSE)</f>
        <v>1</v>
      </c>
      <c r="J72" s="615" t="s">
        <v>63</v>
      </c>
      <c r="K72" s="672" t="s">
        <v>63</v>
      </c>
      <c r="L72" s="671" t="s">
        <v>63</v>
      </c>
      <c r="M72" s="614" t="s">
        <v>63</v>
      </c>
      <c r="N72" s="612" t="s">
        <v>63</v>
      </c>
      <c r="O72" s="612" t="s">
        <v>63</v>
      </c>
      <c r="P72" s="620">
        <f>ifna(vlookup(A72,'Population &amp; Church Numbers'!$A$390:$D$548,4,FALSE),"NULL")</f>
        <v>18</v>
      </c>
      <c r="Q72" s="674" t="s">
        <v>63</v>
      </c>
    </row>
    <row r="73">
      <c r="A73" s="609" t="s">
        <v>588</v>
      </c>
      <c r="B73" s="610">
        <f t="array" ref="B73">VLOOKUP($A73,GA_DEMO,2,FALSE)</f>
        <v>29919</v>
      </c>
      <c r="C73" s="611">
        <f>VLOOKUP($A73,'GA Data'!$B$3:$L$162,2,FALSE)</f>
        <v>51</v>
      </c>
      <c r="D73" s="612" t="s">
        <v>63</v>
      </c>
      <c r="E73" s="612">
        <f>VLOOKUP($A73,'GA Data'!$B$3:$L$162,11,FALSE)</f>
        <v>25</v>
      </c>
      <c r="F73" s="612">
        <f>VLOOKUP($A73,'GA Data'!$B$3:$L$162,8,FALSE)</f>
        <v>18</v>
      </c>
      <c r="G73" s="612" t="s">
        <v>63</v>
      </c>
      <c r="H73" s="671">
        <f>vlookup(A73,'GA Data'!$B$170:$C$329,2,FALSE)</f>
        <v>11</v>
      </c>
      <c r="I73" s="614">
        <f>vlookup(A73,'GA Data'!$A$333:$B$494,2,FALSE)</f>
        <v>8</v>
      </c>
      <c r="J73" s="615" t="s">
        <v>63</v>
      </c>
      <c r="K73" s="672" t="s">
        <v>63</v>
      </c>
      <c r="L73" s="671" t="s">
        <v>63</v>
      </c>
      <c r="M73" s="614" t="s">
        <v>63</v>
      </c>
      <c r="N73" s="612" t="s">
        <v>63</v>
      </c>
      <c r="O73" s="612" t="s">
        <v>63</v>
      </c>
      <c r="P73" s="620">
        <f>ifna(vlookup(A73,'Population &amp; Church Numbers'!$A$390:$D$548,4,FALSE),"NULL")</f>
        <v>40</v>
      </c>
      <c r="Q73" s="674" t="s">
        <v>63</v>
      </c>
    </row>
    <row r="74">
      <c r="A74" s="609" t="s">
        <v>218</v>
      </c>
      <c r="B74" s="610">
        <f t="array" ref="B74">VLOOKUP($A74,GA_DEMO,2,FALSE)</f>
        <v>34668</v>
      </c>
      <c r="C74" s="611">
        <f>VLOOKUP($A74,'GA Data'!$B$3:$L$162,2,FALSE)</f>
        <v>19</v>
      </c>
      <c r="D74" s="612" t="s">
        <v>63</v>
      </c>
      <c r="E74" s="612">
        <f>VLOOKUP($A74,'GA Data'!$B$3:$L$162,11,FALSE)</f>
        <v>8</v>
      </c>
      <c r="F74" s="612">
        <f>VLOOKUP($A74,'GA Data'!$B$3:$L$162,8,FALSE)</f>
        <v>5</v>
      </c>
      <c r="G74" s="612" t="s">
        <v>63</v>
      </c>
      <c r="H74" s="671">
        <f>vlookup(A74,'GA Data'!$B$170:$C$329,2,FALSE)</f>
        <v>27</v>
      </c>
      <c r="I74" s="614">
        <f>vlookup(A74,'GA Data'!$A$333:$B$494,2,FALSE)</f>
        <v>7</v>
      </c>
      <c r="J74" s="615" t="s">
        <v>63</v>
      </c>
      <c r="K74" s="672" t="s">
        <v>63</v>
      </c>
      <c r="L74" s="671" t="s">
        <v>63</v>
      </c>
      <c r="M74" s="614" t="s">
        <v>63</v>
      </c>
      <c r="N74" s="612" t="s">
        <v>63</v>
      </c>
      <c r="O74" s="612" t="s">
        <v>63</v>
      </c>
      <c r="P74" s="620">
        <f>ifna(vlookup(A74,'Population &amp; Church Numbers'!$A$390:$D$548,4,FALSE),"NULL")</f>
        <v>37</v>
      </c>
      <c r="Q74" s="674" t="s">
        <v>63</v>
      </c>
    </row>
    <row r="75">
      <c r="A75" s="609" t="s">
        <v>589</v>
      </c>
      <c r="B75" s="610">
        <f t="array" ref="B75">VLOOKUP($A75,GA_DEMO,2,FALSE)</f>
        <v>25828</v>
      </c>
      <c r="C75" s="611">
        <f>VLOOKUP($A75,'GA Data'!$B$3:$L$162,2,FALSE)</f>
        <v>30</v>
      </c>
      <c r="D75" s="612" t="s">
        <v>63</v>
      </c>
      <c r="E75" s="612">
        <f>VLOOKUP($A75,'GA Data'!$B$3:$L$162,11,FALSE)</f>
        <v>13</v>
      </c>
      <c r="F75" s="612">
        <f>VLOOKUP($A75,'GA Data'!$B$3:$L$162,8,FALSE)</f>
        <v>1</v>
      </c>
      <c r="G75" s="612" t="s">
        <v>63</v>
      </c>
      <c r="H75" s="671">
        <f>vlookup(A75,'GA Data'!$B$170:$C$329,2,FALSE)</f>
        <v>13</v>
      </c>
      <c r="I75" s="614">
        <f>vlookup(A75,'GA Data'!$A$333:$B$494,2,FALSE)</f>
        <v>10</v>
      </c>
      <c r="J75" s="615" t="s">
        <v>63</v>
      </c>
      <c r="K75" s="672" t="s">
        <v>63</v>
      </c>
      <c r="L75" s="671" t="s">
        <v>63</v>
      </c>
      <c r="M75" s="614" t="s">
        <v>63</v>
      </c>
      <c r="N75" s="612" t="s">
        <v>63</v>
      </c>
      <c r="O75" s="612" t="s">
        <v>63</v>
      </c>
      <c r="P75" s="620">
        <f>ifna(vlookup(A75,'Population &amp; Church Numbers'!$A$390:$D$548,4,FALSE),"NULL")</f>
        <v>40</v>
      </c>
      <c r="Q75" s="674" t="s">
        <v>63</v>
      </c>
    </row>
    <row r="76">
      <c r="A76" s="609" t="s">
        <v>590</v>
      </c>
      <c r="B76" s="610">
        <f t="array" ref="B76">VLOOKUP($A76,GA_DEMO,2,FALSE)</f>
        <v>11412</v>
      </c>
      <c r="C76" s="611">
        <f>VLOOKUP($A76,'GA Data'!$B$3:$L$162,2,FALSE)</f>
        <v>13</v>
      </c>
      <c r="D76" s="612" t="s">
        <v>63</v>
      </c>
      <c r="E76" s="612">
        <f>VLOOKUP($A76,'GA Data'!$B$3:$L$162,11,FALSE)</f>
        <v>4</v>
      </c>
      <c r="F76" s="612">
        <f>VLOOKUP($A76,'GA Data'!$B$3:$L$162,8,FALSE)</f>
        <v>6</v>
      </c>
      <c r="G76" s="612" t="s">
        <v>63</v>
      </c>
      <c r="H76" s="671">
        <f>vlookup(A76,'GA Data'!$B$170:$C$329,2,FALSE)</f>
        <v>7</v>
      </c>
      <c r="I76" s="614">
        <f>vlookup(A76,'GA Data'!$A$333:$B$494,2,FALSE)</f>
        <v>0</v>
      </c>
      <c r="J76" s="615" t="s">
        <v>63</v>
      </c>
      <c r="K76" s="672" t="s">
        <v>63</v>
      </c>
      <c r="L76" s="671" t="s">
        <v>63</v>
      </c>
      <c r="M76" s="614" t="s">
        <v>63</v>
      </c>
      <c r="N76" s="612" t="s">
        <v>63</v>
      </c>
      <c r="O76" s="612" t="s">
        <v>63</v>
      </c>
      <c r="P76" s="620">
        <f>ifna(vlookup(A76,'Population &amp; Church Numbers'!$A$390:$D$548,4,FALSE),"NULL")</f>
        <v>11</v>
      </c>
      <c r="Q76" s="674" t="s">
        <v>63</v>
      </c>
    </row>
    <row r="77">
      <c r="A77" s="609" t="s">
        <v>140</v>
      </c>
      <c r="B77" s="610">
        <f t="array" ref="B77">VLOOKUP($A77,GA_DEMO,2,FALSE)</f>
        <v>240712</v>
      </c>
      <c r="C77" s="611">
        <f>VLOOKUP($A77,'GA Data'!$B$3:$L$162,2,FALSE)</f>
        <v>86</v>
      </c>
      <c r="D77" s="612" t="s">
        <v>63</v>
      </c>
      <c r="E77" s="612">
        <f>VLOOKUP($A77,'GA Data'!$B$3:$L$162,11,FALSE)</f>
        <v>48</v>
      </c>
      <c r="F77" s="612">
        <f>VLOOKUP($A77,'GA Data'!$B$3:$L$162,8,FALSE)</f>
        <v>13</v>
      </c>
      <c r="G77" s="612" t="s">
        <v>63</v>
      </c>
      <c r="H77" s="671">
        <f>vlookup(A77,'GA Data'!$B$170:$C$329,2,FALSE)</f>
        <v>179</v>
      </c>
      <c r="I77" s="614">
        <f>vlookup(A77,'GA Data'!$A$333:$B$494,2,FALSE)</f>
        <v>21</v>
      </c>
      <c r="J77" s="615" t="s">
        <v>63</v>
      </c>
      <c r="K77" s="672" t="s">
        <v>63</v>
      </c>
      <c r="L77" s="671" t="s">
        <v>63</v>
      </c>
      <c r="M77" s="614" t="s">
        <v>63</v>
      </c>
      <c r="N77" s="612" t="s">
        <v>63</v>
      </c>
      <c r="O77" s="612" t="s">
        <v>63</v>
      </c>
      <c r="P77" s="620">
        <f>ifna(vlookup(A77,'Population &amp; Church Numbers'!$A$390:$D$548,4,FALSE),"NULL")</f>
        <v>148</v>
      </c>
      <c r="Q77" s="674" t="s">
        <v>63</v>
      </c>
    </row>
    <row r="78">
      <c r="A78" s="609" t="s">
        <v>141</v>
      </c>
      <c r="B78" s="610">
        <f t="array" ref="B78">VLOOKUP($A78,GA_DEMO,2,FALSE)</f>
        <v>163633</v>
      </c>
      <c r="C78" s="611">
        <f>VLOOKUP($A78,'GA Data'!$B$3:$L$162,2,FALSE)</f>
        <v>159</v>
      </c>
      <c r="D78" s="612" t="s">
        <v>63</v>
      </c>
      <c r="E78" s="612">
        <f>VLOOKUP($A78,'GA Data'!$B$3:$L$162,11,FALSE)</f>
        <v>97</v>
      </c>
      <c r="F78" s="612">
        <f>VLOOKUP($A78,'GA Data'!$B$3:$L$162,8,FALSE)</f>
        <v>29</v>
      </c>
      <c r="G78" s="612" t="s">
        <v>63</v>
      </c>
      <c r="H78" s="671">
        <f>vlookup(A78,'GA Data'!$B$170:$C$329,2,FALSE)</f>
        <v>122</v>
      </c>
      <c r="I78" s="614">
        <f>vlookup(A78,'GA Data'!$A$333:$B$494,2,FALSE)</f>
        <v>10</v>
      </c>
      <c r="J78" s="615" t="s">
        <v>63</v>
      </c>
      <c r="K78" s="672" t="s">
        <v>63</v>
      </c>
      <c r="L78" s="671" t="s">
        <v>63</v>
      </c>
      <c r="M78" s="614" t="s">
        <v>63</v>
      </c>
      <c r="N78" s="612" t="s">
        <v>63</v>
      </c>
      <c r="O78" s="612" t="s">
        <v>63</v>
      </c>
      <c r="P78" s="620">
        <f>ifna(vlookup(A78,'Population &amp; Church Numbers'!$A$390:$D$548,4,FALSE),"NULL")</f>
        <v>137</v>
      </c>
      <c r="Q78" s="674" t="s">
        <v>63</v>
      </c>
    </row>
    <row r="79">
      <c r="A79" s="609" t="s">
        <v>591</v>
      </c>
      <c r="B79" s="610">
        <f t="array" ref="B79">VLOOKUP($A79,GA_DEMO,2,FALSE)</f>
        <v>9666</v>
      </c>
      <c r="C79" s="611">
        <f>VLOOKUP($A79,'GA Data'!$B$3:$L$162,2,FALSE)</f>
        <v>26</v>
      </c>
      <c r="D79" s="612" t="s">
        <v>63</v>
      </c>
      <c r="E79" s="612">
        <f>VLOOKUP($A79,'GA Data'!$B$3:$L$162,11,FALSE)</f>
        <v>11</v>
      </c>
      <c r="F79" s="612">
        <f>VLOOKUP($A79,'GA Data'!$B$3:$L$162,8,FALSE)</f>
        <v>4</v>
      </c>
      <c r="G79" s="612" t="s">
        <v>63</v>
      </c>
      <c r="H79" s="671">
        <f>vlookup(A79,'GA Data'!$B$170:$C$329,2,FALSE)</f>
        <v>2</v>
      </c>
      <c r="I79" s="614">
        <f>vlookup(A79,'GA Data'!$A$333:$B$494,2,FALSE)</f>
        <v>1</v>
      </c>
      <c r="J79" s="615" t="s">
        <v>63</v>
      </c>
      <c r="K79" s="672" t="s">
        <v>63</v>
      </c>
      <c r="L79" s="671" t="s">
        <v>63</v>
      </c>
      <c r="M79" s="614" t="s">
        <v>63</v>
      </c>
      <c r="N79" s="612" t="s">
        <v>63</v>
      </c>
      <c r="O79" s="612" t="s">
        <v>63</v>
      </c>
      <c r="P79" s="620">
        <f>ifna(vlookup(A79,'Population &amp; Church Numbers'!$A$390:$D$548,4,FALSE),"NULL")</f>
        <v>13</v>
      </c>
      <c r="Q79" s="674" t="s">
        <v>63</v>
      </c>
    </row>
    <row r="80">
      <c r="A80" s="609" t="s">
        <v>142</v>
      </c>
      <c r="B80" s="610">
        <f t="array" ref="B80">VLOOKUP($A80,GA_DEMO,2,FALSE)</f>
        <v>75907</v>
      </c>
      <c r="C80" s="611">
        <f>VLOOKUP($A80,'GA Data'!$B$3:$L$162,2,FALSE)</f>
        <v>50</v>
      </c>
      <c r="D80" s="612" t="s">
        <v>63</v>
      </c>
      <c r="E80" s="612">
        <f>VLOOKUP($A80,'GA Data'!$B$3:$L$162,11,FALSE)</f>
        <v>28</v>
      </c>
      <c r="F80" s="612">
        <f>VLOOKUP($A80,'GA Data'!$B$3:$L$162,8,FALSE)</f>
        <v>3</v>
      </c>
      <c r="G80" s="612" t="s">
        <v>63</v>
      </c>
      <c r="H80" s="671">
        <f>vlookup(A80,'GA Data'!$B$170:$C$329,2,FALSE)</f>
        <v>37</v>
      </c>
      <c r="I80" s="614">
        <f>vlookup(A80,'GA Data'!$A$333:$B$494,2,FALSE)</f>
        <v>21</v>
      </c>
      <c r="J80" s="615" t="s">
        <v>63</v>
      </c>
      <c r="K80" s="672" t="s">
        <v>63</v>
      </c>
      <c r="L80" s="671" t="s">
        <v>63</v>
      </c>
      <c r="M80" s="614" t="s">
        <v>63</v>
      </c>
      <c r="N80" s="612" t="s">
        <v>63</v>
      </c>
      <c r="O80" s="612" t="s">
        <v>63</v>
      </c>
      <c r="P80" s="620">
        <f>ifna(vlookup(A80,'Population &amp; Church Numbers'!$A$390:$D$548,4,FALSE),"NULL")</f>
        <v>72</v>
      </c>
      <c r="Q80" s="674" t="s">
        <v>63</v>
      </c>
    </row>
    <row r="81">
      <c r="A81" s="609" t="s">
        <v>593</v>
      </c>
      <c r="B81" s="610">
        <f t="array" ref="B81">VLOOKUP($A81,GA_DEMO,2,FALSE)</f>
        <v>14588</v>
      </c>
      <c r="C81" s="611">
        <f>VLOOKUP($A81,'GA Data'!$B$3:$L$162,2,FALSE)</f>
        <v>5</v>
      </c>
      <c r="D81" s="612" t="s">
        <v>63</v>
      </c>
      <c r="E81" s="612">
        <f>VLOOKUP($A81,'GA Data'!$B$3:$L$162,11,FALSE)</f>
        <v>0</v>
      </c>
      <c r="F81" s="612">
        <f>VLOOKUP($A81,'GA Data'!$B$3:$L$162,8,FALSE)</f>
        <v>1</v>
      </c>
      <c r="G81" s="612" t="s">
        <v>63</v>
      </c>
      <c r="H81" s="671">
        <f>vlookup(A81,'GA Data'!$B$170:$C$329,2,FALSE)</f>
        <v>13</v>
      </c>
      <c r="I81" s="614">
        <f>vlookup(A81,'GA Data'!$A$333:$B$494,2,FALSE)</f>
        <v>0</v>
      </c>
      <c r="J81" s="615" t="s">
        <v>63</v>
      </c>
      <c r="K81" s="672" t="s">
        <v>63</v>
      </c>
      <c r="L81" s="671" t="s">
        <v>63</v>
      </c>
      <c r="M81" s="614" t="s">
        <v>63</v>
      </c>
      <c r="N81" s="612" t="s">
        <v>63</v>
      </c>
      <c r="O81" s="612" t="s">
        <v>63</v>
      </c>
      <c r="P81" s="620">
        <f>ifna(vlookup(A81,'Population &amp; Church Numbers'!$A$390:$D$548,4,FALSE),"NULL")</f>
        <v>18</v>
      </c>
      <c r="Q81" s="674" t="s">
        <v>63</v>
      </c>
    </row>
    <row r="82">
      <c r="A82" s="609" t="s">
        <v>594</v>
      </c>
      <c r="B82" s="610">
        <f t="array" ref="B82">VLOOKUP($A82,GA_DEMO,2,FALSE)</f>
        <v>14779</v>
      </c>
      <c r="C82" s="611">
        <f>VLOOKUP($A82,'GA Data'!$B$3:$L$162,2,FALSE)</f>
        <v>25</v>
      </c>
      <c r="D82" s="612" t="s">
        <v>63</v>
      </c>
      <c r="E82" s="612">
        <f>VLOOKUP($A82,'GA Data'!$B$3:$L$162,11,FALSE)</f>
        <v>9</v>
      </c>
      <c r="F82" s="612">
        <f>VLOOKUP($A82,'GA Data'!$B$3:$L$162,8,FALSE)</f>
        <v>1</v>
      </c>
      <c r="G82" s="612" t="s">
        <v>63</v>
      </c>
      <c r="H82" s="671">
        <f>vlookup(A82,'GA Data'!$B$170:$C$329,2,FALSE)</f>
        <v>12</v>
      </c>
      <c r="I82" s="614">
        <f>vlookup(A82,'GA Data'!$A$333:$B$494,2,FALSE)</f>
        <v>5</v>
      </c>
      <c r="J82" s="615" t="s">
        <v>63</v>
      </c>
      <c r="K82" s="672" t="s">
        <v>63</v>
      </c>
      <c r="L82" s="671" t="s">
        <v>63</v>
      </c>
      <c r="M82" s="614" t="s">
        <v>63</v>
      </c>
      <c r="N82" s="612" t="s">
        <v>63</v>
      </c>
      <c r="O82" s="612" t="s">
        <v>63</v>
      </c>
      <c r="P82" s="620">
        <f>ifna(vlookup(A82,'Population &amp; Church Numbers'!$A$390:$D$548,4,FALSE),"NULL")</f>
        <v>23</v>
      </c>
      <c r="Q82" s="674" t="s">
        <v>63</v>
      </c>
    </row>
    <row r="83">
      <c r="A83" s="609" t="s">
        <v>143</v>
      </c>
      <c r="B83" s="610">
        <f t="array" ref="B83">VLOOKUP($A83,GA_DEMO,2,FALSE)</f>
        <v>15709</v>
      </c>
      <c r="C83" s="611">
        <f>VLOOKUP($A83,'GA Data'!$B$3:$L$162,2,FALSE)</f>
        <v>40</v>
      </c>
      <c r="D83" s="612" t="s">
        <v>63</v>
      </c>
      <c r="E83" s="612">
        <f>VLOOKUP($A83,'GA Data'!$B$3:$L$162,11,FALSE)</f>
        <v>29</v>
      </c>
      <c r="F83" s="612">
        <f>VLOOKUP($A83,'GA Data'!$B$3:$L$162,8,FALSE)</f>
        <v>7</v>
      </c>
      <c r="G83" s="612" t="s">
        <v>63</v>
      </c>
      <c r="H83" s="671">
        <f>vlookup(A83,'GA Data'!$B$170:$C$329,2,FALSE)</f>
        <v>7</v>
      </c>
      <c r="I83" s="614">
        <f>vlookup(A83,'GA Data'!$A$333:$B$494,2,FALSE)</f>
        <v>1</v>
      </c>
      <c r="J83" s="615" t="s">
        <v>63</v>
      </c>
      <c r="K83" s="672" t="s">
        <v>63</v>
      </c>
      <c r="L83" s="671" t="s">
        <v>63</v>
      </c>
      <c r="M83" s="614" t="s">
        <v>63</v>
      </c>
      <c r="N83" s="612" t="s">
        <v>63</v>
      </c>
      <c r="O83" s="612" t="s">
        <v>63</v>
      </c>
      <c r="P83" s="620">
        <f>ifna(vlookup(A83,'Population &amp; Church Numbers'!$A$390:$D$548,4,FALSE),"NULL")</f>
        <v>51</v>
      </c>
      <c r="Q83" s="674" t="s">
        <v>63</v>
      </c>
    </row>
    <row r="84">
      <c r="A84" s="609" t="s">
        <v>597</v>
      </c>
      <c r="B84" s="610">
        <f t="array" ref="B84">VLOOKUP($A84,GA_DEMO,2,FALSE)</f>
        <v>8674</v>
      </c>
      <c r="C84" s="611">
        <f>VLOOKUP($A84,'GA Data'!$B$3:$L$162,2,FALSE)</f>
        <v>8</v>
      </c>
      <c r="D84" s="612" t="s">
        <v>63</v>
      </c>
      <c r="E84" s="612">
        <f>VLOOKUP($A84,'GA Data'!$B$3:$L$162,11,FALSE)</f>
        <v>6</v>
      </c>
      <c r="F84" s="612">
        <f>VLOOKUP($A84,'GA Data'!$B$3:$L$162,8,FALSE)</f>
        <v>2</v>
      </c>
      <c r="G84" s="612" t="s">
        <v>63</v>
      </c>
      <c r="H84" s="671">
        <f>vlookup(A84,'GA Data'!$B$170:$C$329,2,FALSE)</f>
        <v>3</v>
      </c>
      <c r="I84" s="614">
        <f>vlookup(A84,'GA Data'!$A$333:$B$494,2,FALSE)</f>
        <v>5</v>
      </c>
      <c r="J84" s="615" t="s">
        <v>63</v>
      </c>
      <c r="K84" s="672" t="s">
        <v>63</v>
      </c>
      <c r="L84" s="671" t="s">
        <v>63</v>
      </c>
      <c r="M84" s="614" t="s">
        <v>63</v>
      </c>
      <c r="N84" s="612" t="s">
        <v>63</v>
      </c>
      <c r="O84" s="612" t="s">
        <v>63</v>
      </c>
      <c r="P84" s="620">
        <f>ifna(vlookup(A84,'Population &amp; Church Numbers'!$A$390:$D$548,4,FALSE),"NULL")</f>
        <v>18</v>
      </c>
      <c r="Q84" s="674" t="s">
        <v>63</v>
      </c>
    </row>
    <row r="85">
      <c r="A85" s="609" t="s">
        <v>288</v>
      </c>
      <c r="B85" s="610">
        <f t="array" ref="B85">VLOOKUP($A85,GA_DEMO,2,FALSE)</f>
        <v>9189</v>
      </c>
      <c r="C85" s="611">
        <f>VLOOKUP($A85,'GA Data'!$B$3:$L$162,2,FALSE)</f>
        <v>6</v>
      </c>
      <c r="D85" s="612" t="s">
        <v>63</v>
      </c>
      <c r="E85" s="612">
        <f>VLOOKUP($A85,'GA Data'!$B$3:$L$162,11,FALSE)</f>
        <v>4</v>
      </c>
      <c r="F85" s="612">
        <f>VLOOKUP($A85,'GA Data'!$B$3:$L$162,8,FALSE)</f>
        <v>1</v>
      </c>
      <c r="G85" s="612" t="s">
        <v>63</v>
      </c>
      <c r="H85" s="671">
        <f>vlookup(A85,'GA Data'!$B$170:$C$329,2,FALSE)</f>
        <v>2</v>
      </c>
      <c r="I85" s="614">
        <f>vlookup(A85,'GA Data'!$A$333:$B$494,2,FALSE)</f>
        <v>0</v>
      </c>
      <c r="J85" s="615" t="s">
        <v>63</v>
      </c>
      <c r="K85" s="672" t="s">
        <v>63</v>
      </c>
      <c r="L85" s="671" t="s">
        <v>63</v>
      </c>
      <c r="M85" s="614" t="s">
        <v>63</v>
      </c>
      <c r="N85" s="612" t="s">
        <v>63</v>
      </c>
      <c r="O85" s="612" t="s">
        <v>63</v>
      </c>
      <c r="P85" s="620">
        <f>ifna(vlookup(A85,'Population &amp; Church Numbers'!$A$390:$D$548,4,FALSE),"NULL")</f>
        <v>16</v>
      </c>
      <c r="Q85" s="674" t="s">
        <v>63</v>
      </c>
    </row>
    <row r="86">
      <c r="A86" s="609" t="s">
        <v>598</v>
      </c>
      <c r="B86" s="610">
        <f t="array" ref="B86">VLOOKUP($A86,GA_DEMO,2,FALSE)</f>
        <v>28347</v>
      </c>
      <c r="C86" s="611">
        <f>VLOOKUP($A86,'GA Data'!$B$3:$L$162,2,FALSE)</f>
        <v>21</v>
      </c>
      <c r="D86" s="612" t="s">
        <v>63</v>
      </c>
      <c r="E86" s="612">
        <f>VLOOKUP($A86,'GA Data'!$B$3:$L$162,11,FALSE)</f>
        <v>10</v>
      </c>
      <c r="F86" s="612">
        <f>VLOOKUP($A86,'GA Data'!$B$3:$L$162,8,FALSE)</f>
        <v>4</v>
      </c>
      <c r="G86" s="612" t="s">
        <v>63</v>
      </c>
      <c r="H86" s="671">
        <f>vlookup(A86,'GA Data'!$B$170:$C$329,2,FALSE)</f>
        <v>46</v>
      </c>
      <c r="I86" s="614">
        <f>vlookup(A86,'GA Data'!$A$333:$B$494,2,FALSE)</f>
        <v>8</v>
      </c>
      <c r="J86" s="615" t="s">
        <v>63</v>
      </c>
      <c r="K86" s="672" t="s">
        <v>63</v>
      </c>
      <c r="L86" s="671" t="s">
        <v>63</v>
      </c>
      <c r="M86" s="614" t="s">
        <v>63</v>
      </c>
      <c r="N86" s="612" t="s">
        <v>63</v>
      </c>
      <c r="O86" s="612" t="s">
        <v>63</v>
      </c>
      <c r="P86" s="620">
        <f>ifna(vlookup(A86,'Population &amp; Church Numbers'!$A$390:$D$548,4,FALSE),"NULL")</f>
        <v>45</v>
      </c>
      <c r="Q86" s="674" t="s">
        <v>63</v>
      </c>
    </row>
    <row r="87">
      <c r="A87" s="609" t="s">
        <v>144</v>
      </c>
      <c r="B87" s="610">
        <f t="array" ref="B87">VLOOKUP($A87,GA_DEMO,2,FALSE)</f>
        <v>18500</v>
      </c>
      <c r="C87" s="611">
        <f>VLOOKUP($A87,'GA Data'!$B$3:$L$162,2,FALSE)</f>
        <v>54</v>
      </c>
      <c r="D87" s="612" t="s">
        <v>63</v>
      </c>
      <c r="E87" s="612">
        <f>VLOOKUP($A87,'GA Data'!$B$3:$L$162,11,FALSE)</f>
        <v>35</v>
      </c>
      <c r="F87" s="612">
        <f>VLOOKUP($A87,'GA Data'!$B$3:$L$162,8,FALSE)</f>
        <v>6</v>
      </c>
      <c r="G87" s="612" t="s">
        <v>63</v>
      </c>
      <c r="H87" s="671">
        <f>vlookup(A87,'GA Data'!$B$170:$C$329,2,FALSE)</f>
        <v>12</v>
      </c>
      <c r="I87" s="614">
        <f>vlookup(A87,'GA Data'!$A$333:$B$494,2,FALSE)</f>
        <v>5</v>
      </c>
      <c r="J87" s="615" t="s">
        <v>63</v>
      </c>
      <c r="K87" s="672" t="s">
        <v>63</v>
      </c>
      <c r="L87" s="671" t="s">
        <v>63</v>
      </c>
      <c r="M87" s="614" t="s">
        <v>63</v>
      </c>
      <c r="N87" s="612" t="s">
        <v>63</v>
      </c>
      <c r="O87" s="612" t="s">
        <v>63</v>
      </c>
      <c r="P87" s="620">
        <f>ifna(vlookup(A87,'Population &amp; Church Numbers'!$A$390:$D$548,4,FALSE),"NULL")</f>
        <v>18</v>
      </c>
      <c r="Q87" s="674" t="s">
        <v>63</v>
      </c>
    </row>
    <row r="88">
      <c r="A88" s="609" t="s">
        <v>600</v>
      </c>
      <c r="B88" s="610">
        <f t="array" ref="B88">VLOOKUP($A88,GA_DEMO,2,FALSE)</f>
        <v>9877</v>
      </c>
      <c r="C88" s="611">
        <f>VLOOKUP($A88,'GA Data'!$B$3:$L$162,2,FALSE)</f>
        <v>12</v>
      </c>
      <c r="D88" s="612" t="s">
        <v>63</v>
      </c>
      <c r="E88" s="612">
        <f>VLOOKUP($A88,'GA Data'!$B$3:$L$162,11,FALSE)</f>
        <v>2</v>
      </c>
      <c r="F88" s="612">
        <f>VLOOKUP($A88,'GA Data'!$B$3:$L$162,8,FALSE)</f>
        <v>9</v>
      </c>
      <c r="G88" s="612" t="s">
        <v>63</v>
      </c>
      <c r="H88" s="671">
        <f>vlookup(A88,'GA Data'!$B$170:$C$329,2,FALSE)</f>
        <v>6</v>
      </c>
      <c r="I88" s="614">
        <f>vlookup(A88,'GA Data'!$A$333:$B$494,2,FALSE)</f>
        <v>2</v>
      </c>
      <c r="J88" s="615" t="s">
        <v>63</v>
      </c>
      <c r="K88" s="672" t="s">
        <v>63</v>
      </c>
      <c r="L88" s="671" t="s">
        <v>63</v>
      </c>
      <c r="M88" s="614" t="s">
        <v>63</v>
      </c>
      <c r="N88" s="612" t="s">
        <v>63</v>
      </c>
      <c r="O88" s="612" t="s">
        <v>63</v>
      </c>
      <c r="P88" s="620">
        <f>ifna(vlookup(A88,'Population &amp; Church Numbers'!$A$390:$D$548,4,FALSE),"NULL")</f>
        <v>8</v>
      </c>
      <c r="Q88" s="674" t="s">
        <v>63</v>
      </c>
    </row>
    <row r="89">
      <c r="A89" s="609" t="s">
        <v>601</v>
      </c>
      <c r="B89" s="610">
        <f t="array" ref="B89">VLOOKUP($A89,GA_DEMO,2,FALSE)</f>
        <v>49570</v>
      </c>
      <c r="C89" s="611">
        <f>VLOOKUP($A89,'GA Data'!$B$3:$L$162,2,FALSE)</f>
        <v>64</v>
      </c>
      <c r="D89" s="612" t="s">
        <v>63</v>
      </c>
      <c r="E89" s="612">
        <f>VLOOKUP($A89,'GA Data'!$B$3:$L$162,11,FALSE)</f>
        <v>34</v>
      </c>
      <c r="F89" s="612">
        <f>VLOOKUP($A89,'GA Data'!$B$3:$L$162,8,FALSE)</f>
        <v>4</v>
      </c>
      <c r="G89" s="612" t="s">
        <v>63</v>
      </c>
      <c r="H89" s="671">
        <f>vlookup(A89,'GA Data'!$B$170:$C$329,2,FALSE)</f>
        <v>21</v>
      </c>
      <c r="I89" s="614">
        <f>vlookup(A89,'GA Data'!$A$333:$B$494,2,FALSE)</f>
        <v>1</v>
      </c>
      <c r="J89" s="615" t="s">
        <v>63</v>
      </c>
      <c r="K89" s="672" t="s">
        <v>63</v>
      </c>
      <c r="L89" s="671" t="s">
        <v>63</v>
      </c>
      <c r="M89" s="614" t="s">
        <v>63</v>
      </c>
      <c r="N89" s="612" t="s">
        <v>63</v>
      </c>
      <c r="O89" s="612" t="s">
        <v>63</v>
      </c>
      <c r="P89" s="620">
        <f>ifna(vlookup(A89,'Population &amp; Church Numbers'!$A$390:$D$548,4,FALSE),"NULL")</f>
        <v>105</v>
      </c>
      <c r="Q89" s="674" t="s">
        <v>63</v>
      </c>
    </row>
    <row r="90">
      <c r="A90" s="609" t="s">
        <v>147</v>
      </c>
      <c r="B90" s="610">
        <f t="array" ref="B90">VLOOKUP($A90,GA_DEMO,2,FALSE)</f>
        <v>33163</v>
      </c>
      <c r="C90" s="611">
        <f>VLOOKUP($A90,'GA Data'!$B$3:$L$162,2,FALSE)</f>
        <v>42</v>
      </c>
      <c r="D90" s="612" t="s">
        <v>63</v>
      </c>
      <c r="E90" s="612">
        <f>VLOOKUP($A90,'GA Data'!$B$3:$L$162,11,FALSE)</f>
        <v>17</v>
      </c>
      <c r="F90" s="612">
        <f>VLOOKUP($A90,'GA Data'!$B$3:$L$162,8,FALSE)</f>
        <v>10</v>
      </c>
      <c r="G90" s="612" t="s">
        <v>63</v>
      </c>
      <c r="H90" s="671">
        <f>vlookup(A90,'GA Data'!$B$170:$C$329,2,FALSE)</f>
        <v>38</v>
      </c>
      <c r="I90" s="614">
        <f>vlookup(A90,'GA Data'!$A$333:$B$494,2,FALSE)</f>
        <v>9</v>
      </c>
      <c r="J90" s="615" t="s">
        <v>63</v>
      </c>
      <c r="K90" s="672" t="s">
        <v>63</v>
      </c>
      <c r="L90" s="671" t="s">
        <v>63</v>
      </c>
      <c r="M90" s="614" t="s">
        <v>63</v>
      </c>
      <c r="N90" s="612" t="s">
        <v>63</v>
      </c>
      <c r="O90" s="612" t="s">
        <v>63</v>
      </c>
      <c r="P90" s="620">
        <f>ifna(vlookup(A90,'Population &amp; Church Numbers'!$A$390:$D$548,4,FALSE),"NULL")</f>
        <v>21</v>
      </c>
      <c r="Q90" s="674" t="s">
        <v>63</v>
      </c>
    </row>
    <row r="91">
      <c r="A91" s="609" t="s">
        <v>508</v>
      </c>
      <c r="B91" s="610">
        <f t="array" ref="B91">VLOOKUP($A91,GA_DEMO,2,FALSE)</f>
        <v>65256</v>
      </c>
      <c r="C91" s="611">
        <f>VLOOKUP($A91,'GA Data'!$B$3:$L$162,2,FALSE)</f>
        <v>55</v>
      </c>
      <c r="D91" s="612" t="s">
        <v>63</v>
      </c>
      <c r="E91" s="612">
        <f>VLOOKUP($A91,'GA Data'!$B$3:$L$162,11,FALSE)</f>
        <v>38</v>
      </c>
      <c r="F91" s="612">
        <f>VLOOKUP($A91,'GA Data'!$B$3:$L$162,8,FALSE)</f>
        <v>4</v>
      </c>
      <c r="G91" s="612" t="s">
        <v>63</v>
      </c>
      <c r="H91" s="671">
        <f>vlookup(A91,'GA Data'!$B$170:$C$329,2,FALSE)</f>
        <v>26</v>
      </c>
      <c r="I91" s="614">
        <f>vlookup(A91,'GA Data'!$A$333:$B$494,2,FALSE)</f>
        <v>4</v>
      </c>
      <c r="J91" s="615" t="s">
        <v>63</v>
      </c>
      <c r="K91" s="672" t="s">
        <v>63</v>
      </c>
      <c r="L91" s="671" t="s">
        <v>63</v>
      </c>
      <c r="M91" s="614" t="s">
        <v>63</v>
      </c>
      <c r="N91" s="612" t="s">
        <v>63</v>
      </c>
      <c r="O91" s="612" t="s">
        <v>63</v>
      </c>
      <c r="P91" s="620">
        <f>ifna(vlookup(A91,'Population &amp; Church Numbers'!$A$390:$D$548,4,FALSE),"NULL")</f>
        <v>75</v>
      </c>
      <c r="Q91" s="674" t="s">
        <v>63</v>
      </c>
    </row>
    <row r="92">
      <c r="A92" s="609" t="s">
        <v>290</v>
      </c>
      <c r="B92" s="610">
        <f t="array" ref="B92">VLOOKUP($A92,GA_DEMO,2,FALSE)</f>
        <v>7690</v>
      </c>
      <c r="C92" s="611">
        <f>VLOOKUP($A92,'GA Data'!$B$3:$L$162,2,FALSE)</f>
        <v>8</v>
      </c>
      <c r="D92" s="612" t="s">
        <v>63</v>
      </c>
      <c r="E92" s="612">
        <f>VLOOKUP($A92,'GA Data'!$B$3:$L$162,11,FALSE)</f>
        <v>2</v>
      </c>
      <c r="F92" s="612">
        <f>VLOOKUP($A92,'GA Data'!$B$3:$L$162,8,FALSE)</f>
        <v>4</v>
      </c>
      <c r="G92" s="612" t="s">
        <v>63</v>
      </c>
      <c r="H92" s="671">
        <f>vlookup(A92,'GA Data'!$B$170:$C$329,2,FALSE)</f>
        <v>2</v>
      </c>
      <c r="I92" s="614">
        <f>vlookup(A92,'GA Data'!$A$333:$B$494,2,FALSE)</f>
        <v>0</v>
      </c>
      <c r="J92" s="615" t="s">
        <v>63</v>
      </c>
      <c r="K92" s="672" t="s">
        <v>63</v>
      </c>
      <c r="L92" s="671" t="s">
        <v>63</v>
      </c>
      <c r="M92" s="614" t="s">
        <v>63</v>
      </c>
      <c r="N92" s="612" t="s">
        <v>63</v>
      </c>
      <c r="O92" s="612" t="s">
        <v>63</v>
      </c>
      <c r="P92" s="620">
        <f>ifna(vlookup(A92,'Population &amp; Church Numbers'!$A$390:$D$548,4,FALSE),"NULL")</f>
        <v>30</v>
      </c>
      <c r="Q92" s="674" t="s">
        <v>63</v>
      </c>
    </row>
    <row r="93">
      <c r="A93" s="609" t="s">
        <v>602</v>
      </c>
      <c r="B93" s="610">
        <f t="array" ref="B93">VLOOKUP($A93,GA_DEMO,2,FALSE)</f>
        <v>16168</v>
      </c>
      <c r="C93" s="611">
        <f>VLOOKUP($A93,'GA Data'!$B$3:$L$162,2,FALSE)</f>
        <v>18</v>
      </c>
      <c r="D93" s="612" t="s">
        <v>63</v>
      </c>
      <c r="E93" s="612">
        <f>VLOOKUP($A93,'GA Data'!$B$3:$L$162,11,FALSE)</f>
        <v>13</v>
      </c>
      <c r="F93" s="612">
        <f>VLOOKUP($A93,'GA Data'!$B$3:$L$162,8,FALSE)</f>
        <v>1</v>
      </c>
      <c r="G93" s="612" t="s">
        <v>63</v>
      </c>
      <c r="H93" s="671">
        <f>vlookup(A93,'GA Data'!$B$170:$C$329,2,FALSE)</f>
        <v>7</v>
      </c>
      <c r="I93" s="614">
        <f>vlookup(A93,'GA Data'!$A$333:$B$494,2,FALSE)</f>
        <v>2</v>
      </c>
      <c r="J93" s="615" t="s">
        <v>63</v>
      </c>
      <c r="K93" s="672" t="s">
        <v>63</v>
      </c>
      <c r="L93" s="671" t="s">
        <v>63</v>
      </c>
      <c r="M93" s="614" t="s">
        <v>63</v>
      </c>
      <c r="N93" s="612" t="s">
        <v>63</v>
      </c>
      <c r="O93" s="612" t="s">
        <v>63</v>
      </c>
      <c r="P93" s="620">
        <f>ifna(vlookup(A93,'Population &amp; Church Numbers'!$A$390:$D$548,4,FALSE),"NULL")</f>
        <v>16</v>
      </c>
      <c r="Q93" s="674" t="s">
        <v>63</v>
      </c>
    </row>
    <row r="94">
      <c r="A94" s="609" t="s">
        <v>149</v>
      </c>
      <c r="B94" s="610">
        <f t="array" ref="B94">VLOOKUP($A94,GA_DEMO,2,FALSE)</f>
        <v>118251</v>
      </c>
      <c r="C94" s="611">
        <f>VLOOKUP($A94,'GA Data'!$B$3:$L$162,2,FALSE)</f>
        <v>346</v>
      </c>
      <c r="D94" s="612" t="s">
        <v>63</v>
      </c>
      <c r="E94" s="612">
        <f>VLOOKUP($A94,'GA Data'!$B$3:$L$162,11,FALSE)</f>
        <v>211</v>
      </c>
      <c r="F94" s="612">
        <f>VLOOKUP($A94,'GA Data'!$B$3:$L$162,8,FALSE)</f>
        <v>109</v>
      </c>
      <c r="G94" s="612" t="s">
        <v>63</v>
      </c>
      <c r="H94" s="671">
        <f>vlookup(A94,'GA Data'!$B$170:$C$329,2,FALSE)</f>
        <v>124</v>
      </c>
      <c r="I94" s="614">
        <f>vlookup(A94,'GA Data'!$A$333:$B$494,2,FALSE)</f>
        <v>7</v>
      </c>
      <c r="J94" s="615" t="s">
        <v>63</v>
      </c>
      <c r="K94" s="672" t="s">
        <v>63</v>
      </c>
      <c r="L94" s="671" t="s">
        <v>63</v>
      </c>
      <c r="M94" s="614" t="s">
        <v>63</v>
      </c>
      <c r="N94" s="612" t="s">
        <v>63</v>
      </c>
      <c r="O94" s="612" t="s">
        <v>63</v>
      </c>
      <c r="P94" s="620">
        <f>ifna(vlookup(A94,'Population &amp; Church Numbers'!$A$390:$D$548,4,FALSE),"NULL")</f>
        <v>133</v>
      </c>
      <c r="Q94" s="674" t="s">
        <v>63</v>
      </c>
    </row>
    <row r="95">
      <c r="A95" s="609" t="s">
        <v>604</v>
      </c>
      <c r="B95" s="610">
        <f t="array" ref="B95">VLOOKUP($A95,GA_DEMO,2,FALSE)</f>
        <v>33488</v>
      </c>
      <c r="C95" s="611">
        <f>VLOOKUP($A95,'GA Data'!$B$3:$L$162,2,FALSE)</f>
        <v>48</v>
      </c>
      <c r="D95" s="612" t="s">
        <v>63</v>
      </c>
      <c r="E95" s="612">
        <f>VLOOKUP($A95,'GA Data'!$B$3:$L$162,11,FALSE)</f>
        <v>38</v>
      </c>
      <c r="F95" s="612">
        <f>VLOOKUP($A95,'GA Data'!$B$3:$L$162,8,FALSE)</f>
        <v>4</v>
      </c>
      <c r="G95" s="612" t="s">
        <v>63</v>
      </c>
      <c r="H95" s="671">
        <f>vlookup(A95,'GA Data'!$B$170:$C$329,2,FALSE)</f>
        <v>19</v>
      </c>
      <c r="I95" s="614">
        <f>vlookup(A95,'GA Data'!$A$333:$B$494,2,FALSE)</f>
        <v>6</v>
      </c>
      <c r="J95" s="615" t="s">
        <v>63</v>
      </c>
      <c r="K95" s="672" t="s">
        <v>63</v>
      </c>
      <c r="L95" s="671" t="s">
        <v>63</v>
      </c>
      <c r="M95" s="614" t="s">
        <v>63</v>
      </c>
      <c r="N95" s="612" t="s">
        <v>63</v>
      </c>
      <c r="O95" s="612" t="s">
        <v>63</v>
      </c>
      <c r="P95" s="620">
        <f>ifna(vlookup(A95,'Population &amp; Church Numbers'!$A$390:$D$548,4,FALSE),"NULL")</f>
        <v>24</v>
      </c>
      <c r="Q95" s="674" t="s">
        <v>63</v>
      </c>
    </row>
    <row r="96">
      <c r="A96" s="609" t="s">
        <v>150</v>
      </c>
      <c r="B96" s="610">
        <f t="array" ref="B96">VLOOKUP($A96,GA_DEMO,2,FALSE)</f>
        <v>12082</v>
      </c>
      <c r="C96" s="611">
        <f>VLOOKUP($A96,'GA Data'!$B$3:$L$162,2,FALSE)</f>
        <v>11</v>
      </c>
      <c r="D96" s="612" t="s">
        <v>63</v>
      </c>
      <c r="E96" s="612">
        <f>VLOOKUP($A96,'GA Data'!$B$3:$L$162,11,FALSE)</f>
        <v>4</v>
      </c>
      <c r="F96" s="612">
        <f>VLOOKUP($A96,'GA Data'!$B$3:$L$162,8,FALSE)</f>
        <v>6</v>
      </c>
      <c r="G96" s="612" t="s">
        <v>63</v>
      </c>
      <c r="H96" s="671">
        <f>vlookup(A96,'GA Data'!$B$170:$C$329,2,FALSE)</f>
        <v>9</v>
      </c>
      <c r="I96" s="614">
        <f>vlookup(A96,'GA Data'!$A$333:$B$494,2,FALSE)</f>
        <v>4</v>
      </c>
      <c r="J96" s="615" t="s">
        <v>63</v>
      </c>
      <c r="K96" s="672" t="s">
        <v>63</v>
      </c>
      <c r="L96" s="671" t="s">
        <v>63</v>
      </c>
      <c r="M96" s="614" t="s">
        <v>63</v>
      </c>
      <c r="N96" s="612" t="s">
        <v>63</v>
      </c>
      <c r="O96" s="612" t="s">
        <v>63</v>
      </c>
      <c r="P96" s="620">
        <f>ifna(vlookup(A96,'Population &amp; Church Numbers'!$A$390:$D$548,4,FALSE),"NULL")</f>
        <v>21</v>
      </c>
      <c r="Q96" s="674" t="s">
        <v>63</v>
      </c>
    </row>
    <row r="97">
      <c r="A97" s="609" t="s">
        <v>151</v>
      </c>
      <c r="B97" s="610">
        <f t="array" ref="B97">VLOOKUP($A97,GA_DEMO,2,FALSE)</f>
        <v>30120</v>
      </c>
      <c r="C97" s="611">
        <f>VLOOKUP($A97,'GA Data'!$B$3:$L$162,2,FALSE)</f>
        <v>31</v>
      </c>
      <c r="D97" s="612" t="s">
        <v>63</v>
      </c>
      <c r="E97" s="612">
        <f>VLOOKUP($A97,'GA Data'!$B$3:$L$162,11,FALSE)</f>
        <v>10</v>
      </c>
      <c r="F97" s="612">
        <f>VLOOKUP($A97,'GA Data'!$B$3:$L$162,8,FALSE)</f>
        <v>19</v>
      </c>
      <c r="G97" s="612" t="s">
        <v>63</v>
      </c>
      <c r="H97" s="671">
        <f>vlookup(A97,'GA Data'!$B$170:$C$329,2,FALSE)</f>
        <v>12</v>
      </c>
      <c r="I97" s="614">
        <f>vlookup(A97,'GA Data'!$A$333:$B$494,2,FALSE)</f>
        <v>1</v>
      </c>
      <c r="J97" s="615" t="s">
        <v>63</v>
      </c>
      <c r="K97" s="672" t="s">
        <v>63</v>
      </c>
      <c r="L97" s="671" t="s">
        <v>63</v>
      </c>
      <c r="M97" s="614" t="s">
        <v>63</v>
      </c>
      <c r="N97" s="612" t="s">
        <v>63</v>
      </c>
      <c r="O97" s="612" t="s">
        <v>63</v>
      </c>
      <c r="P97" s="620">
        <f>ifna(vlookup(A97,'Population &amp; Church Numbers'!$A$390:$D$548,4,FALSE),"NULL")</f>
        <v>38</v>
      </c>
      <c r="Q97" s="674" t="s">
        <v>63</v>
      </c>
    </row>
    <row r="98">
      <c r="A98" s="609" t="s">
        <v>153</v>
      </c>
      <c r="B98" s="610">
        <f t="array" ref="B98">VLOOKUP($A98,GA_DEMO,2,FALSE)</f>
        <v>7498</v>
      </c>
      <c r="C98" s="611">
        <f>VLOOKUP($A98,'GA Data'!$B$3:$L$162,2,FALSE)</f>
        <v>4</v>
      </c>
      <c r="D98" s="612" t="s">
        <v>63</v>
      </c>
      <c r="E98" s="612">
        <f>VLOOKUP($A98,'GA Data'!$B$3:$L$162,11,FALSE)</f>
        <v>0</v>
      </c>
      <c r="F98" s="612">
        <f>VLOOKUP($A98,'GA Data'!$B$3:$L$162,8,FALSE)</f>
        <v>4</v>
      </c>
      <c r="G98" s="612" t="s">
        <v>63</v>
      </c>
      <c r="H98" s="671">
        <f>vlookup(A98,'GA Data'!$B$170:$C$329,2,FALSE)</f>
        <v>1</v>
      </c>
      <c r="I98" s="614">
        <f>vlookup(A98,'GA Data'!$A$333:$B$494,2,FALSE)</f>
        <v>0</v>
      </c>
      <c r="J98" s="615" t="s">
        <v>63</v>
      </c>
      <c r="K98" s="672" t="s">
        <v>63</v>
      </c>
      <c r="L98" s="671" t="s">
        <v>63</v>
      </c>
      <c r="M98" s="614" t="s">
        <v>63</v>
      </c>
      <c r="N98" s="612" t="s">
        <v>63</v>
      </c>
      <c r="O98" s="612" t="s">
        <v>63</v>
      </c>
      <c r="P98" s="620">
        <f>ifna(vlookup(A98,'Population &amp; Church Numbers'!$A$390:$D$548,4,FALSE),"NULL")</f>
        <v>8</v>
      </c>
      <c r="Q98" s="674" t="s">
        <v>63</v>
      </c>
    </row>
    <row r="99">
      <c r="A99" s="609" t="s">
        <v>605</v>
      </c>
      <c r="B99" s="610">
        <f t="array" ref="B99">VLOOKUP($A99,GA_DEMO,2,FALSE)</f>
        <v>21632</v>
      </c>
      <c r="C99" s="611">
        <f>VLOOKUP($A99,'GA Data'!$B$3:$L$162,2,FALSE)</f>
        <v>40</v>
      </c>
      <c r="D99" s="612" t="s">
        <v>63</v>
      </c>
      <c r="E99" s="612">
        <f>VLOOKUP($A99,'GA Data'!$B$3:$L$162,11,FALSE)</f>
        <v>18</v>
      </c>
      <c r="F99" s="612">
        <f>VLOOKUP($A99,'GA Data'!$B$3:$L$162,8,FALSE)</f>
        <v>17</v>
      </c>
      <c r="G99" s="612" t="s">
        <v>63</v>
      </c>
      <c r="H99" s="671">
        <f>vlookup(A99,'GA Data'!$B$170:$C$329,2,FALSE)</f>
        <v>11</v>
      </c>
      <c r="I99" s="614">
        <f>vlookup(A99,'GA Data'!$A$333:$B$494,2,FALSE)</f>
        <v>2</v>
      </c>
      <c r="J99" s="615" t="s">
        <v>63</v>
      </c>
      <c r="K99" s="672" t="s">
        <v>63</v>
      </c>
      <c r="L99" s="671" t="s">
        <v>63</v>
      </c>
      <c r="M99" s="614" t="s">
        <v>63</v>
      </c>
      <c r="N99" s="612" t="s">
        <v>63</v>
      </c>
      <c r="O99" s="612" t="s">
        <v>63</v>
      </c>
      <c r="P99" s="620">
        <f>ifna(vlookup(A99,'Population &amp; Church Numbers'!$A$390:$D$548,4,FALSE),"NULL")</f>
        <v>28</v>
      </c>
      <c r="Q99" s="674" t="s">
        <v>63</v>
      </c>
    </row>
    <row r="100">
      <c r="A100" s="609" t="s">
        <v>606</v>
      </c>
      <c r="B100" s="610">
        <f t="array" ref="B100">VLOOKUP($A100,GA_DEMO,2,FALSE)</f>
        <v>10975</v>
      </c>
      <c r="C100" s="611">
        <f>VLOOKUP($A100,'GA Data'!$B$3:$L$162,2,FALSE)</f>
        <v>18</v>
      </c>
      <c r="D100" s="612" t="s">
        <v>63</v>
      </c>
      <c r="E100" s="612">
        <f>VLOOKUP($A100,'GA Data'!$B$3:$L$162,11,FALSE)</f>
        <v>8</v>
      </c>
      <c r="F100" s="612">
        <f>VLOOKUP($A100,'GA Data'!$B$3:$L$162,8,FALSE)</f>
        <v>5</v>
      </c>
      <c r="G100" s="612" t="s">
        <v>63</v>
      </c>
      <c r="H100" s="671">
        <f>vlookup(A100,'GA Data'!$B$170:$C$329,2,FALSE)</f>
        <v>11</v>
      </c>
      <c r="I100" s="614">
        <f>vlookup(A100,'GA Data'!$A$333:$B$494,2,FALSE)</f>
        <v>0</v>
      </c>
      <c r="J100" s="615" t="s">
        <v>63</v>
      </c>
      <c r="K100" s="672" t="s">
        <v>63</v>
      </c>
      <c r="L100" s="671" t="s">
        <v>63</v>
      </c>
      <c r="M100" s="614" t="s">
        <v>63</v>
      </c>
      <c r="N100" s="612" t="s">
        <v>63</v>
      </c>
      <c r="O100" s="612" t="s">
        <v>63</v>
      </c>
      <c r="P100" s="620">
        <f>ifna(vlookup(A100,'Population &amp; Church Numbers'!$A$390:$D$548,4,FALSE),"NULL")</f>
        <v>26</v>
      </c>
      <c r="Q100" s="674" t="s">
        <v>63</v>
      </c>
    </row>
    <row r="101">
      <c r="A101" s="609" t="s">
        <v>609</v>
      </c>
      <c r="B101" s="610">
        <f t="array" ref="B101">VLOOKUP($A101,GA_DEMO,2,FALSE)</f>
        <v>20613</v>
      </c>
      <c r="C101" s="611">
        <f>VLOOKUP($A101,'GA Data'!$B$3:$L$162,2,FALSE)</f>
        <v>32</v>
      </c>
      <c r="D101" s="612" t="s">
        <v>63</v>
      </c>
      <c r="E101" s="612">
        <f>VLOOKUP($A101,'GA Data'!$B$3:$L$162,11,FALSE)</f>
        <v>9</v>
      </c>
      <c r="F101" s="612">
        <f>VLOOKUP($A101,'GA Data'!$B$3:$L$162,8,FALSE)</f>
        <v>10</v>
      </c>
      <c r="G101" s="612" t="s">
        <v>63</v>
      </c>
      <c r="H101" s="671">
        <f>vlookup(A101,'GA Data'!$B$170:$C$329,2,FALSE)</f>
        <v>7</v>
      </c>
      <c r="I101" s="614">
        <f>vlookup(A101,'GA Data'!$A$333:$B$494,2,FALSE)</f>
        <v>1</v>
      </c>
      <c r="J101" s="615" t="s">
        <v>63</v>
      </c>
      <c r="K101" s="672" t="s">
        <v>63</v>
      </c>
      <c r="L101" s="671" t="s">
        <v>63</v>
      </c>
      <c r="M101" s="614" t="s">
        <v>63</v>
      </c>
      <c r="N101" s="612" t="s">
        <v>63</v>
      </c>
      <c r="O101" s="612" t="s">
        <v>63</v>
      </c>
      <c r="P101" s="620">
        <f>ifna(vlookup(A101,'Population &amp; Church Numbers'!$A$390:$D$548,4,FALSE),"NULL")</f>
        <v>45</v>
      </c>
      <c r="Q101" s="674" t="s">
        <v>63</v>
      </c>
    </row>
    <row r="102">
      <c r="A102" s="609" t="s">
        <v>295</v>
      </c>
      <c r="B102" s="610">
        <f t="array" ref="B102">VLOOKUP($A102,GA_DEMO,2,FALSE)</f>
        <v>6000</v>
      </c>
      <c r="C102" s="611">
        <f>VLOOKUP($A102,'GA Data'!$B$3:$L$162,2,FALSE)</f>
        <v>7</v>
      </c>
      <c r="D102" s="612" t="s">
        <v>63</v>
      </c>
      <c r="E102" s="612">
        <f>VLOOKUP($A102,'GA Data'!$B$3:$L$162,11,FALSE)</f>
        <v>4</v>
      </c>
      <c r="F102" s="612">
        <f>VLOOKUP($A102,'GA Data'!$B$3:$L$162,8,FALSE)</f>
        <v>1</v>
      </c>
      <c r="G102" s="612" t="s">
        <v>63</v>
      </c>
      <c r="H102" s="671">
        <f>vlookup(A102,'GA Data'!$B$170:$C$329,2,FALSE)</f>
        <v>8</v>
      </c>
      <c r="I102" s="614">
        <f>vlookup(A102,'GA Data'!$A$333:$B$494,2,FALSE)</f>
        <v>0</v>
      </c>
      <c r="J102" s="615" t="s">
        <v>63</v>
      </c>
      <c r="K102" s="672" t="s">
        <v>63</v>
      </c>
      <c r="L102" s="671" t="s">
        <v>63</v>
      </c>
      <c r="M102" s="614" t="s">
        <v>63</v>
      </c>
      <c r="N102" s="612" t="s">
        <v>63</v>
      </c>
      <c r="O102" s="612" t="s">
        <v>63</v>
      </c>
      <c r="P102" s="620">
        <f>ifna(vlookup(A102,'Population &amp; Church Numbers'!$A$390:$D$548,4,FALSE),"NULL")</f>
        <v>5</v>
      </c>
      <c r="Q102" s="674" t="s">
        <v>63</v>
      </c>
    </row>
    <row r="103">
      <c r="A103" s="609" t="s">
        <v>610</v>
      </c>
      <c r="B103" s="610">
        <f t="array" ref="B103">VLOOKUP($A103,GA_DEMO,2,FALSE)</f>
        <v>21755</v>
      </c>
      <c r="C103" s="611">
        <f>VLOOKUP($A103,'GA Data'!$B$3:$L$162,2,FALSE)</f>
        <v>21</v>
      </c>
      <c r="D103" s="612" t="s">
        <v>63</v>
      </c>
      <c r="E103" s="612">
        <f>VLOOKUP($A103,'GA Data'!$B$3:$L$162,11,FALSE)</f>
        <v>15</v>
      </c>
      <c r="F103" s="612">
        <f>VLOOKUP($A103,'GA Data'!$B$3:$L$162,8,FALSE)</f>
        <v>3</v>
      </c>
      <c r="G103" s="612" t="s">
        <v>63</v>
      </c>
      <c r="H103" s="671">
        <f>vlookup(A103,'GA Data'!$B$170:$C$329,2,FALSE)</f>
        <v>20</v>
      </c>
      <c r="I103" s="614">
        <f>vlookup(A103,'GA Data'!$A$333:$B$494,2,FALSE)</f>
        <v>2</v>
      </c>
      <c r="J103" s="615" t="s">
        <v>63</v>
      </c>
      <c r="K103" s="672" t="s">
        <v>63</v>
      </c>
      <c r="L103" s="671" t="s">
        <v>63</v>
      </c>
      <c r="M103" s="614" t="s">
        <v>63</v>
      </c>
      <c r="N103" s="612" t="s">
        <v>63</v>
      </c>
      <c r="O103" s="612" t="s">
        <v>63</v>
      </c>
      <c r="P103" s="620">
        <f>ifna(vlookup(A103,'Population &amp; Church Numbers'!$A$390:$D$548,4,FALSE),"NULL")</f>
        <v>34</v>
      </c>
      <c r="Q103" s="674" t="s">
        <v>63</v>
      </c>
    </row>
    <row r="104">
      <c r="A104" s="609" t="s">
        <v>156</v>
      </c>
      <c r="B104" s="610">
        <f t="array" ref="B104">VLOOKUP($A104,GA_DEMO,2,FALSE)</f>
        <v>27957</v>
      </c>
      <c r="C104" s="611">
        <f>VLOOKUP($A104,'GA Data'!$B$3:$L$162,2,FALSE)</f>
        <v>29</v>
      </c>
      <c r="D104" s="612" t="s">
        <v>63</v>
      </c>
      <c r="E104" s="612">
        <f>VLOOKUP($A104,'GA Data'!$B$3:$L$162,11,FALSE)</f>
        <v>12</v>
      </c>
      <c r="F104" s="612">
        <f>VLOOKUP($A104,'GA Data'!$B$3:$L$162,8,FALSE)</f>
        <v>5</v>
      </c>
      <c r="G104" s="612" t="s">
        <v>63</v>
      </c>
      <c r="H104" s="671">
        <f>vlookup(A104,'GA Data'!$B$170:$C$329,2,FALSE)</f>
        <v>19</v>
      </c>
      <c r="I104" s="614">
        <f>vlookup(A104,'GA Data'!$A$333:$B$494,2,FALSE)</f>
        <v>4</v>
      </c>
      <c r="J104" s="615" t="s">
        <v>63</v>
      </c>
      <c r="K104" s="672" t="s">
        <v>63</v>
      </c>
      <c r="L104" s="671" t="s">
        <v>63</v>
      </c>
      <c r="M104" s="614" t="s">
        <v>63</v>
      </c>
      <c r="N104" s="612" t="s">
        <v>63</v>
      </c>
      <c r="O104" s="612" t="s">
        <v>63</v>
      </c>
      <c r="P104" s="620">
        <f>ifna(vlookup(A104,'Population &amp; Church Numbers'!$A$390:$D$548,4,FALSE),"NULL")</f>
        <v>32</v>
      </c>
      <c r="Q104" s="674" t="s">
        <v>63</v>
      </c>
    </row>
    <row r="105">
      <c r="A105" s="609" t="s">
        <v>157</v>
      </c>
      <c r="B105" s="610">
        <f t="array" ref="B105">VLOOKUP($A105,GA_DEMO,2,FALSE)</f>
        <v>8610</v>
      </c>
      <c r="C105" s="611">
        <f>VLOOKUP($A105,'GA Data'!$B$3:$L$162,2,FALSE)</f>
        <v>12</v>
      </c>
      <c r="D105" s="612" t="s">
        <v>63</v>
      </c>
      <c r="E105" s="612">
        <f>VLOOKUP($A105,'GA Data'!$B$3:$L$162,11,FALSE)</f>
        <v>5</v>
      </c>
      <c r="F105" s="612">
        <f>VLOOKUP($A105,'GA Data'!$B$3:$L$162,8,FALSE)</f>
        <v>1</v>
      </c>
      <c r="G105" s="612" t="s">
        <v>63</v>
      </c>
      <c r="H105" s="671">
        <f>vlookup(A105,'GA Data'!$B$170:$C$329,2,FALSE)</f>
        <v>3</v>
      </c>
      <c r="I105" s="614">
        <f>vlookup(A105,'GA Data'!$A$333:$B$494,2,FALSE)</f>
        <v>0</v>
      </c>
      <c r="J105" s="615" t="s">
        <v>63</v>
      </c>
      <c r="K105" s="672" t="s">
        <v>63</v>
      </c>
      <c r="L105" s="671" t="s">
        <v>63</v>
      </c>
      <c r="M105" s="614" t="s">
        <v>63</v>
      </c>
      <c r="N105" s="612" t="s">
        <v>63</v>
      </c>
      <c r="O105" s="612" t="s">
        <v>63</v>
      </c>
      <c r="P105" s="620">
        <f>ifna(vlookup(A105,'Population &amp; Church Numbers'!$A$390:$D$548,4,FALSE),"NULL")</f>
        <v>16</v>
      </c>
      <c r="Q105" s="674" t="s">
        <v>63</v>
      </c>
    </row>
    <row r="106">
      <c r="A106" s="609" t="s">
        <v>158</v>
      </c>
      <c r="B106" s="610">
        <f t="array" ref="B106">VLOOKUP($A106,GA_DEMO,2,FALSE)</f>
        <v>20097</v>
      </c>
      <c r="C106" s="611">
        <f>VLOOKUP($A106,'GA Data'!$B$3:$L$162,2,FALSE)</f>
        <v>28</v>
      </c>
      <c r="D106" s="612" t="s">
        <v>63</v>
      </c>
      <c r="E106" s="612">
        <f>VLOOKUP($A106,'GA Data'!$B$3:$L$162,11,FALSE)</f>
        <v>19</v>
      </c>
      <c r="F106" s="612">
        <f>VLOOKUP($A106,'GA Data'!$B$3:$L$162,8,FALSE)</f>
        <v>4</v>
      </c>
      <c r="G106" s="612" t="s">
        <v>63</v>
      </c>
      <c r="H106" s="671">
        <f>vlookup(A106,'GA Data'!$B$170:$C$329,2,FALSE)</f>
        <v>15</v>
      </c>
      <c r="I106" s="614">
        <f>vlookup(A106,'GA Data'!$A$333:$B$494,2,FALSE)</f>
        <v>7</v>
      </c>
      <c r="J106" s="615" t="s">
        <v>63</v>
      </c>
      <c r="K106" s="672" t="s">
        <v>63</v>
      </c>
      <c r="L106" s="671" t="s">
        <v>63</v>
      </c>
      <c r="M106" s="614" t="s">
        <v>63</v>
      </c>
      <c r="N106" s="612" t="s">
        <v>63</v>
      </c>
      <c r="O106" s="612" t="s">
        <v>63</v>
      </c>
      <c r="P106" s="620">
        <f>ifna(vlookup(A106,'Population &amp; Church Numbers'!$A$390:$D$548,4,FALSE),"NULL")</f>
        <v>38</v>
      </c>
      <c r="Q106" s="674" t="s">
        <v>63</v>
      </c>
    </row>
    <row r="107">
      <c r="A107" s="609" t="s">
        <v>611</v>
      </c>
      <c r="B107" s="610">
        <f t="array" ref="B107">VLOOKUP($A107,GA_DEMO,2,FALSE)</f>
        <v>39973</v>
      </c>
      <c r="C107" s="611">
        <f>VLOOKUP($A107,'GA Data'!$B$3:$L$162,2,FALSE)</f>
        <v>100</v>
      </c>
      <c r="D107" s="612" t="s">
        <v>63</v>
      </c>
      <c r="E107" s="612">
        <f>VLOOKUP($A107,'GA Data'!$B$3:$L$162,11,FALSE)</f>
        <v>47</v>
      </c>
      <c r="F107" s="612">
        <f>VLOOKUP($A107,'GA Data'!$B$3:$L$162,8,FALSE)</f>
        <v>15</v>
      </c>
      <c r="G107" s="612" t="s">
        <v>63</v>
      </c>
      <c r="H107" s="671">
        <f>vlookup(A107,'GA Data'!$B$170:$C$329,2,FALSE)</f>
        <v>13</v>
      </c>
      <c r="I107" s="614">
        <f>vlookup(A107,'GA Data'!$A$333:$B$494,2,FALSE)</f>
        <v>9</v>
      </c>
      <c r="J107" s="615" t="s">
        <v>63</v>
      </c>
      <c r="K107" s="672" t="s">
        <v>63</v>
      </c>
      <c r="L107" s="671" t="s">
        <v>63</v>
      </c>
      <c r="M107" s="614" t="s">
        <v>63</v>
      </c>
      <c r="N107" s="612" t="s">
        <v>63</v>
      </c>
      <c r="O107" s="612" t="s">
        <v>63</v>
      </c>
      <c r="P107" s="620">
        <f>ifna(vlookup(A107,'Population &amp; Church Numbers'!$A$390:$D$548,4,FALSE),"NULL")</f>
        <v>28</v>
      </c>
      <c r="Q107" s="674" t="s">
        <v>63</v>
      </c>
    </row>
    <row r="108">
      <c r="A108" s="609" t="s">
        <v>613</v>
      </c>
      <c r="B108" s="610">
        <f t="array" ref="B108">VLOOKUP($A108,GA_DEMO,2,FALSE)</f>
        <v>206922</v>
      </c>
      <c r="C108" s="611">
        <f>VLOOKUP($A108,'GA Data'!$B$3:$L$162,2,FALSE)</f>
        <v>492</v>
      </c>
      <c r="D108" s="612" t="s">
        <v>63</v>
      </c>
      <c r="E108" s="612">
        <f>VLOOKUP($A108,'GA Data'!$B$3:$L$162,11,FALSE)</f>
        <v>293</v>
      </c>
      <c r="F108" s="612">
        <f>VLOOKUP($A108,'GA Data'!$B$3:$L$162,8,FALSE)</f>
        <v>129</v>
      </c>
      <c r="G108" s="612" t="s">
        <v>63</v>
      </c>
      <c r="H108" s="671">
        <f>vlookup(A108,'GA Data'!$B$170:$C$329,2,FALSE)</f>
        <v>151</v>
      </c>
      <c r="I108" s="614">
        <f>vlookup(A108,'GA Data'!$A$333:$B$494,2,FALSE)</f>
        <v>52</v>
      </c>
      <c r="J108" s="615" t="s">
        <v>63</v>
      </c>
      <c r="K108" s="672" t="s">
        <v>63</v>
      </c>
      <c r="L108" s="671" t="s">
        <v>63</v>
      </c>
      <c r="M108" s="614" t="s">
        <v>63</v>
      </c>
      <c r="N108" s="612" t="s">
        <v>63</v>
      </c>
      <c r="O108" s="612" t="s">
        <v>63</v>
      </c>
      <c r="P108" s="620">
        <f>ifna(vlookup(A108,'Population &amp; Church Numbers'!$A$390:$D$548,4,FALSE),"NULL")</f>
        <v>215</v>
      </c>
      <c r="Q108" s="674" t="s">
        <v>63</v>
      </c>
    </row>
    <row r="109">
      <c r="A109" s="609" t="s">
        <v>297</v>
      </c>
      <c r="B109" s="610">
        <f t="array" ref="B109">VLOOKUP($A109,GA_DEMO,2,FALSE)</f>
        <v>112483</v>
      </c>
      <c r="C109" s="611">
        <f>VLOOKUP($A109,'GA Data'!$B$3:$L$162,2,FALSE)</f>
        <v>82</v>
      </c>
      <c r="D109" s="612" t="s">
        <v>63</v>
      </c>
      <c r="E109" s="612">
        <f>VLOOKUP($A109,'GA Data'!$B$3:$L$162,11,FALSE)</f>
        <v>41</v>
      </c>
      <c r="F109" s="612">
        <f>VLOOKUP($A109,'GA Data'!$B$3:$L$162,8,FALSE)</f>
        <v>14</v>
      </c>
      <c r="G109" s="612" t="s">
        <v>63</v>
      </c>
      <c r="H109" s="671">
        <f>vlookup(A109,'GA Data'!$B$170:$C$329,2,FALSE)</f>
        <v>91</v>
      </c>
      <c r="I109" s="614">
        <f>vlookup(A109,'GA Data'!$A$333:$B$494,2,FALSE)</f>
        <v>16</v>
      </c>
      <c r="J109" s="615" t="s">
        <v>63</v>
      </c>
      <c r="K109" s="672" t="s">
        <v>63</v>
      </c>
      <c r="L109" s="671" t="s">
        <v>63</v>
      </c>
      <c r="M109" s="614" t="s">
        <v>63</v>
      </c>
      <c r="N109" s="612" t="s">
        <v>63</v>
      </c>
      <c r="O109" s="612" t="s">
        <v>63</v>
      </c>
      <c r="P109" s="620">
        <f>ifna(vlookup(A109,'Population &amp; Church Numbers'!$A$390:$D$548,4,FALSE),"NULL")</f>
        <v>99</v>
      </c>
      <c r="Q109" s="674" t="s">
        <v>63</v>
      </c>
    </row>
    <row r="110">
      <c r="A110" s="609" t="s">
        <v>614</v>
      </c>
      <c r="B110" s="610">
        <f t="array" ref="B110">VLOOKUP($A110,GA_DEMO,2,FALSE)</f>
        <v>41799</v>
      </c>
      <c r="C110" s="611">
        <f>VLOOKUP($A110,'GA Data'!$B$3:$L$162,2,FALSE)</f>
        <v>22</v>
      </c>
      <c r="D110" s="612" t="s">
        <v>63</v>
      </c>
      <c r="E110" s="612">
        <f>VLOOKUP($A110,'GA Data'!$B$3:$L$162,11,FALSE)</f>
        <v>5</v>
      </c>
      <c r="F110" s="612">
        <f>VLOOKUP($A110,'GA Data'!$B$3:$L$162,8,FALSE)</f>
        <v>14</v>
      </c>
      <c r="G110" s="612" t="s">
        <v>63</v>
      </c>
      <c r="H110" s="671">
        <f>vlookup(A110,'GA Data'!$B$170:$C$329,2,FALSE)</f>
        <v>19</v>
      </c>
      <c r="I110" s="614">
        <f>vlookup(A110,'GA Data'!$A$333:$B$494,2,FALSE)</f>
        <v>0</v>
      </c>
      <c r="J110" s="615" t="s">
        <v>63</v>
      </c>
      <c r="K110" s="672" t="s">
        <v>63</v>
      </c>
      <c r="L110" s="671" t="s">
        <v>63</v>
      </c>
      <c r="M110" s="614" t="s">
        <v>63</v>
      </c>
      <c r="N110" s="612" t="s">
        <v>63</v>
      </c>
      <c r="O110" s="612" t="s">
        <v>63</v>
      </c>
      <c r="P110" s="620">
        <f>ifna(vlookup(A110,'Population &amp; Church Numbers'!$A$390:$D$548,4,FALSE),"NULL")</f>
        <v>34</v>
      </c>
      <c r="Q110" s="674" t="s">
        <v>63</v>
      </c>
    </row>
    <row r="111">
      <c r="A111" s="609" t="s">
        <v>615</v>
      </c>
      <c r="B111" s="610">
        <f t="array" ref="B111">VLOOKUP($A111,GA_DEMO,2,FALSE)</f>
        <v>14825</v>
      </c>
      <c r="C111" s="611">
        <f>VLOOKUP($A111,'GA Data'!$B$3:$L$162,2,FALSE)</f>
        <v>10</v>
      </c>
      <c r="D111" s="612" t="s">
        <v>63</v>
      </c>
      <c r="E111" s="612">
        <f>VLOOKUP($A111,'GA Data'!$B$3:$L$162,11,FALSE)</f>
        <v>6</v>
      </c>
      <c r="F111" s="612">
        <f>VLOOKUP($A111,'GA Data'!$B$3:$L$162,8,FALSE)</f>
        <v>1</v>
      </c>
      <c r="G111" s="612" t="s">
        <v>63</v>
      </c>
      <c r="H111" s="671">
        <f>vlookup(A111,'GA Data'!$B$170:$C$329,2,FALSE)</f>
        <v>5</v>
      </c>
      <c r="I111" s="614">
        <f>vlookup(A111,'GA Data'!$A$333:$B$494,2,FALSE)</f>
        <v>4</v>
      </c>
      <c r="J111" s="615" t="s">
        <v>63</v>
      </c>
      <c r="K111" s="672" t="s">
        <v>63</v>
      </c>
      <c r="L111" s="671" t="s">
        <v>63</v>
      </c>
      <c r="M111" s="614" t="s">
        <v>63</v>
      </c>
      <c r="N111" s="612" t="s">
        <v>63</v>
      </c>
      <c r="O111" s="612" t="s">
        <v>63</v>
      </c>
      <c r="P111" s="620">
        <f>ifna(vlookup(A111,'Population &amp; Church Numbers'!$A$390:$D$548,4,FALSE),"NULL")</f>
        <v>24</v>
      </c>
      <c r="Q111" s="674" t="s">
        <v>63</v>
      </c>
    </row>
    <row r="112">
      <c r="A112" s="609" t="s">
        <v>616</v>
      </c>
      <c r="B112" s="610">
        <f t="array" ref="B112">VLOOKUP($A112,GA_DEMO,2,FALSE)</f>
        <v>168661</v>
      </c>
      <c r="C112" s="611">
        <f>VLOOKUP($A112,'GA Data'!$B$3:$L$162,2,FALSE)</f>
        <v>121</v>
      </c>
      <c r="D112" s="612" t="s">
        <v>63</v>
      </c>
      <c r="E112" s="612">
        <f>VLOOKUP($A112,'GA Data'!$B$3:$L$162,11,FALSE)</f>
        <v>51</v>
      </c>
      <c r="F112" s="612">
        <f>VLOOKUP($A112,'GA Data'!$B$3:$L$162,8,FALSE)</f>
        <v>17</v>
      </c>
      <c r="G112" s="612" t="s">
        <v>63</v>
      </c>
      <c r="H112" s="671">
        <f>vlookup(A112,'GA Data'!$B$170:$C$329,2,FALSE)</f>
        <v>105</v>
      </c>
      <c r="I112" s="614">
        <f>vlookup(A112,'GA Data'!$A$333:$B$494,2,FALSE)</f>
        <v>33</v>
      </c>
      <c r="J112" s="615" t="s">
        <v>63</v>
      </c>
      <c r="K112" s="672" t="s">
        <v>63</v>
      </c>
      <c r="L112" s="671" t="s">
        <v>63</v>
      </c>
      <c r="M112" s="614" t="s">
        <v>63</v>
      </c>
      <c r="N112" s="612" t="s">
        <v>63</v>
      </c>
      <c r="O112" s="612" t="s">
        <v>63</v>
      </c>
      <c r="P112" s="620">
        <f>ifna(vlookup(A112,'Population &amp; Church Numbers'!$A$390:$D$548,4,FALSE),"NULL")</f>
        <v>85</v>
      </c>
      <c r="Q112" s="674" t="s">
        <v>63</v>
      </c>
    </row>
    <row r="113">
      <c r="A113" s="609" t="s">
        <v>617</v>
      </c>
      <c r="B113" s="610">
        <f t="array" ref="B113">VLOOKUP($A113,GA_DEMO,2,FALSE)</f>
        <v>27981</v>
      </c>
      <c r="C113" s="611">
        <f>VLOOKUP($A113,'GA Data'!$B$3:$L$162,2,FALSE)</f>
        <v>43</v>
      </c>
      <c r="D113" s="612" t="s">
        <v>63</v>
      </c>
      <c r="E113" s="612">
        <f>VLOOKUP($A113,'GA Data'!$B$3:$L$162,11,FALSE)</f>
        <v>25</v>
      </c>
      <c r="F113" s="612">
        <f>VLOOKUP($A113,'GA Data'!$B$3:$L$162,8,FALSE)</f>
        <v>12</v>
      </c>
      <c r="G113" s="612" t="s">
        <v>63</v>
      </c>
      <c r="H113" s="671">
        <f>vlookup(A113,'GA Data'!$B$170:$C$329,2,FALSE)</f>
        <v>25</v>
      </c>
      <c r="I113" s="614">
        <f>vlookup(A113,'GA Data'!$A$333:$B$494,2,FALSE)</f>
        <v>5</v>
      </c>
      <c r="J113" s="615" t="s">
        <v>63</v>
      </c>
      <c r="K113" s="672" t="s">
        <v>63</v>
      </c>
      <c r="L113" s="671" t="s">
        <v>63</v>
      </c>
      <c r="M113" s="614" t="s">
        <v>63</v>
      </c>
      <c r="N113" s="612" t="s">
        <v>63</v>
      </c>
      <c r="O113" s="612" t="s">
        <v>63</v>
      </c>
      <c r="P113" s="620">
        <f>ifna(vlookup(A113,'Population &amp; Church Numbers'!$A$390:$D$548,4,FALSE),"NULL")</f>
        <v>33</v>
      </c>
      <c r="Q113" s="674" t="s">
        <v>63</v>
      </c>
    </row>
    <row r="114">
      <c r="A114" s="609" t="s">
        <v>160</v>
      </c>
      <c r="B114" s="610">
        <f t="array" ref="B114">VLOOKUP($A114,GA_DEMO,2,FALSE)</f>
        <v>33216</v>
      </c>
      <c r="C114" s="611">
        <f>VLOOKUP($A114,'GA Data'!$B$3:$L$162,2,FALSE)</f>
        <v>56</v>
      </c>
      <c r="D114" s="612" t="s">
        <v>63</v>
      </c>
      <c r="E114" s="612">
        <f>VLOOKUP($A114,'GA Data'!$B$3:$L$162,11,FALSE)</f>
        <v>30</v>
      </c>
      <c r="F114" s="612">
        <f>VLOOKUP($A114,'GA Data'!$B$3:$L$162,8,FALSE)</f>
        <v>8</v>
      </c>
      <c r="G114" s="612" t="s">
        <v>63</v>
      </c>
      <c r="H114" s="671">
        <f>vlookup(A114,'GA Data'!$B$170:$C$329,2,FALSE)</f>
        <v>12</v>
      </c>
      <c r="I114" s="614">
        <f>vlookup(A114,'GA Data'!$A$333:$B$494,2,FALSE)</f>
        <v>18</v>
      </c>
      <c r="J114" s="615" t="s">
        <v>63</v>
      </c>
      <c r="K114" s="672" t="s">
        <v>63</v>
      </c>
      <c r="L114" s="671" t="s">
        <v>63</v>
      </c>
      <c r="M114" s="614" t="s">
        <v>63</v>
      </c>
      <c r="N114" s="612" t="s">
        <v>63</v>
      </c>
      <c r="O114" s="612" t="s">
        <v>63</v>
      </c>
      <c r="P114" s="620">
        <f>ifna(vlookup(A114,'Population &amp; Church Numbers'!$A$390:$D$548,4,FALSE),"NULL")</f>
        <v>24</v>
      </c>
      <c r="Q114" s="674" t="s">
        <v>63</v>
      </c>
    </row>
    <row r="115">
      <c r="A115" s="609" t="s">
        <v>473</v>
      </c>
      <c r="B115" s="610">
        <f t="array" ref="B115">VLOOKUP($A115,GA_DEMO,2,FALSE)</f>
        <v>19716</v>
      </c>
      <c r="C115" s="611">
        <f>VLOOKUP($A115,'GA Data'!$B$3:$L$162,2,FALSE)</f>
        <v>80</v>
      </c>
      <c r="D115" s="612" t="s">
        <v>63</v>
      </c>
      <c r="E115" s="612">
        <f>VLOOKUP($A115,'GA Data'!$B$3:$L$162,11,FALSE)</f>
        <v>45</v>
      </c>
      <c r="F115" s="612">
        <f>VLOOKUP($A115,'GA Data'!$B$3:$L$162,8,FALSE)</f>
        <v>13</v>
      </c>
      <c r="G115" s="612" t="s">
        <v>63</v>
      </c>
      <c r="H115" s="671">
        <f>vlookup(A115,'GA Data'!$B$170:$C$329,2,FALSE)</f>
        <v>14</v>
      </c>
      <c r="I115" s="614">
        <f>vlookup(A115,'GA Data'!$A$333:$B$494,2,FALSE)</f>
        <v>0</v>
      </c>
      <c r="J115" s="615" t="s">
        <v>63</v>
      </c>
      <c r="K115" s="672" t="s">
        <v>63</v>
      </c>
      <c r="L115" s="671" t="s">
        <v>63</v>
      </c>
      <c r="M115" s="614" t="s">
        <v>63</v>
      </c>
      <c r="N115" s="612" t="s">
        <v>63</v>
      </c>
      <c r="O115" s="612" t="s">
        <v>63</v>
      </c>
      <c r="P115" s="620">
        <f>ifna(vlookup(A115,'Population &amp; Church Numbers'!$A$390:$D$548,4,FALSE),"NULL")</f>
        <v>35</v>
      </c>
      <c r="Q115" s="674" t="s">
        <v>63</v>
      </c>
    </row>
    <row r="116">
      <c r="A116" s="609" t="s">
        <v>162</v>
      </c>
      <c r="B116" s="610">
        <f t="array" ref="B116">VLOOKUP($A116,GA_DEMO,2,FALSE)</f>
        <v>18889</v>
      </c>
      <c r="C116" s="611">
        <f>VLOOKUP($A116,'GA Data'!$B$3:$L$162,2,FALSE)</f>
        <v>3</v>
      </c>
      <c r="D116" s="612" t="s">
        <v>63</v>
      </c>
      <c r="E116" s="612">
        <f>VLOOKUP($A116,'GA Data'!$B$3:$L$162,11,FALSE)</f>
        <v>2</v>
      </c>
      <c r="F116" s="612">
        <f>VLOOKUP($A116,'GA Data'!$B$3:$L$162,8,FALSE)</f>
        <v>0</v>
      </c>
      <c r="G116" s="612" t="s">
        <v>63</v>
      </c>
      <c r="H116" s="671">
        <f>vlookup(A116,'GA Data'!$B$170:$C$329,2,FALSE)</f>
        <v>7</v>
      </c>
      <c r="I116" s="614">
        <f>vlookup(A116,'GA Data'!$A$333:$B$494,2,FALSE)</f>
        <v>0</v>
      </c>
      <c r="J116" s="615" t="s">
        <v>63</v>
      </c>
      <c r="K116" s="672" t="s">
        <v>63</v>
      </c>
      <c r="L116" s="671" t="s">
        <v>63</v>
      </c>
      <c r="M116" s="614" t="s">
        <v>63</v>
      </c>
      <c r="N116" s="612" t="s">
        <v>63</v>
      </c>
      <c r="O116" s="612" t="s">
        <v>63</v>
      </c>
      <c r="P116" s="620">
        <f>ifna(vlookup(A116,'Population &amp; Church Numbers'!$A$390:$D$548,4,FALSE),"NULL")</f>
        <v>27</v>
      </c>
      <c r="Q116" s="674" t="s">
        <v>63</v>
      </c>
    </row>
    <row r="117">
      <c r="A117" s="609" t="s">
        <v>302</v>
      </c>
      <c r="B117" s="610">
        <f t="array" ref="B117">VLOOKUP($A117,GA_DEMO,2,FALSE)</f>
        <v>42853</v>
      </c>
      <c r="C117" s="611">
        <f>VLOOKUP($A117,'GA Data'!$B$3:$L$162,2,FALSE)</f>
        <v>86</v>
      </c>
      <c r="D117" s="612" t="s">
        <v>63</v>
      </c>
      <c r="E117" s="612">
        <f>VLOOKUP($A117,'GA Data'!$B$3:$L$162,11,FALSE)</f>
        <v>54</v>
      </c>
      <c r="F117" s="612">
        <f>VLOOKUP($A117,'GA Data'!$B$3:$L$162,8,FALSE)</f>
        <v>13</v>
      </c>
      <c r="G117" s="612" t="s">
        <v>63</v>
      </c>
      <c r="H117" s="671">
        <f>vlookup(A117,'GA Data'!$B$170:$C$329,2,FALSE)</f>
        <v>19</v>
      </c>
      <c r="I117" s="614">
        <f>vlookup(A117,'GA Data'!$A$333:$B$494,2,FALSE)</f>
        <v>21</v>
      </c>
      <c r="J117" s="615" t="s">
        <v>63</v>
      </c>
      <c r="K117" s="672" t="s">
        <v>63</v>
      </c>
      <c r="L117" s="671" t="s">
        <v>63</v>
      </c>
      <c r="M117" s="614" t="s">
        <v>63</v>
      </c>
      <c r="N117" s="612" t="s">
        <v>63</v>
      </c>
      <c r="O117" s="612" t="s">
        <v>63</v>
      </c>
      <c r="P117" s="620">
        <f>ifna(vlookup(A117,'Population &amp; Church Numbers'!$A$390:$D$548,4,FALSE),"NULL")</f>
        <v>46</v>
      </c>
      <c r="Q117" s="674" t="s">
        <v>63</v>
      </c>
    </row>
    <row r="118">
      <c r="A118" s="609" t="s">
        <v>305</v>
      </c>
      <c r="B118" s="610">
        <f t="array" ref="B118">VLOOKUP($A118,GA_DEMO,2,FALSE)</f>
        <v>9855</v>
      </c>
      <c r="C118" s="611">
        <f>VLOOKUP($A118,'GA Data'!$B$3:$L$162,2,FALSE)</f>
        <v>20</v>
      </c>
      <c r="D118" s="612" t="s">
        <v>63</v>
      </c>
      <c r="E118" s="612">
        <f>VLOOKUP($A118,'GA Data'!$B$3:$L$162,11,FALSE)</f>
        <v>11</v>
      </c>
      <c r="F118" s="612">
        <f>VLOOKUP($A118,'GA Data'!$B$3:$L$162,8,FALSE)</f>
        <v>7</v>
      </c>
      <c r="G118" s="612" t="s">
        <v>63</v>
      </c>
      <c r="H118" s="671">
        <f>vlookup(A118,'GA Data'!$B$170:$C$329,2,FALSE)</f>
        <v>3</v>
      </c>
      <c r="I118" s="614">
        <f>vlookup(A118,'GA Data'!$A$333:$B$494,2,FALSE)</f>
        <v>1</v>
      </c>
      <c r="J118" s="615" t="s">
        <v>63</v>
      </c>
      <c r="K118" s="672" t="s">
        <v>63</v>
      </c>
      <c r="L118" s="671" t="s">
        <v>63</v>
      </c>
      <c r="M118" s="614" t="s">
        <v>63</v>
      </c>
      <c r="N118" s="612" t="s">
        <v>63</v>
      </c>
      <c r="O118" s="612" t="s">
        <v>63</v>
      </c>
      <c r="P118" s="620">
        <f>ifna(vlookup(A118,'Population &amp; Church Numbers'!$A$390:$D$548,4,FALSE),"NULL")</f>
        <v>11</v>
      </c>
      <c r="Q118" s="674" t="s">
        <v>63</v>
      </c>
    </row>
    <row r="119">
      <c r="A119" s="609" t="s">
        <v>518</v>
      </c>
      <c r="B119" s="610">
        <f t="array" ref="B119">VLOOKUP($A119,GA_DEMO,2,FALSE)</f>
        <v>22047</v>
      </c>
      <c r="C119" s="611">
        <f>VLOOKUP($A119,'GA Data'!$B$3:$L$162,2,FALSE)</f>
        <v>20</v>
      </c>
      <c r="D119" s="612" t="s">
        <v>63</v>
      </c>
      <c r="E119" s="612">
        <f>VLOOKUP($A119,'GA Data'!$B$3:$L$162,11,FALSE)</f>
        <v>13</v>
      </c>
      <c r="F119" s="612">
        <f>VLOOKUP($A119,'GA Data'!$B$3:$L$162,8,FALSE)</f>
        <v>1</v>
      </c>
      <c r="G119" s="612" t="s">
        <v>63</v>
      </c>
      <c r="H119" s="671">
        <f>vlookup(A119,'GA Data'!$B$170:$C$329,2,FALSE)</f>
        <v>12</v>
      </c>
      <c r="I119" s="614">
        <f>vlookup(A119,'GA Data'!$A$333:$B$494,2,FALSE)</f>
        <v>6</v>
      </c>
      <c r="J119" s="615" t="s">
        <v>63</v>
      </c>
      <c r="K119" s="672" t="s">
        <v>63</v>
      </c>
      <c r="L119" s="671" t="s">
        <v>63</v>
      </c>
      <c r="M119" s="614" t="s">
        <v>63</v>
      </c>
      <c r="N119" s="612" t="s">
        <v>63</v>
      </c>
      <c r="O119" s="612" t="s">
        <v>63</v>
      </c>
      <c r="P119" s="620">
        <f>ifna(vlookup(A119,'Population &amp; Church Numbers'!$A$390:$D$548,4,FALSE),"NULL")</f>
        <v>28</v>
      </c>
      <c r="Q119" s="674" t="s">
        <v>63</v>
      </c>
    </row>
    <row r="120">
      <c r="A120" s="609" t="s">
        <v>618</v>
      </c>
      <c r="B120" s="610">
        <f t="array" ref="B120">VLOOKUP($A120,GA_DEMO,2,FALSE)</f>
        <v>2235</v>
      </c>
      <c r="C120" s="611">
        <f>VLOOKUP($A120,'GA Data'!$B$3:$L$162,2,FALSE)</f>
        <v>6</v>
      </c>
      <c r="D120" s="612" t="s">
        <v>63</v>
      </c>
      <c r="E120" s="612">
        <f>VLOOKUP($A120,'GA Data'!$B$3:$L$162,11,FALSE)</f>
        <v>4</v>
      </c>
      <c r="F120" s="612">
        <f>VLOOKUP($A120,'GA Data'!$B$3:$L$162,8,FALSE)</f>
        <v>2</v>
      </c>
      <c r="G120" s="612" t="s">
        <v>63</v>
      </c>
      <c r="H120" s="671">
        <f>vlookup(A120,'GA Data'!$B$170:$C$329,2,FALSE)</f>
        <v>0</v>
      </c>
      <c r="I120" s="614">
        <f>vlookup(A120,'GA Data'!$A$333:$B$494,2,FALSE)</f>
        <v>0</v>
      </c>
      <c r="J120" s="615" t="s">
        <v>63</v>
      </c>
      <c r="K120" s="672" t="s">
        <v>63</v>
      </c>
      <c r="L120" s="671" t="s">
        <v>63</v>
      </c>
      <c r="M120" s="614" t="s">
        <v>63</v>
      </c>
      <c r="N120" s="612" t="s">
        <v>63</v>
      </c>
      <c r="O120" s="612" t="s">
        <v>63</v>
      </c>
      <c r="P120" s="620">
        <f>ifna(vlookup(A120,'Population &amp; Church Numbers'!$A$390:$D$548,4,FALSE),"NULL")</f>
        <v>6</v>
      </c>
      <c r="Q120" s="674" t="s">
        <v>63</v>
      </c>
    </row>
    <row r="121">
      <c r="A121" s="609" t="s">
        <v>619</v>
      </c>
      <c r="B121" s="610">
        <f t="array" ref="B121">VLOOKUP($A121,GA_DEMO,2,FALSE)</f>
        <v>16883</v>
      </c>
      <c r="C121" s="611">
        <f>VLOOKUP($A121,'GA Data'!$B$3:$L$162,2,FALSE)</f>
        <v>33</v>
      </c>
      <c r="D121" s="612" t="s">
        <v>63</v>
      </c>
      <c r="E121" s="612">
        <f>VLOOKUP($A121,'GA Data'!$B$3:$L$162,11,FALSE)</f>
        <v>21</v>
      </c>
      <c r="F121" s="612">
        <f>VLOOKUP($A121,'GA Data'!$B$3:$L$162,8,FALSE)</f>
        <v>1</v>
      </c>
      <c r="G121" s="612" t="s">
        <v>63</v>
      </c>
      <c r="H121" s="671">
        <f>vlookup(A121,'GA Data'!$B$170:$C$329,2,FALSE)</f>
        <v>13</v>
      </c>
      <c r="I121" s="614">
        <f>vlookup(A121,'GA Data'!$A$333:$B$494,2,FALSE)</f>
        <v>11</v>
      </c>
      <c r="J121" s="615" t="s">
        <v>63</v>
      </c>
      <c r="K121" s="672" t="s">
        <v>63</v>
      </c>
      <c r="L121" s="671" t="s">
        <v>63</v>
      </c>
      <c r="M121" s="614" t="s">
        <v>63</v>
      </c>
      <c r="N121" s="612" t="s">
        <v>63</v>
      </c>
      <c r="O121" s="612" t="s">
        <v>63</v>
      </c>
      <c r="P121" s="620">
        <f>ifna(vlookup(A121,'Population &amp; Church Numbers'!$A$390:$D$548,4,FALSE),"NULL")</f>
        <v>30</v>
      </c>
      <c r="Q121" s="674" t="s">
        <v>63</v>
      </c>
    </row>
    <row r="122">
      <c r="A122" s="609" t="s">
        <v>163</v>
      </c>
      <c r="B122" s="610">
        <f t="array" ref="B122">VLOOKUP($A122,GA_DEMO,2,FALSE)</f>
        <v>6425</v>
      </c>
      <c r="C122" s="611">
        <f>VLOOKUP($A122,'GA Data'!$B$3:$L$162,2,FALSE)</f>
        <v>8</v>
      </c>
      <c r="D122" s="612" t="s">
        <v>63</v>
      </c>
      <c r="E122" s="612">
        <f>VLOOKUP($A122,'GA Data'!$B$3:$L$162,11,FALSE)</f>
        <v>5</v>
      </c>
      <c r="F122" s="612">
        <f>VLOOKUP($A122,'GA Data'!$B$3:$L$162,8,FALSE)</f>
        <v>2</v>
      </c>
      <c r="G122" s="612" t="s">
        <v>63</v>
      </c>
      <c r="H122" s="671">
        <f>vlookup(A122,'GA Data'!$B$170:$C$329,2,FALSE)</f>
        <v>6</v>
      </c>
      <c r="I122" s="614">
        <f>vlookup(A122,'GA Data'!$A$333:$B$494,2,FALSE)</f>
        <v>5</v>
      </c>
      <c r="J122" s="615" t="s">
        <v>63</v>
      </c>
      <c r="K122" s="672" t="s">
        <v>63</v>
      </c>
      <c r="L122" s="671" t="s">
        <v>63</v>
      </c>
      <c r="M122" s="614" t="s">
        <v>63</v>
      </c>
      <c r="N122" s="612" t="s">
        <v>63</v>
      </c>
      <c r="O122" s="612" t="s">
        <v>63</v>
      </c>
      <c r="P122" s="620">
        <f>ifna(vlookup(A122,'Population &amp; Church Numbers'!$A$390:$D$548,4,FALSE),"NULL")</f>
        <v>19</v>
      </c>
      <c r="Q122" s="674" t="s">
        <v>63</v>
      </c>
    </row>
    <row r="123">
      <c r="A123" s="609" t="s">
        <v>621</v>
      </c>
      <c r="B123" s="610">
        <f t="array" ref="B123">VLOOKUP($A123,GA_DEMO,2,FALSE)</f>
        <v>206607</v>
      </c>
      <c r="C123" s="611">
        <f>VLOOKUP($A123,'GA Data'!$B$3:$L$162,2,FALSE)</f>
        <v>427</v>
      </c>
      <c r="D123" s="612" t="s">
        <v>63</v>
      </c>
      <c r="E123" s="612">
        <f>VLOOKUP($A123,'GA Data'!$B$3:$L$162,11,FALSE)</f>
        <v>235</v>
      </c>
      <c r="F123" s="612">
        <f>VLOOKUP($A123,'GA Data'!$B$3:$L$162,8,FALSE)</f>
        <v>105</v>
      </c>
      <c r="G123" s="612" t="s">
        <v>63</v>
      </c>
      <c r="H123" s="671">
        <f>vlookup(A123,'GA Data'!$B$170:$C$329,2,FALSE)</f>
        <v>118</v>
      </c>
      <c r="I123" s="614">
        <f>vlookup(A123,'GA Data'!$A$333:$B$494,2,FALSE)</f>
        <v>45</v>
      </c>
      <c r="J123" s="615" t="s">
        <v>63</v>
      </c>
      <c r="K123" s="672" t="s">
        <v>63</v>
      </c>
      <c r="L123" s="671" t="s">
        <v>63</v>
      </c>
      <c r="M123" s="614" t="s">
        <v>63</v>
      </c>
      <c r="N123" s="612" t="s">
        <v>63</v>
      </c>
      <c r="O123" s="612" t="s">
        <v>63</v>
      </c>
      <c r="P123" s="620">
        <f>ifna(vlookup(A123,'Population &amp; Church Numbers'!$A$390:$D$548,4,FALSE),"NULL")</f>
        <v>239</v>
      </c>
      <c r="Q123" s="674" t="s">
        <v>63</v>
      </c>
    </row>
    <row r="124">
      <c r="A124" s="609" t="s">
        <v>622</v>
      </c>
      <c r="B124" s="610">
        <f t="array" ref="B124">VLOOKUP($A124,GA_DEMO,2,FALSE)</f>
        <v>93570</v>
      </c>
      <c r="C124" s="611">
        <f>VLOOKUP($A124,'GA Data'!$B$3:$L$162,2,FALSE)</f>
        <v>83</v>
      </c>
      <c r="D124" s="612" t="s">
        <v>63</v>
      </c>
      <c r="E124" s="612">
        <f>VLOOKUP($A124,'GA Data'!$B$3:$L$162,11,FALSE)</f>
        <v>63</v>
      </c>
      <c r="F124" s="612">
        <f>VLOOKUP($A124,'GA Data'!$B$3:$L$162,8,FALSE)</f>
        <v>5</v>
      </c>
      <c r="G124" s="612" t="s">
        <v>63</v>
      </c>
      <c r="H124" s="671">
        <f>vlookup(A124,'GA Data'!$B$170:$C$329,2,FALSE)</f>
        <v>77</v>
      </c>
      <c r="I124" s="614">
        <f>vlookup(A124,'GA Data'!$A$333:$B$494,2,FALSE)</f>
        <v>18</v>
      </c>
      <c r="J124" s="615" t="s">
        <v>63</v>
      </c>
      <c r="K124" s="672" t="s">
        <v>63</v>
      </c>
      <c r="L124" s="671" t="s">
        <v>63</v>
      </c>
      <c r="M124" s="614" t="s">
        <v>63</v>
      </c>
      <c r="N124" s="612" t="s">
        <v>63</v>
      </c>
      <c r="O124" s="612" t="s">
        <v>63</v>
      </c>
      <c r="P124" s="620">
        <f>ifna(vlookup(A124,'Population &amp; Church Numbers'!$A$390:$D$548,4,FALSE),"NULL")</f>
        <v>83</v>
      </c>
      <c r="Q124" s="674" t="s">
        <v>63</v>
      </c>
    </row>
    <row r="125">
      <c r="A125" s="609" t="s">
        <v>623</v>
      </c>
      <c r="B125" s="610">
        <f t="array" ref="B125">VLOOKUP($A125,GA_DEMO,2,FALSE)</f>
        <v>4547</v>
      </c>
      <c r="C125" s="611">
        <f>VLOOKUP($A125,'GA Data'!$B$3:$L$162,2,FALSE)</f>
        <v>4</v>
      </c>
      <c r="D125" s="612" t="s">
        <v>63</v>
      </c>
      <c r="E125" s="612">
        <f>VLOOKUP($A125,'GA Data'!$B$3:$L$162,11,FALSE)</f>
        <v>0</v>
      </c>
      <c r="F125" s="612">
        <f>VLOOKUP($A125,'GA Data'!$B$3:$L$162,8,FALSE)</f>
        <v>4</v>
      </c>
      <c r="G125" s="612" t="s">
        <v>63</v>
      </c>
      <c r="H125" s="671">
        <f>vlookup(A125,'GA Data'!$B$170:$C$329,2,FALSE)</f>
        <v>3</v>
      </c>
      <c r="I125" s="614">
        <f>vlookup(A125,'GA Data'!$A$333:$B$494,2,FALSE)</f>
        <v>0</v>
      </c>
      <c r="J125" s="615" t="s">
        <v>63</v>
      </c>
      <c r="K125" s="672" t="s">
        <v>63</v>
      </c>
      <c r="L125" s="671" t="s">
        <v>63</v>
      </c>
      <c r="M125" s="614" t="s">
        <v>63</v>
      </c>
      <c r="N125" s="612" t="s">
        <v>63</v>
      </c>
      <c r="O125" s="612" t="s">
        <v>63</v>
      </c>
      <c r="P125" s="620">
        <f>ifna(vlookup(A125,'Population &amp; Church Numbers'!$A$390:$D$548,4,FALSE),"NULL")</f>
        <v>8</v>
      </c>
      <c r="Q125" s="674" t="s">
        <v>63</v>
      </c>
    </row>
    <row r="126">
      <c r="A126" s="609" t="s">
        <v>625</v>
      </c>
      <c r="B126" s="610">
        <f t="array" ref="B126">VLOOKUP($A126,GA_DEMO,2,FALSE)</f>
        <v>14067</v>
      </c>
      <c r="C126" s="611">
        <f>VLOOKUP($A126,'GA Data'!$B$3:$L$162,2,FALSE)</f>
        <v>39</v>
      </c>
      <c r="D126" s="612" t="s">
        <v>63</v>
      </c>
      <c r="E126" s="612">
        <f>VLOOKUP($A126,'GA Data'!$B$3:$L$162,11,FALSE)</f>
        <v>27</v>
      </c>
      <c r="F126" s="612">
        <f>VLOOKUP($A126,'GA Data'!$B$3:$L$162,8,FALSE)</f>
        <v>3</v>
      </c>
      <c r="G126" s="612" t="s">
        <v>63</v>
      </c>
      <c r="H126" s="671">
        <f>vlookup(A126,'GA Data'!$B$170:$C$329,2,FALSE)</f>
        <v>16</v>
      </c>
      <c r="I126" s="614">
        <f>vlookup(A126,'GA Data'!$A$333:$B$494,2,FALSE)</f>
        <v>4</v>
      </c>
      <c r="J126" s="615" t="s">
        <v>63</v>
      </c>
      <c r="K126" s="672" t="s">
        <v>63</v>
      </c>
      <c r="L126" s="671" t="s">
        <v>63</v>
      </c>
      <c r="M126" s="614" t="s">
        <v>63</v>
      </c>
      <c r="N126" s="612" t="s">
        <v>63</v>
      </c>
      <c r="O126" s="612" t="s">
        <v>63</v>
      </c>
      <c r="P126" s="620">
        <f>ifna(vlookup(A126,'Population &amp; Church Numbers'!$A$390:$D$548,4,FALSE),"NULL")</f>
        <v>59</v>
      </c>
      <c r="Q126" s="674" t="s">
        <v>63</v>
      </c>
    </row>
    <row r="127">
      <c r="A127" s="609" t="s">
        <v>524</v>
      </c>
      <c r="B127" s="610">
        <f t="array" ref="B127">VLOOKUP($A127,GA_DEMO,2,FALSE)</f>
        <v>9147</v>
      </c>
      <c r="C127" s="611">
        <f>VLOOKUP($A127,'GA Data'!$B$3:$L$162,2,FALSE)</f>
        <v>6</v>
      </c>
      <c r="D127" s="612" t="s">
        <v>63</v>
      </c>
      <c r="E127" s="612">
        <f>VLOOKUP($A127,'GA Data'!$B$3:$L$162,11,FALSE)</f>
        <v>5</v>
      </c>
      <c r="F127" s="612">
        <f>VLOOKUP($A127,'GA Data'!$B$3:$L$162,8,FALSE)</f>
        <v>0</v>
      </c>
      <c r="G127" s="612" t="s">
        <v>63</v>
      </c>
      <c r="H127" s="671">
        <f>vlookup(A127,'GA Data'!$B$170:$C$329,2,FALSE)</f>
        <v>3</v>
      </c>
      <c r="I127" s="614">
        <f>vlookup(A127,'GA Data'!$A$333:$B$494,2,FALSE)</f>
        <v>1</v>
      </c>
      <c r="J127" s="615" t="s">
        <v>63</v>
      </c>
      <c r="K127" s="672" t="s">
        <v>63</v>
      </c>
      <c r="L127" s="671" t="s">
        <v>63</v>
      </c>
      <c r="M127" s="614" t="s">
        <v>63</v>
      </c>
      <c r="N127" s="612" t="s">
        <v>63</v>
      </c>
      <c r="O127" s="612" t="s">
        <v>63</v>
      </c>
      <c r="P127" s="620">
        <f>ifna(vlookup(A127,'Population &amp; Church Numbers'!$A$390:$D$548,4,FALSE),"NULL")</f>
        <v>20</v>
      </c>
      <c r="Q127" s="674" t="s">
        <v>63</v>
      </c>
    </row>
    <row r="128">
      <c r="A128" s="609" t="s">
        <v>626</v>
      </c>
      <c r="B128" s="610">
        <f t="array" ref="B128">VLOOKUP($A128,GA_DEMO,2,FALSE)</f>
        <v>67306</v>
      </c>
      <c r="C128" s="611">
        <f>VLOOKUP($A128,'GA Data'!$B$3:$L$162,2,FALSE)</f>
        <v>78</v>
      </c>
      <c r="D128" s="612" t="s">
        <v>63</v>
      </c>
      <c r="E128" s="612">
        <f>VLOOKUP($A128,'GA Data'!$B$3:$L$162,11,FALSE)</f>
        <v>51</v>
      </c>
      <c r="F128" s="612">
        <f>VLOOKUP($A128,'GA Data'!$B$3:$L$162,8,FALSE)</f>
        <v>6</v>
      </c>
      <c r="G128" s="612" t="s">
        <v>63</v>
      </c>
      <c r="H128" s="671">
        <f>vlookup(A128,'GA Data'!$B$170:$C$329,2,FALSE)</f>
        <v>47</v>
      </c>
      <c r="I128" s="614">
        <f>vlookup(A128,'GA Data'!$A$333:$B$494,2,FALSE)</f>
        <v>10</v>
      </c>
      <c r="J128" s="615" t="s">
        <v>63</v>
      </c>
      <c r="K128" s="672" t="s">
        <v>63</v>
      </c>
      <c r="L128" s="671" t="s">
        <v>63</v>
      </c>
      <c r="M128" s="614" t="s">
        <v>63</v>
      </c>
      <c r="N128" s="612" t="s">
        <v>63</v>
      </c>
      <c r="O128" s="612" t="s">
        <v>63</v>
      </c>
      <c r="P128" s="620">
        <f>ifna(vlookup(A128,'Population &amp; Church Numbers'!$A$390:$D$548,4,FALSE),"NULL")</f>
        <v>80</v>
      </c>
      <c r="Q128" s="674" t="s">
        <v>63</v>
      </c>
    </row>
    <row r="129">
      <c r="A129" s="609" t="s">
        <v>628</v>
      </c>
      <c r="B129" s="610">
        <f t="array" ref="B129">VLOOKUP($A129,GA_DEMO,2,FALSE)</f>
        <v>26784</v>
      </c>
      <c r="C129" s="611">
        <f>VLOOKUP($A129,'GA Data'!$B$3:$L$162,2,FALSE)</f>
        <v>70</v>
      </c>
      <c r="D129" s="612" t="s">
        <v>63</v>
      </c>
      <c r="E129" s="612">
        <f>VLOOKUP($A129,'GA Data'!$B$3:$L$162,11,FALSE)</f>
        <v>45</v>
      </c>
      <c r="F129" s="612">
        <f>VLOOKUP($A129,'GA Data'!$B$3:$L$162,8,FALSE)</f>
        <v>9</v>
      </c>
      <c r="G129" s="612" t="s">
        <v>63</v>
      </c>
      <c r="H129" s="671">
        <f>vlookup(A129,'GA Data'!$B$170:$C$329,2,FALSE)</f>
        <v>16</v>
      </c>
      <c r="I129" s="614">
        <f>vlookup(A129,'GA Data'!$A$333:$B$494,2,FALSE)</f>
        <v>6</v>
      </c>
      <c r="J129" s="615" t="s">
        <v>63</v>
      </c>
      <c r="K129" s="672" t="s">
        <v>63</v>
      </c>
      <c r="L129" s="671" t="s">
        <v>63</v>
      </c>
      <c r="M129" s="614" t="s">
        <v>63</v>
      </c>
      <c r="N129" s="612" t="s">
        <v>63</v>
      </c>
      <c r="O129" s="612" t="s">
        <v>63</v>
      </c>
      <c r="P129" s="620">
        <f>ifna(vlookup(A129,'Population &amp; Church Numbers'!$A$390:$D$548,4,FALSE),"NULL")</f>
        <v>41</v>
      </c>
      <c r="Q129" s="674" t="s">
        <v>63</v>
      </c>
    </row>
    <row r="130">
      <c r="A130" s="609" t="s">
        <v>629</v>
      </c>
      <c r="B130" s="610">
        <f t="array" ref="B130">VLOOKUP($A130,GA_DEMO,2,FALSE)</f>
        <v>5314</v>
      </c>
      <c r="C130" s="611">
        <f>VLOOKUP($A130,'GA Data'!$B$3:$L$162,2,FALSE)</f>
        <v>7</v>
      </c>
      <c r="D130" s="612" t="s">
        <v>63</v>
      </c>
      <c r="E130" s="612">
        <f>VLOOKUP($A130,'GA Data'!$B$3:$L$162,11,FALSE)</f>
        <v>4</v>
      </c>
      <c r="F130" s="612">
        <f>VLOOKUP($A130,'GA Data'!$B$3:$L$162,8,FALSE)</f>
        <v>1</v>
      </c>
      <c r="G130" s="612" t="s">
        <v>63</v>
      </c>
      <c r="H130" s="671">
        <f>vlookup(A130,'GA Data'!$B$170:$C$329,2,FALSE)</f>
        <v>1</v>
      </c>
      <c r="I130" s="614">
        <f>vlookup(A130,'GA Data'!$A$333:$B$494,2,FALSE)</f>
        <v>0</v>
      </c>
      <c r="J130" s="615" t="s">
        <v>63</v>
      </c>
      <c r="K130" s="672" t="s">
        <v>63</v>
      </c>
      <c r="L130" s="671" t="s">
        <v>63</v>
      </c>
      <c r="M130" s="614" t="s">
        <v>63</v>
      </c>
      <c r="N130" s="612" t="s">
        <v>63</v>
      </c>
      <c r="O130" s="612" t="s">
        <v>63</v>
      </c>
      <c r="P130" s="620">
        <f>ifna(vlookup(A130,'Population &amp; Church Numbers'!$A$390:$D$548,4,FALSE),"NULL")</f>
        <v>5</v>
      </c>
      <c r="Q130" s="674" t="s">
        <v>63</v>
      </c>
    </row>
    <row r="131">
      <c r="A131" s="609" t="s">
        <v>169</v>
      </c>
      <c r="B131" s="610">
        <f t="array" ref="B131">VLOOKUP($A131,GA_DEMO,2,FALSE)</f>
        <v>29616</v>
      </c>
      <c r="C131" s="611">
        <f>VLOOKUP($A131,'GA Data'!$B$3:$L$162,2,FALSE)</f>
        <v>104</v>
      </c>
      <c r="D131" s="612" t="s">
        <v>63</v>
      </c>
      <c r="E131" s="612">
        <f>VLOOKUP($A131,'GA Data'!$B$3:$L$162,11,FALSE)</f>
        <v>42</v>
      </c>
      <c r="F131" s="612">
        <f>VLOOKUP($A131,'GA Data'!$B$3:$L$162,8,FALSE)</f>
        <v>40</v>
      </c>
      <c r="G131" s="612" t="s">
        <v>63</v>
      </c>
      <c r="H131" s="671">
        <f>vlookup(A131,'GA Data'!$B$170:$C$329,2,FALSE)</f>
        <v>22</v>
      </c>
      <c r="I131" s="614">
        <f>vlookup(A131,'GA Data'!$A$333:$B$494,2,FALSE)</f>
        <v>15</v>
      </c>
      <c r="J131" s="615" t="s">
        <v>63</v>
      </c>
      <c r="K131" s="672" t="s">
        <v>63</v>
      </c>
      <c r="L131" s="671" t="s">
        <v>63</v>
      </c>
      <c r="M131" s="614" t="s">
        <v>63</v>
      </c>
      <c r="N131" s="612" t="s">
        <v>63</v>
      </c>
      <c r="O131" s="612" t="s">
        <v>63</v>
      </c>
      <c r="P131" s="620">
        <f>ifna(vlookup(A131,'Population &amp; Church Numbers'!$A$390:$D$548,4,FALSE),"NULL")</f>
        <v>59</v>
      </c>
      <c r="Q131" s="674" t="s">
        <v>63</v>
      </c>
    </row>
    <row r="132">
      <c r="A132" s="609" t="s">
        <v>630</v>
      </c>
      <c r="B132" s="610">
        <f t="array" ref="B132">VLOOKUP($A132,GA_DEMO,2,FALSE)</f>
        <v>5733</v>
      </c>
      <c r="C132" s="611">
        <f>VLOOKUP($A132,'GA Data'!$B$3:$L$162,2,FALSE)</f>
        <v>7</v>
      </c>
      <c r="D132" s="612" t="s">
        <v>63</v>
      </c>
      <c r="E132" s="612">
        <f>VLOOKUP($A132,'GA Data'!$B$3:$L$162,11,FALSE)</f>
        <v>3</v>
      </c>
      <c r="F132" s="612">
        <f>VLOOKUP($A132,'GA Data'!$B$3:$L$162,8,FALSE)</f>
        <v>3</v>
      </c>
      <c r="G132" s="612" t="s">
        <v>63</v>
      </c>
      <c r="H132" s="671">
        <f>vlookup(A132,'GA Data'!$B$170:$C$329,2,FALSE)</f>
        <v>1</v>
      </c>
      <c r="I132" s="614">
        <f>vlookup(A132,'GA Data'!$A$333:$B$494,2,FALSE)</f>
        <v>0</v>
      </c>
      <c r="J132" s="615" t="s">
        <v>63</v>
      </c>
      <c r="K132" s="672" t="s">
        <v>63</v>
      </c>
      <c r="L132" s="671" t="s">
        <v>63</v>
      </c>
      <c r="M132" s="614" t="s">
        <v>63</v>
      </c>
      <c r="N132" s="612" t="s">
        <v>63</v>
      </c>
      <c r="O132" s="612" t="s">
        <v>63</v>
      </c>
      <c r="P132" s="620">
        <f>ifna(vlookup(A132,'Population &amp; Church Numbers'!$A$390:$D$548,4,FALSE),"NULL")</f>
        <v>10</v>
      </c>
      <c r="Q132" s="674" t="s">
        <v>63</v>
      </c>
    </row>
    <row r="133">
      <c r="A133" s="609" t="s">
        <v>631</v>
      </c>
      <c r="B133" s="610">
        <f t="array" ref="B133">VLOOKUP($A133,GA_DEMO,2,FALSE)</f>
        <v>1559</v>
      </c>
      <c r="C133" s="611">
        <f>VLOOKUP($A133,'GA Data'!$B$3:$L$162,2,FALSE)</f>
        <v>0</v>
      </c>
      <c r="D133" s="612" t="s">
        <v>63</v>
      </c>
      <c r="E133" s="612">
        <f>VLOOKUP($A133,'GA Data'!$B$3:$L$162,11,FALSE)</f>
        <v>0</v>
      </c>
      <c r="F133" s="612">
        <f>VLOOKUP($A133,'GA Data'!$B$3:$L$162,8,FALSE)</f>
        <v>0</v>
      </c>
      <c r="G133" s="612" t="s">
        <v>63</v>
      </c>
      <c r="H133" s="671">
        <f>vlookup(A133,'GA Data'!$B$170:$C$329,2,FALSE)</f>
        <v>2</v>
      </c>
      <c r="I133" s="614">
        <f>vlookup(A133,'GA Data'!$A$333:$B$494,2,FALSE)</f>
        <v>0</v>
      </c>
      <c r="J133" s="615" t="s">
        <v>63</v>
      </c>
      <c r="K133" s="672" t="s">
        <v>63</v>
      </c>
      <c r="L133" s="671" t="s">
        <v>63</v>
      </c>
      <c r="M133" s="614" t="s">
        <v>63</v>
      </c>
      <c r="N133" s="612" t="s">
        <v>63</v>
      </c>
      <c r="O133" s="612" t="s">
        <v>63</v>
      </c>
      <c r="P133" s="620">
        <f>ifna(vlookup(A133,'Population &amp; Church Numbers'!$A$390:$D$548,4,FALSE),"NULL")</f>
        <v>4</v>
      </c>
      <c r="Q133" s="674" t="s">
        <v>63</v>
      </c>
    </row>
    <row r="134">
      <c r="A134" s="609" t="s">
        <v>632</v>
      </c>
      <c r="B134" s="610">
        <f t="array" ref="B134">VLOOKUP($A134,GA_DEMO,2,FALSE)</f>
        <v>22842</v>
      </c>
      <c r="C134" s="611">
        <f>VLOOKUP($A134,'GA Data'!$B$3:$L$162,2,FALSE)</f>
        <v>31</v>
      </c>
      <c r="D134" s="612" t="s">
        <v>63</v>
      </c>
      <c r="E134" s="612">
        <f>VLOOKUP($A134,'GA Data'!$B$3:$L$162,11,FALSE)</f>
        <v>9</v>
      </c>
      <c r="F134" s="612">
        <f>VLOOKUP($A134,'GA Data'!$B$3:$L$162,8,FALSE)</f>
        <v>12</v>
      </c>
      <c r="G134" s="612" t="s">
        <v>63</v>
      </c>
      <c r="H134" s="671">
        <f>vlookup(A134,'GA Data'!$B$170:$C$329,2,FALSE)</f>
        <v>7</v>
      </c>
      <c r="I134" s="614">
        <f>vlookup(A134,'GA Data'!$A$333:$B$494,2,FALSE)</f>
        <v>1</v>
      </c>
      <c r="J134" s="615" t="s">
        <v>63</v>
      </c>
      <c r="K134" s="672" t="s">
        <v>63</v>
      </c>
      <c r="L134" s="671" t="s">
        <v>63</v>
      </c>
      <c r="M134" s="614" t="s">
        <v>63</v>
      </c>
      <c r="N134" s="612" t="s">
        <v>63</v>
      </c>
      <c r="O134" s="612" t="s">
        <v>63</v>
      </c>
      <c r="P134" s="620">
        <f>ifna(vlookup(A134,'Population &amp; Church Numbers'!$A$390:$D$548,4,FALSE),"NULL")</f>
        <v>47</v>
      </c>
      <c r="Q134" s="674" t="s">
        <v>63</v>
      </c>
    </row>
    <row r="135">
      <c r="A135" s="609" t="s">
        <v>526</v>
      </c>
      <c r="B135" s="610">
        <f t="array" ref="B135">VLOOKUP($A135,GA_DEMO,2,FALSE)</f>
        <v>7816</v>
      </c>
      <c r="C135" s="611">
        <f>VLOOKUP($A135,'GA Data'!$B$3:$L$162,2,FALSE)</f>
        <v>19</v>
      </c>
      <c r="D135" s="612" t="s">
        <v>63</v>
      </c>
      <c r="E135" s="612">
        <f>VLOOKUP($A135,'GA Data'!$B$3:$L$162,11,FALSE)</f>
        <v>5</v>
      </c>
      <c r="F135" s="612">
        <f>VLOOKUP($A135,'GA Data'!$B$3:$L$162,8,FALSE)</f>
        <v>11</v>
      </c>
      <c r="G135" s="612" t="s">
        <v>63</v>
      </c>
      <c r="H135" s="671">
        <f>vlookup(A135,'GA Data'!$B$170:$C$329,2,FALSE)</f>
        <v>8</v>
      </c>
      <c r="I135" s="614">
        <f>vlookup(A135,'GA Data'!$A$333:$B$494,2,FALSE)</f>
        <v>1</v>
      </c>
      <c r="J135" s="615" t="s">
        <v>63</v>
      </c>
      <c r="K135" s="672" t="s">
        <v>63</v>
      </c>
      <c r="L135" s="671" t="s">
        <v>63</v>
      </c>
      <c r="M135" s="614" t="s">
        <v>63</v>
      </c>
      <c r="N135" s="612" t="s">
        <v>63</v>
      </c>
      <c r="O135" s="612" t="s">
        <v>63</v>
      </c>
      <c r="P135" s="620">
        <f>ifna(vlookup(A135,'Population &amp; Church Numbers'!$A$390:$D$548,4,FALSE),"NULL")</f>
        <v>17</v>
      </c>
      <c r="Q135" s="674" t="s">
        <v>63</v>
      </c>
    </row>
    <row r="136">
      <c r="A136" s="609" t="s">
        <v>633</v>
      </c>
      <c r="B136" s="610">
        <f t="array" ref="B136">VLOOKUP($A136,GA_DEMO,2,FALSE)</f>
        <v>12477</v>
      </c>
      <c r="C136" s="611">
        <f>VLOOKUP($A136,'GA Data'!$B$3:$L$162,2,FALSE)</f>
        <v>26</v>
      </c>
      <c r="D136" s="612" t="s">
        <v>63</v>
      </c>
      <c r="E136" s="612">
        <f>VLOOKUP($A136,'GA Data'!$B$3:$L$162,11,FALSE)</f>
        <v>13</v>
      </c>
      <c r="F136" s="612">
        <f>VLOOKUP($A136,'GA Data'!$B$3:$L$162,8,FALSE)</f>
        <v>6</v>
      </c>
      <c r="G136" s="612" t="s">
        <v>63</v>
      </c>
      <c r="H136" s="671">
        <f>vlookup(A136,'GA Data'!$B$170:$C$329,2,FALSE)</f>
        <v>3</v>
      </c>
      <c r="I136" s="614">
        <f>vlookup(A136,'GA Data'!$A$333:$B$494,2,FALSE)</f>
        <v>2</v>
      </c>
      <c r="J136" s="615" t="s">
        <v>63</v>
      </c>
      <c r="K136" s="672" t="s">
        <v>63</v>
      </c>
      <c r="L136" s="671" t="s">
        <v>63</v>
      </c>
      <c r="M136" s="614" t="s">
        <v>63</v>
      </c>
      <c r="N136" s="612" t="s">
        <v>63</v>
      </c>
      <c r="O136" s="612" t="s">
        <v>63</v>
      </c>
      <c r="P136" s="620">
        <f>ifna(vlookup(A136,'Population &amp; Church Numbers'!$A$390:$D$548,4,FALSE),"NULL")</f>
        <v>25</v>
      </c>
      <c r="Q136" s="674" t="s">
        <v>63</v>
      </c>
    </row>
    <row r="137">
      <c r="A137" s="609" t="s">
        <v>635</v>
      </c>
      <c r="B137" s="610">
        <f t="array" ref="B137">VLOOKUP($A137,GA_DEMO,2,FALSE)</f>
        <v>9185</v>
      </c>
      <c r="C137" s="611">
        <f>VLOOKUP($A137,'GA Data'!$B$3:$L$162,2,FALSE)</f>
        <v>15</v>
      </c>
      <c r="D137" s="612" t="s">
        <v>63</v>
      </c>
      <c r="E137" s="612">
        <f>VLOOKUP($A137,'GA Data'!$B$3:$L$162,11,FALSE)</f>
        <v>12</v>
      </c>
      <c r="F137" s="612">
        <f>VLOOKUP($A137,'GA Data'!$B$3:$L$162,8,FALSE)</f>
        <v>1</v>
      </c>
      <c r="G137" s="612" t="s">
        <v>63</v>
      </c>
      <c r="H137" s="671">
        <f>vlookup(A137,'GA Data'!$B$170:$C$329,2,FALSE)</f>
        <v>11</v>
      </c>
      <c r="I137" s="614">
        <f>vlookup(A137,'GA Data'!$A$333:$B$494,2,FALSE)</f>
        <v>1</v>
      </c>
      <c r="J137" s="615" t="s">
        <v>63</v>
      </c>
      <c r="K137" s="672" t="s">
        <v>63</v>
      </c>
      <c r="L137" s="671" t="s">
        <v>63</v>
      </c>
      <c r="M137" s="614" t="s">
        <v>63</v>
      </c>
      <c r="N137" s="612" t="s">
        <v>63</v>
      </c>
      <c r="O137" s="612" t="s">
        <v>63</v>
      </c>
      <c r="P137" s="620">
        <f>ifna(vlookup(A137,'Population &amp; Church Numbers'!$A$390:$D$548,4,FALSE),"NULL")</f>
        <v>19</v>
      </c>
      <c r="Q137" s="674" t="s">
        <v>63</v>
      </c>
    </row>
    <row r="138">
      <c r="A138" s="609" t="s">
        <v>636</v>
      </c>
      <c r="B138" s="610">
        <f t="array" ref="B138">VLOOKUP($A138,GA_DEMO,2,FALSE)</f>
        <v>45798</v>
      </c>
      <c r="C138" s="611">
        <f>VLOOKUP($A138,'GA Data'!$B$3:$L$162,2,FALSE)</f>
        <v>55</v>
      </c>
      <c r="D138" s="612" t="s">
        <v>63</v>
      </c>
      <c r="E138" s="612">
        <f>VLOOKUP($A138,'GA Data'!$B$3:$L$162,11,FALSE)</f>
        <v>29</v>
      </c>
      <c r="F138" s="612">
        <f>VLOOKUP($A138,'GA Data'!$B$3:$L$162,8,FALSE)</f>
        <v>7</v>
      </c>
      <c r="G138" s="612" t="s">
        <v>63</v>
      </c>
      <c r="H138" s="671">
        <f>vlookup(A138,'GA Data'!$B$170:$C$329,2,FALSE)</f>
        <v>25</v>
      </c>
      <c r="I138" s="614">
        <f>vlookup(A138,'GA Data'!$A$333:$B$494,2,FALSE)</f>
        <v>11</v>
      </c>
      <c r="J138" s="615" t="s">
        <v>63</v>
      </c>
      <c r="K138" s="672" t="s">
        <v>63</v>
      </c>
      <c r="L138" s="671" t="s">
        <v>63</v>
      </c>
      <c r="M138" s="614" t="s">
        <v>63</v>
      </c>
      <c r="N138" s="612" t="s">
        <v>63</v>
      </c>
      <c r="O138" s="612" t="s">
        <v>63</v>
      </c>
      <c r="P138" s="620">
        <f>ifna(vlookup(A138,'Population &amp; Church Numbers'!$A$390:$D$548,4,FALSE),"NULL")</f>
        <v>94</v>
      </c>
      <c r="Q138" s="674" t="s">
        <v>63</v>
      </c>
    </row>
    <row r="139">
      <c r="A139" s="609" t="s">
        <v>637</v>
      </c>
      <c r="B139" s="610">
        <f t="array" ref="B139">VLOOKUP($A139,GA_DEMO,2,FALSE)</f>
        <v>41344</v>
      </c>
      <c r="C139" s="611">
        <f>VLOOKUP($A139,'GA Data'!$B$3:$L$162,2,FALSE)</f>
        <v>103</v>
      </c>
      <c r="D139" s="612" t="s">
        <v>63</v>
      </c>
      <c r="E139" s="612">
        <f>VLOOKUP($A139,'GA Data'!$B$3:$L$162,11,FALSE)</f>
        <v>35</v>
      </c>
      <c r="F139" s="612">
        <f>VLOOKUP($A139,'GA Data'!$B$3:$L$162,8,FALSE)</f>
        <v>50</v>
      </c>
      <c r="G139" s="612" t="s">
        <v>63</v>
      </c>
      <c r="H139" s="671">
        <f>vlookup(A139,'GA Data'!$B$170:$C$329,2,FALSE)</f>
        <v>20</v>
      </c>
      <c r="I139" s="614">
        <f>vlookup(A139,'GA Data'!$A$333:$B$494,2,FALSE)</f>
        <v>14</v>
      </c>
      <c r="J139" s="615" t="s">
        <v>63</v>
      </c>
      <c r="K139" s="672" t="s">
        <v>63</v>
      </c>
      <c r="L139" s="671" t="s">
        <v>63</v>
      </c>
      <c r="M139" s="614" t="s">
        <v>63</v>
      </c>
      <c r="N139" s="612" t="s">
        <v>63</v>
      </c>
      <c r="O139" s="612" t="s">
        <v>63</v>
      </c>
      <c r="P139" s="620">
        <f>ifna(vlookup(A139,'Population &amp; Church Numbers'!$A$390:$D$548,4,FALSE),"NULL")</f>
        <v>58</v>
      </c>
      <c r="Q139" s="674" t="s">
        <v>63</v>
      </c>
    </row>
    <row r="140">
      <c r="A140" s="609" t="s">
        <v>638</v>
      </c>
      <c r="B140" s="610">
        <f t="array" ref="B140">VLOOKUP($A140,GA_DEMO,2,FALSE)</f>
        <v>27030</v>
      </c>
      <c r="C140" s="611">
        <f>VLOOKUP($A140,'GA Data'!$B$3:$L$162,2,FALSE)</f>
        <v>32</v>
      </c>
      <c r="D140" s="612" t="s">
        <v>63</v>
      </c>
      <c r="E140" s="612">
        <f>VLOOKUP($A140,'GA Data'!$B$3:$L$162,11,FALSE)</f>
        <v>16</v>
      </c>
      <c r="F140" s="612">
        <f>VLOOKUP($A140,'GA Data'!$B$3:$L$162,8,FALSE)</f>
        <v>9</v>
      </c>
      <c r="G140" s="612" t="s">
        <v>63</v>
      </c>
      <c r="H140" s="671">
        <f>vlookup(A140,'GA Data'!$B$170:$C$329,2,FALSE)</f>
        <v>14</v>
      </c>
      <c r="I140" s="614">
        <f>vlookup(A140,'GA Data'!$A$333:$B$494,2,FALSE)</f>
        <v>3</v>
      </c>
      <c r="J140" s="615" t="s">
        <v>63</v>
      </c>
      <c r="K140" s="672" t="s">
        <v>63</v>
      </c>
      <c r="L140" s="671" t="s">
        <v>63</v>
      </c>
      <c r="M140" s="614" t="s">
        <v>63</v>
      </c>
      <c r="N140" s="612" t="s">
        <v>63</v>
      </c>
      <c r="O140" s="612" t="s">
        <v>63</v>
      </c>
      <c r="P140" s="620">
        <f>ifna(vlookup(A140,'Population &amp; Church Numbers'!$A$390:$D$548,4,FALSE),"NULL")</f>
        <v>45</v>
      </c>
      <c r="Q140" s="674" t="s">
        <v>63</v>
      </c>
    </row>
    <row r="141">
      <c r="A141" s="609" t="s">
        <v>639</v>
      </c>
      <c r="B141" s="610">
        <f t="array" ref="B141">VLOOKUP($A141,GA_DEMO,2,FALSE)</f>
        <v>12493</v>
      </c>
      <c r="C141" s="611">
        <f>VLOOKUP($A141,'GA Data'!$B$3:$L$162,2,FALSE)</f>
        <v>8</v>
      </c>
      <c r="D141" s="612" t="s">
        <v>63</v>
      </c>
      <c r="E141" s="612">
        <f>VLOOKUP($A141,'GA Data'!$B$3:$L$162,11,FALSE)</f>
        <v>5</v>
      </c>
      <c r="F141" s="612">
        <f>VLOOKUP($A141,'GA Data'!$B$3:$L$162,8,FALSE)</f>
        <v>1</v>
      </c>
      <c r="G141" s="612" t="s">
        <v>63</v>
      </c>
      <c r="H141" s="671">
        <f>vlookup(A141,'GA Data'!$B$170:$C$329,2,FALSE)</f>
        <v>4</v>
      </c>
      <c r="I141" s="614">
        <f>vlookup(A141,'GA Data'!$A$333:$B$494,2,FALSE)</f>
        <v>4</v>
      </c>
      <c r="J141" s="615" t="s">
        <v>63</v>
      </c>
      <c r="K141" s="672" t="s">
        <v>63</v>
      </c>
      <c r="L141" s="671" t="s">
        <v>63</v>
      </c>
      <c r="M141" s="614" t="s">
        <v>63</v>
      </c>
      <c r="N141" s="612" t="s">
        <v>63</v>
      </c>
      <c r="O141" s="612" t="s">
        <v>63</v>
      </c>
      <c r="P141" s="620">
        <f>ifna(vlookup(A141,'Population &amp; Church Numbers'!$A$390:$D$548,4,FALSE),"NULL")</f>
        <v>20</v>
      </c>
      <c r="Q141" s="674" t="s">
        <v>63</v>
      </c>
    </row>
    <row r="142">
      <c r="A142" s="609" t="s">
        <v>640</v>
      </c>
      <c r="B142" s="610">
        <f t="array" ref="B142">VLOOKUP($A142,GA_DEMO,2,FALSE)</f>
        <v>6406</v>
      </c>
      <c r="C142" s="611">
        <f>VLOOKUP($A142,'GA Data'!$B$3:$L$162,2,FALSE)</f>
        <v>6</v>
      </c>
      <c r="D142" s="612" t="s">
        <v>63</v>
      </c>
      <c r="E142" s="612">
        <f>VLOOKUP($A142,'GA Data'!$B$3:$L$162,11,FALSE)</f>
        <v>4</v>
      </c>
      <c r="F142" s="612">
        <f>VLOOKUP($A142,'GA Data'!$B$3:$L$162,8,FALSE)</f>
        <v>1</v>
      </c>
      <c r="G142" s="612" t="s">
        <v>63</v>
      </c>
      <c r="H142" s="671">
        <f>vlookup(A142,'GA Data'!$B$170:$C$329,2,FALSE)</f>
        <v>2</v>
      </c>
      <c r="I142" s="614">
        <f>vlookup(A142,'GA Data'!$A$333:$B$494,2,FALSE)</f>
        <v>0</v>
      </c>
      <c r="J142" s="615" t="s">
        <v>63</v>
      </c>
      <c r="K142" s="672" t="s">
        <v>63</v>
      </c>
      <c r="L142" s="671" t="s">
        <v>63</v>
      </c>
      <c r="M142" s="614" t="s">
        <v>63</v>
      </c>
      <c r="N142" s="612" t="s">
        <v>63</v>
      </c>
      <c r="O142" s="612" t="s">
        <v>63</v>
      </c>
      <c r="P142" s="620">
        <f>ifna(vlookup(A142,'Population &amp; Church Numbers'!$A$390:$D$548,4,FALSE),"NULL")</f>
        <v>14</v>
      </c>
      <c r="Q142" s="674" t="s">
        <v>63</v>
      </c>
    </row>
    <row r="143">
      <c r="A143" s="609" t="s">
        <v>641</v>
      </c>
      <c r="B143" s="610">
        <f t="array" ref="B143">VLOOKUP($A143,GA_DEMO,2,FALSE)</f>
        <v>69426</v>
      </c>
      <c r="C143" s="611">
        <f>VLOOKUP($A143,'GA Data'!$B$3:$L$162,2,FALSE)</f>
        <v>85</v>
      </c>
      <c r="D143" s="612" t="s">
        <v>63</v>
      </c>
      <c r="E143" s="612">
        <f>VLOOKUP($A143,'GA Data'!$B$3:$L$162,11,FALSE)</f>
        <v>48</v>
      </c>
      <c r="F143" s="612">
        <f>VLOOKUP($A143,'GA Data'!$B$3:$L$162,8,FALSE)</f>
        <v>8</v>
      </c>
      <c r="G143" s="612" t="s">
        <v>63</v>
      </c>
      <c r="H143" s="671">
        <f>vlookup(A143,'GA Data'!$B$170:$C$329,2,FALSE)</f>
        <v>20</v>
      </c>
      <c r="I143" s="614">
        <f>vlookup(A143,'GA Data'!$A$333:$B$494,2,FALSE)</f>
        <v>11</v>
      </c>
      <c r="J143" s="615" t="s">
        <v>63</v>
      </c>
      <c r="K143" s="672" t="s">
        <v>63</v>
      </c>
      <c r="L143" s="671" t="s">
        <v>63</v>
      </c>
      <c r="M143" s="614" t="s">
        <v>63</v>
      </c>
      <c r="N143" s="612" t="s">
        <v>63</v>
      </c>
      <c r="O143" s="612" t="s">
        <v>63</v>
      </c>
      <c r="P143" s="620">
        <f>ifna(vlookup(A143,'Population &amp; Church Numbers'!$A$390:$D$548,4,FALSE),"NULL")</f>
        <v>105</v>
      </c>
      <c r="Q143" s="674" t="s">
        <v>63</v>
      </c>
    </row>
    <row r="144">
      <c r="A144" s="609" t="s">
        <v>642</v>
      </c>
      <c r="B144" s="610">
        <f t="array" ref="B144">VLOOKUP($A144,GA_DEMO,2,FALSE)</f>
        <v>9006</v>
      </c>
      <c r="C144" s="611">
        <f>VLOOKUP($A144,'GA Data'!$B$3:$L$162,2,FALSE)</f>
        <v>15</v>
      </c>
      <c r="D144" s="612" t="s">
        <v>63</v>
      </c>
      <c r="E144" s="612">
        <f>VLOOKUP($A144,'GA Data'!$B$3:$L$162,11,FALSE)</f>
        <v>10</v>
      </c>
      <c r="F144" s="612">
        <f>VLOOKUP($A144,'GA Data'!$B$3:$L$162,8,FALSE)</f>
        <v>3</v>
      </c>
      <c r="G144" s="612" t="s">
        <v>63</v>
      </c>
      <c r="H144" s="671">
        <f>vlookup(A144,'GA Data'!$B$170:$C$329,2,FALSE)</f>
        <v>11</v>
      </c>
      <c r="I144" s="614">
        <f>vlookup(A144,'GA Data'!$A$333:$B$494,2,FALSE)</f>
        <v>0</v>
      </c>
      <c r="J144" s="615" t="s">
        <v>63</v>
      </c>
      <c r="K144" s="672" t="s">
        <v>63</v>
      </c>
      <c r="L144" s="671" t="s">
        <v>63</v>
      </c>
      <c r="M144" s="614" t="s">
        <v>63</v>
      </c>
      <c r="N144" s="612" t="s">
        <v>63</v>
      </c>
      <c r="O144" s="612" t="s">
        <v>63</v>
      </c>
      <c r="P144" s="620">
        <f>ifna(vlookup(A144,'Population &amp; Church Numbers'!$A$390:$D$548,4,FALSE),"NULL")</f>
        <v>18</v>
      </c>
      <c r="Q144" s="674" t="s">
        <v>63</v>
      </c>
    </row>
    <row r="145">
      <c r="A145" s="609" t="s">
        <v>643</v>
      </c>
      <c r="B145" s="610">
        <f t="array" ref="B145">VLOOKUP($A145,GA_DEMO,2,FALSE)</f>
        <v>8022</v>
      </c>
      <c r="C145" s="611">
        <f>VLOOKUP($A145,'GA Data'!$B$3:$L$162,2,FALSE)</f>
        <v>9</v>
      </c>
      <c r="D145" s="612" t="s">
        <v>63</v>
      </c>
      <c r="E145" s="612">
        <f>VLOOKUP($A145,'GA Data'!$B$3:$L$162,11,FALSE)</f>
        <v>4</v>
      </c>
      <c r="F145" s="612">
        <f>VLOOKUP($A145,'GA Data'!$B$3:$L$162,8,FALSE)</f>
        <v>0</v>
      </c>
      <c r="G145" s="612" t="s">
        <v>63</v>
      </c>
      <c r="H145" s="671">
        <f>vlookup(A145,'GA Data'!$B$170:$C$329,2,FALSE)</f>
        <v>6</v>
      </c>
      <c r="I145" s="614">
        <f>vlookup(A145,'GA Data'!$A$333:$B$494,2,FALSE)</f>
        <v>6</v>
      </c>
      <c r="J145" s="615" t="s">
        <v>63</v>
      </c>
      <c r="K145" s="672" t="s">
        <v>63</v>
      </c>
      <c r="L145" s="671" t="s">
        <v>63</v>
      </c>
      <c r="M145" s="614" t="s">
        <v>63</v>
      </c>
      <c r="N145" s="612" t="s">
        <v>63</v>
      </c>
      <c r="O145" s="612" t="s">
        <v>63</v>
      </c>
      <c r="P145" s="620">
        <f>ifna(vlookup(A145,'Population &amp; Church Numbers'!$A$390:$D$548,4,FALSE),"NULL")</f>
        <v>28</v>
      </c>
      <c r="Q145" s="674" t="s">
        <v>63</v>
      </c>
    </row>
    <row r="146">
      <c r="A146" s="609" t="s">
        <v>316</v>
      </c>
      <c r="B146" s="610">
        <f t="array" ref="B146">VLOOKUP($A146,GA_DEMO,2,FALSE)</f>
        <v>24632</v>
      </c>
      <c r="C146" s="611">
        <f>VLOOKUP($A146,'GA Data'!$B$3:$L$162,2,FALSE)</f>
        <v>41</v>
      </c>
      <c r="D146" s="612" t="s">
        <v>63</v>
      </c>
      <c r="E146" s="612">
        <f>VLOOKUP($A146,'GA Data'!$B$3:$L$162,11,FALSE)</f>
        <v>22</v>
      </c>
      <c r="F146" s="612">
        <f>VLOOKUP($A146,'GA Data'!$B$3:$L$162,8,FALSE)</f>
        <v>8</v>
      </c>
      <c r="G146" s="612" t="s">
        <v>63</v>
      </c>
      <c r="H146" s="671">
        <f>vlookup(A146,'GA Data'!$B$170:$C$329,2,FALSE)</f>
        <v>11</v>
      </c>
      <c r="I146" s="614">
        <f>vlookup(A146,'GA Data'!$A$333:$B$494,2,FALSE)</f>
        <v>6</v>
      </c>
      <c r="J146" s="615" t="s">
        <v>63</v>
      </c>
      <c r="K146" s="672" t="s">
        <v>63</v>
      </c>
      <c r="L146" s="671" t="s">
        <v>63</v>
      </c>
      <c r="M146" s="614" t="s">
        <v>63</v>
      </c>
      <c r="N146" s="612" t="s">
        <v>63</v>
      </c>
      <c r="O146" s="612" t="s">
        <v>63</v>
      </c>
      <c r="P146" s="620">
        <f>ifna(vlookup(A146,'Population &amp; Church Numbers'!$A$390:$D$548,4,FALSE),"NULL")</f>
        <v>41</v>
      </c>
      <c r="Q146" s="674" t="s">
        <v>63</v>
      </c>
    </row>
    <row r="147">
      <c r="A147" s="609" t="s">
        <v>644</v>
      </c>
      <c r="B147" s="610">
        <f t="array" ref="B147">VLOOKUP($A147,GA_DEMO,2,FALSE)</f>
        <v>27700</v>
      </c>
      <c r="C147" s="611">
        <f>VLOOKUP($A147,'GA Data'!$B$3:$L$162,2,FALSE)</f>
        <v>60</v>
      </c>
      <c r="D147" s="612" t="s">
        <v>63</v>
      </c>
      <c r="E147" s="612">
        <f>VLOOKUP($A147,'GA Data'!$B$3:$L$162,11,FALSE)</f>
        <v>24</v>
      </c>
      <c r="F147" s="612">
        <f>VLOOKUP($A147,'GA Data'!$B$3:$L$162,8,FALSE)</f>
        <v>17</v>
      </c>
      <c r="G147" s="612" t="s">
        <v>63</v>
      </c>
      <c r="H147" s="671">
        <f>vlookup(A147,'GA Data'!$B$170:$C$329,2,FALSE)</f>
        <v>13</v>
      </c>
      <c r="I147" s="614">
        <f>vlookup(A147,'GA Data'!$A$333:$B$494,2,FALSE)</f>
        <v>4</v>
      </c>
      <c r="J147" s="615" t="s">
        <v>63</v>
      </c>
      <c r="K147" s="672" t="s">
        <v>63</v>
      </c>
      <c r="L147" s="671" t="s">
        <v>63</v>
      </c>
      <c r="M147" s="614" t="s">
        <v>63</v>
      </c>
      <c r="N147" s="612" t="s">
        <v>63</v>
      </c>
      <c r="O147" s="612" t="s">
        <v>63</v>
      </c>
      <c r="P147" s="620">
        <f>ifna(vlookup(A147,'Population &amp; Church Numbers'!$A$390:$D$548,4,FALSE),"NULL")</f>
        <v>44</v>
      </c>
      <c r="Q147" s="674" t="s">
        <v>63</v>
      </c>
    </row>
    <row r="148">
      <c r="A148" s="609" t="s">
        <v>175</v>
      </c>
      <c r="B148" s="610">
        <f t="array" ref="B148">VLOOKUP($A148,GA_DEMO,2,FALSE)</f>
        <v>67654</v>
      </c>
      <c r="C148" s="611">
        <f>VLOOKUP($A148,'GA Data'!$B$3:$L$162,2,FALSE)</f>
        <v>166</v>
      </c>
      <c r="D148" s="612" t="s">
        <v>63</v>
      </c>
      <c r="E148" s="612">
        <f>VLOOKUP($A148,'GA Data'!$B$3:$L$162,11,FALSE)</f>
        <v>122</v>
      </c>
      <c r="F148" s="612">
        <f>VLOOKUP($A148,'GA Data'!$B$3:$L$162,8,FALSE)</f>
        <v>13</v>
      </c>
      <c r="G148" s="612" t="s">
        <v>63</v>
      </c>
      <c r="H148" s="671">
        <f>vlookup(A148,'GA Data'!$B$170:$C$329,2,FALSE)</f>
        <v>42</v>
      </c>
      <c r="I148" s="614">
        <f>vlookup(A148,'GA Data'!$A$333:$B$494,2,FALSE)</f>
        <v>11</v>
      </c>
      <c r="J148" s="615" t="s">
        <v>63</v>
      </c>
      <c r="K148" s="672" t="s">
        <v>63</v>
      </c>
      <c r="L148" s="671" t="s">
        <v>63</v>
      </c>
      <c r="M148" s="614" t="s">
        <v>63</v>
      </c>
      <c r="N148" s="612" t="s">
        <v>63</v>
      </c>
      <c r="O148" s="612" t="s">
        <v>63</v>
      </c>
      <c r="P148" s="620">
        <f>ifna(vlookup(A148,'Population &amp; Church Numbers'!$A$390:$D$548,4,FALSE),"NULL")</f>
        <v>97</v>
      </c>
      <c r="Q148" s="674" t="s">
        <v>63</v>
      </c>
    </row>
    <row r="149">
      <c r="A149" s="609" t="s">
        <v>530</v>
      </c>
      <c r="B149" s="610">
        <f t="array" ref="B149">VLOOKUP($A149,GA_DEMO,2,FALSE)</f>
        <v>96673</v>
      </c>
      <c r="C149" s="611">
        <f>VLOOKUP($A149,'GA Data'!$B$3:$L$162,2,FALSE)</f>
        <v>125</v>
      </c>
      <c r="D149" s="612" t="s">
        <v>63</v>
      </c>
      <c r="E149" s="612">
        <f>VLOOKUP($A149,'GA Data'!$B$3:$L$162,11,FALSE)</f>
        <v>73</v>
      </c>
      <c r="F149" s="612">
        <f>VLOOKUP($A149,'GA Data'!$B$3:$L$162,8,FALSE)</f>
        <v>21</v>
      </c>
      <c r="G149" s="612" t="s">
        <v>63</v>
      </c>
      <c r="H149" s="671">
        <f>vlookup(A149,'GA Data'!$B$170:$C$329,2,FALSE)</f>
        <v>64</v>
      </c>
      <c r="I149" s="614">
        <f>vlookup(A149,'GA Data'!$A$333:$B$494,2,FALSE)</f>
        <v>17</v>
      </c>
      <c r="J149" s="615" t="s">
        <v>63</v>
      </c>
      <c r="K149" s="672" t="s">
        <v>63</v>
      </c>
      <c r="L149" s="671" t="s">
        <v>63</v>
      </c>
      <c r="M149" s="614" t="s">
        <v>63</v>
      </c>
      <c r="N149" s="612" t="s">
        <v>63</v>
      </c>
      <c r="O149" s="612" t="s">
        <v>63</v>
      </c>
      <c r="P149" s="620">
        <f>ifna(vlookup(A149,'Population &amp; Church Numbers'!$A$390:$D$548,4,FALSE),"NULL")</f>
        <v>83</v>
      </c>
      <c r="Q149" s="674" t="s">
        <v>63</v>
      </c>
    </row>
    <row r="150">
      <c r="A150" s="609" t="s">
        <v>646</v>
      </c>
      <c r="B150" s="610">
        <f t="array" ref="B150">VLOOKUP($A150,GA_DEMO,2,FALSE)</f>
        <v>36251</v>
      </c>
      <c r="C150" s="611">
        <f>VLOOKUP($A150,'GA Data'!$B$3:$L$162,2,FALSE)</f>
        <v>151</v>
      </c>
      <c r="D150" s="612" t="s">
        <v>63</v>
      </c>
      <c r="E150" s="612">
        <f>VLOOKUP($A150,'GA Data'!$B$3:$L$162,11,FALSE)</f>
        <v>87</v>
      </c>
      <c r="F150" s="612">
        <f>VLOOKUP($A150,'GA Data'!$B$3:$L$162,8,FALSE)</f>
        <v>24</v>
      </c>
      <c r="G150" s="612" t="s">
        <v>63</v>
      </c>
      <c r="H150" s="671">
        <f>vlookup(A150,'GA Data'!$B$170:$C$329,2,FALSE)</f>
        <v>23</v>
      </c>
      <c r="I150" s="614">
        <f>vlookup(A150,'GA Data'!$A$333:$B$494,2,FALSE)</f>
        <v>3</v>
      </c>
      <c r="J150" s="615" t="s">
        <v>63</v>
      </c>
      <c r="K150" s="672" t="s">
        <v>63</v>
      </c>
      <c r="L150" s="671" t="s">
        <v>63</v>
      </c>
      <c r="M150" s="614" t="s">
        <v>63</v>
      </c>
      <c r="N150" s="612" t="s">
        <v>63</v>
      </c>
      <c r="O150" s="612" t="s">
        <v>63</v>
      </c>
      <c r="P150" s="620">
        <f>ifna(vlookup(A150,'Population &amp; Church Numbers'!$A$390:$D$548,4,FALSE),"NULL")</f>
        <v>79</v>
      </c>
      <c r="Q150" s="674" t="s">
        <v>63</v>
      </c>
    </row>
    <row r="151">
      <c r="A151" s="609" t="s">
        <v>647</v>
      </c>
      <c r="B151" s="610">
        <f t="array" ref="B151">VLOOKUP($A151,GA_DEMO,2,FALSE)</f>
        <v>5215</v>
      </c>
      <c r="C151" s="611">
        <f>VLOOKUP($A151,'GA Data'!$B$3:$L$162,2,FALSE)</f>
        <v>8</v>
      </c>
      <c r="D151" s="612" t="s">
        <v>63</v>
      </c>
      <c r="E151" s="612">
        <f>VLOOKUP($A151,'GA Data'!$B$3:$L$162,11,FALSE)</f>
        <v>3</v>
      </c>
      <c r="F151" s="612">
        <f>VLOOKUP($A151,'GA Data'!$B$3:$L$162,8,FALSE)</f>
        <v>3</v>
      </c>
      <c r="G151" s="612" t="s">
        <v>63</v>
      </c>
      <c r="H151" s="671">
        <f>vlookup(A151,'GA Data'!$B$170:$C$329,2,FALSE)</f>
        <v>0</v>
      </c>
      <c r="I151" s="614">
        <f>vlookup(A151,'GA Data'!$A$333:$B$494,2,FALSE)</f>
        <v>1</v>
      </c>
      <c r="J151" s="615" t="s">
        <v>63</v>
      </c>
      <c r="K151" s="672" t="s">
        <v>63</v>
      </c>
      <c r="L151" s="671" t="s">
        <v>63</v>
      </c>
      <c r="M151" s="614" t="s">
        <v>63</v>
      </c>
      <c r="N151" s="612" t="s">
        <v>63</v>
      </c>
      <c r="O151" s="612" t="s">
        <v>63</v>
      </c>
      <c r="P151" s="620">
        <f>ifna(vlookup(A151,'Population &amp; Church Numbers'!$A$390:$D$548,4,FALSE),"NULL")</f>
        <v>15</v>
      </c>
      <c r="Q151" s="674" t="s">
        <v>63</v>
      </c>
    </row>
    <row r="152">
      <c r="A152" s="609" t="s">
        <v>119</v>
      </c>
      <c r="B152" s="610">
        <f t="array" ref="B152">VLOOKUP($A152,GA_DEMO,2,FALSE)</f>
        <v>19988</v>
      </c>
      <c r="C152" s="611">
        <f>VLOOKUP($A152,'GA Data'!$B$3:$L$162,2,FALSE)</f>
        <v>94</v>
      </c>
      <c r="D152" s="612" t="s">
        <v>63</v>
      </c>
      <c r="E152" s="612">
        <f>VLOOKUP($A152,'GA Data'!$B$3:$L$162,11,FALSE)</f>
        <v>54</v>
      </c>
      <c r="F152" s="612">
        <f>VLOOKUP($A152,'GA Data'!$B$3:$L$162,8,FALSE)</f>
        <v>23</v>
      </c>
      <c r="G152" s="612" t="s">
        <v>63</v>
      </c>
      <c r="H152" s="671">
        <f>vlookup(A152,'GA Data'!$B$170:$C$329,2,FALSE)</f>
        <v>14</v>
      </c>
      <c r="I152" s="614">
        <f>vlookup(A152,'GA Data'!$A$333:$B$494,2,FALSE)</f>
        <v>0</v>
      </c>
      <c r="J152" s="615" t="s">
        <v>63</v>
      </c>
      <c r="K152" s="672" t="s">
        <v>63</v>
      </c>
      <c r="L152" s="671" t="s">
        <v>63</v>
      </c>
      <c r="M152" s="614" t="s">
        <v>63</v>
      </c>
      <c r="N152" s="612" t="s">
        <v>63</v>
      </c>
      <c r="O152" s="612" t="s">
        <v>63</v>
      </c>
      <c r="P152" s="620">
        <f>ifna(vlookup(A152,'Population &amp; Church Numbers'!$A$390:$D$548,4,FALSE),"NULL")</f>
        <v>43</v>
      </c>
      <c r="Q152" s="674" t="s">
        <v>63</v>
      </c>
    </row>
    <row r="153">
      <c r="A153" s="609" t="s">
        <v>273</v>
      </c>
      <c r="B153" s="610">
        <f t="array" ref="B153">VLOOKUP($A153,GA_DEMO,2,FALSE)</f>
        <v>30144</v>
      </c>
      <c r="C153" s="611">
        <f>VLOOKUP($A153,'GA Data'!$B$3:$L$162,2,FALSE)</f>
        <v>34</v>
      </c>
      <c r="D153" s="612" t="s">
        <v>63</v>
      </c>
      <c r="E153" s="612">
        <f>VLOOKUP($A153,'GA Data'!$B$3:$L$162,11,FALSE)</f>
        <v>24</v>
      </c>
      <c r="F153" s="612">
        <f>VLOOKUP($A153,'GA Data'!$B$3:$L$162,8,FALSE)</f>
        <v>1</v>
      </c>
      <c r="G153" s="612" t="s">
        <v>63</v>
      </c>
      <c r="H153" s="671">
        <f>vlookup(A153,'GA Data'!$B$170:$C$329,2,FALSE)</f>
        <v>14</v>
      </c>
      <c r="I153" s="614">
        <f>vlookup(A153,'GA Data'!$A$333:$B$494,2,FALSE)</f>
        <v>3</v>
      </c>
      <c r="J153" s="615" t="s">
        <v>63</v>
      </c>
      <c r="K153" s="672" t="s">
        <v>63</v>
      </c>
      <c r="L153" s="671" t="s">
        <v>63</v>
      </c>
      <c r="M153" s="614" t="s">
        <v>63</v>
      </c>
      <c r="N153" s="612" t="s">
        <v>63</v>
      </c>
      <c r="O153" s="612" t="s">
        <v>63</v>
      </c>
      <c r="P153" s="620">
        <f>ifna(vlookup(A153,'Population &amp; Church Numbers'!$A$390:$D$548,4,FALSE),"NULL")</f>
        <v>64</v>
      </c>
      <c r="Q153" s="674" t="s">
        <v>63</v>
      </c>
    </row>
    <row r="154">
      <c r="A154" s="609" t="s">
        <v>648</v>
      </c>
      <c r="B154" s="610">
        <f t="array" ref="B154">VLOOKUP($A154,GA_DEMO,2,FALSE)</f>
        <v>2348</v>
      </c>
      <c r="C154" s="611">
        <f>VLOOKUP($A154,'GA Data'!$B$3:$L$162,2,FALSE)</f>
        <v>1</v>
      </c>
      <c r="D154" s="612" t="s">
        <v>63</v>
      </c>
      <c r="E154" s="612">
        <f>VLOOKUP($A154,'GA Data'!$B$3:$L$162,11,FALSE)</f>
        <v>0</v>
      </c>
      <c r="F154" s="612">
        <f>VLOOKUP($A154,'GA Data'!$B$3:$L$162,8,FALSE)</f>
        <v>1</v>
      </c>
      <c r="G154" s="612" t="s">
        <v>63</v>
      </c>
      <c r="H154" s="671">
        <f>vlookup(A154,'GA Data'!$B$170:$C$329,2,FALSE)</f>
        <v>1</v>
      </c>
      <c r="I154" s="614">
        <f>vlookup(A154,'GA Data'!$A$333:$B$494,2,FALSE)</f>
        <v>1</v>
      </c>
      <c r="J154" s="615" t="s">
        <v>63</v>
      </c>
      <c r="K154" s="672" t="s">
        <v>63</v>
      </c>
      <c r="L154" s="671" t="s">
        <v>63</v>
      </c>
      <c r="M154" s="614" t="s">
        <v>63</v>
      </c>
      <c r="N154" s="612" t="s">
        <v>63</v>
      </c>
      <c r="O154" s="612" t="s">
        <v>63</v>
      </c>
      <c r="P154" s="620">
        <f>ifna(vlookup(A154,'Population &amp; Church Numbers'!$A$390:$D$548,4,FALSE),"NULL")</f>
        <v>7</v>
      </c>
      <c r="Q154" s="674" t="s">
        <v>63</v>
      </c>
    </row>
    <row r="155">
      <c r="A155" s="609" t="s">
        <v>649</v>
      </c>
      <c r="B155" s="610">
        <f t="array" ref="B155">VLOOKUP($A155,GA_DEMO,2,FALSE)</f>
        <v>7471</v>
      </c>
      <c r="C155" s="611">
        <f>VLOOKUP($A155,'GA Data'!$B$3:$L$162,2,FALSE)</f>
        <v>6</v>
      </c>
      <c r="D155" s="612" t="s">
        <v>63</v>
      </c>
      <c r="E155" s="612">
        <f>VLOOKUP($A155,'GA Data'!$B$3:$L$162,11,FALSE)</f>
        <v>5</v>
      </c>
      <c r="F155" s="612">
        <f>VLOOKUP($A155,'GA Data'!$B$3:$L$162,8,FALSE)</f>
        <v>0</v>
      </c>
      <c r="G155" s="612" t="s">
        <v>63</v>
      </c>
      <c r="H155" s="671">
        <f>vlookup(A155,'GA Data'!$B$170:$C$329,2,FALSE)</f>
        <v>4</v>
      </c>
      <c r="I155" s="614">
        <f>vlookup(A155,'GA Data'!$A$333:$B$494,2,FALSE)</f>
        <v>0</v>
      </c>
      <c r="J155" s="615" t="s">
        <v>63</v>
      </c>
      <c r="K155" s="672" t="s">
        <v>63</v>
      </c>
      <c r="L155" s="671" t="s">
        <v>63</v>
      </c>
      <c r="M155" s="614" t="s">
        <v>63</v>
      </c>
      <c r="N155" s="612" t="s">
        <v>63</v>
      </c>
      <c r="O155" s="612" t="s">
        <v>63</v>
      </c>
      <c r="P155" s="620">
        <f>ifna(vlookup(A155,'Population &amp; Church Numbers'!$A$390:$D$548,4,FALSE),"NULL")</f>
        <v>14</v>
      </c>
      <c r="Q155" s="674" t="s">
        <v>63</v>
      </c>
    </row>
    <row r="156">
      <c r="A156" s="609" t="s">
        <v>66</v>
      </c>
      <c r="B156" s="610">
        <f t="array" ref="B156">VLOOKUP($A156,GA_DEMO,2,FALSE)</f>
        <v>28003</v>
      </c>
      <c r="C156" s="611">
        <f>VLOOKUP($A156,'GA Data'!$B$3:$L$162,2,FALSE)</f>
        <v>80</v>
      </c>
      <c r="D156" s="612" t="s">
        <v>63</v>
      </c>
      <c r="E156" s="612">
        <f>VLOOKUP($A156,'GA Data'!$B$3:$L$162,11,FALSE)</f>
        <v>49</v>
      </c>
      <c r="F156" s="612">
        <f>VLOOKUP($A156,'GA Data'!$B$3:$L$162,8,FALSE)</f>
        <v>13</v>
      </c>
      <c r="G156" s="612" t="s">
        <v>63</v>
      </c>
      <c r="H156" s="671">
        <f>vlookup(A156,'GA Data'!$B$170:$C$329,2,FALSE)</f>
        <v>16</v>
      </c>
      <c r="I156" s="614">
        <f>vlookup(A156,'GA Data'!$A$333:$B$494,2,FALSE)</f>
        <v>9</v>
      </c>
      <c r="J156" s="615" t="s">
        <v>63</v>
      </c>
      <c r="K156" s="672" t="s">
        <v>63</v>
      </c>
      <c r="L156" s="671" t="s">
        <v>63</v>
      </c>
      <c r="M156" s="614" t="s">
        <v>63</v>
      </c>
      <c r="N156" s="612" t="s">
        <v>63</v>
      </c>
      <c r="O156" s="612" t="s">
        <v>63</v>
      </c>
      <c r="P156" s="620">
        <f>ifna(vlookup(A156,'Population &amp; Church Numbers'!$A$390:$D$548,4,FALSE),"NULL")</f>
        <v>34</v>
      </c>
      <c r="Q156" s="674" t="s">
        <v>63</v>
      </c>
    </row>
    <row r="157">
      <c r="A157" s="609" t="s">
        <v>651</v>
      </c>
      <c r="B157" s="610">
        <f t="array" ref="B157">VLOOKUP($A157,GA_DEMO,2,FALSE)</f>
        <v>102864</v>
      </c>
      <c r="C157" s="611">
        <f>VLOOKUP($A157,'GA Data'!$B$3:$L$162,2,FALSE)</f>
        <v>156</v>
      </c>
      <c r="D157" s="612" t="s">
        <v>63</v>
      </c>
      <c r="E157" s="612">
        <f>VLOOKUP($A157,'GA Data'!$B$3:$L$162,11,FALSE)</f>
        <v>76</v>
      </c>
      <c r="F157" s="612">
        <f>VLOOKUP($A157,'GA Data'!$B$3:$L$162,8,FALSE)</f>
        <v>36</v>
      </c>
      <c r="G157" s="612" t="s">
        <v>63</v>
      </c>
      <c r="H157" s="671">
        <f>vlookup(A157,'GA Data'!$B$170:$C$329,2,FALSE)</f>
        <v>38</v>
      </c>
      <c r="I157" s="614">
        <f>vlookup(A157,'GA Data'!$A$333:$B$494,2,FALSE)</f>
        <v>28</v>
      </c>
      <c r="J157" s="615" t="s">
        <v>63</v>
      </c>
      <c r="K157" s="672" t="s">
        <v>63</v>
      </c>
      <c r="L157" s="671" t="s">
        <v>63</v>
      </c>
      <c r="M157" s="614" t="s">
        <v>63</v>
      </c>
      <c r="N157" s="612" t="s">
        <v>63</v>
      </c>
      <c r="O157" s="612" t="s">
        <v>63</v>
      </c>
      <c r="P157" s="620">
        <f>ifna(vlookup(A157,'Population &amp; Church Numbers'!$A$390:$D$548,4,FALSE),"NULL")</f>
        <v>100</v>
      </c>
      <c r="Q157" s="674" t="s">
        <v>63</v>
      </c>
    </row>
    <row r="158">
      <c r="A158" s="609" t="s">
        <v>176</v>
      </c>
      <c r="B158" s="610">
        <f t="array" ref="B158">VLOOKUP($A158,GA_DEMO,2,FALSE)</f>
        <v>8766</v>
      </c>
      <c r="C158" s="611">
        <f>VLOOKUP($A158,'GA Data'!$B$3:$L$162,2,FALSE)</f>
        <v>16</v>
      </c>
      <c r="D158" s="612" t="s">
        <v>63</v>
      </c>
      <c r="E158" s="612">
        <f>VLOOKUP($A158,'GA Data'!$B$3:$L$162,11,FALSE)</f>
        <v>13</v>
      </c>
      <c r="F158" s="612">
        <f>VLOOKUP($A158,'GA Data'!$B$3:$L$162,8,FALSE)</f>
        <v>3</v>
      </c>
      <c r="G158" s="612" t="s">
        <v>63</v>
      </c>
      <c r="H158" s="671">
        <f>vlookup(A158,'GA Data'!$B$170:$C$329,2,FALSE)</f>
        <v>2</v>
      </c>
      <c r="I158" s="614">
        <f>vlookup(A158,'GA Data'!$A$333:$B$494,2,FALSE)</f>
        <v>2</v>
      </c>
      <c r="J158" s="615" t="s">
        <v>63</v>
      </c>
      <c r="K158" s="672" t="s">
        <v>63</v>
      </c>
      <c r="L158" s="671" t="s">
        <v>63</v>
      </c>
      <c r="M158" s="614" t="s">
        <v>63</v>
      </c>
      <c r="N158" s="612" t="s">
        <v>63</v>
      </c>
      <c r="O158" s="612" t="s">
        <v>63</v>
      </c>
      <c r="P158" s="620">
        <f>ifna(vlookup(A158,'Population &amp; Church Numbers'!$A$390:$D$548,4,FALSE),"NULL")</f>
        <v>17</v>
      </c>
      <c r="Q158" s="674" t="s">
        <v>63</v>
      </c>
    </row>
    <row r="159">
      <c r="A159" s="609" t="s">
        <v>653</v>
      </c>
      <c r="B159" s="610">
        <f t="array" ref="B159">VLOOKUP($A159,GA_DEMO,2,FALSE)</f>
        <v>9565</v>
      </c>
      <c r="C159" s="611">
        <f>VLOOKUP($A159,'GA Data'!$B$3:$L$162,2,FALSE)</f>
        <v>15</v>
      </c>
      <c r="D159" s="612" t="s">
        <v>63</v>
      </c>
      <c r="E159" s="612">
        <f>VLOOKUP($A159,'GA Data'!$B$3:$L$162,11,FALSE)</f>
        <v>9</v>
      </c>
      <c r="F159" s="612">
        <f>VLOOKUP($A159,'GA Data'!$B$3:$L$162,8,FALSE)</f>
        <v>6</v>
      </c>
      <c r="G159" s="612" t="s">
        <v>63</v>
      </c>
      <c r="H159" s="671">
        <f>vlookup(A159,'GA Data'!$B$170:$C$329,2,FALSE)</f>
        <v>2</v>
      </c>
      <c r="I159" s="614">
        <f>vlookup(A159,'GA Data'!$A$333:$B$494,2,FALSE)</f>
        <v>0</v>
      </c>
      <c r="J159" s="615" t="s">
        <v>63</v>
      </c>
      <c r="K159" s="672" t="s">
        <v>63</v>
      </c>
      <c r="L159" s="671" t="s">
        <v>63</v>
      </c>
      <c r="M159" s="614" t="s">
        <v>63</v>
      </c>
      <c r="N159" s="612" t="s">
        <v>63</v>
      </c>
      <c r="O159" s="612" t="s">
        <v>63</v>
      </c>
      <c r="P159" s="620">
        <f>ifna(vlookup(A159,'Population &amp; Church Numbers'!$A$390:$D$548,4,FALSE),"NULL")</f>
        <v>38</v>
      </c>
      <c r="Q159" s="674" t="s">
        <v>63</v>
      </c>
    </row>
    <row r="160">
      <c r="A160" s="609" t="s">
        <v>654</v>
      </c>
      <c r="B160" s="610">
        <f t="array" ref="B160">VLOOKUP($A160,GA_DEMO,2,FALSE)</f>
        <v>8877</v>
      </c>
      <c r="C160" s="611">
        <f>VLOOKUP($A160,'GA Data'!$B$3:$L$162,2,FALSE)</f>
        <v>12</v>
      </c>
      <c r="D160" s="612" t="s">
        <v>63</v>
      </c>
      <c r="E160" s="612">
        <f>VLOOKUP($A160,'GA Data'!$B$3:$L$162,11,FALSE)</f>
        <v>7</v>
      </c>
      <c r="F160" s="612">
        <f>VLOOKUP($A160,'GA Data'!$B$3:$L$162,8,FALSE)</f>
        <v>1</v>
      </c>
      <c r="G160" s="612" t="s">
        <v>63</v>
      </c>
      <c r="H160" s="671">
        <f>vlookup(A160,'GA Data'!$B$170:$C$329,2,FALSE)</f>
        <v>8</v>
      </c>
      <c r="I160" s="614">
        <f>vlookup(A160,'GA Data'!$A$333:$B$494,2,FALSE)</f>
        <v>10</v>
      </c>
      <c r="J160" s="615" t="s">
        <v>63</v>
      </c>
      <c r="K160" s="672" t="s">
        <v>63</v>
      </c>
      <c r="L160" s="671" t="s">
        <v>63</v>
      </c>
      <c r="M160" s="614" t="s">
        <v>63</v>
      </c>
      <c r="N160" s="612" t="s">
        <v>63</v>
      </c>
      <c r="O160" s="612" t="s">
        <v>63</v>
      </c>
      <c r="P160" s="620">
        <f>ifna(vlookup(A160,'Population &amp; Church Numbers'!$A$390:$D$548,4,FALSE),"NULL")</f>
        <v>39</v>
      </c>
      <c r="Q160" s="674" t="s">
        <v>63</v>
      </c>
    </row>
    <row r="161">
      <c r="A161" s="609" t="s">
        <v>655</v>
      </c>
      <c r="B161" s="610">
        <f t="array" ref="B161">VLOOKUP($A161,GA_DEMO,2,FALSE)</f>
        <v>20784</v>
      </c>
      <c r="C161" s="611">
        <f>VLOOKUP($A161,'GA Data'!$B$3:$L$162,2,FALSE)</f>
        <v>31</v>
      </c>
      <c r="D161" s="612" t="s">
        <v>63</v>
      </c>
      <c r="E161" s="612">
        <f>VLOOKUP($A161,'GA Data'!$B$3:$L$162,11,FALSE)</f>
        <v>9</v>
      </c>
      <c r="F161" s="612">
        <f>VLOOKUP($A161,'GA Data'!$B$3:$L$162,8,FALSE)</f>
        <v>14</v>
      </c>
      <c r="G161" s="612" t="s">
        <v>63</v>
      </c>
      <c r="H161" s="671">
        <f>vlookup(A161,'GA Data'!$B$170:$C$329,2,FALSE)</f>
        <v>11</v>
      </c>
      <c r="I161" s="614">
        <f>vlookup(A161,'GA Data'!$A$333:$B$494,2,FALSE)</f>
        <v>7</v>
      </c>
      <c r="J161" s="615" t="s">
        <v>63</v>
      </c>
      <c r="K161" s="672" t="s">
        <v>63</v>
      </c>
      <c r="L161" s="671" t="s">
        <v>63</v>
      </c>
      <c r="M161" s="614" t="s">
        <v>63</v>
      </c>
      <c r="N161" s="612" t="s">
        <v>63</v>
      </c>
      <c r="O161" s="612" t="s">
        <v>63</v>
      </c>
      <c r="P161" s="620">
        <f>ifna(vlookup(A161,'Population &amp; Church Numbers'!$A$390:$D$548,4,FALSE),"NULL")</f>
        <v>35</v>
      </c>
      <c r="Q161" s="674" t="s">
        <v>63</v>
      </c>
    </row>
    <row r="162">
      <c r="A162" s="609"/>
      <c r="B162" s="610"/>
      <c r="C162" s="611"/>
      <c r="D162" s="612"/>
      <c r="E162" s="612"/>
      <c r="F162" s="612"/>
      <c r="G162" s="612"/>
      <c r="H162" s="671"/>
      <c r="I162" s="614"/>
      <c r="J162" s="615"/>
      <c r="K162" s="730"/>
      <c r="L162" s="224"/>
      <c r="M162" s="614"/>
      <c r="N162" s="226"/>
      <c r="O162" s="731"/>
      <c r="P162" s="732"/>
      <c r="Q162" s="733"/>
    </row>
    <row r="163">
      <c r="A163" s="228" t="s">
        <v>2</v>
      </c>
      <c r="B163" s="229"/>
      <c r="C163" s="230">
        <f>'GA Data'!C163</f>
        <v>12264</v>
      </c>
      <c r="D163" s="311" t="s">
        <v>63</v>
      </c>
      <c r="E163" s="231">
        <f t="shared" ref="E163:F163" si="1">sum(E3:E161)</f>
        <v>6792</v>
      </c>
      <c r="F163" s="231">
        <f t="shared" si="1"/>
        <v>2567</v>
      </c>
      <c r="G163" s="311" t="s">
        <v>63</v>
      </c>
      <c r="H163" s="359">
        <f>sum(H3:H161)</f>
        <v>5475</v>
      </c>
      <c r="I163" s="234">
        <f>'GA Data'!B494</f>
        <v>1526</v>
      </c>
      <c r="J163" s="305" t="s">
        <v>63</v>
      </c>
      <c r="K163" s="708" t="s">
        <v>63</v>
      </c>
      <c r="L163" s="309" t="s">
        <v>63</v>
      </c>
      <c r="M163" s="360" t="s">
        <v>63</v>
      </c>
      <c r="N163" s="311" t="s">
        <v>63</v>
      </c>
      <c r="O163" s="311" t="s">
        <v>63</v>
      </c>
      <c r="P163" s="233">
        <f>SUM(P3:P161)</f>
        <v>9380</v>
      </c>
      <c r="Q163" s="691" t="s">
        <v>63</v>
      </c>
    </row>
  </sheetData>
  <mergeCells count="1">
    <mergeCell ref="B1:Q1"/>
  </mergeCells>
  <drawing r:id="rId1"/>
  <tableParts count="1">
    <tablePart r:id="rId3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75" t="s">
        <v>1040</v>
      </c>
      <c r="B1" s="676"/>
      <c r="C1" s="676"/>
      <c r="D1" s="676"/>
      <c r="E1" s="676"/>
      <c r="F1" s="677" t="s">
        <v>765</v>
      </c>
      <c r="G1" s="677" t="s">
        <v>2460</v>
      </c>
      <c r="H1" s="676"/>
      <c r="I1" s="676"/>
      <c r="J1" s="676"/>
      <c r="K1" s="677" t="s">
        <v>767</v>
      </c>
      <c r="L1" s="678">
        <v>45453.0</v>
      </c>
      <c r="M1" s="677" t="s">
        <v>769</v>
      </c>
      <c r="N1" s="678">
        <v>45199.0</v>
      </c>
      <c r="O1" s="679"/>
    </row>
    <row r="2">
      <c r="B2" s="680"/>
      <c r="C2" s="680"/>
      <c r="D2" s="680"/>
    </row>
    <row r="3">
      <c r="A3" s="351" t="s">
        <v>2461</v>
      </c>
      <c r="B3" s="351" t="s">
        <v>2462</v>
      </c>
      <c r="C3" s="351" t="s">
        <v>2463</v>
      </c>
      <c r="D3" s="351" t="s">
        <v>2464</v>
      </c>
      <c r="E3" s="351" t="s">
        <v>2465</v>
      </c>
      <c r="F3" s="351" t="s">
        <v>2466</v>
      </c>
      <c r="G3" s="351" t="s">
        <v>1724</v>
      </c>
      <c r="H3" s="351" t="s">
        <v>2467</v>
      </c>
      <c r="I3" s="351" t="s">
        <v>2468</v>
      </c>
      <c r="J3" s="351" t="s">
        <v>2469</v>
      </c>
      <c r="K3" s="351" t="s">
        <v>2470</v>
      </c>
      <c r="L3" s="681" t="s">
        <v>2471</v>
      </c>
      <c r="M3" s="473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>
      <c r="A4" s="351">
        <v>1.0</v>
      </c>
      <c r="B4" s="351" t="s">
        <v>550</v>
      </c>
      <c r="C4" s="351">
        <v>93.0</v>
      </c>
      <c r="D4" s="351">
        <v>2.0</v>
      </c>
      <c r="E4" s="351">
        <v>8.0</v>
      </c>
      <c r="F4" s="351">
        <v>0.0</v>
      </c>
      <c r="G4" s="351">
        <v>0.0</v>
      </c>
      <c r="H4" s="351">
        <v>0.0</v>
      </c>
      <c r="I4" s="351">
        <f t="shared" ref="I4:I162" si="1">SUM(D4:H4)</f>
        <v>10</v>
      </c>
      <c r="J4" s="351">
        <v>11.0</v>
      </c>
      <c r="K4" s="351">
        <v>50.0</v>
      </c>
      <c r="L4" s="682">
        <f t="shared" ref="L4:L162" si="2">sum(J4:K4)</f>
        <v>61</v>
      </c>
      <c r="M4" s="473"/>
      <c r="N4" s="1"/>
      <c r="O4" s="1"/>
      <c r="P4" s="1"/>
      <c r="Q4" s="1"/>
      <c r="R4" s="1"/>
      <c r="S4" s="1"/>
      <c r="T4" s="1"/>
      <c r="U4" s="1"/>
      <c r="V4" s="1"/>
      <c r="W4" s="1"/>
    </row>
    <row r="5">
      <c r="A5" s="351">
        <v>1.0</v>
      </c>
      <c r="B5" s="351" t="s">
        <v>554</v>
      </c>
      <c r="C5" s="351">
        <v>74.0</v>
      </c>
      <c r="D5" s="351">
        <v>2.0</v>
      </c>
      <c r="E5" s="351">
        <v>14.0</v>
      </c>
      <c r="F5" s="351">
        <v>5.0</v>
      </c>
      <c r="G5" s="351">
        <v>0.0</v>
      </c>
      <c r="H5" s="351">
        <v>0.0</v>
      </c>
      <c r="I5" s="351">
        <f t="shared" si="1"/>
        <v>21</v>
      </c>
      <c r="J5" s="351">
        <v>16.0</v>
      </c>
      <c r="K5" s="351">
        <v>22.0</v>
      </c>
      <c r="L5" s="682">
        <f t="shared" si="2"/>
        <v>38</v>
      </c>
      <c r="M5" s="473"/>
      <c r="N5" s="1"/>
      <c r="O5" s="1"/>
      <c r="P5" s="1"/>
      <c r="Q5" s="1"/>
      <c r="R5" s="1"/>
      <c r="S5" s="1"/>
      <c r="T5" s="1"/>
      <c r="U5" s="1"/>
      <c r="V5" s="1"/>
      <c r="W5" s="1"/>
    </row>
    <row r="6">
      <c r="A6" s="351">
        <v>1.0</v>
      </c>
      <c r="B6" s="351" t="s">
        <v>101</v>
      </c>
      <c r="C6" s="351">
        <v>444.0</v>
      </c>
      <c r="D6" s="351">
        <v>11.0</v>
      </c>
      <c r="E6" s="351">
        <v>75.0</v>
      </c>
      <c r="F6" s="351">
        <v>10.0</v>
      </c>
      <c r="G6" s="351">
        <v>1.0</v>
      </c>
      <c r="H6" s="351">
        <v>0.0</v>
      </c>
      <c r="I6" s="351">
        <f t="shared" si="1"/>
        <v>97</v>
      </c>
      <c r="J6" s="351">
        <v>151.0</v>
      </c>
      <c r="K6" s="351">
        <v>95.0</v>
      </c>
      <c r="L6" s="682">
        <f t="shared" si="2"/>
        <v>246</v>
      </c>
      <c r="M6" s="473"/>
      <c r="N6" s="1"/>
      <c r="O6" s="1"/>
      <c r="P6" s="1"/>
      <c r="Q6" s="1"/>
      <c r="R6" s="1"/>
      <c r="S6" s="1"/>
      <c r="T6" s="1"/>
      <c r="U6" s="1"/>
      <c r="V6" s="1"/>
      <c r="W6" s="1"/>
    </row>
    <row r="7">
      <c r="A7" s="351">
        <v>1.0</v>
      </c>
      <c r="B7" s="351" t="s">
        <v>561</v>
      </c>
      <c r="C7" s="351">
        <v>24.0</v>
      </c>
      <c r="D7" s="351">
        <v>0.0</v>
      </c>
      <c r="E7" s="351">
        <v>6.0</v>
      </c>
      <c r="F7" s="351">
        <v>0.0</v>
      </c>
      <c r="G7" s="351">
        <v>0.0</v>
      </c>
      <c r="H7" s="351">
        <v>0.0</v>
      </c>
      <c r="I7" s="351">
        <f t="shared" si="1"/>
        <v>6</v>
      </c>
      <c r="J7" s="351">
        <v>6.0</v>
      </c>
      <c r="K7" s="351">
        <v>7.0</v>
      </c>
      <c r="L7" s="682">
        <f t="shared" si="2"/>
        <v>13</v>
      </c>
      <c r="M7" s="473"/>
      <c r="N7" s="1"/>
      <c r="O7" s="1"/>
      <c r="P7" s="1"/>
      <c r="Q7" s="1"/>
      <c r="R7" s="1"/>
      <c r="S7" s="1"/>
      <c r="T7" s="1"/>
      <c r="U7" s="1"/>
      <c r="V7" s="1"/>
      <c r="W7" s="1"/>
    </row>
    <row r="8">
      <c r="A8" s="351">
        <v>1.0</v>
      </c>
      <c r="B8" s="351" t="s">
        <v>574</v>
      </c>
      <c r="C8" s="351">
        <v>44.0</v>
      </c>
      <c r="D8" s="351">
        <v>3.0</v>
      </c>
      <c r="E8" s="351">
        <v>13.0</v>
      </c>
      <c r="F8" s="351">
        <v>0.0</v>
      </c>
      <c r="G8" s="351">
        <v>0.0</v>
      </c>
      <c r="H8" s="351">
        <v>0.0</v>
      </c>
      <c r="I8" s="351">
        <f t="shared" si="1"/>
        <v>16</v>
      </c>
      <c r="J8" s="351">
        <v>2.0</v>
      </c>
      <c r="K8" s="351">
        <v>10.0</v>
      </c>
      <c r="L8" s="682">
        <f t="shared" si="2"/>
        <v>12</v>
      </c>
      <c r="M8" s="473"/>
      <c r="N8" s="1"/>
      <c r="O8" s="1"/>
      <c r="P8" s="1"/>
      <c r="Q8" s="1"/>
      <c r="R8" s="1"/>
      <c r="S8" s="1"/>
      <c r="T8" s="1"/>
      <c r="U8" s="1"/>
      <c r="V8" s="1"/>
      <c r="W8" s="1"/>
    </row>
    <row r="9">
      <c r="A9" s="351">
        <v>1.0</v>
      </c>
      <c r="B9" s="351" t="s">
        <v>579</v>
      </c>
      <c r="C9" s="351">
        <v>54.0</v>
      </c>
      <c r="D9" s="351">
        <v>3.0</v>
      </c>
      <c r="E9" s="351">
        <v>13.0</v>
      </c>
      <c r="F9" s="351">
        <v>1.0</v>
      </c>
      <c r="G9" s="351">
        <v>0.0</v>
      </c>
      <c r="H9" s="351">
        <v>0.0</v>
      </c>
      <c r="I9" s="351">
        <f t="shared" si="1"/>
        <v>17</v>
      </c>
      <c r="J9" s="351">
        <v>7.0</v>
      </c>
      <c r="K9" s="351">
        <v>20.0</v>
      </c>
      <c r="L9" s="682">
        <f t="shared" si="2"/>
        <v>27</v>
      </c>
      <c r="M9" s="473"/>
      <c r="N9" s="1"/>
      <c r="O9" s="1"/>
      <c r="P9" s="1"/>
      <c r="Q9" s="1"/>
      <c r="R9" s="1"/>
      <c r="S9" s="1"/>
      <c r="T9" s="1"/>
      <c r="U9" s="1"/>
      <c r="V9" s="1"/>
      <c r="W9" s="1"/>
    </row>
    <row r="10">
      <c r="A10" s="351">
        <v>1.0</v>
      </c>
      <c r="B10" s="351" t="s">
        <v>583</v>
      </c>
      <c r="C10" s="351">
        <v>117.0</v>
      </c>
      <c r="D10" s="351">
        <v>6.0</v>
      </c>
      <c r="E10" s="351">
        <v>27.0</v>
      </c>
      <c r="F10" s="351">
        <v>0.0</v>
      </c>
      <c r="G10" s="351">
        <v>0.0</v>
      </c>
      <c r="H10" s="351">
        <v>0.0</v>
      </c>
      <c r="I10" s="351">
        <f t="shared" si="1"/>
        <v>33</v>
      </c>
      <c r="J10" s="351">
        <v>14.0</v>
      </c>
      <c r="K10" s="351">
        <v>45.0</v>
      </c>
      <c r="L10" s="682">
        <f t="shared" si="2"/>
        <v>59</v>
      </c>
      <c r="M10" s="473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>
      <c r="A11" s="351">
        <v>1.0</v>
      </c>
      <c r="B11" s="351" t="s">
        <v>611</v>
      </c>
      <c r="C11" s="351">
        <v>100.0</v>
      </c>
      <c r="D11" s="351">
        <v>3.0</v>
      </c>
      <c r="E11" s="351">
        <v>12.0</v>
      </c>
      <c r="F11" s="351">
        <v>0.0</v>
      </c>
      <c r="G11" s="351">
        <v>0.0</v>
      </c>
      <c r="H11" s="351">
        <v>0.0</v>
      </c>
      <c r="I11" s="351">
        <f t="shared" si="1"/>
        <v>15</v>
      </c>
      <c r="J11" s="351">
        <v>18.0</v>
      </c>
      <c r="K11" s="351">
        <v>29.0</v>
      </c>
      <c r="L11" s="682">
        <f t="shared" si="2"/>
        <v>47</v>
      </c>
      <c r="M11" s="473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>
      <c r="A12" s="351">
        <v>1.0</v>
      </c>
      <c r="B12" s="351" t="s">
        <v>160</v>
      </c>
      <c r="C12" s="351">
        <v>56.0</v>
      </c>
      <c r="D12" s="351">
        <v>1.0</v>
      </c>
      <c r="E12" s="351">
        <v>7.0</v>
      </c>
      <c r="F12" s="351">
        <v>0.0</v>
      </c>
      <c r="G12" s="351">
        <v>0.0</v>
      </c>
      <c r="H12" s="351">
        <v>0.0</v>
      </c>
      <c r="I12" s="351">
        <f t="shared" si="1"/>
        <v>8</v>
      </c>
      <c r="J12" s="351">
        <v>21.0</v>
      </c>
      <c r="K12" s="351">
        <v>9.0</v>
      </c>
      <c r="L12" s="682">
        <f t="shared" si="2"/>
        <v>30</v>
      </c>
      <c r="M12" s="473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>
      <c r="A13" s="351">
        <v>1.0</v>
      </c>
      <c r="B13" s="351" t="s">
        <v>175</v>
      </c>
      <c r="C13" s="351">
        <v>166.0</v>
      </c>
      <c r="D13" s="351">
        <v>1.0</v>
      </c>
      <c r="E13" s="351">
        <v>9.0</v>
      </c>
      <c r="F13" s="351">
        <v>3.0</v>
      </c>
      <c r="G13" s="351">
        <v>0.0</v>
      </c>
      <c r="H13" s="351">
        <v>0.0</v>
      </c>
      <c r="I13" s="351">
        <f t="shared" si="1"/>
        <v>13</v>
      </c>
      <c r="J13" s="351">
        <v>46.0</v>
      </c>
      <c r="K13" s="351">
        <v>76.0</v>
      </c>
      <c r="L13" s="682">
        <f t="shared" si="2"/>
        <v>122</v>
      </c>
      <c r="M13" s="473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>
      <c r="A14" s="351">
        <v>1.0</v>
      </c>
      <c r="B14" s="351" t="s">
        <v>651</v>
      </c>
      <c r="C14" s="351">
        <v>156.0</v>
      </c>
      <c r="D14" s="351">
        <v>4.0</v>
      </c>
      <c r="E14" s="351">
        <v>32.0</v>
      </c>
      <c r="F14" s="351">
        <v>0.0</v>
      </c>
      <c r="G14" s="351">
        <v>0.0</v>
      </c>
      <c r="H14" s="351">
        <v>0.0</v>
      </c>
      <c r="I14" s="351">
        <f t="shared" si="1"/>
        <v>36</v>
      </c>
      <c r="J14" s="351">
        <v>14.0</v>
      </c>
      <c r="K14" s="351">
        <v>62.0</v>
      </c>
      <c r="L14" s="682">
        <f t="shared" si="2"/>
        <v>76</v>
      </c>
      <c r="M14" s="473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>
      <c r="A15" s="351">
        <v>2.0</v>
      </c>
      <c r="B15" s="351" t="s">
        <v>535</v>
      </c>
      <c r="C15" s="351">
        <v>32.0</v>
      </c>
      <c r="D15" s="351">
        <v>1.0</v>
      </c>
      <c r="E15" s="351">
        <v>3.0</v>
      </c>
      <c r="F15" s="351">
        <v>0.0</v>
      </c>
      <c r="G15" s="351">
        <v>0.0</v>
      </c>
      <c r="H15" s="351">
        <v>0.0</v>
      </c>
      <c r="I15" s="351">
        <f t="shared" si="1"/>
        <v>4</v>
      </c>
      <c r="J15" s="351">
        <v>16.0</v>
      </c>
      <c r="K15" s="351">
        <v>8.0</v>
      </c>
      <c r="L15" s="682">
        <f t="shared" si="2"/>
        <v>24</v>
      </c>
      <c r="M15" s="473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>
      <c r="A16" s="351">
        <v>2.0</v>
      </c>
      <c r="B16" s="351" t="s">
        <v>562</v>
      </c>
      <c r="C16" s="351">
        <v>40.0</v>
      </c>
      <c r="D16" s="351">
        <v>0.0</v>
      </c>
      <c r="E16" s="351">
        <v>6.0</v>
      </c>
      <c r="F16" s="351">
        <v>0.0</v>
      </c>
      <c r="G16" s="351">
        <v>0.0</v>
      </c>
      <c r="H16" s="351">
        <v>0.0</v>
      </c>
      <c r="I16" s="351">
        <f t="shared" si="1"/>
        <v>6</v>
      </c>
      <c r="J16" s="351">
        <v>8.0</v>
      </c>
      <c r="K16" s="351">
        <v>16.0</v>
      </c>
      <c r="L16" s="682">
        <f t="shared" si="2"/>
        <v>24</v>
      </c>
      <c r="M16" s="473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>
      <c r="A17" s="351">
        <v>2.0</v>
      </c>
      <c r="B17" s="351" t="s">
        <v>576</v>
      </c>
      <c r="C17" s="351">
        <v>101.0</v>
      </c>
      <c r="D17" s="351">
        <v>5.0</v>
      </c>
      <c r="E17" s="351">
        <v>15.0</v>
      </c>
      <c r="F17" s="351">
        <v>0.0</v>
      </c>
      <c r="G17" s="351">
        <v>0.0</v>
      </c>
      <c r="H17" s="351">
        <v>0.0</v>
      </c>
      <c r="I17" s="351">
        <f t="shared" si="1"/>
        <v>20</v>
      </c>
      <c r="J17" s="351">
        <v>34.0</v>
      </c>
      <c r="K17" s="351">
        <v>22.0</v>
      </c>
      <c r="L17" s="682">
        <f t="shared" si="2"/>
        <v>56</v>
      </c>
      <c r="M17" s="473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>
      <c r="A18" s="351">
        <v>2.0</v>
      </c>
      <c r="B18" s="351" t="s">
        <v>136</v>
      </c>
      <c r="C18" s="351">
        <v>38.0</v>
      </c>
      <c r="D18" s="351">
        <v>1.0</v>
      </c>
      <c r="E18" s="351">
        <v>3.0</v>
      </c>
      <c r="F18" s="351">
        <v>1.0</v>
      </c>
      <c r="G18" s="351">
        <v>0.0</v>
      </c>
      <c r="H18" s="351">
        <v>0.0</v>
      </c>
      <c r="I18" s="351">
        <f t="shared" si="1"/>
        <v>5</v>
      </c>
      <c r="J18" s="351">
        <v>2.0</v>
      </c>
      <c r="K18" s="351">
        <v>20.0</v>
      </c>
      <c r="L18" s="682">
        <f t="shared" si="2"/>
        <v>22</v>
      </c>
      <c r="M18" s="473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>
      <c r="A19" s="351">
        <v>2.0</v>
      </c>
      <c r="B19" s="351" t="s">
        <v>585</v>
      </c>
      <c r="C19" s="351">
        <v>78.0</v>
      </c>
      <c r="D19" s="351">
        <v>5.0</v>
      </c>
      <c r="E19" s="351">
        <v>7.0</v>
      </c>
      <c r="F19" s="351">
        <v>2.0</v>
      </c>
      <c r="G19" s="351">
        <v>0.0</v>
      </c>
      <c r="H19" s="351">
        <v>0.0</v>
      </c>
      <c r="I19" s="351">
        <f t="shared" si="1"/>
        <v>14</v>
      </c>
      <c r="J19" s="351">
        <v>19.0</v>
      </c>
      <c r="K19" s="351">
        <v>29.0</v>
      </c>
      <c r="L19" s="682">
        <f t="shared" si="2"/>
        <v>48</v>
      </c>
      <c r="M19" s="473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>
      <c r="A20" s="351">
        <v>2.0</v>
      </c>
      <c r="B20" s="351" t="s">
        <v>586</v>
      </c>
      <c r="C20" s="351">
        <v>311.0</v>
      </c>
      <c r="D20" s="351">
        <v>8.0</v>
      </c>
      <c r="E20" s="351">
        <v>47.0</v>
      </c>
      <c r="F20" s="351">
        <v>2.0</v>
      </c>
      <c r="G20" s="351">
        <v>0.0</v>
      </c>
      <c r="H20" s="351">
        <v>0.0</v>
      </c>
      <c r="I20" s="351">
        <f t="shared" si="1"/>
        <v>57</v>
      </c>
      <c r="J20" s="351">
        <v>120.0</v>
      </c>
      <c r="K20" s="351">
        <v>58.0</v>
      </c>
      <c r="L20" s="682">
        <f t="shared" si="2"/>
        <v>178</v>
      </c>
      <c r="M20" s="473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>
      <c r="A21" s="351">
        <v>2.0</v>
      </c>
      <c r="B21" s="351" t="s">
        <v>589</v>
      </c>
      <c r="C21" s="351">
        <v>30.0</v>
      </c>
      <c r="D21" s="351">
        <v>0.0</v>
      </c>
      <c r="E21" s="351">
        <v>1.0</v>
      </c>
      <c r="F21" s="351">
        <v>0.0</v>
      </c>
      <c r="G21" s="351">
        <v>0.0</v>
      </c>
      <c r="H21" s="351">
        <v>0.0</v>
      </c>
      <c r="I21" s="351">
        <f t="shared" si="1"/>
        <v>1</v>
      </c>
      <c r="J21" s="351">
        <v>1.0</v>
      </c>
      <c r="K21" s="351">
        <v>12.0</v>
      </c>
      <c r="L21" s="682">
        <f t="shared" si="2"/>
        <v>13</v>
      </c>
      <c r="M21" s="473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>
      <c r="A22" s="351">
        <v>2.0</v>
      </c>
      <c r="B22" s="351" t="s">
        <v>604</v>
      </c>
      <c r="C22" s="351">
        <v>48.0</v>
      </c>
      <c r="D22" s="351">
        <v>2.0</v>
      </c>
      <c r="E22" s="351">
        <v>1.0</v>
      </c>
      <c r="F22" s="351">
        <v>1.0</v>
      </c>
      <c r="G22" s="351">
        <v>0.0</v>
      </c>
      <c r="H22" s="351">
        <v>0.0</v>
      </c>
      <c r="I22" s="351">
        <f t="shared" si="1"/>
        <v>4</v>
      </c>
      <c r="J22" s="351">
        <v>15.0</v>
      </c>
      <c r="K22" s="351">
        <v>23.0</v>
      </c>
      <c r="L22" s="682">
        <f t="shared" si="2"/>
        <v>38</v>
      </c>
      <c r="M22" s="473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>
      <c r="A23" s="351">
        <v>2.0</v>
      </c>
      <c r="B23" s="351" t="s">
        <v>619</v>
      </c>
      <c r="C23" s="351">
        <v>33.0</v>
      </c>
      <c r="D23" s="351">
        <v>0.0</v>
      </c>
      <c r="E23" s="351">
        <v>1.0</v>
      </c>
      <c r="F23" s="351">
        <v>0.0</v>
      </c>
      <c r="G23" s="351">
        <v>0.0</v>
      </c>
      <c r="H23" s="351">
        <v>0.0</v>
      </c>
      <c r="I23" s="351">
        <f t="shared" si="1"/>
        <v>1</v>
      </c>
      <c r="J23" s="351">
        <v>6.0</v>
      </c>
      <c r="K23" s="351">
        <v>15.0</v>
      </c>
      <c r="L23" s="682">
        <f t="shared" si="2"/>
        <v>21</v>
      </c>
      <c r="M23" s="473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>
      <c r="A24" s="351">
        <v>2.0</v>
      </c>
      <c r="B24" s="351" t="s">
        <v>628</v>
      </c>
      <c r="C24" s="351">
        <v>70.0</v>
      </c>
      <c r="D24" s="351">
        <v>0.0</v>
      </c>
      <c r="E24" s="351">
        <v>7.0</v>
      </c>
      <c r="F24" s="351">
        <v>2.0</v>
      </c>
      <c r="G24" s="351">
        <v>0.0</v>
      </c>
      <c r="H24" s="351">
        <v>0.0</v>
      </c>
      <c r="I24" s="351">
        <f t="shared" si="1"/>
        <v>9</v>
      </c>
      <c r="J24" s="351">
        <v>21.0</v>
      </c>
      <c r="K24" s="351">
        <v>24.0</v>
      </c>
      <c r="L24" s="682">
        <f t="shared" si="2"/>
        <v>45</v>
      </c>
      <c r="M24" s="473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>
      <c r="A25" s="351">
        <v>2.0</v>
      </c>
      <c r="B25" s="351" t="s">
        <v>639</v>
      </c>
      <c r="C25" s="351">
        <v>8.0</v>
      </c>
      <c r="D25" s="351">
        <v>0.0</v>
      </c>
      <c r="E25" s="351">
        <v>1.0</v>
      </c>
      <c r="F25" s="351">
        <v>0.0</v>
      </c>
      <c r="G25" s="351">
        <v>0.0</v>
      </c>
      <c r="H25" s="351">
        <v>0.0</v>
      </c>
      <c r="I25" s="351">
        <f t="shared" si="1"/>
        <v>1</v>
      </c>
      <c r="J25" s="351">
        <v>1.0</v>
      </c>
      <c r="K25" s="351">
        <v>4.0</v>
      </c>
      <c r="L25" s="682">
        <f t="shared" si="2"/>
        <v>5</v>
      </c>
      <c r="M25" s="473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>
      <c r="A26" s="351">
        <v>2.0</v>
      </c>
      <c r="B26" s="351" t="s">
        <v>316</v>
      </c>
      <c r="C26" s="351">
        <v>41.0</v>
      </c>
      <c r="D26" s="351">
        <v>2.0</v>
      </c>
      <c r="E26" s="351">
        <v>6.0</v>
      </c>
      <c r="F26" s="351">
        <v>0.0</v>
      </c>
      <c r="G26" s="351">
        <v>0.0</v>
      </c>
      <c r="H26" s="351">
        <v>0.0</v>
      </c>
      <c r="I26" s="351">
        <f t="shared" si="1"/>
        <v>8</v>
      </c>
      <c r="J26" s="351">
        <v>1.0</v>
      </c>
      <c r="K26" s="351">
        <v>21.0</v>
      </c>
      <c r="L26" s="682">
        <f t="shared" si="2"/>
        <v>22</v>
      </c>
      <c r="M26" s="473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>
      <c r="A27" s="351">
        <v>2.0</v>
      </c>
      <c r="B27" s="351" t="s">
        <v>66</v>
      </c>
      <c r="C27" s="351">
        <v>80.0</v>
      </c>
      <c r="D27" s="351">
        <v>1.0</v>
      </c>
      <c r="E27" s="351">
        <v>8.0</v>
      </c>
      <c r="F27" s="351">
        <v>4.0</v>
      </c>
      <c r="G27" s="351">
        <v>0.0</v>
      </c>
      <c r="H27" s="351">
        <v>0.0</v>
      </c>
      <c r="I27" s="351">
        <f t="shared" si="1"/>
        <v>13</v>
      </c>
      <c r="J27" s="351">
        <v>15.0</v>
      </c>
      <c r="K27" s="351">
        <v>34.0</v>
      </c>
      <c r="L27" s="682">
        <f t="shared" si="2"/>
        <v>49</v>
      </c>
      <c r="M27" s="473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>
      <c r="A28" s="351">
        <v>3.0</v>
      </c>
      <c r="B28" s="351" t="s">
        <v>538</v>
      </c>
      <c r="C28" s="351">
        <v>174.0</v>
      </c>
      <c r="D28" s="351">
        <v>15.0</v>
      </c>
      <c r="E28" s="351">
        <v>43.0</v>
      </c>
      <c r="F28" s="351">
        <v>0.0</v>
      </c>
      <c r="G28" s="351">
        <v>0.0</v>
      </c>
      <c r="H28" s="351">
        <v>0.0</v>
      </c>
      <c r="I28" s="351">
        <f t="shared" si="1"/>
        <v>58</v>
      </c>
      <c r="J28" s="351">
        <v>31.0</v>
      </c>
      <c r="K28" s="351">
        <v>39.0</v>
      </c>
      <c r="L28" s="682">
        <f t="shared" si="2"/>
        <v>70</v>
      </c>
      <c r="M28" s="473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>
      <c r="A29" s="351">
        <v>3.0</v>
      </c>
      <c r="B29" s="351" t="s">
        <v>412</v>
      </c>
      <c r="C29" s="351">
        <v>147.0</v>
      </c>
      <c r="D29" s="351">
        <v>4.0</v>
      </c>
      <c r="E29" s="351">
        <v>31.0</v>
      </c>
      <c r="F29" s="351">
        <v>0.0</v>
      </c>
      <c r="G29" s="351">
        <v>0.0</v>
      </c>
      <c r="H29" s="351">
        <v>0.0</v>
      </c>
      <c r="I29" s="351">
        <f t="shared" si="1"/>
        <v>35</v>
      </c>
      <c r="J29" s="351">
        <v>53.0</v>
      </c>
      <c r="K29" s="351">
        <v>21.0</v>
      </c>
      <c r="L29" s="682">
        <f t="shared" si="2"/>
        <v>74</v>
      </c>
      <c r="M29" s="473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>
      <c r="A30" s="351">
        <v>3.0</v>
      </c>
      <c r="B30" s="351" t="s">
        <v>575</v>
      </c>
      <c r="C30" s="351">
        <v>134.0</v>
      </c>
      <c r="D30" s="351">
        <v>4.0</v>
      </c>
      <c r="E30" s="351">
        <v>4.0</v>
      </c>
      <c r="F30" s="351">
        <v>0.0</v>
      </c>
      <c r="G30" s="351">
        <v>0.0</v>
      </c>
      <c r="H30" s="351">
        <v>0.0</v>
      </c>
      <c r="I30" s="351">
        <f t="shared" si="1"/>
        <v>8</v>
      </c>
      <c r="J30" s="351">
        <v>41.0</v>
      </c>
      <c r="K30" s="351">
        <v>30.0</v>
      </c>
      <c r="L30" s="682">
        <f t="shared" si="2"/>
        <v>71</v>
      </c>
      <c r="M30" s="473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>
      <c r="A31" s="351">
        <v>3.0</v>
      </c>
      <c r="B31" s="351" t="s">
        <v>588</v>
      </c>
      <c r="C31" s="351">
        <v>51.0</v>
      </c>
      <c r="D31" s="351">
        <v>4.0</v>
      </c>
      <c r="E31" s="351">
        <v>14.0</v>
      </c>
      <c r="F31" s="351">
        <v>0.0</v>
      </c>
      <c r="G31" s="351">
        <v>0.0</v>
      </c>
      <c r="H31" s="351">
        <v>0.0</v>
      </c>
      <c r="I31" s="351">
        <f t="shared" si="1"/>
        <v>18</v>
      </c>
      <c r="J31" s="351">
        <v>4.0</v>
      </c>
      <c r="K31" s="351">
        <v>21.0</v>
      </c>
      <c r="L31" s="682">
        <f t="shared" si="2"/>
        <v>25</v>
      </c>
      <c r="M31" s="473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>
      <c r="A32" s="351">
        <v>3.0</v>
      </c>
      <c r="B32" s="351" t="s">
        <v>616</v>
      </c>
      <c r="C32" s="351">
        <v>121.0</v>
      </c>
      <c r="D32" s="351">
        <v>5.0</v>
      </c>
      <c r="E32" s="351">
        <v>12.0</v>
      </c>
      <c r="F32" s="351">
        <v>0.0</v>
      </c>
      <c r="G32" s="351">
        <v>0.0</v>
      </c>
      <c r="H32" s="351">
        <v>0.0</v>
      </c>
      <c r="I32" s="351">
        <f t="shared" si="1"/>
        <v>17</v>
      </c>
      <c r="J32" s="351">
        <v>13.0</v>
      </c>
      <c r="K32" s="351">
        <v>38.0</v>
      </c>
      <c r="L32" s="682">
        <f t="shared" si="2"/>
        <v>51</v>
      </c>
      <c r="M32" s="473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>
      <c r="A33" s="351">
        <v>3.0</v>
      </c>
      <c r="B33" s="351" t="s">
        <v>302</v>
      </c>
      <c r="C33" s="351">
        <v>86.0</v>
      </c>
      <c r="D33" s="351">
        <v>0.0</v>
      </c>
      <c r="E33" s="351">
        <v>13.0</v>
      </c>
      <c r="F33" s="351">
        <v>0.0</v>
      </c>
      <c r="G33" s="351">
        <v>0.0</v>
      </c>
      <c r="H33" s="351">
        <v>0.0</v>
      </c>
      <c r="I33" s="351">
        <f t="shared" si="1"/>
        <v>13</v>
      </c>
      <c r="J33" s="351">
        <v>20.0</v>
      </c>
      <c r="K33" s="351">
        <v>34.0</v>
      </c>
      <c r="L33" s="682">
        <f t="shared" si="2"/>
        <v>54</v>
      </c>
      <c r="M33" s="473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>
      <c r="A34" s="351">
        <v>4.0</v>
      </c>
      <c r="B34" s="351" t="s">
        <v>547</v>
      </c>
      <c r="C34" s="351">
        <v>47.0</v>
      </c>
      <c r="D34" s="351">
        <v>3.0</v>
      </c>
      <c r="E34" s="351">
        <v>13.0</v>
      </c>
      <c r="F34" s="351">
        <v>0.0</v>
      </c>
      <c r="G34" s="351">
        <v>0.0</v>
      </c>
      <c r="H34" s="351">
        <v>0.0</v>
      </c>
      <c r="I34" s="351">
        <f t="shared" si="1"/>
        <v>16</v>
      </c>
      <c r="J34" s="351">
        <v>2.0</v>
      </c>
      <c r="K34" s="351">
        <v>17.0</v>
      </c>
      <c r="L34" s="682">
        <f t="shared" si="2"/>
        <v>19</v>
      </c>
      <c r="M34" s="473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>
      <c r="A35" s="351">
        <v>4.0</v>
      </c>
      <c r="B35" s="351" t="s">
        <v>248</v>
      </c>
      <c r="C35" s="351">
        <v>220.0</v>
      </c>
      <c r="D35" s="351">
        <v>10.0</v>
      </c>
      <c r="E35" s="351">
        <v>42.0</v>
      </c>
      <c r="F35" s="351">
        <v>0.0</v>
      </c>
      <c r="G35" s="351">
        <v>0.0</v>
      </c>
      <c r="H35" s="351">
        <v>0.0</v>
      </c>
      <c r="I35" s="351">
        <f t="shared" si="1"/>
        <v>52</v>
      </c>
      <c r="J35" s="351">
        <v>62.0</v>
      </c>
      <c r="K35" s="351">
        <v>46.0</v>
      </c>
      <c r="L35" s="682">
        <f t="shared" si="2"/>
        <v>108</v>
      </c>
      <c r="M35" s="473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>
      <c r="A36" s="351">
        <v>4.0</v>
      </c>
      <c r="B36" s="351" t="s">
        <v>559</v>
      </c>
      <c r="C36" s="351">
        <v>79.0</v>
      </c>
      <c r="D36" s="351">
        <v>1.0</v>
      </c>
      <c r="E36" s="351">
        <v>11.0</v>
      </c>
      <c r="F36" s="351">
        <v>1.0</v>
      </c>
      <c r="G36" s="351">
        <v>0.0</v>
      </c>
      <c r="H36" s="351">
        <v>0.0</v>
      </c>
      <c r="I36" s="351">
        <f t="shared" si="1"/>
        <v>13</v>
      </c>
      <c r="J36" s="351">
        <v>11.0</v>
      </c>
      <c r="K36" s="351">
        <v>34.0</v>
      </c>
      <c r="L36" s="682">
        <f t="shared" si="2"/>
        <v>45</v>
      </c>
      <c r="M36" s="473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>
      <c r="A37" s="351">
        <v>4.0</v>
      </c>
      <c r="B37" s="351" t="s">
        <v>135</v>
      </c>
      <c r="C37" s="351">
        <v>20.0</v>
      </c>
      <c r="D37" s="351">
        <v>0.0</v>
      </c>
      <c r="E37" s="351">
        <v>5.0</v>
      </c>
      <c r="F37" s="351">
        <v>0.0</v>
      </c>
      <c r="G37" s="351">
        <v>0.0</v>
      </c>
      <c r="H37" s="351">
        <v>0.0</v>
      </c>
      <c r="I37" s="351">
        <f t="shared" si="1"/>
        <v>5</v>
      </c>
      <c r="J37" s="351">
        <v>3.0</v>
      </c>
      <c r="K37" s="351">
        <v>5.0</v>
      </c>
      <c r="L37" s="682">
        <f t="shared" si="2"/>
        <v>8</v>
      </c>
      <c r="M37" s="473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>
      <c r="A38" s="351">
        <v>4.0</v>
      </c>
      <c r="B38" s="351" t="s">
        <v>590</v>
      </c>
      <c r="C38" s="351">
        <v>13.0</v>
      </c>
      <c r="D38" s="351">
        <v>0.0</v>
      </c>
      <c r="E38" s="351">
        <v>6.0</v>
      </c>
      <c r="F38" s="351">
        <v>0.0</v>
      </c>
      <c r="G38" s="351">
        <v>0.0</v>
      </c>
      <c r="H38" s="351">
        <v>0.0</v>
      </c>
      <c r="I38" s="351">
        <f t="shared" si="1"/>
        <v>6</v>
      </c>
      <c r="J38" s="351">
        <v>2.0</v>
      </c>
      <c r="K38" s="351">
        <v>2.0</v>
      </c>
      <c r="L38" s="682">
        <f t="shared" si="2"/>
        <v>4</v>
      </c>
      <c r="M38" s="473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>
      <c r="A39" s="351">
        <v>4.0</v>
      </c>
      <c r="B39" s="351" t="s">
        <v>140</v>
      </c>
      <c r="C39" s="351">
        <v>86.0</v>
      </c>
      <c r="D39" s="351">
        <v>2.0</v>
      </c>
      <c r="E39" s="351">
        <v>10.0</v>
      </c>
      <c r="F39" s="351">
        <v>1.0</v>
      </c>
      <c r="G39" s="351">
        <v>0.0</v>
      </c>
      <c r="H39" s="351">
        <v>0.0</v>
      </c>
      <c r="I39" s="351">
        <f t="shared" si="1"/>
        <v>13</v>
      </c>
      <c r="J39" s="351">
        <v>22.0</v>
      </c>
      <c r="K39" s="351">
        <v>26.0</v>
      </c>
      <c r="L39" s="682">
        <f t="shared" si="2"/>
        <v>48</v>
      </c>
      <c r="M39" s="473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>
      <c r="A40" s="351">
        <v>4.0</v>
      </c>
      <c r="B40" s="351" t="s">
        <v>144</v>
      </c>
      <c r="C40" s="351">
        <v>54.0</v>
      </c>
      <c r="D40" s="351">
        <v>0.0</v>
      </c>
      <c r="E40" s="351">
        <v>6.0</v>
      </c>
      <c r="F40" s="351">
        <v>0.0</v>
      </c>
      <c r="G40" s="351">
        <v>0.0</v>
      </c>
      <c r="H40" s="351">
        <v>0.0</v>
      </c>
      <c r="I40" s="351">
        <f t="shared" si="1"/>
        <v>6</v>
      </c>
      <c r="J40" s="351">
        <v>25.0</v>
      </c>
      <c r="K40" s="351">
        <v>10.0</v>
      </c>
      <c r="L40" s="682">
        <f t="shared" si="2"/>
        <v>35</v>
      </c>
      <c r="M40" s="473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>
      <c r="A41" s="351">
        <v>4.0</v>
      </c>
      <c r="B41" s="351" t="s">
        <v>609</v>
      </c>
      <c r="C41" s="351">
        <v>32.0</v>
      </c>
      <c r="D41" s="351">
        <v>0.0</v>
      </c>
      <c r="E41" s="351">
        <v>10.0</v>
      </c>
      <c r="F41" s="351">
        <v>0.0</v>
      </c>
      <c r="G41" s="351">
        <v>0.0</v>
      </c>
      <c r="H41" s="351">
        <v>0.0</v>
      </c>
      <c r="I41" s="351">
        <f t="shared" si="1"/>
        <v>10</v>
      </c>
      <c r="J41" s="351">
        <v>7.0</v>
      </c>
      <c r="K41" s="351">
        <v>2.0</v>
      </c>
      <c r="L41" s="682">
        <f t="shared" si="2"/>
        <v>9</v>
      </c>
      <c r="M41" s="473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>
      <c r="A42" s="351">
        <v>4.0</v>
      </c>
      <c r="B42" s="351" t="s">
        <v>162</v>
      </c>
      <c r="C42" s="351">
        <v>3.0</v>
      </c>
      <c r="D42" s="351">
        <v>0.0</v>
      </c>
      <c r="E42" s="351">
        <v>0.0</v>
      </c>
      <c r="F42" s="351">
        <v>0.0</v>
      </c>
      <c r="G42" s="351">
        <v>0.0</v>
      </c>
      <c r="H42" s="351">
        <v>0.0</v>
      </c>
      <c r="I42" s="351">
        <f t="shared" si="1"/>
        <v>0</v>
      </c>
      <c r="J42" s="351">
        <v>1.0</v>
      </c>
      <c r="K42" s="351">
        <v>1.0</v>
      </c>
      <c r="L42" s="682">
        <f t="shared" si="2"/>
        <v>2</v>
      </c>
      <c r="M42" s="473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>
      <c r="A43" s="351">
        <v>4.0</v>
      </c>
      <c r="B43" s="351" t="s">
        <v>626</v>
      </c>
      <c r="C43" s="351">
        <v>78.0</v>
      </c>
      <c r="D43" s="351">
        <v>2.0</v>
      </c>
      <c r="E43" s="351">
        <v>4.0</v>
      </c>
      <c r="F43" s="351">
        <v>0.0</v>
      </c>
      <c r="G43" s="351">
        <v>0.0</v>
      </c>
      <c r="H43" s="351">
        <v>0.0</v>
      </c>
      <c r="I43" s="351">
        <f t="shared" si="1"/>
        <v>6</v>
      </c>
      <c r="J43" s="351">
        <v>28.0</v>
      </c>
      <c r="K43" s="351">
        <v>23.0</v>
      </c>
      <c r="L43" s="682">
        <f t="shared" si="2"/>
        <v>51</v>
      </c>
      <c r="M43" s="473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>
      <c r="A44" s="351">
        <v>4.0</v>
      </c>
      <c r="B44" s="351" t="s">
        <v>641</v>
      </c>
      <c r="C44" s="351">
        <v>85.0</v>
      </c>
      <c r="D44" s="351">
        <v>3.0</v>
      </c>
      <c r="E44" s="351">
        <v>5.0</v>
      </c>
      <c r="F44" s="351">
        <v>0.0</v>
      </c>
      <c r="G44" s="351">
        <v>0.0</v>
      </c>
      <c r="H44" s="351">
        <v>0.0</v>
      </c>
      <c r="I44" s="351">
        <f t="shared" si="1"/>
        <v>8</v>
      </c>
      <c r="J44" s="351">
        <v>21.0</v>
      </c>
      <c r="K44" s="351">
        <v>27.0</v>
      </c>
      <c r="L44" s="682">
        <f t="shared" si="2"/>
        <v>48</v>
      </c>
      <c r="M44" s="473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>
      <c r="A45" s="351">
        <v>4.0</v>
      </c>
      <c r="B45" s="351" t="s">
        <v>644</v>
      </c>
      <c r="C45" s="351">
        <v>60.0</v>
      </c>
      <c r="D45" s="351">
        <v>0.0</v>
      </c>
      <c r="E45" s="351">
        <v>17.0</v>
      </c>
      <c r="F45" s="351">
        <v>0.0</v>
      </c>
      <c r="G45" s="351">
        <v>0.0</v>
      </c>
      <c r="H45" s="351">
        <v>0.0</v>
      </c>
      <c r="I45" s="351">
        <f t="shared" si="1"/>
        <v>17</v>
      </c>
      <c r="J45" s="351">
        <v>10.0</v>
      </c>
      <c r="K45" s="351">
        <v>14.0</v>
      </c>
      <c r="L45" s="682">
        <f t="shared" si="2"/>
        <v>24</v>
      </c>
      <c r="M45" s="473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>
      <c r="A46" s="351">
        <v>5.0</v>
      </c>
      <c r="B46" s="351" t="s">
        <v>537</v>
      </c>
      <c r="C46" s="351">
        <v>102.0</v>
      </c>
      <c r="D46" s="351">
        <v>4.0</v>
      </c>
      <c r="E46" s="351">
        <v>14.0</v>
      </c>
      <c r="F46" s="351">
        <v>0.0</v>
      </c>
      <c r="G46" s="351">
        <v>0.0</v>
      </c>
      <c r="H46" s="351">
        <v>0.0</v>
      </c>
      <c r="I46" s="351">
        <f t="shared" si="1"/>
        <v>18</v>
      </c>
      <c r="J46" s="351">
        <v>37.0</v>
      </c>
      <c r="K46" s="351">
        <v>17.0</v>
      </c>
      <c r="L46" s="682">
        <f t="shared" si="2"/>
        <v>54</v>
      </c>
      <c r="M46" s="473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>
      <c r="A47" s="351">
        <v>5.0</v>
      </c>
      <c r="B47" s="351" t="s">
        <v>110</v>
      </c>
      <c r="C47" s="351">
        <v>221.0</v>
      </c>
      <c r="D47" s="351">
        <v>3.0</v>
      </c>
      <c r="E47" s="351">
        <v>42.0</v>
      </c>
      <c r="F47" s="351">
        <v>1.0</v>
      </c>
      <c r="G47" s="351">
        <v>1.0</v>
      </c>
      <c r="H47" s="351">
        <v>0.0</v>
      </c>
      <c r="I47" s="351">
        <f t="shared" si="1"/>
        <v>47</v>
      </c>
      <c r="J47" s="351">
        <v>90.0</v>
      </c>
      <c r="K47" s="351">
        <v>30.0</v>
      </c>
      <c r="L47" s="682">
        <f t="shared" si="2"/>
        <v>120</v>
      </c>
      <c r="M47" s="473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>
      <c r="A48" s="351">
        <v>5.0</v>
      </c>
      <c r="B48" s="351" t="s">
        <v>414</v>
      </c>
      <c r="C48" s="351">
        <v>24.0</v>
      </c>
      <c r="D48" s="351">
        <v>0.0</v>
      </c>
      <c r="E48" s="351">
        <v>6.0</v>
      </c>
      <c r="F48" s="351">
        <v>0.0</v>
      </c>
      <c r="G48" s="351">
        <v>0.0</v>
      </c>
      <c r="H48" s="351">
        <v>0.0</v>
      </c>
      <c r="I48" s="351">
        <f t="shared" si="1"/>
        <v>6</v>
      </c>
      <c r="J48" s="351">
        <v>7.0</v>
      </c>
      <c r="K48" s="351">
        <v>2.0</v>
      </c>
      <c r="L48" s="682">
        <f t="shared" si="2"/>
        <v>9</v>
      </c>
      <c r="M48" s="473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>
      <c r="A49" s="351">
        <v>5.0</v>
      </c>
      <c r="B49" s="351" t="s">
        <v>138</v>
      </c>
      <c r="C49" s="351">
        <v>49.0</v>
      </c>
      <c r="D49" s="351">
        <v>0.0</v>
      </c>
      <c r="E49" s="351">
        <v>2.0</v>
      </c>
      <c r="F49" s="351">
        <v>0.0</v>
      </c>
      <c r="G49" s="351">
        <v>0.0</v>
      </c>
      <c r="H49" s="351">
        <v>0.0</v>
      </c>
      <c r="I49" s="351">
        <f t="shared" si="1"/>
        <v>2</v>
      </c>
      <c r="J49" s="351">
        <v>19.0</v>
      </c>
      <c r="K49" s="351">
        <v>14.0</v>
      </c>
      <c r="L49" s="682">
        <f t="shared" si="2"/>
        <v>33</v>
      </c>
      <c r="M49" s="473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>
      <c r="A50" s="351">
        <v>5.0</v>
      </c>
      <c r="B50" s="351" t="s">
        <v>142</v>
      </c>
      <c r="C50" s="351">
        <v>50.0</v>
      </c>
      <c r="D50" s="351">
        <v>1.0</v>
      </c>
      <c r="E50" s="351">
        <v>2.0</v>
      </c>
      <c r="F50" s="351">
        <v>0.0</v>
      </c>
      <c r="G50" s="351">
        <v>0.0</v>
      </c>
      <c r="H50" s="351">
        <v>0.0</v>
      </c>
      <c r="I50" s="351">
        <f t="shared" si="1"/>
        <v>3</v>
      </c>
      <c r="J50" s="351">
        <v>14.0</v>
      </c>
      <c r="K50" s="351">
        <v>14.0</v>
      </c>
      <c r="L50" s="682">
        <f t="shared" si="2"/>
        <v>28</v>
      </c>
      <c r="M50" s="473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>
      <c r="A51" s="351">
        <v>5.0</v>
      </c>
      <c r="B51" s="351" t="s">
        <v>151</v>
      </c>
      <c r="C51" s="351">
        <v>31.0</v>
      </c>
      <c r="D51" s="351">
        <v>4.0</v>
      </c>
      <c r="E51" s="351">
        <v>15.0</v>
      </c>
      <c r="F51" s="351">
        <v>0.0</v>
      </c>
      <c r="G51" s="351">
        <v>0.0</v>
      </c>
      <c r="H51" s="351">
        <v>0.0</v>
      </c>
      <c r="I51" s="351">
        <f t="shared" si="1"/>
        <v>19</v>
      </c>
      <c r="J51" s="351">
        <v>6.0</v>
      </c>
      <c r="K51" s="351">
        <v>4.0</v>
      </c>
      <c r="L51" s="682">
        <f t="shared" si="2"/>
        <v>10</v>
      </c>
      <c r="M51" s="473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>
      <c r="A52" s="351">
        <v>5.0</v>
      </c>
      <c r="B52" s="351" t="s">
        <v>158</v>
      </c>
      <c r="C52" s="351">
        <v>28.0</v>
      </c>
      <c r="D52" s="351">
        <v>0.0</v>
      </c>
      <c r="E52" s="351">
        <v>4.0</v>
      </c>
      <c r="F52" s="351">
        <v>0.0</v>
      </c>
      <c r="G52" s="351">
        <v>0.0</v>
      </c>
      <c r="H52" s="351">
        <v>0.0</v>
      </c>
      <c r="I52" s="351">
        <f t="shared" si="1"/>
        <v>4</v>
      </c>
      <c r="J52" s="351">
        <v>7.0</v>
      </c>
      <c r="K52" s="351">
        <v>12.0</v>
      </c>
      <c r="L52" s="682">
        <f t="shared" si="2"/>
        <v>19</v>
      </c>
      <c r="M52" s="473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>
      <c r="A53" s="351">
        <v>5.0</v>
      </c>
      <c r="B53" s="351" t="s">
        <v>297</v>
      </c>
      <c r="C53" s="351">
        <v>82.0</v>
      </c>
      <c r="D53" s="351">
        <v>0.0</v>
      </c>
      <c r="E53" s="351">
        <v>14.0</v>
      </c>
      <c r="F53" s="351">
        <v>0.0</v>
      </c>
      <c r="G53" s="351">
        <v>0.0</v>
      </c>
      <c r="H53" s="351">
        <v>0.0</v>
      </c>
      <c r="I53" s="351">
        <f t="shared" si="1"/>
        <v>14</v>
      </c>
      <c r="J53" s="351">
        <v>29.0</v>
      </c>
      <c r="K53" s="351">
        <v>12.0</v>
      </c>
      <c r="L53" s="682">
        <f t="shared" si="2"/>
        <v>41</v>
      </c>
      <c r="M53" s="473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>
      <c r="A54" s="351">
        <v>5.0</v>
      </c>
      <c r="B54" s="351" t="s">
        <v>614</v>
      </c>
      <c r="C54" s="351">
        <v>22.0</v>
      </c>
      <c r="D54" s="351">
        <v>3.0</v>
      </c>
      <c r="E54" s="351">
        <v>11.0</v>
      </c>
      <c r="F54" s="351">
        <v>0.0</v>
      </c>
      <c r="G54" s="351">
        <v>0.0</v>
      </c>
      <c r="H54" s="351">
        <v>0.0</v>
      </c>
      <c r="I54" s="351">
        <f t="shared" si="1"/>
        <v>14</v>
      </c>
      <c r="J54" s="351">
        <v>3.0</v>
      </c>
      <c r="K54" s="351">
        <v>2.0</v>
      </c>
      <c r="L54" s="682">
        <f t="shared" si="2"/>
        <v>5</v>
      </c>
      <c r="M54" s="473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>
      <c r="A55" s="351">
        <v>5.0</v>
      </c>
      <c r="B55" s="351" t="s">
        <v>615</v>
      </c>
      <c r="C55" s="351">
        <v>10.0</v>
      </c>
      <c r="D55" s="351">
        <v>1.0</v>
      </c>
      <c r="E55" s="351">
        <v>0.0</v>
      </c>
      <c r="F55" s="351">
        <v>0.0</v>
      </c>
      <c r="G55" s="351">
        <v>0.0</v>
      </c>
      <c r="H55" s="351">
        <v>0.0</v>
      </c>
      <c r="I55" s="351">
        <f t="shared" si="1"/>
        <v>1</v>
      </c>
      <c r="J55" s="351">
        <v>4.0</v>
      </c>
      <c r="K55" s="351">
        <v>2.0</v>
      </c>
      <c r="L55" s="682">
        <f t="shared" si="2"/>
        <v>6</v>
      </c>
      <c r="M55" s="473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>
      <c r="A56" s="351">
        <v>5.0</v>
      </c>
      <c r="B56" s="351" t="s">
        <v>622</v>
      </c>
      <c r="C56" s="351">
        <v>83.0</v>
      </c>
      <c r="D56" s="351">
        <v>0.0</v>
      </c>
      <c r="E56" s="351">
        <v>5.0</v>
      </c>
      <c r="F56" s="351">
        <v>0.0</v>
      </c>
      <c r="G56" s="351">
        <v>0.0</v>
      </c>
      <c r="H56" s="351">
        <v>0.0</v>
      </c>
      <c r="I56" s="351">
        <f t="shared" si="1"/>
        <v>5</v>
      </c>
      <c r="J56" s="351">
        <v>41.0</v>
      </c>
      <c r="K56" s="351">
        <v>22.0</v>
      </c>
      <c r="L56" s="682">
        <f t="shared" si="2"/>
        <v>63</v>
      </c>
      <c r="M56" s="473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>
      <c r="A57" s="351">
        <v>5.0</v>
      </c>
      <c r="B57" s="351" t="s">
        <v>530</v>
      </c>
      <c r="C57" s="351">
        <v>125.0</v>
      </c>
      <c r="D57" s="351">
        <v>6.0</v>
      </c>
      <c r="E57" s="351">
        <v>10.0</v>
      </c>
      <c r="F57" s="351">
        <v>2.0</v>
      </c>
      <c r="G57" s="351">
        <v>3.0</v>
      </c>
      <c r="H57" s="351">
        <v>0.0</v>
      </c>
      <c r="I57" s="351">
        <f t="shared" si="1"/>
        <v>21</v>
      </c>
      <c r="J57" s="351">
        <v>56.0</v>
      </c>
      <c r="K57" s="351">
        <v>17.0</v>
      </c>
      <c r="L57" s="682">
        <f t="shared" si="2"/>
        <v>73</v>
      </c>
      <c r="M57" s="473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>
      <c r="A58" s="351">
        <v>6.0</v>
      </c>
      <c r="B58" s="351" t="s">
        <v>58</v>
      </c>
      <c r="C58" s="351">
        <v>90.0</v>
      </c>
      <c r="D58" s="351">
        <v>6.0</v>
      </c>
      <c r="E58" s="351">
        <v>3.0</v>
      </c>
      <c r="F58" s="351">
        <v>1.0</v>
      </c>
      <c r="G58" s="351">
        <v>0.0</v>
      </c>
      <c r="H58" s="351">
        <v>0.0</v>
      </c>
      <c r="I58" s="351">
        <f t="shared" si="1"/>
        <v>10</v>
      </c>
      <c r="J58" s="351">
        <v>21.0</v>
      </c>
      <c r="K58" s="351">
        <v>35.0</v>
      </c>
      <c r="L58" s="682">
        <f t="shared" si="2"/>
        <v>56</v>
      </c>
      <c r="M58" s="473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>
      <c r="A59" s="351">
        <v>6.0</v>
      </c>
      <c r="B59" s="351" t="s">
        <v>68</v>
      </c>
      <c r="C59" s="351">
        <v>217.0</v>
      </c>
      <c r="D59" s="351">
        <v>7.0</v>
      </c>
      <c r="E59" s="351">
        <v>22.0</v>
      </c>
      <c r="F59" s="351">
        <v>4.0</v>
      </c>
      <c r="G59" s="351">
        <v>0.0</v>
      </c>
      <c r="H59" s="351">
        <v>0.0</v>
      </c>
      <c r="I59" s="351">
        <f t="shared" si="1"/>
        <v>33</v>
      </c>
      <c r="J59" s="351">
        <v>51.0</v>
      </c>
      <c r="K59" s="351">
        <v>84.0</v>
      </c>
      <c r="L59" s="682">
        <f t="shared" si="2"/>
        <v>135</v>
      </c>
      <c r="M59" s="473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>
      <c r="A60" s="351">
        <v>6.0</v>
      </c>
      <c r="B60" s="351" t="s">
        <v>263</v>
      </c>
      <c r="C60" s="351">
        <v>22.0</v>
      </c>
      <c r="D60" s="351">
        <v>2.0</v>
      </c>
      <c r="E60" s="351">
        <v>3.0</v>
      </c>
      <c r="F60" s="351">
        <v>0.0</v>
      </c>
      <c r="G60" s="351">
        <v>0.0</v>
      </c>
      <c r="H60" s="351">
        <v>0.0</v>
      </c>
      <c r="I60" s="351">
        <f t="shared" si="1"/>
        <v>5</v>
      </c>
      <c r="J60" s="351">
        <v>3.0</v>
      </c>
      <c r="K60" s="351">
        <v>7.0</v>
      </c>
      <c r="L60" s="682">
        <f t="shared" si="2"/>
        <v>10</v>
      </c>
      <c r="M60" s="473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>
      <c r="A61" s="351">
        <v>6.0</v>
      </c>
      <c r="B61" s="351" t="s">
        <v>141</v>
      </c>
      <c r="C61" s="351">
        <v>159.0</v>
      </c>
      <c r="D61" s="351">
        <v>1.0</v>
      </c>
      <c r="E61" s="351">
        <v>26.0</v>
      </c>
      <c r="F61" s="351">
        <v>2.0</v>
      </c>
      <c r="G61" s="351">
        <v>0.0</v>
      </c>
      <c r="H61" s="351">
        <v>0.0</v>
      </c>
      <c r="I61" s="351">
        <f t="shared" si="1"/>
        <v>29</v>
      </c>
      <c r="J61" s="351">
        <v>14.0</v>
      </c>
      <c r="K61" s="351">
        <v>83.0</v>
      </c>
      <c r="L61" s="682">
        <f t="shared" si="2"/>
        <v>97</v>
      </c>
      <c r="M61" s="473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>
      <c r="A62" s="351">
        <v>6.0</v>
      </c>
      <c r="B62" s="351" t="s">
        <v>593</v>
      </c>
      <c r="C62" s="351">
        <v>5.0</v>
      </c>
      <c r="D62" s="351">
        <v>1.0</v>
      </c>
      <c r="E62" s="351">
        <v>0.0</v>
      </c>
      <c r="F62" s="351">
        <v>0.0</v>
      </c>
      <c r="G62" s="351">
        <v>0.0</v>
      </c>
      <c r="H62" s="351">
        <v>0.0</v>
      </c>
      <c r="I62" s="351">
        <f t="shared" si="1"/>
        <v>1</v>
      </c>
      <c r="J62" s="351">
        <v>0.0</v>
      </c>
      <c r="K62" s="351">
        <v>0.0</v>
      </c>
      <c r="L62" s="682">
        <f t="shared" si="2"/>
        <v>0</v>
      </c>
      <c r="M62" s="473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>
      <c r="A63" s="351">
        <v>6.0</v>
      </c>
      <c r="B63" s="351" t="s">
        <v>598</v>
      </c>
      <c r="C63" s="351">
        <v>21.0</v>
      </c>
      <c r="D63" s="351">
        <v>0.0</v>
      </c>
      <c r="E63" s="351">
        <v>4.0</v>
      </c>
      <c r="F63" s="351">
        <v>0.0</v>
      </c>
      <c r="G63" s="351">
        <v>0.0</v>
      </c>
      <c r="H63" s="351">
        <v>0.0</v>
      </c>
      <c r="I63" s="351">
        <f t="shared" si="1"/>
        <v>4</v>
      </c>
      <c r="J63" s="351">
        <v>0.0</v>
      </c>
      <c r="K63" s="351">
        <v>10.0</v>
      </c>
      <c r="L63" s="682">
        <f t="shared" si="2"/>
        <v>10</v>
      </c>
      <c r="M63" s="473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>
      <c r="A64" s="351">
        <v>6.0</v>
      </c>
      <c r="B64" s="351" t="s">
        <v>156</v>
      </c>
      <c r="C64" s="351">
        <v>29.0</v>
      </c>
      <c r="D64" s="351">
        <v>0.0</v>
      </c>
      <c r="E64" s="351">
        <v>5.0</v>
      </c>
      <c r="F64" s="351">
        <v>0.0</v>
      </c>
      <c r="G64" s="351">
        <v>0.0</v>
      </c>
      <c r="H64" s="351">
        <v>0.0</v>
      </c>
      <c r="I64" s="351">
        <f t="shared" si="1"/>
        <v>5</v>
      </c>
      <c r="J64" s="351">
        <v>2.0</v>
      </c>
      <c r="K64" s="351">
        <v>10.0</v>
      </c>
      <c r="L64" s="682">
        <f t="shared" si="2"/>
        <v>12</v>
      </c>
      <c r="M64" s="473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>
      <c r="A65" s="351">
        <v>6.0</v>
      </c>
      <c r="B65" s="351" t="s">
        <v>617</v>
      </c>
      <c r="C65" s="351">
        <v>43.0</v>
      </c>
      <c r="D65" s="351">
        <v>0.0</v>
      </c>
      <c r="E65" s="351">
        <v>12.0</v>
      </c>
      <c r="F65" s="351">
        <v>0.0</v>
      </c>
      <c r="G65" s="351">
        <v>0.0</v>
      </c>
      <c r="H65" s="351">
        <v>0.0</v>
      </c>
      <c r="I65" s="351">
        <f t="shared" si="1"/>
        <v>12</v>
      </c>
      <c r="J65" s="351">
        <v>19.0</v>
      </c>
      <c r="K65" s="351">
        <v>6.0</v>
      </c>
      <c r="L65" s="682">
        <f t="shared" si="2"/>
        <v>25</v>
      </c>
      <c r="M65" s="473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>
      <c r="A66" s="351">
        <v>6.0</v>
      </c>
      <c r="B66" s="351" t="s">
        <v>518</v>
      </c>
      <c r="C66" s="351">
        <v>20.0</v>
      </c>
      <c r="D66" s="351">
        <v>0.0</v>
      </c>
      <c r="E66" s="351">
        <v>1.0</v>
      </c>
      <c r="F66" s="351">
        <v>0.0</v>
      </c>
      <c r="G66" s="351">
        <v>0.0</v>
      </c>
      <c r="H66" s="351">
        <v>0.0</v>
      </c>
      <c r="I66" s="351">
        <f t="shared" si="1"/>
        <v>1</v>
      </c>
      <c r="J66" s="351">
        <v>3.0</v>
      </c>
      <c r="K66" s="351">
        <v>10.0</v>
      </c>
      <c r="L66" s="682">
        <f t="shared" si="2"/>
        <v>13</v>
      </c>
      <c r="M66" s="473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>
      <c r="A67" s="351">
        <v>6.0</v>
      </c>
      <c r="B67" s="351" t="s">
        <v>643</v>
      </c>
      <c r="C67" s="351">
        <v>9.0</v>
      </c>
      <c r="D67" s="351">
        <v>0.0</v>
      </c>
      <c r="E67" s="351">
        <v>0.0</v>
      </c>
      <c r="F67" s="351">
        <v>0.0</v>
      </c>
      <c r="G67" s="351">
        <v>0.0</v>
      </c>
      <c r="H67" s="351">
        <v>0.0</v>
      </c>
      <c r="I67" s="351">
        <f t="shared" si="1"/>
        <v>0</v>
      </c>
      <c r="J67" s="351">
        <v>1.0</v>
      </c>
      <c r="K67" s="351">
        <v>3.0</v>
      </c>
      <c r="L67" s="682">
        <f t="shared" si="2"/>
        <v>4</v>
      </c>
      <c r="M67" s="473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>
      <c r="A68" s="351">
        <v>6.0</v>
      </c>
      <c r="B68" s="351" t="s">
        <v>654</v>
      </c>
      <c r="C68" s="351">
        <v>12.0</v>
      </c>
      <c r="D68" s="351">
        <v>0.0</v>
      </c>
      <c r="E68" s="351">
        <v>1.0</v>
      </c>
      <c r="F68" s="351">
        <v>0.0</v>
      </c>
      <c r="G68" s="351">
        <v>0.0</v>
      </c>
      <c r="H68" s="351">
        <v>0.0</v>
      </c>
      <c r="I68" s="351">
        <f t="shared" si="1"/>
        <v>1</v>
      </c>
      <c r="J68" s="351">
        <v>1.0</v>
      </c>
      <c r="K68" s="351">
        <v>6.0</v>
      </c>
      <c r="L68" s="682">
        <f t="shared" si="2"/>
        <v>7</v>
      </c>
      <c r="M68" s="473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>
      <c r="A69" s="351">
        <v>7.0</v>
      </c>
      <c r="B69" s="351" t="s">
        <v>546</v>
      </c>
      <c r="C69" s="351">
        <v>38.0</v>
      </c>
      <c r="D69" s="351">
        <v>1.0</v>
      </c>
      <c r="E69" s="351">
        <v>3.0</v>
      </c>
      <c r="F69" s="351">
        <v>0.0</v>
      </c>
      <c r="G69" s="351">
        <v>0.0</v>
      </c>
      <c r="H69" s="351">
        <v>0.0</v>
      </c>
      <c r="I69" s="351">
        <f t="shared" si="1"/>
        <v>4</v>
      </c>
      <c r="J69" s="351">
        <v>18.0</v>
      </c>
      <c r="K69" s="351">
        <v>5.0</v>
      </c>
      <c r="L69" s="682">
        <f t="shared" si="2"/>
        <v>23</v>
      </c>
      <c r="M69" s="473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>
      <c r="A70" s="351">
        <v>7.0</v>
      </c>
      <c r="B70" s="351" t="s">
        <v>258</v>
      </c>
      <c r="C70" s="351">
        <v>62.0</v>
      </c>
      <c r="D70" s="351">
        <v>0.0</v>
      </c>
      <c r="E70" s="351">
        <v>13.0</v>
      </c>
      <c r="F70" s="351">
        <v>0.0</v>
      </c>
      <c r="G70" s="351">
        <v>0.0</v>
      </c>
      <c r="H70" s="351">
        <v>0.0</v>
      </c>
      <c r="I70" s="351">
        <f t="shared" si="1"/>
        <v>13</v>
      </c>
      <c r="J70" s="351">
        <v>19.0</v>
      </c>
      <c r="K70" s="351">
        <v>15.0</v>
      </c>
      <c r="L70" s="682">
        <f t="shared" si="2"/>
        <v>34</v>
      </c>
      <c r="M70" s="473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>
      <c r="A71" s="351">
        <v>7.0</v>
      </c>
      <c r="B71" s="351" t="s">
        <v>581</v>
      </c>
      <c r="C71" s="351">
        <v>5.0</v>
      </c>
      <c r="D71" s="351">
        <v>0.0</v>
      </c>
      <c r="E71" s="351">
        <v>3.0</v>
      </c>
      <c r="F71" s="351">
        <v>0.0</v>
      </c>
      <c r="G71" s="351">
        <v>0.0</v>
      </c>
      <c r="H71" s="351">
        <v>0.0</v>
      </c>
      <c r="I71" s="351">
        <f t="shared" si="1"/>
        <v>3</v>
      </c>
      <c r="J71" s="351">
        <v>1.0</v>
      </c>
      <c r="K71" s="351">
        <v>0.0</v>
      </c>
      <c r="L71" s="682">
        <f t="shared" si="2"/>
        <v>1</v>
      </c>
      <c r="M71" s="473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>
      <c r="A72" s="351">
        <v>7.0</v>
      </c>
      <c r="B72" s="351" t="s">
        <v>587</v>
      </c>
      <c r="C72" s="351">
        <v>25.0</v>
      </c>
      <c r="D72" s="351">
        <v>0.0</v>
      </c>
      <c r="E72" s="351">
        <v>3.0</v>
      </c>
      <c r="F72" s="351">
        <v>0.0</v>
      </c>
      <c r="G72" s="351">
        <v>0.0</v>
      </c>
      <c r="H72" s="351">
        <v>0.0</v>
      </c>
      <c r="I72" s="351">
        <f t="shared" si="1"/>
        <v>3</v>
      </c>
      <c r="J72" s="351">
        <v>19.0</v>
      </c>
      <c r="K72" s="351">
        <v>1.0</v>
      </c>
      <c r="L72" s="682">
        <f t="shared" si="2"/>
        <v>20</v>
      </c>
      <c r="M72" s="473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>
      <c r="A73" s="351">
        <v>7.0</v>
      </c>
      <c r="B73" s="351" t="s">
        <v>143</v>
      </c>
      <c r="C73" s="351">
        <v>40.0</v>
      </c>
      <c r="D73" s="351">
        <v>0.0</v>
      </c>
      <c r="E73" s="351">
        <v>7.0</v>
      </c>
      <c r="F73" s="351">
        <v>0.0</v>
      </c>
      <c r="G73" s="351">
        <v>0.0</v>
      </c>
      <c r="H73" s="351">
        <v>0.0</v>
      </c>
      <c r="I73" s="351">
        <f t="shared" si="1"/>
        <v>7</v>
      </c>
      <c r="J73" s="351">
        <v>23.0</v>
      </c>
      <c r="K73" s="351">
        <v>6.0</v>
      </c>
      <c r="L73" s="682">
        <f t="shared" si="2"/>
        <v>29</v>
      </c>
      <c r="M73" s="473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>
      <c r="A74" s="351">
        <v>7.0</v>
      </c>
      <c r="B74" s="351" t="s">
        <v>597</v>
      </c>
      <c r="C74" s="351">
        <v>8.0</v>
      </c>
      <c r="D74" s="351">
        <v>0.0</v>
      </c>
      <c r="E74" s="351">
        <v>2.0</v>
      </c>
      <c r="F74" s="351">
        <v>0.0</v>
      </c>
      <c r="G74" s="351">
        <v>0.0</v>
      </c>
      <c r="H74" s="351">
        <v>0.0</v>
      </c>
      <c r="I74" s="351">
        <f t="shared" si="1"/>
        <v>2</v>
      </c>
      <c r="J74" s="351">
        <v>4.0</v>
      </c>
      <c r="K74" s="351">
        <v>2.0</v>
      </c>
      <c r="L74" s="682">
        <f t="shared" si="2"/>
        <v>6</v>
      </c>
      <c r="M74" s="473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>
      <c r="A75" s="351">
        <v>7.0</v>
      </c>
      <c r="B75" s="351" t="s">
        <v>290</v>
      </c>
      <c r="C75" s="351">
        <v>8.0</v>
      </c>
      <c r="D75" s="351">
        <v>4.0</v>
      </c>
      <c r="E75" s="351">
        <v>0.0</v>
      </c>
      <c r="F75" s="351">
        <v>0.0</v>
      </c>
      <c r="G75" s="351">
        <v>0.0</v>
      </c>
      <c r="H75" s="351">
        <v>0.0</v>
      </c>
      <c r="I75" s="351">
        <f t="shared" si="1"/>
        <v>4</v>
      </c>
      <c r="J75" s="351">
        <v>2.0</v>
      </c>
      <c r="K75" s="351">
        <v>0.0</v>
      </c>
      <c r="L75" s="682">
        <f t="shared" si="2"/>
        <v>2</v>
      </c>
      <c r="M75" s="473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>
      <c r="A76" s="351">
        <v>7.0</v>
      </c>
      <c r="B76" s="351" t="s">
        <v>605</v>
      </c>
      <c r="C76" s="351">
        <v>40.0</v>
      </c>
      <c r="D76" s="351">
        <v>2.0</v>
      </c>
      <c r="E76" s="351">
        <v>15.0</v>
      </c>
      <c r="F76" s="351">
        <v>0.0</v>
      </c>
      <c r="G76" s="351">
        <v>0.0</v>
      </c>
      <c r="H76" s="351">
        <v>0.0</v>
      </c>
      <c r="I76" s="351">
        <f t="shared" si="1"/>
        <v>17</v>
      </c>
      <c r="J76" s="351">
        <v>8.0</v>
      </c>
      <c r="K76" s="351">
        <v>10.0</v>
      </c>
      <c r="L76" s="682">
        <f t="shared" si="2"/>
        <v>18</v>
      </c>
      <c r="M76" s="473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>
      <c r="A77" s="351">
        <v>7.0</v>
      </c>
      <c r="B77" s="351" t="s">
        <v>621</v>
      </c>
      <c r="C77" s="351">
        <v>427.0</v>
      </c>
      <c r="D77" s="351">
        <v>20.0</v>
      </c>
      <c r="E77" s="351">
        <v>85.0</v>
      </c>
      <c r="F77" s="351">
        <v>0.0</v>
      </c>
      <c r="G77" s="351">
        <v>0.0</v>
      </c>
      <c r="H77" s="351">
        <v>0.0</v>
      </c>
      <c r="I77" s="351">
        <f t="shared" si="1"/>
        <v>105</v>
      </c>
      <c r="J77" s="351">
        <v>149.0</v>
      </c>
      <c r="K77" s="351">
        <v>86.0</v>
      </c>
      <c r="L77" s="682">
        <f t="shared" si="2"/>
        <v>235</v>
      </c>
      <c r="M77" s="473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>
      <c r="A78" s="351">
        <v>7.0</v>
      </c>
      <c r="B78" s="351" t="s">
        <v>625</v>
      </c>
      <c r="C78" s="351">
        <v>39.0</v>
      </c>
      <c r="D78" s="351">
        <v>0.0</v>
      </c>
      <c r="E78" s="351">
        <v>3.0</v>
      </c>
      <c r="F78" s="351">
        <v>0.0</v>
      </c>
      <c r="G78" s="351">
        <v>0.0</v>
      </c>
      <c r="H78" s="351">
        <v>0.0</v>
      </c>
      <c r="I78" s="351">
        <f t="shared" si="1"/>
        <v>3</v>
      </c>
      <c r="J78" s="351">
        <v>16.0</v>
      </c>
      <c r="K78" s="351">
        <v>11.0</v>
      </c>
      <c r="L78" s="682">
        <f t="shared" si="2"/>
        <v>27</v>
      </c>
      <c r="M78" s="473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>
      <c r="A79" s="351">
        <v>7.0</v>
      </c>
      <c r="B79" s="351" t="s">
        <v>631</v>
      </c>
      <c r="C79" s="351">
        <v>0.0</v>
      </c>
      <c r="D79" s="351">
        <v>0.0</v>
      </c>
      <c r="E79" s="351">
        <v>0.0</v>
      </c>
      <c r="F79" s="351">
        <v>0.0</v>
      </c>
      <c r="G79" s="351">
        <v>0.0</v>
      </c>
      <c r="H79" s="351">
        <v>0.0</v>
      </c>
      <c r="I79" s="351">
        <f t="shared" si="1"/>
        <v>0</v>
      </c>
      <c r="J79" s="351">
        <v>0.0</v>
      </c>
      <c r="K79" s="351">
        <v>0.0</v>
      </c>
      <c r="L79" s="682">
        <f t="shared" si="2"/>
        <v>0</v>
      </c>
      <c r="M79" s="473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>
      <c r="A80" s="351">
        <v>7.0</v>
      </c>
      <c r="B80" s="351" t="s">
        <v>647</v>
      </c>
      <c r="C80" s="351">
        <v>8.0</v>
      </c>
      <c r="D80" s="351">
        <v>1.0</v>
      </c>
      <c r="E80" s="351">
        <v>2.0</v>
      </c>
      <c r="F80" s="351">
        <v>0.0</v>
      </c>
      <c r="G80" s="351">
        <v>0.0</v>
      </c>
      <c r="H80" s="351">
        <v>0.0</v>
      </c>
      <c r="I80" s="351">
        <f t="shared" si="1"/>
        <v>3</v>
      </c>
      <c r="J80" s="351">
        <v>2.0</v>
      </c>
      <c r="K80" s="351">
        <v>1.0</v>
      </c>
      <c r="L80" s="682">
        <f t="shared" si="2"/>
        <v>3</v>
      </c>
      <c r="M80" s="473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>
      <c r="A81" s="351">
        <v>7.0</v>
      </c>
      <c r="B81" s="351" t="s">
        <v>119</v>
      </c>
      <c r="C81" s="351">
        <v>94.0</v>
      </c>
      <c r="D81" s="351">
        <v>3.0</v>
      </c>
      <c r="E81" s="351">
        <v>19.0</v>
      </c>
      <c r="F81" s="351">
        <v>1.0</v>
      </c>
      <c r="G81" s="351">
        <v>0.0</v>
      </c>
      <c r="H81" s="351">
        <v>0.0</v>
      </c>
      <c r="I81" s="351">
        <f t="shared" si="1"/>
        <v>23</v>
      </c>
      <c r="J81" s="351">
        <v>36.0</v>
      </c>
      <c r="K81" s="351">
        <v>18.0</v>
      </c>
      <c r="L81" s="682">
        <f t="shared" si="2"/>
        <v>54</v>
      </c>
      <c r="M81" s="473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>
      <c r="A82" s="351">
        <v>7.0</v>
      </c>
      <c r="B82" s="351" t="s">
        <v>653</v>
      </c>
      <c r="C82" s="351">
        <v>15.0</v>
      </c>
      <c r="D82" s="351">
        <v>1.0</v>
      </c>
      <c r="E82" s="351">
        <v>5.0</v>
      </c>
      <c r="F82" s="351">
        <v>0.0</v>
      </c>
      <c r="G82" s="351">
        <v>0.0</v>
      </c>
      <c r="H82" s="351">
        <v>0.0</v>
      </c>
      <c r="I82" s="351">
        <f t="shared" si="1"/>
        <v>6</v>
      </c>
      <c r="J82" s="351">
        <v>6.0</v>
      </c>
      <c r="K82" s="351">
        <v>3.0</v>
      </c>
      <c r="L82" s="682">
        <f t="shared" si="2"/>
        <v>9</v>
      </c>
      <c r="M82" s="473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>
      <c r="A83" s="351">
        <v>8.0</v>
      </c>
      <c r="B83" s="351" t="s">
        <v>553</v>
      </c>
      <c r="C83" s="351">
        <v>11.0</v>
      </c>
      <c r="D83" s="351">
        <v>0.0</v>
      </c>
      <c r="E83" s="351">
        <v>5.0</v>
      </c>
      <c r="F83" s="351">
        <v>0.0</v>
      </c>
      <c r="G83" s="351">
        <v>0.0</v>
      </c>
      <c r="H83" s="351">
        <v>0.0</v>
      </c>
      <c r="I83" s="351">
        <f t="shared" si="1"/>
        <v>5</v>
      </c>
      <c r="J83" s="351">
        <v>2.0</v>
      </c>
      <c r="K83" s="351">
        <v>2.0</v>
      </c>
      <c r="L83" s="682">
        <f t="shared" si="2"/>
        <v>4</v>
      </c>
      <c r="M83" s="473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>
      <c r="A84" s="351">
        <v>8.0</v>
      </c>
      <c r="B84" s="351" t="s">
        <v>112</v>
      </c>
      <c r="C84" s="351">
        <v>1.0</v>
      </c>
      <c r="D84" s="351">
        <v>0.0</v>
      </c>
      <c r="E84" s="351">
        <v>0.0</v>
      </c>
      <c r="F84" s="351">
        <v>0.0</v>
      </c>
      <c r="G84" s="351">
        <v>0.0</v>
      </c>
      <c r="H84" s="351">
        <v>0.0</v>
      </c>
      <c r="I84" s="351">
        <f t="shared" si="1"/>
        <v>0</v>
      </c>
      <c r="J84" s="351">
        <v>0.0</v>
      </c>
      <c r="K84" s="351">
        <v>0.0</v>
      </c>
      <c r="L84" s="682">
        <f t="shared" si="2"/>
        <v>0</v>
      </c>
      <c r="M84" s="473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>
      <c r="A85" s="351">
        <v>8.0</v>
      </c>
      <c r="B85" s="351" t="s">
        <v>560</v>
      </c>
      <c r="C85" s="351">
        <v>107.0</v>
      </c>
      <c r="D85" s="351">
        <v>3.0</v>
      </c>
      <c r="E85" s="351">
        <v>27.0</v>
      </c>
      <c r="F85" s="351">
        <v>0.0</v>
      </c>
      <c r="G85" s="351">
        <v>0.0</v>
      </c>
      <c r="H85" s="351">
        <v>2.0</v>
      </c>
      <c r="I85" s="351">
        <f t="shared" si="1"/>
        <v>32</v>
      </c>
      <c r="J85" s="351">
        <v>37.0</v>
      </c>
      <c r="K85" s="351">
        <v>27.0</v>
      </c>
      <c r="L85" s="682">
        <f t="shared" si="2"/>
        <v>64</v>
      </c>
      <c r="M85" s="473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>
      <c r="A86" s="351">
        <v>8.0</v>
      </c>
      <c r="B86" s="351" t="s">
        <v>565</v>
      </c>
      <c r="C86" s="351">
        <v>28.0</v>
      </c>
      <c r="D86" s="351">
        <v>0.0</v>
      </c>
      <c r="E86" s="351">
        <v>10.0</v>
      </c>
      <c r="F86" s="351">
        <v>0.0</v>
      </c>
      <c r="G86" s="351">
        <v>0.0</v>
      </c>
      <c r="H86" s="351">
        <v>0.0</v>
      </c>
      <c r="I86" s="351">
        <f t="shared" si="1"/>
        <v>10</v>
      </c>
      <c r="J86" s="351">
        <v>7.0</v>
      </c>
      <c r="K86" s="351">
        <v>9.0</v>
      </c>
      <c r="L86" s="682">
        <f t="shared" si="2"/>
        <v>16</v>
      </c>
      <c r="M86" s="473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>
      <c r="A87" s="351">
        <v>8.0</v>
      </c>
      <c r="B87" s="351" t="s">
        <v>218</v>
      </c>
      <c r="C87" s="351">
        <v>19.0</v>
      </c>
      <c r="D87" s="351">
        <v>0.0</v>
      </c>
      <c r="E87" s="351">
        <v>5.0</v>
      </c>
      <c r="F87" s="351">
        <v>0.0</v>
      </c>
      <c r="G87" s="351">
        <v>0.0</v>
      </c>
      <c r="H87" s="351">
        <v>0.0</v>
      </c>
      <c r="I87" s="351">
        <f t="shared" si="1"/>
        <v>5</v>
      </c>
      <c r="J87" s="351">
        <v>3.0</v>
      </c>
      <c r="K87" s="351">
        <v>5.0</v>
      </c>
      <c r="L87" s="682">
        <f t="shared" si="2"/>
        <v>8</v>
      </c>
      <c r="M87" s="473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>
      <c r="A88" s="351">
        <v>8.0</v>
      </c>
      <c r="B88" s="351" t="s">
        <v>150</v>
      </c>
      <c r="C88" s="351">
        <v>11.0</v>
      </c>
      <c r="D88" s="351">
        <v>0.0</v>
      </c>
      <c r="E88" s="351">
        <v>6.0</v>
      </c>
      <c r="F88" s="351">
        <v>0.0</v>
      </c>
      <c r="G88" s="351">
        <v>0.0</v>
      </c>
      <c r="H88" s="351">
        <v>0.0</v>
      </c>
      <c r="I88" s="351">
        <f t="shared" si="1"/>
        <v>6</v>
      </c>
      <c r="J88" s="351">
        <v>0.0</v>
      </c>
      <c r="K88" s="351">
        <v>4.0</v>
      </c>
      <c r="L88" s="682">
        <f t="shared" si="2"/>
        <v>4</v>
      </c>
      <c r="M88" s="473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>
      <c r="A89" s="351">
        <v>8.0</v>
      </c>
      <c r="B89" s="351" t="s">
        <v>153</v>
      </c>
      <c r="C89" s="351">
        <v>4.0</v>
      </c>
      <c r="D89" s="351">
        <v>0.0</v>
      </c>
      <c r="E89" s="351">
        <v>4.0</v>
      </c>
      <c r="F89" s="351">
        <v>0.0</v>
      </c>
      <c r="G89" s="351">
        <v>0.0</v>
      </c>
      <c r="H89" s="351">
        <v>0.0</v>
      </c>
      <c r="I89" s="351">
        <f t="shared" si="1"/>
        <v>4</v>
      </c>
      <c r="J89" s="351">
        <v>0.0</v>
      </c>
      <c r="K89" s="351">
        <v>0.0</v>
      </c>
      <c r="L89" s="682">
        <f t="shared" si="2"/>
        <v>0</v>
      </c>
      <c r="M89" s="473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>
      <c r="A90" s="351">
        <v>8.0</v>
      </c>
      <c r="B90" s="351" t="s">
        <v>613</v>
      </c>
      <c r="C90" s="351">
        <v>492.0</v>
      </c>
      <c r="D90" s="351">
        <v>22.0</v>
      </c>
      <c r="E90" s="351">
        <v>105.0</v>
      </c>
      <c r="F90" s="351">
        <v>0.0</v>
      </c>
      <c r="G90" s="351">
        <v>2.0</v>
      </c>
      <c r="H90" s="351">
        <v>0.0</v>
      </c>
      <c r="I90" s="351">
        <f t="shared" si="1"/>
        <v>129</v>
      </c>
      <c r="J90" s="351">
        <v>143.0</v>
      </c>
      <c r="K90" s="351">
        <v>150.0</v>
      </c>
      <c r="L90" s="682">
        <f t="shared" si="2"/>
        <v>293</v>
      </c>
      <c r="M90" s="473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>
      <c r="A91" s="351">
        <v>8.0</v>
      </c>
      <c r="B91" s="351" t="s">
        <v>618</v>
      </c>
      <c r="C91" s="351">
        <v>6.0</v>
      </c>
      <c r="D91" s="351">
        <v>0.0</v>
      </c>
      <c r="E91" s="351">
        <v>2.0</v>
      </c>
      <c r="F91" s="351">
        <v>0.0</v>
      </c>
      <c r="G91" s="351">
        <v>0.0</v>
      </c>
      <c r="H91" s="351">
        <v>0.0</v>
      </c>
      <c r="I91" s="351">
        <f t="shared" si="1"/>
        <v>2</v>
      </c>
      <c r="J91" s="351">
        <v>0.0</v>
      </c>
      <c r="K91" s="351">
        <v>4.0</v>
      </c>
      <c r="L91" s="682">
        <f t="shared" si="2"/>
        <v>4</v>
      </c>
      <c r="M91" s="473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>
      <c r="A92" s="351">
        <v>8.0</v>
      </c>
      <c r="B92" s="351" t="s">
        <v>163</v>
      </c>
      <c r="C92" s="351">
        <v>8.0</v>
      </c>
      <c r="D92" s="351">
        <v>0.0</v>
      </c>
      <c r="E92" s="351">
        <v>2.0</v>
      </c>
      <c r="F92" s="351">
        <v>0.0</v>
      </c>
      <c r="G92" s="351">
        <v>0.0</v>
      </c>
      <c r="H92" s="351">
        <v>0.0</v>
      </c>
      <c r="I92" s="351">
        <f t="shared" si="1"/>
        <v>2</v>
      </c>
      <c r="J92" s="351">
        <v>0.0</v>
      </c>
      <c r="K92" s="351">
        <v>5.0</v>
      </c>
      <c r="L92" s="682">
        <f t="shared" si="2"/>
        <v>5</v>
      </c>
      <c r="M92" s="473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>
      <c r="A93" s="351">
        <v>8.0</v>
      </c>
      <c r="B93" s="351" t="s">
        <v>623</v>
      </c>
      <c r="C93" s="351">
        <v>4.0</v>
      </c>
      <c r="D93" s="351">
        <v>0.0</v>
      </c>
      <c r="E93" s="351">
        <v>4.0</v>
      </c>
      <c r="F93" s="351">
        <v>0.0</v>
      </c>
      <c r="G93" s="351">
        <v>0.0</v>
      </c>
      <c r="H93" s="351">
        <v>0.0</v>
      </c>
      <c r="I93" s="351">
        <f t="shared" si="1"/>
        <v>4</v>
      </c>
      <c r="J93" s="351">
        <v>0.0</v>
      </c>
      <c r="K93" s="351">
        <v>0.0</v>
      </c>
      <c r="L93" s="682">
        <f t="shared" si="2"/>
        <v>0</v>
      </c>
      <c r="M93" s="473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>
      <c r="A94" s="351">
        <v>8.0</v>
      </c>
      <c r="B94" s="351" t="s">
        <v>629</v>
      </c>
      <c r="C94" s="351">
        <v>7.0</v>
      </c>
      <c r="D94" s="351">
        <v>0.0</v>
      </c>
      <c r="E94" s="351">
        <v>1.0</v>
      </c>
      <c r="F94" s="351">
        <v>0.0</v>
      </c>
      <c r="G94" s="351">
        <v>0.0</v>
      </c>
      <c r="H94" s="351">
        <v>0.0</v>
      </c>
      <c r="I94" s="351">
        <f t="shared" si="1"/>
        <v>1</v>
      </c>
      <c r="J94" s="351">
        <v>4.0</v>
      </c>
      <c r="K94" s="351">
        <v>0.0</v>
      </c>
      <c r="L94" s="682">
        <f t="shared" si="2"/>
        <v>4</v>
      </c>
      <c r="M94" s="473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>
      <c r="A95" s="351">
        <v>8.0</v>
      </c>
      <c r="B95" s="351" t="s">
        <v>169</v>
      </c>
      <c r="C95" s="351">
        <v>104.0</v>
      </c>
      <c r="D95" s="351">
        <v>5.0</v>
      </c>
      <c r="E95" s="351">
        <v>28.0</v>
      </c>
      <c r="F95" s="351">
        <v>1.0</v>
      </c>
      <c r="G95" s="351">
        <v>6.0</v>
      </c>
      <c r="H95" s="351">
        <v>0.0</v>
      </c>
      <c r="I95" s="351">
        <f t="shared" si="1"/>
        <v>40</v>
      </c>
      <c r="J95" s="351">
        <v>12.0</v>
      </c>
      <c r="K95" s="351">
        <v>30.0</v>
      </c>
      <c r="L95" s="682">
        <f t="shared" si="2"/>
        <v>42</v>
      </c>
      <c r="M95" s="473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>
      <c r="A96" s="351">
        <v>8.0</v>
      </c>
      <c r="B96" s="351" t="s">
        <v>630</v>
      </c>
      <c r="C96" s="351">
        <v>7.0</v>
      </c>
      <c r="D96" s="351">
        <v>3.0</v>
      </c>
      <c r="E96" s="351">
        <v>0.0</v>
      </c>
      <c r="F96" s="351">
        <v>0.0</v>
      </c>
      <c r="G96" s="351">
        <v>0.0</v>
      </c>
      <c r="H96" s="351">
        <v>0.0</v>
      </c>
      <c r="I96" s="351">
        <f t="shared" si="1"/>
        <v>3</v>
      </c>
      <c r="J96" s="351">
        <v>0.0</v>
      </c>
      <c r="K96" s="351">
        <v>3.0</v>
      </c>
      <c r="L96" s="682">
        <f t="shared" si="2"/>
        <v>3</v>
      </c>
      <c r="M96" s="473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>
      <c r="A97" s="351">
        <v>8.0</v>
      </c>
      <c r="B97" s="351" t="s">
        <v>526</v>
      </c>
      <c r="C97" s="351">
        <v>19.0</v>
      </c>
      <c r="D97" s="351">
        <v>0.0</v>
      </c>
      <c r="E97" s="351">
        <v>11.0</v>
      </c>
      <c r="F97" s="351">
        <v>0.0</v>
      </c>
      <c r="G97" s="351">
        <v>0.0</v>
      </c>
      <c r="H97" s="351">
        <v>0.0</v>
      </c>
      <c r="I97" s="351">
        <f t="shared" si="1"/>
        <v>11</v>
      </c>
      <c r="J97" s="351">
        <v>0.0</v>
      </c>
      <c r="K97" s="351">
        <v>5.0</v>
      </c>
      <c r="L97" s="682">
        <f t="shared" si="2"/>
        <v>5</v>
      </c>
      <c r="M97" s="473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>
      <c r="A98" s="351">
        <v>8.0</v>
      </c>
      <c r="B98" s="351" t="s">
        <v>648</v>
      </c>
      <c r="C98" s="351">
        <v>1.0</v>
      </c>
      <c r="D98" s="351">
        <v>0.0</v>
      </c>
      <c r="E98" s="351">
        <v>1.0</v>
      </c>
      <c r="F98" s="351">
        <v>0.0</v>
      </c>
      <c r="G98" s="351">
        <v>0.0</v>
      </c>
      <c r="H98" s="351">
        <v>0.0</v>
      </c>
      <c r="I98" s="351">
        <f t="shared" si="1"/>
        <v>1</v>
      </c>
      <c r="J98" s="351">
        <v>0.0</v>
      </c>
      <c r="K98" s="351">
        <v>0.0</v>
      </c>
      <c r="L98" s="682">
        <f t="shared" si="2"/>
        <v>0</v>
      </c>
      <c r="M98" s="473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>
      <c r="A99" s="351">
        <v>9.0</v>
      </c>
      <c r="B99" s="351" t="s">
        <v>532</v>
      </c>
      <c r="C99" s="351">
        <v>53.0</v>
      </c>
      <c r="D99" s="351">
        <v>1.0</v>
      </c>
      <c r="E99" s="351">
        <v>17.0</v>
      </c>
      <c r="F99" s="351">
        <v>0.0</v>
      </c>
      <c r="G99" s="351">
        <v>0.0</v>
      </c>
      <c r="H99" s="351">
        <v>0.0</v>
      </c>
      <c r="I99" s="351">
        <f t="shared" si="1"/>
        <v>18</v>
      </c>
      <c r="J99" s="351">
        <v>8.0</v>
      </c>
      <c r="K99" s="351">
        <v>5.0</v>
      </c>
      <c r="L99" s="682">
        <f t="shared" si="2"/>
        <v>13</v>
      </c>
      <c r="M99" s="473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>
      <c r="A100" s="351">
        <v>9.0</v>
      </c>
      <c r="B100" s="351" t="s">
        <v>541</v>
      </c>
      <c r="C100" s="351">
        <v>13.0</v>
      </c>
      <c r="D100" s="351">
        <v>0.0</v>
      </c>
      <c r="E100" s="351">
        <v>6.0</v>
      </c>
      <c r="F100" s="351">
        <v>0.0</v>
      </c>
      <c r="G100" s="351">
        <v>0.0</v>
      </c>
      <c r="H100" s="351">
        <v>0.0</v>
      </c>
      <c r="I100" s="351">
        <f t="shared" si="1"/>
        <v>6</v>
      </c>
      <c r="J100" s="351">
        <v>1.0</v>
      </c>
      <c r="K100" s="351">
        <v>2.0</v>
      </c>
      <c r="L100" s="682">
        <f t="shared" si="2"/>
        <v>3</v>
      </c>
      <c r="M100" s="473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>
      <c r="A101" s="351">
        <v>9.0</v>
      </c>
      <c r="B101" s="351" t="s">
        <v>549</v>
      </c>
      <c r="C101" s="351">
        <v>6.0</v>
      </c>
      <c r="D101" s="351">
        <v>0.0</v>
      </c>
      <c r="E101" s="351">
        <v>0.0</v>
      </c>
      <c r="F101" s="351">
        <v>0.0</v>
      </c>
      <c r="G101" s="351">
        <v>0.0</v>
      </c>
      <c r="H101" s="351">
        <v>0.0</v>
      </c>
      <c r="I101" s="351">
        <f t="shared" si="1"/>
        <v>0</v>
      </c>
      <c r="J101" s="351">
        <v>3.0</v>
      </c>
      <c r="K101" s="351">
        <v>2.0</v>
      </c>
      <c r="L101" s="682">
        <f t="shared" si="2"/>
        <v>5</v>
      </c>
      <c r="M101" s="473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>
      <c r="A102" s="351">
        <v>9.0</v>
      </c>
      <c r="B102" s="351" t="s">
        <v>564</v>
      </c>
      <c r="C102" s="351">
        <v>43.0</v>
      </c>
      <c r="D102" s="351">
        <v>1.0</v>
      </c>
      <c r="E102" s="351">
        <v>16.0</v>
      </c>
      <c r="F102" s="351">
        <v>0.0</v>
      </c>
      <c r="G102" s="351">
        <v>0.0</v>
      </c>
      <c r="H102" s="351">
        <v>0.0</v>
      </c>
      <c r="I102" s="351">
        <f t="shared" si="1"/>
        <v>17</v>
      </c>
      <c r="J102" s="351">
        <v>6.0</v>
      </c>
      <c r="K102" s="351">
        <v>12.0</v>
      </c>
      <c r="L102" s="682">
        <f t="shared" si="2"/>
        <v>18</v>
      </c>
      <c r="M102" s="473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>
      <c r="A103" s="351">
        <v>9.0</v>
      </c>
      <c r="B103" s="351" t="s">
        <v>571</v>
      </c>
      <c r="C103" s="351">
        <v>18.0</v>
      </c>
      <c r="D103" s="351">
        <v>0.0</v>
      </c>
      <c r="E103" s="351">
        <v>4.0</v>
      </c>
      <c r="F103" s="351">
        <v>0.0</v>
      </c>
      <c r="G103" s="351">
        <v>0.0</v>
      </c>
      <c r="H103" s="351">
        <v>0.0</v>
      </c>
      <c r="I103" s="351">
        <f t="shared" si="1"/>
        <v>4</v>
      </c>
      <c r="J103" s="351">
        <v>3.0</v>
      </c>
      <c r="K103" s="351">
        <v>4.0</v>
      </c>
      <c r="L103" s="682">
        <f t="shared" si="2"/>
        <v>7</v>
      </c>
      <c r="M103" s="473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>
      <c r="A104" s="351">
        <v>9.0</v>
      </c>
      <c r="B104" s="351" t="s">
        <v>572</v>
      </c>
      <c r="C104" s="351">
        <v>19.0</v>
      </c>
      <c r="D104" s="351">
        <v>1.0</v>
      </c>
      <c r="E104" s="351">
        <v>5.0</v>
      </c>
      <c r="F104" s="351">
        <v>0.0</v>
      </c>
      <c r="G104" s="351">
        <v>0.0</v>
      </c>
      <c r="H104" s="351">
        <v>0.0</v>
      </c>
      <c r="I104" s="351">
        <f t="shared" si="1"/>
        <v>6</v>
      </c>
      <c r="J104" s="351">
        <v>0.0</v>
      </c>
      <c r="K104" s="351">
        <v>8.0</v>
      </c>
      <c r="L104" s="682">
        <f t="shared" si="2"/>
        <v>8</v>
      </c>
      <c r="M104" s="473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>
      <c r="A105" s="351">
        <v>9.0</v>
      </c>
      <c r="B105" s="351" t="s">
        <v>594</v>
      </c>
      <c r="C105" s="351">
        <v>25.0</v>
      </c>
      <c r="D105" s="351">
        <v>1.0</v>
      </c>
      <c r="E105" s="351">
        <v>0.0</v>
      </c>
      <c r="F105" s="351">
        <v>0.0</v>
      </c>
      <c r="G105" s="351">
        <v>0.0</v>
      </c>
      <c r="H105" s="351">
        <v>0.0</v>
      </c>
      <c r="I105" s="351">
        <f t="shared" si="1"/>
        <v>1</v>
      </c>
      <c r="J105" s="351">
        <v>1.0</v>
      </c>
      <c r="K105" s="351">
        <v>8.0</v>
      </c>
      <c r="L105" s="682">
        <f t="shared" si="2"/>
        <v>9</v>
      </c>
      <c r="M105" s="473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>
      <c r="A106" s="351">
        <v>9.0</v>
      </c>
      <c r="B106" s="351" t="s">
        <v>288</v>
      </c>
      <c r="C106" s="351">
        <v>6.0</v>
      </c>
      <c r="D106" s="351">
        <v>0.0</v>
      </c>
      <c r="E106" s="351">
        <v>1.0</v>
      </c>
      <c r="F106" s="351">
        <v>0.0</v>
      </c>
      <c r="G106" s="351">
        <v>0.0</v>
      </c>
      <c r="H106" s="351">
        <v>0.0</v>
      </c>
      <c r="I106" s="351">
        <f t="shared" si="1"/>
        <v>1</v>
      </c>
      <c r="J106" s="351">
        <v>1.0</v>
      </c>
      <c r="K106" s="351">
        <v>3.0</v>
      </c>
      <c r="L106" s="682">
        <f t="shared" si="2"/>
        <v>4</v>
      </c>
      <c r="M106" s="473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>
      <c r="A107" s="351">
        <v>9.0</v>
      </c>
      <c r="B107" s="351" t="s">
        <v>601</v>
      </c>
      <c r="C107" s="351">
        <v>64.0</v>
      </c>
      <c r="D107" s="351">
        <v>2.0</v>
      </c>
      <c r="E107" s="351">
        <v>2.0</v>
      </c>
      <c r="F107" s="351">
        <v>0.0</v>
      </c>
      <c r="G107" s="351">
        <v>0.0</v>
      </c>
      <c r="H107" s="351">
        <v>0.0</v>
      </c>
      <c r="I107" s="351">
        <f t="shared" si="1"/>
        <v>4</v>
      </c>
      <c r="J107" s="351">
        <v>11.0</v>
      </c>
      <c r="K107" s="351">
        <v>23.0</v>
      </c>
      <c r="L107" s="682">
        <f t="shared" si="2"/>
        <v>34</v>
      </c>
      <c r="M107" s="473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>
      <c r="A108" s="351">
        <v>9.0</v>
      </c>
      <c r="B108" s="351" t="s">
        <v>157</v>
      </c>
      <c r="C108" s="351">
        <v>12.0</v>
      </c>
      <c r="D108" s="351">
        <v>1.0</v>
      </c>
      <c r="E108" s="351">
        <v>0.0</v>
      </c>
      <c r="F108" s="351">
        <v>0.0</v>
      </c>
      <c r="G108" s="351">
        <v>0.0</v>
      </c>
      <c r="H108" s="351">
        <v>0.0</v>
      </c>
      <c r="I108" s="351">
        <f t="shared" si="1"/>
        <v>1</v>
      </c>
      <c r="J108" s="351">
        <v>3.0</v>
      </c>
      <c r="K108" s="351">
        <v>2.0</v>
      </c>
      <c r="L108" s="682">
        <f t="shared" si="2"/>
        <v>5</v>
      </c>
      <c r="M108" s="473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>
      <c r="A109" s="351">
        <v>9.0</v>
      </c>
      <c r="B109" s="351" t="s">
        <v>305</v>
      </c>
      <c r="C109" s="351">
        <v>20.0</v>
      </c>
      <c r="D109" s="351">
        <v>1.0</v>
      </c>
      <c r="E109" s="351">
        <v>6.0</v>
      </c>
      <c r="F109" s="351">
        <v>0.0</v>
      </c>
      <c r="G109" s="351">
        <v>0.0</v>
      </c>
      <c r="H109" s="351">
        <v>0.0</v>
      </c>
      <c r="I109" s="351">
        <f t="shared" si="1"/>
        <v>7</v>
      </c>
      <c r="J109" s="351">
        <v>3.0</v>
      </c>
      <c r="K109" s="351">
        <v>8.0</v>
      </c>
      <c r="L109" s="682">
        <f t="shared" si="2"/>
        <v>11</v>
      </c>
      <c r="M109" s="473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>
      <c r="A110" s="351">
        <v>9.0</v>
      </c>
      <c r="B110" s="351" t="s">
        <v>632</v>
      </c>
      <c r="C110" s="351">
        <v>31.0</v>
      </c>
      <c r="D110" s="351">
        <v>6.0</v>
      </c>
      <c r="E110" s="351">
        <v>6.0</v>
      </c>
      <c r="F110" s="351">
        <v>0.0</v>
      </c>
      <c r="G110" s="351">
        <v>0.0</v>
      </c>
      <c r="H110" s="351">
        <v>0.0</v>
      </c>
      <c r="I110" s="351">
        <f t="shared" si="1"/>
        <v>12</v>
      </c>
      <c r="J110" s="351">
        <v>4.0</v>
      </c>
      <c r="K110" s="351">
        <v>5.0</v>
      </c>
      <c r="L110" s="682">
        <f t="shared" si="2"/>
        <v>9</v>
      </c>
      <c r="M110" s="473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>
      <c r="A111" s="351">
        <v>9.0</v>
      </c>
      <c r="B111" s="351" t="s">
        <v>633</v>
      </c>
      <c r="C111" s="351">
        <v>26.0</v>
      </c>
      <c r="D111" s="351">
        <v>0.0</v>
      </c>
      <c r="E111" s="351">
        <v>6.0</v>
      </c>
      <c r="F111" s="351">
        <v>0.0</v>
      </c>
      <c r="G111" s="351">
        <v>0.0</v>
      </c>
      <c r="H111" s="351">
        <v>0.0</v>
      </c>
      <c r="I111" s="351">
        <f t="shared" si="1"/>
        <v>6</v>
      </c>
      <c r="J111" s="351">
        <v>4.0</v>
      </c>
      <c r="K111" s="351">
        <v>9.0</v>
      </c>
      <c r="L111" s="682">
        <f t="shared" si="2"/>
        <v>13</v>
      </c>
      <c r="M111" s="473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>
      <c r="A112" s="351">
        <v>9.0</v>
      </c>
      <c r="B112" s="351" t="s">
        <v>638</v>
      </c>
      <c r="C112" s="351">
        <v>32.0</v>
      </c>
      <c r="D112" s="351">
        <v>0.0</v>
      </c>
      <c r="E112" s="351">
        <v>8.0</v>
      </c>
      <c r="F112" s="351">
        <v>1.0</v>
      </c>
      <c r="G112" s="351">
        <v>0.0</v>
      </c>
      <c r="H112" s="351">
        <v>0.0</v>
      </c>
      <c r="I112" s="351">
        <f t="shared" si="1"/>
        <v>9</v>
      </c>
      <c r="J112" s="351">
        <v>1.0</v>
      </c>
      <c r="K112" s="351">
        <v>15.0</v>
      </c>
      <c r="L112" s="682">
        <f t="shared" si="2"/>
        <v>16</v>
      </c>
      <c r="M112" s="473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>
      <c r="A113" s="351">
        <v>9.0</v>
      </c>
      <c r="B113" s="351" t="s">
        <v>640</v>
      </c>
      <c r="C113" s="351">
        <v>6.0</v>
      </c>
      <c r="D113" s="351">
        <v>0.0</v>
      </c>
      <c r="E113" s="351">
        <v>1.0</v>
      </c>
      <c r="F113" s="351">
        <v>0.0</v>
      </c>
      <c r="G113" s="351">
        <v>0.0</v>
      </c>
      <c r="H113" s="351">
        <v>0.0</v>
      </c>
      <c r="I113" s="351">
        <f t="shared" si="1"/>
        <v>1</v>
      </c>
      <c r="J113" s="351">
        <v>0.0</v>
      </c>
      <c r="K113" s="351">
        <v>4.0</v>
      </c>
      <c r="L113" s="682">
        <f t="shared" si="2"/>
        <v>4</v>
      </c>
      <c r="M113" s="473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>
      <c r="A114" s="351">
        <v>9.0</v>
      </c>
      <c r="B114" s="351" t="s">
        <v>273</v>
      </c>
      <c r="C114" s="351">
        <v>34.0</v>
      </c>
      <c r="D114" s="351">
        <v>1.0</v>
      </c>
      <c r="E114" s="351">
        <v>0.0</v>
      </c>
      <c r="F114" s="351">
        <v>0.0</v>
      </c>
      <c r="G114" s="351">
        <v>0.0</v>
      </c>
      <c r="H114" s="351">
        <v>0.0</v>
      </c>
      <c r="I114" s="351">
        <f t="shared" si="1"/>
        <v>1</v>
      </c>
      <c r="J114" s="351">
        <v>13.0</v>
      </c>
      <c r="K114" s="351">
        <v>11.0</v>
      </c>
      <c r="L114" s="682">
        <f t="shared" si="2"/>
        <v>24</v>
      </c>
      <c r="M114" s="473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>
      <c r="A115" s="351">
        <v>9.0</v>
      </c>
      <c r="B115" s="351" t="s">
        <v>649</v>
      </c>
      <c r="C115" s="351">
        <v>6.0</v>
      </c>
      <c r="D115" s="351">
        <v>0.0</v>
      </c>
      <c r="E115" s="351">
        <v>0.0</v>
      </c>
      <c r="F115" s="351">
        <v>0.0</v>
      </c>
      <c r="G115" s="351">
        <v>0.0</v>
      </c>
      <c r="H115" s="351">
        <v>0.0</v>
      </c>
      <c r="I115" s="351">
        <f t="shared" si="1"/>
        <v>0</v>
      </c>
      <c r="J115" s="351">
        <v>5.0</v>
      </c>
      <c r="K115" s="351">
        <v>0.0</v>
      </c>
      <c r="L115" s="682">
        <f t="shared" si="2"/>
        <v>5</v>
      </c>
      <c r="M115" s="473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>
      <c r="A116" s="351">
        <v>9.0</v>
      </c>
      <c r="B116" s="351" t="s">
        <v>176</v>
      </c>
      <c r="C116" s="351">
        <v>16.0</v>
      </c>
      <c r="D116" s="351">
        <v>1.0</v>
      </c>
      <c r="E116" s="351">
        <v>2.0</v>
      </c>
      <c r="F116" s="351">
        <v>0.0</v>
      </c>
      <c r="G116" s="351">
        <v>0.0</v>
      </c>
      <c r="H116" s="351">
        <v>0.0</v>
      </c>
      <c r="I116" s="351">
        <f t="shared" si="1"/>
        <v>3</v>
      </c>
      <c r="J116" s="351">
        <v>3.0</v>
      </c>
      <c r="K116" s="351">
        <v>10.0</v>
      </c>
      <c r="L116" s="682">
        <f t="shared" si="2"/>
        <v>13</v>
      </c>
      <c r="M116" s="473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>
      <c r="A117" s="351">
        <v>10.0</v>
      </c>
      <c r="B117" s="351" t="s">
        <v>481</v>
      </c>
      <c r="C117" s="351">
        <v>3.0</v>
      </c>
      <c r="D117" s="351">
        <v>0.0</v>
      </c>
      <c r="E117" s="351">
        <v>0.0</v>
      </c>
      <c r="F117" s="351">
        <v>0.0</v>
      </c>
      <c r="G117" s="351">
        <v>0.0</v>
      </c>
      <c r="H117" s="351">
        <v>0.0</v>
      </c>
      <c r="I117" s="351">
        <f t="shared" si="1"/>
        <v>0</v>
      </c>
      <c r="J117" s="351">
        <v>1.0</v>
      </c>
      <c r="K117" s="351">
        <v>1.0</v>
      </c>
      <c r="L117" s="682">
        <f t="shared" si="2"/>
        <v>2</v>
      </c>
      <c r="M117" s="473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>
      <c r="A118" s="351">
        <v>10.0</v>
      </c>
      <c r="B118" s="351" t="s">
        <v>93</v>
      </c>
      <c r="C118" s="351">
        <v>1.0</v>
      </c>
      <c r="D118" s="351">
        <v>0.0</v>
      </c>
      <c r="E118" s="351">
        <v>0.0</v>
      </c>
      <c r="F118" s="351">
        <v>0.0</v>
      </c>
      <c r="G118" s="351">
        <v>0.0</v>
      </c>
      <c r="H118" s="351">
        <v>0.0</v>
      </c>
      <c r="I118" s="351">
        <f t="shared" si="1"/>
        <v>0</v>
      </c>
      <c r="J118" s="351">
        <v>0.0</v>
      </c>
      <c r="K118" s="351">
        <v>0.0</v>
      </c>
      <c r="L118" s="682">
        <f t="shared" si="2"/>
        <v>0</v>
      </c>
      <c r="M118" s="473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>
      <c r="A119" s="351">
        <v>10.0</v>
      </c>
      <c r="B119" s="351" t="s">
        <v>557</v>
      </c>
      <c r="C119" s="351">
        <v>30.0</v>
      </c>
      <c r="D119" s="351">
        <v>2.0</v>
      </c>
      <c r="E119" s="351">
        <v>4.0</v>
      </c>
      <c r="F119" s="351">
        <v>0.0</v>
      </c>
      <c r="G119" s="351">
        <v>0.0</v>
      </c>
      <c r="H119" s="351">
        <v>0.0</v>
      </c>
      <c r="I119" s="351">
        <f t="shared" si="1"/>
        <v>6</v>
      </c>
      <c r="J119" s="351">
        <v>7.0</v>
      </c>
      <c r="K119" s="351">
        <v>6.0</v>
      </c>
      <c r="L119" s="682">
        <f t="shared" si="2"/>
        <v>13</v>
      </c>
      <c r="M119" s="473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>
      <c r="A120" s="351">
        <v>10.0</v>
      </c>
      <c r="B120" s="351" t="s">
        <v>563</v>
      </c>
      <c r="C120" s="351">
        <v>38.0</v>
      </c>
      <c r="D120" s="351">
        <v>1.0</v>
      </c>
      <c r="E120" s="351">
        <v>18.0</v>
      </c>
      <c r="F120" s="351">
        <v>0.0</v>
      </c>
      <c r="G120" s="351">
        <v>0.0</v>
      </c>
      <c r="H120" s="351">
        <v>0.0</v>
      </c>
      <c r="I120" s="351">
        <f t="shared" si="1"/>
        <v>19</v>
      </c>
      <c r="J120" s="351">
        <v>1.0</v>
      </c>
      <c r="K120" s="351">
        <v>10.0</v>
      </c>
      <c r="L120" s="682">
        <f t="shared" si="2"/>
        <v>11</v>
      </c>
      <c r="M120" s="473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>
      <c r="A121" s="351">
        <v>10.0</v>
      </c>
      <c r="B121" s="351" t="s">
        <v>566</v>
      </c>
      <c r="C121" s="351">
        <v>251.0</v>
      </c>
      <c r="D121" s="351">
        <v>2.0</v>
      </c>
      <c r="E121" s="351">
        <v>11.0</v>
      </c>
      <c r="F121" s="351">
        <v>0.0</v>
      </c>
      <c r="G121" s="351">
        <v>1.0</v>
      </c>
      <c r="H121" s="351">
        <v>1.0</v>
      </c>
      <c r="I121" s="351">
        <f t="shared" si="1"/>
        <v>15</v>
      </c>
      <c r="J121" s="351">
        <v>130.0</v>
      </c>
      <c r="K121" s="351">
        <v>69.0</v>
      </c>
      <c r="L121" s="682">
        <f t="shared" si="2"/>
        <v>199</v>
      </c>
      <c r="M121" s="473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>
      <c r="A122" s="351">
        <v>10.0</v>
      </c>
      <c r="B122" s="351" t="s">
        <v>567</v>
      </c>
      <c r="C122" s="351">
        <v>4.0</v>
      </c>
      <c r="D122" s="351">
        <v>0.0</v>
      </c>
      <c r="E122" s="351">
        <v>0.0</v>
      </c>
      <c r="F122" s="351">
        <v>0.0</v>
      </c>
      <c r="G122" s="351">
        <v>0.0</v>
      </c>
      <c r="H122" s="351">
        <v>0.0</v>
      </c>
      <c r="I122" s="351">
        <f t="shared" si="1"/>
        <v>0</v>
      </c>
      <c r="J122" s="351">
        <v>1.0</v>
      </c>
      <c r="K122" s="351">
        <v>1.0</v>
      </c>
      <c r="L122" s="682">
        <f t="shared" si="2"/>
        <v>2</v>
      </c>
      <c r="M122" s="473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>
      <c r="A123" s="351">
        <v>10.0</v>
      </c>
      <c r="B123" s="351" t="s">
        <v>584</v>
      </c>
      <c r="C123" s="351">
        <v>20.0</v>
      </c>
      <c r="D123" s="351">
        <v>0.0</v>
      </c>
      <c r="E123" s="351">
        <v>0.0</v>
      </c>
      <c r="F123" s="351">
        <v>0.0</v>
      </c>
      <c r="G123" s="351">
        <v>0.0</v>
      </c>
      <c r="H123" s="351">
        <v>0.0</v>
      </c>
      <c r="I123" s="351">
        <f t="shared" si="1"/>
        <v>0</v>
      </c>
      <c r="J123" s="351">
        <v>0.0</v>
      </c>
      <c r="K123" s="351">
        <v>6.0</v>
      </c>
      <c r="L123" s="682">
        <f t="shared" si="2"/>
        <v>6</v>
      </c>
      <c r="M123" s="473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>
      <c r="A124" s="351">
        <v>10.0</v>
      </c>
      <c r="B124" s="351" t="s">
        <v>147</v>
      </c>
      <c r="C124" s="351">
        <v>42.0</v>
      </c>
      <c r="D124" s="351">
        <v>0.0</v>
      </c>
      <c r="E124" s="351">
        <v>8.0</v>
      </c>
      <c r="F124" s="351">
        <v>2.0</v>
      </c>
      <c r="G124" s="351">
        <v>0.0</v>
      </c>
      <c r="H124" s="351">
        <v>0.0</v>
      </c>
      <c r="I124" s="351">
        <f t="shared" si="1"/>
        <v>10</v>
      </c>
      <c r="J124" s="351">
        <v>1.0</v>
      </c>
      <c r="K124" s="351">
        <v>16.0</v>
      </c>
      <c r="L124" s="682">
        <f t="shared" si="2"/>
        <v>17</v>
      </c>
      <c r="M124" s="473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>
      <c r="A125" s="351">
        <v>10.0</v>
      </c>
      <c r="B125" s="351" t="s">
        <v>295</v>
      </c>
      <c r="C125" s="351">
        <v>7.0</v>
      </c>
      <c r="D125" s="351">
        <v>0.0</v>
      </c>
      <c r="E125" s="351">
        <v>1.0</v>
      </c>
      <c r="F125" s="351">
        <v>0.0</v>
      </c>
      <c r="G125" s="351">
        <v>0.0</v>
      </c>
      <c r="H125" s="351">
        <v>0.0</v>
      </c>
      <c r="I125" s="351">
        <f t="shared" si="1"/>
        <v>1</v>
      </c>
      <c r="J125" s="351">
        <v>1.0</v>
      </c>
      <c r="K125" s="351">
        <v>3.0</v>
      </c>
      <c r="L125" s="682">
        <f t="shared" si="2"/>
        <v>4</v>
      </c>
      <c r="M125" s="473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>
      <c r="A126" s="351">
        <v>10.0</v>
      </c>
      <c r="B126" s="351" t="s">
        <v>610</v>
      </c>
      <c r="C126" s="351">
        <v>21.0</v>
      </c>
      <c r="D126" s="351">
        <v>1.0</v>
      </c>
      <c r="E126" s="351">
        <v>2.0</v>
      </c>
      <c r="F126" s="351">
        <v>0.0</v>
      </c>
      <c r="G126" s="351">
        <v>0.0</v>
      </c>
      <c r="H126" s="351">
        <v>0.0</v>
      </c>
      <c r="I126" s="351">
        <f t="shared" si="1"/>
        <v>3</v>
      </c>
      <c r="J126" s="351">
        <v>7.0</v>
      </c>
      <c r="K126" s="351">
        <v>8.0</v>
      </c>
      <c r="L126" s="682">
        <f t="shared" si="2"/>
        <v>15</v>
      </c>
      <c r="M126" s="473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>
      <c r="A127" s="351">
        <v>10.0</v>
      </c>
      <c r="B127" s="351" t="s">
        <v>524</v>
      </c>
      <c r="C127" s="351">
        <v>6.0</v>
      </c>
      <c r="D127" s="351">
        <v>0.0</v>
      </c>
      <c r="E127" s="351">
        <v>0.0</v>
      </c>
      <c r="F127" s="351">
        <v>0.0</v>
      </c>
      <c r="G127" s="351">
        <v>0.0</v>
      </c>
      <c r="H127" s="351">
        <v>0.0</v>
      </c>
      <c r="I127" s="351">
        <f t="shared" si="1"/>
        <v>0</v>
      </c>
      <c r="J127" s="351">
        <v>0.0</v>
      </c>
      <c r="K127" s="351">
        <v>5.0</v>
      </c>
      <c r="L127" s="682">
        <f t="shared" si="2"/>
        <v>5</v>
      </c>
      <c r="M127" s="473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>
      <c r="A128" s="351">
        <v>10.0</v>
      </c>
      <c r="B128" s="351" t="s">
        <v>635</v>
      </c>
      <c r="C128" s="351">
        <v>15.0</v>
      </c>
      <c r="D128" s="351">
        <v>0.0</v>
      </c>
      <c r="E128" s="351">
        <v>1.0</v>
      </c>
      <c r="F128" s="351">
        <v>0.0</v>
      </c>
      <c r="G128" s="351">
        <v>0.0</v>
      </c>
      <c r="H128" s="351">
        <v>0.0</v>
      </c>
      <c r="I128" s="351">
        <f t="shared" si="1"/>
        <v>1</v>
      </c>
      <c r="J128" s="351">
        <v>6.0</v>
      </c>
      <c r="K128" s="351">
        <v>6.0</v>
      </c>
      <c r="L128" s="682">
        <f t="shared" si="2"/>
        <v>12</v>
      </c>
      <c r="M128" s="473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>
      <c r="A129" s="351">
        <v>10.0</v>
      </c>
      <c r="B129" s="351" t="s">
        <v>636</v>
      </c>
      <c r="C129" s="351">
        <v>55.0</v>
      </c>
      <c r="D129" s="351">
        <v>0.0</v>
      </c>
      <c r="E129" s="351">
        <v>7.0</v>
      </c>
      <c r="F129" s="351">
        <v>0.0</v>
      </c>
      <c r="G129" s="351">
        <v>0.0</v>
      </c>
      <c r="H129" s="351">
        <v>0.0</v>
      </c>
      <c r="I129" s="351">
        <f t="shared" si="1"/>
        <v>7</v>
      </c>
      <c r="J129" s="351">
        <v>4.0</v>
      </c>
      <c r="K129" s="351">
        <v>25.0</v>
      </c>
      <c r="L129" s="682">
        <f t="shared" si="2"/>
        <v>29</v>
      </c>
      <c r="M129" s="473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>
      <c r="A130" s="351">
        <v>10.0</v>
      </c>
      <c r="B130" s="351" t="s">
        <v>655</v>
      </c>
      <c r="C130" s="351">
        <v>31.0</v>
      </c>
      <c r="D130" s="351">
        <v>2.0</v>
      </c>
      <c r="E130" s="351">
        <v>11.0</v>
      </c>
      <c r="F130" s="351">
        <v>0.0</v>
      </c>
      <c r="G130" s="351">
        <v>1.0</v>
      </c>
      <c r="H130" s="351">
        <v>0.0</v>
      </c>
      <c r="I130" s="351">
        <f t="shared" si="1"/>
        <v>14</v>
      </c>
      <c r="J130" s="351">
        <v>2.0</v>
      </c>
      <c r="K130" s="351">
        <v>7.0</v>
      </c>
      <c r="L130" s="682">
        <f t="shared" si="2"/>
        <v>9</v>
      </c>
      <c r="M130" s="473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>
      <c r="A131" s="351">
        <v>11.0</v>
      </c>
      <c r="B131" s="351" t="s">
        <v>533</v>
      </c>
      <c r="C131" s="351">
        <v>10.0</v>
      </c>
      <c r="D131" s="351">
        <v>0.0</v>
      </c>
      <c r="E131" s="351">
        <v>5.0</v>
      </c>
      <c r="F131" s="351">
        <v>0.0</v>
      </c>
      <c r="G131" s="351">
        <v>1.0</v>
      </c>
      <c r="H131" s="351">
        <v>0.0</v>
      </c>
      <c r="I131" s="351">
        <f t="shared" si="1"/>
        <v>6</v>
      </c>
      <c r="J131" s="351">
        <v>0.0</v>
      </c>
      <c r="K131" s="351">
        <v>3.0</v>
      </c>
      <c r="L131" s="682">
        <f t="shared" si="2"/>
        <v>3</v>
      </c>
      <c r="M131" s="473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>
      <c r="A132" s="351">
        <v>11.0</v>
      </c>
      <c r="B132" s="351" t="s">
        <v>534</v>
      </c>
      <c r="C132" s="351">
        <v>45.0</v>
      </c>
      <c r="D132" s="351">
        <v>0.0</v>
      </c>
      <c r="E132" s="351">
        <v>12.0</v>
      </c>
      <c r="F132" s="351">
        <v>1.0</v>
      </c>
      <c r="G132" s="351">
        <v>0.0</v>
      </c>
      <c r="H132" s="351">
        <v>0.0</v>
      </c>
      <c r="I132" s="351">
        <f t="shared" si="1"/>
        <v>13</v>
      </c>
      <c r="J132" s="351">
        <v>14.0</v>
      </c>
      <c r="K132" s="351">
        <v>11.0</v>
      </c>
      <c r="L132" s="682">
        <f t="shared" si="2"/>
        <v>25</v>
      </c>
      <c r="M132" s="473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>
      <c r="A133" s="351">
        <v>11.0</v>
      </c>
      <c r="B133" s="351" t="s">
        <v>539</v>
      </c>
      <c r="C133" s="351">
        <v>118.0</v>
      </c>
      <c r="D133" s="351">
        <v>1.0</v>
      </c>
      <c r="E133" s="351">
        <v>33.0</v>
      </c>
      <c r="F133" s="351">
        <v>4.0</v>
      </c>
      <c r="G133" s="351">
        <v>0.0</v>
      </c>
      <c r="H133" s="351">
        <v>0.0</v>
      </c>
      <c r="I133" s="351">
        <f t="shared" si="1"/>
        <v>38</v>
      </c>
      <c r="J133" s="351">
        <v>35.0</v>
      </c>
      <c r="K133" s="351">
        <v>28.0</v>
      </c>
      <c r="L133" s="682">
        <f t="shared" si="2"/>
        <v>63</v>
      </c>
      <c r="M133" s="473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>
      <c r="A134" s="351">
        <v>11.0</v>
      </c>
      <c r="B134" s="351" t="s">
        <v>540</v>
      </c>
      <c r="C134" s="351">
        <v>48.0</v>
      </c>
      <c r="D134" s="351">
        <v>1.0</v>
      </c>
      <c r="E134" s="351">
        <v>3.0</v>
      </c>
      <c r="F134" s="351">
        <v>0.0</v>
      </c>
      <c r="G134" s="351">
        <v>0.0</v>
      </c>
      <c r="H134" s="351">
        <v>0.0</v>
      </c>
      <c r="I134" s="351">
        <f t="shared" si="1"/>
        <v>4</v>
      </c>
      <c r="J134" s="351">
        <v>28.0</v>
      </c>
      <c r="K134" s="351">
        <v>4.0</v>
      </c>
      <c r="L134" s="682">
        <f t="shared" si="2"/>
        <v>32</v>
      </c>
      <c r="M134" s="473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>
      <c r="A135" s="351">
        <v>11.0</v>
      </c>
      <c r="B135" s="351" t="s">
        <v>542</v>
      </c>
      <c r="C135" s="351">
        <v>64.0</v>
      </c>
      <c r="D135" s="351">
        <v>2.0</v>
      </c>
      <c r="E135" s="351">
        <v>17.0</v>
      </c>
      <c r="F135" s="351">
        <v>2.0</v>
      </c>
      <c r="G135" s="351">
        <v>0.0</v>
      </c>
      <c r="H135" s="351">
        <v>0.0</v>
      </c>
      <c r="I135" s="351">
        <f t="shared" si="1"/>
        <v>21</v>
      </c>
      <c r="J135" s="351">
        <v>7.0</v>
      </c>
      <c r="K135" s="351">
        <v>11.0</v>
      </c>
      <c r="L135" s="682">
        <f t="shared" si="2"/>
        <v>18</v>
      </c>
      <c r="M135" s="473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>
      <c r="A136" s="351">
        <v>11.0</v>
      </c>
      <c r="B136" s="351" t="s">
        <v>543</v>
      </c>
      <c r="C136" s="351">
        <v>27.0</v>
      </c>
      <c r="D136" s="351">
        <v>1.0</v>
      </c>
      <c r="E136" s="351">
        <v>9.0</v>
      </c>
      <c r="F136" s="351">
        <v>0.0</v>
      </c>
      <c r="G136" s="351">
        <v>0.0</v>
      </c>
      <c r="H136" s="351">
        <v>0.0</v>
      </c>
      <c r="I136" s="351">
        <f t="shared" si="1"/>
        <v>10</v>
      </c>
      <c r="J136" s="351">
        <v>10.0</v>
      </c>
      <c r="K136" s="351">
        <v>5.0</v>
      </c>
      <c r="L136" s="682">
        <f t="shared" si="2"/>
        <v>15</v>
      </c>
      <c r="M136" s="473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>
      <c r="A137" s="351">
        <v>11.0</v>
      </c>
      <c r="B137" s="351" t="s">
        <v>551</v>
      </c>
      <c r="C137" s="351">
        <v>36.0</v>
      </c>
      <c r="D137" s="351">
        <v>0.0</v>
      </c>
      <c r="E137" s="351">
        <v>10.0</v>
      </c>
      <c r="F137" s="351">
        <v>0.0</v>
      </c>
      <c r="G137" s="351">
        <v>0.0</v>
      </c>
      <c r="H137" s="351">
        <v>0.0</v>
      </c>
      <c r="I137" s="351">
        <f t="shared" si="1"/>
        <v>10</v>
      </c>
      <c r="J137" s="351">
        <v>12.0</v>
      </c>
      <c r="K137" s="351">
        <v>4.0</v>
      </c>
      <c r="L137" s="682">
        <f t="shared" si="2"/>
        <v>16</v>
      </c>
      <c r="M137" s="473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>
      <c r="A138" s="351">
        <v>11.0</v>
      </c>
      <c r="B138" s="351" t="s">
        <v>556</v>
      </c>
      <c r="C138" s="351">
        <v>17.0</v>
      </c>
      <c r="D138" s="351">
        <v>0.0</v>
      </c>
      <c r="E138" s="351">
        <v>5.0</v>
      </c>
      <c r="F138" s="351">
        <v>0.0</v>
      </c>
      <c r="G138" s="351">
        <v>0.0</v>
      </c>
      <c r="H138" s="351">
        <v>0.0</v>
      </c>
      <c r="I138" s="351">
        <f t="shared" si="1"/>
        <v>5</v>
      </c>
      <c r="J138" s="351">
        <v>3.0</v>
      </c>
      <c r="K138" s="351">
        <v>3.0</v>
      </c>
      <c r="L138" s="682">
        <f t="shared" si="2"/>
        <v>6</v>
      </c>
      <c r="M138" s="473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>
      <c r="A139" s="351">
        <v>11.0</v>
      </c>
      <c r="B139" s="351" t="s">
        <v>118</v>
      </c>
      <c r="C139" s="351">
        <v>223.0</v>
      </c>
      <c r="D139" s="351">
        <v>9.0</v>
      </c>
      <c r="E139" s="351">
        <v>37.0</v>
      </c>
      <c r="F139" s="351">
        <v>4.0</v>
      </c>
      <c r="G139" s="351">
        <v>6.0</v>
      </c>
      <c r="H139" s="351">
        <v>0.0</v>
      </c>
      <c r="I139" s="351">
        <f t="shared" si="1"/>
        <v>56</v>
      </c>
      <c r="J139" s="351">
        <v>65.0</v>
      </c>
      <c r="K139" s="351">
        <v>54.0</v>
      </c>
      <c r="L139" s="682">
        <f t="shared" si="2"/>
        <v>119</v>
      </c>
      <c r="M139" s="473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>
      <c r="A140" s="351">
        <v>11.0</v>
      </c>
      <c r="B140" s="351" t="s">
        <v>202</v>
      </c>
      <c r="C140" s="351">
        <v>50.0</v>
      </c>
      <c r="D140" s="351">
        <v>1.0</v>
      </c>
      <c r="E140" s="351">
        <v>4.0</v>
      </c>
      <c r="F140" s="351">
        <v>0.0</v>
      </c>
      <c r="G140" s="351">
        <v>0.0</v>
      </c>
      <c r="H140" s="351">
        <v>0.0</v>
      </c>
      <c r="I140" s="351">
        <f t="shared" si="1"/>
        <v>5</v>
      </c>
      <c r="J140" s="351">
        <v>30.0</v>
      </c>
      <c r="K140" s="351">
        <v>11.0</v>
      </c>
      <c r="L140" s="682">
        <f t="shared" si="2"/>
        <v>41</v>
      </c>
      <c r="M140" s="473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>
      <c r="A141" s="351">
        <v>11.0</v>
      </c>
      <c r="B141" s="351" t="s">
        <v>568</v>
      </c>
      <c r="C141" s="351">
        <v>2.0</v>
      </c>
      <c r="D141" s="351">
        <v>0.0</v>
      </c>
      <c r="E141" s="351">
        <v>0.0</v>
      </c>
      <c r="F141" s="351">
        <v>0.0</v>
      </c>
      <c r="G141" s="351">
        <v>0.0</v>
      </c>
      <c r="H141" s="351">
        <v>0.0</v>
      </c>
      <c r="I141" s="351">
        <f t="shared" si="1"/>
        <v>0</v>
      </c>
      <c r="J141" s="351">
        <v>2.0</v>
      </c>
      <c r="K141" s="351">
        <v>0.0</v>
      </c>
      <c r="L141" s="682">
        <f t="shared" si="2"/>
        <v>2</v>
      </c>
      <c r="M141" s="473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>
      <c r="A142" s="351">
        <v>11.0</v>
      </c>
      <c r="B142" s="351" t="s">
        <v>591</v>
      </c>
      <c r="C142" s="351">
        <v>26.0</v>
      </c>
      <c r="D142" s="351">
        <v>0.0</v>
      </c>
      <c r="E142" s="351">
        <v>4.0</v>
      </c>
      <c r="F142" s="351">
        <v>0.0</v>
      </c>
      <c r="G142" s="351">
        <v>0.0</v>
      </c>
      <c r="H142" s="351">
        <v>0.0</v>
      </c>
      <c r="I142" s="351">
        <f t="shared" si="1"/>
        <v>4</v>
      </c>
      <c r="J142" s="351">
        <v>11.0</v>
      </c>
      <c r="K142" s="351">
        <v>0.0</v>
      </c>
      <c r="L142" s="682">
        <f t="shared" si="2"/>
        <v>11</v>
      </c>
      <c r="M142" s="473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>
      <c r="A143" s="351">
        <v>11.0</v>
      </c>
      <c r="B143" s="351" t="s">
        <v>600</v>
      </c>
      <c r="C143" s="351">
        <v>12.0</v>
      </c>
      <c r="D143" s="351">
        <v>0.0</v>
      </c>
      <c r="E143" s="351">
        <v>9.0</v>
      </c>
      <c r="F143" s="351">
        <v>0.0</v>
      </c>
      <c r="G143" s="351">
        <v>0.0</v>
      </c>
      <c r="H143" s="351">
        <v>0.0</v>
      </c>
      <c r="I143" s="351">
        <f t="shared" si="1"/>
        <v>9</v>
      </c>
      <c r="J143" s="351">
        <v>2.0</v>
      </c>
      <c r="K143" s="351">
        <v>0.0</v>
      </c>
      <c r="L143" s="682">
        <f t="shared" si="2"/>
        <v>2</v>
      </c>
      <c r="M143" s="473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>
      <c r="A144" s="351">
        <v>11.0</v>
      </c>
      <c r="B144" s="351" t="s">
        <v>149</v>
      </c>
      <c r="C144" s="351">
        <v>346.0</v>
      </c>
      <c r="D144" s="351">
        <v>7.0</v>
      </c>
      <c r="E144" s="351">
        <v>97.0</v>
      </c>
      <c r="F144" s="351">
        <v>3.0</v>
      </c>
      <c r="G144" s="351">
        <v>2.0</v>
      </c>
      <c r="H144" s="351">
        <v>0.0</v>
      </c>
      <c r="I144" s="351">
        <f t="shared" si="1"/>
        <v>109</v>
      </c>
      <c r="J144" s="351">
        <v>163.0</v>
      </c>
      <c r="K144" s="351">
        <v>48.0</v>
      </c>
      <c r="L144" s="682">
        <f t="shared" si="2"/>
        <v>211</v>
      </c>
      <c r="M144" s="473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>
      <c r="A145" s="351">
        <v>11.0</v>
      </c>
      <c r="B145" s="351" t="s">
        <v>473</v>
      </c>
      <c r="C145" s="351">
        <v>80.0</v>
      </c>
      <c r="D145" s="351">
        <v>1.0</v>
      </c>
      <c r="E145" s="351">
        <v>12.0</v>
      </c>
      <c r="F145" s="351">
        <v>0.0</v>
      </c>
      <c r="G145" s="351">
        <v>0.0</v>
      </c>
      <c r="H145" s="351">
        <v>0.0</v>
      </c>
      <c r="I145" s="351">
        <f t="shared" si="1"/>
        <v>13</v>
      </c>
      <c r="J145" s="351">
        <v>20.0</v>
      </c>
      <c r="K145" s="351">
        <v>25.0</v>
      </c>
      <c r="L145" s="682">
        <f t="shared" si="2"/>
        <v>45</v>
      </c>
      <c r="M145" s="473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>
      <c r="A146" s="351">
        <v>11.0</v>
      </c>
      <c r="B146" s="351" t="s">
        <v>637</v>
      </c>
      <c r="C146" s="351">
        <v>103.0</v>
      </c>
      <c r="D146" s="351">
        <v>6.0</v>
      </c>
      <c r="E146" s="351">
        <v>44.0</v>
      </c>
      <c r="F146" s="351">
        <v>0.0</v>
      </c>
      <c r="G146" s="351">
        <v>0.0</v>
      </c>
      <c r="H146" s="351">
        <v>0.0</v>
      </c>
      <c r="I146" s="351">
        <f t="shared" si="1"/>
        <v>50</v>
      </c>
      <c r="J146" s="351">
        <v>29.0</v>
      </c>
      <c r="K146" s="351">
        <v>6.0</v>
      </c>
      <c r="L146" s="682">
        <f t="shared" si="2"/>
        <v>35</v>
      </c>
      <c r="M146" s="473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>
      <c r="A147" s="351">
        <v>11.0</v>
      </c>
      <c r="B147" s="351" t="s">
        <v>642</v>
      </c>
      <c r="C147" s="351">
        <v>15.0</v>
      </c>
      <c r="D147" s="351">
        <v>0.0</v>
      </c>
      <c r="E147" s="351">
        <v>3.0</v>
      </c>
      <c r="F147" s="351">
        <v>0.0</v>
      </c>
      <c r="G147" s="351">
        <v>0.0</v>
      </c>
      <c r="H147" s="351">
        <v>0.0</v>
      </c>
      <c r="I147" s="351">
        <f t="shared" si="1"/>
        <v>3</v>
      </c>
      <c r="J147" s="351">
        <v>9.0</v>
      </c>
      <c r="K147" s="351">
        <v>1.0</v>
      </c>
      <c r="L147" s="682">
        <f t="shared" si="2"/>
        <v>10</v>
      </c>
      <c r="M147" s="473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>
      <c r="A148" s="351">
        <v>11.0</v>
      </c>
      <c r="B148" s="351" t="s">
        <v>646</v>
      </c>
      <c r="C148" s="351">
        <v>151.0</v>
      </c>
      <c r="D148" s="351">
        <v>2.0</v>
      </c>
      <c r="E148" s="351">
        <v>22.0</v>
      </c>
      <c r="F148" s="351">
        <v>0.0</v>
      </c>
      <c r="G148" s="351">
        <v>0.0</v>
      </c>
      <c r="H148" s="351">
        <v>0.0</v>
      </c>
      <c r="I148" s="351">
        <f t="shared" si="1"/>
        <v>24</v>
      </c>
      <c r="J148" s="351">
        <v>63.0</v>
      </c>
      <c r="K148" s="351">
        <v>24.0</v>
      </c>
      <c r="L148" s="682">
        <f t="shared" si="2"/>
        <v>87</v>
      </c>
      <c r="M148" s="473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>
      <c r="A149" s="351">
        <v>12.0</v>
      </c>
      <c r="B149" s="351" t="s">
        <v>544</v>
      </c>
      <c r="C149" s="351">
        <v>28.0</v>
      </c>
      <c r="D149" s="351">
        <v>3.0</v>
      </c>
      <c r="E149" s="351">
        <v>0.0</v>
      </c>
      <c r="F149" s="351">
        <v>0.0</v>
      </c>
      <c r="G149" s="351">
        <v>0.0</v>
      </c>
      <c r="H149" s="351">
        <v>0.0</v>
      </c>
      <c r="I149" s="351">
        <f t="shared" si="1"/>
        <v>3</v>
      </c>
      <c r="J149" s="351">
        <v>12.0</v>
      </c>
      <c r="K149" s="351">
        <v>4.0</v>
      </c>
      <c r="L149" s="682">
        <f t="shared" si="2"/>
        <v>16</v>
      </c>
      <c r="M149" s="473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>
      <c r="A150" s="351">
        <v>12.0</v>
      </c>
      <c r="B150" s="351" t="s">
        <v>545</v>
      </c>
      <c r="C150" s="351">
        <v>33.0</v>
      </c>
      <c r="D150" s="351">
        <v>1.0</v>
      </c>
      <c r="E150" s="351">
        <v>2.0</v>
      </c>
      <c r="F150" s="351">
        <v>2.0</v>
      </c>
      <c r="G150" s="351">
        <v>0.0</v>
      </c>
      <c r="H150" s="351">
        <v>0.0</v>
      </c>
      <c r="I150" s="351">
        <f t="shared" si="1"/>
        <v>5</v>
      </c>
      <c r="J150" s="351">
        <v>11.0</v>
      </c>
      <c r="K150" s="351">
        <v>10.0</v>
      </c>
      <c r="L150" s="682">
        <f t="shared" si="2"/>
        <v>21</v>
      </c>
      <c r="M150" s="473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>
      <c r="A151" s="351">
        <v>12.0</v>
      </c>
      <c r="B151" s="351" t="s">
        <v>548</v>
      </c>
      <c r="C151" s="351">
        <v>120.0</v>
      </c>
      <c r="D151" s="351">
        <v>1.0</v>
      </c>
      <c r="E151" s="351">
        <v>13.0</v>
      </c>
      <c r="F151" s="351">
        <v>1.0</v>
      </c>
      <c r="G151" s="351">
        <v>0.0</v>
      </c>
      <c r="H151" s="351">
        <v>0.0</v>
      </c>
      <c r="I151" s="351">
        <f t="shared" si="1"/>
        <v>15</v>
      </c>
      <c r="J151" s="351">
        <v>8.0</v>
      </c>
      <c r="K151" s="351">
        <v>59.0</v>
      </c>
      <c r="L151" s="682">
        <f t="shared" si="2"/>
        <v>67</v>
      </c>
      <c r="M151" s="473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>
      <c r="A152" s="351">
        <v>12.0</v>
      </c>
      <c r="B152" s="351" t="s">
        <v>552</v>
      </c>
      <c r="C152" s="351">
        <v>304.0</v>
      </c>
      <c r="D152" s="351">
        <v>11.0</v>
      </c>
      <c r="E152" s="351">
        <v>10.0</v>
      </c>
      <c r="F152" s="351">
        <v>1.0</v>
      </c>
      <c r="G152" s="351">
        <v>0.0</v>
      </c>
      <c r="H152" s="351">
        <v>0.0</v>
      </c>
      <c r="I152" s="351">
        <f t="shared" si="1"/>
        <v>22</v>
      </c>
      <c r="J152" s="351">
        <v>141.0</v>
      </c>
      <c r="K152" s="351">
        <v>67.0</v>
      </c>
      <c r="L152" s="682">
        <f t="shared" si="2"/>
        <v>208</v>
      </c>
      <c r="M152" s="473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>
      <c r="A153" s="351">
        <v>12.0</v>
      </c>
      <c r="B153" s="351" t="s">
        <v>569</v>
      </c>
      <c r="C153" s="351">
        <v>46.0</v>
      </c>
      <c r="D153" s="351">
        <v>0.0</v>
      </c>
      <c r="E153" s="351">
        <v>4.0</v>
      </c>
      <c r="F153" s="351">
        <v>2.0</v>
      </c>
      <c r="G153" s="351">
        <v>0.0</v>
      </c>
      <c r="H153" s="351">
        <v>0.0</v>
      </c>
      <c r="I153" s="351">
        <f t="shared" si="1"/>
        <v>6</v>
      </c>
      <c r="J153" s="351">
        <v>20.0</v>
      </c>
      <c r="K153" s="351">
        <v>4.0</v>
      </c>
      <c r="L153" s="682">
        <f t="shared" si="2"/>
        <v>24</v>
      </c>
      <c r="M153" s="473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>
      <c r="A154" s="351">
        <v>12.0</v>
      </c>
      <c r="B154" s="351" t="s">
        <v>582</v>
      </c>
      <c r="C154" s="351">
        <v>86.0</v>
      </c>
      <c r="D154" s="351">
        <v>1.0</v>
      </c>
      <c r="E154" s="351">
        <v>14.0</v>
      </c>
      <c r="F154" s="351">
        <v>0.0</v>
      </c>
      <c r="G154" s="351">
        <v>1.0</v>
      </c>
      <c r="H154" s="351">
        <v>0.0</v>
      </c>
      <c r="I154" s="351">
        <f t="shared" si="1"/>
        <v>16</v>
      </c>
      <c r="J154" s="351">
        <v>25.0</v>
      </c>
      <c r="K154" s="351">
        <v>24.0</v>
      </c>
      <c r="L154" s="682">
        <f t="shared" si="2"/>
        <v>49</v>
      </c>
      <c r="M154" s="473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>
      <c r="A155" s="351">
        <v>12.0</v>
      </c>
      <c r="B155" s="351" t="s">
        <v>508</v>
      </c>
      <c r="C155" s="351">
        <v>55.0</v>
      </c>
      <c r="D155" s="351">
        <v>0.0</v>
      </c>
      <c r="E155" s="351">
        <v>4.0</v>
      </c>
      <c r="F155" s="351">
        <v>0.0</v>
      </c>
      <c r="G155" s="351">
        <v>0.0</v>
      </c>
      <c r="H155" s="351">
        <v>0.0</v>
      </c>
      <c r="I155" s="351">
        <f t="shared" si="1"/>
        <v>4</v>
      </c>
      <c r="J155" s="351">
        <v>25.0</v>
      </c>
      <c r="K155" s="351">
        <v>13.0</v>
      </c>
      <c r="L155" s="682">
        <f t="shared" si="2"/>
        <v>38</v>
      </c>
      <c r="M155" s="473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>
      <c r="A156" s="351">
        <v>12.0</v>
      </c>
      <c r="B156" s="351" t="s">
        <v>602</v>
      </c>
      <c r="C156" s="351">
        <v>18.0</v>
      </c>
      <c r="D156" s="351">
        <v>0.0</v>
      </c>
      <c r="E156" s="351">
        <v>1.0</v>
      </c>
      <c r="F156" s="351">
        <v>0.0</v>
      </c>
      <c r="G156" s="351">
        <v>0.0</v>
      </c>
      <c r="H156" s="351">
        <v>0.0</v>
      </c>
      <c r="I156" s="351">
        <f t="shared" si="1"/>
        <v>1</v>
      </c>
      <c r="J156" s="351">
        <v>2.0</v>
      </c>
      <c r="K156" s="351">
        <v>11.0</v>
      </c>
      <c r="L156" s="682">
        <f t="shared" si="2"/>
        <v>13</v>
      </c>
      <c r="M156" s="473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>
      <c r="A157" s="351">
        <v>12.0</v>
      </c>
      <c r="B157" s="351" t="s">
        <v>606</v>
      </c>
      <c r="C157" s="351">
        <v>18.0</v>
      </c>
      <c r="D157" s="351">
        <v>0.0</v>
      </c>
      <c r="E157" s="351">
        <v>5.0</v>
      </c>
      <c r="F157" s="351">
        <v>0.0</v>
      </c>
      <c r="G157" s="351">
        <v>0.0</v>
      </c>
      <c r="H157" s="351">
        <v>0.0</v>
      </c>
      <c r="I157" s="351">
        <f t="shared" si="1"/>
        <v>5</v>
      </c>
      <c r="J157" s="351">
        <v>1.0</v>
      </c>
      <c r="K157" s="351">
        <v>7.0</v>
      </c>
      <c r="L157" s="682">
        <f t="shared" si="2"/>
        <v>8</v>
      </c>
      <c r="M157" s="473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>
      <c r="A158" s="351">
        <v>13.0</v>
      </c>
      <c r="B158" s="351" t="s">
        <v>555</v>
      </c>
      <c r="C158" s="351">
        <v>271.0</v>
      </c>
      <c r="D158" s="351">
        <v>7.0</v>
      </c>
      <c r="E158" s="351">
        <v>28.0</v>
      </c>
      <c r="F158" s="351">
        <v>0.0</v>
      </c>
      <c r="G158" s="351">
        <v>0.0</v>
      </c>
      <c r="H158" s="351">
        <v>0.0</v>
      </c>
      <c r="I158" s="351">
        <f t="shared" si="1"/>
        <v>35</v>
      </c>
      <c r="J158" s="351">
        <v>115.0</v>
      </c>
      <c r="K158" s="351">
        <v>70.0</v>
      </c>
      <c r="L158" s="682">
        <f t="shared" si="2"/>
        <v>185</v>
      </c>
      <c r="M158" s="473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>
      <c r="A159" s="351">
        <v>13.0</v>
      </c>
      <c r="B159" s="351" t="s">
        <v>536</v>
      </c>
      <c r="C159" s="351">
        <v>504.0</v>
      </c>
      <c r="D159" s="351">
        <v>30.0</v>
      </c>
      <c r="E159" s="351">
        <v>87.0</v>
      </c>
      <c r="F159" s="351">
        <v>3.0</v>
      </c>
      <c r="G159" s="351">
        <v>1.0</v>
      </c>
      <c r="H159" s="351">
        <v>0.0</v>
      </c>
      <c r="I159" s="351">
        <f t="shared" si="1"/>
        <v>121</v>
      </c>
      <c r="J159" s="351">
        <v>143.0</v>
      </c>
      <c r="K159" s="351">
        <v>106.0</v>
      </c>
      <c r="L159" s="682">
        <f t="shared" si="2"/>
        <v>249</v>
      </c>
      <c r="M159" s="473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>
      <c r="A160" s="351">
        <v>13.0</v>
      </c>
      <c r="B160" s="351" t="s">
        <v>460</v>
      </c>
      <c r="C160" s="351">
        <v>425.0</v>
      </c>
      <c r="D160" s="351">
        <v>17.0</v>
      </c>
      <c r="E160" s="351">
        <v>60.0</v>
      </c>
      <c r="F160" s="351">
        <v>0.0</v>
      </c>
      <c r="G160" s="351">
        <v>0.0</v>
      </c>
      <c r="H160" s="351">
        <v>0.0</v>
      </c>
      <c r="I160" s="351">
        <f t="shared" si="1"/>
        <v>77</v>
      </c>
      <c r="J160" s="351">
        <v>121.0</v>
      </c>
      <c r="K160" s="351">
        <v>138.0</v>
      </c>
      <c r="L160" s="682">
        <f t="shared" si="2"/>
        <v>259</v>
      </c>
      <c r="M160" s="473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>
      <c r="A161" s="351">
        <v>14.0</v>
      </c>
      <c r="B161" s="351" t="s">
        <v>2472</v>
      </c>
      <c r="C161" s="351">
        <v>715.0</v>
      </c>
      <c r="D161" s="351">
        <v>17.0</v>
      </c>
      <c r="E161" s="351">
        <v>121.0</v>
      </c>
      <c r="F161" s="351">
        <v>10.0</v>
      </c>
      <c r="G161" s="351">
        <v>1.0</v>
      </c>
      <c r="H161" s="351">
        <v>0.0</v>
      </c>
      <c r="I161" s="351">
        <f t="shared" si="1"/>
        <v>149</v>
      </c>
      <c r="J161" s="351">
        <v>317.0</v>
      </c>
      <c r="K161" s="351">
        <v>88.0</v>
      </c>
      <c r="L161" s="682">
        <f t="shared" si="2"/>
        <v>405</v>
      </c>
      <c r="M161" s="473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>
      <c r="A162" s="351">
        <v>14.0</v>
      </c>
      <c r="B162" s="351" t="s">
        <v>275</v>
      </c>
      <c r="C162" s="351">
        <v>494.0</v>
      </c>
      <c r="D162" s="351">
        <v>12.0</v>
      </c>
      <c r="E162" s="351">
        <v>115.0</v>
      </c>
      <c r="F162" s="351">
        <v>8.0</v>
      </c>
      <c r="G162" s="351">
        <v>1.0</v>
      </c>
      <c r="H162" s="351">
        <v>0.0</v>
      </c>
      <c r="I162" s="351">
        <f t="shared" si="1"/>
        <v>136</v>
      </c>
      <c r="J162" s="351">
        <v>138.0</v>
      </c>
      <c r="K162" s="351">
        <v>81.0</v>
      </c>
      <c r="L162" s="682">
        <f t="shared" si="2"/>
        <v>219</v>
      </c>
      <c r="M162" s="473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>
      <c r="A163" s="683"/>
      <c r="B163" s="1"/>
      <c r="C163" s="213">
        <v>12264.0</v>
      </c>
      <c r="D163" s="1"/>
    </row>
    <row r="164">
      <c r="A164" s="567"/>
      <c r="C164" s="567"/>
    </row>
    <row r="165">
      <c r="A165" s="10"/>
      <c r="B165" s="303"/>
      <c r="C165" s="10"/>
      <c r="D165" s="418"/>
    </row>
    <row r="168">
      <c r="A168" s="368" t="s">
        <v>2473</v>
      </c>
      <c r="B168" s="369"/>
      <c r="C168" s="369"/>
      <c r="D168" s="369"/>
      <c r="E168" s="369"/>
      <c r="F168" s="601" t="s">
        <v>765</v>
      </c>
      <c r="G168" s="677" t="s">
        <v>2460</v>
      </c>
      <c r="H168" s="369"/>
      <c r="I168" s="369"/>
      <c r="J168" s="369"/>
      <c r="K168" s="601" t="s">
        <v>767</v>
      </c>
      <c r="L168" s="602">
        <v>45453.0</v>
      </c>
      <c r="M168" s="601" t="s">
        <v>769</v>
      </c>
      <c r="N168" s="602">
        <v>45199.0</v>
      </c>
      <c r="O168" s="373"/>
    </row>
    <row r="170">
      <c r="A170" s="351" t="s">
        <v>2474</v>
      </c>
      <c r="B170" s="351" t="s">
        <v>172</v>
      </c>
      <c r="C170" s="351" t="s">
        <v>2422</v>
      </c>
      <c r="D170" s="351" t="s">
        <v>2475</v>
      </c>
      <c r="E170" s="351" t="s">
        <v>2476</v>
      </c>
    </row>
    <row r="171">
      <c r="A171" s="351">
        <v>9.0</v>
      </c>
      <c r="B171" s="351" t="s">
        <v>532</v>
      </c>
      <c r="C171" s="351">
        <v>4.0</v>
      </c>
      <c r="D171" s="351">
        <v>9.0</v>
      </c>
      <c r="E171" s="351">
        <v>9.0</v>
      </c>
    </row>
    <row r="172">
      <c r="A172" s="351">
        <v>11.0</v>
      </c>
      <c r="B172" s="351" t="s">
        <v>533</v>
      </c>
      <c r="C172" s="351">
        <v>1.0</v>
      </c>
      <c r="D172" s="351">
        <v>2.0</v>
      </c>
      <c r="E172" s="351">
        <v>3.0</v>
      </c>
    </row>
    <row r="173">
      <c r="A173" s="351">
        <v>11.0</v>
      </c>
      <c r="B173" s="351" t="s">
        <v>534</v>
      </c>
      <c r="C173" s="351">
        <v>8.0</v>
      </c>
      <c r="D173" s="351">
        <v>12.0</v>
      </c>
      <c r="E173" s="351">
        <v>13.0</v>
      </c>
    </row>
    <row r="174">
      <c r="A174" s="351">
        <v>10.0</v>
      </c>
      <c r="B174" s="351" t="s">
        <v>481</v>
      </c>
      <c r="C174" s="351">
        <v>3.0</v>
      </c>
      <c r="D174" s="351">
        <v>8.0</v>
      </c>
      <c r="E174" s="351">
        <v>4.0</v>
      </c>
    </row>
    <row r="175">
      <c r="A175" s="351">
        <v>6.0</v>
      </c>
      <c r="B175" s="351" t="s">
        <v>58</v>
      </c>
      <c r="C175" s="351">
        <v>33.0</v>
      </c>
      <c r="D175" s="351">
        <v>81.0</v>
      </c>
      <c r="E175" s="351">
        <v>62.0</v>
      </c>
    </row>
    <row r="176">
      <c r="A176" s="351">
        <v>2.0</v>
      </c>
      <c r="B176" s="351" t="s">
        <v>535</v>
      </c>
      <c r="C176" s="351">
        <v>5.0</v>
      </c>
      <c r="D176" s="351">
        <v>10.0</v>
      </c>
      <c r="E176" s="351">
        <v>6.0</v>
      </c>
    </row>
    <row r="177">
      <c r="A177" s="351">
        <v>5.0</v>
      </c>
      <c r="B177" s="351" t="s">
        <v>537</v>
      </c>
      <c r="C177" s="351">
        <v>51.0</v>
      </c>
      <c r="D177" s="351">
        <v>130.0</v>
      </c>
      <c r="E177" s="351">
        <v>97.0</v>
      </c>
    </row>
    <row r="178">
      <c r="A178" s="351">
        <v>3.0</v>
      </c>
      <c r="B178" s="351" t="s">
        <v>538</v>
      </c>
      <c r="C178" s="351">
        <v>71.0</v>
      </c>
      <c r="D178" s="351">
        <v>200.0</v>
      </c>
      <c r="E178" s="351">
        <v>135.0</v>
      </c>
    </row>
    <row r="179">
      <c r="A179" s="351">
        <v>11.0</v>
      </c>
      <c r="B179" s="351" t="s">
        <v>539</v>
      </c>
      <c r="C179" s="351">
        <v>11.0</v>
      </c>
      <c r="D179" s="351">
        <v>21.0</v>
      </c>
      <c r="E179" s="351">
        <v>20.0</v>
      </c>
    </row>
    <row r="180">
      <c r="A180" s="351">
        <v>11.0</v>
      </c>
      <c r="B180" s="351" t="s">
        <v>540</v>
      </c>
      <c r="C180" s="351">
        <v>10.0</v>
      </c>
      <c r="D180" s="351">
        <v>20.0</v>
      </c>
      <c r="E180" s="351">
        <v>8.0</v>
      </c>
    </row>
    <row r="181">
      <c r="A181" s="351">
        <v>6.0</v>
      </c>
      <c r="B181" s="351" t="s">
        <v>68</v>
      </c>
      <c r="C181" s="351">
        <v>134.0</v>
      </c>
      <c r="D181" s="351">
        <v>346.0</v>
      </c>
      <c r="E181" s="351">
        <v>214.0</v>
      </c>
    </row>
    <row r="182">
      <c r="A182" s="351">
        <v>9.0</v>
      </c>
      <c r="B182" s="351" t="s">
        <v>541</v>
      </c>
      <c r="C182" s="351">
        <v>4.0</v>
      </c>
      <c r="D182" s="351">
        <v>12.0</v>
      </c>
      <c r="E182" s="351">
        <v>13.0</v>
      </c>
    </row>
    <row r="183">
      <c r="A183" s="351">
        <v>11.0</v>
      </c>
      <c r="B183" s="351" t="s">
        <v>542</v>
      </c>
      <c r="C183" s="351">
        <v>15.0</v>
      </c>
      <c r="D183" s="351">
        <v>41.0</v>
      </c>
      <c r="E183" s="351">
        <v>27.0</v>
      </c>
    </row>
    <row r="184">
      <c r="A184" s="351">
        <v>11.0</v>
      </c>
      <c r="B184" s="351" t="s">
        <v>543</v>
      </c>
      <c r="C184" s="351">
        <v>13.0</v>
      </c>
      <c r="D184" s="351">
        <v>29.0</v>
      </c>
      <c r="E184" s="351">
        <v>22.0</v>
      </c>
    </row>
    <row r="185">
      <c r="A185" s="351">
        <v>12.0</v>
      </c>
      <c r="B185" s="351" t="s">
        <v>544</v>
      </c>
      <c r="C185" s="351">
        <v>26.0</v>
      </c>
      <c r="D185" s="351">
        <v>55.0</v>
      </c>
      <c r="E185" s="351">
        <v>30.0</v>
      </c>
    </row>
    <row r="186">
      <c r="A186" s="351">
        <v>12.0</v>
      </c>
      <c r="B186" s="351" t="s">
        <v>545</v>
      </c>
      <c r="C186" s="351">
        <v>46.0</v>
      </c>
      <c r="D186" s="351">
        <v>126.0</v>
      </c>
      <c r="E186" s="351">
        <v>93.0</v>
      </c>
    </row>
    <row r="187">
      <c r="A187" s="351">
        <v>7.0</v>
      </c>
      <c r="B187" s="351" t="s">
        <v>546</v>
      </c>
      <c r="C187" s="351">
        <v>23.0</v>
      </c>
      <c r="D187" s="351">
        <v>78.0</v>
      </c>
      <c r="E187" s="351">
        <v>56.0</v>
      </c>
    </row>
    <row r="188">
      <c r="A188" s="351">
        <v>4.0</v>
      </c>
      <c r="B188" s="351" t="s">
        <v>547</v>
      </c>
      <c r="C188" s="351">
        <v>12.0</v>
      </c>
      <c r="D188" s="351">
        <v>27.0</v>
      </c>
      <c r="E188" s="351">
        <v>6.0</v>
      </c>
    </row>
    <row r="189">
      <c r="A189" s="351">
        <v>10.0</v>
      </c>
      <c r="B189" s="351" t="s">
        <v>93</v>
      </c>
      <c r="C189" s="351">
        <v>1.0</v>
      </c>
      <c r="D189" s="351">
        <v>3.0</v>
      </c>
      <c r="E189" s="351">
        <v>0.0</v>
      </c>
    </row>
    <row r="190">
      <c r="A190" s="351">
        <v>12.0</v>
      </c>
      <c r="B190" s="351" t="s">
        <v>548</v>
      </c>
      <c r="C190" s="351">
        <v>40.0</v>
      </c>
      <c r="D190" s="351">
        <v>125.0</v>
      </c>
      <c r="E190" s="351">
        <v>88.0</v>
      </c>
    </row>
    <row r="191">
      <c r="A191" s="351">
        <v>9.0</v>
      </c>
      <c r="B191" s="351" t="s">
        <v>549</v>
      </c>
      <c r="C191" s="351">
        <v>5.0</v>
      </c>
      <c r="D191" s="351">
        <v>18.0</v>
      </c>
      <c r="E191" s="351">
        <v>6.0</v>
      </c>
    </row>
    <row r="192">
      <c r="A192" s="351">
        <v>4.0</v>
      </c>
      <c r="B192" s="351" t="s">
        <v>248</v>
      </c>
      <c r="C192" s="351">
        <v>58.0</v>
      </c>
      <c r="D192" s="351">
        <v>156.0</v>
      </c>
      <c r="E192" s="351">
        <v>99.0</v>
      </c>
    </row>
    <row r="193">
      <c r="A193" s="351">
        <v>1.0</v>
      </c>
      <c r="B193" s="351" t="s">
        <v>550</v>
      </c>
      <c r="C193" s="351">
        <v>44.0</v>
      </c>
      <c r="D193" s="351">
        <v>115.0</v>
      </c>
      <c r="E193" s="351">
        <v>77.0</v>
      </c>
    </row>
    <row r="194">
      <c r="A194" s="351">
        <v>11.0</v>
      </c>
      <c r="B194" s="351" t="s">
        <v>551</v>
      </c>
      <c r="C194" s="351">
        <v>10.0</v>
      </c>
      <c r="D194" s="351">
        <v>18.0</v>
      </c>
      <c r="E194" s="351">
        <v>17.0</v>
      </c>
    </row>
    <row r="195">
      <c r="A195" s="351">
        <v>12.0</v>
      </c>
      <c r="B195" s="351" t="s">
        <v>552</v>
      </c>
      <c r="C195" s="351">
        <v>141.0</v>
      </c>
      <c r="D195" s="351">
        <v>343.0</v>
      </c>
      <c r="E195" s="351">
        <v>180.0</v>
      </c>
    </row>
    <row r="196">
      <c r="A196" s="351">
        <v>8.0</v>
      </c>
      <c r="B196" s="351" t="s">
        <v>553</v>
      </c>
      <c r="C196" s="351">
        <v>4.0</v>
      </c>
      <c r="D196" s="351">
        <v>13.0</v>
      </c>
      <c r="E196" s="351">
        <v>13.0</v>
      </c>
    </row>
    <row r="197">
      <c r="A197" s="351">
        <v>1.0</v>
      </c>
      <c r="B197" s="351" t="s">
        <v>554</v>
      </c>
      <c r="C197" s="351">
        <v>13.0</v>
      </c>
      <c r="D197" s="351">
        <v>36.0</v>
      </c>
      <c r="E197" s="351">
        <v>35.0</v>
      </c>
    </row>
    <row r="198">
      <c r="A198" s="351">
        <v>1.0</v>
      </c>
      <c r="B198" s="351" t="s">
        <v>101</v>
      </c>
      <c r="C198" s="351">
        <v>181.0</v>
      </c>
      <c r="D198" s="351">
        <v>479.0</v>
      </c>
      <c r="E198" s="351">
        <v>270.0</v>
      </c>
    </row>
    <row r="199">
      <c r="A199" s="351">
        <v>5.0</v>
      </c>
      <c r="B199" s="351" t="s">
        <v>110</v>
      </c>
      <c r="C199" s="351">
        <v>23.0</v>
      </c>
      <c r="D199" s="351">
        <v>58.0</v>
      </c>
      <c r="E199" s="351">
        <v>35.0</v>
      </c>
    </row>
    <row r="200">
      <c r="A200" s="351">
        <v>8.0</v>
      </c>
      <c r="B200" s="351" t="s">
        <v>112</v>
      </c>
      <c r="C200" s="351">
        <v>0.0</v>
      </c>
      <c r="D200" s="351">
        <v>0.0</v>
      </c>
      <c r="E200" s="351">
        <v>0.0</v>
      </c>
    </row>
    <row r="201">
      <c r="A201" s="351">
        <v>13.0</v>
      </c>
      <c r="B201" s="351" t="s">
        <v>555</v>
      </c>
      <c r="C201" s="351">
        <v>147.0</v>
      </c>
      <c r="D201" s="351">
        <v>420.0</v>
      </c>
      <c r="E201" s="351">
        <v>236.0</v>
      </c>
    </row>
    <row r="202">
      <c r="A202" s="351">
        <v>11.0</v>
      </c>
      <c r="B202" s="351" t="s">
        <v>556</v>
      </c>
      <c r="C202" s="351">
        <v>3.0</v>
      </c>
      <c r="D202" s="351">
        <v>7.0</v>
      </c>
      <c r="E202" s="351">
        <v>4.0</v>
      </c>
    </row>
    <row r="203">
      <c r="A203" s="351">
        <v>13.0</v>
      </c>
      <c r="B203" s="351" t="s">
        <v>536</v>
      </c>
      <c r="C203" s="351">
        <v>264.0</v>
      </c>
      <c r="D203" s="351">
        <v>640.0</v>
      </c>
      <c r="E203" s="351">
        <v>330.0</v>
      </c>
    </row>
    <row r="204">
      <c r="A204" s="351">
        <v>11.0</v>
      </c>
      <c r="B204" s="351" t="s">
        <v>118</v>
      </c>
      <c r="C204" s="351">
        <v>38.0</v>
      </c>
      <c r="D204" s="351">
        <v>89.0</v>
      </c>
      <c r="E204" s="351">
        <v>81.0</v>
      </c>
    </row>
    <row r="205">
      <c r="A205" s="351">
        <v>10.0</v>
      </c>
      <c r="B205" s="351" t="s">
        <v>557</v>
      </c>
      <c r="C205" s="351">
        <v>16.0</v>
      </c>
      <c r="D205" s="351">
        <v>45.0</v>
      </c>
      <c r="E205" s="351">
        <v>32.0</v>
      </c>
    </row>
    <row r="206">
      <c r="A206" s="351">
        <v>7.0</v>
      </c>
      <c r="B206" s="351" t="s">
        <v>258</v>
      </c>
      <c r="C206" s="351">
        <v>98.0</v>
      </c>
      <c r="D206" s="351">
        <v>293.0</v>
      </c>
      <c r="E206" s="351">
        <v>184.0</v>
      </c>
    </row>
    <row r="207">
      <c r="A207" s="351">
        <v>11.0</v>
      </c>
      <c r="B207" s="351" t="s">
        <v>202</v>
      </c>
      <c r="C207" s="351">
        <v>14.0</v>
      </c>
      <c r="D207" s="351">
        <v>38.0</v>
      </c>
      <c r="E207" s="351">
        <v>17.0</v>
      </c>
    </row>
    <row r="208">
      <c r="A208" s="351">
        <v>4.0</v>
      </c>
      <c r="B208" s="351" t="s">
        <v>559</v>
      </c>
      <c r="C208" s="351">
        <v>94.0</v>
      </c>
      <c r="D208" s="351">
        <v>220.0</v>
      </c>
      <c r="E208" s="351">
        <v>120.0</v>
      </c>
    </row>
    <row r="209">
      <c r="A209" s="351">
        <v>6.0</v>
      </c>
      <c r="B209" s="351" t="s">
        <v>263</v>
      </c>
      <c r="C209" s="351">
        <v>8.0</v>
      </c>
      <c r="D209" s="351">
        <v>22.0</v>
      </c>
      <c r="E209" s="351">
        <v>19.0</v>
      </c>
    </row>
    <row r="210">
      <c r="A210" s="351">
        <v>8.0</v>
      </c>
      <c r="B210" s="351" t="s">
        <v>560</v>
      </c>
      <c r="C210" s="351">
        <v>10.0</v>
      </c>
      <c r="D210" s="351">
        <v>25.0</v>
      </c>
      <c r="E210" s="351">
        <v>17.0</v>
      </c>
    </row>
    <row r="211">
      <c r="A211" s="351">
        <v>1.0</v>
      </c>
      <c r="B211" s="351" t="s">
        <v>561</v>
      </c>
      <c r="C211" s="351">
        <v>11.0</v>
      </c>
      <c r="D211" s="351">
        <v>24.0</v>
      </c>
      <c r="E211" s="351">
        <v>21.0</v>
      </c>
    </row>
    <row r="212">
      <c r="A212" s="351">
        <v>2.0</v>
      </c>
      <c r="B212" s="351" t="s">
        <v>562</v>
      </c>
      <c r="C212" s="351">
        <v>11.0</v>
      </c>
      <c r="D212" s="351">
        <v>23.0</v>
      </c>
      <c r="E212" s="351">
        <v>10.0</v>
      </c>
    </row>
    <row r="213">
      <c r="A213" s="351">
        <v>10.0</v>
      </c>
      <c r="B213" s="351" t="s">
        <v>563</v>
      </c>
      <c r="C213" s="351">
        <v>14.0</v>
      </c>
      <c r="D213" s="351">
        <v>48.0</v>
      </c>
      <c r="E213" s="351">
        <v>40.0</v>
      </c>
    </row>
    <row r="214">
      <c r="A214" s="351">
        <v>14.0</v>
      </c>
      <c r="B214" s="351" t="s">
        <v>2472</v>
      </c>
      <c r="C214" s="351">
        <v>297.0</v>
      </c>
      <c r="D214" s="351">
        <v>752.0</v>
      </c>
      <c r="E214" s="351">
        <v>423.0</v>
      </c>
    </row>
    <row r="215">
      <c r="A215" s="351">
        <v>9.0</v>
      </c>
      <c r="B215" s="351" t="s">
        <v>564</v>
      </c>
      <c r="C215" s="351">
        <v>16.0</v>
      </c>
      <c r="D215" s="351">
        <v>44.0</v>
      </c>
      <c r="E215" s="351">
        <v>47.0</v>
      </c>
    </row>
    <row r="216">
      <c r="A216" s="351">
        <v>8.0</v>
      </c>
      <c r="B216" s="351" t="s">
        <v>565</v>
      </c>
      <c r="C216" s="351">
        <v>1.0</v>
      </c>
      <c r="D216" s="351">
        <v>2.0</v>
      </c>
      <c r="E216" s="351">
        <v>1.0</v>
      </c>
    </row>
    <row r="217">
      <c r="A217" s="351">
        <v>10.0</v>
      </c>
      <c r="B217" s="351" t="s">
        <v>566</v>
      </c>
      <c r="C217" s="351">
        <v>117.0</v>
      </c>
      <c r="D217" s="351">
        <v>312.0</v>
      </c>
      <c r="E217" s="351">
        <v>190.0</v>
      </c>
    </row>
    <row r="218">
      <c r="A218" s="351">
        <v>3.0</v>
      </c>
      <c r="B218" s="351" t="s">
        <v>412</v>
      </c>
      <c r="C218" s="351">
        <v>91.0</v>
      </c>
      <c r="D218" s="351">
        <v>245.0</v>
      </c>
      <c r="E218" s="351">
        <v>163.0</v>
      </c>
    </row>
    <row r="219">
      <c r="A219" s="351">
        <v>10.0</v>
      </c>
      <c r="B219" s="351" t="s">
        <v>567</v>
      </c>
      <c r="C219" s="351">
        <v>4.0</v>
      </c>
      <c r="D219" s="351">
        <v>13.0</v>
      </c>
      <c r="E219" s="351">
        <v>8.0</v>
      </c>
    </row>
    <row r="220">
      <c r="A220" s="351">
        <v>11.0</v>
      </c>
      <c r="B220" s="351" t="s">
        <v>568</v>
      </c>
      <c r="C220" s="351">
        <v>0.0</v>
      </c>
      <c r="D220" s="351">
        <v>0.0</v>
      </c>
      <c r="E220" s="351">
        <v>0.0</v>
      </c>
    </row>
    <row r="221">
      <c r="A221" s="351">
        <v>12.0</v>
      </c>
      <c r="B221" s="351" t="s">
        <v>569</v>
      </c>
      <c r="C221" s="351">
        <v>38.0</v>
      </c>
      <c r="D221" s="351">
        <v>86.0</v>
      </c>
      <c r="E221" s="351">
        <v>55.0</v>
      </c>
    </row>
    <row r="222">
      <c r="A222" s="351">
        <v>5.0</v>
      </c>
      <c r="B222" s="351" t="s">
        <v>414</v>
      </c>
      <c r="C222" s="351">
        <v>4.0</v>
      </c>
      <c r="D222" s="351">
        <v>9.0</v>
      </c>
      <c r="E222" s="351">
        <v>6.0</v>
      </c>
    </row>
    <row r="223">
      <c r="A223" s="351">
        <v>9.0</v>
      </c>
      <c r="B223" s="351" t="s">
        <v>571</v>
      </c>
      <c r="C223" s="351">
        <v>5.0</v>
      </c>
      <c r="D223" s="351">
        <v>14.0</v>
      </c>
      <c r="E223" s="351">
        <v>19.0</v>
      </c>
    </row>
    <row r="224">
      <c r="A224" s="351">
        <v>9.0</v>
      </c>
      <c r="B224" s="351" t="s">
        <v>572</v>
      </c>
      <c r="C224" s="351">
        <v>5.0</v>
      </c>
      <c r="D224" s="351">
        <v>17.0</v>
      </c>
      <c r="E224" s="351">
        <v>15.0</v>
      </c>
    </row>
    <row r="225">
      <c r="A225" s="351">
        <v>1.0</v>
      </c>
      <c r="B225" s="351" t="s">
        <v>574</v>
      </c>
      <c r="C225" s="351">
        <v>13.0</v>
      </c>
      <c r="D225" s="351">
        <v>24.0</v>
      </c>
      <c r="E225" s="351">
        <v>49.0</v>
      </c>
    </row>
    <row r="226">
      <c r="A226" s="351">
        <v>4.0</v>
      </c>
      <c r="B226" s="351" t="s">
        <v>135</v>
      </c>
      <c r="C226" s="351">
        <v>63.0</v>
      </c>
      <c r="D226" s="351">
        <v>171.0</v>
      </c>
      <c r="E226" s="351">
        <v>100.0</v>
      </c>
    </row>
    <row r="227">
      <c r="A227" s="351">
        <v>3.0</v>
      </c>
      <c r="B227" s="351" t="s">
        <v>575</v>
      </c>
      <c r="C227" s="351">
        <v>30.0</v>
      </c>
      <c r="D227" s="351">
        <v>71.0</v>
      </c>
      <c r="E227" s="351">
        <v>53.0</v>
      </c>
    </row>
    <row r="228">
      <c r="A228" s="351">
        <v>2.0</v>
      </c>
      <c r="B228" s="351" t="s">
        <v>576</v>
      </c>
      <c r="C228" s="351">
        <v>93.0</v>
      </c>
      <c r="D228" s="351">
        <v>232.0</v>
      </c>
      <c r="E228" s="351">
        <v>120.0</v>
      </c>
    </row>
    <row r="229">
      <c r="A229" s="351">
        <v>2.0</v>
      </c>
      <c r="B229" s="351" t="s">
        <v>136</v>
      </c>
      <c r="C229" s="351">
        <v>15.0</v>
      </c>
      <c r="D229" s="351">
        <v>39.0</v>
      </c>
      <c r="E229" s="351">
        <v>36.0</v>
      </c>
    </row>
    <row r="230">
      <c r="A230" s="351">
        <v>14.0</v>
      </c>
      <c r="B230" s="351" t="s">
        <v>275</v>
      </c>
      <c r="C230" s="351">
        <v>284.0</v>
      </c>
      <c r="D230" s="351">
        <v>688.0</v>
      </c>
      <c r="E230" s="351">
        <v>368.0</v>
      </c>
    </row>
    <row r="231">
      <c r="A231" s="351">
        <v>1.0</v>
      </c>
      <c r="B231" s="351" t="s">
        <v>579</v>
      </c>
      <c r="C231" s="351">
        <v>17.0</v>
      </c>
      <c r="D231" s="351">
        <v>34.0</v>
      </c>
      <c r="E231" s="351">
        <v>26.0</v>
      </c>
    </row>
    <row r="232">
      <c r="A232" s="351">
        <v>7.0</v>
      </c>
      <c r="B232" s="351" t="s">
        <v>581</v>
      </c>
      <c r="C232" s="351">
        <v>2.0</v>
      </c>
      <c r="D232" s="351">
        <v>7.0</v>
      </c>
      <c r="E232" s="351">
        <v>4.0</v>
      </c>
    </row>
    <row r="233">
      <c r="A233" s="351">
        <v>12.0</v>
      </c>
      <c r="B233" s="351" t="s">
        <v>582</v>
      </c>
      <c r="C233" s="351">
        <v>52.0</v>
      </c>
      <c r="D233" s="351">
        <v>144.0</v>
      </c>
      <c r="E233" s="351">
        <v>96.0</v>
      </c>
    </row>
    <row r="234">
      <c r="A234" s="351">
        <v>1.0</v>
      </c>
      <c r="B234" s="351" t="s">
        <v>583</v>
      </c>
      <c r="C234" s="351">
        <v>50.0</v>
      </c>
      <c r="D234" s="351">
        <v>121.0</v>
      </c>
      <c r="E234" s="351">
        <v>119.0</v>
      </c>
    </row>
    <row r="235">
      <c r="A235" s="351">
        <v>10.0</v>
      </c>
      <c r="B235" s="351" t="s">
        <v>584</v>
      </c>
      <c r="C235" s="351">
        <v>15.0</v>
      </c>
      <c r="D235" s="351">
        <v>48.0</v>
      </c>
      <c r="E235" s="351">
        <v>36.0</v>
      </c>
    </row>
    <row r="236">
      <c r="A236" s="351">
        <v>5.0</v>
      </c>
      <c r="B236" s="351" t="s">
        <v>138</v>
      </c>
      <c r="C236" s="351">
        <v>7.0</v>
      </c>
      <c r="D236" s="351">
        <v>19.0</v>
      </c>
      <c r="E236" s="351">
        <v>8.0</v>
      </c>
    </row>
    <row r="237">
      <c r="A237" s="351">
        <v>13.0</v>
      </c>
      <c r="B237" s="351" t="s">
        <v>460</v>
      </c>
      <c r="C237" s="351">
        <v>372.0</v>
      </c>
      <c r="D237" s="351">
        <v>1055.0</v>
      </c>
      <c r="E237" s="351">
        <v>663.0</v>
      </c>
    </row>
    <row r="238">
      <c r="A238" s="351">
        <v>2.0</v>
      </c>
      <c r="B238" s="351" t="s">
        <v>585</v>
      </c>
      <c r="C238" s="351">
        <v>26.0</v>
      </c>
      <c r="D238" s="351">
        <v>56.0</v>
      </c>
      <c r="E238" s="351">
        <v>48.0</v>
      </c>
    </row>
    <row r="239">
      <c r="A239" s="351">
        <v>2.0</v>
      </c>
      <c r="B239" s="351" t="s">
        <v>586</v>
      </c>
      <c r="C239" s="351">
        <v>91.0</v>
      </c>
      <c r="D239" s="351">
        <v>207.0</v>
      </c>
      <c r="E239" s="351">
        <v>136.0</v>
      </c>
    </row>
    <row r="240">
      <c r="A240" s="351">
        <v>7.0</v>
      </c>
      <c r="B240" s="351" t="s">
        <v>587</v>
      </c>
      <c r="C240" s="351">
        <v>2.0</v>
      </c>
      <c r="D240" s="351">
        <v>3.0</v>
      </c>
      <c r="E240" s="351">
        <v>2.0</v>
      </c>
    </row>
    <row r="241">
      <c r="A241" s="351">
        <v>3.0</v>
      </c>
      <c r="B241" s="351" t="s">
        <v>588</v>
      </c>
      <c r="C241" s="351">
        <v>11.0</v>
      </c>
      <c r="D241" s="351">
        <v>37.0</v>
      </c>
      <c r="E241" s="351">
        <v>24.0</v>
      </c>
    </row>
    <row r="242">
      <c r="A242" s="351">
        <v>8.0</v>
      </c>
      <c r="B242" s="351" t="s">
        <v>218</v>
      </c>
      <c r="C242" s="351">
        <v>27.0</v>
      </c>
      <c r="D242" s="351">
        <v>64.0</v>
      </c>
      <c r="E242" s="351">
        <v>30.0</v>
      </c>
    </row>
    <row r="243">
      <c r="A243" s="351">
        <v>2.0</v>
      </c>
      <c r="B243" s="351" t="s">
        <v>589</v>
      </c>
      <c r="C243" s="351">
        <v>13.0</v>
      </c>
      <c r="D243" s="351">
        <v>26.0</v>
      </c>
      <c r="E243" s="351">
        <v>26.0</v>
      </c>
    </row>
    <row r="244">
      <c r="A244" s="351">
        <v>4.0</v>
      </c>
      <c r="B244" s="351" t="s">
        <v>590</v>
      </c>
      <c r="C244" s="351">
        <v>7.0</v>
      </c>
      <c r="D244" s="351">
        <v>15.0</v>
      </c>
      <c r="E244" s="351">
        <v>11.0</v>
      </c>
    </row>
    <row r="245">
      <c r="A245" s="351">
        <v>4.0</v>
      </c>
      <c r="B245" s="351" t="s">
        <v>140</v>
      </c>
      <c r="C245" s="351">
        <v>179.0</v>
      </c>
      <c r="D245" s="351">
        <v>547.0</v>
      </c>
      <c r="E245" s="351">
        <v>320.0</v>
      </c>
    </row>
    <row r="246">
      <c r="A246" s="351">
        <v>6.0</v>
      </c>
      <c r="B246" s="351" t="s">
        <v>141</v>
      </c>
      <c r="C246" s="351">
        <v>122.0</v>
      </c>
      <c r="D246" s="351">
        <v>337.0</v>
      </c>
      <c r="E246" s="351">
        <v>220.0</v>
      </c>
    </row>
    <row r="247">
      <c r="A247" s="351">
        <v>11.0</v>
      </c>
      <c r="B247" s="351" t="s">
        <v>591</v>
      </c>
      <c r="C247" s="351">
        <v>2.0</v>
      </c>
      <c r="D247" s="351">
        <v>2.0</v>
      </c>
      <c r="E247" s="351">
        <v>6.0</v>
      </c>
    </row>
    <row r="248">
      <c r="A248" s="351">
        <v>5.0</v>
      </c>
      <c r="B248" s="351" t="s">
        <v>142</v>
      </c>
      <c r="C248" s="351">
        <v>37.0</v>
      </c>
      <c r="D248" s="351">
        <v>94.0</v>
      </c>
      <c r="E248" s="351">
        <v>68.0</v>
      </c>
    </row>
    <row r="249">
      <c r="A249" s="351">
        <v>6.0</v>
      </c>
      <c r="B249" s="351" t="s">
        <v>593</v>
      </c>
      <c r="C249" s="351">
        <v>13.0</v>
      </c>
      <c r="D249" s="351">
        <v>44.0</v>
      </c>
      <c r="E249" s="351">
        <v>30.0</v>
      </c>
    </row>
    <row r="250">
      <c r="A250" s="351">
        <v>9.0</v>
      </c>
      <c r="B250" s="351" t="s">
        <v>594</v>
      </c>
      <c r="C250" s="351">
        <v>12.0</v>
      </c>
      <c r="D250" s="351">
        <v>27.0</v>
      </c>
      <c r="E250" s="351">
        <v>26.0</v>
      </c>
    </row>
    <row r="251">
      <c r="A251" s="351">
        <v>7.0</v>
      </c>
      <c r="B251" s="351" t="s">
        <v>143</v>
      </c>
      <c r="C251" s="351">
        <v>7.0</v>
      </c>
      <c r="D251" s="351">
        <v>15.0</v>
      </c>
      <c r="E251" s="351">
        <v>13.0</v>
      </c>
    </row>
    <row r="252">
      <c r="A252" s="351">
        <v>7.0</v>
      </c>
      <c r="B252" s="351" t="s">
        <v>597</v>
      </c>
      <c r="C252" s="351">
        <v>3.0</v>
      </c>
      <c r="D252" s="351">
        <v>8.0</v>
      </c>
      <c r="E252" s="351">
        <v>6.0</v>
      </c>
    </row>
    <row r="253">
      <c r="A253" s="351">
        <v>9.0</v>
      </c>
      <c r="B253" s="351" t="s">
        <v>288</v>
      </c>
      <c r="C253" s="351">
        <v>2.0</v>
      </c>
      <c r="D253" s="351">
        <v>4.0</v>
      </c>
      <c r="E253" s="351">
        <v>0.0</v>
      </c>
    </row>
    <row r="254">
      <c r="A254" s="351">
        <v>6.0</v>
      </c>
      <c r="B254" s="351" t="s">
        <v>598</v>
      </c>
      <c r="C254" s="351">
        <v>46.0</v>
      </c>
      <c r="D254" s="351">
        <v>141.0</v>
      </c>
      <c r="E254" s="351">
        <v>104.0</v>
      </c>
    </row>
    <row r="255">
      <c r="A255" s="351">
        <v>4.0</v>
      </c>
      <c r="B255" s="351" t="s">
        <v>144</v>
      </c>
      <c r="C255" s="351">
        <v>12.0</v>
      </c>
      <c r="D255" s="351">
        <v>35.0</v>
      </c>
      <c r="E255" s="351">
        <v>28.0</v>
      </c>
    </row>
    <row r="256">
      <c r="A256" s="351">
        <v>11.0</v>
      </c>
      <c r="B256" s="351" t="s">
        <v>600</v>
      </c>
      <c r="C256" s="351">
        <v>6.0</v>
      </c>
      <c r="D256" s="351">
        <v>16.0</v>
      </c>
      <c r="E256" s="351">
        <v>16.0</v>
      </c>
    </row>
    <row r="257">
      <c r="A257" s="351">
        <v>9.0</v>
      </c>
      <c r="B257" s="351" t="s">
        <v>601</v>
      </c>
      <c r="C257" s="351">
        <v>21.0</v>
      </c>
      <c r="D257" s="351">
        <v>62.0</v>
      </c>
      <c r="E257" s="351">
        <v>47.0</v>
      </c>
    </row>
    <row r="258">
      <c r="A258" s="351">
        <v>10.0</v>
      </c>
      <c r="B258" s="351" t="s">
        <v>147</v>
      </c>
      <c r="C258" s="351">
        <v>38.0</v>
      </c>
      <c r="D258" s="351">
        <v>94.0</v>
      </c>
      <c r="E258" s="351">
        <v>61.0</v>
      </c>
    </row>
    <row r="259">
      <c r="A259" s="351">
        <v>12.0</v>
      </c>
      <c r="B259" s="351" t="s">
        <v>508</v>
      </c>
      <c r="C259" s="351">
        <v>26.0</v>
      </c>
      <c r="D259" s="351">
        <v>71.0</v>
      </c>
      <c r="E259" s="351">
        <v>42.0</v>
      </c>
    </row>
    <row r="260">
      <c r="A260" s="351">
        <v>7.0</v>
      </c>
      <c r="B260" s="351" t="s">
        <v>290</v>
      </c>
      <c r="C260" s="351">
        <v>2.0</v>
      </c>
      <c r="D260" s="351">
        <v>4.0</v>
      </c>
      <c r="E260" s="351">
        <v>3.0</v>
      </c>
    </row>
    <row r="261">
      <c r="A261" s="351">
        <v>12.0</v>
      </c>
      <c r="B261" s="351" t="s">
        <v>602</v>
      </c>
      <c r="C261" s="351">
        <v>7.0</v>
      </c>
      <c r="D261" s="351">
        <v>22.0</v>
      </c>
      <c r="E261" s="351">
        <v>20.0</v>
      </c>
    </row>
    <row r="262">
      <c r="A262" s="351">
        <v>11.0</v>
      </c>
      <c r="B262" s="351" t="s">
        <v>149</v>
      </c>
      <c r="C262" s="351">
        <v>124.0</v>
      </c>
      <c r="D262" s="351">
        <v>320.0</v>
      </c>
      <c r="E262" s="351">
        <v>229.0</v>
      </c>
    </row>
    <row r="263">
      <c r="A263" s="351">
        <v>2.0</v>
      </c>
      <c r="B263" s="351" t="s">
        <v>604</v>
      </c>
      <c r="C263" s="351">
        <v>19.0</v>
      </c>
      <c r="D263" s="351">
        <v>41.0</v>
      </c>
      <c r="E263" s="351">
        <v>30.0</v>
      </c>
    </row>
    <row r="264">
      <c r="A264" s="351">
        <v>8.0</v>
      </c>
      <c r="B264" s="351" t="s">
        <v>605</v>
      </c>
      <c r="C264" s="351">
        <v>11.0</v>
      </c>
      <c r="D264" s="351">
        <v>25.0</v>
      </c>
      <c r="E264" s="351">
        <v>8.0</v>
      </c>
    </row>
    <row r="265">
      <c r="A265" s="351">
        <v>5.0</v>
      </c>
      <c r="B265" s="351" t="s">
        <v>606</v>
      </c>
      <c r="C265" s="351">
        <v>11.0</v>
      </c>
      <c r="D265" s="351">
        <v>24.0</v>
      </c>
      <c r="E265" s="351">
        <v>15.0</v>
      </c>
    </row>
    <row r="266">
      <c r="A266" s="351">
        <v>8.0</v>
      </c>
      <c r="B266" s="351" t="s">
        <v>150</v>
      </c>
      <c r="C266" s="351">
        <v>9.0</v>
      </c>
      <c r="D266" s="351">
        <v>35.0</v>
      </c>
      <c r="E266" s="351">
        <v>17.0</v>
      </c>
    </row>
    <row r="267">
      <c r="A267" s="351">
        <v>7.0</v>
      </c>
      <c r="B267" s="351" t="s">
        <v>151</v>
      </c>
      <c r="C267" s="351">
        <v>12.0</v>
      </c>
      <c r="D267" s="351">
        <v>25.0</v>
      </c>
      <c r="E267" s="351">
        <v>21.0</v>
      </c>
    </row>
    <row r="268">
      <c r="A268" s="351">
        <v>12.0</v>
      </c>
      <c r="B268" s="351" t="s">
        <v>153</v>
      </c>
      <c r="C268" s="351">
        <v>1.0</v>
      </c>
      <c r="D268" s="351">
        <v>3.0</v>
      </c>
      <c r="E268" s="351">
        <v>2.0</v>
      </c>
    </row>
    <row r="269">
      <c r="A269" s="351">
        <v>4.0</v>
      </c>
      <c r="B269" s="351" t="s">
        <v>609</v>
      </c>
      <c r="C269" s="351">
        <v>7.0</v>
      </c>
      <c r="D269" s="351">
        <v>20.0</v>
      </c>
      <c r="E269" s="351">
        <v>10.0</v>
      </c>
    </row>
    <row r="270">
      <c r="A270" s="351">
        <v>10.0</v>
      </c>
      <c r="B270" s="351" t="s">
        <v>295</v>
      </c>
      <c r="C270" s="351">
        <v>8.0</v>
      </c>
      <c r="D270" s="351">
        <v>27.0</v>
      </c>
      <c r="E270" s="351">
        <v>15.0</v>
      </c>
    </row>
    <row r="271">
      <c r="A271" s="351">
        <v>10.0</v>
      </c>
      <c r="B271" s="351" t="s">
        <v>610</v>
      </c>
      <c r="C271" s="351">
        <v>20.0</v>
      </c>
      <c r="D271" s="351">
        <v>59.0</v>
      </c>
      <c r="E271" s="351">
        <v>48.0</v>
      </c>
    </row>
    <row r="272">
      <c r="A272" s="351">
        <v>6.0</v>
      </c>
      <c r="B272" s="351" t="s">
        <v>156</v>
      </c>
      <c r="C272" s="351">
        <v>19.0</v>
      </c>
      <c r="D272" s="351">
        <v>40.0</v>
      </c>
      <c r="E272" s="351">
        <v>27.0</v>
      </c>
    </row>
    <row r="273">
      <c r="A273" s="351">
        <v>9.0</v>
      </c>
      <c r="B273" s="351" t="s">
        <v>157</v>
      </c>
      <c r="C273" s="351">
        <v>3.0</v>
      </c>
      <c r="D273" s="351">
        <v>6.0</v>
      </c>
      <c r="E273" s="351">
        <v>9.0</v>
      </c>
    </row>
    <row r="274">
      <c r="A274" s="351">
        <v>5.0</v>
      </c>
      <c r="B274" s="351" t="s">
        <v>158</v>
      </c>
      <c r="C274" s="351">
        <v>15.0</v>
      </c>
      <c r="D274" s="351">
        <v>34.0</v>
      </c>
      <c r="E274" s="351">
        <v>27.0</v>
      </c>
    </row>
    <row r="275">
      <c r="A275" s="351">
        <v>1.0</v>
      </c>
      <c r="B275" s="351" t="s">
        <v>611</v>
      </c>
      <c r="C275" s="351">
        <v>13.0</v>
      </c>
      <c r="D275" s="351">
        <v>34.0</v>
      </c>
      <c r="E275" s="351">
        <v>29.0</v>
      </c>
    </row>
    <row r="276">
      <c r="A276" s="351">
        <v>8.0</v>
      </c>
      <c r="B276" s="351" t="s">
        <v>613</v>
      </c>
      <c r="C276" s="351">
        <v>151.0</v>
      </c>
      <c r="D276" s="351">
        <v>435.0</v>
      </c>
      <c r="E276" s="351">
        <v>290.0</v>
      </c>
    </row>
    <row r="277">
      <c r="A277" s="351">
        <v>5.0</v>
      </c>
      <c r="B277" s="351" t="s">
        <v>297</v>
      </c>
      <c r="C277" s="351">
        <v>91.0</v>
      </c>
      <c r="D277" s="351">
        <v>265.0</v>
      </c>
      <c r="E277" s="351">
        <v>169.0</v>
      </c>
    </row>
    <row r="278">
      <c r="A278" s="351">
        <v>5.0</v>
      </c>
      <c r="B278" s="351" t="s">
        <v>614</v>
      </c>
      <c r="C278" s="351">
        <v>19.0</v>
      </c>
      <c r="D278" s="351">
        <v>45.0</v>
      </c>
      <c r="E278" s="351">
        <v>39.0</v>
      </c>
    </row>
    <row r="279">
      <c r="A279" s="351">
        <v>5.0</v>
      </c>
      <c r="B279" s="351" t="s">
        <v>615</v>
      </c>
      <c r="C279" s="351">
        <v>5.0</v>
      </c>
      <c r="D279" s="351">
        <v>13.0</v>
      </c>
      <c r="E279" s="351">
        <v>8.0</v>
      </c>
    </row>
    <row r="280">
      <c r="A280" s="351">
        <v>3.0</v>
      </c>
      <c r="B280" s="351" t="s">
        <v>616</v>
      </c>
      <c r="C280" s="351">
        <v>105.0</v>
      </c>
      <c r="D280" s="351">
        <v>301.0</v>
      </c>
      <c r="E280" s="351">
        <v>202.0</v>
      </c>
    </row>
    <row r="281">
      <c r="A281" s="351">
        <v>6.0</v>
      </c>
      <c r="B281" s="351" t="s">
        <v>617</v>
      </c>
      <c r="C281" s="351">
        <v>25.0</v>
      </c>
      <c r="D281" s="351">
        <v>77.0</v>
      </c>
      <c r="E281" s="351">
        <v>64.0</v>
      </c>
    </row>
    <row r="282">
      <c r="A282" s="351">
        <v>1.0</v>
      </c>
      <c r="B282" s="351" t="s">
        <v>160</v>
      </c>
      <c r="C282" s="351">
        <v>12.0</v>
      </c>
      <c r="D282" s="351">
        <v>29.0</v>
      </c>
      <c r="E282" s="351">
        <v>17.0</v>
      </c>
    </row>
    <row r="283">
      <c r="A283" s="351">
        <v>11.0</v>
      </c>
      <c r="B283" s="351" t="s">
        <v>473</v>
      </c>
      <c r="C283" s="351">
        <v>14.0</v>
      </c>
      <c r="D283" s="351">
        <v>41.0</v>
      </c>
      <c r="E283" s="351">
        <v>39.0</v>
      </c>
    </row>
    <row r="284">
      <c r="A284" s="351">
        <v>4.0</v>
      </c>
      <c r="B284" s="351" t="s">
        <v>162</v>
      </c>
      <c r="C284" s="351">
        <v>7.0</v>
      </c>
      <c r="D284" s="351">
        <v>17.0</v>
      </c>
      <c r="E284" s="351">
        <v>10.0</v>
      </c>
    </row>
    <row r="285">
      <c r="A285" s="351">
        <v>3.0</v>
      </c>
      <c r="B285" s="351" t="s">
        <v>302</v>
      </c>
      <c r="C285" s="351">
        <v>19.0</v>
      </c>
      <c r="D285" s="351">
        <v>72.0</v>
      </c>
      <c r="E285" s="351">
        <v>39.0</v>
      </c>
    </row>
    <row r="286">
      <c r="A286" s="351">
        <v>9.0</v>
      </c>
      <c r="B286" s="351" t="s">
        <v>305</v>
      </c>
      <c r="C286" s="351">
        <v>3.0</v>
      </c>
      <c r="D286" s="351">
        <v>6.0</v>
      </c>
      <c r="E286" s="351">
        <v>8.0</v>
      </c>
    </row>
    <row r="287">
      <c r="A287" s="351">
        <v>6.0</v>
      </c>
      <c r="B287" s="351" t="s">
        <v>518</v>
      </c>
      <c r="C287" s="351">
        <v>12.0</v>
      </c>
      <c r="D287" s="351">
        <v>33.0</v>
      </c>
      <c r="E287" s="351">
        <v>24.0</v>
      </c>
    </row>
    <row r="288">
      <c r="A288" s="351">
        <v>8.0</v>
      </c>
      <c r="B288" s="351" t="s">
        <v>618</v>
      </c>
      <c r="C288" s="351">
        <v>0.0</v>
      </c>
      <c r="D288" s="351">
        <v>0.0</v>
      </c>
      <c r="E288" s="351">
        <v>0.0</v>
      </c>
    </row>
    <row r="289">
      <c r="A289" s="351">
        <v>2.0</v>
      </c>
      <c r="B289" s="351" t="s">
        <v>619</v>
      </c>
      <c r="C289" s="351">
        <v>13.0</v>
      </c>
      <c r="D289" s="351">
        <v>39.0</v>
      </c>
      <c r="E289" s="351">
        <v>50.0</v>
      </c>
    </row>
    <row r="290">
      <c r="A290" s="351">
        <v>8.0</v>
      </c>
      <c r="B290" s="351" t="s">
        <v>163</v>
      </c>
      <c r="C290" s="351">
        <v>6.0</v>
      </c>
      <c r="D290" s="351">
        <v>12.0</v>
      </c>
      <c r="E290" s="351">
        <v>9.0</v>
      </c>
    </row>
    <row r="291">
      <c r="A291" s="351">
        <v>7.0</v>
      </c>
      <c r="B291" s="351" t="s">
        <v>621</v>
      </c>
      <c r="C291" s="351">
        <v>118.0</v>
      </c>
      <c r="D291" s="351">
        <v>313.0</v>
      </c>
      <c r="E291" s="351">
        <v>203.0</v>
      </c>
    </row>
    <row r="292">
      <c r="A292" s="351">
        <v>5.0</v>
      </c>
      <c r="B292" s="351" t="s">
        <v>622</v>
      </c>
      <c r="C292" s="351">
        <v>77.0</v>
      </c>
      <c r="D292" s="351">
        <v>218.0</v>
      </c>
      <c r="E292" s="351">
        <v>123.0</v>
      </c>
    </row>
    <row r="293">
      <c r="A293" s="351">
        <v>8.0</v>
      </c>
      <c r="B293" s="351" t="s">
        <v>623</v>
      </c>
      <c r="C293" s="351">
        <v>3.0</v>
      </c>
      <c r="D293" s="351">
        <v>17.0</v>
      </c>
      <c r="E293" s="351">
        <v>10.0</v>
      </c>
    </row>
    <row r="294">
      <c r="A294" s="351">
        <v>7.0</v>
      </c>
      <c r="B294" s="351" t="s">
        <v>625</v>
      </c>
      <c r="C294" s="351">
        <v>16.0</v>
      </c>
      <c r="D294" s="351">
        <v>47.0</v>
      </c>
      <c r="E294" s="351">
        <v>19.0</v>
      </c>
    </row>
    <row r="295">
      <c r="A295" s="351">
        <v>10.0</v>
      </c>
      <c r="B295" s="351" t="s">
        <v>524</v>
      </c>
      <c r="C295" s="351">
        <v>3.0</v>
      </c>
      <c r="D295" s="351">
        <v>6.0</v>
      </c>
      <c r="E295" s="351">
        <v>4.0</v>
      </c>
    </row>
    <row r="296">
      <c r="A296" s="351">
        <v>4.0</v>
      </c>
      <c r="B296" s="351" t="s">
        <v>626</v>
      </c>
      <c r="C296" s="351">
        <v>47.0</v>
      </c>
      <c r="D296" s="351">
        <v>108.0</v>
      </c>
      <c r="E296" s="351">
        <v>64.0</v>
      </c>
    </row>
    <row r="297">
      <c r="A297" s="351">
        <v>2.0</v>
      </c>
      <c r="B297" s="351" t="s">
        <v>628</v>
      </c>
      <c r="C297" s="351">
        <v>16.0</v>
      </c>
      <c r="D297" s="351">
        <v>40.0</v>
      </c>
      <c r="E297" s="351">
        <v>27.0</v>
      </c>
    </row>
    <row r="298">
      <c r="A298" s="351">
        <v>8.0</v>
      </c>
      <c r="B298" s="351" t="s">
        <v>629</v>
      </c>
      <c r="C298" s="351">
        <v>1.0</v>
      </c>
      <c r="D298" s="351">
        <v>1.0</v>
      </c>
      <c r="E298" s="351">
        <v>1.0</v>
      </c>
    </row>
    <row r="299">
      <c r="A299" s="351">
        <v>8.0</v>
      </c>
      <c r="B299" s="351" t="s">
        <v>169</v>
      </c>
      <c r="C299" s="351">
        <v>22.0</v>
      </c>
      <c r="D299" s="351">
        <v>69.0</v>
      </c>
      <c r="E299" s="351">
        <v>59.0</v>
      </c>
    </row>
    <row r="300">
      <c r="A300" s="351">
        <v>8.0</v>
      </c>
      <c r="B300" s="351" t="s">
        <v>630</v>
      </c>
      <c r="C300" s="351">
        <v>1.0</v>
      </c>
      <c r="D300" s="351">
        <v>2.0</v>
      </c>
      <c r="E300" s="351">
        <v>1.0</v>
      </c>
    </row>
    <row r="301">
      <c r="A301" s="351">
        <v>7.0</v>
      </c>
      <c r="B301" s="351" t="s">
        <v>631</v>
      </c>
      <c r="C301" s="351">
        <v>2.0</v>
      </c>
      <c r="D301" s="351">
        <v>6.0</v>
      </c>
      <c r="E301" s="351">
        <v>7.0</v>
      </c>
    </row>
    <row r="302">
      <c r="A302" s="351">
        <v>9.0</v>
      </c>
      <c r="B302" s="351" t="s">
        <v>632</v>
      </c>
      <c r="C302" s="351">
        <v>7.0</v>
      </c>
      <c r="D302" s="351">
        <v>11.0</v>
      </c>
      <c r="E302" s="351">
        <v>8.0</v>
      </c>
    </row>
    <row r="303">
      <c r="A303" s="351">
        <v>8.0</v>
      </c>
      <c r="B303" s="351" t="s">
        <v>526</v>
      </c>
      <c r="C303" s="351">
        <v>8.0</v>
      </c>
      <c r="D303" s="351">
        <v>29.0</v>
      </c>
      <c r="E303" s="351">
        <v>21.0</v>
      </c>
    </row>
    <row r="304">
      <c r="A304" s="351">
        <v>9.0</v>
      </c>
      <c r="B304" s="351" t="s">
        <v>633</v>
      </c>
      <c r="C304" s="351">
        <v>3.0</v>
      </c>
      <c r="D304" s="351">
        <v>7.0</v>
      </c>
      <c r="E304" s="351">
        <v>15.0</v>
      </c>
    </row>
    <row r="305">
      <c r="A305" s="351">
        <v>10.0</v>
      </c>
      <c r="B305" s="351" t="s">
        <v>635</v>
      </c>
      <c r="C305" s="351">
        <v>11.0</v>
      </c>
      <c r="D305" s="351">
        <v>32.0</v>
      </c>
      <c r="E305" s="351">
        <v>24.0</v>
      </c>
    </row>
    <row r="306">
      <c r="A306" s="351">
        <v>10.0</v>
      </c>
      <c r="B306" s="351" t="s">
        <v>636</v>
      </c>
      <c r="C306" s="351">
        <v>25.0</v>
      </c>
      <c r="D306" s="351">
        <v>63.0</v>
      </c>
      <c r="E306" s="351">
        <v>53.0</v>
      </c>
    </row>
    <row r="307">
      <c r="A307" s="351">
        <v>11.0</v>
      </c>
      <c r="B307" s="351" t="s">
        <v>637</v>
      </c>
      <c r="C307" s="351">
        <v>20.0</v>
      </c>
      <c r="D307" s="351">
        <v>48.0</v>
      </c>
      <c r="E307" s="351">
        <v>36.0</v>
      </c>
    </row>
    <row r="308">
      <c r="A308" s="351">
        <v>9.0</v>
      </c>
      <c r="B308" s="351" t="s">
        <v>638</v>
      </c>
      <c r="C308" s="351">
        <v>14.0</v>
      </c>
      <c r="D308" s="351">
        <v>28.0</v>
      </c>
      <c r="E308" s="351">
        <v>21.0</v>
      </c>
    </row>
    <row r="309">
      <c r="A309" s="351">
        <v>2.0</v>
      </c>
      <c r="B309" s="351" t="s">
        <v>639</v>
      </c>
      <c r="C309" s="351">
        <v>4.0</v>
      </c>
      <c r="D309" s="351">
        <v>11.0</v>
      </c>
      <c r="E309" s="351">
        <v>6.0</v>
      </c>
    </row>
    <row r="310">
      <c r="A310" s="351">
        <v>9.0</v>
      </c>
      <c r="B310" s="351" t="s">
        <v>640</v>
      </c>
      <c r="C310" s="351">
        <v>2.0</v>
      </c>
      <c r="D310" s="351">
        <v>5.0</v>
      </c>
      <c r="E310" s="351">
        <v>6.0</v>
      </c>
    </row>
    <row r="311">
      <c r="A311" s="351">
        <v>4.0</v>
      </c>
      <c r="B311" s="351" t="s">
        <v>641</v>
      </c>
      <c r="C311" s="351">
        <v>20.0</v>
      </c>
      <c r="D311" s="351">
        <v>45.0</v>
      </c>
      <c r="E311" s="351">
        <v>22.0</v>
      </c>
    </row>
    <row r="312">
      <c r="A312" s="351">
        <v>11.0</v>
      </c>
      <c r="B312" s="351" t="s">
        <v>642</v>
      </c>
      <c r="C312" s="351">
        <v>11.0</v>
      </c>
      <c r="D312" s="351">
        <v>23.0</v>
      </c>
      <c r="E312" s="351">
        <v>23.0</v>
      </c>
    </row>
    <row r="313">
      <c r="A313" s="351">
        <v>6.0</v>
      </c>
      <c r="B313" s="351" t="s">
        <v>643</v>
      </c>
      <c r="C313" s="351">
        <v>6.0</v>
      </c>
      <c r="D313" s="351">
        <v>12.0</v>
      </c>
      <c r="E313" s="351">
        <v>15.0</v>
      </c>
    </row>
    <row r="314">
      <c r="A314" s="351">
        <v>2.0</v>
      </c>
      <c r="B314" s="351" t="s">
        <v>316</v>
      </c>
      <c r="C314" s="351">
        <v>11.0</v>
      </c>
      <c r="D314" s="351">
        <v>17.0</v>
      </c>
      <c r="E314" s="351">
        <v>12.0</v>
      </c>
    </row>
    <row r="315">
      <c r="A315" s="351">
        <v>4.0</v>
      </c>
      <c r="B315" s="351" t="s">
        <v>644</v>
      </c>
      <c r="C315" s="351">
        <v>13.0</v>
      </c>
      <c r="D315" s="351">
        <v>31.0</v>
      </c>
      <c r="E315" s="351">
        <v>27.0</v>
      </c>
    </row>
    <row r="316">
      <c r="A316" s="351">
        <v>1.0</v>
      </c>
      <c r="B316" s="351" t="s">
        <v>175</v>
      </c>
      <c r="C316" s="351">
        <v>42.0</v>
      </c>
      <c r="D316" s="351">
        <v>104.0</v>
      </c>
      <c r="E316" s="351">
        <v>80.0</v>
      </c>
    </row>
    <row r="317">
      <c r="A317" s="351">
        <v>5.0</v>
      </c>
      <c r="B317" s="351" t="s">
        <v>530</v>
      </c>
      <c r="C317" s="351">
        <v>64.0</v>
      </c>
      <c r="D317" s="351">
        <v>178.0</v>
      </c>
      <c r="E317" s="351">
        <v>133.0</v>
      </c>
    </row>
    <row r="318">
      <c r="A318" s="351">
        <v>11.0</v>
      </c>
      <c r="B318" s="351" t="s">
        <v>646</v>
      </c>
      <c r="C318" s="351">
        <v>23.0</v>
      </c>
      <c r="D318" s="351">
        <v>47.0</v>
      </c>
      <c r="E318" s="351">
        <v>37.0</v>
      </c>
    </row>
    <row r="319">
      <c r="A319" s="351">
        <v>7.0</v>
      </c>
      <c r="B319" s="351" t="s">
        <v>647</v>
      </c>
      <c r="C319" s="351">
        <v>0.0</v>
      </c>
      <c r="D319" s="351">
        <v>0.0</v>
      </c>
      <c r="E319" s="351">
        <v>0.0</v>
      </c>
    </row>
    <row r="320">
      <c r="A320" s="351">
        <v>7.0</v>
      </c>
      <c r="B320" s="351" t="s">
        <v>119</v>
      </c>
      <c r="C320" s="351">
        <v>14.0</v>
      </c>
      <c r="D320" s="351">
        <v>40.0</v>
      </c>
      <c r="E320" s="351">
        <v>31.0</v>
      </c>
    </row>
    <row r="321">
      <c r="A321" s="351">
        <v>9.0</v>
      </c>
      <c r="B321" s="351" t="s">
        <v>273</v>
      </c>
      <c r="C321" s="351">
        <v>14.0</v>
      </c>
      <c r="D321" s="351">
        <v>24.0</v>
      </c>
      <c r="E321" s="351">
        <v>33.0</v>
      </c>
    </row>
    <row r="322">
      <c r="A322" s="351">
        <v>8.0</v>
      </c>
      <c r="B322" s="351" t="s">
        <v>648</v>
      </c>
      <c r="C322" s="351">
        <v>1.0</v>
      </c>
      <c r="D322" s="351">
        <v>6.0</v>
      </c>
      <c r="E322" s="351">
        <v>6.0</v>
      </c>
    </row>
    <row r="323">
      <c r="A323" s="351">
        <v>9.0</v>
      </c>
      <c r="B323" s="351" t="s">
        <v>649</v>
      </c>
      <c r="C323" s="351">
        <v>4.0</v>
      </c>
      <c r="D323" s="351">
        <v>12.0</v>
      </c>
      <c r="E323" s="351">
        <v>9.0</v>
      </c>
    </row>
    <row r="324">
      <c r="A324" s="351">
        <v>2.0</v>
      </c>
      <c r="B324" s="351" t="s">
        <v>66</v>
      </c>
      <c r="C324" s="351">
        <v>16.0</v>
      </c>
      <c r="D324" s="351">
        <v>37.0</v>
      </c>
      <c r="E324" s="351">
        <v>33.0</v>
      </c>
    </row>
    <row r="325">
      <c r="A325" s="351">
        <v>1.0</v>
      </c>
      <c r="B325" s="351" t="s">
        <v>651</v>
      </c>
      <c r="C325" s="351">
        <v>38.0</v>
      </c>
      <c r="D325" s="351">
        <v>81.0</v>
      </c>
      <c r="E325" s="351">
        <v>76.0</v>
      </c>
    </row>
    <row r="326">
      <c r="A326" s="351">
        <v>9.0</v>
      </c>
      <c r="B326" s="351" t="s">
        <v>176</v>
      </c>
      <c r="C326" s="351">
        <v>2.0</v>
      </c>
      <c r="D326" s="351">
        <v>7.0</v>
      </c>
      <c r="E326" s="351">
        <v>5.0</v>
      </c>
    </row>
    <row r="327">
      <c r="A327" s="351">
        <v>7.0</v>
      </c>
      <c r="B327" s="351" t="s">
        <v>653</v>
      </c>
      <c r="C327" s="351">
        <v>2.0</v>
      </c>
      <c r="D327" s="351">
        <v>8.0</v>
      </c>
      <c r="E327" s="351">
        <v>5.0</v>
      </c>
    </row>
    <row r="328">
      <c r="A328" s="351">
        <v>6.0</v>
      </c>
      <c r="B328" s="351" t="s">
        <v>654</v>
      </c>
      <c r="C328" s="351">
        <v>8.0</v>
      </c>
      <c r="D328" s="351">
        <v>19.0</v>
      </c>
      <c r="E328" s="351">
        <v>15.0</v>
      </c>
    </row>
    <row r="329">
      <c r="A329" s="351">
        <v>10.0</v>
      </c>
      <c r="B329" s="351" t="s">
        <v>655</v>
      </c>
      <c r="C329" s="351">
        <v>11.0</v>
      </c>
      <c r="D329" s="351">
        <v>42.0</v>
      </c>
      <c r="E329" s="351">
        <v>33.0</v>
      </c>
    </row>
    <row r="331">
      <c r="A331" s="368" t="s">
        <v>792</v>
      </c>
      <c r="B331" s="369"/>
      <c r="C331" s="369"/>
      <c r="D331" s="369"/>
      <c r="E331" s="369"/>
      <c r="F331" s="601" t="s">
        <v>765</v>
      </c>
      <c r="G331" s="677" t="s">
        <v>2460</v>
      </c>
      <c r="H331" s="369"/>
      <c r="I331" s="369"/>
      <c r="J331" s="369"/>
      <c r="K331" s="601" t="s">
        <v>767</v>
      </c>
      <c r="L331" s="602">
        <v>44673.0</v>
      </c>
      <c r="M331" s="601" t="s">
        <v>769</v>
      </c>
      <c r="N331" s="602">
        <v>44411.0</v>
      </c>
      <c r="O331" s="373"/>
    </row>
    <row r="333">
      <c r="A333" s="687"/>
      <c r="B333" s="688" t="s">
        <v>2477</v>
      </c>
    </row>
    <row r="334">
      <c r="A334" s="689" t="s">
        <v>532</v>
      </c>
      <c r="B334" s="690">
        <v>2.0</v>
      </c>
    </row>
    <row r="335">
      <c r="A335" s="689" t="s">
        <v>533</v>
      </c>
      <c r="B335" s="690">
        <v>2.0</v>
      </c>
    </row>
    <row r="336">
      <c r="A336" s="689" t="s">
        <v>534</v>
      </c>
      <c r="B336" s="690">
        <v>4.0</v>
      </c>
    </row>
    <row r="337">
      <c r="A337" s="689" t="s">
        <v>481</v>
      </c>
      <c r="B337" s="690">
        <v>2.0</v>
      </c>
    </row>
    <row r="338">
      <c r="A338" s="689" t="s">
        <v>58</v>
      </c>
      <c r="B338" s="690">
        <v>19.0</v>
      </c>
    </row>
    <row r="339">
      <c r="A339" s="689" t="s">
        <v>535</v>
      </c>
      <c r="B339" s="690">
        <v>9.0</v>
      </c>
    </row>
    <row r="340">
      <c r="A340" s="689" t="s">
        <v>537</v>
      </c>
      <c r="B340" s="690">
        <v>31.0</v>
      </c>
    </row>
    <row r="341">
      <c r="A341" s="689" t="s">
        <v>538</v>
      </c>
      <c r="B341" s="690">
        <v>9.0</v>
      </c>
    </row>
    <row r="342">
      <c r="A342" s="689" t="s">
        <v>539</v>
      </c>
      <c r="B342" s="690">
        <v>11.0</v>
      </c>
    </row>
    <row r="343">
      <c r="A343" s="689" t="s">
        <v>540</v>
      </c>
      <c r="B343" s="690">
        <v>1.0</v>
      </c>
    </row>
    <row r="344">
      <c r="A344" s="689" t="s">
        <v>68</v>
      </c>
      <c r="B344" s="690">
        <v>36.0</v>
      </c>
    </row>
    <row r="345">
      <c r="A345" s="689" t="s">
        <v>541</v>
      </c>
      <c r="B345" s="690">
        <v>1.0</v>
      </c>
    </row>
    <row r="346">
      <c r="A346" s="689" t="s">
        <v>542</v>
      </c>
      <c r="B346" s="690">
        <v>9.0</v>
      </c>
    </row>
    <row r="347">
      <c r="A347" s="689" t="s">
        <v>543</v>
      </c>
      <c r="B347" s="690">
        <v>1.0</v>
      </c>
    </row>
    <row r="348">
      <c r="A348" s="689" t="s">
        <v>544</v>
      </c>
      <c r="B348" s="690">
        <v>7.0</v>
      </c>
    </row>
    <row r="349">
      <c r="A349" s="689" t="s">
        <v>545</v>
      </c>
      <c r="B349" s="690">
        <v>10.0</v>
      </c>
    </row>
    <row r="350">
      <c r="A350" s="689" t="s">
        <v>546</v>
      </c>
      <c r="B350" s="690">
        <v>8.0</v>
      </c>
    </row>
    <row r="351">
      <c r="A351" s="689" t="s">
        <v>547</v>
      </c>
      <c r="B351" s="690">
        <v>2.0</v>
      </c>
    </row>
    <row r="352">
      <c r="A352" s="689" t="s">
        <v>93</v>
      </c>
      <c r="B352" s="690">
        <v>0.0</v>
      </c>
    </row>
    <row r="353">
      <c r="A353" s="689" t="s">
        <v>548</v>
      </c>
      <c r="B353" s="690">
        <v>28.0</v>
      </c>
    </row>
    <row r="354">
      <c r="A354" s="689" t="s">
        <v>549</v>
      </c>
      <c r="B354" s="690">
        <v>2.0</v>
      </c>
    </row>
    <row r="355">
      <c r="A355" s="689" t="s">
        <v>248</v>
      </c>
      <c r="B355" s="690">
        <v>19.0</v>
      </c>
    </row>
    <row r="356">
      <c r="A356" s="689" t="s">
        <v>550</v>
      </c>
      <c r="B356" s="690">
        <v>15.0</v>
      </c>
    </row>
    <row r="357">
      <c r="A357" s="689" t="s">
        <v>551</v>
      </c>
      <c r="B357" s="690">
        <v>11.0</v>
      </c>
    </row>
    <row r="358">
      <c r="A358" s="689" t="s">
        <v>552</v>
      </c>
      <c r="B358" s="690">
        <v>38.0</v>
      </c>
    </row>
    <row r="359">
      <c r="A359" s="689" t="s">
        <v>553</v>
      </c>
      <c r="B359" s="690">
        <v>0.0</v>
      </c>
    </row>
    <row r="360">
      <c r="A360" s="689" t="s">
        <v>554</v>
      </c>
      <c r="B360" s="690">
        <v>5.0</v>
      </c>
    </row>
    <row r="361">
      <c r="A361" s="689" t="s">
        <v>101</v>
      </c>
      <c r="B361" s="690">
        <v>18.0</v>
      </c>
    </row>
    <row r="362">
      <c r="A362" s="689" t="s">
        <v>110</v>
      </c>
      <c r="B362" s="690">
        <v>21.0</v>
      </c>
    </row>
    <row r="363">
      <c r="A363" s="689" t="s">
        <v>112</v>
      </c>
      <c r="B363" s="690">
        <v>0.0</v>
      </c>
    </row>
    <row r="364">
      <c r="A364" s="689" t="s">
        <v>555</v>
      </c>
      <c r="B364" s="690">
        <v>20.0</v>
      </c>
    </row>
    <row r="365">
      <c r="A365" s="689" t="s">
        <v>556</v>
      </c>
      <c r="B365" s="690">
        <v>0.0</v>
      </c>
    </row>
    <row r="366">
      <c r="A366" s="689" t="s">
        <v>536</v>
      </c>
      <c r="B366" s="690">
        <v>54.0</v>
      </c>
    </row>
    <row r="367">
      <c r="A367" s="689" t="s">
        <v>118</v>
      </c>
      <c r="B367" s="690">
        <v>4.0</v>
      </c>
    </row>
    <row r="368">
      <c r="A368" s="689" t="s">
        <v>557</v>
      </c>
      <c r="B368" s="690">
        <v>18.0</v>
      </c>
    </row>
    <row r="369">
      <c r="A369" s="689" t="s">
        <v>258</v>
      </c>
      <c r="B369" s="690">
        <v>5.0</v>
      </c>
    </row>
    <row r="370">
      <c r="A370" s="689" t="s">
        <v>202</v>
      </c>
      <c r="B370" s="690">
        <v>2.0</v>
      </c>
    </row>
    <row r="371">
      <c r="A371" s="689" t="s">
        <v>559</v>
      </c>
      <c r="B371" s="690">
        <v>20.0</v>
      </c>
    </row>
    <row r="372">
      <c r="A372" s="689" t="s">
        <v>263</v>
      </c>
      <c r="B372" s="690">
        <v>2.0</v>
      </c>
    </row>
    <row r="373">
      <c r="A373" s="689" t="s">
        <v>560</v>
      </c>
      <c r="B373" s="690">
        <v>1.0</v>
      </c>
    </row>
    <row r="374">
      <c r="A374" s="689" t="s">
        <v>561</v>
      </c>
      <c r="B374" s="690">
        <v>3.0</v>
      </c>
    </row>
    <row r="375">
      <c r="A375" s="689" t="s">
        <v>562</v>
      </c>
      <c r="B375" s="690">
        <v>19.0</v>
      </c>
    </row>
    <row r="376">
      <c r="A376" s="689" t="s">
        <v>131</v>
      </c>
      <c r="B376" s="690">
        <v>73.0</v>
      </c>
    </row>
    <row r="377">
      <c r="A377" s="689" t="s">
        <v>563</v>
      </c>
      <c r="B377" s="690">
        <v>14.0</v>
      </c>
    </row>
    <row r="378">
      <c r="A378" s="689" t="s">
        <v>564</v>
      </c>
      <c r="B378" s="690">
        <v>0.0</v>
      </c>
    </row>
    <row r="379">
      <c r="A379" s="689" t="s">
        <v>565</v>
      </c>
      <c r="B379" s="690">
        <v>0.0</v>
      </c>
    </row>
    <row r="380">
      <c r="A380" s="689" t="s">
        <v>566</v>
      </c>
      <c r="B380" s="690">
        <v>5.0</v>
      </c>
    </row>
    <row r="381">
      <c r="A381" s="689" t="s">
        <v>412</v>
      </c>
      <c r="B381" s="690">
        <v>21.0</v>
      </c>
    </row>
    <row r="382">
      <c r="A382" s="689" t="s">
        <v>567</v>
      </c>
      <c r="B382" s="690">
        <v>2.0</v>
      </c>
    </row>
    <row r="383">
      <c r="A383" s="689" t="s">
        <v>568</v>
      </c>
      <c r="B383" s="690">
        <v>0.0</v>
      </c>
    </row>
    <row r="384">
      <c r="A384" s="689" t="s">
        <v>569</v>
      </c>
      <c r="B384" s="690">
        <v>10.0</v>
      </c>
    </row>
    <row r="385">
      <c r="A385" s="689" t="s">
        <v>414</v>
      </c>
      <c r="B385" s="690">
        <v>4.0</v>
      </c>
    </row>
    <row r="386">
      <c r="A386" s="689" t="s">
        <v>571</v>
      </c>
      <c r="B386" s="690">
        <v>8.0</v>
      </c>
    </row>
    <row r="387">
      <c r="A387" s="689" t="s">
        <v>572</v>
      </c>
      <c r="B387" s="690">
        <v>0.0</v>
      </c>
    </row>
    <row r="388">
      <c r="A388" s="689" t="s">
        <v>574</v>
      </c>
      <c r="B388" s="690">
        <v>10.0</v>
      </c>
      <c r="C388" s="1">
        <v>8.0</v>
      </c>
    </row>
    <row r="389">
      <c r="A389" s="689" t="s">
        <v>135</v>
      </c>
      <c r="B389" s="690">
        <v>0.0</v>
      </c>
    </row>
    <row r="390">
      <c r="A390" s="689" t="s">
        <v>575</v>
      </c>
      <c r="B390" s="690">
        <v>29.0</v>
      </c>
    </row>
    <row r="391">
      <c r="A391" s="689" t="s">
        <v>576</v>
      </c>
      <c r="B391" s="690">
        <v>23.0</v>
      </c>
    </row>
    <row r="392">
      <c r="A392" s="689" t="s">
        <v>136</v>
      </c>
      <c r="B392" s="690">
        <v>7.0</v>
      </c>
    </row>
    <row r="393">
      <c r="A393" s="689" t="s">
        <v>275</v>
      </c>
      <c r="B393" s="690">
        <v>45.0</v>
      </c>
    </row>
    <row r="394">
      <c r="A394" s="689" t="s">
        <v>579</v>
      </c>
      <c r="B394" s="690">
        <v>2.0</v>
      </c>
    </row>
    <row r="395">
      <c r="A395" s="689" t="s">
        <v>581</v>
      </c>
      <c r="B395" s="690">
        <v>0.0</v>
      </c>
    </row>
    <row r="396">
      <c r="A396" s="689" t="s">
        <v>582</v>
      </c>
      <c r="B396" s="690">
        <v>23.0</v>
      </c>
    </row>
    <row r="397">
      <c r="A397" s="689" t="s">
        <v>583</v>
      </c>
      <c r="B397" s="690">
        <v>19.0</v>
      </c>
    </row>
    <row r="398">
      <c r="A398" s="689" t="s">
        <v>584</v>
      </c>
      <c r="B398" s="690">
        <v>12.0</v>
      </c>
    </row>
    <row r="399">
      <c r="A399" s="689" t="s">
        <v>138</v>
      </c>
      <c r="B399" s="690">
        <v>7.0</v>
      </c>
    </row>
    <row r="400">
      <c r="A400" s="689" t="s">
        <v>460</v>
      </c>
      <c r="B400" s="690">
        <v>44.0</v>
      </c>
    </row>
    <row r="401">
      <c r="A401" s="689" t="s">
        <v>585</v>
      </c>
      <c r="B401" s="690">
        <v>24.0</v>
      </c>
    </row>
    <row r="402">
      <c r="A402" s="689" t="s">
        <v>586</v>
      </c>
      <c r="B402" s="690">
        <v>84.0</v>
      </c>
    </row>
    <row r="403">
      <c r="A403" s="689" t="s">
        <v>587</v>
      </c>
      <c r="B403" s="690">
        <v>1.0</v>
      </c>
    </row>
    <row r="404">
      <c r="A404" s="689" t="s">
        <v>588</v>
      </c>
      <c r="B404" s="690">
        <v>8.0</v>
      </c>
    </row>
    <row r="405">
      <c r="A405" s="689" t="s">
        <v>218</v>
      </c>
      <c r="B405" s="690">
        <v>7.0</v>
      </c>
    </row>
    <row r="406">
      <c r="A406" s="689" t="s">
        <v>589</v>
      </c>
      <c r="B406" s="690">
        <v>10.0</v>
      </c>
    </row>
    <row r="407">
      <c r="A407" s="689" t="s">
        <v>590</v>
      </c>
      <c r="B407" s="690">
        <v>0.0</v>
      </c>
    </row>
    <row r="408">
      <c r="A408" s="689" t="s">
        <v>140</v>
      </c>
      <c r="B408" s="690">
        <v>21.0</v>
      </c>
    </row>
    <row r="409">
      <c r="A409" s="689" t="s">
        <v>141</v>
      </c>
      <c r="B409" s="690">
        <v>10.0</v>
      </c>
    </row>
    <row r="410">
      <c r="A410" s="689" t="s">
        <v>591</v>
      </c>
      <c r="B410" s="690">
        <v>1.0</v>
      </c>
    </row>
    <row r="411">
      <c r="A411" s="689" t="s">
        <v>142</v>
      </c>
      <c r="B411" s="690">
        <v>21.0</v>
      </c>
    </row>
    <row r="412">
      <c r="A412" s="689" t="s">
        <v>593</v>
      </c>
      <c r="B412" s="690">
        <v>0.0</v>
      </c>
    </row>
    <row r="413">
      <c r="A413" s="689" t="s">
        <v>594</v>
      </c>
      <c r="B413" s="690">
        <v>5.0</v>
      </c>
    </row>
    <row r="414">
      <c r="A414" s="689" t="s">
        <v>143</v>
      </c>
      <c r="B414" s="690">
        <v>1.0</v>
      </c>
    </row>
    <row r="415">
      <c r="A415" s="689" t="s">
        <v>597</v>
      </c>
      <c r="B415" s="690">
        <v>5.0</v>
      </c>
    </row>
    <row r="416">
      <c r="A416" s="689" t="s">
        <v>288</v>
      </c>
      <c r="B416" s="690">
        <v>0.0</v>
      </c>
    </row>
    <row r="417">
      <c r="A417" s="689" t="s">
        <v>598</v>
      </c>
      <c r="B417" s="690">
        <v>8.0</v>
      </c>
    </row>
    <row r="418">
      <c r="A418" s="689" t="s">
        <v>144</v>
      </c>
      <c r="B418" s="690">
        <v>5.0</v>
      </c>
    </row>
    <row r="419">
      <c r="A419" s="689" t="s">
        <v>600</v>
      </c>
      <c r="B419" s="690">
        <v>2.0</v>
      </c>
    </row>
    <row r="420">
      <c r="A420" s="689" t="s">
        <v>601</v>
      </c>
      <c r="B420" s="690">
        <v>1.0</v>
      </c>
    </row>
    <row r="421">
      <c r="A421" s="689" t="s">
        <v>147</v>
      </c>
      <c r="B421" s="690">
        <v>9.0</v>
      </c>
    </row>
    <row r="422">
      <c r="A422" s="689" t="s">
        <v>508</v>
      </c>
      <c r="B422" s="690">
        <v>4.0</v>
      </c>
    </row>
    <row r="423">
      <c r="A423" s="689" t="s">
        <v>290</v>
      </c>
      <c r="B423" s="690">
        <v>0.0</v>
      </c>
    </row>
    <row r="424">
      <c r="A424" s="689" t="s">
        <v>602</v>
      </c>
      <c r="B424" s="690">
        <v>2.0</v>
      </c>
    </row>
    <row r="425">
      <c r="A425" s="689" t="s">
        <v>149</v>
      </c>
      <c r="B425" s="690">
        <v>7.0</v>
      </c>
    </row>
    <row r="426">
      <c r="A426" s="689" t="s">
        <v>604</v>
      </c>
      <c r="B426" s="690">
        <v>6.0</v>
      </c>
    </row>
    <row r="427">
      <c r="A427" s="689" t="s">
        <v>150</v>
      </c>
      <c r="B427" s="690">
        <v>4.0</v>
      </c>
    </row>
    <row r="428">
      <c r="A428" s="689" t="s">
        <v>151</v>
      </c>
      <c r="B428" s="690">
        <v>1.0</v>
      </c>
    </row>
    <row r="429">
      <c r="A429" s="689" t="s">
        <v>153</v>
      </c>
      <c r="B429" s="690">
        <v>0.0</v>
      </c>
    </row>
    <row r="430">
      <c r="A430" s="689" t="s">
        <v>605</v>
      </c>
      <c r="B430" s="690">
        <v>2.0</v>
      </c>
    </row>
    <row r="431">
      <c r="A431" s="689" t="s">
        <v>606</v>
      </c>
      <c r="B431" s="690">
        <v>0.0</v>
      </c>
    </row>
    <row r="432">
      <c r="A432" s="689" t="s">
        <v>609</v>
      </c>
      <c r="B432" s="690">
        <v>1.0</v>
      </c>
    </row>
    <row r="433">
      <c r="A433" s="689" t="s">
        <v>295</v>
      </c>
      <c r="B433" s="690">
        <v>0.0</v>
      </c>
    </row>
    <row r="434">
      <c r="A434" s="689" t="s">
        <v>610</v>
      </c>
      <c r="B434" s="690">
        <v>2.0</v>
      </c>
    </row>
    <row r="435">
      <c r="A435" s="689" t="s">
        <v>156</v>
      </c>
      <c r="B435" s="690">
        <v>4.0</v>
      </c>
    </row>
    <row r="436">
      <c r="A436" s="689" t="s">
        <v>157</v>
      </c>
      <c r="B436" s="690">
        <v>0.0</v>
      </c>
    </row>
    <row r="437">
      <c r="A437" s="689" t="s">
        <v>158</v>
      </c>
      <c r="B437" s="690">
        <v>7.0</v>
      </c>
    </row>
    <row r="438">
      <c r="A438" s="689" t="s">
        <v>611</v>
      </c>
      <c r="B438" s="690">
        <v>9.0</v>
      </c>
      <c r="C438" s="1">
        <v>10.0</v>
      </c>
    </row>
    <row r="439">
      <c r="A439" s="689" t="s">
        <v>613</v>
      </c>
      <c r="B439" s="690">
        <v>52.0</v>
      </c>
    </row>
    <row r="440">
      <c r="A440" s="689" t="s">
        <v>297</v>
      </c>
      <c r="B440" s="690">
        <v>16.0</v>
      </c>
    </row>
    <row r="441">
      <c r="A441" s="689" t="s">
        <v>614</v>
      </c>
      <c r="B441" s="690">
        <v>0.0</v>
      </c>
    </row>
    <row r="442">
      <c r="A442" s="689" t="s">
        <v>615</v>
      </c>
      <c r="B442" s="690">
        <v>4.0</v>
      </c>
    </row>
    <row r="443">
      <c r="A443" s="689" t="s">
        <v>616</v>
      </c>
      <c r="B443" s="690">
        <v>33.0</v>
      </c>
    </row>
    <row r="444">
      <c r="A444" s="689" t="s">
        <v>617</v>
      </c>
      <c r="B444" s="690">
        <v>5.0</v>
      </c>
    </row>
    <row r="445">
      <c r="A445" s="689" t="s">
        <v>160</v>
      </c>
      <c r="B445" s="690">
        <v>18.0</v>
      </c>
    </row>
    <row r="446">
      <c r="A446" s="689" t="s">
        <v>473</v>
      </c>
      <c r="B446" s="690">
        <v>0.0</v>
      </c>
    </row>
    <row r="447">
      <c r="A447" s="689" t="s">
        <v>162</v>
      </c>
      <c r="B447" s="690">
        <v>0.0</v>
      </c>
    </row>
    <row r="448">
      <c r="A448" s="689" t="s">
        <v>302</v>
      </c>
      <c r="B448" s="690">
        <v>21.0</v>
      </c>
    </row>
    <row r="449">
      <c r="A449" s="689" t="s">
        <v>305</v>
      </c>
      <c r="B449" s="690">
        <v>1.0</v>
      </c>
    </row>
    <row r="450">
      <c r="A450" s="689" t="s">
        <v>518</v>
      </c>
      <c r="B450" s="690">
        <v>6.0</v>
      </c>
    </row>
    <row r="451">
      <c r="A451" s="689" t="s">
        <v>618</v>
      </c>
      <c r="B451" s="690">
        <v>0.0</v>
      </c>
    </row>
    <row r="452">
      <c r="A452" s="689" t="s">
        <v>619</v>
      </c>
      <c r="B452" s="690">
        <v>11.0</v>
      </c>
      <c r="C452" s="1">
        <v>5.0</v>
      </c>
    </row>
    <row r="453">
      <c r="A453" s="689" t="s">
        <v>163</v>
      </c>
      <c r="B453" s="690">
        <v>5.0</v>
      </c>
    </row>
    <row r="454">
      <c r="A454" s="689" t="s">
        <v>621</v>
      </c>
      <c r="B454" s="690">
        <v>45.0</v>
      </c>
    </row>
    <row r="455">
      <c r="A455" s="689" t="s">
        <v>622</v>
      </c>
      <c r="B455" s="690">
        <v>18.0</v>
      </c>
    </row>
    <row r="456">
      <c r="A456" s="689" t="s">
        <v>623</v>
      </c>
      <c r="B456" s="690">
        <v>0.0</v>
      </c>
    </row>
    <row r="457">
      <c r="A457" s="689" t="s">
        <v>625</v>
      </c>
      <c r="B457" s="690">
        <v>4.0</v>
      </c>
    </row>
    <row r="458">
      <c r="A458" s="689" t="s">
        <v>524</v>
      </c>
      <c r="B458" s="690">
        <v>1.0</v>
      </c>
    </row>
    <row r="459">
      <c r="A459" s="689" t="s">
        <v>626</v>
      </c>
      <c r="B459" s="690">
        <v>10.0</v>
      </c>
    </row>
    <row r="460">
      <c r="A460" s="689" t="s">
        <v>628</v>
      </c>
      <c r="B460" s="690">
        <v>6.0</v>
      </c>
    </row>
    <row r="461">
      <c r="A461" s="689" t="s">
        <v>629</v>
      </c>
      <c r="B461" s="690">
        <v>0.0</v>
      </c>
    </row>
    <row r="462">
      <c r="A462" s="689" t="s">
        <v>169</v>
      </c>
      <c r="B462" s="690">
        <v>15.0</v>
      </c>
    </row>
    <row r="463">
      <c r="A463" s="689" t="s">
        <v>630</v>
      </c>
      <c r="B463" s="690">
        <v>0.0</v>
      </c>
    </row>
    <row r="464">
      <c r="A464" s="689" t="s">
        <v>631</v>
      </c>
      <c r="B464" s="690">
        <v>0.0</v>
      </c>
    </row>
    <row r="465">
      <c r="A465" s="689" t="s">
        <v>632</v>
      </c>
      <c r="B465" s="690">
        <v>1.0</v>
      </c>
    </row>
    <row r="466">
      <c r="A466" s="689" t="s">
        <v>526</v>
      </c>
      <c r="B466" s="690">
        <v>1.0</v>
      </c>
    </row>
    <row r="467">
      <c r="A467" s="689" t="s">
        <v>633</v>
      </c>
      <c r="B467" s="690">
        <v>2.0</v>
      </c>
    </row>
    <row r="468">
      <c r="A468" s="689" t="s">
        <v>635</v>
      </c>
      <c r="B468" s="690">
        <v>1.0</v>
      </c>
    </row>
    <row r="469">
      <c r="A469" s="689" t="s">
        <v>636</v>
      </c>
      <c r="B469" s="690">
        <v>11.0</v>
      </c>
    </row>
    <row r="470">
      <c r="A470" s="689" t="s">
        <v>637</v>
      </c>
      <c r="B470" s="690">
        <v>14.0</v>
      </c>
    </row>
    <row r="471">
      <c r="A471" s="689" t="s">
        <v>638</v>
      </c>
      <c r="B471" s="690">
        <v>3.0</v>
      </c>
    </row>
    <row r="472">
      <c r="A472" s="689" t="s">
        <v>639</v>
      </c>
      <c r="B472" s="690">
        <v>4.0</v>
      </c>
      <c r="C472" s="1">
        <v>0.0</v>
      </c>
    </row>
    <row r="473">
      <c r="A473" s="689" t="s">
        <v>640</v>
      </c>
      <c r="B473" s="690">
        <v>0.0</v>
      </c>
    </row>
    <row r="474">
      <c r="A474" s="689" t="s">
        <v>641</v>
      </c>
      <c r="B474" s="690">
        <v>11.0</v>
      </c>
    </row>
    <row r="475">
      <c r="A475" s="689" t="s">
        <v>642</v>
      </c>
      <c r="B475" s="690">
        <v>0.0</v>
      </c>
    </row>
    <row r="476">
      <c r="A476" s="689" t="s">
        <v>643</v>
      </c>
      <c r="B476" s="690">
        <v>6.0</v>
      </c>
    </row>
    <row r="477">
      <c r="A477" s="689" t="s">
        <v>316</v>
      </c>
      <c r="B477" s="690">
        <v>6.0</v>
      </c>
      <c r="C477" s="1">
        <v>7.0</v>
      </c>
    </row>
    <row r="478">
      <c r="A478" s="689" t="s">
        <v>644</v>
      </c>
      <c r="B478" s="690">
        <v>4.0</v>
      </c>
    </row>
    <row r="479">
      <c r="A479" s="689" t="s">
        <v>175</v>
      </c>
      <c r="B479" s="690">
        <v>11.0</v>
      </c>
    </row>
    <row r="480">
      <c r="A480" s="689" t="s">
        <v>530</v>
      </c>
      <c r="B480" s="690">
        <v>17.0</v>
      </c>
    </row>
    <row r="481">
      <c r="A481" s="689" t="s">
        <v>646</v>
      </c>
      <c r="B481" s="690">
        <v>3.0</v>
      </c>
    </row>
    <row r="482">
      <c r="A482" s="689" t="s">
        <v>647</v>
      </c>
      <c r="B482" s="690">
        <v>1.0</v>
      </c>
    </row>
    <row r="483">
      <c r="A483" s="689" t="s">
        <v>119</v>
      </c>
      <c r="B483" s="690">
        <v>0.0</v>
      </c>
    </row>
    <row r="484">
      <c r="A484" s="689" t="s">
        <v>273</v>
      </c>
      <c r="B484" s="690">
        <v>3.0</v>
      </c>
    </row>
    <row r="485">
      <c r="A485" s="689" t="s">
        <v>648</v>
      </c>
      <c r="B485" s="690">
        <v>1.0</v>
      </c>
    </row>
    <row r="486">
      <c r="A486" s="689" t="s">
        <v>649</v>
      </c>
      <c r="B486" s="690">
        <v>0.0</v>
      </c>
    </row>
    <row r="487">
      <c r="A487" s="689" t="s">
        <v>66</v>
      </c>
      <c r="B487" s="690">
        <v>9.0</v>
      </c>
    </row>
    <row r="488">
      <c r="A488" s="689" t="s">
        <v>651</v>
      </c>
      <c r="B488" s="690">
        <v>28.0</v>
      </c>
      <c r="C488" s="1">
        <v>20.0</v>
      </c>
    </row>
    <row r="489">
      <c r="A489" s="689" t="s">
        <v>176</v>
      </c>
      <c r="B489" s="690">
        <v>2.0</v>
      </c>
    </row>
    <row r="490">
      <c r="A490" s="689" t="s">
        <v>653</v>
      </c>
      <c r="B490" s="690">
        <v>0.0</v>
      </c>
    </row>
    <row r="491">
      <c r="A491" s="689" t="s">
        <v>654</v>
      </c>
      <c r="B491" s="690">
        <v>10.0</v>
      </c>
    </row>
    <row r="492">
      <c r="A492" s="689" t="s">
        <v>655</v>
      </c>
      <c r="B492" s="690">
        <v>7.0</v>
      </c>
    </row>
    <row r="493">
      <c r="A493" s="128"/>
      <c r="B493" s="128"/>
    </row>
    <row r="494">
      <c r="A494" s="689" t="s">
        <v>923</v>
      </c>
      <c r="B494" s="697">
        <f>SUM(B334:B492)</f>
        <v>1526</v>
      </c>
    </row>
    <row r="498">
      <c r="A498" s="368" t="s">
        <v>2484</v>
      </c>
      <c r="B498" s="369"/>
      <c r="C498" s="369"/>
      <c r="D498" s="369"/>
      <c r="E498" s="369"/>
      <c r="F498" s="601" t="s">
        <v>765</v>
      </c>
      <c r="G498" s="677" t="s">
        <v>2460</v>
      </c>
      <c r="H498" s="369"/>
      <c r="I498" s="369"/>
      <c r="J498" s="369"/>
      <c r="K498" s="601" t="s">
        <v>767</v>
      </c>
      <c r="L498" s="602">
        <v>45453.0</v>
      </c>
      <c r="M498" s="601" t="s">
        <v>769</v>
      </c>
      <c r="N498" s="602">
        <v>45291.0</v>
      </c>
      <c r="O498" s="373"/>
    </row>
    <row r="500">
      <c r="A500" s="687"/>
      <c r="B500" s="700" t="s">
        <v>2485</v>
      </c>
      <c r="C500" s="700" t="s">
        <v>2486</v>
      </c>
      <c r="E500" s="1" t="s">
        <v>2487</v>
      </c>
    </row>
    <row r="501">
      <c r="A501" s="689" t="s">
        <v>532</v>
      </c>
      <c r="B501" s="701">
        <v>26.0</v>
      </c>
      <c r="C501" s="701">
        <v>11.0</v>
      </c>
    </row>
    <row r="502">
      <c r="A502" s="689" t="s">
        <v>533</v>
      </c>
      <c r="B502" s="701">
        <v>15.0</v>
      </c>
      <c r="C502" s="701">
        <v>7.0</v>
      </c>
    </row>
    <row r="503">
      <c r="A503" s="689" t="s">
        <v>534</v>
      </c>
      <c r="B503" s="701">
        <v>9.0</v>
      </c>
      <c r="C503" s="701">
        <v>12.0</v>
      </c>
    </row>
    <row r="504">
      <c r="A504" s="689" t="s">
        <v>481</v>
      </c>
      <c r="B504" s="701">
        <v>2.0</v>
      </c>
      <c r="C504" s="701">
        <v>1.0</v>
      </c>
    </row>
    <row r="505">
      <c r="A505" s="689" t="s">
        <v>58</v>
      </c>
      <c r="B505" s="701">
        <v>51.0</v>
      </c>
      <c r="C505" s="701">
        <v>18.0</v>
      </c>
    </row>
    <row r="506">
      <c r="A506" s="689" t="s">
        <v>535</v>
      </c>
      <c r="B506" s="701">
        <v>35.0</v>
      </c>
      <c r="C506" s="701">
        <v>9.0</v>
      </c>
    </row>
    <row r="507">
      <c r="A507" s="689" t="s">
        <v>537</v>
      </c>
      <c r="B507" s="701">
        <v>96.0</v>
      </c>
      <c r="C507" s="701">
        <v>10.0</v>
      </c>
    </row>
    <row r="508">
      <c r="A508" s="689" t="s">
        <v>538</v>
      </c>
      <c r="B508" s="701">
        <v>204.0</v>
      </c>
      <c r="C508" s="701">
        <v>35.0</v>
      </c>
    </row>
    <row r="509">
      <c r="A509" s="689" t="s">
        <v>539</v>
      </c>
      <c r="B509" s="701">
        <v>41.0</v>
      </c>
      <c r="C509" s="701">
        <v>6.0</v>
      </c>
    </row>
    <row r="510">
      <c r="A510" s="689" t="s">
        <v>540</v>
      </c>
      <c r="B510" s="701">
        <v>37.0</v>
      </c>
      <c r="C510" s="701">
        <v>10.0</v>
      </c>
    </row>
    <row r="511">
      <c r="A511" s="689" t="s">
        <v>68</v>
      </c>
      <c r="B511" s="701">
        <v>128.0</v>
      </c>
      <c r="C511" s="701">
        <v>68.0</v>
      </c>
    </row>
    <row r="512">
      <c r="A512" s="689" t="s">
        <v>541</v>
      </c>
      <c r="B512" s="701">
        <v>9.0</v>
      </c>
      <c r="C512" s="701">
        <v>6.0</v>
      </c>
    </row>
    <row r="513">
      <c r="A513" s="689" t="s">
        <v>542</v>
      </c>
      <c r="B513" s="701">
        <v>43.0</v>
      </c>
      <c r="C513" s="701">
        <v>11.0</v>
      </c>
    </row>
    <row r="514">
      <c r="A514" s="689" t="s">
        <v>543</v>
      </c>
      <c r="B514" s="701">
        <v>9.0</v>
      </c>
      <c r="C514" s="701">
        <v>5.0</v>
      </c>
    </row>
    <row r="515">
      <c r="A515" s="689" t="s">
        <v>544</v>
      </c>
      <c r="B515" s="701">
        <v>79.0</v>
      </c>
      <c r="C515" s="701">
        <v>8.0</v>
      </c>
    </row>
    <row r="516">
      <c r="A516" s="689" t="s">
        <v>545</v>
      </c>
      <c r="B516" s="701">
        <v>84.0</v>
      </c>
      <c r="C516" s="701">
        <v>7.0</v>
      </c>
    </row>
    <row r="517">
      <c r="A517" s="689" t="s">
        <v>546</v>
      </c>
      <c r="B517" s="701">
        <v>37.0</v>
      </c>
      <c r="C517" s="701">
        <v>16.0</v>
      </c>
    </row>
    <row r="518">
      <c r="A518" s="689" t="s">
        <v>547</v>
      </c>
      <c r="B518" s="701">
        <v>26.0</v>
      </c>
      <c r="C518" s="701">
        <v>23.0</v>
      </c>
    </row>
    <row r="519">
      <c r="A519" s="689" t="s">
        <v>93</v>
      </c>
      <c r="B519" s="701">
        <v>3.0</v>
      </c>
      <c r="C519" s="690"/>
    </row>
    <row r="520">
      <c r="A520" s="689" t="s">
        <v>548</v>
      </c>
      <c r="B520" s="701">
        <v>76.0</v>
      </c>
      <c r="C520" s="701">
        <v>13.0</v>
      </c>
    </row>
    <row r="521">
      <c r="A521" s="689" t="s">
        <v>549</v>
      </c>
      <c r="B521" s="701">
        <v>10.0</v>
      </c>
      <c r="C521" s="701">
        <v>1.0</v>
      </c>
    </row>
    <row r="522">
      <c r="A522" s="689" t="s">
        <v>248</v>
      </c>
      <c r="B522" s="701">
        <v>186.0</v>
      </c>
      <c r="C522" s="701">
        <v>36.0</v>
      </c>
    </row>
    <row r="523">
      <c r="A523" s="689" t="s">
        <v>550</v>
      </c>
      <c r="B523" s="701">
        <v>95.0</v>
      </c>
      <c r="C523" s="701">
        <v>14.0</v>
      </c>
    </row>
    <row r="524">
      <c r="A524" s="689" t="s">
        <v>551</v>
      </c>
      <c r="B524" s="701">
        <v>14.0</v>
      </c>
      <c r="C524" s="701">
        <v>3.0</v>
      </c>
    </row>
    <row r="525">
      <c r="A525" s="689" t="s">
        <v>552</v>
      </c>
      <c r="B525" s="690"/>
      <c r="C525" s="690"/>
    </row>
    <row r="526">
      <c r="A526" s="689" t="s">
        <v>553</v>
      </c>
      <c r="B526" s="690"/>
      <c r="C526" s="690"/>
    </row>
    <row r="527">
      <c r="A527" s="689" t="s">
        <v>554</v>
      </c>
      <c r="B527" s="690"/>
      <c r="C527" s="690"/>
    </row>
    <row r="528">
      <c r="A528" s="689" t="s">
        <v>101</v>
      </c>
      <c r="B528" s="690"/>
      <c r="C528" s="690"/>
    </row>
    <row r="529">
      <c r="A529" s="689" t="s">
        <v>110</v>
      </c>
      <c r="B529" s="690"/>
      <c r="C529" s="690"/>
    </row>
    <row r="530">
      <c r="A530" s="689" t="s">
        <v>112</v>
      </c>
      <c r="B530" s="690"/>
      <c r="C530" s="690"/>
    </row>
    <row r="531">
      <c r="A531" s="689" t="s">
        <v>555</v>
      </c>
      <c r="B531" s="690"/>
      <c r="C531" s="690"/>
    </row>
    <row r="532">
      <c r="A532" s="689" t="s">
        <v>556</v>
      </c>
      <c r="B532" s="690"/>
      <c r="C532" s="690"/>
    </row>
    <row r="533">
      <c r="A533" s="689" t="s">
        <v>536</v>
      </c>
      <c r="B533" s="690"/>
      <c r="C533" s="690"/>
    </row>
    <row r="534">
      <c r="A534" s="689" t="s">
        <v>118</v>
      </c>
      <c r="B534" s="690"/>
      <c r="C534" s="690"/>
    </row>
    <row r="535">
      <c r="A535" s="689" t="s">
        <v>557</v>
      </c>
      <c r="B535" s="690"/>
      <c r="C535" s="690"/>
    </row>
    <row r="536">
      <c r="A536" s="689" t="s">
        <v>258</v>
      </c>
      <c r="B536" s="690"/>
      <c r="C536" s="690"/>
    </row>
    <row r="537">
      <c r="A537" s="689" t="s">
        <v>202</v>
      </c>
      <c r="B537" s="690"/>
      <c r="C537" s="690"/>
    </row>
    <row r="538">
      <c r="A538" s="689" t="s">
        <v>559</v>
      </c>
      <c r="B538" s="690"/>
      <c r="C538" s="690"/>
    </row>
    <row r="539">
      <c r="A539" s="689" t="s">
        <v>263</v>
      </c>
      <c r="B539" s="690"/>
      <c r="C539" s="690"/>
    </row>
    <row r="540">
      <c r="A540" s="689" t="s">
        <v>560</v>
      </c>
      <c r="B540" s="690"/>
      <c r="C540" s="690"/>
    </row>
    <row r="541">
      <c r="A541" s="689" t="s">
        <v>561</v>
      </c>
      <c r="B541" s="690"/>
      <c r="C541" s="690"/>
    </row>
    <row r="542">
      <c r="A542" s="689" t="s">
        <v>562</v>
      </c>
      <c r="B542" s="690"/>
      <c r="C542" s="690"/>
    </row>
    <row r="543">
      <c r="A543" s="689" t="s">
        <v>131</v>
      </c>
      <c r="B543" s="690"/>
      <c r="C543" s="690"/>
    </row>
    <row r="544">
      <c r="A544" s="689" t="s">
        <v>563</v>
      </c>
      <c r="B544" s="690"/>
      <c r="C544" s="690"/>
    </row>
    <row r="545">
      <c r="A545" s="689" t="s">
        <v>564</v>
      </c>
      <c r="B545" s="690"/>
      <c r="C545" s="690"/>
    </row>
    <row r="546">
      <c r="A546" s="689" t="s">
        <v>565</v>
      </c>
      <c r="B546" s="690"/>
      <c r="C546" s="690"/>
    </row>
    <row r="547">
      <c r="A547" s="689" t="s">
        <v>566</v>
      </c>
      <c r="B547" s="690"/>
      <c r="C547" s="690"/>
    </row>
    <row r="548">
      <c r="A548" s="689" t="s">
        <v>412</v>
      </c>
      <c r="B548" s="690"/>
      <c r="C548" s="690"/>
    </row>
    <row r="549">
      <c r="A549" s="689" t="s">
        <v>567</v>
      </c>
      <c r="B549" s="690"/>
      <c r="C549" s="690"/>
    </row>
    <row r="550">
      <c r="A550" s="689" t="s">
        <v>568</v>
      </c>
      <c r="B550" s="690"/>
      <c r="C550" s="690"/>
    </row>
    <row r="551">
      <c r="A551" s="689" t="s">
        <v>569</v>
      </c>
      <c r="B551" s="690"/>
      <c r="C551" s="690"/>
    </row>
    <row r="552">
      <c r="A552" s="689" t="s">
        <v>414</v>
      </c>
      <c r="B552" s="690"/>
      <c r="C552" s="690"/>
    </row>
    <row r="553">
      <c r="A553" s="689" t="s">
        <v>571</v>
      </c>
      <c r="B553" s="690"/>
      <c r="C553" s="690"/>
    </row>
    <row r="554">
      <c r="A554" s="689" t="s">
        <v>572</v>
      </c>
      <c r="B554" s="690"/>
      <c r="C554" s="690"/>
    </row>
    <row r="555">
      <c r="A555" s="689" t="s">
        <v>574</v>
      </c>
      <c r="B555" s="690"/>
      <c r="C555" s="690"/>
    </row>
    <row r="556">
      <c r="A556" s="689" t="s">
        <v>135</v>
      </c>
      <c r="B556" s="690"/>
      <c r="C556" s="690"/>
    </row>
    <row r="557">
      <c r="A557" s="689" t="s">
        <v>575</v>
      </c>
      <c r="B557" s="690"/>
      <c r="C557" s="690"/>
    </row>
    <row r="558">
      <c r="A558" s="689" t="s">
        <v>576</v>
      </c>
      <c r="B558" s="690"/>
      <c r="C558" s="690"/>
    </row>
    <row r="559">
      <c r="A559" s="689" t="s">
        <v>136</v>
      </c>
      <c r="B559" s="690"/>
      <c r="C559" s="690"/>
    </row>
    <row r="560">
      <c r="A560" s="689" t="s">
        <v>275</v>
      </c>
      <c r="B560" s="690"/>
      <c r="C560" s="690"/>
    </row>
    <row r="561">
      <c r="A561" s="689" t="s">
        <v>579</v>
      </c>
      <c r="B561" s="690"/>
      <c r="C561" s="690"/>
    </row>
    <row r="562">
      <c r="A562" s="689" t="s">
        <v>581</v>
      </c>
      <c r="B562" s="690"/>
      <c r="C562" s="690"/>
    </row>
    <row r="563">
      <c r="A563" s="689" t="s">
        <v>582</v>
      </c>
      <c r="B563" s="690"/>
      <c r="C563" s="690"/>
    </row>
    <row r="564">
      <c r="A564" s="689" t="s">
        <v>583</v>
      </c>
      <c r="B564" s="690"/>
      <c r="C564" s="690"/>
    </row>
    <row r="565">
      <c r="A565" s="689" t="s">
        <v>584</v>
      </c>
      <c r="B565" s="690"/>
      <c r="C565" s="690"/>
    </row>
    <row r="566">
      <c r="A566" s="689" t="s">
        <v>138</v>
      </c>
      <c r="B566" s="690"/>
      <c r="C566" s="690"/>
    </row>
    <row r="567">
      <c r="A567" s="689" t="s">
        <v>460</v>
      </c>
      <c r="B567" s="690"/>
      <c r="C567" s="690"/>
    </row>
    <row r="568">
      <c r="A568" s="689" t="s">
        <v>585</v>
      </c>
      <c r="B568" s="690"/>
      <c r="C568" s="690"/>
    </row>
    <row r="569">
      <c r="A569" s="689" t="s">
        <v>586</v>
      </c>
      <c r="B569" s="690"/>
      <c r="C569" s="690"/>
    </row>
    <row r="570">
      <c r="A570" s="689" t="s">
        <v>587</v>
      </c>
      <c r="B570" s="690"/>
      <c r="C570" s="690"/>
    </row>
    <row r="571">
      <c r="A571" s="689" t="s">
        <v>588</v>
      </c>
      <c r="B571" s="690"/>
      <c r="C571" s="690"/>
    </row>
    <row r="572">
      <c r="A572" s="689" t="s">
        <v>218</v>
      </c>
      <c r="B572" s="690"/>
      <c r="C572" s="690"/>
    </row>
    <row r="573">
      <c r="A573" s="689" t="s">
        <v>589</v>
      </c>
      <c r="B573" s="690"/>
      <c r="C573" s="690"/>
    </row>
    <row r="574">
      <c r="A574" s="689" t="s">
        <v>590</v>
      </c>
      <c r="B574" s="690"/>
      <c r="C574" s="690"/>
    </row>
    <row r="575">
      <c r="A575" s="689" t="s">
        <v>140</v>
      </c>
      <c r="B575" s="690"/>
      <c r="C575" s="690"/>
    </row>
    <row r="576">
      <c r="A576" s="689" t="s">
        <v>141</v>
      </c>
      <c r="B576" s="690"/>
      <c r="C576" s="690"/>
    </row>
    <row r="577">
      <c r="A577" s="689" t="s">
        <v>591</v>
      </c>
      <c r="B577" s="690"/>
      <c r="C577" s="690"/>
    </row>
    <row r="578">
      <c r="A578" s="689" t="s">
        <v>142</v>
      </c>
      <c r="B578" s="690"/>
      <c r="C578" s="690"/>
    </row>
    <row r="579">
      <c r="A579" s="689" t="s">
        <v>593</v>
      </c>
      <c r="B579" s="690"/>
      <c r="C579" s="690"/>
    </row>
    <row r="580">
      <c r="A580" s="689" t="s">
        <v>594</v>
      </c>
      <c r="B580" s="690"/>
      <c r="C580" s="690"/>
    </row>
    <row r="581">
      <c r="A581" s="689" t="s">
        <v>143</v>
      </c>
      <c r="B581" s="690"/>
      <c r="C581" s="690"/>
    </row>
    <row r="582">
      <c r="A582" s="689" t="s">
        <v>597</v>
      </c>
      <c r="B582" s="690"/>
      <c r="C582" s="690"/>
    </row>
    <row r="583">
      <c r="A583" s="689" t="s">
        <v>288</v>
      </c>
      <c r="B583" s="690"/>
      <c r="C583" s="690"/>
    </row>
    <row r="584">
      <c r="A584" s="689" t="s">
        <v>598</v>
      </c>
      <c r="B584" s="690"/>
      <c r="C584" s="690"/>
    </row>
    <row r="585">
      <c r="A585" s="689" t="s">
        <v>144</v>
      </c>
      <c r="B585" s="690"/>
      <c r="C585" s="690"/>
    </row>
    <row r="586">
      <c r="A586" s="689" t="s">
        <v>600</v>
      </c>
      <c r="B586" s="690"/>
      <c r="C586" s="690"/>
    </row>
    <row r="587">
      <c r="A587" s="689" t="s">
        <v>601</v>
      </c>
      <c r="B587" s="690"/>
      <c r="C587" s="690"/>
    </row>
    <row r="588">
      <c r="A588" s="689" t="s">
        <v>147</v>
      </c>
      <c r="B588" s="690"/>
      <c r="C588" s="690"/>
    </row>
    <row r="589">
      <c r="A589" s="689" t="s">
        <v>508</v>
      </c>
      <c r="B589" s="690"/>
      <c r="C589" s="690"/>
    </row>
    <row r="590">
      <c r="A590" s="689" t="s">
        <v>290</v>
      </c>
      <c r="B590" s="690"/>
      <c r="C590" s="690"/>
    </row>
    <row r="591">
      <c r="A591" s="689" t="s">
        <v>602</v>
      </c>
      <c r="B591" s="690"/>
      <c r="C591" s="690"/>
    </row>
    <row r="592">
      <c r="A592" s="689" t="s">
        <v>149</v>
      </c>
      <c r="B592" s="690"/>
      <c r="C592" s="690"/>
    </row>
    <row r="593">
      <c r="A593" s="689" t="s">
        <v>604</v>
      </c>
      <c r="B593" s="690"/>
      <c r="C593" s="690"/>
    </row>
    <row r="594">
      <c r="A594" s="689" t="s">
        <v>150</v>
      </c>
      <c r="B594" s="690"/>
      <c r="C594" s="690"/>
    </row>
    <row r="595">
      <c r="A595" s="689" t="s">
        <v>151</v>
      </c>
      <c r="B595" s="690"/>
      <c r="C595" s="690"/>
    </row>
    <row r="596">
      <c r="A596" s="689" t="s">
        <v>153</v>
      </c>
      <c r="B596" s="690"/>
      <c r="C596" s="690"/>
    </row>
    <row r="597">
      <c r="A597" s="689" t="s">
        <v>605</v>
      </c>
      <c r="B597" s="690"/>
      <c r="C597" s="690"/>
    </row>
    <row r="598">
      <c r="A598" s="689" t="s">
        <v>606</v>
      </c>
      <c r="B598" s="690"/>
      <c r="C598" s="690"/>
    </row>
    <row r="599">
      <c r="A599" s="689" t="s">
        <v>609</v>
      </c>
      <c r="B599" s="690"/>
      <c r="C599" s="690"/>
    </row>
    <row r="600">
      <c r="A600" s="689" t="s">
        <v>295</v>
      </c>
      <c r="B600" s="690"/>
      <c r="C600" s="690"/>
    </row>
    <row r="601">
      <c r="A601" s="689" t="s">
        <v>610</v>
      </c>
      <c r="B601" s="690"/>
      <c r="C601" s="690"/>
    </row>
    <row r="602">
      <c r="A602" s="689" t="s">
        <v>156</v>
      </c>
      <c r="B602" s="690"/>
      <c r="C602" s="690"/>
    </row>
    <row r="603">
      <c r="A603" s="689" t="s">
        <v>157</v>
      </c>
      <c r="B603" s="690"/>
      <c r="C603" s="690"/>
    </row>
    <row r="604">
      <c r="A604" s="689" t="s">
        <v>158</v>
      </c>
      <c r="B604" s="690"/>
      <c r="C604" s="690"/>
    </row>
    <row r="605">
      <c r="A605" s="689" t="s">
        <v>611</v>
      </c>
      <c r="B605" s="690"/>
      <c r="C605" s="690"/>
    </row>
    <row r="606">
      <c r="A606" s="689" t="s">
        <v>613</v>
      </c>
      <c r="B606" s="690"/>
      <c r="C606" s="690"/>
    </row>
    <row r="607">
      <c r="A607" s="689" t="s">
        <v>297</v>
      </c>
      <c r="B607" s="690"/>
      <c r="C607" s="690"/>
    </row>
    <row r="608">
      <c r="A608" s="689" t="s">
        <v>614</v>
      </c>
      <c r="B608" s="690"/>
      <c r="C608" s="690"/>
    </row>
    <row r="609">
      <c r="A609" s="689" t="s">
        <v>615</v>
      </c>
      <c r="B609" s="690"/>
      <c r="C609" s="690"/>
    </row>
    <row r="610">
      <c r="A610" s="689" t="s">
        <v>616</v>
      </c>
      <c r="B610" s="690"/>
      <c r="C610" s="690"/>
    </row>
    <row r="611">
      <c r="A611" s="689" t="s">
        <v>617</v>
      </c>
      <c r="B611" s="690"/>
      <c r="C611" s="690"/>
    </row>
    <row r="612">
      <c r="A612" s="689" t="s">
        <v>160</v>
      </c>
      <c r="B612" s="690"/>
      <c r="C612" s="690"/>
    </row>
    <row r="613">
      <c r="A613" s="689" t="s">
        <v>473</v>
      </c>
      <c r="B613" s="690"/>
      <c r="C613" s="690"/>
    </row>
    <row r="614">
      <c r="A614" s="689" t="s">
        <v>162</v>
      </c>
      <c r="B614" s="690"/>
      <c r="C614" s="690"/>
    </row>
    <row r="615">
      <c r="A615" s="689" t="s">
        <v>302</v>
      </c>
      <c r="B615" s="690"/>
      <c r="C615" s="690"/>
    </row>
    <row r="616">
      <c r="A616" s="689" t="s">
        <v>305</v>
      </c>
      <c r="B616" s="690"/>
      <c r="C616" s="690"/>
    </row>
    <row r="617">
      <c r="A617" s="689" t="s">
        <v>518</v>
      </c>
      <c r="B617" s="690"/>
      <c r="C617" s="690"/>
    </row>
    <row r="618">
      <c r="A618" s="689" t="s">
        <v>618</v>
      </c>
      <c r="B618" s="690"/>
      <c r="C618" s="690"/>
    </row>
    <row r="619">
      <c r="A619" s="689" t="s">
        <v>619</v>
      </c>
      <c r="B619" s="690"/>
      <c r="C619" s="690"/>
    </row>
    <row r="620">
      <c r="A620" s="689" t="s">
        <v>163</v>
      </c>
      <c r="B620" s="690"/>
      <c r="C620" s="690"/>
    </row>
    <row r="621">
      <c r="A621" s="689" t="s">
        <v>621</v>
      </c>
      <c r="B621" s="690"/>
      <c r="C621" s="690"/>
    </row>
    <row r="622">
      <c r="A622" s="689" t="s">
        <v>622</v>
      </c>
      <c r="B622" s="690"/>
      <c r="C622" s="690"/>
    </row>
    <row r="623">
      <c r="A623" s="689" t="s">
        <v>623</v>
      </c>
      <c r="B623" s="690"/>
      <c r="C623" s="690"/>
    </row>
    <row r="624">
      <c r="A624" s="689" t="s">
        <v>625</v>
      </c>
      <c r="B624" s="690"/>
      <c r="C624" s="690"/>
    </row>
    <row r="625">
      <c r="A625" s="689" t="s">
        <v>524</v>
      </c>
      <c r="B625" s="690"/>
      <c r="C625" s="690"/>
    </row>
    <row r="626">
      <c r="A626" s="689" t="s">
        <v>626</v>
      </c>
      <c r="B626" s="690"/>
      <c r="C626" s="690"/>
    </row>
    <row r="627">
      <c r="A627" s="689" t="s">
        <v>628</v>
      </c>
      <c r="B627" s="690"/>
      <c r="C627" s="690"/>
    </row>
    <row r="628">
      <c r="A628" s="689" t="s">
        <v>629</v>
      </c>
      <c r="B628" s="690"/>
      <c r="C628" s="690"/>
    </row>
    <row r="629">
      <c r="A629" s="689" t="s">
        <v>169</v>
      </c>
      <c r="B629" s="690"/>
      <c r="C629" s="690"/>
    </row>
    <row r="630">
      <c r="A630" s="689" t="s">
        <v>630</v>
      </c>
      <c r="B630" s="690"/>
      <c r="C630" s="690"/>
    </row>
    <row r="631">
      <c r="A631" s="689" t="s">
        <v>631</v>
      </c>
      <c r="B631" s="690"/>
      <c r="C631" s="690"/>
    </row>
    <row r="632">
      <c r="A632" s="689" t="s">
        <v>632</v>
      </c>
      <c r="B632" s="690"/>
      <c r="C632" s="690"/>
    </row>
    <row r="633">
      <c r="A633" s="689" t="s">
        <v>526</v>
      </c>
      <c r="B633" s="690"/>
      <c r="C633" s="690"/>
    </row>
    <row r="634">
      <c r="A634" s="689" t="s">
        <v>633</v>
      </c>
      <c r="B634" s="690"/>
      <c r="C634" s="690"/>
    </row>
    <row r="635">
      <c r="A635" s="689" t="s">
        <v>635</v>
      </c>
      <c r="B635" s="690"/>
      <c r="C635" s="690"/>
    </row>
    <row r="636">
      <c r="A636" s="689" t="s">
        <v>636</v>
      </c>
      <c r="B636" s="690"/>
      <c r="C636" s="690"/>
    </row>
    <row r="637">
      <c r="A637" s="689" t="s">
        <v>637</v>
      </c>
      <c r="B637" s="690"/>
      <c r="C637" s="690"/>
    </row>
    <row r="638">
      <c r="A638" s="689" t="s">
        <v>638</v>
      </c>
      <c r="B638" s="690"/>
      <c r="C638" s="690"/>
    </row>
    <row r="639">
      <c r="A639" s="689" t="s">
        <v>639</v>
      </c>
      <c r="B639" s="690"/>
      <c r="C639" s="690"/>
    </row>
    <row r="640">
      <c r="A640" s="689" t="s">
        <v>640</v>
      </c>
      <c r="B640" s="690"/>
      <c r="C640" s="690"/>
    </row>
    <row r="641">
      <c r="A641" s="689" t="s">
        <v>641</v>
      </c>
      <c r="B641" s="690"/>
      <c r="C641" s="690"/>
    </row>
    <row r="642">
      <c r="A642" s="689" t="s">
        <v>642</v>
      </c>
      <c r="B642" s="690"/>
      <c r="C642" s="690"/>
    </row>
    <row r="643">
      <c r="A643" s="689" t="s">
        <v>643</v>
      </c>
      <c r="B643" s="690"/>
      <c r="C643" s="690"/>
    </row>
    <row r="644">
      <c r="A644" s="689" t="s">
        <v>316</v>
      </c>
      <c r="B644" s="690"/>
      <c r="C644" s="690"/>
    </row>
    <row r="645">
      <c r="A645" s="689" t="s">
        <v>644</v>
      </c>
      <c r="B645" s="690"/>
      <c r="C645" s="690"/>
    </row>
    <row r="646">
      <c r="A646" s="689" t="s">
        <v>175</v>
      </c>
      <c r="B646" s="690"/>
      <c r="C646" s="690"/>
    </row>
    <row r="647">
      <c r="A647" s="689" t="s">
        <v>530</v>
      </c>
      <c r="B647" s="690"/>
      <c r="C647" s="690"/>
    </row>
    <row r="648">
      <c r="A648" s="689" t="s">
        <v>646</v>
      </c>
      <c r="B648" s="690"/>
      <c r="C648" s="690"/>
    </row>
    <row r="649">
      <c r="A649" s="689" t="s">
        <v>647</v>
      </c>
      <c r="B649" s="690"/>
      <c r="C649" s="690"/>
    </row>
    <row r="650">
      <c r="A650" s="689" t="s">
        <v>119</v>
      </c>
      <c r="B650" s="690"/>
      <c r="C650" s="690"/>
    </row>
    <row r="651">
      <c r="A651" s="689" t="s">
        <v>273</v>
      </c>
      <c r="B651" s="690"/>
      <c r="C651" s="690"/>
    </row>
    <row r="652">
      <c r="A652" s="689" t="s">
        <v>648</v>
      </c>
      <c r="B652" s="690"/>
      <c r="C652" s="690"/>
    </row>
    <row r="653">
      <c r="A653" s="689" t="s">
        <v>649</v>
      </c>
      <c r="B653" s="690"/>
      <c r="C653" s="690"/>
    </row>
    <row r="654">
      <c r="A654" s="689" t="s">
        <v>66</v>
      </c>
      <c r="B654" s="690"/>
      <c r="C654" s="690"/>
    </row>
    <row r="655">
      <c r="A655" s="689" t="s">
        <v>651</v>
      </c>
      <c r="B655" s="690"/>
      <c r="C655" s="690"/>
    </row>
    <row r="656">
      <c r="A656" s="689" t="s">
        <v>176</v>
      </c>
      <c r="B656" s="690"/>
      <c r="C656" s="690"/>
    </row>
    <row r="657">
      <c r="A657" s="689" t="s">
        <v>653</v>
      </c>
      <c r="B657" s="690"/>
      <c r="C657" s="690"/>
    </row>
    <row r="658">
      <c r="A658" s="689" t="s">
        <v>654</v>
      </c>
      <c r="B658" s="690"/>
      <c r="C658" s="690"/>
    </row>
    <row r="659">
      <c r="A659" s="689" t="s">
        <v>655</v>
      </c>
      <c r="B659" s="690"/>
      <c r="C659" s="690"/>
    </row>
    <row r="660">
      <c r="A660" s="128"/>
      <c r="B660" s="128"/>
      <c r="C660" s="128"/>
    </row>
    <row r="661">
      <c r="A661" s="689" t="s">
        <v>923</v>
      </c>
      <c r="B661" s="697"/>
      <c r="C661" s="697"/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2" max="2" width="11.25"/>
    <col customWidth="1" min="3" max="9" width="10.13"/>
    <col customWidth="1" hidden="1" min="10" max="10" width="11.25"/>
    <col customWidth="1" min="11" max="11" width="11.38"/>
    <col customWidth="1" min="12" max="12" width="13.0"/>
    <col customWidth="1" min="13" max="14" width="10.13"/>
    <col customWidth="1" min="15" max="15" width="10.88"/>
    <col customWidth="1" min="16" max="17" width="10.13"/>
  </cols>
  <sheetData>
    <row r="1">
      <c r="A1" s="167"/>
      <c r="B1" s="168" t="s">
        <v>45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</row>
    <row r="2">
      <c r="A2" s="169" t="s">
        <v>172</v>
      </c>
      <c r="B2" s="170" t="s">
        <v>174</v>
      </c>
      <c r="C2" s="171" t="s">
        <v>693</v>
      </c>
      <c r="D2" s="172" t="s">
        <v>694</v>
      </c>
      <c r="E2" s="172" t="s">
        <v>695</v>
      </c>
      <c r="F2" s="172" t="s">
        <v>179</v>
      </c>
      <c r="G2" s="172" t="s">
        <v>696</v>
      </c>
      <c r="H2" s="173" t="s">
        <v>697</v>
      </c>
      <c r="I2" s="174" t="s">
        <v>84</v>
      </c>
      <c r="J2" s="170" t="s">
        <v>698</v>
      </c>
      <c r="K2" s="175" t="s">
        <v>699</v>
      </c>
      <c r="L2" s="173" t="s">
        <v>89</v>
      </c>
      <c r="M2" s="176" t="s">
        <v>700</v>
      </c>
      <c r="N2" s="177" t="s">
        <v>701</v>
      </c>
      <c r="O2" s="177" t="s">
        <v>702</v>
      </c>
      <c r="P2" s="178" t="s">
        <v>90</v>
      </c>
      <c r="Q2" s="325" t="s">
        <v>703</v>
      </c>
    </row>
    <row r="3">
      <c r="A3" s="326" t="s">
        <v>45</v>
      </c>
      <c r="B3" s="251">
        <f t="array" ref="B3">VLOOKUP($A3,HI_DEMO,2,FALSE)</f>
        <v>200629</v>
      </c>
      <c r="C3" s="685">
        <f>vlookup(A3,'HI Data'!$A$3:$H$8,2,FALSE)</f>
        <v>292</v>
      </c>
      <c r="D3" s="253">
        <f>D9</f>
        <v>1.8</v>
      </c>
      <c r="E3" s="382">
        <f>vlookup(A3,'HI Data'!$A$3:$H$8,4,FALSE)</f>
        <v>156</v>
      </c>
      <c r="F3" s="382">
        <f>vlookup(A3,'HI Data'!$A$3:$H$8,3,FALSE)</f>
        <v>113</v>
      </c>
      <c r="G3" s="253" t="s">
        <v>63</v>
      </c>
      <c r="H3" s="254" t="s">
        <v>63</v>
      </c>
      <c r="I3" s="686">
        <f>vlookup(A3,'HI Data'!$A$3:$H$8,7,FALSE)</f>
        <v>67</v>
      </c>
      <c r="J3" s="256" t="s">
        <v>63</v>
      </c>
      <c r="K3" s="479">
        <f>vlookup(A3,'HI Data'!$A$3:$H$8,8,FALSE)</f>
        <v>0.62</v>
      </c>
      <c r="L3" s="254" t="s">
        <v>63</v>
      </c>
      <c r="M3" s="258" t="s">
        <v>63</v>
      </c>
      <c r="N3" s="253" t="s">
        <v>63</v>
      </c>
      <c r="O3" s="253" t="s">
        <v>63</v>
      </c>
      <c r="P3" s="261">
        <f>ifna(vlookup(A3,'Population &amp; Church Numbers'!$A$549:$D$553,4,FALSE),"NULL")</f>
        <v>121</v>
      </c>
      <c r="Q3" s="329" t="s">
        <v>63</v>
      </c>
    </row>
    <row r="4">
      <c r="A4" s="188" t="s">
        <v>419</v>
      </c>
      <c r="B4" s="189">
        <f t="array" ref="B4">VLOOKUP($A4,HI_DEMO,2,FALSE)</f>
        <v>1016508</v>
      </c>
      <c r="C4" s="264">
        <f>vlookup(A4,'HI Data'!$A$3:$H$8,2,FALSE)</f>
        <v>381</v>
      </c>
      <c r="D4" s="265">
        <f>D9</f>
        <v>1.8</v>
      </c>
      <c r="E4" s="265">
        <f>vlookup(A4,'HI Data'!$A$3:$H$8,4,FALSE)</f>
        <v>133</v>
      </c>
      <c r="F4" s="265">
        <f>vlookup(A4,'HI Data'!$A$3:$H$8,3,FALSE)</f>
        <v>167</v>
      </c>
      <c r="G4" s="265" t="s">
        <v>63</v>
      </c>
      <c r="H4" s="266" t="s">
        <v>63</v>
      </c>
      <c r="I4" s="267">
        <f>vlookup(A4,'HI Data'!$A$3:$H$8,7,FALSE)</f>
        <v>50</v>
      </c>
      <c r="J4" s="268" t="s">
        <v>63</v>
      </c>
      <c r="K4" s="498">
        <f>vlookup(A4,'HI Data'!$A$3:$H$8,8,FALSE)</f>
        <v>0.5</v>
      </c>
      <c r="L4" s="266" t="s">
        <v>63</v>
      </c>
      <c r="M4" s="267" t="s">
        <v>63</v>
      </c>
      <c r="N4" s="265" t="s">
        <v>63</v>
      </c>
      <c r="O4" s="265" t="s">
        <v>63</v>
      </c>
      <c r="P4" s="272">
        <f>ifna(vlookup(A4,'Population &amp; Church Numbers'!$A$549:$D$553,4,FALSE),"NULL")</f>
        <v>404</v>
      </c>
      <c r="Q4" s="334" t="s">
        <v>63</v>
      </c>
    </row>
    <row r="5">
      <c r="A5" s="326" t="s">
        <v>657</v>
      </c>
      <c r="B5" s="251">
        <f t="array" ref="B5">VLOOKUP($A5,HI_DEMO,2,FALSE)</f>
        <v>82</v>
      </c>
      <c r="C5" s="252" t="s">
        <v>63</v>
      </c>
      <c r="D5" s="253">
        <f>D9</f>
        <v>1.8</v>
      </c>
      <c r="E5" s="253" t="s">
        <v>63</v>
      </c>
      <c r="F5" s="253" t="s">
        <v>63</v>
      </c>
      <c r="G5" s="253" t="s">
        <v>63</v>
      </c>
      <c r="H5" s="254" t="s">
        <v>63</v>
      </c>
      <c r="I5" s="255" t="s">
        <v>63</v>
      </c>
      <c r="J5" s="256" t="s">
        <v>63</v>
      </c>
      <c r="K5" s="274" t="s">
        <v>63</v>
      </c>
      <c r="L5" s="254" t="s">
        <v>63</v>
      </c>
      <c r="M5" s="255" t="s">
        <v>63</v>
      </c>
      <c r="N5" s="253" t="s">
        <v>63</v>
      </c>
      <c r="O5" s="253" t="s">
        <v>63</v>
      </c>
      <c r="P5" s="261" t="str">
        <f>ifna(vlookup(A5,'Population &amp; Church Numbers'!$A$549:$D$553,4,FALSE),"NULL")</f>
        <v>NULL</v>
      </c>
      <c r="Q5" s="329" t="s">
        <v>63</v>
      </c>
    </row>
    <row r="6">
      <c r="A6" s="188" t="s">
        <v>658</v>
      </c>
      <c r="B6" s="189">
        <f t="array" ref="B6">VLOOKUP($A6,HI_DEMO,2,FALSE)</f>
        <v>73298</v>
      </c>
      <c r="C6" s="264">
        <f>vlookup(A6,'HI Data'!$A$3:$H$8,2,FALSE)</f>
        <v>54</v>
      </c>
      <c r="D6" s="265">
        <f>D9</f>
        <v>1.8</v>
      </c>
      <c r="E6" s="265">
        <f>vlookup(A6,'HI Data'!$A$3:$H$8,4,FALSE)</f>
        <v>24</v>
      </c>
      <c r="F6" s="265">
        <f>vlookup(A6,'HI Data'!$A$3:$H$8,3,FALSE)</f>
        <v>20</v>
      </c>
      <c r="G6" s="265" t="s">
        <v>63</v>
      </c>
      <c r="H6" s="266" t="s">
        <v>63</v>
      </c>
      <c r="I6" s="267">
        <f>vlookup(A6,'HI Data'!$A$3:$H$8,7,FALSE)</f>
        <v>12</v>
      </c>
      <c r="J6" s="268" t="s">
        <v>63</v>
      </c>
      <c r="K6" s="498">
        <f>vlookup(A6,'HI Data'!$A$3:$H$8,8,FALSE)</f>
        <v>0.66</v>
      </c>
      <c r="L6" s="266" t="s">
        <v>63</v>
      </c>
      <c r="M6" s="267" t="s">
        <v>63</v>
      </c>
      <c r="N6" s="265" t="s">
        <v>63</v>
      </c>
      <c r="O6" s="265" t="s">
        <v>63</v>
      </c>
      <c r="P6" s="272">
        <f>ifna(vlookup(A6,'Population &amp; Church Numbers'!$A$549:$D$553,4,FALSE),"NULL")</f>
        <v>55</v>
      </c>
      <c r="Q6" s="334" t="s">
        <v>63</v>
      </c>
    </row>
    <row r="7">
      <c r="A7" s="326" t="s">
        <v>659</v>
      </c>
      <c r="B7" s="251">
        <f t="array" ref="B7">VLOOKUP($A7,HI_DEMO,2,FALSE)</f>
        <v>164754</v>
      </c>
      <c r="C7" s="252">
        <f>vlookup(A7,'HI Data'!$A$3:$H$8,2,FALSE)</f>
        <v>133</v>
      </c>
      <c r="D7" s="253">
        <f>D9</f>
        <v>1.8</v>
      </c>
      <c r="E7" s="253">
        <f>vlookup(A7,'HI Data'!$A$3:$H$8,4,FALSE)</f>
        <v>47</v>
      </c>
      <c r="F7" s="253">
        <f>vlookup(A7,'HI Data'!$A$3:$H$8,3,FALSE)</f>
        <v>62</v>
      </c>
      <c r="G7" s="253" t="s">
        <v>63</v>
      </c>
      <c r="H7" s="254" t="s">
        <v>63</v>
      </c>
      <c r="I7" s="255">
        <f>vlookup(A7,'HI Data'!$A$3:$H$8,7,FALSE)</f>
        <v>26</v>
      </c>
      <c r="J7" s="256" t="s">
        <v>63</v>
      </c>
      <c r="K7" s="479">
        <f>vlookup(A7,'HI Data'!$A$3:$H$8,8,FALSE)</f>
        <v>0.49</v>
      </c>
      <c r="L7" s="254" t="s">
        <v>63</v>
      </c>
      <c r="M7" s="255" t="s">
        <v>63</v>
      </c>
      <c r="N7" s="253" t="s">
        <v>63</v>
      </c>
      <c r="O7" s="253" t="s">
        <v>63</v>
      </c>
      <c r="P7" s="261">
        <f>ifna(vlookup(A7,'Population &amp; Church Numbers'!$A$549:$D$553,4,FALSE),"NULL")</f>
        <v>97</v>
      </c>
      <c r="Q7" s="329" t="s">
        <v>63</v>
      </c>
    </row>
    <row r="8">
      <c r="A8" s="217"/>
      <c r="B8" s="218"/>
      <c r="C8" s="219"/>
      <c r="D8" s="220"/>
      <c r="E8" s="220"/>
      <c r="F8" s="220"/>
      <c r="G8" s="220"/>
      <c r="H8" s="221"/>
      <c r="I8" s="222"/>
      <c r="J8" s="223"/>
      <c r="K8" s="219"/>
      <c r="L8" s="224"/>
      <c r="M8" s="225"/>
      <c r="N8" s="226"/>
      <c r="O8" s="220"/>
      <c r="P8" s="221"/>
      <c r="Q8" s="227"/>
    </row>
    <row r="9">
      <c r="A9" s="228" t="s">
        <v>2</v>
      </c>
      <c r="B9" s="229"/>
      <c r="C9" s="230">
        <f>'HI Data'!B8</f>
        <v>860</v>
      </c>
      <c r="D9" s="311">
        <f>'HI Data'!B11</f>
        <v>1.8</v>
      </c>
      <c r="E9" s="311">
        <f>'HI Data'!D8</f>
        <v>360</v>
      </c>
      <c r="F9" s="311">
        <f>'HI Data'!C8</f>
        <v>362</v>
      </c>
      <c r="G9" s="311" t="s">
        <v>63</v>
      </c>
      <c r="H9" s="233">
        <f>AFCARSCSC!D15</f>
        <v>781</v>
      </c>
      <c r="I9" s="234">
        <f>'HI Data'!G8</f>
        <v>155</v>
      </c>
      <c r="J9" s="305" t="s">
        <v>63</v>
      </c>
      <c r="K9" s="684">
        <f>'HI Data'!H8</f>
        <v>0.54</v>
      </c>
      <c r="L9" s="309" t="s">
        <v>63</v>
      </c>
      <c r="M9" s="360" t="s">
        <v>63</v>
      </c>
      <c r="N9" s="311" t="s">
        <v>63</v>
      </c>
      <c r="O9" s="311" t="s">
        <v>63</v>
      </c>
      <c r="P9" s="233">
        <f>SUM(P3:P7)</f>
        <v>677</v>
      </c>
      <c r="Q9" s="691" t="s">
        <v>63</v>
      </c>
    </row>
  </sheetData>
  <autoFilter ref="$A$2:$Q$7"/>
  <mergeCells count="1">
    <mergeCell ref="B1:Q1"/>
  </mergeCell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8" width="14.75"/>
  </cols>
  <sheetData>
    <row r="1">
      <c r="A1" s="275" t="s">
        <v>916</v>
      </c>
      <c r="B1" s="276"/>
      <c r="C1" s="276"/>
      <c r="D1" s="276"/>
      <c r="E1" s="275" t="s">
        <v>765</v>
      </c>
      <c r="F1" s="275" t="s">
        <v>2478</v>
      </c>
      <c r="G1" s="276"/>
      <c r="H1" s="276"/>
      <c r="I1" s="275" t="s">
        <v>767</v>
      </c>
      <c r="J1" s="277">
        <v>45462.0</v>
      </c>
      <c r="K1" s="275" t="s">
        <v>769</v>
      </c>
      <c r="L1" s="277">
        <v>45382.0</v>
      </c>
      <c r="M1" s="276"/>
    </row>
    <row r="2">
      <c r="A2" s="692"/>
      <c r="B2" s="692"/>
      <c r="C2" s="692"/>
      <c r="D2" s="692"/>
      <c r="E2" s="692"/>
      <c r="F2" s="692"/>
      <c r="G2" s="692"/>
      <c r="H2" s="692"/>
      <c r="I2" s="692"/>
      <c r="J2" s="692"/>
      <c r="K2" s="692"/>
      <c r="L2" s="692"/>
      <c r="M2" s="545"/>
      <c r="N2" s="545"/>
    </row>
    <row r="3">
      <c r="A3" s="693"/>
      <c r="B3" s="694" t="s">
        <v>2479</v>
      </c>
      <c r="C3" s="694" t="s">
        <v>1724</v>
      </c>
      <c r="D3" s="694" t="s">
        <v>2480</v>
      </c>
      <c r="E3" s="694" t="s">
        <v>1715</v>
      </c>
      <c r="F3" s="694" t="s">
        <v>2481</v>
      </c>
      <c r="G3" s="694" t="s">
        <v>2482</v>
      </c>
      <c r="H3" s="694" t="s">
        <v>2483</v>
      </c>
      <c r="I3" s="693"/>
      <c r="J3" s="693"/>
      <c r="K3" s="693"/>
      <c r="L3" s="693"/>
      <c r="M3" s="545"/>
      <c r="N3" s="545"/>
    </row>
    <row r="4">
      <c r="A4" s="694" t="s">
        <v>419</v>
      </c>
      <c r="B4" s="695">
        <v>381.0</v>
      </c>
      <c r="C4" s="695">
        <v>167.0</v>
      </c>
      <c r="D4" s="695">
        <v>133.0</v>
      </c>
      <c r="E4" s="695">
        <v>81.0</v>
      </c>
      <c r="F4" s="695">
        <v>13.0</v>
      </c>
      <c r="G4" s="695">
        <v>50.0</v>
      </c>
      <c r="H4" s="696">
        <v>0.5</v>
      </c>
      <c r="I4" s="695"/>
      <c r="J4" s="695"/>
      <c r="K4" s="695"/>
      <c r="L4" s="693"/>
      <c r="M4" s="545"/>
      <c r="N4" s="545"/>
    </row>
    <row r="5">
      <c r="A5" s="695" t="s">
        <v>45</v>
      </c>
      <c r="B5" s="698">
        <v>292.0</v>
      </c>
      <c r="C5" s="698">
        <v>113.0</v>
      </c>
      <c r="D5" s="698">
        <v>156.0</v>
      </c>
      <c r="E5" s="698">
        <v>23.0</v>
      </c>
      <c r="F5" s="698">
        <v>17.0</v>
      </c>
      <c r="G5" s="698">
        <v>67.0</v>
      </c>
      <c r="H5" s="696">
        <v>0.62</v>
      </c>
      <c r="I5" s="698"/>
      <c r="J5" s="698"/>
      <c r="K5" s="698"/>
      <c r="L5" s="693"/>
      <c r="M5" s="545"/>
      <c r="N5" s="545"/>
    </row>
    <row r="6">
      <c r="A6" s="694" t="s">
        <v>659</v>
      </c>
      <c r="B6" s="694">
        <v>133.0</v>
      </c>
      <c r="C6" s="694">
        <v>62.0</v>
      </c>
      <c r="D6" s="694">
        <v>47.0</v>
      </c>
      <c r="E6" s="694">
        <v>24.0</v>
      </c>
      <c r="F6" s="694">
        <v>12.0</v>
      </c>
      <c r="G6" s="694">
        <v>26.0</v>
      </c>
      <c r="H6" s="699">
        <v>0.49</v>
      </c>
      <c r="I6" s="693"/>
      <c r="J6" s="693"/>
      <c r="K6" s="693"/>
      <c r="L6" s="693"/>
      <c r="M6" s="545"/>
      <c r="N6" s="545"/>
    </row>
    <row r="7">
      <c r="A7" s="694" t="s">
        <v>658</v>
      </c>
      <c r="B7" s="694">
        <v>54.0</v>
      </c>
      <c r="C7" s="694">
        <v>20.0</v>
      </c>
      <c r="D7" s="694">
        <v>24.0</v>
      </c>
      <c r="E7" s="694">
        <v>10.0</v>
      </c>
      <c r="F7" s="694">
        <v>6.0</v>
      </c>
      <c r="G7" s="694">
        <v>12.0</v>
      </c>
      <c r="H7" s="699">
        <v>0.66</v>
      </c>
      <c r="I7" s="693"/>
      <c r="J7" s="693"/>
      <c r="K7" s="693"/>
      <c r="L7" s="693"/>
      <c r="M7" s="545"/>
      <c r="N7" s="545"/>
    </row>
    <row r="8">
      <c r="A8" s="694" t="s">
        <v>2</v>
      </c>
      <c r="B8" s="694">
        <v>860.0</v>
      </c>
      <c r="C8" s="694">
        <v>362.0</v>
      </c>
      <c r="D8" s="694">
        <v>360.0</v>
      </c>
      <c r="E8" s="694">
        <v>138.0</v>
      </c>
      <c r="F8" s="694">
        <v>38.0</v>
      </c>
      <c r="G8" s="694">
        <v>155.0</v>
      </c>
      <c r="H8" s="699">
        <v>0.54</v>
      </c>
      <c r="I8" s="693"/>
      <c r="J8" s="693"/>
      <c r="K8" s="693"/>
      <c r="L8" s="693"/>
      <c r="M8" s="545"/>
      <c r="N8" s="545"/>
    </row>
    <row r="9">
      <c r="A9" s="693"/>
      <c r="B9" s="693"/>
      <c r="C9" s="693"/>
      <c r="D9" s="693"/>
      <c r="E9" s="693"/>
      <c r="F9" s="693"/>
      <c r="G9" s="693"/>
      <c r="H9" s="693"/>
      <c r="I9" s="693"/>
      <c r="J9" s="693"/>
      <c r="K9" s="693"/>
      <c r="L9" s="693"/>
      <c r="M9" s="545"/>
      <c r="N9" s="545"/>
    </row>
    <row r="10">
      <c r="A10" s="692"/>
      <c r="B10" s="692"/>
      <c r="C10" s="692"/>
      <c r="D10" s="692"/>
      <c r="E10" s="692"/>
      <c r="F10" s="692"/>
      <c r="G10" s="692"/>
      <c r="H10" s="692"/>
      <c r="I10" s="692"/>
      <c r="J10" s="692"/>
      <c r="K10" s="692"/>
      <c r="L10" s="692"/>
      <c r="M10" s="545"/>
      <c r="N10" s="545"/>
    </row>
    <row r="11">
      <c r="A11" s="702" t="s">
        <v>2488</v>
      </c>
      <c r="B11" s="702">
        <v>1.8</v>
      </c>
      <c r="C11" s="692"/>
      <c r="D11" s="692"/>
      <c r="E11" s="692"/>
      <c r="F11" s="692"/>
      <c r="G11" s="692"/>
      <c r="H11" s="692"/>
      <c r="I11" s="692"/>
      <c r="J11" s="692"/>
      <c r="K11" s="692"/>
      <c r="L11" s="692"/>
      <c r="M11" s="545"/>
      <c r="N11" s="545"/>
    </row>
    <row r="12">
      <c r="A12" s="692"/>
      <c r="B12" s="692"/>
      <c r="C12" s="692"/>
      <c r="D12" s="692"/>
      <c r="E12" s="692"/>
      <c r="F12" s="692"/>
      <c r="G12" s="692"/>
      <c r="H12" s="692"/>
      <c r="I12" s="692"/>
      <c r="J12" s="692"/>
      <c r="K12" s="692"/>
      <c r="L12" s="692"/>
      <c r="M12" s="545"/>
      <c r="N12" s="545"/>
    </row>
    <row r="13">
      <c r="A13" s="692"/>
      <c r="B13" s="692"/>
      <c r="C13" s="692"/>
      <c r="D13" s="692"/>
      <c r="E13" s="692"/>
      <c r="F13" s="692"/>
      <c r="G13" s="692"/>
      <c r="H13" s="692"/>
      <c r="I13" s="692"/>
      <c r="J13" s="692"/>
      <c r="K13" s="692"/>
      <c r="L13" s="692"/>
      <c r="M13" s="545"/>
      <c r="N13" s="545"/>
    </row>
    <row r="14">
      <c r="A14" s="692"/>
      <c r="B14" s="692"/>
      <c r="C14" s="692"/>
      <c r="D14" s="692"/>
      <c r="E14" s="692"/>
      <c r="F14" s="692"/>
      <c r="G14" s="692"/>
      <c r="H14" s="692"/>
      <c r="I14" s="692"/>
      <c r="J14" s="692"/>
      <c r="K14" s="692"/>
      <c r="L14" s="692"/>
      <c r="M14" s="545"/>
      <c r="N14" s="545"/>
    </row>
    <row r="15">
      <c r="A15" s="692"/>
      <c r="B15" s="692"/>
      <c r="C15" s="692"/>
      <c r="D15" s="692"/>
      <c r="E15" s="692"/>
      <c r="F15" s="692"/>
      <c r="G15" s="692"/>
      <c r="H15" s="692"/>
      <c r="I15" s="692"/>
      <c r="J15" s="692"/>
      <c r="K15" s="692"/>
      <c r="L15" s="692"/>
      <c r="M15" s="545"/>
      <c r="N15" s="545"/>
    </row>
    <row r="16">
      <c r="A16" s="703"/>
      <c r="B16" s="703"/>
      <c r="C16" s="703"/>
      <c r="D16" s="703"/>
      <c r="E16" s="703"/>
      <c r="F16" s="703"/>
      <c r="G16" s="703"/>
      <c r="H16" s="703"/>
      <c r="I16" s="703"/>
      <c r="J16" s="703"/>
      <c r="K16" s="703"/>
      <c r="L16" s="703"/>
    </row>
    <row r="17">
      <c r="A17" s="703"/>
      <c r="B17" s="703"/>
      <c r="C17" s="703"/>
      <c r="D17" s="703"/>
      <c r="E17" s="703"/>
      <c r="F17" s="703"/>
      <c r="G17" s="703"/>
      <c r="H17" s="703"/>
      <c r="I17" s="703"/>
      <c r="J17" s="703"/>
      <c r="K17" s="703"/>
      <c r="L17" s="703"/>
    </row>
    <row r="50">
      <c r="A50" s="275" t="s">
        <v>792</v>
      </c>
      <c r="B50" s="276"/>
      <c r="C50" s="276"/>
      <c r="D50" s="276"/>
      <c r="E50" s="275" t="s">
        <v>765</v>
      </c>
      <c r="F50" s="276"/>
      <c r="G50" s="276"/>
      <c r="H50" s="276"/>
      <c r="I50" s="275" t="s">
        <v>767</v>
      </c>
      <c r="J50" s="276"/>
      <c r="K50" s="275" t="s">
        <v>769</v>
      </c>
      <c r="L50" s="276"/>
      <c r="M50" s="276"/>
    </row>
    <row r="52">
      <c r="B52" s="1" t="s">
        <v>2402</v>
      </c>
    </row>
    <row r="53">
      <c r="A53" s="1" t="s">
        <v>2402</v>
      </c>
      <c r="B53" s="594" t="s">
        <v>2403</v>
      </c>
      <c r="C53" s="594" t="s">
        <v>2404</v>
      </c>
      <c r="D53" s="594" t="s">
        <v>2405</v>
      </c>
      <c r="E53" s="594" t="s">
        <v>2406</v>
      </c>
      <c r="F53" s="594" t="s">
        <v>2407</v>
      </c>
      <c r="G53" s="594" t="s">
        <v>2408</v>
      </c>
      <c r="H53" s="594" t="s">
        <v>2409</v>
      </c>
      <c r="I53" s="594" t="s">
        <v>2410</v>
      </c>
      <c r="J53" s="594" t="s">
        <v>2411</v>
      </c>
      <c r="K53" s="594" t="s">
        <v>2412</v>
      </c>
    </row>
    <row r="54">
      <c r="A54" s="592" t="s">
        <v>45</v>
      </c>
      <c r="B54" s="607">
        <v>351.0</v>
      </c>
      <c r="C54" s="607">
        <v>296.0</v>
      </c>
      <c r="D54" s="607">
        <v>223.0</v>
      </c>
      <c r="E54" s="607">
        <v>154.0</v>
      </c>
      <c r="F54" s="607">
        <v>187.0</v>
      </c>
      <c r="G54" s="607">
        <v>142.0</v>
      </c>
      <c r="H54" s="607">
        <v>177.0</v>
      </c>
      <c r="I54" s="607">
        <v>247.0</v>
      </c>
      <c r="J54" s="607">
        <v>290.0</v>
      </c>
      <c r="K54" s="607">
        <v>278.0</v>
      </c>
    </row>
    <row r="100">
      <c r="A100" s="275" t="s">
        <v>852</v>
      </c>
      <c r="B100" s="276"/>
      <c r="C100" s="276"/>
      <c r="D100" s="276"/>
      <c r="E100" s="275" t="s">
        <v>765</v>
      </c>
      <c r="F100" s="276"/>
      <c r="G100" s="276"/>
      <c r="H100" s="276"/>
      <c r="I100" s="275" t="s">
        <v>767</v>
      </c>
      <c r="J100" s="276"/>
      <c r="K100" s="275" t="s">
        <v>769</v>
      </c>
      <c r="L100" s="276"/>
      <c r="M100" s="276"/>
    </row>
  </sheetData>
  <hyperlinks>
    <hyperlink r:id="rId1" location="Served!B8" ref="B53"/>
    <hyperlink r:id="rId2" location="Served!B8" ref="C53"/>
    <hyperlink r:id="rId3" location="Served!B8" ref="D53"/>
    <hyperlink r:id="rId4" location="Served!B8" ref="E53"/>
    <hyperlink r:id="rId5" location="Served!B8" ref="F53"/>
    <hyperlink r:id="rId6" location="Served!B8" ref="G53"/>
    <hyperlink r:id="rId7" location="Served!B8" ref="H53"/>
    <hyperlink r:id="rId8" location="Served!B8" ref="I53"/>
    <hyperlink r:id="rId9" location="Served!B8" ref="J53"/>
    <hyperlink r:id="rId10" location="Served!B8" ref="K53"/>
  </hyperlinks>
  <drawing r:id="rId1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2" max="17" width="11.38"/>
  </cols>
  <sheetData>
    <row r="1">
      <c r="A1" s="167"/>
      <c r="B1" s="168" t="s">
        <v>47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</row>
    <row r="2">
      <c r="A2" s="169" t="s">
        <v>172</v>
      </c>
      <c r="B2" s="170" t="s">
        <v>174</v>
      </c>
      <c r="C2" s="171" t="s">
        <v>693</v>
      </c>
      <c r="D2" s="608" t="s">
        <v>694</v>
      </c>
      <c r="E2" s="608" t="s">
        <v>695</v>
      </c>
      <c r="F2" s="608" t="s">
        <v>179</v>
      </c>
      <c r="G2" s="608" t="s">
        <v>696</v>
      </c>
      <c r="H2" s="173" t="s">
        <v>697</v>
      </c>
      <c r="I2" s="174" t="s">
        <v>84</v>
      </c>
      <c r="J2" s="170" t="s">
        <v>698</v>
      </c>
      <c r="K2" s="175" t="s">
        <v>699</v>
      </c>
      <c r="L2" s="173" t="s">
        <v>89</v>
      </c>
      <c r="M2" s="176" t="s">
        <v>700</v>
      </c>
      <c r="N2" s="177" t="s">
        <v>701</v>
      </c>
      <c r="O2" s="177" t="s">
        <v>702</v>
      </c>
      <c r="P2" s="178" t="s">
        <v>90</v>
      </c>
      <c r="Q2" s="325" t="s">
        <v>703</v>
      </c>
    </row>
    <row r="3">
      <c r="A3" s="609" t="s">
        <v>661</v>
      </c>
      <c r="B3" s="610">
        <f t="array" ref="B3">VLOOKUP($A3,ID_DEMO,2,FALSE)</f>
        <v>494967</v>
      </c>
      <c r="C3" s="704" t="s">
        <v>63</v>
      </c>
      <c r="D3" s="612" t="s">
        <v>63</v>
      </c>
      <c r="E3" s="612" t="s">
        <v>63</v>
      </c>
      <c r="F3" s="612" t="s">
        <v>63</v>
      </c>
      <c r="G3" s="612" t="s">
        <v>63</v>
      </c>
      <c r="H3" s="671" t="s">
        <v>63</v>
      </c>
      <c r="I3" s="614" t="s">
        <v>63</v>
      </c>
      <c r="J3" s="615" t="s">
        <v>63</v>
      </c>
      <c r="K3" s="672" t="s">
        <v>63</v>
      </c>
      <c r="L3" s="671" t="s">
        <v>63</v>
      </c>
      <c r="M3" s="673" t="s">
        <v>63</v>
      </c>
      <c r="N3" s="612" t="s">
        <v>63</v>
      </c>
      <c r="O3" s="612" t="s">
        <v>63</v>
      </c>
      <c r="P3" s="620">
        <f>ifna(vlookup(A3,'Population &amp; Church Numbers'!$A$554:$D$597,4,FALSE),"NULL")</f>
        <v>203</v>
      </c>
      <c r="Q3" s="674" t="s">
        <v>63</v>
      </c>
    </row>
    <row r="4">
      <c r="A4" s="609" t="s">
        <v>386</v>
      </c>
      <c r="B4" s="610">
        <f t="array" ref="B4">VLOOKUP($A4,ID_DEMO,2,FALSE)</f>
        <v>4379</v>
      </c>
      <c r="C4" s="704" t="s">
        <v>63</v>
      </c>
      <c r="D4" s="612" t="s">
        <v>63</v>
      </c>
      <c r="E4" s="612" t="s">
        <v>63</v>
      </c>
      <c r="F4" s="612" t="s">
        <v>63</v>
      </c>
      <c r="G4" s="612" t="s">
        <v>63</v>
      </c>
      <c r="H4" s="671" t="s">
        <v>63</v>
      </c>
      <c r="I4" s="614" t="s">
        <v>63</v>
      </c>
      <c r="J4" s="615" t="s">
        <v>63</v>
      </c>
      <c r="K4" s="672" t="s">
        <v>63</v>
      </c>
      <c r="L4" s="671" t="s">
        <v>63</v>
      </c>
      <c r="M4" s="614" t="s">
        <v>63</v>
      </c>
      <c r="N4" s="612" t="s">
        <v>63</v>
      </c>
      <c r="O4" s="612" t="s">
        <v>63</v>
      </c>
      <c r="P4" s="620">
        <f>ifna(vlookup(A4,'Population &amp; Church Numbers'!$A$554:$D$597,4,FALSE),"NULL")</f>
        <v>6</v>
      </c>
      <c r="Q4" s="674" t="s">
        <v>63</v>
      </c>
    </row>
    <row r="5">
      <c r="A5" s="609" t="s">
        <v>662</v>
      </c>
      <c r="B5" s="610">
        <f t="array" ref="B5">VLOOKUP($A5,ID_DEMO,2,FALSE)</f>
        <v>87018</v>
      </c>
      <c r="C5" s="704" t="s">
        <v>63</v>
      </c>
      <c r="D5" s="612" t="s">
        <v>63</v>
      </c>
      <c r="E5" s="612" t="s">
        <v>63</v>
      </c>
      <c r="F5" s="612" t="s">
        <v>63</v>
      </c>
      <c r="G5" s="612" t="s">
        <v>63</v>
      </c>
      <c r="H5" s="671" t="s">
        <v>63</v>
      </c>
      <c r="I5" s="614" t="s">
        <v>63</v>
      </c>
      <c r="J5" s="615" t="s">
        <v>63</v>
      </c>
      <c r="K5" s="672" t="s">
        <v>63</v>
      </c>
      <c r="L5" s="671" t="s">
        <v>63</v>
      </c>
      <c r="M5" s="614" t="s">
        <v>63</v>
      </c>
      <c r="N5" s="612" t="s">
        <v>63</v>
      </c>
      <c r="O5" s="612" t="s">
        <v>63</v>
      </c>
      <c r="P5" s="620">
        <f>ifna(vlookup(A5,'Population &amp; Church Numbers'!$A$554:$D$597,4,FALSE),"NULL")</f>
        <v>71</v>
      </c>
      <c r="Q5" s="674" t="s">
        <v>63</v>
      </c>
    </row>
    <row r="6">
      <c r="A6" s="609" t="s">
        <v>663</v>
      </c>
      <c r="B6" s="610">
        <f t="array" ref="B6">VLOOKUP($A6,ID_DEMO,2,FALSE)</f>
        <v>6372</v>
      </c>
      <c r="C6" s="704" t="s">
        <v>63</v>
      </c>
      <c r="D6" s="612" t="s">
        <v>63</v>
      </c>
      <c r="E6" s="612" t="s">
        <v>63</v>
      </c>
      <c r="F6" s="612" t="s">
        <v>63</v>
      </c>
      <c r="G6" s="612" t="s">
        <v>63</v>
      </c>
      <c r="H6" s="671" t="s">
        <v>63</v>
      </c>
      <c r="I6" s="614" t="s">
        <v>63</v>
      </c>
      <c r="J6" s="615" t="s">
        <v>63</v>
      </c>
      <c r="K6" s="672" t="s">
        <v>63</v>
      </c>
      <c r="L6" s="671" t="s">
        <v>63</v>
      </c>
      <c r="M6" s="614" t="s">
        <v>63</v>
      </c>
      <c r="N6" s="612" t="s">
        <v>63</v>
      </c>
      <c r="O6" s="612" t="s">
        <v>63</v>
      </c>
      <c r="P6" s="620">
        <f>ifna(vlookup(A6,'Population &amp; Church Numbers'!$A$554:$D$597,4,FALSE),"NULL")</f>
        <v>16</v>
      </c>
      <c r="Q6" s="674" t="s">
        <v>63</v>
      </c>
    </row>
    <row r="7">
      <c r="A7" s="609" t="s">
        <v>664</v>
      </c>
      <c r="B7" s="610">
        <f t="array" ref="B7">VLOOKUP($A7,ID_DEMO,2,FALSE)</f>
        <v>9530</v>
      </c>
      <c r="C7" s="704" t="s">
        <v>63</v>
      </c>
      <c r="D7" s="612" t="s">
        <v>63</v>
      </c>
      <c r="E7" s="612" t="s">
        <v>63</v>
      </c>
      <c r="F7" s="612" t="s">
        <v>63</v>
      </c>
      <c r="G7" s="612" t="s">
        <v>63</v>
      </c>
      <c r="H7" s="671" t="s">
        <v>63</v>
      </c>
      <c r="I7" s="614" t="s">
        <v>63</v>
      </c>
      <c r="J7" s="615" t="s">
        <v>63</v>
      </c>
      <c r="K7" s="672" t="s">
        <v>63</v>
      </c>
      <c r="L7" s="671" t="s">
        <v>63</v>
      </c>
      <c r="M7" s="614" t="s">
        <v>63</v>
      </c>
      <c r="N7" s="612" t="s">
        <v>63</v>
      </c>
      <c r="O7" s="612" t="s">
        <v>63</v>
      </c>
      <c r="P7" s="620">
        <f>ifna(vlookup(A7,'Population &amp; Church Numbers'!$A$554:$D$597,4,FALSE),"NULL")</f>
        <v>13</v>
      </c>
      <c r="Q7" s="674" t="s">
        <v>63</v>
      </c>
    </row>
    <row r="8">
      <c r="A8" s="609" t="s">
        <v>665</v>
      </c>
      <c r="B8" s="610">
        <f t="array" ref="B8">VLOOKUP($A8,ID_DEMO,2,FALSE)</f>
        <v>47992</v>
      </c>
      <c r="C8" s="704" t="s">
        <v>63</v>
      </c>
      <c r="D8" s="612" t="s">
        <v>63</v>
      </c>
      <c r="E8" s="612" t="s">
        <v>63</v>
      </c>
      <c r="F8" s="612" t="s">
        <v>63</v>
      </c>
      <c r="G8" s="612" t="s">
        <v>63</v>
      </c>
      <c r="H8" s="671" t="s">
        <v>63</v>
      </c>
      <c r="I8" s="614" t="s">
        <v>63</v>
      </c>
      <c r="J8" s="615" t="s">
        <v>63</v>
      </c>
      <c r="K8" s="672" t="s">
        <v>63</v>
      </c>
      <c r="L8" s="671" t="s">
        <v>63</v>
      </c>
      <c r="M8" s="614" t="s">
        <v>63</v>
      </c>
      <c r="N8" s="612" t="s">
        <v>63</v>
      </c>
      <c r="O8" s="612" t="s">
        <v>63</v>
      </c>
      <c r="P8" s="620">
        <f>ifna(vlookup(A8,'Population &amp; Church Numbers'!$A$554:$D$597,4,FALSE),"NULL")</f>
        <v>35</v>
      </c>
      <c r="Q8" s="674" t="s">
        <v>63</v>
      </c>
    </row>
    <row r="9">
      <c r="A9" s="609" t="s">
        <v>666</v>
      </c>
      <c r="B9" s="610">
        <f t="array" ref="B9">VLOOKUP($A9,ID_DEMO,2,FALSE)</f>
        <v>24272</v>
      </c>
      <c r="C9" s="704" t="s">
        <v>63</v>
      </c>
      <c r="D9" s="612" t="s">
        <v>63</v>
      </c>
      <c r="E9" s="612" t="s">
        <v>63</v>
      </c>
      <c r="F9" s="612" t="s">
        <v>63</v>
      </c>
      <c r="G9" s="612" t="s">
        <v>63</v>
      </c>
      <c r="H9" s="671" t="s">
        <v>63</v>
      </c>
      <c r="I9" s="614" t="s">
        <v>63</v>
      </c>
      <c r="J9" s="615" t="s">
        <v>63</v>
      </c>
      <c r="K9" s="672" t="s">
        <v>63</v>
      </c>
      <c r="L9" s="671" t="s">
        <v>63</v>
      </c>
      <c r="M9" s="614" t="s">
        <v>63</v>
      </c>
      <c r="N9" s="612" t="s">
        <v>63</v>
      </c>
      <c r="O9" s="612" t="s">
        <v>63</v>
      </c>
      <c r="P9" s="620">
        <f>ifna(vlookup(A9,'Population &amp; Church Numbers'!$A$554:$D$597,4,FALSE),"NULL")</f>
        <v>10</v>
      </c>
      <c r="Q9" s="674" t="s">
        <v>63</v>
      </c>
    </row>
    <row r="10">
      <c r="A10" s="609" t="s">
        <v>667</v>
      </c>
      <c r="B10" s="610">
        <f t="array" ref="B10">VLOOKUP($A10,ID_DEMO,2,FALSE)</f>
        <v>7610</v>
      </c>
      <c r="C10" s="704" t="s">
        <v>63</v>
      </c>
      <c r="D10" s="612" t="s">
        <v>63</v>
      </c>
      <c r="E10" s="612" t="s">
        <v>63</v>
      </c>
      <c r="F10" s="612" t="s">
        <v>63</v>
      </c>
      <c r="G10" s="612" t="s">
        <v>63</v>
      </c>
      <c r="H10" s="671" t="s">
        <v>63</v>
      </c>
      <c r="I10" s="614" t="s">
        <v>63</v>
      </c>
      <c r="J10" s="615" t="s">
        <v>63</v>
      </c>
      <c r="K10" s="672" t="s">
        <v>63</v>
      </c>
      <c r="L10" s="671" t="s">
        <v>63</v>
      </c>
      <c r="M10" s="614" t="s">
        <v>63</v>
      </c>
      <c r="N10" s="612" t="s">
        <v>63</v>
      </c>
      <c r="O10" s="612" t="s">
        <v>63</v>
      </c>
      <c r="P10" s="620">
        <f>ifna(vlookup(A10,'Population &amp; Church Numbers'!$A$554:$D$597,4,FALSE),"NULL")</f>
        <v>15</v>
      </c>
      <c r="Q10" s="674" t="s">
        <v>63</v>
      </c>
    </row>
    <row r="11">
      <c r="A11" s="609" t="s">
        <v>668</v>
      </c>
      <c r="B11" s="610">
        <f t="array" ref="B11">VLOOKUP($A11,ID_DEMO,2,FALSE)</f>
        <v>47110</v>
      </c>
      <c r="C11" s="704" t="s">
        <v>63</v>
      </c>
      <c r="D11" s="612" t="s">
        <v>63</v>
      </c>
      <c r="E11" s="612" t="s">
        <v>63</v>
      </c>
      <c r="F11" s="612" t="s">
        <v>63</v>
      </c>
      <c r="G11" s="612" t="s">
        <v>63</v>
      </c>
      <c r="H11" s="671" t="s">
        <v>63</v>
      </c>
      <c r="I11" s="614" t="s">
        <v>63</v>
      </c>
      <c r="J11" s="615" t="s">
        <v>63</v>
      </c>
      <c r="K11" s="672" t="s">
        <v>63</v>
      </c>
      <c r="L11" s="671" t="s">
        <v>63</v>
      </c>
      <c r="M11" s="614" t="s">
        <v>63</v>
      </c>
      <c r="N11" s="612" t="s">
        <v>63</v>
      </c>
      <c r="O11" s="612" t="s">
        <v>63</v>
      </c>
      <c r="P11" s="620">
        <f>ifna(vlookup(A11,'Population &amp; Church Numbers'!$A$554:$D$597,4,FALSE),"NULL")</f>
        <v>42</v>
      </c>
      <c r="Q11" s="674" t="s">
        <v>63</v>
      </c>
    </row>
    <row r="12">
      <c r="A12" s="609" t="s">
        <v>669</v>
      </c>
      <c r="B12" s="610">
        <f t="array" ref="B12">VLOOKUP($A12,ID_DEMO,2,FALSE)</f>
        <v>123964</v>
      </c>
      <c r="C12" s="704" t="s">
        <v>63</v>
      </c>
      <c r="D12" s="612" t="s">
        <v>63</v>
      </c>
      <c r="E12" s="612" t="s">
        <v>63</v>
      </c>
      <c r="F12" s="612" t="s">
        <v>63</v>
      </c>
      <c r="G12" s="612" t="s">
        <v>63</v>
      </c>
      <c r="H12" s="671" t="s">
        <v>63</v>
      </c>
      <c r="I12" s="614" t="s">
        <v>63</v>
      </c>
      <c r="J12" s="615" t="s">
        <v>63</v>
      </c>
      <c r="K12" s="672" t="s">
        <v>63</v>
      </c>
      <c r="L12" s="671" t="s">
        <v>63</v>
      </c>
      <c r="M12" s="614" t="s">
        <v>63</v>
      </c>
      <c r="N12" s="612" t="s">
        <v>63</v>
      </c>
      <c r="O12" s="612" t="s">
        <v>63</v>
      </c>
      <c r="P12" s="620">
        <f>ifna(vlookup(A12,'Population &amp; Church Numbers'!$A$554:$D$597,4,FALSE),"NULL")</f>
        <v>62</v>
      </c>
      <c r="Q12" s="674" t="s">
        <v>63</v>
      </c>
    </row>
    <row r="13">
      <c r="A13" s="609" t="s">
        <v>670</v>
      </c>
      <c r="B13" s="610">
        <f t="array" ref="B13">VLOOKUP($A13,ID_DEMO,2,FALSE)</f>
        <v>12056</v>
      </c>
      <c r="C13" s="704" t="s">
        <v>63</v>
      </c>
      <c r="D13" s="612" t="s">
        <v>63</v>
      </c>
      <c r="E13" s="612" t="s">
        <v>63</v>
      </c>
      <c r="F13" s="612" t="s">
        <v>63</v>
      </c>
      <c r="G13" s="612" t="s">
        <v>63</v>
      </c>
      <c r="H13" s="671" t="s">
        <v>63</v>
      </c>
      <c r="I13" s="614" t="s">
        <v>63</v>
      </c>
      <c r="J13" s="615" t="s">
        <v>63</v>
      </c>
      <c r="K13" s="672" t="s">
        <v>63</v>
      </c>
      <c r="L13" s="671" t="s">
        <v>63</v>
      </c>
      <c r="M13" s="614" t="s">
        <v>63</v>
      </c>
      <c r="N13" s="612" t="s">
        <v>63</v>
      </c>
      <c r="O13" s="612" t="s">
        <v>63</v>
      </c>
      <c r="P13" s="620">
        <f>ifna(vlookup(A13,'Population &amp; Church Numbers'!$A$554:$D$597,4,FALSE),"NULL")</f>
        <v>21</v>
      </c>
      <c r="Q13" s="674" t="s">
        <v>63</v>
      </c>
    </row>
    <row r="14">
      <c r="A14" s="609" t="s">
        <v>324</v>
      </c>
      <c r="B14" s="610">
        <f t="array" ref="B14">VLOOKUP($A14,ID_DEMO,2,FALSE)</f>
        <v>2574</v>
      </c>
      <c r="C14" s="704" t="s">
        <v>63</v>
      </c>
      <c r="D14" s="612" t="s">
        <v>63</v>
      </c>
      <c r="E14" s="612" t="s">
        <v>63</v>
      </c>
      <c r="F14" s="612" t="s">
        <v>63</v>
      </c>
      <c r="G14" s="612" t="s">
        <v>63</v>
      </c>
      <c r="H14" s="671" t="s">
        <v>63</v>
      </c>
      <c r="I14" s="614" t="s">
        <v>63</v>
      </c>
      <c r="J14" s="615" t="s">
        <v>63</v>
      </c>
      <c r="K14" s="672" t="s">
        <v>63</v>
      </c>
      <c r="L14" s="671" t="s">
        <v>63</v>
      </c>
      <c r="M14" s="614" t="s">
        <v>63</v>
      </c>
      <c r="N14" s="612" t="s">
        <v>63</v>
      </c>
      <c r="O14" s="612" t="s">
        <v>63</v>
      </c>
      <c r="P14" s="620">
        <f>ifna(vlookup(A14,'Population &amp; Church Numbers'!$A$554:$D$597,4,FALSE),"NULL")</f>
        <v>10</v>
      </c>
      <c r="Q14" s="674" t="s">
        <v>63</v>
      </c>
    </row>
    <row r="15">
      <c r="A15" s="609" t="s">
        <v>671</v>
      </c>
      <c r="B15" s="610">
        <f t="array" ref="B15">VLOOKUP($A15,ID_DEMO,2,FALSE)</f>
        <v>1077</v>
      </c>
      <c r="C15" s="704" t="s">
        <v>63</v>
      </c>
      <c r="D15" s="612" t="s">
        <v>63</v>
      </c>
      <c r="E15" s="612" t="s">
        <v>63</v>
      </c>
      <c r="F15" s="612" t="s">
        <v>63</v>
      </c>
      <c r="G15" s="612" t="s">
        <v>63</v>
      </c>
      <c r="H15" s="671" t="s">
        <v>63</v>
      </c>
      <c r="I15" s="614" t="s">
        <v>63</v>
      </c>
      <c r="J15" s="615" t="s">
        <v>63</v>
      </c>
      <c r="K15" s="672" t="s">
        <v>63</v>
      </c>
      <c r="L15" s="671" t="s">
        <v>63</v>
      </c>
      <c r="M15" s="614" t="s">
        <v>63</v>
      </c>
      <c r="N15" s="612" t="s">
        <v>63</v>
      </c>
      <c r="O15" s="612" t="s">
        <v>63</v>
      </c>
      <c r="P15" s="620">
        <f>ifna(vlookup(A15,'Population &amp; Church Numbers'!$A$554:$D$597,4,FALSE),"NULL")</f>
        <v>2</v>
      </c>
      <c r="Q15" s="674" t="s">
        <v>63</v>
      </c>
    </row>
    <row r="16">
      <c r="A16" s="609" t="s">
        <v>672</v>
      </c>
      <c r="B16" s="610">
        <f t="array" ref="B16">VLOOKUP($A16,ID_DEMO,2,FALSE)</f>
        <v>231105</v>
      </c>
      <c r="C16" s="704" t="s">
        <v>63</v>
      </c>
      <c r="D16" s="612" t="s">
        <v>63</v>
      </c>
      <c r="E16" s="612" t="s">
        <v>63</v>
      </c>
      <c r="F16" s="612" t="s">
        <v>63</v>
      </c>
      <c r="G16" s="612" t="s">
        <v>63</v>
      </c>
      <c r="H16" s="671" t="s">
        <v>63</v>
      </c>
      <c r="I16" s="614" t="s">
        <v>63</v>
      </c>
      <c r="J16" s="615" t="s">
        <v>63</v>
      </c>
      <c r="K16" s="672" t="s">
        <v>63</v>
      </c>
      <c r="L16" s="671" t="s">
        <v>63</v>
      </c>
      <c r="M16" s="614" t="s">
        <v>63</v>
      </c>
      <c r="N16" s="612" t="s">
        <v>63</v>
      </c>
      <c r="O16" s="612" t="s">
        <v>63</v>
      </c>
      <c r="P16" s="620">
        <f>ifna(vlookup(A16,'Population &amp; Church Numbers'!$A$554:$D$597,4,FALSE),"NULL")</f>
        <v>120</v>
      </c>
      <c r="Q16" s="674" t="s">
        <v>63</v>
      </c>
    </row>
    <row r="17">
      <c r="A17" s="609" t="s">
        <v>673</v>
      </c>
      <c r="B17" s="610">
        <f t="array" ref="B17">VLOOKUP($A17,ID_DEMO,2,FALSE)</f>
        <v>7027</v>
      </c>
      <c r="C17" s="704" t="s">
        <v>63</v>
      </c>
      <c r="D17" s="612" t="s">
        <v>63</v>
      </c>
      <c r="E17" s="612" t="s">
        <v>63</v>
      </c>
      <c r="F17" s="612" t="s">
        <v>63</v>
      </c>
      <c r="G17" s="612" t="s">
        <v>63</v>
      </c>
      <c r="H17" s="671" t="s">
        <v>63</v>
      </c>
      <c r="I17" s="614" t="s">
        <v>63</v>
      </c>
      <c r="J17" s="615" t="s">
        <v>63</v>
      </c>
      <c r="K17" s="672" t="s">
        <v>63</v>
      </c>
      <c r="L17" s="671" t="s">
        <v>63</v>
      </c>
      <c r="M17" s="614" t="s">
        <v>63</v>
      </c>
      <c r="N17" s="612" t="s">
        <v>63</v>
      </c>
      <c r="O17" s="612" t="s">
        <v>63</v>
      </c>
      <c r="P17" s="620">
        <f>ifna(vlookup(A17,'Population &amp; Church Numbers'!$A$554:$D$597,4,FALSE),"NULL")</f>
        <v>11</v>
      </c>
      <c r="Q17" s="674" t="s">
        <v>63</v>
      </c>
    </row>
    <row r="18">
      <c r="A18" s="609" t="s">
        <v>674</v>
      </c>
      <c r="B18" s="610">
        <f t="array" ref="B18">VLOOKUP($A18,ID_DEMO,2,FALSE)</f>
        <v>24655</v>
      </c>
      <c r="C18" s="704" t="s">
        <v>63</v>
      </c>
      <c r="D18" s="612" t="s">
        <v>63</v>
      </c>
      <c r="E18" s="612" t="s">
        <v>63</v>
      </c>
      <c r="F18" s="612" t="s">
        <v>63</v>
      </c>
      <c r="G18" s="612" t="s">
        <v>63</v>
      </c>
      <c r="H18" s="671" t="s">
        <v>63</v>
      </c>
      <c r="I18" s="614" t="s">
        <v>63</v>
      </c>
      <c r="J18" s="615" t="s">
        <v>63</v>
      </c>
      <c r="K18" s="672" t="s">
        <v>63</v>
      </c>
      <c r="L18" s="671" t="s">
        <v>63</v>
      </c>
      <c r="M18" s="614" t="s">
        <v>63</v>
      </c>
      <c r="N18" s="612" t="s">
        <v>63</v>
      </c>
      <c r="O18" s="612" t="s">
        <v>63</v>
      </c>
      <c r="P18" s="620">
        <f>ifna(vlookup(A18,'Population &amp; Church Numbers'!$A$554:$D$597,4,FALSE),"NULL")</f>
        <v>35</v>
      </c>
      <c r="Q18" s="674" t="s">
        <v>63</v>
      </c>
    </row>
    <row r="19">
      <c r="A19" s="609" t="s">
        <v>253</v>
      </c>
      <c r="B19" s="610">
        <f t="array" ref="B19">VLOOKUP($A19,ID_DEMO,2,FALSE)</f>
        <v>790</v>
      </c>
      <c r="C19" s="704" t="s">
        <v>63</v>
      </c>
      <c r="D19" s="612" t="s">
        <v>63</v>
      </c>
      <c r="E19" s="612" t="s">
        <v>63</v>
      </c>
      <c r="F19" s="612" t="s">
        <v>63</v>
      </c>
      <c r="G19" s="612" t="s">
        <v>63</v>
      </c>
      <c r="H19" s="671" t="s">
        <v>63</v>
      </c>
      <c r="I19" s="614" t="s">
        <v>63</v>
      </c>
      <c r="J19" s="615" t="s">
        <v>63</v>
      </c>
      <c r="K19" s="672" t="s">
        <v>63</v>
      </c>
      <c r="L19" s="671" t="s">
        <v>63</v>
      </c>
      <c r="M19" s="614" t="s">
        <v>63</v>
      </c>
      <c r="N19" s="612" t="s">
        <v>63</v>
      </c>
      <c r="O19" s="612" t="s">
        <v>63</v>
      </c>
      <c r="P19" s="620">
        <f>ifna(vlookup(A19,'Population &amp; Church Numbers'!$A$554:$D$597,4,FALSE),"NULL")</f>
        <v>3</v>
      </c>
      <c r="Q19" s="674" t="s">
        <v>63</v>
      </c>
    </row>
    <row r="20">
      <c r="A20" s="609" t="s">
        <v>675</v>
      </c>
      <c r="B20" s="610">
        <f t="array" ref="B20">VLOOKUP($A20,ID_DEMO,2,FALSE)</f>
        <v>8734</v>
      </c>
      <c r="C20" s="704" t="s">
        <v>63</v>
      </c>
      <c r="D20" s="612" t="s">
        <v>63</v>
      </c>
      <c r="E20" s="612" t="s">
        <v>63</v>
      </c>
      <c r="F20" s="612" t="s">
        <v>63</v>
      </c>
      <c r="G20" s="612" t="s">
        <v>63</v>
      </c>
      <c r="H20" s="671" t="s">
        <v>63</v>
      </c>
      <c r="I20" s="614" t="s">
        <v>63</v>
      </c>
      <c r="J20" s="615" t="s">
        <v>63</v>
      </c>
      <c r="K20" s="672" t="s">
        <v>63</v>
      </c>
      <c r="L20" s="671" t="s">
        <v>63</v>
      </c>
      <c r="M20" s="614" t="s">
        <v>63</v>
      </c>
      <c r="N20" s="612" t="s">
        <v>63</v>
      </c>
      <c r="O20" s="612" t="s">
        <v>63</v>
      </c>
      <c r="P20" s="620">
        <f>ifna(vlookup(A20,'Population &amp; Church Numbers'!$A$554:$D$597,4,FALSE),"NULL")</f>
        <v>16</v>
      </c>
      <c r="Q20" s="674" t="s">
        <v>63</v>
      </c>
    </row>
    <row r="21">
      <c r="A21" s="609" t="s">
        <v>406</v>
      </c>
      <c r="B21" s="610">
        <f t="array" ref="B21">VLOOKUP($A21,ID_DEMO,2,FALSE)</f>
        <v>4275</v>
      </c>
      <c r="C21" s="704" t="s">
        <v>63</v>
      </c>
      <c r="D21" s="612" t="s">
        <v>63</v>
      </c>
      <c r="E21" s="612" t="s">
        <v>63</v>
      </c>
      <c r="F21" s="612" t="s">
        <v>63</v>
      </c>
      <c r="G21" s="612" t="s">
        <v>63</v>
      </c>
      <c r="H21" s="671" t="s">
        <v>63</v>
      </c>
      <c r="I21" s="614" t="s">
        <v>63</v>
      </c>
      <c r="J21" s="615" t="s">
        <v>63</v>
      </c>
      <c r="K21" s="672" t="s">
        <v>63</v>
      </c>
      <c r="L21" s="671" t="s">
        <v>63</v>
      </c>
      <c r="M21" s="614" t="s">
        <v>63</v>
      </c>
      <c r="N21" s="612" t="s">
        <v>63</v>
      </c>
      <c r="O21" s="612" t="s">
        <v>63</v>
      </c>
      <c r="P21" s="620">
        <f>ifna(vlookup(A21,'Population &amp; Church Numbers'!$A$554:$D$597,4,FALSE),"NULL")</f>
        <v>6</v>
      </c>
      <c r="Q21" s="674" t="s">
        <v>63</v>
      </c>
    </row>
    <row r="22">
      <c r="A22" s="609" t="s">
        <v>132</v>
      </c>
      <c r="B22" s="610">
        <f t="array" ref="B22">VLOOKUP($A22,ID_DEMO,2,FALSE)</f>
        <v>28666</v>
      </c>
      <c r="C22" s="704" t="s">
        <v>63</v>
      </c>
      <c r="D22" s="612" t="s">
        <v>63</v>
      </c>
      <c r="E22" s="612" t="s">
        <v>63</v>
      </c>
      <c r="F22" s="612" t="s">
        <v>63</v>
      </c>
      <c r="G22" s="612" t="s">
        <v>63</v>
      </c>
      <c r="H22" s="671" t="s">
        <v>63</v>
      </c>
      <c r="I22" s="614" t="s">
        <v>63</v>
      </c>
      <c r="J22" s="615" t="s">
        <v>63</v>
      </c>
      <c r="K22" s="672" t="s">
        <v>63</v>
      </c>
      <c r="L22" s="671" t="s">
        <v>63</v>
      </c>
      <c r="M22" s="614" t="s">
        <v>63</v>
      </c>
      <c r="N22" s="612" t="s">
        <v>63</v>
      </c>
      <c r="O22" s="612" t="s">
        <v>63</v>
      </c>
      <c r="P22" s="620">
        <f>ifna(vlookup(A22,'Population &amp; Church Numbers'!$A$554:$D$597,4,FALSE),"NULL")</f>
        <v>25</v>
      </c>
      <c r="Q22" s="674" t="s">
        <v>63</v>
      </c>
    </row>
    <row r="23">
      <c r="A23" s="609" t="s">
        <v>136</v>
      </c>
      <c r="B23" s="610">
        <f t="array" ref="B23">VLOOKUP($A23,ID_DEMO,2,FALSE)</f>
        <v>14194</v>
      </c>
      <c r="C23" s="704" t="s">
        <v>63</v>
      </c>
      <c r="D23" s="612" t="s">
        <v>63</v>
      </c>
      <c r="E23" s="612" t="s">
        <v>63</v>
      </c>
      <c r="F23" s="612" t="s">
        <v>63</v>
      </c>
      <c r="G23" s="612" t="s">
        <v>63</v>
      </c>
      <c r="H23" s="671" t="s">
        <v>63</v>
      </c>
      <c r="I23" s="614" t="s">
        <v>63</v>
      </c>
      <c r="J23" s="615" t="s">
        <v>63</v>
      </c>
      <c r="K23" s="672" t="s">
        <v>63</v>
      </c>
      <c r="L23" s="671" t="s">
        <v>63</v>
      </c>
      <c r="M23" s="614" t="s">
        <v>63</v>
      </c>
      <c r="N23" s="612" t="s">
        <v>63</v>
      </c>
      <c r="O23" s="612" t="s">
        <v>63</v>
      </c>
      <c r="P23" s="620">
        <f>ifna(vlookup(A23,'Population &amp; Church Numbers'!$A$554:$D$597,4,FALSE),"NULL")</f>
        <v>8</v>
      </c>
      <c r="Q23" s="674" t="s">
        <v>63</v>
      </c>
    </row>
    <row r="24">
      <c r="A24" s="609" t="s">
        <v>416</v>
      </c>
      <c r="B24" s="610">
        <f t="array" ref="B24">VLOOKUP($A24,ID_DEMO,2,FALSE)</f>
        <v>13388</v>
      </c>
      <c r="C24" s="704" t="s">
        <v>63</v>
      </c>
      <c r="D24" s="612" t="s">
        <v>63</v>
      </c>
      <c r="E24" s="612" t="s">
        <v>63</v>
      </c>
      <c r="F24" s="612" t="s">
        <v>63</v>
      </c>
      <c r="G24" s="612" t="s">
        <v>63</v>
      </c>
      <c r="H24" s="671" t="s">
        <v>63</v>
      </c>
      <c r="I24" s="614" t="s">
        <v>63</v>
      </c>
      <c r="J24" s="615" t="s">
        <v>63</v>
      </c>
      <c r="K24" s="672" t="s">
        <v>63</v>
      </c>
      <c r="L24" s="671" t="s">
        <v>63</v>
      </c>
      <c r="M24" s="614" t="s">
        <v>63</v>
      </c>
      <c r="N24" s="612" t="s">
        <v>63</v>
      </c>
      <c r="O24" s="612" t="s">
        <v>63</v>
      </c>
      <c r="P24" s="620">
        <f>ifna(vlookup(A24,'Population &amp; Church Numbers'!$A$554:$D$597,4,FALSE),"NULL")</f>
        <v>17</v>
      </c>
      <c r="Q24" s="674" t="s">
        <v>63</v>
      </c>
    </row>
    <row r="25">
      <c r="A25" s="609" t="s">
        <v>676</v>
      </c>
      <c r="B25" s="610">
        <f t="array" ref="B25">VLOOKUP($A25,ID_DEMO,2,FALSE)</f>
        <v>19123</v>
      </c>
      <c r="C25" s="704" t="s">
        <v>63</v>
      </c>
      <c r="D25" s="612" t="s">
        <v>63</v>
      </c>
      <c r="E25" s="612" t="s">
        <v>63</v>
      </c>
      <c r="F25" s="612" t="s">
        <v>63</v>
      </c>
      <c r="G25" s="612" t="s">
        <v>63</v>
      </c>
      <c r="H25" s="671" t="s">
        <v>63</v>
      </c>
      <c r="I25" s="614" t="s">
        <v>63</v>
      </c>
      <c r="J25" s="615" t="s">
        <v>63</v>
      </c>
      <c r="K25" s="672" t="s">
        <v>63</v>
      </c>
      <c r="L25" s="671" t="s">
        <v>63</v>
      </c>
      <c r="M25" s="614" t="s">
        <v>63</v>
      </c>
      <c r="N25" s="612" t="s">
        <v>63</v>
      </c>
      <c r="O25" s="612" t="s">
        <v>63</v>
      </c>
      <c r="P25" s="620">
        <f>ifna(vlookup(A25,'Population &amp; Church Numbers'!$A$554:$D$597,4,FALSE),"NULL")</f>
        <v>17</v>
      </c>
      <c r="Q25" s="674" t="s">
        <v>63</v>
      </c>
    </row>
    <row r="26">
      <c r="A26" s="609" t="s">
        <v>677</v>
      </c>
      <c r="B26" s="610">
        <f t="array" ref="B26">VLOOKUP($A26,ID_DEMO,2,FALSE)</f>
        <v>15598</v>
      </c>
      <c r="C26" s="704" t="s">
        <v>63</v>
      </c>
      <c r="D26" s="612" t="s">
        <v>63</v>
      </c>
      <c r="E26" s="612" t="s">
        <v>63</v>
      </c>
      <c r="F26" s="612" t="s">
        <v>63</v>
      </c>
      <c r="G26" s="612" t="s">
        <v>63</v>
      </c>
      <c r="H26" s="671" t="s">
        <v>63</v>
      </c>
      <c r="I26" s="614" t="s">
        <v>63</v>
      </c>
      <c r="J26" s="615" t="s">
        <v>63</v>
      </c>
      <c r="K26" s="672" t="s">
        <v>63</v>
      </c>
      <c r="L26" s="671" t="s">
        <v>63</v>
      </c>
      <c r="M26" s="614" t="s">
        <v>63</v>
      </c>
      <c r="N26" s="612" t="s">
        <v>63</v>
      </c>
      <c r="O26" s="612" t="s">
        <v>63</v>
      </c>
      <c r="P26" s="620">
        <f>ifna(vlookup(A26,'Population &amp; Church Numbers'!$A$554:$D$597,4,FALSE),"NULL")</f>
        <v>18</v>
      </c>
      <c r="Q26" s="674" t="s">
        <v>63</v>
      </c>
    </row>
    <row r="27">
      <c r="A27" s="609" t="s">
        <v>47</v>
      </c>
      <c r="B27" s="610">
        <f t="array" ref="B27">VLOOKUP($A27,ID_DEMO,2,FALSE)</f>
        <v>16541</v>
      </c>
      <c r="C27" s="704" t="s">
        <v>63</v>
      </c>
      <c r="D27" s="612" t="s">
        <v>63</v>
      </c>
      <c r="E27" s="612" t="s">
        <v>63</v>
      </c>
      <c r="F27" s="612" t="s">
        <v>63</v>
      </c>
      <c r="G27" s="612" t="s">
        <v>63</v>
      </c>
      <c r="H27" s="671" t="s">
        <v>63</v>
      </c>
      <c r="I27" s="614" t="s">
        <v>63</v>
      </c>
      <c r="J27" s="615" t="s">
        <v>63</v>
      </c>
      <c r="K27" s="672" t="s">
        <v>63</v>
      </c>
      <c r="L27" s="671" t="s">
        <v>63</v>
      </c>
      <c r="M27" s="614" t="s">
        <v>63</v>
      </c>
      <c r="N27" s="612" t="s">
        <v>63</v>
      </c>
      <c r="O27" s="612" t="s">
        <v>63</v>
      </c>
      <c r="P27" s="620">
        <f>ifna(vlookup(A27,'Population &amp; Church Numbers'!$A$554:$D$597,4,FALSE),"NULL")</f>
        <v>27</v>
      </c>
      <c r="Q27" s="674" t="s">
        <v>63</v>
      </c>
    </row>
    <row r="28">
      <c r="A28" s="609" t="s">
        <v>143</v>
      </c>
      <c r="B28" s="610">
        <f t="array" ref="B28">VLOOKUP($A28,ID_DEMO,2,FALSE)</f>
        <v>30891</v>
      </c>
      <c r="C28" s="704" t="s">
        <v>63</v>
      </c>
      <c r="D28" s="612" t="s">
        <v>63</v>
      </c>
      <c r="E28" s="612" t="s">
        <v>63</v>
      </c>
      <c r="F28" s="612" t="s">
        <v>63</v>
      </c>
      <c r="G28" s="612" t="s">
        <v>63</v>
      </c>
      <c r="H28" s="671" t="s">
        <v>63</v>
      </c>
      <c r="I28" s="614" t="s">
        <v>63</v>
      </c>
      <c r="J28" s="615" t="s">
        <v>63</v>
      </c>
      <c r="K28" s="672" t="s">
        <v>63</v>
      </c>
      <c r="L28" s="671" t="s">
        <v>63</v>
      </c>
      <c r="M28" s="614" t="s">
        <v>63</v>
      </c>
      <c r="N28" s="612" t="s">
        <v>63</v>
      </c>
      <c r="O28" s="612" t="s">
        <v>63</v>
      </c>
      <c r="P28" s="620">
        <f>ifna(vlookup(A28,'Population &amp; Church Numbers'!$A$554:$D$597,4,FALSE),"NULL")</f>
        <v>20</v>
      </c>
      <c r="Q28" s="674" t="s">
        <v>63</v>
      </c>
    </row>
    <row r="29">
      <c r="A29" s="609" t="s">
        <v>678</v>
      </c>
      <c r="B29" s="610">
        <f t="array" ref="B29">VLOOKUP($A29,ID_DEMO,2,FALSE)</f>
        <v>24237</v>
      </c>
      <c r="C29" s="704" t="s">
        <v>63</v>
      </c>
      <c r="D29" s="612" t="s">
        <v>63</v>
      </c>
      <c r="E29" s="612" t="s">
        <v>63</v>
      </c>
      <c r="F29" s="612" t="s">
        <v>63</v>
      </c>
      <c r="G29" s="612" t="s">
        <v>63</v>
      </c>
      <c r="H29" s="671" t="s">
        <v>63</v>
      </c>
      <c r="I29" s="614" t="s">
        <v>63</v>
      </c>
      <c r="J29" s="615" t="s">
        <v>63</v>
      </c>
      <c r="K29" s="672" t="s">
        <v>63</v>
      </c>
      <c r="L29" s="671" t="s">
        <v>63</v>
      </c>
      <c r="M29" s="614" t="s">
        <v>63</v>
      </c>
      <c r="N29" s="612" t="s">
        <v>63</v>
      </c>
      <c r="O29" s="612" t="s">
        <v>63</v>
      </c>
      <c r="P29" s="620">
        <f>ifna(vlookup(A29,'Population &amp; Church Numbers'!$A$554:$D$597,4,FALSE),"NULL")</f>
        <v>18</v>
      </c>
      <c r="Q29" s="674" t="s">
        <v>63</v>
      </c>
    </row>
    <row r="30">
      <c r="A30" s="609" t="s">
        <v>679</v>
      </c>
      <c r="B30" s="610">
        <f t="array" ref="B30">VLOOKUP($A30,ID_DEMO,2,FALSE)</f>
        <v>171362</v>
      </c>
      <c r="C30" s="704" t="s">
        <v>63</v>
      </c>
      <c r="D30" s="612" t="s">
        <v>63</v>
      </c>
      <c r="E30" s="612" t="s">
        <v>63</v>
      </c>
      <c r="F30" s="612" t="s">
        <v>63</v>
      </c>
      <c r="G30" s="612" t="s">
        <v>63</v>
      </c>
      <c r="H30" s="671" t="s">
        <v>63</v>
      </c>
      <c r="I30" s="614" t="s">
        <v>63</v>
      </c>
      <c r="J30" s="615" t="s">
        <v>63</v>
      </c>
      <c r="K30" s="672" t="s">
        <v>63</v>
      </c>
      <c r="L30" s="671" t="s">
        <v>63</v>
      </c>
      <c r="M30" s="614" t="s">
        <v>63</v>
      </c>
      <c r="N30" s="612" t="s">
        <v>63</v>
      </c>
      <c r="O30" s="612" t="s">
        <v>63</v>
      </c>
      <c r="P30" s="620">
        <f>ifna(vlookup(A30,'Population &amp; Church Numbers'!$A$554:$D$597,4,FALSE),"NULL")</f>
        <v>91</v>
      </c>
      <c r="Q30" s="674" t="s">
        <v>63</v>
      </c>
    </row>
    <row r="31">
      <c r="A31" s="609" t="s">
        <v>680</v>
      </c>
      <c r="B31" s="610">
        <f t="array" ref="B31">VLOOKUP($A31,ID_DEMO,2,FALSE)</f>
        <v>39517</v>
      </c>
      <c r="C31" s="704" t="s">
        <v>63</v>
      </c>
      <c r="D31" s="612" t="s">
        <v>63</v>
      </c>
      <c r="E31" s="612" t="s">
        <v>63</v>
      </c>
      <c r="F31" s="612" t="s">
        <v>63</v>
      </c>
      <c r="G31" s="612" t="s">
        <v>63</v>
      </c>
      <c r="H31" s="671" t="s">
        <v>63</v>
      </c>
      <c r="I31" s="614" t="s">
        <v>63</v>
      </c>
      <c r="J31" s="615" t="s">
        <v>63</v>
      </c>
      <c r="K31" s="672" t="s">
        <v>63</v>
      </c>
      <c r="L31" s="671" t="s">
        <v>63</v>
      </c>
      <c r="M31" s="614" t="s">
        <v>63</v>
      </c>
      <c r="N31" s="612" t="s">
        <v>63</v>
      </c>
      <c r="O31" s="612" t="s">
        <v>63</v>
      </c>
      <c r="P31" s="620">
        <f>ifna(vlookup(A31,'Population &amp; Church Numbers'!$A$554:$D$597,4,FALSE),"NULL")</f>
        <v>31</v>
      </c>
      <c r="Q31" s="674" t="s">
        <v>63</v>
      </c>
    </row>
    <row r="32">
      <c r="A32" s="609" t="s">
        <v>681</v>
      </c>
      <c r="B32" s="610">
        <f t="array" ref="B32">VLOOKUP($A32,ID_DEMO,2,FALSE)</f>
        <v>7974</v>
      </c>
      <c r="C32" s="704" t="s">
        <v>63</v>
      </c>
      <c r="D32" s="612" t="s">
        <v>63</v>
      </c>
      <c r="E32" s="612" t="s">
        <v>63</v>
      </c>
      <c r="F32" s="612" t="s">
        <v>63</v>
      </c>
      <c r="G32" s="612" t="s">
        <v>63</v>
      </c>
      <c r="H32" s="671" t="s">
        <v>63</v>
      </c>
      <c r="I32" s="614" t="s">
        <v>63</v>
      </c>
      <c r="J32" s="615" t="s">
        <v>63</v>
      </c>
      <c r="K32" s="672" t="s">
        <v>63</v>
      </c>
      <c r="L32" s="671" t="s">
        <v>63</v>
      </c>
      <c r="M32" s="614" t="s">
        <v>63</v>
      </c>
      <c r="N32" s="612" t="s">
        <v>63</v>
      </c>
      <c r="O32" s="612" t="s">
        <v>63</v>
      </c>
      <c r="P32" s="620">
        <f>ifna(vlookup(A32,'Population &amp; Church Numbers'!$A$554:$D$597,4,FALSE),"NULL")</f>
        <v>15</v>
      </c>
      <c r="Q32" s="674" t="s">
        <v>63</v>
      </c>
    </row>
    <row r="33">
      <c r="A33" s="609" t="s">
        <v>682</v>
      </c>
      <c r="B33" s="610">
        <f t="array" ref="B33">VLOOKUP($A33,ID_DEMO,2,FALSE)</f>
        <v>3533</v>
      </c>
      <c r="C33" s="704" t="s">
        <v>63</v>
      </c>
      <c r="D33" s="612" t="s">
        <v>63</v>
      </c>
      <c r="E33" s="612" t="s">
        <v>63</v>
      </c>
      <c r="F33" s="612" t="s">
        <v>63</v>
      </c>
      <c r="G33" s="612" t="s">
        <v>63</v>
      </c>
      <c r="H33" s="671" t="s">
        <v>63</v>
      </c>
      <c r="I33" s="614" t="s">
        <v>63</v>
      </c>
      <c r="J33" s="615" t="s">
        <v>63</v>
      </c>
      <c r="K33" s="672" t="s">
        <v>63</v>
      </c>
      <c r="L33" s="671" t="s">
        <v>63</v>
      </c>
      <c r="M33" s="614" t="s">
        <v>63</v>
      </c>
      <c r="N33" s="612" t="s">
        <v>63</v>
      </c>
      <c r="O33" s="612" t="s">
        <v>63</v>
      </c>
      <c r="P33" s="620">
        <f>ifna(vlookup(A33,'Population &amp; Church Numbers'!$A$554:$D$597,4,FALSE),"NULL")</f>
        <v>13</v>
      </c>
      <c r="Q33" s="674" t="s">
        <v>63</v>
      </c>
    </row>
    <row r="34">
      <c r="A34" s="609" t="s">
        <v>290</v>
      </c>
      <c r="B34" s="610">
        <f t="array" ref="B34">VLOOKUP($A34,ID_DEMO,2,FALSE)</f>
        <v>5127</v>
      </c>
      <c r="C34" s="704" t="s">
        <v>63</v>
      </c>
      <c r="D34" s="612" t="s">
        <v>63</v>
      </c>
      <c r="E34" s="612" t="s">
        <v>63</v>
      </c>
      <c r="F34" s="612" t="s">
        <v>63</v>
      </c>
      <c r="G34" s="612" t="s">
        <v>63</v>
      </c>
      <c r="H34" s="671" t="s">
        <v>63</v>
      </c>
      <c r="I34" s="614" t="s">
        <v>63</v>
      </c>
      <c r="J34" s="615" t="s">
        <v>63</v>
      </c>
      <c r="K34" s="672" t="s">
        <v>63</v>
      </c>
      <c r="L34" s="671" t="s">
        <v>63</v>
      </c>
      <c r="M34" s="614" t="s">
        <v>63</v>
      </c>
      <c r="N34" s="612" t="s">
        <v>63</v>
      </c>
      <c r="O34" s="612" t="s">
        <v>63</v>
      </c>
      <c r="P34" s="620">
        <f>ifna(vlookup(A34,'Population &amp; Church Numbers'!$A$554:$D$597,4,FALSE),"NULL")</f>
        <v>6</v>
      </c>
      <c r="Q34" s="674" t="s">
        <v>63</v>
      </c>
    </row>
    <row r="35">
      <c r="A35" s="609" t="s">
        <v>151</v>
      </c>
      <c r="B35" s="610">
        <f t="array" ref="B35">VLOOKUP($A35,ID_DEMO,2,FALSE)</f>
        <v>52913</v>
      </c>
      <c r="C35" s="704" t="s">
        <v>63</v>
      </c>
      <c r="D35" s="612" t="s">
        <v>63</v>
      </c>
      <c r="E35" s="612" t="s">
        <v>63</v>
      </c>
      <c r="F35" s="612" t="s">
        <v>63</v>
      </c>
      <c r="G35" s="612" t="s">
        <v>63</v>
      </c>
      <c r="H35" s="671" t="s">
        <v>63</v>
      </c>
      <c r="I35" s="614" t="s">
        <v>63</v>
      </c>
      <c r="J35" s="615" t="s">
        <v>63</v>
      </c>
      <c r="K35" s="672" t="s">
        <v>63</v>
      </c>
      <c r="L35" s="671" t="s">
        <v>63</v>
      </c>
      <c r="M35" s="614" t="s">
        <v>63</v>
      </c>
      <c r="N35" s="612" t="s">
        <v>63</v>
      </c>
      <c r="O35" s="612" t="s">
        <v>63</v>
      </c>
      <c r="P35" s="620">
        <f>ifna(vlookup(A35,'Population &amp; Church Numbers'!$A$554:$D$597,4,FALSE),"NULL")</f>
        <v>25</v>
      </c>
      <c r="Q35" s="674" t="s">
        <v>63</v>
      </c>
    </row>
    <row r="36">
      <c r="A36" s="609" t="s">
        <v>683</v>
      </c>
      <c r="B36" s="610">
        <f t="array" ref="B36">VLOOKUP($A36,ID_DEMO,2,FALSE)</f>
        <v>21613</v>
      </c>
      <c r="C36" s="704" t="s">
        <v>63</v>
      </c>
      <c r="D36" s="612" t="s">
        <v>63</v>
      </c>
      <c r="E36" s="612" t="s">
        <v>63</v>
      </c>
      <c r="F36" s="612" t="s">
        <v>63</v>
      </c>
      <c r="G36" s="612" t="s">
        <v>63</v>
      </c>
      <c r="H36" s="671" t="s">
        <v>63</v>
      </c>
      <c r="I36" s="614" t="s">
        <v>63</v>
      </c>
      <c r="J36" s="615" t="s">
        <v>63</v>
      </c>
      <c r="K36" s="672" t="s">
        <v>63</v>
      </c>
      <c r="L36" s="671" t="s">
        <v>63</v>
      </c>
      <c r="M36" s="614" t="s">
        <v>63</v>
      </c>
      <c r="N36" s="612" t="s">
        <v>63</v>
      </c>
      <c r="O36" s="612" t="s">
        <v>63</v>
      </c>
      <c r="P36" s="620">
        <f>ifna(vlookup(A36,'Population &amp; Church Numbers'!$A$554:$D$597,4,FALSE),"NULL")</f>
        <v>27</v>
      </c>
      <c r="Q36" s="674" t="s">
        <v>63</v>
      </c>
    </row>
    <row r="37">
      <c r="A37" s="609" t="s">
        <v>684</v>
      </c>
      <c r="B37" s="610">
        <f t="array" ref="B37">VLOOKUP($A37,ID_DEMO,2,FALSE)</f>
        <v>42090</v>
      </c>
      <c r="C37" s="704" t="s">
        <v>63</v>
      </c>
      <c r="D37" s="612" t="s">
        <v>63</v>
      </c>
      <c r="E37" s="612" t="s">
        <v>63</v>
      </c>
      <c r="F37" s="612" t="s">
        <v>63</v>
      </c>
      <c r="G37" s="612" t="s">
        <v>63</v>
      </c>
      <c r="H37" s="671" t="s">
        <v>63</v>
      </c>
      <c r="I37" s="614" t="s">
        <v>63</v>
      </c>
      <c r="J37" s="615" t="s">
        <v>63</v>
      </c>
      <c r="K37" s="672" t="s">
        <v>63</v>
      </c>
      <c r="L37" s="671" t="s">
        <v>63</v>
      </c>
      <c r="M37" s="614" t="s">
        <v>63</v>
      </c>
      <c r="N37" s="612" t="s">
        <v>63</v>
      </c>
      <c r="O37" s="612" t="s">
        <v>63</v>
      </c>
      <c r="P37" s="620">
        <f>ifna(vlookup(A37,'Population &amp; Church Numbers'!$A$554:$D$597,4,FALSE),"NULL")</f>
        <v>35</v>
      </c>
      <c r="Q37" s="674" t="s">
        <v>63</v>
      </c>
    </row>
    <row r="38">
      <c r="A38" s="609" t="s">
        <v>685</v>
      </c>
      <c r="B38" s="610">
        <f t="array" ref="B38">VLOOKUP($A38,ID_DEMO,2,FALSE)</f>
        <v>4564</v>
      </c>
      <c r="C38" s="704" t="s">
        <v>63</v>
      </c>
      <c r="D38" s="612" t="s">
        <v>63</v>
      </c>
      <c r="E38" s="612" t="s">
        <v>63</v>
      </c>
      <c r="F38" s="612" t="s">
        <v>63</v>
      </c>
      <c r="G38" s="612" t="s">
        <v>63</v>
      </c>
      <c r="H38" s="671" t="s">
        <v>63</v>
      </c>
      <c r="I38" s="614" t="s">
        <v>63</v>
      </c>
      <c r="J38" s="615" t="s">
        <v>63</v>
      </c>
      <c r="K38" s="672" t="s">
        <v>63</v>
      </c>
      <c r="L38" s="671" t="s">
        <v>63</v>
      </c>
      <c r="M38" s="614" t="s">
        <v>63</v>
      </c>
      <c r="N38" s="612" t="s">
        <v>63</v>
      </c>
      <c r="O38" s="612" t="s">
        <v>63</v>
      </c>
      <c r="P38" s="620">
        <f>ifna(vlookup(A38,'Population &amp; Church Numbers'!$A$554:$D$597,4,FALSE),"NULL")</f>
        <v>6</v>
      </c>
      <c r="Q38" s="674" t="s">
        <v>63</v>
      </c>
    </row>
    <row r="39">
      <c r="A39" s="609" t="s">
        <v>686</v>
      </c>
      <c r="B39" s="610">
        <f t="array" ref="B39">VLOOKUP($A39,ID_DEMO,2,FALSE)</f>
        <v>11913</v>
      </c>
      <c r="C39" s="704" t="s">
        <v>63</v>
      </c>
      <c r="D39" s="612" t="s">
        <v>63</v>
      </c>
      <c r="E39" s="612" t="s">
        <v>63</v>
      </c>
      <c r="F39" s="612" t="s">
        <v>63</v>
      </c>
      <c r="G39" s="612" t="s">
        <v>63</v>
      </c>
      <c r="H39" s="671" t="s">
        <v>63</v>
      </c>
      <c r="I39" s="614" t="s">
        <v>63</v>
      </c>
      <c r="J39" s="615" t="s">
        <v>63</v>
      </c>
      <c r="K39" s="672" t="s">
        <v>63</v>
      </c>
      <c r="L39" s="671" t="s">
        <v>63</v>
      </c>
      <c r="M39" s="614" t="s">
        <v>63</v>
      </c>
      <c r="N39" s="612" t="s">
        <v>63</v>
      </c>
      <c r="O39" s="612" t="s">
        <v>63</v>
      </c>
      <c r="P39" s="620">
        <f>ifna(vlookup(A39,'Population &amp; Church Numbers'!$A$554:$D$597,4,FALSE),"NULL")</f>
        <v>12</v>
      </c>
      <c r="Q39" s="674" t="s">
        <v>63</v>
      </c>
    </row>
    <row r="40">
      <c r="A40" s="609" t="s">
        <v>687</v>
      </c>
      <c r="B40" s="610">
        <f t="array" ref="B40">VLOOKUP($A40,ID_DEMO,2,FALSE)</f>
        <v>25386</v>
      </c>
      <c r="C40" s="704" t="s">
        <v>63</v>
      </c>
      <c r="D40" s="612" t="s">
        <v>63</v>
      </c>
      <c r="E40" s="612" t="s">
        <v>63</v>
      </c>
      <c r="F40" s="612" t="s">
        <v>63</v>
      </c>
      <c r="G40" s="612" t="s">
        <v>63</v>
      </c>
      <c r="H40" s="671" t="s">
        <v>63</v>
      </c>
      <c r="I40" s="614" t="s">
        <v>63</v>
      </c>
      <c r="J40" s="615" t="s">
        <v>63</v>
      </c>
      <c r="K40" s="672" t="s">
        <v>63</v>
      </c>
      <c r="L40" s="671" t="s">
        <v>63</v>
      </c>
      <c r="M40" s="614" t="s">
        <v>63</v>
      </c>
      <c r="N40" s="612" t="s">
        <v>63</v>
      </c>
      <c r="O40" s="612" t="s">
        <v>63</v>
      </c>
      <c r="P40" s="620">
        <f>ifna(vlookup(A40,'Population &amp; Church Numbers'!$A$554:$D$597,4,FALSE),"NULL")</f>
        <v>32</v>
      </c>
      <c r="Q40" s="674" t="s">
        <v>63</v>
      </c>
    </row>
    <row r="41">
      <c r="A41" s="609" t="s">
        <v>688</v>
      </c>
      <c r="B41" s="610">
        <f t="array" ref="B41">VLOOKUP($A41,ID_DEMO,2,FALSE)</f>
        <v>7878</v>
      </c>
      <c r="C41" s="704" t="s">
        <v>63</v>
      </c>
      <c r="D41" s="612" t="s">
        <v>63</v>
      </c>
      <c r="E41" s="612" t="s">
        <v>63</v>
      </c>
      <c r="F41" s="612" t="s">
        <v>63</v>
      </c>
      <c r="G41" s="612" t="s">
        <v>63</v>
      </c>
      <c r="H41" s="671" t="s">
        <v>63</v>
      </c>
      <c r="I41" s="614" t="s">
        <v>63</v>
      </c>
      <c r="J41" s="615" t="s">
        <v>63</v>
      </c>
      <c r="K41" s="672" t="s">
        <v>63</v>
      </c>
      <c r="L41" s="671" t="s">
        <v>63</v>
      </c>
      <c r="M41" s="614" t="s">
        <v>63</v>
      </c>
      <c r="N41" s="612" t="s">
        <v>63</v>
      </c>
      <c r="O41" s="612" t="s">
        <v>63</v>
      </c>
      <c r="P41" s="620">
        <f>ifna(vlookup(A41,'Population &amp; Church Numbers'!$A$554:$D$597,4,FALSE),"NULL")</f>
        <v>10</v>
      </c>
      <c r="Q41" s="674" t="s">
        <v>63</v>
      </c>
    </row>
    <row r="42">
      <c r="A42" s="609" t="s">
        <v>689</v>
      </c>
      <c r="B42" s="610">
        <f t="array" ref="B42">VLOOKUP($A42,ID_DEMO,2,FALSE)</f>
        <v>13169</v>
      </c>
      <c r="C42" s="704" t="s">
        <v>63</v>
      </c>
      <c r="D42" s="612" t="s">
        <v>63</v>
      </c>
      <c r="E42" s="612" t="s">
        <v>63</v>
      </c>
      <c r="F42" s="612" t="s">
        <v>63</v>
      </c>
      <c r="G42" s="612" t="s">
        <v>63</v>
      </c>
      <c r="H42" s="671" t="s">
        <v>63</v>
      </c>
      <c r="I42" s="614" t="s">
        <v>63</v>
      </c>
      <c r="J42" s="615" t="s">
        <v>63</v>
      </c>
      <c r="K42" s="672" t="s">
        <v>63</v>
      </c>
      <c r="L42" s="671" t="s">
        <v>63</v>
      </c>
      <c r="M42" s="614" t="s">
        <v>63</v>
      </c>
      <c r="N42" s="612" t="s">
        <v>63</v>
      </c>
      <c r="O42" s="612" t="s">
        <v>63</v>
      </c>
      <c r="P42" s="620">
        <f>ifna(vlookup(A42,'Population &amp; Church Numbers'!$A$554:$D$597,4,FALSE),"NULL")</f>
        <v>17</v>
      </c>
      <c r="Q42" s="674" t="s">
        <v>63</v>
      </c>
    </row>
    <row r="43">
      <c r="A43" s="609" t="s">
        <v>690</v>
      </c>
      <c r="B43" s="610">
        <f t="array" ref="B43">VLOOKUP($A43,ID_DEMO,2,FALSE)</f>
        <v>11630</v>
      </c>
      <c r="C43" s="704" t="s">
        <v>63</v>
      </c>
      <c r="D43" s="612" t="s">
        <v>63</v>
      </c>
      <c r="E43" s="612" t="s">
        <v>63</v>
      </c>
      <c r="F43" s="612" t="s">
        <v>63</v>
      </c>
      <c r="G43" s="612" t="s">
        <v>63</v>
      </c>
      <c r="H43" s="671" t="s">
        <v>63</v>
      </c>
      <c r="I43" s="614" t="s">
        <v>63</v>
      </c>
      <c r="J43" s="615" t="s">
        <v>63</v>
      </c>
      <c r="K43" s="672" t="s">
        <v>63</v>
      </c>
      <c r="L43" s="671" t="s">
        <v>63</v>
      </c>
      <c r="M43" s="614" t="s">
        <v>63</v>
      </c>
      <c r="N43" s="612" t="s">
        <v>63</v>
      </c>
      <c r="O43" s="612" t="s">
        <v>63</v>
      </c>
      <c r="P43" s="620">
        <f>ifna(vlookup(A43,'Population &amp; Church Numbers'!$A$554:$D$597,4,FALSE),"NULL")</f>
        <v>4</v>
      </c>
      <c r="Q43" s="674" t="s">
        <v>63</v>
      </c>
    </row>
    <row r="44">
      <c r="A44" s="609" t="s">
        <v>691</v>
      </c>
      <c r="B44" s="610">
        <f t="array" ref="B44">VLOOKUP($A44,ID_DEMO,2,FALSE)</f>
        <v>90046</v>
      </c>
      <c r="C44" s="704" t="s">
        <v>63</v>
      </c>
      <c r="D44" s="612" t="s">
        <v>63</v>
      </c>
      <c r="E44" s="612" t="s">
        <v>63</v>
      </c>
      <c r="F44" s="612" t="s">
        <v>63</v>
      </c>
      <c r="G44" s="612" t="s">
        <v>63</v>
      </c>
      <c r="H44" s="671" t="s">
        <v>63</v>
      </c>
      <c r="I44" s="614" t="s">
        <v>63</v>
      </c>
      <c r="J44" s="615" t="s">
        <v>63</v>
      </c>
      <c r="K44" s="672" t="s">
        <v>63</v>
      </c>
      <c r="L44" s="671" t="s">
        <v>63</v>
      </c>
      <c r="M44" s="614" t="s">
        <v>63</v>
      </c>
      <c r="N44" s="612" t="s">
        <v>63</v>
      </c>
      <c r="O44" s="612" t="s">
        <v>63</v>
      </c>
      <c r="P44" s="620">
        <f>ifna(vlookup(A44,'Population &amp; Church Numbers'!$A$554:$D$597,4,FALSE),"NULL")</f>
        <v>78</v>
      </c>
      <c r="Q44" s="674" t="s">
        <v>63</v>
      </c>
    </row>
    <row r="45">
      <c r="A45" s="609" t="s">
        <v>692</v>
      </c>
      <c r="B45" s="610">
        <f t="array" ref="B45">VLOOKUP($A45,ID_DEMO,2,FALSE)</f>
        <v>11746</v>
      </c>
      <c r="C45" s="704" t="s">
        <v>63</v>
      </c>
      <c r="D45" s="612" t="s">
        <v>63</v>
      </c>
      <c r="E45" s="612" t="s">
        <v>63</v>
      </c>
      <c r="F45" s="612" t="s">
        <v>63</v>
      </c>
      <c r="G45" s="612" t="s">
        <v>63</v>
      </c>
      <c r="H45" s="671" t="s">
        <v>63</v>
      </c>
      <c r="I45" s="614" t="s">
        <v>63</v>
      </c>
      <c r="J45" s="615" t="s">
        <v>63</v>
      </c>
      <c r="K45" s="672" t="s">
        <v>63</v>
      </c>
      <c r="L45" s="671" t="s">
        <v>63</v>
      </c>
      <c r="M45" s="614" t="s">
        <v>63</v>
      </c>
      <c r="N45" s="612" t="s">
        <v>63</v>
      </c>
      <c r="O45" s="612" t="s">
        <v>63</v>
      </c>
      <c r="P45" s="620">
        <f>ifna(vlookup(A45,'Population &amp; Church Numbers'!$A$554:$D$597,4,FALSE),"NULL")</f>
        <v>14</v>
      </c>
      <c r="Q45" s="674" t="s">
        <v>63</v>
      </c>
    </row>
    <row r="46">
      <c r="A46" s="609" t="s">
        <v>119</v>
      </c>
      <c r="B46" s="610">
        <f t="array" ref="B46">VLOOKUP($A46,ID_DEMO,2,FALSE)</f>
        <v>10500</v>
      </c>
      <c r="C46" s="704" t="s">
        <v>63</v>
      </c>
      <c r="D46" s="612" t="s">
        <v>63</v>
      </c>
      <c r="E46" s="612" t="s">
        <v>63</v>
      </c>
      <c r="F46" s="612" t="s">
        <v>63</v>
      </c>
      <c r="G46" s="612" t="s">
        <v>63</v>
      </c>
      <c r="H46" s="671" t="s">
        <v>63</v>
      </c>
      <c r="I46" s="614" t="s">
        <v>63</v>
      </c>
      <c r="J46" s="615" t="s">
        <v>63</v>
      </c>
      <c r="K46" s="672" t="s">
        <v>63</v>
      </c>
      <c r="L46" s="671" t="s">
        <v>63</v>
      </c>
      <c r="M46" s="614" t="s">
        <v>63</v>
      </c>
      <c r="N46" s="612" t="s">
        <v>63</v>
      </c>
      <c r="O46" s="612" t="s">
        <v>63</v>
      </c>
      <c r="P46" s="620">
        <f>ifna(vlookup(A46,'Population &amp; Church Numbers'!$A$554:$D$597,4,FALSE),"NULL")</f>
        <v>12</v>
      </c>
      <c r="Q46" s="674" t="s">
        <v>63</v>
      </c>
    </row>
    <row r="47">
      <c r="A47" s="217"/>
      <c r="B47" s="218"/>
      <c r="C47" s="219"/>
      <c r="D47" s="220"/>
      <c r="E47" s="220"/>
      <c r="F47" s="220"/>
      <c r="G47" s="220"/>
      <c r="H47" s="221"/>
      <c r="I47" s="222"/>
      <c r="J47" s="223"/>
      <c r="K47" s="219"/>
      <c r="L47" s="224"/>
      <c r="M47" s="225"/>
      <c r="N47" s="226"/>
      <c r="O47" s="220"/>
      <c r="P47" s="221"/>
      <c r="Q47" s="227"/>
    </row>
    <row r="48">
      <c r="A48" s="228" t="s">
        <v>2</v>
      </c>
      <c r="B48" s="229"/>
      <c r="C48" s="230">
        <f>AFCARSCSC!B16</f>
        <v>1548</v>
      </c>
      <c r="D48" s="311" t="s">
        <v>63</v>
      </c>
      <c r="E48" s="311" t="s">
        <v>63</v>
      </c>
      <c r="F48" s="311" t="s">
        <v>63</v>
      </c>
      <c r="G48" s="311" t="s">
        <v>63</v>
      </c>
      <c r="H48" s="233">
        <f>AFCARSCSC!D16</f>
        <v>1187</v>
      </c>
      <c r="I48" s="234">
        <f>AFCARSCSC!C16</f>
        <v>170</v>
      </c>
      <c r="J48" s="305" t="s">
        <v>63</v>
      </c>
      <c r="K48" s="708" t="s">
        <v>63</v>
      </c>
      <c r="L48" s="309" t="s">
        <v>63</v>
      </c>
      <c r="M48" s="360" t="s">
        <v>63</v>
      </c>
      <c r="N48" s="311" t="s">
        <v>63</v>
      </c>
      <c r="O48" s="311" t="s">
        <v>63</v>
      </c>
      <c r="P48" s="233">
        <f>SUM(P3:P46)</f>
        <v>1275</v>
      </c>
      <c r="Q48" s="691" t="s">
        <v>63</v>
      </c>
    </row>
  </sheetData>
  <mergeCells count="1">
    <mergeCell ref="B1:Q1"/>
  </mergeCells>
  <drawing r:id="rId1"/>
  <tableParts count="1">
    <tablePart r:id="rId3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75" t="s">
        <v>1040</v>
      </c>
      <c r="B1" s="276"/>
      <c r="C1" s="276"/>
      <c r="D1" s="276"/>
      <c r="E1" s="275" t="s">
        <v>765</v>
      </c>
      <c r="F1" s="276"/>
      <c r="G1" s="276"/>
      <c r="H1" s="276"/>
      <c r="I1" s="275" t="s">
        <v>767</v>
      </c>
      <c r="J1" s="276"/>
      <c r="K1" s="275" t="s">
        <v>769</v>
      </c>
      <c r="L1" s="276"/>
      <c r="M1" s="276"/>
    </row>
    <row r="4">
      <c r="B4" s="1" t="s">
        <v>2402</v>
      </c>
    </row>
    <row r="5">
      <c r="A5" s="1" t="s">
        <v>2402</v>
      </c>
      <c r="B5" s="594" t="s">
        <v>2403</v>
      </c>
      <c r="C5" s="594" t="s">
        <v>2404</v>
      </c>
      <c r="D5" s="594" t="s">
        <v>2405</v>
      </c>
      <c r="E5" s="594" t="s">
        <v>2406</v>
      </c>
      <c r="F5" s="594" t="s">
        <v>2407</v>
      </c>
      <c r="G5" s="594" t="s">
        <v>2408</v>
      </c>
      <c r="H5" s="594" t="s">
        <v>2409</v>
      </c>
      <c r="I5" s="594" t="s">
        <v>2410</v>
      </c>
      <c r="J5" s="594" t="s">
        <v>2411</v>
      </c>
      <c r="K5" s="594" t="s">
        <v>2412</v>
      </c>
    </row>
    <row r="6">
      <c r="A6" s="595" t="s">
        <v>47</v>
      </c>
      <c r="B6" s="705">
        <v>1462.0</v>
      </c>
      <c r="C6" s="705">
        <v>1354.0</v>
      </c>
      <c r="D6" s="705">
        <v>1234.0</v>
      </c>
      <c r="E6" s="705">
        <v>1342.0</v>
      </c>
      <c r="F6" s="705">
        <v>1208.0</v>
      </c>
      <c r="G6" s="705">
        <v>1351.0</v>
      </c>
      <c r="H6" s="705">
        <v>1518.0</v>
      </c>
      <c r="I6" s="705">
        <v>1593.0</v>
      </c>
      <c r="J6" s="705">
        <v>1814.0</v>
      </c>
      <c r="K6" s="705">
        <v>1752.0</v>
      </c>
    </row>
    <row r="50">
      <c r="A50" s="275" t="s">
        <v>792</v>
      </c>
      <c r="B50" s="276"/>
      <c r="C50" s="276"/>
      <c r="D50" s="276"/>
      <c r="E50" s="275" t="s">
        <v>765</v>
      </c>
      <c r="F50" s="276"/>
      <c r="G50" s="276"/>
      <c r="H50" s="276"/>
      <c r="I50" s="275" t="s">
        <v>767</v>
      </c>
      <c r="J50" s="276"/>
      <c r="K50" s="275" t="s">
        <v>769</v>
      </c>
      <c r="L50" s="276"/>
      <c r="M50" s="276"/>
    </row>
    <row r="53">
      <c r="B53" s="1" t="s">
        <v>2402</v>
      </c>
    </row>
    <row r="54">
      <c r="A54" s="1" t="s">
        <v>2402</v>
      </c>
      <c r="B54" s="594" t="s">
        <v>2403</v>
      </c>
      <c r="C54" s="594" t="s">
        <v>2404</v>
      </c>
      <c r="D54" s="594" t="s">
        <v>2405</v>
      </c>
      <c r="E54" s="594" t="s">
        <v>2406</v>
      </c>
      <c r="F54" s="594" t="s">
        <v>2407</v>
      </c>
      <c r="G54" s="594" t="s">
        <v>2408</v>
      </c>
      <c r="H54" s="594" t="s">
        <v>2409</v>
      </c>
      <c r="I54" s="594" t="s">
        <v>2410</v>
      </c>
      <c r="J54" s="594" t="s">
        <v>2411</v>
      </c>
      <c r="K54" s="594" t="s">
        <v>2412</v>
      </c>
    </row>
    <row r="55">
      <c r="A55" s="595" t="s">
        <v>47</v>
      </c>
      <c r="B55" s="706">
        <v>389.0</v>
      </c>
      <c r="C55" s="706">
        <v>334.0</v>
      </c>
      <c r="D55" s="706">
        <v>278.0</v>
      </c>
      <c r="E55" s="706">
        <v>328.0</v>
      </c>
      <c r="F55" s="706">
        <v>322.0</v>
      </c>
      <c r="G55" s="706">
        <v>318.0</v>
      </c>
      <c r="H55" s="706">
        <v>390.0</v>
      </c>
      <c r="I55" s="706">
        <v>287.0</v>
      </c>
      <c r="J55" s="706">
        <v>532.0</v>
      </c>
      <c r="K55" s="706">
        <v>557.0</v>
      </c>
    </row>
    <row r="100">
      <c r="A100" s="275" t="s">
        <v>852</v>
      </c>
      <c r="B100" s="276"/>
      <c r="C100" s="276"/>
      <c r="D100" s="276"/>
      <c r="E100" s="275" t="s">
        <v>765</v>
      </c>
      <c r="F100" s="276"/>
      <c r="G100" s="276"/>
      <c r="H100" s="276"/>
      <c r="I100" s="275" t="s">
        <v>767</v>
      </c>
      <c r="J100" s="276"/>
      <c r="K100" s="275" t="s">
        <v>769</v>
      </c>
      <c r="L100" s="276"/>
      <c r="M100" s="276"/>
    </row>
  </sheetData>
  <hyperlinks>
    <hyperlink r:id="rId1" location="RANGE!AB8" ref="B5"/>
    <hyperlink r:id="rId2" location="RANGE!AB8" ref="C5"/>
    <hyperlink r:id="rId3" location="RANGE!AB8" ref="D5"/>
    <hyperlink r:id="rId4" location="RANGE!AB8" ref="E5"/>
    <hyperlink r:id="rId5" location="RANGE!AB8" ref="F5"/>
    <hyperlink r:id="rId6" location="RANGE!AB8" ref="G5"/>
    <hyperlink r:id="rId7" location="RANGE!AB8" ref="H5"/>
    <hyperlink r:id="rId8" location="RANGE!AB8" ref="I5"/>
    <hyperlink r:id="rId9" location="RANGE!AB8" ref="J5"/>
    <hyperlink r:id="rId10" location="RANGE!AB8" ref="K5"/>
    <hyperlink r:id="rId11" location="Served!B8" ref="B54"/>
    <hyperlink r:id="rId12" location="Served!B8" ref="C54"/>
    <hyperlink r:id="rId13" location="Served!B8" ref="D54"/>
    <hyperlink r:id="rId14" location="Served!B8" ref="E54"/>
    <hyperlink r:id="rId15" location="Served!B8" ref="F54"/>
    <hyperlink r:id="rId16" location="Served!B8" ref="G54"/>
    <hyperlink r:id="rId17" location="Served!B8" ref="H54"/>
    <hyperlink r:id="rId18" location="Served!B8" ref="I54"/>
    <hyperlink r:id="rId19" location="Served!B8" ref="J54"/>
    <hyperlink r:id="rId20" location="Served!B8" ref="K54"/>
  </hyperlinks>
  <drawing r:id="rId2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3.25"/>
    <col customWidth="1" min="2" max="11" width="11.38"/>
    <col customWidth="1" min="12" max="12" width="13.88"/>
    <col customWidth="1" min="13" max="13" width="12.25"/>
    <col customWidth="1" min="14" max="17" width="11.38"/>
  </cols>
  <sheetData>
    <row r="1">
      <c r="A1" s="167"/>
      <c r="B1" s="168" t="s">
        <v>48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</row>
    <row r="2">
      <c r="A2" s="169" t="s">
        <v>172</v>
      </c>
      <c r="B2" s="170" t="s">
        <v>174</v>
      </c>
      <c r="C2" s="171" t="s">
        <v>693</v>
      </c>
      <c r="D2" s="608" t="s">
        <v>694</v>
      </c>
      <c r="E2" s="608" t="s">
        <v>695</v>
      </c>
      <c r="F2" s="608" t="s">
        <v>179</v>
      </c>
      <c r="G2" s="608" t="s">
        <v>696</v>
      </c>
      <c r="H2" s="173" t="s">
        <v>697</v>
      </c>
      <c r="I2" s="174" t="s">
        <v>84</v>
      </c>
      <c r="J2" s="170" t="s">
        <v>698</v>
      </c>
      <c r="K2" s="175" t="s">
        <v>699</v>
      </c>
      <c r="L2" s="173" t="s">
        <v>89</v>
      </c>
      <c r="M2" s="176" t="s">
        <v>700</v>
      </c>
      <c r="N2" s="177" t="s">
        <v>701</v>
      </c>
      <c r="O2" s="177" t="s">
        <v>702</v>
      </c>
      <c r="P2" s="178" t="s">
        <v>90</v>
      </c>
      <c r="Q2" s="325" t="s">
        <v>703</v>
      </c>
    </row>
    <row r="3">
      <c r="A3" s="609" t="s">
        <v>386</v>
      </c>
      <c r="B3" s="610">
        <f t="array" ref="B3">VLOOKUP($A3,IL_DEMO,2,FALSE)</f>
        <v>65737</v>
      </c>
      <c r="C3" s="611">
        <f>VLOOKUP($A3,'IL Data'!$A$3:$F$113,2,FALSE)</f>
        <v>218</v>
      </c>
      <c r="D3" s="612" t="s">
        <v>63</v>
      </c>
      <c r="E3" s="612">
        <f>VLOOKUP($A3,'IL Data'!$A$3:$F$113,3,FALSE)</f>
        <v>78</v>
      </c>
      <c r="F3" s="612">
        <f>VLOOKUP($A3,'IL Data'!$A$3:$F$113,4,FALSE)</f>
        <v>125</v>
      </c>
      <c r="G3" s="612" t="s">
        <v>63</v>
      </c>
      <c r="H3" s="671">
        <f>vlookup(A3,'IL Data'!$A$122:$B$227,2,FALSE)</f>
        <v>82</v>
      </c>
      <c r="I3" s="614">
        <f>iferror(vlookup(A3,'IL Data'!$A$232:$B$330,2,FALSE),"NULL")</f>
        <v>27</v>
      </c>
      <c r="J3" s="615" t="s">
        <v>63</v>
      </c>
      <c r="K3" s="672" t="s">
        <v>63</v>
      </c>
      <c r="L3" s="671">
        <f>vlookup(A3,'IL Data'!$A$335:$B$439,2,FALSE)</f>
        <v>40</v>
      </c>
      <c r="M3" s="673" t="s">
        <v>63</v>
      </c>
      <c r="N3" s="612" t="s">
        <v>63</v>
      </c>
      <c r="O3" s="612" t="s">
        <v>63</v>
      </c>
      <c r="P3" s="620">
        <f>ifna(vlookup(A3,'Population &amp; Church Numbers'!$A$598:$D$699,4,FALSE),"NULL")</f>
        <v>75</v>
      </c>
      <c r="Q3" s="707" t="s">
        <v>63</v>
      </c>
    </row>
    <row r="4">
      <c r="A4" s="609" t="s">
        <v>704</v>
      </c>
      <c r="B4" s="610">
        <f t="array" ref="B4">VLOOKUP($A4,IL_DEMO,2,FALSE)</f>
        <v>5240</v>
      </c>
      <c r="C4" s="611">
        <f>VLOOKUP($A4,'IL Data'!$A$3:$F$113,2,FALSE)</f>
        <v>24</v>
      </c>
      <c r="D4" s="612" t="s">
        <v>63</v>
      </c>
      <c r="E4" s="612">
        <f>VLOOKUP($A4,'IL Data'!$A$3:$F$113,3,FALSE)</f>
        <v>2</v>
      </c>
      <c r="F4" s="612">
        <f>VLOOKUP($A4,'IL Data'!$A$3:$F$113,4,FALSE)</f>
        <v>22</v>
      </c>
      <c r="G4" s="612" t="s">
        <v>63</v>
      </c>
      <c r="H4" s="671">
        <f>vlookup(A4,'IL Data'!$A$122:$B$227,2,FALSE)</f>
        <v>6</v>
      </c>
      <c r="I4" s="614" t="str">
        <f>iferror(vlookup(A4,'IL Data'!$A$232:$B$330,2,FALSE),"NULL")</f>
        <v>NULL</v>
      </c>
      <c r="J4" s="615" t="s">
        <v>63</v>
      </c>
      <c r="K4" s="672" t="s">
        <v>63</v>
      </c>
      <c r="L4" s="671">
        <f>vlookup(A4,'IL Data'!$A$335:$B$439,2,FALSE)</f>
        <v>2</v>
      </c>
      <c r="M4" s="614" t="s">
        <v>63</v>
      </c>
      <c r="N4" s="612" t="s">
        <v>63</v>
      </c>
      <c r="O4" s="612" t="s">
        <v>63</v>
      </c>
      <c r="P4" s="620">
        <f>ifna(vlookup(A4,'Population &amp; Church Numbers'!$A$598:$D$699,4,FALSE),"NULL")</f>
        <v>6</v>
      </c>
      <c r="Q4" s="707" t="s">
        <v>63</v>
      </c>
    </row>
    <row r="5">
      <c r="A5" s="609" t="s">
        <v>705</v>
      </c>
      <c r="B5" s="610">
        <f t="array" ref="B5">VLOOKUP($A5,IL_DEMO,2,FALSE)</f>
        <v>16725</v>
      </c>
      <c r="C5" s="611">
        <f>VLOOKUP($A5,'IL Data'!$A$3:$F$113,2,FALSE)</f>
        <v>57</v>
      </c>
      <c r="D5" s="612" t="s">
        <v>63</v>
      </c>
      <c r="E5" s="612">
        <f>VLOOKUP($A5,'IL Data'!$A$3:$F$113,3,FALSE)</f>
        <v>25</v>
      </c>
      <c r="F5" s="612">
        <f>VLOOKUP($A5,'IL Data'!$A$3:$F$113,4,FALSE)</f>
        <v>32</v>
      </c>
      <c r="G5" s="612" t="s">
        <v>63</v>
      </c>
      <c r="H5" s="671">
        <f>vlookup(A5,'IL Data'!$A$122:$B$227,2,FALSE)</f>
        <v>16</v>
      </c>
      <c r="I5" s="614">
        <f>iferror(vlookup(A5,'IL Data'!$A$232:$B$330,2,FALSE),"NULL")</f>
        <v>5</v>
      </c>
      <c r="J5" s="615" t="s">
        <v>63</v>
      </c>
      <c r="K5" s="672" t="s">
        <v>63</v>
      </c>
      <c r="L5" s="671">
        <f>vlookup(A5,'IL Data'!$A$335:$B$439,2,FALSE)</f>
        <v>16</v>
      </c>
      <c r="M5" s="614" t="s">
        <v>63</v>
      </c>
      <c r="N5" s="612" t="s">
        <v>63</v>
      </c>
      <c r="O5" s="612" t="s">
        <v>63</v>
      </c>
      <c r="P5" s="620">
        <f>ifna(vlookup(A5,'Population &amp; Church Numbers'!$A$598:$D$699,4,FALSE),"NULL")</f>
        <v>24</v>
      </c>
      <c r="Q5" s="707" t="s">
        <v>63</v>
      </c>
    </row>
    <row r="6">
      <c r="A6" s="609" t="s">
        <v>246</v>
      </c>
      <c r="B6" s="610">
        <f t="array" ref="B6">VLOOKUP($A6,IL_DEMO,2,FALSE)</f>
        <v>53448</v>
      </c>
      <c r="C6" s="611">
        <f>VLOOKUP($A6,'IL Data'!$A$3:$F$113,2,FALSE)</f>
        <v>51</v>
      </c>
      <c r="D6" s="612" t="s">
        <v>63</v>
      </c>
      <c r="E6" s="612">
        <f>VLOOKUP($A6,'IL Data'!$A$3:$F$113,3,FALSE)</f>
        <v>20</v>
      </c>
      <c r="F6" s="612">
        <f>VLOOKUP($A6,'IL Data'!$A$3:$F$113,4,FALSE)</f>
        <v>28</v>
      </c>
      <c r="G6" s="612" t="s">
        <v>63</v>
      </c>
      <c r="H6" s="671">
        <f>vlookup(A6,'IL Data'!$A$122:$B$227,2,FALSE)</f>
        <v>33</v>
      </c>
      <c r="I6" s="614">
        <f>iferror(vlookup(A6,'IL Data'!$A$232:$B$330,2,FALSE),"NULL")</f>
        <v>5</v>
      </c>
      <c r="J6" s="615" t="s">
        <v>63</v>
      </c>
      <c r="K6" s="672" t="s">
        <v>63</v>
      </c>
      <c r="L6" s="671">
        <f>vlookup(A6,'IL Data'!$A$335:$B$439,2,FALSE)</f>
        <v>15</v>
      </c>
      <c r="M6" s="614" t="s">
        <v>63</v>
      </c>
      <c r="N6" s="612" t="s">
        <v>63</v>
      </c>
      <c r="O6" s="612" t="s">
        <v>63</v>
      </c>
      <c r="P6" s="620">
        <f>ifna(vlookup(A6,'Population &amp; Church Numbers'!$A$598:$D$699,4,FALSE),"NULL")</f>
        <v>27</v>
      </c>
      <c r="Q6" s="707" t="s">
        <v>63</v>
      </c>
    </row>
    <row r="7">
      <c r="A7" s="609" t="s">
        <v>706</v>
      </c>
      <c r="B7" s="610">
        <f t="array" ref="B7">VLOOKUP($A7,IL_DEMO,2,FALSE)</f>
        <v>6244</v>
      </c>
      <c r="C7" s="611">
        <f>VLOOKUP($A7,'IL Data'!$A$3:$F$113,2,FALSE)</f>
        <v>18</v>
      </c>
      <c r="D7" s="612" t="s">
        <v>63</v>
      </c>
      <c r="E7" s="612">
        <f>VLOOKUP($A7,'IL Data'!$A$3:$F$113,3,FALSE)</f>
        <v>12</v>
      </c>
      <c r="F7" s="612">
        <f>VLOOKUP($A7,'IL Data'!$A$3:$F$113,4,FALSE)</f>
        <v>5</v>
      </c>
      <c r="G7" s="612" t="s">
        <v>63</v>
      </c>
      <c r="H7" s="671">
        <f>vlookup(A7,'IL Data'!$A$122:$B$227,2,FALSE)</f>
        <v>7</v>
      </c>
      <c r="I7" s="614">
        <f>iferror(vlookup(A7,'IL Data'!$A$232:$B$330,2,FALSE),"NULL")</f>
        <v>3</v>
      </c>
      <c r="J7" s="615" t="s">
        <v>63</v>
      </c>
      <c r="K7" s="672" t="s">
        <v>63</v>
      </c>
      <c r="L7" s="671" t="str">
        <f>iferror(vlookup(A7,'IL Data'!$A$335:$B$439,2,FALSE),"NULL")</f>
        <v>NULL</v>
      </c>
      <c r="M7" s="614" t="s">
        <v>63</v>
      </c>
      <c r="N7" s="612" t="s">
        <v>63</v>
      </c>
      <c r="O7" s="612" t="s">
        <v>63</v>
      </c>
      <c r="P7" s="620">
        <f>ifna(vlookup(A7,'Population &amp; Church Numbers'!$A$598:$D$699,4,FALSE),"NULL")</f>
        <v>7</v>
      </c>
      <c r="Q7" s="707" t="s">
        <v>63</v>
      </c>
    </row>
    <row r="8">
      <c r="A8" s="609" t="s">
        <v>707</v>
      </c>
      <c r="B8" s="610">
        <f t="array" ref="B8">VLOOKUP($A8,IL_DEMO,2,FALSE)</f>
        <v>33244</v>
      </c>
      <c r="C8" s="611">
        <f>VLOOKUP($A8,'IL Data'!$A$3:$F$113,2,FALSE)</f>
        <v>59</v>
      </c>
      <c r="D8" s="612" t="s">
        <v>63</v>
      </c>
      <c r="E8" s="612">
        <f>VLOOKUP($A8,'IL Data'!$A$3:$F$113,3,FALSE)</f>
        <v>22</v>
      </c>
      <c r="F8" s="612">
        <f>VLOOKUP($A8,'IL Data'!$A$3:$F$113,4,FALSE)</f>
        <v>37</v>
      </c>
      <c r="G8" s="612" t="s">
        <v>63</v>
      </c>
      <c r="H8" s="671">
        <f>vlookup(A8,'IL Data'!$A$122:$B$227,2,FALSE)</f>
        <v>31</v>
      </c>
      <c r="I8" s="614">
        <f>iferror(vlookup(A8,'IL Data'!$A$232:$B$330,2,FALSE),"NULL")</f>
        <v>5</v>
      </c>
      <c r="J8" s="615" t="s">
        <v>63</v>
      </c>
      <c r="K8" s="672" t="s">
        <v>63</v>
      </c>
      <c r="L8" s="671">
        <f>vlookup(A8,'IL Data'!$A$335:$B$439,2,FALSE)</f>
        <v>22</v>
      </c>
      <c r="M8" s="614" t="s">
        <v>63</v>
      </c>
      <c r="N8" s="612" t="s">
        <v>63</v>
      </c>
      <c r="O8" s="612" t="s">
        <v>63</v>
      </c>
      <c r="P8" s="620">
        <f>ifna(vlookup(A8,'Population &amp; Church Numbers'!$A$598:$D$699,4,FALSE),"NULL")</f>
        <v>65</v>
      </c>
      <c r="Q8" s="707" t="s">
        <v>63</v>
      </c>
    </row>
    <row r="9">
      <c r="A9" s="609" t="s">
        <v>93</v>
      </c>
      <c r="B9" s="610">
        <f t="array" ref="B9">VLOOKUP($A9,IL_DEMO,2,FALSE)</f>
        <v>4437</v>
      </c>
      <c r="C9" s="611">
        <f>VLOOKUP($A9,'IL Data'!$A$3:$F$113,2,FALSE)</f>
        <v>11</v>
      </c>
      <c r="D9" s="612" t="s">
        <v>63</v>
      </c>
      <c r="E9" s="612">
        <f>VLOOKUP($A9,'IL Data'!$A$3:$F$113,3,FALSE)</f>
        <v>1</v>
      </c>
      <c r="F9" s="612">
        <f>VLOOKUP($A9,'IL Data'!$A$3:$F$113,4,FALSE)</f>
        <v>10</v>
      </c>
      <c r="G9" s="612" t="s">
        <v>63</v>
      </c>
      <c r="H9" s="671">
        <f>vlookup(A9,'IL Data'!$A$122:$B$227,2,FALSE)</f>
        <v>2</v>
      </c>
      <c r="I9" s="614">
        <f>iferror(vlookup(A9,'IL Data'!$A$232:$B$330,2,FALSE),"NULL")</f>
        <v>3</v>
      </c>
      <c r="J9" s="615" t="s">
        <v>63</v>
      </c>
      <c r="K9" s="672" t="s">
        <v>63</v>
      </c>
      <c r="L9" s="671">
        <f>vlookup(A9,'IL Data'!$A$335:$B$439,2,FALSE)</f>
        <v>1</v>
      </c>
      <c r="M9" s="614" t="s">
        <v>63</v>
      </c>
      <c r="N9" s="612" t="s">
        <v>63</v>
      </c>
      <c r="O9" s="612" t="s">
        <v>63</v>
      </c>
      <c r="P9" s="620">
        <f>ifna(vlookup(A9,'Population &amp; Church Numbers'!$A$598:$D$699,4,FALSE),"NULL")</f>
        <v>8</v>
      </c>
      <c r="Q9" s="707" t="s">
        <v>63</v>
      </c>
    </row>
    <row r="10">
      <c r="A10" s="609" t="s">
        <v>248</v>
      </c>
      <c r="B10" s="610">
        <f t="array" ref="B10">VLOOKUP($A10,IL_DEMO,2,FALSE)</f>
        <v>15702</v>
      </c>
      <c r="C10" s="611">
        <f>VLOOKUP($A10,'IL Data'!$A$3:$F$113,2,FALSE)</f>
        <v>24</v>
      </c>
      <c r="D10" s="612" t="s">
        <v>63</v>
      </c>
      <c r="E10" s="612">
        <f>VLOOKUP($A10,'IL Data'!$A$3:$F$113,3,FALSE)</f>
        <v>6</v>
      </c>
      <c r="F10" s="612">
        <f>VLOOKUP($A10,'IL Data'!$A$3:$F$113,4,FALSE)</f>
        <v>18</v>
      </c>
      <c r="G10" s="612" t="s">
        <v>63</v>
      </c>
      <c r="H10" s="671">
        <f>vlookup(A10,'IL Data'!$A$122:$B$227,2,FALSE)</f>
        <v>8</v>
      </c>
      <c r="I10" s="614">
        <f>iferror(vlookup(A10,'IL Data'!$A$232:$B$330,2,FALSE),"NULL")</f>
        <v>1</v>
      </c>
      <c r="J10" s="615" t="s">
        <v>63</v>
      </c>
      <c r="K10" s="672" t="s">
        <v>63</v>
      </c>
      <c r="L10" s="671">
        <f>vlookup(A10,'IL Data'!$A$335:$B$439,2,FALSE)</f>
        <v>8</v>
      </c>
      <c r="M10" s="614" t="s">
        <v>63</v>
      </c>
      <c r="N10" s="612" t="s">
        <v>63</v>
      </c>
      <c r="O10" s="612" t="s">
        <v>63</v>
      </c>
      <c r="P10" s="620">
        <f>ifna(vlookup(A10,'Population &amp; Church Numbers'!$A$598:$D$699,4,FALSE),"NULL")</f>
        <v>32</v>
      </c>
      <c r="Q10" s="707" t="s">
        <v>63</v>
      </c>
    </row>
    <row r="11">
      <c r="A11" s="609" t="s">
        <v>708</v>
      </c>
      <c r="B11" s="610">
        <f t="array" ref="B11">VLOOKUP($A11,IL_DEMO,2,FALSE)</f>
        <v>13042</v>
      </c>
      <c r="C11" s="611">
        <f>VLOOKUP($A11,'IL Data'!$A$3:$F$113,2,FALSE)</f>
        <v>21</v>
      </c>
      <c r="D11" s="612" t="s">
        <v>63</v>
      </c>
      <c r="E11" s="612">
        <f>VLOOKUP($A11,'IL Data'!$A$3:$F$113,3,FALSE)</f>
        <v>7</v>
      </c>
      <c r="F11" s="612">
        <f>VLOOKUP($A11,'IL Data'!$A$3:$F$113,4,FALSE)</f>
        <v>14</v>
      </c>
      <c r="G11" s="612" t="s">
        <v>63</v>
      </c>
      <c r="H11" s="671">
        <f>vlookup(A11,'IL Data'!$A$122:$B$227,2,FALSE)</f>
        <v>7</v>
      </c>
      <c r="I11" s="614">
        <f>iferror(vlookup(A11,'IL Data'!$A$232:$B$330,2,FALSE),"NULL")</f>
        <v>3</v>
      </c>
      <c r="J11" s="615" t="s">
        <v>63</v>
      </c>
      <c r="K11" s="672" t="s">
        <v>63</v>
      </c>
      <c r="L11" s="671">
        <f>vlookup(A11,'IL Data'!$A$335:$B$439,2,FALSE)</f>
        <v>8</v>
      </c>
      <c r="M11" s="614" t="s">
        <v>63</v>
      </c>
      <c r="N11" s="612" t="s">
        <v>63</v>
      </c>
      <c r="O11" s="612" t="s">
        <v>63</v>
      </c>
      <c r="P11" s="620">
        <f>ifna(vlookup(A11,'Population &amp; Church Numbers'!$A$598:$D$699,4,FALSE),"NULL")</f>
        <v>27</v>
      </c>
      <c r="Q11" s="707" t="s">
        <v>63</v>
      </c>
    </row>
    <row r="12">
      <c r="A12" s="609" t="s">
        <v>709</v>
      </c>
      <c r="B12" s="610">
        <f t="array" ref="B12">VLOOKUP($A12,IL_DEMO,2,FALSE)</f>
        <v>205865</v>
      </c>
      <c r="C12" s="611">
        <f>VLOOKUP($A12,'IL Data'!$A$3:$F$113,2,FALSE)</f>
        <v>489</v>
      </c>
      <c r="D12" s="612" t="s">
        <v>63</v>
      </c>
      <c r="E12" s="612">
        <f>VLOOKUP($A12,'IL Data'!$A$3:$F$113,3,FALSE)</f>
        <v>225</v>
      </c>
      <c r="F12" s="612">
        <f>VLOOKUP($A12,'IL Data'!$A$3:$F$113,4,FALSE)</f>
        <v>213</v>
      </c>
      <c r="G12" s="612" t="s">
        <v>63</v>
      </c>
      <c r="H12" s="671">
        <f>vlookup(A12,'IL Data'!$A$122:$B$227,2,FALSE)</f>
        <v>165</v>
      </c>
      <c r="I12" s="614">
        <f>iferror(vlookup(A12,'IL Data'!$A$232:$B$330,2,FALSE),"NULL")</f>
        <v>41</v>
      </c>
      <c r="J12" s="615" t="s">
        <v>63</v>
      </c>
      <c r="K12" s="672" t="s">
        <v>63</v>
      </c>
      <c r="L12" s="671">
        <f>vlookup(A12,'IL Data'!$A$335:$B$439,2,FALSE)</f>
        <v>60</v>
      </c>
      <c r="M12" s="614" t="s">
        <v>63</v>
      </c>
      <c r="N12" s="612" t="s">
        <v>63</v>
      </c>
      <c r="O12" s="612" t="s">
        <v>63</v>
      </c>
      <c r="P12" s="620">
        <f>ifna(vlookup(A12,'Population &amp; Church Numbers'!$A$598:$D$699,4,FALSE),"NULL")</f>
        <v>154</v>
      </c>
      <c r="Q12" s="707" t="s">
        <v>63</v>
      </c>
    </row>
    <row r="13">
      <c r="A13" s="609" t="s">
        <v>710</v>
      </c>
      <c r="B13" s="610">
        <f t="array" ref="B13">VLOOKUP($A13,IL_DEMO,2,FALSE)</f>
        <v>34032</v>
      </c>
      <c r="C13" s="611">
        <f>VLOOKUP($A13,'IL Data'!$A$3:$F$113,2,FALSE)</f>
        <v>137</v>
      </c>
      <c r="D13" s="612" t="s">
        <v>63</v>
      </c>
      <c r="E13" s="612">
        <f>VLOOKUP($A13,'IL Data'!$A$3:$F$113,3,FALSE)</f>
        <v>47</v>
      </c>
      <c r="F13" s="612">
        <f>VLOOKUP($A13,'IL Data'!$A$3:$F$113,4,FALSE)</f>
        <v>87</v>
      </c>
      <c r="G13" s="612" t="s">
        <v>63</v>
      </c>
      <c r="H13" s="671">
        <f>vlookup(A13,'IL Data'!$A$122:$B$227,2,FALSE)</f>
        <v>54</v>
      </c>
      <c r="I13" s="614">
        <f>iferror(vlookup(A13,'IL Data'!$A$232:$B$330,2,FALSE),"NULL")</f>
        <v>15</v>
      </c>
      <c r="J13" s="615" t="s">
        <v>63</v>
      </c>
      <c r="K13" s="672" t="s">
        <v>63</v>
      </c>
      <c r="L13" s="671">
        <f>vlookup(A13,'IL Data'!$A$335:$B$439,2,FALSE)</f>
        <v>17</v>
      </c>
      <c r="M13" s="614" t="s">
        <v>63</v>
      </c>
      <c r="N13" s="612" t="s">
        <v>63</v>
      </c>
      <c r="O13" s="612" t="s">
        <v>63</v>
      </c>
      <c r="P13" s="620">
        <f>ifna(vlookup(A13,'Population &amp; Church Numbers'!$A$598:$D$699,4,FALSE),"NULL")</f>
        <v>54</v>
      </c>
      <c r="Q13" s="707" t="s">
        <v>63</v>
      </c>
    </row>
    <row r="14">
      <c r="A14" s="609" t="s">
        <v>253</v>
      </c>
      <c r="B14" s="610">
        <f t="array" ref="B14">VLOOKUP($A14,IL_DEMO,2,FALSE)</f>
        <v>15455</v>
      </c>
      <c r="C14" s="611">
        <f>VLOOKUP($A14,'IL Data'!$A$3:$F$113,2,FALSE)</f>
        <v>38</v>
      </c>
      <c r="D14" s="612" t="s">
        <v>63</v>
      </c>
      <c r="E14" s="612">
        <f>VLOOKUP($A14,'IL Data'!$A$3:$F$113,3,FALSE)</f>
        <v>15</v>
      </c>
      <c r="F14" s="612">
        <f>VLOOKUP($A14,'IL Data'!$A$3:$F$113,4,FALSE)</f>
        <v>23</v>
      </c>
      <c r="G14" s="612" t="s">
        <v>63</v>
      </c>
      <c r="H14" s="671">
        <f>vlookup(A14,'IL Data'!$A$122:$B$227,2,FALSE)</f>
        <v>17</v>
      </c>
      <c r="I14" s="614">
        <f>iferror(vlookup(A14,'IL Data'!$A$232:$B$330,2,FALSE),"NULL")</f>
        <v>3</v>
      </c>
      <c r="J14" s="615" t="s">
        <v>63</v>
      </c>
      <c r="K14" s="672" t="s">
        <v>63</v>
      </c>
      <c r="L14" s="671">
        <f>vlookup(A14,'IL Data'!$A$335:$B$439,2,FALSE)</f>
        <v>12</v>
      </c>
      <c r="M14" s="614" t="s">
        <v>63</v>
      </c>
      <c r="N14" s="612" t="s">
        <v>63</v>
      </c>
      <c r="O14" s="612" t="s">
        <v>63</v>
      </c>
      <c r="P14" s="620">
        <f>ifna(vlookup(A14,'Population &amp; Church Numbers'!$A$598:$D$699,4,FALSE),"NULL")</f>
        <v>28</v>
      </c>
      <c r="Q14" s="707" t="s">
        <v>63</v>
      </c>
    </row>
    <row r="15">
      <c r="A15" s="609" t="s">
        <v>112</v>
      </c>
      <c r="B15" s="610">
        <f t="array" ref="B15">VLOOKUP($A15,IL_DEMO,2,FALSE)</f>
        <v>13288</v>
      </c>
      <c r="C15" s="611">
        <f>VLOOKUP($A15,'IL Data'!$A$3:$F$113,2,FALSE)</f>
        <v>52</v>
      </c>
      <c r="D15" s="612" t="s">
        <v>63</v>
      </c>
      <c r="E15" s="612">
        <f>VLOOKUP($A15,'IL Data'!$A$3:$F$113,3,FALSE)</f>
        <v>17</v>
      </c>
      <c r="F15" s="612">
        <f>VLOOKUP($A15,'IL Data'!$A$3:$F$113,4,FALSE)</f>
        <v>35</v>
      </c>
      <c r="G15" s="612" t="s">
        <v>63</v>
      </c>
      <c r="H15" s="671">
        <f>vlookup(A15,'IL Data'!$A$122:$B$227,2,FALSE)</f>
        <v>19</v>
      </c>
      <c r="I15" s="614">
        <f>iferror(vlookup(A15,'IL Data'!$A$232:$B$330,2,FALSE),"NULL")</f>
        <v>2</v>
      </c>
      <c r="J15" s="615" t="s">
        <v>63</v>
      </c>
      <c r="K15" s="672" t="s">
        <v>63</v>
      </c>
      <c r="L15" s="671">
        <f>vlookup(A15,'IL Data'!$A$335:$B$439,2,FALSE)</f>
        <v>7</v>
      </c>
      <c r="M15" s="614" t="s">
        <v>63</v>
      </c>
      <c r="N15" s="612" t="s">
        <v>63</v>
      </c>
      <c r="O15" s="612" t="s">
        <v>63</v>
      </c>
      <c r="P15" s="620">
        <f>ifna(vlookup(A15,'Population &amp; Church Numbers'!$A$598:$D$699,4,FALSE),"NULL")</f>
        <v>28</v>
      </c>
      <c r="Q15" s="707" t="s">
        <v>63</v>
      </c>
    </row>
    <row r="16">
      <c r="A16" s="609" t="s">
        <v>711</v>
      </c>
      <c r="B16" s="610">
        <f t="array" ref="B16">VLOOKUP($A16,IL_DEMO,2,FALSE)</f>
        <v>36899</v>
      </c>
      <c r="C16" s="718">
        <f>VLOOKUP($A16,'IL Data'!$A$3:$F$113,2,FALSE)</f>
        <v>67</v>
      </c>
      <c r="D16" s="612" t="s">
        <v>63</v>
      </c>
      <c r="E16" s="612">
        <f>VLOOKUP($A16,'IL Data'!$A$3:$F$113,3,FALSE)</f>
        <v>28</v>
      </c>
      <c r="F16" s="612">
        <f>VLOOKUP($A16,'IL Data'!$A$3:$F$113,4,FALSE)</f>
        <v>38</v>
      </c>
      <c r="G16" s="612" t="s">
        <v>63</v>
      </c>
      <c r="H16" s="671">
        <f>vlookup(A16,'IL Data'!$A$122:$B$227,2,FALSE)</f>
        <v>25</v>
      </c>
      <c r="I16" s="614">
        <f>iferror(vlookup(A16,'IL Data'!$A$232:$B$330,2,FALSE),"NULL")</f>
        <v>5</v>
      </c>
      <c r="J16" s="615" t="s">
        <v>63</v>
      </c>
      <c r="K16" s="672" t="s">
        <v>63</v>
      </c>
      <c r="L16" s="671">
        <f>vlookup(A16,'IL Data'!$A$335:$B$439,2,FALSE)</f>
        <v>28</v>
      </c>
      <c r="M16" s="614" t="s">
        <v>63</v>
      </c>
      <c r="N16" s="612" t="s">
        <v>63</v>
      </c>
      <c r="O16" s="612" t="s">
        <v>63</v>
      </c>
      <c r="P16" s="620">
        <f>ifna(vlookup(A16,'Population &amp; Church Numbers'!$A$598:$D$699,4,FALSE),"NULL")</f>
        <v>34</v>
      </c>
      <c r="Q16" s="707" t="s">
        <v>63</v>
      </c>
    </row>
    <row r="17">
      <c r="A17" s="609" t="s">
        <v>712</v>
      </c>
      <c r="B17" s="610">
        <f t="array" ref="B17">VLOOKUP($A17,IL_DEMO,2,FALSE)</f>
        <v>46863</v>
      </c>
      <c r="C17" s="718">
        <f>VLOOKUP($A17,'IL Data'!$A$3:$F$113,2,FALSE)</f>
        <v>138</v>
      </c>
      <c r="D17" s="612" t="s">
        <v>63</v>
      </c>
      <c r="E17" s="612">
        <f>VLOOKUP($A17,'IL Data'!$A$3:$F$113,3,FALSE)</f>
        <v>63</v>
      </c>
      <c r="F17" s="612">
        <f>VLOOKUP($A17,'IL Data'!$A$3:$F$113,4,FALSE)</f>
        <v>75</v>
      </c>
      <c r="G17" s="612" t="s">
        <v>63</v>
      </c>
      <c r="H17" s="671">
        <f>vlookup(A17,'IL Data'!$A$122:$B$227,2,FALSE)</f>
        <v>37</v>
      </c>
      <c r="I17" s="614">
        <f>iferror(vlookup(A17,'IL Data'!$A$232:$B$330,2,FALSE),"NULL")</f>
        <v>12</v>
      </c>
      <c r="J17" s="615" t="s">
        <v>63</v>
      </c>
      <c r="K17" s="672" t="s">
        <v>63</v>
      </c>
      <c r="L17" s="671">
        <f>vlookup(A17,'IL Data'!$A$335:$B$439,2,FALSE)</f>
        <v>44</v>
      </c>
      <c r="M17" s="614" t="s">
        <v>63</v>
      </c>
      <c r="N17" s="612" t="s">
        <v>63</v>
      </c>
      <c r="O17" s="612" t="s">
        <v>63</v>
      </c>
      <c r="P17" s="620">
        <f>ifna(vlookup(A17,'Population &amp; Church Numbers'!$A$598:$D$699,4,FALSE),"NULL")</f>
        <v>65</v>
      </c>
      <c r="Q17" s="707" t="s">
        <v>63</v>
      </c>
    </row>
    <row r="18">
      <c r="A18" s="609" t="s">
        <v>202</v>
      </c>
      <c r="B18" s="610">
        <f t="array" ref="B18">VLOOKUP($A18,IL_DEMO,2,FALSE)</f>
        <v>5275541</v>
      </c>
      <c r="C18" s="611">
        <f>VLOOKUP($A18,'IL Data'!$A$3:$F$113,2,FALSE)</f>
        <v>2458</v>
      </c>
      <c r="D18" s="612" t="s">
        <v>63</v>
      </c>
      <c r="E18" s="612">
        <f>VLOOKUP($A18,'IL Data'!$A$3:$F$113,3,FALSE)</f>
        <v>1044</v>
      </c>
      <c r="F18" s="612">
        <f>VLOOKUP($A18,'IL Data'!$A$3:$F$113,4,FALSE)</f>
        <v>1191</v>
      </c>
      <c r="G18" s="612" t="s">
        <v>63</v>
      </c>
      <c r="H18" s="671">
        <f>vlookup(A18,'IL Data'!$A$122:$B$227,2,FALSE)</f>
        <v>1282</v>
      </c>
      <c r="I18" s="614">
        <f>iferror(vlookup(A18,'IL Data'!$A$232:$B$330,2,FALSE),"NULL")</f>
        <v>169</v>
      </c>
      <c r="J18" s="615" t="s">
        <v>63</v>
      </c>
      <c r="K18" s="672" t="s">
        <v>63</v>
      </c>
      <c r="L18" s="671">
        <f>vlookup(A18,'IL Data'!$A$335:$B$439,2,FALSE)</f>
        <v>908</v>
      </c>
      <c r="M18" s="614" t="s">
        <v>63</v>
      </c>
      <c r="N18" s="612" t="s">
        <v>63</v>
      </c>
      <c r="O18" s="612" t="s">
        <v>63</v>
      </c>
      <c r="P18" s="620">
        <f>ifna(vlookup(A18,'Population &amp; Church Numbers'!$A$598:$D$699,4,FALSE),"NULL")</f>
        <v>2414</v>
      </c>
      <c r="Q18" s="707" t="s">
        <v>63</v>
      </c>
    </row>
    <row r="19">
      <c r="A19" s="609" t="s">
        <v>263</v>
      </c>
      <c r="B19" s="610">
        <f t="array" ref="B19">VLOOKUP($A19,IL_DEMO,2,FALSE)</f>
        <v>18679</v>
      </c>
      <c r="C19" s="718">
        <f>VLOOKUP($A19,'IL Data'!$A$3:$F$113,2,FALSE)</f>
        <v>63</v>
      </c>
      <c r="D19" s="612" t="s">
        <v>63</v>
      </c>
      <c r="E19" s="726">
        <f>VLOOKUP($A19,'IL Data'!$A$3:$F$113,3,FALSE)</f>
        <v>20</v>
      </c>
      <c r="F19" s="726">
        <f>VLOOKUP($A19,'IL Data'!$A$3:$F$113,4,FALSE)</f>
        <v>42</v>
      </c>
      <c r="G19" s="612" t="s">
        <v>63</v>
      </c>
      <c r="H19" s="671">
        <f>vlookup(A19,'IL Data'!$A$122:$B$227,2,FALSE)</f>
        <v>25</v>
      </c>
      <c r="I19" s="614">
        <f>iferror(vlookup(A19,'IL Data'!$A$232:$B$330,2,FALSE),"NULL")</f>
        <v>15</v>
      </c>
      <c r="J19" s="615" t="s">
        <v>63</v>
      </c>
      <c r="K19" s="672" t="s">
        <v>63</v>
      </c>
      <c r="L19" s="671">
        <f>vlookup(A19,'IL Data'!$A$335:$B$439,2,FALSE)</f>
        <v>10</v>
      </c>
      <c r="M19" s="614" t="s">
        <v>63</v>
      </c>
      <c r="N19" s="612" t="s">
        <v>63</v>
      </c>
      <c r="O19" s="612" t="s">
        <v>63</v>
      </c>
      <c r="P19" s="620">
        <f>ifna(vlookup(A19,'Population &amp; Church Numbers'!$A$598:$D$699,4,FALSE),"NULL")</f>
        <v>31</v>
      </c>
      <c r="Q19" s="707" t="s">
        <v>63</v>
      </c>
    </row>
    <row r="20">
      <c r="A20" s="609" t="s">
        <v>713</v>
      </c>
      <c r="B20" s="610">
        <f t="array" ref="B20">VLOOKUP($A20,IL_DEMO,2,FALSE)</f>
        <v>10450</v>
      </c>
      <c r="C20" s="718">
        <f>VLOOKUP($A20,'IL Data'!$A$3:$F$113,2,FALSE)</f>
        <v>44</v>
      </c>
      <c r="D20" s="612" t="s">
        <v>63</v>
      </c>
      <c r="E20" s="612">
        <f>VLOOKUP($A20,'IL Data'!$A$3:$F$113,3,FALSE)</f>
        <v>17</v>
      </c>
      <c r="F20" s="726">
        <f>VLOOKUP($A20,'IL Data'!$A$3:$F$113,4,FALSE)</f>
        <v>27</v>
      </c>
      <c r="G20" s="612" t="s">
        <v>63</v>
      </c>
      <c r="H20" s="671">
        <f>vlookup(A20,'IL Data'!$A$122:$B$227,2,FALSE)</f>
        <v>15</v>
      </c>
      <c r="I20" s="614">
        <f>iferror(vlookup(A20,'IL Data'!$A$232:$B$330,2,FALSE),"NULL")</f>
        <v>2</v>
      </c>
      <c r="J20" s="615" t="s">
        <v>63</v>
      </c>
      <c r="K20" s="672" t="s">
        <v>63</v>
      </c>
      <c r="L20" s="671">
        <f>vlookup(A20,'IL Data'!$A$335:$B$439,2,FALSE)</f>
        <v>9</v>
      </c>
      <c r="M20" s="614" t="s">
        <v>63</v>
      </c>
      <c r="N20" s="612" t="s">
        <v>63</v>
      </c>
      <c r="O20" s="612" t="s">
        <v>63</v>
      </c>
      <c r="P20" s="620">
        <f>ifna(vlookup(A20,'Population &amp; Church Numbers'!$A$598:$D$699,4,FALSE),"NULL")</f>
        <v>17</v>
      </c>
      <c r="Q20" s="707" t="s">
        <v>63</v>
      </c>
    </row>
    <row r="21">
      <c r="A21" s="609" t="s">
        <v>131</v>
      </c>
      <c r="B21" s="610">
        <f t="array" ref="B21">VLOOKUP($A21,IL_DEMO,2,FALSE)</f>
        <v>100420</v>
      </c>
      <c r="C21" s="718">
        <f>VLOOKUP($A21,'IL Data'!$A$3:$F$113,2,FALSE)</f>
        <v>99</v>
      </c>
      <c r="D21" s="612" t="s">
        <v>63</v>
      </c>
      <c r="E21" s="726">
        <f>VLOOKUP($A21,'IL Data'!$A$3:$F$113,3,FALSE)</f>
        <v>51</v>
      </c>
      <c r="F21" s="726">
        <f>VLOOKUP($A21,'IL Data'!$A$3:$F$113,4,FALSE)</f>
        <v>48</v>
      </c>
      <c r="G21" s="612" t="s">
        <v>63</v>
      </c>
      <c r="H21" s="671">
        <f>vlookup(A21,'IL Data'!$A$122:$B$227,2,FALSE)</f>
        <v>49</v>
      </c>
      <c r="I21" s="614">
        <f>iferror(vlookup(A21,'IL Data'!$A$232:$B$330,2,FALSE),"NULL")</f>
        <v>12</v>
      </c>
      <c r="J21" s="615" t="s">
        <v>63</v>
      </c>
      <c r="K21" s="672" t="s">
        <v>63</v>
      </c>
      <c r="L21" s="671">
        <f>vlookup(A21,'IL Data'!$A$335:$B$439,2,FALSE)</f>
        <v>31</v>
      </c>
      <c r="M21" s="614" t="s">
        <v>63</v>
      </c>
      <c r="N21" s="612" t="s">
        <v>63</v>
      </c>
      <c r="O21" s="612" t="s">
        <v>63</v>
      </c>
      <c r="P21" s="620">
        <f>ifna(vlookup(A21,'Population &amp; Church Numbers'!$A$598:$D$699,4,FALSE),"NULL")</f>
        <v>81</v>
      </c>
      <c r="Q21" s="707" t="s">
        <v>63</v>
      </c>
    </row>
    <row r="22">
      <c r="A22" s="609" t="s">
        <v>2055</v>
      </c>
      <c r="B22" s="610">
        <f t="array" ref="B22">VLOOKUP($A22,IL_DEMO,2,FALSE)</f>
        <v>15516</v>
      </c>
      <c r="C22" s="611">
        <f>VLOOKUP($A22,'IL Data'!$A$3:$F$113,2,FALSE)</f>
        <v>47</v>
      </c>
      <c r="D22" s="612" t="s">
        <v>63</v>
      </c>
      <c r="E22" s="612">
        <f>VLOOKUP($A22,'IL Data'!$A$3:$F$113,3,FALSE)</f>
        <v>19</v>
      </c>
      <c r="F22" s="612">
        <f>VLOOKUP($A22,'IL Data'!$A$3:$F$113,4,FALSE)</f>
        <v>27</v>
      </c>
      <c r="G22" s="612" t="s">
        <v>63</v>
      </c>
      <c r="H22" s="671">
        <f>vlookup(A22,'IL Data'!$A$122:$B$227,2,FALSE)</f>
        <v>15</v>
      </c>
      <c r="I22" s="614">
        <f>iferror(vlookup(A22,'IL Data'!$A$232:$B$330,2,FALSE),"NULL")</f>
        <v>7</v>
      </c>
      <c r="J22" s="615" t="s">
        <v>63</v>
      </c>
      <c r="K22" s="672" t="s">
        <v>63</v>
      </c>
      <c r="L22" s="671">
        <f>vlookup(A22,'IL Data'!$A$335:$B$439,2,FALSE)</f>
        <v>11</v>
      </c>
      <c r="M22" s="614" t="s">
        <v>63</v>
      </c>
      <c r="N22" s="612" t="s">
        <v>63</v>
      </c>
      <c r="O22" s="612" t="s">
        <v>63</v>
      </c>
      <c r="P22" s="620">
        <f>ifna(vlookup(A22,'Population &amp; Church Numbers'!$A$598:$D$699,4,FALSE),"NULL")</f>
        <v>23</v>
      </c>
      <c r="Q22" s="707" t="s">
        <v>63</v>
      </c>
    </row>
    <row r="23">
      <c r="A23" s="609" t="s">
        <v>412</v>
      </c>
      <c r="B23" s="610">
        <f t="array" ref="B23">VLOOKUP($A23,IL_DEMO,2,FALSE)</f>
        <v>19740</v>
      </c>
      <c r="C23" s="611">
        <f>VLOOKUP($A23,'IL Data'!$A$3:$F$113,2,FALSE)</f>
        <v>56</v>
      </c>
      <c r="D23" s="612" t="s">
        <v>63</v>
      </c>
      <c r="E23" s="612">
        <f>VLOOKUP($A23,'IL Data'!$A$3:$F$113,3,FALSE)</f>
        <v>27</v>
      </c>
      <c r="F23" s="612">
        <f>VLOOKUP($A23,'IL Data'!$A$3:$F$113,4,FALSE)</f>
        <v>29</v>
      </c>
      <c r="G23" s="612" t="s">
        <v>63</v>
      </c>
      <c r="H23" s="671">
        <f>vlookup(A23,'IL Data'!$A$122:$B$227,2,FALSE)</f>
        <v>24</v>
      </c>
      <c r="I23" s="614">
        <f>iferror(vlookup(A23,'IL Data'!$A$232:$B$330,2,FALSE),"NULL")</f>
        <v>4</v>
      </c>
      <c r="J23" s="615" t="s">
        <v>63</v>
      </c>
      <c r="K23" s="672" t="s">
        <v>63</v>
      </c>
      <c r="L23" s="671">
        <f>vlookup(A23,'IL Data'!$A$335:$B$439,2,FALSE)</f>
        <v>13</v>
      </c>
      <c r="M23" s="614" t="s">
        <v>63</v>
      </c>
      <c r="N23" s="612" t="s">
        <v>63</v>
      </c>
      <c r="O23" s="612" t="s">
        <v>63</v>
      </c>
      <c r="P23" s="620">
        <f>ifna(vlookup(A23,'Population &amp; Church Numbers'!$A$598:$D$699,4,FALSE),"NULL")</f>
        <v>39</v>
      </c>
      <c r="Q23" s="707" t="s">
        <v>63</v>
      </c>
    </row>
    <row r="24">
      <c r="A24" s="609" t="s">
        <v>456</v>
      </c>
      <c r="B24" s="610">
        <f t="array" ref="B24">VLOOKUP($A24,IL_DEMO,2,FALSE)</f>
        <v>932877</v>
      </c>
      <c r="C24" s="611">
        <f>VLOOKUP($A24,'IL Data'!$A$3:$F$113,2,FALSE)</f>
        <v>342</v>
      </c>
      <c r="D24" s="612" t="s">
        <v>63</v>
      </c>
      <c r="E24" s="612">
        <f>VLOOKUP($A24,'IL Data'!$A$3:$F$113,3,FALSE)</f>
        <v>158</v>
      </c>
      <c r="F24" s="612">
        <f>VLOOKUP($A24,'IL Data'!$A$3:$F$113,4,FALSE)</f>
        <v>156</v>
      </c>
      <c r="G24" s="612" t="s">
        <v>63</v>
      </c>
      <c r="H24" s="671">
        <f>vlookup(A24,'IL Data'!$A$122:$B$227,2,FALSE)</f>
        <v>227</v>
      </c>
      <c r="I24" s="614">
        <f>iferror(vlookup(A24,'IL Data'!$A$232:$B$330,2,FALSE),"NULL")</f>
        <v>26</v>
      </c>
      <c r="J24" s="615" t="s">
        <v>63</v>
      </c>
      <c r="K24" s="672" t="s">
        <v>63</v>
      </c>
      <c r="L24" s="671">
        <f>vlookup(A24,'IL Data'!$A$335:$B$439,2,FALSE)</f>
        <v>159</v>
      </c>
      <c r="M24" s="614" t="s">
        <v>63</v>
      </c>
      <c r="N24" s="612" t="s">
        <v>63</v>
      </c>
      <c r="O24" s="612" t="s">
        <v>63</v>
      </c>
      <c r="P24" s="620">
        <f>ifna(vlookup(A24,'Population &amp; Church Numbers'!$A$598:$D$699,4,FALSE),"NULL")</f>
        <v>364</v>
      </c>
      <c r="Q24" s="707" t="s">
        <v>63</v>
      </c>
    </row>
    <row r="25">
      <c r="A25" s="609" t="s">
        <v>716</v>
      </c>
      <c r="B25" s="610">
        <f t="array" ref="B25">VLOOKUP($A25,IL_DEMO,2,FALSE)</f>
        <v>16866</v>
      </c>
      <c r="C25" s="611">
        <f>VLOOKUP($A25,'IL Data'!$A$3:$F$113,2,FALSE)</f>
        <v>53</v>
      </c>
      <c r="D25" s="612" t="s">
        <v>63</v>
      </c>
      <c r="E25" s="612">
        <f>VLOOKUP($A25,'IL Data'!$A$3:$F$113,3,FALSE)</f>
        <v>10</v>
      </c>
      <c r="F25" s="612">
        <f>VLOOKUP($A25,'IL Data'!$A$3:$F$113,4,FALSE)</f>
        <v>43</v>
      </c>
      <c r="G25" s="612" t="s">
        <v>63</v>
      </c>
      <c r="H25" s="671">
        <f>vlookup(A25,'IL Data'!$A$122:$B$227,2,FALSE)</f>
        <v>13</v>
      </c>
      <c r="I25" s="614">
        <f>iferror(vlookup(A25,'IL Data'!$A$232:$B$330,2,FALSE),"NULL")</f>
        <v>6</v>
      </c>
      <c r="J25" s="615" t="s">
        <v>63</v>
      </c>
      <c r="K25" s="672" t="s">
        <v>63</v>
      </c>
      <c r="L25" s="671">
        <f>vlookup(A25,'IL Data'!$A$335:$B$439,2,FALSE)</f>
        <v>14</v>
      </c>
      <c r="M25" s="614" t="s">
        <v>63</v>
      </c>
      <c r="N25" s="612" t="s">
        <v>63</v>
      </c>
      <c r="O25" s="612" t="s">
        <v>63</v>
      </c>
      <c r="P25" s="620">
        <f>ifna(vlookup(A25,'Population &amp; Church Numbers'!$A$598:$D$699,4,FALSE),"NULL")</f>
        <v>33</v>
      </c>
      <c r="Q25" s="707" t="s">
        <v>63</v>
      </c>
    </row>
    <row r="26">
      <c r="A26" s="609" t="s">
        <v>717</v>
      </c>
      <c r="B26" s="610">
        <f t="array" ref="B26">VLOOKUP($A26,IL_DEMO,2,FALSE)</f>
        <v>6245</v>
      </c>
      <c r="C26" s="611">
        <f>VLOOKUP($A26,'IL Data'!$A$3:$F$113,2,FALSE)</f>
        <v>13</v>
      </c>
      <c r="D26" s="612" t="s">
        <v>63</v>
      </c>
      <c r="E26" s="612">
        <f>VLOOKUP($A26,'IL Data'!$A$3:$F$113,3,FALSE)</f>
        <v>4</v>
      </c>
      <c r="F26" s="612">
        <f>VLOOKUP($A26,'IL Data'!$A$3:$F$113,4,FALSE)</f>
        <v>9</v>
      </c>
      <c r="G26" s="612" t="s">
        <v>63</v>
      </c>
      <c r="H26" s="671">
        <f>vlookup(A26,'IL Data'!$A$122:$B$227,2,FALSE)</f>
        <v>5</v>
      </c>
      <c r="I26" s="614">
        <f>iferror(vlookup(A26,'IL Data'!$A$232:$B$330,2,FALSE),"NULL")</f>
        <v>2</v>
      </c>
      <c r="J26" s="615" t="s">
        <v>63</v>
      </c>
      <c r="K26" s="672" t="s">
        <v>63</v>
      </c>
      <c r="L26" s="671">
        <f>vlookup(A26,'IL Data'!$A$335:$B$439,2,FALSE)</f>
        <v>2</v>
      </c>
      <c r="M26" s="614" t="s">
        <v>63</v>
      </c>
      <c r="N26" s="612" t="s">
        <v>63</v>
      </c>
      <c r="O26" s="612" t="s">
        <v>63</v>
      </c>
      <c r="P26" s="620">
        <f>ifna(vlookup(A26,'Population &amp; Church Numbers'!$A$598:$D$699,4,FALSE),"NULL")</f>
        <v>16</v>
      </c>
      <c r="Q26" s="707" t="s">
        <v>63</v>
      </c>
    </row>
    <row r="27">
      <c r="A27" s="609" t="s">
        <v>569</v>
      </c>
      <c r="B27" s="610">
        <f t="array" ref="B27">VLOOKUP($A27,IL_DEMO,2,FALSE)</f>
        <v>34668</v>
      </c>
      <c r="C27" s="611">
        <f>VLOOKUP($A27,'IL Data'!$A$3:$F$113,2,FALSE)</f>
        <v>89</v>
      </c>
      <c r="D27" s="612" t="s">
        <v>63</v>
      </c>
      <c r="E27" s="612">
        <f>VLOOKUP($A27,'IL Data'!$A$3:$F$113,3,FALSE)</f>
        <v>39</v>
      </c>
      <c r="F27" s="612">
        <f>VLOOKUP($A27,'IL Data'!$A$3:$F$113,4,FALSE)</f>
        <v>49</v>
      </c>
      <c r="G27" s="612" t="s">
        <v>63</v>
      </c>
      <c r="H27" s="671">
        <f>vlookup(A27,'IL Data'!$A$122:$B$227,2,FALSE)</f>
        <v>36</v>
      </c>
      <c r="I27" s="614">
        <f>iferror(vlookup(A27,'IL Data'!$A$232:$B$330,2,FALSE),"NULL")</f>
        <v>13</v>
      </c>
      <c r="J27" s="615" t="s">
        <v>63</v>
      </c>
      <c r="K27" s="672" t="s">
        <v>63</v>
      </c>
      <c r="L27" s="671">
        <f>vlookup(A27,'IL Data'!$A$335:$B$439,2,FALSE)</f>
        <v>20</v>
      </c>
      <c r="M27" s="614" t="s">
        <v>63</v>
      </c>
      <c r="N27" s="612" t="s">
        <v>63</v>
      </c>
      <c r="O27" s="612" t="s">
        <v>63</v>
      </c>
      <c r="P27" s="620">
        <f>ifna(vlookup(A27,'Population &amp; Church Numbers'!$A$598:$D$699,4,FALSE),"NULL")</f>
        <v>46</v>
      </c>
      <c r="Q27" s="707" t="s">
        <v>63</v>
      </c>
    </row>
    <row r="28">
      <c r="A28" s="609" t="s">
        <v>135</v>
      </c>
      <c r="B28" s="610">
        <f t="array" ref="B28">VLOOKUP($A28,IL_DEMO,2,FALSE)</f>
        <v>21488</v>
      </c>
      <c r="C28" s="611">
        <f>VLOOKUP($A28,'IL Data'!$A$3:$F$113,2,FALSE)</f>
        <v>134</v>
      </c>
      <c r="D28" s="612" t="s">
        <v>63</v>
      </c>
      <c r="E28" s="612">
        <f>VLOOKUP($A28,'IL Data'!$A$3:$F$113,3,FALSE)</f>
        <v>53</v>
      </c>
      <c r="F28" s="612">
        <f>VLOOKUP($A28,'IL Data'!$A$3:$F$113,4,FALSE)</f>
        <v>81</v>
      </c>
      <c r="G28" s="612" t="s">
        <v>63</v>
      </c>
      <c r="H28" s="671">
        <f>vlookup(A28,'IL Data'!$A$122:$B$227,2,FALSE)</f>
        <v>43</v>
      </c>
      <c r="I28" s="614">
        <f>iferror(vlookup(A28,'IL Data'!$A$232:$B$330,2,FALSE),"NULL")</f>
        <v>15</v>
      </c>
      <c r="J28" s="615" t="s">
        <v>63</v>
      </c>
      <c r="K28" s="672" t="s">
        <v>63</v>
      </c>
      <c r="L28" s="671">
        <f>vlookup(A28,'IL Data'!$A$335:$B$439,2,FALSE)</f>
        <v>23</v>
      </c>
      <c r="M28" s="614" t="s">
        <v>63</v>
      </c>
      <c r="N28" s="612" t="s">
        <v>63</v>
      </c>
      <c r="O28" s="612" t="s">
        <v>63</v>
      </c>
      <c r="P28" s="620">
        <f>ifna(vlookup(A28,'Population &amp; Church Numbers'!$A$598:$D$699,4,FALSE),"NULL")</f>
        <v>31</v>
      </c>
      <c r="Q28" s="707" t="s">
        <v>63</v>
      </c>
    </row>
    <row r="29">
      <c r="A29" s="609" t="s">
        <v>718</v>
      </c>
      <c r="B29" s="610">
        <f t="array" ref="B29">VLOOKUP($A29,IL_DEMO,2,FALSE)</f>
        <v>13534</v>
      </c>
      <c r="C29" s="611">
        <f>VLOOKUP($A29,'IL Data'!$A$3:$F$113,2,FALSE)</f>
        <v>33</v>
      </c>
      <c r="D29" s="612" t="s">
        <v>63</v>
      </c>
      <c r="E29" s="612">
        <f>VLOOKUP($A29,'IL Data'!$A$3:$F$113,3,FALSE)</f>
        <v>19</v>
      </c>
      <c r="F29" s="612">
        <f>VLOOKUP($A29,'IL Data'!$A$3:$F$113,4,FALSE)</f>
        <v>14</v>
      </c>
      <c r="G29" s="612" t="s">
        <v>63</v>
      </c>
      <c r="H29" s="671">
        <f>vlookup(A29,'IL Data'!$A$122:$B$227,2,FALSE)</f>
        <v>12</v>
      </c>
      <c r="I29" s="614">
        <f>iferror(vlookup(A29,'IL Data'!$A$232:$B$330,2,FALSE),"NULL")</f>
        <v>2</v>
      </c>
      <c r="J29" s="615" t="s">
        <v>63</v>
      </c>
      <c r="K29" s="672" t="s">
        <v>63</v>
      </c>
      <c r="L29" s="671">
        <f>vlookup(A29,'IL Data'!$A$335:$B$439,2,FALSE)</f>
        <v>10</v>
      </c>
      <c r="M29" s="614" t="s">
        <v>63</v>
      </c>
      <c r="N29" s="612" t="s">
        <v>63</v>
      </c>
      <c r="O29" s="612" t="s">
        <v>63</v>
      </c>
      <c r="P29" s="620">
        <f>ifna(vlookup(A29,'Population &amp; Church Numbers'!$A$598:$D$699,4,FALSE),"NULL")</f>
        <v>26</v>
      </c>
      <c r="Q29" s="707" t="s">
        <v>63</v>
      </c>
    </row>
    <row r="30">
      <c r="A30" s="609" t="s">
        <v>136</v>
      </c>
      <c r="B30" s="610">
        <f t="array" ref="B30">VLOOKUP($A30,IL_DEMO,2,FALSE)</f>
        <v>37804</v>
      </c>
      <c r="C30" s="611">
        <f>VLOOKUP($A30,'IL Data'!$A$3:$F$113,2,FALSE)</f>
        <v>120</v>
      </c>
      <c r="D30" s="612" t="s">
        <v>63</v>
      </c>
      <c r="E30" s="612">
        <f>VLOOKUP($A30,'IL Data'!$A$3:$F$113,3,FALSE)</f>
        <v>34</v>
      </c>
      <c r="F30" s="612">
        <f>VLOOKUP($A30,'IL Data'!$A$3:$F$113,4,FALSE)</f>
        <v>77</v>
      </c>
      <c r="G30" s="612" t="s">
        <v>63</v>
      </c>
      <c r="H30" s="671">
        <f>vlookup(A30,'IL Data'!$A$122:$B$227,2,FALSE)</f>
        <v>44</v>
      </c>
      <c r="I30" s="614">
        <f>iferror(vlookup(A30,'IL Data'!$A$232:$B$330,2,FALSE),"NULL")</f>
        <v>5</v>
      </c>
      <c r="J30" s="615" t="s">
        <v>63</v>
      </c>
      <c r="K30" s="672" t="s">
        <v>63</v>
      </c>
      <c r="L30" s="671">
        <f>vlookup(A30,'IL Data'!$A$335:$B$439,2,FALSE)</f>
        <v>27</v>
      </c>
      <c r="M30" s="614" t="s">
        <v>63</v>
      </c>
      <c r="N30" s="612" t="s">
        <v>63</v>
      </c>
      <c r="O30" s="612" t="s">
        <v>63</v>
      </c>
      <c r="P30" s="620">
        <f>ifna(vlookup(A30,'Population &amp; Church Numbers'!$A$598:$D$699,4,FALSE),"NULL")</f>
        <v>78</v>
      </c>
      <c r="Q30" s="707" t="s">
        <v>63</v>
      </c>
    </row>
    <row r="31">
      <c r="A31" s="609" t="s">
        <v>275</v>
      </c>
      <c r="B31" s="610">
        <f t="array" ref="B31">VLOOKUP($A31,IL_DEMO,2,FALSE)</f>
        <v>33609</v>
      </c>
      <c r="C31" s="611">
        <f>VLOOKUP($A31,'IL Data'!$A$3:$F$113,2,FALSE)</f>
        <v>119</v>
      </c>
      <c r="D31" s="612" t="s">
        <v>63</v>
      </c>
      <c r="E31" s="612">
        <f>VLOOKUP($A31,'IL Data'!$A$3:$F$113,3,FALSE)</f>
        <v>24</v>
      </c>
      <c r="F31" s="612">
        <f>VLOOKUP($A31,'IL Data'!$A$3:$F$113,4,FALSE)</f>
        <v>82</v>
      </c>
      <c r="G31" s="612" t="s">
        <v>63</v>
      </c>
      <c r="H31" s="671">
        <f>vlookup(A31,'IL Data'!$A$122:$B$227,2,FALSE)</f>
        <v>40</v>
      </c>
      <c r="I31" s="614">
        <f>iferror(vlookup(A31,'IL Data'!$A$232:$B$330,2,FALSE),"NULL")</f>
        <v>8</v>
      </c>
      <c r="J31" s="615" t="s">
        <v>63</v>
      </c>
      <c r="K31" s="672" t="s">
        <v>63</v>
      </c>
      <c r="L31" s="671">
        <f>vlookup(A31,'IL Data'!$A$335:$B$439,2,FALSE)</f>
        <v>24</v>
      </c>
      <c r="M31" s="614" t="s">
        <v>63</v>
      </c>
      <c r="N31" s="612" t="s">
        <v>63</v>
      </c>
      <c r="O31" s="612" t="s">
        <v>63</v>
      </c>
      <c r="P31" s="620">
        <f>ifna(vlookup(A31,'Population &amp; Church Numbers'!$A$598:$D$699,4,FALSE),"NULL")</f>
        <v>52</v>
      </c>
      <c r="Q31" s="707" t="s">
        <v>63</v>
      </c>
    </row>
    <row r="32">
      <c r="A32" s="609" t="s">
        <v>719</v>
      </c>
      <c r="B32" s="610">
        <f t="array" ref="B32">VLOOKUP($A32,IL_DEMO,2,FALSE)</f>
        <v>4946</v>
      </c>
      <c r="C32" s="611">
        <f>VLOOKUP($A32,'IL Data'!$A$3:$F$113,2,FALSE)</f>
        <v>10</v>
      </c>
      <c r="D32" s="612" t="s">
        <v>63</v>
      </c>
      <c r="E32" s="612">
        <f>VLOOKUP($A32,'IL Data'!$A$3:$F$113,3,FALSE)</f>
        <v>2</v>
      </c>
      <c r="F32" s="612">
        <f>VLOOKUP($A32,'IL Data'!$A$3:$F$113,4,FALSE)</f>
        <v>8</v>
      </c>
      <c r="G32" s="612" t="s">
        <v>63</v>
      </c>
      <c r="H32" s="671">
        <f>vlookup(A32,'IL Data'!$A$122:$B$227,2,FALSE)</f>
        <v>2</v>
      </c>
      <c r="I32" s="614">
        <f>iferror(vlookup(A32,'IL Data'!$A$232:$B$330,2,FALSE),"NULL")</f>
        <v>2</v>
      </c>
      <c r="J32" s="615" t="s">
        <v>63</v>
      </c>
      <c r="K32" s="672" t="s">
        <v>63</v>
      </c>
      <c r="L32" s="671">
        <f>vlookup(A32,'IL Data'!$A$335:$B$439,2,FALSE)</f>
        <v>3</v>
      </c>
      <c r="M32" s="614" t="s">
        <v>63</v>
      </c>
      <c r="N32" s="612" t="s">
        <v>63</v>
      </c>
      <c r="O32" s="612" t="s">
        <v>63</v>
      </c>
      <c r="P32" s="620">
        <f>ifna(vlookup(A32,'Population &amp; Church Numbers'!$A$598:$D$699,4,FALSE),"NULL")</f>
        <v>5</v>
      </c>
      <c r="Q32" s="707" t="s">
        <v>63</v>
      </c>
    </row>
    <row r="33">
      <c r="A33" s="609" t="s">
        <v>138</v>
      </c>
      <c r="B33" s="610">
        <f t="array" ref="B33">VLOOKUP($A33,IL_DEMO,2,FALSE)</f>
        <v>11985</v>
      </c>
      <c r="C33" s="611">
        <f>VLOOKUP($A33,'IL Data'!$A$3:$F$113,2,FALSE)</f>
        <v>66</v>
      </c>
      <c r="D33" s="612" t="s">
        <v>63</v>
      </c>
      <c r="E33" s="612">
        <f>VLOOKUP($A33,'IL Data'!$A$3:$F$113,3,FALSE)</f>
        <v>25</v>
      </c>
      <c r="F33" s="612">
        <f>VLOOKUP($A33,'IL Data'!$A$3:$F$113,4,FALSE)</f>
        <v>39</v>
      </c>
      <c r="G33" s="612" t="s">
        <v>63</v>
      </c>
      <c r="H33" s="671">
        <f>vlookup(A33,'IL Data'!$A$122:$B$227,2,FALSE)</f>
        <v>21</v>
      </c>
      <c r="I33" s="614">
        <f>iferror(vlookup(A33,'IL Data'!$A$232:$B$330,2,FALSE),"NULL")</f>
        <v>4</v>
      </c>
      <c r="J33" s="615" t="s">
        <v>63</v>
      </c>
      <c r="K33" s="672" t="s">
        <v>63</v>
      </c>
      <c r="L33" s="671">
        <f>vlookup(A33,'IL Data'!$A$335:$B$439,2,FALSE)</f>
        <v>9</v>
      </c>
      <c r="M33" s="614" t="s">
        <v>63</v>
      </c>
      <c r="N33" s="612" t="s">
        <v>63</v>
      </c>
      <c r="O33" s="612" t="s">
        <v>63</v>
      </c>
      <c r="P33" s="620">
        <f>ifna(vlookup(A33,'Population &amp; Church Numbers'!$A$598:$D$699,4,FALSE),"NULL")</f>
        <v>19</v>
      </c>
      <c r="Q33" s="707" t="s">
        <v>63</v>
      </c>
    </row>
    <row r="34">
      <c r="A34" s="609" t="s">
        <v>720</v>
      </c>
      <c r="B34" s="610">
        <f t="array" ref="B34">VLOOKUP($A34,IL_DEMO,2,FALSE)</f>
        <v>52533</v>
      </c>
      <c r="C34" s="611">
        <f>VLOOKUP($A34,'IL Data'!$A$3:$F$113,2,FALSE)</f>
        <v>36</v>
      </c>
      <c r="D34" s="612" t="s">
        <v>63</v>
      </c>
      <c r="E34" s="612">
        <f>VLOOKUP($A34,'IL Data'!$A$3:$F$113,3,FALSE)</f>
        <v>21</v>
      </c>
      <c r="F34" s="612">
        <f>VLOOKUP($A34,'IL Data'!$A$3:$F$113,4,FALSE)</f>
        <v>15</v>
      </c>
      <c r="G34" s="612" t="s">
        <v>63</v>
      </c>
      <c r="H34" s="671">
        <f>vlookup(A34,'IL Data'!$A$122:$B$227,2,FALSE)</f>
        <v>27</v>
      </c>
      <c r="I34" s="614">
        <f>iferror(vlookup(A34,'IL Data'!$A$232:$B$330,2,FALSE),"NULL")</f>
        <v>6</v>
      </c>
      <c r="J34" s="615" t="s">
        <v>63</v>
      </c>
      <c r="K34" s="672" t="s">
        <v>63</v>
      </c>
      <c r="L34" s="671">
        <f>vlookup(A34,'IL Data'!$A$335:$B$439,2,FALSE)</f>
        <v>13</v>
      </c>
      <c r="M34" s="614" t="s">
        <v>63</v>
      </c>
      <c r="N34" s="612" t="s">
        <v>63</v>
      </c>
      <c r="O34" s="612" t="s">
        <v>63</v>
      </c>
      <c r="P34" s="620">
        <f>ifna(vlookup(A34,'Population &amp; Church Numbers'!$A$598:$D$699,4,FALSE),"NULL")</f>
        <v>36</v>
      </c>
      <c r="Q34" s="707" t="s">
        <v>63</v>
      </c>
    </row>
    <row r="35">
      <c r="A35" s="609" t="s">
        <v>497</v>
      </c>
      <c r="B35" s="610">
        <f t="array" ref="B35">VLOOKUP($A35,IL_DEMO,2,FALSE)</f>
        <v>7993</v>
      </c>
      <c r="C35" s="611">
        <f>VLOOKUP($A35,'IL Data'!$A$3:$F$113,2,FALSE)</f>
        <v>19</v>
      </c>
      <c r="D35" s="612" t="s">
        <v>63</v>
      </c>
      <c r="E35" s="612">
        <f>VLOOKUP($A35,'IL Data'!$A$3:$F$113,3,FALSE)</f>
        <v>9</v>
      </c>
      <c r="F35" s="612">
        <f>VLOOKUP($A35,'IL Data'!$A$3:$F$113,4,FALSE)</f>
        <v>10</v>
      </c>
      <c r="G35" s="612" t="s">
        <v>63</v>
      </c>
      <c r="H35" s="671">
        <f>vlookup(A35,'IL Data'!$A$122:$B$227,2,FALSE)</f>
        <v>7</v>
      </c>
      <c r="I35" s="614">
        <f>iferror(vlookup(A35,'IL Data'!$A$232:$B$330,2,FALSE),"NULL")</f>
        <v>5</v>
      </c>
      <c r="J35" s="615" t="s">
        <v>63</v>
      </c>
      <c r="K35" s="672" t="s">
        <v>63</v>
      </c>
      <c r="L35" s="671">
        <f>vlookup(A35,'IL Data'!$A$335:$B$439,2,FALSE)</f>
        <v>4</v>
      </c>
      <c r="M35" s="614" t="s">
        <v>63</v>
      </c>
      <c r="N35" s="612" t="s">
        <v>63</v>
      </c>
      <c r="O35" s="612" t="s">
        <v>63</v>
      </c>
      <c r="P35" s="620">
        <f>ifna(vlookup(A35,'Population &amp; Church Numbers'!$A$598:$D$699,4,FALSE),"NULL")</f>
        <v>14</v>
      </c>
      <c r="Q35" s="707" t="s">
        <v>63</v>
      </c>
    </row>
    <row r="36">
      <c r="A36" s="609" t="s">
        <v>587</v>
      </c>
      <c r="B36" s="610">
        <f t="array" ref="B36">VLOOKUP($A36,IL_DEMO,2,FALSE)</f>
        <v>17620</v>
      </c>
      <c r="C36" s="611">
        <f>VLOOKUP($A36,'IL Data'!$A$3:$F$113,2,FALSE)</f>
        <v>48</v>
      </c>
      <c r="D36" s="612" t="s">
        <v>63</v>
      </c>
      <c r="E36" s="612">
        <f>VLOOKUP($A36,'IL Data'!$A$3:$F$113,3,FALSE)</f>
        <v>19</v>
      </c>
      <c r="F36" s="612">
        <f>VLOOKUP($A36,'IL Data'!$A$3:$F$113,4,FALSE)</f>
        <v>29</v>
      </c>
      <c r="G36" s="612" t="s">
        <v>63</v>
      </c>
      <c r="H36" s="671">
        <f>vlookup(A36,'IL Data'!$A$122:$B$227,2,FALSE)</f>
        <v>28</v>
      </c>
      <c r="I36" s="614">
        <f>iferror(vlookup(A36,'IL Data'!$A$232:$B$330,2,FALSE),"NULL")</f>
        <v>6</v>
      </c>
      <c r="J36" s="615" t="s">
        <v>63</v>
      </c>
      <c r="K36" s="672" t="s">
        <v>63</v>
      </c>
      <c r="L36" s="671">
        <f>vlookup(A36,'IL Data'!$A$335:$B$439,2,FALSE)</f>
        <v>12</v>
      </c>
      <c r="M36" s="614" t="s">
        <v>63</v>
      </c>
      <c r="N36" s="612" t="s">
        <v>63</v>
      </c>
      <c r="O36" s="612" t="s">
        <v>63</v>
      </c>
      <c r="P36" s="620">
        <f>ifna(vlookup(A36,'Population &amp; Church Numbers'!$A$598:$D$699,4,FALSE),"NULL")</f>
        <v>50</v>
      </c>
      <c r="Q36" s="707" t="s">
        <v>63</v>
      </c>
    </row>
    <row r="37">
      <c r="A37" s="609" t="s">
        <v>721</v>
      </c>
      <c r="B37" s="610">
        <f t="array" ref="B37">VLOOKUP($A37,IL_DEMO,2,FALSE)</f>
        <v>3649</v>
      </c>
      <c r="C37" s="611">
        <f>VLOOKUP($A37,'IL Data'!$A$3:$F$113,2,FALSE)</f>
        <v>5</v>
      </c>
      <c r="D37" s="612" t="s">
        <v>63</v>
      </c>
      <c r="E37" s="612">
        <f>VLOOKUP($A37,'IL Data'!$A$3:$F$113,3,FALSE)</f>
        <v>2</v>
      </c>
      <c r="F37" s="612">
        <f>VLOOKUP($A37,'IL Data'!$A$3:$F$113,4,FALSE)</f>
        <v>3</v>
      </c>
      <c r="G37" s="612" t="s">
        <v>63</v>
      </c>
      <c r="H37" s="671">
        <f>vlookup(A37,'IL Data'!$A$122:$B$227,2,FALSE)</f>
        <v>3</v>
      </c>
      <c r="I37" s="614" t="str">
        <f>iferror(vlookup(A37,'IL Data'!$A$232:$B$330,2,FALSE),"NULL")</f>
        <v>NULL</v>
      </c>
      <c r="J37" s="615" t="s">
        <v>63</v>
      </c>
      <c r="K37" s="672" t="s">
        <v>63</v>
      </c>
      <c r="L37" s="671">
        <f>vlookup(A37,'IL Data'!$A$335:$B$439,2,FALSE)</f>
        <v>2</v>
      </c>
      <c r="M37" s="614" t="s">
        <v>63</v>
      </c>
      <c r="N37" s="612" t="s">
        <v>63</v>
      </c>
      <c r="O37" s="612" t="s">
        <v>63</v>
      </c>
      <c r="P37" s="620">
        <f>ifna(vlookup(A37,'Population &amp; Church Numbers'!$A$598:$D$699,4,FALSE),"NULL")</f>
        <v>11</v>
      </c>
      <c r="Q37" s="707" t="s">
        <v>63</v>
      </c>
    </row>
    <row r="38">
      <c r="A38" s="609" t="s">
        <v>722</v>
      </c>
      <c r="B38" s="610">
        <f t="array" ref="B38">VLOOKUP($A38,IL_DEMO,2,FALSE)</f>
        <v>6387</v>
      </c>
      <c r="C38" s="611">
        <f>VLOOKUP($A38,'IL Data'!$A$3:$F$113,2,FALSE)</f>
        <v>18</v>
      </c>
      <c r="D38" s="612" t="s">
        <v>63</v>
      </c>
      <c r="E38" s="612">
        <f>VLOOKUP($A38,'IL Data'!$A$3:$F$113,3,FALSE)</f>
        <v>7</v>
      </c>
      <c r="F38" s="612">
        <f>VLOOKUP($A38,'IL Data'!$A$3:$F$113,4,FALSE)</f>
        <v>11</v>
      </c>
      <c r="G38" s="612" t="s">
        <v>63</v>
      </c>
      <c r="H38" s="671">
        <f>vlookup(A38,'IL Data'!$A$122:$B$227,2,FALSE)</f>
        <v>7</v>
      </c>
      <c r="I38" s="614" t="str">
        <f>iferror(vlookup(A38,'IL Data'!$A$232:$B$330,2,FALSE),"NULL")</f>
        <v>NULL</v>
      </c>
      <c r="J38" s="615" t="s">
        <v>63</v>
      </c>
      <c r="K38" s="672" t="s">
        <v>63</v>
      </c>
      <c r="L38" s="671">
        <f>vlookup(A38,'IL Data'!$A$335:$B$439,2,FALSE)</f>
        <v>3</v>
      </c>
      <c r="M38" s="614" t="s">
        <v>63</v>
      </c>
      <c r="N38" s="612" t="s">
        <v>63</v>
      </c>
      <c r="O38" s="612" t="s">
        <v>63</v>
      </c>
      <c r="P38" s="620">
        <f>ifna(vlookup(A38,'Population &amp; Church Numbers'!$A$598:$D$699,4,FALSE),"NULL")</f>
        <v>12</v>
      </c>
      <c r="Q38" s="707" t="s">
        <v>63</v>
      </c>
    </row>
    <row r="39">
      <c r="A39" s="609" t="s">
        <v>140</v>
      </c>
      <c r="B39" s="610">
        <f t="array" ref="B39">VLOOKUP($A39,IL_DEMO,2,FALSE)</f>
        <v>49284</v>
      </c>
      <c r="C39" s="611">
        <f>VLOOKUP($A39,'IL Data'!$A$3:$F$113,2,FALSE)</f>
        <v>100</v>
      </c>
      <c r="D39" s="612" t="s">
        <v>63</v>
      </c>
      <c r="E39" s="612">
        <f>VLOOKUP($A39,'IL Data'!$A$3:$F$113,3,FALSE)</f>
        <v>36</v>
      </c>
      <c r="F39" s="612">
        <f>VLOOKUP($A39,'IL Data'!$A$3:$F$113,4,FALSE)</f>
        <v>64</v>
      </c>
      <c r="G39" s="612" t="s">
        <v>63</v>
      </c>
      <c r="H39" s="671">
        <f>vlookup(A39,'IL Data'!$A$122:$B$227,2,FALSE)</f>
        <v>48</v>
      </c>
      <c r="I39" s="614">
        <f>iferror(vlookup(A39,'IL Data'!$A$232:$B$330,2,FALSE),"NULL")</f>
        <v>15</v>
      </c>
      <c r="J39" s="615" t="s">
        <v>63</v>
      </c>
      <c r="K39" s="672" t="s">
        <v>63</v>
      </c>
      <c r="L39" s="671">
        <f>vlookup(A39,'IL Data'!$A$335:$B$439,2,FALSE)</f>
        <v>37</v>
      </c>
      <c r="M39" s="614" t="s">
        <v>63</v>
      </c>
      <c r="N39" s="612" t="s">
        <v>63</v>
      </c>
      <c r="O39" s="612" t="s">
        <v>63</v>
      </c>
      <c r="P39" s="620">
        <f>ifna(vlookup(A39,'Population &amp; Church Numbers'!$A$598:$D$699,4,FALSE),"NULL")</f>
        <v>72</v>
      </c>
      <c r="Q39" s="707" t="s">
        <v>63</v>
      </c>
    </row>
    <row r="40">
      <c r="A40" s="609" t="s">
        <v>723</v>
      </c>
      <c r="B40" s="610">
        <f t="array" ref="B40">VLOOKUP($A40,IL_DEMO,2,FALSE)</f>
        <v>27077</v>
      </c>
      <c r="C40" s="611">
        <f>VLOOKUP($A40,'IL Data'!$A$3:$F$113,2,FALSE)</f>
        <v>110</v>
      </c>
      <c r="D40" s="612" t="s">
        <v>63</v>
      </c>
      <c r="E40" s="612">
        <f>VLOOKUP($A40,'IL Data'!$A$3:$F$113,3,FALSE)</f>
        <v>57</v>
      </c>
      <c r="F40" s="612">
        <f>VLOOKUP($A40,'IL Data'!$A$3:$F$113,4,FALSE)</f>
        <v>35</v>
      </c>
      <c r="G40" s="612" t="s">
        <v>63</v>
      </c>
      <c r="H40" s="671">
        <f>vlookup(A40,'IL Data'!$A$122:$B$227,2,FALSE)</f>
        <v>16</v>
      </c>
      <c r="I40" s="614">
        <f>iferror(vlookup(A40,'IL Data'!$A$232:$B$330,2,FALSE),"NULL")</f>
        <v>7</v>
      </c>
      <c r="J40" s="615" t="s">
        <v>63</v>
      </c>
      <c r="K40" s="672" t="s">
        <v>63</v>
      </c>
      <c r="L40" s="671">
        <f>vlookup(A40,'IL Data'!$A$335:$B$439,2,FALSE)</f>
        <v>10</v>
      </c>
      <c r="M40" s="614" t="s">
        <v>63</v>
      </c>
      <c r="N40" s="612" t="s">
        <v>63</v>
      </c>
      <c r="O40" s="612" t="s">
        <v>63</v>
      </c>
      <c r="P40" s="620">
        <f>ifna(vlookup(A40,'Population &amp; Church Numbers'!$A$598:$D$699,4,FALSE),"NULL")</f>
        <v>61</v>
      </c>
      <c r="Q40" s="707" t="s">
        <v>63</v>
      </c>
    </row>
    <row r="41">
      <c r="A41" s="609" t="s">
        <v>142</v>
      </c>
      <c r="B41" s="610">
        <f t="array" ref="B41">VLOOKUP($A41,IL_DEMO,2,FALSE)</f>
        <v>52974</v>
      </c>
      <c r="C41" s="611">
        <f>VLOOKUP($A41,'IL Data'!$A$3:$F$113,2,FALSE)</f>
        <v>153</v>
      </c>
      <c r="D41" s="612" t="s">
        <v>63</v>
      </c>
      <c r="E41" s="612">
        <f>VLOOKUP($A41,'IL Data'!$A$3:$F$113,3,FALSE)</f>
        <v>53</v>
      </c>
      <c r="F41" s="612">
        <f>VLOOKUP($A41,'IL Data'!$A$3:$F$113,4,FALSE)</f>
        <v>98</v>
      </c>
      <c r="G41" s="612" t="s">
        <v>63</v>
      </c>
      <c r="H41" s="671">
        <f>vlookup(A41,'IL Data'!$A$122:$B$227,2,FALSE)</f>
        <v>50</v>
      </c>
      <c r="I41" s="614">
        <f>iferror(vlookup(A41,'IL Data'!$A$232:$B$330,2,FALSE),"NULL")</f>
        <v>16</v>
      </c>
      <c r="J41" s="615" t="s">
        <v>63</v>
      </c>
      <c r="K41" s="672" t="s">
        <v>63</v>
      </c>
      <c r="L41" s="671">
        <f>vlookup(A41,'IL Data'!$A$335:$B$439,2,FALSE)</f>
        <v>20</v>
      </c>
      <c r="M41" s="614" t="s">
        <v>63</v>
      </c>
      <c r="N41" s="612" t="s">
        <v>63</v>
      </c>
      <c r="O41" s="612" t="s">
        <v>63</v>
      </c>
      <c r="P41" s="620">
        <f>ifna(vlookup(A41,'Population &amp; Church Numbers'!$A$598:$D$699,4,FALSE),"NULL")</f>
        <v>78</v>
      </c>
      <c r="Q41" s="707" t="s">
        <v>63</v>
      </c>
    </row>
    <row r="42">
      <c r="A42" s="609" t="s">
        <v>593</v>
      </c>
      <c r="B42" s="610">
        <f t="array" ref="B42">VLOOKUP($A42,IL_DEMO,2,FALSE)</f>
        <v>9287</v>
      </c>
      <c r="C42" s="611">
        <f>VLOOKUP($A42,'IL Data'!$A$3:$F$113,2,FALSE)</f>
        <v>46</v>
      </c>
      <c r="D42" s="612" t="s">
        <v>63</v>
      </c>
      <c r="E42" s="612">
        <f>VLOOKUP($A42,'IL Data'!$A$3:$F$113,3,FALSE)</f>
        <v>17</v>
      </c>
      <c r="F42" s="612">
        <f>VLOOKUP($A42,'IL Data'!$A$3:$F$113,4,FALSE)</f>
        <v>29</v>
      </c>
      <c r="G42" s="612" t="s">
        <v>63</v>
      </c>
      <c r="H42" s="671">
        <f>vlookup(A42,'IL Data'!$A$122:$B$227,2,FALSE)</f>
        <v>17</v>
      </c>
      <c r="I42" s="614">
        <f>iferror(vlookup(A42,'IL Data'!$A$232:$B$330,2,FALSE),"NULL")</f>
        <v>4</v>
      </c>
      <c r="J42" s="615" t="s">
        <v>63</v>
      </c>
      <c r="K42" s="672" t="s">
        <v>63</v>
      </c>
      <c r="L42" s="671">
        <f>vlookup(A42,'IL Data'!$A$335:$B$439,2,FALSE)</f>
        <v>5</v>
      </c>
      <c r="M42" s="614" t="s">
        <v>63</v>
      </c>
      <c r="N42" s="612" t="s">
        <v>63</v>
      </c>
      <c r="O42" s="612" t="s">
        <v>63</v>
      </c>
      <c r="P42" s="620">
        <f>ifna(vlookup(A42,'Population &amp; Church Numbers'!$A$598:$D$699,4,FALSE),"NULL")</f>
        <v>15</v>
      </c>
      <c r="Q42" s="707" t="s">
        <v>63</v>
      </c>
    </row>
    <row r="43">
      <c r="A43" s="609" t="s">
        <v>143</v>
      </c>
      <c r="B43" s="610">
        <f t="array" ref="B43">VLOOKUP($A43,IL_DEMO,2,FALSE)</f>
        <v>37113</v>
      </c>
      <c r="C43" s="611">
        <f>VLOOKUP($A43,'IL Data'!$A$3:$F$113,2,FALSE)</f>
        <v>181</v>
      </c>
      <c r="D43" s="612" t="s">
        <v>63</v>
      </c>
      <c r="E43" s="612">
        <f>VLOOKUP($A43,'IL Data'!$A$3:$F$113,3,FALSE)</f>
        <v>74</v>
      </c>
      <c r="F43" s="612">
        <f>VLOOKUP($A43,'IL Data'!$A$3:$F$113,4,FALSE)</f>
        <v>76</v>
      </c>
      <c r="G43" s="612" t="s">
        <v>63</v>
      </c>
      <c r="H43" s="671">
        <f>vlookup(A43,'IL Data'!$A$122:$B$227,2,FALSE)</f>
        <v>66</v>
      </c>
      <c r="I43" s="614">
        <f>iferror(vlookup(A43,'IL Data'!$A$232:$B$330,2,FALSE),"NULL")</f>
        <v>16</v>
      </c>
      <c r="J43" s="615" t="s">
        <v>63</v>
      </c>
      <c r="K43" s="672" t="s">
        <v>63</v>
      </c>
      <c r="L43" s="671">
        <f>vlookup(A43,'IL Data'!$A$335:$B$439,2,FALSE)</f>
        <v>38</v>
      </c>
      <c r="M43" s="614" t="s">
        <v>63</v>
      </c>
      <c r="N43" s="612" t="s">
        <v>63</v>
      </c>
      <c r="O43" s="612" t="s">
        <v>63</v>
      </c>
      <c r="P43" s="620">
        <f>ifna(vlookup(A43,'Population &amp; Church Numbers'!$A$598:$D$699,4,FALSE),"NULL")</f>
        <v>54</v>
      </c>
      <c r="Q43" s="707" t="s">
        <v>63</v>
      </c>
    </row>
    <row r="44">
      <c r="A44" s="609" t="s">
        <v>724</v>
      </c>
      <c r="B44" s="610">
        <f t="array" ref="B44">VLOOKUP($A44,IL_DEMO,2,FALSE)</f>
        <v>21512</v>
      </c>
      <c r="C44" s="611">
        <f>VLOOKUP($A44,'IL Data'!$A$3:$F$113,2,FALSE)</f>
        <v>75</v>
      </c>
      <c r="D44" s="612" t="s">
        <v>63</v>
      </c>
      <c r="E44" s="612">
        <f>VLOOKUP($A44,'IL Data'!$A$3:$F$113,3,FALSE)</f>
        <v>29</v>
      </c>
      <c r="F44" s="612">
        <f>VLOOKUP($A44,'IL Data'!$A$3:$F$113,4,FALSE)</f>
        <v>44</v>
      </c>
      <c r="G44" s="612" t="s">
        <v>63</v>
      </c>
      <c r="H44" s="671">
        <f>vlookup(A44,'IL Data'!$A$122:$B$227,2,FALSE)</f>
        <v>37</v>
      </c>
      <c r="I44" s="614">
        <f>iferror(vlookup(A44,'IL Data'!$A$232:$B$330,2,FALSE),"NULL")</f>
        <v>13</v>
      </c>
      <c r="J44" s="615" t="s">
        <v>63</v>
      </c>
      <c r="K44" s="672" t="s">
        <v>63</v>
      </c>
      <c r="L44" s="671">
        <f>vlookup(A44,'IL Data'!$A$335:$B$439,2,FALSE)</f>
        <v>6</v>
      </c>
      <c r="M44" s="614" t="s">
        <v>63</v>
      </c>
      <c r="N44" s="612" t="s">
        <v>63</v>
      </c>
      <c r="O44" s="612" t="s">
        <v>63</v>
      </c>
      <c r="P44" s="620">
        <f>ifna(vlookup(A44,'Population &amp; Church Numbers'!$A$598:$D$699,4,FALSE),"NULL")</f>
        <v>28</v>
      </c>
      <c r="Q44" s="707" t="s">
        <v>63</v>
      </c>
    </row>
    <row r="45">
      <c r="A45" s="609" t="s">
        <v>725</v>
      </c>
      <c r="B45" s="610">
        <f t="array" ref="B45">VLOOKUP($A45,IL_DEMO,2,FALSE)</f>
        <v>22035</v>
      </c>
      <c r="C45" s="611">
        <f>VLOOKUP($A45,'IL Data'!$A$3:$F$113,2,FALSE)</f>
        <v>10</v>
      </c>
      <c r="D45" s="612" t="s">
        <v>63</v>
      </c>
      <c r="E45" s="612">
        <f>VLOOKUP($A45,'IL Data'!$A$3:$F$113,3,FALSE)</f>
        <v>1</v>
      </c>
      <c r="F45" s="612">
        <f>VLOOKUP($A45,'IL Data'!$A$3:$F$113,4,FALSE)</f>
        <v>9</v>
      </c>
      <c r="G45" s="612" t="s">
        <v>63</v>
      </c>
      <c r="H45" s="671">
        <f>vlookup(A45,'IL Data'!$A$122:$B$227,2,FALSE)</f>
        <v>7</v>
      </c>
      <c r="I45" s="614">
        <f>iferror(vlookup(A45,'IL Data'!$A$232:$B$330,2,FALSE),"NULL")</f>
        <v>1</v>
      </c>
      <c r="J45" s="615" t="s">
        <v>63</v>
      </c>
      <c r="K45" s="672" t="s">
        <v>63</v>
      </c>
      <c r="L45" s="671">
        <f>vlookup(A45,'IL Data'!$A$335:$B$439,2,FALSE)</f>
        <v>8</v>
      </c>
      <c r="M45" s="614" t="s">
        <v>63</v>
      </c>
      <c r="N45" s="612" t="s">
        <v>63</v>
      </c>
      <c r="O45" s="612" t="s">
        <v>63</v>
      </c>
      <c r="P45" s="620">
        <f>ifna(vlookup(A45,'Population &amp; Church Numbers'!$A$598:$D$699,4,FALSE),"NULL")</f>
        <v>32</v>
      </c>
      <c r="Q45" s="707" t="s">
        <v>63</v>
      </c>
    </row>
    <row r="46">
      <c r="A46" s="609" t="s">
        <v>288</v>
      </c>
      <c r="B46" s="610">
        <f t="array" ref="B46">VLOOKUP($A46,IL_DEMO,2,FALSE)</f>
        <v>13308</v>
      </c>
      <c r="C46" s="611">
        <f>VLOOKUP($A46,'IL Data'!$A$3:$F$113,2,FALSE)</f>
        <v>44</v>
      </c>
      <c r="D46" s="612" t="s">
        <v>63</v>
      </c>
      <c r="E46" s="612">
        <f>VLOOKUP($A46,'IL Data'!$A$3:$F$113,3,FALSE)</f>
        <v>12</v>
      </c>
      <c r="F46" s="612">
        <f>VLOOKUP($A46,'IL Data'!$A$3:$F$113,4,FALSE)</f>
        <v>31</v>
      </c>
      <c r="G46" s="612" t="s">
        <v>63</v>
      </c>
      <c r="H46" s="671">
        <f>vlookup(A46,'IL Data'!$A$122:$B$227,2,FALSE)</f>
        <v>11</v>
      </c>
      <c r="I46" s="614">
        <f>iferror(vlookup(A46,'IL Data'!$A$232:$B$330,2,FALSE),"NULL")</f>
        <v>4</v>
      </c>
      <c r="J46" s="615" t="s">
        <v>63</v>
      </c>
      <c r="K46" s="672" t="s">
        <v>63</v>
      </c>
      <c r="L46" s="671">
        <f>vlookup(A46,'IL Data'!$A$335:$B$439,2,FALSE)</f>
        <v>3</v>
      </c>
      <c r="M46" s="614" t="s">
        <v>63</v>
      </c>
      <c r="N46" s="612" t="s">
        <v>63</v>
      </c>
      <c r="O46" s="612" t="s">
        <v>63</v>
      </c>
      <c r="P46" s="620">
        <f>ifna(vlookup(A46,'Population &amp; Church Numbers'!$A$598:$D$699,4,FALSE),"NULL")</f>
        <v>21</v>
      </c>
      <c r="Q46" s="707" t="s">
        <v>63</v>
      </c>
    </row>
    <row r="47">
      <c r="A47" s="609" t="s">
        <v>656</v>
      </c>
      <c r="B47" s="610">
        <f t="array" ref="B47">VLOOKUP($A47,IL_DEMO,2,FALSE)</f>
        <v>516522</v>
      </c>
      <c r="C47" s="611">
        <f>VLOOKUP($A47,'IL Data'!$A$3:$F$113,2,FALSE)</f>
        <v>382</v>
      </c>
      <c r="D47" s="612" t="s">
        <v>63</v>
      </c>
      <c r="E47" s="612">
        <f>VLOOKUP($A47,'IL Data'!$A$3:$F$113,3,FALSE)</f>
        <v>144</v>
      </c>
      <c r="F47" s="612">
        <f>VLOOKUP($A47,'IL Data'!$A$3:$F$113,4,FALSE)</f>
        <v>226</v>
      </c>
      <c r="G47" s="612" t="s">
        <v>63</v>
      </c>
      <c r="H47" s="671">
        <f>vlookup(A47,'IL Data'!$A$122:$B$227,2,FALSE)</f>
        <v>173</v>
      </c>
      <c r="I47" s="614">
        <f>iferror(vlookup(A47,'IL Data'!$A$232:$B$330,2,FALSE),"NULL")</f>
        <v>30</v>
      </c>
      <c r="J47" s="615" t="s">
        <v>63</v>
      </c>
      <c r="K47" s="672" t="s">
        <v>63</v>
      </c>
      <c r="L47" s="671">
        <f>vlookup(A47,'IL Data'!$A$335:$B$439,2,FALSE)</f>
        <v>150</v>
      </c>
      <c r="M47" s="614" t="s">
        <v>63</v>
      </c>
      <c r="N47" s="612" t="s">
        <v>63</v>
      </c>
      <c r="O47" s="612" t="s">
        <v>63</v>
      </c>
      <c r="P47" s="620">
        <f>ifna(vlookup(A47,'Population &amp; Church Numbers'!$A$598:$D$699,4,FALSE),"NULL")</f>
        <v>249</v>
      </c>
      <c r="Q47" s="707" t="s">
        <v>63</v>
      </c>
    </row>
    <row r="48">
      <c r="A48" s="609" t="s">
        <v>726</v>
      </c>
      <c r="B48" s="610">
        <f t="array" ref="B48">VLOOKUP($A48,IL_DEMO,2,FALSE)</f>
        <v>107502</v>
      </c>
      <c r="C48" s="611">
        <f>VLOOKUP($A48,'IL Data'!$A$3:$F$113,2,FALSE)</f>
        <v>230</v>
      </c>
      <c r="D48" s="612" t="s">
        <v>63</v>
      </c>
      <c r="E48" s="612">
        <f>VLOOKUP($A48,'IL Data'!$A$3:$F$113,3,FALSE)</f>
        <v>123</v>
      </c>
      <c r="F48" s="612">
        <f>VLOOKUP($A48,'IL Data'!$A$3:$F$113,4,FALSE)</f>
        <v>70</v>
      </c>
      <c r="G48" s="612" t="s">
        <v>63</v>
      </c>
      <c r="H48" s="671">
        <f>vlookup(A48,'IL Data'!$A$122:$B$227,2,FALSE)</f>
        <v>57</v>
      </c>
      <c r="I48" s="614">
        <f>iferror(vlookup(A48,'IL Data'!$A$232:$B$330,2,FALSE),"NULL")</f>
        <v>9</v>
      </c>
      <c r="J48" s="615" t="s">
        <v>63</v>
      </c>
      <c r="K48" s="672" t="s">
        <v>63</v>
      </c>
      <c r="L48" s="671">
        <f>vlookup(A48,'IL Data'!$A$335:$B$439,2,FALSE)</f>
        <v>20</v>
      </c>
      <c r="M48" s="614" t="s">
        <v>63</v>
      </c>
      <c r="N48" s="612" t="s">
        <v>63</v>
      </c>
      <c r="O48" s="612" t="s">
        <v>63</v>
      </c>
      <c r="P48" s="620">
        <f>ifna(vlookup(A48,'Population &amp; Church Numbers'!$A$598:$D$699,4,FALSE),"NULL")</f>
        <v>111</v>
      </c>
      <c r="Q48" s="707" t="s">
        <v>63</v>
      </c>
    </row>
    <row r="49">
      <c r="A49" s="609" t="s">
        <v>727</v>
      </c>
      <c r="B49" s="610">
        <f t="array" ref="B49">VLOOKUP($A49,IL_DEMO,2,FALSE)</f>
        <v>131869</v>
      </c>
      <c r="C49" s="611">
        <f>VLOOKUP($A49,'IL Data'!$A$3:$F$113,2,FALSE)</f>
        <v>123</v>
      </c>
      <c r="D49" s="612" t="s">
        <v>63</v>
      </c>
      <c r="E49" s="612">
        <f>VLOOKUP($A49,'IL Data'!$A$3:$F$113,3,FALSE)</f>
        <v>66</v>
      </c>
      <c r="F49" s="612">
        <f>VLOOKUP($A49,'IL Data'!$A$3:$F$113,4,FALSE)</f>
        <v>55</v>
      </c>
      <c r="G49" s="612" t="s">
        <v>63</v>
      </c>
      <c r="H49" s="671">
        <f>vlookup(A49,'IL Data'!$A$122:$B$227,2,FALSE)</f>
        <v>82</v>
      </c>
      <c r="I49" s="614">
        <f>iferror(vlookup(A49,'IL Data'!$A$232:$B$330,2,FALSE),"NULL")</f>
        <v>9</v>
      </c>
      <c r="J49" s="615" t="s">
        <v>63</v>
      </c>
      <c r="K49" s="672" t="s">
        <v>63</v>
      </c>
      <c r="L49" s="671">
        <f>vlookup(A49,'IL Data'!$A$335:$B$439,2,FALSE)</f>
        <v>24</v>
      </c>
      <c r="M49" s="614" t="s">
        <v>63</v>
      </c>
      <c r="N49" s="612" t="s">
        <v>63</v>
      </c>
      <c r="O49" s="612" t="s">
        <v>63</v>
      </c>
      <c r="P49" s="620">
        <f>ifna(vlookup(A49,'Population &amp; Church Numbers'!$A$598:$D$699,4,FALSE),"NULL")</f>
        <v>45</v>
      </c>
      <c r="Q49" s="707" t="s">
        <v>63</v>
      </c>
    </row>
    <row r="50">
      <c r="A50" s="609" t="s">
        <v>728</v>
      </c>
      <c r="B50" s="610">
        <f t="array" ref="B50">VLOOKUP($A50,IL_DEMO,2,FALSE)</f>
        <v>49967</v>
      </c>
      <c r="C50" s="611">
        <f>VLOOKUP($A50,'IL Data'!$A$3:$F$113,2,FALSE)</f>
        <v>143</v>
      </c>
      <c r="D50" s="612" t="s">
        <v>63</v>
      </c>
      <c r="E50" s="612">
        <f>VLOOKUP($A50,'IL Data'!$A$3:$F$113,3,FALSE)</f>
        <v>50</v>
      </c>
      <c r="F50" s="612">
        <f>VLOOKUP($A50,'IL Data'!$A$3:$F$113,4,FALSE)</f>
        <v>90</v>
      </c>
      <c r="G50" s="612" t="s">
        <v>63</v>
      </c>
      <c r="H50" s="671">
        <f>vlookup(A50,'IL Data'!$A$122:$B$227,2,FALSE)</f>
        <v>52</v>
      </c>
      <c r="I50" s="614">
        <f>iferror(vlookup(A50,'IL Data'!$A$232:$B$330,2,FALSE),"NULL")</f>
        <v>17</v>
      </c>
      <c r="J50" s="615" t="s">
        <v>63</v>
      </c>
      <c r="K50" s="672" t="s">
        <v>63</v>
      </c>
      <c r="L50" s="671">
        <f>vlookup(A50,'IL Data'!$A$335:$B$439,2,FALSE)</f>
        <v>76</v>
      </c>
      <c r="M50" s="614" t="s">
        <v>63</v>
      </c>
      <c r="N50" s="612" t="s">
        <v>63</v>
      </c>
      <c r="O50" s="612" t="s">
        <v>63</v>
      </c>
      <c r="P50" s="620">
        <f>ifna(vlookup(A50,'Population &amp; Church Numbers'!$A$598:$D$699,4,FALSE),"NULL")</f>
        <v>71</v>
      </c>
      <c r="Q50" s="707" t="s">
        <v>63</v>
      </c>
    </row>
    <row r="51">
      <c r="A51" s="609" t="s">
        <v>729</v>
      </c>
      <c r="B51" s="610">
        <f t="array" ref="B51">VLOOKUP($A51,IL_DEMO,2,FALSE)</f>
        <v>109658</v>
      </c>
      <c r="C51" s="611">
        <f>VLOOKUP($A51,'IL Data'!$A$3:$F$113,2,FALSE)</f>
        <v>212</v>
      </c>
      <c r="D51" s="612" t="s">
        <v>63</v>
      </c>
      <c r="E51" s="612">
        <f>VLOOKUP($A51,'IL Data'!$A$3:$F$113,3,FALSE)</f>
        <v>55</v>
      </c>
      <c r="F51" s="612">
        <f>VLOOKUP($A51,'IL Data'!$A$3:$F$113,4,FALSE)</f>
        <v>153</v>
      </c>
      <c r="G51" s="612" t="s">
        <v>63</v>
      </c>
      <c r="H51" s="671">
        <f>vlookup(A51,'IL Data'!$A$122:$B$227,2,FALSE)</f>
        <v>85</v>
      </c>
      <c r="I51" s="614">
        <f>iferror(vlookup(A51,'IL Data'!$A$232:$B$330,2,FALSE),"NULL")</f>
        <v>8</v>
      </c>
      <c r="J51" s="615" t="s">
        <v>63</v>
      </c>
      <c r="K51" s="672" t="s">
        <v>63</v>
      </c>
      <c r="L51" s="671">
        <f>vlookup(A51,'IL Data'!$A$335:$B$439,2,FALSE)</f>
        <v>75</v>
      </c>
      <c r="M51" s="614" t="s">
        <v>63</v>
      </c>
      <c r="N51" s="612" t="s">
        <v>63</v>
      </c>
      <c r="O51" s="612" t="s">
        <v>63</v>
      </c>
      <c r="P51" s="620">
        <f>ifna(vlookup(A51,'Population &amp; Church Numbers'!$A$598:$D$699,4,FALSE),"NULL")</f>
        <v>107</v>
      </c>
      <c r="Q51" s="707" t="s">
        <v>63</v>
      </c>
    </row>
    <row r="52">
      <c r="A52" s="609" t="s">
        <v>337</v>
      </c>
      <c r="B52" s="610">
        <f t="array" ref="B52">VLOOKUP($A52,IL_DEMO,2,FALSE)</f>
        <v>714342</v>
      </c>
      <c r="C52" s="611">
        <f>VLOOKUP($A52,'IL Data'!$A$3:$F$113,2,FALSE)</f>
        <v>495</v>
      </c>
      <c r="D52" s="612" t="s">
        <v>63</v>
      </c>
      <c r="E52" s="612">
        <f>VLOOKUP($A52,'IL Data'!$A$3:$F$113,3,FALSE)</f>
        <v>232</v>
      </c>
      <c r="F52" s="612">
        <f>VLOOKUP($A52,'IL Data'!$A$3:$F$113,4,FALSE)</f>
        <v>248</v>
      </c>
      <c r="G52" s="612" t="s">
        <v>63</v>
      </c>
      <c r="H52" s="671">
        <f>vlookup(A52,'IL Data'!$A$122:$B$227,2,FALSE)</f>
        <v>211</v>
      </c>
      <c r="I52" s="614">
        <f>iferror(vlookup(A52,'IL Data'!$A$232:$B$330,2,FALSE),"NULL")</f>
        <v>24</v>
      </c>
      <c r="J52" s="615" t="s">
        <v>63</v>
      </c>
      <c r="K52" s="672" t="s">
        <v>63</v>
      </c>
      <c r="L52" s="671">
        <f>vlookup(A52,'IL Data'!$A$335:$B$439,2,FALSE)</f>
        <v>236</v>
      </c>
      <c r="M52" s="614" t="s">
        <v>63</v>
      </c>
      <c r="N52" s="612" t="s">
        <v>63</v>
      </c>
      <c r="O52" s="612" t="s">
        <v>63</v>
      </c>
      <c r="P52" s="620">
        <f>ifna(vlookup(A52,'Population &amp; Church Numbers'!$A$598:$D$699,4,FALSE),"NULL")</f>
        <v>264</v>
      </c>
      <c r="Q52" s="707" t="s">
        <v>63</v>
      </c>
    </row>
    <row r="53">
      <c r="A53" s="609" t="s">
        <v>146</v>
      </c>
      <c r="B53" s="610">
        <f t="array" ref="B53">VLOOKUP($A53,IL_DEMO,2,FALSE)</f>
        <v>15280</v>
      </c>
      <c r="C53" s="611">
        <f>VLOOKUP($A53,'IL Data'!$A$3:$F$113,2,FALSE)</f>
        <v>38</v>
      </c>
      <c r="D53" s="612" t="s">
        <v>63</v>
      </c>
      <c r="E53" s="612">
        <f>VLOOKUP($A53,'IL Data'!$A$3:$F$113,3,FALSE)</f>
        <v>3</v>
      </c>
      <c r="F53" s="612">
        <f>VLOOKUP($A53,'IL Data'!$A$3:$F$113,4,FALSE)</f>
        <v>35</v>
      </c>
      <c r="G53" s="612" t="s">
        <v>63</v>
      </c>
      <c r="H53" s="671">
        <f>vlookup(A53,'IL Data'!$A$122:$B$227,2,FALSE)</f>
        <v>11</v>
      </c>
      <c r="I53" s="614" t="str">
        <f>iferror(vlookup(A53,'IL Data'!$A$232:$B$330,2,FALSE),"NULL")</f>
        <v>NULL</v>
      </c>
      <c r="J53" s="615" t="s">
        <v>63</v>
      </c>
      <c r="K53" s="672" t="s">
        <v>63</v>
      </c>
      <c r="L53" s="671">
        <f>vlookup(A53,'IL Data'!$A$335:$B$439,2,FALSE)</f>
        <v>9</v>
      </c>
      <c r="M53" s="614" t="s">
        <v>63</v>
      </c>
      <c r="N53" s="612" t="s">
        <v>63</v>
      </c>
      <c r="O53" s="612" t="s">
        <v>63</v>
      </c>
      <c r="P53" s="620">
        <f>ifna(vlookup(A53,'Population &amp; Church Numbers'!$A$598:$D$699,4,FALSE),"NULL")</f>
        <v>25</v>
      </c>
      <c r="Q53" s="707" t="s">
        <v>63</v>
      </c>
    </row>
    <row r="54">
      <c r="A54" s="609" t="s">
        <v>147</v>
      </c>
      <c r="B54" s="610">
        <f t="array" ref="B54">VLOOKUP($A54,IL_DEMO,2,FALSE)</f>
        <v>34145</v>
      </c>
      <c r="C54" s="611">
        <f>VLOOKUP($A54,'IL Data'!$A$3:$F$113,2,FALSE)</f>
        <v>52</v>
      </c>
      <c r="D54" s="612" t="s">
        <v>63</v>
      </c>
      <c r="E54" s="612">
        <f>VLOOKUP($A54,'IL Data'!$A$3:$F$113,3,FALSE)</f>
        <v>11</v>
      </c>
      <c r="F54" s="612">
        <f>VLOOKUP($A54,'IL Data'!$A$3:$F$113,4,FALSE)</f>
        <v>41</v>
      </c>
      <c r="G54" s="612" t="s">
        <v>63</v>
      </c>
      <c r="H54" s="671">
        <f>vlookup(A54,'IL Data'!$A$122:$B$227,2,FALSE)</f>
        <v>27</v>
      </c>
      <c r="I54" s="614">
        <f>iferror(vlookup(A54,'IL Data'!$A$232:$B$330,2,FALSE),"NULL")</f>
        <v>3</v>
      </c>
      <c r="J54" s="615" t="s">
        <v>63</v>
      </c>
      <c r="K54" s="672" t="s">
        <v>63</v>
      </c>
      <c r="L54" s="671">
        <f>vlookup(A54,'IL Data'!$A$335:$B$439,2,FALSE)</f>
        <v>14</v>
      </c>
      <c r="M54" s="614" t="s">
        <v>63</v>
      </c>
      <c r="N54" s="612" t="s">
        <v>63</v>
      </c>
      <c r="O54" s="612" t="s">
        <v>63</v>
      </c>
      <c r="P54" s="620">
        <f>ifna(vlookup(A54,'Population &amp; Church Numbers'!$A$598:$D$699,4,FALSE),"NULL")</f>
        <v>52</v>
      </c>
      <c r="Q54" s="707" t="s">
        <v>63</v>
      </c>
    </row>
    <row r="55">
      <c r="A55" s="609" t="s">
        <v>730</v>
      </c>
      <c r="B55" s="610">
        <f t="array" ref="B55">VLOOKUP($A55,IL_DEMO,2,FALSE)</f>
        <v>35815</v>
      </c>
      <c r="C55" s="611">
        <f>VLOOKUP($A55,'IL Data'!$A$3:$F$113,2,FALSE)</f>
        <v>84</v>
      </c>
      <c r="D55" s="612" t="s">
        <v>63</v>
      </c>
      <c r="E55" s="612">
        <f>VLOOKUP($A55,'IL Data'!$A$3:$F$113,3,FALSE)</f>
        <v>29</v>
      </c>
      <c r="F55" s="612">
        <f>VLOOKUP($A55,'IL Data'!$A$3:$F$113,4,FALSE)</f>
        <v>55</v>
      </c>
      <c r="G55" s="612" t="s">
        <v>63</v>
      </c>
      <c r="H55" s="671">
        <f>vlookup(A55,'IL Data'!$A$122:$B$227,2,FALSE)</f>
        <v>32</v>
      </c>
      <c r="I55" s="614">
        <f>iferror(vlookup(A55,'IL Data'!$A$232:$B$330,2,FALSE),"NULL")</f>
        <v>5</v>
      </c>
      <c r="J55" s="615" t="s">
        <v>63</v>
      </c>
      <c r="K55" s="672" t="s">
        <v>63</v>
      </c>
      <c r="L55" s="671">
        <f>vlookup(A55,'IL Data'!$A$335:$B$439,2,FALSE)</f>
        <v>23</v>
      </c>
      <c r="M55" s="614" t="s">
        <v>63</v>
      </c>
      <c r="N55" s="612" t="s">
        <v>63</v>
      </c>
      <c r="O55" s="612" t="s">
        <v>63</v>
      </c>
      <c r="P55" s="620">
        <f>ifna(vlookup(A55,'Population &amp; Church Numbers'!$A$598:$D$699,4,FALSE),"NULL")</f>
        <v>51</v>
      </c>
      <c r="Q55" s="707" t="s">
        <v>63</v>
      </c>
    </row>
    <row r="56">
      <c r="A56" s="609" t="s">
        <v>293</v>
      </c>
      <c r="B56" s="610">
        <f t="array" ref="B56">VLOOKUP($A56,IL_DEMO,2,FALSE)</f>
        <v>27987</v>
      </c>
      <c r="C56" s="611">
        <f>VLOOKUP($A56,'IL Data'!$A$3:$F$113,2,FALSE)</f>
        <v>86</v>
      </c>
      <c r="D56" s="612" t="s">
        <v>63</v>
      </c>
      <c r="E56" s="612">
        <f>VLOOKUP($A56,'IL Data'!$A$3:$F$113,3,FALSE)</f>
        <v>26</v>
      </c>
      <c r="F56" s="612">
        <f>VLOOKUP($A56,'IL Data'!$A$3:$F$113,4,FALSE)</f>
        <v>57</v>
      </c>
      <c r="G56" s="612" t="s">
        <v>63</v>
      </c>
      <c r="H56" s="671">
        <f>vlookup(A56,'IL Data'!$A$122:$B$227,2,FALSE)</f>
        <v>32</v>
      </c>
      <c r="I56" s="614">
        <f>iferror(vlookup(A56,'IL Data'!$A$232:$B$330,2,FALSE),"NULL")</f>
        <v>12</v>
      </c>
      <c r="J56" s="615" t="s">
        <v>63</v>
      </c>
      <c r="K56" s="672" t="s">
        <v>63</v>
      </c>
      <c r="L56" s="671">
        <f>vlookup(A56,'IL Data'!$A$335:$B$439,2,FALSE)</f>
        <v>12</v>
      </c>
      <c r="M56" s="614" t="s">
        <v>63</v>
      </c>
      <c r="N56" s="612" t="s">
        <v>63</v>
      </c>
      <c r="O56" s="612" t="s">
        <v>63</v>
      </c>
      <c r="P56" s="620">
        <f>ifna(vlookup(A56,'Population &amp; Church Numbers'!$A$598:$D$699,4,FALSE),"NULL")</f>
        <v>46</v>
      </c>
      <c r="Q56" s="707" t="s">
        <v>63</v>
      </c>
    </row>
    <row r="57">
      <c r="A57" s="609" t="s">
        <v>731</v>
      </c>
      <c r="B57" s="610">
        <f t="array" ref="B57">VLOOKUP($A57,IL_DEMO,2,FALSE)</f>
        <v>27238</v>
      </c>
      <c r="C57" s="611">
        <f>VLOOKUP($A57,'IL Data'!$A$3:$F$113,2,FALSE)</f>
        <v>89</v>
      </c>
      <c r="D57" s="612" t="s">
        <v>63</v>
      </c>
      <c r="E57" s="612">
        <f>VLOOKUP($A57,'IL Data'!$A$3:$F$113,3,FALSE)</f>
        <v>48</v>
      </c>
      <c r="F57" s="612">
        <f>VLOOKUP($A57,'IL Data'!$A$3:$F$113,4,FALSE)</f>
        <v>38</v>
      </c>
      <c r="G57" s="612" t="s">
        <v>63</v>
      </c>
      <c r="H57" s="671">
        <f>vlookup(A57,'IL Data'!$A$122:$B$227,2,FALSE)</f>
        <v>36</v>
      </c>
      <c r="I57" s="614">
        <f>iferror(vlookup(A57,'IL Data'!$A$232:$B$330,2,FALSE),"NULL")</f>
        <v>11</v>
      </c>
      <c r="J57" s="615" t="s">
        <v>63</v>
      </c>
      <c r="K57" s="672" t="s">
        <v>63</v>
      </c>
      <c r="L57" s="671">
        <f>vlookup(A57,'IL Data'!$A$335:$B$439,2,FALSE)</f>
        <v>24</v>
      </c>
      <c r="M57" s="614" t="s">
        <v>63</v>
      </c>
      <c r="N57" s="612" t="s">
        <v>63</v>
      </c>
      <c r="O57" s="612" t="s">
        <v>63</v>
      </c>
      <c r="P57" s="620">
        <f>ifna(vlookup(A57,'Population &amp; Church Numbers'!$A$598:$D$699,4,FALSE),"NULL")</f>
        <v>39</v>
      </c>
      <c r="Q57" s="707" t="s">
        <v>63</v>
      </c>
    </row>
    <row r="58">
      <c r="A58" s="609" t="s">
        <v>732</v>
      </c>
      <c r="B58" s="610">
        <f t="array" ref="B58">VLOOKUP($A58,IL_DEMO,2,FALSE)</f>
        <v>310229</v>
      </c>
      <c r="C58" s="611">
        <f>VLOOKUP($A58,'IL Data'!$A$3:$F$113,2,FALSE)</f>
        <v>218</v>
      </c>
      <c r="D58" s="612" t="s">
        <v>63</v>
      </c>
      <c r="E58" s="612">
        <f>VLOOKUP($A58,'IL Data'!$A$3:$F$113,3,FALSE)</f>
        <v>87</v>
      </c>
      <c r="F58" s="612">
        <f>VLOOKUP($A58,'IL Data'!$A$3:$F$113,4,FALSE)</f>
        <v>131</v>
      </c>
      <c r="G58" s="612" t="s">
        <v>63</v>
      </c>
      <c r="H58" s="671">
        <f>vlookup(A58,'IL Data'!$A$122:$B$227,2,FALSE)</f>
        <v>119</v>
      </c>
      <c r="I58" s="614">
        <f>iferror(vlookup(A58,'IL Data'!$A$232:$B$330,2,FALSE),"NULL")</f>
        <v>14</v>
      </c>
      <c r="J58" s="615" t="s">
        <v>63</v>
      </c>
      <c r="K58" s="672" t="s">
        <v>63</v>
      </c>
      <c r="L58" s="671">
        <f>vlookup(A58,'IL Data'!$A$335:$B$439,2,FALSE)</f>
        <v>76</v>
      </c>
      <c r="M58" s="614" t="s">
        <v>63</v>
      </c>
      <c r="N58" s="612" t="s">
        <v>63</v>
      </c>
      <c r="O58" s="612" t="s">
        <v>63</v>
      </c>
      <c r="P58" s="620">
        <f>ifna(vlookup(A58,'Population &amp; Church Numbers'!$A$598:$D$699,4,FALSE),"NULL")</f>
        <v>117</v>
      </c>
      <c r="Q58" s="707" t="s">
        <v>63</v>
      </c>
    </row>
    <row r="59">
      <c r="A59" s="609" t="s">
        <v>2515</v>
      </c>
      <c r="B59" s="610">
        <f t="array" ref="B59">VLOOKUP($A59,IL_DEMO,2,FALSE)</f>
        <v>170954</v>
      </c>
      <c r="C59" s="611">
        <f>VLOOKUP($A59,'IL Data'!$A$3:$F$113,2,FALSE)</f>
        <v>262</v>
      </c>
      <c r="D59" s="612" t="s">
        <v>63</v>
      </c>
      <c r="E59" s="612">
        <f>VLOOKUP($A59,'IL Data'!$A$3:$F$113,3,FALSE)</f>
        <v>129</v>
      </c>
      <c r="F59" s="612">
        <f>VLOOKUP($A59,'IL Data'!$A$3:$F$113,4,FALSE)</f>
        <v>130</v>
      </c>
      <c r="G59" s="612" t="s">
        <v>63</v>
      </c>
      <c r="H59" s="671">
        <f>vlookup(A59,'IL Data'!$A$122:$B$227,2,FALSE)</f>
        <v>132</v>
      </c>
      <c r="I59" s="614">
        <f>iferror(vlookup(A59,'IL Data'!$A$232:$B$330,2,FALSE),"NULL")</f>
        <v>45</v>
      </c>
      <c r="J59" s="615" t="s">
        <v>63</v>
      </c>
      <c r="K59" s="672" t="s">
        <v>63</v>
      </c>
      <c r="L59" s="671">
        <f>vlookup(A59,'IL Data'!$A$335:$B$439,2,FALSE)</f>
        <v>60</v>
      </c>
      <c r="M59" s="614" t="s">
        <v>63</v>
      </c>
      <c r="N59" s="612" t="s">
        <v>63</v>
      </c>
      <c r="O59" s="612" t="s">
        <v>63</v>
      </c>
      <c r="P59" s="620">
        <f>ifna(vlookup(A59,'Population &amp; Church Numbers'!$A$598:$D$699,4,FALSE),"NULL")</f>
        <v>142</v>
      </c>
      <c r="Q59" s="707" t="s">
        <v>63</v>
      </c>
    </row>
    <row r="60">
      <c r="A60" s="609" t="s">
        <v>150</v>
      </c>
      <c r="B60" s="610">
        <f t="array" ref="B60">VLOOKUP($A60,IL_DEMO,2,FALSE)</f>
        <v>103998</v>
      </c>
      <c r="C60" s="611">
        <f>VLOOKUP($A60,'IL Data'!$A$3:$F$113,2,FALSE)</f>
        <v>478</v>
      </c>
      <c r="D60" s="612" t="s">
        <v>63</v>
      </c>
      <c r="E60" s="612">
        <f>VLOOKUP($A60,'IL Data'!$A$3:$F$113,3,FALSE)</f>
        <v>214</v>
      </c>
      <c r="F60" s="612">
        <f>VLOOKUP($A60,'IL Data'!$A$3:$F$113,4,FALSE)</f>
        <v>256</v>
      </c>
      <c r="G60" s="612" t="s">
        <v>63</v>
      </c>
      <c r="H60" s="671">
        <f>vlookup(A60,'IL Data'!$A$122:$B$227,2,FALSE)</f>
        <v>129</v>
      </c>
      <c r="I60" s="614">
        <f>iferror(vlookup(A60,'IL Data'!$A$232:$B$330,2,FALSE),"NULL")</f>
        <v>69</v>
      </c>
      <c r="J60" s="615" t="s">
        <v>63</v>
      </c>
      <c r="K60" s="672" t="s">
        <v>63</v>
      </c>
      <c r="L60" s="671">
        <f>vlookup(A60,'IL Data'!$A$335:$B$439,2,FALSE)</f>
        <v>71</v>
      </c>
      <c r="M60" s="614" t="s">
        <v>63</v>
      </c>
      <c r="N60" s="612" t="s">
        <v>63</v>
      </c>
      <c r="O60" s="612" t="s">
        <v>63</v>
      </c>
      <c r="P60" s="620">
        <f>ifna(vlookup(A60,'Population &amp; Church Numbers'!$A$598:$D$699,4,FALSE),"NULL")</f>
        <v>151</v>
      </c>
      <c r="Q60" s="707" t="s">
        <v>63</v>
      </c>
    </row>
    <row r="61">
      <c r="A61" s="609" t="s">
        <v>734</v>
      </c>
      <c r="B61" s="610">
        <f t="array" ref="B61">VLOOKUP($A61,IL_DEMO,2,FALSE)</f>
        <v>44967</v>
      </c>
      <c r="C61" s="611">
        <f>VLOOKUP($A61,'IL Data'!$A$3:$F$113,2,FALSE)</f>
        <v>154</v>
      </c>
      <c r="D61" s="612" t="s">
        <v>63</v>
      </c>
      <c r="E61" s="612">
        <f>VLOOKUP($A61,'IL Data'!$A$3:$F$113,3,FALSE)</f>
        <v>50</v>
      </c>
      <c r="F61" s="612">
        <f>VLOOKUP($A61,'IL Data'!$A$3:$F$113,4,FALSE)</f>
        <v>104</v>
      </c>
      <c r="G61" s="612" t="s">
        <v>63</v>
      </c>
      <c r="H61" s="671">
        <f>vlookup(A61,'IL Data'!$A$122:$B$227,2,FALSE)</f>
        <v>54</v>
      </c>
      <c r="I61" s="614">
        <f>iferror(vlookup(A61,'IL Data'!$A$232:$B$330,2,FALSE),"NULL")</f>
        <v>24</v>
      </c>
      <c r="J61" s="615" t="s">
        <v>63</v>
      </c>
      <c r="K61" s="672" t="s">
        <v>63</v>
      </c>
      <c r="L61" s="671">
        <f>vlookup(A61,'IL Data'!$A$335:$B$439,2,FALSE)</f>
        <v>30</v>
      </c>
      <c r="M61" s="614" t="s">
        <v>63</v>
      </c>
      <c r="N61" s="612" t="s">
        <v>63</v>
      </c>
      <c r="O61" s="612" t="s">
        <v>63</v>
      </c>
      <c r="P61" s="620">
        <f>ifna(vlookup(A61,'Population &amp; Church Numbers'!$A$598:$D$699,4,FALSE),"NULL")</f>
        <v>80</v>
      </c>
      <c r="Q61" s="707" t="s">
        <v>63</v>
      </c>
    </row>
    <row r="62">
      <c r="A62" s="609" t="s">
        <v>151</v>
      </c>
      <c r="B62" s="610">
        <f t="array" ref="B62">VLOOKUP($A62,IL_DEMO,2,FALSE)</f>
        <v>265859</v>
      </c>
      <c r="C62" s="611">
        <f>VLOOKUP($A62,'IL Data'!$A$3:$F$113,2,FALSE)</f>
        <v>692</v>
      </c>
      <c r="D62" s="612" t="s">
        <v>63</v>
      </c>
      <c r="E62" s="612">
        <f>VLOOKUP($A62,'IL Data'!$A$3:$F$113,3,FALSE)</f>
        <v>289</v>
      </c>
      <c r="F62" s="612">
        <f>VLOOKUP($A62,'IL Data'!$A$3:$F$113,4,FALSE)</f>
        <v>390</v>
      </c>
      <c r="G62" s="612" t="s">
        <v>63</v>
      </c>
      <c r="H62" s="671">
        <f>vlookup(A62,'IL Data'!$A$122:$B$227,2,FALSE)</f>
        <v>259</v>
      </c>
      <c r="I62" s="614">
        <f>iferror(vlookup(A62,'IL Data'!$A$232:$B$330,2,FALSE),"NULL")</f>
        <v>90</v>
      </c>
      <c r="J62" s="615" t="s">
        <v>63</v>
      </c>
      <c r="K62" s="672" t="s">
        <v>63</v>
      </c>
      <c r="L62" s="671">
        <f>vlookup(A62,'IL Data'!$A$335:$B$439,2,FALSE)</f>
        <v>146</v>
      </c>
      <c r="M62" s="614" t="s">
        <v>63</v>
      </c>
      <c r="N62" s="612" t="s">
        <v>63</v>
      </c>
      <c r="O62" s="612" t="s">
        <v>63</v>
      </c>
      <c r="P62" s="620">
        <f>ifna(vlookup(A62,'Population &amp; Church Numbers'!$A$598:$D$699,4,FALSE),"NULL")</f>
        <v>266</v>
      </c>
      <c r="Q62" s="707" t="s">
        <v>63</v>
      </c>
    </row>
    <row r="63">
      <c r="A63" s="609" t="s">
        <v>153</v>
      </c>
      <c r="B63" s="610">
        <f t="array" ref="B63">VLOOKUP($A63,IL_DEMO,2,FALSE)</f>
        <v>37729</v>
      </c>
      <c r="C63" s="611">
        <f>VLOOKUP($A63,'IL Data'!$A$3:$F$113,2,FALSE)</f>
        <v>216</v>
      </c>
      <c r="D63" s="612" t="s">
        <v>63</v>
      </c>
      <c r="E63" s="612">
        <f>VLOOKUP($A63,'IL Data'!$A$3:$F$113,3,FALSE)</f>
        <v>80</v>
      </c>
      <c r="F63" s="612">
        <f>VLOOKUP($A63,'IL Data'!$A$3:$F$113,4,FALSE)</f>
        <v>125</v>
      </c>
      <c r="G63" s="612" t="s">
        <v>63</v>
      </c>
      <c r="H63" s="671">
        <f>vlookup(A63,'IL Data'!$A$122:$B$227,2,FALSE)</f>
        <v>65</v>
      </c>
      <c r="I63" s="614">
        <f>iferror(vlookup(A63,'IL Data'!$A$232:$B$330,2,FALSE),"NULL")</f>
        <v>9</v>
      </c>
      <c r="J63" s="615" t="s">
        <v>63</v>
      </c>
      <c r="K63" s="672" t="s">
        <v>63</v>
      </c>
      <c r="L63" s="671">
        <f>vlookup(A63,'IL Data'!$A$335:$B$439,2,FALSE)</f>
        <v>36</v>
      </c>
      <c r="M63" s="614" t="s">
        <v>63</v>
      </c>
      <c r="N63" s="612" t="s">
        <v>63</v>
      </c>
      <c r="O63" s="612" t="s">
        <v>63</v>
      </c>
      <c r="P63" s="620">
        <f>ifna(vlookup(A63,'Population &amp; Church Numbers'!$A$598:$D$699,4,FALSE),"NULL")</f>
        <v>66</v>
      </c>
      <c r="Q63" s="707" t="s">
        <v>63</v>
      </c>
    </row>
    <row r="64">
      <c r="A64" s="609" t="s">
        <v>154</v>
      </c>
      <c r="B64" s="610">
        <f t="array" ref="B64">VLOOKUP($A64,IL_DEMO,2,FALSE)</f>
        <v>11742</v>
      </c>
      <c r="C64" s="611">
        <f>VLOOKUP($A64,'IL Data'!$A$3:$F$113,2,FALSE)</f>
        <v>56</v>
      </c>
      <c r="D64" s="612" t="s">
        <v>63</v>
      </c>
      <c r="E64" s="612">
        <f>VLOOKUP($A64,'IL Data'!$A$3:$F$113,3,FALSE)</f>
        <v>21</v>
      </c>
      <c r="F64" s="612">
        <f>VLOOKUP($A64,'IL Data'!$A$3:$F$113,4,FALSE)</f>
        <v>34</v>
      </c>
      <c r="G64" s="612" t="s">
        <v>63</v>
      </c>
      <c r="H64" s="671">
        <f>vlookup(A64,'IL Data'!$A$122:$B$227,2,FALSE)</f>
        <v>27</v>
      </c>
      <c r="I64" s="614">
        <f>iferror(vlookup(A64,'IL Data'!$A$232:$B$330,2,FALSE),"NULL")</f>
        <v>4</v>
      </c>
      <c r="J64" s="615" t="s">
        <v>63</v>
      </c>
      <c r="K64" s="672" t="s">
        <v>63</v>
      </c>
      <c r="L64" s="671">
        <f>vlookup(A64,'IL Data'!$A$335:$B$439,2,FALSE)</f>
        <v>5</v>
      </c>
      <c r="M64" s="614" t="s">
        <v>63</v>
      </c>
      <c r="N64" s="612" t="s">
        <v>63</v>
      </c>
      <c r="O64" s="612" t="s">
        <v>63</v>
      </c>
      <c r="P64" s="620">
        <f>ifna(vlookup(A64,'Population &amp; Church Numbers'!$A$598:$D$699,4,FALSE),"NULL")</f>
        <v>26</v>
      </c>
      <c r="Q64" s="707" t="s">
        <v>63</v>
      </c>
    </row>
    <row r="65">
      <c r="A65" s="609" t="s">
        <v>735</v>
      </c>
      <c r="B65" s="610">
        <f t="array" ref="B65">VLOOKUP($A65,IL_DEMO,2,FALSE)</f>
        <v>13086</v>
      </c>
      <c r="C65" s="611">
        <f>VLOOKUP($A65,'IL Data'!$A$3:$F$113,2,FALSE)</f>
        <v>72</v>
      </c>
      <c r="D65" s="612" t="s">
        <v>63</v>
      </c>
      <c r="E65" s="612">
        <f>VLOOKUP($A65,'IL Data'!$A$3:$F$113,3,FALSE)</f>
        <v>22</v>
      </c>
      <c r="F65" s="612">
        <f>VLOOKUP($A65,'IL Data'!$A$3:$F$113,4,FALSE)</f>
        <v>50</v>
      </c>
      <c r="G65" s="612" t="s">
        <v>63</v>
      </c>
      <c r="H65" s="671">
        <f>vlookup(A65,'IL Data'!$A$122:$B$227,2,FALSE)</f>
        <v>27</v>
      </c>
      <c r="I65" s="614">
        <f>iferror(vlookup(A65,'IL Data'!$A$232:$B$330,2,FALSE),"NULL")</f>
        <v>7</v>
      </c>
      <c r="J65" s="615" t="s">
        <v>63</v>
      </c>
      <c r="K65" s="672" t="s">
        <v>63</v>
      </c>
      <c r="L65" s="671">
        <f>vlookup(A65,'IL Data'!$A$335:$B$439,2,FALSE)</f>
        <v>6</v>
      </c>
      <c r="M65" s="614" t="s">
        <v>63</v>
      </c>
      <c r="N65" s="612" t="s">
        <v>63</v>
      </c>
      <c r="O65" s="612" t="s">
        <v>63</v>
      </c>
      <c r="P65" s="620">
        <f>ifna(vlookup(A65,'Population &amp; Church Numbers'!$A$598:$D$699,4,FALSE),"NULL")</f>
        <v>22</v>
      </c>
      <c r="Q65" s="707" t="s">
        <v>63</v>
      </c>
    </row>
    <row r="66">
      <c r="A66" s="609" t="s">
        <v>736</v>
      </c>
      <c r="B66" s="610">
        <f t="array" ref="B66">VLOOKUP($A66,IL_DEMO,2,FALSE)</f>
        <v>14169</v>
      </c>
      <c r="C66" s="611">
        <f>VLOOKUP($A66,'IL Data'!$A$3:$F$113,2,FALSE)</f>
        <v>88</v>
      </c>
      <c r="D66" s="612" t="s">
        <v>63</v>
      </c>
      <c r="E66" s="612">
        <f>VLOOKUP($A66,'IL Data'!$A$3:$F$113,3,FALSE)</f>
        <v>32</v>
      </c>
      <c r="F66" s="612">
        <f>VLOOKUP($A66,'IL Data'!$A$3:$F$113,4,FALSE)</f>
        <v>56</v>
      </c>
      <c r="G66" s="612" t="s">
        <v>63</v>
      </c>
      <c r="H66" s="671">
        <f>vlookup(A66,'IL Data'!$A$122:$B$227,2,FALSE)</f>
        <v>11</v>
      </c>
      <c r="I66" s="614">
        <f>iferror(vlookup(A66,'IL Data'!$A$232:$B$330,2,FALSE),"NULL")</f>
        <v>5</v>
      </c>
      <c r="J66" s="615" t="s">
        <v>63</v>
      </c>
      <c r="K66" s="672" t="s">
        <v>63</v>
      </c>
      <c r="L66" s="671">
        <f>vlookup(A66,'IL Data'!$A$335:$B$439,2,FALSE)</f>
        <v>7</v>
      </c>
      <c r="M66" s="614" t="s">
        <v>63</v>
      </c>
      <c r="N66" s="612" t="s">
        <v>63</v>
      </c>
      <c r="O66" s="612" t="s">
        <v>63</v>
      </c>
      <c r="P66" s="620">
        <f>ifna(vlookup(A66,'Population &amp; Church Numbers'!$A$598:$D$699,4,FALSE),"NULL")</f>
        <v>36</v>
      </c>
      <c r="Q66" s="707" t="s">
        <v>63</v>
      </c>
    </row>
    <row r="67">
      <c r="A67" s="609" t="s">
        <v>737</v>
      </c>
      <c r="B67" s="610">
        <f t="array" ref="B67">VLOOKUP($A67,IL_DEMO,2,FALSE)</f>
        <v>12297</v>
      </c>
      <c r="C67" s="611">
        <f>VLOOKUP($A67,'IL Data'!$A$3:$F$113,2,FALSE)</f>
        <v>33</v>
      </c>
      <c r="D67" s="612" t="s">
        <v>63</v>
      </c>
      <c r="E67" s="612">
        <f>VLOOKUP($A67,'IL Data'!$A$3:$F$113,3,FALSE)</f>
        <v>6</v>
      </c>
      <c r="F67" s="612">
        <f>VLOOKUP($A67,'IL Data'!$A$3:$F$113,4,FALSE)</f>
        <v>27</v>
      </c>
      <c r="G67" s="612" t="s">
        <v>63</v>
      </c>
      <c r="H67" s="671">
        <f>vlookup(A67,'IL Data'!$A$122:$B$227,2,FALSE)</f>
        <v>8</v>
      </c>
      <c r="I67" s="614">
        <f>iferror(vlookup(A67,'IL Data'!$A$232:$B$330,2,FALSE),"NULL")</f>
        <v>1</v>
      </c>
      <c r="J67" s="615" t="s">
        <v>63</v>
      </c>
      <c r="K67" s="672" t="s">
        <v>63</v>
      </c>
      <c r="L67" s="671">
        <f>vlookup(A67,'IL Data'!$A$335:$B$439,2,FALSE)</f>
        <v>1</v>
      </c>
      <c r="M67" s="614" t="s">
        <v>63</v>
      </c>
      <c r="N67" s="612" t="s">
        <v>63</v>
      </c>
      <c r="O67" s="612" t="s">
        <v>63</v>
      </c>
      <c r="P67" s="620">
        <f>ifna(vlookup(A67,'Population &amp; Church Numbers'!$A$598:$D$699,4,FALSE),"NULL")</f>
        <v>19</v>
      </c>
      <c r="Q67" s="707" t="s">
        <v>63</v>
      </c>
    </row>
    <row r="68">
      <c r="A68" s="609" t="s">
        <v>738</v>
      </c>
      <c r="B68" s="610">
        <f t="array" ref="B68">VLOOKUP($A68,IL_DEMO,2,FALSE)</f>
        <v>15699</v>
      </c>
      <c r="C68" s="611">
        <f>VLOOKUP($A68,'IL Data'!$A$3:$F$113,2,FALSE)</f>
        <v>29</v>
      </c>
      <c r="D68" s="612" t="s">
        <v>63</v>
      </c>
      <c r="E68" s="612">
        <f>VLOOKUP($A68,'IL Data'!$A$3:$F$113,3,FALSE)</f>
        <v>18</v>
      </c>
      <c r="F68" s="612">
        <f>VLOOKUP($A68,'IL Data'!$A$3:$F$113,4,FALSE)</f>
        <v>11</v>
      </c>
      <c r="G68" s="612" t="s">
        <v>63</v>
      </c>
      <c r="H68" s="671">
        <f>vlookup(A68,'IL Data'!$A$122:$B$227,2,FALSE)</f>
        <v>21</v>
      </c>
      <c r="I68" s="614">
        <f>iferror(vlookup(A68,'IL Data'!$A$232:$B$330,2,FALSE),"NULL")</f>
        <v>3</v>
      </c>
      <c r="J68" s="615" t="s">
        <v>63</v>
      </c>
      <c r="K68" s="672" t="s">
        <v>63</v>
      </c>
      <c r="L68" s="671">
        <f>vlookup(A68,'IL Data'!$A$335:$B$439,2,FALSE)</f>
        <v>10</v>
      </c>
      <c r="M68" s="614" t="s">
        <v>63</v>
      </c>
      <c r="N68" s="612" t="s">
        <v>63</v>
      </c>
      <c r="O68" s="612" t="s">
        <v>63</v>
      </c>
      <c r="P68" s="620">
        <f>ifna(vlookup(A68,'Population &amp; Church Numbers'!$A$598:$D$699,4,FALSE),"NULL")</f>
        <v>26</v>
      </c>
      <c r="Q68" s="707" t="s">
        <v>63</v>
      </c>
    </row>
    <row r="69">
      <c r="A69" s="609" t="s">
        <v>156</v>
      </c>
      <c r="B69" s="610">
        <f t="array" ref="B69">VLOOKUP($A69,IL_DEMO,2,FALSE)</f>
        <v>34962</v>
      </c>
      <c r="C69" s="611">
        <f>VLOOKUP($A69,'IL Data'!$A$3:$F$113,2,FALSE)</f>
        <v>53</v>
      </c>
      <c r="D69" s="612" t="s">
        <v>63</v>
      </c>
      <c r="E69" s="612">
        <f>VLOOKUP($A69,'IL Data'!$A$3:$F$113,3,FALSE)</f>
        <v>31</v>
      </c>
      <c r="F69" s="612">
        <f>VLOOKUP($A69,'IL Data'!$A$3:$F$113,4,FALSE)</f>
        <v>22</v>
      </c>
      <c r="G69" s="612" t="s">
        <v>63</v>
      </c>
      <c r="H69" s="671">
        <f>vlookup(A69,'IL Data'!$A$122:$B$227,2,FALSE)</f>
        <v>32</v>
      </c>
      <c r="I69" s="614">
        <f>iferror(vlookup(A69,'IL Data'!$A$232:$B$330,2,FALSE),"NULL")</f>
        <v>8</v>
      </c>
      <c r="J69" s="615" t="s">
        <v>63</v>
      </c>
      <c r="K69" s="672" t="s">
        <v>63</v>
      </c>
      <c r="L69" s="671">
        <f>vlookup(A69,'IL Data'!$A$335:$B$439,2,FALSE)</f>
        <v>4</v>
      </c>
      <c r="M69" s="614" t="s">
        <v>63</v>
      </c>
      <c r="N69" s="612" t="s">
        <v>63</v>
      </c>
      <c r="O69" s="612" t="s">
        <v>63</v>
      </c>
      <c r="P69" s="620">
        <f>ifna(vlookup(A69,'Population &amp; Church Numbers'!$A$598:$D$699,4,FALSE),"NULL")</f>
        <v>26</v>
      </c>
      <c r="Q69" s="707" t="s">
        <v>63</v>
      </c>
    </row>
    <row r="70">
      <c r="A70" s="609" t="s">
        <v>157</v>
      </c>
      <c r="B70" s="610">
        <f t="array" ref="B70">VLOOKUP($A70,IL_DEMO,2,FALSE)</f>
        <v>28288</v>
      </c>
      <c r="C70" s="611">
        <f>VLOOKUP($A70,'IL Data'!$A$3:$F$113,2,FALSE)</f>
        <v>115</v>
      </c>
      <c r="D70" s="612" t="s">
        <v>63</v>
      </c>
      <c r="E70" s="612">
        <f>VLOOKUP($A70,'IL Data'!$A$3:$F$113,3,FALSE)</f>
        <v>40</v>
      </c>
      <c r="F70" s="612">
        <f>VLOOKUP($A70,'IL Data'!$A$3:$F$113,4,FALSE)</f>
        <v>75</v>
      </c>
      <c r="G70" s="612" t="s">
        <v>63</v>
      </c>
      <c r="H70" s="671">
        <f>vlookup(A70,'IL Data'!$A$122:$B$227,2,FALSE)</f>
        <v>40</v>
      </c>
      <c r="I70" s="614">
        <f>iferror(vlookup(A70,'IL Data'!$A$232:$B$330,2,FALSE),"NULL")</f>
        <v>13</v>
      </c>
      <c r="J70" s="615" t="s">
        <v>63</v>
      </c>
      <c r="K70" s="672" t="s">
        <v>63</v>
      </c>
      <c r="L70" s="671">
        <f>vlookup(A70,'IL Data'!$A$335:$B$439,2,FALSE)</f>
        <v>8</v>
      </c>
      <c r="M70" s="614" t="s">
        <v>63</v>
      </c>
      <c r="N70" s="612" t="s">
        <v>63</v>
      </c>
      <c r="O70" s="612" t="s">
        <v>63</v>
      </c>
      <c r="P70" s="620">
        <f>ifna(vlookup(A70,'Population &amp; Church Numbers'!$A$598:$D$699,4,FALSE),"NULL")</f>
        <v>61</v>
      </c>
      <c r="Q70" s="707" t="s">
        <v>63</v>
      </c>
    </row>
    <row r="71">
      <c r="A71" s="609" t="s">
        <v>158</v>
      </c>
      <c r="B71" s="610">
        <f t="array" ref="B71">VLOOKUP($A71,IL_DEMO,2,FALSE)</f>
        <v>32915</v>
      </c>
      <c r="C71" s="611">
        <f>VLOOKUP($A71,'IL Data'!$A$3:$F$113,2,FALSE)</f>
        <v>94</v>
      </c>
      <c r="D71" s="612" t="s">
        <v>63</v>
      </c>
      <c r="E71" s="612">
        <f>VLOOKUP($A71,'IL Data'!$A$3:$F$113,3,FALSE)</f>
        <v>35</v>
      </c>
      <c r="F71" s="612">
        <f>VLOOKUP($A71,'IL Data'!$A$3:$F$113,4,FALSE)</f>
        <v>56</v>
      </c>
      <c r="G71" s="612" t="s">
        <v>63</v>
      </c>
      <c r="H71" s="671">
        <f>vlookup(A71,'IL Data'!$A$122:$B$227,2,FALSE)</f>
        <v>26</v>
      </c>
      <c r="I71" s="614">
        <f>iferror(vlookup(A71,'IL Data'!$A$232:$B$330,2,FALSE),"NULL")</f>
        <v>1</v>
      </c>
      <c r="J71" s="615" t="s">
        <v>63</v>
      </c>
      <c r="K71" s="672" t="s">
        <v>63</v>
      </c>
      <c r="L71" s="671">
        <f>vlookup(A71,'IL Data'!$A$335:$B$439,2,FALSE)</f>
        <v>39</v>
      </c>
      <c r="M71" s="614" t="s">
        <v>63</v>
      </c>
      <c r="N71" s="612" t="s">
        <v>63</v>
      </c>
      <c r="O71" s="612" t="s">
        <v>63</v>
      </c>
      <c r="P71" s="620">
        <f>ifna(vlookup(A71,'Population &amp; Church Numbers'!$A$598:$D$699,4,FALSE),"NULL")</f>
        <v>46</v>
      </c>
      <c r="Q71" s="707" t="s">
        <v>63</v>
      </c>
    </row>
    <row r="72">
      <c r="A72" s="609" t="s">
        <v>739</v>
      </c>
      <c r="B72" s="610">
        <f t="array" ref="B72">VLOOKUP($A72,IL_DEMO,2,FALSE)</f>
        <v>14526</v>
      </c>
      <c r="C72" s="611">
        <f>VLOOKUP($A72,'IL Data'!$A$3:$F$113,2,FALSE)</f>
        <v>54</v>
      </c>
      <c r="D72" s="612" t="s">
        <v>63</v>
      </c>
      <c r="E72" s="612">
        <f>VLOOKUP($A72,'IL Data'!$A$3:$F$113,3,FALSE)</f>
        <v>17</v>
      </c>
      <c r="F72" s="612">
        <f>VLOOKUP($A72,'IL Data'!$A$3:$F$113,4,FALSE)</f>
        <v>36</v>
      </c>
      <c r="G72" s="612" t="s">
        <v>63</v>
      </c>
      <c r="H72" s="671">
        <f>vlookup(A72,'IL Data'!$A$122:$B$227,2,FALSE)</f>
        <v>17</v>
      </c>
      <c r="I72" s="614">
        <f>iferror(vlookup(A72,'IL Data'!$A$232:$B$330,2,FALSE),"NULL")</f>
        <v>8</v>
      </c>
      <c r="J72" s="615" t="s">
        <v>63</v>
      </c>
      <c r="K72" s="672" t="s">
        <v>63</v>
      </c>
      <c r="L72" s="671">
        <f>vlookup(A72,'IL Data'!$A$335:$B$439,2,FALSE)</f>
        <v>5</v>
      </c>
      <c r="M72" s="614" t="s">
        <v>63</v>
      </c>
      <c r="N72" s="612" t="s">
        <v>63</v>
      </c>
      <c r="O72" s="612" t="s">
        <v>63</v>
      </c>
      <c r="P72" s="620">
        <f>ifna(vlookup(A72,'Population &amp; Church Numbers'!$A$598:$D$699,4,FALSE),"NULL")</f>
        <v>25</v>
      </c>
      <c r="Q72" s="707" t="s">
        <v>63</v>
      </c>
    </row>
    <row r="73">
      <c r="A73" s="609" t="s">
        <v>740</v>
      </c>
      <c r="B73" s="610">
        <f t="array" ref="B73">VLOOKUP($A73,IL_DEMO,2,FALSE)</f>
        <v>51788</v>
      </c>
      <c r="C73" s="611">
        <f>VLOOKUP($A73,'IL Data'!$A$3:$F$113,2,FALSE)</f>
        <v>48</v>
      </c>
      <c r="D73" s="612" t="s">
        <v>63</v>
      </c>
      <c r="E73" s="612">
        <f>VLOOKUP($A73,'IL Data'!$A$3:$F$113,3,FALSE)</f>
        <v>16</v>
      </c>
      <c r="F73" s="612">
        <f>VLOOKUP($A73,'IL Data'!$A$3:$F$113,4,FALSE)</f>
        <v>32</v>
      </c>
      <c r="G73" s="612" t="s">
        <v>63</v>
      </c>
      <c r="H73" s="671">
        <f>vlookup(A73,'IL Data'!$A$122:$B$227,2,FALSE)</f>
        <v>22</v>
      </c>
      <c r="I73" s="614">
        <f>iferror(vlookup(A73,'IL Data'!$A$232:$B$330,2,FALSE),"NULL")</f>
        <v>4</v>
      </c>
      <c r="J73" s="615" t="s">
        <v>63</v>
      </c>
      <c r="K73" s="672" t="s">
        <v>63</v>
      </c>
      <c r="L73" s="671">
        <f>vlookup(A73,'IL Data'!$A$335:$B$439,2,FALSE)</f>
        <v>15</v>
      </c>
      <c r="M73" s="614" t="s">
        <v>63</v>
      </c>
      <c r="N73" s="612" t="s">
        <v>63</v>
      </c>
      <c r="O73" s="612" t="s">
        <v>63</v>
      </c>
      <c r="P73" s="620">
        <f>ifna(vlookup(A73,'Population &amp; Church Numbers'!$A$598:$D$699,4,FALSE),"NULL")</f>
        <v>65</v>
      </c>
      <c r="Q73" s="707" t="s">
        <v>63</v>
      </c>
    </row>
    <row r="74">
      <c r="A74" s="609" t="s">
        <v>741</v>
      </c>
      <c r="B74" s="610">
        <f t="array" ref="B74">VLOOKUP($A74,IL_DEMO,2,FALSE)</f>
        <v>181830</v>
      </c>
      <c r="C74" s="611">
        <f>VLOOKUP($A74,'IL Data'!$A$3:$F$113,2,FALSE)</f>
        <v>744</v>
      </c>
      <c r="D74" s="612" t="s">
        <v>63</v>
      </c>
      <c r="E74" s="612">
        <f>VLOOKUP($A74,'IL Data'!$A$3:$F$113,3,FALSE)</f>
        <v>285</v>
      </c>
      <c r="F74" s="612">
        <f>VLOOKUP($A74,'IL Data'!$A$3:$F$113,4,FALSE)</f>
        <v>397</v>
      </c>
      <c r="G74" s="612" t="s">
        <v>63</v>
      </c>
      <c r="H74" s="671">
        <f>vlookup(A74,'IL Data'!$A$122:$B$227,2,FALSE)</f>
        <v>350</v>
      </c>
      <c r="I74" s="614">
        <f>iferror(vlookup(A74,'IL Data'!$A$232:$B$330,2,FALSE),"NULL")</f>
        <v>53</v>
      </c>
      <c r="J74" s="615" t="s">
        <v>63</v>
      </c>
      <c r="K74" s="672" t="s">
        <v>63</v>
      </c>
      <c r="L74" s="671">
        <f>vlookup(A74,'IL Data'!$A$335:$B$439,2,FALSE)</f>
        <v>137</v>
      </c>
      <c r="M74" s="614" t="s">
        <v>63</v>
      </c>
      <c r="N74" s="612" t="s">
        <v>63</v>
      </c>
      <c r="O74" s="612" t="s">
        <v>63</v>
      </c>
      <c r="P74" s="620">
        <f>ifna(vlookup(A74,'Population &amp; Church Numbers'!$A$598:$D$699,4,FALSE),"NULL")</f>
        <v>190</v>
      </c>
      <c r="Q74" s="707" t="s">
        <v>63</v>
      </c>
    </row>
    <row r="75">
      <c r="A75" s="609" t="s">
        <v>159</v>
      </c>
      <c r="B75" s="610">
        <f t="array" ref="B75">VLOOKUP($A75,IL_DEMO,2,FALSE)</f>
        <v>20945</v>
      </c>
      <c r="C75" s="611">
        <f>VLOOKUP($A75,'IL Data'!$A$3:$F$113,2,FALSE)</f>
        <v>72</v>
      </c>
      <c r="D75" s="612" t="s">
        <v>63</v>
      </c>
      <c r="E75" s="612">
        <f>VLOOKUP($A75,'IL Data'!$A$3:$F$113,3,FALSE)</f>
        <v>24</v>
      </c>
      <c r="F75" s="612">
        <f>VLOOKUP($A75,'IL Data'!$A$3:$F$113,4,FALSE)</f>
        <v>48</v>
      </c>
      <c r="G75" s="612" t="s">
        <v>63</v>
      </c>
      <c r="H75" s="671">
        <f>vlookup(A75,'IL Data'!$A$122:$B$227,2,FALSE)</f>
        <v>19</v>
      </c>
      <c r="I75" s="614">
        <f>iferror(vlookup(A75,'IL Data'!$A$232:$B$330,2,FALSE),"NULL")</f>
        <v>2</v>
      </c>
      <c r="J75" s="615" t="s">
        <v>63</v>
      </c>
      <c r="K75" s="672" t="s">
        <v>63</v>
      </c>
      <c r="L75" s="671">
        <f>vlookup(A75,'IL Data'!$A$335:$B$439,2,FALSE)</f>
        <v>4</v>
      </c>
      <c r="M75" s="614" t="s">
        <v>63</v>
      </c>
      <c r="N75" s="612" t="s">
        <v>63</v>
      </c>
      <c r="O75" s="612" t="s">
        <v>63</v>
      </c>
      <c r="P75" s="620">
        <f>ifna(vlookup(A75,'Population &amp; Church Numbers'!$A$598:$D$699,4,FALSE),"NULL")</f>
        <v>40</v>
      </c>
      <c r="Q75" s="707" t="s">
        <v>63</v>
      </c>
    </row>
    <row r="76">
      <c r="A76" s="609" t="s">
        <v>742</v>
      </c>
      <c r="B76" s="610">
        <f t="array" ref="B76">VLOOKUP($A76,IL_DEMO,2,FALSE)</f>
        <v>16673</v>
      </c>
      <c r="C76" s="611">
        <f>VLOOKUP($A76,'IL Data'!$A$3:$F$113,2,FALSE)</f>
        <v>62</v>
      </c>
      <c r="D76" s="612" t="s">
        <v>63</v>
      </c>
      <c r="E76" s="612">
        <f>VLOOKUP($A76,'IL Data'!$A$3:$F$113,3,FALSE)</f>
        <v>28</v>
      </c>
      <c r="F76" s="612">
        <f>VLOOKUP($A76,'IL Data'!$A$3:$F$113,4,FALSE)</f>
        <v>34</v>
      </c>
      <c r="G76" s="612" t="s">
        <v>63</v>
      </c>
      <c r="H76" s="671">
        <f>vlookup(A76,'IL Data'!$A$122:$B$227,2,FALSE)</f>
        <v>28</v>
      </c>
      <c r="I76" s="614">
        <f>iferror(vlookup(A76,'IL Data'!$A$232:$B$330,2,FALSE),"NULL")</f>
        <v>5</v>
      </c>
      <c r="J76" s="615" t="s">
        <v>63</v>
      </c>
      <c r="K76" s="672" t="s">
        <v>63</v>
      </c>
      <c r="L76" s="671">
        <f>vlookup(A76,'IL Data'!$A$335:$B$439,2,FALSE)</f>
        <v>8</v>
      </c>
      <c r="M76" s="614" t="s">
        <v>63</v>
      </c>
      <c r="N76" s="612" t="s">
        <v>63</v>
      </c>
      <c r="O76" s="612" t="s">
        <v>63</v>
      </c>
      <c r="P76" s="620">
        <f>ifna(vlookup(A76,'Population &amp; Church Numbers'!$A$598:$D$699,4,FALSE),"NULL")</f>
        <v>29</v>
      </c>
      <c r="Q76" s="707" t="s">
        <v>63</v>
      </c>
    </row>
    <row r="77">
      <c r="A77" s="609" t="s">
        <v>162</v>
      </c>
      <c r="B77" s="610">
        <f t="array" ref="B77">VLOOKUP($A77,IL_DEMO,2,FALSE)</f>
        <v>14739</v>
      </c>
      <c r="C77" s="611">
        <f>VLOOKUP($A77,'IL Data'!$A$3:$F$113,2,FALSE)</f>
        <v>57</v>
      </c>
      <c r="D77" s="612" t="s">
        <v>63</v>
      </c>
      <c r="E77" s="612">
        <f>VLOOKUP($A77,'IL Data'!$A$3:$F$113,3,FALSE)</f>
        <v>13</v>
      </c>
      <c r="F77" s="612">
        <f>VLOOKUP($A77,'IL Data'!$A$3:$F$113,4,FALSE)</f>
        <v>44</v>
      </c>
      <c r="G77" s="612" t="s">
        <v>63</v>
      </c>
      <c r="H77" s="671">
        <f>vlookup(A77,'IL Data'!$A$122:$B$227,2,FALSE)</f>
        <v>18</v>
      </c>
      <c r="I77" s="614">
        <f>iferror(vlookup(A77,'IL Data'!$A$232:$B$330,2,FALSE),"NULL")</f>
        <v>3</v>
      </c>
      <c r="J77" s="615" t="s">
        <v>63</v>
      </c>
      <c r="K77" s="672" t="s">
        <v>63</v>
      </c>
      <c r="L77" s="671">
        <f>vlookup(A77,'IL Data'!$A$335:$B$439,2,FALSE)</f>
        <v>8</v>
      </c>
      <c r="M77" s="614" t="s">
        <v>63</v>
      </c>
      <c r="N77" s="612" t="s">
        <v>63</v>
      </c>
      <c r="O77" s="612" t="s">
        <v>63</v>
      </c>
      <c r="P77" s="620">
        <f>ifna(vlookup(A77,'Population &amp; Church Numbers'!$A$598:$D$699,4,FALSE),"NULL")</f>
        <v>27</v>
      </c>
      <c r="Q77" s="707" t="s">
        <v>63</v>
      </c>
    </row>
    <row r="78">
      <c r="A78" s="609" t="s">
        <v>303</v>
      </c>
      <c r="B78" s="610">
        <f t="array" ref="B78">VLOOKUP($A78,IL_DEMO,2,FALSE)</f>
        <v>3763</v>
      </c>
      <c r="C78" s="611">
        <f>VLOOKUP($A78,'IL Data'!$A$3:$F$113,2,FALSE)</f>
        <v>9</v>
      </c>
      <c r="D78" s="612" t="s">
        <v>63</v>
      </c>
      <c r="E78" s="612">
        <f>VLOOKUP($A78,'IL Data'!$A$3:$F$113,3,FALSE)</f>
        <v>2</v>
      </c>
      <c r="F78" s="612">
        <f>VLOOKUP($A78,'IL Data'!$A$3:$F$113,4,FALSE)</f>
        <v>7</v>
      </c>
      <c r="G78" s="612" t="s">
        <v>63</v>
      </c>
      <c r="H78" s="671">
        <f>vlookup(A78,'IL Data'!$A$122:$B$227,2,FALSE)</f>
        <v>1</v>
      </c>
      <c r="I78" s="614" t="str">
        <f>iferror(vlookup(A78,'IL Data'!$A$232:$B$330,2,FALSE),"NULL")</f>
        <v>NULL</v>
      </c>
      <c r="J78" s="615" t="s">
        <v>63</v>
      </c>
      <c r="K78" s="672" t="s">
        <v>63</v>
      </c>
      <c r="L78" s="671">
        <f>vlookup(A78,'IL Data'!$A$335:$B$439,2,FALSE)</f>
        <v>4</v>
      </c>
      <c r="M78" s="614" t="s">
        <v>63</v>
      </c>
      <c r="N78" s="612" t="s">
        <v>63</v>
      </c>
      <c r="O78" s="612" t="s">
        <v>63</v>
      </c>
      <c r="P78" s="620">
        <f>ifna(vlookup(A78,'Population &amp; Church Numbers'!$A$598:$D$699,4,FALSE),"NULL")</f>
        <v>12</v>
      </c>
      <c r="Q78" s="707" t="s">
        <v>63</v>
      </c>
    </row>
    <row r="79">
      <c r="A79" s="609" t="s">
        <v>305</v>
      </c>
      <c r="B79" s="610">
        <f t="array" ref="B79">VLOOKUP($A79,IL_DEMO,2,FALSE)</f>
        <v>5193</v>
      </c>
      <c r="C79" s="611">
        <f>VLOOKUP($A79,'IL Data'!$A$3:$F$113,2,FALSE)</f>
        <v>25</v>
      </c>
      <c r="D79" s="612" t="s">
        <v>63</v>
      </c>
      <c r="E79" s="612">
        <f>VLOOKUP($A79,'IL Data'!$A$3:$F$113,3,FALSE)</f>
        <v>8</v>
      </c>
      <c r="F79" s="612">
        <f>VLOOKUP($A79,'IL Data'!$A$3:$F$113,4,FALSE)</f>
        <v>16</v>
      </c>
      <c r="G79" s="612" t="s">
        <v>63</v>
      </c>
      <c r="H79" s="671">
        <f>vlookup(A79,'IL Data'!$A$122:$B$227,2,FALSE)</f>
        <v>7</v>
      </c>
      <c r="I79" s="614">
        <f>iferror(vlookup(A79,'IL Data'!$A$232:$B$330,2,FALSE),"NULL")</f>
        <v>3</v>
      </c>
      <c r="J79" s="615" t="s">
        <v>63</v>
      </c>
      <c r="K79" s="672" t="s">
        <v>63</v>
      </c>
      <c r="L79" s="671">
        <f>vlookup(A79,'IL Data'!$A$335:$B$439,2,FALSE)</f>
        <v>7</v>
      </c>
      <c r="M79" s="614" t="s">
        <v>63</v>
      </c>
      <c r="N79" s="612" t="s">
        <v>63</v>
      </c>
      <c r="O79" s="612" t="s">
        <v>63</v>
      </c>
      <c r="P79" s="620">
        <f>ifna(vlookup(A79,'Population &amp; Church Numbers'!$A$598:$D$699,4,FALSE),"NULL")</f>
        <v>11</v>
      </c>
      <c r="Q79" s="707" t="s">
        <v>63</v>
      </c>
    </row>
    <row r="80">
      <c r="A80" s="609" t="s">
        <v>518</v>
      </c>
      <c r="B80" s="610">
        <f t="array" ref="B80">VLOOKUP($A80,IL_DEMO,2,FALSE)</f>
        <v>5637</v>
      </c>
      <c r="C80" s="611">
        <f>VLOOKUP($A80,'IL Data'!$A$3:$F$113,2,FALSE)</f>
        <v>8</v>
      </c>
      <c r="D80" s="612" t="s">
        <v>63</v>
      </c>
      <c r="E80" s="612">
        <f>VLOOKUP($A80,'IL Data'!$A$3:$F$113,3,FALSE)</f>
        <v>4</v>
      </c>
      <c r="F80" s="612">
        <f>VLOOKUP($A80,'IL Data'!$A$3:$F$113,4,FALSE)</f>
        <v>4</v>
      </c>
      <c r="G80" s="612" t="s">
        <v>63</v>
      </c>
      <c r="H80" s="671">
        <f>vlookup(A80,'IL Data'!$A$122:$B$227,2,FALSE)</f>
        <v>4</v>
      </c>
      <c r="I80" s="614" t="str">
        <f>iferror(vlookup(A80,'IL Data'!$A$232:$B$330,2,FALSE),"NULL")</f>
        <v>NULL</v>
      </c>
      <c r="J80" s="615" t="s">
        <v>63</v>
      </c>
      <c r="K80" s="672" t="s">
        <v>63</v>
      </c>
      <c r="L80" s="671">
        <f>vlookup(A80,'IL Data'!$A$335:$B$439,2,FALSE)</f>
        <v>1</v>
      </c>
      <c r="M80" s="614" t="s">
        <v>63</v>
      </c>
      <c r="N80" s="612" t="s">
        <v>63</v>
      </c>
      <c r="O80" s="612" t="s">
        <v>63</v>
      </c>
      <c r="P80" s="620">
        <f>ifna(vlookup(A80,'Population &amp; Church Numbers'!$A$598:$D$699,4,FALSE),"NULL")</f>
        <v>8</v>
      </c>
      <c r="Q80" s="707" t="s">
        <v>63</v>
      </c>
    </row>
    <row r="81">
      <c r="A81" s="609" t="s">
        <v>163</v>
      </c>
      <c r="B81" s="610">
        <f t="array" ref="B81">VLOOKUP($A81,IL_DEMO,2,FALSE)</f>
        <v>30163</v>
      </c>
      <c r="C81" s="611">
        <f>VLOOKUP($A81,'IL Data'!$A$3:$F$113,2,FALSE)</f>
        <v>99</v>
      </c>
      <c r="D81" s="612" t="s">
        <v>63</v>
      </c>
      <c r="E81" s="612">
        <f>VLOOKUP($A81,'IL Data'!$A$3:$F$113,3,FALSE)</f>
        <v>18</v>
      </c>
      <c r="F81" s="612">
        <f>VLOOKUP($A81,'IL Data'!$A$3:$F$113,4,FALSE)</f>
        <v>80</v>
      </c>
      <c r="G81" s="612" t="s">
        <v>63</v>
      </c>
      <c r="H81" s="671">
        <f>vlookup(A81,'IL Data'!$A$122:$B$227,2,FALSE)</f>
        <v>35</v>
      </c>
      <c r="I81" s="614">
        <f>iferror(vlookup(A81,'IL Data'!$A$232:$B$330,2,FALSE),"NULL")</f>
        <v>22</v>
      </c>
      <c r="J81" s="615" t="s">
        <v>63</v>
      </c>
      <c r="K81" s="672" t="s">
        <v>63</v>
      </c>
      <c r="L81" s="671">
        <f>vlookup(A81,'IL Data'!$A$335:$B$439,2,FALSE)</f>
        <v>27</v>
      </c>
      <c r="M81" s="614" t="s">
        <v>63</v>
      </c>
      <c r="N81" s="612" t="s">
        <v>63</v>
      </c>
      <c r="O81" s="612" t="s">
        <v>63</v>
      </c>
      <c r="P81" s="620">
        <f>ifna(vlookup(A81,'Population &amp; Church Numbers'!$A$598:$D$699,4,FALSE),"NULL")</f>
        <v>52</v>
      </c>
      <c r="Q81" s="707" t="s">
        <v>63</v>
      </c>
    </row>
    <row r="82">
      <c r="A82" s="609" t="s">
        <v>743</v>
      </c>
      <c r="B82" s="610">
        <f t="array" ref="B82">VLOOKUP($A82,IL_DEMO,2,FALSE)</f>
        <v>15813</v>
      </c>
      <c r="C82" s="611">
        <f>VLOOKUP($A82,'IL Data'!$A$3:$F$113,2,FALSE)</f>
        <v>68</v>
      </c>
      <c r="D82" s="612" t="s">
        <v>63</v>
      </c>
      <c r="E82" s="612">
        <f>VLOOKUP($A82,'IL Data'!$A$3:$F$113,3,FALSE)</f>
        <v>27</v>
      </c>
      <c r="F82" s="612">
        <f>VLOOKUP($A82,'IL Data'!$A$3:$F$113,4,FALSE)</f>
        <v>41</v>
      </c>
      <c r="G82" s="612" t="s">
        <v>63</v>
      </c>
      <c r="H82" s="671">
        <f>vlookup(A82,'IL Data'!$A$122:$B$227,2,FALSE)</f>
        <v>30</v>
      </c>
      <c r="I82" s="614">
        <f>iferror(vlookup(A82,'IL Data'!$A$232:$B$330,2,FALSE),"NULL")</f>
        <v>8</v>
      </c>
      <c r="J82" s="615" t="s">
        <v>63</v>
      </c>
      <c r="K82" s="672" t="s">
        <v>63</v>
      </c>
      <c r="L82" s="671">
        <f>vlookup(A82,'IL Data'!$A$335:$B$439,2,FALSE)</f>
        <v>18</v>
      </c>
      <c r="M82" s="614" t="s">
        <v>63</v>
      </c>
      <c r="N82" s="612" t="s">
        <v>63</v>
      </c>
      <c r="O82" s="612" t="s">
        <v>63</v>
      </c>
      <c r="P82" s="620">
        <f>ifna(vlookup(A82,'Population &amp; Church Numbers'!$A$598:$D$699,4,FALSE),"NULL")</f>
        <v>27</v>
      </c>
      <c r="Q82" s="707" t="s">
        <v>63</v>
      </c>
    </row>
    <row r="83">
      <c r="A83" s="609" t="s">
        <v>744</v>
      </c>
      <c r="B83" s="610">
        <f t="array" ref="B83">VLOOKUP($A83,IL_DEMO,2,FALSE)</f>
        <v>144672</v>
      </c>
      <c r="C83" s="611">
        <f>VLOOKUP($A83,'IL Data'!$A$3:$F$113,2,FALSE)</f>
        <v>236</v>
      </c>
      <c r="D83" s="612" t="s">
        <v>63</v>
      </c>
      <c r="E83" s="612">
        <f>VLOOKUP($A83,'IL Data'!$A$3:$F$113,3,FALSE)</f>
        <v>93</v>
      </c>
      <c r="F83" s="612">
        <f>VLOOKUP($A83,'IL Data'!$A$3:$F$113,4,FALSE)</f>
        <v>142</v>
      </c>
      <c r="G83" s="612" t="s">
        <v>63</v>
      </c>
      <c r="H83" s="671">
        <f>vlookup(A83,'IL Data'!$A$122:$B$227,2,FALSE)</f>
        <v>119</v>
      </c>
      <c r="I83" s="614">
        <f>iferror(vlookup(A83,'IL Data'!$A$232:$B$330,2,FALSE),"NULL")</f>
        <v>27</v>
      </c>
      <c r="J83" s="615" t="s">
        <v>63</v>
      </c>
      <c r="K83" s="672" t="s">
        <v>63</v>
      </c>
      <c r="L83" s="671">
        <f>vlookup(A83,'IL Data'!$A$335:$B$439,2,FALSE)</f>
        <v>115</v>
      </c>
      <c r="M83" s="614" t="s">
        <v>63</v>
      </c>
      <c r="N83" s="612" t="s">
        <v>63</v>
      </c>
      <c r="O83" s="612" t="s">
        <v>63</v>
      </c>
      <c r="P83" s="620">
        <f>ifna(vlookup(A83,'Population &amp; Church Numbers'!$A$598:$D$699,4,FALSE),"NULL")</f>
        <v>125</v>
      </c>
      <c r="Q83" s="707" t="s">
        <v>63</v>
      </c>
    </row>
    <row r="84">
      <c r="A84" s="609" t="s">
        <v>308</v>
      </c>
      <c r="B84" s="610">
        <f t="array" ref="B84">VLOOKUP($A84,IL_DEMO,2,FALSE)</f>
        <v>23768</v>
      </c>
      <c r="C84" s="611">
        <f>VLOOKUP($A84,'IL Data'!$A$3:$F$113,2,FALSE)</f>
        <v>50</v>
      </c>
      <c r="D84" s="612" t="s">
        <v>63</v>
      </c>
      <c r="E84" s="612">
        <f>VLOOKUP($A84,'IL Data'!$A$3:$F$113,3,FALSE)</f>
        <v>14</v>
      </c>
      <c r="F84" s="612">
        <f>VLOOKUP($A84,'IL Data'!$A$3:$F$113,4,FALSE)</f>
        <v>27</v>
      </c>
      <c r="G84" s="612" t="s">
        <v>63</v>
      </c>
      <c r="H84" s="671">
        <f>vlookup(A84,'IL Data'!$A$122:$B$227,2,FALSE)</f>
        <v>16</v>
      </c>
      <c r="I84" s="614">
        <f>iferror(vlookup(A84,'IL Data'!$A$232:$B$330,2,FALSE),"NULL")</f>
        <v>7</v>
      </c>
      <c r="J84" s="615" t="s">
        <v>63</v>
      </c>
      <c r="K84" s="672" t="s">
        <v>63</v>
      </c>
      <c r="L84" s="671">
        <f>vlookup(A84,'IL Data'!$A$335:$B$439,2,FALSE)</f>
        <v>20</v>
      </c>
      <c r="M84" s="614" t="s">
        <v>63</v>
      </c>
      <c r="N84" s="612" t="s">
        <v>63</v>
      </c>
      <c r="O84" s="612" t="s">
        <v>63</v>
      </c>
      <c r="P84" s="620">
        <f>ifna(vlookup(A84,'Population &amp; Church Numbers'!$A$598:$D$699,4,FALSE),"NULL")</f>
        <v>43</v>
      </c>
      <c r="Q84" s="707" t="s">
        <v>63</v>
      </c>
    </row>
    <row r="85">
      <c r="A85" s="609" t="s">
        <v>745</v>
      </c>
      <c r="B85" s="610">
        <f t="array" ref="B85">VLOOKUP($A85,IL_DEMO,2,FALSE)</f>
        <v>196343</v>
      </c>
      <c r="C85" s="611">
        <f>VLOOKUP($A85,'IL Data'!$A$3:$F$113,2,FALSE)</f>
        <v>618</v>
      </c>
      <c r="D85" s="612" t="s">
        <v>63</v>
      </c>
      <c r="E85" s="612">
        <f>VLOOKUP($A85,'IL Data'!$A$3:$F$113,3,FALSE)</f>
        <v>247</v>
      </c>
      <c r="F85" s="612">
        <f>VLOOKUP($A85,'IL Data'!$A$3:$F$113,4,FALSE)</f>
        <v>338</v>
      </c>
      <c r="G85" s="612" t="s">
        <v>63</v>
      </c>
      <c r="H85" s="671">
        <f>vlookup(A85,'IL Data'!$A$122:$B$227,2,FALSE)</f>
        <v>206</v>
      </c>
      <c r="I85" s="614">
        <f>iferror(vlookup(A85,'IL Data'!$A$232:$B$330,2,FALSE),"NULL")</f>
        <v>61</v>
      </c>
      <c r="J85" s="615" t="s">
        <v>63</v>
      </c>
      <c r="K85" s="672" t="s">
        <v>63</v>
      </c>
      <c r="L85" s="671">
        <f>vlookup(A85,'IL Data'!$A$335:$B$439,2,FALSE)</f>
        <v>68</v>
      </c>
      <c r="M85" s="614" t="s">
        <v>63</v>
      </c>
      <c r="N85" s="612" t="s">
        <v>63</v>
      </c>
      <c r="O85" s="612" t="s">
        <v>63</v>
      </c>
      <c r="P85" s="620">
        <f>ifna(vlookup(A85,'Population &amp; Church Numbers'!$A$598:$D$699,4,FALSE),"NULL")</f>
        <v>173</v>
      </c>
      <c r="Q85" s="707" t="s">
        <v>63</v>
      </c>
    </row>
    <row r="86">
      <c r="A86" s="609" t="s">
        <v>746</v>
      </c>
      <c r="B86" s="610">
        <f t="array" ref="B86">VLOOKUP($A86,IL_DEMO,2,FALSE)</f>
        <v>6902</v>
      </c>
      <c r="C86" s="611">
        <f>VLOOKUP($A86,'IL Data'!$A$3:$F$113,2,FALSE)</f>
        <v>19</v>
      </c>
      <c r="D86" s="612" t="s">
        <v>63</v>
      </c>
      <c r="E86" s="612">
        <f>VLOOKUP($A86,'IL Data'!$A$3:$F$113,3,FALSE)</f>
        <v>7</v>
      </c>
      <c r="F86" s="612">
        <f>VLOOKUP($A86,'IL Data'!$A$3:$F$113,4,FALSE)</f>
        <v>12</v>
      </c>
      <c r="G86" s="612" t="s">
        <v>63</v>
      </c>
      <c r="H86" s="671">
        <f>vlookup(A86,'IL Data'!$A$122:$B$227,2,FALSE)</f>
        <v>9</v>
      </c>
      <c r="I86" s="614">
        <f>iferror(vlookup(A86,'IL Data'!$A$232:$B$330,2,FALSE),"NULL")</f>
        <v>1</v>
      </c>
      <c r="J86" s="615" t="s">
        <v>63</v>
      </c>
      <c r="K86" s="672" t="s">
        <v>63</v>
      </c>
      <c r="L86" s="671">
        <f>vlookup(A86,'IL Data'!$A$335:$B$439,2,FALSE)</f>
        <v>5</v>
      </c>
      <c r="M86" s="614" t="s">
        <v>63</v>
      </c>
      <c r="N86" s="612" t="s">
        <v>63</v>
      </c>
      <c r="O86" s="612" t="s">
        <v>63</v>
      </c>
      <c r="P86" s="620">
        <f>ifna(vlookup(A86,'Population &amp; Church Numbers'!$A$598:$D$699,4,FALSE),"NULL")</f>
        <v>11</v>
      </c>
      <c r="Q86" s="707" t="s">
        <v>63</v>
      </c>
    </row>
    <row r="87">
      <c r="A87" s="609" t="s">
        <v>309</v>
      </c>
      <c r="B87" s="610">
        <f t="array" ref="B87">VLOOKUP($A87,IL_DEMO,2,FALSE)</f>
        <v>4949</v>
      </c>
      <c r="C87" s="611">
        <f>VLOOKUP($A87,'IL Data'!$A$3:$F$113,2,FALSE)</f>
        <v>10</v>
      </c>
      <c r="D87" s="612" t="s">
        <v>63</v>
      </c>
      <c r="E87" s="612">
        <f>VLOOKUP($A87,'IL Data'!$A$3:$F$113,3,FALSE)</f>
        <v>1</v>
      </c>
      <c r="F87" s="612">
        <f>VLOOKUP($A87,'IL Data'!$A$3:$F$113,4,FALSE)</f>
        <v>9</v>
      </c>
      <c r="G87" s="612" t="s">
        <v>63</v>
      </c>
      <c r="H87" s="671">
        <f>vlookup(A87,'IL Data'!$A$122:$B$227,2,FALSE)</f>
        <v>3</v>
      </c>
      <c r="I87" s="614" t="str">
        <f>iferror(vlookup(A87,'IL Data'!$A$232:$B$330,2,FALSE),"NULL")</f>
        <v>NULL</v>
      </c>
      <c r="J87" s="615" t="s">
        <v>63</v>
      </c>
      <c r="K87" s="672" t="s">
        <v>63</v>
      </c>
      <c r="L87" s="671">
        <f>vlookup(A87,'IL Data'!$A$335:$B$439,2,FALSE)</f>
        <v>1</v>
      </c>
      <c r="M87" s="614" t="s">
        <v>63</v>
      </c>
      <c r="N87" s="612" t="s">
        <v>63</v>
      </c>
      <c r="O87" s="612" t="s">
        <v>63</v>
      </c>
      <c r="P87" s="620">
        <f>ifna(vlookup(A87,'Population &amp; Church Numbers'!$A$598:$D$699,4,FALSE),"NULL")</f>
        <v>12</v>
      </c>
      <c r="Q87" s="707" t="s">
        <v>63</v>
      </c>
    </row>
    <row r="88">
      <c r="A88" s="609" t="s">
        <v>168</v>
      </c>
      <c r="B88" s="610">
        <f t="array" ref="B88">VLOOKUP($A88,IL_DEMO,2,FALSE)</f>
        <v>20990</v>
      </c>
      <c r="C88" s="611">
        <f>VLOOKUP($A88,'IL Data'!$A$3:$F$113,2,FALSE)</f>
        <v>67</v>
      </c>
      <c r="D88" s="612" t="s">
        <v>63</v>
      </c>
      <c r="E88" s="612">
        <f>VLOOKUP($A88,'IL Data'!$A$3:$F$113,3,FALSE)</f>
        <v>29</v>
      </c>
      <c r="F88" s="612">
        <f>VLOOKUP($A88,'IL Data'!$A$3:$F$113,4,FALSE)</f>
        <v>38</v>
      </c>
      <c r="G88" s="612" t="s">
        <v>63</v>
      </c>
      <c r="H88" s="671">
        <f>vlookup(A88,'IL Data'!$A$122:$B$227,2,FALSE)</f>
        <v>30</v>
      </c>
      <c r="I88" s="614">
        <f>iferror(vlookup(A88,'IL Data'!$A$232:$B$330,2,FALSE),"NULL")</f>
        <v>11</v>
      </c>
      <c r="J88" s="615" t="s">
        <v>63</v>
      </c>
      <c r="K88" s="672" t="s">
        <v>63</v>
      </c>
      <c r="L88" s="671">
        <f>vlookup(A88,'IL Data'!$A$335:$B$439,2,FALSE)</f>
        <v>10</v>
      </c>
      <c r="M88" s="614" t="s">
        <v>63</v>
      </c>
      <c r="N88" s="612" t="s">
        <v>63</v>
      </c>
      <c r="O88" s="612" t="s">
        <v>63</v>
      </c>
      <c r="P88" s="620">
        <f>ifna(vlookup(A88,'Population &amp; Church Numbers'!$A$598:$D$699,4,FALSE),"NULL")</f>
        <v>41</v>
      </c>
      <c r="Q88" s="707" t="s">
        <v>63</v>
      </c>
    </row>
    <row r="89">
      <c r="A89" s="609" t="s">
        <v>768</v>
      </c>
      <c r="B89" s="610">
        <f t="array" ref="B89">VLOOKUP($A89,IL_DEMO,2,FALSE)</f>
        <v>257400</v>
      </c>
      <c r="C89" s="611">
        <f>VLOOKUP($A89,'IL Data'!$A$3:$F$113,2,FALSE)</f>
        <v>896</v>
      </c>
      <c r="D89" s="612" t="s">
        <v>63</v>
      </c>
      <c r="E89" s="612">
        <f>VLOOKUP($A89,'IL Data'!$A$3:$F$113,3,FALSE)</f>
        <v>394</v>
      </c>
      <c r="F89" s="612">
        <f>VLOOKUP($A89,'IL Data'!$A$3:$F$113,4,FALSE)</f>
        <v>450</v>
      </c>
      <c r="G89" s="612" t="s">
        <v>63</v>
      </c>
      <c r="H89" s="671">
        <f>vlookup(A89,'IL Data'!$A$122:$B$227,2,FALSE)</f>
        <v>358</v>
      </c>
      <c r="I89" s="614">
        <f>iferror(vlookup(A89,'IL Data'!$A$232:$B$330,2,FALSE),"NULL")</f>
        <v>62</v>
      </c>
      <c r="J89" s="615" t="s">
        <v>63</v>
      </c>
      <c r="K89" s="672" t="s">
        <v>63</v>
      </c>
      <c r="L89" s="671">
        <f>vlookup(A89,'IL Data'!$A$335:$B$439,2,FALSE)</f>
        <v>130</v>
      </c>
      <c r="M89" s="614" t="s">
        <v>63</v>
      </c>
      <c r="N89" s="612" t="s">
        <v>63</v>
      </c>
      <c r="O89" s="612" t="s">
        <v>63</v>
      </c>
      <c r="P89" s="620">
        <f>ifna(vlookup(A89,'Population &amp; Church Numbers'!$A$598:$D$699,4,FALSE),"NULL")</f>
        <v>274</v>
      </c>
      <c r="Q89" s="707" t="s">
        <v>63</v>
      </c>
    </row>
    <row r="90">
      <c r="A90" s="609" t="s">
        <v>747</v>
      </c>
      <c r="B90" s="610">
        <f t="array" ref="B90">VLOOKUP($A90,IL_DEMO,2,FALSE)</f>
        <v>5400</v>
      </c>
      <c r="C90" s="611">
        <f>VLOOKUP($A90,'IL Data'!$A$3:$F$113,2,FALSE)</f>
        <v>20</v>
      </c>
      <c r="D90" s="612" t="s">
        <v>63</v>
      </c>
      <c r="E90" s="612">
        <f>VLOOKUP($A90,'IL Data'!$A$3:$F$113,3,FALSE)</f>
        <v>9</v>
      </c>
      <c r="F90" s="612">
        <f>VLOOKUP($A90,'IL Data'!$A$3:$F$113,4,FALSE)</f>
        <v>11</v>
      </c>
      <c r="G90" s="612" t="s">
        <v>63</v>
      </c>
      <c r="H90" s="671">
        <f>vlookup(A90,'IL Data'!$A$122:$B$227,2,FALSE)</f>
        <v>8</v>
      </c>
      <c r="I90" s="614" t="str">
        <f>iferror(vlookup(A90,'IL Data'!$A$232:$B$330,2,FALSE),"NULL")</f>
        <v>NULL</v>
      </c>
      <c r="J90" s="615" t="s">
        <v>63</v>
      </c>
      <c r="K90" s="672" t="s">
        <v>63</v>
      </c>
      <c r="L90" s="671">
        <f>vlookup(A90,'IL Data'!$A$335:$B$439,2,FALSE)</f>
        <v>1</v>
      </c>
      <c r="M90" s="614" t="s">
        <v>63</v>
      </c>
      <c r="N90" s="612" t="s">
        <v>63</v>
      </c>
      <c r="O90" s="612" t="s">
        <v>63</v>
      </c>
      <c r="P90" s="620">
        <f>ifna(vlookup(A90,'Population &amp; Church Numbers'!$A$598:$D$699,4,FALSE),"NULL")</f>
        <v>14</v>
      </c>
      <c r="Q90" s="707" t="s">
        <v>63</v>
      </c>
    </row>
    <row r="91">
      <c r="A91" s="609" t="s">
        <v>748</v>
      </c>
      <c r="B91" s="610">
        <f t="array" ref="B91">VLOOKUP($A91,IL_DEMO,2,FALSE)</f>
        <v>44630</v>
      </c>
      <c r="C91" s="611">
        <f>VLOOKUP($A91,'IL Data'!$A$3:$F$113,2,FALSE)</f>
        <v>71</v>
      </c>
      <c r="D91" s="612" t="s">
        <v>63</v>
      </c>
      <c r="E91" s="612">
        <f>VLOOKUP($A91,'IL Data'!$A$3:$F$113,3,FALSE)</f>
        <v>37</v>
      </c>
      <c r="F91" s="612">
        <f>VLOOKUP($A91,'IL Data'!$A$3:$F$113,4,FALSE)</f>
        <v>32</v>
      </c>
      <c r="G91" s="612" t="s">
        <v>63</v>
      </c>
      <c r="H91" s="671">
        <f>vlookup(A91,'IL Data'!$A$122:$B$227,2,FALSE)</f>
        <v>36</v>
      </c>
      <c r="I91" s="614">
        <f>iferror(vlookup(A91,'IL Data'!$A$232:$B$330,2,FALSE),"NULL")</f>
        <v>9</v>
      </c>
      <c r="J91" s="615" t="s">
        <v>63</v>
      </c>
      <c r="K91" s="672" t="s">
        <v>63</v>
      </c>
      <c r="L91" s="671">
        <f>vlookup(A91,'IL Data'!$A$335:$B$439,2,FALSE)</f>
        <v>47</v>
      </c>
      <c r="M91" s="614" t="s">
        <v>63</v>
      </c>
      <c r="N91" s="612" t="s">
        <v>63</v>
      </c>
      <c r="O91" s="612" t="s">
        <v>63</v>
      </c>
      <c r="P91" s="620">
        <f>ifna(vlookup(A91,'Population &amp; Church Numbers'!$A$598:$D$699,4,FALSE),"NULL")</f>
        <v>63</v>
      </c>
      <c r="Q91" s="707" t="s">
        <v>63</v>
      </c>
    </row>
    <row r="92">
      <c r="A92" s="609" t="s">
        <v>749</v>
      </c>
      <c r="B92" s="610">
        <f t="array" ref="B92">VLOOKUP($A92,IL_DEMO,2,FALSE)</f>
        <v>131343</v>
      </c>
      <c r="C92" s="611">
        <f>VLOOKUP($A92,'IL Data'!$A$3:$F$113,2,FALSE)</f>
        <v>444</v>
      </c>
      <c r="D92" s="612" t="s">
        <v>63</v>
      </c>
      <c r="E92" s="612">
        <f>VLOOKUP($A92,'IL Data'!$A$3:$F$113,3,FALSE)</f>
        <v>175</v>
      </c>
      <c r="F92" s="612">
        <f>VLOOKUP($A92,'IL Data'!$A$3:$F$113,4,FALSE)</f>
        <v>267</v>
      </c>
      <c r="G92" s="612" t="s">
        <v>63</v>
      </c>
      <c r="H92" s="671">
        <f>vlookup(A92,'IL Data'!$A$122:$B$227,2,FALSE)</f>
        <v>228</v>
      </c>
      <c r="I92" s="614">
        <f>iferror(vlookup(A92,'IL Data'!$A$232:$B$330,2,FALSE),"NULL")</f>
        <v>44</v>
      </c>
      <c r="J92" s="615" t="s">
        <v>63</v>
      </c>
      <c r="K92" s="672" t="s">
        <v>63</v>
      </c>
      <c r="L92" s="671">
        <f>vlookup(A92,'IL Data'!$A$335:$B$439,2,FALSE)</f>
        <v>73</v>
      </c>
      <c r="M92" s="614" t="s">
        <v>63</v>
      </c>
      <c r="N92" s="612" t="s">
        <v>63</v>
      </c>
      <c r="O92" s="612" t="s">
        <v>63</v>
      </c>
      <c r="P92" s="620">
        <f>ifna(vlookup(A92,'Population &amp; Church Numbers'!$A$598:$D$699,4,FALSE),"NULL")</f>
        <v>132</v>
      </c>
      <c r="Q92" s="707" t="s">
        <v>63</v>
      </c>
    </row>
    <row r="93">
      <c r="A93" s="609" t="s">
        <v>316</v>
      </c>
      <c r="B93" s="610">
        <f t="array" ref="B93">VLOOKUP($A93,IL_DEMO,2,FALSE)</f>
        <v>17244</v>
      </c>
      <c r="C93" s="611">
        <f>VLOOKUP($A93,'IL Data'!$A$3:$F$113,2,FALSE)</f>
        <v>63</v>
      </c>
      <c r="D93" s="612" t="s">
        <v>63</v>
      </c>
      <c r="E93" s="612">
        <f>VLOOKUP($A93,'IL Data'!$A$3:$F$113,3,FALSE)</f>
        <v>14</v>
      </c>
      <c r="F93" s="612">
        <f>VLOOKUP($A93,'IL Data'!$A$3:$F$113,4,FALSE)</f>
        <v>48</v>
      </c>
      <c r="G93" s="612" t="s">
        <v>63</v>
      </c>
      <c r="H93" s="671">
        <f>vlookup(A93,'IL Data'!$A$122:$B$227,2,FALSE)</f>
        <v>19</v>
      </c>
      <c r="I93" s="614">
        <f>iferror(vlookup(A93,'IL Data'!$A$232:$B$330,2,FALSE),"NULL")</f>
        <v>7</v>
      </c>
      <c r="J93" s="615" t="s">
        <v>63</v>
      </c>
      <c r="K93" s="672" t="s">
        <v>63</v>
      </c>
      <c r="L93" s="671">
        <f>vlookup(A93,'IL Data'!$A$335:$B$439,2,FALSE)</f>
        <v>9</v>
      </c>
      <c r="M93" s="614" t="s">
        <v>63</v>
      </c>
      <c r="N93" s="612" t="s">
        <v>63</v>
      </c>
      <c r="O93" s="612" t="s">
        <v>63</v>
      </c>
      <c r="P93" s="620">
        <f>ifna(vlookup(A93,'Population &amp; Church Numbers'!$A$598:$D$699,4,FALSE),"NULL")</f>
        <v>31</v>
      </c>
      <c r="Q93" s="707" t="s">
        <v>63</v>
      </c>
    </row>
    <row r="94">
      <c r="A94" s="609" t="s">
        <v>750</v>
      </c>
      <c r="B94" s="610">
        <f t="array" ref="B94">VLOOKUP($A94,IL_DEMO,2,FALSE)</f>
        <v>74188</v>
      </c>
      <c r="C94" s="611">
        <f>VLOOKUP($A94,'IL Data'!$A$3:$F$113,2,FALSE)</f>
        <v>297</v>
      </c>
      <c r="D94" s="612" t="s">
        <v>63</v>
      </c>
      <c r="E94" s="612">
        <f>VLOOKUP($A94,'IL Data'!$A$3:$F$113,3,FALSE)</f>
        <v>101</v>
      </c>
      <c r="F94" s="612">
        <f>VLOOKUP($A94,'IL Data'!$A$3:$F$113,4,FALSE)</f>
        <v>190</v>
      </c>
      <c r="G94" s="612" t="s">
        <v>63</v>
      </c>
      <c r="H94" s="671">
        <f>vlookup(A94,'IL Data'!$A$122:$B$227,2,FALSE)</f>
        <v>76</v>
      </c>
      <c r="I94" s="614">
        <f>iferror(vlookup(A94,'IL Data'!$A$232:$B$330,2,FALSE),"NULL")</f>
        <v>27</v>
      </c>
      <c r="J94" s="615" t="s">
        <v>63</v>
      </c>
      <c r="K94" s="672" t="s">
        <v>63</v>
      </c>
      <c r="L94" s="671">
        <f>vlookup(A94,'IL Data'!$A$335:$B$439,2,FALSE)</f>
        <v>44</v>
      </c>
      <c r="M94" s="614" t="s">
        <v>63</v>
      </c>
      <c r="N94" s="612" t="s">
        <v>63</v>
      </c>
      <c r="O94" s="612" t="s">
        <v>63</v>
      </c>
      <c r="P94" s="620">
        <f>ifna(vlookup(A94,'Population &amp; Church Numbers'!$A$598:$D$699,4,FALSE),"NULL")</f>
        <v>104</v>
      </c>
      <c r="Q94" s="707" t="s">
        <v>63</v>
      </c>
    </row>
    <row r="95">
      <c r="A95" s="609" t="s">
        <v>751</v>
      </c>
      <c r="B95" s="610">
        <f t="array" ref="B95">VLOOKUP($A95,IL_DEMO,2,FALSE)</f>
        <v>11361</v>
      </c>
      <c r="C95" s="611">
        <f>VLOOKUP($A95,'IL Data'!$A$3:$F$113,2,FALSE)</f>
        <v>23</v>
      </c>
      <c r="D95" s="612" t="s">
        <v>63</v>
      </c>
      <c r="E95" s="612">
        <f>VLOOKUP($A95,'IL Data'!$A$3:$F$113,3,FALSE)</f>
        <v>13</v>
      </c>
      <c r="F95" s="612">
        <f>VLOOKUP($A95,'IL Data'!$A$3:$F$113,4,FALSE)</f>
        <v>10</v>
      </c>
      <c r="G95" s="612" t="s">
        <v>63</v>
      </c>
      <c r="H95" s="671">
        <f>vlookup(A95,'IL Data'!$A$122:$B$227,2,FALSE)</f>
        <v>5</v>
      </c>
      <c r="I95" s="614">
        <f>iferror(vlookup(A95,'IL Data'!$A$232:$B$330,2,FALSE),"NULL")</f>
        <v>2</v>
      </c>
      <c r="J95" s="615" t="s">
        <v>63</v>
      </c>
      <c r="K95" s="672" t="s">
        <v>63</v>
      </c>
      <c r="L95" s="671">
        <f>vlookup(A95,'IL Data'!$A$335:$B$439,2,FALSE)</f>
        <v>5</v>
      </c>
      <c r="M95" s="614" t="s">
        <v>63</v>
      </c>
      <c r="N95" s="612" t="s">
        <v>63</v>
      </c>
      <c r="O95" s="612" t="s">
        <v>63</v>
      </c>
      <c r="P95" s="620">
        <f>ifna(vlookup(A95,'Population &amp; Church Numbers'!$A$598:$D$699,4,FALSE),"NULL")</f>
        <v>26</v>
      </c>
      <c r="Q95" s="707" t="s">
        <v>63</v>
      </c>
    </row>
    <row r="96">
      <c r="A96" s="609" t="s">
        <v>647</v>
      </c>
      <c r="B96" s="610">
        <f t="array" ref="B96">VLOOKUP($A96,IL_DEMO,2,FALSE)</f>
        <v>16835</v>
      </c>
      <c r="C96" s="611">
        <f>VLOOKUP($A96,'IL Data'!$A$3:$F$113,2,FALSE)</f>
        <v>40</v>
      </c>
      <c r="D96" s="612" t="s">
        <v>63</v>
      </c>
      <c r="E96" s="612">
        <f>VLOOKUP($A96,'IL Data'!$A$3:$F$113,3,FALSE)</f>
        <v>17</v>
      </c>
      <c r="F96" s="612">
        <f>VLOOKUP($A96,'IL Data'!$A$3:$F$113,4,FALSE)</f>
        <v>23</v>
      </c>
      <c r="G96" s="612" t="s">
        <v>63</v>
      </c>
      <c r="H96" s="671">
        <f>vlookup(A96,'IL Data'!$A$122:$B$227,2,FALSE)</f>
        <v>15</v>
      </c>
      <c r="I96" s="614">
        <f>iferror(vlookup(A96,'IL Data'!$A$232:$B$330,2,FALSE),"NULL")</f>
        <v>4</v>
      </c>
      <c r="J96" s="615" t="s">
        <v>63</v>
      </c>
      <c r="K96" s="672" t="s">
        <v>63</v>
      </c>
      <c r="L96" s="671">
        <f>vlookup(A96,'IL Data'!$A$335:$B$439,2,FALSE)</f>
        <v>18</v>
      </c>
      <c r="M96" s="614" t="s">
        <v>63</v>
      </c>
      <c r="N96" s="612" t="s">
        <v>63</v>
      </c>
      <c r="O96" s="612" t="s">
        <v>63</v>
      </c>
      <c r="P96" s="620">
        <f>ifna(vlookup(A96,'Population &amp; Church Numbers'!$A$598:$D$699,4,FALSE),"NULL")</f>
        <v>25</v>
      </c>
      <c r="Q96" s="707" t="s">
        <v>63</v>
      </c>
    </row>
    <row r="97">
      <c r="A97" s="609" t="s">
        <v>119</v>
      </c>
      <c r="B97" s="610">
        <f t="array" ref="B97">VLOOKUP($A97,IL_DEMO,2,FALSE)</f>
        <v>13761</v>
      </c>
      <c r="C97" s="611">
        <f>VLOOKUP($A97,'IL Data'!$A$3:$F$113,2,FALSE)</f>
        <v>68</v>
      </c>
      <c r="D97" s="612" t="s">
        <v>63</v>
      </c>
      <c r="E97" s="612">
        <f>VLOOKUP($A97,'IL Data'!$A$3:$F$113,3,FALSE)</f>
        <v>43</v>
      </c>
      <c r="F97" s="612">
        <f>VLOOKUP($A97,'IL Data'!$A$3:$F$113,4,FALSE)</f>
        <v>25</v>
      </c>
      <c r="G97" s="612" t="s">
        <v>63</v>
      </c>
      <c r="H97" s="671">
        <f>vlookup(A97,'IL Data'!$A$122:$B$227,2,FALSE)</f>
        <v>17</v>
      </c>
      <c r="I97" s="614">
        <f>iferror(vlookup(A97,'IL Data'!$A$232:$B$330,2,FALSE),"NULL")</f>
        <v>2</v>
      </c>
      <c r="J97" s="615" t="s">
        <v>63</v>
      </c>
      <c r="K97" s="672" t="s">
        <v>63</v>
      </c>
      <c r="L97" s="671">
        <f>vlookup(A97,'IL Data'!$A$335:$B$439,2,FALSE)</f>
        <v>8</v>
      </c>
      <c r="M97" s="614" t="s">
        <v>63</v>
      </c>
      <c r="N97" s="612" t="s">
        <v>63</v>
      </c>
      <c r="O97" s="612" t="s">
        <v>63</v>
      </c>
      <c r="P97" s="620">
        <f>ifna(vlookup(A97,'Population &amp; Church Numbers'!$A$598:$D$699,4,FALSE),"NULL")</f>
        <v>30</v>
      </c>
      <c r="Q97" s="707" t="s">
        <v>63</v>
      </c>
    </row>
    <row r="98">
      <c r="A98" s="609" t="s">
        <v>273</v>
      </c>
      <c r="B98" s="610">
        <f t="array" ref="B98">VLOOKUP($A98,IL_DEMO,2,FALSE)</f>
        <v>16179</v>
      </c>
      <c r="C98" s="611">
        <f>VLOOKUP($A98,'IL Data'!$A$3:$F$113,2,FALSE)</f>
        <v>65</v>
      </c>
      <c r="D98" s="612" t="s">
        <v>63</v>
      </c>
      <c r="E98" s="612">
        <f>VLOOKUP($A98,'IL Data'!$A$3:$F$113,3,FALSE)</f>
        <v>20</v>
      </c>
      <c r="F98" s="612">
        <f>VLOOKUP($A98,'IL Data'!$A$3:$F$113,4,FALSE)</f>
        <v>45</v>
      </c>
      <c r="G98" s="612" t="s">
        <v>63</v>
      </c>
      <c r="H98" s="671">
        <f>vlookup(A98,'IL Data'!$A$122:$B$227,2,FALSE)</f>
        <v>36</v>
      </c>
      <c r="I98" s="614">
        <f>iferror(vlookup(A98,'IL Data'!$A$232:$B$330,2,FALSE),"NULL")</f>
        <v>9</v>
      </c>
      <c r="J98" s="615" t="s">
        <v>63</v>
      </c>
      <c r="K98" s="672" t="s">
        <v>63</v>
      </c>
      <c r="L98" s="671">
        <f>vlookup(A98,'IL Data'!$A$335:$B$439,2,FALSE)</f>
        <v>12</v>
      </c>
      <c r="M98" s="614" t="s">
        <v>63</v>
      </c>
      <c r="N98" s="612" t="s">
        <v>63</v>
      </c>
      <c r="O98" s="612" t="s">
        <v>63</v>
      </c>
      <c r="P98" s="620">
        <f>ifna(vlookup(A98,'Population &amp; Church Numbers'!$A$598:$D$699,4,FALSE),"NULL")</f>
        <v>28</v>
      </c>
      <c r="Q98" s="707" t="s">
        <v>63</v>
      </c>
    </row>
    <row r="99">
      <c r="A99" s="609" t="s">
        <v>66</v>
      </c>
      <c r="B99" s="610">
        <f t="array" ref="B99">VLOOKUP($A99,IL_DEMO,2,FALSE)</f>
        <v>13877</v>
      </c>
      <c r="C99" s="611">
        <f>VLOOKUP($A99,'IL Data'!$A$3:$F$113,2,FALSE)</f>
        <v>36</v>
      </c>
      <c r="D99" s="612" t="s">
        <v>63</v>
      </c>
      <c r="E99" s="612">
        <f>VLOOKUP($A99,'IL Data'!$A$3:$F$113,3,FALSE)</f>
        <v>14</v>
      </c>
      <c r="F99" s="612">
        <f>VLOOKUP($A99,'IL Data'!$A$3:$F$113,4,FALSE)</f>
        <v>22</v>
      </c>
      <c r="G99" s="612" t="s">
        <v>63</v>
      </c>
      <c r="H99" s="671">
        <f>vlookup(A99,'IL Data'!$A$122:$B$227,2,FALSE)</f>
        <v>16</v>
      </c>
      <c r="I99" s="614">
        <f>iferror(vlookup(A99,'IL Data'!$A$232:$B$330,2,FALSE),"NULL")</f>
        <v>7</v>
      </c>
      <c r="J99" s="615" t="s">
        <v>63</v>
      </c>
      <c r="K99" s="672" t="s">
        <v>63</v>
      </c>
      <c r="L99" s="671">
        <f>vlookup(A99,'IL Data'!$A$335:$B$439,2,FALSE)</f>
        <v>10</v>
      </c>
      <c r="M99" s="614" t="s">
        <v>63</v>
      </c>
      <c r="N99" s="612" t="s">
        <v>63</v>
      </c>
      <c r="O99" s="612" t="s">
        <v>63</v>
      </c>
      <c r="P99" s="620">
        <f>ifna(vlookup(A99,'Population &amp; Church Numbers'!$A$598:$D$699,4,FALSE),"NULL")</f>
        <v>30</v>
      </c>
      <c r="Q99" s="707" t="s">
        <v>63</v>
      </c>
    </row>
    <row r="100">
      <c r="A100" s="609" t="s">
        <v>752</v>
      </c>
      <c r="B100" s="610">
        <f t="array" ref="B100">VLOOKUP($A100,IL_DEMO,2,FALSE)</f>
        <v>55691</v>
      </c>
      <c r="C100" s="611">
        <f>VLOOKUP($A100,'IL Data'!$A$3:$F$113,2,FALSE)</f>
        <v>96</v>
      </c>
      <c r="D100" s="612" t="s">
        <v>63</v>
      </c>
      <c r="E100" s="612">
        <f>VLOOKUP($A100,'IL Data'!$A$3:$F$113,3,FALSE)</f>
        <v>35</v>
      </c>
      <c r="F100" s="612">
        <f>VLOOKUP($A100,'IL Data'!$A$3:$F$113,4,FALSE)</f>
        <v>60</v>
      </c>
      <c r="G100" s="612" t="s">
        <v>63</v>
      </c>
      <c r="H100" s="671">
        <f>vlookup(A100,'IL Data'!$A$122:$B$227,2,FALSE)</f>
        <v>29</v>
      </c>
      <c r="I100" s="614">
        <f>iferror(vlookup(A100,'IL Data'!$A$232:$B$330,2,FALSE),"NULL")</f>
        <v>7</v>
      </c>
      <c r="J100" s="615" t="s">
        <v>63</v>
      </c>
      <c r="K100" s="672" t="s">
        <v>63</v>
      </c>
      <c r="L100" s="671">
        <f>vlookup(A100,'IL Data'!$A$335:$B$439,2,FALSE)</f>
        <v>26</v>
      </c>
      <c r="M100" s="614" t="s">
        <v>63</v>
      </c>
      <c r="N100" s="612" t="s">
        <v>63</v>
      </c>
      <c r="O100" s="612" t="s">
        <v>63</v>
      </c>
      <c r="P100" s="620">
        <f>ifna(vlookup(A100,'Population &amp; Church Numbers'!$A$598:$D$699,4,FALSE),"NULL")</f>
        <v>74</v>
      </c>
      <c r="Q100" s="707" t="s">
        <v>63</v>
      </c>
    </row>
    <row r="101">
      <c r="A101" s="609" t="s">
        <v>573</v>
      </c>
      <c r="B101" s="610">
        <f t="array" ref="B101">VLOOKUP($A101,IL_DEMO,2,FALSE)</f>
        <v>696355</v>
      </c>
      <c r="C101" s="718">
        <f>VLOOKUP($A101,'IL Data'!$A$3:$F$113,2,FALSE)</f>
        <v>699</v>
      </c>
      <c r="D101" s="612" t="s">
        <v>63</v>
      </c>
      <c r="E101" s="612">
        <f>VLOOKUP($A101,'IL Data'!$A$3:$F$113,3,FALSE)</f>
        <v>361</v>
      </c>
      <c r="F101" s="612">
        <f>VLOOKUP($A101,'IL Data'!$A$3:$F$113,4,FALSE)</f>
        <v>310</v>
      </c>
      <c r="G101" s="612" t="s">
        <v>63</v>
      </c>
      <c r="H101" s="671">
        <f>vlookup(A101,'IL Data'!$A$122:$B$227,2,FALSE)</f>
        <v>360</v>
      </c>
      <c r="I101" s="614">
        <f>iferror(vlookup(A101,'IL Data'!$A$232:$B$330,2,FALSE),"NULL")</f>
        <v>49</v>
      </c>
      <c r="J101" s="615" t="s">
        <v>63</v>
      </c>
      <c r="K101" s="672" t="s">
        <v>63</v>
      </c>
      <c r="L101" s="671">
        <f>vlookup(A101,'IL Data'!$A$335:$B$439,2,FALSE)</f>
        <v>122</v>
      </c>
      <c r="M101" s="614" t="s">
        <v>63</v>
      </c>
      <c r="N101" s="612" t="s">
        <v>63</v>
      </c>
      <c r="O101" s="612" t="s">
        <v>63</v>
      </c>
      <c r="P101" s="620">
        <f>ifna(vlookup(A101,'Population &amp; Church Numbers'!$A$598:$D$699,4,FALSE),"NULL")</f>
        <v>266</v>
      </c>
      <c r="Q101" s="707" t="s">
        <v>63</v>
      </c>
    </row>
    <row r="102">
      <c r="A102" s="609" t="s">
        <v>627</v>
      </c>
      <c r="B102" s="610">
        <f t="array" ref="B102">VLOOKUP($A102,IL_DEMO,2,FALSE)</f>
        <v>67153</v>
      </c>
      <c r="C102" s="611">
        <f>VLOOKUP($A102,'IL Data'!$A$3:$F$113,2,FALSE)</f>
        <v>158</v>
      </c>
      <c r="D102" s="612" t="s">
        <v>63</v>
      </c>
      <c r="E102" s="612">
        <f>VLOOKUP($A102,'IL Data'!$A$3:$F$113,3,FALSE)</f>
        <v>57</v>
      </c>
      <c r="F102" s="612">
        <f>VLOOKUP($A102,'IL Data'!$A$3:$F$113,4,FALSE)</f>
        <v>100</v>
      </c>
      <c r="G102" s="612" t="s">
        <v>63</v>
      </c>
      <c r="H102" s="671">
        <f>vlookup(A102,'IL Data'!$A$122:$B$227,2,FALSE)</f>
        <v>65</v>
      </c>
      <c r="I102" s="614">
        <f>iferror(vlookup(A102,'IL Data'!$A$232:$B$330,2,FALSE),"NULL")</f>
        <v>17</v>
      </c>
      <c r="J102" s="615" t="s">
        <v>63</v>
      </c>
      <c r="K102" s="672" t="s">
        <v>63</v>
      </c>
      <c r="L102" s="671">
        <f>vlookup(A102,'IL Data'!$A$335:$B$439,2,FALSE)</f>
        <v>40</v>
      </c>
      <c r="M102" s="614" t="s">
        <v>63</v>
      </c>
      <c r="N102" s="612" t="s">
        <v>63</v>
      </c>
      <c r="O102" s="612" t="s">
        <v>63</v>
      </c>
      <c r="P102" s="620">
        <f>ifna(vlookup(A102,'Population &amp; Church Numbers'!$A$598:$D$699,4,FALSE),"NULL")</f>
        <v>88</v>
      </c>
      <c r="Q102" s="707" t="s">
        <v>63</v>
      </c>
    </row>
    <row r="103">
      <c r="A103" s="609" t="s">
        <v>753</v>
      </c>
      <c r="B103" s="610">
        <f t="array" ref="B103">VLOOKUP($A103,IL_DEMO,2,FALSE)</f>
        <v>285350</v>
      </c>
      <c r="C103" s="611">
        <f>VLOOKUP($A103,'IL Data'!$A$3:$F$113,2,FALSE)</f>
        <v>468</v>
      </c>
      <c r="D103" s="612" t="s">
        <v>63</v>
      </c>
      <c r="E103" s="612">
        <f>VLOOKUP($A103,'IL Data'!$A$3:$F$113,3,FALSE)</f>
        <v>157</v>
      </c>
      <c r="F103" s="612">
        <f>VLOOKUP($A103,'IL Data'!$A$3:$F$113,4,FALSE)</f>
        <v>290</v>
      </c>
      <c r="G103" s="612" t="s">
        <v>63</v>
      </c>
      <c r="H103" s="671">
        <f>vlookup(A103,'IL Data'!$A$122:$B$227,2,FALSE)</f>
        <v>193</v>
      </c>
      <c r="I103" s="614">
        <f>iferror(vlookup(A103,'IL Data'!$A$232:$B$330,2,FALSE),"NULL")</f>
        <v>22</v>
      </c>
      <c r="J103" s="615" t="s">
        <v>63</v>
      </c>
      <c r="K103" s="672" t="s">
        <v>63</v>
      </c>
      <c r="L103" s="671">
        <f>vlookup(A103,'IL Data'!$A$335:$B$439,2,FALSE)</f>
        <v>160</v>
      </c>
      <c r="M103" s="614" t="s">
        <v>63</v>
      </c>
      <c r="N103" s="612" t="s">
        <v>63</v>
      </c>
      <c r="O103" s="612" t="s">
        <v>63</v>
      </c>
      <c r="P103" s="620">
        <f>ifna(vlookup(A103,'Population &amp; Church Numbers'!$A$598:$D$699,4,FALSE),"NULL")</f>
        <v>218</v>
      </c>
      <c r="Q103" s="707" t="s">
        <v>63</v>
      </c>
    </row>
    <row r="104">
      <c r="A104" s="609" t="s">
        <v>754</v>
      </c>
      <c r="B104" s="610">
        <f t="array" ref="B104">VLOOKUP($A104,IL_DEMO,2,FALSE)</f>
        <v>38467</v>
      </c>
      <c r="C104" s="611">
        <f>VLOOKUP($A104,'IL Data'!$A$3:$F$113,2,FALSE)</f>
        <v>103</v>
      </c>
      <c r="D104" s="612" t="s">
        <v>63</v>
      </c>
      <c r="E104" s="612">
        <f>VLOOKUP($A104,'IL Data'!$A$3:$F$113,3,FALSE)</f>
        <v>46</v>
      </c>
      <c r="F104" s="612">
        <f>VLOOKUP($A104,'IL Data'!$A$3:$F$113,4,FALSE)</f>
        <v>56</v>
      </c>
      <c r="G104" s="612" t="s">
        <v>63</v>
      </c>
      <c r="H104" s="671">
        <f>vlookup(A104,'IL Data'!$A$122:$B$227,2,FALSE)</f>
        <v>54</v>
      </c>
      <c r="I104" s="614">
        <f>iferror(vlookup(A104,'IL Data'!$A$232:$B$330,2,FALSE),"NULL")</f>
        <v>7</v>
      </c>
      <c r="J104" s="615" t="s">
        <v>63</v>
      </c>
      <c r="K104" s="672" t="s">
        <v>63</v>
      </c>
      <c r="L104" s="671">
        <f>vlookup(A104,'IL Data'!$A$335:$B$439,2,FALSE)</f>
        <v>17</v>
      </c>
      <c r="M104" s="614" t="s">
        <v>63</v>
      </c>
      <c r="N104" s="612" t="s">
        <v>63</v>
      </c>
      <c r="O104" s="612" t="s">
        <v>63</v>
      </c>
      <c r="P104" s="620">
        <f>ifna(vlookup(A104,'Population &amp; Church Numbers'!$A$598:$D$699,4,FALSE),"NULL")</f>
        <v>47</v>
      </c>
      <c r="Q104" s="707" t="s">
        <v>63</v>
      </c>
    </row>
    <row r="105">
      <c r="A105" s="217"/>
      <c r="B105" s="218"/>
      <c r="C105" s="219"/>
      <c r="D105" s="220"/>
      <c r="E105" s="220"/>
      <c r="F105" s="220"/>
      <c r="G105" s="220"/>
      <c r="H105" s="221"/>
      <c r="I105" s="222"/>
      <c r="J105" s="223"/>
      <c r="K105" s="219"/>
      <c r="L105" s="224"/>
      <c r="M105" s="225"/>
      <c r="N105" s="226"/>
      <c r="O105" s="220"/>
      <c r="P105" s="221"/>
      <c r="Q105" s="295"/>
    </row>
    <row r="106">
      <c r="A106" s="228" t="s">
        <v>2</v>
      </c>
      <c r="B106" s="229"/>
      <c r="C106" s="230">
        <f>'IL Data'!B113</f>
        <v>19272</v>
      </c>
      <c r="D106" s="311" t="s">
        <v>63</v>
      </c>
      <c r="E106" s="465">
        <f>'IL Data'!C113</f>
        <v>7837</v>
      </c>
      <c r="F106" s="465">
        <f>'IL Data'!D113</f>
        <v>10283</v>
      </c>
      <c r="G106" s="311" t="s">
        <v>63</v>
      </c>
      <c r="H106" s="233">
        <f>'IL Data'!B227</f>
        <v>7880</v>
      </c>
      <c r="I106" s="234">
        <f>'IL Data'!B330</f>
        <v>1666</v>
      </c>
      <c r="J106" s="305" t="s">
        <v>63</v>
      </c>
      <c r="K106" s="708" t="s">
        <v>63</v>
      </c>
      <c r="L106" s="359">
        <f>'IL Data'!B439</f>
        <v>4069</v>
      </c>
      <c r="M106" s="237" t="s">
        <v>63</v>
      </c>
      <c r="N106" s="238" t="s">
        <v>63</v>
      </c>
      <c r="O106" s="231" t="s">
        <v>63</v>
      </c>
      <c r="P106" s="233">
        <f>SUM(P3:P104)</f>
        <v>8878</v>
      </c>
      <c r="Q106" s="313" t="s">
        <v>63</v>
      </c>
    </row>
  </sheetData>
  <mergeCells count="1">
    <mergeCell ref="B1:Q1"/>
  </mergeCells>
  <drawing r:id="rId1"/>
  <tableParts count="1">
    <tablePart r:id="rId3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9" max="9" width="13.75"/>
    <col customWidth="1" min="11" max="11" width="16.0"/>
  </cols>
  <sheetData>
    <row r="1">
      <c r="A1" s="196" t="s">
        <v>1040</v>
      </c>
      <c r="B1" s="197"/>
      <c r="C1" s="197"/>
      <c r="D1" s="197"/>
      <c r="E1" s="198" t="s">
        <v>765</v>
      </c>
      <c r="F1" s="198" t="s">
        <v>2512</v>
      </c>
      <c r="G1" s="197"/>
      <c r="H1" s="197"/>
      <c r="I1" s="198" t="s">
        <v>767</v>
      </c>
      <c r="J1" s="625">
        <v>45440.0</v>
      </c>
      <c r="K1" s="198" t="s">
        <v>769</v>
      </c>
      <c r="L1" s="625">
        <v>45412.0</v>
      </c>
      <c r="M1" s="589"/>
    </row>
    <row r="2">
      <c r="A2" s="709"/>
    </row>
    <row r="3">
      <c r="A3" s="710" t="s">
        <v>172</v>
      </c>
      <c r="B3" s="711" t="s">
        <v>923</v>
      </c>
      <c r="C3" s="712" t="s">
        <v>1651</v>
      </c>
      <c r="D3" s="712" t="s">
        <v>1724</v>
      </c>
      <c r="E3" s="712" t="s">
        <v>2513</v>
      </c>
      <c r="F3" s="348" t="s">
        <v>1715</v>
      </c>
    </row>
    <row r="4">
      <c r="A4" s="713" t="s">
        <v>386</v>
      </c>
      <c r="B4" s="714">
        <v>218.0</v>
      </c>
      <c r="C4" s="714">
        <v>78.0</v>
      </c>
      <c r="D4" s="714">
        <v>125.0</v>
      </c>
      <c r="E4" s="714">
        <v>9.0</v>
      </c>
      <c r="F4" s="354">
        <v>6.0</v>
      </c>
    </row>
    <row r="5">
      <c r="A5" s="713" t="s">
        <v>704</v>
      </c>
      <c r="B5" s="714">
        <v>24.0</v>
      </c>
      <c r="C5" s="714">
        <v>2.0</v>
      </c>
      <c r="D5" s="714">
        <v>22.0</v>
      </c>
      <c r="E5" s="714">
        <v>0.0</v>
      </c>
      <c r="F5" s="354">
        <v>0.0</v>
      </c>
    </row>
    <row r="6">
      <c r="A6" s="713" t="s">
        <v>705</v>
      </c>
      <c r="B6" s="714">
        <v>57.0</v>
      </c>
      <c r="C6" s="714">
        <v>25.0</v>
      </c>
      <c r="D6" s="714">
        <v>32.0</v>
      </c>
      <c r="E6" s="714">
        <v>0.0</v>
      </c>
      <c r="F6" s="354">
        <v>0.0</v>
      </c>
    </row>
    <row r="7">
      <c r="A7" s="713" t="s">
        <v>246</v>
      </c>
      <c r="B7" s="714">
        <v>51.0</v>
      </c>
      <c r="C7" s="714">
        <v>20.0</v>
      </c>
      <c r="D7" s="714">
        <v>28.0</v>
      </c>
      <c r="E7" s="714">
        <v>0.0</v>
      </c>
      <c r="F7" s="354">
        <v>3.0</v>
      </c>
    </row>
    <row r="8">
      <c r="A8" s="713" t="s">
        <v>706</v>
      </c>
      <c r="B8" s="714">
        <v>18.0</v>
      </c>
      <c r="C8" s="714">
        <v>12.0</v>
      </c>
      <c r="D8" s="714">
        <v>5.0</v>
      </c>
      <c r="E8" s="714">
        <v>1.0</v>
      </c>
      <c r="F8" s="354">
        <v>0.0</v>
      </c>
    </row>
    <row r="9">
      <c r="A9" s="713" t="s">
        <v>707</v>
      </c>
      <c r="B9" s="714">
        <v>59.0</v>
      </c>
      <c r="C9" s="714">
        <v>22.0</v>
      </c>
      <c r="D9" s="714">
        <v>37.0</v>
      </c>
      <c r="E9" s="714">
        <v>0.0</v>
      </c>
      <c r="F9" s="354">
        <v>0.0</v>
      </c>
    </row>
    <row r="10">
      <c r="A10" s="713" t="s">
        <v>93</v>
      </c>
      <c r="B10" s="714">
        <v>11.0</v>
      </c>
      <c r="C10" s="714">
        <v>1.0</v>
      </c>
      <c r="D10" s="714">
        <v>10.0</v>
      </c>
      <c r="E10" s="714">
        <v>0.0</v>
      </c>
      <c r="F10" s="354">
        <v>0.0</v>
      </c>
    </row>
    <row r="11">
      <c r="A11" s="713" t="s">
        <v>248</v>
      </c>
      <c r="B11" s="714">
        <v>24.0</v>
      </c>
      <c r="C11" s="714">
        <v>6.0</v>
      </c>
      <c r="D11" s="714">
        <v>18.0</v>
      </c>
      <c r="E11" s="714">
        <v>0.0</v>
      </c>
      <c r="F11" s="354">
        <v>0.0</v>
      </c>
    </row>
    <row r="12">
      <c r="A12" s="713" t="s">
        <v>708</v>
      </c>
      <c r="B12" s="714">
        <v>21.0</v>
      </c>
      <c r="C12" s="714">
        <v>7.0</v>
      </c>
      <c r="D12" s="714">
        <v>14.0</v>
      </c>
      <c r="E12" s="714">
        <v>0.0</v>
      </c>
      <c r="F12" s="354">
        <v>0.0</v>
      </c>
    </row>
    <row r="13">
      <c r="A13" s="713" t="s">
        <v>709</v>
      </c>
      <c r="B13" s="714">
        <v>489.0</v>
      </c>
      <c r="C13" s="714">
        <v>225.0</v>
      </c>
      <c r="D13" s="714">
        <v>213.0</v>
      </c>
      <c r="E13" s="714">
        <v>23.0</v>
      </c>
      <c r="F13" s="354">
        <v>28.0</v>
      </c>
    </row>
    <row r="14">
      <c r="A14" s="713" t="s">
        <v>710</v>
      </c>
      <c r="B14" s="714">
        <v>137.0</v>
      </c>
      <c r="C14" s="714">
        <v>47.0</v>
      </c>
      <c r="D14" s="714">
        <v>87.0</v>
      </c>
      <c r="E14" s="714">
        <v>2.0</v>
      </c>
      <c r="F14" s="354">
        <v>1.0</v>
      </c>
    </row>
    <row r="15">
      <c r="A15" s="713" t="s">
        <v>2514</v>
      </c>
      <c r="B15" s="715">
        <v>2557.0</v>
      </c>
      <c r="C15" s="715">
        <v>1057.0</v>
      </c>
      <c r="D15" s="715">
        <v>1173.0</v>
      </c>
      <c r="E15" s="714">
        <v>118.0</v>
      </c>
      <c r="F15" s="354">
        <v>209.0</v>
      </c>
    </row>
    <row r="16">
      <c r="A16" s="713" t="s">
        <v>253</v>
      </c>
      <c r="B16" s="714">
        <v>38.0</v>
      </c>
      <c r="C16" s="714">
        <v>15.0</v>
      </c>
      <c r="D16" s="714">
        <v>23.0</v>
      </c>
      <c r="E16" s="714">
        <v>0.0</v>
      </c>
      <c r="F16" s="354">
        <v>0.0</v>
      </c>
    </row>
    <row r="17">
      <c r="A17" s="713" t="s">
        <v>112</v>
      </c>
      <c r="B17" s="714">
        <v>52.0</v>
      </c>
      <c r="C17" s="714">
        <v>17.0</v>
      </c>
      <c r="D17" s="714">
        <v>35.0</v>
      </c>
      <c r="E17" s="714">
        <v>0.0</v>
      </c>
      <c r="F17" s="354">
        <v>0.0</v>
      </c>
    </row>
    <row r="18">
      <c r="A18" s="713" t="s">
        <v>711</v>
      </c>
      <c r="B18" s="715">
        <v>67.0</v>
      </c>
      <c r="C18" s="714">
        <v>28.0</v>
      </c>
      <c r="D18" s="714">
        <v>38.0</v>
      </c>
      <c r="E18" s="714">
        <v>0.0</v>
      </c>
      <c r="F18" s="354">
        <v>1.0</v>
      </c>
    </row>
    <row r="19">
      <c r="A19" s="348" t="s">
        <v>712</v>
      </c>
      <c r="B19" s="716">
        <v>138.0</v>
      </c>
      <c r="C19" s="717">
        <v>63.0</v>
      </c>
      <c r="D19" s="717">
        <v>75.0</v>
      </c>
      <c r="E19" s="717">
        <v>0.0</v>
      </c>
      <c r="F19" s="354">
        <v>0.0</v>
      </c>
    </row>
    <row r="20">
      <c r="A20" s="348" t="s">
        <v>202</v>
      </c>
      <c r="B20" s="717">
        <v>2458.0</v>
      </c>
      <c r="C20" s="717">
        <v>1044.0</v>
      </c>
      <c r="D20" s="717">
        <v>1191.0</v>
      </c>
      <c r="E20" s="717">
        <v>173.0</v>
      </c>
      <c r="F20" s="354">
        <v>50.0</v>
      </c>
    </row>
    <row r="21">
      <c r="A21" s="713" t="s">
        <v>263</v>
      </c>
      <c r="B21" s="715">
        <v>63.0</v>
      </c>
      <c r="C21" s="715">
        <v>20.0</v>
      </c>
      <c r="D21" s="715">
        <v>42.0</v>
      </c>
      <c r="E21" s="714">
        <v>1.0</v>
      </c>
      <c r="F21" s="354">
        <v>0.0</v>
      </c>
    </row>
    <row r="22">
      <c r="A22" s="713" t="s">
        <v>713</v>
      </c>
      <c r="B22" s="715">
        <v>44.0</v>
      </c>
      <c r="C22" s="714">
        <v>17.0</v>
      </c>
      <c r="D22" s="715">
        <v>27.0</v>
      </c>
      <c r="E22" s="714">
        <v>0.0</v>
      </c>
      <c r="F22" s="354">
        <v>0.0</v>
      </c>
    </row>
    <row r="23">
      <c r="A23" s="348" t="s">
        <v>131</v>
      </c>
      <c r="B23" s="715">
        <v>99.0</v>
      </c>
      <c r="C23" s="715">
        <v>51.0</v>
      </c>
      <c r="D23" s="715">
        <v>48.0</v>
      </c>
      <c r="E23" s="714">
        <v>0.0</v>
      </c>
      <c r="F23" s="354">
        <v>0.0</v>
      </c>
    </row>
    <row r="24">
      <c r="A24" s="348" t="s">
        <v>2055</v>
      </c>
      <c r="B24" s="717">
        <v>47.0</v>
      </c>
      <c r="C24" s="717">
        <v>19.0</v>
      </c>
      <c r="D24" s="717">
        <v>27.0</v>
      </c>
      <c r="E24" s="717">
        <v>0.0</v>
      </c>
      <c r="F24" s="354">
        <v>1.0</v>
      </c>
    </row>
    <row r="25">
      <c r="A25" s="713" t="s">
        <v>412</v>
      </c>
      <c r="B25" s="714">
        <v>56.0</v>
      </c>
      <c r="C25" s="714">
        <v>27.0</v>
      </c>
      <c r="D25" s="714">
        <v>29.0</v>
      </c>
      <c r="E25" s="714">
        <v>0.0</v>
      </c>
      <c r="F25" s="354">
        <v>0.0</v>
      </c>
    </row>
    <row r="26">
      <c r="A26" s="713" t="s">
        <v>456</v>
      </c>
      <c r="B26" s="714">
        <v>342.0</v>
      </c>
      <c r="C26" s="714">
        <v>158.0</v>
      </c>
      <c r="D26" s="714">
        <v>156.0</v>
      </c>
      <c r="E26" s="714">
        <v>23.0</v>
      </c>
      <c r="F26" s="354">
        <v>5.0</v>
      </c>
    </row>
    <row r="27">
      <c r="A27" s="713" t="s">
        <v>716</v>
      </c>
      <c r="B27" s="714">
        <v>53.0</v>
      </c>
      <c r="C27" s="714">
        <v>10.0</v>
      </c>
      <c r="D27" s="714">
        <v>43.0</v>
      </c>
      <c r="E27" s="714">
        <v>0.0</v>
      </c>
      <c r="F27" s="354">
        <v>0.0</v>
      </c>
    </row>
    <row r="28">
      <c r="A28" s="713" t="s">
        <v>717</v>
      </c>
      <c r="B28" s="714">
        <v>13.0</v>
      </c>
      <c r="C28" s="714">
        <v>4.0</v>
      </c>
      <c r="D28" s="714">
        <v>9.0</v>
      </c>
      <c r="E28" s="714">
        <v>0.0</v>
      </c>
      <c r="F28" s="354">
        <v>0.0</v>
      </c>
    </row>
    <row r="29">
      <c r="A29" s="713" t="s">
        <v>569</v>
      </c>
      <c r="B29" s="714">
        <v>89.0</v>
      </c>
      <c r="C29" s="714">
        <v>39.0</v>
      </c>
      <c r="D29" s="714">
        <v>49.0</v>
      </c>
      <c r="E29" s="714">
        <v>1.0</v>
      </c>
      <c r="F29" s="354">
        <v>0.0</v>
      </c>
    </row>
    <row r="30">
      <c r="A30" s="713" t="s">
        <v>135</v>
      </c>
      <c r="B30" s="714">
        <v>134.0</v>
      </c>
      <c r="C30" s="714">
        <v>53.0</v>
      </c>
      <c r="D30" s="714">
        <v>81.0</v>
      </c>
      <c r="E30" s="714">
        <v>0.0</v>
      </c>
      <c r="F30" s="354">
        <v>0.0</v>
      </c>
    </row>
    <row r="31">
      <c r="A31" s="713" t="s">
        <v>718</v>
      </c>
      <c r="B31" s="714">
        <v>33.0</v>
      </c>
      <c r="C31" s="714">
        <v>19.0</v>
      </c>
      <c r="D31" s="714">
        <v>14.0</v>
      </c>
      <c r="E31" s="714">
        <v>0.0</v>
      </c>
      <c r="F31" s="354">
        <v>0.0</v>
      </c>
    </row>
    <row r="32">
      <c r="A32" s="713" t="s">
        <v>136</v>
      </c>
      <c r="B32" s="714">
        <v>120.0</v>
      </c>
      <c r="C32" s="714">
        <v>34.0</v>
      </c>
      <c r="D32" s="714">
        <v>77.0</v>
      </c>
      <c r="E32" s="714">
        <v>0.0</v>
      </c>
      <c r="F32" s="354">
        <v>9.0</v>
      </c>
    </row>
    <row r="33">
      <c r="A33" s="713" t="s">
        <v>275</v>
      </c>
      <c r="B33" s="714">
        <v>119.0</v>
      </c>
      <c r="C33" s="714">
        <v>24.0</v>
      </c>
      <c r="D33" s="714">
        <v>82.0</v>
      </c>
      <c r="E33" s="714">
        <v>12.0</v>
      </c>
      <c r="F33" s="354">
        <v>1.0</v>
      </c>
    </row>
    <row r="34">
      <c r="A34" s="713" t="s">
        <v>719</v>
      </c>
      <c r="B34" s="714">
        <v>10.0</v>
      </c>
      <c r="C34" s="714">
        <v>2.0</v>
      </c>
      <c r="D34" s="714">
        <v>8.0</v>
      </c>
      <c r="E34" s="714">
        <v>0.0</v>
      </c>
      <c r="F34" s="354">
        <v>0.0</v>
      </c>
    </row>
    <row r="35">
      <c r="A35" s="713" t="s">
        <v>138</v>
      </c>
      <c r="B35" s="714">
        <v>66.0</v>
      </c>
      <c r="C35" s="714">
        <v>25.0</v>
      </c>
      <c r="D35" s="714">
        <v>39.0</v>
      </c>
      <c r="E35" s="714">
        <v>0.0</v>
      </c>
      <c r="F35" s="354">
        <v>2.0</v>
      </c>
    </row>
    <row r="36">
      <c r="A36" s="713" t="s">
        <v>720</v>
      </c>
      <c r="B36" s="714">
        <v>36.0</v>
      </c>
      <c r="C36" s="714">
        <v>21.0</v>
      </c>
      <c r="D36" s="714">
        <v>15.0</v>
      </c>
      <c r="E36" s="714">
        <v>0.0</v>
      </c>
      <c r="F36" s="354">
        <v>0.0</v>
      </c>
    </row>
    <row r="37">
      <c r="A37" s="713" t="s">
        <v>497</v>
      </c>
      <c r="B37" s="714">
        <v>19.0</v>
      </c>
      <c r="C37" s="714">
        <v>9.0</v>
      </c>
      <c r="D37" s="714">
        <v>10.0</v>
      </c>
      <c r="E37" s="714">
        <v>0.0</v>
      </c>
      <c r="F37" s="354">
        <v>0.0</v>
      </c>
    </row>
    <row r="38">
      <c r="A38" s="713" t="s">
        <v>587</v>
      </c>
      <c r="B38" s="714">
        <v>48.0</v>
      </c>
      <c r="C38" s="714">
        <v>19.0</v>
      </c>
      <c r="D38" s="714">
        <v>29.0</v>
      </c>
      <c r="E38" s="714">
        <v>0.0</v>
      </c>
      <c r="F38" s="354">
        <v>0.0</v>
      </c>
    </row>
    <row r="39">
      <c r="A39" s="713" t="s">
        <v>721</v>
      </c>
      <c r="B39" s="714">
        <v>5.0</v>
      </c>
      <c r="C39" s="714">
        <v>2.0</v>
      </c>
      <c r="D39" s="714">
        <v>3.0</v>
      </c>
      <c r="E39" s="714">
        <v>0.0</v>
      </c>
      <c r="F39" s="354">
        <v>0.0</v>
      </c>
    </row>
    <row r="40">
      <c r="A40" s="713" t="s">
        <v>722</v>
      </c>
      <c r="B40" s="714">
        <v>18.0</v>
      </c>
      <c r="C40" s="714">
        <v>7.0</v>
      </c>
      <c r="D40" s="714">
        <v>11.0</v>
      </c>
      <c r="E40" s="714">
        <v>0.0</v>
      </c>
      <c r="F40" s="354">
        <v>0.0</v>
      </c>
    </row>
    <row r="41">
      <c r="A41" s="713" t="s">
        <v>140</v>
      </c>
      <c r="B41" s="714">
        <v>100.0</v>
      </c>
      <c r="C41" s="714">
        <v>36.0</v>
      </c>
      <c r="D41" s="714">
        <v>64.0</v>
      </c>
      <c r="E41" s="714">
        <v>0.0</v>
      </c>
      <c r="F41" s="354">
        <v>0.0</v>
      </c>
    </row>
    <row r="42">
      <c r="A42" s="713" t="s">
        <v>723</v>
      </c>
      <c r="B42" s="714">
        <v>110.0</v>
      </c>
      <c r="C42" s="714">
        <v>57.0</v>
      </c>
      <c r="D42" s="714">
        <v>35.0</v>
      </c>
      <c r="E42" s="714">
        <v>8.0</v>
      </c>
      <c r="F42" s="354">
        <v>10.0</v>
      </c>
    </row>
    <row r="43">
      <c r="A43" s="713" t="s">
        <v>142</v>
      </c>
      <c r="B43" s="714">
        <v>153.0</v>
      </c>
      <c r="C43" s="714">
        <v>53.0</v>
      </c>
      <c r="D43" s="714">
        <v>98.0</v>
      </c>
      <c r="E43" s="714">
        <v>1.0</v>
      </c>
      <c r="F43" s="354">
        <v>1.0</v>
      </c>
    </row>
    <row r="44">
      <c r="A44" s="713" t="s">
        <v>593</v>
      </c>
      <c r="B44" s="714">
        <v>46.0</v>
      </c>
      <c r="C44" s="714">
        <v>17.0</v>
      </c>
      <c r="D44" s="714">
        <v>29.0</v>
      </c>
      <c r="E44" s="714">
        <v>0.0</v>
      </c>
      <c r="F44" s="354">
        <v>0.0</v>
      </c>
    </row>
    <row r="45">
      <c r="A45" s="713" t="s">
        <v>143</v>
      </c>
      <c r="B45" s="714">
        <v>181.0</v>
      </c>
      <c r="C45" s="714">
        <v>74.0</v>
      </c>
      <c r="D45" s="714">
        <v>76.0</v>
      </c>
      <c r="E45" s="714">
        <v>17.0</v>
      </c>
      <c r="F45" s="354">
        <v>14.0</v>
      </c>
    </row>
    <row r="46">
      <c r="A46" s="713" t="s">
        <v>724</v>
      </c>
      <c r="B46" s="714">
        <v>75.0</v>
      </c>
      <c r="C46" s="714">
        <v>29.0</v>
      </c>
      <c r="D46" s="714">
        <v>44.0</v>
      </c>
      <c r="E46" s="714">
        <v>2.0</v>
      </c>
      <c r="F46" s="354">
        <v>0.0</v>
      </c>
    </row>
    <row r="47">
      <c r="A47" s="713" t="s">
        <v>725</v>
      </c>
      <c r="B47" s="714">
        <v>10.0</v>
      </c>
      <c r="C47" s="714">
        <v>1.0</v>
      </c>
      <c r="D47" s="714">
        <v>9.0</v>
      </c>
      <c r="E47" s="714">
        <v>0.0</v>
      </c>
      <c r="F47" s="354">
        <v>0.0</v>
      </c>
    </row>
    <row r="48">
      <c r="A48" s="713" t="s">
        <v>288</v>
      </c>
      <c r="B48" s="714">
        <v>44.0</v>
      </c>
      <c r="C48" s="714">
        <v>12.0</v>
      </c>
      <c r="D48" s="714">
        <v>31.0</v>
      </c>
      <c r="E48" s="714">
        <v>0.0</v>
      </c>
      <c r="F48" s="354">
        <v>1.0</v>
      </c>
    </row>
    <row r="49">
      <c r="A49" s="713" t="s">
        <v>656</v>
      </c>
      <c r="B49" s="714">
        <v>382.0</v>
      </c>
      <c r="C49" s="714">
        <v>144.0</v>
      </c>
      <c r="D49" s="714">
        <v>226.0</v>
      </c>
      <c r="E49" s="714">
        <v>8.0</v>
      </c>
      <c r="F49" s="354">
        <v>4.0</v>
      </c>
    </row>
    <row r="50">
      <c r="A50" s="713" t="s">
        <v>726</v>
      </c>
      <c r="B50" s="714">
        <v>230.0</v>
      </c>
      <c r="C50" s="714">
        <v>123.0</v>
      </c>
      <c r="D50" s="714">
        <v>70.0</v>
      </c>
      <c r="E50" s="714">
        <v>22.0</v>
      </c>
      <c r="F50" s="354">
        <v>15.0</v>
      </c>
      <c r="G50" s="367"/>
      <c r="H50" s="367"/>
      <c r="I50" s="390"/>
      <c r="J50" s="367"/>
      <c r="K50" s="390"/>
      <c r="L50" s="367"/>
      <c r="M50" s="367"/>
      <c r="N50" s="367"/>
      <c r="O50" s="367"/>
      <c r="P50" s="367"/>
      <c r="Q50" s="367"/>
      <c r="R50" s="367"/>
      <c r="S50" s="367"/>
      <c r="T50" s="367"/>
      <c r="U50" s="367"/>
      <c r="V50" s="367"/>
      <c r="W50" s="367"/>
      <c r="X50" s="367"/>
      <c r="Y50" s="367"/>
      <c r="Z50" s="367"/>
    </row>
    <row r="51">
      <c r="A51" s="713" t="s">
        <v>727</v>
      </c>
      <c r="B51" s="714">
        <v>123.0</v>
      </c>
      <c r="C51" s="714">
        <v>66.0</v>
      </c>
      <c r="D51" s="714">
        <v>55.0</v>
      </c>
      <c r="E51" s="714">
        <v>0.0</v>
      </c>
      <c r="F51" s="354">
        <v>2.0</v>
      </c>
    </row>
    <row r="52">
      <c r="A52" s="713" t="s">
        <v>728</v>
      </c>
      <c r="B52" s="714">
        <v>143.0</v>
      </c>
      <c r="C52" s="714">
        <v>50.0</v>
      </c>
      <c r="D52" s="714">
        <v>90.0</v>
      </c>
      <c r="E52" s="714">
        <v>1.0</v>
      </c>
      <c r="F52" s="354">
        <v>2.0</v>
      </c>
    </row>
    <row r="53">
      <c r="A53" s="713" t="s">
        <v>337</v>
      </c>
      <c r="B53" s="714">
        <v>495.0</v>
      </c>
      <c r="C53" s="714">
        <v>232.0</v>
      </c>
      <c r="D53" s="714">
        <v>248.0</v>
      </c>
      <c r="E53" s="714">
        <v>9.0</v>
      </c>
      <c r="F53" s="354">
        <v>6.0</v>
      </c>
    </row>
    <row r="54">
      <c r="A54" s="713" t="s">
        <v>729</v>
      </c>
      <c r="B54" s="714">
        <v>212.0</v>
      </c>
      <c r="C54" s="714">
        <v>55.0</v>
      </c>
      <c r="D54" s="714">
        <v>153.0</v>
      </c>
      <c r="E54" s="714">
        <v>3.0</v>
      </c>
      <c r="F54" s="354">
        <v>1.0</v>
      </c>
    </row>
    <row r="55">
      <c r="A55" s="713" t="s">
        <v>146</v>
      </c>
      <c r="B55" s="714">
        <v>38.0</v>
      </c>
      <c r="C55" s="714">
        <v>3.0</v>
      </c>
      <c r="D55" s="714">
        <v>35.0</v>
      </c>
      <c r="E55" s="714">
        <v>0.0</v>
      </c>
      <c r="F55" s="354">
        <v>0.0</v>
      </c>
    </row>
    <row r="56">
      <c r="A56" s="713" t="s">
        <v>147</v>
      </c>
      <c r="B56" s="714">
        <v>52.0</v>
      </c>
      <c r="C56" s="714">
        <v>11.0</v>
      </c>
      <c r="D56" s="714">
        <v>41.0</v>
      </c>
      <c r="E56" s="714">
        <v>0.0</v>
      </c>
      <c r="F56" s="354">
        <v>0.0</v>
      </c>
    </row>
    <row r="57">
      <c r="A57" s="713" t="s">
        <v>730</v>
      </c>
      <c r="B57" s="714">
        <v>84.0</v>
      </c>
      <c r="C57" s="714">
        <v>29.0</v>
      </c>
      <c r="D57" s="714">
        <v>55.0</v>
      </c>
      <c r="E57" s="714">
        <v>0.0</v>
      </c>
      <c r="F57" s="354">
        <v>0.0</v>
      </c>
    </row>
    <row r="58">
      <c r="A58" s="713" t="s">
        <v>293</v>
      </c>
      <c r="B58" s="714">
        <v>86.0</v>
      </c>
      <c r="C58" s="714">
        <v>26.0</v>
      </c>
      <c r="D58" s="714">
        <v>57.0</v>
      </c>
      <c r="E58" s="714">
        <v>1.0</v>
      </c>
      <c r="F58" s="354">
        <v>2.0</v>
      </c>
    </row>
    <row r="59">
      <c r="A59" s="713" t="s">
        <v>150</v>
      </c>
      <c r="B59" s="714">
        <v>478.0</v>
      </c>
      <c r="C59" s="714">
        <v>214.0</v>
      </c>
      <c r="D59" s="714">
        <v>256.0</v>
      </c>
      <c r="E59" s="714">
        <v>0.0</v>
      </c>
      <c r="F59" s="354">
        <v>8.0</v>
      </c>
    </row>
    <row r="60">
      <c r="A60" s="713" t="s">
        <v>734</v>
      </c>
      <c r="B60" s="714">
        <v>154.0</v>
      </c>
      <c r="C60" s="714">
        <v>50.0</v>
      </c>
      <c r="D60" s="714">
        <v>104.0</v>
      </c>
      <c r="E60" s="714">
        <v>0.0</v>
      </c>
      <c r="F60" s="354">
        <v>0.0</v>
      </c>
    </row>
    <row r="61">
      <c r="A61" s="713" t="s">
        <v>151</v>
      </c>
      <c r="B61" s="714">
        <v>692.0</v>
      </c>
      <c r="C61" s="714">
        <v>289.0</v>
      </c>
      <c r="D61" s="714">
        <v>390.0</v>
      </c>
      <c r="E61" s="714">
        <v>7.0</v>
      </c>
      <c r="F61" s="354">
        <v>6.0</v>
      </c>
    </row>
    <row r="62">
      <c r="A62" s="713" t="s">
        <v>153</v>
      </c>
      <c r="B62" s="714">
        <v>216.0</v>
      </c>
      <c r="C62" s="714">
        <v>80.0</v>
      </c>
      <c r="D62" s="714">
        <v>125.0</v>
      </c>
      <c r="E62" s="714">
        <v>8.0</v>
      </c>
      <c r="F62" s="354">
        <v>3.0</v>
      </c>
    </row>
    <row r="63">
      <c r="A63" s="713" t="s">
        <v>154</v>
      </c>
      <c r="B63" s="714">
        <v>56.0</v>
      </c>
      <c r="C63" s="714">
        <v>21.0</v>
      </c>
      <c r="D63" s="714">
        <v>34.0</v>
      </c>
      <c r="E63" s="714">
        <v>1.0</v>
      </c>
      <c r="F63" s="354">
        <v>0.0</v>
      </c>
    </row>
    <row r="64">
      <c r="A64" s="713" t="s">
        <v>735</v>
      </c>
      <c r="B64" s="714">
        <v>72.0</v>
      </c>
      <c r="C64" s="714">
        <v>22.0</v>
      </c>
      <c r="D64" s="714">
        <v>50.0</v>
      </c>
      <c r="E64" s="714">
        <v>0.0</v>
      </c>
      <c r="F64" s="354">
        <v>0.0</v>
      </c>
    </row>
    <row r="65">
      <c r="A65" s="713" t="s">
        <v>736</v>
      </c>
      <c r="B65" s="714">
        <v>88.0</v>
      </c>
      <c r="C65" s="714">
        <v>32.0</v>
      </c>
      <c r="D65" s="714">
        <v>56.0</v>
      </c>
      <c r="E65" s="714">
        <v>0.0</v>
      </c>
      <c r="F65" s="354">
        <v>0.0</v>
      </c>
    </row>
    <row r="66">
      <c r="A66" s="713" t="s">
        <v>731</v>
      </c>
      <c r="B66" s="714">
        <v>89.0</v>
      </c>
      <c r="C66" s="714">
        <v>48.0</v>
      </c>
      <c r="D66" s="714">
        <v>38.0</v>
      </c>
      <c r="E66" s="714">
        <v>2.0</v>
      </c>
      <c r="F66" s="354">
        <v>1.0</v>
      </c>
    </row>
    <row r="67">
      <c r="A67" s="713" t="s">
        <v>732</v>
      </c>
      <c r="B67" s="714">
        <v>218.0</v>
      </c>
      <c r="C67" s="714">
        <v>87.0</v>
      </c>
      <c r="D67" s="714">
        <v>131.0</v>
      </c>
      <c r="E67" s="714">
        <v>0.0</v>
      </c>
      <c r="F67" s="354">
        <v>0.0</v>
      </c>
    </row>
    <row r="68">
      <c r="A68" s="713" t="s">
        <v>2515</v>
      </c>
      <c r="B68" s="714">
        <v>262.0</v>
      </c>
      <c r="C68" s="714">
        <v>129.0</v>
      </c>
      <c r="D68" s="714">
        <v>130.0</v>
      </c>
      <c r="E68" s="714">
        <v>0.0</v>
      </c>
      <c r="F68" s="354">
        <v>3.0</v>
      </c>
    </row>
    <row r="69">
      <c r="A69" s="713" t="s">
        <v>737</v>
      </c>
      <c r="B69" s="714">
        <v>33.0</v>
      </c>
      <c r="C69" s="714">
        <v>6.0</v>
      </c>
      <c r="D69" s="714">
        <v>27.0</v>
      </c>
      <c r="E69" s="714">
        <v>0.0</v>
      </c>
      <c r="F69" s="354">
        <v>0.0</v>
      </c>
    </row>
    <row r="70">
      <c r="A70" s="713" t="s">
        <v>738</v>
      </c>
      <c r="B70" s="714">
        <v>29.0</v>
      </c>
      <c r="C70" s="714">
        <v>18.0</v>
      </c>
      <c r="D70" s="714">
        <v>11.0</v>
      </c>
      <c r="E70" s="714">
        <v>0.0</v>
      </c>
      <c r="F70" s="354">
        <v>0.0</v>
      </c>
    </row>
    <row r="71">
      <c r="A71" s="713" t="s">
        <v>156</v>
      </c>
      <c r="B71" s="714">
        <v>53.0</v>
      </c>
      <c r="C71" s="714">
        <v>31.0</v>
      </c>
      <c r="D71" s="714">
        <v>22.0</v>
      </c>
      <c r="E71" s="714">
        <v>0.0</v>
      </c>
      <c r="F71" s="354">
        <v>0.0</v>
      </c>
    </row>
    <row r="72">
      <c r="A72" s="713" t="s">
        <v>157</v>
      </c>
      <c r="B72" s="714">
        <v>115.0</v>
      </c>
      <c r="C72" s="714">
        <v>40.0</v>
      </c>
      <c r="D72" s="714">
        <v>75.0</v>
      </c>
      <c r="E72" s="714">
        <v>0.0</v>
      </c>
      <c r="F72" s="354">
        <v>0.0</v>
      </c>
    </row>
    <row r="73">
      <c r="A73" s="713" t="s">
        <v>158</v>
      </c>
      <c r="B73" s="714">
        <v>94.0</v>
      </c>
      <c r="C73" s="714">
        <v>35.0</v>
      </c>
      <c r="D73" s="714">
        <v>56.0</v>
      </c>
      <c r="E73" s="714">
        <v>2.0</v>
      </c>
      <c r="F73" s="354">
        <v>1.0</v>
      </c>
    </row>
    <row r="74">
      <c r="A74" s="713" t="s">
        <v>739</v>
      </c>
      <c r="B74" s="714">
        <v>54.0</v>
      </c>
      <c r="C74" s="714">
        <v>17.0</v>
      </c>
      <c r="D74" s="714">
        <v>36.0</v>
      </c>
      <c r="E74" s="714">
        <v>0.0</v>
      </c>
      <c r="F74" s="354">
        <v>1.0</v>
      </c>
      <c r="G74" s="1" t="s">
        <v>2516</v>
      </c>
    </row>
    <row r="75">
      <c r="A75" s="713" t="s">
        <v>740</v>
      </c>
      <c r="B75" s="714">
        <v>48.0</v>
      </c>
      <c r="C75" s="714">
        <v>16.0</v>
      </c>
      <c r="D75" s="714">
        <v>32.0</v>
      </c>
      <c r="E75" s="714">
        <v>0.0</v>
      </c>
      <c r="F75" s="354">
        <v>0.0</v>
      </c>
    </row>
    <row r="76">
      <c r="A76" s="713" t="s">
        <v>741</v>
      </c>
      <c r="B76" s="714">
        <v>744.0</v>
      </c>
      <c r="C76" s="714">
        <v>285.0</v>
      </c>
      <c r="D76" s="714">
        <v>397.0</v>
      </c>
      <c r="E76" s="714">
        <v>28.0</v>
      </c>
      <c r="F76" s="354">
        <v>34.0</v>
      </c>
    </row>
    <row r="77">
      <c r="A77" s="713" t="s">
        <v>159</v>
      </c>
      <c r="B77" s="714">
        <v>72.0</v>
      </c>
      <c r="C77" s="714">
        <v>24.0</v>
      </c>
      <c r="D77" s="714">
        <v>48.0</v>
      </c>
      <c r="E77" s="714">
        <v>0.0</v>
      </c>
      <c r="F77" s="354">
        <v>0.0</v>
      </c>
    </row>
    <row r="78">
      <c r="A78" s="713" t="s">
        <v>742</v>
      </c>
      <c r="B78" s="714">
        <v>62.0</v>
      </c>
      <c r="C78" s="714">
        <v>28.0</v>
      </c>
      <c r="D78" s="714">
        <v>34.0</v>
      </c>
      <c r="E78" s="714">
        <v>0.0</v>
      </c>
      <c r="F78" s="354">
        <v>0.0</v>
      </c>
    </row>
    <row r="79">
      <c r="A79" s="713" t="s">
        <v>162</v>
      </c>
      <c r="B79" s="714">
        <v>57.0</v>
      </c>
      <c r="C79" s="714">
        <v>13.0</v>
      </c>
      <c r="D79" s="714">
        <v>44.0</v>
      </c>
      <c r="E79" s="714">
        <v>0.0</v>
      </c>
      <c r="F79" s="354">
        <v>0.0</v>
      </c>
    </row>
    <row r="80">
      <c r="A80" s="713" t="s">
        <v>303</v>
      </c>
      <c r="B80" s="714">
        <v>9.0</v>
      </c>
      <c r="C80" s="714">
        <v>2.0</v>
      </c>
      <c r="D80" s="714">
        <v>7.0</v>
      </c>
      <c r="E80" s="714">
        <v>0.0</v>
      </c>
      <c r="F80" s="354">
        <v>0.0</v>
      </c>
    </row>
    <row r="81">
      <c r="A81" s="713" t="s">
        <v>305</v>
      </c>
      <c r="B81" s="714">
        <v>25.0</v>
      </c>
      <c r="C81" s="714">
        <v>8.0</v>
      </c>
      <c r="D81" s="714">
        <v>16.0</v>
      </c>
      <c r="E81" s="714">
        <v>0.0</v>
      </c>
      <c r="F81" s="354">
        <v>1.0</v>
      </c>
    </row>
    <row r="82">
      <c r="A82" s="713" t="s">
        <v>518</v>
      </c>
      <c r="B82" s="714">
        <v>8.0</v>
      </c>
      <c r="C82" s="714">
        <v>4.0</v>
      </c>
      <c r="D82" s="714">
        <v>4.0</v>
      </c>
      <c r="E82" s="714">
        <v>0.0</v>
      </c>
      <c r="F82" s="354">
        <v>0.0</v>
      </c>
    </row>
    <row r="83">
      <c r="A83" s="713" t="s">
        <v>163</v>
      </c>
      <c r="B83" s="714">
        <v>99.0</v>
      </c>
      <c r="C83" s="714">
        <v>18.0</v>
      </c>
      <c r="D83" s="714">
        <v>80.0</v>
      </c>
      <c r="E83" s="714">
        <v>1.0</v>
      </c>
      <c r="F83" s="354">
        <v>0.0</v>
      </c>
    </row>
    <row r="84">
      <c r="A84" s="713" t="s">
        <v>743</v>
      </c>
      <c r="B84" s="714">
        <v>68.0</v>
      </c>
      <c r="C84" s="714">
        <v>27.0</v>
      </c>
      <c r="D84" s="714">
        <v>41.0</v>
      </c>
      <c r="E84" s="714">
        <v>0.0</v>
      </c>
      <c r="F84" s="354">
        <v>0.0</v>
      </c>
    </row>
    <row r="85">
      <c r="A85" s="713" t="s">
        <v>744</v>
      </c>
      <c r="B85" s="714">
        <v>236.0</v>
      </c>
      <c r="C85" s="714">
        <v>93.0</v>
      </c>
      <c r="D85" s="714">
        <v>142.0</v>
      </c>
      <c r="E85" s="714">
        <v>0.0</v>
      </c>
      <c r="F85" s="354">
        <v>1.0</v>
      </c>
    </row>
    <row r="86">
      <c r="A86" s="713" t="s">
        <v>308</v>
      </c>
      <c r="B86" s="714">
        <v>50.0</v>
      </c>
      <c r="C86" s="714">
        <v>14.0</v>
      </c>
      <c r="D86" s="714">
        <v>27.0</v>
      </c>
      <c r="E86" s="714">
        <v>7.0</v>
      </c>
      <c r="F86" s="354">
        <v>2.0</v>
      </c>
    </row>
    <row r="87">
      <c r="A87" s="713" t="s">
        <v>745</v>
      </c>
      <c r="B87" s="714">
        <v>618.0</v>
      </c>
      <c r="C87" s="714">
        <v>247.0</v>
      </c>
      <c r="D87" s="714">
        <v>338.0</v>
      </c>
      <c r="E87" s="714">
        <v>27.0</v>
      </c>
      <c r="F87" s="354">
        <v>6.0</v>
      </c>
    </row>
    <row r="88">
      <c r="A88" s="713" t="s">
        <v>746</v>
      </c>
      <c r="B88" s="714">
        <v>19.0</v>
      </c>
      <c r="C88" s="714">
        <v>7.0</v>
      </c>
      <c r="D88" s="714">
        <v>12.0</v>
      </c>
      <c r="E88" s="714">
        <v>0.0</v>
      </c>
      <c r="F88" s="354">
        <v>0.0</v>
      </c>
    </row>
    <row r="89">
      <c r="A89" s="713" t="s">
        <v>309</v>
      </c>
      <c r="B89" s="714">
        <v>10.0</v>
      </c>
      <c r="C89" s="714">
        <v>1.0</v>
      </c>
      <c r="D89" s="714">
        <v>9.0</v>
      </c>
      <c r="E89" s="714">
        <v>0.0</v>
      </c>
      <c r="F89" s="354">
        <v>0.0</v>
      </c>
    </row>
    <row r="90">
      <c r="A90" s="713" t="s">
        <v>168</v>
      </c>
      <c r="B90" s="714">
        <v>67.0</v>
      </c>
      <c r="C90" s="714">
        <v>29.0</v>
      </c>
      <c r="D90" s="714">
        <v>38.0</v>
      </c>
      <c r="E90" s="714">
        <v>0.0</v>
      </c>
      <c r="F90" s="354">
        <v>0.0</v>
      </c>
    </row>
    <row r="91">
      <c r="A91" s="713" t="s">
        <v>768</v>
      </c>
      <c r="B91" s="714">
        <v>896.0</v>
      </c>
      <c r="C91" s="714">
        <v>394.0</v>
      </c>
      <c r="D91" s="714">
        <v>450.0</v>
      </c>
      <c r="E91" s="714">
        <v>18.0</v>
      </c>
      <c r="F91" s="354">
        <v>34.0</v>
      </c>
    </row>
    <row r="92">
      <c r="A92" s="713" t="s">
        <v>747</v>
      </c>
      <c r="B92" s="714">
        <v>20.0</v>
      </c>
      <c r="C92" s="714">
        <v>9.0</v>
      </c>
      <c r="D92" s="714">
        <v>11.0</v>
      </c>
      <c r="E92" s="714">
        <v>0.0</v>
      </c>
      <c r="F92" s="354">
        <v>0.0</v>
      </c>
    </row>
    <row r="93">
      <c r="A93" s="713" t="s">
        <v>748</v>
      </c>
      <c r="B93" s="714">
        <v>71.0</v>
      </c>
      <c r="C93" s="714">
        <v>37.0</v>
      </c>
      <c r="D93" s="714">
        <v>32.0</v>
      </c>
      <c r="E93" s="714">
        <v>1.0</v>
      </c>
      <c r="F93" s="354">
        <v>1.0</v>
      </c>
    </row>
    <row r="94">
      <c r="A94" s="713" t="s">
        <v>749</v>
      </c>
      <c r="B94" s="714">
        <v>444.0</v>
      </c>
      <c r="C94" s="714">
        <v>175.0</v>
      </c>
      <c r="D94" s="714">
        <v>267.0</v>
      </c>
      <c r="E94" s="714">
        <v>0.0</v>
      </c>
      <c r="F94" s="354">
        <v>2.0</v>
      </c>
    </row>
    <row r="95">
      <c r="A95" s="713" t="s">
        <v>316</v>
      </c>
      <c r="B95" s="714">
        <v>63.0</v>
      </c>
      <c r="C95" s="714">
        <v>14.0</v>
      </c>
      <c r="D95" s="714">
        <v>48.0</v>
      </c>
      <c r="E95" s="714">
        <v>0.0</v>
      </c>
      <c r="F95" s="354">
        <v>1.0</v>
      </c>
    </row>
    <row r="96">
      <c r="A96" s="713" t="s">
        <v>750</v>
      </c>
      <c r="B96" s="714">
        <v>297.0</v>
      </c>
      <c r="C96" s="714">
        <v>101.0</v>
      </c>
      <c r="D96" s="714">
        <v>190.0</v>
      </c>
      <c r="E96" s="714">
        <v>3.0</v>
      </c>
      <c r="F96" s="354">
        <v>3.0</v>
      </c>
    </row>
    <row r="97">
      <c r="A97" s="713" t="s">
        <v>751</v>
      </c>
      <c r="B97" s="714">
        <v>23.0</v>
      </c>
      <c r="C97" s="714">
        <v>13.0</v>
      </c>
      <c r="D97" s="714">
        <v>10.0</v>
      </c>
      <c r="E97" s="714">
        <v>0.0</v>
      </c>
      <c r="F97" s="354">
        <v>0.0</v>
      </c>
    </row>
    <row r="98">
      <c r="A98" s="713" t="s">
        <v>647</v>
      </c>
      <c r="B98" s="714">
        <v>40.0</v>
      </c>
      <c r="C98" s="714">
        <v>17.0</v>
      </c>
      <c r="D98" s="714">
        <v>23.0</v>
      </c>
      <c r="E98" s="714">
        <v>0.0</v>
      </c>
      <c r="F98" s="354">
        <v>0.0</v>
      </c>
    </row>
    <row r="99">
      <c r="A99" s="713" t="s">
        <v>119</v>
      </c>
      <c r="B99" s="714">
        <v>68.0</v>
      </c>
      <c r="C99" s="714">
        <v>43.0</v>
      </c>
      <c r="D99" s="714">
        <v>25.0</v>
      </c>
      <c r="E99" s="714">
        <v>0.0</v>
      </c>
      <c r="F99" s="354">
        <v>0.0</v>
      </c>
    </row>
    <row r="100">
      <c r="A100" s="713" t="s">
        <v>273</v>
      </c>
      <c r="B100" s="714">
        <v>65.0</v>
      </c>
      <c r="C100" s="714">
        <v>20.0</v>
      </c>
      <c r="D100" s="714">
        <v>45.0</v>
      </c>
      <c r="E100" s="714">
        <v>0.0</v>
      </c>
      <c r="F100" s="354">
        <v>0.0</v>
      </c>
    </row>
    <row r="101">
      <c r="A101" s="713" t="s">
        <v>66</v>
      </c>
      <c r="B101" s="714">
        <v>36.0</v>
      </c>
      <c r="C101" s="714">
        <v>14.0</v>
      </c>
      <c r="D101" s="714">
        <v>22.0</v>
      </c>
      <c r="E101" s="714">
        <v>0.0</v>
      </c>
      <c r="F101" s="354">
        <v>0.0</v>
      </c>
    </row>
    <row r="102">
      <c r="A102" s="713" t="s">
        <v>752</v>
      </c>
      <c r="B102" s="714">
        <v>96.0</v>
      </c>
      <c r="C102" s="714">
        <v>35.0</v>
      </c>
      <c r="D102" s="714">
        <v>60.0</v>
      </c>
      <c r="E102" s="714">
        <v>0.0</v>
      </c>
      <c r="F102" s="354">
        <v>1.0</v>
      </c>
    </row>
    <row r="103">
      <c r="A103" s="713" t="s">
        <v>573</v>
      </c>
      <c r="B103" s="715">
        <v>699.0</v>
      </c>
      <c r="C103" s="714">
        <v>361.0</v>
      </c>
      <c r="D103" s="714">
        <v>310.0</v>
      </c>
      <c r="E103" s="714">
        <v>7.0</v>
      </c>
      <c r="F103" s="354">
        <v>21.0</v>
      </c>
    </row>
    <row r="104">
      <c r="A104" s="713" t="s">
        <v>627</v>
      </c>
      <c r="B104" s="714">
        <v>158.0</v>
      </c>
      <c r="C104" s="714">
        <v>57.0</v>
      </c>
      <c r="D104" s="714">
        <v>100.0</v>
      </c>
      <c r="E104" s="714">
        <v>0.0</v>
      </c>
      <c r="F104" s="354">
        <v>1.0</v>
      </c>
    </row>
    <row r="105">
      <c r="A105" s="713" t="s">
        <v>753</v>
      </c>
      <c r="B105" s="714">
        <v>468.0</v>
      </c>
      <c r="C105" s="714">
        <v>157.0</v>
      </c>
      <c r="D105" s="714">
        <v>290.0</v>
      </c>
      <c r="E105" s="714">
        <v>14.0</v>
      </c>
      <c r="F105" s="354">
        <v>7.0</v>
      </c>
    </row>
    <row r="106">
      <c r="A106" s="713" t="s">
        <v>754</v>
      </c>
      <c r="B106" s="714">
        <v>103.0</v>
      </c>
      <c r="C106" s="714">
        <v>46.0</v>
      </c>
      <c r="D106" s="714">
        <v>56.0</v>
      </c>
      <c r="E106" s="714">
        <v>1.0</v>
      </c>
      <c r="F106" s="354">
        <v>0.0</v>
      </c>
    </row>
    <row r="107">
      <c r="A107" s="713" t="s">
        <v>2517</v>
      </c>
      <c r="B107" s="716">
        <v>2557.0</v>
      </c>
      <c r="C107" s="715">
        <v>1057.0</v>
      </c>
      <c r="D107" s="715">
        <v>1173.0</v>
      </c>
      <c r="E107" s="714">
        <v>118.0</v>
      </c>
      <c r="F107" s="354">
        <v>209.0</v>
      </c>
    </row>
    <row r="108">
      <c r="A108" s="713" t="s">
        <v>2518</v>
      </c>
      <c r="B108" s="716">
        <v>2458.0</v>
      </c>
      <c r="C108" s="715">
        <v>1044.0</v>
      </c>
      <c r="D108" s="715">
        <v>1191.0</v>
      </c>
      <c r="E108" s="714">
        <v>173.0</v>
      </c>
      <c r="F108" s="354">
        <v>50.0</v>
      </c>
    </row>
    <row r="109">
      <c r="A109" s="348" t="s">
        <v>2519</v>
      </c>
      <c r="B109" s="716">
        <v>5015.0</v>
      </c>
      <c r="C109" s="716">
        <v>2101.0</v>
      </c>
      <c r="D109" s="716">
        <v>2364.0</v>
      </c>
      <c r="E109" s="717">
        <v>291.0</v>
      </c>
      <c r="F109" s="354">
        <v>259.0</v>
      </c>
    </row>
    <row r="110">
      <c r="A110" s="356"/>
      <c r="B110" s="719"/>
      <c r="C110" s="720"/>
      <c r="D110" s="720"/>
      <c r="E110" s="720"/>
      <c r="F110" s="477"/>
    </row>
    <row r="111">
      <c r="A111" s="721" t="s">
        <v>2520</v>
      </c>
      <c r="B111" s="722">
        <v>18839.0</v>
      </c>
      <c r="C111" s="722">
        <v>7675.0</v>
      </c>
      <c r="D111" s="722">
        <v>10090.0</v>
      </c>
      <c r="E111" s="722">
        <v>562.0</v>
      </c>
      <c r="F111" s="723">
        <v>512.0</v>
      </c>
    </row>
    <row r="112">
      <c r="A112" s="356"/>
      <c r="B112" s="477"/>
      <c r="C112" s="477"/>
      <c r="D112" s="477"/>
      <c r="E112" s="477"/>
      <c r="F112" s="477"/>
    </row>
    <row r="113">
      <c r="A113" s="724" t="s">
        <v>2</v>
      </c>
      <c r="B113" s="725">
        <v>19272.0</v>
      </c>
      <c r="C113" s="725">
        <v>7837.0</v>
      </c>
      <c r="D113" s="725">
        <v>10283.0</v>
      </c>
      <c r="E113" s="725">
        <v>631.0</v>
      </c>
      <c r="F113" s="725">
        <v>521.0</v>
      </c>
    </row>
    <row r="119">
      <c r="A119" s="196" t="s">
        <v>852</v>
      </c>
      <c r="B119" s="197"/>
      <c r="C119" s="197"/>
      <c r="D119" s="197"/>
      <c r="E119" s="198" t="s">
        <v>765</v>
      </c>
      <c r="F119" s="198" t="s">
        <v>2512</v>
      </c>
      <c r="G119" s="197"/>
      <c r="H119" s="197"/>
      <c r="I119" s="198" t="s">
        <v>767</v>
      </c>
      <c r="J119" s="625">
        <v>45453.0</v>
      </c>
      <c r="K119" s="198" t="s">
        <v>769</v>
      </c>
      <c r="L119" s="625">
        <v>45428.0</v>
      </c>
      <c r="M119" s="589"/>
    </row>
    <row r="121">
      <c r="A121" s="1"/>
      <c r="B121" s="1" t="s">
        <v>2521</v>
      </c>
    </row>
    <row r="122">
      <c r="A122" s="1" t="s">
        <v>386</v>
      </c>
      <c r="B122" s="1">
        <v>82.0</v>
      </c>
    </row>
    <row r="123">
      <c r="A123" s="1" t="s">
        <v>704</v>
      </c>
      <c r="B123" s="1">
        <v>6.0</v>
      </c>
    </row>
    <row r="124">
      <c r="A124" s="1" t="s">
        <v>705</v>
      </c>
      <c r="B124" s="1">
        <v>16.0</v>
      </c>
    </row>
    <row r="125">
      <c r="A125" s="1" t="s">
        <v>246</v>
      </c>
      <c r="B125" s="1">
        <v>33.0</v>
      </c>
    </row>
    <row r="126">
      <c r="A126" s="1" t="s">
        <v>706</v>
      </c>
      <c r="B126" s="1">
        <v>7.0</v>
      </c>
    </row>
    <row r="127">
      <c r="A127" s="1" t="s">
        <v>707</v>
      </c>
      <c r="B127" s="1">
        <v>31.0</v>
      </c>
    </row>
    <row r="128">
      <c r="A128" s="1" t="s">
        <v>93</v>
      </c>
      <c r="B128" s="1">
        <v>2.0</v>
      </c>
    </row>
    <row r="129">
      <c r="A129" s="1" t="s">
        <v>248</v>
      </c>
      <c r="B129" s="1">
        <v>8.0</v>
      </c>
    </row>
    <row r="130">
      <c r="A130" s="1" t="s">
        <v>708</v>
      </c>
      <c r="B130" s="1">
        <v>7.0</v>
      </c>
    </row>
    <row r="131">
      <c r="A131" s="1" t="s">
        <v>709</v>
      </c>
      <c r="B131" s="1">
        <v>165.0</v>
      </c>
    </row>
    <row r="132">
      <c r="A132" s="1" t="s">
        <v>710</v>
      </c>
      <c r="B132" s="1">
        <v>54.0</v>
      </c>
    </row>
    <row r="133">
      <c r="A133" s="1" t="s">
        <v>2514</v>
      </c>
      <c r="B133" s="1">
        <v>1013.0</v>
      </c>
    </row>
    <row r="134">
      <c r="A134" s="1" t="s">
        <v>253</v>
      </c>
      <c r="B134" s="1">
        <v>17.0</v>
      </c>
    </row>
    <row r="135">
      <c r="A135" s="1" t="s">
        <v>112</v>
      </c>
      <c r="B135" s="1">
        <v>19.0</v>
      </c>
    </row>
    <row r="136">
      <c r="A136" s="1" t="s">
        <v>711</v>
      </c>
      <c r="B136" s="1">
        <v>25.0</v>
      </c>
    </row>
    <row r="137">
      <c r="A137" s="1" t="s">
        <v>712</v>
      </c>
      <c r="B137" s="1">
        <v>37.0</v>
      </c>
    </row>
    <row r="138">
      <c r="A138" s="1" t="s">
        <v>202</v>
      </c>
      <c r="B138" s="1">
        <v>1282.0</v>
      </c>
    </row>
    <row r="139">
      <c r="A139" s="1" t="s">
        <v>263</v>
      </c>
      <c r="B139" s="1">
        <v>25.0</v>
      </c>
    </row>
    <row r="140">
      <c r="A140" s="1" t="s">
        <v>713</v>
      </c>
      <c r="B140" s="1">
        <v>15.0</v>
      </c>
    </row>
    <row r="141">
      <c r="A141" s="1" t="s">
        <v>131</v>
      </c>
      <c r="B141" s="1">
        <v>49.0</v>
      </c>
    </row>
    <row r="142">
      <c r="A142" s="1" t="s">
        <v>2055</v>
      </c>
      <c r="B142" s="1">
        <v>15.0</v>
      </c>
    </row>
    <row r="143">
      <c r="A143" s="1" t="s">
        <v>412</v>
      </c>
      <c r="B143" s="1">
        <v>24.0</v>
      </c>
    </row>
    <row r="144">
      <c r="A144" s="1" t="s">
        <v>456</v>
      </c>
      <c r="B144" s="1">
        <v>227.0</v>
      </c>
    </row>
    <row r="145">
      <c r="A145" s="1" t="s">
        <v>716</v>
      </c>
      <c r="B145" s="1">
        <v>13.0</v>
      </c>
    </row>
    <row r="146">
      <c r="A146" s="1" t="s">
        <v>717</v>
      </c>
      <c r="B146" s="1">
        <v>5.0</v>
      </c>
    </row>
    <row r="147">
      <c r="A147" s="1" t="s">
        <v>569</v>
      </c>
      <c r="B147" s="1">
        <v>36.0</v>
      </c>
    </row>
    <row r="148">
      <c r="A148" s="1" t="s">
        <v>135</v>
      </c>
      <c r="B148" s="1">
        <v>43.0</v>
      </c>
    </row>
    <row r="149">
      <c r="A149" s="1" t="s">
        <v>718</v>
      </c>
      <c r="B149" s="1">
        <v>12.0</v>
      </c>
    </row>
    <row r="150">
      <c r="A150" s="1" t="s">
        <v>136</v>
      </c>
      <c r="B150" s="1">
        <v>44.0</v>
      </c>
    </row>
    <row r="151">
      <c r="A151" s="1" t="s">
        <v>275</v>
      </c>
      <c r="B151" s="1">
        <v>40.0</v>
      </c>
    </row>
    <row r="152">
      <c r="A152" s="1" t="s">
        <v>719</v>
      </c>
      <c r="B152" s="1">
        <v>2.0</v>
      </c>
    </row>
    <row r="153">
      <c r="A153" s="1" t="s">
        <v>138</v>
      </c>
      <c r="B153" s="1">
        <v>21.0</v>
      </c>
    </row>
    <row r="154">
      <c r="A154" s="1" t="s">
        <v>720</v>
      </c>
      <c r="B154" s="1">
        <v>27.0</v>
      </c>
    </row>
    <row r="155">
      <c r="A155" s="1" t="s">
        <v>497</v>
      </c>
      <c r="B155" s="1">
        <v>7.0</v>
      </c>
    </row>
    <row r="156">
      <c r="A156" s="1" t="s">
        <v>587</v>
      </c>
      <c r="B156" s="1">
        <v>28.0</v>
      </c>
    </row>
    <row r="157">
      <c r="A157" s="1" t="s">
        <v>721</v>
      </c>
      <c r="B157" s="1">
        <v>3.0</v>
      </c>
    </row>
    <row r="158">
      <c r="A158" s="1" t="s">
        <v>722</v>
      </c>
      <c r="B158" s="1">
        <v>7.0</v>
      </c>
    </row>
    <row r="159">
      <c r="A159" s="1" t="s">
        <v>140</v>
      </c>
      <c r="B159" s="1">
        <v>48.0</v>
      </c>
    </row>
    <row r="160">
      <c r="A160" s="1" t="s">
        <v>723</v>
      </c>
      <c r="B160" s="1">
        <v>16.0</v>
      </c>
    </row>
    <row r="161">
      <c r="A161" s="1" t="s">
        <v>142</v>
      </c>
      <c r="B161" s="1">
        <v>50.0</v>
      </c>
    </row>
    <row r="162">
      <c r="A162" s="1" t="s">
        <v>593</v>
      </c>
      <c r="B162" s="1">
        <v>17.0</v>
      </c>
    </row>
    <row r="163">
      <c r="A163" s="1" t="s">
        <v>143</v>
      </c>
      <c r="B163" s="1">
        <v>66.0</v>
      </c>
    </row>
    <row r="164">
      <c r="A164" s="1" t="s">
        <v>724</v>
      </c>
      <c r="B164" s="1">
        <v>37.0</v>
      </c>
    </row>
    <row r="165">
      <c r="A165" s="1" t="s">
        <v>725</v>
      </c>
      <c r="B165" s="1">
        <v>7.0</v>
      </c>
    </row>
    <row r="166">
      <c r="A166" s="1" t="s">
        <v>288</v>
      </c>
      <c r="B166" s="1">
        <v>11.0</v>
      </c>
    </row>
    <row r="167">
      <c r="A167" s="1" t="s">
        <v>656</v>
      </c>
      <c r="B167" s="1">
        <v>173.0</v>
      </c>
    </row>
    <row r="168">
      <c r="A168" s="1" t="s">
        <v>726</v>
      </c>
      <c r="B168" s="1">
        <v>57.0</v>
      </c>
    </row>
    <row r="169">
      <c r="A169" s="1" t="s">
        <v>727</v>
      </c>
      <c r="B169" s="1">
        <v>82.0</v>
      </c>
    </row>
    <row r="170">
      <c r="A170" s="1" t="s">
        <v>728</v>
      </c>
      <c r="B170" s="1">
        <v>52.0</v>
      </c>
    </row>
    <row r="171">
      <c r="A171" s="1" t="s">
        <v>337</v>
      </c>
      <c r="B171" s="1">
        <v>211.0</v>
      </c>
    </row>
    <row r="172">
      <c r="A172" s="1" t="s">
        <v>729</v>
      </c>
      <c r="B172" s="1">
        <v>85.0</v>
      </c>
    </row>
    <row r="173">
      <c r="A173" s="1" t="s">
        <v>146</v>
      </c>
      <c r="B173" s="1">
        <v>11.0</v>
      </c>
    </row>
    <row r="174">
      <c r="A174" s="1" t="s">
        <v>147</v>
      </c>
      <c r="B174" s="1">
        <v>27.0</v>
      </c>
    </row>
    <row r="175">
      <c r="A175" s="1" t="s">
        <v>730</v>
      </c>
      <c r="B175" s="1">
        <v>32.0</v>
      </c>
    </row>
    <row r="176">
      <c r="A176" s="1" t="s">
        <v>293</v>
      </c>
      <c r="B176" s="1">
        <v>32.0</v>
      </c>
    </row>
    <row r="177">
      <c r="A177" s="1" t="s">
        <v>150</v>
      </c>
      <c r="B177" s="1">
        <v>129.0</v>
      </c>
    </row>
    <row r="178">
      <c r="A178" s="1" t="s">
        <v>734</v>
      </c>
      <c r="B178" s="1">
        <v>54.0</v>
      </c>
    </row>
    <row r="179">
      <c r="A179" s="1" t="s">
        <v>151</v>
      </c>
      <c r="B179" s="1">
        <v>259.0</v>
      </c>
    </row>
    <row r="180">
      <c r="A180" s="1" t="s">
        <v>153</v>
      </c>
      <c r="B180" s="1">
        <v>65.0</v>
      </c>
    </row>
    <row r="181">
      <c r="A181" s="1" t="s">
        <v>154</v>
      </c>
      <c r="B181" s="1">
        <v>27.0</v>
      </c>
    </row>
    <row r="182">
      <c r="A182" s="1" t="s">
        <v>735</v>
      </c>
      <c r="B182" s="1">
        <v>27.0</v>
      </c>
    </row>
    <row r="183">
      <c r="A183" s="1" t="s">
        <v>736</v>
      </c>
      <c r="B183" s="1">
        <v>11.0</v>
      </c>
    </row>
    <row r="184">
      <c r="A184" s="1" t="s">
        <v>731</v>
      </c>
      <c r="B184" s="1">
        <v>36.0</v>
      </c>
    </row>
    <row r="185">
      <c r="A185" s="1" t="s">
        <v>732</v>
      </c>
      <c r="B185" s="1">
        <v>119.0</v>
      </c>
    </row>
    <row r="186">
      <c r="A186" s="1" t="s">
        <v>2515</v>
      </c>
      <c r="B186" s="1">
        <v>132.0</v>
      </c>
    </row>
    <row r="187">
      <c r="A187" s="1" t="s">
        <v>737</v>
      </c>
      <c r="B187" s="1">
        <v>8.0</v>
      </c>
    </row>
    <row r="188">
      <c r="A188" s="1" t="s">
        <v>738</v>
      </c>
      <c r="B188" s="1">
        <v>21.0</v>
      </c>
    </row>
    <row r="189">
      <c r="A189" s="1" t="s">
        <v>156</v>
      </c>
      <c r="B189" s="1">
        <v>32.0</v>
      </c>
    </row>
    <row r="190">
      <c r="A190" s="1" t="s">
        <v>157</v>
      </c>
      <c r="B190" s="1">
        <v>40.0</v>
      </c>
    </row>
    <row r="191">
      <c r="A191" s="1" t="s">
        <v>158</v>
      </c>
      <c r="B191" s="1">
        <v>26.0</v>
      </c>
    </row>
    <row r="192">
      <c r="A192" s="1" t="s">
        <v>739</v>
      </c>
      <c r="B192" s="1">
        <v>17.0</v>
      </c>
    </row>
    <row r="193">
      <c r="A193" s="1" t="s">
        <v>740</v>
      </c>
      <c r="B193" s="1">
        <v>22.0</v>
      </c>
    </row>
    <row r="194">
      <c r="A194" s="1" t="s">
        <v>2522</v>
      </c>
      <c r="B194" s="1">
        <v>4.0</v>
      </c>
    </row>
    <row r="195">
      <c r="A195" s="1" t="s">
        <v>741</v>
      </c>
      <c r="B195" s="1">
        <v>350.0</v>
      </c>
    </row>
    <row r="196">
      <c r="A196" s="1" t="s">
        <v>159</v>
      </c>
      <c r="B196" s="1">
        <v>19.0</v>
      </c>
    </row>
    <row r="197">
      <c r="A197" s="1" t="s">
        <v>742</v>
      </c>
      <c r="B197" s="1">
        <v>28.0</v>
      </c>
    </row>
    <row r="198">
      <c r="A198" s="1" t="s">
        <v>162</v>
      </c>
      <c r="B198" s="1">
        <v>18.0</v>
      </c>
    </row>
    <row r="199">
      <c r="A199" s="1" t="s">
        <v>303</v>
      </c>
      <c r="B199" s="1">
        <v>1.0</v>
      </c>
    </row>
    <row r="200">
      <c r="A200" s="1" t="s">
        <v>305</v>
      </c>
      <c r="B200" s="1">
        <v>7.0</v>
      </c>
    </row>
    <row r="201">
      <c r="A201" s="1" t="s">
        <v>518</v>
      </c>
      <c r="B201" s="1">
        <v>4.0</v>
      </c>
    </row>
    <row r="202">
      <c r="A202" s="1" t="s">
        <v>163</v>
      </c>
      <c r="B202" s="1">
        <v>35.0</v>
      </c>
    </row>
    <row r="203">
      <c r="A203" s="1" t="s">
        <v>743</v>
      </c>
      <c r="B203" s="1">
        <v>30.0</v>
      </c>
    </row>
    <row r="204">
      <c r="A204" s="1" t="s">
        <v>744</v>
      </c>
      <c r="B204" s="1">
        <v>119.0</v>
      </c>
    </row>
    <row r="205">
      <c r="A205" s="1" t="s">
        <v>308</v>
      </c>
      <c r="B205" s="1">
        <v>16.0</v>
      </c>
    </row>
    <row r="206">
      <c r="A206" s="1" t="s">
        <v>745</v>
      </c>
      <c r="B206" s="1">
        <v>206.0</v>
      </c>
    </row>
    <row r="207">
      <c r="A207" s="1" t="s">
        <v>746</v>
      </c>
      <c r="B207" s="1">
        <v>9.0</v>
      </c>
    </row>
    <row r="208">
      <c r="A208" s="1" t="s">
        <v>309</v>
      </c>
      <c r="B208" s="1">
        <v>3.0</v>
      </c>
    </row>
    <row r="209">
      <c r="A209" s="1" t="s">
        <v>168</v>
      </c>
      <c r="B209" s="1">
        <v>30.0</v>
      </c>
    </row>
    <row r="210">
      <c r="A210" s="1" t="s">
        <v>768</v>
      </c>
      <c r="B210" s="1">
        <v>358.0</v>
      </c>
    </row>
    <row r="211">
      <c r="A211" s="1" t="s">
        <v>747</v>
      </c>
      <c r="B211" s="1">
        <v>8.0</v>
      </c>
    </row>
    <row r="212">
      <c r="A212" s="1" t="s">
        <v>748</v>
      </c>
      <c r="B212" s="1">
        <v>36.0</v>
      </c>
    </row>
    <row r="213">
      <c r="A213" s="1" t="s">
        <v>749</v>
      </c>
      <c r="B213" s="1">
        <v>228.0</v>
      </c>
    </row>
    <row r="214">
      <c r="A214" s="1" t="s">
        <v>316</v>
      </c>
      <c r="B214" s="1">
        <v>19.0</v>
      </c>
    </row>
    <row r="215">
      <c r="A215" s="1" t="s">
        <v>750</v>
      </c>
      <c r="B215" s="1">
        <v>76.0</v>
      </c>
    </row>
    <row r="216">
      <c r="A216" s="1" t="s">
        <v>751</v>
      </c>
      <c r="B216" s="1">
        <v>5.0</v>
      </c>
    </row>
    <row r="217">
      <c r="A217" s="1" t="s">
        <v>647</v>
      </c>
      <c r="B217" s="1">
        <v>15.0</v>
      </c>
    </row>
    <row r="218">
      <c r="A218" s="1" t="s">
        <v>119</v>
      </c>
      <c r="B218" s="1">
        <v>17.0</v>
      </c>
    </row>
    <row r="219">
      <c r="A219" s="1" t="s">
        <v>273</v>
      </c>
      <c r="B219" s="1">
        <v>36.0</v>
      </c>
    </row>
    <row r="220">
      <c r="A220" s="1" t="s">
        <v>66</v>
      </c>
      <c r="B220" s="1">
        <v>16.0</v>
      </c>
    </row>
    <row r="221">
      <c r="A221" s="1" t="s">
        <v>752</v>
      </c>
      <c r="B221" s="1">
        <v>29.0</v>
      </c>
    </row>
    <row r="222">
      <c r="A222" s="1" t="s">
        <v>573</v>
      </c>
      <c r="B222" s="1">
        <v>360.0</v>
      </c>
    </row>
    <row r="223">
      <c r="A223" s="1" t="s">
        <v>627</v>
      </c>
      <c r="B223" s="1">
        <v>65.0</v>
      </c>
    </row>
    <row r="224">
      <c r="A224" s="1" t="s">
        <v>753</v>
      </c>
      <c r="B224" s="1">
        <v>193.0</v>
      </c>
    </row>
    <row r="225">
      <c r="A225" s="1" t="s">
        <v>754</v>
      </c>
      <c r="B225" s="1">
        <v>54.0</v>
      </c>
    </row>
    <row r="227">
      <c r="A227" s="1" t="s">
        <v>2395</v>
      </c>
      <c r="B227" s="727">
        <v>7880.0</v>
      </c>
    </row>
    <row r="230">
      <c r="A230" s="196" t="s">
        <v>792</v>
      </c>
      <c r="B230" s="197"/>
      <c r="C230" s="197"/>
      <c r="D230" s="197"/>
      <c r="E230" s="198" t="s">
        <v>765</v>
      </c>
      <c r="F230" s="198" t="s">
        <v>2512</v>
      </c>
      <c r="G230" s="197"/>
      <c r="H230" s="197"/>
      <c r="I230" s="198" t="s">
        <v>767</v>
      </c>
      <c r="J230" s="625">
        <v>45453.0</v>
      </c>
      <c r="K230" s="198" t="s">
        <v>769</v>
      </c>
      <c r="L230" s="625">
        <v>45428.0</v>
      </c>
      <c r="M230" s="589"/>
    </row>
    <row r="232">
      <c r="A232" s="1" t="s">
        <v>2514</v>
      </c>
      <c r="B232" s="1">
        <v>167.0</v>
      </c>
    </row>
    <row r="233">
      <c r="A233" s="1" t="s">
        <v>711</v>
      </c>
      <c r="B233" s="1">
        <v>5.0</v>
      </c>
    </row>
    <row r="234">
      <c r="A234" s="1" t="s">
        <v>202</v>
      </c>
      <c r="B234" s="1">
        <v>169.0</v>
      </c>
    </row>
    <row r="235">
      <c r="A235" s="1" t="s">
        <v>2055</v>
      </c>
      <c r="B235" s="1">
        <v>7.0</v>
      </c>
    </row>
    <row r="236">
      <c r="A236" s="1" t="s">
        <v>456</v>
      </c>
      <c r="B236" s="1">
        <v>26.0</v>
      </c>
    </row>
    <row r="237">
      <c r="A237" s="1" t="s">
        <v>593</v>
      </c>
      <c r="B237" s="1">
        <v>4.0</v>
      </c>
    </row>
    <row r="238">
      <c r="A238" s="1" t="s">
        <v>143</v>
      </c>
      <c r="B238" s="1">
        <v>16.0</v>
      </c>
    </row>
    <row r="239">
      <c r="A239" s="1" t="s">
        <v>147</v>
      </c>
      <c r="B239" s="1">
        <v>3.0</v>
      </c>
    </row>
    <row r="240">
      <c r="A240" s="1" t="s">
        <v>150</v>
      </c>
      <c r="B240" s="1">
        <v>69.0</v>
      </c>
    </row>
    <row r="241">
      <c r="A241" s="1" t="s">
        <v>151</v>
      </c>
      <c r="B241" s="1">
        <v>90.0</v>
      </c>
    </row>
    <row r="242">
      <c r="A242" s="1" t="s">
        <v>732</v>
      </c>
      <c r="B242" s="1">
        <v>14.0</v>
      </c>
    </row>
    <row r="243">
      <c r="A243" s="1" t="s">
        <v>157</v>
      </c>
      <c r="B243" s="1">
        <v>13.0</v>
      </c>
    </row>
    <row r="244">
      <c r="A244" s="1" t="s">
        <v>2522</v>
      </c>
      <c r="B244" s="1">
        <v>68.0</v>
      </c>
    </row>
    <row r="245">
      <c r="A245" s="1" t="s">
        <v>744</v>
      </c>
      <c r="B245" s="1">
        <v>27.0</v>
      </c>
    </row>
    <row r="246">
      <c r="A246" s="1" t="s">
        <v>119</v>
      </c>
      <c r="B246" s="1">
        <v>2.0</v>
      </c>
    </row>
    <row r="247">
      <c r="A247" s="1" t="s">
        <v>573</v>
      </c>
      <c r="B247" s="1">
        <v>49.0</v>
      </c>
    </row>
    <row r="248">
      <c r="A248" s="1" t="s">
        <v>753</v>
      </c>
      <c r="B248" s="1">
        <v>22.0</v>
      </c>
    </row>
    <row r="249">
      <c r="A249" s="1" t="s">
        <v>337</v>
      </c>
      <c r="B249" s="1">
        <v>24.0</v>
      </c>
    </row>
    <row r="250">
      <c r="A250" s="1" t="s">
        <v>727</v>
      </c>
      <c r="B250" s="1">
        <v>9.0</v>
      </c>
    </row>
    <row r="251">
      <c r="A251" s="1" t="s">
        <v>587</v>
      </c>
      <c r="B251" s="1">
        <v>6.0</v>
      </c>
    </row>
    <row r="252">
      <c r="A252" s="1" t="s">
        <v>386</v>
      </c>
      <c r="B252" s="1">
        <v>27.0</v>
      </c>
    </row>
    <row r="253">
      <c r="A253" s="1" t="s">
        <v>745</v>
      </c>
      <c r="B253" s="1">
        <v>61.0</v>
      </c>
    </row>
    <row r="254">
      <c r="A254" s="1" t="s">
        <v>734</v>
      </c>
      <c r="B254" s="1">
        <v>24.0</v>
      </c>
    </row>
    <row r="255">
      <c r="A255" s="1" t="s">
        <v>710</v>
      </c>
      <c r="B255" s="1">
        <v>15.0</v>
      </c>
    </row>
    <row r="256">
      <c r="A256" s="1" t="s">
        <v>656</v>
      </c>
      <c r="B256" s="1">
        <v>30.0</v>
      </c>
    </row>
    <row r="257">
      <c r="A257" s="1" t="s">
        <v>741</v>
      </c>
      <c r="B257" s="1">
        <v>53.0</v>
      </c>
    </row>
    <row r="258">
      <c r="A258" s="1" t="s">
        <v>140</v>
      </c>
      <c r="B258" s="1">
        <v>15.0</v>
      </c>
    </row>
    <row r="259">
      <c r="A259" s="1" t="s">
        <v>752</v>
      </c>
      <c r="B259" s="1">
        <v>7.0</v>
      </c>
    </row>
    <row r="260">
      <c r="A260" s="1" t="s">
        <v>647</v>
      </c>
      <c r="B260" s="1">
        <v>4.0</v>
      </c>
    </row>
    <row r="261">
      <c r="A261" s="1" t="s">
        <v>768</v>
      </c>
      <c r="B261" s="1">
        <v>62.0</v>
      </c>
    </row>
    <row r="262">
      <c r="A262" s="1" t="s">
        <v>749</v>
      </c>
      <c r="B262" s="1">
        <v>44.0</v>
      </c>
    </row>
    <row r="263">
      <c r="A263" s="1" t="s">
        <v>163</v>
      </c>
      <c r="B263" s="1">
        <v>22.0</v>
      </c>
    </row>
    <row r="264">
      <c r="A264" s="1" t="s">
        <v>135</v>
      </c>
      <c r="B264" s="1">
        <v>15.0</v>
      </c>
    </row>
    <row r="265">
      <c r="A265" s="1" t="s">
        <v>142</v>
      </c>
      <c r="B265" s="1">
        <v>16.0</v>
      </c>
    </row>
    <row r="266">
      <c r="A266" s="1" t="s">
        <v>273</v>
      </c>
      <c r="B266" s="1">
        <v>9.0</v>
      </c>
    </row>
    <row r="267">
      <c r="A267" s="1" t="s">
        <v>263</v>
      </c>
      <c r="B267" s="1">
        <v>15.0</v>
      </c>
    </row>
    <row r="268">
      <c r="A268" s="1" t="s">
        <v>743</v>
      </c>
      <c r="B268" s="1">
        <v>8.0</v>
      </c>
    </row>
    <row r="269">
      <c r="A269" s="1" t="s">
        <v>2515</v>
      </c>
      <c r="B269" s="1">
        <v>45.0</v>
      </c>
    </row>
    <row r="270">
      <c r="A270" s="1" t="s">
        <v>742</v>
      </c>
      <c r="B270" s="1">
        <v>5.0</v>
      </c>
    </row>
    <row r="271">
      <c r="A271" s="1" t="s">
        <v>709</v>
      </c>
      <c r="B271" s="1">
        <v>41.0</v>
      </c>
    </row>
    <row r="272">
      <c r="A272" s="1" t="s">
        <v>723</v>
      </c>
      <c r="B272" s="1">
        <v>7.0</v>
      </c>
    </row>
    <row r="273">
      <c r="A273" s="1" t="s">
        <v>750</v>
      </c>
      <c r="B273" s="1">
        <v>27.0</v>
      </c>
    </row>
    <row r="274">
      <c r="A274" s="1" t="s">
        <v>748</v>
      </c>
      <c r="B274" s="1">
        <v>9.0</v>
      </c>
    </row>
    <row r="275">
      <c r="A275" s="1" t="s">
        <v>740</v>
      </c>
      <c r="B275" s="1">
        <v>4.0</v>
      </c>
    </row>
    <row r="276">
      <c r="A276" s="1" t="s">
        <v>246</v>
      </c>
      <c r="B276" s="1">
        <v>5.0</v>
      </c>
    </row>
    <row r="277">
      <c r="A277" s="1" t="s">
        <v>706</v>
      </c>
      <c r="B277" s="1">
        <v>3.0</v>
      </c>
    </row>
    <row r="278">
      <c r="A278" s="1" t="s">
        <v>138</v>
      </c>
      <c r="B278" s="1">
        <v>4.0</v>
      </c>
    </row>
    <row r="279">
      <c r="A279" s="1" t="s">
        <v>168</v>
      </c>
      <c r="B279" s="1">
        <v>11.0</v>
      </c>
    </row>
    <row r="280">
      <c r="A280" s="1" t="s">
        <v>720</v>
      </c>
      <c r="B280" s="1">
        <v>6.0</v>
      </c>
    </row>
    <row r="281">
      <c r="A281" s="1" t="s">
        <v>754</v>
      </c>
      <c r="B281" s="1">
        <v>7.0</v>
      </c>
    </row>
    <row r="282">
      <c r="A282" s="1" t="s">
        <v>728</v>
      </c>
      <c r="B282" s="1">
        <v>17.0</v>
      </c>
    </row>
    <row r="283">
      <c r="A283" s="1" t="s">
        <v>731</v>
      </c>
      <c r="B283" s="1">
        <v>11.0</v>
      </c>
    </row>
    <row r="284">
      <c r="A284" s="1" t="s">
        <v>497</v>
      </c>
      <c r="B284" s="1">
        <v>5.0</v>
      </c>
    </row>
    <row r="285">
      <c r="A285" s="1" t="s">
        <v>569</v>
      </c>
      <c r="B285" s="1">
        <v>13.0</v>
      </c>
    </row>
    <row r="286">
      <c r="A286" s="1" t="s">
        <v>627</v>
      </c>
      <c r="B286" s="1">
        <v>17.0</v>
      </c>
    </row>
    <row r="287">
      <c r="A287" s="1" t="s">
        <v>736</v>
      </c>
      <c r="B287" s="1">
        <v>5.0</v>
      </c>
    </row>
    <row r="288">
      <c r="A288" s="1" t="s">
        <v>716</v>
      </c>
      <c r="B288" s="1">
        <v>6.0</v>
      </c>
    </row>
    <row r="289">
      <c r="A289" s="1" t="s">
        <v>712</v>
      </c>
      <c r="B289" s="1">
        <v>12.0</v>
      </c>
    </row>
    <row r="290">
      <c r="A290" s="1" t="s">
        <v>293</v>
      </c>
      <c r="B290" s="1">
        <v>12.0</v>
      </c>
    </row>
    <row r="291">
      <c r="A291" s="1" t="s">
        <v>131</v>
      </c>
      <c r="B291" s="1">
        <v>12.0</v>
      </c>
    </row>
    <row r="292">
      <c r="A292" s="1" t="s">
        <v>724</v>
      </c>
      <c r="B292" s="1">
        <v>13.0</v>
      </c>
    </row>
    <row r="293">
      <c r="A293" s="1" t="s">
        <v>746</v>
      </c>
      <c r="B293" s="1">
        <v>1.0</v>
      </c>
    </row>
    <row r="294">
      <c r="A294" s="1" t="s">
        <v>738</v>
      </c>
      <c r="B294" s="1">
        <v>3.0</v>
      </c>
    </row>
    <row r="295">
      <c r="A295" s="1" t="s">
        <v>275</v>
      </c>
      <c r="B295" s="1">
        <v>8.0</v>
      </c>
    </row>
    <row r="296">
      <c r="A296" s="1" t="s">
        <v>156</v>
      </c>
      <c r="B296" s="1">
        <v>8.0</v>
      </c>
    </row>
    <row r="297">
      <c r="A297" s="1" t="s">
        <v>708</v>
      </c>
      <c r="B297" s="1">
        <v>3.0</v>
      </c>
    </row>
    <row r="298">
      <c r="A298" s="1" t="s">
        <v>726</v>
      </c>
      <c r="B298" s="1">
        <v>9.0</v>
      </c>
    </row>
    <row r="299">
      <c r="A299" s="1" t="s">
        <v>316</v>
      </c>
      <c r="B299" s="1">
        <v>7.0</v>
      </c>
    </row>
    <row r="300">
      <c r="A300" s="1" t="s">
        <v>153</v>
      </c>
      <c r="B300" s="1">
        <v>9.0</v>
      </c>
    </row>
    <row r="301">
      <c r="A301" s="1" t="s">
        <v>729</v>
      </c>
      <c r="B301" s="1">
        <v>8.0</v>
      </c>
    </row>
    <row r="302">
      <c r="A302" s="1" t="s">
        <v>154</v>
      </c>
      <c r="B302" s="1">
        <v>4.0</v>
      </c>
    </row>
    <row r="303">
      <c r="A303" s="1" t="s">
        <v>735</v>
      </c>
      <c r="B303" s="1">
        <v>7.0</v>
      </c>
    </row>
    <row r="304">
      <c r="A304" s="1" t="s">
        <v>707</v>
      </c>
      <c r="B304" s="1">
        <v>5.0</v>
      </c>
    </row>
    <row r="305">
      <c r="A305" s="1" t="s">
        <v>66</v>
      </c>
      <c r="B305" s="1">
        <v>7.0</v>
      </c>
    </row>
    <row r="306">
      <c r="A306" s="1" t="s">
        <v>308</v>
      </c>
      <c r="B306" s="1">
        <v>7.0</v>
      </c>
    </row>
    <row r="307">
      <c r="A307" s="1" t="s">
        <v>412</v>
      </c>
      <c r="B307" s="1">
        <v>4.0</v>
      </c>
    </row>
    <row r="308">
      <c r="A308" s="1" t="s">
        <v>253</v>
      </c>
      <c r="B308" s="1">
        <v>3.0</v>
      </c>
    </row>
    <row r="309">
      <c r="A309" s="1" t="s">
        <v>2426</v>
      </c>
      <c r="B309" s="1">
        <v>5.0</v>
      </c>
    </row>
    <row r="310">
      <c r="A310" s="1" t="s">
        <v>136</v>
      </c>
      <c r="B310" s="1">
        <v>5.0</v>
      </c>
    </row>
    <row r="311">
      <c r="A311" s="1" t="s">
        <v>730</v>
      </c>
      <c r="B311" s="1">
        <v>5.0</v>
      </c>
    </row>
    <row r="312">
      <c r="A312" s="1" t="s">
        <v>93</v>
      </c>
      <c r="B312" s="1">
        <v>3.0</v>
      </c>
    </row>
    <row r="313">
      <c r="A313" s="1" t="s">
        <v>725</v>
      </c>
      <c r="B313" s="1">
        <v>1.0</v>
      </c>
    </row>
    <row r="314">
      <c r="A314" s="1" t="s">
        <v>705</v>
      </c>
      <c r="B314" s="1">
        <v>5.0</v>
      </c>
    </row>
    <row r="315">
      <c r="A315" s="1" t="s">
        <v>713</v>
      </c>
      <c r="B315" s="1">
        <v>2.0</v>
      </c>
    </row>
    <row r="316">
      <c r="A316" s="1" t="s">
        <v>248</v>
      </c>
      <c r="B316" s="1">
        <v>1.0</v>
      </c>
    </row>
    <row r="317">
      <c r="A317" s="1" t="s">
        <v>158</v>
      </c>
      <c r="B317" s="1">
        <v>1.0</v>
      </c>
    </row>
    <row r="318">
      <c r="A318" s="1" t="s">
        <v>739</v>
      </c>
      <c r="B318" s="1">
        <v>8.0</v>
      </c>
    </row>
    <row r="319">
      <c r="A319" s="1" t="s">
        <v>162</v>
      </c>
      <c r="B319" s="1">
        <v>3.0</v>
      </c>
    </row>
    <row r="320">
      <c r="A320" s="1" t="s">
        <v>718</v>
      </c>
      <c r="B320" s="1">
        <v>2.0</v>
      </c>
    </row>
    <row r="321">
      <c r="A321" s="1" t="s">
        <v>159</v>
      </c>
      <c r="B321" s="1">
        <v>2.0</v>
      </c>
    </row>
    <row r="322">
      <c r="A322" s="1" t="s">
        <v>288</v>
      </c>
      <c r="B322" s="1">
        <v>4.0</v>
      </c>
    </row>
    <row r="323">
      <c r="A323" s="1" t="s">
        <v>751</v>
      </c>
      <c r="B323" s="1">
        <v>2.0</v>
      </c>
    </row>
    <row r="324">
      <c r="A324" s="1" t="s">
        <v>305</v>
      </c>
      <c r="B324" s="1">
        <v>3.0</v>
      </c>
    </row>
    <row r="325">
      <c r="A325" s="1" t="s">
        <v>112</v>
      </c>
      <c r="B325" s="1">
        <v>2.0</v>
      </c>
    </row>
    <row r="326">
      <c r="A326" s="1" t="s">
        <v>719</v>
      </c>
      <c r="B326" s="1">
        <v>2.0</v>
      </c>
    </row>
    <row r="327">
      <c r="A327" s="1" t="s">
        <v>717</v>
      </c>
      <c r="B327" s="1">
        <v>2.0</v>
      </c>
    </row>
    <row r="328">
      <c r="A328" s="1" t="s">
        <v>737</v>
      </c>
      <c r="B328" s="1">
        <v>1.0</v>
      </c>
    </row>
    <row r="330">
      <c r="A330" s="1" t="s">
        <v>2395</v>
      </c>
      <c r="B330" s="303">
        <v>1666.0</v>
      </c>
    </row>
    <row r="333">
      <c r="A333" s="196" t="s">
        <v>2484</v>
      </c>
      <c r="B333" s="197"/>
      <c r="C333" s="197"/>
      <c r="D333" s="197"/>
      <c r="E333" s="198" t="s">
        <v>765</v>
      </c>
      <c r="F333" s="198" t="s">
        <v>2512</v>
      </c>
      <c r="G333" s="197"/>
      <c r="H333" s="197"/>
      <c r="I333" s="198" t="s">
        <v>767</v>
      </c>
      <c r="J333" s="625">
        <v>45453.0</v>
      </c>
      <c r="K333" s="198" t="s">
        <v>769</v>
      </c>
      <c r="L333" s="625">
        <v>45428.0</v>
      </c>
      <c r="M333" s="589"/>
    </row>
    <row r="335">
      <c r="A335" s="1" t="s">
        <v>386</v>
      </c>
      <c r="B335" s="1">
        <v>40.0</v>
      </c>
    </row>
    <row r="336">
      <c r="A336" s="1" t="s">
        <v>704</v>
      </c>
      <c r="B336" s="1">
        <v>2.0</v>
      </c>
    </row>
    <row r="337">
      <c r="A337" s="1" t="s">
        <v>705</v>
      </c>
      <c r="B337" s="1">
        <v>16.0</v>
      </c>
    </row>
    <row r="338">
      <c r="A338" s="1" t="s">
        <v>246</v>
      </c>
      <c r="B338" s="1">
        <v>15.0</v>
      </c>
    </row>
    <row r="339">
      <c r="A339" s="1" t="s">
        <v>707</v>
      </c>
      <c r="B339" s="1">
        <v>22.0</v>
      </c>
    </row>
    <row r="340">
      <c r="A340" s="1" t="s">
        <v>93</v>
      </c>
      <c r="B340" s="1">
        <v>1.0</v>
      </c>
    </row>
    <row r="341">
      <c r="A341" s="1" t="s">
        <v>248</v>
      </c>
      <c r="B341" s="1">
        <v>8.0</v>
      </c>
    </row>
    <row r="342">
      <c r="A342" s="1" t="s">
        <v>708</v>
      </c>
      <c r="B342" s="1">
        <v>8.0</v>
      </c>
    </row>
    <row r="343">
      <c r="A343" s="1" t="s">
        <v>709</v>
      </c>
      <c r="B343" s="1">
        <v>60.0</v>
      </c>
    </row>
    <row r="344">
      <c r="A344" s="1" t="s">
        <v>710</v>
      </c>
      <c r="B344" s="1">
        <v>17.0</v>
      </c>
    </row>
    <row r="345">
      <c r="A345" s="1" t="s">
        <v>253</v>
      </c>
      <c r="B345" s="1">
        <v>12.0</v>
      </c>
    </row>
    <row r="346">
      <c r="A346" s="1" t="s">
        <v>112</v>
      </c>
      <c r="B346" s="1">
        <v>7.0</v>
      </c>
    </row>
    <row r="347">
      <c r="A347" s="1" t="s">
        <v>711</v>
      </c>
      <c r="B347" s="1">
        <v>28.0</v>
      </c>
    </row>
    <row r="348">
      <c r="A348" s="1" t="s">
        <v>712</v>
      </c>
      <c r="B348" s="1">
        <v>44.0</v>
      </c>
    </row>
    <row r="349">
      <c r="A349" s="1" t="s">
        <v>202</v>
      </c>
      <c r="B349" s="1">
        <v>908.0</v>
      </c>
    </row>
    <row r="350">
      <c r="A350" s="1" t="s">
        <v>263</v>
      </c>
      <c r="B350" s="1">
        <v>10.0</v>
      </c>
    </row>
    <row r="351">
      <c r="A351" s="1" t="s">
        <v>713</v>
      </c>
      <c r="B351" s="1">
        <v>9.0</v>
      </c>
    </row>
    <row r="352">
      <c r="A352" s="1" t="s">
        <v>131</v>
      </c>
      <c r="B352" s="1">
        <v>31.0</v>
      </c>
    </row>
    <row r="353">
      <c r="A353" s="1" t="s">
        <v>2055</v>
      </c>
      <c r="B353" s="1">
        <v>11.0</v>
      </c>
    </row>
    <row r="354">
      <c r="A354" s="1" t="s">
        <v>412</v>
      </c>
      <c r="B354" s="1">
        <v>13.0</v>
      </c>
    </row>
    <row r="355">
      <c r="A355" s="1" t="s">
        <v>456</v>
      </c>
      <c r="B355" s="1">
        <v>159.0</v>
      </c>
    </row>
    <row r="356">
      <c r="A356" s="1" t="s">
        <v>716</v>
      </c>
      <c r="B356" s="1">
        <v>14.0</v>
      </c>
    </row>
    <row r="357">
      <c r="A357" s="1" t="s">
        <v>717</v>
      </c>
      <c r="B357" s="1">
        <v>2.0</v>
      </c>
    </row>
    <row r="358">
      <c r="A358" s="1" t="s">
        <v>569</v>
      </c>
      <c r="B358" s="1">
        <v>20.0</v>
      </c>
    </row>
    <row r="359">
      <c r="A359" s="1" t="s">
        <v>135</v>
      </c>
      <c r="B359" s="1">
        <v>23.0</v>
      </c>
    </row>
    <row r="360">
      <c r="A360" s="1" t="s">
        <v>718</v>
      </c>
      <c r="B360" s="1">
        <v>10.0</v>
      </c>
    </row>
    <row r="361">
      <c r="A361" s="1" t="s">
        <v>136</v>
      </c>
      <c r="B361" s="1">
        <v>27.0</v>
      </c>
    </row>
    <row r="362">
      <c r="A362" s="1" t="s">
        <v>275</v>
      </c>
      <c r="B362" s="1">
        <v>24.0</v>
      </c>
    </row>
    <row r="363">
      <c r="A363" s="1" t="s">
        <v>719</v>
      </c>
      <c r="B363" s="1">
        <v>3.0</v>
      </c>
    </row>
    <row r="364">
      <c r="A364" s="1" t="s">
        <v>138</v>
      </c>
      <c r="B364" s="1">
        <v>9.0</v>
      </c>
    </row>
    <row r="365">
      <c r="A365" s="1" t="s">
        <v>720</v>
      </c>
      <c r="B365" s="1">
        <v>13.0</v>
      </c>
    </row>
    <row r="366">
      <c r="A366" s="1" t="s">
        <v>497</v>
      </c>
      <c r="B366" s="1">
        <v>4.0</v>
      </c>
    </row>
    <row r="367">
      <c r="A367" s="1" t="s">
        <v>587</v>
      </c>
      <c r="B367" s="1">
        <v>12.0</v>
      </c>
    </row>
    <row r="368">
      <c r="A368" s="1" t="s">
        <v>721</v>
      </c>
      <c r="B368" s="1">
        <v>2.0</v>
      </c>
    </row>
    <row r="369">
      <c r="A369" s="1" t="s">
        <v>722</v>
      </c>
      <c r="B369" s="1">
        <v>3.0</v>
      </c>
    </row>
    <row r="370">
      <c r="A370" s="1" t="s">
        <v>140</v>
      </c>
      <c r="B370" s="1">
        <v>37.0</v>
      </c>
    </row>
    <row r="371">
      <c r="A371" s="1" t="s">
        <v>723</v>
      </c>
      <c r="B371" s="1">
        <v>10.0</v>
      </c>
    </row>
    <row r="372">
      <c r="A372" s="1" t="s">
        <v>142</v>
      </c>
      <c r="B372" s="1">
        <v>20.0</v>
      </c>
    </row>
    <row r="373">
      <c r="A373" s="1" t="s">
        <v>593</v>
      </c>
      <c r="B373" s="1">
        <v>5.0</v>
      </c>
    </row>
    <row r="374">
      <c r="A374" s="1" t="s">
        <v>143</v>
      </c>
      <c r="B374" s="1">
        <v>38.0</v>
      </c>
    </row>
    <row r="375">
      <c r="A375" s="1" t="s">
        <v>724</v>
      </c>
      <c r="B375" s="1">
        <v>6.0</v>
      </c>
    </row>
    <row r="376">
      <c r="A376" s="1" t="s">
        <v>725</v>
      </c>
      <c r="B376" s="1">
        <v>8.0</v>
      </c>
    </row>
    <row r="377">
      <c r="A377" s="1" t="s">
        <v>288</v>
      </c>
      <c r="B377" s="1">
        <v>3.0</v>
      </c>
    </row>
    <row r="378">
      <c r="A378" s="1" t="s">
        <v>656</v>
      </c>
      <c r="B378" s="1">
        <v>150.0</v>
      </c>
    </row>
    <row r="379">
      <c r="A379" s="1" t="s">
        <v>726</v>
      </c>
      <c r="B379" s="1">
        <v>20.0</v>
      </c>
    </row>
    <row r="380">
      <c r="A380" s="1" t="s">
        <v>727</v>
      </c>
      <c r="B380" s="1">
        <v>24.0</v>
      </c>
    </row>
    <row r="381">
      <c r="A381" s="1" t="s">
        <v>728</v>
      </c>
      <c r="B381" s="1">
        <v>76.0</v>
      </c>
    </row>
    <row r="382">
      <c r="A382" s="1" t="s">
        <v>337</v>
      </c>
      <c r="B382" s="1">
        <v>236.0</v>
      </c>
    </row>
    <row r="383">
      <c r="A383" s="1" t="s">
        <v>729</v>
      </c>
      <c r="B383" s="1">
        <v>75.0</v>
      </c>
    </row>
    <row r="384">
      <c r="A384" s="1" t="s">
        <v>146</v>
      </c>
      <c r="B384" s="1">
        <v>9.0</v>
      </c>
    </row>
    <row r="385">
      <c r="A385" s="1" t="s">
        <v>147</v>
      </c>
      <c r="B385" s="1">
        <v>14.0</v>
      </c>
    </row>
    <row r="386">
      <c r="A386" s="1" t="s">
        <v>730</v>
      </c>
      <c r="B386" s="1">
        <v>23.0</v>
      </c>
    </row>
    <row r="387">
      <c r="A387" s="1" t="s">
        <v>293</v>
      </c>
      <c r="B387" s="1">
        <v>12.0</v>
      </c>
    </row>
    <row r="388">
      <c r="A388" s="1" t="s">
        <v>150</v>
      </c>
      <c r="B388" s="1">
        <v>71.0</v>
      </c>
    </row>
    <row r="389">
      <c r="A389" s="1" t="s">
        <v>734</v>
      </c>
      <c r="B389" s="1">
        <v>30.0</v>
      </c>
    </row>
    <row r="390">
      <c r="A390" s="1" t="s">
        <v>151</v>
      </c>
      <c r="B390" s="1">
        <v>146.0</v>
      </c>
    </row>
    <row r="391">
      <c r="A391" s="1" t="s">
        <v>153</v>
      </c>
      <c r="B391" s="1">
        <v>36.0</v>
      </c>
    </row>
    <row r="392">
      <c r="A392" s="1" t="s">
        <v>154</v>
      </c>
      <c r="B392" s="1">
        <v>5.0</v>
      </c>
    </row>
    <row r="393">
      <c r="A393" s="1" t="s">
        <v>735</v>
      </c>
      <c r="B393" s="1">
        <v>6.0</v>
      </c>
    </row>
    <row r="394">
      <c r="A394" s="1" t="s">
        <v>736</v>
      </c>
      <c r="B394" s="1">
        <v>7.0</v>
      </c>
    </row>
    <row r="395">
      <c r="A395" s="1" t="s">
        <v>731</v>
      </c>
      <c r="B395" s="1">
        <v>24.0</v>
      </c>
    </row>
    <row r="396">
      <c r="A396" s="1" t="s">
        <v>732</v>
      </c>
      <c r="B396" s="1">
        <v>76.0</v>
      </c>
    </row>
    <row r="397">
      <c r="A397" s="1" t="s">
        <v>2515</v>
      </c>
      <c r="B397" s="1">
        <v>60.0</v>
      </c>
    </row>
    <row r="398">
      <c r="A398" s="1" t="s">
        <v>737</v>
      </c>
      <c r="B398" s="1">
        <v>1.0</v>
      </c>
    </row>
    <row r="399">
      <c r="A399" s="1" t="s">
        <v>738</v>
      </c>
      <c r="B399" s="1">
        <v>10.0</v>
      </c>
    </row>
    <row r="400">
      <c r="A400" s="1" t="s">
        <v>156</v>
      </c>
      <c r="B400" s="1">
        <v>4.0</v>
      </c>
    </row>
    <row r="401">
      <c r="A401" s="1" t="s">
        <v>157</v>
      </c>
      <c r="B401" s="1">
        <v>8.0</v>
      </c>
    </row>
    <row r="402">
      <c r="A402" s="1" t="s">
        <v>158</v>
      </c>
      <c r="B402" s="1">
        <v>39.0</v>
      </c>
    </row>
    <row r="403">
      <c r="A403" s="1" t="s">
        <v>739</v>
      </c>
      <c r="B403" s="1">
        <v>5.0</v>
      </c>
    </row>
    <row r="404">
      <c r="A404" s="1" t="s">
        <v>740</v>
      </c>
      <c r="B404" s="1">
        <v>15.0</v>
      </c>
    </row>
    <row r="405">
      <c r="A405" s="1" t="s">
        <v>2522</v>
      </c>
      <c r="B405" s="1">
        <v>4.0</v>
      </c>
    </row>
    <row r="406">
      <c r="A406" s="1" t="s">
        <v>741</v>
      </c>
      <c r="B406" s="1">
        <v>137.0</v>
      </c>
    </row>
    <row r="407">
      <c r="A407" s="1" t="s">
        <v>159</v>
      </c>
      <c r="B407" s="1">
        <v>4.0</v>
      </c>
    </row>
    <row r="408">
      <c r="A408" s="1" t="s">
        <v>742</v>
      </c>
      <c r="B408" s="1">
        <v>8.0</v>
      </c>
    </row>
    <row r="409">
      <c r="A409" s="1" t="s">
        <v>162</v>
      </c>
      <c r="B409" s="1">
        <v>8.0</v>
      </c>
    </row>
    <row r="410">
      <c r="A410" s="1" t="s">
        <v>303</v>
      </c>
      <c r="B410" s="1">
        <v>4.0</v>
      </c>
    </row>
    <row r="411">
      <c r="A411" s="1" t="s">
        <v>305</v>
      </c>
      <c r="B411" s="1">
        <v>7.0</v>
      </c>
    </row>
    <row r="412">
      <c r="A412" s="1" t="s">
        <v>518</v>
      </c>
      <c r="B412" s="1">
        <v>1.0</v>
      </c>
    </row>
    <row r="413">
      <c r="A413" s="1" t="s">
        <v>163</v>
      </c>
      <c r="B413" s="1">
        <v>27.0</v>
      </c>
    </row>
    <row r="414">
      <c r="A414" s="1" t="s">
        <v>743</v>
      </c>
      <c r="B414" s="1">
        <v>18.0</v>
      </c>
    </row>
    <row r="415">
      <c r="A415" s="1" t="s">
        <v>744</v>
      </c>
      <c r="B415" s="1">
        <v>115.0</v>
      </c>
    </row>
    <row r="416">
      <c r="A416" s="1" t="s">
        <v>308</v>
      </c>
      <c r="B416" s="1">
        <v>20.0</v>
      </c>
    </row>
    <row r="417">
      <c r="A417" s="1" t="s">
        <v>745</v>
      </c>
      <c r="B417" s="1">
        <v>68.0</v>
      </c>
    </row>
    <row r="418">
      <c r="A418" s="1" t="s">
        <v>746</v>
      </c>
      <c r="B418" s="1">
        <v>5.0</v>
      </c>
    </row>
    <row r="419">
      <c r="A419" s="1" t="s">
        <v>309</v>
      </c>
      <c r="B419" s="1">
        <v>1.0</v>
      </c>
    </row>
    <row r="420">
      <c r="A420" s="1" t="s">
        <v>168</v>
      </c>
      <c r="B420" s="1">
        <v>10.0</v>
      </c>
    </row>
    <row r="421">
      <c r="A421" s="1" t="s">
        <v>768</v>
      </c>
      <c r="B421" s="1">
        <v>130.0</v>
      </c>
    </row>
    <row r="422">
      <c r="A422" s="1" t="s">
        <v>747</v>
      </c>
      <c r="B422" s="1">
        <v>1.0</v>
      </c>
    </row>
    <row r="423">
      <c r="A423" s="1" t="s">
        <v>748</v>
      </c>
      <c r="B423" s="1">
        <v>47.0</v>
      </c>
    </row>
    <row r="424">
      <c r="A424" s="1" t="s">
        <v>749</v>
      </c>
      <c r="B424" s="1">
        <v>73.0</v>
      </c>
    </row>
    <row r="425">
      <c r="A425" s="1" t="s">
        <v>316</v>
      </c>
      <c r="B425" s="1">
        <v>9.0</v>
      </c>
    </row>
    <row r="426">
      <c r="A426" s="1" t="s">
        <v>2426</v>
      </c>
      <c r="B426" s="1">
        <v>14.0</v>
      </c>
    </row>
    <row r="427">
      <c r="A427" s="1" t="s">
        <v>750</v>
      </c>
      <c r="B427" s="1">
        <v>44.0</v>
      </c>
    </row>
    <row r="428">
      <c r="A428" s="1" t="s">
        <v>751</v>
      </c>
      <c r="B428" s="1">
        <v>5.0</v>
      </c>
    </row>
    <row r="429">
      <c r="A429" s="1" t="s">
        <v>647</v>
      </c>
      <c r="B429" s="1">
        <v>18.0</v>
      </c>
    </row>
    <row r="430">
      <c r="A430" s="1" t="s">
        <v>119</v>
      </c>
      <c r="B430" s="1">
        <v>8.0</v>
      </c>
    </row>
    <row r="431">
      <c r="A431" s="1" t="s">
        <v>273</v>
      </c>
      <c r="B431" s="1">
        <v>12.0</v>
      </c>
    </row>
    <row r="432">
      <c r="A432" s="1" t="s">
        <v>66</v>
      </c>
      <c r="B432" s="1">
        <v>10.0</v>
      </c>
    </row>
    <row r="433">
      <c r="A433" s="1" t="s">
        <v>752</v>
      </c>
      <c r="B433" s="1">
        <v>26.0</v>
      </c>
    </row>
    <row r="434">
      <c r="A434" s="1" t="s">
        <v>573</v>
      </c>
      <c r="B434" s="1">
        <v>122.0</v>
      </c>
    </row>
    <row r="435">
      <c r="A435" s="1" t="s">
        <v>627</v>
      </c>
      <c r="B435" s="1">
        <v>40.0</v>
      </c>
    </row>
    <row r="436">
      <c r="A436" s="1" t="s">
        <v>753</v>
      </c>
      <c r="B436" s="1">
        <v>160.0</v>
      </c>
    </row>
    <row r="437">
      <c r="A437" s="1" t="s">
        <v>754</v>
      </c>
      <c r="B437" s="1">
        <v>17.0</v>
      </c>
    </row>
    <row r="439">
      <c r="A439" s="1" t="s">
        <v>2523</v>
      </c>
      <c r="B439" s="727">
        <v>4069.0</v>
      </c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2524</v>
      </c>
      <c r="B1" s="1" t="s">
        <v>2525</v>
      </c>
      <c r="C1" s="1" t="s">
        <v>2526</v>
      </c>
      <c r="D1" s="1" t="s">
        <v>2527</v>
      </c>
      <c r="E1" s="1" t="s">
        <v>2528</v>
      </c>
      <c r="F1" s="1" t="s">
        <v>2529</v>
      </c>
    </row>
    <row r="2">
      <c r="A2" s="1" t="s">
        <v>386</v>
      </c>
      <c r="B2" s="1">
        <v>82.0</v>
      </c>
      <c r="C2" s="1">
        <v>187.0</v>
      </c>
      <c r="D2" s="1">
        <v>101.0</v>
      </c>
      <c r="E2" s="1">
        <v>1.23</v>
      </c>
      <c r="F2" s="1">
        <v>2.28</v>
      </c>
    </row>
    <row r="3">
      <c r="A3" s="1" t="s">
        <v>704</v>
      </c>
      <c r="B3" s="1">
        <v>6.0</v>
      </c>
      <c r="C3" s="1">
        <v>10.0</v>
      </c>
      <c r="D3" s="1">
        <v>9.0</v>
      </c>
      <c r="E3" s="1">
        <v>1.5</v>
      </c>
      <c r="F3" s="1">
        <v>1.67</v>
      </c>
    </row>
    <row r="4">
      <c r="A4" s="1" t="s">
        <v>705</v>
      </c>
      <c r="B4" s="1">
        <v>16.0</v>
      </c>
      <c r="C4" s="1">
        <v>36.0</v>
      </c>
      <c r="D4" s="1">
        <v>16.0</v>
      </c>
      <c r="E4" s="1">
        <v>1.0</v>
      </c>
      <c r="F4" s="1">
        <v>2.25</v>
      </c>
    </row>
    <row r="5">
      <c r="A5" s="1" t="s">
        <v>246</v>
      </c>
      <c r="B5" s="1">
        <v>33.0</v>
      </c>
      <c r="C5" s="1">
        <v>65.0</v>
      </c>
      <c r="D5" s="1">
        <v>38.0</v>
      </c>
      <c r="E5" s="1">
        <v>1.15</v>
      </c>
      <c r="F5" s="1">
        <v>1.97</v>
      </c>
    </row>
    <row r="6">
      <c r="A6" s="1" t="s">
        <v>706</v>
      </c>
      <c r="B6" s="1">
        <v>7.0</v>
      </c>
      <c r="C6" s="1">
        <v>17.0</v>
      </c>
      <c r="D6" s="1">
        <v>10.0</v>
      </c>
      <c r="E6" s="1">
        <v>1.43</v>
      </c>
      <c r="F6" s="1">
        <v>2.43</v>
      </c>
    </row>
    <row r="7">
      <c r="A7" s="1" t="s">
        <v>707</v>
      </c>
      <c r="B7" s="1">
        <v>31.0</v>
      </c>
      <c r="C7" s="1">
        <v>84.0</v>
      </c>
      <c r="D7" s="1">
        <v>55.0</v>
      </c>
      <c r="E7" s="1">
        <v>1.77</v>
      </c>
      <c r="F7" s="1">
        <v>2.71</v>
      </c>
    </row>
    <row r="8">
      <c r="A8" s="1" t="s">
        <v>93</v>
      </c>
      <c r="B8" s="1">
        <v>2.0</v>
      </c>
      <c r="C8" s="1">
        <v>4.0</v>
      </c>
      <c r="D8" s="1">
        <v>2.0</v>
      </c>
      <c r="E8" s="1">
        <v>1.0</v>
      </c>
      <c r="F8" s="1">
        <v>2.0</v>
      </c>
    </row>
    <row r="9">
      <c r="A9" s="1" t="s">
        <v>248</v>
      </c>
      <c r="B9" s="1">
        <v>8.0</v>
      </c>
      <c r="C9" s="1">
        <v>18.0</v>
      </c>
      <c r="D9" s="1">
        <v>10.0</v>
      </c>
      <c r="E9" s="1">
        <v>1.25</v>
      </c>
      <c r="F9" s="1">
        <v>2.25</v>
      </c>
    </row>
    <row r="10">
      <c r="A10" s="1" t="s">
        <v>708</v>
      </c>
      <c r="B10" s="1">
        <v>7.0</v>
      </c>
      <c r="C10" s="1">
        <v>21.0</v>
      </c>
      <c r="D10" s="1">
        <v>13.0</v>
      </c>
      <c r="E10" s="1">
        <v>1.86</v>
      </c>
      <c r="F10" s="1">
        <v>3.0</v>
      </c>
    </row>
    <row r="11">
      <c r="A11" s="1" t="s">
        <v>709</v>
      </c>
      <c r="B11" s="1">
        <v>165.0</v>
      </c>
      <c r="C11" s="1">
        <v>419.0</v>
      </c>
      <c r="D11" s="1">
        <v>262.0</v>
      </c>
      <c r="E11" s="1">
        <v>1.59</v>
      </c>
      <c r="F11" s="1">
        <v>2.54</v>
      </c>
    </row>
    <row r="12">
      <c r="A12" s="1" t="s">
        <v>710</v>
      </c>
      <c r="B12" s="1">
        <v>54.0</v>
      </c>
      <c r="C12" s="1">
        <v>139.0</v>
      </c>
      <c r="D12" s="1">
        <v>87.0</v>
      </c>
      <c r="E12" s="1">
        <v>1.61</v>
      </c>
      <c r="F12" s="1">
        <v>2.57</v>
      </c>
    </row>
    <row r="13">
      <c r="A13" s="1" t="s">
        <v>2514</v>
      </c>
      <c r="B13" s="1">
        <v>1013.0</v>
      </c>
      <c r="C13" s="1">
        <v>2441.0</v>
      </c>
      <c r="D13" s="1">
        <v>1556.0</v>
      </c>
      <c r="E13" s="1">
        <v>1.54</v>
      </c>
      <c r="F13" s="1">
        <v>2.41</v>
      </c>
    </row>
    <row r="14">
      <c r="A14" s="1" t="s">
        <v>253</v>
      </c>
      <c r="B14" s="1">
        <v>17.0</v>
      </c>
      <c r="C14" s="1">
        <v>35.0</v>
      </c>
      <c r="D14" s="1">
        <v>18.0</v>
      </c>
      <c r="E14" s="1">
        <v>1.06</v>
      </c>
      <c r="F14" s="1">
        <v>2.06</v>
      </c>
    </row>
    <row r="15">
      <c r="A15" s="1" t="s">
        <v>112</v>
      </c>
      <c r="B15" s="1">
        <v>19.0</v>
      </c>
      <c r="C15" s="1">
        <v>39.0</v>
      </c>
      <c r="D15" s="1">
        <v>15.0</v>
      </c>
      <c r="E15" s="1">
        <v>0.79</v>
      </c>
      <c r="F15" s="1">
        <v>2.05</v>
      </c>
    </row>
    <row r="16">
      <c r="A16" s="1" t="s">
        <v>711</v>
      </c>
      <c r="B16" s="1">
        <v>25.0</v>
      </c>
      <c r="C16" s="1">
        <v>61.0</v>
      </c>
      <c r="D16" s="1">
        <v>34.0</v>
      </c>
      <c r="E16" s="1">
        <v>1.36</v>
      </c>
      <c r="F16" s="1">
        <v>2.44</v>
      </c>
    </row>
    <row r="17">
      <c r="A17" s="1" t="s">
        <v>712</v>
      </c>
      <c r="B17" s="1">
        <v>37.0</v>
      </c>
      <c r="C17" s="1">
        <v>95.0</v>
      </c>
      <c r="D17" s="1">
        <v>47.0</v>
      </c>
      <c r="E17" s="1">
        <v>1.27</v>
      </c>
      <c r="F17" s="1">
        <v>2.57</v>
      </c>
    </row>
    <row r="18">
      <c r="A18" s="1" t="s">
        <v>202</v>
      </c>
      <c r="B18" s="1">
        <v>1282.0</v>
      </c>
      <c r="C18" s="1">
        <v>2899.0</v>
      </c>
      <c r="D18" s="1">
        <v>1916.0</v>
      </c>
      <c r="E18" s="1">
        <v>1.49</v>
      </c>
      <c r="F18" s="1">
        <v>2.26</v>
      </c>
    </row>
    <row r="19">
      <c r="A19" s="1" t="s">
        <v>263</v>
      </c>
      <c r="B19" s="1">
        <v>25.0</v>
      </c>
      <c r="C19" s="1">
        <v>47.0</v>
      </c>
      <c r="D19" s="1">
        <v>13.0</v>
      </c>
      <c r="E19" s="1">
        <v>0.52</v>
      </c>
      <c r="F19" s="1">
        <v>1.88</v>
      </c>
    </row>
    <row r="20">
      <c r="A20" s="1" t="s">
        <v>713</v>
      </c>
      <c r="B20" s="1">
        <v>15.0</v>
      </c>
      <c r="C20" s="1">
        <v>31.0</v>
      </c>
      <c r="D20" s="1">
        <v>10.0</v>
      </c>
      <c r="E20" s="1">
        <v>0.67</v>
      </c>
      <c r="F20" s="1">
        <v>2.07</v>
      </c>
    </row>
    <row r="21">
      <c r="A21" s="1" t="s">
        <v>2530</v>
      </c>
      <c r="B21" s="1">
        <v>49.0</v>
      </c>
      <c r="C21" s="1">
        <v>119.0</v>
      </c>
      <c r="D21" s="1">
        <v>73.0</v>
      </c>
      <c r="E21" s="1">
        <v>1.49</v>
      </c>
      <c r="F21" s="1">
        <v>2.43</v>
      </c>
    </row>
    <row r="22">
      <c r="A22" s="1" t="s">
        <v>2531</v>
      </c>
      <c r="B22" s="1">
        <v>15.0</v>
      </c>
      <c r="C22" s="1">
        <v>35.0</v>
      </c>
      <c r="D22" s="1">
        <v>24.0</v>
      </c>
      <c r="E22" s="1">
        <v>1.6</v>
      </c>
      <c r="F22" s="1">
        <v>2.33</v>
      </c>
    </row>
    <row r="23">
      <c r="A23" s="1" t="s">
        <v>412</v>
      </c>
      <c r="B23" s="1">
        <v>24.0</v>
      </c>
      <c r="C23" s="1">
        <v>69.0</v>
      </c>
      <c r="D23" s="1">
        <v>45.0</v>
      </c>
      <c r="E23" s="1">
        <v>1.88</v>
      </c>
      <c r="F23" s="1">
        <v>2.88</v>
      </c>
    </row>
    <row r="24">
      <c r="A24" s="1" t="s">
        <v>715</v>
      </c>
      <c r="B24" s="1">
        <v>227.0</v>
      </c>
      <c r="C24" s="1">
        <v>531.0</v>
      </c>
      <c r="D24" s="1">
        <v>368.0</v>
      </c>
      <c r="E24" s="1">
        <v>1.62</v>
      </c>
      <c r="F24" s="1">
        <v>2.34</v>
      </c>
    </row>
    <row r="25">
      <c r="A25" s="1" t="s">
        <v>716</v>
      </c>
      <c r="B25" s="1">
        <v>13.0</v>
      </c>
      <c r="C25" s="1">
        <v>32.0</v>
      </c>
      <c r="D25" s="1">
        <v>12.0</v>
      </c>
      <c r="E25" s="1">
        <v>0.92</v>
      </c>
      <c r="F25" s="1">
        <v>2.46</v>
      </c>
    </row>
    <row r="26">
      <c r="A26" s="1" t="s">
        <v>717</v>
      </c>
      <c r="B26" s="1">
        <v>5.0</v>
      </c>
      <c r="C26" s="1">
        <v>16.0</v>
      </c>
      <c r="D26" s="1">
        <v>7.0</v>
      </c>
      <c r="E26" s="1">
        <v>1.4</v>
      </c>
      <c r="F26" s="1">
        <v>3.2</v>
      </c>
    </row>
    <row r="27">
      <c r="A27" s="1" t="s">
        <v>569</v>
      </c>
      <c r="B27" s="1">
        <v>36.0</v>
      </c>
      <c r="C27" s="1">
        <v>69.0</v>
      </c>
      <c r="D27" s="1">
        <v>38.0</v>
      </c>
      <c r="E27" s="1">
        <v>1.06</v>
      </c>
      <c r="F27" s="1">
        <v>1.92</v>
      </c>
    </row>
    <row r="28">
      <c r="A28" s="1" t="s">
        <v>135</v>
      </c>
      <c r="B28" s="1">
        <v>43.0</v>
      </c>
      <c r="C28" s="1">
        <v>104.0</v>
      </c>
      <c r="D28" s="1">
        <v>39.0</v>
      </c>
      <c r="E28" s="1">
        <v>0.91</v>
      </c>
      <c r="F28" s="1">
        <v>2.42</v>
      </c>
    </row>
    <row r="29">
      <c r="A29" s="1" t="s">
        <v>718</v>
      </c>
      <c r="B29" s="1">
        <v>12.0</v>
      </c>
      <c r="C29" s="1">
        <v>37.0</v>
      </c>
      <c r="D29" s="1">
        <v>22.0</v>
      </c>
      <c r="E29" s="1">
        <v>1.83</v>
      </c>
      <c r="F29" s="1">
        <v>3.08</v>
      </c>
    </row>
    <row r="30">
      <c r="A30" s="1" t="s">
        <v>136</v>
      </c>
      <c r="B30" s="1">
        <v>44.0</v>
      </c>
      <c r="C30" s="1">
        <v>94.0</v>
      </c>
      <c r="D30" s="1">
        <v>51.0</v>
      </c>
      <c r="E30" s="1">
        <v>1.16</v>
      </c>
      <c r="F30" s="1">
        <v>2.14</v>
      </c>
    </row>
    <row r="31">
      <c r="A31" s="1" t="s">
        <v>275</v>
      </c>
      <c r="B31" s="1">
        <v>40.0</v>
      </c>
      <c r="C31" s="1">
        <v>105.0</v>
      </c>
      <c r="D31" s="1">
        <v>63.0</v>
      </c>
      <c r="E31" s="1">
        <v>1.58</v>
      </c>
      <c r="F31" s="1">
        <v>2.63</v>
      </c>
    </row>
    <row r="32">
      <c r="A32" s="1" t="s">
        <v>719</v>
      </c>
      <c r="B32" s="1">
        <v>2.0</v>
      </c>
      <c r="C32" s="1">
        <v>5.0</v>
      </c>
      <c r="D32" s="1">
        <v>2.0</v>
      </c>
      <c r="E32" s="1">
        <v>1.0</v>
      </c>
      <c r="F32" s="1">
        <v>2.5</v>
      </c>
    </row>
    <row r="33">
      <c r="A33" s="1" t="s">
        <v>138</v>
      </c>
      <c r="B33" s="1">
        <v>21.0</v>
      </c>
      <c r="C33" s="1">
        <v>52.0</v>
      </c>
      <c r="D33" s="1">
        <v>32.0</v>
      </c>
      <c r="E33" s="1">
        <v>1.52</v>
      </c>
      <c r="F33" s="1">
        <v>2.48</v>
      </c>
    </row>
    <row r="34">
      <c r="A34" s="1" t="s">
        <v>720</v>
      </c>
      <c r="B34" s="1">
        <v>27.0</v>
      </c>
      <c r="C34" s="1">
        <v>61.0</v>
      </c>
      <c r="D34" s="1">
        <v>37.0</v>
      </c>
      <c r="E34" s="1">
        <v>1.37</v>
      </c>
      <c r="F34" s="1">
        <v>2.26</v>
      </c>
    </row>
    <row r="35">
      <c r="A35" s="1" t="s">
        <v>497</v>
      </c>
      <c r="B35" s="1">
        <v>7.0</v>
      </c>
      <c r="C35" s="1">
        <v>14.0</v>
      </c>
      <c r="D35" s="1">
        <v>7.0</v>
      </c>
      <c r="E35" s="1">
        <v>1.0</v>
      </c>
      <c r="F35" s="1">
        <v>2.0</v>
      </c>
    </row>
    <row r="36">
      <c r="A36" s="1" t="s">
        <v>587</v>
      </c>
      <c r="B36" s="1">
        <v>28.0</v>
      </c>
      <c r="C36" s="1">
        <v>66.0</v>
      </c>
      <c r="D36" s="1">
        <v>35.0</v>
      </c>
      <c r="E36" s="1">
        <v>1.25</v>
      </c>
      <c r="F36" s="1">
        <v>2.36</v>
      </c>
    </row>
    <row r="37">
      <c r="A37" s="1" t="s">
        <v>721</v>
      </c>
      <c r="B37" s="1">
        <v>3.0</v>
      </c>
      <c r="C37" s="1">
        <v>5.0</v>
      </c>
      <c r="D37" s="1">
        <v>2.0</v>
      </c>
      <c r="E37" s="1">
        <v>0.67</v>
      </c>
      <c r="F37" s="1">
        <v>1.67</v>
      </c>
    </row>
    <row r="38">
      <c r="A38" s="1" t="s">
        <v>722</v>
      </c>
      <c r="B38" s="1">
        <v>7.0</v>
      </c>
      <c r="C38" s="1">
        <v>16.0</v>
      </c>
      <c r="D38" s="1">
        <v>8.0</v>
      </c>
      <c r="E38" s="1">
        <v>1.14</v>
      </c>
      <c r="F38" s="1">
        <v>2.29</v>
      </c>
    </row>
    <row r="39">
      <c r="A39" s="1" t="s">
        <v>140</v>
      </c>
      <c r="B39" s="1">
        <v>48.0</v>
      </c>
      <c r="C39" s="1">
        <v>119.0</v>
      </c>
      <c r="D39" s="1">
        <v>59.0</v>
      </c>
      <c r="E39" s="1">
        <v>1.23</v>
      </c>
      <c r="F39" s="1">
        <v>2.48</v>
      </c>
    </row>
    <row r="40">
      <c r="A40" s="1" t="s">
        <v>723</v>
      </c>
      <c r="B40" s="1">
        <v>16.0</v>
      </c>
      <c r="C40" s="1">
        <v>55.0</v>
      </c>
      <c r="D40" s="1">
        <v>30.0</v>
      </c>
      <c r="E40" s="1">
        <v>1.88</v>
      </c>
      <c r="F40" s="1">
        <v>3.44</v>
      </c>
    </row>
    <row r="41">
      <c r="A41" s="1" t="s">
        <v>142</v>
      </c>
      <c r="B41" s="1">
        <v>50.0</v>
      </c>
      <c r="C41" s="1">
        <v>101.0</v>
      </c>
      <c r="D41" s="1">
        <v>52.0</v>
      </c>
      <c r="E41" s="1">
        <v>1.04</v>
      </c>
      <c r="F41" s="1">
        <v>2.02</v>
      </c>
    </row>
    <row r="42">
      <c r="A42" s="1" t="s">
        <v>593</v>
      </c>
      <c r="B42" s="1">
        <v>17.0</v>
      </c>
      <c r="C42" s="1">
        <v>38.0</v>
      </c>
      <c r="D42" s="1">
        <v>11.0</v>
      </c>
      <c r="E42" s="1">
        <v>0.65</v>
      </c>
      <c r="F42" s="1">
        <v>2.24</v>
      </c>
    </row>
    <row r="43">
      <c r="A43" s="1" t="s">
        <v>143</v>
      </c>
      <c r="B43" s="1">
        <v>66.0</v>
      </c>
      <c r="C43" s="1">
        <v>152.0</v>
      </c>
      <c r="D43" s="1">
        <v>86.0</v>
      </c>
      <c r="E43" s="1">
        <v>1.3</v>
      </c>
      <c r="F43" s="1">
        <v>2.3</v>
      </c>
    </row>
    <row r="44">
      <c r="A44" s="1" t="s">
        <v>724</v>
      </c>
      <c r="B44" s="1">
        <v>37.0</v>
      </c>
      <c r="C44" s="1">
        <v>89.0</v>
      </c>
      <c r="D44" s="1">
        <v>53.0</v>
      </c>
      <c r="E44" s="1">
        <v>1.43</v>
      </c>
      <c r="F44" s="1">
        <v>2.41</v>
      </c>
    </row>
    <row r="45">
      <c r="A45" s="1" t="s">
        <v>725</v>
      </c>
      <c r="B45" s="1">
        <v>7.0</v>
      </c>
      <c r="C45" s="1">
        <v>9.0</v>
      </c>
      <c r="D45" s="1">
        <v>5.0</v>
      </c>
      <c r="E45" s="1">
        <v>0.71</v>
      </c>
      <c r="F45" s="1">
        <v>1.29</v>
      </c>
    </row>
    <row r="46">
      <c r="A46" s="1" t="s">
        <v>288</v>
      </c>
      <c r="B46" s="1">
        <v>11.0</v>
      </c>
      <c r="C46" s="1">
        <v>18.0</v>
      </c>
      <c r="D46" s="1">
        <v>7.0</v>
      </c>
      <c r="E46" s="1">
        <v>0.64</v>
      </c>
      <c r="F46" s="1">
        <v>1.64</v>
      </c>
    </row>
    <row r="47">
      <c r="A47" s="1" t="s">
        <v>656</v>
      </c>
      <c r="B47" s="1">
        <v>173.0</v>
      </c>
      <c r="C47" s="1">
        <v>435.0</v>
      </c>
      <c r="D47" s="1">
        <v>293.0</v>
      </c>
      <c r="E47" s="1">
        <v>1.69</v>
      </c>
      <c r="F47" s="1">
        <v>2.51</v>
      </c>
    </row>
    <row r="48">
      <c r="A48" s="1" t="s">
        <v>726</v>
      </c>
      <c r="B48" s="1">
        <v>57.0</v>
      </c>
      <c r="C48" s="1">
        <v>154.0</v>
      </c>
      <c r="D48" s="1">
        <v>99.0</v>
      </c>
      <c r="E48" s="1">
        <v>1.74</v>
      </c>
      <c r="F48" s="1">
        <v>2.7</v>
      </c>
    </row>
    <row r="49">
      <c r="A49" s="1" t="s">
        <v>727</v>
      </c>
      <c r="B49" s="1">
        <v>82.0</v>
      </c>
      <c r="C49" s="1">
        <v>213.0</v>
      </c>
      <c r="D49" s="1">
        <v>143.0</v>
      </c>
      <c r="E49" s="1">
        <v>1.74</v>
      </c>
      <c r="F49" s="1">
        <v>2.6</v>
      </c>
    </row>
    <row r="50">
      <c r="A50" s="1" t="s">
        <v>728</v>
      </c>
      <c r="B50" s="1">
        <v>52.0</v>
      </c>
      <c r="C50" s="1">
        <v>126.0</v>
      </c>
      <c r="D50" s="1">
        <v>54.0</v>
      </c>
      <c r="E50" s="1">
        <v>1.04</v>
      </c>
      <c r="F50" s="1">
        <v>2.42</v>
      </c>
    </row>
    <row r="51">
      <c r="A51" s="1" t="s">
        <v>337</v>
      </c>
      <c r="B51" s="1">
        <v>211.0</v>
      </c>
      <c r="C51" s="1">
        <v>550.0</v>
      </c>
      <c r="D51" s="1">
        <v>393.0</v>
      </c>
      <c r="E51" s="1">
        <v>1.86</v>
      </c>
      <c r="F51" s="1">
        <v>2.61</v>
      </c>
    </row>
    <row r="52">
      <c r="A52" s="1" t="s">
        <v>2532</v>
      </c>
      <c r="B52" s="1">
        <v>85.0</v>
      </c>
      <c r="C52" s="1">
        <v>224.0</v>
      </c>
      <c r="D52" s="1">
        <v>136.0</v>
      </c>
      <c r="E52" s="1">
        <v>1.6</v>
      </c>
      <c r="F52" s="1">
        <v>2.64</v>
      </c>
    </row>
    <row r="53">
      <c r="A53" s="1" t="s">
        <v>146</v>
      </c>
      <c r="B53" s="1">
        <v>11.0</v>
      </c>
      <c r="C53" s="1">
        <v>19.0</v>
      </c>
      <c r="D53" s="1">
        <v>8.0</v>
      </c>
      <c r="E53" s="1">
        <v>0.73</v>
      </c>
      <c r="F53" s="1">
        <v>1.73</v>
      </c>
    </row>
    <row r="54">
      <c r="A54" s="1" t="s">
        <v>147</v>
      </c>
      <c r="B54" s="1">
        <v>27.0</v>
      </c>
      <c r="C54" s="1">
        <v>59.0</v>
      </c>
      <c r="D54" s="1">
        <v>41.0</v>
      </c>
      <c r="E54" s="1">
        <v>1.52</v>
      </c>
      <c r="F54" s="1">
        <v>2.19</v>
      </c>
    </row>
    <row r="55">
      <c r="A55" s="1" t="s">
        <v>730</v>
      </c>
      <c r="B55" s="1">
        <v>32.0</v>
      </c>
      <c r="C55" s="1">
        <v>70.0</v>
      </c>
      <c r="D55" s="1">
        <v>39.0</v>
      </c>
      <c r="E55" s="1">
        <v>1.22</v>
      </c>
      <c r="F55" s="1">
        <v>2.19</v>
      </c>
    </row>
    <row r="56">
      <c r="A56" s="1" t="s">
        <v>293</v>
      </c>
      <c r="B56" s="1">
        <v>32.0</v>
      </c>
      <c r="C56" s="1">
        <v>81.0</v>
      </c>
      <c r="D56" s="1">
        <v>51.0</v>
      </c>
      <c r="E56" s="1">
        <v>1.59</v>
      </c>
      <c r="F56" s="1">
        <v>2.53</v>
      </c>
    </row>
    <row r="57">
      <c r="A57" s="1" t="s">
        <v>150</v>
      </c>
      <c r="B57" s="1">
        <v>129.0</v>
      </c>
      <c r="C57" s="1">
        <v>320.0</v>
      </c>
      <c r="D57" s="1">
        <v>199.0</v>
      </c>
      <c r="E57" s="1">
        <v>1.54</v>
      </c>
      <c r="F57" s="1">
        <v>2.48</v>
      </c>
    </row>
    <row r="58">
      <c r="A58" s="1" t="s">
        <v>734</v>
      </c>
      <c r="B58" s="1">
        <v>54.0</v>
      </c>
      <c r="C58" s="1">
        <v>148.0</v>
      </c>
      <c r="D58" s="1">
        <v>80.0</v>
      </c>
      <c r="E58" s="1">
        <v>1.48</v>
      </c>
      <c r="F58" s="1">
        <v>2.74</v>
      </c>
    </row>
    <row r="59">
      <c r="A59" s="1" t="s">
        <v>151</v>
      </c>
      <c r="B59" s="1">
        <v>259.0</v>
      </c>
      <c r="C59" s="1">
        <v>562.0</v>
      </c>
      <c r="D59" s="1">
        <v>275.0</v>
      </c>
      <c r="E59" s="1">
        <v>1.06</v>
      </c>
      <c r="F59" s="1">
        <v>2.17</v>
      </c>
    </row>
    <row r="60">
      <c r="A60" s="1" t="s">
        <v>153</v>
      </c>
      <c r="B60" s="1">
        <v>65.0</v>
      </c>
      <c r="C60" s="1">
        <v>147.0</v>
      </c>
      <c r="D60" s="1">
        <v>83.0</v>
      </c>
      <c r="E60" s="1">
        <v>1.28</v>
      </c>
      <c r="F60" s="1">
        <v>2.26</v>
      </c>
    </row>
    <row r="61">
      <c r="A61" s="1" t="s">
        <v>154</v>
      </c>
      <c r="B61" s="1">
        <v>27.0</v>
      </c>
      <c r="C61" s="1">
        <v>80.0</v>
      </c>
      <c r="D61" s="1">
        <v>50.0</v>
      </c>
      <c r="E61" s="1">
        <v>1.85</v>
      </c>
      <c r="F61" s="1">
        <v>2.96</v>
      </c>
    </row>
    <row r="62">
      <c r="A62" s="1" t="s">
        <v>735</v>
      </c>
      <c r="B62" s="1">
        <v>27.0</v>
      </c>
      <c r="C62" s="1">
        <v>64.0</v>
      </c>
      <c r="D62" s="1">
        <v>34.0</v>
      </c>
      <c r="E62" s="1">
        <v>1.26</v>
      </c>
      <c r="F62" s="1">
        <v>2.37</v>
      </c>
    </row>
    <row r="63">
      <c r="A63" s="1" t="s">
        <v>736</v>
      </c>
      <c r="B63" s="1">
        <v>11.0</v>
      </c>
      <c r="C63" s="1">
        <v>21.0</v>
      </c>
      <c r="D63" s="1">
        <v>8.0</v>
      </c>
      <c r="E63" s="1">
        <v>0.73</v>
      </c>
      <c r="F63" s="1">
        <v>1.91</v>
      </c>
    </row>
    <row r="64">
      <c r="A64" s="1" t="s">
        <v>731</v>
      </c>
      <c r="B64" s="1">
        <v>36.0</v>
      </c>
      <c r="C64" s="1">
        <v>105.0</v>
      </c>
      <c r="D64" s="1">
        <v>75.0</v>
      </c>
      <c r="E64" s="1">
        <v>2.08</v>
      </c>
      <c r="F64" s="1">
        <v>2.92</v>
      </c>
    </row>
    <row r="65">
      <c r="A65" s="1" t="s">
        <v>732</v>
      </c>
      <c r="B65" s="1">
        <v>119.0</v>
      </c>
      <c r="C65" s="1">
        <v>256.0</v>
      </c>
      <c r="D65" s="1">
        <v>142.0</v>
      </c>
      <c r="E65" s="1">
        <v>1.19</v>
      </c>
      <c r="F65" s="1">
        <v>2.15</v>
      </c>
    </row>
    <row r="66">
      <c r="A66" s="1" t="s">
        <v>2515</v>
      </c>
      <c r="B66" s="1">
        <v>132.0</v>
      </c>
      <c r="C66" s="1">
        <v>349.0</v>
      </c>
      <c r="D66" s="1">
        <v>229.0</v>
      </c>
      <c r="E66" s="1">
        <v>1.73</v>
      </c>
      <c r="F66" s="1">
        <v>2.64</v>
      </c>
    </row>
    <row r="67">
      <c r="A67" s="1" t="s">
        <v>737</v>
      </c>
      <c r="B67" s="1">
        <v>8.0</v>
      </c>
      <c r="C67" s="1">
        <v>23.0</v>
      </c>
      <c r="D67" s="1">
        <v>7.0</v>
      </c>
      <c r="E67" s="1">
        <v>0.88</v>
      </c>
      <c r="F67" s="1">
        <v>2.88</v>
      </c>
    </row>
    <row r="68">
      <c r="A68" s="1" t="s">
        <v>738</v>
      </c>
      <c r="B68" s="1">
        <v>21.0</v>
      </c>
      <c r="C68" s="1">
        <v>59.0</v>
      </c>
      <c r="D68" s="1">
        <v>39.0</v>
      </c>
      <c r="E68" s="1">
        <v>1.86</v>
      </c>
      <c r="F68" s="1">
        <v>2.81</v>
      </c>
    </row>
    <row r="69">
      <c r="A69" s="1" t="s">
        <v>156</v>
      </c>
      <c r="B69" s="1">
        <v>32.0</v>
      </c>
      <c r="C69" s="1">
        <v>72.0</v>
      </c>
      <c r="D69" s="1">
        <v>26.0</v>
      </c>
      <c r="E69" s="1">
        <v>0.81</v>
      </c>
      <c r="F69" s="1">
        <v>2.25</v>
      </c>
    </row>
    <row r="70">
      <c r="A70" s="1" t="s">
        <v>157</v>
      </c>
      <c r="B70" s="1">
        <v>40.0</v>
      </c>
      <c r="C70" s="1">
        <v>99.0</v>
      </c>
      <c r="D70" s="1">
        <v>57.0</v>
      </c>
      <c r="E70" s="1">
        <v>1.43</v>
      </c>
      <c r="F70" s="1">
        <v>2.48</v>
      </c>
    </row>
    <row r="71">
      <c r="A71" s="1" t="s">
        <v>158</v>
      </c>
      <c r="B71" s="1">
        <v>26.0</v>
      </c>
      <c r="C71" s="1">
        <v>62.0</v>
      </c>
      <c r="D71" s="1">
        <v>34.0</v>
      </c>
      <c r="E71" s="1">
        <v>1.31</v>
      </c>
      <c r="F71" s="1">
        <v>2.38</v>
      </c>
    </row>
    <row r="72">
      <c r="A72" s="1" t="s">
        <v>739</v>
      </c>
      <c r="B72" s="1">
        <v>17.0</v>
      </c>
      <c r="C72" s="1">
        <v>45.0</v>
      </c>
      <c r="D72" s="1">
        <v>30.0</v>
      </c>
      <c r="E72" s="1">
        <v>1.76</v>
      </c>
      <c r="F72" s="1">
        <v>2.65</v>
      </c>
    </row>
    <row r="73">
      <c r="A73" s="1" t="s">
        <v>740</v>
      </c>
      <c r="B73" s="1">
        <v>22.0</v>
      </c>
      <c r="C73" s="1">
        <v>46.0</v>
      </c>
      <c r="D73" s="1">
        <v>25.0</v>
      </c>
      <c r="E73" s="1">
        <v>1.14</v>
      </c>
      <c r="F73" s="1">
        <v>2.09</v>
      </c>
    </row>
    <row r="74">
      <c r="A74" s="1" t="s">
        <v>2522</v>
      </c>
      <c r="B74" s="1">
        <v>4.0</v>
      </c>
      <c r="C74" s="1">
        <v>8.0</v>
      </c>
      <c r="D74" s="1">
        <v>8.0</v>
      </c>
      <c r="E74" s="1">
        <v>2.0</v>
      </c>
      <c r="F74" s="1">
        <v>2.0</v>
      </c>
    </row>
    <row r="75">
      <c r="A75" s="1" t="s">
        <v>741</v>
      </c>
      <c r="B75" s="1">
        <v>350.0</v>
      </c>
      <c r="C75" s="1">
        <v>881.0</v>
      </c>
      <c r="D75" s="1">
        <v>614.0</v>
      </c>
      <c r="E75" s="1">
        <v>1.75</v>
      </c>
      <c r="F75" s="1">
        <v>2.52</v>
      </c>
    </row>
    <row r="76">
      <c r="A76" s="1" t="s">
        <v>159</v>
      </c>
      <c r="B76" s="1">
        <v>19.0</v>
      </c>
      <c r="C76" s="1">
        <v>53.0</v>
      </c>
      <c r="D76" s="1">
        <v>24.0</v>
      </c>
      <c r="E76" s="1">
        <v>1.26</v>
      </c>
      <c r="F76" s="1">
        <v>2.79</v>
      </c>
    </row>
    <row r="77">
      <c r="A77" s="1" t="s">
        <v>742</v>
      </c>
      <c r="B77" s="1">
        <v>28.0</v>
      </c>
      <c r="C77" s="1">
        <v>73.0</v>
      </c>
      <c r="D77" s="1">
        <v>41.0</v>
      </c>
      <c r="E77" s="1">
        <v>1.46</v>
      </c>
      <c r="F77" s="1">
        <v>2.61</v>
      </c>
    </row>
    <row r="78">
      <c r="A78" s="1" t="s">
        <v>162</v>
      </c>
      <c r="B78" s="1">
        <v>18.0</v>
      </c>
      <c r="C78" s="1">
        <v>41.0</v>
      </c>
      <c r="D78" s="1">
        <v>17.0</v>
      </c>
      <c r="E78" s="1">
        <v>0.94</v>
      </c>
      <c r="F78" s="1">
        <v>2.28</v>
      </c>
    </row>
    <row r="79">
      <c r="A79" s="1" t="s">
        <v>303</v>
      </c>
      <c r="B79" s="1">
        <v>1.0</v>
      </c>
      <c r="C79" s="1">
        <v>2.0</v>
      </c>
      <c r="D79" s="1">
        <v>0.0</v>
      </c>
      <c r="E79" s="1">
        <v>0.0</v>
      </c>
      <c r="F79" s="1">
        <v>2.0</v>
      </c>
    </row>
    <row r="80">
      <c r="A80" s="1" t="s">
        <v>305</v>
      </c>
      <c r="B80" s="1">
        <v>7.0</v>
      </c>
      <c r="C80" s="1">
        <v>11.0</v>
      </c>
      <c r="D80" s="1">
        <v>3.0</v>
      </c>
      <c r="E80" s="1">
        <v>0.43</v>
      </c>
      <c r="F80" s="1">
        <v>1.57</v>
      </c>
    </row>
    <row r="81">
      <c r="A81" s="1" t="s">
        <v>518</v>
      </c>
      <c r="B81" s="1">
        <v>4.0</v>
      </c>
      <c r="C81" s="1">
        <v>10.0</v>
      </c>
      <c r="D81" s="1">
        <v>8.0</v>
      </c>
      <c r="E81" s="1">
        <v>2.0</v>
      </c>
      <c r="F81" s="1">
        <v>2.5</v>
      </c>
    </row>
    <row r="82">
      <c r="A82" s="1" t="s">
        <v>163</v>
      </c>
      <c r="B82" s="1">
        <v>35.0</v>
      </c>
      <c r="C82" s="1">
        <v>98.0</v>
      </c>
      <c r="D82" s="1">
        <v>62.0</v>
      </c>
      <c r="E82" s="1">
        <v>1.77</v>
      </c>
      <c r="F82" s="1">
        <v>2.8</v>
      </c>
    </row>
    <row r="83">
      <c r="A83" s="1" t="s">
        <v>743</v>
      </c>
      <c r="B83" s="1">
        <v>30.0</v>
      </c>
      <c r="C83" s="1">
        <v>67.0</v>
      </c>
      <c r="D83" s="1">
        <v>30.0</v>
      </c>
      <c r="E83" s="1">
        <v>1.0</v>
      </c>
      <c r="F83" s="1">
        <v>2.23</v>
      </c>
    </row>
    <row r="84">
      <c r="A84" s="1" t="s">
        <v>744</v>
      </c>
      <c r="B84" s="1">
        <v>119.0</v>
      </c>
      <c r="C84" s="1">
        <v>268.0</v>
      </c>
      <c r="D84" s="1">
        <v>141.0</v>
      </c>
      <c r="E84" s="1">
        <v>1.18</v>
      </c>
      <c r="F84" s="1">
        <v>2.25</v>
      </c>
    </row>
    <row r="85">
      <c r="A85" s="1" t="s">
        <v>308</v>
      </c>
      <c r="B85" s="1">
        <v>16.0</v>
      </c>
      <c r="C85" s="1">
        <v>28.0</v>
      </c>
      <c r="D85" s="1">
        <v>14.0</v>
      </c>
      <c r="E85" s="1">
        <v>0.88</v>
      </c>
      <c r="F85" s="1">
        <v>1.75</v>
      </c>
    </row>
    <row r="86">
      <c r="A86" s="1" t="s">
        <v>745</v>
      </c>
      <c r="B86" s="1">
        <v>206.0</v>
      </c>
      <c r="C86" s="1">
        <v>588.0</v>
      </c>
      <c r="D86" s="1">
        <v>386.0</v>
      </c>
      <c r="E86" s="1">
        <v>1.87</v>
      </c>
      <c r="F86" s="1">
        <v>2.85</v>
      </c>
    </row>
    <row r="87">
      <c r="A87" s="1" t="s">
        <v>746</v>
      </c>
      <c r="B87" s="1">
        <v>9.0</v>
      </c>
      <c r="C87" s="1">
        <v>24.0</v>
      </c>
      <c r="D87" s="1">
        <v>19.0</v>
      </c>
      <c r="E87" s="1">
        <v>2.11</v>
      </c>
      <c r="F87" s="1">
        <v>2.67</v>
      </c>
    </row>
    <row r="88">
      <c r="A88" s="1" t="s">
        <v>309</v>
      </c>
      <c r="B88" s="1">
        <v>3.0</v>
      </c>
      <c r="C88" s="1">
        <v>12.0</v>
      </c>
      <c r="D88" s="1">
        <v>8.0</v>
      </c>
      <c r="E88" s="1">
        <v>2.67</v>
      </c>
      <c r="F88" s="1">
        <v>4.0</v>
      </c>
    </row>
    <row r="89">
      <c r="A89" s="1" t="s">
        <v>168</v>
      </c>
      <c r="B89" s="1">
        <v>30.0</v>
      </c>
      <c r="C89" s="1">
        <v>78.0</v>
      </c>
      <c r="D89" s="1">
        <v>50.0</v>
      </c>
      <c r="E89" s="1">
        <v>1.67</v>
      </c>
      <c r="F89" s="1">
        <v>2.6</v>
      </c>
    </row>
    <row r="90">
      <c r="A90" s="1" t="s">
        <v>768</v>
      </c>
      <c r="B90" s="1">
        <v>358.0</v>
      </c>
      <c r="C90" s="1">
        <v>854.0</v>
      </c>
      <c r="D90" s="1">
        <v>496.0</v>
      </c>
      <c r="E90" s="1">
        <v>1.39</v>
      </c>
      <c r="F90" s="1">
        <v>2.39</v>
      </c>
    </row>
    <row r="91">
      <c r="A91" s="1" t="s">
        <v>747</v>
      </c>
      <c r="B91" s="1">
        <v>8.0</v>
      </c>
      <c r="C91" s="1">
        <v>21.0</v>
      </c>
      <c r="D91" s="1">
        <v>7.0</v>
      </c>
      <c r="E91" s="1">
        <v>0.88</v>
      </c>
      <c r="F91" s="1">
        <v>2.63</v>
      </c>
    </row>
    <row r="92">
      <c r="A92" s="1" t="s">
        <v>748</v>
      </c>
      <c r="B92" s="1">
        <v>36.0</v>
      </c>
      <c r="C92" s="1">
        <v>92.0</v>
      </c>
      <c r="D92" s="1">
        <v>51.0</v>
      </c>
      <c r="E92" s="1">
        <v>1.42</v>
      </c>
      <c r="F92" s="1">
        <v>2.56</v>
      </c>
    </row>
    <row r="93">
      <c r="A93" s="1" t="s">
        <v>749</v>
      </c>
      <c r="B93" s="1">
        <v>228.0</v>
      </c>
      <c r="C93" s="1">
        <v>542.0</v>
      </c>
      <c r="D93" s="1">
        <v>332.0</v>
      </c>
      <c r="E93" s="1">
        <v>1.46</v>
      </c>
      <c r="F93" s="1">
        <v>2.38</v>
      </c>
    </row>
    <row r="94">
      <c r="A94" s="1" t="s">
        <v>316</v>
      </c>
      <c r="B94" s="1">
        <v>19.0</v>
      </c>
      <c r="C94" s="1">
        <v>32.0</v>
      </c>
      <c r="D94" s="1">
        <v>12.0</v>
      </c>
      <c r="E94" s="1">
        <v>0.63</v>
      </c>
      <c r="F94" s="1">
        <v>1.68</v>
      </c>
    </row>
    <row r="95">
      <c r="A95" s="1" t="s">
        <v>750</v>
      </c>
      <c r="B95" s="1">
        <v>76.0</v>
      </c>
      <c r="C95" s="1">
        <v>214.0</v>
      </c>
      <c r="D95" s="1">
        <v>120.0</v>
      </c>
      <c r="E95" s="1">
        <v>1.58</v>
      </c>
      <c r="F95" s="1">
        <v>2.82</v>
      </c>
    </row>
    <row r="96">
      <c r="A96" s="1" t="s">
        <v>751</v>
      </c>
      <c r="B96" s="1">
        <v>5.0</v>
      </c>
      <c r="C96" s="1">
        <v>14.0</v>
      </c>
      <c r="D96" s="1">
        <v>6.0</v>
      </c>
      <c r="E96" s="1">
        <v>1.2</v>
      </c>
      <c r="F96" s="1">
        <v>2.8</v>
      </c>
    </row>
    <row r="97">
      <c r="A97" s="1" t="s">
        <v>647</v>
      </c>
      <c r="B97" s="1">
        <v>15.0</v>
      </c>
      <c r="C97" s="1">
        <v>46.0</v>
      </c>
      <c r="D97" s="1">
        <v>25.0</v>
      </c>
      <c r="E97" s="1">
        <v>1.67</v>
      </c>
      <c r="F97" s="1">
        <v>3.07</v>
      </c>
    </row>
    <row r="98">
      <c r="A98" s="1" t="s">
        <v>119</v>
      </c>
      <c r="B98" s="1">
        <v>17.0</v>
      </c>
      <c r="C98" s="1">
        <v>45.0</v>
      </c>
      <c r="D98" s="1">
        <v>20.0</v>
      </c>
      <c r="E98" s="1">
        <v>1.18</v>
      </c>
      <c r="F98" s="1">
        <v>2.65</v>
      </c>
    </row>
    <row r="99">
      <c r="A99" s="1" t="s">
        <v>273</v>
      </c>
      <c r="B99" s="1">
        <v>36.0</v>
      </c>
      <c r="C99" s="1">
        <v>76.0</v>
      </c>
      <c r="D99" s="1">
        <v>38.0</v>
      </c>
      <c r="E99" s="1">
        <v>1.06</v>
      </c>
      <c r="F99" s="1">
        <v>2.11</v>
      </c>
    </row>
    <row r="100">
      <c r="A100" s="1" t="s">
        <v>66</v>
      </c>
      <c r="B100" s="1">
        <v>16.0</v>
      </c>
      <c r="C100" s="1">
        <v>37.0</v>
      </c>
      <c r="D100" s="1">
        <v>32.0</v>
      </c>
      <c r="E100" s="1">
        <v>2.0</v>
      </c>
      <c r="F100" s="1">
        <v>2.31</v>
      </c>
    </row>
    <row r="101">
      <c r="A101" s="1" t="s">
        <v>752</v>
      </c>
      <c r="B101" s="1">
        <v>29.0</v>
      </c>
      <c r="C101" s="1">
        <v>66.0</v>
      </c>
      <c r="D101" s="1">
        <v>31.0</v>
      </c>
      <c r="E101" s="1">
        <v>1.07</v>
      </c>
      <c r="F101" s="1">
        <v>2.28</v>
      </c>
    </row>
    <row r="102">
      <c r="A102" s="1" t="s">
        <v>573</v>
      </c>
      <c r="B102" s="1">
        <v>360.0</v>
      </c>
      <c r="C102" s="1">
        <v>1007.0</v>
      </c>
      <c r="D102" s="1">
        <v>649.0</v>
      </c>
      <c r="E102" s="1">
        <v>1.8</v>
      </c>
      <c r="F102" s="1">
        <v>2.8</v>
      </c>
    </row>
    <row r="103">
      <c r="A103" s="1" t="s">
        <v>627</v>
      </c>
      <c r="B103" s="1">
        <v>65.0</v>
      </c>
      <c r="C103" s="1">
        <v>135.0</v>
      </c>
      <c r="D103" s="1">
        <v>85.0</v>
      </c>
      <c r="E103" s="1">
        <v>1.31</v>
      </c>
      <c r="F103" s="1">
        <v>2.08</v>
      </c>
    </row>
    <row r="104">
      <c r="A104" s="1" t="s">
        <v>753</v>
      </c>
      <c r="B104" s="1">
        <v>193.0</v>
      </c>
      <c r="C104" s="1">
        <v>387.0</v>
      </c>
      <c r="D104" s="1">
        <v>238.0</v>
      </c>
      <c r="E104" s="1">
        <v>1.23</v>
      </c>
      <c r="F104" s="1">
        <v>2.01</v>
      </c>
    </row>
    <row r="105">
      <c r="A105" s="1" t="s">
        <v>754</v>
      </c>
      <c r="B105" s="1">
        <v>54.0</v>
      </c>
      <c r="C105" s="1">
        <v>135.0</v>
      </c>
      <c r="D105" s="1">
        <v>92.0</v>
      </c>
      <c r="E105" s="1">
        <v>1.7</v>
      </c>
      <c r="F105" s="1">
        <v>2.5</v>
      </c>
    </row>
    <row r="110">
      <c r="A110" s="1" t="s">
        <v>2533</v>
      </c>
      <c r="B110" s="1">
        <v>15.0</v>
      </c>
      <c r="N110" s="1">
        <v>15.0</v>
      </c>
      <c r="O110" s="1">
        <v>15.0</v>
      </c>
      <c r="P110" s="1"/>
    </row>
    <row r="111">
      <c r="A111" s="1" t="s">
        <v>2534</v>
      </c>
      <c r="B111" s="1">
        <v>4.0</v>
      </c>
      <c r="N111" s="1">
        <v>4.0</v>
      </c>
      <c r="O111" s="1">
        <v>4.0</v>
      </c>
      <c r="P111" s="1">
        <v>4.0</v>
      </c>
    </row>
    <row r="112">
      <c r="A112" s="1" t="s">
        <v>2535</v>
      </c>
      <c r="B112" s="1">
        <v>1.0</v>
      </c>
      <c r="N112" s="1">
        <v>1.0</v>
      </c>
      <c r="O112" s="1">
        <v>1.0</v>
      </c>
      <c r="P112" s="1" t="s">
        <v>2536</v>
      </c>
    </row>
    <row r="113">
      <c r="A113" s="1" t="s">
        <v>2537</v>
      </c>
      <c r="B113" s="1">
        <v>5.0</v>
      </c>
      <c r="N113" s="1">
        <v>5.0</v>
      </c>
      <c r="O113" s="1">
        <v>5.0</v>
      </c>
      <c r="P113" s="1"/>
    </row>
    <row r="114">
      <c r="A114" s="1" t="s">
        <v>2538</v>
      </c>
      <c r="B114" s="1">
        <v>3.0</v>
      </c>
      <c r="N114" s="1">
        <v>3.0</v>
      </c>
      <c r="O114" s="1">
        <v>2.0</v>
      </c>
      <c r="P114" s="1">
        <v>3.0</v>
      </c>
    </row>
    <row r="115">
      <c r="A115" s="1" t="s">
        <v>2539</v>
      </c>
      <c r="B115" s="1">
        <v>5.0</v>
      </c>
      <c r="N115" s="1">
        <v>5.0</v>
      </c>
      <c r="O115" s="1">
        <v>5.0</v>
      </c>
      <c r="P115" s="1"/>
    </row>
    <row r="116">
      <c r="A116" s="1" t="s">
        <v>2540</v>
      </c>
      <c r="B116" s="1">
        <v>5.0</v>
      </c>
      <c r="N116" s="1">
        <v>5.0</v>
      </c>
      <c r="O116" s="1">
        <v>5.0</v>
      </c>
      <c r="P116" s="1">
        <v>4.0</v>
      </c>
    </row>
    <row r="117">
      <c r="A117" s="1" t="s">
        <v>2541</v>
      </c>
      <c r="B117" s="1">
        <v>40.0</v>
      </c>
      <c r="N117" s="1">
        <v>40.0</v>
      </c>
      <c r="O117" s="1">
        <v>40.0</v>
      </c>
      <c r="P117" s="1"/>
    </row>
    <row r="118">
      <c r="A118" s="1" t="s">
        <v>2542</v>
      </c>
      <c r="B118" s="1">
        <v>10.0</v>
      </c>
      <c r="N118" s="1">
        <v>10.0</v>
      </c>
      <c r="O118" s="1"/>
      <c r="P118" s="1"/>
    </row>
    <row r="119">
      <c r="A119" s="1" t="s">
        <v>2517</v>
      </c>
      <c r="B119" s="1">
        <v>130.0</v>
      </c>
      <c r="N119" s="1">
        <v>130.0</v>
      </c>
      <c r="O119" s="1"/>
      <c r="P119" s="1"/>
    </row>
    <row r="120">
      <c r="A120" s="1" t="s">
        <v>2543</v>
      </c>
      <c r="B120" s="1">
        <v>7.0</v>
      </c>
      <c r="N120" s="1">
        <v>7.0</v>
      </c>
      <c r="O120" s="1"/>
      <c r="P120" s="1"/>
    </row>
    <row r="121">
      <c r="A121" s="1" t="s">
        <v>804</v>
      </c>
      <c r="B121" s="1">
        <v>10.0</v>
      </c>
      <c r="N121" s="1">
        <v>10.0</v>
      </c>
      <c r="O121" s="1"/>
      <c r="P121" s="1"/>
    </row>
    <row r="122">
      <c r="A122" s="1" t="s">
        <v>2544</v>
      </c>
      <c r="B122" s="1">
        <v>2.0</v>
      </c>
      <c r="N122" s="1">
        <v>2.0</v>
      </c>
      <c r="O122" s="1"/>
      <c r="P122" s="1"/>
    </row>
    <row r="123">
      <c r="A123" s="1" t="s">
        <v>2545</v>
      </c>
      <c r="B123" s="1">
        <v>10.0</v>
      </c>
      <c r="N123" s="1">
        <v>10.0</v>
      </c>
      <c r="O123" s="1"/>
      <c r="P123" s="1"/>
    </row>
    <row r="124">
      <c r="A124" s="1" t="s">
        <v>2546</v>
      </c>
      <c r="B124" s="1">
        <v>184.0</v>
      </c>
      <c r="N124" s="1">
        <v>184.0</v>
      </c>
      <c r="O124" s="1"/>
      <c r="P124" s="1"/>
    </row>
    <row r="125">
      <c r="A125" s="1" t="s">
        <v>2547</v>
      </c>
      <c r="B125" s="1">
        <v>7.0</v>
      </c>
      <c r="N125" s="1">
        <v>7.0</v>
      </c>
      <c r="O125" s="1"/>
      <c r="P125" s="1"/>
    </row>
    <row r="126">
      <c r="A126" s="1" t="s">
        <v>2548</v>
      </c>
      <c r="B126" s="1">
        <v>1.0</v>
      </c>
      <c r="N126" s="1">
        <v>1.0</v>
      </c>
      <c r="O126" s="1" t="s">
        <v>2536</v>
      </c>
      <c r="P126" s="1"/>
    </row>
    <row r="127">
      <c r="A127" s="1" t="s">
        <v>2549</v>
      </c>
      <c r="B127" s="1">
        <v>10.0</v>
      </c>
      <c r="N127" s="1">
        <v>10.0</v>
      </c>
      <c r="O127" s="1"/>
      <c r="P127" s="1"/>
    </row>
    <row r="128">
      <c r="A128" s="1" t="s">
        <v>2550</v>
      </c>
      <c r="B128" s="1">
        <v>1.0</v>
      </c>
      <c r="N128" s="1">
        <v>1.0</v>
      </c>
      <c r="O128" s="1"/>
      <c r="P128" s="1"/>
    </row>
    <row r="129">
      <c r="A129" s="1" t="s">
        <v>2551</v>
      </c>
      <c r="B129" s="1">
        <v>2.0</v>
      </c>
      <c r="N129" s="1">
        <v>2.0</v>
      </c>
      <c r="O129" s="1">
        <v>2.0</v>
      </c>
      <c r="P129" s="1"/>
    </row>
    <row r="130">
      <c r="A130" s="1" t="s">
        <v>2552</v>
      </c>
      <c r="B130" s="1">
        <v>23.0</v>
      </c>
      <c r="N130" s="1">
        <v>23.0</v>
      </c>
      <c r="O130" s="1"/>
      <c r="P130" s="1"/>
    </row>
    <row r="131">
      <c r="A131" s="1" t="s">
        <v>2553</v>
      </c>
      <c r="B131" s="1">
        <v>4.0</v>
      </c>
      <c r="N131" s="1">
        <v>4.0</v>
      </c>
      <c r="O131" s="1"/>
      <c r="P131" s="1"/>
    </row>
    <row r="132">
      <c r="A132" s="1" t="s">
        <v>2554</v>
      </c>
      <c r="B132" s="1">
        <v>12.0</v>
      </c>
      <c r="N132" s="1">
        <v>12.0</v>
      </c>
      <c r="O132" s="1"/>
      <c r="P132" s="1"/>
    </row>
    <row r="133">
      <c r="A133" s="1" t="s">
        <v>867</v>
      </c>
      <c r="B133" s="1">
        <v>11.0</v>
      </c>
      <c r="N133" s="1">
        <v>11.0</v>
      </c>
      <c r="O133" s="1"/>
      <c r="P133" s="1"/>
    </row>
    <row r="134">
      <c r="A134" s="1" t="s">
        <v>2555</v>
      </c>
      <c r="B134" s="1">
        <v>9.0</v>
      </c>
      <c r="N134" s="1">
        <v>9.0</v>
      </c>
      <c r="O134" s="1"/>
      <c r="P134" s="1"/>
    </row>
    <row r="135">
      <c r="A135" s="1" t="s">
        <v>820</v>
      </c>
      <c r="B135" s="1">
        <v>18.0</v>
      </c>
      <c r="N135" s="1">
        <v>18.0</v>
      </c>
      <c r="O135" s="1"/>
      <c r="P135" s="1"/>
    </row>
    <row r="136">
      <c r="A136" s="1" t="s">
        <v>2556</v>
      </c>
      <c r="B136" s="1">
        <v>10.0</v>
      </c>
      <c r="N136" s="1">
        <v>10.0</v>
      </c>
      <c r="O136" s="1"/>
      <c r="P136" s="1"/>
    </row>
    <row r="137">
      <c r="A137" s="1" t="s">
        <v>2557</v>
      </c>
      <c r="B137" s="1">
        <v>1.0</v>
      </c>
      <c r="N137" s="1">
        <v>1.0</v>
      </c>
      <c r="O137" s="1"/>
      <c r="P137" s="1"/>
    </row>
    <row r="138">
      <c r="A138" s="1" t="s">
        <v>822</v>
      </c>
      <c r="B138" s="1">
        <v>13.0</v>
      </c>
      <c r="N138" s="1"/>
      <c r="O138" s="1"/>
      <c r="P138" s="1"/>
    </row>
    <row r="139">
      <c r="A139" s="1" t="s">
        <v>2558</v>
      </c>
      <c r="B139" s="1">
        <v>2.0</v>
      </c>
      <c r="N139" s="1">
        <v>2.0</v>
      </c>
      <c r="O139" s="1" t="s">
        <v>2536</v>
      </c>
      <c r="P139" s="1"/>
    </row>
    <row r="140">
      <c r="A140" s="1" t="s">
        <v>2559</v>
      </c>
      <c r="B140" s="1">
        <v>1.0</v>
      </c>
      <c r="N140" s="1">
        <v>1.0</v>
      </c>
      <c r="O140" s="1"/>
      <c r="P140" s="1"/>
    </row>
    <row r="141">
      <c r="A141" s="1" t="s">
        <v>2560</v>
      </c>
      <c r="B141" s="1">
        <v>5.0</v>
      </c>
      <c r="N141" s="1">
        <v>5.0</v>
      </c>
      <c r="O141" s="1">
        <v>5.0</v>
      </c>
      <c r="P141" s="1"/>
    </row>
    <row r="142">
      <c r="A142" s="1" t="s">
        <v>2561</v>
      </c>
      <c r="B142" s="1">
        <v>3.0</v>
      </c>
      <c r="N142" s="1">
        <v>3.0</v>
      </c>
      <c r="O142" s="1"/>
      <c r="P142" s="1"/>
    </row>
    <row r="143">
      <c r="A143" s="1" t="s">
        <v>824</v>
      </c>
      <c r="B143" s="1">
        <v>12.0</v>
      </c>
      <c r="N143" s="1">
        <v>12.0</v>
      </c>
      <c r="O143" s="1"/>
      <c r="P143" s="1"/>
    </row>
    <row r="144">
      <c r="A144" s="1" t="s">
        <v>2562</v>
      </c>
      <c r="B144" s="1">
        <v>5.0</v>
      </c>
      <c r="N144" s="1">
        <v>5.0</v>
      </c>
      <c r="O144" s="1">
        <v>5.0</v>
      </c>
      <c r="P144" s="1"/>
    </row>
    <row r="145">
      <c r="A145" s="1" t="s">
        <v>826</v>
      </c>
      <c r="B145" s="1">
        <v>3.0</v>
      </c>
      <c r="C145" s="1" t="s">
        <v>2536</v>
      </c>
      <c r="N145" s="1"/>
    </row>
    <row r="146">
      <c r="A146" s="1" t="s">
        <v>2563</v>
      </c>
      <c r="B146" s="1">
        <v>5.0</v>
      </c>
      <c r="C146" s="1" t="s">
        <v>2536</v>
      </c>
      <c r="N146" s="1"/>
    </row>
    <row r="147">
      <c r="A147" s="1" t="s">
        <v>827</v>
      </c>
      <c r="B147" s="1">
        <v>18.0</v>
      </c>
      <c r="C147" s="1" t="s">
        <v>2536</v>
      </c>
      <c r="N147" s="1">
        <v>1.0</v>
      </c>
    </row>
    <row r="148">
      <c r="A148" s="1" t="s">
        <v>2564</v>
      </c>
      <c r="B148" s="1">
        <v>1.0</v>
      </c>
      <c r="C148" s="1" t="s">
        <v>2536</v>
      </c>
      <c r="N148" s="1"/>
    </row>
    <row r="149">
      <c r="A149" s="1" t="s">
        <v>2565</v>
      </c>
      <c r="B149" s="1">
        <v>1.0</v>
      </c>
      <c r="C149" s="1" t="s">
        <v>2536</v>
      </c>
      <c r="N149" s="1"/>
    </row>
    <row r="150">
      <c r="A150" s="1" t="s">
        <v>2566</v>
      </c>
      <c r="B150" s="1">
        <v>35.0</v>
      </c>
      <c r="C150" s="1" t="s">
        <v>2536</v>
      </c>
      <c r="N150" s="1"/>
    </row>
    <row r="151">
      <c r="A151" s="1" t="s">
        <v>2567</v>
      </c>
      <c r="B151" s="1">
        <v>11.0</v>
      </c>
      <c r="C151" s="1" t="s">
        <v>2536</v>
      </c>
      <c r="N151" s="1"/>
    </row>
    <row r="152">
      <c r="A152" s="1" t="s">
        <v>2568</v>
      </c>
      <c r="B152" s="1"/>
      <c r="C152" s="1" t="s">
        <v>2536</v>
      </c>
      <c r="N152" s="1"/>
    </row>
    <row r="153">
      <c r="A153" s="1" t="s">
        <v>2569</v>
      </c>
      <c r="B153" s="1">
        <v>19.0</v>
      </c>
      <c r="C153" s="1" t="s">
        <v>2536</v>
      </c>
      <c r="N153" s="1"/>
    </row>
    <row r="154">
      <c r="A154" s="1" t="s">
        <v>1940</v>
      </c>
      <c r="B154" s="1">
        <v>30.0</v>
      </c>
      <c r="C154" s="1" t="s">
        <v>2536</v>
      </c>
      <c r="N154" s="1"/>
    </row>
    <row r="155">
      <c r="A155" s="1" t="s">
        <v>2570</v>
      </c>
      <c r="B155" s="1">
        <v>42.0</v>
      </c>
      <c r="C155" s="1" t="s">
        <v>2536</v>
      </c>
      <c r="N155" s="1"/>
    </row>
    <row r="156">
      <c r="A156" s="1" t="s">
        <v>829</v>
      </c>
      <c r="B156" s="1">
        <v>4.0</v>
      </c>
      <c r="C156" s="1" t="s">
        <v>2536</v>
      </c>
      <c r="N156" s="1"/>
    </row>
    <row r="157">
      <c r="A157" s="1" t="s">
        <v>830</v>
      </c>
      <c r="B157" s="1">
        <v>1.0</v>
      </c>
      <c r="C157" s="1" t="s">
        <v>2536</v>
      </c>
      <c r="N157" s="1"/>
    </row>
    <row r="158">
      <c r="A158" s="1" t="s">
        <v>2571</v>
      </c>
      <c r="B158" s="1">
        <v>4.0</v>
      </c>
      <c r="C158" s="1" t="s">
        <v>2536</v>
      </c>
      <c r="N158" s="1"/>
    </row>
    <row r="159">
      <c r="A159" s="1" t="s">
        <v>2572</v>
      </c>
      <c r="B159" s="1">
        <v>15.0</v>
      </c>
      <c r="C159" s="1" t="s">
        <v>2536</v>
      </c>
      <c r="N159" s="1"/>
    </row>
    <row r="160">
      <c r="A160" s="1" t="s">
        <v>873</v>
      </c>
      <c r="B160" s="1">
        <v>35.0</v>
      </c>
      <c r="C160" s="1" t="s">
        <v>2536</v>
      </c>
      <c r="N160" s="1"/>
    </row>
    <row r="161">
      <c r="A161" s="1" t="s">
        <v>2573</v>
      </c>
      <c r="B161" s="1">
        <v>16.0</v>
      </c>
      <c r="C161" s="1" t="s">
        <v>2536</v>
      </c>
      <c r="N161" s="1"/>
    </row>
    <row r="162">
      <c r="A162" s="1" t="s">
        <v>833</v>
      </c>
      <c r="B162" s="1">
        <v>79.0</v>
      </c>
      <c r="C162" s="1" t="s">
        <v>2536</v>
      </c>
      <c r="N162" s="1"/>
    </row>
    <row r="163">
      <c r="A163" s="1" t="s">
        <v>874</v>
      </c>
      <c r="B163" s="1">
        <v>11.0</v>
      </c>
      <c r="C163" s="1" t="s">
        <v>2536</v>
      </c>
      <c r="N163" s="1"/>
    </row>
    <row r="164">
      <c r="A164" s="1" t="s">
        <v>835</v>
      </c>
      <c r="B164" s="1">
        <v>1.0</v>
      </c>
      <c r="C164" s="1" t="s">
        <v>2536</v>
      </c>
      <c r="N164" s="1"/>
    </row>
    <row r="165">
      <c r="A165" s="1" t="s">
        <v>2574</v>
      </c>
      <c r="B165" s="1">
        <v>12.0</v>
      </c>
      <c r="C165" s="1" t="s">
        <v>2536</v>
      </c>
      <c r="N165" s="1"/>
    </row>
    <row r="166">
      <c r="A166" s="1" t="s">
        <v>2575</v>
      </c>
      <c r="B166" s="1">
        <v>12.0</v>
      </c>
      <c r="C166" s="1" t="s">
        <v>2536</v>
      </c>
      <c r="N166" s="1"/>
    </row>
    <row r="167">
      <c r="A167" s="1" t="s">
        <v>2576</v>
      </c>
      <c r="B167" s="1"/>
      <c r="C167" s="1" t="s">
        <v>2536</v>
      </c>
      <c r="N167" s="1"/>
    </row>
    <row r="168">
      <c r="A168" s="1" t="s">
        <v>2577</v>
      </c>
      <c r="B168" s="1">
        <v>15.0</v>
      </c>
      <c r="C168" s="1" t="s">
        <v>2536</v>
      </c>
      <c r="N168" s="1"/>
    </row>
    <row r="169">
      <c r="A169" s="1" t="s">
        <v>2578</v>
      </c>
      <c r="B169" s="1">
        <v>31.0</v>
      </c>
      <c r="C169" s="1" t="s">
        <v>2536</v>
      </c>
      <c r="N169" s="1"/>
    </row>
    <row r="170">
      <c r="A170" s="1" t="s">
        <v>2579</v>
      </c>
      <c r="B170" s="1">
        <v>8.0</v>
      </c>
      <c r="C170" s="1" t="s">
        <v>2536</v>
      </c>
      <c r="N170" s="1"/>
    </row>
    <row r="171">
      <c r="A171" s="1" t="s">
        <v>875</v>
      </c>
      <c r="B171" s="1">
        <v>1.0</v>
      </c>
      <c r="C171" s="1" t="s">
        <v>2536</v>
      </c>
      <c r="N171" s="1"/>
    </row>
    <row r="172">
      <c r="A172" s="1" t="s">
        <v>837</v>
      </c>
      <c r="B172" s="1">
        <v>11.0</v>
      </c>
      <c r="C172" s="1" t="s">
        <v>2536</v>
      </c>
      <c r="N172" s="1"/>
    </row>
    <row r="173">
      <c r="A173" s="1" t="s">
        <v>838</v>
      </c>
      <c r="B173" s="1">
        <v>11.0</v>
      </c>
      <c r="C173" s="1" t="s">
        <v>2536</v>
      </c>
      <c r="N173" s="1"/>
    </row>
    <row r="174">
      <c r="A174" s="1" t="s">
        <v>2580</v>
      </c>
      <c r="B174" s="1">
        <v>15.0</v>
      </c>
      <c r="C174" s="1" t="s">
        <v>2536</v>
      </c>
      <c r="N174" s="1"/>
    </row>
    <row r="175">
      <c r="A175" s="1" t="s">
        <v>2581</v>
      </c>
      <c r="B175" s="1">
        <v>1.0</v>
      </c>
      <c r="C175" s="1" t="s">
        <v>2536</v>
      </c>
      <c r="N175" s="1"/>
    </row>
    <row r="176">
      <c r="A176" s="1" t="s">
        <v>2582</v>
      </c>
      <c r="B176" s="1">
        <v>2.0</v>
      </c>
      <c r="C176" s="1" t="s">
        <v>2536</v>
      </c>
      <c r="N176" s="1"/>
    </row>
    <row r="177">
      <c r="A177" s="1" t="s">
        <v>2583</v>
      </c>
      <c r="B177" s="1">
        <v>55.0</v>
      </c>
      <c r="C177" s="1" t="s">
        <v>2536</v>
      </c>
      <c r="N177" s="1">
        <v>55.0</v>
      </c>
    </row>
    <row r="178">
      <c r="A178" s="1" t="s">
        <v>877</v>
      </c>
      <c r="B178" s="1">
        <v>2.0</v>
      </c>
      <c r="C178" s="1" t="s">
        <v>2536</v>
      </c>
      <c r="N178" s="1"/>
    </row>
    <row r="179">
      <c r="A179" s="1" t="s">
        <v>2584</v>
      </c>
      <c r="B179" s="1">
        <v>9.0</v>
      </c>
      <c r="C179" s="1" t="s">
        <v>2536</v>
      </c>
      <c r="N179" s="1"/>
    </row>
    <row r="180">
      <c r="A180" s="1" t="s">
        <v>840</v>
      </c>
      <c r="B180" s="1">
        <v>10.0</v>
      </c>
      <c r="C180" s="1" t="s">
        <v>2536</v>
      </c>
      <c r="N180" s="1"/>
    </row>
    <row r="181">
      <c r="A181" s="1" t="s">
        <v>841</v>
      </c>
      <c r="B181" s="1">
        <v>4.0</v>
      </c>
      <c r="C181" s="1" t="s">
        <v>2536</v>
      </c>
      <c r="N181" s="1"/>
    </row>
    <row r="182">
      <c r="A182" s="1" t="s">
        <v>2585</v>
      </c>
      <c r="B182" s="1">
        <v>4.0</v>
      </c>
      <c r="C182" s="1" t="s">
        <v>2536</v>
      </c>
      <c r="N182" s="1"/>
    </row>
    <row r="183">
      <c r="A183" s="1" t="s">
        <v>2586</v>
      </c>
      <c r="B183" s="1">
        <v>30.0</v>
      </c>
      <c r="C183" s="1" t="s">
        <v>2536</v>
      </c>
      <c r="N183" s="1"/>
    </row>
    <row r="184">
      <c r="A184" s="1" t="s">
        <v>2587</v>
      </c>
      <c r="B184" s="1">
        <v>2.0</v>
      </c>
      <c r="C184" s="1" t="s">
        <v>2536</v>
      </c>
      <c r="N184" s="1"/>
    </row>
    <row r="185">
      <c r="A185" s="1" t="s">
        <v>2588</v>
      </c>
      <c r="B185" s="1">
        <v>50.0</v>
      </c>
      <c r="C185" s="1" t="s">
        <v>2536</v>
      </c>
      <c r="N185" s="1"/>
    </row>
    <row r="186">
      <c r="A186" s="1" t="s">
        <v>2589</v>
      </c>
      <c r="B186" s="1">
        <v>1.0</v>
      </c>
      <c r="C186" s="1" t="s">
        <v>2536</v>
      </c>
      <c r="N186" s="1"/>
    </row>
    <row r="187">
      <c r="A187" s="1" t="s">
        <v>2590</v>
      </c>
      <c r="B187" s="1">
        <v>1.0</v>
      </c>
      <c r="C187" s="1" t="s">
        <v>2536</v>
      </c>
      <c r="N187" s="1"/>
    </row>
    <row r="188">
      <c r="A188" s="1" t="s">
        <v>845</v>
      </c>
      <c r="B188" s="1">
        <v>5.0</v>
      </c>
      <c r="C188" s="1" t="s">
        <v>2536</v>
      </c>
      <c r="N188" s="1"/>
    </row>
    <row r="189">
      <c r="A189" s="1" t="s">
        <v>844</v>
      </c>
      <c r="B189" s="1">
        <v>60.0</v>
      </c>
      <c r="C189" s="1" t="s">
        <v>2536</v>
      </c>
      <c r="N189" s="1"/>
    </row>
    <row r="190">
      <c r="A190" s="1" t="s">
        <v>2591</v>
      </c>
      <c r="B190" s="1">
        <v>5.0</v>
      </c>
      <c r="C190" s="1" t="s">
        <v>2536</v>
      </c>
      <c r="N190" s="1"/>
    </row>
    <row r="191">
      <c r="A191" s="1" t="s">
        <v>2592</v>
      </c>
      <c r="B191" s="1">
        <v>3.0</v>
      </c>
      <c r="C191" s="1" t="s">
        <v>2536</v>
      </c>
      <c r="N191" s="1"/>
    </row>
    <row r="192">
      <c r="A192" s="1" t="s">
        <v>2593</v>
      </c>
      <c r="B192" s="1">
        <v>37.0</v>
      </c>
      <c r="C192" s="1" t="s">
        <v>2536</v>
      </c>
      <c r="N192" s="1"/>
    </row>
    <row r="193">
      <c r="A193" s="1" t="s">
        <v>2594</v>
      </c>
      <c r="B193" s="1">
        <v>5.0</v>
      </c>
      <c r="C193" s="1" t="s">
        <v>2536</v>
      </c>
      <c r="N193" s="1"/>
    </row>
    <row r="194">
      <c r="A194" s="1" t="s">
        <v>2595</v>
      </c>
      <c r="B194" s="1">
        <v>20.0</v>
      </c>
      <c r="C194" s="1" t="s">
        <v>2536</v>
      </c>
      <c r="N194" s="1"/>
    </row>
    <row r="195">
      <c r="A195" s="1" t="s">
        <v>2596</v>
      </c>
      <c r="B195" s="1">
        <v>20.0</v>
      </c>
      <c r="C195" s="1" t="s">
        <v>2536</v>
      </c>
      <c r="N195" s="1"/>
    </row>
    <row r="196">
      <c r="A196" s="1" t="s">
        <v>2597</v>
      </c>
      <c r="B196" s="1">
        <v>2.0</v>
      </c>
      <c r="C196" s="1" t="s">
        <v>2536</v>
      </c>
      <c r="N196" s="1"/>
    </row>
    <row r="197">
      <c r="A197" s="1" t="s">
        <v>883</v>
      </c>
      <c r="B197" s="1">
        <v>6.0</v>
      </c>
      <c r="C197" s="1" t="s">
        <v>2536</v>
      </c>
      <c r="N197" s="1"/>
    </row>
    <row r="198">
      <c r="A198" s="1" t="s">
        <v>2598</v>
      </c>
      <c r="B198" s="1">
        <v>1.0</v>
      </c>
      <c r="C198" s="1" t="s">
        <v>2536</v>
      </c>
      <c r="N198" s="1"/>
    </row>
    <row r="199">
      <c r="A199" s="1" t="s">
        <v>2599</v>
      </c>
      <c r="B199" s="1">
        <v>8.0</v>
      </c>
      <c r="C199" s="1" t="s">
        <v>2536</v>
      </c>
      <c r="N199" s="1"/>
    </row>
    <row r="200">
      <c r="A200" s="1" t="s">
        <v>2600</v>
      </c>
      <c r="B200" s="1">
        <v>1.0</v>
      </c>
      <c r="C200" s="1" t="s">
        <v>2536</v>
      </c>
      <c r="N200" s="1"/>
    </row>
    <row r="201">
      <c r="A201" s="1" t="s">
        <v>2601</v>
      </c>
      <c r="B201" s="1">
        <v>39.0</v>
      </c>
      <c r="C201" s="1" t="s">
        <v>2536</v>
      </c>
      <c r="N201" s="1"/>
    </row>
    <row r="202">
      <c r="A202" s="1" t="s">
        <v>2602</v>
      </c>
      <c r="B202" s="1">
        <v>11.0</v>
      </c>
      <c r="C202" s="1" t="s">
        <v>2536</v>
      </c>
      <c r="N202" s="1"/>
    </row>
    <row r="203">
      <c r="A203" s="1" t="s">
        <v>2603</v>
      </c>
      <c r="B203" s="1">
        <v>57.0</v>
      </c>
    </row>
    <row r="204">
      <c r="A204" s="1" t="s">
        <v>2604</v>
      </c>
      <c r="B204" s="1">
        <v>12.0</v>
      </c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4.0"/>
    <col customWidth="1" min="12" max="12" width="13.0"/>
  </cols>
  <sheetData>
    <row r="1">
      <c r="A1" s="167"/>
      <c r="B1" s="168" t="s">
        <v>49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</row>
    <row r="2">
      <c r="A2" s="169" t="s">
        <v>172</v>
      </c>
      <c r="B2" s="170" t="s">
        <v>174</v>
      </c>
      <c r="C2" s="171" t="s">
        <v>693</v>
      </c>
      <c r="D2" s="608" t="s">
        <v>694</v>
      </c>
      <c r="E2" s="608" t="s">
        <v>695</v>
      </c>
      <c r="F2" s="608" t="s">
        <v>179</v>
      </c>
      <c r="G2" s="608" t="s">
        <v>696</v>
      </c>
      <c r="H2" s="173" t="s">
        <v>697</v>
      </c>
      <c r="I2" s="174" t="s">
        <v>84</v>
      </c>
      <c r="J2" s="170" t="s">
        <v>698</v>
      </c>
      <c r="K2" s="175" t="s">
        <v>699</v>
      </c>
      <c r="L2" s="173" t="s">
        <v>89</v>
      </c>
      <c r="M2" s="176" t="s">
        <v>700</v>
      </c>
      <c r="N2" s="177" t="s">
        <v>701</v>
      </c>
      <c r="O2" s="177" t="s">
        <v>702</v>
      </c>
      <c r="P2" s="178" t="s">
        <v>90</v>
      </c>
      <c r="Q2" s="179" t="s">
        <v>703</v>
      </c>
    </row>
    <row r="3">
      <c r="A3" s="609" t="s">
        <v>386</v>
      </c>
      <c r="B3" s="610">
        <f t="array" ref="B3">VLOOKUP($A3,IN_DEMO,2,FALSE)</f>
        <v>35809</v>
      </c>
      <c r="C3" s="611">
        <f>VLOOKUP($A3,'IN Data'!$A$5:$N$96,5,FALSE)</f>
        <v>28</v>
      </c>
      <c r="D3" s="612" t="s">
        <v>63</v>
      </c>
      <c r="E3" s="612">
        <f>VLOOKUP($A3,'IN Data'!$A$5:$N$96,9,FALSE)</f>
        <v>8</v>
      </c>
      <c r="F3" s="612">
        <f>VLOOKUP($A3,'IN Data'!$A$5:$N$96,7,FALSE)</f>
        <v>18</v>
      </c>
      <c r="G3" s="612" t="s">
        <v>63</v>
      </c>
      <c r="H3" s="671" t="s">
        <v>63</v>
      </c>
      <c r="I3" s="614" t="s">
        <v>63</v>
      </c>
      <c r="J3" s="615" t="s">
        <v>63</v>
      </c>
      <c r="K3" s="672" t="s">
        <v>63</v>
      </c>
      <c r="L3" s="728">
        <f>VLOOKUP($A3,'IN Data'!$A$5:$N$96,3,FALSE)</f>
        <v>45</v>
      </c>
      <c r="M3" s="704" t="s">
        <v>63</v>
      </c>
      <c r="N3" s="729" t="s">
        <v>63</v>
      </c>
      <c r="O3" s="619" t="s">
        <v>63</v>
      </c>
      <c r="P3" s="620">
        <f>ifna(vlookup(A3,'Population &amp; Church Numbers'!$A$700:$D$791,4,FALSE),"NULL")</f>
        <v>49</v>
      </c>
      <c r="Q3" s="674" t="s">
        <v>63</v>
      </c>
    </row>
    <row r="4">
      <c r="A4" s="609" t="s">
        <v>755</v>
      </c>
      <c r="B4" s="610">
        <f t="array" ref="B4">VLOOKUP($A4,IN_DEMO,2,FALSE)</f>
        <v>385410</v>
      </c>
      <c r="C4" s="611">
        <f>VLOOKUP($A4,'IN Data'!$A$5:$N$96,5,FALSE)</f>
        <v>564</v>
      </c>
      <c r="D4" s="612" t="s">
        <v>63</v>
      </c>
      <c r="E4" s="612">
        <f>VLOOKUP($A4,'IN Data'!$A$5:$N$96,9,FALSE)</f>
        <v>226</v>
      </c>
      <c r="F4" s="612">
        <f>VLOOKUP($A4,'IN Data'!$A$5:$N$96,7,FALSE)</f>
        <v>312</v>
      </c>
      <c r="G4" s="612" t="s">
        <v>63</v>
      </c>
      <c r="H4" s="671" t="s">
        <v>63</v>
      </c>
      <c r="I4" s="614" t="s">
        <v>63</v>
      </c>
      <c r="J4" s="615" t="s">
        <v>63</v>
      </c>
      <c r="K4" s="672" t="s">
        <v>63</v>
      </c>
      <c r="L4" s="728">
        <f>VLOOKUP($A4,'IN Data'!$A$5:$N$96,3,FALSE)</f>
        <v>219</v>
      </c>
      <c r="M4" s="704" t="s">
        <v>63</v>
      </c>
      <c r="N4" s="729" t="s">
        <v>63</v>
      </c>
      <c r="O4" s="619" t="s">
        <v>63</v>
      </c>
      <c r="P4" s="620">
        <f>ifna(vlookup(A4,'Population &amp; Church Numbers'!$A$700:$D$791,4,FALSE),"NULL")</f>
        <v>300</v>
      </c>
      <c r="Q4" s="674" t="s">
        <v>63</v>
      </c>
    </row>
    <row r="5">
      <c r="A5" s="609" t="s">
        <v>756</v>
      </c>
      <c r="B5" s="610">
        <f t="array" ref="B5">VLOOKUP($A5,IN_DEMO,2,FALSE)</f>
        <v>82208</v>
      </c>
      <c r="C5" s="611">
        <f>VLOOKUP($A5,'IN Data'!$A$5:$N$96,5,FALSE)</f>
        <v>99</v>
      </c>
      <c r="D5" s="612" t="s">
        <v>63</v>
      </c>
      <c r="E5" s="612">
        <f>VLOOKUP($A5,'IN Data'!$A$5:$N$96,9,FALSE)</f>
        <v>40</v>
      </c>
      <c r="F5" s="612">
        <f>VLOOKUP($A5,'IN Data'!$A$5:$N$96,7,FALSE)</f>
        <v>54</v>
      </c>
      <c r="G5" s="612" t="s">
        <v>63</v>
      </c>
      <c r="H5" s="671" t="s">
        <v>63</v>
      </c>
      <c r="I5" s="614" t="s">
        <v>63</v>
      </c>
      <c r="J5" s="615" t="s">
        <v>63</v>
      </c>
      <c r="K5" s="672" t="s">
        <v>63</v>
      </c>
      <c r="L5" s="728">
        <f>VLOOKUP($A5,'IN Data'!$A$5:$N$96,3,FALSE)</f>
        <v>40</v>
      </c>
      <c r="M5" s="704" t="s">
        <v>63</v>
      </c>
      <c r="N5" s="729" t="s">
        <v>63</v>
      </c>
      <c r="O5" s="619" t="s">
        <v>63</v>
      </c>
      <c r="P5" s="620">
        <f>ifna(vlookup(A5,'Population &amp; Church Numbers'!$A$700:$D$791,4,FALSE),"NULL")</f>
        <v>76</v>
      </c>
      <c r="Q5" s="674" t="s">
        <v>63</v>
      </c>
    </row>
    <row r="6">
      <c r="A6" s="609" t="s">
        <v>243</v>
      </c>
      <c r="B6" s="610">
        <f t="array" ref="B6">VLOOKUP($A6,IN_DEMO,2,FALSE)</f>
        <v>8719</v>
      </c>
      <c r="C6" s="611">
        <f>VLOOKUP($A6,'IN Data'!$A$5:$N$96,5,FALSE)</f>
        <v>6</v>
      </c>
      <c r="D6" s="612" t="s">
        <v>63</v>
      </c>
      <c r="E6" s="612">
        <f>VLOOKUP($A6,'IN Data'!$A$5:$N$96,9,FALSE)</f>
        <v>2</v>
      </c>
      <c r="F6" s="612">
        <f>VLOOKUP($A6,'IN Data'!$A$5:$N$96,7,FALSE)</f>
        <v>3</v>
      </c>
      <c r="G6" s="612" t="s">
        <v>63</v>
      </c>
      <c r="H6" s="671" t="s">
        <v>63</v>
      </c>
      <c r="I6" s="614" t="s">
        <v>63</v>
      </c>
      <c r="J6" s="615" t="s">
        <v>63</v>
      </c>
      <c r="K6" s="672" t="s">
        <v>63</v>
      </c>
      <c r="L6" s="728">
        <f>VLOOKUP($A6,'IN Data'!$A$5:$N$96,3,FALSE)</f>
        <v>15</v>
      </c>
      <c r="M6" s="704" t="s">
        <v>63</v>
      </c>
      <c r="N6" s="729" t="s">
        <v>63</v>
      </c>
      <c r="O6" s="619" t="s">
        <v>63</v>
      </c>
      <c r="P6" s="620">
        <f>ifna(vlookup(A6,'Population &amp; Church Numbers'!$A$700:$D$791,4,FALSE),"NULL")</f>
        <v>12</v>
      </c>
      <c r="Q6" s="674" t="s">
        <v>63</v>
      </c>
    </row>
    <row r="7">
      <c r="A7" s="609" t="s">
        <v>757</v>
      </c>
      <c r="B7" s="610">
        <f t="array" ref="B7">VLOOKUP($A7,IN_DEMO,2,FALSE)</f>
        <v>12112</v>
      </c>
      <c r="C7" s="611">
        <f>VLOOKUP($A7,'IN Data'!$A$5:$N$96,5,FALSE)</f>
        <v>24</v>
      </c>
      <c r="D7" s="612" t="s">
        <v>63</v>
      </c>
      <c r="E7" s="612">
        <f>VLOOKUP($A7,'IN Data'!$A$5:$N$96,9,FALSE)</f>
        <v>0</v>
      </c>
      <c r="F7" s="612">
        <f>VLOOKUP($A7,'IN Data'!$A$5:$N$96,7,FALSE)</f>
        <v>22</v>
      </c>
      <c r="G7" s="612" t="s">
        <v>63</v>
      </c>
      <c r="H7" s="671" t="s">
        <v>63</v>
      </c>
      <c r="I7" s="614" t="s">
        <v>63</v>
      </c>
      <c r="J7" s="615" t="s">
        <v>63</v>
      </c>
      <c r="K7" s="672" t="s">
        <v>63</v>
      </c>
      <c r="L7" s="728">
        <f>VLOOKUP($A7,'IN Data'!$A$5:$N$96,3,FALSE)</f>
        <v>7</v>
      </c>
      <c r="M7" s="704" t="s">
        <v>63</v>
      </c>
      <c r="N7" s="729" t="s">
        <v>63</v>
      </c>
      <c r="O7" s="619" t="s">
        <v>63</v>
      </c>
      <c r="P7" s="620">
        <f>ifna(vlookup(A7,'Population &amp; Church Numbers'!$A$700:$D$791,4,FALSE),"NULL")</f>
        <v>16</v>
      </c>
      <c r="Q7" s="674" t="s">
        <v>63</v>
      </c>
    </row>
    <row r="8">
      <c r="A8" s="609" t="s">
        <v>246</v>
      </c>
      <c r="B8" s="610">
        <f t="array" ref="B8">VLOOKUP($A8,IN_DEMO,2,FALSE)</f>
        <v>70812</v>
      </c>
      <c r="C8" s="611">
        <f>VLOOKUP($A8,'IN Data'!$A$5:$N$96,5,FALSE)</f>
        <v>46</v>
      </c>
      <c r="D8" s="612" t="s">
        <v>63</v>
      </c>
      <c r="E8" s="612">
        <f>VLOOKUP($A8,'IN Data'!$A$5:$N$96,9,FALSE)</f>
        <v>16</v>
      </c>
      <c r="F8" s="612">
        <f>VLOOKUP($A8,'IN Data'!$A$5:$N$96,7,FALSE)</f>
        <v>30</v>
      </c>
      <c r="G8" s="612" t="s">
        <v>63</v>
      </c>
      <c r="H8" s="671" t="s">
        <v>63</v>
      </c>
      <c r="I8" s="614" t="s">
        <v>63</v>
      </c>
      <c r="J8" s="615" t="s">
        <v>63</v>
      </c>
      <c r="K8" s="672" t="s">
        <v>63</v>
      </c>
      <c r="L8" s="728">
        <f>VLOOKUP($A8,'IN Data'!$A$5:$N$96,3,FALSE)</f>
        <v>15</v>
      </c>
      <c r="M8" s="704" t="s">
        <v>63</v>
      </c>
      <c r="N8" s="729" t="s">
        <v>63</v>
      </c>
      <c r="O8" s="619" t="s">
        <v>63</v>
      </c>
      <c r="P8" s="620">
        <f>ifna(vlookup(A8,'Population &amp; Church Numbers'!$A$700:$D$791,4,FALSE),"NULL")</f>
        <v>48</v>
      </c>
      <c r="Q8" s="674" t="s">
        <v>63</v>
      </c>
    </row>
    <row r="9">
      <c r="A9" s="609" t="s">
        <v>706</v>
      </c>
      <c r="B9" s="610">
        <f t="array" ref="B9">VLOOKUP($A9,IN_DEMO,2,FALSE)</f>
        <v>15475</v>
      </c>
      <c r="C9" s="611">
        <f>VLOOKUP($A9,'IN Data'!$A$5:$N$96,5,FALSE)</f>
        <v>25</v>
      </c>
      <c r="D9" s="612" t="s">
        <v>63</v>
      </c>
      <c r="E9" s="612">
        <f>VLOOKUP($A9,'IN Data'!$A$5:$N$96,9,FALSE)</f>
        <v>6</v>
      </c>
      <c r="F9" s="612">
        <f>VLOOKUP($A9,'IN Data'!$A$5:$N$96,7,FALSE)</f>
        <v>16</v>
      </c>
      <c r="G9" s="612" t="s">
        <v>63</v>
      </c>
      <c r="H9" s="671" t="s">
        <v>63</v>
      </c>
      <c r="I9" s="614" t="s">
        <v>63</v>
      </c>
      <c r="J9" s="615" t="s">
        <v>63</v>
      </c>
      <c r="K9" s="672" t="s">
        <v>63</v>
      </c>
      <c r="L9" s="728">
        <f>VLOOKUP($A9,'IN Data'!$A$5:$N$96,3,FALSE)</f>
        <v>8</v>
      </c>
      <c r="M9" s="704" t="s">
        <v>63</v>
      </c>
      <c r="N9" s="729" t="s">
        <v>63</v>
      </c>
      <c r="O9" s="619" t="s">
        <v>63</v>
      </c>
      <c r="P9" s="620">
        <f>ifna(vlookup(A9,'Population &amp; Church Numbers'!$A$700:$D$791,4,FALSE),"NULL")</f>
        <v>15</v>
      </c>
      <c r="Q9" s="674" t="s">
        <v>63</v>
      </c>
    </row>
    <row r="10">
      <c r="A10" s="609" t="s">
        <v>248</v>
      </c>
      <c r="B10" s="610">
        <f t="array" ref="B10">VLOOKUP($A10,IN_DEMO,2,FALSE)</f>
        <v>20306</v>
      </c>
      <c r="C10" s="611">
        <f>VLOOKUP($A10,'IN Data'!$A$5:$N$96,5,FALSE)</f>
        <v>11</v>
      </c>
      <c r="D10" s="612" t="s">
        <v>63</v>
      </c>
      <c r="E10" s="612">
        <f>VLOOKUP($A10,'IN Data'!$A$5:$N$96,9,FALSE)</f>
        <v>3</v>
      </c>
      <c r="F10" s="612">
        <f>VLOOKUP($A10,'IN Data'!$A$5:$N$96,7,FALSE)</f>
        <v>8</v>
      </c>
      <c r="G10" s="612" t="s">
        <v>63</v>
      </c>
      <c r="H10" s="671" t="s">
        <v>63</v>
      </c>
      <c r="I10" s="614" t="s">
        <v>63</v>
      </c>
      <c r="J10" s="615" t="s">
        <v>63</v>
      </c>
      <c r="K10" s="672" t="s">
        <v>63</v>
      </c>
      <c r="L10" s="728">
        <f>VLOOKUP($A10,'IN Data'!$A$5:$N$96,3,FALSE)</f>
        <v>4</v>
      </c>
      <c r="M10" s="704" t="s">
        <v>63</v>
      </c>
      <c r="N10" s="729" t="s">
        <v>63</v>
      </c>
      <c r="O10" s="619" t="s">
        <v>63</v>
      </c>
      <c r="P10" s="620">
        <f>ifna(vlookup(A10,'Population &amp; Church Numbers'!$A$700:$D$791,4,FALSE),"NULL")</f>
        <v>36</v>
      </c>
      <c r="Q10" s="674" t="s">
        <v>63</v>
      </c>
    </row>
    <row r="11">
      <c r="A11" s="609" t="s">
        <v>708</v>
      </c>
      <c r="B11" s="610">
        <f t="array" ref="B11">VLOOKUP($A11,IN_DEMO,2,FALSE)</f>
        <v>37870</v>
      </c>
      <c r="C11" s="611">
        <f>VLOOKUP($A11,'IN Data'!$A$5:$N$96,5,FALSE)</f>
        <v>35</v>
      </c>
      <c r="D11" s="612" t="s">
        <v>63</v>
      </c>
      <c r="E11" s="612">
        <f>VLOOKUP($A11,'IN Data'!$A$5:$N$96,9,FALSE)</f>
        <v>16</v>
      </c>
      <c r="F11" s="612">
        <f>VLOOKUP($A11,'IN Data'!$A$5:$N$96,7,FALSE)</f>
        <v>18</v>
      </c>
      <c r="G11" s="612" t="s">
        <v>63</v>
      </c>
      <c r="H11" s="671" t="s">
        <v>63</v>
      </c>
      <c r="I11" s="614" t="s">
        <v>63</v>
      </c>
      <c r="J11" s="615" t="s">
        <v>63</v>
      </c>
      <c r="K11" s="672" t="s">
        <v>63</v>
      </c>
      <c r="L11" s="728">
        <f>VLOOKUP($A11,'IN Data'!$A$5:$N$96,3,FALSE)</f>
        <v>44</v>
      </c>
      <c r="M11" s="704" t="s">
        <v>63</v>
      </c>
      <c r="N11" s="729" t="s">
        <v>63</v>
      </c>
      <c r="O11" s="619" t="s">
        <v>63</v>
      </c>
      <c r="P11" s="620">
        <f>ifna(vlookup(A11,'Population &amp; Church Numbers'!$A$700:$D$791,4,FALSE),"NULL")</f>
        <v>50</v>
      </c>
      <c r="Q11" s="674" t="s">
        <v>63</v>
      </c>
    </row>
    <row r="12">
      <c r="A12" s="609" t="s">
        <v>253</v>
      </c>
      <c r="B12" s="610">
        <f t="array" ref="B12">VLOOKUP($A12,IN_DEMO,2,FALSE)</f>
        <v>121093</v>
      </c>
      <c r="C12" s="611">
        <f>VLOOKUP($A12,'IN Data'!$A$5:$N$96,5,FALSE)</f>
        <v>175</v>
      </c>
      <c r="D12" s="612" t="s">
        <v>63</v>
      </c>
      <c r="E12" s="612">
        <f>VLOOKUP($A12,'IN Data'!$A$5:$N$96,9,FALSE)</f>
        <v>66</v>
      </c>
      <c r="F12" s="612">
        <f>VLOOKUP($A12,'IN Data'!$A$5:$N$96,7,FALSE)</f>
        <v>92</v>
      </c>
      <c r="G12" s="612" t="s">
        <v>63</v>
      </c>
      <c r="H12" s="671" t="s">
        <v>63</v>
      </c>
      <c r="I12" s="614" t="s">
        <v>63</v>
      </c>
      <c r="J12" s="615" t="s">
        <v>63</v>
      </c>
      <c r="K12" s="672" t="s">
        <v>63</v>
      </c>
      <c r="L12" s="728">
        <f>VLOOKUP($A12,'IN Data'!$A$5:$N$96,3,FALSE)</f>
        <v>117</v>
      </c>
      <c r="M12" s="704" t="s">
        <v>63</v>
      </c>
      <c r="N12" s="729" t="s">
        <v>63</v>
      </c>
      <c r="O12" s="619" t="s">
        <v>63</v>
      </c>
      <c r="P12" s="620">
        <f>ifna(vlookup(A12,'Population &amp; Church Numbers'!$A$700:$D$791,4,FALSE),"NULL")</f>
        <v>98</v>
      </c>
      <c r="Q12" s="674" t="s">
        <v>63</v>
      </c>
    </row>
    <row r="13">
      <c r="A13" s="609" t="s">
        <v>112</v>
      </c>
      <c r="B13" s="610">
        <f t="array" ref="B13">VLOOKUP($A13,IN_DEMO,2,FALSE)</f>
        <v>26466</v>
      </c>
      <c r="C13" s="611">
        <f>VLOOKUP($A13,'IN Data'!$A$5:$N$96,5,FALSE)</f>
        <v>64</v>
      </c>
      <c r="D13" s="612" t="s">
        <v>63</v>
      </c>
      <c r="E13" s="612">
        <f>VLOOKUP($A13,'IN Data'!$A$5:$N$96,9,FALSE)</f>
        <v>26</v>
      </c>
      <c r="F13" s="612">
        <f>VLOOKUP($A13,'IN Data'!$A$5:$N$96,7,FALSE)</f>
        <v>30</v>
      </c>
      <c r="G13" s="612" t="s">
        <v>63</v>
      </c>
      <c r="H13" s="671" t="s">
        <v>63</v>
      </c>
      <c r="I13" s="614" t="s">
        <v>63</v>
      </c>
      <c r="J13" s="615" t="s">
        <v>63</v>
      </c>
      <c r="K13" s="672" t="s">
        <v>63</v>
      </c>
      <c r="L13" s="728">
        <f>VLOOKUP($A13,'IN Data'!$A$5:$N$96,3,FALSE)</f>
        <v>39</v>
      </c>
      <c r="M13" s="704" t="s">
        <v>63</v>
      </c>
      <c r="N13" s="729" t="s">
        <v>63</v>
      </c>
      <c r="O13" s="619" t="s">
        <v>63</v>
      </c>
      <c r="P13" s="620">
        <f>ifna(vlookup(A13,'Population &amp; Church Numbers'!$A$700:$D$791,4,FALSE),"NULL")</f>
        <v>42</v>
      </c>
      <c r="Q13" s="674" t="s">
        <v>63</v>
      </c>
    </row>
    <row r="14">
      <c r="A14" s="609" t="s">
        <v>711</v>
      </c>
      <c r="B14" s="610">
        <f t="array" ref="B14">VLOOKUP($A14,IN_DEMO,2,FALSE)</f>
        <v>33190</v>
      </c>
      <c r="C14" s="611">
        <f>VLOOKUP($A14,'IN Data'!$A$5:$N$96,5,FALSE)</f>
        <v>25</v>
      </c>
      <c r="D14" s="612" t="s">
        <v>63</v>
      </c>
      <c r="E14" s="612">
        <f>VLOOKUP($A14,'IN Data'!$A$5:$N$96,9,FALSE)</f>
        <v>9</v>
      </c>
      <c r="F14" s="612">
        <f>VLOOKUP($A14,'IN Data'!$A$5:$N$96,7,FALSE)</f>
        <v>15</v>
      </c>
      <c r="G14" s="612" t="s">
        <v>63</v>
      </c>
      <c r="H14" s="671" t="s">
        <v>63</v>
      </c>
      <c r="I14" s="614" t="s">
        <v>63</v>
      </c>
      <c r="J14" s="615" t="s">
        <v>63</v>
      </c>
      <c r="K14" s="672" t="s">
        <v>63</v>
      </c>
      <c r="L14" s="728">
        <f>VLOOKUP($A14,'IN Data'!$A$5:$N$96,3,FALSE)</f>
        <v>24</v>
      </c>
      <c r="M14" s="704" t="s">
        <v>63</v>
      </c>
      <c r="N14" s="729" t="s">
        <v>63</v>
      </c>
      <c r="O14" s="619" t="s">
        <v>63</v>
      </c>
      <c r="P14" s="620">
        <f>ifna(vlookup(A14,'Population &amp; Church Numbers'!$A$700:$D$791,4,FALSE),"NULL")</f>
        <v>53</v>
      </c>
      <c r="Q14" s="674" t="s">
        <v>63</v>
      </c>
    </row>
    <row r="15">
      <c r="A15" s="609" t="s">
        <v>263</v>
      </c>
      <c r="B15" s="610">
        <f t="array" ref="B15">VLOOKUP($A15,IN_DEMO,2,FALSE)</f>
        <v>10526</v>
      </c>
      <c r="C15" s="611">
        <f>VLOOKUP($A15,'IN Data'!$A$5:$N$96,5,FALSE)</f>
        <v>38</v>
      </c>
      <c r="D15" s="612" t="s">
        <v>63</v>
      </c>
      <c r="E15" s="612">
        <f>VLOOKUP($A15,'IN Data'!$A$5:$N$96,9,FALSE)</f>
        <v>8</v>
      </c>
      <c r="F15" s="612">
        <f>VLOOKUP($A15,'IN Data'!$A$5:$N$96,7,FALSE)</f>
        <v>26</v>
      </c>
      <c r="G15" s="612" t="s">
        <v>63</v>
      </c>
      <c r="H15" s="671" t="s">
        <v>63</v>
      </c>
      <c r="I15" s="614" t="s">
        <v>63</v>
      </c>
      <c r="J15" s="615" t="s">
        <v>63</v>
      </c>
      <c r="K15" s="672" t="s">
        <v>63</v>
      </c>
      <c r="L15" s="728">
        <f>VLOOKUP($A15,'IN Data'!$A$5:$N$96,3,FALSE)</f>
        <v>9</v>
      </c>
      <c r="M15" s="704" t="s">
        <v>63</v>
      </c>
      <c r="N15" s="729" t="s">
        <v>63</v>
      </c>
      <c r="O15" s="619" t="s">
        <v>63</v>
      </c>
      <c r="P15" s="620">
        <f>ifna(vlookup(A15,'Population &amp; Church Numbers'!$A$700:$D$791,4,FALSE),"NULL")</f>
        <v>15</v>
      </c>
      <c r="Q15" s="674" t="s">
        <v>63</v>
      </c>
    </row>
    <row r="16">
      <c r="A16" s="609" t="s">
        <v>758</v>
      </c>
      <c r="B16" s="610">
        <f t="array" ref="B16">VLOOKUP($A16,IN_DEMO,2,FALSE)</f>
        <v>33381</v>
      </c>
      <c r="C16" s="611">
        <f>VLOOKUP($A16,'IN Data'!$A$5:$N$96,5,FALSE)</f>
        <v>60</v>
      </c>
      <c r="D16" s="612" t="s">
        <v>63</v>
      </c>
      <c r="E16" s="612">
        <f>VLOOKUP($A16,'IN Data'!$A$5:$N$96,9,FALSE)</f>
        <v>31</v>
      </c>
      <c r="F16" s="612">
        <f>VLOOKUP($A16,'IN Data'!$A$5:$N$96,7,FALSE)</f>
        <v>24</v>
      </c>
      <c r="G16" s="612" t="s">
        <v>63</v>
      </c>
      <c r="H16" s="671" t="s">
        <v>63</v>
      </c>
      <c r="I16" s="614" t="s">
        <v>63</v>
      </c>
      <c r="J16" s="615" t="s">
        <v>63</v>
      </c>
      <c r="K16" s="672" t="s">
        <v>63</v>
      </c>
      <c r="L16" s="728">
        <f>VLOOKUP($A16,'IN Data'!$A$5:$N$96,3,FALSE)</f>
        <v>19</v>
      </c>
      <c r="M16" s="704" t="s">
        <v>63</v>
      </c>
      <c r="N16" s="729" t="s">
        <v>63</v>
      </c>
      <c r="O16" s="619" t="s">
        <v>63</v>
      </c>
      <c r="P16" s="620">
        <f>ifna(vlookup(A16,'Population &amp; Church Numbers'!$A$700:$D$791,4,FALSE),"NULL")</f>
        <v>57</v>
      </c>
      <c r="Q16" s="674" t="s">
        <v>63</v>
      </c>
    </row>
    <row r="17">
      <c r="A17" s="609" t="s">
        <v>759</v>
      </c>
      <c r="B17" s="610">
        <f t="array" ref="B17">VLOOKUP($A17,IN_DEMO,2,FALSE)</f>
        <v>50679</v>
      </c>
      <c r="C17" s="611">
        <f>VLOOKUP($A17,'IN Data'!$A$5:$N$96,5,FALSE)</f>
        <v>63</v>
      </c>
      <c r="D17" s="612" t="s">
        <v>63</v>
      </c>
      <c r="E17" s="612">
        <f>VLOOKUP($A17,'IN Data'!$A$5:$N$96,9,FALSE)</f>
        <v>19</v>
      </c>
      <c r="F17" s="612">
        <f>VLOOKUP($A17,'IN Data'!$A$5:$N$96,7,FALSE)</f>
        <v>38</v>
      </c>
      <c r="G17" s="612" t="s">
        <v>63</v>
      </c>
      <c r="H17" s="671" t="s">
        <v>63</v>
      </c>
      <c r="I17" s="614" t="s">
        <v>63</v>
      </c>
      <c r="J17" s="615" t="s">
        <v>63</v>
      </c>
      <c r="K17" s="672" t="s">
        <v>63</v>
      </c>
      <c r="L17" s="728">
        <f>VLOOKUP($A17,'IN Data'!$A$5:$N$96,3,FALSE)</f>
        <v>21</v>
      </c>
      <c r="M17" s="704" t="s">
        <v>63</v>
      </c>
      <c r="N17" s="729" t="s">
        <v>63</v>
      </c>
      <c r="O17" s="619" t="s">
        <v>63</v>
      </c>
      <c r="P17" s="620">
        <f>ifna(vlookup(A17,'Population &amp; Church Numbers'!$A$700:$D$791,4,FALSE),"NULL")</f>
        <v>62</v>
      </c>
      <c r="Q17" s="674" t="s">
        <v>63</v>
      </c>
    </row>
    <row r="18">
      <c r="A18" s="609" t="s">
        <v>563</v>
      </c>
      <c r="B18" s="610">
        <f t="array" ref="B18">VLOOKUP($A18,IN_DEMO,2,FALSE)</f>
        <v>26472</v>
      </c>
      <c r="C18" s="611">
        <f>VLOOKUP($A18,'IN Data'!$A$5:$N$96,5,FALSE)</f>
        <v>60</v>
      </c>
      <c r="D18" s="612" t="s">
        <v>63</v>
      </c>
      <c r="E18" s="612">
        <f>VLOOKUP($A18,'IN Data'!$A$5:$N$96,9,FALSE)</f>
        <v>24</v>
      </c>
      <c r="F18" s="612">
        <f>VLOOKUP($A18,'IN Data'!$A$5:$N$96,7,FALSE)</f>
        <v>32</v>
      </c>
      <c r="G18" s="612" t="s">
        <v>63</v>
      </c>
      <c r="H18" s="671" t="s">
        <v>63</v>
      </c>
      <c r="I18" s="614" t="s">
        <v>63</v>
      </c>
      <c r="J18" s="615" t="s">
        <v>63</v>
      </c>
      <c r="K18" s="672" t="s">
        <v>63</v>
      </c>
      <c r="L18" s="728">
        <f>VLOOKUP($A18,'IN Data'!$A$5:$N$96,3,FALSE)</f>
        <v>39</v>
      </c>
      <c r="M18" s="704" t="s">
        <v>63</v>
      </c>
      <c r="N18" s="729" t="s">
        <v>63</v>
      </c>
      <c r="O18" s="619" t="s">
        <v>63</v>
      </c>
      <c r="P18" s="620">
        <f>ifna(vlookup(A18,'Population &amp; Church Numbers'!$A$700:$D$791,4,FALSE),"NULL")</f>
        <v>32</v>
      </c>
      <c r="Q18" s="674" t="s">
        <v>63</v>
      </c>
    </row>
    <row r="19">
      <c r="A19" s="609" t="s">
        <v>131</v>
      </c>
      <c r="B19" s="610">
        <f t="array" ref="B19">VLOOKUP($A19,IN_DEMO,2,FALSE)</f>
        <v>43265</v>
      </c>
      <c r="C19" s="611">
        <f>VLOOKUP($A19,'IN Data'!$A$5:$N$96,5,FALSE)</f>
        <v>46</v>
      </c>
      <c r="D19" s="612" t="s">
        <v>63</v>
      </c>
      <c r="E19" s="612">
        <f>VLOOKUP($A19,'IN Data'!$A$5:$N$96,9,FALSE)</f>
        <v>16</v>
      </c>
      <c r="F19" s="612">
        <f>VLOOKUP($A19,'IN Data'!$A$5:$N$96,7,FALSE)</f>
        <v>28</v>
      </c>
      <c r="G19" s="612" t="s">
        <v>63</v>
      </c>
      <c r="H19" s="671" t="s">
        <v>63</v>
      </c>
      <c r="I19" s="614" t="s">
        <v>63</v>
      </c>
      <c r="J19" s="615" t="s">
        <v>63</v>
      </c>
      <c r="K19" s="672" t="s">
        <v>63</v>
      </c>
      <c r="L19" s="728">
        <f>VLOOKUP($A19,'IN Data'!$A$5:$N$96,3,FALSE)</f>
        <v>19</v>
      </c>
      <c r="M19" s="704" t="s">
        <v>63</v>
      </c>
      <c r="N19" s="729" t="s">
        <v>63</v>
      </c>
      <c r="O19" s="619" t="s">
        <v>63</v>
      </c>
      <c r="P19" s="620">
        <f>ifna(vlookup(A19,'Population &amp; Church Numbers'!$A$700:$D$791,4,FALSE),"NULL")</f>
        <v>47</v>
      </c>
      <c r="Q19" s="674" t="s">
        <v>63</v>
      </c>
    </row>
    <row r="20">
      <c r="A20" s="609" t="s">
        <v>40</v>
      </c>
      <c r="B20" s="610">
        <f t="array" ref="B20">VLOOKUP($A20,IN_DEMO,2,FALSE)</f>
        <v>111903</v>
      </c>
      <c r="C20" s="611">
        <f>VLOOKUP($A20,'IN Data'!$A$5:$N$96,5,FALSE)</f>
        <v>163</v>
      </c>
      <c r="D20" s="612" t="s">
        <v>63</v>
      </c>
      <c r="E20" s="612">
        <f>VLOOKUP($A20,'IN Data'!$A$5:$N$96,9,FALSE)</f>
        <v>52</v>
      </c>
      <c r="F20" s="612">
        <f>VLOOKUP($A20,'IN Data'!$A$5:$N$96,7,FALSE)</f>
        <v>98</v>
      </c>
      <c r="G20" s="612" t="s">
        <v>63</v>
      </c>
      <c r="H20" s="671" t="s">
        <v>63</v>
      </c>
      <c r="I20" s="614" t="s">
        <v>63</v>
      </c>
      <c r="J20" s="615" t="s">
        <v>63</v>
      </c>
      <c r="K20" s="672" t="s">
        <v>63</v>
      </c>
      <c r="L20" s="728">
        <f>VLOOKUP($A20,'IN Data'!$A$5:$N$96,3,FALSE)</f>
        <v>70</v>
      </c>
      <c r="M20" s="704" t="s">
        <v>63</v>
      </c>
      <c r="N20" s="729" t="s">
        <v>63</v>
      </c>
      <c r="O20" s="619" t="s">
        <v>63</v>
      </c>
      <c r="P20" s="620">
        <f>ifna(vlookup(A20,'Population &amp; Church Numbers'!$A$700:$D$791,4,FALSE),"NULL")</f>
        <v>127</v>
      </c>
      <c r="Q20" s="674" t="s">
        <v>63</v>
      </c>
    </row>
    <row r="21">
      <c r="A21" s="609" t="s">
        <v>760</v>
      </c>
      <c r="B21" s="610">
        <f t="array" ref="B21">VLOOKUP($A21,IN_DEMO,2,FALSE)</f>
        <v>43637</v>
      </c>
      <c r="C21" s="611">
        <f>VLOOKUP($A21,'IN Data'!$A$5:$N$96,5,FALSE)</f>
        <v>35</v>
      </c>
      <c r="D21" s="612" t="s">
        <v>63</v>
      </c>
      <c r="E21" s="612">
        <f>VLOOKUP($A21,'IN Data'!$A$5:$N$96,9,FALSE)</f>
        <v>13</v>
      </c>
      <c r="F21" s="612">
        <f>VLOOKUP($A21,'IN Data'!$A$5:$N$96,7,FALSE)</f>
        <v>19</v>
      </c>
      <c r="G21" s="612" t="s">
        <v>63</v>
      </c>
      <c r="H21" s="671" t="s">
        <v>63</v>
      </c>
      <c r="I21" s="614" t="s">
        <v>63</v>
      </c>
      <c r="J21" s="615" t="s">
        <v>63</v>
      </c>
      <c r="K21" s="672" t="s">
        <v>63</v>
      </c>
      <c r="L21" s="728">
        <f>VLOOKUP($A21,'IN Data'!$A$5:$N$96,3,FALSE)</f>
        <v>17</v>
      </c>
      <c r="M21" s="704" t="s">
        <v>63</v>
      </c>
      <c r="N21" s="729" t="s">
        <v>63</v>
      </c>
      <c r="O21" s="619" t="s">
        <v>63</v>
      </c>
      <c r="P21" s="620">
        <f>ifna(vlookup(A21,'Population &amp; Church Numbers'!$A$700:$D$791,4,FALSE),"NULL")</f>
        <v>47</v>
      </c>
      <c r="Q21" s="674" t="s">
        <v>63</v>
      </c>
    </row>
    <row r="22">
      <c r="A22" s="609" t="s">
        <v>761</v>
      </c>
      <c r="B22" s="610">
        <f t="array" ref="B22">VLOOKUP($A22,IN_DEMO,2,FALSE)</f>
        <v>207047</v>
      </c>
      <c r="C22" s="611">
        <f>VLOOKUP($A22,'IN Data'!$A$5:$N$96,5,FALSE)</f>
        <v>162</v>
      </c>
      <c r="D22" s="612" t="s">
        <v>63</v>
      </c>
      <c r="E22" s="612">
        <f>VLOOKUP($A22,'IN Data'!$A$5:$N$96,9,FALSE)</f>
        <v>47</v>
      </c>
      <c r="F22" s="612">
        <f>VLOOKUP($A22,'IN Data'!$A$5:$N$96,7,FALSE)</f>
        <v>102</v>
      </c>
      <c r="G22" s="612" t="s">
        <v>63</v>
      </c>
      <c r="H22" s="671" t="s">
        <v>63</v>
      </c>
      <c r="I22" s="614" t="s">
        <v>63</v>
      </c>
      <c r="J22" s="615" t="s">
        <v>63</v>
      </c>
      <c r="K22" s="672" t="s">
        <v>63</v>
      </c>
      <c r="L22" s="728">
        <f>VLOOKUP($A22,'IN Data'!$A$5:$N$96,3,FALSE)</f>
        <v>55</v>
      </c>
      <c r="M22" s="704" t="s">
        <v>63</v>
      </c>
      <c r="N22" s="729" t="s">
        <v>63</v>
      </c>
      <c r="O22" s="619" t="s">
        <v>63</v>
      </c>
      <c r="P22" s="620">
        <f>ifna(vlookup(A22,'Population &amp; Church Numbers'!$A$700:$D$791,4,FALSE),"NULL")</f>
        <v>200</v>
      </c>
      <c r="Q22" s="674" t="s">
        <v>63</v>
      </c>
    </row>
    <row r="23">
      <c r="A23" s="609" t="s">
        <v>135</v>
      </c>
      <c r="B23" s="610">
        <f t="array" ref="B23">VLOOKUP($A23,IN_DEMO,2,FALSE)</f>
        <v>23398</v>
      </c>
      <c r="C23" s="611">
        <f>VLOOKUP($A23,'IN Data'!$A$5:$N$96,5,FALSE)</f>
        <v>38</v>
      </c>
      <c r="D23" s="612" t="s">
        <v>63</v>
      </c>
      <c r="E23" s="612">
        <f>VLOOKUP($A23,'IN Data'!$A$5:$N$96,9,FALSE)</f>
        <v>21</v>
      </c>
      <c r="F23" s="612">
        <f>VLOOKUP($A23,'IN Data'!$A$5:$N$96,7,FALSE)</f>
        <v>17</v>
      </c>
      <c r="G23" s="612" t="s">
        <v>63</v>
      </c>
      <c r="H23" s="671" t="s">
        <v>63</v>
      </c>
      <c r="I23" s="614" t="s">
        <v>63</v>
      </c>
      <c r="J23" s="615" t="s">
        <v>63</v>
      </c>
      <c r="K23" s="672" t="s">
        <v>63</v>
      </c>
      <c r="L23" s="728">
        <f>VLOOKUP($A23,'IN Data'!$A$5:$N$96,3,FALSE)</f>
        <v>5</v>
      </c>
      <c r="M23" s="704" t="s">
        <v>63</v>
      </c>
      <c r="N23" s="729" t="s">
        <v>63</v>
      </c>
      <c r="O23" s="619" t="s">
        <v>63</v>
      </c>
      <c r="P23" s="620">
        <f>ifna(vlookup(A23,'Population &amp; Church Numbers'!$A$700:$D$791,4,FALSE),"NULL")</f>
        <v>27</v>
      </c>
      <c r="Q23" s="674" t="s">
        <v>63</v>
      </c>
    </row>
    <row r="24">
      <c r="A24" s="609" t="s">
        <v>575</v>
      </c>
      <c r="B24" s="610">
        <f t="array" ref="B24">VLOOKUP($A24,IN_DEMO,2,FALSE)</f>
        <v>80484</v>
      </c>
      <c r="C24" s="611">
        <f>VLOOKUP($A24,'IN Data'!$A$5:$N$96,5,FALSE)</f>
        <v>152</v>
      </c>
      <c r="D24" s="612" t="s">
        <v>63</v>
      </c>
      <c r="E24" s="612">
        <f>VLOOKUP($A24,'IN Data'!$A$5:$N$96,9,FALSE)</f>
        <v>65</v>
      </c>
      <c r="F24" s="612">
        <f>VLOOKUP($A24,'IN Data'!$A$5:$N$96,7,FALSE)</f>
        <v>68</v>
      </c>
      <c r="G24" s="612" t="s">
        <v>63</v>
      </c>
      <c r="H24" s="671" t="s">
        <v>63</v>
      </c>
      <c r="I24" s="614" t="s">
        <v>63</v>
      </c>
      <c r="J24" s="615" t="s">
        <v>63</v>
      </c>
      <c r="K24" s="672" t="s">
        <v>63</v>
      </c>
      <c r="L24" s="728">
        <f>VLOOKUP($A24,'IN Data'!$A$5:$N$96,3,FALSE)</f>
        <v>74</v>
      </c>
      <c r="M24" s="704" t="s">
        <v>63</v>
      </c>
      <c r="N24" s="729" t="s">
        <v>63</v>
      </c>
      <c r="O24" s="619" t="s">
        <v>63</v>
      </c>
      <c r="P24" s="620">
        <f>ifna(vlookup(A24,'Population &amp; Church Numbers'!$A$700:$D$791,4,FALSE),"NULL")</f>
        <v>74</v>
      </c>
      <c r="Q24" s="674" t="s">
        <v>63</v>
      </c>
    </row>
    <row r="25">
      <c r="A25" s="609" t="s">
        <v>762</v>
      </c>
      <c r="B25" s="610">
        <f t="array" ref="B25">VLOOKUP($A25,IN_DEMO,2,FALSE)</f>
        <v>16479</v>
      </c>
      <c r="C25" s="611">
        <f>VLOOKUP($A25,'IN Data'!$A$5:$N$96,5,FALSE)</f>
        <v>13</v>
      </c>
      <c r="D25" s="612" t="s">
        <v>63</v>
      </c>
      <c r="E25" s="612">
        <f>VLOOKUP($A25,'IN Data'!$A$5:$N$96,9,FALSE)</f>
        <v>2</v>
      </c>
      <c r="F25" s="612">
        <f>VLOOKUP($A25,'IN Data'!$A$5:$N$96,7,FALSE)</f>
        <v>8</v>
      </c>
      <c r="G25" s="612" t="s">
        <v>63</v>
      </c>
      <c r="H25" s="671" t="s">
        <v>63</v>
      </c>
      <c r="I25" s="614" t="s">
        <v>63</v>
      </c>
      <c r="J25" s="615" t="s">
        <v>63</v>
      </c>
      <c r="K25" s="672" t="s">
        <v>63</v>
      </c>
      <c r="L25" s="728">
        <f>VLOOKUP($A25,'IN Data'!$A$5:$N$96,3,FALSE)</f>
        <v>3</v>
      </c>
      <c r="M25" s="704" t="s">
        <v>63</v>
      </c>
      <c r="N25" s="729" t="s">
        <v>63</v>
      </c>
      <c r="O25" s="619" t="s">
        <v>63</v>
      </c>
      <c r="P25" s="620">
        <f>ifna(vlookup(A25,'Population &amp; Church Numbers'!$A$700:$D$791,4,FALSE),"NULL")</f>
        <v>29</v>
      </c>
      <c r="Q25" s="674" t="s">
        <v>63</v>
      </c>
    </row>
    <row r="26">
      <c r="A26" s="609" t="s">
        <v>136</v>
      </c>
      <c r="B26" s="610">
        <f t="array" ref="B26">VLOOKUP($A26,IN_DEMO,2,FALSE)</f>
        <v>22785</v>
      </c>
      <c r="C26" s="611">
        <f>VLOOKUP($A26,'IN Data'!$A$5:$N$96,5,FALSE)</f>
        <v>3</v>
      </c>
      <c r="D26" s="612" t="s">
        <v>63</v>
      </c>
      <c r="E26" s="612">
        <f>VLOOKUP($A26,'IN Data'!$A$5:$N$96,9,FALSE)</f>
        <v>1</v>
      </c>
      <c r="F26" s="612">
        <f>VLOOKUP($A26,'IN Data'!$A$5:$N$96,7,FALSE)</f>
        <v>2</v>
      </c>
      <c r="G26" s="612" t="s">
        <v>63</v>
      </c>
      <c r="H26" s="671" t="s">
        <v>63</v>
      </c>
      <c r="I26" s="614" t="s">
        <v>63</v>
      </c>
      <c r="J26" s="615" t="s">
        <v>63</v>
      </c>
      <c r="K26" s="672" t="s">
        <v>63</v>
      </c>
      <c r="L26" s="728">
        <f>VLOOKUP($A26,'IN Data'!$A$5:$N$96,3,FALSE)</f>
        <v>1</v>
      </c>
      <c r="M26" s="704" t="s">
        <v>63</v>
      </c>
      <c r="N26" s="729" t="s">
        <v>63</v>
      </c>
      <c r="O26" s="619" t="s">
        <v>63</v>
      </c>
      <c r="P26" s="620">
        <f>ifna(vlookup(A26,'Population &amp; Church Numbers'!$A$700:$D$791,4,FALSE),"NULL")</f>
        <v>30</v>
      </c>
      <c r="Q26" s="674" t="s">
        <v>63</v>
      </c>
    </row>
    <row r="27">
      <c r="A27" s="609" t="s">
        <v>275</v>
      </c>
      <c r="B27" s="610">
        <f t="array" ref="B27">VLOOKUP($A27,IN_DEMO,2,FALSE)</f>
        <v>20480</v>
      </c>
      <c r="C27" s="611">
        <f>VLOOKUP($A27,'IN Data'!$A$5:$N$96,5,FALSE)</f>
        <v>27</v>
      </c>
      <c r="D27" s="612" t="s">
        <v>63</v>
      </c>
      <c r="E27" s="612">
        <f>VLOOKUP($A27,'IN Data'!$A$5:$N$96,9,FALSE)</f>
        <v>12</v>
      </c>
      <c r="F27" s="612">
        <f>VLOOKUP($A27,'IN Data'!$A$5:$N$96,7,FALSE)</f>
        <v>12</v>
      </c>
      <c r="G27" s="612" t="s">
        <v>63</v>
      </c>
      <c r="H27" s="671" t="s">
        <v>63</v>
      </c>
      <c r="I27" s="614" t="s">
        <v>63</v>
      </c>
      <c r="J27" s="615" t="s">
        <v>63</v>
      </c>
      <c r="K27" s="672" t="s">
        <v>63</v>
      </c>
      <c r="L27" s="728">
        <f>VLOOKUP($A27,'IN Data'!$A$5:$N$96,3,FALSE)</f>
        <v>14</v>
      </c>
      <c r="M27" s="704" t="s">
        <v>63</v>
      </c>
      <c r="N27" s="729" t="s">
        <v>63</v>
      </c>
      <c r="O27" s="619" t="s">
        <v>63</v>
      </c>
      <c r="P27" s="620">
        <f>ifna(vlookup(A27,'Population &amp; Church Numbers'!$A$700:$D$791,4,FALSE),"NULL")</f>
        <v>38</v>
      </c>
      <c r="Q27" s="674" t="s">
        <v>63</v>
      </c>
    </row>
    <row r="28">
      <c r="A28" s="609" t="s">
        <v>763</v>
      </c>
      <c r="B28" s="610">
        <f t="array" ref="B28">VLOOKUP($A28,IN_DEMO,2,FALSE)</f>
        <v>33011</v>
      </c>
      <c r="C28" s="611">
        <f>VLOOKUP($A28,'IN Data'!$A$5:$N$96,5,FALSE)</f>
        <v>39</v>
      </c>
      <c r="D28" s="612" t="s">
        <v>63</v>
      </c>
      <c r="E28" s="612">
        <f>VLOOKUP($A28,'IN Data'!$A$5:$N$96,9,FALSE)</f>
        <v>15</v>
      </c>
      <c r="F28" s="612">
        <f>VLOOKUP($A28,'IN Data'!$A$5:$N$96,7,FALSE)</f>
        <v>20</v>
      </c>
      <c r="G28" s="612" t="s">
        <v>63</v>
      </c>
      <c r="H28" s="671" t="s">
        <v>63</v>
      </c>
      <c r="I28" s="614" t="s">
        <v>63</v>
      </c>
      <c r="J28" s="615" t="s">
        <v>63</v>
      </c>
      <c r="K28" s="672" t="s">
        <v>63</v>
      </c>
      <c r="L28" s="728">
        <f>VLOOKUP($A28,'IN Data'!$A$5:$N$96,3,FALSE)</f>
        <v>41</v>
      </c>
      <c r="M28" s="704" t="s">
        <v>63</v>
      </c>
      <c r="N28" s="729" t="s">
        <v>63</v>
      </c>
      <c r="O28" s="619" t="s">
        <v>63</v>
      </c>
      <c r="P28" s="620">
        <f>ifna(vlookup(A28,'Population &amp; Church Numbers'!$A$700:$D$791,4,FALSE),"NULL")</f>
        <v>51</v>
      </c>
      <c r="Q28" s="674" t="s">
        <v>63</v>
      </c>
    </row>
    <row r="29">
      <c r="A29" s="609" t="s">
        <v>278</v>
      </c>
      <c r="B29" s="610">
        <f t="array" ref="B29">VLOOKUP($A29,IN_DEMO,2,FALSE)</f>
        <v>66674</v>
      </c>
      <c r="C29" s="611">
        <f>VLOOKUP($A29,'IN Data'!$A$5:$N$96,5,FALSE)</f>
        <v>150</v>
      </c>
      <c r="D29" s="612" t="s">
        <v>63</v>
      </c>
      <c r="E29" s="612">
        <f>VLOOKUP($A29,'IN Data'!$A$5:$N$96,9,FALSE)</f>
        <v>52</v>
      </c>
      <c r="F29" s="612">
        <f>VLOOKUP($A29,'IN Data'!$A$5:$N$96,7,FALSE)</f>
        <v>91</v>
      </c>
      <c r="G29" s="612" t="s">
        <v>63</v>
      </c>
      <c r="H29" s="671" t="s">
        <v>63</v>
      </c>
      <c r="I29" s="614" t="s">
        <v>63</v>
      </c>
      <c r="J29" s="615" t="s">
        <v>63</v>
      </c>
      <c r="K29" s="672" t="s">
        <v>63</v>
      </c>
      <c r="L29" s="728">
        <f>VLOOKUP($A29,'IN Data'!$A$5:$N$96,3,FALSE)</f>
        <v>48</v>
      </c>
      <c r="M29" s="704" t="s">
        <v>63</v>
      </c>
      <c r="N29" s="729" t="s">
        <v>63</v>
      </c>
      <c r="O29" s="619" t="s">
        <v>63</v>
      </c>
      <c r="P29" s="620">
        <f>ifna(vlookup(A29,'Population &amp; Church Numbers'!$A$700:$D$791,4,FALSE),"NULL")</f>
        <v>99</v>
      </c>
      <c r="Q29" s="674" t="s">
        <v>63</v>
      </c>
    </row>
    <row r="30">
      <c r="A30" s="609" t="s">
        <v>138</v>
      </c>
      <c r="B30" s="610">
        <f t="array" ref="B30">VLOOKUP($A30,IN_DEMO,2,FALSE)</f>
        <v>30803</v>
      </c>
      <c r="C30" s="611">
        <f>VLOOKUP($A30,'IN Data'!$A$5:$N$96,5,FALSE)</f>
        <v>41</v>
      </c>
      <c r="D30" s="612" t="s">
        <v>63</v>
      </c>
      <c r="E30" s="612">
        <f>VLOOKUP($A30,'IN Data'!$A$5:$N$96,9,FALSE)</f>
        <v>19</v>
      </c>
      <c r="F30" s="612">
        <f>VLOOKUP($A30,'IN Data'!$A$5:$N$96,7,FALSE)</f>
        <v>17</v>
      </c>
      <c r="G30" s="612" t="s">
        <v>63</v>
      </c>
      <c r="H30" s="671" t="s">
        <v>63</v>
      </c>
      <c r="I30" s="614" t="s">
        <v>63</v>
      </c>
      <c r="J30" s="615" t="s">
        <v>63</v>
      </c>
      <c r="K30" s="672" t="s">
        <v>63</v>
      </c>
      <c r="L30" s="728">
        <f>VLOOKUP($A30,'IN Data'!$A$5:$N$96,3,FALSE)</f>
        <v>15</v>
      </c>
      <c r="M30" s="704" t="s">
        <v>63</v>
      </c>
      <c r="N30" s="729" t="s">
        <v>63</v>
      </c>
      <c r="O30" s="619" t="s">
        <v>63</v>
      </c>
      <c r="P30" s="620">
        <f>ifna(vlookup(A30,'Population &amp; Church Numbers'!$A$700:$D$791,4,FALSE),"NULL")</f>
        <v>49</v>
      </c>
      <c r="Q30" s="674" t="s">
        <v>63</v>
      </c>
    </row>
    <row r="31">
      <c r="A31" s="609" t="s">
        <v>497</v>
      </c>
      <c r="B31" s="610">
        <f t="array" ref="B31">VLOOKUP($A31,IN_DEMO,2,FALSE)</f>
        <v>347467</v>
      </c>
      <c r="C31" s="611">
        <f>VLOOKUP($A31,'IN Data'!$A$5:$N$96,5,FALSE)</f>
        <v>107</v>
      </c>
      <c r="D31" s="612" t="s">
        <v>63</v>
      </c>
      <c r="E31" s="612">
        <f>VLOOKUP($A31,'IN Data'!$A$5:$N$96,9,FALSE)</f>
        <v>28</v>
      </c>
      <c r="F31" s="612">
        <f>VLOOKUP($A31,'IN Data'!$A$5:$N$96,7,FALSE)</f>
        <v>66</v>
      </c>
      <c r="G31" s="612" t="s">
        <v>63</v>
      </c>
      <c r="H31" s="671" t="s">
        <v>63</v>
      </c>
      <c r="I31" s="614" t="s">
        <v>63</v>
      </c>
      <c r="J31" s="615" t="s">
        <v>63</v>
      </c>
      <c r="K31" s="672" t="s">
        <v>63</v>
      </c>
      <c r="L31" s="728">
        <f>VLOOKUP($A31,'IN Data'!$A$5:$N$96,3,FALSE)</f>
        <v>59</v>
      </c>
      <c r="M31" s="704" t="s">
        <v>63</v>
      </c>
      <c r="N31" s="729" t="s">
        <v>63</v>
      </c>
      <c r="O31" s="619" t="s">
        <v>63</v>
      </c>
      <c r="P31" s="620">
        <f>ifna(vlookup(A31,'Population &amp; Church Numbers'!$A$700:$D$791,4,FALSE),"NULL")</f>
        <v>132</v>
      </c>
      <c r="Q31" s="674" t="s">
        <v>63</v>
      </c>
    </row>
    <row r="32">
      <c r="A32" s="609" t="s">
        <v>587</v>
      </c>
      <c r="B32" s="610">
        <f t="array" ref="B32">VLOOKUP($A32,IN_DEMO,2,FALSE)</f>
        <v>79840</v>
      </c>
      <c r="C32" s="611">
        <f>VLOOKUP($A32,'IN Data'!$A$5:$N$96,5,FALSE)</f>
        <v>66</v>
      </c>
      <c r="D32" s="612" t="s">
        <v>63</v>
      </c>
      <c r="E32" s="612">
        <f>VLOOKUP($A32,'IN Data'!$A$5:$N$96,9,FALSE)</f>
        <v>27</v>
      </c>
      <c r="F32" s="612">
        <f>VLOOKUP($A32,'IN Data'!$A$5:$N$96,7,FALSE)</f>
        <v>30</v>
      </c>
      <c r="G32" s="612" t="s">
        <v>63</v>
      </c>
      <c r="H32" s="671" t="s">
        <v>63</v>
      </c>
      <c r="I32" s="614" t="s">
        <v>63</v>
      </c>
      <c r="J32" s="615" t="s">
        <v>63</v>
      </c>
      <c r="K32" s="672" t="s">
        <v>63</v>
      </c>
      <c r="L32" s="728">
        <f>VLOOKUP($A32,'IN Data'!$A$5:$N$96,3,FALSE)</f>
        <v>72</v>
      </c>
      <c r="M32" s="704" t="s">
        <v>63</v>
      </c>
      <c r="N32" s="729" t="s">
        <v>63</v>
      </c>
      <c r="O32" s="619" t="s">
        <v>63</v>
      </c>
      <c r="P32" s="620">
        <f>ifna(vlookup(A32,'Population &amp; Church Numbers'!$A$700:$D$791,4,FALSE),"NULL")</f>
        <v>63</v>
      </c>
      <c r="Q32" s="674" t="s">
        <v>63</v>
      </c>
    </row>
    <row r="33">
      <c r="A33" s="609" t="s">
        <v>775</v>
      </c>
      <c r="B33" s="610">
        <f t="array" ref="B33">VLOOKUP($A33,IN_DEMO,2,FALSE)</f>
        <v>39654</v>
      </c>
      <c r="C33" s="611">
        <f>VLOOKUP($A33,'IN Data'!$A$5:$N$96,5,FALSE)</f>
        <v>49</v>
      </c>
      <c r="D33" s="612" t="s">
        <v>63</v>
      </c>
      <c r="E33" s="612">
        <f>VLOOKUP($A33,'IN Data'!$A$5:$N$96,9,FALSE)</f>
        <v>15</v>
      </c>
      <c r="F33" s="612">
        <f>VLOOKUP($A33,'IN Data'!$A$5:$N$96,7,FALSE)</f>
        <v>32</v>
      </c>
      <c r="G33" s="612" t="s">
        <v>63</v>
      </c>
      <c r="H33" s="671" t="s">
        <v>63</v>
      </c>
      <c r="I33" s="614" t="s">
        <v>63</v>
      </c>
      <c r="J33" s="615" t="s">
        <v>63</v>
      </c>
      <c r="K33" s="672" t="s">
        <v>63</v>
      </c>
      <c r="L33" s="728">
        <f>VLOOKUP($A33,'IN Data'!$A$5:$N$96,3,FALSE)</f>
        <v>27</v>
      </c>
      <c r="M33" s="704" t="s">
        <v>63</v>
      </c>
      <c r="N33" s="729" t="s">
        <v>63</v>
      </c>
      <c r="O33" s="619" t="s">
        <v>63</v>
      </c>
      <c r="P33" s="620">
        <f>ifna(vlookup(A33,'Population &amp; Church Numbers'!$A$700:$D$791,4,FALSE),"NULL")</f>
        <v>50</v>
      </c>
      <c r="Q33" s="674" t="s">
        <v>63</v>
      </c>
    </row>
    <row r="34">
      <c r="A34" s="609" t="s">
        <v>778</v>
      </c>
      <c r="B34" s="610">
        <f t="array" ref="B34">VLOOKUP($A34,IN_DEMO,2,FALSE)</f>
        <v>174788</v>
      </c>
      <c r="C34" s="611">
        <f>VLOOKUP($A34,'IN Data'!$A$5:$N$96,5,FALSE)</f>
        <v>41</v>
      </c>
      <c r="D34" s="612" t="s">
        <v>63</v>
      </c>
      <c r="E34" s="612">
        <f>VLOOKUP($A34,'IN Data'!$A$5:$N$96,9,FALSE)</f>
        <v>14</v>
      </c>
      <c r="F34" s="612">
        <f>VLOOKUP($A34,'IN Data'!$A$5:$N$96,7,FALSE)</f>
        <v>26</v>
      </c>
      <c r="G34" s="612" t="s">
        <v>63</v>
      </c>
      <c r="H34" s="671" t="s">
        <v>63</v>
      </c>
      <c r="I34" s="614" t="s">
        <v>63</v>
      </c>
      <c r="J34" s="615" t="s">
        <v>63</v>
      </c>
      <c r="K34" s="672" t="s">
        <v>63</v>
      </c>
      <c r="L34" s="728">
        <f>VLOOKUP($A34,'IN Data'!$A$5:$N$96,3,FALSE)</f>
        <v>44</v>
      </c>
      <c r="M34" s="704" t="s">
        <v>63</v>
      </c>
      <c r="N34" s="729" t="s">
        <v>63</v>
      </c>
      <c r="O34" s="619" t="s">
        <v>63</v>
      </c>
      <c r="P34" s="620">
        <f>ifna(vlookup(A34,'Population &amp; Church Numbers'!$A$700:$D$791,4,FALSE),"NULL")</f>
        <v>107</v>
      </c>
      <c r="Q34" s="674" t="s">
        <v>63</v>
      </c>
    </row>
    <row r="35">
      <c r="A35" s="609" t="s">
        <v>140</v>
      </c>
      <c r="B35" s="610">
        <f t="array" ref="B35">VLOOKUP($A35,IN_DEMO,2,FALSE)</f>
        <v>48914</v>
      </c>
      <c r="C35" s="611">
        <f>VLOOKUP($A35,'IN Data'!$A$5:$N$96,5,FALSE)</f>
        <v>62</v>
      </c>
      <c r="D35" s="612" t="s">
        <v>63</v>
      </c>
      <c r="E35" s="612">
        <f>VLOOKUP($A35,'IN Data'!$A$5:$N$96,9,FALSE)</f>
        <v>27</v>
      </c>
      <c r="F35" s="612">
        <f>VLOOKUP($A35,'IN Data'!$A$5:$N$96,7,FALSE)</f>
        <v>33</v>
      </c>
      <c r="G35" s="612" t="s">
        <v>63</v>
      </c>
      <c r="H35" s="671" t="s">
        <v>63</v>
      </c>
      <c r="I35" s="614" t="s">
        <v>63</v>
      </c>
      <c r="J35" s="615" t="s">
        <v>63</v>
      </c>
      <c r="K35" s="672" t="s">
        <v>63</v>
      </c>
      <c r="L35" s="728">
        <f>VLOOKUP($A35,'IN Data'!$A$5:$N$96,3,FALSE)</f>
        <v>3</v>
      </c>
      <c r="M35" s="704" t="s">
        <v>63</v>
      </c>
      <c r="N35" s="729" t="s">
        <v>63</v>
      </c>
      <c r="O35" s="619" t="s">
        <v>63</v>
      </c>
      <c r="P35" s="620">
        <f>ifna(vlookup(A35,'Population &amp; Church Numbers'!$A$700:$D$791,4,FALSE),"NULL")</f>
        <v>73</v>
      </c>
      <c r="Q35" s="674" t="s">
        <v>63</v>
      </c>
    </row>
    <row r="36">
      <c r="A36" s="609" t="s">
        <v>283</v>
      </c>
      <c r="B36" s="610">
        <f t="array" ref="B36">VLOOKUP($A36,IN_DEMO,2,FALSE)</f>
        <v>83658</v>
      </c>
      <c r="C36" s="611">
        <f>VLOOKUP($A36,'IN Data'!$A$5:$N$96,5,FALSE)</f>
        <v>129</v>
      </c>
      <c r="D36" s="612" t="s">
        <v>63</v>
      </c>
      <c r="E36" s="612">
        <f>VLOOKUP($A36,'IN Data'!$A$5:$N$96,9,FALSE)</f>
        <v>56</v>
      </c>
      <c r="F36" s="612">
        <f>VLOOKUP($A36,'IN Data'!$A$5:$N$96,7,FALSE)</f>
        <v>68</v>
      </c>
      <c r="G36" s="612" t="s">
        <v>63</v>
      </c>
      <c r="H36" s="671" t="s">
        <v>63</v>
      </c>
      <c r="I36" s="614" t="s">
        <v>63</v>
      </c>
      <c r="J36" s="615" t="s">
        <v>63</v>
      </c>
      <c r="K36" s="672" t="s">
        <v>63</v>
      </c>
      <c r="L36" s="728">
        <f>VLOOKUP($A36,'IN Data'!$A$5:$N$96,3,FALSE)</f>
        <v>27</v>
      </c>
      <c r="M36" s="704" t="s">
        <v>63</v>
      </c>
      <c r="N36" s="729" t="s">
        <v>63</v>
      </c>
      <c r="O36" s="619" t="s">
        <v>63</v>
      </c>
      <c r="P36" s="620">
        <f>ifna(vlookup(A36,'Population &amp; Church Numbers'!$A$700:$D$791,4,FALSE),"NULL")</f>
        <v>110</v>
      </c>
      <c r="Q36" s="674" t="s">
        <v>63</v>
      </c>
    </row>
    <row r="37">
      <c r="A37" s="609" t="s">
        <v>785</v>
      </c>
      <c r="B37" s="610">
        <f t="array" ref="B37">VLOOKUP($A37,IN_DEMO,2,FALSE)</f>
        <v>36662</v>
      </c>
      <c r="C37" s="611">
        <f>VLOOKUP($A37,'IN Data'!$A$5:$N$96,5,FALSE)</f>
        <v>51</v>
      </c>
      <c r="D37" s="612" t="s">
        <v>63</v>
      </c>
      <c r="E37" s="612">
        <f>VLOOKUP($A37,'IN Data'!$A$5:$N$96,9,FALSE)</f>
        <v>19</v>
      </c>
      <c r="F37" s="612">
        <f>VLOOKUP($A37,'IN Data'!$A$5:$N$96,7,FALSE)</f>
        <v>30</v>
      </c>
      <c r="G37" s="612" t="s">
        <v>63</v>
      </c>
      <c r="H37" s="671" t="s">
        <v>63</v>
      </c>
      <c r="I37" s="614" t="s">
        <v>63</v>
      </c>
      <c r="J37" s="615" t="s">
        <v>63</v>
      </c>
      <c r="K37" s="672" t="s">
        <v>63</v>
      </c>
      <c r="L37" s="728">
        <f>VLOOKUP($A37,'IN Data'!$A$5:$N$96,3,FALSE)</f>
        <v>17</v>
      </c>
      <c r="M37" s="704" t="s">
        <v>63</v>
      </c>
      <c r="N37" s="729" t="s">
        <v>63</v>
      </c>
      <c r="O37" s="619" t="s">
        <v>63</v>
      </c>
      <c r="P37" s="620">
        <f>ifna(vlookup(A37,'Population &amp; Church Numbers'!$A$700:$D$791,4,FALSE),"NULL")</f>
        <v>56</v>
      </c>
      <c r="Q37" s="674" t="s">
        <v>63</v>
      </c>
    </row>
    <row r="38">
      <c r="A38" s="609" t="s">
        <v>142</v>
      </c>
      <c r="B38" s="610">
        <f t="array" ref="B38">VLOOKUP($A38,IN_DEMO,2,FALSE)</f>
        <v>46428</v>
      </c>
      <c r="C38" s="611">
        <f>VLOOKUP($A38,'IN Data'!$A$5:$N$96,5,FALSE)</f>
        <v>57</v>
      </c>
      <c r="D38" s="612" t="s">
        <v>63</v>
      </c>
      <c r="E38" s="612">
        <f>VLOOKUP($A38,'IN Data'!$A$5:$N$96,9,FALSE)</f>
        <v>25</v>
      </c>
      <c r="F38" s="612">
        <f>VLOOKUP($A38,'IN Data'!$A$5:$N$96,7,FALSE)</f>
        <v>30</v>
      </c>
      <c r="G38" s="612" t="s">
        <v>63</v>
      </c>
      <c r="H38" s="671" t="s">
        <v>63</v>
      </c>
      <c r="I38" s="614" t="s">
        <v>63</v>
      </c>
      <c r="J38" s="615" t="s">
        <v>63</v>
      </c>
      <c r="K38" s="672" t="s">
        <v>63</v>
      </c>
      <c r="L38" s="728">
        <f>VLOOKUP($A38,'IN Data'!$A$5:$N$96,3,FALSE)</f>
        <v>39</v>
      </c>
      <c r="M38" s="704" t="s">
        <v>63</v>
      </c>
      <c r="N38" s="729" t="s">
        <v>63</v>
      </c>
      <c r="O38" s="619" t="s">
        <v>63</v>
      </c>
      <c r="P38" s="620">
        <f>ifna(vlookup(A38,'Population &amp; Church Numbers'!$A$700:$D$791,4,FALSE),"NULL")</f>
        <v>68</v>
      </c>
      <c r="Q38" s="674" t="s">
        <v>63</v>
      </c>
    </row>
    <row r="39">
      <c r="A39" s="609" t="s">
        <v>593</v>
      </c>
      <c r="B39" s="610">
        <f t="array" ref="B39">VLOOKUP($A39,IN_DEMO,2,FALSE)</f>
        <v>32918</v>
      </c>
      <c r="C39" s="611">
        <f>VLOOKUP($A39,'IN Data'!$A$5:$N$96,5,FALSE)</f>
        <v>33</v>
      </c>
      <c r="D39" s="612" t="s">
        <v>63</v>
      </c>
      <c r="E39" s="612">
        <f>VLOOKUP($A39,'IN Data'!$A$5:$N$96,9,FALSE)</f>
        <v>6</v>
      </c>
      <c r="F39" s="612">
        <f>VLOOKUP($A39,'IN Data'!$A$5:$N$96,7,FALSE)</f>
        <v>25</v>
      </c>
      <c r="G39" s="612" t="s">
        <v>63</v>
      </c>
      <c r="H39" s="671" t="s">
        <v>63</v>
      </c>
      <c r="I39" s="614" t="s">
        <v>63</v>
      </c>
      <c r="J39" s="615" t="s">
        <v>63</v>
      </c>
      <c r="K39" s="672" t="s">
        <v>63</v>
      </c>
      <c r="L39" s="728">
        <f>VLOOKUP($A39,'IN Data'!$A$5:$N$96,3,FALSE)</f>
        <v>14</v>
      </c>
      <c r="M39" s="704" t="s">
        <v>63</v>
      </c>
      <c r="N39" s="729" t="s">
        <v>63</v>
      </c>
      <c r="O39" s="619" t="s">
        <v>63</v>
      </c>
      <c r="P39" s="620">
        <f>ifna(vlookup(A39,'Population &amp; Church Numbers'!$A$700:$D$791,4,FALSE),"NULL")</f>
        <v>45</v>
      </c>
      <c r="Q39" s="674" t="s">
        <v>63</v>
      </c>
    </row>
    <row r="40">
      <c r="A40" s="609" t="s">
        <v>786</v>
      </c>
      <c r="B40" s="610">
        <f t="array" ref="B40">VLOOKUP($A40,IN_DEMO,2,FALSE)</f>
        <v>20478</v>
      </c>
      <c r="C40" s="611">
        <f>VLOOKUP($A40,'IN Data'!$A$5:$N$96,5,FALSE)</f>
        <v>54</v>
      </c>
      <c r="D40" s="612" t="s">
        <v>63</v>
      </c>
      <c r="E40" s="612">
        <f>VLOOKUP($A40,'IN Data'!$A$5:$N$96,9,FALSE)</f>
        <v>11</v>
      </c>
      <c r="F40" s="612">
        <f>VLOOKUP($A40,'IN Data'!$A$5:$N$96,7,FALSE)</f>
        <v>41</v>
      </c>
      <c r="G40" s="612" t="s">
        <v>63</v>
      </c>
      <c r="H40" s="671" t="s">
        <v>63</v>
      </c>
      <c r="I40" s="614" t="s">
        <v>63</v>
      </c>
      <c r="J40" s="615" t="s">
        <v>63</v>
      </c>
      <c r="K40" s="672" t="s">
        <v>63</v>
      </c>
      <c r="L40" s="728">
        <f>VLOOKUP($A40,'IN Data'!$A$5:$N$96,3,FALSE)</f>
        <v>12</v>
      </c>
      <c r="M40" s="704" t="s">
        <v>63</v>
      </c>
      <c r="N40" s="729" t="s">
        <v>63</v>
      </c>
      <c r="O40" s="619" t="s">
        <v>63</v>
      </c>
      <c r="P40" s="620">
        <f>ifna(vlookup(A40,'Population &amp; Church Numbers'!$A$700:$D$791,4,FALSE),"NULL")</f>
        <v>31</v>
      </c>
      <c r="Q40" s="674" t="s">
        <v>63</v>
      </c>
    </row>
    <row r="41">
      <c r="A41" s="609" t="s">
        <v>143</v>
      </c>
      <c r="B41" s="610">
        <f t="array" ref="B41">VLOOKUP($A41,IN_DEMO,2,FALSE)</f>
        <v>33147</v>
      </c>
      <c r="C41" s="611">
        <f>VLOOKUP($A41,'IN Data'!$A$5:$N$96,5,FALSE)</f>
        <v>59</v>
      </c>
      <c r="D41" s="612" t="s">
        <v>63</v>
      </c>
      <c r="E41" s="612">
        <f>VLOOKUP($A41,'IN Data'!$A$5:$N$96,9,FALSE)</f>
        <v>15</v>
      </c>
      <c r="F41" s="612">
        <f>VLOOKUP($A41,'IN Data'!$A$5:$N$96,7,FALSE)</f>
        <v>43</v>
      </c>
      <c r="G41" s="612" t="s">
        <v>63</v>
      </c>
      <c r="H41" s="671" t="s">
        <v>63</v>
      </c>
      <c r="I41" s="614" t="s">
        <v>63</v>
      </c>
      <c r="J41" s="615" t="s">
        <v>63</v>
      </c>
      <c r="K41" s="672" t="s">
        <v>63</v>
      </c>
      <c r="L41" s="728">
        <f>VLOOKUP($A41,'IN Data'!$A$5:$N$96,3,FALSE)</f>
        <v>22</v>
      </c>
      <c r="M41" s="704" t="s">
        <v>63</v>
      </c>
      <c r="N41" s="729" t="s">
        <v>63</v>
      </c>
      <c r="O41" s="619" t="s">
        <v>63</v>
      </c>
      <c r="P41" s="620">
        <f>ifna(vlookup(A41,'Population &amp; Church Numbers'!$A$700:$D$791,4,FALSE),"NULL")</f>
        <v>52</v>
      </c>
      <c r="Q41" s="674" t="s">
        <v>63</v>
      </c>
    </row>
    <row r="42">
      <c r="A42" s="609" t="s">
        <v>787</v>
      </c>
      <c r="B42" s="610">
        <f t="array" ref="B42">VLOOKUP($A42,IN_DEMO,2,FALSE)</f>
        <v>27613</v>
      </c>
      <c r="C42" s="611">
        <f>VLOOKUP($A42,'IN Data'!$A$5:$N$96,5,FALSE)</f>
        <v>42</v>
      </c>
      <c r="D42" s="612" t="s">
        <v>63</v>
      </c>
      <c r="E42" s="612">
        <f>VLOOKUP($A42,'IN Data'!$A$5:$N$96,9,FALSE)</f>
        <v>18</v>
      </c>
      <c r="F42" s="612">
        <f>VLOOKUP($A42,'IN Data'!$A$5:$N$96,7,FALSE)</f>
        <v>21</v>
      </c>
      <c r="G42" s="612" t="s">
        <v>63</v>
      </c>
      <c r="H42" s="671" t="s">
        <v>63</v>
      </c>
      <c r="I42" s="614" t="s">
        <v>63</v>
      </c>
      <c r="J42" s="615" t="s">
        <v>63</v>
      </c>
      <c r="K42" s="672" t="s">
        <v>63</v>
      </c>
      <c r="L42" s="728">
        <f>VLOOKUP($A42,'IN Data'!$A$5:$N$96,3,FALSE)</f>
        <v>13</v>
      </c>
      <c r="M42" s="704" t="s">
        <v>63</v>
      </c>
      <c r="N42" s="729" t="s">
        <v>63</v>
      </c>
      <c r="O42" s="619" t="s">
        <v>63</v>
      </c>
      <c r="P42" s="620">
        <f>ifna(vlookup(A42,'Population &amp; Church Numbers'!$A$700:$D$791,4,FALSE),"NULL")</f>
        <v>39</v>
      </c>
      <c r="Q42" s="674" t="s">
        <v>63</v>
      </c>
    </row>
    <row r="43">
      <c r="A43" s="609" t="s">
        <v>288</v>
      </c>
      <c r="B43" s="610">
        <f t="array" ref="B43">VLOOKUP($A43,IN_DEMO,2,FALSE)</f>
        <v>161765</v>
      </c>
      <c r="C43" s="611">
        <f>VLOOKUP($A43,'IN Data'!$A$5:$N$96,5,FALSE)</f>
        <v>59</v>
      </c>
      <c r="D43" s="612" t="s">
        <v>63</v>
      </c>
      <c r="E43" s="612">
        <f>VLOOKUP($A43,'IN Data'!$A$5:$N$96,9,FALSE)</f>
        <v>26</v>
      </c>
      <c r="F43" s="612">
        <f>VLOOKUP($A43,'IN Data'!$A$5:$N$96,7,FALSE)</f>
        <v>27</v>
      </c>
      <c r="G43" s="612" t="s">
        <v>63</v>
      </c>
      <c r="H43" s="671" t="s">
        <v>63</v>
      </c>
      <c r="I43" s="614" t="s">
        <v>63</v>
      </c>
      <c r="J43" s="615" t="s">
        <v>63</v>
      </c>
      <c r="K43" s="672" t="s">
        <v>63</v>
      </c>
      <c r="L43" s="728">
        <f>VLOOKUP($A43,'IN Data'!$A$5:$N$96,3,FALSE)</f>
        <v>29</v>
      </c>
      <c r="M43" s="704" t="s">
        <v>63</v>
      </c>
      <c r="N43" s="729" t="s">
        <v>63</v>
      </c>
      <c r="O43" s="619" t="s">
        <v>63</v>
      </c>
      <c r="P43" s="620">
        <f>ifna(vlookup(A43,'Population &amp; Church Numbers'!$A$700:$D$791,4,FALSE),"NULL")</f>
        <v>107</v>
      </c>
      <c r="Q43" s="674" t="s">
        <v>63</v>
      </c>
    </row>
    <row r="44">
      <c r="A44" s="609" t="s">
        <v>728</v>
      </c>
      <c r="B44" s="610">
        <f t="array" ref="B44">VLOOKUP($A44,IN_DEMO,2,FALSE)</f>
        <v>36282</v>
      </c>
      <c r="C44" s="611">
        <f>VLOOKUP($A44,'IN Data'!$A$5:$N$96,5,FALSE)</f>
        <v>82</v>
      </c>
      <c r="D44" s="612" t="s">
        <v>63</v>
      </c>
      <c r="E44" s="612">
        <f>VLOOKUP($A44,'IN Data'!$A$5:$N$96,9,FALSE)</f>
        <v>38</v>
      </c>
      <c r="F44" s="612">
        <f>VLOOKUP($A44,'IN Data'!$A$5:$N$96,7,FALSE)</f>
        <v>42</v>
      </c>
      <c r="G44" s="612" t="s">
        <v>63</v>
      </c>
      <c r="H44" s="671" t="s">
        <v>63</v>
      </c>
      <c r="I44" s="614" t="s">
        <v>63</v>
      </c>
      <c r="J44" s="615" t="s">
        <v>63</v>
      </c>
      <c r="K44" s="672" t="s">
        <v>63</v>
      </c>
      <c r="L44" s="728">
        <f>VLOOKUP($A44,'IN Data'!$A$5:$N$96,3,FALSE)</f>
        <v>78</v>
      </c>
      <c r="M44" s="704" t="s">
        <v>63</v>
      </c>
      <c r="N44" s="729" t="s">
        <v>63</v>
      </c>
      <c r="O44" s="619" t="s">
        <v>63</v>
      </c>
      <c r="P44" s="620">
        <f>ifna(vlookup(A44,'Population &amp; Church Numbers'!$A$700:$D$791,4,FALSE),"NULL")</f>
        <v>55</v>
      </c>
      <c r="Q44" s="674" t="s">
        <v>63</v>
      </c>
    </row>
    <row r="45">
      <c r="A45" s="609" t="s">
        <v>788</v>
      </c>
      <c r="B45" s="610">
        <f t="array" ref="B45">VLOOKUP($A45,IN_DEMO,2,FALSE)</f>
        <v>80240</v>
      </c>
      <c r="C45" s="611">
        <f>VLOOKUP($A45,'IN Data'!$A$5:$N$96,5,FALSE)</f>
        <v>74</v>
      </c>
      <c r="D45" s="612" t="s">
        <v>63</v>
      </c>
      <c r="E45" s="612">
        <f>VLOOKUP($A45,'IN Data'!$A$5:$N$96,9,FALSE)</f>
        <v>22</v>
      </c>
      <c r="F45" s="612">
        <f>VLOOKUP($A45,'IN Data'!$A$5:$N$96,7,FALSE)</f>
        <v>48</v>
      </c>
      <c r="G45" s="612" t="s">
        <v>63</v>
      </c>
      <c r="H45" s="671" t="s">
        <v>63</v>
      </c>
      <c r="I45" s="614" t="s">
        <v>63</v>
      </c>
      <c r="J45" s="615" t="s">
        <v>63</v>
      </c>
      <c r="K45" s="672" t="s">
        <v>63</v>
      </c>
      <c r="L45" s="728">
        <f>VLOOKUP($A45,'IN Data'!$A$5:$N$96,3,FALSE)</f>
        <v>23</v>
      </c>
      <c r="M45" s="704" t="s">
        <v>63</v>
      </c>
      <c r="N45" s="729" t="s">
        <v>63</v>
      </c>
      <c r="O45" s="619" t="s">
        <v>63</v>
      </c>
      <c r="P45" s="620">
        <f>ifna(vlookup(A45,'Population &amp; Church Numbers'!$A$700:$D$791,4,FALSE),"NULL")</f>
        <v>95</v>
      </c>
      <c r="Q45" s="674" t="s">
        <v>63</v>
      </c>
    </row>
    <row r="46">
      <c r="A46" s="609" t="s">
        <v>2605</v>
      </c>
      <c r="B46" s="610">
        <f t="array" ref="B46">VLOOKUP($A46,IN_DEMO,2,FALSE)</f>
        <v>40446</v>
      </c>
      <c r="C46" s="611">
        <f>VLOOKUP($A46,'IN Data'!$A$5:$N$96,5,FALSE)</f>
        <v>27</v>
      </c>
      <c r="D46" s="612" t="s">
        <v>63</v>
      </c>
      <c r="E46" s="612">
        <f>VLOOKUP($A46,'IN Data'!$A$5:$N$96,9,FALSE)</f>
        <v>7</v>
      </c>
      <c r="F46" s="612">
        <f>VLOOKUP($A46,'IN Data'!$A$5:$N$96,7,FALSE)</f>
        <v>19</v>
      </c>
      <c r="G46" s="612" t="s">
        <v>63</v>
      </c>
      <c r="H46" s="671" t="s">
        <v>63</v>
      </c>
      <c r="I46" s="614" t="s">
        <v>63</v>
      </c>
      <c r="J46" s="615" t="s">
        <v>63</v>
      </c>
      <c r="K46" s="672" t="s">
        <v>63</v>
      </c>
      <c r="L46" s="728">
        <f>VLOOKUP($A46,'IN Data'!$A$5:$N$96,3,FALSE)</f>
        <v>10</v>
      </c>
      <c r="M46" s="704" t="s">
        <v>63</v>
      </c>
      <c r="N46" s="729" t="s">
        <v>63</v>
      </c>
      <c r="O46" s="619" t="s">
        <v>63</v>
      </c>
      <c r="P46" s="620">
        <f>ifna(vlookup(A46,'Population &amp; Church Numbers'!$A$700:$D$791,4,FALSE),"NULL")</f>
        <v>36</v>
      </c>
      <c r="Q46" s="674" t="s">
        <v>63</v>
      </c>
    </row>
    <row r="47">
      <c r="A47" s="609" t="s">
        <v>337</v>
      </c>
      <c r="B47" s="610">
        <f t="array" ref="B47">VLOOKUP($A47,IN_DEMO,2,FALSE)</f>
        <v>498700</v>
      </c>
      <c r="C47" s="611">
        <f>VLOOKUP($A47,'IN Data'!$A$5:$N$96,5,FALSE)</f>
        <v>426</v>
      </c>
      <c r="D47" s="612" t="s">
        <v>63</v>
      </c>
      <c r="E47" s="612">
        <f>VLOOKUP($A47,'IN Data'!$A$5:$N$96,9,FALSE)</f>
        <v>208</v>
      </c>
      <c r="F47" s="612">
        <f>VLOOKUP($A47,'IN Data'!$A$5:$N$96,7,FALSE)</f>
        <v>181</v>
      </c>
      <c r="G47" s="612" t="s">
        <v>63</v>
      </c>
      <c r="H47" s="671" t="s">
        <v>63</v>
      </c>
      <c r="I47" s="614" t="s">
        <v>63</v>
      </c>
      <c r="J47" s="615" t="s">
        <v>63</v>
      </c>
      <c r="K47" s="672" t="s">
        <v>63</v>
      </c>
      <c r="L47" s="728">
        <f>VLOOKUP($A47,'IN Data'!$A$5:$N$96,3,FALSE)</f>
        <v>248</v>
      </c>
      <c r="M47" s="704" t="s">
        <v>63</v>
      </c>
      <c r="N47" s="729" t="s">
        <v>63</v>
      </c>
      <c r="O47" s="619" t="s">
        <v>63</v>
      </c>
      <c r="P47" s="620">
        <f>ifna(vlookup(A47,'Population &amp; Church Numbers'!$A$700:$D$791,4,FALSE),"NULL")</f>
        <v>422</v>
      </c>
      <c r="Q47" s="674" t="s">
        <v>63</v>
      </c>
    </row>
    <row r="48">
      <c r="A48" s="609" t="s">
        <v>790</v>
      </c>
      <c r="B48" s="610">
        <f t="array" ref="B48">VLOOKUP($A48,IN_DEMO,2,FALSE)</f>
        <v>112417</v>
      </c>
      <c r="C48" s="611">
        <f>VLOOKUP($A48,'IN Data'!$A$5:$N$96,5,FALSE)</f>
        <v>186</v>
      </c>
      <c r="D48" s="612" t="s">
        <v>63</v>
      </c>
      <c r="E48" s="612">
        <f>VLOOKUP($A48,'IN Data'!$A$5:$N$96,9,FALSE)</f>
        <v>55</v>
      </c>
      <c r="F48" s="612">
        <f>VLOOKUP($A48,'IN Data'!$A$5:$N$96,7,FALSE)</f>
        <v>115</v>
      </c>
      <c r="G48" s="612" t="s">
        <v>63</v>
      </c>
      <c r="H48" s="671" t="s">
        <v>63</v>
      </c>
      <c r="I48" s="614" t="s">
        <v>63</v>
      </c>
      <c r="J48" s="615" t="s">
        <v>63</v>
      </c>
      <c r="K48" s="672" t="s">
        <v>63</v>
      </c>
      <c r="L48" s="728">
        <f>VLOOKUP($A48,'IN Data'!$A$5:$N$96,3,FALSE)</f>
        <v>56</v>
      </c>
      <c r="M48" s="704" t="s">
        <v>63</v>
      </c>
      <c r="N48" s="729" t="s">
        <v>63</v>
      </c>
      <c r="O48" s="619" t="s">
        <v>63</v>
      </c>
      <c r="P48" s="620">
        <f>ifna(vlookup(A48,'Population &amp; Church Numbers'!$A$700:$D$791,4,FALSE),"NULL")</f>
        <v>115</v>
      </c>
      <c r="Q48" s="674" t="s">
        <v>63</v>
      </c>
    </row>
    <row r="49">
      <c r="A49" s="609" t="s">
        <v>146</v>
      </c>
      <c r="B49" s="610">
        <f t="array" ref="B49">VLOOKUP($A49,IN_DEMO,2,FALSE)</f>
        <v>45011</v>
      </c>
      <c r="C49" s="611">
        <f>VLOOKUP($A49,'IN Data'!$A$5:$N$96,5,FALSE)</f>
        <v>99</v>
      </c>
      <c r="D49" s="612" t="s">
        <v>63</v>
      </c>
      <c r="E49" s="612">
        <f>VLOOKUP($A49,'IN Data'!$A$5:$N$96,9,FALSE)</f>
        <v>28</v>
      </c>
      <c r="F49" s="612">
        <f>VLOOKUP($A49,'IN Data'!$A$5:$N$96,7,FALSE)</f>
        <v>63</v>
      </c>
      <c r="G49" s="612" t="s">
        <v>63</v>
      </c>
      <c r="H49" s="671" t="s">
        <v>63</v>
      </c>
      <c r="I49" s="614" t="s">
        <v>63</v>
      </c>
      <c r="J49" s="615" t="s">
        <v>63</v>
      </c>
      <c r="K49" s="672" t="s">
        <v>63</v>
      </c>
      <c r="L49" s="728">
        <f>VLOOKUP($A49,'IN Data'!$A$5:$N$96,3,FALSE)</f>
        <v>61</v>
      </c>
      <c r="M49" s="704" t="s">
        <v>63</v>
      </c>
      <c r="N49" s="729" t="s">
        <v>63</v>
      </c>
      <c r="O49" s="619" t="s">
        <v>63</v>
      </c>
      <c r="P49" s="620">
        <f>ifna(vlookup(A49,'Population &amp; Church Numbers'!$A$700:$D$791,4,FALSE),"NULL")</f>
        <v>73</v>
      </c>
      <c r="Q49" s="674" t="s">
        <v>63</v>
      </c>
    </row>
    <row r="50">
      <c r="A50" s="609" t="s">
        <v>151</v>
      </c>
      <c r="B50" s="610">
        <f t="array" ref="B50">VLOOKUP($A50,IN_DEMO,2,FALSE)</f>
        <v>130129</v>
      </c>
      <c r="C50" s="611">
        <f>VLOOKUP($A50,'IN Data'!$A$5:$N$96,5,FALSE)</f>
        <v>530</v>
      </c>
      <c r="D50" s="612" t="s">
        <v>63</v>
      </c>
      <c r="E50" s="612">
        <f>VLOOKUP($A50,'IN Data'!$A$5:$N$96,9,FALSE)</f>
        <v>228</v>
      </c>
      <c r="F50" s="612">
        <f>VLOOKUP($A50,'IN Data'!$A$5:$N$96,7,FALSE)</f>
        <v>267</v>
      </c>
      <c r="G50" s="612" t="s">
        <v>63</v>
      </c>
      <c r="H50" s="671" t="s">
        <v>63</v>
      </c>
      <c r="I50" s="614" t="s">
        <v>63</v>
      </c>
      <c r="J50" s="615" t="s">
        <v>63</v>
      </c>
      <c r="K50" s="672" t="s">
        <v>63</v>
      </c>
      <c r="L50" s="728">
        <f>VLOOKUP($A50,'IN Data'!$A$5:$N$96,3,FALSE)</f>
        <v>146</v>
      </c>
      <c r="M50" s="704" t="s">
        <v>63</v>
      </c>
      <c r="N50" s="729" t="s">
        <v>63</v>
      </c>
      <c r="O50" s="619" t="s">
        <v>63</v>
      </c>
      <c r="P50" s="620">
        <f>ifna(vlookup(A50,'Population &amp; Church Numbers'!$A$700:$D$791,4,FALSE),"NULL")</f>
        <v>142</v>
      </c>
      <c r="Q50" s="674" t="s">
        <v>63</v>
      </c>
    </row>
    <row r="51">
      <c r="A51" s="609" t="s">
        <v>153</v>
      </c>
      <c r="B51" s="610">
        <f t="array" ref="B51">VLOOKUP($A51,IN_DEMO,2,FALSE)</f>
        <v>977203</v>
      </c>
      <c r="C51" s="611">
        <f>VLOOKUP($A51,'IN Data'!$A$5:$N$96,5,FALSE)</f>
        <v>1776</v>
      </c>
      <c r="D51" s="612" t="s">
        <v>63</v>
      </c>
      <c r="E51" s="612">
        <f>VLOOKUP($A51,'IN Data'!$A$5:$N$96,9,FALSE)</f>
        <v>847</v>
      </c>
      <c r="F51" s="612">
        <f>VLOOKUP($A51,'IN Data'!$A$5:$N$96,7,FALSE)</f>
        <v>838</v>
      </c>
      <c r="G51" s="612" t="s">
        <v>63</v>
      </c>
      <c r="H51" s="671" t="s">
        <v>63</v>
      </c>
      <c r="I51" s="614" t="s">
        <v>63</v>
      </c>
      <c r="J51" s="615" t="s">
        <v>63</v>
      </c>
      <c r="K51" s="672" t="s">
        <v>63</v>
      </c>
      <c r="L51" s="728">
        <f>VLOOKUP($A51,'IN Data'!$A$5:$N$96,3,FALSE)</f>
        <v>451</v>
      </c>
      <c r="M51" s="704" t="s">
        <v>63</v>
      </c>
      <c r="N51" s="729" t="s">
        <v>63</v>
      </c>
      <c r="O51" s="619" t="s">
        <v>63</v>
      </c>
      <c r="P51" s="620">
        <f>ifna(vlookup(A51,'Population &amp; Church Numbers'!$A$700:$D$791,4,FALSE),"NULL")</f>
        <v>732</v>
      </c>
      <c r="Q51" s="674" t="s">
        <v>63</v>
      </c>
    </row>
    <row r="52">
      <c r="A52" s="609" t="s">
        <v>154</v>
      </c>
      <c r="B52" s="610">
        <f t="array" ref="B52">VLOOKUP($A52,IN_DEMO,2,FALSE)</f>
        <v>46095</v>
      </c>
      <c r="C52" s="611">
        <f>VLOOKUP($A52,'IN Data'!$A$5:$N$96,5,FALSE)</f>
        <v>25</v>
      </c>
      <c r="D52" s="612" t="s">
        <v>63</v>
      </c>
      <c r="E52" s="612">
        <f>VLOOKUP($A52,'IN Data'!$A$5:$N$96,9,FALSE)</f>
        <v>7</v>
      </c>
      <c r="F52" s="612">
        <f>VLOOKUP($A52,'IN Data'!$A$5:$N$96,7,FALSE)</f>
        <v>18</v>
      </c>
      <c r="G52" s="612" t="s">
        <v>63</v>
      </c>
      <c r="H52" s="671" t="s">
        <v>63</v>
      </c>
      <c r="I52" s="614" t="s">
        <v>63</v>
      </c>
      <c r="J52" s="615" t="s">
        <v>63</v>
      </c>
      <c r="K52" s="672" t="s">
        <v>63</v>
      </c>
      <c r="L52" s="728">
        <f>VLOOKUP($A52,'IN Data'!$A$5:$N$96,3,FALSE)</f>
        <v>27</v>
      </c>
      <c r="M52" s="704" t="s">
        <v>63</v>
      </c>
      <c r="N52" s="729" t="s">
        <v>63</v>
      </c>
      <c r="O52" s="619" t="s">
        <v>63</v>
      </c>
      <c r="P52" s="620">
        <f>ifna(vlookup(A52,'Population &amp; Church Numbers'!$A$700:$D$791,4,FALSE),"NULL")</f>
        <v>63</v>
      </c>
      <c r="Q52" s="674" t="s">
        <v>63</v>
      </c>
    </row>
    <row r="53">
      <c r="A53" s="609" t="s">
        <v>510</v>
      </c>
      <c r="B53" s="610">
        <f t="array" ref="B53">VLOOKUP($A53,IN_DEMO,2,FALSE)</f>
        <v>9812</v>
      </c>
      <c r="C53" s="611">
        <f>VLOOKUP($A53,'IN Data'!$A$5:$N$96,5,FALSE)</f>
        <v>17</v>
      </c>
      <c r="D53" s="612" t="s">
        <v>63</v>
      </c>
      <c r="E53" s="612">
        <f>VLOOKUP($A53,'IN Data'!$A$5:$N$96,9,FALSE)</f>
        <v>4</v>
      </c>
      <c r="F53" s="612">
        <f>VLOOKUP($A53,'IN Data'!$A$5:$N$96,7,FALSE)</f>
        <v>12</v>
      </c>
      <c r="G53" s="612" t="s">
        <v>63</v>
      </c>
      <c r="H53" s="671" t="s">
        <v>63</v>
      </c>
      <c r="I53" s="614" t="s">
        <v>63</v>
      </c>
      <c r="J53" s="615" t="s">
        <v>63</v>
      </c>
      <c r="K53" s="672" t="s">
        <v>63</v>
      </c>
      <c r="L53" s="728">
        <f>VLOOKUP($A53,'IN Data'!$A$5:$N$96,3,FALSE)</f>
        <v>4</v>
      </c>
      <c r="M53" s="704" t="s">
        <v>63</v>
      </c>
      <c r="N53" s="729" t="s">
        <v>63</v>
      </c>
      <c r="O53" s="619" t="s">
        <v>63</v>
      </c>
      <c r="P53" s="620">
        <f>ifna(vlookup(A53,'Population &amp; Church Numbers'!$A$700:$D$791,4,FALSE),"NULL")</f>
        <v>18</v>
      </c>
      <c r="Q53" s="674" t="s">
        <v>63</v>
      </c>
    </row>
    <row r="54">
      <c r="A54" s="609" t="s">
        <v>791</v>
      </c>
      <c r="B54" s="610">
        <f t="array" ref="B54">VLOOKUP($A54,IN_DEMO,2,FALSE)</f>
        <v>35962</v>
      </c>
      <c r="C54" s="611">
        <f>VLOOKUP($A54,'IN Data'!$A$5:$N$96,5,FALSE)</f>
        <v>53</v>
      </c>
      <c r="D54" s="612" t="s">
        <v>63</v>
      </c>
      <c r="E54" s="612">
        <f>VLOOKUP($A54,'IN Data'!$A$5:$N$96,9,FALSE)</f>
        <v>18</v>
      </c>
      <c r="F54" s="612">
        <f>VLOOKUP($A54,'IN Data'!$A$5:$N$96,7,FALSE)</f>
        <v>32</v>
      </c>
      <c r="G54" s="612" t="s">
        <v>63</v>
      </c>
      <c r="H54" s="671" t="s">
        <v>63</v>
      </c>
      <c r="I54" s="614" t="s">
        <v>63</v>
      </c>
      <c r="J54" s="615" t="s">
        <v>63</v>
      </c>
      <c r="K54" s="672" t="s">
        <v>63</v>
      </c>
      <c r="L54" s="728">
        <f>VLOOKUP($A54,'IN Data'!$A$5:$N$96,3,FALSE)</f>
        <v>15</v>
      </c>
      <c r="M54" s="704" t="s">
        <v>63</v>
      </c>
      <c r="N54" s="729" t="s">
        <v>63</v>
      </c>
      <c r="O54" s="619" t="s">
        <v>63</v>
      </c>
      <c r="P54" s="620">
        <f>ifna(vlookup(A54,'Population &amp; Church Numbers'!$A$700:$D$791,4,FALSE),"NULL")</f>
        <v>52</v>
      </c>
      <c r="Q54" s="674" t="s">
        <v>63</v>
      </c>
    </row>
    <row r="55">
      <c r="A55" s="609" t="s">
        <v>156</v>
      </c>
      <c r="B55" s="610">
        <f t="array" ref="B55">VLOOKUP($A55,IN_DEMO,2,FALSE)</f>
        <v>139718</v>
      </c>
      <c r="C55" s="611">
        <f>VLOOKUP($A55,'IN Data'!$A$5:$N$96,5,FALSE)</f>
        <v>153</v>
      </c>
      <c r="D55" s="612" t="s">
        <v>63</v>
      </c>
      <c r="E55" s="612">
        <f>VLOOKUP($A55,'IN Data'!$A$5:$N$96,9,FALSE)</f>
        <v>72</v>
      </c>
      <c r="F55" s="612">
        <f>VLOOKUP($A55,'IN Data'!$A$5:$N$96,7,FALSE)</f>
        <v>65</v>
      </c>
      <c r="G55" s="612" t="s">
        <v>63</v>
      </c>
      <c r="H55" s="671" t="s">
        <v>63</v>
      </c>
      <c r="I55" s="614" t="s">
        <v>63</v>
      </c>
      <c r="J55" s="615" t="s">
        <v>63</v>
      </c>
      <c r="K55" s="672" t="s">
        <v>63</v>
      </c>
      <c r="L55" s="728">
        <f>VLOOKUP($A55,'IN Data'!$A$5:$N$96,3,FALSE)</f>
        <v>50</v>
      </c>
      <c r="M55" s="704" t="s">
        <v>63</v>
      </c>
      <c r="N55" s="729" t="s">
        <v>63</v>
      </c>
      <c r="O55" s="619" t="s">
        <v>63</v>
      </c>
      <c r="P55" s="620">
        <f>ifna(vlookup(A55,'Population &amp; Church Numbers'!$A$700:$D$791,4,FALSE),"NULL")</f>
        <v>105</v>
      </c>
      <c r="Q55" s="674" t="s">
        <v>63</v>
      </c>
    </row>
    <row r="56">
      <c r="A56" s="609" t="s">
        <v>157</v>
      </c>
      <c r="B56" s="610">
        <f t="array" ref="B56">VLOOKUP($A56,IN_DEMO,2,FALSE)</f>
        <v>37936</v>
      </c>
      <c r="C56" s="611">
        <f>VLOOKUP($A56,'IN Data'!$A$5:$N$96,5,FALSE)</f>
        <v>50</v>
      </c>
      <c r="D56" s="612" t="s">
        <v>63</v>
      </c>
      <c r="E56" s="612">
        <f>VLOOKUP($A56,'IN Data'!$A$5:$N$96,9,FALSE)</f>
        <v>23</v>
      </c>
      <c r="F56" s="612">
        <f>VLOOKUP($A56,'IN Data'!$A$5:$N$96,7,FALSE)</f>
        <v>24</v>
      </c>
      <c r="G56" s="612" t="s">
        <v>63</v>
      </c>
      <c r="H56" s="671" t="s">
        <v>63</v>
      </c>
      <c r="I56" s="614" t="s">
        <v>63</v>
      </c>
      <c r="J56" s="615" t="s">
        <v>63</v>
      </c>
      <c r="K56" s="672" t="s">
        <v>63</v>
      </c>
      <c r="L56" s="728">
        <f>VLOOKUP($A56,'IN Data'!$A$5:$N$96,3,FALSE)</f>
        <v>18</v>
      </c>
      <c r="M56" s="704" t="s">
        <v>63</v>
      </c>
      <c r="N56" s="729" t="s">
        <v>63</v>
      </c>
      <c r="O56" s="619" t="s">
        <v>63</v>
      </c>
      <c r="P56" s="620">
        <f>ifna(vlookup(A56,'Population &amp; Church Numbers'!$A$700:$D$791,4,FALSE),"NULL")</f>
        <v>53</v>
      </c>
      <c r="Q56" s="674" t="s">
        <v>63</v>
      </c>
    </row>
    <row r="57">
      <c r="A57" s="609" t="s">
        <v>158</v>
      </c>
      <c r="B57" s="610">
        <f t="array" ref="B57">VLOOKUP($A57,IN_DEMO,2,FALSE)</f>
        <v>71780</v>
      </c>
      <c r="C57" s="611">
        <f>VLOOKUP($A57,'IN Data'!$A$5:$N$96,5,FALSE)</f>
        <v>74</v>
      </c>
      <c r="D57" s="612" t="s">
        <v>63</v>
      </c>
      <c r="E57" s="612">
        <f>VLOOKUP($A57,'IN Data'!$A$5:$N$96,9,FALSE)</f>
        <v>28</v>
      </c>
      <c r="F57" s="612">
        <f>VLOOKUP($A57,'IN Data'!$A$5:$N$96,7,FALSE)</f>
        <v>39</v>
      </c>
      <c r="G57" s="612" t="s">
        <v>63</v>
      </c>
      <c r="H57" s="671" t="s">
        <v>63</v>
      </c>
      <c r="I57" s="614" t="s">
        <v>63</v>
      </c>
      <c r="J57" s="615" t="s">
        <v>63</v>
      </c>
      <c r="K57" s="672" t="s">
        <v>63</v>
      </c>
      <c r="L57" s="728">
        <f>VLOOKUP($A57,'IN Data'!$A$5:$N$96,3,FALSE)</f>
        <v>11</v>
      </c>
      <c r="M57" s="704" t="s">
        <v>63</v>
      </c>
      <c r="N57" s="729" t="s">
        <v>63</v>
      </c>
      <c r="O57" s="619" t="s">
        <v>63</v>
      </c>
      <c r="P57" s="620">
        <f>ifna(vlookup(A57,'Population &amp; Church Numbers'!$A$700:$D$791,4,FALSE),"NULL")</f>
        <v>70</v>
      </c>
      <c r="Q57" s="674" t="s">
        <v>63</v>
      </c>
    </row>
    <row r="58">
      <c r="A58" s="609" t="s">
        <v>297</v>
      </c>
      <c r="B58" s="610">
        <f t="array" ref="B58">VLOOKUP($A58,IN_DEMO,2,FALSE)</f>
        <v>13830</v>
      </c>
      <c r="C58" s="611">
        <f>VLOOKUP($A58,'IN Data'!$A$5:$N$96,5,FALSE)</f>
        <v>16</v>
      </c>
      <c r="D58" s="612" t="s">
        <v>63</v>
      </c>
      <c r="E58" s="612">
        <f>VLOOKUP($A58,'IN Data'!$A$5:$N$96,9,FALSE)</f>
        <v>8</v>
      </c>
      <c r="F58" s="612">
        <f>VLOOKUP($A58,'IN Data'!$A$5:$N$96,7,FALSE)</f>
        <v>8</v>
      </c>
      <c r="G58" s="612" t="s">
        <v>63</v>
      </c>
      <c r="H58" s="671" t="s">
        <v>63</v>
      </c>
      <c r="I58" s="614" t="s">
        <v>63</v>
      </c>
      <c r="J58" s="615" t="s">
        <v>63</v>
      </c>
      <c r="K58" s="672" t="s">
        <v>63</v>
      </c>
      <c r="L58" s="728">
        <f>VLOOKUP($A58,'IN Data'!$A$5:$N$96,3,FALSE)</f>
        <v>10</v>
      </c>
      <c r="M58" s="704" t="s">
        <v>63</v>
      </c>
      <c r="N58" s="729" t="s">
        <v>63</v>
      </c>
      <c r="O58" s="619" t="s">
        <v>63</v>
      </c>
      <c r="P58" s="620">
        <f>ifna(vlookup(A58,'Population &amp; Church Numbers'!$A$700:$D$791,4,FALSE),"NULL")</f>
        <v>20</v>
      </c>
      <c r="Q58" s="674" t="s">
        <v>63</v>
      </c>
    </row>
    <row r="59">
      <c r="A59" s="609" t="s">
        <v>793</v>
      </c>
      <c r="B59" s="610">
        <f t="array" ref="B59">VLOOKUP($A59,IN_DEMO,2,FALSE)</f>
        <v>47457</v>
      </c>
      <c r="C59" s="611">
        <f>VLOOKUP($A59,'IN Data'!$A$5:$N$96,5,FALSE)</f>
        <v>16</v>
      </c>
      <c r="D59" s="612" t="s">
        <v>63</v>
      </c>
      <c r="E59" s="612">
        <f>VLOOKUP($A59,'IN Data'!$A$5:$N$96,9,FALSE)</f>
        <v>5</v>
      </c>
      <c r="F59" s="612">
        <f>VLOOKUP($A59,'IN Data'!$A$5:$N$96,7,FALSE)</f>
        <v>10</v>
      </c>
      <c r="G59" s="612" t="s">
        <v>63</v>
      </c>
      <c r="H59" s="671" t="s">
        <v>63</v>
      </c>
      <c r="I59" s="614" t="s">
        <v>63</v>
      </c>
      <c r="J59" s="615" t="s">
        <v>63</v>
      </c>
      <c r="K59" s="672" t="s">
        <v>63</v>
      </c>
      <c r="L59" s="728">
        <f>VLOOKUP($A59,'IN Data'!$A$5:$N$96,3,FALSE)</f>
        <v>7</v>
      </c>
      <c r="M59" s="704" t="s">
        <v>63</v>
      </c>
      <c r="N59" s="729" t="s">
        <v>63</v>
      </c>
      <c r="O59" s="619" t="s">
        <v>63</v>
      </c>
      <c r="P59" s="620">
        <f>ifna(vlookup(A59,'Population &amp; Church Numbers'!$A$700:$D$791,4,FALSE),"NULL")</f>
        <v>61</v>
      </c>
      <c r="Q59" s="674" t="s">
        <v>63</v>
      </c>
    </row>
    <row r="60">
      <c r="A60" s="609" t="s">
        <v>100</v>
      </c>
      <c r="B60" s="610">
        <f t="array" ref="B60">VLOOKUP($A60,IN_DEMO,2,FALSE)</f>
        <v>5940</v>
      </c>
      <c r="C60" s="611">
        <f>VLOOKUP($A60,'IN Data'!$A$5:$N$96,5,FALSE)</f>
        <v>10</v>
      </c>
      <c r="D60" s="612" t="s">
        <v>63</v>
      </c>
      <c r="E60" s="612">
        <f>VLOOKUP($A60,'IN Data'!$A$5:$N$96,9,FALSE)</f>
        <v>7</v>
      </c>
      <c r="F60" s="612">
        <f>VLOOKUP($A60,'IN Data'!$A$5:$N$96,7,FALSE)</f>
        <v>2</v>
      </c>
      <c r="G60" s="612" t="s">
        <v>63</v>
      </c>
      <c r="H60" s="671" t="s">
        <v>63</v>
      </c>
      <c r="I60" s="614" t="s">
        <v>63</v>
      </c>
      <c r="J60" s="615" t="s">
        <v>63</v>
      </c>
      <c r="K60" s="672" t="s">
        <v>63</v>
      </c>
      <c r="L60" s="728">
        <f>VLOOKUP($A60,'IN Data'!$A$5:$N$96,3,FALSE)</f>
        <v>8</v>
      </c>
      <c r="M60" s="704" t="s">
        <v>63</v>
      </c>
      <c r="N60" s="729" t="s">
        <v>63</v>
      </c>
      <c r="O60" s="619" t="s">
        <v>63</v>
      </c>
      <c r="P60" s="620">
        <f>ifna(vlookup(A60,'Population &amp; Church Numbers'!$A$700:$D$791,4,FALSE),"NULL")</f>
        <v>10</v>
      </c>
      <c r="Q60" s="674" t="s">
        <v>63</v>
      </c>
    </row>
    <row r="61">
      <c r="A61" s="609" t="s">
        <v>241</v>
      </c>
      <c r="B61" s="610">
        <f t="array" ref="B61">VLOOKUP($A61,IN_DEMO,2,FALSE)</f>
        <v>19867</v>
      </c>
      <c r="C61" s="611">
        <f>VLOOKUP($A61,'IN Data'!$A$5:$N$96,5,FALSE)</f>
        <v>38</v>
      </c>
      <c r="D61" s="612" t="s">
        <v>63</v>
      </c>
      <c r="E61" s="612">
        <f>VLOOKUP($A61,'IN Data'!$A$5:$N$96,9,FALSE)</f>
        <v>10</v>
      </c>
      <c r="F61" s="612">
        <f>VLOOKUP($A61,'IN Data'!$A$5:$N$96,7,FALSE)</f>
        <v>28</v>
      </c>
      <c r="G61" s="612" t="s">
        <v>63</v>
      </c>
      <c r="H61" s="671" t="s">
        <v>63</v>
      </c>
      <c r="I61" s="614" t="s">
        <v>63</v>
      </c>
      <c r="J61" s="615" t="s">
        <v>63</v>
      </c>
      <c r="K61" s="672" t="s">
        <v>63</v>
      </c>
      <c r="L61" s="728">
        <f>VLOOKUP($A61,'IN Data'!$A$5:$N$96,3,FALSE)</f>
        <v>14</v>
      </c>
      <c r="M61" s="704" t="s">
        <v>63</v>
      </c>
      <c r="N61" s="729" t="s">
        <v>63</v>
      </c>
      <c r="O61" s="619" t="s">
        <v>63</v>
      </c>
      <c r="P61" s="620">
        <f>ifna(vlookup(A61,'Population &amp; Church Numbers'!$A$700:$D$791,4,FALSE),"NULL")</f>
        <v>40</v>
      </c>
      <c r="Q61" s="674" t="s">
        <v>63</v>
      </c>
    </row>
    <row r="62">
      <c r="A62" s="609" t="s">
        <v>802</v>
      </c>
      <c r="B62" s="610">
        <f t="array" ref="B62">VLOOKUP($A62,IN_DEMO,2,FALSE)</f>
        <v>21321</v>
      </c>
      <c r="C62" s="611">
        <f>VLOOKUP($A62,'IN Data'!$A$5:$N$96,5,FALSE)</f>
        <v>23</v>
      </c>
      <c r="D62" s="612" t="s">
        <v>63</v>
      </c>
      <c r="E62" s="612">
        <f>VLOOKUP($A62,'IN Data'!$A$5:$N$96,9,FALSE)</f>
        <v>11</v>
      </c>
      <c r="F62" s="612">
        <f>VLOOKUP($A62,'IN Data'!$A$5:$N$96,7,FALSE)</f>
        <v>8</v>
      </c>
      <c r="G62" s="612" t="s">
        <v>63</v>
      </c>
      <c r="H62" s="671" t="s">
        <v>63</v>
      </c>
      <c r="I62" s="614" t="s">
        <v>63</v>
      </c>
      <c r="J62" s="615" t="s">
        <v>63</v>
      </c>
      <c r="K62" s="672" t="s">
        <v>63</v>
      </c>
      <c r="L62" s="728">
        <f>VLOOKUP($A62,'IN Data'!$A$5:$N$96,3,FALSE)</f>
        <v>21</v>
      </c>
      <c r="M62" s="704" t="s">
        <v>63</v>
      </c>
      <c r="N62" s="729" t="s">
        <v>63</v>
      </c>
      <c r="O62" s="619" t="s">
        <v>63</v>
      </c>
      <c r="P62" s="620">
        <f>ifna(vlookup(A62,'Population &amp; Church Numbers'!$A$700:$D$791,4,FALSE),"NULL")</f>
        <v>34</v>
      </c>
      <c r="Q62" s="674" t="s">
        <v>63</v>
      </c>
    </row>
    <row r="63">
      <c r="A63" s="609" t="s">
        <v>807</v>
      </c>
      <c r="B63" s="610">
        <f t="array" ref="B63">VLOOKUP($A63,IN_DEMO,2,FALSE)</f>
        <v>16156</v>
      </c>
      <c r="C63" s="611">
        <f>VLOOKUP($A63,'IN Data'!$A$5:$N$96,5,FALSE)</f>
        <v>31</v>
      </c>
      <c r="D63" s="612" t="s">
        <v>63</v>
      </c>
      <c r="E63" s="612">
        <f>VLOOKUP($A63,'IN Data'!$A$5:$N$96,9,FALSE)</f>
        <v>17</v>
      </c>
      <c r="F63" s="612">
        <f>VLOOKUP($A63,'IN Data'!$A$5:$N$96,7,FALSE)</f>
        <v>13</v>
      </c>
      <c r="G63" s="612" t="s">
        <v>63</v>
      </c>
      <c r="H63" s="671" t="s">
        <v>63</v>
      </c>
      <c r="I63" s="614" t="s">
        <v>63</v>
      </c>
      <c r="J63" s="615" t="s">
        <v>63</v>
      </c>
      <c r="K63" s="672" t="s">
        <v>63</v>
      </c>
      <c r="L63" s="728">
        <f>VLOOKUP($A63,'IN Data'!$A$5:$N$96,3,FALSE)</f>
        <v>0</v>
      </c>
      <c r="M63" s="704" t="s">
        <v>63</v>
      </c>
      <c r="N63" s="729" t="s">
        <v>63</v>
      </c>
      <c r="O63" s="619" t="s">
        <v>63</v>
      </c>
      <c r="P63" s="620">
        <f>ifna(vlookup(A63,'Population &amp; Church Numbers'!$A$700:$D$791,4,FALSE),"NULL")</f>
        <v>20</v>
      </c>
      <c r="Q63" s="674" t="s">
        <v>63</v>
      </c>
    </row>
    <row r="64">
      <c r="A64" s="609" t="s">
        <v>159</v>
      </c>
      <c r="B64" s="610">
        <f t="array" ref="B64">VLOOKUP($A64,IN_DEMO,2,FALSE)</f>
        <v>19170</v>
      </c>
      <c r="C64" s="611">
        <f>VLOOKUP($A64,'IN Data'!$A$5:$N$96,5,FALSE)</f>
        <v>60</v>
      </c>
      <c r="D64" s="612" t="s">
        <v>63</v>
      </c>
      <c r="E64" s="612">
        <f>VLOOKUP($A64,'IN Data'!$A$5:$N$96,9,FALSE)</f>
        <v>17</v>
      </c>
      <c r="F64" s="612">
        <f>VLOOKUP($A64,'IN Data'!$A$5:$N$96,7,FALSE)</f>
        <v>35</v>
      </c>
      <c r="G64" s="612" t="s">
        <v>63</v>
      </c>
      <c r="H64" s="671" t="s">
        <v>63</v>
      </c>
      <c r="I64" s="614" t="s">
        <v>63</v>
      </c>
      <c r="J64" s="615" t="s">
        <v>63</v>
      </c>
      <c r="K64" s="672" t="s">
        <v>63</v>
      </c>
      <c r="L64" s="728">
        <f>VLOOKUP($A64,'IN Data'!$A$5:$N$96,3,FALSE)</f>
        <v>21</v>
      </c>
      <c r="M64" s="704" t="s">
        <v>63</v>
      </c>
      <c r="N64" s="729" t="s">
        <v>63</v>
      </c>
      <c r="O64" s="619" t="s">
        <v>63</v>
      </c>
      <c r="P64" s="620">
        <f>ifna(vlookup(A64,'Population &amp; Church Numbers'!$A$700:$D$791,4,FALSE),"NULL")</f>
        <v>18</v>
      </c>
      <c r="Q64" s="674" t="s">
        <v>63</v>
      </c>
    </row>
    <row r="65">
      <c r="A65" s="609" t="s">
        <v>162</v>
      </c>
      <c r="B65" s="610">
        <f t="array" ref="B65">VLOOKUP($A65,IN_DEMO,2,FALSE)</f>
        <v>12250</v>
      </c>
      <c r="C65" s="611">
        <f>VLOOKUP($A65,'IN Data'!$A$5:$N$96,5,FALSE)</f>
        <v>15</v>
      </c>
      <c r="D65" s="612" t="s">
        <v>63</v>
      </c>
      <c r="E65" s="612">
        <f>VLOOKUP($A65,'IN Data'!$A$5:$N$96,9,FALSE)</f>
        <v>4</v>
      </c>
      <c r="F65" s="612">
        <f>VLOOKUP($A65,'IN Data'!$A$5:$N$96,7,FALSE)</f>
        <v>10</v>
      </c>
      <c r="G65" s="612" t="s">
        <v>63</v>
      </c>
      <c r="H65" s="671" t="s">
        <v>63</v>
      </c>
      <c r="I65" s="614" t="s">
        <v>63</v>
      </c>
      <c r="J65" s="615" t="s">
        <v>63</v>
      </c>
      <c r="K65" s="672" t="s">
        <v>63</v>
      </c>
      <c r="L65" s="728">
        <f>VLOOKUP($A65,'IN Data'!$A$5:$N$96,3,FALSE)</f>
        <v>26</v>
      </c>
      <c r="M65" s="704" t="s">
        <v>63</v>
      </c>
      <c r="N65" s="729" t="s">
        <v>63</v>
      </c>
      <c r="O65" s="619" t="s">
        <v>63</v>
      </c>
      <c r="P65" s="620">
        <f>ifna(vlookup(A65,'Population &amp; Church Numbers'!$A$700:$D$791,4,FALSE),"NULL")</f>
        <v>19</v>
      </c>
      <c r="Q65" s="674" t="s">
        <v>63</v>
      </c>
    </row>
    <row r="66">
      <c r="A66" s="609" t="s">
        <v>819</v>
      </c>
      <c r="B66" s="610">
        <f t="array" ref="B66">VLOOKUP($A66,IN_DEMO,2,FALSE)</f>
        <v>173215</v>
      </c>
      <c r="C66" s="611">
        <f>VLOOKUP($A66,'IN Data'!$A$5:$N$96,5,FALSE)</f>
        <v>69</v>
      </c>
      <c r="D66" s="612" t="s">
        <v>63</v>
      </c>
      <c r="E66" s="612">
        <f>VLOOKUP($A66,'IN Data'!$A$5:$N$96,9,FALSE)</f>
        <v>42</v>
      </c>
      <c r="F66" s="612">
        <f>VLOOKUP($A66,'IN Data'!$A$5:$N$96,7,FALSE)</f>
        <v>20</v>
      </c>
      <c r="G66" s="612" t="s">
        <v>63</v>
      </c>
      <c r="H66" s="671" t="s">
        <v>63</v>
      </c>
      <c r="I66" s="614" t="s">
        <v>63</v>
      </c>
      <c r="J66" s="615" t="s">
        <v>63</v>
      </c>
      <c r="K66" s="672" t="s">
        <v>63</v>
      </c>
      <c r="L66" s="728">
        <f>VLOOKUP($A66,'IN Data'!$A$5:$N$96,3,FALSE)</f>
        <v>31</v>
      </c>
      <c r="M66" s="704" t="s">
        <v>63</v>
      </c>
      <c r="N66" s="729" t="s">
        <v>63</v>
      </c>
      <c r="O66" s="619" t="s">
        <v>63</v>
      </c>
      <c r="P66" s="620">
        <f>ifna(vlookup(A66,'Population &amp; Church Numbers'!$A$700:$D$791,4,FALSE),"NULL")</f>
        <v>113</v>
      </c>
      <c r="Q66" s="674" t="s">
        <v>63</v>
      </c>
    </row>
    <row r="67">
      <c r="A67" s="609" t="s">
        <v>823</v>
      </c>
      <c r="B67" s="610">
        <f t="array" ref="B67">VLOOKUP($A67,IN_DEMO,2,FALSE)</f>
        <v>25222</v>
      </c>
      <c r="C67" s="611">
        <f>VLOOKUP($A67,'IN Data'!$A$5:$N$96,5,FALSE)</f>
        <v>42</v>
      </c>
      <c r="D67" s="612" t="s">
        <v>63</v>
      </c>
      <c r="E67" s="612">
        <f>VLOOKUP($A67,'IN Data'!$A$5:$N$96,9,FALSE)</f>
        <v>16</v>
      </c>
      <c r="F67" s="612">
        <f>VLOOKUP($A67,'IN Data'!$A$5:$N$96,7,FALSE)</f>
        <v>24</v>
      </c>
      <c r="G67" s="612" t="s">
        <v>63</v>
      </c>
      <c r="H67" s="671" t="s">
        <v>63</v>
      </c>
      <c r="I67" s="614" t="s">
        <v>63</v>
      </c>
      <c r="J67" s="615" t="s">
        <v>63</v>
      </c>
      <c r="K67" s="672" t="s">
        <v>63</v>
      </c>
      <c r="L67" s="728">
        <f>VLOOKUP($A67,'IN Data'!$A$5:$N$96,3,FALSE)</f>
        <v>39</v>
      </c>
      <c r="M67" s="704" t="s">
        <v>63</v>
      </c>
      <c r="N67" s="729" t="s">
        <v>63</v>
      </c>
      <c r="O67" s="619" t="s">
        <v>63</v>
      </c>
      <c r="P67" s="620">
        <f>ifna(vlookup(A67,'Population &amp; Church Numbers'!$A$700:$D$791,4,FALSE),"NULL")</f>
        <v>32</v>
      </c>
      <c r="Q67" s="674" t="s">
        <v>63</v>
      </c>
    </row>
    <row r="68">
      <c r="A68" s="609" t="s">
        <v>305</v>
      </c>
      <c r="B68" s="610">
        <f t="array" ref="B68">VLOOKUP($A68,IN_DEMO,2,FALSE)</f>
        <v>12514</v>
      </c>
      <c r="C68" s="611">
        <f>VLOOKUP($A68,'IN Data'!$A$5:$N$96,5,FALSE)</f>
        <v>14</v>
      </c>
      <c r="D68" s="612" t="s">
        <v>63</v>
      </c>
      <c r="E68" s="612">
        <f>VLOOKUP($A68,'IN Data'!$A$5:$N$96,9,FALSE)</f>
        <v>4</v>
      </c>
      <c r="F68" s="612">
        <f>VLOOKUP($A68,'IN Data'!$A$5:$N$96,7,FALSE)</f>
        <v>7</v>
      </c>
      <c r="G68" s="612" t="s">
        <v>63</v>
      </c>
      <c r="H68" s="671" t="s">
        <v>63</v>
      </c>
      <c r="I68" s="614" t="s">
        <v>63</v>
      </c>
      <c r="J68" s="615" t="s">
        <v>63</v>
      </c>
      <c r="K68" s="672" t="s">
        <v>63</v>
      </c>
      <c r="L68" s="728">
        <f>VLOOKUP($A68,'IN Data'!$A$5:$N$96,3,FALSE)</f>
        <v>7</v>
      </c>
      <c r="M68" s="704" t="s">
        <v>63</v>
      </c>
      <c r="N68" s="729" t="s">
        <v>63</v>
      </c>
      <c r="O68" s="619" t="s">
        <v>63</v>
      </c>
      <c r="P68" s="620">
        <f>ifna(vlookup(A68,'Population &amp; Church Numbers'!$A$700:$D$791,4,FALSE),"NULL")</f>
        <v>22</v>
      </c>
      <c r="Q68" s="674" t="s">
        <v>63</v>
      </c>
    </row>
    <row r="69">
      <c r="A69" s="609" t="s">
        <v>518</v>
      </c>
      <c r="B69" s="610">
        <f t="array" ref="B69">VLOOKUP($A69,IN_DEMO,2,FALSE)</f>
        <v>36726</v>
      </c>
      <c r="C69" s="611">
        <f>VLOOKUP($A69,'IN Data'!$A$5:$N$96,5,FALSE)</f>
        <v>47</v>
      </c>
      <c r="D69" s="612" t="s">
        <v>63</v>
      </c>
      <c r="E69" s="612">
        <f>VLOOKUP($A69,'IN Data'!$A$5:$N$96,9,FALSE)</f>
        <v>17</v>
      </c>
      <c r="F69" s="612">
        <f>VLOOKUP($A69,'IN Data'!$A$5:$N$96,7,FALSE)</f>
        <v>29</v>
      </c>
      <c r="G69" s="612" t="s">
        <v>63</v>
      </c>
      <c r="H69" s="671" t="s">
        <v>63</v>
      </c>
      <c r="I69" s="614" t="s">
        <v>63</v>
      </c>
      <c r="J69" s="615" t="s">
        <v>63</v>
      </c>
      <c r="K69" s="672" t="s">
        <v>63</v>
      </c>
      <c r="L69" s="728">
        <f>VLOOKUP($A69,'IN Data'!$A$5:$N$96,3,FALSE)</f>
        <v>16</v>
      </c>
      <c r="M69" s="704" t="s">
        <v>63</v>
      </c>
      <c r="N69" s="729" t="s">
        <v>63</v>
      </c>
      <c r="O69" s="619" t="s">
        <v>63</v>
      </c>
      <c r="P69" s="620">
        <f>ifna(vlookup(A69,'Population &amp; Church Numbers'!$A$700:$D$791,4,FALSE),"NULL")</f>
        <v>39</v>
      </c>
      <c r="Q69" s="674" t="s">
        <v>63</v>
      </c>
    </row>
    <row r="70">
      <c r="A70" s="609" t="s">
        <v>163</v>
      </c>
      <c r="B70" s="610">
        <f t="array" ref="B70">VLOOKUP($A70,IN_DEMO,2,FALSE)</f>
        <v>24502</v>
      </c>
      <c r="C70" s="611">
        <f>VLOOKUP($A70,'IN Data'!$A$5:$N$96,5,FALSE)</f>
        <v>27</v>
      </c>
      <c r="D70" s="612" t="s">
        <v>63</v>
      </c>
      <c r="E70" s="612">
        <f>VLOOKUP($A70,'IN Data'!$A$5:$N$96,9,FALSE)</f>
        <v>9</v>
      </c>
      <c r="F70" s="612">
        <f>VLOOKUP($A70,'IN Data'!$A$5:$N$96,7,FALSE)</f>
        <v>15</v>
      </c>
      <c r="G70" s="612" t="s">
        <v>63</v>
      </c>
      <c r="H70" s="671" t="s">
        <v>63</v>
      </c>
      <c r="I70" s="614" t="s">
        <v>63</v>
      </c>
      <c r="J70" s="615" t="s">
        <v>63</v>
      </c>
      <c r="K70" s="672" t="s">
        <v>63</v>
      </c>
      <c r="L70" s="728">
        <f>VLOOKUP($A70,'IN Data'!$A$5:$N$96,3,FALSE)</f>
        <v>6</v>
      </c>
      <c r="M70" s="704" t="s">
        <v>63</v>
      </c>
      <c r="N70" s="729" t="s">
        <v>63</v>
      </c>
      <c r="O70" s="619" t="s">
        <v>63</v>
      </c>
      <c r="P70" s="620">
        <f>ifna(vlookup(A70,'Population &amp; Church Numbers'!$A$700:$D$791,4,FALSE),"NULL")</f>
        <v>40</v>
      </c>
      <c r="Q70" s="674" t="s">
        <v>63</v>
      </c>
    </row>
    <row r="71">
      <c r="A71" s="609" t="s">
        <v>839</v>
      </c>
      <c r="B71" s="610">
        <f t="array" ref="B71">VLOOKUP($A71,IN_DEMO,2,FALSE)</f>
        <v>28995</v>
      </c>
      <c r="C71" s="611">
        <f>VLOOKUP($A71,'IN Data'!$A$5:$N$96,5,FALSE)</f>
        <v>65</v>
      </c>
      <c r="D71" s="612" t="s">
        <v>63</v>
      </c>
      <c r="E71" s="612">
        <f>VLOOKUP($A71,'IN Data'!$A$5:$N$96,9,FALSE)</f>
        <v>21</v>
      </c>
      <c r="F71" s="612">
        <f>VLOOKUP($A71,'IN Data'!$A$5:$N$96,7,FALSE)</f>
        <v>35</v>
      </c>
      <c r="G71" s="612" t="s">
        <v>63</v>
      </c>
      <c r="H71" s="671" t="s">
        <v>63</v>
      </c>
      <c r="I71" s="614" t="s">
        <v>63</v>
      </c>
      <c r="J71" s="615" t="s">
        <v>63</v>
      </c>
      <c r="K71" s="672" t="s">
        <v>63</v>
      </c>
      <c r="L71" s="728">
        <f>VLOOKUP($A71,'IN Data'!$A$5:$N$96,3,FALSE)</f>
        <v>10</v>
      </c>
      <c r="M71" s="704" t="s">
        <v>63</v>
      </c>
      <c r="N71" s="729" t="s">
        <v>63</v>
      </c>
      <c r="O71" s="619" t="s">
        <v>63</v>
      </c>
      <c r="P71" s="620">
        <f>ifna(vlookup(A71,'Population &amp; Church Numbers'!$A$700:$D$791,4,FALSE),"NULL")</f>
        <v>44</v>
      </c>
      <c r="Q71" s="674" t="s">
        <v>63</v>
      </c>
    </row>
    <row r="72">
      <c r="A72" s="609" t="s">
        <v>842</v>
      </c>
      <c r="B72" s="610">
        <f t="array" ref="B72">VLOOKUP($A72,IN_DEMO,2,FALSE)</f>
        <v>16752</v>
      </c>
      <c r="C72" s="611">
        <f>VLOOKUP($A72,'IN Data'!$A$5:$N$96,5,FALSE)</f>
        <v>15</v>
      </c>
      <c r="D72" s="612" t="s">
        <v>63</v>
      </c>
      <c r="E72" s="612">
        <f>VLOOKUP($A72,'IN Data'!$A$5:$N$96,9,FALSE)</f>
        <v>8</v>
      </c>
      <c r="F72" s="612">
        <f>VLOOKUP($A72,'IN Data'!$A$5:$N$96,7,FALSE)</f>
        <v>6</v>
      </c>
      <c r="G72" s="612" t="s">
        <v>63</v>
      </c>
      <c r="H72" s="671" t="s">
        <v>63</v>
      </c>
      <c r="I72" s="614" t="s">
        <v>63</v>
      </c>
      <c r="J72" s="615" t="s">
        <v>63</v>
      </c>
      <c r="K72" s="672" t="s">
        <v>63</v>
      </c>
      <c r="L72" s="728">
        <f>VLOOKUP($A72,'IN Data'!$A$5:$N$96,3,FALSE)</f>
        <v>11</v>
      </c>
      <c r="M72" s="704" t="s">
        <v>63</v>
      </c>
      <c r="N72" s="729" t="s">
        <v>63</v>
      </c>
      <c r="O72" s="619" t="s">
        <v>63</v>
      </c>
      <c r="P72" s="620">
        <f>ifna(vlookup(A72,'Population &amp; Church Numbers'!$A$700:$D$791,4,FALSE),"NULL")</f>
        <v>25</v>
      </c>
      <c r="Q72" s="674" t="s">
        <v>63</v>
      </c>
    </row>
    <row r="73">
      <c r="A73" s="609" t="s">
        <v>2614</v>
      </c>
      <c r="B73" s="610">
        <f t="array" ref="B73">VLOOKUP($A73,IN_DEMO,2,FALSE)</f>
        <v>272912</v>
      </c>
      <c r="C73" s="611">
        <f>VLOOKUP($A73,'IN Data'!$A$5:$N$96,5,FALSE)</f>
        <v>362</v>
      </c>
      <c r="D73" s="612" t="s">
        <v>63</v>
      </c>
      <c r="E73" s="612">
        <f>VLOOKUP($A73,'IN Data'!$A$5:$N$96,9,FALSE)</f>
        <v>164</v>
      </c>
      <c r="F73" s="612">
        <f>VLOOKUP($A73,'IN Data'!$A$5:$N$96,7,FALSE)</f>
        <v>182</v>
      </c>
      <c r="G73" s="612" t="s">
        <v>63</v>
      </c>
      <c r="H73" s="671" t="s">
        <v>63</v>
      </c>
      <c r="I73" s="614" t="s">
        <v>63</v>
      </c>
      <c r="J73" s="615" t="s">
        <v>63</v>
      </c>
      <c r="K73" s="672" t="s">
        <v>63</v>
      </c>
      <c r="L73" s="728">
        <f>VLOOKUP($A73,'IN Data'!$A$5:$N$96,3,FALSE)</f>
        <v>213</v>
      </c>
      <c r="M73" s="704" t="s">
        <v>63</v>
      </c>
      <c r="N73" s="729" t="s">
        <v>63</v>
      </c>
      <c r="O73" s="619" t="s">
        <v>63</v>
      </c>
      <c r="P73" s="620">
        <f>ifna(vlookup(A73,'Population &amp; Church Numbers'!$A$700:$D$791,4,FALSE),"NULL")</f>
        <v>218</v>
      </c>
      <c r="Q73" s="674" t="s">
        <v>63</v>
      </c>
    </row>
    <row r="74">
      <c r="A74" s="609" t="s">
        <v>309</v>
      </c>
      <c r="B74" s="610">
        <f t="array" ref="B74">VLOOKUP($A74,IN_DEMO,2,FALSE)</f>
        <v>24384</v>
      </c>
      <c r="C74" s="611">
        <f>VLOOKUP($A74,'IN Data'!$A$5:$N$96,5,FALSE)</f>
        <v>98</v>
      </c>
      <c r="D74" s="612" t="s">
        <v>63</v>
      </c>
      <c r="E74" s="612">
        <f>VLOOKUP($A74,'IN Data'!$A$5:$N$96,9,FALSE)</f>
        <v>43</v>
      </c>
      <c r="F74" s="612">
        <f>VLOOKUP($A74,'IN Data'!$A$5:$N$96,7,FALSE)</f>
        <v>45</v>
      </c>
      <c r="G74" s="612" t="s">
        <v>63</v>
      </c>
      <c r="H74" s="671" t="s">
        <v>63</v>
      </c>
      <c r="I74" s="614" t="s">
        <v>63</v>
      </c>
      <c r="J74" s="615" t="s">
        <v>63</v>
      </c>
      <c r="K74" s="672" t="s">
        <v>63</v>
      </c>
      <c r="L74" s="728">
        <f>VLOOKUP($A74,'IN Data'!$A$5:$N$96,3,FALSE)</f>
        <v>4</v>
      </c>
      <c r="M74" s="704" t="s">
        <v>63</v>
      </c>
      <c r="N74" s="729" t="s">
        <v>63</v>
      </c>
      <c r="O74" s="619" t="s">
        <v>63</v>
      </c>
      <c r="P74" s="620">
        <f>ifna(vlookup(A74,'Population &amp; Church Numbers'!$A$700:$D$791,4,FALSE),"NULL")</f>
        <v>33</v>
      </c>
      <c r="Q74" s="674" t="s">
        <v>63</v>
      </c>
    </row>
    <row r="75">
      <c r="A75" s="609" t="s">
        <v>168</v>
      </c>
      <c r="B75" s="610">
        <f t="array" ref="B75">VLOOKUP($A75,IN_DEMO,2,FALSE)</f>
        <v>45055</v>
      </c>
      <c r="C75" s="611">
        <f>VLOOKUP($A75,'IN Data'!$A$5:$N$96,5,FALSE)</f>
        <v>38</v>
      </c>
      <c r="D75" s="612" t="s">
        <v>63</v>
      </c>
      <c r="E75" s="612">
        <f>VLOOKUP($A75,'IN Data'!$A$5:$N$96,9,FALSE)</f>
        <v>15</v>
      </c>
      <c r="F75" s="612">
        <f>VLOOKUP($A75,'IN Data'!$A$5:$N$96,7,FALSE)</f>
        <v>22</v>
      </c>
      <c r="G75" s="612" t="s">
        <v>63</v>
      </c>
      <c r="H75" s="671" t="s">
        <v>63</v>
      </c>
      <c r="I75" s="614" t="s">
        <v>63</v>
      </c>
      <c r="J75" s="615" t="s">
        <v>63</v>
      </c>
      <c r="K75" s="672" t="s">
        <v>63</v>
      </c>
      <c r="L75" s="728">
        <f>VLOOKUP($A75,'IN Data'!$A$5:$N$96,3,FALSE)</f>
        <v>23</v>
      </c>
      <c r="M75" s="704" t="s">
        <v>63</v>
      </c>
      <c r="N75" s="729" t="s">
        <v>63</v>
      </c>
      <c r="O75" s="619" t="s">
        <v>63</v>
      </c>
      <c r="P75" s="620">
        <f>ifna(vlookup(A75,'Population &amp; Church Numbers'!$A$700:$D$791,4,FALSE),"NULL")</f>
        <v>60</v>
      </c>
      <c r="Q75" s="674" t="s">
        <v>63</v>
      </c>
    </row>
    <row r="76">
      <c r="A76" s="609" t="s">
        <v>854</v>
      </c>
      <c r="B76" s="610">
        <f t="array" ref="B76">VLOOKUP($A76,IN_DEMO,2,FALSE)</f>
        <v>19810</v>
      </c>
      <c r="C76" s="611">
        <f>VLOOKUP($A76,'IN Data'!$A$5:$N$96,5,FALSE)</f>
        <v>56</v>
      </c>
      <c r="D76" s="612" t="s">
        <v>63</v>
      </c>
      <c r="E76" s="612">
        <f>VLOOKUP($A76,'IN Data'!$A$5:$N$96,9,FALSE)</f>
        <v>19</v>
      </c>
      <c r="F76" s="612">
        <f>VLOOKUP($A76,'IN Data'!$A$5:$N$96,7,FALSE)</f>
        <v>35</v>
      </c>
      <c r="G76" s="612" t="s">
        <v>63</v>
      </c>
      <c r="H76" s="671" t="s">
        <v>63</v>
      </c>
      <c r="I76" s="614" t="s">
        <v>63</v>
      </c>
      <c r="J76" s="615" t="s">
        <v>63</v>
      </c>
      <c r="K76" s="672" t="s">
        <v>63</v>
      </c>
      <c r="L76" s="728">
        <f>VLOOKUP($A76,'IN Data'!$A$5:$N$96,3,FALSE)</f>
        <v>16</v>
      </c>
      <c r="M76" s="704" t="s">
        <v>63</v>
      </c>
      <c r="N76" s="729" t="s">
        <v>63</v>
      </c>
      <c r="O76" s="619" t="s">
        <v>63</v>
      </c>
      <c r="P76" s="620">
        <f>ifna(vlookup(A76,'Population &amp; Church Numbers'!$A$700:$D$791,4,FALSE),"NULL")</f>
        <v>28</v>
      </c>
      <c r="Q76" s="674" t="s">
        <v>63</v>
      </c>
    </row>
    <row r="77">
      <c r="A77" s="609" t="s">
        <v>856</v>
      </c>
      <c r="B77" s="610">
        <f t="array" ref="B77">VLOOKUP($A77,IN_DEMO,2,FALSE)</f>
        <v>23371</v>
      </c>
      <c r="C77" s="611">
        <f>VLOOKUP($A77,'IN Data'!$A$5:$N$96,5,FALSE)</f>
        <v>28</v>
      </c>
      <c r="D77" s="612" t="s">
        <v>63</v>
      </c>
      <c r="E77" s="612">
        <f>VLOOKUP($A77,'IN Data'!$A$5:$N$96,9,FALSE)</f>
        <v>6</v>
      </c>
      <c r="F77" s="612">
        <f>VLOOKUP($A77,'IN Data'!$A$5:$N$96,7,FALSE)</f>
        <v>20</v>
      </c>
      <c r="G77" s="612" t="s">
        <v>63</v>
      </c>
      <c r="H77" s="671" t="s">
        <v>63</v>
      </c>
      <c r="I77" s="614" t="s">
        <v>63</v>
      </c>
      <c r="J77" s="615" t="s">
        <v>63</v>
      </c>
      <c r="K77" s="672" t="s">
        <v>63</v>
      </c>
      <c r="L77" s="728">
        <f>VLOOKUP($A77,'IN Data'!$A$5:$N$96,3,FALSE)</f>
        <v>5</v>
      </c>
      <c r="M77" s="704" t="s">
        <v>63</v>
      </c>
      <c r="N77" s="729" t="s">
        <v>63</v>
      </c>
      <c r="O77" s="619" t="s">
        <v>63</v>
      </c>
      <c r="P77" s="620">
        <f>ifna(vlookup(A77,'Population &amp; Church Numbers'!$A$700:$D$791,4,FALSE),"NULL")</f>
        <v>28</v>
      </c>
      <c r="Q77" s="674" t="s">
        <v>63</v>
      </c>
    </row>
    <row r="78">
      <c r="A78" s="609" t="s">
        <v>859</v>
      </c>
      <c r="B78" s="610">
        <f t="array" ref="B78">VLOOKUP($A78,IN_DEMO,2,FALSE)</f>
        <v>34435</v>
      </c>
      <c r="C78" s="611">
        <f>VLOOKUP($A78,'IN Data'!$A$5:$N$96,5,FALSE)</f>
        <v>24</v>
      </c>
      <c r="D78" s="612" t="s">
        <v>63</v>
      </c>
      <c r="E78" s="612">
        <f>VLOOKUP($A78,'IN Data'!$A$5:$N$96,9,FALSE)</f>
        <v>3</v>
      </c>
      <c r="F78" s="612">
        <f>VLOOKUP($A78,'IN Data'!$A$5:$N$96,7,FALSE)</f>
        <v>18</v>
      </c>
      <c r="G78" s="612" t="s">
        <v>63</v>
      </c>
      <c r="H78" s="671" t="s">
        <v>63</v>
      </c>
      <c r="I78" s="614" t="s">
        <v>63</v>
      </c>
      <c r="J78" s="615" t="s">
        <v>63</v>
      </c>
      <c r="K78" s="672" t="s">
        <v>63</v>
      </c>
      <c r="L78" s="728">
        <f>VLOOKUP($A78,'IN Data'!$A$5:$N$96,3,FALSE)</f>
        <v>30</v>
      </c>
      <c r="M78" s="704" t="s">
        <v>63</v>
      </c>
      <c r="N78" s="729" t="s">
        <v>63</v>
      </c>
      <c r="O78" s="619" t="s">
        <v>63</v>
      </c>
      <c r="P78" s="620">
        <f>ifna(vlookup(A78,'Population &amp; Church Numbers'!$A$700:$D$791,4,FALSE),"NULL")</f>
        <v>39</v>
      </c>
      <c r="Q78" s="674" t="s">
        <v>63</v>
      </c>
    </row>
    <row r="79">
      <c r="A79" s="609" t="s">
        <v>860</v>
      </c>
      <c r="B79" s="610">
        <f t="array" ref="B79">VLOOKUP($A79,IN_DEMO,2,FALSE)</f>
        <v>20817</v>
      </c>
      <c r="C79" s="611">
        <f>VLOOKUP($A79,'IN Data'!$A$5:$N$96,5,FALSE)</f>
        <v>43</v>
      </c>
      <c r="D79" s="612" t="s">
        <v>63</v>
      </c>
      <c r="E79" s="612">
        <f>VLOOKUP($A79,'IN Data'!$A$5:$N$96,9,FALSE)</f>
        <v>13</v>
      </c>
      <c r="F79" s="612">
        <f>VLOOKUP($A79,'IN Data'!$A$5:$N$96,7,FALSE)</f>
        <v>26</v>
      </c>
      <c r="G79" s="612" t="s">
        <v>63</v>
      </c>
      <c r="H79" s="671" t="s">
        <v>63</v>
      </c>
      <c r="I79" s="614" t="s">
        <v>63</v>
      </c>
      <c r="J79" s="615" t="s">
        <v>63</v>
      </c>
      <c r="K79" s="672" t="s">
        <v>63</v>
      </c>
      <c r="L79" s="728">
        <f>VLOOKUP($A79,'IN Data'!$A$5:$N$96,3,FALSE)</f>
        <v>14</v>
      </c>
      <c r="M79" s="704" t="s">
        <v>63</v>
      </c>
      <c r="N79" s="729" t="s">
        <v>63</v>
      </c>
      <c r="O79" s="619" t="s">
        <v>63</v>
      </c>
      <c r="P79" s="620">
        <f>ifna(vlookup(A79,'Population &amp; Church Numbers'!$A$700:$D$791,4,FALSE),"NULL")</f>
        <v>32</v>
      </c>
      <c r="Q79" s="674" t="s">
        <v>63</v>
      </c>
    </row>
    <row r="80">
      <c r="A80" s="609" t="s">
        <v>862</v>
      </c>
      <c r="B80" s="610">
        <f t="array" ref="B80">VLOOKUP($A80,IN_DEMO,2,FALSE)</f>
        <v>9737</v>
      </c>
      <c r="C80" s="611">
        <f>VLOOKUP($A80,'IN Data'!$A$5:$N$96,5,FALSE)</f>
        <v>12</v>
      </c>
      <c r="D80" s="612" t="s">
        <v>63</v>
      </c>
      <c r="E80" s="612">
        <f>VLOOKUP($A80,'IN Data'!$A$5:$N$96,9,FALSE)</f>
        <v>1</v>
      </c>
      <c r="F80" s="612">
        <f>VLOOKUP($A80,'IN Data'!$A$5:$N$96,7,FALSE)</f>
        <v>11</v>
      </c>
      <c r="G80" s="612" t="s">
        <v>63</v>
      </c>
      <c r="H80" s="671" t="s">
        <v>63</v>
      </c>
      <c r="I80" s="614" t="s">
        <v>63</v>
      </c>
      <c r="J80" s="615" t="s">
        <v>63</v>
      </c>
      <c r="K80" s="672" t="s">
        <v>63</v>
      </c>
      <c r="L80" s="728">
        <f>VLOOKUP($A80,'IN Data'!$A$5:$N$96,3,FALSE)</f>
        <v>7</v>
      </c>
      <c r="M80" s="704" t="s">
        <v>63</v>
      </c>
      <c r="N80" s="729" t="s">
        <v>63</v>
      </c>
      <c r="O80" s="619" t="s">
        <v>63</v>
      </c>
      <c r="P80" s="620">
        <f>ifna(vlookup(A80,'Population &amp; Church Numbers'!$A$700:$D$791,4,FALSE),"NULL")</f>
        <v>10</v>
      </c>
      <c r="Q80" s="674" t="s">
        <v>63</v>
      </c>
    </row>
    <row r="81">
      <c r="A81" s="609" t="s">
        <v>864</v>
      </c>
      <c r="B81" s="610">
        <f t="array" ref="B81">VLOOKUP($A81,IN_DEMO,2,FALSE)</f>
        <v>186251</v>
      </c>
      <c r="C81" s="611">
        <f>VLOOKUP($A81,'IN Data'!$A$5:$N$96,5,FALSE)</f>
        <v>152</v>
      </c>
      <c r="D81" s="612" t="s">
        <v>63</v>
      </c>
      <c r="E81" s="612">
        <f>VLOOKUP($A81,'IN Data'!$A$5:$N$96,9,FALSE)</f>
        <v>77</v>
      </c>
      <c r="F81" s="612">
        <f>VLOOKUP($A81,'IN Data'!$A$5:$N$96,7,FALSE)</f>
        <v>62</v>
      </c>
      <c r="G81" s="612" t="s">
        <v>63</v>
      </c>
      <c r="H81" s="671" t="s">
        <v>63</v>
      </c>
      <c r="I81" s="614" t="s">
        <v>63</v>
      </c>
      <c r="J81" s="615" t="s">
        <v>63</v>
      </c>
      <c r="K81" s="672" t="s">
        <v>63</v>
      </c>
      <c r="L81" s="728">
        <f>VLOOKUP($A81,'IN Data'!$A$5:$N$96,3,FALSE)</f>
        <v>48</v>
      </c>
      <c r="M81" s="704" t="s">
        <v>63</v>
      </c>
      <c r="N81" s="729" t="s">
        <v>63</v>
      </c>
      <c r="O81" s="619" t="s">
        <v>63</v>
      </c>
      <c r="P81" s="620">
        <f>ifna(vlookup(A81,'Population &amp; Church Numbers'!$A$700:$D$791,4,FALSE),"NULL")</f>
        <v>110</v>
      </c>
      <c r="Q81" s="674" t="s">
        <v>63</v>
      </c>
    </row>
    <row r="82">
      <c r="A82" s="609" t="s">
        <v>865</v>
      </c>
      <c r="B82" s="610">
        <f t="array" ref="B82">VLOOKUP($A82,IN_DEMO,2,FALSE)</f>
        <v>15359</v>
      </c>
      <c r="C82" s="611">
        <f>VLOOKUP($A82,'IN Data'!$A$5:$N$96,5,FALSE)</f>
        <v>18</v>
      </c>
      <c r="D82" s="612" t="s">
        <v>63</v>
      </c>
      <c r="E82" s="612">
        <f>VLOOKUP($A82,'IN Data'!$A$5:$N$96,9,FALSE)</f>
        <v>6</v>
      </c>
      <c r="F82" s="612">
        <f>VLOOKUP($A82,'IN Data'!$A$5:$N$96,7,FALSE)</f>
        <v>11</v>
      </c>
      <c r="G82" s="612" t="s">
        <v>63</v>
      </c>
      <c r="H82" s="671" t="s">
        <v>63</v>
      </c>
      <c r="I82" s="614" t="s">
        <v>63</v>
      </c>
      <c r="J82" s="615" t="s">
        <v>63</v>
      </c>
      <c r="K82" s="672" t="s">
        <v>63</v>
      </c>
      <c r="L82" s="728">
        <f>VLOOKUP($A82,'IN Data'!$A$5:$N$96,3,FALSE)</f>
        <v>15</v>
      </c>
      <c r="M82" s="704" t="s">
        <v>63</v>
      </c>
      <c r="N82" s="729" t="s">
        <v>63</v>
      </c>
      <c r="O82" s="619" t="s">
        <v>63</v>
      </c>
      <c r="P82" s="620">
        <f>ifna(vlookup(A82,'Population &amp; Church Numbers'!$A$700:$D$791,4,FALSE),"NULL")</f>
        <v>23</v>
      </c>
      <c r="Q82" s="674" t="s">
        <v>63</v>
      </c>
    </row>
    <row r="83">
      <c r="A83" s="609" t="s">
        <v>316</v>
      </c>
      <c r="B83" s="610">
        <f t="array" ref="B83">VLOOKUP($A83,IN_DEMO,2,FALSE)</f>
        <v>7087</v>
      </c>
      <c r="C83" s="611">
        <f>VLOOKUP($A83,'IN Data'!$A$5:$N$96,5,FALSE)</f>
        <v>2</v>
      </c>
      <c r="D83" s="612" t="s">
        <v>63</v>
      </c>
      <c r="E83" s="612">
        <f>VLOOKUP($A83,'IN Data'!$A$5:$N$96,9,FALSE)</f>
        <v>0</v>
      </c>
      <c r="F83" s="612">
        <f>VLOOKUP($A83,'IN Data'!$A$5:$N$96,7,FALSE)</f>
        <v>2</v>
      </c>
      <c r="G83" s="612" t="s">
        <v>63</v>
      </c>
      <c r="H83" s="671" t="s">
        <v>63</v>
      </c>
      <c r="I83" s="614" t="s">
        <v>63</v>
      </c>
      <c r="J83" s="615" t="s">
        <v>63</v>
      </c>
      <c r="K83" s="672" t="s">
        <v>63</v>
      </c>
      <c r="L83" s="728">
        <f>VLOOKUP($A83,'IN Data'!$A$5:$N$96,3,FALSE)</f>
        <v>2</v>
      </c>
      <c r="M83" s="704" t="s">
        <v>63</v>
      </c>
      <c r="N83" s="729" t="s">
        <v>63</v>
      </c>
      <c r="O83" s="619" t="s">
        <v>63</v>
      </c>
      <c r="P83" s="620">
        <f>ifna(vlookup(A83,'Population &amp; Church Numbers'!$A$700:$D$791,4,FALSE),"NULL")</f>
        <v>5</v>
      </c>
      <c r="Q83" s="674" t="s">
        <v>63</v>
      </c>
    </row>
    <row r="84">
      <c r="A84" s="609" t="s">
        <v>866</v>
      </c>
      <c r="B84" s="610">
        <f t="array" ref="B84">VLOOKUP($A84,IN_DEMO,2,FALSE)</f>
        <v>180136</v>
      </c>
      <c r="C84" s="611">
        <f>VLOOKUP($A84,'IN Data'!$A$5:$N$96,5,FALSE)</f>
        <v>435</v>
      </c>
      <c r="D84" s="612" t="s">
        <v>63</v>
      </c>
      <c r="E84" s="612">
        <f>VLOOKUP($A84,'IN Data'!$A$5:$N$96,9,FALSE)</f>
        <v>134</v>
      </c>
      <c r="F84" s="612">
        <f>VLOOKUP($A84,'IN Data'!$A$5:$N$96,7,FALSE)</f>
        <v>271</v>
      </c>
      <c r="G84" s="612" t="s">
        <v>63</v>
      </c>
      <c r="H84" s="671" t="s">
        <v>63</v>
      </c>
      <c r="I84" s="614" t="s">
        <v>63</v>
      </c>
      <c r="J84" s="615" t="s">
        <v>63</v>
      </c>
      <c r="K84" s="672" t="s">
        <v>63</v>
      </c>
      <c r="L84" s="728">
        <f>VLOOKUP($A84,'IN Data'!$A$5:$N$96,3,FALSE)</f>
        <v>290</v>
      </c>
      <c r="M84" s="704" t="s">
        <v>63</v>
      </c>
      <c r="N84" s="729" t="s">
        <v>63</v>
      </c>
      <c r="O84" s="619" t="s">
        <v>63</v>
      </c>
      <c r="P84" s="620">
        <f>ifna(vlookup(A84,'Population &amp; Church Numbers'!$A$700:$D$791,4,FALSE),"NULL")</f>
        <v>168</v>
      </c>
      <c r="Q84" s="674" t="s">
        <v>63</v>
      </c>
    </row>
    <row r="85">
      <c r="A85" s="609" t="s">
        <v>868</v>
      </c>
      <c r="B85" s="610">
        <f t="array" ref="B85">VLOOKUP($A85,IN_DEMO,2,FALSE)</f>
        <v>15439</v>
      </c>
      <c r="C85" s="611">
        <f>VLOOKUP($A85,'IN Data'!$A$5:$N$96,5,FALSE)</f>
        <v>22</v>
      </c>
      <c r="D85" s="612" t="s">
        <v>63</v>
      </c>
      <c r="E85" s="612">
        <f>VLOOKUP($A85,'IN Data'!$A$5:$N$96,9,FALSE)</f>
        <v>10</v>
      </c>
      <c r="F85" s="612">
        <f>VLOOKUP($A85,'IN Data'!$A$5:$N$96,7,FALSE)</f>
        <v>9</v>
      </c>
      <c r="G85" s="612" t="s">
        <v>63</v>
      </c>
      <c r="H85" s="671" t="s">
        <v>63</v>
      </c>
      <c r="I85" s="614" t="s">
        <v>63</v>
      </c>
      <c r="J85" s="615" t="s">
        <v>63</v>
      </c>
      <c r="K85" s="672" t="s">
        <v>63</v>
      </c>
      <c r="L85" s="728">
        <f>VLOOKUP($A85,'IN Data'!$A$5:$N$96,3,FALSE)</f>
        <v>9</v>
      </c>
      <c r="M85" s="704" t="s">
        <v>63</v>
      </c>
      <c r="N85" s="729" t="s">
        <v>63</v>
      </c>
      <c r="O85" s="619" t="s">
        <v>63</v>
      </c>
      <c r="P85" s="620">
        <f>ifna(vlookup(A85,'Population &amp; Church Numbers'!$A$700:$D$791,4,FALSE),"NULL")</f>
        <v>15</v>
      </c>
      <c r="Q85" s="674" t="s">
        <v>63</v>
      </c>
    </row>
    <row r="86">
      <c r="A86" s="609" t="s">
        <v>870</v>
      </c>
      <c r="B86" s="610">
        <f t="array" ref="B86">VLOOKUP($A86,IN_DEMO,2,FALSE)</f>
        <v>106153</v>
      </c>
      <c r="C86" s="611">
        <f>VLOOKUP($A86,'IN Data'!$A$5:$N$96,5,FALSE)</f>
        <v>333</v>
      </c>
      <c r="D86" s="612" t="s">
        <v>63</v>
      </c>
      <c r="E86" s="612">
        <f>VLOOKUP($A86,'IN Data'!$A$5:$N$96,9,FALSE)</f>
        <v>149</v>
      </c>
      <c r="F86" s="612">
        <f>VLOOKUP($A86,'IN Data'!$A$5:$N$96,7,FALSE)</f>
        <v>174</v>
      </c>
      <c r="G86" s="612" t="s">
        <v>63</v>
      </c>
      <c r="H86" s="671" t="s">
        <v>63</v>
      </c>
      <c r="I86" s="614" t="s">
        <v>63</v>
      </c>
      <c r="J86" s="615" t="s">
        <v>63</v>
      </c>
      <c r="K86" s="672" t="s">
        <v>63</v>
      </c>
      <c r="L86" s="728">
        <f>VLOOKUP($A86,'IN Data'!$A$5:$N$96,3,FALSE)</f>
        <v>157</v>
      </c>
      <c r="M86" s="704" t="s">
        <v>63</v>
      </c>
      <c r="N86" s="729" t="s">
        <v>63</v>
      </c>
      <c r="O86" s="619" t="s">
        <v>63</v>
      </c>
      <c r="P86" s="620">
        <f>ifna(vlookup(A86,'Population &amp; Church Numbers'!$A$700:$D$791,4,FALSE),"NULL")</f>
        <v>99</v>
      </c>
      <c r="Q86" s="674" t="s">
        <v>63</v>
      </c>
    </row>
    <row r="87">
      <c r="A87" s="609" t="s">
        <v>751</v>
      </c>
      <c r="B87" s="610">
        <f t="array" ref="B87">VLOOKUP($A87,IN_DEMO,2,FALSE)</f>
        <v>30976</v>
      </c>
      <c r="C87" s="611">
        <f>VLOOKUP($A87,'IN Data'!$A$5:$N$96,5,FALSE)</f>
        <v>12</v>
      </c>
      <c r="D87" s="612" t="s">
        <v>63</v>
      </c>
      <c r="E87" s="612">
        <f>VLOOKUP($A87,'IN Data'!$A$5:$N$96,9,FALSE)</f>
        <v>6</v>
      </c>
      <c r="F87" s="612">
        <f>VLOOKUP($A87,'IN Data'!$A$5:$N$96,7,FALSE)</f>
        <v>6</v>
      </c>
      <c r="G87" s="612" t="s">
        <v>63</v>
      </c>
      <c r="H87" s="671" t="s">
        <v>63</v>
      </c>
      <c r="I87" s="614" t="s">
        <v>63</v>
      </c>
      <c r="J87" s="615" t="s">
        <v>63</v>
      </c>
      <c r="K87" s="672" t="s">
        <v>63</v>
      </c>
      <c r="L87" s="728">
        <f>VLOOKUP($A87,'IN Data'!$A$5:$N$96,3,FALSE)</f>
        <v>3</v>
      </c>
      <c r="M87" s="704" t="s">
        <v>63</v>
      </c>
      <c r="N87" s="729" t="s">
        <v>63</v>
      </c>
      <c r="O87" s="619" t="s">
        <v>63</v>
      </c>
      <c r="P87" s="620">
        <f>ifna(vlookup(A87,'Population &amp; Church Numbers'!$A$700:$D$791,4,FALSE),"NULL")</f>
        <v>52</v>
      </c>
      <c r="Q87" s="674" t="s">
        <v>63</v>
      </c>
    </row>
    <row r="88">
      <c r="A88" s="609" t="s">
        <v>647</v>
      </c>
      <c r="B88" s="610">
        <f t="array" ref="B88">VLOOKUP($A88,IN_DEMO,2,FALSE)</f>
        <v>8440</v>
      </c>
      <c r="C88" s="611">
        <f>VLOOKUP($A88,'IN Data'!$A$5:$N$96,5,FALSE)</f>
        <v>6</v>
      </c>
      <c r="D88" s="612" t="s">
        <v>63</v>
      </c>
      <c r="E88" s="612">
        <f>VLOOKUP($A88,'IN Data'!$A$5:$N$96,9,FALSE)</f>
        <v>3</v>
      </c>
      <c r="F88" s="612">
        <f>VLOOKUP($A88,'IN Data'!$A$5:$N$96,7,FALSE)</f>
        <v>3</v>
      </c>
      <c r="G88" s="612" t="s">
        <v>63</v>
      </c>
      <c r="H88" s="671" t="s">
        <v>63</v>
      </c>
      <c r="I88" s="614" t="s">
        <v>63</v>
      </c>
      <c r="J88" s="615" t="s">
        <v>63</v>
      </c>
      <c r="K88" s="672" t="s">
        <v>63</v>
      </c>
      <c r="L88" s="728">
        <f>VLOOKUP($A88,'IN Data'!$A$5:$N$96,3,FALSE)</f>
        <v>0</v>
      </c>
      <c r="M88" s="704" t="s">
        <v>63</v>
      </c>
      <c r="N88" s="729" t="s">
        <v>63</v>
      </c>
      <c r="O88" s="619" t="s">
        <v>63</v>
      </c>
      <c r="P88" s="620">
        <f>ifna(vlookup(A88,'Population &amp; Church Numbers'!$A$700:$D$791,4,FALSE),"NULL")</f>
        <v>14</v>
      </c>
      <c r="Q88" s="674" t="s">
        <v>63</v>
      </c>
    </row>
    <row r="89">
      <c r="A89" s="609" t="s">
        <v>872</v>
      </c>
      <c r="B89" s="610">
        <f t="array" ref="B89">VLOOKUP($A89,IN_DEMO,2,FALSE)</f>
        <v>63898</v>
      </c>
      <c r="C89" s="611">
        <f>VLOOKUP($A89,'IN Data'!$A$5:$N$96,5,FALSE)</f>
        <v>53</v>
      </c>
      <c r="D89" s="612" t="s">
        <v>63</v>
      </c>
      <c r="E89" s="612">
        <f>VLOOKUP($A89,'IN Data'!$A$5:$N$96,9,FALSE)</f>
        <v>13</v>
      </c>
      <c r="F89" s="612">
        <f>VLOOKUP($A89,'IN Data'!$A$5:$N$96,7,FALSE)</f>
        <v>37</v>
      </c>
      <c r="G89" s="612" t="s">
        <v>63</v>
      </c>
      <c r="H89" s="671" t="s">
        <v>63</v>
      </c>
      <c r="I89" s="614" t="s">
        <v>63</v>
      </c>
      <c r="J89" s="615" t="s">
        <v>63</v>
      </c>
      <c r="K89" s="672" t="s">
        <v>63</v>
      </c>
      <c r="L89" s="728">
        <f>VLOOKUP($A89,'IN Data'!$A$5:$N$96,3,FALSE)</f>
        <v>61</v>
      </c>
      <c r="M89" s="704" t="s">
        <v>63</v>
      </c>
      <c r="N89" s="729" t="s">
        <v>63</v>
      </c>
      <c r="O89" s="619" t="s">
        <v>63</v>
      </c>
      <c r="P89" s="620">
        <f>ifna(vlookup(A89,'Population &amp; Church Numbers'!$A$700:$D$791,4,FALSE),"NULL")</f>
        <v>53</v>
      </c>
      <c r="Q89" s="674" t="s">
        <v>63</v>
      </c>
    </row>
    <row r="90">
      <c r="A90" s="609" t="s">
        <v>119</v>
      </c>
      <c r="B90" s="610">
        <f t="array" ref="B90">VLOOKUP($A90,IN_DEMO,2,FALSE)</f>
        <v>28182</v>
      </c>
      <c r="C90" s="611">
        <f>VLOOKUP($A90,'IN Data'!$A$5:$N$96,5,FALSE)</f>
        <v>22</v>
      </c>
      <c r="D90" s="612" t="s">
        <v>63</v>
      </c>
      <c r="E90" s="612">
        <f>VLOOKUP($A90,'IN Data'!$A$5:$N$96,9,FALSE)</f>
        <v>7</v>
      </c>
      <c r="F90" s="612">
        <f>VLOOKUP($A90,'IN Data'!$A$5:$N$96,7,FALSE)</f>
        <v>13</v>
      </c>
      <c r="G90" s="612" t="s">
        <v>63</v>
      </c>
      <c r="H90" s="671" t="s">
        <v>63</v>
      </c>
      <c r="I90" s="614" t="s">
        <v>63</v>
      </c>
      <c r="J90" s="615" t="s">
        <v>63</v>
      </c>
      <c r="K90" s="672" t="s">
        <v>63</v>
      </c>
      <c r="L90" s="728">
        <f>VLOOKUP($A90,'IN Data'!$A$5:$N$96,3,FALSE)</f>
        <v>2</v>
      </c>
      <c r="M90" s="704" t="s">
        <v>63</v>
      </c>
      <c r="N90" s="729" t="s">
        <v>63</v>
      </c>
      <c r="O90" s="619" t="s">
        <v>63</v>
      </c>
      <c r="P90" s="620">
        <f>ifna(vlookup(A90,'Population &amp; Church Numbers'!$A$700:$D$791,4,FALSE),"NULL")</f>
        <v>39</v>
      </c>
      <c r="Q90" s="674" t="s">
        <v>63</v>
      </c>
    </row>
    <row r="91">
      <c r="A91" s="609" t="s">
        <v>273</v>
      </c>
      <c r="B91" s="610">
        <f t="array" ref="B91">VLOOKUP($A91,IN_DEMO,2,FALSE)</f>
        <v>66553</v>
      </c>
      <c r="C91" s="611">
        <f>VLOOKUP($A91,'IN Data'!$A$5:$N$96,5,FALSE)</f>
        <v>139</v>
      </c>
      <c r="D91" s="612" t="s">
        <v>63</v>
      </c>
      <c r="E91" s="612">
        <f>VLOOKUP($A91,'IN Data'!$A$5:$N$96,9,FALSE)</f>
        <v>55</v>
      </c>
      <c r="F91" s="612">
        <f>VLOOKUP($A91,'IN Data'!$A$5:$N$96,7,FALSE)</f>
        <v>83</v>
      </c>
      <c r="G91" s="612" t="s">
        <v>63</v>
      </c>
      <c r="H91" s="671" t="s">
        <v>63</v>
      </c>
      <c r="I91" s="614" t="s">
        <v>63</v>
      </c>
      <c r="J91" s="615" t="s">
        <v>63</v>
      </c>
      <c r="K91" s="672" t="s">
        <v>63</v>
      </c>
      <c r="L91" s="728">
        <f>VLOOKUP($A91,'IN Data'!$A$5:$N$96,3,FALSE)</f>
        <v>10</v>
      </c>
      <c r="M91" s="704" t="s">
        <v>63</v>
      </c>
      <c r="N91" s="729" t="s">
        <v>63</v>
      </c>
      <c r="O91" s="619" t="s">
        <v>63</v>
      </c>
      <c r="P91" s="620">
        <f>ifna(vlookup(A91,'Population &amp; Church Numbers'!$A$700:$D$791,4,FALSE),"NULL")</f>
        <v>80</v>
      </c>
      <c r="Q91" s="674" t="s">
        <v>63</v>
      </c>
    </row>
    <row r="92">
      <c r="A92" s="609" t="s">
        <v>876</v>
      </c>
      <c r="B92" s="610">
        <f t="array" ref="B92">VLOOKUP($A92,IN_DEMO,2,FALSE)</f>
        <v>28180</v>
      </c>
      <c r="C92" s="611">
        <f>VLOOKUP($A92,'IN Data'!$A$5:$N$96,5,FALSE)</f>
        <v>24</v>
      </c>
      <c r="D92" s="612" t="s">
        <v>63</v>
      </c>
      <c r="E92" s="612">
        <f>VLOOKUP($A92,'IN Data'!$A$5:$N$96,9,FALSE)</f>
        <v>9</v>
      </c>
      <c r="F92" s="612">
        <f>VLOOKUP($A92,'IN Data'!$A$5:$N$96,7,FALSE)</f>
        <v>11</v>
      </c>
      <c r="G92" s="612" t="s">
        <v>63</v>
      </c>
      <c r="H92" s="671" t="s">
        <v>63</v>
      </c>
      <c r="I92" s="614" t="s">
        <v>63</v>
      </c>
      <c r="J92" s="615" t="s">
        <v>63</v>
      </c>
      <c r="K92" s="672" t="s">
        <v>63</v>
      </c>
      <c r="L92" s="728">
        <f>VLOOKUP($A92,'IN Data'!$A$5:$N$96,3,FALSE)</f>
        <v>22</v>
      </c>
      <c r="M92" s="704" t="s">
        <v>63</v>
      </c>
      <c r="N92" s="729" t="s">
        <v>63</v>
      </c>
      <c r="O92" s="619" t="s">
        <v>63</v>
      </c>
      <c r="P92" s="620">
        <f>ifna(vlookup(A92,'Population &amp; Church Numbers'!$A$700:$D$791,4,FALSE),"NULL")</f>
        <v>45</v>
      </c>
      <c r="Q92" s="674" t="s">
        <v>63</v>
      </c>
    </row>
    <row r="93">
      <c r="A93" s="609" t="s">
        <v>66</v>
      </c>
      <c r="B93" s="610">
        <f t="array" ref="B93">VLOOKUP($A93,IN_DEMO,2,FALSE)</f>
        <v>24688</v>
      </c>
      <c r="C93" s="611">
        <f>VLOOKUP($A93,'IN Data'!$A$5:$N$96,5,FALSE)</f>
        <v>28</v>
      </c>
      <c r="D93" s="612" t="s">
        <v>63</v>
      </c>
      <c r="E93" s="612">
        <f>VLOOKUP($A93,'IN Data'!$A$5:$N$96,9,FALSE)</f>
        <v>11</v>
      </c>
      <c r="F93" s="612">
        <f>VLOOKUP($A93,'IN Data'!$A$5:$N$96,7,FALSE)</f>
        <v>17</v>
      </c>
      <c r="G93" s="612" t="s">
        <v>63</v>
      </c>
      <c r="H93" s="671" t="s">
        <v>63</v>
      </c>
      <c r="I93" s="614" t="s">
        <v>63</v>
      </c>
      <c r="J93" s="615" t="s">
        <v>63</v>
      </c>
      <c r="K93" s="672" t="s">
        <v>63</v>
      </c>
      <c r="L93" s="728">
        <f>VLOOKUP($A93,'IN Data'!$A$5:$N$96,3,FALSE)</f>
        <v>13</v>
      </c>
      <c r="M93" s="704" t="s">
        <v>63</v>
      </c>
      <c r="N93" s="729" t="s">
        <v>63</v>
      </c>
      <c r="O93" s="619" t="s">
        <v>63</v>
      </c>
      <c r="P93" s="620">
        <f>ifna(vlookup(A93,'Population &amp; Church Numbers'!$A$700:$D$791,4,FALSE),"NULL")</f>
        <v>36</v>
      </c>
      <c r="Q93" s="674" t="s">
        <v>63</v>
      </c>
    </row>
    <row r="94">
      <c r="A94" s="609" t="s">
        <v>879</v>
      </c>
      <c r="B94" s="610">
        <f t="array" ref="B94">VLOOKUP($A94,IN_DEMO,2,FALSE)</f>
        <v>34191</v>
      </c>
      <c r="C94" s="611">
        <f>VLOOKUP($A94,'IN Data'!$A$5:$N$96,5,FALSE)</f>
        <v>50</v>
      </c>
      <c r="D94" s="612" t="s">
        <v>63</v>
      </c>
      <c r="E94" s="612">
        <f>VLOOKUP($A94,'IN Data'!$A$5:$N$96,9,FALSE)</f>
        <v>18</v>
      </c>
      <c r="F94" s="612">
        <f>VLOOKUP($A94,'IN Data'!$A$5:$N$96,7,FALSE)</f>
        <v>29</v>
      </c>
      <c r="G94" s="612" t="s">
        <v>63</v>
      </c>
      <c r="H94" s="671" t="s">
        <v>63</v>
      </c>
      <c r="I94" s="614" t="s">
        <v>63</v>
      </c>
      <c r="J94" s="615" t="s">
        <v>63</v>
      </c>
      <c r="K94" s="672" t="s">
        <v>63</v>
      </c>
      <c r="L94" s="728">
        <f>VLOOKUP($A94,'IN Data'!$A$5:$N$96,3,FALSE)</f>
        <v>24</v>
      </c>
      <c r="M94" s="704" t="s">
        <v>63</v>
      </c>
      <c r="N94" s="729" t="s">
        <v>63</v>
      </c>
      <c r="O94" s="619" t="s">
        <v>63</v>
      </c>
      <c r="P94" s="620">
        <f>ifna(vlookup(A94,'Population &amp; Church Numbers'!$A$700:$D$791,4,FALSE),"NULL")</f>
        <v>38</v>
      </c>
      <c r="Q94" s="674" t="s">
        <v>63</v>
      </c>
    </row>
    <row r="95">
      <c r="A95" s="217"/>
      <c r="B95" s="218"/>
      <c r="C95" s="219"/>
      <c r="D95" s="220"/>
      <c r="E95" s="220"/>
      <c r="F95" s="220"/>
      <c r="G95" s="220"/>
      <c r="H95" s="221"/>
      <c r="I95" s="222"/>
      <c r="J95" s="223"/>
      <c r="K95" s="219"/>
      <c r="L95" s="224"/>
      <c r="M95" s="225"/>
      <c r="N95" s="226"/>
      <c r="O95" s="220"/>
      <c r="P95" s="221"/>
      <c r="Q95" s="227"/>
    </row>
    <row r="96">
      <c r="A96" s="228" t="s">
        <v>2</v>
      </c>
      <c r="B96" s="229"/>
      <c r="C96" s="230">
        <f>SUM(C3:C94)</f>
        <v>9018</v>
      </c>
      <c r="D96" s="231" t="s">
        <v>63</v>
      </c>
      <c r="E96" s="231">
        <f t="shared" ref="E96:F96" si="1">SUM(E3:E94)</f>
        <v>3645</v>
      </c>
      <c r="F96" s="231">
        <f t="shared" si="1"/>
        <v>4792</v>
      </c>
      <c r="G96" s="231" t="s">
        <v>63</v>
      </c>
      <c r="H96" s="359">
        <f>AFCARSCSC!D18</f>
        <v>4531</v>
      </c>
      <c r="I96" s="237">
        <f>AFCARSCSC!C18</f>
        <v>1389</v>
      </c>
      <c r="J96" s="305" t="s">
        <v>63</v>
      </c>
      <c r="K96" s="236" t="s">
        <v>63</v>
      </c>
      <c r="L96" s="233">
        <f>SUM(L2:L94)</f>
        <v>3798</v>
      </c>
      <c r="M96" s="360" t="s">
        <v>63</v>
      </c>
      <c r="N96" s="238" t="s">
        <v>63</v>
      </c>
      <c r="O96" s="231" t="s">
        <v>63</v>
      </c>
      <c r="P96" s="233">
        <f>SUM(P3:P94)</f>
        <v>6505</v>
      </c>
      <c r="Q96" s="781" t="s">
        <v>63</v>
      </c>
    </row>
  </sheetData>
  <mergeCells count="1">
    <mergeCell ref="B1:Q1"/>
  </mergeCells>
  <drawing r:id="rId1"/>
  <tableParts count="1">
    <tablePart r:id="rId3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3.75"/>
    <col customWidth="1" min="11" max="11" width="16.0"/>
  </cols>
  <sheetData>
    <row r="1">
      <c r="A1" s="196" t="s">
        <v>1040</v>
      </c>
      <c r="B1" s="197"/>
      <c r="C1" s="197"/>
      <c r="D1" s="197"/>
      <c r="E1" s="198" t="s">
        <v>765</v>
      </c>
      <c r="F1" s="734" t="s">
        <v>2606</v>
      </c>
      <c r="G1" s="36"/>
      <c r="H1" s="36"/>
      <c r="I1" s="735" t="s">
        <v>767</v>
      </c>
      <c r="J1" s="736">
        <v>45442.0</v>
      </c>
      <c r="K1" s="735" t="s">
        <v>769</v>
      </c>
      <c r="L1" s="737">
        <v>45412.0</v>
      </c>
      <c r="M1" s="589"/>
    </row>
    <row r="2">
      <c r="A2" s="357"/>
      <c r="B2" s="738" t="s">
        <v>2607</v>
      </c>
      <c r="C2" s="36"/>
      <c r="D2" s="36"/>
      <c r="E2" s="36"/>
      <c r="F2" s="48"/>
      <c r="G2" s="738" t="s">
        <v>2608</v>
      </c>
      <c r="H2" s="36"/>
      <c r="I2" s="36"/>
      <c r="J2" s="36"/>
      <c r="K2" s="36"/>
      <c r="L2" s="36"/>
      <c r="M2" s="36"/>
      <c r="N2" s="48"/>
    </row>
    <row r="3">
      <c r="A3" s="739"/>
      <c r="B3" s="740" t="s">
        <v>923</v>
      </c>
      <c r="C3" s="741" t="s">
        <v>2609</v>
      </c>
      <c r="D3" s="742" t="s">
        <v>2610</v>
      </c>
      <c r="E3" s="743"/>
      <c r="F3" s="744"/>
      <c r="G3" s="745" t="s">
        <v>2611</v>
      </c>
      <c r="H3" s="48"/>
      <c r="I3" s="746" t="s">
        <v>2612</v>
      </c>
      <c r="J3" s="746"/>
      <c r="K3" s="741" t="s">
        <v>2613</v>
      </c>
      <c r="L3" s="747"/>
      <c r="M3" s="741" t="s">
        <v>1715</v>
      </c>
      <c r="N3" s="747"/>
    </row>
    <row r="4">
      <c r="A4" s="739"/>
      <c r="B4" s="748" t="s">
        <v>2607</v>
      </c>
      <c r="C4" s="749" t="s">
        <v>2163</v>
      </c>
      <c r="D4" s="749" t="s">
        <v>2165</v>
      </c>
      <c r="E4" s="749" t="s">
        <v>2163</v>
      </c>
      <c r="F4" s="750" t="s">
        <v>2165</v>
      </c>
      <c r="G4" s="749" t="s">
        <v>2163</v>
      </c>
      <c r="H4" s="751" t="s">
        <v>2165</v>
      </c>
      <c r="I4" s="751" t="s">
        <v>2163</v>
      </c>
      <c r="J4" s="751" t="s">
        <v>2165</v>
      </c>
      <c r="K4" s="751" t="s">
        <v>2163</v>
      </c>
      <c r="L4" s="752" t="s">
        <v>2165</v>
      </c>
      <c r="M4" s="751" t="s">
        <v>2163</v>
      </c>
      <c r="N4" s="753" t="s">
        <v>2165</v>
      </c>
    </row>
    <row r="5">
      <c r="A5" s="603" t="s">
        <v>337</v>
      </c>
      <c r="B5" s="754">
        <v>674.0</v>
      </c>
      <c r="C5" s="755">
        <v>248.0</v>
      </c>
      <c r="D5" s="755">
        <v>36.8</v>
      </c>
      <c r="E5" s="755">
        <v>426.0</v>
      </c>
      <c r="F5" s="755">
        <v>63.2</v>
      </c>
      <c r="G5" s="755">
        <v>181.0</v>
      </c>
      <c r="H5" s="755">
        <v>42.5</v>
      </c>
      <c r="I5" s="755">
        <v>208.0</v>
      </c>
      <c r="J5" s="755">
        <v>48.8</v>
      </c>
      <c r="K5" s="756">
        <v>20.0</v>
      </c>
      <c r="L5" s="756">
        <v>4.7</v>
      </c>
      <c r="M5" s="756">
        <v>17.0</v>
      </c>
      <c r="N5" s="756">
        <v>4.0</v>
      </c>
    </row>
    <row r="6">
      <c r="A6" s="546" t="s">
        <v>243</v>
      </c>
      <c r="B6" s="757">
        <v>21.0</v>
      </c>
      <c r="C6" s="758">
        <v>15.0</v>
      </c>
      <c r="D6" s="758">
        <v>71.4</v>
      </c>
      <c r="E6" s="758">
        <v>6.0</v>
      </c>
      <c r="F6" s="758">
        <v>28.6</v>
      </c>
      <c r="G6" s="758">
        <v>3.0</v>
      </c>
      <c r="H6" s="758">
        <v>50.0</v>
      </c>
      <c r="I6" s="758">
        <v>2.0</v>
      </c>
      <c r="J6" s="758">
        <v>33.3</v>
      </c>
      <c r="K6" s="758">
        <v>0.0</v>
      </c>
      <c r="L6" s="758">
        <v>0.0</v>
      </c>
      <c r="M6" s="758">
        <v>1.0</v>
      </c>
      <c r="N6" s="758">
        <v>16.7</v>
      </c>
    </row>
    <row r="7">
      <c r="A7" s="546" t="s">
        <v>593</v>
      </c>
      <c r="B7" s="759">
        <v>47.0</v>
      </c>
      <c r="C7" s="760">
        <v>14.0</v>
      </c>
      <c r="D7" s="760">
        <v>29.8</v>
      </c>
      <c r="E7" s="761">
        <v>33.0</v>
      </c>
      <c r="F7" s="758">
        <v>70.2</v>
      </c>
      <c r="G7" s="758">
        <v>25.0</v>
      </c>
      <c r="H7" s="760">
        <v>75.8</v>
      </c>
      <c r="I7" s="760">
        <v>6.0</v>
      </c>
      <c r="J7" s="760">
        <v>18.2</v>
      </c>
      <c r="K7" s="760">
        <v>1.0</v>
      </c>
      <c r="L7" s="760">
        <v>3.0</v>
      </c>
      <c r="M7" s="760">
        <v>1.0</v>
      </c>
      <c r="N7" s="760">
        <v>3.0</v>
      </c>
    </row>
    <row r="8">
      <c r="A8" s="546" t="s">
        <v>790</v>
      </c>
      <c r="B8" s="759">
        <v>242.0</v>
      </c>
      <c r="C8" s="760">
        <v>56.0</v>
      </c>
      <c r="D8" s="760">
        <v>23.1</v>
      </c>
      <c r="E8" s="761">
        <v>186.0</v>
      </c>
      <c r="F8" s="758">
        <v>76.9</v>
      </c>
      <c r="G8" s="758">
        <v>115.0</v>
      </c>
      <c r="H8" s="760">
        <v>61.8</v>
      </c>
      <c r="I8" s="760">
        <v>55.0</v>
      </c>
      <c r="J8" s="760">
        <v>29.6</v>
      </c>
      <c r="K8" s="760">
        <v>7.0</v>
      </c>
      <c r="L8" s="760">
        <v>3.8</v>
      </c>
      <c r="M8" s="760">
        <v>9.0</v>
      </c>
      <c r="N8" s="760">
        <v>4.8</v>
      </c>
    </row>
    <row r="9">
      <c r="A9" s="546" t="s">
        <v>297</v>
      </c>
      <c r="B9" s="759">
        <v>26.0</v>
      </c>
      <c r="C9" s="760">
        <v>10.0</v>
      </c>
      <c r="D9" s="760">
        <v>38.5</v>
      </c>
      <c r="E9" s="761">
        <v>16.0</v>
      </c>
      <c r="F9" s="758">
        <v>61.5</v>
      </c>
      <c r="G9" s="758">
        <v>8.0</v>
      </c>
      <c r="H9" s="760">
        <v>50.0</v>
      </c>
      <c r="I9" s="760">
        <v>8.0</v>
      </c>
      <c r="J9" s="760">
        <v>50.0</v>
      </c>
      <c r="K9" s="760">
        <v>0.0</v>
      </c>
      <c r="L9" s="760">
        <v>0.0</v>
      </c>
      <c r="M9" s="760">
        <v>0.0</v>
      </c>
      <c r="N9" s="760">
        <v>0.0</v>
      </c>
    </row>
    <row r="10">
      <c r="A10" s="546" t="s">
        <v>819</v>
      </c>
      <c r="B10" s="759">
        <v>100.0</v>
      </c>
      <c r="C10" s="760">
        <v>31.0</v>
      </c>
      <c r="D10" s="760">
        <v>31.0</v>
      </c>
      <c r="E10" s="761">
        <v>69.0</v>
      </c>
      <c r="F10" s="758">
        <v>69.0</v>
      </c>
      <c r="G10" s="758">
        <v>20.0</v>
      </c>
      <c r="H10" s="760">
        <v>29.0</v>
      </c>
      <c r="I10" s="760">
        <v>42.0</v>
      </c>
      <c r="J10" s="760">
        <v>60.9</v>
      </c>
      <c r="K10" s="760">
        <v>5.0</v>
      </c>
      <c r="L10" s="760">
        <v>7.2</v>
      </c>
      <c r="M10" s="760">
        <v>2.0</v>
      </c>
      <c r="N10" s="760">
        <v>2.9</v>
      </c>
    </row>
    <row r="11">
      <c r="A11" s="546" t="s">
        <v>305</v>
      </c>
      <c r="B11" s="762">
        <v>21.0</v>
      </c>
      <c r="C11" s="763">
        <v>7.0</v>
      </c>
      <c r="D11" s="763">
        <v>33.3</v>
      </c>
      <c r="E11" s="758">
        <v>14.0</v>
      </c>
      <c r="F11" s="758">
        <v>66.7</v>
      </c>
      <c r="G11" s="758">
        <v>7.0</v>
      </c>
      <c r="H11" s="760">
        <v>50.0</v>
      </c>
      <c r="I11" s="760">
        <v>4.0</v>
      </c>
      <c r="J11" s="760">
        <v>28.6</v>
      </c>
      <c r="K11" s="760">
        <v>0.0</v>
      </c>
      <c r="L11" s="760">
        <v>0.0</v>
      </c>
      <c r="M11" s="760">
        <v>3.0</v>
      </c>
      <c r="N11" s="760">
        <v>21.4</v>
      </c>
    </row>
    <row r="12">
      <c r="A12" s="546" t="s">
        <v>856</v>
      </c>
      <c r="B12" s="757">
        <v>33.0</v>
      </c>
      <c r="C12" s="758">
        <v>5.0</v>
      </c>
      <c r="D12" s="758">
        <v>15.2</v>
      </c>
      <c r="E12" s="758">
        <v>28.0</v>
      </c>
      <c r="F12" s="758">
        <v>84.8</v>
      </c>
      <c r="G12" s="758">
        <v>20.0</v>
      </c>
      <c r="H12" s="763">
        <v>71.4</v>
      </c>
      <c r="I12" s="763">
        <v>6.0</v>
      </c>
      <c r="J12" s="763">
        <v>21.4</v>
      </c>
      <c r="K12" s="763">
        <v>1.0</v>
      </c>
      <c r="L12" s="763">
        <v>3.6</v>
      </c>
      <c r="M12" s="763">
        <v>1.0</v>
      </c>
      <c r="N12" s="763">
        <v>3.6</v>
      </c>
    </row>
    <row r="13">
      <c r="A13" s="546" t="s">
        <v>761</v>
      </c>
      <c r="B13" s="757">
        <v>217.0</v>
      </c>
      <c r="C13" s="758">
        <v>55.0</v>
      </c>
      <c r="D13" s="758">
        <v>25.3</v>
      </c>
      <c r="E13" s="758">
        <v>162.0</v>
      </c>
      <c r="F13" s="758">
        <v>74.7</v>
      </c>
      <c r="G13" s="758">
        <v>102.0</v>
      </c>
      <c r="H13" s="758">
        <v>63.0</v>
      </c>
      <c r="I13" s="758">
        <v>47.0</v>
      </c>
      <c r="J13" s="758">
        <v>29.0</v>
      </c>
      <c r="K13" s="758">
        <v>7.0</v>
      </c>
      <c r="L13" s="758">
        <v>4.3</v>
      </c>
      <c r="M13" s="758">
        <v>6.0</v>
      </c>
      <c r="N13" s="758">
        <v>3.7</v>
      </c>
    </row>
    <row r="14">
      <c r="A14" s="546" t="s">
        <v>788</v>
      </c>
      <c r="B14" s="759">
        <v>97.0</v>
      </c>
      <c r="C14" s="760">
        <v>23.0</v>
      </c>
      <c r="D14" s="760">
        <v>23.7</v>
      </c>
      <c r="E14" s="760">
        <v>74.0</v>
      </c>
      <c r="F14" s="761">
        <v>76.3</v>
      </c>
      <c r="G14" s="758">
        <v>48.0</v>
      </c>
      <c r="H14" s="760">
        <v>64.9</v>
      </c>
      <c r="I14" s="760">
        <v>22.0</v>
      </c>
      <c r="J14" s="760">
        <v>29.7</v>
      </c>
      <c r="K14" s="760">
        <v>2.0</v>
      </c>
      <c r="L14" s="760">
        <v>2.7</v>
      </c>
      <c r="M14" s="760">
        <v>2.0</v>
      </c>
      <c r="N14" s="760">
        <v>2.7</v>
      </c>
    </row>
    <row r="15">
      <c r="A15" s="546" t="s">
        <v>154</v>
      </c>
      <c r="B15" s="762">
        <v>52.0</v>
      </c>
      <c r="C15" s="763">
        <v>27.0</v>
      </c>
      <c r="D15" s="763">
        <v>51.9</v>
      </c>
      <c r="E15" s="763">
        <v>25.0</v>
      </c>
      <c r="F15" s="758">
        <v>48.1</v>
      </c>
      <c r="G15" s="758">
        <v>18.0</v>
      </c>
      <c r="H15" s="760">
        <v>72.0</v>
      </c>
      <c r="I15" s="760">
        <v>7.0</v>
      </c>
      <c r="J15" s="760">
        <v>28.0</v>
      </c>
      <c r="K15" s="760">
        <v>0.0</v>
      </c>
      <c r="L15" s="760">
        <v>0.0</v>
      </c>
      <c r="M15" s="760">
        <v>0.0</v>
      </c>
      <c r="N15" s="760">
        <v>0.0</v>
      </c>
    </row>
    <row r="16">
      <c r="A16" s="546" t="s">
        <v>2614</v>
      </c>
      <c r="B16" s="757">
        <v>575.0</v>
      </c>
      <c r="C16" s="758">
        <v>213.0</v>
      </c>
      <c r="D16" s="758">
        <v>37.0</v>
      </c>
      <c r="E16" s="758">
        <v>362.0</v>
      </c>
      <c r="F16" s="758">
        <v>63.0</v>
      </c>
      <c r="G16" s="758">
        <v>182.0</v>
      </c>
      <c r="H16" s="763">
        <v>50.3</v>
      </c>
      <c r="I16" s="763">
        <v>164.0</v>
      </c>
      <c r="J16" s="763">
        <v>45.3</v>
      </c>
      <c r="K16" s="763">
        <v>13.0</v>
      </c>
      <c r="L16" s="763">
        <v>3.6</v>
      </c>
      <c r="M16" s="763">
        <v>3.0</v>
      </c>
      <c r="N16" s="763">
        <v>0.8</v>
      </c>
    </row>
    <row r="17">
      <c r="A17" s="546" t="s">
        <v>755</v>
      </c>
      <c r="B17" s="757">
        <v>783.0</v>
      </c>
      <c r="C17" s="758">
        <v>219.0</v>
      </c>
      <c r="D17" s="758">
        <v>28.0</v>
      </c>
      <c r="E17" s="758">
        <v>564.0</v>
      </c>
      <c r="F17" s="758">
        <v>72.0</v>
      </c>
      <c r="G17" s="758">
        <v>312.0</v>
      </c>
      <c r="H17" s="758">
        <v>55.3</v>
      </c>
      <c r="I17" s="758">
        <v>226.0</v>
      </c>
      <c r="J17" s="758">
        <v>40.1</v>
      </c>
      <c r="K17" s="758">
        <v>11.0</v>
      </c>
      <c r="L17" s="758">
        <v>2.0</v>
      </c>
      <c r="M17" s="758">
        <v>15.0</v>
      </c>
      <c r="N17" s="758">
        <v>2.7</v>
      </c>
    </row>
    <row r="18">
      <c r="A18" s="546" t="s">
        <v>131</v>
      </c>
      <c r="B18" s="759">
        <v>65.0</v>
      </c>
      <c r="C18" s="760">
        <v>19.0</v>
      </c>
      <c r="D18" s="760">
        <v>29.2</v>
      </c>
      <c r="E18" s="761">
        <v>46.0</v>
      </c>
      <c r="F18" s="758">
        <v>70.8</v>
      </c>
      <c r="G18" s="758">
        <v>28.0</v>
      </c>
      <c r="H18" s="760">
        <v>60.9</v>
      </c>
      <c r="I18" s="760">
        <v>16.0</v>
      </c>
      <c r="J18" s="760">
        <v>34.8</v>
      </c>
      <c r="K18" s="760">
        <v>1.0</v>
      </c>
      <c r="L18" s="760">
        <v>2.2</v>
      </c>
      <c r="M18" s="760">
        <v>1.0</v>
      </c>
      <c r="N18" s="760">
        <v>2.2</v>
      </c>
    </row>
    <row r="19">
      <c r="A19" s="546" t="s">
        <v>2605</v>
      </c>
      <c r="B19" s="759">
        <v>37.0</v>
      </c>
      <c r="C19" s="760">
        <v>10.0</v>
      </c>
      <c r="D19" s="760">
        <v>27.0</v>
      </c>
      <c r="E19" s="761">
        <v>27.0</v>
      </c>
      <c r="F19" s="758">
        <v>73.0</v>
      </c>
      <c r="G19" s="758">
        <v>19.0</v>
      </c>
      <c r="H19" s="760">
        <v>70.4</v>
      </c>
      <c r="I19" s="760">
        <v>7.0</v>
      </c>
      <c r="J19" s="760">
        <v>25.9</v>
      </c>
      <c r="K19" s="760">
        <v>1.0</v>
      </c>
      <c r="L19" s="760">
        <v>3.7</v>
      </c>
      <c r="M19" s="760">
        <v>0.0</v>
      </c>
      <c r="N19" s="760">
        <v>0.0</v>
      </c>
    </row>
    <row r="20">
      <c r="A20" s="546" t="s">
        <v>793</v>
      </c>
      <c r="B20" s="759">
        <v>23.0</v>
      </c>
      <c r="C20" s="760">
        <v>7.0</v>
      </c>
      <c r="D20" s="760">
        <v>30.4</v>
      </c>
      <c r="E20" s="761">
        <v>16.0</v>
      </c>
      <c r="F20" s="758">
        <v>69.6</v>
      </c>
      <c r="G20" s="758">
        <v>10.0</v>
      </c>
      <c r="H20" s="760">
        <v>62.5</v>
      </c>
      <c r="I20" s="760">
        <v>5.0</v>
      </c>
      <c r="J20" s="760">
        <v>31.3</v>
      </c>
      <c r="K20" s="760">
        <v>0.0</v>
      </c>
      <c r="L20" s="760">
        <v>0.0</v>
      </c>
      <c r="M20" s="760">
        <v>1.0</v>
      </c>
      <c r="N20" s="760">
        <v>6.3</v>
      </c>
    </row>
    <row r="21">
      <c r="A21" s="546" t="s">
        <v>859</v>
      </c>
      <c r="B21" s="762">
        <v>54.0</v>
      </c>
      <c r="C21" s="763">
        <v>30.0</v>
      </c>
      <c r="D21" s="763">
        <v>55.6</v>
      </c>
      <c r="E21" s="758">
        <v>24.0</v>
      </c>
      <c r="F21" s="758">
        <v>44.4</v>
      </c>
      <c r="G21" s="758">
        <v>18.0</v>
      </c>
      <c r="H21" s="760">
        <v>75.0</v>
      </c>
      <c r="I21" s="760">
        <v>3.0</v>
      </c>
      <c r="J21" s="760">
        <v>12.5</v>
      </c>
      <c r="K21" s="760">
        <v>1.0</v>
      </c>
      <c r="L21" s="760">
        <v>4.2</v>
      </c>
      <c r="M21" s="760">
        <v>2.0</v>
      </c>
      <c r="N21" s="760">
        <v>8.3</v>
      </c>
    </row>
    <row r="22">
      <c r="A22" s="546" t="s">
        <v>879</v>
      </c>
      <c r="B22" s="757">
        <v>74.0</v>
      </c>
      <c r="C22" s="758">
        <v>24.0</v>
      </c>
      <c r="D22" s="758">
        <v>32.4</v>
      </c>
      <c r="E22" s="758">
        <v>50.0</v>
      </c>
      <c r="F22" s="758">
        <v>67.6</v>
      </c>
      <c r="G22" s="758">
        <v>29.0</v>
      </c>
      <c r="H22" s="763">
        <v>58.0</v>
      </c>
      <c r="I22" s="763">
        <v>18.0</v>
      </c>
      <c r="J22" s="763">
        <v>36.0</v>
      </c>
      <c r="K22" s="763">
        <v>1.0</v>
      </c>
      <c r="L22" s="763">
        <v>2.0</v>
      </c>
      <c r="M22" s="763">
        <v>2.0</v>
      </c>
      <c r="N22" s="763">
        <v>4.0</v>
      </c>
    </row>
    <row r="23">
      <c r="A23" s="546" t="s">
        <v>248</v>
      </c>
      <c r="B23" s="757">
        <v>15.0</v>
      </c>
      <c r="C23" s="758">
        <v>4.0</v>
      </c>
      <c r="D23" s="758">
        <v>26.7</v>
      </c>
      <c r="E23" s="758">
        <v>11.0</v>
      </c>
      <c r="F23" s="758">
        <v>73.3</v>
      </c>
      <c r="G23" s="758">
        <v>8.0</v>
      </c>
      <c r="H23" s="758">
        <v>72.7</v>
      </c>
      <c r="I23" s="758">
        <v>3.0</v>
      </c>
      <c r="J23" s="758">
        <v>27.3</v>
      </c>
      <c r="K23" s="758">
        <v>0.0</v>
      </c>
      <c r="L23" s="758">
        <v>0.0</v>
      </c>
      <c r="M23" s="758">
        <v>0.0</v>
      </c>
      <c r="N23" s="758">
        <v>0.0</v>
      </c>
    </row>
    <row r="24">
      <c r="A24" s="546" t="s">
        <v>711</v>
      </c>
      <c r="B24" s="759">
        <v>49.0</v>
      </c>
      <c r="C24" s="760">
        <v>24.0</v>
      </c>
      <c r="D24" s="760">
        <v>49.0</v>
      </c>
      <c r="E24" s="760">
        <v>25.0</v>
      </c>
      <c r="F24" s="761">
        <v>51.0</v>
      </c>
      <c r="G24" s="758">
        <v>15.0</v>
      </c>
      <c r="H24" s="760">
        <v>60.0</v>
      </c>
      <c r="I24" s="760">
        <v>9.0</v>
      </c>
      <c r="J24" s="760">
        <v>36.0</v>
      </c>
      <c r="K24" s="760">
        <v>1.0</v>
      </c>
      <c r="L24" s="760">
        <v>4.0</v>
      </c>
      <c r="M24" s="760">
        <v>0.0</v>
      </c>
      <c r="N24" s="760">
        <v>0.0</v>
      </c>
    </row>
    <row r="25">
      <c r="A25" s="546" t="s">
        <v>762</v>
      </c>
      <c r="B25" s="759">
        <v>16.0</v>
      </c>
      <c r="C25" s="760">
        <v>3.0</v>
      </c>
      <c r="D25" s="760">
        <v>18.8</v>
      </c>
      <c r="E25" s="760">
        <v>13.0</v>
      </c>
      <c r="F25" s="761">
        <v>81.3</v>
      </c>
      <c r="G25" s="758">
        <v>8.0</v>
      </c>
      <c r="H25" s="760">
        <v>61.5</v>
      </c>
      <c r="I25" s="760">
        <v>2.0</v>
      </c>
      <c r="J25" s="760">
        <v>15.4</v>
      </c>
      <c r="K25" s="760">
        <v>2.0</v>
      </c>
      <c r="L25" s="760">
        <v>15.4</v>
      </c>
      <c r="M25" s="760">
        <v>1.0</v>
      </c>
      <c r="N25" s="760">
        <v>7.7</v>
      </c>
    </row>
    <row r="26">
      <c r="A26" s="546" t="s">
        <v>864</v>
      </c>
      <c r="B26" s="759">
        <v>200.0</v>
      </c>
      <c r="C26" s="760">
        <v>48.0</v>
      </c>
      <c r="D26" s="760">
        <v>24.0</v>
      </c>
      <c r="E26" s="760">
        <v>152.0</v>
      </c>
      <c r="F26" s="761">
        <v>76.0</v>
      </c>
      <c r="G26" s="758">
        <v>62.0</v>
      </c>
      <c r="H26" s="760">
        <v>40.8</v>
      </c>
      <c r="I26" s="760">
        <v>77.0</v>
      </c>
      <c r="J26" s="760">
        <v>50.7</v>
      </c>
      <c r="K26" s="760">
        <v>10.0</v>
      </c>
      <c r="L26" s="760">
        <v>6.6</v>
      </c>
      <c r="M26" s="760">
        <v>3.0</v>
      </c>
      <c r="N26" s="760">
        <v>2.0</v>
      </c>
    </row>
    <row r="27">
      <c r="A27" s="546" t="s">
        <v>647</v>
      </c>
      <c r="B27" s="762">
        <v>6.0</v>
      </c>
      <c r="C27" s="763">
        <v>0.0</v>
      </c>
      <c r="D27" s="763">
        <v>0.0</v>
      </c>
      <c r="E27" s="763">
        <v>6.0</v>
      </c>
      <c r="F27" s="758">
        <v>100.0</v>
      </c>
      <c r="G27" s="758">
        <v>3.0</v>
      </c>
      <c r="H27" s="760">
        <v>50.0</v>
      </c>
      <c r="I27" s="760">
        <v>3.0</v>
      </c>
      <c r="J27" s="760">
        <v>50.0</v>
      </c>
      <c r="K27" s="760">
        <v>0.0</v>
      </c>
      <c r="L27" s="760">
        <v>0.0</v>
      </c>
      <c r="M27" s="760">
        <v>0.0</v>
      </c>
      <c r="N27" s="760">
        <v>0.0</v>
      </c>
    </row>
    <row r="28">
      <c r="A28" s="546" t="s">
        <v>66</v>
      </c>
      <c r="B28" s="757">
        <v>41.0</v>
      </c>
      <c r="C28" s="758">
        <v>13.0</v>
      </c>
      <c r="D28" s="758">
        <v>31.7</v>
      </c>
      <c r="E28" s="758">
        <v>28.0</v>
      </c>
      <c r="F28" s="758">
        <v>68.3</v>
      </c>
      <c r="G28" s="758">
        <v>17.0</v>
      </c>
      <c r="H28" s="760">
        <v>60.7</v>
      </c>
      <c r="I28" s="760">
        <v>11.0</v>
      </c>
      <c r="J28" s="760">
        <v>39.3</v>
      </c>
      <c r="K28" s="760">
        <v>0.0</v>
      </c>
      <c r="L28" s="760">
        <v>0.0</v>
      </c>
      <c r="M28" s="760">
        <v>0.0</v>
      </c>
      <c r="N28" s="760">
        <v>0.0</v>
      </c>
    </row>
    <row r="29">
      <c r="A29" s="546" t="s">
        <v>708</v>
      </c>
      <c r="B29" s="757">
        <v>79.0</v>
      </c>
      <c r="C29" s="758">
        <v>44.0</v>
      </c>
      <c r="D29" s="758">
        <v>55.7</v>
      </c>
      <c r="E29" s="758">
        <v>35.0</v>
      </c>
      <c r="F29" s="758">
        <v>44.3</v>
      </c>
      <c r="G29" s="758">
        <v>18.0</v>
      </c>
      <c r="H29" s="760">
        <v>51.4</v>
      </c>
      <c r="I29" s="760">
        <v>16.0</v>
      </c>
      <c r="J29" s="760">
        <v>45.7</v>
      </c>
      <c r="K29" s="760">
        <v>1.0</v>
      </c>
      <c r="L29" s="760">
        <v>2.9</v>
      </c>
      <c r="M29" s="760">
        <v>0.0</v>
      </c>
      <c r="N29" s="760">
        <v>0.0</v>
      </c>
    </row>
    <row r="30">
      <c r="A30" s="764" t="s">
        <v>275</v>
      </c>
      <c r="B30" s="759">
        <v>41.0</v>
      </c>
      <c r="C30" s="760">
        <v>14.0</v>
      </c>
      <c r="D30" s="760">
        <v>34.1</v>
      </c>
      <c r="E30" s="760">
        <v>27.0</v>
      </c>
      <c r="F30" s="761">
        <v>65.9</v>
      </c>
      <c r="G30" s="758">
        <v>12.0</v>
      </c>
      <c r="H30" s="760">
        <v>44.4</v>
      </c>
      <c r="I30" s="760">
        <v>12.0</v>
      </c>
      <c r="J30" s="760">
        <v>44.4</v>
      </c>
      <c r="K30" s="760">
        <v>2.0</v>
      </c>
      <c r="L30" s="760">
        <v>7.4</v>
      </c>
      <c r="M30" s="760">
        <v>1.0</v>
      </c>
      <c r="N30" s="760">
        <v>3.7</v>
      </c>
    </row>
    <row r="31">
      <c r="A31" s="764" t="s">
        <v>283</v>
      </c>
      <c r="B31" s="759">
        <v>156.0</v>
      </c>
      <c r="C31" s="760">
        <v>27.0</v>
      </c>
      <c r="D31" s="760">
        <v>17.3</v>
      </c>
      <c r="E31" s="760">
        <v>129.0</v>
      </c>
      <c r="F31" s="761">
        <v>82.7</v>
      </c>
      <c r="G31" s="758">
        <v>68.0</v>
      </c>
      <c r="H31" s="760">
        <v>52.7</v>
      </c>
      <c r="I31" s="760">
        <v>56.0</v>
      </c>
      <c r="J31" s="760">
        <v>43.4</v>
      </c>
      <c r="K31" s="760">
        <v>5.0</v>
      </c>
      <c r="L31" s="760">
        <v>3.9</v>
      </c>
      <c r="M31" s="760">
        <v>0.0</v>
      </c>
      <c r="N31" s="760">
        <v>0.0</v>
      </c>
    </row>
    <row r="32">
      <c r="A32" s="764" t="s">
        <v>785</v>
      </c>
      <c r="B32" s="759">
        <v>68.0</v>
      </c>
      <c r="C32" s="760">
        <v>17.0</v>
      </c>
      <c r="D32" s="760">
        <v>25.0</v>
      </c>
      <c r="E32" s="760">
        <v>51.0</v>
      </c>
      <c r="F32" s="761">
        <v>75.0</v>
      </c>
      <c r="G32" s="758">
        <v>30.0</v>
      </c>
      <c r="H32" s="760">
        <v>58.8</v>
      </c>
      <c r="I32" s="760">
        <v>19.0</v>
      </c>
      <c r="J32" s="760">
        <v>37.3</v>
      </c>
      <c r="K32" s="760">
        <v>1.0</v>
      </c>
      <c r="L32" s="760">
        <v>2.0</v>
      </c>
      <c r="M32" s="760">
        <v>1.0</v>
      </c>
      <c r="N32" s="760">
        <v>2.0</v>
      </c>
    </row>
    <row r="33">
      <c r="A33" s="764" t="s">
        <v>791</v>
      </c>
      <c r="B33" s="762">
        <v>68.0</v>
      </c>
      <c r="C33" s="763">
        <v>15.0</v>
      </c>
      <c r="D33" s="763">
        <v>22.1</v>
      </c>
      <c r="E33" s="763">
        <v>53.0</v>
      </c>
      <c r="F33" s="758">
        <v>77.9</v>
      </c>
      <c r="G33" s="758">
        <v>32.0</v>
      </c>
      <c r="H33" s="763">
        <v>60.4</v>
      </c>
      <c r="I33" s="763">
        <v>18.0</v>
      </c>
      <c r="J33" s="763">
        <v>34.0</v>
      </c>
      <c r="K33" s="763">
        <v>1.0</v>
      </c>
      <c r="L33" s="763">
        <v>1.9</v>
      </c>
      <c r="M33" s="763">
        <v>2.0</v>
      </c>
      <c r="N33" s="763">
        <v>3.8</v>
      </c>
    </row>
    <row r="34">
      <c r="A34" s="546" t="s">
        <v>751</v>
      </c>
      <c r="B34" s="757">
        <v>15.0</v>
      </c>
      <c r="C34" s="758">
        <v>3.0</v>
      </c>
      <c r="D34" s="758">
        <v>20.0</v>
      </c>
      <c r="E34" s="758">
        <v>12.0</v>
      </c>
      <c r="F34" s="758">
        <v>80.0</v>
      </c>
      <c r="G34" s="758">
        <v>6.0</v>
      </c>
      <c r="H34" s="758">
        <v>50.0</v>
      </c>
      <c r="I34" s="758">
        <v>6.0</v>
      </c>
      <c r="J34" s="758">
        <v>50.0</v>
      </c>
      <c r="K34" s="758">
        <v>0.0</v>
      </c>
      <c r="L34" s="758">
        <v>0.0</v>
      </c>
      <c r="M34" s="758">
        <v>0.0</v>
      </c>
      <c r="N34" s="758">
        <v>0.0</v>
      </c>
    </row>
    <row r="35">
      <c r="A35" s="546" t="s">
        <v>386</v>
      </c>
      <c r="B35" s="757">
        <v>73.0</v>
      </c>
      <c r="C35" s="758">
        <v>45.0</v>
      </c>
      <c r="D35" s="758">
        <v>61.6</v>
      </c>
      <c r="E35" s="758">
        <v>28.0</v>
      </c>
      <c r="F35" s="758">
        <v>38.4</v>
      </c>
      <c r="G35" s="758">
        <v>18.0</v>
      </c>
      <c r="H35" s="758">
        <v>64.3</v>
      </c>
      <c r="I35" s="758">
        <v>8.0</v>
      </c>
      <c r="J35" s="758">
        <v>28.6</v>
      </c>
      <c r="K35" s="758">
        <v>1.0</v>
      </c>
      <c r="L35" s="758">
        <v>3.6</v>
      </c>
      <c r="M35" s="758">
        <v>1.0</v>
      </c>
      <c r="N35" s="758">
        <v>3.6</v>
      </c>
    </row>
    <row r="36">
      <c r="A36" s="546" t="s">
        <v>757</v>
      </c>
      <c r="B36" s="759">
        <v>31.0</v>
      </c>
      <c r="C36" s="760">
        <v>7.0</v>
      </c>
      <c r="D36" s="760">
        <v>22.6</v>
      </c>
      <c r="E36" s="761">
        <v>24.0</v>
      </c>
      <c r="F36" s="758">
        <v>77.4</v>
      </c>
      <c r="G36" s="760">
        <v>22.0</v>
      </c>
      <c r="H36" s="760">
        <v>91.7</v>
      </c>
      <c r="I36" s="760">
        <v>0.0</v>
      </c>
      <c r="J36" s="760">
        <v>0.0</v>
      </c>
      <c r="K36" s="760">
        <v>1.0</v>
      </c>
      <c r="L36" s="760">
        <v>4.2</v>
      </c>
      <c r="M36" s="760">
        <v>1.0</v>
      </c>
      <c r="N36" s="760">
        <v>4.2</v>
      </c>
    </row>
    <row r="37">
      <c r="A37" s="546" t="s">
        <v>40</v>
      </c>
      <c r="B37" s="759">
        <v>233.0</v>
      </c>
      <c r="C37" s="760">
        <v>70.0</v>
      </c>
      <c r="D37" s="760">
        <v>30.0</v>
      </c>
      <c r="E37" s="761">
        <v>163.0</v>
      </c>
      <c r="F37" s="758">
        <v>70.0</v>
      </c>
      <c r="G37" s="760">
        <v>98.0</v>
      </c>
      <c r="H37" s="760">
        <v>60.1</v>
      </c>
      <c r="I37" s="760">
        <v>52.0</v>
      </c>
      <c r="J37" s="760">
        <v>31.9</v>
      </c>
      <c r="K37" s="760">
        <v>10.0</v>
      </c>
      <c r="L37" s="760">
        <v>6.1</v>
      </c>
      <c r="M37" s="760">
        <v>3.0</v>
      </c>
      <c r="N37" s="760">
        <v>1.8</v>
      </c>
    </row>
    <row r="38">
      <c r="A38" s="546" t="s">
        <v>278</v>
      </c>
      <c r="B38" s="759">
        <v>198.0</v>
      </c>
      <c r="C38" s="760">
        <v>48.0</v>
      </c>
      <c r="D38" s="760">
        <v>24.2</v>
      </c>
      <c r="E38" s="761">
        <v>150.0</v>
      </c>
      <c r="F38" s="758">
        <v>75.8</v>
      </c>
      <c r="G38" s="760">
        <v>91.0</v>
      </c>
      <c r="H38" s="760">
        <v>60.7</v>
      </c>
      <c r="I38" s="760">
        <v>52.0</v>
      </c>
      <c r="J38" s="760">
        <v>34.7</v>
      </c>
      <c r="K38" s="760">
        <v>7.0</v>
      </c>
      <c r="L38" s="760">
        <v>4.7</v>
      </c>
      <c r="M38" s="760">
        <v>0.0</v>
      </c>
      <c r="N38" s="760">
        <v>0.0</v>
      </c>
    </row>
    <row r="39">
      <c r="A39" s="546" t="s">
        <v>786</v>
      </c>
      <c r="B39" s="759">
        <v>66.0</v>
      </c>
      <c r="C39" s="760">
        <v>12.0</v>
      </c>
      <c r="D39" s="760">
        <v>18.2</v>
      </c>
      <c r="E39" s="761">
        <v>54.0</v>
      </c>
      <c r="F39" s="758">
        <v>81.8</v>
      </c>
      <c r="G39" s="760">
        <v>41.0</v>
      </c>
      <c r="H39" s="760">
        <v>75.9</v>
      </c>
      <c r="I39" s="760">
        <v>11.0</v>
      </c>
      <c r="J39" s="760">
        <v>20.4</v>
      </c>
      <c r="K39" s="760">
        <v>2.0</v>
      </c>
      <c r="L39" s="760">
        <v>3.7</v>
      </c>
      <c r="M39" s="760">
        <v>0.0</v>
      </c>
      <c r="N39" s="760">
        <v>0.0</v>
      </c>
    </row>
    <row r="40">
      <c r="A40" s="546" t="s">
        <v>163</v>
      </c>
      <c r="B40" s="759">
        <v>33.0</v>
      </c>
      <c r="C40" s="760">
        <v>6.0</v>
      </c>
      <c r="D40" s="760">
        <v>18.2</v>
      </c>
      <c r="E40" s="761">
        <v>27.0</v>
      </c>
      <c r="F40" s="758">
        <v>81.8</v>
      </c>
      <c r="G40" s="760">
        <v>15.0</v>
      </c>
      <c r="H40" s="760">
        <v>55.6</v>
      </c>
      <c r="I40" s="760">
        <v>9.0</v>
      </c>
      <c r="J40" s="760">
        <v>33.3</v>
      </c>
      <c r="K40" s="760">
        <v>2.0</v>
      </c>
      <c r="L40" s="760">
        <v>7.4</v>
      </c>
      <c r="M40" s="760">
        <v>1.0</v>
      </c>
      <c r="N40" s="760">
        <v>3.7</v>
      </c>
    </row>
    <row r="41">
      <c r="A41" s="546" t="s">
        <v>876</v>
      </c>
      <c r="B41" s="762">
        <v>46.0</v>
      </c>
      <c r="C41" s="763">
        <v>22.0</v>
      </c>
      <c r="D41" s="763">
        <v>47.8</v>
      </c>
      <c r="E41" s="758">
        <v>24.0</v>
      </c>
      <c r="F41" s="758">
        <v>52.2</v>
      </c>
      <c r="G41" s="763">
        <v>11.0</v>
      </c>
      <c r="H41" s="763">
        <v>45.8</v>
      </c>
      <c r="I41" s="763">
        <v>9.0</v>
      </c>
      <c r="J41" s="763">
        <v>37.5</v>
      </c>
      <c r="K41" s="763">
        <v>4.0</v>
      </c>
      <c r="L41" s="763">
        <v>16.7</v>
      </c>
      <c r="M41" s="763">
        <v>0.0</v>
      </c>
      <c r="N41" s="763">
        <v>0.0</v>
      </c>
    </row>
    <row r="42">
      <c r="A42" s="546" t="s">
        <v>112</v>
      </c>
      <c r="B42" s="757">
        <v>103.0</v>
      </c>
      <c r="C42" s="758">
        <v>39.0</v>
      </c>
      <c r="D42" s="758">
        <v>37.9</v>
      </c>
      <c r="E42" s="758">
        <v>64.0</v>
      </c>
      <c r="F42" s="758">
        <v>62.1</v>
      </c>
      <c r="G42" s="758">
        <v>30.0</v>
      </c>
      <c r="H42" s="758">
        <v>46.9</v>
      </c>
      <c r="I42" s="758">
        <v>26.0</v>
      </c>
      <c r="J42" s="758">
        <v>40.6</v>
      </c>
      <c r="K42" s="758">
        <v>8.0</v>
      </c>
      <c r="L42" s="758">
        <v>12.5</v>
      </c>
      <c r="M42" s="758">
        <v>0.0</v>
      </c>
      <c r="N42" s="758">
        <v>0.0</v>
      </c>
    </row>
    <row r="43">
      <c r="A43" s="764" t="s">
        <v>807</v>
      </c>
      <c r="B43" s="759">
        <v>31.0</v>
      </c>
      <c r="C43" s="760">
        <v>0.0</v>
      </c>
      <c r="D43" s="760">
        <v>0.0</v>
      </c>
      <c r="E43" s="760">
        <v>31.0</v>
      </c>
      <c r="F43" s="761">
        <v>100.0</v>
      </c>
      <c r="G43" s="758">
        <v>13.0</v>
      </c>
      <c r="H43" s="760">
        <v>41.9</v>
      </c>
      <c r="I43" s="760">
        <v>17.0</v>
      </c>
      <c r="J43" s="760">
        <v>54.8</v>
      </c>
      <c r="K43" s="760">
        <v>1.0</v>
      </c>
      <c r="L43" s="760">
        <v>3.2</v>
      </c>
      <c r="M43" s="760">
        <v>0.0</v>
      </c>
      <c r="N43" s="760">
        <v>0.0</v>
      </c>
    </row>
    <row r="44">
      <c r="A44" s="764" t="s">
        <v>860</v>
      </c>
      <c r="B44" s="759">
        <v>57.0</v>
      </c>
      <c r="C44" s="760">
        <v>14.0</v>
      </c>
      <c r="D44" s="760">
        <v>24.6</v>
      </c>
      <c r="E44" s="760">
        <v>43.0</v>
      </c>
      <c r="F44" s="761">
        <v>75.4</v>
      </c>
      <c r="G44" s="758">
        <v>26.0</v>
      </c>
      <c r="H44" s="760">
        <v>60.5</v>
      </c>
      <c r="I44" s="760">
        <v>13.0</v>
      </c>
      <c r="J44" s="760">
        <v>30.2</v>
      </c>
      <c r="K44" s="760">
        <v>2.0</v>
      </c>
      <c r="L44" s="760">
        <v>4.7</v>
      </c>
      <c r="M44" s="760">
        <v>2.0</v>
      </c>
      <c r="N44" s="760">
        <v>4.7</v>
      </c>
    </row>
    <row r="45">
      <c r="A45" s="764" t="s">
        <v>868</v>
      </c>
      <c r="B45" s="759">
        <v>31.0</v>
      </c>
      <c r="C45" s="760">
        <v>9.0</v>
      </c>
      <c r="D45" s="760">
        <v>29.0</v>
      </c>
      <c r="E45" s="760">
        <v>22.0</v>
      </c>
      <c r="F45" s="761">
        <v>71.0</v>
      </c>
      <c r="G45" s="758">
        <v>9.0</v>
      </c>
      <c r="H45" s="760">
        <v>40.9</v>
      </c>
      <c r="I45" s="760">
        <v>10.0</v>
      </c>
      <c r="J45" s="760">
        <v>45.5</v>
      </c>
      <c r="K45" s="760">
        <v>1.0</v>
      </c>
      <c r="L45" s="760">
        <v>4.5</v>
      </c>
      <c r="M45" s="760">
        <v>2.0</v>
      </c>
      <c r="N45" s="760">
        <v>9.1</v>
      </c>
    </row>
    <row r="46">
      <c r="A46" s="764" t="s">
        <v>870</v>
      </c>
      <c r="B46" s="762">
        <v>490.0</v>
      </c>
      <c r="C46" s="763">
        <v>157.0</v>
      </c>
      <c r="D46" s="763">
        <v>32.0</v>
      </c>
      <c r="E46" s="763">
        <v>333.0</v>
      </c>
      <c r="F46" s="758">
        <v>68.0</v>
      </c>
      <c r="G46" s="758">
        <v>174.0</v>
      </c>
      <c r="H46" s="763">
        <v>52.3</v>
      </c>
      <c r="I46" s="763">
        <v>149.0</v>
      </c>
      <c r="J46" s="763">
        <v>44.7</v>
      </c>
      <c r="K46" s="763">
        <v>5.0</v>
      </c>
      <c r="L46" s="763">
        <v>1.5</v>
      </c>
      <c r="M46" s="763">
        <v>5.0</v>
      </c>
      <c r="N46" s="763">
        <v>1.5</v>
      </c>
    </row>
    <row r="47">
      <c r="A47" s="546" t="s">
        <v>246</v>
      </c>
      <c r="B47" s="757">
        <v>61.0</v>
      </c>
      <c r="C47" s="758">
        <v>15.0</v>
      </c>
      <c r="D47" s="758">
        <v>24.6</v>
      </c>
      <c r="E47" s="758">
        <v>46.0</v>
      </c>
      <c r="F47" s="758">
        <v>75.4</v>
      </c>
      <c r="G47" s="758">
        <v>30.0</v>
      </c>
      <c r="H47" s="758">
        <v>65.2</v>
      </c>
      <c r="I47" s="758">
        <v>16.0</v>
      </c>
      <c r="J47" s="758">
        <v>34.8</v>
      </c>
      <c r="K47" s="758">
        <v>0.0</v>
      </c>
      <c r="L47" s="758">
        <v>0.0</v>
      </c>
      <c r="M47" s="758">
        <v>0.0</v>
      </c>
      <c r="N47" s="758">
        <v>0.0</v>
      </c>
    </row>
    <row r="48">
      <c r="A48" s="546" t="s">
        <v>778</v>
      </c>
      <c r="B48" s="759">
        <v>85.0</v>
      </c>
      <c r="C48" s="760">
        <v>44.0</v>
      </c>
      <c r="D48" s="760">
        <v>51.8</v>
      </c>
      <c r="E48" s="761">
        <v>41.0</v>
      </c>
      <c r="F48" s="758">
        <v>48.2</v>
      </c>
      <c r="G48" s="760">
        <v>26.0</v>
      </c>
      <c r="H48" s="760">
        <v>63.4</v>
      </c>
      <c r="I48" s="760">
        <v>14.0</v>
      </c>
      <c r="J48" s="760">
        <v>34.1</v>
      </c>
      <c r="K48" s="760">
        <v>1.0</v>
      </c>
      <c r="L48" s="760">
        <v>2.4</v>
      </c>
      <c r="M48" s="760">
        <v>0.0</v>
      </c>
      <c r="N48" s="760">
        <v>0.0</v>
      </c>
    </row>
    <row r="49">
      <c r="A49" s="546" t="s">
        <v>157</v>
      </c>
      <c r="B49" s="759">
        <v>68.0</v>
      </c>
      <c r="C49" s="760">
        <v>18.0</v>
      </c>
      <c r="D49" s="760">
        <v>26.5</v>
      </c>
      <c r="E49" s="761">
        <v>50.0</v>
      </c>
      <c r="F49" s="758">
        <v>73.5</v>
      </c>
      <c r="G49" s="760">
        <v>24.0</v>
      </c>
      <c r="H49" s="760">
        <v>48.0</v>
      </c>
      <c r="I49" s="760">
        <v>23.0</v>
      </c>
      <c r="J49" s="760">
        <v>46.0</v>
      </c>
      <c r="K49" s="760">
        <v>3.0</v>
      </c>
      <c r="L49" s="760">
        <v>6.0</v>
      </c>
      <c r="M49" s="760">
        <v>0.0</v>
      </c>
      <c r="N49" s="760">
        <v>0.0</v>
      </c>
    </row>
    <row r="50">
      <c r="A50" s="546" t="s">
        <v>158</v>
      </c>
      <c r="B50" s="759">
        <v>85.0</v>
      </c>
      <c r="C50" s="760">
        <v>11.0</v>
      </c>
      <c r="D50" s="760">
        <v>12.9</v>
      </c>
      <c r="E50" s="761">
        <v>74.0</v>
      </c>
      <c r="F50" s="758">
        <v>87.1</v>
      </c>
      <c r="G50" s="760">
        <v>39.0</v>
      </c>
      <c r="H50" s="760">
        <v>52.7</v>
      </c>
      <c r="I50" s="760">
        <v>28.0</v>
      </c>
      <c r="J50" s="760">
        <v>37.8</v>
      </c>
      <c r="K50" s="760">
        <v>7.0</v>
      </c>
      <c r="L50" s="760">
        <v>9.5</v>
      </c>
      <c r="M50" s="760">
        <v>0.0</v>
      </c>
      <c r="N50" s="760">
        <v>0.0</v>
      </c>
    </row>
    <row r="51">
      <c r="A51" s="546" t="s">
        <v>518</v>
      </c>
      <c r="B51" s="759">
        <v>63.0</v>
      </c>
      <c r="C51" s="760">
        <v>16.0</v>
      </c>
      <c r="D51" s="760">
        <v>25.4</v>
      </c>
      <c r="E51" s="761">
        <v>47.0</v>
      </c>
      <c r="F51" s="758">
        <v>74.6</v>
      </c>
      <c r="G51" s="763">
        <v>29.0</v>
      </c>
      <c r="H51" s="763">
        <v>61.7</v>
      </c>
      <c r="I51" s="763">
        <v>17.0</v>
      </c>
      <c r="J51" s="763">
        <v>36.2</v>
      </c>
      <c r="K51" s="763">
        <v>1.0</v>
      </c>
      <c r="L51" s="763">
        <v>2.1</v>
      </c>
      <c r="M51" s="763">
        <v>0.0</v>
      </c>
      <c r="N51" s="760">
        <v>0.0</v>
      </c>
    </row>
    <row r="52">
      <c r="A52" s="765" t="s">
        <v>153</v>
      </c>
      <c r="B52" s="766">
        <v>2227.0</v>
      </c>
      <c r="C52" s="767">
        <v>451.0</v>
      </c>
      <c r="D52" s="767">
        <v>20.3</v>
      </c>
      <c r="E52" s="768">
        <v>1776.0</v>
      </c>
      <c r="F52" s="769">
        <v>79.7</v>
      </c>
      <c r="G52" s="758">
        <v>838.0</v>
      </c>
      <c r="H52" s="758">
        <v>47.2</v>
      </c>
      <c r="I52" s="758">
        <v>847.0</v>
      </c>
      <c r="J52" s="758">
        <v>47.7</v>
      </c>
      <c r="K52" s="758">
        <v>69.0</v>
      </c>
      <c r="L52" s="758">
        <v>3.9</v>
      </c>
      <c r="M52" s="758">
        <v>22.0</v>
      </c>
      <c r="N52" s="760">
        <v>1.2</v>
      </c>
    </row>
    <row r="53">
      <c r="A53" s="546" t="s">
        <v>497</v>
      </c>
      <c r="B53" s="757">
        <v>166.0</v>
      </c>
      <c r="C53" s="758">
        <v>59.0</v>
      </c>
      <c r="D53" s="758">
        <v>35.5</v>
      </c>
      <c r="E53" s="758">
        <v>107.0</v>
      </c>
      <c r="F53" s="758">
        <v>64.5</v>
      </c>
      <c r="G53" s="760">
        <v>66.0</v>
      </c>
      <c r="H53" s="760">
        <v>61.7</v>
      </c>
      <c r="I53" s="760">
        <v>28.0</v>
      </c>
      <c r="J53" s="760">
        <v>26.2</v>
      </c>
      <c r="K53" s="760">
        <v>13.0</v>
      </c>
      <c r="L53" s="760">
        <v>12.1</v>
      </c>
      <c r="M53" s="760">
        <v>0.0</v>
      </c>
      <c r="N53" s="760">
        <v>0.0</v>
      </c>
    </row>
    <row r="54">
      <c r="A54" s="546" t="s">
        <v>587</v>
      </c>
      <c r="B54" s="759">
        <v>138.0</v>
      </c>
      <c r="C54" s="760">
        <v>72.0</v>
      </c>
      <c r="D54" s="760">
        <v>52.2</v>
      </c>
      <c r="E54" s="761">
        <v>66.0</v>
      </c>
      <c r="F54" s="758">
        <v>47.8</v>
      </c>
      <c r="G54" s="760">
        <v>30.0</v>
      </c>
      <c r="H54" s="760">
        <v>45.5</v>
      </c>
      <c r="I54" s="760">
        <v>27.0</v>
      </c>
      <c r="J54" s="760">
        <v>40.9</v>
      </c>
      <c r="K54" s="760">
        <v>8.0</v>
      </c>
      <c r="L54" s="760">
        <v>12.1</v>
      </c>
      <c r="M54" s="760">
        <v>1.0</v>
      </c>
      <c r="N54" s="760">
        <v>1.5</v>
      </c>
    </row>
    <row r="55">
      <c r="A55" s="546" t="s">
        <v>151</v>
      </c>
      <c r="B55" s="762">
        <v>676.0</v>
      </c>
      <c r="C55" s="763">
        <v>146.0</v>
      </c>
      <c r="D55" s="763">
        <v>21.6</v>
      </c>
      <c r="E55" s="758">
        <v>530.0</v>
      </c>
      <c r="F55" s="758">
        <v>78.4</v>
      </c>
      <c r="G55" s="760">
        <v>267.0</v>
      </c>
      <c r="H55" s="760">
        <v>50.4</v>
      </c>
      <c r="I55" s="760">
        <v>228.0</v>
      </c>
      <c r="J55" s="760">
        <v>43.0</v>
      </c>
      <c r="K55" s="760">
        <v>26.0</v>
      </c>
      <c r="L55" s="760">
        <v>4.9</v>
      </c>
      <c r="M55" s="760">
        <v>9.0</v>
      </c>
      <c r="N55" s="760">
        <v>1.7</v>
      </c>
    </row>
    <row r="56">
      <c r="A56" s="546" t="s">
        <v>865</v>
      </c>
      <c r="B56" s="757">
        <v>33.0</v>
      </c>
      <c r="C56" s="758">
        <v>15.0</v>
      </c>
      <c r="D56" s="758">
        <v>45.5</v>
      </c>
      <c r="E56" s="758">
        <v>18.0</v>
      </c>
      <c r="F56" s="758">
        <v>54.5</v>
      </c>
      <c r="G56" s="760">
        <v>11.0</v>
      </c>
      <c r="H56" s="760">
        <v>61.1</v>
      </c>
      <c r="I56" s="760">
        <v>6.0</v>
      </c>
      <c r="J56" s="760">
        <v>33.3</v>
      </c>
      <c r="K56" s="760">
        <v>0.0</v>
      </c>
      <c r="L56" s="760">
        <v>0.0</v>
      </c>
      <c r="M56" s="760">
        <v>1.0</v>
      </c>
      <c r="N56" s="760">
        <v>5.6</v>
      </c>
    </row>
    <row r="57">
      <c r="A57" s="546" t="s">
        <v>135</v>
      </c>
      <c r="B57" s="757">
        <v>43.0</v>
      </c>
      <c r="C57" s="758">
        <v>5.0</v>
      </c>
      <c r="D57" s="758">
        <v>11.6</v>
      </c>
      <c r="E57" s="758">
        <v>38.0</v>
      </c>
      <c r="F57" s="758">
        <v>88.4</v>
      </c>
      <c r="G57" s="760">
        <v>17.0</v>
      </c>
      <c r="H57" s="760">
        <v>44.7</v>
      </c>
      <c r="I57" s="760">
        <v>21.0</v>
      </c>
      <c r="J57" s="760">
        <v>55.3</v>
      </c>
      <c r="K57" s="760">
        <v>0.0</v>
      </c>
      <c r="L57" s="760">
        <v>0.0</v>
      </c>
      <c r="M57" s="760">
        <v>0.0</v>
      </c>
      <c r="N57" s="760">
        <v>0.0</v>
      </c>
    </row>
    <row r="58">
      <c r="A58" s="546" t="s">
        <v>136</v>
      </c>
      <c r="B58" s="759">
        <v>4.0</v>
      </c>
      <c r="C58" s="760">
        <v>1.0</v>
      </c>
      <c r="D58" s="760">
        <v>25.0</v>
      </c>
      <c r="E58" s="760">
        <v>3.0</v>
      </c>
      <c r="F58" s="760">
        <v>75.0</v>
      </c>
      <c r="G58" s="760">
        <v>2.0</v>
      </c>
      <c r="H58" s="760">
        <v>66.7</v>
      </c>
      <c r="I58" s="760">
        <v>1.0</v>
      </c>
      <c r="J58" s="760">
        <v>33.3</v>
      </c>
      <c r="K58" s="760">
        <v>0.0</v>
      </c>
      <c r="L58" s="760">
        <v>0.0</v>
      </c>
      <c r="M58" s="760">
        <v>0.0</v>
      </c>
      <c r="N58" s="760">
        <v>0.0</v>
      </c>
    </row>
    <row r="59">
      <c r="A59" s="546" t="s">
        <v>140</v>
      </c>
      <c r="B59" s="759">
        <v>65.0</v>
      </c>
      <c r="C59" s="760">
        <v>3.0</v>
      </c>
      <c r="D59" s="760">
        <v>4.6</v>
      </c>
      <c r="E59" s="760">
        <v>62.0</v>
      </c>
      <c r="F59" s="760">
        <v>95.4</v>
      </c>
      <c r="G59" s="760">
        <v>33.0</v>
      </c>
      <c r="H59" s="760">
        <v>53.2</v>
      </c>
      <c r="I59" s="760">
        <v>27.0</v>
      </c>
      <c r="J59" s="760">
        <v>43.5</v>
      </c>
      <c r="K59" s="760">
        <v>1.0</v>
      </c>
      <c r="L59" s="760">
        <v>1.6</v>
      </c>
      <c r="M59" s="760">
        <v>1.0</v>
      </c>
      <c r="N59" s="760">
        <v>1.6</v>
      </c>
    </row>
    <row r="60">
      <c r="A60" s="546" t="s">
        <v>842</v>
      </c>
      <c r="B60" s="759">
        <v>26.0</v>
      </c>
      <c r="C60" s="760">
        <v>11.0</v>
      </c>
      <c r="D60" s="760">
        <v>42.3</v>
      </c>
      <c r="E60" s="760">
        <v>15.0</v>
      </c>
      <c r="F60" s="760">
        <v>57.7</v>
      </c>
      <c r="G60" s="760">
        <v>6.0</v>
      </c>
      <c r="H60" s="760">
        <v>40.0</v>
      </c>
      <c r="I60" s="760">
        <v>8.0</v>
      </c>
      <c r="J60" s="760">
        <v>53.3</v>
      </c>
      <c r="K60" s="760">
        <v>1.0</v>
      </c>
      <c r="L60" s="760">
        <v>6.7</v>
      </c>
      <c r="M60" s="760">
        <v>0.0</v>
      </c>
      <c r="N60" s="760">
        <v>0.0</v>
      </c>
    </row>
    <row r="61">
      <c r="A61" s="546" t="s">
        <v>316</v>
      </c>
      <c r="B61" s="762">
        <v>4.0</v>
      </c>
      <c r="C61" s="763">
        <v>2.0</v>
      </c>
      <c r="D61" s="763">
        <v>50.0</v>
      </c>
      <c r="E61" s="763">
        <v>2.0</v>
      </c>
      <c r="F61" s="763">
        <v>50.0</v>
      </c>
      <c r="G61" s="760">
        <v>2.0</v>
      </c>
      <c r="H61" s="760">
        <v>100.0</v>
      </c>
      <c r="I61" s="760">
        <v>0.0</v>
      </c>
      <c r="J61" s="760">
        <v>0.0</v>
      </c>
      <c r="K61" s="760">
        <v>0.0</v>
      </c>
      <c r="L61" s="760">
        <v>0.0</v>
      </c>
      <c r="M61" s="760">
        <v>0.0</v>
      </c>
      <c r="N61" s="760">
        <v>0.0</v>
      </c>
    </row>
    <row r="62">
      <c r="A62" s="546" t="s">
        <v>273</v>
      </c>
      <c r="B62" s="757">
        <v>149.0</v>
      </c>
      <c r="C62" s="758">
        <v>10.0</v>
      </c>
      <c r="D62" s="758">
        <v>6.7</v>
      </c>
      <c r="E62" s="758">
        <v>139.0</v>
      </c>
      <c r="F62" s="758">
        <v>93.3</v>
      </c>
      <c r="G62" s="763">
        <v>83.0</v>
      </c>
      <c r="H62" s="763">
        <v>59.7</v>
      </c>
      <c r="I62" s="763">
        <v>55.0</v>
      </c>
      <c r="J62" s="763">
        <v>39.6</v>
      </c>
      <c r="K62" s="763">
        <v>1.0</v>
      </c>
      <c r="L62" s="763">
        <v>0.7</v>
      </c>
      <c r="M62" s="763">
        <v>0.0</v>
      </c>
      <c r="N62" s="763">
        <v>0.0</v>
      </c>
    </row>
    <row r="63">
      <c r="A63" s="546" t="s">
        <v>706</v>
      </c>
      <c r="B63" s="757">
        <v>33.0</v>
      </c>
      <c r="C63" s="758">
        <v>8.0</v>
      </c>
      <c r="D63" s="758">
        <v>24.2</v>
      </c>
      <c r="E63" s="758">
        <v>25.0</v>
      </c>
      <c r="F63" s="758">
        <v>75.8</v>
      </c>
      <c r="G63" s="758">
        <v>16.0</v>
      </c>
      <c r="H63" s="758">
        <v>64.0</v>
      </c>
      <c r="I63" s="758">
        <v>6.0</v>
      </c>
      <c r="J63" s="758">
        <v>24.0</v>
      </c>
      <c r="K63" s="758">
        <v>3.0</v>
      </c>
      <c r="L63" s="758">
        <v>12.0</v>
      </c>
      <c r="M63" s="758">
        <v>0.0</v>
      </c>
      <c r="N63" s="758">
        <v>0.0</v>
      </c>
    </row>
    <row r="64">
      <c r="A64" s="546" t="s">
        <v>138</v>
      </c>
      <c r="B64" s="759">
        <v>56.0</v>
      </c>
      <c r="C64" s="760">
        <v>15.0</v>
      </c>
      <c r="D64" s="760">
        <v>26.8</v>
      </c>
      <c r="E64" s="761">
        <v>41.0</v>
      </c>
      <c r="F64" s="758">
        <v>73.2</v>
      </c>
      <c r="G64" s="758">
        <v>17.0</v>
      </c>
      <c r="H64" s="760">
        <v>41.5</v>
      </c>
      <c r="I64" s="760">
        <v>19.0</v>
      </c>
      <c r="J64" s="760">
        <v>46.3</v>
      </c>
      <c r="K64" s="760">
        <v>5.0</v>
      </c>
      <c r="L64" s="760">
        <v>12.2</v>
      </c>
      <c r="M64" s="760">
        <v>0.0</v>
      </c>
      <c r="N64" s="760">
        <v>0.0</v>
      </c>
    </row>
    <row r="65">
      <c r="A65" s="546" t="s">
        <v>146</v>
      </c>
      <c r="B65" s="759">
        <v>160.0</v>
      </c>
      <c r="C65" s="760">
        <v>61.0</v>
      </c>
      <c r="D65" s="760">
        <v>38.1</v>
      </c>
      <c r="E65" s="761">
        <v>99.0</v>
      </c>
      <c r="F65" s="758">
        <v>61.9</v>
      </c>
      <c r="G65" s="758">
        <v>63.0</v>
      </c>
      <c r="H65" s="760">
        <v>63.6</v>
      </c>
      <c r="I65" s="760">
        <v>28.0</v>
      </c>
      <c r="J65" s="760">
        <v>28.3</v>
      </c>
      <c r="K65" s="760">
        <v>8.0</v>
      </c>
      <c r="L65" s="760">
        <v>8.1</v>
      </c>
      <c r="M65" s="760">
        <v>0.0</v>
      </c>
      <c r="N65" s="760">
        <v>0.0</v>
      </c>
    </row>
    <row r="66">
      <c r="A66" s="546" t="s">
        <v>156</v>
      </c>
      <c r="B66" s="759">
        <v>203.0</v>
      </c>
      <c r="C66" s="760">
        <v>50.0</v>
      </c>
      <c r="D66" s="760">
        <v>24.6</v>
      </c>
      <c r="E66" s="761">
        <v>153.0</v>
      </c>
      <c r="F66" s="758">
        <v>75.4</v>
      </c>
      <c r="G66" s="758">
        <v>65.0</v>
      </c>
      <c r="H66" s="760">
        <v>42.5</v>
      </c>
      <c r="I66" s="760">
        <v>72.0</v>
      </c>
      <c r="J66" s="760">
        <v>47.1</v>
      </c>
      <c r="K66" s="760">
        <v>14.0</v>
      </c>
      <c r="L66" s="760">
        <v>9.2</v>
      </c>
      <c r="M66" s="760">
        <v>2.0</v>
      </c>
      <c r="N66" s="760">
        <v>1.3</v>
      </c>
    </row>
    <row r="67">
      <c r="A67" s="546" t="s">
        <v>802</v>
      </c>
      <c r="B67" s="762">
        <v>44.0</v>
      </c>
      <c r="C67" s="763">
        <v>21.0</v>
      </c>
      <c r="D67" s="763">
        <v>47.7</v>
      </c>
      <c r="E67" s="758">
        <v>23.0</v>
      </c>
      <c r="F67" s="758">
        <v>52.3</v>
      </c>
      <c r="G67" s="758">
        <v>8.0</v>
      </c>
      <c r="H67" s="763">
        <v>34.8</v>
      </c>
      <c r="I67" s="763">
        <v>11.0</v>
      </c>
      <c r="J67" s="763">
        <v>47.8</v>
      </c>
      <c r="K67" s="763">
        <v>3.0</v>
      </c>
      <c r="L67" s="763">
        <v>13.0</v>
      </c>
      <c r="M67" s="763">
        <v>1.0</v>
      </c>
      <c r="N67" s="763">
        <v>4.3</v>
      </c>
    </row>
    <row r="68">
      <c r="A68" s="546" t="s">
        <v>756</v>
      </c>
      <c r="B68" s="757">
        <v>139.0</v>
      </c>
      <c r="C68" s="758">
        <v>40.0</v>
      </c>
      <c r="D68" s="758">
        <v>28.8</v>
      </c>
      <c r="E68" s="758">
        <v>99.0</v>
      </c>
      <c r="F68" s="758">
        <v>71.2</v>
      </c>
      <c r="G68" s="758">
        <v>54.0</v>
      </c>
      <c r="H68" s="758">
        <v>54.5</v>
      </c>
      <c r="I68" s="758">
        <v>40.0</v>
      </c>
      <c r="J68" s="758">
        <v>40.4</v>
      </c>
      <c r="K68" s="758">
        <v>5.0</v>
      </c>
      <c r="L68" s="758">
        <v>5.1</v>
      </c>
      <c r="M68" s="758">
        <v>0.0</v>
      </c>
      <c r="N68" s="758">
        <v>0.0</v>
      </c>
    </row>
    <row r="69">
      <c r="A69" s="546" t="s">
        <v>142</v>
      </c>
      <c r="B69" s="759">
        <v>96.0</v>
      </c>
      <c r="C69" s="760">
        <v>39.0</v>
      </c>
      <c r="D69" s="760">
        <v>40.6</v>
      </c>
      <c r="E69" s="760">
        <v>57.0</v>
      </c>
      <c r="F69" s="761">
        <v>59.4</v>
      </c>
      <c r="G69" s="758">
        <v>30.0</v>
      </c>
      <c r="H69" s="760">
        <v>52.6</v>
      </c>
      <c r="I69" s="760">
        <v>25.0</v>
      </c>
      <c r="J69" s="760">
        <v>43.9</v>
      </c>
      <c r="K69" s="760">
        <v>1.0</v>
      </c>
      <c r="L69" s="760">
        <v>1.8</v>
      </c>
      <c r="M69" s="761">
        <v>1.0</v>
      </c>
      <c r="N69" s="758">
        <v>1.8</v>
      </c>
    </row>
    <row r="70">
      <c r="A70" s="546" t="s">
        <v>787</v>
      </c>
      <c r="B70" s="759">
        <v>55.0</v>
      </c>
      <c r="C70" s="760">
        <v>13.0</v>
      </c>
      <c r="D70" s="760">
        <v>23.6</v>
      </c>
      <c r="E70" s="760">
        <v>42.0</v>
      </c>
      <c r="F70" s="761">
        <v>76.4</v>
      </c>
      <c r="G70" s="758">
        <v>21.0</v>
      </c>
      <c r="H70" s="760">
        <v>50.0</v>
      </c>
      <c r="I70" s="760">
        <v>18.0</v>
      </c>
      <c r="J70" s="760">
        <v>42.9</v>
      </c>
      <c r="K70" s="760">
        <v>3.0</v>
      </c>
      <c r="L70" s="760">
        <v>7.1</v>
      </c>
      <c r="M70" s="761">
        <v>0.0</v>
      </c>
      <c r="N70" s="758">
        <v>0.0</v>
      </c>
    </row>
    <row r="71">
      <c r="A71" s="546" t="s">
        <v>288</v>
      </c>
      <c r="B71" s="759">
        <v>88.0</v>
      </c>
      <c r="C71" s="760">
        <v>29.0</v>
      </c>
      <c r="D71" s="760">
        <v>33.0</v>
      </c>
      <c r="E71" s="760">
        <v>59.0</v>
      </c>
      <c r="F71" s="761">
        <v>67.0</v>
      </c>
      <c r="G71" s="758">
        <v>27.0</v>
      </c>
      <c r="H71" s="760">
        <v>45.8</v>
      </c>
      <c r="I71" s="760">
        <v>26.0</v>
      </c>
      <c r="J71" s="760">
        <v>44.1</v>
      </c>
      <c r="K71" s="760">
        <v>4.0</v>
      </c>
      <c r="L71" s="760">
        <v>6.8</v>
      </c>
      <c r="M71" s="761">
        <v>2.0</v>
      </c>
      <c r="N71" s="758">
        <v>3.4</v>
      </c>
    </row>
    <row r="72">
      <c r="A72" s="546" t="s">
        <v>168</v>
      </c>
      <c r="B72" s="762">
        <v>61.0</v>
      </c>
      <c r="C72" s="763">
        <v>23.0</v>
      </c>
      <c r="D72" s="763">
        <v>37.7</v>
      </c>
      <c r="E72" s="763">
        <v>38.0</v>
      </c>
      <c r="F72" s="758">
        <v>62.3</v>
      </c>
      <c r="G72" s="758">
        <v>22.0</v>
      </c>
      <c r="H72" s="760">
        <v>57.9</v>
      </c>
      <c r="I72" s="760">
        <v>15.0</v>
      </c>
      <c r="J72" s="760">
        <v>39.5</v>
      </c>
      <c r="K72" s="760">
        <v>1.0</v>
      </c>
      <c r="L72" s="760">
        <v>2.6</v>
      </c>
      <c r="M72" s="761">
        <v>0.0</v>
      </c>
      <c r="N72" s="758">
        <v>0.0</v>
      </c>
    </row>
    <row r="73">
      <c r="A73" s="546" t="s">
        <v>759</v>
      </c>
      <c r="B73" s="757">
        <v>84.0</v>
      </c>
      <c r="C73" s="758">
        <v>21.0</v>
      </c>
      <c r="D73" s="758">
        <v>25.0</v>
      </c>
      <c r="E73" s="758">
        <v>63.0</v>
      </c>
      <c r="F73" s="758">
        <v>75.0</v>
      </c>
      <c r="G73" s="758">
        <v>38.0</v>
      </c>
      <c r="H73" s="760">
        <v>60.3</v>
      </c>
      <c r="I73" s="760">
        <v>19.0</v>
      </c>
      <c r="J73" s="760">
        <v>30.2</v>
      </c>
      <c r="K73" s="760">
        <v>5.0</v>
      </c>
      <c r="L73" s="760">
        <v>7.9</v>
      </c>
      <c r="M73" s="760">
        <v>1.0</v>
      </c>
      <c r="N73" s="760">
        <v>1.6</v>
      </c>
    </row>
    <row r="74">
      <c r="A74" s="546" t="s">
        <v>563</v>
      </c>
      <c r="B74" s="759">
        <v>99.0</v>
      </c>
      <c r="C74" s="760">
        <v>39.0</v>
      </c>
      <c r="D74" s="760">
        <v>39.4</v>
      </c>
      <c r="E74" s="761">
        <v>60.0</v>
      </c>
      <c r="F74" s="758">
        <v>60.6</v>
      </c>
      <c r="G74" s="758">
        <v>32.0</v>
      </c>
      <c r="H74" s="760">
        <v>53.3</v>
      </c>
      <c r="I74" s="760">
        <v>24.0</v>
      </c>
      <c r="J74" s="760">
        <v>40.0</v>
      </c>
      <c r="K74" s="760">
        <v>2.0</v>
      </c>
      <c r="L74" s="760">
        <v>3.3</v>
      </c>
      <c r="M74" s="760">
        <v>2.0</v>
      </c>
      <c r="N74" s="760">
        <v>3.3</v>
      </c>
    </row>
    <row r="75">
      <c r="A75" s="546" t="s">
        <v>143</v>
      </c>
      <c r="B75" s="759">
        <v>81.0</v>
      </c>
      <c r="C75" s="760">
        <v>22.0</v>
      </c>
      <c r="D75" s="760">
        <v>27.2</v>
      </c>
      <c r="E75" s="761">
        <v>59.0</v>
      </c>
      <c r="F75" s="758">
        <v>72.8</v>
      </c>
      <c r="G75" s="758">
        <v>43.0</v>
      </c>
      <c r="H75" s="760">
        <v>72.9</v>
      </c>
      <c r="I75" s="760">
        <v>15.0</v>
      </c>
      <c r="J75" s="760">
        <v>25.4</v>
      </c>
      <c r="K75" s="760">
        <v>1.0</v>
      </c>
      <c r="L75" s="760">
        <v>1.7</v>
      </c>
      <c r="M75" s="760">
        <v>0.0</v>
      </c>
      <c r="N75" s="760">
        <v>0.0</v>
      </c>
    </row>
    <row r="76">
      <c r="A76" s="546" t="s">
        <v>100</v>
      </c>
      <c r="B76" s="759">
        <v>18.0</v>
      </c>
      <c r="C76" s="760">
        <v>8.0</v>
      </c>
      <c r="D76" s="760">
        <v>44.4</v>
      </c>
      <c r="E76" s="761">
        <v>10.0</v>
      </c>
      <c r="F76" s="758">
        <v>55.6</v>
      </c>
      <c r="G76" s="758">
        <v>2.0</v>
      </c>
      <c r="H76" s="760">
        <v>20.0</v>
      </c>
      <c r="I76" s="760">
        <v>7.0</v>
      </c>
      <c r="J76" s="760">
        <v>70.0</v>
      </c>
      <c r="K76" s="760">
        <v>1.0</v>
      </c>
      <c r="L76" s="760">
        <v>10.0</v>
      </c>
      <c r="M76" s="760">
        <v>0.0</v>
      </c>
      <c r="N76" s="760">
        <v>0.0</v>
      </c>
    </row>
    <row r="77">
      <c r="A77" s="546" t="s">
        <v>839</v>
      </c>
      <c r="B77" s="759">
        <v>75.0</v>
      </c>
      <c r="C77" s="760">
        <v>10.0</v>
      </c>
      <c r="D77" s="760">
        <v>13.3</v>
      </c>
      <c r="E77" s="761">
        <v>65.0</v>
      </c>
      <c r="F77" s="758">
        <v>86.7</v>
      </c>
      <c r="G77" s="758">
        <v>35.0</v>
      </c>
      <c r="H77" s="760">
        <v>53.8</v>
      </c>
      <c r="I77" s="760">
        <v>21.0</v>
      </c>
      <c r="J77" s="760">
        <v>32.3</v>
      </c>
      <c r="K77" s="760">
        <v>7.0</v>
      </c>
      <c r="L77" s="760">
        <v>10.8</v>
      </c>
      <c r="M77" s="760">
        <v>2.0</v>
      </c>
      <c r="N77" s="760">
        <v>3.1</v>
      </c>
    </row>
    <row r="78">
      <c r="A78" s="546" t="s">
        <v>862</v>
      </c>
      <c r="B78" s="762">
        <v>19.0</v>
      </c>
      <c r="C78" s="763">
        <v>7.0</v>
      </c>
      <c r="D78" s="763">
        <v>36.8</v>
      </c>
      <c r="E78" s="758">
        <v>12.0</v>
      </c>
      <c r="F78" s="758">
        <v>63.2</v>
      </c>
      <c r="G78" s="758">
        <v>11.0</v>
      </c>
      <c r="H78" s="760">
        <v>91.7</v>
      </c>
      <c r="I78" s="760">
        <v>1.0</v>
      </c>
      <c r="J78" s="760">
        <v>8.3</v>
      </c>
      <c r="K78" s="760">
        <v>0.0</v>
      </c>
      <c r="L78" s="760">
        <v>0.0</v>
      </c>
      <c r="M78" s="760">
        <v>0.0</v>
      </c>
      <c r="N78" s="763">
        <v>0.0</v>
      </c>
    </row>
    <row r="79">
      <c r="A79" s="546" t="s">
        <v>763</v>
      </c>
      <c r="B79" s="757">
        <v>80.0</v>
      </c>
      <c r="C79" s="758">
        <v>41.0</v>
      </c>
      <c r="D79" s="758">
        <v>51.3</v>
      </c>
      <c r="E79" s="758">
        <v>39.0</v>
      </c>
      <c r="F79" s="758">
        <v>48.8</v>
      </c>
      <c r="G79" s="758">
        <v>20.0</v>
      </c>
      <c r="H79" s="760">
        <v>51.3</v>
      </c>
      <c r="I79" s="760">
        <v>15.0</v>
      </c>
      <c r="J79" s="760">
        <v>38.5</v>
      </c>
      <c r="K79" s="760">
        <v>3.0</v>
      </c>
      <c r="L79" s="760">
        <v>7.7</v>
      </c>
      <c r="M79" s="761">
        <v>1.0</v>
      </c>
      <c r="N79" s="758">
        <v>2.6</v>
      </c>
    </row>
    <row r="80">
      <c r="A80" s="764" t="s">
        <v>728</v>
      </c>
      <c r="B80" s="759">
        <v>160.0</v>
      </c>
      <c r="C80" s="760">
        <v>78.0</v>
      </c>
      <c r="D80" s="760">
        <v>48.8</v>
      </c>
      <c r="E80" s="761">
        <v>82.0</v>
      </c>
      <c r="F80" s="758">
        <v>51.3</v>
      </c>
      <c r="G80" s="758">
        <v>42.0</v>
      </c>
      <c r="H80" s="760">
        <v>51.2</v>
      </c>
      <c r="I80" s="760">
        <v>38.0</v>
      </c>
      <c r="J80" s="760">
        <v>46.3</v>
      </c>
      <c r="K80" s="760">
        <v>2.0</v>
      </c>
      <c r="L80" s="760">
        <v>2.4</v>
      </c>
      <c r="M80" s="761">
        <v>0.0</v>
      </c>
      <c r="N80" s="758">
        <v>0.0</v>
      </c>
    </row>
    <row r="81">
      <c r="A81" s="764" t="s">
        <v>162</v>
      </c>
      <c r="B81" s="759">
        <v>41.0</v>
      </c>
      <c r="C81" s="760">
        <v>26.0</v>
      </c>
      <c r="D81" s="760">
        <v>63.4</v>
      </c>
      <c r="E81" s="761">
        <v>15.0</v>
      </c>
      <c r="F81" s="758">
        <v>36.6</v>
      </c>
      <c r="G81" s="758">
        <v>10.0</v>
      </c>
      <c r="H81" s="760">
        <v>66.7</v>
      </c>
      <c r="I81" s="760">
        <v>4.0</v>
      </c>
      <c r="J81" s="760">
        <v>26.7</v>
      </c>
      <c r="K81" s="760">
        <v>1.0</v>
      </c>
      <c r="L81" s="760">
        <v>6.7</v>
      </c>
      <c r="M81" s="761">
        <v>0.0</v>
      </c>
      <c r="N81" s="758">
        <v>0.0</v>
      </c>
    </row>
    <row r="82">
      <c r="A82" s="764" t="s">
        <v>823</v>
      </c>
      <c r="B82" s="759">
        <v>81.0</v>
      </c>
      <c r="C82" s="760">
        <v>39.0</v>
      </c>
      <c r="D82" s="760">
        <v>48.1</v>
      </c>
      <c r="E82" s="761">
        <v>42.0</v>
      </c>
      <c r="F82" s="758">
        <v>51.9</v>
      </c>
      <c r="G82" s="758">
        <v>24.0</v>
      </c>
      <c r="H82" s="760">
        <v>57.1</v>
      </c>
      <c r="I82" s="760">
        <v>16.0</v>
      </c>
      <c r="J82" s="760">
        <v>38.1</v>
      </c>
      <c r="K82" s="760">
        <v>2.0</v>
      </c>
      <c r="L82" s="760">
        <v>4.8</v>
      </c>
      <c r="M82" s="761">
        <v>0.0</v>
      </c>
      <c r="N82" s="758">
        <v>0.0</v>
      </c>
    </row>
    <row r="83">
      <c r="A83" s="764" t="s">
        <v>866</v>
      </c>
      <c r="B83" s="762">
        <v>725.0</v>
      </c>
      <c r="C83" s="763">
        <v>290.0</v>
      </c>
      <c r="D83" s="763">
        <v>40.0</v>
      </c>
      <c r="E83" s="758">
        <v>435.0</v>
      </c>
      <c r="F83" s="758">
        <v>60.0</v>
      </c>
      <c r="G83" s="758">
        <v>271.0</v>
      </c>
      <c r="H83" s="760">
        <v>62.3</v>
      </c>
      <c r="I83" s="760">
        <v>134.0</v>
      </c>
      <c r="J83" s="760">
        <v>30.8</v>
      </c>
      <c r="K83" s="760">
        <v>20.0</v>
      </c>
      <c r="L83" s="760">
        <v>4.6</v>
      </c>
      <c r="M83" s="761">
        <v>10.0</v>
      </c>
      <c r="N83" s="758">
        <v>2.3</v>
      </c>
    </row>
    <row r="84">
      <c r="A84" s="546" t="s">
        <v>872</v>
      </c>
      <c r="B84" s="757">
        <v>114.0</v>
      </c>
      <c r="C84" s="758">
        <v>61.0</v>
      </c>
      <c r="D84" s="758">
        <v>53.5</v>
      </c>
      <c r="E84" s="758">
        <v>53.0</v>
      </c>
      <c r="F84" s="758">
        <v>46.5</v>
      </c>
      <c r="G84" s="758">
        <v>37.0</v>
      </c>
      <c r="H84" s="763">
        <v>69.8</v>
      </c>
      <c r="I84" s="763">
        <v>13.0</v>
      </c>
      <c r="J84" s="763">
        <v>24.5</v>
      </c>
      <c r="K84" s="763">
        <v>2.0</v>
      </c>
      <c r="L84" s="763">
        <v>3.8</v>
      </c>
      <c r="M84" s="758">
        <v>1.0</v>
      </c>
      <c r="N84" s="758">
        <v>1.9</v>
      </c>
    </row>
    <row r="85">
      <c r="A85" s="546" t="s">
        <v>263</v>
      </c>
      <c r="B85" s="757">
        <v>47.0</v>
      </c>
      <c r="C85" s="758">
        <v>9.0</v>
      </c>
      <c r="D85" s="758">
        <v>19.1</v>
      </c>
      <c r="E85" s="758">
        <v>38.0</v>
      </c>
      <c r="F85" s="758">
        <v>80.9</v>
      </c>
      <c r="G85" s="758">
        <v>26.0</v>
      </c>
      <c r="H85" s="758">
        <v>68.4</v>
      </c>
      <c r="I85" s="758">
        <v>8.0</v>
      </c>
      <c r="J85" s="758">
        <v>21.1</v>
      </c>
      <c r="K85" s="758">
        <v>4.0</v>
      </c>
      <c r="L85" s="758">
        <v>10.5</v>
      </c>
      <c r="M85" s="758">
        <v>0.0</v>
      </c>
      <c r="N85" s="758">
        <v>0.0</v>
      </c>
    </row>
    <row r="86">
      <c r="A86" s="546" t="s">
        <v>758</v>
      </c>
      <c r="B86" s="759">
        <v>79.0</v>
      </c>
      <c r="C86" s="760">
        <v>19.0</v>
      </c>
      <c r="D86" s="760">
        <v>24.1</v>
      </c>
      <c r="E86" s="761">
        <v>60.0</v>
      </c>
      <c r="F86" s="758">
        <v>75.9</v>
      </c>
      <c r="G86" s="758">
        <v>24.0</v>
      </c>
      <c r="H86" s="760">
        <v>40.0</v>
      </c>
      <c r="I86" s="760">
        <v>31.0</v>
      </c>
      <c r="J86" s="760">
        <v>51.7</v>
      </c>
      <c r="K86" s="760">
        <v>5.0</v>
      </c>
      <c r="L86" s="760">
        <v>8.3</v>
      </c>
      <c r="M86" s="760">
        <v>0.0</v>
      </c>
      <c r="N86" s="760">
        <v>0.0</v>
      </c>
    </row>
    <row r="87">
      <c r="A87" s="546" t="s">
        <v>760</v>
      </c>
      <c r="B87" s="759">
        <v>52.0</v>
      </c>
      <c r="C87" s="760">
        <v>17.0</v>
      </c>
      <c r="D87" s="760">
        <v>32.7</v>
      </c>
      <c r="E87" s="761">
        <v>35.0</v>
      </c>
      <c r="F87" s="758">
        <v>67.3</v>
      </c>
      <c r="G87" s="758">
        <v>19.0</v>
      </c>
      <c r="H87" s="760">
        <v>54.3</v>
      </c>
      <c r="I87" s="760">
        <v>13.0</v>
      </c>
      <c r="J87" s="760">
        <v>37.1</v>
      </c>
      <c r="K87" s="760">
        <v>3.0</v>
      </c>
      <c r="L87" s="760">
        <v>8.6</v>
      </c>
      <c r="M87" s="760">
        <v>0.0</v>
      </c>
      <c r="N87" s="760">
        <v>0.0</v>
      </c>
    </row>
    <row r="88">
      <c r="A88" s="546" t="s">
        <v>510</v>
      </c>
      <c r="B88" s="759">
        <v>21.0</v>
      </c>
      <c r="C88" s="760">
        <v>4.0</v>
      </c>
      <c r="D88" s="760">
        <v>19.0</v>
      </c>
      <c r="E88" s="761">
        <v>17.0</v>
      </c>
      <c r="F88" s="758">
        <v>81.0</v>
      </c>
      <c r="G88" s="758">
        <v>12.0</v>
      </c>
      <c r="H88" s="760">
        <v>70.6</v>
      </c>
      <c r="I88" s="760">
        <v>4.0</v>
      </c>
      <c r="J88" s="760">
        <v>23.5</v>
      </c>
      <c r="K88" s="760">
        <v>1.0</v>
      </c>
      <c r="L88" s="760">
        <v>5.9</v>
      </c>
      <c r="M88" s="760">
        <v>0.0</v>
      </c>
      <c r="N88" s="760">
        <v>0.0</v>
      </c>
    </row>
    <row r="89">
      <c r="A89" s="546" t="s">
        <v>241</v>
      </c>
      <c r="B89" s="759">
        <v>52.0</v>
      </c>
      <c r="C89" s="760">
        <v>14.0</v>
      </c>
      <c r="D89" s="760">
        <v>26.9</v>
      </c>
      <c r="E89" s="761">
        <v>38.0</v>
      </c>
      <c r="F89" s="758">
        <v>73.1</v>
      </c>
      <c r="G89" s="758">
        <v>28.0</v>
      </c>
      <c r="H89" s="760">
        <v>73.7</v>
      </c>
      <c r="I89" s="760">
        <v>10.0</v>
      </c>
      <c r="J89" s="760">
        <v>26.3</v>
      </c>
      <c r="K89" s="760">
        <v>0.0</v>
      </c>
      <c r="L89" s="760">
        <v>0.0</v>
      </c>
      <c r="M89" s="760">
        <v>0.0</v>
      </c>
      <c r="N89" s="760">
        <v>0.0</v>
      </c>
    </row>
    <row r="90">
      <c r="A90" s="546" t="s">
        <v>159</v>
      </c>
      <c r="B90" s="759">
        <v>81.0</v>
      </c>
      <c r="C90" s="760">
        <v>21.0</v>
      </c>
      <c r="D90" s="760">
        <v>25.9</v>
      </c>
      <c r="E90" s="761">
        <v>60.0</v>
      </c>
      <c r="F90" s="758">
        <v>74.1</v>
      </c>
      <c r="G90" s="758">
        <v>35.0</v>
      </c>
      <c r="H90" s="760">
        <v>58.3</v>
      </c>
      <c r="I90" s="760">
        <v>17.0</v>
      </c>
      <c r="J90" s="760">
        <v>28.3</v>
      </c>
      <c r="K90" s="760">
        <v>7.0</v>
      </c>
      <c r="L90" s="760">
        <v>11.7</v>
      </c>
      <c r="M90" s="760">
        <v>1.0</v>
      </c>
      <c r="N90" s="760">
        <v>1.7</v>
      </c>
    </row>
    <row r="91">
      <c r="A91" s="546" t="s">
        <v>854</v>
      </c>
      <c r="B91" s="762">
        <v>72.0</v>
      </c>
      <c r="C91" s="763">
        <v>16.0</v>
      </c>
      <c r="D91" s="763">
        <v>22.2</v>
      </c>
      <c r="E91" s="758">
        <v>56.0</v>
      </c>
      <c r="F91" s="758">
        <v>77.8</v>
      </c>
      <c r="G91" s="758">
        <v>35.0</v>
      </c>
      <c r="H91" s="760">
        <v>62.5</v>
      </c>
      <c r="I91" s="760">
        <v>19.0</v>
      </c>
      <c r="J91" s="760">
        <v>33.9</v>
      </c>
      <c r="K91" s="760">
        <v>1.0</v>
      </c>
      <c r="L91" s="760">
        <v>1.8</v>
      </c>
      <c r="M91" s="760">
        <v>1.0</v>
      </c>
      <c r="N91" s="760">
        <v>1.8</v>
      </c>
    </row>
    <row r="92">
      <c r="A92" s="546" t="s">
        <v>253</v>
      </c>
      <c r="B92" s="757">
        <v>292.0</v>
      </c>
      <c r="C92" s="758">
        <v>117.0</v>
      </c>
      <c r="D92" s="758">
        <v>40.1</v>
      </c>
      <c r="E92" s="758">
        <v>175.0</v>
      </c>
      <c r="F92" s="758">
        <v>59.9</v>
      </c>
      <c r="G92" s="758">
        <v>92.0</v>
      </c>
      <c r="H92" s="760">
        <v>52.6</v>
      </c>
      <c r="I92" s="760">
        <v>66.0</v>
      </c>
      <c r="J92" s="760">
        <v>37.7</v>
      </c>
      <c r="K92" s="760">
        <v>15.0</v>
      </c>
      <c r="L92" s="760">
        <v>8.6</v>
      </c>
      <c r="M92" s="760">
        <v>2.0</v>
      </c>
      <c r="N92" s="760">
        <v>1.1</v>
      </c>
    </row>
    <row r="93">
      <c r="A93" s="764" t="s">
        <v>575</v>
      </c>
      <c r="B93" s="759">
        <v>226.0</v>
      </c>
      <c r="C93" s="760">
        <v>74.0</v>
      </c>
      <c r="D93" s="760">
        <v>32.7</v>
      </c>
      <c r="E93" s="761">
        <v>152.0</v>
      </c>
      <c r="F93" s="758">
        <v>67.3</v>
      </c>
      <c r="G93" s="758">
        <v>68.0</v>
      </c>
      <c r="H93" s="760">
        <v>44.7</v>
      </c>
      <c r="I93" s="760">
        <v>65.0</v>
      </c>
      <c r="J93" s="760">
        <v>42.8</v>
      </c>
      <c r="K93" s="760">
        <v>16.0</v>
      </c>
      <c r="L93" s="760">
        <v>10.5</v>
      </c>
      <c r="M93" s="760">
        <v>3.0</v>
      </c>
      <c r="N93" s="760">
        <v>2.0</v>
      </c>
    </row>
    <row r="94">
      <c r="A94" s="764" t="s">
        <v>775</v>
      </c>
      <c r="B94" s="759">
        <v>76.0</v>
      </c>
      <c r="C94" s="760">
        <v>27.0</v>
      </c>
      <c r="D94" s="760">
        <v>35.5</v>
      </c>
      <c r="E94" s="761">
        <v>49.0</v>
      </c>
      <c r="F94" s="758">
        <v>64.5</v>
      </c>
      <c r="G94" s="758">
        <v>32.0</v>
      </c>
      <c r="H94" s="760">
        <v>65.3</v>
      </c>
      <c r="I94" s="760">
        <v>15.0</v>
      </c>
      <c r="J94" s="760">
        <v>30.6</v>
      </c>
      <c r="K94" s="760">
        <v>1.0</v>
      </c>
      <c r="L94" s="760">
        <v>2.0</v>
      </c>
      <c r="M94" s="760">
        <v>1.0</v>
      </c>
      <c r="N94" s="760">
        <v>2.0</v>
      </c>
    </row>
    <row r="95">
      <c r="A95" s="764" t="s">
        <v>309</v>
      </c>
      <c r="B95" s="759">
        <v>102.0</v>
      </c>
      <c r="C95" s="760">
        <v>4.0</v>
      </c>
      <c r="D95" s="760">
        <v>3.9</v>
      </c>
      <c r="E95" s="761">
        <v>98.0</v>
      </c>
      <c r="F95" s="758">
        <v>96.1</v>
      </c>
      <c r="G95" s="758">
        <v>45.0</v>
      </c>
      <c r="H95" s="760">
        <v>45.9</v>
      </c>
      <c r="I95" s="760">
        <v>43.0</v>
      </c>
      <c r="J95" s="760">
        <v>43.9</v>
      </c>
      <c r="K95" s="760">
        <v>6.0</v>
      </c>
      <c r="L95" s="760">
        <v>6.1</v>
      </c>
      <c r="M95" s="760">
        <v>4.0</v>
      </c>
      <c r="N95" s="760">
        <v>4.1</v>
      </c>
    </row>
    <row r="96">
      <c r="A96" s="770" t="s">
        <v>119</v>
      </c>
      <c r="B96" s="759">
        <v>24.0</v>
      </c>
      <c r="C96" s="760">
        <v>2.0</v>
      </c>
      <c r="D96" s="760">
        <v>8.3</v>
      </c>
      <c r="E96" s="761">
        <v>22.0</v>
      </c>
      <c r="F96" s="758">
        <v>91.7</v>
      </c>
      <c r="G96" s="758">
        <v>13.0</v>
      </c>
      <c r="H96" s="760">
        <v>59.1</v>
      </c>
      <c r="I96" s="760">
        <v>7.0</v>
      </c>
      <c r="J96" s="760">
        <v>31.8</v>
      </c>
      <c r="K96" s="760">
        <v>2.0</v>
      </c>
      <c r="L96" s="760">
        <v>9.1</v>
      </c>
      <c r="M96" s="760">
        <v>0.0</v>
      </c>
      <c r="N96" s="760">
        <v>0.0</v>
      </c>
    </row>
    <row r="97">
      <c r="B97" s="771"/>
      <c r="C97" s="771"/>
      <c r="D97" s="771"/>
      <c r="E97" s="771"/>
      <c r="F97" s="771"/>
      <c r="G97" s="771"/>
      <c r="H97" s="771"/>
      <c r="I97" s="771"/>
      <c r="J97" s="771"/>
      <c r="K97" s="771"/>
      <c r="L97" s="771"/>
      <c r="M97" s="771"/>
      <c r="N97" s="771"/>
    </row>
    <row r="98">
      <c r="A98" s="772" t="s">
        <v>923</v>
      </c>
      <c r="B98" s="773">
        <v>12816.0</v>
      </c>
      <c r="C98" s="774">
        <v>3798.0</v>
      </c>
      <c r="D98" s="774">
        <v>29.6</v>
      </c>
      <c r="E98" s="774">
        <v>9018.0</v>
      </c>
      <c r="F98" s="774">
        <v>70.4</v>
      </c>
      <c r="G98" s="774">
        <v>4792.0</v>
      </c>
      <c r="H98" s="774">
        <v>53.1</v>
      </c>
      <c r="I98" s="774">
        <v>3645.0</v>
      </c>
      <c r="J98" s="774">
        <v>40.4</v>
      </c>
      <c r="K98" s="774">
        <v>423.0</v>
      </c>
      <c r="L98" s="774">
        <v>4.7</v>
      </c>
      <c r="M98" s="774">
        <v>158.0</v>
      </c>
      <c r="N98" s="774">
        <v>1.8</v>
      </c>
    </row>
  </sheetData>
  <mergeCells count="6">
    <mergeCell ref="F1:H1"/>
    <mergeCell ref="B2:F2"/>
    <mergeCell ref="G2:N2"/>
    <mergeCell ref="G3:H3"/>
    <mergeCell ref="K3:L3"/>
    <mergeCell ref="M3:N3"/>
  </mergeCells>
  <drawing r:id="rId2"/>
  <legacyDrawing r:id="rId3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5.25"/>
    <col customWidth="1" min="12" max="12" width="14.13"/>
  </cols>
  <sheetData>
    <row r="1">
      <c r="A1" s="167"/>
      <c r="B1" s="168" t="s">
        <v>50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</row>
    <row r="2">
      <c r="A2" s="169" t="s">
        <v>172</v>
      </c>
      <c r="B2" s="170" t="s">
        <v>174</v>
      </c>
      <c r="C2" s="171" t="s">
        <v>693</v>
      </c>
      <c r="D2" s="608" t="s">
        <v>694</v>
      </c>
      <c r="E2" s="608" t="s">
        <v>695</v>
      </c>
      <c r="F2" s="608" t="s">
        <v>179</v>
      </c>
      <c r="G2" s="608" t="s">
        <v>696</v>
      </c>
      <c r="H2" s="173" t="s">
        <v>697</v>
      </c>
      <c r="I2" s="174" t="s">
        <v>84</v>
      </c>
      <c r="J2" s="170" t="s">
        <v>698</v>
      </c>
      <c r="K2" s="175" t="s">
        <v>699</v>
      </c>
      <c r="L2" s="173" t="s">
        <v>89</v>
      </c>
      <c r="M2" s="176" t="s">
        <v>700</v>
      </c>
      <c r="N2" s="177" t="s">
        <v>701</v>
      </c>
      <c r="O2" s="177" t="s">
        <v>702</v>
      </c>
      <c r="P2" s="178" t="s">
        <v>90</v>
      </c>
      <c r="Q2" s="179" t="s">
        <v>703</v>
      </c>
    </row>
    <row r="3">
      <c r="A3" s="326" t="s">
        <v>882</v>
      </c>
      <c r="B3" s="251">
        <f t="array" ref="B3">VLOOKUP($A3,IA_DEMO,2,FALSE)</f>
        <v>7496</v>
      </c>
      <c r="C3" s="327">
        <f>VLOOKUP($A3,'IA Data'!$A$4:$B$102,2,FALSE)</f>
        <v>22</v>
      </c>
      <c r="D3" s="253" t="s">
        <v>63</v>
      </c>
      <c r="E3" s="253">
        <f>VLOOKUP($A3,'IA Data'!$A$4:$D$102,4,FALSE)</f>
        <v>5</v>
      </c>
      <c r="F3" s="253">
        <f>VLOOKUP($A3,'IA Data'!$A$4:$D$102,3,FALSE)</f>
        <v>10</v>
      </c>
      <c r="G3" s="253" t="s">
        <v>63</v>
      </c>
      <c r="H3" s="254" t="str">
        <f>ifna(if(vlookup(A3,'IA Data'!$A$110:$B$207,2,FALSE)="0-5","NULL",vlookup(A3,'IA Data'!$A$110:$B$207,2,FALSE)),"NULL")</f>
        <v>NULL</v>
      </c>
      <c r="I3" s="775" t="str">
        <f>VLOOKUP($A3,'IA Data'!$A$219:$B$296,2,FALSE)</f>
        <v>0-5</v>
      </c>
      <c r="J3" s="256" t="s">
        <v>63</v>
      </c>
      <c r="K3" s="776">
        <f>VLOOKUP($A3,'IA Data'!$A$299:$C$393,3,FALSE)</f>
        <v>0.2820512821</v>
      </c>
      <c r="L3" s="777" t="s">
        <v>63</v>
      </c>
      <c r="M3" s="252" t="s">
        <v>63</v>
      </c>
      <c r="N3" s="397" t="s">
        <v>63</v>
      </c>
      <c r="O3" s="260" t="s">
        <v>63</v>
      </c>
      <c r="P3" s="261">
        <f>ifna(vlookup(A3,'Population &amp; Church Numbers'!$A$792:$D$890,4,FALSE),"NULL")</f>
        <v>11</v>
      </c>
      <c r="Q3" s="329" t="s">
        <v>63</v>
      </c>
    </row>
    <row r="4">
      <c r="A4" s="188" t="s">
        <v>386</v>
      </c>
      <c r="B4" s="189">
        <f t="array" ref="B4">VLOOKUP($A4,IA_DEMO,2,FALSE)</f>
        <v>3704</v>
      </c>
      <c r="C4" s="333">
        <f>VLOOKUP($A4,'IA Data'!$A$4:$B$102,2,FALSE)</f>
        <v>3</v>
      </c>
      <c r="D4" s="265" t="s">
        <v>63</v>
      </c>
      <c r="E4" s="265">
        <f>VLOOKUP($A4,'IA Data'!$A$4:$D$102,4,FALSE)</f>
        <v>1</v>
      </c>
      <c r="F4" s="265">
        <f>VLOOKUP($A4,'IA Data'!$A$4:$D$102,3,FALSE)</f>
        <v>2</v>
      </c>
      <c r="G4" s="265" t="s">
        <v>63</v>
      </c>
      <c r="H4" s="266" t="str">
        <f>ifna(if(vlookup(A4,'IA Data'!$A$110:$B$207,2,FALSE)="0-5","0-5",vlookup(A4,'IA Data'!$A$110:$B$207,2,FALSE)),"NULL")</f>
        <v>0-5</v>
      </c>
      <c r="I4" s="778" t="str">
        <f>VLOOKUP($A4,'IA Data'!$A$219:$B$296,2,FALSE)</f>
        <v>0-5</v>
      </c>
      <c r="J4" s="268" t="s">
        <v>63</v>
      </c>
      <c r="K4" s="284" t="str">
        <f>VLOOKUP($A4,'IA Data'!$A$299:$C$393,3,FALSE)</f>
        <v>NULL</v>
      </c>
      <c r="L4" s="779" t="s">
        <v>63</v>
      </c>
      <c r="M4" s="264" t="s">
        <v>63</v>
      </c>
      <c r="N4" s="395" t="s">
        <v>63</v>
      </c>
      <c r="O4" s="271" t="s">
        <v>63</v>
      </c>
      <c r="P4" s="272">
        <f>ifna(vlookup(A4,'Population &amp; Church Numbers'!$A$792:$D$890,4,FALSE),"NULL")</f>
        <v>7</v>
      </c>
      <c r="Q4" s="334" t="s">
        <v>63</v>
      </c>
    </row>
    <row r="5">
      <c r="A5" s="326" t="s">
        <v>886</v>
      </c>
      <c r="B5" s="251">
        <f t="array" ref="B5">VLOOKUP($A5,IA_DEMO,2,FALSE)</f>
        <v>14061</v>
      </c>
      <c r="C5" s="327">
        <f>VLOOKUP($A5,'IA Data'!$A$4:$B$102,2,FALSE)</f>
        <v>7</v>
      </c>
      <c r="D5" s="253" t="s">
        <v>63</v>
      </c>
      <c r="E5" s="253">
        <f>VLOOKUP($A5,'IA Data'!$A$4:$D$102,4,FALSE)</f>
        <v>2</v>
      </c>
      <c r="F5" s="253">
        <f>VLOOKUP($A5,'IA Data'!$A$4:$D$102,3,FALSE)</f>
        <v>1</v>
      </c>
      <c r="G5" s="253" t="s">
        <v>63</v>
      </c>
      <c r="H5" s="254">
        <f>ifna(if(vlookup(A5,'IA Data'!$A$110:$B$207,2,FALSE)="0-5","0-5",vlookup(A5,'IA Data'!$A$110:$B$207,2,FALSE)),"NULL")</f>
        <v>7</v>
      </c>
      <c r="I5" s="780" t="s">
        <v>63</v>
      </c>
      <c r="J5" s="256" t="s">
        <v>63</v>
      </c>
      <c r="K5" s="274" t="str">
        <f>VLOOKUP($A5,'IA Data'!$A$299:$C$393,3,FALSE)</f>
        <v>NULL</v>
      </c>
      <c r="L5" s="777" t="s">
        <v>63</v>
      </c>
      <c r="M5" s="252" t="s">
        <v>63</v>
      </c>
      <c r="N5" s="397" t="s">
        <v>63</v>
      </c>
      <c r="O5" s="260" t="s">
        <v>63</v>
      </c>
      <c r="P5" s="261">
        <f>ifna(vlookup(A5,'Population &amp; Church Numbers'!$A$792:$D$890,4,FALSE),"NULL")</f>
        <v>26</v>
      </c>
      <c r="Q5" s="329" t="s">
        <v>63</v>
      </c>
    </row>
    <row r="6">
      <c r="A6" s="188" t="s">
        <v>887</v>
      </c>
      <c r="B6" s="189">
        <f t="array" ref="B6">VLOOKUP($A6,IA_DEMO,2,FALSE)</f>
        <v>12317</v>
      </c>
      <c r="C6" s="333">
        <f>VLOOKUP($A6,'IA Data'!$A$4:$B$102,2,FALSE)</f>
        <v>21</v>
      </c>
      <c r="D6" s="265" t="s">
        <v>63</v>
      </c>
      <c r="E6" s="265">
        <f>VLOOKUP($A6,'IA Data'!$A$4:$D$102,4,FALSE)</f>
        <v>8</v>
      </c>
      <c r="F6" s="265">
        <f>VLOOKUP($A6,'IA Data'!$A$4:$D$102,3,FALSE)</f>
        <v>10</v>
      </c>
      <c r="G6" s="265" t="s">
        <v>63</v>
      </c>
      <c r="H6" s="266">
        <f>ifna(if(vlookup(A6,'IA Data'!$A$110:$B$207,2,FALSE)="0-5","0-5",vlookup(A6,'IA Data'!$A$110:$B$207,2,FALSE)),"NULL")</f>
        <v>12</v>
      </c>
      <c r="I6" s="778" t="str">
        <f>VLOOKUP($A6,'IA Data'!$A$219:$B$296,2,FALSE)</f>
        <v>0-5</v>
      </c>
      <c r="J6" s="268" t="s">
        <v>63</v>
      </c>
      <c r="K6" s="269">
        <f>VLOOKUP($A6,'IA Data'!$A$299:$C$393,3,FALSE)</f>
        <v>0.2380952381</v>
      </c>
      <c r="L6" s="779" t="s">
        <v>63</v>
      </c>
      <c r="M6" s="264" t="s">
        <v>63</v>
      </c>
      <c r="N6" s="395" t="s">
        <v>63</v>
      </c>
      <c r="O6" s="271" t="s">
        <v>63</v>
      </c>
      <c r="P6" s="272">
        <f>ifna(vlookup(A6,'Population &amp; Church Numbers'!$A$792:$D$890,4,FALSE),"NULL")</f>
        <v>25</v>
      </c>
      <c r="Q6" s="334" t="s">
        <v>63</v>
      </c>
    </row>
    <row r="7">
      <c r="A7" s="326" t="s">
        <v>888</v>
      </c>
      <c r="B7" s="251">
        <f t="array" ref="B7">VLOOKUP($A7,IA_DEMO,2,FALSE)</f>
        <v>5674</v>
      </c>
      <c r="C7" s="327">
        <f>VLOOKUP($A7,'IA Data'!$A$4:$B$102,2,FALSE)</f>
        <v>21</v>
      </c>
      <c r="D7" s="253" t="s">
        <v>63</v>
      </c>
      <c r="E7" s="253">
        <f>VLOOKUP($A7,'IA Data'!$A$4:$D$102,4,FALSE)</f>
        <v>2</v>
      </c>
      <c r="F7" s="253">
        <f>VLOOKUP($A7,'IA Data'!$A$4:$D$102,3,FALSE)</f>
        <v>19</v>
      </c>
      <c r="G7" s="253" t="s">
        <v>63</v>
      </c>
      <c r="H7" s="254" t="str">
        <f>ifna(if(vlookup(A7,'IA Data'!$A$110:$B$207,2,FALSE)="0-5","0-5",vlookup(A7,'IA Data'!$A$110:$B$207,2,FALSE)),"NULL")</f>
        <v>0-5</v>
      </c>
      <c r="I7" s="780" t="s">
        <v>63</v>
      </c>
      <c r="J7" s="256" t="s">
        <v>63</v>
      </c>
      <c r="K7" s="776">
        <f>VLOOKUP($A7,'IA Data'!$A$299:$C$393,3,FALSE)</f>
        <v>0.3529411765</v>
      </c>
      <c r="L7" s="777" t="s">
        <v>63</v>
      </c>
      <c r="M7" s="252" t="s">
        <v>63</v>
      </c>
      <c r="N7" s="397" t="s">
        <v>63</v>
      </c>
      <c r="O7" s="260" t="s">
        <v>63</v>
      </c>
      <c r="P7" s="261">
        <f>ifna(vlookup(A7,'Population &amp; Church Numbers'!$A$792:$D$890,4,FALSE),"NULL")</f>
        <v>14</v>
      </c>
      <c r="Q7" s="329" t="s">
        <v>63</v>
      </c>
    </row>
    <row r="8">
      <c r="A8" s="188" t="s">
        <v>243</v>
      </c>
      <c r="B8" s="189">
        <f t="array" ref="B8">VLOOKUP($A8,IA_DEMO,2,FALSE)</f>
        <v>25575</v>
      </c>
      <c r="C8" s="333">
        <f>VLOOKUP($A8,'IA Data'!$A$4:$B$102,2,FALSE)</f>
        <v>37</v>
      </c>
      <c r="D8" s="265" t="s">
        <v>63</v>
      </c>
      <c r="E8" s="265">
        <f>VLOOKUP($A8,'IA Data'!$A$4:$D$102,4,FALSE)</f>
        <v>5</v>
      </c>
      <c r="F8" s="265">
        <f>VLOOKUP($A8,'IA Data'!$A$4:$D$102,3,FALSE)</f>
        <v>19</v>
      </c>
      <c r="G8" s="265" t="s">
        <v>63</v>
      </c>
      <c r="H8" s="266">
        <f>ifna(if(vlookup(A8,'IA Data'!$A$110:$B$207,2,FALSE)="0-5","0-5",vlookup(A8,'IA Data'!$A$110:$B$207,2,FALSE)),"NULL")</f>
        <v>24</v>
      </c>
      <c r="I8" s="778" t="str">
        <f>VLOOKUP($A8,'IA Data'!$A$219:$B$296,2,FALSE)</f>
        <v>0-5</v>
      </c>
      <c r="J8" s="268" t="s">
        <v>63</v>
      </c>
      <c r="K8" s="269">
        <f>VLOOKUP($A8,'IA Data'!$A$299:$C$393,3,FALSE)</f>
        <v>0.1851851852</v>
      </c>
      <c r="L8" s="779" t="s">
        <v>63</v>
      </c>
      <c r="M8" s="264" t="s">
        <v>63</v>
      </c>
      <c r="N8" s="395" t="s">
        <v>63</v>
      </c>
      <c r="O8" s="271" t="s">
        <v>63</v>
      </c>
      <c r="P8" s="272">
        <f>ifna(vlookup(A8,'Population &amp; Church Numbers'!$A$792:$D$890,4,FALSE),"NULL")</f>
        <v>43</v>
      </c>
      <c r="Q8" s="334" t="s">
        <v>63</v>
      </c>
    </row>
    <row r="9">
      <c r="A9" s="326" t="s">
        <v>890</v>
      </c>
      <c r="B9" s="251">
        <f t="array" ref="B9">VLOOKUP($A9,IA_DEMO,2,FALSE)</f>
        <v>131144</v>
      </c>
      <c r="C9" s="327">
        <f>VLOOKUP($A9,'IA Data'!$A$4:$B$102,2,FALSE)</f>
        <v>113</v>
      </c>
      <c r="D9" s="253" t="s">
        <v>63</v>
      </c>
      <c r="E9" s="253">
        <f>VLOOKUP($A9,'IA Data'!$A$4:$D$102,4,FALSE)</f>
        <v>42</v>
      </c>
      <c r="F9" s="253">
        <f>VLOOKUP($A9,'IA Data'!$A$4:$D$102,3,FALSE)</f>
        <v>46</v>
      </c>
      <c r="G9" s="253" t="s">
        <v>63</v>
      </c>
      <c r="H9" s="254">
        <f>ifna(if(vlookup(A9,'IA Data'!$A$110:$B$207,2,FALSE)="0-5","0-5",vlookup(A9,'IA Data'!$A$110:$B$207,2,FALSE)),"NULL")</f>
        <v>95</v>
      </c>
      <c r="I9" s="775">
        <f>VLOOKUP($A9,'IA Data'!$A$219:$B$296,2,FALSE)</f>
        <v>14</v>
      </c>
      <c r="J9" s="256" t="s">
        <v>63</v>
      </c>
      <c r="K9" s="776">
        <f>VLOOKUP($A9,'IA Data'!$A$299:$C$393,3,FALSE)</f>
        <v>0.1344537815</v>
      </c>
      <c r="L9" s="777" t="s">
        <v>63</v>
      </c>
      <c r="M9" s="252" t="s">
        <v>63</v>
      </c>
      <c r="N9" s="397" t="s">
        <v>63</v>
      </c>
      <c r="O9" s="260" t="s">
        <v>63</v>
      </c>
      <c r="P9" s="261">
        <f>ifna(vlookup(A9,'Population &amp; Church Numbers'!$A$792:$D$890,4,FALSE),"NULL")</f>
        <v>129</v>
      </c>
      <c r="Q9" s="329" t="s">
        <v>63</v>
      </c>
    </row>
    <row r="10">
      <c r="A10" s="188" t="s">
        <v>246</v>
      </c>
      <c r="B10" s="189">
        <f t="array" ref="B10">VLOOKUP($A10,IA_DEMO,2,FALSE)</f>
        <v>26715</v>
      </c>
      <c r="C10" s="333">
        <f>VLOOKUP($A10,'IA Data'!$A$4:$B$102,2,FALSE)</f>
        <v>28</v>
      </c>
      <c r="D10" s="265" t="s">
        <v>63</v>
      </c>
      <c r="E10" s="265">
        <f>VLOOKUP($A10,'IA Data'!$A$4:$D$102,4,FALSE)</f>
        <v>8</v>
      </c>
      <c r="F10" s="265">
        <f>VLOOKUP($A10,'IA Data'!$A$4:$D$102,3,FALSE)</f>
        <v>13</v>
      </c>
      <c r="G10" s="265" t="s">
        <v>63</v>
      </c>
      <c r="H10" s="266">
        <f>ifna(if(vlookup(A10,'IA Data'!$A$110:$B$207,2,FALSE)="0-5","0-5",vlookup(A10,'IA Data'!$A$110:$B$207,2,FALSE)),"NULL")</f>
        <v>15</v>
      </c>
      <c r="I10" s="778" t="str">
        <f>VLOOKUP($A10,'IA Data'!$A$219:$B$296,2,FALSE)</f>
        <v>0-5</v>
      </c>
      <c r="J10" s="268" t="s">
        <v>63</v>
      </c>
      <c r="K10" s="269">
        <f>VLOOKUP($A10,'IA Data'!$A$299:$C$393,3,FALSE)</f>
        <v>0.08571428571</v>
      </c>
      <c r="L10" s="779" t="s">
        <v>63</v>
      </c>
      <c r="M10" s="264" t="s">
        <v>63</v>
      </c>
      <c r="N10" s="395" t="s">
        <v>63</v>
      </c>
      <c r="O10" s="271" t="s">
        <v>63</v>
      </c>
      <c r="P10" s="272">
        <f>ifna(vlookup(A10,'Population &amp; Church Numbers'!$A$792:$D$890,4,FALSE),"NULL")</f>
        <v>39</v>
      </c>
      <c r="Q10" s="334" t="s">
        <v>63</v>
      </c>
    </row>
    <row r="11">
      <c r="A11" s="326" t="s">
        <v>891</v>
      </c>
      <c r="B11" s="251">
        <f t="array" ref="B11">VLOOKUP($A11,IA_DEMO,2,FALSE)</f>
        <v>24988</v>
      </c>
      <c r="C11" s="327">
        <f>VLOOKUP($A11,'IA Data'!$A$4:$B$102,2,FALSE)</f>
        <v>25</v>
      </c>
      <c r="D11" s="253" t="s">
        <v>63</v>
      </c>
      <c r="E11" s="253">
        <f>VLOOKUP($A11,'IA Data'!$A$4:$D$102,4,FALSE)</f>
        <v>5</v>
      </c>
      <c r="F11" s="253">
        <f>VLOOKUP($A11,'IA Data'!$A$4:$D$102,3,FALSE)</f>
        <v>17</v>
      </c>
      <c r="G11" s="253" t="s">
        <v>63</v>
      </c>
      <c r="H11" s="254">
        <f>ifna(if(vlookup(A11,'IA Data'!$A$110:$B$207,2,FALSE)="0-5","0-5",vlookup(A11,'IA Data'!$A$110:$B$207,2,FALSE)),"NULL")</f>
        <v>19</v>
      </c>
      <c r="I11" s="775" t="str">
        <f>VLOOKUP($A11,'IA Data'!$A$219:$B$296,2,FALSE)</f>
        <v>0-5</v>
      </c>
      <c r="J11" s="256" t="s">
        <v>63</v>
      </c>
      <c r="K11" s="776">
        <f>VLOOKUP($A11,'IA Data'!$A$299:$C$393,3,FALSE)</f>
        <v>0.2941176471</v>
      </c>
      <c r="L11" s="777" t="s">
        <v>63</v>
      </c>
      <c r="M11" s="252" t="s">
        <v>63</v>
      </c>
      <c r="N11" s="397" t="s">
        <v>63</v>
      </c>
      <c r="O11" s="260" t="s">
        <v>63</v>
      </c>
      <c r="P11" s="261">
        <f>ifna(vlookup(A11,'Population &amp; Church Numbers'!$A$792:$D$890,4,FALSE),"NULL")</f>
        <v>40</v>
      </c>
      <c r="Q11" s="329" t="s">
        <v>63</v>
      </c>
    </row>
    <row r="12">
      <c r="A12" s="188" t="s">
        <v>892</v>
      </c>
      <c r="B12" s="189">
        <f t="array" ref="B12">VLOOKUP($A12,IA_DEMO,2,FALSE)</f>
        <v>20565</v>
      </c>
      <c r="C12" s="333">
        <f>VLOOKUP($A12,'IA Data'!$A$4:$B$102,2,FALSE)</f>
        <v>15</v>
      </c>
      <c r="D12" s="265" t="s">
        <v>63</v>
      </c>
      <c r="E12" s="265">
        <f>VLOOKUP($A12,'IA Data'!$A$4:$D$102,4,FALSE)</f>
        <v>5</v>
      </c>
      <c r="F12" s="265">
        <f>VLOOKUP($A12,'IA Data'!$A$4:$D$102,3,FALSE)</f>
        <v>8</v>
      </c>
      <c r="G12" s="265" t="s">
        <v>63</v>
      </c>
      <c r="H12" s="266">
        <f>ifna(if(vlookup(A12,'IA Data'!$A$110:$B$207,2,FALSE)="0-5","0-5",vlookup(A12,'IA Data'!$A$110:$B$207,2,FALSE)),"NULL")</f>
        <v>9</v>
      </c>
      <c r="I12" s="778" t="str">
        <f>VLOOKUP($A12,'IA Data'!$A$219:$B$296,2,FALSE)</f>
        <v>0-5</v>
      </c>
      <c r="J12" s="268" t="s">
        <v>63</v>
      </c>
      <c r="K12" s="269">
        <f>VLOOKUP($A12,'IA Data'!$A$299:$C$393,3,FALSE)</f>
        <v>0.2142857143</v>
      </c>
      <c r="L12" s="779" t="s">
        <v>63</v>
      </c>
      <c r="M12" s="264" t="s">
        <v>63</v>
      </c>
      <c r="N12" s="395" t="s">
        <v>63</v>
      </c>
      <c r="O12" s="271" t="s">
        <v>63</v>
      </c>
      <c r="P12" s="272">
        <f>ifna(vlookup(A12,'Population &amp; Church Numbers'!$A$792:$D$890,4,FALSE),"NULL")</f>
        <v>32</v>
      </c>
      <c r="Q12" s="334" t="s">
        <v>63</v>
      </c>
    </row>
    <row r="13">
      <c r="A13" s="326" t="s">
        <v>893</v>
      </c>
      <c r="B13" s="251">
        <f t="array" ref="B13">VLOOKUP($A13,IA_DEMO,2,FALSE)</f>
        <v>20823</v>
      </c>
      <c r="C13" s="327">
        <f>VLOOKUP($A13,'IA Data'!$A$4:$B$102,2,FALSE)</f>
        <v>28</v>
      </c>
      <c r="D13" s="253" t="s">
        <v>63</v>
      </c>
      <c r="E13" s="253">
        <f>VLOOKUP($A13,'IA Data'!$A$4:$D$102,4,FALSE)</f>
        <v>12</v>
      </c>
      <c r="F13" s="253">
        <f>VLOOKUP($A13,'IA Data'!$A$4:$D$102,3,FALSE)</f>
        <v>8</v>
      </c>
      <c r="G13" s="253" t="s">
        <v>63</v>
      </c>
      <c r="H13" s="254">
        <f>ifna(if(vlookup(A13,'IA Data'!$A$110:$B$207,2,FALSE)="0-5","0-5",vlookup(A13,'IA Data'!$A$110:$B$207,2,FALSE)),"NULL")</f>
        <v>21</v>
      </c>
      <c r="I13" s="775">
        <f>VLOOKUP($A13,'IA Data'!$A$219:$B$296,2,FALSE)</f>
        <v>6</v>
      </c>
      <c r="J13" s="256" t="s">
        <v>63</v>
      </c>
      <c r="K13" s="776">
        <f>VLOOKUP($A13,'IA Data'!$A$299:$C$393,3,FALSE)</f>
        <v>0.1978021978</v>
      </c>
      <c r="L13" s="777" t="s">
        <v>63</v>
      </c>
      <c r="M13" s="252" t="s">
        <v>63</v>
      </c>
      <c r="N13" s="397" t="s">
        <v>63</v>
      </c>
      <c r="O13" s="260" t="s">
        <v>63</v>
      </c>
      <c r="P13" s="261">
        <f>ifna(vlookup(A13,'Population &amp; Church Numbers'!$A$792:$D$890,4,FALSE),"NULL")</f>
        <v>34</v>
      </c>
      <c r="Q13" s="329" t="s">
        <v>63</v>
      </c>
    </row>
    <row r="14">
      <c r="A14" s="188" t="s">
        <v>87</v>
      </c>
      <c r="B14" s="189">
        <f t="array" ref="B14">VLOOKUP($A14,IA_DEMO,2,FALSE)</f>
        <v>14334</v>
      </c>
      <c r="C14" s="333">
        <f>VLOOKUP($A14,'IA Data'!$A$4:$B$102,2,FALSE)</f>
        <v>5</v>
      </c>
      <c r="D14" s="265" t="s">
        <v>63</v>
      </c>
      <c r="E14" s="265">
        <f>VLOOKUP($A14,'IA Data'!$A$4:$D$102,4,FALSE)</f>
        <v>0</v>
      </c>
      <c r="F14" s="265">
        <f>VLOOKUP($A14,'IA Data'!$A$4:$D$102,3,FALSE)</f>
        <v>2</v>
      </c>
      <c r="G14" s="265" t="s">
        <v>63</v>
      </c>
      <c r="H14" s="266" t="str">
        <f>ifna(if(vlookup(A14,'IA Data'!$A$110:$B$207,2,FALSE)="0-5","0-5",vlookup(A14,'IA Data'!$A$110:$B$207,2,FALSE)),"NULL")</f>
        <v>0-5</v>
      </c>
      <c r="I14" s="778" t="str">
        <f>VLOOKUP($A14,'IA Data'!$A$219:$B$296,2,FALSE)</f>
        <v>0-5</v>
      </c>
      <c r="J14" s="268" t="s">
        <v>63</v>
      </c>
      <c r="K14" s="284" t="str">
        <f>VLOOKUP($A14,'IA Data'!$A$299:$C$393,3,FALSE)</f>
        <v>NULL</v>
      </c>
      <c r="L14" s="779" t="s">
        <v>63</v>
      </c>
      <c r="M14" s="264" t="s">
        <v>63</v>
      </c>
      <c r="N14" s="395" t="s">
        <v>63</v>
      </c>
      <c r="O14" s="271" t="s">
        <v>63</v>
      </c>
      <c r="P14" s="272">
        <f>ifna(vlookup(A14,'Population &amp; Church Numbers'!$A$792:$D$890,4,FALSE),"NULL")</f>
        <v>38</v>
      </c>
      <c r="Q14" s="334" t="s">
        <v>63</v>
      </c>
    </row>
    <row r="15">
      <c r="A15" s="326" t="s">
        <v>93</v>
      </c>
      <c r="B15" s="251">
        <f t="array" ref="B15">VLOOKUP($A15,IA_DEMO,2,FALSE)</f>
        <v>9927</v>
      </c>
      <c r="C15" s="327">
        <f>VLOOKUP($A15,'IA Data'!$A$4:$B$102,2,FALSE)</f>
        <v>15</v>
      </c>
      <c r="D15" s="253" t="s">
        <v>63</v>
      </c>
      <c r="E15" s="253">
        <f>VLOOKUP($A15,'IA Data'!$A$4:$D$102,4,FALSE)</f>
        <v>3</v>
      </c>
      <c r="F15" s="253">
        <f>VLOOKUP($A15,'IA Data'!$A$4:$D$102,3,FALSE)</f>
        <v>6</v>
      </c>
      <c r="G15" s="253" t="s">
        <v>63</v>
      </c>
      <c r="H15" s="254" t="str">
        <f>ifna(if(vlookup(A15,'IA Data'!$A$110:$B$207,2,FALSE)="0-5","0-5",vlookup(A15,'IA Data'!$A$110:$B$207,2,FALSE)),"NULL")</f>
        <v>0-5</v>
      </c>
      <c r="I15" s="780" t="s">
        <v>63</v>
      </c>
      <c r="J15" s="256" t="s">
        <v>63</v>
      </c>
      <c r="K15" s="776">
        <f>VLOOKUP($A15,'IA Data'!$A$299:$C$393,3,FALSE)</f>
        <v>0.1395348837</v>
      </c>
      <c r="L15" s="777" t="s">
        <v>63</v>
      </c>
      <c r="M15" s="252" t="s">
        <v>63</v>
      </c>
      <c r="N15" s="397" t="s">
        <v>63</v>
      </c>
      <c r="O15" s="260" t="s">
        <v>63</v>
      </c>
      <c r="P15" s="261">
        <f>ifna(vlookup(A15,'Population &amp; Church Numbers'!$A$792:$D$890,4,FALSE),"NULL")</f>
        <v>20</v>
      </c>
      <c r="Q15" s="329" t="s">
        <v>63</v>
      </c>
    </row>
    <row r="16">
      <c r="A16" s="188" t="s">
        <v>248</v>
      </c>
      <c r="B16" s="189">
        <f t="array" ref="B16">VLOOKUP($A16,IA_DEMO,2,FALSE)</f>
        <v>20760</v>
      </c>
      <c r="C16" s="333">
        <f>VLOOKUP($A16,'IA Data'!$A$4:$B$102,2,FALSE)</f>
        <v>24</v>
      </c>
      <c r="D16" s="265" t="s">
        <v>63</v>
      </c>
      <c r="E16" s="265">
        <f>VLOOKUP($A16,'IA Data'!$A$4:$D$102,4,FALSE)</f>
        <v>4</v>
      </c>
      <c r="F16" s="265">
        <f>VLOOKUP($A16,'IA Data'!$A$4:$D$102,3,FALSE)</f>
        <v>16</v>
      </c>
      <c r="G16" s="265" t="s">
        <v>63</v>
      </c>
      <c r="H16" s="266">
        <f>ifna(if(vlookup(A16,'IA Data'!$A$110:$B$207,2,FALSE)="0-5","0-5",vlookup(A16,'IA Data'!$A$110:$B$207,2,FALSE)),"NULL")</f>
        <v>9</v>
      </c>
      <c r="I16" s="778" t="str">
        <f>VLOOKUP($A16,'IA Data'!$A$219:$B$296,2,FALSE)</f>
        <v>0-5</v>
      </c>
      <c r="J16" s="268" t="s">
        <v>63</v>
      </c>
      <c r="K16" s="269">
        <f>VLOOKUP($A16,'IA Data'!$A$299:$C$393,3,FALSE)</f>
        <v>0.1379310345</v>
      </c>
      <c r="L16" s="779" t="s">
        <v>63</v>
      </c>
      <c r="M16" s="264" t="s">
        <v>63</v>
      </c>
      <c r="N16" s="395" t="s">
        <v>63</v>
      </c>
      <c r="O16" s="271" t="s">
        <v>63</v>
      </c>
      <c r="P16" s="272">
        <f>ifna(vlookup(A16,'Population &amp; Church Numbers'!$A$792:$D$890,4,FALSE),"NULL")</f>
        <v>39</v>
      </c>
      <c r="Q16" s="334" t="s">
        <v>63</v>
      </c>
    </row>
    <row r="17">
      <c r="A17" s="326" t="s">
        <v>708</v>
      </c>
      <c r="B17" s="251">
        <f t="array" ref="B17">VLOOKUP($A17,IA_DEMO,2,FALSE)</f>
        <v>13127</v>
      </c>
      <c r="C17" s="327">
        <f>VLOOKUP($A17,'IA Data'!$A$4:$B$102,2,FALSE)</f>
        <v>21</v>
      </c>
      <c r="D17" s="253" t="s">
        <v>63</v>
      </c>
      <c r="E17" s="253">
        <f>VLOOKUP($A17,'IA Data'!$A$4:$D$102,4,FALSE)</f>
        <v>4</v>
      </c>
      <c r="F17" s="253">
        <f>VLOOKUP($A17,'IA Data'!$A$4:$D$102,3,FALSE)</f>
        <v>10</v>
      </c>
      <c r="G17" s="253" t="s">
        <v>63</v>
      </c>
      <c r="H17" s="254" t="str">
        <f>ifna(if(vlookup(A17,'IA Data'!$A$110:$B$207,2,FALSE)="0-5","0-5",vlookup(A17,'IA Data'!$A$110:$B$207,2,FALSE)),"NULL")</f>
        <v>0-5</v>
      </c>
      <c r="I17" s="775" t="str">
        <f>VLOOKUP($A17,'IA Data'!$A$219:$B$296,2,FALSE)</f>
        <v>0-5</v>
      </c>
      <c r="J17" s="256" t="s">
        <v>63</v>
      </c>
      <c r="K17" s="274" t="str">
        <f>VLOOKUP($A17,'IA Data'!$A$299:$C$393,3,FALSE)</f>
        <v>NULL</v>
      </c>
      <c r="L17" s="777" t="s">
        <v>63</v>
      </c>
      <c r="M17" s="252" t="s">
        <v>63</v>
      </c>
      <c r="N17" s="397" t="s">
        <v>63</v>
      </c>
      <c r="O17" s="260" t="s">
        <v>63</v>
      </c>
      <c r="P17" s="261">
        <f>ifna(vlookup(A17,'Population &amp; Church Numbers'!$A$792:$D$890,4,FALSE),"NULL")</f>
        <v>29</v>
      </c>
      <c r="Q17" s="329" t="s">
        <v>63</v>
      </c>
    </row>
    <row r="18">
      <c r="A18" s="188" t="s">
        <v>894</v>
      </c>
      <c r="B18" s="189">
        <f t="array" ref="B18">VLOOKUP($A18,IA_DEMO,2,FALSE)</f>
        <v>18505</v>
      </c>
      <c r="C18" s="333">
        <f>VLOOKUP($A18,'IA Data'!$A$4:$B$102,2,FALSE)</f>
        <v>8</v>
      </c>
      <c r="D18" s="265" t="s">
        <v>63</v>
      </c>
      <c r="E18" s="265">
        <f>VLOOKUP($A18,'IA Data'!$A$4:$D$102,4,FALSE)</f>
        <v>1</v>
      </c>
      <c r="F18" s="265">
        <f>VLOOKUP($A18,'IA Data'!$A$4:$D$102,3,FALSE)</f>
        <v>5</v>
      </c>
      <c r="G18" s="265" t="s">
        <v>63</v>
      </c>
      <c r="H18" s="266">
        <f>ifna(if(vlookup(A18,'IA Data'!$A$110:$B$207,2,FALSE)="0-5","0-5",vlookup(A18,'IA Data'!$A$110:$B$207,2,FALSE)),"NULL")</f>
        <v>17</v>
      </c>
      <c r="I18" s="778" t="str">
        <f>VLOOKUP($A18,'IA Data'!$A$219:$B$296,2,FALSE)</f>
        <v>0-5</v>
      </c>
      <c r="J18" s="268" t="s">
        <v>63</v>
      </c>
      <c r="K18" s="284" t="str">
        <f>VLOOKUP($A18,'IA Data'!$A$299:$C$393,3,FALSE)</f>
        <v>NULL</v>
      </c>
      <c r="L18" s="779" t="s">
        <v>63</v>
      </c>
      <c r="M18" s="264" t="s">
        <v>63</v>
      </c>
      <c r="N18" s="395" t="s">
        <v>63</v>
      </c>
      <c r="O18" s="271" t="s">
        <v>63</v>
      </c>
      <c r="P18" s="272">
        <f>ifna(vlookup(A18,'Population &amp; Church Numbers'!$A$792:$D$890,4,FALSE),"NULL")</f>
        <v>27</v>
      </c>
      <c r="Q18" s="334" t="s">
        <v>63</v>
      </c>
    </row>
    <row r="19">
      <c r="A19" s="326" t="s">
        <v>895</v>
      </c>
      <c r="B19" s="251">
        <f t="array" ref="B19">VLOOKUP($A19,IA_DEMO,2,FALSE)</f>
        <v>43127</v>
      </c>
      <c r="C19" s="327">
        <f>VLOOKUP($A19,'IA Data'!$A$4:$B$102,2,FALSE)</f>
        <v>36</v>
      </c>
      <c r="D19" s="253" t="s">
        <v>63</v>
      </c>
      <c r="E19" s="253">
        <f>VLOOKUP($A19,'IA Data'!$A$4:$D$102,4,FALSE)</f>
        <v>4</v>
      </c>
      <c r="F19" s="253">
        <f>VLOOKUP($A19,'IA Data'!$A$4:$D$102,3,FALSE)</f>
        <v>17</v>
      </c>
      <c r="G19" s="253" t="s">
        <v>63</v>
      </c>
      <c r="H19" s="254">
        <f>ifna(if(vlookup(A19,'IA Data'!$A$110:$B$207,2,FALSE)="0-5","0-5",vlookup(A19,'IA Data'!$A$110:$B$207,2,FALSE)),"NULL")</f>
        <v>51</v>
      </c>
      <c r="I19" s="775">
        <f>VLOOKUP($A19,'IA Data'!$A$219:$B$296,2,FALSE)</f>
        <v>10</v>
      </c>
      <c r="J19" s="256" t="s">
        <v>63</v>
      </c>
      <c r="K19" s="776">
        <f>VLOOKUP($A19,'IA Data'!$A$299:$C$393,3,FALSE)</f>
        <v>0.1315789474</v>
      </c>
      <c r="L19" s="777" t="s">
        <v>63</v>
      </c>
      <c r="M19" s="252" t="s">
        <v>63</v>
      </c>
      <c r="N19" s="397" t="s">
        <v>63</v>
      </c>
      <c r="O19" s="260" t="s">
        <v>63</v>
      </c>
      <c r="P19" s="261">
        <f>ifna(vlookup(A19,'Population &amp; Church Numbers'!$A$792:$D$890,4,FALSE),"NULL")</f>
        <v>58</v>
      </c>
      <c r="Q19" s="329" t="s">
        <v>63</v>
      </c>
    </row>
    <row r="20">
      <c r="A20" s="188" t="s">
        <v>101</v>
      </c>
      <c r="B20" s="189">
        <f t="array" ref="B20">VLOOKUP($A20,IA_DEMO,2,FALSE)</f>
        <v>11658</v>
      </c>
      <c r="C20" s="333">
        <f>VLOOKUP($A20,'IA Data'!$A$4:$B$102,2,FALSE)</f>
        <v>17</v>
      </c>
      <c r="D20" s="265" t="s">
        <v>63</v>
      </c>
      <c r="E20" s="265">
        <f>VLOOKUP($A20,'IA Data'!$A$4:$D$102,4,FALSE)</f>
        <v>5</v>
      </c>
      <c r="F20" s="265">
        <f>VLOOKUP($A20,'IA Data'!$A$4:$D$102,3,FALSE)</f>
        <v>9</v>
      </c>
      <c r="G20" s="265" t="s">
        <v>63</v>
      </c>
      <c r="H20" s="266">
        <f>ifna(if(vlookup(A20,'IA Data'!$A$110:$B$207,2,FALSE)="0-5","0-5",vlookup(A20,'IA Data'!$A$110:$B$207,2,FALSE)),"NULL")</f>
        <v>8</v>
      </c>
      <c r="I20" s="778" t="str">
        <f>VLOOKUP($A20,'IA Data'!$A$219:$B$296,2,FALSE)</f>
        <v>0-5</v>
      </c>
      <c r="J20" s="268" t="s">
        <v>63</v>
      </c>
      <c r="K20" s="269">
        <f>VLOOKUP($A20,'IA Data'!$A$299:$C$393,3,FALSE)</f>
        <v>0.125</v>
      </c>
      <c r="L20" s="779" t="s">
        <v>63</v>
      </c>
      <c r="M20" s="264" t="s">
        <v>63</v>
      </c>
      <c r="N20" s="395" t="s">
        <v>63</v>
      </c>
      <c r="O20" s="271" t="s">
        <v>63</v>
      </c>
      <c r="P20" s="272">
        <f>ifna(vlookup(A20,'Population &amp; Church Numbers'!$A$792:$D$890,4,FALSE),"NULL")</f>
        <v>25</v>
      </c>
      <c r="Q20" s="334" t="s">
        <v>63</v>
      </c>
    </row>
    <row r="21">
      <c r="A21" s="326" t="s">
        <v>896</v>
      </c>
      <c r="B21" s="251">
        <f t="array" ref="B21">VLOOKUP($A21,IA_DEMO,2,FALSE)</f>
        <v>12012</v>
      </c>
      <c r="C21" s="327">
        <f>VLOOKUP($A21,'IA Data'!$A$4:$B$102,2,FALSE)</f>
        <v>13</v>
      </c>
      <c r="D21" s="253" t="s">
        <v>63</v>
      </c>
      <c r="E21" s="253">
        <f>VLOOKUP($A21,'IA Data'!$A$4:$D$102,4,FALSE)</f>
        <v>2</v>
      </c>
      <c r="F21" s="253">
        <f>VLOOKUP($A21,'IA Data'!$A$4:$D$102,3,FALSE)</f>
        <v>7</v>
      </c>
      <c r="G21" s="253" t="s">
        <v>63</v>
      </c>
      <c r="H21" s="254">
        <f>ifna(if(vlookup(A21,'IA Data'!$A$110:$B$207,2,FALSE)="0-5","0-5",vlookup(A21,'IA Data'!$A$110:$B$207,2,FALSE)),"NULL")</f>
        <v>10</v>
      </c>
      <c r="I21" s="780" t="s">
        <v>63</v>
      </c>
      <c r="J21" s="256" t="s">
        <v>63</v>
      </c>
      <c r="K21" s="274" t="str">
        <f>VLOOKUP($A21,'IA Data'!$A$299:$C$393,3,FALSE)</f>
        <v>NULL</v>
      </c>
      <c r="L21" s="777" t="s">
        <v>63</v>
      </c>
      <c r="M21" s="252" t="s">
        <v>63</v>
      </c>
      <c r="N21" s="397" t="s">
        <v>63</v>
      </c>
      <c r="O21" s="260" t="s">
        <v>63</v>
      </c>
      <c r="P21" s="261">
        <f>ifna(vlookup(A21,'Population &amp; Church Numbers'!$A$792:$D$890,4,FALSE),"NULL")</f>
        <v>19</v>
      </c>
      <c r="Q21" s="329" t="s">
        <v>63</v>
      </c>
    </row>
    <row r="22">
      <c r="A22" s="188" t="s">
        <v>110</v>
      </c>
      <c r="B22" s="189">
        <f t="array" ref="B22">VLOOKUP($A22,IA_DEMO,2,FALSE)</f>
        <v>9748</v>
      </c>
      <c r="C22" s="333">
        <f>VLOOKUP($A22,'IA Data'!$A$4:$B$102,2,FALSE)</f>
        <v>17</v>
      </c>
      <c r="D22" s="265" t="s">
        <v>63</v>
      </c>
      <c r="E22" s="265">
        <f>VLOOKUP($A22,'IA Data'!$A$4:$D$102,4,FALSE)</f>
        <v>3</v>
      </c>
      <c r="F22" s="265">
        <f>VLOOKUP($A22,'IA Data'!$A$4:$D$102,3,FALSE)</f>
        <v>10</v>
      </c>
      <c r="G22" s="265" t="s">
        <v>63</v>
      </c>
      <c r="H22" s="266" t="str">
        <f>ifna(if(vlookup(A22,'IA Data'!$A$110:$B$207,2,FALSE)="0-5","0-5",vlookup(A22,'IA Data'!$A$110:$B$207,2,FALSE)),"NULL")</f>
        <v>0-5</v>
      </c>
      <c r="I22" s="778">
        <f>VLOOKUP($A22,'IA Data'!$A$219:$B$296,2,FALSE)</f>
        <v>6</v>
      </c>
      <c r="J22" s="268" t="s">
        <v>63</v>
      </c>
      <c r="K22" s="269">
        <f>VLOOKUP($A22,'IA Data'!$A$299:$C$393,3,FALSE)</f>
        <v>0.2619047619</v>
      </c>
      <c r="L22" s="779" t="s">
        <v>63</v>
      </c>
      <c r="M22" s="264" t="s">
        <v>63</v>
      </c>
      <c r="N22" s="395" t="s">
        <v>63</v>
      </c>
      <c r="O22" s="271" t="s">
        <v>63</v>
      </c>
      <c r="P22" s="272">
        <f>ifna(vlookup(A22,'Population &amp; Church Numbers'!$A$792:$D$890,4,FALSE),"NULL")</f>
        <v>14</v>
      </c>
      <c r="Q22" s="334" t="s">
        <v>63</v>
      </c>
    </row>
    <row r="23">
      <c r="A23" s="326" t="s">
        <v>112</v>
      </c>
      <c r="B23" s="251">
        <f t="array" ref="B23">VLOOKUP($A23,IA_DEMO,2,FALSE)</f>
        <v>16384</v>
      </c>
      <c r="C23" s="327">
        <f>VLOOKUP($A23,'IA Data'!$A$4:$B$102,2,FALSE)</f>
        <v>17</v>
      </c>
      <c r="D23" s="253" t="s">
        <v>63</v>
      </c>
      <c r="E23" s="253">
        <f>VLOOKUP($A23,'IA Data'!$A$4:$D$102,4,FALSE)</f>
        <v>6</v>
      </c>
      <c r="F23" s="253">
        <f>VLOOKUP($A23,'IA Data'!$A$4:$D$102,3,FALSE)</f>
        <v>8</v>
      </c>
      <c r="G23" s="253" t="s">
        <v>63</v>
      </c>
      <c r="H23" s="254">
        <f>ifna(if(vlookup(A23,'IA Data'!$A$110:$B$207,2,FALSE)="0-5","0-5",vlookup(A23,'IA Data'!$A$110:$B$207,2,FALSE)),"NULL")</f>
        <v>13</v>
      </c>
      <c r="I23" s="775" t="str">
        <f>VLOOKUP($A23,'IA Data'!$A$219:$B$296,2,FALSE)</f>
        <v>0-5</v>
      </c>
      <c r="J23" s="256" t="s">
        <v>63</v>
      </c>
      <c r="K23" s="776">
        <f>VLOOKUP($A23,'IA Data'!$A$299:$C$393,3,FALSE)</f>
        <v>0.1132075472</v>
      </c>
      <c r="L23" s="777" t="s">
        <v>63</v>
      </c>
      <c r="M23" s="252" t="s">
        <v>63</v>
      </c>
      <c r="N23" s="397" t="s">
        <v>63</v>
      </c>
      <c r="O23" s="260" t="s">
        <v>63</v>
      </c>
      <c r="P23" s="261">
        <f>ifna(vlookup(A23,'Population &amp; Church Numbers'!$A$792:$D$890,4,FALSE),"NULL")</f>
        <v>26</v>
      </c>
      <c r="Q23" s="329" t="s">
        <v>63</v>
      </c>
    </row>
    <row r="24">
      <c r="A24" s="188" t="s">
        <v>555</v>
      </c>
      <c r="B24" s="189">
        <f t="array" ref="B24">VLOOKUP($A24,IA_DEMO,2,FALSE)</f>
        <v>17043</v>
      </c>
      <c r="C24" s="333">
        <f>VLOOKUP($A24,'IA Data'!$A$4:$B$102,2,FALSE)</f>
        <v>6</v>
      </c>
      <c r="D24" s="265" t="s">
        <v>63</v>
      </c>
      <c r="E24" s="265">
        <f>VLOOKUP($A24,'IA Data'!$A$4:$D$102,4,FALSE)</f>
        <v>0</v>
      </c>
      <c r="F24" s="265">
        <f>VLOOKUP($A24,'IA Data'!$A$4:$D$102,3,FALSE)</f>
        <v>3</v>
      </c>
      <c r="G24" s="265" t="s">
        <v>63</v>
      </c>
      <c r="H24" s="266">
        <f>ifna(if(vlookup(A24,'IA Data'!$A$110:$B$207,2,FALSE)="0-5","0-5",vlookup(A24,'IA Data'!$A$110:$B$207,2,FALSE)),"NULL")</f>
        <v>14</v>
      </c>
      <c r="I24" s="778" t="str">
        <f>VLOOKUP($A24,'IA Data'!$A$219:$B$296,2,FALSE)</f>
        <v>0-5</v>
      </c>
      <c r="J24" s="268" t="s">
        <v>63</v>
      </c>
      <c r="K24" s="284" t="str">
        <f>VLOOKUP($A24,'IA Data'!$A$299:$C$393,3,FALSE)</f>
        <v>NULL</v>
      </c>
      <c r="L24" s="779" t="s">
        <v>63</v>
      </c>
      <c r="M24" s="264" t="s">
        <v>63</v>
      </c>
      <c r="N24" s="395" t="s">
        <v>63</v>
      </c>
      <c r="O24" s="271" t="s">
        <v>63</v>
      </c>
      <c r="P24" s="272">
        <f>ifna(vlookup(A24,'Population &amp; Church Numbers'!$A$792:$D$890,4,FALSE),"NULL")</f>
        <v>39</v>
      </c>
      <c r="Q24" s="334" t="s">
        <v>63</v>
      </c>
    </row>
    <row r="25">
      <c r="A25" s="326" t="s">
        <v>711</v>
      </c>
      <c r="B25" s="251">
        <f t="array" ref="B25">VLOOKUP($A25,IA_DEMO,2,FALSE)</f>
        <v>46460</v>
      </c>
      <c r="C25" s="327">
        <f>VLOOKUP($A25,'IA Data'!$A$4:$B$102,2,FALSE)</f>
        <v>67</v>
      </c>
      <c r="D25" s="253" t="s">
        <v>63</v>
      </c>
      <c r="E25" s="253">
        <f>VLOOKUP($A25,'IA Data'!$A$4:$D$102,4,FALSE)</f>
        <v>12</v>
      </c>
      <c r="F25" s="253">
        <f>VLOOKUP($A25,'IA Data'!$A$4:$D$102,3,FALSE)</f>
        <v>37</v>
      </c>
      <c r="G25" s="253" t="s">
        <v>63</v>
      </c>
      <c r="H25" s="254">
        <f>ifna(if(vlookup(A25,'IA Data'!$A$110:$B$207,2,FALSE)="0-5","0-5",vlookup(A25,'IA Data'!$A$110:$B$207,2,FALSE)),"NULL")</f>
        <v>21</v>
      </c>
      <c r="I25" s="775">
        <f>VLOOKUP($A25,'IA Data'!$A$219:$B$296,2,FALSE)</f>
        <v>14</v>
      </c>
      <c r="J25" s="256" t="s">
        <v>63</v>
      </c>
      <c r="K25" s="776">
        <f>VLOOKUP($A25,'IA Data'!$A$299:$C$393,3,FALSE)</f>
        <v>0.1132075472</v>
      </c>
      <c r="L25" s="777" t="s">
        <v>63</v>
      </c>
      <c r="M25" s="252" t="s">
        <v>63</v>
      </c>
      <c r="N25" s="397" t="s">
        <v>63</v>
      </c>
      <c r="O25" s="260" t="s">
        <v>63</v>
      </c>
      <c r="P25" s="261">
        <f>ifna(vlookup(A25,'Population &amp; Church Numbers'!$A$792:$D$890,4,FALSE),"NULL")</f>
        <v>57</v>
      </c>
      <c r="Q25" s="329" t="s">
        <v>63</v>
      </c>
    </row>
    <row r="26">
      <c r="A26" s="188" t="s">
        <v>263</v>
      </c>
      <c r="B26" s="189">
        <f t="array" ref="B26">VLOOKUP($A26,IA_DEMO,2,FALSE)</f>
        <v>16525</v>
      </c>
      <c r="C26" s="333">
        <f>VLOOKUP($A26,'IA Data'!$A$4:$B$102,2,FALSE)</f>
        <v>20</v>
      </c>
      <c r="D26" s="265" t="s">
        <v>63</v>
      </c>
      <c r="E26" s="265">
        <f>VLOOKUP($A26,'IA Data'!$A$4:$D$102,4,FALSE)</f>
        <v>2</v>
      </c>
      <c r="F26" s="265">
        <f>VLOOKUP($A26,'IA Data'!$A$4:$D$102,3,FALSE)</f>
        <v>9</v>
      </c>
      <c r="G26" s="265" t="s">
        <v>63</v>
      </c>
      <c r="H26" s="266" t="str">
        <f>ifna(if(vlookup(A26,'IA Data'!$A$110:$B$207,2,FALSE)="0-5","0-5",vlookup(A26,'IA Data'!$A$110:$B$207,2,FALSE)),"NULL")</f>
        <v>0-5</v>
      </c>
      <c r="I26" s="778">
        <f>VLOOKUP($A26,'IA Data'!$A$219:$B$296,2,FALSE)</f>
        <v>9</v>
      </c>
      <c r="J26" s="268" t="s">
        <v>63</v>
      </c>
      <c r="K26" s="269">
        <f>VLOOKUP($A26,'IA Data'!$A$299:$C$393,3,FALSE)</f>
        <v>0.1176470588</v>
      </c>
      <c r="L26" s="779" t="s">
        <v>63</v>
      </c>
      <c r="M26" s="264" t="s">
        <v>63</v>
      </c>
      <c r="N26" s="395" t="s">
        <v>63</v>
      </c>
      <c r="O26" s="271" t="s">
        <v>63</v>
      </c>
      <c r="P26" s="272">
        <f>ifna(vlookup(A26,'Population &amp; Church Numbers'!$A$792:$D$890,4,FALSE),"NULL")</f>
        <v>27</v>
      </c>
      <c r="Q26" s="334" t="s">
        <v>63</v>
      </c>
    </row>
    <row r="27">
      <c r="A27" s="326" t="s">
        <v>130</v>
      </c>
      <c r="B27" s="251">
        <f t="array" ref="B27">VLOOKUP($A27,IA_DEMO,2,FALSE)</f>
        <v>99678</v>
      </c>
      <c r="C27" s="327">
        <f>VLOOKUP($A27,'IA Data'!$A$4:$B$102,2,FALSE)</f>
        <v>60</v>
      </c>
      <c r="D27" s="253" t="s">
        <v>63</v>
      </c>
      <c r="E27" s="253">
        <f>VLOOKUP($A27,'IA Data'!$A$4:$D$102,4,FALSE)</f>
        <v>11</v>
      </c>
      <c r="F27" s="253">
        <f>VLOOKUP($A27,'IA Data'!$A$4:$D$102,3,FALSE)</f>
        <v>36</v>
      </c>
      <c r="G27" s="253" t="s">
        <v>63</v>
      </c>
      <c r="H27" s="254">
        <f>ifna(if(vlookup(A27,'IA Data'!$A$110:$B$207,2,FALSE)="0-5","0-5",vlookup(A27,'IA Data'!$A$110:$B$207,2,FALSE)),"NULL")</f>
        <v>44</v>
      </c>
      <c r="I27" s="775">
        <f>VLOOKUP($A27,'IA Data'!$A$219:$B$296,2,FALSE)</f>
        <v>10</v>
      </c>
      <c r="J27" s="256" t="s">
        <v>63</v>
      </c>
      <c r="K27" s="776">
        <f>VLOOKUP($A27,'IA Data'!$A$299:$C$393,3,FALSE)</f>
        <v>0.05172413793</v>
      </c>
      <c r="L27" s="777" t="s">
        <v>63</v>
      </c>
      <c r="M27" s="252" t="s">
        <v>63</v>
      </c>
      <c r="N27" s="397" t="s">
        <v>63</v>
      </c>
      <c r="O27" s="260" t="s">
        <v>63</v>
      </c>
      <c r="P27" s="261">
        <f>ifna(vlookup(A27,'Population &amp; Church Numbers'!$A$792:$D$890,4,FALSE),"NULL")</f>
        <v>70</v>
      </c>
      <c r="Q27" s="329" t="s">
        <v>63</v>
      </c>
    </row>
    <row r="28">
      <c r="A28" s="188" t="s">
        <v>897</v>
      </c>
      <c r="B28" s="189">
        <f t="array" ref="B28">VLOOKUP($A28,IA_DEMO,2,FALSE)</f>
        <v>9110</v>
      </c>
      <c r="C28" s="333">
        <f>VLOOKUP($A28,'IA Data'!$A$4:$B$102,2,FALSE)</f>
        <v>3</v>
      </c>
      <c r="D28" s="265" t="s">
        <v>63</v>
      </c>
      <c r="E28" s="265">
        <f>VLOOKUP($A28,'IA Data'!$A$4:$D$102,4,FALSE)</f>
        <v>0</v>
      </c>
      <c r="F28" s="265">
        <f>VLOOKUP($A28,'IA Data'!$A$4:$D$102,3,FALSE)</f>
        <v>2</v>
      </c>
      <c r="G28" s="265" t="s">
        <v>63</v>
      </c>
      <c r="H28" s="266">
        <f>ifna(if(vlookup(A28,'IA Data'!$A$110:$B$207,2,FALSE)="0-5","0-5",vlookup(A28,'IA Data'!$A$110:$B$207,2,FALSE)),"NULL")</f>
        <v>9</v>
      </c>
      <c r="I28" s="816" t="s">
        <v>63</v>
      </c>
      <c r="J28" s="268" t="s">
        <v>63</v>
      </c>
      <c r="K28" s="284" t="str">
        <f>VLOOKUP($A28,'IA Data'!$A$299:$C$393,3,FALSE)</f>
        <v>NULL</v>
      </c>
      <c r="L28" s="779" t="s">
        <v>63</v>
      </c>
      <c r="M28" s="264" t="s">
        <v>63</v>
      </c>
      <c r="N28" s="395" t="s">
        <v>63</v>
      </c>
      <c r="O28" s="271" t="s">
        <v>63</v>
      </c>
      <c r="P28" s="272">
        <f>ifna(vlookup(A28,'Population &amp; Church Numbers'!$A$792:$D$890,4,FALSE),"NULL")</f>
        <v>17</v>
      </c>
      <c r="Q28" s="334" t="s">
        <v>63</v>
      </c>
    </row>
    <row r="29">
      <c r="A29" s="326" t="s">
        <v>563</v>
      </c>
      <c r="B29" s="251">
        <f t="array" ref="B29">VLOOKUP($A29,IA_DEMO,2,FALSE)</f>
        <v>7645</v>
      </c>
      <c r="C29" s="327">
        <f>VLOOKUP($A29,'IA Data'!$A$4:$B$102,2,FALSE)</f>
        <v>24</v>
      </c>
      <c r="D29" s="253" t="s">
        <v>63</v>
      </c>
      <c r="E29" s="253">
        <f>VLOOKUP($A29,'IA Data'!$A$4:$D$102,4,FALSE)</f>
        <v>14</v>
      </c>
      <c r="F29" s="253">
        <f>VLOOKUP($A29,'IA Data'!$A$4:$D$102,3,FALSE)</f>
        <v>9</v>
      </c>
      <c r="G29" s="253" t="s">
        <v>63</v>
      </c>
      <c r="H29" s="254">
        <f>ifna(if(vlookup(A29,'IA Data'!$A$110:$B$207,2,FALSE)="0-5","0-5",vlookup(A29,'IA Data'!$A$110:$B$207,2,FALSE)),"NULL")</f>
        <v>6</v>
      </c>
      <c r="I29" s="775">
        <f>VLOOKUP($A29,'IA Data'!$A$219:$B$296,2,FALSE)</f>
        <v>7</v>
      </c>
      <c r="J29" s="256" t="s">
        <v>63</v>
      </c>
      <c r="K29" s="274" t="str">
        <f>VLOOKUP($A29,'IA Data'!$A$299:$C$393,3,FALSE)</f>
        <v>NULL</v>
      </c>
      <c r="L29" s="777" t="s">
        <v>63</v>
      </c>
      <c r="M29" s="252" t="s">
        <v>63</v>
      </c>
      <c r="N29" s="397" t="s">
        <v>63</v>
      </c>
      <c r="O29" s="260" t="s">
        <v>63</v>
      </c>
      <c r="P29" s="261">
        <f>ifna(vlookup(A29,'Population &amp; Church Numbers'!$A$792:$D$890,4,FALSE),"NULL")</f>
        <v>15</v>
      </c>
      <c r="Q29" s="329" t="s">
        <v>63</v>
      </c>
    </row>
    <row r="30">
      <c r="A30" s="188" t="s">
        <v>40</v>
      </c>
      <c r="B30" s="189">
        <f t="array" ref="B30">VLOOKUP($A30,IA_DEMO,2,FALSE)</f>
        <v>17488</v>
      </c>
      <c r="C30" s="333">
        <f>VLOOKUP($A30,'IA Data'!$A$4:$B$102,2,FALSE)</f>
        <v>12</v>
      </c>
      <c r="D30" s="265" t="s">
        <v>63</v>
      </c>
      <c r="E30" s="265">
        <f>VLOOKUP($A30,'IA Data'!$A$4:$D$102,4,FALSE)</f>
        <v>2</v>
      </c>
      <c r="F30" s="265">
        <f>VLOOKUP($A30,'IA Data'!$A$4:$D$102,3,FALSE)</f>
        <v>4</v>
      </c>
      <c r="G30" s="265" t="s">
        <v>63</v>
      </c>
      <c r="H30" s="266">
        <f>ifna(if(vlookup(A30,'IA Data'!$A$110:$B$207,2,FALSE)="0-5","0-5",vlookup(A30,'IA Data'!$A$110:$B$207,2,FALSE)),"NULL")</f>
        <v>7</v>
      </c>
      <c r="I30" s="778" t="str">
        <f>VLOOKUP($A30,'IA Data'!$A$219:$B$296,2,FALSE)</f>
        <v>0-5</v>
      </c>
      <c r="J30" s="268" t="s">
        <v>63</v>
      </c>
      <c r="K30" s="269">
        <f>VLOOKUP($A30,'IA Data'!$A$299:$C$393,3,FALSE)</f>
        <v>0.375</v>
      </c>
      <c r="L30" s="779" t="s">
        <v>63</v>
      </c>
      <c r="M30" s="264" t="s">
        <v>63</v>
      </c>
      <c r="N30" s="395" t="s">
        <v>63</v>
      </c>
      <c r="O30" s="271" t="s">
        <v>63</v>
      </c>
      <c r="P30" s="272">
        <f>ifna(vlookup(A30,'Population &amp; Church Numbers'!$A$792:$D$890,4,FALSE),"NULL")</f>
        <v>17</v>
      </c>
      <c r="Q30" s="334" t="s">
        <v>63</v>
      </c>
    </row>
    <row r="31">
      <c r="A31" s="326" t="s">
        <v>898</v>
      </c>
      <c r="B31" s="251">
        <f t="array" ref="B31">VLOOKUP($A31,IA_DEMO,2,FALSE)</f>
        <v>38910</v>
      </c>
      <c r="C31" s="327">
        <f>VLOOKUP($A31,'IA Data'!$A$4:$B$102,2,FALSE)</f>
        <v>91</v>
      </c>
      <c r="D31" s="253" t="s">
        <v>63</v>
      </c>
      <c r="E31" s="253">
        <f>VLOOKUP($A31,'IA Data'!$A$4:$D$102,4,FALSE)</f>
        <v>21</v>
      </c>
      <c r="F31" s="253">
        <f>VLOOKUP($A31,'IA Data'!$A$4:$D$102,3,FALSE)</f>
        <v>57</v>
      </c>
      <c r="G31" s="253" t="s">
        <v>63</v>
      </c>
      <c r="H31" s="254">
        <f>ifna(if(vlookup(A31,'IA Data'!$A$110:$B$207,2,FALSE)="0-5","0-5",vlookup(A31,'IA Data'!$A$110:$B$207,2,FALSE)),"NULL")</f>
        <v>29</v>
      </c>
      <c r="I31" s="775">
        <f>VLOOKUP($A31,'IA Data'!$A$219:$B$296,2,FALSE)</f>
        <v>16</v>
      </c>
      <c r="J31" s="256" t="s">
        <v>63</v>
      </c>
      <c r="K31" s="776">
        <f>VLOOKUP($A31,'IA Data'!$A$299:$C$393,3,FALSE)</f>
        <v>0.2790697674</v>
      </c>
      <c r="L31" s="777" t="s">
        <v>63</v>
      </c>
      <c r="M31" s="252" t="s">
        <v>63</v>
      </c>
      <c r="N31" s="397" t="s">
        <v>63</v>
      </c>
      <c r="O31" s="260" t="s">
        <v>63</v>
      </c>
      <c r="P31" s="261">
        <f>ifna(vlookup(A31,'Population &amp; Church Numbers'!$A$792:$D$890,4,FALSE),"NULL")</f>
        <v>65</v>
      </c>
      <c r="Q31" s="329" t="s">
        <v>63</v>
      </c>
    </row>
    <row r="32">
      <c r="A32" s="188" t="s">
        <v>899</v>
      </c>
      <c r="B32" s="189">
        <f t="array" ref="B32">VLOOKUP($A32,IA_DEMO,2,FALSE)</f>
        <v>17703</v>
      </c>
      <c r="C32" s="333">
        <f>VLOOKUP($A32,'IA Data'!$A$4:$B$102,2,FALSE)</f>
        <v>12</v>
      </c>
      <c r="D32" s="265" t="s">
        <v>63</v>
      </c>
      <c r="E32" s="265">
        <f>VLOOKUP($A32,'IA Data'!$A$4:$D$102,4,FALSE)</f>
        <v>1</v>
      </c>
      <c r="F32" s="265">
        <f>VLOOKUP($A32,'IA Data'!$A$4:$D$102,3,FALSE)</f>
        <v>8</v>
      </c>
      <c r="G32" s="265" t="s">
        <v>63</v>
      </c>
      <c r="H32" s="266">
        <f>ifna(if(vlookup(A32,'IA Data'!$A$110:$B$207,2,FALSE)="0-5","0-5",vlookup(A32,'IA Data'!$A$110:$B$207,2,FALSE)),"NULL")</f>
        <v>17</v>
      </c>
      <c r="I32" s="816" t="s">
        <v>63</v>
      </c>
      <c r="J32" s="268" t="s">
        <v>63</v>
      </c>
      <c r="K32" s="269">
        <f>VLOOKUP($A32,'IA Data'!$A$299:$C$393,3,FALSE)</f>
        <v>0.2461538462</v>
      </c>
      <c r="L32" s="779" t="s">
        <v>63</v>
      </c>
      <c r="M32" s="264" t="s">
        <v>63</v>
      </c>
      <c r="N32" s="395" t="s">
        <v>63</v>
      </c>
      <c r="O32" s="271" t="s">
        <v>63</v>
      </c>
      <c r="P32" s="272">
        <f>ifna(vlookup(A32,'Population &amp; Church Numbers'!$A$792:$D$890,4,FALSE),"NULL")</f>
        <v>23</v>
      </c>
      <c r="Q32" s="334" t="s">
        <v>63</v>
      </c>
    </row>
    <row r="33">
      <c r="A33" s="326" t="s">
        <v>900</v>
      </c>
      <c r="B33" s="251">
        <f t="array" ref="B33">VLOOKUP($A33,IA_DEMO,2,FALSE)</f>
        <v>99266</v>
      </c>
      <c r="C33" s="327">
        <f>VLOOKUP($A33,'IA Data'!$A$4:$B$102,2,FALSE)</f>
        <v>74</v>
      </c>
      <c r="D33" s="253" t="s">
        <v>63</v>
      </c>
      <c r="E33" s="253">
        <f>VLOOKUP($A33,'IA Data'!$A$4:$D$102,4,FALSE)</f>
        <v>19</v>
      </c>
      <c r="F33" s="253">
        <f>VLOOKUP($A33,'IA Data'!$A$4:$D$102,3,FALSE)</f>
        <v>43</v>
      </c>
      <c r="G33" s="253" t="s">
        <v>63</v>
      </c>
      <c r="H33" s="254">
        <f>ifna(if(vlookup(A33,'IA Data'!$A$110:$B$207,2,FALSE)="0-5","0-5",vlookup(A33,'IA Data'!$A$110:$B$207,2,FALSE)),"NULL")</f>
        <v>35</v>
      </c>
      <c r="I33" s="775">
        <f>VLOOKUP($A33,'IA Data'!$A$219:$B$296,2,FALSE)</f>
        <v>10</v>
      </c>
      <c r="J33" s="256" t="s">
        <v>63</v>
      </c>
      <c r="K33" s="776">
        <f>VLOOKUP($A33,'IA Data'!$A$299:$C$393,3,FALSE)</f>
        <v>0.1141975309</v>
      </c>
      <c r="L33" s="777" t="s">
        <v>63</v>
      </c>
      <c r="M33" s="252" t="s">
        <v>63</v>
      </c>
      <c r="N33" s="397" t="s">
        <v>63</v>
      </c>
      <c r="O33" s="260" t="s">
        <v>63</v>
      </c>
      <c r="P33" s="261">
        <f>ifna(vlookup(A33,'Population &amp; Church Numbers'!$A$792:$D$890,4,FALSE),"NULL")</f>
        <v>58</v>
      </c>
      <c r="Q33" s="329" t="s">
        <v>63</v>
      </c>
    </row>
    <row r="34">
      <c r="A34" s="188" t="s">
        <v>901</v>
      </c>
      <c r="B34" s="189">
        <f t="array" ref="B34">VLOOKUP($A34,IA_DEMO,2,FALSE)</f>
        <v>9388</v>
      </c>
      <c r="C34" s="333">
        <f>VLOOKUP($A34,'IA Data'!$A$4:$B$102,2,FALSE)</f>
        <v>13</v>
      </c>
      <c r="D34" s="265" t="s">
        <v>63</v>
      </c>
      <c r="E34" s="265">
        <f>VLOOKUP($A34,'IA Data'!$A$4:$D$102,4,FALSE)</f>
        <v>2</v>
      </c>
      <c r="F34" s="265">
        <f>VLOOKUP($A34,'IA Data'!$A$4:$D$102,3,FALSE)</f>
        <v>6</v>
      </c>
      <c r="G34" s="265" t="s">
        <v>63</v>
      </c>
      <c r="H34" s="266">
        <f>ifna(if(vlookup(A34,'IA Data'!$A$110:$B$207,2,FALSE)="0-5","0-5",vlookup(A34,'IA Data'!$A$110:$B$207,2,FALSE)),"NULL")</f>
        <v>8</v>
      </c>
      <c r="I34" s="778" t="str">
        <f>VLOOKUP($A34,'IA Data'!$A$219:$B$296,2,FALSE)</f>
        <v>0-5</v>
      </c>
      <c r="J34" s="268" t="s">
        <v>63</v>
      </c>
      <c r="K34" s="284" t="str">
        <f>VLOOKUP($A34,'IA Data'!$A$299:$C$393,3,FALSE)</f>
        <v>NULL</v>
      </c>
      <c r="L34" s="779" t="s">
        <v>63</v>
      </c>
      <c r="M34" s="264" t="s">
        <v>63</v>
      </c>
      <c r="N34" s="395" t="s">
        <v>63</v>
      </c>
      <c r="O34" s="271" t="s">
        <v>63</v>
      </c>
      <c r="P34" s="272">
        <f>ifna(vlookup(A34,'Population &amp; Church Numbers'!$A$792:$D$890,4,FALSE),"NULL")</f>
        <v>20</v>
      </c>
      <c r="Q34" s="334" t="s">
        <v>63</v>
      </c>
    </row>
    <row r="35">
      <c r="A35" s="326" t="s">
        <v>135</v>
      </c>
      <c r="B35" s="251">
        <f t="array" ref="B35">VLOOKUP($A35,IA_DEMO,2,FALSE)</f>
        <v>19509</v>
      </c>
      <c r="C35" s="327">
        <f>VLOOKUP($A35,'IA Data'!$A$4:$B$102,2,FALSE)</f>
        <v>41</v>
      </c>
      <c r="D35" s="253" t="s">
        <v>63</v>
      </c>
      <c r="E35" s="253">
        <f>VLOOKUP($A35,'IA Data'!$A$4:$D$102,4,FALSE)</f>
        <v>9</v>
      </c>
      <c r="F35" s="253">
        <f>VLOOKUP($A35,'IA Data'!$A$4:$D$102,3,FALSE)</f>
        <v>21</v>
      </c>
      <c r="G35" s="253" t="s">
        <v>63</v>
      </c>
      <c r="H35" s="254">
        <f>ifna(if(vlookup(A35,'IA Data'!$A$110:$B$207,2,FALSE)="0-5","0-5",vlookup(A35,'IA Data'!$A$110:$B$207,2,FALSE)),"NULL")</f>
        <v>7</v>
      </c>
      <c r="I35" s="775">
        <f>VLOOKUP($A35,'IA Data'!$A$219:$B$296,2,FALSE)</f>
        <v>6</v>
      </c>
      <c r="J35" s="256" t="s">
        <v>63</v>
      </c>
      <c r="K35" s="274" t="str">
        <f>VLOOKUP($A35,'IA Data'!$A$299:$C$393,3,FALSE)</f>
        <v>NULL</v>
      </c>
      <c r="L35" s="777" t="s">
        <v>63</v>
      </c>
      <c r="M35" s="252" t="s">
        <v>63</v>
      </c>
      <c r="N35" s="397" t="s">
        <v>63</v>
      </c>
      <c r="O35" s="260" t="s">
        <v>63</v>
      </c>
      <c r="P35" s="261">
        <f>ifna(vlookup(A35,'Population &amp; Church Numbers'!$A$792:$D$890,4,FALSE),"NULL")</f>
        <v>34</v>
      </c>
      <c r="Q35" s="329" t="s">
        <v>63</v>
      </c>
    </row>
    <row r="36">
      <c r="A36" s="188" t="s">
        <v>575</v>
      </c>
      <c r="B36" s="189">
        <f t="array" ref="B36">VLOOKUP($A36,IA_DEMO,2,FALSE)</f>
        <v>15627</v>
      </c>
      <c r="C36" s="333">
        <f>VLOOKUP($A36,'IA Data'!$A$4:$B$102,2,FALSE)</f>
        <v>45</v>
      </c>
      <c r="D36" s="265" t="s">
        <v>63</v>
      </c>
      <c r="E36" s="265">
        <f>VLOOKUP($A36,'IA Data'!$A$4:$D$102,4,FALSE)</f>
        <v>18</v>
      </c>
      <c r="F36" s="265">
        <f>VLOOKUP($A36,'IA Data'!$A$4:$D$102,3,FALSE)</f>
        <v>21</v>
      </c>
      <c r="G36" s="265" t="s">
        <v>63</v>
      </c>
      <c r="H36" s="266">
        <f>ifna(if(vlookup(A36,'IA Data'!$A$110:$B$207,2,FALSE)="0-5","0-5",vlookup(A36,'IA Data'!$A$110:$B$207,2,FALSE)),"NULL")</f>
        <v>20</v>
      </c>
      <c r="I36" s="778">
        <f>VLOOKUP($A36,'IA Data'!$A$219:$B$296,2,FALSE)</f>
        <v>10</v>
      </c>
      <c r="J36" s="268" t="s">
        <v>63</v>
      </c>
      <c r="K36" s="269">
        <f>VLOOKUP($A36,'IA Data'!$A$299:$C$393,3,FALSE)</f>
        <v>0.1232876712</v>
      </c>
      <c r="L36" s="779" t="s">
        <v>63</v>
      </c>
      <c r="M36" s="264" t="s">
        <v>63</v>
      </c>
      <c r="N36" s="395" t="s">
        <v>63</v>
      </c>
      <c r="O36" s="271" t="s">
        <v>63</v>
      </c>
      <c r="P36" s="272">
        <f>ifna(vlookup(A36,'Population &amp; Church Numbers'!$A$792:$D$890,4,FALSE),"NULL")</f>
        <v>24</v>
      </c>
      <c r="Q36" s="334" t="s">
        <v>63</v>
      </c>
    </row>
    <row r="37">
      <c r="A37" s="326" t="s">
        <v>136</v>
      </c>
      <c r="B37" s="251">
        <f t="array" ref="B37">VLOOKUP($A37,IA_DEMO,2,FALSE)</f>
        <v>10019</v>
      </c>
      <c r="C37" s="327">
        <f>VLOOKUP($A37,'IA Data'!$A$4:$B$102,2,FALSE)</f>
        <v>10</v>
      </c>
      <c r="D37" s="253" t="s">
        <v>63</v>
      </c>
      <c r="E37" s="253">
        <f>VLOOKUP($A37,'IA Data'!$A$4:$D$102,4,FALSE)</f>
        <v>5</v>
      </c>
      <c r="F37" s="253">
        <f>VLOOKUP($A37,'IA Data'!$A$4:$D$102,3,FALSE)</f>
        <v>5</v>
      </c>
      <c r="G37" s="253" t="s">
        <v>63</v>
      </c>
      <c r="H37" s="254" t="str">
        <f>ifna(if(vlookup(A37,'IA Data'!$A$110:$B$207,2,FALSE)="0-5","0-5",vlookup(A37,'IA Data'!$A$110:$B$207,2,FALSE)),"NULL")</f>
        <v>0-5</v>
      </c>
      <c r="I37" s="780" t="s">
        <v>63</v>
      </c>
      <c r="J37" s="256" t="s">
        <v>63</v>
      </c>
      <c r="K37" s="274" t="str">
        <f>VLOOKUP($A37,'IA Data'!$A$299:$C$393,3,FALSE)</f>
        <v>#N/A</v>
      </c>
      <c r="L37" s="777" t="s">
        <v>63</v>
      </c>
      <c r="M37" s="252" t="s">
        <v>63</v>
      </c>
      <c r="N37" s="397" t="s">
        <v>63</v>
      </c>
      <c r="O37" s="260" t="s">
        <v>63</v>
      </c>
      <c r="P37" s="261">
        <f>ifna(vlookup(A37,'Population &amp; Church Numbers'!$A$792:$D$890,4,FALSE),"NULL")</f>
        <v>19</v>
      </c>
      <c r="Q37" s="329" t="s">
        <v>63</v>
      </c>
    </row>
    <row r="38">
      <c r="A38" s="188" t="s">
        <v>416</v>
      </c>
      <c r="B38" s="189">
        <f t="array" ref="B38">VLOOKUP($A38,IA_DEMO,2,FALSE)</f>
        <v>6605</v>
      </c>
      <c r="C38" s="333">
        <f>VLOOKUP($A38,'IA Data'!$A$4:$B$102,2,FALSE)</f>
        <v>7</v>
      </c>
      <c r="D38" s="265" t="s">
        <v>63</v>
      </c>
      <c r="E38" s="265">
        <f>VLOOKUP($A38,'IA Data'!$A$4:$D$102,4,FALSE)</f>
        <v>0</v>
      </c>
      <c r="F38" s="265">
        <f>VLOOKUP($A38,'IA Data'!$A$4:$D$102,3,FALSE)</f>
        <v>4</v>
      </c>
      <c r="G38" s="265" t="s">
        <v>63</v>
      </c>
      <c r="H38" s="266" t="str">
        <f>ifna(if(vlookup(A38,'IA Data'!$A$110:$B$207,2,FALSE)="0-5","0-5",vlookup(A38,'IA Data'!$A$110:$B$207,2,FALSE)),"NULL")</f>
        <v>0-5</v>
      </c>
      <c r="I38" s="816" t="s">
        <v>63</v>
      </c>
      <c r="J38" s="268" t="s">
        <v>63</v>
      </c>
      <c r="K38" s="269">
        <f>VLOOKUP($A38,'IA Data'!$A$299:$C$393,3,FALSE)</f>
        <v>0.4117647059</v>
      </c>
      <c r="L38" s="779" t="s">
        <v>63</v>
      </c>
      <c r="M38" s="264" t="s">
        <v>63</v>
      </c>
      <c r="N38" s="395" t="s">
        <v>63</v>
      </c>
      <c r="O38" s="271" t="s">
        <v>63</v>
      </c>
      <c r="P38" s="272">
        <f>ifna(vlookup(A38,'Population &amp; Church Numbers'!$A$792:$D$890,4,FALSE),"NULL")</f>
        <v>14</v>
      </c>
      <c r="Q38" s="334" t="s">
        <v>63</v>
      </c>
    </row>
    <row r="39">
      <c r="A39" s="326" t="s">
        <v>138</v>
      </c>
      <c r="B39" s="251">
        <f t="array" ref="B39">VLOOKUP($A39,IA_DEMO,2,FALSE)</f>
        <v>8771</v>
      </c>
      <c r="C39" s="327">
        <f>VLOOKUP($A39,'IA Data'!$A$4:$B$102,2,FALSE)</f>
        <v>19</v>
      </c>
      <c r="D39" s="253" t="s">
        <v>63</v>
      </c>
      <c r="E39" s="253">
        <f>VLOOKUP($A39,'IA Data'!$A$4:$D$102,4,FALSE)</f>
        <v>3</v>
      </c>
      <c r="F39" s="253">
        <f>VLOOKUP($A39,'IA Data'!$A$4:$D$102,3,FALSE)</f>
        <v>13</v>
      </c>
      <c r="G39" s="253" t="s">
        <v>63</v>
      </c>
      <c r="H39" s="254" t="str">
        <f>ifna(if(vlookup(A39,'IA Data'!$A$110:$B$207,2,FALSE)="0-5","0-5",vlookup(A39,'IA Data'!$A$110:$B$207,2,FALSE)),"NULL")</f>
        <v>0-5</v>
      </c>
      <c r="I39" s="775" t="str">
        <f>VLOOKUP($A39,'IA Data'!$A$219:$B$296,2,FALSE)</f>
        <v>0-5</v>
      </c>
      <c r="J39" s="256" t="s">
        <v>63</v>
      </c>
      <c r="K39" s="274" t="str">
        <f>VLOOKUP($A39,'IA Data'!$A$299:$C$393,3,FALSE)</f>
        <v>NULL</v>
      </c>
      <c r="L39" s="777" t="s">
        <v>63</v>
      </c>
      <c r="M39" s="252" t="s">
        <v>63</v>
      </c>
      <c r="N39" s="397" t="s">
        <v>63</v>
      </c>
      <c r="O39" s="260" t="s">
        <v>63</v>
      </c>
      <c r="P39" s="261">
        <f>ifna(vlookup(A39,'Population &amp; Church Numbers'!$A$792:$D$890,4,FALSE),"NULL")</f>
        <v>23</v>
      </c>
      <c r="Q39" s="329" t="s">
        <v>63</v>
      </c>
    </row>
    <row r="40">
      <c r="A40" s="188" t="s">
        <v>720</v>
      </c>
      <c r="B40" s="189">
        <f t="array" ref="B40">VLOOKUP($A40,IA_DEMO,2,FALSE)</f>
        <v>12329</v>
      </c>
      <c r="C40" s="333">
        <f>VLOOKUP($A40,'IA Data'!$A$4:$B$102,2,FALSE)</f>
        <v>12</v>
      </c>
      <c r="D40" s="265" t="s">
        <v>63</v>
      </c>
      <c r="E40" s="265">
        <f>VLOOKUP($A40,'IA Data'!$A$4:$D$102,4,FALSE)</f>
        <v>2</v>
      </c>
      <c r="F40" s="265">
        <f>VLOOKUP($A40,'IA Data'!$A$4:$D$102,3,FALSE)</f>
        <v>9</v>
      </c>
      <c r="G40" s="265" t="s">
        <v>63</v>
      </c>
      <c r="H40" s="266">
        <f>ifna(if(vlookup(A40,'IA Data'!$A$110:$B$207,2,FALSE)="0-5","0-5",vlookup(A40,'IA Data'!$A$110:$B$207,2,FALSE)),"NULL")</f>
        <v>12</v>
      </c>
      <c r="I40" s="778" t="str">
        <f>VLOOKUP($A40,'IA Data'!$A$219:$B$296,2,FALSE)</f>
        <v>0-5</v>
      </c>
      <c r="J40" s="268" t="s">
        <v>63</v>
      </c>
      <c r="K40" s="284" t="str">
        <f>VLOOKUP($A40,'IA Data'!$A$299:$C$393,3,FALSE)</f>
        <v>NULL</v>
      </c>
      <c r="L40" s="779" t="s">
        <v>63</v>
      </c>
      <c r="M40" s="264" t="s">
        <v>63</v>
      </c>
      <c r="N40" s="395" t="s">
        <v>63</v>
      </c>
      <c r="O40" s="271" t="s">
        <v>63</v>
      </c>
      <c r="P40" s="272">
        <f>ifna(vlookup(A40,'Population &amp; Church Numbers'!$A$792:$D$890,4,FALSE),"NULL")</f>
        <v>29</v>
      </c>
      <c r="Q40" s="334" t="s">
        <v>63</v>
      </c>
    </row>
    <row r="41">
      <c r="A41" s="326" t="s">
        <v>902</v>
      </c>
      <c r="B41" s="251">
        <f t="array" ref="B41">VLOOKUP($A41,IA_DEMO,2,FALSE)</f>
        <v>10623</v>
      </c>
      <c r="C41" s="327">
        <f>VLOOKUP($A41,'IA Data'!$A$4:$B$102,2,FALSE)</f>
        <v>26</v>
      </c>
      <c r="D41" s="253" t="s">
        <v>63</v>
      </c>
      <c r="E41" s="253">
        <f>VLOOKUP($A41,'IA Data'!$A$4:$D$102,4,FALSE)</f>
        <v>4</v>
      </c>
      <c r="F41" s="253">
        <f>VLOOKUP($A41,'IA Data'!$A$4:$D$102,3,FALSE)</f>
        <v>16</v>
      </c>
      <c r="G41" s="253" t="s">
        <v>63</v>
      </c>
      <c r="H41" s="254">
        <f>ifna(if(vlookup(A41,'IA Data'!$A$110:$B$207,2,FALSE)="0-5","0-5",vlookup(A41,'IA Data'!$A$110:$B$207,2,FALSE)),"NULL")</f>
        <v>6</v>
      </c>
      <c r="I41" s="775" t="str">
        <f>VLOOKUP($A41,'IA Data'!$A$219:$B$296,2,FALSE)</f>
        <v>0-5</v>
      </c>
      <c r="J41" s="256" t="s">
        <v>63</v>
      </c>
      <c r="K41" s="776">
        <f>VLOOKUP($A41,'IA Data'!$A$299:$C$393,3,FALSE)</f>
        <v>0.4090909091</v>
      </c>
      <c r="L41" s="777" t="s">
        <v>63</v>
      </c>
      <c r="M41" s="252" t="s">
        <v>63</v>
      </c>
      <c r="N41" s="397" t="s">
        <v>63</v>
      </c>
      <c r="O41" s="260" t="s">
        <v>63</v>
      </c>
      <c r="P41" s="261">
        <f>ifna(vlookup(A41,'Population &amp; Church Numbers'!$A$792:$D$890,4,FALSE),"NULL")</f>
        <v>24</v>
      </c>
      <c r="Q41" s="329" t="s">
        <v>63</v>
      </c>
    </row>
    <row r="42">
      <c r="A42" s="188" t="s">
        <v>497</v>
      </c>
      <c r="B42" s="189">
        <f t="array" ref="B42">VLOOKUP($A42,IA_DEMO,2,FALSE)</f>
        <v>15039</v>
      </c>
      <c r="C42" s="333">
        <f>VLOOKUP($A42,'IA Data'!$A$4:$B$102,2,FALSE)</f>
        <v>11</v>
      </c>
      <c r="D42" s="265" t="s">
        <v>63</v>
      </c>
      <c r="E42" s="265">
        <f>VLOOKUP($A42,'IA Data'!$A$4:$D$102,4,FALSE)</f>
        <v>2</v>
      </c>
      <c r="F42" s="265">
        <f>VLOOKUP($A42,'IA Data'!$A$4:$D$102,3,FALSE)</f>
        <v>7</v>
      </c>
      <c r="G42" s="265" t="s">
        <v>63</v>
      </c>
      <c r="H42" s="266">
        <f>ifna(if(vlookup(A42,'IA Data'!$A$110:$B$207,2,FALSE)="0-5","0-5",vlookup(A42,'IA Data'!$A$110:$B$207,2,FALSE)),"NULL")</f>
        <v>8</v>
      </c>
      <c r="I42" s="778" t="str">
        <f>VLOOKUP($A42,'IA Data'!$A$219:$B$296,2,FALSE)</f>
        <v>0-5</v>
      </c>
      <c r="J42" s="268" t="s">
        <v>63</v>
      </c>
      <c r="K42" s="269">
        <f>VLOOKUP($A42,'IA Data'!$A$299:$C$393,3,FALSE)</f>
        <v>0.1578947368</v>
      </c>
      <c r="L42" s="779" t="s">
        <v>63</v>
      </c>
      <c r="M42" s="264" t="s">
        <v>63</v>
      </c>
      <c r="N42" s="395" t="s">
        <v>63</v>
      </c>
      <c r="O42" s="271" t="s">
        <v>63</v>
      </c>
      <c r="P42" s="272">
        <f>ifna(vlookup(A42,'Population &amp; Church Numbers'!$A$792:$D$890,4,FALSE),"NULL")</f>
        <v>35</v>
      </c>
      <c r="Q42" s="334" t="s">
        <v>63</v>
      </c>
    </row>
    <row r="43">
      <c r="A43" s="326" t="s">
        <v>587</v>
      </c>
      <c r="B43" s="251">
        <f t="array" ref="B43">VLOOKUP($A43,IA_DEMO,2,FALSE)</f>
        <v>10795</v>
      </c>
      <c r="C43" s="327">
        <f>VLOOKUP($A43,'IA Data'!$A$4:$B$102,2,FALSE)</f>
        <v>14</v>
      </c>
      <c r="D43" s="253" t="s">
        <v>63</v>
      </c>
      <c r="E43" s="253">
        <f>VLOOKUP($A43,'IA Data'!$A$4:$D$102,4,FALSE)</f>
        <v>4</v>
      </c>
      <c r="F43" s="253">
        <f>VLOOKUP($A43,'IA Data'!$A$4:$D$102,3,FALSE)</f>
        <v>1</v>
      </c>
      <c r="G43" s="253" t="s">
        <v>63</v>
      </c>
      <c r="H43" s="254">
        <f>ifna(if(vlookup(A43,'IA Data'!$A$110:$B$207,2,FALSE)="0-5","0-5",vlookup(A43,'IA Data'!$A$110:$B$207,2,FALSE)),"NULL")</f>
        <v>9</v>
      </c>
      <c r="I43" s="775" t="str">
        <f>VLOOKUP($A43,'IA Data'!$A$219:$B$296,2,FALSE)</f>
        <v>0-5</v>
      </c>
      <c r="J43" s="256" t="s">
        <v>63</v>
      </c>
      <c r="K43" s="274" t="str">
        <f>VLOOKUP($A43,'IA Data'!$A$299:$C$393,3,FALSE)</f>
        <v>#N/A</v>
      </c>
      <c r="L43" s="777" t="s">
        <v>63</v>
      </c>
      <c r="M43" s="252" t="s">
        <v>63</v>
      </c>
      <c r="N43" s="397" t="s">
        <v>63</v>
      </c>
      <c r="O43" s="260" t="s">
        <v>63</v>
      </c>
      <c r="P43" s="261">
        <f>ifna(vlookup(A43,'Population &amp; Church Numbers'!$A$792:$D$890,4,FALSE),"NULL")</f>
        <v>32</v>
      </c>
      <c r="Q43" s="329" t="s">
        <v>63</v>
      </c>
    </row>
    <row r="44">
      <c r="A44" s="188" t="s">
        <v>721</v>
      </c>
      <c r="B44" s="189">
        <f t="array" ref="B44">VLOOKUP($A44,IA_DEMO,2,FALSE)</f>
        <v>16878</v>
      </c>
      <c r="C44" s="333">
        <f>VLOOKUP($A44,'IA Data'!$A$4:$B$102,2,FALSE)</f>
        <v>24</v>
      </c>
      <c r="D44" s="265" t="s">
        <v>63</v>
      </c>
      <c r="E44" s="265">
        <f>VLOOKUP($A44,'IA Data'!$A$4:$D$102,4,FALSE)</f>
        <v>6</v>
      </c>
      <c r="F44" s="265">
        <f>VLOOKUP($A44,'IA Data'!$A$4:$D$102,3,FALSE)</f>
        <v>12</v>
      </c>
      <c r="G44" s="265" t="s">
        <v>63</v>
      </c>
      <c r="H44" s="266">
        <f>ifna(if(vlookup(A44,'IA Data'!$A$110:$B$207,2,FALSE)="0-5","0-5",vlookup(A44,'IA Data'!$A$110:$B$207,2,FALSE)),"NULL")</f>
        <v>14</v>
      </c>
      <c r="I44" s="778" t="str">
        <f>VLOOKUP($A44,'IA Data'!$A$219:$B$296,2,FALSE)</f>
        <v>0-5</v>
      </c>
      <c r="J44" s="268" t="s">
        <v>63</v>
      </c>
      <c r="K44" s="269">
        <f>VLOOKUP($A44,'IA Data'!$A$299:$C$393,3,FALSE)</f>
        <v>0.1935483871</v>
      </c>
      <c r="L44" s="779" t="s">
        <v>63</v>
      </c>
      <c r="M44" s="264" t="s">
        <v>63</v>
      </c>
      <c r="N44" s="395" t="s">
        <v>63</v>
      </c>
      <c r="O44" s="271" t="s">
        <v>63</v>
      </c>
      <c r="P44" s="272">
        <f>ifna(vlookup(A44,'Population &amp; Church Numbers'!$A$792:$D$890,4,FALSE),"NULL")</f>
        <v>43</v>
      </c>
      <c r="Q44" s="334" t="s">
        <v>63</v>
      </c>
    </row>
    <row r="45">
      <c r="A45" s="326" t="s">
        <v>775</v>
      </c>
      <c r="B45" s="251">
        <f t="array" ref="B45">VLOOKUP($A45,IA_DEMO,2,FALSE)</f>
        <v>14582</v>
      </c>
      <c r="C45" s="327">
        <f>VLOOKUP($A45,'IA Data'!$A$4:$B$102,2,FALSE)</f>
        <v>30</v>
      </c>
      <c r="D45" s="253" t="s">
        <v>63</v>
      </c>
      <c r="E45" s="253">
        <f>VLOOKUP($A45,'IA Data'!$A$4:$D$102,4,FALSE)</f>
        <v>8</v>
      </c>
      <c r="F45" s="253">
        <f>VLOOKUP($A45,'IA Data'!$A$4:$D$102,3,FALSE)</f>
        <v>18</v>
      </c>
      <c r="G45" s="253" t="s">
        <v>63</v>
      </c>
      <c r="H45" s="254">
        <f>ifna(if(vlookup(A45,'IA Data'!$A$110:$B$207,2,FALSE)="0-5","0-5",vlookup(A45,'IA Data'!$A$110:$B$207,2,FALSE)),"NULL")</f>
        <v>7</v>
      </c>
      <c r="I45" s="775">
        <f>VLOOKUP($A45,'IA Data'!$A$219:$B$296,2,FALSE)</f>
        <v>6</v>
      </c>
      <c r="J45" s="256" t="s">
        <v>63</v>
      </c>
      <c r="K45" s="776">
        <f>VLOOKUP($A45,'IA Data'!$A$299:$C$393,3,FALSE)</f>
        <v>0.16</v>
      </c>
      <c r="L45" s="777" t="s">
        <v>63</v>
      </c>
      <c r="M45" s="252" t="s">
        <v>63</v>
      </c>
      <c r="N45" s="397" t="s">
        <v>63</v>
      </c>
      <c r="O45" s="260" t="s">
        <v>63</v>
      </c>
      <c r="P45" s="261">
        <f>ifna(vlookup(A45,'Population &amp; Church Numbers'!$A$792:$D$890,4,FALSE),"NULL")</f>
        <v>27</v>
      </c>
      <c r="Q45" s="329" t="s">
        <v>63</v>
      </c>
    </row>
    <row r="46">
      <c r="A46" s="188" t="s">
        <v>140</v>
      </c>
      <c r="B46" s="189">
        <f t="array" ref="B46">VLOOKUP($A46,IA_DEMO,2,FALSE)</f>
        <v>20482</v>
      </c>
      <c r="C46" s="333">
        <f>VLOOKUP($A46,'IA Data'!$A$4:$B$102,2,FALSE)</f>
        <v>27</v>
      </c>
      <c r="D46" s="265" t="s">
        <v>63</v>
      </c>
      <c r="E46" s="265">
        <f>VLOOKUP($A46,'IA Data'!$A$4:$D$102,4,FALSE)</f>
        <v>2</v>
      </c>
      <c r="F46" s="265">
        <f>VLOOKUP($A46,'IA Data'!$A$4:$D$102,3,FALSE)</f>
        <v>16</v>
      </c>
      <c r="G46" s="265" t="s">
        <v>63</v>
      </c>
      <c r="H46" s="266">
        <f>ifna(if(vlookup(A46,'IA Data'!$A$110:$B$207,2,FALSE)="0-5","0-5",vlookup(A46,'IA Data'!$A$110:$B$207,2,FALSE)),"NULL")</f>
        <v>12</v>
      </c>
      <c r="I46" s="778">
        <f>VLOOKUP($A46,'IA Data'!$A$219:$B$296,2,FALSE)</f>
        <v>6</v>
      </c>
      <c r="J46" s="268" t="s">
        <v>63</v>
      </c>
      <c r="K46" s="284" t="str">
        <f>VLOOKUP($A46,'IA Data'!$A$299:$C$393,3,FALSE)</f>
        <v>NULL</v>
      </c>
      <c r="L46" s="779" t="s">
        <v>63</v>
      </c>
      <c r="M46" s="264" t="s">
        <v>63</v>
      </c>
      <c r="N46" s="395" t="s">
        <v>63</v>
      </c>
      <c r="O46" s="271" t="s">
        <v>63</v>
      </c>
      <c r="P46" s="272">
        <f>ifna(vlookup(A46,'Population &amp; Church Numbers'!$A$792:$D$890,4,FALSE),"NULL")</f>
        <v>32</v>
      </c>
      <c r="Q46" s="334" t="s">
        <v>63</v>
      </c>
    </row>
    <row r="47">
      <c r="A47" s="326" t="s">
        <v>283</v>
      </c>
      <c r="B47" s="251">
        <f t="array" ref="B47">VLOOKUP($A47,IA_DEMO,2,FALSE)</f>
        <v>9469</v>
      </c>
      <c r="C47" s="327">
        <f>VLOOKUP($A47,'IA Data'!$A$4:$B$102,2,FALSE)</f>
        <v>4</v>
      </c>
      <c r="D47" s="253" t="s">
        <v>63</v>
      </c>
      <c r="E47" s="253">
        <f>VLOOKUP($A47,'IA Data'!$A$4:$D$102,4,FALSE)</f>
        <v>0</v>
      </c>
      <c r="F47" s="253">
        <f>VLOOKUP($A47,'IA Data'!$A$4:$D$102,3,FALSE)</f>
        <v>2</v>
      </c>
      <c r="G47" s="253" t="s">
        <v>63</v>
      </c>
      <c r="H47" s="254">
        <f>ifna(if(vlookup(A47,'IA Data'!$A$110:$B$207,2,FALSE)="0-5","0-5",vlookup(A47,'IA Data'!$A$110:$B$207,2,FALSE)),"NULL")</f>
        <v>10</v>
      </c>
      <c r="I47" s="775" t="str">
        <f>VLOOKUP($A47,'IA Data'!$A$219:$B$296,2,FALSE)</f>
        <v>0-5</v>
      </c>
      <c r="J47" s="256" t="s">
        <v>63</v>
      </c>
      <c r="K47" s="274" t="str">
        <f>VLOOKUP($A47,'IA Data'!$A$299:$C$393,3,FALSE)</f>
        <v>NULL</v>
      </c>
      <c r="L47" s="777" t="s">
        <v>63</v>
      </c>
      <c r="M47" s="252" t="s">
        <v>63</v>
      </c>
      <c r="N47" s="397" t="s">
        <v>63</v>
      </c>
      <c r="O47" s="260" t="s">
        <v>63</v>
      </c>
      <c r="P47" s="261">
        <f>ifna(vlookup(A47,'Population &amp; Church Numbers'!$A$792:$D$890,4,FALSE),"NULL")</f>
        <v>20</v>
      </c>
      <c r="Q47" s="329" t="s">
        <v>63</v>
      </c>
    </row>
    <row r="48">
      <c r="A48" s="188" t="s">
        <v>333</v>
      </c>
      <c r="B48" s="189">
        <f t="array" ref="B48">VLOOKUP($A48,IA_DEMO,2,FALSE)</f>
        <v>9597</v>
      </c>
      <c r="C48" s="333">
        <f>VLOOKUP($A48,'IA Data'!$A$4:$B$102,2,FALSE)</f>
        <v>9</v>
      </c>
      <c r="D48" s="265" t="s">
        <v>63</v>
      </c>
      <c r="E48" s="265">
        <f>VLOOKUP($A48,'IA Data'!$A$4:$D$102,4,FALSE)</f>
        <v>0</v>
      </c>
      <c r="F48" s="265">
        <f>VLOOKUP($A48,'IA Data'!$A$4:$D$102,3,FALSE)</f>
        <v>4</v>
      </c>
      <c r="G48" s="265" t="s">
        <v>63</v>
      </c>
      <c r="H48" s="266" t="str">
        <f>ifna(if(vlookup(A48,'IA Data'!$A$110:$B$207,2,FALSE)="0-5","0-5",vlookup(A48,'IA Data'!$A$110:$B$207,2,FALSE)),"NULL")</f>
        <v>NULL</v>
      </c>
      <c r="I48" s="778" t="str">
        <f>VLOOKUP($A48,'IA Data'!$A$219:$B$296,2,FALSE)</f>
        <v>0-5</v>
      </c>
      <c r="J48" s="268" t="s">
        <v>63</v>
      </c>
      <c r="K48" s="284" t="str">
        <f>VLOOKUP($A48,'IA Data'!$A$299:$C$393,3,FALSE)</f>
        <v>NULL</v>
      </c>
      <c r="L48" s="779" t="s">
        <v>63</v>
      </c>
      <c r="M48" s="264" t="s">
        <v>63</v>
      </c>
      <c r="N48" s="395" t="s">
        <v>63</v>
      </c>
      <c r="O48" s="271" t="s">
        <v>63</v>
      </c>
      <c r="P48" s="272">
        <f>ifna(vlookup(A48,'Population &amp; Church Numbers'!$A$792:$D$890,4,FALSE),"NULL")</f>
        <v>17</v>
      </c>
      <c r="Q48" s="334" t="s">
        <v>63</v>
      </c>
    </row>
    <row r="49">
      <c r="A49" s="326" t="s">
        <v>903</v>
      </c>
      <c r="B49" s="251">
        <f t="array" ref="B49">VLOOKUP($A49,IA_DEMO,2,FALSE)</f>
        <v>7005</v>
      </c>
      <c r="C49" s="327">
        <f>VLOOKUP($A49,'IA Data'!$A$4:$B$102,2,FALSE)</f>
        <v>3</v>
      </c>
      <c r="D49" s="253" t="s">
        <v>63</v>
      </c>
      <c r="E49" s="253">
        <f>VLOOKUP($A49,'IA Data'!$A$4:$D$102,4,FALSE)</f>
        <v>0</v>
      </c>
      <c r="F49" s="253">
        <f>VLOOKUP($A49,'IA Data'!$A$4:$D$102,3,FALSE)</f>
        <v>3</v>
      </c>
      <c r="G49" s="253" t="s">
        <v>63</v>
      </c>
      <c r="H49" s="254" t="str">
        <f>ifna(if(vlookup(A49,'IA Data'!$A$110:$B$207,2,FALSE)="0-5","0-5",vlookup(A49,'IA Data'!$A$110:$B$207,2,FALSE)),"NULL")</f>
        <v>0-5</v>
      </c>
      <c r="I49" s="780" t="s">
        <v>63</v>
      </c>
      <c r="J49" s="256" t="s">
        <v>63</v>
      </c>
      <c r="K49" s="274" t="str">
        <f>VLOOKUP($A49,'IA Data'!$A$299:$C$393,3,FALSE)</f>
        <v>NULL</v>
      </c>
      <c r="L49" s="777" t="s">
        <v>63</v>
      </c>
      <c r="M49" s="252" t="s">
        <v>63</v>
      </c>
      <c r="N49" s="397" t="s">
        <v>63</v>
      </c>
      <c r="O49" s="260" t="s">
        <v>63</v>
      </c>
      <c r="P49" s="261">
        <f>ifna(vlookup(A49,'Population &amp; Church Numbers'!$A$792:$D$890,4,FALSE),"NULL")</f>
        <v>18</v>
      </c>
      <c r="Q49" s="329" t="s">
        <v>63</v>
      </c>
    </row>
    <row r="50">
      <c r="A50" s="188" t="s">
        <v>50</v>
      </c>
      <c r="B50" s="189">
        <f t="array" ref="B50">VLOOKUP($A50,IA_DEMO,2,FALSE)</f>
        <v>16662</v>
      </c>
      <c r="C50" s="333">
        <f>VLOOKUP($A50,'IA Data'!$A$4:$B$102,2,FALSE)</f>
        <v>4</v>
      </c>
      <c r="D50" s="265" t="s">
        <v>63</v>
      </c>
      <c r="E50" s="265">
        <f>VLOOKUP($A50,'IA Data'!$A$4:$D$102,4,FALSE)</f>
        <v>2</v>
      </c>
      <c r="F50" s="265">
        <f>VLOOKUP($A50,'IA Data'!$A$4:$D$102,3,FALSE)</f>
        <v>1</v>
      </c>
      <c r="G50" s="265" t="s">
        <v>63</v>
      </c>
      <c r="H50" s="266">
        <f>ifna(if(vlookup(A50,'IA Data'!$A$110:$B$207,2,FALSE)="0-5","0-5",vlookup(A50,'IA Data'!$A$110:$B$207,2,FALSE)),"NULL")</f>
        <v>11</v>
      </c>
      <c r="I50" s="778" t="str">
        <f>VLOOKUP($A50,'IA Data'!$A$219:$B$296,2,FALSE)</f>
        <v>0-5</v>
      </c>
      <c r="J50" s="268" t="s">
        <v>63</v>
      </c>
      <c r="K50" s="269">
        <f>VLOOKUP($A50,'IA Data'!$A$299:$C$393,3,FALSE)</f>
        <v>0.21875</v>
      </c>
      <c r="L50" s="779" t="s">
        <v>63</v>
      </c>
      <c r="M50" s="264" t="s">
        <v>63</v>
      </c>
      <c r="N50" s="395" t="s">
        <v>63</v>
      </c>
      <c r="O50" s="271" t="s">
        <v>63</v>
      </c>
      <c r="P50" s="272">
        <f>ifna(vlookup(A50,'Population &amp; Church Numbers'!$A$792:$D$890,4,FALSE),"NULL")</f>
        <v>32</v>
      </c>
      <c r="Q50" s="334" t="s">
        <v>63</v>
      </c>
    </row>
    <row r="51">
      <c r="A51" s="326" t="s">
        <v>142</v>
      </c>
      <c r="B51" s="251">
        <f t="array" ref="B51">VLOOKUP($A51,IA_DEMO,2,FALSE)</f>
        <v>19485</v>
      </c>
      <c r="C51" s="327">
        <f>VLOOKUP($A51,'IA Data'!$A$4:$B$102,2,FALSE)</f>
        <v>4</v>
      </c>
      <c r="D51" s="253" t="s">
        <v>63</v>
      </c>
      <c r="E51" s="253">
        <f>VLOOKUP($A51,'IA Data'!$A$4:$D$102,4,FALSE)</f>
        <v>1</v>
      </c>
      <c r="F51" s="253">
        <f>VLOOKUP($A51,'IA Data'!$A$4:$D$102,3,FALSE)</f>
        <v>2</v>
      </c>
      <c r="G51" s="253" t="s">
        <v>63</v>
      </c>
      <c r="H51" s="254" t="str">
        <f>ifna(if(vlookup(A51,'IA Data'!$A$110:$B$207,2,FALSE)="0-5","0-5",vlookup(A51,'IA Data'!$A$110:$B$207,2,FALSE)),"NULL")</f>
        <v>0-5</v>
      </c>
      <c r="I51" s="780" t="s">
        <v>63</v>
      </c>
      <c r="J51" s="256" t="s">
        <v>63</v>
      </c>
      <c r="K51" s="274" t="str">
        <f>VLOOKUP($A51,'IA Data'!$A$299:$C$393,3,FALSE)</f>
        <v>NULL</v>
      </c>
      <c r="L51" s="777" t="s">
        <v>63</v>
      </c>
      <c r="M51" s="252" t="s">
        <v>63</v>
      </c>
      <c r="N51" s="397" t="s">
        <v>63</v>
      </c>
      <c r="O51" s="260" t="s">
        <v>63</v>
      </c>
      <c r="P51" s="261">
        <f>ifna(vlookup(A51,'Population &amp; Church Numbers'!$A$792:$D$890,4,FALSE),"NULL")</f>
        <v>22</v>
      </c>
      <c r="Q51" s="329" t="s">
        <v>63</v>
      </c>
    </row>
    <row r="52">
      <c r="A52" s="188" t="s">
        <v>593</v>
      </c>
      <c r="B52" s="189">
        <f t="array" ref="B52">VLOOKUP($A52,IA_DEMO,2,FALSE)</f>
        <v>37813</v>
      </c>
      <c r="C52" s="333">
        <f>VLOOKUP($A52,'IA Data'!$A$4:$B$102,2,FALSE)</f>
        <v>43</v>
      </c>
      <c r="D52" s="265" t="s">
        <v>63</v>
      </c>
      <c r="E52" s="265">
        <f>VLOOKUP($A52,'IA Data'!$A$4:$D$102,4,FALSE)</f>
        <v>6</v>
      </c>
      <c r="F52" s="265">
        <f>VLOOKUP($A52,'IA Data'!$A$4:$D$102,3,FALSE)</f>
        <v>25</v>
      </c>
      <c r="G52" s="265" t="s">
        <v>63</v>
      </c>
      <c r="H52" s="266">
        <f>ifna(if(vlookup(A52,'IA Data'!$A$110:$B$207,2,FALSE)="0-5","0-5",vlookup(A52,'IA Data'!$A$110:$B$207,2,FALSE)),"NULL")</f>
        <v>25</v>
      </c>
      <c r="I52" s="778">
        <f>VLOOKUP($A52,'IA Data'!$A$219:$B$296,2,FALSE)</f>
        <v>9</v>
      </c>
      <c r="J52" s="268" t="s">
        <v>63</v>
      </c>
      <c r="K52" s="269">
        <f>VLOOKUP($A52,'IA Data'!$A$299:$C$393,3,FALSE)</f>
        <v>0.2567567568</v>
      </c>
      <c r="L52" s="779" t="s">
        <v>63</v>
      </c>
      <c r="M52" s="264" t="s">
        <v>63</v>
      </c>
      <c r="N52" s="395" t="s">
        <v>63</v>
      </c>
      <c r="O52" s="271" t="s">
        <v>63</v>
      </c>
      <c r="P52" s="272">
        <f>ifna(vlookup(A52,'Population &amp; Church Numbers'!$A$792:$D$890,4,FALSE),"NULL")</f>
        <v>53</v>
      </c>
      <c r="Q52" s="334" t="s">
        <v>63</v>
      </c>
    </row>
    <row r="53">
      <c r="A53" s="326" t="s">
        <v>143</v>
      </c>
      <c r="B53" s="251">
        <f t="array" ref="B53">VLOOKUP($A53,IA_DEMO,2,FALSE)</f>
        <v>15663</v>
      </c>
      <c r="C53" s="327">
        <f>VLOOKUP($A53,'IA Data'!$A$4:$B$102,2,FALSE)</f>
        <v>19</v>
      </c>
      <c r="D53" s="253" t="s">
        <v>63</v>
      </c>
      <c r="E53" s="253">
        <f>VLOOKUP($A53,'IA Data'!$A$4:$D$102,4,FALSE)</f>
        <v>5</v>
      </c>
      <c r="F53" s="253">
        <f>VLOOKUP($A53,'IA Data'!$A$4:$D$102,3,FALSE)</f>
        <v>11</v>
      </c>
      <c r="G53" s="253" t="s">
        <v>63</v>
      </c>
      <c r="H53" s="254">
        <f>ifna(if(vlookup(A53,'IA Data'!$A$110:$B$207,2,FALSE)="0-5","0-5",vlookup(A53,'IA Data'!$A$110:$B$207,2,FALSE)),"NULL")</f>
        <v>7</v>
      </c>
      <c r="I53" s="775" t="str">
        <f>VLOOKUP($A53,'IA Data'!$A$219:$B$296,2,FALSE)</f>
        <v>0-5</v>
      </c>
      <c r="J53" s="256" t="s">
        <v>63</v>
      </c>
      <c r="K53" s="776">
        <f>VLOOKUP($A53,'IA Data'!$A$299:$C$393,3,FALSE)</f>
        <v>0.2115384615</v>
      </c>
      <c r="L53" s="777" t="s">
        <v>63</v>
      </c>
      <c r="M53" s="252" t="s">
        <v>63</v>
      </c>
      <c r="N53" s="397" t="s">
        <v>63</v>
      </c>
      <c r="O53" s="260" t="s">
        <v>63</v>
      </c>
      <c r="P53" s="261">
        <f>ifna(vlookup(A53,'Population &amp; Church Numbers'!$A$792:$D$890,4,FALSE),"NULL")</f>
        <v>18</v>
      </c>
      <c r="Q53" s="329" t="s">
        <v>63</v>
      </c>
    </row>
    <row r="54">
      <c r="A54" s="188" t="s">
        <v>288</v>
      </c>
      <c r="B54" s="189">
        <f t="array" ref="B54">VLOOKUP($A54,IA_DEMO,2,FALSE)</f>
        <v>152854</v>
      </c>
      <c r="C54" s="333">
        <f>VLOOKUP($A54,'IA Data'!$A$4:$B$102,2,FALSE)</f>
        <v>68</v>
      </c>
      <c r="D54" s="265" t="s">
        <v>63</v>
      </c>
      <c r="E54" s="265">
        <f>VLOOKUP($A54,'IA Data'!$A$4:$D$102,4,FALSE)</f>
        <v>19</v>
      </c>
      <c r="F54" s="265">
        <f>VLOOKUP($A54,'IA Data'!$A$4:$D$102,3,FALSE)</f>
        <v>29</v>
      </c>
      <c r="G54" s="265" t="s">
        <v>63</v>
      </c>
      <c r="H54" s="266">
        <f>ifna(if(vlookup(A54,'IA Data'!$A$110:$B$207,2,FALSE)="0-5","0-5",vlookup(A54,'IA Data'!$A$110:$B$207,2,FALSE)),"NULL")</f>
        <v>69</v>
      </c>
      <c r="I54" s="778">
        <f>VLOOKUP($A54,'IA Data'!$A$219:$B$296,2,FALSE)</f>
        <v>19</v>
      </c>
      <c r="J54" s="268" t="s">
        <v>63</v>
      </c>
      <c r="K54" s="269">
        <f>VLOOKUP($A54,'IA Data'!$A$299:$C$393,3,FALSE)</f>
        <v>0.1675126904</v>
      </c>
      <c r="L54" s="779" t="s">
        <v>63</v>
      </c>
      <c r="M54" s="264" t="s">
        <v>63</v>
      </c>
      <c r="N54" s="395" t="s">
        <v>63</v>
      </c>
      <c r="O54" s="271" t="s">
        <v>63</v>
      </c>
      <c r="P54" s="272">
        <f>ifna(vlookup(A54,'Population &amp; Church Numbers'!$A$792:$D$890,4,FALSE),"NULL")</f>
        <v>83</v>
      </c>
      <c r="Q54" s="334" t="s">
        <v>63</v>
      </c>
    </row>
    <row r="55">
      <c r="A55" s="326" t="s">
        <v>598</v>
      </c>
      <c r="B55" s="251">
        <f t="array" ref="B55">VLOOKUP($A55,IA_DEMO,2,FALSE)</f>
        <v>20646</v>
      </c>
      <c r="C55" s="327">
        <f>VLOOKUP($A55,'IA Data'!$A$4:$B$102,2,FALSE)</f>
        <v>36</v>
      </c>
      <c r="D55" s="253" t="s">
        <v>63</v>
      </c>
      <c r="E55" s="253">
        <f>VLOOKUP($A55,'IA Data'!$A$4:$D$102,4,FALSE)</f>
        <v>10</v>
      </c>
      <c r="F55" s="253">
        <f>VLOOKUP($A55,'IA Data'!$A$4:$D$102,3,FALSE)</f>
        <v>13</v>
      </c>
      <c r="G55" s="253" t="s">
        <v>63</v>
      </c>
      <c r="H55" s="254">
        <f>ifna(if(vlookup(A55,'IA Data'!$A$110:$B$207,2,FALSE)="0-5","0-5",vlookup(A55,'IA Data'!$A$110:$B$207,2,FALSE)),"NULL")</f>
        <v>11</v>
      </c>
      <c r="I55" s="775">
        <f>VLOOKUP($A55,'IA Data'!$A$219:$B$296,2,FALSE)</f>
        <v>6</v>
      </c>
      <c r="J55" s="256" t="s">
        <v>63</v>
      </c>
      <c r="K55" s="776">
        <f>VLOOKUP($A55,'IA Data'!$A$299:$C$393,3,FALSE)</f>
        <v>0.2307692308</v>
      </c>
      <c r="L55" s="777" t="s">
        <v>63</v>
      </c>
      <c r="M55" s="252" t="s">
        <v>63</v>
      </c>
      <c r="N55" s="397" t="s">
        <v>63</v>
      </c>
      <c r="O55" s="260" t="s">
        <v>63</v>
      </c>
      <c r="P55" s="261">
        <f>ifna(vlookup(A55,'Population &amp; Church Numbers'!$A$792:$D$890,4,FALSE),"NULL")</f>
        <v>26</v>
      </c>
      <c r="Q55" s="329" t="s">
        <v>63</v>
      </c>
    </row>
    <row r="56">
      <c r="A56" s="188" t="s">
        <v>905</v>
      </c>
      <c r="B56" s="189">
        <f t="array" ref="B56">VLOOKUP($A56,IA_DEMO,2,FALSE)</f>
        <v>10033</v>
      </c>
      <c r="C56" s="333">
        <f>VLOOKUP($A56,'IA Data'!$A$4:$B$102,2,FALSE)</f>
        <v>17</v>
      </c>
      <c r="D56" s="265" t="s">
        <v>63</v>
      </c>
      <c r="E56" s="265">
        <f>VLOOKUP($A56,'IA Data'!$A$4:$D$102,4,FALSE)</f>
        <v>5</v>
      </c>
      <c r="F56" s="265">
        <f>VLOOKUP($A56,'IA Data'!$A$4:$D$102,3,FALSE)</f>
        <v>11</v>
      </c>
      <c r="G56" s="265" t="s">
        <v>63</v>
      </c>
      <c r="H56" s="266" t="str">
        <f>ifna(if(vlookup(A56,'IA Data'!$A$110:$B$207,2,FALSE)="0-5","0-5",vlookup(A56,'IA Data'!$A$110:$B$207,2,FALSE)),"NULL")</f>
        <v>0-5</v>
      </c>
      <c r="I56" s="816" t="s">
        <v>63</v>
      </c>
      <c r="J56" s="268" t="s">
        <v>63</v>
      </c>
      <c r="K56" s="269">
        <f>VLOOKUP($A56,'IA Data'!$A$299:$C$393,3,FALSE)</f>
        <v>0.2051282051</v>
      </c>
      <c r="L56" s="779" t="s">
        <v>63</v>
      </c>
      <c r="M56" s="264" t="s">
        <v>63</v>
      </c>
      <c r="N56" s="395" t="s">
        <v>63</v>
      </c>
      <c r="O56" s="271" t="s">
        <v>63</v>
      </c>
      <c r="P56" s="272">
        <f>ifna(vlookup(A56,'Population &amp; Church Numbers'!$A$792:$D$890,4,FALSE),"NULL")</f>
        <v>22</v>
      </c>
      <c r="Q56" s="334" t="s">
        <v>63</v>
      </c>
    </row>
    <row r="57">
      <c r="A57" s="326" t="s">
        <v>906</v>
      </c>
      <c r="B57" s="251">
        <f t="array" ref="B57">VLOOKUP($A57,IA_DEMO,2,FALSE)</f>
        <v>14828</v>
      </c>
      <c r="C57" s="327">
        <f>VLOOKUP($A57,'IA Data'!$A$4:$B$102,2,FALSE)</f>
        <v>5</v>
      </c>
      <c r="D57" s="253" t="s">
        <v>63</v>
      </c>
      <c r="E57" s="253">
        <f>VLOOKUP($A57,'IA Data'!$A$4:$D$102,4,FALSE)</f>
        <v>2</v>
      </c>
      <c r="F57" s="253">
        <f>VLOOKUP($A57,'IA Data'!$A$4:$D$102,3,FALSE)</f>
        <v>2</v>
      </c>
      <c r="G57" s="253" t="s">
        <v>63</v>
      </c>
      <c r="H57" s="254">
        <f>ifna(if(vlookup(A57,'IA Data'!$A$110:$B$207,2,FALSE)="0-5","0-5",vlookup(A57,'IA Data'!$A$110:$B$207,2,FALSE)),"NULL")</f>
        <v>6</v>
      </c>
      <c r="I57" s="775" t="str">
        <f>VLOOKUP($A57,'IA Data'!$A$219:$B$296,2,FALSE)</f>
        <v>0-5</v>
      </c>
      <c r="J57" s="256" t="s">
        <v>63</v>
      </c>
      <c r="K57" s="274" t="str">
        <f>VLOOKUP($A57,'IA Data'!$A$299:$C$393,3,FALSE)</f>
        <v>#N/A</v>
      </c>
      <c r="L57" s="777" t="s">
        <v>63</v>
      </c>
      <c r="M57" s="252" t="s">
        <v>63</v>
      </c>
      <c r="N57" s="397" t="s">
        <v>63</v>
      </c>
      <c r="O57" s="260" t="s">
        <v>63</v>
      </c>
      <c r="P57" s="261">
        <f>ifna(vlookup(A57,'Population &amp; Church Numbers'!$A$792:$D$890,4,FALSE),"NULL")</f>
        <v>29</v>
      </c>
      <c r="Q57" s="329" t="s">
        <v>63</v>
      </c>
    </row>
    <row r="58">
      <c r="A58" s="188" t="s">
        <v>147</v>
      </c>
      <c r="B58" s="189">
        <f t="array" ref="B58">VLOOKUP($A58,IA_DEMO,2,FALSE)</f>
        <v>33555</v>
      </c>
      <c r="C58" s="333">
        <f>VLOOKUP($A58,'IA Data'!$A$4:$B$102,2,FALSE)</f>
        <v>75</v>
      </c>
      <c r="D58" s="265" t="s">
        <v>63</v>
      </c>
      <c r="E58" s="265">
        <f>VLOOKUP($A58,'IA Data'!$A$4:$D$102,4,FALSE)</f>
        <v>30</v>
      </c>
      <c r="F58" s="265">
        <f>VLOOKUP($A58,'IA Data'!$A$4:$D$102,3,FALSE)</f>
        <v>40</v>
      </c>
      <c r="G58" s="265" t="s">
        <v>63</v>
      </c>
      <c r="H58" s="266">
        <f>ifna(if(vlookup(A58,'IA Data'!$A$110:$B$207,2,FALSE)="0-5","0-5",vlookup(A58,'IA Data'!$A$110:$B$207,2,FALSE)),"NULL")</f>
        <v>23</v>
      </c>
      <c r="I58" s="778" t="str">
        <f>VLOOKUP($A58,'IA Data'!$A$219:$B$296,2,FALSE)</f>
        <v>0-5</v>
      </c>
      <c r="J58" s="268" t="s">
        <v>63</v>
      </c>
      <c r="K58" s="269">
        <f>VLOOKUP($A58,'IA Data'!$A$299:$C$393,3,FALSE)</f>
        <v>0.1185185185</v>
      </c>
      <c r="L58" s="779" t="s">
        <v>63</v>
      </c>
      <c r="M58" s="264" t="s">
        <v>63</v>
      </c>
      <c r="N58" s="395" t="s">
        <v>63</v>
      </c>
      <c r="O58" s="271" t="s">
        <v>63</v>
      </c>
      <c r="P58" s="272">
        <f>ifna(vlookup(A58,'Population &amp; Church Numbers'!$A$792:$D$890,4,FALSE),"NULL")</f>
        <v>56</v>
      </c>
      <c r="Q58" s="334" t="s">
        <v>63</v>
      </c>
    </row>
    <row r="59">
      <c r="A59" s="326" t="s">
        <v>907</v>
      </c>
      <c r="B59" s="251">
        <f t="array" ref="B59">VLOOKUP($A59,IA_DEMO,2,FALSE)</f>
        <v>230299</v>
      </c>
      <c r="C59" s="327">
        <f>VLOOKUP($A59,'IA Data'!$A$4:$B$102,2,FALSE)</f>
        <v>452</v>
      </c>
      <c r="D59" s="253" t="s">
        <v>63</v>
      </c>
      <c r="E59" s="253">
        <f>VLOOKUP($A59,'IA Data'!$A$4:$D$102,4,FALSE)</f>
        <v>147</v>
      </c>
      <c r="F59" s="253">
        <f>VLOOKUP($A59,'IA Data'!$A$4:$D$102,3,FALSE)</f>
        <v>182</v>
      </c>
      <c r="G59" s="253" t="s">
        <v>63</v>
      </c>
      <c r="H59" s="254">
        <f>ifna(if(vlookup(A59,'IA Data'!$A$110:$B$207,2,FALSE)="0-5","0-5",vlookup(A59,'IA Data'!$A$110:$B$207,2,FALSE)),"NULL")</f>
        <v>212</v>
      </c>
      <c r="I59" s="775">
        <f>VLOOKUP($A59,'IA Data'!$A$219:$B$296,2,FALSE)</f>
        <v>69</v>
      </c>
      <c r="J59" s="256" t="s">
        <v>63</v>
      </c>
      <c r="K59" s="776">
        <f>VLOOKUP($A59,'IA Data'!$A$299:$C$393,3,FALSE)</f>
        <v>0.2076069731</v>
      </c>
      <c r="L59" s="777" t="s">
        <v>63</v>
      </c>
      <c r="M59" s="252" t="s">
        <v>63</v>
      </c>
      <c r="N59" s="397" t="s">
        <v>63</v>
      </c>
      <c r="O59" s="260" t="s">
        <v>63</v>
      </c>
      <c r="P59" s="261">
        <f>ifna(vlookup(A59,'Population &amp; Church Numbers'!$A$792:$D$890,4,FALSE),"NULL")</f>
        <v>148</v>
      </c>
      <c r="Q59" s="329" t="s">
        <v>63</v>
      </c>
    </row>
    <row r="60">
      <c r="A60" s="188" t="s">
        <v>908</v>
      </c>
      <c r="B60" s="189">
        <f t="array" ref="B60">VLOOKUP($A60,IA_DEMO,2,FALSE)</f>
        <v>10837</v>
      </c>
      <c r="C60" s="333">
        <f>VLOOKUP($A60,'IA Data'!$A$4:$B$102,2,FALSE)</f>
        <v>16</v>
      </c>
      <c r="D60" s="265" t="s">
        <v>63</v>
      </c>
      <c r="E60" s="265">
        <f>VLOOKUP($A60,'IA Data'!$A$4:$D$102,4,FALSE)</f>
        <v>2</v>
      </c>
      <c r="F60" s="265">
        <f>VLOOKUP($A60,'IA Data'!$A$4:$D$102,3,FALSE)</f>
        <v>12</v>
      </c>
      <c r="G60" s="265" t="s">
        <v>63</v>
      </c>
      <c r="H60" s="266">
        <f>ifna(if(vlookup(A60,'IA Data'!$A$110:$B$207,2,FALSE)="0-5","0-5",vlookup(A60,'IA Data'!$A$110:$B$207,2,FALSE)),"NULL")</f>
        <v>6</v>
      </c>
      <c r="I60" s="778" t="str">
        <f>VLOOKUP($A60,'IA Data'!$A$219:$B$296,2,FALSE)</f>
        <v>0-5</v>
      </c>
      <c r="J60" s="268" t="s">
        <v>63</v>
      </c>
      <c r="K60" s="284" t="str">
        <f>VLOOKUP($A60,'IA Data'!$A$299:$C$393,3,FALSE)</f>
        <v>NULL</v>
      </c>
      <c r="L60" s="779" t="s">
        <v>63</v>
      </c>
      <c r="M60" s="264" t="s">
        <v>63</v>
      </c>
      <c r="N60" s="395" t="s">
        <v>63</v>
      </c>
      <c r="O60" s="271" t="s">
        <v>63</v>
      </c>
      <c r="P60" s="272">
        <f>ifna(vlookup(A60,'Population &amp; Church Numbers'!$A$792:$D$890,4,FALSE),"NULL")</f>
        <v>15</v>
      </c>
      <c r="Q60" s="334" t="s">
        <v>63</v>
      </c>
    </row>
    <row r="61">
      <c r="A61" s="326" t="s">
        <v>909</v>
      </c>
      <c r="B61" s="251">
        <f t="array" ref="B61">VLOOKUP($A61,IA_DEMO,2,FALSE)</f>
        <v>8634</v>
      </c>
      <c r="C61" s="327">
        <f>VLOOKUP($A61,'IA Data'!$A$4:$B$102,2,FALSE)</f>
        <v>13</v>
      </c>
      <c r="D61" s="253" t="s">
        <v>63</v>
      </c>
      <c r="E61" s="253">
        <f>VLOOKUP($A61,'IA Data'!$A$4:$D$102,4,FALSE)</f>
        <v>0</v>
      </c>
      <c r="F61" s="253">
        <f>VLOOKUP($A61,'IA Data'!$A$4:$D$102,3,FALSE)</f>
        <v>8</v>
      </c>
      <c r="G61" s="253" t="s">
        <v>63</v>
      </c>
      <c r="H61" s="254" t="str">
        <f>ifna(if(vlookup(A61,'IA Data'!$A$110:$B$207,2,FALSE)="0-5","0-5",vlookup(A61,'IA Data'!$A$110:$B$207,2,FALSE)),"NULL")</f>
        <v>0-5</v>
      </c>
      <c r="I61" s="775" t="str">
        <f>VLOOKUP($A61,'IA Data'!$A$219:$B$296,2,FALSE)</f>
        <v>0-5</v>
      </c>
      <c r="J61" s="256" t="s">
        <v>63</v>
      </c>
      <c r="K61" s="776">
        <f>VLOOKUP($A61,'IA Data'!$A$299:$C$393,3,FALSE)</f>
        <v>0.3103448276</v>
      </c>
      <c r="L61" s="777" t="s">
        <v>63</v>
      </c>
      <c r="M61" s="252" t="s">
        <v>63</v>
      </c>
      <c r="N61" s="397" t="s">
        <v>63</v>
      </c>
      <c r="O61" s="260" t="s">
        <v>63</v>
      </c>
      <c r="P61" s="261">
        <f>ifna(vlookup(A61,'Population &amp; Church Numbers'!$A$792:$D$890,4,FALSE),"NULL")</f>
        <v>18</v>
      </c>
      <c r="Q61" s="329" t="s">
        <v>63</v>
      </c>
    </row>
    <row r="62">
      <c r="A62" s="188" t="s">
        <v>910</v>
      </c>
      <c r="B62" s="189">
        <f t="array" ref="B62">VLOOKUP($A62,IA_DEMO,2,FALSE)</f>
        <v>11934</v>
      </c>
      <c r="C62" s="333">
        <f>VLOOKUP($A62,'IA Data'!$A$4:$B$102,2,FALSE)</f>
        <v>4</v>
      </c>
      <c r="D62" s="265" t="s">
        <v>63</v>
      </c>
      <c r="E62" s="265">
        <f>VLOOKUP($A62,'IA Data'!$A$4:$D$102,4,FALSE)</f>
        <v>1</v>
      </c>
      <c r="F62" s="265">
        <f>VLOOKUP($A62,'IA Data'!$A$4:$D$102,3,FALSE)</f>
        <v>4</v>
      </c>
      <c r="G62" s="265" t="s">
        <v>63</v>
      </c>
      <c r="H62" s="266">
        <f>ifna(if(vlookup(A62,'IA Data'!$A$110:$B$207,2,FALSE)="0-5","0-5",vlookup(A62,'IA Data'!$A$110:$B$207,2,FALSE)),"NULL")</f>
        <v>16</v>
      </c>
      <c r="I62" s="816" t="s">
        <v>63</v>
      </c>
      <c r="J62" s="268" t="s">
        <v>63</v>
      </c>
      <c r="K62" s="269">
        <f>VLOOKUP($A62,'IA Data'!$A$299:$C$393,3,FALSE)</f>
        <v>0.4137931034</v>
      </c>
      <c r="L62" s="779" t="s">
        <v>63</v>
      </c>
      <c r="M62" s="264" t="s">
        <v>63</v>
      </c>
      <c r="N62" s="395" t="s">
        <v>63</v>
      </c>
      <c r="O62" s="271" t="s">
        <v>63</v>
      </c>
      <c r="P62" s="272">
        <f>ifna(vlookup(A62,'Population &amp; Church Numbers'!$A$792:$D$890,4,FALSE),"NULL")</f>
        <v>32</v>
      </c>
      <c r="Q62" s="334" t="s">
        <v>63</v>
      </c>
    </row>
    <row r="63">
      <c r="A63" s="326" t="s">
        <v>151</v>
      </c>
      <c r="B63" s="251">
        <f t="array" ref="B63">VLOOKUP($A63,IA_DEMO,2,FALSE)</f>
        <v>16548</v>
      </c>
      <c r="C63" s="327">
        <f>VLOOKUP($A63,'IA Data'!$A$4:$B$102,2,FALSE)</f>
        <v>16</v>
      </c>
      <c r="D63" s="253" t="s">
        <v>63</v>
      </c>
      <c r="E63" s="253">
        <f>VLOOKUP($A63,'IA Data'!$A$4:$D$102,4,FALSE)</f>
        <v>1</v>
      </c>
      <c r="F63" s="253">
        <f>VLOOKUP($A63,'IA Data'!$A$4:$D$102,3,FALSE)</f>
        <v>13</v>
      </c>
      <c r="G63" s="253" t="s">
        <v>63</v>
      </c>
      <c r="H63" s="254">
        <f>ifna(if(vlookup(A63,'IA Data'!$A$110:$B$207,2,FALSE)="0-5","0-5",vlookup(A63,'IA Data'!$A$110:$B$207,2,FALSE)),"NULL")</f>
        <v>12</v>
      </c>
      <c r="I63" s="775" t="str">
        <f>VLOOKUP($A63,'IA Data'!$A$219:$B$296,2,FALSE)</f>
        <v>0-5</v>
      </c>
      <c r="J63" s="256" t="s">
        <v>63</v>
      </c>
      <c r="K63" s="274" t="str">
        <f>VLOOKUP($A63,'IA Data'!$A$299:$C$393,3,FALSE)</f>
        <v>NULL</v>
      </c>
      <c r="L63" s="777" t="s">
        <v>63</v>
      </c>
      <c r="M63" s="252" t="s">
        <v>63</v>
      </c>
      <c r="N63" s="397" t="s">
        <v>63</v>
      </c>
      <c r="O63" s="260" t="s">
        <v>63</v>
      </c>
      <c r="P63" s="261">
        <f>ifna(vlookup(A63,'Population &amp; Church Numbers'!$A$792:$D$890,4,FALSE),"NULL")</f>
        <v>25</v>
      </c>
      <c r="Q63" s="329" t="s">
        <v>63</v>
      </c>
    </row>
    <row r="64">
      <c r="A64" s="188" t="s">
        <v>912</v>
      </c>
      <c r="B64" s="189">
        <f t="array" ref="B64">VLOOKUP($A64,IA_DEMO,2,FALSE)</f>
        <v>22190</v>
      </c>
      <c r="C64" s="333">
        <f>VLOOKUP($A64,'IA Data'!$A$4:$B$102,2,FALSE)</f>
        <v>32</v>
      </c>
      <c r="D64" s="265" t="s">
        <v>63</v>
      </c>
      <c r="E64" s="265">
        <f>VLOOKUP($A64,'IA Data'!$A$4:$D$102,4,FALSE)</f>
        <v>11</v>
      </c>
      <c r="F64" s="265">
        <f>VLOOKUP($A64,'IA Data'!$A$4:$D$102,3,FALSE)</f>
        <v>16</v>
      </c>
      <c r="G64" s="265" t="s">
        <v>63</v>
      </c>
      <c r="H64" s="266">
        <f>ifna(if(vlookup(A64,'IA Data'!$A$110:$B$207,2,FALSE)="0-5","0-5",vlookup(A64,'IA Data'!$A$110:$B$207,2,FALSE)),"NULL")</f>
        <v>15</v>
      </c>
      <c r="I64" s="778">
        <f>VLOOKUP($A64,'IA Data'!$A$219:$B$296,2,FALSE)</f>
        <v>6</v>
      </c>
      <c r="J64" s="268" t="s">
        <v>63</v>
      </c>
      <c r="K64" s="269">
        <f>VLOOKUP($A64,'IA Data'!$A$299:$C$393,3,FALSE)</f>
        <v>0.1351351351</v>
      </c>
      <c r="L64" s="779" t="s">
        <v>63</v>
      </c>
      <c r="M64" s="264" t="s">
        <v>63</v>
      </c>
      <c r="N64" s="395" t="s">
        <v>63</v>
      </c>
      <c r="O64" s="271" t="s">
        <v>63</v>
      </c>
      <c r="P64" s="272">
        <f>ifna(vlookup(A64,'Population &amp; Church Numbers'!$A$792:$D$890,4,FALSE),"NULL")</f>
        <v>48</v>
      </c>
      <c r="Q64" s="334" t="s">
        <v>63</v>
      </c>
    </row>
    <row r="65">
      <c r="A65" s="326" t="s">
        <v>153</v>
      </c>
      <c r="B65" s="251">
        <f t="array" ref="B65">VLOOKUP($A65,IA_DEMO,2,FALSE)</f>
        <v>33414</v>
      </c>
      <c r="C65" s="327">
        <f>VLOOKUP($A65,'IA Data'!$A$4:$B$102,2,FALSE)</f>
        <v>36</v>
      </c>
      <c r="D65" s="253" t="s">
        <v>63</v>
      </c>
      <c r="E65" s="253">
        <f>VLOOKUP($A65,'IA Data'!$A$4:$D$102,4,FALSE)</f>
        <v>13</v>
      </c>
      <c r="F65" s="253">
        <f>VLOOKUP($A65,'IA Data'!$A$4:$D$102,3,FALSE)</f>
        <v>20</v>
      </c>
      <c r="G65" s="253" t="s">
        <v>63</v>
      </c>
      <c r="H65" s="254">
        <f>ifna(if(vlookup(A65,'IA Data'!$A$110:$B$207,2,FALSE)="0-5","0-5",vlookup(A65,'IA Data'!$A$110:$B$207,2,FALSE)),"NULL")</f>
        <v>23</v>
      </c>
      <c r="I65" s="775">
        <f>VLOOKUP($A65,'IA Data'!$A$219:$B$296,2,FALSE)</f>
        <v>12</v>
      </c>
      <c r="J65" s="256" t="s">
        <v>63</v>
      </c>
      <c r="K65" s="776">
        <f>VLOOKUP($A65,'IA Data'!$A$299:$C$393,3,FALSE)</f>
        <v>0.2566371681</v>
      </c>
      <c r="L65" s="777" t="s">
        <v>63</v>
      </c>
      <c r="M65" s="252" t="s">
        <v>63</v>
      </c>
      <c r="N65" s="397" t="s">
        <v>63</v>
      </c>
      <c r="O65" s="260" t="s">
        <v>63</v>
      </c>
      <c r="P65" s="261">
        <f>ifna(vlookup(A65,'Population &amp; Church Numbers'!$A$792:$D$890,4,FALSE),"NULL")</f>
        <v>61</v>
      </c>
      <c r="Q65" s="329" t="s">
        <v>63</v>
      </c>
    </row>
    <row r="66">
      <c r="A66" s="188" t="s">
        <v>154</v>
      </c>
      <c r="B66" s="189">
        <f t="array" ref="B66">VLOOKUP($A66,IA_DEMO,2,FALSE)</f>
        <v>40105</v>
      </c>
      <c r="C66" s="333">
        <f>VLOOKUP($A66,'IA Data'!$A$4:$B$102,2,FALSE)</f>
        <v>59</v>
      </c>
      <c r="D66" s="265" t="s">
        <v>63</v>
      </c>
      <c r="E66" s="265">
        <f>VLOOKUP($A66,'IA Data'!$A$4:$D$102,4,FALSE)</f>
        <v>27</v>
      </c>
      <c r="F66" s="265">
        <f>VLOOKUP($A66,'IA Data'!$A$4:$D$102,3,FALSE)</f>
        <v>25</v>
      </c>
      <c r="G66" s="265" t="s">
        <v>63</v>
      </c>
      <c r="H66" s="266">
        <f>ifna(if(vlookup(A66,'IA Data'!$A$110:$B$207,2,FALSE)="0-5","0-5",vlookup(A66,'IA Data'!$A$110:$B$207,2,FALSE)),"NULL")</f>
        <v>28</v>
      </c>
      <c r="I66" s="778">
        <f>VLOOKUP($A66,'IA Data'!$A$219:$B$296,2,FALSE)</f>
        <v>18</v>
      </c>
      <c r="J66" s="268" t="s">
        <v>63</v>
      </c>
      <c r="K66" s="269">
        <f>VLOOKUP($A66,'IA Data'!$A$299:$C$393,3,FALSE)</f>
        <v>0.2336956522</v>
      </c>
      <c r="L66" s="779" t="s">
        <v>63</v>
      </c>
      <c r="M66" s="264" t="s">
        <v>63</v>
      </c>
      <c r="N66" s="395" t="s">
        <v>63</v>
      </c>
      <c r="O66" s="271" t="s">
        <v>63</v>
      </c>
      <c r="P66" s="272">
        <f>ifna(vlookup(A66,'Population &amp; Church Numbers'!$A$792:$D$890,4,FALSE),"NULL")</f>
        <v>55</v>
      </c>
      <c r="Q66" s="334" t="s">
        <v>63</v>
      </c>
    </row>
    <row r="67">
      <c r="A67" s="326" t="s">
        <v>913</v>
      </c>
      <c r="B67" s="251">
        <f t="array" ref="B67">VLOOKUP($A67,IA_DEMO,2,FALSE)</f>
        <v>14484</v>
      </c>
      <c r="C67" s="327">
        <f>VLOOKUP($A67,'IA Data'!$A$4:$B$102,2,FALSE)</f>
        <v>12</v>
      </c>
      <c r="D67" s="253" t="s">
        <v>63</v>
      </c>
      <c r="E67" s="253">
        <f>VLOOKUP($A67,'IA Data'!$A$4:$D$102,4,FALSE)</f>
        <v>2</v>
      </c>
      <c r="F67" s="253">
        <f>VLOOKUP($A67,'IA Data'!$A$4:$D$102,3,FALSE)</f>
        <v>7</v>
      </c>
      <c r="G67" s="253" t="s">
        <v>63</v>
      </c>
      <c r="H67" s="254">
        <f>ifna(if(vlookup(A67,'IA Data'!$A$110:$B$207,2,FALSE)="0-5","0-5",vlookup(A67,'IA Data'!$A$110:$B$207,2,FALSE)),"NULL")</f>
        <v>10</v>
      </c>
      <c r="I67" s="775" t="str">
        <f>VLOOKUP($A67,'IA Data'!$A$219:$B$296,2,FALSE)</f>
        <v>0-5</v>
      </c>
      <c r="J67" s="256" t="s">
        <v>63</v>
      </c>
      <c r="K67" s="776">
        <f>VLOOKUP($A67,'IA Data'!$A$299:$C$393,3,FALSE)</f>
        <v>0.2121212121</v>
      </c>
      <c r="L67" s="777" t="s">
        <v>63</v>
      </c>
      <c r="M67" s="252" t="s">
        <v>63</v>
      </c>
      <c r="N67" s="397" t="s">
        <v>63</v>
      </c>
      <c r="O67" s="260" t="s">
        <v>63</v>
      </c>
      <c r="P67" s="261">
        <f>ifna(vlookup(A67,'Population &amp; Church Numbers'!$A$792:$D$890,4,FALSE),"NULL")</f>
        <v>18</v>
      </c>
      <c r="Q67" s="329" t="s">
        <v>63</v>
      </c>
    </row>
    <row r="68">
      <c r="A68" s="188" t="s">
        <v>610</v>
      </c>
      <c r="B68" s="189">
        <f t="array" ref="B68">VLOOKUP($A68,IA_DEMO,2,FALSE)</f>
        <v>10565</v>
      </c>
      <c r="C68" s="333">
        <f>VLOOKUP($A68,'IA Data'!$A$4:$B$102,2,FALSE)</f>
        <v>6</v>
      </c>
      <c r="D68" s="265" t="s">
        <v>63</v>
      </c>
      <c r="E68" s="265">
        <f>VLOOKUP($A68,'IA Data'!$A$4:$D$102,4,FALSE)</f>
        <v>4</v>
      </c>
      <c r="F68" s="265">
        <f>VLOOKUP($A68,'IA Data'!$A$4:$D$102,3,FALSE)</f>
        <v>2</v>
      </c>
      <c r="G68" s="265" t="s">
        <v>63</v>
      </c>
      <c r="H68" s="266">
        <f>ifna(if(vlookup(A68,'IA Data'!$A$110:$B$207,2,FALSE)="0-5","0-5",vlookup(A68,'IA Data'!$A$110:$B$207,2,FALSE)),"NULL")</f>
        <v>9</v>
      </c>
      <c r="I68" s="778" t="str">
        <f>VLOOKUP($A68,'IA Data'!$A$219:$B$296,2,FALSE)</f>
        <v>0-5</v>
      </c>
      <c r="J68" s="268" t="s">
        <v>63</v>
      </c>
      <c r="K68" s="269">
        <f>VLOOKUP($A68,'IA Data'!$A$299:$C$393,3,FALSE)</f>
        <v>0.1875</v>
      </c>
      <c r="L68" s="779" t="s">
        <v>63</v>
      </c>
      <c r="M68" s="264" t="s">
        <v>63</v>
      </c>
      <c r="N68" s="395" t="s">
        <v>63</v>
      </c>
      <c r="O68" s="271" t="s">
        <v>63</v>
      </c>
      <c r="P68" s="272">
        <f>ifna(vlookup(A68,'Population &amp; Church Numbers'!$A$792:$D$890,4,FALSE),"NULL")</f>
        <v>21</v>
      </c>
      <c r="Q68" s="334" t="s">
        <v>63</v>
      </c>
    </row>
    <row r="69">
      <c r="A69" s="326" t="s">
        <v>915</v>
      </c>
      <c r="B69" s="251">
        <f t="array" ref="B69">VLOOKUP($A69,IA_DEMO,2,FALSE)</f>
        <v>8751</v>
      </c>
      <c r="C69" s="327">
        <f>VLOOKUP($A69,'IA Data'!$A$4:$B$102,2,FALSE)</f>
        <v>8</v>
      </c>
      <c r="D69" s="253" t="s">
        <v>63</v>
      </c>
      <c r="E69" s="253">
        <f>VLOOKUP($A69,'IA Data'!$A$4:$D$102,4,FALSE)</f>
        <v>0</v>
      </c>
      <c r="F69" s="253">
        <f>VLOOKUP($A69,'IA Data'!$A$4:$D$102,3,FALSE)</f>
        <v>8</v>
      </c>
      <c r="G69" s="253" t="s">
        <v>63</v>
      </c>
      <c r="H69" s="254">
        <f>ifna(if(vlookup(A69,'IA Data'!$A$110:$B$207,2,FALSE)="0-5","0-5",vlookup(A69,'IA Data'!$A$110:$B$207,2,FALSE)),"NULL")</f>
        <v>8</v>
      </c>
      <c r="I69" s="780" t="s">
        <v>63</v>
      </c>
      <c r="J69" s="256" t="s">
        <v>63</v>
      </c>
      <c r="K69" s="274" t="str">
        <f>VLOOKUP($A69,'IA Data'!$A$299:$C$393,3,FALSE)</f>
        <v>#N/A</v>
      </c>
      <c r="L69" s="777" t="s">
        <v>63</v>
      </c>
      <c r="M69" s="252" t="s">
        <v>63</v>
      </c>
      <c r="N69" s="397" t="s">
        <v>63</v>
      </c>
      <c r="O69" s="260" t="s">
        <v>63</v>
      </c>
      <c r="P69" s="261">
        <f>ifna(vlookup(A69,'Population &amp; Church Numbers'!$A$792:$D$890,4,FALSE),"NULL")</f>
        <v>20</v>
      </c>
      <c r="Q69" s="329" t="s">
        <v>63</v>
      </c>
    </row>
    <row r="70">
      <c r="A70" s="188" t="s">
        <v>156</v>
      </c>
      <c r="B70" s="189">
        <f t="array" ref="B70">VLOOKUP($A70,IA_DEMO,2,FALSE)</f>
        <v>7577</v>
      </c>
      <c r="C70" s="333">
        <f>VLOOKUP($A70,'IA Data'!$A$4:$B$102,2,FALSE)</f>
        <v>15</v>
      </c>
      <c r="D70" s="265" t="s">
        <v>63</v>
      </c>
      <c r="E70" s="265">
        <f>VLOOKUP($A70,'IA Data'!$A$4:$D$102,4,FALSE)</f>
        <v>1</v>
      </c>
      <c r="F70" s="265">
        <f>VLOOKUP($A70,'IA Data'!$A$4:$D$102,3,FALSE)</f>
        <v>13</v>
      </c>
      <c r="G70" s="265" t="s">
        <v>63</v>
      </c>
      <c r="H70" s="266">
        <f>ifna(if(vlookup(A70,'IA Data'!$A$110:$B$207,2,FALSE)="0-5","0-5",vlookup(A70,'IA Data'!$A$110:$B$207,2,FALSE)),"NULL")</f>
        <v>7</v>
      </c>
      <c r="I70" s="778" t="str">
        <f>VLOOKUP($A70,'IA Data'!$A$219:$B$296,2,FALSE)</f>
        <v>0-5</v>
      </c>
      <c r="J70" s="268" t="s">
        <v>63</v>
      </c>
      <c r="K70" s="269">
        <f>VLOOKUP($A70,'IA Data'!$A$299:$C$393,3,FALSE)</f>
        <v>0.2962962963</v>
      </c>
      <c r="L70" s="779" t="s">
        <v>63</v>
      </c>
      <c r="M70" s="264" t="s">
        <v>63</v>
      </c>
      <c r="N70" s="395" t="s">
        <v>63</v>
      </c>
      <c r="O70" s="271" t="s">
        <v>63</v>
      </c>
      <c r="P70" s="272">
        <f>ifna(vlookup(A70,'Population &amp; Church Numbers'!$A$792:$D$890,4,FALSE),"NULL")</f>
        <v>11</v>
      </c>
      <c r="Q70" s="334" t="s">
        <v>63</v>
      </c>
    </row>
    <row r="71">
      <c r="A71" s="326" t="s">
        <v>157</v>
      </c>
      <c r="B71" s="251">
        <f t="array" ref="B71">VLOOKUP($A71,IA_DEMO,2,FALSE)</f>
        <v>10330</v>
      </c>
      <c r="C71" s="327">
        <f>VLOOKUP($A71,'IA Data'!$A$4:$B$102,2,FALSE)</f>
        <v>30</v>
      </c>
      <c r="D71" s="253" t="s">
        <v>63</v>
      </c>
      <c r="E71" s="253">
        <f>VLOOKUP($A71,'IA Data'!$A$4:$D$102,4,FALSE)</f>
        <v>8</v>
      </c>
      <c r="F71" s="253">
        <f>VLOOKUP($A71,'IA Data'!$A$4:$D$102,3,FALSE)</f>
        <v>20</v>
      </c>
      <c r="G71" s="253" t="s">
        <v>63</v>
      </c>
      <c r="H71" s="254">
        <f>ifna(if(vlookup(A71,'IA Data'!$A$110:$B$207,2,FALSE)="0-5","0-5",vlookup(A71,'IA Data'!$A$110:$B$207,2,FALSE)),"NULL")</f>
        <v>7</v>
      </c>
      <c r="I71" s="775" t="str">
        <f>VLOOKUP($A71,'IA Data'!$A$219:$B$296,2,FALSE)</f>
        <v>0-5</v>
      </c>
      <c r="J71" s="256" t="s">
        <v>63</v>
      </c>
      <c r="K71" s="776">
        <f>VLOOKUP($A71,'IA Data'!$A$299:$C$393,3,FALSE)</f>
        <v>0.2280701754</v>
      </c>
      <c r="L71" s="777" t="s">
        <v>63</v>
      </c>
      <c r="M71" s="252" t="s">
        <v>63</v>
      </c>
      <c r="N71" s="397" t="s">
        <v>63</v>
      </c>
      <c r="O71" s="260" t="s">
        <v>63</v>
      </c>
      <c r="P71" s="261">
        <f>ifna(vlookup(A71,'Population &amp; Church Numbers'!$A$792:$D$890,4,FALSE),"NULL")</f>
        <v>24</v>
      </c>
      <c r="Q71" s="329" t="s">
        <v>63</v>
      </c>
    </row>
    <row r="72">
      <c r="A72" s="188" t="s">
        <v>917</v>
      </c>
      <c r="B72" s="189">
        <f t="array" ref="B72">VLOOKUP($A72,IA_DEMO,2,FALSE)</f>
        <v>43235</v>
      </c>
      <c r="C72" s="333">
        <f>VLOOKUP($A72,'IA Data'!$A$4:$B$102,2,FALSE)</f>
        <v>47</v>
      </c>
      <c r="D72" s="265" t="s">
        <v>63</v>
      </c>
      <c r="E72" s="265">
        <f>VLOOKUP($A72,'IA Data'!$A$4:$D$102,4,FALSE)</f>
        <v>8</v>
      </c>
      <c r="F72" s="265">
        <f>VLOOKUP($A72,'IA Data'!$A$4:$D$102,3,FALSE)</f>
        <v>35</v>
      </c>
      <c r="G72" s="265" t="s">
        <v>63</v>
      </c>
      <c r="H72" s="266">
        <f>ifna(if(vlookup(A72,'IA Data'!$A$110:$B$207,2,FALSE)="0-5","0-5",vlookup(A72,'IA Data'!$A$110:$B$207,2,FALSE)),"NULL")</f>
        <v>23</v>
      </c>
      <c r="I72" s="778" t="str">
        <f>VLOOKUP($A72,'IA Data'!$A$219:$B$296,2,FALSE)</f>
        <v>0-5</v>
      </c>
      <c r="J72" s="268" t="s">
        <v>63</v>
      </c>
      <c r="K72" s="269">
        <f>VLOOKUP($A72,'IA Data'!$A$299:$C$393,3,FALSE)</f>
        <v>0.09090909091</v>
      </c>
      <c r="L72" s="779" t="s">
        <v>63</v>
      </c>
      <c r="M72" s="264" t="s">
        <v>63</v>
      </c>
      <c r="N72" s="395" t="s">
        <v>63</v>
      </c>
      <c r="O72" s="271" t="s">
        <v>63</v>
      </c>
      <c r="P72" s="272">
        <f>ifna(vlookup(A72,'Population &amp; Church Numbers'!$A$792:$D$890,4,FALSE),"NULL")</f>
        <v>51</v>
      </c>
      <c r="Q72" s="334" t="s">
        <v>63</v>
      </c>
    </row>
    <row r="73">
      <c r="A73" s="326" t="s">
        <v>2618</v>
      </c>
      <c r="B73" s="251">
        <f t="array" ref="B73">VLOOKUP($A73,IA_DEMO,2,FALSE)</f>
        <v>14182</v>
      </c>
      <c r="C73" s="327">
        <f>VLOOKUP($A73,'IA Data'!$A$4:$B$102,2,FALSE)</f>
        <v>23</v>
      </c>
      <c r="D73" s="253" t="s">
        <v>63</v>
      </c>
      <c r="E73" s="253">
        <f>VLOOKUP($A73,'IA Data'!$A$4:$D$102,4,FALSE)</f>
        <v>13</v>
      </c>
      <c r="F73" s="253">
        <f>VLOOKUP($A73,'IA Data'!$A$4:$D$102,3,FALSE)</f>
        <v>8</v>
      </c>
      <c r="G73" s="253" t="s">
        <v>63</v>
      </c>
      <c r="H73" s="254" t="str">
        <f>ifna(if(vlookup(A73,'IA Data'!$A$110:$B$207,2,FALSE)="0-5","0-5",vlookup(A73,'IA Data'!$A$110:$B$207,2,FALSE)),"NULL")</f>
        <v>NULL</v>
      </c>
      <c r="I73" s="775">
        <f>VLOOKUP($A73,'IA Data'!$A$219:$B$296,2,FALSE)</f>
        <v>6</v>
      </c>
      <c r="J73" s="256" t="s">
        <v>63</v>
      </c>
      <c r="K73" s="776">
        <f>VLOOKUP($A73,'IA Data'!$A$299:$C$393,3,FALSE)</f>
        <v>0.1111111111</v>
      </c>
      <c r="L73" s="777" t="s">
        <v>63</v>
      </c>
      <c r="M73" s="252" t="s">
        <v>63</v>
      </c>
      <c r="N73" s="397" t="s">
        <v>63</v>
      </c>
      <c r="O73" s="260" t="s">
        <v>63</v>
      </c>
      <c r="P73" s="261">
        <f>ifna(vlookup(A73,'Population &amp; Church Numbers'!$A$792:$D$890,4,FALSE),"NULL")</f>
        <v>36</v>
      </c>
      <c r="Q73" s="329" t="s">
        <v>63</v>
      </c>
    </row>
    <row r="74">
      <c r="A74" s="188" t="s">
        <v>515</v>
      </c>
      <c r="B74" s="189">
        <f t="array" ref="B74">VLOOKUP($A74,IA_DEMO,2,FALSE)</f>
        <v>6192</v>
      </c>
      <c r="C74" s="333">
        <f>VLOOKUP($A74,'IA Data'!$A$4:$B$102,2,FALSE)</f>
        <v>12</v>
      </c>
      <c r="D74" s="265" t="s">
        <v>63</v>
      </c>
      <c r="E74" s="265">
        <f>VLOOKUP($A74,'IA Data'!$A$4:$D$102,4,FALSE)</f>
        <v>4</v>
      </c>
      <c r="F74" s="265">
        <f>VLOOKUP($A74,'IA Data'!$A$4:$D$102,3,FALSE)</f>
        <v>7</v>
      </c>
      <c r="G74" s="265" t="s">
        <v>63</v>
      </c>
      <c r="H74" s="266">
        <f>ifna(if(vlookup(A74,'IA Data'!$A$110:$B$207,2,FALSE)="0-5","0-5",vlookup(A74,'IA Data'!$A$110:$B$207,2,FALSE)),"NULL")</f>
        <v>6</v>
      </c>
      <c r="I74" s="778" t="str">
        <f>VLOOKUP($A74,'IA Data'!$A$219:$B$296,2,FALSE)</f>
        <v>0-5</v>
      </c>
      <c r="J74" s="268" t="s">
        <v>63</v>
      </c>
      <c r="K74" s="284" t="str">
        <f>VLOOKUP($A74,'IA Data'!$A$299:$C$393,3,FALSE)</f>
        <v>NULL</v>
      </c>
      <c r="L74" s="779" t="s">
        <v>63</v>
      </c>
      <c r="M74" s="264" t="s">
        <v>63</v>
      </c>
      <c r="N74" s="395" t="s">
        <v>63</v>
      </c>
      <c r="O74" s="271" t="s">
        <v>63</v>
      </c>
      <c r="P74" s="272">
        <f>ifna(vlookup(A74,'Population &amp; Church Numbers'!$A$792:$D$890,4,FALSE),"NULL")</f>
        <v>19</v>
      </c>
      <c r="Q74" s="334" t="s">
        <v>63</v>
      </c>
    </row>
    <row r="75">
      <c r="A75" s="326" t="s">
        <v>927</v>
      </c>
      <c r="B75" s="251">
        <f t="array" ref="B75">VLOOKUP($A75,IA_DEMO,2,FALSE)</f>
        <v>15211</v>
      </c>
      <c r="C75" s="327">
        <f>VLOOKUP($A75,'IA Data'!$A$4:$B$102,2,FALSE)</f>
        <v>16</v>
      </c>
      <c r="D75" s="253" t="s">
        <v>63</v>
      </c>
      <c r="E75" s="253">
        <f>VLOOKUP($A75,'IA Data'!$A$4:$D$102,4,FALSE)</f>
        <v>1</v>
      </c>
      <c r="F75" s="253">
        <f>VLOOKUP($A75,'IA Data'!$A$4:$D$102,3,FALSE)</f>
        <v>10</v>
      </c>
      <c r="G75" s="253" t="s">
        <v>63</v>
      </c>
      <c r="H75" s="254">
        <f>ifna(if(vlookup(A75,'IA Data'!$A$110:$B$207,2,FALSE)="0-5","0-5",vlookup(A75,'IA Data'!$A$110:$B$207,2,FALSE)),"NULL")</f>
        <v>6</v>
      </c>
      <c r="I75" s="775" t="str">
        <f>VLOOKUP($A75,'IA Data'!$A$219:$B$296,2,FALSE)</f>
        <v>0-5</v>
      </c>
      <c r="J75" s="256" t="s">
        <v>63</v>
      </c>
      <c r="K75" s="776">
        <f>VLOOKUP($A75,'IA Data'!$A$299:$C$393,3,FALSE)</f>
        <v>0.1641791045</v>
      </c>
      <c r="L75" s="777" t="s">
        <v>63</v>
      </c>
      <c r="M75" s="252" t="s">
        <v>63</v>
      </c>
      <c r="N75" s="397" t="s">
        <v>63</v>
      </c>
      <c r="O75" s="260" t="s">
        <v>63</v>
      </c>
      <c r="P75" s="261">
        <f>ifna(vlookup(A75,'Population &amp; Church Numbers'!$A$792:$D$890,4,FALSE),"NULL")</f>
        <v>35</v>
      </c>
      <c r="Q75" s="329" t="s">
        <v>63</v>
      </c>
    </row>
    <row r="76">
      <c r="A76" s="188" t="s">
        <v>928</v>
      </c>
      <c r="B76" s="189">
        <f t="array" ref="B76">VLOOKUP($A76,IA_DEMO,2,FALSE)</f>
        <v>8996</v>
      </c>
      <c r="C76" s="333">
        <f>VLOOKUP($A76,'IA Data'!$A$4:$B$102,2,FALSE)</f>
        <v>8</v>
      </c>
      <c r="D76" s="265" t="s">
        <v>63</v>
      </c>
      <c r="E76" s="265">
        <f>VLOOKUP($A76,'IA Data'!$A$4:$D$102,4,FALSE)</f>
        <v>2</v>
      </c>
      <c r="F76" s="265">
        <f>VLOOKUP($A76,'IA Data'!$A$4:$D$102,3,FALSE)</f>
        <v>6</v>
      </c>
      <c r="G76" s="265" t="s">
        <v>63</v>
      </c>
      <c r="H76" s="266">
        <f>ifna(if(vlookup(A76,'IA Data'!$A$110:$B$207,2,FALSE)="0-5","0-5",vlookup(A76,'IA Data'!$A$110:$B$207,2,FALSE)),"NULL")</f>
        <v>9</v>
      </c>
      <c r="I76" s="816" t="s">
        <v>63</v>
      </c>
      <c r="J76" s="268" t="s">
        <v>63</v>
      </c>
      <c r="K76" s="284" t="str">
        <f>VLOOKUP($A76,'IA Data'!$A$299:$C$393,3,FALSE)</f>
        <v>NULL</v>
      </c>
      <c r="L76" s="779" t="s">
        <v>63</v>
      </c>
      <c r="M76" s="264" t="s">
        <v>63</v>
      </c>
      <c r="N76" s="395" t="s">
        <v>63</v>
      </c>
      <c r="O76" s="271" t="s">
        <v>63</v>
      </c>
      <c r="P76" s="272">
        <f>ifna(vlookup(A76,'Population &amp; Church Numbers'!$A$792:$D$890,4,FALSE),"NULL")</f>
        <v>17</v>
      </c>
      <c r="Q76" s="334" t="s">
        <v>63</v>
      </c>
    </row>
    <row r="77">
      <c r="A77" s="326" t="s">
        <v>929</v>
      </c>
      <c r="B77" s="251">
        <f t="array" ref="B77">VLOOKUP($A77,IA_DEMO,2,FALSE)</f>
        <v>25698</v>
      </c>
      <c r="C77" s="327">
        <f>VLOOKUP($A77,'IA Data'!$A$4:$B$102,2,FALSE)</f>
        <v>14</v>
      </c>
      <c r="D77" s="253" t="s">
        <v>63</v>
      </c>
      <c r="E77" s="253">
        <f>VLOOKUP($A77,'IA Data'!$A$4:$D$102,4,FALSE)</f>
        <v>1</v>
      </c>
      <c r="F77" s="253">
        <f>VLOOKUP($A77,'IA Data'!$A$4:$D$102,3,FALSE)</f>
        <v>8</v>
      </c>
      <c r="G77" s="253" t="s">
        <v>63</v>
      </c>
      <c r="H77" s="254">
        <f>ifna(if(vlookup(A77,'IA Data'!$A$110:$B$207,2,FALSE)="0-5","0-5",vlookup(A77,'IA Data'!$A$110:$B$207,2,FALSE)),"NULL")</f>
        <v>15</v>
      </c>
      <c r="I77" s="780" t="s">
        <v>63</v>
      </c>
      <c r="J77" s="256" t="s">
        <v>63</v>
      </c>
      <c r="K77" s="776">
        <f>VLOOKUP($A77,'IA Data'!$A$299:$C$393,3,FALSE)</f>
        <v>0.1481481481</v>
      </c>
      <c r="L77" s="777" t="s">
        <v>63</v>
      </c>
      <c r="M77" s="252" t="s">
        <v>63</v>
      </c>
      <c r="N77" s="397" t="s">
        <v>63</v>
      </c>
      <c r="O77" s="260" t="s">
        <v>63</v>
      </c>
      <c r="P77" s="261">
        <f>ifna(vlookup(A77,'Population &amp; Church Numbers'!$A$792:$D$890,4,FALSE),"NULL")</f>
        <v>35</v>
      </c>
      <c r="Q77" s="329" t="s">
        <v>63</v>
      </c>
    </row>
    <row r="78">
      <c r="A78" s="188" t="s">
        <v>930</v>
      </c>
      <c r="B78" s="189">
        <f t="array" ref="B78">VLOOKUP($A78,IA_DEMO,2,FALSE)</f>
        <v>7078</v>
      </c>
      <c r="C78" s="333">
        <f>VLOOKUP($A78,'IA Data'!$A$4:$B$102,2,FALSE)</f>
        <v>18</v>
      </c>
      <c r="D78" s="265" t="s">
        <v>63</v>
      </c>
      <c r="E78" s="265">
        <f>VLOOKUP($A78,'IA Data'!$A$4:$D$102,4,FALSE)</f>
        <v>8</v>
      </c>
      <c r="F78" s="265">
        <f>VLOOKUP($A78,'IA Data'!$A$4:$D$102,3,FALSE)</f>
        <v>6</v>
      </c>
      <c r="G78" s="265" t="s">
        <v>63</v>
      </c>
      <c r="H78" s="266" t="str">
        <f>ifna(if(vlookup(A78,'IA Data'!$A$110:$B$207,2,FALSE)="0-5","0-5",vlookup(A78,'IA Data'!$A$110:$B$207,2,FALSE)),"NULL")</f>
        <v>0-5</v>
      </c>
      <c r="I78" s="778" t="str">
        <f>VLOOKUP($A78,'IA Data'!$A$219:$B$296,2,FALSE)</f>
        <v>0-5</v>
      </c>
      <c r="J78" s="268" t="s">
        <v>63</v>
      </c>
      <c r="K78" s="284" t="str">
        <f>VLOOKUP($A78,'IA Data'!$A$299:$C$393,3,FALSE)</f>
        <v>NULL</v>
      </c>
      <c r="L78" s="779" t="s">
        <v>63</v>
      </c>
      <c r="M78" s="264" t="s">
        <v>63</v>
      </c>
      <c r="N78" s="395" t="s">
        <v>63</v>
      </c>
      <c r="O78" s="271" t="s">
        <v>63</v>
      </c>
      <c r="P78" s="272">
        <f>ifna(vlookup(A78,'Population &amp; Church Numbers'!$A$792:$D$890,4,FALSE),"NULL")</f>
        <v>17</v>
      </c>
      <c r="Q78" s="334" t="s">
        <v>63</v>
      </c>
    </row>
    <row r="79">
      <c r="A79" s="326" t="s">
        <v>302</v>
      </c>
      <c r="B79" s="251">
        <f t="array" ref="B79">VLOOKUP($A79,IA_DEMO,2,FALSE)</f>
        <v>492401</v>
      </c>
      <c r="C79" s="327">
        <f>VLOOKUP($A79,'IA Data'!$A$4:$B$102,2,FALSE)</f>
        <v>753</v>
      </c>
      <c r="D79" s="253" t="s">
        <v>63</v>
      </c>
      <c r="E79" s="253">
        <f>VLOOKUP($A79,'IA Data'!$A$4:$D$102,4,FALSE)</f>
        <v>215</v>
      </c>
      <c r="F79" s="253">
        <f>VLOOKUP($A79,'IA Data'!$A$4:$D$102,3,FALSE)</f>
        <v>423</v>
      </c>
      <c r="G79" s="253" t="s">
        <v>63</v>
      </c>
      <c r="H79" s="254">
        <f>ifna(if(vlookup(A79,'IA Data'!$A$110:$B$207,2,FALSE)="0-5","0-5",vlookup(A79,'IA Data'!$A$110:$B$207,2,FALSE)),"NULL")</f>
        <v>302</v>
      </c>
      <c r="I79" s="775">
        <f>VLOOKUP($A79,'IA Data'!$A$219:$B$296,2,FALSE)</f>
        <v>142</v>
      </c>
      <c r="J79" s="256" t="s">
        <v>63</v>
      </c>
      <c r="K79" s="776">
        <f>VLOOKUP($A79,'IA Data'!$A$299:$C$393,3,FALSE)</f>
        <v>0.1342329545</v>
      </c>
      <c r="L79" s="777" t="s">
        <v>63</v>
      </c>
      <c r="M79" s="252" t="s">
        <v>63</v>
      </c>
      <c r="N79" s="397" t="s">
        <v>63</v>
      </c>
      <c r="O79" s="260" t="s">
        <v>63</v>
      </c>
      <c r="P79" s="261">
        <f>ifna(vlookup(A79,'Population &amp; Church Numbers'!$A$792:$D$890,4,FALSE),"NULL")</f>
        <v>301</v>
      </c>
      <c r="Q79" s="329" t="s">
        <v>63</v>
      </c>
    </row>
    <row r="80">
      <c r="A80" s="188" t="s">
        <v>931</v>
      </c>
      <c r="B80" s="189">
        <f t="array" ref="B80">VLOOKUP($A80,IA_DEMO,2,FALSE)</f>
        <v>93667</v>
      </c>
      <c r="C80" s="333">
        <f>VLOOKUP($A80,'IA Data'!$A$4:$B$102,2,FALSE)</f>
        <v>134</v>
      </c>
      <c r="D80" s="265" t="s">
        <v>63</v>
      </c>
      <c r="E80" s="265">
        <f>VLOOKUP($A80,'IA Data'!$A$4:$D$102,4,FALSE)</f>
        <v>41</v>
      </c>
      <c r="F80" s="265">
        <f>VLOOKUP($A80,'IA Data'!$A$4:$D$102,3,FALSE)</f>
        <v>66</v>
      </c>
      <c r="G80" s="265" t="s">
        <v>63</v>
      </c>
      <c r="H80" s="266">
        <f>ifna(if(vlookup(A80,'IA Data'!$A$110:$B$207,2,FALSE)="0-5","0-5",vlookup(A80,'IA Data'!$A$110:$B$207,2,FALSE)),"NULL")</f>
        <v>43</v>
      </c>
      <c r="I80" s="778">
        <f>VLOOKUP($A80,'IA Data'!$A$219:$B$296,2,FALSE)</f>
        <v>25</v>
      </c>
      <c r="J80" s="268" t="s">
        <v>63</v>
      </c>
      <c r="K80" s="269">
        <f>VLOOKUP($A80,'IA Data'!$A$299:$C$393,3,FALSE)</f>
        <v>0.1858638743</v>
      </c>
      <c r="L80" s="779" t="s">
        <v>63</v>
      </c>
      <c r="M80" s="264" t="s">
        <v>63</v>
      </c>
      <c r="N80" s="395" t="s">
        <v>63</v>
      </c>
      <c r="O80" s="271" t="s">
        <v>63</v>
      </c>
      <c r="P80" s="272">
        <f>ifna(vlookup(A80,'Population &amp; Church Numbers'!$A$792:$D$890,4,FALSE),"NULL")</f>
        <v>93</v>
      </c>
      <c r="Q80" s="334" t="s">
        <v>63</v>
      </c>
    </row>
    <row r="81">
      <c r="A81" s="326" t="s">
        <v>932</v>
      </c>
      <c r="B81" s="251">
        <f t="array" ref="B81">VLOOKUP($A81,IA_DEMO,2,FALSE)</f>
        <v>18662</v>
      </c>
      <c r="C81" s="327">
        <f>VLOOKUP($A81,'IA Data'!$A$4:$B$102,2,FALSE)</f>
        <v>31</v>
      </c>
      <c r="D81" s="253" t="s">
        <v>63</v>
      </c>
      <c r="E81" s="253">
        <f>VLOOKUP($A81,'IA Data'!$A$4:$D$102,4,FALSE)</f>
        <v>14</v>
      </c>
      <c r="F81" s="253">
        <f>VLOOKUP($A81,'IA Data'!$A$4:$D$102,3,FALSE)</f>
        <v>12</v>
      </c>
      <c r="G81" s="253" t="s">
        <v>63</v>
      </c>
      <c r="H81" s="254">
        <f>ifna(if(vlookup(A81,'IA Data'!$A$110:$B$207,2,FALSE)="0-5","0-5",vlookup(A81,'IA Data'!$A$110:$B$207,2,FALSE)),"NULL")</f>
        <v>16</v>
      </c>
      <c r="I81" s="775">
        <f>VLOOKUP($A81,'IA Data'!$A$219:$B$296,2,FALSE)</f>
        <v>12</v>
      </c>
      <c r="J81" s="256" t="s">
        <v>63</v>
      </c>
      <c r="K81" s="776">
        <f>VLOOKUP($A81,'IA Data'!$A$299:$C$393,3,FALSE)</f>
        <v>0.1923076923</v>
      </c>
      <c r="L81" s="777" t="s">
        <v>63</v>
      </c>
      <c r="M81" s="252" t="s">
        <v>63</v>
      </c>
      <c r="N81" s="397" t="s">
        <v>63</v>
      </c>
      <c r="O81" s="260" t="s">
        <v>63</v>
      </c>
      <c r="P81" s="261">
        <f>ifna(vlookup(A81,'Population &amp; Church Numbers'!$A$792:$D$890,4,FALSE),"NULL")</f>
        <v>32</v>
      </c>
      <c r="Q81" s="329" t="s">
        <v>63</v>
      </c>
    </row>
    <row r="82">
      <c r="A82" s="188" t="s">
        <v>935</v>
      </c>
      <c r="B82" s="189">
        <f t="array" ref="B82">VLOOKUP($A82,IA_DEMO,2,FALSE)</f>
        <v>4663</v>
      </c>
      <c r="C82" s="333">
        <f>VLOOKUP($A82,'IA Data'!$A$4:$B$102,2,FALSE)</f>
        <v>4</v>
      </c>
      <c r="D82" s="265" t="s">
        <v>63</v>
      </c>
      <c r="E82" s="265">
        <f>VLOOKUP($A82,'IA Data'!$A$4:$D$102,4,FALSE)</f>
        <v>1</v>
      </c>
      <c r="F82" s="265">
        <f>VLOOKUP($A82,'IA Data'!$A$4:$D$102,3,FALSE)</f>
        <v>0</v>
      </c>
      <c r="G82" s="265" t="s">
        <v>63</v>
      </c>
      <c r="H82" s="266" t="str">
        <f>ifna(if(vlookup(A82,'IA Data'!$A$110:$B$207,2,FALSE)="0-5","0-5",vlookup(A82,'IA Data'!$A$110:$B$207,2,FALSE)),"NULL")</f>
        <v>0-5</v>
      </c>
      <c r="I82" s="778" t="str">
        <f>VLOOKUP($A82,'IA Data'!$A$219:$B$296,2,FALSE)</f>
        <v>0-5</v>
      </c>
      <c r="J82" s="268" t="s">
        <v>63</v>
      </c>
      <c r="K82" s="284" t="str">
        <f>VLOOKUP($A82,'IA Data'!$A$299:$C$393,3,FALSE)</f>
        <v>NULL</v>
      </c>
      <c r="L82" s="779" t="s">
        <v>63</v>
      </c>
      <c r="M82" s="264" t="s">
        <v>63</v>
      </c>
      <c r="N82" s="395" t="s">
        <v>63</v>
      </c>
      <c r="O82" s="271" t="s">
        <v>63</v>
      </c>
      <c r="P82" s="272">
        <f>ifna(vlookup(A82,'Population &amp; Church Numbers'!$A$792:$D$890,4,FALSE),"NULL")</f>
        <v>9</v>
      </c>
      <c r="Q82" s="334" t="s">
        <v>63</v>
      </c>
    </row>
    <row r="83">
      <c r="A83" s="326" t="s">
        <v>936</v>
      </c>
      <c r="B83" s="251">
        <f t="array" ref="B83">VLOOKUP($A83,IA_DEMO,2,FALSE)</f>
        <v>9814</v>
      </c>
      <c r="C83" s="327">
        <f>VLOOKUP($A83,'IA Data'!$A$4:$B$102,2,FALSE)</f>
        <v>8</v>
      </c>
      <c r="D83" s="253" t="s">
        <v>63</v>
      </c>
      <c r="E83" s="253">
        <f>VLOOKUP($A83,'IA Data'!$A$4:$D$102,4,FALSE)</f>
        <v>2</v>
      </c>
      <c r="F83" s="253">
        <f>VLOOKUP($A83,'IA Data'!$A$4:$D$102,3,FALSE)</f>
        <v>4</v>
      </c>
      <c r="G83" s="253" t="s">
        <v>63</v>
      </c>
      <c r="H83" s="254">
        <f>ifna(if(vlookup(A83,'IA Data'!$A$110:$B$207,2,FALSE)="0-5","0-5",vlookup(A83,'IA Data'!$A$110:$B$207,2,FALSE)),"NULL")</f>
        <v>6</v>
      </c>
      <c r="I83" s="780" t="s">
        <v>63</v>
      </c>
      <c r="J83" s="256" t="s">
        <v>63</v>
      </c>
      <c r="K83" s="274" t="str">
        <f>VLOOKUP($A83,'IA Data'!$A$299:$C$393,3,FALSE)</f>
        <v>NULL</v>
      </c>
      <c r="L83" s="777" t="s">
        <v>63</v>
      </c>
      <c r="M83" s="252" t="s">
        <v>63</v>
      </c>
      <c r="N83" s="397" t="s">
        <v>63</v>
      </c>
      <c r="O83" s="260" t="s">
        <v>63</v>
      </c>
      <c r="P83" s="261">
        <f>ifna(vlookup(A83,'Population &amp; Church Numbers'!$A$792:$D$890,4,FALSE),"NULL")</f>
        <v>24</v>
      </c>
      <c r="Q83" s="329" t="s">
        <v>63</v>
      </c>
    </row>
    <row r="84">
      <c r="A84" s="188" t="s">
        <v>309</v>
      </c>
      <c r="B84" s="189">
        <f t="array" ref="B84">VLOOKUP($A84,IA_DEMO,2,FALSE)</f>
        <v>174669</v>
      </c>
      <c r="C84" s="333">
        <f>VLOOKUP($A84,'IA Data'!$A$4:$B$102,2,FALSE)</f>
        <v>174</v>
      </c>
      <c r="D84" s="265" t="s">
        <v>63</v>
      </c>
      <c r="E84" s="265">
        <f>VLOOKUP($A84,'IA Data'!$A$4:$D$102,4,FALSE)</f>
        <v>58</v>
      </c>
      <c r="F84" s="265">
        <f>VLOOKUP($A84,'IA Data'!$A$4:$D$102,3,FALSE)</f>
        <v>94</v>
      </c>
      <c r="G84" s="265" t="s">
        <v>63</v>
      </c>
      <c r="H84" s="266">
        <f>ifna(if(vlookup(A84,'IA Data'!$A$110:$B$207,2,FALSE)="0-5","0-5",vlookup(A84,'IA Data'!$A$110:$B$207,2,FALSE)),"NULL")</f>
        <v>76</v>
      </c>
      <c r="I84" s="778">
        <f>VLOOKUP($A84,'IA Data'!$A$219:$B$296,2,FALSE)</f>
        <v>16</v>
      </c>
      <c r="J84" s="268" t="s">
        <v>63</v>
      </c>
      <c r="K84" s="269">
        <f>VLOOKUP($A84,'IA Data'!$A$299:$C$393,3,FALSE)</f>
        <v>0.08717105263</v>
      </c>
      <c r="L84" s="779" t="s">
        <v>63</v>
      </c>
      <c r="M84" s="264" t="s">
        <v>63</v>
      </c>
      <c r="N84" s="395" t="s">
        <v>63</v>
      </c>
      <c r="O84" s="271" t="s">
        <v>63</v>
      </c>
      <c r="P84" s="272">
        <f>ifna(vlookup(A84,'Population &amp; Church Numbers'!$A$792:$D$890,4,FALSE),"NULL")</f>
        <v>116</v>
      </c>
      <c r="Q84" s="334" t="s">
        <v>63</v>
      </c>
    </row>
    <row r="85">
      <c r="A85" s="326" t="s">
        <v>168</v>
      </c>
      <c r="B85" s="251">
        <f t="array" ref="B85">VLOOKUP($A85,IA_DEMO,2,FALSE)</f>
        <v>11746</v>
      </c>
      <c r="C85" s="327">
        <f>VLOOKUP($A85,'IA Data'!$A$4:$B$102,2,FALSE)</f>
        <v>15</v>
      </c>
      <c r="D85" s="253" t="s">
        <v>63</v>
      </c>
      <c r="E85" s="253">
        <f>VLOOKUP($A85,'IA Data'!$A$4:$D$102,4,FALSE)</f>
        <v>5</v>
      </c>
      <c r="F85" s="253">
        <f>VLOOKUP($A85,'IA Data'!$A$4:$D$102,3,FALSE)</f>
        <v>7</v>
      </c>
      <c r="G85" s="253" t="s">
        <v>63</v>
      </c>
      <c r="H85" s="254">
        <f>ifna(if(vlookup(A85,'IA Data'!$A$110:$B$207,2,FALSE)="0-5","0-5",vlookup(A85,'IA Data'!$A$110:$B$207,2,FALSE)),"NULL")</f>
        <v>11</v>
      </c>
      <c r="I85" s="775">
        <f>VLOOKUP($A85,'IA Data'!$A$219:$B$296,2,FALSE)</f>
        <v>11</v>
      </c>
      <c r="J85" s="256" t="s">
        <v>63</v>
      </c>
      <c r="K85" s="776">
        <f>VLOOKUP($A85,'IA Data'!$A$299:$C$393,3,FALSE)</f>
        <v>0.1818181818</v>
      </c>
      <c r="L85" s="777" t="s">
        <v>63</v>
      </c>
      <c r="M85" s="252" t="s">
        <v>63</v>
      </c>
      <c r="N85" s="397" t="s">
        <v>63</v>
      </c>
      <c r="O85" s="260" t="s">
        <v>63</v>
      </c>
      <c r="P85" s="261">
        <f>ifna(vlookup(A85,'Population &amp; Church Numbers'!$A$792:$D$890,4,FALSE),"NULL")</f>
        <v>31</v>
      </c>
      <c r="Q85" s="329" t="s">
        <v>63</v>
      </c>
    </row>
    <row r="86">
      <c r="A86" s="188" t="s">
        <v>937</v>
      </c>
      <c r="B86" s="189">
        <f t="array" ref="B86">VLOOKUP($A86,IA_DEMO,2,FALSE)</f>
        <v>35872</v>
      </c>
      <c r="C86" s="333">
        <f>VLOOKUP($A86,'IA Data'!$A$4:$B$102,2,FALSE)</f>
        <v>15</v>
      </c>
      <c r="D86" s="265" t="s">
        <v>63</v>
      </c>
      <c r="E86" s="265">
        <f>VLOOKUP($A86,'IA Data'!$A$4:$D$102,4,FALSE)</f>
        <v>8</v>
      </c>
      <c r="F86" s="265">
        <f>VLOOKUP($A86,'IA Data'!$A$4:$D$102,3,FALSE)</f>
        <v>5</v>
      </c>
      <c r="G86" s="265" t="s">
        <v>63</v>
      </c>
      <c r="H86" s="266">
        <f>ifna(if(vlookup(A86,'IA Data'!$A$110:$B$207,2,FALSE)="0-5","0-5",vlookup(A86,'IA Data'!$A$110:$B$207,2,FALSE)),"NULL")</f>
        <v>47</v>
      </c>
      <c r="I86" s="816" t="s">
        <v>63</v>
      </c>
      <c r="J86" s="268" t="s">
        <v>63</v>
      </c>
      <c r="K86" s="269">
        <f>VLOOKUP($A86,'IA Data'!$A$299:$C$393,3,FALSE)</f>
        <v>0.1960784314</v>
      </c>
      <c r="L86" s="779" t="s">
        <v>63</v>
      </c>
      <c r="M86" s="264" t="s">
        <v>63</v>
      </c>
      <c r="N86" s="395" t="s">
        <v>63</v>
      </c>
      <c r="O86" s="271" t="s">
        <v>63</v>
      </c>
      <c r="P86" s="272">
        <f>ifna(vlookup(A86,'Population &amp; Church Numbers'!$A$792:$D$890,4,FALSE),"NULL")</f>
        <v>80</v>
      </c>
      <c r="Q86" s="334" t="s">
        <v>63</v>
      </c>
    </row>
    <row r="87">
      <c r="A87" s="326" t="s">
        <v>939</v>
      </c>
      <c r="B87" s="251">
        <f t="array" ref="B87">VLOOKUP($A87,IA_DEMO,2,FALSE)</f>
        <v>98537</v>
      </c>
      <c r="C87" s="327">
        <f>VLOOKUP($A87,'IA Data'!$A$4:$B$102,2,FALSE)</f>
        <v>54</v>
      </c>
      <c r="D87" s="253" t="s">
        <v>63</v>
      </c>
      <c r="E87" s="253">
        <f>VLOOKUP($A87,'IA Data'!$A$4:$D$102,4,FALSE)</f>
        <v>9</v>
      </c>
      <c r="F87" s="253">
        <f>VLOOKUP($A87,'IA Data'!$A$4:$D$102,3,FALSE)</f>
        <v>35</v>
      </c>
      <c r="G87" s="253" t="s">
        <v>63</v>
      </c>
      <c r="H87" s="254">
        <f>ifna(if(vlookup(A87,'IA Data'!$A$110:$B$207,2,FALSE)="0-5","0-5",vlookup(A87,'IA Data'!$A$110:$B$207,2,FALSE)),"NULL")</f>
        <v>57</v>
      </c>
      <c r="I87" s="775">
        <f>VLOOKUP($A87,'IA Data'!$A$219:$B$296,2,FALSE)</f>
        <v>8</v>
      </c>
      <c r="J87" s="256" t="s">
        <v>63</v>
      </c>
      <c r="K87" s="776">
        <f>VLOOKUP($A87,'IA Data'!$A$299:$C$393,3,FALSE)</f>
        <v>0.08484848485</v>
      </c>
      <c r="L87" s="777" t="s">
        <v>63</v>
      </c>
      <c r="M87" s="252" t="s">
        <v>63</v>
      </c>
      <c r="N87" s="397" t="s">
        <v>63</v>
      </c>
      <c r="O87" s="260" t="s">
        <v>63</v>
      </c>
      <c r="P87" s="261">
        <f>ifna(vlookup(A87,'Population &amp; Church Numbers'!$A$792:$D$890,4,FALSE),"NULL")</f>
        <v>74</v>
      </c>
      <c r="Q87" s="329" t="s">
        <v>63</v>
      </c>
    </row>
    <row r="88">
      <c r="A88" s="188" t="s">
        <v>940</v>
      </c>
      <c r="B88" s="189">
        <f t="array" ref="B88">VLOOKUP($A88,IA_DEMO,2,FALSE)</f>
        <v>17135</v>
      </c>
      <c r="C88" s="333">
        <f>VLOOKUP($A88,'IA Data'!$A$4:$B$102,2,FALSE)</f>
        <v>45</v>
      </c>
      <c r="D88" s="265" t="s">
        <v>63</v>
      </c>
      <c r="E88" s="265">
        <f>VLOOKUP($A88,'IA Data'!$A$4:$D$102,4,FALSE)</f>
        <v>2</v>
      </c>
      <c r="F88" s="265">
        <f>VLOOKUP($A88,'IA Data'!$A$4:$D$102,3,FALSE)</f>
        <v>33</v>
      </c>
      <c r="G88" s="265" t="s">
        <v>63</v>
      </c>
      <c r="H88" s="266">
        <f>ifna(if(vlookup(A88,'IA Data'!$A$110:$B$207,2,FALSE)="0-5","0-5",vlookup(A88,'IA Data'!$A$110:$B$207,2,FALSE)),"NULL")</f>
        <v>17</v>
      </c>
      <c r="I88" s="778" t="str">
        <f>VLOOKUP($A88,'IA Data'!$A$219:$B$296,2,FALSE)</f>
        <v>0-5</v>
      </c>
      <c r="J88" s="268" t="s">
        <v>63</v>
      </c>
      <c r="K88" s="269">
        <f>VLOOKUP($A88,'IA Data'!$A$299:$C$393,3,FALSE)</f>
        <v>0.2272727273</v>
      </c>
      <c r="L88" s="779" t="s">
        <v>63</v>
      </c>
      <c r="M88" s="264" t="s">
        <v>63</v>
      </c>
      <c r="N88" s="395" t="s">
        <v>63</v>
      </c>
      <c r="O88" s="271" t="s">
        <v>63</v>
      </c>
      <c r="P88" s="272">
        <f>ifna(vlookup(A88,'Population &amp; Church Numbers'!$A$792:$D$890,4,FALSE),"NULL")</f>
        <v>33</v>
      </c>
      <c r="Q88" s="334" t="s">
        <v>63</v>
      </c>
    </row>
    <row r="89">
      <c r="A89" s="326" t="s">
        <v>526</v>
      </c>
      <c r="B89" s="251">
        <f t="array" ref="B89">VLOOKUP($A89,IA_DEMO,2,FALSE)</f>
        <v>5896</v>
      </c>
      <c r="C89" s="327">
        <f>VLOOKUP($A89,'IA Data'!$A$4:$B$102,2,FALSE)</f>
        <v>2</v>
      </c>
      <c r="D89" s="253" t="s">
        <v>63</v>
      </c>
      <c r="E89" s="253">
        <f>VLOOKUP($A89,'IA Data'!$A$4:$D$102,4,FALSE)</f>
        <v>0</v>
      </c>
      <c r="F89" s="253">
        <f>VLOOKUP($A89,'IA Data'!$A$4:$D$102,3,FALSE)</f>
        <v>2</v>
      </c>
      <c r="G89" s="253" t="s">
        <v>63</v>
      </c>
      <c r="H89" s="254" t="str">
        <f>ifna(if(vlookup(A89,'IA Data'!$A$110:$B$207,2,FALSE)="0-5","0-5",vlookup(A89,'IA Data'!$A$110:$B$207,2,FALSE)),"NULL")</f>
        <v>0-5</v>
      </c>
      <c r="I89" s="775" t="str">
        <f>VLOOKUP($A89,'IA Data'!$A$219:$B$296,2,FALSE)</f>
        <v>0-5</v>
      </c>
      <c r="J89" s="256" t="s">
        <v>63</v>
      </c>
      <c r="K89" s="274" t="str">
        <f>VLOOKUP($A89,'IA Data'!$A$299:$C$393,3,FALSE)</f>
        <v>NULL</v>
      </c>
      <c r="L89" s="777" t="s">
        <v>63</v>
      </c>
      <c r="M89" s="252" t="s">
        <v>63</v>
      </c>
      <c r="N89" s="397" t="s">
        <v>63</v>
      </c>
      <c r="O89" s="260" t="s">
        <v>63</v>
      </c>
      <c r="P89" s="261">
        <f>ifna(vlookup(A89,'Population &amp; Church Numbers'!$A$792:$D$890,4,FALSE),"NULL")</f>
        <v>15</v>
      </c>
      <c r="Q89" s="329" t="s">
        <v>63</v>
      </c>
    </row>
    <row r="90">
      <c r="A90" s="188" t="s">
        <v>316</v>
      </c>
      <c r="B90" s="189">
        <f t="array" ref="B90">VLOOKUP($A90,IA_DEMO,2,FALSE)</f>
        <v>12138</v>
      </c>
      <c r="C90" s="333">
        <f>VLOOKUP($A90,'IA Data'!$A$4:$B$102,2,FALSE)</f>
        <v>40</v>
      </c>
      <c r="D90" s="265" t="s">
        <v>63</v>
      </c>
      <c r="E90" s="265">
        <f>VLOOKUP($A90,'IA Data'!$A$4:$D$102,4,FALSE)</f>
        <v>9</v>
      </c>
      <c r="F90" s="265">
        <f>VLOOKUP($A90,'IA Data'!$A$4:$D$102,3,FALSE)</f>
        <v>24</v>
      </c>
      <c r="G90" s="265" t="s">
        <v>63</v>
      </c>
      <c r="H90" s="266">
        <f>ifna(if(vlookup(A90,'IA Data'!$A$110:$B$207,2,FALSE)="0-5","0-5",vlookup(A90,'IA Data'!$A$110:$B$207,2,FALSE)),"NULL")</f>
        <v>10</v>
      </c>
      <c r="I90" s="778">
        <f>VLOOKUP($A90,'IA Data'!$A$219:$B$296,2,FALSE)</f>
        <v>8</v>
      </c>
      <c r="J90" s="268" t="s">
        <v>63</v>
      </c>
      <c r="K90" s="269">
        <f>VLOOKUP($A90,'IA Data'!$A$299:$C$393,3,FALSE)</f>
        <v>0.1509433962</v>
      </c>
      <c r="L90" s="779" t="s">
        <v>63</v>
      </c>
      <c r="M90" s="264" t="s">
        <v>63</v>
      </c>
      <c r="N90" s="395" t="s">
        <v>63</v>
      </c>
      <c r="O90" s="271" t="s">
        <v>63</v>
      </c>
      <c r="P90" s="272">
        <f>ifna(vlookup(A90,'Population &amp; Church Numbers'!$A$792:$D$890,4,FALSE),"NULL")</f>
        <v>19</v>
      </c>
      <c r="Q90" s="334" t="s">
        <v>63</v>
      </c>
    </row>
    <row r="91">
      <c r="A91" s="326" t="s">
        <v>317</v>
      </c>
      <c r="B91" s="251">
        <f t="array" ref="B91">VLOOKUP($A91,IA_DEMO,2,FALSE)</f>
        <v>7203</v>
      </c>
      <c r="C91" s="327">
        <f>VLOOKUP($A91,'IA Data'!$A$4:$B$102,2,FALSE)</f>
        <v>10</v>
      </c>
      <c r="D91" s="253" t="s">
        <v>63</v>
      </c>
      <c r="E91" s="253">
        <f>VLOOKUP($A91,'IA Data'!$A$4:$D$102,4,FALSE)</f>
        <v>0</v>
      </c>
      <c r="F91" s="253">
        <f>VLOOKUP($A91,'IA Data'!$A$4:$D$102,3,FALSE)</f>
        <v>10</v>
      </c>
      <c r="G91" s="253" t="s">
        <v>63</v>
      </c>
      <c r="H91" s="254" t="str">
        <f>ifna(if(vlookup(A91,'IA Data'!$A$110:$B$207,2,FALSE)="0-5","0-5",vlookup(A91,'IA Data'!$A$110:$B$207,2,FALSE)),"NULL")</f>
        <v>0-5</v>
      </c>
      <c r="I91" s="780" t="s">
        <v>63</v>
      </c>
      <c r="J91" s="256" t="s">
        <v>63</v>
      </c>
      <c r="K91" s="274" t="str">
        <f>VLOOKUP($A91,'IA Data'!$A$299:$C$393,3,FALSE)</f>
        <v>NULL</v>
      </c>
      <c r="L91" s="777" t="s">
        <v>63</v>
      </c>
      <c r="M91" s="252" t="s">
        <v>63</v>
      </c>
      <c r="N91" s="397" t="s">
        <v>63</v>
      </c>
      <c r="O91" s="260" t="s">
        <v>63</v>
      </c>
      <c r="P91" s="261">
        <f>ifna(vlookup(A91,'Population &amp; Church Numbers'!$A$792:$D$890,4,FALSE),"NULL")</f>
        <v>13</v>
      </c>
      <c r="Q91" s="329" t="s">
        <v>63</v>
      </c>
    </row>
    <row r="92">
      <c r="A92" s="188" t="s">
        <v>942</v>
      </c>
      <c r="B92" s="189">
        <f t="array" ref="B92">VLOOKUP($A92,IA_DEMO,2,FALSE)</f>
        <v>35437</v>
      </c>
      <c r="C92" s="333">
        <f>VLOOKUP($A92,'IA Data'!$A$4:$B$102,2,FALSE)</f>
        <v>73</v>
      </c>
      <c r="D92" s="265" t="s">
        <v>63</v>
      </c>
      <c r="E92" s="265">
        <f>VLOOKUP($A92,'IA Data'!$A$4:$D$102,4,FALSE)</f>
        <v>15</v>
      </c>
      <c r="F92" s="265">
        <f>VLOOKUP($A92,'IA Data'!$A$4:$D$102,3,FALSE)</f>
        <v>37</v>
      </c>
      <c r="G92" s="265" t="s">
        <v>63</v>
      </c>
      <c r="H92" s="266">
        <f>ifna(if(vlookup(A92,'IA Data'!$A$110:$B$207,2,FALSE)="0-5","0-5",vlookup(A92,'IA Data'!$A$110:$B$207,2,FALSE)),"NULL")</f>
        <v>17</v>
      </c>
      <c r="I92" s="778">
        <f>VLOOKUP($A92,'IA Data'!$A$219:$B$296,2,FALSE)</f>
        <v>14</v>
      </c>
      <c r="J92" s="268" t="s">
        <v>63</v>
      </c>
      <c r="K92" s="269">
        <f>VLOOKUP($A92,'IA Data'!$A$299:$C$393,3,FALSE)</f>
        <v>0.1931818182</v>
      </c>
      <c r="L92" s="779" t="s">
        <v>63</v>
      </c>
      <c r="M92" s="264" t="s">
        <v>63</v>
      </c>
      <c r="N92" s="395" t="s">
        <v>63</v>
      </c>
      <c r="O92" s="271" t="s">
        <v>63</v>
      </c>
      <c r="P92" s="272">
        <f>ifna(vlookup(A92,'Population &amp; Church Numbers'!$A$792:$D$890,4,FALSE),"NULL")</f>
        <v>47</v>
      </c>
      <c r="Q92" s="334" t="s">
        <v>63</v>
      </c>
    </row>
    <row r="93">
      <c r="A93" s="326" t="s">
        <v>647</v>
      </c>
      <c r="B93" s="251">
        <f t="array" ref="B93">VLOOKUP($A93,IA_DEMO,2,FALSE)</f>
        <v>52403</v>
      </c>
      <c r="C93" s="327">
        <f>VLOOKUP($A93,'IA Data'!$A$4:$B$102,2,FALSE)</f>
        <v>72</v>
      </c>
      <c r="D93" s="253" t="s">
        <v>63</v>
      </c>
      <c r="E93" s="253">
        <f>VLOOKUP($A93,'IA Data'!$A$4:$D$102,4,FALSE)</f>
        <v>12</v>
      </c>
      <c r="F93" s="253">
        <f>VLOOKUP($A93,'IA Data'!$A$4:$D$102,3,FALSE)</f>
        <v>49</v>
      </c>
      <c r="G93" s="253" t="s">
        <v>63</v>
      </c>
      <c r="H93" s="254">
        <f>ifna(if(vlookup(A93,'IA Data'!$A$110:$B$207,2,FALSE)="0-5","0-5",vlookup(A93,'IA Data'!$A$110:$B$207,2,FALSE)),"NULL")</f>
        <v>31</v>
      </c>
      <c r="I93" s="775">
        <f>VLOOKUP($A93,'IA Data'!$A$219:$B$296,2,FALSE)</f>
        <v>11</v>
      </c>
      <c r="J93" s="256" t="s">
        <v>63</v>
      </c>
      <c r="K93" s="776">
        <f>VLOOKUP($A93,'IA Data'!$A$299:$C$393,3,FALSE)</f>
        <v>0.2368421053</v>
      </c>
      <c r="L93" s="777" t="s">
        <v>63</v>
      </c>
      <c r="M93" s="252" t="s">
        <v>63</v>
      </c>
      <c r="N93" s="397" t="s">
        <v>63</v>
      </c>
      <c r="O93" s="260" t="s">
        <v>63</v>
      </c>
      <c r="P93" s="261">
        <f>ifna(vlookup(A93,'Population &amp; Church Numbers'!$A$792:$D$890,4,FALSE),"NULL")</f>
        <v>53</v>
      </c>
      <c r="Q93" s="329" t="s">
        <v>63</v>
      </c>
    </row>
    <row r="94">
      <c r="A94" s="188" t="s">
        <v>119</v>
      </c>
      <c r="B94" s="189">
        <f t="array" ref="B94">VLOOKUP($A94,IA_DEMO,2,FALSE)</f>
        <v>22565</v>
      </c>
      <c r="C94" s="333">
        <f>VLOOKUP($A94,'IA Data'!$A$4:$B$102,2,FALSE)</f>
        <v>20</v>
      </c>
      <c r="D94" s="265" t="s">
        <v>63</v>
      </c>
      <c r="E94" s="265">
        <f>VLOOKUP($A94,'IA Data'!$A$4:$D$102,4,FALSE)</f>
        <v>6</v>
      </c>
      <c r="F94" s="265">
        <f>VLOOKUP($A94,'IA Data'!$A$4:$D$102,3,FALSE)</f>
        <v>13</v>
      </c>
      <c r="G94" s="265" t="s">
        <v>63</v>
      </c>
      <c r="H94" s="266">
        <f>ifna(if(vlookup(A94,'IA Data'!$A$110:$B$207,2,FALSE)="0-5","0-5",vlookup(A94,'IA Data'!$A$110:$B$207,2,FALSE)),"NULL")</f>
        <v>18</v>
      </c>
      <c r="I94" s="778" t="str">
        <f>VLOOKUP($A94,'IA Data'!$A$219:$B$296,2,FALSE)</f>
        <v>0-5</v>
      </c>
      <c r="J94" s="268" t="s">
        <v>63</v>
      </c>
      <c r="K94" s="269">
        <f>VLOOKUP($A94,'IA Data'!$A$299:$C$393,3,FALSE)</f>
        <v>0.2352941176</v>
      </c>
      <c r="L94" s="779" t="s">
        <v>63</v>
      </c>
      <c r="M94" s="264" t="s">
        <v>63</v>
      </c>
      <c r="N94" s="395" t="s">
        <v>63</v>
      </c>
      <c r="O94" s="271" t="s">
        <v>63</v>
      </c>
      <c r="P94" s="272">
        <f>ifna(vlookup(A94,'Population &amp; Church Numbers'!$A$792:$D$890,4,FALSE),"NULL")</f>
        <v>38</v>
      </c>
      <c r="Q94" s="334" t="s">
        <v>63</v>
      </c>
    </row>
    <row r="95">
      <c r="A95" s="326" t="s">
        <v>273</v>
      </c>
      <c r="B95" s="251">
        <f t="array" ref="B95">VLOOKUP($A95,IA_DEMO,2,FALSE)</f>
        <v>6497</v>
      </c>
      <c r="C95" s="327">
        <f>VLOOKUP($A95,'IA Data'!$A$4:$B$102,2,FALSE)</f>
        <v>9</v>
      </c>
      <c r="D95" s="253" t="s">
        <v>63</v>
      </c>
      <c r="E95" s="253">
        <f>VLOOKUP($A95,'IA Data'!$A$4:$D$102,4,FALSE)</f>
        <v>3</v>
      </c>
      <c r="F95" s="253">
        <f>VLOOKUP($A95,'IA Data'!$A$4:$D$102,3,FALSE)</f>
        <v>1</v>
      </c>
      <c r="G95" s="253" t="s">
        <v>63</v>
      </c>
      <c r="H95" s="254" t="str">
        <f>ifna(if(vlookup(A95,'IA Data'!$A$110:$B$207,2,FALSE)="0-5","0-5",vlookup(A95,'IA Data'!$A$110:$B$207,2,FALSE)),"NULL")</f>
        <v>NULL</v>
      </c>
      <c r="I95" s="775" t="str">
        <f>VLOOKUP($A95,'IA Data'!$A$219:$B$296,2,FALSE)</f>
        <v>0-5</v>
      </c>
      <c r="J95" s="256" t="s">
        <v>63</v>
      </c>
      <c r="K95" s="274" t="s">
        <v>63</v>
      </c>
      <c r="L95" s="777" t="s">
        <v>63</v>
      </c>
      <c r="M95" s="252" t="s">
        <v>63</v>
      </c>
      <c r="N95" s="397" t="s">
        <v>63</v>
      </c>
      <c r="O95" s="260" t="s">
        <v>63</v>
      </c>
      <c r="P95" s="261">
        <f>ifna(vlookup(A95,'Population &amp; Church Numbers'!$A$792:$D$890,4,FALSE),"NULL")</f>
        <v>19</v>
      </c>
      <c r="Q95" s="329" t="s">
        <v>63</v>
      </c>
    </row>
    <row r="96">
      <c r="A96" s="188" t="s">
        <v>648</v>
      </c>
      <c r="B96" s="189">
        <f t="array" ref="B96">VLOOKUP($A96,IA_DEMO,2,FALSE)</f>
        <v>36999</v>
      </c>
      <c r="C96" s="333">
        <f>VLOOKUP($A96,'IA Data'!$A$4:$B$102,2,FALSE)</f>
        <v>73</v>
      </c>
      <c r="D96" s="265" t="s">
        <v>63</v>
      </c>
      <c r="E96" s="265">
        <f>VLOOKUP($A96,'IA Data'!$A$4:$D$102,4,FALSE)</f>
        <v>21</v>
      </c>
      <c r="F96" s="265">
        <f>VLOOKUP($A96,'IA Data'!$A$4:$D$102,3,FALSE)</f>
        <v>26</v>
      </c>
      <c r="G96" s="265" t="s">
        <v>63</v>
      </c>
      <c r="H96" s="266">
        <f>ifna(if(vlookup(A96,'IA Data'!$A$110:$B$207,2,FALSE)="0-5","0-5",vlookup(A96,'IA Data'!$A$110:$B$207,2,FALSE)),"NULL")</f>
        <v>38</v>
      </c>
      <c r="I96" s="778" t="str">
        <f>VLOOKUP($A96,'IA Data'!$A$219:$B$296,2,FALSE)</f>
        <v>0-5</v>
      </c>
      <c r="J96" s="268" t="s">
        <v>63</v>
      </c>
      <c r="K96" s="269">
        <f>VLOOKUP($A96,'IA Data'!$A$299:$C$393,3,FALSE)</f>
        <v>0.3258426966</v>
      </c>
      <c r="L96" s="779" t="s">
        <v>63</v>
      </c>
      <c r="M96" s="264" t="s">
        <v>63</v>
      </c>
      <c r="N96" s="395" t="s">
        <v>63</v>
      </c>
      <c r="O96" s="271" t="s">
        <v>63</v>
      </c>
      <c r="P96" s="272">
        <f>ifna(vlookup(A96,'Population &amp; Church Numbers'!$A$792:$D$890,4,FALSE),"NULL")</f>
        <v>52</v>
      </c>
      <c r="Q96" s="334" t="s">
        <v>63</v>
      </c>
    </row>
    <row r="97">
      <c r="A97" s="326" t="s">
        <v>753</v>
      </c>
      <c r="B97" s="251">
        <f t="array" ref="B97">VLOOKUP($A97,IA_DEMO,2,FALSE)</f>
        <v>10679</v>
      </c>
      <c r="C97" s="327">
        <f>VLOOKUP($A97,'IA Data'!$A$4:$B$102,2,FALSE)</f>
        <v>6</v>
      </c>
      <c r="D97" s="253" t="s">
        <v>63</v>
      </c>
      <c r="E97" s="253">
        <f>VLOOKUP($A97,'IA Data'!$A$4:$D$102,4,FALSE)</f>
        <v>0</v>
      </c>
      <c r="F97" s="253">
        <f>VLOOKUP($A97,'IA Data'!$A$4:$D$102,3,FALSE)</f>
        <v>3</v>
      </c>
      <c r="G97" s="253" t="s">
        <v>63</v>
      </c>
      <c r="H97" s="254" t="str">
        <f>ifna(if(vlookup(A97,'IA Data'!$A$110:$B$207,2,FALSE)="0-5","0-5",vlookup(A97,'IA Data'!$A$110:$B$207,2,FALSE)),"NULL")</f>
        <v>0-5</v>
      </c>
      <c r="I97" s="780" t="s">
        <v>63</v>
      </c>
      <c r="J97" s="256" t="s">
        <v>63</v>
      </c>
      <c r="K97" s="776">
        <f>VLOOKUP($A97,'IA Data'!$A$299:$C$393,3,FALSE)</f>
        <v>0.24</v>
      </c>
      <c r="L97" s="777" t="s">
        <v>63</v>
      </c>
      <c r="M97" s="252" t="s">
        <v>63</v>
      </c>
      <c r="N97" s="397" t="s">
        <v>63</v>
      </c>
      <c r="O97" s="260" t="s">
        <v>63</v>
      </c>
      <c r="P97" s="261">
        <f>ifna(vlookup(A97,'Population &amp; Church Numbers'!$A$792:$D$890,4,FALSE),"NULL")</f>
        <v>29</v>
      </c>
      <c r="Q97" s="329" t="s">
        <v>63</v>
      </c>
    </row>
    <row r="98">
      <c r="A98" s="188" t="s">
        <v>945</v>
      </c>
      <c r="B98" s="189">
        <f t="array" ref="B98">VLOOKUP($A98,IA_DEMO,2,FALSE)</f>
        <v>20070</v>
      </c>
      <c r="C98" s="333">
        <f>VLOOKUP($A98,'IA Data'!$A$4:$B$102,2,FALSE)</f>
        <v>7</v>
      </c>
      <c r="D98" s="265" t="s">
        <v>63</v>
      </c>
      <c r="E98" s="265">
        <f>VLOOKUP($A98,'IA Data'!$A$4:$D$102,4,FALSE)</f>
        <v>1</v>
      </c>
      <c r="F98" s="265">
        <f>VLOOKUP($A98,'IA Data'!$A$4:$D$102,3,FALSE)</f>
        <v>4</v>
      </c>
      <c r="G98" s="265" t="s">
        <v>63</v>
      </c>
      <c r="H98" s="266">
        <f>ifna(if(vlookup(A98,'IA Data'!$A$110:$B$207,2,FALSE)="0-5","0-5",vlookup(A98,'IA Data'!$A$110:$B$207,2,FALSE)),"NULL")</f>
        <v>7</v>
      </c>
      <c r="I98" s="816" t="s">
        <v>63</v>
      </c>
      <c r="J98" s="268" t="s">
        <v>63</v>
      </c>
      <c r="K98" s="284" t="str">
        <f>VLOOKUP($A98,'IA Data'!$A$299:$C$393,3,FALSE)</f>
        <v>NULL</v>
      </c>
      <c r="L98" s="779" t="s">
        <v>63</v>
      </c>
      <c r="M98" s="264" t="s">
        <v>63</v>
      </c>
      <c r="N98" s="395" t="s">
        <v>63</v>
      </c>
      <c r="O98" s="271" t="s">
        <v>63</v>
      </c>
      <c r="P98" s="272">
        <f>ifna(vlookup(A98,'Population &amp; Church Numbers'!$A$792:$D$890,4,FALSE),"NULL")</f>
        <v>28</v>
      </c>
      <c r="Q98" s="334" t="s">
        <v>63</v>
      </c>
    </row>
    <row r="99">
      <c r="A99" s="326" t="s">
        <v>946</v>
      </c>
      <c r="B99" s="251">
        <f t="array" ref="B99">VLOOKUP($A99,IA_DEMO,2,FALSE)</f>
        <v>105941</v>
      </c>
      <c r="C99" s="327">
        <f>VLOOKUP($A99,'IA Data'!$A$4:$B$102,2,FALSE)</f>
        <v>178</v>
      </c>
      <c r="D99" s="253" t="s">
        <v>63</v>
      </c>
      <c r="E99" s="253">
        <f>VLOOKUP($A99,'IA Data'!$A$4:$D$102,4,FALSE)</f>
        <v>53</v>
      </c>
      <c r="F99" s="253">
        <f>VLOOKUP($A99,'IA Data'!$A$4:$D$102,3,FALSE)</f>
        <v>85</v>
      </c>
      <c r="G99" s="253" t="s">
        <v>63</v>
      </c>
      <c r="H99" s="254">
        <f>ifna(if(vlookup(A99,'IA Data'!$A$110:$B$207,2,FALSE)="0-5","0-5",vlookup(A99,'IA Data'!$A$110:$B$207,2,FALSE)),"NULL")</f>
        <v>75</v>
      </c>
      <c r="I99" s="775">
        <f>VLOOKUP($A99,'IA Data'!$A$219:$B$296,2,FALSE)</f>
        <v>28</v>
      </c>
      <c r="J99" s="256" t="s">
        <v>63</v>
      </c>
      <c r="K99" s="776">
        <f>VLOOKUP($A99,'IA Data'!$A$299:$C$393,3,FALSE)</f>
        <v>0.1485587583</v>
      </c>
      <c r="L99" s="777" t="s">
        <v>63</v>
      </c>
      <c r="M99" s="252" t="s">
        <v>63</v>
      </c>
      <c r="N99" s="397" t="s">
        <v>63</v>
      </c>
      <c r="O99" s="260" t="s">
        <v>63</v>
      </c>
      <c r="P99" s="261">
        <f>ifna(vlookup(A99,'Population &amp; Church Numbers'!$A$792:$D$890,4,FALSE),"NULL")</f>
        <v>102</v>
      </c>
      <c r="Q99" s="329" t="s">
        <v>63</v>
      </c>
    </row>
    <row r="100">
      <c r="A100" s="188" t="s">
        <v>655</v>
      </c>
      <c r="B100" s="189">
        <f t="array" ref="B100">VLOOKUP($A100,IA_DEMO,2,FALSE)</f>
        <v>7443</v>
      </c>
      <c r="C100" s="333">
        <f>VLOOKUP($A100,'IA Data'!$A$4:$B$102,2,FALSE)</f>
        <v>15</v>
      </c>
      <c r="D100" s="265" t="s">
        <v>63</v>
      </c>
      <c r="E100" s="265">
        <f>VLOOKUP($A100,'IA Data'!$A$4:$D$102,4,FALSE)</f>
        <v>5</v>
      </c>
      <c r="F100" s="265">
        <f>VLOOKUP($A100,'IA Data'!$A$4:$D$102,3,FALSE)</f>
        <v>7</v>
      </c>
      <c r="G100" s="265" t="s">
        <v>63</v>
      </c>
      <c r="H100" s="266" t="str">
        <f>ifna(if(vlookup(A100,'IA Data'!$A$110:$B$207,2,FALSE)="0-5","0-5",vlookup(A100,'IA Data'!$A$110:$B$207,2,FALSE)),"NULL")</f>
        <v>0-5</v>
      </c>
      <c r="I100" s="816" t="s">
        <v>63</v>
      </c>
      <c r="J100" s="268" t="s">
        <v>63</v>
      </c>
      <c r="K100" s="284" t="s">
        <v>63</v>
      </c>
      <c r="L100" s="779" t="s">
        <v>63</v>
      </c>
      <c r="M100" s="264" t="s">
        <v>63</v>
      </c>
      <c r="N100" s="395" t="s">
        <v>63</v>
      </c>
      <c r="O100" s="271" t="s">
        <v>63</v>
      </c>
      <c r="P100" s="272">
        <f>ifna(vlookup(A100,'Population &amp; Church Numbers'!$A$792:$D$890,4,FALSE),"NULL")</f>
        <v>18</v>
      </c>
      <c r="Q100" s="334" t="s">
        <v>63</v>
      </c>
    </row>
    <row r="101">
      <c r="A101" s="326" t="s">
        <v>949</v>
      </c>
      <c r="B101" s="251">
        <f t="array" ref="B101">VLOOKUP($A101,IA_DEMO,2,FALSE)</f>
        <v>12943</v>
      </c>
      <c r="C101" s="327">
        <f>VLOOKUP($A101,'IA Data'!$A$4:$B$102,2,FALSE)</f>
        <v>6</v>
      </c>
      <c r="D101" s="253" t="s">
        <v>63</v>
      </c>
      <c r="E101" s="253">
        <f>VLOOKUP($A101,'IA Data'!$A$4:$D$102,4,FALSE)</f>
        <v>1</v>
      </c>
      <c r="F101" s="253">
        <f>VLOOKUP($A101,'IA Data'!$A$4:$D$102,3,FALSE)</f>
        <v>3</v>
      </c>
      <c r="G101" s="253" t="s">
        <v>63</v>
      </c>
      <c r="H101" s="254">
        <f>ifna(if(vlookup(A101,'IA Data'!$A$110:$B$207,2,FALSE)="0-5","0-5",vlookup(A101,'IA Data'!$A$110:$B$207,2,FALSE)),"NULL")</f>
        <v>8</v>
      </c>
      <c r="I101" s="775" t="str">
        <f>VLOOKUP($A101,'IA Data'!$A$219:$B$296,2,FALSE)</f>
        <v>0-5</v>
      </c>
      <c r="J101" s="256" t="s">
        <v>63</v>
      </c>
      <c r="K101" s="274" t="str">
        <f>VLOOKUP($A101,'IA Data'!$A$299:$C$393,3,FALSE)</f>
        <v>NULL</v>
      </c>
      <c r="L101" s="777" t="s">
        <v>63</v>
      </c>
      <c r="M101" s="252" t="s">
        <v>63</v>
      </c>
      <c r="N101" s="397" t="s">
        <v>63</v>
      </c>
      <c r="O101" s="260" t="s">
        <v>63</v>
      </c>
      <c r="P101" s="261">
        <f>ifna(vlookup(A101,'Population &amp; Church Numbers'!$A$792:$D$890,4,FALSE),"NULL")</f>
        <v>29</v>
      </c>
      <c r="Q101" s="329" t="s">
        <v>63</v>
      </c>
    </row>
    <row r="102">
      <c r="A102" s="457"/>
      <c r="B102" s="458"/>
      <c r="C102" s="333"/>
      <c r="D102" s="459"/>
      <c r="E102" s="459"/>
      <c r="F102" s="459"/>
      <c r="G102" s="459"/>
      <c r="H102" s="460"/>
      <c r="I102" s="461"/>
      <c r="J102" s="462"/>
      <c r="K102" s="333"/>
      <c r="L102" s="394"/>
      <c r="M102" s="463"/>
      <c r="N102" s="464"/>
      <c r="O102" s="459"/>
      <c r="P102" s="460"/>
      <c r="Q102" s="227"/>
    </row>
    <row r="103">
      <c r="A103" s="228" t="s">
        <v>2</v>
      </c>
      <c r="B103" s="229"/>
      <c r="C103" s="230">
        <f>SUM(C2:C101)</f>
        <v>4009</v>
      </c>
      <c r="D103" s="311" t="s">
        <v>63</v>
      </c>
      <c r="E103" s="854">
        <f>'IA Data'!D104</f>
        <v>1088</v>
      </c>
      <c r="F103" s="854">
        <f>'IA Data'!C104</f>
        <v>2096</v>
      </c>
      <c r="G103" s="311" t="s">
        <v>63</v>
      </c>
      <c r="H103" s="359">
        <f>'IA Data'!B207</f>
        <v>2041</v>
      </c>
      <c r="I103" s="433">
        <f>AFCARSCSC!C19</f>
        <v>765</v>
      </c>
      <c r="J103" s="235" t="s">
        <v>63</v>
      </c>
      <c r="K103" s="236" t="s">
        <v>63</v>
      </c>
      <c r="L103" s="359" t="s">
        <v>63</v>
      </c>
      <c r="M103" s="237" t="s">
        <v>63</v>
      </c>
      <c r="N103" s="238" t="s">
        <v>63</v>
      </c>
      <c r="O103" s="231" t="s">
        <v>63</v>
      </c>
      <c r="P103" s="233">
        <f>SUM(P3:P101)</f>
        <v>3796</v>
      </c>
      <c r="Q103" s="239" t="s">
        <v>63</v>
      </c>
    </row>
  </sheetData>
  <autoFilter ref="$A$1:$Q$101"/>
  <mergeCells count="1">
    <mergeCell ref="B1:Q1"/>
  </mergeCell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75" t="s">
        <v>1040</v>
      </c>
      <c r="B1" s="276"/>
      <c r="C1" s="276"/>
      <c r="D1" s="276"/>
      <c r="E1" s="275" t="s">
        <v>765</v>
      </c>
      <c r="F1" s="275" t="s">
        <v>2615</v>
      </c>
      <c r="G1" s="276"/>
      <c r="H1" s="276"/>
      <c r="I1" s="275" t="s">
        <v>767</v>
      </c>
      <c r="J1" s="277">
        <v>45448.0</v>
      </c>
      <c r="K1" s="275" t="s">
        <v>769</v>
      </c>
      <c r="L1" s="277">
        <v>45382.0</v>
      </c>
      <c r="M1" s="276"/>
    </row>
    <row r="3">
      <c r="A3" s="204" t="s">
        <v>2616</v>
      </c>
      <c r="B3" s="782" t="s">
        <v>693</v>
      </c>
      <c r="C3" s="202" t="s">
        <v>2617</v>
      </c>
      <c r="D3" s="202" t="s">
        <v>1058</v>
      </c>
    </row>
    <row r="4">
      <c r="A4" s="204" t="s">
        <v>882</v>
      </c>
      <c r="B4" s="206">
        <v>22.0</v>
      </c>
      <c r="C4" s="206">
        <v>10.0</v>
      </c>
      <c r="D4" s="206">
        <v>5.0</v>
      </c>
    </row>
    <row r="5">
      <c r="A5" s="204" t="s">
        <v>386</v>
      </c>
      <c r="B5" s="206">
        <v>3.0</v>
      </c>
      <c r="C5" s="206">
        <v>2.0</v>
      </c>
      <c r="D5" s="206">
        <v>1.0</v>
      </c>
    </row>
    <row r="6">
      <c r="A6" s="204" t="s">
        <v>886</v>
      </c>
      <c r="B6" s="206">
        <v>7.0</v>
      </c>
      <c r="C6" s="206">
        <v>1.0</v>
      </c>
      <c r="D6" s="206">
        <v>2.0</v>
      </c>
    </row>
    <row r="7">
      <c r="A7" s="204" t="s">
        <v>887</v>
      </c>
      <c r="B7" s="206">
        <v>21.0</v>
      </c>
      <c r="C7" s="206">
        <v>10.0</v>
      </c>
      <c r="D7" s="206">
        <v>8.0</v>
      </c>
    </row>
    <row r="8">
      <c r="A8" s="204" t="s">
        <v>888</v>
      </c>
      <c r="B8" s="206">
        <v>21.0</v>
      </c>
      <c r="C8" s="206">
        <v>19.0</v>
      </c>
      <c r="D8" s="206">
        <v>2.0</v>
      </c>
    </row>
    <row r="9">
      <c r="A9" s="204" t="s">
        <v>243</v>
      </c>
      <c r="B9" s="206">
        <v>37.0</v>
      </c>
      <c r="C9" s="206">
        <v>19.0</v>
      </c>
      <c r="D9" s="206">
        <v>5.0</v>
      </c>
    </row>
    <row r="10">
      <c r="A10" s="204" t="s">
        <v>890</v>
      </c>
      <c r="B10" s="206">
        <v>113.0</v>
      </c>
      <c r="C10" s="206">
        <v>46.0</v>
      </c>
      <c r="D10" s="206">
        <v>42.0</v>
      </c>
    </row>
    <row r="11">
      <c r="A11" s="204" t="s">
        <v>246</v>
      </c>
      <c r="B11" s="206">
        <v>28.0</v>
      </c>
      <c r="C11" s="206">
        <v>13.0</v>
      </c>
      <c r="D11" s="206">
        <v>8.0</v>
      </c>
    </row>
    <row r="12">
      <c r="A12" s="204" t="s">
        <v>891</v>
      </c>
      <c r="B12" s="206">
        <v>25.0</v>
      </c>
      <c r="C12" s="206">
        <v>17.0</v>
      </c>
      <c r="D12" s="206">
        <v>5.0</v>
      </c>
    </row>
    <row r="13">
      <c r="A13" s="204" t="s">
        <v>892</v>
      </c>
      <c r="B13" s="206">
        <v>15.0</v>
      </c>
      <c r="C13" s="206">
        <v>8.0</v>
      </c>
      <c r="D13" s="206">
        <v>5.0</v>
      </c>
    </row>
    <row r="14">
      <c r="A14" s="204" t="s">
        <v>893</v>
      </c>
      <c r="B14" s="206">
        <v>28.0</v>
      </c>
      <c r="C14" s="206">
        <v>8.0</v>
      </c>
      <c r="D14" s="206">
        <v>12.0</v>
      </c>
    </row>
    <row r="15">
      <c r="A15" s="204" t="s">
        <v>87</v>
      </c>
      <c r="B15" s="206">
        <v>5.0</v>
      </c>
      <c r="C15" s="206">
        <v>2.0</v>
      </c>
      <c r="D15" s="206">
        <v>0.0</v>
      </c>
    </row>
    <row r="16">
      <c r="A16" s="204" t="s">
        <v>93</v>
      </c>
      <c r="B16" s="206">
        <v>15.0</v>
      </c>
      <c r="C16" s="206">
        <v>6.0</v>
      </c>
      <c r="D16" s="206">
        <v>3.0</v>
      </c>
    </row>
    <row r="17">
      <c r="A17" s="204" t="s">
        <v>248</v>
      </c>
      <c r="B17" s="206">
        <v>24.0</v>
      </c>
      <c r="C17" s="206">
        <v>16.0</v>
      </c>
      <c r="D17" s="206">
        <v>4.0</v>
      </c>
    </row>
    <row r="18">
      <c r="A18" s="204" t="s">
        <v>708</v>
      </c>
      <c r="B18" s="206">
        <v>21.0</v>
      </c>
      <c r="C18" s="206">
        <v>10.0</v>
      </c>
      <c r="D18" s="206">
        <v>4.0</v>
      </c>
    </row>
    <row r="19">
      <c r="A19" s="204" t="s">
        <v>894</v>
      </c>
      <c r="B19" s="206">
        <v>8.0</v>
      </c>
      <c r="C19" s="206">
        <v>5.0</v>
      </c>
      <c r="D19" s="206">
        <v>1.0</v>
      </c>
    </row>
    <row r="20">
      <c r="A20" s="204" t="s">
        <v>895</v>
      </c>
      <c r="B20" s="206">
        <v>36.0</v>
      </c>
      <c r="C20" s="206">
        <v>17.0</v>
      </c>
      <c r="D20" s="206">
        <v>4.0</v>
      </c>
    </row>
    <row r="21">
      <c r="A21" s="204" t="s">
        <v>101</v>
      </c>
      <c r="B21" s="206">
        <v>17.0</v>
      </c>
      <c r="C21" s="206">
        <v>9.0</v>
      </c>
      <c r="D21" s="206">
        <v>5.0</v>
      </c>
    </row>
    <row r="22">
      <c r="A22" s="204" t="s">
        <v>896</v>
      </c>
      <c r="B22" s="206">
        <v>13.0</v>
      </c>
      <c r="C22" s="206">
        <v>7.0</v>
      </c>
      <c r="D22" s="206">
        <v>2.0</v>
      </c>
    </row>
    <row r="23">
      <c r="A23" s="204" t="s">
        <v>110</v>
      </c>
      <c r="B23" s="206">
        <v>17.0</v>
      </c>
      <c r="C23" s="206">
        <v>10.0</v>
      </c>
      <c r="D23" s="206">
        <v>3.0</v>
      </c>
    </row>
    <row r="24">
      <c r="A24" s="204" t="s">
        <v>112</v>
      </c>
      <c r="B24" s="206">
        <v>17.0</v>
      </c>
      <c r="C24" s="206">
        <v>8.0</v>
      </c>
      <c r="D24" s="206">
        <v>6.0</v>
      </c>
    </row>
    <row r="25">
      <c r="A25" s="204" t="s">
        <v>555</v>
      </c>
      <c r="B25" s="206">
        <v>6.0</v>
      </c>
      <c r="C25" s="206">
        <v>3.0</v>
      </c>
      <c r="D25" s="206">
        <v>0.0</v>
      </c>
    </row>
    <row r="26">
      <c r="A26" s="204" t="s">
        <v>711</v>
      </c>
      <c r="B26" s="206">
        <v>67.0</v>
      </c>
      <c r="C26" s="206">
        <v>37.0</v>
      </c>
      <c r="D26" s="206">
        <v>12.0</v>
      </c>
    </row>
    <row r="27">
      <c r="A27" s="204" t="s">
        <v>263</v>
      </c>
      <c r="B27" s="206">
        <v>20.0</v>
      </c>
      <c r="C27" s="206">
        <v>9.0</v>
      </c>
      <c r="D27" s="206">
        <v>2.0</v>
      </c>
    </row>
    <row r="28">
      <c r="A28" s="204" t="s">
        <v>130</v>
      </c>
      <c r="B28" s="206">
        <v>60.0</v>
      </c>
      <c r="C28" s="206">
        <v>36.0</v>
      </c>
      <c r="D28" s="206">
        <v>11.0</v>
      </c>
    </row>
    <row r="29">
      <c r="A29" s="204" t="s">
        <v>897</v>
      </c>
      <c r="B29" s="206">
        <v>3.0</v>
      </c>
      <c r="C29" s="206">
        <v>2.0</v>
      </c>
      <c r="D29" s="206">
        <v>0.0</v>
      </c>
    </row>
    <row r="30">
      <c r="A30" s="204" t="s">
        <v>563</v>
      </c>
      <c r="B30" s="206">
        <v>24.0</v>
      </c>
      <c r="C30" s="206">
        <v>9.0</v>
      </c>
      <c r="D30" s="206">
        <v>14.0</v>
      </c>
    </row>
    <row r="31">
      <c r="A31" s="204" t="s">
        <v>40</v>
      </c>
      <c r="B31" s="206">
        <v>12.0</v>
      </c>
      <c r="C31" s="206">
        <v>4.0</v>
      </c>
      <c r="D31" s="206">
        <v>2.0</v>
      </c>
    </row>
    <row r="32">
      <c r="A32" s="204" t="s">
        <v>898</v>
      </c>
      <c r="B32" s="206">
        <v>91.0</v>
      </c>
      <c r="C32" s="206">
        <v>57.0</v>
      </c>
      <c r="D32" s="206">
        <v>21.0</v>
      </c>
    </row>
    <row r="33">
      <c r="A33" s="204" t="s">
        <v>899</v>
      </c>
      <c r="B33" s="206">
        <v>12.0</v>
      </c>
      <c r="C33" s="206">
        <v>8.0</v>
      </c>
      <c r="D33" s="206">
        <v>1.0</v>
      </c>
    </row>
    <row r="34">
      <c r="A34" s="204" t="s">
        <v>900</v>
      </c>
      <c r="B34" s="206">
        <v>74.0</v>
      </c>
      <c r="C34" s="206">
        <v>43.0</v>
      </c>
      <c r="D34" s="206">
        <v>19.0</v>
      </c>
    </row>
    <row r="35">
      <c r="A35" s="204" t="s">
        <v>901</v>
      </c>
      <c r="B35" s="206">
        <v>13.0</v>
      </c>
      <c r="C35" s="206">
        <v>6.0</v>
      </c>
      <c r="D35" s="206">
        <v>2.0</v>
      </c>
    </row>
    <row r="36">
      <c r="A36" s="204" t="s">
        <v>135</v>
      </c>
      <c r="B36" s="206">
        <v>41.0</v>
      </c>
      <c r="C36" s="206">
        <v>21.0</v>
      </c>
      <c r="D36" s="206">
        <v>9.0</v>
      </c>
    </row>
    <row r="37">
      <c r="A37" s="204" t="s">
        <v>575</v>
      </c>
      <c r="B37" s="206">
        <v>45.0</v>
      </c>
      <c r="C37" s="206">
        <v>21.0</v>
      </c>
      <c r="D37" s="206">
        <v>18.0</v>
      </c>
    </row>
    <row r="38">
      <c r="A38" s="204" t="s">
        <v>136</v>
      </c>
      <c r="B38" s="206">
        <v>10.0</v>
      </c>
      <c r="C38" s="206">
        <v>5.0</v>
      </c>
      <c r="D38" s="206">
        <v>5.0</v>
      </c>
    </row>
    <row r="39">
      <c r="A39" s="204" t="s">
        <v>416</v>
      </c>
      <c r="B39" s="206">
        <v>7.0</v>
      </c>
      <c r="C39" s="206">
        <v>4.0</v>
      </c>
      <c r="D39" s="206">
        <v>0.0</v>
      </c>
    </row>
    <row r="40">
      <c r="A40" s="204" t="s">
        <v>138</v>
      </c>
      <c r="B40" s="206">
        <v>19.0</v>
      </c>
      <c r="C40" s="206">
        <v>13.0</v>
      </c>
      <c r="D40" s="206">
        <v>3.0</v>
      </c>
    </row>
    <row r="41">
      <c r="A41" s="204" t="s">
        <v>720</v>
      </c>
      <c r="B41" s="206">
        <v>12.0</v>
      </c>
      <c r="C41" s="206">
        <v>9.0</v>
      </c>
      <c r="D41" s="206">
        <v>2.0</v>
      </c>
    </row>
    <row r="42">
      <c r="A42" s="204" t="s">
        <v>902</v>
      </c>
      <c r="B42" s="206">
        <v>26.0</v>
      </c>
      <c r="C42" s="206">
        <v>16.0</v>
      </c>
      <c r="D42" s="206">
        <v>4.0</v>
      </c>
    </row>
    <row r="43">
      <c r="A43" s="204" t="s">
        <v>497</v>
      </c>
      <c r="B43" s="206">
        <v>11.0</v>
      </c>
      <c r="C43" s="206">
        <v>7.0</v>
      </c>
      <c r="D43" s="206">
        <v>2.0</v>
      </c>
    </row>
    <row r="44">
      <c r="A44" s="204" t="s">
        <v>587</v>
      </c>
      <c r="B44" s="206">
        <v>14.0</v>
      </c>
      <c r="C44" s="206">
        <v>1.0</v>
      </c>
      <c r="D44" s="206">
        <v>4.0</v>
      </c>
    </row>
    <row r="45">
      <c r="A45" s="204" t="s">
        <v>721</v>
      </c>
      <c r="B45" s="206">
        <v>24.0</v>
      </c>
      <c r="C45" s="206">
        <v>12.0</v>
      </c>
      <c r="D45" s="206">
        <v>6.0</v>
      </c>
    </row>
    <row r="46">
      <c r="A46" s="204" t="s">
        <v>775</v>
      </c>
      <c r="B46" s="206">
        <v>30.0</v>
      </c>
      <c r="C46" s="206">
        <v>18.0</v>
      </c>
      <c r="D46" s="206">
        <v>8.0</v>
      </c>
    </row>
    <row r="47">
      <c r="A47" s="204" t="s">
        <v>140</v>
      </c>
      <c r="B47" s="206">
        <v>27.0</v>
      </c>
      <c r="C47" s="206">
        <v>16.0</v>
      </c>
      <c r="D47" s="206">
        <v>2.0</v>
      </c>
    </row>
    <row r="48">
      <c r="A48" s="204" t="s">
        <v>283</v>
      </c>
      <c r="B48" s="206">
        <v>4.0</v>
      </c>
      <c r="C48" s="206">
        <v>2.0</v>
      </c>
      <c r="D48" s="206">
        <v>0.0</v>
      </c>
    </row>
    <row r="49">
      <c r="A49" s="204" t="s">
        <v>333</v>
      </c>
      <c r="B49" s="206">
        <v>9.0</v>
      </c>
      <c r="C49" s="206">
        <v>4.0</v>
      </c>
      <c r="D49" s="206">
        <v>0.0</v>
      </c>
    </row>
    <row r="50">
      <c r="A50" s="204" t="s">
        <v>903</v>
      </c>
      <c r="B50" s="206">
        <v>3.0</v>
      </c>
      <c r="C50" s="206">
        <v>3.0</v>
      </c>
      <c r="D50" s="206">
        <v>0.0</v>
      </c>
    </row>
    <row r="51">
      <c r="A51" s="204" t="s">
        <v>50</v>
      </c>
      <c r="B51" s="206">
        <v>4.0</v>
      </c>
      <c r="C51" s="206">
        <v>1.0</v>
      </c>
      <c r="D51" s="206">
        <v>2.0</v>
      </c>
    </row>
    <row r="52">
      <c r="A52" s="204" t="s">
        <v>142</v>
      </c>
      <c r="B52" s="206">
        <v>4.0</v>
      </c>
      <c r="C52" s="206">
        <v>2.0</v>
      </c>
      <c r="D52" s="206">
        <v>1.0</v>
      </c>
    </row>
    <row r="53">
      <c r="A53" s="204" t="s">
        <v>593</v>
      </c>
      <c r="B53" s="206">
        <v>43.0</v>
      </c>
      <c r="C53" s="206">
        <v>25.0</v>
      </c>
      <c r="D53" s="206">
        <v>6.0</v>
      </c>
    </row>
    <row r="54">
      <c r="A54" s="204" t="s">
        <v>143</v>
      </c>
      <c r="B54" s="206">
        <v>19.0</v>
      </c>
      <c r="C54" s="206">
        <v>11.0</v>
      </c>
      <c r="D54" s="206">
        <v>5.0</v>
      </c>
    </row>
    <row r="55">
      <c r="A55" s="204" t="s">
        <v>288</v>
      </c>
      <c r="B55" s="206">
        <v>68.0</v>
      </c>
      <c r="C55" s="206">
        <v>29.0</v>
      </c>
      <c r="D55" s="206">
        <v>19.0</v>
      </c>
    </row>
    <row r="56">
      <c r="A56" s="204" t="s">
        <v>598</v>
      </c>
      <c r="B56" s="206">
        <v>36.0</v>
      </c>
      <c r="C56" s="206">
        <v>13.0</v>
      </c>
      <c r="D56" s="206">
        <v>10.0</v>
      </c>
    </row>
    <row r="57">
      <c r="A57" s="204" t="s">
        <v>905</v>
      </c>
      <c r="B57" s="206">
        <v>17.0</v>
      </c>
      <c r="C57" s="206">
        <v>11.0</v>
      </c>
      <c r="D57" s="206">
        <v>5.0</v>
      </c>
    </row>
    <row r="58">
      <c r="A58" s="204" t="s">
        <v>906</v>
      </c>
      <c r="B58" s="206">
        <v>5.0</v>
      </c>
      <c r="C58" s="206">
        <v>2.0</v>
      </c>
      <c r="D58" s="206">
        <v>2.0</v>
      </c>
    </row>
    <row r="59">
      <c r="A59" s="204" t="s">
        <v>147</v>
      </c>
      <c r="B59" s="206">
        <v>75.0</v>
      </c>
      <c r="C59" s="206">
        <v>40.0</v>
      </c>
      <c r="D59" s="206">
        <v>30.0</v>
      </c>
    </row>
    <row r="60">
      <c r="A60" s="204" t="s">
        <v>907</v>
      </c>
      <c r="B60" s="206">
        <v>452.0</v>
      </c>
      <c r="C60" s="206">
        <v>182.0</v>
      </c>
      <c r="D60" s="206">
        <v>147.0</v>
      </c>
    </row>
    <row r="61">
      <c r="A61" s="204" t="s">
        <v>908</v>
      </c>
      <c r="B61" s="206">
        <v>16.0</v>
      </c>
      <c r="C61" s="206">
        <v>12.0</v>
      </c>
      <c r="D61" s="206">
        <v>2.0</v>
      </c>
    </row>
    <row r="62">
      <c r="A62" s="204" t="s">
        <v>909</v>
      </c>
      <c r="B62" s="206">
        <v>13.0</v>
      </c>
      <c r="C62" s="206">
        <v>8.0</v>
      </c>
      <c r="D62" s="206">
        <v>0.0</v>
      </c>
    </row>
    <row r="63">
      <c r="A63" s="204" t="s">
        <v>910</v>
      </c>
      <c r="B63" s="206">
        <v>4.0</v>
      </c>
      <c r="C63" s="206">
        <v>4.0</v>
      </c>
      <c r="D63" s="206">
        <v>1.0</v>
      </c>
    </row>
    <row r="64">
      <c r="A64" s="204" t="s">
        <v>151</v>
      </c>
      <c r="B64" s="206">
        <v>16.0</v>
      </c>
      <c r="C64" s="206">
        <v>13.0</v>
      </c>
      <c r="D64" s="206">
        <v>1.0</v>
      </c>
    </row>
    <row r="65">
      <c r="A65" s="204" t="s">
        <v>912</v>
      </c>
      <c r="B65" s="206">
        <v>32.0</v>
      </c>
      <c r="C65" s="206">
        <v>16.0</v>
      </c>
      <c r="D65" s="206">
        <v>11.0</v>
      </c>
    </row>
    <row r="66">
      <c r="A66" s="204" t="s">
        <v>153</v>
      </c>
      <c r="B66" s="206">
        <v>36.0</v>
      </c>
      <c r="C66" s="206">
        <v>20.0</v>
      </c>
      <c r="D66" s="206">
        <v>13.0</v>
      </c>
    </row>
    <row r="67">
      <c r="A67" s="204" t="s">
        <v>154</v>
      </c>
      <c r="B67" s="206">
        <v>59.0</v>
      </c>
      <c r="C67" s="206">
        <v>25.0</v>
      </c>
      <c r="D67" s="206">
        <v>27.0</v>
      </c>
    </row>
    <row r="68">
      <c r="A68" s="204" t="s">
        <v>913</v>
      </c>
      <c r="B68" s="206">
        <v>12.0</v>
      </c>
      <c r="C68" s="206">
        <v>7.0</v>
      </c>
      <c r="D68" s="206">
        <v>2.0</v>
      </c>
    </row>
    <row r="69">
      <c r="A69" s="204" t="s">
        <v>610</v>
      </c>
      <c r="B69" s="206">
        <v>6.0</v>
      </c>
      <c r="C69" s="206">
        <v>2.0</v>
      </c>
      <c r="D69" s="206">
        <v>4.0</v>
      </c>
    </row>
    <row r="70">
      <c r="A70" s="204" t="s">
        <v>915</v>
      </c>
      <c r="B70" s="206">
        <v>8.0</v>
      </c>
      <c r="C70" s="206">
        <v>8.0</v>
      </c>
      <c r="D70" s="206">
        <v>0.0</v>
      </c>
    </row>
    <row r="71">
      <c r="A71" s="204" t="s">
        <v>156</v>
      </c>
      <c r="B71" s="206">
        <v>15.0</v>
      </c>
      <c r="C71" s="206">
        <v>13.0</v>
      </c>
      <c r="D71" s="206">
        <v>1.0</v>
      </c>
    </row>
    <row r="72">
      <c r="A72" s="204" t="s">
        <v>157</v>
      </c>
      <c r="B72" s="206">
        <v>30.0</v>
      </c>
      <c r="C72" s="206">
        <v>20.0</v>
      </c>
      <c r="D72" s="206">
        <v>8.0</v>
      </c>
    </row>
    <row r="73">
      <c r="A73" s="204" t="s">
        <v>917</v>
      </c>
      <c r="B73" s="206">
        <v>47.0</v>
      </c>
      <c r="C73" s="206">
        <v>35.0</v>
      </c>
      <c r="D73" s="206">
        <v>8.0</v>
      </c>
    </row>
    <row r="74">
      <c r="A74" s="204" t="s">
        <v>2618</v>
      </c>
      <c r="B74" s="206">
        <v>23.0</v>
      </c>
      <c r="C74" s="206">
        <v>8.0</v>
      </c>
      <c r="D74" s="206">
        <v>13.0</v>
      </c>
    </row>
    <row r="75">
      <c r="A75" s="204" t="s">
        <v>515</v>
      </c>
      <c r="B75" s="206">
        <v>12.0</v>
      </c>
      <c r="C75" s="206">
        <v>7.0</v>
      </c>
      <c r="D75" s="206">
        <v>4.0</v>
      </c>
    </row>
    <row r="76">
      <c r="A76" s="204" t="s">
        <v>927</v>
      </c>
      <c r="B76" s="206">
        <v>16.0</v>
      </c>
      <c r="C76" s="206">
        <v>10.0</v>
      </c>
      <c r="D76" s="206">
        <v>1.0</v>
      </c>
    </row>
    <row r="77">
      <c r="A77" s="204" t="s">
        <v>928</v>
      </c>
      <c r="B77" s="206">
        <v>8.0</v>
      </c>
      <c r="C77" s="206">
        <v>6.0</v>
      </c>
      <c r="D77" s="206">
        <v>2.0</v>
      </c>
    </row>
    <row r="78">
      <c r="A78" s="204" t="s">
        <v>929</v>
      </c>
      <c r="B78" s="206">
        <v>14.0</v>
      </c>
      <c r="C78" s="206">
        <v>8.0</v>
      </c>
      <c r="D78" s="206">
        <v>1.0</v>
      </c>
    </row>
    <row r="79">
      <c r="A79" s="204" t="s">
        <v>930</v>
      </c>
      <c r="B79" s="206">
        <v>18.0</v>
      </c>
      <c r="C79" s="206">
        <v>6.0</v>
      </c>
      <c r="D79" s="206">
        <v>8.0</v>
      </c>
    </row>
    <row r="80">
      <c r="A80" s="204" t="s">
        <v>302</v>
      </c>
      <c r="B80" s="206">
        <v>753.0</v>
      </c>
      <c r="C80" s="206">
        <v>423.0</v>
      </c>
      <c r="D80" s="206">
        <v>215.0</v>
      </c>
    </row>
    <row r="81">
      <c r="A81" s="204" t="s">
        <v>931</v>
      </c>
      <c r="B81" s="206">
        <v>134.0</v>
      </c>
      <c r="C81" s="206">
        <v>66.0</v>
      </c>
      <c r="D81" s="206">
        <v>41.0</v>
      </c>
    </row>
    <row r="82">
      <c r="A82" s="204" t="s">
        <v>932</v>
      </c>
      <c r="B82" s="206">
        <v>31.0</v>
      </c>
      <c r="C82" s="206">
        <v>12.0</v>
      </c>
      <c r="D82" s="206">
        <v>14.0</v>
      </c>
    </row>
    <row r="83">
      <c r="A83" s="204" t="s">
        <v>935</v>
      </c>
      <c r="B83" s="206">
        <v>4.0</v>
      </c>
      <c r="C83" s="206">
        <v>0.0</v>
      </c>
      <c r="D83" s="206">
        <v>1.0</v>
      </c>
    </row>
    <row r="84">
      <c r="A84" s="204" t="s">
        <v>936</v>
      </c>
      <c r="B84" s="206">
        <v>8.0</v>
      </c>
      <c r="C84" s="206">
        <v>4.0</v>
      </c>
      <c r="D84" s="206">
        <v>2.0</v>
      </c>
    </row>
    <row r="85">
      <c r="A85" s="204" t="s">
        <v>309</v>
      </c>
      <c r="B85" s="206">
        <v>174.0</v>
      </c>
      <c r="C85" s="206">
        <v>94.0</v>
      </c>
      <c r="D85" s="206">
        <v>58.0</v>
      </c>
    </row>
    <row r="86">
      <c r="A86" s="204" t="s">
        <v>168</v>
      </c>
      <c r="B86" s="206">
        <v>15.0</v>
      </c>
      <c r="C86" s="206">
        <v>7.0</v>
      </c>
      <c r="D86" s="206">
        <v>5.0</v>
      </c>
    </row>
    <row r="87">
      <c r="A87" s="204" t="s">
        <v>937</v>
      </c>
      <c r="B87" s="206">
        <v>15.0</v>
      </c>
      <c r="C87" s="206">
        <v>5.0</v>
      </c>
      <c r="D87" s="206">
        <v>8.0</v>
      </c>
    </row>
    <row r="88">
      <c r="A88" s="204" t="s">
        <v>939</v>
      </c>
      <c r="B88" s="206">
        <v>54.0</v>
      </c>
      <c r="C88" s="206">
        <v>35.0</v>
      </c>
      <c r="D88" s="206">
        <v>9.0</v>
      </c>
    </row>
    <row r="89">
      <c r="A89" s="204" t="s">
        <v>940</v>
      </c>
      <c r="B89" s="206">
        <v>45.0</v>
      </c>
      <c r="C89" s="206">
        <v>33.0</v>
      </c>
      <c r="D89" s="206">
        <v>2.0</v>
      </c>
    </row>
    <row r="90">
      <c r="A90" s="204" t="s">
        <v>526</v>
      </c>
      <c r="B90" s="206">
        <v>2.0</v>
      </c>
      <c r="C90" s="206">
        <v>2.0</v>
      </c>
      <c r="D90" s="206">
        <v>0.0</v>
      </c>
    </row>
    <row r="91">
      <c r="A91" s="204" t="s">
        <v>316</v>
      </c>
      <c r="B91" s="206">
        <v>40.0</v>
      </c>
      <c r="C91" s="206">
        <v>24.0</v>
      </c>
      <c r="D91" s="206">
        <v>9.0</v>
      </c>
    </row>
    <row r="92">
      <c r="A92" s="204" t="s">
        <v>317</v>
      </c>
      <c r="B92" s="206">
        <v>10.0</v>
      </c>
      <c r="C92" s="206">
        <v>10.0</v>
      </c>
      <c r="D92" s="206">
        <v>0.0</v>
      </c>
    </row>
    <row r="93">
      <c r="A93" s="204" t="s">
        <v>942</v>
      </c>
      <c r="B93" s="206">
        <v>73.0</v>
      </c>
      <c r="C93" s="206">
        <v>37.0</v>
      </c>
      <c r="D93" s="206">
        <v>15.0</v>
      </c>
    </row>
    <row r="94">
      <c r="A94" s="204" t="s">
        <v>647</v>
      </c>
      <c r="B94" s="206">
        <v>72.0</v>
      </c>
      <c r="C94" s="206">
        <v>49.0</v>
      </c>
      <c r="D94" s="206">
        <v>12.0</v>
      </c>
    </row>
    <row r="95">
      <c r="A95" s="204" t="s">
        <v>119</v>
      </c>
      <c r="B95" s="206">
        <v>20.0</v>
      </c>
      <c r="C95" s="206">
        <v>13.0</v>
      </c>
      <c r="D95" s="206">
        <v>6.0</v>
      </c>
    </row>
    <row r="96">
      <c r="A96" s="204" t="s">
        <v>273</v>
      </c>
      <c r="B96" s="206">
        <v>9.0</v>
      </c>
      <c r="C96" s="206">
        <v>1.0</v>
      </c>
      <c r="D96" s="206">
        <v>3.0</v>
      </c>
    </row>
    <row r="97">
      <c r="A97" s="204" t="s">
        <v>648</v>
      </c>
      <c r="B97" s="206">
        <v>73.0</v>
      </c>
      <c r="C97" s="206">
        <v>26.0</v>
      </c>
      <c r="D97" s="206">
        <v>21.0</v>
      </c>
    </row>
    <row r="98">
      <c r="A98" s="204" t="s">
        <v>753</v>
      </c>
      <c r="B98" s="206">
        <v>6.0</v>
      </c>
      <c r="C98" s="206">
        <v>3.0</v>
      </c>
      <c r="D98" s="206">
        <v>0.0</v>
      </c>
    </row>
    <row r="99">
      <c r="A99" s="204" t="s">
        <v>945</v>
      </c>
      <c r="B99" s="206">
        <v>7.0</v>
      </c>
      <c r="C99" s="206">
        <v>4.0</v>
      </c>
      <c r="D99" s="206">
        <v>1.0</v>
      </c>
    </row>
    <row r="100">
      <c r="A100" s="204" t="s">
        <v>946</v>
      </c>
      <c r="B100" s="206">
        <v>178.0</v>
      </c>
      <c r="C100" s="206">
        <v>85.0</v>
      </c>
      <c r="D100" s="206">
        <v>53.0</v>
      </c>
    </row>
    <row r="101">
      <c r="A101" s="204" t="s">
        <v>655</v>
      </c>
      <c r="B101" s="206">
        <v>15.0</v>
      </c>
      <c r="C101" s="206">
        <v>7.0</v>
      </c>
      <c r="D101" s="206">
        <v>5.0</v>
      </c>
    </row>
    <row r="102">
      <c r="A102" s="204" t="s">
        <v>949</v>
      </c>
      <c r="B102" s="206">
        <v>6.0</v>
      </c>
      <c r="C102" s="206">
        <v>3.0</v>
      </c>
      <c r="D102" s="206">
        <v>1.0</v>
      </c>
    </row>
    <row r="104">
      <c r="A104" s="204" t="s">
        <v>923</v>
      </c>
      <c r="B104" s="209">
        <v>4009.0</v>
      </c>
      <c r="C104" s="209">
        <v>2096.0</v>
      </c>
      <c r="D104" s="209">
        <v>1088.0</v>
      </c>
    </row>
    <row r="108">
      <c r="A108" s="275" t="s">
        <v>2619</v>
      </c>
      <c r="B108" s="276"/>
      <c r="C108" s="276"/>
      <c r="D108" s="276"/>
      <c r="E108" s="275" t="s">
        <v>765</v>
      </c>
      <c r="F108" s="275" t="s">
        <v>2615</v>
      </c>
      <c r="G108" s="276"/>
      <c r="H108" s="276"/>
      <c r="I108" s="275" t="s">
        <v>767</v>
      </c>
      <c r="J108" s="277">
        <v>45471.0</v>
      </c>
      <c r="K108" s="275" t="s">
        <v>769</v>
      </c>
      <c r="L108" s="277">
        <v>45392.0</v>
      </c>
      <c r="M108" s="276"/>
    </row>
    <row r="110">
      <c r="A110" s="784" t="s">
        <v>2620</v>
      </c>
      <c r="B110" s="557" t="s">
        <v>956</v>
      </c>
    </row>
    <row r="111">
      <c r="A111" s="784" t="s">
        <v>2533</v>
      </c>
      <c r="B111" s="557" t="s">
        <v>956</v>
      </c>
    </row>
    <row r="112">
      <c r="A112" s="784" t="s">
        <v>2621</v>
      </c>
      <c r="B112" s="557">
        <v>7.0</v>
      </c>
    </row>
    <row r="113">
      <c r="A113" s="784" t="s">
        <v>2622</v>
      </c>
      <c r="B113" s="557">
        <v>12.0</v>
      </c>
    </row>
    <row r="114">
      <c r="A114" s="784" t="s">
        <v>2623</v>
      </c>
      <c r="B114" s="557" t="s">
        <v>956</v>
      </c>
    </row>
    <row r="115">
      <c r="A115" s="784" t="s">
        <v>2624</v>
      </c>
      <c r="B115" s="557">
        <v>24.0</v>
      </c>
    </row>
    <row r="116">
      <c r="A116" s="784" t="s">
        <v>2625</v>
      </c>
      <c r="B116" s="557">
        <v>95.0</v>
      </c>
    </row>
    <row r="117">
      <c r="A117" s="784" t="s">
        <v>2537</v>
      </c>
      <c r="B117" s="557">
        <v>15.0</v>
      </c>
    </row>
    <row r="118">
      <c r="A118" s="784" t="s">
        <v>2626</v>
      </c>
      <c r="B118" s="557">
        <v>19.0</v>
      </c>
    </row>
    <row r="119">
      <c r="A119" s="784" t="s">
        <v>2627</v>
      </c>
      <c r="B119" s="557">
        <v>9.0</v>
      </c>
    </row>
    <row r="120">
      <c r="A120" s="784" t="s">
        <v>2628</v>
      </c>
      <c r="B120" s="557">
        <v>21.0</v>
      </c>
    </row>
    <row r="121">
      <c r="A121" s="784" t="s">
        <v>858</v>
      </c>
      <c r="B121" s="557" t="s">
        <v>956</v>
      </c>
    </row>
    <row r="122">
      <c r="A122" s="784" t="s">
        <v>799</v>
      </c>
      <c r="B122" s="557" t="s">
        <v>956</v>
      </c>
    </row>
    <row r="123">
      <c r="A123" s="784" t="s">
        <v>2539</v>
      </c>
      <c r="B123" s="557">
        <v>9.0</v>
      </c>
    </row>
    <row r="124">
      <c r="A124" s="784" t="s">
        <v>2540</v>
      </c>
      <c r="B124" s="557" t="s">
        <v>956</v>
      </c>
    </row>
    <row r="125">
      <c r="A125" s="784" t="s">
        <v>2629</v>
      </c>
      <c r="B125" s="557">
        <v>17.0</v>
      </c>
    </row>
    <row r="126">
      <c r="A126" s="784" t="s">
        <v>2630</v>
      </c>
      <c r="B126" s="557">
        <v>51.0</v>
      </c>
    </row>
    <row r="127">
      <c r="A127" s="784" t="s">
        <v>801</v>
      </c>
      <c r="B127" s="557">
        <v>8.0</v>
      </c>
    </row>
    <row r="128">
      <c r="A128" s="784" t="s">
        <v>2631</v>
      </c>
      <c r="B128" s="557">
        <v>10.0</v>
      </c>
    </row>
    <row r="129">
      <c r="A129" s="784" t="s">
        <v>861</v>
      </c>
      <c r="B129" s="557" t="s">
        <v>956</v>
      </c>
    </row>
    <row r="130">
      <c r="A130" s="784" t="s">
        <v>804</v>
      </c>
      <c r="B130" s="557">
        <v>13.0</v>
      </c>
    </row>
    <row r="131">
      <c r="A131" s="784" t="s">
        <v>2632</v>
      </c>
      <c r="B131" s="557">
        <v>14.0</v>
      </c>
    </row>
    <row r="132">
      <c r="A132" s="784" t="s">
        <v>2544</v>
      </c>
      <c r="B132" s="557">
        <v>21.0</v>
      </c>
    </row>
    <row r="133">
      <c r="A133" s="784" t="s">
        <v>2547</v>
      </c>
      <c r="B133" s="557" t="s">
        <v>956</v>
      </c>
    </row>
    <row r="134">
      <c r="A134" s="784" t="s">
        <v>813</v>
      </c>
      <c r="B134" s="557">
        <v>44.0</v>
      </c>
    </row>
    <row r="135">
      <c r="A135" s="784" t="s">
        <v>2633</v>
      </c>
      <c r="B135" s="557">
        <v>9.0</v>
      </c>
    </row>
    <row r="136">
      <c r="A136" s="784" t="s">
        <v>2634</v>
      </c>
      <c r="B136" s="557">
        <v>6.0</v>
      </c>
    </row>
    <row r="137">
      <c r="A137" s="784" t="s">
        <v>2635</v>
      </c>
      <c r="B137" s="557">
        <v>7.0</v>
      </c>
    </row>
    <row r="138">
      <c r="A138" s="784" t="s">
        <v>2636</v>
      </c>
      <c r="B138" s="557">
        <v>29.0</v>
      </c>
    </row>
    <row r="139">
      <c r="A139" s="784" t="s">
        <v>2637</v>
      </c>
      <c r="B139" s="557">
        <v>17.0</v>
      </c>
    </row>
    <row r="140">
      <c r="A140" s="784" t="s">
        <v>2638</v>
      </c>
      <c r="B140" s="557">
        <v>35.0</v>
      </c>
    </row>
    <row r="141">
      <c r="A141" s="784" t="s">
        <v>2639</v>
      </c>
      <c r="B141" s="557">
        <v>8.0</v>
      </c>
    </row>
    <row r="142">
      <c r="A142" s="784" t="s">
        <v>867</v>
      </c>
      <c r="B142" s="557">
        <v>7.0</v>
      </c>
    </row>
    <row r="143">
      <c r="A143" s="784" t="s">
        <v>2640</v>
      </c>
      <c r="B143" s="557">
        <v>20.0</v>
      </c>
    </row>
    <row r="144">
      <c r="A144" s="784" t="s">
        <v>820</v>
      </c>
      <c r="B144" s="557" t="s">
        <v>956</v>
      </c>
    </row>
    <row r="145">
      <c r="A145" s="784" t="s">
        <v>2641</v>
      </c>
      <c r="B145" s="557" t="s">
        <v>956</v>
      </c>
    </row>
    <row r="146">
      <c r="A146" s="784" t="s">
        <v>822</v>
      </c>
      <c r="B146" s="557" t="s">
        <v>956</v>
      </c>
    </row>
    <row r="147">
      <c r="A147" s="784" t="s">
        <v>2558</v>
      </c>
      <c r="B147" s="557">
        <v>12.0</v>
      </c>
    </row>
    <row r="148">
      <c r="A148" s="784" t="s">
        <v>2642</v>
      </c>
      <c r="B148" s="557">
        <v>6.0</v>
      </c>
    </row>
    <row r="149">
      <c r="A149" s="784" t="s">
        <v>2559</v>
      </c>
      <c r="B149" s="557">
        <v>8.0</v>
      </c>
    </row>
    <row r="150">
      <c r="A150" s="784" t="s">
        <v>2560</v>
      </c>
      <c r="B150" s="557">
        <v>9.0</v>
      </c>
    </row>
    <row r="151">
      <c r="A151" s="784" t="s">
        <v>2643</v>
      </c>
      <c r="B151" s="557">
        <v>14.0</v>
      </c>
    </row>
    <row r="152">
      <c r="A152" s="784" t="s">
        <v>2644</v>
      </c>
      <c r="B152" s="557">
        <v>7.0</v>
      </c>
    </row>
    <row r="153">
      <c r="A153" s="784" t="s">
        <v>824</v>
      </c>
      <c r="B153" s="557">
        <v>12.0</v>
      </c>
    </row>
    <row r="154">
      <c r="A154" s="784" t="s">
        <v>2645</v>
      </c>
      <c r="B154" s="557">
        <v>10.0</v>
      </c>
    </row>
    <row r="155">
      <c r="A155" s="784" t="s">
        <v>2646</v>
      </c>
      <c r="B155" s="557" t="s">
        <v>956</v>
      </c>
    </row>
    <row r="156">
      <c r="A156" s="784" t="s">
        <v>2647</v>
      </c>
      <c r="B156" s="557">
        <v>11.0</v>
      </c>
    </row>
    <row r="157">
      <c r="A157" s="784" t="s">
        <v>826</v>
      </c>
      <c r="B157" s="557" t="s">
        <v>956</v>
      </c>
    </row>
    <row r="158">
      <c r="A158" s="784" t="s">
        <v>2563</v>
      </c>
      <c r="B158" s="557">
        <v>25.0</v>
      </c>
    </row>
    <row r="159">
      <c r="A159" s="784" t="s">
        <v>827</v>
      </c>
      <c r="B159" s="557">
        <v>7.0</v>
      </c>
    </row>
    <row r="160">
      <c r="A160" s="784" t="s">
        <v>2565</v>
      </c>
      <c r="B160" s="557">
        <v>69.0</v>
      </c>
    </row>
    <row r="161">
      <c r="A161" s="784" t="s">
        <v>2648</v>
      </c>
      <c r="B161" s="557">
        <v>11.0</v>
      </c>
    </row>
    <row r="162">
      <c r="A162" s="784" t="s">
        <v>2649</v>
      </c>
      <c r="B162" s="557" t="s">
        <v>956</v>
      </c>
    </row>
    <row r="163">
      <c r="A163" s="784" t="s">
        <v>2650</v>
      </c>
      <c r="B163" s="557">
        <v>6.0</v>
      </c>
    </row>
    <row r="164">
      <c r="A164" s="784" t="s">
        <v>830</v>
      </c>
      <c r="B164" s="557">
        <v>23.0</v>
      </c>
    </row>
    <row r="165">
      <c r="A165" s="784" t="s">
        <v>2651</v>
      </c>
      <c r="B165" s="557">
        <v>212.0</v>
      </c>
    </row>
    <row r="166">
      <c r="A166" s="784" t="s">
        <v>2652</v>
      </c>
      <c r="B166" s="557">
        <v>6.0</v>
      </c>
    </row>
    <row r="167">
      <c r="A167" s="784" t="s">
        <v>2653</v>
      </c>
      <c r="B167" s="557" t="s">
        <v>956</v>
      </c>
    </row>
    <row r="168">
      <c r="A168" s="784" t="s">
        <v>2654</v>
      </c>
      <c r="B168" s="557">
        <v>16.0</v>
      </c>
    </row>
    <row r="169">
      <c r="A169" s="784" t="s">
        <v>833</v>
      </c>
      <c r="B169" s="557">
        <v>12.0</v>
      </c>
    </row>
    <row r="170">
      <c r="A170" s="784" t="s">
        <v>2655</v>
      </c>
      <c r="B170" s="557">
        <v>15.0</v>
      </c>
    </row>
    <row r="171">
      <c r="A171" s="784" t="s">
        <v>874</v>
      </c>
      <c r="B171" s="557">
        <v>23.0</v>
      </c>
    </row>
    <row r="172">
      <c r="A172" s="784" t="s">
        <v>835</v>
      </c>
      <c r="B172" s="557">
        <v>28.0</v>
      </c>
    </row>
    <row r="173">
      <c r="A173" s="784" t="s">
        <v>2656</v>
      </c>
      <c r="B173" s="557">
        <v>10.0</v>
      </c>
    </row>
    <row r="174">
      <c r="A174" s="784" t="s">
        <v>2657</v>
      </c>
      <c r="B174" s="557">
        <v>9.0</v>
      </c>
    </row>
    <row r="175">
      <c r="A175" s="784" t="s">
        <v>2658</v>
      </c>
      <c r="B175" s="557">
        <v>8.0</v>
      </c>
    </row>
    <row r="176">
      <c r="A176" s="784" t="s">
        <v>875</v>
      </c>
      <c r="B176" s="557">
        <v>7.0</v>
      </c>
    </row>
    <row r="177">
      <c r="A177" s="784" t="s">
        <v>837</v>
      </c>
      <c r="B177" s="557">
        <v>7.0</v>
      </c>
    </row>
    <row r="178">
      <c r="A178" s="784" t="s">
        <v>2659</v>
      </c>
      <c r="B178" s="557">
        <v>23.0</v>
      </c>
    </row>
    <row r="179">
      <c r="A179" s="784" t="s">
        <v>2660</v>
      </c>
      <c r="B179" s="557">
        <v>17.0</v>
      </c>
    </row>
    <row r="180">
      <c r="A180" s="784" t="s">
        <v>2661</v>
      </c>
      <c r="B180" s="557">
        <v>6.0</v>
      </c>
    </row>
    <row r="181">
      <c r="A181" s="784" t="s">
        <v>2662</v>
      </c>
      <c r="B181" s="557">
        <v>6.0</v>
      </c>
    </row>
    <row r="182">
      <c r="A182" s="784" t="s">
        <v>2663</v>
      </c>
      <c r="B182" s="557">
        <v>9.0</v>
      </c>
    </row>
    <row r="183">
      <c r="A183" s="784" t="s">
        <v>2664</v>
      </c>
      <c r="B183" s="557">
        <v>15.0</v>
      </c>
    </row>
    <row r="184">
      <c r="A184" s="784" t="s">
        <v>2665</v>
      </c>
      <c r="B184" s="557" t="s">
        <v>956</v>
      </c>
    </row>
    <row r="185">
      <c r="A185" s="784" t="s">
        <v>2666</v>
      </c>
      <c r="B185" s="557">
        <v>302.0</v>
      </c>
    </row>
    <row r="186">
      <c r="A186" s="784" t="s">
        <v>2667</v>
      </c>
      <c r="B186" s="557">
        <v>43.0</v>
      </c>
    </row>
    <row r="187">
      <c r="A187" s="784" t="s">
        <v>2668</v>
      </c>
      <c r="B187" s="557">
        <v>16.0</v>
      </c>
    </row>
    <row r="188">
      <c r="A188" s="784" t="s">
        <v>2669</v>
      </c>
      <c r="B188" s="557" t="s">
        <v>956</v>
      </c>
    </row>
    <row r="189">
      <c r="A189" s="784" t="s">
        <v>2670</v>
      </c>
      <c r="B189" s="557">
        <v>6.0</v>
      </c>
    </row>
    <row r="190">
      <c r="A190" s="784" t="s">
        <v>2590</v>
      </c>
      <c r="B190" s="557">
        <v>76.0</v>
      </c>
    </row>
    <row r="191">
      <c r="A191" s="784" t="s">
        <v>845</v>
      </c>
      <c r="B191" s="557">
        <v>11.0</v>
      </c>
    </row>
    <row r="192">
      <c r="A192" s="784" t="s">
        <v>2671</v>
      </c>
      <c r="B192" s="557">
        <v>47.0</v>
      </c>
    </row>
    <row r="193">
      <c r="A193" s="784" t="s">
        <v>2672</v>
      </c>
      <c r="B193" s="557">
        <v>57.0</v>
      </c>
    </row>
    <row r="194">
      <c r="A194" s="784" t="s">
        <v>2673</v>
      </c>
      <c r="B194" s="557">
        <v>17.0</v>
      </c>
    </row>
    <row r="195">
      <c r="A195" s="784" t="s">
        <v>2674</v>
      </c>
      <c r="B195" s="557" t="s">
        <v>956</v>
      </c>
    </row>
    <row r="196">
      <c r="A196" s="784" t="s">
        <v>2594</v>
      </c>
      <c r="B196" s="557">
        <v>10.0</v>
      </c>
    </row>
    <row r="197">
      <c r="A197" s="784" t="s">
        <v>2675</v>
      </c>
      <c r="B197" s="557" t="s">
        <v>956</v>
      </c>
    </row>
    <row r="198">
      <c r="A198" s="784" t="s">
        <v>2676</v>
      </c>
      <c r="B198" s="557">
        <v>17.0</v>
      </c>
    </row>
    <row r="199">
      <c r="A199" s="784" t="s">
        <v>2597</v>
      </c>
      <c r="B199" s="557">
        <v>31.0</v>
      </c>
    </row>
    <row r="200">
      <c r="A200" s="784" t="s">
        <v>883</v>
      </c>
      <c r="B200" s="557">
        <v>18.0</v>
      </c>
    </row>
    <row r="201">
      <c r="A201" s="784" t="s">
        <v>2677</v>
      </c>
      <c r="B201" s="557">
        <v>38.0</v>
      </c>
    </row>
    <row r="202">
      <c r="A202" s="784" t="s">
        <v>2603</v>
      </c>
      <c r="B202" s="557" t="s">
        <v>956</v>
      </c>
    </row>
    <row r="203">
      <c r="A203" s="784" t="s">
        <v>2678</v>
      </c>
      <c r="B203" s="557">
        <v>7.0</v>
      </c>
    </row>
    <row r="204">
      <c r="A204" s="784" t="s">
        <v>2679</v>
      </c>
      <c r="B204" s="557">
        <v>75.0</v>
      </c>
    </row>
    <row r="205">
      <c r="A205" s="784" t="s">
        <v>2680</v>
      </c>
      <c r="B205" s="557" t="s">
        <v>956</v>
      </c>
    </row>
    <row r="206">
      <c r="A206" s="784" t="s">
        <v>2681</v>
      </c>
      <c r="B206" s="557">
        <v>8.0</v>
      </c>
    </row>
    <row r="207">
      <c r="A207" s="784" t="s">
        <v>923</v>
      </c>
      <c r="B207" s="557">
        <v>2041.0</v>
      </c>
    </row>
    <row r="219">
      <c r="A219" s="786" t="s">
        <v>882</v>
      </c>
      <c r="B219" s="787" t="s">
        <v>956</v>
      </c>
    </row>
    <row r="220">
      <c r="A220" s="788" t="s">
        <v>386</v>
      </c>
      <c r="B220" s="789" t="s">
        <v>956</v>
      </c>
    </row>
    <row r="221">
      <c r="A221" s="788" t="s">
        <v>887</v>
      </c>
      <c r="B221" s="789" t="s">
        <v>956</v>
      </c>
    </row>
    <row r="222">
      <c r="A222" s="788" t="s">
        <v>243</v>
      </c>
      <c r="B222" s="789" t="s">
        <v>956</v>
      </c>
    </row>
    <row r="223">
      <c r="A223" s="788" t="s">
        <v>890</v>
      </c>
      <c r="B223" s="789">
        <v>14.0</v>
      </c>
    </row>
    <row r="224">
      <c r="A224" s="788" t="s">
        <v>246</v>
      </c>
      <c r="B224" s="789" t="s">
        <v>956</v>
      </c>
    </row>
    <row r="225">
      <c r="A225" s="788" t="s">
        <v>891</v>
      </c>
      <c r="B225" s="789" t="s">
        <v>956</v>
      </c>
    </row>
    <row r="226">
      <c r="A226" s="788" t="s">
        <v>892</v>
      </c>
      <c r="B226" s="789" t="s">
        <v>956</v>
      </c>
    </row>
    <row r="227">
      <c r="A227" s="788" t="s">
        <v>893</v>
      </c>
      <c r="B227" s="789">
        <v>6.0</v>
      </c>
    </row>
    <row r="228">
      <c r="A228" s="788" t="s">
        <v>87</v>
      </c>
      <c r="B228" s="789" t="s">
        <v>956</v>
      </c>
    </row>
    <row r="229">
      <c r="A229" s="788" t="s">
        <v>248</v>
      </c>
      <c r="B229" s="789" t="s">
        <v>956</v>
      </c>
    </row>
    <row r="230">
      <c r="A230" s="788" t="s">
        <v>708</v>
      </c>
      <c r="B230" s="789" t="s">
        <v>956</v>
      </c>
    </row>
    <row r="231">
      <c r="A231" s="788" t="s">
        <v>894</v>
      </c>
      <c r="B231" s="789" t="s">
        <v>956</v>
      </c>
    </row>
    <row r="232">
      <c r="A232" s="788" t="s">
        <v>895</v>
      </c>
      <c r="B232" s="789">
        <v>10.0</v>
      </c>
    </row>
    <row r="233">
      <c r="A233" s="788" t="s">
        <v>101</v>
      </c>
      <c r="B233" s="789" t="s">
        <v>956</v>
      </c>
    </row>
    <row r="234">
      <c r="A234" s="788" t="s">
        <v>110</v>
      </c>
      <c r="B234" s="789">
        <v>6.0</v>
      </c>
    </row>
    <row r="235">
      <c r="A235" s="788" t="s">
        <v>112</v>
      </c>
      <c r="B235" s="789" t="s">
        <v>956</v>
      </c>
    </row>
    <row r="236">
      <c r="A236" s="788" t="s">
        <v>555</v>
      </c>
      <c r="B236" s="789" t="s">
        <v>956</v>
      </c>
    </row>
    <row r="237">
      <c r="A237" s="788" t="s">
        <v>711</v>
      </c>
      <c r="B237" s="789">
        <v>14.0</v>
      </c>
    </row>
    <row r="238">
      <c r="A238" s="788" t="s">
        <v>263</v>
      </c>
      <c r="B238" s="789">
        <v>9.0</v>
      </c>
    </row>
    <row r="239">
      <c r="A239" s="788" t="s">
        <v>130</v>
      </c>
      <c r="B239" s="789">
        <v>10.0</v>
      </c>
    </row>
    <row r="240">
      <c r="A240" s="788" t="s">
        <v>563</v>
      </c>
      <c r="B240" s="789">
        <v>7.0</v>
      </c>
    </row>
    <row r="241">
      <c r="A241" s="788" t="s">
        <v>40</v>
      </c>
      <c r="B241" s="789" t="s">
        <v>956</v>
      </c>
    </row>
    <row r="242">
      <c r="A242" s="788" t="s">
        <v>898</v>
      </c>
      <c r="B242" s="789">
        <v>16.0</v>
      </c>
    </row>
    <row r="243">
      <c r="A243" s="788" t="s">
        <v>900</v>
      </c>
      <c r="B243" s="789">
        <v>10.0</v>
      </c>
    </row>
    <row r="244">
      <c r="A244" s="788" t="s">
        <v>901</v>
      </c>
      <c r="B244" s="789" t="s">
        <v>956</v>
      </c>
    </row>
    <row r="245">
      <c r="A245" s="788" t="s">
        <v>135</v>
      </c>
      <c r="B245" s="789">
        <v>6.0</v>
      </c>
    </row>
    <row r="246">
      <c r="A246" s="788" t="s">
        <v>575</v>
      </c>
      <c r="B246" s="789">
        <v>10.0</v>
      </c>
    </row>
    <row r="247">
      <c r="A247" s="788" t="s">
        <v>138</v>
      </c>
      <c r="B247" s="789" t="s">
        <v>956</v>
      </c>
    </row>
    <row r="248">
      <c r="A248" s="788" t="s">
        <v>720</v>
      </c>
      <c r="B248" s="789" t="s">
        <v>956</v>
      </c>
    </row>
    <row r="249">
      <c r="A249" s="788" t="s">
        <v>902</v>
      </c>
      <c r="B249" s="789" t="s">
        <v>956</v>
      </c>
    </row>
    <row r="250">
      <c r="A250" s="788" t="s">
        <v>497</v>
      </c>
      <c r="B250" s="789" t="s">
        <v>956</v>
      </c>
    </row>
    <row r="251">
      <c r="A251" s="788" t="s">
        <v>587</v>
      </c>
      <c r="B251" s="789" t="s">
        <v>956</v>
      </c>
    </row>
    <row r="252">
      <c r="A252" s="788" t="s">
        <v>721</v>
      </c>
      <c r="B252" s="789" t="s">
        <v>956</v>
      </c>
    </row>
    <row r="253">
      <c r="A253" s="788" t="s">
        <v>775</v>
      </c>
      <c r="B253" s="789">
        <v>6.0</v>
      </c>
    </row>
    <row r="254">
      <c r="A254" s="788" t="s">
        <v>140</v>
      </c>
      <c r="B254" s="789">
        <v>6.0</v>
      </c>
    </row>
    <row r="255">
      <c r="A255" s="788" t="s">
        <v>283</v>
      </c>
      <c r="B255" s="789" t="s">
        <v>956</v>
      </c>
    </row>
    <row r="256">
      <c r="A256" s="788" t="s">
        <v>333</v>
      </c>
      <c r="B256" s="789" t="s">
        <v>956</v>
      </c>
    </row>
    <row r="257">
      <c r="A257" s="788" t="s">
        <v>50</v>
      </c>
      <c r="B257" s="789" t="s">
        <v>956</v>
      </c>
    </row>
    <row r="258">
      <c r="A258" s="788" t="s">
        <v>593</v>
      </c>
      <c r="B258" s="789">
        <v>9.0</v>
      </c>
    </row>
    <row r="259">
      <c r="A259" s="788" t="s">
        <v>143</v>
      </c>
      <c r="B259" s="789" t="s">
        <v>956</v>
      </c>
    </row>
    <row r="260">
      <c r="A260" s="788" t="s">
        <v>288</v>
      </c>
      <c r="B260" s="789">
        <v>19.0</v>
      </c>
    </row>
    <row r="261">
      <c r="A261" s="788" t="s">
        <v>598</v>
      </c>
      <c r="B261" s="789">
        <v>6.0</v>
      </c>
    </row>
    <row r="262">
      <c r="A262" s="788" t="s">
        <v>906</v>
      </c>
      <c r="B262" s="789" t="s">
        <v>956</v>
      </c>
    </row>
    <row r="263">
      <c r="A263" s="788" t="s">
        <v>147</v>
      </c>
      <c r="B263" s="789" t="s">
        <v>956</v>
      </c>
    </row>
    <row r="264">
      <c r="A264" s="788" t="s">
        <v>907</v>
      </c>
      <c r="B264" s="789">
        <v>69.0</v>
      </c>
    </row>
    <row r="265">
      <c r="A265" s="788" t="s">
        <v>908</v>
      </c>
      <c r="B265" s="789" t="s">
        <v>956</v>
      </c>
    </row>
    <row r="266">
      <c r="A266" s="788" t="s">
        <v>909</v>
      </c>
      <c r="B266" s="789" t="s">
        <v>956</v>
      </c>
    </row>
    <row r="267">
      <c r="A267" s="788" t="s">
        <v>151</v>
      </c>
      <c r="B267" s="789" t="s">
        <v>956</v>
      </c>
    </row>
    <row r="268">
      <c r="A268" s="788" t="s">
        <v>912</v>
      </c>
      <c r="B268" s="789">
        <v>6.0</v>
      </c>
    </row>
    <row r="269">
      <c r="A269" s="788" t="s">
        <v>153</v>
      </c>
      <c r="B269" s="789">
        <v>12.0</v>
      </c>
    </row>
    <row r="270">
      <c r="A270" s="788" t="s">
        <v>154</v>
      </c>
      <c r="B270" s="789">
        <v>18.0</v>
      </c>
    </row>
    <row r="271">
      <c r="A271" s="788" t="s">
        <v>913</v>
      </c>
      <c r="B271" s="789" t="s">
        <v>956</v>
      </c>
    </row>
    <row r="272">
      <c r="A272" s="788" t="s">
        <v>610</v>
      </c>
      <c r="B272" s="789" t="s">
        <v>956</v>
      </c>
    </row>
    <row r="273">
      <c r="A273" s="788" t="s">
        <v>156</v>
      </c>
      <c r="B273" s="789" t="s">
        <v>956</v>
      </c>
    </row>
    <row r="274">
      <c r="A274" s="788" t="s">
        <v>157</v>
      </c>
      <c r="B274" s="789" t="s">
        <v>956</v>
      </c>
    </row>
    <row r="275">
      <c r="A275" s="788" t="s">
        <v>917</v>
      </c>
      <c r="B275" s="789" t="s">
        <v>956</v>
      </c>
    </row>
    <row r="276">
      <c r="A276" s="788" t="s">
        <v>2618</v>
      </c>
      <c r="B276" s="789">
        <v>6.0</v>
      </c>
    </row>
    <row r="277">
      <c r="A277" s="788" t="s">
        <v>515</v>
      </c>
      <c r="B277" s="789" t="s">
        <v>956</v>
      </c>
    </row>
    <row r="278">
      <c r="A278" s="788" t="s">
        <v>927</v>
      </c>
      <c r="B278" s="789" t="s">
        <v>956</v>
      </c>
    </row>
    <row r="279">
      <c r="A279" s="788" t="s">
        <v>930</v>
      </c>
      <c r="B279" s="789" t="s">
        <v>956</v>
      </c>
    </row>
    <row r="280">
      <c r="A280" s="788" t="s">
        <v>302</v>
      </c>
      <c r="B280" s="789">
        <v>142.0</v>
      </c>
    </row>
    <row r="281">
      <c r="A281" s="788" t="s">
        <v>931</v>
      </c>
      <c r="B281" s="789">
        <v>25.0</v>
      </c>
    </row>
    <row r="282">
      <c r="A282" s="788" t="s">
        <v>932</v>
      </c>
      <c r="B282" s="789">
        <v>12.0</v>
      </c>
    </row>
    <row r="283">
      <c r="A283" s="788" t="s">
        <v>935</v>
      </c>
      <c r="B283" s="789" t="s">
        <v>956</v>
      </c>
    </row>
    <row r="284">
      <c r="A284" s="788" t="s">
        <v>309</v>
      </c>
      <c r="B284" s="789">
        <v>16.0</v>
      </c>
    </row>
    <row r="285">
      <c r="A285" s="788" t="s">
        <v>168</v>
      </c>
      <c r="B285" s="789">
        <v>11.0</v>
      </c>
    </row>
    <row r="286">
      <c r="A286" s="788" t="s">
        <v>939</v>
      </c>
      <c r="B286" s="789">
        <v>8.0</v>
      </c>
    </row>
    <row r="287">
      <c r="A287" s="788" t="s">
        <v>940</v>
      </c>
      <c r="B287" s="789" t="s">
        <v>956</v>
      </c>
    </row>
    <row r="288">
      <c r="A288" s="788" t="s">
        <v>526</v>
      </c>
      <c r="B288" s="789" t="s">
        <v>956</v>
      </c>
    </row>
    <row r="289">
      <c r="A289" s="788" t="s">
        <v>316</v>
      </c>
      <c r="B289" s="789">
        <v>8.0</v>
      </c>
    </row>
    <row r="290">
      <c r="A290" s="788" t="s">
        <v>942</v>
      </c>
      <c r="B290" s="789">
        <v>14.0</v>
      </c>
    </row>
    <row r="291">
      <c r="A291" s="788" t="s">
        <v>647</v>
      </c>
      <c r="B291" s="789">
        <v>11.0</v>
      </c>
    </row>
    <row r="292">
      <c r="A292" s="788" t="s">
        <v>119</v>
      </c>
      <c r="B292" s="789" t="s">
        <v>956</v>
      </c>
    </row>
    <row r="293">
      <c r="A293" s="788" t="s">
        <v>273</v>
      </c>
      <c r="B293" s="789" t="s">
        <v>956</v>
      </c>
    </row>
    <row r="294">
      <c r="A294" s="788" t="s">
        <v>648</v>
      </c>
      <c r="B294" s="789" t="s">
        <v>956</v>
      </c>
    </row>
    <row r="295">
      <c r="A295" s="788" t="s">
        <v>946</v>
      </c>
      <c r="B295" s="789">
        <v>28.0</v>
      </c>
    </row>
    <row r="296">
      <c r="A296" s="788" t="s">
        <v>949</v>
      </c>
      <c r="B296" s="789" t="s">
        <v>956</v>
      </c>
    </row>
    <row r="298">
      <c r="B298" s="1" t="s">
        <v>2682</v>
      </c>
      <c r="E298" s="1" t="s">
        <v>2683</v>
      </c>
    </row>
    <row r="299">
      <c r="A299" s="790"/>
      <c r="B299" s="791" t="s">
        <v>2682</v>
      </c>
      <c r="C299" s="792"/>
      <c r="D299" s="786"/>
      <c r="E299" s="787" t="s">
        <v>2683</v>
      </c>
    </row>
    <row r="300">
      <c r="A300" s="793" t="s">
        <v>882</v>
      </c>
      <c r="B300" s="794">
        <v>11.0</v>
      </c>
      <c r="C300" s="792">
        <v>0.28205128205128205</v>
      </c>
      <c r="D300" s="788" t="s">
        <v>882</v>
      </c>
      <c r="E300" s="789">
        <v>39.0</v>
      </c>
    </row>
    <row r="301">
      <c r="A301" s="793" t="s">
        <v>386</v>
      </c>
      <c r="B301" s="794" t="s">
        <v>956</v>
      </c>
      <c r="C301" s="795" t="s">
        <v>63</v>
      </c>
      <c r="D301" s="788" t="s">
        <v>386</v>
      </c>
      <c r="E301" s="789">
        <v>11.0</v>
      </c>
    </row>
    <row r="302">
      <c r="A302" s="793" t="s">
        <v>886</v>
      </c>
      <c r="B302" s="794" t="s">
        <v>956</v>
      </c>
      <c r="C302" s="795" t="s">
        <v>63</v>
      </c>
      <c r="D302" s="788" t="s">
        <v>886</v>
      </c>
      <c r="E302" s="789">
        <v>22.0</v>
      </c>
    </row>
    <row r="303">
      <c r="A303" s="793" t="s">
        <v>887</v>
      </c>
      <c r="B303" s="794">
        <v>10.0</v>
      </c>
      <c r="C303" s="792">
        <v>0.23809523809523808</v>
      </c>
      <c r="D303" s="788" t="s">
        <v>887</v>
      </c>
      <c r="E303" s="789">
        <v>42.0</v>
      </c>
    </row>
    <row r="304">
      <c r="A304" s="793" t="s">
        <v>888</v>
      </c>
      <c r="B304" s="794">
        <v>6.0</v>
      </c>
      <c r="C304" s="792">
        <v>0.35294117647058826</v>
      </c>
      <c r="D304" s="788" t="s">
        <v>888</v>
      </c>
      <c r="E304" s="789">
        <v>17.0</v>
      </c>
    </row>
    <row r="305">
      <c r="A305" s="793" t="s">
        <v>243</v>
      </c>
      <c r="B305" s="794">
        <v>10.0</v>
      </c>
      <c r="C305" s="792">
        <v>0.18518518518518517</v>
      </c>
      <c r="D305" s="788" t="s">
        <v>243</v>
      </c>
      <c r="E305" s="789">
        <v>54.0</v>
      </c>
    </row>
    <row r="306">
      <c r="A306" s="793" t="s">
        <v>890</v>
      </c>
      <c r="B306" s="794">
        <v>48.0</v>
      </c>
      <c r="C306" s="792">
        <v>0.13445378151260504</v>
      </c>
      <c r="D306" s="788" t="s">
        <v>890</v>
      </c>
      <c r="E306" s="789">
        <v>357.0</v>
      </c>
    </row>
    <row r="307">
      <c r="A307" s="793" t="s">
        <v>246</v>
      </c>
      <c r="B307" s="794">
        <v>6.0</v>
      </c>
      <c r="C307" s="792">
        <v>0.08571428571428572</v>
      </c>
      <c r="D307" s="788" t="s">
        <v>246</v>
      </c>
      <c r="E307" s="789">
        <v>70.0</v>
      </c>
    </row>
    <row r="308">
      <c r="A308" s="793" t="s">
        <v>891</v>
      </c>
      <c r="B308" s="794">
        <v>15.0</v>
      </c>
      <c r="C308" s="792">
        <v>0.29411764705882354</v>
      </c>
      <c r="D308" s="788" t="s">
        <v>891</v>
      </c>
      <c r="E308" s="789">
        <v>51.0</v>
      </c>
    </row>
    <row r="309">
      <c r="A309" s="793" t="s">
        <v>892</v>
      </c>
      <c r="B309" s="794">
        <v>6.0</v>
      </c>
      <c r="C309" s="792">
        <v>0.21428571428571427</v>
      </c>
      <c r="D309" s="788" t="s">
        <v>892</v>
      </c>
      <c r="E309" s="789">
        <v>28.0</v>
      </c>
    </row>
    <row r="310">
      <c r="A310" s="793" t="s">
        <v>893</v>
      </c>
      <c r="B310" s="794">
        <v>18.0</v>
      </c>
      <c r="C310" s="792">
        <v>0.1978021978021978</v>
      </c>
      <c r="D310" s="788" t="s">
        <v>893</v>
      </c>
      <c r="E310" s="789">
        <v>91.0</v>
      </c>
    </row>
    <row r="311">
      <c r="A311" s="793" t="s">
        <v>87</v>
      </c>
      <c r="B311" s="794" t="s">
        <v>956</v>
      </c>
      <c r="C311" s="795" t="s">
        <v>63</v>
      </c>
      <c r="D311" s="788" t="s">
        <v>87</v>
      </c>
      <c r="E311" s="789">
        <v>32.0</v>
      </c>
    </row>
    <row r="312">
      <c r="A312" s="793" t="s">
        <v>93</v>
      </c>
      <c r="B312" s="794">
        <v>6.0</v>
      </c>
      <c r="C312" s="792">
        <v>0.13953488372093023</v>
      </c>
      <c r="D312" s="788" t="s">
        <v>93</v>
      </c>
      <c r="E312" s="789">
        <v>43.0</v>
      </c>
    </row>
    <row r="313">
      <c r="A313" s="793" t="s">
        <v>248</v>
      </c>
      <c r="B313" s="794">
        <v>8.0</v>
      </c>
      <c r="C313" s="792">
        <v>0.13793103448275862</v>
      </c>
      <c r="D313" s="788" t="s">
        <v>248</v>
      </c>
      <c r="E313" s="789">
        <v>58.0</v>
      </c>
    </row>
    <row r="314">
      <c r="A314" s="793" t="s">
        <v>708</v>
      </c>
      <c r="B314" s="794" t="s">
        <v>956</v>
      </c>
      <c r="C314" s="795" t="s">
        <v>63</v>
      </c>
      <c r="D314" s="788" t="s">
        <v>708</v>
      </c>
      <c r="E314" s="789">
        <v>46.0</v>
      </c>
    </row>
    <row r="315">
      <c r="A315" s="793" t="s">
        <v>894</v>
      </c>
      <c r="B315" s="794" t="s">
        <v>956</v>
      </c>
      <c r="C315" s="795" t="s">
        <v>63</v>
      </c>
      <c r="D315" s="788" t="s">
        <v>894</v>
      </c>
      <c r="E315" s="789">
        <v>40.0</v>
      </c>
    </row>
    <row r="316">
      <c r="A316" s="793" t="s">
        <v>895</v>
      </c>
      <c r="B316" s="794">
        <v>20.0</v>
      </c>
      <c r="C316" s="792">
        <v>0.13157894736842105</v>
      </c>
      <c r="D316" s="788" t="s">
        <v>895</v>
      </c>
      <c r="E316" s="789">
        <v>152.0</v>
      </c>
    </row>
    <row r="317">
      <c r="A317" s="793" t="s">
        <v>101</v>
      </c>
      <c r="B317" s="794">
        <v>6.0</v>
      </c>
      <c r="C317" s="792">
        <v>0.125</v>
      </c>
      <c r="D317" s="788" t="s">
        <v>101</v>
      </c>
      <c r="E317" s="789">
        <v>48.0</v>
      </c>
    </row>
    <row r="318">
      <c r="A318" s="793" t="s">
        <v>896</v>
      </c>
      <c r="B318" s="794" t="s">
        <v>956</v>
      </c>
      <c r="C318" s="795" t="s">
        <v>63</v>
      </c>
      <c r="D318" s="788" t="s">
        <v>896</v>
      </c>
      <c r="E318" s="789">
        <v>23.0</v>
      </c>
    </row>
    <row r="319">
      <c r="A319" s="793" t="s">
        <v>110</v>
      </c>
      <c r="B319" s="794">
        <v>11.0</v>
      </c>
      <c r="C319" s="792">
        <v>0.2619047619047619</v>
      </c>
      <c r="D319" s="788" t="s">
        <v>110</v>
      </c>
      <c r="E319" s="789">
        <v>42.0</v>
      </c>
    </row>
    <row r="320">
      <c r="A320" s="793" t="s">
        <v>112</v>
      </c>
      <c r="B320" s="794">
        <v>6.0</v>
      </c>
      <c r="C320" s="792">
        <v>0.11320754716981132</v>
      </c>
      <c r="D320" s="788" t="s">
        <v>112</v>
      </c>
      <c r="E320" s="789">
        <v>53.0</v>
      </c>
    </row>
    <row r="321">
      <c r="A321" s="793" t="s">
        <v>555</v>
      </c>
      <c r="B321" s="794" t="s">
        <v>956</v>
      </c>
      <c r="C321" s="795" t="s">
        <v>63</v>
      </c>
      <c r="D321" s="788" t="s">
        <v>555</v>
      </c>
      <c r="E321" s="789">
        <v>12.0</v>
      </c>
    </row>
    <row r="322">
      <c r="A322" s="793" t="s">
        <v>711</v>
      </c>
      <c r="B322" s="794">
        <v>18.0</v>
      </c>
      <c r="C322" s="792">
        <v>0.11320754716981132</v>
      </c>
      <c r="D322" s="788" t="s">
        <v>711</v>
      </c>
      <c r="E322" s="789">
        <v>159.0</v>
      </c>
    </row>
    <row r="323">
      <c r="A323" s="793" t="s">
        <v>263</v>
      </c>
      <c r="B323" s="794">
        <v>6.0</v>
      </c>
      <c r="C323" s="792">
        <v>0.11764705882352941</v>
      </c>
      <c r="D323" s="788" t="s">
        <v>263</v>
      </c>
      <c r="E323" s="789">
        <v>51.0</v>
      </c>
    </row>
    <row r="324">
      <c r="A324" s="793" t="s">
        <v>130</v>
      </c>
      <c r="B324" s="794">
        <v>9.0</v>
      </c>
      <c r="C324" s="792">
        <v>0.05172413793103448</v>
      </c>
      <c r="D324" s="788" t="s">
        <v>130</v>
      </c>
      <c r="E324" s="789">
        <v>174.0</v>
      </c>
    </row>
    <row r="325">
      <c r="A325" s="793" t="s">
        <v>897</v>
      </c>
      <c r="B325" s="794" t="s">
        <v>956</v>
      </c>
      <c r="C325" s="795" t="s">
        <v>63</v>
      </c>
      <c r="D325" s="788" t="s">
        <v>897</v>
      </c>
      <c r="E325" s="789">
        <v>11.0</v>
      </c>
    </row>
    <row r="326">
      <c r="A326" s="793" t="s">
        <v>563</v>
      </c>
      <c r="B326" s="794" t="s">
        <v>956</v>
      </c>
      <c r="C326" s="795" t="s">
        <v>63</v>
      </c>
      <c r="D326" s="788" t="s">
        <v>563</v>
      </c>
      <c r="E326" s="789">
        <v>17.0</v>
      </c>
    </row>
    <row r="327">
      <c r="A327" s="793" t="s">
        <v>40</v>
      </c>
      <c r="B327" s="794">
        <v>6.0</v>
      </c>
      <c r="C327" s="792">
        <v>0.375</v>
      </c>
      <c r="D327" s="788" t="s">
        <v>40</v>
      </c>
      <c r="E327" s="789">
        <v>16.0</v>
      </c>
    </row>
    <row r="328">
      <c r="A328" s="793" t="s">
        <v>898</v>
      </c>
      <c r="B328" s="794">
        <v>36.0</v>
      </c>
      <c r="C328" s="792">
        <v>0.27906976744186046</v>
      </c>
      <c r="D328" s="788" t="s">
        <v>898</v>
      </c>
      <c r="E328" s="789">
        <v>129.0</v>
      </c>
    </row>
    <row r="329">
      <c r="A329" s="793" t="s">
        <v>899</v>
      </c>
      <c r="B329" s="794">
        <v>16.0</v>
      </c>
      <c r="C329" s="792">
        <v>0.24615384615384617</v>
      </c>
      <c r="D329" s="788" t="s">
        <v>899</v>
      </c>
      <c r="E329" s="789">
        <v>65.0</v>
      </c>
    </row>
    <row r="330">
      <c r="A330" s="793" t="s">
        <v>900</v>
      </c>
      <c r="B330" s="794">
        <v>37.0</v>
      </c>
      <c r="C330" s="792">
        <v>0.11419753086419752</v>
      </c>
      <c r="D330" s="788" t="s">
        <v>900</v>
      </c>
      <c r="E330" s="789">
        <v>324.0</v>
      </c>
    </row>
    <row r="331">
      <c r="A331" s="793" t="s">
        <v>901</v>
      </c>
      <c r="B331" s="794" t="s">
        <v>956</v>
      </c>
      <c r="C331" s="795" t="s">
        <v>63</v>
      </c>
      <c r="D331" s="788" t="s">
        <v>901</v>
      </c>
      <c r="E331" s="789">
        <v>42.0</v>
      </c>
    </row>
    <row r="332">
      <c r="A332" s="793" t="s">
        <v>135</v>
      </c>
      <c r="B332" s="794" t="s">
        <v>956</v>
      </c>
      <c r="C332" s="795" t="s">
        <v>63</v>
      </c>
      <c r="D332" s="788" t="s">
        <v>135</v>
      </c>
      <c r="E332" s="789">
        <v>44.0</v>
      </c>
    </row>
    <row r="333">
      <c r="A333" s="793" t="s">
        <v>575</v>
      </c>
      <c r="B333" s="794">
        <v>9.0</v>
      </c>
      <c r="C333" s="792">
        <v>0.1232876712328767</v>
      </c>
      <c r="D333" s="788" t="s">
        <v>575</v>
      </c>
      <c r="E333" s="789">
        <v>73.0</v>
      </c>
    </row>
    <row r="334">
      <c r="A334" s="793" t="s">
        <v>416</v>
      </c>
      <c r="B334" s="794">
        <v>7.0</v>
      </c>
      <c r="C334" s="792">
        <v>0.4117647058823529</v>
      </c>
      <c r="D334" s="788" t="s">
        <v>136</v>
      </c>
      <c r="E334" s="789">
        <v>24.0</v>
      </c>
    </row>
    <row r="335">
      <c r="A335" s="793" t="s">
        <v>138</v>
      </c>
      <c r="B335" s="794" t="s">
        <v>956</v>
      </c>
      <c r="C335" s="795" t="s">
        <v>63</v>
      </c>
      <c r="D335" s="788" t="s">
        <v>416</v>
      </c>
      <c r="E335" s="789">
        <v>17.0</v>
      </c>
    </row>
    <row r="336">
      <c r="A336" s="793" t="s">
        <v>720</v>
      </c>
      <c r="B336" s="794" t="s">
        <v>956</v>
      </c>
      <c r="C336" s="795" t="s">
        <v>63</v>
      </c>
      <c r="D336" s="788" t="s">
        <v>138</v>
      </c>
      <c r="E336" s="789">
        <v>35.0</v>
      </c>
    </row>
    <row r="337">
      <c r="A337" s="793" t="s">
        <v>902</v>
      </c>
      <c r="B337" s="794">
        <v>9.0</v>
      </c>
      <c r="C337" s="792">
        <v>0.4090909090909091</v>
      </c>
      <c r="D337" s="788" t="s">
        <v>720</v>
      </c>
      <c r="E337" s="789">
        <v>26.0</v>
      </c>
    </row>
    <row r="338">
      <c r="A338" s="793" t="s">
        <v>497</v>
      </c>
      <c r="B338" s="794">
        <v>6.0</v>
      </c>
      <c r="C338" s="792">
        <v>0.15789473684210525</v>
      </c>
      <c r="D338" s="788" t="s">
        <v>902</v>
      </c>
      <c r="E338" s="789">
        <v>22.0</v>
      </c>
    </row>
    <row r="339">
      <c r="A339" s="793" t="s">
        <v>721</v>
      </c>
      <c r="B339" s="794">
        <v>6.0</v>
      </c>
      <c r="C339" s="792">
        <v>0.1935483870967742</v>
      </c>
      <c r="D339" s="788" t="s">
        <v>497</v>
      </c>
      <c r="E339" s="789">
        <v>38.0</v>
      </c>
    </row>
    <row r="340">
      <c r="A340" s="793" t="s">
        <v>775</v>
      </c>
      <c r="B340" s="794">
        <v>8.0</v>
      </c>
      <c r="C340" s="792">
        <v>0.16</v>
      </c>
      <c r="D340" s="788" t="s">
        <v>587</v>
      </c>
      <c r="E340" s="789">
        <v>10.0</v>
      </c>
    </row>
    <row r="341">
      <c r="A341" s="793" t="s">
        <v>140</v>
      </c>
      <c r="B341" s="794" t="s">
        <v>956</v>
      </c>
      <c r="C341" s="795" t="s">
        <v>63</v>
      </c>
      <c r="D341" s="788" t="s">
        <v>721</v>
      </c>
      <c r="E341" s="789">
        <v>31.0</v>
      </c>
    </row>
    <row r="342">
      <c r="A342" s="793" t="s">
        <v>283</v>
      </c>
      <c r="B342" s="794" t="s">
        <v>956</v>
      </c>
      <c r="C342" s="795" t="s">
        <v>63</v>
      </c>
      <c r="D342" s="788" t="s">
        <v>775</v>
      </c>
      <c r="E342" s="789">
        <v>50.0</v>
      </c>
    </row>
    <row r="343">
      <c r="A343" s="793" t="s">
        <v>333</v>
      </c>
      <c r="B343" s="794" t="s">
        <v>956</v>
      </c>
      <c r="C343" s="795" t="s">
        <v>63</v>
      </c>
      <c r="D343" s="788" t="s">
        <v>140</v>
      </c>
      <c r="E343" s="789">
        <v>50.0</v>
      </c>
    </row>
    <row r="344">
      <c r="A344" s="793" t="s">
        <v>903</v>
      </c>
      <c r="B344" s="794" t="s">
        <v>956</v>
      </c>
      <c r="C344" s="795" t="s">
        <v>63</v>
      </c>
      <c r="D344" s="788" t="s">
        <v>283</v>
      </c>
      <c r="E344" s="789" t="s">
        <v>2684</v>
      </c>
    </row>
    <row r="345">
      <c r="A345" s="793" t="s">
        <v>50</v>
      </c>
      <c r="B345" s="794">
        <v>7.0</v>
      </c>
      <c r="C345" s="792">
        <v>0.21875</v>
      </c>
      <c r="D345" s="788" t="s">
        <v>333</v>
      </c>
      <c r="E345" s="789">
        <v>24.0</v>
      </c>
    </row>
    <row r="346">
      <c r="A346" s="793" t="s">
        <v>142</v>
      </c>
      <c r="B346" s="794" t="s">
        <v>956</v>
      </c>
      <c r="C346" s="795" t="s">
        <v>63</v>
      </c>
      <c r="D346" s="788" t="s">
        <v>903</v>
      </c>
      <c r="E346" s="789">
        <v>22.0</v>
      </c>
    </row>
    <row r="347">
      <c r="A347" s="793" t="s">
        <v>593</v>
      </c>
      <c r="B347" s="794">
        <v>38.0</v>
      </c>
      <c r="C347" s="792">
        <v>0.25675675675675674</v>
      </c>
      <c r="D347" s="788" t="s">
        <v>50</v>
      </c>
      <c r="E347" s="789">
        <v>32.0</v>
      </c>
    </row>
    <row r="348">
      <c r="A348" s="793" t="s">
        <v>143</v>
      </c>
      <c r="B348" s="794">
        <v>11.0</v>
      </c>
      <c r="C348" s="792">
        <v>0.21153846153846154</v>
      </c>
      <c r="D348" s="788" t="s">
        <v>142</v>
      </c>
      <c r="E348" s="789">
        <v>39.0</v>
      </c>
    </row>
    <row r="349">
      <c r="A349" s="793" t="s">
        <v>288</v>
      </c>
      <c r="B349" s="794">
        <v>33.0</v>
      </c>
      <c r="C349" s="792">
        <v>0.16751269035532995</v>
      </c>
      <c r="D349" s="788" t="s">
        <v>593</v>
      </c>
      <c r="E349" s="789">
        <v>148.0</v>
      </c>
    </row>
    <row r="350">
      <c r="A350" s="793" t="s">
        <v>598</v>
      </c>
      <c r="B350" s="794">
        <v>15.0</v>
      </c>
      <c r="C350" s="792">
        <v>0.23076923076923078</v>
      </c>
      <c r="D350" s="788" t="s">
        <v>143</v>
      </c>
      <c r="E350" s="789">
        <v>52.0</v>
      </c>
    </row>
    <row r="351">
      <c r="A351" s="793" t="s">
        <v>905</v>
      </c>
      <c r="B351" s="794">
        <v>8.0</v>
      </c>
      <c r="C351" s="792">
        <v>0.20512820512820512</v>
      </c>
      <c r="D351" s="788" t="s">
        <v>288</v>
      </c>
      <c r="E351" s="789">
        <v>197.0</v>
      </c>
    </row>
    <row r="352">
      <c r="A352" s="793" t="s">
        <v>147</v>
      </c>
      <c r="B352" s="794">
        <v>16.0</v>
      </c>
      <c r="C352" s="792">
        <v>0.11851851851851852</v>
      </c>
      <c r="D352" s="788" t="s">
        <v>598</v>
      </c>
      <c r="E352" s="789">
        <v>65.0</v>
      </c>
    </row>
    <row r="353">
      <c r="A353" s="793" t="s">
        <v>907</v>
      </c>
      <c r="B353" s="794">
        <v>131.0</v>
      </c>
      <c r="C353" s="792">
        <v>0.2076069730586371</v>
      </c>
      <c r="D353" s="788" t="s">
        <v>905</v>
      </c>
      <c r="E353" s="789">
        <v>39.0</v>
      </c>
    </row>
    <row r="354">
      <c r="A354" s="793" t="s">
        <v>908</v>
      </c>
      <c r="B354" s="794" t="s">
        <v>956</v>
      </c>
      <c r="C354" s="795" t="s">
        <v>63</v>
      </c>
      <c r="D354" s="788" t="s">
        <v>906</v>
      </c>
      <c r="E354" s="789">
        <v>36.0</v>
      </c>
    </row>
    <row r="355">
      <c r="A355" s="793" t="s">
        <v>909</v>
      </c>
      <c r="B355" s="794">
        <v>9.0</v>
      </c>
      <c r="C355" s="792">
        <v>0.3103448275862069</v>
      </c>
      <c r="D355" s="788" t="s">
        <v>147</v>
      </c>
      <c r="E355" s="789">
        <v>135.0</v>
      </c>
    </row>
    <row r="356">
      <c r="A356" s="793" t="s">
        <v>910</v>
      </c>
      <c r="B356" s="794">
        <v>12.0</v>
      </c>
      <c r="C356" s="792">
        <v>0.41379310344827586</v>
      </c>
      <c r="D356" s="788" t="s">
        <v>907</v>
      </c>
      <c r="E356" s="789">
        <v>631.0</v>
      </c>
    </row>
    <row r="357">
      <c r="A357" s="793" t="s">
        <v>151</v>
      </c>
      <c r="B357" s="794" t="s">
        <v>956</v>
      </c>
      <c r="C357" s="795" t="s">
        <v>63</v>
      </c>
      <c r="D357" s="788" t="s">
        <v>908</v>
      </c>
      <c r="E357" s="789">
        <v>22.0</v>
      </c>
    </row>
    <row r="358">
      <c r="A358" s="793" t="s">
        <v>912</v>
      </c>
      <c r="B358" s="794">
        <v>10.0</v>
      </c>
      <c r="C358" s="792">
        <v>0.13513513513513514</v>
      </c>
      <c r="D358" s="788" t="s">
        <v>909</v>
      </c>
      <c r="E358" s="789">
        <v>29.0</v>
      </c>
    </row>
    <row r="359">
      <c r="A359" s="793" t="s">
        <v>153</v>
      </c>
      <c r="B359" s="794">
        <v>29.0</v>
      </c>
      <c r="C359" s="792">
        <v>0.25663716814159293</v>
      </c>
      <c r="D359" s="788" t="s">
        <v>910</v>
      </c>
      <c r="E359" s="789">
        <v>29.0</v>
      </c>
    </row>
    <row r="360">
      <c r="A360" s="793" t="s">
        <v>154</v>
      </c>
      <c r="B360" s="794">
        <v>43.0</v>
      </c>
      <c r="C360" s="792">
        <v>0.23369565217391305</v>
      </c>
      <c r="D360" s="788" t="s">
        <v>151</v>
      </c>
      <c r="E360" s="789">
        <v>32.0</v>
      </c>
    </row>
    <row r="361">
      <c r="A361" s="793" t="s">
        <v>913</v>
      </c>
      <c r="B361" s="794">
        <v>7.0</v>
      </c>
      <c r="C361" s="792">
        <v>0.21212121212121213</v>
      </c>
      <c r="D361" s="788" t="s">
        <v>912</v>
      </c>
      <c r="E361" s="789">
        <v>74.0</v>
      </c>
    </row>
    <row r="362">
      <c r="A362" s="793" t="s">
        <v>610</v>
      </c>
      <c r="B362" s="794">
        <v>6.0</v>
      </c>
      <c r="C362" s="792">
        <v>0.1875</v>
      </c>
      <c r="D362" s="788" t="s">
        <v>153</v>
      </c>
      <c r="E362" s="789">
        <v>113.0</v>
      </c>
    </row>
    <row r="363">
      <c r="A363" s="793" t="s">
        <v>156</v>
      </c>
      <c r="B363" s="794">
        <v>8.0</v>
      </c>
      <c r="C363" s="792">
        <v>0.2962962962962963</v>
      </c>
      <c r="D363" s="788" t="s">
        <v>154</v>
      </c>
      <c r="E363" s="789">
        <v>184.0</v>
      </c>
    </row>
    <row r="364">
      <c r="A364" s="793" t="s">
        <v>157</v>
      </c>
      <c r="B364" s="794">
        <v>13.0</v>
      </c>
      <c r="C364" s="792">
        <v>0.22807017543859648</v>
      </c>
      <c r="D364" s="788" t="s">
        <v>913</v>
      </c>
      <c r="E364" s="789">
        <v>33.0</v>
      </c>
    </row>
    <row r="365">
      <c r="A365" s="793" t="s">
        <v>917</v>
      </c>
      <c r="B365" s="794">
        <v>12.0</v>
      </c>
      <c r="C365" s="792">
        <v>0.09090909090909091</v>
      </c>
      <c r="D365" s="788" t="s">
        <v>610</v>
      </c>
      <c r="E365" s="789">
        <v>32.0</v>
      </c>
    </row>
    <row r="366">
      <c r="A366" s="793" t="s">
        <v>2618</v>
      </c>
      <c r="B366" s="794">
        <v>7.0</v>
      </c>
      <c r="C366" s="792">
        <v>0.1111111111111111</v>
      </c>
      <c r="D366" s="788" t="s">
        <v>915</v>
      </c>
      <c r="E366" s="789">
        <v>17.0</v>
      </c>
    </row>
    <row r="367">
      <c r="A367" s="793" t="s">
        <v>515</v>
      </c>
      <c r="B367" s="794" t="s">
        <v>956</v>
      </c>
      <c r="C367" s="795" t="s">
        <v>63</v>
      </c>
      <c r="D367" s="788" t="s">
        <v>156</v>
      </c>
      <c r="E367" s="789">
        <v>27.0</v>
      </c>
    </row>
    <row r="368">
      <c r="A368" s="793" t="s">
        <v>927</v>
      </c>
      <c r="B368" s="794">
        <v>11.0</v>
      </c>
      <c r="C368" s="792">
        <v>0.16417910447761194</v>
      </c>
      <c r="D368" s="788" t="s">
        <v>157</v>
      </c>
      <c r="E368" s="789">
        <v>57.0</v>
      </c>
    </row>
    <row r="369">
      <c r="A369" s="793" t="s">
        <v>928</v>
      </c>
      <c r="B369" s="794" t="s">
        <v>956</v>
      </c>
      <c r="C369" s="795" t="s">
        <v>63</v>
      </c>
      <c r="D369" s="788" t="s">
        <v>917</v>
      </c>
      <c r="E369" s="789">
        <v>132.0</v>
      </c>
    </row>
    <row r="370">
      <c r="A370" s="793" t="s">
        <v>929</v>
      </c>
      <c r="B370" s="794">
        <v>12.0</v>
      </c>
      <c r="C370" s="792">
        <v>0.14814814814814814</v>
      </c>
      <c r="D370" s="788" t="s">
        <v>2618</v>
      </c>
      <c r="E370" s="789">
        <v>63.0</v>
      </c>
    </row>
    <row r="371">
      <c r="A371" s="793" t="s">
        <v>930</v>
      </c>
      <c r="B371" s="794" t="s">
        <v>956</v>
      </c>
      <c r="C371" s="795" t="s">
        <v>63</v>
      </c>
      <c r="D371" s="788" t="s">
        <v>515</v>
      </c>
      <c r="E371" s="789">
        <v>35.0</v>
      </c>
    </row>
    <row r="372">
      <c r="A372" s="793" t="s">
        <v>302</v>
      </c>
      <c r="B372" s="794">
        <v>189.0</v>
      </c>
      <c r="C372" s="792">
        <v>0.13423295454545456</v>
      </c>
      <c r="D372" s="788" t="s">
        <v>927</v>
      </c>
      <c r="E372" s="789">
        <v>67.0</v>
      </c>
    </row>
    <row r="373">
      <c r="A373" s="793" t="s">
        <v>931</v>
      </c>
      <c r="B373" s="794">
        <v>71.0</v>
      </c>
      <c r="C373" s="792">
        <v>0.18586387434554974</v>
      </c>
      <c r="D373" s="788" t="s">
        <v>928</v>
      </c>
      <c r="E373" s="789">
        <v>39.0</v>
      </c>
    </row>
    <row r="374">
      <c r="A374" s="793" t="s">
        <v>932</v>
      </c>
      <c r="B374" s="794">
        <v>10.0</v>
      </c>
      <c r="C374" s="792">
        <v>0.19230769230769232</v>
      </c>
      <c r="D374" s="788" t="s">
        <v>929</v>
      </c>
      <c r="E374" s="789">
        <v>81.0</v>
      </c>
    </row>
    <row r="375">
      <c r="A375" s="793" t="s">
        <v>935</v>
      </c>
      <c r="B375" s="794" t="s">
        <v>956</v>
      </c>
      <c r="C375" s="795" t="s">
        <v>63</v>
      </c>
      <c r="D375" s="788" t="s">
        <v>930</v>
      </c>
      <c r="E375" s="789">
        <v>22.0</v>
      </c>
    </row>
    <row r="376">
      <c r="A376" s="793" t="s">
        <v>936</v>
      </c>
      <c r="B376" s="794" t="s">
        <v>956</v>
      </c>
      <c r="C376" s="795" t="s">
        <v>63</v>
      </c>
      <c r="D376" s="788" t="s">
        <v>302</v>
      </c>
      <c r="E376" s="789">
        <v>1408.0</v>
      </c>
    </row>
    <row r="377">
      <c r="A377" s="793" t="s">
        <v>309</v>
      </c>
      <c r="B377" s="794">
        <v>53.0</v>
      </c>
      <c r="C377" s="792">
        <v>0.08717105263157894</v>
      </c>
      <c r="D377" s="788" t="s">
        <v>931</v>
      </c>
      <c r="E377" s="789">
        <v>382.0</v>
      </c>
    </row>
    <row r="378">
      <c r="A378" s="793" t="s">
        <v>168</v>
      </c>
      <c r="B378" s="794">
        <v>6.0</v>
      </c>
      <c r="C378" s="792">
        <v>0.18181818181818182</v>
      </c>
      <c r="D378" s="788" t="s">
        <v>932</v>
      </c>
      <c r="E378" s="789">
        <v>52.0</v>
      </c>
    </row>
    <row r="379">
      <c r="A379" s="793" t="s">
        <v>937</v>
      </c>
      <c r="B379" s="794">
        <v>10.0</v>
      </c>
      <c r="C379" s="792">
        <v>0.19607843137254902</v>
      </c>
      <c r="D379" s="788" t="s">
        <v>935</v>
      </c>
      <c r="E379" s="789">
        <v>10.0</v>
      </c>
    </row>
    <row r="380">
      <c r="A380" s="793" t="s">
        <v>939</v>
      </c>
      <c r="B380" s="794">
        <v>14.0</v>
      </c>
      <c r="C380" s="792">
        <v>0.08484848484848485</v>
      </c>
      <c r="D380" s="788" t="s">
        <v>936</v>
      </c>
      <c r="E380" s="789">
        <v>29.0</v>
      </c>
    </row>
    <row r="381">
      <c r="A381" s="793" t="s">
        <v>940</v>
      </c>
      <c r="B381" s="794">
        <v>20.0</v>
      </c>
      <c r="C381" s="792">
        <v>0.22727272727272727</v>
      </c>
      <c r="D381" s="788" t="s">
        <v>309</v>
      </c>
      <c r="E381" s="789">
        <v>608.0</v>
      </c>
    </row>
    <row r="382">
      <c r="A382" s="793" t="s">
        <v>526</v>
      </c>
      <c r="B382" s="794" t="s">
        <v>956</v>
      </c>
      <c r="C382" s="795" t="s">
        <v>63</v>
      </c>
      <c r="D382" s="788" t="s">
        <v>168</v>
      </c>
      <c r="E382" s="789">
        <v>33.0</v>
      </c>
    </row>
    <row r="383">
      <c r="A383" s="793" t="s">
        <v>316</v>
      </c>
      <c r="B383" s="794">
        <v>8.0</v>
      </c>
      <c r="C383" s="792">
        <v>0.1509433962264151</v>
      </c>
      <c r="D383" s="788" t="s">
        <v>937</v>
      </c>
      <c r="E383" s="789">
        <v>51.0</v>
      </c>
    </row>
    <row r="384">
      <c r="A384" s="793" t="s">
        <v>317</v>
      </c>
      <c r="B384" s="794" t="s">
        <v>956</v>
      </c>
      <c r="C384" s="795" t="s">
        <v>63</v>
      </c>
      <c r="D384" s="788" t="s">
        <v>939</v>
      </c>
      <c r="E384" s="789">
        <v>165.0</v>
      </c>
    </row>
    <row r="385">
      <c r="A385" s="793" t="s">
        <v>942</v>
      </c>
      <c r="B385" s="794">
        <v>34.0</v>
      </c>
      <c r="C385" s="792">
        <v>0.19318181818181818</v>
      </c>
      <c r="D385" s="788" t="s">
        <v>940</v>
      </c>
      <c r="E385" s="789">
        <v>88.0</v>
      </c>
    </row>
    <row r="386">
      <c r="A386" s="793" t="s">
        <v>647</v>
      </c>
      <c r="B386" s="794">
        <v>36.0</v>
      </c>
      <c r="C386" s="792">
        <v>0.23684210526315788</v>
      </c>
      <c r="D386" s="788" t="s">
        <v>526</v>
      </c>
      <c r="E386" s="789">
        <v>18.0</v>
      </c>
    </row>
    <row r="387">
      <c r="A387" s="793" t="s">
        <v>119</v>
      </c>
      <c r="B387" s="794">
        <v>12.0</v>
      </c>
      <c r="C387" s="792">
        <v>0.23529411764705882</v>
      </c>
      <c r="D387" s="788" t="s">
        <v>316</v>
      </c>
      <c r="E387" s="789">
        <v>53.0</v>
      </c>
    </row>
    <row r="388">
      <c r="A388" s="793" t="s">
        <v>648</v>
      </c>
      <c r="B388" s="794">
        <v>58.0</v>
      </c>
      <c r="C388" s="792">
        <v>0.3258426966292135</v>
      </c>
      <c r="D388" s="788" t="s">
        <v>317</v>
      </c>
      <c r="E388" s="789">
        <v>6.0</v>
      </c>
    </row>
    <row r="389">
      <c r="A389" s="793" t="s">
        <v>753</v>
      </c>
      <c r="B389" s="794">
        <v>6.0</v>
      </c>
      <c r="C389" s="792">
        <v>0.24</v>
      </c>
      <c r="D389" s="788" t="s">
        <v>942</v>
      </c>
      <c r="E389" s="789">
        <v>176.0</v>
      </c>
    </row>
    <row r="390">
      <c r="A390" s="793" t="s">
        <v>945</v>
      </c>
      <c r="B390" s="794" t="s">
        <v>956</v>
      </c>
      <c r="C390" s="795" t="s">
        <v>63</v>
      </c>
      <c r="D390" s="788" t="s">
        <v>647</v>
      </c>
      <c r="E390" s="789">
        <v>152.0</v>
      </c>
    </row>
    <row r="391">
      <c r="A391" s="793" t="s">
        <v>946</v>
      </c>
      <c r="B391" s="794">
        <v>67.0</v>
      </c>
      <c r="C391" s="792">
        <v>0.14855875831485588</v>
      </c>
      <c r="D391" s="788" t="s">
        <v>119</v>
      </c>
      <c r="E391" s="789">
        <v>51.0</v>
      </c>
    </row>
    <row r="392">
      <c r="A392" s="796" t="s">
        <v>949</v>
      </c>
      <c r="B392" s="797" t="s">
        <v>956</v>
      </c>
      <c r="C392" s="795" t="s">
        <v>63</v>
      </c>
      <c r="D392" s="788" t="s">
        <v>273</v>
      </c>
      <c r="E392" s="789">
        <v>10.0</v>
      </c>
    </row>
    <row r="393">
      <c r="A393" s="8" t="s">
        <v>923</v>
      </c>
      <c r="B393" s="798">
        <v>1471.0</v>
      </c>
      <c r="D393" s="788" t="s">
        <v>648</v>
      </c>
      <c r="E393" s="789">
        <v>178.0</v>
      </c>
    </row>
    <row r="394">
      <c r="D394" s="788" t="s">
        <v>753</v>
      </c>
      <c r="E394" s="789">
        <v>25.0</v>
      </c>
    </row>
    <row r="395">
      <c r="D395" s="788" t="s">
        <v>945</v>
      </c>
      <c r="E395" s="789">
        <v>23.0</v>
      </c>
    </row>
    <row r="396">
      <c r="D396" s="788" t="s">
        <v>946</v>
      </c>
      <c r="E396" s="789">
        <v>451.0</v>
      </c>
    </row>
    <row r="397">
      <c r="D397" s="788" t="s">
        <v>655</v>
      </c>
      <c r="E397" s="789">
        <v>13.0</v>
      </c>
    </row>
    <row r="398">
      <c r="D398" s="796" t="s">
        <v>949</v>
      </c>
      <c r="E398" s="797">
        <v>34.0</v>
      </c>
    </row>
    <row r="399">
      <c r="D399" s="8" t="s">
        <v>923</v>
      </c>
      <c r="E399" s="798">
        <v>9268.0</v>
      </c>
    </row>
  </sheetData>
  <drawing r:id="rId1"/>
  <tableParts count="1">
    <tablePart r:id="rId3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sheetData>
    <row r="1">
      <c r="A1" s="167"/>
      <c r="B1" s="168" t="s">
        <v>53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</row>
    <row r="2">
      <c r="A2" s="169" t="s">
        <v>172</v>
      </c>
      <c r="B2" s="170" t="s">
        <v>174</v>
      </c>
      <c r="C2" s="171" t="s">
        <v>693</v>
      </c>
      <c r="D2" s="608" t="s">
        <v>694</v>
      </c>
      <c r="E2" s="608" t="s">
        <v>695</v>
      </c>
      <c r="F2" s="608" t="s">
        <v>179</v>
      </c>
      <c r="G2" s="608" t="s">
        <v>696</v>
      </c>
      <c r="H2" s="173" t="s">
        <v>697</v>
      </c>
      <c r="I2" s="174" t="s">
        <v>84</v>
      </c>
      <c r="J2" s="170" t="s">
        <v>698</v>
      </c>
      <c r="K2" s="175" t="s">
        <v>699</v>
      </c>
      <c r="L2" s="173" t="s">
        <v>89</v>
      </c>
      <c r="M2" s="783" t="s">
        <v>700</v>
      </c>
      <c r="N2" s="177" t="s">
        <v>701</v>
      </c>
      <c r="O2" s="177" t="s">
        <v>702</v>
      </c>
      <c r="P2" s="178" t="s">
        <v>90</v>
      </c>
      <c r="Q2" s="179" t="s">
        <v>703</v>
      </c>
    </row>
    <row r="3">
      <c r="A3" s="609" t="s">
        <v>755</v>
      </c>
      <c r="B3" s="610">
        <f t="array" ref="B3">VLOOKUP($A3,KS_DEMO,2,FALSE)</f>
        <v>12526</v>
      </c>
      <c r="C3" s="611">
        <f>VLOOKUP($A3,'KS Data'!$A$3:$F$108,2,FALSE)</f>
        <v>55</v>
      </c>
      <c r="D3" s="612" t="s">
        <v>63</v>
      </c>
      <c r="E3" s="612">
        <f>VLOOKUP($A3,'KS Data'!$A$3:$F$108,3,FALSE)</f>
        <v>28</v>
      </c>
      <c r="F3" s="612">
        <f>VLOOKUP($A3,'KS Data'!$A$3:$F$108,4,FALSE)</f>
        <v>24</v>
      </c>
      <c r="G3" s="612" t="s">
        <v>63</v>
      </c>
      <c r="H3" s="671">
        <f>IFERROR(VLOOKUP($A3,'KS Data'!$A$146:$B$251,2,FALSE),"NULL")</f>
        <v>9</v>
      </c>
      <c r="I3" s="614" t="s">
        <v>63</v>
      </c>
      <c r="J3" s="615" t="s">
        <v>63</v>
      </c>
      <c r="K3" s="672" t="s">
        <v>63</v>
      </c>
      <c r="L3" s="785" t="s">
        <v>63</v>
      </c>
      <c r="M3" s="704" t="s">
        <v>63</v>
      </c>
      <c r="N3" s="729" t="s">
        <v>63</v>
      </c>
      <c r="O3" s="619" t="s">
        <v>63</v>
      </c>
      <c r="P3" s="620">
        <f>ifna(vlookup(A3,'Population &amp; Church Numbers'!$A$891:$D$995,4,FALSE),"NULL")</f>
        <v>27</v>
      </c>
      <c r="Q3" s="674" t="s">
        <v>63</v>
      </c>
    </row>
    <row r="4">
      <c r="A4" s="609" t="s">
        <v>954</v>
      </c>
      <c r="B4" s="610">
        <f t="array" ref="B4">VLOOKUP($A4,KS_DEMO,2,FALSE)</f>
        <v>7836</v>
      </c>
      <c r="C4" s="611">
        <f>VLOOKUP($A4,'KS Data'!$A$3:$F$108,2,FALSE)</f>
        <v>7</v>
      </c>
      <c r="D4" s="612" t="s">
        <v>63</v>
      </c>
      <c r="E4" s="612">
        <f>VLOOKUP($A4,'KS Data'!$A$3:$F$108,3,FALSE)</f>
        <v>4</v>
      </c>
      <c r="F4" s="612">
        <f>VLOOKUP($A4,'KS Data'!$A$3:$F$108,4,FALSE)</f>
        <v>1</v>
      </c>
      <c r="G4" s="612" t="s">
        <v>63</v>
      </c>
      <c r="H4" s="671">
        <f>IFERROR(VLOOKUP($A4,'KS Data'!$A$146:$B$251,2,FALSE),"NULL")</f>
        <v>7</v>
      </c>
      <c r="I4" s="614" t="s">
        <v>63</v>
      </c>
      <c r="J4" s="615" t="s">
        <v>63</v>
      </c>
      <c r="K4" s="672" t="s">
        <v>63</v>
      </c>
      <c r="L4" s="785" t="s">
        <v>63</v>
      </c>
      <c r="M4" s="704" t="s">
        <v>63</v>
      </c>
      <c r="N4" s="729" t="s">
        <v>63</v>
      </c>
      <c r="O4" s="619" t="s">
        <v>63</v>
      </c>
      <c r="P4" s="620">
        <f>ifna(vlookup(A4,'Population &amp; Church Numbers'!$A$891:$D$995,4,FALSE),"NULL")</f>
        <v>11</v>
      </c>
      <c r="Q4" s="674" t="s">
        <v>63</v>
      </c>
    </row>
    <row r="5">
      <c r="A5" s="609" t="s">
        <v>955</v>
      </c>
      <c r="B5" s="610">
        <f t="array" ref="B5">VLOOKUP($A5,KS_DEMO,2,FALSE)</f>
        <v>16348</v>
      </c>
      <c r="C5" s="611">
        <f>VLOOKUP($A5,'KS Data'!$A$3:$F$108,2,FALSE)</f>
        <v>53</v>
      </c>
      <c r="D5" s="612" t="s">
        <v>63</v>
      </c>
      <c r="E5" s="612">
        <f>VLOOKUP($A5,'KS Data'!$A$3:$F$108,3,FALSE)</f>
        <v>20</v>
      </c>
      <c r="F5" s="612">
        <f>VLOOKUP($A5,'KS Data'!$A$3:$F$108,4,FALSE)</f>
        <v>23</v>
      </c>
      <c r="G5" s="612" t="s">
        <v>63</v>
      </c>
      <c r="H5" s="671">
        <f>IFERROR(VLOOKUP($A5,'KS Data'!$A$146:$B$251,2,FALSE),"NULL")</f>
        <v>12</v>
      </c>
      <c r="I5" s="614" t="s">
        <v>63</v>
      </c>
      <c r="J5" s="615" t="s">
        <v>63</v>
      </c>
      <c r="K5" s="672" t="s">
        <v>63</v>
      </c>
      <c r="L5" s="785" t="s">
        <v>63</v>
      </c>
      <c r="M5" s="704" t="s">
        <v>63</v>
      </c>
      <c r="N5" s="729" t="s">
        <v>63</v>
      </c>
      <c r="O5" s="619" t="s">
        <v>63</v>
      </c>
      <c r="P5" s="620">
        <f>ifna(vlookup(A5,'Population &amp; Church Numbers'!$A$891:$D$995,4,FALSE),"NULL")</f>
        <v>22</v>
      </c>
      <c r="Q5" s="674" t="s">
        <v>63</v>
      </c>
    </row>
    <row r="6">
      <c r="A6" s="609" t="s">
        <v>957</v>
      </c>
      <c r="B6" s="610">
        <f t="array" ref="B6">VLOOKUP($A6,KS_DEMO,2,FALSE)</f>
        <v>4228</v>
      </c>
      <c r="C6" s="611">
        <f>VLOOKUP($A6,'KS Data'!$A$3:$F$108,2,FALSE)</f>
        <v>18</v>
      </c>
      <c r="D6" s="612" t="s">
        <v>63</v>
      </c>
      <c r="E6" s="612">
        <f>VLOOKUP($A6,'KS Data'!$A$3:$F$108,3,FALSE)</f>
        <v>4</v>
      </c>
      <c r="F6" s="612">
        <f>VLOOKUP($A6,'KS Data'!$A$3:$F$108,4,FALSE)</f>
        <v>6</v>
      </c>
      <c r="G6" s="612" t="s">
        <v>63</v>
      </c>
      <c r="H6" s="671">
        <f>IFERROR(VLOOKUP($A6,'KS Data'!$A$146:$B$251,2,FALSE),"NULL")</f>
        <v>2</v>
      </c>
      <c r="I6" s="614" t="s">
        <v>63</v>
      </c>
      <c r="J6" s="615" t="s">
        <v>63</v>
      </c>
      <c r="K6" s="672" t="s">
        <v>63</v>
      </c>
      <c r="L6" s="785" t="s">
        <v>63</v>
      </c>
      <c r="M6" s="704" t="s">
        <v>63</v>
      </c>
      <c r="N6" s="729" t="s">
        <v>63</v>
      </c>
      <c r="O6" s="619" t="s">
        <v>63</v>
      </c>
      <c r="P6" s="620">
        <f>ifna(vlookup(A6,'Population &amp; Church Numbers'!$A$891:$D$995,4,FALSE),"NULL")</f>
        <v>15</v>
      </c>
      <c r="Q6" s="674" t="s">
        <v>63</v>
      </c>
    </row>
    <row r="7">
      <c r="A7" s="609" t="s">
        <v>958</v>
      </c>
      <c r="B7" s="610">
        <f t="array" ref="B7">VLOOKUP($A7,KS_DEMO,2,FALSE)</f>
        <v>25493</v>
      </c>
      <c r="C7" s="611">
        <f>VLOOKUP($A7,'KS Data'!$A$3:$F$108,2,FALSE)</f>
        <v>83</v>
      </c>
      <c r="D7" s="612" t="s">
        <v>63</v>
      </c>
      <c r="E7" s="612">
        <f>VLOOKUP($A7,'KS Data'!$A$3:$F$108,3,FALSE)</f>
        <v>31</v>
      </c>
      <c r="F7" s="612">
        <f>VLOOKUP($A7,'KS Data'!$A$3:$F$108,4,FALSE)</f>
        <v>44</v>
      </c>
      <c r="G7" s="612" t="s">
        <v>63</v>
      </c>
      <c r="H7" s="671">
        <f>IFERROR(VLOOKUP($A7,'KS Data'!$A$146:$B$251,2,FALSE),"NULL")</f>
        <v>19</v>
      </c>
      <c r="I7" s="614" t="s">
        <v>63</v>
      </c>
      <c r="J7" s="615" t="s">
        <v>63</v>
      </c>
      <c r="K7" s="672" t="s">
        <v>63</v>
      </c>
      <c r="L7" s="785" t="s">
        <v>63</v>
      </c>
      <c r="M7" s="704" t="s">
        <v>63</v>
      </c>
      <c r="N7" s="729" t="s">
        <v>63</v>
      </c>
      <c r="O7" s="619" t="s">
        <v>63</v>
      </c>
      <c r="P7" s="620">
        <f>ifna(vlookup(A7,'Population &amp; Church Numbers'!$A$891:$D$995,4,FALSE),"NULL")</f>
        <v>50</v>
      </c>
      <c r="Q7" s="674" t="s">
        <v>63</v>
      </c>
    </row>
    <row r="8">
      <c r="A8" s="609" t="s">
        <v>959</v>
      </c>
      <c r="B8" s="610">
        <f t="array" ref="B8">VLOOKUP($A8,KS_DEMO,2,FALSE)</f>
        <v>14360</v>
      </c>
      <c r="C8" s="611">
        <f>VLOOKUP($A8,'KS Data'!$A$3:$F$108,2,FALSE)</f>
        <v>35</v>
      </c>
      <c r="D8" s="612" t="s">
        <v>63</v>
      </c>
      <c r="E8" s="612">
        <f>VLOOKUP($A8,'KS Data'!$A$3:$F$108,3,FALSE)</f>
        <v>16</v>
      </c>
      <c r="F8" s="612">
        <f>VLOOKUP($A8,'KS Data'!$A$3:$F$108,4,FALSE)</f>
        <v>14</v>
      </c>
      <c r="G8" s="612" t="s">
        <v>63</v>
      </c>
      <c r="H8" s="671">
        <f>IFERROR(VLOOKUP($A8,'KS Data'!$A$146:$B$251,2,FALSE),"NULL")</f>
        <v>17</v>
      </c>
      <c r="I8" s="614" t="s">
        <v>63</v>
      </c>
      <c r="J8" s="615" t="s">
        <v>63</v>
      </c>
      <c r="K8" s="672" t="s">
        <v>63</v>
      </c>
      <c r="L8" s="785" t="s">
        <v>63</v>
      </c>
      <c r="M8" s="704" t="s">
        <v>63</v>
      </c>
      <c r="N8" s="729" t="s">
        <v>63</v>
      </c>
      <c r="O8" s="619" t="s">
        <v>63</v>
      </c>
      <c r="P8" s="620">
        <f>ifna(vlookup(A8,'Population &amp; Church Numbers'!$A$891:$D$995,4,FALSE),"NULL")</f>
        <v>25</v>
      </c>
      <c r="Q8" s="674" t="s">
        <v>63</v>
      </c>
    </row>
    <row r="9">
      <c r="A9" s="609" t="s">
        <v>706</v>
      </c>
      <c r="B9" s="610">
        <f t="array" ref="B9">VLOOKUP($A9,KS_DEMO,2,FALSE)</f>
        <v>9508</v>
      </c>
      <c r="C9" s="611">
        <f>VLOOKUP($A9,'KS Data'!$A$3:$F$108,2,FALSE)</f>
        <v>79</v>
      </c>
      <c r="D9" s="612" t="s">
        <v>63</v>
      </c>
      <c r="E9" s="612">
        <f>VLOOKUP($A9,'KS Data'!$A$3:$F$108,3,FALSE)</f>
        <v>39</v>
      </c>
      <c r="F9" s="612">
        <f>VLOOKUP($A9,'KS Data'!$A$3:$F$108,4,FALSE)</f>
        <v>30</v>
      </c>
      <c r="G9" s="612" t="s">
        <v>63</v>
      </c>
      <c r="H9" s="671">
        <f>IFERROR(VLOOKUP($A9,'KS Data'!$A$146:$B$251,2,FALSE),"NULL")</f>
        <v>17</v>
      </c>
      <c r="I9" s="614" t="s">
        <v>63</v>
      </c>
      <c r="J9" s="615" t="s">
        <v>63</v>
      </c>
      <c r="K9" s="672" t="s">
        <v>63</v>
      </c>
      <c r="L9" s="785" t="s">
        <v>63</v>
      </c>
      <c r="M9" s="704" t="s">
        <v>63</v>
      </c>
      <c r="N9" s="729" t="s">
        <v>63</v>
      </c>
      <c r="O9" s="619" t="s">
        <v>63</v>
      </c>
      <c r="P9" s="620">
        <f>ifna(vlookup(A9,'Population &amp; Church Numbers'!$A$891:$D$995,4,FALSE),"NULL")</f>
        <v>25</v>
      </c>
      <c r="Q9" s="674" t="s">
        <v>63</v>
      </c>
    </row>
    <row r="10">
      <c r="A10" s="609" t="s">
        <v>87</v>
      </c>
      <c r="B10" s="610">
        <f t="array" ref="B10">VLOOKUP($A10,KS_DEMO,2,FALSE)</f>
        <v>67380</v>
      </c>
      <c r="C10" s="611">
        <f>VLOOKUP($A10,'KS Data'!$A$3:$F$108,2,FALSE)</f>
        <v>186</v>
      </c>
      <c r="D10" s="612" t="s">
        <v>63</v>
      </c>
      <c r="E10" s="612">
        <f>VLOOKUP($A10,'KS Data'!$A$3:$F$108,3,FALSE)</f>
        <v>92</v>
      </c>
      <c r="F10" s="612">
        <f>VLOOKUP($A10,'KS Data'!$A$3:$F$108,4,FALSE)</f>
        <v>58</v>
      </c>
      <c r="G10" s="612" t="s">
        <v>63</v>
      </c>
      <c r="H10" s="671">
        <f>IFERROR(VLOOKUP($A10,'KS Data'!$A$146:$B$251,2,FALSE),"NULL")</f>
        <v>79</v>
      </c>
      <c r="I10" s="614" t="s">
        <v>63</v>
      </c>
      <c r="J10" s="615" t="s">
        <v>63</v>
      </c>
      <c r="K10" s="672" t="s">
        <v>63</v>
      </c>
      <c r="L10" s="785" t="s">
        <v>63</v>
      </c>
      <c r="M10" s="704" t="s">
        <v>63</v>
      </c>
      <c r="N10" s="729" t="s">
        <v>63</v>
      </c>
      <c r="O10" s="619" t="s">
        <v>63</v>
      </c>
      <c r="P10" s="620">
        <f>ifna(vlookup(A10,'Population &amp; Church Numbers'!$A$891:$D$995,4,FALSE),"NULL")</f>
        <v>77</v>
      </c>
      <c r="Q10" s="674" t="s">
        <v>63</v>
      </c>
    </row>
    <row r="11">
      <c r="A11" s="609" t="s">
        <v>960</v>
      </c>
      <c r="B11" s="610">
        <f t="array" ref="B11">VLOOKUP($A11,KS_DEMO,2,FALSE)</f>
        <v>2572</v>
      </c>
      <c r="C11" s="611">
        <f>VLOOKUP($A11,'KS Data'!$A$3:$F$108,2,FALSE)</f>
        <v>5</v>
      </c>
      <c r="D11" s="612" t="s">
        <v>63</v>
      </c>
      <c r="E11" s="612">
        <f>VLOOKUP($A11,'KS Data'!$A$3:$F$108,3,FALSE)</f>
        <v>4</v>
      </c>
      <c r="F11" s="612">
        <f>VLOOKUP($A11,'KS Data'!$A$3:$F$108,4,FALSE)</f>
        <v>1</v>
      </c>
      <c r="G11" s="612" t="s">
        <v>63</v>
      </c>
      <c r="H11" s="671">
        <f>IFERROR(VLOOKUP($A11,'KS Data'!$A$146:$B$251,2,FALSE),"NULL")</f>
        <v>0</v>
      </c>
      <c r="I11" s="614" t="s">
        <v>63</v>
      </c>
      <c r="J11" s="615" t="s">
        <v>63</v>
      </c>
      <c r="K11" s="672" t="s">
        <v>63</v>
      </c>
      <c r="L11" s="785" t="s">
        <v>63</v>
      </c>
      <c r="M11" s="704" t="s">
        <v>63</v>
      </c>
      <c r="N11" s="729" t="s">
        <v>63</v>
      </c>
      <c r="O11" s="619" t="s">
        <v>63</v>
      </c>
      <c r="P11" s="620">
        <f>ifna(vlookup(A11,'Population &amp; Church Numbers'!$A$891:$D$995,4,FALSE),"NULL")</f>
        <v>3</v>
      </c>
      <c r="Q11" s="674" t="s">
        <v>63</v>
      </c>
    </row>
    <row r="12">
      <c r="A12" s="609" t="s">
        <v>961</v>
      </c>
      <c r="B12" s="610">
        <f t="array" ref="B12">VLOOKUP($A12,KS_DEMO,2,FALSE)</f>
        <v>3379</v>
      </c>
      <c r="C12" s="611">
        <f>VLOOKUP($A12,'KS Data'!$A$3:$F$108,2,FALSE)</f>
        <v>7</v>
      </c>
      <c r="D12" s="612" t="s">
        <v>63</v>
      </c>
      <c r="E12" s="612">
        <f>VLOOKUP($A12,'KS Data'!$A$3:$F$108,3,FALSE)</f>
        <v>3</v>
      </c>
      <c r="F12" s="612">
        <f>VLOOKUP($A12,'KS Data'!$A$3:$F$108,4,FALSE)</f>
        <v>1</v>
      </c>
      <c r="G12" s="612" t="s">
        <v>63</v>
      </c>
      <c r="H12" s="671">
        <f>IFERROR(VLOOKUP($A12,'KS Data'!$A$146:$B$251,2,FALSE),"NULL")</f>
        <v>0</v>
      </c>
      <c r="I12" s="614" t="s">
        <v>63</v>
      </c>
      <c r="J12" s="615" t="s">
        <v>63</v>
      </c>
      <c r="K12" s="672" t="s">
        <v>63</v>
      </c>
      <c r="L12" s="785" t="s">
        <v>63</v>
      </c>
      <c r="M12" s="704" t="s">
        <v>63</v>
      </c>
      <c r="N12" s="729" t="s">
        <v>63</v>
      </c>
      <c r="O12" s="619" t="s">
        <v>63</v>
      </c>
      <c r="P12" s="620">
        <f>ifna(vlookup(A12,'Population &amp; Church Numbers'!$A$891:$D$995,4,FALSE),"NULL")</f>
        <v>12</v>
      </c>
      <c r="Q12" s="674" t="s">
        <v>63</v>
      </c>
    </row>
    <row r="13">
      <c r="A13" s="609" t="s">
        <v>101</v>
      </c>
      <c r="B13" s="610">
        <f t="array" ref="B13">VLOOKUP($A13,KS_DEMO,2,FALSE)</f>
        <v>19362</v>
      </c>
      <c r="C13" s="611">
        <f>VLOOKUP($A13,'KS Data'!$A$3:$F$108,2,FALSE)</f>
        <v>39</v>
      </c>
      <c r="D13" s="612" t="s">
        <v>63</v>
      </c>
      <c r="E13" s="612">
        <f>VLOOKUP($A13,'KS Data'!$A$3:$F$108,3,FALSE)</f>
        <v>29</v>
      </c>
      <c r="F13" s="612">
        <f>VLOOKUP($A13,'KS Data'!$A$3:$F$108,4,FALSE)</f>
        <v>5</v>
      </c>
      <c r="G13" s="612" t="s">
        <v>63</v>
      </c>
      <c r="H13" s="671">
        <f>IFERROR(VLOOKUP($A13,'KS Data'!$A$146:$B$251,2,FALSE),"NULL")</f>
        <v>28</v>
      </c>
      <c r="I13" s="614" t="s">
        <v>63</v>
      </c>
      <c r="J13" s="615" t="s">
        <v>63</v>
      </c>
      <c r="K13" s="672" t="s">
        <v>63</v>
      </c>
      <c r="L13" s="785" t="s">
        <v>63</v>
      </c>
      <c r="M13" s="704" t="s">
        <v>63</v>
      </c>
      <c r="N13" s="729" t="s">
        <v>63</v>
      </c>
      <c r="O13" s="619" t="s">
        <v>63</v>
      </c>
      <c r="P13" s="620">
        <f>ifna(vlookup(A13,'Population &amp; Church Numbers'!$A$891:$D$995,4,FALSE),"NULL")</f>
        <v>26</v>
      </c>
      <c r="Q13" s="674" t="s">
        <v>63</v>
      </c>
    </row>
    <row r="14">
      <c r="A14" s="609" t="s">
        <v>399</v>
      </c>
      <c r="B14" s="610">
        <f t="array" ref="B14">VLOOKUP($A14,KS_DEMO,2,FALSE)</f>
        <v>2616</v>
      </c>
      <c r="C14" s="611">
        <f>VLOOKUP($A14,'KS Data'!$A$3:$F$108,2,FALSE)</f>
        <v>6</v>
      </c>
      <c r="D14" s="612" t="s">
        <v>63</v>
      </c>
      <c r="E14" s="612">
        <f>VLOOKUP($A14,'KS Data'!$A$3:$F$108,3,FALSE)</f>
        <v>6</v>
      </c>
      <c r="F14" s="612">
        <f>VLOOKUP($A14,'KS Data'!$A$3:$F$108,4,FALSE)</f>
        <v>0</v>
      </c>
      <c r="G14" s="612" t="s">
        <v>63</v>
      </c>
      <c r="H14" s="671">
        <f>IFERROR(VLOOKUP($A14,'KS Data'!$A$146:$B$251,2,FALSE),"NULL")</f>
        <v>2</v>
      </c>
      <c r="I14" s="614" t="s">
        <v>63</v>
      </c>
      <c r="J14" s="615" t="s">
        <v>63</v>
      </c>
      <c r="K14" s="672" t="s">
        <v>63</v>
      </c>
      <c r="L14" s="785" t="s">
        <v>63</v>
      </c>
      <c r="M14" s="704" t="s">
        <v>63</v>
      </c>
      <c r="N14" s="729" t="s">
        <v>63</v>
      </c>
      <c r="O14" s="619" t="s">
        <v>63</v>
      </c>
      <c r="P14" s="620">
        <f>ifna(vlookup(A14,'Population &amp; Church Numbers'!$A$891:$D$995,4,FALSE),"NULL")</f>
        <v>10</v>
      </c>
      <c r="Q14" s="674" t="s">
        <v>63</v>
      </c>
    </row>
    <row r="15">
      <c r="A15" s="609" t="s">
        <v>253</v>
      </c>
      <c r="B15" s="610">
        <f t="array" ref="B15">VLOOKUP($A15,KS_DEMO,2,FALSE)</f>
        <v>1991</v>
      </c>
      <c r="C15" s="611">
        <f>VLOOKUP($A15,'KS Data'!$A$3:$F$108,2,FALSE)</f>
        <v>7</v>
      </c>
      <c r="D15" s="612" t="s">
        <v>63</v>
      </c>
      <c r="E15" s="612">
        <f>VLOOKUP($A15,'KS Data'!$A$3:$F$108,3,FALSE)</f>
        <v>1</v>
      </c>
      <c r="F15" s="612">
        <f>VLOOKUP($A15,'KS Data'!$A$3:$F$108,4,FALSE)</f>
        <v>5</v>
      </c>
      <c r="G15" s="612" t="s">
        <v>63</v>
      </c>
      <c r="H15" s="671">
        <f>IFERROR(VLOOKUP($A15,'KS Data'!$A$146:$B$251,2,FALSE),"NULL")</f>
        <v>1</v>
      </c>
      <c r="I15" s="614" t="s">
        <v>63</v>
      </c>
      <c r="J15" s="615" t="s">
        <v>63</v>
      </c>
      <c r="K15" s="672" t="s">
        <v>63</v>
      </c>
      <c r="L15" s="785" t="s">
        <v>63</v>
      </c>
      <c r="M15" s="704" t="s">
        <v>63</v>
      </c>
      <c r="N15" s="729" t="s">
        <v>63</v>
      </c>
      <c r="O15" s="619" t="s">
        <v>63</v>
      </c>
      <c r="P15" s="620">
        <f>ifna(vlookup(A15,'Population &amp; Church Numbers'!$A$891:$D$995,4,FALSE),"NULL")</f>
        <v>7</v>
      </c>
      <c r="Q15" s="674" t="s">
        <v>63</v>
      </c>
    </row>
    <row r="16">
      <c r="A16" s="609" t="s">
        <v>112</v>
      </c>
      <c r="B16" s="610">
        <f t="array" ref="B16">VLOOKUP($A16,KS_DEMO,2,FALSE)</f>
        <v>8117</v>
      </c>
      <c r="C16" s="611">
        <f>VLOOKUP($A16,'KS Data'!$A$3:$F$108,2,FALSE)</f>
        <v>9</v>
      </c>
      <c r="D16" s="612" t="s">
        <v>63</v>
      </c>
      <c r="E16" s="612">
        <f>VLOOKUP($A16,'KS Data'!$A$3:$F$108,3,FALSE)</f>
        <v>4</v>
      </c>
      <c r="F16" s="612">
        <f>VLOOKUP($A16,'KS Data'!$A$3:$F$108,4,FALSE)</f>
        <v>2</v>
      </c>
      <c r="G16" s="612" t="s">
        <v>63</v>
      </c>
      <c r="H16" s="671">
        <f>IFERROR(VLOOKUP($A16,'KS Data'!$A$146:$B$251,2,FALSE),"NULL")</f>
        <v>2</v>
      </c>
      <c r="I16" s="614" t="s">
        <v>63</v>
      </c>
      <c r="J16" s="615" t="s">
        <v>63</v>
      </c>
      <c r="K16" s="672" t="s">
        <v>63</v>
      </c>
      <c r="L16" s="785" t="s">
        <v>63</v>
      </c>
      <c r="M16" s="704" t="s">
        <v>63</v>
      </c>
      <c r="N16" s="729" t="s">
        <v>63</v>
      </c>
      <c r="O16" s="619" t="s">
        <v>63</v>
      </c>
      <c r="P16" s="620">
        <f>ifna(vlookup(A16,'Population &amp; Church Numbers'!$A$891:$D$995,4,FALSE),"NULL")</f>
        <v>19</v>
      </c>
      <c r="Q16" s="674" t="s">
        <v>63</v>
      </c>
    </row>
    <row r="17">
      <c r="A17" s="609" t="s">
        <v>962</v>
      </c>
      <c r="B17" s="610">
        <f t="array" ref="B17">VLOOKUP($A17,KS_DEMO,2,FALSE)</f>
        <v>9032</v>
      </c>
      <c r="C17" s="611">
        <f>VLOOKUP($A17,'KS Data'!$A$3:$F$108,2,FALSE)</f>
        <v>21</v>
      </c>
      <c r="D17" s="612" t="s">
        <v>63</v>
      </c>
      <c r="E17" s="612">
        <f>VLOOKUP($A17,'KS Data'!$A$3:$F$108,3,FALSE)</f>
        <v>9</v>
      </c>
      <c r="F17" s="612">
        <f>VLOOKUP($A17,'KS Data'!$A$3:$F$108,4,FALSE)</f>
        <v>9</v>
      </c>
      <c r="G17" s="612" t="s">
        <v>63</v>
      </c>
      <c r="H17" s="671">
        <f>IFERROR(VLOOKUP($A17,'KS Data'!$A$146:$B$251,2,FALSE),"NULL")</f>
        <v>11</v>
      </c>
      <c r="I17" s="614" t="s">
        <v>63</v>
      </c>
      <c r="J17" s="615" t="s">
        <v>63</v>
      </c>
      <c r="K17" s="672" t="s">
        <v>63</v>
      </c>
      <c r="L17" s="785" t="s">
        <v>63</v>
      </c>
      <c r="M17" s="704" t="s">
        <v>63</v>
      </c>
      <c r="N17" s="729" t="s">
        <v>63</v>
      </c>
      <c r="O17" s="619" t="s">
        <v>63</v>
      </c>
      <c r="P17" s="620">
        <f>ifna(vlookup(A17,'Population &amp; Church Numbers'!$A$891:$D$995,4,FALSE),"NULL")</f>
        <v>18</v>
      </c>
      <c r="Q17" s="674" t="s">
        <v>63</v>
      </c>
    </row>
    <row r="18">
      <c r="A18" s="609" t="s">
        <v>963</v>
      </c>
      <c r="B18" s="610">
        <f t="array" ref="B18">VLOOKUP($A18,KS_DEMO,2,FALSE)</f>
        <v>8360</v>
      </c>
      <c r="C18" s="611">
        <f>VLOOKUP($A18,'KS Data'!$A$3:$F$108,2,FALSE)</f>
        <v>7</v>
      </c>
      <c r="D18" s="612" t="s">
        <v>63</v>
      </c>
      <c r="E18" s="612">
        <f>VLOOKUP($A18,'KS Data'!$A$3:$F$108,3,FALSE)</f>
        <v>6</v>
      </c>
      <c r="F18" s="612">
        <f>VLOOKUP($A18,'KS Data'!$A$3:$F$108,4,FALSE)</f>
        <v>0</v>
      </c>
      <c r="G18" s="612" t="s">
        <v>63</v>
      </c>
      <c r="H18" s="671">
        <f>IFERROR(VLOOKUP($A18,'KS Data'!$A$146:$B$251,2,FALSE),"NULL")</f>
        <v>15</v>
      </c>
      <c r="I18" s="614" t="s">
        <v>63</v>
      </c>
      <c r="J18" s="615" t="s">
        <v>63</v>
      </c>
      <c r="K18" s="672" t="s">
        <v>63</v>
      </c>
      <c r="L18" s="785" t="s">
        <v>63</v>
      </c>
      <c r="M18" s="704" t="s">
        <v>63</v>
      </c>
      <c r="N18" s="729" t="s">
        <v>63</v>
      </c>
      <c r="O18" s="619" t="s">
        <v>63</v>
      </c>
      <c r="P18" s="620">
        <f>ifna(vlookup(A18,'Population &amp; Church Numbers'!$A$891:$D$995,4,FALSE),"NULL")</f>
        <v>17</v>
      </c>
      <c r="Q18" s="674" t="s">
        <v>63</v>
      </c>
    </row>
    <row r="19">
      <c r="A19" s="609" t="s">
        <v>964</v>
      </c>
      <c r="B19" s="610">
        <f t="array" ref="B19">VLOOKUP($A19,KS_DEMO,2,FALSE)</f>
        <v>1689</v>
      </c>
      <c r="C19" s="611">
        <f>VLOOKUP($A19,'KS Data'!$A$3:$F$108,2,FALSE)</f>
        <v>11</v>
      </c>
      <c r="D19" s="612" t="s">
        <v>63</v>
      </c>
      <c r="E19" s="612">
        <f>VLOOKUP($A19,'KS Data'!$A$3:$F$108,3,FALSE)</f>
        <v>4</v>
      </c>
      <c r="F19" s="612">
        <f>VLOOKUP($A19,'KS Data'!$A$3:$F$108,4,FALSE)</f>
        <v>6</v>
      </c>
      <c r="G19" s="612" t="s">
        <v>63</v>
      </c>
      <c r="H19" s="671">
        <f>IFERROR(VLOOKUP($A19,'KS Data'!$A$146:$B$251,2,FALSE),"NULL")</f>
        <v>2</v>
      </c>
      <c r="I19" s="614" t="s">
        <v>63</v>
      </c>
      <c r="J19" s="615" t="s">
        <v>63</v>
      </c>
      <c r="K19" s="672" t="s">
        <v>63</v>
      </c>
      <c r="L19" s="785" t="s">
        <v>63</v>
      </c>
      <c r="M19" s="704" t="s">
        <v>63</v>
      </c>
      <c r="N19" s="729" t="s">
        <v>63</v>
      </c>
      <c r="O19" s="619" t="s">
        <v>63</v>
      </c>
      <c r="P19" s="620">
        <f>ifna(vlookup(A19,'Population &amp; Church Numbers'!$A$891:$D$995,4,FALSE),"NULL")</f>
        <v>3</v>
      </c>
      <c r="Q19" s="674" t="s">
        <v>63</v>
      </c>
    </row>
    <row r="20">
      <c r="A20" s="609" t="s">
        <v>965</v>
      </c>
      <c r="B20" s="610">
        <f t="array" ref="B20">VLOOKUP($A20,KS_DEMO,2,FALSE)</f>
        <v>34549</v>
      </c>
      <c r="C20" s="611">
        <f>VLOOKUP($A20,'KS Data'!$A$3:$F$108,2,FALSE)</f>
        <v>99</v>
      </c>
      <c r="D20" s="612" t="s">
        <v>63</v>
      </c>
      <c r="E20" s="612">
        <f>VLOOKUP($A20,'KS Data'!$A$3:$F$108,3,FALSE)</f>
        <v>55</v>
      </c>
      <c r="F20" s="612">
        <f>VLOOKUP($A20,'KS Data'!$A$3:$F$108,4,FALSE)</f>
        <v>34</v>
      </c>
      <c r="G20" s="612" t="s">
        <v>63</v>
      </c>
      <c r="H20" s="671">
        <f>IFERROR(VLOOKUP($A20,'KS Data'!$A$146:$B$251,2,FALSE),"NULL")</f>
        <v>39</v>
      </c>
      <c r="I20" s="614" t="s">
        <v>63</v>
      </c>
      <c r="J20" s="615" t="s">
        <v>63</v>
      </c>
      <c r="K20" s="672" t="s">
        <v>63</v>
      </c>
      <c r="L20" s="785" t="s">
        <v>63</v>
      </c>
      <c r="M20" s="704" t="s">
        <v>63</v>
      </c>
      <c r="N20" s="729" t="s">
        <v>63</v>
      </c>
      <c r="O20" s="619" t="s">
        <v>63</v>
      </c>
      <c r="P20" s="620">
        <f>ifna(vlookup(A20,'Population &amp; Church Numbers'!$A$891:$D$995,4,FALSE),"NULL")</f>
        <v>55</v>
      </c>
      <c r="Q20" s="674" t="s">
        <v>63</v>
      </c>
    </row>
    <row r="21">
      <c r="A21" s="609" t="s">
        <v>263</v>
      </c>
      <c r="B21" s="610">
        <f t="array" ref="B21">VLOOKUP($A21,KS_DEMO,2,FALSE)</f>
        <v>38972</v>
      </c>
      <c r="C21" s="611">
        <f>VLOOKUP($A21,'KS Data'!$A$3:$F$108,2,FALSE)</f>
        <v>137</v>
      </c>
      <c r="D21" s="612" t="s">
        <v>63</v>
      </c>
      <c r="E21" s="612">
        <f>VLOOKUP($A21,'KS Data'!$A$3:$F$108,3,FALSE)</f>
        <v>74</v>
      </c>
      <c r="F21" s="612">
        <f>VLOOKUP($A21,'KS Data'!$A$3:$F$108,4,FALSE)</f>
        <v>48</v>
      </c>
      <c r="G21" s="612" t="s">
        <v>63</v>
      </c>
      <c r="H21" s="671">
        <f>IFERROR(VLOOKUP($A21,'KS Data'!$A$146:$B$251,2,FALSE),"NULL")</f>
        <v>56</v>
      </c>
      <c r="I21" s="614" t="s">
        <v>63</v>
      </c>
      <c r="J21" s="615" t="s">
        <v>63</v>
      </c>
      <c r="K21" s="672" t="s">
        <v>63</v>
      </c>
      <c r="L21" s="785" t="s">
        <v>63</v>
      </c>
      <c r="M21" s="704" t="s">
        <v>63</v>
      </c>
      <c r="N21" s="729" t="s">
        <v>63</v>
      </c>
      <c r="O21" s="619" t="s">
        <v>63</v>
      </c>
      <c r="P21" s="620">
        <f>ifna(vlookup(A21,'Population &amp; Church Numbers'!$A$891:$D$995,4,FALSE),"NULL")</f>
        <v>49</v>
      </c>
      <c r="Q21" s="674" t="s">
        <v>63</v>
      </c>
    </row>
    <row r="22">
      <c r="A22" s="609" t="s">
        <v>563</v>
      </c>
      <c r="B22" s="610">
        <f t="array" ref="B22">VLOOKUP($A22,KS_DEMO,2,FALSE)</f>
        <v>2764</v>
      </c>
      <c r="C22" s="611">
        <f>VLOOKUP($A22,'KS Data'!$A$3:$F$108,2,FALSE)</f>
        <v>6</v>
      </c>
      <c r="D22" s="612" t="s">
        <v>63</v>
      </c>
      <c r="E22" s="612">
        <f>VLOOKUP($A22,'KS Data'!$A$3:$F$108,3,FALSE)</f>
        <v>1</v>
      </c>
      <c r="F22" s="612">
        <f>VLOOKUP($A22,'KS Data'!$A$3:$F$108,4,FALSE)</f>
        <v>3</v>
      </c>
      <c r="G22" s="612" t="s">
        <v>63</v>
      </c>
      <c r="H22" s="671">
        <f>IFERROR(VLOOKUP($A22,'KS Data'!$A$146:$B$251,2,FALSE),"NULL")</f>
        <v>0</v>
      </c>
      <c r="I22" s="614" t="s">
        <v>63</v>
      </c>
      <c r="J22" s="615" t="s">
        <v>63</v>
      </c>
      <c r="K22" s="672" t="s">
        <v>63</v>
      </c>
      <c r="L22" s="785" t="s">
        <v>63</v>
      </c>
      <c r="M22" s="704" t="s">
        <v>63</v>
      </c>
      <c r="N22" s="729" t="s">
        <v>63</v>
      </c>
      <c r="O22" s="619" t="s">
        <v>63</v>
      </c>
      <c r="P22" s="620">
        <f>ifna(vlookup(A22,'Population &amp; Church Numbers'!$A$891:$D$995,4,FALSE),"NULL")</f>
        <v>8</v>
      </c>
      <c r="Q22" s="674" t="s">
        <v>63</v>
      </c>
    </row>
    <row r="23">
      <c r="A23" s="609" t="s">
        <v>899</v>
      </c>
      <c r="B23" s="610">
        <f t="array" ref="B23">VLOOKUP($A23,KS_DEMO,2,FALSE)</f>
        <v>18402</v>
      </c>
      <c r="C23" s="611">
        <f>VLOOKUP($A23,'KS Data'!$A$3:$F$108,2,FALSE)</f>
        <v>46</v>
      </c>
      <c r="D23" s="612" t="s">
        <v>63</v>
      </c>
      <c r="E23" s="612">
        <f>VLOOKUP($A23,'KS Data'!$A$3:$F$108,3,FALSE)</f>
        <v>13</v>
      </c>
      <c r="F23" s="612">
        <f>VLOOKUP($A23,'KS Data'!$A$3:$F$108,4,FALSE)</f>
        <v>22</v>
      </c>
      <c r="G23" s="612" t="s">
        <v>63</v>
      </c>
      <c r="H23" s="671">
        <f>IFERROR(VLOOKUP($A23,'KS Data'!$A$146:$B$251,2,FALSE),"NULL")</f>
        <v>18</v>
      </c>
      <c r="I23" s="614" t="s">
        <v>63</v>
      </c>
      <c r="J23" s="615" t="s">
        <v>63</v>
      </c>
      <c r="K23" s="672" t="s">
        <v>63</v>
      </c>
      <c r="L23" s="785" t="s">
        <v>63</v>
      </c>
      <c r="M23" s="704" t="s">
        <v>63</v>
      </c>
      <c r="N23" s="729" t="s">
        <v>63</v>
      </c>
      <c r="O23" s="619" t="s">
        <v>63</v>
      </c>
      <c r="P23" s="620">
        <f>ifna(vlookup(A23,'Population &amp; Church Numbers'!$A$891:$D$995,4,FALSE),"NULL")</f>
        <v>37</v>
      </c>
      <c r="Q23" s="674" t="s">
        <v>63</v>
      </c>
    </row>
    <row r="24">
      <c r="A24" s="609" t="s">
        <v>967</v>
      </c>
      <c r="B24" s="610">
        <f t="array" ref="B24">VLOOKUP($A24,KS_DEMO,2,FALSE)</f>
        <v>7510</v>
      </c>
      <c r="C24" s="611">
        <f>VLOOKUP($A24,'KS Data'!$A$3:$F$108,2,FALSE)</f>
        <v>26</v>
      </c>
      <c r="D24" s="612" t="s">
        <v>63</v>
      </c>
      <c r="E24" s="612">
        <f>VLOOKUP($A24,'KS Data'!$A$3:$F$108,3,FALSE)</f>
        <v>12</v>
      </c>
      <c r="F24" s="612">
        <f>VLOOKUP($A24,'KS Data'!$A$3:$F$108,4,FALSE)</f>
        <v>11</v>
      </c>
      <c r="G24" s="612" t="s">
        <v>63</v>
      </c>
      <c r="H24" s="671">
        <f>IFERROR(VLOOKUP($A24,'KS Data'!$A$146:$B$251,2,FALSE),"NULL")</f>
        <v>6</v>
      </c>
      <c r="I24" s="614" t="s">
        <v>63</v>
      </c>
      <c r="J24" s="615" t="s">
        <v>63</v>
      </c>
      <c r="K24" s="672" t="s">
        <v>63</v>
      </c>
      <c r="L24" s="785" t="s">
        <v>63</v>
      </c>
      <c r="M24" s="704" t="s">
        <v>63</v>
      </c>
      <c r="N24" s="729" t="s">
        <v>63</v>
      </c>
      <c r="O24" s="619" t="s">
        <v>63</v>
      </c>
      <c r="P24" s="620">
        <f>ifna(vlookup(A24,'Population &amp; Church Numbers'!$A$891:$D$995,4,FALSE),"NULL")</f>
        <v>16</v>
      </c>
      <c r="Q24" s="674" t="s">
        <v>63</v>
      </c>
    </row>
    <row r="25">
      <c r="A25" s="609" t="s">
        <v>412</v>
      </c>
      <c r="B25" s="610">
        <f t="array" ref="B25">VLOOKUP($A25,KS_DEMO,2,FALSE)</f>
        <v>118785</v>
      </c>
      <c r="C25" s="611">
        <f>VLOOKUP($A25,'KS Data'!$A$3:$F$108,2,FALSE)</f>
        <v>145</v>
      </c>
      <c r="D25" s="612" t="s">
        <v>63</v>
      </c>
      <c r="E25" s="612">
        <f>VLOOKUP($A25,'KS Data'!$A$3:$F$108,3,FALSE)</f>
        <v>59</v>
      </c>
      <c r="F25" s="612">
        <f>VLOOKUP($A25,'KS Data'!$A$3:$F$108,4,FALSE)</f>
        <v>57</v>
      </c>
      <c r="G25" s="612" t="s">
        <v>63</v>
      </c>
      <c r="H25" s="671">
        <f>IFERROR(VLOOKUP($A25,'KS Data'!$A$146:$B$251,2,FALSE),"NULL")</f>
        <v>67</v>
      </c>
      <c r="I25" s="614" t="s">
        <v>63</v>
      </c>
      <c r="J25" s="615" t="s">
        <v>63</v>
      </c>
      <c r="K25" s="672" t="s">
        <v>63</v>
      </c>
      <c r="L25" s="785" t="s">
        <v>63</v>
      </c>
      <c r="M25" s="704" t="s">
        <v>63</v>
      </c>
      <c r="N25" s="729" t="s">
        <v>63</v>
      </c>
      <c r="O25" s="619" t="s">
        <v>63</v>
      </c>
      <c r="P25" s="620">
        <f>ifna(vlookup(A25,'Population &amp; Church Numbers'!$A$891:$D$995,4,FALSE),"NULL")</f>
        <v>87</v>
      </c>
      <c r="Q25" s="674" t="s">
        <v>63</v>
      </c>
    </row>
    <row r="26">
      <c r="A26" s="609" t="s">
        <v>717</v>
      </c>
      <c r="B26" s="610">
        <f t="array" ref="B26">VLOOKUP($A26,KS_DEMO,2,FALSE)</f>
        <v>2907</v>
      </c>
      <c r="C26" s="611">
        <f>VLOOKUP($A26,'KS Data'!$A$3:$F$108,2,FALSE)</f>
        <v>6</v>
      </c>
      <c r="D26" s="612" t="s">
        <v>63</v>
      </c>
      <c r="E26" s="612">
        <f>VLOOKUP($A26,'KS Data'!$A$3:$F$108,3,FALSE)</f>
        <v>2</v>
      </c>
      <c r="F26" s="612">
        <f>VLOOKUP($A26,'KS Data'!$A$3:$F$108,4,FALSE)</f>
        <v>2</v>
      </c>
      <c r="G26" s="612" t="s">
        <v>63</v>
      </c>
      <c r="H26" s="671">
        <f>IFERROR(VLOOKUP($A26,'KS Data'!$A$146:$B$251,2,FALSE),"NULL")</f>
        <v>1</v>
      </c>
      <c r="I26" s="614" t="s">
        <v>63</v>
      </c>
      <c r="J26" s="615" t="s">
        <v>63</v>
      </c>
      <c r="K26" s="672" t="s">
        <v>63</v>
      </c>
      <c r="L26" s="785" t="s">
        <v>63</v>
      </c>
      <c r="M26" s="704" t="s">
        <v>63</v>
      </c>
      <c r="N26" s="729" t="s">
        <v>63</v>
      </c>
      <c r="O26" s="619" t="s">
        <v>63</v>
      </c>
      <c r="P26" s="620">
        <f>ifna(vlookup(A26,'Population &amp; Church Numbers'!$A$891:$D$995,4,FALSE),"NULL")</f>
        <v>9</v>
      </c>
      <c r="Q26" s="674" t="s">
        <v>63</v>
      </c>
    </row>
    <row r="27">
      <c r="A27" s="609" t="s">
        <v>968</v>
      </c>
      <c r="B27" s="610">
        <f t="array" ref="B27">VLOOKUP($A27,KS_DEMO,2,FALSE)</f>
        <v>2483</v>
      </c>
      <c r="C27" s="611">
        <f>VLOOKUP($A27,'KS Data'!$A$3:$F$108,2,FALSE)</f>
        <v>7</v>
      </c>
      <c r="D27" s="612" t="s">
        <v>63</v>
      </c>
      <c r="E27" s="612">
        <f>VLOOKUP($A27,'KS Data'!$A$3:$F$108,3,FALSE)</f>
        <v>3</v>
      </c>
      <c r="F27" s="612">
        <f>VLOOKUP($A27,'KS Data'!$A$3:$F$108,4,FALSE)</f>
        <v>1</v>
      </c>
      <c r="G27" s="612" t="s">
        <v>63</v>
      </c>
      <c r="H27" s="671">
        <f>IFERROR(VLOOKUP($A27,'KS Data'!$A$146:$B$251,2,FALSE),"NULL")</f>
        <v>2</v>
      </c>
      <c r="I27" s="614" t="s">
        <v>63</v>
      </c>
      <c r="J27" s="615" t="s">
        <v>63</v>
      </c>
      <c r="K27" s="672" t="s">
        <v>63</v>
      </c>
      <c r="L27" s="785" t="s">
        <v>63</v>
      </c>
      <c r="M27" s="704" t="s">
        <v>63</v>
      </c>
      <c r="N27" s="729" t="s">
        <v>63</v>
      </c>
      <c r="O27" s="619" t="s">
        <v>63</v>
      </c>
      <c r="P27" s="620">
        <f>ifna(vlookup(A27,'Population &amp; Church Numbers'!$A$891:$D$995,4,FALSE),"NULL")</f>
        <v>7</v>
      </c>
      <c r="Q27" s="674" t="s">
        <v>63</v>
      </c>
    </row>
    <row r="28">
      <c r="A28" s="609" t="s">
        <v>969</v>
      </c>
      <c r="B28" s="610">
        <f t="array" ref="B28">VLOOKUP($A28,KS_DEMO,2,FALSE)</f>
        <v>28934</v>
      </c>
      <c r="C28" s="611">
        <f>VLOOKUP($A28,'KS Data'!$A$3:$F$108,2,FALSE)</f>
        <v>60</v>
      </c>
      <c r="D28" s="612" t="s">
        <v>63</v>
      </c>
      <c r="E28" s="612">
        <f>VLOOKUP($A28,'KS Data'!$A$3:$F$108,3,FALSE)</f>
        <v>28</v>
      </c>
      <c r="F28" s="612">
        <f>VLOOKUP($A28,'KS Data'!$A$3:$F$108,4,FALSE)</f>
        <v>24</v>
      </c>
      <c r="G28" s="612" t="s">
        <v>63</v>
      </c>
      <c r="H28" s="671">
        <f>IFERROR(VLOOKUP($A28,'KS Data'!$A$146:$B$251,2,FALSE),"NULL")</f>
        <v>21</v>
      </c>
      <c r="I28" s="614" t="s">
        <v>63</v>
      </c>
      <c r="J28" s="615" t="s">
        <v>63</v>
      </c>
      <c r="K28" s="672" t="s">
        <v>63</v>
      </c>
      <c r="L28" s="785" t="s">
        <v>63</v>
      </c>
      <c r="M28" s="704" t="s">
        <v>63</v>
      </c>
      <c r="N28" s="729" t="s">
        <v>63</v>
      </c>
      <c r="O28" s="619" t="s">
        <v>63</v>
      </c>
      <c r="P28" s="620">
        <f>ifna(vlookup(A28,'Population &amp; Church Numbers'!$A$891:$D$995,4,FALSE),"NULL")</f>
        <v>30</v>
      </c>
      <c r="Q28" s="674" t="s">
        <v>63</v>
      </c>
    </row>
    <row r="29">
      <c r="A29" s="609" t="s">
        <v>970</v>
      </c>
      <c r="B29" s="610">
        <f t="array" ref="B29">VLOOKUP($A29,KS_DEMO,2,FALSE)</f>
        <v>6376</v>
      </c>
      <c r="C29" s="611">
        <f>VLOOKUP($A29,'KS Data'!$A$3:$F$108,2,FALSE)</f>
        <v>11</v>
      </c>
      <c r="D29" s="612" t="s">
        <v>63</v>
      </c>
      <c r="E29" s="612">
        <f>VLOOKUP($A29,'KS Data'!$A$3:$F$108,3,FALSE)</f>
        <v>2</v>
      </c>
      <c r="F29" s="612">
        <f>VLOOKUP($A29,'KS Data'!$A$3:$F$108,4,FALSE)</f>
        <v>7</v>
      </c>
      <c r="G29" s="612" t="s">
        <v>63</v>
      </c>
      <c r="H29" s="671">
        <f>IFERROR(VLOOKUP($A29,'KS Data'!$A$146:$B$251,2,FALSE),"NULL")</f>
        <v>6</v>
      </c>
      <c r="I29" s="614" t="s">
        <v>63</v>
      </c>
      <c r="J29" s="615" t="s">
        <v>63</v>
      </c>
      <c r="K29" s="672" t="s">
        <v>63</v>
      </c>
      <c r="L29" s="785" t="s">
        <v>63</v>
      </c>
      <c r="M29" s="704" t="s">
        <v>63</v>
      </c>
      <c r="N29" s="729" t="s">
        <v>63</v>
      </c>
      <c r="O29" s="619" t="s">
        <v>63</v>
      </c>
      <c r="P29" s="620">
        <f>ifna(vlookup(A29,'Population &amp; Church Numbers'!$A$891:$D$995,4,FALSE),"NULL")</f>
        <v>13</v>
      </c>
      <c r="Q29" s="674" t="s">
        <v>63</v>
      </c>
    </row>
    <row r="30">
      <c r="A30" s="609" t="s">
        <v>971</v>
      </c>
      <c r="B30" s="610">
        <f t="array" ref="B30">VLOOKUP($A30,KS_DEMO,2,FALSE)</f>
        <v>38470</v>
      </c>
      <c r="C30" s="611">
        <f>VLOOKUP($A30,'KS Data'!$A$3:$F$108,2,FALSE)</f>
        <v>100</v>
      </c>
      <c r="D30" s="612" t="s">
        <v>63</v>
      </c>
      <c r="E30" s="612">
        <f>VLOOKUP($A30,'KS Data'!$A$3:$F$108,3,FALSE)</f>
        <v>57</v>
      </c>
      <c r="F30" s="612">
        <f>VLOOKUP($A30,'KS Data'!$A$3:$F$108,4,FALSE)</f>
        <v>34</v>
      </c>
      <c r="G30" s="612" t="s">
        <v>63</v>
      </c>
      <c r="H30" s="671">
        <f>IFERROR(VLOOKUP($A30,'KS Data'!$A$146:$B$251,2,FALSE),"NULL")</f>
        <v>42</v>
      </c>
      <c r="I30" s="614" t="s">
        <v>63</v>
      </c>
      <c r="J30" s="615" t="s">
        <v>63</v>
      </c>
      <c r="K30" s="672" t="s">
        <v>63</v>
      </c>
      <c r="L30" s="785" t="s">
        <v>63</v>
      </c>
      <c r="M30" s="704" t="s">
        <v>63</v>
      </c>
      <c r="N30" s="729" t="s">
        <v>63</v>
      </c>
      <c r="O30" s="619" t="s">
        <v>63</v>
      </c>
      <c r="P30" s="620">
        <f>ifna(vlookup(A30,'Population &amp; Church Numbers'!$A$891:$D$995,4,FALSE),"NULL")</f>
        <v>31</v>
      </c>
      <c r="Q30" s="674" t="s">
        <v>63</v>
      </c>
    </row>
    <row r="31">
      <c r="A31" s="609" t="s">
        <v>718</v>
      </c>
      <c r="B31" s="610">
        <f t="array" ref="B31">VLOOKUP($A31,KS_DEMO,2,FALSE)</f>
        <v>34287</v>
      </c>
      <c r="C31" s="611">
        <f>VLOOKUP($A31,'KS Data'!$A$3:$F$108,2,FALSE)</f>
        <v>63</v>
      </c>
      <c r="D31" s="612" t="s">
        <v>63</v>
      </c>
      <c r="E31" s="612">
        <f>VLOOKUP($A31,'KS Data'!$A$3:$F$108,3,FALSE)</f>
        <v>26</v>
      </c>
      <c r="F31" s="612">
        <f>VLOOKUP($A31,'KS Data'!$A$3:$F$108,4,FALSE)</f>
        <v>26</v>
      </c>
      <c r="G31" s="612" t="s">
        <v>63</v>
      </c>
      <c r="H31" s="671">
        <f>IFERROR(VLOOKUP($A31,'KS Data'!$A$146:$B$251,2,FALSE),"NULL")</f>
        <v>13</v>
      </c>
      <c r="I31" s="614" t="s">
        <v>63</v>
      </c>
      <c r="J31" s="615" t="s">
        <v>63</v>
      </c>
      <c r="K31" s="672" t="s">
        <v>63</v>
      </c>
      <c r="L31" s="785" t="s">
        <v>63</v>
      </c>
      <c r="M31" s="704" t="s">
        <v>63</v>
      </c>
      <c r="N31" s="729" t="s">
        <v>63</v>
      </c>
      <c r="O31" s="619" t="s">
        <v>63</v>
      </c>
      <c r="P31" s="620">
        <f>ifna(vlookup(A31,'Population &amp; Church Numbers'!$A$891:$D$995,4,FALSE),"NULL")</f>
        <v>27</v>
      </c>
      <c r="Q31" s="674" t="s">
        <v>63</v>
      </c>
    </row>
    <row r="32">
      <c r="A32" s="609" t="s">
        <v>136</v>
      </c>
      <c r="B32" s="610">
        <f t="array" ref="B32">VLOOKUP($A32,KS_DEMO,2,FALSE)</f>
        <v>25996</v>
      </c>
      <c r="C32" s="611">
        <f>VLOOKUP($A32,'KS Data'!$A$3:$F$108,2,FALSE)</f>
        <v>59</v>
      </c>
      <c r="D32" s="612" t="s">
        <v>63</v>
      </c>
      <c r="E32" s="612">
        <f>VLOOKUP($A32,'KS Data'!$A$3:$F$108,3,FALSE)</f>
        <v>28</v>
      </c>
      <c r="F32" s="612">
        <f>VLOOKUP($A32,'KS Data'!$A$3:$F$108,4,FALSE)</f>
        <v>18</v>
      </c>
      <c r="G32" s="612" t="s">
        <v>63</v>
      </c>
      <c r="H32" s="671">
        <f>IFERROR(VLOOKUP($A32,'KS Data'!$A$146:$B$251,2,FALSE),"NULL")</f>
        <v>14</v>
      </c>
      <c r="I32" s="614" t="s">
        <v>63</v>
      </c>
      <c r="J32" s="615" t="s">
        <v>63</v>
      </c>
      <c r="K32" s="672" t="s">
        <v>63</v>
      </c>
      <c r="L32" s="785" t="s">
        <v>63</v>
      </c>
      <c r="M32" s="704" t="s">
        <v>63</v>
      </c>
      <c r="N32" s="729" t="s">
        <v>63</v>
      </c>
      <c r="O32" s="619" t="s">
        <v>63</v>
      </c>
      <c r="P32" s="620">
        <f>ifna(vlookup(A32,'Population &amp; Church Numbers'!$A$891:$D$995,4,FALSE),"NULL")</f>
        <v>37</v>
      </c>
      <c r="Q32" s="674" t="s">
        <v>63</v>
      </c>
    </row>
    <row r="33">
      <c r="A33" s="609" t="s">
        <v>973</v>
      </c>
      <c r="B33" s="610">
        <f t="array" ref="B33">VLOOKUP($A33,KS_DEMO,2,FALSE)</f>
        <v>36739</v>
      </c>
      <c r="C33" s="611">
        <f>VLOOKUP($A33,'KS Data'!$A$3:$F$108,2,FALSE)</f>
        <v>54</v>
      </c>
      <c r="D33" s="612" t="s">
        <v>63</v>
      </c>
      <c r="E33" s="612">
        <f>VLOOKUP($A33,'KS Data'!$A$3:$F$108,3,FALSE)</f>
        <v>31</v>
      </c>
      <c r="F33" s="612">
        <f>VLOOKUP($A33,'KS Data'!$A$3:$F$108,4,FALSE)</f>
        <v>16</v>
      </c>
      <c r="G33" s="612" t="s">
        <v>63</v>
      </c>
      <c r="H33" s="671">
        <f>IFERROR(VLOOKUP($A33,'KS Data'!$A$146:$B$251,2,FALSE),"NULL")</f>
        <v>21</v>
      </c>
      <c r="I33" s="614" t="s">
        <v>63</v>
      </c>
      <c r="J33" s="615" t="s">
        <v>63</v>
      </c>
      <c r="K33" s="672" t="s">
        <v>63</v>
      </c>
      <c r="L33" s="785" t="s">
        <v>63</v>
      </c>
      <c r="M33" s="704" t="s">
        <v>63</v>
      </c>
      <c r="N33" s="729" t="s">
        <v>63</v>
      </c>
      <c r="O33" s="619" t="s">
        <v>63</v>
      </c>
      <c r="P33" s="620">
        <f>ifna(vlookup(A33,'Population &amp; Church Numbers'!$A$891:$D$995,4,FALSE),"NULL")</f>
        <v>38</v>
      </c>
      <c r="Q33" s="674" t="s">
        <v>63</v>
      </c>
    </row>
    <row r="34">
      <c r="A34" s="609" t="s">
        <v>974</v>
      </c>
      <c r="B34" s="610">
        <f t="array" ref="B34">VLOOKUP($A34,KS_DEMO,2,FALSE)</f>
        <v>2718</v>
      </c>
      <c r="C34" s="611">
        <f>VLOOKUP($A34,'KS Data'!$A$3:$F$108,2,FALSE)</f>
        <v>6</v>
      </c>
      <c r="D34" s="612" t="s">
        <v>63</v>
      </c>
      <c r="E34" s="612">
        <f>VLOOKUP($A34,'KS Data'!$A$3:$F$108,3,FALSE)</f>
        <v>0</v>
      </c>
      <c r="F34" s="612">
        <f>VLOOKUP($A34,'KS Data'!$A$3:$F$108,4,FALSE)</f>
        <v>5</v>
      </c>
      <c r="G34" s="612" t="s">
        <v>63</v>
      </c>
      <c r="H34" s="671">
        <f>IFERROR(VLOOKUP($A34,'KS Data'!$A$146:$B$251,2,FALSE),"NULL")</f>
        <v>4</v>
      </c>
      <c r="I34" s="614" t="s">
        <v>63</v>
      </c>
      <c r="J34" s="615" t="s">
        <v>63</v>
      </c>
      <c r="K34" s="672" t="s">
        <v>63</v>
      </c>
      <c r="L34" s="785" t="s">
        <v>63</v>
      </c>
      <c r="M34" s="704" t="s">
        <v>63</v>
      </c>
      <c r="N34" s="729" t="s">
        <v>63</v>
      </c>
      <c r="O34" s="619" t="s">
        <v>63</v>
      </c>
      <c r="P34" s="620">
        <f>ifna(vlookup(A34,'Population &amp; Church Numbers'!$A$891:$D$995,4,FALSE),"NULL")</f>
        <v>8</v>
      </c>
      <c r="Q34" s="674" t="s">
        <v>63</v>
      </c>
    </row>
    <row r="35">
      <c r="A35" s="609" t="s">
        <v>224</v>
      </c>
      <c r="B35" s="610">
        <f t="array" ref="B35">VLOOKUP($A35,KS_DEMO,2,FALSE)</f>
        <v>2415</v>
      </c>
      <c r="C35" s="611">
        <f>VLOOKUP($A35,'KS Data'!$A$3:$F$108,2,FALSE)</f>
        <v>4</v>
      </c>
      <c r="D35" s="612" t="s">
        <v>63</v>
      </c>
      <c r="E35" s="612">
        <f>VLOOKUP($A35,'KS Data'!$A$3:$F$108,3,FALSE)</f>
        <v>1</v>
      </c>
      <c r="F35" s="612">
        <f>VLOOKUP($A35,'KS Data'!$A$3:$F$108,4,FALSE)</f>
        <v>3</v>
      </c>
      <c r="G35" s="612" t="s">
        <v>63</v>
      </c>
      <c r="H35" s="671">
        <f>IFERROR(VLOOKUP($A35,'KS Data'!$A$146:$B$251,2,FALSE),"NULL")</f>
        <v>2</v>
      </c>
      <c r="I35" s="614" t="s">
        <v>63</v>
      </c>
      <c r="J35" s="615" t="s">
        <v>63</v>
      </c>
      <c r="K35" s="672" t="s">
        <v>63</v>
      </c>
      <c r="L35" s="785" t="s">
        <v>63</v>
      </c>
      <c r="M35" s="704" t="s">
        <v>63</v>
      </c>
      <c r="N35" s="729" t="s">
        <v>63</v>
      </c>
      <c r="O35" s="619" t="s">
        <v>63</v>
      </c>
      <c r="P35" s="620">
        <f>ifna(vlookup(A35,'Population &amp; Church Numbers'!$A$891:$D$995,4,FALSE),"NULL")</f>
        <v>11</v>
      </c>
      <c r="Q35" s="674" t="s">
        <v>63</v>
      </c>
    </row>
    <row r="36">
      <c r="A36" s="609" t="s">
        <v>278</v>
      </c>
      <c r="B36" s="610">
        <f t="array" ref="B36">VLOOKUP($A36,KS_DEMO,2,FALSE)</f>
        <v>7352</v>
      </c>
      <c r="C36" s="611">
        <f>VLOOKUP($A36,'KS Data'!$A$3:$F$108,2,FALSE)</f>
        <v>5</v>
      </c>
      <c r="D36" s="612" t="s">
        <v>63</v>
      </c>
      <c r="E36" s="612">
        <f>VLOOKUP($A36,'KS Data'!$A$3:$F$108,3,FALSE)</f>
        <v>1</v>
      </c>
      <c r="F36" s="612">
        <f>VLOOKUP($A36,'KS Data'!$A$3:$F$108,4,FALSE)</f>
        <v>4</v>
      </c>
      <c r="G36" s="612" t="s">
        <v>63</v>
      </c>
      <c r="H36" s="671">
        <f>IFERROR(VLOOKUP($A36,'KS Data'!$A$146:$B$251,2,FALSE),"NULL")</f>
        <v>2</v>
      </c>
      <c r="I36" s="614" t="s">
        <v>63</v>
      </c>
      <c r="J36" s="615" t="s">
        <v>63</v>
      </c>
      <c r="K36" s="672" t="s">
        <v>63</v>
      </c>
      <c r="L36" s="785" t="s">
        <v>63</v>
      </c>
      <c r="M36" s="704" t="s">
        <v>63</v>
      </c>
      <c r="N36" s="729" t="s">
        <v>63</v>
      </c>
      <c r="O36" s="619" t="s">
        <v>63</v>
      </c>
      <c r="P36" s="620">
        <f>ifna(vlookup(A36,'Population &amp; Church Numbers'!$A$891:$D$995,4,FALSE),"NULL")</f>
        <v>18</v>
      </c>
      <c r="Q36" s="674" t="s">
        <v>63</v>
      </c>
    </row>
    <row r="37">
      <c r="A37" s="609" t="s">
        <v>975</v>
      </c>
      <c r="B37" s="610">
        <f t="array" ref="B37">VLOOKUP($A37,KS_DEMO,2,FALSE)</f>
        <v>5653</v>
      </c>
      <c r="C37" s="611">
        <f>VLOOKUP($A37,'KS Data'!$A$3:$F$108,2,FALSE)</f>
        <v>3</v>
      </c>
      <c r="D37" s="612" t="s">
        <v>63</v>
      </c>
      <c r="E37" s="612">
        <f>VLOOKUP($A37,'KS Data'!$A$3:$F$108,3,FALSE)</f>
        <v>1</v>
      </c>
      <c r="F37" s="612">
        <f>VLOOKUP($A37,'KS Data'!$A$3:$F$108,4,FALSE)</f>
        <v>0</v>
      </c>
      <c r="G37" s="612" t="s">
        <v>63</v>
      </c>
      <c r="H37" s="671">
        <f>IFERROR(VLOOKUP($A37,'KS Data'!$A$146:$B$251,2,FALSE),"NULL")</f>
        <v>2</v>
      </c>
      <c r="I37" s="614" t="s">
        <v>63</v>
      </c>
      <c r="J37" s="615" t="s">
        <v>63</v>
      </c>
      <c r="K37" s="672" t="s">
        <v>63</v>
      </c>
      <c r="L37" s="785" t="s">
        <v>63</v>
      </c>
      <c r="M37" s="704" t="s">
        <v>63</v>
      </c>
      <c r="N37" s="729" t="s">
        <v>63</v>
      </c>
      <c r="O37" s="619" t="s">
        <v>63</v>
      </c>
      <c r="P37" s="620">
        <f>ifna(vlookup(A37,'Population &amp; Church Numbers'!$A$891:$D$995,4,FALSE),"NULL")</f>
        <v>17</v>
      </c>
      <c r="Q37" s="674" t="s">
        <v>63</v>
      </c>
    </row>
    <row r="38">
      <c r="A38" s="609" t="s">
        <v>976</v>
      </c>
      <c r="B38" s="610">
        <f t="array" ref="B38">VLOOKUP($A38,KS_DEMO,2,FALSE)</f>
        <v>1284</v>
      </c>
      <c r="C38" s="611">
        <f>VLOOKUP($A38,'KS Data'!$A$3:$F$108,2,FALSE)</f>
        <v>0</v>
      </c>
      <c r="D38" s="612" t="s">
        <v>63</v>
      </c>
      <c r="E38" s="612">
        <f>VLOOKUP($A38,'KS Data'!$A$3:$F$108,3,FALSE)</f>
        <v>0</v>
      </c>
      <c r="F38" s="612">
        <f>VLOOKUP($A38,'KS Data'!$A$3:$F$108,4,FALSE)</f>
        <v>0</v>
      </c>
      <c r="G38" s="612" t="s">
        <v>63</v>
      </c>
      <c r="H38" s="671">
        <f>IFERROR(VLOOKUP($A38,'KS Data'!$A$146:$B$251,2,FALSE),"NULL")</f>
        <v>0</v>
      </c>
      <c r="I38" s="614" t="s">
        <v>63</v>
      </c>
      <c r="J38" s="615" t="s">
        <v>63</v>
      </c>
      <c r="K38" s="672" t="s">
        <v>63</v>
      </c>
      <c r="L38" s="785" t="s">
        <v>63</v>
      </c>
      <c r="M38" s="704" t="s">
        <v>63</v>
      </c>
      <c r="N38" s="729" t="s">
        <v>63</v>
      </c>
      <c r="O38" s="619" t="s">
        <v>63</v>
      </c>
      <c r="P38" s="620">
        <f>ifna(vlookup(A38,'Population &amp; Church Numbers'!$A$891:$D$995,4,FALSE),"NULL")</f>
        <v>3</v>
      </c>
      <c r="Q38" s="674" t="s">
        <v>63</v>
      </c>
    </row>
    <row r="39">
      <c r="A39" s="609" t="s">
        <v>977</v>
      </c>
      <c r="B39" s="610">
        <f t="array" ref="B39">VLOOKUP($A39,KS_DEMO,2,FALSE)</f>
        <v>6016</v>
      </c>
      <c r="C39" s="611">
        <f>VLOOKUP($A39,'KS Data'!$A$3:$F$108,2,FALSE)</f>
        <v>32</v>
      </c>
      <c r="D39" s="612" t="s">
        <v>63</v>
      </c>
      <c r="E39" s="612">
        <f>VLOOKUP($A39,'KS Data'!$A$3:$F$108,3,FALSE)</f>
        <v>13</v>
      </c>
      <c r="F39" s="612">
        <f>VLOOKUP($A39,'KS Data'!$A$3:$F$108,4,FALSE)</f>
        <v>9</v>
      </c>
      <c r="G39" s="612" t="s">
        <v>63</v>
      </c>
      <c r="H39" s="671">
        <f>IFERROR(VLOOKUP($A39,'KS Data'!$A$146:$B$251,2,FALSE),"NULL")</f>
        <v>5</v>
      </c>
      <c r="I39" s="614" t="s">
        <v>63</v>
      </c>
      <c r="J39" s="615" t="s">
        <v>63</v>
      </c>
      <c r="K39" s="672" t="s">
        <v>63</v>
      </c>
      <c r="L39" s="785" t="s">
        <v>63</v>
      </c>
      <c r="M39" s="704" t="s">
        <v>63</v>
      </c>
      <c r="N39" s="729" t="s">
        <v>63</v>
      </c>
      <c r="O39" s="619" t="s">
        <v>63</v>
      </c>
      <c r="P39" s="620">
        <f>ifna(vlookup(A39,'Population &amp; Church Numbers'!$A$891:$D$995,4,FALSE),"NULL")</f>
        <v>14</v>
      </c>
      <c r="Q39" s="674" t="s">
        <v>63</v>
      </c>
    </row>
    <row r="40">
      <c r="A40" s="609" t="s">
        <v>497</v>
      </c>
      <c r="B40" s="610">
        <f t="array" ref="B40">VLOOKUP($A40,KS_DEMO,2,FALSE)</f>
        <v>2518</v>
      </c>
      <c r="C40" s="611">
        <f>VLOOKUP($A40,'KS Data'!$A$3:$F$108,2,FALSE)</f>
        <v>8</v>
      </c>
      <c r="D40" s="612" t="s">
        <v>63</v>
      </c>
      <c r="E40" s="612">
        <f>VLOOKUP($A40,'KS Data'!$A$3:$F$108,3,FALSE)</f>
        <v>4</v>
      </c>
      <c r="F40" s="612">
        <f>VLOOKUP($A40,'KS Data'!$A$3:$F$108,4,FALSE)</f>
        <v>1</v>
      </c>
      <c r="G40" s="612" t="s">
        <v>63</v>
      </c>
      <c r="H40" s="671">
        <f>IFERROR(VLOOKUP($A40,'KS Data'!$A$146:$B$251,2,FALSE),"NULL")</f>
        <v>2</v>
      </c>
      <c r="I40" s="614" t="s">
        <v>63</v>
      </c>
      <c r="J40" s="615" t="s">
        <v>63</v>
      </c>
      <c r="K40" s="672" t="s">
        <v>63</v>
      </c>
      <c r="L40" s="785" t="s">
        <v>63</v>
      </c>
      <c r="M40" s="704" t="s">
        <v>63</v>
      </c>
      <c r="N40" s="729" t="s">
        <v>63</v>
      </c>
      <c r="O40" s="619" t="s">
        <v>63</v>
      </c>
      <c r="P40" s="620">
        <f>ifna(vlookup(A40,'Population &amp; Church Numbers'!$A$891:$D$995,4,FALSE),"NULL")</f>
        <v>7</v>
      </c>
      <c r="Q40" s="674" t="s">
        <v>63</v>
      </c>
    </row>
    <row r="41">
      <c r="A41" s="609" t="s">
        <v>978</v>
      </c>
      <c r="B41" s="610">
        <f t="array" ref="B41">VLOOKUP($A41,KS_DEMO,2,FALSE)</f>
        <v>5485</v>
      </c>
      <c r="C41" s="611">
        <f>VLOOKUP($A41,'KS Data'!$A$3:$F$108,2,FALSE)</f>
        <v>25</v>
      </c>
      <c r="D41" s="612" t="s">
        <v>63</v>
      </c>
      <c r="E41" s="612">
        <f>VLOOKUP($A41,'KS Data'!$A$3:$F$108,3,FALSE)</f>
        <v>11</v>
      </c>
      <c r="F41" s="612">
        <f>VLOOKUP($A41,'KS Data'!$A$3:$F$108,4,FALSE)</f>
        <v>10</v>
      </c>
      <c r="G41" s="612" t="s">
        <v>63</v>
      </c>
      <c r="H41" s="671">
        <f>IFERROR(VLOOKUP($A41,'KS Data'!$A$146:$B$251,2,FALSE),"NULL")</f>
        <v>7</v>
      </c>
      <c r="I41" s="614" t="s">
        <v>63</v>
      </c>
      <c r="J41" s="615" t="s">
        <v>63</v>
      </c>
      <c r="K41" s="672" t="s">
        <v>63</v>
      </c>
      <c r="L41" s="785" t="s">
        <v>63</v>
      </c>
      <c r="M41" s="704" t="s">
        <v>63</v>
      </c>
      <c r="N41" s="729" t="s">
        <v>63</v>
      </c>
      <c r="O41" s="619" t="s">
        <v>63</v>
      </c>
      <c r="P41" s="620">
        <f>ifna(vlookup(A41,'Population &amp; Church Numbers'!$A$891:$D$995,4,FALSE),"NULL")</f>
        <v>19</v>
      </c>
      <c r="Q41" s="674" t="s">
        <v>63</v>
      </c>
    </row>
    <row r="42">
      <c r="A42" s="609" t="s">
        <v>979</v>
      </c>
      <c r="B42" s="610">
        <f t="array" ref="B42">VLOOKUP($A42,KS_DEMO,2,FALSE)</f>
        <v>34024</v>
      </c>
      <c r="C42" s="611">
        <f>VLOOKUP($A42,'KS Data'!$A$3:$F$108,2,FALSE)</f>
        <v>59</v>
      </c>
      <c r="D42" s="612" t="s">
        <v>63</v>
      </c>
      <c r="E42" s="612">
        <f>VLOOKUP($A42,'KS Data'!$A$3:$F$108,3,FALSE)</f>
        <v>27</v>
      </c>
      <c r="F42" s="612">
        <f>VLOOKUP($A42,'KS Data'!$A$3:$F$108,4,FALSE)</f>
        <v>21</v>
      </c>
      <c r="G42" s="612" t="s">
        <v>63</v>
      </c>
      <c r="H42" s="671">
        <f>IFERROR(VLOOKUP($A42,'KS Data'!$A$146:$B$251,2,FALSE),"NULL")</f>
        <v>25</v>
      </c>
      <c r="I42" s="614" t="s">
        <v>63</v>
      </c>
      <c r="J42" s="615" t="s">
        <v>63</v>
      </c>
      <c r="K42" s="672" t="s">
        <v>63</v>
      </c>
      <c r="L42" s="785" t="s">
        <v>63</v>
      </c>
      <c r="M42" s="704" t="s">
        <v>63</v>
      </c>
      <c r="N42" s="729" t="s">
        <v>63</v>
      </c>
      <c r="O42" s="619" t="s">
        <v>63</v>
      </c>
      <c r="P42" s="620">
        <f>ifna(vlookup(A42,'Population &amp; Church Numbers'!$A$891:$D$995,4,FALSE),"NULL")</f>
        <v>59</v>
      </c>
      <c r="Q42" s="674" t="s">
        <v>63</v>
      </c>
    </row>
    <row r="43">
      <c r="A43" s="609" t="s">
        <v>980</v>
      </c>
      <c r="B43" s="610">
        <f t="array" ref="B43">VLOOKUP($A43,KS_DEMO,2,FALSE)</f>
        <v>3780</v>
      </c>
      <c r="C43" s="611">
        <f>VLOOKUP($A43,'KS Data'!$A$3:$F$108,2,FALSE)</f>
        <v>3</v>
      </c>
      <c r="D43" s="612" t="s">
        <v>63</v>
      </c>
      <c r="E43" s="612">
        <f>VLOOKUP($A43,'KS Data'!$A$3:$F$108,3,FALSE)</f>
        <v>3</v>
      </c>
      <c r="F43" s="612">
        <f>VLOOKUP($A43,'KS Data'!$A$3:$F$108,4,FALSE)</f>
        <v>0</v>
      </c>
      <c r="G43" s="612" t="s">
        <v>63</v>
      </c>
      <c r="H43" s="671">
        <f>IFERROR(VLOOKUP($A43,'KS Data'!$A$146:$B$251,2,FALSE),"NULL")</f>
        <v>4</v>
      </c>
      <c r="I43" s="614" t="s">
        <v>63</v>
      </c>
      <c r="J43" s="615" t="s">
        <v>63</v>
      </c>
      <c r="K43" s="672" t="s">
        <v>63</v>
      </c>
      <c r="L43" s="785" t="s">
        <v>63</v>
      </c>
      <c r="M43" s="704" t="s">
        <v>63</v>
      </c>
      <c r="N43" s="729" t="s">
        <v>63</v>
      </c>
      <c r="O43" s="619" t="s">
        <v>63</v>
      </c>
      <c r="P43" s="620">
        <f>ifna(vlookup(A43,'Population &amp; Church Numbers'!$A$891:$D$995,4,FALSE),"NULL")</f>
        <v>11</v>
      </c>
      <c r="Q43" s="674" t="s">
        <v>63</v>
      </c>
    </row>
    <row r="44">
      <c r="A44" s="609" t="s">
        <v>981</v>
      </c>
      <c r="B44" s="610">
        <f t="array" ref="B44">VLOOKUP($A44,KS_DEMO,2,FALSE)</f>
        <v>1723</v>
      </c>
      <c r="C44" s="611">
        <f>VLOOKUP($A44,'KS Data'!$A$3:$F$108,2,FALSE)</f>
        <v>1</v>
      </c>
      <c r="D44" s="612" t="s">
        <v>63</v>
      </c>
      <c r="E44" s="612">
        <f>VLOOKUP($A44,'KS Data'!$A$3:$F$108,3,FALSE)</f>
        <v>1</v>
      </c>
      <c r="F44" s="612">
        <f>VLOOKUP($A44,'KS Data'!$A$3:$F$108,4,FALSE)</f>
        <v>0</v>
      </c>
      <c r="G44" s="612" t="s">
        <v>63</v>
      </c>
      <c r="H44" s="671">
        <f>IFERROR(VLOOKUP($A44,'KS Data'!$A$146:$B$251,2,FALSE),"NULL")</f>
        <v>2</v>
      </c>
      <c r="I44" s="614" t="s">
        <v>63</v>
      </c>
      <c r="J44" s="615" t="s">
        <v>63</v>
      </c>
      <c r="K44" s="672" t="s">
        <v>63</v>
      </c>
      <c r="L44" s="785" t="s">
        <v>63</v>
      </c>
      <c r="M44" s="704" t="s">
        <v>63</v>
      </c>
      <c r="N44" s="729" t="s">
        <v>63</v>
      </c>
      <c r="O44" s="619" t="s">
        <v>63</v>
      </c>
      <c r="P44" s="620">
        <f>ifna(vlookup(A44,'Population &amp; Church Numbers'!$A$891:$D$995,4,FALSE),"NULL")</f>
        <v>4</v>
      </c>
      <c r="Q44" s="674" t="s">
        <v>63</v>
      </c>
    </row>
    <row r="45">
      <c r="A45" s="609" t="s">
        <v>142</v>
      </c>
      <c r="B45" s="610">
        <f t="array" ref="B45">VLOOKUP($A45,KS_DEMO,2,FALSE)</f>
        <v>13232</v>
      </c>
      <c r="C45" s="611">
        <f>VLOOKUP($A45,'KS Data'!$A$3:$F$108,2,FALSE)</f>
        <v>40</v>
      </c>
      <c r="D45" s="612" t="s">
        <v>63</v>
      </c>
      <c r="E45" s="612">
        <f>VLOOKUP($A45,'KS Data'!$A$3:$F$108,3,FALSE)</f>
        <v>14</v>
      </c>
      <c r="F45" s="612">
        <f>VLOOKUP($A45,'KS Data'!$A$3:$F$108,4,FALSE)</f>
        <v>20</v>
      </c>
      <c r="G45" s="612" t="s">
        <v>63</v>
      </c>
      <c r="H45" s="671">
        <f>IFERROR(VLOOKUP($A45,'KS Data'!$A$146:$B$251,2,FALSE),"NULL")</f>
        <v>12</v>
      </c>
      <c r="I45" s="614" t="s">
        <v>63</v>
      </c>
      <c r="J45" s="615" t="s">
        <v>63</v>
      </c>
      <c r="K45" s="672" t="s">
        <v>63</v>
      </c>
      <c r="L45" s="785" t="s">
        <v>63</v>
      </c>
      <c r="M45" s="704" t="s">
        <v>63</v>
      </c>
      <c r="N45" s="729" t="s">
        <v>63</v>
      </c>
      <c r="O45" s="619" t="s">
        <v>63</v>
      </c>
      <c r="P45" s="620">
        <f>ifna(vlookup(A45,'Population &amp; Church Numbers'!$A$891:$D$995,4,FALSE),"NULL")</f>
        <v>21</v>
      </c>
      <c r="Q45" s="674" t="s">
        <v>63</v>
      </c>
    </row>
    <row r="46">
      <c r="A46" s="609" t="s">
        <v>143</v>
      </c>
      <c r="B46" s="610">
        <f t="array" ref="B46">VLOOKUP($A46,KS_DEMO,2,FALSE)</f>
        <v>18368</v>
      </c>
      <c r="C46" s="611">
        <f>VLOOKUP($A46,'KS Data'!$A$3:$F$108,2,FALSE)</f>
        <v>15</v>
      </c>
      <c r="D46" s="612" t="s">
        <v>63</v>
      </c>
      <c r="E46" s="612">
        <f>VLOOKUP($A46,'KS Data'!$A$3:$F$108,3,FALSE)</f>
        <v>11</v>
      </c>
      <c r="F46" s="612">
        <f>VLOOKUP($A46,'KS Data'!$A$3:$F$108,4,FALSE)</f>
        <v>2</v>
      </c>
      <c r="G46" s="612" t="s">
        <v>63</v>
      </c>
      <c r="H46" s="671">
        <f>IFERROR(VLOOKUP($A46,'KS Data'!$A$146:$B$251,2,FALSE),"NULL")</f>
        <v>12</v>
      </c>
      <c r="I46" s="614" t="s">
        <v>63</v>
      </c>
      <c r="J46" s="615" t="s">
        <v>63</v>
      </c>
      <c r="K46" s="672" t="s">
        <v>63</v>
      </c>
      <c r="L46" s="785" t="s">
        <v>63</v>
      </c>
      <c r="M46" s="704" t="s">
        <v>63</v>
      </c>
      <c r="N46" s="729" t="s">
        <v>63</v>
      </c>
      <c r="O46" s="619" t="s">
        <v>63</v>
      </c>
      <c r="P46" s="620">
        <f>ifna(vlookup(A46,'Population &amp; Church Numbers'!$A$891:$D$995,4,FALSE),"NULL")</f>
        <v>27</v>
      </c>
      <c r="Q46" s="674" t="s">
        <v>63</v>
      </c>
    </row>
    <row r="47">
      <c r="A47" s="609" t="s">
        <v>982</v>
      </c>
      <c r="B47" s="610">
        <f t="array" ref="B47">VLOOKUP($A47,KS_DEMO,2,FALSE)</f>
        <v>2932</v>
      </c>
      <c r="C47" s="611">
        <f>VLOOKUP($A47,'KS Data'!$A$3:$F$108,2,FALSE)</f>
        <v>5</v>
      </c>
      <c r="D47" s="612" t="s">
        <v>63</v>
      </c>
      <c r="E47" s="612">
        <f>VLOOKUP($A47,'KS Data'!$A$3:$F$108,3,FALSE)</f>
        <v>4</v>
      </c>
      <c r="F47" s="612">
        <f>VLOOKUP($A47,'KS Data'!$A$3:$F$108,4,FALSE)</f>
        <v>0</v>
      </c>
      <c r="G47" s="612" t="s">
        <v>63</v>
      </c>
      <c r="H47" s="671">
        <f>IFERROR(VLOOKUP($A47,'KS Data'!$A$146:$B$251,2,FALSE),"NULL")</f>
        <v>1</v>
      </c>
      <c r="I47" s="614" t="s">
        <v>63</v>
      </c>
      <c r="J47" s="615" t="s">
        <v>63</v>
      </c>
      <c r="K47" s="672" t="s">
        <v>63</v>
      </c>
      <c r="L47" s="785" t="s">
        <v>63</v>
      </c>
      <c r="M47" s="704" t="s">
        <v>63</v>
      </c>
      <c r="N47" s="729" t="s">
        <v>63</v>
      </c>
      <c r="O47" s="619" t="s">
        <v>63</v>
      </c>
      <c r="P47" s="620">
        <f>ifna(vlookup(A47,'Population &amp; Church Numbers'!$A$891:$D$995,4,FALSE),"NULL")</f>
        <v>8</v>
      </c>
      <c r="Q47" s="674" t="s">
        <v>63</v>
      </c>
    </row>
    <row r="48">
      <c r="A48" s="609" t="s">
        <v>288</v>
      </c>
      <c r="B48" s="610">
        <f t="array" ref="B48">VLOOKUP($A48,KS_DEMO,2,FALSE)</f>
        <v>609863</v>
      </c>
      <c r="C48" s="611">
        <f>VLOOKUP($A48,'KS Data'!$A$3:$F$108,2,FALSE)</f>
        <v>428</v>
      </c>
      <c r="D48" s="612" t="s">
        <v>63</v>
      </c>
      <c r="E48" s="612">
        <f>VLOOKUP($A48,'KS Data'!$A$3:$F$108,3,FALSE)</f>
        <v>191</v>
      </c>
      <c r="F48" s="612">
        <f>VLOOKUP($A48,'KS Data'!$A$3:$F$108,4,FALSE)</f>
        <v>187</v>
      </c>
      <c r="G48" s="612" t="s">
        <v>63</v>
      </c>
      <c r="H48" s="671">
        <f>IFERROR(VLOOKUP($A48,'KS Data'!$A$146:$B$251,2,FALSE),"NULL")</f>
        <v>257</v>
      </c>
      <c r="I48" s="614" t="s">
        <v>63</v>
      </c>
      <c r="J48" s="615" t="s">
        <v>63</v>
      </c>
      <c r="K48" s="672" t="s">
        <v>63</v>
      </c>
      <c r="L48" s="785" t="s">
        <v>63</v>
      </c>
      <c r="M48" s="704" t="s">
        <v>63</v>
      </c>
      <c r="N48" s="729" t="s">
        <v>63</v>
      </c>
      <c r="O48" s="619" t="s">
        <v>63</v>
      </c>
      <c r="P48" s="620">
        <f>ifna(vlookup(A48,'Population &amp; Church Numbers'!$A$891:$D$995,4,FALSE),"NULL")</f>
        <v>258</v>
      </c>
      <c r="Q48" s="674" t="s">
        <v>63</v>
      </c>
    </row>
    <row r="49">
      <c r="A49" s="609" t="s">
        <v>983</v>
      </c>
      <c r="B49" s="610">
        <f t="array" ref="B49">VLOOKUP($A49,KS_DEMO,2,FALSE)</f>
        <v>3983</v>
      </c>
      <c r="C49" s="611">
        <f>VLOOKUP($A49,'KS Data'!$A$3:$F$108,2,FALSE)</f>
        <v>13</v>
      </c>
      <c r="D49" s="612" t="s">
        <v>63</v>
      </c>
      <c r="E49" s="612">
        <f>VLOOKUP($A49,'KS Data'!$A$3:$F$108,3,FALSE)</f>
        <v>5</v>
      </c>
      <c r="F49" s="612">
        <f>VLOOKUP($A49,'KS Data'!$A$3:$F$108,4,FALSE)</f>
        <v>4</v>
      </c>
      <c r="G49" s="612" t="s">
        <v>63</v>
      </c>
      <c r="H49" s="671">
        <f>IFERROR(VLOOKUP($A49,'KS Data'!$A$146:$B$251,2,FALSE),"NULL")</f>
        <v>2</v>
      </c>
      <c r="I49" s="614" t="s">
        <v>63</v>
      </c>
      <c r="J49" s="615" t="s">
        <v>63</v>
      </c>
      <c r="K49" s="672" t="s">
        <v>63</v>
      </c>
      <c r="L49" s="785" t="s">
        <v>63</v>
      </c>
      <c r="M49" s="704" t="s">
        <v>63</v>
      </c>
      <c r="N49" s="729" t="s">
        <v>63</v>
      </c>
      <c r="O49" s="619" t="s">
        <v>63</v>
      </c>
      <c r="P49" s="620">
        <f>ifna(vlookup(A49,'Population &amp; Church Numbers'!$A$891:$D$995,4,FALSE),"NULL")</f>
        <v>11</v>
      </c>
      <c r="Q49" s="674" t="s">
        <v>63</v>
      </c>
    </row>
    <row r="50">
      <c r="A50" s="609" t="s">
        <v>984</v>
      </c>
      <c r="B50" s="610">
        <f t="array" ref="B50">VLOOKUP($A50,KS_DEMO,2,FALSE)</f>
        <v>7470</v>
      </c>
      <c r="C50" s="611">
        <f>VLOOKUP($A50,'KS Data'!$A$3:$F$108,2,FALSE)</f>
        <v>16</v>
      </c>
      <c r="D50" s="612" t="s">
        <v>63</v>
      </c>
      <c r="E50" s="612">
        <f>VLOOKUP($A50,'KS Data'!$A$3:$F$108,3,FALSE)</f>
        <v>10</v>
      </c>
      <c r="F50" s="612">
        <f>VLOOKUP($A50,'KS Data'!$A$3:$F$108,4,FALSE)</f>
        <v>4</v>
      </c>
      <c r="G50" s="612" t="s">
        <v>63</v>
      </c>
      <c r="H50" s="671">
        <f>IFERROR(VLOOKUP($A50,'KS Data'!$A$146:$B$251,2,FALSE),"NULL")</f>
        <v>7</v>
      </c>
      <c r="I50" s="614" t="s">
        <v>63</v>
      </c>
      <c r="J50" s="615" t="s">
        <v>63</v>
      </c>
      <c r="K50" s="672" t="s">
        <v>63</v>
      </c>
      <c r="L50" s="785" t="s">
        <v>63</v>
      </c>
      <c r="M50" s="704" t="s">
        <v>63</v>
      </c>
      <c r="N50" s="729" t="s">
        <v>63</v>
      </c>
      <c r="O50" s="619" t="s">
        <v>63</v>
      </c>
      <c r="P50" s="620">
        <f>ifna(vlookup(A50,'Population &amp; Church Numbers'!$A$891:$D$995,4,FALSE),"NULL")</f>
        <v>18</v>
      </c>
      <c r="Q50" s="674" t="s">
        <v>63</v>
      </c>
    </row>
    <row r="51">
      <c r="A51" s="609" t="s">
        <v>427</v>
      </c>
      <c r="B51" s="610">
        <f t="array" ref="B51">VLOOKUP($A51,KS_DEMO,2,FALSE)</f>
        <v>2460</v>
      </c>
      <c r="C51" s="611">
        <f>VLOOKUP($A51,'KS Data'!$A$3:$F$108,2,FALSE)</f>
        <v>3</v>
      </c>
      <c r="D51" s="612" t="s">
        <v>63</v>
      </c>
      <c r="E51" s="612">
        <f>VLOOKUP($A51,'KS Data'!$A$3:$F$108,3,FALSE)</f>
        <v>2</v>
      </c>
      <c r="F51" s="612">
        <f>VLOOKUP($A51,'KS Data'!$A$3:$F$108,4,FALSE)</f>
        <v>0</v>
      </c>
      <c r="G51" s="612" t="s">
        <v>63</v>
      </c>
      <c r="H51" s="671">
        <f>IFERROR(VLOOKUP($A51,'KS Data'!$A$146:$B$251,2,FALSE),"NULL")</f>
        <v>4</v>
      </c>
      <c r="I51" s="614" t="s">
        <v>63</v>
      </c>
      <c r="J51" s="615" t="s">
        <v>63</v>
      </c>
      <c r="K51" s="672" t="s">
        <v>63</v>
      </c>
      <c r="L51" s="785" t="s">
        <v>63</v>
      </c>
      <c r="M51" s="704" t="s">
        <v>63</v>
      </c>
      <c r="N51" s="729" t="s">
        <v>63</v>
      </c>
      <c r="O51" s="619" t="s">
        <v>63</v>
      </c>
      <c r="P51" s="620">
        <f>ifna(vlookup(A51,'Population &amp; Church Numbers'!$A$891:$D$995,4,FALSE),"NULL")</f>
        <v>11</v>
      </c>
      <c r="Q51" s="674" t="s">
        <v>63</v>
      </c>
    </row>
    <row r="52">
      <c r="A52" s="609" t="s">
        <v>985</v>
      </c>
      <c r="B52" s="610">
        <f t="array" ref="B52">VLOOKUP($A52,KS_DEMO,2,FALSE)</f>
        <v>20184</v>
      </c>
      <c r="C52" s="611">
        <f>VLOOKUP($A52,'KS Data'!$A$3:$F$108,2,FALSE)</f>
        <v>61</v>
      </c>
      <c r="D52" s="612" t="s">
        <v>63</v>
      </c>
      <c r="E52" s="612">
        <f>VLOOKUP($A52,'KS Data'!$A$3:$F$108,3,FALSE)</f>
        <v>24</v>
      </c>
      <c r="F52" s="612">
        <f>VLOOKUP($A52,'KS Data'!$A$3:$F$108,4,FALSE)</f>
        <v>29</v>
      </c>
      <c r="G52" s="612" t="s">
        <v>63</v>
      </c>
      <c r="H52" s="671">
        <f>IFERROR(VLOOKUP($A52,'KS Data'!$A$146:$B$251,2,FALSE),"NULL")</f>
        <v>42</v>
      </c>
      <c r="I52" s="614" t="s">
        <v>63</v>
      </c>
      <c r="J52" s="615" t="s">
        <v>63</v>
      </c>
      <c r="K52" s="672" t="s">
        <v>63</v>
      </c>
      <c r="L52" s="785" t="s">
        <v>63</v>
      </c>
      <c r="M52" s="704" t="s">
        <v>63</v>
      </c>
      <c r="N52" s="729" t="s">
        <v>63</v>
      </c>
      <c r="O52" s="619" t="s">
        <v>63</v>
      </c>
      <c r="P52" s="620">
        <f>ifna(vlookup(A52,'Population &amp; Church Numbers'!$A$891:$D$995,4,FALSE),"NULL")</f>
        <v>40</v>
      </c>
      <c r="Q52" s="674" t="s">
        <v>63</v>
      </c>
    </row>
    <row r="53">
      <c r="A53" s="609" t="s">
        <v>986</v>
      </c>
      <c r="B53" s="610">
        <f t="array" ref="B53">VLOOKUP($A53,KS_DEMO,2,FALSE)</f>
        <v>1574</v>
      </c>
      <c r="C53" s="611">
        <f>VLOOKUP($A53,'KS Data'!$A$3:$F$108,2,FALSE)</f>
        <v>4</v>
      </c>
      <c r="D53" s="612" t="s">
        <v>63</v>
      </c>
      <c r="E53" s="612">
        <f>VLOOKUP($A53,'KS Data'!$A$3:$F$108,3,FALSE)</f>
        <v>1</v>
      </c>
      <c r="F53" s="612">
        <f>VLOOKUP($A53,'KS Data'!$A$3:$F$108,4,FALSE)</f>
        <v>3</v>
      </c>
      <c r="G53" s="612" t="s">
        <v>63</v>
      </c>
      <c r="H53" s="671">
        <f>IFERROR(VLOOKUP($A53,'KS Data'!$A$146:$B$251,2,FALSE),"NULL")</f>
        <v>1</v>
      </c>
      <c r="I53" s="614" t="s">
        <v>63</v>
      </c>
      <c r="J53" s="615" t="s">
        <v>63</v>
      </c>
      <c r="K53" s="672" t="s">
        <v>63</v>
      </c>
      <c r="L53" s="785" t="s">
        <v>63</v>
      </c>
      <c r="M53" s="704" t="s">
        <v>63</v>
      </c>
      <c r="N53" s="729" t="s">
        <v>63</v>
      </c>
      <c r="O53" s="619" t="s">
        <v>63</v>
      </c>
      <c r="P53" s="620">
        <f>ifna(vlookup(A53,'Population &amp; Church Numbers'!$A$891:$D$995,4,FALSE),"NULL")</f>
        <v>6</v>
      </c>
      <c r="Q53" s="674" t="s">
        <v>63</v>
      </c>
    </row>
    <row r="54">
      <c r="A54" s="609" t="s">
        <v>987</v>
      </c>
      <c r="B54" s="610">
        <f t="array" ref="B54">VLOOKUP($A54,KS_DEMO,2,FALSE)</f>
        <v>81881</v>
      </c>
      <c r="C54" s="611">
        <f>VLOOKUP($A54,'KS Data'!$A$3:$F$108,2,FALSE)</f>
        <v>176</v>
      </c>
      <c r="D54" s="612" t="s">
        <v>63</v>
      </c>
      <c r="E54" s="612">
        <f>VLOOKUP($A54,'KS Data'!$A$3:$F$108,3,FALSE)</f>
        <v>73</v>
      </c>
      <c r="F54" s="612">
        <f>VLOOKUP($A54,'KS Data'!$A$3:$F$108,4,FALSE)</f>
        <v>70</v>
      </c>
      <c r="G54" s="612" t="s">
        <v>63</v>
      </c>
      <c r="H54" s="671">
        <f>IFERROR(VLOOKUP($A54,'KS Data'!$A$146:$B$251,2,FALSE),"NULL")</f>
        <v>56</v>
      </c>
      <c r="I54" s="614" t="s">
        <v>63</v>
      </c>
      <c r="J54" s="615" t="s">
        <v>63</v>
      </c>
      <c r="K54" s="672" t="s">
        <v>63</v>
      </c>
      <c r="L54" s="785" t="s">
        <v>63</v>
      </c>
      <c r="M54" s="704" t="s">
        <v>63</v>
      </c>
      <c r="N54" s="729" t="s">
        <v>63</v>
      </c>
      <c r="O54" s="619" t="s">
        <v>63</v>
      </c>
      <c r="P54" s="620">
        <f>ifna(vlookup(A54,'Population &amp; Church Numbers'!$A$891:$D$995,4,FALSE),"NULL")</f>
        <v>73</v>
      </c>
      <c r="Q54" s="674" t="s">
        <v>63</v>
      </c>
    </row>
    <row r="55">
      <c r="A55" s="609" t="s">
        <v>290</v>
      </c>
      <c r="B55" s="610">
        <f t="array" ref="B55">VLOOKUP($A55,KS_DEMO,2,FALSE)</f>
        <v>2939</v>
      </c>
      <c r="C55" s="611">
        <f>VLOOKUP($A55,'KS Data'!$A$3:$F$108,2,FALSE)</f>
        <v>8</v>
      </c>
      <c r="D55" s="612" t="s">
        <v>63</v>
      </c>
      <c r="E55" s="612">
        <f>VLOOKUP($A55,'KS Data'!$A$3:$F$108,3,FALSE)</f>
        <v>5</v>
      </c>
      <c r="F55" s="612">
        <f>VLOOKUP($A55,'KS Data'!$A$3:$F$108,4,FALSE)</f>
        <v>1</v>
      </c>
      <c r="G55" s="612" t="s">
        <v>63</v>
      </c>
      <c r="H55" s="671">
        <f>IFERROR(VLOOKUP($A55,'KS Data'!$A$146:$B$251,2,FALSE),"NULL")</f>
        <v>6</v>
      </c>
      <c r="I55" s="614" t="s">
        <v>63</v>
      </c>
      <c r="J55" s="615" t="s">
        <v>63</v>
      </c>
      <c r="K55" s="672" t="s">
        <v>63</v>
      </c>
      <c r="L55" s="785" t="s">
        <v>63</v>
      </c>
      <c r="M55" s="704" t="s">
        <v>63</v>
      </c>
      <c r="N55" s="729" t="s">
        <v>63</v>
      </c>
      <c r="O55" s="619" t="s">
        <v>63</v>
      </c>
      <c r="P55" s="620">
        <f>ifna(vlookup(A55,'Population &amp; Church Numbers'!$A$891:$D$995,4,FALSE),"NULL")</f>
        <v>7</v>
      </c>
      <c r="Q55" s="674" t="s">
        <v>63</v>
      </c>
    </row>
    <row r="56">
      <c r="A56" s="609" t="s">
        <v>907</v>
      </c>
      <c r="B56" s="610">
        <f t="array" ref="B56">VLOOKUP($A56,KS_DEMO,2,FALSE)</f>
        <v>9591</v>
      </c>
      <c r="C56" s="611">
        <f>VLOOKUP($A56,'KS Data'!$A$3:$F$108,2,FALSE)</f>
        <v>22</v>
      </c>
      <c r="D56" s="612" t="s">
        <v>63</v>
      </c>
      <c r="E56" s="612">
        <f>VLOOKUP($A56,'KS Data'!$A$3:$F$108,3,FALSE)</f>
        <v>8</v>
      </c>
      <c r="F56" s="612">
        <f>VLOOKUP($A56,'KS Data'!$A$3:$F$108,4,FALSE)</f>
        <v>11</v>
      </c>
      <c r="G56" s="612" t="s">
        <v>63</v>
      </c>
      <c r="H56" s="671">
        <f>IFERROR(VLOOKUP($A56,'KS Data'!$A$146:$B$251,2,FALSE),"NULL")</f>
        <v>3</v>
      </c>
      <c r="I56" s="614" t="s">
        <v>63</v>
      </c>
      <c r="J56" s="615" t="s">
        <v>63</v>
      </c>
      <c r="K56" s="672" t="s">
        <v>63</v>
      </c>
      <c r="L56" s="785" t="s">
        <v>63</v>
      </c>
      <c r="M56" s="704" t="s">
        <v>63</v>
      </c>
      <c r="N56" s="729" t="s">
        <v>63</v>
      </c>
      <c r="O56" s="619" t="s">
        <v>63</v>
      </c>
      <c r="P56" s="620">
        <f>ifna(vlookup(A56,'Population &amp; Church Numbers'!$A$891:$D$995,4,FALSE),"NULL")</f>
        <v>20</v>
      </c>
      <c r="Q56" s="674" t="s">
        <v>63</v>
      </c>
    </row>
    <row r="57">
      <c r="A57" s="609" t="s">
        <v>293</v>
      </c>
      <c r="B57" s="610">
        <f t="array" ref="B57">VLOOKUP($A57,KS_DEMO,2,FALSE)</f>
        <v>2762</v>
      </c>
      <c r="C57" s="611">
        <f>VLOOKUP($A57,'KS Data'!$A$3:$F$108,2,FALSE)</f>
        <v>9</v>
      </c>
      <c r="D57" s="612" t="s">
        <v>63</v>
      </c>
      <c r="E57" s="612">
        <f>VLOOKUP($A57,'KS Data'!$A$3:$F$108,3,FALSE)</f>
        <v>4</v>
      </c>
      <c r="F57" s="612">
        <f>VLOOKUP($A57,'KS Data'!$A$3:$F$108,4,FALSE)</f>
        <v>5</v>
      </c>
      <c r="G57" s="612" t="s">
        <v>63</v>
      </c>
      <c r="H57" s="671">
        <f>IFERROR(VLOOKUP($A57,'KS Data'!$A$146:$B$251,2,FALSE),"NULL")</f>
        <v>3</v>
      </c>
      <c r="I57" s="614" t="s">
        <v>63</v>
      </c>
      <c r="J57" s="615" t="s">
        <v>63</v>
      </c>
      <c r="K57" s="672" t="s">
        <v>63</v>
      </c>
      <c r="L57" s="785" t="s">
        <v>63</v>
      </c>
      <c r="M57" s="704" t="s">
        <v>63</v>
      </c>
      <c r="N57" s="729" t="s">
        <v>63</v>
      </c>
      <c r="O57" s="619" t="s">
        <v>63</v>
      </c>
      <c r="P57" s="620">
        <f>ifna(vlookup(A57,'Population &amp; Church Numbers'!$A$891:$D$995,4,FALSE),"NULL")</f>
        <v>6</v>
      </c>
      <c r="Q57" s="674" t="s">
        <v>63</v>
      </c>
    </row>
    <row r="58">
      <c r="A58" s="609" t="s">
        <v>910</v>
      </c>
      <c r="B58" s="610">
        <f t="array" ref="B58">VLOOKUP($A58,KS_DEMO,2,FALSE)</f>
        <v>32179</v>
      </c>
      <c r="C58" s="611">
        <f>VLOOKUP($A58,'KS Data'!$A$3:$F$108,2,FALSE)</f>
        <v>116</v>
      </c>
      <c r="D58" s="612" t="s">
        <v>63</v>
      </c>
      <c r="E58" s="612">
        <f>VLOOKUP($A58,'KS Data'!$A$3:$F$108,3,FALSE)</f>
        <v>55</v>
      </c>
      <c r="F58" s="612">
        <f>VLOOKUP($A58,'KS Data'!$A$3:$F$108,4,FALSE)</f>
        <v>32</v>
      </c>
      <c r="G58" s="612" t="s">
        <v>63</v>
      </c>
      <c r="H58" s="671">
        <f>IFERROR(VLOOKUP($A58,'KS Data'!$A$146:$B$251,2,FALSE),"NULL")</f>
        <v>23</v>
      </c>
      <c r="I58" s="614" t="s">
        <v>63</v>
      </c>
      <c r="J58" s="615" t="s">
        <v>63</v>
      </c>
      <c r="K58" s="672" t="s">
        <v>63</v>
      </c>
      <c r="L58" s="785" t="s">
        <v>63</v>
      </c>
      <c r="M58" s="704" t="s">
        <v>63</v>
      </c>
      <c r="N58" s="729" t="s">
        <v>63</v>
      </c>
      <c r="O58" s="619" t="s">
        <v>63</v>
      </c>
      <c r="P58" s="620">
        <f>ifna(vlookup(A58,'Population &amp; Church Numbers'!$A$891:$D$995,4,FALSE),"NULL")</f>
        <v>35</v>
      </c>
      <c r="Q58" s="674" t="s">
        <v>63</v>
      </c>
    </row>
    <row r="59">
      <c r="A59" s="609" t="s">
        <v>153</v>
      </c>
      <c r="B59" s="610">
        <f t="array" ref="B59">VLOOKUP($A59,KS_DEMO,2,FALSE)</f>
        <v>11823</v>
      </c>
      <c r="C59" s="611">
        <f>VLOOKUP($A59,'KS Data'!$A$3:$F$108,2,FALSE)</f>
        <v>10</v>
      </c>
      <c r="D59" s="612" t="s">
        <v>63</v>
      </c>
      <c r="E59" s="612">
        <f>VLOOKUP($A59,'KS Data'!$A$3:$F$108,3,FALSE)</f>
        <v>8</v>
      </c>
      <c r="F59" s="612">
        <f>VLOOKUP($A59,'KS Data'!$A$3:$F$108,4,FALSE)</f>
        <v>2</v>
      </c>
      <c r="G59" s="612" t="s">
        <v>63</v>
      </c>
      <c r="H59" s="671">
        <f>IFERROR(VLOOKUP($A59,'KS Data'!$A$146:$B$251,2,FALSE),"NULL")</f>
        <v>9</v>
      </c>
      <c r="I59" s="614" t="s">
        <v>63</v>
      </c>
      <c r="J59" s="615" t="s">
        <v>63</v>
      </c>
      <c r="K59" s="672" t="s">
        <v>63</v>
      </c>
      <c r="L59" s="785" t="s">
        <v>63</v>
      </c>
      <c r="M59" s="704" t="s">
        <v>63</v>
      </c>
      <c r="N59" s="729" t="s">
        <v>63</v>
      </c>
      <c r="O59" s="619" t="s">
        <v>63</v>
      </c>
      <c r="P59" s="620">
        <f>ifna(vlookup(A59,'Population &amp; Church Numbers'!$A$891:$D$995,4,FALSE),"NULL")</f>
        <v>29</v>
      </c>
      <c r="Q59" s="674" t="s">
        <v>63</v>
      </c>
    </row>
    <row r="60">
      <c r="A60" s="609" t="s">
        <v>154</v>
      </c>
      <c r="B60" s="610">
        <f t="array" ref="B60">VLOOKUP($A60,KS_DEMO,2,FALSE)</f>
        <v>10038</v>
      </c>
      <c r="C60" s="611">
        <f>VLOOKUP($A60,'KS Data'!$A$3:$F$108,2,FALSE)</f>
        <v>34</v>
      </c>
      <c r="D60" s="612" t="s">
        <v>63</v>
      </c>
      <c r="E60" s="612">
        <f>VLOOKUP($A60,'KS Data'!$A$3:$F$108,3,FALSE)</f>
        <v>18</v>
      </c>
      <c r="F60" s="612">
        <f>VLOOKUP($A60,'KS Data'!$A$3:$F$108,4,FALSE)</f>
        <v>14</v>
      </c>
      <c r="G60" s="612" t="s">
        <v>63</v>
      </c>
      <c r="H60" s="671">
        <f>IFERROR(VLOOKUP($A60,'KS Data'!$A$146:$B$251,2,FALSE),"NULL")</f>
        <v>7</v>
      </c>
      <c r="I60" s="614" t="s">
        <v>63</v>
      </c>
      <c r="J60" s="615" t="s">
        <v>63</v>
      </c>
      <c r="K60" s="672" t="s">
        <v>63</v>
      </c>
      <c r="L60" s="785" t="s">
        <v>63</v>
      </c>
      <c r="M60" s="704" t="s">
        <v>63</v>
      </c>
      <c r="N60" s="729" t="s">
        <v>63</v>
      </c>
      <c r="O60" s="619" t="s">
        <v>63</v>
      </c>
      <c r="P60" s="620">
        <f>ifna(vlookup(A60,'Population &amp; Church Numbers'!$A$891:$D$995,4,FALSE),"NULL")</f>
        <v>29</v>
      </c>
      <c r="Q60" s="674" t="s">
        <v>63</v>
      </c>
    </row>
    <row r="61">
      <c r="A61" s="609" t="s">
        <v>988</v>
      </c>
      <c r="B61" s="610">
        <f t="array" ref="B61">VLOOKUP($A61,KS_DEMO,2,FALSE)</f>
        <v>30223</v>
      </c>
      <c r="C61" s="611">
        <f>VLOOKUP($A61,'KS Data'!$A$3:$F$108,2,FALSE)</f>
        <v>36</v>
      </c>
      <c r="D61" s="612" t="s">
        <v>63</v>
      </c>
      <c r="E61" s="612">
        <f>VLOOKUP($A61,'KS Data'!$A$3:$F$108,3,FALSE)</f>
        <v>16</v>
      </c>
      <c r="F61" s="612">
        <f>VLOOKUP($A61,'KS Data'!$A$3:$F$108,4,FALSE)</f>
        <v>12</v>
      </c>
      <c r="G61" s="612" t="s">
        <v>63</v>
      </c>
      <c r="H61" s="671">
        <f>IFERROR(VLOOKUP($A61,'KS Data'!$A$146:$B$251,2,FALSE),"NULL")</f>
        <v>23</v>
      </c>
      <c r="I61" s="614" t="s">
        <v>63</v>
      </c>
      <c r="J61" s="615" t="s">
        <v>63</v>
      </c>
      <c r="K61" s="672" t="s">
        <v>63</v>
      </c>
      <c r="L61" s="785" t="s">
        <v>63</v>
      </c>
      <c r="M61" s="704" t="s">
        <v>63</v>
      </c>
      <c r="N61" s="729" t="s">
        <v>63</v>
      </c>
      <c r="O61" s="619" t="s">
        <v>63</v>
      </c>
      <c r="P61" s="620">
        <f>ifna(vlookup(A61,'Population &amp; Church Numbers'!$A$891:$D$995,4,FALSE),"NULL")</f>
        <v>63</v>
      </c>
      <c r="Q61" s="674" t="s">
        <v>63</v>
      </c>
    </row>
    <row r="62">
      <c r="A62" s="609" t="s">
        <v>989</v>
      </c>
      <c r="B62" s="610">
        <f t="array" ref="B62">VLOOKUP($A62,KS_DEMO,2,FALSE)</f>
        <v>4055</v>
      </c>
      <c r="C62" s="611">
        <f>VLOOKUP($A62,'KS Data'!$A$3:$F$108,2,FALSE)</f>
        <v>1</v>
      </c>
      <c r="D62" s="612" t="s">
        <v>63</v>
      </c>
      <c r="E62" s="612">
        <f>VLOOKUP($A62,'KS Data'!$A$3:$F$108,3,FALSE)</f>
        <v>0</v>
      </c>
      <c r="F62" s="612">
        <f>VLOOKUP($A62,'KS Data'!$A$3:$F$108,4,FALSE)</f>
        <v>1</v>
      </c>
      <c r="G62" s="612" t="s">
        <v>63</v>
      </c>
      <c r="H62" s="671">
        <f>IFERROR(VLOOKUP($A62,'KS Data'!$A$146:$B$251,2,FALSE),"NULL")</f>
        <v>2</v>
      </c>
      <c r="I62" s="614" t="s">
        <v>63</v>
      </c>
      <c r="J62" s="615" t="s">
        <v>63</v>
      </c>
      <c r="K62" s="672" t="s">
        <v>63</v>
      </c>
      <c r="L62" s="785" t="s">
        <v>63</v>
      </c>
      <c r="M62" s="704" t="s">
        <v>63</v>
      </c>
      <c r="N62" s="729" t="s">
        <v>63</v>
      </c>
      <c r="O62" s="619" t="s">
        <v>63</v>
      </c>
      <c r="P62" s="620">
        <f>ifna(vlookup(A62,'Population &amp; Church Numbers'!$A$891:$D$995,4,FALSE),"NULL")</f>
        <v>13</v>
      </c>
      <c r="Q62" s="674" t="s">
        <v>63</v>
      </c>
    </row>
    <row r="63">
      <c r="A63" s="609" t="s">
        <v>791</v>
      </c>
      <c r="B63" s="610">
        <f t="array" ref="B63">VLOOKUP($A63,KS_DEMO,2,FALSE)</f>
        <v>34191</v>
      </c>
      <c r="C63" s="611">
        <f>VLOOKUP($A63,'KS Data'!$A$3:$F$108,2,FALSE)</f>
        <v>23</v>
      </c>
      <c r="D63" s="612" t="s">
        <v>63</v>
      </c>
      <c r="E63" s="612">
        <f>VLOOKUP($A63,'KS Data'!$A$3:$F$108,3,FALSE)</f>
        <v>11</v>
      </c>
      <c r="F63" s="612">
        <f>VLOOKUP($A63,'KS Data'!$A$3:$F$108,4,FALSE)</f>
        <v>9</v>
      </c>
      <c r="G63" s="612" t="s">
        <v>63</v>
      </c>
      <c r="H63" s="671">
        <f>IFERROR(VLOOKUP($A63,'KS Data'!$A$146:$B$251,2,FALSE),"NULL")</f>
        <v>25</v>
      </c>
      <c r="I63" s="614" t="s">
        <v>63</v>
      </c>
      <c r="J63" s="615" t="s">
        <v>63</v>
      </c>
      <c r="K63" s="672" t="s">
        <v>63</v>
      </c>
      <c r="L63" s="785" t="s">
        <v>63</v>
      </c>
      <c r="M63" s="704" t="s">
        <v>63</v>
      </c>
      <c r="N63" s="729" t="s">
        <v>63</v>
      </c>
      <c r="O63" s="619" t="s">
        <v>63</v>
      </c>
      <c r="P63" s="620">
        <f>ifna(vlookup(A63,'Population &amp; Church Numbers'!$A$891:$D$995,4,FALSE),"NULL")</f>
        <v>43</v>
      </c>
      <c r="Q63" s="674" t="s">
        <v>63</v>
      </c>
    </row>
    <row r="64">
      <c r="A64" s="609" t="s">
        <v>610</v>
      </c>
      <c r="B64" s="610">
        <f t="array" ref="B64">VLOOKUP($A64,KS_DEMO,2,FALSE)</f>
        <v>5796</v>
      </c>
      <c r="C64" s="611">
        <f>VLOOKUP($A64,'KS Data'!$A$3:$F$108,2,FALSE)</f>
        <v>6</v>
      </c>
      <c r="D64" s="612" t="s">
        <v>63</v>
      </c>
      <c r="E64" s="612">
        <f>VLOOKUP($A64,'KS Data'!$A$3:$F$108,3,FALSE)</f>
        <v>2</v>
      </c>
      <c r="F64" s="612">
        <f>VLOOKUP($A64,'KS Data'!$A$3:$F$108,4,FALSE)</f>
        <v>2</v>
      </c>
      <c r="G64" s="612" t="s">
        <v>63</v>
      </c>
      <c r="H64" s="671">
        <f>IFERROR(VLOOKUP($A64,'KS Data'!$A$146:$B$251,2,FALSE),"NULL")</f>
        <v>2</v>
      </c>
      <c r="I64" s="614" t="s">
        <v>63</v>
      </c>
      <c r="J64" s="615" t="s">
        <v>63</v>
      </c>
      <c r="K64" s="672" t="s">
        <v>63</v>
      </c>
      <c r="L64" s="785" t="s">
        <v>63</v>
      </c>
      <c r="M64" s="704" t="s">
        <v>63</v>
      </c>
      <c r="N64" s="729" t="s">
        <v>63</v>
      </c>
      <c r="O64" s="619" t="s">
        <v>63</v>
      </c>
      <c r="P64" s="620">
        <f>ifna(vlookup(A64,'Population &amp; Church Numbers'!$A$891:$D$995,4,FALSE),"NULL")</f>
        <v>17</v>
      </c>
      <c r="Q64" s="674" t="s">
        <v>63</v>
      </c>
    </row>
    <row r="65">
      <c r="A65" s="609" t="s">
        <v>157</v>
      </c>
      <c r="B65" s="610">
        <f t="array" ref="B65">VLOOKUP($A65,KS_DEMO,2,FALSE)</f>
        <v>31486</v>
      </c>
      <c r="C65" s="611">
        <f>VLOOKUP($A65,'KS Data'!$A$3:$F$108,2,FALSE)</f>
        <v>89</v>
      </c>
      <c r="D65" s="612" t="s">
        <v>63</v>
      </c>
      <c r="E65" s="612">
        <f>VLOOKUP($A65,'KS Data'!$A$3:$F$108,3,FALSE)</f>
        <v>57</v>
      </c>
      <c r="F65" s="612">
        <f>VLOOKUP($A65,'KS Data'!$A$3:$F$108,4,FALSE)</f>
        <v>26</v>
      </c>
      <c r="G65" s="612" t="s">
        <v>63</v>
      </c>
      <c r="H65" s="671">
        <f>IFERROR(VLOOKUP($A65,'KS Data'!$A$146:$B$251,2,FALSE),"NULL")</f>
        <v>32</v>
      </c>
      <c r="I65" s="614" t="s">
        <v>63</v>
      </c>
      <c r="J65" s="615" t="s">
        <v>63</v>
      </c>
      <c r="K65" s="672" t="s">
        <v>63</v>
      </c>
      <c r="L65" s="785" t="s">
        <v>63</v>
      </c>
      <c r="M65" s="704" t="s">
        <v>63</v>
      </c>
      <c r="N65" s="729" t="s">
        <v>63</v>
      </c>
      <c r="O65" s="619" t="s">
        <v>63</v>
      </c>
      <c r="P65" s="620">
        <f>ifna(vlookup(A65,'Population &amp; Church Numbers'!$A$891:$D$995,4,FALSE),"NULL")</f>
        <v>65</v>
      </c>
      <c r="Q65" s="674" t="s">
        <v>63</v>
      </c>
    </row>
    <row r="66">
      <c r="A66" s="609" t="s">
        <v>990</v>
      </c>
      <c r="B66" s="610">
        <f t="array" ref="B66">VLOOKUP($A66,KS_DEMO,2,FALSE)</f>
        <v>5386</v>
      </c>
      <c r="C66" s="611">
        <f>VLOOKUP($A66,'KS Data'!$A$3:$F$108,2,FALSE)</f>
        <v>8</v>
      </c>
      <c r="D66" s="612" t="s">
        <v>63</v>
      </c>
      <c r="E66" s="612">
        <f>VLOOKUP($A66,'KS Data'!$A$3:$F$108,3,FALSE)</f>
        <v>7</v>
      </c>
      <c r="F66" s="612">
        <f>VLOOKUP($A66,'KS Data'!$A$3:$F$108,4,FALSE)</f>
        <v>0</v>
      </c>
      <c r="G66" s="612" t="s">
        <v>63</v>
      </c>
      <c r="H66" s="671">
        <f>IFERROR(VLOOKUP($A66,'KS Data'!$A$146:$B$251,2,FALSE),"NULL")</f>
        <v>1</v>
      </c>
      <c r="I66" s="614" t="s">
        <v>63</v>
      </c>
      <c r="J66" s="615" t="s">
        <v>63</v>
      </c>
      <c r="K66" s="672" t="s">
        <v>63</v>
      </c>
      <c r="L66" s="785" t="s">
        <v>63</v>
      </c>
      <c r="M66" s="704" t="s">
        <v>63</v>
      </c>
      <c r="N66" s="729" t="s">
        <v>63</v>
      </c>
      <c r="O66" s="619" t="s">
        <v>63</v>
      </c>
      <c r="P66" s="620">
        <f>ifna(vlookup(A66,'Population &amp; Church Numbers'!$A$891:$D$995,4,FALSE),"NULL")</f>
        <v>16</v>
      </c>
      <c r="Q66" s="674" t="s">
        <v>63</v>
      </c>
    </row>
    <row r="67">
      <c r="A67" s="609" t="s">
        <v>991</v>
      </c>
      <c r="B67" s="610">
        <f t="array" ref="B67">VLOOKUP($A67,KS_DEMO,2,FALSE)</f>
        <v>2701</v>
      </c>
      <c r="C67" s="611">
        <f>VLOOKUP($A67,'KS Data'!$A$3:$F$108,2,FALSE)</f>
        <v>2</v>
      </c>
      <c r="D67" s="612" t="s">
        <v>63</v>
      </c>
      <c r="E67" s="612">
        <f>VLOOKUP($A67,'KS Data'!$A$3:$F$108,3,FALSE)</f>
        <v>2</v>
      </c>
      <c r="F67" s="612">
        <f>VLOOKUP($A67,'KS Data'!$A$3:$F$108,4,FALSE)</f>
        <v>0</v>
      </c>
      <c r="G67" s="612" t="s">
        <v>63</v>
      </c>
      <c r="H67" s="671">
        <f>IFERROR(VLOOKUP($A67,'KS Data'!$A$146:$B$251,2,FALSE),"NULL")</f>
        <v>0</v>
      </c>
      <c r="I67" s="614" t="s">
        <v>63</v>
      </c>
      <c r="J67" s="615" t="s">
        <v>63</v>
      </c>
      <c r="K67" s="672" t="s">
        <v>63</v>
      </c>
      <c r="L67" s="785" t="s">
        <v>63</v>
      </c>
      <c r="M67" s="704" t="s">
        <v>63</v>
      </c>
      <c r="N67" s="729" t="s">
        <v>63</v>
      </c>
      <c r="O67" s="619" t="s">
        <v>63</v>
      </c>
      <c r="P67" s="620">
        <f>ifna(vlookup(A67,'Population &amp; Church Numbers'!$A$891:$D$995,4,FALSE),"NULL")</f>
        <v>12</v>
      </c>
      <c r="Q67" s="674" t="s">
        <v>63</v>
      </c>
    </row>
    <row r="68">
      <c r="A68" s="609" t="s">
        <v>992</v>
      </c>
      <c r="B68" s="610">
        <f t="array" ref="B68">VLOOKUP($A68,KS_DEMO,2,FALSE)</f>
        <v>10273</v>
      </c>
      <c r="C68" s="611">
        <f>VLOOKUP($A68,'KS Data'!$A$3:$F$108,2,FALSE)</f>
        <v>31</v>
      </c>
      <c r="D68" s="612" t="s">
        <v>63</v>
      </c>
      <c r="E68" s="612">
        <f>VLOOKUP($A68,'KS Data'!$A$3:$F$108,3,FALSE)</f>
        <v>18</v>
      </c>
      <c r="F68" s="612">
        <f>VLOOKUP($A68,'KS Data'!$A$3:$F$108,4,FALSE)</f>
        <v>12</v>
      </c>
      <c r="G68" s="612" t="s">
        <v>63</v>
      </c>
      <c r="H68" s="671">
        <f>IFERROR(VLOOKUP($A68,'KS Data'!$A$146:$B$251,2,FALSE),"NULL")</f>
        <v>18</v>
      </c>
      <c r="I68" s="614" t="s">
        <v>63</v>
      </c>
      <c r="J68" s="615" t="s">
        <v>63</v>
      </c>
      <c r="K68" s="672" t="s">
        <v>63</v>
      </c>
      <c r="L68" s="785" t="s">
        <v>63</v>
      </c>
      <c r="M68" s="704" t="s">
        <v>63</v>
      </c>
      <c r="N68" s="729" t="s">
        <v>63</v>
      </c>
      <c r="O68" s="619" t="s">
        <v>63</v>
      </c>
      <c r="P68" s="620">
        <f>ifna(vlookup(A68,'Population &amp; Church Numbers'!$A$891:$D$995,4,FALSE),"NULL")</f>
        <v>22</v>
      </c>
      <c r="Q68" s="674" t="s">
        <v>63</v>
      </c>
    </row>
    <row r="69">
      <c r="A69" s="609" t="s">
        <v>993</v>
      </c>
      <c r="B69" s="610">
        <f t="array" ref="B69">VLOOKUP($A69,KS_DEMO,2,FALSE)</f>
        <v>15904</v>
      </c>
      <c r="C69" s="611">
        <f>VLOOKUP($A69,'KS Data'!$A$3:$F$108,2,FALSE)</f>
        <v>52</v>
      </c>
      <c r="D69" s="612" t="s">
        <v>63</v>
      </c>
      <c r="E69" s="612">
        <f>VLOOKUP($A69,'KS Data'!$A$3:$F$108,3,FALSE)</f>
        <v>23</v>
      </c>
      <c r="F69" s="612">
        <f>VLOOKUP($A69,'KS Data'!$A$3:$F$108,4,FALSE)</f>
        <v>23</v>
      </c>
      <c r="G69" s="612" t="s">
        <v>63</v>
      </c>
      <c r="H69" s="671">
        <f>IFERROR(VLOOKUP($A69,'KS Data'!$A$146:$B$251,2,FALSE),"NULL")</f>
        <v>18</v>
      </c>
      <c r="I69" s="614" t="s">
        <v>63</v>
      </c>
      <c r="J69" s="615" t="s">
        <v>63</v>
      </c>
      <c r="K69" s="672" t="s">
        <v>63</v>
      </c>
      <c r="L69" s="785" t="s">
        <v>63</v>
      </c>
      <c r="M69" s="704" t="s">
        <v>63</v>
      </c>
      <c r="N69" s="729" t="s">
        <v>63</v>
      </c>
      <c r="O69" s="619" t="s">
        <v>63</v>
      </c>
      <c r="P69" s="620">
        <f>ifna(vlookup(A69,'Population &amp; Church Numbers'!$A$891:$D$995,4,FALSE),"NULL")</f>
        <v>25</v>
      </c>
      <c r="Q69" s="674" t="s">
        <v>63</v>
      </c>
    </row>
    <row r="70">
      <c r="A70" s="609" t="s">
        <v>994</v>
      </c>
      <c r="B70" s="610">
        <f t="array" ref="B70">VLOOKUP($A70,KS_DEMO,2,FALSE)</f>
        <v>2687</v>
      </c>
      <c r="C70" s="611">
        <f>VLOOKUP($A70,'KS Data'!$A$3:$F$108,2,FALSE)</f>
        <v>1</v>
      </c>
      <c r="D70" s="612" t="s">
        <v>63</v>
      </c>
      <c r="E70" s="612">
        <f>VLOOKUP($A70,'KS Data'!$A$3:$F$108,3,FALSE)</f>
        <v>0</v>
      </c>
      <c r="F70" s="612">
        <f>VLOOKUP($A70,'KS Data'!$A$3:$F$108,4,FALSE)</f>
        <v>1</v>
      </c>
      <c r="G70" s="612" t="s">
        <v>63</v>
      </c>
      <c r="H70" s="671">
        <f>IFERROR(VLOOKUP($A70,'KS Data'!$A$146:$B$251,2,FALSE),"NULL")</f>
        <v>0</v>
      </c>
      <c r="I70" s="614" t="s">
        <v>63</v>
      </c>
      <c r="J70" s="615" t="s">
        <v>63</v>
      </c>
      <c r="K70" s="672" t="s">
        <v>63</v>
      </c>
      <c r="L70" s="785" t="s">
        <v>63</v>
      </c>
      <c r="M70" s="704" t="s">
        <v>63</v>
      </c>
      <c r="N70" s="729" t="s">
        <v>63</v>
      </c>
      <c r="O70" s="619" t="s">
        <v>63</v>
      </c>
      <c r="P70" s="620">
        <f>ifna(vlookup(A70,'Population &amp; Church Numbers'!$A$891:$D$995,4,FALSE),"NULL")</f>
        <v>7</v>
      </c>
      <c r="Q70" s="674" t="s">
        <v>63</v>
      </c>
    </row>
    <row r="71">
      <c r="A71" s="609" t="s">
        <v>995</v>
      </c>
      <c r="B71" s="610">
        <f t="array" ref="B71">VLOOKUP($A71,KS_DEMO,2,FALSE)</f>
        <v>5459</v>
      </c>
      <c r="C71" s="611">
        <f>VLOOKUP($A71,'KS Data'!$A$3:$F$108,2,FALSE)</f>
        <v>12</v>
      </c>
      <c r="D71" s="612" t="s">
        <v>63</v>
      </c>
      <c r="E71" s="612">
        <f>VLOOKUP($A71,'KS Data'!$A$3:$F$108,3,FALSE)</f>
        <v>6</v>
      </c>
      <c r="F71" s="612">
        <f>VLOOKUP($A71,'KS Data'!$A$3:$F$108,4,FALSE)</f>
        <v>3</v>
      </c>
      <c r="G71" s="612" t="s">
        <v>63</v>
      </c>
      <c r="H71" s="671">
        <f>IFERROR(VLOOKUP($A71,'KS Data'!$A$146:$B$251,2,FALSE),"NULL")</f>
        <v>3</v>
      </c>
      <c r="I71" s="614" t="s">
        <v>63</v>
      </c>
      <c r="J71" s="615" t="s">
        <v>63</v>
      </c>
      <c r="K71" s="672" t="s">
        <v>63</v>
      </c>
      <c r="L71" s="785" t="s">
        <v>63</v>
      </c>
      <c r="M71" s="704" t="s">
        <v>63</v>
      </c>
      <c r="N71" s="729" t="s">
        <v>63</v>
      </c>
      <c r="O71" s="619" t="s">
        <v>63</v>
      </c>
      <c r="P71" s="620">
        <f>ifna(vlookup(A71,'Population &amp; Church Numbers'!$A$891:$D$995,4,FALSE),"NULL")</f>
        <v>16</v>
      </c>
      <c r="Q71" s="674" t="s">
        <v>63</v>
      </c>
    </row>
    <row r="72">
      <c r="A72" s="609" t="s">
        <v>996</v>
      </c>
      <c r="B72" s="610">
        <f t="array" ref="B72">VLOOKUP($A72,KS_DEMO,2,FALSE)</f>
        <v>15766</v>
      </c>
      <c r="C72" s="611">
        <f>VLOOKUP($A72,'KS Data'!$A$3:$F$108,2,FALSE)</f>
        <v>27</v>
      </c>
      <c r="D72" s="612" t="s">
        <v>63</v>
      </c>
      <c r="E72" s="612">
        <f>VLOOKUP($A72,'KS Data'!$A$3:$F$108,3,FALSE)</f>
        <v>10</v>
      </c>
      <c r="F72" s="612">
        <f>VLOOKUP($A72,'KS Data'!$A$3:$F$108,4,FALSE)</f>
        <v>0</v>
      </c>
      <c r="G72" s="612" t="s">
        <v>63</v>
      </c>
      <c r="H72" s="671">
        <f>IFERROR(VLOOKUP($A72,'KS Data'!$A$146:$B$251,2,FALSE),"NULL")</f>
        <v>18</v>
      </c>
      <c r="I72" s="614" t="s">
        <v>63</v>
      </c>
      <c r="J72" s="615" t="s">
        <v>63</v>
      </c>
      <c r="K72" s="672" t="s">
        <v>63</v>
      </c>
      <c r="L72" s="785" t="s">
        <v>63</v>
      </c>
      <c r="M72" s="704" t="s">
        <v>63</v>
      </c>
      <c r="N72" s="729" t="s">
        <v>63</v>
      </c>
      <c r="O72" s="619" t="s">
        <v>63</v>
      </c>
      <c r="P72" s="620">
        <f>ifna(vlookup(A72,'Population &amp; Church Numbers'!$A$891:$D$995,4,FALSE),"NULL")</f>
        <v>21</v>
      </c>
      <c r="Q72" s="674" t="s">
        <v>63</v>
      </c>
    </row>
    <row r="73">
      <c r="A73" s="609" t="s">
        <v>997</v>
      </c>
      <c r="B73" s="610">
        <f t="array" ref="B73">VLOOKUP($A73,KS_DEMO,2,FALSE)</f>
        <v>3500</v>
      </c>
      <c r="C73" s="611">
        <f>VLOOKUP($A73,'KS Data'!$A$3:$F$108,2,FALSE)</f>
        <v>3</v>
      </c>
      <c r="D73" s="612" t="s">
        <v>63</v>
      </c>
      <c r="E73" s="612">
        <f>VLOOKUP($A73,'KS Data'!$A$3:$F$108,3,FALSE)</f>
        <v>3</v>
      </c>
      <c r="F73" s="612">
        <f>VLOOKUP($A73,'KS Data'!$A$3:$F$108,4,FALSE)</f>
        <v>0</v>
      </c>
      <c r="G73" s="612" t="s">
        <v>63</v>
      </c>
      <c r="H73" s="671">
        <f>IFERROR(VLOOKUP($A73,'KS Data'!$A$146:$B$251,2,FALSE),"NULL")</f>
        <v>5</v>
      </c>
      <c r="I73" s="614" t="s">
        <v>63</v>
      </c>
      <c r="J73" s="615" t="s">
        <v>63</v>
      </c>
      <c r="K73" s="672" t="s">
        <v>63</v>
      </c>
      <c r="L73" s="785" t="s">
        <v>63</v>
      </c>
      <c r="M73" s="704" t="s">
        <v>63</v>
      </c>
      <c r="N73" s="729" t="s">
        <v>63</v>
      </c>
      <c r="O73" s="619" t="s">
        <v>63</v>
      </c>
      <c r="P73" s="620">
        <f>ifna(vlookup(A73,'Population &amp; Church Numbers'!$A$891:$D$995,4,FALSE),"NULL")</f>
        <v>14</v>
      </c>
      <c r="Q73" s="674" t="s">
        <v>63</v>
      </c>
    </row>
    <row r="74">
      <c r="A74" s="609" t="s">
        <v>998</v>
      </c>
      <c r="B74" s="610">
        <f t="array" ref="B74">VLOOKUP($A74,KS_DEMO,2,FALSE)</f>
        <v>5735</v>
      </c>
      <c r="C74" s="611">
        <f>VLOOKUP($A74,'KS Data'!$A$3:$F$108,2,FALSE)</f>
        <v>20</v>
      </c>
      <c r="D74" s="612" t="s">
        <v>63</v>
      </c>
      <c r="E74" s="612">
        <f>VLOOKUP($A74,'KS Data'!$A$3:$F$108,3,FALSE)</f>
        <v>9</v>
      </c>
      <c r="F74" s="612">
        <f>VLOOKUP($A74,'KS Data'!$A$3:$F$108,4,FALSE)</f>
        <v>10</v>
      </c>
      <c r="G74" s="612" t="s">
        <v>63</v>
      </c>
      <c r="H74" s="671">
        <f>IFERROR(VLOOKUP($A74,'KS Data'!$A$146:$B$251,2,FALSE),"NULL")</f>
        <v>3</v>
      </c>
      <c r="I74" s="614" t="s">
        <v>63</v>
      </c>
      <c r="J74" s="615" t="s">
        <v>63</v>
      </c>
      <c r="K74" s="672" t="s">
        <v>63</v>
      </c>
      <c r="L74" s="785" t="s">
        <v>63</v>
      </c>
      <c r="M74" s="704" t="s">
        <v>63</v>
      </c>
      <c r="N74" s="729" t="s">
        <v>63</v>
      </c>
      <c r="O74" s="619" t="s">
        <v>63</v>
      </c>
      <c r="P74" s="620">
        <f>ifna(vlookup(A74,'Population &amp; Church Numbers'!$A$891:$D$995,4,FALSE),"NULL")</f>
        <v>10</v>
      </c>
      <c r="Q74" s="674" t="s">
        <v>63</v>
      </c>
    </row>
    <row r="75">
      <c r="A75" s="609" t="s">
        <v>999</v>
      </c>
      <c r="B75" s="610">
        <f t="array" ref="B75">VLOOKUP($A75,KS_DEMO,2,FALSE)</f>
        <v>6253</v>
      </c>
      <c r="C75" s="611">
        <f>VLOOKUP($A75,'KS Data'!$A$3:$F$108,2,FALSE)</f>
        <v>21</v>
      </c>
      <c r="D75" s="612" t="s">
        <v>63</v>
      </c>
      <c r="E75" s="612">
        <f>VLOOKUP($A75,'KS Data'!$A$3:$F$108,3,FALSE)</f>
        <v>16</v>
      </c>
      <c r="F75" s="612">
        <f>VLOOKUP($A75,'KS Data'!$A$3:$F$108,4,FALSE)</f>
        <v>4</v>
      </c>
      <c r="G75" s="612" t="s">
        <v>63</v>
      </c>
      <c r="H75" s="671">
        <f>IFERROR(VLOOKUP($A75,'KS Data'!$A$146:$B$251,2,FALSE),"NULL")</f>
        <v>4</v>
      </c>
      <c r="I75" s="614" t="s">
        <v>63</v>
      </c>
      <c r="J75" s="615" t="s">
        <v>63</v>
      </c>
      <c r="K75" s="672" t="s">
        <v>63</v>
      </c>
      <c r="L75" s="785" t="s">
        <v>63</v>
      </c>
      <c r="M75" s="704" t="s">
        <v>63</v>
      </c>
      <c r="N75" s="729" t="s">
        <v>63</v>
      </c>
      <c r="O75" s="619" t="s">
        <v>63</v>
      </c>
      <c r="P75" s="620">
        <f>ifna(vlookup(A75,'Population &amp; Church Numbers'!$A$891:$D$995,4,FALSE),"NULL")</f>
        <v>14</v>
      </c>
      <c r="Q75" s="674" t="s">
        <v>63</v>
      </c>
    </row>
    <row r="76">
      <c r="A76" s="609" t="s">
        <v>300</v>
      </c>
      <c r="B76" s="610">
        <f t="array" ref="B76">VLOOKUP($A76,KS_DEMO,2,FALSE)</f>
        <v>4981</v>
      </c>
      <c r="C76" s="611">
        <f>VLOOKUP($A76,'KS Data'!$A$3:$F$108,2,FALSE)</f>
        <v>12</v>
      </c>
      <c r="D76" s="612" t="s">
        <v>63</v>
      </c>
      <c r="E76" s="612">
        <f>VLOOKUP($A76,'KS Data'!$A$3:$F$108,3,FALSE)</f>
        <v>5</v>
      </c>
      <c r="F76" s="612">
        <f>VLOOKUP($A76,'KS Data'!$A$3:$F$108,4,FALSE)</f>
        <v>5</v>
      </c>
      <c r="G76" s="612" t="s">
        <v>63</v>
      </c>
      <c r="H76" s="671">
        <f>IFERROR(VLOOKUP($A76,'KS Data'!$A$146:$B$251,2,FALSE),"NULL")</f>
        <v>7</v>
      </c>
      <c r="I76" s="614" t="s">
        <v>63</v>
      </c>
      <c r="J76" s="615" t="s">
        <v>63</v>
      </c>
      <c r="K76" s="672" t="s">
        <v>63</v>
      </c>
      <c r="L76" s="785" t="s">
        <v>63</v>
      </c>
      <c r="M76" s="704" t="s">
        <v>63</v>
      </c>
      <c r="N76" s="729" t="s">
        <v>63</v>
      </c>
      <c r="O76" s="619" t="s">
        <v>63</v>
      </c>
      <c r="P76" s="620">
        <f>ifna(vlookup(A76,'Population &amp; Church Numbers'!$A$891:$D$995,4,FALSE),"NULL")</f>
        <v>18</v>
      </c>
      <c r="Q76" s="674" t="s">
        <v>63</v>
      </c>
    </row>
    <row r="77">
      <c r="A77" s="609" t="s">
        <v>1000</v>
      </c>
      <c r="B77" s="610">
        <f t="array" ref="B77">VLOOKUP($A77,KS_DEMO,2,FALSE)</f>
        <v>25348</v>
      </c>
      <c r="C77" s="611">
        <f>VLOOKUP($A77,'KS Data'!$A$3:$F$108,2,FALSE)</f>
        <v>37</v>
      </c>
      <c r="D77" s="612" t="s">
        <v>63</v>
      </c>
      <c r="E77" s="612">
        <f>VLOOKUP($A77,'KS Data'!$A$3:$F$108,3,FALSE)</f>
        <v>16</v>
      </c>
      <c r="F77" s="612">
        <f>VLOOKUP($A77,'KS Data'!$A$3:$F$108,4,FALSE)</f>
        <v>18</v>
      </c>
      <c r="G77" s="612" t="s">
        <v>63</v>
      </c>
      <c r="H77" s="671">
        <f>IFERROR(VLOOKUP($A77,'KS Data'!$A$146:$B$251,2,FALSE),"NULL")</f>
        <v>25</v>
      </c>
      <c r="I77" s="614" t="s">
        <v>63</v>
      </c>
      <c r="J77" s="615" t="s">
        <v>63</v>
      </c>
      <c r="K77" s="672" t="s">
        <v>63</v>
      </c>
      <c r="L77" s="785" t="s">
        <v>63</v>
      </c>
      <c r="M77" s="704" t="s">
        <v>63</v>
      </c>
      <c r="N77" s="729" t="s">
        <v>63</v>
      </c>
      <c r="O77" s="619" t="s">
        <v>63</v>
      </c>
      <c r="P77" s="620">
        <f>ifna(vlookup(A77,'Population &amp; Church Numbers'!$A$891:$D$995,4,FALSE),"NULL")</f>
        <v>33</v>
      </c>
      <c r="Q77" s="674" t="s">
        <v>63</v>
      </c>
    </row>
    <row r="78">
      <c r="A78" s="609" t="s">
        <v>1001</v>
      </c>
      <c r="B78" s="610">
        <f t="array" ref="B78">VLOOKUP($A78,KS_DEMO,2,FALSE)</f>
        <v>9157</v>
      </c>
      <c r="C78" s="611">
        <f>VLOOKUP($A78,'KS Data'!$A$3:$F$108,2,FALSE)</f>
        <v>29</v>
      </c>
      <c r="D78" s="612" t="s">
        <v>63</v>
      </c>
      <c r="E78" s="612">
        <f>VLOOKUP($A78,'KS Data'!$A$3:$F$108,3,FALSE)</f>
        <v>11</v>
      </c>
      <c r="F78" s="612">
        <f>VLOOKUP($A78,'KS Data'!$A$3:$F$108,4,FALSE)</f>
        <v>13</v>
      </c>
      <c r="G78" s="612" t="s">
        <v>63</v>
      </c>
      <c r="H78" s="671">
        <f>IFERROR(VLOOKUP($A78,'KS Data'!$A$146:$B$251,2,FALSE),"NULL")</f>
        <v>4</v>
      </c>
      <c r="I78" s="614" t="s">
        <v>63</v>
      </c>
      <c r="J78" s="615" t="s">
        <v>63</v>
      </c>
      <c r="K78" s="672" t="s">
        <v>63</v>
      </c>
      <c r="L78" s="785" t="s">
        <v>63</v>
      </c>
      <c r="M78" s="704" t="s">
        <v>63</v>
      </c>
      <c r="N78" s="729" t="s">
        <v>63</v>
      </c>
      <c r="O78" s="619" t="s">
        <v>63</v>
      </c>
      <c r="P78" s="620">
        <f>ifna(vlookup(A78,'Population &amp; Church Numbers'!$A$891:$D$995,4,FALSE),"NULL")</f>
        <v>16</v>
      </c>
      <c r="Q78" s="674" t="s">
        <v>63</v>
      </c>
    </row>
    <row r="79">
      <c r="A79" s="609" t="s">
        <v>1002</v>
      </c>
      <c r="B79" s="610">
        <f t="array" ref="B79">VLOOKUP($A79,KS_DEMO,2,FALSE)</f>
        <v>2561</v>
      </c>
      <c r="C79" s="611">
        <f>VLOOKUP($A79,'KS Data'!$A$3:$F$108,2,FALSE)</f>
        <v>5</v>
      </c>
      <c r="D79" s="612" t="s">
        <v>63</v>
      </c>
      <c r="E79" s="612">
        <f>VLOOKUP($A79,'KS Data'!$A$3:$F$108,3,FALSE)</f>
        <v>3</v>
      </c>
      <c r="F79" s="612">
        <f>VLOOKUP($A79,'KS Data'!$A$3:$F$108,4,FALSE)</f>
        <v>0</v>
      </c>
      <c r="G79" s="612" t="s">
        <v>63</v>
      </c>
      <c r="H79" s="671">
        <f>IFERROR(VLOOKUP($A79,'KS Data'!$A$146:$B$251,2,FALSE),"NULL")</f>
        <v>0</v>
      </c>
      <c r="I79" s="614" t="s">
        <v>63</v>
      </c>
      <c r="J79" s="615" t="s">
        <v>63</v>
      </c>
      <c r="K79" s="672" t="s">
        <v>63</v>
      </c>
      <c r="L79" s="785" t="s">
        <v>63</v>
      </c>
      <c r="M79" s="704" t="s">
        <v>63</v>
      </c>
      <c r="N79" s="729" t="s">
        <v>63</v>
      </c>
      <c r="O79" s="619" t="s">
        <v>63</v>
      </c>
      <c r="P79" s="620">
        <f>ifna(vlookup(A79,'Population &amp; Church Numbers'!$A$891:$D$995,4,FALSE),"NULL")</f>
        <v>7</v>
      </c>
      <c r="Q79" s="674" t="s">
        <v>63</v>
      </c>
    </row>
    <row r="80">
      <c r="A80" s="609" t="s">
        <v>1003</v>
      </c>
      <c r="B80" s="610">
        <f t="array" ref="B80">VLOOKUP($A80,KS_DEMO,2,FALSE)</f>
        <v>61898</v>
      </c>
      <c r="C80" s="611">
        <f>VLOOKUP($A80,'KS Data'!$A$3:$F$108,2,FALSE)</f>
        <v>194</v>
      </c>
      <c r="D80" s="612" t="s">
        <v>63</v>
      </c>
      <c r="E80" s="612">
        <f>VLOOKUP($A80,'KS Data'!$A$3:$F$108,3,FALSE)</f>
        <v>96</v>
      </c>
      <c r="F80" s="612">
        <f>VLOOKUP($A80,'KS Data'!$A$3:$F$108,4,FALSE)</f>
        <v>62</v>
      </c>
      <c r="G80" s="612" t="s">
        <v>63</v>
      </c>
      <c r="H80" s="671">
        <f>IFERROR(VLOOKUP($A80,'KS Data'!$A$146:$B$251,2,FALSE),"NULL")</f>
        <v>51</v>
      </c>
      <c r="I80" s="614" t="s">
        <v>63</v>
      </c>
      <c r="J80" s="615" t="s">
        <v>63</v>
      </c>
      <c r="K80" s="672" t="s">
        <v>63</v>
      </c>
      <c r="L80" s="785" t="s">
        <v>63</v>
      </c>
      <c r="M80" s="704" t="s">
        <v>63</v>
      </c>
      <c r="N80" s="729" t="s">
        <v>63</v>
      </c>
      <c r="O80" s="619" t="s">
        <v>63</v>
      </c>
      <c r="P80" s="620">
        <f>ifna(vlookup(A80,'Population &amp; Church Numbers'!$A$891:$D$995,4,FALSE),"NULL")</f>
        <v>76</v>
      </c>
      <c r="Q80" s="674" t="s">
        <v>63</v>
      </c>
    </row>
    <row r="81">
      <c r="A81" s="609" t="s">
        <v>1004</v>
      </c>
      <c r="B81" s="610">
        <f t="array" ref="B81">VLOOKUP($A81,KS_DEMO,2,FALSE)</f>
        <v>4674</v>
      </c>
      <c r="C81" s="611">
        <f>VLOOKUP($A81,'KS Data'!$A$3:$F$108,2,FALSE)</f>
        <v>5</v>
      </c>
      <c r="D81" s="612" t="s">
        <v>63</v>
      </c>
      <c r="E81" s="612">
        <f>VLOOKUP($A81,'KS Data'!$A$3:$F$108,3,FALSE)</f>
        <v>5</v>
      </c>
      <c r="F81" s="612">
        <f>VLOOKUP($A81,'KS Data'!$A$3:$F$108,4,FALSE)</f>
        <v>0</v>
      </c>
      <c r="G81" s="612" t="s">
        <v>63</v>
      </c>
      <c r="H81" s="671">
        <f>IFERROR(VLOOKUP($A81,'KS Data'!$A$146:$B$251,2,FALSE),"NULL")</f>
        <v>4</v>
      </c>
      <c r="I81" s="614" t="s">
        <v>63</v>
      </c>
      <c r="J81" s="615" t="s">
        <v>63</v>
      </c>
      <c r="K81" s="672" t="s">
        <v>63</v>
      </c>
      <c r="L81" s="785" t="s">
        <v>63</v>
      </c>
      <c r="M81" s="704" t="s">
        <v>63</v>
      </c>
      <c r="N81" s="729" t="s">
        <v>63</v>
      </c>
      <c r="O81" s="619" t="s">
        <v>63</v>
      </c>
      <c r="P81" s="620">
        <f>ifna(vlookup(A81,'Population &amp; Church Numbers'!$A$891:$D$995,4,FALSE),"NULL")</f>
        <v>16</v>
      </c>
      <c r="Q81" s="674" t="s">
        <v>63</v>
      </c>
    </row>
    <row r="82">
      <c r="A82" s="609" t="s">
        <v>1005</v>
      </c>
      <c r="B82" s="610">
        <f t="array" ref="B82">VLOOKUP($A82,KS_DEMO,2,FALSE)</f>
        <v>9427</v>
      </c>
      <c r="C82" s="611">
        <f>VLOOKUP($A82,'KS Data'!$A$3:$F$108,2,FALSE)</f>
        <v>22</v>
      </c>
      <c r="D82" s="612" t="s">
        <v>63</v>
      </c>
      <c r="E82" s="612">
        <f>VLOOKUP($A82,'KS Data'!$A$3:$F$108,3,FALSE)</f>
        <v>15</v>
      </c>
      <c r="F82" s="612">
        <f>VLOOKUP($A82,'KS Data'!$A$3:$F$108,4,FALSE)</f>
        <v>2</v>
      </c>
      <c r="G82" s="612" t="s">
        <v>63</v>
      </c>
      <c r="H82" s="671">
        <f>IFERROR(VLOOKUP($A82,'KS Data'!$A$146:$B$251,2,FALSE),"NULL")</f>
        <v>11</v>
      </c>
      <c r="I82" s="614" t="s">
        <v>63</v>
      </c>
      <c r="J82" s="615" t="s">
        <v>63</v>
      </c>
      <c r="K82" s="672" t="s">
        <v>63</v>
      </c>
      <c r="L82" s="785" t="s">
        <v>63</v>
      </c>
      <c r="M82" s="704" t="s">
        <v>63</v>
      </c>
      <c r="N82" s="729" t="s">
        <v>63</v>
      </c>
      <c r="O82" s="619" t="s">
        <v>63</v>
      </c>
      <c r="P82" s="620">
        <f>ifna(vlookup(A82,'Population &amp; Church Numbers'!$A$891:$D$995,4,FALSE),"NULL")</f>
        <v>33</v>
      </c>
      <c r="Q82" s="674" t="s">
        <v>63</v>
      </c>
    </row>
    <row r="83">
      <c r="A83" s="609" t="s">
        <v>1006</v>
      </c>
      <c r="B83" s="610">
        <f t="array" ref="B83">VLOOKUP($A83,KS_DEMO,2,FALSE)</f>
        <v>71959</v>
      </c>
      <c r="C83" s="611">
        <f>VLOOKUP($A83,'KS Data'!$A$3:$F$108,2,FALSE)</f>
        <v>64</v>
      </c>
      <c r="D83" s="612" t="s">
        <v>63</v>
      </c>
      <c r="E83" s="612">
        <f>VLOOKUP($A83,'KS Data'!$A$3:$F$108,3,FALSE)</f>
        <v>41</v>
      </c>
      <c r="F83" s="612">
        <f>VLOOKUP($A83,'KS Data'!$A$3:$F$108,4,FALSE)</f>
        <v>14</v>
      </c>
      <c r="G83" s="612" t="s">
        <v>63</v>
      </c>
      <c r="H83" s="671">
        <f>IFERROR(VLOOKUP($A83,'KS Data'!$A$146:$B$251,2,FALSE),"NULL")</f>
        <v>46</v>
      </c>
      <c r="I83" s="614" t="s">
        <v>63</v>
      </c>
      <c r="J83" s="615" t="s">
        <v>63</v>
      </c>
      <c r="K83" s="672" t="s">
        <v>63</v>
      </c>
      <c r="L83" s="785" t="s">
        <v>63</v>
      </c>
      <c r="M83" s="704" t="s">
        <v>63</v>
      </c>
      <c r="N83" s="729" t="s">
        <v>63</v>
      </c>
      <c r="O83" s="619" t="s">
        <v>63</v>
      </c>
      <c r="P83" s="620">
        <f>ifna(vlookup(A83,'Population &amp; Church Numbers'!$A$891:$D$995,4,FALSE),"NULL")</f>
        <v>57</v>
      </c>
      <c r="Q83" s="674" t="s">
        <v>63</v>
      </c>
    </row>
    <row r="84">
      <c r="A84" s="609" t="s">
        <v>1007</v>
      </c>
      <c r="B84" s="610">
        <f t="array" ref="B84">VLOOKUP($A84,KS_DEMO,2,FALSE)</f>
        <v>4919</v>
      </c>
      <c r="C84" s="611">
        <f>VLOOKUP($A84,'KS Data'!$A$3:$F$108,2,FALSE)</f>
        <v>15</v>
      </c>
      <c r="D84" s="612" t="s">
        <v>63</v>
      </c>
      <c r="E84" s="612">
        <f>VLOOKUP($A84,'KS Data'!$A$3:$F$108,3,FALSE)</f>
        <v>1</v>
      </c>
      <c r="F84" s="612">
        <f>VLOOKUP($A84,'KS Data'!$A$3:$F$108,4,FALSE)</f>
        <v>11</v>
      </c>
      <c r="G84" s="612" t="s">
        <v>63</v>
      </c>
      <c r="H84" s="671">
        <f>IFERROR(VLOOKUP($A84,'KS Data'!$A$146:$B$251,2,FALSE),"NULL")</f>
        <v>1</v>
      </c>
      <c r="I84" s="614" t="s">
        <v>63</v>
      </c>
      <c r="J84" s="615" t="s">
        <v>63</v>
      </c>
      <c r="K84" s="672" t="s">
        <v>63</v>
      </c>
      <c r="L84" s="785" t="s">
        <v>63</v>
      </c>
      <c r="M84" s="704" t="s">
        <v>63</v>
      </c>
      <c r="N84" s="729" t="s">
        <v>63</v>
      </c>
      <c r="O84" s="619" t="s">
        <v>63</v>
      </c>
      <c r="P84" s="620">
        <f>ifna(vlookup(A84,'Population &amp; Church Numbers'!$A$891:$D$995,4,FALSE),"NULL")</f>
        <v>14</v>
      </c>
      <c r="Q84" s="674" t="s">
        <v>63</v>
      </c>
    </row>
    <row r="85">
      <c r="A85" s="609" t="s">
        <v>842</v>
      </c>
      <c r="B85" s="610">
        <f t="array" ref="B85">VLOOKUP($A85,KS_DEMO,2,FALSE)</f>
        <v>2956</v>
      </c>
      <c r="C85" s="611">
        <f>VLOOKUP($A85,'KS Data'!$A$3:$F$108,2,FALSE)</f>
        <v>6</v>
      </c>
      <c r="D85" s="612" t="s">
        <v>63</v>
      </c>
      <c r="E85" s="612">
        <f>VLOOKUP($A85,'KS Data'!$A$3:$F$108,3,FALSE)</f>
        <v>2</v>
      </c>
      <c r="F85" s="612">
        <f>VLOOKUP($A85,'KS Data'!$A$3:$F$108,4,FALSE)</f>
        <v>4</v>
      </c>
      <c r="G85" s="612" t="s">
        <v>63</v>
      </c>
      <c r="H85" s="671">
        <f>IFERROR(VLOOKUP($A85,'KS Data'!$A$146:$B$251,2,FALSE),"NULL")</f>
        <v>2</v>
      </c>
      <c r="I85" s="614" t="s">
        <v>63</v>
      </c>
      <c r="J85" s="615" t="s">
        <v>63</v>
      </c>
      <c r="K85" s="672" t="s">
        <v>63</v>
      </c>
      <c r="L85" s="785" t="s">
        <v>63</v>
      </c>
      <c r="M85" s="704" t="s">
        <v>63</v>
      </c>
      <c r="N85" s="729" t="s">
        <v>63</v>
      </c>
      <c r="O85" s="619" t="s">
        <v>63</v>
      </c>
      <c r="P85" s="620">
        <f>ifna(vlookup(A85,'Population &amp; Church Numbers'!$A$891:$D$995,4,FALSE),"NULL")</f>
        <v>11</v>
      </c>
      <c r="Q85" s="674" t="s">
        <v>63</v>
      </c>
    </row>
    <row r="86">
      <c r="A86" s="609" t="s">
        <v>165</v>
      </c>
      <c r="B86" s="610">
        <f t="array" ref="B86">VLOOKUP($A86,KS_DEMO,2,FALSE)</f>
        <v>6691</v>
      </c>
      <c r="C86" s="611">
        <f>VLOOKUP($A86,'KS Data'!$A$3:$F$108,2,FALSE)</f>
        <v>20</v>
      </c>
      <c r="D86" s="612" t="s">
        <v>63</v>
      </c>
      <c r="E86" s="612">
        <f>VLOOKUP($A86,'KS Data'!$A$3:$F$108,3,FALSE)</f>
        <v>11</v>
      </c>
      <c r="F86" s="612">
        <f>VLOOKUP($A86,'KS Data'!$A$3:$F$108,4,FALSE)</f>
        <v>6</v>
      </c>
      <c r="G86" s="612" t="s">
        <v>63</v>
      </c>
      <c r="H86" s="671">
        <f>IFERROR(VLOOKUP($A86,'KS Data'!$A$146:$B$251,2,FALSE),"NULL")</f>
        <v>7</v>
      </c>
      <c r="I86" s="614" t="s">
        <v>63</v>
      </c>
      <c r="J86" s="615" t="s">
        <v>63</v>
      </c>
      <c r="K86" s="672" t="s">
        <v>63</v>
      </c>
      <c r="L86" s="785" t="s">
        <v>63</v>
      </c>
      <c r="M86" s="704" t="s">
        <v>63</v>
      </c>
      <c r="N86" s="729" t="s">
        <v>63</v>
      </c>
      <c r="O86" s="619" t="s">
        <v>63</v>
      </c>
      <c r="P86" s="620">
        <f>ifna(vlookup(A86,'Population &amp; Church Numbers'!$A$891:$D$995,4,FALSE),"NULL")</f>
        <v>18</v>
      </c>
      <c r="Q86" s="674" t="s">
        <v>63</v>
      </c>
    </row>
    <row r="87">
      <c r="A87" s="609" t="s">
        <v>308</v>
      </c>
      <c r="B87" s="610">
        <f t="array" ref="B87">VLOOKUP($A87,KS_DEMO,2,FALSE)</f>
        <v>54303</v>
      </c>
      <c r="C87" s="611">
        <f>VLOOKUP($A87,'KS Data'!$A$3:$F$108,2,FALSE)</f>
        <v>97</v>
      </c>
      <c r="D87" s="612" t="s">
        <v>63</v>
      </c>
      <c r="E87" s="612">
        <f>VLOOKUP($A87,'KS Data'!$A$3:$F$108,3,FALSE)</f>
        <v>50</v>
      </c>
      <c r="F87" s="612">
        <f>VLOOKUP($A87,'KS Data'!$A$3:$F$108,4,FALSE)</f>
        <v>25</v>
      </c>
      <c r="G87" s="612" t="s">
        <v>63</v>
      </c>
      <c r="H87" s="671">
        <f>IFERROR(VLOOKUP($A87,'KS Data'!$A$146:$B$251,2,FALSE),"NULL")</f>
        <v>30</v>
      </c>
      <c r="I87" s="614" t="s">
        <v>63</v>
      </c>
      <c r="J87" s="615" t="s">
        <v>63</v>
      </c>
      <c r="K87" s="672" t="s">
        <v>63</v>
      </c>
      <c r="L87" s="785" t="s">
        <v>63</v>
      </c>
      <c r="M87" s="704" t="s">
        <v>63</v>
      </c>
      <c r="N87" s="729" t="s">
        <v>63</v>
      </c>
      <c r="O87" s="619" t="s">
        <v>63</v>
      </c>
      <c r="P87" s="620">
        <f>ifna(vlookup(A87,'Population &amp; Church Numbers'!$A$891:$D$995,4,FALSE),"NULL")</f>
        <v>54</v>
      </c>
      <c r="Q87" s="674" t="s">
        <v>63</v>
      </c>
    </row>
    <row r="88">
      <c r="A88" s="609" t="s">
        <v>309</v>
      </c>
      <c r="B88" s="610">
        <f t="array" ref="B88">VLOOKUP($A88,KS_DEMO,2,FALSE)</f>
        <v>5151</v>
      </c>
      <c r="C88" s="611">
        <f>VLOOKUP($A88,'KS Data'!$A$3:$F$108,2,FALSE)</f>
        <v>21</v>
      </c>
      <c r="D88" s="612" t="s">
        <v>63</v>
      </c>
      <c r="E88" s="612">
        <f>VLOOKUP($A88,'KS Data'!$A$3:$F$108,3,FALSE)</f>
        <v>16</v>
      </c>
      <c r="F88" s="612">
        <f>VLOOKUP($A88,'KS Data'!$A$3:$F$108,4,FALSE)</f>
        <v>1</v>
      </c>
      <c r="G88" s="612" t="s">
        <v>63</v>
      </c>
      <c r="H88" s="671">
        <f>IFERROR(VLOOKUP($A88,'KS Data'!$A$146:$B$251,2,FALSE),"NULL")</f>
        <v>7</v>
      </c>
      <c r="I88" s="614" t="s">
        <v>63</v>
      </c>
      <c r="J88" s="615" t="s">
        <v>63</v>
      </c>
      <c r="K88" s="672" t="s">
        <v>63</v>
      </c>
      <c r="L88" s="785" t="s">
        <v>63</v>
      </c>
      <c r="M88" s="704" t="s">
        <v>63</v>
      </c>
      <c r="N88" s="729" t="s">
        <v>63</v>
      </c>
      <c r="O88" s="619" t="s">
        <v>63</v>
      </c>
      <c r="P88" s="620">
        <f>ifna(vlookup(A88,'Population &amp; Church Numbers'!$A$891:$D$995,4,FALSE),"NULL")</f>
        <v>10</v>
      </c>
      <c r="Q88" s="674" t="s">
        <v>63</v>
      </c>
    </row>
    <row r="89">
      <c r="A89" s="609" t="s">
        <v>459</v>
      </c>
      <c r="B89" s="610">
        <f t="array" ref="B89">VLOOKUP($A89,KS_DEMO,2,FALSE)</f>
        <v>523824</v>
      </c>
      <c r="C89" s="718">
        <f>VLOOKUP($A89,'KS Data'!$A$3:$F$108,2,FALSE)</f>
        <v>1367</v>
      </c>
      <c r="D89" s="612" t="s">
        <v>63</v>
      </c>
      <c r="E89" s="612">
        <f>VLOOKUP($A89,'KS Data'!$A$3:$F$108,3,FALSE)</f>
        <v>669</v>
      </c>
      <c r="F89" s="612">
        <f>VLOOKUP($A89,'KS Data'!$A$3:$F$108,4,FALSE)</f>
        <v>549</v>
      </c>
      <c r="G89" s="612" t="s">
        <v>63</v>
      </c>
      <c r="H89" s="671">
        <f>IFERROR(VLOOKUP($A89,'KS Data'!$A$146:$B$251,2,FALSE),"NULL")</f>
        <v>641</v>
      </c>
      <c r="I89" s="614" t="s">
        <v>63</v>
      </c>
      <c r="J89" s="615" t="s">
        <v>63</v>
      </c>
      <c r="K89" s="672" t="s">
        <v>63</v>
      </c>
      <c r="L89" s="785" t="s">
        <v>63</v>
      </c>
      <c r="M89" s="704" t="s">
        <v>63</v>
      </c>
      <c r="N89" s="729" t="s">
        <v>63</v>
      </c>
      <c r="O89" s="619" t="s">
        <v>63</v>
      </c>
      <c r="P89" s="620">
        <f>ifna(vlookup(A89,'Population &amp; Church Numbers'!$A$891:$D$995,4,FALSE),"NULL")</f>
        <v>388</v>
      </c>
      <c r="Q89" s="674" t="s">
        <v>63</v>
      </c>
    </row>
    <row r="90">
      <c r="A90" s="609" t="s">
        <v>1008</v>
      </c>
      <c r="B90" s="610">
        <f t="array" ref="B90">VLOOKUP($A90,KS_DEMO,2,FALSE)</f>
        <v>21964</v>
      </c>
      <c r="C90" s="611">
        <f>VLOOKUP($A90,'KS Data'!$A$3:$F$108,2,FALSE)</f>
        <v>23</v>
      </c>
      <c r="D90" s="612" t="s">
        <v>63</v>
      </c>
      <c r="E90" s="612">
        <f>VLOOKUP($A90,'KS Data'!$A$3:$F$108,3,FALSE)</f>
        <v>11</v>
      </c>
      <c r="F90" s="612">
        <f>VLOOKUP($A90,'KS Data'!$A$3:$F$108,4,FALSE)</f>
        <v>8</v>
      </c>
      <c r="G90" s="612" t="s">
        <v>63</v>
      </c>
      <c r="H90" s="671">
        <f>IFERROR(VLOOKUP($A90,'KS Data'!$A$146:$B$251,2,FALSE),"NULL")</f>
        <v>7</v>
      </c>
      <c r="I90" s="614" t="s">
        <v>63</v>
      </c>
      <c r="J90" s="615" t="s">
        <v>63</v>
      </c>
      <c r="K90" s="672" t="s">
        <v>63</v>
      </c>
      <c r="L90" s="785" t="s">
        <v>63</v>
      </c>
      <c r="M90" s="704" t="s">
        <v>63</v>
      </c>
      <c r="N90" s="729" t="s">
        <v>63</v>
      </c>
      <c r="O90" s="619" t="s">
        <v>63</v>
      </c>
      <c r="P90" s="620">
        <f>ifna(vlookup(A90,'Population &amp; Church Numbers'!$A$891:$D$995,4,FALSE),"NULL")</f>
        <v>24</v>
      </c>
      <c r="Q90" s="674" t="s">
        <v>63</v>
      </c>
    </row>
    <row r="91">
      <c r="A91" s="609" t="s">
        <v>1009</v>
      </c>
      <c r="B91" s="610">
        <f t="array" ref="B91">VLOOKUP($A91,KS_DEMO,2,FALSE)</f>
        <v>178909</v>
      </c>
      <c r="C91" s="718">
        <f>VLOOKUP($A91,'KS Data'!$A$3:$F$108,2,FALSE)</f>
        <v>660</v>
      </c>
      <c r="D91" s="612" t="s">
        <v>63</v>
      </c>
      <c r="E91" s="612">
        <f>VLOOKUP($A91,'KS Data'!$A$3:$F$108,3,FALSE)</f>
        <v>358</v>
      </c>
      <c r="F91" s="612">
        <f>VLOOKUP($A91,'KS Data'!$A$3:$F$108,4,FALSE)</f>
        <v>214</v>
      </c>
      <c r="G91" s="612" t="s">
        <v>63</v>
      </c>
      <c r="H91" s="671">
        <f>IFERROR(VLOOKUP($A91,'KS Data'!$A$146:$B$251,2,FALSE),"NULL")</f>
        <v>155</v>
      </c>
      <c r="I91" s="614" t="s">
        <v>63</v>
      </c>
      <c r="J91" s="615" t="s">
        <v>63</v>
      </c>
      <c r="K91" s="672" t="s">
        <v>63</v>
      </c>
      <c r="L91" s="785" t="s">
        <v>63</v>
      </c>
      <c r="M91" s="704" t="s">
        <v>63</v>
      </c>
      <c r="N91" s="729" t="s">
        <v>63</v>
      </c>
      <c r="O91" s="619" t="s">
        <v>63</v>
      </c>
      <c r="P91" s="620">
        <f>ifna(vlookup(A91,'Population &amp; Church Numbers'!$A$891:$D$995,4,FALSE),"NULL")</f>
        <v>184</v>
      </c>
      <c r="Q91" s="674" t="s">
        <v>63</v>
      </c>
    </row>
    <row r="92">
      <c r="A92" s="609" t="s">
        <v>1010</v>
      </c>
      <c r="B92" s="610">
        <f t="array" ref="B92">VLOOKUP($A92,KS_DEMO,2,FALSE)</f>
        <v>2447</v>
      </c>
      <c r="C92" s="611">
        <f>VLOOKUP($A92,'KS Data'!$A$3:$F$108,2,FALSE)</f>
        <v>4</v>
      </c>
      <c r="D92" s="612" t="s">
        <v>63</v>
      </c>
      <c r="E92" s="612">
        <f>VLOOKUP($A92,'KS Data'!$A$3:$F$108,3,FALSE)</f>
        <v>1</v>
      </c>
      <c r="F92" s="612">
        <f>VLOOKUP($A92,'KS Data'!$A$3:$F$108,4,FALSE)</f>
        <v>3</v>
      </c>
      <c r="G92" s="612" t="s">
        <v>63</v>
      </c>
      <c r="H92" s="671">
        <f>IFERROR(VLOOKUP($A92,'KS Data'!$A$146:$B$251,2,FALSE),"NULL")</f>
        <v>1</v>
      </c>
      <c r="I92" s="614" t="s">
        <v>63</v>
      </c>
      <c r="J92" s="615" t="s">
        <v>63</v>
      </c>
      <c r="K92" s="672" t="s">
        <v>63</v>
      </c>
      <c r="L92" s="785" t="s">
        <v>63</v>
      </c>
      <c r="M92" s="704" t="s">
        <v>63</v>
      </c>
      <c r="N92" s="729" t="s">
        <v>63</v>
      </c>
      <c r="O92" s="619" t="s">
        <v>63</v>
      </c>
      <c r="P92" s="620">
        <f>ifna(vlookup(A92,'Population &amp; Church Numbers'!$A$891:$D$995,4,FALSE),"NULL")</f>
        <v>10</v>
      </c>
      <c r="Q92" s="674" t="s">
        <v>63</v>
      </c>
    </row>
    <row r="93">
      <c r="A93" s="609" t="s">
        <v>1011</v>
      </c>
      <c r="B93" s="610">
        <f t="array" ref="B93">VLOOKUP($A93,KS_DEMO,2,FALSE)</f>
        <v>5927</v>
      </c>
      <c r="C93" s="611">
        <f>VLOOKUP($A93,'KS Data'!$A$3:$F$108,2,FALSE)</f>
        <v>26</v>
      </c>
      <c r="D93" s="612" t="s">
        <v>63</v>
      </c>
      <c r="E93" s="612">
        <f>VLOOKUP($A93,'KS Data'!$A$3:$F$108,3,FALSE)</f>
        <v>16</v>
      </c>
      <c r="F93" s="612">
        <f>VLOOKUP($A93,'KS Data'!$A$3:$F$108,4,FALSE)</f>
        <v>5</v>
      </c>
      <c r="G93" s="612" t="s">
        <v>63</v>
      </c>
      <c r="H93" s="671">
        <f>IFERROR(VLOOKUP($A93,'KS Data'!$A$146:$B$251,2,FALSE),"NULL")</f>
        <v>3</v>
      </c>
      <c r="I93" s="614" t="s">
        <v>63</v>
      </c>
      <c r="J93" s="615" t="s">
        <v>63</v>
      </c>
      <c r="K93" s="672" t="s">
        <v>63</v>
      </c>
      <c r="L93" s="785" t="s">
        <v>63</v>
      </c>
      <c r="M93" s="704" t="s">
        <v>63</v>
      </c>
      <c r="N93" s="729" t="s">
        <v>63</v>
      </c>
      <c r="O93" s="619" t="s">
        <v>63</v>
      </c>
      <c r="P93" s="620">
        <f>ifna(vlookup(A93,'Population &amp; Church Numbers'!$A$891:$D$995,4,FALSE),"NULL")</f>
        <v>11</v>
      </c>
      <c r="Q93" s="674" t="s">
        <v>63</v>
      </c>
    </row>
    <row r="94">
      <c r="A94" s="609" t="s">
        <v>1012</v>
      </c>
      <c r="B94" s="610">
        <f t="array" ref="B94">VLOOKUP($A94,KS_DEMO,2,FALSE)</f>
        <v>3570</v>
      </c>
      <c r="C94" s="611">
        <f>VLOOKUP($A94,'KS Data'!$A$3:$F$108,2,FALSE)</f>
        <v>4</v>
      </c>
      <c r="D94" s="612" t="s">
        <v>63</v>
      </c>
      <c r="E94" s="612">
        <f>VLOOKUP($A94,'KS Data'!$A$3:$F$108,3,FALSE)</f>
        <v>2</v>
      </c>
      <c r="F94" s="612">
        <f>VLOOKUP($A94,'KS Data'!$A$3:$F$108,4,FALSE)</f>
        <v>2</v>
      </c>
      <c r="G94" s="612" t="s">
        <v>63</v>
      </c>
      <c r="H94" s="671">
        <f>IFERROR(VLOOKUP($A94,'KS Data'!$A$146:$B$251,2,FALSE),"NULL")</f>
        <v>6</v>
      </c>
      <c r="I94" s="614" t="s">
        <v>63</v>
      </c>
      <c r="J94" s="615" t="s">
        <v>63</v>
      </c>
      <c r="K94" s="672" t="s">
        <v>63</v>
      </c>
      <c r="L94" s="785" t="s">
        <v>63</v>
      </c>
      <c r="M94" s="704" t="s">
        <v>63</v>
      </c>
      <c r="N94" s="729" t="s">
        <v>63</v>
      </c>
      <c r="O94" s="619" t="s">
        <v>63</v>
      </c>
      <c r="P94" s="620">
        <f>ifna(vlookup(A94,'Population &amp; Church Numbers'!$A$891:$D$995,4,FALSE),"NULL")</f>
        <v>13</v>
      </c>
      <c r="Q94" s="674" t="s">
        <v>63</v>
      </c>
    </row>
    <row r="95">
      <c r="A95" s="609" t="s">
        <v>1013</v>
      </c>
      <c r="B95" s="610">
        <f t="array" ref="B95">VLOOKUP($A95,KS_DEMO,2,FALSE)</f>
        <v>4072</v>
      </c>
      <c r="C95" s="611">
        <f>VLOOKUP($A95,'KS Data'!$A$3:$F$108,2,FALSE)</f>
        <v>13</v>
      </c>
      <c r="D95" s="612" t="s">
        <v>63</v>
      </c>
      <c r="E95" s="612">
        <f>VLOOKUP($A95,'KS Data'!$A$3:$F$108,3,FALSE)</f>
        <v>6</v>
      </c>
      <c r="F95" s="612">
        <f>VLOOKUP($A95,'KS Data'!$A$3:$F$108,4,FALSE)</f>
        <v>4</v>
      </c>
      <c r="G95" s="612" t="s">
        <v>63</v>
      </c>
      <c r="H95" s="671">
        <f>IFERROR(VLOOKUP($A95,'KS Data'!$A$146:$B$251,2,FALSE),"NULL")</f>
        <v>3</v>
      </c>
      <c r="I95" s="614" t="s">
        <v>63</v>
      </c>
      <c r="J95" s="615" t="s">
        <v>63</v>
      </c>
      <c r="K95" s="672" t="s">
        <v>63</v>
      </c>
      <c r="L95" s="785" t="s">
        <v>63</v>
      </c>
      <c r="M95" s="704" t="s">
        <v>63</v>
      </c>
      <c r="N95" s="729" t="s">
        <v>63</v>
      </c>
      <c r="O95" s="619" t="s">
        <v>63</v>
      </c>
      <c r="P95" s="620">
        <f>ifna(vlookup(A95,'Population &amp; Church Numbers'!$A$891:$D$995,4,FALSE),"NULL")</f>
        <v>17</v>
      </c>
      <c r="Q95" s="674" t="s">
        <v>63</v>
      </c>
    </row>
    <row r="96">
      <c r="A96" s="609" t="s">
        <v>1014</v>
      </c>
      <c r="B96" s="610">
        <f t="array" ref="B96">VLOOKUP($A96,KS_DEMO,2,FALSE)</f>
        <v>2084</v>
      </c>
      <c r="C96" s="611">
        <f>VLOOKUP($A96,'KS Data'!$A$3:$F$108,2,FALSE)</f>
        <v>2</v>
      </c>
      <c r="D96" s="612" t="s">
        <v>63</v>
      </c>
      <c r="E96" s="612">
        <f>VLOOKUP($A96,'KS Data'!$A$3:$F$108,3,FALSE)</f>
        <v>1</v>
      </c>
      <c r="F96" s="612">
        <f>VLOOKUP($A96,'KS Data'!$A$3:$F$108,4,FALSE)</f>
        <v>1</v>
      </c>
      <c r="G96" s="612" t="s">
        <v>63</v>
      </c>
      <c r="H96" s="671">
        <f>IFERROR(VLOOKUP($A96,'KS Data'!$A$146:$B$251,2,FALSE),"NULL")</f>
        <v>2</v>
      </c>
      <c r="I96" s="614" t="s">
        <v>63</v>
      </c>
      <c r="J96" s="615" t="s">
        <v>63</v>
      </c>
      <c r="K96" s="672" t="s">
        <v>63</v>
      </c>
      <c r="L96" s="785" t="s">
        <v>63</v>
      </c>
      <c r="M96" s="704" t="s">
        <v>63</v>
      </c>
      <c r="N96" s="729" t="s">
        <v>63</v>
      </c>
      <c r="O96" s="619" t="s">
        <v>63</v>
      </c>
      <c r="P96" s="620">
        <f>ifna(vlookup(A96,'Population &amp; Church Numbers'!$A$891:$D$995,4,FALSE),"NULL")</f>
        <v>7</v>
      </c>
      <c r="Q96" s="674" t="s">
        <v>63</v>
      </c>
    </row>
    <row r="97">
      <c r="A97" s="609" t="s">
        <v>1015</v>
      </c>
      <c r="B97" s="610">
        <f t="array" ref="B97">VLOOKUP($A97,KS_DEMO,2,FALSE)</f>
        <v>5250</v>
      </c>
      <c r="C97" s="611">
        <f>VLOOKUP($A97,'KS Data'!$A$3:$F$108,2,FALSE)</f>
        <v>4</v>
      </c>
      <c r="D97" s="612" t="s">
        <v>63</v>
      </c>
      <c r="E97" s="612">
        <f>VLOOKUP($A97,'KS Data'!$A$3:$F$108,3,FALSE)</f>
        <v>1</v>
      </c>
      <c r="F97" s="612">
        <f>VLOOKUP($A97,'KS Data'!$A$3:$F$108,4,FALSE)</f>
        <v>2</v>
      </c>
      <c r="G97" s="612" t="s">
        <v>63</v>
      </c>
      <c r="H97" s="671">
        <f>IFERROR(VLOOKUP($A97,'KS Data'!$A$146:$B$251,2,FALSE),"NULL")</f>
        <v>3</v>
      </c>
      <c r="I97" s="614" t="s">
        <v>63</v>
      </c>
      <c r="J97" s="615" t="s">
        <v>63</v>
      </c>
      <c r="K97" s="672" t="s">
        <v>63</v>
      </c>
      <c r="L97" s="785" t="s">
        <v>63</v>
      </c>
      <c r="M97" s="704" t="s">
        <v>63</v>
      </c>
      <c r="N97" s="729" t="s">
        <v>63</v>
      </c>
      <c r="O97" s="619" t="s">
        <v>63</v>
      </c>
      <c r="P97" s="620">
        <f>ifna(vlookup(A97,'Population &amp; Church Numbers'!$A$891:$D$995,4,FALSE),"NULL")</f>
        <v>14</v>
      </c>
      <c r="Q97" s="674" t="s">
        <v>63</v>
      </c>
    </row>
    <row r="98">
      <c r="A98" s="609" t="s">
        <v>1016</v>
      </c>
      <c r="B98" s="610">
        <f t="array" ref="B98">VLOOKUP($A98,KS_DEMO,2,FALSE)</f>
        <v>22382</v>
      </c>
      <c r="C98" s="611">
        <f>VLOOKUP($A98,'KS Data'!$A$3:$F$108,2,FALSE)</f>
        <v>80</v>
      </c>
      <c r="D98" s="612" t="s">
        <v>63</v>
      </c>
      <c r="E98" s="612">
        <f>VLOOKUP($A98,'KS Data'!$A$3:$F$108,3,FALSE)</f>
        <v>21</v>
      </c>
      <c r="F98" s="612">
        <f>VLOOKUP($A98,'KS Data'!$A$3:$F$108,4,FALSE)</f>
        <v>47</v>
      </c>
      <c r="G98" s="612" t="s">
        <v>63</v>
      </c>
      <c r="H98" s="671">
        <f>IFERROR(VLOOKUP($A98,'KS Data'!$A$146:$B$251,2,FALSE),"NULL")</f>
        <v>21</v>
      </c>
      <c r="I98" s="614" t="s">
        <v>63</v>
      </c>
      <c r="J98" s="615" t="s">
        <v>63</v>
      </c>
      <c r="K98" s="672" t="s">
        <v>63</v>
      </c>
      <c r="L98" s="785" t="s">
        <v>63</v>
      </c>
      <c r="M98" s="704" t="s">
        <v>63</v>
      </c>
      <c r="N98" s="729" t="s">
        <v>63</v>
      </c>
      <c r="O98" s="619" t="s">
        <v>63</v>
      </c>
      <c r="P98" s="620">
        <f>ifna(vlookup(A98,'Population &amp; Church Numbers'!$A$891:$D$995,4,FALSE),"NULL")</f>
        <v>51</v>
      </c>
      <c r="Q98" s="674" t="s">
        <v>63</v>
      </c>
    </row>
    <row r="99">
      <c r="A99" s="609" t="s">
        <v>636</v>
      </c>
      <c r="B99" s="610">
        <f t="array" ref="B99">VLOOKUP($A99,KS_DEMO,2,FALSE)</f>
        <v>7930</v>
      </c>
      <c r="C99" s="611">
        <f>VLOOKUP($A99,'KS Data'!$A$3:$F$108,2,FALSE)</f>
        <v>28</v>
      </c>
      <c r="D99" s="612" t="s">
        <v>63</v>
      </c>
      <c r="E99" s="612">
        <f>VLOOKUP($A99,'KS Data'!$A$3:$F$108,3,FALSE)</f>
        <v>19</v>
      </c>
      <c r="F99" s="612">
        <f>VLOOKUP($A99,'KS Data'!$A$3:$F$108,4,FALSE)</f>
        <v>7</v>
      </c>
      <c r="G99" s="612" t="s">
        <v>63</v>
      </c>
      <c r="H99" s="671">
        <f>IFERROR(VLOOKUP($A99,'KS Data'!$A$146:$B$251,2,FALSE),"NULL")</f>
        <v>3</v>
      </c>
      <c r="I99" s="614" t="s">
        <v>63</v>
      </c>
      <c r="J99" s="615" t="s">
        <v>63</v>
      </c>
      <c r="K99" s="672" t="s">
        <v>63</v>
      </c>
      <c r="L99" s="785" t="s">
        <v>63</v>
      </c>
      <c r="M99" s="704" t="s">
        <v>63</v>
      </c>
      <c r="N99" s="729" t="s">
        <v>63</v>
      </c>
      <c r="O99" s="619" t="s">
        <v>63</v>
      </c>
      <c r="P99" s="620">
        <f>ifna(vlookup(A99,'Population &amp; Church Numbers'!$A$891:$D$995,4,FALSE),"NULL")</f>
        <v>19</v>
      </c>
      <c r="Q99" s="674" t="s">
        <v>63</v>
      </c>
    </row>
    <row r="100">
      <c r="A100" s="609" t="s">
        <v>1017</v>
      </c>
      <c r="B100" s="610">
        <f t="array" ref="B100">VLOOKUP($A100,KS_DEMO,2,FALSE)</f>
        <v>2808</v>
      </c>
      <c r="C100" s="611">
        <f>VLOOKUP($A100,'KS Data'!$A$3:$F$108,2,FALSE)</f>
        <v>4</v>
      </c>
      <c r="D100" s="612" t="s">
        <v>63</v>
      </c>
      <c r="E100" s="612">
        <f>VLOOKUP($A100,'KS Data'!$A$3:$F$108,3,FALSE)</f>
        <v>4</v>
      </c>
      <c r="F100" s="612">
        <f>VLOOKUP($A100,'KS Data'!$A$3:$F$108,4,FALSE)</f>
        <v>0</v>
      </c>
      <c r="G100" s="612" t="s">
        <v>63</v>
      </c>
      <c r="H100" s="671">
        <f>IFERROR(VLOOKUP($A100,'KS Data'!$A$146:$B$251,2,FALSE),"NULL")</f>
        <v>4</v>
      </c>
      <c r="I100" s="614" t="s">
        <v>63</v>
      </c>
      <c r="J100" s="615" t="s">
        <v>63</v>
      </c>
      <c r="K100" s="672" t="s">
        <v>63</v>
      </c>
      <c r="L100" s="785" t="s">
        <v>63</v>
      </c>
      <c r="M100" s="704" t="s">
        <v>63</v>
      </c>
      <c r="N100" s="729" t="s">
        <v>63</v>
      </c>
      <c r="O100" s="619" t="s">
        <v>63</v>
      </c>
      <c r="P100" s="620">
        <f>ifna(vlookup(A100,'Population &amp; Church Numbers'!$A$891:$D$995,4,FALSE),"NULL")</f>
        <v>8</v>
      </c>
      <c r="Q100" s="674" t="s">
        <v>63</v>
      </c>
    </row>
    <row r="101">
      <c r="A101" s="609" t="s">
        <v>1018</v>
      </c>
      <c r="B101" s="610">
        <f t="array" ref="B101">VLOOKUP($A101,KS_DEMO,2,FALSE)</f>
        <v>6877</v>
      </c>
      <c r="C101" s="611">
        <f>VLOOKUP($A101,'KS Data'!$A$3:$F$108,2,FALSE)</f>
        <v>9</v>
      </c>
      <c r="D101" s="612" t="s">
        <v>63</v>
      </c>
      <c r="E101" s="612">
        <f>VLOOKUP($A101,'KS Data'!$A$3:$F$108,3,FALSE)</f>
        <v>1</v>
      </c>
      <c r="F101" s="612">
        <f>VLOOKUP($A101,'KS Data'!$A$3:$F$108,4,FALSE)</f>
        <v>6</v>
      </c>
      <c r="G101" s="612" t="s">
        <v>63</v>
      </c>
      <c r="H101" s="671">
        <f>IFERROR(VLOOKUP($A101,'KS Data'!$A$146:$B$251,2,FALSE),"NULL")</f>
        <v>3</v>
      </c>
      <c r="I101" s="614" t="s">
        <v>63</v>
      </c>
      <c r="J101" s="615" t="s">
        <v>63</v>
      </c>
      <c r="K101" s="672" t="s">
        <v>63</v>
      </c>
      <c r="L101" s="785" t="s">
        <v>63</v>
      </c>
      <c r="M101" s="704" t="s">
        <v>63</v>
      </c>
      <c r="N101" s="729" t="s">
        <v>63</v>
      </c>
      <c r="O101" s="619" t="s">
        <v>63</v>
      </c>
      <c r="P101" s="620">
        <f>ifna(vlookup(A101,'Population &amp; Church Numbers'!$A$891:$D$995,4,FALSE),"NULL")</f>
        <v>14</v>
      </c>
      <c r="Q101" s="674" t="s">
        <v>63</v>
      </c>
    </row>
    <row r="102">
      <c r="A102" s="609" t="s">
        <v>1019</v>
      </c>
      <c r="B102" s="610">
        <f t="array" ref="B102">VLOOKUP($A102,KS_DEMO,2,FALSE)</f>
        <v>1512</v>
      </c>
      <c r="C102" s="611">
        <f>VLOOKUP($A102,'KS Data'!$A$3:$F$108,2,FALSE)</f>
        <v>1</v>
      </c>
      <c r="D102" s="612" t="s">
        <v>63</v>
      </c>
      <c r="E102" s="612">
        <f>VLOOKUP($A102,'KS Data'!$A$3:$F$108,3,FALSE)</f>
        <v>1</v>
      </c>
      <c r="F102" s="612">
        <f>VLOOKUP($A102,'KS Data'!$A$3:$F$108,4,FALSE)</f>
        <v>0</v>
      </c>
      <c r="G102" s="612" t="s">
        <v>63</v>
      </c>
      <c r="H102" s="671">
        <f>IFERROR(VLOOKUP($A102,'KS Data'!$A$146:$B$251,2,FALSE),"NULL")</f>
        <v>0</v>
      </c>
      <c r="I102" s="614" t="s">
        <v>63</v>
      </c>
      <c r="J102" s="615" t="s">
        <v>63</v>
      </c>
      <c r="K102" s="672" t="s">
        <v>63</v>
      </c>
      <c r="L102" s="785" t="s">
        <v>63</v>
      </c>
      <c r="M102" s="704" t="s">
        <v>63</v>
      </c>
      <c r="N102" s="729" t="s">
        <v>63</v>
      </c>
      <c r="O102" s="619" t="s">
        <v>63</v>
      </c>
      <c r="P102" s="620">
        <f>ifna(vlookup(A102,'Population &amp; Church Numbers'!$A$891:$D$995,4,FALSE),"NULL")</f>
        <v>4</v>
      </c>
      <c r="Q102" s="674" t="s">
        <v>63</v>
      </c>
    </row>
    <row r="103">
      <c r="A103" s="609" t="s">
        <v>119</v>
      </c>
      <c r="B103" s="610">
        <f t="array" ref="B103">VLOOKUP($A103,KS_DEMO,2,FALSE)</f>
        <v>5530</v>
      </c>
      <c r="C103" s="611">
        <f>VLOOKUP($A103,'KS Data'!$A$3:$F$108,2,FALSE)</f>
        <v>13</v>
      </c>
      <c r="D103" s="612" t="s">
        <v>63</v>
      </c>
      <c r="E103" s="612">
        <f>VLOOKUP($A103,'KS Data'!$A$3:$F$108,3,FALSE)</f>
        <v>8</v>
      </c>
      <c r="F103" s="612">
        <f>VLOOKUP($A103,'KS Data'!$A$3:$F$108,4,FALSE)</f>
        <v>2</v>
      </c>
      <c r="G103" s="612" t="s">
        <v>63</v>
      </c>
      <c r="H103" s="671">
        <f>IFERROR(VLOOKUP($A103,'KS Data'!$A$146:$B$251,2,FALSE),"NULL")</f>
        <v>1</v>
      </c>
      <c r="I103" s="614" t="s">
        <v>63</v>
      </c>
      <c r="J103" s="615" t="s">
        <v>63</v>
      </c>
      <c r="K103" s="672" t="s">
        <v>63</v>
      </c>
      <c r="L103" s="785" t="s">
        <v>63</v>
      </c>
      <c r="M103" s="704" t="s">
        <v>63</v>
      </c>
      <c r="N103" s="729" t="s">
        <v>63</v>
      </c>
      <c r="O103" s="619" t="s">
        <v>63</v>
      </c>
      <c r="P103" s="620">
        <f>ifna(vlookup(A103,'Population &amp; Church Numbers'!$A$891:$D$995,4,FALSE),"NULL")</f>
        <v>16</v>
      </c>
      <c r="Q103" s="674" t="s">
        <v>63</v>
      </c>
    </row>
    <row r="104">
      <c r="A104" s="609" t="s">
        <v>1020</v>
      </c>
      <c r="B104" s="610">
        <f t="array" ref="B104">VLOOKUP($A104,KS_DEMO,2,FALSE)</f>
        <v>2152</v>
      </c>
      <c r="C104" s="611">
        <f>VLOOKUP($A104,'KS Data'!$A$3:$F$108,2,FALSE)</f>
        <v>1</v>
      </c>
      <c r="D104" s="612" t="s">
        <v>63</v>
      </c>
      <c r="E104" s="612">
        <f>VLOOKUP($A104,'KS Data'!$A$3:$F$108,3,FALSE)</f>
        <v>0</v>
      </c>
      <c r="F104" s="612">
        <f>VLOOKUP($A104,'KS Data'!$A$3:$F$108,4,FALSE)</f>
        <v>0</v>
      </c>
      <c r="G104" s="612" t="s">
        <v>63</v>
      </c>
      <c r="H104" s="671">
        <f>IFERROR(VLOOKUP($A104,'KS Data'!$A$146:$B$251,2,FALSE),"NULL")</f>
        <v>1</v>
      </c>
      <c r="I104" s="614" t="s">
        <v>63</v>
      </c>
      <c r="J104" s="615" t="s">
        <v>63</v>
      </c>
      <c r="K104" s="672" t="s">
        <v>63</v>
      </c>
      <c r="L104" s="785" t="s">
        <v>63</v>
      </c>
      <c r="M104" s="704" t="s">
        <v>63</v>
      </c>
      <c r="N104" s="729" t="s">
        <v>63</v>
      </c>
      <c r="O104" s="619" t="s">
        <v>63</v>
      </c>
      <c r="P104" s="620">
        <f>ifna(vlookup(A104,'Population &amp; Church Numbers'!$A$891:$D$995,4,FALSE),"NULL")</f>
        <v>8</v>
      </c>
      <c r="Q104" s="674" t="s">
        <v>63</v>
      </c>
    </row>
    <row r="105">
      <c r="A105" s="609" t="s">
        <v>1021</v>
      </c>
      <c r="B105" s="610">
        <f t="array" ref="B105">VLOOKUP($A105,KS_DEMO,2,FALSE)</f>
        <v>8624</v>
      </c>
      <c r="C105" s="611">
        <f>VLOOKUP($A105,'KS Data'!$A$3:$F$108,2,FALSE)</f>
        <v>26</v>
      </c>
      <c r="D105" s="612" t="s">
        <v>63</v>
      </c>
      <c r="E105" s="612">
        <f>VLOOKUP($A105,'KS Data'!$A$3:$F$108,3,FALSE)</f>
        <v>14</v>
      </c>
      <c r="F105" s="612">
        <f>VLOOKUP($A105,'KS Data'!$A$3:$F$108,4,FALSE)</f>
        <v>9</v>
      </c>
      <c r="G105" s="612" t="s">
        <v>63</v>
      </c>
      <c r="H105" s="671">
        <f>IFERROR(VLOOKUP($A105,'KS Data'!$A$146:$B$251,2,FALSE),"NULL")</f>
        <v>15</v>
      </c>
      <c r="I105" s="614" t="s">
        <v>63</v>
      </c>
      <c r="J105" s="615" t="s">
        <v>63</v>
      </c>
      <c r="K105" s="672" t="s">
        <v>63</v>
      </c>
      <c r="L105" s="785" t="s">
        <v>63</v>
      </c>
      <c r="M105" s="704" t="s">
        <v>63</v>
      </c>
      <c r="N105" s="729" t="s">
        <v>63</v>
      </c>
      <c r="O105" s="619" t="s">
        <v>63</v>
      </c>
      <c r="P105" s="620">
        <f>ifna(vlookup(A105,'Population &amp; Church Numbers'!$A$891:$D$995,4,FALSE),"NULL")</f>
        <v>20</v>
      </c>
      <c r="Q105" s="674" t="s">
        <v>63</v>
      </c>
    </row>
    <row r="106">
      <c r="A106" s="609" t="s">
        <v>1022</v>
      </c>
      <c r="B106" s="610">
        <f t="array" ref="B106">VLOOKUP($A106,KS_DEMO,2,FALSE)</f>
        <v>3115</v>
      </c>
      <c r="C106" s="611">
        <f>VLOOKUP($A106,'KS Data'!$A$3:$F$108,2,FALSE)</f>
        <v>9</v>
      </c>
      <c r="D106" s="612" t="s">
        <v>63</v>
      </c>
      <c r="E106" s="612">
        <f>VLOOKUP($A106,'KS Data'!$A$3:$F$108,3,FALSE)</f>
        <v>8</v>
      </c>
      <c r="F106" s="612">
        <f>VLOOKUP($A106,'KS Data'!$A$3:$F$108,4,FALSE)</f>
        <v>1</v>
      </c>
      <c r="G106" s="612" t="s">
        <v>63</v>
      </c>
      <c r="H106" s="671">
        <f>IFERROR(VLOOKUP($A106,'KS Data'!$A$146:$B$251,2,FALSE),"NULL")</f>
        <v>3</v>
      </c>
      <c r="I106" s="614" t="s">
        <v>63</v>
      </c>
      <c r="J106" s="615" t="s">
        <v>63</v>
      </c>
      <c r="K106" s="672" t="s">
        <v>63</v>
      </c>
      <c r="L106" s="785" t="s">
        <v>63</v>
      </c>
      <c r="M106" s="704" t="s">
        <v>63</v>
      </c>
      <c r="N106" s="729" t="s">
        <v>63</v>
      </c>
      <c r="O106" s="619" t="s">
        <v>63</v>
      </c>
      <c r="P106" s="620">
        <f>ifna(vlookup(A106,'Population &amp; Church Numbers'!$A$891:$D$995,4,FALSE),"NULL")</f>
        <v>5</v>
      </c>
      <c r="Q106" s="674" t="s">
        <v>63</v>
      </c>
    </row>
    <row r="107">
      <c r="A107" s="609" t="s">
        <v>1023</v>
      </c>
      <c r="B107" s="610">
        <f t="array" ref="B107">VLOOKUP($A107,KS_DEMO,2,FALSE)</f>
        <v>169245</v>
      </c>
      <c r="C107" s="611">
        <f>VLOOKUP($A107,'KS Data'!$A$3:$F$108,2,FALSE)</f>
        <v>295</v>
      </c>
      <c r="D107" s="612" t="s">
        <v>63</v>
      </c>
      <c r="E107" s="612">
        <f>VLOOKUP($A107,'KS Data'!$A$3:$F$108,3,FALSE)</f>
        <v>133</v>
      </c>
      <c r="F107" s="612">
        <f>VLOOKUP($A107,'KS Data'!$A$3:$F$108,4,FALSE)</f>
        <v>98</v>
      </c>
      <c r="G107" s="612" t="s">
        <v>63</v>
      </c>
      <c r="H107" s="671">
        <f>IFERROR(VLOOKUP($A107,'KS Data'!$A$146:$B$251,2,FALSE),"NULL")</f>
        <v>71</v>
      </c>
      <c r="I107" s="614" t="s">
        <v>63</v>
      </c>
      <c r="J107" s="615" t="s">
        <v>63</v>
      </c>
      <c r="K107" s="672" t="s">
        <v>63</v>
      </c>
      <c r="L107" s="785" t="s">
        <v>63</v>
      </c>
      <c r="M107" s="704" t="s">
        <v>63</v>
      </c>
      <c r="N107" s="729" t="s">
        <v>63</v>
      </c>
      <c r="O107" s="619" t="s">
        <v>63</v>
      </c>
      <c r="P107" s="620">
        <f>ifna(vlookup(A107,'Population &amp; Church Numbers'!$A$891:$D$995,4,FALSE),"NULL")</f>
        <v>182</v>
      </c>
      <c r="Q107" s="674" t="s">
        <v>63</v>
      </c>
    </row>
    <row r="108">
      <c r="A108" s="217"/>
      <c r="B108" s="218"/>
      <c r="C108" s="219"/>
      <c r="D108" s="220"/>
      <c r="E108" s="220"/>
      <c r="F108" s="220"/>
      <c r="G108" s="220"/>
      <c r="H108" s="221"/>
      <c r="I108" s="222"/>
      <c r="J108" s="223"/>
      <c r="K108" s="219"/>
      <c r="L108" s="224"/>
      <c r="M108" s="225"/>
      <c r="N108" s="226"/>
      <c r="O108" s="220"/>
      <c r="P108" s="221"/>
      <c r="Q108" s="227"/>
    </row>
    <row r="109">
      <c r="A109" s="228" t="s">
        <v>2</v>
      </c>
      <c r="B109" s="229"/>
      <c r="C109" s="230">
        <f>SUM(C3:C107)</f>
        <v>5981</v>
      </c>
      <c r="D109" s="231" t="s">
        <v>63</v>
      </c>
      <c r="E109" s="465">
        <f t="shared" ref="E109:F109" si="1">SUM(E2:E107)</f>
        <v>2912</v>
      </c>
      <c r="F109" s="465">
        <f t="shared" si="1"/>
        <v>2191</v>
      </c>
      <c r="G109" s="231" t="s">
        <v>63</v>
      </c>
      <c r="H109" s="233">
        <f>SUM(H2:H107)</f>
        <v>2321</v>
      </c>
      <c r="I109" s="433">
        <f>'KS Data'!D370</f>
        <v>2071</v>
      </c>
      <c r="J109" s="235" t="s">
        <v>63</v>
      </c>
      <c r="K109" s="236" t="s">
        <v>63</v>
      </c>
      <c r="L109" s="359" t="s">
        <v>63</v>
      </c>
      <c r="M109" s="237" t="s">
        <v>63</v>
      </c>
      <c r="N109" s="238" t="s">
        <v>63</v>
      </c>
      <c r="O109" s="231" t="s">
        <v>63</v>
      </c>
      <c r="P109" s="233">
        <f>SUM(P3:P107)</f>
        <v>3297</v>
      </c>
      <c r="Q109" s="691" t="s">
        <v>63</v>
      </c>
    </row>
  </sheetData>
  <mergeCells count="1">
    <mergeCell ref="B1:Q1"/>
  </mergeCells>
  <drawing r:id="rId1"/>
  <tableParts count="1">
    <tablePart r:id="rId3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88"/>
    <col customWidth="1" min="8" max="8" width="14.88"/>
    <col customWidth="1" min="9" max="9" width="14.13"/>
    <col customWidth="1" min="11" max="11" width="16.38"/>
  </cols>
  <sheetData>
    <row r="1">
      <c r="A1" s="196" t="s">
        <v>1040</v>
      </c>
      <c r="B1" s="197"/>
      <c r="C1" s="197"/>
      <c r="D1" s="197"/>
      <c r="E1" s="198" t="s">
        <v>765</v>
      </c>
      <c r="F1" s="799" t="s">
        <v>2685</v>
      </c>
      <c r="G1" s="197"/>
      <c r="H1" s="197"/>
      <c r="I1" s="198" t="s">
        <v>767</v>
      </c>
      <c r="J1" s="625">
        <v>45428.0</v>
      </c>
      <c r="K1" s="198" t="s">
        <v>769</v>
      </c>
      <c r="L1" s="214">
        <v>45412.0</v>
      </c>
      <c r="M1" s="589"/>
    </row>
    <row r="2">
      <c r="A2" s="800"/>
      <c r="B2" s="801"/>
      <c r="C2" s="367"/>
      <c r="D2" s="367"/>
    </row>
    <row r="3">
      <c r="A3" s="802"/>
      <c r="B3" s="803" t="s">
        <v>2448</v>
      </c>
      <c r="C3" s="804" t="s">
        <v>1058</v>
      </c>
      <c r="D3" s="804" t="s">
        <v>1713</v>
      </c>
      <c r="E3" s="804" t="s">
        <v>1714</v>
      </c>
      <c r="F3" s="805" t="s">
        <v>1715</v>
      </c>
      <c r="H3" s="806"/>
      <c r="I3" s="807" t="s">
        <v>755</v>
      </c>
      <c r="J3" s="807" t="s">
        <v>954</v>
      </c>
      <c r="K3" s="807" t="s">
        <v>955</v>
      </c>
      <c r="L3" s="807" t="s">
        <v>957</v>
      </c>
      <c r="M3" s="807" t="s">
        <v>958</v>
      </c>
      <c r="N3" s="807" t="s">
        <v>959</v>
      </c>
      <c r="O3" s="807" t="s">
        <v>706</v>
      </c>
      <c r="P3" s="808" t="s">
        <v>87</v>
      </c>
    </row>
    <row r="4">
      <c r="A4" s="809" t="s">
        <v>755</v>
      </c>
      <c r="B4" s="810">
        <f>I11</f>
        <v>55</v>
      </c>
      <c r="C4" s="322">
        <f>I4</f>
        <v>28</v>
      </c>
      <c r="D4" s="322">
        <f>I5</f>
        <v>24</v>
      </c>
      <c r="E4" s="322">
        <f>I9</f>
        <v>2</v>
      </c>
      <c r="F4" s="322">
        <f>SUM(I7+I8+I10)</f>
        <v>1</v>
      </c>
      <c r="H4" s="811" t="s">
        <v>1057</v>
      </c>
      <c r="I4" s="206">
        <v>28.0</v>
      </c>
      <c r="J4" s="206">
        <v>4.0</v>
      </c>
      <c r="K4" s="206">
        <v>20.0</v>
      </c>
      <c r="L4" s="206">
        <v>4.0</v>
      </c>
      <c r="M4" s="206">
        <v>31.0</v>
      </c>
      <c r="N4" s="206">
        <v>16.0</v>
      </c>
      <c r="O4" s="206">
        <v>39.0</v>
      </c>
      <c r="P4" s="206">
        <v>92.0</v>
      </c>
    </row>
    <row r="5">
      <c r="A5" s="812" t="s">
        <v>954</v>
      </c>
      <c r="B5" s="813">
        <f>J11</f>
        <v>7</v>
      </c>
      <c r="C5" s="320">
        <f>J4</f>
        <v>4</v>
      </c>
      <c r="D5" s="322">
        <f>J5</f>
        <v>1</v>
      </c>
      <c r="E5" s="322">
        <f>J9</f>
        <v>1</v>
      </c>
      <c r="F5" s="322">
        <f>SUM(J7+J8+J10)</f>
        <v>1</v>
      </c>
      <c r="H5" s="811" t="s">
        <v>1724</v>
      </c>
      <c r="I5" s="206">
        <v>24.0</v>
      </c>
      <c r="J5" s="206">
        <v>1.0</v>
      </c>
      <c r="K5" s="206">
        <v>23.0</v>
      </c>
      <c r="L5" s="206">
        <v>6.0</v>
      </c>
      <c r="M5" s="206">
        <v>44.0</v>
      </c>
      <c r="N5" s="206">
        <v>14.0</v>
      </c>
      <c r="O5" s="206">
        <v>30.0</v>
      </c>
      <c r="P5" s="206">
        <v>58.0</v>
      </c>
    </row>
    <row r="6">
      <c r="A6" s="812" t="s">
        <v>955</v>
      </c>
      <c r="B6" s="814">
        <f>K11</f>
        <v>53</v>
      </c>
      <c r="C6" s="320">
        <f>K4</f>
        <v>20</v>
      </c>
      <c r="D6" s="322">
        <f>K5</f>
        <v>23</v>
      </c>
      <c r="E6" s="322">
        <f>K9</f>
        <v>8</v>
      </c>
      <c r="F6" s="322">
        <f>SUM(K7+K8+K10)</f>
        <v>1</v>
      </c>
      <c r="H6" s="811" t="s">
        <v>2686</v>
      </c>
      <c r="I6" s="206">
        <v>0.0</v>
      </c>
      <c r="J6" s="206">
        <v>0.0</v>
      </c>
      <c r="K6" s="206">
        <v>1.0</v>
      </c>
      <c r="L6" s="206">
        <v>3.0</v>
      </c>
      <c r="M6" s="206">
        <v>0.0</v>
      </c>
      <c r="N6" s="206">
        <v>2.0</v>
      </c>
      <c r="O6" s="206">
        <v>2.0</v>
      </c>
      <c r="P6" s="206">
        <v>8.0</v>
      </c>
    </row>
    <row r="7">
      <c r="A7" s="812" t="s">
        <v>957</v>
      </c>
      <c r="B7" s="814">
        <f>L11</f>
        <v>18</v>
      </c>
      <c r="C7" s="320">
        <f>L4</f>
        <v>4</v>
      </c>
      <c r="D7" s="322">
        <f>L5</f>
        <v>6</v>
      </c>
      <c r="E7" s="322">
        <f>L9</f>
        <v>4</v>
      </c>
      <c r="F7" s="322">
        <f>SUM(L7+L8+L10)</f>
        <v>1</v>
      </c>
      <c r="H7" s="811" t="s">
        <v>1109</v>
      </c>
      <c r="I7" s="206">
        <v>0.0</v>
      </c>
      <c r="J7" s="206">
        <v>1.0</v>
      </c>
      <c r="K7" s="206">
        <v>0.0</v>
      </c>
      <c r="L7" s="206">
        <v>0.0</v>
      </c>
      <c r="M7" s="206">
        <v>0.0</v>
      </c>
      <c r="N7" s="206">
        <v>0.0</v>
      </c>
      <c r="O7" s="206">
        <v>1.0</v>
      </c>
      <c r="P7" s="206">
        <v>3.0</v>
      </c>
    </row>
    <row r="8">
      <c r="A8" s="812" t="s">
        <v>958</v>
      </c>
      <c r="B8" s="814">
        <f>M11</f>
        <v>83</v>
      </c>
      <c r="C8" s="320">
        <f>M4</f>
        <v>31</v>
      </c>
      <c r="D8" s="322">
        <f>M5</f>
        <v>44</v>
      </c>
      <c r="E8" s="322">
        <f>M9</f>
        <v>8</v>
      </c>
      <c r="F8" s="322">
        <f>SUM(M7+M8+M10)</f>
        <v>0</v>
      </c>
      <c r="H8" s="811" t="s">
        <v>781</v>
      </c>
      <c r="I8" s="206">
        <v>1.0</v>
      </c>
      <c r="J8" s="206">
        <v>0.0</v>
      </c>
      <c r="K8" s="206">
        <v>0.0</v>
      </c>
      <c r="L8" s="206">
        <v>1.0</v>
      </c>
      <c r="M8" s="206">
        <v>0.0</v>
      </c>
      <c r="N8" s="206">
        <v>0.0</v>
      </c>
      <c r="O8" s="206">
        <v>1.0</v>
      </c>
      <c r="P8" s="206">
        <v>2.0</v>
      </c>
    </row>
    <row r="9">
      <c r="A9" s="812" t="s">
        <v>959</v>
      </c>
      <c r="B9" s="814">
        <f>N11</f>
        <v>35</v>
      </c>
      <c r="C9" s="320">
        <f>N4</f>
        <v>16</v>
      </c>
      <c r="D9" s="322">
        <f>N5</f>
        <v>14</v>
      </c>
      <c r="E9" s="322">
        <f>N9</f>
        <v>3</v>
      </c>
      <c r="F9" s="322">
        <f>SUM(N7+N8+N10)</f>
        <v>0</v>
      </c>
      <c r="H9" s="811" t="s">
        <v>2687</v>
      </c>
      <c r="I9" s="206">
        <v>2.0</v>
      </c>
      <c r="J9" s="206">
        <v>1.0</v>
      </c>
      <c r="K9" s="206">
        <v>8.0</v>
      </c>
      <c r="L9" s="206">
        <v>4.0</v>
      </c>
      <c r="M9" s="206">
        <v>8.0</v>
      </c>
      <c r="N9" s="206">
        <v>3.0</v>
      </c>
      <c r="O9" s="206">
        <v>6.0</v>
      </c>
      <c r="P9" s="206">
        <v>23.0</v>
      </c>
    </row>
    <row r="10">
      <c r="A10" s="812" t="s">
        <v>706</v>
      </c>
      <c r="B10" s="814">
        <f>O11</f>
        <v>79</v>
      </c>
      <c r="C10" s="320">
        <f>O4</f>
        <v>39</v>
      </c>
      <c r="D10" s="322">
        <f>O5</f>
        <v>30</v>
      </c>
      <c r="E10" s="322">
        <f>O9</f>
        <v>6</v>
      </c>
      <c r="F10" s="322">
        <f>SUM(O7+O8+O10)</f>
        <v>2</v>
      </c>
      <c r="H10" s="811" t="s">
        <v>2688</v>
      </c>
      <c r="I10" s="206">
        <v>0.0</v>
      </c>
      <c r="J10" s="206">
        <v>0.0</v>
      </c>
      <c r="K10" s="206">
        <v>1.0</v>
      </c>
      <c r="L10" s="206">
        <v>0.0</v>
      </c>
      <c r="M10" s="206">
        <v>0.0</v>
      </c>
      <c r="N10" s="206">
        <v>0.0</v>
      </c>
      <c r="O10" s="206">
        <v>0.0</v>
      </c>
      <c r="P10" s="206">
        <v>0.0</v>
      </c>
    </row>
    <row r="11">
      <c r="A11" s="812" t="s">
        <v>87</v>
      </c>
      <c r="B11" s="814">
        <f>P11</f>
        <v>186</v>
      </c>
      <c r="C11" s="320">
        <f>P4</f>
        <v>92</v>
      </c>
      <c r="D11" s="322">
        <f>P5</f>
        <v>58</v>
      </c>
      <c r="E11" s="322">
        <f>P9</f>
        <v>23</v>
      </c>
      <c r="F11" s="322">
        <f>SUM(P7+P8+P10)</f>
        <v>5</v>
      </c>
      <c r="H11" s="815" t="s">
        <v>923</v>
      </c>
      <c r="I11" s="206">
        <v>55.0</v>
      </c>
      <c r="J11" s="206">
        <v>7.0</v>
      </c>
      <c r="K11" s="206">
        <v>53.0</v>
      </c>
      <c r="L11" s="206">
        <v>18.0</v>
      </c>
      <c r="M11" s="206">
        <v>83.0</v>
      </c>
      <c r="N11" s="206">
        <v>35.0</v>
      </c>
      <c r="O11" s="206">
        <v>79.0</v>
      </c>
      <c r="P11" s="206">
        <v>186.0</v>
      </c>
    </row>
    <row r="12">
      <c r="A12" s="812" t="s">
        <v>960</v>
      </c>
      <c r="B12" s="814">
        <f>I21</f>
        <v>5</v>
      </c>
      <c r="C12" s="320">
        <f>I14</f>
        <v>4</v>
      </c>
      <c r="D12" s="322">
        <f>I15</f>
        <v>1</v>
      </c>
      <c r="E12" s="322">
        <f>I19</f>
        <v>0</v>
      </c>
      <c r="F12" s="322">
        <f>SUM(I17+I18+I20)</f>
        <v>0</v>
      </c>
    </row>
    <row r="13">
      <c r="A13" s="812" t="s">
        <v>961</v>
      </c>
      <c r="B13" s="814">
        <f>J21</f>
        <v>7</v>
      </c>
      <c r="C13" s="320">
        <f>J14</f>
        <v>3</v>
      </c>
      <c r="D13" s="322">
        <f>J15</f>
        <v>1</v>
      </c>
      <c r="E13" s="322">
        <f>J19</f>
        <v>1</v>
      </c>
      <c r="F13" s="322">
        <f>SUM(J17+J18+J20)</f>
        <v>0</v>
      </c>
      <c r="H13" s="806"/>
      <c r="I13" s="807" t="s">
        <v>960</v>
      </c>
      <c r="J13" s="807" t="s">
        <v>961</v>
      </c>
      <c r="K13" s="807" t="s">
        <v>101</v>
      </c>
      <c r="L13" s="807" t="s">
        <v>399</v>
      </c>
      <c r="M13" s="807" t="s">
        <v>253</v>
      </c>
      <c r="N13" s="807" t="s">
        <v>112</v>
      </c>
      <c r="O13" s="807" t="s">
        <v>962</v>
      </c>
      <c r="P13" s="808" t="s">
        <v>963</v>
      </c>
    </row>
    <row r="14">
      <c r="A14" s="812" t="s">
        <v>101</v>
      </c>
      <c r="B14" s="814">
        <f>K21</f>
        <v>39</v>
      </c>
      <c r="C14" s="320">
        <f>K14</f>
        <v>29</v>
      </c>
      <c r="D14" s="322">
        <f>K15</f>
        <v>5</v>
      </c>
      <c r="E14" s="322">
        <f>K19</f>
        <v>4</v>
      </c>
      <c r="F14" s="322">
        <f>SUM(K17+K18+K20)</f>
        <v>1</v>
      </c>
      <c r="H14" s="811" t="s">
        <v>1057</v>
      </c>
      <c r="I14" s="206">
        <v>4.0</v>
      </c>
      <c r="J14" s="206">
        <v>3.0</v>
      </c>
      <c r="K14" s="206">
        <v>29.0</v>
      </c>
      <c r="L14" s="206">
        <v>6.0</v>
      </c>
      <c r="M14" s="206">
        <v>1.0</v>
      </c>
      <c r="N14" s="206">
        <v>4.0</v>
      </c>
      <c r="O14" s="206">
        <v>9.0</v>
      </c>
      <c r="P14" s="206">
        <v>6.0</v>
      </c>
    </row>
    <row r="15">
      <c r="A15" s="812" t="s">
        <v>399</v>
      </c>
      <c r="B15" s="814">
        <f>L21</f>
        <v>6</v>
      </c>
      <c r="C15" s="320">
        <f>L14</f>
        <v>6</v>
      </c>
      <c r="D15" s="322">
        <f>L15</f>
        <v>0</v>
      </c>
      <c r="E15" s="322">
        <f>L19</f>
        <v>0</v>
      </c>
      <c r="F15" s="322">
        <f>SUM(L17+L18+L20)</f>
        <v>0</v>
      </c>
      <c r="H15" s="811" t="s">
        <v>1724</v>
      </c>
      <c r="I15" s="206">
        <v>1.0</v>
      </c>
      <c r="J15" s="206">
        <v>1.0</v>
      </c>
      <c r="K15" s="206">
        <v>5.0</v>
      </c>
      <c r="L15" s="206">
        <v>0.0</v>
      </c>
      <c r="M15" s="206">
        <v>5.0</v>
      </c>
      <c r="N15" s="206">
        <v>2.0</v>
      </c>
      <c r="O15" s="206">
        <v>9.0</v>
      </c>
      <c r="P15" s="206">
        <v>0.0</v>
      </c>
    </row>
    <row r="16">
      <c r="A16" s="812" t="s">
        <v>253</v>
      </c>
      <c r="B16" s="814">
        <f>M21</f>
        <v>7</v>
      </c>
      <c r="C16" s="320">
        <f>M14</f>
        <v>1</v>
      </c>
      <c r="D16" s="322">
        <f>M15</f>
        <v>5</v>
      </c>
      <c r="E16" s="322">
        <f>M19</f>
        <v>0</v>
      </c>
      <c r="F16" s="322">
        <f>SUM(M17+M18+M20)</f>
        <v>1</v>
      </c>
      <c r="H16" s="811" t="s">
        <v>2686</v>
      </c>
      <c r="I16" s="206">
        <v>0.0</v>
      </c>
      <c r="J16" s="206">
        <v>2.0</v>
      </c>
      <c r="K16" s="206">
        <v>0.0</v>
      </c>
      <c r="L16" s="206">
        <v>0.0</v>
      </c>
      <c r="M16" s="206">
        <v>0.0</v>
      </c>
      <c r="N16" s="206">
        <v>0.0</v>
      </c>
      <c r="O16" s="206">
        <v>1.0</v>
      </c>
      <c r="P16" s="206">
        <v>0.0</v>
      </c>
    </row>
    <row r="17">
      <c r="A17" s="812" t="s">
        <v>112</v>
      </c>
      <c r="B17" s="814">
        <f>N21</f>
        <v>9</v>
      </c>
      <c r="C17" s="320">
        <f>N14</f>
        <v>4</v>
      </c>
      <c r="D17" s="322">
        <f>N15</f>
        <v>2</v>
      </c>
      <c r="E17" s="322">
        <f>N19</f>
        <v>2</v>
      </c>
      <c r="F17" s="322">
        <f>SUM(N17+N18+N20)</f>
        <v>1</v>
      </c>
      <c r="H17" s="811" t="s">
        <v>1109</v>
      </c>
      <c r="I17" s="206">
        <v>0.0</v>
      </c>
      <c r="J17" s="206">
        <v>0.0</v>
      </c>
      <c r="K17" s="206">
        <v>0.0</v>
      </c>
      <c r="L17" s="206">
        <v>0.0</v>
      </c>
      <c r="M17" s="206">
        <v>1.0</v>
      </c>
      <c r="N17" s="206">
        <v>0.0</v>
      </c>
      <c r="O17" s="206">
        <v>1.0</v>
      </c>
      <c r="P17" s="206">
        <v>1.0</v>
      </c>
    </row>
    <row r="18">
      <c r="A18" s="812" t="s">
        <v>962</v>
      </c>
      <c r="B18" s="814">
        <f>O21</f>
        <v>21</v>
      </c>
      <c r="C18" s="320">
        <f>O14</f>
        <v>9</v>
      </c>
      <c r="D18" s="322">
        <f>O15</f>
        <v>9</v>
      </c>
      <c r="E18" s="322">
        <f>O19</f>
        <v>1</v>
      </c>
      <c r="F18" s="322">
        <f>SUM(O17+O18+O20)</f>
        <v>1</v>
      </c>
      <c r="H18" s="811" t="s">
        <v>781</v>
      </c>
      <c r="I18" s="206">
        <v>0.0</v>
      </c>
      <c r="J18" s="206">
        <v>0.0</v>
      </c>
      <c r="K18" s="206">
        <v>1.0</v>
      </c>
      <c r="L18" s="206">
        <v>0.0</v>
      </c>
      <c r="M18" s="206">
        <v>0.0</v>
      </c>
      <c r="N18" s="206">
        <v>1.0</v>
      </c>
      <c r="O18" s="206">
        <v>0.0</v>
      </c>
      <c r="P18" s="206">
        <v>0.0</v>
      </c>
    </row>
    <row r="19">
      <c r="A19" s="812" t="s">
        <v>963</v>
      </c>
      <c r="B19" s="814">
        <f>P21</f>
        <v>7</v>
      </c>
      <c r="C19" s="320">
        <f>P14</f>
        <v>6</v>
      </c>
      <c r="D19" s="322">
        <f>P15</f>
        <v>0</v>
      </c>
      <c r="E19" s="322">
        <f>P19</f>
        <v>0</v>
      </c>
      <c r="F19" s="322">
        <f>SUM(P17+P18+P20)</f>
        <v>1</v>
      </c>
      <c r="H19" s="811" t="s">
        <v>2687</v>
      </c>
      <c r="I19" s="206">
        <v>0.0</v>
      </c>
      <c r="J19" s="206">
        <v>1.0</v>
      </c>
      <c r="K19" s="206">
        <v>4.0</v>
      </c>
      <c r="L19" s="206">
        <v>0.0</v>
      </c>
      <c r="M19" s="206">
        <v>0.0</v>
      </c>
      <c r="N19" s="206">
        <v>2.0</v>
      </c>
      <c r="O19" s="206">
        <v>1.0</v>
      </c>
      <c r="P19" s="206">
        <v>0.0</v>
      </c>
    </row>
    <row r="20">
      <c r="A20" s="812" t="s">
        <v>964</v>
      </c>
      <c r="B20" s="814">
        <f>I31</f>
        <v>11</v>
      </c>
      <c r="C20" s="320">
        <f>I24</f>
        <v>4</v>
      </c>
      <c r="D20" s="322">
        <f>I25</f>
        <v>6</v>
      </c>
      <c r="E20" s="322">
        <f>I29</f>
        <v>0</v>
      </c>
      <c r="F20" s="322">
        <f>SUM(I27+I28+I30)</f>
        <v>1</v>
      </c>
      <c r="H20" s="811" t="s">
        <v>2688</v>
      </c>
      <c r="I20" s="206">
        <v>0.0</v>
      </c>
      <c r="J20" s="206">
        <v>0.0</v>
      </c>
      <c r="K20" s="206">
        <v>0.0</v>
      </c>
      <c r="L20" s="206">
        <v>0.0</v>
      </c>
      <c r="M20" s="206">
        <v>0.0</v>
      </c>
      <c r="N20" s="206">
        <v>0.0</v>
      </c>
      <c r="O20" s="206">
        <v>0.0</v>
      </c>
      <c r="P20" s="206">
        <v>0.0</v>
      </c>
    </row>
    <row r="21">
      <c r="A21" s="812" t="s">
        <v>965</v>
      </c>
      <c r="B21" s="814">
        <f>J31</f>
        <v>99</v>
      </c>
      <c r="C21" s="320">
        <f>J24</f>
        <v>55</v>
      </c>
      <c r="D21" s="322">
        <f>J25</f>
        <v>34</v>
      </c>
      <c r="E21" s="322">
        <f>J29</f>
        <v>9</v>
      </c>
      <c r="F21" s="322">
        <f>SUM(J27+J28+J30)</f>
        <v>1</v>
      </c>
      <c r="H21" s="815" t="s">
        <v>923</v>
      </c>
      <c r="I21" s="206">
        <v>5.0</v>
      </c>
      <c r="J21" s="206">
        <v>7.0</v>
      </c>
      <c r="K21" s="206">
        <v>39.0</v>
      </c>
      <c r="L21" s="206">
        <v>6.0</v>
      </c>
      <c r="M21" s="206">
        <v>7.0</v>
      </c>
      <c r="N21" s="206">
        <v>9.0</v>
      </c>
      <c r="O21" s="206">
        <v>21.0</v>
      </c>
      <c r="P21" s="206">
        <v>7.0</v>
      </c>
    </row>
    <row r="22">
      <c r="A22" s="812" t="s">
        <v>263</v>
      </c>
      <c r="B22" s="814">
        <f>K31</f>
        <v>137</v>
      </c>
      <c r="C22" s="320">
        <f>K24</f>
        <v>74</v>
      </c>
      <c r="D22" s="322">
        <f>K25</f>
        <v>48</v>
      </c>
      <c r="E22" s="322">
        <f>K29</f>
        <v>8</v>
      </c>
      <c r="F22" s="322">
        <f>SUM(K27+K28+K30)</f>
        <v>4</v>
      </c>
    </row>
    <row r="23">
      <c r="A23" s="812" t="s">
        <v>563</v>
      </c>
      <c r="B23" s="814">
        <f>L31</f>
        <v>6</v>
      </c>
      <c r="C23" s="320">
        <f>L24</f>
        <v>1</v>
      </c>
      <c r="D23" s="322">
        <f>L25</f>
        <v>3</v>
      </c>
      <c r="E23" s="322">
        <f>L29</f>
        <v>2</v>
      </c>
      <c r="F23" s="322">
        <f>SUM(L27+L28+L30)</f>
        <v>0</v>
      </c>
      <c r="H23" s="806"/>
      <c r="I23" s="807" t="s">
        <v>964</v>
      </c>
      <c r="J23" s="807" t="s">
        <v>965</v>
      </c>
      <c r="K23" s="807" t="s">
        <v>263</v>
      </c>
      <c r="L23" s="807" t="s">
        <v>563</v>
      </c>
      <c r="M23" s="807" t="s">
        <v>899</v>
      </c>
      <c r="N23" s="807" t="s">
        <v>967</v>
      </c>
      <c r="O23" s="807" t="s">
        <v>412</v>
      </c>
      <c r="P23" s="808" t="s">
        <v>717</v>
      </c>
    </row>
    <row r="24">
      <c r="A24" s="812" t="s">
        <v>899</v>
      </c>
      <c r="B24" s="814">
        <f>M31</f>
        <v>46</v>
      </c>
      <c r="C24" s="320">
        <f>M24</f>
        <v>13</v>
      </c>
      <c r="D24" s="322">
        <f>M25</f>
        <v>22</v>
      </c>
      <c r="E24" s="322">
        <f>M29</f>
        <v>11</v>
      </c>
      <c r="F24" s="322">
        <f>SUM(M27+M28+M30)</f>
        <v>0</v>
      </c>
      <c r="H24" s="811" t="s">
        <v>1057</v>
      </c>
      <c r="I24" s="206">
        <v>4.0</v>
      </c>
      <c r="J24" s="206">
        <v>55.0</v>
      </c>
      <c r="K24" s="206">
        <v>74.0</v>
      </c>
      <c r="L24" s="206">
        <v>1.0</v>
      </c>
      <c r="M24" s="206">
        <v>13.0</v>
      </c>
      <c r="N24" s="206">
        <v>12.0</v>
      </c>
      <c r="O24" s="206">
        <v>59.0</v>
      </c>
      <c r="P24" s="206">
        <v>2.0</v>
      </c>
    </row>
    <row r="25">
      <c r="A25" s="812" t="s">
        <v>967</v>
      </c>
      <c r="B25" s="814">
        <f>N31</f>
        <v>26</v>
      </c>
      <c r="C25" s="320">
        <f>N24</f>
        <v>12</v>
      </c>
      <c r="D25" s="322">
        <f>N25</f>
        <v>11</v>
      </c>
      <c r="E25" s="322">
        <f>N29</f>
        <v>2</v>
      </c>
      <c r="F25" s="322">
        <f>SUM(N27+N28+N30)</f>
        <v>0</v>
      </c>
      <c r="H25" s="811" t="s">
        <v>1724</v>
      </c>
      <c r="I25" s="206">
        <v>6.0</v>
      </c>
      <c r="J25" s="206">
        <v>34.0</v>
      </c>
      <c r="K25" s="206">
        <v>48.0</v>
      </c>
      <c r="L25" s="206">
        <v>3.0</v>
      </c>
      <c r="M25" s="206">
        <v>22.0</v>
      </c>
      <c r="N25" s="206">
        <v>11.0</v>
      </c>
      <c r="O25" s="206">
        <v>57.0</v>
      </c>
      <c r="P25" s="206">
        <v>2.0</v>
      </c>
    </row>
    <row r="26">
      <c r="A26" s="812" t="s">
        <v>412</v>
      </c>
      <c r="B26" s="814">
        <f>O31</f>
        <v>145</v>
      </c>
      <c r="C26" s="320">
        <f>O24</f>
        <v>59</v>
      </c>
      <c r="D26" s="322">
        <f>O25</f>
        <v>57</v>
      </c>
      <c r="E26" s="322">
        <f>O29</f>
        <v>22</v>
      </c>
      <c r="F26" s="322">
        <f>SUM(O27+O28+O30)</f>
        <v>3</v>
      </c>
      <c r="H26" s="811" t="s">
        <v>2686</v>
      </c>
      <c r="I26" s="206">
        <v>0.0</v>
      </c>
      <c r="J26" s="206">
        <v>0.0</v>
      </c>
      <c r="K26" s="206">
        <v>3.0</v>
      </c>
      <c r="L26" s="206">
        <v>0.0</v>
      </c>
      <c r="M26" s="206">
        <v>0.0</v>
      </c>
      <c r="N26" s="206">
        <v>1.0</v>
      </c>
      <c r="O26" s="206">
        <v>4.0</v>
      </c>
      <c r="P26" s="206">
        <v>0.0</v>
      </c>
    </row>
    <row r="27">
      <c r="A27" s="812" t="s">
        <v>717</v>
      </c>
      <c r="B27" s="814">
        <f>P31</f>
        <v>6</v>
      </c>
      <c r="C27" s="320">
        <f>P24</f>
        <v>2</v>
      </c>
      <c r="D27" s="322">
        <f>P25</f>
        <v>2</v>
      </c>
      <c r="E27" s="322">
        <f>P29</f>
        <v>0</v>
      </c>
      <c r="F27" s="322">
        <f>SUM(P27+P28+P30)</f>
        <v>2</v>
      </c>
      <c r="H27" s="811" t="s">
        <v>1109</v>
      </c>
      <c r="I27" s="206">
        <v>1.0</v>
      </c>
      <c r="J27" s="206">
        <v>0.0</v>
      </c>
      <c r="K27" s="206">
        <v>2.0</v>
      </c>
      <c r="L27" s="206">
        <v>0.0</v>
      </c>
      <c r="M27" s="206">
        <v>0.0</v>
      </c>
      <c r="N27" s="206">
        <v>0.0</v>
      </c>
      <c r="O27" s="206">
        <v>1.0</v>
      </c>
      <c r="P27" s="206">
        <v>0.0</v>
      </c>
    </row>
    <row r="28">
      <c r="A28" s="812" t="s">
        <v>968</v>
      </c>
      <c r="B28" s="814">
        <f>I41</f>
        <v>7</v>
      </c>
      <c r="C28" s="320">
        <f>I34</f>
        <v>3</v>
      </c>
      <c r="D28" s="322">
        <f>I35</f>
        <v>1</v>
      </c>
      <c r="E28" s="322">
        <f>I39</f>
        <v>2</v>
      </c>
      <c r="F28" s="322">
        <f>SUM(I37+I38+I40)</f>
        <v>0</v>
      </c>
      <c r="H28" s="811" t="s">
        <v>781</v>
      </c>
      <c r="I28" s="206">
        <v>0.0</v>
      </c>
      <c r="J28" s="206">
        <v>1.0</v>
      </c>
      <c r="K28" s="206">
        <v>2.0</v>
      </c>
      <c r="L28" s="206">
        <v>0.0</v>
      </c>
      <c r="M28" s="206">
        <v>0.0</v>
      </c>
      <c r="N28" s="206">
        <v>0.0</v>
      </c>
      <c r="O28" s="206">
        <v>2.0</v>
      </c>
      <c r="P28" s="206">
        <v>2.0</v>
      </c>
    </row>
    <row r="29">
      <c r="A29" s="812" t="s">
        <v>969</v>
      </c>
      <c r="B29" s="814">
        <f>J41</f>
        <v>60</v>
      </c>
      <c r="C29" s="320">
        <f>J34</f>
        <v>28</v>
      </c>
      <c r="D29" s="322">
        <f>J35</f>
        <v>24</v>
      </c>
      <c r="E29" s="322">
        <f>J39</f>
        <v>6</v>
      </c>
      <c r="F29" s="322">
        <f>SUM(J37+J38+J40)</f>
        <v>0</v>
      </c>
      <c r="H29" s="811" t="s">
        <v>2687</v>
      </c>
      <c r="I29" s="206">
        <v>0.0</v>
      </c>
      <c r="J29" s="206">
        <v>9.0</v>
      </c>
      <c r="K29" s="206">
        <v>8.0</v>
      </c>
      <c r="L29" s="206">
        <v>2.0</v>
      </c>
      <c r="M29" s="206">
        <v>11.0</v>
      </c>
      <c r="N29" s="206">
        <v>2.0</v>
      </c>
      <c r="O29" s="206">
        <v>22.0</v>
      </c>
      <c r="P29" s="206">
        <v>0.0</v>
      </c>
    </row>
    <row r="30">
      <c r="A30" s="812" t="s">
        <v>970</v>
      </c>
      <c r="B30" s="814">
        <f>K41</f>
        <v>11</v>
      </c>
      <c r="C30" s="320">
        <f>K34</f>
        <v>2</v>
      </c>
      <c r="D30" s="322">
        <f>K35</f>
        <v>7</v>
      </c>
      <c r="E30" s="322">
        <f>K39</f>
        <v>2</v>
      </c>
      <c r="F30" s="322">
        <f>SUM(K37+K38+K40)</f>
        <v>0</v>
      </c>
      <c r="H30" s="811" t="s">
        <v>2688</v>
      </c>
      <c r="I30" s="206">
        <v>0.0</v>
      </c>
      <c r="J30" s="206">
        <v>0.0</v>
      </c>
      <c r="K30" s="206">
        <v>0.0</v>
      </c>
      <c r="L30" s="206">
        <v>0.0</v>
      </c>
      <c r="M30" s="206">
        <v>0.0</v>
      </c>
      <c r="N30" s="206">
        <v>0.0</v>
      </c>
      <c r="O30" s="206">
        <v>0.0</v>
      </c>
      <c r="P30" s="206">
        <v>0.0</v>
      </c>
    </row>
    <row r="31">
      <c r="A31" s="812" t="s">
        <v>971</v>
      </c>
      <c r="B31" s="814">
        <f>L41</f>
        <v>100</v>
      </c>
      <c r="C31" s="320">
        <f>L34</f>
        <v>57</v>
      </c>
      <c r="D31" s="322">
        <f>L35</f>
        <v>34</v>
      </c>
      <c r="E31" s="322">
        <f>L39</f>
        <v>5</v>
      </c>
      <c r="F31" s="322">
        <f>SUM(L37+L38+L40)</f>
        <v>1</v>
      </c>
      <c r="H31" s="815" t="s">
        <v>923</v>
      </c>
      <c r="I31" s="206">
        <v>11.0</v>
      </c>
      <c r="J31" s="206">
        <v>99.0</v>
      </c>
      <c r="K31" s="206">
        <v>137.0</v>
      </c>
      <c r="L31" s="206">
        <v>6.0</v>
      </c>
      <c r="M31" s="206">
        <v>46.0</v>
      </c>
      <c r="N31" s="206">
        <v>26.0</v>
      </c>
      <c r="O31" s="206">
        <v>145.0</v>
      </c>
      <c r="P31" s="206">
        <v>6.0</v>
      </c>
    </row>
    <row r="32">
      <c r="A32" s="812" t="s">
        <v>718</v>
      </c>
      <c r="B32" s="814">
        <f>M41</f>
        <v>63</v>
      </c>
      <c r="C32" s="320">
        <f>M34</f>
        <v>26</v>
      </c>
      <c r="D32" s="322">
        <f>M35</f>
        <v>26</v>
      </c>
      <c r="E32" s="322">
        <f>M39</f>
        <v>6</v>
      </c>
      <c r="F32" s="322">
        <f>SUM(M37+M38+M40)</f>
        <v>2</v>
      </c>
    </row>
    <row r="33">
      <c r="A33" s="812" t="s">
        <v>136</v>
      </c>
      <c r="B33" s="814">
        <f>N41</f>
        <v>59</v>
      </c>
      <c r="C33" s="320">
        <f>N34</f>
        <v>28</v>
      </c>
      <c r="D33" s="322">
        <f>N35</f>
        <v>18</v>
      </c>
      <c r="E33" s="322">
        <f>N39</f>
        <v>10</v>
      </c>
      <c r="F33" s="322">
        <f>SUM(N37+N38+N40)</f>
        <v>1</v>
      </c>
      <c r="H33" s="806"/>
      <c r="I33" s="807" t="s">
        <v>968</v>
      </c>
      <c r="J33" s="807" t="s">
        <v>969</v>
      </c>
      <c r="K33" s="807" t="s">
        <v>970</v>
      </c>
      <c r="L33" s="807" t="s">
        <v>971</v>
      </c>
      <c r="M33" s="807" t="s">
        <v>718</v>
      </c>
      <c r="N33" s="807" t="s">
        <v>136</v>
      </c>
      <c r="O33" s="807" t="s">
        <v>973</v>
      </c>
      <c r="P33" s="808" t="s">
        <v>974</v>
      </c>
    </row>
    <row r="34">
      <c r="A34" s="812" t="s">
        <v>973</v>
      </c>
      <c r="B34" s="814">
        <f>O41</f>
        <v>54</v>
      </c>
      <c r="C34" s="320">
        <f>O34</f>
        <v>31</v>
      </c>
      <c r="D34" s="322">
        <f>O35</f>
        <v>16</v>
      </c>
      <c r="E34" s="322">
        <f>O39</f>
        <v>3</v>
      </c>
      <c r="F34" s="322">
        <f>SUM(O37+O38+O40)</f>
        <v>3</v>
      </c>
      <c r="H34" s="811" t="s">
        <v>1057</v>
      </c>
      <c r="I34" s="206">
        <v>3.0</v>
      </c>
      <c r="J34" s="206">
        <v>28.0</v>
      </c>
      <c r="K34" s="206">
        <v>2.0</v>
      </c>
      <c r="L34" s="206">
        <v>57.0</v>
      </c>
      <c r="M34" s="206">
        <v>26.0</v>
      </c>
      <c r="N34" s="206">
        <v>28.0</v>
      </c>
      <c r="O34" s="206">
        <v>31.0</v>
      </c>
      <c r="P34" s="206">
        <v>0.0</v>
      </c>
    </row>
    <row r="35">
      <c r="A35" s="812" t="s">
        <v>974</v>
      </c>
      <c r="B35" s="814">
        <f>P41</f>
        <v>6</v>
      </c>
      <c r="C35" s="320">
        <f>P34</f>
        <v>0</v>
      </c>
      <c r="D35" s="322">
        <f>P35</f>
        <v>5</v>
      </c>
      <c r="E35" s="322">
        <f>P39</f>
        <v>1</v>
      </c>
      <c r="F35" s="322">
        <f>SUM(P37+P38+P40)</f>
        <v>0</v>
      </c>
      <c r="H35" s="811" t="s">
        <v>1724</v>
      </c>
      <c r="I35" s="206">
        <v>1.0</v>
      </c>
      <c r="J35" s="206">
        <v>24.0</v>
      </c>
      <c r="K35" s="206">
        <v>7.0</v>
      </c>
      <c r="L35" s="206">
        <v>34.0</v>
      </c>
      <c r="M35" s="206">
        <v>26.0</v>
      </c>
      <c r="N35" s="206">
        <v>18.0</v>
      </c>
      <c r="O35" s="206">
        <v>16.0</v>
      </c>
      <c r="P35" s="206">
        <v>5.0</v>
      </c>
    </row>
    <row r="36">
      <c r="A36" s="812" t="s">
        <v>224</v>
      </c>
      <c r="B36" s="814">
        <f>I51</f>
        <v>4</v>
      </c>
      <c r="C36" s="320">
        <f>I44</f>
        <v>1</v>
      </c>
      <c r="D36" s="322">
        <f>I45</f>
        <v>3</v>
      </c>
      <c r="E36" s="322">
        <f>I49</f>
        <v>0</v>
      </c>
      <c r="F36" s="322">
        <f>SUM(I47+I48+I50)</f>
        <v>0</v>
      </c>
      <c r="H36" s="811" t="s">
        <v>2686</v>
      </c>
      <c r="I36" s="206">
        <v>1.0</v>
      </c>
      <c r="J36" s="206">
        <v>2.0</v>
      </c>
      <c r="K36" s="206">
        <v>0.0</v>
      </c>
      <c r="L36" s="206">
        <v>3.0</v>
      </c>
      <c r="M36" s="206">
        <v>3.0</v>
      </c>
      <c r="N36" s="206">
        <v>2.0</v>
      </c>
      <c r="O36" s="206">
        <v>1.0</v>
      </c>
      <c r="P36" s="206">
        <v>0.0</v>
      </c>
    </row>
    <row r="37">
      <c r="A37" s="812" t="s">
        <v>278</v>
      </c>
      <c r="B37" s="814">
        <f>J51</f>
        <v>5</v>
      </c>
      <c r="C37" s="320">
        <f>J44</f>
        <v>1</v>
      </c>
      <c r="D37" s="322">
        <f>J45</f>
        <v>4</v>
      </c>
      <c r="E37" s="322">
        <f>J49</f>
        <v>0</v>
      </c>
      <c r="F37" s="322">
        <f>SUM(J47+J48+J50)</f>
        <v>0</v>
      </c>
      <c r="H37" s="811" t="s">
        <v>1109</v>
      </c>
      <c r="I37" s="206">
        <v>0.0</v>
      </c>
      <c r="J37" s="206">
        <v>0.0</v>
      </c>
      <c r="K37" s="206">
        <v>0.0</v>
      </c>
      <c r="L37" s="206">
        <v>1.0</v>
      </c>
      <c r="M37" s="206">
        <v>2.0</v>
      </c>
      <c r="N37" s="206">
        <v>0.0</v>
      </c>
      <c r="O37" s="206">
        <v>1.0</v>
      </c>
      <c r="P37" s="206">
        <v>0.0</v>
      </c>
    </row>
    <row r="38">
      <c r="A38" s="812" t="s">
        <v>975</v>
      </c>
      <c r="B38" s="814">
        <f>K51</f>
        <v>3</v>
      </c>
      <c r="C38" s="320">
        <f>K44</f>
        <v>1</v>
      </c>
      <c r="D38" s="322">
        <f>K45</f>
        <v>0</v>
      </c>
      <c r="E38" s="322">
        <f>K49</f>
        <v>2</v>
      </c>
      <c r="F38" s="322">
        <f>SUM(K47+K48+K50)</f>
        <v>0</v>
      </c>
      <c r="H38" s="811" t="s">
        <v>781</v>
      </c>
      <c r="I38" s="206">
        <v>0.0</v>
      </c>
      <c r="J38" s="206">
        <v>0.0</v>
      </c>
      <c r="K38" s="206">
        <v>0.0</v>
      </c>
      <c r="L38" s="206">
        <v>0.0</v>
      </c>
      <c r="M38" s="206">
        <v>0.0</v>
      </c>
      <c r="N38" s="206">
        <v>1.0</v>
      </c>
      <c r="O38" s="206">
        <v>2.0</v>
      </c>
      <c r="P38" s="206">
        <v>0.0</v>
      </c>
    </row>
    <row r="39">
      <c r="A39" s="812" t="s">
        <v>976</v>
      </c>
      <c r="B39" s="814">
        <f>L51</f>
        <v>0</v>
      </c>
      <c r="C39" s="320">
        <f>L44</f>
        <v>0</v>
      </c>
      <c r="D39" s="322">
        <f>L45</f>
        <v>0</v>
      </c>
      <c r="E39" s="322">
        <f>L49</f>
        <v>0</v>
      </c>
      <c r="F39" s="322">
        <f>SUM(L47+L48+L50)</f>
        <v>0</v>
      </c>
      <c r="H39" s="811" t="s">
        <v>2687</v>
      </c>
      <c r="I39" s="206">
        <v>2.0</v>
      </c>
      <c r="J39" s="206">
        <v>6.0</v>
      </c>
      <c r="K39" s="206">
        <v>2.0</v>
      </c>
      <c r="L39" s="206">
        <v>5.0</v>
      </c>
      <c r="M39" s="206">
        <v>6.0</v>
      </c>
      <c r="N39" s="206">
        <v>10.0</v>
      </c>
      <c r="O39" s="206">
        <v>3.0</v>
      </c>
      <c r="P39" s="206">
        <v>1.0</v>
      </c>
    </row>
    <row r="40">
      <c r="A40" s="812" t="s">
        <v>977</v>
      </c>
      <c r="B40" s="814">
        <f>M51</f>
        <v>32</v>
      </c>
      <c r="C40" s="320">
        <f>M44</f>
        <v>13</v>
      </c>
      <c r="D40" s="322">
        <f>M45</f>
        <v>9</v>
      </c>
      <c r="E40" s="322">
        <f>M49</f>
        <v>5</v>
      </c>
      <c r="F40" s="322">
        <f>SUM(M47+M48+M50)</f>
        <v>1</v>
      </c>
      <c r="H40" s="811" t="s">
        <v>2688</v>
      </c>
      <c r="I40" s="206">
        <v>0.0</v>
      </c>
      <c r="J40" s="206">
        <v>0.0</v>
      </c>
      <c r="K40" s="206">
        <v>0.0</v>
      </c>
      <c r="L40" s="206">
        <v>0.0</v>
      </c>
      <c r="M40" s="206">
        <v>0.0</v>
      </c>
      <c r="N40" s="206">
        <v>0.0</v>
      </c>
      <c r="O40" s="206">
        <v>0.0</v>
      </c>
      <c r="P40" s="206">
        <v>0.0</v>
      </c>
    </row>
    <row r="41">
      <c r="A41" s="812" t="s">
        <v>497</v>
      </c>
      <c r="B41" s="814">
        <f>N51</f>
        <v>8</v>
      </c>
      <c r="C41" s="320">
        <f>N44</f>
        <v>4</v>
      </c>
      <c r="D41" s="322">
        <f>N45</f>
        <v>1</v>
      </c>
      <c r="E41" s="322">
        <f>N49</f>
        <v>0</v>
      </c>
      <c r="F41" s="322">
        <f>SUM(N47+N48+N50)</f>
        <v>1</v>
      </c>
      <c r="H41" s="815" t="s">
        <v>923</v>
      </c>
      <c r="I41" s="206">
        <v>7.0</v>
      </c>
      <c r="J41" s="206">
        <v>60.0</v>
      </c>
      <c r="K41" s="206">
        <v>11.0</v>
      </c>
      <c r="L41" s="206">
        <v>100.0</v>
      </c>
      <c r="M41" s="206">
        <v>63.0</v>
      </c>
      <c r="N41" s="206">
        <v>59.0</v>
      </c>
      <c r="O41" s="206">
        <v>54.0</v>
      </c>
      <c r="P41" s="206">
        <v>6.0</v>
      </c>
    </row>
    <row r="42">
      <c r="A42" s="812" t="s">
        <v>978</v>
      </c>
      <c r="B42" s="814">
        <f>O51</f>
        <v>25</v>
      </c>
      <c r="C42" s="320">
        <f>O44</f>
        <v>11</v>
      </c>
      <c r="D42" s="322">
        <f>O45</f>
        <v>10</v>
      </c>
      <c r="E42" s="322">
        <f>O49</f>
        <v>2</v>
      </c>
      <c r="F42" s="322">
        <f>SUM(O47+O48+O50)</f>
        <v>2</v>
      </c>
    </row>
    <row r="43">
      <c r="A43" s="812" t="s">
        <v>979</v>
      </c>
      <c r="B43" s="814">
        <f>P51</f>
        <v>59</v>
      </c>
      <c r="C43" s="320">
        <f>P44</f>
        <v>27</v>
      </c>
      <c r="D43" s="322">
        <f>P45</f>
        <v>21</v>
      </c>
      <c r="E43" s="322">
        <f>P49</f>
        <v>6</v>
      </c>
      <c r="F43" s="322">
        <f>SUM(P47+P48+P50)</f>
        <v>1</v>
      </c>
      <c r="H43" s="806"/>
      <c r="I43" s="807" t="s">
        <v>224</v>
      </c>
      <c r="J43" s="807" t="s">
        <v>278</v>
      </c>
      <c r="K43" s="807" t="s">
        <v>975</v>
      </c>
      <c r="L43" s="807" t="s">
        <v>976</v>
      </c>
      <c r="M43" s="807" t="s">
        <v>977</v>
      </c>
      <c r="N43" s="807" t="s">
        <v>497</v>
      </c>
      <c r="O43" s="807" t="s">
        <v>978</v>
      </c>
      <c r="P43" s="808" t="s">
        <v>979</v>
      </c>
    </row>
    <row r="44">
      <c r="A44" s="812" t="s">
        <v>980</v>
      </c>
      <c r="B44" s="814">
        <f>I61</f>
        <v>3</v>
      </c>
      <c r="C44" s="320">
        <f>I54</f>
        <v>3</v>
      </c>
      <c r="D44" s="322">
        <f>I55</f>
        <v>0</v>
      </c>
      <c r="E44" s="322">
        <f>I59</f>
        <v>0</v>
      </c>
      <c r="F44" s="322">
        <f>SUM(I57+I58+I60)</f>
        <v>0</v>
      </c>
      <c r="H44" s="811" t="s">
        <v>1057</v>
      </c>
      <c r="I44" s="206">
        <v>1.0</v>
      </c>
      <c r="J44" s="206">
        <v>1.0</v>
      </c>
      <c r="K44" s="206">
        <v>1.0</v>
      </c>
      <c r="L44" s="206">
        <v>0.0</v>
      </c>
      <c r="M44" s="206">
        <v>13.0</v>
      </c>
      <c r="N44" s="206">
        <v>4.0</v>
      </c>
      <c r="O44" s="206">
        <v>11.0</v>
      </c>
      <c r="P44" s="206">
        <v>27.0</v>
      </c>
    </row>
    <row r="45">
      <c r="A45" s="812" t="s">
        <v>981</v>
      </c>
      <c r="B45" s="814">
        <f>J61</f>
        <v>1</v>
      </c>
      <c r="C45" s="320">
        <f>J54</f>
        <v>1</v>
      </c>
      <c r="D45" s="322">
        <f>J55</f>
        <v>0</v>
      </c>
      <c r="E45" s="322">
        <f>J59</f>
        <v>0</v>
      </c>
      <c r="F45" s="322">
        <f>sum(J57+J58+J60)</f>
        <v>0</v>
      </c>
      <c r="H45" s="811" t="s">
        <v>1724</v>
      </c>
      <c r="I45" s="206">
        <v>3.0</v>
      </c>
      <c r="J45" s="206">
        <v>4.0</v>
      </c>
      <c r="K45" s="206">
        <v>0.0</v>
      </c>
      <c r="L45" s="206">
        <v>0.0</v>
      </c>
      <c r="M45" s="206">
        <v>9.0</v>
      </c>
      <c r="N45" s="206">
        <v>1.0</v>
      </c>
      <c r="O45" s="206">
        <v>10.0</v>
      </c>
      <c r="P45" s="206">
        <v>21.0</v>
      </c>
    </row>
    <row r="46">
      <c r="A46" s="812" t="s">
        <v>142</v>
      </c>
      <c r="B46" s="814">
        <f>K61</f>
        <v>40</v>
      </c>
      <c r="C46" s="320">
        <f>K54</f>
        <v>14</v>
      </c>
      <c r="D46" s="322">
        <f>K55</f>
        <v>20</v>
      </c>
      <c r="E46" s="322">
        <f>K59</f>
        <v>2</v>
      </c>
      <c r="F46" s="322">
        <f>SUM(K57+K58+K60)</f>
        <v>2</v>
      </c>
      <c r="H46" s="811" t="s">
        <v>2686</v>
      </c>
      <c r="I46" s="206">
        <v>0.0</v>
      </c>
      <c r="J46" s="206">
        <v>0.0</v>
      </c>
      <c r="K46" s="206">
        <v>0.0</v>
      </c>
      <c r="L46" s="206">
        <v>0.0</v>
      </c>
      <c r="M46" s="206">
        <v>4.0</v>
      </c>
      <c r="N46" s="206">
        <v>2.0</v>
      </c>
      <c r="O46" s="206">
        <v>0.0</v>
      </c>
      <c r="P46" s="206">
        <v>4.0</v>
      </c>
    </row>
    <row r="47">
      <c r="A47" s="812" t="s">
        <v>143</v>
      </c>
      <c r="B47" s="814">
        <f>L61</f>
        <v>15</v>
      </c>
      <c r="C47" s="320">
        <f>L54</f>
        <v>11</v>
      </c>
      <c r="D47" s="322">
        <f>L55</f>
        <v>2</v>
      </c>
      <c r="E47" s="322">
        <f>L59</f>
        <v>0</v>
      </c>
      <c r="F47" s="322">
        <f>SUM(L57+L58+L60)</f>
        <v>0</v>
      </c>
      <c r="H47" s="811" t="s">
        <v>1109</v>
      </c>
      <c r="I47" s="206">
        <v>0.0</v>
      </c>
      <c r="J47" s="206">
        <v>0.0</v>
      </c>
      <c r="K47" s="206">
        <v>0.0</v>
      </c>
      <c r="L47" s="206">
        <v>0.0</v>
      </c>
      <c r="M47" s="206">
        <v>0.0</v>
      </c>
      <c r="N47" s="206">
        <v>0.0</v>
      </c>
      <c r="O47" s="206">
        <v>1.0</v>
      </c>
      <c r="P47" s="206">
        <v>0.0</v>
      </c>
    </row>
    <row r="48">
      <c r="A48" s="812" t="s">
        <v>982</v>
      </c>
      <c r="B48" s="814">
        <f>M61</f>
        <v>5</v>
      </c>
      <c r="C48" s="320">
        <f>M54</f>
        <v>4</v>
      </c>
      <c r="D48" s="322">
        <f>M55</f>
        <v>0</v>
      </c>
      <c r="E48" s="322">
        <f>M59</f>
        <v>1</v>
      </c>
      <c r="F48" s="322">
        <f>SUM(M57+M58+M60)</f>
        <v>0</v>
      </c>
      <c r="H48" s="811" t="s">
        <v>781</v>
      </c>
      <c r="I48" s="206">
        <v>0.0</v>
      </c>
      <c r="J48" s="206">
        <v>0.0</v>
      </c>
      <c r="K48" s="206">
        <v>0.0</v>
      </c>
      <c r="L48" s="206">
        <v>0.0</v>
      </c>
      <c r="M48" s="206">
        <v>1.0</v>
      </c>
      <c r="N48" s="206">
        <v>1.0</v>
      </c>
      <c r="O48" s="206">
        <v>1.0</v>
      </c>
      <c r="P48" s="206">
        <v>1.0</v>
      </c>
    </row>
    <row r="49">
      <c r="A49" s="812" t="s">
        <v>288</v>
      </c>
      <c r="B49" s="814">
        <f>N61</f>
        <v>428</v>
      </c>
      <c r="C49" s="320">
        <f>N54</f>
        <v>191</v>
      </c>
      <c r="D49" s="322">
        <f>N55</f>
        <v>187</v>
      </c>
      <c r="E49" s="322">
        <f>N59</f>
        <v>29</v>
      </c>
      <c r="F49" s="322">
        <f>SUM(N57+N58+N60)</f>
        <v>9</v>
      </c>
      <c r="H49" s="811" t="s">
        <v>2687</v>
      </c>
      <c r="I49" s="206">
        <v>0.0</v>
      </c>
      <c r="J49" s="206">
        <v>0.0</v>
      </c>
      <c r="K49" s="206">
        <v>2.0</v>
      </c>
      <c r="L49" s="206">
        <v>0.0</v>
      </c>
      <c r="M49" s="206">
        <v>5.0</v>
      </c>
      <c r="N49" s="206">
        <v>0.0</v>
      </c>
      <c r="O49" s="206">
        <v>2.0</v>
      </c>
      <c r="P49" s="206">
        <v>6.0</v>
      </c>
    </row>
    <row r="50">
      <c r="A50" s="812" t="s">
        <v>983</v>
      </c>
      <c r="B50" s="814">
        <f>O61</f>
        <v>13</v>
      </c>
      <c r="C50" s="320">
        <f>O54</f>
        <v>5</v>
      </c>
      <c r="D50" s="322">
        <f>O55</f>
        <v>4</v>
      </c>
      <c r="E50" s="322">
        <f>O59</f>
        <v>0</v>
      </c>
      <c r="F50" s="322">
        <f>SUM(O57+O58+O60)</f>
        <v>0</v>
      </c>
      <c r="H50" s="811" t="s">
        <v>2688</v>
      </c>
      <c r="I50" s="206">
        <v>0.0</v>
      </c>
      <c r="J50" s="206">
        <v>0.0</v>
      </c>
      <c r="K50" s="206">
        <v>0.0</v>
      </c>
      <c r="L50" s="206">
        <v>0.0</v>
      </c>
      <c r="M50" s="206">
        <v>0.0</v>
      </c>
      <c r="N50" s="206">
        <v>0.0</v>
      </c>
      <c r="O50" s="206">
        <v>0.0</v>
      </c>
      <c r="P50" s="206">
        <v>0.0</v>
      </c>
    </row>
    <row r="51">
      <c r="A51" s="809" t="s">
        <v>984</v>
      </c>
      <c r="B51" s="814">
        <f>P61</f>
        <v>16</v>
      </c>
      <c r="C51" s="320">
        <f>P54</f>
        <v>10</v>
      </c>
      <c r="D51" s="322">
        <f>P55</f>
        <v>4</v>
      </c>
      <c r="E51" s="322">
        <f>P59</f>
        <v>1</v>
      </c>
      <c r="F51" s="322">
        <f>SUM(P57+P58+P60)</f>
        <v>0</v>
      </c>
      <c r="H51" s="815" t="s">
        <v>923</v>
      </c>
      <c r="I51" s="206">
        <v>4.0</v>
      </c>
      <c r="J51" s="206">
        <v>5.0</v>
      </c>
      <c r="K51" s="206">
        <v>3.0</v>
      </c>
      <c r="L51" s="206">
        <v>0.0</v>
      </c>
      <c r="M51" s="206">
        <v>32.0</v>
      </c>
      <c r="N51" s="206">
        <v>8.0</v>
      </c>
      <c r="O51" s="206">
        <v>25.0</v>
      </c>
      <c r="P51" s="206">
        <v>59.0</v>
      </c>
    </row>
    <row r="52">
      <c r="A52" s="812" t="s">
        <v>427</v>
      </c>
      <c r="B52" s="814">
        <f>I71</f>
        <v>3</v>
      </c>
      <c r="C52" s="320">
        <f>I64</f>
        <v>2</v>
      </c>
      <c r="D52" s="322">
        <f>I65</f>
        <v>0</v>
      </c>
      <c r="E52" s="322">
        <f>I69</f>
        <v>1</v>
      </c>
      <c r="F52" s="322">
        <f>SUM(I67+I68+I70)</f>
        <v>0</v>
      </c>
    </row>
    <row r="53">
      <c r="A53" s="812" t="s">
        <v>985</v>
      </c>
      <c r="B53" s="814">
        <f>J71</f>
        <v>61</v>
      </c>
      <c r="C53" s="320">
        <f>J64</f>
        <v>24</v>
      </c>
      <c r="D53" s="322">
        <f>J65</f>
        <v>29</v>
      </c>
      <c r="E53" s="322">
        <f>J69</f>
        <v>3</v>
      </c>
      <c r="F53" s="322">
        <f>SUM(J67+J68+J70)</f>
        <v>1</v>
      </c>
      <c r="H53" s="806"/>
      <c r="I53" s="807" t="s">
        <v>980</v>
      </c>
      <c r="J53" s="807" t="s">
        <v>981</v>
      </c>
      <c r="K53" s="807" t="s">
        <v>142</v>
      </c>
      <c r="L53" s="807" t="s">
        <v>143</v>
      </c>
      <c r="M53" s="807" t="s">
        <v>982</v>
      </c>
      <c r="N53" s="807" t="s">
        <v>288</v>
      </c>
      <c r="O53" s="807" t="s">
        <v>983</v>
      </c>
      <c r="P53" s="808" t="s">
        <v>984</v>
      </c>
    </row>
    <row r="54">
      <c r="A54" s="812" t="s">
        <v>986</v>
      </c>
      <c r="B54" s="814">
        <f>K71</f>
        <v>4</v>
      </c>
      <c r="C54" s="320">
        <f>K64</f>
        <v>1</v>
      </c>
      <c r="D54" s="322">
        <f>K65</f>
        <v>3</v>
      </c>
      <c r="E54" s="322">
        <f>K69</f>
        <v>0</v>
      </c>
      <c r="F54" s="322">
        <f>SUM(K67+K68+K70)</f>
        <v>0</v>
      </c>
      <c r="H54" s="811" t="s">
        <v>1057</v>
      </c>
      <c r="I54" s="206">
        <v>3.0</v>
      </c>
      <c r="J54" s="206">
        <v>1.0</v>
      </c>
      <c r="K54" s="206">
        <v>14.0</v>
      </c>
      <c r="L54" s="206">
        <v>11.0</v>
      </c>
      <c r="M54" s="206">
        <v>4.0</v>
      </c>
      <c r="N54" s="206">
        <v>191.0</v>
      </c>
      <c r="O54" s="206">
        <v>5.0</v>
      </c>
      <c r="P54" s="206">
        <v>10.0</v>
      </c>
    </row>
    <row r="55">
      <c r="A55" s="812" t="s">
        <v>987</v>
      </c>
      <c r="B55" s="814">
        <f>L71</f>
        <v>176</v>
      </c>
      <c r="C55" s="320">
        <f>L64</f>
        <v>73</v>
      </c>
      <c r="D55" s="322">
        <f>L65</f>
        <v>70</v>
      </c>
      <c r="E55" s="322">
        <f>L69</f>
        <v>16</v>
      </c>
      <c r="F55" s="322">
        <f>SUM(L67+L68+L70)</f>
        <v>12</v>
      </c>
      <c r="H55" s="811" t="s">
        <v>1724</v>
      </c>
      <c r="I55" s="206">
        <v>0.0</v>
      </c>
      <c r="J55" s="206">
        <v>0.0</v>
      </c>
      <c r="K55" s="206">
        <v>20.0</v>
      </c>
      <c r="L55" s="206">
        <v>2.0</v>
      </c>
      <c r="M55" s="206">
        <v>0.0</v>
      </c>
      <c r="N55" s="206">
        <v>187.0</v>
      </c>
      <c r="O55" s="206">
        <v>4.0</v>
      </c>
      <c r="P55" s="206">
        <v>4.0</v>
      </c>
    </row>
    <row r="56">
      <c r="A56" s="812" t="s">
        <v>290</v>
      </c>
      <c r="B56" s="814">
        <f>M71</f>
        <v>8</v>
      </c>
      <c r="C56" s="320">
        <f>M64</f>
        <v>5</v>
      </c>
      <c r="D56" s="322">
        <f>M65</f>
        <v>1</v>
      </c>
      <c r="E56" s="322">
        <f>M69</f>
        <v>2</v>
      </c>
      <c r="F56" s="322">
        <f>SUM(M67+M68+M70)</f>
        <v>0</v>
      </c>
      <c r="H56" s="811" t="s">
        <v>2686</v>
      </c>
      <c r="I56" s="206">
        <v>0.0</v>
      </c>
      <c r="J56" s="206">
        <v>0.0</v>
      </c>
      <c r="K56" s="206">
        <v>2.0</v>
      </c>
      <c r="L56" s="206">
        <v>2.0</v>
      </c>
      <c r="M56" s="206">
        <v>0.0</v>
      </c>
      <c r="N56" s="206">
        <v>12.0</v>
      </c>
      <c r="O56" s="206">
        <v>4.0</v>
      </c>
      <c r="P56" s="206">
        <v>1.0</v>
      </c>
    </row>
    <row r="57">
      <c r="A57" s="812" t="s">
        <v>907</v>
      </c>
      <c r="B57" s="814">
        <f>N71</f>
        <v>22</v>
      </c>
      <c r="C57" s="320">
        <f>N64</f>
        <v>8</v>
      </c>
      <c r="D57" s="322">
        <f>N65</f>
        <v>11</v>
      </c>
      <c r="E57" s="322">
        <f>N69</f>
        <v>2</v>
      </c>
      <c r="F57" s="322">
        <f>SUM(N67+N68+N70)</f>
        <v>1</v>
      </c>
      <c r="H57" s="811" t="s">
        <v>1109</v>
      </c>
      <c r="I57" s="206">
        <v>0.0</v>
      </c>
      <c r="J57" s="206">
        <v>0.0</v>
      </c>
      <c r="K57" s="206">
        <v>2.0</v>
      </c>
      <c r="L57" s="206">
        <v>0.0</v>
      </c>
      <c r="M57" s="206">
        <v>0.0</v>
      </c>
      <c r="N57" s="206">
        <v>6.0</v>
      </c>
      <c r="O57" s="206">
        <v>0.0</v>
      </c>
      <c r="P57" s="206">
        <v>0.0</v>
      </c>
    </row>
    <row r="58">
      <c r="A58" s="812" t="s">
        <v>293</v>
      </c>
      <c r="B58" s="814">
        <f>O71</f>
        <v>9</v>
      </c>
      <c r="C58" s="320">
        <f>O64</f>
        <v>4</v>
      </c>
      <c r="D58" s="322">
        <f>O65</f>
        <v>5</v>
      </c>
      <c r="E58" s="322">
        <f>O69</f>
        <v>0</v>
      </c>
      <c r="F58" s="322">
        <f>SUM(O67+O68+O70)</f>
        <v>0</v>
      </c>
      <c r="H58" s="811" t="s">
        <v>781</v>
      </c>
      <c r="I58" s="206">
        <v>0.0</v>
      </c>
      <c r="J58" s="206">
        <v>0.0</v>
      </c>
      <c r="K58" s="206">
        <v>0.0</v>
      </c>
      <c r="L58" s="206">
        <v>0.0</v>
      </c>
      <c r="M58" s="206">
        <v>0.0</v>
      </c>
      <c r="N58" s="206">
        <v>3.0</v>
      </c>
      <c r="O58" s="206">
        <v>0.0</v>
      </c>
      <c r="P58" s="206">
        <v>0.0</v>
      </c>
    </row>
    <row r="59">
      <c r="A59" s="812" t="s">
        <v>910</v>
      </c>
      <c r="B59" s="814">
        <f>P71</f>
        <v>116</v>
      </c>
      <c r="C59" s="320">
        <f>P64</f>
        <v>55</v>
      </c>
      <c r="D59" s="322">
        <f>P65</f>
        <v>32</v>
      </c>
      <c r="E59" s="322">
        <f>P69</f>
        <v>18</v>
      </c>
      <c r="F59" s="322">
        <f>SUM(P67+P68+P70)</f>
        <v>4</v>
      </c>
      <c r="H59" s="811" t="s">
        <v>2687</v>
      </c>
      <c r="I59" s="206">
        <v>0.0</v>
      </c>
      <c r="J59" s="206">
        <v>0.0</v>
      </c>
      <c r="K59" s="206">
        <v>2.0</v>
      </c>
      <c r="L59" s="206">
        <v>0.0</v>
      </c>
      <c r="M59" s="206">
        <v>1.0</v>
      </c>
      <c r="N59" s="206">
        <v>29.0</v>
      </c>
      <c r="O59" s="206">
        <v>0.0</v>
      </c>
      <c r="P59" s="206">
        <v>1.0</v>
      </c>
    </row>
    <row r="60">
      <c r="A60" s="812" t="s">
        <v>153</v>
      </c>
      <c r="B60" s="814">
        <f>I81</f>
        <v>10</v>
      </c>
      <c r="C60" s="320">
        <f>I74</f>
        <v>8</v>
      </c>
      <c r="D60" s="322">
        <f>I75</f>
        <v>2</v>
      </c>
      <c r="E60" s="322">
        <f>I79</f>
        <v>0</v>
      </c>
      <c r="F60" s="322">
        <f>SUM(I77+I78+I80)</f>
        <v>0</v>
      </c>
      <c r="H60" s="811" t="s">
        <v>2688</v>
      </c>
      <c r="I60" s="206">
        <v>0.0</v>
      </c>
      <c r="J60" s="206">
        <v>0.0</v>
      </c>
      <c r="K60" s="206">
        <v>0.0</v>
      </c>
      <c r="L60" s="206">
        <v>0.0</v>
      </c>
      <c r="M60" s="206">
        <v>0.0</v>
      </c>
      <c r="N60" s="206">
        <v>0.0</v>
      </c>
      <c r="O60" s="206">
        <v>0.0</v>
      </c>
      <c r="P60" s="206">
        <v>0.0</v>
      </c>
    </row>
    <row r="61">
      <c r="A61" s="812" t="s">
        <v>154</v>
      </c>
      <c r="B61" s="814">
        <f>J81</f>
        <v>34</v>
      </c>
      <c r="C61" s="320">
        <f>J74</f>
        <v>18</v>
      </c>
      <c r="D61" s="322">
        <f>J75</f>
        <v>14</v>
      </c>
      <c r="E61" s="322">
        <f>J79</f>
        <v>2</v>
      </c>
      <c r="F61" s="322">
        <f>SUM(J77+J78+J80)</f>
        <v>0</v>
      </c>
      <c r="H61" s="815" t="s">
        <v>923</v>
      </c>
      <c r="I61" s="206">
        <v>3.0</v>
      </c>
      <c r="J61" s="206">
        <v>1.0</v>
      </c>
      <c r="K61" s="206">
        <v>40.0</v>
      </c>
      <c r="L61" s="206">
        <v>15.0</v>
      </c>
      <c r="M61" s="206">
        <v>5.0</v>
      </c>
      <c r="N61" s="206">
        <v>428.0</v>
      </c>
      <c r="O61" s="206">
        <v>13.0</v>
      </c>
      <c r="P61" s="206">
        <v>16.0</v>
      </c>
    </row>
    <row r="62">
      <c r="A62" s="812" t="s">
        <v>988</v>
      </c>
      <c r="B62" s="814">
        <f>K81</f>
        <v>36</v>
      </c>
      <c r="C62" s="320">
        <f>K74</f>
        <v>16</v>
      </c>
      <c r="D62" s="322">
        <f>K75</f>
        <v>12</v>
      </c>
      <c r="E62" s="322">
        <f>K79</f>
        <v>5</v>
      </c>
      <c r="F62" s="322">
        <f>SUM(K77+K78+K80)</f>
        <v>2</v>
      </c>
    </row>
    <row r="63">
      <c r="A63" s="812" t="s">
        <v>989</v>
      </c>
      <c r="B63" s="814">
        <f>L81</f>
        <v>1</v>
      </c>
      <c r="C63" s="320">
        <f>L74</f>
        <v>0</v>
      </c>
      <c r="D63" s="322">
        <f>L75</f>
        <v>1</v>
      </c>
      <c r="E63" s="322">
        <f>L79</f>
        <v>0</v>
      </c>
      <c r="F63" s="322">
        <f>SUM(L77+L78+L80)</f>
        <v>0</v>
      </c>
      <c r="H63" s="806"/>
      <c r="I63" s="807" t="s">
        <v>427</v>
      </c>
      <c r="J63" s="807" t="s">
        <v>985</v>
      </c>
      <c r="K63" s="807" t="s">
        <v>986</v>
      </c>
      <c r="L63" s="807" t="s">
        <v>987</v>
      </c>
      <c r="M63" s="807" t="s">
        <v>290</v>
      </c>
      <c r="N63" s="807" t="s">
        <v>907</v>
      </c>
      <c r="O63" s="807" t="s">
        <v>293</v>
      </c>
      <c r="P63" s="808" t="s">
        <v>910</v>
      </c>
    </row>
    <row r="64">
      <c r="A64" s="812" t="s">
        <v>791</v>
      </c>
      <c r="B64" s="814">
        <f>M81</f>
        <v>23</v>
      </c>
      <c r="C64" s="320">
        <f>M74</f>
        <v>11</v>
      </c>
      <c r="D64" s="322">
        <f>M75</f>
        <v>9</v>
      </c>
      <c r="E64" s="322">
        <f>M79</f>
        <v>2</v>
      </c>
      <c r="F64" s="322">
        <f>SUM(M77+M78+M80)</f>
        <v>1</v>
      </c>
      <c r="H64" s="811" t="s">
        <v>1057</v>
      </c>
      <c r="I64" s="206">
        <v>2.0</v>
      </c>
      <c r="J64" s="206">
        <v>24.0</v>
      </c>
      <c r="K64" s="206">
        <v>1.0</v>
      </c>
      <c r="L64" s="206">
        <v>73.0</v>
      </c>
      <c r="M64" s="206">
        <v>5.0</v>
      </c>
      <c r="N64" s="206">
        <v>8.0</v>
      </c>
      <c r="O64" s="206">
        <v>4.0</v>
      </c>
      <c r="P64" s="206">
        <v>55.0</v>
      </c>
    </row>
    <row r="65">
      <c r="A65" s="812" t="s">
        <v>610</v>
      </c>
      <c r="B65" s="814">
        <f>N81</f>
        <v>6</v>
      </c>
      <c r="C65" s="320">
        <f>N74</f>
        <v>2</v>
      </c>
      <c r="D65" s="322">
        <f>N75</f>
        <v>2</v>
      </c>
      <c r="E65" s="322">
        <f>N79</f>
        <v>2</v>
      </c>
      <c r="F65" s="322">
        <f>SUM(N77+N78+N80)</f>
        <v>0</v>
      </c>
      <c r="H65" s="811" t="s">
        <v>1724</v>
      </c>
      <c r="I65" s="206">
        <v>0.0</v>
      </c>
      <c r="J65" s="206">
        <v>29.0</v>
      </c>
      <c r="K65" s="206">
        <v>3.0</v>
      </c>
      <c r="L65" s="206">
        <v>70.0</v>
      </c>
      <c r="M65" s="206">
        <v>1.0</v>
      </c>
      <c r="N65" s="206">
        <v>11.0</v>
      </c>
      <c r="O65" s="206">
        <v>5.0</v>
      </c>
      <c r="P65" s="206">
        <v>32.0</v>
      </c>
    </row>
    <row r="66">
      <c r="A66" s="812" t="s">
        <v>157</v>
      </c>
      <c r="B66" s="814">
        <f>O81</f>
        <v>89</v>
      </c>
      <c r="C66" s="320">
        <f>O74</f>
        <v>57</v>
      </c>
      <c r="D66" s="322">
        <f>O75</f>
        <v>26</v>
      </c>
      <c r="E66" s="322">
        <f>O79</f>
        <v>4</v>
      </c>
      <c r="F66" s="322">
        <f>SUM(O77+O78+O80)</f>
        <v>0</v>
      </c>
      <c r="H66" s="811" t="s">
        <v>2686</v>
      </c>
      <c r="I66" s="206">
        <v>0.0</v>
      </c>
      <c r="J66" s="206">
        <v>4.0</v>
      </c>
      <c r="K66" s="206">
        <v>0.0</v>
      </c>
      <c r="L66" s="206">
        <v>5.0</v>
      </c>
      <c r="M66" s="206">
        <v>0.0</v>
      </c>
      <c r="N66" s="206">
        <v>0.0</v>
      </c>
      <c r="O66" s="206">
        <v>0.0</v>
      </c>
      <c r="P66" s="206">
        <v>7.0</v>
      </c>
    </row>
    <row r="67">
      <c r="A67" s="812" t="s">
        <v>990</v>
      </c>
      <c r="B67" s="814">
        <f>P81</f>
        <v>8</v>
      </c>
      <c r="C67" s="320">
        <f>P74</f>
        <v>7</v>
      </c>
      <c r="D67" s="322">
        <f>P75</f>
        <v>0</v>
      </c>
      <c r="E67" s="322">
        <f>P79</f>
        <v>1</v>
      </c>
      <c r="F67" s="322">
        <f>SUM(P77+P78+P80)</f>
        <v>0</v>
      </c>
      <c r="H67" s="811" t="s">
        <v>1109</v>
      </c>
      <c r="I67" s="206">
        <v>0.0</v>
      </c>
      <c r="J67" s="206">
        <v>1.0</v>
      </c>
      <c r="K67" s="206">
        <v>0.0</v>
      </c>
      <c r="L67" s="206">
        <v>7.0</v>
      </c>
      <c r="M67" s="206">
        <v>0.0</v>
      </c>
      <c r="N67" s="206">
        <v>0.0</v>
      </c>
      <c r="O67" s="206">
        <v>0.0</v>
      </c>
      <c r="P67" s="206">
        <v>2.0</v>
      </c>
    </row>
    <row r="68">
      <c r="A68" s="812" t="s">
        <v>991</v>
      </c>
      <c r="B68" s="814">
        <f>I91</f>
        <v>2</v>
      </c>
      <c r="C68" s="320">
        <f>I84</f>
        <v>2</v>
      </c>
      <c r="D68" s="322">
        <f>I85</f>
        <v>0</v>
      </c>
      <c r="E68" s="322">
        <f>I89</f>
        <v>0</v>
      </c>
      <c r="F68" s="322">
        <f>SUM(I87+I88+I90)</f>
        <v>0</v>
      </c>
      <c r="H68" s="811" t="s">
        <v>781</v>
      </c>
      <c r="I68" s="206">
        <v>0.0</v>
      </c>
      <c r="J68" s="206">
        <v>0.0</v>
      </c>
      <c r="K68" s="206">
        <v>0.0</v>
      </c>
      <c r="L68" s="206">
        <v>5.0</v>
      </c>
      <c r="M68" s="206">
        <v>0.0</v>
      </c>
      <c r="N68" s="206">
        <v>1.0</v>
      </c>
      <c r="O68" s="206">
        <v>0.0</v>
      </c>
      <c r="P68" s="206">
        <v>2.0</v>
      </c>
    </row>
    <row r="69">
      <c r="A69" s="812" t="s">
        <v>992</v>
      </c>
      <c r="B69" s="814">
        <f>J91</f>
        <v>31</v>
      </c>
      <c r="C69" s="320">
        <f>J84</f>
        <v>18</v>
      </c>
      <c r="D69" s="322">
        <f>J85</f>
        <v>12</v>
      </c>
      <c r="E69" s="322">
        <f>J89</f>
        <v>0</v>
      </c>
      <c r="F69" s="322">
        <f>SUM(J87+J88+J90)</f>
        <v>0</v>
      </c>
      <c r="H69" s="811" t="s">
        <v>2687</v>
      </c>
      <c r="I69" s="206">
        <v>1.0</v>
      </c>
      <c r="J69" s="206">
        <v>3.0</v>
      </c>
      <c r="K69" s="206">
        <v>0.0</v>
      </c>
      <c r="L69" s="206">
        <v>16.0</v>
      </c>
      <c r="M69" s="206">
        <v>2.0</v>
      </c>
      <c r="N69" s="206">
        <v>2.0</v>
      </c>
      <c r="O69" s="206">
        <v>0.0</v>
      </c>
      <c r="P69" s="206">
        <v>18.0</v>
      </c>
    </row>
    <row r="70">
      <c r="A70" s="812" t="s">
        <v>993</v>
      </c>
      <c r="B70" s="814">
        <f>K91</f>
        <v>52</v>
      </c>
      <c r="C70" s="320">
        <f>K84</f>
        <v>23</v>
      </c>
      <c r="D70" s="322">
        <f>K85</f>
        <v>23</v>
      </c>
      <c r="E70" s="322">
        <f>K89</f>
        <v>2</v>
      </c>
      <c r="F70" s="322">
        <f>SUM(K87+K88+K90)</f>
        <v>1</v>
      </c>
      <c r="H70" s="811" t="s">
        <v>2688</v>
      </c>
      <c r="I70" s="206">
        <v>0.0</v>
      </c>
      <c r="J70" s="206">
        <v>0.0</v>
      </c>
      <c r="K70" s="206">
        <v>0.0</v>
      </c>
      <c r="L70" s="206">
        <v>0.0</v>
      </c>
      <c r="M70" s="206">
        <v>0.0</v>
      </c>
      <c r="N70" s="206">
        <v>0.0</v>
      </c>
      <c r="O70" s="206">
        <v>0.0</v>
      </c>
      <c r="P70" s="206">
        <v>0.0</v>
      </c>
    </row>
    <row r="71">
      <c r="A71" s="812" t="s">
        <v>994</v>
      </c>
      <c r="B71" s="814">
        <f>L91</f>
        <v>1</v>
      </c>
      <c r="C71" s="320">
        <f>L84</f>
        <v>0</v>
      </c>
      <c r="D71" s="322">
        <f>L85</f>
        <v>1</v>
      </c>
      <c r="E71" s="322">
        <f>L89</f>
        <v>0</v>
      </c>
      <c r="F71" s="322">
        <f>SUM(L87+L88+L90)</f>
        <v>0</v>
      </c>
      <c r="H71" s="815" t="s">
        <v>923</v>
      </c>
      <c r="I71" s="206">
        <v>3.0</v>
      </c>
      <c r="J71" s="206">
        <v>61.0</v>
      </c>
      <c r="K71" s="206">
        <v>4.0</v>
      </c>
      <c r="L71" s="206">
        <v>176.0</v>
      </c>
      <c r="M71" s="206">
        <v>8.0</v>
      </c>
      <c r="N71" s="206">
        <v>22.0</v>
      </c>
      <c r="O71" s="206">
        <v>9.0</v>
      </c>
      <c r="P71" s="206">
        <v>116.0</v>
      </c>
    </row>
    <row r="72">
      <c r="A72" s="812" t="s">
        <v>995</v>
      </c>
      <c r="B72" s="814">
        <f>M91</f>
        <v>12</v>
      </c>
      <c r="C72" s="320">
        <f>M84</f>
        <v>6</v>
      </c>
      <c r="D72" s="322">
        <f>M85</f>
        <v>3</v>
      </c>
      <c r="E72" s="322">
        <f>M89</f>
        <v>0</v>
      </c>
      <c r="F72" s="322">
        <f>SUM(N87+N88+N90)</f>
        <v>1</v>
      </c>
    </row>
    <row r="73">
      <c r="A73" s="812" t="s">
        <v>996</v>
      </c>
      <c r="B73" s="814">
        <f>N91</f>
        <v>27</v>
      </c>
      <c r="C73" s="320">
        <f>N84</f>
        <v>10</v>
      </c>
      <c r="D73" s="322">
        <f>O85</f>
        <v>0</v>
      </c>
      <c r="E73" s="322">
        <f>N89</f>
        <v>6</v>
      </c>
      <c r="F73" s="322">
        <f>SUM(N87+N88+N90)</f>
        <v>1</v>
      </c>
      <c r="H73" s="806"/>
      <c r="I73" s="807" t="s">
        <v>153</v>
      </c>
      <c r="J73" s="807" t="s">
        <v>154</v>
      </c>
      <c r="K73" s="807" t="s">
        <v>988</v>
      </c>
      <c r="L73" s="807" t="s">
        <v>989</v>
      </c>
      <c r="M73" s="807" t="s">
        <v>791</v>
      </c>
      <c r="N73" s="807" t="s">
        <v>610</v>
      </c>
      <c r="O73" s="807" t="s">
        <v>157</v>
      </c>
      <c r="P73" s="808" t="s">
        <v>990</v>
      </c>
    </row>
    <row r="74">
      <c r="A74" s="812" t="s">
        <v>997</v>
      </c>
      <c r="B74" s="814">
        <f>O91</f>
        <v>3</v>
      </c>
      <c r="C74" s="320">
        <f>O84</f>
        <v>3</v>
      </c>
      <c r="D74" s="322">
        <f>O85</f>
        <v>0</v>
      </c>
      <c r="E74" s="322">
        <f>O89</f>
        <v>0</v>
      </c>
      <c r="F74" s="322">
        <f>SUM(O87+O88+O90)</f>
        <v>0</v>
      </c>
      <c r="H74" s="811" t="s">
        <v>1057</v>
      </c>
      <c r="I74" s="206">
        <v>8.0</v>
      </c>
      <c r="J74" s="206">
        <v>18.0</v>
      </c>
      <c r="K74" s="206">
        <v>16.0</v>
      </c>
      <c r="L74" s="206">
        <v>0.0</v>
      </c>
      <c r="M74" s="206">
        <v>11.0</v>
      </c>
      <c r="N74" s="206">
        <v>2.0</v>
      </c>
      <c r="O74" s="206">
        <v>57.0</v>
      </c>
      <c r="P74" s="206">
        <v>7.0</v>
      </c>
    </row>
    <row r="75">
      <c r="A75" s="812" t="s">
        <v>998</v>
      </c>
      <c r="B75" s="814">
        <f>P91</f>
        <v>20</v>
      </c>
      <c r="C75" s="320">
        <f>P84</f>
        <v>9</v>
      </c>
      <c r="D75" s="322">
        <f>P85</f>
        <v>10</v>
      </c>
      <c r="E75" s="322">
        <f>P89</f>
        <v>1</v>
      </c>
      <c r="F75" s="322">
        <f>SUM(P87+P88+P90)</f>
        <v>0</v>
      </c>
      <c r="H75" s="811" t="s">
        <v>1724</v>
      </c>
      <c r="I75" s="206">
        <v>2.0</v>
      </c>
      <c r="J75" s="206">
        <v>14.0</v>
      </c>
      <c r="K75" s="206">
        <v>12.0</v>
      </c>
      <c r="L75" s="206">
        <v>1.0</v>
      </c>
      <c r="M75" s="206">
        <v>9.0</v>
      </c>
      <c r="N75" s="206">
        <v>2.0</v>
      </c>
      <c r="O75" s="206">
        <v>26.0</v>
      </c>
      <c r="P75" s="206">
        <v>0.0</v>
      </c>
    </row>
    <row r="76">
      <c r="A76" s="812" t="s">
        <v>999</v>
      </c>
      <c r="B76" s="814">
        <f>I101</f>
        <v>21</v>
      </c>
      <c r="C76" s="320">
        <f>I94</f>
        <v>16</v>
      </c>
      <c r="D76" s="322">
        <f>I95</f>
        <v>4</v>
      </c>
      <c r="E76" s="322">
        <f>I99</f>
        <v>1</v>
      </c>
      <c r="F76" s="322">
        <f>SUM(I97+I98+I100)</f>
        <v>0</v>
      </c>
      <c r="H76" s="811" t="s">
        <v>2686</v>
      </c>
      <c r="I76" s="206">
        <v>0.0</v>
      </c>
      <c r="J76" s="206">
        <v>0.0</v>
      </c>
      <c r="K76" s="206">
        <v>1.0</v>
      </c>
      <c r="L76" s="206">
        <v>0.0</v>
      </c>
      <c r="M76" s="206">
        <v>0.0</v>
      </c>
      <c r="N76" s="206">
        <v>0.0</v>
      </c>
      <c r="O76" s="206">
        <v>2.0</v>
      </c>
      <c r="P76" s="206">
        <v>0.0</v>
      </c>
    </row>
    <row r="77">
      <c r="A77" s="812" t="s">
        <v>300</v>
      </c>
      <c r="B77" s="814">
        <f>J101</f>
        <v>12</v>
      </c>
      <c r="C77" s="320">
        <f>J94</f>
        <v>5</v>
      </c>
      <c r="D77" s="322">
        <f>J95</f>
        <v>5</v>
      </c>
      <c r="E77" s="322">
        <f>J99</f>
        <v>2</v>
      </c>
      <c r="F77" s="322">
        <f>SUM(J97+J98+J100)</f>
        <v>0</v>
      </c>
      <c r="H77" s="811" t="s">
        <v>1109</v>
      </c>
      <c r="I77" s="206">
        <v>0.0</v>
      </c>
      <c r="J77" s="206">
        <v>0.0</v>
      </c>
      <c r="K77" s="206">
        <v>1.0</v>
      </c>
      <c r="L77" s="206">
        <v>0.0</v>
      </c>
      <c r="M77" s="206">
        <v>1.0</v>
      </c>
      <c r="N77" s="206">
        <v>0.0</v>
      </c>
      <c r="O77" s="206">
        <v>0.0</v>
      </c>
      <c r="P77" s="206">
        <v>0.0</v>
      </c>
    </row>
    <row r="78">
      <c r="A78" s="812" t="s">
        <v>1000</v>
      </c>
      <c r="B78" s="814">
        <f>K101</f>
        <v>37</v>
      </c>
      <c r="C78" s="320">
        <f>K94</f>
        <v>16</v>
      </c>
      <c r="D78" s="322">
        <f>K95</f>
        <v>18</v>
      </c>
      <c r="E78" s="322">
        <f>K99</f>
        <v>3</v>
      </c>
      <c r="F78" s="322">
        <f>SUM(K97+K98+K100)</f>
        <v>0</v>
      </c>
      <c r="H78" s="811" t="s">
        <v>781</v>
      </c>
      <c r="I78" s="206">
        <v>0.0</v>
      </c>
      <c r="J78" s="206">
        <v>0.0</v>
      </c>
      <c r="K78" s="206">
        <v>1.0</v>
      </c>
      <c r="L78" s="206">
        <v>0.0</v>
      </c>
      <c r="M78" s="206">
        <v>0.0</v>
      </c>
      <c r="N78" s="206">
        <v>0.0</v>
      </c>
      <c r="O78" s="206">
        <v>0.0</v>
      </c>
      <c r="P78" s="206">
        <v>0.0</v>
      </c>
    </row>
    <row r="79">
      <c r="A79" s="812" t="s">
        <v>1001</v>
      </c>
      <c r="B79" s="814">
        <f>L101</f>
        <v>29</v>
      </c>
      <c r="C79" s="320">
        <f>L94</f>
        <v>11</v>
      </c>
      <c r="D79" s="322">
        <f>L95</f>
        <v>13</v>
      </c>
      <c r="E79" s="322">
        <f>L99</f>
        <v>2</v>
      </c>
      <c r="F79" s="322">
        <f>SUM(L97+L98+L100)</f>
        <v>0</v>
      </c>
      <c r="H79" s="811" t="s">
        <v>2687</v>
      </c>
      <c r="I79" s="206">
        <v>0.0</v>
      </c>
      <c r="J79" s="206">
        <v>2.0</v>
      </c>
      <c r="K79" s="206">
        <v>5.0</v>
      </c>
      <c r="L79" s="206">
        <v>0.0</v>
      </c>
      <c r="M79" s="206">
        <v>2.0</v>
      </c>
      <c r="N79" s="206">
        <v>2.0</v>
      </c>
      <c r="O79" s="206">
        <v>4.0</v>
      </c>
      <c r="P79" s="206">
        <v>1.0</v>
      </c>
    </row>
    <row r="80">
      <c r="A80" s="812" t="s">
        <v>1002</v>
      </c>
      <c r="B80" s="814">
        <f>M101</f>
        <v>5</v>
      </c>
      <c r="C80" s="320">
        <f>M94</f>
        <v>3</v>
      </c>
      <c r="D80" s="322">
        <f>M95</f>
        <v>0</v>
      </c>
      <c r="E80" s="322">
        <f>M99</f>
        <v>1</v>
      </c>
      <c r="F80" s="322">
        <f>SUM(M97+M98+M100)</f>
        <v>0</v>
      </c>
      <c r="H80" s="811" t="s">
        <v>2688</v>
      </c>
      <c r="I80" s="206">
        <v>0.0</v>
      </c>
      <c r="J80" s="206">
        <v>0.0</v>
      </c>
      <c r="K80" s="206">
        <v>0.0</v>
      </c>
      <c r="L80" s="206">
        <v>0.0</v>
      </c>
      <c r="M80" s="206">
        <v>0.0</v>
      </c>
      <c r="N80" s="206">
        <v>0.0</v>
      </c>
      <c r="O80" s="206">
        <v>0.0</v>
      </c>
      <c r="P80" s="206">
        <v>0.0</v>
      </c>
    </row>
    <row r="81">
      <c r="A81" s="812" t="s">
        <v>1003</v>
      </c>
      <c r="B81" s="814">
        <f>N101</f>
        <v>194</v>
      </c>
      <c r="C81" s="320">
        <f>N94</f>
        <v>96</v>
      </c>
      <c r="D81" s="322">
        <f>N95</f>
        <v>62</v>
      </c>
      <c r="E81" s="322">
        <f>N99</f>
        <v>25</v>
      </c>
      <c r="F81" s="322">
        <f>SUM(N97+N98+N100)</f>
        <v>3</v>
      </c>
      <c r="H81" s="815" t="s">
        <v>923</v>
      </c>
      <c r="I81" s="206">
        <v>10.0</v>
      </c>
      <c r="J81" s="206">
        <v>34.0</v>
      </c>
      <c r="K81" s="206">
        <v>36.0</v>
      </c>
      <c r="L81" s="206">
        <v>1.0</v>
      </c>
      <c r="M81" s="206">
        <v>23.0</v>
      </c>
      <c r="N81" s="206">
        <v>6.0</v>
      </c>
      <c r="O81" s="206">
        <v>89.0</v>
      </c>
      <c r="P81" s="206">
        <v>8.0</v>
      </c>
    </row>
    <row r="82">
      <c r="A82" s="812" t="s">
        <v>1004</v>
      </c>
      <c r="B82" s="814">
        <f>O101</f>
        <v>5</v>
      </c>
      <c r="C82" s="320">
        <f>O94</f>
        <v>5</v>
      </c>
      <c r="D82" s="322">
        <f>O95</f>
        <v>0</v>
      </c>
      <c r="E82" s="322">
        <f>O99</f>
        <v>0</v>
      </c>
      <c r="F82" s="322">
        <f>SUM(O97+O98+O100)</f>
        <v>0</v>
      </c>
    </row>
    <row r="83">
      <c r="A83" s="812" t="s">
        <v>1005</v>
      </c>
      <c r="B83" s="814">
        <f>P101</f>
        <v>22</v>
      </c>
      <c r="C83" s="320">
        <f>P94</f>
        <v>15</v>
      </c>
      <c r="D83" s="322">
        <f>P95</f>
        <v>2</v>
      </c>
      <c r="E83" s="322">
        <f>P99</f>
        <v>0</v>
      </c>
      <c r="F83" s="322">
        <f>SUM(P97+P98+P100)</f>
        <v>2</v>
      </c>
      <c r="H83" s="806"/>
      <c r="I83" s="807" t="s">
        <v>991</v>
      </c>
      <c r="J83" s="807" t="s">
        <v>992</v>
      </c>
      <c r="K83" s="807" t="s">
        <v>993</v>
      </c>
      <c r="L83" s="807" t="s">
        <v>994</v>
      </c>
      <c r="M83" s="807" t="s">
        <v>995</v>
      </c>
      <c r="N83" s="807" t="s">
        <v>996</v>
      </c>
      <c r="O83" s="807" t="s">
        <v>997</v>
      </c>
      <c r="P83" s="808" t="s">
        <v>998</v>
      </c>
    </row>
    <row r="84">
      <c r="A84" s="812" t="s">
        <v>1006</v>
      </c>
      <c r="B84" s="814">
        <f>I111</f>
        <v>64</v>
      </c>
      <c r="C84" s="320">
        <f>I104</f>
        <v>41</v>
      </c>
      <c r="D84" s="322">
        <f>I105</f>
        <v>14</v>
      </c>
      <c r="E84" s="322">
        <f>I109</f>
        <v>7</v>
      </c>
      <c r="F84" s="322">
        <f>SUM(I107+I108+I110)</f>
        <v>0</v>
      </c>
      <c r="H84" s="811" t="s">
        <v>1057</v>
      </c>
      <c r="I84" s="206">
        <v>2.0</v>
      </c>
      <c r="J84" s="206">
        <v>18.0</v>
      </c>
      <c r="K84" s="206">
        <v>23.0</v>
      </c>
      <c r="L84" s="206">
        <v>0.0</v>
      </c>
      <c r="M84" s="206">
        <v>6.0</v>
      </c>
      <c r="N84" s="206">
        <v>10.0</v>
      </c>
      <c r="O84" s="206">
        <v>3.0</v>
      </c>
      <c r="P84" s="206">
        <v>9.0</v>
      </c>
    </row>
    <row r="85">
      <c r="A85" s="812" t="s">
        <v>1007</v>
      </c>
      <c r="B85" s="814">
        <f>J111</f>
        <v>15</v>
      </c>
      <c r="C85" s="320">
        <f>J104</f>
        <v>1</v>
      </c>
      <c r="D85" s="322">
        <f>J105</f>
        <v>11</v>
      </c>
      <c r="E85" s="322">
        <f>J109</f>
        <v>1</v>
      </c>
      <c r="F85" s="322">
        <f>SUM(J107+J108+J110)</f>
        <v>2</v>
      </c>
      <c r="H85" s="811" t="s">
        <v>1724</v>
      </c>
      <c r="I85" s="206">
        <v>0.0</v>
      </c>
      <c r="J85" s="206">
        <v>12.0</v>
      </c>
      <c r="K85" s="206">
        <v>23.0</v>
      </c>
      <c r="L85" s="206">
        <v>1.0</v>
      </c>
      <c r="M85" s="206">
        <v>3.0</v>
      </c>
      <c r="N85" s="206">
        <v>10.0</v>
      </c>
      <c r="O85" s="206">
        <v>0.0</v>
      </c>
      <c r="P85" s="206">
        <v>10.0</v>
      </c>
    </row>
    <row r="86">
      <c r="A86" s="812" t="s">
        <v>842</v>
      </c>
      <c r="B86" s="814">
        <f>K111</f>
        <v>6</v>
      </c>
      <c r="C86" s="320">
        <f>K104</f>
        <v>2</v>
      </c>
      <c r="D86" s="322">
        <f>K105</f>
        <v>4</v>
      </c>
      <c r="E86" s="322">
        <f>K109</f>
        <v>0</v>
      </c>
      <c r="F86" s="322">
        <f>SUM(K107+K108+K110)</f>
        <v>0</v>
      </c>
      <c r="H86" s="811" t="s">
        <v>2686</v>
      </c>
      <c r="I86" s="206">
        <v>0.0</v>
      </c>
      <c r="J86" s="206">
        <v>1.0</v>
      </c>
      <c r="K86" s="206">
        <v>3.0</v>
      </c>
      <c r="L86" s="206">
        <v>0.0</v>
      </c>
      <c r="M86" s="206">
        <v>2.0</v>
      </c>
      <c r="N86" s="206">
        <v>0.0</v>
      </c>
      <c r="O86" s="206">
        <v>0.0</v>
      </c>
      <c r="P86" s="206">
        <v>0.0</v>
      </c>
    </row>
    <row r="87">
      <c r="A87" s="812" t="s">
        <v>165</v>
      </c>
      <c r="B87" s="814">
        <f>L111</f>
        <v>20</v>
      </c>
      <c r="C87" s="320">
        <f>L104</f>
        <v>11</v>
      </c>
      <c r="D87" s="322">
        <f>L105</f>
        <v>6</v>
      </c>
      <c r="E87" s="322">
        <f>L109</f>
        <v>3</v>
      </c>
      <c r="F87" s="322">
        <f>SUM(L107+L108+L110)</f>
        <v>0</v>
      </c>
      <c r="H87" s="811" t="s">
        <v>1109</v>
      </c>
      <c r="I87" s="206">
        <v>0.0</v>
      </c>
      <c r="J87" s="206">
        <v>0.0</v>
      </c>
      <c r="K87" s="206">
        <v>0.0</v>
      </c>
      <c r="L87" s="206">
        <v>0.0</v>
      </c>
      <c r="M87" s="206">
        <v>1.0</v>
      </c>
      <c r="N87" s="206">
        <v>0.0</v>
      </c>
      <c r="O87" s="206">
        <v>0.0</v>
      </c>
      <c r="P87" s="206">
        <v>0.0</v>
      </c>
    </row>
    <row r="88">
      <c r="A88" s="812" t="s">
        <v>308</v>
      </c>
      <c r="B88" s="814">
        <f>M111</f>
        <v>97</v>
      </c>
      <c r="C88" s="320">
        <f>M104</f>
        <v>50</v>
      </c>
      <c r="D88" s="322">
        <f>M105</f>
        <v>25</v>
      </c>
      <c r="E88" s="322">
        <f>M109</f>
        <v>15</v>
      </c>
      <c r="F88" s="322">
        <f>SUM(M107+M108+M110)</f>
        <v>2</v>
      </c>
      <c r="H88" s="811" t="s">
        <v>781</v>
      </c>
      <c r="I88" s="206">
        <v>0.0</v>
      </c>
      <c r="J88" s="206">
        <v>0.0</v>
      </c>
      <c r="K88" s="206">
        <v>1.0</v>
      </c>
      <c r="L88" s="206">
        <v>0.0</v>
      </c>
      <c r="M88" s="206">
        <v>0.0</v>
      </c>
      <c r="N88" s="206">
        <v>1.0</v>
      </c>
      <c r="O88" s="206">
        <v>0.0</v>
      </c>
      <c r="P88" s="206">
        <v>0.0</v>
      </c>
    </row>
    <row r="89">
      <c r="A89" s="812" t="s">
        <v>309</v>
      </c>
      <c r="B89" s="814">
        <f>N111</f>
        <v>21</v>
      </c>
      <c r="C89" s="320">
        <f>N104</f>
        <v>16</v>
      </c>
      <c r="D89" s="322">
        <f>N105</f>
        <v>1</v>
      </c>
      <c r="E89" s="322">
        <f>N109</f>
        <v>3</v>
      </c>
      <c r="F89" s="322">
        <f>SUM(N107+N108+N110)</f>
        <v>1</v>
      </c>
      <c r="H89" s="811" t="s">
        <v>2687</v>
      </c>
      <c r="I89" s="206">
        <v>0.0</v>
      </c>
      <c r="J89" s="206">
        <v>0.0</v>
      </c>
      <c r="K89" s="206">
        <v>2.0</v>
      </c>
      <c r="L89" s="206">
        <v>0.0</v>
      </c>
      <c r="M89" s="206">
        <v>0.0</v>
      </c>
      <c r="N89" s="206">
        <v>6.0</v>
      </c>
      <c r="O89" s="206">
        <v>0.0</v>
      </c>
      <c r="P89" s="206">
        <v>1.0</v>
      </c>
    </row>
    <row r="90">
      <c r="A90" s="812" t="s">
        <v>459</v>
      </c>
      <c r="B90" s="817">
        <f>O111</f>
        <v>1367</v>
      </c>
      <c r="C90" s="320">
        <f>O104</f>
        <v>669</v>
      </c>
      <c r="D90" s="322">
        <f>O105</f>
        <v>549</v>
      </c>
      <c r="E90" s="322">
        <f>O109</f>
        <v>78</v>
      </c>
      <c r="F90" s="322">
        <f>SUM(O107+O108+O110)</f>
        <v>29</v>
      </c>
      <c r="H90" s="811" t="s">
        <v>2688</v>
      </c>
      <c r="I90" s="206">
        <v>0.0</v>
      </c>
      <c r="J90" s="206">
        <v>0.0</v>
      </c>
      <c r="K90" s="206">
        <v>0.0</v>
      </c>
      <c r="L90" s="206">
        <v>0.0</v>
      </c>
      <c r="M90" s="206">
        <v>0.0</v>
      </c>
      <c r="N90" s="206">
        <v>0.0</v>
      </c>
      <c r="O90" s="206">
        <v>0.0</v>
      </c>
      <c r="P90" s="206">
        <v>0.0</v>
      </c>
    </row>
    <row r="91">
      <c r="A91" s="812" t="s">
        <v>1008</v>
      </c>
      <c r="B91" s="814">
        <f>P111</f>
        <v>23</v>
      </c>
      <c r="C91" s="320">
        <f>P104</f>
        <v>11</v>
      </c>
      <c r="D91" s="322">
        <f>P105</f>
        <v>8</v>
      </c>
      <c r="E91" s="322">
        <f>P109</f>
        <v>1</v>
      </c>
      <c r="F91" s="322">
        <f>SUM(P107+P108+P110)</f>
        <v>1</v>
      </c>
      <c r="H91" s="815" t="s">
        <v>923</v>
      </c>
      <c r="I91" s="206">
        <v>2.0</v>
      </c>
      <c r="J91" s="206">
        <v>31.0</v>
      </c>
      <c r="K91" s="206">
        <v>52.0</v>
      </c>
      <c r="L91" s="206">
        <v>1.0</v>
      </c>
      <c r="M91" s="206">
        <v>12.0</v>
      </c>
      <c r="N91" s="206">
        <v>27.0</v>
      </c>
      <c r="O91" s="206">
        <v>3.0</v>
      </c>
      <c r="P91" s="206">
        <v>20.0</v>
      </c>
    </row>
    <row r="92">
      <c r="A92" s="812" t="s">
        <v>1009</v>
      </c>
      <c r="B92" s="817">
        <f>I121</f>
        <v>660</v>
      </c>
      <c r="C92" s="320">
        <f>I114</f>
        <v>358</v>
      </c>
      <c r="D92" s="322">
        <f>I115</f>
        <v>214</v>
      </c>
      <c r="E92" s="322">
        <f>I119</f>
        <v>48</v>
      </c>
      <c r="F92" s="322">
        <f>SUM(I117+I118+I120)</f>
        <v>19</v>
      </c>
    </row>
    <row r="93">
      <c r="A93" s="812" t="s">
        <v>1010</v>
      </c>
      <c r="B93" s="814">
        <f>J121</f>
        <v>4</v>
      </c>
      <c r="C93" s="320">
        <f>J114</f>
        <v>1</v>
      </c>
      <c r="D93" s="322">
        <f>J115</f>
        <v>3</v>
      </c>
      <c r="E93" s="322">
        <f>J119</f>
        <v>0</v>
      </c>
      <c r="F93" s="322">
        <f>SUM(J117+J118+J120)</f>
        <v>0</v>
      </c>
      <c r="H93" s="806"/>
      <c r="I93" s="807" t="s">
        <v>999</v>
      </c>
      <c r="J93" s="807" t="s">
        <v>300</v>
      </c>
      <c r="K93" s="807" t="s">
        <v>1000</v>
      </c>
      <c r="L93" s="807" t="s">
        <v>1001</v>
      </c>
      <c r="M93" s="807" t="s">
        <v>1002</v>
      </c>
      <c r="N93" s="807" t="s">
        <v>1003</v>
      </c>
      <c r="O93" s="807" t="s">
        <v>1004</v>
      </c>
      <c r="P93" s="808" t="s">
        <v>1005</v>
      </c>
    </row>
    <row r="94">
      <c r="A94" s="812" t="s">
        <v>1011</v>
      </c>
      <c r="B94" s="814">
        <f>K121</f>
        <v>26</v>
      </c>
      <c r="C94" s="320">
        <f>K114</f>
        <v>16</v>
      </c>
      <c r="D94" s="322">
        <f>K115</f>
        <v>5</v>
      </c>
      <c r="E94" s="322">
        <f>K119</f>
        <v>5</v>
      </c>
      <c r="F94" s="322">
        <f>SUM(K117+K118+K120)</f>
        <v>0</v>
      </c>
      <c r="H94" s="811" t="s">
        <v>1057</v>
      </c>
      <c r="I94" s="206">
        <v>16.0</v>
      </c>
      <c r="J94" s="206">
        <v>5.0</v>
      </c>
      <c r="K94" s="206">
        <v>16.0</v>
      </c>
      <c r="L94" s="206">
        <v>11.0</v>
      </c>
      <c r="M94" s="206">
        <v>3.0</v>
      </c>
      <c r="N94" s="206">
        <v>96.0</v>
      </c>
      <c r="O94" s="206">
        <v>5.0</v>
      </c>
      <c r="P94" s="206">
        <v>15.0</v>
      </c>
    </row>
    <row r="95">
      <c r="A95" s="812" t="s">
        <v>1012</v>
      </c>
      <c r="B95" s="814">
        <f>L121</f>
        <v>4</v>
      </c>
      <c r="C95" s="320">
        <f>L114</f>
        <v>2</v>
      </c>
      <c r="D95" s="322">
        <f>L115</f>
        <v>2</v>
      </c>
      <c r="E95" s="322">
        <f>L119</f>
        <v>0</v>
      </c>
      <c r="F95" s="322">
        <f>SUM(L117+L118+L120)</f>
        <v>0</v>
      </c>
      <c r="H95" s="811" t="s">
        <v>1724</v>
      </c>
      <c r="I95" s="206">
        <v>4.0</v>
      </c>
      <c r="J95" s="206">
        <v>5.0</v>
      </c>
      <c r="K95" s="206">
        <v>18.0</v>
      </c>
      <c r="L95" s="206">
        <v>13.0</v>
      </c>
      <c r="M95" s="206">
        <v>0.0</v>
      </c>
      <c r="N95" s="206">
        <v>62.0</v>
      </c>
      <c r="O95" s="206">
        <v>0.0</v>
      </c>
      <c r="P95" s="206">
        <v>2.0</v>
      </c>
    </row>
    <row r="96">
      <c r="A96" s="812" t="s">
        <v>1013</v>
      </c>
      <c r="B96" s="814">
        <f>M121</f>
        <v>13</v>
      </c>
      <c r="C96" s="320">
        <f>M114</f>
        <v>6</v>
      </c>
      <c r="D96" s="322">
        <f>M115</f>
        <v>4</v>
      </c>
      <c r="E96" s="322">
        <f>M119</f>
        <v>3</v>
      </c>
      <c r="F96" s="322">
        <f>SUM(M107+M108+M110)</f>
        <v>2</v>
      </c>
      <c r="H96" s="811" t="s">
        <v>2686</v>
      </c>
      <c r="I96" s="206">
        <v>0.0</v>
      </c>
      <c r="J96" s="206">
        <v>0.0</v>
      </c>
      <c r="K96" s="206">
        <v>0.0</v>
      </c>
      <c r="L96" s="206">
        <v>3.0</v>
      </c>
      <c r="M96" s="206">
        <v>1.0</v>
      </c>
      <c r="N96" s="206">
        <v>8.0</v>
      </c>
      <c r="O96" s="206">
        <v>0.0</v>
      </c>
      <c r="P96" s="206">
        <v>3.0</v>
      </c>
    </row>
    <row r="97">
      <c r="A97" s="812" t="s">
        <v>1014</v>
      </c>
      <c r="B97" s="814">
        <f>N121</f>
        <v>2</v>
      </c>
      <c r="C97" s="320">
        <f>N114</f>
        <v>1</v>
      </c>
      <c r="D97" s="322">
        <f>N115</f>
        <v>1</v>
      </c>
      <c r="E97" s="322">
        <f>N119</f>
        <v>0</v>
      </c>
      <c r="F97" s="322">
        <f>SUM(N117+N118+N120)</f>
        <v>0</v>
      </c>
      <c r="H97" s="811" t="s">
        <v>1109</v>
      </c>
      <c r="I97" s="206">
        <v>0.0</v>
      </c>
      <c r="J97" s="206">
        <v>0.0</v>
      </c>
      <c r="K97" s="206">
        <v>0.0</v>
      </c>
      <c r="L97" s="206">
        <v>0.0</v>
      </c>
      <c r="M97" s="206">
        <v>0.0</v>
      </c>
      <c r="N97" s="206">
        <v>1.0</v>
      </c>
      <c r="O97" s="206">
        <v>0.0</v>
      </c>
      <c r="P97" s="206">
        <v>2.0</v>
      </c>
    </row>
    <row r="98">
      <c r="A98" s="812" t="s">
        <v>1015</v>
      </c>
      <c r="B98" s="814">
        <f>O121</f>
        <v>4</v>
      </c>
      <c r="C98" s="320">
        <f>O114</f>
        <v>1</v>
      </c>
      <c r="D98" s="322">
        <f>O115</f>
        <v>2</v>
      </c>
      <c r="E98" s="322">
        <f>O119</f>
        <v>1</v>
      </c>
      <c r="F98" s="322">
        <f>SUM(O117+O118+O120)</f>
        <v>0</v>
      </c>
      <c r="H98" s="811" t="s">
        <v>781</v>
      </c>
      <c r="I98" s="206">
        <v>0.0</v>
      </c>
      <c r="J98" s="206">
        <v>0.0</v>
      </c>
      <c r="K98" s="206">
        <v>0.0</v>
      </c>
      <c r="L98" s="206">
        <v>0.0</v>
      </c>
      <c r="M98" s="206">
        <v>0.0</v>
      </c>
      <c r="N98" s="206">
        <v>2.0</v>
      </c>
      <c r="O98" s="206">
        <v>0.0</v>
      </c>
      <c r="P98" s="206">
        <v>0.0</v>
      </c>
    </row>
    <row r="99">
      <c r="A99" s="812" t="s">
        <v>1016</v>
      </c>
      <c r="B99" s="814">
        <f>P121</f>
        <v>80</v>
      </c>
      <c r="C99" s="320">
        <f>P114</f>
        <v>21</v>
      </c>
      <c r="D99" s="322">
        <f>P115</f>
        <v>47</v>
      </c>
      <c r="E99" s="322">
        <f>P119</f>
        <v>8</v>
      </c>
      <c r="F99" s="322">
        <f>SUM(P117+P118+P120)</f>
        <v>4</v>
      </c>
      <c r="H99" s="811" t="s">
        <v>2687</v>
      </c>
      <c r="I99" s="206">
        <v>1.0</v>
      </c>
      <c r="J99" s="206">
        <v>2.0</v>
      </c>
      <c r="K99" s="206">
        <v>3.0</v>
      </c>
      <c r="L99" s="206">
        <v>2.0</v>
      </c>
      <c r="M99" s="206">
        <v>1.0</v>
      </c>
      <c r="N99" s="206">
        <v>25.0</v>
      </c>
      <c r="O99" s="206">
        <v>0.0</v>
      </c>
      <c r="P99" s="206">
        <v>0.0</v>
      </c>
    </row>
    <row r="100">
      <c r="A100" s="812" t="s">
        <v>636</v>
      </c>
      <c r="B100" s="814">
        <f>I131</f>
        <v>28</v>
      </c>
      <c r="C100" s="320">
        <f>I124</f>
        <v>19</v>
      </c>
      <c r="D100" s="322">
        <f>I125</f>
        <v>7</v>
      </c>
      <c r="E100" s="322">
        <f>I129</f>
        <v>1</v>
      </c>
      <c r="F100" s="322">
        <f>SUM(I127+I128+I130)</f>
        <v>1</v>
      </c>
      <c r="H100" s="811" t="s">
        <v>2688</v>
      </c>
      <c r="I100" s="206">
        <v>0.0</v>
      </c>
      <c r="J100" s="206">
        <v>0.0</v>
      </c>
      <c r="K100" s="206">
        <v>0.0</v>
      </c>
      <c r="L100" s="206">
        <v>0.0</v>
      </c>
      <c r="M100" s="206">
        <v>0.0</v>
      </c>
      <c r="N100" s="206">
        <v>0.0</v>
      </c>
      <c r="O100" s="206">
        <v>0.0</v>
      </c>
      <c r="P100" s="206">
        <v>0.0</v>
      </c>
    </row>
    <row r="101">
      <c r="A101" s="809" t="s">
        <v>1017</v>
      </c>
      <c r="B101" s="814">
        <f>J131</f>
        <v>4</v>
      </c>
      <c r="C101" s="320">
        <f>J124</f>
        <v>4</v>
      </c>
      <c r="D101" s="322">
        <f>J125</f>
        <v>0</v>
      </c>
      <c r="E101" s="322">
        <f>J129</f>
        <v>0</v>
      </c>
      <c r="F101" s="322">
        <f>SUM(J127+J128+J130)</f>
        <v>0</v>
      </c>
      <c r="H101" s="815" t="s">
        <v>923</v>
      </c>
      <c r="I101" s="206">
        <v>21.0</v>
      </c>
      <c r="J101" s="206">
        <v>12.0</v>
      </c>
      <c r="K101" s="206">
        <v>37.0</v>
      </c>
      <c r="L101" s="206">
        <v>29.0</v>
      </c>
      <c r="M101" s="206">
        <v>5.0</v>
      </c>
      <c r="N101" s="206">
        <v>194.0</v>
      </c>
      <c r="O101" s="206">
        <v>5.0</v>
      </c>
      <c r="P101" s="206">
        <v>22.0</v>
      </c>
    </row>
    <row r="102">
      <c r="A102" s="812" t="s">
        <v>1018</v>
      </c>
      <c r="B102" s="814">
        <f>K131</f>
        <v>9</v>
      </c>
      <c r="C102" s="320">
        <f>K124</f>
        <v>1</v>
      </c>
      <c r="D102" s="322">
        <f>K125</f>
        <v>6</v>
      </c>
      <c r="E102" s="322">
        <f>K129</f>
        <v>1</v>
      </c>
      <c r="F102" s="322">
        <f>SUM(K127+K128+K130)</f>
        <v>0</v>
      </c>
    </row>
    <row r="103">
      <c r="A103" s="812" t="s">
        <v>1019</v>
      </c>
      <c r="B103" s="814">
        <f>L131</f>
        <v>1</v>
      </c>
      <c r="C103" s="320">
        <f>L124</f>
        <v>1</v>
      </c>
      <c r="D103" s="322">
        <f>L125</f>
        <v>0</v>
      </c>
      <c r="E103" s="322">
        <f>L129</f>
        <v>0</v>
      </c>
      <c r="F103" s="322">
        <f>SUM(L127+L128+L130)</f>
        <v>0</v>
      </c>
      <c r="H103" s="806"/>
      <c r="I103" s="807" t="s">
        <v>1006</v>
      </c>
      <c r="J103" s="807" t="s">
        <v>1007</v>
      </c>
      <c r="K103" s="807" t="s">
        <v>842</v>
      </c>
      <c r="L103" s="807" t="s">
        <v>165</v>
      </c>
      <c r="M103" s="807" t="s">
        <v>308</v>
      </c>
      <c r="N103" s="807" t="s">
        <v>309</v>
      </c>
      <c r="O103" s="807" t="s">
        <v>459</v>
      </c>
      <c r="P103" s="808" t="s">
        <v>1008</v>
      </c>
    </row>
    <row r="104">
      <c r="A104" s="812" t="s">
        <v>119</v>
      </c>
      <c r="B104" s="814">
        <f>M131</f>
        <v>13</v>
      </c>
      <c r="C104" s="320">
        <f>M124</f>
        <v>8</v>
      </c>
      <c r="D104" s="322">
        <f>M125</f>
        <v>2</v>
      </c>
      <c r="E104" s="322">
        <f>M129</f>
        <v>2</v>
      </c>
      <c r="F104" s="322">
        <f>SUM(M127+M128+M130)</f>
        <v>1</v>
      </c>
      <c r="H104" s="811" t="s">
        <v>1057</v>
      </c>
      <c r="I104" s="206">
        <v>41.0</v>
      </c>
      <c r="J104" s="206">
        <v>1.0</v>
      </c>
      <c r="K104" s="206">
        <v>2.0</v>
      </c>
      <c r="L104" s="206">
        <v>11.0</v>
      </c>
      <c r="M104" s="206">
        <v>50.0</v>
      </c>
      <c r="N104" s="206">
        <v>16.0</v>
      </c>
      <c r="O104" s="206">
        <v>669.0</v>
      </c>
      <c r="P104" s="206">
        <v>11.0</v>
      </c>
    </row>
    <row r="105">
      <c r="A105" s="812" t="s">
        <v>1020</v>
      </c>
      <c r="B105" s="814">
        <f>N131</f>
        <v>1</v>
      </c>
      <c r="C105" s="320">
        <f>N124</f>
        <v>0</v>
      </c>
      <c r="D105" s="322">
        <f>N125</f>
        <v>0</v>
      </c>
      <c r="E105" s="322">
        <f>N129</f>
        <v>0</v>
      </c>
      <c r="F105" s="322">
        <f>SUM(N127+N128+N130)</f>
        <v>1</v>
      </c>
      <c r="H105" s="811" t="s">
        <v>1724</v>
      </c>
      <c r="I105" s="206">
        <v>14.0</v>
      </c>
      <c r="J105" s="206">
        <v>11.0</v>
      </c>
      <c r="K105" s="206">
        <v>4.0</v>
      </c>
      <c r="L105" s="206">
        <v>6.0</v>
      </c>
      <c r="M105" s="206">
        <v>25.0</v>
      </c>
      <c r="N105" s="206">
        <v>1.0</v>
      </c>
      <c r="O105" s="206">
        <v>549.0</v>
      </c>
      <c r="P105" s="206">
        <v>8.0</v>
      </c>
    </row>
    <row r="106">
      <c r="A106" s="812" t="s">
        <v>1021</v>
      </c>
      <c r="B106" s="814">
        <f>O131</f>
        <v>26</v>
      </c>
      <c r="C106" s="320">
        <f>O124</f>
        <v>14</v>
      </c>
      <c r="D106" s="322">
        <f>O125</f>
        <v>9</v>
      </c>
      <c r="E106" s="322">
        <f>O129</f>
        <v>1</v>
      </c>
      <c r="F106" s="322">
        <f>SUM(O127+O128+O130)</f>
        <v>1</v>
      </c>
      <c r="H106" s="811" t="s">
        <v>2686</v>
      </c>
      <c r="I106" s="206">
        <v>2.0</v>
      </c>
      <c r="J106" s="206">
        <v>0.0</v>
      </c>
      <c r="K106" s="206">
        <v>0.0</v>
      </c>
      <c r="L106" s="206">
        <v>0.0</v>
      </c>
      <c r="M106" s="206">
        <v>5.0</v>
      </c>
      <c r="N106" s="206">
        <v>0.0</v>
      </c>
      <c r="O106" s="206">
        <v>42.0</v>
      </c>
      <c r="P106" s="206">
        <v>2.0</v>
      </c>
    </row>
    <row r="107">
      <c r="A107" s="812" t="s">
        <v>1022</v>
      </c>
      <c r="B107" s="814">
        <f>P131</f>
        <v>9</v>
      </c>
      <c r="C107" s="320">
        <f>P124</f>
        <v>8</v>
      </c>
      <c r="D107" s="322">
        <f>P125</f>
        <v>1</v>
      </c>
      <c r="E107" s="322">
        <f>P129</f>
        <v>0</v>
      </c>
      <c r="F107" s="322">
        <f>SUM(P127+P128+P130)</f>
        <v>0</v>
      </c>
      <c r="H107" s="811" t="s">
        <v>1109</v>
      </c>
      <c r="I107" s="206">
        <v>0.0</v>
      </c>
      <c r="J107" s="206">
        <v>1.0</v>
      </c>
      <c r="K107" s="206">
        <v>0.0</v>
      </c>
      <c r="L107" s="206">
        <v>0.0</v>
      </c>
      <c r="M107" s="206">
        <v>0.0</v>
      </c>
      <c r="N107" s="206">
        <v>0.0</v>
      </c>
      <c r="O107" s="206">
        <v>12.0</v>
      </c>
      <c r="P107" s="206">
        <v>0.0</v>
      </c>
    </row>
    <row r="108">
      <c r="A108" s="818" t="s">
        <v>1023</v>
      </c>
      <c r="B108" s="814">
        <f>I141</f>
        <v>295</v>
      </c>
      <c r="C108" s="320">
        <f>I134</f>
        <v>133</v>
      </c>
      <c r="D108" s="322">
        <f>I135</f>
        <v>98</v>
      </c>
      <c r="E108" s="322">
        <f>I139</f>
        <v>37</v>
      </c>
      <c r="F108" s="322">
        <f>SUM(I137+I138+I140)</f>
        <v>15</v>
      </c>
      <c r="H108" s="811" t="s">
        <v>781</v>
      </c>
      <c r="I108" s="206">
        <v>0.0</v>
      </c>
      <c r="J108" s="206">
        <v>1.0</v>
      </c>
      <c r="K108" s="206">
        <v>0.0</v>
      </c>
      <c r="L108" s="206">
        <v>0.0</v>
      </c>
      <c r="M108" s="206">
        <v>2.0</v>
      </c>
      <c r="N108" s="206">
        <v>1.0</v>
      </c>
      <c r="O108" s="206">
        <v>17.0</v>
      </c>
      <c r="P108" s="206">
        <v>1.0</v>
      </c>
    </row>
    <row r="109">
      <c r="A109" s="485"/>
      <c r="B109" s="419"/>
      <c r="C109" s="1"/>
      <c r="H109" s="811" t="s">
        <v>2687</v>
      </c>
      <c r="I109" s="206">
        <v>7.0</v>
      </c>
      <c r="J109" s="206">
        <v>1.0</v>
      </c>
      <c r="K109" s="206">
        <v>0.0</v>
      </c>
      <c r="L109" s="206">
        <v>3.0</v>
      </c>
      <c r="M109" s="206">
        <v>15.0</v>
      </c>
      <c r="N109" s="206">
        <v>3.0</v>
      </c>
      <c r="O109" s="206">
        <v>78.0</v>
      </c>
      <c r="P109" s="206">
        <v>1.0</v>
      </c>
    </row>
    <row r="110">
      <c r="A110" s="485"/>
      <c r="B110" s="419"/>
      <c r="C110" s="1"/>
      <c r="H110" s="811" t="s">
        <v>2688</v>
      </c>
      <c r="I110" s="206">
        <v>0.0</v>
      </c>
      <c r="J110" s="206">
        <v>0.0</v>
      </c>
      <c r="K110" s="206">
        <v>0.0</v>
      </c>
      <c r="L110" s="206">
        <v>0.0</v>
      </c>
      <c r="M110" s="206">
        <v>0.0</v>
      </c>
      <c r="N110" s="206">
        <v>0.0</v>
      </c>
      <c r="O110" s="206">
        <v>0.0</v>
      </c>
      <c r="P110" s="206">
        <v>0.0</v>
      </c>
    </row>
    <row r="111">
      <c r="A111" s="485"/>
      <c r="B111" s="819"/>
      <c r="H111" s="815" t="s">
        <v>923</v>
      </c>
      <c r="I111" s="206">
        <v>64.0</v>
      </c>
      <c r="J111" s="206">
        <v>15.0</v>
      </c>
      <c r="K111" s="206">
        <v>6.0</v>
      </c>
      <c r="L111" s="206">
        <v>20.0</v>
      </c>
      <c r="M111" s="206">
        <v>97.0</v>
      </c>
      <c r="N111" s="206">
        <v>21.0</v>
      </c>
      <c r="O111" s="208">
        <v>1367.0</v>
      </c>
      <c r="P111" s="206">
        <v>23.0</v>
      </c>
    </row>
    <row r="112">
      <c r="A112" s="820"/>
    </row>
    <row r="113">
      <c r="H113" s="806"/>
      <c r="I113" s="807" t="s">
        <v>1009</v>
      </c>
      <c r="J113" s="807" t="s">
        <v>1010</v>
      </c>
      <c r="K113" s="807" t="s">
        <v>1011</v>
      </c>
      <c r="L113" s="807" t="s">
        <v>1012</v>
      </c>
      <c r="M113" s="807" t="s">
        <v>1013</v>
      </c>
      <c r="N113" s="807" t="s">
        <v>1014</v>
      </c>
      <c r="O113" s="807" t="s">
        <v>1015</v>
      </c>
      <c r="P113" s="808" t="s">
        <v>1016</v>
      </c>
    </row>
    <row r="114">
      <c r="H114" s="811" t="s">
        <v>1057</v>
      </c>
      <c r="I114" s="206">
        <v>358.0</v>
      </c>
      <c r="J114" s="206">
        <v>1.0</v>
      </c>
      <c r="K114" s="206">
        <v>16.0</v>
      </c>
      <c r="L114" s="206">
        <v>2.0</v>
      </c>
      <c r="M114" s="206">
        <v>6.0</v>
      </c>
      <c r="N114" s="206">
        <v>1.0</v>
      </c>
      <c r="O114" s="206">
        <v>1.0</v>
      </c>
      <c r="P114" s="206">
        <v>21.0</v>
      </c>
    </row>
    <row r="115">
      <c r="H115" s="811" t="s">
        <v>1724</v>
      </c>
      <c r="I115" s="206">
        <v>214.0</v>
      </c>
      <c r="J115" s="206">
        <v>3.0</v>
      </c>
      <c r="K115" s="206">
        <v>5.0</v>
      </c>
      <c r="L115" s="206">
        <v>2.0</v>
      </c>
      <c r="M115" s="206">
        <v>4.0</v>
      </c>
      <c r="N115" s="206">
        <v>1.0</v>
      </c>
      <c r="O115" s="206">
        <v>2.0</v>
      </c>
      <c r="P115" s="206">
        <v>47.0</v>
      </c>
    </row>
    <row r="116">
      <c r="H116" s="811" t="s">
        <v>2686</v>
      </c>
      <c r="I116" s="206">
        <v>21.0</v>
      </c>
      <c r="J116" s="206">
        <v>0.0</v>
      </c>
      <c r="K116" s="206">
        <v>0.0</v>
      </c>
      <c r="L116" s="206">
        <v>0.0</v>
      </c>
      <c r="M116" s="206">
        <v>0.0</v>
      </c>
      <c r="N116" s="206">
        <v>0.0</v>
      </c>
      <c r="O116" s="206">
        <v>0.0</v>
      </c>
      <c r="P116" s="206">
        <v>0.0</v>
      </c>
    </row>
    <row r="117">
      <c r="H117" s="811" t="s">
        <v>1109</v>
      </c>
      <c r="I117" s="206">
        <v>6.0</v>
      </c>
      <c r="J117" s="206">
        <v>0.0</v>
      </c>
      <c r="K117" s="206">
        <v>0.0</v>
      </c>
      <c r="L117" s="206">
        <v>0.0</v>
      </c>
      <c r="M117" s="206">
        <v>0.0</v>
      </c>
      <c r="N117" s="206">
        <v>0.0</v>
      </c>
      <c r="O117" s="206">
        <v>0.0</v>
      </c>
      <c r="P117" s="206">
        <v>2.0</v>
      </c>
    </row>
    <row r="118">
      <c r="H118" s="811" t="s">
        <v>781</v>
      </c>
      <c r="I118" s="206">
        <v>13.0</v>
      </c>
      <c r="J118" s="206">
        <v>0.0</v>
      </c>
      <c r="K118" s="206">
        <v>0.0</v>
      </c>
      <c r="L118" s="206">
        <v>0.0</v>
      </c>
      <c r="M118" s="206">
        <v>0.0</v>
      </c>
      <c r="N118" s="206">
        <v>0.0</v>
      </c>
      <c r="O118" s="206">
        <v>0.0</v>
      </c>
      <c r="P118" s="206">
        <v>2.0</v>
      </c>
    </row>
    <row r="119">
      <c r="H119" s="811" t="s">
        <v>2687</v>
      </c>
      <c r="I119" s="206">
        <v>48.0</v>
      </c>
      <c r="J119" s="206">
        <v>0.0</v>
      </c>
      <c r="K119" s="206">
        <v>5.0</v>
      </c>
      <c r="L119" s="206">
        <v>0.0</v>
      </c>
      <c r="M119" s="206">
        <v>3.0</v>
      </c>
      <c r="N119" s="206">
        <v>0.0</v>
      </c>
      <c r="O119" s="206">
        <v>1.0</v>
      </c>
      <c r="P119" s="206">
        <v>8.0</v>
      </c>
    </row>
    <row r="120">
      <c r="H120" s="811" t="s">
        <v>2688</v>
      </c>
      <c r="I120" s="206">
        <v>0.0</v>
      </c>
      <c r="J120" s="206">
        <v>0.0</v>
      </c>
      <c r="K120" s="206">
        <v>0.0</v>
      </c>
      <c r="L120" s="206">
        <v>0.0</v>
      </c>
      <c r="M120" s="206">
        <v>0.0</v>
      </c>
      <c r="N120" s="206">
        <v>0.0</v>
      </c>
      <c r="O120" s="206">
        <v>0.0</v>
      </c>
      <c r="P120" s="206">
        <v>0.0</v>
      </c>
    </row>
    <row r="121">
      <c r="H121" s="815" t="s">
        <v>923</v>
      </c>
      <c r="I121" s="206">
        <v>660.0</v>
      </c>
      <c r="J121" s="206">
        <v>4.0</v>
      </c>
      <c r="K121" s="206">
        <v>26.0</v>
      </c>
      <c r="L121" s="206">
        <v>4.0</v>
      </c>
      <c r="M121" s="206">
        <v>13.0</v>
      </c>
      <c r="N121" s="206">
        <v>2.0</v>
      </c>
      <c r="O121" s="206">
        <v>4.0</v>
      </c>
      <c r="P121" s="206">
        <v>80.0</v>
      </c>
    </row>
    <row r="123">
      <c r="H123" s="806"/>
      <c r="I123" s="807" t="s">
        <v>636</v>
      </c>
      <c r="J123" s="807" t="s">
        <v>1017</v>
      </c>
      <c r="K123" s="807" t="s">
        <v>1018</v>
      </c>
      <c r="L123" s="807" t="s">
        <v>1019</v>
      </c>
      <c r="M123" s="807" t="s">
        <v>119</v>
      </c>
      <c r="N123" s="807" t="s">
        <v>1020</v>
      </c>
      <c r="O123" s="807" t="s">
        <v>1021</v>
      </c>
      <c r="P123" s="808" t="s">
        <v>1022</v>
      </c>
    </row>
    <row r="124">
      <c r="H124" s="811" t="s">
        <v>1057</v>
      </c>
      <c r="I124" s="206">
        <v>19.0</v>
      </c>
      <c r="J124" s="206">
        <v>4.0</v>
      </c>
      <c r="K124" s="206">
        <v>1.0</v>
      </c>
      <c r="L124" s="206">
        <v>1.0</v>
      </c>
      <c r="M124" s="206">
        <v>8.0</v>
      </c>
      <c r="N124" s="206">
        <v>0.0</v>
      </c>
      <c r="O124" s="206">
        <v>14.0</v>
      </c>
      <c r="P124" s="206">
        <v>8.0</v>
      </c>
    </row>
    <row r="125">
      <c r="H125" s="811" t="s">
        <v>1724</v>
      </c>
      <c r="I125" s="206">
        <v>7.0</v>
      </c>
      <c r="J125" s="206">
        <v>0.0</v>
      </c>
      <c r="K125" s="206">
        <v>6.0</v>
      </c>
      <c r="L125" s="206">
        <v>0.0</v>
      </c>
      <c r="M125" s="206">
        <v>2.0</v>
      </c>
      <c r="N125" s="206">
        <v>0.0</v>
      </c>
      <c r="O125" s="206">
        <v>9.0</v>
      </c>
      <c r="P125" s="206">
        <v>1.0</v>
      </c>
    </row>
    <row r="126">
      <c r="H126" s="811" t="s">
        <v>2686</v>
      </c>
      <c r="I126" s="206">
        <v>0.0</v>
      </c>
      <c r="J126" s="206">
        <v>0.0</v>
      </c>
      <c r="K126" s="206">
        <v>1.0</v>
      </c>
      <c r="L126" s="206">
        <v>0.0</v>
      </c>
      <c r="M126" s="206">
        <v>0.0</v>
      </c>
      <c r="N126" s="206">
        <v>0.0</v>
      </c>
      <c r="O126" s="206">
        <v>1.0</v>
      </c>
      <c r="P126" s="206">
        <v>0.0</v>
      </c>
    </row>
    <row r="127">
      <c r="H127" s="811" t="s">
        <v>1109</v>
      </c>
      <c r="I127" s="206">
        <v>1.0</v>
      </c>
      <c r="J127" s="206">
        <v>0.0</v>
      </c>
      <c r="K127" s="206">
        <v>0.0</v>
      </c>
      <c r="L127" s="206">
        <v>0.0</v>
      </c>
      <c r="M127" s="206">
        <v>0.0</v>
      </c>
      <c r="N127" s="206">
        <v>0.0</v>
      </c>
      <c r="O127" s="206">
        <v>0.0</v>
      </c>
      <c r="P127" s="206">
        <v>0.0</v>
      </c>
    </row>
    <row r="128">
      <c r="H128" s="811" t="s">
        <v>781</v>
      </c>
      <c r="I128" s="206">
        <v>0.0</v>
      </c>
      <c r="J128" s="206">
        <v>0.0</v>
      </c>
      <c r="K128" s="206">
        <v>0.0</v>
      </c>
      <c r="L128" s="206">
        <v>0.0</v>
      </c>
      <c r="M128" s="206">
        <v>1.0</v>
      </c>
      <c r="N128" s="206">
        <v>1.0</v>
      </c>
      <c r="O128" s="206">
        <v>1.0</v>
      </c>
      <c r="P128" s="206">
        <v>0.0</v>
      </c>
    </row>
    <row r="129">
      <c r="H129" s="811" t="s">
        <v>2687</v>
      </c>
      <c r="I129" s="206">
        <v>1.0</v>
      </c>
      <c r="J129" s="206">
        <v>0.0</v>
      </c>
      <c r="K129" s="206">
        <v>1.0</v>
      </c>
      <c r="L129" s="206">
        <v>0.0</v>
      </c>
      <c r="M129" s="206">
        <v>2.0</v>
      </c>
      <c r="N129" s="206">
        <v>0.0</v>
      </c>
      <c r="O129" s="206">
        <v>1.0</v>
      </c>
      <c r="P129" s="206">
        <v>0.0</v>
      </c>
    </row>
    <row r="130">
      <c r="H130" s="811" t="s">
        <v>2688</v>
      </c>
      <c r="I130" s="206">
        <v>0.0</v>
      </c>
      <c r="J130" s="206">
        <v>0.0</v>
      </c>
      <c r="K130" s="206">
        <v>0.0</v>
      </c>
      <c r="L130" s="206">
        <v>0.0</v>
      </c>
      <c r="M130" s="206">
        <v>0.0</v>
      </c>
      <c r="N130" s="206">
        <v>0.0</v>
      </c>
      <c r="O130" s="206">
        <v>0.0</v>
      </c>
      <c r="P130" s="206">
        <v>0.0</v>
      </c>
    </row>
    <row r="131">
      <c r="H131" s="815" t="s">
        <v>923</v>
      </c>
      <c r="I131" s="206">
        <v>28.0</v>
      </c>
      <c r="J131" s="206">
        <v>4.0</v>
      </c>
      <c r="K131" s="206">
        <v>9.0</v>
      </c>
      <c r="L131" s="206">
        <v>1.0</v>
      </c>
      <c r="M131" s="206">
        <v>13.0</v>
      </c>
      <c r="N131" s="206">
        <v>1.0</v>
      </c>
      <c r="O131" s="206">
        <v>26.0</v>
      </c>
      <c r="P131" s="206">
        <v>9.0</v>
      </c>
    </row>
    <row r="133">
      <c r="H133" s="806"/>
      <c r="I133" s="808" t="s">
        <v>1023</v>
      </c>
    </row>
    <row r="134">
      <c r="H134" s="811" t="s">
        <v>1057</v>
      </c>
      <c r="I134" s="206">
        <v>133.0</v>
      </c>
    </row>
    <row r="135">
      <c r="H135" s="811" t="s">
        <v>1724</v>
      </c>
      <c r="I135" s="206">
        <v>98.0</v>
      </c>
    </row>
    <row r="136">
      <c r="H136" s="811" t="s">
        <v>2686</v>
      </c>
      <c r="I136" s="206">
        <v>12.0</v>
      </c>
    </row>
    <row r="137">
      <c r="H137" s="811" t="s">
        <v>1109</v>
      </c>
      <c r="I137" s="206">
        <v>12.0</v>
      </c>
    </row>
    <row r="138">
      <c r="H138" s="811" t="s">
        <v>781</v>
      </c>
      <c r="I138" s="206">
        <v>2.0</v>
      </c>
    </row>
    <row r="139">
      <c r="H139" s="811" t="s">
        <v>2687</v>
      </c>
      <c r="I139" s="206">
        <v>37.0</v>
      </c>
    </row>
    <row r="140">
      <c r="H140" s="811" t="s">
        <v>2688</v>
      </c>
      <c r="I140" s="206">
        <v>1.0</v>
      </c>
    </row>
    <row r="141">
      <c r="H141" s="815" t="s">
        <v>923</v>
      </c>
      <c r="I141" s="206">
        <v>295.0</v>
      </c>
    </row>
    <row r="144">
      <c r="A144" s="196" t="s">
        <v>2459</v>
      </c>
      <c r="B144" s="197"/>
      <c r="C144" s="197"/>
      <c r="D144" s="197"/>
      <c r="E144" s="198" t="s">
        <v>765</v>
      </c>
      <c r="F144" s="799" t="s">
        <v>2685</v>
      </c>
      <c r="G144" s="197"/>
      <c r="H144" s="197"/>
      <c r="I144" s="735" t="s">
        <v>767</v>
      </c>
      <c r="J144" s="821">
        <v>45351.0</v>
      </c>
      <c r="K144" s="735" t="s">
        <v>769</v>
      </c>
      <c r="L144" s="821">
        <v>45340.0</v>
      </c>
      <c r="M144" s="589"/>
    </row>
    <row r="146">
      <c r="A146" s="822" t="s">
        <v>755</v>
      </c>
      <c r="B146" s="823">
        <v>9.0</v>
      </c>
    </row>
    <row r="147">
      <c r="A147" s="824" t="s">
        <v>954</v>
      </c>
      <c r="B147" s="825">
        <v>7.0</v>
      </c>
    </row>
    <row r="148">
      <c r="A148" s="824" t="s">
        <v>955</v>
      </c>
      <c r="B148" s="825">
        <v>12.0</v>
      </c>
    </row>
    <row r="149">
      <c r="A149" s="824" t="s">
        <v>957</v>
      </c>
      <c r="B149" s="825">
        <v>2.0</v>
      </c>
    </row>
    <row r="150">
      <c r="A150" s="824" t="s">
        <v>958</v>
      </c>
      <c r="B150" s="825">
        <v>19.0</v>
      </c>
    </row>
    <row r="151">
      <c r="A151" s="824" t="s">
        <v>959</v>
      </c>
      <c r="B151" s="825">
        <v>17.0</v>
      </c>
    </row>
    <row r="152">
      <c r="A152" s="824" t="s">
        <v>706</v>
      </c>
      <c r="B152" s="825">
        <v>17.0</v>
      </c>
    </row>
    <row r="153">
      <c r="A153" s="824" t="s">
        <v>87</v>
      </c>
      <c r="B153" s="825">
        <v>79.0</v>
      </c>
    </row>
    <row r="154">
      <c r="A154" s="824" t="s">
        <v>960</v>
      </c>
      <c r="B154" s="825">
        <v>0.0</v>
      </c>
    </row>
    <row r="155">
      <c r="A155" s="824" t="s">
        <v>961</v>
      </c>
      <c r="B155" s="825">
        <v>0.0</v>
      </c>
    </row>
    <row r="156">
      <c r="A156" s="824" t="s">
        <v>101</v>
      </c>
      <c r="B156" s="825">
        <v>28.0</v>
      </c>
    </row>
    <row r="157">
      <c r="A157" s="824" t="s">
        <v>399</v>
      </c>
      <c r="B157" s="825">
        <v>2.0</v>
      </c>
    </row>
    <row r="158">
      <c r="A158" s="824" t="s">
        <v>253</v>
      </c>
      <c r="B158" s="825">
        <v>1.0</v>
      </c>
    </row>
    <row r="159">
      <c r="A159" s="824" t="s">
        <v>112</v>
      </c>
      <c r="B159" s="825">
        <v>2.0</v>
      </c>
    </row>
    <row r="160">
      <c r="A160" s="824" t="s">
        <v>962</v>
      </c>
      <c r="B160" s="825">
        <v>11.0</v>
      </c>
    </row>
    <row r="161">
      <c r="A161" s="824" t="s">
        <v>963</v>
      </c>
      <c r="B161" s="825">
        <v>15.0</v>
      </c>
    </row>
    <row r="162">
      <c r="A162" s="824" t="s">
        <v>964</v>
      </c>
      <c r="B162" s="825">
        <v>2.0</v>
      </c>
    </row>
    <row r="163">
      <c r="A163" s="824" t="s">
        <v>965</v>
      </c>
      <c r="B163" s="825">
        <v>39.0</v>
      </c>
    </row>
    <row r="164">
      <c r="A164" s="824" t="s">
        <v>263</v>
      </c>
      <c r="B164" s="825">
        <v>56.0</v>
      </c>
    </row>
    <row r="165">
      <c r="A165" s="824" t="s">
        <v>563</v>
      </c>
      <c r="B165" s="825">
        <v>0.0</v>
      </c>
    </row>
    <row r="166">
      <c r="A166" s="824" t="s">
        <v>899</v>
      </c>
      <c r="B166" s="825">
        <v>18.0</v>
      </c>
    </row>
    <row r="167">
      <c r="A167" s="824" t="s">
        <v>967</v>
      </c>
      <c r="B167" s="825">
        <v>6.0</v>
      </c>
    </row>
    <row r="168">
      <c r="A168" s="824" t="s">
        <v>412</v>
      </c>
      <c r="B168" s="825">
        <v>67.0</v>
      </c>
    </row>
    <row r="169">
      <c r="A169" s="824" t="s">
        <v>717</v>
      </c>
      <c r="B169" s="825">
        <v>1.0</v>
      </c>
    </row>
    <row r="170">
      <c r="A170" s="824" t="s">
        <v>968</v>
      </c>
      <c r="B170" s="825">
        <v>2.0</v>
      </c>
    </row>
    <row r="171">
      <c r="A171" s="824" t="s">
        <v>969</v>
      </c>
      <c r="B171" s="825">
        <v>21.0</v>
      </c>
    </row>
    <row r="172">
      <c r="A172" s="824" t="s">
        <v>970</v>
      </c>
      <c r="B172" s="825">
        <v>6.0</v>
      </c>
    </row>
    <row r="173">
      <c r="A173" s="824" t="s">
        <v>971</v>
      </c>
      <c r="B173" s="825">
        <v>42.0</v>
      </c>
    </row>
    <row r="174">
      <c r="A174" s="824" t="s">
        <v>718</v>
      </c>
      <c r="B174" s="825">
        <v>13.0</v>
      </c>
    </row>
    <row r="175">
      <c r="A175" s="824" t="s">
        <v>136</v>
      </c>
      <c r="B175" s="825">
        <v>14.0</v>
      </c>
    </row>
    <row r="176">
      <c r="A176" s="824" t="s">
        <v>973</v>
      </c>
      <c r="B176" s="825">
        <v>21.0</v>
      </c>
    </row>
    <row r="177">
      <c r="A177" s="824" t="s">
        <v>974</v>
      </c>
      <c r="B177" s="825">
        <v>4.0</v>
      </c>
    </row>
    <row r="178">
      <c r="A178" s="824" t="s">
        <v>224</v>
      </c>
      <c r="B178" s="825">
        <v>2.0</v>
      </c>
    </row>
    <row r="179">
      <c r="A179" s="824" t="s">
        <v>278</v>
      </c>
      <c r="B179" s="825">
        <v>2.0</v>
      </c>
    </row>
    <row r="180">
      <c r="A180" s="824" t="s">
        <v>975</v>
      </c>
      <c r="B180" s="825">
        <v>2.0</v>
      </c>
    </row>
    <row r="181">
      <c r="A181" s="824" t="s">
        <v>976</v>
      </c>
      <c r="B181" s="825">
        <v>0.0</v>
      </c>
    </row>
    <row r="182">
      <c r="A182" s="824" t="s">
        <v>977</v>
      </c>
      <c r="B182" s="825">
        <v>5.0</v>
      </c>
    </row>
    <row r="183">
      <c r="A183" s="824" t="s">
        <v>497</v>
      </c>
      <c r="B183" s="825">
        <v>2.0</v>
      </c>
    </row>
    <row r="184">
      <c r="A184" s="824" t="s">
        <v>978</v>
      </c>
      <c r="B184" s="825">
        <v>7.0</v>
      </c>
    </row>
    <row r="185">
      <c r="A185" s="824" t="s">
        <v>979</v>
      </c>
      <c r="B185" s="825">
        <v>25.0</v>
      </c>
    </row>
    <row r="186">
      <c r="A186" s="824" t="s">
        <v>980</v>
      </c>
      <c r="B186" s="825">
        <v>4.0</v>
      </c>
    </row>
    <row r="187">
      <c r="A187" s="824" t="s">
        <v>981</v>
      </c>
      <c r="B187" s="825">
        <v>2.0</v>
      </c>
    </row>
    <row r="188">
      <c r="A188" s="824" t="s">
        <v>142</v>
      </c>
      <c r="B188" s="825">
        <v>12.0</v>
      </c>
    </row>
    <row r="189">
      <c r="A189" s="824" t="s">
        <v>143</v>
      </c>
      <c r="B189" s="825">
        <v>12.0</v>
      </c>
    </row>
    <row r="190">
      <c r="A190" s="824" t="s">
        <v>982</v>
      </c>
      <c r="B190" s="825">
        <v>1.0</v>
      </c>
    </row>
    <row r="191">
      <c r="A191" s="824" t="s">
        <v>288</v>
      </c>
      <c r="B191" s="825">
        <v>257.0</v>
      </c>
    </row>
    <row r="192">
      <c r="A192" s="824" t="s">
        <v>983</v>
      </c>
      <c r="B192" s="825">
        <v>2.0</v>
      </c>
    </row>
    <row r="193">
      <c r="A193" s="824" t="s">
        <v>984</v>
      </c>
      <c r="B193" s="825">
        <v>7.0</v>
      </c>
    </row>
    <row r="194">
      <c r="A194" s="824" t="s">
        <v>427</v>
      </c>
      <c r="B194" s="825">
        <v>4.0</v>
      </c>
    </row>
    <row r="195">
      <c r="A195" s="824" t="s">
        <v>985</v>
      </c>
      <c r="B195" s="825">
        <v>42.0</v>
      </c>
    </row>
    <row r="196">
      <c r="A196" s="824" t="s">
        <v>986</v>
      </c>
      <c r="B196" s="825">
        <v>1.0</v>
      </c>
    </row>
    <row r="197">
      <c r="A197" s="824" t="s">
        <v>987</v>
      </c>
      <c r="B197" s="825">
        <v>56.0</v>
      </c>
    </row>
    <row r="198">
      <c r="A198" s="824" t="s">
        <v>290</v>
      </c>
      <c r="B198" s="825">
        <v>6.0</v>
      </c>
    </row>
    <row r="199">
      <c r="A199" s="824" t="s">
        <v>907</v>
      </c>
      <c r="B199" s="825">
        <v>3.0</v>
      </c>
    </row>
    <row r="200">
      <c r="A200" s="824" t="s">
        <v>293</v>
      </c>
      <c r="B200" s="825">
        <v>3.0</v>
      </c>
    </row>
    <row r="201">
      <c r="A201" s="824" t="s">
        <v>910</v>
      </c>
      <c r="B201" s="825">
        <v>23.0</v>
      </c>
    </row>
    <row r="202">
      <c r="A202" s="827" t="s">
        <v>153</v>
      </c>
      <c r="B202" s="828">
        <v>9.0</v>
      </c>
    </row>
    <row r="203">
      <c r="A203" s="827" t="s">
        <v>154</v>
      </c>
      <c r="B203" s="828">
        <v>7.0</v>
      </c>
    </row>
    <row r="204">
      <c r="A204" s="829" t="s">
        <v>988</v>
      </c>
      <c r="B204" s="828">
        <v>23.0</v>
      </c>
    </row>
    <row r="205">
      <c r="A205" s="827" t="s">
        <v>989</v>
      </c>
      <c r="B205" s="828">
        <v>2.0</v>
      </c>
    </row>
    <row r="206">
      <c r="A206" s="824" t="s">
        <v>791</v>
      </c>
      <c r="B206" s="828">
        <v>25.0</v>
      </c>
    </row>
    <row r="207">
      <c r="A207" s="824" t="s">
        <v>610</v>
      </c>
      <c r="B207" s="828">
        <v>2.0</v>
      </c>
    </row>
    <row r="208">
      <c r="A208" s="829" t="s">
        <v>157</v>
      </c>
      <c r="B208" s="828">
        <v>32.0</v>
      </c>
    </row>
    <row r="209">
      <c r="A209" s="824" t="s">
        <v>990</v>
      </c>
      <c r="B209" s="828">
        <v>1.0</v>
      </c>
    </row>
    <row r="210">
      <c r="A210" s="827" t="s">
        <v>991</v>
      </c>
      <c r="B210" s="828">
        <v>0.0</v>
      </c>
    </row>
    <row r="211">
      <c r="A211" s="827" t="s">
        <v>992</v>
      </c>
      <c r="B211" s="828">
        <v>18.0</v>
      </c>
    </row>
    <row r="212">
      <c r="A212" s="827" t="s">
        <v>993</v>
      </c>
      <c r="B212" s="828">
        <v>18.0</v>
      </c>
    </row>
    <row r="213">
      <c r="A213" s="827" t="s">
        <v>994</v>
      </c>
      <c r="B213" s="828">
        <v>0.0</v>
      </c>
    </row>
    <row r="214">
      <c r="A214" s="827" t="s">
        <v>995</v>
      </c>
      <c r="B214" s="828">
        <v>3.0</v>
      </c>
    </row>
    <row r="215">
      <c r="A215" s="827" t="s">
        <v>996</v>
      </c>
      <c r="B215" s="828">
        <v>18.0</v>
      </c>
    </row>
    <row r="216">
      <c r="A216" s="827" t="s">
        <v>997</v>
      </c>
      <c r="B216" s="828">
        <v>5.0</v>
      </c>
    </row>
    <row r="217">
      <c r="A217" s="827" t="s">
        <v>998</v>
      </c>
      <c r="B217" s="828">
        <v>3.0</v>
      </c>
    </row>
    <row r="218">
      <c r="A218" s="827" t="s">
        <v>999</v>
      </c>
      <c r="B218" s="828">
        <v>4.0</v>
      </c>
    </row>
    <row r="219">
      <c r="A219" s="827" t="s">
        <v>300</v>
      </c>
      <c r="B219" s="828">
        <v>7.0</v>
      </c>
    </row>
    <row r="220">
      <c r="A220" s="829" t="s">
        <v>1000</v>
      </c>
      <c r="B220" s="828">
        <v>25.0</v>
      </c>
    </row>
    <row r="221">
      <c r="A221" s="824" t="s">
        <v>1001</v>
      </c>
      <c r="B221" s="828">
        <v>4.0</v>
      </c>
    </row>
    <row r="222">
      <c r="A222" s="827" t="s">
        <v>1002</v>
      </c>
      <c r="B222" s="828">
        <v>0.0</v>
      </c>
    </row>
    <row r="223">
      <c r="A223" s="824" t="s">
        <v>1003</v>
      </c>
      <c r="B223" s="828">
        <v>51.0</v>
      </c>
    </row>
    <row r="224">
      <c r="A224" s="827" t="s">
        <v>1004</v>
      </c>
      <c r="B224" s="828">
        <v>4.0</v>
      </c>
    </row>
    <row r="225">
      <c r="A225" s="824" t="s">
        <v>1005</v>
      </c>
      <c r="B225" s="828">
        <v>11.0</v>
      </c>
    </row>
    <row r="226">
      <c r="A226" s="824" t="s">
        <v>1006</v>
      </c>
      <c r="B226" s="828">
        <v>46.0</v>
      </c>
    </row>
    <row r="227">
      <c r="A227" s="824" t="s">
        <v>1007</v>
      </c>
      <c r="B227" s="828">
        <v>1.0</v>
      </c>
    </row>
    <row r="228">
      <c r="A228" s="824" t="s">
        <v>842</v>
      </c>
      <c r="B228" s="828">
        <v>2.0</v>
      </c>
    </row>
    <row r="229">
      <c r="A229" s="827" t="s">
        <v>165</v>
      </c>
      <c r="B229" s="828">
        <v>7.0</v>
      </c>
    </row>
    <row r="230">
      <c r="A230" s="824" t="s">
        <v>308</v>
      </c>
      <c r="B230" s="828">
        <v>30.0</v>
      </c>
    </row>
    <row r="231">
      <c r="A231" s="824" t="s">
        <v>309</v>
      </c>
      <c r="B231" s="828">
        <v>7.0</v>
      </c>
    </row>
    <row r="232">
      <c r="A232" s="827" t="s">
        <v>459</v>
      </c>
      <c r="B232" s="828">
        <v>641.0</v>
      </c>
    </row>
    <row r="233">
      <c r="A233" s="824" t="s">
        <v>1008</v>
      </c>
      <c r="B233" s="825">
        <v>7.0</v>
      </c>
    </row>
    <row r="234">
      <c r="A234" s="824" t="s">
        <v>1009</v>
      </c>
      <c r="B234" s="825">
        <v>155.0</v>
      </c>
    </row>
    <row r="235">
      <c r="A235" s="824" t="s">
        <v>1010</v>
      </c>
      <c r="B235" s="825">
        <v>1.0</v>
      </c>
    </row>
    <row r="236">
      <c r="A236" s="824" t="s">
        <v>1011</v>
      </c>
      <c r="B236" s="825">
        <v>3.0</v>
      </c>
    </row>
    <row r="237">
      <c r="A237" s="824" t="s">
        <v>1012</v>
      </c>
      <c r="B237" s="825">
        <v>6.0</v>
      </c>
    </row>
    <row r="238">
      <c r="A238" s="824" t="s">
        <v>1013</v>
      </c>
      <c r="B238" s="825">
        <v>3.0</v>
      </c>
    </row>
    <row r="239">
      <c r="A239" s="824" t="s">
        <v>1014</v>
      </c>
      <c r="B239" s="825">
        <v>2.0</v>
      </c>
    </row>
    <row r="240">
      <c r="A240" s="824" t="s">
        <v>1015</v>
      </c>
      <c r="B240" s="825">
        <v>3.0</v>
      </c>
    </row>
    <row r="241">
      <c r="A241" s="824" t="s">
        <v>1016</v>
      </c>
      <c r="B241" s="825">
        <v>21.0</v>
      </c>
    </row>
    <row r="242">
      <c r="A242" s="824" t="s">
        <v>636</v>
      </c>
      <c r="B242" s="825">
        <v>3.0</v>
      </c>
    </row>
    <row r="243">
      <c r="A243" s="824" t="s">
        <v>1017</v>
      </c>
      <c r="B243" s="825">
        <v>4.0</v>
      </c>
    </row>
    <row r="244">
      <c r="A244" s="824" t="s">
        <v>1018</v>
      </c>
      <c r="B244" s="825">
        <v>3.0</v>
      </c>
    </row>
    <row r="245">
      <c r="A245" s="824" t="s">
        <v>1019</v>
      </c>
      <c r="B245" s="825">
        <v>0.0</v>
      </c>
    </row>
    <row r="246">
      <c r="A246" s="824" t="s">
        <v>119</v>
      </c>
      <c r="B246" s="825">
        <v>1.0</v>
      </c>
    </row>
    <row r="247">
      <c r="A247" s="824" t="s">
        <v>1020</v>
      </c>
      <c r="B247" s="825">
        <v>1.0</v>
      </c>
    </row>
    <row r="248">
      <c r="A248" s="824" t="s">
        <v>1021</v>
      </c>
      <c r="B248" s="825">
        <v>15.0</v>
      </c>
    </row>
    <row r="249">
      <c r="A249" s="824" t="s">
        <v>1022</v>
      </c>
      <c r="B249" s="825">
        <v>3.0</v>
      </c>
    </row>
    <row r="250">
      <c r="A250" s="824" t="s">
        <v>1023</v>
      </c>
      <c r="B250" s="825">
        <v>71.0</v>
      </c>
    </row>
    <row r="251">
      <c r="A251" s="830" t="s">
        <v>923</v>
      </c>
      <c r="B251" s="831">
        <v>2320.0</v>
      </c>
    </row>
    <row r="256">
      <c r="A256" s="196" t="s">
        <v>792</v>
      </c>
      <c r="B256" s="197"/>
      <c r="C256" s="197"/>
      <c r="D256" s="197"/>
      <c r="E256" s="198" t="s">
        <v>765</v>
      </c>
      <c r="F256" s="799" t="s">
        <v>2685</v>
      </c>
      <c r="G256" s="197"/>
      <c r="H256" s="197"/>
      <c r="I256" s="198" t="s">
        <v>767</v>
      </c>
      <c r="J256" s="625">
        <v>44988.0</v>
      </c>
      <c r="K256" s="198" t="s">
        <v>769</v>
      </c>
      <c r="L256" s="625">
        <v>44926.0</v>
      </c>
      <c r="M256" s="589"/>
    </row>
    <row r="258">
      <c r="A258" s="832" t="s">
        <v>2718</v>
      </c>
      <c r="B258" s="833">
        <v>213.0</v>
      </c>
      <c r="C258" s="320" t="s">
        <v>323</v>
      </c>
      <c r="D258" s="322" t="str">
        <f t="shared" ref="D258:D369" si="1">CONCAT(B258,C258)</f>
        <v>213*</v>
      </c>
    </row>
    <row r="259">
      <c r="A259" s="204" t="s">
        <v>399</v>
      </c>
      <c r="B259" s="206">
        <f t="shared" ref="B259:B290" si="2">$B$258</f>
        <v>213</v>
      </c>
      <c r="C259" s="320" t="s">
        <v>323</v>
      </c>
      <c r="D259" s="322" t="str">
        <f t="shared" si="1"/>
        <v>213*</v>
      </c>
    </row>
    <row r="260">
      <c r="A260" s="204" t="s">
        <v>1011</v>
      </c>
      <c r="B260" s="206">
        <f t="shared" si="2"/>
        <v>213</v>
      </c>
      <c r="C260" s="320" t="s">
        <v>323</v>
      </c>
      <c r="D260" s="322" t="str">
        <f t="shared" si="1"/>
        <v>213*</v>
      </c>
    </row>
    <row r="261">
      <c r="A261" s="204" t="s">
        <v>1019</v>
      </c>
      <c r="B261" s="206">
        <f t="shared" si="2"/>
        <v>213</v>
      </c>
      <c r="C261" s="320" t="s">
        <v>323</v>
      </c>
      <c r="D261" s="322" t="str">
        <f t="shared" si="1"/>
        <v>213*</v>
      </c>
    </row>
    <row r="262">
      <c r="A262" s="204" t="s">
        <v>1002</v>
      </c>
      <c r="B262" s="206">
        <f t="shared" si="2"/>
        <v>213</v>
      </c>
      <c r="C262" s="320" t="s">
        <v>323</v>
      </c>
      <c r="D262" s="322" t="str">
        <f t="shared" si="1"/>
        <v>213*</v>
      </c>
    </row>
    <row r="263">
      <c r="A263" s="204" t="s">
        <v>636</v>
      </c>
      <c r="B263" s="206">
        <f t="shared" si="2"/>
        <v>213</v>
      </c>
      <c r="C263" s="320" t="s">
        <v>323</v>
      </c>
      <c r="D263" s="322" t="str">
        <f t="shared" si="1"/>
        <v>213*</v>
      </c>
    </row>
    <row r="264">
      <c r="A264" s="204" t="s">
        <v>293</v>
      </c>
      <c r="B264" s="206">
        <f t="shared" si="2"/>
        <v>213</v>
      </c>
      <c r="C264" s="320" t="s">
        <v>323</v>
      </c>
      <c r="D264" s="322" t="str">
        <f t="shared" si="1"/>
        <v>213*</v>
      </c>
    </row>
    <row r="265">
      <c r="A265" s="204" t="s">
        <v>563</v>
      </c>
      <c r="B265" s="206">
        <f t="shared" si="2"/>
        <v>213</v>
      </c>
      <c r="C265" s="320" t="s">
        <v>323</v>
      </c>
      <c r="D265" s="322" t="str">
        <f t="shared" si="1"/>
        <v>213*</v>
      </c>
    </row>
    <row r="266">
      <c r="A266" s="204" t="s">
        <v>1010</v>
      </c>
      <c r="B266" s="206">
        <f t="shared" si="2"/>
        <v>213</v>
      </c>
      <c r="C266" s="320" t="s">
        <v>323</v>
      </c>
      <c r="D266" s="322" t="str">
        <f t="shared" si="1"/>
        <v>213*</v>
      </c>
    </row>
    <row r="267">
      <c r="A267" s="204" t="s">
        <v>974</v>
      </c>
      <c r="B267" s="206">
        <f t="shared" si="2"/>
        <v>213</v>
      </c>
      <c r="C267" s="320" t="s">
        <v>323</v>
      </c>
      <c r="D267" s="322" t="str">
        <f t="shared" si="1"/>
        <v>213*</v>
      </c>
    </row>
    <row r="268">
      <c r="A268" s="204" t="s">
        <v>995</v>
      </c>
      <c r="B268" s="206">
        <f t="shared" si="2"/>
        <v>213</v>
      </c>
      <c r="C268" s="320" t="s">
        <v>323</v>
      </c>
      <c r="D268" s="322" t="str">
        <f t="shared" si="1"/>
        <v>213*</v>
      </c>
    </row>
    <row r="269">
      <c r="A269" s="204" t="s">
        <v>224</v>
      </c>
      <c r="B269" s="206">
        <f t="shared" si="2"/>
        <v>213</v>
      </c>
      <c r="C269" s="320" t="s">
        <v>323</v>
      </c>
      <c r="D269" s="322" t="str">
        <f t="shared" si="1"/>
        <v>213*</v>
      </c>
    </row>
    <row r="270">
      <c r="A270" s="204" t="s">
        <v>1017</v>
      </c>
      <c r="B270" s="206">
        <f t="shared" si="2"/>
        <v>213</v>
      </c>
      <c r="C270" s="320" t="s">
        <v>323</v>
      </c>
      <c r="D270" s="322" t="str">
        <f t="shared" si="1"/>
        <v>213*</v>
      </c>
    </row>
    <row r="271">
      <c r="A271" s="204" t="s">
        <v>300</v>
      </c>
      <c r="B271" s="206">
        <f t="shared" si="2"/>
        <v>213</v>
      </c>
      <c r="C271" s="320" t="s">
        <v>323</v>
      </c>
      <c r="D271" s="322" t="str">
        <f t="shared" si="1"/>
        <v>213*</v>
      </c>
    </row>
    <row r="272">
      <c r="A272" s="204" t="s">
        <v>1007</v>
      </c>
      <c r="B272" s="206">
        <f t="shared" si="2"/>
        <v>213</v>
      </c>
      <c r="C272" s="320" t="s">
        <v>323</v>
      </c>
      <c r="D272" s="322" t="str">
        <f t="shared" si="1"/>
        <v>213*</v>
      </c>
    </row>
    <row r="273">
      <c r="A273" s="204" t="s">
        <v>969</v>
      </c>
      <c r="B273" s="206">
        <f t="shared" si="2"/>
        <v>213</v>
      </c>
      <c r="C273" s="320" t="s">
        <v>323</v>
      </c>
      <c r="D273" s="322" t="str">
        <f t="shared" si="1"/>
        <v>213*</v>
      </c>
    </row>
    <row r="274">
      <c r="A274" s="204" t="s">
        <v>1012</v>
      </c>
      <c r="B274" s="206">
        <f t="shared" si="2"/>
        <v>213</v>
      </c>
      <c r="C274" s="320" t="s">
        <v>323</v>
      </c>
      <c r="D274" s="322" t="str">
        <f t="shared" si="1"/>
        <v>213*</v>
      </c>
    </row>
    <row r="275">
      <c r="A275" s="204" t="s">
        <v>997</v>
      </c>
      <c r="B275" s="206">
        <f t="shared" si="2"/>
        <v>213</v>
      </c>
      <c r="C275" s="320" t="s">
        <v>323</v>
      </c>
      <c r="D275" s="322" t="str">
        <f t="shared" si="1"/>
        <v>213*</v>
      </c>
    </row>
    <row r="276">
      <c r="A276" s="204" t="s">
        <v>165</v>
      </c>
      <c r="B276" s="206">
        <f t="shared" si="2"/>
        <v>213</v>
      </c>
      <c r="C276" s="320" t="s">
        <v>323</v>
      </c>
      <c r="D276" s="322" t="str">
        <f t="shared" si="1"/>
        <v>213*</v>
      </c>
    </row>
    <row r="277">
      <c r="A277" s="204" t="s">
        <v>982</v>
      </c>
      <c r="B277" s="206">
        <f t="shared" si="2"/>
        <v>213</v>
      </c>
      <c r="C277" s="320" t="s">
        <v>323</v>
      </c>
      <c r="D277" s="322" t="str">
        <f t="shared" si="1"/>
        <v>213*</v>
      </c>
    </row>
    <row r="278">
      <c r="A278" s="204" t="s">
        <v>610</v>
      </c>
      <c r="B278" s="206">
        <f t="shared" si="2"/>
        <v>213</v>
      </c>
      <c r="C278" s="320" t="s">
        <v>323</v>
      </c>
      <c r="D278" s="322" t="str">
        <f t="shared" si="1"/>
        <v>213*</v>
      </c>
    </row>
    <row r="279">
      <c r="A279" s="204" t="s">
        <v>290</v>
      </c>
      <c r="B279" s="206">
        <f t="shared" si="2"/>
        <v>213</v>
      </c>
      <c r="C279" s="320" t="s">
        <v>323</v>
      </c>
      <c r="D279" s="322" t="str">
        <f t="shared" si="1"/>
        <v>213*</v>
      </c>
    </row>
    <row r="280">
      <c r="A280" s="204" t="s">
        <v>970</v>
      </c>
      <c r="B280" s="206">
        <f t="shared" si="2"/>
        <v>213</v>
      </c>
      <c r="C280" s="320" t="s">
        <v>323</v>
      </c>
      <c r="D280" s="322" t="str">
        <f t="shared" si="1"/>
        <v>213*</v>
      </c>
    </row>
    <row r="281">
      <c r="A281" s="204" t="s">
        <v>1004</v>
      </c>
      <c r="B281" s="206">
        <f t="shared" si="2"/>
        <v>213</v>
      </c>
      <c r="C281" s="320" t="s">
        <v>323</v>
      </c>
      <c r="D281" s="322" t="str">
        <f t="shared" si="1"/>
        <v>213*</v>
      </c>
    </row>
    <row r="282">
      <c r="A282" s="204" t="s">
        <v>962</v>
      </c>
      <c r="B282" s="206">
        <f t="shared" si="2"/>
        <v>213</v>
      </c>
      <c r="C282" s="320" t="s">
        <v>323</v>
      </c>
      <c r="D282" s="322" t="str">
        <f t="shared" si="1"/>
        <v>213*</v>
      </c>
    </row>
    <row r="283">
      <c r="A283" s="204" t="s">
        <v>998</v>
      </c>
      <c r="B283" s="206">
        <f t="shared" si="2"/>
        <v>213</v>
      </c>
      <c r="C283" s="320" t="s">
        <v>323</v>
      </c>
      <c r="D283" s="322" t="str">
        <f t="shared" si="1"/>
        <v>213*</v>
      </c>
    </row>
    <row r="284">
      <c r="A284" s="204" t="s">
        <v>308</v>
      </c>
      <c r="B284" s="206">
        <f t="shared" si="2"/>
        <v>213</v>
      </c>
      <c r="C284" s="320" t="s">
        <v>323</v>
      </c>
      <c r="D284" s="322" t="str">
        <f t="shared" si="1"/>
        <v>213*</v>
      </c>
    </row>
    <row r="285">
      <c r="A285" s="204" t="s">
        <v>119</v>
      </c>
      <c r="B285" s="206">
        <f t="shared" si="2"/>
        <v>213</v>
      </c>
      <c r="C285" s="320" t="s">
        <v>323</v>
      </c>
      <c r="D285" s="322" t="str">
        <f t="shared" si="1"/>
        <v>213*</v>
      </c>
    </row>
    <row r="286">
      <c r="A286" s="204" t="s">
        <v>112</v>
      </c>
      <c r="B286" s="206">
        <f t="shared" si="2"/>
        <v>213</v>
      </c>
      <c r="C286" s="320" t="s">
        <v>323</v>
      </c>
      <c r="D286" s="322" t="str">
        <f t="shared" si="1"/>
        <v>213*</v>
      </c>
    </row>
    <row r="287">
      <c r="A287" s="204" t="s">
        <v>899</v>
      </c>
      <c r="B287" s="206">
        <f t="shared" si="2"/>
        <v>213</v>
      </c>
      <c r="C287" s="320" t="s">
        <v>323</v>
      </c>
      <c r="D287" s="322" t="str">
        <f t="shared" si="1"/>
        <v>213*</v>
      </c>
    </row>
    <row r="288">
      <c r="A288" s="204" t="s">
        <v>1006</v>
      </c>
      <c r="B288" s="206">
        <f t="shared" si="2"/>
        <v>213</v>
      </c>
      <c r="C288" s="320" t="s">
        <v>323</v>
      </c>
      <c r="D288" s="322" t="str">
        <f t="shared" si="1"/>
        <v>213*</v>
      </c>
    </row>
    <row r="289">
      <c r="A289" s="204" t="s">
        <v>973</v>
      </c>
      <c r="B289" s="206">
        <f t="shared" si="2"/>
        <v>213</v>
      </c>
      <c r="C289" s="320" t="s">
        <v>323</v>
      </c>
      <c r="D289" s="322" t="str">
        <f t="shared" si="1"/>
        <v>213*</v>
      </c>
    </row>
    <row r="290">
      <c r="A290" s="204" t="s">
        <v>990</v>
      </c>
      <c r="B290" s="206">
        <f t="shared" si="2"/>
        <v>213</v>
      </c>
      <c r="C290" s="320" t="s">
        <v>323</v>
      </c>
      <c r="D290" s="322" t="str">
        <f t="shared" si="1"/>
        <v>213*</v>
      </c>
    </row>
    <row r="291">
      <c r="A291" s="834" t="s">
        <v>2719</v>
      </c>
      <c r="B291" s="833">
        <v>302.0</v>
      </c>
      <c r="C291" s="320" t="s">
        <v>323</v>
      </c>
      <c r="D291" s="322" t="str">
        <f t="shared" si="1"/>
        <v>302*</v>
      </c>
    </row>
    <row r="292">
      <c r="A292" s="546" t="s">
        <v>154</v>
      </c>
      <c r="B292" s="206">
        <f t="shared" ref="B292:B301" si="3">$B$291</f>
        <v>302</v>
      </c>
      <c r="C292" s="320" t="s">
        <v>323</v>
      </c>
      <c r="D292" s="322" t="str">
        <f t="shared" si="1"/>
        <v>302*</v>
      </c>
    </row>
    <row r="293">
      <c r="A293" s="546" t="s">
        <v>992</v>
      </c>
      <c r="B293" s="206">
        <f t="shared" si="3"/>
        <v>302</v>
      </c>
      <c r="C293" s="320" t="s">
        <v>323</v>
      </c>
      <c r="D293" s="322" t="str">
        <f t="shared" si="1"/>
        <v>302*</v>
      </c>
    </row>
    <row r="294">
      <c r="A294" s="546" t="s">
        <v>706</v>
      </c>
      <c r="B294" s="206">
        <f t="shared" si="3"/>
        <v>302</v>
      </c>
      <c r="C294" s="320" t="s">
        <v>323</v>
      </c>
      <c r="D294" s="322" t="str">
        <f t="shared" si="1"/>
        <v>302*</v>
      </c>
    </row>
    <row r="295">
      <c r="A295" s="546" t="s">
        <v>967</v>
      </c>
      <c r="B295" s="206">
        <f t="shared" si="3"/>
        <v>302</v>
      </c>
      <c r="C295" s="320" t="s">
        <v>323</v>
      </c>
      <c r="D295" s="322" t="str">
        <f t="shared" si="1"/>
        <v>302*</v>
      </c>
    </row>
    <row r="296">
      <c r="A296" s="546" t="s">
        <v>1000</v>
      </c>
      <c r="B296" s="206">
        <f t="shared" si="3"/>
        <v>302</v>
      </c>
      <c r="C296" s="320" t="s">
        <v>323</v>
      </c>
      <c r="D296" s="322" t="str">
        <f t="shared" si="1"/>
        <v>302*</v>
      </c>
    </row>
    <row r="297">
      <c r="A297" s="546" t="s">
        <v>142</v>
      </c>
      <c r="B297" s="206">
        <f t="shared" si="3"/>
        <v>302</v>
      </c>
      <c r="C297" s="320" t="s">
        <v>323</v>
      </c>
      <c r="D297" s="322" t="str">
        <f t="shared" si="1"/>
        <v>302*</v>
      </c>
    </row>
    <row r="298">
      <c r="A298" s="546" t="s">
        <v>1018</v>
      </c>
      <c r="B298" s="206">
        <f t="shared" si="3"/>
        <v>302</v>
      </c>
      <c r="C298" s="320" t="s">
        <v>323</v>
      </c>
      <c r="D298" s="322" t="str">
        <f t="shared" si="1"/>
        <v>302*</v>
      </c>
    </row>
    <row r="299">
      <c r="A299" s="546" t="s">
        <v>1009</v>
      </c>
      <c r="B299" s="206">
        <f t="shared" si="3"/>
        <v>302</v>
      </c>
      <c r="C299" s="320" t="s">
        <v>323</v>
      </c>
      <c r="D299" s="322" t="str">
        <f t="shared" si="1"/>
        <v>302*</v>
      </c>
    </row>
    <row r="300">
      <c r="A300" s="546" t="s">
        <v>143</v>
      </c>
      <c r="B300" s="206">
        <f t="shared" si="3"/>
        <v>302</v>
      </c>
      <c r="C300" s="320" t="s">
        <v>323</v>
      </c>
      <c r="D300" s="322" t="str">
        <f t="shared" si="1"/>
        <v>302*</v>
      </c>
    </row>
    <row r="301">
      <c r="A301" s="546" t="s">
        <v>706</v>
      </c>
      <c r="B301" s="206">
        <f t="shared" si="3"/>
        <v>302</v>
      </c>
      <c r="C301" s="320" t="s">
        <v>323</v>
      </c>
      <c r="D301" s="322" t="str">
        <f t="shared" si="1"/>
        <v>302*</v>
      </c>
    </row>
    <row r="302">
      <c r="A302" s="834" t="s">
        <v>2720</v>
      </c>
      <c r="B302" s="833">
        <v>410.0</v>
      </c>
      <c r="C302" s="320" t="s">
        <v>323</v>
      </c>
      <c r="D302" s="322" t="str">
        <f t="shared" si="1"/>
        <v>410*</v>
      </c>
    </row>
    <row r="303">
      <c r="A303" s="546" t="s">
        <v>955</v>
      </c>
      <c r="B303" s="206">
        <f t="shared" ref="B303:B307" si="4">$B$302</f>
        <v>410</v>
      </c>
      <c r="C303" s="320" t="s">
        <v>323</v>
      </c>
      <c r="D303" s="322" t="str">
        <f t="shared" si="1"/>
        <v>410*</v>
      </c>
    </row>
    <row r="304">
      <c r="A304" s="546" t="s">
        <v>412</v>
      </c>
      <c r="B304" s="206">
        <f t="shared" si="4"/>
        <v>410</v>
      </c>
      <c r="C304" s="320" t="s">
        <v>323</v>
      </c>
      <c r="D304" s="322" t="str">
        <f t="shared" si="1"/>
        <v>410*</v>
      </c>
    </row>
    <row r="305">
      <c r="A305" s="546" t="s">
        <v>288</v>
      </c>
      <c r="B305" s="206">
        <f t="shared" si="4"/>
        <v>410</v>
      </c>
      <c r="C305" s="320" t="s">
        <v>323</v>
      </c>
      <c r="D305" s="322" t="str">
        <f t="shared" si="1"/>
        <v>410*</v>
      </c>
    </row>
    <row r="306">
      <c r="A306" s="546" t="s">
        <v>1023</v>
      </c>
      <c r="B306" s="206">
        <f t="shared" si="4"/>
        <v>410</v>
      </c>
      <c r="C306" s="320" t="s">
        <v>323</v>
      </c>
      <c r="D306" s="322" t="str">
        <f t="shared" si="1"/>
        <v>410*</v>
      </c>
    </row>
    <row r="307">
      <c r="A307" s="546" t="s">
        <v>987</v>
      </c>
      <c r="B307" s="206">
        <f t="shared" si="4"/>
        <v>410</v>
      </c>
      <c r="C307" s="320" t="s">
        <v>323</v>
      </c>
      <c r="D307" s="322" t="str">
        <f t="shared" si="1"/>
        <v>410*</v>
      </c>
    </row>
    <row r="308">
      <c r="A308" s="834" t="s">
        <v>2721</v>
      </c>
      <c r="B308" s="833">
        <v>205.0</v>
      </c>
      <c r="C308" s="320" t="s">
        <v>323</v>
      </c>
      <c r="D308" s="322" t="str">
        <f t="shared" si="1"/>
        <v>205*</v>
      </c>
    </row>
    <row r="309">
      <c r="A309" s="546" t="s">
        <v>996</v>
      </c>
      <c r="B309" s="206">
        <f t="shared" ref="B309:B324" si="5">$B$308</f>
        <v>205</v>
      </c>
      <c r="C309" s="320" t="s">
        <v>323</v>
      </c>
      <c r="D309" s="322" t="str">
        <f t="shared" si="1"/>
        <v>205*</v>
      </c>
    </row>
    <row r="310">
      <c r="A310" s="546" t="s">
        <v>136</v>
      </c>
      <c r="B310" s="206">
        <f t="shared" si="5"/>
        <v>205</v>
      </c>
      <c r="C310" s="320" t="s">
        <v>323</v>
      </c>
      <c r="D310" s="322" t="str">
        <f t="shared" si="1"/>
        <v>205*</v>
      </c>
    </row>
    <row r="311">
      <c r="A311" s="546" t="s">
        <v>791</v>
      </c>
      <c r="B311" s="206">
        <f t="shared" si="5"/>
        <v>205</v>
      </c>
      <c r="C311" s="320" t="s">
        <v>323</v>
      </c>
      <c r="D311" s="322" t="str">
        <f t="shared" si="1"/>
        <v>205*</v>
      </c>
    </row>
    <row r="312">
      <c r="A312" s="546" t="s">
        <v>963</v>
      </c>
      <c r="B312" s="206">
        <f t="shared" si="5"/>
        <v>205</v>
      </c>
      <c r="C312" s="320" t="s">
        <v>323</v>
      </c>
      <c r="D312" s="322" t="str">
        <f t="shared" si="1"/>
        <v>205*</v>
      </c>
    </row>
    <row r="313">
      <c r="A313" s="546" t="s">
        <v>954</v>
      </c>
      <c r="B313" s="206">
        <f t="shared" si="5"/>
        <v>205</v>
      </c>
      <c r="C313" s="320" t="s">
        <v>323</v>
      </c>
      <c r="D313" s="322" t="str">
        <f t="shared" si="1"/>
        <v>205*</v>
      </c>
    </row>
    <row r="314">
      <c r="A314" s="546" t="s">
        <v>907</v>
      </c>
      <c r="B314" s="206">
        <f t="shared" si="5"/>
        <v>205</v>
      </c>
      <c r="C314" s="320" t="s">
        <v>323</v>
      </c>
      <c r="D314" s="322" t="str">
        <f t="shared" si="1"/>
        <v>205*</v>
      </c>
    </row>
    <row r="315">
      <c r="A315" s="546" t="s">
        <v>1022</v>
      </c>
      <c r="B315" s="206">
        <f t="shared" si="5"/>
        <v>205</v>
      </c>
      <c r="C315" s="320" t="s">
        <v>323</v>
      </c>
      <c r="D315" s="322" t="str">
        <f t="shared" si="1"/>
        <v>205*</v>
      </c>
    </row>
    <row r="316">
      <c r="A316" s="546" t="s">
        <v>755</v>
      </c>
      <c r="B316" s="206">
        <f t="shared" si="5"/>
        <v>205</v>
      </c>
      <c r="C316" s="320" t="s">
        <v>323</v>
      </c>
      <c r="D316" s="322" t="str">
        <f t="shared" si="1"/>
        <v>205*</v>
      </c>
    </row>
    <row r="317">
      <c r="A317" s="546" t="s">
        <v>959</v>
      </c>
      <c r="B317" s="206">
        <f t="shared" si="5"/>
        <v>205</v>
      </c>
      <c r="C317" s="320" t="s">
        <v>323</v>
      </c>
      <c r="D317" s="322" t="str">
        <f t="shared" si="1"/>
        <v>205*</v>
      </c>
    </row>
    <row r="318">
      <c r="A318" s="546" t="s">
        <v>1021</v>
      </c>
      <c r="B318" s="206">
        <f t="shared" si="5"/>
        <v>205</v>
      </c>
      <c r="C318" s="320" t="s">
        <v>323</v>
      </c>
      <c r="D318" s="322" t="str">
        <f t="shared" si="1"/>
        <v>205*</v>
      </c>
    </row>
    <row r="319">
      <c r="A319" s="546" t="s">
        <v>993</v>
      </c>
      <c r="B319" s="206">
        <f t="shared" si="5"/>
        <v>205</v>
      </c>
      <c r="C319" s="320" t="s">
        <v>323</v>
      </c>
      <c r="D319" s="322" t="str">
        <f t="shared" si="1"/>
        <v>205*</v>
      </c>
    </row>
    <row r="320">
      <c r="A320" s="546" t="s">
        <v>263</v>
      </c>
      <c r="B320" s="206">
        <f t="shared" si="5"/>
        <v>205</v>
      </c>
      <c r="C320" s="320" t="s">
        <v>323</v>
      </c>
      <c r="D320" s="322" t="str">
        <f t="shared" si="1"/>
        <v>205*</v>
      </c>
    </row>
    <row r="321">
      <c r="A321" s="546" t="s">
        <v>961</v>
      </c>
      <c r="B321" s="206">
        <f t="shared" si="5"/>
        <v>205</v>
      </c>
      <c r="C321" s="320" t="s">
        <v>323</v>
      </c>
      <c r="D321" s="322" t="str">
        <f t="shared" si="1"/>
        <v>205*</v>
      </c>
    </row>
    <row r="322">
      <c r="A322" s="546" t="s">
        <v>157</v>
      </c>
      <c r="B322" s="206">
        <f t="shared" si="5"/>
        <v>205</v>
      </c>
      <c r="C322" s="320" t="s">
        <v>323</v>
      </c>
      <c r="D322" s="322" t="str">
        <f t="shared" si="1"/>
        <v>205*</v>
      </c>
    </row>
    <row r="323">
      <c r="A323" s="546" t="s">
        <v>985</v>
      </c>
      <c r="B323" s="206">
        <f t="shared" si="5"/>
        <v>205</v>
      </c>
      <c r="C323" s="320" t="s">
        <v>323</v>
      </c>
      <c r="D323" s="322" t="str">
        <f t="shared" si="1"/>
        <v>205*</v>
      </c>
    </row>
    <row r="324">
      <c r="A324" s="546" t="s">
        <v>101</v>
      </c>
      <c r="B324" s="206">
        <f t="shared" si="5"/>
        <v>205</v>
      </c>
      <c r="C324" s="320" t="s">
        <v>323</v>
      </c>
      <c r="D324" s="322" t="str">
        <f t="shared" si="1"/>
        <v>205*</v>
      </c>
    </row>
    <row r="325">
      <c r="A325" s="834" t="s">
        <v>2722</v>
      </c>
      <c r="B325" s="833">
        <v>566.0</v>
      </c>
      <c r="C325" s="320" t="s">
        <v>323</v>
      </c>
      <c r="D325" s="322" t="str">
        <f t="shared" si="1"/>
        <v>566*</v>
      </c>
    </row>
    <row r="326">
      <c r="A326" s="546" t="s">
        <v>1001</v>
      </c>
      <c r="B326" s="206">
        <f t="shared" ref="B326:B335" si="6">$B$325</f>
        <v>566</v>
      </c>
      <c r="C326" s="320" t="s">
        <v>323</v>
      </c>
      <c r="D326" s="322" t="str">
        <f t="shared" si="1"/>
        <v>566*</v>
      </c>
    </row>
    <row r="327">
      <c r="A327" s="546" t="s">
        <v>957</v>
      </c>
      <c r="B327" s="206">
        <f t="shared" si="6"/>
        <v>566</v>
      </c>
      <c r="C327" s="320" t="s">
        <v>323</v>
      </c>
      <c r="D327" s="322" t="str">
        <f t="shared" si="1"/>
        <v>566*</v>
      </c>
    </row>
    <row r="328">
      <c r="A328" s="546" t="s">
        <v>984</v>
      </c>
      <c r="B328" s="206">
        <f t="shared" si="6"/>
        <v>566</v>
      </c>
      <c r="C328" s="320" t="s">
        <v>323</v>
      </c>
      <c r="D328" s="322" t="str">
        <f t="shared" si="1"/>
        <v>566*</v>
      </c>
    </row>
    <row r="329">
      <c r="A329" s="546" t="s">
        <v>978</v>
      </c>
      <c r="B329" s="206">
        <f t="shared" si="6"/>
        <v>566</v>
      </c>
      <c r="C329" s="320" t="s">
        <v>323</v>
      </c>
      <c r="D329" s="322" t="str">
        <f t="shared" si="1"/>
        <v>566*</v>
      </c>
    </row>
    <row r="330">
      <c r="A330" s="546" t="s">
        <v>459</v>
      </c>
      <c r="B330" s="206">
        <f t="shared" si="6"/>
        <v>566</v>
      </c>
      <c r="C330" s="320" t="s">
        <v>323</v>
      </c>
      <c r="D330" s="322" t="str">
        <f t="shared" si="1"/>
        <v>566*</v>
      </c>
    </row>
    <row r="331">
      <c r="A331" s="546" t="s">
        <v>87</v>
      </c>
      <c r="B331" s="206">
        <f t="shared" si="6"/>
        <v>566</v>
      </c>
      <c r="C331" s="320" t="s">
        <v>323</v>
      </c>
      <c r="D331" s="322" t="str">
        <f t="shared" si="1"/>
        <v>566*</v>
      </c>
    </row>
    <row r="332">
      <c r="A332" s="546" t="s">
        <v>977</v>
      </c>
      <c r="B332" s="206">
        <f t="shared" si="6"/>
        <v>566</v>
      </c>
      <c r="C332" s="320" t="s">
        <v>323</v>
      </c>
      <c r="D332" s="322" t="str">
        <f t="shared" si="1"/>
        <v>566*</v>
      </c>
    </row>
    <row r="333">
      <c r="A333" s="546" t="s">
        <v>968</v>
      </c>
      <c r="B333" s="206">
        <f t="shared" si="6"/>
        <v>566</v>
      </c>
      <c r="C333" s="320" t="s">
        <v>323</v>
      </c>
      <c r="D333" s="322" t="str">
        <f t="shared" si="1"/>
        <v>566*</v>
      </c>
    </row>
    <row r="334">
      <c r="A334" s="546" t="s">
        <v>965</v>
      </c>
      <c r="B334" s="206">
        <f t="shared" si="6"/>
        <v>566</v>
      </c>
      <c r="C334" s="320" t="s">
        <v>323</v>
      </c>
      <c r="D334" s="322" t="str">
        <f t="shared" si="1"/>
        <v>566*</v>
      </c>
    </row>
    <row r="335">
      <c r="A335" s="546" t="s">
        <v>1016</v>
      </c>
      <c r="B335" s="206">
        <f t="shared" si="6"/>
        <v>566</v>
      </c>
      <c r="C335" s="320" t="s">
        <v>323</v>
      </c>
      <c r="D335" s="322" t="str">
        <f t="shared" si="1"/>
        <v>566*</v>
      </c>
    </row>
    <row r="336">
      <c r="A336" s="834" t="s">
        <v>2723</v>
      </c>
      <c r="B336" s="833">
        <v>375.0</v>
      </c>
      <c r="C336" s="320" t="s">
        <v>323</v>
      </c>
      <c r="D336" s="322" t="str">
        <f t="shared" si="1"/>
        <v>375*</v>
      </c>
    </row>
    <row r="337">
      <c r="A337" s="546" t="s">
        <v>976</v>
      </c>
      <c r="B337" s="206">
        <f t="shared" ref="B337:B369" si="7">$B$336</f>
        <v>375</v>
      </c>
      <c r="C337" s="320" t="s">
        <v>323</v>
      </c>
      <c r="D337" s="322" t="str">
        <f t="shared" si="1"/>
        <v>375*</v>
      </c>
    </row>
    <row r="338">
      <c r="A338" s="546" t="s">
        <v>497</v>
      </c>
      <c r="B338" s="206">
        <f t="shared" si="7"/>
        <v>375</v>
      </c>
      <c r="C338" s="320" t="s">
        <v>323</v>
      </c>
      <c r="D338" s="322" t="str">
        <f t="shared" si="1"/>
        <v>375*</v>
      </c>
    </row>
    <row r="339">
      <c r="A339" s="546" t="s">
        <v>1014</v>
      </c>
      <c r="B339" s="206">
        <f t="shared" si="7"/>
        <v>375</v>
      </c>
      <c r="C339" s="320" t="s">
        <v>323</v>
      </c>
      <c r="D339" s="322" t="str">
        <f t="shared" si="1"/>
        <v>375*</v>
      </c>
    </row>
    <row r="340">
      <c r="A340" s="546" t="s">
        <v>991</v>
      </c>
      <c r="B340" s="206">
        <f t="shared" si="7"/>
        <v>375</v>
      </c>
      <c r="C340" s="320" t="s">
        <v>323</v>
      </c>
      <c r="D340" s="322" t="str">
        <f t="shared" si="1"/>
        <v>375*</v>
      </c>
    </row>
    <row r="341">
      <c r="A341" s="546" t="s">
        <v>1020</v>
      </c>
      <c r="B341" s="206">
        <f t="shared" si="7"/>
        <v>375</v>
      </c>
      <c r="C341" s="320" t="s">
        <v>323</v>
      </c>
      <c r="D341" s="322" t="str">
        <f t="shared" si="1"/>
        <v>375*</v>
      </c>
    </row>
    <row r="342">
      <c r="A342" s="546" t="s">
        <v>983</v>
      </c>
      <c r="B342" s="206">
        <f t="shared" si="7"/>
        <v>375</v>
      </c>
      <c r="C342" s="320" t="s">
        <v>323</v>
      </c>
      <c r="D342" s="322" t="str">
        <f t="shared" si="1"/>
        <v>375*</v>
      </c>
    </row>
    <row r="343">
      <c r="A343" s="546" t="s">
        <v>278</v>
      </c>
      <c r="B343" s="206">
        <f t="shared" si="7"/>
        <v>375</v>
      </c>
      <c r="C343" s="320" t="s">
        <v>323</v>
      </c>
      <c r="D343" s="322" t="str">
        <f t="shared" si="1"/>
        <v>375*</v>
      </c>
    </row>
    <row r="344">
      <c r="A344" s="546" t="s">
        <v>1015</v>
      </c>
      <c r="B344" s="206">
        <f t="shared" si="7"/>
        <v>375</v>
      </c>
      <c r="C344" s="320" t="s">
        <v>323</v>
      </c>
      <c r="D344" s="322" t="str">
        <f t="shared" si="1"/>
        <v>375*</v>
      </c>
    </row>
    <row r="345">
      <c r="A345" s="546" t="s">
        <v>309</v>
      </c>
      <c r="B345" s="206">
        <f t="shared" si="7"/>
        <v>375</v>
      </c>
      <c r="C345" s="320" t="s">
        <v>323</v>
      </c>
      <c r="D345" s="322" t="str">
        <f t="shared" si="1"/>
        <v>375*</v>
      </c>
    </row>
    <row r="346">
      <c r="A346" s="546" t="s">
        <v>971</v>
      </c>
      <c r="B346" s="206">
        <f t="shared" si="7"/>
        <v>375</v>
      </c>
      <c r="C346" s="320" t="s">
        <v>323</v>
      </c>
      <c r="D346" s="322" t="str">
        <f t="shared" si="1"/>
        <v>375*</v>
      </c>
    </row>
    <row r="347">
      <c r="A347" s="546" t="s">
        <v>980</v>
      </c>
      <c r="B347" s="206">
        <f t="shared" si="7"/>
        <v>375</v>
      </c>
      <c r="C347" s="320" t="s">
        <v>323</v>
      </c>
      <c r="D347" s="322" t="str">
        <f t="shared" si="1"/>
        <v>375*</v>
      </c>
    </row>
    <row r="348">
      <c r="A348" s="546" t="s">
        <v>1008</v>
      </c>
      <c r="B348" s="206">
        <f t="shared" si="7"/>
        <v>375</v>
      </c>
      <c r="C348" s="320" t="s">
        <v>323</v>
      </c>
      <c r="D348" s="322" t="str">
        <f t="shared" si="1"/>
        <v>375*</v>
      </c>
    </row>
    <row r="349">
      <c r="A349" s="546" t="s">
        <v>986</v>
      </c>
      <c r="B349" s="206">
        <f t="shared" si="7"/>
        <v>375</v>
      </c>
      <c r="C349" s="320" t="s">
        <v>323</v>
      </c>
      <c r="D349" s="322" t="str">
        <f t="shared" si="1"/>
        <v>375*</v>
      </c>
    </row>
    <row r="350">
      <c r="A350" s="546" t="s">
        <v>975</v>
      </c>
      <c r="B350" s="206">
        <f t="shared" si="7"/>
        <v>375</v>
      </c>
      <c r="C350" s="320" t="s">
        <v>323</v>
      </c>
      <c r="D350" s="322" t="str">
        <f t="shared" si="1"/>
        <v>375*</v>
      </c>
    </row>
    <row r="351">
      <c r="A351" s="546" t="s">
        <v>989</v>
      </c>
      <c r="B351" s="206">
        <f t="shared" si="7"/>
        <v>375</v>
      </c>
      <c r="C351" s="320" t="s">
        <v>323</v>
      </c>
      <c r="D351" s="322" t="str">
        <f t="shared" si="1"/>
        <v>375*</v>
      </c>
    </row>
    <row r="352">
      <c r="A352" s="546" t="s">
        <v>994</v>
      </c>
      <c r="B352" s="206">
        <f t="shared" si="7"/>
        <v>375</v>
      </c>
      <c r="C352" s="320" t="s">
        <v>323</v>
      </c>
      <c r="D352" s="322" t="str">
        <f t="shared" si="1"/>
        <v>375*</v>
      </c>
    </row>
    <row r="353">
      <c r="A353" s="546" t="s">
        <v>981</v>
      </c>
      <c r="B353" s="206">
        <f t="shared" si="7"/>
        <v>375</v>
      </c>
      <c r="C353" s="320" t="s">
        <v>323</v>
      </c>
      <c r="D353" s="322" t="str">
        <f t="shared" si="1"/>
        <v>375*</v>
      </c>
    </row>
    <row r="354">
      <c r="A354" s="546" t="s">
        <v>718</v>
      </c>
      <c r="B354" s="206">
        <f t="shared" si="7"/>
        <v>375</v>
      </c>
      <c r="C354" s="320" t="s">
        <v>323</v>
      </c>
      <c r="D354" s="322" t="str">
        <f t="shared" si="1"/>
        <v>375*</v>
      </c>
    </row>
    <row r="355">
      <c r="A355" s="546" t="s">
        <v>253</v>
      </c>
      <c r="B355" s="206">
        <f t="shared" si="7"/>
        <v>375</v>
      </c>
      <c r="C355" s="320" t="s">
        <v>323</v>
      </c>
      <c r="D355" s="322" t="str">
        <f t="shared" si="1"/>
        <v>375*</v>
      </c>
    </row>
    <row r="356">
      <c r="A356" s="546" t="s">
        <v>842</v>
      </c>
      <c r="B356" s="206">
        <f t="shared" si="7"/>
        <v>375</v>
      </c>
      <c r="C356" s="320" t="s">
        <v>323</v>
      </c>
      <c r="D356" s="322" t="str">
        <f t="shared" si="1"/>
        <v>375*</v>
      </c>
    </row>
    <row r="357">
      <c r="A357" s="546" t="s">
        <v>999</v>
      </c>
      <c r="B357" s="206">
        <f t="shared" si="7"/>
        <v>375</v>
      </c>
      <c r="C357" s="320" t="s">
        <v>323</v>
      </c>
      <c r="D357" s="322" t="str">
        <f t="shared" si="1"/>
        <v>375*</v>
      </c>
    </row>
    <row r="358">
      <c r="A358" s="546" t="s">
        <v>717</v>
      </c>
      <c r="B358" s="206">
        <f t="shared" si="7"/>
        <v>375</v>
      </c>
      <c r="C358" s="320" t="s">
        <v>323</v>
      </c>
      <c r="D358" s="322" t="str">
        <f t="shared" si="1"/>
        <v>375*</v>
      </c>
    </row>
    <row r="359">
      <c r="A359" s="546" t="s">
        <v>427</v>
      </c>
      <c r="B359" s="206">
        <f t="shared" si="7"/>
        <v>375</v>
      </c>
      <c r="C359" s="320" t="s">
        <v>323</v>
      </c>
      <c r="D359" s="322" t="str">
        <f t="shared" si="1"/>
        <v>375*</v>
      </c>
    </row>
    <row r="360">
      <c r="A360" s="603" t="s">
        <v>964</v>
      </c>
      <c r="B360" s="206">
        <f t="shared" si="7"/>
        <v>375</v>
      </c>
      <c r="C360" s="320" t="s">
        <v>323</v>
      </c>
      <c r="D360" s="322" t="str">
        <f t="shared" si="1"/>
        <v>375*</v>
      </c>
    </row>
    <row r="361">
      <c r="A361" s="603" t="s">
        <v>958</v>
      </c>
      <c r="B361" s="206">
        <f t="shared" si="7"/>
        <v>375</v>
      </c>
      <c r="C361" s="320" t="s">
        <v>323</v>
      </c>
      <c r="D361" s="322" t="str">
        <f t="shared" si="1"/>
        <v>375*</v>
      </c>
    </row>
    <row r="362">
      <c r="A362" s="603" t="s">
        <v>1013</v>
      </c>
      <c r="B362" s="206">
        <f t="shared" si="7"/>
        <v>375</v>
      </c>
      <c r="C362" s="320" t="s">
        <v>323</v>
      </c>
      <c r="D362" s="322" t="str">
        <f t="shared" si="1"/>
        <v>375*</v>
      </c>
    </row>
    <row r="363">
      <c r="A363" s="603" t="s">
        <v>1005</v>
      </c>
      <c r="B363" s="206">
        <f t="shared" si="7"/>
        <v>375</v>
      </c>
      <c r="C363" s="320" t="s">
        <v>323</v>
      </c>
      <c r="D363" s="322" t="str">
        <f t="shared" si="1"/>
        <v>375*</v>
      </c>
    </row>
    <row r="364">
      <c r="A364" s="603" t="s">
        <v>1003</v>
      </c>
      <c r="B364" s="206">
        <f t="shared" si="7"/>
        <v>375</v>
      </c>
      <c r="C364" s="320" t="s">
        <v>323</v>
      </c>
      <c r="D364" s="322" t="str">
        <f t="shared" si="1"/>
        <v>375*</v>
      </c>
    </row>
    <row r="365">
      <c r="A365" s="603" t="s">
        <v>988</v>
      </c>
      <c r="B365" s="206">
        <f t="shared" si="7"/>
        <v>375</v>
      </c>
      <c r="C365" s="320" t="s">
        <v>323</v>
      </c>
      <c r="D365" s="322" t="str">
        <f t="shared" si="1"/>
        <v>375*</v>
      </c>
    </row>
    <row r="366">
      <c r="A366" s="603" t="s">
        <v>979</v>
      </c>
      <c r="B366" s="206">
        <f t="shared" si="7"/>
        <v>375</v>
      </c>
      <c r="C366" s="320" t="s">
        <v>323</v>
      </c>
      <c r="D366" s="322" t="str">
        <f t="shared" si="1"/>
        <v>375*</v>
      </c>
    </row>
    <row r="367">
      <c r="A367" s="603" t="s">
        <v>153</v>
      </c>
      <c r="B367" s="206">
        <f t="shared" si="7"/>
        <v>375</v>
      </c>
      <c r="C367" s="320" t="s">
        <v>323</v>
      </c>
      <c r="D367" s="322" t="str">
        <f t="shared" si="1"/>
        <v>375*</v>
      </c>
    </row>
    <row r="368">
      <c r="A368" s="603" t="s">
        <v>960</v>
      </c>
      <c r="B368" s="206">
        <f t="shared" si="7"/>
        <v>375</v>
      </c>
      <c r="C368" s="320" t="s">
        <v>323</v>
      </c>
      <c r="D368" s="322" t="str">
        <f t="shared" si="1"/>
        <v>375*</v>
      </c>
    </row>
    <row r="369">
      <c r="A369" s="603" t="s">
        <v>910</v>
      </c>
      <c r="B369" s="206">
        <f t="shared" si="7"/>
        <v>375</v>
      </c>
      <c r="C369" s="320" t="s">
        <v>323</v>
      </c>
      <c r="D369" s="322" t="str">
        <f t="shared" si="1"/>
        <v>375*</v>
      </c>
    </row>
    <row r="370">
      <c r="A370" s="204" t="s">
        <v>2</v>
      </c>
      <c r="B370" s="548"/>
      <c r="C370" s="548"/>
      <c r="D370" s="206">
        <v>2071.0</v>
      </c>
    </row>
  </sheetData>
  <drawing r:id="rId2"/>
  <legacyDrawing r:id="rId3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2" max="12" width="13.5"/>
  </cols>
  <sheetData>
    <row r="1">
      <c r="A1" s="167"/>
      <c r="B1" s="168" t="s">
        <v>54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</row>
    <row r="2">
      <c r="A2" s="169" t="s">
        <v>172</v>
      </c>
      <c r="B2" s="170" t="s">
        <v>174</v>
      </c>
      <c r="C2" s="171" t="s">
        <v>693</v>
      </c>
      <c r="D2" s="608" t="s">
        <v>694</v>
      </c>
      <c r="E2" s="608" t="s">
        <v>695</v>
      </c>
      <c r="F2" s="608" t="s">
        <v>179</v>
      </c>
      <c r="G2" s="608" t="s">
        <v>696</v>
      </c>
      <c r="H2" s="173" t="s">
        <v>697</v>
      </c>
      <c r="I2" s="174" t="s">
        <v>84</v>
      </c>
      <c r="J2" s="170" t="s">
        <v>698</v>
      </c>
      <c r="K2" s="175" t="s">
        <v>699</v>
      </c>
      <c r="L2" s="173" t="s">
        <v>89</v>
      </c>
      <c r="M2" s="176" t="s">
        <v>700</v>
      </c>
      <c r="N2" s="177" t="s">
        <v>701</v>
      </c>
      <c r="O2" s="177" t="s">
        <v>702</v>
      </c>
      <c r="P2" s="178" t="s">
        <v>90</v>
      </c>
      <c r="Q2" s="179" t="s">
        <v>703</v>
      </c>
    </row>
    <row r="3">
      <c r="A3" s="609" t="s">
        <v>882</v>
      </c>
      <c r="B3" s="610">
        <f t="array" ref="B3">VLOOKUP($A3,KY_DEMO,2,FALSE)</f>
        <v>18903</v>
      </c>
      <c r="C3" s="704">
        <f>vlookup(A3,'KY Data'!$A$3:$M$124,2,FALSE)</f>
        <v>29</v>
      </c>
      <c r="D3" s="612" t="s">
        <v>63</v>
      </c>
      <c r="E3" s="612">
        <f>vlookup(A3,'KY Data'!$A$3:$M$124,4,FALSE)</f>
        <v>11</v>
      </c>
      <c r="F3" s="612">
        <f>vlookup(A3,'KY Data'!$A$3:$M$124,3,FALSE)</f>
        <v>2</v>
      </c>
      <c r="G3" s="612" t="s">
        <v>63</v>
      </c>
      <c r="H3" s="671" t="s">
        <v>63</v>
      </c>
      <c r="I3" s="614">
        <f>vlookup(A3,'KY Data'!$A$3:$N$124,14,FALSE)</f>
        <v>8</v>
      </c>
      <c r="J3" s="615" t="s">
        <v>63</v>
      </c>
      <c r="K3" s="672" t="s">
        <v>63</v>
      </c>
      <c r="L3" s="826" t="s">
        <v>63</v>
      </c>
      <c r="M3" s="614" t="s">
        <v>63</v>
      </c>
      <c r="N3" s="614" t="s">
        <v>63</v>
      </c>
      <c r="O3" s="614" t="s">
        <v>63</v>
      </c>
      <c r="P3" s="620">
        <f>ifna(vlookup(A3,'Population &amp; Church Numbers'!$A$996:$D$1115,4,FALSE),"NULL")</f>
        <v>28</v>
      </c>
      <c r="Q3" s="674" t="s">
        <v>63</v>
      </c>
    </row>
    <row r="4">
      <c r="A4" s="609" t="s">
        <v>755</v>
      </c>
      <c r="B4" s="610">
        <f t="array" ref="B4">VLOOKUP($A4,KY_DEMO,2,FALSE)</f>
        <v>20588</v>
      </c>
      <c r="C4" s="704">
        <f>vlookup(A4,'KY Data'!$A$3:$M$124,2,FALSE)</f>
        <v>59</v>
      </c>
      <c r="D4" s="612" t="s">
        <v>63</v>
      </c>
      <c r="E4" s="612">
        <f>vlookup(A4,'KY Data'!$A$3:$M$124,4,FALSE)</f>
        <v>34</v>
      </c>
      <c r="F4" s="612">
        <f>vlookup(A4,'KY Data'!$A$3:$M$124,3,FALSE)</f>
        <v>7</v>
      </c>
      <c r="G4" s="612" t="s">
        <v>63</v>
      </c>
      <c r="H4" s="671" t="s">
        <v>63</v>
      </c>
      <c r="I4" s="614">
        <f>vlookup(A4,'KY Data'!$A$3:$N$124,14,FALSE)</f>
        <v>17</v>
      </c>
      <c r="J4" s="615" t="s">
        <v>63</v>
      </c>
      <c r="K4" s="672" t="s">
        <v>63</v>
      </c>
      <c r="L4" s="826" t="s">
        <v>63</v>
      </c>
      <c r="M4" s="614" t="s">
        <v>63</v>
      </c>
      <c r="N4" s="614" t="s">
        <v>63</v>
      </c>
      <c r="O4" s="614" t="s">
        <v>63</v>
      </c>
      <c r="P4" s="620">
        <f>ifna(vlookup(A4,'Population &amp; Church Numbers'!$A$996:$D$1115,4,FALSE),"NULL")</f>
        <v>22</v>
      </c>
      <c r="Q4" s="674" t="s">
        <v>63</v>
      </c>
    </row>
    <row r="5">
      <c r="A5" s="609" t="s">
        <v>954</v>
      </c>
      <c r="B5" s="610">
        <f t="array" ref="B5">VLOOKUP($A5,KY_DEMO,2,FALSE)</f>
        <v>23852</v>
      </c>
      <c r="C5" s="704">
        <f>vlookup(A5,'KY Data'!$A$3:$M$124,2,FALSE)</f>
        <v>53</v>
      </c>
      <c r="D5" s="612" t="s">
        <v>63</v>
      </c>
      <c r="E5" s="612">
        <f>vlookup(A5,'KY Data'!$A$3:$M$124,4,FALSE)</f>
        <v>25</v>
      </c>
      <c r="F5" s="612">
        <f>vlookup(A5,'KY Data'!$A$3:$M$124,3,FALSE)</f>
        <v>1</v>
      </c>
      <c r="G5" s="612" t="s">
        <v>63</v>
      </c>
      <c r="H5" s="671" t="s">
        <v>63</v>
      </c>
      <c r="I5" s="614">
        <f>vlookup(A5,'KY Data'!$A$3:$N$124,14,FALSE)</f>
        <v>27</v>
      </c>
      <c r="J5" s="615" t="s">
        <v>63</v>
      </c>
      <c r="K5" s="672" t="s">
        <v>63</v>
      </c>
      <c r="L5" s="826" t="s">
        <v>63</v>
      </c>
      <c r="M5" s="614" t="s">
        <v>63</v>
      </c>
      <c r="N5" s="614" t="s">
        <v>63</v>
      </c>
      <c r="O5" s="614" t="s">
        <v>63</v>
      </c>
      <c r="P5" s="620">
        <f>ifna(vlookup(A5,'Population &amp; Church Numbers'!$A$996:$D$1115,4,FALSE),"NULL")</f>
        <v>37</v>
      </c>
      <c r="Q5" s="674" t="s">
        <v>63</v>
      </c>
    </row>
    <row r="6">
      <c r="A6" s="609" t="s">
        <v>1024</v>
      </c>
      <c r="B6" s="610">
        <f t="array" ref="B6">VLOOKUP($A6,KY_DEMO,2,FALSE)</f>
        <v>7728</v>
      </c>
      <c r="C6" s="704">
        <f>vlookup(A6,'KY Data'!$A$3:$M$124,2,FALSE)</f>
        <v>27</v>
      </c>
      <c r="D6" s="612" t="s">
        <v>63</v>
      </c>
      <c r="E6" s="612">
        <f>vlookup(A6,'KY Data'!$A$3:$M$124,4,FALSE)</f>
        <v>12</v>
      </c>
      <c r="F6" s="612">
        <f>vlookup(A6,'KY Data'!$A$3:$M$124,3,FALSE)</f>
        <v>1</v>
      </c>
      <c r="G6" s="612" t="s">
        <v>63</v>
      </c>
      <c r="H6" s="671" t="s">
        <v>63</v>
      </c>
      <c r="I6" s="614">
        <f>vlookup(A6,'KY Data'!$A$3:$N$124,14,FALSE)</f>
        <v>7</v>
      </c>
      <c r="J6" s="615" t="s">
        <v>63</v>
      </c>
      <c r="K6" s="672" t="s">
        <v>63</v>
      </c>
      <c r="L6" s="826" t="s">
        <v>63</v>
      </c>
      <c r="M6" s="614" t="s">
        <v>63</v>
      </c>
      <c r="N6" s="614" t="s">
        <v>63</v>
      </c>
      <c r="O6" s="614" t="s">
        <v>63</v>
      </c>
      <c r="P6" s="620">
        <f>ifna(vlookup(A6,'Population &amp; Church Numbers'!$A$996:$D$1115,4,FALSE),"NULL")</f>
        <v>22</v>
      </c>
      <c r="Q6" s="674" t="s">
        <v>63</v>
      </c>
    </row>
    <row r="7">
      <c r="A7" s="609" t="s">
        <v>1025</v>
      </c>
      <c r="B7" s="610">
        <f t="array" ref="B7">VLOOKUP($A7,KY_DEMO,2,FALSE)</f>
        <v>44485</v>
      </c>
      <c r="C7" s="704">
        <f>vlookup(A7,'KY Data'!$A$3:$M$124,2,FALSE)</f>
        <v>130</v>
      </c>
      <c r="D7" s="612" t="s">
        <v>63</v>
      </c>
      <c r="E7" s="612">
        <f>vlookup(A7,'KY Data'!$A$3:$M$124,4,FALSE)</f>
        <v>44</v>
      </c>
      <c r="F7" s="612">
        <f>vlookup(A7,'KY Data'!$A$3:$M$124,3,FALSE)</f>
        <v>15</v>
      </c>
      <c r="G7" s="612" t="s">
        <v>63</v>
      </c>
      <c r="H7" s="671" t="s">
        <v>63</v>
      </c>
      <c r="I7" s="614">
        <f>vlookup(A7,'KY Data'!$A$3:$N$124,14,FALSE)</f>
        <v>11</v>
      </c>
      <c r="J7" s="615" t="s">
        <v>63</v>
      </c>
      <c r="K7" s="672" t="s">
        <v>63</v>
      </c>
      <c r="L7" s="826" t="s">
        <v>63</v>
      </c>
      <c r="M7" s="614" t="s">
        <v>63</v>
      </c>
      <c r="N7" s="614" t="s">
        <v>63</v>
      </c>
      <c r="O7" s="614" t="s">
        <v>63</v>
      </c>
      <c r="P7" s="620">
        <f>ifna(vlookup(A7,'Population &amp; Church Numbers'!$A$996:$D$1115,4,FALSE),"NULL")</f>
        <v>51</v>
      </c>
      <c r="Q7" s="674" t="s">
        <v>63</v>
      </c>
    </row>
    <row r="8">
      <c r="A8" s="609" t="s">
        <v>1026</v>
      </c>
      <c r="B8" s="610">
        <f t="array" ref="B8">VLOOKUP($A8,KY_DEMO,2,FALSE)</f>
        <v>12750</v>
      </c>
      <c r="C8" s="704">
        <f>vlookup(A8,'KY Data'!$A$3:$M$124,2,FALSE)</f>
        <v>22</v>
      </c>
      <c r="D8" s="612" t="s">
        <v>63</v>
      </c>
      <c r="E8" s="612">
        <f>vlookup(A8,'KY Data'!$A$3:$M$124,4,FALSE)</f>
        <v>8</v>
      </c>
      <c r="F8" s="612">
        <f>vlookup(A8,'KY Data'!$A$3:$M$124,3,FALSE)</f>
        <v>1</v>
      </c>
      <c r="G8" s="612" t="s">
        <v>63</v>
      </c>
      <c r="H8" s="671" t="s">
        <v>63</v>
      </c>
      <c r="I8" s="614">
        <f>vlookup(A8,'KY Data'!$A$3:$N$124,14,FALSE)</f>
        <v>7</v>
      </c>
      <c r="J8" s="615" t="s">
        <v>63</v>
      </c>
      <c r="K8" s="672" t="s">
        <v>63</v>
      </c>
      <c r="L8" s="826" t="s">
        <v>63</v>
      </c>
      <c r="M8" s="614" t="s">
        <v>63</v>
      </c>
      <c r="N8" s="614" t="s">
        <v>63</v>
      </c>
      <c r="O8" s="614" t="s">
        <v>63</v>
      </c>
      <c r="P8" s="620">
        <f>ifna(vlookup(A8,'Population &amp; Church Numbers'!$A$996:$D$1115,4,FALSE),"NULL")</f>
        <v>21</v>
      </c>
      <c r="Q8" s="674" t="s">
        <v>63</v>
      </c>
    </row>
    <row r="9">
      <c r="A9" s="609" t="s">
        <v>1027</v>
      </c>
      <c r="B9" s="610">
        <f t="array" ref="B9">VLOOKUP($A9,KY_DEMO,2,FALSE)</f>
        <v>24097</v>
      </c>
      <c r="C9" s="704">
        <f>vlookup(A9,'KY Data'!$A$3:$M$124,2,FALSE)</f>
        <v>15</v>
      </c>
      <c r="D9" s="612" t="s">
        <v>63</v>
      </c>
      <c r="E9" s="612">
        <f>vlookup(A9,'KY Data'!$A$3:$M$124,4,FALSE)</f>
        <v>3</v>
      </c>
      <c r="F9" s="612">
        <f>vlookup(A9,'KY Data'!$A$3:$M$124,3,FALSE)</f>
        <v>0</v>
      </c>
      <c r="G9" s="612" t="s">
        <v>63</v>
      </c>
      <c r="H9" s="671" t="s">
        <v>63</v>
      </c>
      <c r="I9" s="614">
        <f>vlookup(A9,'KY Data'!$A$3:$N$124,14,FALSE)</f>
        <v>4</v>
      </c>
      <c r="J9" s="615" t="s">
        <v>63</v>
      </c>
      <c r="K9" s="672" t="s">
        <v>63</v>
      </c>
      <c r="L9" s="826" t="s">
        <v>63</v>
      </c>
      <c r="M9" s="614" t="s">
        <v>63</v>
      </c>
      <c r="N9" s="614" t="s">
        <v>63</v>
      </c>
      <c r="O9" s="614" t="s">
        <v>63</v>
      </c>
      <c r="P9" s="620">
        <f>ifna(vlookup(A9,'Population &amp; Church Numbers'!$A$996:$D$1115,4,FALSE),"NULL")</f>
        <v>39</v>
      </c>
      <c r="Q9" s="674" t="s">
        <v>63</v>
      </c>
    </row>
    <row r="10">
      <c r="A10" s="609" t="s">
        <v>246</v>
      </c>
      <c r="B10" s="610">
        <f t="array" ref="B10">VLOOKUP($A10,KY_DEMO,2,FALSE)</f>
        <v>135968</v>
      </c>
      <c r="C10" s="704">
        <f>vlookup(A10,'KY Data'!$A$3:$M$124,2,FALSE)</f>
        <v>88</v>
      </c>
      <c r="D10" s="612" t="s">
        <v>63</v>
      </c>
      <c r="E10" s="612">
        <f>vlookup(A10,'KY Data'!$A$3:$M$124,4,FALSE)</f>
        <v>28</v>
      </c>
      <c r="F10" s="612">
        <f>vlookup(A10,'KY Data'!$A$3:$M$124,3,FALSE)</f>
        <v>5</v>
      </c>
      <c r="G10" s="612" t="s">
        <v>63</v>
      </c>
      <c r="H10" s="671" t="s">
        <v>63</v>
      </c>
      <c r="I10" s="614">
        <f>vlookup(A10,'KY Data'!$A$3:$N$124,14,FALSE)</f>
        <v>2</v>
      </c>
      <c r="J10" s="615" t="s">
        <v>63</v>
      </c>
      <c r="K10" s="672" t="s">
        <v>63</v>
      </c>
      <c r="L10" s="826" t="s">
        <v>63</v>
      </c>
      <c r="M10" s="614" t="s">
        <v>63</v>
      </c>
      <c r="N10" s="614" t="s">
        <v>63</v>
      </c>
      <c r="O10" s="614" t="s">
        <v>63</v>
      </c>
      <c r="P10" s="620">
        <f>ifna(vlookup(A10,'Population &amp; Church Numbers'!$A$996:$D$1115,4,FALSE),"NULL")</f>
        <v>63</v>
      </c>
      <c r="Q10" s="674" t="s">
        <v>63</v>
      </c>
    </row>
    <row r="11">
      <c r="A11" s="609" t="s">
        <v>959</v>
      </c>
      <c r="B11" s="610">
        <f t="array" ref="B11">VLOOKUP($A11,KY_DEMO,2,FALSE)</f>
        <v>20252</v>
      </c>
      <c r="C11" s="704">
        <f>vlookup(A11,'KY Data'!$A$3:$M$124,2,FALSE)</f>
        <v>22</v>
      </c>
      <c r="D11" s="612" t="s">
        <v>63</v>
      </c>
      <c r="E11" s="612">
        <f>vlookup(A11,'KY Data'!$A$3:$M$124,4,FALSE)</f>
        <v>4</v>
      </c>
      <c r="F11" s="612">
        <f>vlookup(A11,'KY Data'!$A$3:$M$124,3,FALSE)</f>
        <v>5</v>
      </c>
      <c r="G11" s="612" t="s">
        <v>63</v>
      </c>
      <c r="H11" s="671" t="s">
        <v>63</v>
      </c>
      <c r="I11" s="614">
        <f>vlookup(A11,'KY Data'!$A$3:$N$124,14,FALSE)</f>
        <v>3</v>
      </c>
      <c r="J11" s="615" t="s">
        <v>63</v>
      </c>
      <c r="K11" s="672" t="s">
        <v>63</v>
      </c>
      <c r="L11" s="826" t="s">
        <v>63</v>
      </c>
      <c r="M11" s="614" t="s">
        <v>63</v>
      </c>
      <c r="N11" s="614" t="s">
        <v>63</v>
      </c>
      <c r="O11" s="614" t="s">
        <v>63</v>
      </c>
      <c r="P11" s="620">
        <f>ifna(vlookup(A11,'Population &amp; Church Numbers'!$A$996:$D$1115,4,FALSE),"NULL")</f>
        <v>33</v>
      </c>
      <c r="Q11" s="674" t="s">
        <v>63</v>
      </c>
    </row>
    <row r="12">
      <c r="A12" s="609" t="s">
        <v>1028</v>
      </c>
      <c r="B12" s="610">
        <f t="array" ref="B12">VLOOKUP($A12,KY_DEMO,2,FALSE)</f>
        <v>48261</v>
      </c>
      <c r="C12" s="704">
        <f>vlookup(A12,'KY Data'!$A$3:$M$124,2,FALSE)</f>
        <v>169</v>
      </c>
      <c r="D12" s="612" t="s">
        <v>63</v>
      </c>
      <c r="E12" s="612">
        <f>vlookup(A12,'KY Data'!$A$3:$M$124,4,FALSE)</f>
        <v>49</v>
      </c>
      <c r="F12" s="612">
        <f>vlookup(A12,'KY Data'!$A$3:$M$124,3,FALSE)</f>
        <v>19</v>
      </c>
      <c r="G12" s="612" t="s">
        <v>63</v>
      </c>
      <c r="H12" s="671" t="s">
        <v>63</v>
      </c>
      <c r="I12" s="614">
        <f>vlookup(A12,'KY Data'!$A$3:$N$124,14,FALSE)</f>
        <v>61</v>
      </c>
      <c r="J12" s="615" t="s">
        <v>63</v>
      </c>
      <c r="K12" s="672" t="s">
        <v>63</v>
      </c>
      <c r="L12" s="826" t="s">
        <v>63</v>
      </c>
      <c r="M12" s="614" t="s">
        <v>63</v>
      </c>
      <c r="N12" s="614" t="s">
        <v>63</v>
      </c>
      <c r="O12" s="614" t="s">
        <v>63</v>
      </c>
      <c r="P12" s="620">
        <f>ifna(vlookup(A12,'Population &amp; Church Numbers'!$A$996:$D$1115,4,FALSE),"NULL")</f>
        <v>85</v>
      </c>
      <c r="Q12" s="674" t="s">
        <v>63</v>
      </c>
    </row>
    <row r="13">
      <c r="A13" s="609" t="s">
        <v>1029</v>
      </c>
      <c r="B13" s="610">
        <f t="array" ref="B13">VLOOKUP($A13,KY_DEMO,2,FALSE)</f>
        <v>30614</v>
      </c>
      <c r="C13" s="704">
        <f>vlookup(A13,'KY Data'!$A$3:$M$124,2,FALSE)</f>
        <v>48</v>
      </c>
      <c r="D13" s="612" t="s">
        <v>63</v>
      </c>
      <c r="E13" s="612">
        <f>vlookup(A13,'KY Data'!$A$3:$M$124,4,FALSE)</f>
        <v>15</v>
      </c>
      <c r="F13" s="612">
        <f>vlookup(A13,'KY Data'!$A$3:$M$124,3,FALSE)</f>
        <v>15</v>
      </c>
      <c r="G13" s="612" t="s">
        <v>63</v>
      </c>
      <c r="H13" s="671" t="s">
        <v>63</v>
      </c>
      <c r="I13" s="614">
        <f>vlookup(A13,'KY Data'!$A$3:$N$124,14,FALSE)</f>
        <v>13</v>
      </c>
      <c r="J13" s="615" t="s">
        <v>63</v>
      </c>
      <c r="K13" s="672" t="s">
        <v>63</v>
      </c>
      <c r="L13" s="826" t="s">
        <v>63</v>
      </c>
      <c r="M13" s="614" t="s">
        <v>63</v>
      </c>
      <c r="N13" s="614" t="s">
        <v>63</v>
      </c>
      <c r="O13" s="614" t="s">
        <v>63</v>
      </c>
      <c r="P13" s="620">
        <f>ifna(vlookup(A13,'Population &amp; Church Numbers'!$A$996:$D$1115,4,FALSE),"NULL")</f>
        <v>55</v>
      </c>
      <c r="Q13" s="674" t="s">
        <v>63</v>
      </c>
    </row>
    <row r="14">
      <c r="A14" s="609" t="s">
        <v>1030</v>
      </c>
      <c r="B14" s="610">
        <f t="array" ref="B14">VLOOKUP($A14,KY_DEMO,2,FALSE)</f>
        <v>8400</v>
      </c>
      <c r="C14" s="704">
        <f>vlookup(A14,'KY Data'!$A$3:$M$124,2,FALSE)</f>
        <v>32</v>
      </c>
      <c r="D14" s="612" t="s">
        <v>63</v>
      </c>
      <c r="E14" s="612">
        <f>vlookup(A14,'KY Data'!$A$3:$M$124,4,FALSE)</f>
        <v>10</v>
      </c>
      <c r="F14" s="612">
        <f>vlookup(A14,'KY Data'!$A$3:$M$124,3,FALSE)</f>
        <v>3</v>
      </c>
      <c r="G14" s="612" t="s">
        <v>63</v>
      </c>
      <c r="H14" s="671" t="s">
        <v>63</v>
      </c>
      <c r="I14" s="614">
        <f>vlookup(A14,'KY Data'!$A$3:$N$124,14,FALSE)</f>
        <v>14</v>
      </c>
      <c r="J14" s="615" t="s">
        <v>63</v>
      </c>
      <c r="K14" s="672" t="s">
        <v>63</v>
      </c>
      <c r="L14" s="826" t="s">
        <v>63</v>
      </c>
      <c r="M14" s="614" t="s">
        <v>63</v>
      </c>
      <c r="N14" s="614" t="s">
        <v>63</v>
      </c>
      <c r="O14" s="614" t="s">
        <v>63</v>
      </c>
      <c r="P14" s="620">
        <f>ifna(vlookup(A14,'Population &amp; Church Numbers'!$A$996:$D$1115,4,FALSE),"NULL")</f>
        <v>24</v>
      </c>
      <c r="Q14" s="674" t="s">
        <v>63</v>
      </c>
    </row>
    <row r="15">
      <c r="A15" s="609" t="s">
        <v>1031</v>
      </c>
      <c r="B15" s="610">
        <f t="array" ref="B15">VLOOKUP($A15,KY_DEMO,2,FALSE)</f>
        <v>13718</v>
      </c>
      <c r="C15" s="704">
        <f>vlookup(A15,'KY Data'!$A$3:$M$124,2,FALSE)</f>
        <v>62</v>
      </c>
      <c r="D15" s="612" t="s">
        <v>63</v>
      </c>
      <c r="E15" s="612">
        <f>vlookup(A15,'KY Data'!$A$3:$M$124,4,FALSE)</f>
        <v>16</v>
      </c>
      <c r="F15" s="612">
        <f>vlookup(A15,'KY Data'!$A$3:$M$124,3,FALSE)</f>
        <v>8</v>
      </c>
      <c r="G15" s="612" t="s">
        <v>63</v>
      </c>
      <c r="H15" s="671" t="s">
        <v>63</v>
      </c>
      <c r="I15" s="614">
        <f>vlookup(A15,'KY Data'!$A$3:$N$124,14,FALSE)</f>
        <v>25</v>
      </c>
      <c r="J15" s="615" t="s">
        <v>63</v>
      </c>
      <c r="K15" s="672" t="s">
        <v>63</v>
      </c>
      <c r="L15" s="826" t="s">
        <v>63</v>
      </c>
      <c r="M15" s="614" t="s">
        <v>63</v>
      </c>
      <c r="N15" s="614" t="s">
        <v>63</v>
      </c>
      <c r="O15" s="614" t="s">
        <v>63</v>
      </c>
      <c r="P15" s="620">
        <f>ifna(vlookup(A15,'Population &amp; Church Numbers'!$A$996:$D$1115,4,FALSE),"NULL")</f>
        <v>17</v>
      </c>
      <c r="Q15" s="674" t="s">
        <v>63</v>
      </c>
    </row>
    <row r="16">
      <c r="A16" s="609" t="s">
        <v>1032</v>
      </c>
      <c r="B16" s="610">
        <f t="array" ref="B16">VLOOKUP($A16,KY_DEMO,2,FALSE)</f>
        <v>20432</v>
      </c>
      <c r="C16" s="704">
        <f>vlookup(A16,'KY Data'!$A$3:$M$124,2,FALSE)</f>
        <v>74</v>
      </c>
      <c r="D16" s="612" t="s">
        <v>63</v>
      </c>
      <c r="E16" s="612">
        <f>vlookup(A16,'KY Data'!$A$3:$M$124,4,FALSE)</f>
        <v>18</v>
      </c>
      <c r="F16" s="612">
        <f>vlookup(A16,'KY Data'!$A$3:$M$124,3,FALSE)</f>
        <v>3</v>
      </c>
      <c r="G16" s="612" t="s">
        <v>63</v>
      </c>
      <c r="H16" s="671" t="s">
        <v>63</v>
      </c>
      <c r="I16" s="614">
        <f>vlookup(A16,'KY Data'!$A$3:$N$124,14,FALSE)</f>
        <v>40</v>
      </c>
      <c r="J16" s="615" t="s">
        <v>63</v>
      </c>
      <c r="K16" s="672" t="s">
        <v>63</v>
      </c>
      <c r="L16" s="826" t="s">
        <v>63</v>
      </c>
      <c r="M16" s="614" t="s">
        <v>63</v>
      </c>
      <c r="N16" s="614" t="s">
        <v>63</v>
      </c>
      <c r="O16" s="614" t="s">
        <v>63</v>
      </c>
      <c r="P16" s="620">
        <f>ifna(vlookup(A16,'Population &amp; Church Numbers'!$A$996:$D$1115,4,FALSE),"NULL")</f>
        <v>30</v>
      </c>
      <c r="Q16" s="674" t="s">
        <v>63</v>
      </c>
    </row>
    <row r="17">
      <c r="A17" s="609" t="s">
        <v>1033</v>
      </c>
      <c r="B17" s="610">
        <f t="array" ref="B17">VLOOKUP($A17,KY_DEMO,2,FALSE)</f>
        <v>82217</v>
      </c>
      <c r="C17" s="704">
        <f>vlookup(A17,'KY Data'!$A$3:$M$124,2,FALSE)</f>
        <v>206</v>
      </c>
      <c r="D17" s="612" t="s">
        <v>63</v>
      </c>
      <c r="E17" s="612">
        <f>vlookup(A17,'KY Data'!$A$3:$M$124,4,FALSE)</f>
        <v>67</v>
      </c>
      <c r="F17" s="612">
        <f>vlookup(A17,'KY Data'!$A$3:$M$124,3,FALSE)</f>
        <v>21</v>
      </c>
      <c r="G17" s="612" t="s">
        <v>63</v>
      </c>
      <c r="H17" s="671" t="s">
        <v>63</v>
      </c>
      <c r="I17" s="614">
        <f>vlookup(A17,'KY Data'!$A$3:$N$124,14,FALSE)</f>
        <v>109</v>
      </c>
      <c r="J17" s="615" t="s">
        <v>63</v>
      </c>
      <c r="K17" s="672" t="s">
        <v>63</v>
      </c>
      <c r="L17" s="826" t="s">
        <v>63</v>
      </c>
      <c r="M17" s="614" t="s">
        <v>63</v>
      </c>
      <c r="N17" s="614" t="s">
        <v>63</v>
      </c>
      <c r="O17" s="614" t="s">
        <v>63</v>
      </c>
      <c r="P17" s="620">
        <f>ifna(vlookup(A17,'Population &amp; Church Numbers'!$A$996:$D$1115,4,FALSE),"NULL")</f>
        <v>73</v>
      </c>
      <c r="Q17" s="674" t="s">
        <v>63</v>
      </c>
    </row>
    <row r="18">
      <c r="A18" s="609" t="s">
        <v>87</v>
      </c>
      <c r="B18" s="610">
        <f t="array" ref="B18">VLOOKUP($A18,KY_DEMO,2,FALSE)</f>
        <v>12371</v>
      </c>
      <c r="C18" s="704">
        <f>vlookup(A18,'KY Data'!$A$3:$M$124,2,FALSE)</f>
        <v>49</v>
      </c>
      <c r="D18" s="612" t="s">
        <v>63</v>
      </c>
      <c r="E18" s="612">
        <f>vlookup(A18,'KY Data'!$A$3:$M$124,4,FALSE)</f>
        <v>12</v>
      </c>
      <c r="F18" s="612">
        <f>vlookup(A18,'KY Data'!$A$3:$M$124,3,FALSE)</f>
        <v>15</v>
      </c>
      <c r="G18" s="612" t="s">
        <v>63</v>
      </c>
      <c r="H18" s="671" t="s">
        <v>63</v>
      </c>
      <c r="I18" s="614">
        <f>vlookup(A18,'KY Data'!$A$3:$N$124,14,FALSE)</f>
        <v>13</v>
      </c>
      <c r="J18" s="615" t="s">
        <v>63</v>
      </c>
      <c r="K18" s="672" t="s">
        <v>63</v>
      </c>
      <c r="L18" s="826" t="s">
        <v>63</v>
      </c>
      <c r="M18" s="614" t="s">
        <v>63</v>
      </c>
      <c r="N18" s="614" t="s">
        <v>63</v>
      </c>
      <c r="O18" s="614" t="s">
        <v>63</v>
      </c>
      <c r="P18" s="620">
        <f>ifna(vlookup(A18,'Population &amp; Church Numbers'!$A$996:$D$1115,4,FALSE),"NULL")</f>
        <v>21</v>
      </c>
      <c r="Q18" s="674" t="s">
        <v>63</v>
      </c>
    </row>
    <row r="19">
      <c r="A19" s="609" t="s">
        <v>1034</v>
      </c>
      <c r="B19" s="610">
        <f t="array" ref="B19">VLOOKUP($A19,KY_DEMO,2,FALSE)</f>
        <v>12649</v>
      </c>
      <c r="C19" s="704">
        <f>vlookup(A19,'KY Data'!$A$3:$M$124,2,FALSE)</f>
        <v>16</v>
      </c>
      <c r="D19" s="612" t="s">
        <v>63</v>
      </c>
      <c r="E19" s="612">
        <f>vlookup(A19,'KY Data'!$A$3:$M$124,4,FALSE)</f>
        <v>16</v>
      </c>
      <c r="F19" s="612">
        <f>vlookup(A19,'KY Data'!$A$3:$M$124,3,FALSE)</f>
        <v>0</v>
      </c>
      <c r="G19" s="612" t="s">
        <v>63</v>
      </c>
      <c r="H19" s="671" t="s">
        <v>63</v>
      </c>
      <c r="I19" s="614">
        <f>vlookup(A19,'KY Data'!$A$3:$N$124,14,FALSE)</f>
        <v>16</v>
      </c>
      <c r="J19" s="615" t="s">
        <v>63</v>
      </c>
      <c r="K19" s="672" t="s">
        <v>63</v>
      </c>
      <c r="L19" s="826" t="s">
        <v>63</v>
      </c>
      <c r="M19" s="614" t="s">
        <v>63</v>
      </c>
      <c r="N19" s="614" t="s">
        <v>63</v>
      </c>
      <c r="O19" s="614" t="s">
        <v>63</v>
      </c>
      <c r="P19" s="620">
        <f>ifna(vlookup(A19,'Population &amp; Church Numbers'!$A$996:$D$1115,4,FALSE),"NULL")</f>
        <v>19</v>
      </c>
      <c r="Q19" s="674" t="s">
        <v>63</v>
      </c>
    </row>
    <row r="20">
      <c r="A20" s="609" t="s">
        <v>1035</v>
      </c>
      <c r="B20" s="610">
        <f t="array" ref="B20">VLOOKUP($A20,KY_DEMO,2,FALSE)</f>
        <v>37103</v>
      </c>
      <c r="C20" s="704">
        <f>vlookup(A20,'KY Data'!$A$3:$M$124,2,FALSE)</f>
        <v>48</v>
      </c>
      <c r="D20" s="612" t="s">
        <v>63</v>
      </c>
      <c r="E20" s="612">
        <f>vlookup(A20,'KY Data'!$A$3:$M$124,4,FALSE)</f>
        <v>18</v>
      </c>
      <c r="F20" s="612">
        <f>vlookup(A20,'KY Data'!$A$3:$M$124,3,FALSE)</f>
        <v>15</v>
      </c>
      <c r="G20" s="612" t="s">
        <v>63</v>
      </c>
      <c r="H20" s="671" t="s">
        <v>63</v>
      </c>
      <c r="I20" s="614">
        <f>vlookup(A20,'KY Data'!$A$3:$N$124,14,FALSE)</f>
        <v>15</v>
      </c>
      <c r="J20" s="615" t="s">
        <v>63</v>
      </c>
      <c r="K20" s="672" t="s">
        <v>63</v>
      </c>
      <c r="L20" s="826" t="s">
        <v>63</v>
      </c>
      <c r="M20" s="614" t="s">
        <v>63</v>
      </c>
      <c r="N20" s="614" t="s">
        <v>63</v>
      </c>
      <c r="O20" s="614" t="s">
        <v>63</v>
      </c>
      <c r="P20" s="620">
        <f>ifna(vlookup(A20,'Population &amp; Church Numbers'!$A$996:$D$1115,4,FALSE),"NULL")</f>
        <v>46</v>
      </c>
      <c r="Q20" s="674" t="s">
        <v>63</v>
      </c>
    </row>
    <row r="21">
      <c r="A21" s="609" t="s">
        <v>1036</v>
      </c>
      <c r="B21" s="610">
        <f t="array" ref="B21">VLOOKUP($A21,KY_DEMO,2,FALSE)</f>
        <v>93076</v>
      </c>
      <c r="C21" s="704">
        <f>vlookup(A21,'KY Data'!$A$3:$M$124,2,FALSE)</f>
        <v>153</v>
      </c>
      <c r="D21" s="612" t="s">
        <v>63</v>
      </c>
      <c r="E21" s="612">
        <f>vlookup(A21,'KY Data'!$A$3:$M$124,4,FALSE)</f>
        <v>36</v>
      </c>
      <c r="F21" s="612">
        <f>vlookup(A21,'KY Data'!$A$3:$M$124,3,FALSE)</f>
        <v>30</v>
      </c>
      <c r="G21" s="612" t="s">
        <v>63</v>
      </c>
      <c r="H21" s="671" t="s">
        <v>63</v>
      </c>
      <c r="I21" s="614">
        <f>vlookup(A21,'KY Data'!$A$3:$N$124,14,FALSE)</f>
        <v>15</v>
      </c>
      <c r="J21" s="615" t="s">
        <v>63</v>
      </c>
      <c r="K21" s="672" t="s">
        <v>63</v>
      </c>
      <c r="L21" s="826" t="s">
        <v>63</v>
      </c>
      <c r="M21" s="614" t="s">
        <v>63</v>
      </c>
      <c r="N21" s="614" t="s">
        <v>63</v>
      </c>
      <c r="O21" s="614" t="s">
        <v>63</v>
      </c>
      <c r="P21" s="620">
        <f>ifna(vlookup(A21,'Population &amp; Church Numbers'!$A$996:$D$1115,4,FALSE),"NULL")</f>
        <v>80</v>
      </c>
      <c r="Q21" s="674" t="s">
        <v>63</v>
      </c>
    </row>
    <row r="22">
      <c r="A22" s="609" t="s">
        <v>1037</v>
      </c>
      <c r="B22" s="610">
        <f t="array" ref="B22">VLOOKUP($A22,KY_DEMO,2,FALSE)</f>
        <v>4826</v>
      </c>
      <c r="C22" s="704">
        <f>vlookup(A22,'KY Data'!$A$3:$M$124,2,FALSE)</f>
        <v>32</v>
      </c>
      <c r="D22" s="612" t="s">
        <v>63</v>
      </c>
      <c r="E22" s="612">
        <f>vlookup(A22,'KY Data'!$A$3:$M$124,4,FALSE)</f>
        <v>6</v>
      </c>
      <c r="F22" s="612">
        <f>vlookup(A22,'KY Data'!$A$3:$M$124,3,FALSE)</f>
        <v>6</v>
      </c>
      <c r="G22" s="612" t="s">
        <v>63</v>
      </c>
      <c r="H22" s="671" t="s">
        <v>63</v>
      </c>
      <c r="I22" s="614">
        <f>vlookup(A22,'KY Data'!$A$3:$N$124,14,FALSE)</f>
        <v>7</v>
      </c>
      <c r="J22" s="615" t="s">
        <v>63</v>
      </c>
      <c r="K22" s="672" t="s">
        <v>63</v>
      </c>
      <c r="L22" s="826" t="s">
        <v>63</v>
      </c>
      <c r="M22" s="614" t="s">
        <v>63</v>
      </c>
      <c r="N22" s="614" t="s">
        <v>63</v>
      </c>
      <c r="O22" s="614" t="s">
        <v>63</v>
      </c>
      <c r="P22" s="620">
        <f>ifna(vlookup(A22,'Population &amp; Church Numbers'!$A$996:$D$1115,4,FALSE),"NULL")</f>
        <v>12</v>
      </c>
      <c r="Q22" s="674" t="s">
        <v>63</v>
      </c>
    </row>
    <row r="23">
      <c r="A23" s="609" t="s">
        <v>248</v>
      </c>
      <c r="B23" s="610">
        <f t="array" ref="B23">VLOOKUP($A23,KY_DEMO,2,FALSE)</f>
        <v>10810</v>
      </c>
      <c r="C23" s="704">
        <f>vlookup(A23,'KY Data'!$A$3:$M$124,2,FALSE)</f>
        <v>24</v>
      </c>
      <c r="D23" s="612" t="s">
        <v>63</v>
      </c>
      <c r="E23" s="612">
        <f>vlookup(A23,'KY Data'!$A$3:$M$124,4,FALSE)</f>
        <v>1</v>
      </c>
      <c r="F23" s="612">
        <f>vlookup(A23,'KY Data'!$A$3:$M$124,3,FALSE)</f>
        <v>9</v>
      </c>
      <c r="G23" s="612" t="s">
        <v>63</v>
      </c>
      <c r="H23" s="671" t="s">
        <v>63</v>
      </c>
      <c r="I23" s="614">
        <f>vlookup(A23,'KY Data'!$A$3:$N$124,14,FALSE)</f>
        <v>2</v>
      </c>
      <c r="J23" s="615" t="s">
        <v>63</v>
      </c>
      <c r="K23" s="672" t="s">
        <v>63</v>
      </c>
      <c r="L23" s="826" t="s">
        <v>63</v>
      </c>
      <c r="M23" s="614" t="s">
        <v>63</v>
      </c>
      <c r="N23" s="614" t="s">
        <v>63</v>
      </c>
      <c r="O23" s="614" t="s">
        <v>63</v>
      </c>
      <c r="P23" s="620">
        <f>ifna(vlookup(A23,'Population &amp; Church Numbers'!$A$996:$D$1115,4,FALSE),"NULL")</f>
        <v>18</v>
      </c>
      <c r="Q23" s="674" t="s">
        <v>63</v>
      </c>
    </row>
    <row r="24">
      <c r="A24" s="609" t="s">
        <v>1038</v>
      </c>
      <c r="B24" s="610">
        <f t="array" ref="B24">VLOOKUP($A24,KY_DEMO,2,FALSE)</f>
        <v>26627</v>
      </c>
      <c r="C24" s="704">
        <f>vlookup(A24,'KY Data'!$A$3:$M$124,2,FALSE)</f>
        <v>52</v>
      </c>
      <c r="D24" s="612" t="s">
        <v>63</v>
      </c>
      <c r="E24" s="612">
        <f>vlookup(A24,'KY Data'!$A$3:$M$124,4,FALSE)</f>
        <v>4</v>
      </c>
      <c r="F24" s="612">
        <f>vlookup(A24,'KY Data'!$A$3:$M$124,3,FALSE)</f>
        <v>9</v>
      </c>
      <c r="G24" s="612" t="s">
        <v>63</v>
      </c>
      <c r="H24" s="671" t="s">
        <v>63</v>
      </c>
      <c r="I24" s="614">
        <f>vlookup(A24,'KY Data'!$A$3:$N$124,14,FALSE)</f>
        <v>11</v>
      </c>
      <c r="J24" s="615" t="s">
        <v>63</v>
      </c>
      <c r="K24" s="672" t="s">
        <v>63</v>
      </c>
      <c r="L24" s="826" t="s">
        <v>63</v>
      </c>
      <c r="M24" s="614" t="s">
        <v>63</v>
      </c>
      <c r="N24" s="614" t="s">
        <v>63</v>
      </c>
      <c r="O24" s="614" t="s">
        <v>63</v>
      </c>
      <c r="P24" s="620">
        <f>ifna(vlookup(A24,'Population &amp; Church Numbers'!$A$996:$D$1115,4,FALSE),"NULL")</f>
        <v>31</v>
      </c>
      <c r="Q24" s="674" t="s">
        <v>63</v>
      </c>
    </row>
    <row r="25">
      <c r="A25" s="609" t="s">
        <v>1039</v>
      </c>
      <c r="B25" s="610">
        <f t="array" ref="B25">VLOOKUP($A25,KY_DEMO,2,FALSE)</f>
        <v>15941</v>
      </c>
      <c r="C25" s="704">
        <f>vlookup(A25,'KY Data'!$A$3:$M$124,2,FALSE)</f>
        <v>16</v>
      </c>
      <c r="D25" s="612" t="s">
        <v>63</v>
      </c>
      <c r="E25" s="612">
        <f>vlookup(A25,'KY Data'!$A$3:$M$124,4,FALSE)</f>
        <v>2</v>
      </c>
      <c r="F25" s="612">
        <f>vlookup(A25,'KY Data'!$A$3:$M$124,3,FALSE)</f>
        <v>0</v>
      </c>
      <c r="G25" s="612" t="s">
        <v>63</v>
      </c>
      <c r="H25" s="671" t="s">
        <v>63</v>
      </c>
      <c r="I25" s="614">
        <f>vlookup(A25,'KY Data'!$A$3:$N$124,14,FALSE)</f>
        <v>1</v>
      </c>
      <c r="J25" s="615" t="s">
        <v>63</v>
      </c>
      <c r="K25" s="672" t="s">
        <v>63</v>
      </c>
      <c r="L25" s="826" t="s">
        <v>63</v>
      </c>
      <c r="M25" s="614" t="s">
        <v>63</v>
      </c>
      <c r="N25" s="614" t="s">
        <v>63</v>
      </c>
      <c r="O25" s="614" t="s">
        <v>63</v>
      </c>
      <c r="P25" s="620">
        <f>ifna(vlookup(A25,'Population &amp; Church Numbers'!$A$996:$D$1115,4,FALSE),"NULL")</f>
        <v>23</v>
      </c>
      <c r="Q25" s="674" t="s">
        <v>63</v>
      </c>
    </row>
    <row r="26">
      <c r="A26" s="609" t="s">
        <v>710</v>
      </c>
      <c r="B26" s="610">
        <f t="array" ref="B26">VLOOKUP($A26,KY_DEMO,2,FALSE)</f>
        <v>72748</v>
      </c>
      <c r="C26" s="704">
        <f>vlookup(A26,'KY Data'!$A$3:$M$124,2,FALSE)</f>
        <v>94</v>
      </c>
      <c r="D26" s="612" t="s">
        <v>63</v>
      </c>
      <c r="E26" s="612">
        <f>vlookup(A26,'KY Data'!$A$3:$M$124,4,FALSE)</f>
        <v>29</v>
      </c>
      <c r="F26" s="612">
        <f>vlookup(A26,'KY Data'!$A$3:$M$124,3,FALSE)</f>
        <v>21</v>
      </c>
      <c r="G26" s="612" t="s">
        <v>63</v>
      </c>
      <c r="H26" s="671" t="s">
        <v>63</v>
      </c>
      <c r="I26" s="614">
        <f>vlookup(A26,'KY Data'!$A$3:$N$124,14,FALSE)</f>
        <v>30</v>
      </c>
      <c r="J26" s="615" t="s">
        <v>63</v>
      </c>
      <c r="K26" s="672" t="s">
        <v>63</v>
      </c>
      <c r="L26" s="826" t="s">
        <v>63</v>
      </c>
      <c r="M26" s="614" t="s">
        <v>63</v>
      </c>
      <c r="N26" s="614" t="s">
        <v>63</v>
      </c>
      <c r="O26" s="614" t="s">
        <v>63</v>
      </c>
      <c r="P26" s="620">
        <f>ifna(vlookup(A26,'Population &amp; Church Numbers'!$A$996:$D$1115,4,FALSE),"NULL")</f>
        <v>100</v>
      </c>
      <c r="Q26" s="674" t="s">
        <v>63</v>
      </c>
    </row>
    <row r="27">
      <c r="A27" s="609" t="s">
        <v>253</v>
      </c>
      <c r="B27" s="610">
        <f t="array" ref="B27">VLOOKUP($A27,KY_DEMO,2,FALSE)</f>
        <v>36972</v>
      </c>
      <c r="C27" s="704">
        <f>vlookup(A27,'KY Data'!$A$3:$M$124,2,FALSE)</f>
        <v>110</v>
      </c>
      <c r="D27" s="612" t="s">
        <v>63</v>
      </c>
      <c r="E27" s="612">
        <f>vlookup(A27,'KY Data'!$A$3:$M$124,4,FALSE)</f>
        <v>31</v>
      </c>
      <c r="F27" s="612">
        <f>vlookup(A27,'KY Data'!$A$3:$M$124,3,FALSE)</f>
        <v>19</v>
      </c>
      <c r="G27" s="612" t="s">
        <v>63</v>
      </c>
      <c r="H27" s="671" t="s">
        <v>63</v>
      </c>
      <c r="I27" s="614">
        <f>vlookup(A27,'KY Data'!$A$3:$N$124,14,FALSE)</f>
        <v>37</v>
      </c>
      <c r="J27" s="615" t="s">
        <v>63</v>
      </c>
      <c r="K27" s="672" t="s">
        <v>63</v>
      </c>
      <c r="L27" s="826" t="s">
        <v>63</v>
      </c>
      <c r="M27" s="614" t="s">
        <v>63</v>
      </c>
      <c r="N27" s="614" t="s">
        <v>63</v>
      </c>
      <c r="O27" s="614" t="s">
        <v>63</v>
      </c>
      <c r="P27" s="620">
        <f>ifna(vlookup(A27,'Population &amp; Church Numbers'!$A$996:$D$1115,4,FALSE),"NULL")</f>
        <v>54</v>
      </c>
      <c r="Q27" s="674" t="s">
        <v>63</v>
      </c>
    </row>
    <row r="28">
      <c r="A28" s="609" t="s">
        <v>112</v>
      </c>
      <c r="B28" s="610">
        <f t="array" ref="B28">VLOOKUP($A28,KY_DEMO,2,FALSE)</f>
        <v>20345</v>
      </c>
      <c r="C28" s="704">
        <f>vlookup(A28,'KY Data'!$A$3:$M$124,2,FALSE)</f>
        <v>49</v>
      </c>
      <c r="D28" s="612" t="s">
        <v>63</v>
      </c>
      <c r="E28" s="612">
        <f>vlookup(A28,'KY Data'!$A$3:$M$124,4,FALSE)</f>
        <v>24</v>
      </c>
      <c r="F28" s="612">
        <f>vlookup(A28,'KY Data'!$A$3:$M$124,3,FALSE)</f>
        <v>1</v>
      </c>
      <c r="G28" s="612" t="s">
        <v>63</v>
      </c>
      <c r="H28" s="671" t="s">
        <v>63</v>
      </c>
      <c r="I28" s="614">
        <f>vlookup(A28,'KY Data'!$A$3:$N$124,14,FALSE)</f>
        <v>25</v>
      </c>
      <c r="J28" s="615" t="s">
        <v>63</v>
      </c>
      <c r="K28" s="672" t="s">
        <v>63</v>
      </c>
      <c r="L28" s="826" t="s">
        <v>63</v>
      </c>
      <c r="M28" s="614" t="s">
        <v>63</v>
      </c>
      <c r="N28" s="614" t="s">
        <v>63</v>
      </c>
      <c r="O28" s="614" t="s">
        <v>63</v>
      </c>
      <c r="P28" s="620">
        <f>ifna(vlookup(A28,'Population &amp; Church Numbers'!$A$996:$D$1115,4,FALSE),"NULL")</f>
        <v>33</v>
      </c>
      <c r="Q28" s="674" t="s">
        <v>63</v>
      </c>
    </row>
    <row r="29">
      <c r="A29" s="609" t="s">
        <v>711</v>
      </c>
      <c r="B29" s="610">
        <f t="array" ref="B29">VLOOKUP($A29,KY_DEMO,2,FALSE)</f>
        <v>9253</v>
      </c>
      <c r="C29" s="704">
        <f>vlookup(A29,'KY Data'!$A$3:$M$124,2,FALSE)</f>
        <v>24</v>
      </c>
      <c r="D29" s="612" t="s">
        <v>63</v>
      </c>
      <c r="E29" s="612">
        <f>vlookup(A29,'KY Data'!$A$3:$M$124,4,FALSE)</f>
        <v>10</v>
      </c>
      <c r="F29" s="612">
        <f>vlookup(A29,'KY Data'!$A$3:$M$124,3,FALSE)</f>
        <v>6</v>
      </c>
      <c r="G29" s="612" t="s">
        <v>63</v>
      </c>
      <c r="H29" s="671" t="s">
        <v>63</v>
      </c>
      <c r="I29" s="614">
        <f>vlookup(A29,'KY Data'!$A$3:$N$124,14,FALSE)</f>
        <v>7</v>
      </c>
      <c r="J29" s="615" t="s">
        <v>63</v>
      </c>
      <c r="K29" s="672" t="s">
        <v>63</v>
      </c>
      <c r="L29" s="826" t="s">
        <v>63</v>
      </c>
      <c r="M29" s="614" t="s">
        <v>63</v>
      </c>
      <c r="N29" s="614" t="s">
        <v>63</v>
      </c>
      <c r="O29" s="614" t="s">
        <v>63</v>
      </c>
      <c r="P29" s="620">
        <f>ifna(vlookup(A29,'Population &amp; Church Numbers'!$A$996:$D$1115,4,FALSE),"NULL")</f>
        <v>11</v>
      </c>
      <c r="Q29" s="674" t="s">
        <v>63</v>
      </c>
    </row>
    <row r="30">
      <c r="A30" s="609" t="s">
        <v>264</v>
      </c>
      <c r="B30" s="610">
        <f t="array" ref="B30">VLOOKUP($A30,KY_DEMO,2,FALSE)</f>
        <v>8990</v>
      </c>
      <c r="C30" s="704">
        <f>vlookup(A30,'KY Data'!$A$3:$M$124,2,FALSE)</f>
        <v>27</v>
      </c>
      <c r="D30" s="612" t="s">
        <v>63</v>
      </c>
      <c r="E30" s="612">
        <f>vlookup(A30,'KY Data'!$A$3:$M$124,4,FALSE)</f>
        <v>11</v>
      </c>
      <c r="F30" s="612">
        <f>vlookup(A30,'KY Data'!$A$3:$M$124,3,FALSE)</f>
        <v>5</v>
      </c>
      <c r="G30" s="612" t="s">
        <v>63</v>
      </c>
      <c r="H30" s="671" t="s">
        <v>63</v>
      </c>
      <c r="I30" s="614">
        <f>vlookup(A30,'KY Data'!$A$3:$N$124,14,FALSE)</f>
        <v>5</v>
      </c>
      <c r="J30" s="615" t="s">
        <v>63</v>
      </c>
      <c r="K30" s="672" t="s">
        <v>63</v>
      </c>
      <c r="L30" s="826" t="s">
        <v>63</v>
      </c>
      <c r="M30" s="614" t="s">
        <v>63</v>
      </c>
      <c r="N30" s="614" t="s">
        <v>63</v>
      </c>
      <c r="O30" s="614" t="s">
        <v>63</v>
      </c>
      <c r="P30" s="620">
        <f>ifna(vlookup(A30,'Population &amp; Church Numbers'!$A$996:$D$1115,4,FALSE),"NULL")</f>
        <v>15</v>
      </c>
      <c r="Q30" s="674" t="s">
        <v>63</v>
      </c>
    </row>
    <row r="31">
      <c r="A31" s="609" t="s">
        <v>713</v>
      </c>
      <c r="B31" s="610">
        <f t="array" ref="B31">VLOOKUP($A31,KY_DEMO,2,FALSE)</f>
        <v>5888</v>
      </c>
      <c r="C31" s="704">
        <f>vlookup(A31,'KY Data'!$A$3:$M$124,2,FALSE)</f>
        <v>7</v>
      </c>
      <c r="D31" s="612" t="s">
        <v>63</v>
      </c>
      <c r="E31" s="612">
        <f>vlookup(A31,'KY Data'!$A$3:$M$124,4,FALSE)</f>
        <v>5</v>
      </c>
      <c r="F31" s="612">
        <f>vlookup(A31,'KY Data'!$A$3:$M$124,3,FALSE)</f>
        <v>1</v>
      </c>
      <c r="G31" s="612" t="s">
        <v>63</v>
      </c>
      <c r="H31" s="671" t="s">
        <v>63</v>
      </c>
      <c r="I31" s="614">
        <f>vlookup(A31,'KY Data'!$A$3:$N$124,14,FALSE)</f>
        <v>2</v>
      </c>
      <c r="J31" s="615" t="s">
        <v>63</v>
      </c>
      <c r="K31" s="672" t="s">
        <v>63</v>
      </c>
      <c r="L31" s="826" t="s">
        <v>63</v>
      </c>
      <c r="M31" s="614" t="s">
        <v>63</v>
      </c>
      <c r="N31" s="614" t="s">
        <v>63</v>
      </c>
      <c r="O31" s="614" t="s">
        <v>63</v>
      </c>
      <c r="P31" s="620">
        <f>ifna(vlookup(A31,'Population &amp; Church Numbers'!$A$996:$D$1115,4,FALSE),"NULL")</f>
        <v>6</v>
      </c>
      <c r="Q31" s="674" t="s">
        <v>63</v>
      </c>
    </row>
    <row r="32">
      <c r="A32" s="609" t="s">
        <v>758</v>
      </c>
      <c r="B32" s="610">
        <f t="array" ref="B32">VLOOKUP($A32,KY_DEMO,2,FALSE)</f>
        <v>103312</v>
      </c>
      <c r="C32" s="704">
        <f>vlookup(A32,'KY Data'!$A$3:$M$124,2,FALSE)</f>
        <v>190</v>
      </c>
      <c r="D32" s="612" t="s">
        <v>63</v>
      </c>
      <c r="E32" s="612">
        <f>vlookup(A32,'KY Data'!$A$3:$M$124,4,FALSE)</f>
        <v>60</v>
      </c>
      <c r="F32" s="612">
        <f>vlookup(A32,'KY Data'!$A$3:$M$124,3,FALSE)</f>
        <v>21</v>
      </c>
      <c r="G32" s="612" t="s">
        <v>63</v>
      </c>
      <c r="H32" s="671" t="s">
        <v>63</v>
      </c>
      <c r="I32" s="614">
        <f>vlookup(A32,'KY Data'!$A$3:$N$124,14,FALSE)</f>
        <v>25</v>
      </c>
      <c r="J32" s="615" t="s">
        <v>63</v>
      </c>
      <c r="K32" s="672" t="s">
        <v>63</v>
      </c>
      <c r="L32" s="826" t="s">
        <v>63</v>
      </c>
      <c r="M32" s="614" t="s">
        <v>63</v>
      </c>
      <c r="N32" s="614" t="s">
        <v>63</v>
      </c>
      <c r="O32" s="614" t="s">
        <v>63</v>
      </c>
      <c r="P32" s="620">
        <f>ifna(vlookup(A32,'Population &amp; Church Numbers'!$A$996:$D$1115,4,FALSE),"NULL")</f>
        <v>106</v>
      </c>
      <c r="Q32" s="674" t="s">
        <v>63</v>
      </c>
    </row>
    <row r="33">
      <c r="A33" s="609" t="s">
        <v>1041</v>
      </c>
      <c r="B33" s="610">
        <f t="array" ref="B33">VLOOKUP($A33,KY_DEMO,2,FALSE)</f>
        <v>12126</v>
      </c>
      <c r="C33" s="704">
        <f>vlookup(A33,'KY Data'!$A$3:$M$124,2,FALSE)</f>
        <v>28</v>
      </c>
      <c r="D33" s="612" t="s">
        <v>63</v>
      </c>
      <c r="E33" s="612">
        <f>vlookup(A33,'KY Data'!$A$3:$M$124,4,FALSE)</f>
        <v>12</v>
      </c>
      <c r="F33" s="612">
        <f>vlookup(A33,'KY Data'!$A$3:$M$124,3,FALSE)</f>
        <v>2</v>
      </c>
      <c r="G33" s="612" t="s">
        <v>63</v>
      </c>
      <c r="H33" s="671" t="s">
        <v>63</v>
      </c>
      <c r="I33" s="614">
        <f>vlookup(A33,'KY Data'!$A$3:$N$124,14,FALSE)</f>
        <v>6</v>
      </c>
      <c r="J33" s="615" t="s">
        <v>63</v>
      </c>
      <c r="K33" s="672" t="s">
        <v>63</v>
      </c>
      <c r="L33" s="826" t="s">
        <v>63</v>
      </c>
      <c r="M33" s="614" t="s">
        <v>63</v>
      </c>
      <c r="N33" s="614" t="s">
        <v>63</v>
      </c>
      <c r="O33" s="614" t="s">
        <v>63</v>
      </c>
      <c r="P33" s="620">
        <f>ifna(vlookup(A33,'Population &amp; Church Numbers'!$A$996:$D$1115,4,FALSE),"NULL")</f>
        <v>2</v>
      </c>
      <c r="Q33" s="674" t="s">
        <v>63</v>
      </c>
    </row>
    <row r="34">
      <c r="A34" s="609" t="s">
        <v>1045</v>
      </c>
      <c r="B34" s="610">
        <f t="array" ref="B34">VLOOKUP($A34,KY_DEMO,2,FALSE)</f>
        <v>7354</v>
      </c>
      <c r="C34" s="704">
        <f>vlookup(A34,'KY Data'!$A$3:$M$124,2,FALSE)</f>
        <v>8</v>
      </c>
      <c r="D34" s="612" t="s">
        <v>63</v>
      </c>
      <c r="E34" s="612">
        <f>vlookup(A34,'KY Data'!$A$3:$M$124,4,FALSE)</f>
        <v>0</v>
      </c>
      <c r="F34" s="612">
        <f>vlookup(A34,'KY Data'!$A$3:$M$124,3,FALSE)</f>
        <v>2</v>
      </c>
      <c r="G34" s="612" t="s">
        <v>63</v>
      </c>
      <c r="H34" s="671" t="s">
        <v>63</v>
      </c>
      <c r="I34" s="614">
        <f>vlookup(A34,'KY Data'!$A$3:$N$124,14,FALSE)</f>
        <v>1</v>
      </c>
      <c r="J34" s="615" t="s">
        <v>63</v>
      </c>
      <c r="K34" s="672" t="s">
        <v>63</v>
      </c>
      <c r="L34" s="826" t="s">
        <v>63</v>
      </c>
      <c r="M34" s="614" t="s">
        <v>63</v>
      </c>
      <c r="N34" s="614" t="s">
        <v>63</v>
      </c>
      <c r="O34" s="614" t="s">
        <v>63</v>
      </c>
      <c r="P34" s="620">
        <f>ifna(vlookup(A34,'Population &amp; Church Numbers'!$A$996:$D$1115,4,FALSE),"NULL")</f>
        <v>5</v>
      </c>
      <c r="Q34" s="674" t="s">
        <v>63</v>
      </c>
    </row>
    <row r="35">
      <c r="A35" s="609" t="s">
        <v>1046</v>
      </c>
      <c r="B35" s="610">
        <f t="array" ref="B35">VLOOKUP($A35,KY_DEMO,2,FALSE)</f>
        <v>14163</v>
      </c>
      <c r="C35" s="704">
        <f>vlookup(A35,'KY Data'!$A$3:$M$124,2,FALSE)</f>
        <v>53</v>
      </c>
      <c r="D35" s="612" t="s">
        <v>63</v>
      </c>
      <c r="E35" s="612">
        <f>vlookup(A35,'KY Data'!$A$3:$M$124,4,FALSE)</f>
        <v>13</v>
      </c>
      <c r="F35" s="612">
        <f>vlookup(A35,'KY Data'!$A$3:$M$124,3,FALSE)</f>
        <v>7</v>
      </c>
      <c r="G35" s="612" t="s">
        <v>63</v>
      </c>
      <c r="H35" s="671" t="s">
        <v>63</v>
      </c>
      <c r="I35" s="614">
        <f>vlookup(A35,'KY Data'!$A$3:$N$124,14,FALSE)</f>
        <v>11</v>
      </c>
      <c r="J35" s="615" t="s">
        <v>63</v>
      </c>
      <c r="K35" s="672" t="s">
        <v>63</v>
      </c>
      <c r="L35" s="826" t="s">
        <v>63</v>
      </c>
      <c r="M35" s="614" t="s">
        <v>63</v>
      </c>
      <c r="N35" s="614" t="s">
        <v>63</v>
      </c>
      <c r="O35" s="614" t="s">
        <v>63</v>
      </c>
      <c r="P35" s="620">
        <f>ifna(vlookup(A35,'Population &amp; Church Numbers'!$A$996:$D$1115,4,FALSE),"NULL")</f>
        <v>21</v>
      </c>
      <c r="Q35" s="674" t="s">
        <v>63</v>
      </c>
    </row>
    <row r="36">
      <c r="A36" s="609" t="s">
        <v>135</v>
      </c>
      <c r="B36" s="610">
        <f t="array" ref="B36">VLOOKUP($A36,KY_DEMO,2,FALSE)</f>
        <v>322570</v>
      </c>
      <c r="C36" s="704">
        <f>vlookup(A36,'KY Data'!$A$3:$M$124,2,FALSE)</f>
        <v>577</v>
      </c>
      <c r="D36" s="612" t="s">
        <v>63</v>
      </c>
      <c r="E36" s="612">
        <f>vlookup(A36,'KY Data'!$A$3:$M$124,4,FALSE)</f>
        <v>187</v>
      </c>
      <c r="F36" s="612">
        <f>vlookup(A36,'KY Data'!$A$3:$M$124,3,FALSE)</f>
        <v>51</v>
      </c>
      <c r="G36" s="612" t="s">
        <v>63</v>
      </c>
      <c r="H36" s="671" t="s">
        <v>63</v>
      </c>
      <c r="I36" s="614">
        <f>vlookup(A36,'KY Data'!$A$3:$N$124,14,FALSE)</f>
        <v>208</v>
      </c>
      <c r="J36" s="615" t="s">
        <v>63</v>
      </c>
      <c r="K36" s="672" t="s">
        <v>63</v>
      </c>
      <c r="L36" s="826" t="s">
        <v>63</v>
      </c>
      <c r="M36" s="614" t="s">
        <v>63</v>
      </c>
      <c r="N36" s="614" t="s">
        <v>63</v>
      </c>
      <c r="O36" s="614" t="s">
        <v>63</v>
      </c>
      <c r="P36" s="620">
        <f>ifna(vlookup(A36,'Population &amp; Church Numbers'!$A$996:$D$1115,4,FALSE),"NULL")</f>
        <v>227</v>
      </c>
      <c r="Q36" s="674" t="s">
        <v>63</v>
      </c>
    </row>
    <row r="37">
      <c r="A37" s="609" t="s">
        <v>1049</v>
      </c>
      <c r="B37" s="610">
        <f t="array" ref="B37">VLOOKUP($A37,KY_DEMO,2,FALSE)</f>
        <v>15082</v>
      </c>
      <c r="C37" s="704">
        <f>vlookup(A37,'KY Data'!$A$3:$M$124,2,FALSE)</f>
        <v>12</v>
      </c>
      <c r="D37" s="612" t="s">
        <v>63</v>
      </c>
      <c r="E37" s="612">
        <f>vlookup(A37,'KY Data'!$A$3:$M$124,4,FALSE)</f>
        <v>4</v>
      </c>
      <c r="F37" s="612">
        <f>vlookup(A37,'KY Data'!$A$3:$M$124,3,FALSE)</f>
        <v>1</v>
      </c>
      <c r="G37" s="612" t="s">
        <v>63</v>
      </c>
      <c r="H37" s="671" t="s">
        <v>63</v>
      </c>
      <c r="I37" s="614">
        <f>vlookup(A37,'KY Data'!$A$3:$N$124,14,FALSE)</f>
        <v>7</v>
      </c>
      <c r="J37" s="615" t="s">
        <v>63</v>
      </c>
      <c r="K37" s="672" t="s">
        <v>63</v>
      </c>
      <c r="L37" s="826" t="s">
        <v>63</v>
      </c>
      <c r="M37" s="614" t="s">
        <v>63</v>
      </c>
      <c r="N37" s="614" t="s">
        <v>63</v>
      </c>
      <c r="O37" s="614" t="s">
        <v>63</v>
      </c>
      <c r="P37" s="620">
        <f>ifna(vlookup(A37,'Population &amp; Church Numbers'!$A$996:$D$1115,4,FALSE),"NULL")</f>
        <v>20</v>
      </c>
      <c r="Q37" s="674" t="s">
        <v>63</v>
      </c>
    </row>
    <row r="38">
      <c r="A38" s="609" t="s">
        <v>575</v>
      </c>
      <c r="B38" s="610">
        <f t="array" ref="B38">VLOOKUP($A38,KY_DEMO,2,FALSE)</f>
        <v>35942</v>
      </c>
      <c r="C38" s="704">
        <f>vlookup(A38,'KY Data'!$A$3:$M$124,2,FALSE)</f>
        <v>96</v>
      </c>
      <c r="D38" s="612" t="s">
        <v>63</v>
      </c>
      <c r="E38" s="612">
        <f>vlookup(A38,'KY Data'!$A$3:$M$124,4,FALSE)</f>
        <v>21</v>
      </c>
      <c r="F38" s="612">
        <f>vlookup(A38,'KY Data'!$A$3:$M$124,3,FALSE)</f>
        <v>2</v>
      </c>
      <c r="G38" s="612" t="s">
        <v>63</v>
      </c>
      <c r="H38" s="671" t="s">
        <v>63</v>
      </c>
      <c r="I38" s="614">
        <f>vlookup(A38,'KY Data'!$A$3:$N$124,14,FALSE)</f>
        <v>39</v>
      </c>
      <c r="J38" s="615" t="s">
        <v>63</v>
      </c>
      <c r="K38" s="672" t="s">
        <v>63</v>
      </c>
      <c r="L38" s="826" t="s">
        <v>63</v>
      </c>
      <c r="M38" s="614" t="s">
        <v>63</v>
      </c>
      <c r="N38" s="614" t="s">
        <v>63</v>
      </c>
      <c r="O38" s="614" t="s">
        <v>63</v>
      </c>
      <c r="P38" s="620">
        <f>ifna(vlookup(A38,'Population &amp; Church Numbers'!$A$996:$D$1115,4,FALSE),"NULL")</f>
        <v>46</v>
      </c>
      <c r="Q38" s="674" t="s">
        <v>63</v>
      </c>
    </row>
    <row r="39">
      <c r="A39" s="609" t="s">
        <v>136</v>
      </c>
      <c r="B39" s="610">
        <f t="array" ref="B39">VLOOKUP($A39,KY_DEMO,2,FALSE)</f>
        <v>51541</v>
      </c>
      <c r="C39" s="704">
        <f>vlookup(A39,'KY Data'!$A$3:$M$124,2,FALSE)</f>
        <v>119</v>
      </c>
      <c r="D39" s="612" t="s">
        <v>63</v>
      </c>
      <c r="E39" s="612">
        <f>vlookup(A39,'KY Data'!$A$3:$M$124,4,FALSE)</f>
        <v>43</v>
      </c>
      <c r="F39" s="612">
        <f>vlookup(A39,'KY Data'!$A$3:$M$124,3,FALSE)</f>
        <v>44</v>
      </c>
      <c r="G39" s="612" t="s">
        <v>63</v>
      </c>
      <c r="H39" s="671" t="s">
        <v>63</v>
      </c>
      <c r="I39" s="614">
        <f>vlookup(A39,'KY Data'!$A$3:$N$124,14,FALSE)</f>
        <v>15</v>
      </c>
      <c r="J39" s="615" t="s">
        <v>63</v>
      </c>
      <c r="K39" s="672" t="s">
        <v>63</v>
      </c>
      <c r="L39" s="826" t="s">
        <v>63</v>
      </c>
      <c r="M39" s="614" t="s">
        <v>63</v>
      </c>
      <c r="N39" s="614" t="s">
        <v>63</v>
      </c>
      <c r="O39" s="614" t="s">
        <v>63</v>
      </c>
      <c r="P39" s="620">
        <f>ifna(vlookup(A39,'Population &amp; Church Numbers'!$A$996:$D$1115,4,FALSE),"NULL")</f>
        <v>56</v>
      </c>
      <c r="Q39" s="674" t="s">
        <v>63</v>
      </c>
    </row>
    <row r="40">
      <c r="A40" s="609" t="s">
        <v>275</v>
      </c>
      <c r="B40" s="610">
        <f t="array" ref="B40">VLOOKUP($A40,KY_DEMO,2,FALSE)</f>
        <v>6515</v>
      </c>
      <c r="C40" s="704">
        <f>vlookup(A40,'KY Data'!$A$3:$M$124,2,FALSE)</f>
        <v>12</v>
      </c>
      <c r="D40" s="612" t="s">
        <v>63</v>
      </c>
      <c r="E40" s="612">
        <f>vlookup(A40,'KY Data'!$A$3:$M$124,4,FALSE)</f>
        <v>3</v>
      </c>
      <c r="F40" s="612">
        <f>vlookup(A40,'KY Data'!$A$3:$M$124,3,FALSE)</f>
        <v>4</v>
      </c>
      <c r="G40" s="612" t="s">
        <v>63</v>
      </c>
      <c r="H40" s="671" t="s">
        <v>63</v>
      </c>
      <c r="I40" s="614">
        <f>vlookup(A40,'KY Data'!$A$3:$N$124,14,FALSE)</f>
        <v>0</v>
      </c>
      <c r="J40" s="615" t="s">
        <v>63</v>
      </c>
      <c r="K40" s="672" t="s">
        <v>63</v>
      </c>
      <c r="L40" s="826" t="s">
        <v>63</v>
      </c>
      <c r="M40" s="614" t="s">
        <v>63</v>
      </c>
      <c r="N40" s="614" t="s">
        <v>63</v>
      </c>
      <c r="O40" s="614" t="s">
        <v>63</v>
      </c>
      <c r="P40" s="620">
        <f>ifna(vlookup(A40,'Population &amp; Church Numbers'!$A$996:$D$1115,4,FALSE),"NULL")</f>
        <v>17</v>
      </c>
      <c r="Q40" s="674" t="s">
        <v>63</v>
      </c>
    </row>
    <row r="41">
      <c r="A41" s="609" t="s">
        <v>719</v>
      </c>
      <c r="B41" s="610">
        <f t="array" ref="B41">VLOOKUP($A41,KY_DEMO,2,FALSE)</f>
        <v>8690</v>
      </c>
      <c r="C41" s="704">
        <f>vlookup(A41,'KY Data'!$A$3:$M$124,2,FALSE)</f>
        <v>5</v>
      </c>
      <c r="D41" s="612" t="s">
        <v>63</v>
      </c>
      <c r="E41" s="612">
        <f>vlookup(A41,'KY Data'!$A$3:$M$124,4,FALSE)</f>
        <v>2</v>
      </c>
      <c r="F41" s="612">
        <f>vlookup(A41,'KY Data'!$A$3:$M$124,3,FALSE)</f>
        <v>2</v>
      </c>
      <c r="G41" s="612" t="s">
        <v>63</v>
      </c>
      <c r="H41" s="671" t="s">
        <v>63</v>
      </c>
      <c r="I41" s="614">
        <f>vlookup(A41,'KY Data'!$A$3:$N$124,14,FALSE)</f>
        <v>0</v>
      </c>
      <c r="J41" s="615" t="s">
        <v>63</v>
      </c>
      <c r="K41" s="672" t="s">
        <v>63</v>
      </c>
      <c r="L41" s="826" t="s">
        <v>63</v>
      </c>
      <c r="M41" s="614" t="s">
        <v>63</v>
      </c>
      <c r="N41" s="614" t="s">
        <v>63</v>
      </c>
      <c r="O41" s="614" t="s">
        <v>63</v>
      </c>
      <c r="P41" s="620">
        <f>ifna(vlookup(A41,'Population &amp; Church Numbers'!$A$996:$D$1115,4,FALSE),"NULL")</f>
        <v>9</v>
      </c>
      <c r="Q41" s="674" t="s">
        <v>63</v>
      </c>
    </row>
    <row r="42">
      <c r="A42" s="609" t="s">
        <v>1060</v>
      </c>
      <c r="B42" s="610">
        <f t="array" ref="B42">VLOOKUP($A42,KY_DEMO,2,FALSE)</f>
        <v>16953</v>
      </c>
      <c r="C42" s="704">
        <f>vlookup(A42,'KY Data'!$A$3:$M$124,2,FALSE)</f>
        <v>36</v>
      </c>
      <c r="D42" s="612" t="s">
        <v>63</v>
      </c>
      <c r="E42" s="612">
        <f>vlookup(A42,'KY Data'!$A$3:$M$124,4,FALSE)</f>
        <v>8</v>
      </c>
      <c r="F42" s="612">
        <f>vlookup(A42,'KY Data'!$A$3:$M$124,3,FALSE)</f>
        <v>8</v>
      </c>
      <c r="G42" s="612" t="s">
        <v>63</v>
      </c>
      <c r="H42" s="671" t="s">
        <v>63</v>
      </c>
      <c r="I42" s="614">
        <f>vlookup(A42,'KY Data'!$A$3:$N$124,14,FALSE)</f>
        <v>14</v>
      </c>
      <c r="J42" s="615" t="s">
        <v>63</v>
      </c>
      <c r="K42" s="672" t="s">
        <v>63</v>
      </c>
      <c r="L42" s="826" t="s">
        <v>63</v>
      </c>
      <c r="M42" s="614" t="s">
        <v>63</v>
      </c>
      <c r="N42" s="614" t="s">
        <v>63</v>
      </c>
      <c r="O42" s="614" t="s">
        <v>63</v>
      </c>
      <c r="P42" s="620">
        <f>ifna(vlookup(A42,'Population &amp; Church Numbers'!$A$996:$D$1115,4,FALSE),"NULL")</f>
        <v>21</v>
      </c>
      <c r="Q42" s="674" t="s">
        <v>63</v>
      </c>
    </row>
    <row r="43">
      <c r="A43" s="609" t="s">
        <v>278</v>
      </c>
      <c r="B43" s="610">
        <f t="array" ref="B43">VLOOKUP($A43,KY_DEMO,2,FALSE)</f>
        <v>24941</v>
      </c>
      <c r="C43" s="704">
        <f>vlookup(A43,'KY Data'!$A$3:$M$124,2,FALSE)</f>
        <v>45</v>
      </c>
      <c r="D43" s="612" t="s">
        <v>63</v>
      </c>
      <c r="E43" s="612">
        <f>vlookup(A43,'KY Data'!$A$3:$M$124,4,FALSE)</f>
        <v>14</v>
      </c>
      <c r="F43" s="612">
        <f>vlookup(A43,'KY Data'!$A$3:$M$124,3,FALSE)</f>
        <v>8</v>
      </c>
      <c r="G43" s="612" t="s">
        <v>63</v>
      </c>
      <c r="H43" s="671" t="s">
        <v>63</v>
      </c>
      <c r="I43" s="614">
        <f>vlookup(A43,'KY Data'!$A$3:$N$124,14,FALSE)</f>
        <v>4</v>
      </c>
      <c r="J43" s="615" t="s">
        <v>63</v>
      </c>
      <c r="K43" s="672" t="s">
        <v>63</v>
      </c>
      <c r="L43" s="826" t="s">
        <v>63</v>
      </c>
      <c r="M43" s="614" t="s">
        <v>63</v>
      </c>
      <c r="N43" s="614" t="s">
        <v>63</v>
      </c>
      <c r="O43" s="614" t="s">
        <v>63</v>
      </c>
      <c r="P43" s="620">
        <f>ifna(vlookup(A43,'Population &amp; Church Numbers'!$A$996:$D$1115,4,FALSE),"NULL")</f>
        <v>39</v>
      </c>
      <c r="Q43" s="674" t="s">
        <v>63</v>
      </c>
    </row>
    <row r="44">
      <c r="A44" s="609" t="s">
        <v>1068</v>
      </c>
      <c r="B44" s="610">
        <f t="array" ref="B44">VLOOKUP($A44,KY_DEMO,2,FALSE)</f>
        <v>36649</v>
      </c>
      <c r="C44" s="704">
        <f>vlookup(A44,'KY Data'!$A$3:$M$124,2,FALSE)</f>
        <v>88</v>
      </c>
      <c r="D44" s="612" t="s">
        <v>63</v>
      </c>
      <c r="E44" s="612">
        <f>vlookup(A44,'KY Data'!$A$3:$M$124,4,FALSE)</f>
        <v>27</v>
      </c>
      <c r="F44" s="612">
        <f>vlookup(A44,'KY Data'!$A$3:$M$124,3,FALSE)</f>
        <v>10</v>
      </c>
      <c r="G44" s="612" t="s">
        <v>63</v>
      </c>
      <c r="H44" s="671" t="s">
        <v>63</v>
      </c>
      <c r="I44" s="614">
        <f>vlookup(A44,'KY Data'!$A$3:$N$124,14,FALSE)</f>
        <v>24</v>
      </c>
      <c r="J44" s="615" t="s">
        <v>63</v>
      </c>
      <c r="K44" s="672" t="s">
        <v>63</v>
      </c>
      <c r="L44" s="826" t="s">
        <v>63</v>
      </c>
      <c r="M44" s="614" t="s">
        <v>63</v>
      </c>
      <c r="N44" s="614" t="s">
        <v>63</v>
      </c>
      <c r="O44" s="614" t="s">
        <v>63</v>
      </c>
      <c r="P44" s="620">
        <f>ifna(vlookup(A44,'Population &amp; Church Numbers'!$A$996:$D$1115,4,FALSE),"NULL")</f>
        <v>63</v>
      </c>
      <c r="Q44" s="674" t="s">
        <v>63</v>
      </c>
    </row>
    <row r="45">
      <c r="A45" s="609" t="s">
        <v>1072</v>
      </c>
      <c r="B45" s="610">
        <f t="array" ref="B45">VLOOKUP($A45,KY_DEMO,2,FALSE)</f>
        <v>26420</v>
      </c>
      <c r="C45" s="704">
        <f>vlookup(A45,'KY Data'!$A$3:$M$124,2,FALSE)</f>
        <v>57</v>
      </c>
      <c r="D45" s="612" t="s">
        <v>63</v>
      </c>
      <c r="E45" s="612">
        <f>vlookup(A45,'KY Data'!$A$3:$M$124,4,FALSE)</f>
        <v>21</v>
      </c>
      <c r="F45" s="612">
        <f>vlookup(A45,'KY Data'!$A$3:$M$124,3,FALSE)</f>
        <v>3</v>
      </c>
      <c r="G45" s="612" t="s">
        <v>63</v>
      </c>
      <c r="H45" s="671" t="s">
        <v>63</v>
      </c>
      <c r="I45" s="614">
        <f>vlookup(A45,'KY Data'!$A$3:$N$124,14,FALSE)</f>
        <v>25</v>
      </c>
      <c r="J45" s="615" t="s">
        <v>63</v>
      </c>
      <c r="K45" s="672" t="s">
        <v>63</v>
      </c>
      <c r="L45" s="826" t="s">
        <v>63</v>
      </c>
      <c r="M45" s="614" t="s">
        <v>63</v>
      </c>
      <c r="N45" s="614" t="s">
        <v>63</v>
      </c>
      <c r="O45" s="614" t="s">
        <v>63</v>
      </c>
      <c r="P45" s="620">
        <f>ifna(vlookup(A45,'Population &amp; Church Numbers'!$A$996:$D$1115,4,FALSE),"NULL")</f>
        <v>25</v>
      </c>
      <c r="Q45" s="674" t="s">
        <v>63</v>
      </c>
    </row>
    <row r="46">
      <c r="A46" s="609" t="s">
        <v>1075</v>
      </c>
      <c r="B46" s="610">
        <f t="array" ref="B46">VLOOKUP($A46,KY_DEMO,2,FALSE)</f>
        <v>11107</v>
      </c>
      <c r="C46" s="704">
        <f>vlookup(A46,'KY Data'!$A$3:$M$124,2,FALSE)</f>
        <v>13</v>
      </c>
      <c r="D46" s="612" t="s">
        <v>63</v>
      </c>
      <c r="E46" s="612">
        <f>vlookup(A46,'KY Data'!$A$3:$M$124,4,FALSE)</f>
        <v>0</v>
      </c>
      <c r="F46" s="612">
        <f>vlookup(A46,'KY Data'!$A$3:$M$124,3,FALSE)</f>
        <v>0</v>
      </c>
      <c r="G46" s="612" t="s">
        <v>63</v>
      </c>
      <c r="H46" s="671" t="s">
        <v>63</v>
      </c>
      <c r="I46" s="614">
        <f>vlookup(A46,'KY Data'!$A$3:$N$124,14,FALSE)</f>
        <v>5</v>
      </c>
      <c r="J46" s="615" t="s">
        <v>63</v>
      </c>
      <c r="K46" s="672" t="s">
        <v>63</v>
      </c>
      <c r="L46" s="826" t="s">
        <v>63</v>
      </c>
      <c r="M46" s="614" t="s">
        <v>63</v>
      </c>
      <c r="N46" s="614" t="s">
        <v>63</v>
      </c>
      <c r="O46" s="614" t="s">
        <v>63</v>
      </c>
      <c r="P46" s="620">
        <f>ifna(vlookup(A46,'Population &amp; Church Numbers'!$A$996:$D$1115,4,FALSE),"NULL")</f>
        <v>24</v>
      </c>
      <c r="Q46" s="674" t="s">
        <v>63</v>
      </c>
    </row>
    <row r="47">
      <c r="A47" s="609" t="s">
        <v>1078</v>
      </c>
      <c r="B47" s="610">
        <f t="array" ref="B47">VLOOKUP($A47,KY_DEMO,2,FALSE)</f>
        <v>35962</v>
      </c>
      <c r="C47" s="704">
        <f>vlookup(A47,'KY Data'!$A$3:$M$124,2,FALSE)</f>
        <v>59</v>
      </c>
      <c r="D47" s="612" t="s">
        <v>63</v>
      </c>
      <c r="E47" s="612">
        <f>vlookup(A47,'KY Data'!$A$3:$M$124,4,FALSE)</f>
        <v>12</v>
      </c>
      <c r="F47" s="612">
        <f>vlookup(A47,'KY Data'!$A$3:$M$124,3,FALSE)</f>
        <v>6</v>
      </c>
      <c r="G47" s="612" t="s">
        <v>63</v>
      </c>
      <c r="H47" s="671" t="s">
        <v>63</v>
      </c>
      <c r="I47" s="614">
        <f>vlookup(A47,'KY Data'!$A$3:$N$124,14,FALSE)</f>
        <v>14</v>
      </c>
      <c r="J47" s="615" t="s">
        <v>63</v>
      </c>
      <c r="K47" s="672" t="s">
        <v>63</v>
      </c>
      <c r="L47" s="826" t="s">
        <v>63</v>
      </c>
      <c r="M47" s="614" t="s">
        <v>63</v>
      </c>
      <c r="N47" s="614" t="s">
        <v>63</v>
      </c>
      <c r="O47" s="614" t="s">
        <v>63</v>
      </c>
      <c r="P47" s="620">
        <f>ifna(vlookup(A47,'Population &amp; Church Numbers'!$A$996:$D$1115,4,FALSE),"NULL")</f>
        <v>53</v>
      </c>
      <c r="Q47" s="674" t="s">
        <v>63</v>
      </c>
    </row>
    <row r="48">
      <c r="A48" s="609" t="s">
        <v>587</v>
      </c>
      <c r="B48" s="610">
        <f t="array" ref="B48">VLOOKUP($A48,KY_DEMO,2,FALSE)</f>
        <v>9095</v>
      </c>
      <c r="C48" s="704">
        <f>vlookup(A48,'KY Data'!$A$3:$M$124,2,FALSE)</f>
        <v>11</v>
      </c>
      <c r="D48" s="612" t="s">
        <v>63</v>
      </c>
      <c r="E48" s="612">
        <f>vlookup(A48,'KY Data'!$A$3:$M$124,4,FALSE)</f>
        <v>3</v>
      </c>
      <c r="F48" s="612">
        <f>vlookup(A48,'KY Data'!$A$3:$M$124,3,FALSE)</f>
        <v>3</v>
      </c>
      <c r="G48" s="612" t="s">
        <v>63</v>
      </c>
      <c r="H48" s="671" t="s">
        <v>63</v>
      </c>
      <c r="I48" s="614">
        <f>vlookup(A48,'KY Data'!$A$3:$N$124,14,FALSE)</f>
        <v>0</v>
      </c>
      <c r="J48" s="615" t="s">
        <v>63</v>
      </c>
      <c r="K48" s="672" t="s">
        <v>63</v>
      </c>
      <c r="L48" s="826" t="s">
        <v>63</v>
      </c>
      <c r="M48" s="614" t="s">
        <v>63</v>
      </c>
      <c r="N48" s="614" t="s">
        <v>63</v>
      </c>
      <c r="O48" s="614" t="s">
        <v>63</v>
      </c>
      <c r="P48" s="620">
        <f>ifna(vlookup(A48,'Population &amp; Church Numbers'!$A$996:$D$1115,4,FALSE),"NULL")</f>
        <v>16</v>
      </c>
      <c r="Q48" s="674" t="s">
        <v>63</v>
      </c>
    </row>
    <row r="49">
      <c r="A49" s="609" t="s">
        <v>721</v>
      </c>
      <c r="B49" s="610">
        <f t="array" ref="B49">VLOOKUP($A49,KY_DEMO,2,FALSE)</f>
        <v>110702</v>
      </c>
      <c r="C49" s="704">
        <f>vlookup(A49,'KY Data'!$A$3:$M$124,2,FALSE)</f>
        <v>259</v>
      </c>
      <c r="D49" s="612" t="s">
        <v>63</v>
      </c>
      <c r="E49" s="612">
        <f>vlookup(A49,'KY Data'!$A$3:$M$124,4,FALSE)</f>
        <v>125</v>
      </c>
      <c r="F49" s="612">
        <f>vlookup(A49,'KY Data'!$A$3:$M$124,3,FALSE)</f>
        <v>23</v>
      </c>
      <c r="G49" s="612" t="s">
        <v>63</v>
      </c>
      <c r="H49" s="671" t="s">
        <v>63</v>
      </c>
      <c r="I49" s="614">
        <f>vlookup(A49,'KY Data'!$A$3:$N$124,14,FALSE)</f>
        <v>58</v>
      </c>
      <c r="J49" s="615" t="s">
        <v>63</v>
      </c>
      <c r="K49" s="672" t="s">
        <v>63</v>
      </c>
      <c r="L49" s="826" t="s">
        <v>63</v>
      </c>
      <c r="M49" s="614" t="s">
        <v>63</v>
      </c>
      <c r="N49" s="614" t="s">
        <v>63</v>
      </c>
      <c r="O49" s="614" t="s">
        <v>63</v>
      </c>
      <c r="P49" s="620">
        <f>ifna(vlookup(A49,'Population &amp; Church Numbers'!$A$996:$D$1115,4,FALSE),"NULL")</f>
        <v>94</v>
      </c>
      <c r="Q49" s="674" t="s">
        <v>63</v>
      </c>
    </row>
    <row r="50">
      <c r="A50" s="609" t="s">
        <v>1088</v>
      </c>
      <c r="B50" s="610">
        <f t="array" ref="B50">VLOOKUP($A50,KY_DEMO,2,FALSE)</f>
        <v>26831</v>
      </c>
      <c r="C50" s="704">
        <f>vlookup(A50,'KY Data'!$A$3:$M$124,2,FALSE)</f>
        <v>11</v>
      </c>
      <c r="D50" s="612" t="s">
        <v>63</v>
      </c>
      <c r="E50" s="612">
        <f>vlookup(A50,'KY Data'!$A$3:$M$124,4,FALSE)</f>
        <v>2</v>
      </c>
      <c r="F50" s="612">
        <f>vlookup(A50,'KY Data'!$A$3:$M$124,3,FALSE)</f>
        <v>2</v>
      </c>
      <c r="G50" s="612" t="s">
        <v>63</v>
      </c>
      <c r="H50" s="671" t="s">
        <v>63</v>
      </c>
      <c r="I50" s="614">
        <f>vlookup(A50,'KY Data'!$A$3:$N$124,14,FALSE)</f>
        <v>5</v>
      </c>
      <c r="J50" s="615" t="s">
        <v>63</v>
      </c>
      <c r="K50" s="672" t="s">
        <v>63</v>
      </c>
      <c r="L50" s="826" t="s">
        <v>63</v>
      </c>
      <c r="M50" s="614" t="s">
        <v>63</v>
      </c>
      <c r="N50" s="614" t="s">
        <v>63</v>
      </c>
      <c r="O50" s="614" t="s">
        <v>63</v>
      </c>
      <c r="P50" s="620">
        <f>ifna(vlookup(A50,'Population &amp; Church Numbers'!$A$996:$D$1115,4,FALSE),"NULL")</f>
        <v>38</v>
      </c>
      <c r="Q50" s="674" t="s">
        <v>63</v>
      </c>
    </row>
    <row r="51">
      <c r="A51" s="609" t="s">
        <v>775</v>
      </c>
      <c r="B51" s="610">
        <f t="array" ref="B51">VLOOKUP($A51,KY_DEMO,2,FALSE)</f>
        <v>18692</v>
      </c>
      <c r="C51" s="704">
        <f>vlookup(A51,'KY Data'!$A$3:$M$124,2,FALSE)</f>
        <v>54</v>
      </c>
      <c r="D51" s="612" t="s">
        <v>63</v>
      </c>
      <c r="E51" s="612">
        <f>vlookup(A51,'KY Data'!$A$3:$M$124,4,FALSE)</f>
        <v>31</v>
      </c>
      <c r="F51" s="612">
        <f>vlookup(A51,'KY Data'!$A$3:$M$124,3,FALSE)</f>
        <v>4</v>
      </c>
      <c r="G51" s="612" t="s">
        <v>63</v>
      </c>
      <c r="H51" s="671" t="s">
        <v>63</v>
      </c>
      <c r="I51" s="614">
        <f>vlookup(A51,'KY Data'!$A$3:$N$124,14,FALSE)</f>
        <v>19</v>
      </c>
      <c r="J51" s="615" t="s">
        <v>63</v>
      </c>
      <c r="K51" s="672" t="s">
        <v>63</v>
      </c>
      <c r="L51" s="826" t="s">
        <v>63</v>
      </c>
      <c r="M51" s="614" t="s">
        <v>63</v>
      </c>
      <c r="N51" s="614" t="s">
        <v>63</v>
      </c>
      <c r="O51" s="614" t="s">
        <v>63</v>
      </c>
      <c r="P51" s="620">
        <f>ifna(vlookup(A51,'Population &amp; Church Numbers'!$A$996:$D$1115,4,FALSE),"NULL")</f>
        <v>22</v>
      </c>
      <c r="Q51" s="674" t="s">
        <v>63</v>
      </c>
    </row>
    <row r="52">
      <c r="A52" s="609" t="s">
        <v>589</v>
      </c>
      <c r="B52" s="610">
        <f t="array" ref="B52">VLOOKUP($A52,KY_DEMO,2,FALSE)</f>
        <v>19288</v>
      </c>
      <c r="C52" s="704">
        <f>vlookup(A52,'KY Data'!$A$3:$M$124,2,FALSE)</f>
        <v>38</v>
      </c>
      <c r="D52" s="612" t="s">
        <v>63</v>
      </c>
      <c r="E52" s="612">
        <f>vlookup(A52,'KY Data'!$A$3:$M$124,4,FALSE)</f>
        <v>5</v>
      </c>
      <c r="F52" s="612">
        <f>vlookup(A52,'KY Data'!$A$3:$M$124,3,FALSE)</f>
        <v>5</v>
      </c>
      <c r="G52" s="612" t="s">
        <v>63</v>
      </c>
      <c r="H52" s="671" t="s">
        <v>63</v>
      </c>
      <c r="I52" s="614">
        <f>vlookup(A52,'KY Data'!$A$3:$N$124,14,FALSE)</f>
        <v>9</v>
      </c>
      <c r="J52" s="615" t="s">
        <v>63</v>
      </c>
      <c r="K52" s="672" t="s">
        <v>63</v>
      </c>
      <c r="L52" s="826" t="s">
        <v>63</v>
      </c>
      <c r="M52" s="614" t="s">
        <v>63</v>
      </c>
      <c r="N52" s="614" t="s">
        <v>63</v>
      </c>
      <c r="O52" s="614" t="s">
        <v>63</v>
      </c>
      <c r="P52" s="620">
        <f>ifna(vlookup(A52,'Population &amp; Church Numbers'!$A$996:$D$1115,4,FALSE),"NULL")</f>
        <v>25</v>
      </c>
      <c r="Q52" s="674" t="s">
        <v>63</v>
      </c>
    </row>
    <row r="53">
      <c r="A53" s="609" t="s">
        <v>722</v>
      </c>
      <c r="B53" s="610">
        <f t="array" ref="B53">VLOOKUP($A53,KY_DEMO,2,FALSE)</f>
        <v>44793</v>
      </c>
      <c r="C53" s="704">
        <f>vlookup(A53,'KY Data'!$A$3:$M$124,2,FALSE)</f>
        <v>50</v>
      </c>
      <c r="D53" s="612" t="s">
        <v>63</v>
      </c>
      <c r="E53" s="612">
        <f>vlookup(A53,'KY Data'!$A$3:$M$124,4,FALSE)</f>
        <v>20</v>
      </c>
      <c r="F53" s="612">
        <f>vlookup(A53,'KY Data'!$A$3:$M$124,3,FALSE)</f>
        <v>7</v>
      </c>
      <c r="G53" s="612" t="s">
        <v>63</v>
      </c>
      <c r="H53" s="671" t="s">
        <v>63</v>
      </c>
      <c r="I53" s="614">
        <f>vlookup(A53,'KY Data'!$A$3:$N$124,14,FALSE)</f>
        <v>5</v>
      </c>
      <c r="J53" s="615" t="s">
        <v>63</v>
      </c>
      <c r="K53" s="672" t="s">
        <v>63</v>
      </c>
      <c r="L53" s="826" t="s">
        <v>63</v>
      </c>
      <c r="M53" s="614" t="s">
        <v>63</v>
      </c>
      <c r="N53" s="614" t="s">
        <v>63</v>
      </c>
      <c r="O53" s="614" t="s">
        <v>63</v>
      </c>
      <c r="P53" s="620">
        <f>ifna(vlookup(A53,'Population &amp; Church Numbers'!$A$996:$D$1115,4,FALSE),"NULL")</f>
        <v>56</v>
      </c>
      <c r="Q53" s="674" t="s">
        <v>63</v>
      </c>
    </row>
    <row r="54">
      <c r="A54" s="609" t="s">
        <v>140</v>
      </c>
      <c r="B54" s="610">
        <f t="array" ref="B54">VLOOKUP($A54,KY_DEMO,2,FALSE)</f>
        <v>15678</v>
      </c>
      <c r="C54" s="704">
        <f>vlookup(A54,'KY Data'!$A$3:$M$124,2,FALSE)</f>
        <v>11</v>
      </c>
      <c r="D54" s="612" t="s">
        <v>63</v>
      </c>
      <c r="E54" s="612">
        <f>vlookup(A54,'KY Data'!$A$3:$M$124,4,FALSE)</f>
        <v>6</v>
      </c>
      <c r="F54" s="612">
        <f>vlookup(A54,'KY Data'!$A$3:$M$124,3,FALSE)</f>
        <v>2</v>
      </c>
      <c r="G54" s="612" t="s">
        <v>63</v>
      </c>
      <c r="H54" s="671" t="s">
        <v>63</v>
      </c>
      <c r="I54" s="614">
        <f>vlookup(A54,'KY Data'!$A$3:$N$124,14,FALSE)</f>
        <v>1</v>
      </c>
      <c r="J54" s="615" t="s">
        <v>63</v>
      </c>
      <c r="K54" s="672" t="s">
        <v>63</v>
      </c>
      <c r="L54" s="826" t="s">
        <v>63</v>
      </c>
      <c r="M54" s="614" t="s">
        <v>63</v>
      </c>
      <c r="N54" s="614" t="s">
        <v>63</v>
      </c>
      <c r="O54" s="614" t="s">
        <v>63</v>
      </c>
      <c r="P54" s="620">
        <f>ifna(vlookup(A54,'Population &amp; Church Numbers'!$A$996:$D$1115,4,FALSE),"NULL")</f>
        <v>27</v>
      </c>
      <c r="Q54" s="674" t="s">
        <v>63</v>
      </c>
    </row>
    <row r="55">
      <c r="A55" s="609" t="s">
        <v>1097</v>
      </c>
      <c r="B55" s="610">
        <f t="array" ref="B55">VLOOKUP($A55,KY_DEMO,2,FALSE)</f>
        <v>4521</v>
      </c>
      <c r="C55" s="704">
        <f>vlookup(A55,'KY Data'!$A$3:$M$124,2,FALSE)</f>
        <v>0</v>
      </c>
      <c r="D55" s="612" t="s">
        <v>63</v>
      </c>
      <c r="E55" s="612">
        <f>vlookup(A55,'KY Data'!$A$3:$M$124,4,FALSE)</f>
        <v>0</v>
      </c>
      <c r="F55" s="612">
        <f>vlookup(A55,'KY Data'!$A$3:$M$124,3,FALSE)</f>
        <v>0</v>
      </c>
      <c r="G55" s="612" t="s">
        <v>63</v>
      </c>
      <c r="H55" s="671" t="s">
        <v>63</v>
      </c>
      <c r="I55" s="614">
        <f>vlookup(A55,'KY Data'!$A$3:$N$124,14,FALSE)</f>
        <v>0</v>
      </c>
      <c r="J55" s="615" t="s">
        <v>63</v>
      </c>
      <c r="K55" s="672" t="s">
        <v>63</v>
      </c>
      <c r="L55" s="826" t="s">
        <v>63</v>
      </c>
      <c r="M55" s="614" t="s">
        <v>63</v>
      </c>
      <c r="N55" s="614" t="s">
        <v>63</v>
      </c>
      <c r="O55" s="614" t="s">
        <v>63</v>
      </c>
      <c r="P55" s="620">
        <f>ifna(vlookup(A55,'Population &amp; Church Numbers'!$A$996:$D$1115,4,FALSE),"NULL")</f>
        <v>16</v>
      </c>
      <c r="Q55" s="674" t="s">
        <v>63</v>
      </c>
    </row>
    <row r="56">
      <c r="A56" s="609" t="s">
        <v>1099</v>
      </c>
      <c r="B56" s="610">
        <f t="array" ref="B56">VLOOKUP($A56,KY_DEMO,2,FALSE)</f>
        <v>45423</v>
      </c>
      <c r="C56" s="704">
        <f>vlookup(A56,'KY Data'!$A$3:$M$124,2,FALSE)</f>
        <v>54</v>
      </c>
      <c r="D56" s="612" t="s">
        <v>63</v>
      </c>
      <c r="E56" s="612">
        <f>vlookup(A56,'KY Data'!$A$3:$M$124,4,FALSE)</f>
        <v>13</v>
      </c>
      <c r="F56" s="612">
        <f>vlookup(A56,'KY Data'!$A$3:$M$124,3,FALSE)</f>
        <v>13</v>
      </c>
      <c r="G56" s="612" t="s">
        <v>63</v>
      </c>
      <c r="H56" s="671" t="s">
        <v>63</v>
      </c>
      <c r="I56" s="614">
        <f>vlookup(A56,'KY Data'!$A$3:$N$124,14,FALSE)</f>
        <v>8</v>
      </c>
      <c r="J56" s="615" t="s">
        <v>63</v>
      </c>
      <c r="K56" s="672" t="s">
        <v>63</v>
      </c>
      <c r="L56" s="826" t="s">
        <v>63</v>
      </c>
      <c r="M56" s="614" t="s">
        <v>63</v>
      </c>
      <c r="N56" s="614" t="s">
        <v>63</v>
      </c>
      <c r="O56" s="614" t="s">
        <v>63</v>
      </c>
      <c r="P56" s="620">
        <f>ifna(vlookup(A56,'Population &amp; Church Numbers'!$A$996:$D$1115,4,FALSE),"NULL")</f>
        <v>72</v>
      </c>
      <c r="Q56" s="674" t="s">
        <v>63</v>
      </c>
    </row>
    <row r="57">
      <c r="A57" s="609" t="s">
        <v>142</v>
      </c>
      <c r="B57" s="610">
        <f t="array" ref="B57">VLOOKUP($A57,KY_DEMO,2,FALSE)</f>
        <v>12955</v>
      </c>
      <c r="C57" s="704">
        <f>vlookup(A57,'KY Data'!$A$3:$M$124,2,FALSE)</f>
        <v>25</v>
      </c>
      <c r="D57" s="612" t="s">
        <v>63</v>
      </c>
      <c r="E57" s="612">
        <f>vlookup(A57,'KY Data'!$A$3:$M$124,4,FALSE)</f>
        <v>13</v>
      </c>
      <c r="F57" s="612">
        <f>vlookup(A57,'KY Data'!$A$3:$M$124,3,FALSE)</f>
        <v>0</v>
      </c>
      <c r="G57" s="612" t="s">
        <v>63</v>
      </c>
      <c r="H57" s="671" t="s">
        <v>63</v>
      </c>
      <c r="I57" s="614">
        <f>vlookup(A57,'KY Data'!$A$3:$N$124,14,FALSE)</f>
        <v>7</v>
      </c>
      <c r="J57" s="615" t="s">
        <v>63</v>
      </c>
      <c r="K57" s="672" t="s">
        <v>63</v>
      </c>
      <c r="L57" s="826" t="s">
        <v>63</v>
      </c>
      <c r="M57" s="614" t="s">
        <v>63</v>
      </c>
      <c r="N57" s="614" t="s">
        <v>63</v>
      </c>
      <c r="O57" s="614" t="s">
        <v>63</v>
      </c>
      <c r="P57" s="620">
        <f>ifna(vlookup(A57,'Population &amp; Church Numbers'!$A$996:$D$1115,4,FALSE),"NULL")</f>
        <v>22</v>
      </c>
      <c r="Q57" s="674" t="s">
        <v>63</v>
      </c>
    </row>
    <row r="58">
      <c r="A58" s="609" t="s">
        <v>143</v>
      </c>
      <c r="B58" s="610">
        <f t="array" ref="B58">VLOOKUP($A58,KY_DEMO,2,FALSE)</f>
        <v>782969</v>
      </c>
      <c r="C58" s="704">
        <f>vlookup(A58,'KY Data'!$A$3:$M$124,2,FALSE)</f>
        <v>841</v>
      </c>
      <c r="D58" s="612" t="s">
        <v>63</v>
      </c>
      <c r="E58" s="612">
        <f>vlookup(A58,'KY Data'!$A$3:$M$124,4,FALSE)</f>
        <v>245</v>
      </c>
      <c r="F58" s="612">
        <f>vlookup(A58,'KY Data'!$A$3:$M$124,3,FALSE)</f>
        <v>170</v>
      </c>
      <c r="G58" s="612" t="s">
        <v>63</v>
      </c>
      <c r="H58" s="671" t="s">
        <v>63</v>
      </c>
      <c r="I58" s="614">
        <f>vlookup(A58,'KY Data'!$A$3:$N$124,14,FALSE)</f>
        <v>262</v>
      </c>
      <c r="J58" s="615" t="s">
        <v>63</v>
      </c>
      <c r="K58" s="672" t="s">
        <v>63</v>
      </c>
      <c r="L58" s="826" t="s">
        <v>63</v>
      </c>
      <c r="M58" s="614" t="s">
        <v>63</v>
      </c>
      <c r="N58" s="614" t="s">
        <v>63</v>
      </c>
      <c r="O58" s="614" t="s">
        <v>63</v>
      </c>
      <c r="P58" s="620">
        <f>ifna(vlookup(A58,'Population &amp; Church Numbers'!$A$996:$D$1115,4,FALSE),"NULL")</f>
        <v>563</v>
      </c>
      <c r="Q58" s="674" t="s">
        <v>63</v>
      </c>
    </row>
    <row r="59">
      <c r="A59" s="609" t="s">
        <v>1102</v>
      </c>
      <c r="B59" s="610">
        <f t="array" ref="B59">VLOOKUP($A59,KY_DEMO,2,FALSE)</f>
        <v>52991</v>
      </c>
      <c r="C59" s="704">
        <f>vlookup(A59,'KY Data'!$A$3:$M$124,2,FALSE)</f>
        <v>29</v>
      </c>
      <c r="D59" s="612" t="s">
        <v>63</v>
      </c>
      <c r="E59" s="612">
        <f>vlookup(A59,'KY Data'!$A$3:$M$124,4,FALSE)</f>
        <v>2</v>
      </c>
      <c r="F59" s="612">
        <f>vlookup(A59,'KY Data'!$A$3:$M$124,3,FALSE)</f>
        <v>0</v>
      </c>
      <c r="G59" s="612" t="s">
        <v>63</v>
      </c>
      <c r="H59" s="671" t="s">
        <v>63</v>
      </c>
      <c r="I59" s="614">
        <f>vlookup(A59,'KY Data'!$A$3:$N$124,14,FALSE)</f>
        <v>4</v>
      </c>
      <c r="J59" s="615" t="s">
        <v>63</v>
      </c>
      <c r="K59" s="672" t="s">
        <v>63</v>
      </c>
      <c r="L59" s="826" t="s">
        <v>63</v>
      </c>
      <c r="M59" s="614" t="s">
        <v>63</v>
      </c>
      <c r="N59" s="614" t="s">
        <v>63</v>
      </c>
      <c r="O59" s="614" t="s">
        <v>63</v>
      </c>
      <c r="P59" s="620">
        <f>ifna(vlookup(A59,'Population &amp; Church Numbers'!$A$996:$D$1115,4,FALSE),"NULL")</f>
        <v>43</v>
      </c>
      <c r="Q59" s="674" t="s">
        <v>63</v>
      </c>
    </row>
    <row r="60">
      <c r="A60" s="609" t="s">
        <v>288</v>
      </c>
      <c r="B60" s="610">
        <f t="array" ref="B60">VLOOKUP($A60,KY_DEMO,2,FALSE)</f>
        <v>22680</v>
      </c>
      <c r="C60" s="704">
        <f>vlookup(A60,'KY Data'!$A$3:$M$124,2,FALSE)</f>
        <v>50</v>
      </c>
      <c r="D60" s="612" t="s">
        <v>63</v>
      </c>
      <c r="E60" s="612">
        <f>vlookup(A60,'KY Data'!$A$3:$M$124,4,FALSE)</f>
        <v>29</v>
      </c>
      <c r="F60" s="612">
        <f>vlookup(A60,'KY Data'!$A$3:$M$124,3,FALSE)</f>
        <v>1</v>
      </c>
      <c r="G60" s="612" t="s">
        <v>63</v>
      </c>
      <c r="H60" s="671" t="s">
        <v>63</v>
      </c>
      <c r="I60" s="614">
        <f>vlookup(A60,'KY Data'!$A$3:$N$124,14,FALSE)</f>
        <v>25</v>
      </c>
      <c r="J60" s="615" t="s">
        <v>63</v>
      </c>
      <c r="K60" s="672" t="s">
        <v>63</v>
      </c>
      <c r="L60" s="826" t="s">
        <v>63</v>
      </c>
      <c r="M60" s="614" t="s">
        <v>63</v>
      </c>
      <c r="N60" s="614" t="s">
        <v>63</v>
      </c>
      <c r="O60" s="614" t="s">
        <v>63</v>
      </c>
      <c r="P60" s="620">
        <f>ifna(vlookup(A60,'Population &amp; Church Numbers'!$A$996:$D$1115,4,FALSE),"NULL")</f>
        <v>41</v>
      </c>
      <c r="Q60" s="674" t="s">
        <v>63</v>
      </c>
    </row>
    <row r="61">
      <c r="A61" s="609" t="s">
        <v>1105</v>
      </c>
      <c r="B61" s="610">
        <f t="array" ref="B61">VLOOKUP($A61,KY_DEMO,2,FALSE)</f>
        <v>169064</v>
      </c>
      <c r="C61" s="704">
        <f>vlookup(A61,'KY Data'!$A$3:$M$124,2,FALSE)</f>
        <v>492</v>
      </c>
      <c r="D61" s="612" t="s">
        <v>63</v>
      </c>
      <c r="E61" s="612">
        <f>vlookup(A61,'KY Data'!$A$3:$M$124,4,FALSE)</f>
        <v>133</v>
      </c>
      <c r="F61" s="612">
        <f>vlookup(A61,'KY Data'!$A$3:$M$124,3,FALSE)</f>
        <v>51</v>
      </c>
      <c r="G61" s="612" t="s">
        <v>63</v>
      </c>
      <c r="H61" s="671" t="s">
        <v>63</v>
      </c>
      <c r="I61" s="614">
        <f>vlookup(A61,'KY Data'!$A$3:$N$124,14,FALSE)</f>
        <v>149</v>
      </c>
      <c r="J61" s="615" t="s">
        <v>63</v>
      </c>
      <c r="K61" s="672" t="s">
        <v>63</v>
      </c>
      <c r="L61" s="826" t="s">
        <v>63</v>
      </c>
      <c r="M61" s="614" t="s">
        <v>63</v>
      </c>
      <c r="N61" s="614" t="s">
        <v>63</v>
      </c>
      <c r="O61" s="614" t="s">
        <v>63</v>
      </c>
      <c r="P61" s="620">
        <f>ifna(vlookup(A61,'Population &amp; Church Numbers'!$A$996:$D$1115,4,FALSE),"NULL")</f>
        <v>139</v>
      </c>
      <c r="Q61" s="674" t="s">
        <v>63</v>
      </c>
    </row>
    <row r="62">
      <c r="A62" s="609" t="s">
        <v>1107</v>
      </c>
      <c r="B62" s="610">
        <f t="array" ref="B62">VLOOKUP($A62,KY_DEMO,2,FALSE)</f>
        <v>14251</v>
      </c>
      <c r="C62" s="704">
        <f>vlookup(A62,'KY Data'!$A$3:$M$124,2,FALSE)</f>
        <v>44</v>
      </c>
      <c r="D62" s="612" t="s">
        <v>63</v>
      </c>
      <c r="E62" s="612">
        <f>vlookup(A62,'KY Data'!$A$3:$M$124,4,FALSE)</f>
        <v>3</v>
      </c>
      <c r="F62" s="612">
        <f>vlookup(A62,'KY Data'!$A$3:$M$124,3,FALSE)</f>
        <v>8</v>
      </c>
      <c r="G62" s="612" t="s">
        <v>63</v>
      </c>
      <c r="H62" s="671" t="s">
        <v>63</v>
      </c>
      <c r="I62" s="614">
        <f>vlookup(A62,'KY Data'!$A$3:$N$124,14,FALSE)</f>
        <v>11</v>
      </c>
      <c r="J62" s="615" t="s">
        <v>63</v>
      </c>
      <c r="K62" s="672" t="s">
        <v>63</v>
      </c>
      <c r="L62" s="826" t="s">
        <v>63</v>
      </c>
      <c r="M62" s="614" t="s">
        <v>63</v>
      </c>
      <c r="N62" s="614" t="s">
        <v>63</v>
      </c>
      <c r="O62" s="614" t="s">
        <v>63</v>
      </c>
      <c r="P62" s="620">
        <f>ifna(vlookup(A62,'Population &amp; Church Numbers'!$A$996:$D$1115,4,FALSE),"NULL")</f>
        <v>15</v>
      </c>
      <c r="Q62" s="674" t="s">
        <v>63</v>
      </c>
    </row>
    <row r="63">
      <c r="A63" s="609" t="s">
        <v>728</v>
      </c>
      <c r="B63" s="610">
        <f t="array" ref="B63">VLOOKUP($A63,KY_DEMO,2,FALSE)</f>
        <v>30193</v>
      </c>
      <c r="C63" s="704">
        <f>vlookup(A63,'KY Data'!$A$3:$M$124,2,FALSE)</f>
        <v>42</v>
      </c>
      <c r="D63" s="612" t="s">
        <v>63</v>
      </c>
      <c r="E63" s="612">
        <f>vlookup(A63,'KY Data'!$A$3:$M$124,4,FALSE)</f>
        <v>12</v>
      </c>
      <c r="F63" s="612">
        <f>vlookup(A63,'KY Data'!$A$3:$M$124,3,FALSE)</f>
        <v>1</v>
      </c>
      <c r="G63" s="612" t="s">
        <v>63</v>
      </c>
      <c r="H63" s="671" t="s">
        <v>63</v>
      </c>
      <c r="I63" s="614">
        <f>vlookup(A63,'KY Data'!$A$3:$N$124,14,FALSE)</f>
        <v>11</v>
      </c>
      <c r="J63" s="615" t="s">
        <v>63</v>
      </c>
      <c r="K63" s="672" t="s">
        <v>63</v>
      </c>
      <c r="L63" s="826" t="s">
        <v>63</v>
      </c>
      <c r="M63" s="614" t="s">
        <v>63</v>
      </c>
      <c r="N63" s="614" t="s">
        <v>63</v>
      </c>
      <c r="O63" s="614" t="s">
        <v>63</v>
      </c>
      <c r="P63" s="620">
        <f>ifna(vlookup(A63,'Population &amp; Church Numbers'!$A$996:$D$1115,4,FALSE),"NULL")</f>
        <v>35</v>
      </c>
      <c r="Q63" s="674" t="s">
        <v>63</v>
      </c>
    </row>
    <row r="64">
      <c r="A64" s="609" t="s">
        <v>1110</v>
      </c>
      <c r="B64" s="610">
        <f t="array" ref="B64">VLOOKUP($A64,KY_DEMO,2,FALSE)</f>
        <v>14867</v>
      </c>
      <c r="C64" s="704">
        <f>vlookup(A64,'KY Data'!$A$3:$M$124,2,FALSE)</f>
        <v>6</v>
      </c>
      <c r="D64" s="612" t="s">
        <v>63</v>
      </c>
      <c r="E64" s="612">
        <f>vlookup(A64,'KY Data'!$A$3:$M$124,4,FALSE)</f>
        <v>3</v>
      </c>
      <c r="F64" s="612">
        <f>vlookup(A64,'KY Data'!$A$3:$M$124,3,FALSE)</f>
        <v>1</v>
      </c>
      <c r="G64" s="612" t="s">
        <v>63</v>
      </c>
      <c r="H64" s="671" t="s">
        <v>63</v>
      </c>
      <c r="I64" s="614">
        <f>vlookup(A64,'KY Data'!$A$3:$N$124,14,FALSE)</f>
        <v>1</v>
      </c>
      <c r="J64" s="615" t="s">
        <v>63</v>
      </c>
      <c r="K64" s="672" t="s">
        <v>63</v>
      </c>
      <c r="L64" s="826" t="s">
        <v>63</v>
      </c>
      <c r="M64" s="614" t="s">
        <v>63</v>
      </c>
      <c r="N64" s="614" t="s">
        <v>63</v>
      </c>
      <c r="O64" s="614" t="s">
        <v>63</v>
      </c>
      <c r="P64" s="620">
        <f>ifna(vlookup(A64,'Population &amp; Church Numbers'!$A$996:$D$1115,4,FALSE),"NULL")</f>
        <v>30</v>
      </c>
      <c r="Q64" s="674" t="s">
        <v>63</v>
      </c>
    </row>
    <row r="65">
      <c r="A65" s="609" t="s">
        <v>1111</v>
      </c>
      <c r="B65" s="610">
        <f t="array" ref="B65">VLOOKUP($A65,KY_DEMO,2,FALSE)</f>
        <v>62613</v>
      </c>
      <c r="C65" s="704">
        <f>vlookup(A65,'KY Data'!$A$3:$M$124,2,FALSE)</f>
        <v>151</v>
      </c>
      <c r="D65" s="612" t="s">
        <v>63</v>
      </c>
      <c r="E65" s="612">
        <f>vlookup(A65,'KY Data'!$A$3:$M$124,4,FALSE)</f>
        <v>60</v>
      </c>
      <c r="F65" s="612">
        <f>vlookup(A65,'KY Data'!$A$3:$M$124,3,FALSE)</f>
        <v>13</v>
      </c>
      <c r="G65" s="612" t="s">
        <v>63</v>
      </c>
      <c r="H65" s="671" t="s">
        <v>63</v>
      </c>
      <c r="I65" s="614">
        <f>vlookup(A65,'KY Data'!$A$3:$N$124,14,FALSE)</f>
        <v>67</v>
      </c>
      <c r="J65" s="615" t="s">
        <v>63</v>
      </c>
      <c r="K65" s="672" t="s">
        <v>63</v>
      </c>
      <c r="L65" s="826" t="s">
        <v>63</v>
      </c>
      <c r="M65" s="614" t="s">
        <v>63</v>
      </c>
      <c r="N65" s="614" t="s">
        <v>63</v>
      </c>
      <c r="O65" s="614" t="s">
        <v>63</v>
      </c>
      <c r="P65" s="620">
        <f>ifna(vlookup(A65,'Population &amp; Church Numbers'!$A$996:$D$1115,4,FALSE),"NULL")</f>
        <v>70</v>
      </c>
      <c r="Q65" s="674" t="s">
        <v>63</v>
      </c>
    </row>
    <row r="66">
      <c r="A66" s="609" t="s">
        <v>146</v>
      </c>
      <c r="B66" s="610">
        <f t="array" ref="B66">VLOOKUP($A66,KY_DEMO,2,FALSE)</f>
        <v>16293</v>
      </c>
      <c r="C66" s="704">
        <f>vlookup(A66,'KY Data'!$A$3:$M$124,2,FALSE)</f>
        <v>34</v>
      </c>
      <c r="D66" s="612" t="s">
        <v>63</v>
      </c>
      <c r="E66" s="612">
        <f>vlookup(A66,'KY Data'!$A$3:$M$124,4,FALSE)</f>
        <v>12</v>
      </c>
      <c r="F66" s="612">
        <f>vlookup(A66,'KY Data'!$A$3:$M$124,3,FALSE)</f>
        <v>4</v>
      </c>
      <c r="G66" s="612" t="s">
        <v>63</v>
      </c>
      <c r="H66" s="671" t="s">
        <v>63</v>
      </c>
      <c r="I66" s="614">
        <f>vlookup(A66,'KY Data'!$A$3:$N$124,14,FALSE)</f>
        <v>4</v>
      </c>
      <c r="J66" s="615" t="s">
        <v>63</v>
      </c>
      <c r="K66" s="672" t="s">
        <v>63</v>
      </c>
      <c r="L66" s="826" t="s">
        <v>63</v>
      </c>
      <c r="M66" s="614" t="s">
        <v>63</v>
      </c>
      <c r="N66" s="614" t="s">
        <v>63</v>
      </c>
      <c r="O66" s="614" t="s">
        <v>63</v>
      </c>
      <c r="P66" s="620">
        <f>ifna(vlookup(A66,'Population &amp; Church Numbers'!$A$996:$D$1115,4,FALSE),"NULL")</f>
        <v>25</v>
      </c>
      <c r="Q66" s="674" t="s">
        <v>63</v>
      </c>
    </row>
    <row r="67">
      <c r="A67" s="609" t="s">
        <v>147</v>
      </c>
      <c r="B67" s="610">
        <f t="array" ref="B67">VLOOKUP($A67,KY_DEMO,2,FALSE)</f>
        <v>7395</v>
      </c>
      <c r="C67" s="704">
        <f>vlookup(A67,'KY Data'!$A$3:$M$124,2,FALSE)</f>
        <v>37</v>
      </c>
      <c r="D67" s="612" t="s">
        <v>63</v>
      </c>
      <c r="E67" s="612">
        <f>vlookup(A67,'KY Data'!$A$3:$M$124,4,FALSE)</f>
        <v>16</v>
      </c>
      <c r="F67" s="612">
        <f>vlookup(A67,'KY Data'!$A$3:$M$124,3,FALSE)</f>
        <v>0</v>
      </c>
      <c r="G67" s="612" t="s">
        <v>63</v>
      </c>
      <c r="H67" s="671" t="s">
        <v>63</v>
      </c>
      <c r="I67" s="614">
        <f>vlookup(A67,'KY Data'!$A$3:$N$124,14,FALSE)</f>
        <v>11</v>
      </c>
      <c r="J67" s="615" t="s">
        <v>63</v>
      </c>
      <c r="K67" s="672" t="s">
        <v>63</v>
      </c>
      <c r="L67" s="826" t="s">
        <v>63</v>
      </c>
      <c r="M67" s="614" t="s">
        <v>63</v>
      </c>
      <c r="N67" s="614" t="s">
        <v>63</v>
      </c>
      <c r="O67" s="614" t="s">
        <v>63</v>
      </c>
      <c r="P67" s="620">
        <f>ifna(vlookup(A67,'Population &amp; Church Numbers'!$A$996:$D$1115,4,FALSE),"NULL")</f>
        <v>8</v>
      </c>
      <c r="Q67" s="674" t="s">
        <v>63</v>
      </c>
    </row>
    <row r="68">
      <c r="A68" s="609" t="s">
        <v>1115</v>
      </c>
      <c r="B68" s="610">
        <f t="array" ref="B68">VLOOKUP($A68,KY_DEMO,2,FALSE)</f>
        <v>10513</v>
      </c>
      <c r="C68" s="704">
        <f>vlookup(A68,'KY Data'!$A$3:$M$124,2,FALSE)</f>
        <v>18</v>
      </c>
      <c r="D68" s="612" t="s">
        <v>63</v>
      </c>
      <c r="E68" s="612">
        <f>vlookup(A68,'KY Data'!$A$3:$M$124,4,FALSE)</f>
        <v>5</v>
      </c>
      <c r="F68" s="612">
        <f>vlookup(A68,'KY Data'!$A$3:$M$124,3,FALSE)</f>
        <v>2</v>
      </c>
      <c r="G68" s="612" t="s">
        <v>63</v>
      </c>
      <c r="H68" s="671" t="s">
        <v>63</v>
      </c>
      <c r="I68" s="614">
        <f>vlookup(A68,'KY Data'!$A$3:$N$124,14,FALSE)</f>
        <v>6</v>
      </c>
      <c r="J68" s="615" t="s">
        <v>63</v>
      </c>
      <c r="K68" s="672" t="s">
        <v>63</v>
      </c>
      <c r="L68" s="826" t="s">
        <v>63</v>
      </c>
      <c r="M68" s="614" t="s">
        <v>63</v>
      </c>
      <c r="N68" s="614" t="s">
        <v>63</v>
      </c>
      <c r="O68" s="614" t="s">
        <v>63</v>
      </c>
      <c r="P68" s="620">
        <f>ifna(vlookup(A68,'Population &amp; Church Numbers'!$A$996:$D$1115,4,FALSE),"NULL")</f>
        <v>26</v>
      </c>
      <c r="Q68" s="674" t="s">
        <v>63</v>
      </c>
    </row>
    <row r="69">
      <c r="A69" s="609" t="s">
        <v>1116</v>
      </c>
      <c r="B69" s="610">
        <f t="array" ref="B69">VLOOKUP($A69,KY_DEMO,2,FALSE)</f>
        <v>21548</v>
      </c>
      <c r="C69" s="704">
        <f>vlookup(A69,'KY Data'!$A$3:$M$124,2,FALSE)</f>
        <v>21</v>
      </c>
      <c r="D69" s="612" t="s">
        <v>63</v>
      </c>
      <c r="E69" s="612">
        <f>vlookup(A69,'KY Data'!$A$3:$M$124,4,FALSE)</f>
        <v>15</v>
      </c>
      <c r="F69" s="612">
        <f>vlookup(A69,'KY Data'!$A$3:$M$124,3,FALSE)</f>
        <v>0</v>
      </c>
      <c r="G69" s="612" t="s">
        <v>63</v>
      </c>
      <c r="H69" s="671" t="s">
        <v>63</v>
      </c>
      <c r="I69" s="614">
        <f>vlookup(A69,'KY Data'!$A$3:$N$124,14,FALSE)</f>
        <v>15</v>
      </c>
      <c r="J69" s="615" t="s">
        <v>63</v>
      </c>
      <c r="K69" s="672" t="s">
        <v>63</v>
      </c>
      <c r="L69" s="826" t="s">
        <v>63</v>
      </c>
      <c r="M69" s="614" t="s">
        <v>63</v>
      </c>
      <c r="N69" s="614" t="s">
        <v>63</v>
      </c>
      <c r="O69" s="614" t="s">
        <v>63</v>
      </c>
      <c r="P69" s="620">
        <f>ifna(vlookup(A69,'Population &amp; Church Numbers'!$A$996:$D$1115,4,FALSE),"NULL")</f>
        <v>21</v>
      </c>
      <c r="Q69" s="674" t="s">
        <v>63</v>
      </c>
    </row>
    <row r="70">
      <c r="A70" s="609" t="s">
        <v>682</v>
      </c>
      <c r="B70" s="610">
        <f t="array" ref="B70">VLOOKUP($A70,KY_DEMO,2,FALSE)</f>
        <v>13080</v>
      </c>
      <c r="C70" s="704">
        <f>vlookup(A70,'KY Data'!$A$3:$M$124,2,FALSE)</f>
        <v>7</v>
      </c>
      <c r="D70" s="612" t="s">
        <v>63</v>
      </c>
      <c r="E70" s="612">
        <f>vlookup(A70,'KY Data'!$A$3:$M$124,4,FALSE)</f>
        <v>0</v>
      </c>
      <c r="F70" s="612">
        <f>vlookup(A70,'KY Data'!$A$3:$M$124,3,FALSE)</f>
        <v>0</v>
      </c>
      <c r="G70" s="612" t="s">
        <v>63</v>
      </c>
      <c r="H70" s="671" t="s">
        <v>63</v>
      </c>
      <c r="I70" s="614">
        <f>vlookup(A70,'KY Data'!$A$3:$N$124,14,FALSE)</f>
        <v>3</v>
      </c>
      <c r="J70" s="615" t="s">
        <v>63</v>
      </c>
      <c r="K70" s="672" t="s">
        <v>63</v>
      </c>
      <c r="L70" s="826" t="s">
        <v>63</v>
      </c>
      <c r="M70" s="614" t="s">
        <v>63</v>
      </c>
      <c r="N70" s="614" t="s">
        <v>63</v>
      </c>
      <c r="O70" s="614" t="s">
        <v>63</v>
      </c>
      <c r="P70" s="620">
        <f>ifna(vlookup(A70,'Population &amp; Church Numbers'!$A$996:$D$1115,4,FALSE),"NULL")</f>
        <v>17</v>
      </c>
      <c r="Q70" s="674" t="s">
        <v>63</v>
      </c>
    </row>
    <row r="71">
      <c r="A71" s="609" t="s">
        <v>290</v>
      </c>
      <c r="B71" s="610">
        <f t="array" ref="B71">VLOOKUP($A71,KY_DEMO,2,FALSE)</f>
        <v>24275</v>
      </c>
      <c r="C71" s="704">
        <f>vlookup(A71,'KY Data'!$A$3:$M$124,2,FALSE)</f>
        <v>92</v>
      </c>
      <c r="D71" s="612" t="s">
        <v>63</v>
      </c>
      <c r="E71" s="612">
        <f>vlookup(A71,'KY Data'!$A$3:$M$124,4,FALSE)</f>
        <v>36</v>
      </c>
      <c r="F71" s="612">
        <f>vlookup(A71,'KY Data'!$A$3:$M$124,3,FALSE)</f>
        <v>3</v>
      </c>
      <c r="G71" s="612" t="s">
        <v>63</v>
      </c>
      <c r="H71" s="671" t="s">
        <v>63</v>
      </c>
      <c r="I71" s="614">
        <f>vlookup(A71,'KY Data'!$A$3:$N$124,14,FALSE)</f>
        <v>38</v>
      </c>
      <c r="J71" s="615" t="s">
        <v>63</v>
      </c>
      <c r="K71" s="672" t="s">
        <v>63</v>
      </c>
      <c r="L71" s="826" t="s">
        <v>63</v>
      </c>
      <c r="M71" s="614" t="s">
        <v>63</v>
      </c>
      <c r="N71" s="614" t="s">
        <v>63</v>
      </c>
      <c r="O71" s="614" t="s">
        <v>63</v>
      </c>
      <c r="P71" s="620">
        <f>ifna(vlookup(A71,'Population &amp; Church Numbers'!$A$996:$D$1115,4,FALSE),"NULL")</f>
        <v>28</v>
      </c>
      <c r="Q71" s="674" t="s">
        <v>63</v>
      </c>
    </row>
    <row r="72">
      <c r="A72" s="609" t="s">
        <v>730</v>
      </c>
      <c r="B72" s="610">
        <f t="array" ref="B72">VLOOKUP($A72,KY_DEMO,2,FALSE)</f>
        <v>8888</v>
      </c>
      <c r="C72" s="704">
        <f>vlookup(A72,'KY Data'!$A$3:$M$124,2,FALSE)</f>
        <v>6</v>
      </c>
      <c r="D72" s="612" t="s">
        <v>63</v>
      </c>
      <c r="E72" s="612">
        <f>vlookup(A72,'KY Data'!$A$3:$M$124,4,FALSE)</f>
        <v>3</v>
      </c>
      <c r="F72" s="612">
        <f>vlookup(A72,'KY Data'!$A$3:$M$124,3,FALSE)</f>
        <v>2</v>
      </c>
      <c r="G72" s="612" t="s">
        <v>63</v>
      </c>
      <c r="H72" s="671" t="s">
        <v>63</v>
      </c>
      <c r="I72" s="614">
        <f>vlookup(A72,'KY Data'!$A$3:$N$124,14,FALSE)</f>
        <v>0</v>
      </c>
      <c r="J72" s="615" t="s">
        <v>63</v>
      </c>
      <c r="K72" s="672" t="s">
        <v>63</v>
      </c>
      <c r="L72" s="826" t="s">
        <v>63</v>
      </c>
      <c r="M72" s="614" t="s">
        <v>63</v>
      </c>
      <c r="N72" s="614" t="s">
        <v>63</v>
      </c>
      <c r="O72" s="614" t="s">
        <v>63</v>
      </c>
      <c r="P72" s="620">
        <f>ifna(vlookup(A72,'Population &amp; Church Numbers'!$A$996:$D$1115,4,FALSE),"NULL")</f>
        <v>27</v>
      </c>
      <c r="Q72" s="674" t="s">
        <v>63</v>
      </c>
    </row>
    <row r="73">
      <c r="A73" s="609" t="s">
        <v>293</v>
      </c>
      <c r="B73" s="610">
        <f t="array" ref="B73">VLOOKUP($A73,KY_DEMO,2,FALSE)</f>
        <v>27432</v>
      </c>
      <c r="C73" s="704">
        <f>vlookup(A73,'KY Data'!$A$3:$M$124,2,FALSE)</f>
        <v>33</v>
      </c>
      <c r="D73" s="612" t="s">
        <v>63</v>
      </c>
      <c r="E73" s="612">
        <f>vlookup(A73,'KY Data'!$A$3:$M$124,4,FALSE)</f>
        <v>15</v>
      </c>
      <c r="F73" s="612">
        <f>vlookup(A73,'KY Data'!$A$3:$M$124,3,FALSE)</f>
        <v>1</v>
      </c>
      <c r="G73" s="612" t="s">
        <v>63</v>
      </c>
      <c r="H73" s="671" t="s">
        <v>63</v>
      </c>
      <c r="I73" s="614">
        <f>vlookup(A73,'KY Data'!$A$3:$N$124,14,FALSE)</f>
        <v>13</v>
      </c>
      <c r="J73" s="615" t="s">
        <v>63</v>
      </c>
      <c r="K73" s="672" t="s">
        <v>63</v>
      </c>
      <c r="L73" s="826" t="s">
        <v>63</v>
      </c>
      <c r="M73" s="614" t="s">
        <v>63</v>
      </c>
      <c r="N73" s="614" t="s">
        <v>63</v>
      </c>
      <c r="O73" s="614" t="s">
        <v>63</v>
      </c>
      <c r="P73" s="620">
        <f>ifna(vlookup(A73,'Population &amp; Church Numbers'!$A$996:$D$1115,4,FALSE),"NULL")</f>
        <v>62</v>
      </c>
      <c r="Q73" s="674" t="s">
        <v>63</v>
      </c>
    </row>
    <row r="74">
      <c r="A74" s="609" t="s">
        <v>910</v>
      </c>
      <c r="B74" s="610">
        <f t="array" ref="B74">VLOOKUP($A74,KY_DEMO,2,FALSE)</f>
        <v>8680</v>
      </c>
      <c r="C74" s="704">
        <f>vlookup(A74,'KY Data'!$A$3:$M$124,2,FALSE)</f>
        <v>20</v>
      </c>
      <c r="D74" s="612" t="s">
        <v>63</v>
      </c>
      <c r="E74" s="612">
        <f>vlookup(A74,'KY Data'!$A$3:$M$124,4,FALSE)</f>
        <v>8</v>
      </c>
      <c r="F74" s="612">
        <f>vlookup(A74,'KY Data'!$A$3:$M$124,3,FALSE)</f>
        <v>5</v>
      </c>
      <c r="G74" s="612" t="s">
        <v>63</v>
      </c>
      <c r="H74" s="671" t="s">
        <v>63</v>
      </c>
      <c r="I74" s="614">
        <f>vlookup(A74,'KY Data'!$A$3:$N$124,14,FALSE)</f>
        <v>3</v>
      </c>
      <c r="J74" s="615" t="s">
        <v>63</v>
      </c>
      <c r="K74" s="672" t="s">
        <v>63</v>
      </c>
      <c r="L74" s="826" t="s">
        <v>63</v>
      </c>
      <c r="M74" s="614" t="s">
        <v>63</v>
      </c>
      <c r="N74" s="614" t="s">
        <v>63</v>
      </c>
      <c r="O74" s="614" t="s">
        <v>63</v>
      </c>
      <c r="P74" s="620">
        <f>ifna(vlookup(A74,'Population &amp; Church Numbers'!$A$996:$D$1115,4,FALSE),"NULL")</f>
        <v>12</v>
      </c>
      <c r="Q74" s="674" t="s">
        <v>63</v>
      </c>
    </row>
    <row r="75">
      <c r="A75" s="609" t="s">
        <v>1117</v>
      </c>
      <c r="B75" s="610">
        <f t="array" ref="B75">VLOOKUP($A75,KY_DEMO,2,FALSE)</f>
        <v>67875</v>
      </c>
      <c r="C75" s="704">
        <f>vlookup(A75,'KY Data'!$A$3:$M$124,2,FALSE)</f>
        <v>122</v>
      </c>
      <c r="D75" s="612" t="s">
        <v>63</v>
      </c>
      <c r="E75" s="612">
        <f>vlookup(A75,'KY Data'!$A$3:$M$124,4,FALSE)</f>
        <v>41</v>
      </c>
      <c r="F75" s="612">
        <f>vlookup(A75,'KY Data'!$A$3:$M$124,3,FALSE)</f>
        <v>25</v>
      </c>
      <c r="G75" s="612" t="s">
        <v>63</v>
      </c>
      <c r="H75" s="671" t="s">
        <v>63</v>
      </c>
      <c r="I75" s="614">
        <f>vlookup(A75,'KY Data'!$A$3:$N$124,14,FALSE)</f>
        <v>40</v>
      </c>
      <c r="J75" s="615" t="s">
        <v>63</v>
      </c>
      <c r="K75" s="672" t="s">
        <v>63</v>
      </c>
      <c r="L75" s="826" t="s">
        <v>63</v>
      </c>
      <c r="M75" s="614" t="s">
        <v>63</v>
      </c>
      <c r="N75" s="614" t="s">
        <v>63</v>
      </c>
      <c r="O75" s="614" t="s">
        <v>63</v>
      </c>
      <c r="P75" s="620">
        <f>ifna(vlookup(A75,'Population &amp; Church Numbers'!$A$996:$D$1115,4,FALSE),"NULL")</f>
        <v>100</v>
      </c>
      <c r="Q75" s="674" t="s">
        <v>63</v>
      </c>
    </row>
    <row r="76">
      <c r="A76" s="609" t="s">
        <v>1118</v>
      </c>
      <c r="B76" s="610">
        <f t="array" ref="B76">VLOOKUP($A76,KY_DEMO,2,FALSE)</f>
        <v>16888</v>
      </c>
      <c r="C76" s="704">
        <f>vlookup(A76,'KY Data'!$A$3:$M$124,2,FALSE)</f>
        <v>32</v>
      </c>
      <c r="D76" s="612" t="s">
        <v>63</v>
      </c>
      <c r="E76" s="612">
        <f>vlookup(A76,'KY Data'!$A$3:$M$124,4,FALSE)</f>
        <v>6</v>
      </c>
      <c r="F76" s="612">
        <f>vlookup(A76,'KY Data'!$A$3:$M$124,3,FALSE)</f>
        <v>4</v>
      </c>
      <c r="G76" s="612" t="s">
        <v>63</v>
      </c>
      <c r="H76" s="671" t="s">
        <v>63</v>
      </c>
      <c r="I76" s="614">
        <f>vlookup(A76,'KY Data'!$A$3:$N$124,14,FALSE)</f>
        <v>7</v>
      </c>
      <c r="J76" s="615" t="s">
        <v>63</v>
      </c>
      <c r="K76" s="672" t="s">
        <v>63</v>
      </c>
      <c r="L76" s="826" t="s">
        <v>63</v>
      </c>
      <c r="M76" s="614" t="s">
        <v>63</v>
      </c>
      <c r="N76" s="614" t="s">
        <v>63</v>
      </c>
      <c r="O76" s="614" t="s">
        <v>63</v>
      </c>
      <c r="P76" s="620">
        <f>ifna(vlookup(A76,'Population &amp; Church Numbers'!$A$996:$D$1115,4,FALSE),"NULL")</f>
        <v>15</v>
      </c>
      <c r="Q76" s="674" t="s">
        <v>63</v>
      </c>
    </row>
    <row r="77">
      <c r="A77" s="609" t="s">
        <v>2515</v>
      </c>
      <c r="B77" s="610">
        <f t="array" ref="B77">VLOOKUP($A77,KY_DEMO,2,FALSE)</f>
        <v>9152</v>
      </c>
      <c r="C77" s="704">
        <f>vlookup(A77,'KY Data'!$A$3:$M$124,2,FALSE)</f>
        <v>13</v>
      </c>
      <c r="D77" s="612" t="s">
        <v>63</v>
      </c>
      <c r="E77" s="612">
        <f>vlookup(A77,'KY Data'!$A$3:$M$124,4,FALSE)</f>
        <v>8</v>
      </c>
      <c r="F77" s="612">
        <f>vlookup(A77,'KY Data'!$A$3:$M$124,3,FALSE)</f>
        <v>0</v>
      </c>
      <c r="G77" s="612" t="s">
        <v>63</v>
      </c>
      <c r="H77" s="671" t="s">
        <v>63</v>
      </c>
      <c r="I77" s="614">
        <f>vlookup(A77,'KY Data'!$A$3:$N$124,14,FALSE)</f>
        <v>1</v>
      </c>
      <c r="J77" s="615" t="s">
        <v>63</v>
      </c>
      <c r="K77" s="672" t="s">
        <v>63</v>
      </c>
      <c r="L77" s="826" t="s">
        <v>63</v>
      </c>
      <c r="M77" s="614" t="s">
        <v>63</v>
      </c>
      <c r="N77" s="614" t="s">
        <v>63</v>
      </c>
      <c r="O77" s="614" t="s">
        <v>63</v>
      </c>
      <c r="P77" s="620">
        <f>ifna(vlookup(A77,'Population &amp; Church Numbers'!$A$996:$D$1115,4,FALSE),"NULL")</f>
        <v>16</v>
      </c>
      <c r="Q77" s="674" t="s">
        <v>63</v>
      </c>
    </row>
    <row r="78">
      <c r="A78" s="609" t="s">
        <v>151</v>
      </c>
      <c r="B78" s="610">
        <f t="array" ref="B78">VLOOKUP($A78,KY_DEMO,2,FALSE)</f>
        <v>92701</v>
      </c>
      <c r="C78" s="704">
        <f>vlookup(A78,'KY Data'!$A$3:$M$124,2,FALSE)</f>
        <v>207</v>
      </c>
      <c r="D78" s="612" t="s">
        <v>63</v>
      </c>
      <c r="E78" s="612">
        <f>vlookup(A78,'KY Data'!$A$3:$M$124,4,FALSE)</f>
        <v>84</v>
      </c>
      <c r="F78" s="612">
        <f>vlookup(A78,'KY Data'!$A$3:$M$124,3,FALSE)</f>
        <v>16</v>
      </c>
      <c r="G78" s="612" t="s">
        <v>63</v>
      </c>
      <c r="H78" s="671" t="s">
        <v>63</v>
      </c>
      <c r="I78" s="614">
        <f>vlookup(A78,'KY Data'!$A$3:$N$124,14,FALSE)</f>
        <v>82</v>
      </c>
      <c r="J78" s="615" t="s">
        <v>63</v>
      </c>
      <c r="K78" s="672" t="s">
        <v>63</v>
      </c>
      <c r="L78" s="826" t="s">
        <v>63</v>
      </c>
      <c r="M78" s="614" t="s">
        <v>63</v>
      </c>
      <c r="N78" s="614" t="s">
        <v>63</v>
      </c>
      <c r="O78" s="614" t="s">
        <v>63</v>
      </c>
      <c r="P78" s="620">
        <f>ifna(vlookup(A78,'Population &amp; Church Numbers'!$A$996:$D$1115,4,FALSE),"NULL")</f>
        <v>89</v>
      </c>
      <c r="Q78" s="674" t="s">
        <v>63</v>
      </c>
    </row>
    <row r="79">
      <c r="A79" s="609" t="s">
        <v>1119</v>
      </c>
      <c r="B79" s="610">
        <f t="array" ref="B79">VLOOKUP($A79,KY_DEMO,2,FALSE)</f>
        <v>11637</v>
      </c>
      <c r="C79" s="704">
        <f>vlookup(A79,'KY Data'!$A$3:$M$124,2,FALSE)</f>
        <v>26</v>
      </c>
      <c r="D79" s="612" t="s">
        <v>63</v>
      </c>
      <c r="E79" s="612">
        <f>vlookup(A79,'KY Data'!$A$3:$M$124,4,FALSE)</f>
        <v>13</v>
      </c>
      <c r="F79" s="612">
        <f>vlookup(A79,'KY Data'!$A$3:$M$124,3,FALSE)</f>
        <v>0</v>
      </c>
      <c r="G79" s="612" t="s">
        <v>63</v>
      </c>
      <c r="H79" s="671" t="s">
        <v>63</v>
      </c>
      <c r="I79" s="614">
        <f>vlookup(A79,'KY Data'!$A$3:$N$124,14,FALSE)</f>
        <v>18</v>
      </c>
      <c r="J79" s="615" t="s">
        <v>63</v>
      </c>
      <c r="K79" s="672" t="s">
        <v>63</v>
      </c>
      <c r="L79" s="826" t="s">
        <v>63</v>
      </c>
      <c r="M79" s="614" t="s">
        <v>63</v>
      </c>
      <c r="N79" s="614" t="s">
        <v>63</v>
      </c>
      <c r="O79" s="614" t="s">
        <v>63</v>
      </c>
      <c r="P79" s="620">
        <f>ifna(vlookup(A79,'Population &amp; Church Numbers'!$A$996:$D$1115,4,FALSE),"NULL")</f>
        <v>27</v>
      </c>
      <c r="Q79" s="674" t="s">
        <v>63</v>
      </c>
    </row>
    <row r="80">
      <c r="A80" s="609" t="s">
        <v>153</v>
      </c>
      <c r="B80" s="610">
        <f t="array" ref="B80">VLOOKUP($A80,KY_DEMO,2,FALSE)</f>
        <v>19581</v>
      </c>
      <c r="C80" s="704">
        <f>vlookup(A80,'KY Data'!$A$3:$M$124,2,FALSE)</f>
        <v>30</v>
      </c>
      <c r="D80" s="612" t="s">
        <v>63</v>
      </c>
      <c r="E80" s="612">
        <f>vlookup(A80,'KY Data'!$A$3:$M$124,4,FALSE)</f>
        <v>8</v>
      </c>
      <c r="F80" s="612">
        <f>vlookup(A80,'KY Data'!$A$3:$M$124,3,FALSE)</f>
        <v>5</v>
      </c>
      <c r="G80" s="612" t="s">
        <v>63</v>
      </c>
      <c r="H80" s="671" t="s">
        <v>63</v>
      </c>
      <c r="I80" s="614">
        <f>vlookup(A80,'KY Data'!$A$3:$N$124,14,FALSE)</f>
        <v>2</v>
      </c>
      <c r="J80" s="615" t="s">
        <v>63</v>
      </c>
      <c r="K80" s="672" t="s">
        <v>63</v>
      </c>
      <c r="L80" s="826" t="s">
        <v>63</v>
      </c>
      <c r="M80" s="614" t="s">
        <v>63</v>
      </c>
      <c r="N80" s="614" t="s">
        <v>63</v>
      </c>
      <c r="O80" s="614" t="s">
        <v>63</v>
      </c>
      <c r="P80" s="620">
        <f>ifna(vlookup(A80,'Population &amp; Church Numbers'!$A$996:$D$1115,4,FALSE),"NULL")</f>
        <v>15</v>
      </c>
      <c r="Q80" s="674" t="s">
        <v>63</v>
      </c>
    </row>
    <row r="81">
      <c r="A81" s="609" t="s">
        <v>154</v>
      </c>
      <c r="B81" s="610">
        <f t="array" ref="B81">VLOOKUP($A81,KY_DEMO,2,FALSE)</f>
        <v>31659</v>
      </c>
      <c r="C81" s="704">
        <f>vlookup(A81,'KY Data'!$A$3:$M$124,2,FALSE)</f>
        <v>95</v>
      </c>
      <c r="D81" s="612" t="s">
        <v>63</v>
      </c>
      <c r="E81" s="612">
        <f>vlookup(A81,'KY Data'!$A$3:$M$124,4,FALSE)</f>
        <v>45</v>
      </c>
      <c r="F81" s="612">
        <f>vlookup(A81,'KY Data'!$A$3:$M$124,3,FALSE)</f>
        <v>10</v>
      </c>
      <c r="G81" s="612" t="s">
        <v>63</v>
      </c>
      <c r="H81" s="671" t="s">
        <v>63</v>
      </c>
      <c r="I81" s="614">
        <f>vlookup(A81,'KY Data'!$A$3:$N$124,14,FALSE)</f>
        <v>49</v>
      </c>
      <c r="J81" s="615" t="s">
        <v>63</v>
      </c>
      <c r="K81" s="672" t="s">
        <v>63</v>
      </c>
      <c r="L81" s="826" t="s">
        <v>63</v>
      </c>
      <c r="M81" s="614" t="s">
        <v>63</v>
      </c>
      <c r="N81" s="614" t="s">
        <v>63</v>
      </c>
      <c r="O81" s="614" t="s">
        <v>63</v>
      </c>
      <c r="P81" s="620">
        <f>ifna(vlookup(A81,'Population &amp; Church Numbers'!$A$996:$D$1115,4,FALSE),"NULL")</f>
        <v>52</v>
      </c>
      <c r="Q81" s="674" t="s">
        <v>63</v>
      </c>
    </row>
    <row r="82">
      <c r="A82" s="609" t="s">
        <v>510</v>
      </c>
      <c r="B82" s="610">
        <f t="array" ref="B82">VLOOKUP($A82,KY_DEMO,2,FALSE)</f>
        <v>11287</v>
      </c>
      <c r="C82" s="704">
        <f>vlookup(A82,'KY Data'!$A$3:$M$124,2,FALSE)</f>
        <v>39</v>
      </c>
      <c r="D82" s="612" t="s">
        <v>63</v>
      </c>
      <c r="E82" s="612">
        <f>vlookup(A82,'KY Data'!$A$3:$M$124,4,FALSE)</f>
        <v>9</v>
      </c>
      <c r="F82" s="612">
        <f>vlookup(A82,'KY Data'!$A$3:$M$124,3,FALSE)</f>
        <v>1</v>
      </c>
      <c r="G82" s="612" t="s">
        <v>63</v>
      </c>
      <c r="H82" s="671" t="s">
        <v>63</v>
      </c>
      <c r="I82" s="614">
        <f>vlookup(A82,'KY Data'!$A$3:$N$124,14,FALSE)</f>
        <v>10</v>
      </c>
      <c r="J82" s="615" t="s">
        <v>63</v>
      </c>
      <c r="K82" s="672" t="s">
        <v>63</v>
      </c>
      <c r="L82" s="826" t="s">
        <v>63</v>
      </c>
      <c r="M82" s="614" t="s">
        <v>63</v>
      </c>
      <c r="N82" s="614" t="s">
        <v>63</v>
      </c>
      <c r="O82" s="614" t="s">
        <v>63</v>
      </c>
      <c r="P82" s="620">
        <f>ifna(vlookup(A82,'Population &amp; Church Numbers'!$A$996:$D$1115,4,FALSE),"NULL")</f>
        <v>15</v>
      </c>
      <c r="Q82" s="674" t="s">
        <v>63</v>
      </c>
    </row>
    <row r="83">
      <c r="A83" s="609" t="s">
        <v>735</v>
      </c>
      <c r="B83" s="610">
        <f t="array" ref="B83">VLOOKUP($A83,KY_DEMO,2,FALSE)</f>
        <v>17120</v>
      </c>
      <c r="C83" s="704">
        <f>vlookup(A83,'KY Data'!$A$3:$M$124,2,FALSE)</f>
        <v>22</v>
      </c>
      <c r="D83" s="612" t="s">
        <v>63</v>
      </c>
      <c r="E83" s="612">
        <f>vlookup(A83,'KY Data'!$A$3:$M$124,4,FALSE)</f>
        <v>6</v>
      </c>
      <c r="F83" s="612">
        <f>vlookup(A83,'KY Data'!$A$3:$M$124,3,FALSE)</f>
        <v>1</v>
      </c>
      <c r="G83" s="612" t="s">
        <v>63</v>
      </c>
      <c r="H83" s="671" t="s">
        <v>63</v>
      </c>
      <c r="I83" s="614">
        <f>vlookup(A83,'KY Data'!$A$3:$N$124,14,FALSE)</f>
        <v>10</v>
      </c>
      <c r="J83" s="615" t="s">
        <v>63</v>
      </c>
      <c r="K83" s="672" t="s">
        <v>63</v>
      </c>
      <c r="L83" s="826" t="s">
        <v>63</v>
      </c>
      <c r="M83" s="614" t="s">
        <v>63</v>
      </c>
      <c r="N83" s="614" t="s">
        <v>63</v>
      </c>
      <c r="O83" s="614" t="s">
        <v>63</v>
      </c>
      <c r="P83" s="620">
        <f>ifna(vlookup(A83,'Population &amp; Church Numbers'!$A$996:$D$1115,4,FALSE),"NULL")</f>
        <v>35</v>
      </c>
      <c r="Q83" s="674" t="s">
        <v>63</v>
      </c>
    </row>
    <row r="84">
      <c r="A84" s="609" t="s">
        <v>989</v>
      </c>
      <c r="B84" s="610">
        <f t="array" ref="B84">VLOOKUP($A84,KY_DEMO,2,FALSE)</f>
        <v>30003</v>
      </c>
      <c r="C84" s="704">
        <f>vlookup(A84,'KY Data'!$A$3:$M$124,2,FALSE)</f>
        <v>22</v>
      </c>
      <c r="D84" s="612" t="s">
        <v>63</v>
      </c>
      <c r="E84" s="612">
        <f>vlookup(A84,'KY Data'!$A$3:$M$124,4,FALSE)</f>
        <v>6</v>
      </c>
      <c r="F84" s="612">
        <f>vlookup(A84,'KY Data'!$A$3:$M$124,3,FALSE)</f>
        <v>2</v>
      </c>
      <c r="G84" s="612" t="s">
        <v>63</v>
      </c>
      <c r="H84" s="671" t="s">
        <v>63</v>
      </c>
      <c r="I84" s="614">
        <f>vlookup(A84,'KY Data'!$A$3:$N$124,14,FALSE)</f>
        <v>12</v>
      </c>
      <c r="J84" s="615" t="s">
        <v>63</v>
      </c>
      <c r="K84" s="672" t="s">
        <v>63</v>
      </c>
      <c r="L84" s="826" t="s">
        <v>63</v>
      </c>
      <c r="M84" s="614" t="s">
        <v>63</v>
      </c>
      <c r="N84" s="614" t="s">
        <v>63</v>
      </c>
      <c r="O84" s="614" t="s">
        <v>63</v>
      </c>
      <c r="P84" s="620">
        <f>ifna(vlookup(A84,'Population &amp; Church Numbers'!$A$996:$D$1115,4,FALSE),"NULL")</f>
        <v>27</v>
      </c>
      <c r="Q84" s="674" t="s">
        <v>63</v>
      </c>
    </row>
    <row r="85">
      <c r="A85" s="609" t="s">
        <v>1121</v>
      </c>
      <c r="B85" s="610">
        <f t="array" ref="B85">VLOOKUP($A85,KY_DEMO,2,FALSE)</f>
        <v>6113</v>
      </c>
      <c r="C85" s="704">
        <f>vlookup(A85,'KY Data'!$A$3:$M$124,2,FALSE)</f>
        <v>14</v>
      </c>
      <c r="D85" s="612" t="s">
        <v>63</v>
      </c>
      <c r="E85" s="612">
        <f>vlookup(A85,'KY Data'!$A$3:$M$124,4,FALSE)</f>
        <v>3</v>
      </c>
      <c r="F85" s="612">
        <f>vlookup(A85,'KY Data'!$A$3:$M$124,3,FALSE)</f>
        <v>0</v>
      </c>
      <c r="G85" s="612" t="s">
        <v>63</v>
      </c>
      <c r="H85" s="671" t="s">
        <v>63</v>
      </c>
      <c r="I85" s="614">
        <f>vlookup(A85,'KY Data'!$A$3:$N$124,14,FALSE)</f>
        <v>3</v>
      </c>
      <c r="J85" s="615" t="s">
        <v>63</v>
      </c>
      <c r="K85" s="672" t="s">
        <v>63</v>
      </c>
      <c r="L85" s="826" t="s">
        <v>63</v>
      </c>
      <c r="M85" s="614" t="s">
        <v>63</v>
      </c>
      <c r="N85" s="614" t="s">
        <v>63</v>
      </c>
      <c r="O85" s="614" t="s">
        <v>63</v>
      </c>
      <c r="P85" s="620">
        <f>ifna(vlookup(A85,'Population &amp; Church Numbers'!$A$996:$D$1115,4,FALSE),"NULL")</f>
        <v>10</v>
      </c>
      <c r="Q85" s="674" t="s">
        <v>63</v>
      </c>
    </row>
    <row r="86">
      <c r="A86" s="609" t="s">
        <v>738</v>
      </c>
      <c r="B86" s="610">
        <f t="array" ref="B86">VLOOKUP($A86,KY_DEMO,2,FALSE)</f>
        <v>22641</v>
      </c>
      <c r="C86" s="704">
        <f>vlookup(A86,'KY Data'!$A$3:$M$124,2,FALSE)</f>
        <v>15</v>
      </c>
      <c r="D86" s="612" t="s">
        <v>63</v>
      </c>
      <c r="E86" s="612">
        <f>vlookup(A86,'KY Data'!$A$3:$M$124,4,FALSE)</f>
        <v>3</v>
      </c>
      <c r="F86" s="612">
        <f>vlookup(A86,'KY Data'!$A$3:$M$124,3,FALSE)</f>
        <v>3</v>
      </c>
      <c r="G86" s="612" t="s">
        <v>63</v>
      </c>
      <c r="H86" s="671" t="s">
        <v>63</v>
      </c>
      <c r="I86" s="614">
        <f>vlookup(A86,'KY Data'!$A$3:$N$124,14,FALSE)</f>
        <v>3</v>
      </c>
      <c r="J86" s="615" t="s">
        <v>63</v>
      </c>
      <c r="K86" s="672" t="s">
        <v>63</v>
      </c>
      <c r="L86" s="826" t="s">
        <v>63</v>
      </c>
      <c r="M86" s="614" t="s">
        <v>63</v>
      </c>
      <c r="N86" s="614" t="s">
        <v>63</v>
      </c>
      <c r="O86" s="614" t="s">
        <v>63</v>
      </c>
      <c r="P86" s="620">
        <f>ifna(vlookup(A86,'Population &amp; Church Numbers'!$A$996:$D$1115,4,FALSE),"NULL")</f>
        <v>36</v>
      </c>
      <c r="Q86" s="674" t="s">
        <v>63</v>
      </c>
    </row>
    <row r="87">
      <c r="A87" s="609" t="s">
        <v>1122</v>
      </c>
      <c r="B87" s="610">
        <f t="array" ref="B87">VLOOKUP($A87,KY_DEMO,2,FALSE)</f>
        <v>10286</v>
      </c>
      <c r="C87" s="704">
        <f>vlookup(A87,'KY Data'!$A$3:$M$124,2,FALSE)</f>
        <v>13</v>
      </c>
      <c r="D87" s="612" t="s">
        <v>63</v>
      </c>
      <c r="E87" s="612">
        <f>vlookup(A87,'KY Data'!$A$3:$M$124,4,FALSE)</f>
        <v>1</v>
      </c>
      <c r="F87" s="612">
        <f>vlookup(A87,'KY Data'!$A$3:$M$124,3,FALSE)</f>
        <v>3</v>
      </c>
      <c r="G87" s="612" t="s">
        <v>63</v>
      </c>
      <c r="H87" s="671" t="s">
        <v>63</v>
      </c>
      <c r="I87" s="614">
        <f>vlookup(A87,'KY Data'!$A$3:$N$124,14,FALSE)</f>
        <v>5</v>
      </c>
      <c r="J87" s="615" t="s">
        <v>63</v>
      </c>
      <c r="K87" s="672" t="s">
        <v>63</v>
      </c>
      <c r="L87" s="826" t="s">
        <v>63</v>
      </c>
      <c r="M87" s="614" t="s">
        <v>63</v>
      </c>
      <c r="N87" s="614" t="s">
        <v>63</v>
      </c>
      <c r="O87" s="614" t="s">
        <v>63</v>
      </c>
      <c r="P87" s="620">
        <f>ifna(vlookup(A87,'Population &amp; Church Numbers'!$A$996:$D$1115,4,FALSE),"NULL")</f>
        <v>11</v>
      </c>
      <c r="Q87" s="674" t="s">
        <v>63</v>
      </c>
    </row>
    <row r="88">
      <c r="A88" s="609" t="s">
        <v>156</v>
      </c>
      <c r="B88" s="610">
        <f t="array" ref="B88">VLOOKUP($A88,KY_DEMO,2,FALSE)</f>
        <v>11338</v>
      </c>
      <c r="C88" s="704">
        <f>vlookup(A88,'KY Data'!$A$3:$M$124,2,FALSE)</f>
        <v>13</v>
      </c>
      <c r="D88" s="612" t="s">
        <v>63</v>
      </c>
      <c r="E88" s="612">
        <f>vlookup(A88,'KY Data'!$A$3:$M$124,4,FALSE)</f>
        <v>5</v>
      </c>
      <c r="F88" s="612">
        <f>vlookup(A88,'KY Data'!$A$3:$M$124,3,FALSE)</f>
        <v>0</v>
      </c>
      <c r="G88" s="612" t="s">
        <v>63</v>
      </c>
      <c r="H88" s="671" t="s">
        <v>63</v>
      </c>
      <c r="I88" s="614">
        <f>vlookup(A88,'KY Data'!$A$3:$N$124,14,FALSE)</f>
        <v>1</v>
      </c>
      <c r="J88" s="615" t="s">
        <v>63</v>
      </c>
      <c r="K88" s="672" t="s">
        <v>63</v>
      </c>
      <c r="L88" s="826" t="s">
        <v>63</v>
      </c>
      <c r="M88" s="614" t="s">
        <v>63</v>
      </c>
      <c r="N88" s="614" t="s">
        <v>63</v>
      </c>
      <c r="O88" s="614" t="s">
        <v>63</v>
      </c>
      <c r="P88" s="620">
        <f>ifna(vlookup(A88,'Population &amp; Church Numbers'!$A$996:$D$1115,4,FALSE),"NULL")</f>
        <v>16</v>
      </c>
      <c r="Q88" s="674" t="s">
        <v>63</v>
      </c>
    </row>
    <row r="89">
      <c r="A89" s="609" t="s">
        <v>157</v>
      </c>
      <c r="B89" s="610">
        <f t="array" ref="B89">VLOOKUP($A89,KY_DEMO,2,FALSE)</f>
        <v>28114</v>
      </c>
      <c r="C89" s="704">
        <f>vlookup(A89,'KY Data'!$A$3:$M$124,2,FALSE)</f>
        <v>50</v>
      </c>
      <c r="D89" s="612" t="s">
        <v>63</v>
      </c>
      <c r="E89" s="612">
        <f>vlookup(A89,'KY Data'!$A$3:$M$124,4,FALSE)</f>
        <v>21</v>
      </c>
      <c r="F89" s="612">
        <f>vlookup(A89,'KY Data'!$A$3:$M$124,3,FALSE)</f>
        <v>5</v>
      </c>
      <c r="G89" s="612" t="s">
        <v>63</v>
      </c>
      <c r="H89" s="671" t="s">
        <v>63</v>
      </c>
      <c r="I89" s="614">
        <f>vlookup(A89,'KY Data'!$A$3:$N$124,14,FALSE)</f>
        <v>10</v>
      </c>
      <c r="J89" s="615" t="s">
        <v>63</v>
      </c>
      <c r="K89" s="672" t="s">
        <v>63</v>
      </c>
      <c r="L89" s="826" t="s">
        <v>63</v>
      </c>
      <c r="M89" s="614" t="s">
        <v>63</v>
      </c>
      <c r="N89" s="614" t="s">
        <v>63</v>
      </c>
      <c r="O89" s="614" t="s">
        <v>63</v>
      </c>
      <c r="P89" s="620">
        <f>ifna(vlookup(A89,'Population &amp; Church Numbers'!$A$996:$D$1115,4,FALSE),"NULL")</f>
        <v>28</v>
      </c>
      <c r="Q89" s="674" t="s">
        <v>63</v>
      </c>
    </row>
    <row r="90">
      <c r="A90" s="609" t="s">
        <v>158</v>
      </c>
      <c r="B90" s="610">
        <f t="array" ref="B90">VLOOKUP($A90,KY_DEMO,2,FALSE)</f>
        <v>13726</v>
      </c>
      <c r="C90" s="704">
        <f>vlookup(A90,'KY Data'!$A$3:$M$124,2,FALSE)</f>
        <v>27</v>
      </c>
      <c r="D90" s="612" t="s">
        <v>63</v>
      </c>
      <c r="E90" s="612">
        <f>vlookup(A90,'KY Data'!$A$3:$M$124,4,FALSE)</f>
        <v>3</v>
      </c>
      <c r="F90" s="612">
        <f>vlookup(A90,'KY Data'!$A$3:$M$124,3,FALSE)</f>
        <v>5</v>
      </c>
      <c r="G90" s="612" t="s">
        <v>63</v>
      </c>
      <c r="H90" s="671" t="s">
        <v>63</v>
      </c>
      <c r="I90" s="614">
        <f>vlookup(A90,'KY Data'!$A$3:$N$124,14,FALSE)</f>
        <v>1</v>
      </c>
      <c r="J90" s="615" t="s">
        <v>63</v>
      </c>
      <c r="K90" s="672" t="s">
        <v>63</v>
      </c>
      <c r="L90" s="826" t="s">
        <v>63</v>
      </c>
      <c r="M90" s="614" t="s">
        <v>63</v>
      </c>
      <c r="N90" s="614" t="s">
        <v>63</v>
      </c>
      <c r="O90" s="614" t="s">
        <v>63</v>
      </c>
      <c r="P90" s="620">
        <f>ifna(vlookup(A90,'Population &amp; Church Numbers'!$A$996:$D$1115,4,FALSE),"NULL")</f>
        <v>24</v>
      </c>
      <c r="Q90" s="674" t="s">
        <v>63</v>
      </c>
    </row>
    <row r="91">
      <c r="A91" s="609" t="s">
        <v>1124</v>
      </c>
      <c r="B91" s="610">
        <f t="array" ref="B91">VLOOKUP($A91,KY_DEMO,2,FALSE)</f>
        <v>30928</v>
      </c>
      <c r="C91" s="704">
        <f>vlookup(A91,'KY Data'!$A$3:$M$124,2,FALSE)</f>
        <v>46</v>
      </c>
      <c r="D91" s="612" t="s">
        <v>63</v>
      </c>
      <c r="E91" s="612">
        <f>vlookup(A91,'KY Data'!$A$3:$M$124,4,FALSE)</f>
        <v>18</v>
      </c>
      <c r="F91" s="612">
        <f>vlookup(A91,'KY Data'!$A$3:$M$124,3,FALSE)</f>
        <v>7</v>
      </c>
      <c r="G91" s="612" t="s">
        <v>63</v>
      </c>
      <c r="H91" s="671" t="s">
        <v>63</v>
      </c>
      <c r="I91" s="614">
        <f>vlookup(A91,'KY Data'!$A$3:$N$124,14,FALSE)</f>
        <v>21</v>
      </c>
      <c r="J91" s="615" t="s">
        <v>63</v>
      </c>
      <c r="K91" s="672" t="s">
        <v>63</v>
      </c>
      <c r="L91" s="826" t="s">
        <v>63</v>
      </c>
      <c r="M91" s="614" t="s">
        <v>63</v>
      </c>
      <c r="N91" s="614" t="s">
        <v>63</v>
      </c>
      <c r="O91" s="614" t="s">
        <v>63</v>
      </c>
      <c r="P91" s="620">
        <f>ifna(vlookup(A91,'Population &amp; Church Numbers'!$A$996:$D$1115,4,FALSE),"NULL")</f>
        <v>52</v>
      </c>
      <c r="Q91" s="674" t="s">
        <v>63</v>
      </c>
    </row>
    <row r="92">
      <c r="A92" s="609" t="s">
        <v>1125</v>
      </c>
      <c r="B92" s="610">
        <f t="array" ref="B92">VLOOKUP($A92,KY_DEMO,2,FALSE)</f>
        <v>46738</v>
      </c>
      <c r="C92" s="704">
        <f>vlookup(A92,'KY Data'!$A$3:$M$124,2,FALSE)</f>
        <v>30</v>
      </c>
      <c r="D92" s="612" t="s">
        <v>63</v>
      </c>
      <c r="E92" s="612">
        <f>vlookup(A92,'KY Data'!$A$3:$M$124,4,FALSE)</f>
        <v>8</v>
      </c>
      <c r="F92" s="612">
        <f>vlookup(A92,'KY Data'!$A$3:$M$124,3,FALSE)</f>
        <v>3</v>
      </c>
      <c r="G92" s="612" t="s">
        <v>63</v>
      </c>
      <c r="H92" s="671" t="s">
        <v>63</v>
      </c>
      <c r="I92" s="614">
        <f>vlookup(A92,'KY Data'!$A$3:$N$124,14,FALSE)</f>
        <v>12</v>
      </c>
      <c r="J92" s="615" t="s">
        <v>63</v>
      </c>
      <c r="K92" s="672" t="s">
        <v>63</v>
      </c>
      <c r="L92" s="826" t="s">
        <v>63</v>
      </c>
      <c r="M92" s="614" t="s">
        <v>63</v>
      </c>
      <c r="N92" s="614" t="s">
        <v>63</v>
      </c>
      <c r="O92" s="614" t="s">
        <v>63</v>
      </c>
      <c r="P92" s="620">
        <f>ifna(vlookup(A92,'Population &amp; Church Numbers'!$A$996:$D$1115,4,FALSE),"NULL")</f>
        <v>40</v>
      </c>
      <c r="Q92" s="674" t="s">
        <v>63</v>
      </c>
    </row>
    <row r="93">
      <c r="A93" s="609" t="s">
        <v>1126</v>
      </c>
      <c r="B93" s="610">
        <f t="array" ref="B93">VLOOKUP($A93,KY_DEMO,2,FALSE)</f>
        <v>7537</v>
      </c>
      <c r="C93" s="704">
        <f>vlookup(A93,'KY Data'!$A$3:$M$124,2,FALSE)</f>
        <v>10</v>
      </c>
      <c r="D93" s="612" t="s">
        <v>63</v>
      </c>
      <c r="E93" s="612">
        <f>vlookup(A93,'KY Data'!$A$3:$M$124,4,FALSE)</f>
        <v>4</v>
      </c>
      <c r="F93" s="612">
        <f>vlookup(A93,'KY Data'!$A$3:$M$124,3,FALSE)</f>
        <v>1</v>
      </c>
      <c r="G93" s="612" t="s">
        <v>63</v>
      </c>
      <c r="H93" s="671" t="s">
        <v>63</v>
      </c>
      <c r="I93" s="614">
        <f>vlookup(A93,'KY Data'!$A$3:$N$124,14,FALSE)</f>
        <v>3</v>
      </c>
      <c r="J93" s="615" t="s">
        <v>63</v>
      </c>
      <c r="K93" s="672" t="s">
        <v>63</v>
      </c>
      <c r="L93" s="826" t="s">
        <v>63</v>
      </c>
      <c r="M93" s="614" t="s">
        <v>63</v>
      </c>
      <c r="N93" s="614" t="s">
        <v>63</v>
      </c>
      <c r="O93" s="614" t="s">
        <v>63</v>
      </c>
      <c r="P93" s="620">
        <f>ifna(vlookup(A93,'Population &amp; Church Numbers'!$A$996:$D$1115,4,FALSE),"NULL")</f>
        <v>6</v>
      </c>
      <c r="Q93" s="674" t="s">
        <v>63</v>
      </c>
    </row>
    <row r="94">
      <c r="A94" s="609" t="s">
        <v>100</v>
      </c>
      <c r="B94" s="610">
        <f t="array" ref="B94">VLOOKUP($A94,KY_DEMO,2,FALSE)</f>
        <v>23772</v>
      </c>
      <c r="C94" s="704">
        <f>vlookup(A94,'KY Data'!$A$3:$M$124,2,FALSE)</f>
        <v>59</v>
      </c>
      <c r="D94" s="612" t="s">
        <v>63</v>
      </c>
      <c r="E94" s="612">
        <f>vlookup(A94,'KY Data'!$A$3:$M$124,4,FALSE)</f>
        <v>24</v>
      </c>
      <c r="F94" s="612">
        <f>vlookup(A94,'KY Data'!$A$3:$M$124,3,FALSE)</f>
        <v>6</v>
      </c>
      <c r="G94" s="612" t="s">
        <v>63</v>
      </c>
      <c r="H94" s="671" t="s">
        <v>63</v>
      </c>
      <c r="I94" s="614">
        <f>vlookup(A94,'KY Data'!$A$3:$N$124,14,FALSE)</f>
        <v>15</v>
      </c>
      <c r="J94" s="615" t="s">
        <v>63</v>
      </c>
      <c r="K94" s="672" t="s">
        <v>63</v>
      </c>
      <c r="L94" s="826" t="s">
        <v>63</v>
      </c>
      <c r="M94" s="614" t="s">
        <v>63</v>
      </c>
      <c r="N94" s="614" t="s">
        <v>63</v>
      </c>
      <c r="O94" s="614" t="s">
        <v>63</v>
      </c>
      <c r="P94" s="620">
        <f>ifna(vlookup(A94,'Population &amp; Church Numbers'!$A$996:$D$1115,4,FALSE),"NULL")</f>
        <v>32</v>
      </c>
      <c r="Q94" s="674" t="s">
        <v>63</v>
      </c>
    </row>
    <row r="95">
      <c r="A95" s="609" t="s">
        <v>1127</v>
      </c>
      <c r="B95" s="610">
        <f t="array" ref="B95">VLOOKUP($A95,KY_DEMO,2,FALSE)</f>
        <v>67607</v>
      </c>
      <c r="C95" s="704">
        <f>vlookup(A95,'KY Data'!$A$3:$M$124,2,FALSE)</f>
        <v>13</v>
      </c>
      <c r="D95" s="612" t="s">
        <v>63</v>
      </c>
      <c r="E95" s="612">
        <f>vlookup(A95,'KY Data'!$A$3:$M$124,4,FALSE)</f>
        <v>4</v>
      </c>
      <c r="F95" s="612">
        <f>vlookup(A95,'KY Data'!$A$3:$M$124,3,FALSE)</f>
        <v>3</v>
      </c>
      <c r="G95" s="612" t="s">
        <v>63</v>
      </c>
      <c r="H95" s="671" t="s">
        <v>63</v>
      </c>
      <c r="I95" s="614">
        <f>vlookup(A95,'KY Data'!$A$3:$N$124,14,FALSE)</f>
        <v>0</v>
      </c>
      <c r="J95" s="615" t="s">
        <v>63</v>
      </c>
      <c r="K95" s="672" t="s">
        <v>63</v>
      </c>
      <c r="L95" s="826" t="s">
        <v>63</v>
      </c>
      <c r="M95" s="614" t="s">
        <v>63</v>
      </c>
      <c r="N95" s="614" t="s">
        <v>63</v>
      </c>
      <c r="O95" s="614" t="s">
        <v>63</v>
      </c>
      <c r="P95" s="620">
        <f>ifna(vlookup(A95,'Population &amp; Church Numbers'!$A$996:$D$1115,4,FALSE),"NULL")</f>
        <v>48</v>
      </c>
      <c r="Q95" s="674" t="s">
        <v>63</v>
      </c>
    </row>
    <row r="96">
      <c r="A96" s="609" t="s">
        <v>802</v>
      </c>
      <c r="B96" s="610">
        <f t="array" ref="B96">VLOOKUP($A96,KY_DEMO,2,FALSE)</f>
        <v>11278</v>
      </c>
      <c r="C96" s="704">
        <f>vlookup(A96,'KY Data'!$A$3:$M$124,2,FALSE)</f>
        <v>34</v>
      </c>
      <c r="D96" s="612" t="s">
        <v>63</v>
      </c>
      <c r="E96" s="612">
        <f>vlookup(A96,'KY Data'!$A$3:$M$124,4,FALSE)</f>
        <v>15</v>
      </c>
      <c r="F96" s="612">
        <f>vlookup(A96,'KY Data'!$A$3:$M$124,3,FALSE)</f>
        <v>5</v>
      </c>
      <c r="G96" s="612" t="s">
        <v>63</v>
      </c>
      <c r="H96" s="671" t="s">
        <v>63</v>
      </c>
      <c r="I96" s="614">
        <f>vlookup(A96,'KY Data'!$A$3:$N$124,14,FALSE)</f>
        <v>6</v>
      </c>
      <c r="J96" s="615" t="s">
        <v>63</v>
      </c>
      <c r="K96" s="672" t="s">
        <v>63</v>
      </c>
      <c r="L96" s="826" t="s">
        <v>63</v>
      </c>
      <c r="M96" s="614" t="s">
        <v>63</v>
      </c>
      <c r="N96" s="614" t="s">
        <v>63</v>
      </c>
      <c r="O96" s="614" t="s">
        <v>63</v>
      </c>
      <c r="P96" s="620">
        <f>ifna(vlookup(A96,'Population &amp; Church Numbers'!$A$996:$D$1115,4,FALSE),"NULL")</f>
        <v>16</v>
      </c>
      <c r="Q96" s="674" t="s">
        <v>63</v>
      </c>
    </row>
    <row r="97">
      <c r="A97" s="609" t="s">
        <v>1128</v>
      </c>
      <c r="B97" s="610">
        <f t="array" ref="B97">VLOOKUP($A97,KY_DEMO,2,FALSE)</f>
        <v>4051</v>
      </c>
      <c r="C97" s="704">
        <f>vlookup(A97,'KY Data'!$A$3:$M$124,2,FALSE)</f>
        <v>0</v>
      </c>
      <c r="D97" s="612" t="s">
        <v>63</v>
      </c>
      <c r="E97" s="612">
        <f>vlookup(A97,'KY Data'!$A$3:$M$124,4,FALSE)</f>
        <v>0</v>
      </c>
      <c r="F97" s="612">
        <f>vlookup(A97,'KY Data'!$A$3:$M$124,3,FALSE)</f>
        <v>0</v>
      </c>
      <c r="G97" s="612" t="s">
        <v>63</v>
      </c>
      <c r="H97" s="671" t="s">
        <v>63</v>
      </c>
      <c r="I97" s="614">
        <f>vlookup(A97,'KY Data'!$A$3:$N$124,14,FALSE)</f>
        <v>0</v>
      </c>
      <c r="J97" s="615" t="s">
        <v>63</v>
      </c>
      <c r="K97" s="672" t="s">
        <v>63</v>
      </c>
      <c r="L97" s="826" t="s">
        <v>63</v>
      </c>
      <c r="M97" s="614" t="s">
        <v>63</v>
      </c>
      <c r="N97" s="614" t="s">
        <v>63</v>
      </c>
      <c r="O97" s="614" t="s">
        <v>63</v>
      </c>
      <c r="P97" s="620">
        <f>ifna(vlookup(A97,'Population &amp; Church Numbers'!$A$996:$D$1115,4,FALSE),"NULL")</f>
        <v>6</v>
      </c>
      <c r="Q97" s="674" t="s">
        <v>63</v>
      </c>
    </row>
    <row r="98">
      <c r="A98" s="609" t="s">
        <v>1129</v>
      </c>
      <c r="B98" s="610">
        <f t="array" ref="B98">VLOOKUP($A98,KY_DEMO,2,FALSE)</f>
        <v>14644</v>
      </c>
      <c r="C98" s="704">
        <f>vlookup(A98,'KY Data'!$A$3:$M$124,2,FALSE)</f>
        <v>19</v>
      </c>
      <c r="D98" s="612" t="s">
        <v>63</v>
      </c>
      <c r="E98" s="612">
        <f>vlookup(A98,'KY Data'!$A$3:$M$124,4,FALSE)</f>
        <v>6</v>
      </c>
      <c r="F98" s="612">
        <f>vlookup(A98,'KY Data'!$A$3:$M$124,3,FALSE)</f>
        <v>1</v>
      </c>
      <c r="G98" s="612" t="s">
        <v>63</v>
      </c>
      <c r="H98" s="671" t="s">
        <v>63</v>
      </c>
      <c r="I98" s="614">
        <f>vlookup(A98,'KY Data'!$A$3:$N$124,14,FALSE)</f>
        <v>1</v>
      </c>
      <c r="J98" s="615" t="s">
        <v>63</v>
      </c>
      <c r="K98" s="672" t="s">
        <v>63</v>
      </c>
      <c r="L98" s="826" t="s">
        <v>63</v>
      </c>
      <c r="M98" s="614" t="s">
        <v>63</v>
      </c>
      <c r="N98" s="614" t="s">
        <v>63</v>
      </c>
      <c r="O98" s="614" t="s">
        <v>63</v>
      </c>
      <c r="P98" s="620">
        <f>ifna(vlookup(A98,'Population &amp; Church Numbers'!$A$996:$D$1115,4,FALSE),"NULL")</f>
        <v>23</v>
      </c>
      <c r="Q98" s="674" t="s">
        <v>63</v>
      </c>
    </row>
    <row r="99">
      <c r="A99" s="609" t="s">
        <v>159</v>
      </c>
      <c r="B99" s="610">
        <f t="array" ref="B99">VLOOKUP($A99,KY_DEMO,2,FALSE)</f>
        <v>28473</v>
      </c>
      <c r="C99" s="704">
        <f>vlookup(A99,'KY Data'!$A$3:$M$124,2,FALSE)</f>
        <v>58</v>
      </c>
      <c r="D99" s="612" t="s">
        <v>63</v>
      </c>
      <c r="E99" s="612">
        <f>vlookup(A99,'KY Data'!$A$3:$M$124,4,FALSE)</f>
        <v>12</v>
      </c>
      <c r="F99" s="612">
        <f>vlookup(A99,'KY Data'!$A$3:$M$124,3,FALSE)</f>
        <v>2</v>
      </c>
      <c r="G99" s="612" t="s">
        <v>63</v>
      </c>
      <c r="H99" s="671" t="s">
        <v>63</v>
      </c>
      <c r="I99" s="614">
        <f>vlookup(A99,'KY Data'!$A$3:$N$124,14,FALSE)</f>
        <v>14</v>
      </c>
      <c r="J99" s="615" t="s">
        <v>63</v>
      </c>
      <c r="K99" s="672" t="s">
        <v>63</v>
      </c>
      <c r="L99" s="826" t="s">
        <v>63</v>
      </c>
      <c r="M99" s="614" t="s">
        <v>63</v>
      </c>
      <c r="N99" s="614" t="s">
        <v>63</v>
      </c>
      <c r="O99" s="614" t="s">
        <v>63</v>
      </c>
      <c r="P99" s="620">
        <f>ifna(vlookup(A99,'Population &amp; Church Numbers'!$A$996:$D$1115,4,FALSE),"NULL")</f>
        <v>47</v>
      </c>
      <c r="Q99" s="674" t="s">
        <v>63</v>
      </c>
    </row>
    <row r="100">
      <c r="A100" s="609" t="s">
        <v>162</v>
      </c>
      <c r="B100" s="610">
        <f t="array" ref="B100">VLOOKUP($A100,KY_DEMO,2,FALSE)</f>
        <v>58669</v>
      </c>
      <c r="C100" s="704">
        <f>vlookup(A100,'KY Data'!$A$3:$M$124,2,FALSE)</f>
        <v>106</v>
      </c>
      <c r="D100" s="612" t="s">
        <v>63</v>
      </c>
      <c r="E100" s="612">
        <f>vlookup(A100,'KY Data'!$A$3:$M$124,4,FALSE)</f>
        <v>41</v>
      </c>
      <c r="F100" s="612">
        <f>vlookup(A100,'KY Data'!$A$3:$M$124,3,FALSE)</f>
        <v>11</v>
      </c>
      <c r="G100" s="612" t="s">
        <v>63</v>
      </c>
      <c r="H100" s="671" t="s">
        <v>63</v>
      </c>
      <c r="I100" s="614">
        <f>vlookup(A100,'KY Data'!$A$3:$N$124,14,FALSE)</f>
        <v>57</v>
      </c>
      <c r="J100" s="615" t="s">
        <v>63</v>
      </c>
      <c r="K100" s="672" t="s">
        <v>63</v>
      </c>
      <c r="L100" s="826" t="s">
        <v>63</v>
      </c>
      <c r="M100" s="614" t="s">
        <v>63</v>
      </c>
      <c r="N100" s="614" t="s">
        <v>63</v>
      </c>
      <c r="O100" s="614" t="s">
        <v>63</v>
      </c>
      <c r="P100" s="620">
        <f>ifna(vlookup(A100,'Population &amp; Church Numbers'!$A$996:$D$1115,4,FALSE),"NULL")</f>
        <v>83</v>
      </c>
      <c r="Q100" s="674" t="s">
        <v>63</v>
      </c>
    </row>
    <row r="101">
      <c r="A101" s="609" t="s">
        <v>1130</v>
      </c>
      <c r="B101" s="610">
        <f t="array" ref="B101">VLOOKUP($A101,KY_DEMO,2,FALSE)</f>
        <v>13129</v>
      </c>
      <c r="C101" s="704">
        <f>vlookup(A101,'KY Data'!$A$3:$M$124,2,FALSE)</f>
        <v>28</v>
      </c>
      <c r="D101" s="612" t="s">
        <v>63</v>
      </c>
      <c r="E101" s="612">
        <f>vlookup(A101,'KY Data'!$A$3:$M$124,4,FALSE)</f>
        <v>13</v>
      </c>
      <c r="F101" s="612">
        <f>vlookup(A101,'KY Data'!$A$3:$M$124,3,FALSE)</f>
        <v>1</v>
      </c>
      <c r="G101" s="612" t="s">
        <v>63</v>
      </c>
      <c r="H101" s="671" t="s">
        <v>63</v>
      </c>
      <c r="I101" s="614">
        <f>vlookup(A101,'KY Data'!$A$3:$N$124,14,FALSE)</f>
        <v>9</v>
      </c>
      <c r="J101" s="615" t="s">
        <v>63</v>
      </c>
      <c r="K101" s="672" t="s">
        <v>63</v>
      </c>
      <c r="L101" s="826" t="s">
        <v>63</v>
      </c>
      <c r="M101" s="614" t="s">
        <v>63</v>
      </c>
      <c r="N101" s="614" t="s">
        <v>63</v>
      </c>
      <c r="O101" s="614" t="s">
        <v>63</v>
      </c>
      <c r="P101" s="620">
        <f>ifna(vlookup(A101,'Population &amp; Church Numbers'!$A$996:$D$1115,4,FALSE),"NULL")</f>
        <v>12</v>
      </c>
      <c r="Q101" s="674" t="s">
        <v>63</v>
      </c>
    </row>
    <row r="102">
      <c r="A102" s="609" t="s">
        <v>305</v>
      </c>
      <c r="B102" s="610">
        <f t="array" ref="B102">VLOOKUP($A102,KY_DEMO,2,FALSE)</f>
        <v>65034</v>
      </c>
      <c r="C102" s="704">
        <f>vlookup(A102,'KY Data'!$A$3:$M$124,2,FALSE)</f>
        <v>122</v>
      </c>
      <c r="D102" s="612" t="s">
        <v>63</v>
      </c>
      <c r="E102" s="612">
        <f>vlookup(A102,'KY Data'!$A$3:$M$124,4,FALSE)</f>
        <v>47</v>
      </c>
      <c r="F102" s="612">
        <f>vlookup(A102,'KY Data'!$A$3:$M$124,3,FALSE)</f>
        <v>9</v>
      </c>
      <c r="G102" s="612" t="s">
        <v>63</v>
      </c>
      <c r="H102" s="671" t="s">
        <v>63</v>
      </c>
      <c r="I102" s="614">
        <f>vlookup(A102,'KY Data'!$A$3:$N$124,14,FALSE)</f>
        <v>40</v>
      </c>
      <c r="J102" s="615" t="s">
        <v>63</v>
      </c>
      <c r="K102" s="672" t="s">
        <v>63</v>
      </c>
      <c r="L102" s="826" t="s">
        <v>63</v>
      </c>
      <c r="M102" s="614" t="s">
        <v>63</v>
      </c>
      <c r="N102" s="614" t="s">
        <v>63</v>
      </c>
      <c r="O102" s="614" t="s">
        <v>63</v>
      </c>
      <c r="P102" s="620">
        <f>ifna(vlookup(A102,'Population &amp; Church Numbers'!$A$996:$D$1115,4,FALSE),"NULL")</f>
        <v>89</v>
      </c>
      <c r="Q102" s="674" t="s">
        <v>63</v>
      </c>
    </row>
    <row r="103">
      <c r="A103" s="609" t="s">
        <v>1131</v>
      </c>
      <c r="B103" s="610">
        <f t="array" ref="B103">VLOOKUP($A103,KY_DEMO,2,FALSE)</f>
        <v>2193</v>
      </c>
      <c r="C103" s="704">
        <f>vlookup(A103,'KY Data'!$A$3:$M$124,2,FALSE)</f>
        <v>0</v>
      </c>
      <c r="D103" s="612" t="s">
        <v>63</v>
      </c>
      <c r="E103" s="612">
        <f>vlookup(A103,'KY Data'!$A$3:$M$124,4,FALSE)</f>
        <v>0</v>
      </c>
      <c r="F103" s="612">
        <f>vlookup(A103,'KY Data'!$A$3:$M$124,3,FALSE)</f>
        <v>0</v>
      </c>
      <c r="G103" s="612" t="s">
        <v>63</v>
      </c>
      <c r="H103" s="671" t="s">
        <v>63</v>
      </c>
      <c r="I103" s="614">
        <f>vlookup(A103,'KY Data'!$A$3:$N$124,14,FALSE)</f>
        <v>0</v>
      </c>
      <c r="J103" s="615" t="s">
        <v>63</v>
      </c>
      <c r="K103" s="672" t="s">
        <v>63</v>
      </c>
      <c r="L103" s="826" t="s">
        <v>63</v>
      </c>
      <c r="M103" s="614" t="s">
        <v>63</v>
      </c>
      <c r="N103" s="614" t="s">
        <v>63</v>
      </c>
      <c r="O103" s="614" t="s">
        <v>63</v>
      </c>
      <c r="P103" s="620">
        <f>ifna(vlookup(A103,'Population &amp; Church Numbers'!$A$996:$D$1115,4,FALSE),"NULL")</f>
        <v>1</v>
      </c>
      <c r="Q103" s="674" t="s">
        <v>63</v>
      </c>
    </row>
    <row r="104">
      <c r="A104" s="609" t="s">
        <v>1132</v>
      </c>
      <c r="B104" s="610">
        <f t="array" ref="B104">VLOOKUP($A104,KY_DEMO,2,FALSE)</f>
        <v>16037</v>
      </c>
      <c r="C104" s="704">
        <f>vlookup(A104,'KY Data'!$A$3:$M$124,2,FALSE)</f>
        <v>44</v>
      </c>
      <c r="D104" s="612" t="s">
        <v>63</v>
      </c>
      <c r="E104" s="612">
        <f>vlookup(A104,'KY Data'!$A$3:$M$124,4,FALSE)</f>
        <v>11</v>
      </c>
      <c r="F104" s="612">
        <f>vlookup(A104,'KY Data'!$A$3:$M$124,3,FALSE)</f>
        <v>3</v>
      </c>
      <c r="G104" s="612" t="s">
        <v>63</v>
      </c>
      <c r="H104" s="671" t="s">
        <v>63</v>
      </c>
      <c r="I104" s="614">
        <f>vlookup(A104,'KY Data'!$A$3:$N$124,14,FALSE)</f>
        <v>13</v>
      </c>
      <c r="J104" s="615" t="s">
        <v>63</v>
      </c>
      <c r="K104" s="672" t="s">
        <v>63</v>
      </c>
      <c r="L104" s="826" t="s">
        <v>63</v>
      </c>
      <c r="M104" s="614" t="s">
        <v>63</v>
      </c>
      <c r="N104" s="614" t="s">
        <v>63</v>
      </c>
      <c r="O104" s="614" t="s">
        <v>63</v>
      </c>
      <c r="P104" s="620">
        <f>ifna(vlookup(A104,'Population &amp; Church Numbers'!$A$996:$D$1115,4,FALSE),"NULL")</f>
        <v>20</v>
      </c>
      <c r="Q104" s="674" t="s">
        <v>63</v>
      </c>
    </row>
    <row r="105">
      <c r="A105" s="609" t="s">
        <v>1133</v>
      </c>
      <c r="B105" s="610">
        <f t="array" ref="B105">VLOOKUP($A105,KY_DEMO,2,FALSE)</f>
        <v>24662</v>
      </c>
      <c r="C105" s="704">
        <f>vlookup(A105,'KY Data'!$A$3:$M$124,2,FALSE)</f>
        <v>64</v>
      </c>
      <c r="D105" s="612" t="s">
        <v>63</v>
      </c>
      <c r="E105" s="612">
        <f>vlookup(A105,'KY Data'!$A$3:$M$124,4,FALSE)</f>
        <v>18</v>
      </c>
      <c r="F105" s="612">
        <f>vlookup(A105,'KY Data'!$A$3:$M$124,3,FALSE)</f>
        <v>9</v>
      </c>
      <c r="G105" s="612" t="s">
        <v>63</v>
      </c>
      <c r="H105" s="671" t="s">
        <v>63</v>
      </c>
      <c r="I105" s="614">
        <f>vlookup(A105,'KY Data'!$A$3:$N$124,14,FALSE)</f>
        <v>17</v>
      </c>
      <c r="J105" s="615" t="s">
        <v>63</v>
      </c>
      <c r="K105" s="672" t="s">
        <v>63</v>
      </c>
      <c r="L105" s="826" t="s">
        <v>63</v>
      </c>
      <c r="M105" s="614" t="s">
        <v>63</v>
      </c>
      <c r="N105" s="614" t="s">
        <v>63</v>
      </c>
      <c r="O105" s="614" t="s">
        <v>63</v>
      </c>
      <c r="P105" s="620">
        <f>ifna(vlookup(A105,'Population &amp; Church Numbers'!$A$996:$D$1115,4,FALSE),"NULL")</f>
        <v>28</v>
      </c>
      <c r="Q105" s="674" t="s">
        <v>63</v>
      </c>
    </row>
    <row r="106">
      <c r="A106" s="609" t="s">
        <v>165</v>
      </c>
      <c r="B106" s="610">
        <f t="array" ref="B106">VLOOKUP($A106,KY_DEMO,2,FALSE)</f>
        <v>17991</v>
      </c>
      <c r="C106" s="704">
        <f>vlookup(A106,'KY Data'!$A$3:$M$124,2,FALSE)</f>
        <v>56</v>
      </c>
      <c r="D106" s="612" t="s">
        <v>63</v>
      </c>
      <c r="E106" s="612">
        <f>vlookup(A106,'KY Data'!$A$3:$M$124,4,FALSE)</f>
        <v>13</v>
      </c>
      <c r="F106" s="612">
        <f>vlookup(A106,'KY Data'!$A$3:$M$124,3,FALSE)</f>
        <v>20</v>
      </c>
      <c r="G106" s="612" t="s">
        <v>63</v>
      </c>
      <c r="H106" s="671" t="s">
        <v>63</v>
      </c>
      <c r="I106" s="614">
        <f>vlookup(A106,'KY Data'!$A$3:$N$124,14,FALSE)</f>
        <v>1</v>
      </c>
      <c r="J106" s="615" t="s">
        <v>63</v>
      </c>
      <c r="K106" s="672" t="s">
        <v>63</v>
      </c>
      <c r="L106" s="826" t="s">
        <v>63</v>
      </c>
      <c r="M106" s="614" t="s">
        <v>63</v>
      </c>
      <c r="N106" s="614" t="s">
        <v>63</v>
      </c>
      <c r="O106" s="614" t="s">
        <v>63</v>
      </c>
      <c r="P106" s="620">
        <f>ifna(vlookup(A106,'Population &amp; Church Numbers'!$A$996:$D$1115,4,FALSE),"NULL")</f>
        <v>46</v>
      </c>
      <c r="Q106" s="674" t="s">
        <v>63</v>
      </c>
    </row>
    <row r="107">
      <c r="A107" s="609" t="s">
        <v>309</v>
      </c>
      <c r="B107" s="610">
        <f t="array" ref="B107">VLOOKUP($A107,KY_DEMO,2,FALSE)</f>
        <v>57155</v>
      </c>
      <c r="C107" s="704">
        <f>vlookup(A107,'KY Data'!$A$3:$M$124,2,FALSE)</f>
        <v>200</v>
      </c>
      <c r="D107" s="612" t="s">
        <v>63</v>
      </c>
      <c r="E107" s="612">
        <f>vlookup(A107,'KY Data'!$A$3:$M$124,4,FALSE)</f>
        <v>67</v>
      </c>
      <c r="F107" s="612">
        <f>vlookup(A107,'KY Data'!$A$3:$M$124,3,FALSE)</f>
        <v>17</v>
      </c>
      <c r="G107" s="612" t="s">
        <v>63</v>
      </c>
      <c r="H107" s="671" t="s">
        <v>63</v>
      </c>
      <c r="I107" s="614">
        <f>vlookup(A107,'KY Data'!$A$3:$N$124,14,FALSE)</f>
        <v>107</v>
      </c>
      <c r="J107" s="615" t="s">
        <v>63</v>
      </c>
      <c r="K107" s="672" t="s">
        <v>63</v>
      </c>
      <c r="L107" s="826" t="s">
        <v>63</v>
      </c>
      <c r="M107" s="614" t="s">
        <v>63</v>
      </c>
      <c r="N107" s="614" t="s">
        <v>63</v>
      </c>
      <c r="O107" s="614" t="s">
        <v>63</v>
      </c>
      <c r="P107" s="620">
        <f>ifna(vlookup(A107,'Population &amp; Church Numbers'!$A$996:$D$1115,4,FALSE),"NULL")</f>
        <v>51</v>
      </c>
      <c r="Q107" s="674" t="s">
        <v>63</v>
      </c>
    </row>
    <row r="108">
      <c r="A108" s="609" t="s">
        <v>168</v>
      </c>
      <c r="B108" s="610">
        <f t="array" ref="B108">VLOOKUP($A108,KY_DEMO,2,FALSE)</f>
        <v>48065</v>
      </c>
      <c r="C108" s="704">
        <f>vlookup(A108,'KY Data'!$A$3:$M$124,2,FALSE)</f>
        <v>110</v>
      </c>
      <c r="D108" s="612" t="s">
        <v>63</v>
      </c>
      <c r="E108" s="612">
        <f>vlookup(A108,'KY Data'!$A$3:$M$124,4,FALSE)</f>
        <v>43</v>
      </c>
      <c r="F108" s="612">
        <f>vlookup(A108,'KY Data'!$A$3:$M$124,3,FALSE)</f>
        <v>12</v>
      </c>
      <c r="G108" s="612" t="s">
        <v>63</v>
      </c>
      <c r="H108" s="671" t="s">
        <v>63</v>
      </c>
      <c r="I108" s="614">
        <f>vlookup(A108,'KY Data'!$A$3:$N$124,14,FALSE)</f>
        <v>29</v>
      </c>
      <c r="J108" s="615" t="s">
        <v>63</v>
      </c>
      <c r="K108" s="672" t="s">
        <v>63</v>
      </c>
      <c r="L108" s="826" t="s">
        <v>63</v>
      </c>
      <c r="M108" s="614" t="s">
        <v>63</v>
      </c>
      <c r="N108" s="614" t="s">
        <v>63</v>
      </c>
      <c r="O108" s="614" t="s">
        <v>63</v>
      </c>
      <c r="P108" s="620">
        <f>ifna(vlookup(A108,'Population &amp; Church Numbers'!$A$996:$D$1115,4,FALSE),"NULL")</f>
        <v>42</v>
      </c>
      <c r="Q108" s="674" t="s">
        <v>63</v>
      </c>
    </row>
    <row r="109">
      <c r="A109" s="609" t="s">
        <v>1134</v>
      </c>
      <c r="B109" s="610">
        <f t="array" ref="B109">VLOOKUP($A109,KY_DEMO,2,FALSE)</f>
        <v>19594</v>
      </c>
      <c r="C109" s="704">
        <f>vlookup(A109,'KY Data'!$A$3:$M$124,2,FALSE)</f>
        <v>41</v>
      </c>
      <c r="D109" s="612" t="s">
        <v>63</v>
      </c>
      <c r="E109" s="612">
        <f>vlookup(A109,'KY Data'!$A$3:$M$124,4,FALSE)</f>
        <v>14</v>
      </c>
      <c r="F109" s="612">
        <f>vlookup(A109,'KY Data'!$A$3:$M$124,3,FALSE)</f>
        <v>5</v>
      </c>
      <c r="G109" s="612" t="s">
        <v>63</v>
      </c>
      <c r="H109" s="671" t="s">
        <v>63</v>
      </c>
      <c r="I109" s="614">
        <f>vlookup(A109,'KY Data'!$A$3:$N$124,14,FALSE)</f>
        <v>5</v>
      </c>
      <c r="J109" s="615" t="s">
        <v>63</v>
      </c>
      <c r="K109" s="672" t="s">
        <v>63</v>
      </c>
      <c r="L109" s="826" t="s">
        <v>63</v>
      </c>
      <c r="M109" s="614" t="s">
        <v>63</v>
      </c>
      <c r="N109" s="614" t="s">
        <v>63</v>
      </c>
      <c r="O109" s="614" t="s">
        <v>63</v>
      </c>
      <c r="P109" s="620">
        <f>ifna(vlookup(A109,'Population &amp; Church Numbers'!$A$996:$D$1115,4,FALSE),"NULL")</f>
        <v>29</v>
      </c>
      <c r="Q109" s="674" t="s">
        <v>63</v>
      </c>
    </row>
    <row r="110">
      <c r="A110" s="609" t="s">
        <v>854</v>
      </c>
      <c r="B110" s="610">
        <f t="array" ref="B110">VLOOKUP($A110,KY_DEMO,2,FALSE)</f>
        <v>19490</v>
      </c>
      <c r="C110" s="704">
        <f>vlookup(A110,'KY Data'!$A$3:$M$124,2,FALSE)</f>
        <v>19</v>
      </c>
      <c r="D110" s="612" t="s">
        <v>63</v>
      </c>
      <c r="E110" s="612">
        <f>vlookup(A110,'KY Data'!$A$3:$M$124,4,FALSE)</f>
        <v>9</v>
      </c>
      <c r="F110" s="612">
        <f>vlookup(A110,'KY Data'!$A$3:$M$124,3,FALSE)</f>
        <v>3</v>
      </c>
      <c r="G110" s="612" t="s">
        <v>63</v>
      </c>
      <c r="H110" s="671" t="s">
        <v>63</v>
      </c>
      <c r="I110" s="614">
        <f>vlookup(A110,'KY Data'!$A$3:$N$124,14,FALSE)</f>
        <v>3</v>
      </c>
      <c r="J110" s="615" t="s">
        <v>63</v>
      </c>
      <c r="K110" s="672" t="s">
        <v>63</v>
      </c>
      <c r="L110" s="826" t="s">
        <v>63</v>
      </c>
      <c r="M110" s="614" t="s">
        <v>63</v>
      </c>
      <c r="N110" s="614" t="s">
        <v>63</v>
      </c>
      <c r="O110" s="614" t="s">
        <v>63</v>
      </c>
      <c r="P110" s="620">
        <f>ifna(vlookup(A110,'Population &amp; Church Numbers'!$A$996:$D$1115,4,FALSE),"NULL")</f>
        <v>19</v>
      </c>
      <c r="Q110" s="674" t="s">
        <v>63</v>
      </c>
    </row>
    <row r="111">
      <c r="A111" s="609" t="s">
        <v>526</v>
      </c>
      <c r="B111" s="610">
        <f t="array" ref="B111">VLOOKUP($A111,KY_DEMO,2,FALSE)</f>
        <v>26023</v>
      </c>
      <c r="C111" s="704">
        <f>vlookup(A111,'KY Data'!$A$3:$M$124,2,FALSE)</f>
        <v>13</v>
      </c>
      <c r="D111" s="612" t="s">
        <v>63</v>
      </c>
      <c r="E111" s="612">
        <f>vlookup(A111,'KY Data'!$A$3:$M$124,4,FALSE)</f>
        <v>4</v>
      </c>
      <c r="F111" s="612">
        <f>vlookup(A111,'KY Data'!$A$3:$M$124,3,FALSE)</f>
        <v>2</v>
      </c>
      <c r="G111" s="612" t="s">
        <v>63</v>
      </c>
      <c r="H111" s="671" t="s">
        <v>63</v>
      </c>
      <c r="I111" s="614">
        <f>vlookup(A111,'KY Data'!$A$3:$N$124,14,FALSE)</f>
        <v>4</v>
      </c>
      <c r="J111" s="615" t="s">
        <v>63</v>
      </c>
      <c r="K111" s="672" t="s">
        <v>63</v>
      </c>
      <c r="L111" s="826" t="s">
        <v>63</v>
      </c>
      <c r="M111" s="614" t="s">
        <v>63</v>
      </c>
      <c r="N111" s="614" t="s">
        <v>63</v>
      </c>
      <c r="O111" s="614" t="s">
        <v>63</v>
      </c>
      <c r="P111" s="620">
        <f>ifna(vlookup(A111,'Population &amp; Church Numbers'!$A$996:$D$1115,4,FALSE),"NULL")</f>
        <v>46</v>
      </c>
      <c r="Q111" s="674" t="s">
        <v>63</v>
      </c>
    </row>
    <row r="112">
      <c r="A112" s="609" t="s">
        <v>1135</v>
      </c>
      <c r="B112" s="610">
        <f t="array" ref="B112">VLOOKUP($A112,KY_DEMO,2,FALSE)</f>
        <v>12243</v>
      </c>
      <c r="C112" s="704">
        <f>vlookup(A112,'KY Data'!$A$3:$M$124,2,FALSE)</f>
        <v>27</v>
      </c>
      <c r="D112" s="612" t="s">
        <v>63</v>
      </c>
      <c r="E112" s="612">
        <f>vlookup(A112,'KY Data'!$A$3:$M$124,4,FALSE)</f>
        <v>9</v>
      </c>
      <c r="F112" s="612">
        <f>vlookup(A112,'KY Data'!$A$3:$M$124,3,FALSE)</f>
        <v>10</v>
      </c>
      <c r="G112" s="612" t="s">
        <v>63</v>
      </c>
      <c r="H112" s="671" t="s">
        <v>63</v>
      </c>
      <c r="I112" s="614">
        <f>vlookup(A112,'KY Data'!$A$3:$N$124,14,FALSE)</f>
        <v>8</v>
      </c>
      <c r="J112" s="615" t="s">
        <v>63</v>
      </c>
      <c r="K112" s="672" t="s">
        <v>63</v>
      </c>
      <c r="L112" s="826" t="s">
        <v>63</v>
      </c>
      <c r="M112" s="614" t="s">
        <v>63</v>
      </c>
      <c r="N112" s="614" t="s">
        <v>63</v>
      </c>
      <c r="O112" s="614" t="s">
        <v>63</v>
      </c>
      <c r="P112" s="620">
        <f>ifna(vlookup(A112,'Population &amp; Church Numbers'!$A$996:$D$1115,4,FALSE),"NULL")</f>
        <v>19</v>
      </c>
      <c r="Q112" s="674" t="s">
        <v>63</v>
      </c>
    </row>
    <row r="113">
      <c r="A113" s="609" t="s">
        <v>1136</v>
      </c>
      <c r="B113" s="610">
        <f t="array" ref="B113">VLOOKUP($A113,KY_DEMO,2,FALSE)</f>
        <v>14061</v>
      </c>
      <c r="C113" s="704">
        <f>vlookup(A113,'KY Data'!$A$3:$M$124,2,FALSE)</f>
        <v>16</v>
      </c>
      <c r="D113" s="612" t="s">
        <v>63</v>
      </c>
      <c r="E113" s="612">
        <f>vlookup(A113,'KY Data'!$A$3:$M$124,4,FALSE)</f>
        <v>5</v>
      </c>
      <c r="F113" s="612">
        <f>vlookup(A113,'KY Data'!$A$3:$M$124,3,FALSE)</f>
        <v>4</v>
      </c>
      <c r="G113" s="612" t="s">
        <v>63</v>
      </c>
      <c r="H113" s="671" t="s">
        <v>63</v>
      </c>
      <c r="I113" s="614">
        <f>vlookup(A113,'KY Data'!$A$3:$N$124,14,FALSE)</f>
        <v>7</v>
      </c>
      <c r="J113" s="615" t="s">
        <v>63</v>
      </c>
      <c r="K113" s="672" t="s">
        <v>63</v>
      </c>
      <c r="L113" s="826" t="s">
        <v>63</v>
      </c>
      <c r="M113" s="614" t="s">
        <v>63</v>
      </c>
      <c r="N113" s="614" t="s">
        <v>63</v>
      </c>
      <c r="O113" s="614" t="s">
        <v>63</v>
      </c>
      <c r="P113" s="620">
        <f>ifna(vlookup(A113,'Population &amp; Church Numbers'!$A$996:$D$1115,4,FALSE),"NULL")</f>
        <v>24</v>
      </c>
      <c r="Q113" s="674" t="s">
        <v>63</v>
      </c>
    </row>
    <row r="114">
      <c r="A114" s="609" t="s">
        <v>1137</v>
      </c>
      <c r="B114" s="610">
        <f t="array" ref="B114">VLOOKUP($A114,KY_DEMO,2,FALSE)</f>
        <v>8474</v>
      </c>
      <c r="C114" s="704">
        <f>vlookup(A114,'KY Data'!$A$3:$M$124,2,FALSE)</f>
        <v>8</v>
      </c>
      <c r="D114" s="612" t="s">
        <v>63</v>
      </c>
      <c r="E114" s="612">
        <f>vlookup(A114,'KY Data'!$A$3:$M$124,4,FALSE)</f>
        <v>6</v>
      </c>
      <c r="F114" s="612">
        <f>vlookup(A114,'KY Data'!$A$3:$M$124,3,FALSE)</f>
        <v>0</v>
      </c>
      <c r="G114" s="612" t="s">
        <v>63</v>
      </c>
      <c r="H114" s="671" t="s">
        <v>63</v>
      </c>
      <c r="I114" s="614">
        <f>vlookup(A114,'KY Data'!$A$3:$N$124,14,FALSE)</f>
        <v>3</v>
      </c>
      <c r="J114" s="615" t="s">
        <v>63</v>
      </c>
      <c r="K114" s="672" t="s">
        <v>63</v>
      </c>
      <c r="L114" s="826" t="s">
        <v>63</v>
      </c>
      <c r="M114" s="614" t="s">
        <v>63</v>
      </c>
      <c r="N114" s="614" t="s">
        <v>63</v>
      </c>
      <c r="O114" s="614" t="s">
        <v>63</v>
      </c>
      <c r="P114" s="620">
        <f>ifna(vlookup(A114,'Population &amp; Church Numbers'!$A$996:$D$1115,4,FALSE),"NULL")</f>
        <v>10</v>
      </c>
      <c r="Q114" s="674" t="s">
        <v>63</v>
      </c>
    </row>
    <row r="115">
      <c r="A115" s="609" t="s">
        <v>316</v>
      </c>
      <c r="B115" s="610">
        <f t="array" ref="B115">VLOOKUP($A115,KY_DEMO,2,FALSE)</f>
        <v>13668</v>
      </c>
      <c r="C115" s="704">
        <f>vlookup(A115,'KY Data'!$A$3:$M$124,2,FALSE)</f>
        <v>14</v>
      </c>
      <c r="D115" s="612" t="s">
        <v>63</v>
      </c>
      <c r="E115" s="612">
        <f>vlookup(A115,'KY Data'!$A$3:$M$124,4,FALSE)</f>
        <v>4</v>
      </c>
      <c r="F115" s="612">
        <f>vlookup(A115,'KY Data'!$A$3:$M$124,3,FALSE)</f>
        <v>2</v>
      </c>
      <c r="G115" s="612" t="s">
        <v>63</v>
      </c>
      <c r="H115" s="671" t="s">
        <v>63</v>
      </c>
      <c r="I115" s="614">
        <f>vlookup(A115,'KY Data'!$A$3:$N$124,14,FALSE)</f>
        <v>4</v>
      </c>
      <c r="J115" s="615" t="s">
        <v>63</v>
      </c>
      <c r="K115" s="672" t="s">
        <v>63</v>
      </c>
      <c r="L115" s="826" t="s">
        <v>63</v>
      </c>
      <c r="M115" s="614" t="s">
        <v>63</v>
      </c>
      <c r="N115" s="614" t="s">
        <v>63</v>
      </c>
      <c r="O115" s="614" t="s">
        <v>63</v>
      </c>
      <c r="P115" s="620">
        <f>ifna(vlookup(A115,'Population &amp; Church Numbers'!$A$996:$D$1115,4,FALSE),"NULL")</f>
        <v>20</v>
      </c>
      <c r="Q115" s="674" t="s">
        <v>63</v>
      </c>
    </row>
    <row r="116">
      <c r="A116" s="609" t="s">
        <v>647</v>
      </c>
      <c r="B116" s="610">
        <f t="array" ref="B116">VLOOKUP($A116,KY_DEMO,2,FALSE)</f>
        <v>134554</v>
      </c>
      <c r="C116" s="704">
        <f>vlookup(A116,'KY Data'!$A$3:$M$124,2,FALSE)</f>
        <v>346</v>
      </c>
      <c r="D116" s="612" t="s">
        <v>63</v>
      </c>
      <c r="E116" s="612">
        <f>vlookup(A116,'KY Data'!$A$3:$M$124,4,FALSE)</f>
        <v>118</v>
      </c>
      <c r="F116" s="612">
        <f>vlookup(A116,'KY Data'!$A$3:$M$124,3,FALSE)</f>
        <v>21</v>
      </c>
      <c r="G116" s="612" t="s">
        <v>63</v>
      </c>
      <c r="H116" s="671" t="s">
        <v>63</v>
      </c>
      <c r="I116" s="614">
        <f>vlookup(A116,'KY Data'!$A$3:$N$124,14,FALSE)</f>
        <v>98</v>
      </c>
      <c r="J116" s="615" t="s">
        <v>63</v>
      </c>
      <c r="K116" s="672" t="s">
        <v>63</v>
      </c>
      <c r="L116" s="826" t="s">
        <v>63</v>
      </c>
      <c r="M116" s="614" t="s">
        <v>63</v>
      </c>
      <c r="N116" s="614" t="s">
        <v>63</v>
      </c>
      <c r="O116" s="614" t="s">
        <v>63</v>
      </c>
      <c r="P116" s="620">
        <f>ifna(vlookup(A116,'Population &amp; Church Numbers'!$A$996:$D$1115,4,FALSE),"NULL")</f>
        <v>100</v>
      </c>
      <c r="Q116" s="674" t="s">
        <v>63</v>
      </c>
    </row>
    <row r="117">
      <c r="A117" s="609" t="s">
        <v>119</v>
      </c>
      <c r="B117" s="610">
        <f t="array" ref="B117">VLOOKUP($A117,KY_DEMO,2,FALSE)</f>
        <v>12027</v>
      </c>
      <c r="C117" s="704">
        <f>vlookup(A117,'KY Data'!$A$3:$M$124,2,FALSE)</f>
        <v>11</v>
      </c>
      <c r="D117" s="612" t="s">
        <v>63</v>
      </c>
      <c r="E117" s="612">
        <f>vlookup(A117,'KY Data'!$A$3:$M$124,4,FALSE)</f>
        <v>6</v>
      </c>
      <c r="F117" s="612">
        <f>vlookup(A117,'KY Data'!$A$3:$M$124,3,FALSE)</f>
        <v>0</v>
      </c>
      <c r="G117" s="612" t="s">
        <v>63</v>
      </c>
      <c r="H117" s="671" t="s">
        <v>63</v>
      </c>
      <c r="I117" s="614">
        <f>vlookup(A117,'KY Data'!$A$3:$N$124,14,FALSE)</f>
        <v>6</v>
      </c>
      <c r="J117" s="615" t="s">
        <v>63</v>
      </c>
      <c r="K117" s="672" t="s">
        <v>63</v>
      </c>
      <c r="L117" s="826" t="s">
        <v>63</v>
      </c>
      <c r="M117" s="614" t="s">
        <v>63</v>
      </c>
      <c r="N117" s="614" t="s">
        <v>63</v>
      </c>
      <c r="O117" s="614" t="s">
        <v>63</v>
      </c>
      <c r="P117" s="620">
        <f>ifna(vlookup(A117,'Population &amp; Church Numbers'!$A$996:$D$1115,4,FALSE),"NULL")</f>
        <v>19</v>
      </c>
      <c r="Q117" s="674" t="s">
        <v>63</v>
      </c>
    </row>
    <row r="118">
      <c r="A118" s="609" t="s">
        <v>273</v>
      </c>
      <c r="B118" s="610">
        <f t="array" ref="B118">VLOOKUP($A118,KY_DEMO,2,FALSE)</f>
        <v>19555</v>
      </c>
      <c r="C118" s="704">
        <f>vlookup(A118,'KY Data'!$A$3:$M$124,2,FALSE)</f>
        <v>33</v>
      </c>
      <c r="D118" s="612" t="s">
        <v>63</v>
      </c>
      <c r="E118" s="612">
        <f>vlookup(A118,'KY Data'!$A$3:$M$124,4,FALSE)</f>
        <v>3</v>
      </c>
      <c r="F118" s="612">
        <f>vlookup(A118,'KY Data'!$A$3:$M$124,3,FALSE)</f>
        <v>4</v>
      </c>
      <c r="G118" s="612" t="s">
        <v>63</v>
      </c>
      <c r="H118" s="671" t="s">
        <v>63</v>
      </c>
      <c r="I118" s="614">
        <f>vlookup(A118,'KY Data'!$A$3:$N$124,14,FALSE)</f>
        <v>8</v>
      </c>
      <c r="J118" s="615" t="s">
        <v>63</v>
      </c>
      <c r="K118" s="672" t="s">
        <v>63</v>
      </c>
      <c r="L118" s="826" t="s">
        <v>63</v>
      </c>
      <c r="M118" s="614" t="s">
        <v>63</v>
      </c>
      <c r="N118" s="614" t="s">
        <v>63</v>
      </c>
      <c r="O118" s="614" t="s">
        <v>63</v>
      </c>
      <c r="P118" s="620">
        <f>ifna(vlookup(A118,'Population &amp; Church Numbers'!$A$996:$D$1115,4,FALSE),"NULL")</f>
        <v>16</v>
      </c>
      <c r="Q118" s="674" t="s">
        <v>63</v>
      </c>
    </row>
    <row r="119">
      <c r="A119" s="609" t="s">
        <v>648</v>
      </c>
      <c r="B119" s="610">
        <f t="array" ref="B119">VLOOKUP($A119,KY_DEMO,2,FALSE)</f>
        <v>13017</v>
      </c>
      <c r="C119" s="704">
        <f>vlookup(A119,'KY Data'!$A$3:$M$124,2,FALSE)</f>
        <v>13</v>
      </c>
      <c r="D119" s="612" t="s">
        <v>63</v>
      </c>
      <c r="E119" s="612">
        <f>vlookup(A119,'KY Data'!$A$3:$M$124,4,FALSE)</f>
        <v>2</v>
      </c>
      <c r="F119" s="612">
        <f>vlookup(A119,'KY Data'!$A$3:$M$124,3,FALSE)</f>
        <v>6</v>
      </c>
      <c r="G119" s="612" t="s">
        <v>63</v>
      </c>
      <c r="H119" s="671" t="s">
        <v>63</v>
      </c>
      <c r="I119" s="614">
        <f>vlookup(A119,'KY Data'!$A$3:$N$124,14,FALSE)</f>
        <v>4</v>
      </c>
      <c r="J119" s="615" t="s">
        <v>63</v>
      </c>
      <c r="K119" s="672" t="s">
        <v>63</v>
      </c>
      <c r="L119" s="826" t="s">
        <v>63</v>
      </c>
      <c r="M119" s="614" t="s">
        <v>63</v>
      </c>
      <c r="N119" s="614" t="s">
        <v>63</v>
      </c>
      <c r="O119" s="614" t="s">
        <v>63</v>
      </c>
      <c r="P119" s="620">
        <f>ifna(vlookup(A119,'Population &amp; Church Numbers'!$A$996:$D$1115,4,FALSE),"NULL")</f>
        <v>26</v>
      </c>
      <c r="Q119" s="674" t="s">
        <v>63</v>
      </c>
    </row>
    <row r="120">
      <c r="A120" s="609" t="s">
        <v>879</v>
      </c>
      <c r="B120" s="610">
        <f t="array" ref="B120">VLOOKUP($A120,KY_DEMO,2,FALSE)</f>
        <v>36712</v>
      </c>
      <c r="C120" s="704">
        <f>vlookup(A120,'KY Data'!$A$3:$M$124,2,FALSE)</f>
        <v>89</v>
      </c>
      <c r="D120" s="612" t="s">
        <v>63</v>
      </c>
      <c r="E120" s="612">
        <f>vlookup(A120,'KY Data'!$A$3:$M$124,4,FALSE)</f>
        <v>27</v>
      </c>
      <c r="F120" s="612">
        <f>vlookup(A120,'KY Data'!$A$3:$M$124,3,FALSE)</f>
        <v>7</v>
      </c>
      <c r="G120" s="612" t="s">
        <v>63</v>
      </c>
      <c r="H120" s="671" t="s">
        <v>63</v>
      </c>
      <c r="I120" s="614">
        <f>vlookup(A120,'KY Data'!$A$3:$N$124,14,FALSE)</f>
        <v>34</v>
      </c>
      <c r="J120" s="615" t="s">
        <v>63</v>
      </c>
      <c r="K120" s="672" t="s">
        <v>63</v>
      </c>
      <c r="L120" s="826" t="s">
        <v>63</v>
      </c>
      <c r="M120" s="614" t="s">
        <v>63</v>
      </c>
      <c r="N120" s="614" t="s">
        <v>63</v>
      </c>
      <c r="O120" s="614" t="s">
        <v>63</v>
      </c>
      <c r="P120" s="620">
        <f>ifna(vlookup(A120,'Population &amp; Church Numbers'!$A$996:$D$1115,4,FALSE),"NULL")</f>
        <v>44</v>
      </c>
      <c r="Q120" s="674" t="s">
        <v>63</v>
      </c>
    </row>
    <row r="121">
      <c r="A121" s="609" t="s">
        <v>1138</v>
      </c>
      <c r="B121" s="610">
        <f t="array" ref="B121">VLOOKUP($A121,KY_DEMO,2,FALSE)</f>
        <v>6562</v>
      </c>
      <c r="C121" s="704">
        <f>vlookup(A121,'KY Data'!$A$3:$M$124,2,FALSE)</f>
        <v>46</v>
      </c>
      <c r="D121" s="612" t="s">
        <v>63</v>
      </c>
      <c r="E121" s="612">
        <f>vlookup(A121,'KY Data'!$A$3:$M$124,4,FALSE)</f>
        <v>15</v>
      </c>
      <c r="F121" s="612">
        <f>vlookup(A121,'KY Data'!$A$3:$M$124,3,FALSE)</f>
        <v>3</v>
      </c>
      <c r="G121" s="612" t="s">
        <v>63</v>
      </c>
      <c r="H121" s="671" t="s">
        <v>63</v>
      </c>
      <c r="I121" s="614">
        <f>vlookup(A121,'KY Data'!$A$3:$N$124,14,FALSE)</f>
        <v>14</v>
      </c>
      <c r="J121" s="615" t="s">
        <v>63</v>
      </c>
      <c r="K121" s="672" t="s">
        <v>63</v>
      </c>
      <c r="L121" s="826" t="s">
        <v>63</v>
      </c>
      <c r="M121" s="614" t="s">
        <v>63</v>
      </c>
      <c r="N121" s="614" t="s">
        <v>63</v>
      </c>
      <c r="O121" s="614" t="s">
        <v>63</v>
      </c>
      <c r="P121" s="620">
        <f>ifna(vlookup(A121,'Population &amp; Church Numbers'!$A$996:$D$1115,4,FALSE),"NULL")</f>
        <v>12</v>
      </c>
      <c r="Q121" s="674" t="s">
        <v>63</v>
      </c>
    </row>
    <row r="122">
      <c r="A122" s="609" t="s">
        <v>754</v>
      </c>
      <c r="B122" s="610">
        <f t="array" ref="B122">VLOOKUP($A122,KY_DEMO,2,FALSE)</f>
        <v>26871</v>
      </c>
      <c r="C122" s="704">
        <f>vlookup(A122,'KY Data'!$A$3:$M$124,2,FALSE)</f>
        <v>10</v>
      </c>
      <c r="D122" s="612" t="s">
        <v>63</v>
      </c>
      <c r="E122" s="612">
        <f>vlookup(A122,'KY Data'!$A$3:$M$124,4,FALSE)</f>
        <v>3</v>
      </c>
      <c r="F122" s="612">
        <f>vlookup(A122,'KY Data'!$A$3:$M$124,3,FALSE)</f>
        <v>4</v>
      </c>
      <c r="G122" s="612" t="s">
        <v>63</v>
      </c>
      <c r="H122" s="671" t="s">
        <v>63</v>
      </c>
      <c r="I122" s="614">
        <f>vlookup(A122,'KY Data'!$A$3:$N$124,14,FALSE)</f>
        <v>2</v>
      </c>
      <c r="J122" s="615" t="s">
        <v>63</v>
      </c>
      <c r="K122" s="672" t="s">
        <v>63</v>
      </c>
      <c r="L122" s="826" t="s">
        <v>63</v>
      </c>
      <c r="M122" s="614" t="s">
        <v>63</v>
      </c>
      <c r="N122" s="614" t="s">
        <v>63</v>
      </c>
      <c r="O122" s="614" t="s">
        <v>63</v>
      </c>
      <c r="P122" s="620">
        <f>ifna(vlookup(A122,'Population &amp; Church Numbers'!$A$996:$D$1115,4,FALSE),"NULL")</f>
        <v>41</v>
      </c>
      <c r="Q122" s="674" t="s">
        <v>63</v>
      </c>
    </row>
    <row r="123">
      <c r="A123" s="217"/>
      <c r="B123" s="218"/>
      <c r="C123" s="219"/>
      <c r="D123" s="220"/>
      <c r="E123" s="220"/>
      <c r="F123" s="220"/>
      <c r="G123" s="220"/>
      <c r="H123" s="221"/>
      <c r="I123" s="222"/>
      <c r="J123" s="223"/>
      <c r="K123" s="219"/>
      <c r="L123" s="224"/>
      <c r="M123" s="225"/>
      <c r="N123" s="226"/>
      <c r="O123" s="220"/>
      <c r="P123" s="221"/>
      <c r="Q123" s="227"/>
    </row>
    <row r="124">
      <c r="A124" s="228" t="s">
        <v>2</v>
      </c>
      <c r="B124" s="229"/>
      <c r="C124" s="236">
        <f>'KY Data'!B124</f>
        <v>7996</v>
      </c>
      <c r="D124" s="311" t="s">
        <v>63</v>
      </c>
      <c r="E124" s="231">
        <f>'KY Data'!D124</f>
        <v>2622</v>
      </c>
      <c r="F124" s="311">
        <f>'KY Data'!C124</f>
        <v>996</v>
      </c>
      <c r="G124" s="311" t="s">
        <v>63</v>
      </c>
      <c r="H124" s="359">
        <f>AFCARSCSC!D21</f>
        <v>5185</v>
      </c>
      <c r="I124" s="433">
        <f>'KY Data'!N124</f>
        <v>2466</v>
      </c>
      <c r="J124" s="235" t="s">
        <v>63</v>
      </c>
      <c r="K124" s="236" t="s">
        <v>63</v>
      </c>
      <c r="L124" s="359" t="s">
        <v>63</v>
      </c>
      <c r="M124" s="360" t="s">
        <v>63</v>
      </c>
      <c r="N124" s="311" t="s">
        <v>63</v>
      </c>
      <c r="O124" s="311" t="s">
        <v>63</v>
      </c>
      <c r="P124" s="233">
        <f>SUM(P3:P122)</f>
        <v>4936</v>
      </c>
      <c r="Q124" s="239" t="s">
        <v>63</v>
      </c>
    </row>
  </sheetData>
  <mergeCells count="1">
    <mergeCell ref="B1:Q1"/>
  </mergeCells>
  <drawing r:id="rId1"/>
  <tableParts count="1">
    <tablePart r:id="rId3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9" max="9" width="17.38"/>
  </cols>
  <sheetData>
    <row r="1">
      <c r="A1" s="196" t="s">
        <v>916</v>
      </c>
      <c r="B1" s="197"/>
      <c r="C1" s="197"/>
      <c r="D1" s="197"/>
      <c r="E1" s="198"/>
      <c r="F1" s="198"/>
      <c r="G1" s="198" t="s">
        <v>765</v>
      </c>
      <c r="H1" s="198" t="s">
        <v>2724</v>
      </c>
      <c r="I1" s="197"/>
      <c r="J1" s="197"/>
      <c r="K1" s="198" t="s">
        <v>767</v>
      </c>
      <c r="L1" s="214">
        <v>45462.0</v>
      </c>
      <c r="M1" s="198" t="s">
        <v>769</v>
      </c>
      <c r="N1" s="214">
        <v>45354.0</v>
      </c>
      <c r="O1" s="589"/>
    </row>
    <row r="2">
      <c r="A2" s="703"/>
      <c r="D2" s="567"/>
    </row>
    <row r="3">
      <c r="A3" s="835" t="s">
        <v>172</v>
      </c>
      <c r="B3" s="836" t="s">
        <v>2725</v>
      </c>
      <c r="C3" s="836" t="s">
        <v>2726</v>
      </c>
      <c r="D3" s="836" t="s">
        <v>2727</v>
      </c>
      <c r="E3" s="836" t="s">
        <v>2728</v>
      </c>
      <c r="F3" s="836" t="s">
        <v>2729</v>
      </c>
      <c r="G3" s="836" t="s">
        <v>2730</v>
      </c>
      <c r="H3" s="836" t="s">
        <v>2731</v>
      </c>
      <c r="I3" s="836" t="s">
        <v>2732</v>
      </c>
      <c r="J3" s="836" t="s">
        <v>2733</v>
      </c>
      <c r="K3" s="836" t="s">
        <v>2734</v>
      </c>
      <c r="L3" s="836" t="s">
        <v>1754</v>
      </c>
      <c r="M3" s="836" t="s">
        <v>2735</v>
      </c>
      <c r="N3" s="836" t="s">
        <v>2736</v>
      </c>
      <c r="O3" s="571"/>
      <c r="P3" s="571"/>
      <c r="Q3" s="571"/>
      <c r="R3" s="571"/>
      <c r="S3" s="571"/>
      <c r="T3" s="571"/>
      <c r="U3" s="571"/>
      <c r="V3" s="571"/>
      <c r="W3" s="571"/>
      <c r="X3" s="571"/>
      <c r="Y3" s="571"/>
      <c r="Z3" s="571"/>
      <c r="AA3" s="571"/>
      <c r="AB3" s="571"/>
    </row>
    <row r="4">
      <c r="A4" s="578" t="s">
        <v>882</v>
      </c>
      <c r="B4" s="351">
        <v>29.0</v>
      </c>
      <c r="C4" s="351">
        <v>2.0</v>
      </c>
      <c r="D4" s="351">
        <v>11.0</v>
      </c>
      <c r="E4" s="351">
        <v>1.0</v>
      </c>
      <c r="F4" s="351">
        <v>5.0</v>
      </c>
      <c r="G4" s="351">
        <v>0.0</v>
      </c>
      <c r="H4" s="351">
        <v>0.0</v>
      </c>
      <c r="I4" s="351">
        <v>0.0</v>
      </c>
      <c r="J4" s="351">
        <v>0.0</v>
      </c>
      <c r="K4" s="351">
        <v>0.0</v>
      </c>
      <c r="L4" s="351">
        <v>0.0</v>
      </c>
      <c r="M4" s="351">
        <v>0.0</v>
      </c>
      <c r="N4" s="351">
        <v>8.0</v>
      </c>
    </row>
    <row r="5">
      <c r="A5" s="578" t="s">
        <v>755</v>
      </c>
      <c r="B5" s="351">
        <v>59.0</v>
      </c>
      <c r="C5" s="351">
        <v>7.0</v>
      </c>
      <c r="D5" s="351">
        <v>34.0</v>
      </c>
      <c r="E5" s="351">
        <v>0.0</v>
      </c>
      <c r="F5" s="351">
        <v>1.0</v>
      </c>
      <c r="G5" s="351">
        <v>0.0</v>
      </c>
      <c r="H5" s="351">
        <v>1.0</v>
      </c>
      <c r="I5" s="351">
        <v>1.0</v>
      </c>
      <c r="J5" s="351">
        <v>3.0</v>
      </c>
      <c r="K5" s="351">
        <v>0.0</v>
      </c>
      <c r="L5" s="351">
        <v>0.0</v>
      </c>
      <c r="M5" s="351">
        <v>0.0</v>
      </c>
      <c r="N5" s="351">
        <v>17.0</v>
      </c>
    </row>
    <row r="6">
      <c r="A6" s="578" t="s">
        <v>954</v>
      </c>
      <c r="B6" s="351">
        <v>53.0</v>
      </c>
      <c r="C6" s="351">
        <v>1.0</v>
      </c>
      <c r="D6" s="351">
        <v>25.0</v>
      </c>
      <c r="E6" s="351">
        <v>0.0</v>
      </c>
      <c r="F6" s="351">
        <v>5.0</v>
      </c>
      <c r="G6" s="351">
        <v>0.0</v>
      </c>
      <c r="H6" s="351">
        <v>3.0</v>
      </c>
      <c r="I6" s="351">
        <v>1.0</v>
      </c>
      <c r="J6" s="351">
        <v>0.0</v>
      </c>
      <c r="K6" s="351">
        <v>0.0</v>
      </c>
      <c r="L6" s="351">
        <v>1.0</v>
      </c>
      <c r="M6" s="351">
        <v>0.0</v>
      </c>
      <c r="N6" s="351">
        <v>27.0</v>
      </c>
    </row>
    <row r="7">
      <c r="A7" s="578" t="s">
        <v>1024</v>
      </c>
      <c r="B7" s="351">
        <v>27.0</v>
      </c>
      <c r="C7" s="351">
        <v>1.0</v>
      </c>
      <c r="D7" s="351">
        <v>12.0</v>
      </c>
      <c r="E7" s="351">
        <v>0.0</v>
      </c>
      <c r="F7" s="351">
        <v>0.0</v>
      </c>
      <c r="G7" s="351">
        <v>0.0</v>
      </c>
      <c r="H7" s="351">
        <v>1.0</v>
      </c>
      <c r="I7" s="351">
        <v>0.0</v>
      </c>
      <c r="J7" s="351">
        <v>1.0</v>
      </c>
      <c r="K7" s="351">
        <v>0.0</v>
      </c>
      <c r="L7" s="351">
        <v>0.0</v>
      </c>
      <c r="M7" s="351">
        <v>0.0</v>
      </c>
      <c r="N7" s="351">
        <v>7.0</v>
      </c>
    </row>
    <row r="8">
      <c r="A8" s="578" t="s">
        <v>1025</v>
      </c>
      <c r="B8" s="351">
        <v>130.0</v>
      </c>
      <c r="C8" s="351">
        <v>15.0</v>
      </c>
      <c r="D8" s="351">
        <v>44.0</v>
      </c>
      <c r="E8" s="351">
        <v>0.0</v>
      </c>
      <c r="F8" s="351">
        <v>0.0</v>
      </c>
      <c r="G8" s="351">
        <v>0.0</v>
      </c>
      <c r="H8" s="351">
        <v>13.0</v>
      </c>
      <c r="I8" s="351">
        <v>2.0</v>
      </c>
      <c r="J8" s="351">
        <v>1.0</v>
      </c>
      <c r="K8" s="351">
        <v>0.0</v>
      </c>
      <c r="L8" s="351">
        <v>2.0</v>
      </c>
      <c r="M8" s="351">
        <v>1.0</v>
      </c>
      <c r="N8" s="351">
        <v>11.0</v>
      </c>
    </row>
    <row r="9">
      <c r="A9" s="578" t="s">
        <v>1026</v>
      </c>
      <c r="B9" s="351">
        <v>22.0</v>
      </c>
      <c r="C9" s="351">
        <v>1.0</v>
      </c>
      <c r="D9" s="351">
        <v>8.0</v>
      </c>
      <c r="E9" s="351">
        <v>0.0</v>
      </c>
      <c r="F9" s="351">
        <v>0.0</v>
      </c>
      <c r="G9" s="351">
        <v>0.0</v>
      </c>
      <c r="H9" s="351">
        <v>2.0</v>
      </c>
      <c r="I9" s="351">
        <v>0.0</v>
      </c>
      <c r="J9" s="351">
        <v>0.0</v>
      </c>
      <c r="K9" s="351">
        <v>0.0</v>
      </c>
      <c r="L9" s="351">
        <v>0.0</v>
      </c>
      <c r="M9" s="351">
        <v>0.0</v>
      </c>
      <c r="N9" s="351">
        <v>7.0</v>
      </c>
    </row>
    <row r="10">
      <c r="A10" s="578" t="s">
        <v>1027</v>
      </c>
      <c r="B10" s="351">
        <v>15.0</v>
      </c>
      <c r="C10" s="351">
        <v>0.0</v>
      </c>
      <c r="D10" s="351">
        <v>3.0</v>
      </c>
      <c r="E10" s="351">
        <v>2.0</v>
      </c>
      <c r="F10" s="351">
        <v>0.0</v>
      </c>
      <c r="G10" s="351">
        <v>1.0</v>
      </c>
      <c r="H10" s="351">
        <v>1.0</v>
      </c>
      <c r="I10" s="351">
        <v>0.0</v>
      </c>
      <c r="J10" s="351">
        <v>1.0</v>
      </c>
      <c r="K10" s="351">
        <v>1.0</v>
      </c>
      <c r="L10" s="351">
        <v>0.0</v>
      </c>
      <c r="M10" s="351">
        <v>0.0</v>
      </c>
      <c r="N10" s="351">
        <v>4.0</v>
      </c>
    </row>
    <row r="11">
      <c r="A11" s="578" t="s">
        <v>246</v>
      </c>
      <c r="B11" s="351">
        <v>88.0</v>
      </c>
      <c r="C11" s="351">
        <v>5.0</v>
      </c>
      <c r="D11" s="351">
        <v>28.0</v>
      </c>
      <c r="E11" s="351">
        <v>2.0</v>
      </c>
      <c r="F11" s="351">
        <v>0.0</v>
      </c>
      <c r="G11" s="351">
        <v>1.0</v>
      </c>
      <c r="H11" s="351">
        <v>1.0</v>
      </c>
      <c r="I11" s="351">
        <v>3.0</v>
      </c>
      <c r="J11" s="351">
        <v>4.0</v>
      </c>
      <c r="K11" s="351">
        <v>2.0</v>
      </c>
      <c r="L11" s="351">
        <v>2.0</v>
      </c>
      <c r="M11" s="351">
        <v>0.0</v>
      </c>
      <c r="N11" s="351">
        <v>2.0</v>
      </c>
    </row>
    <row r="12">
      <c r="A12" s="578" t="s">
        <v>959</v>
      </c>
      <c r="B12" s="351">
        <v>22.0</v>
      </c>
      <c r="C12" s="351">
        <v>5.0</v>
      </c>
      <c r="D12" s="351">
        <v>4.0</v>
      </c>
      <c r="E12" s="351">
        <v>1.0</v>
      </c>
      <c r="F12" s="351">
        <v>0.0</v>
      </c>
      <c r="G12" s="351">
        <v>0.0</v>
      </c>
      <c r="H12" s="351">
        <v>0.0</v>
      </c>
      <c r="I12" s="351">
        <v>0.0</v>
      </c>
      <c r="J12" s="351">
        <v>0.0</v>
      </c>
      <c r="K12" s="351">
        <v>0.0</v>
      </c>
      <c r="L12" s="351">
        <v>0.0</v>
      </c>
      <c r="M12" s="351">
        <v>1.0</v>
      </c>
      <c r="N12" s="351">
        <v>3.0</v>
      </c>
    </row>
    <row r="13">
      <c r="A13" s="578" t="s">
        <v>1028</v>
      </c>
      <c r="B13" s="351">
        <v>169.0</v>
      </c>
      <c r="C13" s="351">
        <v>19.0</v>
      </c>
      <c r="D13" s="351">
        <v>49.0</v>
      </c>
      <c r="E13" s="351">
        <v>1.0</v>
      </c>
      <c r="F13" s="351">
        <v>30.0</v>
      </c>
      <c r="G13" s="351">
        <v>1.0</v>
      </c>
      <c r="H13" s="351">
        <v>7.0</v>
      </c>
      <c r="I13" s="351">
        <v>3.0</v>
      </c>
      <c r="J13" s="351">
        <v>1.0</v>
      </c>
      <c r="K13" s="351">
        <v>1.0</v>
      </c>
      <c r="L13" s="351">
        <v>8.0</v>
      </c>
      <c r="M13" s="351">
        <v>0.0</v>
      </c>
      <c r="N13" s="351">
        <v>61.0</v>
      </c>
    </row>
    <row r="14">
      <c r="A14" s="578" t="s">
        <v>1029</v>
      </c>
      <c r="B14" s="351">
        <v>48.0</v>
      </c>
      <c r="C14" s="351">
        <v>15.0</v>
      </c>
      <c r="D14" s="351">
        <v>15.0</v>
      </c>
      <c r="E14" s="351">
        <v>1.0</v>
      </c>
      <c r="F14" s="351">
        <v>6.0</v>
      </c>
      <c r="G14" s="351">
        <v>0.0</v>
      </c>
      <c r="H14" s="351">
        <v>2.0</v>
      </c>
      <c r="I14" s="351">
        <v>1.0</v>
      </c>
      <c r="J14" s="351">
        <v>2.0</v>
      </c>
      <c r="K14" s="351">
        <v>0.0</v>
      </c>
      <c r="L14" s="351">
        <v>0.0</v>
      </c>
      <c r="M14" s="351">
        <v>0.0</v>
      </c>
      <c r="N14" s="351">
        <v>13.0</v>
      </c>
    </row>
    <row r="15">
      <c r="A15" s="578" t="s">
        <v>1030</v>
      </c>
      <c r="B15" s="351">
        <v>32.0</v>
      </c>
      <c r="C15" s="351">
        <v>3.0</v>
      </c>
      <c r="D15" s="351">
        <v>10.0</v>
      </c>
      <c r="E15" s="351">
        <v>0.0</v>
      </c>
      <c r="F15" s="351">
        <v>0.0</v>
      </c>
      <c r="G15" s="351">
        <v>0.0</v>
      </c>
      <c r="H15" s="351">
        <v>1.0</v>
      </c>
      <c r="I15" s="351">
        <v>0.0</v>
      </c>
      <c r="J15" s="351">
        <v>3.0</v>
      </c>
      <c r="K15" s="351">
        <v>0.0</v>
      </c>
      <c r="L15" s="351">
        <v>0.0</v>
      </c>
      <c r="M15" s="351">
        <v>0.0</v>
      </c>
      <c r="N15" s="351">
        <v>14.0</v>
      </c>
    </row>
    <row r="16">
      <c r="A16" s="578" t="s">
        <v>1031</v>
      </c>
      <c r="B16" s="351">
        <v>62.0</v>
      </c>
      <c r="C16" s="351">
        <v>8.0</v>
      </c>
      <c r="D16" s="351">
        <v>16.0</v>
      </c>
      <c r="E16" s="351">
        <v>2.0</v>
      </c>
      <c r="F16" s="351">
        <v>0.0</v>
      </c>
      <c r="G16" s="351">
        <v>0.0</v>
      </c>
      <c r="H16" s="351">
        <v>0.0</v>
      </c>
      <c r="I16" s="351">
        <v>0.0</v>
      </c>
      <c r="J16" s="351">
        <v>0.0</v>
      </c>
      <c r="K16" s="351">
        <v>0.0</v>
      </c>
      <c r="L16" s="351">
        <v>0.0</v>
      </c>
      <c r="M16" s="351">
        <v>0.0</v>
      </c>
      <c r="N16" s="351">
        <v>25.0</v>
      </c>
    </row>
    <row r="17">
      <c r="A17" s="578" t="s">
        <v>1032</v>
      </c>
      <c r="B17" s="351">
        <v>74.0</v>
      </c>
      <c r="C17" s="351">
        <v>3.0</v>
      </c>
      <c r="D17" s="351">
        <v>18.0</v>
      </c>
      <c r="E17" s="351">
        <v>3.0</v>
      </c>
      <c r="F17" s="351">
        <v>5.0</v>
      </c>
      <c r="G17" s="351">
        <v>1.0</v>
      </c>
      <c r="H17" s="351">
        <v>3.0</v>
      </c>
      <c r="I17" s="351">
        <v>1.0</v>
      </c>
      <c r="J17" s="351">
        <v>1.0</v>
      </c>
      <c r="K17" s="351">
        <v>0.0</v>
      </c>
      <c r="L17" s="351">
        <v>1.0</v>
      </c>
      <c r="M17" s="351">
        <v>0.0</v>
      </c>
      <c r="N17" s="351">
        <v>40.0</v>
      </c>
    </row>
    <row r="18">
      <c r="A18" s="578" t="s">
        <v>1033</v>
      </c>
      <c r="B18" s="351">
        <v>206.0</v>
      </c>
      <c r="C18" s="351">
        <v>21.0</v>
      </c>
      <c r="D18" s="351">
        <v>67.0</v>
      </c>
      <c r="E18" s="351">
        <v>6.0</v>
      </c>
      <c r="F18" s="351">
        <v>14.0</v>
      </c>
      <c r="G18" s="351">
        <v>2.0</v>
      </c>
      <c r="H18" s="351">
        <v>11.0</v>
      </c>
      <c r="I18" s="351">
        <v>5.0</v>
      </c>
      <c r="J18" s="351">
        <v>4.0</v>
      </c>
      <c r="K18" s="351">
        <v>1.0</v>
      </c>
      <c r="L18" s="351">
        <v>6.0</v>
      </c>
      <c r="M18" s="351">
        <v>3.0</v>
      </c>
      <c r="N18" s="351">
        <v>109.0</v>
      </c>
    </row>
    <row r="19">
      <c r="A19" s="578" t="s">
        <v>87</v>
      </c>
      <c r="B19" s="351">
        <v>49.0</v>
      </c>
      <c r="C19" s="351">
        <v>15.0</v>
      </c>
      <c r="D19" s="351">
        <v>12.0</v>
      </c>
      <c r="E19" s="351">
        <v>2.0</v>
      </c>
      <c r="F19" s="351">
        <v>1.0</v>
      </c>
      <c r="G19" s="351">
        <v>2.0</v>
      </c>
      <c r="H19" s="351">
        <v>0.0</v>
      </c>
      <c r="I19" s="351">
        <v>0.0</v>
      </c>
      <c r="J19" s="351">
        <v>2.0</v>
      </c>
      <c r="K19" s="351">
        <v>0.0</v>
      </c>
      <c r="L19" s="351">
        <v>0.0</v>
      </c>
      <c r="M19" s="351">
        <v>0.0</v>
      </c>
      <c r="N19" s="351">
        <v>13.0</v>
      </c>
    </row>
    <row r="20">
      <c r="A20" s="578" t="s">
        <v>1034</v>
      </c>
      <c r="B20" s="351">
        <v>16.0</v>
      </c>
      <c r="C20" s="351">
        <v>0.0</v>
      </c>
      <c r="D20" s="351">
        <v>16.0</v>
      </c>
      <c r="E20" s="351">
        <v>0.0</v>
      </c>
      <c r="F20" s="351">
        <v>16.0</v>
      </c>
      <c r="G20" s="351">
        <v>0.0</v>
      </c>
      <c r="H20" s="351">
        <v>0.0</v>
      </c>
      <c r="I20" s="351">
        <v>0.0</v>
      </c>
      <c r="J20" s="351">
        <v>2.0</v>
      </c>
      <c r="K20" s="351">
        <v>0.0</v>
      </c>
      <c r="L20" s="351">
        <v>0.0</v>
      </c>
      <c r="M20" s="351">
        <v>0.0</v>
      </c>
      <c r="N20" s="351">
        <v>16.0</v>
      </c>
    </row>
    <row r="21">
      <c r="A21" s="578" t="s">
        <v>1035</v>
      </c>
      <c r="B21" s="351">
        <v>48.0</v>
      </c>
      <c r="C21" s="351">
        <v>15.0</v>
      </c>
      <c r="D21" s="351">
        <v>18.0</v>
      </c>
      <c r="E21" s="351">
        <v>2.0</v>
      </c>
      <c r="F21" s="351">
        <v>0.0</v>
      </c>
      <c r="G21" s="351">
        <v>0.0</v>
      </c>
      <c r="H21" s="351">
        <v>0.0</v>
      </c>
      <c r="I21" s="351">
        <v>3.0</v>
      </c>
      <c r="J21" s="351">
        <v>8.0</v>
      </c>
      <c r="K21" s="351">
        <v>1.0</v>
      </c>
      <c r="L21" s="351">
        <v>0.0</v>
      </c>
      <c r="M21" s="351">
        <v>0.0</v>
      </c>
      <c r="N21" s="351">
        <v>15.0</v>
      </c>
    </row>
    <row r="22">
      <c r="A22" s="578" t="s">
        <v>1036</v>
      </c>
      <c r="B22" s="351">
        <v>153.0</v>
      </c>
      <c r="C22" s="351">
        <v>30.0</v>
      </c>
      <c r="D22" s="351">
        <v>36.0</v>
      </c>
      <c r="E22" s="351">
        <v>6.0</v>
      </c>
      <c r="F22" s="351">
        <v>4.0</v>
      </c>
      <c r="G22" s="351">
        <v>1.0</v>
      </c>
      <c r="H22" s="351">
        <v>2.0</v>
      </c>
      <c r="I22" s="351">
        <v>4.0</v>
      </c>
      <c r="J22" s="351">
        <v>2.0</v>
      </c>
      <c r="K22" s="351">
        <v>2.0</v>
      </c>
      <c r="L22" s="351">
        <v>3.0</v>
      </c>
      <c r="M22" s="351">
        <v>2.0</v>
      </c>
      <c r="N22" s="351">
        <v>15.0</v>
      </c>
    </row>
    <row r="23">
      <c r="A23" s="578" t="s">
        <v>1037</v>
      </c>
      <c r="B23" s="351">
        <v>32.0</v>
      </c>
      <c r="C23" s="351">
        <v>6.0</v>
      </c>
      <c r="D23" s="351">
        <v>6.0</v>
      </c>
      <c r="E23" s="351">
        <v>2.0</v>
      </c>
      <c r="F23" s="351">
        <v>0.0</v>
      </c>
      <c r="G23" s="351">
        <v>0.0</v>
      </c>
      <c r="H23" s="351">
        <v>7.0</v>
      </c>
      <c r="I23" s="351">
        <v>0.0</v>
      </c>
      <c r="J23" s="351">
        <v>0.0</v>
      </c>
      <c r="K23" s="351">
        <v>0.0</v>
      </c>
      <c r="L23" s="351">
        <v>0.0</v>
      </c>
      <c r="M23" s="351">
        <v>0.0</v>
      </c>
      <c r="N23" s="351">
        <v>7.0</v>
      </c>
    </row>
    <row r="24">
      <c r="A24" s="578" t="s">
        <v>248</v>
      </c>
      <c r="B24" s="351">
        <v>24.0</v>
      </c>
      <c r="C24" s="351">
        <v>9.0</v>
      </c>
      <c r="D24" s="351">
        <v>1.0</v>
      </c>
      <c r="E24" s="351">
        <v>0.0</v>
      </c>
      <c r="F24" s="351">
        <v>0.0</v>
      </c>
      <c r="G24" s="351">
        <v>0.0</v>
      </c>
      <c r="H24" s="351">
        <v>1.0</v>
      </c>
      <c r="I24" s="351">
        <v>1.0</v>
      </c>
      <c r="J24" s="351">
        <v>0.0</v>
      </c>
      <c r="K24" s="351">
        <v>0.0</v>
      </c>
      <c r="L24" s="351">
        <v>0.0</v>
      </c>
      <c r="M24" s="351">
        <v>0.0</v>
      </c>
      <c r="N24" s="351">
        <v>2.0</v>
      </c>
    </row>
    <row r="25">
      <c r="A25" s="578" t="s">
        <v>1038</v>
      </c>
      <c r="B25" s="351">
        <v>52.0</v>
      </c>
      <c r="C25" s="351">
        <v>9.0</v>
      </c>
      <c r="D25" s="351">
        <v>4.0</v>
      </c>
      <c r="E25" s="351">
        <v>1.0</v>
      </c>
      <c r="F25" s="351">
        <v>0.0</v>
      </c>
      <c r="G25" s="351">
        <v>0.0</v>
      </c>
      <c r="H25" s="351">
        <v>1.0</v>
      </c>
      <c r="I25" s="351">
        <v>0.0</v>
      </c>
      <c r="J25" s="351">
        <v>2.0</v>
      </c>
      <c r="K25" s="351">
        <v>0.0</v>
      </c>
      <c r="L25" s="351">
        <v>0.0</v>
      </c>
      <c r="M25" s="351">
        <v>0.0</v>
      </c>
      <c r="N25" s="351">
        <v>11.0</v>
      </c>
    </row>
    <row r="26">
      <c r="A26" s="578" t="s">
        <v>1039</v>
      </c>
      <c r="B26" s="351">
        <v>16.0</v>
      </c>
      <c r="C26" s="351">
        <v>0.0</v>
      </c>
      <c r="D26" s="351">
        <v>2.0</v>
      </c>
      <c r="E26" s="351">
        <v>0.0</v>
      </c>
      <c r="F26" s="351">
        <v>0.0</v>
      </c>
      <c r="G26" s="351">
        <v>0.0</v>
      </c>
      <c r="H26" s="351">
        <v>2.0</v>
      </c>
      <c r="I26" s="351">
        <v>1.0</v>
      </c>
      <c r="J26" s="351">
        <v>0.0</v>
      </c>
      <c r="K26" s="351">
        <v>0.0</v>
      </c>
      <c r="L26" s="351">
        <v>0.0</v>
      </c>
      <c r="M26" s="351">
        <v>0.0</v>
      </c>
      <c r="N26" s="351">
        <v>1.0</v>
      </c>
    </row>
    <row r="27">
      <c r="A27" s="578" t="s">
        <v>710</v>
      </c>
      <c r="B27" s="351">
        <v>94.0</v>
      </c>
      <c r="C27" s="351">
        <v>21.0</v>
      </c>
      <c r="D27" s="351">
        <v>29.0</v>
      </c>
      <c r="E27" s="351">
        <v>1.0</v>
      </c>
      <c r="F27" s="351">
        <v>2.0</v>
      </c>
      <c r="G27" s="351">
        <v>0.0</v>
      </c>
      <c r="H27" s="351">
        <v>4.0</v>
      </c>
      <c r="I27" s="351">
        <v>1.0</v>
      </c>
      <c r="J27" s="351">
        <v>1.0</v>
      </c>
      <c r="K27" s="351">
        <v>0.0</v>
      </c>
      <c r="L27" s="351">
        <v>5.0</v>
      </c>
      <c r="M27" s="351">
        <v>0.0</v>
      </c>
      <c r="N27" s="351">
        <v>30.0</v>
      </c>
    </row>
    <row r="28">
      <c r="A28" s="578" t="s">
        <v>253</v>
      </c>
      <c r="B28" s="351">
        <v>110.0</v>
      </c>
      <c r="C28" s="351">
        <v>19.0</v>
      </c>
      <c r="D28" s="351">
        <v>31.0</v>
      </c>
      <c r="E28" s="351">
        <v>2.0</v>
      </c>
      <c r="F28" s="351">
        <v>5.0</v>
      </c>
      <c r="G28" s="351">
        <v>0.0</v>
      </c>
      <c r="H28" s="351">
        <v>5.0</v>
      </c>
      <c r="I28" s="351">
        <v>0.0</v>
      </c>
      <c r="J28" s="351">
        <v>10.0</v>
      </c>
      <c r="K28" s="351">
        <v>0.0</v>
      </c>
      <c r="L28" s="351">
        <v>2.0</v>
      </c>
      <c r="M28" s="351">
        <v>0.0</v>
      </c>
      <c r="N28" s="351">
        <v>37.0</v>
      </c>
    </row>
    <row r="29">
      <c r="A29" s="578" t="s">
        <v>112</v>
      </c>
      <c r="B29" s="351">
        <v>49.0</v>
      </c>
      <c r="C29" s="351">
        <v>1.0</v>
      </c>
      <c r="D29" s="351">
        <v>24.0</v>
      </c>
      <c r="E29" s="351">
        <v>2.0</v>
      </c>
      <c r="F29" s="351">
        <v>7.0</v>
      </c>
      <c r="G29" s="351">
        <v>0.0</v>
      </c>
      <c r="H29" s="351">
        <v>1.0</v>
      </c>
      <c r="I29" s="351">
        <v>0.0</v>
      </c>
      <c r="J29" s="351">
        <v>0.0</v>
      </c>
      <c r="K29" s="351">
        <v>0.0</v>
      </c>
      <c r="L29" s="351">
        <v>0.0</v>
      </c>
      <c r="M29" s="351">
        <v>0.0</v>
      </c>
      <c r="N29" s="351">
        <v>25.0</v>
      </c>
    </row>
    <row r="30">
      <c r="A30" s="578" t="s">
        <v>711</v>
      </c>
      <c r="B30" s="351">
        <v>24.0</v>
      </c>
      <c r="C30" s="351">
        <v>6.0</v>
      </c>
      <c r="D30" s="351">
        <v>10.0</v>
      </c>
      <c r="E30" s="351">
        <v>1.0</v>
      </c>
      <c r="F30" s="351">
        <v>7.0</v>
      </c>
      <c r="G30" s="351">
        <v>0.0</v>
      </c>
      <c r="H30" s="351">
        <v>0.0</v>
      </c>
      <c r="I30" s="351">
        <v>0.0</v>
      </c>
      <c r="J30" s="351">
        <v>0.0</v>
      </c>
      <c r="K30" s="351">
        <v>0.0</v>
      </c>
      <c r="L30" s="351">
        <v>0.0</v>
      </c>
      <c r="M30" s="351">
        <v>0.0</v>
      </c>
      <c r="N30" s="351">
        <v>7.0</v>
      </c>
    </row>
    <row r="31">
      <c r="A31" s="578" t="s">
        <v>264</v>
      </c>
      <c r="B31" s="351">
        <v>27.0</v>
      </c>
      <c r="C31" s="351">
        <v>5.0</v>
      </c>
      <c r="D31" s="351">
        <v>11.0</v>
      </c>
      <c r="E31" s="351">
        <v>4.0</v>
      </c>
      <c r="F31" s="351">
        <v>0.0</v>
      </c>
      <c r="G31" s="351">
        <v>0.0</v>
      </c>
      <c r="H31" s="351">
        <v>0.0</v>
      </c>
      <c r="I31" s="351">
        <v>0.0</v>
      </c>
      <c r="J31" s="351">
        <v>0.0</v>
      </c>
      <c r="K31" s="351">
        <v>0.0</v>
      </c>
      <c r="L31" s="351">
        <v>0.0</v>
      </c>
      <c r="M31" s="351">
        <v>0.0</v>
      </c>
      <c r="N31" s="351">
        <v>5.0</v>
      </c>
    </row>
    <row r="32">
      <c r="A32" s="578" t="s">
        <v>713</v>
      </c>
      <c r="B32" s="351">
        <v>7.0</v>
      </c>
      <c r="C32" s="351">
        <v>1.0</v>
      </c>
      <c r="D32" s="351">
        <v>5.0</v>
      </c>
      <c r="E32" s="351">
        <v>2.0</v>
      </c>
      <c r="F32" s="351">
        <v>0.0</v>
      </c>
      <c r="G32" s="351">
        <v>0.0</v>
      </c>
      <c r="H32" s="351">
        <v>0.0</v>
      </c>
      <c r="I32" s="351">
        <v>0.0</v>
      </c>
      <c r="J32" s="351">
        <v>0.0</v>
      </c>
      <c r="K32" s="351">
        <v>0.0</v>
      </c>
      <c r="L32" s="351">
        <v>0.0</v>
      </c>
      <c r="M32" s="351">
        <v>0.0</v>
      </c>
      <c r="N32" s="351">
        <v>2.0</v>
      </c>
    </row>
    <row r="33">
      <c r="A33" s="578" t="s">
        <v>758</v>
      </c>
      <c r="B33" s="351">
        <v>190.0</v>
      </c>
      <c r="C33" s="351">
        <v>21.0</v>
      </c>
      <c r="D33" s="351">
        <v>60.0</v>
      </c>
      <c r="E33" s="351">
        <v>3.0</v>
      </c>
      <c r="F33" s="351">
        <v>5.0</v>
      </c>
      <c r="G33" s="351">
        <v>4.0</v>
      </c>
      <c r="H33" s="351">
        <v>9.0</v>
      </c>
      <c r="I33" s="351">
        <v>4.0</v>
      </c>
      <c r="J33" s="351">
        <v>4.0</v>
      </c>
      <c r="K33" s="351">
        <v>1.0</v>
      </c>
      <c r="L33" s="351">
        <v>6.0</v>
      </c>
      <c r="M33" s="351">
        <v>0.0</v>
      </c>
      <c r="N33" s="351">
        <v>25.0</v>
      </c>
    </row>
    <row r="34">
      <c r="A34" s="578" t="s">
        <v>1041</v>
      </c>
      <c r="B34" s="351">
        <v>28.0</v>
      </c>
      <c r="C34" s="351">
        <v>2.0</v>
      </c>
      <c r="D34" s="351">
        <v>12.0</v>
      </c>
      <c r="E34" s="351">
        <v>0.0</v>
      </c>
      <c r="F34" s="351">
        <v>0.0</v>
      </c>
      <c r="G34" s="351">
        <v>0.0</v>
      </c>
      <c r="H34" s="351">
        <v>3.0</v>
      </c>
      <c r="I34" s="351">
        <v>0.0</v>
      </c>
      <c r="J34" s="351">
        <v>0.0</v>
      </c>
      <c r="K34" s="351">
        <v>0.0</v>
      </c>
      <c r="L34" s="351">
        <v>1.0</v>
      </c>
      <c r="M34" s="351">
        <v>0.0</v>
      </c>
      <c r="N34" s="351">
        <v>6.0</v>
      </c>
    </row>
    <row r="35">
      <c r="A35" s="578" t="s">
        <v>1045</v>
      </c>
      <c r="B35" s="351">
        <v>8.0</v>
      </c>
      <c r="C35" s="351">
        <v>2.0</v>
      </c>
      <c r="D35" s="351">
        <v>0.0</v>
      </c>
      <c r="E35" s="351">
        <v>0.0</v>
      </c>
      <c r="F35" s="351">
        <v>0.0</v>
      </c>
      <c r="G35" s="351">
        <v>0.0</v>
      </c>
      <c r="H35" s="351">
        <v>0.0</v>
      </c>
      <c r="I35" s="351">
        <v>0.0</v>
      </c>
      <c r="J35" s="351">
        <v>0.0</v>
      </c>
      <c r="K35" s="351">
        <v>0.0</v>
      </c>
      <c r="L35" s="351">
        <v>1.0</v>
      </c>
      <c r="M35" s="351">
        <v>0.0</v>
      </c>
      <c r="N35" s="351">
        <v>1.0</v>
      </c>
    </row>
    <row r="36">
      <c r="A36" s="578" t="s">
        <v>1046</v>
      </c>
      <c r="B36" s="351">
        <v>53.0</v>
      </c>
      <c r="C36" s="351">
        <v>7.0</v>
      </c>
      <c r="D36" s="351">
        <v>13.0</v>
      </c>
      <c r="E36" s="351">
        <v>1.0</v>
      </c>
      <c r="F36" s="351">
        <v>7.0</v>
      </c>
      <c r="G36" s="351">
        <v>0.0</v>
      </c>
      <c r="H36" s="351">
        <v>2.0</v>
      </c>
      <c r="I36" s="351">
        <v>0.0</v>
      </c>
      <c r="J36" s="351">
        <v>0.0</v>
      </c>
      <c r="K36" s="351">
        <v>0.0</v>
      </c>
      <c r="L36" s="351">
        <v>0.0</v>
      </c>
      <c r="M36" s="351">
        <v>0.0</v>
      </c>
      <c r="N36" s="351">
        <v>11.0</v>
      </c>
    </row>
    <row r="37">
      <c r="A37" s="578" t="s">
        <v>135</v>
      </c>
      <c r="B37" s="351">
        <v>577.0</v>
      </c>
      <c r="C37" s="351">
        <v>51.0</v>
      </c>
      <c r="D37" s="351">
        <v>187.0</v>
      </c>
      <c r="E37" s="351">
        <v>9.0</v>
      </c>
      <c r="F37" s="351">
        <v>17.0</v>
      </c>
      <c r="G37" s="351">
        <v>5.0</v>
      </c>
      <c r="H37" s="351">
        <v>45.0</v>
      </c>
      <c r="I37" s="351">
        <v>15.0</v>
      </c>
      <c r="J37" s="351">
        <v>12.0</v>
      </c>
      <c r="K37" s="351">
        <v>11.0</v>
      </c>
      <c r="L37" s="351">
        <v>15.0</v>
      </c>
      <c r="M37" s="351">
        <v>0.0</v>
      </c>
      <c r="N37" s="351">
        <v>208.0</v>
      </c>
    </row>
    <row r="38">
      <c r="A38" s="578" t="s">
        <v>1049</v>
      </c>
      <c r="B38" s="351">
        <v>12.0</v>
      </c>
      <c r="C38" s="351">
        <v>1.0</v>
      </c>
      <c r="D38" s="351">
        <v>4.0</v>
      </c>
      <c r="E38" s="351">
        <v>0.0</v>
      </c>
      <c r="F38" s="351">
        <v>0.0</v>
      </c>
      <c r="G38" s="351">
        <v>0.0</v>
      </c>
      <c r="H38" s="351">
        <v>0.0</v>
      </c>
      <c r="I38" s="351">
        <v>0.0</v>
      </c>
      <c r="J38" s="351">
        <v>0.0</v>
      </c>
      <c r="K38" s="351">
        <v>0.0</v>
      </c>
      <c r="L38" s="351">
        <v>0.0</v>
      </c>
      <c r="M38" s="351">
        <v>0.0</v>
      </c>
      <c r="N38" s="351">
        <v>7.0</v>
      </c>
    </row>
    <row r="39">
      <c r="A39" s="578" t="s">
        <v>575</v>
      </c>
      <c r="B39" s="351">
        <v>96.0</v>
      </c>
      <c r="C39" s="351">
        <v>2.0</v>
      </c>
      <c r="D39" s="351">
        <v>21.0</v>
      </c>
      <c r="E39" s="351">
        <v>2.0</v>
      </c>
      <c r="F39" s="351">
        <v>0.0</v>
      </c>
      <c r="G39" s="351">
        <v>2.0</v>
      </c>
      <c r="H39" s="351">
        <v>1.0</v>
      </c>
      <c r="I39" s="351">
        <v>1.0</v>
      </c>
      <c r="J39" s="351">
        <v>1.0</v>
      </c>
      <c r="K39" s="351">
        <v>0.0</v>
      </c>
      <c r="L39" s="351">
        <v>0.0</v>
      </c>
      <c r="M39" s="351">
        <v>0.0</v>
      </c>
      <c r="N39" s="351">
        <v>39.0</v>
      </c>
    </row>
    <row r="40">
      <c r="A40" s="578" t="s">
        <v>136</v>
      </c>
      <c r="B40" s="351">
        <v>119.0</v>
      </c>
      <c r="C40" s="351">
        <v>44.0</v>
      </c>
      <c r="D40" s="351">
        <v>43.0</v>
      </c>
      <c r="E40" s="351">
        <v>4.0</v>
      </c>
      <c r="F40" s="351">
        <v>0.0</v>
      </c>
      <c r="G40" s="351">
        <v>0.0</v>
      </c>
      <c r="H40" s="351">
        <v>1.0</v>
      </c>
      <c r="I40" s="351">
        <v>1.0</v>
      </c>
      <c r="J40" s="351">
        <v>3.0</v>
      </c>
      <c r="K40" s="351">
        <v>0.0</v>
      </c>
      <c r="L40" s="351">
        <v>5.0</v>
      </c>
      <c r="M40" s="351">
        <v>0.0</v>
      </c>
      <c r="N40" s="351">
        <v>15.0</v>
      </c>
    </row>
    <row r="41">
      <c r="A41" s="578" t="s">
        <v>275</v>
      </c>
      <c r="B41" s="351">
        <v>12.0</v>
      </c>
      <c r="C41" s="351">
        <v>4.0</v>
      </c>
      <c r="D41" s="351">
        <v>3.0</v>
      </c>
      <c r="E41" s="351">
        <v>0.0</v>
      </c>
      <c r="F41" s="351">
        <v>0.0</v>
      </c>
      <c r="G41" s="351">
        <v>0.0</v>
      </c>
      <c r="H41" s="351">
        <v>0.0</v>
      </c>
      <c r="I41" s="351">
        <v>1.0</v>
      </c>
      <c r="J41" s="351">
        <v>0.0</v>
      </c>
      <c r="K41" s="351">
        <v>0.0</v>
      </c>
      <c r="L41" s="351">
        <v>1.0</v>
      </c>
      <c r="M41" s="351">
        <v>0.0</v>
      </c>
      <c r="N41" s="351">
        <v>0.0</v>
      </c>
    </row>
    <row r="42">
      <c r="A42" s="578" t="s">
        <v>719</v>
      </c>
      <c r="B42" s="351">
        <v>5.0</v>
      </c>
      <c r="C42" s="351">
        <v>2.0</v>
      </c>
      <c r="D42" s="351">
        <v>2.0</v>
      </c>
      <c r="E42" s="351">
        <v>0.0</v>
      </c>
      <c r="F42" s="351">
        <v>0.0</v>
      </c>
      <c r="G42" s="351">
        <v>0.0</v>
      </c>
      <c r="H42" s="351">
        <v>0.0</v>
      </c>
      <c r="I42" s="351">
        <v>1.0</v>
      </c>
      <c r="J42" s="351">
        <v>0.0</v>
      </c>
      <c r="K42" s="351">
        <v>0.0</v>
      </c>
      <c r="L42" s="351">
        <v>0.0</v>
      </c>
      <c r="M42" s="351">
        <v>0.0</v>
      </c>
      <c r="N42" s="351">
        <v>0.0</v>
      </c>
    </row>
    <row r="43">
      <c r="A43" s="578" t="s">
        <v>1060</v>
      </c>
      <c r="B43" s="351">
        <v>36.0</v>
      </c>
      <c r="C43" s="351">
        <v>8.0</v>
      </c>
      <c r="D43" s="351">
        <v>8.0</v>
      </c>
      <c r="E43" s="351">
        <v>0.0</v>
      </c>
      <c r="F43" s="351">
        <v>0.0</v>
      </c>
      <c r="G43" s="351">
        <v>0.0</v>
      </c>
      <c r="H43" s="351">
        <v>0.0</v>
      </c>
      <c r="I43" s="351">
        <v>0.0</v>
      </c>
      <c r="J43" s="351">
        <v>0.0</v>
      </c>
      <c r="K43" s="351">
        <v>0.0</v>
      </c>
      <c r="L43" s="351">
        <v>0.0</v>
      </c>
      <c r="M43" s="351">
        <v>0.0</v>
      </c>
      <c r="N43" s="351">
        <v>14.0</v>
      </c>
    </row>
    <row r="44">
      <c r="A44" s="578" t="s">
        <v>278</v>
      </c>
      <c r="B44" s="351">
        <v>45.0</v>
      </c>
      <c r="C44" s="351">
        <v>8.0</v>
      </c>
      <c r="D44" s="351">
        <v>14.0</v>
      </c>
      <c r="E44" s="351">
        <v>1.0</v>
      </c>
      <c r="F44" s="351">
        <v>0.0</v>
      </c>
      <c r="G44" s="351">
        <v>0.0</v>
      </c>
      <c r="H44" s="351">
        <v>1.0</v>
      </c>
      <c r="I44" s="351">
        <v>2.0</v>
      </c>
      <c r="J44" s="351">
        <v>0.0</v>
      </c>
      <c r="K44" s="351">
        <v>1.0</v>
      </c>
      <c r="L44" s="351">
        <v>1.0</v>
      </c>
      <c r="M44" s="351">
        <v>0.0</v>
      </c>
      <c r="N44" s="351">
        <v>4.0</v>
      </c>
    </row>
    <row r="45">
      <c r="A45" s="578" t="s">
        <v>1068</v>
      </c>
      <c r="B45" s="351">
        <v>88.0</v>
      </c>
      <c r="C45" s="351">
        <v>10.0</v>
      </c>
      <c r="D45" s="351">
        <v>27.0</v>
      </c>
      <c r="E45" s="351">
        <v>3.0</v>
      </c>
      <c r="F45" s="351">
        <v>0.0</v>
      </c>
      <c r="G45" s="351">
        <v>2.0</v>
      </c>
      <c r="H45" s="351">
        <v>11.0</v>
      </c>
      <c r="I45" s="351">
        <v>1.0</v>
      </c>
      <c r="J45" s="351">
        <v>2.0</v>
      </c>
      <c r="K45" s="351">
        <v>0.0</v>
      </c>
      <c r="L45" s="351">
        <v>1.0</v>
      </c>
      <c r="M45" s="351">
        <v>1.0</v>
      </c>
      <c r="N45" s="351">
        <v>24.0</v>
      </c>
    </row>
    <row r="46">
      <c r="A46" s="578" t="s">
        <v>1072</v>
      </c>
      <c r="B46" s="351">
        <v>57.0</v>
      </c>
      <c r="C46" s="351">
        <v>3.0</v>
      </c>
      <c r="D46" s="351">
        <v>21.0</v>
      </c>
      <c r="E46" s="351">
        <v>1.0</v>
      </c>
      <c r="F46" s="351">
        <v>4.0</v>
      </c>
      <c r="G46" s="351">
        <v>0.0</v>
      </c>
      <c r="H46" s="351">
        <v>3.0</v>
      </c>
      <c r="I46" s="351">
        <v>0.0</v>
      </c>
      <c r="J46" s="351">
        <v>0.0</v>
      </c>
      <c r="K46" s="351">
        <v>0.0</v>
      </c>
      <c r="L46" s="351">
        <v>0.0</v>
      </c>
      <c r="M46" s="351">
        <v>0.0</v>
      </c>
      <c r="N46" s="351">
        <v>25.0</v>
      </c>
    </row>
    <row r="47">
      <c r="A47" s="578" t="s">
        <v>1075</v>
      </c>
      <c r="B47" s="351">
        <v>13.0</v>
      </c>
      <c r="C47" s="351">
        <v>0.0</v>
      </c>
      <c r="D47" s="351">
        <v>0.0</v>
      </c>
      <c r="E47" s="351">
        <v>0.0</v>
      </c>
      <c r="F47" s="351">
        <v>0.0</v>
      </c>
      <c r="G47" s="351">
        <v>0.0</v>
      </c>
      <c r="H47" s="351">
        <v>2.0</v>
      </c>
      <c r="I47" s="351">
        <v>0.0</v>
      </c>
      <c r="J47" s="351">
        <v>0.0</v>
      </c>
      <c r="K47" s="351">
        <v>0.0</v>
      </c>
      <c r="L47" s="351">
        <v>0.0</v>
      </c>
      <c r="M47" s="351">
        <v>0.0</v>
      </c>
      <c r="N47" s="351">
        <v>5.0</v>
      </c>
    </row>
    <row r="48">
      <c r="A48" s="578" t="s">
        <v>1078</v>
      </c>
      <c r="B48" s="351">
        <v>59.0</v>
      </c>
      <c r="C48" s="351">
        <v>6.0</v>
      </c>
      <c r="D48" s="351">
        <v>12.0</v>
      </c>
      <c r="E48" s="351">
        <v>0.0</v>
      </c>
      <c r="F48" s="351">
        <v>0.0</v>
      </c>
      <c r="G48" s="351">
        <v>0.0</v>
      </c>
      <c r="H48" s="351">
        <v>1.0</v>
      </c>
      <c r="I48" s="351">
        <v>1.0</v>
      </c>
      <c r="J48" s="351">
        <v>0.0</v>
      </c>
      <c r="K48" s="351">
        <v>0.0</v>
      </c>
      <c r="L48" s="351">
        <v>0.0</v>
      </c>
      <c r="M48" s="351">
        <v>0.0</v>
      </c>
      <c r="N48" s="351">
        <v>14.0</v>
      </c>
    </row>
    <row r="49">
      <c r="A49" s="578" t="s">
        <v>587</v>
      </c>
      <c r="B49" s="351">
        <v>11.0</v>
      </c>
      <c r="C49" s="351">
        <v>3.0</v>
      </c>
      <c r="D49" s="351">
        <v>3.0</v>
      </c>
      <c r="E49" s="351">
        <v>0.0</v>
      </c>
      <c r="F49" s="351">
        <v>0.0</v>
      </c>
      <c r="G49" s="351">
        <v>0.0</v>
      </c>
      <c r="H49" s="351">
        <v>0.0</v>
      </c>
      <c r="I49" s="351">
        <v>0.0</v>
      </c>
      <c r="J49" s="351">
        <v>0.0</v>
      </c>
      <c r="K49" s="351">
        <v>0.0</v>
      </c>
      <c r="L49" s="351">
        <v>1.0</v>
      </c>
      <c r="M49" s="351">
        <v>0.0</v>
      </c>
      <c r="N49" s="351">
        <v>0.0</v>
      </c>
    </row>
    <row r="50">
      <c r="A50" s="578" t="s">
        <v>721</v>
      </c>
      <c r="B50" s="351">
        <v>259.0</v>
      </c>
      <c r="C50" s="351">
        <v>23.0</v>
      </c>
      <c r="D50" s="351">
        <v>125.0</v>
      </c>
      <c r="E50" s="351">
        <v>14.0</v>
      </c>
      <c r="F50" s="351">
        <v>11.0</v>
      </c>
      <c r="G50" s="351">
        <v>1.0</v>
      </c>
      <c r="H50" s="351">
        <v>13.0</v>
      </c>
      <c r="I50" s="351">
        <v>5.0</v>
      </c>
      <c r="J50" s="351">
        <v>5.0</v>
      </c>
      <c r="K50" s="351">
        <v>3.0</v>
      </c>
      <c r="L50" s="351">
        <v>1.0</v>
      </c>
      <c r="M50" s="351">
        <v>8.0</v>
      </c>
      <c r="N50" s="351">
        <v>58.0</v>
      </c>
    </row>
    <row r="51">
      <c r="A51" s="578" t="s">
        <v>1088</v>
      </c>
      <c r="B51" s="351">
        <v>11.0</v>
      </c>
      <c r="C51" s="351">
        <v>2.0</v>
      </c>
      <c r="D51" s="351">
        <v>2.0</v>
      </c>
      <c r="E51" s="351">
        <v>0.0</v>
      </c>
      <c r="F51" s="351">
        <v>0.0</v>
      </c>
      <c r="G51" s="351">
        <v>0.0</v>
      </c>
      <c r="H51" s="351">
        <v>1.0</v>
      </c>
      <c r="I51" s="351">
        <v>0.0</v>
      </c>
      <c r="J51" s="351">
        <v>0.0</v>
      </c>
      <c r="K51" s="351">
        <v>0.0</v>
      </c>
      <c r="L51" s="351">
        <v>0.0</v>
      </c>
      <c r="M51" s="351">
        <v>0.0</v>
      </c>
      <c r="N51" s="351">
        <v>5.0</v>
      </c>
    </row>
    <row r="52">
      <c r="A52" s="578" t="s">
        <v>775</v>
      </c>
      <c r="B52" s="351">
        <v>54.0</v>
      </c>
      <c r="C52" s="351">
        <v>4.0</v>
      </c>
      <c r="D52" s="351">
        <v>31.0</v>
      </c>
      <c r="E52" s="351">
        <v>10.0</v>
      </c>
      <c r="F52" s="351">
        <v>0.0</v>
      </c>
      <c r="G52" s="351">
        <v>0.0</v>
      </c>
      <c r="H52" s="351">
        <v>2.0</v>
      </c>
      <c r="I52" s="351">
        <v>1.0</v>
      </c>
      <c r="J52" s="351">
        <v>0.0</v>
      </c>
      <c r="K52" s="351">
        <v>1.0</v>
      </c>
      <c r="L52" s="351">
        <v>0.0</v>
      </c>
      <c r="M52" s="351">
        <v>0.0</v>
      </c>
      <c r="N52" s="351">
        <v>19.0</v>
      </c>
    </row>
    <row r="53">
      <c r="A53" s="578" t="s">
        <v>589</v>
      </c>
      <c r="B53" s="351">
        <v>38.0</v>
      </c>
      <c r="C53" s="351">
        <v>5.0</v>
      </c>
      <c r="D53" s="351">
        <v>5.0</v>
      </c>
      <c r="E53" s="351">
        <v>0.0</v>
      </c>
      <c r="F53" s="351">
        <v>1.0</v>
      </c>
      <c r="G53" s="351">
        <v>1.0</v>
      </c>
      <c r="H53" s="351">
        <v>0.0</v>
      </c>
      <c r="I53" s="351">
        <v>1.0</v>
      </c>
      <c r="J53" s="351">
        <v>0.0</v>
      </c>
      <c r="K53" s="351">
        <v>0.0</v>
      </c>
      <c r="L53" s="351">
        <v>0.0</v>
      </c>
      <c r="M53" s="351">
        <v>0.0</v>
      </c>
      <c r="N53" s="351">
        <v>9.0</v>
      </c>
    </row>
    <row r="54">
      <c r="A54" s="578" t="s">
        <v>722</v>
      </c>
      <c r="B54" s="351">
        <v>50.0</v>
      </c>
      <c r="C54" s="351">
        <v>7.0</v>
      </c>
      <c r="D54" s="351">
        <v>20.0</v>
      </c>
      <c r="E54" s="351">
        <v>10.0</v>
      </c>
      <c r="F54" s="351">
        <v>0.0</v>
      </c>
      <c r="G54" s="351">
        <v>0.0</v>
      </c>
      <c r="H54" s="351">
        <v>2.0</v>
      </c>
      <c r="I54" s="351">
        <v>0.0</v>
      </c>
      <c r="J54" s="351">
        <v>2.0</v>
      </c>
      <c r="K54" s="351">
        <v>0.0</v>
      </c>
      <c r="L54" s="351">
        <v>1.0</v>
      </c>
      <c r="M54" s="351">
        <v>0.0</v>
      </c>
      <c r="N54" s="351">
        <v>5.0</v>
      </c>
    </row>
    <row r="55">
      <c r="A55" s="578" t="s">
        <v>140</v>
      </c>
      <c r="B55" s="351">
        <v>11.0</v>
      </c>
      <c r="C55" s="351">
        <v>2.0</v>
      </c>
      <c r="D55" s="351">
        <v>6.0</v>
      </c>
      <c r="E55" s="351">
        <v>0.0</v>
      </c>
      <c r="F55" s="351">
        <v>0.0</v>
      </c>
      <c r="G55" s="351">
        <v>0.0</v>
      </c>
      <c r="H55" s="351">
        <v>0.0</v>
      </c>
      <c r="I55" s="351">
        <v>0.0</v>
      </c>
      <c r="J55" s="351">
        <v>1.0</v>
      </c>
      <c r="K55" s="351">
        <v>0.0</v>
      </c>
      <c r="L55" s="351">
        <v>0.0</v>
      </c>
      <c r="M55" s="351">
        <v>0.0</v>
      </c>
      <c r="N55" s="351">
        <v>1.0</v>
      </c>
    </row>
    <row r="56">
      <c r="A56" s="578" t="s">
        <v>1097</v>
      </c>
      <c r="B56" s="351">
        <v>0.0</v>
      </c>
      <c r="C56" s="351">
        <v>0.0</v>
      </c>
      <c r="D56" s="351">
        <v>0.0</v>
      </c>
      <c r="E56" s="351">
        <v>0.0</v>
      </c>
      <c r="F56" s="351">
        <v>0.0</v>
      </c>
      <c r="G56" s="351">
        <v>0.0</v>
      </c>
      <c r="H56" s="351">
        <v>0.0</v>
      </c>
      <c r="I56" s="351">
        <v>0.0</v>
      </c>
      <c r="J56" s="351">
        <v>0.0</v>
      </c>
      <c r="K56" s="351">
        <v>0.0</v>
      </c>
      <c r="L56" s="351">
        <v>0.0</v>
      </c>
      <c r="M56" s="351">
        <v>0.0</v>
      </c>
      <c r="N56" s="351">
        <v>0.0</v>
      </c>
    </row>
    <row r="57">
      <c r="A57" s="578" t="s">
        <v>1099</v>
      </c>
      <c r="B57" s="351">
        <v>54.0</v>
      </c>
      <c r="C57" s="351">
        <v>13.0</v>
      </c>
      <c r="D57" s="351">
        <v>13.0</v>
      </c>
      <c r="E57" s="351">
        <v>3.0</v>
      </c>
      <c r="F57" s="351">
        <v>0.0</v>
      </c>
      <c r="G57" s="351">
        <v>0.0</v>
      </c>
      <c r="H57" s="351">
        <v>4.0</v>
      </c>
      <c r="I57" s="351">
        <v>0.0</v>
      </c>
      <c r="J57" s="351">
        <v>1.0</v>
      </c>
      <c r="K57" s="351">
        <v>0.0</v>
      </c>
      <c r="L57" s="351">
        <v>3.0</v>
      </c>
      <c r="M57" s="351">
        <v>2.0</v>
      </c>
      <c r="N57" s="351">
        <v>8.0</v>
      </c>
    </row>
    <row r="58">
      <c r="A58" s="578" t="s">
        <v>142</v>
      </c>
      <c r="B58" s="351">
        <v>25.0</v>
      </c>
      <c r="C58" s="351">
        <v>0.0</v>
      </c>
      <c r="D58" s="351">
        <v>13.0</v>
      </c>
      <c r="E58" s="351">
        <v>1.0</v>
      </c>
      <c r="F58" s="351">
        <v>0.0</v>
      </c>
      <c r="G58" s="351">
        <v>0.0</v>
      </c>
      <c r="H58" s="351">
        <v>2.0</v>
      </c>
      <c r="I58" s="351">
        <v>0.0</v>
      </c>
      <c r="J58" s="351">
        <v>0.0</v>
      </c>
      <c r="K58" s="351">
        <v>0.0</v>
      </c>
      <c r="L58" s="351">
        <v>0.0</v>
      </c>
      <c r="M58" s="351">
        <v>0.0</v>
      </c>
      <c r="N58" s="351">
        <v>7.0</v>
      </c>
    </row>
    <row r="59">
      <c r="A59" s="578" t="s">
        <v>143</v>
      </c>
      <c r="B59" s="351">
        <v>841.0</v>
      </c>
      <c r="C59" s="351">
        <v>170.0</v>
      </c>
      <c r="D59" s="351">
        <v>245.0</v>
      </c>
      <c r="E59" s="351">
        <v>16.0</v>
      </c>
      <c r="F59" s="351">
        <v>18.0</v>
      </c>
      <c r="G59" s="351">
        <v>8.0</v>
      </c>
      <c r="H59" s="351">
        <v>51.0</v>
      </c>
      <c r="I59" s="351">
        <v>24.0</v>
      </c>
      <c r="J59" s="351">
        <v>17.0</v>
      </c>
      <c r="K59" s="351">
        <v>23.0</v>
      </c>
      <c r="L59" s="351">
        <v>5.0</v>
      </c>
      <c r="M59" s="351">
        <v>2.0</v>
      </c>
      <c r="N59" s="351">
        <v>262.0</v>
      </c>
    </row>
    <row r="60">
      <c r="A60" s="578" t="s">
        <v>1102</v>
      </c>
      <c r="B60" s="351">
        <v>29.0</v>
      </c>
      <c r="C60" s="351">
        <v>0.0</v>
      </c>
      <c r="D60" s="351">
        <v>2.0</v>
      </c>
      <c r="E60" s="351">
        <v>0.0</v>
      </c>
      <c r="F60" s="351">
        <v>0.0</v>
      </c>
      <c r="G60" s="351">
        <v>0.0</v>
      </c>
      <c r="H60" s="351">
        <v>1.0</v>
      </c>
      <c r="I60" s="351">
        <v>3.0</v>
      </c>
      <c r="J60" s="351">
        <v>0.0</v>
      </c>
      <c r="K60" s="351">
        <v>1.0</v>
      </c>
      <c r="L60" s="351">
        <v>0.0</v>
      </c>
      <c r="M60" s="351">
        <v>0.0</v>
      </c>
      <c r="N60" s="351">
        <v>4.0</v>
      </c>
    </row>
    <row r="61">
      <c r="A61" s="578" t="s">
        <v>288</v>
      </c>
      <c r="B61" s="351">
        <v>50.0</v>
      </c>
      <c r="C61" s="351">
        <v>1.0</v>
      </c>
      <c r="D61" s="351">
        <v>29.0</v>
      </c>
      <c r="E61" s="351">
        <v>0.0</v>
      </c>
      <c r="F61" s="351">
        <v>4.0</v>
      </c>
      <c r="G61" s="351">
        <v>0.0</v>
      </c>
      <c r="H61" s="351">
        <v>5.0</v>
      </c>
      <c r="I61" s="351">
        <v>1.0</v>
      </c>
      <c r="J61" s="351">
        <v>1.0</v>
      </c>
      <c r="K61" s="351">
        <v>0.0</v>
      </c>
      <c r="L61" s="351">
        <v>0.0</v>
      </c>
      <c r="M61" s="351">
        <v>0.0</v>
      </c>
      <c r="N61" s="351">
        <v>25.0</v>
      </c>
    </row>
    <row r="62">
      <c r="A62" s="578" t="s">
        <v>1105</v>
      </c>
      <c r="B62" s="351">
        <v>492.0</v>
      </c>
      <c r="C62" s="351">
        <v>51.0</v>
      </c>
      <c r="D62" s="351">
        <v>133.0</v>
      </c>
      <c r="E62" s="351">
        <v>16.0</v>
      </c>
      <c r="F62" s="351">
        <v>19.0</v>
      </c>
      <c r="G62" s="351">
        <v>6.0</v>
      </c>
      <c r="H62" s="351">
        <v>67.0</v>
      </c>
      <c r="I62" s="351">
        <v>3.0</v>
      </c>
      <c r="J62" s="351">
        <v>13.0</v>
      </c>
      <c r="K62" s="351">
        <v>3.0</v>
      </c>
      <c r="L62" s="351">
        <v>11.0</v>
      </c>
      <c r="M62" s="351">
        <v>5.0</v>
      </c>
      <c r="N62" s="351">
        <v>149.0</v>
      </c>
    </row>
    <row r="63">
      <c r="A63" s="578" t="s">
        <v>1107</v>
      </c>
      <c r="B63" s="351">
        <v>44.0</v>
      </c>
      <c r="C63" s="351">
        <v>8.0</v>
      </c>
      <c r="D63" s="351">
        <v>3.0</v>
      </c>
      <c r="E63" s="351">
        <v>0.0</v>
      </c>
      <c r="F63" s="351">
        <v>0.0</v>
      </c>
      <c r="G63" s="351">
        <v>0.0</v>
      </c>
      <c r="H63" s="351">
        <v>4.0</v>
      </c>
      <c r="I63" s="351">
        <v>0.0</v>
      </c>
      <c r="J63" s="351">
        <v>1.0</v>
      </c>
      <c r="K63" s="351">
        <v>0.0</v>
      </c>
      <c r="L63" s="351">
        <v>0.0</v>
      </c>
      <c r="M63" s="351">
        <v>0.0</v>
      </c>
      <c r="N63" s="351">
        <v>11.0</v>
      </c>
    </row>
    <row r="64">
      <c r="A64" s="578" t="s">
        <v>728</v>
      </c>
      <c r="B64" s="351">
        <v>42.0</v>
      </c>
      <c r="C64" s="351">
        <v>1.0</v>
      </c>
      <c r="D64" s="351">
        <v>12.0</v>
      </c>
      <c r="E64" s="351">
        <v>1.0</v>
      </c>
      <c r="F64" s="351">
        <v>1.0</v>
      </c>
      <c r="G64" s="351">
        <v>1.0</v>
      </c>
      <c r="H64" s="351">
        <v>1.0</v>
      </c>
      <c r="I64" s="351">
        <v>0.0</v>
      </c>
      <c r="J64" s="351">
        <v>0.0</v>
      </c>
      <c r="K64" s="351">
        <v>0.0</v>
      </c>
      <c r="L64" s="351">
        <v>3.0</v>
      </c>
      <c r="M64" s="351">
        <v>2.0</v>
      </c>
      <c r="N64" s="351">
        <v>11.0</v>
      </c>
    </row>
    <row r="65">
      <c r="A65" s="578" t="s">
        <v>1110</v>
      </c>
      <c r="B65" s="351">
        <v>6.0</v>
      </c>
      <c r="C65" s="351">
        <v>1.0</v>
      </c>
      <c r="D65" s="351">
        <v>3.0</v>
      </c>
      <c r="E65" s="351">
        <v>0.0</v>
      </c>
      <c r="F65" s="351">
        <v>0.0</v>
      </c>
      <c r="G65" s="351">
        <v>1.0</v>
      </c>
      <c r="H65" s="351">
        <v>1.0</v>
      </c>
      <c r="I65" s="351">
        <v>0.0</v>
      </c>
      <c r="J65" s="351">
        <v>1.0</v>
      </c>
      <c r="K65" s="351">
        <v>0.0</v>
      </c>
      <c r="L65" s="351">
        <v>0.0</v>
      </c>
      <c r="M65" s="351">
        <v>0.0</v>
      </c>
      <c r="N65" s="351">
        <v>1.0</v>
      </c>
    </row>
    <row r="66">
      <c r="A66" s="578" t="s">
        <v>1111</v>
      </c>
      <c r="B66" s="351">
        <v>151.0</v>
      </c>
      <c r="C66" s="351">
        <v>13.0</v>
      </c>
      <c r="D66" s="351">
        <v>60.0</v>
      </c>
      <c r="E66" s="351">
        <v>1.0</v>
      </c>
      <c r="F66" s="351">
        <v>20.0</v>
      </c>
      <c r="G66" s="351">
        <v>0.0</v>
      </c>
      <c r="H66" s="351">
        <v>4.0</v>
      </c>
      <c r="I66" s="351">
        <v>4.0</v>
      </c>
      <c r="J66" s="351">
        <v>3.0</v>
      </c>
      <c r="K66" s="351">
        <v>0.0</v>
      </c>
      <c r="L66" s="351">
        <v>5.0</v>
      </c>
      <c r="M66" s="351">
        <v>0.0</v>
      </c>
      <c r="N66" s="351">
        <v>67.0</v>
      </c>
    </row>
    <row r="67">
      <c r="A67" s="578" t="s">
        <v>146</v>
      </c>
      <c r="B67" s="351">
        <v>34.0</v>
      </c>
      <c r="C67" s="351">
        <v>4.0</v>
      </c>
      <c r="D67" s="351">
        <v>12.0</v>
      </c>
      <c r="E67" s="351">
        <v>1.0</v>
      </c>
      <c r="F67" s="351">
        <v>0.0</v>
      </c>
      <c r="G67" s="351">
        <v>0.0</v>
      </c>
      <c r="H67" s="351">
        <v>1.0</v>
      </c>
      <c r="I67" s="351">
        <v>0.0</v>
      </c>
      <c r="J67" s="351">
        <v>0.0</v>
      </c>
      <c r="K67" s="351">
        <v>0.0</v>
      </c>
      <c r="L67" s="351">
        <v>0.0</v>
      </c>
      <c r="M67" s="351">
        <v>2.0</v>
      </c>
      <c r="N67" s="351">
        <v>4.0</v>
      </c>
    </row>
    <row r="68">
      <c r="A68" s="578" t="s">
        <v>147</v>
      </c>
      <c r="B68" s="351">
        <v>37.0</v>
      </c>
      <c r="C68" s="351">
        <v>0.0</v>
      </c>
      <c r="D68" s="351">
        <v>16.0</v>
      </c>
      <c r="E68" s="351">
        <v>1.0</v>
      </c>
      <c r="F68" s="351">
        <v>0.0</v>
      </c>
      <c r="G68" s="351">
        <v>0.0</v>
      </c>
      <c r="H68" s="351">
        <v>0.0</v>
      </c>
      <c r="I68" s="351">
        <v>0.0</v>
      </c>
      <c r="J68" s="351">
        <v>0.0</v>
      </c>
      <c r="K68" s="351">
        <v>1.0</v>
      </c>
      <c r="L68" s="351">
        <v>0.0</v>
      </c>
      <c r="M68" s="351">
        <v>0.0</v>
      </c>
      <c r="N68" s="351">
        <v>11.0</v>
      </c>
    </row>
    <row r="69">
      <c r="A69" s="578" t="s">
        <v>1115</v>
      </c>
      <c r="B69" s="351">
        <v>18.0</v>
      </c>
      <c r="C69" s="351">
        <v>2.0</v>
      </c>
      <c r="D69" s="351">
        <v>5.0</v>
      </c>
      <c r="E69" s="351">
        <v>1.0</v>
      </c>
      <c r="F69" s="351">
        <v>0.0</v>
      </c>
      <c r="G69" s="351">
        <v>1.0</v>
      </c>
      <c r="H69" s="351">
        <v>0.0</v>
      </c>
      <c r="I69" s="351">
        <v>0.0</v>
      </c>
      <c r="J69" s="351">
        <v>2.0</v>
      </c>
      <c r="K69" s="351">
        <v>0.0</v>
      </c>
      <c r="L69" s="351">
        <v>0.0</v>
      </c>
      <c r="M69" s="351">
        <v>0.0</v>
      </c>
      <c r="N69" s="351">
        <v>6.0</v>
      </c>
    </row>
    <row r="70">
      <c r="A70" s="578" t="s">
        <v>1116</v>
      </c>
      <c r="B70" s="351">
        <v>21.0</v>
      </c>
      <c r="C70" s="351">
        <v>0.0</v>
      </c>
      <c r="D70" s="351">
        <v>15.0</v>
      </c>
      <c r="E70" s="351">
        <v>2.0</v>
      </c>
      <c r="F70" s="351">
        <v>0.0</v>
      </c>
      <c r="G70" s="351">
        <v>0.0</v>
      </c>
      <c r="H70" s="351">
        <v>0.0</v>
      </c>
      <c r="I70" s="351">
        <v>1.0</v>
      </c>
      <c r="J70" s="351">
        <v>0.0</v>
      </c>
      <c r="K70" s="351">
        <v>0.0</v>
      </c>
      <c r="L70" s="351">
        <v>0.0</v>
      </c>
      <c r="M70" s="351">
        <v>0.0</v>
      </c>
      <c r="N70" s="351">
        <v>15.0</v>
      </c>
    </row>
    <row r="71">
      <c r="A71" s="578" t="s">
        <v>682</v>
      </c>
      <c r="B71" s="351">
        <v>7.0</v>
      </c>
      <c r="C71" s="351">
        <v>0.0</v>
      </c>
      <c r="D71" s="351">
        <v>0.0</v>
      </c>
      <c r="E71" s="351">
        <v>0.0</v>
      </c>
      <c r="F71" s="351">
        <v>0.0</v>
      </c>
      <c r="G71" s="351">
        <v>0.0</v>
      </c>
      <c r="H71" s="351">
        <v>0.0</v>
      </c>
      <c r="I71" s="351">
        <v>0.0</v>
      </c>
      <c r="J71" s="351">
        <v>0.0</v>
      </c>
      <c r="K71" s="351">
        <v>0.0</v>
      </c>
      <c r="L71" s="351">
        <v>0.0</v>
      </c>
      <c r="M71" s="351">
        <v>0.0</v>
      </c>
      <c r="N71" s="351">
        <v>3.0</v>
      </c>
    </row>
    <row r="72">
      <c r="A72" s="578" t="s">
        <v>290</v>
      </c>
      <c r="B72" s="351">
        <v>92.0</v>
      </c>
      <c r="C72" s="351">
        <v>3.0</v>
      </c>
      <c r="D72" s="351">
        <v>36.0</v>
      </c>
      <c r="E72" s="351">
        <v>0.0</v>
      </c>
      <c r="F72" s="351">
        <v>22.0</v>
      </c>
      <c r="G72" s="351">
        <v>0.0</v>
      </c>
      <c r="H72" s="351">
        <v>10.0</v>
      </c>
      <c r="I72" s="351">
        <v>1.0</v>
      </c>
      <c r="J72" s="351">
        <v>2.0</v>
      </c>
      <c r="K72" s="351">
        <v>1.0</v>
      </c>
      <c r="L72" s="351">
        <v>1.0</v>
      </c>
      <c r="M72" s="351">
        <v>3.0</v>
      </c>
      <c r="N72" s="351">
        <v>38.0</v>
      </c>
    </row>
    <row r="73">
      <c r="A73" s="578" t="s">
        <v>730</v>
      </c>
      <c r="B73" s="351">
        <v>6.0</v>
      </c>
      <c r="C73" s="351">
        <v>2.0</v>
      </c>
      <c r="D73" s="351">
        <v>3.0</v>
      </c>
      <c r="E73" s="351">
        <v>0.0</v>
      </c>
      <c r="F73" s="351">
        <v>0.0</v>
      </c>
      <c r="G73" s="351">
        <v>0.0</v>
      </c>
      <c r="H73" s="351">
        <v>0.0</v>
      </c>
      <c r="I73" s="351">
        <v>0.0</v>
      </c>
      <c r="J73" s="351">
        <v>0.0</v>
      </c>
      <c r="K73" s="351">
        <v>0.0</v>
      </c>
      <c r="L73" s="351">
        <v>1.0</v>
      </c>
      <c r="M73" s="351">
        <v>0.0</v>
      </c>
      <c r="N73" s="351">
        <v>0.0</v>
      </c>
    </row>
    <row r="74">
      <c r="A74" s="578" t="s">
        <v>293</v>
      </c>
      <c r="B74" s="351">
        <v>33.0</v>
      </c>
      <c r="C74" s="351">
        <v>1.0</v>
      </c>
      <c r="D74" s="351">
        <v>15.0</v>
      </c>
      <c r="E74" s="351">
        <v>2.0</v>
      </c>
      <c r="F74" s="351">
        <v>0.0</v>
      </c>
      <c r="G74" s="351">
        <v>0.0</v>
      </c>
      <c r="H74" s="351">
        <v>0.0</v>
      </c>
      <c r="I74" s="351">
        <v>0.0</v>
      </c>
      <c r="J74" s="351">
        <v>1.0</v>
      </c>
      <c r="K74" s="351">
        <v>0.0</v>
      </c>
      <c r="L74" s="351">
        <v>0.0</v>
      </c>
      <c r="M74" s="351">
        <v>0.0</v>
      </c>
      <c r="N74" s="351">
        <v>13.0</v>
      </c>
    </row>
    <row r="75">
      <c r="A75" s="578" t="s">
        <v>910</v>
      </c>
      <c r="B75" s="351">
        <v>20.0</v>
      </c>
      <c r="C75" s="351">
        <v>5.0</v>
      </c>
      <c r="D75" s="351">
        <v>8.0</v>
      </c>
      <c r="E75" s="351">
        <v>3.0</v>
      </c>
      <c r="F75" s="351">
        <v>0.0</v>
      </c>
      <c r="G75" s="351">
        <v>1.0</v>
      </c>
      <c r="H75" s="351">
        <v>0.0</v>
      </c>
      <c r="I75" s="351">
        <v>0.0</v>
      </c>
      <c r="J75" s="351">
        <v>0.0</v>
      </c>
      <c r="K75" s="351">
        <v>0.0</v>
      </c>
      <c r="L75" s="351">
        <v>0.0</v>
      </c>
      <c r="M75" s="351">
        <v>0.0</v>
      </c>
      <c r="N75" s="351">
        <v>3.0</v>
      </c>
    </row>
    <row r="76">
      <c r="A76" s="578" t="s">
        <v>1117</v>
      </c>
      <c r="B76" s="351">
        <v>122.0</v>
      </c>
      <c r="C76" s="351">
        <v>25.0</v>
      </c>
      <c r="D76" s="351">
        <v>41.0</v>
      </c>
      <c r="E76" s="351">
        <v>3.0</v>
      </c>
      <c r="F76" s="351">
        <v>3.0</v>
      </c>
      <c r="G76" s="351">
        <v>2.0</v>
      </c>
      <c r="H76" s="351">
        <v>0.0</v>
      </c>
      <c r="I76" s="351">
        <v>1.0</v>
      </c>
      <c r="J76" s="351">
        <v>4.0</v>
      </c>
      <c r="K76" s="351">
        <v>1.0</v>
      </c>
      <c r="L76" s="351">
        <v>0.0</v>
      </c>
      <c r="M76" s="351">
        <v>0.0</v>
      </c>
      <c r="N76" s="351">
        <v>40.0</v>
      </c>
    </row>
    <row r="77">
      <c r="A77" s="578" t="s">
        <v>1118</v>
      </c>
      <c r="B77" s="351">
        <v>32.0</v>
      </c>
      <c r="C77" s="351">
        <v>4.0</v>
      </c>
      <c r="D77" s="351">
        <v>6.0</v>
      </c>
      <c r="E77" s="351">
        <v>1.0</v>
      </c>
      <c r="F77" s="351">
        <v>0.0</v>
      </c>
      <c r="G77" s="351">
        <v>1.0</v>
      </c>
      <c r="H77" s="351">
        <v>3.0</v>
      </c>
      <c r="I77" s="351">
        <v>1.0</v>
      </c>
      <c r="J77" s="351">
        <v>0.0</v>
      </c>
      <c r="K77" s="351">
        <v>0.0</v>
      </c>
      <c r="L77" s="351">
        <v>0.0</v>
      </c>
      <c r="M77" s="351">
        <v>0.0</v>
      </c>
      <c r="N77" s="351">
        <v>7.0</v>
      </c>
    </row>
    <row r="78">
      <c r="A78" s="578" t="s">
        <v>2515</v>
      </c>
      <c r="B78" s="351">
        <v>13.0</v>
      </c>
      <c r="C78" s="351">
        <v>0.0</v>
      </c>
      <c r="D78" s="351">
        <v>8.0</v>
      </c>
      <c r="E78" s="351">
        <v>0.0</v>
      </c>
      <c r="F78" s="351">
        <v>0.0</v>
      </c>
      <c r="G78" s="351">
        <v>0.0</v>
      </c>
      <c r="H78" s="351">
        <v>0.0</v>
      </c>
      <c r="I78" s="351">
        <v>0.0</v>
      </c>
      <c r="J78" s="351">
        <v>0.0</v>
      </c>
      <c r="K78" s="351">
        <v>0.0</v>
      </c>
      <c r="L78" s="351">
        <v>0.0</v>
      </c>
      <c r="M78" s="351">
        <v>0.0</v>
      </c>
      <c r="N78" s="351">
        <v>1.0</v>
      </c>
    </row>
    <row r="79">
      <c r="A79" s="578" t="s">
        <v>151</v>
      </c>
      <c r="B79" s="351">
        <v>207.0</v>
      </c>
      <c r="C79" s="351">
        <v>16.0</v>
      </c>
      <c r="D79" s="351">
        <v>84.0</v>
      </c>
      <c r="E79" s="351">
        <v>4.0</v>
      </c>
      <c r="F79" s="351">
        <v>13.0</v>
      </c>
      <c r="G79" s="351">
        <v>2.0</v>
      </c>
      <c r="H79" s="351">
        <v>14.0</v>
      </c>
      <c r="I79" s="351">
        <v>3.0</v>
      </c>
      <c r="J79" s="351">
        <v>4.0</v>
      </c>
      <c r="K79" s="351">
        <v>1.0</v>
      </c>
      <c r="L79" s="351">
        <v>3.0</v>
      </c>
      <c r="M79" s="351">
        <v>0.0</v>
      </c>
      <c r="N79" s="351">
        <v>82.0</v>
      </c>
    </row>
    <row r="80">
      <c r="A80" s="578" t="s">
        <v>1119</v>
      </c>
      <c r="B80" s="351">
        <v>26.0</v>
      </c>
      <c r="C80" s="351">
        <v>0.0</v>
      </c>
      <c r="D80" s="351">
        <v>13.0</v>
      </c>
      <c r="E80" s="351">
        <v>0.0</v>
      </c>
      <c r="F80" s="351">
        <v>12.0</v>
      </c>
      <c r="G80" s="351">
        <v>0.0</v>
      </c>
      <c r="H80" s="351">
        <v>0.0</v>
      </c>
      <c r="I80" s="351">
        <v>0.0</v>
      </c>
      <c r="J80" s="351">
        <v>1.0</v>
      </c>
      <c r="K80" s="351">
        <v>0.0</v>
      </c>
      <c r="L80" s="351">
        <v>1.0</v>
      </c>
      <c r="M80" s="351">
        <v>0.0</v>
      </c>
      <c r="N80" s="351">
        <v>18.0</v>
      </c>
    </row>
    <row r="81">
      <c r="A81" s="578" t="s">
        <v>153</v>
      </c>
      <c r="B81" s="351">
        <v>30.0</v>
      </c>
      <c r="C81" s="351">
        <v>5.0</v>
      </c>
      <c r="D81" s="351">
        <v>8.0</v>
      </c>
      <c r="E81" s="351">
        <v>0.0</v>
      </c>
      <c r="F81" s="351">
        <v>0.0</v>
      </c>
      <c r="G81" s="351">
        <v>0.0</v>
      </c>
      <c r="H81" s="351">
        <v>5.0</v>
      </c>
      <c r="I81" s="351">
        <v>0.0</v>
      </c>
      <c r="J81" s="351">
        <v>0.0</v>
      </c>
      <c r="K81" s="351">
        <v>1.0</v>
      </c>
      <c r="L81" s="351">
        <v>0.0</v>
      </c>
      <c r="M81" s="351">
        <v>0.0</v>
      </c>
      <c r="N81" s="351">
        <v>2.0</v>
      </c>
    </row>
    <row r="82">
      <c r="A82" s="578" t="s">
        <v>154</v>
      </c>
      <c r="B82" s="351">
        <v>95.0</v>
      </c>
      <c r="C82" s="351">
        <v>10.0</v>
      </c>
      <c r="D82" s="351">
        <v>45.0</v>
      </c>
      <c r="E82" s="351">
        <v>0.0</v>
      </c>
      <c r="F82" s="351">
        <v>10.0</v>
      </c>
      <c r="G82" s="351">
        <v>0.0</v>
      </c>
      <c r="H82" s="351">
        <v>2.0</v>
      </c>
      <c r="I82" s="351">
        <v>4.0</v>
      </c>
      <c r="J82" s="351">
        <v>2.0</v>
      </c>
      <c r="K82" s="351">
        <v>0.0</v>
      </c>
      <c r="L82" s="351">
        <v>0.0</v>
      </c>
      <c r="M82" s="351">
        <v>0.0</v>
      </c>
      <c r="N82" s="351">
        <v>49.0</v>
      </c>
    </row>
    <row r="83">
      <c r="A83" s="578" t="s">
        <v>510</v>
      </c>
      <c r="B83" s="351">
        <v>39.0</v>
      </c>
      <c r="C83" s="351">
        <v>1.0</v>
      </c>
      <c r="D83" s="351">
        <v>9.0</v>
      </c>
      <c r="E83" s="351">
        <v>0.0</v>
      </c>
      <c r="F83" s="351">
        <v>3.0</v>
      </c>
      <c r="G83" s="351">
        <v>0.0</v>
      </c>
      <c r="H83" s="351">
        <v>0.0</v>
      </c>
      <c r="I83" s="351">
        <v>1.0</v>
      </c>
      <c r="J83" s="351">
        <v>0.0</v>
      </c>
      <c r="K83" s="351">
        <v>0.0</v>
      </c>
      <c r="L83" s="351">
        <v>0.0</v>
      </c>
      <c r="M83" s="351">
        <v>0.0</v>
      </c>
      <c r="N83" s="351">
        <v>10.0</v>
      </c>
    </row>
    <row r="84">
      <c r="A84" s="578" t="s">
        <v>735</v>
      </c>
      <c r="B84" s="351">
        <v>22.0</v>
      </c>
      <c r="C84" s="351">
        <v>1.0</v>
      </c>
      <c r="D84" s="351">
        <v>6.0</v>
      </c>
      <c r="E84" s="351">
        <v>1.0</v>
      </c>
      <c r="F84" s="351">
        <v>0.0</v>
      </c>
      <c r="G84" s="351">
        <v>0.0</v>
      </c>
      <c r="H84" s="351">
        <v>1.0</v>
      </c>
      <c r="I84" s="351">
        <v>0.0</v>
      </c>
      <c r="J84" s="351">
        <v>1.0</v>
      </c>
      <c r="K84" s="351">
        <v>0.0</v>
      </c>
      <c r="L84" s="351">
        <v>0.0</v>
      </c>
      <c r="M84" s="351">
        <v>0.0</v>
      </c>
      <c r="N84" s="351">
        <v>10.0</v>
      </c>
    </row>
    <row r="85">
      <c r="A85" s="578" t="s">
        <v>989</v>
      </c>
      <c r="B85" s="351">
        <v>22.0</v>
      </c>
      <c r="C85" s="351">
        <v>2.0</v>
      </c>
      <c r="D85" s="351">
        <v>6.0</v>
      </c>
      <c r="E85" s="351">
        <v>2.0</v>
      </c>
      <c r="F85" s="351">
        <v>0.0</v>
      </c>
      <c r="G85" s="351">
        <v>0.0</v>
      </c>
      <c r="H85" s="351">
        <v>0.0</v>
      </c>
      <c r="I85" s="351">
        <v>0.0</v>
      </c>
      <c r="J85" s="351">
        <v>0.0</v>
      </c>
      <c r="K85" s="351">
        <v>0.0</v>
      </c>
      <c r="L85" s="351">
        <v>0.0</v>
      </c>
      <c r="M85" s="351">
        <v>0.0</v>
      </c>
      <c r="N85" s="351">
        <v>12.0</v>
      </c>
    </row>
    <row r="86">
      <c r="A86" s="578" t="s">
        <v>1121</v>
      </c>
      <c r="B86" s="351">
        <v>14.0</v>
      </c>
      <c r="C86" s="351">
        <v>0.0</v>
      </c>
      <c r="D86" s="351">
        <v>3.0</v>
      </c>
      <c r="E86" s="351">
        <v>0.0</v>
      </c>
      <c r="F86" s="351">
        <v>0.0</v>
      </c>
      <c r="G86" s="351">
        <v>0.0</v>
      </c>
      <c r="H86" s="351">
        <v>2.0</v>
      </c>
      <c r="I86" s="351">
        <v>2.0</v>
      </c>
      <c r="J86" s="351">
        <v>0.0</v>
      </c>
      <c r="K86" s="351">
        <v>0.0</v>
      </c>
      <c r="L86" s="351">
        <v>0.0</v>
      </c>
      <c r="M86" s="351">
        <v>0.0</v>
      </c>
      <c r="N86" s="351">
        <v>3.0</v>
      </c>
    </row>
    <row r="87">
      <c r="A87" s="578" t="s">
        <v>738</v>
      </c>
      <c r="B87" s="351">
        <v>15.0</v>
      </c>
      <c r="C87" s="351">
        <v>3.0</v>
      </c>
      <c r="D87" s="351">
        <v>3.0</v>
      </c>
      <c r="E87" s="351">
        <v>0.0</v>
      </c>
      <c r="F87" s="351">
        <v>0.0</v>
      </c>
      <c r="G87" s="351">
        <v>0.0</v>
      </c>
      <c r="H87" s="351">
        <v>0.0</v>
      </c>
      <c r="I87" s="351">
        <v>1.0</v>
      </c>
      <c r="J87" s="351">
        <v>0.0</v>
      </c>
      <c r="K87" s="351">
        <v>0.0</v>
      </c>
      <c r="L87" s="351">
        <v>1.0</v>
      </c>
      <c r="M87" s="351">
        <v>0.0</v>
      </c>
      <c r="N87" s="351">
        <v>3.0</v>
      </c>
    </row>
    <row r="88">
      <c r="A88" s="578" t="s">
        <v>1122</v>
      </c>
      <c r="B88" s="351">
        <v>13.0</v>
      </c>
      <c r="C88" s="351">
        <v>3.0</v>
      </c>
      <c r="D88" s="351">
        <v>1.0</v>
      </c>
      <c r="E88" s="351">
        <v>0.0</v>
      </c>
      <c r="F88" s="351">
        <v>0.0</v>
      </c>
      <c r="G88" s="351">
        <v>0.0</v>
      </c>
      <c r="H88" s="351">
        <v>0.0</v>
      </c>
      <c r="I88" s="351">
        <v>0.0</v>
      </c>
      <c r="J88" s="351">
        <v>0.0</v>
      </c>
      <c r="K88" s="351">
        <v>1.0</v>
      </c>
      <c r="L88" s="351">
        <v>0.0</v>
      </c>
      <c r="M88" s="351">
        <v>0.0</v>
      </c>
      <c r="N88" s="351">
        <v>5.0</v>
      </c>
    </row>
    <row r="89">
      <c r="A89" s="578" t="s">
        <v>156</v>
      </c>
      <c r="B89" s="351">
        <v>13.0</v>
      </c>
      <c r="C89" s="351">
        <v>0.0</v>
      </c>
      <c r="D89" s="351">
        <v>5.0</v>
      </c>
      <c r="E89" s="351">
        <v>0.0</v>
      </c>
      <c r="F89" s="351">
        <v>0.0</v>
      </c>
      <c r="G89" s="351">
        <v>0.0</v>
      </c>
      <c r="H89" s="351">
        <v>1.0</v>
      </c>
      <c r="I89" s="351">
        <v>0.0</v>
      </c>
      <c r="J89" s="351">
        <v>0.0</v>
      </c>
      <c r="K89" s="351">
        <v>0.0</v>
      </c>
      <c r="L89" s="351">
        <v>1.0</v>
      </c>
      <c r="M89" s="351">
        <v>0.0</v>
      </c>
      <c r="N89" s="351">
        <v>1.0</v>
      </c>
    </row>
    <row r="90">
      <c r="A90" s="578" t="s">
        <v>157</v>
      </c>
      <c r="B90" s="351">
        <v>50.0</v>
      </c>
      <c r="C90" s="351">
        <v>5.0</v>
      </c>
      <c r="D90" s="351">
        <v>21.0</v>
      </c>
      <c r="E90" s="351">
        <v>0.0</v>
      </c>
      <c r="F90" s="351">
        <v>0.0</v>
      </c>
      <c r="G90" s="351">
        <v>0.0</v>
      </c>
      <c r="H90" s="351">
        <v>2.0</v>
      </c>
      <c r="I90" s="351">
        <v>1.0</v>
      </c>
      <c r="J90" s="351">
        <v>0.0</v>
      </c>
      <c r="K90" s="351">
        <v>0.0</v>
      </c>
      <c r="L90" s="351">
        <v>0.0</v>
      </c>
      <c r="M90" s="351">
        <v>0.0</v>
      </c>
      <c r="N90" s="351">
        <v>10.0</v>
      </c>
    </row>
    <row r="91">
      <c r="A91" s="578" t="s">
        <v>158</v>
      </c>
      <c r="B91" s="351">
        <v>27.0</v>
      </c>
      <c r="C91" s="351">
        <v>5.0</v>
      </c>
      <c r="D91" s="351">
        <v>3.0</v>
      </c>
      <c r="E91" s="351">
        <v>1.0</v>
      </c>
      <c r="F91" s="351">
        <v>0.0</v>
      </c>
      <c r="G91" s="351">
        <v>1.0</v>
      </c>
      <c r="H91" s="351">
        <v>1.0</v>
      </c>
      <c r="I91" s="351">
        <v>0.0</v>
      </c>
      <c r="J91" s="351">
        <v>2.0</v>
      </c>
      <c r="K91" s="351">
        <v>0.0</v>
      </c>
      <c r="L91" s="351">
        <v>0.0</v>
      </c>
      <c r="M91" s="351">
        <v>0.0</v>
      </c>
      <c r="N91" s="351">
        <v>1.0</v>
      </c>
    </row>
    <row r="92">
      <c r="A92" s="578" t="s">
        <v>1124</v>
      </c>
      <c r="B92" s="351">
        <v>46.0</v>
      </c>
      <c r="C92" s="351">
        <v>7.0</v>
      </c>
      <c r="D92" s="351">
        <v>18.0</v>
      </c>
      <c r="E92" s="351">
        <v>2.0</v>
      </c>
      <c r="F92" s="351">
        <v>0.0</v>
      </c>
      <c r="G92" s="351">
        <v>1.0</v>
      </c>
      <c r="H92" s="351">
        <v>0.0</v>
      </c>
      <c r="I92" s="351">
        <v>1.0</v>
      </c>
      <c r="J92" s="351">
        <v>1.0</v>
      </c>
      <c r="K92" s="351">
        <v>0.0</v>
      </c>
      <c r="L92" s="351">
        <v>2.0</v>
      </c>
      <c r="M92" s="351">
        <v>0.0</v>
      </c>
      <c r="N92" s="351">
        <v>21.0</v>
      </c>
    </row>
    <row r="93">
      <c r="A93" s="578" t="s">
        <v>1125</v>
      </c>
      <c r="B93" s="351">
        <v>30.0</v>
      </c>
      <c r="C93" s="351">
        <v>3.0</v>
      </c>
      <c r="D93" s="351">
        <v>8.0</v>
      </c>
      <c r="E93" s="351">
        <v>1.0</v>
      </c>
      <c r="F93" s="351">
        <v>0.0</v>
      </c>
      <c r="G93" s="351">
        <v>0.0</v>
      </c>
      <c r="H93" s="351">
        <v>1.0</v>
      </c>
      <c r="I93" s="351">
        <v>1.0</v>
      </c>
      <c r="J93" s="351">
        <v>0.0</v>
      </c>
      <c r="K93" s="351">
        <v>0.0</v>
      </c>
      <c r="L93" s="351">
        <v>1.0</v>
      </c>
      <c r="M93" s="351">
        <v>0.0</v>
      </c>
      <c r="N93" s="351">
        <v>12.0</v>
      </c>
    </row>
    <row r="94">
      <c r="A94" s="578" t="s">
        <v>1126</v>
      </c>
      <c r="B94" s="351">
        <v>10.0</v>
      </c>
      <c r="C94" s="351">
        <v>1.0</v>
      </c>
      <c r="D94" s="351">
        <v>4.0</v>
      </c>
      <c r="E94" s="351">
        <v>0.0</v>
      </c>
      <c r="F94" s="351">
        <v>0.0</v>
      </c>
      <c r="G94" s="351">
        <v>0.0</v>
      </c>
      <c r="H94" s="351">
        <v>1.0</v>
      </c>
      <c r="I94" s="351">
        <v>0.0</v>
      </c>
      <c r="J94" s="351">
        <v>0.0</v>
      </c>
      <c r="K94" s="351">
        <v>0.0</v>
      </c>
      <c r="L94" s="351">
        <v>0.0</v>
      </c>
      <c r="M94" s="351">
        <v>0.0</v>
      </c>
      <c r="N94" s="351">
        <v>3.0</v>
      </c>
    </row>
    <row r="95">
      <c r="A95" s="578" t="s">
        <v>100</v>
      </c>
      <c r="B95" s="351">
        <v>59.0</v>
      </c>
      <c r="C95" s="351">
        <v>6.0</v>
      </c>
      <c r="D95" s="351">
        <v>24.0</v>
      </c>
      <c r="E95" s="351">
        <v>2.0</v>
      </c>
      <c r="F95" s="351">
        <v>3.0</v>
      </c>
      <c r="G95" s="351">
        <v>0.0</v>
      </c>
      <c r="H95" s="351">
        <v>2.0</v>
      </c>
      <c r="I95" s="351">
        <v>0.0</v>
      </c>
      <c r="J95" s="351">
        <v>1.0</v>
      </c>
      <c r="K95" s="351">
        <v>2.0</v>
      </c>
      <c r="L95" s="351">
        <v>0.0</v>
      </c>
      <c r="M95" s="351">
        <v>0.0</v>
      </c>
      <c r="N95" s="351">
        <v>15.0</v>
      </c>
    </row>
    <row r="96">
      <c r="A96" s="578" t="s">
        <v>1127</v>
      </c>
      <c r="B96" s="351">
        <v>13.0</v>
      </c>
      <c r="C96" s="351">
        <v>3.0</v>
      </c>
      <c r="D96" s="351">
        <v>4.0</v>
      </c>
      <c r="E96" s="351">
        <v>0.0</v>
      </c>
      <c r="F96" s="351">
        <v>0.0</v>
      </c>
      <c r="G96" s="351">
        <v>0.0</v>
      </c>
      <c r="H96" s="351">
        <v>1.0</v>
      </c>
      <c r="I96" s="351">
        <v>0.0</v>
      </c>
      <c r="J96" s="351">
        <v>0.0</v>
      </c>
      <c r="K96" s="351">
        <v>0.0</v>
      </c>
      <c r="L96" s="351">
        <v>1.0</v>
      </c>
      <c r="M96" s="351">
        <v>0.0</v>
      </c>
      <c r="N96" s="351">
        <v>0.0</v>
      </c>
    </row>
    <row r="97">
      <c r="A97" s="578" t="s">
        <v>802</v>
      </c>
      <c r="B97" s="351">
        <v>34.0</v>
      </c>
      <c r="C97" s="351">
        <v>5.0</v>
      </c>
      <c r="D97" s="351">
        <v>15.0</v>
      </c>
      <c r="E97" s="351">
        <v>2.0</v>
      </c>
      <c r="F97" s="351">
        <v>0.0</v>
      </c>
      <c r="G97" s="351">
        <v>0.0</v>
      </c>
      <c r="H97" s="351">
        <v>2.0</v>
      </c>
      <c r="I97" s="351">
        <v>1.0</v>
      </c>
      <c r="J97" s="351">
        <v>0.0</v>
      </c>
      <c r="K97" s="351">
        <v>1.0</v>
      </c>
      <c r="L97" s="351">
        <v>1.0</v>
      </c>
      <c r="M97" s="351">
        <v>0.0</v>
      </c>
      <c r="N97" s="351">
        <v>6.0</v>
      </c>
    </row>
    <row r="98">
      <c r="A98" s="578" t="s">
        <v>1128</v>
      </c>
      <c r="B98" s="351">
        <v>0.0</v>
      </c>
      <c r="C98" s="351">
        <v>0.0</v>
      </c>
      <c r="D98" s="351">
        <v>0.0</v>
      </c>
      <c r="E98" s="351">
        <v>0.0</v>
      </c>
      <c r="F98" s="351">
        <v>0.0</v>
      </c>
      <c r="G98" s="351">
        <v>0.0</v>
      </c>
      <c r="H98" s="351">
        <v>0.0</v>
      </c>
      <c r="I98" s="351">
        <v>0.0</v>
      </c>
      <c r="J98" s="351">
        <v>0.0</v>
      </c>
      <c r="K98" s="351">
        <v>0.0</v>
      </c>
      <c r="L98" s="351">
        <v>0.0</v>
      </c>
      <c r="M98" s="351">
        <v>0.0</v>
      </c>
      <c r="N98" s="351">
        <v>0.0</v>
      </c>
    </row>
    <row r="99">
      <c r="A99" s="578" t="s">
        <v>1129</v>
      </c>
      <c r="B99" s="351">
        <v>19.0</v>
      </c>
      <c r="C99" s="351">
        <v>1.0</v>
      </c>
      <c r="D99" s="351">
        <v>6.0</v>
      </c>
      <c r="E99" s="351">
        <v>1.0</v>
      </c>
      <c r="F99" s="351">
        <v>0.0</v>
      </c>
      <c r="G99" s="351">
        <v>0.0</v>
      </c>
      <c r="H99" s="351">
        <v>2.0</v>
      </c>
      <c r="I99" s="351">
        <v>0.0</v>
      </c>
      <c r="J99" s="351">
        <v>0.0</v>
      </c>
      <c r="K99" s="351">
        <v>0.0</v>
      </c>
      <c r="L99" s="351">
        <v>1.0</v>
      </c>
      <c r="M99" s="351">
        <v>0.0</v>
      </c>
      <c r="N99" s="351">
        <v>1.0</v>
      </c>
    </row>
    <row r="100">
      <c r="A100" s="578" t="s">
        <v>159</v>
      </c>
      <c r="B100" s="351">
        <v>58.0</v>
      </c>
      <c r="C100" s="351">
        <v>2.0</v>
      </c>
      <c r="D100" s="351">
        <v>12.0</v>
      </c>
      <c r="E100" s="351">
        <v>0.0</v>
      </c>
      <c r="F100" s="351">
        <v>0.0</v>
      </c>
      <c r="G100" s="351">
        <v>0.0</v>
      </c>
      <c r="H100" s="351">
        <v>5.0</v>
      </c>
      <c r="I100" s="351">
        <v>1.0</v>
      </c>
      <c r="J100" s="351">
        <v>0.0</v>
      </c>
      <c r="K100" s="351">
        <v>0.0</v>
      </c>
      <c r="L100" s="351">
        <v>0.0</v>
      </c>
      <c r="M100" s="351">
        <v>0.0</v>
      </c>
      <c r="N100" s="351">
        <v>14.0</v>
      </c>
    </row>
    <row r="101">
      <c r="A101" s="578" t="s">
        <v>162</v>
      </c>
      <c r="B101" s="351">
        <v>106.0</v>
      </c>
      <c r="C101" s="351">
        <v>11.0</v>
      </c>
      <c r="D101" s="351">
        <v>41.0</v>
      </c>
      <c r="E101" s="351">
        <v>5.0</v>
      </c>
      <c r="F101" s="351">
        <v>1.0</v>
      </c>
      <c r="G101" s="351">
        <v>0.0</v>
      </c>
      <c r="H101" s="351">
        <v>0.0</v>
      </c>
      <c r="I101" s="351">
        <v>1.0</v>
      </c>
      <c r="J101" s="351">
        <v>1.0</v>
      </c>
      <c r="K101" s="351">
        <v>0.0</v>
      </c>
      <c r="L101" s="351">
        <v>0.0</v>
      </c>
      <c r="M101" s="351">
        <v>0.0</v>
      </c>
      <c r="N101" s="351">
        <v>57.0</v>
      </c>
    </row>
    <row r="102">
      <c r="A102" s="578" t="s">
        <v>1130</v>
      </c>
      <c r="B102" s="351">
        <v>28.0</v>
      </c>
      <c r="C102" s="351">
        <v>1.0</v>
      </c>
      <c r="D102" s="351">
        <v>13.0</v>
      </c>
      <c r="E102" s="351">
        <v>0.0</v>
      </c>
      <c r="F102" s="351">
        <v>0.0</v>
      </c>
      <c r="G102" s="351">
        <v>0.0</v>
      </c>
      <c r="H102" s="351">
        <v>3.0</v>
      </c>
      <c r="I102" s="351">
        <v>0.0</v>
      </c>
      <c r="J102" s="351">
        <v>0.0</v>
      </c>
      <c r="K102" s="351">
        <v>0.0</v>
      </c>
      <c r="L102" s="351">
        <v>1.0</v>
      </c>
      <c r="M102" s="351">
        <v>0.0</v>
      </c>
      <c r="N102" s="351">
        <v>9.0</v>
      </c>
    </row>
    <row r="103">
      <c r="A103" s="578" t="s">
        <v>305</v>
      </c>
      <c r="B103" s="351">
        <v>122.0</v>
      </c>
      <c r="C103" s="351">
        <v>9.0</v>
      </c>
      <c r="D103" s="351">
        <v>47.0</v>
      </c>
      <c r="E103" s="351">
        <v>4.0</v>
      </c>
      <c r="F103" s="351">
        <v>14.0</v>
      </c>
      <c r="G103" s="351">
        <v>1.0</v>
      </c>
      <c r="H103" s="351">
        <v>2.0</v>
      </c>
      <c r="I103" s="351">
        <v>2.0</v>
      </c>
      <c r="J103" s="351">
        <v>2.0</v>
      </c>
      <c r="K103" s="351">
        <v>0.0</v>
      </c>
      <c r="L103" s="351">
        <v>3.0</v>
      </c>
      <c r="M103" s="351">
        <v>0.0</v>
      </c>
      <c r="N103" s="351">
        <v>40.0</v>
      </c>
    </row>
    <row r="104">
      <c r="A104" s="578" t="s">
        <v>1131</v>
      </c>
      <c r="B104" s="351">
        <v>0.0</v>
      </c>
      <c r="C104" s="351">
        <v>0.0</v>
      </c>
      <c r="D104" s="351">
        <v>0.0</v>
      </c>
      <c r="E104" s="351">
        <v>0.0</v>
      </c>
      <c r="F104" s="351">
        <v>0.0</v>
      </c>
      <c r="G104" s="351">
        <v>0.0</v>
      </c>
      <c r="H104" s="351">
        <v>0.0</v>
      </c>
      <c r="I104" s="351">
        <v>0.0</v>
      </c>
      <c r="J104" s="351">
        <v>0.0</v>
      </c>
      <c r="K104" s="351">
        <v>0.0</v>
      </c>
      <c r="L104" s="351">
        <v>0.0</v>
      </c>
      <c r="M104" s="351">
        <v>0.0</v>
      </c>
      <c r="N104" s="351">
        <v>0.0</v>
      </c>
    </row>
    <row r="105">
      <c r="A105" s="578" t="s">
        <v>1132</v>
      </c>
      <c r="B105" s="351">
        <v>44.0</v>
      </c>
      <c r="C105" s="351">
        <v>3.0</v>
      </c>
      <c r="D105" s="351">
        <v>11.0</v>
      </c>
      <c r="E105" s="351">
        <v>1.0</v>
      </c>
      <c r="F105" s="351">
        <v>5.0</v>
      </c>
      <c r="G105" s="351">
        <v>0.0</v>
      </c>
      <c r="H105" s="351">
        <v>1.0</v>
      </c>
      <c r="I105" s="351">
        <v>2.0</v>
      </c>
      <c r="J105" s="351">
        <v>1.0</v>
      </c>
      <c r="K105" s="351">
        <v>0.0</v>
      </c>
      <c r="L105" s="351">
        <v>3.0</v>
      </c>
      <c r="M105" s="351">
        <v>0.0</v>
      </c>
      <c r="N105" s="351">
        <v>13.0</v>
      </c>
    </row>
    <row r="106">
      <c r="A106" s="578" t="s">
        <v>1133</v>
      </c>
      <c r="B106" s="351">
        <v>64.0</v>
      </c>
      <c r="C106" s="351">
        <v>9.0</v>
      </c>
      <c r="D106" s="351">
        <v>18.0</v>
      </c>
      <c r="E106" s="351">
        <v>0.0</v>
      </c>
      <c r="F106" s="351">
        <v>1.0</v>
      </c>
      <c r="G106" s="351">
        <v>0.0</v>
      </c>
      <c r="H106" s="351">
        <v>7.0</v>
      </c>
      <c r="I106" s="351">
        <v>0.0</v>
      </c>
      <c r="J106" s="351">
        <v>0.0</v>
      </c>
      <c r="K106" s="351">
        <v>1.0</v>
      </c>
      <c r="L106" s="351">
        <v>0.0</v>
      </c>
      <c r="M106" s="351">
        <v>0.0</v>
      </c>
      <c r="N106" s="351">
        <v>17.0</v>
      </c>
    </row>
    <row r="107">
      <c r="A107" s="578" t="s">
        <v>165</v>
      </c>
      <c r="B107" s="351">
        <v>56.0</v>
      </c>
      <c r="C107" s="351">
        <v>20.0</v>
      </c>
      <c r="D107" s="351">
        <v>13.0</v>
      </c>
      <c r="E107" s="351">
        <v>5.0</v>
      </c>
      <c r="F107" s="351">
        <v>0.0</v>
      </c>
      <c r="G107" s="351">
        <v>1.0</v>
      </c>
      <c r="H107" s="351">
        <v>0.0</v>
      </c>
      <c r="I107" s="351">
        <v>1.0</v>
      </c>
      <c r="J107" s="351">
        <v>0.0</v>
      </c>
      <c r="K107" s="351">
        <v>0.0</v>
      </c>
      <c r="L107" s="351">
        <v>6.0</v>
      </c>
      <c r="M107" s="351">
        <v>4.0</v>
      </c>
      <c r="N107" s="351">
        <v>1.0</v>
      </c>
    </row>
    <row r="108">
      <c r="A108" s="578" t="s">
        <v>309</v>
      </c>
      <c r="B108" s="351">
        <v>200.0</v>
      </c>
      <c r="C108" s="351">
        <v>17.0</v>
      </c>
      <c r="D108" s="351">
        <v>67.0</v>
      </c>
      <c r="E108" s="351">
        <v>7.0</v>
      </c>
      <c r="F108" s="351">
        <v>11.0</v>
      </c>
      <c r="G108" s="351">
        <v>2.0</v>
      </c>
      <c r="H108" s="351">
        <v>9.0</v>
      </c>
      <c r="I108" s="351">
        <v>2.0</v>
      </c>
      <c r="J108" s="351">
        <v>8.0</v>
      </c>
      <c r="K108" s="351">
        <v>2.0</v>
      </c>
      <c r="L108" s="351">
        <v>12.0</v>
      </c>
      <c r="M108" s="351">
        <v>1.0</v>
      </c>
      <c r="N108" s="351">
        <v>107.0</v>
      </c>
    </row>
    <row r="109">
      <c r="A109" s="578" t="s">
        <v>168</v>
      </c>
      <c r="B109" s="351">
        <v>110.0</v>
      </c>
      <c r="C109" s="351">
        <v>12.0</v>
      </c>
      <c r="D109" s="351">
        <v>43.0</v>
      </c>
      <c r="E109" s="351">
        <v>1.0</v>
      </c>
      <c r="F109" s="351">
        <v>0.0</v>
      </c>
      <c r="G109" s="351">
        <v>0.0</v>
      </c>
      <c r="H109" s="351">
        <v>9.0</v>
      </c>
      <c r="I109" s="351">
        <v>0.0</v>
      </c>
      <c r="J109" s="351">
        <v>1.0</v>
      </c>
      <c r="K109" s="351">
        <v>0.0</v>
      </c>
      <c r="L109" s="351">
        <v>0.0</v>
      </c>
      <c r="M109" s="351">
        <v>0.0</v>
      </c>
      <c r="N109" s="351">
        <v>29.0</v>
      </c>
    </row>
    <row r="110">
      <c r="A110" s="578" t="s">
        <v>1134</v>
      </c>
      <c r="B110" s="351">
        <v>41.0</v>
      </c>
      <c r="C110" s="351">
        <v>5.0</v>
      </c>
      <c r="D110" s="351">
        <v>14.0</v>
      </c>
      <c r="E110" s="351">
        <v>4.0</v>
      </c>
      <c r="F110" s="351">
        <v>0.0</v>
      </c>
      <c r="G110" s="351">
        <v>1.0</v>
      </c>
      <c r="H110" s="351">
        <v>0.0</v>
      </c>
      <c r="I110" s="351">
        <v>2.0</v>
      </c>
      <c r="J110" s="351">
        <v>1.0</v>
      </c>
      <c r="K110" s="351">
        <v>0.0</v>
      </c>
      <c r="L110" s="351">
        <v>1.0</v>
      </c>
      <c r="M110" s="351">
        <v>0.0</v>
      </c>
      <c r="N110" s="351">
        <v>5.0</v>
      </c>
    </row>
    <row r="111">
      <c r="A111" s="578" t="s">
        <v>854</v>
      </c>
      <c r="B111" s="351">
        <v>19.0</v>
      </c>
      <c r="C111" s="351">
        <v>3.0</v>
      </c>
      <c r="D111" s="351">
        <v>9.0</v>
      </c>
      <c r="E111" s="351">
        <v>1.0</v>
      </c>
      <c r="F111" s="351">
        <v>0.0</v>
      </c>
      <c r="G111" s="351">
        <v>0.0</v>
      </c>
      <c r="H111" s="351">
        <v>0.0</v>
      </c>
      <c r="I111" s="351">
        <v>0.0</v>
      </c>
      <c r="J111" s="351">
        <v>0.0</v>
      </c>
      <c r="K111" s="351">
        <v>0.0</v>
      </c>
      <c r="L111" s="351">
        <v>1.0</v>
      </c>
      <c r="M111" s="351">
        <v>0.0</v>
      </c>
      <c r="N111" s="351">
        <v>3.0</v>
      </c>
    </row>
    <row r="112">
      <c r="A112" s="578" t="s">
        <v>526</v>
      </c>
      <c r="B112" s="351">
        <v>13.0</v>
      </c>
      <c r="C112" s="351">
        <v>2.0</v>
      </c>
      <c r="D112" s="351">
        <v>4.0</v>
      </c>
      <c r="E112" s="351">
        <v>0.0</v>
      </c>
      <c r="F112" s="351">
        <v>0.0</v>
      </c>
      <c r="G112" s="351">
        <v>0.0</v>
      </c>
      <c r="H112" s="351">
        <v>0.0</v>
      </c>
      <c r="I112" s="351">
        <v>0.0</v>
      </c>
      <c r="J112" s="351">
        <v>2.0</v>
      </c>
      <c r="K112" s="351">
        <v>0.0</v>
      </c>
      <c r="L112" s="351">
        <v>1.0</v>
      </c>
      <c r="M112" s="351">
        <v>0.0</v>
      </c>
      <c r="N112" s="351">
        <v>4.0</v>
      </c>
    </row>
    <row r="113">
      <c r="A113" s="578" t="s">
        <v>1135</v>
      </c>
      <c r="B113" s="351">
        <v>27.0</v>
      </c>
      <c r="C113" s="351">
        <v>10.0</v>
      </c>
      <c r="D113" s="351">
        <v>9.0</v>
      </c>
      <c r="E113" s="351">
        <v>0.0</v>
      </c>
      <c r="F113" s="351">
        <v>0.0</v>
      </c>
      <c r="G113" s="351">
        <v>0.0</v>
      </c>
      <c r="H113" s="351">
        <v>0.0</v>
      </c>
      <c r="I113" s="351">
        <v>2.0</v>
      </c>
      <c r="J113" s="351">
        <v>2.0</v>
      </c>
      <c r="K113" s="351">
        <v>0.0</v>
      </c>
      <c r="L113" s="351">
        <v>0.0</v>
      </c>
      <c r="M113" s="351">
        <v>0.0</v>
      </c>
      <c r="N113" s="351">
        <v>8.0</v>
      </c>
    </row>
    <row r="114">
      <c r="A114" s="578" t="s">
        <v>1136</v>
      </c>
      <c r="B114" s="351">
        <v>16.0</v>
      </c>
      <c r="C114" s="351">
        <v>4.0</v>
      </c>
      <c r="D114" s="351">
        <v>5.0</v>
      </c>
      <c r="E114" s="351">
        <v>1.0</v>
      </c>
      <c r="F114" s="351">
        <v>0.0</v>
      </c>
      <c r="G114" s="351">
        <v>0.0</v>
      </c>
      <c r="H114" s="351">
        <v>0.0</v>
      </c>
      <c r="I114" s="351">
        <v>0.0</v>
      </c>
      <c r="J114" s="351">
        <v>0.0</v>
      </c>
      <c r="K114" s="351">
        <v>0.0</v>
      </c>
      <c r="L114" s="351">
        <v>0.0</v>
      </c>
      <c r="M114" s="351">
        <v>0.0</v>
      </c>
      <c r="N114" s="351">
        <v>7.0</v>
      </c>
    </row>
    <row r="115">
      <c r="A115" s="578" t="s">
        <v>1137</v>
      </c>
      <c r="B115" s="351">
        <v>8.0</v>
      </c>
      <c r="C115" s="351">
        <v>0.0</v>
      </c>
      <c r="D115" s="351">
        <v>6.0</v>
      </c>
      <c r="E115" s="351">
        <v>0.0</v>
      </c>
      <c r="F115" s="351">
        <v>0.0</v>
      </c>
      <c r="G115" s="351">
        <v>0.0</v>
      </c>
      <c r="H115" s="351">
        <v>0.0</v>
      </c>
      <c r="I115" s="351">
        <v>0.0</v>
      </c>
      <c r="J115" s="351">
        <v>0.0</v>
      </c>
      <c r="K115" s="351">
        <v>0.0</v>
      </c>
      <c r="L115" s="351">
        <v>0.0</v>
      </c>
      <c r="M115" s="351">
        <v>0.0</v>
      </c>
      <c r="N115" s="351">
        <v>3.0</v>
      </c>
    </row>
    <row r="116">
      <c r="A116" s="578" t="s">
        <v>316</v>
      </c>
      <c r="B116" s="351">
        <v>14.0</v>
      </c>
      <c r="C116" s="351">
        <v>2.0</v>
      </c>
      <c r="D116" s="351">
        <v>4.0</v>
      </c>
      <c r="E116" s="351">
        <v>0.0</v>
      </c>
      <c r="F116" s="351">
        <v>0.0</v>
      </c>
      <c r="G116" s="351">
        <v>0.0</v>
      </c>
      <c r="H116" s="351">
        <v>0.0</v>
      </c>
      <c r="I116" s="351">
        <v>0.0</v>
      </c>
      <c r="J116" s="351">
        <v>0.0</v>
      </c>
      <c r="K116" s="351">
        <v>0.0</v>
      </c>
      <c r="L116" s="351">
        <v>1.0</v>
      </c>
      <c r="M116" s="351">
        <v>2.0</v>
      </c>
      <c r="N116" s="351">
        <v>4.0</v>
      </c>
    </row>
    <row r="117">
      <c r="A117" s="578" t="s">
        <v>647</v>
      </c>
      <c r="B117" s="351">
        <v>346.0</v>
      </c>
      <c r="C117" s="351">
        <v>21.0</v>
      </c>
      <c r="D117" s="351">
        <v>118.0</v>
      </c>
      <c r="E117" s="351">
        <v>4.0</v>
      </c>
      <c r="F117" s="351">
        <v>30.0</v>
      </c>
      <c r="G117" s="351">
        <v>3.0</v>
      </c>
      <c r="H117" s="351">
        <v>20.0</v>
      </c>
      <c r="I117" s="351">
        <v>6.0</v>
      </c>
      <c r="J117" s="351">
        <v>8.0</v>
      </c>
      <c r="K117" s="351">
        <v>8.0</v>
      </c>
      <c r="L117" s="351">
        <v>3.0</v>
      </c>
      <c r="M117" s="351">
        <v>4.0</v>
      </c>
      <c r="N117" s="351">
        <v>98.0</v>
      </c>
    </row>
    <row r="118">
      <c r="A118" s="578" t="s">
        <v>119</v>
      </c>
      <c r="B118" s="351">
        <v>11.0</v>
      </c>
      <c r="C118" s="351">
        <v>0.0</v>
      </c>
      <c r="D118" s="351">
        <v>6.0</v>
      </c>
      <c r="E118" s="351">
        <v>0.0</v>
      </c>
      <c r="F118" s="351">
        <v>0.0</v>
      </c>
      <c r="G118" s="351">
        <v>0.0</v>
      </c>
      <c r="H118" s="351">
        <v>2.0</v>
      </c>
      <c r="I118" s="351">
        <v>0.0</v>
      </c>
      <c r="J118" s="351">
        <v>0.0</v>
      </c>
      <c r="K118" s="351">
        <v>0.0</v>
      </c>
      <c r="L118" s="351">
        <v>0.0</v>
      </c>
      <c r="M118" s="351">
        <v>0.0</v>
      </c>
      <c r="N118" s="351">
        <v>6.0</v>
      </c>
    </row>
    <row r="119">
      <c r="A119" s="578" t="s">
        <v>273</v>
      </c>
      <c r="B119" s="351">
        <v>33.0</v>
      </c>
      <c r="C119" s="351">
        <v>4.0</v>
      </c>
      <c r="D119" s="351">
        <v>3.0</v>
      </c>
      <c r="E119" s="351">
        <v>0.0</v>
      </c>
      <c r="F119" s="351">
        <v>0.0</v>
      </c>
      <c r="G119" s="351">
        <v>1.0</v>
      </c>
      <c r="H119" s="351">
        <v>1.0</v>
      </c>
      <c r="I119" s="351">
        <v>0.0</v>
      </c>
      <c r="J119" s="351">
        <v>1.0</v>
      </c>
      <c r="K119" s="351">
        <v>0.0</v>
      </c>
      <c r="L119" s="351">
        <v>2.0</v>
      </c>
      <c r="M119" s="351">
        <v>3.0</v>
      </c>
      <c r="N119" s="351">
        <v>8.0</v>
      </c>
    </row>
    <row r="120">
      <c r="A120" s="578" t="s">
        <v>648</v>
      </c>
      <c r="B120" s="351">
        <v>13.0</v>
      </c>
      <c r="C120" s="351">
        <v>6.0</v>
      </c>
      <c r="D120" s="351">
        <v>2.0</v>
      </c>
      <c r="E120" s="351">
        <v>0.0</v>
      </c>
      <c r="F120" s="351">
        <v>0.0</v>
      </c>
      <c r="G120" s="351">
        <v>0.0</v>
      </c>
      <c r="H120" s="351">
        <v>0.0</v>
      </c>
      <c r="I120" s="351">
        <v>0.0</v>
      </c>
      <c r="J120" s="351">
        <v>0.0</v>
      </c>
      <c r="K120" s="351">
        <v>0.0</v>
      </c>
      <c r="L120" s="351">
        <v>0.0</v>
      </c>
      <c r="M120" s="351">
        <v>0.0</v>
      </c>
      <c r="N120" s="351">
        <v>4.0</v>
      </c>
    </row>
    <row r="121">
      <c r="A121" s="578" t="s">
        <v>879</v>
      </c>
      <c r="B121" s="351">
        <v>89.0</v>
      </c>
      <c r="C121" s="351">
        <v>7.0</v>
      </c>
      <c r="D121" s="351">
        <v>27.0</v>
      </c>
      <c r="E121" s="351">
        <v>2.0</v>
      </c>
      <c r="F121" s="351">
        <v>0.0</v>
      </c>
      <c r="G121" s="351">
        <v>1.0</v>
      </c>
      <c r="H121" s="351">
        <v>2.0</v>
      </c>
      <c r="I121" s="351">
        <v>1.0</v>
      </c>
      <c r="J121" s="351">
        <v>3.0</v>
      </c>
      <c r="K121" s="351">
        <v>0.0</v>
      </c>
      <c r="L121" s="351">
        <v>1.0</v>
      </c>
      <c r="M121" s="351">
        <v>1.0</v>
      </c>
      <c r="N121" s="351">
        <v>34.0</v>
      </c>
    </row>
    <row r="122">
      <c r="A122" s="578" t="s">
        <v>1138</v>
      </c>
      <c r="B122" s="351">
        <v>46.0</v>
      </c>
      <c r="C122" s="351">
        <v>3.0</v>
      </c>
      <c r="D122" s="351">
        <v>15.0</v>
      </c>
      <c r="E122" s="351">
        <v>2.0</v>
      </c>
      <c r="F122" s="351">
        <v>0.0</v>
      </c>
      <c r="G122" s="351">
        <v>0.0</v>
      </c>
      <c r="H122" s="351">
        <v>0.0</v>
      </c>
      <c r="I122" s="351">
        <v>0.0</v>
      </c>
      <c r="J122" s="351">
        <v>0.0</v>
      </c>
      <c r="K122" s="351">
        <v>0.0</v>
      </c>
      <c r="L122" s="351">
        <v>0.0</v>
      </c>
      <c r="M122" s="351">
        <v>0.0</v>
      </c>
      <c r="N122" s="351">
        <v>14.0</v>
      </c>
    </row>
    <row r="123">
      <c r="A123" s="578" t="s">
        <v>754</v>
      </c>
      <c r="B123" s="351">
        <v>10.0</v>
      </c>
      <c r="C123" s="351">
        <v>4.0</v>
      </c>
      <c r="D123" s="351">
        <v>3.0</v>
      </c>
      <c r="E123" s="351">
        <v>0.0</v>
      </c>
      <c r="F123" s="351">
        <v>0.0</v>
      </c>
      <c r="G123" s="351">
        <v>0.0</v>
      </c>
      <c r="H123" s="351">
        <v>0.0</v>
      </c>
      <c r="I123" s="351">
        <v>0.0</v>
      </c>
      <c r="J123" s="351">
        <v>1.0</v>
      </c>
      <c r="K123" s="351">
        <v>0.0</v>
      </c>
      <c r="L123" s="351">
        <v>0.0</v>
      </c>
      <c r="M123" s="351">
        <v>0.0</v>
      </c>
      <c r="N123" s="351">
        <v>2.0</v>
      </c>
    </row>
    <row r="124">
      <c r="A124" s="578" t="s">
        <v>1870</v>
      </c>
      <c r="B124" s="351">
        <v>7996.0</v>
      </c>
      <c r="C124" s="351">
        <v>996.0</v>
      </c>
      <c r="D124" s="351">
        <v>2622.0</v>
      </c>
      <c r="E124" s="351">
        <v>207.0</v>
      </c>
      <c r="F124" s="351">
        <v>343.0</v>
      </c>
      <c r="G124" s="351">
        <v>59.0</v>
      </c>
      <c r="H124" s="351">
        <v>418.0</v>
      </c>
      <c r="I124" s="351">
        <v>135.0</v>
      </c>
      <c r="J124" s="351">
        <v>167.0</v>
      </c>
      <c r="K124" s="351">
        <v>72.0</v>
      </c>
      <c r="L124" s="351">
        <v>140.0</v>
      </c>
      <c r="M124" s="351">
        <v>47.0</v>
      </c>
      <c r="N124" s="351">
        <v>2466.0</v>
      </c>
    </row>
    <row r="125">
      <c r="A125" s="703"/>
      <c r="D125" s="567"/>
    </row>
    <row r="126">
      <c r="A126" s="703"/>
      <c r="D126" s="567"/>
    </row>
    <row r="127">
      <c r="A127" s="703"/>
      <c r="D127" s="567"/>
    </row>
    <row r="128">
      <c r="A128" s="703"/>
      <c r="D128" s="567"/>
    </row>
    <row r="129">
      <c r="A129" s="703"/>
      <c r="D129" s="567"/>
    </row>
    <row r="130">
      <c r="A130" s="703"/>
      <c r="D130" s="567"/>
    </row>
    <row r="131">
      <c r="A131" s="703"/>
      <c r="D131" s="567"/>
    </row>
    <row r="132">
      <c r="A132" s="703"/>
      <c r="D132" s="567"/>
    </row>
    <row r="133">
      <c r="A133" s="703"/>
      <c r="D133" s="567"/>
    </row>
    <row r="134">
      <c r="A134" s="703"/>
      <c r="D134" s="567"/>
    </row>
    <row r="135">
      <c r="A135" s="703"/>
      <c r="D135" s="567"/>
    </row>
    <row r="136">
      <c r="A136" s="703"/>
      <c r="D136" s="567"/>
    </row>
    <row r="137">
      <c r="A137" s="703"/>
      <c r="D137" s="567"/>
    </row>
    <row r="138">
      <c r="A138" s="703"/>
      <c r="D138" s="567"/>
    </row>
    <row r="139">
      <c r="A139" s="703"/>
      <c r="D139" s="567"/>
    </row>
    <row r="140">
      <c r="A140" s="703"/>
      <c r="D140" s="567"/>
    </row>
    <row r="141">
      <c r="A141" s="703"/>
      <c r="D141" s="567"/>
    </row>
    <row r="142">
      <c r="A142" s="703"/>
      <c r="D142" s="567"/>
    </row>
    <row r="143">
      <c r="A143" s="703"/>
      <c r="D143" s="567"/>
    </row>
    <row r="144">
      <c r="A144" s="703"/>
      <c r="D144" s="567"/>
    </row>
    <row r="145">
      <c r="A145" s="703"/>
      <c r="D145" s="567"/>
    </row>
    <row r="146">
      <c r="A146" s="703"/>
      <c r="D146" s="567"/>
    </row>
    <row r="147">
      <c r="A147" s="703"/>
      <c r="D147" s="567"/>
    </row>
    <row r="148">
      <c r="A148" s="703"/>
      <c r="D148" s="567"/>
    </row>
    <row r="149">
      <c r="A149" s="703"/>
      <c r="D149" s="567"/>
    </row>
    <row r="150">
      <c r="A150" s="703"/>
      <c r="D150" s="567"/>
    </row>
    <row r="151">
      <c r="A151" s="703"/>
      <c r="D151" s="567"/>
    </row>
    <row r="152">
      <c r="A152" s="703"/>
      <c r="D152" s="567"/>
    </row>
    <row r="153">
      <c r="A153" s="703"/>
      <c r="D153" s="567"/>
    </row>
    <row r="154">
      <c r="A154" s="703"/>
      <c r="D154" s="567"/>
    </row>
    <row r="155">
      <c r="A155" s="703"/>
      <c r="D155" s="567"/>
    </row>
    <row r="156">
      <c r="A156" s="703"/>
      <c r="D156" s="567"/>
    </row>
    <row r="157">
      <c r="A157" s="703"/>
      <c r="D157" s="567"/>
    </row>
    <row r="158">
      <c r="A158" s="703"/>
      <c r="D158" s="567"/>
    </row>
    <row r="159">
      <c r="A159" s="703"/>
      <c r="D159" s="567"/>
    </row>
    <row r="160">
      <c r="A160" s="703"/>
      <c r="D160" s="567"/>
    </row>
    <row r="161">
      <c r="A161" s="703"/>
      <c r="D161" s="567"/>
    </row>
    <row r="162">
      <c r="A162" s="703"/>
      <c r="D162" s="567"/>
    </row>
    <row r="163">
      <c r="A163" s="703"/>
      <c r="D163" s="567"/>
    </row>
    <row r="164">
      <c r="A164" s="703"/>
      <c r="D164" s="567"/>
    </row>
    <row r="165">
      <c r="A165" s="703"/>
      <c r="D165" s="567"/>
    </row>
    <row r="166">
      <c r="A166" s="703"/>
      <c r="D166" s="567"/>
    </row>
    <row r="167">
      <c r="A167" s="703"/>
      <c r="D167" s="567"/>
    </row>
    <row r="168">
      <c r="A168" s="703"/>
      <c r="D168" s="567"/>
    </row>
    <row r="169">
      <c r="A169" s="703"/>
      <c r="D169" s="567"/>
    </row>
    <row r="170">
      <c r="A170" s="703"/>
      <c r="D170" s="567"/>
    </row>
    <row r="171">
      <c r="A171" s="703"/>
      <c r="D171" s="567"/>
    </row>
    <row r="172">
      <c r="A172" s="703"/>
      <c r="D172" s="567"/>
    </row>
    <row r="173">
      <c r="A173" s="703"/>
      <c r="D173" s="567"/>
    </row>
    <row r="174">
      <c r="A174" s="703"/>
      <c r="D174" s="567"/>
    </row>
    <row r="175">
      <c r="A175" s="703"/>
      <c r="D175" s="567"/>
    </row>
    <row r="176">
      <c r="A176" s="703"/>
      <c r="D176" s="567"/>
    </row>
    <row r="177">
      <c r="A177" s="703"/>
      <c r="D177" s="567"/>
    </row>
    <row r="178">
      <c r="A178" s="703"/>
      <c r="D178" s="567"/>
    </row>
    <row r="179">
      <c r="A179" s="703"/>
      <c r="D179" s="567"/>
    </row>
    <row r="180">
      <c r="A180" s="703"/>
      <c r="D180" s="567"/>
    </row>
    <row r="181">
      <c r="A181" s="703"/>
      <c r="D181" s="567"/>
    </row>
    <row r="182">
      <c r="A182" s="703"/>
      <c r="D182" s="567"/>
    </row>
    <row r="183">
      <c r="A183" s="703"/>
      <c r="D183" s="567"/>
    </row>
    <row r="184">
      <c r="A184" s="703"/>
      <c r="D184" s="567"/>
    </row>
    <row r="185">
      <c r="A185" s="703"/>
      <c r="D185" s="567"/>
    </row>
    <row r="186">
      <c r="A186" s="703"/>
      <c r="D186" s="567"/>
    </row>
    <row r="187">
      <c r="A187" s="703"/>
      <c r="D187" s="567"/>
    </row>
    <row r="188">
      <c r="A188" s="703"/>
      <c r="D188" s="567"/>
    </row>
    <row r="189">
      <c r="A189" s="703"/>
      <c r="D189" s="567"/>
    </row>
    <row r="190">
      <c r="A190" s="703"/>
      <c r="D190" s="567"/>
    </row>
    <row r="191">
      <c r="A191" s="703"/>
      <c r="D191" s="567"/>
    </row>
    <row r="192">
      <c r="A192" s="703"/>
      <c r="D192" s="567"/>
    </row>
    <row r="193">
      <c r="A193" s="703"/>
      <c r="D193" s="567"/>
    </row>
    <row r="194">
      <c r="A194" s="703"/>
      <c r="D194" s="567"/>
    </row>
    <row r="195">
      <c r="A195" s="703"/>
      <c r="D195" s="567"/>
    </row>
    <row r="196">
      <c r="A196" s="703"/>
      <c r="D196" s="567"/>
    </row>
    <row r="197">
      <c r="A197" s="703"/>
      <c r="D197" s="567"/>
    </row>
    <row r="198">
      <c r="A198" s="703"/>
      <c r="D198" s="567"/>
    </row>
    <row r="199">
      <c r="A199" s="703"/>
      <c r="D199" s="567"/>
    </row>
    <row r="200">
      <c r="A200" s="703"/>
      <c r="D200" s="567"/>
    </row>
    <row r="201">
      <c r="A201" s="703"/>
      <c r="D201" s="567"/>
    </row>
    <row r="202">
      <c r="A202" s="703"/>
      <c r="D202" s="567"/>
    </row>
    <row r="203">
      <c r="A203" s="703"/>
      <c r="D203" s="567"/>
    </row>
    <row r="204">
      <c r="A204" s="703"/>
      <c r="D204" s="567"/>
    </row>
    <row r="205">
      <c r="A205" s="703"/>
      <c r="D205" s="567"/>
    </row>
    <row r="206">
      <c r="A206" s="703"/>
      <c r="D206" s="567"/>
    </row>
    <row r="207">
      <c r="A207" s="703"/>
      <c r="D207" s="567"/>
    </row>
    <row r="208">
      <c r="A208" s="703"/>
      <c r="D208" s="567"/>
    </row>
    <row r="209">
      <c r="A209" s="703"/>
      <c r="D209" s="567"/>
    </row>
    <row r="210">
      <c r="A210" s="703"/>
      <c r="D210" s="567"/>
    </row>
    <row r="211">
      <c r="A211" s="703"/>
      <c r="D211" s="567"/>
    </row>
    <row r="212">
      <c r="A212" s="703"/>
      <c r="D212" s="567"/>
    </row>
    <row r="213">
      <c r="A213" s="703"/>
      <c r="D213" s="567"/>
    </row>
    <row r="214">
      <c r="A214" s="703"/>
      <c r="D214" s="567"/>
    </row>
    <row r="215">
      <c r="A215" s="703"/>
      <c r="D215" s="567"/>
    </row>
    <row r="216">
      <c r="A216" s="703"/>
      <c r="D216" s="567"/>
    </row>
    <row r="217">
      <c r="A217" s="703"/>
      <c r="D217" s="567"/>
    </row>
    <row r="218">
      <c r="A218" s="703"/>
      <c r="D218" s="567"/>
    </row>
    <row r="219">
      <c r="A219" s="703"/>
      <c r="D219" s="567"/>
    </row>
    <row r="220">
      <c r="A220" s="703"/>
      <c r="D220" s="567"/>
    </row>
    <row r="221">
      <c r="A221" s="703"/>
      <c r="D221" s="567"/>
    </row>
    <row r="222">
      <c r="A222" s="703"/>
      <c r="D222" s="567"/>
    </row>
    <row r="223">
      <c r="A223" s="703"/>
      <c r="D223" s="567"/>
    </row>
    <row r="224">
      <c r="A224" s="703"/>
      <c r="D224" s="567"/>
    </row>
    <row r="225">
      <c r="A225" s="703"/>
      <c r="D225" s="567"/>
    </row>
    <row r="226">
      <c r="A226" s="703"/>
      <c r="D226" s="567"/>
    </row>
    <row r="227">
      <c r="A227" s="703"/>
      <c r="D227" s="567"/>
    </row>
    <row r="228">
      <c r="A228" s="703"/>
      <c r="D228" s="567"/>
    </row>
    <row r="229">
      <c r="A229" s="703"/>
      <c r="D229" s="567"/>
    </row>
    <row r="230">
      <c r="A230" s="703"/>
      <c r="D230" s="567"/>
    </row>
    <row r="231">
      <c r="A231" s="703"/>
      <c r="D231" s="567"/>
    </row>
    <row r="232">
      <c r="A232" s="703"/>
      <c r="D232" s="567"/>
    </row>
    <row r="233">
      <c r="A233" s="703"/>
      <c r="D233" s="567"/>
    </row>
    <row r="234">
      <c r="A234" s="703"/>
      <c r="D234" s="567"/>
    </row>
    <row r="235">
      <c r="A235" s="703"/>
      <c r="D235" s="567"/>
    </row>
    <row r="236">
      <c r="A236" s="703"/>
      <c r="D236" s="567"/>
    </row>
    <row r="237">
      <c r="A237" s="703"/>
      <c r="D237" s="567"/>
    </row>
    <row r="238">
      <c r="A238" s="703"/>
      <c r="D238" s="567"/>
    </row>
    <row r="239">
      <c r="A239" s="703"/>
      <c r="D239" s="567"/>
    </row>
    <row r="240">
      <c r="A240" s="703"/>
      <c r="D240" s="567"/>
    </row>
    <row r="241">
      <c r="A241" s="703"/>
      <c r="D241" s="567"/>
    </row>
    <row r="242">
      <c r="A242" s="703"/>
      <c r="D242" s="567"/>
    </row>
    <row r="243">
      <c r="A243" s="703"/>
      <c r="D243" s="567"/>
    </row>
    <row r="244">
      <c r="A244" s="703"/>
      <c r="D244" s="567"/>
    </row>
    <row r="245">
      <c r="A245" s="703"/>
      <c r="D245" s="567"/>
    </row>
    <row r="246">
      <c r="A246" s="703"/>
      <c r="D246" s="567"/>
    </row>
    <row r="247">
      <c r="A247" s="703"/>
      <c r="D247" s="567"/>
    </row>
    <row r="248">
      <c r="A248" s="703"/>
      <c r="D248" s="567"/>
    </row>
    <row r="249">
      <c r="A249" s="703"/>
      <c r="D249" s="567"/>
    </row>
    <row r="250">
      <c r="A250" s="703"/>
      <c r="D250" s="567"/>
    </row>
    <row r="251">
      <c r="A251" s="703"/>
      <c r="D251" s="567"/>
    </row>
    <row r="252">
      <c r="A252" s="703"/>
      <c r="D252" s="567"/>
    </row>
    <row r="253">
      <c r="A253" s="703"/>
      <c r="D253" s="567"/>
    </row>
    <row r="254">
      <c r="A254" s="703"/>
      <c r="D254" s="567"/>
    </row>
    <row r="255">
      <c r="A255" s="703"/>
      <c r="D255" s="567"/>
    </row>
    <row r="256">
      <c r="A256" s="703"/>
      <c r="D256" s="567"/>
    </row>
    <row r="257">
      <c r="A257" s="703"/>
      <c r="D257" s="567"/>
    </row>
    <row r="258">
      <c r="A258" s="703"/>
      <c r="D258" s="567"/>
    </row>
    <row r="259">
      <c r="A259" s="703"/>
      <c r="D259" s="567"/>
    </row>
    <row r="260">
      <c r="A260" s="703"/>
      <c r="D260" s="567"/>
    </row>
    <row r="261">
      <c r="A261" s="703"/>
      <c r="D261" s="567"/>
    </row>
    <row r="262">
      <c r="A262" s="703"/>
      <c r="D262" s="567"/>
    </row>
    <row r="263">
      <c r="A263" s="703"/>
      <c r="D263" s="567"/>
    </row>
    <row r="264">
      <c r="A264" s="703"/>
      <c r="D264" s="567"/>
    </row>
    <row r="265">
      <c r="A265" s="703"/>
      <c r="D265" s="567"/>
    </row>
    <row r="266">
      <c r="A266" s="703"/>
      <c r="D266" s="567"/>
    </row>
    <row r="267">
      <c r="A267" s="703"/>
      <c r="D267" s="567"/>
    </row>
    <row r="268">
      <c r="A268" s="703"/>
      <c r="D268" s="567"/>
    </row>
    <row r="269">
      <c r="A269" s="703"/>
      <c r="D269" s="567"/>
    </row>
    <row r="270">
      <c r="A270" s="703"/>
      <c r="D270" s="567"/>
    </row>
    <row r="271">
      <c r="A271" s="703"/>
      <c r="D271" s="567"/>
    </row>
    <row r="272">
      <c r="A272" s="703"/>
      <c r="D272" s="567"/>
    </row>
    <row r="273">
      <c r="A273" s="703"/>
      <c r="D273" s="567"/>
    </row>
    <row r="274">
      <c r="A274" s="703"/>
      <c r="D274" s="567"/>
    </row>
    <row r="275">
      <c r="A275" s="703"/>
      <c r="D275" s="567"/>
    </row>
    <row r="276">
      <c r="A276" s="703"/>
      <c r="D276" s="567"/>
    </row>
    <row r="277">
      <c r="A277" s="703"/>
      <c r="D277" s="567"/>
    </row>
    <row r="278">
      <c r="A278" s="703"/>
      <c r="D278" s="567"/>
    </row>
    <row r="279">
      <c r="A279" s="703"/>
      <c r="D279" s="567"/>
    </row>
    <row r="280">
      <c r="A280" s="703"/>
      <c r="D280" s="567"/>
    </row>
    <row r="281">
      <c r="A281" s="703"/>
      <c r="D281" s="567"/>
    </row>
    <row r="282">
      <c r="A282" s="703"/>
      <c r="D282" s="567"/>
    </row>
    <row r="283">
      <c r="A283" s="703"/>
      <c r="D283" s="567"/>
    </row>
    <row r="284">
      <c r="A284" s="703"/>
      <c r="D284" s="567"/>
    </row>
    <row r="285">
      <c r="A285" s="703"/>
      <c r="D285" s="567"/>
    </row>
    <row r="286">
      <c r="A286" s="703"/>
      <c r="D286" s="567"/>
    </row>
    <row r="287">
      <c r="A287" s="703"/>
      <c r="D287" s="567"/>
    </row>
    <row r="288">
      <c r="A288" s="703"/>
      <c r="D288" s="567"/>
    </row>
    <row r="289">
      <c r="A289" s="703"/>
      <c r="D289" s="567"/>
    </row>
    <row r="290">
      <c r="A290" s="703"/>
      <c r="D290" s="567"/>
    </row>
    <row r="291">
      <c r="A291" s="703"/>
      <c r="D291" s="567"/>
    </row>
    <row r="292">
      <c r="A292" s="703"/>
      <c r="D292" s="567"/>
    </row>
    <row r="293">
      <c r="A293" s="703"/>
      <c r="D293" s="567"/>
    </row>
    <row r="294">
      <c r="A294" s="703"/>
      <c r="D294" s="567"/>
    </row>
    <row r="295">
      <c r="A295" s="703"/>
      <c r="D295" s="567"/>
    </row>
    <row r="296">
      <c r="A296" s="703"/>
      <c r="D296" s="567"/>
    </row>
    <row r="297">
      <c r="A297" s="703"/>
      <c r="D297" s="567"/>
    </row>
    <row r="298">
      <c r="A298" s="703"/>
      <c r="D298" s="567"/>
    </row>
    <row r="299">
      <c r="A299" s="703"/>
      <c r="D299" s="567"/>
    </row>
    <row r="300">
      <c r="A300" s="703"/>
      <c r="D300" s="567"/>
    </row>
    <row r="301">
      <c r="A301" s="703"/>
      <c r="D301" s="567"/>
    </row>
    <row r="302">
      <c r="A302" s="703"/>
      <c r="D302" s="567"/>
    </row>
    <row r="303">
      <c r="A303" s="703"/>
      <c r="D303" s="567"/>
    </row>
    <row r="304">
      <c r="A304" s="703"/>
      <c r="D304" s="567"/>
    </row>
    <row r="305">
      <c r="A305" s="703"/>
      <c r="D305" s="567"/>
    </row>
    <row r="306">
      <c r="A306" s="703"/>
      <c r="D306" s="567"/>
    </row>
    <row r="307">
      <c r="A307" s="703"/>
      <c r="D307" s="567"/>
    </row>
    <row r="308">
      <c r="A308" s="703"/>
      <c r="D308" s="567"/>
    </row>
    <row r="309">
      <c r="A309" s="703"/>
      <c r="D309" s="567"/>
    </row>
    <row r="310">
      <c r="A310" s="703"/>
      <c r="D310" s="567"/>
    </row>
    <row r="311">
      <c r="A311" s="703"/>
      <c r="D311" s="567"/>
    </row>
    <row r="312">
      <c r="A312" s="703"/>
      <c r="D312" s="567"/>
    </row>
    <row r="313">
      <c r="A313" s="703"/>
      <c r="D313" s="567"/>
    </row>
    <row r="314">
      <c r="A314" s="703"/>
      <c r="D314" s="567"/>
    </row>
    <row r="315">
      <c r="A315" s="703"/>
      <c r="D315" s="567"/>
    </row>
    <row r="316">
      <c r="A316" s="703"/>
      <c r="D316" s="567"/>
    </row>
    <row r="317">
      <c r="A317" s="703"/>
      <c r="D317" s="567"/>
    </row>
    <row r="318">
      <c r="A318" s="703"/>
      <c r="D318" s="567"/>
    </row>
    <row r="319">
      <c r="A319" s="703"/>
      <c r="D319" s="567"/>
    </row>
    <row r="320">
      <c r="A320" s="703"/>
      <c r="D320" s="567"/>
    </row>
    <row r="321">
      <c r="A321" s="703"/>
      <c r="D321" s="567"/>
    </row>
    <row r="322">
      <c r="A322" s="703"/>
      <c r="D322" s="567"/>
    </row>
    <row r="323">
      <c r="A323" s="703"/>
      <c r="D323" s="567"/>
    </row>
    <row r="324">
      <c r="A324" s="703"/>
      <c r="D324" s="567"/>
    </row>
    <row r="325">
      <c r="A325" s="703"/>
      <c r="D325" s="567"/>
    </row>
    <row r="326">
      <c r="A326" s="703"/>
      <c r="D326" s="567"/>
    </row>
    <row r="327">
      <c r="A327" s="703"/>
      <c r="D327" s="567"/>
    </row>
    <row r="328">
      <c r="A328" s="703"/>
      <c r="D328" s="567"/>
    </row>
    <row r="329">
      <c r="A329" s="703"/>
      <c r="D329" s="567"/>
    </row>
    <row r="330">
      <c r="A330" s="703"/>
      <c r="D330" s="567"/>
    </row>
    <row r="331">
      <c r="A331" s="703"/>
      <c r="D331" s="567"/>
    </row>
    <row r="332">
      <c r="A332" s="703"/>
      <c r="D332" s="567"/>
    </row>
    <row r="333">
      <c r="A333" s="703"/>
      <c r="D333" s="567"/>
    </row>
    <row r="334">
      <c r="A334" s="703"/>
      <c r="D334" s="567"/>
    </row>
    <row r="335">
      <c r="A335" s="703"/>
      <c r="D335" s="567"/>
    </row>
    <row r="336">
      <c r="A336" s="703"/>
      <c r="D336" s="567"/>
    </row>
    <row r="337">
      <c r="A337" s="703"/>
      <c r="D337" s="567"/>
    </row>
    <row r="338">
      <c r="A338" s="703"/>
      <c r="D338" s="567"/>
    </row>
    <row r="339">
      <c r="A339" s="703"/>
      <c r="D339" s="567"/>
    </row>
    <row r="340">
      <c r="A340" s="703"/>
      <c r="D340" s="567"/>
    </row>
    <row r="341">
      <c r="A341" s="703"/>
      <c r="D341" s="567"/>
    </row>
    <row r="342">
      <c r="A342" s="703"/>
      <c r="D342" s="567"/>
    </row>
    <row r="343">
      <c r="A343" s="703"/>
      <c r="D343" s="567"/>
    </row>
    <row r="344">
      <c r="A344" s="703"/>
      <c r="D344" s="567"/>
    </row>
    <row r="345">
      <c r="A345" s="703"/>
      <c r="D345" s="567"/>
    </row>
    <row r="346">
      <c r="A346" s="703"/>
      <c r="D346" s="567"/>
    </row>
    <row r="347">
      <c r="A347" s="703"/>
      <c r="D347" s="567"/>
    </row>
    <row r="348">
      <c r="A348" s="703"/>
      <c r="D348" s="567"/>
    </row>
    <row r="349">
      <c r="A349" s="703"/>
      <c r="D349" s="567"/>
    </row>
    <row r="350">
      <c r="A350" s="703"/>
      <c r="D350" s="567"/>
    </row>
    <row r="351">
      <c r="A351" s="703"/>
      <c r="D351" s="567"/>
    </row>
    <row r="352">
      <c r="A352" s="703"/>
      <c r="D352" s="567"/>
    </row>
    <row r="353">
      <c r="A353" s="703"/>
      <c r="D353" s="567"/>
    </row>
    <row r="354">
      <c r="A354" s="703"/>
      <c r="D354" s="567"/>
    </row>
    <row r="355">
      <c r="A355" s="703"/>
      <c r="D355" s="567"/>
    </row>
    <row r="356">
      <c r="A356" s="703"/>
      <c r="D356" s="567"/>
    </row>
    <row r="357">
      <c r="A357" s="703"/>
      <c r="D357" s="567"/>
    </row>
    <row r="358">
      <c r="A358" s="703"/>
      <c r="D358" s="567"/>
    </row>
    <row r="359">
      <c r="A359" s="703"/>
      <c r="D359" s="567"/>
    </row>
    <row r="360">
      <c r="A360" s="703"/>
      <c r="D360" s="567"/>
    </row>
    <row r="361">
      <c r="A361" s="703"/>
      <c r="D361" s="567"/>
    </row>
    <row r="362">
      <c r="A362" s="703"/>
      <c r="D362" s="567"/>
    </row>
    <row r="363">
      <c r="A363" s="703"/>
      <c r="D363" s="567"/>
    </row>
    <row r="364">
      <c r="A364" s="703"/>
      <c r="D364" s="567"/>
    </row>
    <row r="365">
      <c r="A365" s="703"/>
      <c r="D365" s="567"/>
    </row>
    <row r="366">
      <c r="A366" s="703"/>
      <c r="D366" s="567"/>
    </row>
    <row r="367">
      <c r="A367" s="703"/>
      <c r="D367" s="567"/>
    </row>
    <row r="368">
      <c r="A368" s="703"/>
      <c r="D368" s="567"/>
    </row>
    <row r="369">
      <c r="A369" s="703"/>
      <c r="D369" s="567"/>
    </row>
    <row r="370">
      <c r="A370" s="703"/>
      <c r="D370" s="567"/>
    </row>
    <row r="371">
      <c r="A371" s="703"/>
      <c r="D371" s="567"/>
    </row>
    <row r="372">
      <c r="A372" s="703"/>
      <c r="D372" s="567"/>
    </row>
    <row r="373">
      <c r="A373" s="703"/>
      <c r="D373" s="567"/>
    </row>
    <row r="374">
      <c r="A374" s="703"/>
      <c r="D374" s="567"/>
    </row>
    <row r="375">
      <c r="A375" s="703"/>
      <c r="D375" s="567"/>
    </row>
    <row r="376">
      <c r="A376" s="703"/>
      <c r="D376" s="567"/>
    </row>
    <row r="377">
      <c r="A377" s="703"/>
      <c r="D377" s="567"/>
    </row>
    <row r="378">
      <c r="A378" s="703"/>
      <c r="D378" s="567"/>
    </row>
    <row r="379">
      <c r="A379" s="703"/>
      <c r="D379" s="567"/>
    </row>
    <row r="380">
      <c r="A380" s="703"/>
      <c r="D380" s="567"/>
    </row>
    <row r="381">
      <c r="A381" s="703"/>
      <c r="D381" s="567"/>
    </row>
    <row r="382">
      <c r="A382" s="703"/>
      <c r="D382" s="567"/>
    </row>
    <row r="383">
      <c r="A383" s="703"/>
      <c r="D383" s="567"/>
    </row>
    <row r="384">
      <c r="A384" s="703"/>
      <c r="D384" s="567"/>
    </row>
    <row r="385">
      <c r="A385" s="703"/>
      <c r="D385" s="567"/>
    </row>
    <row r="386">
      <c r="A386" s="703"/>
      <c r="D386" s="567"/>
    </row>
    <row r="387">
      <c r="A387" s="703"/>
      <c r="D387" s="567"/>
    </row>
    <row r="388">
      <c r="A388" s="703"/>
      <c r="D388" s="567"/>
    </row>
    <row r="389">
      <c r="A389" s="703"/>
      <c r="D389" s="567"/>
    </row>
    <row r="390">
      <c r="A390" s="703"/>
      <c r="D390" s="567"/>
    </row>
    <row r="391">
      <c r="A391" s="703"/>
      <c r="D391" s="567"/>
    </row>
    <row r="392">
      <c r="A392" s="703"/>
      <c r="D392" s="567"/>
    </row>
    <row r="393">
      <c r="A393" s="703"/>
      <c r="D393" s="567"/>
    </row>
    <row r="394">
      <c r="A394" s="703"/>
      <c r="D394" s="567"/>
    </row>
    <row r="395">
      <c r="A395" s="703"/>
      <c r="D395" s="567"/>
    </row>
    <row r="396">
      <c r="A396" s="703"/>
      <c r="D396" s="567"/>
    </row>
    <row r="397">
      <c r="A397" s="703"/>
      <c r="D397" s="567"/>
    </row>
    <row r="398">
      <c r="A398" s="703"/>
      <c r="D398" s="567"/>
    </row>
    <row r="399">
      <c r="A399" s="703"/>
      <c r="D399" s="567"/>
    </row>
    <row r="400">
      <c r="A400" s="703"/>
      <c r="D400" s="567"/>
    </row>
    <row r="401">
      <c r="A401" s="703"/>
      <c r="D401" s="567"/>
    </row>
    <row r="402">
      <c r="A402" s="703"/>
      <c r="D402" s="567"/>
    </row>
    <row r="403">
      <c r="A403" s="703"/>
      <c r="D403" s="567"/>
    </row>
    <row r="404">
      <c r="A404" s="703"/>
      <c r="D404" s="567"/>
    </row>
    <row r="405">
      <c r="A405" s="703"/>
      <c r="D405" s="567"/>
    </row>
    <row r="406">
      <c r="A406" s="703"/>
      <c r="D406" s="567"/>
    </row>
    <row r="407">
      <c r="A407" s="703"/>
      <c r="D407" s="567"/>
    </row>
    <row r="408">
      <c r="A408" s="703"/>
      <c r="D408" s="567"/>
    </row>
    <row r="409">
      <c r="A409" s="703"/>
      <c r="D409" s="567"/>
    </row>
    <row r="410">
      <c r="A410" s="703"/>
      <c r="D410" s="567"/>
    </row>
    <row r="411">
      <c r="A411" s="703"/>
      <c r="D411" s="567"/>
    </row>
    <row r="412">
      <c r="A412" s="703"/>
      <c r="D412" s="567"/>
    </row>
    <row r="413">
      <c r="A413" s="703"/>
      <c r="D413" s="567"/>
    </row>
    <row r="414">
      <c r="A414" s="703"/>
      <c r="D414" s="567"/>
    </row>
    <row r="415">
      <c r="A415" s="703"/>
      <c r="D415" s="567"/>
    </row>
    <row r="416">
      <c r="A416" s="703"/>
      <c r="D416" s="567"/>
    </row>
    <row r="417">
      <c r="A417" s="703"/>
      <c r="D417" s="567"/>
    </row>
    <row r="418">
      <c r="A418" s="703"/>
      <c r="D418" s="567"/>
    </row>
    <row r="419">
      <c r="A419" s="703"/>
      <c r="D419" s="567"/>
    </row>
    <row r="420">
      <c r="A420" s="703"/>
      <c r="D420" s="567"/>
    </row>
    <row r="421">
      <c r="A421" s="703"/>
      <c r="D421" s="567"/>
    </row>
    <row r="422">
      <c r="A422" s="703"/>
      <c r="D422" s="567"/>
    </row>
    <row r="423">
      <c r="A423" s="703"/>
      <c r="D423" s="567"/>
    </row>
    <row r="424">
      <c r="A424" s="703"/>
      <c r="D424" s="567"/>
    </row>
    <row r="425">
      <c r="A425" s="703"/>
      <c r="D425" s="567"/>
    </row>
    <row r="426">
      <c r="A426" s="703"/>
      <c r="D426" s="567"/>
    </row>
    <row r="427">
      <c r="A427" s="703"/>
      <c r="D427" s="567"/>
    </row>
    <row r="428">
      <c r="A428" s="703"/>
      <c r="D428" s="567"/>
    </row>
    <row r="429">
      <c r="A429" s="703"/>
      <c r="D429" s="567"/>
    </row>
    <row r="430">
      <c r="A430" s="703"/>
      <c r="D430" s="567"/>
    </row>
    <row r="431">
      <c r="A431" s="703"/>
      <c r="D431" s="567"/>
    </row>
    <row r="432">
      <c r="A432" s="703"/>
      <c r="D432" s="567"/>
    </row>
    <row r="433">
      <c r="A433" s="703"/>
      <c r="D433" s="567"/>
    </row>
    <row r="434">
      <c r="A434" s="703"/>
      <c r="D434" s="567"/>
    </row>
    <row r="435">
      <c r="A435" s="703"/>
      <c r="D435" s="567"/>
    </row>
    <row r="436">
      <c r="A436" s="703"/>
      <c r="D436" s="567"/>
    </row>
    <row r="437">
      <c r="A437" s="703"/>
      <c r="D437" s="567"/>
    </row>
    <row r="438">
      <c r="A438" s="703"/>
      <c r="D438" s="567"/>
    </row>
    <row r="439">
      <c r="A439" s="703"/>
      <c r="D439" s="567"/>
    </row>
    <row r="440">
      <c r="A440" s="703"/>
      <c r="D440" s="567"/>
    </row>
    <row r="441">
      <c r="A441" s="703"/>
      <c r="D441" s="567"/>
    </row>
    <row r="442">
      <c r="A442" s="703"/>
      <c r="D442" s="567"/>
    </row>
    <row r="443">
      <c r="A443" s="703"/>
      <c r="D443" s="567"/>
    </row>
    <row r="444">
      <c r="A444" s="703"/>
      <c r="D444" s="567"/>
    </row>
    <row r="445">
      <c r="A445" s="703"/>
      <c r="D445" s="567"/>
    </row>
    <row r="446">
      <c r="A446" s="703"/>
      <c r="D446" s="567"/>
    </row>
    <row r="447">
      <c r="A447" s="703"/>
      <c r="D447" s="567"/>
    </row>
    <row r="448">
      <c r="A448" s="703"/>
      <c r="D448" s="567"/>
    </row>
    <row r="449">
      <c r="A449" s="703"/>
      <c r="D449" s="567"/>
    </row>
    <row r="450">
      <c r="A450" s="703"/>
      <c r="D450" s="567"/>
    </row>
    <row r="451">
      <c r="A451" s="703"/>
      <c r="D451" s="567"/>
    </row>
    <row r="452">
      <c r="A452" s="703"/>
      <c r="D452" s="567"/>
    </row>
    <row r="453">
      <c r="A453" s="703"/>
      <c r="D453" s="567"/>
    </row>
    <row r="454">
      <c r="A454" s="703"/>
      <c r="D454" s="567"/>
    </row>
    <row r="455">
      <c r="A455" s="703"/>
      <c r="D455" s="567"/>
    </row>
    <row r="456">
      <c r="A456" s="703"/>
      <c r="D456" s="567"/>
    </row>
    <row r="457">
      <c r="A457" s="703"/>
      <c r="D457" s="567"/>
    </row>
    <row r="458">
      <c r="A458" s="703"/>
      <c r="D458" s="567"/>
    </row>
    <row r="459">
      <c r="A459" s="703"/>
      <c r="D459" s="567"/>
    </row>
    <row r="460">
      <c r="A460" s="703"/>
      <c r="D460" s="567"/>
    </row>
    <row r="461">
      <c r="A461" s="703"/>
      <c r="D461" s="567"/>
    </row>
    <row r="462">
      <c r="A462" s="703"/>
      <c r="D462" s="567"/>
    </row>
    <row r="463">
      <c r="A463" s="703"/>
      <c r="D463" s="567"/>
    </row>
    <row r="464">
      <c r="A464" s="703"/>
      <c r="D464" s="567"/>
    </row>
    <row r="465">
      <c r="A465" s="703"/>
      <c r="D465" s="567"/>
    </row>
    <row r="466">
      <c r="A466" s="703"/>
      <c r="D466" s="567"/>
    </row>
    <row r="467">
      <c r="A467" s="703"/>
      <c r="D467" s="567"/>
    </row>
    <row r="468">
      <c r="A468" s="703"/>
      <c r="D468" s="567"/>
    </row>
    <row r="469">
      <c r="A469" s="703"/>
      <c r="D469" s="567"/>
    </row>
    <row r="470">
      <c r="A470" s="703"/>
      <c r="D470" s="567"/>
    </row>
    <row r="471">
      <c r="A471" s="703"/>
      <c r="D471" s="567"/>
    </row>
    <row r="472">
      <c r="A472" s="703"/>
      <c r="D472" s="567"/>
    </row>
    <row r="473">
      <c r="A473" s="703"/>
      <c r="D473" s="567"/>
    </row>
    <row r="474">
      <c r="A474" s="703"/>
      <c r="D474" s="567"/>
    </row>
    <row r="475">
      <c r="A475" s="703"/>
      <c r="D475" s="567"/>
    </row>
    <row r="476">
      <c r="A476" s="703"/>
      <c r="D476" s="567"/>
    </row>
    <row r="477">
      <c r="A477" s="703"/>
      <c r="D477" s="567"/>
    </row>
    <row r="478">
      <c r="A478" s="703"/>
      <c r="D478" s="567"/>
    </row>
    <row r="479">
      <c r="A479" s="703"/>
      <c r="D479" s="567"/>
    </row>
    <row r="480">
      <c r="A480" s="703"/>
      <c r="D480" s="567"/>
    </row>
    <row r="481">
      <c r="A481" s="703"/>
      <c r="D481" s="567"/>
    </row>
    <row r="482">
      <c r="A482" s="703"/>
      <c r="D482" s="567"/>
    </row>
    <row r="483">
      <c r="A483" s="703"/>
      <c r="D483" s="567"/>
    </row>
    <row r="484">
      <c r="A484" s="703"/>
      <c r="D484" s="567"/>
    </row>
    <row r="485">
      <c r="A485" s="703"/>
      <c r="D485" s="567"/>
    </row>
    <row r="486">
      <c r="A486" s="703"/>
      <c r="D486" s="567"/>
    </row>
    <row r="487">
      <c r="A487" s="703"/>
      <c r="D487" s="567"/>
    </row>
    <row r="488">
      <c r="A488" s="703"/>
      <c r="D488" s="567"/>
    </row>
    <row r="489">
      <c r="A489" s="703"/>
      <c r="D489" s="567"/>
    </row>
    <row r="490">
      <c r="A490" s="703"/>
      <c r="D490" s="567"/>
    </row>
    <row r="491">
      <c r="A491" s="703"/>
      <c r="D491" s="567"/>
    </row>
    <row r="492">
      <c r="A492" s="703"/>
      <c r="D492" s="567"/>
    </row>
    <row r="493">
      <c r="A493" s="703"/>
      <c r="D493" s="567"/>
    </row>
    <row r="494">
      <c r="A494" s="703"/>
      <c r="D494" s="567"/>
    </row>
    <row r="495">
      <c r="A495" s="703"/>
      <c r="D495" s="567"/>
    </row>
    <row r="496">
      <c r="A496" s="703"/>
      <c r="D496" s="567"/>
    </row>
    <row r="497">
      <c r="A497" s="703"/>
      <c r="D497" s="567"/>
    </row>
    <row r="498">
      <c r="A498" s="703"/>
      <c r="D498" s="567"/>
    </row>
    <row r="499">
      <c r="A499" s="703"/>
      <c r="D499" s="567"/>
    </row>
    <row r="500">
      <c r="A500" s="703"/>
      <c r="D500" s="567"/>
    </row>
    <row r="501">
      <c r="A501" s="703"/>
      <c r="D501" s="567"/>
    </row>
    <row r="502">
      <c r="A502" s="703"/>
      <c r="D502" s="567"/>
    </row>
    <row r="503">
      <c r="A503" s="703"/>
      <c r="D503" s="567"/>
    </row>
    <row r="504">
      <c r="A504" s="703"/>
      <c r="D504" s="567"/>
    </row>
    <row r="505">
      <c r="A505" s="703"/>
      <c r="D505" s="567"/>
    </row>
    <row r="506">
      <c r="A506" s="703"/>
      <c r="D506" s="567"/>
    </row>
    <row r="507">
      <c r="A507" s="703"/>
      <c r="D507" s="567"/>
    </row>
    <row r="508">
      <c r="A508" s="703"/>
      <c r="D508" s="567"/>
    </row>
    <row r="509">
      <c r="A509" s="703"/>
      <c r="D509" s="567"/>
    </row>
    <row r="510">
      <c r="A510" s="703"/>
      <c r="D510" s="567"/>
    </row>
    <row r="511">
      <c r="A511" s="703"/>
      <c r="D511" s="567"/>
    </row>
    <row r="512">
      <c r="A512" s="703"/>
      <c r="D512" s="567"/>
    </row>
    <row r="513">
      <c r="A513" s="703"/>
      <c r="D513" s="567"/>
    </row>
    <row r="514">
      <c r="A514" s="703"/>
      <c r="D514" s="567"/>
    </row>
    <row r="515">
      <c r="A515" s="703"/>
      <c r="D515" s="567"/>
    </row>
    <row r="516">
      <c r="A516" s="703"/>
      <c r="D516" s="567"/>
    </row>
    <row r="517">
      <c r="A517" s="703"/>
      <c r="D517" s="567"/>
    </row>
    <row r="518">
      <c r="A518" s="703"/>
      <c r="D518" s="567"/>
    </row>
    <row r="519">
      <c r="A519" s="703"/>
      <c r="D519" s="567"/>
    </row>
    <row r="520">
      <c r="A520" s="703"/>
      <c r="D520" s="567"/>
    </row>
    <row r="521">
      <c r="A521" s="703"/>
      <c r="D521" s="567"/>
    </row>
    <row r="522">
      <c r="A522" s="703"/>
      <c r="D522" s="567"/>
    </row>
    <row r="523">
      <c r="A523" s="703"/>
      <c r="D523" s="567"/>
    </row>
    <row r="524">
      <c r="A524" s="703"/>
      <c r="D524" s="567"/>
    </row>
    <row r="525">
      <c r="A525" s="703"/>
      <c r="D525" s="567"/>
    </row>
    <row r="526">
      <c r="A526" s="703"/>
      <c r="D526" s="567"/>
    </row>
    <row r="527">
      <c r="A527" s="703"/>
      <c r="D527" s="567"/>
    </row>
    <row r="528">
      <c r="A528" s="703"/>
      <c r="D528" s="567"/>
    </row>
    <row r="529">
      <c r="A529" s="703"/>
      <c r="D529" s="567"/>
    </row>
    <row r="530">
      <c r="A530" s="703"/>
      <c r="D530" s="567"/>
    </row>
    <row r="531">
      <c r="A531" s="703"/>
      <c r="D531" s="567"/>
    </row>
    <row r="532">
      <c r="A532" s="703"/>
      <c r="D532" s="567"/>
    </row>
    <row r="533">
      <c r="A533" s="703"/>
      <c r="D533" s="567"/>
    </row>
    <row r="534">
      <c r="A534" s="703"/>
      <c r="D534" s="567"/>
    </row>
    <row r="535">
      <c r="A535" s="703"/>
      <c r="D535" s="567"/>
    </row>
    <row r="536">
      <c r="A536" s="703"/>
      <c r="D536" s="567"/>
    </row>
    <row r="537">
      <c r="A537" s="703"/>
      <c r="D537" s="567"/>
    </row>
    <row r="538">
      <c r="A538" s="703"/>
      <c r="D538" s="567"/>
    </row>
    <row r="539">
      <c r="A539" s="703"/>
      <c r="D539" s="567"/>
    </row>
    <row r="540">
      <c r="A540" s="703"/>
      <c r="D540" s="567"/>
    </row>
    <row r="541">
      <c r="A541" s="703"/>
      <c r="D541" s="567"/>
    </row>
    <row r="542">
      <c r="A542" s="703"/>
      <c r="D542" s="567"/>
    </row>
    <row r="543">
      <c r="A543" s="703"/>
      <c r="D543" s="567"/>
    </row>
    <row r="544">
      <c r="A544" s="703"/>
      <c r="D544" s="567"/>
    </row>
    <row r="545">
      <c r="A545" s="703"/>
      <c r="D545" s="567"/>
    </row>
    <row r="546">
      <c r="A546" s="703"/>
      <c r="D546" s="567"/>
    </row>
    <row r="547">
      <c r="A547" s="703"/>
      <c r="D547" s="567"/>
    </row>
    <row r="548">
      <c r="A548" s="703"/>
      <c r="D548" s="567"/>
    </row>
    <row r="549">
      <c r="A549" s="703"/>
      <c r="D549" s="567"/>
    </row>
    <row r="550">
      <c r="A550" s="703"/>
      <c r="D550" s="567"/>
    </row>
    <row r="551">
      <c r="A551" s="703"/>
      <c r="D551" s="567"/>
    </row>
    <row r="552">
      <c r="A552" s="703"/>
      <c r="D552" s="567"/>
    </row>
    <row r="553">
      <c r="A553" s="703"/>
      <c r="D553" s="567"/>
    </row>
    <row r="554">
      <c r="A554" s="703"/>
      <c r="D554" s="567"/>
    </row>
    <row r="555">
      <c r="A555" s="703"/>
      <c r="D555" s="567"/>
    </row>
    <row r="556">
      <c r="A556" s="703"/>
      <c r="D556" s="567"/>
    </row>
    <row r="557">
      <c r="A557" s="703"/>
      <c r="D557" s="567"/>
    </row>
    <row r="558">
      <c r="A558" s="703"/>
      <c r="D558" s="567"/>
    </row>
    <row r="559">
      <c r="A559" s="703"/>
      <c r="D559" s="567"/>
    </row>
    <row r="560">
      <c r="A560" s="703"/>
      <c r="D560" s="567"/>
    </row>
    <row r="561">
      <c r="A561" s="703"/>
      <c r="D561" s="567"/>
    </row>
    <row r="562">
      <c r="A562" s="703"/>
      <c r="D562" s="567"/>
    </row>
    <row r="563">
      <c r="A563" s="703"/>
      <c r="D563" s="567"/>
    </row>
    <row r="564">
      <c r="A564" s="703"/>
      <c r="D564" s="567"/>
    </row>
    <row r="565">
      <c r="A565" s="703"/>
      <c r="D565" s="567"/>
    </row>
    <row r="566">
      <c r="A566" s="703"/>
      <c r="D566" s="567"/>
    </row>
    <row r="567">
      <c r="A567" s="703"/>
      <c r="D567" s="567"/>
    </row>
    <row r="568">
      <c r="A568" s="703"/>
      <c r="D568" s="567"/>
    </row>
    <row r="569">
      <c r="A569" s="703"/>
      <c r="D569" s="567"/>
    </row>
    <row r="570">
      <c r="A570" s="703"/>
      <c r="D570" s="567"/>
    </row>
    <row r="571">
      <c r="A571" s="703"/>
      <c r="D571" s="567"/>
    </row>
    <row r="572">
      <c r="A572" s="703"/>
      <c r="D572" s="567"/>
    </row>
    <row r="573">
      <c r="A573" s="703"/>
      <c r="D573" s="567"/>
    </row>
    <row r="574">
      <c r="A574" s="703"/>
      <c r="D574" s="567"/>
    </row>
    <row r="575">
      <c r="A575" s="703"/>
      <c r="D575" s="567"/>
    </row>
    <row r="576">
      <c r="A576" s="703"/>
      <c r="D576" s="567"/>
    </row>
    <row r="577">
      <c r="A577" s="703"/>
      <c r="D577" s="567"/>
    </row>
    <row r="578">
      <c r="A578" s="703"/>
      <c r="D578" s="567"/>
    </row>
    <row r="579">
      <c r="A579" s="703"/>
      <c r="D579" s="567"/>
    </row>
    <row r="580">
      <c r="A580" s="703"/>
      <c r="D580" s="567"/>
    </row>
    <row r="581">
      <c r="A581" s="703"/>
      <c r="D581" s="567"/>
    </row>
    <row r="582">
      <c r="A582" s="703"/>
      <c r="D582" s="567"/>
    </row>
    <row r="583">
      <c r="A583" s="703"/>
      <c r="D583" s="567"/>
    </row>
    <row r="584">
      <c r="A584" s="703"/>
      <c r="D584" s="567"/>
    </row>
    <row r="585">
      <c r="A585" s="703"/>
      <c r="D585" s="567"/>
    </row>
    <row r="586">
      <c r="A586" s="703"/>
      <c r="D586" s="567"/>
    </row>
    <row r="587">
      <c r="A587" s="703"/>
      <c r="D587" s="567"/>
    </row>
    <row r="588">
      <c r="A588" s="703"/>
      <c r="D588" s="567"/>
    </row>
    <row r="589">
      <c r="A589" s="703"/>
      <c r="D589" s="567"/>
    </row>
    <row r="590">
      <c r="A590" s="703"/>
      <c r="D590" s="567"/>
    </row>
    <row r="591">
      <c r="A591" s="703"/>
      <c r="D591" s="567"/>
    </row>
    <row r="592">
      <c r="A592" s="703"/>
      <c r="D592" s="567"/>
    </row>
    <row r="593">
      <c r="A593" s="703"/>
      <c r="D593" s="567"/>
    </row>
    <row r="594">
      <c r="A594" s="703"/>
      <c r="D594" s="567"/>
    </row>
    <row r="595">
      <c r="A595" s="703"/>
      <c r="D595" s="567"/>
    </row>
    <row r="596">
      <c r="A596" s="703"/>
      <c r="D596" s="567"/>
    </row>
    <row r="597">
      <c r="A597" s="703"/>
      <c r="D597" s="567"/>
    </row>
    <row r="598">
      <c r="A598" s="703"/>
      <c r="D598" s="567"/>
    </row>
    <row r="599">
      <c r="A599" s="703"/>
      <c r="D599" s="567"/>
    </row>
    <row r="600">
      <c r="A600" s="703"/>
      <c r="D600" s="567"/>
    </row>
    <row r="601">
      <c r="A601" s="703"/>
      <c r="D601" s="567"/>
    </row>
    <row r="602">
      <c r="A602" s="703"/>
      <c r="D602" s="567"/>
    </row>
    <row r="603">
      <c r="A603" s="703"/>
      <c r="D603" s="567"/>
    </row>
    <row r="604">
      <c r="A604" s="703"/>
      <c r="D604" s="567"/>
    </row>
    <row r="605">
      <c r="A605" s="703"/>
      <c r="D605" s="567"/>
    </row>
    <row r="606">
      <c r="A606" s="703"/>
      <c r="D606" s="567"/>
    </row>
    <row r="607">
      <c r="A607" s="703"/>
      <c r="D607" s="567"/>
    </row>
    <row r="608">
      <c r="A608" s="703"/>
      <c r="D608" s="567"/>
    </row>
    <row r="609">
      <c r="A609" s="703"/>
      <c r="D609" s="567"/>
    </row>
    <row r="610">
      <c r="A610" s="703"/>
      <c r="D610" s="567"/>
    </row>
    <row r="611">
      <c r="A611" s="703"/>
      <c r="D611" s="567"/>
    </row>
    <row r="612">
      <c r="A612" s="703"/>
      <c r="D612" s="567"/>
    </row>
    <row r="613">
      <c r="A613" s="703"/>
      <c r="D613" s="567"/>
    </row>
    <row r="614">
      <c r="A614" s="703"/>
      <c r="D614" s="567"/>
    </row>
    <row r="615">
      <c r="A615" s="703"/>
      <c r="D615" s="567"/>
    </row>
    <row r="616">
      <c r="A616" s="703"/>
      <c r="D616" s="567"/>
    </row>
    <row r="617">
      <c r="A617" s="703"/>
      <c r="D617" s="567"/>
    </row>
    <row r="618">
      <c r="A618" s="703"/>
      <c r="D618" s="567"/>
    </row>
    <row r="619">
      <c r="A619" s="703"/>
      <c r="D619" s="567"/>
    </row>
    <row r="620">
      <c r="A620" s="703"/>
      <c r="D620" s="567"/>
    </row>
    <row r="621">
      <c r="A621" s="703"/>
      <c r="D621" s="567"/>
    </row>
    <row r="622">
      <c r="A622" s="703"/>
      <c r="D622" s="567"/>
    </row>
    <row r="623">
      <c r="A623" s="703"/>
      <c r="D623" s="567"/>
    </row>
    <row r="624">
      <c r="A624" s="703"/>
      <c r="D624" s="567"/>
    </row>
    <row r="625">
      <c r="A625" s="703"/>
      <c r="D625" s="567"/>
    </row>
    <row r="626">
      <c r="A626" s="703"/>
      <c r="D626" s="567"/>
    </row>
    <row r="627">
      <c r="A627" s="703"/>
      <c r="D627" s="567"/>
    </row>
    <row r="628">
      <c r="A628" s="703"/>
      <c r="D628" s="567"/>
    </row>
    <row r="629">
      <c r="A629" s="703"/>
      <c r="D629" s="567"/>
    </row>
    <row r="630">
      <c r="A630" s="703"/>
      <c r="D630" s="567"/>
    </row>
    <row r="631">
      <c r="A631" s="703"/>
      <c r="D631" s="567"/>
    </row>
    <row r="632">
      <c r="A632" s="703"/>
      <c r="D632" s="567"/>
    </row>
    <row r="633">
      <c r="A633" s="703"/>
      <c r="D633" s="567"/>
    </row>
    <row r="634">
      <c r="A634" s="703"/>
      <c r="D634" s="567"/>
    </row>
    <row r="635">
      <c r="A635" s="703"/>
      <c r="D635" s="567"/>
    </row>
    <row r="636">
      <c r="A636" s="703"/>
      <c r="D636" s="567"/>
    </row>
    <row r="637">
      <c r="A637" s="703"/>
      <c r="D637" s="567"/>
    </row>
    <row r="638">
      <c r="A638" s="703"/>
      <c r="D638" s="567"/>
    </row>
    <row r="639">
      <c r="A639" s="703"/>
      <c r="D639" s="567"/>
    </row>
    <row r="640">
      <c r="A640" s="703"/>
      <c r="D640" s="567"/>
    </row>
    <row r="641">
      <c r="A641" s="703"/>
      <c r="D641" s="567"/>
    </row>
    <row r="642">
      <c r="A642" s="703"/>
      <c r="D642" s="567"/>
    </row>
    <row r="643">
      <c r="A643" s="703"/>
      <c r="D643" s="567"/>
    </row>
    <row r="644">
      <c r="A644" s="703"/>
      <c r="D644" s="567"/>
    </row>
    <row r="645">
      <c r="A645" s="703"/>
      <c r="D645" s="567"/>
    </row>
    <row r="646">
      <c r="A646" s="703"/>
      <c r="D646" s="567"/>
    </row>
    <row r="647">
      <c r="A647" s="703"/>
      <c r="D647" s="567"/>
    </row>
    <row r="648">
      <c r="A648" s="703"/>
      <c r="D648" s="567"/>
    </row>
    <row r="649">
      <c r="A649" s="703"/>
      <c r="D649" s="567"/>
    </row>
    <row r="650">
      <c r="A650" s="703"/>
      <c r="D650" s="567"/>
    </row>
    <row r="651">
      <c r="A651" s="703"/>
      <c r="D651" s="567"/>
    </row>
    <row r="652">
      <c r="A652" s="703"/>
      <c r="D652" s="567"/>
    </row>
    <row r="653">
      <c r="A653" s="703"/>
      <c r="D653" s="567"/>
    </row>
    <row r="654">
      <c r="A654" s="703"/>
      <c r="D654" s="567"/>
    </row>
    <row r="655">
      <c r="A655" s="703"/>
      <c r="D655" s="567"/>
    </row>
    <row r="656">
      <c r="A656" s="703"/>
      <c r="D656" s="567"/>
    </row>
    <row r="657">
      <c r="A657" s="703"/>
      <c r="D657" s="567"/>
    </row>
    <row r="658">
      <c r="A658" s="703"/>
      <c r="D658" s="567"/>
    </row>
    <row r="659">
      <c r="A659" s="703"/>
      <c r="D659" s="567"/>
    </row>
    <row r="660">
      <c r="A660" s="703"/>
      <c r="D660" s="567"/>
    </row>
    <row r="661">
      <c r="A661" s="703"/>
      <c r="D661" s="567"/>
    </row>
    <row r="662">
      <c r="A662" s="703"/>
      <c r="D662" s="567"/>
    </row>
    <row r="663">
      <c r="A663" s="703"/>
      <c r="D663" s="567"/>
    </row>
    <row r="664">
      <c r="A664" s="703"/>
      <c r="D664" s="567"/>
    </row>
    <row r="665">
      <c r="A665" s="703"/>
      <c r="D665" s="567"/>
    </row>
    <row r="666">
      <c r="A666" s="703"/>
      <c r="D666" s="567"/>
    </row>
    <row r="667">
      <c r="A667" s="703"/>
      <c r="D667" s="567"/>
    </row>
    <row r="668">
      <c r="A668" s="703"/>
      <c r="D668" s="567"/>
    </row>
    <row r="669">
      <c r="A669" s="703"/>
      <c r="D669" s="567"/>
    </row>
    <row r="670">
      <c r="A670" s="703"/>
      <c r="D670" s="567"/>
    </row>
    <row r="671">
      <c r="A671" s="703"/>
      <c r="D671" s="567"/>
    </row>
    <row r="672">
      <c r="A672" s="703"/>
      <c r="D672" s="567"/>
    </row>
    <row r="673">
      <c r="A673" s="703"/>
      <c r="D673" s="567"/>
    </row>
    <row r="674">
      <c r="A674" s="703"/>
      <c r="D674" s="567"/>
    </row>
    <row r="675">
      <c r="A675" s="703"/>
      <c r="D675" s="567"/>
    </row>
    <row r="676">
      <c r="A676" s="703"/>
      <c r="D676" s="567"/>
    </row>
    <row r="677">
      <c r="A677" s="703"/>
      <c r="D677" s="567"/>
    </row>
    <row r="678">
      <c r="A678" s="703"/>
      <c r="D678" s="567"/>
    </row>
    <row r="679">
      <c r="A679" s="703"/>
      <c r="D679" s="567"/>
    </row>
    <row r="680">
      <c r="A680" s="703"/>
      <c r="D680" s="567"/>
    </row>
    <row r="681">
      <c r="A681" s="703"/>
      <c r="D681" s="567"/>
    </row>
    <row r="682">
      <c r="A682" s="703"/>
      <c r="D682" s="567"/>
    </row>
    <row r="683">
      <c r="A683" s="703"/>
      <c r="D683" s="567"/>
    </row>
    <row r="684">
      <c r="A684" s="703"/>
      <c r="D684" s="567"/>
    </row>
    <row r="685">
      <c r="A685" s="703"/>
      <c r="D685" s="567"/>
    </row>
    <row r="686">
      <c r="A686" s="703"/>
      <c r="D686" s="567"/>
    </row>
    <row r="687">
      <c r="A687" s="703"/>
      <c r="D687" s="567"/>
    </row>
    <row r="688">
      <c r="A688" s="703"/>
      <c r="D688" s="567"/>
    </row>
    <row r="689">
      <c r="A689" s="703"/>
      <c r="D689" s="567"/>
    </row>
    <row r="690">
      <c r="A690" s="703"/>
      <c r="D690" s="567"/>
    </row>
    <row r="691">
      <c r="A691" s="703"/>
      <c r="D691" s="567"/>
    </row>
    <row r="692">
      <c r="A692" s="703"/>
      <c r="D692" s="567"/>
    </row>
    <row r="693">
      <c r="A693" s="703"/>
      <c r="D693" s="567"/>
    </row>
    <row r="694">
      <c r="A694" s="703"/>
      <c r="D694" s="567"/>
    </row>
    <row r="695">
      <c r="A695" s="703"/>
      <c r="D695" s="567"/>
    </row>
    <row r="696">
      <c r="A696" s="703"/>
      <c r="D696" s="567"/>
    </row>
    <row r="697">
      <c r="A697" s="703"/>
      <c r="D697" s="567"/>
    </row>
    <row r="698">
      <c r="A698" s="703"/>
      <c r="D698" s="567"/>
    </row>
    <row r="699">
      <c r="A699" s="703"/>
      <c r="D699" s="567"/>
    </row>
    <row r="700">
      <c r="A700" s="703"/>
      <c r="D700" s="567"/>
    </row>
    <row r="701">
      <c r="A701" s="703"/>
      <c r="D701" s="567"/>
    </row>
    <row r="702">
      <c r="A702" s="703"/>
      <c r="D702" s="567"/>
    </row>
    <row r="703">
      <c r="A703" s="703"/>
      <c r="D703" s="567"/>
    </row>
    <row r="704">
      <c r="A704" s="703"/>
      <c r="D704" s="567"/>
    </row>
    <row r="705">
      <c r="A705" s="703"/>
      <c r="D705" s="567"/>
    </row>
    <row r="706">
      <c r="A706" s="703"/>
      <c r="D706" s="567"/>
    </row>
    <row r="707">
      <c r="A707" s="703"/>
      <c r="D707" s="567"/>
    </row>
    <row r="708">
      <c r="A708" s="703"/>
      <c r="D708" s="567"/>
    </row>
    <row r="709">
      <c r="A709" s="703"/>
      <c r="D709" s="567"/>
    </row>
    <row r="710">
      <c r="A710" s="703"/>
      <c r="D710" s="567"/>
    </row>
    <row r="711">
      <c r="A711" s="703"/>
      <c r="D711" s="567"/>
    </row>
    <row r="712">
      <c r="A712" s="703"/>
      <c r="D712" s="567"/>
    </row>
    <row r="713">
      <c r="A713" s="703"/>
      <c r="D713" s="567"/>
    </row>
    <row r="714">
      <c r="A714" s="703"/>
      <c r="D714" s="567"/>
    </row>
    <row r="715">
      <c r="A715" s="703"/>
      <c r="D715" s="567"/>
    </row>
    <row r="716">
      <c r="A716" s="703"/>
      <c r="D716" s="567"/>
    </row>
    <row r="717">
      <c r="A717" s="703"/>
      <c r="D717" s="567"/>
    </row>
    <row r="718">
      <c r="A718" s="703"/>
      <c r="D718" s="567"/>
    </row>
    <row r="719">
      <c r="A719" s="703"/>
      <c r="D719" s="567"/>
    </row>
    <row r="720">
      <c r="A720" s="703"/>
      <c r="D720" s="567"/>
    </row>
    <row r="721">
      <c r="A721" s="703"/>
      <c r="D721" s="567"/>
    </row>
    <row r="722">
      <c r="A722" s="703"/>
      <c r="D722" s="567"/>
    </row>
    <row r="723">
      <c r="A723" s="703"/>
      <c r="D723" s="567"/>
    </row>
    <row r="724">
      <c r="A724" s="703"/>
      <c r="D724" s="567"/>
    </row>
    <row r="725">
      <c r="A725" s="703"/>
      <c r="D725" s="567"/>
    </row>
    <row r="726">
      <c r="A726" s="703"/>
      <c r="D726" s="567"/>
    </row>
    <row r="727">
      <c r="A727" s="703"/>
      <c r="D727" s="567"/>
    </row>
    <row r="728">
      <c r="A728" s="703"/>
      <c r="D728" s="567"/>
    </row>
    <row r="729">
      <c r="A729" s="703"/>
      <c r="D729" s="567"/>
    </row>
    <row r="730">
      <c r="A730" s="703"/>
      <c r="D730" s="567"/>
    </row>
    <row r="731">
      <c r="A731" s="703"/>
      <c r="D731" s="567"/>
    </row>
    <row r="732">
      <c r="A732" s="703"/>
      <c r="D732" s="567"/>
    </row>
    <row r="733">
      <c r="A733" s="703"/>
      <c r="D733" s="567"/>
    </row>
    <row r="734">
      <c r="A734" s="703"/>
      <c r="D734" s="567"/>
    </row>
    <row r="735">
      <c r="A735" s="703"/>
      <c r="D735" s="567"/>
    </row>
    <row r="736">
      <c r="A736" s="703"/>
      <c r="D736" s="567"/>
    </row>
    <row r="737">
      <c r="A737" s="703"/>
      <c r="D737" s="567"/>
    </row>
    <row r="738">
      <c r="A738" s="703"/>
      <c r="D738" s="567"/>
    </row>
    <row r="739">
      <c r="A739" s="703"/>
      <c r="D739" s="567"/>
    </row>
    <row r="740">
      <c r="A740" s="703"/>
      <c r="D740" s="567"/>
    </row>
    <row r="741">
      <c r="A741" s="703"/>
      <c r="D741" s="567"/>
    </row>
    <row r="742">
      <c r="A742" s="703"/>
      <c r="D742" s="567"/>
    </row>
    <row r="743">
      <c r="A743" s="703"/>
      <c r="D743" s="567"/>
    </row>
    <row r="744">
      <c r="A744" s="703"/>
      <c r="D744" s="567"/>
    </row>
    <row r="745">
      <c r="A745" s="703"/>
      <c r="D745" s="567"/>
    </row>
    <row r="746">
      <c r="A746" s="703"/>
      <c r="D746" s="567"/>
    </row>
    <row r="747">
      <c r="A747" s="703"/>
      <c r="D747" s="567"/>
    </row>
    <row r="748">
      <c r="A748" s="703"/>
      <c r="D748" s="567"/>
    </row>
    <row r="749">
      <c r="A749" s="703"/>
      <c r="D749" s="567"/>
    </row>
    <row r="750">
      <c r="A750" s="703"/>
      <c r="D750" s="567"/>
    </row>
    <row r="751">
      <c r="A751" s="703"/>
      <c r="D751" s="567"/>
    </row>
    <row r="752">
      <c r="A752" s="703"/>
      <c r="D752" s="567"/>
    </row>
    <row r="753">
      <c r="A753" s="703"/>
      <c r="D753" s="567"/>
    </row>
    <row r="754">
      <c r="A754" s="703"/>
      <c r="D754" s="567"/>
    </row>
    <row r="755">
      <c r="A755" s="703"/>
      <c r="D755" s="567"/>
    </row>
    <row r="756">
      <c r="A756" s="703"/>
      <c r="D756" s="567"/>
    </row>
    <row r="757">
      <c r="A757" s="703"/>
      <c r="D757" s="567"/>
    </row>
    <row r="758">
      <c r="A758" s="703"/>
      <c r="D758" s="567"/>
    </row>
    <row r="759">
      <c r="A759" s="703"/>
      <c r="D759" s="567"/>
    </row>
    <row r="760">
      <c r="A760" s="703"/>
      <c r="D760" s="567"/>
    </row>
    <row r="761">
      <c r="A761" s="703"/>
      <c r="D761" s="567"/>
    </row>
    <row r="762">
      <c r="A762" s="703"/>
      <c r="D762" s="567"/>
    </row>
    <row r="763">
      <c r="A763" s="703"/>
      <c r="D763" s="567"/>
    </row>
    <row r="764">
      <c r="A764" s="703"/>
      <c r="D764" s="567"/>
    </row>
    <row r="765">
      <c r="A765" s="703"/>
      <c r="D765" s="567"/>
    </row>
    <row r="766">
      <c r="A766" s="703"/>
      <c r="D766" s="567"/>
    </row>
    <row r="767">
      <c r="A767" s="703"/>
      <c r="D767" s="567"/>
    </row>
    <row r="768">
      <c r="A768" s="703"/>
      <c r="D768" s="567"/>
    </row>
    <row r="769">
      <c r="A769" s="703"/>
      <c r="D769" s="567"/>
    </row>
    <row r="770">
      <c r="A770" s="703"/>
      <c r="D770" s="567"/>
    </row>
    <row r="771">
      <c r="A771" s="703"/>
      <c r="D771" s="567"/>
    </row>
    <row r="772">
      <c r="A772" s="703"/>
      <c r="D772" s="567"/>
    </row>
    <row r="773">
      <c r="A773" s="703"/>
      <c r="D773" s="567"/>
    </row>
    <row r="774">
      <c r="A774" s="703"/>
      <c r="D774" s="567"/>
    </row>
    <row r="775">
      <c r="A775" s="703"/>
      <c r="D775" s="567"/>
    </row>
    <row r="776">
      <c r="A776" s="703"/>
      <c r="D776" s="567"/>
    </row>
    <row r="777">
      <c r="A777" s="703"/>
      <c r="D777" s="567"/>
    </row>
    <row r="778">
      <c r="A778" s="703"/>
      <c r="D778" s="567"/>
    </row>
    <row r="779">
      <c r="A779" s="703"/>
      <c r="D779" s="567"/>
    </row>
    <row r="780">
      <c r="A780" s="703"/>
      <c r="D780" s="567"/>
    </row>
    <row r="781">
      <c r="A781" s="703"/>
      <c r="D781" s="567"/>
    </row>
    <row r="782">
      <c r="A782" s="703"/>
      <c r="D782" s="567"/>
    </row>
    <row r="783">
      <c r="A783" s="703"/>
      <c r="D783" s="567"/>
    </row>
    <row r="784">
      <c r="A784" s="703"/>
      <c r="D784" s="567"/>
    </row>
    <row r="785">
      <c r="A785" s="703"/>
      <c r="D785" s="567"/>
    </row>
    <row r="786">
      <c r="A786" s="703"/>
      <c r="D786" s="567"/>
    </row>
    <row r="787">
      <c r="A787" s="703"/>
      <c r="D787" s="567"/>
    </row>
    <row r="788">
      <c r="A788" s="703"/>
      <c r="D788" s="567"/>
    </row>
    <row r="789">
      <c r="A789" s="703"/>
      <c r="D789" s="567"/>
    </row>
    <row r="790">
      <c r="A790" s="703"/>
      <c r="D790" s="567"/>
    </row>
    <row r="791">
      <c r="A791" s="703"/>
      <c r="D791" s="567"/>
    </row>
    <row r="792">
      <c r="A792" s="703"/>
      <c r="D792" s="567"/>
    </row>
    <row r="793">
      <c r="A793" s="703"/>
      <c r="D793" s="567"/>
    </row>
    <row r="794">
      <c r="A794" s="703"/>
      <c r="D794" s="567"/>
    </row>
    <row r="795">
      <c r="A795" s="703"/>
      <c r="D795" s="567"/>
    </row>
    <row r="796">
      <c r="A796" s="703"/>
      <c r="D796" s="567"/>
    </row>
    <row r="797">
      <c r="A797" s="703"/>
      <c r="D797" s="567"/>
    </row>
    <row r="798">
      <c r="A798" s="703"/>
      <c r="D798" s="567"/>
    </row>
    <row r="799">
      <c r="A799" s="703"/>
      <c r="D799" s="567"/>
    </row>
    <row r="800">
      <c r="A800" s="703"/>
      <c r="D800" s="567"/>
    </row>
    <row r="801">
      <c r="A801" s="703"/>
      <c r="D801" s="567"/>
    </row>
    <row r="802">
      <c r="A802" s="703"/>
      <c r="D802" s="567"/>
    </row>
    <row r="803">
      <c r="A803" s="703"/>
      <c r="D803" s="567"/>
    </row>
    <row r="804">
      <c r="A804" s="703"/>
      <c r="D804" s="567"/>
    </row>
    <row r="805">
      <c r="A805" s="703"/>
      <c r="D805" s="567"/>
    </row>
    <row r="806">
      <c r="A806" s="703"/>
      <c r="D806" s="567"/>
    </row>
    <row r="807">
      <c r="A807" s="703"/>
      <c r="D807" s="567"/>
    </row>
    <row r="808">
      <c r="A808" s="703"/>
      <c r="D808" s="567"/>
    </row>
    <row r="809">
      <c r="A809" s="703"/>
      <c r="D809" s="567"/>
    </row>
    <row r="810">
      <c r="A810" s="703"/>
      <c r="D810" s="567"/>
    </row>
    <row r="811">
      <c r="A811" s="703"/>
      <c r="D811" s="567"/>
    </row>
    <row r="812">
      <c r="A812" s="703"/>
      <c r="D812" s="567"/>
    </row>
    <row r="813">
      <c r="A813" s="703"/>
      <c r="D813" s="567"/>
    </row>
    <row r="814">
      <c r="A814" s="703"/>
      <c r="D814" s="567"/>
    </row>
    <row r="815">
      <c r="A815" s="703"/>
      <c r="D815" s="567"/>
    </row>
    <row r="816">
      <c r="A816" s="703"/>
      <c r="D816" s="567"/>
    </row>
    <row r="817">
      <c r="A817" s="703"/>
      <c r="D817" s="567"/>
    </row>
    <row r="818">
      <c r="A818" s="703"/>
      <c r="D818" s="567"/>
    </row>
    <row r="819">
      <c r="A819" s="703"/>
      <c r="D819" s="567"/>
    </row>
    <row r="820">
      <c r="A820" s="703"/>
      <c r="D820" s="567"/>
    </row>
    <row r="821">
      <c r="A821" s="703"/>
      <c r="D821" s="567"/>
    </row>
    <row r="822">
      <c r="A822" s="703"/>
      <c r="D822" s="567"/>
    </row>
    <row r="823">
      <c r="A823" s="703"/>
      <c r="D823" s="567"/>
    </row>
    <row r="824">
      <c r="A824" s="703"/>
      <c r="D824" s="567"/>
    </row>
    <row r="825">
      <c r="A825" s="703"/>
      <c r="D825" s="567"/>
    </row>
    <row r="826">
      <c r="A826" s="703"/>
      <c r="D826" s="567"/>
    </row>
    <row r="827">
      <c r="A827" s="703"/>
      <c r="D827" s="567"/>
    </row>
    <row r="828">
      <c r="A828" s="703"/>
      <c r="D828" s="567"/>
    </row>
    <row r="829">
      <c r="A829" s="703"/>
      <c r="D829" s="567"/>
    </row>
    <row r="830">
      <c r="A830" s="703"/>
      <c r="D830" s="567"/>
    </row>
    <row r="831">
      <c r="A831" s="703"/>
      <c r="D831" s="567"/>
    </row>
    <row r="832">
      <c r="A832" s="703"/>
      <c r="D832" s="567"/>
    </row>
    <row r="833">
      <c r="A833" s="703"/>
      <c r="D833" s="567"/>
    </row>
    <row r="834">
      <c r="A834" s="703"/>
      <c r="D834" s="567"/>
    </row>
    <row r="835">
      <c r="A835" s="703"/>
      <c r="D835" s="567"/>
    </row>
    <row r="836">
      <c r="A836" s="703"/>
      <c r="D836" s="567"/>
    </row>
    <row r="837">
      <c r="A837" s="703"/>
      <c r="D837" s="567"/>
    </row>
    <row r="838">
      <c r="A838" s="703"/>
      <c r="D838" s="567"/>
    </row>
    <row r="839">
      <c r="A839" s="703"/>
      <c r="D839" s="567"/>
    </row>
    <row r="840">
      <c r="A840" s="703"/>
      <c r="D840" s="567"/>
    </row>
    <row r="841">
      <c r="A841" s="703"/>
      <c r="D841" s="567"/>
    </row>
    <row r="842">
      <c r="A842" s="703"/>
      <c r="D842" s="567"/>
    </row>
    <row r="843">
      <c r="A843" s="703"/>
      <c r="D843" s="567"/>
    </row>
    <row r="844">
      <c r="A844" s="703"/>
      <c r="D844" s="567"/>
    </row>
    <row r="845">
      <c r="A845" s="703"/>
      <c r="D845" s="567"/>
    </row>
    <row r="846">
      <c r="A846" s="703"/>
      <c r="D846" s="567"/>
    </row>
    <row r="847">
      <c r="A847" s="703"/>
      <c r="D847" s="567"/>
    </row>
    <row r="848">
      <c r="A848" s="703"/>
      <c r="D848" s="567"/>
    </row>
    <row r="849">
      <c r="A849" s="703"/>
      <c r="D849" s="567"/>
    </row>
    <row r="850">
      <c r="A850" s="703"/>
      <c r="D850" s="567"/>
    </row>
    <row r="851">
      <c r="A851" s="703"/>
      <c r="D851" s="567"/>
    </row>
    <row r="852">
      <c r="A852" s="703"/>
      <c r="D852" s="567"/>
    </row>
    <row r="853">
      <c r="A853" s="703"/>
      <c r="D853" s="567"/>
    </row>
    <row r="854">
      <c r="A854" s="703"/>
      <c r="D854" s="567"/>
    </row>
  </sheetData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7.38"/>
  </cols>
  <sheetData>
    <row r="1">
      <c r="A1" s="167"/>
      <c r="B1" s="168" t="s">
        <v>55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</row>
    <row r="2">
      <c r="A2" s="169" t="s">
        <v>172</v>
      </c>
      <c r="B2" s="170" t="s">
        <v>174</v>
      </c>
      <c r="C2" s="171" t="s">
        <v>693</v>
      </c>
      <c r="D2" s="608" t="s">
        <v>694</v>
      </c>
      <c r="E2" s="608" t="s">
        <v>695</v>
      </c>
      <c r="F2" s="608" t="s">
        <v>179</v>
      </c>
      <c r="G2" s="608" t="s">
        <v>696</v>
      </c>
      <c r="H2" s="173" t="s">
        <v>697</v>
      </c>
      <c r="I2" s="174" t="s">
        <v>84</v>
      </c>
      <c r="J2" s="170" t="s">
        <v>698</v>
      </c>
      <c r="K2" s="175" t="s">
        <v>699</v>
      </c>
      <c r="L2" s="173" t="s">
        <v>89</v>
      </c>
      <c r="M2" s="783" t="s">
        <v>700</v>
      </c>
      <c r="N2" s="177" t="s">
        <v>701</v>
      </c>
      <c r="O2" s="177" t="s">
        <v>702</v>
      </c>
      <c r="P2" s="178" t="s">
        <v>90</v>
      </c>
      <c r="Q2" s="179" t="s">
        <v>703</v>
      </c>
    </row>
    <row r="3">
      <c r="A3" s="837" t="s">
        <v>1140</v>
      </c>
      <c r="B3" s="610">
        <f t="array" ref="B3">VLOOKUP($A3,LA_DEMO,2,FALSE)</f>
        <v>57576</v>
      </c>
      <c r="C3" s="704">
        <f>vlookup(A3,'LA Data'!$A$4:$B$70,2,FALSE)</f>
        <v>61</v>
      </c>
      <c r="D3" s="612">
        <f>iferror(vlookup(A3,'LA Data'!$A$304:$C$369,3,FALSE),"2")</f>
        <v>1.65</v>
      </c>
      <c r="E3" s="612" t="s">
        <v>63</v>
      </c>
      <c r="F3" s="612">
        <f>vlookup(A3,'LA Data'!$A$125:$B$191,2,FALSE)</f>
        <v>13</v>
      </c>
      <c r="G3" s="612" t="s">
        <v>63</v>
      </c>
      <c r="H3" s="671">
        <f>iferror(vlookup(A3,'LA Data'!$A$304:$C$369,2,FALSE),"NULL")</f>
        <v>37</v>
      </c>
      <c r="I3" s="614">
        <f>iferror(vlookup(A3,'LA Data'!$A$72:$B$123,2,FALSE),"NULL")</f>
        <v>8</v>
      </c>
      <c r="J3" s="614" t="s">
        <v>63</v>
      </c>
      <c r="K3" s="614" t="s">
        <v>63</v>
      </c>
      <c r="L3" s="838">
        <f>iferror(vlookup(A3,'LA Data'!$A$260:$B$302,2,FALSE),"NULL")</f>
        <v>13</v>
      </c>
      <c r="M3" s="614" t="s">
        <v>63</v>
      </c>
      <c r="N3" s="614" t="s">
        <v>63</v>
      </c>
      <c r="O3" s="614" t="s">
        <v>63</v>
      </c>
      <c r="P3" s="620">
        <f>ifna(vlookup(A3,'Population &amp; Church Numbers'!$A$1116:$D$1179,4,FALSE),"NULL")</f>
        <v>47</v>
      </c>
      <c r="Q3" s="674" t="s">
        <v>63</v>
      </c>
    </row>
    <row r="4">
      <c r="A4" s="837" t="s">
        <v>755</v>
      </c>
      <c r="B4" s="610">
        <f t="array" ref="B4">VLOOKUP($A4,LA_DEMO,2,FALSE)</f>
        <v>22750</v>
      </c>
      <c r="C4" s="704">
        <f>vlookup(A4,'LA Data'!$A$4:$B$70,2,FALSE)</f>
        <v>42</v>
      </c>
      <c r="D4" s="612">
        <f>iferror(vlookup(A4,'LA Data'!$A$304:$C$369,3,FALSE),"2")</f>
        <v>1.83</v>
      </c>
      <c r="E4" s="612" t="s">
        <v>63</v>
      </c>
      <c r="F4" s="612">
        <f>vlookup(A4,'LA Data'!$A$125:$B$191,2,FALSE)</f>
        <v>14</v>
      </c>
      <c r="G4" s="612" t="s">
        <v>63</v>
      </c>
      <c r="H4" s="671">
        <f>iferror(vlookup(A4,'LA Data'!$A$304:$C$369,2,FALSE),"NULL")</f>
        <v>12</v>
      </c>
      <c r="I4" s="614" t="str">
        <f>iferror(vlookup(A4,'LA Data'!$A$72:$B$123,2,FALSE),"NULL")</f>
        <v>NULL</v>
      </c>
      <c r="J4" s="614" t="s">
        <v>63</v>
      </c>
      <c r="K4" s="614" t="s">
        <v>63</v>
      </c>
      <c r="L4" s="838">
        <f>iferror(vlookup(A4,'LA Data'!$A$260:$B$302,2,FALSE),"NULL")</f>
        <v>9</v>
      </c>
      <c r="M4" s="614" t="s">
        <v>63</v>
      </c>
      <c r="N4" s="614" t="s">
        <v>63</v>
      </c>
      <c r="O4" s="614" t="s">
        <v>63</v>
      </c>
      <c r="P4" s="620">
        <f>ifna(vlookup(A4,'Population &amp; Church Numbers'!$A$1116:$D$1179,4,FALSE),"NULL")</f>
        <v>59</v>
      </c>
      <c r="Q4" s="674" t="s">
        <v>63</v>
      </c>
    </row>
    <row r="5">
      <c r="A5" s="837" t="s">
        <v>1141</v>
      </c>
      <c r="B5" s="610">
        <f t="array" ref="B5">VLOOKUP($A5,LA_DEMO,2,FALSE)</f>
        <v>126500</v>
      </c>
      <c r="C5" s="704">
        <f>vlookup(A5,'LA Data'!$A$4:$B$70,2,FALSE)</f>
        <v>98</v>
      </c>
      <c r="D5" s="612">
        <f>iferror(vlookup(A5,'LA Data'!$A$304:$C$369,3,FALSE),"2")</f>
        <v>1.41</v>
      </c>
      <c r="E5" s="612" t="s">
        <v>63</v>
      </c>
      <c r="F5" s="612">
        <f>vlookup(A5,'LA Data'!$A$125:$B$191,2,FALSE)</f>
        <v>42</v>
      </c>
      <c r="G5" s="612" t="s">
        <v>63</v>
      </c>
      <c r="H5" s="671">
        <f>iferror(vlookup(A5,'LA Data'!$A$304:$C$369,2,FALSE),"NULL")</f>
        <v>49</v>
      </c>
      <c r="I5" s="614">
        <f>iferror(vlookup(A5,'LA Data'!$A$72:$B$123,2,FALSE),"NULL")</f>
        <v>20</v>
      </c>
      <c r="J5" s="614" t="s">
        <v>63</v>
      </c>
      <c r="K5" s="614" t="s">
        <v>63</v>
      </c>
      <c r="L5" s="838">
        <f>iferror(vlookup(A5,'LA Data'!$A$260:$B$302,2,FALSE),"NULL")</f>
        <v>15</v>
      </c>
      <c r="M5" s="614" t="s">
        <v>63</v>
      </c>
      <c r="N5" s="614" t="s">
        <v>63</v>
      </c>
      <c r="O5" s="614" t="s">
        <v>63</v>
      </c>
      <c r="P5" s="620">
        <f>ifna(vlookup(A5,'Population &amp; Church Numbers'!$A$1116:$D$1179,4,FALSE),"NULL")</f>
        <v>83</v>
      </c>
      <c r="Q5" s="674" t="s">
        <v>63</v>
      </c>
    </row>
    <row r="6">
      <c r="A6" s="837" t="s">
        <v>1142</v>
      </c>
      <c r="B6" s="610">
        <f t="array" ref="B6">VLOOKUP($A6,LA_DEMO,2,FALSE)</f>
        <v>21039</v>
      </c>
      <c r="C6" s="704">
        <f>vlookup(A6,'LA Data'!$A$4:$B$70,2,FALSE)</f>
        <v>16</v>
      </c>
      <c r="D6" s="612">
        <f>iferror(vlookup(A6,'LA Data'!$A$304:$C$369,3,FALSE),"2")</f>
        <v>1.44</v>
      </c>
      <c r="E6" s="612" t="s">
        <v>63</v>
      </c>
      <c r="F6" s="612">
        <f>vlookup(A6,'LA Data'!$A$125:$B$191,2,FALSE)</f>
        <v>8</v>
      </c>
      <c r="G6" s="612" t="s">
        <v>63</v>
      </c>
      <c r="H6" s="671">
        <f>iferror(vlookup(A6,'LA Data'!$A$304:$C$369,2,FALSE),"NULL")</f>
        <v>9</v>
      </c>
      <c r="I6" s="614">
        <f>iferror(vlookup(A6,'LA Data'!$A$72:$B$123,2,FALSE),"NULL")</f>
        <v>4</v>
      </c>
      <c r="J6" s="614" t="s">
        <v>63</v>
      </c>
      <c r="K6" s="614" t="s">
        <v>63</v>
      </c>
      <c r="L6" s="838" t="str">
        <f>iferror(vlookup(A6,'LA Data'!$A$260:$B$302,2,FALSE),"NULL")</f>
        <v>NULL</v>
      </c>
      <c r="M6" s="614" t="s">
        <v>63</v>
      </c>
      <c r="N6" s="614" t="s">
        <v>63</v>
      </c>
      <c r="O6" s="614" t="s">
        <v>63</v>
      </c>
      <c r="P6" s="620">
        <f>ifna(vlookup(A6,'Population &amp; Church Numbers'!$A$1116:$D$1179,4,FALSE),"NULL")</f>
        <v>21</v>
      </c>
      <c r="Q6" s="674" t="s">
        <v>63</v>
      </c>
    </row>
    <row r="7">
      <c r="A7" s="837" t="s">
        <v>1143</v>
      </c>
      <c r="B7" s="610">
        <f t="array" ref="B7">VLOOKUP($A7,LA_DEMO,2,FALSE)</f>
        <v>39693</v>
      </c>
      <c r="C7" s="704">
        <f>vlookup(A7,'LA Data'!$A$4:$B$70,2,FALSE)</f>
        <v>80</v>
      </c>
      <c r="D7" s="612">
        <f>iferror(vlookup(A7,'LA Data'!$A$304:$C$369,3,FALSE),"2")</f>
        <v>2.23</v>
      </c>
      <c r="E7" s="612" t="s">
        <v>63</v>
      </c>
      <c r="F7" s="612">
        <f>vlookup(A7,'LA Data'!$A$125:$B$191,2,FALSE)</f>
        <v>38</v>
      </c>
      <c r="G7" s="612" t="s">
        <v>63</v>
      </c>
      <c r="H7" s="671">
        <f>iferror(vlookup(A7,'LA Data'!$A$304:$C$369,2,FALSE),"NULL")</f>
        <v>31</v>
      </c>
      <c r="I7" s="614">
        <f>iferror(vlookup(A7,'LA Data'!$A$72:$B$123,2,FALSE),"NULL")</f>
        <v>6</v>
      </c>
      <c r="J7" s="614" t="s">
        <v>63</v>
      </c>
      <c r="K7" s="614" t="s">
        <v>63</v>
      </c>
      <c r="L7" s="838" t="str">
        <f>iferror(vlookup(A7,'LA Data'!$A$260:$B$302,2,FALSE),"NULL")</f>
        <v>NULL</v>
      </c>
      <c r="M7" s="614" t="s">
        <v>63</v>
      </c>
      <c r="N7" s="614" t="s">
        <v>63</v>
      </c>
      <c r="O7" s="614" t="s">
        <v>63</v>
      </c>
      <c r="P7" s="620">
        <f>ifna(vlookup(A7,'Population &amp; Church Numbers'!$A$1116:$D$1179,4,FALSE),"NULL")</f>
        <v>44</v>
      </c>
      <c r="Q7" s="674" t="s">
        <v>63</v>
      </c>
    </row>
    <row r="8">
      <c r="A8" s="837" t="s">
        <v>1144</v>
      </c>
      <c r="B8" s="610">
        <f t="array" ref="B8">VLOOKUP($A8,LA_DEMO,2,FALSE)</f>
        <v>36549</v>
      </c>
      <c r="C8" s="704">
        <f>vlookup(A8,'LA Data'!$A$4:$B$70,2,FALSE)</f>
        <v>31</v>
      </c>
      <c r="D8" s="612">
        <f>iferror(vlookup(A8,'LA Data'!$A$304:$C$369,3,FALSE),"2")</f>
        <v>1.7</v>
      </c>
      <c r="E8" s="612" t="s">
        <v>63</v>
      </c>
      <c r="F8" s="612">
        <f>vlookup(A8,'LA Data'!$A$125:$B$191,2,FALSE)</f>
        <v>7</v>
      </c>
      <c r="G8" s="612" t="s">
        <v>63</v>
      </c>
      <c r="H8" s="671">
        <f>iferror(vlookup(A8,'LA Data'!$A$304:$C$369,2,FALSE),"NULL")</f>
        <v>33</v>
      </c>
      <c r="I8" s="614">
        <f>iferror(vlookup(A8,'LA Data'!$A$72:$B$123,2,FALSE),"NULL")</f>
        <v>3</v>
      </c>
      <c r="J8" s="614" t="s">
        <v>63</v>
      </c>
      <c r="K8" s="614" t="s">
        <v>63</v>
      </c>
      <c r="L8" s="838">
        <f>iferror(vlookup(A8,'LA Data'!$A$260:$B$302,2,FALSE),"NULL")</f>
        <v>10</v>
      </c>
      <c r="M8" s="614" t="s">
        <v>63</v>
      </c>
      <c r="N8" s="614" t="s">
        <v>63</v>
      </c>
      <c r="O8" s="614" t="s">
        <v>63</v>
      </c>
      <c r="P8" s="620">
        <f>ifna(vlookup(A8,'Population &amp; Church Numbers'!$A$1116:$D$1179,4,FALSE),"NULL")</f>
        <v>72</v>
      </c>
      <c r="Q8" s="674" t="s">
        <v>63</v>
      </c>
    </row>
    <row r="9">
      <c r="A9" s="837" t="s">
        <v>1145</v>
      </c>
      <c r="B9" s="610">
        <f t="array" ref="B9">VLOOKUP($A9,LA_DEMO,2,FALSE)</f>
        <v>12981</v>
      </c>
      <c r="C9" s="704">
        <f>vlookup(A9,'LA Data'!$A$4:$B$70,2,FALSE)</f>
        <v>28</v>
      </c>
      <c r="D9" s="612">
        <f>iferror(vlookup(A9,'LA Data'!$A$304:$C$369,3,FALSE),"2")</f>
        <v>1.86</v>
      </c>
      <c r="E9" s="612" t="s">
        <v>63</v>
      </c>
      <c r="F9" s="612">
        <f>vlookup(A9,'LA Data'!$A$125:$B$191,2,FALSE)</f>
        <v>12</v>
      </c>
      <c r="G9" s="612" t="s">
        <v>63</v>
      </c>
      <c r="H9" s="671">
        <f>iferror(vlookup(A9,'LA Data'!$A$304:$C$369,2,FALSE),"NULL")</f>
        <v>7</v>
      </c>
      <c r="I9" s="614">
        <f>iferror(vlookup(A9,'LA Data'!$A$72:$B$123,2,FALSE),"NULL")</f>
        <v>1</v>
      </c>
      <c r="J9" s="614" t="s">
        <v>63</v>
      </c>
      <c r="K9" s="614" t="s">
        <v>63</v>
      </c>
      <c r="L9" s="838" t="str">
        <f>iferror(vlookup(A9,'LA Data'!$A$260:$B$302,2,FALSE),"NULL")</f>
        <v>NULL</v>
      </c>
      <c r="M9" s="614" t="s">
        <v>63</v>
      </c>
      <c r="N9" s="614" t="s">
        <v>63</v>
      </c>
      <c r="O9" s="614" t="s">
        <v>63</v>
      </c>
      <c r="P9" s="620">
        <f>ifna(vlookup(A9,'Population &amp; Church Numbers'!$A$1116:$D$1179,4,FALSE),"NULL")</f>
        <v>51</v>
      </c>
      <c r="Q9" s="674" t="s">
        <v>63</v>
      </c>
    </row>
    <row r="10">
      <c r="A10" s="837" t="s">
        <v>1146</v>
      </c>
      <c r="B10" s="610">
        <f t="array" ref="B10">VLOOKUP($A10,LA_DEMO,2,FALSE)</f>
        <v>128746</v>
      </c>
      <c r="C10" s="704">
        <f>vlookup(A10,'LA Data'!$A$4:$B$70,2,FALSE)</f>
        <v>51</v>
      </c>
      <c r="D10" s="612">
        <f>iferror(vlookup(A10,'LA Data'!$A$304:$C$369,3,FALSE),"2")</f>
        <v>1.65</v>
      </c>
      <c r="E10" s="612" t="s">
        <v>63</v>
      </c>
      <c r="F10" s="612">
        <f>vlookup(A10,'LA Data'!$A$125:$B$191,2,FALSE)</f>
        <v>19</v>
      </c>
      <c r="G10" s="612" t="s">
        <v>63</v>
      </c>
      <c r="H10" s="671">
        <f>iferror(vlookup(A10,'LA Data'!$A$304:$C$369,2,FALSE),"NULL")</f>
        <v>52</v>
      </c>
      <c r="I10" s="614">
        <f>iferror(vlookup(A10,'LA Data'!$A$72:$B$123,2,FALSE),"NULL")</f>
        <v>7</v>
      </c>
      <c r="J10" s="614" t="s">
        <v>63</v>
      </c>
      <c r="K10" s="614" t="s">
        <v>63</v>
      </c>
      <c r="L10" s="838" t="str">
        <f>iferror(vlookup(A10,'LA Data'!$A$260:$B$302,2,FALSE),"NULL")</f>
        <v>NULL</v>
      </c>
      <c r="M10" s="614" t="s">
        <v>63</v>
      </c>
      <c r="N10" s="614" t="s">
        <v>63</v>
      </c>
      <c r="O10" s="614" t="s">
        <v>63</v>
      </c>
      <c r="P10" s="620">
        <f>ifna(vlookup(A10,'Population &amp; Church Numbers'!$A$1116:$D$1179,4,FALSE),"NULL")</f>
        <v>138</v>
      </c>
      <c r="Q10" s="674" t="s">
        <v>63</v>
      </c>
    </row>
    <row r="11">
      <c r="A11" s="837" t="s">
        <v>1147</v>
      </c>
      <c r="B11" s="610">
        <f t="array" ref="B11">VLOOKUP($A11,LA_DEMO,2,FALSE)</f>
        <v>237848</v>
      </c>
      <c r="C11" s="704">
        <f>vlookup(A11,'LA Data'!$A$4:$B$70,2,FALSE)</f>
        <v>221</v>
      </c>
      <c r="D11" s="612">
        <f>iferror(vlookup(A11,'LA Data'!$A$304:$C$369,3,FALSE),"2")</f>
        <v>1.74</v>
      </c>
      <c r="E11" s="612" t="s">
        <v>63</v>
      </c>
      <c r="F11" s="612">
        <f>vlookup(A11,'LA Data'!$A$125:$B$191,2,FALSE)</f>
        <v>81</v>
      </c>
      <c r="G11" s="612" t="s">
        <v>63</v>
      </c>
      <c r="H11" s="671">
        <f>iferror(vlookup(A11,'LA Data'!$A$304:$C$369,2,FALSE),"NULL")</f>
        <v>58</v>
      </c>
      <c r="I11" s="614">
        <f>iferror(vlookup(A11,'LA Data'!$A$72:$B$123,2,FALSE),"NULL")</f>
        <v>11</v>
      </c>
      <c r="J11" s="614" t="s">
        <v>63</v>
      </c>
      <c r="K11" s="614" t="s">
        <v>63</v>
      </c>
      <c r="L11" s="838">
        <f>iferror(vlookup(A11,'LA Data'!$A$260:$B$302,2,FALSE),"NULL")</f>
        <v>60</v>
      </c>
      <c r="M11" s="614" t="s">
        <v>63</v>
      </c>
      <c r="N11" s="614" t="s">
        <v>63</v>
      </c>
      <c r="O11" s="614" t="s">
        <v>63</v>
      </c>
      <c r="P11" s="620">
        <f>ifna(vlookup(A11,'Population &amp; Church Numbers'!$A$1116:$D$1179,4,FALSE),"NULL")</f>
        <v>395</v>
      </c>
      <c r="Q11" s="674" t="s">
        <v>63</v>
      </c>
    </row>
    <row r="12">
      <c r="A12" s="837" t="s">
        <v>1148</v>
      </c>
      <c r="B12" s="610">
        <f t="array" ref="B12">VLOOKUP($A12,LA_DEMO,2,FALSE)</f>
        <v>216785</v>
      </c>
      <c r="C12" s="704">
        <f>vlookup(A12,'LA Data'!$A$4:$B$70,2,FALSE)</f>
        <v>144</v>
      </c>
      <c r="D12" s="612">
        <f>iferror(vlookup(A12,'LA Data'!$A$304:$C$369,3,FALSE),"2")</f>
        <v>1.56</v>
      </c>
      <c r="E12" s="612" t="s">
        <v>63</v>
      </c>
      <c r="F12" s="612">
        <f>vlookup(A12,'LA Data'!$A$125:$B$191,2,FALSE)</f>
        <v>32</v>
      </c>
      <c r="G12" s="612" t="s">
        <v>63</v>
      </c>
      <c r="H12" s="671">
        <f>iferror(vlookup(A12,'LA Data'!$A$304:$C$369,2,FALSE),"NULL")</f>
        <v>115</v>
      </c>
      <c r="I12" s="614">
        <f>iferror(vlookup(A12,'LA Data'!$A$72:$B$123,2,FALSE),"NULL")</f>
        <v>15</v>
      </c>
      <c r="J12" s="614" t="s">
        <v>63</v>
      </c>
      <c r="K12" s="614" t="s">
        <v>63</v>
      </c>
      <c r="L12" s="838">
        <f>iferror(vlookup(A12,'LA Data'!$A$260:$B$302,2,FALSE),"NULL")</f>
        <v>25</v>
      </c>
      <c r="M12" s="614" t="s">
        <v>63</v>
      </c>
      <c r="N12" s="614" t="s">
        <v>63</v>
      </c>
      <c r="O12" s="614" t="s">
        <v>63</v>
      </c>
      <c r="P12" s="620">
        <f>ifna(vlookup(A12,'Population &amp; Church Numbers'!$A$1116:$D$1179,4,FALSE),"NULL")</f>
        <v>218</v>
      </c>
      <c r="Q12" s="674" t="s">
        <v>63</v>
      </c>
    </row>
    <row r="13">
      <c r="A13" s="837" t="s">
        <v>1034</v>
      </c>
      <c r="B13" s="610">
        <f t="array" ref="B13">VLOOKUP($A13,LA_DEMO,2,FALSE)</f>
        <v>9645</v>
      </c>
      <c r="C13" s="704">
        <f>vlookup(A13,'LA Data'!$A$4:$B$70,2,FALSE)</f>
        <v>16</v>
      </c>
      <c r="D13" s="612">
        <f>iferror(vlookup(A13,'LA Data'!$A$304:$C$369,3,FALSE),"2")</f>
        <v>1.6</v>
      </c>
      <c r="E13" s="612" t="s">
        <v>63</v>
      </c>
      <c r="F13" s="612">
        <f>vlookup(A13,'LA Data'!$A$125:$B$191,2,FALSE)</f>
        <v>2</v>
      </c>
      <c r="G13" s="612" t="s">
        <v>63</v>
      </c>
      <c r="H13" s="671">
        <f>iferror(vlookup(A13,'LA Data'!$A$304:$C$369,2,FALSE),"NULL")</f>
        <v>5</v>
      </c>
      <c r="I13" s="614">
        <f>iferror(vlookup(A13,'LA Data'!$A$72:$B$123,2,FALSE),"NULL")</f>
        <v>3</v>
      </c>
      <c r="J13" s="614" t="s">
        <v>63</v>
      </c>
      <c r="K13" s="614" t="s">
        <v>63</v>
      </c>
      <c r="L13" s="838" t="str">
        <f>iferror(vlookup(A13,'LA Data'!$A$260:$B$302,2,FALSE),"NULL")</f>
        <v>NULL</v>
      </c>
      <c r="M13" s="614" t="s">
        <v>63</v>
      </c>
      <c r="N13" s="614" t="s">
        <v>63</v>
      </c>
      <c r="O13" s="614" t="s">
        <v>63</v>
      </c>
      <c r="P13" s="620">
        <f>ifna(vlookup(A13,'Population &amp; Church Numbers'!$A$1116:$D$1179,4,FALSE),"NULL")</f>
        <v>22</v>
      </c>
      <c r="Q13" s="674" t="s">
        <v>63</v>
      </c>
    </row>
    <row r="14">
      <c r="A14" s="837" t="s">
        <v>1149</v>
      </c>
      <c r="B14" s="610">
        <f t="array" ref="B14">VLOOKUP($A14,LA_DEMO,2,FALSE)</f>
        <v>5617</v>
      </c>
      <c r="C14" s="704">
        <f>vlookup(A14,'LA Data'!$A$4:$B$70,2,FALSE)</f>
        <v>2</v>
      </c>
      <c r="D14" s="612">
        <f>iferror(vlookup(A14,'LA Data'!$A$304:$C$369,3,FALSE),"2")</f>
        <v>2</v>
      </c>
      <c r="E14" s="612" t="s">
        <v>63</v>
      </c>
      <c r="F14" s="612" t="s">
        <v>63</v>
      </c>
      <c r="G14" s="612" t="s">
        <v>63</v>
      </c>
      <c r="H14" s="671">
        <f>iferror(vlookup(A14,'LA Data'!$A$304:$C$369,2,FALSE),"NULL")</f>
        <v>1</v>
      </c>
      <c r="I14" s="614" t="str">
        <f>iferror(vlookup(A14,'LA Data'!$A$72:$B$123,2,FALSE),"NULL")</f>
        <v>NULL</v>
      </c>
      <c r="J14" s="614" t="s">
        <v>63</v>
      </c>
      <c r="K14" s="614" t="s">
        <v>63</v>
      </c>
      <c r="L14" s="838" t="str">
        <f>iferror(vlookup(A14,'LA Data'!$A$260:$B$302,2,FALSE),"NULL")</f>
        <v>NULL</v>
      </c>
      <c r="M14" s="614" t="s">
        <v>63</v>
      </c>
      <c r="N14" s="614" t="s">
        <v>63</v>
      </c>
      <c r="O14" s="614" t="s">
        <v>63</v>
      </c>
      <c r="P14" s="620">
        <f>ifna(vlookup(A14,'Population &amp; Church Numbers'!$A$1116:$D$1179,4,FALSE),"NULL")</f>
        <v>4</v>
      </c>
      <c r="Q14" s="674" t="s">
        <v>63</v>
      </c>
    </row>
    <row r="15">
      <c r="A15" s="837" t="s">
        <v>1150</v>
      </c>
      <c r="B15" s="610">
        <f t="array" ref="B15">VLOOKUP($A15,LA_DEMO,2,FALSE)</f>
        <v>8906</v>
      </c>
      <c r="C15" s="704">
        <f>vlookup(A15,'LA Data'!$A$4:$B$70,2,FALSE)</f>
        <v>17</v>
      </c>
      <c r="D15" s="612">
        <f>iferror(vlookup(A15,'LA Data'!$A$304:$C$369,3,FALSE),"2")</f>
        <v>0.5</v>
      </c>
      <c r="E15" s="612" t="s">
        <v>63</v>
      </c>
      <c r="F15" s="612">
        <f>vlookup(A15,'LA Data'!$A$125:$B$191,2,FALSE)</f>
        <v>3</v>
      </c>
      <c r="G15" s="612" t="s">
        <v>63</v>
      </c>
      <c r="H15" s="671">
        <f>iferror(vlookup(A15,'LA Data'!$A$304:$C$369,2,FALSE),"NULL")</f>
        <v>2</v>
      </c>
      <c r="I15" s="614" t="str">
        <f>iferror(vlookup(A15,'LA Data'!$A$72:$B$123,2,FALSE),"NULL")</f>
        <v>NULL</v>
      </c>
      <c r="J15" s="614" t="s">
        <v>63</v>
      </c>
      <c r="K15" s="614" t="s">
        <v>63</v>
      </c>
      <c r="L15" s="838">
        <f>iferror(vlookup(A15,'LA Data'!$A$260:$B$302,2,FALSE),"NULL")</f>
        <v>2</v>
      </c>
      <c r="M15" s="614" t="s">
        <v>63</v>
      </c>
      <c r="N15" s="614" t="s">
        <v>63</v>
      </c>
      <c r="O15" s="614" t="s">
        <v>63</v>
      </c>
      <c r="P15" s="620">
        <f>ifna(vlookup(A15,'Population &amp; Church Numbers'!$A$1116:$D$1179,4,FALSE),"NULL")</f>
        <v>24</v>
      </c>
      <c r="Q15" s="674" t="s">
        <v>63</v>
      </c>
    </row>
    <row r="16">
      <c r="A16" s="837" t="s">
        <v>1151</v>
      </c>
      <c r="B16" s="610">
        <f t="array" ref="B16">VLOOKUP($A16,LA_DEMO,2,FALSE)</f>
        <v>14170</v>
      </c>
      <c r="C16" s="704">
        <f>vlookup(A16,'LA Data'!$A$4:$B$70,2,FALSE)</f>
        <v>9</v>
      </c>
      <c r="D16" s="612">
        <f>iferror(vlookup(A16,'LA Data'!$A$304:$C$369,3,FALSE),"2")</f>
        <v>2.33</v>
      </c>
      <c r="E16" s="612" t="s">
        <v>63</v>
      </c>
      <c r="F16" s="612">
        <f>vlookup(A16,'LA Data'!$A$125:$B$191,2,FALSE)</f>
        <v>3</v>
      </c>
      <c r="G16" s="612" t="s">
        <v>63</v>
      </c>
      <c r="H16" s="671">
        <f>iferror(vlookup(A16,'LA Data'!$A$304:$C$369,2,FALSE),"NULL")</f>
        <v>9</v>
      </c>
      <c r="I16" s="614">
        <f>iferror(vlookup(A16,'LA Data'!$A$72:$B$123,2,FALSE),"NULL")</f>
        <v>1</v>
      </c>
      <c r="J16" s="614" t="s">
        <v>63</v>
      </c>
      <c r="K16" s="614" t="s">
        <v>63</v>
      </c>
      <c r="L16" s="838" t="str">
        <f>iferror(vlookup(A16,'LA Data'!$A$260:$B$302,2,FALSE),"NULL")</f>
        <v>NULL</v>
      </c>
      <c r="M16" s="614" t="s">
        <v>63</v>
      </c>
      <c r="N16" s="614" t="s">
        <v>63</v>
      </c>
      <c r="O16" s="614" t="s">
        <v>63</v>
      </c>
      <c r="P16" s="620">
        <f>ifna(vlookup(A16,'Population &amp; Church Numbers'!$A$1116:$D$1179,4,FALSE),"NULL")</f>
        <v>50</v>
      </c>
      <c r="Q16" s="674" t="s">
        <v>63</v>
      </c>
    </row>
    <row r="17">
      <c r="A17" s="837" t="s">
        <v>1152</v>
      </c>
      <c r="B17" s="610">
        <f t="array" ref="B17">VLOOKUP($A17,LA_DEMO,2,FALSE)</f>
        <v>18687</v>
      </c>
      <c r="C17" s="704">
        <f>vlookup(A17,'LA Data'!$A$4:$B$70,2,FALSE)</f>
        <v>13</v>
      </c>
      <c r="D17" s="612">
        <f>iferror(vlookup(A17,'LA Data'!$A$304:$C$369,3,FALSE),"2")</f>
        <v>2.5</v>
      </c>
      <c r="E17" s="612" t="s">
        <v>63</v>
      </c>
      <c r="F17" s="612">
        <f>vlookup(A17,'LA Data'!$A$125:$B$191,2,FALSE)</f>
        <v>8</v>
      </c>
      <c r="G17" s="612" t="s">
        <v>63</v>
      </c>
      <c r="H17" s="671">
        <f>iferror(vlookup(A17,'LA Data'!$A$304:$C$369,2,FALSE),"NULL")</f>
        <v>14</v>
      </c>
      <c r="I17" s="614">
        <f>iferror(vlookup(A17,'LA Data'!$A$72:$B$123,2,FALSE),"NULL")</f>
        <v>2</v>
      </c>
      <c r="J17" s="614" t="s">
        <v>63</v>
      </c>
      <c r="K17" s="614" t="s">
        <v>63</v>
      </c>
      <c r="L17" s="838">
        <f>iferror(vlookup(A17,'LA Data'!$A$260:$B$302,2,FALSE),"NULL")</f>
        <v>4</v>
      </c>
      <c r="M17" s="614" t="s">
        <v>63</v>
      </c>
      <c r="N17" s="614" t="s">
        <v>63</v>
      </c>
      <c r="O17" s="614" t="s">
        <v>63</v>
      </c>
      <c r="P17" s="620">
        <f>ifna(vlookup(A17,'Population &amp; Church Numbers'!$A$1116:$D$1179,4,FALSE),"NULL")</f>
        <v>45</v>
      </c>
      <c r="Q17" s="674" t="s">
        <v>63</v>
      </c>
    </row>
    <row r="18">
      <c r="A18" s="609" t="s">
        <v>2446</v>
      </c>
      <c r="B18" s="610">
        <f t="array" ref="B18">VLOOKUP($A18,LA_DEMO,2,FALSE)</f>
        <v>26812</v>
      </c>
      <c r="C18" s="704">
        <f>vlookup(A18,'LA Data'!$A$4:$B$70,2,FALSE)</f>
        <v>56</v>
      </c>
      <c r="D18" s="612">
        <f>iferror(vlookup(A18,'LA Data'!$A$304:$C$369,3,FALSE),"2")</f>
        <v>1.68</v>
      </c>
      <c r="E18" s="612" t="s">
        <v>63</v>
      </c>
      <c r="F18" s="612">
        <f>vlookup(A18,'LA Data'!$A$125:$B$191,2,FALSE)</f>
        <v>21</v>
      </c>
      <c r="G18" s="612" t="s">
        <v>63</v>
      </c>
      <c r="H18" s="671">
        <f>iferror(vlookup(A18,'LA Data'!$A$304:$C$369,2,FALSE),"NULL")</f>
        <v>22</v>
      </c>
      <c r="I18" s="614">
        <f>iferror(vlookup(A18,'LA Data'!$A$72:$B$123,2,FALSE),"NULL")</f>
        <v>4</v>
      </c>
      <c r="J18" s="614" t="s">
        <v>63</v>
      </c>
      <c r="K18" s="614" t="s">
        <v>63</v>
      </c>
      <c r="L18" s="838">
        <f>iferror(vlookup(A18,'LA Data'!$A$260:$B$302,2,FALSE),"NULL")</f>
        <v>1</v>
      </c>
      <c r="M18" s="614" t="s">
        <v>63</v>
      </c>
      <c r="N18" s="614" t="s">
        <v>63</v>
      </c>
      <c r="O18" s="614" t="s">
        <v>63</v>
      </c>
      <c r="P18" s="620">
        <f>ifna(vlookup(A18,'Population &amp; Church Numbers'!$A$1116:$D$1179,4,FALSE),"NULL")</f>
        <v>77</v>
      </c>
      <c r="Q18" s="674" t="s">
        <v>63</v>
      </c>
    </row>
    <row r="19">
      <c r="A19" s="837" t="s">
        <v>1153</v>
      </c>
      <c r="B19" s="610">
        <f t="array" ref="B19">VLOOKUP($A19,LA_DEMO,2,FALSE)</f>
        <v>456781</v>
      </c>
      <c r="C19" s="704">
        <f>vlookup(A19,'LA Data'!$A$4:$B$70,2,FALSE)</f>
        <v>360</v>
      </c>
      <c r="D19" s="612">
        <f>iferror(vlookup(A19,'LA Data'!$A$304:$C$369,3,FALSE),"2")</f>
        <v>1.68</v>
      </c>
      <c r="E19" s="612" t="s">
        <v>63</v>
      </c>
      <c r="F19" s="612">
        <f>vlookup(A19,'LA Data'!$A$125:$B$191,2,FALSE)</f>
        <v>136</v>
      </c>
      <c r="G19" s="612" t="s">
        <v>63</v>
      </c>
      <c r="H19" s="671">
        <f>iferror(vlookup(A19,'LA Data'!$A$304:$C$369,2,FALSE),"NULL")</f>
        <v>154</v>
      </c>
      <c r="I19" s="614">
        <f>iferror(vlookup(A19,'LA Data'!$A$72:$B$123,2,FALSE),"NULL")</f>
        <v>29</v>
      </c>
      <c r="J19" s="614" t="s">
        <v>63</v>
      </c>
      <c r="K19" s="614" t="s">
        <v>63</v>
      </c>
      <c r="L19" s="838">
        <f>iferror(vlookup(A19,'LA Data'!$A$260:$B$302,2,FALSE),"NULL")</f>
        <v>176</v>
      </c>
      <c r="M19" s="614" t="s">
        <v>63</v>
      </c>
      <c r="N19" s="614" t="s">
        <v>63</v>
      </c>
      <c r="O19" s="614" t="s">
        <v>63</v>
      </c>
      <c r="P19" s="620">
        <f>ifna(vlookup(A19,'Population &amp; Church Numbers'!$A$1116:$D$1179,4,FALSE),"NULL")</f>
        <v>378</v>
      </c>
      <c r="Q19" s="674" t="s">
        <v>63</v>
      </c>
    </row>
    <row r="20">
      <c r="A20" s="837" t="s">
        <v>1154</v>
      </c>
      <c r="B20" s="610">
        <f t="array" ref="B20">VLOOKUP($A20,LA_DEMO,2,FALSE)</f>
        <v>7459</v>
      </c>
      <c r="C20" s="704">
        <f>vlookup(A20,'LA Data'!$A$4:$B$70,2,FALSE)</f>
        <v>4</v>
      </c>
      <c r="D20" s="612">
        <f>iferror(vlookup(A20,'LA Data'!$A$304:$C$369,3,FALSE),"2")</f>
        <v>2.5</v>
      </c>
      <c r="E20" s="612" t="s">
        <v>63</v>
      </c>
      <c r="F20" s="612">
        <f>vlookup(A20,'LA Data'!$A$125:$B$191,2,FALSE)</f>
        <v>2</v>
      </c>
      <c r="G20" s="612" t="s">
        <v>63</v>
      </c>
      <c r="H20" s="671">
        <f>iferror(vlookup(A20,'LA Data'!$A$304:$C$369,2,FALSE),"NULL")</f>
        <v>2</v>
      </c>
      <c r="I20" s="614" t="str">
        <f>iferror(vlookup(A20,'LA Data'!$A$72:$B$123,2,FALSE),"NULL")</f>
        <v>NULL</v>
      </c>
      <c r="J20" s="614" t="s">
        <v>63</v>
      </c>
      <c r="K20" s="614" t="s">
        <v>63</v>
      </c>
      <c r="L20" s="838" t="str">
        <f>iferror(vlookup(A20,'LA Data'!$A$260:$B$302,2,FALSE),"NULL")</f>
        <v>NULL</v>
      </c>
      <c r="M20" s="614" t="s">
        <v>63</v>
      </c>
      <c r="N20" s="614" t="s">
        <v>63</v>
      </c>
      <c r="O20" s="614" t="s">
        <v>63</v>
      </c>
      <c r="P20" s="620">
        <f>ifna(vlookup(A20,'Population &amp; Church Numbers'!$A$1116:$D$1179,4,FALSE),"NULL")</f>
        <v>26</v>
      </c>
      <c r="Q20" s="674" t="s">
        <v>63</v>
      </c>
    </row>
    <row r="21">
      <c r="A21" s="837" t="s">
        <v>1155</v>
      </c>
      <c r="B21" s="610">
        <f t="array" ref="B21">VLOOKUP($A21,LA_DEMO,2,FALSE)</f>
        <v>19539</v>
      </c>
      <c r="C21" s="704">
        <f>vlookup(A21,'LA Data'!$A$4:$B$70,2,FALSE)</f>
        <v>21</v>
      </c>
      <c r="D21" s="612">
        <f>iferror(vlookup(A21,'LA Data'!$A$304:$C$369,3,FALSE),"2")</f>
        <v>2.43</v>
      </c>
      <c r="E21" s="612" t="s">
        <v>63</v>
      </c>
      <c r="F21" s="612">
        <f>vlookup(A21,'LA Data'!$A$125:$B$191,2,FALSE)</f>
        <v>14</v>
      </c>
      <c r="G21" s="612" t="s">
        <v>63</v>
      </c>
      <c r="H21" s="671">
        <f>iferror(vlookup(A21,'LA Data'!$A$304:$C$369,2,FALSE),"NULL")</f>
        <v>7</v>
      </c>
      <c r="I21" s="614">
        <f>iferror(vlookup(A21,'LA Data'!$A$72:$B$123,2,FALSE),"NULL")</f>
        <v>3</v>
      </c>
      <c r="J21" s="614" t="s">
        <v>63</v>
      </c>
      <c r="K21" s="614" t="s">
        <v>63</v>
      </c>
      <c r="L21" s="838">
        <f>iferror(vlookup(A21,'LA Data'!$A$260:$B$302,2,FALSE),"NULL")</f>
        <v>2</v>
      </c>
      <c r="M21" s="614" t="s">
        <v>63</v>
      </c>
      <c r="N21" s="614" t="s">
        <v>63</v>
      </c>
      <c r="O21" s="614" t="s">
        <v>63</v>
      </c>
      <c r="P21" s="620">
        <f>ifna(vlookup(A21,'Population &amp; Church Numbers'!$A$1116:$D$1179,4,FALSE),"NULL")</f>
        <v>51</v>
      </c>
      <c r="Q21" s="674" t="s">
        <v>63</v>
      </c>
    </row>
    <row r="22">
      <c r="A22" s="837" t="s">
        <v>1156</v>
      </c>
      <c r="B22" s="610">
        <f t="array" ref="B22">VLOOKUP($A22,LA_DEMO,2,FALSE)</f>
        <v>32350</v>
      </c>
      <c r="C22" s="704">
        <f>vlookup(A22,'LA Data'!$A$4:$B$70,2,FALSE)</f>
        <v>51</v>
      </c>
      <c r="D22" s="612">
        <f>iferror(vlookup(A22,'LA Data'!$A$304:$C$369,3,FALSE),"2")</f>
        <v>1.61</v>
      </c>
      <c r="E22" s="612" t="s">
        <v>63</v>
      </c>
      <c r="F22" s="612">
        <f>vlookup(A22,'LA Data'!$A$125:$B$191,2,FALSE)</f>
        <v>16</v>
      </c>
      <c r="G22" s="612" t="s">
        <v>63</v>
      </c>
      <c r="H22" s="671">
        <f>iferror(vlookup(A22,'LA Data'!$A$304:$C$369,2,FALSE),"NULL")</f>
        <v>18</v>
      </c>
      <c r="I22" s="614">
        <f>iferror(vlookup(A22,'LA Data'!$A$72:$B$123,2,FALSE),"NULL")</f>
        <v>4</v>
      </c>
      <c r="J22" s="614" t="s">
        <v>63</v>
      </c>
      <c r="K22" s="614" t="s">
        <v>63</v>
      </c>
      <c r="L22" s="838">
        <f>iferror(vlookup(A22,'LA Data'!$A$260:$B$302,2,FALSE),"NULL")</f>
        <v>4</v>
      </c>
      <c r="M22" s="614" t="s">
        <v>63</v>
      </c>
      <c r="N22" s="614" t="s">
        <v>63</v>
      </c>
      <c r="O22" s="614" t="s">
        <v>63</v>
      </c>
      <c r="P22" s="620">
        <f>ifna(vlookup(A22,'Population &amp; Church Numbers'!$A$1116:$D$1179,4,FALSE),"NULL")</f>
        <v>39</v>
      </c>
      <c r="Q22" s="674" t="s">
        <v>63</v>
      </c>
    </row>
    <row r="23">
      <c r="A23" s="837" t="s">
        <v>136</v>
      </c>
      <c r="B23" s="610">
        <f t="array" ref="B23">VLOOKUP($A23,LA_DEMO,2,FALSE)</f>
        <v>19774</v>
      </c>
      <c r="C23" s="704">
        <f>vlookup(A23,'LA Data'!$A$4:$B$70,2,FALSE)</f>
        <v>9</v>
      </c>
      <c r="D23" s="612">
        <f>iferror(vlookup(A23,'LA Data'!$A$304:$C$369,3,FALSE),"2")</f>
        <v>2.22</v>
      </c>
      <c r="E23" s="612" t="s">
        <v>63</v>
      </c>
      <c r="F23" s="612">
        <f>vlookup(A23,'LA Data'!$A$125:$B$191,2,FALSE)</f>
        <v>1</v>
      </c>
      <c r="G23" s="612" t="s">
        <v>63</v>
      </c>
      <c r="H23" s="671">
        <f>iferror(vlookup(A23,'LA Data'!$A$304:$C$369,2,FALSE),"NULL")</f>
        <v>9</v>
      </c>
      <c r="I23" s="614">
        <f>iferror(vlookup(A23,'LA Data'!$A$72:$B$123,2,FALSE),"NULL")</f>
        <v>3</v>
      </c>
      <c r="J23" s="614" t="s">
        <v>63</v>
      </c>
      <c r="K23" s="614" t="s">
        <v>63</v>
      </c>
      <c r="L23" s="838">
        <f>iferror(vlookup(A23,'LA Data'!$A$260:$B$302,2,FALSE),"NULL")</f>
        <v>9</v>
      </c>
      <c r="M23" s="614" t="s">
        <v>63</v>
      </c>
      <c r="N23" s="614" t="s">
        <v>63</v>
      </c>
      <c r="O23" s="614" t="s">
        <v>63</v>
      </c>
      <c r="P23" s="620">
        <f>ifna(vlookup(A23,'Population &amp; Church Numbers'!$A$1116:$D$1179,4,FALSE),"NULL")</f>
        <v>62</v>
      </c>
      <c r="Q23" s="674" t="s">
        <v>63</v>
      </c>
    </row>
    <row r="24">
      <c r="A24" s="837" t="s">
        <v>278</v>
      </c>
      <c r="B24" s="610">
        <f t="array" ref="B24">VLOOKUP($A24,LA_DEMO,2,FALSE)</f>
        <v>22169</v>
      </c>
      <c r="C24" s="704">
        <f>vlookup(A24,'LA Data'!$A$4:$B$70,2,FALSE)</f>
        <v>58</v>
      </c>
      <c r="D24" s="612">
        <f>iferror(vlookup(A24,'LA Data'!$A$304:$C$369,3,FALSE),"2")</f>
        <v>1.73</v>
      </c>
      <c r="E24" s="612" t="s">
        <v>63</v>
      </c>
      <c r="F24" s="612">
        <f>vlookup(A24,'LA Data'!$A$125:$B$191,2,FALSE)</f>
        <v>34</v>
      </c>
      <c r="G24" s="612" t="s">
        <v>63</v>
      </c>
      <c r="H24" s="671">
        <f>iferror(vlookup(A24,'LA Data'!$A$304:$C$369,2,FALSE),"NULL")</f>
        <v>30</v>
      </c>
      <c r="I24" s="614">
        <f>iferror(vlookup(A24,'LA Data'!$A$72:$B$123,2,FALSE),"NULL")</f>
        <v>10</v>
      </c>
      <c r="J24" s="614" t="s">
        <v>63</v>
      </c>
      <c r="K24" s="614" t="s">
        <v>63</v>
      </c>
      <c r="L24" s="838" t="str">
        <f>iferror(vlookup(A24,'LA Data'!$A$260:$B$302,2,FALSE),"NULL")</f>
        <v>NULL</v>
      </c>
      <c r="M24" s="614" t="s">
        <v>63</v>
      </c>
      <c r="N24" s="614" t="s">
        <v>63</v>
      </c>
      <c r="O24" s="614" t="s">
        <v>63</v>
      </c>
      <c r="P24" s="620">
        <f>ifna(vlookup(A24,'Population &amp; Church Numbers'!$A$1116:$D$1179,4,FALSE),"NULL")</f>
        <v>38</v>
      </c>
      <c r="Q24" s="674" t="s">
        <v>63</v>
      </c>
    </row>
    <row r="25">
      <c r="A25" s="837" t="s">
        <v>1157</v>
      </c>
      <c r="B25" s="610">
        <f t="array" ref="B25">VLOOKUP($A25,LA_DEMO,2,FALSE)</f>
        <v>69929</v>
      </c>
      <c r="C25" s="704">
        <f>vlookup(A25,'LA Data'!$A$4:$B$70,2,FALSE)</f>
        <v>49</v>
      </c>
      <c r="D25" s="612">
        <f>iferror(vlookup(A25,'LA Data'!$A$304:$C$369,3,FALSE),"2")</f>
        <v>1.61</v>
      </c>
      <c r="E25" s="612" t="s">
        <v>63</v>
      </c>
      <c r="F25" s="612">
        <f>vlookup(A25,'LA Data'!$A$125:$B$191,2,FALSE)</f>
        <v>12</v>
      </c>
      <c r="G25" s="612" t="s">
        <v>63</v>
      </c>
      <c r="H25" s="671">
        <f>iferror(vlookup(A25,'LA Data'!$A$304:$C$369,2,FALSE),"NULL")</f>
        <v>23</v>
      </c>
      <c r="I25" s="614">
        <f>iferror(vlookup(A25,'LA Data'!$A$72:$B$123,2,FALSE),"NULL")</f>
        <v>1</v>
      </c>
      <c r="J25" s="614" t="s">
        <v>63</v>
      </c>
      <c r="K25" s="614" t="s">
        <v>63</v>
      </c>
      <c r="L25" s="838">
        <f>iferror(vlookup(A25,'LA Data'!$A$260:$B$302,2,FALSE),"NULL")</f>
        <v>15</v>
      </c>
      <c r="M25" s="614" t="s">
        <v>63</v>
      </c>
      <c r="N25" s="614" t="s">
        <v>63</v>
      </c>
      <c r="O25" s="614" t="s">
        <v>63</v>
      </c>
      <c r="P25" s="620">
        <f>ifna(vlookup(A25,'Population &amp; Church Numbers'!$A$1116:$D$1179,4,FALSE),"NULL")</f>
        <v>55</v>
      </c>
      <c r="Q25" s="674" t="s">
        <v>63</v>
      </c>
    </row>
    <row r="26">
      <c r="A26" s="837" t="s">
        <v>1158</v>
      </c>
      <c r="B26" s="610">
        <f t="array" ref="B26">VLOOKUP($A26,LA_DEMO,2,FALSE)</f>
        <v>30241</v>
      </c>
      <c r="C26" s="704">
        <f>vlookup(A26,'LA Data'!$A$4:$B$70,2,FALSE)</f>
        <v>48</v>
      </c>
      <c r="D26" s="612">
        <f>iferror(vlookup(A26,'LA Data'!$A$304:$C$369,3,FALSE),"2")</f>
        <v>1.85</v>
      </c>
      <c r="E26" s="612" t="s">
        <v>63</v>
      </c>
      <c r="F26" s="612">
        <f>vlookup(A26,'LA Data'!$A$125:$B$191,2,FALSE)</f>
        <v>22</v>
      </c>
      <c r="G26" s="612" t="s">
        <v>63</v>
      </c>
      <c r="H26" s="671">
        <f>iferror(vlookup(A26,'LA Data'!$A$304:$C$369,2,FALSE),"NULL")</f>
        <v>13</v>
      </c>
      <c r="I26" s="614">
        <f>iferror(vlookup(A26,'LA Data'!$A$72:$B$123,2,FALSE),"NULL")</f>
        <v>5</v>
      </c>
      <c r="J26" s="614" t="s">
        <v>63</v>
      </c>
      <c r="K26" s="614" t="s">
        <v>63</v>
      </c>
      <c r="L26" s="838">
        <f>iferror(vlookup(A26,'LA Data'!$A$260:$B$302,2,FALSE),"NULL")</f>
        <v>1</v>
      </c>
      <c r="M26" s="614" t="s">
        <v>63</v>
      </c>
      <c r="N26" s="614" t="s">
        <v>63</v>
      </c>
      <c r="O26" s="614" t="s">
        <v>63</v>
      </c>
      <c r="P26" s="620">
        <f>ifna(vlookup(A26,'Population &amp; Church Numbers'!$A$1116:$D$1179,4,FALSE),"NULL")</f>
        <v>46</v>
      </c>
      <c r="Q26" s="674" t="s">
        <v>63</v>
      </c>
    </row>
    <row r="27">
      <c r="A27" s="837" t="s">
        <v>142</v>
      </c>
      <c r="B27" s="610">
        <f t="array" ref="B27">VLOOKUP($A27,LA_DEMO,2,FALSE)</f>
        <v>15031</v>
      </c>
      <c r="C27" s="704">
        <f>vlookup(A27,'LA Data'!$A$4:$B$70,2,FALSE)</f>
        <v>7</v>
      </c>
      <c r="D27" s="612">
        <f>iferror(vlookup(A27,'LA Data'!$A$304:$C$369,3,FALSE),"2")</f>
        <v>1</v>
      </c>
      <c r="E27" s="612" t="s">
        <v>63</v>
      </c>
      <c r="F27" s="612">
        <f>vlookup(A27,'LA Data'!$A$125:$B$191,2,FALSE)</f>
        <v>3</v>
      </c>
      <c r="G27" s="612" t="s">
        <v>63</v>
      </c>
      <c r="H27" s="671">
        <f>iferror(vlookup(A27,'LA Data'!$A$304:$C$369,2,FALSE),"NULL")</f>
        <v>7</v>
      </c>
      <c r="I27" s="614">
        <f>iferror(vlookup(A27,'LA Data'!$A$72:$B$123,2,FALSE),"NULL")</f>
        <v>1</v>
      </c>
      <c r="J27" s="614" t="s">
        <v>63</v>
      </c>
      <c r="K27" s="614" t="s">
        <v>63</v>
      </c>
      <c r="L27" s="838" t="str">
        <f>iferror(vlookup(A27,'LA Data'!$A$260:$B$302,2,FALSE),"NULL")</f>
        <v>NULL</v>
      </c>
      <c r="M27" s="614" t="s">
        <v>63</v>
      </c>
      <c r="N27" s="614" t="s">
        <v>63</v>
      </c>
      <c r="O27" s="614" t="s">
        <v>63</v>
      </c>
      <c r="P27" s="620">
        <f>ifna(vlookup(A27,'Population &amp; Church Numbers'!$A$1116:$D$1179,4,FALSE),"NULL")</f>
        <v>37</v>
      </c>
      <c r="Q27" s="674" t="s">
        <v>63</v>
      </c>
    </row>
    <row r="28">
      <c r="A28" s="837" t="s">
        <v>143</v>
      </c>
      <c r="B28" s="610">
        <f t="array" ref="B28">VLOOKUP($A28,LA_DEMO,2,FALSE)</f>
        <v>440781</v>
      </c>
      <c r="C28" s="704">
        <f>vlookup(A28,'LA Data'!$A$4:$B$70,2,FALSE)</f>
        <v>158</v>
      </c>
      <c r="D28" s="612">
        <f>iferror(vlookup(A28,'LA Data'!$A$304:$C$369,3,FALSE),"2")</f>
        <v>1.61</v>
      </c>
      <c r="E28" s="612" t="s">
        <v>63</v>
      </c>
      <c r="F28" s="612">
        <f>vlookup(A28,'LA Data'!$A$125:$B$191,2,FALSE)</f>
        <v>61</v>
      </c>
      <c r="G28" s="612" t="s">
        <v>63</v>
      </c>
      <c r="H28" s="671">
        <f>iferror(vlookup(A28,'LA Data'!$A$304:$C$369,2,FALSE),"NULL")</f>
        <v>44</v>
      </c>
      <c r="I28" s="614">
        <f>iferror(vlookup(A28,'LA Data'!$A$72:$B$123,2,FALSE),"NULL")</f>
        <v>17</v>
      </c>
      <c r="J28" s="614" t="s">
        <v>63</v>
      </c>
      <c r="K28" s="614" t="s">
        <v>63</v>
      </c>
      <c r="L28" s="838">
        <f>iferror(vlookup(A28,'LA Data'!$A$260:$B$302,2,FALSE),"NULL")</f>
        <v>93</v>
      </c>
      <c r="M28" s="614" t="s">
        <v>63</v>
      </c>
      <c r="N28" s="614" t="s">
        <v>63</v>
      </c>
      <c r="O28" s="614" t="s">
        <v>63</v>
      </c>
      <c r="P28" s="620">
        <f>ifna(vlookup(A28,'Population &amp; Church Numbers'!$A$1116:$D$1179,4,FALSE),"NULL")</f>
        <v>256</v>
      </c>
      <c r="Q28" s="674" t="s">
        <v>63</v>
      </c>
    </row>
    <row r="29">
      <c r="A29" s="837" t="s">
        <v>1159</v>
      </c>
      <c r="B29" s="610">
        <f t="array" ref="B29">VLOOKUP($A29,LA_DEMO,2,FALSE)</f>
        <v>32250</v>
      </c>
      <c r="C29" s="704">
        <f>vlookup(A29,'LA Data'!$A$4:$B$70,2,FALSE)</f>
        <v>29</v>
      </c>
      <c r="D29" s="612">
        <f>iferror(vlookup(A29,'LA Data'!$A$304:$C$369,3,FALSE),"2")</f>
        <v>1.42</v>
      </c>
      <c r="E29" s="612" t="s">
        <v>63</v>
      </c>
      <c r="F29" s="612">
        <f>vlookup(A29,'LA Data'!$A$125:$B$191,2,FALSE)</f>
        <v>6</v>
      </c>
      <c r="G29" s="612" t="s">
        <v>63</v>
      </c>
      <c r="H29" s="671">
        <f>iferror(vlookup(A29,'LA Data'!$A$304:$C$369,2,FALSE),"NULL")</f>
        <v>12</v>
      </c>
      <c r="I29" s="614" t="str">
        <f>iferror(vlookup(A29,'LA Data'!$A$72:$B$123,2,FALSE),"NULL")</f>
        <v>NULL</v>
      </c>
      <c r="J29" s="614" t="s">
        <v>63</v>
      </c>
      <c r="K29" s="614" t="s">
        <v>63</v>
      </c>
      <c r="L29" s="838">
        <f>iferror(vlookup(A29,'LA Data'!$A$260:$B$302,2,FALSE),"NULL")</f>
        <v>9</v>
      </c>
      <c r="M29" s="614" t="s">
        <v>63</v>
      </c>
      <c r="N29" s="614" t="s">
        <v>63</v>
      </c>
      <c r="O29" s="614" t="s">
        <v>63</v>
      </c>
      <c r="P29" s="620">
        <f>ifna(vlookup(A29,'Population &amp; Church Numbers'!$A$1116:$D$1179,4,FALSE),"NULL")</f>
        <v>51</v>
      </c>
      <c r="Q29" s="674" t="s">
        <v>63</v>
      </c>
    </row>
    <row r="30">
      <c r="A30" s="837" t="s">
        <v>289</v>
      </c>
      <c r="B30" s="610">
        <f t="array" ref="B30">VLOOKUP($A30,LA_DEMO,2,FALSE)</f>
        <v>241753</v>
      </c>
      <c r="C30" s="704">
        <f>vlookup(A30,'LA Data'!$A$4:$B$70,2,FALSE)</f>
        <v>276</v>
      </c>
      <c r="D30" s="612">
        <f>iferror(vlookup(A30,'LA Data'!$A$304:$C$369,3,FALSE),"2")</f>
        <v>1.7</v>
      </c>
      <c r="E30" s="612" t="s">
        <v>63</v>
      </c>
      <c r="F30" s="612">
        <f>vlookup(A30,'LA Data'!$A$125:$B$191,2,FALSE)</f>
        <v>62</v>
      </c>
      <c r="G30" s="612" t="s">
        <v>63</v>
      </c>
      <c r="H30" s="671">
        <f>iferror(vlookup(A30,'LA Data'!$A$304:$C$369,2,FALSE),"NULL")</f>
        <v>98</v>
      </c>
      <c r="I30" s="614">
        <f>iferror(vlookup(A30,'LA Data'!$A$72:$B$123,2,FALSE),"NULL")</f>
        <v>19</v>
      </c>
      <c r="J30" s="614" t="s">
        <v>63</v>
      </c>
      <c r="K30" s="614" t="s">
        <v>63</v>
      </c>
      <c r="L30" s="838">
        <f>iferror(vlookup(A30,'LA Data'!$A$260:$B$302,2,FALSE),"NULL")</f>
        <v>56</v>
      </c>
      <c r="M30" s="614" t="s">
        <v>63</v>
      </c>
      <c r="N30" s="614" t="s">
        <v>63</v>
      </c>
      <c r="O30" s="614" t="s">
        <v>63</v>
      </c>
      <c r="P30" s="620">
        <f>ifna(vlookup(A30,'Population &amp; Church Numbers'!$A$1116:$D$1179,4,FALSE),"NULL")</f>
        <v>118</v>
      </c>
      <c r="Q30" s="674" t="s">
        <v>63</v>
      </c>
    </row>
    <row r="31">
      <c r="A31" s="837" t="s">
        <v>1160</v>
      </c>
      <c r="B31" s="610">
        <f t="array" ref="B31">VLOOKUP($A31,LA_DEMO,2,FALSE)</f>
        <v>97557</v>
      </c>
      <c r="C31" s="704">
        <f>vlookup(A31,'LA Data'!$A$4:$B$70,2,FALSE)</f>
        <v>96</v>
      </c>
      <c r="D31" s="612">
        <f>iferror(vlookup(A31,'LA Data'!$A$304:$C$369,3,FALSE),"2")</f>
        <v>1.43</v>
      </c>
      <c r="E31" s="612" t="s">
        <v>63</v>
      </c>
      <c r="F31" s="612">
        <f>vlookup(A31,'LA Data'!$A$125:$B$191,2,FALSE)</f>
        <v>36</v>
      </c>
      <c r="G31" s="612" t="s">
        <v>63</v>
      </c>
      <c r="H31" s="671">
        <f>iferror(vlookup(A31,'LA Data'!$A$304:$C$369,2,FALSE),"NULL")</f>
        <v>28</v>
      </c>
      <c r="I31" s="614">
        <f>iferror(vlookup(A31,'LA Data'!$A$72:$B$123,2,FALSE),"NULL")</f>
        <v>10</v>
      </c>
      <c r="J31" s="614" t="s">
        <v>63</v>
      </c>
      <c r="K31" s="614" t="s">
        <v>63</v>
      </c>
      <c r="L31" s="838">
        <f>iferror(vlookup(A31,'LA Data'!$A$260:$B$302,2,FALSE),"NULL")</f>
        <v>40</v>
      </c>
      <c r="M31" s="614" t="s">
        <v>63</v>
      </c>
      <c r="N31" s="614" t="s">
        <v>63</v>
      </c>
      <c r="O31" s="614" t="s">
        <v>63</v>
      </c>
      <c r="P31" s="620">
        <f>ifna(vlookup(A31,'Population &amp; Church Numbers'!$A$1116:$D$1179,4,FALSE),"NULL")</f>
        <v>59</v>
      </c>
      <c r="Q31" s="674" t="s">
        <v>63</v>
      </c>
    </row>
    <row r="32">
      <c r="A32" s="837" t="s">
        <v>729</v>
      </c>
      <c r="B32" s="610">
        <f t="array" ref="B32">VLOOKUP($A32,LA_DEMO,2,FALSE)</f>
        <v>14791</v>
      </c>
      <c r="C32" s="704">
        <f>vlookup(A32,'LA Data'!$A$4:$B$70,2,FALSE)</f>
        <v>9</v>
      </c>
      <c r="D32" s="612">
        <f>iferror(vlookup(A32,'LA Data'!$A$304:$C$369,3,FALSE),"2")</f>
        <v>2.25</v>
      </c>
      <c r="E32" s="612" t="s">
        <v>63</v>
      </c>
      <c r="F32" s="612">
        <f>vlookup(A32,'LA Data'!$A$125:$B$191,2,FALSE)</f>
        <v>3</v>
      </c>
      <c r="G32" s="612" t="s">
        <v>63</v>
      </c>
      <c r="H32" s="671">
        <f>iferror(vlookup(A32,'LA Data'!$A$304:$C$369,2,FALSE),"NULL")</f>
        <v>4</v>
      </c>
      <c r="I32" s="614" t="str">
        <f>iferror(vlookup(A32,'LA Data'!$A$72:$B$123,2,FALSE),"NULL")</f>
        <v>NULL</v>
      </c>
      <c r="J32" s="614" t="s">
        <v>63</v>
      </c>
      <c r="K32" s="614" t="s">
        <v>63</v>
      </c>
      <c r="L32" s="838" t="str">
        <f>iferror(vlookup(A32,'LA Data'!$A$260:$B$302,2,FALSE),"NULL")</f>
        <v>NULL</v>
      </c>
      <c r="M32" s="614" t="s">
        <v>63</v>
      </c>
      <c r="N32" s="614" t="s">
        <v>63</v>
      </c>
      <c r="O32" s="614" t="s">
        <v>63</v>
      </c>
      <c r="P32" s="620">
        <f>ifna(vlookup(A32,'Population &amp; Church Numbers'!$A$1116:$D$1179,4,FALSE),"NULL")</f>
        <v>33</v>
      </c>
      <c r="Q32" s="674" t="s">
        <v>63</v>
      </c>
    </row>
    <row r="33">
      <c r="A33" s="837" t="s">
        <v>290</v>
      </c>
      <c r="B33" s="610">
        <f t="array" ref="B33">VLOOKUP($A33,LA_DEMO,2,FALSE)</f>
        <v>48396</v>
      </c>
      <c r="C33" s="704">
        <f>vlookup(A33,'LA Data'!$A$4:$B$70,2,FALSE)</f>
        <v>16</v>
      </c>
      <c r="D33" s="612">
        <f>iferror(vlookup(A33,'LA Data'!$A$304:$C$369,3,FALSE),"2")</f>
        <v>1.68</v>
      </c>
      <c r="E33" s="612" t="s">
        <v>63</v>
      </c>
      <c r="F33" s="612">
        <f>vlookup(A33,'LA Data'!$A$125:$B$191,2,FALSE)</f>
        <v>8</v>
      </c>
      <c r="G33" s="612" t="s">
        <v>63</v>
      </c>
      <c r="H33" s="671">
        <f>iferror(vlookup(A33,'LA Data'!$A$304:$C$369,2,FALSE),"NULL")</f>
        <v>25</v>
      </c>
      <c r="I33" s="614">
        <f>iferror(vlookup(A33,'LA Data'!$A$72:$B$123,2,FALSE),"NULL")</f>
        <v>9</v>
      </c>
      <c r="J33" s="614" t="s">
        <v>63</v>
      </c>
      <c r="K33" s="614" t="s">
        <v>63</v>
      </c>
      <c r="L33" s="838">
        <f>iferror(vlookup(A33,'LA Data'!$A$260:$B$302,2,FALSE),"NULL")</f>
        <v>19</v>
      </c>
      <c r="M33" s="614" t="s">
        <v>63</v>
      </c>
      <c r="N33" s="614" t="s">
        <v>63</v>
      </c>
      <c r="O33" s="614" t="s">
        <v>63</v>
      </c>
      <c r="P33" s="620">
        <f>ifna(vlookup(A33,'Population &amp; Church Numbers'!$A$1116:$D$1179,4,FALSE),"NULL")</f>
        <v>62</v>
      </c>
      <c r="Q33" s="674" t="s">
        <v>63</v>
      </c>
    </row>
    <row r="34">
      <c r="A34" s="837" t="s">
        <v>730</v>
      </c>
      <c r="B34" s="610">
        <f t="array" ref="B34">VLOOKUP($A34,LA_DEMO,2,FALSE)</f>
        <v>142282</v>
      </c>
      <c r="C34" s="704">
        <f>vlookup(A34,'LA Data'!$A$4:$B$70,2,FALSE)</f>
        <v>180</v>
      </c>
      <c r="D34" s="612">
        <f>iferror(vlookup(A34,'LA Data'!$A$304:$C$369,3,FALSE),"2")</f>
        <v>1.43</v>
      </c>
      <c r="E34" s="612" t="s">
        <v>63</v>
      </c>
      <c r="F34" s="612">
        <f>vlookup(A34,'LA Data'!$A$125:$B$191,2,FALSE)</f>
        <v>79</v>
      </c>
      <c r="G34" s="612" t="s">
        <v>63</v>
      </c>
      <c r="H34" s="671">
        <f>iferror(vlookup(A34,'LA Data'!$A$304:$C$369,2,FALSE),"NULL")</f>
        <v>65</v>
      </c>
      <c r="I34" s="614">
        <f>iferror(vlookup(A34,'LA Data'!$A$72:$B$123,2,FALSE),"NULL")</f>
        <v>12</v>
      </c>
      <c r="J34" s="614" t="s">
        <v>63</v>
      </c>
      <c r="K34" s="614" t="s">
        <v>63</v>
      </c>
      <c r="L34" s="838">
        <f>iferror(vlookup(A34,'LA Data'!$A$260:$B$302,2,FALSE),"NULL")</f>
        <v>39</v>
      </c>
      <c r="M34" s="614" t="s">
        <v>63</v>
      </c>
      <c r="N34" s="614" t="s">
        <v>63</v>
      </c>
      <c r="O34" s="614" t="s">
        <v>63</v>
      </c>
      <c r="P34" s="620">
        <f>ifna(vlookup(A34,'Population &amp; Church Numbers'!$A$1116:$D$1179,4,FALSE),"NULL")</f>
        <v>97</v>
      </c>
      <c r="Q34" s="674" t="s">
        <v>63</v>
      </c>
    </row>
    <row r="35">
      <c r="A35" s="837" t="s">
        <v>151</v>
      </c>
      <c r="B35" s="610">
        <f t="array" ref="B35">VLOOKUP($A35,LA_DEMO,2,FALSE)</f>
        <v>10017</v>
      </c>
      <c r="C35" s="704">
        <f>vlookup(A35,'LA Data'!$A$4:$B$70,2,FALSE)</f>
        <v>12</v>
      </c>
      <c r="D35" s="612" t="str">
        <f>iferror(vlookup(A35,'LA Data'!$A$304:$C$369,3,FALSE),"2")</f>
        <v>2</v>
      </c>
      <c r="E35" s="612" t="s">
        <v>63</v>
      </c>
      <c r="F35" s="612">
        <f>vlookup(A35,'LA Data'!$A$125:$B$191,2,FALSE)</f>
        <v>4</v>
      </c>
      <c r="G35" s="612" t="s">
        <v>63</v>
      </c>
      <c r="H35" s="671" t="str">
        <f>iferror(vlookup(A35,'LA Data'!$A$304:$C$369,2,FALSE),"NULL")</f>
        <v>NULL</v>
      </c>
      <c r="I35" s="614" t="str">
        <f>iferror(vlookup(A35,'LA Data'!$A$72:$B$123,2,FALSE),"NULL")</f>
        <v>NULL</v>
      </c>
      <c r="J35" s="614" t="s">
        <v>63</v>
      </c>
      <c r="K35" s="614" t="s">
        <v>63</v>
      </c>
      <c r="L35" s="838">
        <f>iferror(vlookup(A35,'LA Data'!$A$260:$B$302,2,FALSE),"NULL")</f>
        <v>16</v>
      </c>
      <c r="M35" s="614" t="s">
        <v>63</v>
      </c>
      <c r="N35" s="614" t="s">
        <v>63</v>
      </c>
      <c r="O35" s="614" t="s">
        <v>63</v>
      </c>
      <c r="P35" s="620">
        <f>ifna(vlookup(A35,'Population &amp; Church Numbers'!$A$1116:$D$1179,4,FALSE),"NULL")</f>
        <v>16</v>
      </c>
      <c r="Q35" s="674" t="s">
        <v>63</v>
      </c>
    </row>
    <row r="36">
      <c r="A36" s="837" t="s">
        <v>1161</v>
      </c>
      <c r="B36" s="610">
        <f t="array" ref="B36">VLOOKUP($A36,LA_DEMO,2,FALSE)</f>
        <v>25629</v>
      </c>
      <c r="C36" s="704">
        <f>vlookup(A36,'LA Data'!$A$4:$B$70,2,FALSE)</f>
        <v>32</v>
      </c>
      <c r="D36" s="612">
        <f>iferror(vlookup(A36,'LA Data'!$A$304:$C$369,3,FALSE),"2")</f>
        <v>1.4</v>
      </c>
      <c r="E36" s="612" t="s">
        <v>63</v>
      </c>
      <c r="F36" s="612">
        <f>vlookup(A36,'LA Data'!$A$125:$B$191,2,FALSE)</f>
        <v>9</v>
      </c>
      <c r="G36" s="612" t="s">
        <v>63</v>
      </c>
      <c r="H36" s="671">
        <f>iferror(vlookup(A36,'LA Data'!$A$304:$C$369,2,FALSE),"NULL")</f>
        <v>5</v>
      </c>
      <c r="I36" s="614" t="str">
        <f>iferror(vlookup(A36,'LA Data'!$A$72:$B$123,2,FALSE),"NULL")</f>
        <v>NULL</v>
      </c>
      <c r="J36" s="614" t="s">
        <v>63</v>
      </c>
      <c r="K36" s="614" t="s">
        <v>63</v>
      </c>
      <c r="L36" s="838">
        <f>iferror(vlookup(A36,'LA Data'!$A$260:$B$302,2,FALSE),"NULL")</f>
        <v>3</v>
      </c>
      <c r="M36" s="614" t="s">
        <v>63</v>
      </c>
      <c r="N36" s="614" t="s">
        <v>63</v>
      </c>
      <c r="O36" s="614" t="s">
        <v>63</v>
      </c>
      <c r="P36" s="620">
        <f>ifna(vlookup(A36,'Population &amp; Church Numbers'!$A$1116:$D$1179,4,FALSE),"NULL")</f>
        <v>74</v>
      </c>
      <c r="Q36" s="674" t="s">
        <v>63</v>
      </c>
    </row>
    <row r="37">
      <c r="A37" s="837" t="s">
        <v>1162</v>
      </c>
      <c r="B37" s="610">
        <f t="array" ref="B37">VLOOKUP($A37,LA_DEMO,2,FALSE)</f>
        <v>37515</v>
      </c>
      <c r="C37" s="704">
        <f>vlookup(A37,'LA Data'!$A$4:$B$70,2,FALSE)</f>
        <v>27</v>
      </c>
      <c r="D37" s="612">
        <f>iferror(vlookup(A37,'LA Data'!$A$304:$C$369,3,FALSE),"2")</f>
        <v>1.42</v>
      </c>
      <c r="E37" s="612" t="s">
        <v>63</v>
      </c>
      <c r="F37" s="612">
        <f>vlookup(A37,'LA Data'!$A$125:$B$191,2,FALSE)</f>
        <v>14</v>
      </c>
      <c r="G37" s="612" t="s">
        <v>63</v>
      </c>
      <c r="H37" s="671">
        <f>iferror(vlookup(A37,'LA Data'!$A$304:$C$369,2,FALSE),"NULL")</f>
        <v>12</v>
      </c>
      <c r="I37" s="614">
        <f>iferror(vlookup(A37,'LA Data'!$A$72:$B$123,2,FALSE),"NULL")</f>
        <v>3</v>
      </c>
      <c r="J37" s="614" t="s">
        <v>63</v>
      </c>
      <c r="K37" s="614" t="s">
        <v>63</v>
      </c>
      <c r="L37" s="838">
        <f>iferror(vlookup(A37,'LA Data'!$A$260:$B$302,2,FALSE),"NULL")</f>
        <v>6</v>
      </c>
      <c r="M37" s="614" t="s">
        <v>63</v>
      </c>
      <c r="N37" s="614" t="s">
        <v>63</v>
      </c>
      <c r="O37" s="614" t="s">
        <v>63</v>
      </c>
      <c r="P37" s="620">
        <f>ifna(vlookup(A37,'Population &amp; Church Numbers'!$A$1116:$D$1179,4,FALSE),"NULL")</f>
        <v>81</v>
      </c>
      <c r="Q37" s="674" t="s">
        <v>63</v>
      </c>
    </row>
    <row r="38">
      <c r="A38" s="837" t="s">
        <v>1163</v>
      </c>
      <c r="B38" s="610">
        <f t="array" ref="B38">VLOOKUP($A38,LA_DEMO,2,FALSE)</f>
        <v>383997</v>
      </c>
      <c r="C38" s="704">
        <f>vlookup(A38,'LA Data'!$A$4:$B$70,2,FALSE)</f>
        <v>91</v>
      </c>
      <c r="D38" s="612">
        <f>iferror(vlookup(A38,'LA Data'!$A$304:$C$369,3,FALSE),"2")</f>
        <v>1.58</v>
      </c>
      <c r="E38" s="612" t="s">
        <v>63</v>
      </c>
      <c r="F38" s="612">
        <f>vlookup(A38,'LA Data'!$A$125:$B$191,2,FALSE)</f>
        <v>39</v>
      </c>
      <c r="G38" s="612" t="s">
        <v>63</v>
      </c>
      <c r="H38" s="671">
        <f>iferror(vlookup(A38,'LA Data'!$A$304:$C$369,2,FALSE),"NULL")</f>
        <v>60</v>
      </c>
      <c r="I38" s="614">
        <f>iferror(vlookup(A38,'LA Data'!$A$72:$B$123,2,FALSE),"NULL")</f>
        <v>15</v>
      </c>
      <c r="J38" s="614" t="s">
        <v>63</v>
      </c>
      <c r="K38" s="614" t="s">
        <v>63</v>
      </c>
      <c r="L38" s="838">
        <f>iferror(vlookup(A38,'LA Data'!$A$260:$B$302,2,FALSE),"NULL")</f>
        <v>73</v>
      </c>
      <c r="M38" s="614" t="s">
        <v>63</v>
      </c>
      <c r="N38" s="614" t="s">
        <v>63</v>
      </c>
      <c r="O38" s="614" t="s">
        <v>63</v>
      </c>
      <c r="P38" s="620">
        <f>ifna(vlookup(A38,'Population &amp; Church Numbers'!$A$1116:$D$1179,4,FALSE),"NULL")</f>
        <v>344</v>
      </c>
      <c r="Q38" s="674" t="s">
        <v>63</v>
      </c>
    </row>
    <row r="39">
      <c r="A39" s="837" t="s">
        <v>298</v>
      </c>
      <c r="B39" s="610">
        <f t="array" ref="B39">VLOOKUP($A39,LA_DEMO,2,FALSE)</f>
        <v>160368</v>
      </c>
      <c r="C39" s="704">
        <f>vlookup(A39,'LA Data'!$A$4:$B$70,2,FALSE)</f>
        <v>315</v>
      </c>
      <c r="D39" s="612">
        <f>iferror(vlookup(A39,'LA Data'!$A$304:$C$369,3,FALSE),"2")</f>
        <v>1.64</v>
      </c>
      <c r="E39" s="612" t="s">
        <v>63</v>
      </c>
      <c r="F39" s="612">
        <f>vlookup(A39,'LA Data'!$A$125:$B$191,2,FALSE)</f>
        <v>90</v>
      </c>
      <c r="G39" s="612" t="s">
        <v>63</v>
      </c>
      <c r="H39" s="671">
        <f>iferror(vlookup(A39,'LA Data'!$A$304:$C$369,2,FALSE),"NULL")</f>
        <v>87</v>
      </c>
      <c r="I39" s="614">
        <f>iferror(vlookup(A39,'LA Data'!$A$72:$B$123,2,FALSE),"NULL")</f>
        <v>26</v>
      </c>
      <c r="J39" s="614" t="s">
        <v>63</v>
      </c>
      <c r="K39" s="614" t="s">
        <v>63</v>
      </c>
      <c r="L39" s="838">
        <f>iferror(vlookup(A39,'LA Data'!$A$260:$B$302,2,FALSE),"NULL")</f>
        <v>14</v>
      </c>
      <c r="M39" s="614" t="s">
        <v>63</v>
      </c>
      <c r="N39" s="614" t="s">
        <v>63</v>
      </c>
      <c r="O39" s="614" t="s">
        <v>63</v>
      </c>
      <c r="P39" s="620">
        <f>ifna(vlookup(A39,'Population &amp; Church Numbers'!$A$1116:$D$1179,4,FALSE),"NULL")</f>
        <v>219</v>
      </c>
      <c r="Q39" s="674" t="s">
        <v>63</v>
      </c>
    </row>
    <row r="40">
      <c r="A40" s="837" t="s">
        <v>1164</v>
      </c>
      <c r="B40" s="610">
        <f t="array" ref="B40">VLOOKUP($A40,LA_DEMO,2,FALSE)</f>
        <v>23515</v>
      </c>
      <c r="C40" s="704">
        <f>vlookup(A40,'LA Data'!$A$4:$B$70,2,FALSE)</f>
        <v>4</v>
      </c>
      <c r="D40" s="612">
        <f>iferror(vlookup(A40,'LA Data'!$A$304:$C$369,3,FALSE),"2")</f>
        <v>1.33</v>
      </c>
      <c r="E40" s="612" t="s">
        <v>63</v>
      </c>
      <c r="F40" s="612">
        <f>vlookup(A40,'LA Data'!$A$125:$B$191,2,FALSE)</f>
        <v>0</v>
      </c>
      <c r="G40" s="612" t="s">
        <v>63</v>
      </c>
      <c r="H40" s="671">
        <f>iferror(vlookup(A40,'LA Data'!$A$304:$C$369,2,FALSE),"NULL")</f>
        <v>3</v>
      </c>
      <c r="I40" s="614">
        <f>iferror(vlookup(A40,'LA Data'!$A$72:$B$123,2,FALSE),"NULL")</f>
        <v>1</v>
      </c>
      <c r="J40" s="614" t="s">
        <v>63</v>
      </c>
      <c r="K40" s="614" t="s">
        <v>63</v>
      </c>
      <c r="L40" s="838" t="str">
        <f>iferror(vlookup(A40,'LA Data'!$A$260:$B$302,2,FALSE),"NULL")</f>
        <v>NULL</v>
      </c>
      <c r="M40" s="614" t="s">
        <v>63</v>
      </c>
      <c r="N40" s="614" t="s">
        <v>63</v>
      </c>
      <c r="O40" s="614" t="s">
        <v>63</v>
      </c>
      <c r="P40" s="620">
        <f>ifna(vlookup(A40,'Population &amp; Church Numbers'!$A$1116:$D$1179,4,FALSE),"NULL")</f>
        <v>16</v>
      </c>
      <c r="Q40" s="674" t="s">
        <v>63</v>
      </c>
    </row>
    <row r="41">
      <c r="A41" s="837" t="s">
        <v>1165</v>
      </c>
      <c r="B41" s="610">
        <f t="array" ref="B41">VLOOKUP($A41,LA_DEMO,2,FALSE)</f>
        <v>20758</v>
      </c>
      <c r="C41" s="704">
        <f>vlookup(A41,'LA Data'!$A$4:$B$70,2,FALSE)</f>
        <v>18</v>
      </c>
      <c r="D41" s="612">
        <f>iferror(vlookup(A41,'LA Data'!$A$304:$C$369,3,FALSE),"2")</f>
        <v>1.5</v>
      </c>
      <c r="E41" s="612" t="s">
        <v>63</v>
      </c>
      <c r="F41" s="612">
        <f>vlookup(A41,'LA Data'!$A$125:$B$191,2,FALSE)</f>
        <v>8</v>
      </c>
      <c r="G41" s="612" t="s">
        <v>63</v>
      </c>
      <c r="H41" s="671">
        <f>iferror(vlookup(A41,'LA Data'!$A$304:$C$369,2,FALSE),"NULL")</f>
        <v>2</v>
      </c>
      <c r="I41" s="614">
        <f>iferror(vlookup(A41,'LA Data'!$A$72:$B$123,2,FALSE),"NULL")</f>
        <v>1</v>
      </c>
      <c r="J41" s="614" t="s">
        <v>63</v>
      </c>
      <c r="K41" s="614" t="s">
        <v>63</v>
      </c>
      <c r="L41" s="838" t="str">
        <f>iferror(vlookup(A41,'LA Data'!$A$260:$B$302,2,FALSE),"NULL")</f>
        <v>NULL</v>
      </c>
      <c r="M41" s="614" t="s">
        <v>63</v>
      </c>
      <c r="N41" s="614" t="s">
        <v>63</v>
      </c>
      <c r="O41" s="614" t="s">
        <v>63</v>
      </c>
      <c r="P41" s="620">
        <f>ifna(vlookup(A41,'Population &amp; Church Numbers'!$A$1116:$D$1179,4,FALSE),"NULL")</f>
        <v>24</v>
      </c>
      <c r="Q41" s="674" t="s">
        <v>63</v>
      </c>
    </row>
    <row r="42">
      <c r="A42" s="837" t="s">
        <v>1166</v>
      </c>
      <c r="B42" s="610">
        <f t="array" ref="B42">VLOOKUP($A42,LA_DEMO,2,FALSE)</f>
        <v>130023</v>
      </c>
      <c r="C42" s="704">
        <f>vlookup(A42,'LA Data'!$A$4:$B$70,2,FALSE)</f>
        <v>309</v>
      </c>
      <c r="D42" s="612">
        <f>iferror(vlookup(A42,'LA Data'!$A$304:$C$369,3,FALSE),"2")</f>
        <v>2.08</v>
      </c>
      <c r="E42" s="612" t="s">
        <v>63</v>
      </c>
      <c r="F42" s="612">
        <f>vlookup(A42,'LA Data'!$A$125:$B$191,2,FALSE)</f>
        <v>139</v>
      </c>
      <c r="G42" s="612" t="s">
        <v>63</v>
      </c>
      <c r="H42" s="671">
        <f>iferror(vlookup(A42,'LA Data'!$A$304:$C$369,2,FALSE),"NULL")</f>
        <v>101</v>
      </c>
      <c r="I42" s="614">
        <f>iferror(vlookup(A42,'LA Data'!$A$72:$B$123,2,FALSE),"NULL")</f>
        <v>23</v>
      </c>
      <c r="J42" s="614" t="s">
        <v>63</v>
      </c>
      <c r="K42" s="614" t="s">
        <v>63</v>
      </c>
      <c r="L42" s="838">
        <f>iferror(vlookup(A42,'LA Data'!$A$260:$B$302,2,FALSE),"NULL")</f>
        <v>57</v>
      </c>
      <c r="M42" s="614" t="s">
        <v>63</v>
      </c>
      <c r="N42" s="614" t="s">
        <v>63</v>
      </c>
      <c r="O42" s="614" t="s">
        <v>63</v>
      </c>
      <c r="P42" s="620">
        <f>ifna(vlookup(A42,'Population &amp; Church Numbers'!$A$1116:$D$1179,4,FALSE),"NULL")</f>
        <v>228</v>
      </c>
      <c r="Q42" s="674" t="s">
        <v>63</v>
      </c>
    </row>
    <row r="43">
      <c r="A43" s="837" t="s">
        <v>1167</v>
      </c>
      <c r="B43" s="610">
        <f t="array" ref="B43">VLOOKUP($A43,LA_DEMO,2,FALSE)</f>
        <v>7620</v>
      </c>
      <c r="C43" s="704">
        <f>vlookup(A43,'LA Data'!$A$4:$B$70,2,FALSE)</f>
        <v>10</v>
      </c>
      <c r="D43" s="612">
        <f>iferror(vlookup(A43,'LA Data'!$A$304:$C$369,3,FALSE),"2")</f>
        <v>1.5</v>
      </c>
      <c r="E43" s="612" t="s">
        <v>63</v>
      </c>
      <c r="F43" s="612">
        <f>vlookup(A43,'LA Data'!$A$125:$B$191,2,FALSE)</f>
        <v>7</v>
      </c>
      <c r="G43" s="612" t="s">
        <v>63</v>
      </c>
      <c r="H43" s="671">
        <f>iferror(vlookup(A43,'LA Data'!$A$304:$C$369,2,FALSE),"NULL")</f>
        <v>4</v>
      </c>
      <c r="I43" s="614" t="str">
        <f>iferror(vlookup(A43,'LA Data'!$A$72:$B$123,2,FALSE),"NULL")</f>
        <v>NULL</v>
      </c>
      <c r="J43" s="614" t="s">
        <v>63</v>
      </c>
      <c r="K43" s="614" t="s">
        <v>63</v>
      </c>
      <c r="L43" s="838" t="str">
        <f>iferror(vlookup(A43,'LA Data'!$A$260:$B$302,2,FALSE),"NULL")</f>
        <v>NULL</v>
      </c>
      <c r="M43" s="614" t="s">
        <v>63</v>
      </c>
      <c r="N43" s="614" t="s">
        <v>63</v>
      </c>
      <c r="O43" s="614" t="s">
        <v>63</v>
      </c>
      <c r="P43" s="620">
        <f>ifna(vlookup(A43,'Population &amp; Church Numbers'!$A$1116:$D$1179,4,FALSE),"NULL")</f>
        <v>22</v>
      </c>
      <c r="Q43" s="674" t="s">
        <v>63</v>
      </c>
    </row>
    <row r="44">
      <c r="A44" s="837" t="s">
        <v>743</v>
      </c>
      <c r="B44" s="610">
        <f t="array" ref="B44">VLOOKUP($A44,LA_DEMO,2,FALSE)</f>
        <v>20043</v>
      </c>
      <c r="C44" s="704">
        <f>vlookup(A44,'LA Data'!$A$4:$B$70,2,FALSE)</f>
        <v>11</v>
      </c>
      <c r="D44" s="612">
        <f>iferror(vlookup(A44,'LA Data'!$A$304:$C$369,3,FALSE),"2")</f>
        <v>1.69</v>
      </c>
      <c r="E44" s="612" t="s">
        <v>63</v>
      </c>
      <c r="F44" s="612">
        <f>vlookup(A44,'LA Data'!$A$125:$B$191,2,FALSE)</f>
        <v>2</v>
      </c>
      <c r="G44" s="612" t="s">
        <v>63</v>
      </c>
      <c r="H44" s="671">
        <f>iferror(vlookup(A44,'LA Data'!$A$304:$C$369,2,FALSE),"NULL")</f>
        <v>13</v>
      </c>
      <c r="I44" s="614">
        <f>iferror(vlookup(A44,'LA Data'!$A$72:$B$123,2,FALSE),"NULL")</f>
        <v>5</v>
      </c>
      <c r="J44" s="614" t="s">
        <v>63</v>
      </c>
      <c r="K44" s="614" t="s">
        <v>63</v>
      </c>
      <c r="L44" s="838" t="str">
        <f>iferror(vlookup(A44,'LA Data'!$A$260:$B$302,2,FALSE),"NULL")</f>
        <v>NULL</v>
      </c>
      <c r="M44" s="614" t="s">
        <v>63</v>
      </c>
      <c r="N44" s="614" t="s">
        <v>63</v>
      </c>
      <c r="O44" s="614" t="s">
        <v>63</v>
      </c>
      <c r="P44" s="620">
        <f>ifna(vlookup(A44,'Population &amp; Church Numbers'!$A$1116:$D$1179,4,FALSE),"NULL")</f>
        <v>49</v>
      </c>
      <c r="Q44" s="674" t="s">
        <v>63</v>
      </c>
    </row>
    <row r="45">
      <c r="A45" s="837" t="s">
        <v>1168</v>
      </c>
      <c r="B45" s="610">
        <f t="array" ref="B45">VLOOKUP($A45,LA_DEMO,2,FALSE)</f>
        <v>22155</v>
      </c>
      <c r="C45" s="704">
        <f>vlookup(A45,'LA Data'!$A$4:$B$70,2,FALSE)</f>
        <v>29</v>
      </c>
      <c r="D45" s="612">
        <f>iferror(vlookup(A45,'LA Data'!$A$304:$C$369,3,FALSE),"2")</f>
        <v>2.75</v>
      </c>
      <c r="E45" s="612" t="s">
        <v>63</v>
      </c>
      <c r="F45" s="612">
        <f>vlookup(A45,'LA Data'!$A$125:$B$191,2,FALSE)</f>
        <v>13</v>
      </c>
      <c r="G45" s="612" t="s">
        <v>63</v>
      </c>
      <c r="H45" s="671">
        <f>iferror(vlookup(A45,'LA Data'!$A$304:$C$369,2,FALSE),"NULL")</f>
        <v>4</v>
      </c>
      <c r="I45" s="614">
        <f>iferror(vlookup(A45,'LA Data'!$A$72:$B$123,2,FALSE),"NULL")</f>
        <v>1</v>
      </c>
      <c r="J45" s="614" t="s">
        <v>63</v>
      </c>
      <c r="K45" s="614" t="s">
        <v>63</v>
      </c>
      <c r="L45" s="838">
        <f>iferror(vlookup(A45,'LA Data'!$A$260:$B$302,2,FALSE),"NULL")</f>
        <v>5</v>
      </c>
      <c r="M45" s="614" t="s">
        <v>63</v>
      </c>
      <c r="N45" s="614" t="s">
        <v>63</v>
      </c>
      <c r="O45" s="614" t="s">
        <v>63</v>
      </c>
      <c r="P45" s="620">
        <f>ifna(vlookup(A45,'Population &amp; Church Numbers'!$A$1116:$D$1179,4,FALSE),"NULL")</f>
        <v>55</v>
      </c>
      <c r="Q45" s="674" t="s">
        <v>63</v>
      </c>
    </row>
    <row r="46">
      <c r="A46" s="609" t="s">
        <v>2824</v>
      </c>
      <c r="B46" s="610">
        <f t="array" ref="B46">VLOOKUP($A46,LA_DEMO,2,FALSE)</f>
        <v>43764</v>
      </c>
      <c r="C46" s="704">
        <f>vlookup(A46,'LA Data'!$A$4:$B$70,2,FALSE)</f>
        <v>14</v>
      </c>
      <c r="D46" s="612">
        <f>iferror(vlookup(A46,'LA Data'!$A$304:$C$369,3,FALSE),"2")</f>
        <v>1.57</v>
      </c>
      <c r="E46" s="612" t="s">
        <v>63</v>
      </c>
      <c r="F46" s="612">
        <f>vlookup(A46,'LA Data'!$A$125:$B$191,2,FALSE)</f>
        <v>1</v>
      </c>
      <c r="G46" s="612" t="s">
        <v>63</v>
      </c>
      <c r="H46" s="671">
        <f>iferror(vlookup(A46,'LA Data'!$A$304:$C$369,2,FALSE),"NULL")</f>
        <v>7</v>
      </c>
      <c r="I46" s="614" t="str">
        <f>iferror(vlookup(A46,'LA Data'!$A$72:$B$123,2,FALSE),"NULL")</f>
        <v>NULL</v>
      </c>
      <c r="J46" s="614" t="s">
        <v>63</v>
      </c>
      <c r="K46" s="614" t="s">
        <v>63</v>
      </c>
      <c r="L46" s="838" t="str">
        <f>iferror(vlookup(A46,'LA Data'!$A$260:$B$302,2,FALSE),"NULL")</f>
        <v>NULL</v>
      </c>
      <c r="M46" s="614" t="s">
        <v>63</v>
      </c>
      <c r="N46" s="614" t="s">
        <v>63</v>
      </c>
      <c r="O46" s="614" t="s">
        <v>63</v>
      </c>
      <c r="P46" s="620">
        <f>ifna(vlookup(A46,'Population &amp; Church Numbers'!$A$1116:$D$1179,4,FALSE),"NULL")</f>
        <v>20</v>
      </c>
      <c r="Q46" s="674" t="s">
        <v>63</v>
      </c>
    </row>
    <row r="47">
      <c r="A47" s="609" t="s">
        <v>2825</v>
      </c>
      <c r="B47" s="610">
        <f t="array" ref="B47">VLOOKUP($A47,LA_DEMO,2,FALSE)</f>
        <v>52549</v>
      </c>
      <c r="C47" s="704">
        <f>vlookup(A47,'LA Data'!$A$4:$B$70,2,FALSE)</f>
        <v>19</v>
      </c>
      <c r="D47" s="612">
        <f>iferror(vlookup(A47,'LA Data'!$A$304:$C$369,3,FALSE),"2")</f>
        <v>1.79</v>
      </c>
      <c r="E47" s="612" t="s">
        <v>63</v>
      </c>
      <c r="F47" s="612">
        <f>vlookup(A47,'LA Data'!$A$125:$B$191,2,FALSE)</f>
        <v>1</v>
      </c>
      <c r="G47" s="612" t="s">
        <v>63</v>
      </c>
      <c r="H47" s="671">
        <f>iferror(vlookup(A47,'LA Data'!$A$304:$C$369,2,FALSE),"NULL")</f>
        <v>14</v>
      </c>
      <c r="I47" s="614">
        <f>iferror(vlookup(A47,'LA Data'!$A$72:$B$123,2,FALSE),"NULL")</f>
        <v>5</v>
      </c>
      <c r="J47" s="614" t="s">
        <v>63</v>
      </c>
      <c r="K47" s="614" t="s">
        <v>63</v>
      </c>
      <c r="L47" s="838" t="str">
        <f>iferror(vlookup(A47,'LA Data'!$A$260:$B$302,2,FALSE),"NULL")</f>
        <v>NULL</v>
      </c>
      <c r="M47" s="614" t="s">
        <v>63</v>
      </c>
      <c r="N47" s="614" t="s">
        <v>63</v>
      </c>
      <c r="O47" s="614" t="s">
        <v>63</v>
      </c>
      <c r="P47" s="620">
        <f>ifna(vlookup(A47,'Population &amp; Church Numbers'!$A$1116:$D$1179,4,FALSE),"NULL")</f>
        <v>49</v>
      </c>
      <c r="Q47" s="674" t="s">
        <v>63</v>
      </c>
    </row>
    <row r="48">
      <c r="A48" s="609" t="s">
        <v>2826</v>
      </c>
      <c r="B48" s="610">
        <f t="array" ref="B48">VLOOKUP($A48,LA_DEMO,2,FALSE)</f>
        <v>10920</v>
      </c>
      <c r="C48" s="704">
        <f>vlookup(A48,'LA Data'!$A$4:$B$70,2,FALSE)</f>
        <v>3</v>
      </c>
      <c r="D48" s="612">
        <f>iferror(vlookup(A48,'LA Data'!$A$304:$C$369,3,FALSE),"2")</f>
        <v>2.33</v>
      </c>
      <c r="E48" s="612" t="s">
        <v>63</v>
      </c>
      <c r="F48" s="612">
        <f>vlookup(A48,'LA Data'!$A$125:$B$191,2,FALSE)</f>
        <v>1</v>
      </c>
      <c r="G48" s="612" t="s">
        <v>63</v>
      </c>
      <c r="H48" s="671">
        <f>iferror(vlookup(A48,'LA Data'!$A$304:$C$369,2,FALSE),"NULL")</f>
        <v>6</v>
      </c>
      <c r="I48" s="614">
        <f>iferror(vlookup(A48,'LA Data'!$A$72:$B$123,2,FALSE),"NULL")</f>
        <v>1</v>
      </c>
      <c r="J48" s="614" t="s">
        <v>63</v>
      </c>
      <c r="K48" s="614" t="s">
        <v>63</v>
      </c>
      <c r="L48" s="838" t="str">
        <f>iferror(vlookup(A48,'LA Data'!$A$260:$B$302,2,FALSE),"NULL")</f>
        <v>NULL</v>
      </c>
      <c r="M48" s="614" t="s">
        <v>63</v>
      </c>
      <c r="N48" s="614" t="s">
        <v>63</v>
      </c>
      <c r="O48" s="614" t="s">
        <v>63</v>
      </c>
      <c r="P48" s="620">
        <f>ifna(vlookup(A48,'Population &amp; Church Numbers'!$A$1116:$D$1179,4,FALSE),"NULL")</f>
        <v>23</v>
      </c>
      <c r="Q48" s="674" t="s">
        <v>63</v>
      </c>
    </row>
    <row r="49">
      <c r="A49" s="609" t="s">
        <v>2827</v>
      </c>
      <c r="B49" s="610">
        <f t="array" ref="B49">VLOOKUP($A49,LA_DEMO,2,FALSE)</f>
        <v>20192</v>
      </c>
      <c r="C49" s="704">
        <f>vlookup(A49,'LA Data'!$A$4:$B$70,2,FALSE)</f>
        <v>3</v>
      </c>
      <c r="D49" s="612">
        <f>iferror(vlookup(A49,'LA Data'!$A$304:$C$369,3,FALSE),"2")</f>
        <v>1.33</v>
      </c>
      <c r="E49" s="612" t="s">
        <v>63</v>
      </c>
      <c r="F49" s="612">
        <f>vlookup(A49,'LA Data'!$A$125:$B$191,2,FALSE)</f>
        <v>1</v>
      </c>
      <c r="G49" s="612" t="s">
        <v>63</v>
      </c>
      <c r="H49" s="671">
        <f>iferror(vlookup(A49,'LA Data'!$A$304:$C$369,2,FALSE),"NULL")</f>
        <v>3</v>
      </c>
      <c r="I49" s="614" t="str">
        <f>iferror(vlookup(A49,'LA Data'!$A$72:$B$123,2,FALSE),"NULL")</f>
        <v>NULL</v>
      </c>
      <c r="J49" s="614" t="s">
        <v>63</v>
      </c>
      <c r="K49" s="614" t="s">
        <v>63</v>
      </c>
      <c r="L49" s="838" t="str">
        <f>iferror(vlookup(A49,'LA Data'!$A$260:$B$302,2,FALSE),"NULL")</f>
        <v>NULL</v>
      </c>
      <c r="M49" s="614" t="s">
        <v>63</v>
      </c>
      <c r="N49" s="614" t="s">
        <v>63</v>
      </c>
      <c r="O49" s="614" t="s">
        <v>63</v>
      </c>
      <c r="P49" s="620">
        <f>ifna(vlookup(A49,'Population &amp; Church Numbers'!$A$1116:$D$1179,4,FALSE),"NULL")</f>
        <v>24</v>
      </c>
      <c r="Q49" s="674" t="s">
        <v>63</v>
      </c>
    </row>
    <row r="50">
      <c r="A50" s="609" t="s">
        <v>2828</v>
      </c>
      <c r="B50" s="610">
        <f t="array" ref="B50">VLOOKUP($A50,LA_DEMO,2,FALSE)</f>
        <v>42477</v>
      </c>
      <c r="C50" s="704">
        <f>vlookup(A50,'LA Data'!$A$4:$B$70,2,FALSE)</f>
        <v>16</v>
      </c>
      <c r="D50" s="612">
        <f>iferror(vlookup(A50,'LA Data'!$A$304:$C$369,3,FALSE),"2")</f>
        <v>1.27</v>
      </c>
      <c r="E50" s="612" t="s">
        <v>63</v>
      </c>
      <c r="F50" s="612">
        <f>vlookup(A50,'LA Data'!$A$125:$B$191,2,FALSE)</f>
        <v>8</v>
      </c>
      <c r="G50" s="612" t="s">
        <v>63</v>
      </c>
      <c r="H50" s="671">
        <f>iferror(vlookup(A50,'LA Data'!$A$304:$C$369,2,FALSE),"NULL")</f>
        <v>11</v>
      </c>
      <c r="I50" s="614">
        <f>iferror(vlookup(A50,'LA Data'!$A$72:$B$123,2,FALSE),"NULL")</f>
        <v>4</v>
      </c>
      <c r="J50" s="614" t="s">
        <v>63</v>
      </c>
      <c r="K50" s="614" t="s">
        <v>63</v>
      </c>
      <c r="L50" s="838">
        <f>iferror(vlookup(A50,'LA Data'!$A$260:$B$302,2,FALSE),"NULL")</f>
        <v>18</v>
      </c>
      <c r="M50" s="614" t="s">
        <v>63</v>
      </c>
      <c r="N50" s="614" t="s">
        <v>63</v>
      </c>
      <c r="O50" s="614" t="s">
        <v>63</v>
      </c>
      <c r="P50" s="620">
        <f>ifna(vlookup(A50,'Population &amp; Church Numbers'!$A$1116:$D$1179,4,FALSE),"NULL")</f>
        <v>45</v>
      </c>
      <c r="Q50" s="674" t="s">
        <v>63</v>
      </c>
    </row>
    <row r="51">
      <c r="A51" s="609" t="s">
        <v>2831</v>
      </c>
      <c r="B51" s="610">
        <f t="array" ref="B51">VLOOKUP($A51,LA_DEMO,2,FALSE)</f>
        <v>82540</v>
      </c>
      <c r="C51" s="907">
        <f>vlookup(A51,'LA Data'!$A$4:$B$70,2,FALSE)</f>
        <v>85</v>
      </c>
      <c r="D51" s="612">
        <f>iferror(vlookup(A51,'LA Data'!$A$304:$C$369,3,FALSE),"2")</f>
        <v>1.81</v>
      </c>
      <c r="E51" s="612" t="s">
        <v>63</v>
      </c>
      <c r="F51" s="612">
        <f>vlookup(A51,'LA Data'!$A$125:$B$191,2,FALSE)</f>
        <v>17</v>
      </c>
      <c r="G51" s="612" t="s">
        <v>63</v>
      </c>
      <c r="H51" s="671">
        <f>iferror(vlookup(A51,'LA Data'!$A$304:$C$369,2,FALSE),"NULL")</f>
        <v>57</v>
      </c>
      <c r="I51" s="614">
        <f>iferror(vlookup(A51,'LA Data'!$A$72:$B$123,2,FALSE),"NULL")</f>
        <v>13</v>
      </c>
      <c r="J51" s="614" t="s">
        <v>63</v>
      </c>
      <c r="K51" s="614" t="s">
        <v>63</v>
      </c>
      <c r="L51" s="838">
        <f>iferror(vlookup(A51,'LA Data'!$A$260:$B$302,2,FALSE),"NULL")</f>
        <v>13</v>
      </c>
      <c r="M51" s="614" t="s">
        <v>63</v>
      </c>
      <c r="N51" s="614" t="s">
        <v>63</v>
      </c>
      <c r="O51" s="614" t="s">
        <v>63</v>
      </c>
      <c r="P51" s="620">
        <f>ifna(vlookup(A51,'Population &amp; Church Numbers'!$A$1116:$D$1179,4,FALSE),"NULL")</f>
        <v>85</v>
      </c>
      <c r="Q51" s="674" t="s">
        <v>63</v>
      </c>
    </row>
    <row r="52">
      <c r="A52" s="609" t="s">
        <v>2837</v>
      </c>
      <c r="B52" s="610">
        <f t="array" ref="B52">VLOOKUP($A52,LA_DEMO,2,FALSE)</f>
        <v>51767</v>
      </c>
      <c r="C52" s="704">
        <f>vlookup(A52,'LA Data'!$A$4:$B$70,2,FALSE)</f>
        <v>16</v>
      </c>
      <c r="D52" s="612">
        <f>iferror(vlookup(A52,'LA Data'!$A$304:$C$369,3,FALSE),"2")</f>
        <v>1.39</v>
      </c>
      <c r="E52" s="612" t="s">
        <v>63</v>
      </c>
      <c r="F52" s="612">
        <f>vlookup(A52,'LA Data'!$A$125:$B$191,2,FALSE)</f>
        <v>3</v>
      </c>
      <c r="G52" s="612" t="s">
        <v>63</v>
      </c>
      <c r="H52" s="671">
        <f>iferror(vlookup(A52,'LA Data'!$A$304:$C$369,2,FALSE),"NULL")</f>
        <v>23</v>
      </c>
      <c r="I52" s="614">
        <f>iferror(vlookup(A52,'LA Data'!$A$72:$B$123,2,FALSE),"NULL")</f>
        <v>7</v>
      </c>
      <c r="J52" s="614" t="s">
        <v>63</v>
      </c>
      <c r="K52" s="614" t="s">
        <v>63</v>
      </c>
      <c r="L52" s="838">
        <f>iferror(vlookup(A52,'LA Data'!$A$260:$B$302,2,FALSE),"NULL")</f>
        <v>4</v>
      </c>
      <c r="M52" s="614" t="s">
        <v>63</v>
      </c>
      <c r="N52" s="614" t="s">
        <v>63</v>
      </c>
      <c r="O52" s="614" t="s">
        <v>63</v>
      </c>
      <c r="P52" s="620">
        <f>ifna(vlookup(A52,'Population &amp; Church Numbers'!$A$1116:$D$1179,4,FALSE),"NULL")</f>
        <v>20</v>
      </c>
      <c r="Q52" s="674" t="s">
        <v>63</v>
      </c>
    </row>
    <row r="53">
      <c r="A53" s="609" t="s">
        <v>2841</v>
      </c>
      <c r="B53" s="610">
        <f t="array" ref="B53">VLOOKUP($A53,LA_DEMO,2,FALSE)</f>
        <v>49406</v>
      </c>
      <c r="C53" s="704">
        <f>vlookup(A53,'LA Data'!$A$4:$B$70,2,FALSE)</f>
        <v>28</v>
      </c>
      <c r="D53" s="612">
        <f>iferror(vlookup(A53,'LA Data'!$A$304:$C$369,3,FALSE),"2")</f>
        <v>1.6</v>
      </c>
      <c r="E53" s="612" t="s">
        <v>63</v>
      </c>
      <c r="F53" s="612">
        <f>vlookup(A53,'LA Data'!$A$125:$B$191,2,FALSE)</f>
        <v>3</v>
      </c>
      <c r="G53" s="612" t="s">
        <v>63</v>
      </c>
      <c r="H53" s="671">
        <f>iferror(vlookup(A53,'LA Data'!$A$304:$C$369,2,FALSE),"NULL")</f>
        <v>20</v>
      </c>
      <c r="I53" s="614">
        <f>iferror(vlookup(A53,'LA Data'!$A$72:$B$123,2,FALSE),"NULL")</f>
        <v>5</v>
      </c>
      <c r="J53" s="614" t="s">
        <v>63</v>
      </c>
      <c r="K53" s="614" t="s">
        <v>63</v>
      </c>
      <c r="L53" s="838">
        <f>iferror(vlookup(A53,'LA Data'!$A$260:$B$302,2,FALSE),"NULL")</f>
        <v>7</v>
      </c>
      <c r="M53" s="614" t="s">
        <v>63</v>
      </c>
      <c r="N53" s="614" t="s">
        <v>63</v>
      </c>
      <c r="O53" s="614" t="s">
        <v>63</v>
      </c>
      <c r="P53" s="620">
        <f>ifna(vlookup(A53,'Population &amp; Church Numbers'!$A$1116:$D$1179,4,FALSE),"NULL")</f>
        <v>71</v>
      </c>
      <c r="Q53" s="674" t="s">
        <v>63</v>
      </c>
    </row>
    <row r="54">
      <c r="A54" s="609" t="s">
        <v>2854</v>
      </c>
      <c r="B54" s="610">
        <f t="array" ref="B54">VLOOKUP($A54,LA_DEMO,2,FALSE)</f>
        <v>264570</v>
      </c>
      <c r="C54" s="704">
        <f>vlookup(A54,'LA Data'!$A$4:$B$70,2,FALSE)</f>
        <v>124</v>
      </c>
      <c r="D54" s="612">
        <f>iferror(vlookup(A54,'LA Data'!$A$304:$C$369,3,FALSE),"2")</f>
        <v>1.43</v>
      </c>
      <c r="E54" s="612" t="s">
        <v>63</v>
      </c>
      <c r="F54" s="612">
        <f>vlookup(A54,'LA Data'!$A$125:$B$191,2,FALSE)</f>
        <v>29</v>
      </c>
      <c r="G54" s="612" t="s">
        <v>63</v>
      </c>
      <c r="H54" s="671">
        <f>iferror(vlookup(A54,'LA Data'!$A$304:$C$369,2,FALSE),"NULL")</f>
        <v>82</v>
      </c>
      <c r="I54" s="614">
        <f>iferror(vlookup(A54,'LA Data'!$A$72:$B$123,2,FALSE),"NULL")</f>
        <v>19</v>
      </c>
      <c r="J54" s="614" t="s">
        <v>63</v>
      </c>
      <c r="K54" s="614" t="s">
        <v>63</v>
      </c>
      <c r="L54" s="838">
        <f>iferror(vlookup(A54,'LA Data'!$A$260:$B$302,2,FALSE),"NULL")</f>
        <v>93</v>
      </c>
      <c r="M54" s="614" t="s">
        <v>63</v>
      </c>
      <c r="N54" s="614" t="s">
        <v>63</v>
      </c>
      <c r="O54" s="614" t="s">
        <v>63</v>
      </c>
      <c r="P54" s="620">
        <f>ifna(vlookup(A54,'Population &amp; Church Numbers'!$A$1116:$D$1179,4,FALSE),"NULL")</f>
        <v>173</v>
      </c>
      <c r="Q54" s="674" t="s">
        <v>63</v>
      </c>
    </row>
    <row r="55">
      <c r="A55" s="837" t="s">
        <v>1178</v>
      </c>
      <c r="B55" s="610">
        <f t="array" ref="B55">VLOOKUP($A55,LA_DEMO,2,FALSE)</f>
        <v>133157</v>
      </c>
      <c r="C55" s="704">
        <f>vlookup(A55,'LA Data'!$A$4:$B$70,2,FALSE)</f>
        <v>131</v>
      </c>
      <c r="D55" s="612">
        <f>iferror(vlookup(A55,'LA Data'!$A$304:$C$369,3,FALSE),"2")</f>
        <v>1.57</v>
      </c>
      <c r="E55" s="612" t="s">
        <v>63</v>
      </c>
      <c r="F55" s="612">
        <f>vlookup(A55,'LA Data'!$A$125:$B$191,2,FALSE)</f>
        <v>43</v>
      </c>
      <c r="G55" s="612" t="s">
        <v>63</v>
      </c>
      <c r="H55" s="671">
        <f>iferror(vlookup(A55,'LA Data'!$A$304:$C$369,2,FALSE),"NULL")</f>
        <v>60</v>
      </c>
      <c r="I55" s="614">
        <f>iferror(vlookup(A55,'LA Data'!$A$72:$B$123,2,FALSE),"NULL")</f>
        <v>14</v>
      </c>
      <c r="J55" s="614" t="s">
        <v>63</v>
      </c>
      <c r="K55" s="614" t="s">
        <v>63</v>
      </c>
      <c r="L55" s="838">
        <f>iferror(vlookup(A55,'LA Data'!$A$260:$B$302,2,FALSE),"NULL")</f>
        <v>68</v>
      </c>
      <c r="M55" s="614" t="s">
        <v>63</v>
      </c>
      <c r="N55" s="614" t="s">
        <v>63</v>
      </c>
      <c r="O55" s="614" t="s">
        <v>63</v>
      </c>
      <c r="P55" s="620">
        <f>ifna(vlookup(A55,'Population &amp; Church Numbers'!$A$1116:$D$1179,4,FALSE),"NULL")</f>
        <v>146</v>
      </c>
      <c r="Q55" s="674" t="s">
        <v>63</v>
      </c>
    </row>
    <row r="56">
      <c r="A56" s="837" t="s">
        <v>1179</v>
      </c>
      <c r="B56" s="610">
        <f t="array" ref="B56">VLOOKUP($A56,LA_DEMO,2,FALSE)</f>
        <v>4147</v>
      </c>
      <c r="C56" s="704">
        <f>vlookup(A56,'LA Data'!$A$4:$B$70,2,FALSE)</f>
        <v>6</v>
      </c>
      <c r="D56" s="612">
        <f>iferror(vlookup(A56,'LA Data'!$A$304:$C$369,3,FALSE),"2")</f>
        <v>2</v>
      </c>
      <c r="E56" s="612" t="s">
        <v>63</v>
      </c>
      <c r="F56" s="612">
        <f>vlookup(A56,'LA Data'!$A$125:$B$191,2,FALSE)</f>
        <v>4</v>
      </c>
      <c r="G56" s="612" t="s">
        <v>63</v>
      </c>
      <c r="H56" s="671">
        <f>iferror(vlookup(A56,'LA Data'!$A$304:$C$369,2,FALSE),"NULL")</f>
        <v>2</v>
      </c>
      <c r="I56" s="614" t="str">
        <f>iferror(vlookup(A56,'LA Data'!$A$72:$B$123,2,FALSE),"NULL")</f>
        <v>NULL</v>
      </c>
      <c r="J56" s="614" t="s">
        <v>63</v>
      </c>
      <c r="K56" s="614" t="s">
        <v>63</v>
      </c>
      <c r="L56" s="838" t="str">
        <f>iferror(vlookup(A56,'LA Data'!$A$260:$B$302,2,FALSE),"NULL")</f>
        <v>NULL</v>
      </c>
      <c r="M56" s="614" t="s">
        <v>63</v>
      </c>
      <c r="N56" s="614" t="s">
        <v>63</v>
      </c>
      <c r="O56" s="614" t="s">
        <v>63</v>
      </c>
      <c r="P56" s="620">
        <f>ifna(vlookup(A56,'Population &amp; Church Numbers'!$A$1116:$D$1179,4,FALSE),"NULL")</f>
        <v>10</v>
      </c>
      <c r="Q56" s="674" t="s">
        <v>63</v>
      </c>
    </row>
    <row r="57">
      <c r="A57" s="837" t="s">
        <v>1180</v>
      </c>
      <c r="B57" s="610">
        <f t="array" ref="B57">VLOOKUP($A57,LA_DEMO,2,FALSE)</f>
        <v>109580</v>
      </c>
      <c r="C57" s="704">
        <f>vlookup(A57,'LA Data'!$A$4:$B$70,2,FALSE)</f>
        <v>240</v>
      </c>
      <c r="D57" s="612">
        <f>iferror(vlookup(A57,'LA Data'!$A$304:$C$369,3,FALSE),"2")</f>
        <v>1.91</v>
      </c>
      <c r="E57" s="612" t="s">
        <v>63</v>
      </c>
      <c r="F57" s="612">
        <f>vlookup(A57,'LA Data'!$A$125:$B$191,2,FALSE)</f>
        <v>121</v>
      </c>
      <c r="G57" s="612" t="s">
        <v>63</v>
      </c>
      <c r="H57" s="671">
        <f>iferror(vlookup(A57,'LA Data'!$A$304:$C$369,2,FALSE),"NULL")</f>
        <v>44</v>
      </c>
      <c r="I57" s="614">
        <f>iferror(vlookup(A57,'LA Data'!$A$72:$B$123,2,FALSE),"NULL")</f>
        <v>18</v>
      </c>
      <c r="J57" s="614" t="s">
        <v>63</v>
      </c>
      <c r="K57" s="614" t="s">
        <v>63</v>
      </c>
      <c r="L57" s="838">
        <f>iferror(vlookup(A57,'LA Data'!$A$260:$B$302,2,FALSE),"NULL")</f>
        <v>24</v>
      </c>
      <c r="M57" s="614" t="s">
        <v>63</v>
      </c>
      <c r="N57" s="614" t="s">
        <v>63</v>
      </c>
      <c r="O57" s="614" t="s">
        <v>63</v>
      </c>
      <c r="P57" s="620">
        <f>ifna(vlookup(A57,'Population &amp; Church Numbers'!$A$1116:$D$1179,4,FALSE),"NULL")</f>
        <v>78</v>
      </c>
      <c r="Q57" s="674" t="s">
        <v>63</v>
      </c>
    </row>
    <row r="58">
      <c r="A58" s="837" t="s">
        <v>316</v>
      </c>
      <c r="B58" s="610">
        <f t="array" ref="B58">VLOOKUP($A58,LA_DEMO,2,FALSE)</f>
        <v>21107</v>
      </c>
      <c r="C58" s="704">
        <f>vlookup(A58,'LA Data'!$A$4:$B$70,2,FALSE)</f>
        <v>16</v>
      </c>
      <c r="D58" s="612">
        <f>iferror(vlookup(A58,'LA Data'!$A$304:$C$369,3,FALSE),"2")</f>
        <v>1.93</v>
      </c>
      <c r="E58" s="612" t="s">
        <v>63</v>
      </c>
      <c r="F58" s="612">
        <f>vlookup(A58,'LA Data'!$A$125:$B$191,2,FALSE)</f>
        <v>6</v>
      </c>
      <c r="G58" s="612" t="s">
        <v>63</v>
      </c>
      <c r="H58" s="671">
        <f>iferror(vlookup(A58,'LA Data'!$A$304:$C$369,2,FALSE),"NULL")</f>
        <v>14</v>
      </c>
      <c r="I58" s="614" t="str">
        <f>iferror(vlookup(A58,'LA Data'!$A$72:$B$123,2,FALSE),"NULL")</f>
        <v>NULL</v>
      </c>
      <c r="J58" s="614" t="s">
        <v>63</v>
      </c>
      <c r="K58" s="614" t="s">
        <v>63</v>
      </c>
      <c r="L58" s="838" t="str">
        <f>iferror(vlookup(A58,'LA Data'!$A$260:$B$302,2,FALSE),"NULL")</f>
        <v>NULL</v>
      </c>
      <c r="M58" s="614" t="s">
        <v>63</v>
      </c>
      <c r="N58" s="614" t="s">
        <v>63</v>
      </c>
      <c r="O58" s="614" t="s">
        <v>63</v>
      </c>
      <c r="P58" s="620">
        <f>ifna(vlookup(A58,'Population &amp; Church Numbers'!$A$1116:$D$1179,4,FALSE),"NULL")</f>
        <v>52</v>
      </c>
      <c r="Q58" s="674" t="s">
        <v>63</v>
      </c>
    </row>
    <row r="59">
      <c r="A59" s="837" t="s">
        <v>750</v>
      </c>
      <c r="B59" s="610">
        <f t="array" ref="B59">VLOOKUP($A59,LA_DEMO,2,FALSE)</f>
        <v>57359</v>
      </c>
      <c r="C59" s="704">
        <f>vlookup(A59,'LA Data'!$A$4:$B$70,2,FALSE)</f>
        <v>24</v>
      </c>
      <c r="D59" s="612">
        <f>iferror(vlookup(A59,'LA Data'!$A$304:$C$369,3,FALSE),"2")</f>
        <v>2.04</v>
      </c>
      <c r="E59" s="612" t="s">
        <v>63</v>
      </c>
      <c r="F59" s="612">
        <f>vlookup(A59,'LA Data'!$A$125:$B$191,2,FALSE)</f>
        <v>6</v>
      </c>
      <c r="G59" s="612" t="s">
        <v>63</v>
      </c>
      <c r="H59" s="671">
        <f>iferror(vlookup(A59,'LA Data'!$A$304:$C$369,2,FALSE),"NULL")</f>
        <v>26</v>
      </c>
      <c r="I59" s="614">
        <f>iferror(vlookup(A59,'LA Data'!$A$72:$B$123,2,FALSE),"NULL")</f>
        <v>6</v>
      </c>
      <c r="J59" s="614" t="s">
        <v>63</v>
      </c>
      <c r="K59" s="614" t="s">
        <v>63</v>
      </c>
      <c r="L59" s="838">
        <f>iferror(vlookup(A59,'LA Data'!$A$260:$B$302,2,FALSE),"NULL")</f>
        <v>14</v>
      </c>
      <c r="M59" s="614" t="s">
        <v>63</v>
      </c>
      <c r="N59" s="614" t="s">
        <v>63</v>
      </c>
      <c r="O59" s="614" t="s">
        <v>63</v>
      </c>
      <c r="P59" s="620">
        <f>ifna(vlookup(A59,'Population &amp; Church Numbers'!$A$1116:$D$1179,4,FALSE),"NULL")</f>
        <v>34</v>
      </c>
      <c r="Q59" s="674" t="s">
        <v>63</v>
      </c>
    </row>
    <row r="60">
      <c r="A60" s="837" t="s">
        <v>1181</v>
      </c>
      <c r="B60" s="610">
        <f t="array" ref="B60">VLOOKUP($A60,LA_DEMO,2,FALSE)</f>
        <v>48750</v>
      </c>
      <c r="C60" s="704">
        <f>vlookup(A60,'LA Data'!$A$4:$B$70,2,FALSE)</f>
        <v>50</v>
      </c>
      <c r="D60" s="612">
        <f>iferror(vlookup(A60,'LA Data'!$A$304:$C$369,3,FALSE),"2")</f>
        <v>2</v>
      </c>
      <c r="E60" s="612" t="s">
        <v>63</v>
      </c>
      <c r="F60" s="612">
        <f>vlookup(A60,'LA Data'!$A$125:$B$191,2,FALSE)</f>
        <v>9</v>
      </c>
      <c r="G60" s="612" t="s">
        <v>63</v>
      </c>
      <c r="H60" s="671">
        <f>iferror(vlookup(A60,'LA Data'!$A$304:$C$369,2,FALSE),"NULL")</f>
        <v>31</v>
      </c>
      <c r="I60" s="614">
        <f>iferror(vlookup(A60,'LA Data'!$A$72:$B$123,2,FALSE),"NULL")</f>
        <v>2</v>
      </c>
      <c r="J60" s="614" t="s">
        <v>63</v>
      </c>
      <c r="K60" s="614" t="s">
        <v>63</v>
      </c>
      <c r="L60" s="838">
        <f>iferror(vlookup(A60,'LA Data'!$A$260:$B$302,2,FALSE),"NULL")</f>
        <v>11</v>
      </c>
      <c r="M60" s="614" t="s">
        <v>63</v>
      </c>
      <c r="N60" s="614" t="s">
        <v>63</v>
      </c>
      <c r="O60" s="614" t="s">
        <v>63</v>
      </c>
      <c r="P60" s="620">
        <f>ifna(vlookup(A60,'Population &amp; Church Numbers'!$A$1116:$D$1179,4,FALSE),"NULL")</f>
        <v>86</v>
      </c>
      <c r="Q60" s="674" t="s">
        <v>63</v>
      </c>
    </row>
    <row r="61">
      <c r="A61" s="837" t="s">
        <v>119</v>
      </c>
      <c r="B61" s="610">
        <f t="array" ref="B61">VLOOKUP($A61,LA_DEMO,2,FALSE)</f>
        <v>45463</v>
      </c>
      <c r="C61" s="704">
        <f>vlookup(A61,'LA Data'!$A$4:$B$70,2,FALSE)</f>
        <v>103</v>
      </c>
      <c r="D61" s="612">
        <f>iferror(vlookup(A61,'LA Data'!$A$304:$C$369,3,FALSE),"2")</f>
        <v>1.77</v>
      </c>
      <c r="E61" s="612" t="s">
        <v>63</v>
      </c>
      <c r="F61" s="612">
        <f>vlookup(A61,'LA Data'!$A$125:$B$191,2,FALSE)</f>
        <v>35</v>
      </c>
      <c r="G61" s="612" t="s">
        <v>63</v>
      </c>
      <c r="H61" s="671">
        <f>iferror(vlookup(A61,'LA Data'!$A$304:$C$369,2,FALSE),"NULL")</f>
        <v>35</v>
      </c>
      <c r="I61" s="614">
        <f>iferror(vlookup(A61,'LA Data'!$A$72:$B$123,2,FALSE),"NULL")</f>
        <v>13</v>
      </c>
      <c r="J61" s="614" t="s">
        <v>63</v>
      </c>
      <c r="K61" s="614" t="s">
        <v>63</v>
      </c>
      <c r="L61" s="838">
        <f>iferror(vlookup(A61,'LA Data'!$A$260:$B$302,2,FALSE),"NULL")</f>
        <v>20</v>
      </c>
      <c r="M61" s="614" t="s">
        <v>63</v>
      </c>
      <c r="N61" s="614" t="s">
        <v>63</v>
      </c>
      <c r="O61" s="614" t="s">
        <v>63</v>
      </c>
      <c r="P61" s="620">
        <f>ifna(vlookup(A61,'Population &amp; Church Numbers'!$A$1116:$D$1179,4,FALSE),"NULL")</f>
        <v>85</v>
      </c>
      <c r="Q61" s="674" t="s">
        <v>63</v>
      </c>
    </row>
    <row r="62">
      <c r="A62" s="837" t="s">
        <v>648</v>
      </c>
      <c r="B62" s="610">
        <f t="array" ref="B62">VLOOKUP($A62,LA_DEMO,2,FALSE)</f>
        <v>36967</v>
      </c>
      <c r="C62" s="704">
        <f>vlookup(A62,'LA Data'!$A$4:$B$70,2,FALSE)</f>
        <v>49</v>
      </c>
      <c r="D62" s="612">
        <f>iferror(vlookup(A62,'LA Data'!$A$304:$C$369,3,FALSE),"2")</f>
        <v>2</v>
      </c>
      <c r="E62" s="612" t="s">
        <v>63</v>
      </c>
      <c r="F62" s="612">
        <f>vlookup(A62,'LA Data'!$A$125:$B$191,2,FALSE)</f>
        <v>25</v>
      </c>
      <c r="G62" s="612" t="s">
        <v>63</v>
      </c>
      <c r="H62" s="671">
        <f>iferror(vlookup(A62,'LA Data'!$A$304:$C$369,2,FALSE),"NULL")</f>
        <v>21</v>
      </c>
      <c r="I62" s="614" t="str">
        <f>iferror(vlookup(A62,'LA Data'!$A$72:$B$123,2,FALSE),"NULL")</f>
        <v>NULL</v>
      </c>
      <c r="J62" s="614" t="s">
        <v>63</v>
      </c>
      <c r="K62" s="614" t="s">
        <v>63</v>
      </c>
      <c r="L62" s="838">
        <f>iferror(vlookup(A62,'LA Data'!$A$260:$B$302,2,FALSE),"NULL")</f>
        <v>14</v>
      </c>
      <c r="M62" s="614" t="s">
        <v>63</v>
      </c>
      <c r="N62" s="614" t="s">
        <v>63</v>
      </c>
      <c r="O62" s="614" t="s">
        <v>63</v>
      </c>
      <c r="P62" s="620">
        <f>ifna(vlookup(A62,'Population &amp; Church Numbers'!$A$1116:$D$1179,4,FALSE),"NULL")</f>
        <v>90</v>
      </c>
      <c r="Q62" s="674" t="s">
        <v>63</v>
      </c>
    </row>
    <row r="63">
      <c r="A63" s="837" t="s">
        <v>1182</v>
      </c>
      <c r="B63" s="610">
        <f t="array" ref="B63">VLOOKUP($A63,LA_DEMO,2,FALSE)</f>
        <v>27199</v>
      </c>
      <c r="C63" s="704">
        <f>vlookup(A63,'LA Data'!$A$4:$B$70,2,FALSE)</f>
        <v>31</v>
      </c>
      <c r="D63" s="612">
        <f>iferror(vlookup(A63,'LA Data'!$A$304:$C$369,3,FALSE),"2")</f>
        <v>1.67</v>
      </c>
      <c r="E63" s="612" t="s">
        <v>63</v>
      </c>
      <c r="F63" s="612">
        <f>vlookup(A63,'LA Data'!$A$125:$B$191,2,FALSE)</f>
        <v>15</v>
      </c>
      <c r="G63" s="612" t="s">
        <v>63</v>
      </c>
      <c r="H63" s="671">
        <f>iferror(vlookup(A63,'LA Data'!$A$304:$C$369,2,FALSE),"NULL")</f>
        <v>9</v>
      </c>
      <c r="I63" s="614">
        <f>iferror(vlookup(A63,'LA Data'!$A$72:$B$123,2,FALSE),"NULL")</f>
        <v>1</v>
      </c>
      <c r="J63" s="614" t="s">
        <v>63</v>
      </c>
      <c r="K63" s="614" t="s">
        <v>63</v>
      </c>
      <c r="L63" s="838" t="str">
        <f>iferror(vlookup(A63,'LA Data'!$A$260:$B$302,2,FALSE),"NULL")</f>
        <v>NULL</v>
      </c>
      <c r="M63" s="614" t="s">
        <v>63</v>
      </c>
      <c r="N63" s="614" t="s">
        <v>63</v>
      </c>
      <c r="O63" s="614" t="s">
        <v>63</v>
      </c>
      <c r="P63" s="620">
        <f>ifna(vlookup(A63,'Population &amp; Church Numbers'!$A$1116:$D$1179,4,FALSE),"NULL")</f>
        <v>24</v>
      </c>
      <c r="Q63" s="674" t="s">
        <v>63</v>
      </c>
    </row>
    <row r="64">
      <c r="A64" s="837" t="s">
        <v>1183</v>
      </c>
      <c r="B64" s="610">
        <f t="array" ref="B64">VLOOKUP($A64,LA_DEMO,2,FALSE)</f>
        <v>9751</v>
      </c>
      <c r="C64" s="704">
        <f>vlookup(A64,'LA Data'!$A$4:$B$70,2,FALSE)</f>
        <v>10</v>
      </c>
      <c r="D64" s="612">
        <f>iferror(vlookup(A64,'LA Data'!$A$304:$C$369,3,FALSE),"2")</f>
        <v>2.17</v>
      </c>
      <c r="E64" s="612" t="s">
        <v>63</v>
      </c>
      <c r="F64" s="612">
        <f>vlookup(A64,'LA Data'!$A$125:$B$191,2,FALSE)</f>
        <v>6</v>
      </c>
      <c r="G64" s="612" t="s">
        <v>63</v>
      </c>
      <c r="H64" s="671">
        <f>iferror(vlookup(A64,'LA Data'!$A$304:$C$369,2,FALSE),"NULL")</f>
        <v>6</v>
      </c>
      <c r="I64" s="614">
        <f>iferror(vlookup(A64,'LA Data'!$A$72:$B$123,2,FALSE),"NULL")</f>
        <v>1</v>
      </c>
      <c r="J64" s="614" t="s">
        <v>63</v>
      </c>
      <c r="K64" s="614" t="s">
        <v>63</v>
      </c>
      <c r="L64" s="838" t="str">
        <f>iferror(vlookup(A64,'LA Data'!$A$260:$B$302,2,FALSE),"NULL")</f>
        <v>NULL</v>
      </c>
      <c r="M64" s="614" t="s">
        <v>63</v>
      </c>
      <c r="N64" s="614" t="s">
        <v>63</v>
      </c>
      <c r="O64" s="614" t="s">
        <v>63</v>
      </c>
      <c r="P64" s="620">
        <f>ifna(vlookup(A64,'Population &amp; Church Numbers'!$A$1116:$D$1179,4,FALSE),"NULL")</f>
        <v>34</v>
      </c>
      <c r="Q64" s="674" t="s">
        <v>63</v>
      </c>
    </row>
    <row r="65">
      <c r="A65" s="837" t="s">
        <v>1184</v>
      </c>
      <c r="B65" s="610">
        <f t="array" ref="B65">VLOOKUP($A65,LA_DEMO,2,FALSE)</f>
        <v>15310</v>
      </c>
      <c r="C65" s="704">
        <f>vlookup(A65,'LA Data'!$A$4:$B$70,2,FALSE)</f>
        <v>11</v>
      </c>
      <c r="D65" s="612" t="str">
        <f>iferror(vlookup(A65,'LA Data'!$A$304:$C$369,3,FALSE),"2")</f>
        <v>2</v>
      </c>
      <c r="E65" s="612" t="s">
        <v>63</v>
      </c>
      <c r="F65" s="612">
        <f>vlookup(A65,'LA Data'!$A$125:$B$191,2,FALSE)</f>
        <v>6</v>
      </c>
      <c r="G65" s="612" t="s">
        <v>63</v>
      </c>
      <c r="H65" s="671" t="str">
        <f>iferror(vlookup(A65,'LA Data'!$A$304:$C$369,2,FALSE),"NULL")</f>
        <v>NULL</v>
      </c>
      <c r="I65" s="614" t="str">
        <f>iferror(vlookup(A65,'LA Data'!$A$72:$B$123,2,FALSE),"NULL")</f>
        <v>NULL</v>
      </c>
      <c r="J65" s="614" t="s">
        <v>63</v>
      </c>
      <c r="K65" s="614" t="s">
        <v>63</v>
      </c>
      <c r="L65" s="838" t="str">
        <f>iferror(vlookup(A65,'LA Data'!$A$260:$B$302,2,FALSE),"NULL")</f>
        <v>NULL</v>
      </c>
      <c r="M65" s="614" t="s">
        <v>63</v>
      </c>
      <c r="N65" s="614" t="s">
        <v>63</v>
      </c>
      <c r="O65" s="614" t="s">
        <v>63</v>
      </c>
      <c r="P65" s="620">
        <f>ifna(vlookup(A65,'Population &amp; Church Numbers'!$A$1116:$D$1179,4,FALSE),"NULL")</f>
        <v>21</v>
      </c>
      <c r="Q65" s="674" t="s">
        <v>63</v>
      </c>
    </row>
    <row r="66">
      <c r="A66" s="837" t="s">
        <v>1185</v>
      </c>
      <c r="B66" s="610">
        <f t="array" ref="B66">VLOOKUP($A66,LA_DEMO,2,FALSE)</f>
        <v>13755</v>
      </c>
      <c r="C66" s="704">
        <f>vlookup(A66,'LA Data'!$A$4:$B$70,2,FALSE)</f>
        <v>51</v>
      </c>
      <c r="D66" s="612">
        <f>iferror(vlookup(A66,'LA Data'!$A$304:$C$369,3,FALSE),"2")</f>
        <v>2.43</v>
      </c>
      <c r="E66" s="612" t="s">
        <v>63</v>
      </c>
      <c r="F66" s="612">
        <f>vlookup(A66,'LA Data'!$A$125:$B$191,2,FALSE)</f>
        <v>33</v>
      </c>
      <c r="G66" s="612" t="s">
        <v>63</v>
      </c>
      <c r="H66" s="671">
        <f>iferror(vlookup(A66,'LA Data'!$A$304:$C$369,2,FALSE),"NULL")</f>
        <v>7</v>
      </c>
      <c r="I66" s="614" t="str">
        <f>iferror(vlookup(A66,'LA Data'!$A$72:$B$123,2,FALSE),"NULL")</f>
        <v>NULL</v>
      </c>
      <c r="J66" s="614" t="s">
        <v>63</v>
      </c>
      <c r="K66" s="614" t="s">
        <v>63</v>
      </c>
      <c r="L66" s="838">
        <f>iferror(vlookup(A66,'LA Data'!$A$260:$B$302,2,FALSE),"NULL")</f>
        <v>7</v>
      </c>
      <c r="M66" s="614" t="s">
        <v>63</v>
      </c>
      <c r="N66" s="614" t="s">
        <v>63</v>
      </c>
      <c r="O66" s="614" t="s">
        <v>63</v>
      </c>
      <c r="P66" s="620">
        <f>ifna(vlookup(A66,'Population &amp; Church Numbers'!$A$1116:$D$1179,4,FALSE),"NULL")</f>
        <v>37</v>
      </c>
      <c r="Q66" s="674" t="s">
        <v>63</v>
      </c>
    </row>
    <row r="67">
      <c r="A67" s="217"/>
      <c r="B67" s="218"/>
      <c r="C67" s="219"/>
      <c r="D67" s="220"/>
      <c r="E67" s="220"/>
      <c r="F67" s="220"/>
      <c r="G67" s="220"/>
      <c r="H67" s="221"/>
      <c r="I67" s="222"/>
      <c r="J67" s="223"/>
      <c r="K67" s="219"/>
      <c r="L67" s="224"/>
      <c r="M67" s="225"/>
      <c r="N67" s="226"/>
      <c r="O67" s="220"/>
      <c r="P67" s="221"/>
      <c r="Q67" s="227"/>
    </row>
    <row r="68">
      <c r="A68" s="228" t="s">
        <v>2</v>
      </c>
      <c r="B68" s="229"/>
      <c r="C68" s="236">
        <f>'LA Data'!B70</f>
        <v>4161</v>
      </c>
      <c r="D68" s="311">
        <v>2.0</v>
      </c>
      <c r="E68" s="311" t="s">
        <v>63</v>
      </c>
      <c r="F68" s="854">
        <f>'LA Data'!B191</f>
        <v>1505</v>
      </c>
      <c r="G68" s="311" t="s">
        <v>63</v>
      </c>
      <c r="H68" s="977">
        <f>'LA Data'!B369</f>
        <v>1767</v>
      </c>
      <c r="I68" s="360">
        <f>'LA Data'!B123</f>
        <v>415</v>
      </c>
      <c r="J68" s="305" t="s">
        <v>63</v>
      </c>
      <c r="K68" s="708" t="s">
        <v>63</v>
      </c>
      <c r="L68" s="977">
        <f>'LA Data'!B302</f>
        <v>1069</v>
      </c>
      <c r="M68" s="360" t="s">
        <v>63</v>
      </c>
      <c r="N68" s="311" t="s">
        <v>63</v>
      </c>
      <c r="O68" s="311" t="s">
        <v>63</v>
      </c>
      <c r="P68" s="233">
        <f>SUM(P3:P66)</f>
        <v>5093</v>
      </c>
      <c r="Q68" s="239" t="s">
        <v>63</v>
      </c>
    </row>
  </sheetData>
  <mergeCells count="1">
    <mergeCell ref="B1:Q1"/>
  </mergeCells>
  <drawing r:id="rId1"/>
  <tableParts count="1">
    <tablePart r:id="rId3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75"/>
      <c r="B1" s="276"/>
      <c r="C1" s="276"/>
      <c r="D1" s="276"/>
      <c r="E1" s="275" t="s">
        <v>765</v>
      </c>
      <c r="F1" s="275" t="s">
        <v>2391</v>
      </c>
      <c r="G1" s="276"/>
      <c r="H1" s="276"/>
      <c r="I1" s="275" t="s">
        <v>767</v>
      </c>
      <c r="J1" s="277">
        <v>45448.0</v>
      </c>
      <c r="K1" s="275" t="s">
        <v>769</v>
      </c>
      <c r="L1" s="277">
        <v>45387.0</v>
      </c>
      <c r="M1" s="276"/>
    </row>
    <row r="3">
      <c r="A3" s="839" t="s">
        <v>2737</v>
      </c>
      <c r="B3" s="840"/>
    </row>
    <row r="4">
      <c r="A4" s="839" t="s">
        <v>2738</v>
      </c>
      <c r="B4" s="841" t="s">
        <v>2739</v>
      </c>
      <c r="C4" s="591"/>
      <c r="D4" s="591"/>
      <c r="E4" s="591"/>
      <c r="F4" s="591"/>
      <c r="G4" s="591"/>
      <c r="H4" s="591"/>
      <c r="I4" s="591"/>
      <c r="J4" s="591"/>
      <c r="K4" s="591"/>
    </row>
    <row r="5">
      <c r="A5" s="842" t="s">
        <v>2740</v>
      </c>
      <c r="B5" s="843">
        <v>17.0</v>
      </c>
      <c r="C5" s="593"/>
      <c r="D5" s="593"/>
      <c r="E5" s="593"/>
      <c r="F5" s="593"/>
      <c r="G5" s="593"/>
      <c r="H5" s="593"/>
      <c r="I5" s="593"/>
      <c r="J5" s="593"/>
      <c r="K5" s="593"/>
    </row>
    <row r="6">
      <c r="A6" s="839" t="s">
        <v>2741</v>
      </c>
      <c r="B6" s="844">
        <v>61.0</v>
      </c>
    </row>
    <row r="7">
      <c r="A7" s="839" t="s">
        <v>2742</v>
      </c>
      <c r="B7" s="844">
        <v>42.0</v>
      </c>
    </row>
    <row r="8">
      <c r="A8" s="842" t="s">
        <v>2743</v>
      </c>
      <c r="B8" s="844">
        <v>98.0</v>
      </c>
    </row>
    <row r="9">
      <c r="A9" s="842" t="s">
        <v>2744</v>
      </c>
      <c r="B9" s="844">
        <v>16.0</v>
      </c>
    </row>
    <row r="10">
      <c r="A10" s="842" t="s">
        <v>2745</v>
      </c>
      <c r="B10" s="844">
        <v>80.0</v>
      </c>
    </row>
    <row r="11">
      <c r="A11" s="842" t="s">
        <v>2746</v>
      </c>
      <c r="B11" s="844">
        <v>31.0</v>
      </c>
    </row>
    <row r="12">
      <c r="A12" s="839" t="s">
        <v>2747</v>
      </c>
      <c r="B12" s="844">
        <v>28.0</v>
      </c>
    </row>
    <row r="13">
      <c r="A13" s="839" t="s">
        <v>2748</v>
      </c>
      <c r="B13" s="844">
        <v>51.0</v>
      </c>
    </row>
    <row r="14">
      <c r="A14" s="839" t="s">
        <v>2749</v>
      </c>
      <c r="B14" s="844">
        <v>221.0</v>
      </c>
    </row>
    <row r="15">
      <c r="A15" s="839" t="s">
        <v>2750</v>
      </c>
      <c r="B15" s="844">
        <v>144.0</v>
      </c>
    </row>
    <row r="16">
      <c r="A16" s="839" t="s">
        <v>2751</v>
      </c>
      <c r="B16" s="844">
        <v>16.0</v>
      </c>
    </row>
    <row r="17">
      <c r="A17" s="839" t="s">
        <v>2752</v>
      </c>
      <c r="B17" s="844">
        <v>2.0</v>
      </c>
    </row>
    <row r="18">
      <c r="A18" s="839" t="s">
        <v>2753</v>
      </c>
      <c r="B18" s="844">
        <v>17.0</v>
      </c>
    </row>
    <row r="19">
      <c r="A19" s="839" t="s">
        <v>2754</v>
      </c>
      <c r="B19" s="844">
        <v>9.0</v>
      </c>
    </row>
    <row r="20">
      <c r="A20" s="839" t="s">
        <v>2755</v>
      </c>
      <c r="B20" s="844">
        <v>13.0</v>
      </c>
    </row>
    <row r="21">
      <c r="A21" s="839" t="s">
        <v>2756</v>
      </c>
      <c r="B21" s="844">
        <v>56.0</v>
      </c>
    </row>
    <row r="22">
      <c r="A22" s="839" t="s">
        <v>2757</v>
      </c>
      <c r="B22" s="844">
        <v>360.0</v>
      </c>
    </row>
    <row r="23">
      <c r="A23" s="839" t="s">
        <v>2758</v>
      </c>
      <c r="B23" s="844">
        <v>4.0</v>
      </c>
    </row>
    <row r="24">
      <c r="A24" s="839" t="s">
        <v>2759</v>
      </c>
      <c r="B24" s="844">
        <v>21.0</v>
      </c>
    </row>
    <row r="25">
      <c r="A25" s="839" t="s">
        <v>2760</v>
      </c>
      <c r="B25" s="844">
        <v>51.0</v>
      </c>
    </row>
    <row r="26">
      <c r="A26" s="839" t="s">
        <v>820</v>
      </c>
      <c r="B26" s="844">
        <v>9.0</v>
      </c>
    </row>
    <row r="27">
      <c r="A27" s="839" t="s">
        <v>2761</v>
      </c>
      <c r="B27" s="844">
        <v>58.0</v>
      </c>
    </row>
    <row r="28">
      <c r="A28" s="839" t="s">
        <v>2762</v>
      </c>
      <c r="B28" s="844">
        <v>49.0</v>
      </c>
    </row>
    <row r="29">
      <c r="A29" s="839" t="s">
        <v>2763</v>
      </c>
      <c r="B29" s="844">
        <v>48.0</v>
      </c>
    </row>
    <row r="30">
      <c r="A30" s="839" t="s">
        <v>826</v>
      </c>
      <c r="B30" s="844">
        <v>7.0</v>
      </c>
    </row>
    <row r="31">
      <c r="A31" s="839" t="s">
        <v>2764</v>
      </c>
      <c r="B31" s="844">
        <v>29.0</v>
      </c>
    </row>
    <row r="32">
      <c r="A32" s="839" t="s">
        <v>827</v>
      </c>
      <c r="B32" s="844">
        <v>158.0</v>
      </c>
    </row>
    <row r="33">
      <c r="A33" s="839" t="s">
        <v>2765</v>
      </c>
      <c r="B33" s="844">
        <v>276.0</v>
      </c>
    </row>
    <row r="34">
      <c r="A34" s="839" t="s">
        <v>2766</v>
      </c>
      <c r="B34" s="844">
        <v>96.0</v>
      </c>
    </row>
    <row r="35">
      <c r="A35" s="839" t="s">
        <v>2767</v>
      </c>
      <c r="B35" s="844">
        <v>9.0</v>
      </c>
    </row>
    <row r="36">
      <c r="A36" s="839" t="s">
        <v>2768</v>
      </c>
      <c r="B36" s="844">
        <v>16.0</v>
      </c>
    </row>
    <row r="37">
      <c r="A37" s="839" t="s">
        <v>2571</v>
      </c>
      <c r="B37" s="844">
        <v>180.0</v>
      </c>
    </row>
    <row r="38">
      <c r="A38" s="839" t="s">
        <v>833</v>
      </c>
      <c r="B38" s="844">
        <v>12.0</v>
      </c>
    </row>
    <row r="39">
      <c r="A39" s="839" t="s">
        <v>2769</v>
      </c>
      <c r="B39" s="844">
        <v>32.0</v>
      </c>
    </row>
    <row r="40">
      <c r="A40" s="839" t="s">
        <v>2770</v>
      </c>
      <c r="B40" s="844">
        <v>27.0</v>
      </c>
    </row>
    <row r="41">
      <c r="A41" s="839" t="s">
        <v>2771</v>
      </c>
      <c r="B41" s="844">
        <v>91.0</v>
      </c>
    </row>
    <row r="42">
      <c r="A42" s="839" t="s">
        <v>2772</v>
      </c>
      <c r="B42" s="844">
        <v>315.0</v>
      </c>
    </row>
    <row r="43">
      <c r="A43" s="839" t="s">
        <v>2773</v>
      </c>
      <c r="B43" s="844">
        <v>4.0</v>
      </c>
    </row>
    <row r="44">
      <c r="A44" s="839" t="s">
        <v>2774</v>
      </c>
      <c r="B44" s="844">
        <v>18.0</v>
      </c>
    </row>
    <row r="45">
      <c r="A45" s="839" t="s">
        <v>2775</v>
      </c>
      <c r="B45" s="844">
        <v>309.0</v>
      </c>
    </row>
    <row r="46">
      <c r="A46" s="839" t="s">
        <v>2776</v>
      </c>
      <c r="B46" s="844">
        <v>10.0</v>
      </c>
    </row>
    <row r="47">
      <c r="A47" s="839" t="s">
        <v>2585</v>
      </c>
      <c r="B47" s="844">
        <v>11.0</v>
      </c>
    </row>
    <row r="48">
      <c r="A48" s="839" t="s">
        <v>2777</v>
      </c>
      <c r="B48" s="844">
        <v>29.0</v>
      </c>
    </row>
    <row r="49">
      <c r="A49" s="839" t="s">
        <v>2778</v>
      </c>
      <c r="B49" s="844">
        <v>14.0</v>
      </c>
    </row>
    <row r="50">
      <c r="A50" s="839" t="s">
        <v>2779</v>
      </c>
      <c r="B50" s="844">
        <v>19.0</v>
      </c>
    </row>
    <row r="51">
      <c r="A51" s="839" t="s">
        <v>2780</v>
      </c>
      <c r="B51" s="844">
        <v>3.0</v>
      </c>
    </row>
    <row r="52">
      <c r="A52" s="839" t="s">
        <v>2781</v>
      </c>
      <c r="B52" s="844">
        <v>3.0</v>
      </c>
    </row>
    <row r="53">
      <c r="A53" s="839" t="s">
        <v>2782</v>
      </c>
      <c r="B53" s="845">
        <v>16.0</v>
      </c>
      <c r="C53" s="591"/>
      <c r="D53" s="591"/>
      <c r="E53" s="591"/>
      <c r="F53" s="591"/>
      <c r="G53" s="591"/>
      <c r="H53" s="591"/>
      <c r="I53" s="591"/>
      <c r="J53" s="591"/>
      <c r="K53" s="591"/>
    </row>
    <row r="54">
      <c r="A54" s="842" t="s">
        <v>2783</v>
      </c>
      <c r="B54" s="846">
        <v>85.0</v>
      </c>
      <c r="C54" s="847"/>
      <c r="D54" s="847"/>
      <c r="E54" s="848"/>
      <c r="F54" s="847"/>
      <c r="G54" s="847"/>
      <c r="H54" s="847"/>
      <c r="I54" s="847"/>
      <c r="J54" s="847"/>
      <c r="K54" s="847"/>
    </row>
    <row r="55">
      <c r="A55" s="839" t="s">
        <v>2784</v>
      </c>
      <c r="B55" s="844">
        <v>16.0</v>
      </c>
    </row>
    <row r="56">
      <c r="A56" s="839" t="s">
        <v>2785</v>
      </c>
      <c r="B56" s="844">
        <v>28.0</v>
      </c>
    </row>
    <row r="57">
      <c r="A57" s="839" t="s">
        <v>2786</v>
      </c>
      <c r="B57" s="844">
        <v>124.0</v>
      </c>
    </row>
    <row r="58">
      <c r="A58" s="839" t="s">
        <v>2787</v>
      </c>
      <c r="B58" s="844">
        <v>131.0</v>
      </c>
    </row>
    <row r="59">
      <c r="A59" s="839" t="s">
        <v>2788</v>
      </c>
      <c r="B59" s="844">
        <v>6.0</v>
      </c>
    </row>
    <row r="60">
      <c r="A60" s="839" t="s">
        <v>2789</v>
      </c>
      <c r="B60" s="844">
        <v>240.0</v>
      </c>
    </row>
    <row r="61">
      <c r="A61" s="839" t="s">
        <v>2594</v>
      </c>
      <c r="B61" s="844">
        <v>16.0</v>
      </c>
    </row>
    <row r="62">
      <c r="A62" s="839" t="s">
        <v>2595</v>
      </c>
      <c r="B62" s="844">
        <v>24.0</v>
      </c>
    </row>
    <row r="63">
      <c r="A63" s="839" t="s">
        <v>2790</v>
      </c>
      <c r="B63" s="844">
        <v>50.0</v>
      </c>
    </row>
    <row r="64">
      <c r="A64" s="839" t="s">
        <v>883</v>
      </c>
      <c r="B64" s="844">
        <v>103.0</v>
      </c>
    </row>
    <row r="65">
      <c r="A65" s="839" t="s">
        <v>2677</v>
      </c>
      <c r="B65" s="844">
        <v>49.0</v>
      </c>
    </row>
    <row r="66">
      <c r="A66" s="839" t="s">
        <v>2791</v>
      </c>
      <c r="B66" s="844">
        <v>31.0</v>
      </c>
    </row>
    <row r="67">
      <c r="A67" s="839" t="s">
        <v>2792</v>
      </c>
      <c r="B67" s="844">
        <v>10.0</v>
      </c>
    </row>
    <row r="68">
      <c r="A68" s="839" t="s">
        <v>2793</v>
      </c>
      <c r="B68" s="844">
        <v>11.0</v>
      </c>
    </row>
    <row r="69">
      <c r="A69" s="839" t="s">
        <v>2794</v>
      </c>
      <c r="B69" s="844">
        <v>51.0</v>
      </c>
    </row>
    <row r="70">
      <c r="A70" s="839" t="s">
        <v>2395</v>
      </c>
      <c r="B70" s="849">
        <v>4161.0</v>
      </c>
    </row>
    <row r="72">
      <c r="A72" s="204" t="s">
        <v>2795</v>
      </c>
      <c r="B72" s="806"/>
    </row>
    <row r="73">
      <c r="A73" s="204" t="s">
        <v>2738</v>
      </c>
      <c r="B73" s="204" t="s">
        <v>2739</v>
      </c>
    </row>
    <row r="74">
      <c r="A74" s="204" t="s">
        <v>2741</v>
      </c>
      <c r="B74" s="206">
        <v>8.0</v>
      </c>
    </row>
    <row r="75">
      <c r="A75" s="204" t="s">
        <v>2743</v>
      </c>
      <c r="B75" s="206">
        <v>20.0</v>
      </c>
    </row>
    <row r="76">
      <c r="A76" s="204" t="s">
        <v>2744</v>
      </c>
      <c r="B76" s="206">
        <v>4.0</v>
      </c>
    </row>
    <row r="77">
      <c r="A77" s="204" t="s">
        <v>2745</v>
      </c>
      <c r="B77" s="206">
        <v>6.0</v>
      </c>
    </row>
    <row r="78">
      <c r="A78" s="204" t="s">
        <v>2746</v>
      </c>
      <c r="B78" s="206">
        <v>3.0</v>
      </c>
    </row>
    <row r="79">
      <c r="A79" s="204" t="s">
        <v>2747</v>
      </c>
      <c r="B79" s="206">
        <v>1.0</v>
      </c>
    </row>
    <row r="80">
      <c r="A80" s="204" t="s">
        <v>2748</v>
      </c>
      <c r="B80" s="206">
        <v>7.0</v>
      </c>
    </row>
    <row r="81">
      <c r="A81" s="204" t="s">
        <v>2749</v>
      </c>
      <c r="B81" s="206">
        <v>11.0</v>
      </c>
    </row>
    <row r="82">
      <c r="A82" s="204" t="s">
        <v>2750</v>
      </c>
      <c r="B82" s="206">
        <v>15.0</v>
      </c>
    </row>
    <row r="83">
      <c r="A83" s="204" t="s">
        <v>2751</v>
      </c>
      <c r="B83" s="206">
        <v>3.0</v>
      </c>
    </row>
    <row r="84">
      <c r="A84" s="204" t="s">
        <v>2754</v>
      </c>
      <c r="B84" s="206">
        <v>1.0</v>
      </c>
    </row>
    <row r="85">
      <c r="A85" s="204" t="s">
        <v>2755</v>
      </c>
      <c r="B85" s="206">
        <v>2.0</v>
      </c>
    </row>
    <row r="86">
      <c r="A86" s="204" t="s">
        <v>2756</v>
      </c>
      <c r="B86" s="206">
        <v>4.0</v>
      </c>
    </row>
    <row r="87">
      <c r="A87" s="204" t="s">
        <v>2757</v>
      </c>
      <c r="B87" s="206">
        <v>29.0</v>
      </c>
    </row>
    <row r="88">
      <c r="A88" s="204" t="s">
        <v>2759</v>
      </c>
      <c r="B88" s="206">
        <v>3.0</v>
      </c>
    </row>
    <row r="89">
      <c r="A89" s="204" t="s">
        <v>2760</v>
      </c>
      <c r="B89" s="206">
        <v>4.0</v>
      </c>
    </row>
    <row r="90">
      <c r="A90" s="204" t="s">
        <v>820</v>
      </c>
      <c r="B90" s="206">
        <v>3.0</v>
      </c>
    </row>
    <row r="91">
      <c r="A91" s="204" t="s">
        <v>2761</v>
      </c>
      <c r="B91" s="206">
        <v>10.0</v>
      </c>
    </row>
    <row r="92">
      <c r="A92" s="204" t="s">
        <v>2762</v>
      </c>
      <c r="B92" s="206">
        <v>1.0</v>
      </c>
    </row>
    <row r="93">
      <c r="A93" s="204" t="s">
        <v>2763</v>
      </c>
      <c r="B93" s="206">
        <v>5.0</v>
      </c>
    </row>
    <row r="94">
      <c r="A94" s="204" t="s">
        <v>826</v>
      </c>
      <c r="B94" s="206">
        <v>1.0</v>
      </c>
    </row>
    <row r="95">
      <c r="A95" s="204" t="s">
        <v>827</v>
      </c>
      <c r="B95" s="206">
        <v>17.0</v>
      </c>
    </row>
    <row r="96">
      <c r="A96" s="204" t="s">
        <v>2765</v>
      </c>
      <c r="B96" s="206">
        <v>19.0</v>
      </c>
    </row>
    <row r="97">
      <c r="A97" s="204" t="s">
        <v>2766</v>
      </c>
      <c r="B97" s="206">
        <v>10.0</v>
      </c>
    </row>
    <row r="98">
      <c r="A98" s="204" t="s">
        <v>2768</v>
      </c>
      <c r="B98" s="206">
        <v>9.0</v>
      </c>
    </row>
    <row r="99">
      <c r="A99" s="204" t="s">
        <v>2571</v>
      </c>
      <c r="B99" s="206">
        <v>12.0</v>
      </c>
    </row>
    <row r="100">
      <c r="A100" s="204" t="s">
        <v>2770</v>
      </c>
      <c r="B100" s="206">
        <v>3.0</v>
      </c>
    </row>
    <row r="101">
      <c r="A101" s="204" t="s">
        <v>2771</v>
      </c>
      <c r="B101" s="206">
        <v>15.0</v>
      </c>
    </row>
    <row r="102">
      <c r="A102" s="204" t="s">
        <v>2772</v>
      </c>
      <c r="B102" s="206">
        <v>26.0</v>
      </c>
    </row>
    <row r="103">
      <c r="A103" s="204" t="s">
        <v>2582</v>
      </c>
      <c r="B103" s="206">
        <v>23.0</v>
      </c>
    </row>
    <row r="104">
      <c r="A104" s="204" t="s">
        <v>2773</v>
      </c>
      <c r="B104" s="206">
        <v>1.0</v>
      </c>
    </row>
    <row r="105">
      <c r="A105" s="204" t="s">
        <v>2774</v>
      </c>
      <c r="B105" s="206">
        <v>1.0</v>
      </c>
    </row>
    <row r="106">
      <c r="A106" s="204" t="s">
        <v>2775</v>
      </c>
      <c r="B106" s="206">
        <v>23.0</v>
      </c>
    </row>
    <row r="107">
      <c r="A107" s="204" t="s">
        <v>2585</v>
      </c>
      <c r="B107" s="206">
        <v>5.0</v>
      </c>
    </row>
    <row r="108">
      <c r="A108" s="204" t="s">
        <v>2777</v>
      </c>
      <c r="B108" s="206">
        <v>1.0</v>
      </c>
    </row>
    <row r="109">
      <c r="A109" s="204" t="s">
        <v>2779</v>
      </c>
      <c r="B109" s="206">
        <v>5.0</v>
      </c>
    </row>
    <row r="110">
      <c r="A110" s="204" t="s">
        <v>2780</v>
      </c>
      <c r="B110" s="206">
        <v>1.0</v>
      </c>
    </row>
    <row r="111">
      <c r="A111" s="204" t="s">
        <v>2782</v>
      </c>
      <c r="B111" s="206">
        <v>4.0</v>
      </c>
    </row>
    <row r="112">
      <c r="A112" s="204" t="s">
        <v>2783</v>
      </c>
      <c r="B112" s="206">
        <v>13.0</v>
      </c>
    </row>
    <row r="113">
      <c r="A113" s="204" t="s">
        <v>2784</v>
      </c>
      <c r="B113" s="206">
        <v>7.0</v>
      </c>
    </row>
    <row r="114">
      <c r="A114" s="204" t="s">
        <v>2785</v>
      </c>
      <c r="B114" s="206">
        <v>5.0</v>
      </c>
    </row>
    <row r="115">
      <c r="A115" s="204" t="s">
        <v>2786</v>
      </c>
      <c r="B115" s="206">
        <v>19.0</v>
      </c>
    </row>
    <row r="116">
      <c r="A116" s="204" t="s">
        <v>2787</v>
      </c>
      <c r="B116" s="206">
        <v>14.0</v>
      </c>
    </row>
    <row r="117">
      <c r="A117" s="204" t="s">
        <v>2789</v>
      </c>
      <c r="B117" s="206">
        <v>18.0</v>
      </c>
    </row>
    <row r="118">
      <c r="A118" s="204" t="s">
        <v>2595</v>
      </c>
      <c r="B118" s="206">
        <v>6.0</v>
      </c>
    </row>
    <row r="119">
      <c r="A119" s="204" t="s">
        <v>2790</v>
      </c>
      <c r="B119" s="206">
        <v>2.0</v>
      </c>
    </row>
    <row r="120">
      <c r="A120" s="204" t="s">
        <v>883</v>
      </c>
      <c r="B120" s="206">
        <v>13.0</v>
      </c>
    </row>
    <row r="121">
      <c r="A121" s="204" t="s">
        <v>2791</v>
      </c>
      <c r="B121" s="206">
        <v>1.0</v>
      </c>
    </row>
    <row r="122">
      <c r="A122" s="204" t="s">
        <v>2792</v>
      </c>
      <c r="B122" s="206">
        <v>1.0</v>
      </c>
    </row>
    <row r="123">
      <c r="A123" s="204" t="s">
        <v>2395</v>
      </c>
      <c r="B123" s="206">
        <v>415.0</v>
      </c>
    </row>
    <row r="125">
      <c r="A125" s="204" t="s">
        <v>2796</v>
      </c>
      <c r="B125" s="806"/>
    </row>
    <row r="126">
      <c r="A126" s="204" t="s">
        <v>2738</v>
      </c>
      <c r="B126" s="204" t="s">
        <v>2797</v>
      </c>
    </row>
    <row r="127">
      <c r="A127" s="204" t="s">
        <v>2740</v>
      </c>
      <c r="B127" s="206">
        <v>9.0</v>
      </c>
    </row>
    <row r="128">
      <c r="A128" s="204" t="s">
        <v>2741</v>
      </c>
      <c r="B128" s="206">
        <v>13.0</v>
      </c>
    </row>
    <row r="129">
      <c r="A129" s="204" t="s">
        <v>2742</v>
      </c>
      <c r="B129" s="206">
        <v>14.0</v>
      </c>
    </row>
    <row r="130">
      <c r="A130" s="204" t="s">
        <v>2743</v>
      </c>
      <c r="B130" s="206">
        <v>42.0</v>
      </c>
    </row>
    <row r="131">
      <c r="A131" s="204" t="s">
        <v>2744</v>
      </c>
      <c r="B131" s="206">
        <v>8.0</v>
      </c>
    </row>
    <row r="132">
      <c r="A132" s="204" t="s">
        <v>2745</v>
      </c>
      <c r="B132" s="206">
        <v>38.0</v>
      </c>
    </row>
    <row r="133">
      <c r="A133" s="204" t="s">
        <v>2746</v>
      </c>
      <c r="B133" s="206">
        <v>7.0</v>
      </c>
    </row>
    <row r="134">
      <c r="A134" s="204" t="s">
        <v>2747</v>
      </c>
      <c r="B134" s="206">
        <v>12.0</v>
      </c>
    </row>
    <row r="135">
      <c r="A135" s="204" t="s">
        <v>2748</v>
      </c>
      <c r="B135" s="206">
        <v>19.0</v>
      </c>
    </row>
    <row r="136">
      <c r="A136" s="204" t="s">
        <v>2749</v>
      </c>
      <c r="B136" s="206">
        <v>81.0</v>
      </c>
    </row>
    <row r="137">
      <c r="A137" s="204" t="s">
        <v>2750</v>
      </c>
      <c r="B137" s="206">
        <v>32.0</v>
      </c>
    </row>
    <row r="138">
      <c r="A138" s="204" t="s">
        <v>2751</v>
      </c>
      <c r="B138" s="206">
        <v>2.0</v>
      </c>
    </row>
    <row r="139">
      <c r="A139" s="204" t="s">
        <v>2753</v>
      </c>
      <c r="B139" s="206">
        <v>3.0</v>
      </c>
    </row>
    <row r="140">
      <c r="A140" s="204" t="s">
        <v>2754</v>
      </c>
      <c r="B140" s="206">
        <v>3.0</v>
      </c>
    </row>
    <row r="141">
      <c r="A141" s="204" t="s">
        <v>2755</v>
      </c>
      <c r="B141" s="206">
        <v>8.0</v>
      </c>
    </row>
    <row r="142">
      <c r="A142" s="204" t="s">
        <v>2756</v>
      </c>
      <c r="B142" s="206">
        <v>21.0</v>
      </c>
    </row>
    <row r="143">
      <c r="A143" s="204" t="s">
        <v>2757</v>
      </c>
      <c r="B143" s="206">
        <v>136.0</v>
      </c>
    </row>
    <row r="144">
      <c r="A144" s="204" t="s">
        <v>2758</v>
      </c>
      <c r="B144" s="206">
        <v>2.0</v>
      </c>
    </row>
    <row r="145">
      <c r="A145" s="204" t="s">
        <v>2759</v>
      </c>
      <c r="B145" s="206">
        <v>14.0</v>
      </c>
    </row>
    <row r="146">
      <c r="A146" s="204" t="s">
        <v>2760</v>
      </c>
      <c r="B146" s="206">
        <v>16.0</v>
      </c>
    </row>
    <row r="147">
      <c r="A147" s="204" t="s">
        <v>820</v>
      </c>
      <c r="B147" s="206">
        <v>1.0</v>
      </c>
    </row>
    <row r="148">
      <c r="A148" s="204" t="s">
        <v>2761</v>
      </c>
      <c r="B148" s="206">
        <v>34.0</v>
      </c>
    </row>
    <row r="149">
      <c r="A149" s="204" t="s">
        <v>2762</v>
      </c>
      <c r="B149" s="206">
        <v>12.0</v>
      </c>
    </row>
    <row r="150">
      <c r="A150" s="204" t="s">
        <v>2763</v>
      </c>
      <c r="B150" s="206">
        <v>22.0</v>
      </c>
    </row>
    <row r="151">
      <c r="A151" s="204" t="s">
        <v>826</v>
      </c>
      <c r="B151" s="206">
        <v>3.0</v>
      </c>
    </row>
    <row r="152">
      <c r="A152" s="204" t="s">
        <v>2764</v>
      </c>
      <c r="B152" s="206">
        <v>6.0</v>
      </c>
    </row>
    <row r="153">
      <c r="A153" s="204" t="s">
        <v>827</v>
      </c>
      <c r="B153" s="206">
        <v>61.0</v>
      </c>
    </row>
    <row r="154">
      <c r="A154" s="204" t="s">
        <v>2765</v>
      </c>
      <c r="B154" s="206">
        <v>62.0</v>
      </c>
    </row>
    <row r="155">
      <c r="A155" s="204" t="s">
        <v>2766</v>
      </c>
      <c r="B155" s="206">
        <v>36.0</v>
      </c>
    </row>
    <row r="156">
      <c r="A156" s="204" t="s">
        <v>2767</v>
      </c>
      <c r="B156" s="206">
        <v>3.0</v>
      </c>
    </row>
    <row r="157">
      <c r="A157" s="204" t="s">
        <v>2768</v>
      </c>
      <c r="B157" s="206">
        <v>8.0</v>
      </c>
    </row>
    <row r="158">
      <c r="A158" s="204" t="s">
        <v>2571</v>
      </c>
      <c r="B158" s="206">
        <v>79.0</v>
      </c>
    </row>
    <row r="159">
      <c r="A159" s="204" t="s">
        <v>833</v>
      </c>
      <c r="B159" s="206">
        <v>4.0</v>
      </c>
    </row>
    <row r="160">
      <c r="A160" s="204" t="s">
        <v>2769</v>
      </c>
      <c r="B160" s="206">
        <v>9.0</v>
      </c>
    </row>
    <row r="161">
      <c r="A161" s="204" t="s">
        <v>2770</v>
      </c>
      <c r="B161" s="206">
        <v>14.0</v>
      </c>
    </row>
    <row r="162">
      <c r="A162" s="204" t="s">
        <v>2771</v>
      </c>
      <c r="B162" s="206">
        <v>39.0</v>
      </c>
    </row>
    <row r="163">
      <c r="A163" s="204" t="s">
        <v>2772</v>
      </c>
      <c r="B163" s="206">
        <v>90.0</v>
      </c>
    </row>
    <row r="164">
      <c r="A164" s="204" t="s">
        <v>2773</v>
      </c>
      <c r="B164" s="206">
        <v>0.0</v>
      </c>
    </row>
    <row r="165">
      <c r="A165" s="204" t="s">
        <v>2774</v>
      </c>
      <c r="B165" s="206">
        <v>8.0</v>
      </c>
    </row>
    <row r="166">
      <c r="A166" s="204" t="s">
        <v>2775</v>
      </c>
      <c r="B166" s="206">
        <v>139.0</v>
      </c>
    </row>
    <row r="167">
      <c r="A167" s="204" t="s">
        <v>2776</v>
      </c>
      <c r="B167" s="206">
        <v>7.0</v>
      </c>
    </row>
    <row r="168">
      <c r="A168" s="204" t="s">
        <v>2585</v>
      </c>
      <c r="B168" s="206">
        <v>2.0</v>
      </c>
    </row>
    <row r="169">
      <c r="A169" s="204" t="s">
        <v>2777</v>
      </c>
      <c r="B169" s="206">
        <v>13.0</v>
      </c>
    </row>
    <row r="170">
      <c r="A170" s="204" t="s">
        <v>2778</v>
      </c>
      <c r="B170" s="206">
        <v>1.0</v>
      </c>
    </row>
    <row r="171">
      <c r="A171" s="204" t="s">
        <v>2779</v>
      </c>
      <c r="B171" s="206">
        <v>1.0</v>
      </c>
    </row>
    <row r="172">
      <c r="A172" s="204" t="s">
        <v>2780</v>
      </c>
      <c r="B172" s="206">
        <v>1.0</v>
      </c>
    </row>
    <row r="173">
      <c r="A173" s="204" t="s">
        <v>2781</v>
      </c>
      <c r="B173" s="206">
        <v>1.0</v>
      </c>
    </row>
    <row r="174">
      <c r="A174" s="204" t="s">
        <v>2782</v>
      </c>
      <c r="B174" s="206">
        <v>8.0</v>
      </c>
    </row>
    <row r="175">
      <c r="A175" s="204" t="s">
        <v>2783</v>
      </c>
      <c r="B175" s="206">
        <v>17.0</v>
      </c>
    </row>
    <row r="176">
      <c r="A176" s="204" t="s">
        <v>2784</v>
      </c>
      <c r="B176" s="206">
        <v>3.0</v>
      </c>
    </row>
    <row r="177">
      <c r="A177" s="204" t="s">
        <v>2785</v>
      </c>
      <c r="B177" s="206">
        <v>3.0</v>
      </c>
    </row>
    <row r="178">
      <c r="A178" s="204" t="s">
        <v>2786</v>
      </c>
      <c r="B178" s="206">
        <v>29.0</v>
      </c>
    </row>
    <row r="179">
      <c r="A179" s="204" t="s">
        <v>2787</v>
      </c>
      <c r="B179" s="206">
        <v>43.0</v>
      </c>
    </row>
    <row r="180">
      <c r="A180" s="204" t="s">
        <v>2788</v>
      </c>
      <c r="B180" s="206">
        <v>4.0</v>
      </c>
    </row>
    <row r="181">
      <c r="A181" s="204" t="s">
        <v>2789</v>
      </c>
      <c r="B181" s="206">
        <v>121.0</v>
      </c>
    </row>
    <row r="182">
      <c r="A182" s="204" t="s">
        <v>2594</v>
      </c>
      <c r="B182" s="206">
        <v>6.0</v>
      </c>
    </row>
    <row r="183">
      <c r="A183" s="204" t="s">
        <v>2595</v>
      </c>
      <c r="B183" s="206">
        <v>6.0</v>
      </c>
    </row>
    <row r="184">
      <c r="A184" s="204" t="s">
        <v>2790</v>
      </c>
      <c r="B184" s="206">
        <v>9.0</v>
      </c>
    </row>
    <row r="185">
      <c r="A185" s="204" t="s">
        <v>883</v>
      </c>
      <c r="B185" s="206">
        <v>35.0</v>
      </c>
    </row>
    <row r="186">
      <c r="A186" s="204" t="s">
        <v>2677</v>
      </c>
      <c r="B186" s="206">
        <v>25.0</v>
      </c>
    </row>
    <row r="187">
      <c r="A187" s="204" t="s">
        <v>2791</v>
      </c>
      <c r="B187" s="206">
        <v>15.0</v>
      </c>
    </row>
    <row r="188">
      <c r="A188" s="204" t="s">
        <v>2792</v>
      </c>
      <c r="B188" s="206">
        <v>6.0</v>
      </c>
    </row>
    <row r="189">
      <c r="A189" s="204" t="s">
        <v>2793</v>
      </c>
      <c r="B189" s="206">
        <v>6.0</v>
      </c>
    </row>
    <row r="190">
      <c r="A190" s="204" t="s">
        <v>2794</v>
      </c>
      <c r="B190" s="206">
        <v>33.0</v>
      </c>
    </row>
    <row r="191">
      <c r="A191" s="204" t="s">
        <v>2395</v>
      </c>
      <c r="B191" s="208">
        <v>1505.0</v>
      </c>
    </row>
    <row r="193">
      <c r="A193" s="351" t="s">
        <v>2798</v>
      </c>
      <c r="B193" s="548"/>
    </row>
    <row r="194">
      <c r="A194" s="351" t="s">
        <v>2738</v>
      </c>
      <c r="B194" s="351" t="s">
        <v>2799</v>
      </c>
    </row>
    <row r="195">
      <c r="A195" s="351" t="s">
        <v>2740</v>
      </c>
      <c r="B195" s="850">
        <v>0.44</v>
      </c>
    </row>
    <row r="196">
      <c r="A196" s="351" t="s">
        <v>2741</v>
      </c>
      <c r="B196" s="850">
        <v>0.62</v>
      </c>
    </row>
    <row r="197">
      <c r="A197" s="351" t="s">
        <v>2742</v>
      </c>
      <c r="B197" s="850">
        <v>0.43</v>
      </c>
    </row>
    <row r="198">
      <c r="A198" s="351" t="s">
        <v>2743</v>
      </c>
      <c r="B198" s="850">
        <v>0.3</v>
      </c>
    </row>
    <row r="199">
      <c r="A199" s="351" t="s">
        <v>2744</v>
      </c>
      <c r="B199" s="850">
        <v>0.63</v>
      </c>
    </row>
    <row r="200">
      <c r="A200" s="351" t="s">
        <v>2745</v>
      </c>
      <c r="B200" s="850">
        <v>0.5</v>
      </c>
    </row>
    <row r="201">
      <c r="A201" s="351" t="s">
        <v>2746</v>
      </c>
      <c r="B201" s="850">
        <v>0.18</v>
      </c>
    </row>
    <row r="202">
      <c r="A202" s="351" t="s">
        <v>2747</v>
      </c>
      <c r="B202" s="850">
        <v>0.2</v>
      </c>
    </row>
    <row r="203">
      <c r="A203" s="351" t="s">
        <v>2748</v>
      </c>
      <c r="B203" s="850">
        <v>0.57</v>
      </c>
    </row>
    <row r="204">
      <c r="A204" s="351" t="s">
        <v>2749</v>
      </c>
      <c r="B204" s="850">
        <v>0.52</v>
      </c>
    </row>
    <row r="205">
      <c r="A205" s="351" t="s">
        <v>2750</v>
      </c>
      <c r="B205" s="850">
        <v>0.4</v>
      </c>
    </row>
    <row r="206">
      <c r="A206" s="351" t="s">
        <v>2751</v>
      </c>
      <c r="B206" s="850">
        <v>0.25</v>
      </c>
    </row>
    <row r="207">
      <c r="A207" s="351" t="s">
        <v>2752</v>
      </c>
      <c r="B207" s="850">
        <v>1.0</v>
      </c>
    </row>
    <row r="208">
      <c r="A208" s="351" t="s">
        <v>2753</v>
      </c>
      <c r="B208" s="850">
        <v>1.0</v>
      </c>
    </row>
    <row r="209">
      <c r="A209" s="351" t="s">
        <v>2754</v>
      </c>
      <c r="B209" s="850">
        <v>1.0</v>
      </c>
    </row>
    <row r="210">
      <c r="A210" s="351" t="s">
        <v>2755</v>
      </c>
      <c r="B210" s="850">
        <v>0.75</v>
      </c>
    </row>
    <row r="211">
      <c r="A211" s="351" t="s">
        <v>2756</v>
      </c>
      <c r="B211" s="850">
        <v>0.53</v>
      </c>
    </row>
    <row r="212">
      <c r="A212" s="351" t="s">
        <v>2757</v>
      </c>
      <c r="B212" s="850">
        <v>0.57</v>
      </c>
    </row>
    <row r="213">
      <c r="A213" s="351" t="s">
        <v>2759</v>
      </c>
      <c r="B213" s="850">
        <v>0.83</v>
      </c>
    </row>
    <row r="214">
      <c r="A214" s="351" t="s">
        <v>2760</v>
      </c>
      <c r="B214" s="850">
        <v>0.68</v>
      </c>
    </row>
    <row r="215">
      <c r="A215" s="351" t="s">
        <v>820</v>
      </c>
      <c r="B215" s="850">
        <v>0.29</v>
      </c>
    </row>
    <row r="216">
      <c r="A216" s="351" t="s">
        <v>2761</v>
      </c>
      <c r="B216" s="850">
        <v>0.93</v>
      </c>
    </row>
    <row r="217">
      <c r="A217" s="351" t="s">
        <v>2762</v>
      </c>
      <c r="B217" s="850">
        <v>0.41</v>
      </c>
    </row>
    <row r="218">
      <c r="A218" s="351" t="s">
        <v>2763</v>
      </c>
      <c r="B218" s="850">
        <v>0.64</v>
      </c>
    </row>
    <row r="219">
      <c r="A219" s="351" t="s">
        <v>826</v>
      </c>
      <c r="B219" s="850">
        <v>0.43</v>
      </c>
    </row>
    <row r="220">
      <c r="A220" s="351" t="s">
        <v>2764</v>
      </c>
      <c r="B220" s="850">
        <v>0.17</v>
      </c>
    </row>
    <row r="221">
      <c r="A221" s="351" t="s">
        <v>827</v>
      </c>
      <c r="B221" s="850">
        <v>0.49</v>
      </c>
    </row>
    <row r="222">
      <c r="A222" s="351" t="s">
        <v>2765</v>
      </c>
      <c r="B222" s="850">
        <v>0.6</v>
      </c>
    </row>
    <row r="223">
      <c r="A223" s="351" t="s">
        <v>2766</v>
      </c>
      <c r="B223" s="850">
        <v>0.36</v>
      </c>
    </row>
    <row r="224">
      <c r="A224" s="351" t="s">
        <v>2570</v>
      </c>
      <c r="B224" s="850">
        <v>0.33</v>
      </c>
    </row>
    <row r="225">
      <c r="A225" s="351" t="s">
        <v>2768</v>
      </c>
      <c r="B225" s="850">
        <v>0.6</v>
      </c>
    </row>
    <row r="226">
      <c r="A226" s="351" t="s">
        <v>2571</v>
      </c>
      <c r="B226" s="850">
        <v>0.45</v>
      </c>
    </row>
    <row r="227">
      <c r="A227" s="351" t="s">
        <v>833</v>
      </c>
      <c r="B227" s="850">
        <v>0.0</v>
      </c>
    </row>
    <row r="228">
      <c r="A228" s="351" t="s">
        <v>2769</v>
      </c>
      <c r="B228" s="850">
        <v>0.2</v>
      </c>
    </row>
    <row r="229">
      <c r="A229" s="351" t="s">
        <v>2770</v>
      </c>
      <c r="B229" s="850">
        <v>0.44</v>
      </c>
    </row>
    <row r="230">
      <c r="A230" s="351" t="s">
        <v>2771</v>
      </c>
      <c r="B230" s="850">
        <v>0.62</v>
      </c>
    </row>
    <row r="231">
      <c r="A231" s="351" t="s">
        <v>2772</v>
      </c>
      <c r="B231" s="850">
        <v>0.38</v>
      </c>
    </row>
    <row r="232">
      <c r="A232" s="351" t="s">
        <v>2773</v>
      </c>
      <c r="B232" s="850">
        <v>1.0</v>
      </c>
    </row>
    <row r="233">
      <c r="A233" s="351" t="s">
        <v>2774</v>
      </c>
      <c r="B233" s="850">
        <v>0.88</v>
      </c>
    </row>
    <row r="234">
      <c r="A234" s="351" t="s">
        <v>2775</v>
      </c>
      <c r="B234" s="850">
        <v>0.52</v>
      </c>
    </row>
    <row r="235">
      <c r="A235" s="351" t="s">
        <v>2585</v>
      </c>
      <c r="B235" s="850">
        <v>0.67</v>
      </c>
    </row>
    <row r="236">
      <c r="A236" s="351" t="s">
        <v>2777</v>
      </c>
      <c r="B236" s="850">
        <v>0.64</v>
      </c>
    </row>
    <row r="237">
      <c r="A237" s="351" t="s">
        <v>2778</v>
      </c>
      <c r="B237" s="850">
        <v>0.25</v>
      </c>
    </row>
    <row r="238">
      <c r="A238" s="351" t="s">
        <v>2779</v>
      </c>
      <c r="B238" s="850">
        <v>0.73</v>
      </c>
    </row>
    <row r="239">
      <c r="A239" s="351" t="s">
        <v>2780</v>
      </c>
      <c r="B239" s="850">
        <v>0.0</v>
      </c>
    </row>
    <row r="240">
      <c r="A240" s="351" t="s">
        <v>2781</v>
      </c>
      <c r="B240" s="850">
        <v>0.5</v>
      </c>
    </row>
    <row r="241">
      <c r="A241" s="351" t="s">
        <v>2800</v>
      </c>
      <c r="B241" s="850">
        <v>0.34</v>
      </c>
    </row>
    <row r="242">
      <c r="A242" s="351" t="s">
        <v>2783</v>
      </c>
      <c r="B242" s="850">
        <v>0.59</v>
      </c>
    </row>
    <row r="243">
      <c r="A243" s="351" t="s">
        <v>2784</v>
      </c>
      <c r="B243" s="850">
        <v>0.29</v>
      </c>
    </row>
    <row r="244">
      <c r="A244" s="351" t="s">
        <v>2785</v>
      </c>
      <c r="B244" s="850">
        <v>0.27</v>
      </c>
    </row>
    <row r="245">
      <c r="A245" s="351" t="s">
        <v>2786</v>
      </c>
      <c r="B245" s="850">
        <v>0.4</v>
      </c>
    </row>
    <row r="246">
      <c r="A246" s="351" t="s">
        <v>2787</v>
      </c>
      <c r="B246" s="850">
        <v>0.43</v>
      </c>
    </row>
    <row r="247">
      <c r="A247" s="351" t="s">
        <v>2788</v>
      </c>
      <c r="B247" s="850">
        <v>0.0</v>
      </c>
    </row>
    <row r="248">
      <c r="A248" s="351" t="s">
        <v>2789</v>
      </c>
      <c r="B248" s="850">
        <v>0.55</v>
      </c>
    </row>
    <row r="249">
      <c r="A249" s="351" t="s">
        <v>2594</v>
      </c>
      <c r="B249" s="850">
        <v>0.67</v>
      </c>
    </row>
    <row r="250">
      <c r="A250" s="351" t="s">
        <v>2595</v>
      </c>
      <c r="B250" s="850">
        <v>0.27</v>
      </c>
    </row>
    <row r="251">
      <c r="A251" s="351" t="s">
        <v>2790</v>
      </c>
      <c r="B251" s="850">
        <v>0.52</v>
      </c>
    </row>
    <row r="252">
      <c r="A252" s="351" t="s">
        <v>883</v>
      </c>
      <c r="B252" s="850">
        <v>0.35</v>
      </c>
    </row>
    <row r="253">
      <c r="A253" s="351" t="s">
        <v>2677</v>
      </c>
      <c r="B253" s="850">
        <v>0.44</v>
      </c>
    </row>
    <row r="254">
      <c r="A254" s="351" t="s">
        <v>2791</v>
      </c>
      <c r="B254" s="850">
        <v>0.41</v>
      </c>
    </row>
    <row r="255">
      <c r="A255" s="351" t="s">
        <v>2792</v>
      </c>
      <c r="B255" s="850">
        <v>0.0</v>
      </c>
    </row>
    <row r="256">
      <c r="A256" s="351" t="s">
        <v>2793</v>
      </c>
      <c r="B256" s="850">
        <v>0.8</v>
      </c>
    </row>
    <row r="257">
      <c r="A257" s="351" t="s">
        <v>2794</v>
      </c>
      <c r="B257" s="850">
        <v>0.32</v>
      </c>
    </row>
    <row r="258">
      <c r="A258" s="351" t="s">
        <v>2395</v>
      </c>
      <c r="B258" s="850">
        <v>0.49</v>
      </c>
    </row>
    <row r="260">
      <c r="A260" s="351" t="s">
        <v>2801</v>
      </c>
      <c r="B260" s="548"/>
    </row>
    <row r="261">
      <c r="A261" s="351" t="s">
        <v>2802</v>
      </c>
      <c r="B261" s="351" t="s">
        <v>2803</v>
      </c>
    </row>
    <row r="262">
      <c r="A262" s="351" t="s">
        <v>2741</v>
      </c>
      <c r="B262" s="351">
        <v>13.0</v>
      </c>
    </row>
    <row r="263">
      <c r="A263" s="351" t="s">
        <v>2742</v>
      </c>
      <c r="B263" s="351">
        <v>9.0</v>
      </c>
    </row>
    <row r="264">
      <c r="A264" s="351" t="s">
        <v>2743</v>
      </c>
      <c r="B264" s="351">
        <v>15.0</v>
      </c>
    </row>
    <row r="265">
      <c r="A265" s="351" t="s">
        <v>2746</v>
      </c>
      <c r="B265" s="351">
        <v>10.0</v>
      </c>
    </row>
    <row r="266">
      <c r="A266" s="351" t="s">
        <v>2749</v>
      </c>
      <c r="B266" s="351">
        <v>60.0</v>
      </c>
    </row>
    <row r="267">
      <c r="A267" s="351" t="s">
        <v>2750</v>
      </c>
      <c r="B267" s="351">
        <v>25.0</v>
      </c>
    </row>
    <row r="268">
      <c r="A268" s="351" t="s">
        <v>2753</v>
      </c>
      <c r="B268" s="351">
        <v>2.0</v>
      </c>
    </row>
    <row r="269">
      <c r="A269" s="351" t="s">
        <v>2755</v>
      </c>
      <c r="B269" s="351">
        <v>4.0</v>
      </c>
    </row>
    <row r="270">
      <c r="A270" s="351" t="s">
        <v>2756</v>
      </c>
      <c r="B270" s="351">
        <v>1.0</v>
      </c>
    </row>
    <row r="271">
      <c r="A271" s="351" t="s">
        <v>2757</v>
      </c>
      <c r="B271" s="351">
        <v>176.0</v>
      </c>
    </row>
    <row r="272">
      <c r="A272" s="351" t="s">
        <v>2759</v>
      </c>
      <c r="B272" s="351">
        <v>2.0</v>
      </c>
    </row>
    <row r="273">
      <c r="A273" s="351" t="s">
        <v>2760</v>
      </c>
      <c r="B273" s="351">
        <v>4.0</v>
      </c>
    </row>
    <row r="274">
      <c r="A274" s="351" t="s">
        <v>820</v>
      </c>
      <c r="B274" s="351">
        <v>9.0</v>
      </c>
    </row>
    <row r="275">
      <c r="A275" s="351" t="s">
        <v>2762</v>
      </c>
      <c r="B275" s="351">
        <v>15.0</v>
      </c>
    </row>
    <row r="276">
      <c r="A276" s="351" t="s">
        <v>2763</v>
      </c>
      <c r="B276" s="351">
        <v>1.0</v>
      </c>
    </row>
    <row r="277">
      <c r="A277" s="351" t="s">
        <v>827</v>
      </c>
      <c r="B277" s="351">
        <v>93.0</v>
      </c>
    </row>
    <row r="278">
      <c r="A278" s="351" t="s">
        <v>2764</v>
      </c>
      <c r="B278" s="351">
        <v>9.0</v>
      </c>
    </row>
    <row r="279">
      <c r="A279" s="351" t="s">
        <v>2765</v>
      </c>
      <c r="B279" s="351">
        <v>56.0</v>
      </c>
    </row>
    <row r="280">
      <c r="A280" s="351" t="s">
        <v>2766</v>
      </c>
      <c r="B280" s="351">
        <v>40.0</v>
      </c>
    </row>
    <row r="281">
      <c r="A281" s="351" t="s">
        <v>2768</v>
      </c>
      <c r="B281" s="351">
        <v>19.0</v>
      </c>
    </row>
    <row r="282">
      <c r="A282" s="351" t="s">
        <v>2571</v>
      </c>
      <c r="B282" s="351">
        <v>39.0</v>
      </c>
    </row>
    <row r="283">
      <c r="A283" s="351" t="s">
        <v>833</v>
      </c>
      <c r="B283" s="351">
        <v>16.0</v>
      </c>
    </row>
    <row r="284">
      <c r="A284" s="351" t="s">
        <v>2769</v>
      </c>
      <c r="B284" s="351">
        <v>3.0</v>
      </c>
    </row>
    <row r="285">
      <c r="A285" s="351" t="s">
        <v>2770</v>
      </c>
      <c r="B285" s="351">
        <v>6.0</v>
      </c>
    </row>
    <row r="286">
      <c r="A286" s="351" t="s">
        <v>2771</v>
      </c>
      <c r="B286" s="351">
        <v>73.0</v>
      </c>
    </row>
    <row r="287">
      <c r="A287" s="351" t="s">
        <v>2772</v>
      </c>
      <c r="B287" s="351">
        <v>14.0</v>
      </c>
    </row>
    <row r="288">
      <c r="A288" s="351" t="s">
        <v>2775</v>
      </c>
      <c r="B288" s="351">
        <v>57.0</v>
      </c>
    </row>
    <row r="289">
      <c r="A289" s="351" t="s">
        <v>2777</v>
      </c>
      <c r="B289" s="351">
        <v>5.0</v>
      </c>
    </row>
    <row r="290">
      <c r="A290" s="351" t="s">
        <v>2782</v>
      </c>
      <c r="B290" s="351">
        <v>18.0</v>
      </c>
    </row>
    <row r="291">
      <c r="A291" s="351" t="s">
        <v>2783</v>
      </c>
      <c r="B291" s="351">
        <v>13.0</v>
      </c>
    </row>
    <row r="292">
      <c r="A292" s="351" t="s">
        <v>2784</v>
      </c>
      <c r="B292" s="351">
        <v>4.0</v>
      </c>
    </row>
    <row r="293">
      <c r="A293" s="351" t="s">
        <v>2785</v>
      </c>
      <c r="B293" s="351">
        <v>7.0</v>
      </c>
    </row>
    <row r="294">
      <c r="A294" s="351" t="s">
        <v>2786</v>
      </c>
      <c r="B294" s="351">
        <v>93.0</v>
      </c>
    </row>
    <row r="295">
      <c r="A295" s="351" t="s">
        <v>2787</v>
      </c>
      <c r="B295" s="351">
        <v>68.0</v>
      </c>
    </row>
    <row r="296">
      <c r="A296" s="351" t="s">
        <v>2789</v>
      </c>
      <c r="B296" s="351">
        <v>24.0</v>
      </c>
    </row>
    <row r="297">
      <c r="A297" s="351" t="s">
        <v>2595</v>
      </c>
      <c r="B297" s="351">
        <v>14.0</v>
      </c>
    </row>
    <row r="298">
      <c r="A298" s="351" t="s">
        <v>2790</v>
      </c>
      <c r="B298" s="351">
        <v>11.0</v>
      </c>
    </row>
    <row r="299">
      <c r="A299" s="351" t="s">
        <v>883</v>
      </c>
      <c r="B299" s="351">
        <v>20.0</v>
      </c>
    </row>
    <row r="300">
      <c r="A300" s="351" t="s">
        <v>2677</v>
      </c>
      <c r="B300" s="351">
        <v>14.0</v>
      </c>
    </row>
    <row r="301">
      <c r="A301" s="351" t="s">
        <v>2794</v>
      </c>
      <c r="B301" s="351">
        <v>7.0</v>
      </c>
    </row>
    <row r="302">
      <c r="A302" s="351" t="s">
        <v>2395</v>
      </c>
      <c r="B302" s="851">
        <v>1069.0</v>
      </c>
    </row>
    <row r="304">
      <c r="A304" s="351" t="s">
        <v>2804</v>
      </c>
      <c r="B304" s="548"/>
      <c r="C304" s="548"/>
    </row>
    <row r="305">
      <c r="A305" s="351" t="s">
        <v>2802</v>
      </c>
      <c r="B305" s="351" t="s">
        <v>2805</v>
      </c>
      <c r="C305" s="351" t="s">
        <v>2806</v>
      </c>
    </row>
    <row r="306">
      <c r="A306" s="351" t="s">
        <v>2741</v>
      </c>
      <c r="B306" s="351">
        <v>37.0</v>
      </c>
      <c r="C306" s="351">
        <v>1.65</v>
      </c>
    </row>
    <row r="307">
      <c r="A307" s="351" t="s">
        <v>2742</v>
      </c>
      <c r="B307" s="351">
        <v>12.0</v>
      </c>
      <c r="C307" s="351">
        <v>1.83</v>
      </c>
    </row>
    <row r="308">
      <c r="A308" s="351" t="s">
        <v>2743</v>
      </c>
      <c r="B308" s="351">
        <v>49.0</v>
      </c>
      <c r="C308" s="351">
        <v>1.41</v>
      </c>
    </row>
    <row r="309">
      <c r="A309" s="351" t="s">
        <v>2744</v>
      </c>
      <c r="B309" s="351">
        <v>9.0</v>
      </c>
      <c r="C309" s="351">
        <v>1.44</v>
      </c>
    </row>
    <row r="310">
      <c r="A310" s="351" t="s">
        <v>2745</v>
      </c>
      <c r="B310" s="351">
        <v>31.0</v>
      </c>
      <c r="C310" s="351">
        <v>2.23</v>
      </c>
    </row>
    <row r="311">
      <c r="A311" s="351" t="s">
        <v>2746</v>
      </c>
      <c r="B311" s="351">
        <v>33.0</v>
      </c>
      <c r="C311" s="351">
        <v>1.7</v>
      </c>
    </row>
    <row r="312">
      <c r="A312" s="351" t="s">
        <v>2747</v>
      </c>
      <c r="B312" s="351">
        <v>7.0</v>
      </c>
      <c r="C312" s="351">
        <v>1.86</v>
      </c>
    </row>
    <row r="313">
      <c r="A313" s="351" t="s">
        <v>2748</v>
      </c>
      <c r="B313" s="351">
        <v>52.0</v>
      </c>
      <c r="C313" s="351">
        <v>1.65</v>
      </c>
    </row>
    <row r="314">
      <c r="A314" s="351" t="s">
        <v>2749</v>
      </c>
      <c r="B314" s="351">
        <v>58.0</v>
      </c>
      <c r="C314" s="351">
        <v>1.74</v>
      </c>
    </row>
    <row r="315">
      <c r="A315" s="351" t="s">
        <v>2750</v>
      </c>
      <c r="B315" s="351">
        <v>115.0</v>
      </c>
      <c r="C315" s="351">
        <v>1.56</v>
      </c>
    </row>
    <row r="316">
      <c r="A316" s="351" t="s">
        <v>2751</v>
      </c>
      <c r="B316" s="351">
        <v>5.0</v>
      </c>
      <c r="C316" s="351">
        <v>1.6</v>
      </c>
    </row>
    <row r="317">
      <c r="A317" s="351" t="s">
        <v>2752</v>
      </c>
      <c r="B317" s="351">
        <v>1.0</v>
      </c>
      <c r="C317" s="351">
        <v>2.0</v>
      </c>
    </row>
    <row r="318">
      <c r="A318" s="351" t="s">
        <v>2753</v>
      </c>
      <c r="B318" s="351">
        <v>2.0</v>
      </c>
      <c r="C318" s="351">
        <v>0.5</v>
      </c>
    </row>
    <row r="319">
      <c r="A319" s="351" t="s">
        <v>2754</v>
      </c>
      <c r="B319" s="351">
        <v>9.0</v>
      </c>
      <c r="C319" s="351">
        <v>2.33</v>
      </c>
    </row>
    <row r="320">
      <c r="A320" s="351" t="s">
        <v>2755</v>
      </c>
      <c r="B320" s="351">
        <v>14.0</v>
      </c>
      <c r="C320" s="351">
        <v>2.5</v>
      </c>
    </row>
    <row r="321">
      <c r="A321" s="351" t="s">
        <v>2756</v>
      </c>
      <c r="B321" s="351">
        <v>22.0</v>
      </c>
      <c r="C321" s="351">
        <v>1.68</v>
      </c>
    </row>
    <row r="322">
      <c r="A322" s="351" t="s">
        <v>2757</v>
      </c>
      <c r="B322" s="351">
        <v>154.0</v>
      </c>
      <c r="C322" s="351">
        <v>1.68</v>
      </c>
    </row>
    <row r="323">
      <c r="A323" s="351" t="s">
        <v>2758</v>
      </c>
      <c r="B323" s="351">
        <v>2.0</v>
      </c>
      <c r="C323" s="351">
        <v>2.5</v>
      </c>
    </row>
    <row r="324">
      <c r="A324" s="351" t="s">
        <v>2759</v>
      </c>
      <c r="B324" s="351">
        <v>7.0</v>
      </c>
      <c r="C324" s="351">
        <v>2.43</v>
      </c>
    </row>
    <row r="325">
      <c r="A325" s="351" t="s">
        <v>2760</v>
      </c>
      <c r="B325" s="351">
        <v>18.0</v>
      </c>
      <c r="C325" s="351">
        <v>1.61</v>
      </c>
    </row>
    <row r="326">
      <c r="A326" s="351" t="s">
        <v>820</v>
      </c>
      <c r="B326" s="351">
        <v>9.0</v>
      </c>
      <c r="C326" s="351">
        <v>2.22</v>
      </c>
    </row>
    <row r="327">
      <c r="A327" s="351" t="s">
        <v>2761</v>
      </c>
      <c r="B327" s="351">
        <v>30.0</v>
      </c>
      <c r="C327" s="351">
        <v>1.73</v>
      </c>
    </row>
    <row r="328">
      <c r="A328" s="351" t="s">
        <v>2762</v>
      </c>
      <c r="B328" s="351">
        <v>23.0</v>
      </c>
      <c r="C328" s="351">
        <v>1.61</v>
      </c>
    </row>
    <row r="329">
      <c r="A329" s="351" t="s">
        <v>2763</v>
      </c>
      <c r="B329" s="351">
        <v>13.0</v>
      </c>
      <c r="C329" s="351">
        <v>1.85</v>
      </c>
    </row>
    <row r="330">
      <c r="A330" s="351" t="s">
        <v>826</v>
      </c>
      <c r="B330" s="351">
        <v>7.0</v>
      </c>
      <c r="C330" s="351">
        <v>1.0</v>
      </c>
    </row>
    <row r="331">
      <c r="A331" s="351" t="s">
        <v>827</v>
      </c>
      <c r="B331" s="351">
        <v>44.0</v>
      </c>
      <c r="C331" s="351">
        <v>1.61</v>
      </c>
    </row>
    <row r="332">
      <c r="A332" s="351" t="s">
        <v>2764</v>
      </c>
      <c r="B332" s="351">
        <v>12.0</v>
      </c>
      <c r="C332" s="351">
        <v>1.42</v>
      </c>
    </row>
    <row r="333">
      <c r="A333" s="351" t="s">
        <v>2765</v>
      </c>
      <c r="B333" s="351">
        <v>98.0</v>
      </c>
      <c r="C333" s="351">
        <v>1.7</v>
      </c>
    </row>
    <row r="334">
      <c r="A334" s="351" t="s">
        <v>2766</v>
      </c>
      <c r="B334" s="351">
        <v>28.0</v>
      </c>
      <c r="C334" s="351">
        <v>1.43</v>
      </c>
    </row>
    <row r="335">
      <c r="A335" s="351" t="s">
        <v>2767</v>
      </c>
      <c r="B335" s="351">
        <v>4.0</v>
      </c>
      <c r="C335" s="351">
        <v>2.25</v>
      </c>
    </row>
    <row r="336">
      <c r="A336" s="351" t="s">
        <v>2768</v>
      </c>
      <c r="B336" s="351">
        <v>25.0</v>
      </c>
      <c r="C336" s="351">
        <v>1.68</v>
      </c>
    </row>
    <row r="337">
      <c r="A337" s="351" t="s">
        <v>2571</v>
      </c>
      <c r="B337" s="351">
        <v>65.0</v>
      </c>
      <c r="C337" s="351">
        <v>1.43</v>
      </c>
    </row>
    <row r="338">
      <c r="A338" s="351" t="s">
        <v>2769</v>
      </c>
      <c r="B338" s="351">
        <v>5.0</v>
      </c>
      <c r="C338" s="351">
        <v>1.4</v>
      </c>
    </row>
    <row r="339">
      <c r="A339" s="351" t="s">
        <v>2770</v>
      </c>
      <c r="B339" s="351">
        <v>12.0</v>
      </c>
      <c r="C339" s="351">
        <v>1.42</v>
      </c>
    </row>
    <row r="340">
      <c r="A340" s="351" t="s">
        <v>2771</v>
      </c>
      <c r="B340" s="351">
        <v>60.0</v>
      </c>
      <c r="C340" s="351">
        <v>1.58</v>
      </c>
    </row>
    <row r="341">
      <c r="A341" s="351" t="s">
        <v>2772</v>
      </c>
      <c r="B341" s="351">
        <v>87.0</v>
      </c>
      <c r="C341" s="351">
        <v>1.64</v>
      </c>
    </row>
    <row r="342">
      <c r="A342" s="351" t="s">
        <v>2807</v>
      </c>
      <c r="B342" s="351">
        <v>3.0</v>
      </c>
      <c r="C342" s="351">
        <v>1.33</v>
      </c>
    </row>
    <row r="343">
      <c r="A343" s="351" t="s">
        <v>2773</v>
      </c>
      <c r="B343" s="351">
        <v>3.0</v>
      </c>
      <c r="C343" s="351">
        <v>1.33</v>
      </c>
    </row>
    <row r="344">
      <c r="A344" s="351" t="s">
        <v>2774</v>
      </c>
      <c r="B344" s="351">
        <v>2.0</v>
      </c>
      <c r="C344" s="351">
        <v>1.5</v>
      </c>
    </row>
    <row r="345">
      <c r="A345" s="351" t="s">
        <v>2775</v>
      </c>
      <c r="B345" s="351">
        <v>101.0</v>
      </c>
      <c r="C345" s="351">
        <v>2.08</v>
      </c>
    </row>
    <row r="346">
      <c r="A346" s="351" t="s">
        <v>2776</v>
      </c>
      <c r="B346" s="351">
        <v>4.0</v>
      </c>
      <c r="C346" s="351">
        <v>1.5</v>
      </c>
    </row>
    <row r="347">
      <c r="A347" s="351" t="s">
        <v>2585</v>
      </c>
      <c r="B347" s="351">
        <v>13.0</v>
      </c>
      <c r="C347" s="351">
        <v>1.69</v>
      </c>
    </row>
    <row r="348">
      <c r="A348" s="351" t="s">
        <v>2777</v>
      </c>
      <c r="B348" s="351">
        <v>4.0</v>
      </c>
      <c r="C348" s="351">
        <v>2.75</v>
      </c>
    </row>
    <row r="349">
      <c r="A349" s="351" t="s">
        <v>2778</v>
      </c>
      <c r="B349" s="351">
        <v>7.0</v>
      </c>
      <c r="C349" s="351">
        <v>1.57</v>
      </c>
    </row>
    <row r="350">
      <c r="A350" s="351" t="s">
        <v>2779</v>
      </c>
      <c r="B350" s="351">
        <v>14.0</v>
      </c>
      <c r="C350" s="351">
        <v>1.79</v>
      </c>
    </row>
    <row r="351">
      <c r="A351" s="351" t="s">
        <v>2780</v>
      </c>
      <c r="B351" s="351">
        <v>6.0</v>
      </c>
      <c r="C351" s="351">
        <v>2.33</v>
      </c>
    </row>
    <row r="352">
      <c r="A352" s="351" t="s">
        <v>2781</v>
      </c>
      <c r="B352" s="351">
        <v>3.0</v>
      </c>
      <c r="C352" s="351">
        <v>1.33</v>
      </c>
    </row>
    <row r="353">
      <c r="A353" s="351" t="s">
        <v>2782</v>
      </c>
      <c r="B353" s="351">
        <v>11.0</v>
      </c>
      <c r="C353" s="351">
        <v>1.27</v>
      </c>
    </row>
    <row r="354">
      <c r="A354" s="351" t="s">
        <v>2783</v>
      </c>
      <c r="B354" s="351">
        <v>57.0</v>
      </c>
      <c r="C354" s="351">
        <v>1.81</v>
      </c>
    </row>
    <row r="355">
      <c r="A355" s="351" t="s">
        <v>2784</v>
      </c>
      <c r="B355" s="351">
        <v>23.0</v>
      </c>
      <c r="C355" s="351">
        <v>1.39</v>
      </c>
    </row>
    <row r="356">
      <c r="A356" s="351" t="s">
        <v>2785</v>
      </c>
      <c r="B356" s="351">
        <v>20.0</v>
      </c>
      <c r="C356" s="351">
        <v>1.6</v>
      </c>
    </row>
    <row r="357">
      <c r="A357" s="351" t="s">
        <v>2786</v>
      </c>
      <c r="B357" s="351">
        <v>82.0</v>
      </c>
      <c r="C357" s="351">
        <v>1.43</v>
      </c>
    </row>
    <row r="358">
      <c r="A358" s="351" t="s">
        <v>2787</v>
      </c>
      <c r="B358" s="351">
        <v>60.0</v>
      </c>
      <c r="C358" s="351">
        <v>1.57</v>
      </c>
    </row>
    <row r="359">
      <c r="A359" s="351" t="s">
        <v>2788</v>
      </c>
      <c r="B359" s="351">
        <v>2.0</v>
      </c>
      <c r="C359" s="351">
        <v>2.0</v>
      </c>
    </row>
    <row r="360">
      <c r="A360" s="351" t="s">
        <v>2789</v>
      </c>
      <c r="B360" s="351">
        <v>44.0</v>
      </c>
      <c r="C360" s="351">
        <v>1.91</v>
      </c>
    </row>
    <row r="361">
      <c r="A361" s="351" t="s">
        <v>2594</v>
      </c>
      <c r="B361" s="351">
        <v>14.0</v>
      </c>
      <c r="C361" s="351">
        <v>1.93</v>
      </c>
    </row>
    <row r="362">
      <c r="A362" s="351" t="s">
        <v>2595</v>
      </c>
      <c r="B362" s="351">
        <v>26.0</v>
      </c>
      <c r="C362" s="351">
        <v>2.04</v>
      </c>
    </row>
    <row r="363">
      <c r="A363" s="351" t="s">
        <v>2790</v>
      </c>
      <c r="B363" s="351">
        <v>31.0</v>
      </c>
      <c r="C363" s="351">
        <v>2.0</v>
      </c>
    </row>
    <row r="364">
      <c r="A364" s="351" t="s">
        <v>883</v>
      </c>
      <c r="B364" s="351">
        <v>35.0</v>
      </c>
      <c r="C364" s="351">
        <v>1.77</v>
      </c>
    </row>
    <row r="365">
      <c r="A365" s="351" t="s">
        <v>2677</v>
      </c>
      <c r="B365" s="351">
        <v>21.0</v>
      </c>
      <c r="C365" s="351">
        <v>2.0</v>
      </c>
    </row>
    <row r="366">
      <c r="A366" s="351" t="s">
        <v>2791</v>
      </c>
      <c r="B366" s="351">
        <v>9.0</v>
      </c>
      <c r="C366" s="351">
        <v>1.67</v>
      </c>
    </row>
    <row r="367">
      <c r="A367" s="351" t="s">
        <v>2792</v>
      </c>
      <c r="B367" s="351">
        <v>6.0</v>
      </c>
      <c r="C367" s="351">
        <v>2.17</v>
      </c>
    </row>
    <row r="368">
      <c r="A368" s="351" t="s">
        <v>2794</v>
      </c>
      <c r="B368" s="351">
        <v>7.0</v>
      </c>
      <c r="C368" s="351">
        <v>2.43</v>
      </c>
    </row>
    <row r="369">
      <c r="A369" s="351" t="s">
        <v>2395</v>
      </c>
      <c r="B369" s="851">
        <v>1767.0</v>
      </c>
      <c r="C369" s="351">
        <v>1.7</v>
      </c>
    </row>
  </sheetData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6.5"/>
    <col customWidth="1" min="12" max="12" width="13.63"/>
  </cols>
  <sheetData>
    <row r="1">
      <c r="A1" s="167"/>
      <c r="B1" s="168" t="s">
        <v>56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</row>
    <row r="2">
      <c r="A2" s="169" t="s">
        <v>172</v>
      </c>
      <c r="B2" s="170" t="s">
        <v>174</v>
      </c>
      <c r="C2" s="171" t="s">
        <v>693</v>
      </c>
      <c r="D2" s="172" t="s">
        <v>694</v>
      </c>
      <c r="E2" s="172" t="s">
        <v>695</v>
      </c>
      <c r="F2" s="172" t="s">
        <v>179</v>
      </c>
      <c r="G2" s="172" t="s">
        <v>696</v>
      </c>
      <c r="H2" s="173" t="s">
        <v>697</v>
      </c>
      <c r="I2" s="174" t="s">
        <v>84</v>
      </c>
      <c r="J2" s="170" t="s">
        <v>698</v>
      </c>
      <c r="K2" s="175" t="s">
        <v>699</v>
      </c>
      <c r="L2" s="173" t="s">
        <v>89</v>
      </c>
      <c r="M2" s="176" t="s">
        <v>700</v>
      </c>
      <c r="N2" s="177" t="s">
        <v>701</v>
      </c>
      <c r="O2" s="177" t="s">
        <v>702</v>
      </c>
      <c r="P2" s="178" t="s">
        <v>90</v>
      </c>
      <c r="Q2" s="325" t="s">
        <v>703</v>
      </c>
    </row>
    <row r="3">
      <c r="A3" s="326" t="s">
        <v>1187</v>
      </c>
      <c r="B3" s="251">
        <f t="array" ref="B3">VLOOKUP($A3,ME_DEMO,2,FALSE)</f>
        <v>107914</v>
      </c>
      <c r="C3" s="327">
        <f>VLOOKUP($A3,'ME Data'!$A$2:$C$18,3,FALSE)</f>
        <v>341</v>
      </c>
      <c r="D3" s="253" t="s">
        <v>63</v>
      </c>
      <c r="E3" s="253" t="s">
        <v>63</v>
      </c>
      <c r="F3" s="253" t="s">
        <v>63</v>
      </c>
      <c r="G3" s="253" t="s">
        <v>63</v>
      </c>
      <c r="H3" s="254" t="s">
        <v>63</v>
      </c>
      <c r="I3" s="255" t="s">
        <v>63</v>
      </c>
      <c r="J3" s="852" t="s">
        <v>63</v>
      </c>
      <c r="K3" s="252" t="s">
        <v>63</v>
      </c>
      <c r="L3" s="329" t="s">
        <v>63</v>
      </c>
      <c r="M3" s="255" t="s">
        <v>63</v>
      </c>
      <c r="N3" s="255" t="s">
        <v>63</v>
      </c>
      <c r="O3" s="255" t="s">
        <v>63</v>
      </c>
      <c r="P3" s="261">
        <f>ifna(vlookup(A3,'Population &amp; Church Numbers'!$A$1180:$D$1195,4,FALSE),"NULL")</f>
        <v>63</v>
      </c>
      <c r="Q3" s="329" t="s">
        <v>63</v>
      </c>
    </row>
    <row r="4">
      <c r="A4" s="188" t="s">
        <v>1188</v>
      </c>
      <c r="B4" s="189">
        <f t="array" ref="B4">VLOOKUP($A4,ME_DEMO,2,FALSE)</f>
        <v>67318</v>
      </c>
      <c r="C4" s="333">
        <f>VLOOKUP($A4,'ME Data'!$A$2:$C$18,3,FALSE)</f>
        <v>228</v>
      </c>
      <c r="D4" s="265" t="s">
        <v>63</v>
      </c>
      <c r="E4" s="265" t="s">
        <v>63</v>
      </c>
      <c r="F4" s="265" t="s">
        <v>63</v>
      </c>
      <c r="G4" s="265" t="s">
        <v>63</v>
      </c>
      <c r="H4" s="266" t="s">
        <v>63</v>
      </c>
      <c r="I4" s="267" t="s">
        <v>63</v>
      </c>
      <c r="J4" s="853" t="s">
        <v>63</v>
      </c>
      <c r="K4" s="264" t="s">
        <v>63</v>
      </c>
      <c r="L4" s="334" t="s">
        <v>63</v>
      </c>
      <c r="M4" s="267" t="s">
        <v>63</v>
      </c>
      <c r="N4" s="267" t="s">
        <v>63</v>
      </c>
      <c r="O4" s="267" t="s">
        <v>63</v>
      </c>
      <c r="P4" s="272">
        <f>ifna(vlookup(A4,'Population &amp; Church Numbers'!$A$1180:$D$1195,4,FALSE),"NULL")</f>
        <v>88</v>
      </c>
      <c r="Q4" s="334" t="s">
        <v>63</v>
      </c>
    </row>
    <row r="5">
      <c r="A5" s="326" t="s">
        <v>713</v>
      </c>
      <c r="B5" s="251">
        <f t="array" ref="B5">VLOOKUP($A5,ME_DEMO,2,FALSE)</f>
        <v>293673</v>
      </c>
      <c r="C5" s="327">
        <f>VLOOKUP($A5,'ME Data'!$A$2:$C$18,3,FALSE)</f>
        <v>316</v>
      </c>
      <c r="D5" s="253" t="s">
        <v>63</v>
      </c>
      <c r="E5" s="253" t="s">
        <v>63</v>
      </c>
      <c r="F5" s="253" t="s">
        <v>63</v>
      </c>
      <c r="G5" s="253" t="s">
        <v>63</v>
      </c>
      <c r="H5" s="254" t="s">
        <v>63</v>
      </c>
      <c r="I5" s="255" t="s">
        <v>63</v>
      </c>
      <c r="J5" s="852" t="s">
        <v>63</v>
      </c>
      <c r="K5" s="252" t="s">
        <v>63</v>
      </c>
      <c r="L5" s="329" t="s">
        <v>63</v>
      </c>
      <c r="M5" s="255" t="s">
        <v>63</v>
      </c>
      <c r="N5" s="255" t="s">
        <v>63</v>
      </c>
      <c r="O5" s="255" t="s">
        <v>63</v>
      </c>
      <c r="P5" s="261">
        <f>ifna(vlookup(A5,'Population &amp; Church Numbers'!$A$1180:$D$1195,4,FALSE),"NULL")</f>
        <v>172</v>
      </c>
      <c r="Q5" s="329" t="s">
        <v>63</v>
      </c>
    </row>
    <row r="6">
      <c r="A6" s="188" t="s">
        <v>136</v>
      </c>
      <c r="B6" s="189">
        <f t="array" ref="B6">VLOOKUP($A6,ME_DEMO,2,FALSE)</f>
        <v>29915</v>
      </c>
      <c r="C6" s="333">
        <f>VLOOKUP($A6,'ME Data'!$A$2:$C$18,3,FALSE)</f>
        <v>50</v>
      </c>
      <c r="D6" s="265" t="s">
        <v>63</v>
      </c>
      <c r="E6" s="265" t="s">
        <v>63</v>
      </c>
      <c r="F6" s="265" t="s">
        <v>63</v>
      </c>
      <c r="G6" s="265" t="s">
        <v>63</v>
      </c>
      <c r="H6" s="266" t="s">
        <v>63</v>
      </c>
      <c r="I6" s="267" t="s">
        <v>63</v>
      </c>
      <c r="J6" s="853" t="s">
        <v>63</v>
      </c>
      <c r="K6" s="264" t="s">
        <v>63</v>
      </c>
      <c r="L6" s="334" t="s">
        <v>63</v>
      </c>
      <c r="M6" s="267" t="s">
        <v>63</v>
      </c>
      <c r="N6" s="267" t="s">
        <v>63</v>
      </c>
      <c r="O6" s="267" t="s">
        <v>63</v>
      </c>
      <c r="P6" s="272">
        <f>ifna(vlookup(A6,'Population &amp; Church Numbers'!$A$1180:$D$1195,4,FALSE),"NULL")</f>
        <v>37</v>
      </c>
      <c r="Q6" s="334" t="s">
        <v>63</v>
      </c>
    </row>
    <row r="7">
      <c r="A7" s="326" t="s">
        <v>587</v>
      </c>
      <c r="B7" s="251">
        <f t="array" ref="B7">VLOOKUP($A7,ME_DEMO,2,FALSE)</f>
        <v>54734</v>
      </c>
      <c r="C7" s="327">
        <f>VLOOKUP($A7,'ME Data'!$A$2:$C$18,3,FALSE)</f>
        <v>125</v>
      </c>
      <c r="D7" s="253" t="s">
        <v>63</v>
      </c>
      <c r="E7" s="253" t="s">
        <v>63</v>
      </c>
      <c r="F7" s="253" t="s">
        <v>63</v>
      </c>
      <c r="G7" s="253" t="s">
        <v>63</v>
      </c>
      <c r="H7" s="254" t="s">
        <v>63</v>
      </c>
      <c r="I7" s="255" t="s">
        <v>63</v>
      </c>
      <c r="J7" s="852" t="s">
        <v>63</v>
      </c>
      <c r="K7" s="252" t="s">
        <v>63</v>
      </c>
      <c r="L7" s="329" t="s">
        <v>63</v>
      </c>
      <c r="M7" s="255" t="s">
        <v>63</v>
      </c>
      <c r="N7" s="255" t="s">
        <v>63</v>
      </c>
      <c r="O7" s="255" t="s">
        <v>63</v>
      </c>
      <c r="P7" s="261">
        <f>ifna(vlookup(A7,'Population &amp; Church Numbers'!$A$1180:$D$1195,4,FALSE),"NULL")</f>
        <v>68</v>
      </c>
      <c r="Q7" s="329" t="s">
        <v>63</v>
      </c>
    </row>
    <row r="8">
      <c r="A8" s="188" t="s">
        <v>1189</v>
      </c>
      <c r="B8" s="189">
        <f t="array" ref="B8">VLOOKUP($A8,ME_DEMO,2,FALSE)</f>
        <v>122044</v>
      </c>
      <c r="C8" s="333">
        <f>VLOOKUP($A8,'ME Data'!$A$2:$C$18,3,FALSE)</f>
        <v>308</v>
      </c>
      <c r="D8" s="265" t="s">
        <v>63</v>
      </c>
      <c r="E8" s="265" t="s">
        <v>63</v>
      </c>
      <c r="F8" s="265" t="s">
        <v>63</v>
      </c>
      <c r="G8" s="265" t="s">
        <v>63</v>
      </c>
      <c r="H8" s="266" t="s">
        <v>63</v>
      </c>
      <c r="I8" s="267" t="s">
        <v>63</v>
      </c>
      <c r="J8" s="853" t="s">
        <v>63</v>
      </c>
      <c r="K8" s="264" t="s">
        <v>63</v>
      </c>
      <c r="L8" s="334" t="s">
        <v>63</v>
      </c>
      <c r="M8" s="267" t="s">
        <v>63</v>
      </c>
      <c r="N8" s="267" t="s">
        <v>63</v>
      </c>
      <c r="O8" s="267" t="s">
        <v>63</v>
      </c>
      <c r="P8" s="272">
        <f>ifna(vlookup(A8,'Population &amp; Church Numbers'!$A$1180:$D$1195,4,FALSE),"NULL")</f>
        <v>96</v>
      </c>
      <c r="Q8" s="334" t="s">
        <v>63</v>
      </c>
    </row>
    <row r="9">
      <c r="A9" s="326" t="s">
        <v>728</v>
      </c>
      <c r="B9" s="251">
        <f t="array" ref="B9">VLOOKUP($A9,ME_DEMO,2,FALSE)</f>
        <v>39717</v>
      </c>
      <c r="C9" s="327">
        <f>VLOOKUP($A9,'ME Data'!$A$2:$C$18,3,FALSE)</f>
        <v>59</v>
      </c>
      <c r="D9" s="253" t="s">
        <v>63</v>
      </c>
      <c r="E9" s="253" t="s">
        <v>63</v>
      </c>
      <c r="F9" s="253" t="s">
        <v>63</v>
      </c>
      <c r="G9" s="253" t="s">
        <v>63</v>
      </c>
      <c r="H9" s="254" t="s">
        <v>63</v>
      </c>
      <c r="I9" s="255" t="s">
        <v>63</v>
      </c>
      <c r="J9" s="852" t="s">
        <v>63</v>
      </c>
      <c r="K9" s="252" t="s">
        <v>63</v>
      </c>
      <c r="L9" s="329" t="s">
        <v>63</v>
      </c>
      <c r="M9" s="255" t="s">
        <v>63</v>
      </c>
      <c r="N9" s="255" t="s">
        <v>63</v>
      </c>
      <c r="O9" s="255" t="s">
        <v>63</v>
      </c>
      <c r="P9" s="261">
        <f>ifna(vlookup(A9,'Population &amp; Church Numbers'!$A$1180:$D$1195,4,FALSE),"NULL")</f>
        <v>44</v>
      </c>
      <c r="Q9" s="329" t="s">
        <v>63</v>
      </c>
    </row>
    <row r="10">
      <c r="A10" s="188" t="s">
        <v>290</v>
      </c>
      <c r="B10" s="189">
        <f t="array" ref="B10">VLOOKUP($A10,ME_DEMO,2,FALSE)</f>
        <v>34399</v>
      </c>
      <c r="C10" s="333">
        <f>VLOOKUP($A10,'ME Data'!$A$2:$C$18,3,FALSE)</f>
        <v>26</v>
      </c>
      <c r="D10" s="265" t="s">
        <v>63</v>
      </c>
      <c r="E10" s="265" t="s">
        <v>63</v>
      </c>
      <c r="F10" s="265" t="s">
        <v>63</v>
      </c>
      <c r="G10" s="265" t="s">
        <v>63</v>
      </c>
      <c r="H10" s="266" t="s">
        <v>63</v>
      </c>
      <c r="I10" s="267" t="s">
        <v>63</v>
      </c>
      <c r="J10" s="853" t="s">
        <v>63</v>
      </c>
      <c r="K10" s="264" t="s">
        <v>63</v>
      </c>
      <c r="L10" s="334" t="s">
        <v>63</v>
      </c>
      <c r="M10" s="267" t="s">
        <v>63</v>
      </c>
      <c r="N10" s="267" t="s">
        <v>63</v>
      </c>
      <c r="O10" s="267" t="s">
        <v>63</v>
      </c>
      <c r="P10" s="272">
        <f>ifna(vlookup(A10,'Population &amp; Church Numbers'!$A$1180:$D$1195,4,FALSE),"NULL")</f>
        <v>36</v>
      </c>
      <c r="Q10" s="334" t="s">
        <v>63</v>
      </c>
    </row>
    <row r="11">
      <c r="A11" s="326" t="s">
        <v>1190</v>
      </c>
      <c r="B11" s="251">
        <f t="array" ref="B11">VLOOKUP($A11,ME_DEMO,2,FALSE)</f>
        <v>57754</v>
      </c>
      <c r="C11" s="327">
        <f>VLOOKUP($A11,'ME Data'!$A$2:$C$18,3,FALSE)</f>
        <v>146</v>
      </c>
      <c r="D11" s="253" t="s">
        <v>63</v>
      </c>
      <c r="E11" s="253" t="s">
        <v>63</v>
      </c>
      <c r="F11" s="253" t="s">
        <v>63</v>
      </c>
      <c r="G11" s="253" t="s">
        <v>63</v>
      </c>
      <c r="H11" s="254" t="s">
        <v>63</v>
      </c>
      <c r="I11" s="255" t="s">
        <v>63</v>
      </c>
      <c r="J11" s="852" t="s">
        <v>63</v>
      </c>
      <c r="K11" s="252" t="s">
        <v>63</v>
      </c>
      <c r="L11" s="329" t="s">
        <v>63</v>
      </c>
      <c r="M11" s="255" t="s">
        <v>63</v>
      </c>
      <c r="N11" s="255" t="s">
        <v>63</v>
      </c>
      <c r="O11" s="255" t="s">
        <v>63</v>
      </c>
      <c r="P11" s="261">
        <f>ifna(vlookup(A11,'Population &amp; Church Numbers'!$A$1180:$D$1195,4,FALSE),"NULL")</f>
        <v>51</v>
      </c>
      <c r="Q11" s="329" t="s">
        <v>63</v>
      </c>
    </row>
    <row r="12">
      <c r="A12" s="188" t="s">
        <v>1191</v>
      </c>
      <c r="B12" s="189">
        <f t="array" ref="B12">VLOOKUP($A12,ME_DEMO,2,FALSE)</f>
        <v>151817</v>
      </c>
      <c r="C12" s="333">
        <f>VLOOKUP($A12,'ME Data'!$A$2:$C$18,3,FALSE)</f>
        <v>294</v>
      </c>
      <c r="D12" s="265" t="s">
        <v>63</v>
      </c>
      <c r="E12" s="265" t="s">
        <v>63</v>
      </c>
      <c r="F12" s="265" t="s">
        <v>63</v>
      </c>
      <c r="G12" s="265" t="s">
        <v>63</v>
      </c>
      <c r="H12" s="266" t="s">
        <v>63</v>
      </c>
      <c r="I12" s="267" t="s">
        <v>63</v>
      </c>
      <c r="J12" s="853" t="s">
        <v>63</v>
      </c>
      <c r="K12" s="264" t="s">
        <v>63</v>
      </c>
      <c r="L12" s="334" t="s">
        <v>63</v>
      </c>
      <c r="M12" s="267" t="s">
        <v>63</v>
      </c>
      <c r="N12" s="267" t="s">
        <v>63</v>
      </c>
      <c r="O12" s="267" t="s">
        <v>63</v>
      </c>
      <c r="P12" s="272">
        <f>ifna(vlookup(A12,'Population &amp; Church Numbers'!$A$1180:$D$1195,4,FALSE),"NULL")</f>
        <v>128</v>
      </c>
      <c r="Q12" s="334" t="s">
        <v>63</v>
      </c>
    </row>
    <row r="13">
      <c r="A13" s="326" t="s">
        <v>1192</v>
      </c>
      <c r="B13" s="251">
        <f t="array" ref="B13">VLOOKUP($A13,ME_DEMO,2,FALSE)</f>
        <v>16746</v>
      </c>
      <c r="C13" s="327">
        <f>VLOOKUP($A13,'ME Data'!$A$2:$C$18,3,FALSE)</f>
        <v>36</v>
      </c>
      <c r="D13" s="253" t="s">
        <v>63</v>
      </c>
      <c r="E13" s="253" t="s">
        <v>63</v>
      </c>
      <c r="F13" s="253" t="s">
        <v>63</v>
      </c>
      <c r="G13" s="253" t="s">
        <v>63</v>
      </c>
      <c r="H13" s="254" t="s">
        <v>63</v>
      </c>
      <c r="I13" s="255" t="s">
        <v>63</v>
      </c>
      <c r="J13" s="852" t="s">
        <v>63</v>
      </c>
      <c r="K13" s="252" t="s">
        <v>63</v>
      </c>
      <c r="L13" s="329" t="s">
        <v>63</v>
      </c>
      <c r="M13" s="255" t="s">
        <v>63</v>
      </c>
      <c r="N13" s="255" t="s">
        <v>63</v>
      </c>
      <c r="O13" s="255" t="s">
        <v>63</v>
      </c>
      <c r="P13" s="261">
        <f>ifna(vlookup(A13,'Population &amp; Church Numbers'!$A$1180:$D$1195,4,FALSE),"NULL")</f>
        <v>24</v>
      </c>
      <c r="Q13" s="329" t="s">
        <v>63</v>
      </c>
    </row>
    <row r="14">
      <c r="A14" s="188" t="s">
        <v>1193</v>
      </c>
      <c r="B14" s="189">
        <f t="array" ref="B14">VLOOKUP($A14,ME_DEMO,2,FALSE)</f>
        <v>35690</v>
      </c>
      <c r="C14" s="333">
        <f>VLOOKUP($A14,'ME Data'!$A$2:$C$18,3,FALSE)</f>
        <v>48</v>
      </c>
      <c r="D14" s="265" t="s">
        <v>63</v>
      </c>
      <c r="E14" s="265" t="s">
        <v>63</v>
      </c>
      <c r="F14" s="265" t="s">
        <v>63</v>
      </c>
      <c r="G14" s="265" t="s">
        <v>63</v>
      </c>
      <c r="H14" s="266" t="s">
        <v>63</v>
      </c>
      <c r="I14" s="267" t="s">
        <v>63</v>
      </c>
      <c r="J14" s="853" t="s">
        <v>63</v>
      </c>
      <c r="K14" s="264" t="s">
        <v>63</v>
      </c>
      <c r="L14" s="334" t="s">
        <v>63</v>
      </c>
      <c r="M14" s="267" t="s">
        <v>63</v>
      </c>
      <c r="N14" s="267" t="s">
        <v>63</v>
      </c>
      <c r="O14" s="267" t="s">
        <v>63</v>
      </c>
      <c r="P14" s="272">
        <f>ifna(vlookup(A14,'Population &amp; Church Numbers'!$A$1180:$D$1195,4,FALSE),"NULL")</f>
        <v>34</v>
      </c>
      <c r="Q14" s="334" t="s">
        <v>63</v>
      </c>
    </row>
    <row r="15">
      <c r="A15" s="326" t="s">
        <v>1194</v>
      </c>
      <c r="B15" s="251">
        <f t="array" ref="B15">VLOOKUP($A15,ME_DEMO,2,FALSE)</f>
        <v>50489</v>
      </c>
      <c r="C15" s="327">
        <f>VLOOKUP($A15,'ME Data'!$A$2:$C$18,3,FALSE)</f>
        <v>238</v>
      </c>
      <c r="D15" s="253" t="s">
        <v>63</v>
      </c>
      <c r="E15" s="253" t="s">
        <v>63</v>
      </c>
      <c r="F15" s="253" t="s">
        <v>63</v>
      </c>
      <c r="G15" s="253" t="s">
        <v>63</v>
      </c>
      <c r="H15" s="254" t="s">
        <v>63</v>
      </c>
      <c r="I15" s="255" t="s">
        <v>63</v>
      </c>
      <c r="J15" s="852" t="s">
        <v>63</v>
      </c>
      <c r="K15" s="252" t="s">
        <v>63</v>
      </c>
      <c r="L15" s="329" t="s">
        <v>63</v>
      </c>
      <c r="M15" s="255" t="s">
        <v>63</v>
      </c>
      <c r="N15" s="255" t="s">
        <v>63</v>
      </c>
      <c r="O15" s="255" t="s">
        <v>63</v>
      </c>
      <c r="P15" s="261">
        <f>ifna(vlookup(A15,'Population &amp; Church Numbers'!$A$1180:$D$1195,4,FALSE),"NULL")</f>
        <v>47</v>
      </c>
      <c r="Q15" s="329" t="s">
        <v>63</v>
      </c>
    </row>
    <row r="16">
      <c r="A16" s="188" t="s">
        <v>1195</v>
      </c>
      <c r="B16" s="189">
        <f t="array" ref="B16">VLOOKUP($A16,ME_DEMO,2,FALSE)</f>
        <v>39657</v>
      </c>
      <c r="C16" s="333">
        <f>VLOOKUP($A16,'ME Data'!$A$2:$C$18,3,FALSE)</f>
        <v>109</v>
      </c>
      <c r="D16" s="265" t="s">
        <v>63</v>
      </c>
      <c r="E16" s="265" t="s">
        <v>63</v>
      </c>
      <c r="F16" s="265" t="s">
        <v>63</v>
      </c>
      <c r="G16" s="265" t="s">
        <v>63</v>
      </c>
      <c r="H16" s="266" t="s">
        <v>63</v>
      </c>
      <c r="I16" s="267" t="s">
        <v>63</v>
      </c>
      <c r="J16" s="853" t="s">
        <v>63</v>
      </c>
      <c r="K16" s="264" t="s">
        <v>63</v>
      </c>
      <c r="L16" s="334" t="s">
        <v>63</v>
      </c>
      <c r="M16" s="267" t="s">
        <v>63</v>
      </c>
      <c r="N16" s="267" t="s">
        <v>63</v>
      </c>
      <c r="O16" s="267" t="s">
        <v>63</v>
      </c>
      <c r="P16" s="272">
        <f>ifna(vlookup(A16,'Population &amp; Church Numbers'!$A$1180:$D$1195,4,FALSE),"NULL")</f>
        <v>33</v>
      </c>
      <c r="Q16" s="334" t="s">
        <v>63</v>
      </c>
    </row>
    <row r="17">
      <c r="A17" s="326" t="s">
        <v>119</v>
      </c>
      <c r="B17" s="251">
        <f t="array" ref="B17">VLOOKUP($A17,ME_DEMO,2,FALSE)</f>
        <v>31321</v>
      </c>
      <c r="C17" s="327">
        <f>VLOOKUP($A17,'ME Data'!$A$2:$C$18,3,FALSE)</f>
        <v>44</v>
      </c>
      <c r="D17" s="253" t="s">
        <v>63</v>
      </c>
      <c r="E17" s="253" t="s">
        <v>63</v>
      </c>
      <c r="F17" s="253" t="s">
        <v>63</v>
      </c>
      <c r="G17" s="253" t="s">
        <v>63</v>
      </c>
      <c r="H17" s="254" t="s">
        <v>63</v>
      </c>
      <c r="I17" s="255" t="s">
        <v>63</v>
      </c>
      <c r="J17" s="852" t="s">
        <v>63</v>
      </c>
      <c r="K17" s="252" t="s">
        <v>63</v>
      </c>
      <c r="L17" s="329" t="s">
        <v>63</v>
      </c>
      <c r="M17" s="255" t="s">
        <v>63</v>
      </c>
      <c r="N17" s="255" t="s">
        <v>63</v>
      </c>
      <c r="O17" s="255" t="s">
        <v>63</v>
      </c>
      <c r="P17" s="261">
        <f>ifna(vlookup(A17,'Population &amp; Church Numbers'!$A$1180:$D$1195,4,FALSE),"NULL")</f>
        <v>50</v>
      </c>
      <c r="Q17" s="329" t="s">
        <v>63</v>
      </c>
    </row>
    <row r="18">
      <c r="A18" s="188" t="s">
        <v>1196</v>
      </c>
      <c r="B18" s="189">
        <f t="array" ref="B18">VLOOKUP($A18,ME_DEMO,2,FALSE)</f>
        <v>205869</v>
      </c>
      <c r="C18" s="333">
        <f>VLOOKUP($A18,'ME Data'!$A$2:$C$18,3,FALSE)</f>
        <v>213</v>
      </c>
      <c r="D18" s="265" t="s">
        <v>63</v>
      </c>
      <c r="E18" s="265" t="s">
        <v>63</v>
      </c>
      <c r="F18" s="265" t="s">
        <v>63</v>
      </c>
      <c r="G18" s="265" t="s">
        <v>63</v>
      </c>
      <c r="H18" s="266" t="s">
        <v>63</v>
      </c>
      <c r="I18" s="267" t="s">
        <v>63</v>
      </c>
      <c r="J18" s="853" t="s">
        <v>63</v>
      </c>
      <c r="K18" s="264" t="s">
        <v>63</v>
      </c>
      <c r="L18" s="334" t="s">
        <v>63</v>
      </c>
      <c r="M18" s="267" t="s">
        <v>63</v>
      </c>
      <c r="N18" s="267" t="s">
        <v>63</v>
      </c>
      <c r="O18" s="267" t="s">
        <v>63</v>
      </c>
      <c r="P18" s="272">
        <f>ifna(vlookup(A18,'Population &amp; Church Numbers'!$A$1180:$D$1195,4,FALSE),"NULL")</f>
        <v>116</v>
      </c>
      <c r="Q18" s="334" t="s">
        <v>63</v>
      </c>
    </row>
    <row r="19">
      <c r="A19" s="217"/>
      <c r="B19" s="218"/>
      <c r="C19" s="219"/>
      <c r="D19" s="220"/>
      <c r="E19" s="220"/>
      <c r="F19" s="220"/>
      <c r="G19" s="220"/>
      <c r="H19" s="221"/>
      <c r="I19" s="222"/>
      <c r="J19" s="223"/>
      <c r="K19" s="219"/>
      <c r="L19" s="224"/>
      <c r="M19" s="225"/>
      <c r="N19" s="226"/>
      <c r="O19" s="220"/>
      <c r="P19" s="221"/>
      <c r="Q19" s="295"/>
    </row>
    <row r="20">
      <c r="A20" s="228" t="s">
        <v>2</v>
      </c>
      <c r="B20" s="229"/>
      <c r="C20" s="230">
        <f>SUM(C3:C18)</f>
        <v>2581</v>
      </c>
      <c r="D20" s="231" t="s">
        <v>63</v>
      </c>
      <c r="E20" s="231" t="s">
        <v>63</v>
      </c>
      <c r="F20" s="231" t="s">
        <v>63</v>
      </c>
      <c r="G20" s="231" t="s">
        <v>63</v>
      </c>
      <c r="H20" s="359">
        <f>AFCARSCSC!D23</f>
        <v>1767</v>
      </c>
      <c r="I20" s="433">
        <f>AFCARSCSC!C23</f>
        <v>107</v>
      </c>
      <c r="J20" s="622">
        <f>'AL Data'!B274</f>
        <v>4558</v>
      </c>
      <c r="K20" s="236" t="s">
        <v>63</v>
      </c>
      <c r="L20" s="236" t="s">
        <v>63</v>
      </c>
      <c r="M20" s="236" t="s">
        <v>63</v>
      </c>
      <c r="N20" s="236" t="s">
        <v>63</v>
      </c>
      <c r="O20" s="236" t="s">
        <v>63</v>
      </c>
      <c r="P20" s="233">
        <f>SUM(P3:P18)</f>
        <v>1087</v>
      </c>
      <c r="Q20" s="239" t="s">
        <v>63</v>
      </c>
    </row>
  </sheetData>
  <autoFilter ref="$A$2:$Q$18"/>
  <mergeCells count="1">
    <mergeCell ref="B1:Q1"/>
  </mergeCells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75" t="s">
        <v>1040</v>
      </c>
      <c r="B1" s="276"/>
      <c r="C1" s="276"/>
      <c r="D1" s="276"/>
      <c r="E1" s="275" t="s">
        <v>765</v>
      </c>
      <c r="F1" s="275" t="s">
        <v>2808</v>
      </c>
      <c r="G1" s="276"/>
      <c r="H1" s="276"/>
      <c r="I1" s="275" t="s">
        <v>767</v>
      </c>
      <c r="J1" s="277">
        <v>45442.0</v>
      </c>
      <c r="K1" s="275" t="s">
        <v>769</v>
      </c>
      <c r="L1" s="277">
        <v>45383.0</v>
      </c>
      <c r="M1" s="276"/>
    </row>
    <row r="2">
      <c r="A2" s="855" t="s">
        <v>56</v>
      </c>
      <c r="B2" s="856" t="s">
        <v>2421</v>
      </c>
      <c r="C2" s="857">
        <v>2581.0</v>
      </c>
    </row>
    <row r="3">
      <c r="A3" s="858" t="s">
        <v>1187</v>
      </c>
      <c r="B3" s="859" t="s">
        <v>2421</v>
      </c>
      <c r="C3" s="860">
        <v>341.0</v>
      </c>
    </row>
    <row r="4">
      <c r="A4" s="858" t="s">
        <v>1188</v>
      </c>
      <c r="B4" s="859" t="s">
        <v>2421</v>
      </c>
      <c r="C4" s="860">
        <v>228.0</v>
      </c>
    </row>
    <row r="5">
      <c r="A5" s="858" t="s">
        <v>713</v>
      </c>
      <c r="B5" s="859" t="s">
        <v>2421</v>
      </c>
      <c r="C5" s="860">
        <v>316.0</v>
      </c>
    </row>
    <row r="6">
      <c r="A6" s="858" t="s">
        <v>136</v>
      </c>
      <c r="B6" s="859" t="s">
        <v>2421</v>
      </c>
      <c r="C6" s="860">
        <v>50.0</v>
      </c>
    </row>
    <row r="7">
      <c r="A7" s="858" t="s">
        <v>587</v>
      </c>
      <c r="B7" s="859" t="s">
        <v>2421</v>
      </c>
      <c r="C7" s="860">
        <v>125.0</v>
      </c>
    </row>
    <row r="8">
      <c r="A8" s="858" t="s">
        <v>1189</v>
      </c>
      <c r="B8" s="859" t="s">
        <v>2421</v>
      </c>
      <c r="C8" s="860">
        <v>308.0</v>
      </c>
    </row>
    <row r="9">
      <c r="A9" s="858" t="s">
        <v>728</v>
      </c>
      <c r="B9" s="859" t="s">
        <v>2421</v>
      </c>
      <c r="C9" s="860">
        <v>59.0</v>
      </c>
    </row>
    <row r="10">
      <c r="A10" s="858" t="s">
        <v>290</v>
      </c>
      <c r="B10" s="859" t="s">
        <v>2421</v>
      </c>
      <c r="C10" s="860">
        <v>26.0</v>
      </c>
    </row>
    <row r="11">
      <c r="A11" s="858" t="s">
        <v>1190</v>
      </c>
      <c r="B11" s="859" t="s">
        <v>2421</v>
      </c>
      <c r="C11" s="860">
        <v>146.0</v>
      </c>
    </row>
    <row r="12">
      <c r="A12" s="858" t="s">
        <v>1191</v>
      </c>
      <c r="B12" s="859" t="s">
        <v>2421</v>
      </c>
      <c r="C12" s="860">
        <v>294.0</v>
      </c>
    </row>
    <row r="13">
      <c r="A13" s="858" t="s">
        <v>1192</v>
      </c>
      <c r="B13" s="859" t="s">
        <v>2421</v>
      </c>
      <c r="C13" s="860">
        <v>36.0</v>
      </c>
    </row>
    <row r="14">
      <c r="A14" s="858" t="s">
        <v>1193</v>
      </c>
      <c r="B14" s="859" t="s">
        <v>2421</v>
      </c>
      <c r="C14" s="860">
        <v>48.0</v>
      </c>
    </row>
    <row r="15">
      <c r="A15" s="858" t="s">
        <v>1194</v>
      </c>
      <c r="B15" s="859" t="s">
        <v>2421</v>
      </c>
      <c r="C15" s="860">
        <v>238.0</v>
      </c>
    </row>
    <row r="16">
      <c r="A16" s="858" t="s">
        <v>1195</v>
      </c>
      <c r="B16" s="859" t="s">
        <v>2421</v>
      </c>
      <c r="C16" s="860">
        <v>109.0</v>
      </c>
    </row>
    <row r="17">
      <c r="A17" s="858" t="s">
        <v>119</v>
      </c>
      <c r="B17" s="859" t="s">
        <v>2421</v>
      </c>
      <c r="C17" s="860">
        <v>44.0</v>
      </c>
    </row>
    <row r="18">
      <c r="A18" s="861" t="s">
        <v>1196</v>
      </c>
      <c r="B18" s="862" t="s">
        <v>2421</v>
      </c>
      <c r="C18" s="863">
        <v>213.0</v>
      </c>
    </row>
    <row r="50">
      <c r="A50" s="275" t="s">
        <v>792</v>
      </c>
      <c r="B50" s="276"/>
      <c r="C50" s="276"/>
      <c r="D50" s="276"/>
      <c r="E50" s="275" t="s">
        <v>765</v>
      </c>
      <c r="F50" s="276"/>
      <c r="G50" s="276"/>
      <c r="H50" s="276"/>
      <c r="I50" s="275" t="s">
        <v>767</v>
      </c>
      <c r="J50" s="276"/>
      <c r="K50" s="275" t="s">
        <v>769</v>
      </c>
      <c r="L50" s="276"/>
      <c r="M50" s="276"/>
    </row>
    <row r="100">
      <c r="A100" s="275" t="s">
        <v>852</v>
      </c>
      <c r="B100" s="276"/>
      <c r="C100" s="276"/>
      <c r="D100" s="276"/>
      <c r="E100" s="275" t="s">
        <v>765</v>
      </c>
      <c r="F100" s="276"/>
      <c r="G100" s="276"/>
      <c r="H100" s="276"/>
      <c r="I100" s="275" t="s">
        <v>767</v>
      </c>
      <c r="J100" s="276"/>
      <c r="K100" s="275" t="s">
        <v>769</v>
      </c>
      <c r="L100" s="276"/>
      <c r="M100" s="276"/>
    </row>
  </sheetData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8.63"/>
    <col customWidth="1" min="12" max="12" width="13.5"/>
  </cols>
  <sheetData>
    <row r="1">
      <c r="A1" s="167"/>
      <c r="B1" s="168" t="s">
        <v>57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</row>
    <row r="2">
      <c r="A2" s="169" t="s">
        <v>172</v>
      </c>
      <c r="B2" s="170" t="s">
        <v>174</v>
      </c>
      <c r="C2" s="171" t="s">
        <v>693</v>
      </c>
      <c r="D2" s="172" t="s">
        <v>694</v>
      </c>
      <c r="E2" s="172" t="s">
        <v>695</v>
      </c>
      <c r="F2" s="172" t="s">
        <v>179</v>
      </c>
      <c r="G2" s="172" t="s">
        <v>696</v>
      </c>
      <c r="H2" s="173" t="s">
        <v>697</v>
      </c>
      <c r="I2" s="174" t="s">
        <v>84</v>
      </c>
      <c r="J2" s="170" t="s">
        <v>698</v>
      </c>
      <c r="K2" s="175" t="s">
        <v>699</v>
      </c>
      <c r="L2" s="173" t="s">
        <v>89</v>
      </c>
      <c r="M2" s="176" t="s">
        <v>700</v>
      </c>
      <c r="N2" s="870" t="s">
        <v>701</v>
      </c>
      <c r="O2" s="870" t="s">
        <v>702</v>
      </c>
      <c r="P2" s="178" t="s">
        <v>90</v>
      </c>
      <c r="Q2" s="325" t="s">
        <v>703</v>
      </c>
    </row>
    <row r="3">
      <c r="A3" s="326" t="s">
        <v>1197</v>
      </c>
      <c r="B3" s="251">
        <f t="array" ref="B3">VLOOKUP($A3,MD_DEMO,2,FALSE)</f>
        <v>68106</v>
      </c>
      <c r="C3" s="327">
        <f>(VLOOKUP($A3,'MD Data'!$A$2:$F$27,2,FALSE))</f>
        <v>37</v>
      </c>
      <c r="D3" s="253">
        <f>(VLOOKUP($A3,'MD Data'!$A$149:$B$172,2,FALSE))</f>
        <v>2.4</v>
      </c>
      <c r="E3" s="253">
        <f>(VLOOKUP($A3,'MD Data'!$A$2:$F$27,3,FALSE))</f>
        <v>7</v>
      </c>
      <c r="F3" s="253">
        <f>(VLOOKUP($A3,'MD Data'!$A$2:$F$27,4,FALSE))</f>
        <v>10</v>
      </c>
      <c r="G3" s="253">
        <f>(VLOOKUP($A3,'MD Data'!$A$120:$B$143,2,FALSE))</f>
        <v>18</v>
      </c>
      <c r="H3" s="254">
        <f>vlookup($A3,MD_FOSTER,2,FALSE)</f>
        <v>46</v>
      </c>
      <c r="I3" s="255">
        <f>vlookup($A3,MD_ADOPT,2,FALSE)</f>
        <v>14</v>
      </c>
      <c r="J3" s="256" t="s">
        <v>63</v>
      </c>
      <c r="K3" s="876">
        <f>(VLOOKUP($A3,'MD Data'!$A$179:$B$202,2,FALSE))</f>
        <v>0.8409</v>
      </c>
      <c r="L3" s="877">
        <f>vlookup($A3,MD_INHOME,2,FALSE)</f>
        <v>35</v>
      </c>
      <c r="M3" s="252" t="s">
        <v>63</v>
      </c>
      <c r="N3" s="253" t="s">
        <v>63</v>
      </c>
      <c r="O3" s="253" t="s">
        <v>63</v>
      </c>
      <c r="P3" s="878">
        <f>ifna(vlookup(A3,'Population &amp; Church Numbers'!$A$1196:$D$1219,4,FALSE),"NULL")</f>
        <v>104</v>
      </c>
      <c r="Q3" s="329" t="s">
        <v>63</v>
      </c>
    </row>
    <row r="4">
      <c r="A4" s="188" t="s">
        <v>620</v>
      </c>
      <c r="B4" s="189">
        <f t="array" ref="B4">VLOOKUP($A4,MD_DEMO,2,FALSE)</f>
        <v>588261</v>
      </c>
      <c r="C4" s="333">
        <f>(VLOOKUP($A4,'MD Data'!$A$2:$F$27,2,FALSE))</f>
        <v>95</v>
      </c>
      <c r="D4" s="265">
        <f>(VLOOKUP($A4,'MD Data'!$A$149:$B$172,2,FALSE))</f>
        <v>1.4</v>
      </c>
      <c r="E4" s="265">
        <f>(VLOOKUP($A4,'MD Data'!$A$2:$F$27,3,FALSE))</f>
        <v>57</v>
      </c>
      <c r="F4" s="265">
        <f>(VLOOKUP($A4,'MD Data'!$A$2:$F$27,4,FALSE))</f>
        <v>9</v>
      </c>
      <c r="G4" s="265">
        <f>(VLOOKUP($A4,'MD Data'!$A$120:$B$143,2,FALSE))</f>
        <v>59</v>
      </c>
      <c r="H4" s="266">
        <f>vlookup($A4,MD_FOSTER,2,FALSE)</f>
        <v>72</v>
      </c>
      <c r="I4" s="267">
        <f>vlookup($A4,MD_ADOPT,2,FALSE)</f>
        <v>10</v>
      </c>
      <c r="J4" s="268" t="s">
        <v>63</v>
      </c>
      <c r="K4" s="879">
        <f>(VLOOKUP($A4,'MD Data'!$A$179:$B$202,2,FALSE))</f>
        <v>0.661</v>
      </c>
      <c r="L4" s="880">
        <f>vlookup($A4,MD_INHOME,2,FALSE)</f>
        <v>105</v>
      </c>
      <c r="M4" s="264" t="s">
        <v>63</v>
      </c>
      <c r="N4" s="265" t="s">
        <v>63</v>
      </c>
      <c r="O4" s="265" t="s">
        <v>63</v>
      </c>
      <c r="P4" s="881">
        <f>ifna(vlookup(A4,'Population &amp; Church Numbers'!$A$1196:$D$1219,4,FALSE),"NULL")</f>
        <v>286</v>
      </c>
      <c r="Q4" s="334" t="s">
        <v>63</v>
      </c>
    </row>
    <row r="5">
      <c r="A5" s="326" t="s">
        <v>503</v>
      </c>
      <c r="B5" s="251">
        <f t="array" ref="B5">VLOOKUP($A5,MD_DEMO,2,FALSE)</f>
        <v>854535</v>
      </c>
      <c r="C5" s="327">
        <f>(VLOOKUP($A5,'MD Data'!$A$2:$F$27,2,FALSE))</f>
        <v>573</v>
      </c>
      <c r="D5" s="253">
        <f>(VLOOKUP($A5,'MD Data'!$A$149:$B$172,2,FALSE))</f>
        <v>1.3</v>
      </c>
      <c r="E5" s="253">
        <f>(VLOOKUP($A5,'MD Data'!$A$2:$F$27,3,FALSE))</f>
        <v>246</v>
      </c>
      <c r="F5" s="253">
        <f>(VLOOKUP($A5,'MD Data'!$A$2:$F$27,4,FALSE))</f>
        <v>190</v>
      </c>
      <c r="G5" s="253">
        <f>(VLOOKUP($A5,'MD Data'!$A$120:$B$143,2,FALSE))</f>
        <v>269</v>
      </c>
      <c r="H5" s="254">
        <f>vlookup($A5,MD_FOSTER,2,FALSE)</f>
        <v>338</v>
      </c>
      <c r="I5" s="255">
        <f>vlookup($A5,MD_ADOPT,2,FALSE)</f>
        <v>83</v>
      </c>
      <c r="J5" s="256" t="s">
        <v>63</v>
      </c>
      <c r="K5" s="876">
        <f>(VLOOKUP($A5,'MD Data'!$A$179:$B$202,2,FALSE))</f>
        <v>0.758</v>
      </c>
      <c r="L5" s="877">
        <f>vlookup($A5,MD_INHOME,2,FALSE)</f>
        <v>166</v>
      </c>
      <c r="M5" s="252" t="s">
        <v>63</v>
      </c>
      <c r="N5" s="253" t="s">
        <v>63</v>
      </c>
      <c r="O5" s="253" t="s">
        <v>63</v>
      </c>
      <c r="P5" s="878">
        <f>ifna(vlookup(A5,'Population &amp; Church Numbers'!$A$1196:$D$1219,4,FALSE),"NULL")</f>
        <v>431</v>
      </c>
      <c r="Q5" s="329" t="s">
        <v>63</v>
      </c>
    </row>
    <row r="6">
      <c r="A6" s="188" t="s">
        <v>1199</v>
      </c>
      <c r="B6" s="189">
        <f t="array" ref="B6">VLOOKUP($A6,MD_DEMO,2,FALSE)</f>
        <v>92783</v>
      </c>
      <c r="C6" s="333">
        <f>(VLOOKUP($A6,'MD Data'!$A$2:$F$27,2,FALSE))</f>
        <v>45</v>
      </c>
      <c r="D6" s="265">
        <f>(VLOOKUP($A6,'MD Data'!$A$149:$B$172,2,FALSE))</f>
        <v>1.6</v>
      </c>
      <c r="E6" s="265">
        <f>(VLOOKUP($A6,'MD Data'!$A$2:$F$27,3,FALSE))</f>
        <v>25</v>
      </c>
      <c r="F6" s="265">
        <f>(VLOOKUP($A6,'MD Data'!$A$2:$F$27,4,FALSE))</f>
        <v>5</v>
      </c>
      <c r="G6" s="265">
        <f>(VLOOKUP($A6,'MD Data'!$A$120:$B$143,2,FALSE))</f>
        <v>20</v>
      </c>
      <c r="H6" s="266">
        <f>vlookup($A6,MD_FOSTER,2,FALSE)</f>
        <v>31</v>
      </c>
      <c r="I6" s="267">
        <f>vlookup($A6,MD_ADOPT,2,FALSE)</f>
        <v>2</v>
      </c>
      <c r="J6" s="268" t="s">
        <v>63</v>
      </c>
      <c r="K6" s="879">
        <f>(VLOOKUP($A6,'MD Data'!$A$179:$B$202,2,FALSE))</f>
        <v>0.8</v>
      </c>
      <c r="L6" s="880">
        <f>vlookup($A6,MD_INHOME,2,FALSE)</f>
        <v>7</v>
      </c>
      <c r="M6" s="264" t="s">
        <v>63</v>
      </c>
      <c r="N6" s="265" t="s">
        <v>63</v>
      </c>
      <c r="O6" s="265" t="s">
        <v>63</v>
      </c>
      <c r="P6" s="881">
        <f>ifna(vlookup(A6,'Population &amp; Church Numbers'!$A$1196:$D$1219,4,FALSE),"NULL")</f>
        <v>72</v>
      </c>
      <c r="Q6" s="334" t="s">
        <v>63</v>
      </c>
    </row>
    <row r="7">
      <c r="A7" s="326" t="s">
        <v>1200</v>
      </c>
      <c r="B7" s="251">
        <f t="array" ref="B7">VLOOKUP($A7,MD_DEMO,2,FALSE)</f>
        <v>33293</v>
      </c>
      <c r="C7" s="327">
        <f>(VLOOKUP($A7,'MD Data'!$A$2:$F$27,2,FALSE))</f>
        <v>21</v>
      </c>
      <c r="D7" s="253">
        <f>(VLOOKUP($A7,'MD Data'!$A$149:$B$172,2,FALSE))</f>
        <v>1.6</v>
      </c>
      <c r="E7" s="253">
        <f>(VLOOKUP($A7,'MD Data'!$A$2:$F$27,3,FALSE))</f>
        <v>10</v>
      </c>
      <c r="F7" s="253">
        <f>(VLOOKUP($A7,'MD Data'!$A$2:$F$27,4,FALSE))</f>
        <v>2</v>
      </c>
      <c r="G7" s="253">
        <f>(VLOOKUP($A7,'MD Data'!$A$120:$B$143,2,FALSE))</f>
        <v>7</v>
      </c>
      <c r="H7" s="254">
        <f>vlookup($A7,MD_FOSTER,2,FALSE)</f>
        <v>18</v>
      </c>
      <c r="I7" s="255">
        <f>vlookup($A7,MD_ADOPT,2,FALSE)</f>
        <v>2</v>
      </c>
      <c r="J7" s="256" t="s">
        <v>63</v>
      </c>
      <c r="K7" s="876">
        <f>(VLOOKUP($A7,'MD Data'!$A$179:$B$202,2,FALSE))</f>
        <v>0.772</v>
      </c>
      <c r="L7" s="877">
        <f>vlookup($A7,MD_INHOME,2,FALSE)</f>
        <v>13</v>
      </c>
      <c r="M7" s="252" t="s">
        <v>63</v>
      </c>
      <c r="N7" s="253" t="s">
        <v>63</v>
      </c>
      <c r="O7" s="253" t="s">
        <v>63</v>
      </c>
      <c r="P7" s="878">
        <f>ifna(vlookup(A7,'Population &amp; Church Numbers'!$A$1196:$D$1219,4,FALSE),"NULL")</f>
        <v>37</v>
      </c>
      <c r="Q7" s="329" t="s">
        <v>63</v>
      </c>
    </row>
    <row r="8">
      <c r="A8" s="188" t="s">
        <v>248</v>
      </c>
      <c r="B8" s="189">
        <f t="array" ref="B8">VLOOKUP($A8,MD_DEMO,2,FALSE)</f>
        <v>172891</v>
      </c>
      <c r="C8" s="333">
        <f>(VLOOKUP($A8,'MD Data'!$A$2:$F$27,2,FALSE))</f>
        <v>29</v>
      </c>
      <c r="D8" s="265">
        <f>(VLOOKUP($A8,'MD Data'!$A$149:$B$172,2,FALSE))</f>
        <v>1.7</v>
      </c>
      <c r="E8" s="265" t="str">
        <f>(VLOOKUP($A8,'MD Data'!$A$2:$F$27,3,FALSE))</f>
        <v>NULL</v>
      </c>
      <c r="F8" s="265">
        <f>(VLOOKUP($A8,'MD Data'!$A$2:$F$27,4,FALSE))</f>
        <v>4</v>
      </c>
      <c r="G8" s="265">
        <f>(VLOOKUP($A8,'MD Data'!$A$120:$B$143,2,FALSE))</f>
        <v>14</v>
      </c>
      <c r="H8" s="266">
        <f>vlookup($A8,MD_FOSTER,2,FALSE)</f>
        <v>22</v>
      </c>
      <c r="I8" s="267">
        <f>vlookup($A8,MD_ADOPT,2,FALSE)</f>
        <v>4</v>
      </c>
      <c r="J8" s="268" t="s">
        <v>63</v>
      </c>
      <c r="K8" s="879">
        <f>(VLOOKUP($A8,'MD Data'!$A$179:$B$202,2,FALSE))</f>
        <v>0.714</v>
      </c>
      <c r="L8" s="880">
        <f>vlookup($A8,MD_INHOME,2,FALSE)</f>
        <v>42</v>
      </c>
      <c r="M8" s="264" t="s">
        <v>63</v>
      </c>
      <c r="N8" s="265" t="s">
        <v>63</v>
      </c>
      <c r="O8" s="265" t="s">
        <v>63</v>
      </c>
      <c r="P8" s="881">
        <f>ifna(vlookup(A8,'Population &amp; Church Numbers'!$A$1196:$D$1219,4,FALSE),"NULL")</f>
        <v>115</v>
      </c>
      <c r="Q8" s="334" t="s">
        <v>63</v>
      </c>
    </row>
    <row r="9">
      <c r="A9" s="326" t="s">
        <v>1201</v>
      </c>
      <c r="B9" s="251">
        <f t="array" ref="B9">VLOOKUP($A9,MD_DEMO,2,FALSE)</f>
        <v>103725</v>
      </c>
      <c r="C9" s="327">
        <f>(VLOOKUP($A9,'MD Data'!$A$2:$F$27,2,FALSE))</f>
        <v>101</v>
      </c>
      <c r="D9" s="253">
        <f>(VLOOKUP($A9,'MD Data'!$A$149:$B$172,2,FALSE))</f>
        <v>1</v>
      </c>
      <c r="E9" s="253">
        <f>(VLOOKUP($A9,'MD Data'!$A$2:$F$27,3,FALSE))</f>
        <v>75</v>
      </c>
      <c r="F9" s="253">
        <f>(VLOOKUP($A9,'MD Data'!$A$2:$F$27,4,FALSE))</f>
        <v>2</v>
      </c>
      <c r="G9" s="253">
        <f>(VLOOKUP($A9,'MD Data'!$A$120:$B$143,2,FALSE))</f>
        <v>41</v>
      </c>
      <c r="H9" s="254">
        <f>vlookup($A9,MD_FOSTER,2,FALSE)</f>
        <v>75</v>
      </c>
      <c r="I9" s="255">
        <f>vlookup($A9,MD_ADOPT,2,FALSE)</f>
        <v>18</v>
      </c>
      <c r="J9" s="256" t="s">
        <v>63</v>
      </c>
      <c r="K9" s="876">
        <f>(VLOOKUP($A9,'MD Data'!$A$179:$B$202,2,FALSE))</f>
        <v>0.769</v>
      </c>
      <c r="L9" s="877">
        <f>vlookup($A9,MD_INHOME,2,FALSE)</f>
        <v>11</v>
      </c>
      <c r="M9" s="252" t="s">
        <v>63</v>
      </c>
      <c r="N9" s="253" t="s">
        <v>63</v>
      </c>
      <c r="O9" s="253" t="s">
        <v>63</v>
      </c>
      <c r="P9" s="878">
        <f>ifna(vlookup(A9,'Population &amp; Church Numbers'!$A$1196:$D$1219,4,FALSE),"NULL")</f>
        <v>83</v>
      </c>
      <c r="Q9" s="329" t="s">
        <v>63</v>
      </c>
    </row>
    <row r="10">
      <c r="A10" s="188" t="s">
        <v>1203</v>
      </c>
      <c r="B10" s="189">
        <f t="array" ref="B10">VLOOKUP($A10,MD_DEMO,2,FALSE)</f>
        <v>166617</v>
      </c>
      <c r="C10" s="333">
        <f>(VLOOKUP($A10,'MD Data'!$A$2:$F$27,2,FALSE))</f>
        <v>20</v>
      </c>
      <c r="D10" s="265">
        <f>(VLOOKUP($A10,'MD Data'!$A$149:$B$172,2,FALSE))</f>
        <v>1.3</v>
      </c>
      <c r="E10" s="265">
        <f>(VLOOKUP($A10,'MD Data'!$A$2:$F$27,3,FALSE))</f>
        <v>10</v>
      </c>
      <c r="F10" s="265">
        <f>(VLOOKUP($A10,'MD Data'!$A$2:$F$27,4,FALSE))</f>
        <v>1</v>
      </c>
      <c r="G10" s="265">
        <f>(VLOOKUP($A10,'MD Data'!$A$120:$B$143,2,FALSE))</f>
        <v>10</v>
      </c>
      <c r="H10" s="266">
        <f>vlookup($A10,MD_FOSTER,2,FALSE)</f>
        <v>22</v>
      </c>
      <c r="I10" s="267">
        <f>vlookup($A10,MD_ADOPT,2,FALSE)</f>
        <v>2</v>
      </c>
      <c r="J10" s="268" t="s">
        <v>63</v>
      </c>
      <c r="K10" s="879">
        <f>(VLOOKUP($A10,'MD Data'!$A$179:$B$202,2,FALSE))</f>
        <v>0.6875</v>
      </c>
      <c r="L10" s="880">
        <f>vlookup($A10,MD_INHOME,2,FALSE)</f>
        <v>19</v>
      </c>
      <c r="M10" s="264" t="s">
        <v>63</v>
      </c>
      <c r="N10" s="265" t="s">
        <v>63</v>
      </c>
      <c r="O10" s="265" t="s">
        <v>63</v>
      </c>
      <c r="P10" s="881">
        <f>ifna(vlookup(A10,'Population &amp; Church Numbers'!$A$1196:$D$1219,4,FALSE),"NULL")</f>
        <v>100</v>
      </c>
      <c r="Q10" s="334" t="s">
        <v>63</v>
      </c>
    </row>
    <row r="11">
      <c r="A11" s="326" t="s">
        <v>1204</v>
      </c>
      <c r="B11" s="251">
        <f t="array" ref="B11">VLOOKUP($A11,MD_DEMO,2,FALSE)</f>
        <v>32531</v>
      </c>
      <c r="C11" s="327">
        <f>(VLOOKUP($A11,'MD Data'!$A$2:$F$27,2,FALSE))</f>
        <v>26</v>
      </c>
      <c r="D11" s="253">
        <f>(VLOOKUP($A11,'MD Data'!$A$149:$B$172,2,FALSE))</f>
        <v>1</v>
      </c>
      <c r="E11" s="253">
        <f>(VLOOKUP($A11,'MD Data'!$A$2:$F$27,3,FALSE))</f>
        <v>12</v>
      </c>
      <c r="F11" s="253">
        <f>(VLOOKUP($A11,'MD Data'!$A$2:$F$27,4,FALSE))</f>
        <v>8</v>
      </c>
      <c r="G11" s="253">
        <f>(VLOOKUP($A11,'MD Data'!$A$120:$B$143,2,FALSE))</f>
        <v>18</v>
      </c>
      <c r="H11" s="254">
        <f>vlookup($A11,MD_FOSTER,2,FALSE)</f>
        <v>6</v>
      </c>
      <c r="I11" s="255">
        <f>vlookup($A11,MD_ADOPT,2,FALSE)</f>
        <v>13</v>
      </c>
      <c r="J11" s="256" t="s">
        <v>63</v>
      </c>
      <c r="K11" s="876">
        <f>(VLOOKUP($A11,'MD Data'!$A$179:$B$202,2,FALSE))</f>
        <v>0.875</v>
      </c>
      <c r="L11" s="877">
        <f>vlookup($A11,MD_INHOME,2,FALSE)</f>
        <v>17</v>
      </c>
      <c r="M11" s="252" t="s">
        <v>63</v>
      </c>
      <c r="N11" s="253" t="s">
        <v>63</v>
      </c>
      <c r="O11" s="253" t="s">
        <v>63</v>
      </c>
      <c r="P11" s="878">
        <f>ifna(vlookup(A11,'Population &amp; Church Numbers'!$A$1196:$D$1219,4,FALSE),"NULL")</f>
        <v>47</v>
      </c>
      <c r="Q11" s="329" t="s">
        <v>63</v>
      </c>
    </row>
    <row r="12">
      <c r="A12" s="188" t="s">
        <v>1206</v>
      </c>
      <c r="B12" s="189">
        <f t="array" ref="B12">VLOOKUP($A12,MD_DEMO,2,FALSE)</f>
        <v>271717</v>
      </c>
      <c r="C12" s="333">
        <f>(VLOOKUP($A12,'MD Data'!$A$2:$F$27,2,FALSE))</f>
        <v>61</v>
      </c>
      <c r="D12" s="265">
        <f>(VLOOKUP($A12,'MD Data'!$A$149:$B$172,2,FALSE))</f>
        <v>1.4</v>
      </c>
      <c r="E12" s="265">
        <f>(VLOOKUP($A12,'MD Data'!$A$2:$F$27,3,FALSE))</f>
        <v>19</v>
      </c>
      <c r="F12" s="265">
        <f>(VLOOKUP($A12,'MD Data'!$A$2:$F$27,4,FALSE))</f>
        <v>11</v>
      </c>
      <c r="G12" s="265">
        <f>(VLOOKUP($A12,'MD Data'!$A$120:$B$143,2,FALSE))</f>
        <v>27</v>
      </c>
      <c r="H12" s="266">
        <f>vlookup($A12,MD_FOSTER,2,FALSE)</f>
        <v>51</v>
      </c>
      <c r="I12" s="267">
        <f>vlookup($A12,MD_ADOPT,2,FALSE)</f>
        <v>23</v>
      </c>
      <c r="J12" s="268" t="s">
        <v>63</v>
      </c>
      <c r="K12" s="879">
        <f>(VLOOKUP($A12,'MD Data'!$A$179:$B$202,2,FALSE))</f>
        <v>0.8667</v>
      </c>
      <c r="L12" s="880">
        <f>vlookup($A12,MD_INHOME,2,FALSE)</f>
        <v>34</v>
      </c>
      <c r="M12" s="264" t="s">
        <v>63</v>
      </c>
      <c r="N12" s="265" t="s">
        <v>63</v>
      </c>
      <c r="O12" s="265" t="s">
        <v>63</v>
      </c>
      <c r="P12" s="881">
        <f>ifna(vlookup(A12,'Population &amp; Church Numbers'!$A$1196:$D$1219,4,FALSE),"NULL")</f>
        <v>186</v>
      </c>
      <c r="Q12" s="334" t="s">
        <v>63</v>
      </c>
    </row>
    <row r="13">
      <c r="A13" s="326" t="s">
        <v>1207</v>
      </c>
      <c r="B13" s="251">
        <f t="array" ref="B13">VLOOKUP($A13,MD_DEMO,2,FALSE)</f>
        <v>28806</v>
      </c>
      <c r="C13" s="327">
        <f>(VLOOKUP($A13,'MD Data'!$A$2:$F$27,2,FALSE))</f>
        <v>37</v>
      </c>
      <c r="D13" s="253">
        <f>(VLOOKUP($A13,'MD Data'!$A$149:$B$172,2,FALSE))</f>
        <v>2</v>
      </c>
      <c r="E13" s="253">
        <f>(VLOOKUP($A13,'MD Data'!$A$2:$F$27,3,FALSE))</f>
        <v>14</v>
      </c>
      <c r="F13" s="253">
        <f>(VLOOKUP($A13,'MD Data'!$A$2:$F$27,4,FALSE))</f>
        <v>4</v>
      </c>
      <c r="G13" s="253">
        <f>(VLOOKUP($A13,'MD Data'!$A$120:$B$143,2,FALSE))</f>
        <v>7</v>
      </c>
      <c r="H13" s="254">
        <f>vlookup($A13,MD_FOSTER,2,FALSE)</f>
        <v>39</v>
      </c>
      <c r="I13" s="255">
        <f>vlookup($A13,MD_ADOPT,2,FALSE)</f>
        <v>3</v>
      </c>
      <c r="J13" s="256" t="s">
        <v>63</v>
      </c>
      <c r="K13" s="876">
        <f>(VLOOKUP($A13,'MD Data'!$A$179:$B$202,2,FALSE))</f>
        <v>0.9655</v>
      </c>
      <c r="L13" s="877">
        <f>vlookup($A13,MD_INHOME,2,FALSE)</f>
        <v>22</v>
      </c>
      <c r="M13" s="252" t="s">
        <v>63</v>
      </c>
      <c r="N13" s="253" t="s">
        <v>63</v>
      </c>
      <c r="O13" s="253" t="s">
        <v>63</v>
      </c>
      <c r="P13" s="878">
        <f>ifna(vlookup(A13,'Population &amp; Church Numbers'!$A$1196:$D$1219,4,FALSE),"NULL")</f>
        <v>52</v>
      </c>
      <c r="Q13" s="329" t="s">
        <v>63</v>
      </c>
    </row>
    <row r="14">
      <c r="A14" s="188" t="s">
        <v>1208</v>
      </c>
      <c r="B14" s="189">
        <f t="array" ref="B14">VLOOKUP($A14,MD_DEMO,2,FALSE)</f>
        <v>260924</v>
      </c>
      <c r="C14" s="333">
        <f>(VLOOKUP($A14,'MD Data'!$A$2:$F$27,2,FALSE))</f>
        <v>162</v>
      </c>
      <c r="D14" s="265">
        <f>(VLOOKUP($A14,'MD Data'!$A$149:$B$172,2,FALSE))</f>
        <v>1.9</v>
      </c>
      <c r="E14" s="265">
        <f>(VLOOKUP($A14,'MD Data'!$A$2:$F$27,3,FALSE))</f>
        <v>99</v>
      </c>
      <c r="F14" s="265">
        <f>(VLOOKUP($A14,'MD Data'!$A$2:$F$27,4,FALSE))</f>
        <v>24</v>
      </c>
      <c r="G14" s="265">
        <f>(VLOOKUP($A14,'MD Data'!$A$120:$B$143,2,FALSE))</f>
        <v>68</v>
      </c>
      <c r="H14" s="266">
        <f>vlookup($A14,MD_FOSTER,2,FALSE)</f>
        <v>160</v>
      </c>
      <c r="I14" s="267">
        <f>vlookup($A14,MD_ADOPT,2,FALSE)</f>
        <v>25</v>
      </c>
      <c r="J14" s="268" t="s">
        <v>63</v>
      </c>
      <c r="K14" s="879">
        <f>(VLOOKUP($A14,'MD Data'!$A$179:$B$202,2,FALSE))</f>
        <v>0.8462</v>
      </c>
      <c r="L14" s="880">
        <f>vlookup($A14,MD_INHOME,2,FALSE)</f>
        <v>27</v>
      </c>
      <c r="M14" s="264" t="s">
        <v>63</v>
      </c>
      <c r="N14" s="265" t="s">
        <v>63</v>
      </c>
      <c r="O14" s="265" t="s">
        <v>63</v>
      </c>
      <c r="P14" s="881">
        <f>ifna(vlookup(A14,'Population &amp; Church Numbers'!$A$1196:$D$1219,4,FALSE),"NULL")</f>
        <v>166</v>
      </c>
      <c r="Q14" s="334" t="s">
        <v>63</v>
      </c>
    </row>
    <row r="15">
      <c r="A15" s="326" t="s">
        <v>283</v>
      </c>
      <c r="B15" s="251">
        <f t="array" ref="B15">VLOOKUP($A15,MD_DEMO,2,FALSE)</f>
        <v>332317</v>
      </c>
      <c r="C15" s="327">
        <f>(VLOOKUP($A15,'MD Data'!$A$2:$F$27,2,FALSE))</f>
        <v>81</v>
      </c>
      <c r="D15" s="253">
        <f>(VLOOKUP($A15,'MD Data'!$A$149:$B$172,2,FALSE))</f>
        <v>1.3</v>
      </c>
      <c r="E15" s="253">
        <f>(VLOOKUP($A15,'MD Data'!$A$2:$F$27,3,FALSE))</f>
        <v>44</v>
      </c>
      <c r="F15" s="253">
        <f>(VLOOKUP($A15,'MD Data'!$A$2:$F$27,4,FALSE))</f>
        <v>13</v>
      </c>
      <c r="G15" s="253">
        <f>(VLOOKUP($A15,'MD Data'!$A$120:$B$143,2,FALSE))</f>
        <v>47</v>
      </c>
      <c r="H15" s="254">
        <f>vlookup($A15,MD_FOSTER,2,FALSE)</f>
        <v>20</v>
      </c>
      <c r="I15" s="255">
        <f>vlookup($A15,MD_ADOPT,2,FALSE)</f>
        <v>8</v>
      </c>
      <c r="J15" s="256" t="s">
        <v>63</v>
      </c>
      <c r="K15" s="876">
        <f>(VLOOKUP($A15,'MD Data'!$A$179:$B$202,2,FALSE))</f>
        <v>0.8511</v>
      </c>
      <c r="L15" s="877">
        <f>vlookup($A15,MD_INHOME,2,FALSE)</f>
        <v>42</v>
      </c>
      <c r="M15" s="252" t="s">
        <v>63</v>
      </c>
      <c r="N15" s="253" t="s">
        <v>63</v>
      </c>
      <c r="O15" s="253" t="s">
        <v>63</v>
      </c>
      <c r="P15" s="878">
        <f>ifna(vlookup(A15,'Population &amp; Church Numbers'!$A$1196:$D$1219,4,FALSE),"NULL")</f>
        <v>162</v>
      </c>
      <c r="Q15" s="329" t="s">
        <v>63</v>
      </c>
    </row>
    <row r="16">
      <c r="A16" s="188" t="s">
        <v>474</v>
      </c>
      <c r="B16" s="189">
        <f t="array" ref="B16">VLOOKUP($A16,MD_DEMO,2,FALSE)</f>
        <v>19198</v>
      </c>
      <c r="C16" s="333">
        <f>(VLOOKUP($A16,'MD Data'!$A$2:$F$27,2,FALSE))</f>
        <v>10</v>
      </c>
      <c r="D16" s="265">
        <f>(VLOOKUP($A16,'MD Data'!$A$149:$B$172,2,FALSE))</f>
        <v>2.2</v>
      </c>
      <c r="E16" s="265">
        <f>(VLOOKUP($A16,'MD Data'!$A$2:$F$27,3,FALSE))</f>
        <v>5</v>
      </c>
      <c r="F16" s="265">
        <f>(VLOOKUP($A16,'MD Data'!$A$2:$F$27,4,FALSE))</f>
        <v>0</v>
      </c>
      <c r="G16" s="265">
        <f>(VLOOKUP($A16,'MD Data'!$A$120:$B$143,2,FALSE))</f>
        <v>8</v>
      </c>
      <c r="H16" s="266">
        <f>vlookup($A16,MD_FOSTER,2,FALSE)</f>
        <v>5</v>
      </c>
      <c r="I16" s="267">
        <f>vlookup($A16,MD_ADOPT,2,FALSE)</f>
        <v>1</v>
      </c>
      <c r="J16" s="268" t="s">
        <v>63</v>
      </c>
      <c r="K16" s="879">
        <f>(VLOOKUP($A16,'MD Data'!$A$179:$B$202,2,FALSE))</f>
        <v>0.75</v>
      </c>
      <c r="L16" s="880">
        <f>vlookup($A16,MD_INHOME,2,FALSE)</f>
        <v>2</v>
      </c>
      <c r="M16" s="264" t="s">
        <v>63</v>
      </c>
      <c r="N16" s="265" t="s">
        <v>63</v>
      </c>
      <c r="O16" s="265" t="s">
        <v>63</v>
      </c>
      <c r="P16" s="881">
        <f>ifna(vlookup(A16,'Population &amp; Church Numbers'!$A$1196:$D$1219,4,FALSE),"NULL")</f>
        <v>35</v>
      </c>
      <c r="Q16" s="334" t="s">
        <v>63</v>
      </c>
    </row>
    <row r="17">
      <c r="A17" s="326" t="s">
        <v>157</v>
      </c>
      <c r="B17" s="251">
        <f t="array" ref="B17">VLOOKUP($A17,MD_DEMO,2,FALSE)</f>
        <v>1062061</v>
      </c>
      <c r="C17" s="327">
        <f>(VLOOKUP($A17,'MD Data'!$A$2:$F$27,2,FALSE))</f>
        <v>327</v>
      </c>
      <c r="D17" s="253">
        <f>(VLOOKUP($A17,'MD Data'!$A$149:$B$172,2,FALSE))</f>
        <v>1.2</v>
      </c>
      <c r="E17" s="253">
        <f>(VLOOKUP($A17,'MD Data'!$A$2:$F$27,3,FALSE))</f>
        <v>164</v>
      </c>
      <c r="F17" s="253">
        <f>(VLOOKUP($A17,'MD Data'!$A$2:$F$27,4,FALSE))</f>
        <v>78</v>
      </c>
      <c r="G17" s="253">
        <f>(VLOOKUP($A17,'MD Data'!$A$120:$B$143,2,FALSE))</f>
        <v>150</v>
      </c>
      <c r="H17" s="254">
        <f>vlookup($A17,MD_FOSTER,2,FALSE)</f>
        <v>168</v>
      </c>
      <c r="I17" s="255">
        <f>vlookup($A17,MD_ADOPT,2,FALSE)</f>
        <v>60</v>
      </c>
      <c r="J17" s="256" t="s">
        <v>63</v>
      </c>
      <c r="K17" s="876">
        <f>(VLOOKUP($A17,'MD Data'!$A$179:$B$202,2,FALSE))</f>
        <v>0.8455</v>
      </c>
      <c r="L17" s="877">
        <f>vlookup($A17,MD_INHOME,2,FALSE)</f>
        <v>60</v>
      </c>
      <c r="M17" s="252" t="s">
        <v>63</v>
      </c>
      <c r="N17" s="253" t="s">
        <v>63</v>
      </c>
      <c r="O17" s="253" t="s">
        <v>63</v>
      </c>
      <c r="P17" s="878">
        <f>ifna(vlookup(A17,'Population &amp; Church Numbers'!$A$1196:$D$1219,4,FALSE),"NULL")</f>
        <v>396</v>
      </c>
      <c r="Q17" s="329" t="s">
        <v>63</v>
      </c>
    </row>
    <row r="18">
      <c r="A18" s="188" t="s">
        <v>465</v>
      </c>
      <c r="B18" s="189">
        <f t="array" ref="B18">VLOOKUP($A18,MD_DEMO,2,FALSE)</f>
        <v>967201</v>
      </c>
      <c r="C18" s="333">
        <f>(VLOOKUP($A18,'MD Data'!$A$2:$F$27,2,FALSE))</f>
        <v>444</v>
      </c>
      <c r="D18" s="265">
        <f>(VLOOKUP($A18,'MD Data'!$A$149:$B$172,2,FALSE))</f>
        <v>1.2</v>
      </c>
      <c r="E18" s="265">
        <f>(VLOOKUP($A18,'MD Data'!$A$2:$F$27,3,FALSE))</f>
        <v>228</v>
      </c>
      <c r="F18" s="265">
        <f>(VLOOKUP($A18,'MD Data'!$A$2:$F$27,4,FALSE))</f>
        <v>87</v>
      </c>
      <c r="G18" s="265">
        <f>(VLOOKUP($A18,'MD Data'!$A$120:$B$143,2,FALSE))</f>
        <v>170</v>
      </c>
      <c r="H18" s="266">
        <f>vlookup($A18,MD_FOSTER,2,FALSE)</f>
        <v>215</v>
      </c>
      <c r="I18" s="267">
        <f>vlookup($A18,MD_ADOPT,2,FALSE)</f>
        <v>45</v>
      </c>
      <c r="J18" s="268" t="s">
        <v>63</v>
      </c>
      <c r="K18" s="879">
        <f>(VLOOKUP($A18,'MD Data'!$A$179:$B$202,2,FALSE))</f>
        <v>0.6667</v>
      </c>
      <c r="L18" s="880">
        <f>vlookup($A18,MD_INHOME,2,FALSE)</f>
        <v>82</v>
      </c>
      <c r="M18" s="264" t="s">
        <v>63</v>
      </c>
      <c r="N18" s="265" t="s">
        <v>63</v>
      </c>
      <c r="O18" s="265" t="s">
        <v>63</v>
      </c>
      <c r="P18" s="881">
        <f>ifna(vlookup(A18,'Population &amp; Church Numbers'!$A$1196:$D$1219,4,FALSE),"NULL")</f>
        <v>617</v>
      </c>
      <c r="Q18" s="334" t="s">
        <v>63</v>
      </c>
    </row>
    <row r="19">
      <c r="A19" s="326" t="s">
        <v>2817</v>
      </c>
      <c r="B19" s="251">
        <f t="array" ref="B19">VLOOKUP($A19,MD_DEMO,2,FALSE)</f>
        <v>49874</v>
      </c>
      <c r="C19" s="327">
        <f>(VLOOKUP($A19,'MD Data'!$A$2:$F$27,2,FALSE))</f>
        <v>13</v>
      </c>
      <c r="D19" s="253">
        <f>(VLOOKUP($A19,'MD Data'!$A$149:$B$172,2,FALSE))</f>
        <v>2.5</v>
      </c>
      <c r="E19" s="253">
        <f>(VLOOKUP($A19,'MD Data'!$A$2:$F$27,3,FALSE))</f>
        <v>7</v>
      </c>
      <c r="F19" s="253">
        <f>(VLOOKUP($A19,'MD Data'!$A$2:$F$27,4,FALSE))</f>
        <v>1</v>
      </c>
      <c r="G19" s="253">
        <f>(VLOOKUP($A19,'MD Data'!$A$120:$B$143,2,FALSE))</f>
        <v>9</v>
      </c>
      <c r="H19" s="254">
        <f>vlookup($A19,MD_FOSTER,2,FALSE)</f>
        <v>17</v>
      </c>
      <c r="I19" s="255">
        <f>vlookup($A19,MD_ADOPT,2,FALSE)</f>
        <v>2</v>
      </c>
      <c r="J19" s="256" t="s">
        <v>63</v>
      </c>
      <c r="K19" s="876">
        <f>(VLOOKUP($A19,'MD Data'!$A$179:$B$202,2,FALSE))</f>
        <v>0.9</v>
      </c>
      <c r="L19" s="877">
        <f>vlookup($A19,MD_INHOME,2,FALSE)</f>
        <v>10</v>
      </c>
      <c r="M19" s="252" t="s">
        <v>63</v>
      </c>
      <c r="N19" s="253" t="s">
        <v>63</v>
      </c>
      <c r="O19" s="253" t="s">
        <v>63</v>
      </c>
      <c r="P19" s="878">
        <f>ifna(vlookup(A19,'Population &amp; Church Numbers'!$A$1196:$D$1219,4,FALSE),"NULL")</f>
        <v>39</v>
      </c>
      <c r="Q19" s="329" t="s">
        <v>63</v>
      </c>
    </row>
    <row r="20">
      <c r="A20" s="188" t="s">
        <v>2818</v>
      </c>
      <c r="B20" s="189">
        <f t="array" ref="B20">VLOOKUP($A20,MD_DEMO,2,FALSE)</f>
        <v>113777</v>
      </c>
      <c r="C20" s="333">
        <f>(VLOOKUP($A20,'MD Data'!$A$2:$F$27,2,FALSE))</f>
        <v>54</v>
      </c>
      <c r="D20" s="265">
        <f>(VLOOKUP($A20,'MD Data'!$A$149:$B$172,2,FALSE))</f>
        <v>1.4</v>
      </c>
      <c r="E20" s="265">
        <f>(VLOOKUP($A20,'MD Data'!$A$2:$F$27,3,FALSE))</f>
        <v>37</v>
      </c>
      <c r="F20" s="265">
        <f>(VLOOKUP($A20,'MD Data'!$A$2:$F$27,4,FALSE))</f>
        <v>5</v>
      </c>
      <c r="G20" s="265">
        <f>(VLOOKUP($A20,'MD Data'!$A$120:$B$143,2,FALSE))</f>
        <v>16</v>
      </c>
      <c r="H20" s="266">
        <f>vlookup($A20,MD_FOSTER,2,FALSE)</f>
        <v>16</v>
      </c>
      <c r="I20" s="267">
        <f>vlookup($A20,MD_ADOPT,2,FALSE)</f>
        <v>29</v>
      </c>
      <c r="J20" s="268" t="s">
        <v>63</v>
      </c>
      <c r="K20" s="879">
        <f>(VLOOKUP($A20,'MD Data'!$A$179:$B$202,2,FALSE))</f>
        <v>0.7222</v>
      </c>
      <c r="L20" s="880">
        <f>vlookup($A20,MD_INHOME,2,FALSE)</f>
        <v>14</v>
      </c>
      <c r="M20" s="264" t="s">
        <v>63</v>
      </c>
      <c r="N20" s="265" t="s">
        <v>63</v>
      </c>
      <c r="O20" s="265" t="s">
        <v>63</v>
      </c>
      <c r="P20" s="881">
        <f>ifna(vlookup(A20,'Population &amp; Church Numbers'!$A$1196:$D$1219,4,FALSE),"NULL")</f>
        <v>69</v>
      </c>
      <c r="Q20" s="334" t="s">
        <v>63</v>
      </c>
    </row>
    <row r="21">
      <c r="A21" s="326" t="s">
        <v>1194</v>
      </c>
      <c r="B21" s="251">
        <f t="array" ref="B21">VLOOKUP($A21,MD_DEMO,2,FALSE)</f>
        <v>24620</v>
      </c>
      <c r="C21" s="327">
        <f>(VLOOKUP($A21,'MD Data'!$A$2:$F$27,2,FALSE))</f>
        <v>21</v>
      </c>
      <c r="D21" s="253">
        <f>(VLOOKUP($A21,'MD Data'!$A$149:$B$172,2,FALSE))</f>
        <v>1.4</v>
      </c>
      <c r="E21" s="253">
        <f>(VLOOKUP($A21,'MD Data'!$A$2:$F$27,3,FALSE))</f>
        <v>13</v>
      </c>
      <c r="F21" s="253">
        <f>(VLOOKUP($A21,'MD Data'!$A$2:$F$27,4,FALSE))</f>
        <v>1</v>
      </c>
      <c r="G21" s="253">
        <f>(VLOOKUP($A21,'MD Data'!$A$120:$B$143,2,FALSE))</f>
        <v>34</v>
      </c>
      <c r="H21" s="254">
        <f>vlookup($A21,MD_FOSTER,2,FALSE)</f>
        <v>11</v>
      </c>
      <c r="I21" s="255">
        <f>vlookup($A21,MD_ADOPT,2,FALSE)</f>
        <v>1</v>
      </c>
      <c r="J21" s="256" t="s">
        <v>63</v>
      </c>
      <c r="K21" s="876">
        <f>(VLOOKUP($A21,'MD Data'!$A$179:$B$202,2,FALSE))</f>
        <v>1</v>
      </c>
      <c r="L21" s="877">
        <f>vlookup($A21,MD_INHOME,2,FALSE)</f>
        <v>34</v>
      </c>
      <c r="M21" s="252" t="s">
        <v>63</v>
      </c>
      <c r="N21" s="253" t="s">
        <v>63</v>
      </c>
      <c r="O21" s="253" t="s">
        <v>63</v>
      </c>
      <c r="P21" s="878">
        <f>ifna(vlookup(A21,'Population &amp; Church Numbers'!$A$1196:$D$1219,4,FALSE),"NULL")</f>
        <v>36</v>
      </c>
      <c r="Q21" s="329" t="s">
        <v>63</v>
      </c>
    </row>
    <row r="22">
      <c r="A22" s="188" t="s">
        <v>630</v>
      </c>
      <c r="B22" s="189">
        <f t="array" ref="B22">VLOOKUP($A22,MD_DEMO,2,FALSE)</f>
        <v>37526</v>
      </c>
      <c r="C22" s="333">
        <f>(VLOOKUP($A22,'MD Data'!$A$2:$F$27,2,FALSE))</f>
        <v>16</v>
      </c>
      <c r="D22" s="265">
        <f>(VLOOKUP($A22,'MD Data'!$A$149:$B$172,2,FALSE))</f>
        <v>2.5</v>
      </c>
      <c r="E22" s="265">
        <f>(VLOOKUP($A22,'MD Data'!$A$2:$F$27,3,FALSE))</f>
        <v>7</v>
      </c>
      <c r="F22" s="265">
        <f>(VLOOKUP($A22,'MD Data'!$A$2:$F$27,4,FALSE))</f>
        <v>2</v>
      </c>
      <c r="G22" s="265">
        <f>(VLOOKUP($A22,'MD Data'!$A$120:$B$143,2,FALSE))</f>
        <v>9</v>
      </c>
      <c r="H22" s="266">
        <f>vlookup($A22,MD_FOSTER,2,FALSE)</f>
        <v>15</v>
      </c>
      <c r="I22" s="267">
        <f>vlookup($A22,MD_ADOPT,2,FALSE)</f>
        <v>5</v>
      </c>
      <c r="J22" s="268" t="s">
        <v>63</v>
      </c>
      <c r="K22" s="879">
        <f>(VLOOKUP($A22,'MD Data'!$A$179:$B$202,2,FALSE))</f>
        <v>1</v>
      </c>
      <c r="L22" s="880">
        <f>vlookup($A22,MD_INHOME,2,FALSE)</f>
        <v>7</v>
      </c>
      <c r="M22" s="264" t="s">
        <v>63</v>
      </c>
      <c r="N22" s="265" t="s">
        <v>63</v>
      </c>
      <c r="O22" s="265" t="s">
        <v>63</v>
      </c>
      <c r="P22" s="881">
        <f>ifna(vlookup(A22,'Population &amp; Church Numbers'!$A$1196:$D$1219,4,FALSE),"NULL")</f>
        <v>50</v>
      </c>
      <c r="Q22" s="334" t="s">
        <v>63</v>
      </c>
    </row>
    <row r="23">
      <c r="A23" s="326" t="s">
        <v>119</v>
      </c>
      <c r="B23" s="251">
        <f t="array" ref="B23">VLOOKUP($A23,MD_DEMO,2,FALSE)</f>
        <v>154705</v>
      </c>
      <c r="C23" s="327">
        <f>(VLOOKUP($A23,'MD Data'!$A$2:$F$27,2,FALSE))</f>
        <v>118</v>
      </c>
      <c r="D23" s="253">
        <f>(VLOOKUP($A23,'MD Data'!$A$149:$B$172,2,FALSE))</f>
        <v>1.4</v>
      </c>
      <c r="E23" s="253">
        <f>(VLOOKUP($A23,'MD Data'!$A$2:$F$27,3,FALSE))</f>
        <v>58</v>
      </c>
      <c r="F23" s="253">
        <f>(VLOOKUP($A23,'MD Data'!$A$2:$F$27,4,FALSE))</f>
        <v>15</v>
      </c>
      <c r="G23" s="253">
        <f>(VLOOKUP($A23,'MD Data'!$A$120:$B$143,2,FALSE))</f>
        <v>46</v>
      </c>
      <c r="H23" s="254">
        <f>vlookup($A23,MD_FOSTER,2,FALSE)</f>
        <v>65</v>
      </c>
      <c r="I23" s="255">
        <f>vlookup($A23,MD_ADOPT,2,FALSE)</f>
        <v>22</v>
      </c>
      <c r="J23" s="256" t="s">
        <v>63</v>
      </c>
      <c r="K23" s="876">
        <f>(VLOOKUP($A23,'MD Data'!$A$179:$B$202,2,FALSE))</f>
        <v>0.7234</v>
      </c>
      <c r="L23" s="877">
        <f>vlookup($A23,MD_INHOME,2,FALSE)</f>
        <v>37</v>
      </c>
      <c r="M23" s="252" t="s">
        <v>63</v>
      </c>
      <c r="N23" s="253" t="s">
        <v>63</v>
      </c>
      <c r="O23" s="253" t="s">
        <v>63</v>
      </c>
      <c r="P23" s="878">
        <f>ifna(vlookup(A23,'Population &amp; Church Numbers'!$A$1196:$D$1219,4,FALSE),"NULL")</f>
        <v>183</v>
      </c>
      <c r="Q23" s="329" t="s">
        <v>63</v>
      </c>
    </row>
    <row r="24">
      <c r="A24" s="188" t="s">
        <v>1226</v>
      </c>
      <c r="B24" s="189">
        <f t="array" ref="B24">VLOOKUP($A24,MD_DEMO,2,FALSE)</f>
        <v>103588</v>
      </c>
      <c r="C24" s="333">
        <f>(VLOOKUP($A24,'MD Data'!$A$2:$F$27,2,FALSE))</f>
        <v>20</v>
      </c>
      <c r="D24" s="265">
        <f>(VLOOKUP($A24,'MD Data'!$A$149:$B$172,2,FALSE))</f>
        <v>1.7</v>
      </c>
      <c r="E24" s="265">
        <f>(VLOOKUP($A24,'MD Data'!$A$2:$F$27,3,FALSE))</f>
        <v>11</v>
      </c>
      <c r="F24" s="265">
        <f>(VLOOKUP($A24,'MD Data'!$A$2:$F$27,4,FALSE))</f>
        <v>3</v>
      </c>
      <c r="G24" s="265">
        <f>(VLOOKUP($A24,'MD Data'!$A$120:$B$143,2,FALSE))</f>
        <v>14</v>
      </c>
      <c r="H24" s="266">
        <f>vlookup($A24,MD_FOSTER,2,FALSE)</f>
        <v>21</v>
      </c>
      <c r="I24" s="267">
        <f>vlookup($A24,MD_ADOPT,2,FALSE)</f>
        <v>5</v>
      </c>
      <c r="J24" s="268" t="s">
        <v>63</v>
      </c>
      <c r="K24" s="879">
        <f>(VLOOKUP($A24,'MD Data'!$A$179:$B$202,2,FALSE))</f>
        <v>0.6667</v>
      </c>
      <c r="L24" s="880">
        <f>vlookup($A24,MD_INHOME,2,FALSE)</f>
        <v>17</v>
      </c>
      <c r="M24" s="264" t="s">
        <v>63</v>
      </c>
      <c r="N24" s="265" t="s">
        <v>63</v>
      </c>
      <c r="O24" s="265" t="s">
        <v>63</v>
      </c>
      <c r="P24" s="881">
        <f>ifna(vlookup(A24,'Population &amp; Church Numbers'!$A$1196:$D$1219,4,FALSE),"NULL")</f>
        <v>108</v>
      </c>
      <c r="Q24" s="334" t="s">
        <v>63</v>
      </c>
    </row>
    <row r="25">
      <c r="A25" s="326" t="s">
        <v>492</v>
      </c>
      <c r="B25" s="251">
        <f t="array" ref="B25">VLOOKUP($A25,MD_DEMO,2,FALSE)</f>
        <v>52460</v>
      </c>
      <c r="C25" s="336">
        <f>(VLOOKUP($A25,'MD Data'!$A$2:$F$27,2,FALSE))</f>
        <v>22</v>
      </c>
      <c r="D25" s="253">
        <f>(VLOOKUP($A25,'MD Data'!$A$149:$B$172,2,FALSE))</f>
        <v>2.7</v>
      </c>
      <c r="E25" s="253">
        <f>(VLOOKUP($A25,'MD Data'!$A$2:$F$27,3,FALSE))</f>
        <v>12</v>
      </c>
      <c r="F25" s="253">
        <f>(VLOOKUP($A25,'MD Data'!$A$2:$F$27,4,FALSE))</f>
        <v>5</v>
      </c>
      <c r="G25" s="253">
        <f>(VLOOKUP($A25,'MD Data'!$A$120:$B$143,2,FALSE))</f>
        <v>12</v>
      </c>
      <c r="H25" s="254">
        <f>vlookup($A25,MD_FOSTER,2,FALSE)</f>
        <v>10</v>
      </c>
      <c r="I25" s="255">
        <f>vlookup($A25,MD_ADOPT,2,FALSE)</f>
        <v>3</v>
      </c>
      <c r="J25" s="256" t="s">
        <v>63</v>
      </c>
      <c r="K25" s="876">
        <f>(VLOOKUP($A25,'MD Data'!$A$179:$B$202,2,FALSE))</f>
        <v>0.7727</v>
      </c>
      <c r="L25" s="877">
        <f>vlookup($A25,MD_INHOME,2,FALSE)</f>
        <v>48</v>
      </c>
      <c r="M25" s="252" t="s">
        <v>63</v>
      </c>
      <c r="N25" s="253" t="s">
        <v>63</v>
      </c>
      <c r="O25" s="253" t="s">
        <v>63</v>
      </c>
      <c r="P25" s="878">
        <f>ifna(vlookup(A25,'Population &amp; Church Numbers'!$A$1196:$D$1219,4,FALSE),"NULL")</f>
        <v>80</v>
      </c>
      <c r="Q25" s="329" t="s">
        <v>63</v>
      </c>
    </row>
    <row r="26">
      <c r="A26" s="188" t="s">
        <v>607</v>
      </c>
      <c r="B26" s="189">
        <f t="array" ref="B26">VLOOKUP($A26,MD_DEMO,2,FALSE)</f>
        <v>585708</v>
      </c>
      <c r="C26" s="333">
        <f>(VLOOKUP($A26,'MD Data'!$A$2:$F$27,2,FALSE))</f>
        <v>1427</v>
      </c>
      <c r="D26" s="265">
        <f>(VLOOKUP($A26,'MD Data'!$A$149:$B$172,2,FALSE))</f>
        <v>0.9</v>
      </c>
      <c r="E26" s="265">
        <f>(VLOOKUP($A26,'MD Data'!$A$2:$F$27,3,FALSE))</f>
        <v>605</v>
      </c>
      <c r="F26" s="265">
        <f>(VLOOKUP($A26,'MD Data'!$A$2:$F$27,4,FALSE))</f>
        <v>501</v>
      </c>
      <c r="G26" s="265">
        <f>(VLOOKUP($A26,'MD Data'!$A$120:$B$143,2,FALSE))</f>
        <v>718</v>
      </c>
      <c r="H26" s="266">
        <f>vlookup($A26,MD_FOSTER,2,FALSE)</f>
        <v>687</v>
      </c>
      <c r="I26" s="267">
        <f>vlookup($A26,MD_ADOPT,2,FALSE)</f>
        <v>169</v>
      </c>
      <c r="J26" s="268" t="s">
        <v>63</v>
      </c>
      <c r="K26" s="879">
        <f>(VLOOKUP($A26,'MD Data'!$A$179:$B$202,2,FALSE))</f>
        <v>0.874</v>
      </c>
      <c r="L26" s="880">
        <f>vlookup($A26,MD_INHOME,2,FALSE)</f>
        <v>241</v>
      </c>
      <c r="M26" s="264" t="s">
        <v>63</v>
      </c>
      <c r="N26" s="265" t="s">
        <v>63</v>
      </c>
      <c r="O26" s="265" t="s">
        <v>63</v>
      </c>
      <c r="P26" s="881">
        <f>ifna(vlookup(A26,'Population &amp; Church Numbers'!$A$1196:$D$1219,4,FALSE),"NULL")</f>
        <v>558</v>
      </c>
      <c r="Q26" s="334" t="s">
        <v>63</v>
      </c>
    </row>
    <row r="27">
      <c r="A27" s="217"/>
      <c r="B27" s="218"/>
      <c r="C27" s="219"/>
      <c r="D27" s="220"/>
      <c r="E27" s="220"/>
      <c r="F27" s="220"/>
      <c r="G27" s="220"/>
      <c r="H27" s="221"/>
      <c r="I27" s="222"/>
      <c r="J27" s="223"/>
      <c r="K27" s="219"/>
      <c r="L27" s="224"/>
      <c r="M27" s="225"/>
      <c r="N27" s="226"/>
      <c r="O27" s="220"/>
      <c r="P27" s="221"/>
      <c r="Q27" s="227"/>
    </row>
    <row r="28">
      <c r="A28" s="228" t="s">
        <v>2</v>
      </c>
      <c r="B28" s="229"/>
      <c r="C28" s="230">
        <f>SUM(C3:C26)</f>
        <v>3760</v>
      </c>
      <c r="D28" s="231" t="s">
        <v>63</v>
      </c>
      <c r="E28" s="465">
        <f t="shared" ref="E28:F28" si="1">SUM(E2:E26)</f>
        <v>1765</v>
      </c>
      <c r="F28" s="465">
        <f t="shared" si="1"/>
        <v>981</v>
      </c>
      <c r="G28" s="231" t="s">
        <v>63</v>
      </c>
      <c r="H28" s="233">
        <f>SUM(H2:H26)</f>
        <v>2130</v>
      </c>
      <c r="I28" s="234">
        <f>AFCARSCSC!C24</f>
        <v>68</v>
      </c>
      <c r="J28" s="235" t="s">
        <v>63</v>
      </c>
      <c r="K28" s="236" t="s">
        <v>63</v>
      </c>
      <c r="L28" s="233">
        <f>SUM(L2:L26)</f>
        <v>1092</v>
      </c>
      <c r="M28" s="237" t="s">
        <v>63</v>
      </c>
      <c r="N28" s="237" t="s">
        <v>63</v>
      </c>
      <c r="O28" s="231" t="s">
        <v>63</v>
      </c>
      <c r="P28" s="233">
        <f>SUM(P3:P26)</f>
        <v>4012</v>
      </c>
      <c r="Q28" s="239" t="s">
        <v>63</v>
      </c>
    </row>
  </sheetData>
  <autoFilter ref="$A$2:$Q$26"/>
  <mergeCells count="1">
    <mergeCell ref="B1:Q1"/>
  </mergeCells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9" width="13.88"/>
    <col customWidth="1" min="10" max="10" width="15.38"/>
    <col customWidth="1" min="11" max="11" width="16.0"/>
  </cols>
  <sheetData>
    <row r="1">
      <c r="A1" s="275" t="s">
        <v>1040</v>
      </c>
      <c r="B1" s="276"/>
      <c r="C1" s="276"/>
      <c r="D1" s="276"/>
      <c r="E1" s="275" t="s">
        <v>765</v>
      </c>
      <c r="F1" s="864" t="s">
        <v>2809</v>
      </c>
      <c r="I1" s="275" t="s">
        <v>767</v>
      </c>
      <c r="J1" s="648">
        <v>45428.0</v>
      </c>
      <c r="K1" s="275" t="s">
        <v>769</v>
      </c>
      <c r="L1" s="648">
        <v>45291.0</v>
      </c>
      <c r="M1" s="276"/>
    </row>
    <row r="2">
      <c r="A2" s="865"/>
      <c r="B2" s="866" t="s">
        <v>693</v>
      </c>
      <c r="C2" s="867" t="s">
        <v>1058</v>
      </c>
      <c r="D2" s="867" t="s">
        <v>1713</v>
      </c>
      <c r="E2" s="867" t="s">
        <v>1714</v>
      </c>
      <c r="F2" s="867" t="s">
        <v>1715</v>
      </c>
      <c r="G2" s="868"/>
      <c r="H2" s="869" t="s">
        <v>2810</v>
      </c>
      <c r="I2" s="438" t="s">
        <v>2811</v>
      </c>
      <c r="J2" s="438" t="s">
        <v>2812</v>
      </c>
      <c r="K2" s="438" t="s">
        <v>2813</v>
      </c>
      <c r="L2" s="438" t="s">
        <v>2814</v>
      </c>
      <c r="M2" s="438" t="s">
        <v>2815</v>
      </c>
      <c r="N2" s="328" t="s">
        <v>2180</v>
      </c>
      <c r="O2" s="438" t="s">
        <v>2816</v>
      </c>
      <c r="P2" s="438" t="s">
        <v>1109</v>
      </c>
      <c r="Q2" s="328" t="s">
        <v>1715</v>
      </c>
      <c r="R2" s="438" t="s">
        <v>1754</v>
      </c>
      <c r="S2" s="1"/>
      <c r="T2" s="1"/>
      <c r="U2" s="1"/>
    </row>
    <row r="3">
      <c r="A3" s="328" t="s">
        <v>1197</v>
      </c>
      <c r="B3" s="871">
        <v>37.0</v>
      </c>
      <c r="C3" s="872">
        <f t="shared" ref="C3:C8" si="1">$J3+$K3+$L3+$M3</f>
        <v>7</v>
      </c>
      <c r="D3" s="873">
        <f t="shared" ref="D3:D27" si="2">$H3+$I3</f>
        <v>10</v>
      </c>
      <c r="E3" s="873">
        <f t="shared" ref="E3:E27" si="3">$N3+$O3</f>
        <v>6</v>
      </c>
      <c r="F3" s="874">
        <f t="shared" ref="F3:F27" si="4">$P3+$Q3+$R3</f>
        <v>14</v>
      </c>
      <c r="G3" s="390"/>
      <c r="H3" s="444">
        <v>10.0</v>
      </c>
      <c r="I3" s="445">
        <v>0.0</v>
      </c>
      <c r="J3" s="445">
        <v>6.0</v>
      </c>
      <c r="K3" s="444">
        <v>1.0</v>
      </c>
      <c r="L3" s="444">
        <v>0.0</v>
      </c>
      <c r="M3" s="444">
        <v>0.0</v>
      </c>
      <c r="N3" s="444">
        <v>3.0</v>
      </c>
      <c r="O3" s="444">
        <v>3.0</v>
      </c>
      <c r="P3" s="444">
        <v>0.0</v>
      </c>
      <c r="Q3" s="444">
        <v>14.0</v>
      </c>
      <c r="R3" s="444">
        <v>0.0</v>
      </c>
      <c r="S3" s="1"/>
      <c r="T3" s="1"/>
    </row>
    <row r="4">
      <c r="A4" s="328" t="s">
        <v>620</v>
      </c>
      <c r="B4" s="875">
        <v>95.0</v>
      </c>
      <c r="C4" s="872">
        <f t="shared" si="1"/>
        <v>57</v>
      </c>
      <c r="D4" s="873">
        <f t="shared" si="2"/>
        <v>9</v>
      </c>
      <c r="E4" s="873">
        <f t="shared" si="3"/>
        <v>23</v>
      </c>
      <c r="F4" s="874">
        <f t="shared" si="4"/>
        <v>6</v>
      </c>
      <c r="G4" s="390"/>
      <c r="H4" s="206">
        <v>9.0</v>
      </c>
      <c r="I4" s="449">
        <v>0.0</v>
      </c>
      <c r="J4" s="449">
        <v>46.0</v>
      </c>
      <c r="K4" s="206">
        <v>11.0</v>
      </c>
      <c r="L4" s="206">
        <v>0.0</v>
      </c>
      <c r="M4" s="206">
        <v>0.0</v>
      </c>
      <c r="N4" s="206">
        <v>15.0</v>
      </c>
      <c r="O4" s="206">
        <v>8.0</v>
      </c>
      <c r="P4" s="206">
        <v>0.0</v>
      </c>
      <c r="Q4" s="206">
        <v>6.0</v>
      </c>
      <c r="R4" s="206">
        <v>0.0</v>
      </c>
    </row>
    <row r="5">
      <c r="A5" s="328" t="s">
        <v>607</v>
      </c>
      <c r="B5" s="875">
        <v>1427.0</v>
      </c>
      <c r="C5" s="872">
        <f t="shared" si="1"/>
        <v>605</v>
      </c>
      <c r="D5" s="873">
        <f t="shared" si="2"/>
        <v>501</v>
      </c>
      <c r="E5" s="873">
        <f t="shared" si="3"/>
        <v>120</v>
      </c>
      <c r="F5" s="874">
        <f t="shared" si="4"/>
        <v>201</v>
      </c>
      <c r="G5" s="390"/>
      <c r="H5" s="206">
        <v>493.0</v>
      </c>
      <c r="I5" s="449">
        <v>8.0</v>
      </c>
      <c r="J5" s="449">
        <v>326.0</v>
      </c>
      <c r="K5" s="206">
        <v>278.0</v>
      </c>
      <c r="L5" s="206">
        <v>0.0</v>
      </c>
      <c r="M5" s="206">
        <v>1.0</v>
      </c>
      <c r="N5" s="206">
        <v>115.0</v>
      </c>
      <c r="O5" s="206">
        <v>5.0</v>
      </c>
      <c r="P5" s="206">
        <v>7.0</v>
      </c>
      <c r="Q5" s="206">
        <v>175.0</v>
      </c>
      <c r="R5" s="206">
        <v>19.0</v>
      </c>
      <c r="S5" s="1"/>
    </row>
    <row r="6">
      <c r="A6" s="328" t="s">
        <v>503</v>
      </c>
      <c r="B6" s="875">
        <v>573.0</v>
      </c>
      <c r="C6" s="872">
        <f t="shared" si="1"/>
        <v>246</v>
      </c>
      <c r="D6" s="873">
        <f t="shared" si="2"/>
        <v>190</v>
      </c>
      <c r="E6" s="873">
        <f t="shared" si="3"/>
        <v>84</v>
      </c>
      <c r="F6" s="874">
        <f t="shared" si="4"/>
        <v>53</v>
      </c>
      <c r="G6" s="390"/>
      <c r="H6" s="206">
        <v>189.0</v>
      </c>
      <c r="I6" s="449">
        <v>1.0</v>
      </c>
      <c r="J6" s="449">
        <v>126.0</v>
      </c>
      <c r="K6" s="206">
        <v>120.0</v>
      </c>
      <c r="L6" s="206">
        <v>0.0</v>
      </c>
      <c r="M6" s="206">
        <v>0.0</v>
      </c>
      <c r="N6" s="206">
        <v>70.0</v>
      </c>
      <c r="O6" s="206">
        <v>14.0</v>
      </c>
      <c r="P6" s="206">
        <v>2.0</v>
      </c>
      <c r="Q6" s="206">
        <v>46.0</v>
      </c>
      <c r="R6" s="206">
        <v>5.0</v>
      </c>
      <c r="S6" s="1"/>
    </row>
    <row r="7">
      <c r="A7" s="328" t="s">
        <v>1199</v>
      </c>
      <c r="B7" s="875">
        <v>45.0</v>
      </c>
      <c r="C7" s="872">
        <f t="shared" si="1"/>
        <v>25</v>
      </c>
      <c r="D7" s="873">
        <f t="shared" si="2"/>
        <v>5</v>
      </c>
      <c r="E7" s="873">
        <f t="shared" si="3"/>
        <v>4</v>
      </c>
      <c r="F7" s="874">
        <f t="shared" si="4"/>
        <v>11</v>
      </c>
      <c r="G7" s="390"/>
      <c r="H7" s="206">
        <v>5.0</v>
      </c>
      <c r="I7" s="449">
        <v>0.0</v>
      </c>
      <c r="J7" s="449">
        <v>24.0</v>
      </c>
      <c r="K7" s="206">
        <v>1.0</v>
      </c>
      <c r="L7" s="206">
        <v>0.0</v>
      </c>
      <c r="M7" s="206">
        <v>0.0</v>
      </c>
      <c r="N7" s="206">
        <v>2.0</v>
      </c>
      <c r="O7" s="206">
        <v>2.0</v>
      </c>
      <c r="P7" s="206">
        <v>0.0</v>
      </c>
      <c r="Q7" s="206">
        <v>4.0</v>
      </c>
      <c r="R7" s="206">
        <v>7.0</v>
      </c>
      <c r="S7" s="1"/>
      <c r="T7" s="1"/>
      <c r="U7" s="1"/>
    </row>
    <row r="8">
      <c r="A8" s="328" t="s">
        <v>1200</v>
      </c>
      <c r="B8" s="875">
        <v>21.0</v>
      </c>
      <c r="C8" s="872">
        <f t="shared" si="1"/>
        <v>10</v>
      </c>
      <c r="D8" s="873">
        <f t="shared" si="2"/>
        <v>2</v>
      </c>
      <c r="E8" s="873">
        <f t="shared" si="3"/>
        <v>7</v>
      </c>
      <c r="F8" s="874">
        <f t="shared" si="4"/>
        <v>2</v>
      </c>
      <c r="G8" s="390"/>
      <c r="H8" s="206">
        <v>2.0</v>
      </c>
      <c r="I8" s="449">
        <v>0.0</v>
      </c>
      <c r="J8" s="449">
        <v>10.0</v>
      </c>
      <c r="K8" s="206">
        <v>0.0</v>
      </c>
      <c r="L8" s="206">
        <v>0.0</v>
      </c>
      <c r="M8" s="206">
        <v>0.0</v>
      </c>
      <c r="N8" s="206">
        <v>4.0</v>
      </c>
      <c r="O8" s="206">
        <v>3.0</v>
      </c>
      <c r="P8" s="206">
        <v>0.0</v>
      </c>
      <c r="Q8" s="206">
        <v>2.0</v>
      </c>
      <c r="R8" s="206">
        <v>0.0</v>
      </c>
      <c r="S8" s="1"/>
      <c r="T8" s="1"/>
      <c r="U8" s="1"/>
    </row>
    <row r="9">
      <c r="A9" s="328" t="s">
        <v>248</v>
      </c>
      <c r="B9" s="875">
        <v>29.0</v>
      </c>
      <c r="C9" s="872" t="s">
        <v>63</v>
      </c>
      <c r="D9" s="873">
        <f t="shared" si="2"/>
        <v>4</v>
      </c>
      <c r="E9" s="873">
        <f t="shared" si="3"/>
        <v>5</v>
      </c>
      <c r="F9" s="874">
        <f t="shared" si="4"/>
        <v>5</v>
      </c>
      <c r="G9" s="390"/>
      <c r="H9" s="206">
        <v>4.0</v>
      </c>
      <c r="I9" s="449">
        <v>0.0</v>
      </c>
      <c r="J9" s="449">
        <v>14.0</v>
      </c>
      <c r="K9" s="206">
        <v>1.0</v>
      </c>
      <c r="L9" s="206">
        <v>0.0</v>
      </c>
      <c r="M9" s="206">
        <v>0.0</v>
      </c>
      <c r="N9" s="206">
        <v>3.0</v>
      </c>
      <c r="O9" s="206">
        <v>2.0</v>
      </c>
      <c r="P9" s="206">
        <v>1.0</v>
      </c>
      <c r="Q9" s="206">
        <v>3.0</v>
      </c>
      <c r="R9" s="206">
        <v>1.0</v>
      </c>
      <c r="S9" s="1"/>
      <c r="T9" s="1"/>
    </row>
    <row r="10">
      <c r="A10" s="328" t="s">
        <v>1201</v>
      </c>
      <c r="B10" s="875">
        <v>101.0</v>
      </c>
      <c r="C10" s="872">
        <f t="shared" ref="C10:C27" si="5">$J10+$K10+$L10+$M10</f>
        <v>75</v>
      </c>
      <c r="D10" s="873">
        <f t="shared" si="2"/>
        <v>2</v>
      </c>
      <c r="E10" s="873">
        <f t="shared" si="3"/>
        <v>4</v>
      </c>
      <c r="F10" s="874">
        <f t="shared" si="4"/>
        <v>20</v>
      </c>
      <c r="G10" s="390"/>
      <c r="H10" s="206">
        <v>2.0</v>
      </c>
      <c r="I10" s="449">
        <v>0.0</v>
      </c>
      <c r="J10" s="449">
        <v>73.0</v>
      </c>
      <c r="K10" s="206">
        <v>2.0</v>
      </c>
      <c r="L10" s="206">
        <v>0.0</v>
      </c>
      <c r="M10" s="206">
        <v>0.0</v>
      </c>
      <c r="N10" s="206">
        <v>3.0</v>
      </c>
      <c r="O10" s="206">
        <v>1.0</v>
      </c>
      <c r="P10" s="206">
        <v>0.0</v>
      </c>
      <c r="Q10" s="206">
        <v>20.0</v>
      </c>
      <c r="R10" s="206">
        <v>0.0</v>
      </c>
      <c r="S10" s="1"/>
      <c r="T10" s="1"/>
      <c r="U10" s="1"/>
    </row>
    <row r="11">
      <c r="A11" s="328" t="s">
        <v>1203</v>
      </c>
      <c r="B11" s="875">
        <v>20.0</v>
      </c>
      <c r="C11" s="872">
        <f t="shared" si="5"/>
        <v>10</v>
      </c>
      <c r="D11" s="873">
        <f t="shared" si="2"/>
        <v>1</v>
      </c>
      <c r="E11" s="873">
        <f t="shared" si="3"/>
        <v>3</v>
      </c>
      <c r="F11" s="874">
        <f t="shared" si="4"/>
        <v>6</v>
      </c>
      <c r="G11" s="390"/>
      <c r="H11" s="206">
        <v>1.0</v>
      </c>
      <c r="I11" s="449">
        <v>0.0</v>
      </c>
      <c r="J11" s="449">
        <v>8.0</v>
      </c>
      <c r="K11" s="206">
        <v>2.0</v>
      </c>
      <c r="L11" s="206">
        <v>0.0</v>
      </c>
      <c r="M11" s="206">
        <v>0.0</v>
      </c>
      <c r="N11" s="206">
        <v>3.0</v>
      </c>
      <c r="O11" s="206">
        <v>0.0</v>
      </c>
      <c r="P11" s="206">
        <v>0.0</v>
      </c>
      <c r="Q11" s="206">
        <v>5.0</v>
      </c>
      <c r="R11" s="206">
        <v>1.0</v>
      </c>
      <c r="S11" s="1"/>
      <c r="T11" s="1"/>
      <c r="U11" s="1"/>
    </row>
    <row r="12">
      <c r="A12" s="328" t="s">
        <v>1204</v>
      </c>
      <c r="B12" s="875">
        <v>26.0</v>
      </c>
      <c r="C12" s="872">
        <f t="shared" si="5"/>
        <v>12</v>
      </c>
      <c r="D12" s="873">
        <f t="shared" si="2"/>
        <v>8</v>
      </c>
      <c r="E12" s="873">
        <f t="shared" si="3"/>
        <v>3</v>
      </c>
      <c r="F12" s="874">
        <f t="shared" si="4"/>
        <v>3</v>
      </c>
      <c r="G12" s="390"/>
      <c r="H12" s="206">
        <v>8.0</v>
      </c>
      <c r="I12" s="449">
        <v>0.0</v>
      </c>
      <c r="J12" s="449">
        <v>8.0</v>
      </c>
      <c r="K12" s="206">
        <v>4.0</v>
      </c>
      <c r="L12" s="206">
        <v>0.0</v>
      </c>
      <c r="M12" s="206">
        <v>0.0</v>
      </c>
      <c r="N12" s="206">
        <v>3.0</v>
      </c>
      <c r="O12" s="206">
        <v>0.0</v>
      </c>
      <c r="P12" s="206">
        <v>0.0</v>
      </c>
      <c r="Q12" s="206">
        <v>3.0</v>
      </c>
      <c r="R12" s="206">
        <v>0.0</v>
      </c>
      <c r="S12" s="1"/>
      <c r="T12" s="1"/>
      <c r="U12" s="1"/>
    </row>
    <row r="13">
      <c r="A13" s="328" t="s">
        <v>1206</v>
      </c>
      <c r="B13" s="875">
        <v>61.0</v>
      </c>
      <c r="C13" s="872">
        <f t="shared" si="5"/>
        <v>19</v>
      </c>
      <c r="D13" s="873">
        <f t="shared" si="2"/>
        <v>11</v>
      </c>
      <c r="E13" s="873">
        <f t="shared" si="3"/>
        <v>10</v>
      </c>
      <c r="F13" s="874">
        <f t="shared" si="4"/>
        <v>21</v>
      </c>
      <c r="G13" s="390"/>
      <c r="H13" s="206">
        <v>10.0</v>
      </c>
      <c r="I13" s="449">
        <v>1.0</v>
      </c>
      <c r="J13" s="449">
        <v>19.0</v>
      </c>
      <c r="K13" s="206">
        <v>0.0</v>
      </c>
      <c r="L13" s="206">
        <v>0.0</v>
      </c>
      <c r="M13" s="206">
        <v>0.0</v>
      </c>
      <c r="N13" s="206">
        <v>5.0</v>
      </c>
      <c r="O13" s="206">
        <v>5.0</v>
      </c>
      <c r="P13" s="206">
        <v>2.0</v>
      </c>
      <c r="Q13" s="206">
        <v>19.0</v>
      </c>
      <c r="R13" s="206">
        <v>0.0</v>
      </c>
      <c r="S13" s="1"/>
      <c r="T13" s="1"/>
    </row>
    <row r="14">
      <c r="A14" s="328" t="s">
        <v>1207</v>
      </c>
      <c r="B14" s="875">
        <v>37.0</v>
      </c>
      <c r="C14" s="872">
        <f t="shared" si="5"/>
        <v>14</v>
      </c>
      <c r="D14" s="873">
        <f t="shared" si="2"/>
        <v>4</v>
      </c>
      <c r="E14" s="873">
        <f t="shared" si="3"/>
        <v>1</v>
      </c>
      <c r="F14" s="874">
        <f t="shared" si="4"/>
        <v>18</v>
      </c>
      <c r="G14" s="390"/>
      <c r="H14" s="206">
        <v>4.0</v>
      </c>
      <c r="I14" s="449">
        <v>0.0</v>
      </c>
      <c r="J14" s="449">
        <v>14.0</v>
      </c>
      <c r="K14" s="206">
        <v>0.0</v>
      </c>
      <c r="L14" s="206">
        <v>0.0</v>
      </c>
      <c r="M14" s="206">
        <v>0.0</v>
      </c>
      <c r="N14" s="206">
        <v>1.0</v>
      </c>
      <c r="O14" s="206">
        <v>0.0</v>
      </c>
      <c r="P14" s="206">
        <v>0.0</v>
      </c>
      <c r="Q14" s="206">
        <v>18.0</v>
      </c>
      <c r="R14" s="206">
        <v>0.0</v>
      </c>
      <c r="S14" s="1"/>
      <c r="T14" s="1"/>
    </row>
    <row r="15">
      <c r="A15" s="328" t="s">
        <v>1208</v>
      </c>
      <c r="B15" s="875">
        <v>162.0</v>
      </c>
      <c r="C15" s="872">
        <f t="shared" si="5"/>
        <v>99</v>
      </c>
      <c r="D15" s="873">
        <f t="shared" si="2"/>
        <v>24</v>
      </c>
      <c r="E15" s="873">
        <f t="shared" si="3"/>
        <v>22</v>
      </c>
      <c r="F15" s="874">
        <f t="shared" si="4"/>
        <v>17</v>
      </c>
      <c r="G15" s="390"/>
      <c r="H15" s="206">
        <v>24.0</v>
      </c>
      <c r="I15" s="449">
        <v>0.0</v>
      </c>
      <c r="J15" s="449">
        <v>90.0</v>
      </c>
      <c r="K15" s="206">
        <v>9.0</v>
      </c>
      <c r="L15" s="206">
        <v>0.0</v>
      </c>
      <c r="M15" s="206">
        <v>0.0</v>
      </c>
      <c r="N15" s="206">
        <v>15.0</v>
      </c>
      <c r="O15" s="206">
        <v>7.0</v>
      </c>
      <c r="P15" s="206">
        <v>2.0</v>
      </c>
      <c r="Q15" s="206">
        <v>15.0</v>
      </c>
      <c r="R15" s="206">
        <v>0.0</v>
      </c>
      <c r="S15" s="1"/>
      <c r="T15" s="1"/>
      <c r="U15" s="1"/>
    </row>
    <row r="16">
      <c r="A16" s="328" t="s">
        <v>283</v>
      </c>
      <c r="B16" s="875">
        <v>81.0</v>
      </c>
      <c r="C16" s="872">
        <f t="shared" si="5"/>
        <v>44</v>
      </c>
      <c r="D16" s="873">
        <f t="shared" si="2"/>
        <v>13</v>
      </c>
      <c r="E16" s="873">
        <f t="shared" si="3"/>
        <v>11</v>
      </c>
      <c r="F16" s="874">
        <f t="shared" si="4"/>
        <v>13</v>
      </c>
      <c r="G16" s="390"/>
      <c r="H16" s="206">
        <v>12.0</v>
      </c>
      <c r="I16" s="449">
        <v>1.0</v>
      </c>
      <c r="J16" s="449">
        <v>35.0</v>
      </c>
      <c r="K16" s="206">
        <v>9.0</v>
      </c>
      <c r="L16" s="206">
        <v>0.0</v>
      </c>
      <c r="M16" s="206">
        <v>0.0</v>
      </c>
      <c r="N16" s="206">
        <v>10.0</v>
      </c>
      <c r="O16" s="206">
        <v>1.0</v>
      </c>
      <c r="P16" s="206">
        <v>0.0</v>
      </c>
      <c r="Q16" s="206">
        <v>11.0</v>
      </c>
      <c r="R16" s="206">
        <v>2.0</v>
      </c>
      <c r="S16" s="1"/>
      <c r="T16" s="1"/>
      <c r="U16" s="1"/>
    </row>
    <row r="17">
      <c r="A17" s="328" t="s">
        <v>474</v>
      </c>
      <c r="B17" s="875">
        <v>10.0</v>
      </c>
      <c r="C17" s="872">
        <f t="shared" si="5"/>
        <v>5</v>
      </c>
      <c r="D17" s="873">
        <f t="shared" si="2"/>
        <v>0</v>
      </c>
      <c r="E17" s="873">
        <f t="shared" si="3"/>
        <v>4</v>
      </c>
      <c r="F17" s="874">
        <f t="shared" si="4"/>
        <v>1</v>
      </c>
      <c r="G17" s="390"/>
      <c r="H17" s="206">
        <v>0.0</v>
      </c>
      <c r="I17" s="449">
        <v>0.0</v>
      </c>
      <c r="J17" s="449">
        <v>5.0</v>
      </c>
      <c r="K17" s="206">
        <v>0.0</v>
      </c>
      <c r="L17" s="206">
        <v>0.0</v>
      </c>
      <c r="M17" s="206">
        <v>0.0</v>
      </c>
      <c r="N17" s="206">
        <v>2.0</v>
      </c>
      <c r="O17" s="206">
        <v>2.0</v>
      </c>
      <c r="P17" s="206">
        <v>0.0</v>
      </c>
      <c r="Q17" s="206">
        <v>1.0</v>
      </c>
      <c r="R17" s="206">
        <v>0.0</v>
      </c>
      <c r="S17" s="1"/>
      <c r="T17" s="1"/>
      <c r="U17" s="1"/>
    </row>
    <row r="18">
      <c r="A18" s="328" t="s">
        <v>157</v>
      </c>
      <c r="B18" s="875">
        <v>327.0</v>
      </c>
      <c r="C18" s="872">
        <f t="shared" si="5"/>
        <v>164</v>
      </c>
      <c r="D18" s="873">
        <f t="shared" si="2"/>
        <v>78</v>
      </c>
      <c r="E18" s="873">
        <f t="shared" si="3"/>
        <v>28</v>
      </c>
      <c r="F18" s="874">
        <f t="shared" si="4"/>
        <v>57</v>
      </c>
      <c r="G18" s="390"/>
      <c r="H18" s="206">
        <v>77.0</v>
      </c>
      <c r="I18" s="449">
        <v>1.0</v>
      </c>
      <c r="J18" s="449">
        <v>150.0</v>
      </c>
      <c r="K18" s="206">
        <v>14.0</v>
      </c>
      <c r="L18" s="206">
        <v>0.0</v>
      </c>
      <c r="M18" s="206">
        <v>0.0</v>
      </c>
      <c r="N18" s="206">
        <v>24.0</v>
      </c>
      <c r="O18" s="206">
        <v>4.0</v>
      </c>
      <c r="P18" s="206">
        <v>0.0</v>
      </c>
      <c r="Q18" s="206">
        <v>55.0</v>
      </c>
      <c r="R18" s="206">
        <v>2.0</v>
      </c>
      <c r="S18" s="1"/>
      <c r="T18" s="1"/>
      <c r="U18" s="1"/>
    </row>
    <row r="19">
      <c r="A19" s="328" t="s">
        <v>465</v>
      </c>
      <c r="B19" s="875">
        <v>444.0</v>
      </c>
      <c r="C19" s="872">
        <f t="shared" si="5"/>
        <v>228</v>
      </c>
      <c r="D19" s="873">
        <f t="shared" si="2"/>
        <v>87</v>
      </c>
      <c r="E19" s="873">
        <f t="shared" si="3"/>
        <v>26</v>
      </c>
      <c r="F19" s="874">
        <f t="shared" si="4"/>
        <v>103</v>
      </c>
      <c r="G19" s="390"/>
      <c r="H19" s="206">
        <v>87.0</v>
      </c>
      <c r="I19" s="449">
        <v>0.0</v>
      </c>
      <c r="J19" s="449">
        <v>118.0</v>
      </c>
      <c r="K19" s="206">
        <v>110.0</v>
      </c>
      <c r="L19" s="206">
        <v>0.0</v>
      </c>
      <c r="M19" s="206">
        <v>0.0</v>
      </c>
      <c r="N19" s="206">
        <v>25.0</v>
      </c>
      <c r="O19" s="206">
        <v>1.0</v>
      </c>
      <c r="P19" s="206">
        <v>1.0</v>
      </c>
      <c r="Q19" s="206">
        <v>50.0</v>
      </c>
      <c r="R19" s="206">
        <v>52.0</v>
      </c>
      <c r="S19" s="1"/>
    </row>
    <row r="20">
      <c r="A20" s="328" t="s">
        <v>2817</v>
      </c>
      <c r="B20" s="875">
        <v>13.0</v>
      </c>
      <c r="C20" s="872">
        <f t="shared" si="5"/>
        <v>7</v>
      </c>
      <c r="D20" s="873">
        <f t="shared" si="2"/>
        <v>1</v>
      </c>
      <c r="E20" s="873">
        <f t="shared" si="3"/>
        <v>3</v>
      </c>
      <c r="F20" s="874">
        <f t="shared" si="4"/>
        <v>2</v>
      </c>
      <c r="G20" s="390"/>
      <c r="H20" s="206">
        <v>1.0</v>
      </c>
      <c r="I20" s="449">
        <v>0.0</v>
      </c>
      <c r="J20" s="449">
        <v>7.0</v>
      </c>
      <c r="K20" s="206">
        <v>0.0</v>
      </c>
      <c r="L20" s="206">
        <v>0.0</v>
      </c>
      <c r="M20" s="206">
        <v>0.0</v>
      </c>
      <c r="N20" s="206">
        <v>1.0</v>
      </c>
      <c r="O20" s="206">
        <v>2.0</v>
      </c>
      <c r="P20" s="206">
        <v>0.0</v>
      </c>
      <c r="Q20" s="206">
        <v>2.0</v>
      </c>
      <c r="R20" s="206">
        <v>0.0</v>
      </c>
      <c r="S20" s="1"/>
    </row>
    <row r="21">
      <c r="A21" s="328" t="s">
        <v>2818</v>
      </c>
      <c r="B21" s="875">
        <v>54.0</v>
      </c>
      <c r="C21" s="872">
        <f t="shared" si="5"/>
        <v>37</v>
      </c>
      <c r="D21" s="873">
        <f t="shared" si="2"/>
        <v>5</v>
      </c>
      <c r="E21" s="873">
        <f t="shared" si="3"/>
        <v>3</v>
      </c>
      <c r="F21" s="874">
        <f t="shared" si="4"/>
        <v>9</v>
      </c>
      <c r="G21" s="390"/>
      <c r="H21" s="206">
        <v>5.0</v>
      </c>
      <c r="I21" s="449">
        <v>0.0</v>
      </c>
      <c r="J21" s="449">
        <v>30.0</v>
      </c>
      <c r="K21" s="206">
        <v>7.0</v>
      </c>
      <c r="L21" s="206">
        <v>0.0</v>
      </c>
      <c r="M21" s="206">
        <v>0.0</v>
      </c>
      <c r="N21" s="206">
        <v>2.0</v>
      </c>
      <c r="O21" s="206">
        <v>1.0</v>
      </c>
      <c r="P21" s="206">
        <v>0.0</v>
      </c>
      <c r="Q21" s="206">
        <v>9.0</v>
      </c>
      <c r="R21" s="206">
        <v>0.0</v>
      </c>
      <c r="S21" s="1"/>
    </row>
    <row r="22">
      <c r="A22" s="328" t="s">
        <v>1194</v>
      </c>
      <c r="B22" s="875">
        <v>21.0</v>
      </c>
      <c r="C22" s="872">
        <f t="shared" si="5"/>
        <v>13</v>
      </c>
      <c r="D22" s="873">
        <f t="shared" si="2"/>
        <v>1</v>
      </c>
      <c r="E22" s="873">
        <f t="shared" si="3"/>
        <v>1</v>
      </c>
      <c r="F22" s="874">
        <f t="shared" si="4"/>
        <v>6</v>
      </c>
      <c r="G22" s="390"/>
      <c r="H22" s="206">
        <v>1.0</v>
      </c>
      <c r="I22" s="449">
        <v>0.0</v>
      </c>
      <c r="J22" s="449">
        <v>5.0</v>
      </c>
      <c r="K22" s="206">
        <v>8.0</v>
      </c>
      <c r="L22" s="206">
        <v>0.0</v>
      </c>
      <c r="M22" s="206">
        <v>0.0</v>
      </c>
      <c r="N22" s="206">
        <v>1.0</v>
      </c>
      <c r="O22" s="206">
        <v>0.0</v>
      </c>
      <c r="P22" s="206">
        <v>0.0</v>
      </c>
      <c r="Q22" s="206">
        <v>4.0</v>
      </c>
      <c r="R22" s="206">
        <v>2.0</v>
      </c>
      <c r="S22" s="1"/>
      <c r="T22" s="1"/>
      <c r="U22" s="1"/>
    </row>
    <row r="23">
      <c r="A23" s="328" t="s">
        <v>630</v>
      </c>
      <c r="B23" s="875">
        <v>16.0</v>
      </c>
      <c r="C23" s="872">
        <f t="shared" si="5"/>
        <v>7</v>
      </c>
      <c r="D23" s="873">
        <f t="shared" si="2"/>
        <v>2</v>
      </c>
      <c r="E23" s="873">
        <f t="shared" si="3"/>
        <v>2</v>
      </c>
      <c r="F23" s="874">
        <f t="shared" si="4"/>
        <v>5</v>
      </c>
      <c r="G23" s="390"/>
      <c r="H23" s="206">
        <v>2.0</v>
      </c>
      <c r="I23" s="449">
        <v>0.0</v>
      </c>
      <c r="J23" s="449">
        <v>5.0</v>
      </c>
      <c r="K23" s="206">
        <v>2.0</v>
      </c>
      <c r="L23" s="206">
        <v>0.0</v>
      </c>
      <c r="M23" s="206">
        <v>0.0</v>
      </c>
      <c r="N23" s="206">
        <v>1.0</v>
      </c>
      <c r="O23" s="206">
        <v>1.0</v>
      </c>
      <c r="P23" s="206">
        <v>0.0</v>
      </c>
      <c r="Q23" s="206">
        <v>5.0</v>
      </c>
      <c r="R23" s="206">
        <v>0.0</v>
      </c>
      <c r="S23" s="1"/>
      <c r="T23" s="1"/>
      <c r="U23" s="1"/>
    </row>
    <row r="24">
      <c r="A24" s="328" t="s">
        <v>119</v>
      </c>
      <c r="B24" s="875">
        <v>118.0</v>
      </c>
      <c r="C24" s="872">
        <f t="shared" si="5"/>
        <v>58</v>
      </c>
      <c r="D24" s="873">
        <f t="shared" si="2"/>
        <v>15</v>
      </c>
      <c r="E24" s="873">
        <f t="shared" si="3"/>
        <v>17</v>
      </c>
      <c r="F24" s="874">
        <f t="shared" si="4"/>
        <v>28</v>
      </c>
      <c r="G24" s="390"/>
      <c r="H24" s="206">
        <v>15.0</v>
      </c>
      <c r="I24" s="449">
        <v>0.0</v>
      </c>
      <c r="J24" s="449">
        <v>41.0</v>
      </c>
      <c r="K24" s="206">
        <v>17.0</v>
      </c>
      <c r="L24" s="206">
        <v>0.0</v>
      </c>
      <c r="M24" s="206">
        <v>0.0</v>
      </c>
      <c r="N24" s="206">
        <v>9.0</v>
      </c>
      <c r="O24" s="206">
        <v>8.0</v>
      </c>
      <c r="P24" s="206">
        <v>4.0</v>
      </c>
      <c r="Q24" s="206">
        <v>21.0</v>
      </c>
      <c r="R24" s="206">
        <v>3.0</v>
      </c>
      <c r="S24" s="1"/>
      <c r="T24" s="1"/>
      <c r="U24" s="1"/>
    </row>
    <row r="25">
      <c r="A25" s="328" t="s">
        <v>1226</v>
      </c>
      <c r="B25" s="875">
        <v>20.0</v>
      </c>
      <c r="C25" s="872">
        <f t="shared" si="5"/>
        <v>11</v>
      </c>
      <c r="D25" s="873">
        <f t="shared" si="2"/>
        <v>3</v>
      </c>
      <c r="E25" s="873">
        <f t="shared" si="3"/>
        <v>2</v>
      </c>
      <c r="F25" s="874">
        <f t="shared" si="4"/>
        <v>4</v>
      </c>
      <c r="G25" s="390"/>
      <c r="H25" s="206">
        <v>3.0</v>
      </c>
      <c r="I25" s="449">
        <v>0.0</v>
      </c>
      <c r="J25" s="449">
        <v>6.0</v>
      </c>
      <c r="K25" s="206">
        <v>5.0</v>
      </c>
      <c r="L25" s="206">
        <v>0.0</v>
      </c>
      <c r="M25" s="206">
        <v>0.0</v>
      </c>
      <c r="N25" s="206">
        <v>0.0</v>
      </c>
      <c r="O25" s="206">
        <v>2.0</v>
      </c>
      <c r="P25" s="206">
        <v>0.0</v>
      </c>
      <c r="Q25" s="206">
        <v>4.0</v>
      </c>
      <c r="R25" s="206">
        <v>0.0</v>
      </c>
      <c r="S25" s="1"/>
      <c r="T25" s="1"/>
      <c r="U25" s="1"/>
    </row>
    <row r="26">
      <c r="A26" s="328" t="s">
        <v>492</v>
      </c>
      <c r="B26" s="882">
        <v>22.0</v>
      </c>
      <c r="C26" s="872">
        <f t="shared" si="5"/>
        <v>12</v>
      </c>
      <c r="D26" s="873">
        <f t="shared" si="2"/>
        <v>5</v>
      </c>
      <c r="E26" s="873">
        <f t="shared" si="3"/>
        <v>0</v>
      </c>
      <c r="F26" s="874">
        <f t="shared" si="4"/>
        <v>5</v>
      </c>
      <c r="G26" s="390"/>
      <c r="H26" s="206">
        <v>5.0</v>
      </c>
      <c r="I26" s="449">
        <v>0.0</v>
      </c>
      <c r="J26" s="449">
        <v>10.0</v>
      </c>
      <c r="K26" s="206">
        <v>2.0</v>
      </c>
      <c r="L26" s="206">
        <v>0.0</v>
      </c>
      <c r="M26" s="206">
        <v>0.0</v>
      </c>
      <c r="N26" s="206">
        <v>0.0</v>
      </c>
      <c r="O26" s="206">
        <v>0.0</v>
      </c>
      <c r="P26" s="206">
        <v>0.0</v>
      </c>
      <c r="Q26" s="206">
        <v>5.0</v>
      </c>
      <c r="R26" s="206">
        <v>0.0</v>
      </c>
      <c r="S26" s="1"/>
      <c r="T26" s="1"/>
      <c r="U26" s="1"/>
    </row>
    <row r="27">
      <c r="A27" s="328" t="s">
        <v>2</v>
      </c>
      <c r="B27" s="883">
        <v>3760.0</v>
      </c>
      <c r="C27" s="872">
        <f t="shared" si="5"/>
        <v>1780</v>
      </c>
      <c r="D27" s="873">
        <f t="shared" si="2"/>
        <v>981</v>
      </c>
      <c r="E27" s="873">
        <f t="shared" si="3"/>
        <v>389</v>
      </c>
      <c r="F27" s="874">
        <f t="shared" si="4"/>
        <v>610</v>
      </c>
      <c r="G27" s="390"/>
      <c r="H27" s="206">
        <v>969.0</v>
      </c>
      <c r="I27" s="449">
        <v>12.0</v>
      </c>
      <c r="J27" s="449">
        <v>1176.0</v>
      </c>
      <c r="K27" s="206">
        <v>603.0</v>
      </c>
      <c r="L27" s="206">
        <v>0.0</v>
      </c>
      <c r="M27" s="206">
        <v>1.0</v>
      </c>
      <c r="N27" s="206">
        <v>317.0</v>
      </c>
      <c r="O27" s="206">
        <v>72.0</v>
      </c>
      <c r="P27" s="206">
        <v>19.0</v>
      </c>
      <c r="Q27" s="206">
        <v>497.0</v>
      </c>
      <c r="R27" s="206">
        <v>94.0</v>
      </c>
      <c r="S27" s="1"/>
      <c r="T27" s="1"/>
      <c r="U27" s="1"/>
    </row>
    <row r="28">
      <c r="N28" s="884"/>
      <c r="O28" s="884"/>
      <c r="P28" s="885"/>
      <c r="Q28" s="886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30">
      <c r="A30" s="275" t="s">
        <v>792</v>
      </c>
      <c r="B30" s="276"/>
      <c r="C30" s="276"/>
      <c r="D30" s="276"/>
      <c r="E30" s="275" t="s">
        <v>765</v>
      </c>
      <c r="F30" s="887" t="s">
        <v>2819</v>
      </c>
      <c r="I30" s="275" t="s">
        <v>767</v>
      </c>
      <c r="J30" s="648">
        <v>45728.0</v>
      </c>
      <c r="K30" s="275" t="s">
        <v>769</v>
      </c>
      <c r="L30" s="648">
        <v>45404.0</v>
      </c>
      <c r="M30" s="276"/>
    </row>
    <row r="31">
      <c r="A31" s="888"/>
      <c r="B31" s="867" t="s">
        <v>84</v>
      </c>
    </row>
    <row r="32">
      <c r="A32" s="328" t="s">
        <v>1197</v>
      </c>
      <c r="B32" s="889">
        <v>14.0</v>
      </c>
    </row>
    <row r="33">
      <c r="A33" s="328" t="s">
        <v>620</v>
      </c>
      <c r="B33" s="889">
        <v>10.0</v>
      </c>
    </row>
    <row r="34">
      <c r="A34" s="328" t="s">
        <v>607</v>
      </c>
      <c r="B34" s="889">
        <v>169.0</v>
      </c>
    </row>
    <row r="35">
      <c r="A35" s="328" t="s">
        <v>503</v>
      </c>
      <c r="B35" s="889">
        <v>83.0</v>
      </c>
    </row>
    <row r="36">
      <c r="A36" s="328" t="s">
        <v>1199</v>
      </c>
      <c r="B36" s="889">
        <v>2.0</v>
      </c>
    </row>
    <row r="37">
      <c r="A37" s="328" t="s">
        <v>1200</v>
      </c>
      <c r="B37" s="889">
        <v>2.0</v>
      </c>
    </row>
    <row r="38">
      <c r="A38" s="328" t="s">
        <v>248</v>
      </c>
      <c r="B38" s="889">
        <v>4.0</v>
      </c>
    </row>
    <row r="39">
      <c r="A39" s="328" t="s">
        <v>1201</v>
      </c>
      <c r="B39" s="889">
        <v>18.0</v>
      </c>
    </row>
    <row r="40">
      <c r="A40" s="328" t="s">
        <v>1203</v>
      </c>
      <c r="B40" s="889">
        <v>2.0</v>
      </c>
    </row>
    <row r="41">
      <c r="A41" s="328" t="s">
        <v>1204</v>
      </c>
      <c r="B41" s="889">
        <v>13.0</v>
      </c>
    </row>
    <row r="42">
      <c r="A42" s="328" t="s">
        <v>1206</v>
      </c>
      <c r="B42" s="889">
        <v>23.0</v>
      </c>
    </row>
    <row r="43">
      <c r="A43" s="328" t="s">
        <v>1207</v>
      </c>
      <c r="B43" s="889">
        <v>3.0</v>
      </c>
    </row>
    <row r="44">
      <c r="A44" s="328" t="s">
        <v>1208</v>
      </c>
      <c r="B44" s="889">
        <v>25.0</v>
      </c>
    </row>
    <row r="45">
      <c r="A45" s="328" t="s">
        <v>283</v>
      </c>
      <c r="B45" s="889">
        <v>8.0</v>
      </c>
    </row>
    <row r="46">
      <c r="A46" s="328" t="s">
        <v>474</v>
      </c>
      <c r="B46" s="889">
        <v>1.0</v>
      </c>
    </row>
    <row r="47">
      <c r="A47" s="328" t="s">
        <v>157</v>
      </c>
      <c r="B47" s="889">
        <v>60.0</v>
      </c>
    </row>
    <row r="48">
      <c r="A48" s="328" t="s">
        <v>465</v>
      </c>
      <c r="B48" s="889">
        <v>45.0</v>
      </c>
    </row>
    <row r="49">
      <c r="A49" s="328" t="s">
        <v>2817</v>
      </c>
      <c r="B49" s="889">
        <v>2.0</v>
      </c>
    </row>
    <row r="50">
      <c r="A50" s="328" t="s">
        <v>2818</v>
      </c>
      <c r="B50" s="889">
        <v>29.0</v>
      </c>
    </row>
    <row r="51">
      <c r="A51" s="328" t="s">
        <v>1194</v>
      </c>
      <c r="B51" s="889">
        <v>1.0</v>
      </c>
    </row>
    <row r="52">
      <c r="A52" s="328" t="s">
        <v>630</v>
      </c>
      <c r="B52" s="889">
        <v>5.0</v>
      </c>
    </row>
    <row r="53">
      <c r="A53" s="328" t="s">
        <v>119</v>
      </c>
      <c r="B53" s="889">
        <v>22.0</v>
      </c>
    </row>
    <row r="54">
      <c r="A54" s="328" t="s">
        <v>1226</v>
      </c>
      <c r="B54" s="889">
        <v>5.0</v>
      </c>
    </row>
    <row r="55">
      <c r="A55" s="328" t="s">
        <v>492</v>
      </c>
      <c r="B55" s="889">
        <v>3.0</v>
      </c>
    </row>
    <row r="56">
      <c r="A56" s="328" t="s">
        <v>2</v>
      </c>
      <c r="B56" s="889">
        <f>SUM(B32:B55)</f>
        <v>549</v>
      </c>
    </row>
    <row r="59">
      <c r="A59" s="275" t="s">
        <v>884</v>
      </c>
      <c r="B59" s="276"/>
      <c r="C59" s="276"/>
      <c r="D59" s="276"/>
      <c r="E59" s="275" t="s">
        <v>765</v>
      </c>
      <c r="F59" s="864" t="s">
        <v>2809</v>
      </c>
      <c r="I59" s="275" t="s">
        <v>767</v>
      </c>
      <c r="J59" s="648">
        <v>45428.0</v>
      </c>
      <c r="K59" s="275" t="s">
        <v>769</v>
      </c>
      <c r="L59" s="648">
        <v>45291.0</v>
      </c>
      <c r="M59" s="276"/>
    </row>
    <row r="61">
      <c r="A61" s="446"/>
      <c r="B61" s="890"/>
    </row>
    <row r="62">
      <c r="A62" s="328" t="s">
        <v>1197</v>
      </c>
      <c r="B62" s="891">
        <v>35.0</v>
      </c>
    </row>
    <row r="63">
      <c r="A63" s="328" t="s">
        <v>620</v>
      </c>
      <c r="B63" s="892">
        <v>105.0</v>
      </c>
    </row>
    <row r="64">
      <c r="A64" s="328" t="s">
        <v>607</v>
      </c>
      <c r="B64" s="892">
        <v>241.0</v>
      </c>
    </row>
    <row r="65">
      <c r="A65" s="328" t="s">
        <v>503</v>
      </c>
      <c r="B65" s="892">
        <v>166.0</v>
      </c>
    </row>
    <row r="66">
      <c r="A66" s="328" t="s">
        <v>1199</v>
      </c>
      <c r="B66" s="892">
        <v>7.0</v>
      </c>
    </row>
    <row r="67">
      <c r="A67" s="328" t="s">
        <v>1200</v>
      </c>
      <c r="B67" s="892">
        <v>13.0</v>
      </c>
    </row>
    <row r="68">
      <c r="A68" s="328" t="s">
        <v>248</v>
      </c>
      <c r="B68" s="892">
        <v>42.0</v>
      </c>
    </row>
    <row r="69">
      <c r="A69" s="328" t="s">
        <v>1201</v>
      </c>
      <c r="B69" s="892">
        <v>11.0</v>
      </c>
    </row>
    <row r="70">
      <c r="A70" s="328" t="s">
        <v>1203</v>
      </c>
      <c r="B70" s="892">
        <v>19.0</v>
      </c>
    </row>
    <row r="71">
      <c r="A71" s="328" t="s">
        <v>1204</v>
      </c>
      <c r="B71" s="892">
        <v>17.0</v>
      </c>
    </row>
    <row r="72">
      <c r="A72" s="328" t="s">
        <v>1206</v>
      </c>
      <c r="B72" s="892">
        <v>34.0</v>
      </c>
    </row>
    <row r="73">
      <c r="A73" s="328" t="s">
        <v>1207</v>
      </c>
      <c r="B73" s="892">
        <v>22.0</v>
      </c>
    </row>
    <row r="74">
      <c r="A74" s="328" t="s">
        <v>1208</v>
      </c>
      <c r="B74" s="892">
        <v>27.0</v>
      </c>
    </row>
    <row r="75">
      <c r="A75" s="328" t="s">
        <v>283</v>
      </c>
      <c r="B75" s="892">
        <v>42.0</v>
      </c>
    </row>
    <row r="76">
      <c r="A76" s="328" t="s">
        <v>474</v>
      </c>
      <c r="B76" s="892">
        <v>2.0</v>
      </c>
    </row>
    <row r="77">
      <c r="A77" s="328" t="s">
        <v>157</v>
      </c>
      <c r="B77" s="892">
        <v>60.0</v>
      </c>
    </row>
    <row r="78">
      <c r="A78" s="328" t="s">
        <v>465</v>
      </c>
      <c r="B78" s="892">
        <v>82.0</v>
      </c>
    </row>
    <row r="79">
      <c r="A79" s="328" t="s">
        <v>2817</v>
      </c>
      <c r="B79" s="892">
        <v>10.0</v>
      </c>
    </row>
    <row r="80">
      <c r="A80" s="328" t="s">
        <v>2818</v>
      </c>
      <c r="B80" s="892">
        <v>14.0</v>
      </c>
    </row>
    <row r="81">
      <c r="A81" s="328" t="s">
        <v>1194</v>
      </c>
      <c r="B81" s="892">
        <v>34.0</v>
      </c>
    </row>
    <row r="82">
      <c r="A82" s="328" t="s">
        <v>630</v>
      </c>
      <c r="B82" s="892">
        <v>7.0</v>
      </c>
    </row>
    <row r="83">
      <c r="A83" s="328" t="s">
        <v>119</v>
      </c>
      <c r="B83" s="892">
        <v>37.0</v>
      </c>
    </row>
    <row r="84">
      <c r="A84" s="328" t="s">
        <v>1226</v>
      </c>
      <c r="B84" s="892">
        <v>17.0</v>
      </c>
    </row>
    <row r="85">
      <c r="A85" s="328" t="s">
        <v>492</v>
      </c>
      <c r="B85" s="892">
        <v>48.0</v>
      </c>
    </row>
    <row r="86">
      <c r="A86" s="328" t="s">
        <v>2</v>
      </c>
      <c r="B86" s="893">
        <v>1092.0</v>
      </c>
    </row>
    <row r="88">
      <c r="A88" s="275" t="s">
        <v>852</v>
      </c>
      <c r="B88" s="276"/>
      <c r="C88" s="276"/>
      <c r="D88" s="275" t="s">
        <v>765</v>
      </c>
      <c r="E88" s="276" t="s">
        <v>2820</v>
      </c>
      <c r="F88" s="276"/>
      <c r="G88" s="276"/>
      <c r="H88" s="275" t="s">
        <v>767</v>
      </c>
      <c r="I88" s="648">
        <v>45428.0</v>
      </c>
      <c r="J88" s="275" t="s">
        <v>769</v>
      </c>
      <c r="K88" s="648">
        <v>45291.0</v>
      </c>
      <c r="L88" s="276"/>
    </row>
    <row r="89">
      <c r="A89" s="888"/>
      <c r="B89" s="894"/>
      <c r="C89" s="355" t="s">
        <v>2225</v>
      </c>
      <c r="D89" s="355" t="s">
        <v>2821</v>
      </c>
      <c r="H89" s="1"/>
      <c r="I89" s="1"/>
      <c r="J89" s="1"/>
      <c r="K89" s="1"/>
      <c r="L89" s="1"/>
    </row>
    <row r="90">
      <c r="A90" s="328" t="s">
        <v>1197</v>
      </c>
      <c r="B90" s="445">
        <f t="shared" ref="B90:B114" si="6">sum(C90+D90)</f>
        <v>46</v>
      </c>
      <c r="C90" s="206">
        <v>24.0</v>
      </c>
      <c r="D90" s="206">
        <v>22.0</v>
      </c>
      <c r="G90" s="340"/>
    </row>
    <row r="91">
      <c r="A91" s="328" t="s">
        <v>620</v>
      </c>
      <c r="B91" s="445">
        <f t="shared" si="6"/>
        <v>72</v>
      </c>
      <c r="C91" s="206">
        <v>53.0</v>
      </c>
      <c r="D91" s="206">
        <v>19.0</v>
      </c>
      <c r="G91" s="340"/>
    </row>
    <row r="92">
      <c r="A92" s="328" t="s">
        <v>607</v>
      </c>
      <c r="B92" s="445">
        <f t="shared" si="6"/>
        <v>687</v>
      </c>
      <c r="C92" s="206">
        <v>319.0</v>
      </c>
      <c r="D92" s="206">
        <v>368.0</v>
      </c>
      <c r="G92" s="340"/>
    </row>
    <row r="93">
      <c r="A93" s="328" t="s">
        <v>503</v>
      </c>
      <c r="B93" s="445">
        <f t="shared" si="6"/>
        <v>338</v>
      </c>
      <c r="C93" s="206">
        <v>145.0</v>
      </c>
      <c r="D93" s="206">
        <v>193.0</v>
      </c>
      <c r="G93" s="340"/>
    </row>
    <row r="94">
      <c r="A94" s="328" t="s">
        <v>1199</v>
      </c>
      <c r="B94" s="445">
        <f t="shared" si="6"/>
        <v>31</v>
      </c>
      <c r="C94" s="206">
        <v>28.0</v>
      </c>
      <c r="D94" s="206">
        <v>3.0</v>
      </c>
      <c r="G94" s="340"/>
    </row>
    <row r="95">
      <c r="A95" s="328" t="s">
        <v>1200</v>
      </c>
      <c r="B95" s="445">
        <f t="shared" si="6"/>
        <v>18</v>
      </c>
      <c r="C95" s="206">
        <v>14.0</v>
      </c>
      <c r="D95" s="206">
        <v>4.0</v>
      </c>
      <c r="G95" s="340"/>
    </row>
    <row r="96">
      <c r="A96" s="328" t="s">
        <v>248</v>
      </c>
      <c r="B96" s="445">
        <f t="shared" si="6"/>
        <v>22</v>
      </c>
      <c r="C96" s="206">
        <v>16.0</v>
      </c>
      <c r="D96" s="206">
        <v>6.0</v>
      </c>
      <c r="G96" s="340"/>
    </row>
    <row r="97">
      <c r="A97" s="328" t="s">
        <v>1201</v>
      </c>
      <c r="B97" s="445">
        <f t="shared" si="6"/>
        <v>75</v>
      </c>
      <c r="C97" s="206">
        <v>63.0</v>
      </c>
      <c r="D97" s="206">
        <v>12.0</v>
      </c>
      <c r="G97" s="340"/>
    </row>
    <row r="98">
      <c r="A98" s="328" t="s">
        <v>1203</v>
      </c>
      <c r="B98" s="445">
        <f t="shared" si="6"/>
        <v>22</v>
      </c>
      <c r="C98" s="206">
        <v>17.0</v>
      </c>
      <c r="D98" s="206">
        <v>5.0</v>
      </c>
      <c r="G98" s="340"/>
    </row>
    <row r="99">
      <c r="A99" s="328" t="s">
        <v>1204</v>
      </c>
      <c r="B99" s="445">
        <f t="shared" si="6"/>
        <v>6</v>
      </c>
      <c r="C99" s="206">
        <v>4.0</v>
      </c>
      <c r="D99" s="206">
        <v>2.0</v>
      </c>
      <c r="G99" s="340"/>
    </row>
    <row r="100">
      <c r="A100" s="328" t="s">
        <v>1206</v>
      </c>
      <c r="B100" s="445">
        <f t="shared" si="6"/>
        <v>51</v>
      </c>
      <c r="C100" s="206">
        <v>45.0</v>
      </c>
      <c r="D100" s="206">
        <v>6.0</v>
      </c>
      <c r="G100" s="340"/>
    </row>
    <row r="101">
      <c r="A101" s="328" t="s">
        <v>1207</v>
      </c>
      <c r="B101" s="445">
        <f t="shared" si="6"/>
        <v>39</v>
      </c>
      <c r="C101" s="206">
        <v>36.0</v>
      </c>
      <c r="D101" s="206">
        <v>3.0</v>
      </c>
      <c r="G101" s="340"/>
    </row>
    <row r="102">
      <c r="A102" s="328" t="s">
        <v>1208</v>
      </c>
      <c r="B102" s="445">
        <f t="shared" si="6"/>
        <v>160</v>
      </c>
      <c r="C102" s="206">
        <v>90.0</v>
      </c>
      <c r="D102" s="206">
        <v>70.0</v>
      </c>
      <c r="G102" s="340"/>
    </row>
    <row r="103">
      <c r="A103" s="328" t="s">
        <v>283</v>
      </c>
      <c r="B103" s="445">
        <f t="shared" si="6"/>
        <v>20</v>
      </c>
      <c r="C103" s="206">
        <v>20.0</v>
      </c>
      <c r="D103" s="206">
        <v>0.0</v>
      </c>
      <c r="G103" s="340"/>
    </row>
    <row r="104">
      <c r="A104" s="328" t="s">
        <v>474</v>
      </c>
      <c r="B104" s="445">
        <f t="shared" si="6"/>
        <v>5</v>
      </c>
      <c r="C104" s="206">
        <v>5.0</v>
      </c>
      <c r="D104" s="206">
        <v>0.0</v>
      </c>
      <c r="G104" s="340"/>
    </row>
    <row r="105">
      <c r="A105" s="328" t="s">
        <v>157</v>
      </c>
      <c r="B105" s="445">
        <f t="shared" si="6"/>
        <v>168</v>
      </c>
      <c r="C105" s="206">
        <v>130.0</v>
      </c>
      <c r="D105" s="206">
        <v>38.0</v>
      </c>
      <c r="G105" s="340"/>
    </row>
    <row r="106">
      <c r="A106" s="328" t="s">
        <v>465</v>
      </c>
      <c r="B106" s="445">
        <f t="shared" si="6"/>
        <v>215</v>
      </c>
      <c r="C106" s="206">
        <v>166.0</v>
      </c>
      <c r="D106" s="206">
        <v>49.0</v>
      </c>
      <c r="G106" s="340"/>
    </row>
    <row r="107">
      <c r="A107" s="328" t="s">
        <v>2817</v>
      </c>
      <c r="B107" s="445">
        <f t="shared" si="6"/>
        <v>17</v>
      </c>
      <c r="C107" s="206">
        <v>16.0</v>
      </c>
      <c r="D107" s="206">
        <v>1.0</v>
      </c>
      <c r="G107" s="340"/>
    </row>
    <row r="108">
      <c r="A108" s="328" t="s">
        <v>2818</v>
      </c>
      <c r="B108" s="445">
        <f t="shared" si="6"/>
        <v>16</v>
      </c>
      <c r="C108" s="206">
        <v>14.0</v>
      </c>
      <c r="D108" s="206">
        <v>2.0</v>
      </c>
      <c r="G108" s="340"/>
    </row>
    <row r="109">
      <c r="A109" s="328" t="s">
        <v>1194</v>
      </c>
      <c r="B109" s="445">
        <f t="shared" si="6"/>
        <v>11</v>
      </c>
      <c r="C109" s="206">
        <v>9.0</v>
      </c>
      <c r="D109" s="206">
        <v>2.0</v>
      </c>
      <c r="G109" s="340"/>
    </row>
    <row r="110">
      <c r="A110" s="328" t="s">
        <v>630</v>
      </c>
      <c r="B110" s="445">
        <f t="shared" si="6"/>
        <v>15</v>
      </c>
      <c r="C110" s="206">
        <v>15.0</v>
      </c>
      <c r="D110" s="206">
        <v>0.0</v>
      </c>
      <c r="G110" s="340"/>
    </row>
    <row r="111">
      <c r="A111" s="328" t="s">
        <v>119</v>
      </c>
      <c r="B111" s="445">
        <f t="shared" si="6"/>
        <v>65</v>
      </c>
      <c r="C111" s="206">
        <v>51.0</v>
      </c>
      <c r="D111" s="206">
        <v>14.0</v>
      </c>
      <c r="G111" s="340"/>
    </row>
    <row r="112">
      <c r="A112" s="328" t="s">
        <v>1226</v>
      </c>
      <c r="B112" s="445">
        <f t="shared" si="6"/>
        <v>21</v>
      </c>
      <c r="C112" s="206">
        <v>19.0</v>
      </c>
      <c r="D112" s="206">
        <v>2.0</v>
      </c>
      <c r="G112" s="340"/>
    </row>
    <row r="113">
      <c r="A113" s="328" t="s">
        <v>492</v>
      </c>
      <c r="B113" s="445">
        <f t="shared" si="6"/>
        <v>10</v>
      </c>
      <c r="C113" s="206">
        <v>10.0</v>
      </c>
      <c r="D113" s="206">
        <v>0.0</v>
      </c>
      <c r="G113" s="340"/>
    </row>
    <row r="114">
      <c r="A114" s="328" t="s">
        <v>2</v>
      </c>
      <c r="B114" s="452">
        <f t="shared" si="6"/>
        <v>2130</v>
      </c>
      <c r="C114" s="208">
        <v>1309.0</v>
      </c>
      <c r="D114" s="206">
        <v>821.0</v>
      </c>
      <c r="G114" s="340"/>
    </row>
    <row r="115">
      <c r="A115" s="895"/>
      <c r="B115" s="1"/>
      <c r="G115" s="340"/>
    </row>
    <row r="116">
      <c r="A116" s="1"/>
      <c r="D116" s="1"/>
      <c r="E116" s="896"/>
      <c r="I116" s="573"/>
      <c r="K116" s="573"/>
    </row>
    <row r="117">
      <c r="A117" s="895"/>
      <c r="G117" s="340"/>
    </row>
    <row r="118">
      <c r="A118" s="275" t="s">
        <v>2441</v>
      </c>
      <c r="B118" s="276"/>
      <c r="C118" s="276"/>
      <c r="D118" s="275" t="s">
        <v>765</v>
      </c>
      <c r="E118" s="275" t="s">
        <v>57</v>
      </c>
      <c r="F118" s="276"/>
      <c r="G118" s="276"/>
      <c r="H118" s="275" t="s">
        <v>767</v>
      </c>
      <c r="I118" s="648">
        <v>45728.0</v>
      </c>
      <c r="J118" s="275" t="s">
        <v>769</v>
      </c>
      <c r="K118" s="648">
        <v>45404.0</v>
      </c>
      <c r="L118" s="276"/>
    </row>
    <row r="119">
      <c r="A119" s="888"/>
      <c r="B119" s="894"/>
      <c r="C119" s="355"/>
      <c r="D119" s="355"/>
      <c r="H119" s="1"/>
      <c r="I119" s="1"/>
      <c r="J119" s="1"/>
      <c r="K119" s="1"/>
      <c r="L119" s="1"/>
    </row>
    <row r="120">
      <c r="A120" s="328" t="s">
        <v>1197</v>
      </c>
      <c r="B120" s="445">
        <v>18.0</v>
      </c>
      <c r="C120" s="206"/>
      <c r="D120" s="206"/>
      <c r="G120" s="340"/>
    </row>
    <row r="121">
      <c r="A121" s="328" t="s">
        <v>620</v>
      </c>
      <c r="B121" s="445">
        <v>59.0</v>
      </c>
      <c r="C121" s="206"/>
      <c r="D121" s="206"/>
      <c r="G121" s="340"/>
    </row>
    <row r="122">
      <c r="A122" s="328" t="s">
        <v>607</v>
      </c>
      <c r="B122" s="445">
        <v>718.0</v>
      </c>
      <c r="C122" s="206"/>
      <c r="D122" s="206"/>
      <c r="G122" s="340"/>
    </row>
    <row r="123">
      <c r="A123" s="328" t="s">
        <v>503</v>
      </c>
      <c r="B123" s="445">
        <v>269.0</v>
      </c>
      <c r="C123" s="206"/>
      <c r="D123" s="206"/>
      <c r="G123" s="340"/>
    </row>
    <row r="124">
      <c r="A124" s="328" t="s">
        <v>1199</v>
      </c>
      <c r="B124" s="445">
        <v>20.0</v>
      </c>
      <c r="C124" s="206"/>
      <c r="D124" s="206"/>
      <c r="G124" s="340"/>
    </row>
    <row r="125">
      <c r="A125" s="328" t="s">
        <v>1200</v>
      </c>
      <c r="B125" s="445">
        <v>7.0</v>
      </c>
      <c r="C125" s="206"/>
      <c r="D125" s="206"/>
      <c r="G125" s="340"/>
    </row>
    <row r="126">
      <c r="A126" s="328" t="s">
        <v>248</v>
      </c>
      <c r="B126" s="445">
        <v>14.0</v>
      </c>
      <c r="C126" s="206"/>
      <c r="D126" s="206"/>
      <c r="G126" s="340"/>
    </row>
    <row r="127">
      <c r="A127" s="328" t="s">
        <v>1201</v>
      </c>
      <c r="B127" s="445">
        <v>41.0</v>
      </c>
      <c r="C127" s="206"/>
      <c r="D127" s="206"/>
      <c r="G127" s="340"/>
    </row>
    <row r="128">
      <c r="A128" s="328" t="s">
        <v>1203</v>
      </c>
      <c r="B128" s="445">
        <v>10.0</v>
      </c>
      <c r="C128" s="206"/>
      <c r="D128" s="206"/>
      <c r="G128" s="340"/>
    </row>
    <row r="129">
      <c r="A129" s="328" t="s">
        <v>1204</v>
      </c>
      <c r="B129" s="445">
        <v>18.0</v>
      </c>
      <c r="C129" s="206"/>
      <c r="D129" s="206"/>
      <c r="G129" s="340"/>
    </row>
    <row r="130">
      <c r="A130" s="328" t="s">
        <v>1206</v>
      </c>
      <c r="B130" s="445">
        <v>27.0</v>
      </c>
      <c r="C130" s="206"/>
      <c r="D130" s="206"/>
      <c r="G130" s="340"/>
    </row>
    <row r="131">
      <c r="A131" s="328" t="s">
        <v>1207</v>
      </c>
      <c r="B131" s="445">
        <v>7.0</v>
      </c>
      <c r="C131" s="206"/>
      <c r="D131" s="206"/>
      <c r="G131" s="340"/>
    </row>
    <row r="132">
      <c r="A132" s="328" t="s">
        <v>1208</v>
      </c>
      <c r="B132" s="445">
        <v>68.0</v>
      </c>
      <c r="C132" s="206"/>
      <c r="D132" s="206"/>
      <c r="G132" s="340"/>
    </row>
    <row r="133">
      <c r="A133" s="328" t="s">
        <v>283</v>
      </c>
      <c r="B133" s="445">
        <v>47.0</v>
      </c>
      <c r="C133" s="206"/>
      <c r="D133" s="206"/>
      <c r="G133" s="340"/>
    </row>
    <row r="134">
      <c r="A134" s="328" t="s">
        <v>474</v>
      </c>
      <c r="B134" s="445">
        <v>8.0</v>
      </c>
      <c r="C134" s="206"/>
      <c r="D134" s="206"/>
      <c r="G134" s="340"/>
    </row>
    <row r="135">
      <c r="A135" s="328" t="s">
        <v>157</v>
      </c>
      <c r="B135" s="445">
        <v>150.0</v>
      </c>
      <c r="C135" s="206"/>
      <c r="D135" s="206"/>
      <c r="G135" s="340"/>
    </row>
    <row r="136">
      <c r="A136" s="328" t="s">
        <v>465</v>
      </c>
      <c r="B136" s="445">
        <v>170.0</v>
      </c>
      <c r="C136" s="206"/>
      <c r="D136" s="206"/>
      <c r="G136" s="340"/>
    </row>
    <row r="137">
      <c r="A137" s="328" t="s">
        <v>2817</v>
      </c>
      <c r="B137" s="445">
        <v>9.0</v>
      </c>
      <c r="C137" s="206"/>
      <c r="D137" s="206"/>
      <c r="G137" s="340"/>
    </row>
    <row r="138">
      <c r="A138" s="328" t="s">
        <v>2818</v>
      </c>
      <c r="B138" s="445">
        <v>16.0</v>
      </c>
      <c r="C138" s="206"/>
      <c r="D138" s="206"/>
      <c r="G138" s="340"/>
    </row>
    <row r="139">
      <c r="A139" s="328" t="s">
        <v>1194</v>
      </c>
      <c r="B139" s="445">
        <v>34.0</v>
      </c>
      <c r="C139" s="206"/>
      <c r="D139" s="206"/>
      <c r="G139" s="340"/>
    </row>
    <row r="140">
      <c r="A140" s="328" t="s">
        <v>630</v>
      </c>
      <c r="B140" s="445">
        <v>9.0</v>
      </c>
      <c r="C140" s="206"/>
      <c r="D140" s="206"/>
      <c r="G140" s="340"/>
    </row>
    <row r="141">
      <c r="A141" s="328" t="s">
        <v>119</v>
      </c>
      <c r="B141" s="445">
        <v>46.0</v>
      </c>
      <c r="C141" s="206"/>
      <c r="D141" s="206"/>
      <c r="G141" s="340"/>
    </row>
    <row r="142">
      <c r="A142" s="328" t="s">
        <v>1226</v>
      </c>
      <c r="B142" s="445">
        <v>14.0</v>
      </c>
      <c r="C142" s="206"/>
      <c r="D142" s="206"/>
      <c r="G142" s="340"/>
    </row>
    <row r="143">
      <c r="A143" s="328" t="s">
        <v>492</v>
      </c>
      <c r="B143" s="445">
        <v>12.0</v>
      </c>
      <c r="C143" s="206"/>
      <c r="D143" s="206"/>
      <c r="G143" s="340"/>
    </row>
    <row r="144" ht="18.0" customHeight="1">
      <c r="A144" s="328" t="s">
        <v>2</v>
      </c>
      <c r="B144" s="445">
        <f>SUM(B120:B143)</f>
        <v>1791</v>
      </c>
      <c r="C144" s="208"/>
      <c r="D144" s="206"/>
      <c r="G144" s="340"/>
    </row>
    <row r="145">
      <c r="A145" s="895"/>
      <c r="G145" s="340"/>
    </row>
    <row r="146">
      <c r="A146" s="895"/>
      <c r="G146" s="340"/>
    </row>
    <row r="147">
      <c r="A147" s="275" t="s">
        <v>2822</v>
      </c>
      <c r="B147" s="276"/>
      <c r="C147" s="276"/>
      <c r="D147" s="275" t="s">
        <v>765</v>
      </c>
      <c r="E147" s="275" t="s">
        <v>57</v>
      </c>
      <c r="F147" s="276"/>
      <c r="G147" s="276"/>
      <c r="H147" s="275" t="s">
        <v>767</v>
      </c>
      <c r="I147" s="648">
        <v>45728.0</v>
      </c>
      <c r="J147" s="275" t="s">
        <v>769</v>
      </c>
      <c r="K147" s="648">
        <v>45404.0</v>
      </c>
      <c r="L147" s="276"/>
    </row>
    <row r="148">
      <c r="A148" s="888"/>
      <c r="B148" s="894"/>
      <c r="C148" s="355"/>
      <c r="D148" s="355"/>
      <c r="H148" s="1"/>
      <c r="I148" s="1"/>
      <c r="J148" s="1"/>
      <c r="K148" s="1"/>
      <c r="L148" s="1"/>
    </row>
    <row r="149">
      <c r="A149" s="328" t="s">
        <v>1197</v>
      </c>
      <c r="B149" s="445">
        <v>2.4</v>
      </c>
      <c r="C149" s="206"/>
      <c r="D149" s="206"/>
      <c r="G149" s="340"/>
    </row>
    <row r="150">
      <c r="A150" s="328" t="s">
        <v>620</v>
      </c>
      <c r="B150" s="445">
        <v>1.4</v>
      </c>
      <c r="C150" s="206"/>
      <c r="D150" s="206"/>
      <c r="G150" s="340"/>
    </row>
    <row r="151">
      <c r="A151" s="328" t="s">
        <v>607</v>
      </c>
      <c r="B151" s="445">
        <v>0.9</v>
      </c>
      <c r="C151" s="206"/>
      <c r="D151" s="206"/>
      <c r="G151" s="340"/>
    </row>
    <row r="152">
      <c r="A152" s="328" t="s">
        <v>503</v>
      </c>
      <c r="B152" s="445">
        <v>1.3</v>
      </c>
      <c r="C152" s="206"/>
      <c r="D152" s="206"/>
      <c r="G152" s="340"/>
    </row>
    <row r="153">
      <c r="A153" s="328" t="s">
        <v>1199</v>
      </c>
      <c r="B153" s="445">
        <v>1.6</v>
      </c>
      <c r="C153" s="206"/>
      <c r="D153" s="206"/>
      <c r="G153" s="340"/>
    </row>
    <row r="154">
      <c r="A154" s="328" t="s">
        <v>1200</v>
      </c>
      <c r="B154" s="445">
        <v>1.6</v>
      </c>
      <c r="C154" s="206"/>
      <c r="D154" s="206"/>
      <c r="G154" s="340"/>
    </row>
    <row r="155">
      <c r="A155" s="328" t="s">
        <v>248</v>
      </c>
      <c r="B155" s="445">
        <v>1.7</v>
      </c>
      <c r="C155" s="206"/>
      <c r="D155" s="206"/>
      <c r="G155" s="340"/>
    </row>
    <row r="156">
      <c r="A156" s="328" t="s">
        <v>1201</v>
      </c>
      <c r="B156" s="445">
        <v>1.0</v>
      </c>
      <c r="C156" s="206"/>
      <c r="D156" s="206"/>
      <c r="G156" s="340"/>
    </row>
    <row r="157">
      <c r="A157" s="328" t="s">
        <v>1203</v>
      </c>
      <c r="B157" s="445">
        <v>1.3</v>
      </c>
      <c r="C157" s="206"/>
      <c r="D157" s="206"/>
      <c r="G157" s="340"/>
    </row>
    <row r="158">
      <c r="A158" s="328" t="s">
        <v>1204</v>
      </c>
      <c r="B158" s="445">
        <v>1.0</v>
      </c>
      <c r="C158" s="206"/>
      <c r="D158" s="206"/>
      <c r="G158" s="340"/>
    </row>
    <row r="159">
      <c r="A159" s="328" t="s">
        <v>1206</v>
      </c>
      <c r="B159" s="445">
        <v>1.4</v>
      </c>
      <c r="C159" s="206"/>
      <c r="D159" s="206"/>
      <c r="G159" s="340"/>
    </row>
    <row r="160">
      <c r="A160" s="328" t="s">
        <v>1207</v>
      </c>
      <c r="B160" s="445">
        <v>2.0</v>
      </c>
      <c r="C160" s="206"/>
      <c r="D160" s="206"/>
      <c r="G160" s="340"/>
    </row>
    <row r="161">
      <c r="A161" s="328" t="s">
        <v>1208</v>
      </c>
      <c r="B161" s="445">
        <v>1.9</v>
      </c>
      <c r="C161" s="206"/>
      <c r="D161" s="206"/>
      <c r="G161" s="340"/>
    </row>
    <row r="162">
      <c r="A162" s="328" t="s">
        <v>283</v>
      </c>
      <c r="B162" s="445">
        <v>1.3</v>
      </c>
      <c r="C162" s="206"/>
      <c r="D162" s="206"/>
      <c r="G162" s="340"/>
    </row>
    <row r="163">
      <c r="A163" s="328" t="s">
        <v>474</v>
      </c>
      <c r="B163" s="445">
        <v>2.2</v>
      </c>
      <c r="C163" s="206"/>
      <c r="D163" s="206"/>
      <c r="G163" s="340"/>
    </row>
    <row r="164">
      <c r="A164" s="328" t="s">
        <v>157</v>
      </c>
      <c r="B164" s="445">
        <v>1.2</v>
      </c>
      <c r="C164" s="206"/>
      <c r="D164" s="206"/>
      <c r="G164" s="340"/>
    </row>
    <row r="165">
      <c r="A165" s="328" t="s">
        <v>465</v>
      </c>
      <c r="B165" s="445">
        <v>1.2</v>
      </c>
      <c r="C165" s="206"/>
      <c r="D165" s="206"/>
      <c r="G165" s="340"/>
    </row>
    <row r="166">
      <c r="A166" s="328" t="s">
        <v>2817</v>
      </c>
      <c r="B166" s="445">
        <v>2.5</v>
      </c>
      <c r="C166" s="206"/>
      <c r="D166" s="206"/>
      <c r="G166" s="340"/>
    </row>
    <row r="167">
      <c r="A167" s="328" t="s">
        <v>2818</v>
      </c>
      <c r="B167" s="445">
        <v>1.4</v>
      </c>
      <c r="C167" s="206"/>
      <c r="D167" s="206"/>
      <c r="G167" s="340"/>
    </row>
    <row r="168">
      <c r="A168" s="328" t="s">
        <v>1194</v>
      </c>
      <c r="B168" s="445">
        <v>1.4</v>
      </c>
      <c r="C168" s="206"/>
      <c r="D168" s="206"/>
      <c r="G168" s="340"/>
    </row>
    <row r="169">
      <c r="A169" s="328" t="s">
        <v>630</v>
      </c>
      <c r="B169" s="445">
        <v>2.5</v>
      </c>
      <c r="C169" s="206"/>
      <c r="D169" s="206"/>
      <c r="G169" s="340"/>
    </row>
    <row r="170">
      <c r="A170" s="328" t="s">
        <v>119</v>
      </c>
      <c r="B170" s="445">
        <v>1.4</v>
      </c>
      <c r="C170" s="206"/>
      <c r="D170" s="206"/>
      <c r="G170" s="340"/>
    </row>
    <row r="171">
      <c r="A171" s="328" t="s">
        <v>1226</v>
      </c>
      <c r="B171" s="445">
        <v>1.7</v>
      </c>
      <c r="C171" s="206"/>
      <c r="D171" s="206"/>
      <c r="G171" s="340"/>
    </row>
    <row r="172">
      <c r="A172" s="328" t="s">
        <v>492</v>
      </c>
      <c r="B172" s="445">
        <v>2.7</v>
      </c>
      <c r="C172" s="206"/>
      <c r="D172" s="206"/>
      <c r="G172" s="340"/>
    </row>
    <row r="173" ht="18.0" customHeight="1">
      <c r="A173" s="328" t="s">
        <v>2</v>
      </c>
      <c r="B173" s="445"/>
      <c r="C173" s="208"/>
      <c r="D173" s="206"/>
      <c r="G173" s="340"/>
    </row>
    <row r="177">
      <c r="A177" s="275" t="s">
        <v>2444</v>
      </c>
      <c r="B177" s="276"/>
      <c r="C177" s="276"/>
      <c r="D177" s="275" t="s">
        <v>765</v>
      </c>
      <c r="E177" s="275" t="s">
        <v>57</v>
      </c>
      <c r="F177" s="276"/>
      <c r="G177" s="276"/>
      <c r="H177" s="275" t="s">
        <v>767</v>
      </c>
      <c r="I177" s="648">
        <v>45728.0</v>
      </c>
      <c r="J177" s="275" t="s">
        <v>769</v>
      </c>
      <c r="K177" s="275" t="s">
        <v>2823</v>
      </c>
      <c r="L177" s="276"/>
    </row>
    <row r="178">
      <c r="A178" s="888"/>
      <c r="B178" s="897"/>
      <c r="C178" s="355"/>
      <c r="D178" s="355"/>
    </row>
    <row r="179">
      <c r="A179" s="328" t="s">
        <v>1197</v>
      </c>
      <c r="B179" s="898">
        <v>0.8409</v>
      </c>
      <c r="C179" s="206"/>
      <c r="D179" s="206"/>
    </row>
    <row r="180">
      <c r="A180" s="328" t="s">
        <v>620</v>
      </c>
      <c r="B180" s="898">
        <v>0.661</v>
      </c>
      <c r="C180" s="206"/>
      <c r="D180" s="206"/>
    </row>
    <row r="181">
      <c r="A181" s="328" t="s">
        <v>607</v>
      </c>
      <c r="B181" s="898">
        <v>0.874</v>
      </c>
      <c r="C181" s="206"/>
      <c r="D181" s="206"/>
    </row>
    <row r="182">
      <c r="A182" s="328" t="s">
        <v>503</v>
      </c>
      <c r="B182" s="898">
        <v>0.758</v>
      </c>
      <c r="C182" s="206"/>
      <c r="D182" s="206"/>
    </row>
    <row r="183">
      <c r="A183" s="328" t="s">
        <v>1199</v>
      </c>
      <c r="B183" s="898">
        <v>0.8</v>
      </c>
      <c r="C183" s="206"/>
      <c r="D183" s="206"/>
    </row>
    <row r="184">
      <c r="A184" s="328" t="s">
        <v>1200</v>
      </c>
      <c r="B184" s="898">
        <v>0.772</v>
      </c>
      <c r="C184" s="206"/>
      <c r="D184" s="206"/>
    </row>
    <row r="185">
      <c r="A185" s="328" t="s">
        <v>248</v>
      </c>
      <c r="B185" s="898">
        <v>0.714</v>
      </c>
      <c r="C185" s="206"/>
      <c r="D185" s="206"/>
    </row>
    <row r="186">
      <c r="A186" s="328" t="s">
        <v>1201</v>
      </c>
      <c r="B186" s="898">
        <v>0.769</v>
      </c>
      <c r="C186" s="206"/>
      <c r="D186" s="206"/>
    </row>
    <row r="187">
      <c r="A187" s="328" t="s">
        <v>1203</v>
      </c>
      <c r="B187" s="898">
        <v>0.6875</v>
      </c>
      <c r="C187" s="206"/>
      <c r="D187" s="206"/>
    </row>
    <row r="188">
      <c r="A188" s="328" t="s">
        <v>1204</v>
      </c>
      <c r="B188" s="898">
        <v>0.875</v>
      </c>
      <c r="C188" s="206"/>
      <c r="D188" s="206"/>
    </row>
    <row r="189">
      <c r="A189" s="328" t="s">
        <v>1206</v>
      </c>
      <c r="B189" s="898">
        <v>0.8667</v>
      </c>
      <c r="C189" s="206"/>
      <c r="D189" s="206"/>
    </row>
    <row r="190">
      <c r="A190" s="328" t="s">
        <v>1207</v>
      </c>
      <c r="B190" s="898">
        <v>0.9655</v>
      </c>
      <c r="C190" s="206"/>
      <c r="D190" s="206"/>
    </row>
    <row r="191">
      <c r="A191" s="328" t="s">
        <v>1208</v>
      </c>
      <c r="B191" s="898">
        <v>0.8462</v>
      </c>
      <c r="C191" s="206"/>
      <c r="D191" s="206"/>
    </row>
    <row r="192">
      <c r="A192" s="328" t="s">
        <v>283</v>
      </c>
      <c r="B192" s="898">
        <v>0.8511</v>
      </c>
      <c r="C192" s="206"/>
      <c r="D192" s="206"/>
    </row>
    <row r="193">
      <c r="A193" s="328" t="s">
        <v>474</v>
      </c>
      <c r="B193" s="898">
        <v>0.75</v>
      </c>
      <c r="C193" s="206"/>
      <c r="D193" s="206"/>
    </row>
    <row r="194">
      <c r="A194" s="328" t="s">
        <v>157</v>
      </c>
      <c r="B194" s="898">
        <v>0.8455</v>
      </c>
      <c r="C194" s="206"/>
      <c r="D194" s="206"/>
    </row>
    <row r="195">
      <c r="A195" s="328" t="s">
        <v>465</v>
      </c>
      <c r="B195" s="898">
        <v>0.6667</v>
      </c>
      <c r="C195" s="206"/>
      <c r="D195" s="206"/>
    </row>
    <row r="196">
      <c r="A196" s="328" t="s">
        <v>2817</v>
      </c>
      <c r="B196" s="898">
        <v>0.9</v>
      </c>
      <c r="C196" s="206"/>
      <c r="D196" s="206"/>
    </row>
    <row r="197">
      <c r="A197" s="328" t="s">
        <v>2818</v>
      </c>
      <c r="B197" s="898">
        <v>0.7222</v>
      </c>
      <c r="C197" s="206"/>
      <c r="D197" s="206"/>
    </row>
    <row r="198">
      <c r="A198" s="328" t="s">
        <v>1194</v>
      </c>
      <c r="B198" s="898">
        <v>1.0</v>
      </c>
      <c r="C198" s="206"/>
      <c r="D198" s="206"/>
    </row>
    <row r="199">
      <c r="A199" s="328" t="s">
        <v>630</v>
      </c>
      <c r="B199" s="898">
        <v>1.0</v>
      </c>
      <c r="C199" s="206"/>
      <c r="D199" s="206"/>
    </row>
    <row r="200">
      <c r="A200" s="328" t="s">
        <v>119</v>
      </c>
      <c r="B200" s="898">
        <v>0.7234</v>
      </c>
      <c r="C200" s="206"/>
      <c r="D200" s="206"/>
    </row>
    <row r="201">
      <c r="A201" s="328" t="s">
        <v>1226</v>
      </c>
      <c r="B201" s="898">
        <v>0.6667</v>
      </c>
      <c r="C201" s="206"/>
      <c r="D201" s="206"/>
    </row>
    <row r="202">
      <c r="A202" s="328" t="s">
        <v>492</v>
      </c>
      <c r="B202" s="898">
        <v>0.7727</v>
      </c>
      <c r="C202" s="206"/>
      <c r="D202" s="206"/>
    </row>
    <row r="203">
      <c r="A203" s="328" t="s">
        <v>2</v>
      </c>
      <c r="B203" s="898"/>
      <c r="C203" s="208"/>
      <c r="D203" s="206"/>
    </row>
    <row r="204">
      <c r="B204" s="537"/>
    </row>
    <row r="205">
      <c r="B205" s="537"/>
    </row>
  </sheetData>
  <mergeCells count="4">
    <mergeCell ref="F1:H1"/>
    <mergeCell ref="F30:H30"/>
    <mergeCell ref="F59:H59"/>
    <mergeCell ref="E116:G116"/>
  </mergeCells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2" max="12" width="13.63"/>
  </cols>
  <sheetData>
    <row r="1">
      <c r="A1" s="167"/>
      <c r="B1" s="168" t="s">
        <v>59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899"/>
      <c r="S1" s="899"/>
    </row>
    <row r="2">
      <c r="A2" s="900" t="s">
        <v>2829</v>
      </c>
      <c r="B2" s="900" t="s">
        <v>2830</v>
      </c>
      <c r="C2" s="900" t="s">
        <v>693</v>
      </c>
      <c r="D2" s="901" t="s">
        <v>694</v>
      </c>
      <c r="E2" s="900" t="s">
        <v>2832</v>
      </c>
      <c r="F2" s="900" t="s">
        <v>179</v>
      </c>
      <c r="G2" s="901" t="s">
        <v>696</v>
      </c>
      <c r="H2" s="900" t="s">
        <v>697</v>
      </c>
      <c r="I2" s="900" t="s">
        <v>84</v>
      </c>
      <c r="J2" s="902" t="s">
        <v>698</v>
      </c>
      <c r="K2" s="903" t="s">
        <v>699</v>
      </c>
      <c r="L2" s="900" t="s">
        <v>89</v>
      </c>
      <c r="M2" s="904" t="s">
        <v>700</v>
      </c>
      <c r="N2" s="905" t="s">
        <v>701</v>
      </c>
      <c r="O2" s="905" t="s">
        <v>702</v>
      </c>
      <c r="P2" s="906" t="s">
        <v>90</v>
      </c>
      <c r="Q2" s="908" t="s">
        <v>703</v>
      </c>
      <c r="R2" s="909" t="s">
        <v>2833</v>
      </c>
      <c r="S2" s="909" t="s">
        <v>2834</v>
      </c>
    </row>
    <row r="3">
      <c r="A3" s="910" t="s">
        <v>2835</v>
      </c>
      <c r="B3" s="911"/>
      <c r="C3" s="912">
        <v>894.0</v>
      </c>
      <c r="D3" s="913" t="s">
        <v>63</v>
      </c>
      <c r="E3" s="912">
        <v>615.0</v>
      </c>
      <c r="F3" s="912">
        <v>360.0</v>
      </c>
      <c r="G3" s="913" t="s">
        <v>63</v>
      </c>
      <c r="H3" s="912">
        <v>367.0</v>
      </c>
      <c r="I3" s="912">
        <v>361.0</v>
      </c>
      <c r="J3" s="914" t="s">
        <v>63</v>
      </c>
      <c r="K3" s="915">
        <v>0.608</v>
      </c>
      <c r="L3" s="912">
        <v>2219.0</v>
      </c>
      <c r="M3" s="916" t="s">
        <v>63</v>
      </c>
      <c r="N3" s="913" t="s">
        <v>63</v>
      </c>
      <c r="O3" s="917" t="s">
        <v>63</v>
      </c>
      <c r="P3" s="918" t="str">
        <f>ifna(vlookup(A3,'Population &amp; Church Numbers'!$A$1220:$D$1233,4,FALSE),"NULL")</f>
        <v>NULL</v>
      </c>
      <c r="Q3" s="919" t="s">
        <v>63</v>
      </c>
      <c r="R3" s="912">
        <v>80.0</v>
      </c>
      <c r="S3" s="912">
        <v>12.7</v>
      </c>
    </row>
    <row r="4">
      <c r="A4" s="920" t="s">
        <v>2836</v>
      </c>
      <c r="B4" s="921"/>
      <c r="C4" s="922">
        <v>1529.0</v>
      </c>
      <c r="D4" s="923" t="s">
        <v>63</v>
      </c>
      <c r="E4" s="922">
        <v>1088.0</v>
      </c>
      <c r="F4" s="922">
        <v>658.0</v>
      </c>
      <c r="G4" s="923" t="s">
        <v>63</v>
      </c>
      <c r="H4" s="922">
        <v>708.0</v>
      </c>
      <c r="I4" s="922">
        <v>635.0</v>
      </c>
      <c r="J4" s="924" t="s">
        <v>63</v>
      </c>
      <c r="K4" s="925">
        <v>0.538</v>
      </c>
      <c r="L4" s="922">
        <v>3781.0</v>
      </c>
      <c r="M4" s="926" t="s">
        <v>63</v>
      </c>
      <c r="N4" s="923" t="s">
        <v>63</v>
      </c>
      <c r="O4" s="927" t="s">
        <v>63</v>
      </c>
      <c r="P4" s="928" t="str">
        <f>ifna(vlookup(A4,'Population &amp; Church Numbers'!$A$1220:$D$1233,4,FALSE),"NULL")</f>
        <v>NULL</v>
      </c>
      <c r="Q4" s="929" t="s">
        <v>63</v>
      </c>
      <c r="R4" s="922">
        <v>192.0</v>
      </c>
      <c r="S4" s="922">
        <v>11.2</v>
      </c>
    </row>
    <row r="5">
      <c r="A5" s="930" t="s">
        <v>2838</v>
      </c>
      <c r="B5" s="931"/>
      <c r="C5" s="932">
        <v>1236.0</v>
      </c>
      <c r="D5" s="933"/>
      <c r="E5" s="932">
        <v>734.0</v>
      </c>
      <c r="F5" s="932">
        <v>457.0</v>
      </c>
      <c r="G5" s="933"/>
      <c r="H5" s="932">
        <v>724.0</v>
      </c>
      <c r="I5" s="932">
        <v>441.0</v>
      </c>
      <c r="J5" s="933"/>
      <c r="K5" s="934">
        <v>0.661</v>
      </c>
      <c r="L5" s="932">
        <v>2896.0</v>
      </c>
      <c r="M5" s="935"/>
      <c r="N5" s="935"/>
      <c r="O5" s="935"/>
      <c r="P5" s="936"/>
      <c r="Q5" s="933"/>
      <c r="R5" s="932">
        <v>121.0</v>
      </c>
      <c r="S5" s="932">
        <v>16.0</v>
      </c>
    </row>
    <row r="6">
      <c r="A6" s="930" t="s">
        <v>2839</v>
      </c>
      <c r="B6" s="931"/>
      <c r="C6" s="932">
        <v>1829.0</v>
      </c>
      <c r="D6" s="933"/>
      <c r="E6" s="932">
        <v>1249.0</v>
      </c>
      <c r="F6" s="932">
        <v>757.0</v>
      </c>
      <c r="G6" s="933"/>
      <c r="H6" s="932">
        <v>1010.0</v>
      </c>
      <c r="I6" s="932">
        <v>706.0</v>
      </c>
      <c r="J6" s="933"/>
      <c r="K6" s="934">
        <v>0.551</v>
      </c>
      <c r="L6" s="932">
        <v>3851.0</v>
      </c>
      <c r="M6" s="935"/>
      <c r="N6" s="935"/>
      <c r="O6" s="935"/>
      <c r="P6" s="936"/>
      <c r="Q6" s="933"/>
      <c r="R6" s="937">
        <v>234.0</v>
      </c>
      <c r="S6" s="932">
        <v>13.5</v>
      </c>
    </row>
    <row r="7">
      <c r="A7" s="930" t="s">
        <v>2840</v>
      </c>
      <c r="B7" s="931"/>
      <c r="C7" s="932">
        <v>1679.0</v>
      </c>
      <c r="D7" s="933"/>
      <c r="E7" s="932">
        <v>1133.0</v>
      </c>
      <c r="F7" s="932">
        <v>648.0</v>
      </c>
      <c r="G7" s="933"/>
      <c r="H7" s="932">
        <v>757.0</v>
      </c>
      <c r="I7" s="932">
        <v>697.0</v>
      </c>
      <c r="J7" s="933"/>
      <c r="K7" s="934">
        <v>0.56</v>
      </c>
      <c r="L7" s="932">
        <v>3493.0</v>
      </c>
      <c r="M7" s="935"/>
      <c r="N7" s="935"/>
      <c r="O7" s="935"/>
      <c r="P7" s="936"/>
      <c r="Q7" s="933"/>
      <c r="R7" s="933"/>
      <c r="S7" s="933"/>
    </row>
    <row r="8">
      <c r="A8" s="938"/>
      <c r="B8" s="939"/>
      <c r="C8" s="940"/>
      <c r="D8" s="933"/>
      <c r="E8" s="940"/>
      <c r="F8" s="940">
        <v>2880.0</v>
      </c>
      <c r="G8" s="933"/>
      <c r="H8" s="933"/>
      <c r="I8" s="933"/>
      <c r="J8" s="933"/>
      <c r="K8" s="941"/>
      <c r="L8" s="933"/>
      <c r="M8" s="935"/>
      <c r="N8" s="935"/>
      <c r="O8" s="935"/>
      <c r="P8" s="936"/>
      <c r="Q8" s="933"/>
      <c r="R8" s="933"/>
      <c r="S8" s="933"/>
    </row>
  </sheetData>
  <autoFilter ref="$A$2:$Q$4"/>
  <mergeCells count="1">
    <mergeCell ref="B1:Q1"/>
  </mergeCells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75" t="s">
        <v>1040</v>
      </c>
      <c r="B1" s="276"/>
      <c r="C1" s="276"/>
      <c r="D1" s="276"/>
      <c r="E1" s="275" t="s">
        <v>765</v>
      </c>
      <c r="F1" s="276"/>
      <c r="G1" s="276"/>
      <c r="H1" s="276"/>
      <c r="I1" s="275" t="s">
        <v>767</v>
      </c>
      <c r="J1" s="276"/>
      <c r="K1" s="275" t="s">
        <v>769</v>
      </c>
      <c r="L1" s="276"/>
      <c r="M1" s="276"/>
      <c r="P1" s="942" t="s">
        <v>2842</v>
      </c>
      <c r="Q1" s="942" t="s">
        <v>2843</v>
      </c>
    </row>
    <row r="2">
      <c r="A2" s="943"/>
      <c r="B2" s="10"/>
      <c r="P2" s="944" t="s">
        <v>2844</v>
      </c>
      <c r="Q2" s="944" t="s">
        <v>2845</v>
      </c>
      <c r="S2" s="1" t="s">
        <v>2846</v>
      </c>
      <c r="T2" s="1" t="s">
        <v>929</v>
      </c>
      <c r="U2" s="8" t="str">
        <f t="shared" ref="U2:U35" si="1">VLOOKUP($S2,$P:$Q,2,FALSE)</f>
        <v>Southern</v>
      </c>
    </row>
    <row r="3">
      <c r="A3" s="945"/>
      <c r="B3" s="946"/>
      <c r="P3" s="944" t="s">
        <v>2847</v>
      </c>
      <c r="Q3" s="944" t="s">
        <v>904</v>
      </c>
      <c r="S3" s="1" t="s">
        <v>2848</v>
      </c>
      <c r="T3" s="1" t="s">
        <v>281</v>
      </c>
      <c r="U3" s="8" t="str">
        <f t="shared" si="1"/>
        <v>Northern</v>
      </c>
    </row>
    <row r="4">
      <c r="A4" s="945"/>
      <c r="B4" s="946"/>
      <c r="P4" s="944" t="s">
        <v>2849</v>
      </c>
      <c r="Q4" s="944" t="s">
        <v>2845</v>
      </c>
      <c r="S4" s="1" t="s">
        <v>2850</v>
      </c>
      <c r="T4" s="1" t="s">
        <v>634</v>
      </c>
      <c r="U4" s="8" t="str">
        <f t="shared" si="1"/>
        <v>Southern</v>
      </c>
    </row>
    <row r="5">
      <c r="A5" s="945"/>
      <c r="B5" s="946"/>
      <c r="P5" s="944" t="s">
        <v>2533</v>
      </c>
      <c r="Q5" s="944" t="s">
        <v>934</v>
      </c>
      <c r="S5" s="1" t="s">
        <v>386</v>
      </c>
      <c r="T5" s="1" t="s">
        <v>1228</v>
      </c>
      <c r="U5" s="8" t="str">
        <f t="shared" si="1"/>
        <v>Western</v>
      </c>
    </row>
    <row r="6">
      <c r="A6" s="945"/>
      <c r="B6" s="946"/>
      <c r="P6" s="944" t="s">
        <v>2851</v>
      </c>
      <c r="Q6" s="944" t="s">
        <v>934</v>
      </c>
      <c r="S6" s="1" t="s">
        <v>2852</v>
      </c>
      <c r="T6" s="1" t="s">
        <v>1230</v>
      </c>
      <c r="U6" s="8" t="str">
        <f t="shared" si="1"/>
        <v>Western</v>
      </c>
    </row>
    <row r="7">
      <c r="A7" s="945"/>
      <c r="B7" s="946"/>
      <c r="P7" s="944" t="s">
        <v>2853</v>
      </c>
      <c r="Q7" s="944" t="s">
        <v>934</v>
      </c>
      <c r="S7" s="1" t="s">
        <v>2855</v>
      </c>
      <c r="T7" s="1" t="s">
        <v>1228</v>
      </c>
      <c r="U7" s="8" t="str">
        <f t="shared" si="1"/>
        <v>Western</v>
      </c>
    </row>
    <row r="8">
      <c r="A8" s="945"/>
      <c r="B8" s="946"/>
      <c r="P8" s="944" t="s">
        <v>2856</v>
      </c>
      <c r="Q8" s="944" t="s">
        <v>2857</v>
      </c>
      <c r="S8" s="1" t="s">
        <v>2858</v>
      </c>
      <c r="T8" s="1" t="s">
        <v>516</v>
      </c>
      <c r="U8" s="8" t="str">
        <f t="shared" si="1"/>
        <v>Northern</v>
      </c>
    </row>
    <row r="9">
      <c r="A9" s="945"/>
      <c r="B9" s="946"/>
      <c r="P9" s="944" t="s">
        <v>2859</v>
      </c>
      <c r="Q9" s="944" t="s">
        <v>904</v>
      </c>
      <c r="S9" s="1" t="s">
        <v>2217</v>
      </c>
      <c r="T9" s="1" t="s">
        <v>1231</v>
      </c>
      <c r="U9" s="8" t="str">
        <f t="shared" si="1"/>
        <v>Western</v>
      </c>
    </row>
    <row r="10">
      <c r="A10" s="945"/>
      <c r="B10" s="946"/>
      <c r="P10" s="944" t="s">
        <v>2860</v>
      </c>
      <c r="Q10" s="944" t="s">
        <v>934</v>
      </c>
      <c r="S10" s="1" t="s">
        <v>2861</v>
      </c>
      <c r="T10" s="1" t="s">
        <v>516</v>
      </c>
      <c r="U10" s="8" t="str">
        <f t="shared" si="1"/>
        <v>Northern</v>
      </c>
    </row>
    <row r="11">
      <c r="A11" s="945"/>
      <c r="B11" s="946"/>
      <c r="P11" s="944" t="s">
        <v>2862</v>
      </c>
      <c r="Q11" s="944" t="s">
        <v>904</v>
      </c>
      <c r="S11" s="1" t="s">
        <v>2219</v>
      </c>
      <c r="T11" s="1" t="s">
        <v>281</v>
      </c>
      <c r="U11" s="8" t="str">
        <f t="shared" si="1"/>
        <v>Southern</v>
      </c>
    </row>
    <row r="12">
      <c r="A12" s="945"/>
      <c r="B12" s="946"/>
      <c r="P12" s="944" t="s">
        <v>2863</v>
      </c>
      <c r="Q12" s="944" t="s">
        <v>2845</v>
      </c>
      <c r="S12" s="1" t="s">
        <v>2864</v>
      </c>
      <c r="T12" s="1" t="s">
        <v>492</v>
      </c>
      <c r="U12" s="8" t="str">
        <f t="shared" si="1"/>
        <v>Central</v>
      </c>
    </row>
    <row r="13">
      <c r="A13" s="945"/>
      <c r="B13" s="946"/>
      <c r="P13" s="944" t="s">
        <v>2865</v>
      </c>
      <c r="Q13" s="944" t="s">
        <v>2845</v>
      </c>
      <c r="S13" s="1" t="s">
        <v>2866</v>
      </c>
      <c r="T13" s="1" t="s">
        <v>281</v>
      </c>
      <c r="U13" s="8" t="str">
        <f t="shared" si="1"/>
        <v>Central</v>
      </c>
    </row>
    <row r="14">
      <c r="A14" s="945"/>
      <c r="B14" s="946"/>
      <c r="P14" s="944" t="s">
        <v>2867</v>
      </c>
      <c r="Q14" s="944" t="s">
        <v>2868</v>
      </c>
      <c r="S14" s="1" t="s">
        <v>2869</v>
      </c>
      <c r="T14" s="1" t="s">
        <v>136</v>
      </c>
      <c r="U14" s="8" t="str">
        <f t="shared" si="1"/>
        <v>Western</v>
      </c>
    </row>
    <row r="15">
      <c r="A15" s="945"/>
      <c r="B15" s="946"/>
      <c r="P15" s="944" t="s">
        <v>2870</v>
      </c>
      <c r="Q15" s="944" t="s">
        <v>2868</v>
      </c>
      <c r="S15" s="1" t="s">
        <v>1671</v>
      </c>
      <c r="T15" s="1" t="s">
        <v>281</v>
      </c>
      <c r="U15" s="8" t="str">
        <f t="shared" si="1"/>
        <v>Northern</v>
      </c>
    </row>
    <row r="16">
      <c r="A16" s="947"/>
      <c r="B16" s="946"/>
      <c r="P16" s="944" t="s">
        <v>2871</v>
      </c>
      <c r="Q16" s="944" t="s">
        <v>934</v>
      </c>
      <c r="S16" s="1" t="s">
        <v>2872</v>
      </c>
      <c r="T16" s="1" t="s">
        <v>492</v>
      </c>
      <c r="U16" s="8" t="str">
        <f t="shared" si="1"/>
        <v>Western</v>
      </c>
    </row>
    <row r="17">
      <c r="P17" s="944" t="s">
        <v>2873</v>
      </c>
      <c r="Q17" s="944" t="s">
        <v>904</v>
      </c>
      <c r="S17" s="1" t="s">
        <v>2874</v>
      </c>
      <c r="T17" s="1" t="s">
        <v>634</v>
      </c>
      <c r="U17" s="8" t="str">
        <f t="shared" si="1"/>
        <v>Southern</v>
      </c>
    </row>
    <row r="18">
      <c r="P18" s="944" t="s">
        <v>2875</v>
      </c>
      <c r="Q18" s="944" t="s">
        <v>934</v>
      </c>
      <c r="S18" s="1" t="s">
        <v>2876</v>
      </c>
      <c r="T18" s="1" t="s">
        <v>492</v>
      </c>
      <c r="U18" s="8" t="str">
        <f t="shared" si="1"/>
        <v>Central</v>
      </c>
    </row>
    <row r="19">
      <c r="P19" s="944" t="s">
        <v>2877</v>
      </c>
      <c r="Q19" s="944" t="s">
        <v>2845</v>
      </c>
      <c r="S19" s="1" t="s">
        <v>2878</v>
      </c>
      <c r="T19" s="1" t="s">
        <v>558</v>
      </c>
      <c r="U19" s="8" t="str">
        <f t="shared" si="1"/>
        <v>Southern</v>
      </c>
    </row>
    <row r="20">
      <c r="P20" s="944" t="s">
        <v>2879</v>
      </c>
      <c r="Q20" s="944" t="s">
        <v>2868</v>
      </c>
      <c r="S20" s="1" t="s">
        <v>2880</v>
      </c>
      <c r="T20" s="1" t="s">
        <v>281</v>
      </c>
      <c r="U20" s="8" t="str">
        <f t="shared" si="1"/>
        <v>Northern</v>
      </c>
    </row>
    <row r="21">
      <c r="P21" s="944" t="s">
        <v>2881</v>
      </c>
      <c r="Q21" s="944" t="s">
        <v>2845</v>
      </c>
      <c r="S21" s="1" t="s">
        <v>1227</v>
      </c>
      <c r="T21" s="1" t="s">
        <v>1227</v>
      </c>
      <c r="U21" s="8" t="str">
        <f t="shared" si="1"/>
        <v>Southern</v>
      </c>
    </row>
    <row r="22">
      <c r="P22" s="944" t="s">
        <v>2882</v>
      </c>
      <c r="Q22" s="944" t="s">
        <v>904</v>
      </c>
      <c r="S22" s="1" t="s">
        <v>2883</v>
      </c>
      <c r="T22" s="1" t="s">
        <v>492</v>
      </c>
      <c r="U22" s="8" t="str">
        <f t="shared" si="1"/>
        <v>Central</v>
      </c>
    </row>
    <row r="23">
      <c r="P23" s="944" t="s">
        <v>2884</v>
      </c>
      <c r="Q23" s="944" t="s">
        <v>2845</v>
      </c>
      <c r="S23" s="1" t="s">
        <v>2885</v>
      </c>
      <c r="T23" s="1" t="s">
        <v>1228</v>
      </c>
      <c r="U23" s="8" t="str">
        <f t="shared" si="1"/>
        <v>Western</v>
      </c>
    </row>
    <row r="24">
      <c r="P24" s="944" t="s">
        <v>2886</v>
      </c>
      <c r="Q24" s="944" t="s">
        <v>2868</v>
      </c>
      <c r="S24" s="1" t="s">
        <v>1784</v>
      </c>
      <c r="T24" s="1" t="s">
        <v>281</v>
      </c>
      <c r="U24" s="8" t="str">
        <f t="shared" si="1"/>
        <v>Northern</v>
      </c>
    </row>
    <row r="25">
      <c r="P25" s="944" t="s">
        <v>2887</v>
      </c>
      <c r="Q25" s="944" t="s">
        <v>934</v>
      </c>
      <c r="S25" s="1" t="s">
        <v>2888</v>
      </c>
      <c r="T25" s="1" t="s">
        <v>1231</v>
      </c>
      <c r="U25" s="8" t="str">
        <f t="shared" si="1"/>
        <v>Western</v>
      </c>
    </row>
    <row r="26">
      <c r="P26" s="944" t="s">
        <v>2889</v>
      </c>
      <c r="Q26" s="944" t="s">
        <v>904</v>
      </c>
      <c r="S26" s="1" t="s">
        <v>2890</v>
      </c>
      <c r="T26" s="1" t="s">
        <v>558</v>
      </c>
      <c r="U26" s="8" t="str">
        <f t="shared" si="1"/>
        <v>Central</v>
      </c>
    </row>
    <row r="27">
      <c r="P27" s="944" t="s">
        <v>2891</v>
      </c>
      <c r="Q27" s="944" t="s">
        <v>934</v>
      </c>
      <c r="S27" s="1" t="s">
        <v>1675</v>
      </c>
      <c r="T27" s="1" t="s">
        <v>281</v>
      </c>
      <c r="U27" s="8" t="str">
        <f t="shared" si="1"/>
        <v>Southern</v>
      </c>
    </row>
    <row r="28">
      <c r="P28" s="944" t="s">
        <v>2892</v>
      </c>
      <c r="Q28" s="944" t="s">
        <v>2868</v>
      </c>
      <c r="S28" s="1" t="s">
        <v>2893</v>
      </c>
      <c r="T28" s="1" t="s">
        <v>634</v>
      </c>
      <c r="U28" s="8" t="str">
        <f t="shared" si="1"/>
        <v>Southern</v>
      </c>
    </row>
    <row r="29">
      <c r="P29" s="944" t="s">
        <v>2894</v>
      </c>
      <c r="Q29" s="944" t="s">
        <v>2845</v>
      </c>
      <c r="S29" s="1" t="s">
        <v>2895</v>
      </c>
      <c r="T29" s="1" t="s">
        <v>492</v>
      </c>
      <c r="U29" s="8" t="str">
        <f t="shared" si="1"/>
        <v>Central</v>
      </c>
    </row>
    <row r="30">
      <c r="P30" s="944" t="s">
        <v>2896</v>
      </c>
      <c r="Q30" s="944" t="s">
        <v>2845</v>
      </c>
      <c r="S30" s="1" t="s">
        <v>2897</v>
      </c>
      <c r="T30" s="1" t="s">
        <v>136</v>
      </c>
      <c r="U30" s="8" t="str">
        <f t="shared" si="1"/>
        <v>Western</v>
      </c>
    </row>
    <row r="31">
      <c r="P31" s="944" t="s">
        <v>2898</v>
      </c>
      <c r="Q31" s="944" t="s">
        <v>2868</v>
      </c>
      <c r="S31" s="1" t="s">
        <v>2899</v>
      </c>
      <c r="T31" s="1" t="s">
        <v>516</v>
      </c>
      <c r="U31" s="8" t="str">
        <f t="shared" si="1"/>
        <v>Northern</v>
      </c>
    </row>
    <row r="32">
      <c r="P32" s="944" t="s">
        <v>2900</v>
      </c>
      <c r="Q32" s="944" t="s">
        <v>934</v>
      </c>
      <c r="S32" s="1" t="s">
        <v>2901</v>
      </c>
      <c r="T32" s="1" t="s">
        <v>281</v>
      </c>
      <c r="U32" s="8" t="str">
        <f t="shared" si="1"/>
        <v>Northern</v>
      </c>
    </row>
    <row r="33">
      <c r="P33" s="944" t="s">
        <v>2902</v>
      </c>
      <c r="Q33" s="944" t="s">
        <v>904</v>
      </c>
      <c r="S33" s="1" t="s">
        <v>2903</v>
      </c>
      <c r="T33" s="1" t="s">
        <v>492</v>
      </c>
      <c r="U33" s="8" t="str">
        <f t="shared" si="1"/>
        <v>Central</v>
      </c>
    </row>
    <row r="34">
      <c r="P34" s="944" t="s">
        <v>2904</v>
      </c>
      <c r="Q34" s="944" t="s">
        <v>904</v>
      </c>
      <c r="S34" s="1" t="s">
        <v>2905</v>
      </c>
      <c r="T34" s="1" t="s">
        <v>1230</v>
      </c>
      <c r="U34" s="8" t="str">
        <f t="shared" si="1"/>
        <v>Western</v>
      </c>
    </row>
    <row r="35">
      <c r="P35" s="944" t="s">
        <v>2906</v>
      </c>
      <c r="Q35" s="944" t="s">
        <v>2868</v>
      </c>
      <c r="S35" s="1" t="s">
        <v>2907</v>
      </c>
      <c r="T35" s="1" t="s">
        <v>492</v>
      </c>
      <c r="U35" s="8" t="str">
        <f t="shared" si="1"/>
        <v>Central</v>
      </c>
    </row>
    <row r="36">
      <c r="P36" s="944" t="s">
        <v>2908</v>
      </c>
      <c r="Q36" s="944" t="s">
        <v>934</v>
      </c>
      <c r="S36" s="1" t="s">
        <v>2857</v>
      </c>
      <c r="T36" s="1" t="s">
        <v>299</v>
      </c>
      <c r="U36" s="1" t="s">
        <v>2857</v>
      </c>
    </row>
    <row r="37">
      <c r="P37" s="944" t="s">
        <v>2909</v>
      </c>
      <c r="Q37" s="944" t="s">
        <v>2868</v>
      </c>
      <c r="S37" s="1" t="s">
        <v>2910</v>
      </c>
      <c r="T37" s="1" t="s">
        <v>1227</v>
      </c>
      <c r="U37" s="8" t="str">
        <f t="shared" ref="U37:U166" si="2">VLOOKUP($S37,$P:$Q,2,FALSE)</f>
        <v>Southern</v>
      </c>
    </row>
    <row r="38">
      <c r="P38" s="944" t="s">
        <v>2911</v>
      </c>
      <c r="Q38" s="944" t="s">
        <v>2857</v>
      </c>
      <c r="S38" s="1" t="s">
        <v>2912</v>
      </c>
      <c r="T38" s="1" t="s">
        <v>281</v>
      </c>
      <c r="U38" s="8" t="str">
        <f t="shared" si="2"/>
        <v>Northern</v>
      </c>
    </row>
    <row r="39">
      <c r="P39" s="944" t="s">
        <v>2913</v>
      </c>
      <c r="Q39" s="944" t="s">
        <v>2857</v>
      </c>
      <c r="S39" s="1" t="s">
        <v>2914</v>
      </c>
      <c r="T39" s="1" t="s">
        <v>516</v>
      </c>
      <c r="U39" s="8" t="str">
        <f t="shared" si="2"/>
        <v>Northern</v>
      </c>
    </row>
    <row r="40">
      <c r="P40" s="944" t="s">
        <v>2915</v>
      </c>
      <c r="Q40" s="944" t="s">
        <v>2857</v>
      </c>
      <c r="S40" s="1" t="s">
        <v>2916</v>
      </c>
      <c r="T40" s="1" t="s">
        <v>492</v>
      </c>
      <c r="U40" s="8" t="str">
        <f t="shared" si="2"/>
        <v>Central</v>
      </c>
    </row>
    <row r="41">
      <c r="P41" s="944" t="s">
        <v>2917</v>
      </c>
      <c r="Q41" s="944" t="s">
        <v>2845</v>
      </c>
      <c r="S41" s="1" t="s">
        <v>2918</v>
      </c>
      <c r="T41" s="1" t="s">
        <v>558</v>
      </c>
      <c r="U41" s="8" t="str">
        <f t="shared" si="2"/>
        <v>Southern</v>
      </c>
    </row>
    <row r="42">
      <c r="P42" s="944" t="s">
        <v>2919</v>
      </c>
      <c r="Q42" s="944" t="s">
        <v>2845</v>
      </c>
      <c r="S42" s="1" t="s">
        <v>2023</v>
      </c>
      <c r="T42" s="1" t="s">
        <v>1227</v>
      </c>
      <c r="U42" s="8" t="str">
        <f t="shared" si="2"/>
        <v>Southern</v>
      </c>
    </row>
    <row r="43">
      <c r="P43" s="944" t="s">
        <v>2920</v>
      </c>
      <c r="Q43" s="944" t="s">
        <v>904</v>
      </c>
      <c r="S43" s="1" t="s">
        <v>2921</v>
      </c>
      <c r="T43" s="1" t="s">
        <v>929</v>
      </c>
      <c r="U43" s="8" t="str">
        <f t="shared" si="2"/>
        <v>Southern</v>
      </c>
    </row>
    <row r="44">
      <c r="P44" s="944" t="s">
        <v>2922</v>
      </c>
      <c r="Q44" s="944" t="s">
        <v>904</v>
      </c>
      <c r="S44" s="1" t="s">
        <v>2923</v>
      </c>
      <c r="T44" s="1" t="s">
        <v>1230</v>
      </c>
      <c r="U44" s="8" t="str">
        <f t="shared" si="2"/>
        <v>Central</v>
      </c>
    </row>
    <row r="45">
      <c r="P45" s="944" t="s">
        <v>2924</v>
      </c>
      <c r="Q45" s="944" t="s">
        <v>2868</v>
      </c>
      <c r="S45" s="1" t="s">
        <v>2925</v>
      </c>
      <c r="T45" s="1" t="s">
        <v>929</v>
      </c>
      <c r="U45" s="8" t="str">
        <f t="shared" si="2"/>
        <v>Southern</v>
      </c>
    </row>
    <row r="46">
      <c r="P46" s="944" t="s">
        <v>2926</v>
      </c>
      <c r="Q46" s="944" t="s">
        <v>2845</v>
      </c>
      <c r="S46" s="1" t="s">
        <v>2927</v>
      </c>
      <c r="T46" s="1" t="s">
        <v>492</v>
      </c>
      <c r="U46" s="8" t="str">
        <f t="shared" si="2"/>
        <v>Central</v>
      </c>
    </row>
    <row r="47">
      <c r="P47" s="944" t="s">
        <v>2928</v>
      </c>
      <c r="Q47" s="944" t="s">
        <v>2845</v>
      </c>
      <c r="S47" s="1" t="s">
        <v>2929</v>
      </c>
      <c r="T47" s="1" t="s">
        <v>558</v>
      </c>
      <c r="U47" s="8" t="str">
        <f t="shared" si="2"/>
        <v>Boston</v>
      </c>
    </row>
    <row r="48">
      <c r="P48" s="944" t="s">
        <v>2930</v>
      </c>
      <c r="Q48" s="944" t="s">
        <v>2845</v>
      </c>
      <c r="S48" s="1" t="s">
        <v>2931</v>
      </c>
      <c r="T48" s="1" t="s">
        <v>136</v>
      </c>
      <c r="U48" s="8" t="str">
        <f t="shared" si="2"/>
        <v>Western</v>
      </c>
    </row>
    <row r="49">
      <c r="P49" s="944" t="s">
        <v>2932</v>
      </c>
      <c r="Q49" s="944" t="s">
        <v>2857</v>
      </c>
      <c r="S49" s="1" t="s">
        <v>1526</v>
      </c>
      <c r="T49" s="1" t="s">
        <v>281</v>
      </c>
      <c r="U49" s="8" t="str">
        <f t="shared" si="2"/>
        <v>Northern</v>
      </c>
    </row>
    <row r="50">
      <c r="A50" s="275" t="s">
        <v>792</v>
      </c>
      <c r="B50" s="276"/>
      <c r="C50" s="276"/>
      <c r="D50" s="276"/>
      <c r="E50" s="275" t="s">
        <v>765</v>
      </c>
      <c r="F50" s="276"/>
      <c r="G50" s="276"/>
      <c r="H50" s="276"/>
      <c r="I50" s="275" t="s">
        <v>767</v>
      </c>
      <c r="J50" s="276"/>
      <c r="K50" s="275" t="s">
        <v>769</v>
      </c>
      <c r="L50" s="276"/>
      <c r="M50" s="276"/>
      <c r="P50" s="944" t="s">
        <v>2933</v>
      </c>
      <c r="Q50" s="944" t="s">
        <v>2868</v>
      </c>
      <c r="S50" s="1" t="s">
        <v>2934</v>
      </c>
      <c r="T50" s="1" t="s">
        <v>281</v>
      </c>
      <c r="U50" s="8" t="str">
        <f t="shared" si="2"/>
        <v>Northern</v>
      </c>
    </row>
    <row r="51">
      <c r="P51" s="944" t="s">
        <v>2935</v>
      </c>
      <c r="Q51" s="944" t="s">
        <v>2845</v>
      </c>
      <c r="S51" s="1" t="s">
        <v>2936</v>
      </c>
      <c r="T51" s="1" t="s">
        <v>558</v>
      </c>
      <c r="U51" s="8" t="str">
        <f t="shared" si="2"/>
        <v>Southern</v>
      </c>
    </row>
    <row r="52">
      <c r="P52" s="944" t="s">
        <v>2937</v>
      </c>
      <c r="Q52" s="944" t="s">
        <v>2868</v>
      </c>
      <c r="S52" s="1" t="s">
        <v>1037</v>
      </c>
      <c r="T52" s="1" t="s">
        <v>281</v>
      </c>
      <c r="U52" s="8" t="str">
        <f t="shared" si="2"/>
        <v>Northern</v>
      </c>
    </row>
    <row r="53">
      <c r="P53" s="944" t="s">
        <v>2938</v>
      </c>
      <c r="Q53" s="944" t="s">
        <v>2857</v>
      </c>
      <c r="S53" s="1" t="s">
        <v>1304</v>
      </c>
      <c r="T53" s="1" t="s">
        <v>929</v>
      </c>
      <c r="U53" s="8" t="str">
        <f t="shared" si="2"/>
        <v>Southern</v>
      </c>
    </row>
    <row r="54">
      <c r="P54" s="944" t="s">
        <v>2939</v>
      </c>
      <c r="Q54" s="944" t="s">
        <v>934</v>
      </c>
      <c r="S54" s="1" t="s">
        <v>2940</v>
      </c>
      <c r="T54" s="1" t="s">
        <v>136</v>
      </c>
      <c r="U54" s="8" t="str">
        <f t="shared" si="2"/>
        <v>Western</v>
      </c>
    </row>
    <row r="55">
      <c r="P55" s="944" t="s">
        <v>2941</v>
      </c>
      <c r="Q55" s="944" t="s">
        <v>904</v>
      </c>
      <c r="S55" s="1" t="s">
        <v>551</v>
      </c>
      <c r="T55" s="1" t="s">
        <v>492</v>
      </c>
      <c r="U55" s="8" t="str">
        <f t="shared" si="2"/>
        <v>Central</v>
      </c>
    </row>
    <row r="56">
      <c r="P56" s="944" t="s">
        <v>2942</v>
      </c>
      <c r="Q56" s="944" t="s">
        <v>904</v>
      </c>
      <c r="S56" s="1" t="s">
        <v>552</v>
      </c>
      <c r="T56" s="1" t="s">
        <v>1227</v>
      </c>
      <c r="U56" s="8" t="str">
        <f t="shared" si="2"/>
        <v>Southern</v>
      </c>
    </row>
    <row r="57">
      <c r="P57" s="944" t="s">
        <v>2943</v>
      </c>
      <c r="Q57" s="944" t="s">
        <v>2845</v>
      </c>
      <c r="S57" s="1" t="s">
        <v>2944</v>
      </c>
      <c r="T57" s="1" t="s">
        <v>281</v>
      </c>
      <c r="U57" s="8" t="str">
        <f t="shared" si="2"/>
        <v>Northern</v>
      </c>
    </row>
    <row r="58">
      <c r="P58" s="944" t="s">
        <v>2945</v>
      </c>
      <c r="Q58" s="944" t="s">
        <v>904</v>
      </c>
      <c r="S58" s="1" t="s">
        <v>2946</v>
      </c>
      <c r="T58" s="1" t="s">
        <v>299</v>
      </c>
      <c r="U58" s="8" t="str">
        <f t="shared" si="2"/>
        <v>Boston</v>
      </c>
    </row>
    <row r="59">
      <c r="P59" s="944" t="s">
        <v>2947</v>
      </c>
      <c r="Q59" s="944" t="s">
        <v>2845</v>
      </c>
      <c r="S59" s="1" t="s">
        <v>1519</v>
      </c>
      <c r="T59" s="1" t="s">
        <v>1228</v>
      </c>
      <c r="U59" s="8" t="str">
        <f t="shared" si="2"/>
        <v>Western</v>
      </c>
    </row>
    <row r="60">
      <c r="P60" s="944" t="s">
        <v>2948</v>
      </c>
      <c r="Q60" s="944" t="s">
        <v>934</v>
      </c>
      <c r="S60" s="1" t="s">
        <v>1789</v>
      </c>
      <c r="T60" s="1" t="s">
        <v>1230</v>
      </c>
      <c r="U60" s="8" t="str">
        <f t="shared" si="2"/>
        <v>Western</v>
      </c>
    </row>
    <row r="61">
      <c r="P61" s="944" t="s">
        <v>2949</v>
      </c>
      <c r="Q61" s="944" t="s">
        <v>2857</v>
      </c>
      <c r="S61" s="1" t="s">
        <v>1820</v>
      </c>
      <c r="T61" s="1" t="s">
        <v>1231</v>
      </c>
      <c r="U61" s="8" t="str">
        <f t="shared" si="2"/>
        <v>Western</v>
      </c>
    </row>
    <row r="62">
      <c r="P62" s="944" t="s">
        <v>2950</v>
      </c>
      <c r="Q62" s="944" t="s">
        <v>2868</v>
      </c>
      <c r="S62" s="1" t="s">
        <v>2951</v>
      </c>
      <c r="T62" s="1" t="s">
        <v>1230</v>
      </c>
      <c r="U62" s="8" t="str">
        <f t="shared" si="2"/>
        <v>Western</v>
      </c>
    </row>
    <row r="63">
      <c r="P63" s="944" t="s">
        <v>2952</v>
      </c>
      <c r="Q63" s="944" t="s">
        <v>2845</v>
      </c>
      <c r="S63" s="1" t="s">
        <v>2953</v>
      </c>
      <c r="T63" s="1" t="s">
        <v>1229</v>
      </c>
      <c r="U63" s="8" t="str">
        <f t="shared" si="2"/>
        <v>Southern</v>
      </c>
    </row>
    <row r="64">
      <c r="P64" s="944" t="s">
        <v>2954</v>
      </c>
      <c r="Q64" s="944" t="s">
        <v>904</v>
      </c>
      <c r="S64" s="1" t="s">
        <v>2955</v>
      </c>
      <c r="T64" s="1" t="s">
        <v>1228</v>
      </c>
      <c r="U64" s="8" t="str">
        <f t="shared" si="2"/>
        <v>Western</v>
      </c>
    </row>
    <row r="65">
      <c r="P65" s="944" t="s">
        <v>2956</v>
      </c>
      <c r="Q65" s="944" t="s">
        <v>2857</v>
      </c>
      <c r="S65" s="1" t="s">
        <v>711</v>
      </c>
      <c r="T65" s="1" t="s">
        <v>492</v>
      </c>
      <c r="U65" s="8" t="str">
        <f t="shared" si="2"/>
        <v>Central</v>
      </c>
    </row>
    <row r="66">
      <c r="P66" s="944" t="s">
        <v>2957</v>
      </c>
      <c r="Q66" s="944" t="s">
        <v>934</v>
      </c>
      <c r="S66" s="1" t="s">
        <v>2958</v>
      </c>
      <c r="T66" s="1" t="s">
        <v>558</v>
      </c>
      <c r="U66" s="8" t="str">
        <f t="shared" si="2"/>
        <v>Southern</v>
      </c>
    </row>
    <row r="67">
      <c r="P67" s="944" t="s">
        <v>2959</v>
      </c>
      <c r="Q67" s="944" t="s">
        <v>934</v>
      </c>
      <c r="S67" s="1" t="s">
        <v>2960</v>
      </c>
      <c r="T67" s="1" t="s">
        <v>136</v>
      </c>
      <c r="U67" s="8" t="str">
        <f t="shared" si="2"/>
        <v>Western</v>
      </c>
    </row>
    <row r="68">
      <c r="P68" s="944" t="s">
        <v>2961</v>
      </c>
      <c r="Q68" s="944" t="s">
        <v>934</v>
      </c>
      <c r="S68" s="1" t="s">
        <v>2962</v>
      </c>
      <c r="T68" s="1" t="s">
        <v>281</v>
      </c>
      <c r="U68" s="8" t="str">
        <f t="shared" si="2"/>
        <v>Northern</v>
      </c>
    </row>
    <row r="69">
      <c r="P69" s="944" t="s">
        <v>2963</v>
      </c>
      <c r="Q69" s="944" t="s">
        <v>934</v>
      </c>
      <c r="S69" s="1" t="s">
        <v>260</v>
      </c>
      <c r="T69" s="1" t="s">
        <v>136</v>
      </c>
      <c r="U69" s="8" t="str">
        <f t="shared" si="2"/>
        <v>Western</v>
      </c>
    </row>
    <row r="70">
      <c r="P70" s="944" t="s">
        <v>2964</v>
      </c>
      <c r="Q70" s="944" t="s">
        <v>2845</v>
      </c>
      <c r="S70" s="1" t="s">
        <v>2965</v>
      </c>
      <c r="T70" s="1" t="s">
        <v>1231</v>
      </c>
      <c r="U70" s="8" t="str">
        <f t="shared" si="2"/>
        <v>Western</v>
      </c>
    </row>
    <row r="71">
      <c r="P71" s="944" t="s">
        <v>2966</v>
      </c>
      <c r="Q71" s="944" t="s">
        <v>934</v>
      </c>
      <c r="S71" s="1" t="s">
        <v>2967</v>
      </c>
      <c r="T71" s="1" t="s">
        <v>1228</v>
      </c>
      <c r="U71" s="8" t="str">
        <f t="shared" si="2"/>
        <v>Western</v>
      </c>
    </row>
    <row r="72">
      <c r="P72" s="944" t="s">
        <v>2544</v>
      </c>
      <c r="Q72" s="944" t="s">
        <v>2868</v>
      </c>
      <c r="S72" s="1" t="s">
        <v>2968</v>
      </c>
      <c r="T72" s="1" t="s">
        <v>516</v>
      </c>
      <c r="U72" s="8" t="str">
        <f t="shared" si="2"/>
        <v>Northern</v>
      </c>
    </row>
    <row r="73">
      <c r="P73" s="944" t="s">
        <v>2969</v>
      </c>
      <c r="Q73" s="944" t="s">
        <v>2845</v>
      </c>
      <c r="S73" s="1" t="s">
        <v>2970</v>
      </c>
      <c r="T73" s="1" t="s">
        <v>634</v>
      </c>
      <c r="U73" s="8" t="str">
        <f t="shared" si="2"/>
        <v>Southern</v>
      </c>
    </row>
    <row r="74">
      <c r="P74" s="944" t="s">
        <v>2971</v>
      </c>
      <c r="Q74" s="944" t="s">
        <v>934</v>
      </c>
      <c r="S74" s="1" t="s">
        <v>2972</v>
      </c>
      <c r="T74" s="1" t="s">
        <v>558</v>
      </c>
      <c r="U74" s="8" t="str">
        <f t="shared" si="2"/>
        <v>Southern</v>
      </c>
    </row>
    <row r="75">
      <c r="P75" s="944" t="s">
        <v>2973</v>
      </c>
      <c r="Q75" s="944" t="s">
        <v>904</v>
      </c>
      <c r="S75" s="1" t="s">
        <v>2974</v>
      </c>
      <c r="T75" s="1" t="s">
        <v>136</v>
      </c>
      <c r="U75" s="8" t="str">
        <f t="shared" si="2"/>
        <v>Western</v>
      </c>
    </row>
    <row r="76">
      <c r="P76" s="944" t="s">
        <v>2975</v>
      </c>
      <c r="Q76" s="944" t="s">
        <v>934</v>
      </c>
      <c r="S76" s="1" t="s">
        <v>2976</v>
      </c>
      <c r="T76" s="1" t="s">
        <v>1227</v>
      </c>
      <c r="U76" s="8" t="str">
        <f t="shared" si="2"/>
        <v>Southern</v>
      </c>
    </row>
    <row r="77">
      <c r="P77" s="944" t="s">
        <v>2977</v>
      </c>
      <c r="Q77" s="944" t="s">
        <v>934</v>
      </c>
      <c r="S77" s="1" t="s">
        <v>2978</v>
      </c>
      <c r="T77" s="1" t="s">
        <v>634</v>
      </c>
      <c r="U77" s="8" t="str">
        <f t="shared" si="2"/>
        <v>Southern</v>
      </c>
    </row>
    <row r="78">
      <c r="P78" s="944" t="s">
        <v>2979</v>
      </c>
      <c r="Q78" s="944" t="s">
        <v>934</v>
      </c>
      <c r="S78" s="1" t="s">
        <v>412</v>
      </c>
      <c r="T78" s="1" t="s">
        <v>492</v>
      </c>
      <c r="U78" s="8" t="str">
        <f t="shared" si="2"/>
        <v>Central</v>
      </c>
    </row>
    <row r="79">
      <c r="P79" s="944" t="s">
        <v>2980</v>
      </c>
      <c r="Q79" s="944" t="s">
        <v>904</v>
      </c>
      <c r="S79" s="1" t="s">
        <v>2981</v>
      </c>
      <c r="T79" s="1" t="s">
        <v>558</v>
      </c>
      <c r="U79" s="8" t="str">
        <f t="shared" si="2"/>
        <v>Northern</v>
      </c>
    </row>
    <row r="80">
      <c r="P80" s="944" t="s">
        <v>2982</v>
      </c>
      <c r="Q80" s="944" t="s">
        <v>2845</v>
      </c>
      <c r="S80" s="1" t="s">
        <v>2983</v>
      </c>
      <c r="T80" s="1" t="s">
        <v>281</v>
      </c>
      <c r="U80" s="8" t="str">
        <f t="shared" si="2"/>
        <v>Northern</v>
      </c>
    </row>
    <row r="81">
      <c r="P81" s="944" t="s">
        <v>2984</v>
      </c>
      <c r="Q81" s="944" t="s">
        <v>2845</v>
      </c>
      <c r="S81" s="1" t="s">
        <v>2985</v>
      </c>
      <c r="T81" s="1" t="s">
        <v>492</v>
      </c>
      <c r="U81" s="8" t="str">
        <f t="shared" si="2"/>
        <v>Central</v>
      </c>
    </row>
    <row r="82">
      <c r="P82" s="944" t="s">
        <v>2986</v>
      </c>
      <c r="Q82" s="944" t="s">
        <v>934</v>
      </c>
      <c r="S82" s="1" t="s">
        <v>2987</v>
      </c>
      <c r="T82" s="1" t="s">
        <v>281</v>
      </c>
      <c r="U82" s="8" t="str">
        <f t="shared" si="2"/>
        <v>Northern</v>
      </c>
    </row>
    <row r="83">
      <c r="P83" s="944" t="s">
        <v>2988</v>
      </c>
      <c r="Q83" s="944" t="s">
        <v>2845</v>
      </c>
      <c r="S83" s="1" t="s">
        <v>2989</v>
      </c>
      <c r="T83" s="1" t="s">
        <v>929</v>
      </c>
      <c r="U83" s="8" t="str">
        <f t="shared" si="2"/>
        <v>Southern</v>
      </c>
    </row>
    <row r="84">
      <c r="P84" s="944" t="s">
        <v>2990</v>
      </c>
      <c r="Q84" s="944" t="s">
        <v>2845</v>
      </c>
      <c r="S84" s="1" t="s">
        <v>2991</v>
      </c>
      <c r="T84" s="1" t="s">
        <v>929</v>
      </c>
      <c r="U84" s="8" t="str">
        <f t="shared" si="2"/>
        <v>Southern</v>
      </c>
    </row>
    <row r="85">
      <c r="P85" s="944" t="s">
        <v>2992</v>
      </c>
      <c r="Q85" s="944" t="s">
        <v>2857</v>
      </c>
      <c r="S85" s="1" t="s">
        <v>2993</v>
      </c>
      <c r="T85" s="1" t="s">
        <v>492</v>
      </c>
      <c r="U85" s="8" t="str">
        <f t="shared" si="2"/>
        <v>Central</v>
      </c>
    </row>
    <row r="86">
      <c r="P86" s="944" t="s">
        <v>2994</v>
      </c>
      <c r="Q86" s="944" t="s">
        <v>2857</v>
      </c>
      <c r="S86" s="1" t="s">
        <v>2995</v>
      </c>
      <c r="T86" s="1" t="s">
        <v>1230</v>
      </c>
      <c r="U86" s="8" t="str">
        <f t="shared" si="2"/>
        <v>Western</v>
      </c>
    </row>
    <row r="87">
      <c r="P87" s="944" t="s">
        <v>2996</v>
      </c>
      <c r="Q87" s="944" t="s">
        <v>2857</v>
      </c>
      <c r="S87" s="1" t="s">
        <v>2997</v>
      </c>
      <c r="T87" s="1" t="s">
        <v>1227</v>
      </c>
      <c r="U87" s="8" t="str">
        <f t="shared" si="2"/>
        <v>Southern</v>
      </c>
    </row>
    <row r="88">
      <c r="P88" s="944" t="s">
        <v>2551</v>
      </c>
      <c r="Q88" s="944" t="s">
        <v>2868</v>
      </c>
      <c r="S88" s="1" t="s">
        <v>2998</v>
      </c>
      <c r="T88" s="1" t="s">
        <v>1231</v>
      </c>
      <c r="U88" s="8" t="str">
        <f t="shared" si="2"/>
        <v>Western</v>
      </c>
    </row>
    <row r="89">
      <c r="P89" s="944" t="s">
        <v>2999</v>
      </c>
      <c r="Q89" s="944" t="s">
        <v>904</v>
      </c>
      <c r="S89" s="1" t="s">
        <v>3000</v>
      </c>
      <c r="T89" s="1" t="s">
        <v>634</v>
      </c>
      <c r="U89" s="8" t="str">
        <f t="shared" si="2"/>
        <v>Southern</v>
      </c>
    </row>
    <row r="90">
      <c r="P90" s="944" t="s">
        <v>3001</v>
      </c>
      <c r="Q90" s="944" t="s">
        <v>904</v>
      </c>
      <c r="S90" s="1" t="s">
        <v>3002</v>
      </c>
      <c r="T90" s="1" t="s">
        <v>1229</v>
      </c>
      <c r="U90" s="8" t="str">
        <f t="shared" si="2"/>
        <v>Southern</v>
      </c>
    </row>
    <row r="91">
      <c r="P91" s="944" t="s">
        <v>3003</v>
      </c>
      <c r="Q91" s="944" t="s">
        <v>2868</v>
      </c>
      <c r="S91" s="1" t="s">
        <v>3004</v>
      </c>
      <c r="T91" s="1" t="s">
        <v>1228</v>
      </c>
      <c r="U91" s="8" t="str">
        <f t="shared" si="2"/>
        <v>Western</v>
      </c>
    </row>
    <row r="92">
      <c r="P92" s="944" t="s">
        <v>3005</v>
      </c>
      <c r="Q92" s="944" t="s">
        <v>904</v>
      </c>
      <c r="S92" s="1" t="s">
        <v>3006</v>
      </c>
      <c r="T92" s="1" t="s">
        <v>136</v>
      </c>
      <c r="U92" s="8" t="str">
        <f t="shared" si="2"/>
        <v>Western</v>
      </c>
    </row>
    <row r="93">
      <c r="P93" s="944" t="s">
        <v>3007</v>
      </c>
      <c r="Q93" s="944" t="s">
        <v>2845</v>
      </c>
      <c r="S93" s="1" t="s">
        <v>516</v>
      </c>
      <c r="T93" s="1" t="s">
        <v>516</v>
      </c>
      <c r="U93" s="8" t="str">
        <f t="shared" si="2"/>
        <v>Northern</v>
      </c>
    </row>
    <row r="94">
      <c r="P94" s="944" t="s">
        <v>3008</v>
      </c>
      <c r="Q94" s="944" t="s">
        <v>2857</v>
      </c>
      <c r="S94" s="1" t="s">
        <v>3009</v>
      </c>
      <c r="T94" s="1" t="s">
        <v>281</v>
      </c>
      <c r="U94" s="8" t="str">
        <f t="shared" si="2"/>
        <v>Northern</v>
      </c>
    </row>
    <row r="95">
      <c r="P95" s="944" t="s">
        <v>3010</v>
      </c>
      <c r="Q95" s="944" t="s">
        <v>2845</v>
      </c>
      <c r="S95" s="1" t="s">
        <v>3011</v>
      </c>
      <c r="T95" s="1" t="s">
        <v>634</v>
      </c>
      <c r="U95" s="8" t="str">
        <f t="shared" si="2"/>
        <v>Southern</v>
      </c>
    </row>
    <row r="96">
      <c r="P96" s="944" t="s">
        <v>3012</v>
      </c>
      <c r="Q96" s="944" t="s">
        <v>2868</v>
      </c>
      <c r="S96" s="1" t="s">
        <v>1853</v>
      </c>
      <c r="T96" s="1" t="s">
        <v>634</v>
      </c>
      <c r="U96" s="8" t="str">
        <f t="shared" si="2"/>
        <v>Southern</v>
      </c>
    </row>
    <row r="97">
      <c r="P97" s="944" t="s">
        <v>3013</v>
      </c>
      <c r="Q97" s="944" t="s">
        <v>934</v>
      </c>
      <c r="S97" s="1" t="s">
        <v>3014</v>
      </c>
      <c r="T97" s="1" t="s">
        <v>1227</v>
      </c>
      <c r="U97" s="8" t="str">
        <f t="shared" si="2"/>
        <v>Southern</v>
      </c>
    </row>
    <row r="98">
      <c r="P98" s="944" t="s">
        <v>3015</v>
      </c>
      <c r="Q98" s="944" t="s">
        <v>934</v>
      </c>
      <c r="S98" s="1" t="s">
        <v>3016</v>
      </c>
      <c r="T98" s="1" t="s">
        <v>492</v>
      </c>
      <c r="U98" s="8" t="str">
        <f t="shared" si="2"/>
        <v>Central</v>
      </c>
    </row>
    <row r="99">
      <c r="P99" s="944" t="s">
        <v>3017</v>
      </c>
      <c r="Q99" s="944" t="s">
        <v>2845</v>
      </c>
      <c r="S99" s="1" t="s">
        <v>42</v>
      </c>
      <c r="T99" s="1" t="s">
        <v>1228</v>
      </c>
      <c r="U99" s="8" t="str">
        <f t="shared" si="2"/>
        <v>Western</v>
      </c>
    </row>
    <row r="100">
      <c r="A100" s="275" t="s">
        <v>852</v>
      </c>
      <c r="B100" s="276"/>
      <c r="C100" s="276"/>
      <c r="D100" s="276"/>
      <c r="E100" s="275" t="s">
        <v>765</v>
      </c>
      <c r="F100" s="276"/>
      <c r="G100" s="276"/>
      <c r="H100" s="276"/>
      <c r="I100" s="275" t="s">
        <v>767</v>
      </c>
      <c r="J100" s="276"/>
      <c r="K100" s="275" t="s">
        <v>769</v>
      </c>
      <c r="L100" s="276"/>
      <c r="M100" s="276"/>
      <c r="P100" s="944" t="s">
        <v>3018</v>
      </c>
      <c r="Q100" s="944" t="s">
        <v>934</v>
      </c>
      <c r="S100" s="1" t="s">
        <v>3019</v>
      </c>
      <c r="T100" s="1" t="s">
        <v>558</v>
      </c>
      <c r="U100" s="8" t="str">
        <f t="shared" si="2"/>
        <v>Southern</v>
      </c>
    </row>
    <row r="101">
      <c r="P101" s="944" t="s">
        <v>3020</v>
      </c>
      <c r="Q101" s="944" t="s">
        <v>2845</v>
      </c>
      <c r="S101" s="1" t="s">
        <v>3021</v>
      </c>
      <c r="T101" s="1" t="s">
        <v>281</v>
      </c>
      <c r="U101" s="8" t="str">
        <f t="shared" si="2"/>
        <v>Northern</v>
      </c>
    </row>
    <row r="102">
      <c r="P102" s="944" t="s">
        <v>3022</v>
      </c>
      <c r="Q102" s="944" t="s">
        <v>2845</v>
      </c>
      <c r="S102" s="1" t="s">
        <v>136</v>
      </c>
      <c r="T102" s="1" t="s">
        <v>558</v>
      </c>
      <c r="U102" s="8" t="str">
        <f t="shared" si="2"/>
        <v>Central</v>
      </c>
    </row>
    <row r="103">
      <c r="P103" s="944" t="s">
        <v>3023</v>
      </c>
      <c r="Q103" s="944" t="s">
        <v>934</v>
      </c>
      <c r="S103" s="1" t="s">
        <v>3024</v>
      </c>
      <c r="T103" s="1" t="s">
        <v>634</v>
      </c>
      <c r="U103" s="8" t="str">
        <f t="shared" si="2"/>
        <v>Southern</v>
      </c>
    </row>
    <row r="104">
      <c r="P104" s="944" t="s">
        <v>3025</v>
      </c>
      <c r="Q104" s="944" t="s">
        <v>934</v>
      </c>
      <c r="S104" s="1" t="s">
        <v>3026</v>
      </c>
      <c r="T104" s="1" t="s">
        <v>492</v>
      </c>
      <c r="U104" s="8" t="str">
        <f t="shared" si="2"/>
        <v>Central</v>
      </c>
    </row>
    <row r="105">
      <c r="P105" s="944" t="s">
        <v>3027</v>
      </c>
      <c r="Q105" s="944" t="s">
        <v>904</v>
      </c>
      <c r="S105" s="1" t="s">
        <v>3028</v>
      </c>
      <c r="T105" s="1" t="s">
        <v>1229</v>
      </c>
      <c r="U105" s="8" t="str">
        <f t="shared" si="2"/>
        <v>Southern</v>
      </c>
    </row>
    <row r="106">
      <c r="P106" s="944" t="s">
        <v>3029</v>
      </c>
      <c r="Q106" s="944" t="s">
        <v>904</v>
      </c>
      <c r="S106" s="1" t="s">
        <v>1827</v>
      </c>
      <c r="T106" s="1" t="s">
        <v>516</v>
      </c>
      <c r="U106" s="8" t="str">
        <f t="shared" si="2"/>
        <v>Northern</v>
      </c>
    </row>
    <row r="107">
      <c r="P107" s="944" t="s">
        <v>3030</v>
      </c>
      <c r="Q107" s="944" t="s">
        <v>2845</v>
      </c>
      <c r="S107" s="1" t="s">
        <v>3031</v>
      </c>
      <c r="T107" s="1" t="s">
        <v>136</v>
      </c>
      <c r="U107" s="8" t="str">
        <f t="shared" si="2"/>
        <v>Western</v>
      </c>
    </row>
    <row r="108">
      <c r="P108" s="944" t="s">
        <v>3032</v>
      </c>
      <c r="Q108" s="944" t="s">
        <v>2845</v>
      </c>
      <c r="S108" s="1" t="s">
        <v>1528</v>
      </c>
      <c r="T108" s="1" t="s">
        <v>516</v>
      </c>
      <c r="U108" s="8" t="str">
        <f t="shared" si="2"/>
        <v>Northern</v>
      </c>
    </row>
    <row r="109">
      <c r="P109" s="944" t="s">
        <v>3033</v>
      </c>
      <c r="Q109" s="944" t="s">
        <v>2845</v>
      </c>
      <c r="S109" s="1" t="s">
        <v>2381</v>
      </c>
      <c r="T109" s="1" t="s">
        <v>1231</v>
      </c>
      <c r="U109" s="8" t="str">
        <f t="shared" si="2"/>
        <v>Western</v>
      </c>
    </row>
    <row r="110">
      <c r="P110" s="944" t="s">
        <v>3034</v>
      </c>
      <c r="Q110" s="944" t="s">
        <v>2868</v>
      </c>
      <c r="S110" s="1" t="s">
        <v>3035</v>
      </c>
      <c r="T110" s="1" t="s">
        <v>1229</v>
      </c>
      <c r="U110" s="8" t="str">
        <f t="shared" si="2"/>
        <v>Southern</v>
      </c>
    </row>
    <row r="111">
      <c r="P111" s="944" t="s">
        <v>3036</v>
      </c>
      <c r="Q111" s="944" t="s">
        <v>934</v>
      </c>
      <c r="S111" s="1" t="s">
        <v>1521</v>
      </c>
      <c r="T111" s="1" t="s">
        <v>492</v>
      </c>
      <c r="U111" s="8" t="str">
        <f t="shared" si="2"/>
        <v>Central</v>
      </c>
    </row>
    <row r="112">
      <c r="P112" s="944" t="s">
        <v>3037</v>
      </c>
      <c r="Q112" s="944" t="s">
        <v>2845</v>
      </c>
      <c r="S112" s="1" t="s">
        <v>3038</v>
      </c>
      <c r="T112" s="1" t="s">
        <v>1231</v>
      </c>
      <c r="U112" s="8" t="str">
        <f t="shared" si="2"/>
        <v>Western</v>
      </c>
    </row>
    <row r="113">
      <c r="P113" s="944" t="s">
        <v>3039</v>
      </c>
      <c r="Q113" s="944" t="s">
        <v>904</v>
      </c>
      <c r="S113" s="1" t="s">
        <v>1603</v>
      </c>
      <c r="T113" s="1" t="s">
        <v>1230</v>
      </c>
      <c r="U113" s="8" t="str">
        <f t="shared" si="2"/>
        <v>Western</v>
      </c>
    </row>
    <row r="114">
      <c r="P114" s="944" t="s">
        <v>820</v>
      </c>
      <c r="Q114" s="944" t="s">
        <v>2868</v>
      </c>
      <c r="S114" s="1" t="s">
        <v>3040</v>
      </c>
      <c r="T114" s="1" t="s">
        <v>1228</v>
      </c>
      <c r="U114" s="8" t="str">
        <f t="shared" si="2"/>
        <v>Western</v>
      </c>
    </row>
    <row r="115">
      <c r="P115" s="944" t="s">
        <v>3041</v>
      </c>
      <c r="Q115" s="944" t="s">
        <v>2845</v>
      </c>
      <c r="S115" s="1" t="s">
        <v>3042</v>
      </c>
      <c r="T115" s="1" t="s">
        <v>136</v>
      </c>
      <c r="U115" s="8" t="str">
        <f t="shared" si="2"/>
        <v>Western</v>
      </c>
    </row>
    <row r="116">
      <c r="P116" s="944" t="s">
        <v>3043</v>
      </c>
      <c r="Q116" s="944" t="s">
        <v>2868</v>
      </c>
      <c r="S116" s="1" t="s">
        <v>3044</v>
      </c>
      <c r="T116" s="1" t="s">
        <v>281</v>
      </c>
      <c r="U116" s="8" t="str">
        <f t="shared" si="2"/>
        <v>Northern</v>
      </c>
    </row>
    <row r="117">
      <c r="P117" s="944" t="s">
        <v>3045</v>
      </c>
      <c r="Q117" s="944" t="s">
        <v>2845</v>
      </c>
      <c r="S117" s="1" t="s">
        <v>3046</v>
      </c>
      <c r="T117" s="1" t="s">
        <v>516</v>
      </c>
      <c r="U117" s="8" t="str">
        <f t="shared" si="2"/>
        <v>Northern</v>
      </c>
    </row>
    <row r="118">
      <c r="P118" s="944" t="s">
        <v>3047</v>
      </c>
      <c r="Q118" s="944" t="s">
        <v>904</v>
      </c>
      <c r="S118" s="1" t="s">
        <v>3048</v>
      </c>
      <c r="T118" s="1" t="s">
        <v>1231</v>
      </c>
      <c r="U118" s="8" t="str">
        <f t="shared" si="2"/>
        <v>Western</v>
      </c>
    </row>
    <row r="119">
      <c r="P119" s="944" t="s">
        <v>3049</v>
      </c>
      <c r="Q119" s="944" t="s">
        <v>934</v>
      </c>
      <c r="S119" s="1" t="s">
        <v>1605</v>
      </c>
      <c r="T119" s="1" t="s">
        <v>929</v>
      </c>
      <c r="U119" s="8" t="str">
        <f t="shared" si="2"/>
        <v>Southern</v>
      </c>
    </row>
    <row r="120">
      <c r="P120" s="944" t="s">
        <v>3050</v>
      </c>
      <c r="Q120" s="944" t="s">
        <v>904</v>
      </c>
      <c r="S120" s="1" t="s">
        <v>497</v>
      </c>
      <c r="T120" s="1" t="s">
        <v>516</v>
      </c>
      <c r="U120" s="8" t="str">
        <f t="shared" si="2"/>
        <v>Northern</v>
      </c>
    </row>
    <row r="121">
      <c r="P121" s="944" t="s">
        <v>3051</v>
      </c>
      <c r="Q121" s="944" t="s">
        <v>934</v>
      </c>
      <c r="S121" s="1" t="s">
        <v>1230</v>
      </c>
      <c r="T121" s="1" t="s">
        <v>1230</v>
      </c>
      <c r="U121" s="8" t="str">
        <f t="shared" si="2"/>
        <v>Western</v>
      </c>
    </row>
    <row r="122">
      <c r="P122" s="944" t="s">
        <v>3052</v>
      </c>
      <c r="Q122" s="944" t="s">
        <v>2845</v>
      </c>
      <c r="S122" s="1" t="s">
        <v>587</v>
      </c>
      <c r="T122" s="1" t="s">
        <v>1228</v>
      </c>
      <c r="U122" s="8" t="str">
        <f t="shared" si="2"/>
        <v>Western</v>
      </c>
    </row>
    <row r="123">
      <c r="P123" s="944" t="s">
        <v>3053</v>
      </c>
      <c r="Q123" s="944" t="s">
        <v>2868</v>
      </c>
      <c r="S123" s="1" t="s">
        <v>2238</v>
      </c>
      <c r="T123" s="1" t="s">
        <v>929</v>
      </c>
      <c r="U123" s="8" t="str">
        <f t="shared" si="2"/>
        <v>Southern</v>
      </c>
    </row>
    <row r="124">
      <c r="P124" s="944" t="s">
        <v>3054</v>
      </c>
      <c r="Q124" s="944" t="s">
        <v>934</v>
      </c>
      <c r="S124" s="1" t="s">
        <v>1859</v>
      </c>
      <c r="T124" s="1" t="s">
        <v>929</v>
      </c>
      <c r="U124" s="8" t="str">
        <f t="shared" si="2"/>
        <v>Southern</v>
      </c>
    </row>
    <row r="125">
      <c r="P125" s="944" t="s">
        <v>3055</v>
      </c>
      <c r="Q125" s="944" t="s">
        <v>934</v>
      </c>
      <c r="S125" s="1" t="s">
        <v>3056</v>
      </c>
      <c r="T125" s="1" t="s">
        <v>492</v>
      </c>
      <c r="U125" s="8" t="str">
        <f t="shared" si="2"/>
        <v>Central</v>
      </c>
    </row>
    <row r="126">
      <c r="P126" s="944" t="s">
        <v>3057</v>
      </c>
      <c r="Q126" s="944" t="s">
        <v>934</v>
      </c>
      <c r="S126" s="1" t="s">
        <v>3058</v>
      </c>
      <c r="T126" s="1" t="s">
        <v>492</v>
      </c>
      <c r="U126" s="8" t="str">
        <f t="shared" si="2"/>
        <v>Central</v>
      </c>
    </row>
    <row r="127">
      <c r="P127" s="944" t="s">
        <v>3059</v>
      </c>
      <c r="Q127" s="944" t="s">
        <v>934</v>
      </c>
      <c r="S127" s="1" t="s">
        <v>3060</v>
      </c>
      <c r="T127" s="1" t="s">
        <v>1227</v>
      </c>
      <c r="U127" s="8" t="str">
        <f t="shared" si="2"/>
        <v>Southern</v>
      </c>
    </row>
    <row r="128">
      <c r="P128" s="944" t="s">
        <v>3061</v>
      </c>
      <c r="Q128" s="944" t="s">
        <v>904</v>
      </c>
      <c r="S128" s="1" t="s">
        <v>3062</v>
      </c>
      <c r="T128" s="1" t="s">
        <v>1231</v>
      </c>
      <c r="U128" s="8" t="str">
        <f t="shared" si="2"/>
        <v>Western</v>
      </c>
    </row>
    <row r="129">
      <c r="P129" s="944" t="s">
        <v>3063</v>
      </c>
      <c r="Q129" s="944" t="s">
        <v>904</v>
      </c>
      <c r="S129" s="1" t="s">
        <v>3064</v>
      </c>
      <c r="T129" s="1" t="s">
        <v>516</v>
      </c>
      <c r="U129" s="8" t="str">
        <f t="shared" si="2"/>
        <v>Northern</v>
      </c>
    </row>
    <row r="130">
      <c r="P130" s="944" t="s">
        <v>3065</v>
      </c>
      <c r="Q130" s="944" t="s">
        <v>934</v>
      </c>
      <c r="S130" s="1" t="s">
        <v>3066</v>
      </c>
      <c r="T130" s="1" t="s">
        <v>136</v>
      </c>
      <c r="U130" s="8" t="str">
        <f t="shared" si="2"/>
        <v>Western</v>
      </c>
    </row>
    <row r="131">
      <c r="P131" s="944" t="s">
        <v>3067</v>
      </c>
      <c r="Q131" s="944" t="s">
        <v>2845</v>
      </c>
      <c r="S131" s="1" t="s">
        <v>3068</v>
      </c>
      <c r="T131" s="1" t="s">
        <v>136</v>
      </c>
      <c r="U131" s="8" t="str">
        <f t="shared" si="2"/>
        <v>Western</v>
      </c>
    </row>
    <row r="132">
      <c r="P132" s="944" t="s">
        <v>2559</v>
      </c>
      <c r="Q132" s="944" t="s">
        <v>904</v>
      </c>
      <c r="S132" s="1" t="s">
        <v>3069</v>
      </c>
      <c r="T132" s="1" t="s">
        <v>929</v>
      </c>
      <c r="U132" s="8" t="str">
        <f t="shared" si="2"/>
        <v>Southern</v>
      </c>
    </row>
    <row r="133">
      <c r="P133" s="944" t="s">
        <v>3070</v>
      </c>
      <c r="Q133" s="944" t="s">
        <v>934</v>
      </c>
      <c r="S133" s="1" t="s">
        <v>424</v>
      </c>
      <c r="T133" s="1" t="s">
        <v>1228</v>
      </c>
      <c r="U133" s="8" t="str">
        <f t="shared" si="2"/>
        <v>Western</v>
      </c>
    </row>
    <row r="134">
      <c r="P134" s="944" t="s">
        <v>2560</v>
      </c>
      <c r="Q134" s="944" t="s">
        <v>934</v>
      </c>
      <c r="S134" s="1" t="s">
        <v>3071</v>
      </c>
      <c r="T134" s="1" t="s">
        <v>558</v>
      </c>
      <c r="U134" s="8" t="str">
        <f t="shared" si="2"/>
        <v>Southern</v>
      </c>
    </row>
    <row r="135">
      <c r="P135" s="944" t="s">
        <v>3072</v>
      </c>
      <c r="Q135" s="944" t="s">
        <v>2845</v>
      </c>
      <c r="S135" s="1" t="s">
        <v>3073</v>
      </c>
      <c r="T135" s="1" t="s">
        <v>492</v>
      </c>
      <c r="U135" s="8" t="str">
        <f t="shared" si="2"/>
        <v>Central</v>
      </c>
    </row>
    <row r="136">
      <c r="P136" s="944" t="s">
        <v>3074</v>
      </c>
      <c r="Q136" s="944" t="s">
        <v>2845</v>
      </c>
      <c r="S136" s="1" t="s">
        <v>3075</v>
      </c>
      <c r="T136" s="1" t="s">
        <v>1230</v>
      </c>
      <c r="U136" s="8" t="str">
        <f t="shared" si="2"/>
        <v>Central</v>
      </c>
    </row>
    <row r="137">
      <c r="P137" s="944" t="s">
        <v>3076</v>
      </c>
      <c r="Q137" s="944" t="s">
        <v>2868</v>
      </c>
      <c r="S137" s="1" t="s">
        <v>3077</v>
      </c>
      <c r="T137" s="1" t="s">
        <v>281</v>
      </c>
      <c r="U137" s="8" t="str">
        <f t="shared" si="2"/>
        <v>Northern</v>
      </c>
    </row>
    <row r="138">
      <c r="P138" s="944" t="s">
        <v>3078</v>
      </c>
      <c r="Q138" s="944" t="s">
        <v>2868</v>
      </c>
      <c r="S138" s="1" t="s">
        <v>3079</v>
      </c>
      <c r="T138" s="1" t="s">
        <v>1230</v>
      </c>
      <c r="U138" s="8" t="str">
        <f t="shared" si="2"/>
        <v>Western</v>
      </c>
    </row>
    <row r="139">
      <c r="P139" s="944" t="s">
        <v>3080</v>
      </c>
      <c r="Q139" s="944" t="s">
        <v>2845</v>
      </c>
      <c r="S139" s="1" t="s">
        <v>3081</v>
      </c>
      <c r="T139" s="1" t="s">
        <v>492</v>
      </c>
      <c r="U139" s="8" t="str">
        <f t="shared" si="2"/>
        <v>Central</v>
      </c>
    </row>
    <row r="140">
      <c r="P140" s="944" t="s">
        <v>3082</v>
      </c>
      <c r="Q140" s="944" t="s">
        <v>934</v>
      </c>
      <c r="S140" s="1" t="s">
        <v>3083</v>
      </c>
      <c r="T140" s="1" t="s">
        <v>281</v>
      </c>
      <c r="U140" s="8" t="str">
        <f t="shared" si="2"/>
        <v>Northern</v>
      </c>
    </row>
    <row r="141">
      <c r="P141" s="944" t="s">
        <v>3084</v>
      </c>
      <c r="Q141" s="944" t="s">
        <v>904</v>
      </c>
      <c r="S141" s="1" t="s">
        <v>3085</v>
      </c>
      <c r="T141" s="1" t="s">
        <v>492</v>
      </c>
      <c r="U141" s="8" t="str">
        <f t="shared" si="2"/>
        <v>Central</v>
      </c>
    </row>
    <row r="142">
      <c r="P142" s="944" t="s">
        <v>3086</v>
      </c>
      <c r="Q142" s="944" t="s">
        <v>934</v>
      </c>
      <c r="S142" s="1" t="s">
        <v>580</v>
      </c>
      <c r="T142" s="1" t="s">
        <v>281</v>
      </c>
      <c r="U142" s="8" t="str">
        <f t="shared" si="2"/>
        <v>Northern</v>
      </c>
    </row>
    <row r="143">
      <c r="P143" s="944" t="s">
        <v>3087</v>
      </c>
      <c r="Q143" s="944" t="s">
        <v>934</v>
      </c>
      <c r="S143" s="1" t="s">
        <v>3088</v>
      </c>
      <c r="T143" s="1" t="s">
        <v>929</v>
      </c>
      <c r="U143" s="8" t="str">
        <f t="shared" si="2"/>
        <v>Southern</v>
      </c>
    </row>
    <row r="144">
      <c r="P144" s="944" t="s">
        <v>3089</v>
      </c>
      <c r="Q144" s="944" t="s">
        <v>2845</v>
      </c>
      <c r="S144" s="1" t="s">
        <v>785</v>
      </c>
      <c r="T144" s="1" t="s">
        <v>1231</v>
      </c>
      <c r="U144" s="8" t="str">
        <f t="shared" si="2"/>
        <v>Western</v>
      </c>
    </row>
    <row r="145">
      <c r="P145" s="944" t="s">
        <v>3090</v>
      </c>
      <c r="Q145" s="944" t="s">
        <v>934</v>
      </c>
      <c r="S145" s="1" t="s">
        <v>3091</v>
      </c>
      <c r="T145" s="1" t="s">
        <v>516</v>
      </c>
      <c r="U145" s="8" t="str">
        <f t="shared" si="2"/>
        <v>Northern</v>
      </c>
    </row>
    <row r="146">
      <c r="P146" s="944" t="s">
        <v>3092</v>
      </c>
      <c r="Q146" s="944" t="s">
        <v>2845</v>
      </c>
      <c r="S146" s="1" t="s">
        <v>3093</v>
      </c>
      <c r="T146" s="1" t="s">
        <v>929</v>
      </c>
      <c r="U146" s="8" t="str">
        <f t="shared" si="2"/>
        <v>Southern</v>
      </c>
    </row>
    <row r="147">
      <c r="P147" s="944" t="s">
        <v>3094</v>
      </c>
      <c r="Q147" s="944" t="s">
        <v>2868</v>
      </c>
      <c r="S147" s="1" t="s">
        <v>3095</v>
      </c>
      <c r="T147" s="1" t="s">
        <v>929</v>
      </c>
      <c r="U147" s="8" t="str">
        <f t="shared" si="2"/>
        <v>Southern</v>
      </c>
    </row>
    <row r="148">
      <c r="P148" s="944" t="s">
        <v>3096</v>
      </c>
      <c r="Q148" s="944" t="s">
        <v>2868</v>
      </c>
      <c r="S148" s="1" t="s">
        <v>650</v>
      </c>
      <c r="T148" s="1" t="s">
        <v>492</v>
      </c>
      <c r="U148" s="8" t="str">
        <f t="shared" si="2"/>
        <v>Central</v>
      </c>
    </row>
    <row r="149">
      <c r="P149" s="944" t="s">
        <v>3097</v>
      </c>
      <c r="Q149" s="944" t="s">
        <v>904</v>
      </c>
      <c r="S149" s="1" t="s">
        <v>3098</v>
      </c>
      <c r="T149" s="1" t="s">
        <v>1228</v>
      </c>
      <c r="U149" s="8" t="str">
        <f t="shared" si="2"/>
        <v>Western</v>
      </c>
    </row>
    <row r="150">
      <c r="P150" s="944" t="s">
        <v>3099</v>
      </c>
      <c r="Q150" s="944" t="s">
        <v>934</v>
      </c>
      <c r="S150" s="1" t="s">
        <v>146</v>
      </c>
      <c r="T150" s="1" t="s">
        <v>516</v>
      </c>
      <c r="U150" s="8" t="str">
        <f t="shared" si="2"/>
        <v>Northern</v>
      </c>
    </row>
    <row r="151">
      <c r="P151" s="944" t="s">
        <v>3100</v>
      </c>
      <c r="Q151" s="944" t="s">
        <v>2868</v>
      </c>
      <c r="S151" s="1" t="s">
        <v>147</v>
      </c>
      <c r="T151" s="1" t="s">
        <v>1228</v>
      </c>
      <c r="U151" s="8" t="str">
        <f t="shared" si="2"/>
        <v>Western</v>
      </c>
    </row>
    <row r="152">
      <c r="P152" s="944" t="s">
        <v>3101</v>
      </c>
      <c r="Q152" s="944" t="s">
        <v>904</v>
      </c>
      <c r="S152" s="1" t="s">
        <v>3102</v>
      </c>
      <c r="T152" s="1" t="s">
        <v>492</v>
      </c>
      <c r="U152" s="8" t="str">
        <f t="shared" si="2"/>
        <v>Central</v>
      </c>
    </row>
    <row r="153">
      <c r="P153" s="944" t="s">
        <v>3103</v>
      </c>
      <c r="Q153" s="944" t="s">
        <v>2868</v>
      </c>
      <c r="S153" s="1" t="s">
        <v>3104</v>
      </c>
      <c r="T153" s="1" t="s">
        <v>1228</v>
      </c>
      <c r="U153" s="8" t="str">
        <f t="shared" si="2"/>
        <v>Western</v>
      </c>
    </row>
    <row r="154">
      <c r="P154" s="944" t="s">
        <v>3105</v>
      </c>
      <c r="Q154" s="944" t="s">
        <v>904</v>
      </c>
      <c r="S154" s="1" t="s">
        <v>3106</v>
      </c>
      <c r="T154" s="1" t="s">
        <v>492</v>
      </c>
      <c r="U154" s="8" t="str">
        <f t="shared" si="2"/>
        <v>Central</v>
      </c>
    </row>
    <row r="155">
      <c r="P155" s="944" t="s">
        <v>3107</v>
      </c>
      <c r="Q155" s="944" t="s">
        <v>2845</v>
      </c>
      <c r="S155" s="1" t="s">
        <v>3108</v>
      </c>
      <c r="T155" s="1" t="s">
        <v>136</v>
      </c>
      <c r="U155" s="8" t="str">
        <f t="shared" si="2"/>
        <v>Western</v>
      </c>
    </row>
    <row r="156">
      <c r="P156" s="944" t="s">
        <v>3109</v>
      </c>
      <c r="Q156" s="944" t="s">
        <v>934</v>
      </c>
      <c r="S156" s="1" t="s">
        <v>1832</v>
      </c>
      <c r="T156" s="1" t="s">
        <v>281</v>
      </c>
      <c r="U156" s="8" t="str">
        <f t="shared" si="2"/>
        <v>Southern</v>
      </c>
    </row>
    <row r="157">
      <c r="P157" s="944" t="s">
        <v>3110</v>
      </c>
      <c r="Q157" s="944" t="s">
        <v>904</v>
      </c>
      <c r="S157" s="1" t="s">
        <v>3111</v>
      </c>
      <c r="T157" s="1" t="s">
        <v>136</v>
      </c>
      <c r="U157" s="8" t="str">
        <f t="shared" si="2"/>
        <v>Western</v>
      </c>
    </row>
    <row r="158">
      <c r="P158" s="944" t="s">
        <v>3112</v>
      </c>
      <c r="Q158" s="944" t="s">
        <v>2857</v>
      </c>
      <c r="S158" s="1" t="s">
        <v>290</v>
      </c>
      <c r="T158" s="1" t="s">
        <v>281</v>
      </c>
      <c r="U158" s="8" t="str">
        <f t="shared" si="2"/>
        <v>Northern</v>
      </c>
    </row>
    <row r="159">
      <c r="P159" s="944" t="s">
        <v>3113</v>
      </c>
      <c r="Q159" s="944" t="s">
        <v>2845</v>
      </c>
      <c r="S159" s="1" t="s">
        <v>3114</v>
      </c>
      <c r="T159" s="1" t="s">
        <v>281</v>
      </c>
      <c r="U159" s="8" t="str">
        <f t="shared" si="2"/>
        <v>Northern</v>
      </c>
    </row>
    <row r="160">
      <c r="P160" s="944" t="s">
        <v>3115</v>
      </c>
      <c r="Q160" s="944" t="s">
        <v>2845</v>
      </c>
      <c r="S160" s="1" t="s">
        <v>3116</v>
      </c>
      <c r="T160" s="1" t="s">
        <v>1230</v>
      </c>
      <c r="U160" s="8" t="str">
        <f t="shared" si="2"/>
        <v>Western</v>
      </c>
    </row>
    <row r="161">
      <c r="P161" s="944" t="s">
        <v>3117</v>
      </c>
      <c r="Q161" s="944" t="s">
        <v>2868</v>
      </c>
      <c r="S161" s="1" t="s">
        <v>3118</v>
      </c>
      <c r="T161" s="1" t="s">
        <v>281</v>
      </c>
      <c r="U161" s="8" t="str">
        <f t="shared" si="2"/>
        <v>Northern</v>
      </c>
    </row>
    <row r="162">
      <c r="P162" s="944" t="s">
        <v>3119</v>
      </c>
      <c r="Q162" s="944" t="s">
        <v>934</v>
      </c>
      <c r="S162" s="1" t="s">
        <v>3120</v>
      </c>
      <c r="T162" s="1" t="s">
        <v>1230</v>
      </c>
      <c r="U162" s="8" t="str">
        <f t="shared" si="2"/>
        <v>Western</v>
      </c>
    </row>
    <row r="163">
      <c r="P163" s="944" t="s">
        <v>829</v>
      </c>
      <c r="Q163" s="944" t="s">
        <v>904</v>
      </c>
      <c r="S163" s="1" t="s">
        <v>2248</v>
      </c>
      <c r="T163" s="1" t="s">
        <v>492</v>
      </c>
      <c r="U163" s="8" t="str">
        <f t="shared" si="2"/>
        <v>Central</v>
      </c>
    </row>
    <row r="164">
      <c r="P164" s="944" t="s">
        <v>830</v>
      </c>
      <c r="Q164" s="944" t="s">
        <v>934</v>
      </c>
      <c r="S164" s="1" t="s">
        <v>2112</v>
      </c>
      <c r="T164" s="1" t="s">
        <v>516</v>
      </c>
      <c r="U164" s="8" t="str">
        <f t="shared" si="2"/>
        <v>Northern</v>
      </c>
    </row>
    <row r="165">
      <c r="P165" s="944" t="s">
        <v>3121</v>
      </c>
      <c r="Q165" s="944" t="s">
        <v>2868</v>
      </c>
      <c r="S165" s="1" t="s">
        <v>3122</v>
      </c>
      <c r="T165" s="1" t="s">
        <v>516</v>
      </c>
      <c r="U165" s="8" t="str">
        <f t="shared" si="2"/>
        <v>Northern</v>
      </c>
    </row>
    <row r="166">
      <c r="P166" s="944" t="s">
        <v>3123</v>
      </c>
      <c r="Q166" s="944" t="s">
        <v>934</v>
      </c>
      <c r="S166" s="1" t="s">
        <v>3124</v>
      </c>
      <c r="T166" s="1" t="s">
        <v>281</v>
      </c>
      <c r="U166" s="8" t="str">
        <f t="shared" si="2"/>
        <v>Northern</v>
      </c>
    </row>
    <row r="167">
      <c r="P167" s="944" t="s">
        <v>3125</v>
      </c>
      <c r="Q167" s="944" t="s">
        <v>2868</v>
      </c>
      <c r="S167" s="1" t="s">
        <v>3126</v>
      </c>
      <c r="T167" s="1" t="s">
        <v>516</v>
      </c>
      <c r="U167" s="1" t="s">
        <v>904</v>
      </c>
    </row>
    <row r="168">
      <c r="P168" s="944" t="s">
        <v>3127</v>
      </c>
      <c r="Q168" s="944" t="s">
        <v>934</v>
      </c>
      <c r="S168" s="1" t="s">
        <v>3128</v>
      </c>
      <c r="T168" s="1" t="s">
        <v>634</v>
      </c>
      <c r="U168" s="8" t="str">
        <f t="shared" ref="U168:U351" si="3">VLOOKUP($S168,$P:$Q,2,FALSE)</f>
        <v>Southern</v>
      </c>
    </row>
    <row r="169">
      <c r="P169" s="944" t="s">
        <v>3129</v>
      </c>
      <c r="Q169" s="944" t="s">
        <v>2845</v>
      </c>
      <c r="S169" s="1" t="s">
        <v>3130</v>
      </c>
      <c r="T169" s="1" t="s">
        <v>516</v>
      </c>
      <c r="U169" s="8" t="str">
        <f t="shared" si="3"/>
        <v>Northern</v>
      </c>
    </row>
    <row r="170">
      <c r="P170" s="944" t="s">
        <v>3131</v>
      </c>
      <c r="Q170" s="944" t="s">
        <v>934</v>
      </c>
      <c r="S170" s="1" t="s">
        <v>153</v>
      </c>
      <c r="T170" s="1" t="s">
        <v>929</v>
      </c>
      <c r="U170" s="8" t="str">
        <f t="shared" si="3"/>
        <v>Southern</v>
      </c>
    </row>
    <row r="171">
      <c r="P171" s="944" t="s">
        <v>2768</v>
      </c>
      <c r="Q171" s="944" t="s">
        <v>904</v>
      </c>
      <c r="S171" s="1" t="s">
        <v>3132</v>
      </c>
      <c r="T171" s="1" t="s">
        <v>281</v>
      </c>
      <c r="U171" s="8" t="str">
        <f t="shared" si="3"/>
        <v>Northern</v>
      </c>
    </row>
    <row r="172">
      <c r="P172" s="944" t="s">
        <v>3133</v>
      </c>
      <c r="Q172" s="944" t="s">
        <v>904</v>
      </c>
      <c r="S172" s="1" t="s">
        <v>3134</v>
      </c>
      <c r="T172" s="1" t="s">
        <v>929</v>
      </c>
      <c r="U172" s="8" t="str">
        <f t="shared" si="3"/>
        <v>Southern</v>
      </c>
    </row>
    <row r="173">
      <c r="P173" s="944" t="s">
        <v>3135</v>
      </c>
      <c r="Q173" s="944" t="s">
        <v>934</v>
      </c>
      <c r="S173" s="1" t="s">
        <v>3136</v>
      </c>
      <c r="T173" s="1" t="s">
        <v>1227</v>
      </c>
      <c r="U173" s="8" t="str">
        <f t="shared" si="3"/>
        <v>Southern</v>
      </c>
    </row>
    <row r="174">
      <c r="P174" s="944" t="s">
        <v>3137</v>
      </c>
      <c r="Q174" s="944" t="s">
        <v>904</v>
      </c>
      <c r="S174" s="1" t="s">
        <v>3138</v>
      </c>
      <c r="T174" s="1" t="s">
        <v>929</v>
      </c>
      <c r="U174" s="8" t="str">
        <f t="shared" si="3"/>
        <v>Southern</v>
      </c>
    </row>
    <row r="175">
      <c r="P175" s="944" t="s">
        <v>3139</v>
      </c>
      <c r="Q175" s="944" t="s">
        <v>934</v>
      </c>
      <c r="S175" s="1" t="s">
        <v>3140</v>
      </c>
      <c r="T175" s="1" t="s">
        <v>281</v>
      </c>
      <c r="U175" s="8" t="str">
        <f t="shared" si="3"/>
        <v>Northern</v>
      </c>
    </row>
    <row r="176">
      <c r="P176" s="944" t="s">
        <v>3141</v>
      </c>
      <c r="Q176" s="944" t="s">
        <v>2868</v>
      </c>
      <c r="S176" s="1" t="s">
        <v>3142</v>
      </c>
      <c r="T176" s="1" t="s">
        <v>558</v>
      </c>
      <c r="U176" s="8" t="str">
        <f t="shared" si="3"/>
        <v>Southern</v>
      </c>
    </row>
    <row r="177">
      <c r="P177" s="944" t="s">
        <v>3143</v>
      </c>
      <c r="Q177" s="944" t="s">
        <v>904</v>
      </c>
      <c r="S177" s="1" t="s">
        <v>3144</v>
      </c>
      <c r="T177" s="1" t="s">
        <v>281</v>
      </c>
      <c r="U177" s="8" t="str">
        <f t="shared" si="3"/>
        <v>Northern</v>
      </c>
    </row>
    <row r="178">
      <c r="P178" s="944" t="s">
        <v>3145</v>
      </c>
      <c r="Q178" s="944" t="s">
        <v>904</v>
      </c>
      <c r="S178" s="1" t="s">
        <v>3146</v>
      </c>
      <c r="T178" s="1" t="s">
        <v>558</v>
      </c>
      <c r="U178" s="8" t="str">
        <f t="shared" si="3"/>
        <v>Central</v>
      </c>
    </row>
    <row r="179">
      <c r="P179" s="944" t="s">
        <v>3147</v>
      </c>
      <c r="Q179" s="944" t="s">
        <v>904</v>
      </c>
      <c r="S179" s="1" t="s">
        <v>3148</v>
      </c>
      <c r="T179" s="1" t="s">
        <v>281</v>
      </c>
      <c r="U179" s="8" t="str">
        <f t="shared" si="3"/>
        <v>Northern</v>
      </c>
    </row>
    <row r="180">
      <c r="P180" s="944" t="s">
        <v>3149</v>
      </c>
      <c r="Q180" s="944" t="s">
        <v>904</v>
      </c>
      <c r="S180" s="1" t="s">
        <v>3150</v>
      </c>
      <c r="T180" s="1" t="s">
        <v>492</v>
      </c>
      <c r="U180" s="8" t="str">
        <f t="shared" si="3"/>
        <v>Central</v>
      </c>
    </row>
    <row r="181">
      <c r="P181" s="944" t="s">
        <v>3151</v>
      </c>
      <c r="Q181" s="944" t="s">
        <v>2845</v>
      </c>
      <c r="S181" s="1" t="s">
        <v>3152</v>
      </c>
      <c r="T181" s="1" t="s">
        <v>516</v>
      </c>
      <c r="U181" s="8" t="str">
        <f t="shared" si="3"/>
        <v>Northern</v>
      </c>
    </row>
    <row r="182">
      <c r="P182" s="944" t="s">
        <v>3153</v>
      </c>
      <c r="Q182" s="944" t="s">
        <v>904</v>
      </c>
      <c r="S182" s="1" t="s">
        <v>3154</v>
      </c>
      <c r="T182" s="1" t="s">
        <v>516</v>
      </c>
      <c r="U182" s="8" t="str">
        <f t="shared" si="3"/>
        <v>Northern</v>
      </c>
    </row>
    <row r="183">
      <c r="P183" s="944" t="s">
        <v>874</v>
      </c>
      <c r="Q183" s="944" t="s">
        <v>2845</v>
      </c>
      <c r="S183" s="1" t="s">
        <v>3155</v>
      </c>
      <c r="T183" s="1" t="s">
        <v>929</v>
      </c>
      <c r="U183" s="8" t="str">
        <f t="shared" si="3"/>
        <v>Southern</v>
      </c>
    </row>
    <row r="184">
      <c r="P184" s="944" t="s">
        <v>3156</v>
      </c>
      <c r="Q184" s="944" t="s">
        <v>904</v>
      </c>
      <c r="S184" s="1" t="s">
        <v>3157</v>
      </c>
      <c r="T184" s="1" t="s">
        <v>1231</v>
      </c>
      <c r="U184" s="8" t="str">
        <f t="shared" si="3"/>
        <v>Western</v>
      </c>
    </row>
    <row r="185">
      <c r="P185" s="944" t="s">
        <v>3158</v>
      </c>
      <c r="Q185" s="944" t="s">
        <v>2845</v>
      </c>
      <c r="S185" s="1" t="s">
        <v>3159</v>
      </c>
      <c r="T185" s="1" t="s">
        <v>516</v>
      </c>
      <c r="U185" s="8" t="str">
        <f t="shared" si="3"/>
        <v>Northern</v>
      </c>
    </row>
    <row r="186">
      <c r="P186" s="944" t="s">
        <v>3160</v>
      </c>
      <c r="Q186" s="944" t="s">
        <v>2845</v>
      </c>
      <c r="S186" s="1" t="s">
        <v>3161</v>
      </c>
      <c r="T186" s="1" t="s">
        <v>492</v>
      </c>
      <c r="U186" s="8" t="str">
        <f t="shared" si="3"/>
        <v>Central</v>
      </c>
    </row>
    <row r="187">
      <c r="P187" s="944" t="s">
        <v>3162</v>
      </c>
      <c r="Q187" s="944" t="s">
        <v>2845</v>
      </c>
      <c r="S187" s="1" t="s">
        <v>3163</v>
      </c>
      <c r="T187" s="1" t="s">
        <v>492</v>
      </c>
      <c r="U187" s="8" t="str">
        <f t="shared" si="3"/>
        <v>Central</v>
      </c>
    </row>
    <row r="188">
      <c r="P188" s="944" t="s">
        <v>3164</v>
      </c>
      <c r="Q188" s="944" t="s">
        <v>904</v>
      </c>
      <c r="S188" s="1" t="s">
        <v>3165</v>
      </c>
      <c r="T188" s="1" t="s">
        <v>558</v>
      </c>
      <c r="U188" s="8" t="str">
        <f t="shared" si="3"/>
        <v>Southern</v>
      </c>
    </row>
    <row r="189">
      <c r="P189" s="944" t="s">
        <v>3166</v>
      </c>
      <c r="Q189" s="944" t="s">
        <v>2845</v>
      </c>
      <c r="S189" s="1" t="s">
        <v>3167</v>
      </c>
      <c r="T189" s="1" t="s">
        <v>492</v>
      </c>
      <c r="U189" s="8" t="str">
        <f t="shared" si="3"/>
        <v>Central</v>
      </c>
    </row>
    <row r="190">
      <c r="P190" s="944" t="s">
        <v>3168</v>
      </c>
      <c r="Q190" s="944" t="s">
        <v>904</v>
      </c>
      <c r="S190" s="1" t="s">
        <v>3169</v>
      </c>
      <c r="T190" s="1" t="s">
        <v>558</v>
      </c>
      <c r="U190" s="8" t="str">
        <f t="shared" si="3"/>
        <v>Southern</v>
      </c>
    </row>
    <row r="191">
      <c r="P191" s="944" t="s">
        <v>3170</v>
      </c>
      <c r="Q191" s="944" t="s">
        <v>2868</v>
      </c>
      <c r="S191" s="1" t="s">
        <v>156</v>
      </c>
      <c r="T191" s="1" t="s">
        <v>136</v>
      </c>
      <c r="U191" s="8" t="str">
        <f t="shared" si="3"/>
        <v>Western</v>
      </c>
    </row>
    <row r="192">
      <c r="P192" s="944" t="s">
        <v>3171</v>
      </c>
      <c r="Q192" s="944" t="s">
        <v>904</v>
      </c>
      <c r="S192" s="1" t="s">
        <v>3172</v>
      </c>
      <c r="T192" s="1" t="s">
        <v>1230</v>
      </c>
      <c r="U192" s="8" t="str">
        <f t="shared" si="3"/>
        <v>Western</v>
      </c>
    </row>
    <row r="193">
      <c r="P193" s="944" t="s">
        <v>3173</v>
      </c>
      <c r="Q193" s="944" t="s">
        <v>2868</v>
      </c>
      <c r="S193" s="1" t="s">
        <v>2119</v>
      </c>
      <c r="T193" s="1" t="s">
        <v>136</v>
      </c>
      <c r="U193" s="8" t="str">
        <f t="shared" si="3"/>
        <v>Western</v>
      </c>
    </row>
    <row r="194">
      <c r="P194" s="944" t="s">
        <v>3174</v>
      </c>
      <c r="Q194" s="944" t="s">
        <v>904</v>
      </c>
      <c r="S194" s="1" t="s">
        <v>348</v>
      </c>
      <c r="T194" s="1" t="s">
        <v>1228</v>
      </c>
      <c r="U194" s="8" t="str">
        <f t="shared" si="3"/>
        <v>Western</v>
      </c>
    </row>
    <row r="195">
      <c r="P195" s="944" t="s">
        <v>3175</v>
      </c>
      <c r="Q195" s="944" t="s">
        <v>904</v>
      </c>
      <c r="S195" s="1" t="s">
        <v>157</v>
      </c>
      <c r="T195" s="1" t="s">
        <v>1230</v>
      </c>
      <c r="U195" s="8" t="str">
        <f t="shared" si="3"/>
        <v>Western</v>
      </c>
    </row>
    <row r="196">
      <c r="P196" s="944" t="s">
        <v>3176</v>
      </c>
      <c r="Q196" s="944" t="s">
        <v>2845</v>
      </c>
      <c r="S196" s="1" t="s">
        <v>3177</v>
      </c>
      <c r="T196" s="1" t="s">
        <v>1228</v>
      </c>
      <c r="U196" s="8" t="str">
        <f t="shared" si="3"/>
        <v>Western</v>
      </c>
    </row>
    <row r="197">
      <c r="P197" s="944" t="s">
        <v>3178</v>
      </c>
      <c r="Q197" s="944" t="s">
        <v>934</v>
      </c>
      <c r="S197" s="1" t="s">
        <v>3179</v>
      </c>
      <c r="T197" s="1" t="s">
        <v>516</v>
      </c>
      <c r="U197" s="8" t="str">
        <f t="shared" si="3"/>
        <v>Northern</v>
      </c>
    </row>
    <row r="198">
      <c r="P198" s="944" t="s">
        <v>3180</v>
      </c>
      <c r="Q198" s="944" t="s">
        <v>904</v>
      </c>
      <c r="S198" s="1" t="s">
        <v>1232</v>
      </c>
      <c r="T198" s="1" t="s">
        <v>1232</v>
      </c>
      <c r="U198" s="8" t="str">
        <f t="shared" si="3"/>
        <v>Southern</v>
      </c>
    </row>
    <row r="199">
      <c r="P199" s="944" t="s">
        <v>3181</v>
      </c>
      <c r="Q199" s="944" t="s">
        <v>2868</v>
      </c>
      <c r="S199" s="1" t="s">
        <v>3182</v>
      </c>
      <c r="T199" s="1" t="s">
        <v>281</v>
      </c>
      <c r="U199" s="8" t="str">
        <f t="shared" si="3"/>
        <v>Northern</v>
      </c>
    </row>
    <row r="200">
      <c r="P200" s="944" t="s">
        <v>3183</v>
      </c>
      <c r="Q200" s="944" t="s">
        <v>2868</v>
      </c>
      <c r="S200" s="1" t="s">
        <v>3184</v>
      </c>
      <c r="T200" s="1" t="s">
        <v>558</v>
      </c>
      <c r="U200" s="8" t="str">
        <f t="shared" si="3"/>
        <v>Southern</v>
      </c>
    </row>
    <row r="201">
      <c r="P201" s="944" t="s">
        <v>3185</v>
      </c>
      <c r="Q201" s="944" t="s">
        <v>2845</v>
      </c>
      <c r="S201" s="1" t="s">
        <v>3186</v>
      </c>
      <c r="T201" s="1" t="s">
        <v>1228</v>
      </c>
      <c r="U201" s="8" t="str">
        <f t="shared" si="3"/>
        <v>Western</v>
      </c>
    </row>
    <row r="202">
      <c r="P202" s="944" t="s">
        <v>3187</v>
      </c>
      <c r="Q202" s="944" t="s">
        <v>2868</v>
      </c>
      <c r="S202" s="1" t="s">
        <v>3188</v>
      </c>
      <c r="T202" s="1" t="s">
        <v>634</v>
      </c>
      <c r="U202" s="8" t="str">
        <f t="shared" si="3"/>
        <v>Southern</v>
      </c>
    </row>
    <row r="203">
      <c r="P203" s="944" t="s">
        <v>3189</v>
      </c>
      <c r="Q203" s="944" t="s">
        <v>2845</v>
      </c>
      <c r="S203" s="1" t="s">
        <v>3190</v>
      </c>
      <c r="T203" s="1" t="s">
        <v>492</v>
      </c>
      <c r="U203" s="8" t="str">
        <f t="shared" si="3"/>
        <v>Central</v>
      </c>
    </row>
    <row r="204">
      <c r="P204" s="944" t="s">
        <v>3191</v>
      </c>
      <c r="Q204" s="944" t="s">
        <v>2857</v>
      </c>
      <c r="S204" s="1" t="s">
        <v>3192</v>
      </c>
      <c r="T204" s="1" t="s">
        <v>1228</v>
      </c>
      <c r="U204" s="8" t="str">
        <f t="shared" si="3"/>
        <v>Western</v>
      </c>
    </row>
    <row r="205">
      <c r="P205" s="944" t="s">
        <v>875</v>
      </c>
      <c r="Q205" s="944" t="s">
        <v>934</v>
      </c>
      <c r="S205" s="1" t="s">
        <v>3193</v>
      </c>
      <c r="T205" s="1" t="s">
        <v>136</v>
      </c>
      <c r="U205" s="8" t="str">
        <f t="shared" si="3"/>
        <v>Western</v>
      </c>
    </row>
    <row r="206">
      <c r="P206" s="944" t="s">
        <v>3194</v>
      </c>
      <c r="Q206" s="944" t="s">
        <v>934</v>
      </c>
      <c r="S206" s="1" t="s">
        <v>3195</v>
      </c>
      <c r="T206" s="1" t="s">
        <v>516</v>
      </c>
      <c r="U206" s="8" t="str">
        <f t="shared" si="3"/>
        <v>Northern</v>
      </c>
    </row>
    <row r="207">
      <c r="P207" s="944" t="s">
        <v>3196</v>
      </c>
      <c r="Q207" s="944" t="s">
        <v>934</v>
      </c>
      <c r="S207" s="1" t="s">
        <v>3197</v>
      </c>
      <c r="T207" s="1" t="s">
        <v>516</v>
      </c>
      <c r="U207" s="8" t="str">
        <f t="shared" si="3"/>
        <v>Northern</v>
      </c>
    </row>
    <row r="208">
      <c r="P208" s="944" t="s">
        <v>1952</v>
      </c>
      <c r="Q208" s="944" t="s">
        <v>934</v>
      </c>
      <c r="S208" s="1" t="s">
        <v>297</v>
      </c>
      <c r="T208" s="1" t="s">
        <v>281</v>
      </c>
      <c r="U208" s="8" t="str">
        <f t="shared" si="3"/>
        <v>Southern</v>
      </c>
    </row>
    <row r="209">
      <c r="P209" s="944" t="s">
        <v>837</v>
      </c>
      <c r="Q209" s="944" t="s">
        <v>934</v>
      </c>
      <c r="S209" s="1" t="s">
        <v>558</v>
      </c>
      <c r="T209" s="1" t="s">
        <v>558</v>
      </c>
      <c r="U209" s="8" t="str">
        <f t="shared" si="3"/>
        <v>Southern</v>
      </c>
    </row>
    <row r="210">
      <c r="P210" s="944" t="s">
        <v>3198</v>
      </c>
      <c r="Q210" s="944" t="s">
        <v>934</v>
      </c>
      <c r="S210" s="1" t="s">
        <v>3199</v>
      </c>
      <c r="T210" s="1" t="s">
        <v>1228</v>
      </c>
      <c r="U210" s="8" t="str">
        <f t="shared" si="3"/>
        <v>Western</v>
      </c>
    </row>
    <row r="211">
      <c r="P211" s="944" t="s">
        <v>3200</v>
      </c>
      <c r="Q211" s="944" t="s">
        <v>904</v>
      </c>
      <c r="S211" s="1" t="s">
        <v>3201</v>
      </c>
      <c r="T211" s="1" t="s">
        <v>516</v>
      </c>
      <c r="U211" s="8" t="str">
        <f t="shared" si="3"/>
        <v>Northern</v>
      </c>
    </row>
    <row r="212">
      <c r="P212" s="944" t="s">
        <v>3202</v>
      </c>
      <c r="Q212" s="944" t="s">
        <v>2845</v>
      </c>
      <c r="S212" s="1" t="s">
        <v>3203</v>
      </c>
      <c r="T212" s="1" t="s">
        <v>634</v>
      </c>
      <c r="U212" s="8" t="str">
        <f t="shared" si="3"/>
        <v>Southern</v>
      </c>
    </row>
    <row r="213">
      <c r="P213" s="944" t="s">
        <v>3204</v>
      </c>
      <c r="Q213" s="944" t="s">
        <v>904</v>
      </c>
      <c r="S213" s="1" t="s">
        <v>3205</v>
      </c>
      <c r="T213" s="1" t="s">
        <v>492</v>
      </c>
      <c r="U213" s="8" t="str">
        <f t="shared" si="3"/>
        <v>Central</v>
      </c>
    </row>
    <row r="214">
      <c r="P214" s="944" t="s">
        <v>3206</v>
      </c>
      <c r="Q214" s="944" t="s">
        <v>2845</v>
      </c>
      <c r="S214" s="1" t="s">
        <v>3207</v>
      </c>
      <c r="T214" s="1" t="s">
        <v>281</v>
      </c>
      <c r="U214" s="8" t="str">
        <f t="shared" si="3"/>
        <v>Northern</v>
      </c>
    </row>
    <row r="215">
      <c r="P215" s="944" t="s">
        <v>3208</v>
      </c>
      <c r="Q215" s="944" t="s">
        <v>934</v>
      </c>
      <c r="S215" s="1" t="s">
        <v>1618</v>
      </c>
      <c r="T215" s="1" t="s">
        <v>1231</v>
      </c>
      <c r="U215" s="8" t="str">
        <f t="shared" si="3"/>
        <v>Western</v>
      </c>
    </row>
    <row r="216">
      <c r="P216" s="944" t="s">
        <v>3209</v>
      </c>
      <c r="Q216" s="944" t="s">
        <v>2845</v>
      </c>
      <c r="S216" s="1" t="s">
        <v>3210</v>
      </c>
      <c r="T216" s="1" t="s">
        <v>492</v>
      </c>
      <c r="U216" s="8" t="str">
        <f t="shared" si="3"/>
        <v>Northern</v>
      </c>
    </row>
    <row r="217">
      <c r="P217" s="944" t="s">
        <v>3211</v>
      </c>
      <c r="Q217" s="944" t="s">
        <v>2868</v>
      </c>
      <c r="S217" s="1" t="s">
        <v>3212</v>
      </c>
      <c r="T217" s="1" t="s">
        <v>492</v>
      </c>
      <c r="U217" s="8" t="str">
        <f t="shared" si="3"/>
        <v>Central</v>
      </c>
    </row>
    <row r="218">
      <c r="P218" s="944" t="s">
        <v>3213</v>
      </c>
      <c r="Q218" s="944" t="s">
        <v>934</v>
      </c>
      <c r="S218" s="1" t="s">
        <v>3214</v>
      </c>
      <c r="T218" s="1" t="s">
        <v>136</v>
      </c>
      <c r="U218" s="8" t="str">
        <f t="shared" si="3"/>
        <v>Western</v>
      </c>
    </row>
    <row r="219">
      <c r="P219" s="944" t="s">
        <v>3215</v>
      </c>
      <c r="Q219" s="944" t="s">
        <v>934</v>
      </c>
      <c r="S219" s="1" t="s">
        <v>995</v>
      </c>
      <c r="T219" s="1" t="s">
        <v>634</v>
      </c>
      <c r="U219" s="8" t="str">
        <f t="shared" si="3"/>
        <v>Southern</v>
      </c>
    </row>
    <row r="220">
      <c r="P220" s="944" t="s">
        <v>3216</v>
      </c>
      <c r="Q220" s="944" t="s">
        <v>904</v>
      </c>
      <c r="S220" s="1" t="s">
        <v>3217</v>
      </c>
      <c r="T220" s="1" t="s">
        <v>929</v>
      </c>
      <c r="U220" s="8" t="str">
        <f t="shared" si="3"/>
        <v>Southern</v>
      </c>
    </row>
    <row r="221">
      <c r="P221" s="944" t="s">
        <v>3218</v>
      </c>
      <c r="Q221" s="944" t="s">
        <v>904</v>
      </c>
      <c r="S221" s="1" t="s">
        <v>3219</v>
      </c>
      <c r="T221" s="1" t="s">
        <v>558</v>
      </c>
      <c r="U221" s="8" t="str">
        <f t="shared" si="3"/>
        <v>Southern</v>
      </c>
    </row>
    <row r="222">
      <c r="P222" s="944" t="s">
        <v>3220</v>
      </c>
      <c r="Q222" s="944" t="s">
        <v>2845</v>
      </c>
      <c r="S222" s="1" t="s">
        <v>3221</v>
      </c>
      <c r="T222" s="1" t="s">
        <v>1229</v>
      </c>
      <c r="U222" s="8" t="str">
        <f t="shared" si="3"/>
        <v>Southern</v>
      </c>
    </row>
    <row r="223">
      <c r="P223" s="944" t="s">
        <v>3222</v>
      </c>
      <c r="Q223" s="944" t="s">
        <v>2845</v>
      </c>
      <c r="S223" s="1" t="s">
        <v>3223</v>
      </c>
      <c r="T223" s="1" t="s">
        <v>492</v>
      </c>
      <c r="U223" s="8" t="str">
        <f t="shared" si="3"/>
        <v>Central</v>
      </c>
    </row>
    <row r="224">
      <c r="P224" s="944" t="s">
        <v>3224</v>
      </c>
      <c r="Q224" s="944" t="s">
        <v>934</v>
      </c>
      <c r="S224" s="1" t="s">
        <v>241</v>
      </c>
      <c r="T224" s="1" t="s">
        <v>136</v>
      </c>
      <c r="U224" s="8" t="str">
        <f t="shared" si="3"/>
        <v>Western</v>
      </c>
    </row>
    <row r="225">
      <c r="P225" s="944" t="s">
        <v>3225</v>
      </c>
      <c r="Q225" s="944" t="s">
        <v>904</v>
      </c>
      <c r="S225" s="1" t="s">
        <v>1163</v>
      </c>
      <c r="T225" s="1" t="s">
        <v>1227</v>
      </c>
      <c r="U225" s="8" t="str">
        <f t="shared" si="3"/>
        <v>Southern</v>
      </c>
    </row>
    <row r="226">
      <c r="P226" s="944" t="s">
        <v>3226</v>
      </c>
      <c r="Q226" s="944" t="s">
        <v>2845</v>
      </c>
      <c r="S226" s="1" t="s">
        <v>3227</v>
      </c>
      <c r="T226" s="1" t="s">
        <v>1228</v>
      </c>
      <c r="U226" s="8" t="str">
        <f t="shared" si="3"/>
        <v>Western</v>
      </c>
    </row>
    <row r="227">
      <c r="P227" s="944" t="s">
        <v>3228</v>
      </c>
      <c r="Q227" s="944" t="s">
        <v>2868</v>
      </c>
      <c r="S227" s="1" t="s">
        <v>1190</v>
      </c>
      <c r="T227" s="1" t="s">
        <v>492</v>
      </c>
      <c r="U227" s="8" t="str">
        <f t="shared" si="3"/>
        <v>Central</v>
      </c>
    </row>
    <row r="228">
      <c r="P228" s="944" t="s">
        <v>3229</v>
      </c>
      <c r="Q228" s="944" t="s">
        <v>2845</v>
      </c>
      <c r="S228" s="1" t="s">
        <v>3230</v>
      </c>
      <c r="T228" s="1" t="s">
        <v>1230</v>
      </c>
      <c r="U228" s="8" t="str">
        <f t="shared" si="3"/>
        <v>Western</v>
      </c>
    </row>
    <row r="229">
      <c r="P229" s="944" t="s">
        <v>3231</v>
      </c>
      <c r="Q229" s="944" t="s">
        <v>904</v>
      </c>
      <c r="S229" s="1" t="s">
        <v>3232</v>
      </c>
      <c r="T229" s="1" t="s">
        <v>492</v>
      </c>
      <c r="U229" s="8" t="str">
        <f t="shared" si="3"/>
        <v>Central</v>
      </c>
    </row>
    <row r="230">
      <c r="P230" s="944" t="s">
        <v>3233</v>
      </c>
      <c r="Q230" s="944" t="s">
        <v>934</v>
      </c>
      <c r="S230" s="1" t="s">
        <v>3234</v>
      </c>
      <c r="T230" s="1" t="s">
        <v>516</v>
      </c>
      <c r="U230" s="8" t="str">
        <f t="shared" si="3"/>
        <v>Northern</v>
      </c>
    </row>
    <row r="231">
      <c r="P231" s="944" t="s">
        <v>3235</v>
      </c>
      <c r="Q231" s="944" t="s">
        <v>904</v>
      </c>
      <c r="S231" s="1" t="s">
        <v>3236</v>
      </c>
      <c r="T231" s="1" t="s">
        <v>1231</v>
      </c>
      <c r="U231" s="8" t="str">
        <f t="shared" si="3"/>
        <v>Western</v>
      </c>
    </row>
    <row r="232">
      <c r="P232" s="944" t="s">
        <v>3237</v>
      </c>
      <c r="Q232" s="944" t="s">
        <v>2868</v>
      </c>
      <c r="S232" s="1" t="s">
        <v>3238</v>
      </c>
      <c r="T232" s="1" t="s">
        <v>929</v>
      </c>
      <c r="U232" s="8" t="str">
        <f t="shared" si="3"/>
        <v>Southern</v>
      </c>
    </row>
    <row r="233">
      <c r="P233" s="944" t="s">
        <v>3239</v>
      </c>
      <c r="Q233" s="944" t="s">
        <v>934</v>
      </c>
      <c r="S233" s="1" t="s">
        <v>3240</v>
      </c>
      <c r="T233" s="1" t="s">
        <v>281</v>
      </c>
      <c r="U233" s="8" t="str">
        <f t="shared" si="3"/>
        <v>Northern</v>
      </c>
    </row>
    <row r="234">
      <c r="P234" s="944" t="s">
        <v>3241</v>
      </c>
      <c r="Q234" s="944" t="s">
        <v>2845</v>
      </c>
      <c r="S234" s="1" t="s">
        <v>3242</v>
      </c>
      <c r="T234" s="1" t="s">
        <v>1228</v>
      </c>
      <c r="U234" s="8" t="str">
        <f t="shared" si="3"/>
        <v>Western</v>
      </c>
    </row>
    <row r="235">
      <c r="P235" s="944" t="s">
        <v>3243</v>
      </c>
      <c r="Q235" s="944" t="s">
        <v>2845</v>
      </c>
      <c r="S235" s="1" t="s">
        <v>3244</v>
      </c>
      <c r="T235" s="1" t="s">
        <v>492</v>
      </c>
      <c r="U235" s="8" t="str">
        <f t="shared" si="3"/>
        <v>Western</v>
      </c>
    </row>
    <row r="236">
      <c r="P236" s="944" t="s">
        <v>3245</v>
      </c>
      <c r="Q236" s="944" t="s">
        <v>2845</v>
      </c>
      <c r="S236" s="1" t="s">
        <v>3246</v>
      </c>
      <c r="T236" s="1" t="s">
        <v>492</v>
      </c>
      <c r="U236" s="8" t="str">
        <f t="shared" si="3"/>
        <v>Western</v>
      </c>
    </row>
    <row r="237">
      <c r="P237" s="944" t="s">
        <v>3247</v>
      </c>
      <c r="Q237" s="944" t="s">
        <v>2845</v>
      </c>
      <c r="S237" s="1" t="s">
        <v>3248</v>
      </c>
      <c r="T237" s="1" t="s">
        <v>1228</v>
      </c>
      <c r="U237" s="8" t="str">
        <f t="shared" si="3"/>
        <v>Western</v>
      </c>
    </row>
    <row r="238">
      <c r="P238" s="944" t="s">
        <v>3249</v>
      </c>
      <c r="Q238" s="944" t="s">
        <v>2868</v>
      </c>
      <c r="S238" s="1" t="s">
        <v>3250</v>
      </c>
      <c r="T238" s="1" t="s">
        <v>1231</v>
      </c>
      <c r="U238" s="8" t="str">
        <f t="shared" si="3"/>
        <v>Western</v>
      </c>
    </row>
    <row r="239">
      <c r="P239" s="944" t="s">
        <v>1955</v>
      </c>
      <c r="Q239" s="944" t="s">
        <v>934</v>
      </c>
      <c r="S239" s="1" t="s">
        <v>3251</v>
      </c>
      <c r="T239" s="1" t="s">
        <v>558</v>
      </c>
      <c r="U239" s="8" t="str">
        <f t="shared" si="3"/>
        <v>Southern</v>
      </c>
    </row>
    <row r="240">
      <c r="P240" s="944" t="s">
        <v>2771</v>
      </c>
      <c r="Q240" s="944" t="s">
        <v>2845</v>
      </c>
      <c r="S240" s="1" t="s">
        <v>929</v>
      </c>
      <c r="T240" s="1" t="s">
        <v>929</v>
      </c>
      <c r="U240" s="8" t="str">
        <f t="shared" si="3"/>
        <v>Southern</v>
      </c>
    </row>
    <row r="241">
      <c r="P241" s="944" t="s">
        <v>3252</v>
      </c>
      <c r="Q241" s="944" t="s">
        <v>934</v>
      </c>
      <c r="S241" s="1" t="s">
        <v>3253</v>
      </c>
      <c r="T241" s="1" t="s">
        <v>929</v>
      </c>
      <c r="U241" s="8" t="str">
        <f t="shared" si="3"/>
        <v>Southern</v>
      </c>
    </row>
    <row r="242">
      <c r="P242" s="944" t="s">
        <v>3254</v>
      </c>
      <c r="Q242" s="944" t="s">
        <v>2868</v>
      </c>
      <c r="S242" s="1" t="s">
        <v>3255</v>
      </c>
      <c r="T242" s="1" t="s">
        <v>492</v>
      </c>
      <c r="U242" s="8" t="str">
        <f t="shared" si="3"/>
        <v>Central</v>
      </c>
    </row>
    <row r="243">
      <c r="P243" s="944" t="s">
        <v>3256</v>
      </c>
      <c r="Q243" s="944" t="s">
        <v>934</v>
      </c>
      <c r="S243" s="1" t="s">
        <v>3257</v>
      </c>
      <c r="T243" s="1" t="s">
        <v>1227</v>
      </c>
      <c r="U243" s="8" t="str">
        <f t="shared" si="3"/>
        <v>Southern</v>
      </c>
    </row>
    <row r="244">
      <c r="P244" s="944" t="s">
        <v>3258</v>
      </c>
      <c r="Q244" s="944" t="s">
        <v>2868</v>
      </c>
      <c r="S244" s="1" t="s">
        <v>3259</v>
      </c>
      <c r="T244" s="1" t="s">
        <v>558</v>
      </c>
      <c r="U244" s="8" t="str">
        <f t="shared" si="3"/>
        <v>Southern</v>
      </c>
    </row>
    <row r="245">
      <c r="P245" s="944" t="s">
        <v>3260</v>
      </c>
      <c r="Q245" s="944" t="s">
        <v>904</v>
      </c>
      <c r="S245" s="1" t="s">
        <v>163</v>
      </c>
      <c r="T245" s="1" t="s">
        <v>558</v>
      </c>
      <c r="U245" s="8" t="str">
        <f t="shared" si="3"/>
        <v>Southern</v>
      </c>
    </row>
    <row r="246">
      <c r="P246" s="944" t="s">
        <v>3261</v>
      </c>
      <c r="Q246" s="944" t="s">
        <v>934</v>
      </c>
      <c r="S246" s="1" t="s">
        <v>3262</v>
      </c>
      <c r="T246" s="1" t="s">
        <v>634</v>
      </c>
      <c r="U246" s="8" t="str">
        <f t="shared" si="3"/>
        <v>Southern</v>
      </c>
    </row>
    <row r="247">
      <c r="P247" s="944" t="s">
        <v>3263</v>
      </c>
      <c r="Q247" s="944" t="s">
        <v>2845</v>
      </c>
      <c r="S247" s="1" t="s">
        <v>3264</v>
      </c>
      <c r="T247" s="1" t="s">
        <v>281</v>
      </c>
      <c r="U247" s="8" t="str">
        <f t="shared" si="3"/>
        <v>Northern</v>
      </c>
    </row>
    <row r="248">
      <c r="P248" s="944" t="s">
        <v>3265</v>
      </c>
      <c r="Q248" s="944" t="s">
        <v>904</v>
      </c>
      <c r="S248" s="1" t="s">
        <v>3266</v>
      </c>
      <c r="T248" s="1" t="s">
        <v>634</v>
      </c>
      <c r="U248" s="8" t="str">
        <f t="shared" si="3"/>
        <v>Southern</v>
      </c>
    </row>
    <row r="249">
      <c r="P249" s="944" t="s">
        <v>3267</v>
      </c>
      <c r="Q249" s="944" t="s">
        <v>934</v>
      </c>
      <c r="S249" s="1" t="s">
        <v>3268</v>
      </c>
      <c r="T249" s="1" t="s">
        <v>299</v>
      </c>
      <c r="U249" s="8" t="str">
        <f t="shared" si="3"/>
        <v>Boston</v>
      </c>
    </row>
    <row r="250">
      <c r="P250" s="944" t="s">
        <v>3269</v>
      </c>
      <c r="Q250" s="944" t="s">
        <v>934</v>
      </c>
      <c r="S250" s="1" t="s">
        <v>621</v>
      </c>
      <c r="T250" s="1" t="s">
        <v>1228</v>
      </c>
      <c r="U250" s="8" t="str">
        <f t="shared" si="3"/>
        <v>Western</v>
      </c>
    </row>
    <row r="251">
      <c r="P251" s="944" t="s">
        <v>3270</v>
      </c>
      <c r="Q251" s="944" t="s">
        <v>934</v>
      </c>
      <c r="S251" s="1" t="s">
        <v>3271</v>
      </c>
      <c r="T251" s="1" t="s">
        <v>929</v>
      </c>
      <c r="U251" s="8" t="str">
        <f t="shared" si="3"/>
        <v>Southern</v>
      </c>
    </row>
    <row r="252">
      <c r="P252" s="944" t="s">
        <v>3272</v>
      </c>
      <c r="Q252" s="944" t="s">
        <v>934</v>
      </c>
      <c r="S252" s="1" t="s">
        <v>1568</v>
      </c>
      <c r="T252" s="1" t="s">
        <v>929</v>
      </c>
      <c r="U252" s="8" t="str">
        <f t="shared" si="3"/>
        <v>Southern</v>
      </c>
    </row>
    <row r="253">
      <c r="P253" s="944" t="s">
        <v>3273</v>
      </c>
      <c r="Q253" s="944" t="s">
        <v>934</v>
      </c>
      <c r="S253" s="1" t="s">
        <v>3274</v>
      </c>
      <c r="T253" s="1" t="s">
        <v>516</v>
      </c>
      <c r="U253" s="8" t="str">
        <f t="shared" si="3"/>
        <v>Northern</v>
      </c>
    </row>
    <row r="254">
      <c r="P254" s="944" t="s">
        <v>3275</v>
      </c>
      <c r="Q254" s="944" t="s">
        <v>2845</v>
      </c>
      <c r="S254" s="1" t="s">
        <v>3276</v>
      </c>
      <c r="T254" s="1" t="s">
        <v>136</v>
      </c>
      <c r="U254" s="8" t="str">
        <f t="shared" si="3"/>
        <v>Western</v>
      </c>
    </row>
    <row r="255">
      <c r="P255" s="944" t="s">
        <v>2664</v>
      </c>
      <c r="Q255" s="944" t="s">
        <v>2845</v>
      </c>
      <c r="S255" s="1" t="s">
        <v>3277</v>
      </c>
      <c r="T255" s="1" t="s">
        <v>516</v>
      </c>
      <c r="U255" s="8" t="str">
        <f t="shared" si="3"/>
        <v>Northern</v>
      </c>
    </row>
    <row r="256">
      <c r="P256" s="944" t="s">
        <v>3278</v>
      </c>
      <c r="Q256" s="944" t="s">
        <v>2845</v>
      </c>
      <c r="S256" s="1" t="s">
        <v>3279</v>
      </c>
      <c r="T256" s="1" t="s">
        <v>492</v>
      </c>
      <c r="U256" s="8" t="str">
        <f t="shared" si="3"/>
        <v>Western</v>
      </c>
    </row>
    <row r="257">
      <c r="P257" s="944" t="s">
        <v>3280</v>
      </c>
      <c r="Q257" s="944" t="s">
        <v>2868</v>
      </c>
      <c r="S257" s="1" t="s">
        <v>165</v>
      </c>
      <c r="T257" s="1" t="s">
        <v>1230</v>
      </c>
      <c r="U257" s="8" t="str">
        <f t="shared" si="3"/>
        <v>Western</v>
      </c>
    </row>
    <row r="258">
      <c r="P258" s="944" t="s">
        <v>3281</v>
      </c>
      <c r="Q258" s="944" t="s">
        <v>2845</v>
      </c>
      <c r="S258" s="1" t="s">
        <v>2211</v>
      </c>
      <c r="T258" s="1" t="s">
        <v>492</v>
      </c>
      <c r="U258" s="8" t="str">
        <f t="shared" si="3"/>
        <v>Central</v>
      </c>
    </row>
    <row r="259">
      <c r="P259" s="944" t="s">
        <v>3282</v>
      </c>
      <c r="Q259" s="944" t="s">
        <v>2845</v>
      </c>
      <c r="S259" s="1" t="s">
        <v>1531</v>
      </c>
      <c r="T259" s="1" t="s">
        <v>516</v>
      </c>
      <c r="U259" s="8" t="str">
        <f t="shared" si="3"/>
        <v>Northern</v>
      </c>
    </row>
    <row r="260">
      <c r="P260" s="944" t="s">
        <v>841</v>
      </c>
      <c r="Q260" s="944" t="s">
        <v>2845</v>
      </c>
      <c r="S260" s="1" t="s">
        <v>3283</v>
      </c>
      <c r="T260" s="1" t="s">
        <v>516</v>
      </c>
      <c r="U260" s="8" t="str">
        <f t="shared" si="3"/>
        <v>Northern</v>
      </c>
    </row>
    <row r="261">
      <c r="P261" s="944" t="s">
        <v>3284</v>
      </c>
      <c r="Q261" s="944" t="s">
        <v>2845</v>
      </c>
      <c r="S261" s="1" t="s">
        <v>3285</v>
      </c>
      <c r="T261" s="1" t="s">
        <v>1228</v>
      </c>
      <c r="U261" s="8" t="str">
        <f t="shared" si="3"/>
        <v>Western</v>
      </c>
    </row>
    <row r="262">
      <c r="P262" s="944" t="s">
        <v>3286</v>
      </c>
      <c r="Q262" s="944" t="s">
        <v>904</v>
      </c>
      <c r="S262" s="1" t="s">
        <v>3287</v>
      </c>
      <c r="T262" s="1" t="s">
        <v>1227</v>
      </c>
      <c r="U262" s="8" t="str">
        <f t="shared" si="3"/>
        <v>Southern</v>
      </c>
    </row>
    <row r="263">
      <c r="P263" s="944" t="s">
        <v>3288</v>
      </c>
      <c r="Q263" s="944" t="s">
        <v>2845</v>
      </c>
      <c r="S263" s="1" t="s">
        <v>3289</v>
      </c>
      <c r="T263" s="1" t="s">
        <v>516</v>
      </c>
      <c r="U263" s="8" t="str">
        <f t="shared" si="3"/>
        <v>Northern</v>
      </c>
    </row>
    <row r="264">
      <c r="P264" s="944" t="s">
        <v>3290</v>
      </c>
      <c r="Q264" s="944" t="s">
        <v>2857</v>
      </c>
      <c r="S264" s="1" t="s">
        <v>3291</v>
      </c>
      <c r="T264" s="1" t="s">
        <v>1228</v>
      </c>
      <c r="U264" s="8" t="str">
        <f t="shared" si="3"/>
        <v>Western</v>
      </c>
    </row>
    <row r="265">
      <c r="P265" s="944" t="s">
        <v>3292</v>
      </c>
      <c r="Q265" s="944" t="s">
        <v>934</v>
      </c>
      <c r="S265" s="1" t="s">
        <v>3293</v>
      </c>
      <c r="T265" s="1" t="s">
        <v>929</v>
      </c>
      <c r="U265" s="8" t="str">
        <f t="shared" si="3"/>
        <v>Southern</v>
      </c>
    </row>
    <row r="266">
      <c r="P266" s="944" t="s">
        <v>3294</v>
      </c>
      <c r="Q266" s="944" t="s">
        <v>2845</v>
      </c>
      <c r="S266" s="1" t="s">
        <v>3295</v>
      </c>
      <c r="T266" s="1" t="s">
        <v>634</v>
      </c>
      <c r="U266" s="8" t="str">
        <f t="shared" si="3"/>
        <v>Southern</v>
      </c>
    </row>
    <row r="267">
      <c r="P267" s="944" t="s">
        <v>3296</v>
      </c>
      <c r="Q267" s="944" t="s">
        <v>2845</v>
      </c>
      <c r="S267" s="1" t="s">
        <v>3297</v>
      </c>
      <c r="T267" s="1" t="s">
        <v>558</v>
      </c>
      <c r="U267" s="8" t="str">
        <f t="shared" si="3"/>
        <v>Southern</v>
      </c>
    </row>
    <row r="268">
      <c r="P268" s="944" t="s">
        <v>3298</v>
      </c>
      <c r="Q268" s="944" t="s">
        <v>904</v>
      </c>
      <c r="S268" s="1" t="s">
        <v>3299</v>
      </c>
      <c r="T268" s="1" t="s">
        <v>1228</v>
      </c>
      <c r="U268" s="8" t="str">
        <f t="shared" si="3"/>
        <v>Western</v>
      </c>
    </row>
    <row r="269">
      <c r="P269" s="944" t="s">
        <v>3300</v>
      </c>
      <c r="Q269" s="944" t="s">
        <v>934</v>
      </c>
      <c r="S269" s="1" t="s">
        <v>3301</v>
      </c>
      <c r="T269" s="1" t="s">
        <v>136</v>
      </c>
      <c r="U269" s="8" t="str">
        <f t="shared" si="3"/>
        <v>Western</v>
      </c>
    </row>
    <row r="270">
      <c r="P270" s="944" t="s">
        <v>3302</v>
      </c>
      <c r="Q270" s="944" t="s">
        <v>904</v>
      </c>
      <c r="S270" s="1" t="s">
        <v>3303</v>
      </c>
      <c r="T270" s="1" t="s">
        <v>281</v>
      </c>
      <c r="U270" s="8" t="str">
        <f t="shared" si="3"/>
        <v>Northern</v>
      </c>
    </row>
    <row r="271">
      <c r="P271" s="944" t="s">
        <v>3304</v>
      </c>
      <c r="Q271" s="944" t="s">
        <v>2857</v>
      </c>
      <c r="S271" s="1" t="s">
        <v>3305</v>
      </c>
      <c r="T271" s="1" t="s">
        <v>281</v>
      </c>
      <c r="U271" s="8" t="str">
        <f t="shared" si="3"/>
        <v>Northern</v>
      </c>
    </row>
    <row r="272">
      <c r="P272" s="944" t="s">
        <v>3306</v>
      </c>
      <c r="Q272" s="944" t="s">
        <v>934</v>
      </c>
      <c r="S272" s="1" t="s">
        <v>3307</v>
      </c>
      <c r="T272" s="1" t="s">
        <v>492</v>
      </c>
      <c r="U272" s="8" t="str">
        <f t="shared" si="3"/>
        <v>Central</v>
      </c>
    </row>
    <row r="273">
      <c r="P273" s="944" t="s">
        <v>843</v>
      </c>
      <c r="Q273" s="944" t="s">
        <v>934</v>
      </c>
      <c r="S273" s="1" t="s">
        <v>3309</v>
      </c>
      <c r="T273" s="1" t="s">
        <v>136</v>
      </c>
      <c r="U273" s="8" t="str">
        <f t="shared" si="3"/>
        <v>Western</v>
      </c>
    </row>
    <row r="274">
      <c r="P274" s="944" t="s">
        <v>3310</v>
      </c>
      <c r="Q274" s="944" t="s">
        <v>2868</v>
      </c>
      <c r="S274" s="1" t="s">
        <v>1194</v>
      </c>
      <c r="T274" s="1" t="s">
        <v>634</v>
      </c>
      <c r="U274" s="8" t="str">
        <f t="shared" si="3"/>
        <v>Southern</v>
      </c>
    </row>
    <row r="275">
      <c r="P275" s="944" t="s">
        <v>3311</v>
      </c>
      <c r="Q275" s="944" t="s">
        <v>2845</v>
      </c>
      <c r="S275" s="1" t="s">
        <v>3312</v>
      </c>
      <c r="T275" s="1" t="s">
        <v>281</v>
      </c>
      <c r="U275" s="8" t="str">
        <f t="shared" si="3"/>
        <v>Northern</v>
      </c>
    </row>
    <row r="276">
      <c r="P276" s="944" t="s">
        <v>3313</v>
      </c>
      <c r="Q276" s="944" t="s">
        <v>904</v>
      </c>
      <c r="S276" s="1" t="s">
        <v>3314</v>
      </c>
      <c r="T276" s="1" t="s">
        <v>1231</v>
      </c>
      <c r="U276" s="8" t="str">
        <f t="shared" si="3"/>
        <v>Western</v>
      </c>
    </row>
    <row r="277">
      <c r="P277" s="944" t="s">
        <v>3315</v>
      </c>
      <c r="Q277" s="944" t="s">
        <v>904</v>
      </c>
      <c r="S277" s="1" t="s">
        <v>2265</v>
      </c>
      <c r="T277" s="1" t="s">
        <v>1231</v>
      </c>
      <c r="U277" s="8" t="str">
        <f t="shared" si="3"/>
        <v>Western</v>
      </c>
    </row>
    <row r="278">
      <c r="P278" s="944" t="s">
        <v>3316</v>
      </c>
      <c r="Q278" s="944" t="s">
        <v>934</v>
      </c>
      <c r="S278" s="1" t="s">
        <v>3318</v>
      </c>
      <c r="T278" s="1" t="s">
        <v>492</v>
      </c>
      <c r="U278" s="8" t="str">
        <f t="shared" si="3"/>
        <v>Northern</v>
      </c>
    </row>
    <row r="279">
      <c r="P279" s="944" t="s">
        <v>3319</v>
      </c>
      <c r="Q279" s="944" t="s">
        <v>2845</v>
      </c>
      <c r="S279" s="1" t="s">
        <v>3320</v>
      </c>
      <c r="T279" s="1" t="s">
        <v>492</v>
      </c>
      <c r="U279" s="8" t="str">
        <f t="shared" si="3"/>
        <v>Central</v>
      </c>
    </row>
    <row r="280">
      <c r="P280" s="944" t="s">
        <v>3321</v>
      </c>
      <c r="Q280" s="944" t="s">
        <v>904</v>
      </c>
      <c r="S280" s="1" t="s">
        <v>3322</v>
      </c>
      <c r="T280" s="1" t="s">
        <v>1230</v>
      </c>
      <c r="U280" s="8" t="str">
        <f t="shared" si="3"/>
        <v>Western</v>
      </c>
    </row>
    <row r="281">
      <c r="P281" s="944" t="s">
        <v>3323</v>
      </c>
      <c r="Q281" s="944" t="s">
        <v>934</v>
      </c>
      <c r="S281" s="1" t="s">
        <v>854</v>
      </c>
      <c r="T281" s="1" t="s">
        <v>492</v>
      </c>
      <c r="U281" s="8" t="str">
        <f t="shared" si="3"/>
        <v>Central</v>
      </c>
    </row>
    <row r="282">
      <c r="P282" s="944" t="s">
        <v>3324</v>
      </c>
      <c r="Q282" s="944" t="s">
        <v>2845</v>
      </c>
      <c r="S282" s="1" t="s">
        <v>3326</v>
      </c>
      <c r="T282" s="1" t="s">
        <v>1230</v>
      </c>
      <c r="U282" s="8" t="str">
        <f t="shared" si="3"/>
        <v>Western</v>
      </c>
    </row>
    <row r="283">
      <c r="P283" s="944" t="s">
        <v>3327</v>
      </c>
      <c r="Q283" s="944" t="s">
        <v>2845</v>
      </c>
      <c r="S283" s="1" t="s">
        <v>2151</v>
      </c>
      <c r="T283" s="1" t="s">
        <v>492</v>
      </c>
      <c r="U283" s="8" t="str">
        <f t="shared" si="3"/>
        <v>Central</v>
      </c>
    </row>
    <row r="284">
      <c r="P284" s="944" t="s">
        <v>3329</v>
      </c>
      <c r="Q284" s="944" t="s">
        <v>2845</v>
      </c>
      <c r="S284" s="1" t="s">
        <v>3330</v>
      </c>
      <c r="T284" s="1" t="s">
        <v>1228</v>
      </c>
      <c r="U284" s="8" t="str">
        <f t="shared" si="3"/>
        <v>Western</v>
      </c>
    </row>
    <row r="285">
      <c r="P285" s="944" t="s">
        <v>3331</v>
      </c>
      <c r="Q285" s="944" t="s">
        <v>934</v>
      </c>
      <c r="S285" s="1" t="s">
        <v>3332</v>
      </c>
      <c r="T285" s="1" t="s">
        <v>281</v>
      </c>
      <c r="U285" s="8" t="str">
        <f t="shared" si="3"/>
        <v>Northern</v>
      </c>
    </row>
    <row r="286">
      <c r="P286" s="944" t="s">
        <v>3333</v>
      </c>
      <c r="Q286" s="944" t="s">
        <v>934</v>
      </c>
      <c r="S286" s="1" t="s">
        <v>3334</v>
      </c>
      <c r="T286" s="1" t="s">
        <v>558</v>
      </c>
      <c r="U286" s="8" t="str">
        <f t="shared" si="3"/>
        <v>Southern</v>
      </c>
    </row>
    <row r="287">
      <c r="P287" s="944" t="s">
        <v>3335</v>
      </c>
      <c r="Q287" s="944" t="s">
        <v>904</v>
      </c>
      <c r="S287" s="1" t="s">
        <v>3336</v>
      </c>
      <c r="T287" s="1" t="s">
        <v>281</v>
      </c>
      <c r="U287" s="8" t="str">
        <f t="shared" si="3"/>
        <v>Northern</v>
      </c>
    </row>
    <row r="288">
      <c r="P288" s="944" t="s">
        <v>3338</v>
      </c>
      <c r="Q288" s="944" t="s">
        <v>904</v>
      </c>
      <c r="S288" s="1" t="s">
        <v>3339</v>
      </c>
      <c r="T288" s="1" t="s">
        <v>492</v>
      </c>
      <c r="U288" s="8" t="str">
        <f t="shared" si="3"/>
        <v>Central</v>
      </c>
    </row>
    <row r="289">
      <c r="P289" s="944" t="s">
        <v>3340</v>
      </c>
      <c r="Q289" s="944" t="s">
        <v>2868</v>
      </c>
      <c r="S289" s="1" t="s">
        <v>3341</v>
      </c>
      <c r="T289" s="1" t="s">
        <v>281</v>
      </c>
      <c r="U289" s="8" t="str">
        <f t="shared" si="3"/>
        <v>Northern</v>
      </c>
    </row>
    <row r="290">
      <c r="P290" s="944" t="s">
        <v>3342</v>
      </c>
      <c r="Q290" s="944" t="s">
        <v>934</v>
      </c>
      <c r="S290" s="1" t="s">
        <v>3343</v>
      </c>
      <c r="T290" s="1" t="s">
        <v>136</v>
      </c>
      <c r="U290" s="8" t="str">
        <f t="shared" si="3"/>
        <v>Western</v>
      </c>
    </row>
    <row r="291">
      <c r="P291" s="944" t="s">
        <v>3344</v>
      </c>
      <c r="Q291" s="944" t="s">
        <v>2845</v>
      </c>
      <c r="S291" s="1" t="s">
        <v>2153</v>
      </c>
      <c r="T291" s="1" t="s">
        <v>492</v>
      </c>
      <c r="U291" s="8" t="str">
        <f t="shared" si="3"/>
        <v>Central</v>
      </c>
    </row>
    <row r="292">
      <c r="P292" s="944" t="s">
        <v>3345</v>
      </c>
      <c r="Q292" s="944" t="s">
        <v>904</v>
      </c>
      <c r="S292" s="1" t="s">
        <v>3346</v>
      </c>
      <c r="T292" s="1" t="s">
        <v>516</v>
      </c>
      <c r="U292" s="8" t="str">
        <f t="shared" si="3"/>
        <v>Northern</v>
      </c>
    </row>
    <row r="293">
      <c r="P293" s="944" t="s">
        <v>3348</v>
      </c>
      <c r="Q293" s="944" t="s">
        <v>2845</v>
      </c>
      <c r="S293" s="1" t="s">
        <v>3349</v>
      </c>
      <c r="T293" s="1" t="s">
        <v>634</v>
      </c>
      <c r="U293" s="8" t="str">
        <f t="shared" si="3"/>
        <v>Southern</v>
      </c>
    </row>
    <row r="294">
      <c r="P294" s="944" t="s">
        <v>3350</v>
      </c>
      <c r="Q294" s="944" t="s">
        <v>934</v>
      </c>
      <c r="S294" s="1" t="s">
        <v>3351</v>
      </c>
      <c r="T294" s="1" t="s">
        <v>634</v>
      </c>
      <c r="U294" s="8" t="str">
        <f t="shared" si="3"/>
        <v>Southern</v>
      </c>
    </row>
    <row r="295">
      <c r="P295" s="944" t="s">
        <v>3352</v>
      </c>
      <c r="Q295" s="944" t="s">
        <v>934</v>
      </c>
      <c r="S295" s="1" t="s">
        <v>3353</v>
      </c>
      <c r="T295" s="1" t="s">
        <v>492</v>
      </c>
      <c r="U295" s="8" t="str">
        <f t="shared" si="3"/>
        <v>Central</v>
      </c>
    </row>
    <row r="296">
      <c r="P296" s="944" t="s">
        <v>3354</v>
      </c>
      <c r="Q296" s="944" t="s">
        <v>904</v>
      </c>
      <c r="S296" s="1" t="s">
        <v>3355</v>
      </c>
      <c r="T296" s="1" t="s">
        <v>281</v>
      </c>
      <c r="U296" s="8" t="str">
        <f t="shared" si="3"/>
        <v>Northern</v>
      </c>
    </row>
    <row r="297">
      <c r="P297" s="944" t="s">
        <v>3356</v>
      </c>
      <c r="Q297" s="944" t="s">
        <v>2868</v>
      </c>
      <c r="S297" s="1" t="s">
        <v>3357</v>
      </c>
      <c r="T297" s="1" t="s">
        <v>1229</v>
      </c>
      <c r="U297" s="8" t="str">
        <f t="shared" si="3"/>
        <v>Southern</v>
      </c>
    </row>
    <row r="298">
      <c r="P298" s="944" t="s">
        <v>3358</v>
      </c>
      <c r="Q298" s="944" t="s">
        <v>934</v>
      </c>
      <c r="S298" s="1" t="s">
        <v>470</v>
      </c>
      <c r="T298" s="1" t="s">
        <v>1230</v>
      </c>
      <c r="U298" s="8" t="str">
        <f t="shared" si="3"/>
        <v>Western</v>
      </c>
    </row>
    <row r="299">
      <c r="P299" s="944" t="s">
        <v>3359</v>
      </c>
      <c r="Q299" s="944" t="s">
        <v>2868</v>
      </c>
      <c r="S299" s="1" t="s">
        <v>3360</v>
      </c>
      <c r="T299" s="1" t="s">
        <v>516</v>
      </c>
      <c r="U299" s="8" t="str">
        <f t="shared" si="3"/>
        <v>Northern</v>
      </c>
    </row>
    <row r="300">
      <c r="P300" s="944" t="s">
        <v>3361</v>
      </c>
      <c r="Q300" s="944" t="s">
        <v>934</v>
      </c>
      <c r="S300" s="1" t="s">
        <v>3362</v>
      </c>
      <c r="T300" s="1" t="s">
        <v>281</v>
      </c>
      <c r="U300" s="8" t="str">
        <f t="shared" si="3"/>
        <v>Northern</v>
      </c>
    </row>
    <row r="301">
      <c r="P301" s="944" t="s">
        <v>3361</v>
      </c>
      <c r="Q301" s="944" t="s">
        <v>934</v>
      </c>
      <c r="S301" s="1" t="s">
        <v>3363</v>
      </c>
      <c r="T301" s="1" t="s">
        <v>1227</v>
      </c>
      <c r="U301" s="8" t="str">
        <f t="shared" si="3"/>
        <v>Southern</v>
      </c>
    </row>
    <row r="302">
      <c r="P302" s="944" t="s">
        <v>3364</v>
      </c>
      <c r="Q302" s="944" t="s">
        <v>934</v>
      </c>
      <c r="S302" s="1" t="s">
        <v>3365</v>
      </c>
      <c r="T302" s="1" t="s">
        <v>281</v>
      </c>
      <c r="U302" s="8" t="str">
        <f t="shared" si="3"/>
        <v>Northern</v>
      </c>
    </row>
    <row r="303">
      <c r="P303" s="944" t="s">
        <v>3366</v>
      </c>
      <c r="Q303" s="944" t="s">
        <v>934</v>
      </c>
      <c r="S303" s="1" t="s">
        <v>3367</v>
      </c>
      <c r="T303" s="1" t="s">
        <v>1228</v>
      </c>
      <c r="U303" s="8" t="str">
        <f t="shared" si="3"/>
        <v>Western</v>
      </c>
    </row>
    <row r="304">
      <c r="P304" s="944" t="s">
        <v>3368</v>
      </c>
      <c r="Q304" s="944" t="s">
        <v>2868</v>
      </c>
      <c r="S304" s="1" t="s">
        <v>2164</v>
      </c>
      <c r="T304" s="1" t="s">
        <v>492</v>
      </c>
      <c r="U304" s="8" t="str">
        <f t="shared" si="3"/>
        <v>Central</v>
      </c>
    </row>
    <row r="305">
      <c r="P305" s="944" t="s">
        <v>3369</v>
      </c>
      <c r="Q305" s="944" t="s">
        <v>934</v>
      </c>
      <c r="S305" s="1" t="s">
        <v>3370</v>
      </c>
      <c r="T305" s="1" t="s">
        <v>492</v>
      </c>
      <c r="U305" s="8" t="str">
        <f t="shared" si="3"/>
        <v>Central</v>
      </c>
    </row>
    <row r="306">
      <c r="P306" s="944" t="s">
        <v>3371</v>
      </c>
      <c r="Q306" s="944" t="s">
        <v>904</v>
      </c>
      <c r="S306" s="1" t="s">
        <v>3372</v>
      </c>
      <c r="T306" s="1" t="s">
        <v>281</v>
      </c>
      <c r="U306" s="8" t="str">
        <f t="shared" si="3"/>
        <v>Northern</v>
      </c>
    </row>
    <row r="307">
      <c r="P307" s="944" t="s">
        <v>3373</v>
      </c>
      <c r="Q307" s="944" t="s">
        <v>2845</v>
      </c>
      <c r="S307" s="1" t="s">
        <v>3374</v>
      </c>
      <c r="T307" s="1" t="s">
        <v>1230</v>
      </c>
      <c r="U307" s="8" t="str">
        <f t="shared" si="3"/>
        <v>Central</v>
      </c>
    </row>
    <row r="308">
      <c r="P308" s="944" t="s">
        <v>3375</v>
      </c>
      <c r="Q308" s="944" t="s">
        <v>904</v>
      </c>
      <c r="S308" s="1" t="s">
        <v>3376</v>
      </c>
      <c r="T308" s="1" t="s">
        <v>558</v>
      </c>
      <c r="U308" s="8" t="str">
        <f t="shared" si="3"/>
        <v>Southern</v>
      </c>
    </row>
    <row r="309">
      <c r="P309" s="944" t="s">
        <v>3377</v>
      </c>
      <c r="Q309" s="944" t="s">
        <v>2868</v>
      </c>
      <c r="S309" s="1" t="s">
        <v>3378</v>
      </c>
      <c r="T309" s="1" t="s">
        <v>281</v>
      </c>
      <c r="U309" s="8" t="str">
        <f t="shared" si="3"/>
        <v>Southern</v>
      </c>
    </row>
    <row r="310">
      <c r="P310" s="944" t="s">
        <v>3379</v>
      </c>
      <c r="Q310" s="944" t="s">
        <v>904</v>
      </c>
      <c r="S310" s="1" t="s">
        <v>646</v>
      </c>
      <c r="T310" s="1" t="s">
        <v>1231</v>
      </c>
      <c r="U310" s="8" t="str">
        <f t="shared" si="3"/>
        <v>Western</v>
      </c>
    </row>
    <row r="311">
      <c r="P311" s="944" t="s">
        <v>3380</v>
      </c>
      <c r="Q311" s="944" t="s">
        <v>934</v>
      </c>
      <c r="S311" s="1" t="s">
        <v>3381</v>
      </c>
      <c r="T311" s="1" t="s">
        <v>929</v>
      </c>
      <c r="U311" s="8" t="str">
        <f t="shared" si="3"/>
        <v>Southern</v>
      </c>
    </row>
    <row r="312">
      <c r="P312" s="944" t="s">
        <v>3382</v>
      </c>
      <c r="Q312" s="944" t="s">
        <v>2868</v>
      </c>
      <c r="S312" s="1" t="s">
        <v>647</v>
      </c>
      <c r="T312" s="1" t="s">
        <v>492</v>
      </c>
      <c r="U312" s="8" t="str">
        <f t="shared" si="3"/>
        <v>Central</v>
      </c>
    </row>
    <row r="313">
      <c r="P313" s="944" t="s">
        <v>3383</v>
      </c>
      <c r="Q313" s="944" t="s">
        <v>904</v>
      </c>
      <c r="S313" s="1" t="s">
        <v>3384</v>
      </c>
      <c r="T313" s="1" t="s">
        <v>136</v>
      </c>
      <c r="U313" s="8" t="str">
        <f t="shared" si="3"/>
        <v>Western</v>
      </c>
    </row>
    <row r="314">
      <c r="P314" s="944" t="s">
        <v>3385</v>
      </c>
      <c r="Q314" s="944" t="s">
        <v>2845</v>
      </c>
      <c r="S314" s="1" t="s">
        <v>119</v>
      </c>
      <c r="T314" s="1" t="s">
        <v>1228</v>
      </c>
      <c r="U314" s="8" t="str">
        <f t="shared" si="3"/>
        <v>Western</v>
      </c>
    </row>
    <row r="315">
      <c r="P315" s="944" t="s">
        <v>3386</v>
      </c>
      <c r="Q315" s="944" t="s">
        <v>2845</v>
      </c>
      <c r="S315" s="1" t="s">
        <v>3387</v>
      </c>
      <c r="T315" s="1" t="s">
        <v>281</v>
      </c>
      <c r="U315" s="8" t="str">
        <f t="shared" si="3"/>
        <v>Southern</v>
      </c>
    </row>
    <row r="316">
      <c r="P316" s="944" t="s">
        <v>3388</v>
      </c>
      <c r="Q316" s="944" t="s">
        <v>2868</v>
      </c>
      <c r="S316" s="1" t="s">
        <v>3389</v>
      </c>
      <c r="T316" s="1" t="s">
        <v>281</v>
      </c>
      <c r="U316" s="8" t="str">
        <f t="shared" si="3"/>
        <v>Northern</v>
      </c>
    </row>
    <row r="317">
      <c r="P317" s="944" t="s">
        <v>3390</v>
      </c>
      <c r="Q317" s="944" t="s">
        <v>904</v>
      </c>
      <c r="S317" s="1" t="s">
        <v>648</v>
      </c>
      <c r="T317" s="1" t="s">
        <v>492</v>
      </c>
      <c r="U317" s="8" t="str">
        <f t="shared" si="3"/>
        <v>Central</v>
      </c>
    </row>
    <row r="318">
      <c r="P318" s="944" t="s">
        <v>3391</v>
      </c>
      <c r="Q318" s="944" t="s">
        <v>2845</v>
      </c>
      <c r="S318" s="1" t="s">
        <v>3392</v>
      </c>
      <c r="T318" s="1" t="s">
        <v>558</v>
      </c>
      <c r="U318" s="8" t="str">
        <f t="shared" si="3"/>
        <v>Southern</v>
      </c>
    </row>
    <row r="319">
      <c r="P319" s="944" t="s">
        <v>3393</v>
      </c>
      <c r="Q319" s="944" t="s">
        <v>934</v>
      </c>
      <c r="S319" s="1" t="s">
        <v>3394</v>
      </c>
      <c r="T319" s="1" t="s">
        <v>1227</v>
      </c>
      <c r="U319" s="8" t="str">
        <f t="shared" si="3"/>
        <v>Southern</v>
      </c>
    </row>
    <row r="320">
      <c r="P320" s="944" t="s">
        <v>3395</v>
      </c>
      <c r="Q320" s="944" t="s">
        <v>904</v>
      </c>
      <c r="S320" s="1" t="s">
        <v>3396</v>
      </c>
      <c r="T320" s="1" t="s">
        <v>136</v>
      </c>
      <c r="U320" s="8" t="str">
        <f t="shared" si="3"/>
        <v>Western</v>
      </c>
    </row>
    <row r="321">
      <c r="P321" s="944" t="s">
        <v>3397</v>
      </c>
      <c r="Q321" s="944" t="s">
        <v>904</v>
      </c>
      <c r="S321" s="1" t="s">
        <v>3398</v>
      </c>
      <c r="T321" s="1" t="s">
        <v>516</v>
      </c>
      <c r="U321" s="8" t="str">
        <f t="shared" si="3"/>
        <v>Northern</v>
      </c>
    </row>
    <row r="322">
      <c r="P322" s="944" t="s">
        <v>3399</v>
      </c>
      <c r="Q322" s="944" t="s">
        <v>2845</v>
      </c>
      <c r="S322" s="1" t="s">
        <v>3400</v>
      </c>
      <c r="T322" s="1" t="s">
        <v>492</v>
      </c>
      <c r="U322" s="8" t="str">
        <f t="shared" si="3"/>
        <v>Central</v>
      </c>
    </row>
    <row r="323">
      <c r="P323" s="944" t="s">
        <v>3401</v>
      </c>
      <c r="Q323" s="944" t="s">
        <v>904</v>
      </c>
      <c r="S323" s="1" t="s">
        <v>3402</v>
      </c>
      <c r="T323" s="1" t="s">
        <v>929</v>
      </c>
      <c r="U323" s="8" t="str">
        <f t="shared" si="3"/>
        <v>Southern</v>
      </c>
    </row>
    <row r="324">
      <c r="P324" s="944" t="s">
        <v>3403</v>
      </c>
      <c r="Q324" s="944" t="s">
        <v>934</v>
      </c>
      <c r="S324" s="1" t="s">
        <v>3404</v>
      </c>
      <c r="T324" s="1" t="s">
        <v>492</v>
      </c>
      <c r="U324" s="8" t="str">
        <f t="shared" si="3"/>
        <v>Central</v>
      </c>
    </row>
    <row r="325">
      <c r="P325" s="944" t="s">
        <v>3405</v>
      </c>
      <c r="Q325" s="944" t="s">
        <v>2868</v>
      </c>
      <c r="S325" s="1" t="s">
        <v>3406</v>
      </c>
      <c r="T325" s="1" t="s">
        <v>516</v>
      </c>
      <c r="U325" s="8" t="str">
        <f t="shared" si="3"/>
        <v>Northern</v>
      </c>
    </row>
    <row r="326">
      <c r="P326" s="944" t="s">
        <v>3407</v>
      </c>
      <c r="Q326" s="944" t="s">
        <v>2868</v>
      </c>
      <c r="S326" s="1" t="s">
        <v>3408</v>
      </c>
      <c r="T326" s="1" t="s">
        <v>1230</v>
      </c>
      <c r="U326" s="8" t="str">
        <f t="shared" si="3"/>
        <v>Western</v>
      </c>
    </row>
    <row r="327">
      <c r="P327" s="944" t="s">
        <v>3409</v>
      </c>
      <c r="Q327" s="944" t="s">
        <v>904</v>
      </c>
      <c r="S327" s="1" t="s">
        <v>3410</v>
      </c>
      <c r="T327" s="1" t="s">
        <v>1228</v>
      </c>
      <c r="U327" s="8" t="str">
        <f t="shared" si="3"/>
        <v>Western</v>
      </c>
    </row>
    <row r="328">
      <c r="P328" s="944" t="s">
        <v>3411</v>
      </c>
      <c r="Q328" s="944" t="s">
        <v>2868</v>
      </c>
      <c r="S328" s="1" t="s">
        <v>3412</v>
      </c>
      <c r="T328" s="1" t="s">
        <v>1229</v>
      </c>
      <c r="U328" s="8" t="str">
        <f t="shared" si="3"/>
        <v>Southern</v>
      </c>
    </row>
    <row r="329">
      <c r="P329" s="944" t="s">
        <v>3413</v>
      </c>
      <c r="Q329" s="944" t="s">
        <v>2845</v>
      </c>
      <c r="S329" s="1" t="s">
        <v>3414</v>
      </c>
      <c r="T329" s="1" t="s">
        <v>492</v>
      </c>
      <c r="U329" s="8" t="str">
        <f t="shared" si="3"/>
        <v>Northern</v>
      </c>
    </row>
    <row r="330">
      <c r="P330" s="944" t="s">
        <v>3415</v>
      </c>
      <c r="Q330" s="944" t="s">
        <v>2845</v>
      </c>
      <c r="S330" s="1" t="s">
        <v>3416</v>
      </c>
      <c r="T330" s="1" t="s">
        <v>1230</v>
      </c>
      <c r="U330" s="8" t="str">
        <f t="shared" si="3"/>
        <v>Western</v>
      </c>
    </row>
    <row r="331">
      <c r="P331" s="944" t="s">
        <v>3417</v>
      </c>
      <c r="Q331" s="944" t="s">
        <v>934</v>
      </c>
      <c r="S331" s="1" t="s">
        <v>3418</v>
      </c>
      <c r="T331" s="1" t="s">
        <v>281</v>
      </c>
      <c r="U331" s="8" t="str">
        <f t="shared" si="3"/>
        <v>Northern</v>
      </c>
    </row>
    <row r="332">
      <c r="P332" s="944" t="s">
        <v>3419</v>
      </c>
      <c r="Q332" s="944" t="s">
        <v>2845</v>
      </c>
      <c r="S332" s="1" t="s">
        <v>3420</v>
      </c>
      <c r="T332" s="1" t="s">
        <v>1231</v>
      </c>
      <c r="U332" s="8" t="str">
        <f t="shared" si="3"/>
        <v>Western</v>
      </c>
    </row>
    <row r="333">
      <c r="P333" s="944" t="s">
        <v>2597</v>
      </c>
      <c r="Q333" s="944" t="s">
        <v>2868</v>
      </c>
      <c r="S333" s="1" t="s">
        <v>3421</v>
      </c>
      <c r="T333" s="1" t="s">
        <v>492</v>
      </c>
      <c r="U333" s="8" t="str">
        <f t="shared" si="3"/>
        <v>Central</v>
      </c>
    </row>
    <row r="334">
      <c r="P334" s="944" t="s">
        <v>3422</v>
      </c>
      <c r="Q334" s="944" t="s">
        <v>934</v>
      </c>
      <c r="S334" s="1" t="s">
        <v>2390</v>
      </c>
      <c r="T334" s="1" t="s">
        <v>281</v>
      </c>
      <c r="U334" s="8" t="str">
        <f t="shared" si="3"/>
        <v>Southern</v>
      </c>
    </row>
    <row r="335">
      <c r="P335" s="944" t="s">
        <v>883</v>
      </c>
      <c r="Q335" s="944" t="s">
        <v>934</v>
      </c>
      <c r="S335" s="1" t="s">
        <v>3423</v>
      </c>
      <c r="T335" s="1" t="s">
        <v>634</v>
      </c>
      <c r="U335" s="8" t="str">
        <f t="shared" si="3"/>
        <v>Southern</v>
      </c>
    </row>
    <row r="336">
      <c r="P336" s="944" t="s">
        <v>3424</v>
      </c>
      <c r="Q336" s="944" t="s">
        <v>2845</v>
      </c>
      <c r="S336" s="1" t="s">
        <v>3425</v>
      </c>
      <c r="T336" s="1" t="s">
        <v>558</v>
      </c>
      <c r="U336" s="8" t="str">
        <f t="shared" si="3"/>
        <v>Southern</v>
      </c>
    </row>
    <row r="337">
      <c r="P337" s="944" t="s">
        <v>3426</v>
      </c>
      <c r="Q337" s="944" t="s">
        <v>904</v>
      </c>
      <c r="S337" s="1" t="s">
        <v>3427</v>
      </c>
      <c r="T337" s="1" t="s">
        <v>558</v>
      </c>
      <c r="U337" s="8" t="str">
        <f t="shared" si="3"/>
        <v>Southern</v>
      </c>
    </row>
    <row r="338">
      <c r="P338" s="944" t="s">
        <v>2677</v>
      </c>
      <c r="Q338" s="944" t="s">
        <v>2868</v>
      </c>
      <c r="S338" s="1" t="s">
        <v>3428</v>
      </c>
      <c r="T338" s="1" t="s">
        <v>136</v>
      </c>
      <c r="U338" s="8" t="str">
        <f t="shared" si="3"/>
        <v>Western</v>
      </c>
    </row>
    <row r="339">
      <c r="P339" s="944" t="s">
        <v>3429</v>
      </c>
      <c r="Q339" s="944" t="s">
        <v>2845</v>
      </c>
      <c r="S339" s="1" t="s">
        <v>2327</v>
      </c>
      <c r="T339" s="1" t="s">
        <v>929</v>
      </c>
      <c r="U339" s="8" t="str">
        <f t="shared" si="3"/>
        <v>Southern</v>
      </c>
    </row>
    <row r="340">
      <c r="P340" s="944" t="s">
        <v>3430</v>
      </c>
      <c r="Q340" s="944" t="s">
        <v>2845</v>
      </c>
      <c r="S340" s="1" t="s">
        <v>3431</v>
      </c>
      <c r="T340" s="1" t="s">
        <v>1230</v>
      </c>
      <c r="U340" s="8" t="str">
        <f t="shared" si="3"/>
        <v>Western</v>
      </c>
    </row>
    <row r="341">
      <c r="P341" s="944" t="s">
        <v>3432</v>
      </c>
      <c r="Q341" s="944" t="s">
        <v>934</v>
      </c>
      <c r="S341" s="1" t="s">
        <v>1839</v>
      </c>
      <c r="T341" s="1" t="s">
        <v>1231</v>
      </c>
      <c r="U341" s="8" t="str">
        <f t="shared" si="3"/>
        <v>Western</v>
      </c>
    </row>
    <row r="342">
      <c r="P342" s="944" t="s">
        <v>3433</v>
      </c>
      <c r="Q342" s="944" t="s">
        <v>904</v>
      </c>
      <c r="S342" s="1" t="s">
        <v>3434</v>
      </c>
      <c r="T342" s="1" t="s">
        <v>1228</v>
      </c>
      <c r="U342" s="8" t="str">
        <f t="shared" si="3"/>
        <v>Western</v>
      </c>
    </row>
    <row r="343">
      <c r="P343" s="944" t="s">
        <v>3435</v>
      </c>
      <c r="Q343" s="944" t="s">
        <v>2868</v>
      </c>
      <c r="S343" s="1" t="s">
        <v>3436</v>
      </c>
      <c r="T343" s="1" t="s">
        <v>281</v>
      </c>
      <c r="U343" s="8" t="str">
        <f t="shared" si="3"/>
        <v>Northern</v>
      </c>
    </row>
    <row r="344">
      <c r="P344" s="944" t="s">
        <v>3437</v>
      </c>
      <c r="Q344" s="944" t="s">
        <v>2845</v>
      </c>
      <c r="S344" s="1" t="s">
        <v>3438</v>
      </c>
      <c r="T344" s="1" t="s">
        <v>492</v>
      </c>
      <c r="U344" s="8" t="str">
        <f t="shared" si="3"/>
        <v>Central</v>
      </c>
    </row>
    <row r="345">
      <c r="P345" s="944" t="s">
        <v>3439</v>
      </c>
      <c r="Q345" s="944" t="s">
        <v>2868</v>
      </c>
      <c r="S345" s="1" t="s">
        <v>3440</v>
      </c>
      <c r="T345" s="1" t="s">
        <v>281</v>
      </c>
      <c r="U345" s="8" t="str">
        <f t="shared" si="3"/>
        <v>Northern</v>
      </c>
    </row>
    <row r="346">
      <c r="P346" s="944" t="s">
        <v>3441</v>
      </c>
      <c r="Q346" s="944" t="s">
        <v>904</v>
      </c>
      <c r="S346" s="1" t="s">
        <v>2212</v>
      </c>
      <c r="T346" s="1" t="s">
        <v>1228</v>
      </c>
      <c r="U346" s="8" t="str">
        <f t="shared" si="3"/>
        <v>Western</v>
      </c>
    </row>
    <row r="347">
      <c r="P347" s="944" t="s">
        <v>3442</v>
      </c>
      <c r="Q347" s="944" t="s">
        <v>934</v>
      </c>
      <c r="S347" s="1" t="s">
        <v>3443</v>
      </c>
      <c r="T347" s="1" t="s">
        <v>299</v>
      </c>
      <c r="U347" s="8" t="str">
        <f t="shared" si="3"/>
        <v>Boston</v>
      </c>
    </row>
    <row r="348">
      <c r="P348" s="944" t="s">
        <v>3444</v>
      </c>
      <c r="Q348" s="944" t="s">
        <v>934</v>
      </c>
      <c r="S348" s="1" t="s">
        <v>3445</v>
      </c>
      <c r="T348" s="1" t="s">
        <v>281</v>
      </c>
      <c r="U348" s="8" t="str">
        <f t="shared" si="3"/>
        <v>Northern</v>
      </c>
    </row>
    <row r="349">
      <c r="P349" s="944" t="s">
        <v>3446</v>
      </c>
      <c r="Q349" s="944" t="s">
        <v>2845</v>
      </c>
      <c r="S349" s="1" t="s">
        <v>492</v>
      </c>
      <c r="T349" s="1" t="s">
        <v>492</v>
      </c>
      <c r="U349" s="8" t="str">
        <f t="shared" si="3"/>
        <v>#N/A</v>
      </c>
    </row>
    <row r="350">
      <c r="P350" s="944" t="s">
        <v>3447</v>
      </c>
      <c r="Q350" s="944" t="s">
        <v>904</v>
      </c>
      <c r="S350" s="1" t="s">
        <v>3448</v>
      </c>
      <c r="T350" s="1" t="s">
        <v>1231</v>
      </c>
      <c r="U350" s="8" t="str">
        <f t="shared" si="3"/>
        <v>Western</v>
      </c>
    </row>
    <row r="351">
      <c r="P351" s="944" t="s">
        <v>3449</v>
      </c>
      <c r="Q351" s="944" t="s">
        <v>934</v>
      </c>
      <c r="S351" s="1" t="s">
        <v>3450</v>
      </c>
      <c r="T351" s="1" t="s">
        <v>558</v>
      </c>
      <c r="U351" s="8" t="str">
        <f t="shared" si="3"/>
        <v>Southern</v>
      </c>
    </row>
    <row r="352">
      <c r="P352" s="944" t="s">
        <v>3451</v>
      </c>
      <c r="Q352" s="944" t="s">
        <v>904</v>
      </c>
    </row>
    <row r="353">
      <c r="P353" s="944" t="s">
        <v>3452</v>
      </c>
      <c r="Q353" s="944" t="s">
        <v>934</v>
      </c>
    </row>
    <row r="354">
      <c r="P354" s="944" t="s">
        <v>3453</v>
      </c>
      <c r="Q354" s="944" t="s">
        <v>2868</v>
      </c>
    </row>
    <row r="355">
      <c r="P355" s="944" t="s">
        <v>3454</v>
      </c>
      <c r="Q355" s="944" t="s">
        <v>2845</v>
      </c>
    </row>
    <row r="356">
      <c r="P356" s="944" t="s">
        <v>3455</v>
      </c>
      <c r="Q356" s="944" t="s">
        <v>2845</v>
      </c>
    </row>
    <row r="357">
      <c r="P357" s="944" t="s">
        <v>3456</v>
      </c>
      <c r="Q357" s="944" t="s">
        <v>2845</v>
      </c>
    </row>
    <row r="358">
      <c r="P358" s="944" t="s">
        <v>3457</v>
      </c>
      <c r="Q358" s="944" t="s">
        <v>2845</v>
      </c>
    </row>
    <row r="359">
      <c r="P359" s="944" t="s">
        <v>3458</v>
      </c>
      <c r="Q359" s="944" t="s">
        <v>934</v>
      </c>
    </row>
    <row r="360">
      <c r="P360" s="944" t="s">
        <v>3459</v>
      </c>
      <c r="Q360" s="944" t="s">
        <v>2845</v>
      </c>
    </row>
    <row r="361">
      <c r="P361" s="944" t="s">
        <v>3460</v>
      </c>
      <c r="Q361" s="944" t="s">
        <v>934</v>
      </c>
    </row>
    <row r="362">
      <c r="P362" s="944" t="s">
        <v>3461</v>
      </c>
      <c r="Q362" s="944" t="s">
        <v>934</v>
      </c>
    </row>
    <row r="363">
      <c r="P363" s="944" t="s">
        <v>3462</v>
      </c>
      <c r="Q363" s="944" t="s">
        <v>934</v>
      </c>
    </row>
    <row r="364">
      <c r="P364" s="944" t="s">
        <v>3463</v>
      </c>
      <c r="Q364" s="944" t="s">
        <v>904</v>
      </c>
    </row>
    <row r="365">
      <c r="P365" s="944" t="s">
        <v>3464</v>
      </c>
      <c r="Q365" s="944" t="s">
        <v>2868</v>
      </c>
    </row>
    <row r="366">
      <c r="P366" s="944" t="s">
        <v>3465</v>
      </c>
      <c r="Q366" s="944" t="s">
        <v>904</v>
      </c>
    </row>
    <row r="367">
      <c r="P367" s="944" t="s">
        <v>3466</v>
      </c>
      <c r="Q367" s="944" t="s">
        <v>934</v>
      </c>
    </row>
    <row r="368">
      <c r="P368" s="944" t="s">
        <v>3467</v>
      </c>
      <c r="Q368" s="944" t="s">
        <v>2857</v>
      </c>
    </row>
    <row r="369">
      <c r="P369" s="944" t="s">
        <v>3468</v>
      </c>
      <c r="Q369" s="944" t="s">
        <v>904</v>
      </c>
    </row>
    <row r="370">
      <c r="P370" s="944" t="s">
        <v>3469</v>
      </c>
      <c r="Q370" s="944" t="s">
        <v>934</v>
      </c>
    </row>
    <row r="371">
      <c r="P371" s="944" t="s">
        <v>3470</v>
      </c>
      <c r="Q371" s="944" t="s">
        <v>934</v>
      </c>
    </row>
    <row r="372">
      <c r="P372" s="944" t="s">
        <v>3471</v>
      </c>
      <c r="Q372" s="944" t="s">
        <v>2845</v>
      </c>
    </row>
    <row r="373">
      <c r="P373" s="944" t="s">
        <v>3472</v>
      </c>
      <c r="Q373" s="944" t="s">
        <v>2845</v>
      </c>
    </row>
  </sheetData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2" max="12" width="13.25"/>
  </cols>
  <sheetData>
    <row r="1">
      <c r="A1" s="167"/>
      <c r="B1" s="168" t="s">
        <v>60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</row>
    <row r="2">
      <c r="A2" s="169" t="s">
        <v>172</v>
      </c>
      <c r="B2" s="170" t="s">
        <v>174</v>
      </c>
      <c r="C2" s="171" t="s">
        <v>693</v>
      </c>
      <c r="D2" s="608" t="s">
        <v>694</v>
      </c>
      <c r="E2" s="608" t="s">
        <v>695</v>
      </c>
      <c r="F2" s="608" t="s">
        <v>179</v>
      </c>
      <c r="G2" s="608" t="s">
        <v>696</v>
      </c>
      <c r="H2" s="173" t="s">
        <v>697</v>
      </c>
      <c r="I2" s="174" t="s">
        <v>84</v>
      </c>
      <c r="J2" s="170" t="s">
        <v>698</v>
      </c>
      <c r="K2" s="175" t="s">
        <v>699</v>
      </c>
      <c r="L2" s="173" t="s">
        <v>89</v>
      </c>
      <c r="M2" s="176" t="s">
        <v>700</v>
      </c>
      <c r="N2" s="870" t="s">
        <v>701</v>
      </c>
      <c r="O2" s="870" t="s">
        <v>702</v>
      </c>
      <c r="P2" s="178" t="s">
        <v>90</v>
      </c>
      <c r="Q2" s="325" t="s">
        <v>703</v>
      </c>
    </row>
    <row r="3">
      <c r="A3" s="609" t="s">
        <v>1233</v>
      </c>
      <c r="B3" s="610">
        <f t="array" ref="B3">VLOOKUP($A3,MI_DEMO,2,FALSE)</f>
        <v>10167</v>
      </c>
      <c r="C3" s="948">
        <f>VLOOKUP($A3,'MI Data'!$A$5:$E$88,2,FALSE)</f>
        <v>13</v>
      </c>
      <c r="D3" s="612">
        <f>VLOOKUP($A3,'MI Data'!$A$5:$E$88,5,FALSE)</f>
        <v>3.25</v>
      </c>
      <c r="E3" s="612" t="s">
        <v>63</v>
      </c>
      <c r="F3" s="612" t="s">
        <v>63</v>
      </c>
      <c r="G3" s="612">
        <f>VLOOKUP($A3,'MI Data'!$A$5:$E$88,3,FALSE)</f>
        <v>9</v>
      </c>
      <c r="H3" s="671">
        <f>VLOOKUP($A3,'MI Data'!$A$5:$E$88,4,FALSE)</f>
        <v>4</v>
      </c>
      <c r="I3" s="614" t="s">
        <v>63</v>
      </c>
      <c r="J3" s="615" t="s">
        <v>63</v>
      </c>
      <c r="K3" s="672" t="s">
        <v>63</v>
      </c>
      <c r="L3" s="785" t="s">
        <v>63</v>
      </c>
      <c r="M3" s="949" t="s">
        <v>63</v>
      </c>
      <c r="N3" s="950" t="s">
        <v>63</v>
      </c>
      <c r="O3" s="951" t="s">
        <v>63</v>
      </c>
      <c r="P3" s="952">
        <f>ifna(vlookup(A3,'Population &amp; Church Numbers'!$A$1234:$D$1316,4,FALSE),"NULL")</f>
        <v>20</v>
      </c>
      <c r="Q3" s="674" t="s">
        <v>63</v>
      </c>
    </row>
    <row r="4">
      <c r="A4" s="609" t="s">
        <v>1234</v>
      </c>
      <c r="B4" s="610">
        <f t="array" ref="B4">VLOOKUP($A4,MI_DEMO,2,FALSE)</f>
        <v>8842</v>
      </c>
      <c r="C4" s="948">
        <f>VLOOKUP($A4,'MI Data'!$A$5:$E$88,2,FALSE)</f>
        <v>8</v>
      </c>
      <c r="D4" s="612">
        <f>VLOOKUP($A4,'MI Data'!$A$5:$E$88,5,FALSE)</f>
        <v>1.83</v>
      </c>
      <c r="E4" s="612" t="s">
        <v>63</v>
      </c>
      <c r="F4" s="612" t="s">
        <v>63</v>
      </c>
      <c r="G4" s="612">
        <f>VLOOKUP($A4,'MI Data'!$A$5:$E$88,3,FALSE)</f>
        <v>4</v>
      </c>
      <c r="H4" s="671">
        <f>VLOOKUP($A4,'MI Data'!$A$5:$E$88,4,FALSE)</f>
        <v>6</v>
      </c>
      <c r="I4" s="614" t="s">
        <v>63</v>
      </c>
      <c r="J4" s="615" t="s">
        <v>63</v>
      </c>
      <c r="K4" s="672" t="s">
        <v>63</v>
      </c>
      <c r="L4" s="785" t="s">
        <v>63</v>
      </c>
      <c r="M4" s="704" t="s">
        <v>63</v>
      </c>
      <c r="N4" s="953" t="s">
        <v>63</v>
      </c>
      <c r="O4" s="619" t="s">
        <v>63</v>
      </c>
      <c r="P4" s="952">
        <f>ifna(vlookup(A4,'Population &amp; Church Numbers'!$A$1234:$D$1316,4,FALSE),"NULL")</f>
        <v>24</v>
      </c>
      <c r="Q4" s="674" t="s">
        <v>63</v>
      </c>
    </row>
    <row r="5">
      <c r="A5" s="609" t="s">
        <v>1235</v>
      </c>
      <c r="B5" s="610">
        <f t="array" ref="B5">VLOOKUP($A5,MI_DEMO,2,FALSE)</f>
        <v>120502</v>
      </c>
      <c r="C5" s="948">
        <f>VLOOKUP($A5,'MI Data'!$A$5:$E$88,2,FALSE)</f>
        <v>148</v>
      </c>
      <c r="D5" s="612">
        <f>VLOOKUP($A5,'MI Data'!$A$5:$E$88,5,FALSE)</f>
        <v>2.16</v>
      </c>
      <c r="E5" s="612" t="s">
        <v>63</v>
      </c>
      <c r="F5" s="612" t="s">
        <v>63</v>
      </c>
      <c r="G5" s="612">
        <f>VLOOKUP($A5,'MI Data'!$A$5:$E$88,3,FALSE)</f>
        <v>12</v>
      </c>
      <c r="H5" s="671">
        <f>VLOOKUP($A5,'MI Data'!$A$5:$E$88,4,FALSE)</f>
        <v>63</v>
      </c>
      <c r="I5" s="614" t="s">
        <v>63</v>
      </c>
      <c r="J5" s="615" t="s">
        <v>63</v>
      </c>
      <c r="K5" s="672" t="s">
        <v>63</v>
      </c>
      <c r="L5" s="785" t="s">
        <v>63</v>
      </c>
      <c r="M5" s="704" t="s">
        <v>63</v>
      </c>
      <c r="N5" s="953" t="s">
        <v>63</v>
      </c>
      <c r="O5" s="619" t="s">
        <v>63</v>
      </c>
      <c r="P5" s="952">
        <f>ifna(vlookup(A5,'Population &amp; Church Numbers'!$A$1234:$D$1316,4,FALSE),"NULL")</f>
        <v>102</v>
      </c>
      <c r="Q5" s="674" t="s">
        <v>63</v>
      </c>
    </row>
    <row r="6">
      <c r="A6" s="609" t="s">
        <v>1236</v>
      </c>
      <c r="B6" s="610">
        <f t="array" ref="B6">VLOOKUP($A6,MI_DEMO,2,FALSE)</f>
        <v>28907</v>
      </c>
      <c r="C6" s="948">
        <f>VLOOKUP($A6,'MI Data'!$A$5:$E$88,2,FALSE)</f>
        <v>57</v>
      </c>
      <c r="D6" s="612">
        <f>VLOOKUP($A6,'MI Data'!$A$5:$E$88,5,FALSE)</f>
        <v>2.26</v>
      </c>
      <c r="E6" s="612" t="s">
        <v>63</v>
      </c>
      <c r="F6" s="612" t="s">
        <v>63</v>
      </c>
      <c r="G6" s="612">
        <f>VLOOKUP($A6,'MI Data'!$A$5:$E$88,3,FALSE)</f>
        <v>7</v>
      </c>
      <c r="H6" s="671">
        <f>VLOOKUP($A6,'MI Data'!$A$5:$E$88,4,FALSE)</f>
        <v>27</v>
      </c>
      <c r="I6" s="614" t="s">
        <v>63</v>
      </c>
      <c r="J6" s="615" t="s">
        <v>63</v>
      </c>
      <c r="K6" s="672" t="s">
        <v>63</v>
      </c>
      <c r="L6" s="785" t="s">
        <v>63</v>
      </c>
      <c r="M6" s="704" t="s">
        <v>63</v>
      </c>
      <c r="N6" s="953" t="s">
        <v>63</v>
      </c>
      <c r="O6" s="619" t="s">
        <v>63</v>
      </c>
      <c r="P6" s="952">
        <f>ifna(vlookup(A6,'Population &amp; Church Numbers'!$A$1234:$D$1316,4,FALSE),"NULL")</f>
        <v>40</v>
      </c>
      <c r="Q6" s="674" t="s">
        <v>63</v>
      </c>
    </row>
    <row r="7">
      <c r="A7" s="609" t="s">
        <v>1237</v>
      </c>
      <c r="B7" s="610">
        <f t="array" ref="B7">VLOOKUP($A7,MI_DEMO,2,FALSE)</f>
        <v>23431</v>
      </c>
      <c r="C7" s="948">
        <f>VLOOKUP($A7,'MI Data'!$A$5:$E$88,2,FALSE)</f>
        <v>13</v>
      </c>
      <c r="D7" s="612">
        <f>VLOOKUP($A7,'MI Data'!$A$5:$E$88,5,FALSE)</f>
        <v>2</v>
      </c>
      <c r="E7" s="612" t="s">
        <v>63</v>
      </c>
      <c r="F7" s="612" t="s">
        <v>63</v>
      </c>
      <c r="G7" s="612">
        <f>VLOOKUP($A7,'MI Data'!$A$5:$E$88,3,FALSE)</f>
        <v>0</v>
      </c>
      <c r="H7" s="671">
        <f>VLOOKUP($A7,'MI Data'!$A$5:$E$88,4,FALSE)</f>
        <v>10</v>
      </c>
      <c r="I7" s="614" t="s">
        <v>63</v>
      </c>
      <c r="J7" s="615" t="s">
        <v>63</v>
      </c>
      <c r="K7" s="672" t="s">
        <v>63</v>
      </c>
      <c r="L7" s="785" t="s">
        <v>63</v>
      </c>
      <c r="M7" s="704" t="s">
        <v>63</v>
      </c>
      <c r="N7" s="953" t="s">
        <v>63</v>
      </c>
      <c r="O7" s="619" t="s">
        <v>63</v>
      </c>
      <c r="P7" s="952">
        <f>ifna(vlookup(A7,'Population &amp; Church Numbers'!$A$1234:$D$1316,4,FALSE),"NULL")</f>
        <v>29</v>
      </c>
      <c r="Q7" s="674" t="s">
        <v>63</v>
      </c>
    </row>
    <row r="8">
      <c r="A8" s="609" t="s">
        <v>1238</v>
      </c>
      <c r="B8" s="610">
        <f t="array" ref="B8">VLOOKUP($A8,MI_DEMO,2,FALSE)</f>
        <v>15002</v>
      </c>
      <c r="C8" s="948">
        <f>VLOOKUP($A8,'MI Data'!$A$5:$E$88,2,FALSE)</f>
        <v>23</v>
      </c>
      <c r="D8" s="612">
        <f>VLOOKUP($A8,'MI Data'!$A$5:$E$88,5,FALSE)</f>
        <v>1.7</v>
      </c>
      <c r="E8" s="612" t="s">
        <v>63</v>
      </c>
      <c r="F8" s="612" t="s">
        <v>63</v>
      </c>
      <c r="G8" s="612">
        <f>VLOOKUP($A8,'MI Data'!$A$5:$E$88,3,FALSE)</f>
        <v>8</v>
      </c>
      <c r="H8" s="671">
        <f>VLOOKUP($A8,'MI Data'!$A$5:$E$88,4,FALSE)</f>
        <v>10</v>
      </c>
      <c r="I8" s="614" t="s">
        <v>63</v>
      </c>
      <c r="J8" s="615" t="s">
        <v>63</v>
      </c>
      <c r="K8" s="672" t="s">
        <v>63</v>
      </c>
      <c r="L8" s="785" t="s">
        <v>63</v>
      </c>
      <c r="M8" s="704" t="s">
        <v>63</v>
      </c>
      <c r="N8" s="953" t="s">
        <v>63</v>
      </c>
      <c r="O8" s="619" t="s">
        <v>63</v>
      </c>
      <c r="P8" s="952">
        <f>ifna(vlookup(A8,'Population &amp; Church Numbers'!$A$1234:$D$1316,4,FALSE),"NULL")</f>
        <v>20</v>
      </c>
      <c r="Q8" s="674" t="s">
        <v>63</v>
      </c>
    </row>
    <row r="9">
      <c r="A9" s="609" t="s">
        <v>1239</v>
      </c>
      <c r="B9" s="610">
        <f t="array" ref="B9">VLOOKUP($A9,MI_DEMO,2,FALSE)</f>
        <v>8158</v>
      </c>
      <c r="C9" s="948">
        <f>VLOOKUP($A9,'MI Data'!$A$5:$E$88,2,FALSE)</f>
        <v>2</v>
      </c>
      <c r="D9" s="612">
        <f>VLOOKUP($A9,'MI Data'!$A$5:$E$88,5,FALSE)</f>
        <v>1.67</v>
      </c>
      <c r="E9" s="612" t="s">
        <v>63</v>
      </c>
      <c r="F9" s="612" t="s">
        <v>63</v>
      </c>
      <c r="G9" s="612">
        <f>VLOOKUP($A9,'MI Data'!$A$5:$E$88,3,FALSE)</f>
        <v>2</v>
      </c>
      <c r="H9" s="671">
        <f>VLOOKUP($A9,'MI Data'!$A$5:$E$88,4,FALSE)</f>
        <v>3</v>
      </c>
      <c r="I9" s="614" t="s">
        <v>63</v>
      </c>
      <c r="J9" s="615" t="s">
        <v>63</v>
      </c>
      <c r="K9" s="672" t="s">
        <v>63</v>
      </c>
      <c r="L9" s="785" t="s">
        <v>63</v>
      </c>
      <c r="M9" s="704" t="s">
        <v>63</v>
      </c>
      <c r="N9" s="953" t="s">
        <v>63</v>
      </c>
      <c r="O9" s="619" t="s">
        <v>63</v>
      </c>
      <c r="P9" s="952">
        <f>ifna(vlookup(A9,'Population &amp; Church Numbers'!$A$1234:$D$1316,4,FALSE),"NULL")</f>
        <v>9</v>
      </c>
      <c r="Q9" s="674" t="s">
        <v>63</v>
      </c>
    </row>
    <row r="10">
      <c r="A10" s="609" t="s">
        <v>1240</v>
      </c>
      <c r="B10" s="610">
        <f t="array" ref="B10">VLOOKUP($A10,MI_DEMO,2,FALSE)</f>
        <v>62423</v>
      </c>
      <c r="C10" s="948">
        <f>VLOOKUP($A10,'MI Data'!$A$5:$E$88,2,FALSE)</f>
        <v>23</v>
      </c>
      <c r="D10" s="612">
        <f>VLOOKUP($A10,'MI Data'!$A$5:$E$88,5,FALSE)</f>
        <v>2.29</v>
      </c>
      <c r="E10" s="612" t="s">
        <v>63</v>
      </c>
      <c r="F10" s="612" t="s">
        <v>63</v>
      </c>
      <c r="G10" s="612">
        <f>VLOOKUP($A10,'MI Data'!$A$5:$E$88,3,FALSE)</f>
        <v>7</v>
      </c>
      <c r="H10" s="671">
        <f>VLOOKUP($A10,'MI Data'!$A$5:$E$88,4,FALSE)</f>
        <v>38</v>
      </c>
      <c r="I10" s="614" t="s">
        <v>63</v>
      </c>
      <c r="J10" s="615" t="s">
        <v>63</v>
      </c>
      <c r="K10" s="672" t="s">
        <v>63</v>
      </c>
      <c r="L10" s="785" t="s">
        <v>63</v>
      </c>
      <c r="M10" s="704" t="s">
        <v>63</v>
      </c>
      <c r="N10" s="953" t="s">
        <v>63</v>
      </c>
      <c r="O10" s="619" t="s">
        <v>63</v>
      </c>
      <c r="P10" s="952">
        <f>ifna(vlookup(A10,'Population &amp; Church Numbers'!$A$1234:$D$1316,4,FALSE),"NULL")</f>
        <v>44</v>
      </c>
      <c r="Q10" s="674" t="s">
        <v>63</v>
      </c>
    </row>
    <row r="11">
      <c r="A11" s="609" t="s">
        <v>482</v>
      </c>
      <c r="B11" s="610">
        <f t="array" ref="B11">VLOOKUP($A11,MI_DEMO,2,FALSE)</f>
        <v>103856</v>
      </c>
      <c r="C11" s="948">
        <f>VLOOKUP($A11,'MI Data'!$A$5:$E$88,2,FALSE)</f>
        <v>116</v>
      </c>
      <c r="D11" s="612">
        <f>VLOOKUP($A11,'MI Data'!$A$5:$E$88,5,FALSE)</f>
        <v>1.91</v>
      </c>
      <c r="E11" s="612" t="s">
        <v>63</v>
      </c>
      <c r="F11" s="612" t="s">
        <v>63</v>
      </c>
      <c r="G11" s="612">
        <f>VLOOKUP($A11,'MI Data'!$A$5:$E$88,3,FALSE)</f>
        <v>39</v>
      </c>
      <c r="H11" s="671">
        <f>VLOOKUP($A11,'MI Data'!$A$5:$E$88,4,FALSE)</f>
        <v>53</v>
      </c>
      <c r="I11" s="614" t="s">
        <v>63</v>
      </c>
      <c r="J11" s="615" t="s">
        <v>63</v>
      </c>
      <c r="K11" s="672" t="s">
        <v>63</v>
      </c>
      <c r="L11" s="785" t="s">
        <v>63</v>
      </c>
      <c r="M11" s="704" t="s">
        <v>63</v>
      </c>
      <c r="N11" s="953" t="s">
        <v>63</v>
      </c>
      <c r="O11" s="619" t="s">
        <v>63</v>
      </c>
      <c r="P11" s="952">
        <f>ifna(vlookup(A11,'Population &amp; Church Numbers'!$A$1234:$D$1316,4,FALSE),"NULL")</f>
        <v>79</v>
      </c>
      <c r="Q11" s="674" t="s">
        <v>63</v>
      </c>
    </row>
    <row r="12">
      <c r="A12" s="609" t="s">
        <v>1241</v>
      </c>
      <c r="B12" s="610">
        <f t="array" ref="B12">VLOOKUP($A12,MI_DEMO,2,FALSE)</f>
        <v>17970</v>
      </c>
      <c r="C12" s="948">
        <f>VLOOKUP($A12,'MI Data'!$A$5:$E$88,2,FALSE)</f>
        <v>20</v>
      </c>
      <c r="D12" s="612">
        <f>VLOOKUP($A12,'MI Data'!$A$5:$E$88,5,FALSE)</f>
        <v>1.83</v>
      </c>
      <c r="E12" s="612" t="s">
        <v>63</v>
      </c>
      <c r="F12" s="612" t="s">
        <v>63</v>
      </c>
      <c r="G12" s="612">
        <f>VLOOKUP($A12,'MI Data'!$A$5:$E$88,3,FALSE)</f>
        <v>4</v>
      </c>
      <c r="H12" s="671">
        <f>VLOOKUP($A12,'MI Data'!$A$5:$E$88,4,FALSE)</f>
        <v>6</v>
      </c>
      <c r="I12" s="614" t="s">
        <v>63</v>
      </c>
      <c r="J12" s="615" t="s">
        <v>63</v>
      </c>
      <c r="K12" s="672" t="s">
        <v>63</v>
      </c>
      <c r="L12" s="785" t="s">
        <v>63</v>
      </c>
      <c r="M12" s="704" t="s">
        <v>63</v>
      </c>
      <c r="N12" s="953" t="s">
        <v>63</v>
      </c>
      <c r="O12" s="619" t="s">
        <v>63</v>
      </c>
      <c r="P12" s="952">
        <f>ifna(vlookup(A12,'Population &amp; Church Numbers'!$A$1234:$D$1316,4,FALSE),"NULL")</f>
        <v>26</v>
      </c>
      <c r="Q12" s="674" t="s">
        <v>63</v>
      </c>
    </row>
    <row r="13">
      <c r="A13" s="609" t="s">
        <v>540</v>
      </c>
      <c r="B13" s="610">
        <f t="array" ref="B13">VLOOKUP($A13,MI_DEMO,2,FALSE)</f>
        <v>154316</v>
      </c>
      <c r="C13" s="948">
        <f>VLOOKUP($A13,'MI Data'!$A$5:$E$88,2,FALSE)</f>
        <v>172</v>
      </c>
      <c r="D13" s="612">
        <f>VLOOKUP($A13,'MI Data'!$A$5:$E$88,5,FALSE)</f>
        <v>1.8</v>
      </c>
      <c r="E13" s="612" t="s">
        <v>63</v>
      </c>
      <c r="F13" s="612" t="s">
        <v>63</v>
      </c>
      <c r="G13" s="612">
        <f>VLOOKUP($A13,'MI Data'!$A$5:$E$88,3,FALSE)</f>
        <v>46</v>
      </c>
      <c r="H13" s="671">
        <f>VLOOKUP($A13,'MI Data'!$A$5:$E$88,4,FALSE)</f>
        <v>75</v>
      </c>
      <c r="I13" s="614" t="s">
        <v>63</v>
      </c>
      <c r="J13" s="615" t="s">
        <v>63</v>
      </c>
      <c r="K13" s="672" t="s">
        <v>63</v>
      </c>
      <c r="L13" s="785" t="s">
        <v>63</v>
      </c>
      <c r="M13" s="704" t="s">
        <v>63</v>
      </c>
      <c r="N13" s="953" t="s">
        <v>63</v>
      </c>
      <c r="O13" s="619" t="s">
        <v>63</v>
      </c>
      <c r="P13" s="952">
        <f>ifna(vlookup(A13,'Population &amp; Church Numbers'!$A$1234:$D$1316,4,FALSE),"NULL")</f>
        <v>188</v>
      </c>
      <c r="Q13" s="674" t="s">
        <v>63</v>
      </c>
    </row>
    <row r="14">
      <c r="A14" s="609" t="s">
        <v>1242</v>
      </c>
      <c r="B14" s="610">
        <f t="array" ref="B14">VLOOKUP($A14,MI_DEMO,2,FALSE)</f>
        <v>44862</v>
      </c>
      <c r="C14" s="948">
        <f>VLOOKUP($A14,'MI Data'!$A$5:$E$88,2,FALSE)</f>
        <v>50</v>
      </c>
      <c r="D14" s="612">
        <f>VLOOKUP($A14,'MI Data'!$A$5:$E$88,5,FALSE)</f>
        <v>2.75</v>
      </c>
      <c r="E14" s="612" t="s">
        <v>63</v>
      </c>
      <c r="F14" s="612" t="s">
        <v>63</v>
      </c>
      <c r="G14" s="612">
        <f>VLOOKUP($A14,'MI Data'!$A$5:$E$88,3,FALSE)</f>
        <v>24</v>
      </c>
      <c r="H14" s="671">
        <f>VLOOKUP($A14,'MI Data'!$A$5:$E$88,4,FALSE)</f>
        <v>8</v>
      </c>
      <c r="I14" s="614" t="s">
        <v>63</v>
      </c>
      <c r="J14" s="615" t="s">
        <v>63</v>
      </c>
      <c r="K14" s="672" t="s">
        <v>63</v>
      </c>
      <c r="L14" s="785" t="s">
        <v>63</v>
      </c>
      <c r="M14" s="704" t="s">
        <v>63</v>
      </c>
      <c r="N14" s="953" t="s">
        <v>63</v>
      </c>
      <c r="O14" s="619" t="s">
        <v>63</v>
      </c>
      <c r="P14" s="952">
        <f>ifna(vlookup(A14,'Population &amp; Church Numbers'!$A$1234:$D$1316,4,FALSE),"NULL")</f>
        <v>38</v>
      </c>
      <c r="Q14" s="674" t="s">
        <v>63</v>
      </c>
    </row>
    <row r="15">
      <c r="A15" s="609" t="s">
        <v>93</v>
      </c>
      <c r="B15" s="610">
        <f t="array" ref="B15">VLOOKUP($A15,MI_DEMO,2,FALSE)</f>
        <v>134310</v>
      </c>
      <c r="C15" s="948">
        <f>VLOOKUP($A15,'MI Data'!$A$5:$E$88,2,FALSE)</f>
        <v>204</v>
      </c>
      <c r="D15" s="612">
        <f>VLOOKUP($A15,'MI Data'!$A$5:$E$88,5,FALSE)</f>
        <v>2.38</v>
      </c>
      <c r="E15" s="612" t="s">
        <v>63</v>
      </c>
      <c r="F15" s="612" t="s">
        <v>63</v>
      </c>
      <c r="G15" s="612">
        <f>VLOOKUP($A15,'MI Data'!$A$5:$E$88,3,FALSE)</f>
        <v>62</v>
      </c>
      <c r="H15" s="671">
        <f>VLOOKUP($A15,'MI Data'!$A$5:$E$88,4,FALSE)</f>
        <v>79</v>
      </c>
      <c r="I15" s="614" t="s">
        <v>63</v>
      </c>
      <c r="J15" s="615" t="s">
        <v>63</v>
      </c>
      <c r="K15" s="672" t="s">
        <v>63</v>
      </c>
      <c r="L15" s="785" t="s">
        <v>63</v>
      </c>
      <c r="M15" s="704" t="s">
        <v>63</v>
      </c>
      <c r="N15" s="953" t="s">
        <v>63</v>
      </c>
      <c r="O15" s="619" t="s">
        <v>63</v>
      </c>
      <c r="P15" s="952">
        <f>ifna(vlookup(A15,'Population &amp; Church Numbers'!$A$1234:$D$1316,4,FALSE),"NULL")</f>
        <v>140</v>
      </c>
      <c r="Q15" s="674" t="s">
        <v>63</v>
      </c>
    </row>
    <row r="16">
      <c r="A16" s="609" t="s">
        <v>708</v>
      </c>
      <c r="B16" s="610">
        <f t="array" ref="B16">VLOOKUP($A16,MI_DEMO,2,FALSE)</f>
        <v>51589</v>
      </c>
      <c r="C16" s="948">
        <f>VLOOKUP($A16,'MI Data'!$A$5:$E$88,2,FALSE)</f>
        <v>86</v>
      </c>
      <c r="D16" s="612">
        <f>VLOOKUP($A16,'MI Data'!$A$5:$E$88,5,FALSE)</f>
        <v>2.2</v>
      </c>
      <c r="E16" s="612" t="s">
        <v>63</v>
      </c>
      <c r="F16" s="612" t="s">
        <v>63</v>
      </c>
      <c r="G16" s="612">
        <f>VLOOKUP($A16,'MI Data'!$A$5:$E$88,3,FALSE)</f>
        <v>23</v>
      </c>
      <c r="H16" s="671">
        <f>VLOOKUP($A16,'MI Data'!$A$5:$E$88,4,FALSE)</f>
        <v>20</v>
      </c>
      <c r="I16" s="614" t="s">
        <v>63</v>
      </c>
      <c r="J16" s="615" t="s">
        <v>63</v>
      </c>
      <c r="K16" s="672" t="s">
        <v>63</v>
      </c>
      <c r="L16" s="785" t="s">
        <v>63</v>
      </c>
      <c r="M16" s="704" t="s">
        <v>63</v>
      </c>
      <c r="N16" s="953" t="s">
        <v>63</v>
      </c>
      <c r="O16" s="619" t="s">
        <v>63</v>
      </c>
      <c r="P16" s="952">
        <f>ifna(vlookup(A16,'Population &amp; Church Numbers'!$A$1234:$D$1316,4,FALSE),"NULL")</f>
        <v>55</v>
      </c>
      <c r="Q16" s="674" t="s">
        <v>63</v>
      </c>
    </row>
    <row r="17">
      <c r="A17" s="609" t="s">
        <v>1243</v>
      </c>
      <c r="B17" s="610">
        <f t="array" ref="B17">VLOOKUP($A17,MI_DEMO,2,FALSE)</f>
        <v>26054</v>
      </c>
      <c r="C17" s="948">
        <f>VLOOKUP($A17,'MI Data'!$A$5:$E$88,2,FALSE)</f>
        <v>14</v>
      </c>
      <c r="D17" s="612">
        <f>VLOOKUP($A17,'MI Data'!$A$5:$E$88,5,FALSE)</f>
        <v>1.71</v>
      </c>
      <c r="E17" s="612" t="s">
        <v>63</v>
      </c>
      <c r="F17" s="612" t="s">
        <v>63</v>
      </c>
      <c r="G17" s="612">
        <f>VLOOKUP($A17,'MI Data'!$A$5:$E$88,3,FALSE)</f>
        <v>4</v>
      </c>
      <c r="H17" s="671">
        <f>VLOOKUP($A17,'MI Data'!$A$5:$E$88,4,FALSE)</f>
        <v>7</v>
      </c>
      <c r="I17" s="614" t="s">
        <v>63</v>
      </c>
      <c r="J17" s="615" t="s">
        <v>63</v>
      </c>
      <c r="K17" s="672" t="s">
        <v>63</v>
      </c>
      <c r="L17" s="785" t="s">
        <v>63</v>
      </c>
      <c r="M17" s="704" t="s">
        <v>63</v>
      </c>
      <c r="N17" s="953" t="s">
        <v>63</v>
      </c>
      <c r="O17" s="619" t="s">
        <v>63</v>
      </c>
      <c r="P17" s="952">
        <f>ifna(vlookup(A17,'Population &amp; Church Numbers'!$A$1234:$D$1316,4,FALSE),"NULL")</f>
        <v>34</v>
      </c>
      <c r="Q17" s="674" t="s">
        <v>63</v>
      </c>
    </row>
    <row r="18">
      <c r="A18" s="609" t="s">
        <v>1244</v>
      </c>
      <c r="B18" s="610">
        <f t="array" ref="B18">VLOOKUP($A18,MI_DEMO,2,FALSE)</f>
        <v>25579</v>
      </c>
      <c r="C18" s="948">
        <f>VLOOKUP($A18,'MI Data'!$A$5:$E$88,2,FALSE)</f>
        <v>24</v>
      </c>
      <c r="D18" s="612">
        <f>VLOOKUP($A18,'MI Data'!$A$5:$E$88,5,FALSE)</f>
        <v>2.55</v>
      </c>
      <c r="E18" s="612" t="s">
        <v>63</v>
      </c>
      <c r="F18" s="612" t="s">
        <v>63</v>
      </c>
      <c r="G18" s="612">
        <f>VLOOKUP($A18,'MI Data'!$A$5:$E$88,3,FALSE)</f>
        <v>8</v>
      </c>
      <c r="H18" s="671">
        <f>VLOOKUP($A18,'MI Data'!$A$5:$E$88,4,FALSE)</f>
        <v>11</v>
      </c>
      <c r="I18" s="614" t="s">
        <v>63</v>
      </c>
      <c r="J18" s="615" t="s">
        <v>63</v>
      </c>
      <c r="K18" s="672" t="s">
        <v>63</v>
      </c>
      <c r="L18" s="785" t="s">
        <v>63</v>
      </c>
      <c r="M18" s="704" t="s">
        <v>63</v>
      </c>
      <c r="N18" s="953" t="s">
        <v>63</v>
      </c>
      <c r="O18" s="619" t="s">
        <v>63</v>
      </c>
      <c r="P18" s="952">
        <f>ifna(vlookup(A18,'Population &amp; Church Numbers'!$A$1234:$D$1316,4,FALSE),"NULL")</f>
        <v>32</v>
      </c>
      <c r="Q18" s="674" t="s">
        <v>63</v>
      </c>
    </row>
    <row r="19">
      <c r="A19" s="609" t="s">
        <v>1245</v>
      </c>
      <c r="B19" s="610">
        <f t="array" ref="B19">VLOOKUP($A19,MI_DEMO,2,FALSE)</f>
        <v>36785</v>
      </c>
      <c r="C19" s="948">
        <f>VLOOKUP($A19,'MI Data'!$A$5:$E$88,2,FALSE)</f>
        <v>47</v>
      </c>
      <c r="D19" s="612">
        <f>VLOOKUP($A19,'MI Data'!$A$5:$E$88,5,FALSE)</f>
        <v>1.93</v>
      </c>
      <c r="E19" s="612" t="s">
        <v>63</v>
      </c>
      <c r="F19" s="612" t="s">
        <v>63</v>
      </c>
      <c r="G19" s="612">
        <f>VLOOKUP($A19,'MI Data'!$A$5:$E$88,3,FALSE)</f>
        <v>9</v>
      </c>
      <c r="H19" s="671">
        <f>VLOOKUP($A19,'MI Data'!$A$5:$E$88,4,FALSE)</f>
        <v>28</v>
      </c>
      <c r="I19" s="614" t="s">
        <v>63</v>
      </c>
      <c r="J19" s="615" t="s">
        <v>63</v>
      </c>
      <c r="K19" s="672" t="s">
        <v>63</v>
      </c>
      <c r="L19" s="785" t="s">
        <v>63</v>
      </c>
      <c r="M19" s="704" t="s">
        <v>63</v>
      </c>
      <c r="N19" s="953" t="s">
        <v>63</v>
      </c>
      <c r="O19" s="619" t="s">
        <v>63</v>
      </c>
      <c r="P19" s="952">
        <f>ifna(vlookup(A19,'Population &amp; Church Numbers'!$A$1234:$D$1316,4,FALSE),"NULL")</f>
        <v>45</v>
      </c>
      <c r="Q19" s="674" t="s">
        <v>63</v>
      </c>
    </row>
    <row r="20">
      <c r="A20" s="609" t="s">
        <v>1246</v>
      </c>
      <c r="B20" s="610">
        <f t="array" ref="B20">VLOOKUP($A20,MI_DEMO,2,FALSE)</f>
        <v>30856</v>
      </c>
      <c r="C20" s="948">
        <f>VLOOKUP($A20,'MI Data'!$A$5:$E$88,2,FALSE)</f>
        <v>46</v>
      </c>
      <c r="D20" s="612">
        <f>VLOOKUP($A20,'MI Data'!$A$5:$E$88,5,FALSE)</f>
        <v>2.75</v>
      </c>
      <c r="E20" s="612" t="s">
        <v>63</v>
      </c>
      <c r="F20" s="612" t="s">
        <v>63</v>
      </c>
      <c r="G20" s="612">
        <f>VLOOKUP($A20,'MI Data'!$A$5:$E$88,3,FALSE)</f>
        <v>15</v>
      </c>
      <c r="H20" s="671">
        <f>VLOOKUP($A20,'MI Data'!$A$5:$E$88,4,FALSE)</f>
        <v>20</v>
      </c>
      <c r="I20" s="614" t="s">
        <v>63</v>
      </c>
      <c r="J20" s="615" t="s">
        <v>63</v>
      </c>
      <c r="K20" s="672" t="s">
        <v>63</v>
      </c>
      <c r="L20" s="785" t="s">
        <v>63</v>
      </c>
      <c r="M20" s="704" t="s">
        <v>63</v>
      </c>
      <c r="N20" s="953" t="s">
        <v>63</v>
      </c>
      <c r="O20" s="619" t="s">
        <v>63</v>
      </c>
      <c r="P20" s="952">
        <f>ifna(vlookup(A20,'Population &amp; Church Numbers'!$A$1234:$D$1316,4,FALSE),"NULL")</f>
        <v>30</v>
      </c>
      <c r="Q20" s="674" t="s">
        <v>63</v>
      </c>
    </row>
    <row r="21">
      <c r="A21" s="609" t="s">
        <v>711</v>
      </c>
      <c r="B21" s="610">
        <f t="array" ref="B21">VLOOKUP($A21,MI_DEMO,2,FALSE)</f>
        <v>79128</v>
      </c>
      <c r="C21" s="948">
        <f>VLOOKUP($A21,'MI Data'!$A$5:$E$88,2,FALSE)</f>
        <v>31</v>
      </c>
      <c r="D21" s="612">
        <f>VLOOKUP($A21,'MI Data'!$A$5:$E$88,5,FALSE)</f>
        <v>2.24</v>
      </c>
      <c r="E21" s="612" t="s">
        <v>63</v>
      </c>
      <c r="F21" s="612" t="s">
        <v>63</v>
      </c>
      <c r="G21" s="612">
        <f>VLOOKUP($A21,'MI Data'!$A$5:$E$88,3,FALSE)</f>
        <v>15</v>
      </c>
      <c r="H21" s="671">
        <f>VLOOKUP($A21,'MI Data'!$A$5:$E$88,4,FALSE)</f>
        <v>29</v>
      </c>
      <c r="I21" s="614" t="s">
        <v>63</v>
      </c>
      <c r="J21" s="615" t="s">
        <v>63</v>
      </c>
      <c r="K21" s="672" t="s">
        <v>63</v>
      </c>
      <c r="L21" s="785" t="s">
        <v>63</v>
      </c>
      <c r="M21" s="704" t="s">
        <v>63</v>
      </c>
      <c r="N21" s="953" t="s">
        <v>63</v>
      </c>
      <c r="O21" s="619" t="s">
        <v>63</v>
      </c>
      <c r="P21" s="952">
        <f>ifna(vlookup(A21,'Population &amp; Church Numbers'!$A$1234:$D$1316,4,FALSE),"NULL")</f>
        <v>52</v>
      </c>
      <c r="Q21" s="674" t="s">
        <v>63</v>
      </c>
    </row>
    <row r="22">
      <c r="A22" s="609" t="s">
        <v>263</v>
      </c>
      <c r="B22" s="610">
        <f t="array" ref="B22">VLOOKUP($A22,MI_DEMO,2,FALSE)</f>
        <v>12988</v>
      </c>
      <c r="C22" s="948">
        <f>VLOOKUP($A22,'MI Data'!$A$5:$E$88,2,FALSE)</f>
        <v>49</v>
      </c>
      <c r="D22" s="612">
        <f>VLOOKUP($A22,'MI Data'!$A$5:$E$88,5,FALSE)</f>
        <v>2.14</v>
      </c>
      <c r="E22" s="612" t="s">
        <v>63</v>
      </c>
      <c r="F22" s="612" t="s">
        <v>63</v>
      </c>
      <c r="G22" s="612">
        <f>VLOOKUP($A22,'MI Data'!$A$5:$E$88,3,FALSE)</f>
        <v>11</v>
      </c>
      <c r="H22" s="671">
        <f>VLOOKUP($A22,'MI Data'!$A$5:$E$88,4,FALSE)</f>
        <v>7</v>
      </c>
      <c r="I22" s="614" t="s">
        <v>63</v>
      </c>
      <c r="J22" s="615" t="s">
        <v>63</v>
      </c>
      <c r="K22" s="672" t="s">
        <v>63</v>
      </c>
      <c r="L22" s="785" t="s">
        <v>63</v>
      </c>
      <c r="M22" s="704" t="s">
        <v>63</v>
      </c>
      <c r="N22" s="953" t="s">
        <v>63</v>
      </c>
      <c r="O22" s="619" t="s">
        <v>63</v>
      </c>
      <c r="P22" s="952">
        <f>ifna(vlookup(A22,'Population &amp; Church Numbers'!$A$1234:$D$1316,4,FALSE),"NULL")</f>
        <v>15</v>
      </c>
      <c r="Q22" s="674" t="s">
        <v>63</v>
      </c>
    </row>
    <row r="23">
      <c r="A23" s="609" t="s">
        <v>407</v>
      </c>
      <c r="B23" s="610">
        <f t="array" ref="B23">VLOOKUP($A23,MI_DEMO,2,FALSE)</f>
        <v>36903</v>
      </c>
      <c r="C23" s="948">
        <f>VLOOKUP($A23,'MI Data'!$A$5:$E$88,2,FALSE)</f>
        <v>46</v>
      </c>
      <c r="D23" s="612">
        <f>VLOOKUP($A23,'MI Data'!$A$5:$E$88,5,FALSE)</f>
        <v>1.67</v>
      </c>
      <c r="E23" s="612" t="s">
        <v>63</v>
      </c>
      <c r="F23" s="612" t="s">
        <v>63</v>
      </c>
      <c r="G23" s="612">
        <f>VLOOKUP($A23,'MI Data'!$A$5:$E$88,3,FALSE)</f>
        <v>12</v>
      </c>
      <c r="H23" s="671">
        <f>VLOOKUP($A23,'MI Data'!$A$5:$E$88,4,FALSE)</f>
        <v>12</v>
      </c>
      <c r="I23" s="614" t="s">
        <v>63</v>
      </c>
      <c r="J23" s="615" t="s">
        <v>63</v>
      </c>
      <c r="K23" s="672" t="s">
        <v>63</v>
      </c>
      <c r="L23" s="785" t="s">
        <v>63</v>
      </c>
      <c r="M23" s="704" t="s">
        <v>63</v>
      </c>
      <c r="N23" s="953" t="s">
        <v>63</v>
      </c>
      <c r="O23" s="619" t="s">
        <v>63</v>
      </c>
      <c r="P23" s="952">
        <f>ifna(vlookup(A23,'Population &amp; Church Numbers'!$A$1234:$D$1316,4,FALSE),"NULL")</f>
        <v>45</v>
      </c>
      <c r="Q23" s="674" t="s">
        <v>63</v>
      </c>
    </row>
    <row r="24">
      <c r="A24" s="609" t="s">
        <v>899</v>
      </c>
      <c r="B24" s="610">
        <f t="array" ref="B24">VLOOKUP($A24,MI_DEMO,2,FALSE)</f>
        <v>25947</v>
      </c>
      <c r="C24" s="948">
        <f>VLOOKUP($A24,'MI Data'!$A$5:$E$88,2,FALSE)</f>
        <v>20</v>
      </c>
      <c r="D24" s="612">
        <f>VLOOKUP($A24,'MI Data'!$A$5:$E$88,5,FALSE)</f>
        <v>2</v>
      </c>
      <c r="E24" s="612" t="s">
        <v>63</v>
      </c>
      <c r="F24" s="612" t="s">
        <v>63</v>
      </c>
      <c r="G24" s="612">
        <f>VLOOKUP($A24,'MI Data'!$A$5:$E$88,3,FALSE)</f>
        <v>6</v>
      </c>
      <c r="H24" s="671">
        <f>VLOOKUP($A24,'MI Data'!$A$5:$E$88,4,FALSE)</f>
        <v>8</v>
      </c>
      <c r="I24" s="614" t="s">
        <v>63</v>
      </c>
      <c r="J24" s="615" t="s">
        <v>63</v>
      </c>
      <c r="K24" s="672" t="s">
        <v>63</v>
      </c>
      <c r="L24" s="785" t="s">
        <v>63</v>
      </c>
      <c r="M24" s="704" t="s">
        <v>63</v>
      </c>
      <c r="N24" s="953" t="s">
        <v>63</v>
      </c>
      <c r="O24" s="619" t="s">
        <v>63</v>
      </c>
      <c r="P24" s="952">
        <f>ifna(vlookup(A24,'Population &amp; Church Numbers'!$A$1234:$D$1316,4,FALSE),"NULL")</f>
        <v>35</v>
      </c>
      <c r="Q24" s="674" t="s">
        <v>63</v>
      </c>
    </row>
    <row r="25">
      <c r="A25" s="609" t="s">
        <v>1247</v>
      </c>
      <c r="B25" s="610">
        <f t="array" ref="B25">VLOOKUP($A25,MI_DEMO,2,FALSE)</f>
        <v>109175</v>
      </c>
      <c r="C25" s="948">
        <f>VLOOKUP($A25,'MI Data'!$A$5:$E$88,2,FALSE)</f>
        <v>53</v>
      </c>
      <c r="D25" s="612">
        <f>VLOOKUP($A25,'MI Data'!$A$5:$E$88,5,FALSE)</f>
        <v>2.32</v>
      </c>
      <c r="E25" s="612" t="s">
        <v>63</v>
      </c>
      <c r="F25" s="612" t="s">
        <v>63</v>
      </c>
      <c r="G25" s="612">
        <f>VLOOKUP($A25,'MI Data'!$A$5:$E$88,3,FALSE)</f>
        <v>22</v>
      </c>
      <c r="H25" s="671">
        <f>VLOOKUP($A25,'MI Data'!$A$5:$E$88,4,FALSE)</f>
        <v>53</v>
      </c>
      <c r="I25" s="614" t="s">
        <v>63</v>
      </c>
      <c r="J25" s="615" t="s">
        <v>63</v>
      </c>
      <c r="K25" s="672" t="s">
        <v>63</v>
      </c>
      <c r="L25" s="785" t="s">
        <v>63</v>
      </c>
      <c r="M25" s="704" t="s">
        <v>63</v>
      </c>
      <c r="N25" s="953" t="s">
        <v>63</v>
      </c>
      <c r="O25" s="619" t="s">
        <v>63</v>
      </c>
      <c r="P25" s="952">
        <f>ifna(vlookup(A25,'Population &amp; Church Numbers'!$A$1234:$D$1316,4,FALSE),"NULL")</f>
        <v>83</v>
      </c>
      <c r="Q25" s="674" t="s">
        <v>63</v>
      </c>
    </row>
    <row r="26">
      <c r="A26" s="609" t="s">
        <v>901</v>
      </c>
      <c r="B26" s="610">
        <f t="array" ref="B26">VLOOKUP($A26,MI_DEMO,2,FALSE)</f>
        <v>34112</v>
      </c>
      <c r="C26" s="948">
        <f>VLOOKUP($A26,'MI Data'!$A$5:$E$88,2,FALSE)</f>
        <v>14</v>
      </c>
      <c r="D26" s="612">
        <f>VLOOKUP($A26,'MI Data'!$A$5:$E$88,5,FALSE)</f>
        <v>1.83</v>
      </c>
      <c r="E26" s="612" t="s">
        <v>63</v>
      </c>
      <c r="F26" s="612" t="s">
        <v>63</v>
      </c>
      <c r="G26" s="612">
        <f>VLOOKUP($A26,'MI Data'!$A$5:$E$88,3,FALSE)</f>
        <v>5</v>
      </c>
      <c r="H26" s="671">
        <f>VLOOKUP($A26,'MI Data'!$A$5:$E$88,4,FALSE)</f>
        <v>6</v>
      </c>
      <c r="I26" s="614" t="s">
        <v>63</v>
      </c>
      <c r="J26" s="615" t="s">
        <v>63</v>
      </c>
      <c r="K26" s="672" t="s">
        <v>63</v>
      </c>
      <c r="L26" s="785" t="s">
        <v>63</v>
      </c>
      <c r="M26" s="704" t="s">
        <v>63</v>
      </c>
      <c r="N26" s="953" t="s">
        <v>63</v>
      </c>
      <c r="O26" s="619" t="s">
        <v>63</v>
      </c>
      <c r="P26" s="952">
        <f>ifna(vlookup(A26,'Population &amp; Church Numbers'!$A$1234:$D$1316,4,FALSE),"NULL")</f>
        <v>45</v>
      </c>
      <c r="Q26" s="674" t="s">
        <v>63</v>
      </c>
    </row>
    <row r="27">
      <c r="A27" s="609" t="s">
        <v>1248</v>
      </c>
      <c r="B27" s="610">
        <f t="array" ref="B27">VLOOKUP($A27,MI_DEMO,2,FALSE)</f>
        <v>406211</v>
      </c>
      <c r="C27" s="948">
        <f>VLOOKUP($A27,'MI Data'!$A$5:$E$88,2,FALSE)</f>
        <v>464</v>
      </c>
      <c r="D27" s="612">
        <f>VLOOKUP($A27,'MI Data'!$A$5:$E$88,5,FALSE)</f>
        <v>2.19</v>
      </c>
      <c r="E27" s="612" t="s">
        <v>63</v>
      </c>
      <c r="F27" s="612" t="s">
        <v>63</v>
      </c>
      <c r="G27" s="612">
        <f>VLOOKUP($A27,'MI Data'!$A$5:$E$88,3,FALSE)</f>
        <v>69</v>
      </c>
      <c r="H27" s="671">
        <f>VLOOKUP($A27,'MI Data'!$A$5:$E$88,4,FALSE)</f>
        <v>152</v>
      </c>
      <c r="I27" s="614" t="s">
        <v>63</v>
      </c>
      <c r="J27" s="615" t="s">
        <v>63</v>
      </c>
      <c r="K27" s="672" t="s">
        <v>63</v>
      </c>
      <c r="L27" s="785" t="s">
        <v>63</v>
      </c>
      <c r="M27" s="704" t="s">
        <v>63</v>
      </c>
      <c r="N27" s="953" t="s">
        <v>63</v>
      </c>
      <c r="O27" s="619" t="s">
        <v>63</v>
      </c>
      <c r="P27" s="952">
        <f>ifna(vlookup(A27,'Population &amp; Church Numbers'!$A$1234:$D$1316,4,FALSE),"NULL")</f>
        <v>377</v>
      </c>
      <c r="Q27" s="674" t="s">
        <v>63</v>
      </c>
    </row>
    <row r="28">
      <c r="A28" s="609" t="s">
        <v>1249</v>
      </c>
      <c r="B28" s="610">
        <f t="array" ref="B28">VLOOKUP($A28,MI_DEMO,2,FALSE)</f>
        <v>25386</v>
      </c>
      <c r="C28" s="948">
        <f>VLOOKUP($A28,'MI Data'!$A$5:$E$88,2,FALSE)</f>
        <v>41</v>
      </c>
      <c r="D28" s="612">
        <f>VLOOKUP($A28,'MI Data'!$A$5:$E$88,5,FALSE)</f>
        <v>2.6</v>
      </c>
      <c r="E28" s="612" t="s">
        <v>63</v>
      </c>
      <c r="F28" s="612" t="s">
        <v>63</v>
      </c>
      <c r="G28" s="612">
        <f>VLOOKUP($A28,'MI Data'!$A$5:$E$88,3,FALSE)</f>
        <v>8</v>
      </c>
      <c r="H28" s="671">
        <f>VLOOKUP($A28,'MI Data'!$A$5:$E$88,4,FALSE)</f>
        <v>10</v>
      </c>
      <c r="I28" s="614" t="s">
        <v>63</v>
      </c>
      <c r="J28" s="615" t="s">
        <v>63</v>
      </c>
      <c r="K28" s="672" t="s">
        <v>63</v>
      </c>
      <c r="L28" s="785" t="s">
        <v>63</v>
      </c>
      <c r="M28" s="704" t="s">
        <v>63</v>
      </c>
      <c r="N28" s="953" t="s">
        <v>63</v>
      </c>
      <c r="O28" s="619" t="s">
        <v>63</v>
      </c>
      <c r="P28" s="952">
        <f>ifna(vlookup(A28,'Population &amp; Church Numbers'!$A$1234:$D$1316,4,FALSE),"NULL")</f>
        <v>29</v>
      </c>
      <c r="Q28" s="674" t="s">
        <v>63</v>
      </c>
    </row>
    <row r="29">
      <c r="A29" s="609" t="s">
        <v>1250</v>
      </c>
      <c r="B29" s="610">
        <f t="array" ref="B29">VLOOKUP($A29,MI_DEMO,2,FALSE)</f>
        <v>14380</v>
      </c>
      <c r="C29" s="948">
        <f>VLOOKUP($A29,'MI Data'!$A$5:$E$88,2,FALSE)</f>
        <v>30</v>
      </c>
      <c r="D29" s="612">
        <f>VLOOKUP($A29,'MI Data'!$A$5:$E$88,5,FALSE)</f>
        <v>2.11</v>
      </c>
      <c r="E29" s="612" t="s">
        <v>63</v>
      </c>
      <c r="F29" s="612" t="s">
        <v>63</v>
      </c>
      <c r="G29" s="612">
        <f>VLOOKUP($A29,'MI Data'!$A$5:$E$88,3,FALSE)</f>
        <v>3</v>
      </c>
      <c r="H29" s="671">
        <f>VLOOKUP($A29,'MI Data'!$A$5:$E$88,4,FALSE)</f>
        <v>9</v>
      </c>
      <c r="I29" s="614" t="s">
        <v>63</v>
      </c>
      <c r="J29" s="615" t="s">
        <v>63</v>
      </c>
      <c r="K29" s="672" t="s">
        <v>63</v>
      </c>
      <c r="L29" s="785" t="s">
        <v>63</v>
      </c>
      <c r="M29" s="704" t="s">
        <v>63</v>
      </c>
      <c r="N29" s="953" t="s">
        <v>63</v>
      </c>
      <c r="O29" s="619" t="s">
        <v>63</v>
      </c>
      <c r="P29" s="952">
        <f>ifna(vlookup(A29,'Population &amp; Church Numbers'!$A$1234:$D$1316,4,FALSE),"NULL")</f>
        <v>18</v>
      </c>
      <c r="Q29" s="674" t="s">
        <v>63</v>
      </c>
    </row>
    <row r="30">
      <c r="A30" s="609" t="s">
        <v>1251</v>
      </c>
      <c r="B30" s="610">
        <f t="array" ref="B30">VLOOKUP($A30,MI_DEMO,2,FALSE)</f>
        <v>95238</v>
      </c>
      <c r="C30" s="948">
        <f>VLOOKUP($A30,'MI Data'!$A$5:$E$88,2,FALSE)</f>
        <v>56</v>
      </c>
      <c r="D30" s="612">
        <f>VLOOKUP($A30,'MI Data'!$A$5:$E$88,5,FALSE)</f>
        <v>1.7</v>
      </c>
      <c r="E30" s="612" t="s">
        <v>63</v>
      </c>
      <c r="F30" s="612" t="s">
        <v>63</v>
      </c>
      <c r="G30" s="612">
        <f>VLOOKUP($A30,'MI Data'!$A$5:$E$88,3,FALSE)</f>
        <v>16</v>
      </c>
      <c r="H30" s="671">
        <f>VLOOKUP($A30,'MI Data'!$A$5:$E$88,4,FALSE)</f>
        <v>46</v>
      </c>
      <c r="I30" s="614" t="s">
        <v>63</v>
      </c>
      <c r="J30" s="615" t="s">
        <v>63</v>
      </c>
      <c r="K30" s="672" t="s">
        <v>63</v>
      </c>
      <c r="L30" s="785" t="s">
        <v>63</v>
      </c>
      <c r="M30" s="704" t="s">
        <v>63</v>
      </c>
      <c r="N30" s="953" t="s">
        <v>63</v>
      </c>
      <c r="O30" s="619" t="s">
        <v>63</v>
      </c>
      <c r="P30" s="952">
        <f>ifna(vlookup(A30,'Population &amp; Church Numbers'!$A$1234:$D$1316,4,FALSE),"NULL")</f>
        <v>66</v>
      </c>
      <c r="Q30" s="674" t="s">
        <v>63</v>
      </c>
    </row>
    <row r="31">
      <c r="A31" s="609" t="s">
        <v>1252</v>
      </c>
      <c r="B31" s="610">
        <f t="array" ref="B31">VLOOKUP($A31,MI_DEMO,2,FALSE)</f>
        <v>41761</v>
      </c>
      <c r="C31" s="948">
        <f>VLOOKUP($A31,'MI Data'!$A$5:$E$88,2,FALSE)</f>
        <v>33</v>
      </c>
      <c r="D31" s="612">
        <f>VLOOKUP($A31,'MI Data'!$A$5:$E$88,5,FALSE)</f>
        <v>2.25</v>
      </c>
      <c r="E31" s="612" t="s">
        <v>63</v>
      </c>
      <c r="F31" s="612" t="s">
        <v>63</v>
      </c>
      <c r="G31" s="612">
        <f>VLOOKUP($A31,'MI Data'!$A$5:$E$88,3,FALSE)</f>
        <v>9</v>
      </c>
      <c r="H31" s="671">
        <f>VLOOKUP($A31,'MI Data'!$A$5:$E$88,4,FALSE)</f>
        <v>16</v>
      </c>
      <c r="I31" s="614" t="s">
        <v>63</v>
      </c>
      <c r="J31" s="615" t="s">
        <v>63</v>
      </c>
      <c r="K31" s="672" t="s">
        <v>63</v>
      </c>
      <c r="L31" s="785" t="s">
        <v>63</v>
      </c>
      <c r="M31" s="704" t="s">
        <v>63</v>
      </c>
      <c r="N31" s="953" t="s">
        <v>63</v>
      </c>
      <c r="O31" s="619" t="s">
        <v>63</v>
      </c>
      <c r="P31" s="952">
        <f>ifna(vlookup(A31,'Population &amp; Church Numbers'!$A$1234:$D$1316,4,FALSE),"NULL")</f>
        <v>49</v>
      </c>
      <c r="Q31" s="674" t="s">
        <v>63</v>
      </c>
    </row>
    <row r="32">
      <c r="A32" s="609" t="s">
        <v>1253</v>
      </c>
      <c r="B32" s="610">
        <f t="array" ref="B32">VLOOKUP($A32,MI_DEMO,2,FALSE)</f>
        <v>45746</v>
      </c>
      <c r="C32" s="948">
        <f>VLOOKUP($A32,'MI Data'!$A$5:$E$88,2,FALSE)</f>
        <v>112</v>
      </c>
      <c r="D32" s="612">
        <f>VLOOKUP($A32,'MI Data'!$A$5:$E$88,5,FALSE)</f>
        <v>2.5</v>
      </c>
      <c r="E32" s="612" t="s">
        <v>63</v>
      </c>
      <c r="F32" s="612" t="s">
        <v>63</v>
      </c>
      <c r="G32" s="612">
        <f>VLOOKUP($A32,'MI Data'!$A$5:$E$88,3,FALSE)</f>
        <v>27</v>
      </c>
      <c r="H32" s="671">
        <f>VLOOKUP($A32,'MI Data'!$A$5:$E$88,4,FALSE)</f>
        <v>18</v>
      </c>
      <c r="I32" s="614" t="s">
        <v>63</v>
      </c>
      <c r="J32" s="615" t="s">
        <v>63</v>
      </c>
      <c r="K32" s="672" t="s">
        <v>63</v>
      </c>
      <c r="L32" s="785" t="s">
        <v>63</v>
      </c>
      <c r="M32" s="704" t="s">
        <v>63</v>
      </c>
      <c r="N32" s="953" t="s">
        <v>63</v>
      </c>
      <c r="O32" s="619" t="s">
        <v>63</v>
      </c>
      <c r="P32" s="952">
        <f>ifna(vlookup(A32,'Population &amp; Church Numbers'!$A$1234:$D$1316,4,FALSE),"NULL")</f>
        <v>58</v>
      </c>
      <c r="Q32" s="674" t="s">
        <v>63</v>
      </c>
    </row>
    <row r="33">
      <c r="A33" s="609" t="s">
        <v>1254</v>
      </c>
      <c r="B33" s="610">
        <f t="array" ref="B33">VLOOKUP($A33,MI_DEMO,2,FALSE)</f>
        <v>37361</v>
      </c>
      <c r="C33" s="948">
        <f>VLOOKUP($A33,'MI Data'!$A$5:$E$88,2,FALSE)</f>
        <v>13</v>
      </c>
      <c r="D33" s="612">
        <f>VLOOKUP($A33,'MI Data'!$A$5:$E$88,5,FALSE)</f>
        <v>2.08</v>
      </c>
      <c r="E33" s="612" t="s">
        <v>63</v>
      </c>
      <c r="F33" s="612" t="s">
        <v>63</v>
      </c>
      <c r="G33" s="612">
        <f>VLOOKUP($A33,'MI Data'!$A$5:$E$88,3,FALSE)</f>
        <v>4</v>
      </c>
      <c r="H33" s="671">
        <f>VLOOKUP($A33,'MI Data'!$A$5:$E$88,4,FALSE)</f>
        <v>13</v>
      </c>
      <c r="I33" s="614" t="s">
        <v>63</v>
      </c>
      <c r="J33" s="615" t="s">
        <v>63</v>
      </c>
      <c r="K33" s="672" t="s">
        <v>63</v>
      </c>
      <c r="L33" s="785" t="s">
        <v>63</v>
      </c>
      <c r="M33" s="704" t="s">
        <v>63</v>
      </c>
      <c r="N33" s="953" t="s">
        <v>63</v>
      </c>
      <c r="O33" s="619" t="s">
        <v>63</v>
      </c>
      <c r="P33" s="952">
        <f>ifna(vlookup(A33,'Population &amp; Church Numbers'!$A$1234:$D$1316,4,FALSE),"NULL")</f>
        <v>45</v>
      </c>
      <c r="Q33" s="674" t="s">
        <v>63</v>
      </c>
    </row>
    <row r="34">
      <c r="A34" s="609" t="s">
        <v>1255</v>
      </c>
      <c r="B34" s="610">
        <f t="array" ref="B34">VLOOKUP($A34,MI_DEMO,2,FALSE)</f>
        <v>31407</v>
      </c>
      <c r="C34" s="948">
        <f>VLOOKUP($A34,'MI Data'!$A$5:$E$88,2,FALSE)</f>
        <v>42</v>
      </c>
      <c r="D34" s="612">
        <f>VLOOKUP($A34,'MI Data'!$A$5:$E$88,5,FALSE)</f>
        <v>1.88</v>
      </c>
      <c r="E34" s="612" t="s">
        <v>63</v>
      </c>
      <c r="F34" s="612" t="s">
        <v>63</v>
      </c>
      <c r="G34" s="612">
        <f>VLOOKUP($A34,'MI Data'!$A$5:$E$88,3,FALSE)</f>
        <v>2</v>
      </c>
      <c r="H34" s="671">
        <f>VLOOKUP($A34,'MI Data'!$A$5:$E$88,4,FALSE)</f>
        <v>17</v>
      </c>
      <c r="I34" s="614" t="s">
        <v>63</v>
      </c>
      <c r="J34" s="615" t="s">
        <v>63</v>
      </c>
      <c r="K34" s="672" t="s">
        <v>63</v>
      </c>
      <c r="L34" s="785" t="s">
        <v>63</v>
      </c>
      <c r="M34" s="704" t="s">
        <v>63</v>
      </c>
      <c r="N34" s="953" t="s">
        <v>63</v>
      </c>
      <c r="O34" s="619" t="s">
        <v>63</v>
      </c>
      <c r="P34" s="952">
        <f>ifna(vlookup(A34,'Population &amp; Church Numbers'!$A$1234:$D$1316,4,FALSE),"NULL")</f>
        <v>57</v>
      </c>
      <c r="Q34" s="674" t="s">
        <v>63</v>
      </c>
    </row>
    <row r="35">
      <c r="A35" s="609" t="s">
        <v>1256</v>
      </c>
      <c r="B35" s="610">
        <f t="array" ref="B35">VLOOKUP($A35,MI_DEMO,2,FALSE)</f>
        <v>284900</v>
      </c>
      <c r="C35" s="948">
        <f>VLOOKUP($A35,'MI Data'!$A$5:$E$88,2,FALSE)</f>
        <v>391</v>
      </c>
      <c r="D35" s="612">
        <f>VLOOKUP($A35,'MI Data'!$A$5:$E$88,5,FALSE)</f>
        <v>1.92</v>
      </c>
      <c r="E35" s="612" t="s">
        <v>63</v>
      </c>
      <c r="F35" s="612" t="s">
        <v>63</v>
      </c>
      <c r="G35" s="612">
        <f>VLOOKUP($A35,'MI Data'!$A$5:$E$88,3,FALSE)</f>
        <v>82</v>
      </c>
      <c r="H35" s="671">
        <f>VLOOKUP($A35,'MI Data'!$A$5:$E$88,4,FALSE)</f>
        <v>107</v>
      </c>
      <c r="I35" s="614" t="s">
        <v>63</v>
      </c>
      <c r="J35" s="615" t="s">
        <v>63</v>
      </c>
      <c r="K35" s="672" t="s">
        <v>63</v>
      </c>
      <c r="L35" s="785" t="s">
        <v>63</v>
      </c>
      <c r="M35" s="704" t="s">
        <v>63</v>
      </c>
      <c r="N35" s="953" t="s">
        <v>63</v>
      </c>
      <c r="O35" s="619" t="s">
        <v>63</v>
      </c>
      <c r="P35" s="952">
        <f>ifna(vlookup(A35,'Population &amp; Church Numbers'!$A$1234:$D$1316,4,FALSE),"NULL")</f>
        <v>223</v>
      </c>
      <c r="Q35" s="674" t="s">
        <v>63</v>
      </c>
    </row>
    <row r="36">
      <c r="A36" s="609" t="s">
        <v>1257</v>
      </c>
      <c r="B36" s="610">
        <f t="array" ref="B36">VLOOKUP($A36,MI_DEMO,2,FALSE)</f>
        <v>66804</v>
      </c>
      <c r="C36" s="948">
        <f>VLOOKUP($A36,'MI Data'!$A$5:$E$88,2,FALSE)</f>
        <v>44</v>
      </c>
      <c r="D36" s="612">
        <f>VLOOKUP($A36,'MI Data'!$A$5:$E$88,5,FALSE)</f>
        <v>2.08</v>
      </c>
      <c r="E36" s="612" t="s">
        <v>63</v>
      </c>
      <c r="F36" s="612" t="s">
        <v>63</v>
      </c>
      <c r="G36" s="612">
        <f>VLOOKUP($A36,'MI Data'!$A$5:$E$88,3,FALSE)</f>
        <v>5</v>
      </c>
      <c r="H36" s="671">
        <f>VLOOKUP($A36,'MI Data'!$A$5:$E$88,4,FALSE)</f>
        <v>26</v>
      </c>
      <c r="I36" s="614" t="s">
        <v>63</v>
      </c>
      <c r="J36" s="615" t="s">
        <v>63</v>
      </c>
      <c r="K36" s="672" t="s">
        <v>63</v>
      </c>
      <c r="L36" s="785" t="s">
        <v>63</v>
      </c>
      <c r="M36" s="704" t="s">
        <v>63</v>
      </c>
      <c r="N36" s="953" t="s">
        <v>63</v>
      </c>
      <c r="O36" s="619" t="s">
        <v>63</v>
      </c>
      <c r="P36" s="952">
        <f>ifna(vlookup(A36,'Population &amp; Church Numbers'!$A$1234:$D$1316,4,FALSE),"NULL")</f>
        <v>61</v>
      </c>
      <c r="Q36" s="674" t="s">
        <v>63</v>
      </c>
    </row>
    <row r="37">
      <c r="A37" s="609" t="s">
        <v>1258</v>
      </c>
      <c r="B37" s="610">
        <f t="array" ref="B37">VLOOKUP($A37,MI_DEMO,2,FALSE)</f>
        <v>25237</v>
      </c>
      <c r="C37" s="948">
        <f>VLOOKUP($A37,'MI Data'!$A$5:$E$88,2,FALSE)</f>
        <v>36</v>
      </c>
      <c r="D37" s="612">
        <f>VLOOKUP($A37,'MI Data'!$A$5:$E$88,5,FALSE)</f>
        <v>2.39</v>
      </c>
      <c r="E37" s="612" t="s">
        <v>63</v>
      </c>
      <c r="F37" s="612" t="s">
        <v>63</v>
      </c>
      <c r="G37" s="612">
        <f>VLOOKUP($A37,'MI Data'!$A$5:$E$88,3,FALSE)</f>
        <v>7</v>
      </c>
      <c r="H37" s="671">
        <f>VLOOKUP($A37,'MI Data'!$A$5:$E$88,4,FALSE)</f>
        <v>23</v>
      </c>
      <c r="I37" s="614" t="s">
        <v>63</v>
      </c>
      <c r="J37" s="615" t="s">
        <v>63</v>
      </c>
      <c r="K37" s="672" t="s">
        <v>63</v>
      </c>
      <c r="L37" s="785" t="s">
        <v>63</v>
      </c>
      <c r="M37" s="704" t="s">
        <v>63</v>
      </c>
      <c r="N37" s="953" t="s">
        <v>63</v>
      </c>
      <c r="O37" s="619" t="s">
        <v>63</v>
      </c>
      <c r="P37" s="952">
        <f>ifna(vlookup(A37,'Population &amp; Church Numbers'!$A$1234:$D$1316,4,FALSE),"NULL")</f>
        <v>32</v>
      </c>
      <c r="Q37" s="674" t="s">
        <v>63</v>
      </c>
    </row>
    <row r="38">
      <c r="A38" s="609" t="s">
        <v>1259</v>
      </c>
      <c r="B38" s="610">
        <f t="array" ref="B38">VLOOKUP($A38,MI_DEMO,2,FALSE)</f>
        <v>11631</v>
      </c>
      <c r="C38" s="948">
        <f>VLOOKUP($A38,'MI Data'!$A$5:$E$88,2,FALSE)</f>
        <v>12</v>
      </c>
      <c r="D38" s="612">
        <f>VLOOKUP($A38,'MI Data'!$A$5:$E$88,5,FALSE)</f>
        <v>1.67</v>
      </c>
      <c r="E38" s="612" t="s">
        <v>63</v>
      </c>
      <c r="F38" s="612" t="s">
        <v>63</v>
      </c>
      <c r="G38" s="612">
        <f>VLOOKUP($A38,'MI Data'!$A$5:$E$88,3,FALSE)</f>
        <v>1</v>
      </c>
      <c r="H38" s="671">
        <f>VLOOKUP($A38,'MI Data'!$A$5:$E$88,4,FALSE)</f>
        <v>6</v>
      </c>
      <c r="I38" s="614" t="s">
        <v>63</v>
      </c>
      <c r="J38" s="615" t="s">
        <v>63</v>
      </c>
      <c r="K38" s="672" t="s">
        <v>63</v>
      </c>
      <c r="L38" s="785" t="s">
        <v>63</v>
      </c>
      <c r="M38" s="704" t="s">
        <v>63</v>
      </c>
      <c r="N38" s="953" t="s">
        <v>63</v>
      </c>
      <c r="O38" s="619" t="s">
        <v>63</v>
      </c>
      <c r="P38" s="952">
        <f>ifna(vlookup(A38,'Population &amp; Church Numbers'!$A$1234:$D$1316,4,FALSE),"NULL")</f>
        <v>23</v>
      </c>
      <c r="Q38" s="674" t="s">
        <v>63</v>
      </c>
    </row>
    <row r="39">
      <c r="A39" s="609" t="s">
        <v>1260</v>
      </c>
      <c r="B39" s="610">
        <f t="array" ref="B39">VLOOKUP($A39,MI_DEMO,2,FALSE)</f>
        <v>64394</v>
      </c>
      <c r="C39" s="948">
        <f>VLOOKUP($A39,'MI Data'!$A$5:$E$88,2,FALSE)</f>
        <v>45</v>
      </c>
      <c r="D39" s="612">
        <f>VLOOKUP($A39,'MI Data'!$A$5:$E$88,5,FALSE)</f>
        <v>2.27</v>
      </c>
      <c r="E39" s="612" t="s">
        <v>63</v>
      </c>
      <c r="F39" s="612" t="s">
        <v>63</v>
      </c>
      <c r="G39" s="612">
        <f>VLOOKUP($A39,'MI Data'!$A$5:$E$88,3,FALSE)</f>
        <v>4</v>
      </c>
      <c r="H39" s="671">
        <f>VLOOKUP($A39,'MI Data'!$A$5:$E$88,4,FALSE)</f>
        <v>34</v>
      </c>
      <c r="I39" s="614" t="s">
        <v>63</v>
      </c>
      <c r="J39" s="615" t="s">
        <v>63</v>
      </c>
      <c r="K39" s="672" t="s">
        <v>63</v>
      </c>
      <c r="L39" s="785" t="s">
        <v>63</v>
      </c>
      <c r="M39" s="704" t="s">
        <v>63</v>
      </c>
      <c r="N39" s="953" t="s">
        <v>63</v>
      </c>
      <c r="O39" s="619" t="s">
        <v>63</v>
      </c>
      <c r="P39" s="952">
        <f>ifna(vlookup(A39,'Population &amp; Church Numbers'!$A$1234:$D$1316,4,FALSE),"NULL")</f>
        <v>41</v>
      </c>
      <c r="Q39" s="674" t="s">
        <v>63</v>
      </c>
    </row>
    <row r="40">
      <c r="A40" s="609" t="s">
        <v>142</v>
      </c>
      <c r="B40" s="610">
        <f t="array" ref="B40">VLOOKUP($A40,MI_DEMO,2,FALSE)</f>
        <v>160366</v>
      </c>
      <c r="C40" s="948">
        <f>VLOOKUP($A40,'MI Data'!$A$5:$E$88,2,FALSE)</f>
        <v>156</v>
      </c>
      <c r="D40" s="612">
        <f>VLOOKUP($A40,'MI Data'!$A$5:$E$88,5,FALSE)</f>
        <v>2.31</v>
      </c>
      <c r="E40" s="612" t="s">
        <v>63</v>
      </c>
      <c r="F40" s="612" t="s">
        <v>63</v>
      </c>
      <c r="G40" s="612">
        <f>VLOOKUP($A40,'MI Data'!$A$5:$E$88,3,FALSE)</f>
        <v>45</v>
      </c>
      <c r="H40" s="671">
        <f>VLOOKUP($A40,'MI Data'!$A$5:$E$88,4,FALSE)</f>
        <v>67</v>
      </c>
      <c r="I40" s="614" t="s">
        <v>63</v>
      </c>
      <c r="J40" s="615" t="s">
        <v>63</v>
      </c>
      <c r="K40" s="672" t="s">
        <v>63</v>
      </c>
      <c r="L40" s="785" t="s">
        <v>63</v>
      </c>
      <c r="M40" s="704" t="s">
        <v>63</v>
      </c>
      <c r="N40" s="953" t="s">
        <v>63</v>
      </c>
      <c r="O40" s="619" t="s">
        <v>63</v>
      </c>
      <c r="P40" s="952">
        <f>ifna(vlookup(A40,'Population &amp; Church Numbers'!$A$1234:$D$1316,4,FALSE),"NULL")</f>
        <v>134</v>
      </c>
      <c r="Q40" s="674" t="s">
        <v>63</v>
      </c>
    </row>
    <row r="41">
      <c r="A41" s="609" t="s">
        <v>1261</v>
      </c>
      <c r="B41" s="610">
        <f t="array" ref="B41">VLOOKUP($A41,MI_DEMO,2,FALSE)</f>
        <v>261670</v>
      </c>
      <c r="C41" s="948">
        <f>VLOOKUP($A41,'MI Data'!$A$5:$E$88,2,FALSE)</f>
        <v>396</v>
      </c>
      <c r="D41" s="612">
        <f>VLOOKUP($A41,'MI Data'!$A$5:$E$88,5,FALSE)</f>
        <v>2</v>
      </c>
      <c r="E41" s="612" t="s">
        <v>63</v>
      </c>
      <c r="F41" s="612" t="s">
        <v>63</v>
      </c>
      <c r="G41" s="612">
        <f>VLOOKUP($A41,'MI Data'!$A$5:$E$88,3,FALSE)</f>
        <v>100</v>
      </c>
      <c r="H41" s="671">
        <f>VLOOKUP($A41,'MI Data'!$A$5:$E$88,4,FALSE)</f>
        <v>136</v>
      </c>
      <c r="I41" s="614" t="s">
        <v>63</v>
      </c>
      <c r="J41" s="615" t="s">
        <v>63</v>
      </c>
      <c r="K41" s="672" t="s">
        <v>63</v>
      </c>
      <c r="L41" s="785" t="s">
        <v>63</v>
      </c>
      <c r="M41" s="704" t="s">
        <v>63</v>
      </c>
      <c r="N41" s="953" t="s">
        <v>63</v>
      </c>
      <c r="O41" s="619" t="s">
        <v>63</v>
      </c>
      <c r="P41" s="952">
        <f>ifna(vlookup(A41,'Population &amp; Church Numbers'!$A$1234:$D$1316,4,FALSE),"NULL")</f>
        <v>172</v>
      </c>
      <c r="Q41" s="674" t="s">
        <v>63</v>
      </c>
    </row>
    <row r="42">
      <c r="A42" s="609" t="s">
        <v>1262</v>
      </c>
      <c r="B42" s="610">
        <f t="array" ref="B42">VLOOKUP($A42,MI_DEMO,2,FALSE)</f>
        <v>17939</v>
      </c>
      <c r="C42" s="948">
        <f>VLOOKUP($A42,'MI Data'!$A$5:$E$88,2,FALSE)</f>
        <v>20</v>
      </c>
      <c r="D42" s="612">
        <f>VLOOKUP($A42,'MI Data'!$A$5:$E$88,5,FALSE)</f>
        <v>3.3</v>
      </c>
      <c r="E42" s="612" t="s">
        <v>63</v>
      </c>
      <c r="F42" s="612" t="s">
        <v>63</v>
      </c>
      <c r="G42" s="612">
        <f>VLOOKUP($A42,'MI Data'!$A$5:$E$88,3,FALSE)</f>
        <v>10</v>
      </c>
      <c r="H42" s="671">
        <f>VLOOKUP($A42,'MI Data'!$A$5:$E$88,4,FALSE)</f>
        <v>10</v>
      </c>
      <c r="I42" s="614" t="s">
        <v>63</v>
      </c>
      <c r="J42" s="615" t="s">
        <v>63</v>
      </c>
      <c r="K42" s="672" t="s">
        <v>63</v>
      </c>
      <c r="L42" s="785" t="s">
        <v>63</v>
      </c>
      <c r="M42" s="704" t="s">
        <v>63</v>
      </c>
      <c r="N42" s="953" t="s">
        <v>63</v>
      </c>
      <c r="O42" s="619" t="s">
        <v>63</v>
      </c>
      <c r="P42" s="952">
        <f>ifna(vlookup(A42,'Population &amp; Church Numbers'!$A$1234:$D$1316,4,FALSE),"NULL")</f>
        <v>19</v>
      </c>
      <c r="Q42" s="674" t="s">
        <v>63</v>
      </c>
    </row>
    <row r="43">
      <c r="A43" s="609" t="s">
        <v>474</v>
      </c>
      <c r="B43" s="610">
        <f t="array" ref="B43">VLOOKUP($A43,MI_DEMO,2,FALSE)</f>
        <v>657974</v>
      </c>
      <c r="C43" s="948">
        <f>VLOOKUP($A43,'MI Data'!$A$5:$E$88,2,FALSE)</f>
        <v>512</v>
      </c>
      <c r="D43" s="612">
        <f>VLOOKUP($A43,'MI Data'!$A$5:$E$88,5,FALSE)</f>
        <v>2.02</v>
      </c>
      <c r="E43" s="612" t="s">
        <v>63</v>
      </c>
      <c r="F43" s="612" t="s">
        <v>63</v>
      </c>
      <c r="G43" s="612">
        <f>VLOOKUP($A43,'MI Data'!$A$5:$E$88,3,FALSE)</f>
        <v>86</v>
      </c>
      <c r="H43" s="671">
        <f>VLOOKUP($A43,'MI Data'!$A$5:$E$88,4,FALSE)</f>
        <v>288</v>
      </c>
      <c r="I43" s="614" t="s">
        <v>63</v>
      </c>
      <c r="J43" s="615" t="s">
        <v>63</v>
      </c>
      <c r="K43" s="672" t="s">
        <v>63</v>
      </c>
      <c r="L43" s="785" t="s">
        <v>63</v>
      </c>
      <c r="M43" s="704" t="s">
        <v>63</v>
      </c>
      <c r="N43" s="953" t="s">
        <v>63</v>
      </c>
      <c r="O43" s="619" t="s">
        <v>63</v>
      </c>
      <c r="P43" s="952">
        <f>ifna(vlookup(A43,'Population &amp; Church Numbers'!$A$1234:$D$1316,4,FALSE),"NULL")</f>
        <v>448</v>
      </c>
      <c r="Q43" s="674" t="s">
        <v>63</v>
      </c>
    </row>
    <row r="44">
      <c r="A44" s="609" t="s">
        <v>1263</v>
      </c>
      <c r="B44" s="610">
        <f t="array" ref="B44">VLOOKUP($A44,MI_DEMO,2,FALSE)</f>
        <v>2046</v>
      </c>
      <c r="C44" s="948">
        <f>VLOOKUP($A44,'MI Data'!$A$5:$E$88,2,FALSE)</f>
        <v>2</v>
      </c>
      <c r="D44" s="612">
        <f>VLOOKUP($A44,'MI Data'!$A$5:$E$88,5,FALSE)</f>
        <v>2</v>
      </c>
      <c r="E44" s="612" t="s">
        <v>63</v>
      </c>
      <c r="F44" s="612" t="s">
        <v>63</v>
      </c>
      <c r="G44" s="612">
        <f>VLOOKUP($A44,'MI Data'!$A$5:$E$88,3,FALSE)</f>
        <v>1</v>
      </c>
      <c r="H44" s="671">
        <f>VLOOKUP($A44,'MI Data'!$A$5:$E$88,4,FALSE)</f>
        <v>1</v>
      </c>
      <c r="I44" s="614" t="s">
        <v>63</v>
      </c>
      <c r="J44" s="615" t="s">
        <v>63</v>
      </c>
      <c r="K44" s="672" t="s">
        <v>63</v>
      </c>
      <c r="L44" s="785" t="s">
        <v>63</v>
      </c>
      <c r="M44" s="704" t="s">
        <v>63</v>
      </c>
      <c r="N44" s="953" t="s">
        <v>63</v>
      </c>
      <c r="O44" s="619" t="s">
        <v>63</v>
      </c>
      <c r="P44" s="952">
        <f>ifna(vlookup(A44,'Population &amp; Church Numbers'!$A$1234:$D$1316,4,FALSE),"NULL")</f>
        <v>4</v>
      </c>
      <c r="Q44" s="674" t="s">
        <v>63</v>
      </c>
    </row>
    <row r="45">
      <c r="A45" s="609" t="s">
        <v>337</v>
      </c>
      <c r="B45" s="610">
        <f t="array" ref="B45">VLOOKUP($A45,MI_DEMO,2,FALSE)</f>
        <v>12096</v>
      </c>
      <c r="C45" s="948">
        <f>VLOOKUP($A45,'MI Data'!$A$5:$E$88,2,FALSE)</f>
        <v>28</v>
      </c>
      <c r="D45" s="612">
        <f>VLOOKUP($A45,'MI Data'!$A$5:$E$88,5,FALSE)</f>
        <v>2.86</v>
      </c>
      <c r="E45" s="612" t="s">
        <v>63</v>
      </c>
      <c r="F45" s="612" t="s">
        <v>63</v>
      </c>
      <c r="G45" s="612">
        <f>VLOOKUP($A45,'MI Data'!$A$5:$E$88,3,FALSE)</f>
        <v>7</v>
      </c>
      <c r="H45" s="671">
        <f>VLOOKUP($A45,'MI Data'!$A$5:$E$88,4,FALSE)</f>
        <v>7</v>
      </c>
      <c r="I45" s="614" t="s">
        <v>63</v>
      </c>
      <c r="J45" s="615" t="s">
        <v>63</v>
      </c>
      <c r="K45" s="672" t="s">
        <v>63</v>
      </c>
      <c r="L45" s="785" t="s">
        <v>63</v>
      </c>
      <c r="M45" s="704" t="s">
        <v>63</v>
      </c>
      <c r="N45" s="953" t="s">
        <v>63</v>
      </c>
      <c r="O45" s="619" t="s">
        <v>63</v>
      </c>
      <c r="P45" s="952">
        <f>ifna(vlookup(A45,'Population &amp; Church Numbers'!$A$1234:$D$1316,4,FALSE),"NULL")</f>
        <v>24</v>
      </c>
      <c r="Q45" s="674" t="s">
        <v>63</v>
      </c>
    </row>
    <row r="46">
      <c r="A46" s="609" t="s">
        <v>1264</v>
      </c>
      <c r="B46" s="610">
        <f t="array" ref="B46">VLOOKUP($A46,MI_DEMO,2,FALSE)</f>
        <v>88619</v>
      </c>
      <c r="C46" s="948">
        <f>VLOOKUP($A46,'MI Data'!$A$5:$E$88,2,FALSE)</f>
        <v>38</v>
      </c>
      <c r="D46" s="612">
        <f>VLOOKUP($A46,'MI Data'!$A$5:$E$88,5,FALSE)</f>
        <v>2.27</v>
      </c>
      <c r="E46" s="612" t="s">
        <v>63</v>
      </c>
      <c r="F46" s="612" t="s">
        <v>63</v>
      </c>
      <c r="G46" s="612">
        <f>VLOOKUP($A46,'MI Data'!$A$5:$E$88,3,FALSE)</f>
        <v>6</v>
      </c>
      <c r="H46" s="671">
        <f>VLOOKUP($A46,'MI Data'!$A$5:$E$88,4,FALSE)</f>
        <v>37</v>
      </c>
      <c r="I46" s="614" t="s">
        <v>63</v>
      </c>
      <c r="J46" s="615" t="s">
        <v>63</v>
      </c>
      <c r="K46" s="672" t="s">
        <v>63</v>
      </c>
      <c r="L46" s="785" t="s">
        <v>63</v>
      </c>
      <c r="M46" s="704" t="s">
        <v>63</v>
      </c>
      <c r="N46" s="953" t="s">
        <v>63</v>
      </c>
      <c r="O46" s="619" t="s">
        <v>63</v>
      </c>
      <c r="P46" s="952">
        <f>ifna(vlookup(A46,'Population &amp; Church Numbers'!$A$1234:$D$1316,4,FALSE),"NULL")</f>
        <v>75</v>
      </c>
      <c r="Q46" s="674" t="s">
        <v>63</v>
      </c>
    </row>
    <row r="47">
      <c r="A47" s="609" t="s">
        <v>1265</v>
      </c>
      <c r="B47" s="610">
        <f t="array" ref="B47">VLOOKUP($A47,MI_DEMO,2,FALSE)</f>
        <v>22301</v>
      </c>
      <c r="C47" s="948">
        <f>VLOOKUP($A47,'MI Data'!$A$5:$E$88,2,FALSE)</f>
        <v>8</v>
      </c>
      <c r="D47" s="612">
        <f>VLOOKUP($A47,'MI Data'!$A$5:$E$88,5,FALSE)</f>
        <v>2.33</v>
      </c>
      <c r="E47" s="612" t="s">
        <v>63</v>
      </c>
      <c r="F47" s="612" t="s">
        <v>63</v>
      </c>
      <c r="G47" s="612">
        <f>VLOOKUP($A47,'MI Data'!$A$5:$E$88,3,FALSE)</f>
        <v>7</v>
      </c>
      <c r="H47" s="671">
        <f>VLOOKUP($A47,'MI Data'!$A$5:$E$88,4,FALSE)</f>
        <v>6</v>
      </c>
      <c r="I47" s="614" t="s">
        <v>63</v>
      </c>
      <c r="J47" s="615" t="s">
        <v>63</v>
      </c>
      <c r="K47" s="672" t="s">
        <v>63</v>
      </c>
      <c r="L47" s="785" t="s">
        <v>63</v>
      </c>
      <c r="M47" s="704" t="s">
        <v>63</v>
      </c>
      <c r="N47" s="953" t="s">
        <v>63</v>
      </c>
      <c r="O47" s="619" t="s">
        <v>63</v>
      </c>
      <c r="P47" s="952">
        <f>ifna(vlookup(A47,'Population &amp; Church Numbers'!$A$1234:$D$1316,4,FALSE),"NULL")</f>
        <v>25</v>
      </c>
      <c r="Q47" s="674" t="s">
        <v>63</v>
      </c>
    </row>
    <row r="48">
      <c r="A48" s="609" t="s">
        <v>1266</v>
      </c>
      <c r="B48" s="610">
        <f t="array" ref="B48">VLOOKUP($A48,MI_DEMO,2,FALSE)</f>
        <v>99423</v>
      </c>
      <c r="C48" s="948">
        <f>VLOOKUP($A48,'MI Data'!$A$5:$E$88,2,FALSE)</f>
        <v>134</v>
      </c>
      <c r="D48" s="612">
        <f>VLOOKUP($A48,'MI Data'!$A$5:$E$88,5,FALSE)</f>
        <v>2.55</v>
      </c>
      <c r="E48" s="612" t="s">
        <v>63</v>
      </c>
      <c r="F48" s="612" t="s">
        <v>63</v>
      </c>
      <c r="G48" s="612">
        <f>VLOOKUP($A48,'MI Data'!$A$5:$E$88,3,FALSE)</f>
        <v>15</v>
      </c>
      <c r="H48" s="671">
        <f>VLOOKUP($A48,'MI Data'!$A$5:$E$88,4,FALSE)</f>
        <v>38</v>
      </c>
      <c r="I48" s="614" t="s">
        <v>63</v>
      </c>
      <c r="J48" s="615" t="s">
        <v>63</v>
      </c>
      <c r="K48" s="672" t="s">
        <v>63</v>
      </c>
      <c r="L48" s="785" t="s">
        <v>63</v>
      </c>
      <c r="M48" s="704" t="s">
        <v>63</v>
      </c>
      <c r="N48" s="953" t="s">
        <v>63</v>
      </c>
      <c r="O48" s="619" t="s">
        <v>63</v>
      </c>
      <c r="P48" s="952">
        <f>ifna(vlookup(A48,'Population &amp; Church Numbers'!$A$1234:$D$1316,4,FALSE),"NULL")</f>
        <v>117</v>
      </c>
      <c r="Q48" s="674" t="s">
        <v>63</v>
      </c>
    </row>
    <row r="49">
      <c r="A49" s="609" t="s">
        <v>730</v>
      </c>
      <c r="B49" s="610">
        <f t="array" ref="B49">VLOOKUP($A49,MI_DEMO,2,FALSE)</f>
        <v>193866</v>
      </c>
      <c r="C49" s="948">
        <f>VLOOKUP($A49,'MI Data'!$A$5:$E$88,2,FALSE)</f>
        <v>86</v>
      </c>
      <c r="D49" s="612">
        <f>VLOOKUP($A49,'MI Data'!$A$5:$E$88,5,FALSE)</f>
        <v>2.02</v>
      </c>
      <c r="E49" s="612" t="s">
        <v>63</v>
      </c>
      <c r="F49" s="612" t="s">
        <v>63</v>
      </c>
      <c r="G49" s="612">
        <f>VLOOKUP($A49,'MI Data'!$A$5:$E$88,3,FALSE)</f>
        <v>12</v>
      </c>
      <c r="H49" s="671">
        <f>VLOOKUP($A49,'MI Data'!$A$5:$E$88,4,FALSE)</f>
        <v>91</v>
      </c>
      <c r="I49" s="614" t="s">
        <v>63</v>
      </c>
      <c r="J49" s="615" t="s">
        <v>63</v>
      </c>
      <c r="K49" s="672" t="s">
        <v>63</v>
      </c>
      <c r="L49" s="785" t="s">
        <v>63</v>
      </c>
      <c r="M49" s="704" t="s">
        <v>63</v>
      </c>
      <c r="N49" s="953" t="s">
        <v>63</v>
      </c>
      <c r="O49" s="619" t="s">
        <v>63</v>
      </c>
      <c r="P49" s="952">
        <f>ifna(vlookup(A49,'Population &amp; Church Numbers'!$A$1234:$D$1316,4,FALSE),"NULL")</f>
        <v>90</v>
      </c>
      <c r="Q49" s="674" t="s">
        <v>63</v>
      </c>
    </row>
    <row r="50">
      <c r="A50" s="609" t="s">
        <v>1267</v>
      </c>
      <c r="B50" s="610">
        <f t="array" ref="B50">VLOOKUP($A50,MI_DEMO,2,FALSE)</f>
        <v>5339</v>
      </c>
      <c r="C50" s="948">
        <f>VLOOKUP($A50,'MI Data'!$A$5:$E$88,2,FALSE)</f>
        <v>6</v>
      </c>
      <c r="D50" s="612">
        <f>VLOOKUP($A50,'MI Data'!$A$5:$E$88,5,FALSE)</f>
        <v>3</v>
      </c>
      <c r="E50" s="612" t="s">
        <v>63</v>
      </c>
      <c r="F50" s="612" t="s">
        <v>63</v>
      </c>
      <c r="G50" s="612">
        <f>VLOOKUP($A50,'MI Data'!$A$5:$E$88,3,FALSE)</f>
        <v>2</v>
      </c>
      <c r="H50" s="671">
        <f>VLOOKUP($A50,'MI Data'!$A$5:$E$88,4,FALSE)</f>
        <v>4</v>
      </c>
      <c r="I50" s="614" t="s">
        <v>63</v>
      </c>
      <c r="J50" s="615" t="s">
        <v>63</v>
      </c>
      <c r="K50" s="672" t="s">
        <v>63</v>
      </c>
      <c r="L50" s="785" t="s">
        <v>63</v>
      </c>
      <c r="M50" s="704" t="s">
        <v>63</v>
      </c>
      <c r="N50" s="953" t="s">
        <v>63</v>
      </c>
      <c r="O50" s="619" t="s">
        <v>63</v>
      </c>
      <c r="P50" s="952">
        <f>ifna(vlookup(A50,'Population &amp; Church Numbers'!$A$1234:$D$1316,4,FALSE),"NULL")</f>
        <v>11</v>
      </c>
      <c r="Q50" s="674" t="s">
        <v>63</v>
      </c>
    </row>
    <row r="51">
      <c r="A51" s="609" t="s">
        <v>1268</v>
      </c>
      <c r="B51" s="610">
        <f t="array" ref="B51">VLOOKUP($A51,MI_DEMO,2,FALSE)</f>
        <v>10834</v>
      </c>
      <c r="C51" s="948">
        <f>VLOOKUP($A51,'MI Data'!$A$5:$E$88,2,FALSE)</f>
        <v>15</v>
      </c>
      <c r="D51" s="612">
        <f>VLOOKUP($A51,'MI Data'!$A$5:$E$88,5,FALSE)</f>
        <v>2</v>
      </c>
      <c r="E51" s="612" t="s">
        <v>63</v>
      </c>
      <c r="F51" s="612" t="s">
        <v>63</v>
      </c>
      <c r="G51" s="612">
        <f>VLOOKUP($A51,'MI Data'!$A$5:$E$88,3,FALSE)</f>
        <v>4</v>
      </c>
      <c r="H51" s="671">
        <f>VLOOKUP($A51,'MI Data'!$A$5:$E$88,4,FALSE)</f>
        <v>3</v>
      </c>
      <c r="I51" s="614" t="s">
        <v>63</v>
      </c>
      <c r="J51" s="615" t="s">
        <v>63</v>
      </c>
      <c r="K51" s="672" t="s">
        <v>63</v>
      </c>
      <c r="L51" s="785" t="s">
        <v>63</v>
      </c>
      <c r="M51" s="704" t="s">
        <v>63</v>
      </c>
      <c r="N51" s="953" t="s">
        <v>63</v>
      </c>
      <c r="O51" s="619" t="s">
        <v>63</v>
      </c>
      <c r="P51" s="952">
        <f>ifna(vlookup(A51,'Population &amp; Church Numbers'!$A$1234:$D$1316,4,FALSE),"NULL")</f>
        <v>24</v>
      </c>
      <c r="Q51" s="674" t="s">
        <v>63</v>
      </c>
    </row>
    <row r="52">
      <c r="A52" s="609" t="s">
        <v>478</v>
      </c>
      <c r="B52" s="610">
        <f t="array" ref="B52">VLOOKUP($A52,MI_DEMO,2,FALSE)</f>
        <v>881217</v>
      </c>
      <c r="C52" s="948">
        <f>VLOOKUP($A52,'MI Data'!$A$5:$E$88,2,FALSE)</f>
        <v>478</v>
      </c>
      <c r="D52" s="612">
        <f>VLOOKUP($A52,'MI Data'!$A$5:$E$88,5,FALSE)</f>
        <v>1.72</v>
      </c>
      <c r="E52" s="612" t="s">
        <v>63</v>
      </c>
      <c r="F52" s="612" t="s">
        <v>63</v>
      </c>
      <c r="G52" s="612">
        <f>VLOOKUP($A52,'MI Data'!$A$5:$E$88,3,FALSE)</f>
        <v>137</v>
      </c>
      <c r="H52" s="671">
        <f>VLOOKUP($A52,'MI Data'!$A$5:$E$88,4,FALSE)</f>
        <v>215</v>
      </c>
      <c r="I52" s="614" t="s">
        <v>63</v>
      </c>
      <c r="J52" s="615" t="s">
        <v>63</v>
      </c>
      <c r="K52" s="672" t="s">
        <v>63</v>
      </c>
      <c r="L52" s="785" t="s">
        <v>63</v>
      </c>
      <c r="M52" s="704" t="s">
        <v>63</v>
      </c>
      <c r="N52" s="953" t="s">
        <v>63</v>
      </c>
      <c r="O52" s="619" t="s">
        <v>63</v>
      </c>
      <c r="P52" s="952">
        <f>ifna(vlookup(A52,'Population &amp; Church Numbers'!$A$1234:$D$1316,4,FALSE),"NULL")</f>
        <v>323</v>
      </c>
      <c r="Q52" s="674" t="s">
        <v>63</v>
      </c>
    </row>
    <row r="53">
      <c r="A53" s="609" t="s">
        <v>1269</v>
      </c>
      <c r="B53" s="610">
        <f t="array" ref="B53">VLOOKUP($A53,MI_DEMO,2,FALSE)</f>
        <v>25032</v>
      </c>
      <c r="C53" s="948">
        <f>VLOOKUP($A53,'MI Data'!$A$5:$E$88,2,FALSE)</f>
        <v>34</v>
      </c>
      <c r="D53" s="612">
        <f>VLOOKUP($A53,'MI Data'!$A$5:$E$88,5,FALSE)</f>
        <v>2.15</v>
      </c>
      <c r="E53" s="612" t="s">
        <v>63</v>
      </c>
      <c r="F53" s="612" t="s">
        <v>63</v>
      </c>
      <c r="G53" s="612">
        <f>VLOOKUP($A53,'MI Data'!$A$5:$E$88,3,FALSE)</f>
        <v>8</v>
      </c>
      <c r="H53" s="671">
        <f>VLOOKUP($A53,'MI Data'!$A$5:$E$88,4,FALSE)</f>
        <v>13</v>
      </c>
      <c r="I53" s="614" t="s">
        <v>63</v>
      </c>
      <c r="J53" s="615" t="s">
        <v>63</v>
      </c>
      <c r="K53" s="672" t="s">
        <v>63</v>
      </c>
      <c r="L53" s="785" t="s">
        <v>63</v>
      </c>
      <c r="M53" s="704" t="s">
        <v>63</v>
      </c>
      <c r="N53" s="953" t="s">
        <v>63</v>
      </c>
      <c r="O53" s="619" t="s">
        <v>63</v>
      </c>
      <c r="P53" s="952">
        <f>ifna(vlookup(A53,'Population &amp; Church Numbers'!$A$1234:$D$1316,4,FALSE),"NULL")</f>
        <v>29</v>
      </c>
      <c r="Q53" s="674" t="s">
        <v>63</v>
      </c>
    </row>
    <row r="54">
      <c r="A54" s="609" t="s">
        <v>1270</v>
      </c>
      <c r="B54" s="610">
        <f t="array" ref="B54">VLOOKUP($A54,MI_DEMO,2,FALSE)</f>
        <v>66017</v>
      </c>
      <c r="C54" s="948">
        <f>VLOOKUP($A54,'MI Data'!$A$5:$E$88,2,FALSE)</f>
        <v>48</v>
      </c>
      <c r="D54" s="612">
        <f>VLOOKUP($A54,'MI Data'!$A$5:$E$88,5,FALSE)</f>
        <v>1.97</v>
      </c>
      <c r="E54" s="612" t="s">
        <v>63</v>
      </c>
      <c r="F54" s="612" t="s">
        <v>63</v>
      </c>
      <c r="G54" s="612">
        <f>VLOOKUP($A54,'MI Data'!$A$5:$E$88,3,FALSE)</f>
        <v>3</v>
      </c>
      <c r="H54" s="671">
        <f>VLOOKUP($A54,'MI Data'!$A$5:$E$88,4,FALSE)</f>
        <v>31</v>
      </c>
      <c r="I54" s="614" t="s">
        <v>63</v>
      </c>
      <c r="J54" s="615" t="s">
        <v>63</v>
      </c>
      <c r="K54" s="672" t="s">
        <v>63</v>
      </c>
      <c r="L54" s="785" t="s">
        <v>63</v>
      </c>
      <c r="M54" s="704" t="s">
        <v>63</v>
      </c>
      <c r="N54" s="953" t="s">
        <v>63</v>
      </c>
      <c r="O54" s="619" t="s">
        <v>63</v>
      </c>
      <c r="P54" s="952">
        <f>ifna(vlookup(A54,'Population &amp; Church Numbers'!$A$1234:$D$1316,4,FALSE),"NULL")</f>
        <v>73</v>
      </c>
      <c r="Q54" s="674" t="s">
        <v>63</v>
      </c>
    </row>
    <row r="55">
      <c r="A55" s="609" t="s">
        <v>735</v>
      </c>
      <c r="B55" s="610">
        <f t="array" ref="B55">VLOOKUP($A55,MI_DEMO,2,FALSE)</f>
        <v>29052</v>
      </c>
      <c r="C55" s="948">
        <f>VLOOKUP($A55,'MI Data'!$A$5:$E$88,2,FALSE)</f>
        <v>18</v>
      </c>
      <c r="D55" s="612">
        <f>VLOOKUP($A55,'MI Data'!$A$5:$E$88,5,FALSE)</f>
        <v>2.13</v>
      </c>
      <c r="E55" s="612" t="s">
        <v>63</v>
      </c>
      <c r="F55" s="612" t="s">
        <v>63</v>
      </c>
      <c r="G55" s="612">
        <f>VLOOKUP($A55,'MI Data'!$A$5:$E$88,3,FALSE)</f>
        <v>4</v>
      </c>
      <c r="H55" s="671">
        <f>VLOOKUP($A55,'MI Data'!$A$5:$E$88,4,FALSE)</f>
        <v>16</v>
      </c>
      <c r="I55" s="614" t="s">
        <v>63</v>
      </c>
      <c r="J55" s="615" t="s">
        <v>63</v>
      </c>
      <c r="K55" s="672" t="s">
        <v>63</v>
      </c>
      <c r="L55" s="785" t="s">
        <v>63</v>
      </c>
      <c r="M55" s="704" t="s">
        <v>63</v>
      </c>
      <c r="N55" s="953" t="s">
        <v>63</v>
      </c>
      <c r="O55" s="619" t="s">
        <v>63</v>
      </c>
      <c r="P55" s="952">
        <f>ifna(vlookup(A55,'Population &amp; Church Numbers'!$A$1234:$D$1316,4,FALSE),"NULL")</f>
        <v>33</v>
      </c>
      <c r="Q55" s="674" t="s">
        <v>63</v>
      </c>
    </row>
    <row r="56">
      <c r="A56" s="609" t="s">
        <v>1271</v>
      </c>
      <c r="B56" s="610">
        <f t="array" ref="B56">VLOOKUP($A56,MI_DEMO,2,FALSE)</f>
        <v>39714</v>
      </c>
      <c r="C56" s="948">
        <f>VLOOKUP($A56,'MI Data'!$A$5:$E$88,2,FALSE)</f>
        <v>24</v>
      </c>
      <c r="D56" s="612">
        <f>VLOOKUP($A56,'MI Data'!$A$5:$E$88,5,FALSE)</f>
        <v>2.39</v>
      </c>
      <c r="E56" s="612" t="s">
        <v>63</v>
      </c>
      <c r="F56" s="612" t="s">
        <v>63</v>
      </c>
      <c r="G56" s="612">
        <f>VLOOKUP($A56,'MI Data'!$A$5:$E$88,3,FALSE)</f>
        <v>2</v>
      </c>
      <c r="H56" s="671">
        <f>VLOOKUP($A56,'MI Data'!$A$5:$E$88,4,FALSE)</f>
        <v>23</v>
      </c>
      <c r="I56" s="614" t="s">
        <v>63</v>
      </c>
      <c r="J56" s="615" t="s">
        <v>63</v>
      </c>
      <c r="K56" s="672" t="s">
        <v>63</v>
      </c>
      <c r="L56" s="785" t="s">
        <v>63</v>
      </c>
      <c r="M56" s="704" t="s">
        <v>63</v>
      </c>
      <c r="N56" s="953" t="s">
        <v>63</v>
      </c>
      <c r="O56" s="619" t="s">
        <v>63</v>
      </c>
      <c r="P56" s="952">
        <f>ifna(vlookup(A56,'Population &amp; Church Numbers'!$A$1234:$D$1316,4,FALSE),"NULL")</f>
        <v>42</v>
      </c>
      <c r="Q56" s="674" t="s">
        <v>63</v>
      </c>
    </row>
    <row r="57">
      <c r="A57" s="609" t="s">
        <v>1272</v>
      </c>
      <c r="B57" s="610">
        <f t="array" ref="B57">VLOOKUP($A57,MI_DEMO,2,FALSE)</f>
        <v>23502</v>
      </c>
      <c r="C57" s="948">
        <f>VLOOKUP($A57,'MI Data'!$A$5:$E$88,2,FALSE)</f>
        <v>34</v>
      </c>
      <c r="D57" s="612">
        <f>VLOOKUP($A57,'MI Data'!$A$5:$E$88,5,FALSE)</f>
        <v>2</v>
      </c>
      <c r="E57" s="612" t="s">
        <v>63</v>
      </c>
      <c r="F57" s="612" t="s">
        <v>63</v>
      </c>
      <c r="G57" s="612">
        <f>VLOOKUP($A57,'MI Data'!$A$5:$E$88,3,FALSE)</f>
        <v>10</v>
      </c>
      <c r="H57" s="671">
        <f>VLOOKUP($A57,'MI Data'!$A$5:$E$88,4,FALSE)</f>
        <v>8</v>
      </c>
      <c r="I57" s="614" t="s">
        <v>63</v>
      </c>
      <c r="J57" s="615" t="s">
        <v>63</v>
      </c>
      <c r="K57" s="672" t="s">
        <v>63</v>
      </c>
      <c r="L57" s="785" t="s">
        <v>63</v>
      </c>
      <c r="M57" s="704" t="s">
        <v>63</v>
      </c>
      <c r="N57" s="953" t="s">
        <v>63</v>
      </c>
      <c r="O57" s="619" t="s">
        <v>63</v>
      </c>
      <c r="P57" s="952">
        <f>ifna(vlookup(A57,'Population &amp; Church Numbers'!$A$1234:$D$1316,4,FALSE),"NULL")</f>
        <v>26</v>
      </c>
      <c r="Q57" s="674" t="s">
        <v>63</v>
      </c>
    </row>
    <row r="58">
      <c r="A58" s="609" t="s">
        <v>1273</v>
      </c>
      <c r="B58" s="610">
        <f t="array" ref="B58">VLOOKUP($A58,MI_DEMO,2,FALSE)</f>
        <v>83494</v>
      </c>
      <c r="C58" s="948">
        <f>VLOOKUP($A58,'MI Data'!$A$5:$E$88,2,FALSE)</f>
        <v>84</v>
      </c>
      <c r="D58" s="612">
        <f>VLOOKUP($A58,'MI Data'!$A$5:$E$88,5,FALSE)</f>
        <v>2.08</v>
      </c>
      <c r="E58" s="612" t="s">
        <v>63</v>
      </c>
      <c r="F58" s="612" t="s">
        <v>63</v>
      </c>
      <c r="G58" s="612">
        <f>VLOOKUP($A58,'MI Data'!$A$5:$E$88,3,FALSE)</f>
        <v>18</v>
      </c>
      <c r="H58" s="671">
        <f>VLOOKUP($A58,'MI Data'!$A$5:$E$88,4,FALSE)</f>
        <v>48</v>
      </c>
      <c r="I58" s="614" t="s">
        <v>63</v>
      </c>
      <c r="J58" s="615" t="s">
        <v>63</v>
      </c>
      <c r="K58" s="672" t="s">
        <v>63</v>
      </c>
      <c r="L58" s="785" t="s">
        <v>63</v>
      </c>
      <c r="M58" s="704" t="s">
        <v>63</v>
      </c>
      <c r="N58" s="953" t="s">
        <v>63</v>
      </c>
      <c r="O58" s="619" t="s">
        <v>63</v>
      </c>
      <c r="P58" s="952">
        <f>ifna(vlookup(A58,'Population &amp; Church Numbers'!$A$1234:$D$1316,4,FALSE),"NULL")</f>
        <v>77</v>
      </c>
      <c r="Q58" s="674" t="s">
        <v>63</v>
      </c>
    </row>
    <row r="59">
      <c r="A59" s="609" t="s">
        <v>1274</v>
      </c>
      <c r="B59" s="610">
        <f t="array" ref="B59">VLOOKUP($A59,MI_DEMO,2,FALSE)</f>
        <v>15052</v>
      </c>
      <c r="C59" s="948">
        <f>VLOOKUP($A59,'MI Data'!$A$5:$E$88,2,FALSE)</f>
        <v>8</v>
      </c>
      <c r="D59" s="612">
        <f>VLOOKUP($A59,'MI Data'!$A$5:$E$88,5,FALSE)</f>
        <v>2.63</v>
      </c>
      <c r="E59" s="612" t="s">
        <v>63</v>
      </c>
      <c r="F59" s="612" t="s">
        <v>63</v>
      </c>
      <c r="G59" s="612">
        <f>VLOOKUP($A59,'MI Data'!$A$5:$E$88,3,FALSE)</f>
        <v>2</v>
      </c>
      <c r="H59" s="671">
        <f>VLOOKUP($A59,'MI Data'!$A$5:$E$88,4,FALSE)</f>
        <v>8</v>
      </c>
      <c r="I59" s="614" t="s">
        <v>63</v>
      </c>
      <c r="J59" s="615" t="s">
        <v>63</v>
      </c>
      <c r="K59" s="672" t="s">
        <v>63</v>
      </c>
      <c r="L59" s="785" t="s">
        <v>63</v>
      </c>
      <c r="M59" s="704" t="s">
        <v>63</v>
      </c>
      <c r="N59" s="953" t="s">
        <v>63</v>
      </c>
      <c r="O59" s="619" t="s">
        <v>63</v>
      </c>
      <c r="P59" s="952">
        <f>ifna(vlookup(A59,'Population &amp; Church Numbers'!$A$1234:$D$1316,4,FALSE),"NULL")</f>
        <v>24</v>
      </c>
      <c r="Q59" s="674" t="s">
        <v>63</v>
      </c>
    </row>
    <row r="60">
      <c r="A60" s="609" t="s">
        <v>156</v>
      </c>
      <c r="B60" s="610">
        <f t="array" ref="B60">VLOOKUP($A60,MI_DEMO,2,FALSE)</f>
        <v>154809</v>
      </c>
      <c r="C60" s="948">
        <f>VLOOKUP($A60,'MI Data'!$A$5:$E$88,2,FALSE)</f>
        <v>92</v>
      </c>
      <c r="D60" s="612">
        <f>VLOOKUP($A60,'MI Data'!$A$5:$E$88,5,FALSE)</f>
        <v>2.05</v>
      </c>
      <c r="E60" s="612" t="s">
        <v>63</v>
      </c>
      <c r="F60" s="612" t="s">
        <v>63</v>
      </c>
      <c r="G60" s="612">
        <f>VLOOKUP($A60,'MI Data'!$A$5:$E$88,3,FALSE)</f>
        <v>10</v>
      </c>
      <c r="H60" s="671">
        <f>VLOOKUP($A60,'MI Data'!$A$5:$E$88,4,FALSE)</f>
        <v>58</v>
      </c>
      <c r="I60" s="614" t="s">
        <v>63</v>
      </c>
      <c r="J60" s="615" t="s">
        <v>63</v>
      </c>
      <c r="K60" s="672" t="s">
        <v>63</v>
      </c>
      <c r="L60" s="785" t="s">
        <v>63</v>
      </c>
      <c r="M60" s="704" t="s">
        <v>63</v>
      </c>
      <c r="N60" s="953" t="s">
        <v>63</v>
      </c>
      <c r="O60" s="619" t="s">
        <v>63</v>
      </c>
      <c r="P60" s="952">
        <f>ifna(vlookup(A60,'Population &amp; Church Numbers'!$A$1234:$D$1316,4,FALSE),"NULL")</f>
        <v>109</v>
      </c>
      <c r="Q60" s="674" t="s">
        <v>63</v>
      </c>
    </row>
    <row r="61">
      <c r="A61" s="609" t="s">
        <v>1275</v>
      </c>
      <c r="B61" s="610">
        <f t="array" ref="B61">VLOOKUP($A61,MI_DEMO,2,FALSE)</f>
        <v>66614</v>
      </c>
      <c r="C61" s="948">
        <f>VLOOKUP($A61,'MI Data'!$A$5:$E$88,2,FALSE)</f>
        <v>102</v>
      </c>
      <c r="D61" s="612">
        <f>VLOOKUP($A61,'MI Data'!$A$5:$E$88,5,FALSE)</f>
        <v>2.23</v>
      </c>
      <c r="E61" s="612" t="s">
        <v>63</v>
      </c>
      <c r="F61" s="612" t="s">
        <v>63</v>
      </c>
      <c r="G61" s="612">
        <f>VLOOKUP($A61,'MI Data'!$A$5:$E$88,3,FALSE)</f>
        <v>22</v>
      </c>
      <c r="H61" s="671">
        <f>VLOOKUP($A61,'MI Data'!$A$5:$E$88,4,FALSE)</f>
        <v>40</v>
      </c>
      <c r="I61" s="614" t="s">
        <v>63</v>
      </c>
      <c r="J61" s="615" t="s">
        <v>63</v>
      </c>
      <c r="K61" s="672" t="s">
        <v>63</v>
      </c>
      <c r="L61" s="785" t="s">
        <v>63</v>
      </c>
      <c r="M61" s="704" t="s">
        <v>63</v>
      </c>
      <c r="N61" s="953" t="s">
        <v>63</v>
      </c>
      <c r="O61" s="619" t="s">
        <v>63</v>
      </c>
      <c r="P61" s="952">
        <f>ifna(vlookup(A61,'Population &amp; Church Numbers'!$A$1234:$D$1316,4,FALSE),"NULL")</f>
        <v>72</v>
      </c>
      <c r="Q61" s="674" t="s">
        <v>63</v>
      </c>
    </row>
    <row r="62">
      <c r="A62" s="609" t="s">
        <v>1276</v>
      </c>
      <c r="B62" s="610">
        <f t="array" ref="B62">VLOOKUP($A62,MI_DEMO,2,FALSE)</f>
        <v>9153</v>
      </c>
      <c r="C62" s="948">
        <f>VLOOKUP($A62,'MI Data'!$A$5:$E$88,2,FALSE)</f>
        <v>11</v>
      </c>
      <c r="D62" s="612">
        <f>VLOOKUP($A62,'MI Data'!$A$5:$E$88,5,FALSE)</f>
        <v>2.75</v>
      </c>
      <c r="E62" s="612" t="s">
        <v>63</v>
      </c>
      <c r="F62" s="612" t="s">
        <v>63</v>
      </c>
      <c r="G62" s="612" t="str">
        <f>VLOOKUP($A62,'MI Data'!$A$5:$E$88,3,FALSE)</f>
        <v>NULL</v>
      </c>
      <c r="H62" s="671">
        <f>VLOOKUP($A62,'MI Data'!$A$5:$E$88,4,FALSE)</f>
        <v>4</v>
      </c>
      <c r="I62" s="614" t="s">
        <v>63</v>
      </c>
      <c r="J62" s="615" t="s">
        <v>63</v>
      </c>
      <c r="K62" s="672" t="s">
        <v>63</v>
      </c>
      <c r="L62" s="785" t="s">
        <v>63</v>
      </c>
      <c r="M62" s="704" t="s">
        <v>63</v>
      </c>
      <c r="N62" s="953" t="s">
        <v>63</v>
      </c>
      <c r="O62" s="619" t="s">
        <v>63</v>
      </c>
      <c r="P62" s="952">
        <f>ifna(vlookup(A62,'Population &amp; Church Numbers'!$A$1234:$D$1316,4,FALSE),"NULL")</f>
        <v>15</v>
      </c>
      <c r="Q62" s="674" t="s">
        <v>63</v>
      </c>
    </row>
    <row r="63">
      <c r="A63" s="609" t="s">
        <v>1277</v>
      </c>
      <c r="B63" s="610">
        <f t="array" ref="B63">VLOOKUP($A63,MI_DEMO,2,FALSE)</f>
        <v>175824</v>
      </c>
      <c r="C63" s="948">
        <f>VLOOKUP($A63,'MI Data'!$A$5:$E$88,2,FALSE)</f>
        <v>361</v>
      </c>
      <c r="D63" s="612">
        <f>VLOOKUP($A63,'MI Data'!$A$5:$E$88,5,FALSE)</f>
        <v>2.1</v>
      </c>
      <c r="E63" s="612" t="s">
        <v>63</v>
      </c>
      <c r="F63" s="612" t="s">
        <v>63</v>
      </c>
      <c r="G63" s="612">
        <f>VLOOKUP($A63,'MI Data'!$A$5:$E$88,3,FALSE)</f>
        <v>62</v>
      </c>
      <c r="H63" s="671">
        <f>VLOOKUP($A63,'MI Data'!$A$5:$E$88,4,FALSE)</f>
        <v>107</v>
      </c>
      <c r="I63" s="614" t="s">
        <v>63</v>
      </c>
      <c r="J63" s="615" t="s">
        <v>63</v>
      </c>
      <c r="K63" s="672" t="s">
        <v>63</v>
      </c>
      <c r="L63" s="785" t="s">
        <v>63</v>
      </c>
      <c r="M63" s="704" t="s">
        <v>63</v>
      </c>
      <c r="N63" s="953" t="s">
        <v>63</v>
      </c>
      <c r="O63" s="619" t="s">
        <v>63</v>
      </c>
      <c r="P63" s="952">
        <f>ifna(vlookup(A63,'Population &amp; Church Numbers'!$A$1234:$D$1316,4,FALSE),"NULL")</f>
        <v>160</v>
      </c>
      <c r="Q63" s="674" t="s">
        <v>63</v>
      </c>
    </row>
    <row r="64">
      <c r="A64" s="609" t="s">
        <v>1278</v>
      </c>
      <c r="B64" s="610">
        <f t="array" ref="B64">VLOOKUP($A64,MI_DEMO,2,FALSE)</f>
        <v>49978</v>
      </c>
      <c r="C64" s="948">
        <f>VLOOKUP($A64,'MI Data'!$A$5:$E$88,2,FALSE)</f>
        <v>69</v>
      </c>
      <c r="D64" s="612">
        <f>VLOOKUP($A64,'MI Data'!$A$5:$E$88,5,FALSE)</f>
        <v>1.93</v>
      </c>
      <c r="E64" s="612" t="s">
        <v>63</v>
      </c>
      <c r="F64" s="612" t="s">
        <v>63</v>
      </c>
      <c r="G64" s="612">
        <f>VLOOKUP($A64,'MI Data'!$A$5:$E$88,3,FALSE)</f>
        <v>20</v>
      </c>
      <c r="H64" s="671">
        <f>VLOOKUP($A64,'MI Data'!$A$5:$E$88,4,FALSE)</f>
        <v>30</v>
      </c>
      <c r="I64" s="614" t="s">
        <v>63</v>
      </c>
      <c r="J64" s="615" t="s">
        <v>63</v>
      </c>
      <c r="K64" s="672" t="s">
        <v>63</v>
      </c>
      <c r="L64" s="785" t="s">
        <v>63</v>
      </c>
      <c r="M64" s="704" t="s">
        <v>63</v>
      </c>
      <c r="N64" s="953" t="s">
        <v>63</v>
      </c>
      <c r="O64" s="619" t="s">
        <v>63</v>
      </c>
      <c r="P64" s="952">
        <f>ifna(vlookup(A64,'Population &amp; Church Numbers'!$A$1234:$D$1316,4,FALSE),"NULL")</f>
        <v>63</v>
      </c>
      <c r="Q64" s="674" t="s">
        <v>63</v>
      </c>
    </row>
    <row r="65">
      <c r="A65" s="609" t="s">
        <v>353</v>
      </c>
      <c r="B65" s="610">
        <f t="array" ref="B65">VLOOKUP($A65,MI_DEMO,2,FALSE)</f>
        <v>1274395</v>
      </c>
      <c r="C65" s="948">
        <f>VLOOKUP($A65,'MI Data'!$A$5:$E$88,2,FALSE)</f>
        <v>400</v>
      </c>
      <c r="D65" s="612">
        <f>VLOOKUP($A65,'MI Data'!$A$5:$E$88,5,FALSE)</f>
        <v>1.78</v>
      </c>
      <c r="E65" s="612" t="s">
        <v>63</v>
      </c>
      <c r="F65" s="612" t="s">
        <v>63</v>
      </c>
      <c r="G65" s="612">
        <f>VLOOKUP($A65,'MI Data'!$A$5:$E$88,3,FALSE)</f>
        <v>99</v>
      </c>
      <c r="H65" s="671">
        <f>VLOOKUP($A65,'MI Data'!$A$5:$E$88,4,FALSE)</f>
        <v>373</v>
      </c>
      <c r="I65" s="614" t="s">
        <v>63</v>
      </c>
      <c r="J65" s="615" t="s">
        <v>63</v>
      </c>
      <c r="K65" s="672" t="s">
        <v>63</v>
      </c>
      <c r="L65" s="785" t="s">
        <v>63</v>
      </c>
      <c r="M65" s="704" t="s">
        <v>63</v>
      </c>
      <c r="N65" s="953" t="s">
        <v>63</v>
      </c>
      <c r="O65" s="619" t="s">
        <v>63</v>
      </c>
      <c r="P65" s="952">
        <f>ifna(vlookup(A65,'Population &amp; Church Numbers'!$A$1234:$D$1316,4,FALSE),"NULL")</f>
        <v>531</v>
      </c>
      <c r="Q65" s="674" t="s">
        <v>63</v>
      </c>
    </row>
    <row r="66">
      <c r="A66" s="609" t="s">
        <v>1280</v>
      </c>
      <c r="B66" s="610">
        <f t="array" ref="B66">VLOOKUP($A66,MI_DEMO,2,FALSE)</f>
        <v>26659</v>
      </c>
      <c r="C66" s="948">
        <f>VLOOKUP($A66,'MI Data'!$A$5:$E$88,2,FALSE)</f>
        <v>11</v>
      </c>
      <c r="D66" s="612">
        <f>VLOOKUP($A66,'MI Data'!$A$5:$E$88,5,FALSE)</f>
        <v>2.73</v>
      </c>
      <c r="E66" s="612" t="s">
        <v>63</v>
      </c>
      <c r="F66" s="612" t="s">
        <v>63</v>
      </c>
      <c r="G66" s="612">
        <f>VLOOKUP($A66,'MI Data'!$A$5:$E$88,3,FALSE)</f>
        <v>5</v>
      </c>
      <c r="H66" s="671">
        <f>VLOOKUP($A66,'MI Data'!$A$5:$E$88,4,FALSE)</f>
        <v>11</v>
      </c>
      <c r="I66" s="614" t="s">
        <v>63</v>
      </c>
      <c r="J66" s="615" t="s">
        <v>63</v>
      </c>
      <c r="K66" s="672" t="s">
        <v>63</v>
      </c>
      <c r="L66" s="785" t="s">
        <v>63</v>
      </c>
      <c r="M66" s="704" t="s">
        <v>63</v>
      </c>
      <c r="N66" s="953" t="s">
        <v>63</v>
      </c>
      <c r="O66" s="619" t="s">
        <v>63</v>
      </c>
      <c r="P66" s="952">
        <f>ifna(vlookup(A66,'Population &amp; Church Numbers'!$A$1234:$D$1316,4,FALSE),"NULL")</f>
        <v>34</v>
      </c>
      <c r="Q66" s="674" t="s">
        <v>63</v>
      </c>
    </row>
    <row r="67">
      <c r="A67" s="609" t="s">
        <v>1281</v>
      </c>
      <c r="B67" s="610">
        <f t="array" ref="B67">VLOOKUP($A67,MI_DEMO,2,FALSE)</f>
        <v>20770</v>
      </c>
      <c r="C67" s="948">
        <f>VLOOKUP($A67,'MI Data'!$A$5:$E$88,2,FALSE)</f>
        <v>21</v>
      </c>
      <c r="D67" s="612">
        <f>VLOOKUP($A67,'MI Data'!$A$5:$E$88,5,FALSE)</f>
        <v>1.83</v>
      </c>
      <c r="E67" s="612" t="s">
        <v>63</v>
      </c>
      <c r="F67" s="612" t="s">
        <v>63</v>
      </c>
      <c r="G67" s="612">
        <f>VLOOKUP($A67,'MI Data'!$A$5:$E$88,3,FALSE)</f>
        <v>2</v>
      </c>
      <c r="H67" s="671">
        <f>VLOOKUP($A67,'MI Data'!$A$5:$E$88,4,FALSE)</f>
        <v>24</v>
      </c>
      <c r="I67" s="614" t="s">
        <v>63</v>
      </c>
      <c r="J67" s="615" t="s">
        <v>63</v>
      </c>
      <c r="K67" s="672" t="s">
        <v>63</v>
      </c>
      <c r="L67" s="785" t="s">
        <v>63</v>
      </c>
      <c r="M67" s="704" t="s">
        <v>63</v>
      </c>
      <c r="N67" s="953" t="s">
        <v>63</v>
      </c>
      <c r="O67" s="619" t="s">
        <v>63</v>
      </c>
      <c r="P67" s="952">
        <f>ifna(vlookup(A67,'Population &amp; Church Numbers'!$A$1234:$D$1316,4,FALSE),"NULL")</f>
        <v>22</v>
      </c>
      <c r="Q67" s="674" t="s">
        <v>63</v>
      </c>
    </row>
    <row r="68">
      <c r="A68" s="609" t="s">
        <v>1282</v>
      </c>
      <c r="B68" s="610">
        <f t="array" ref="B68">VLOOKUP($A68,MI_DEMO,2,FALSE)</f>
        <v>5816</v>
      </c>
      <c r="C68" s="948">
        <f>VLOOKUP($A68,'MI Data'!$A$5:$E$88,2,FALSE)</f>
        <v>1</v>
      </c>
      <c r="D68" s="612">
        <f>VLOOKUP($A68,'MI Data'!$A$5:$E$88,5,FALSE)</f>
        <v>2.5</v>
      </c>
      <c r="E68" s="612" t="s">
        <v>63</v>
      </c>
      <c r="F68" s="612" t="s">
        <v>63</v>
      </c>
      <c r="G68" s="612" t="str">
        <f>VLOOKUP($A68,'MI Data'!$A$5:$E$88,3,FALSE)</f>
        <v>NULL</v>
      </c>
      <c r="H68" s="671">
        <f>VLOOKUP($A68,'MI Data'!$A$5:$E$88,4,FALSE)</f>
        <v>4</v>
      </c>
      <c r="I68" s="614" t="s">
        <v>63</v>
      </c>
      <c r="J68" s="615" t="s">
        <v>63</v>
      </c>
      <c r="K68" s="672" t="s">
        <v>63</v>
      </c>
      <c r="L68" s="785" t="s">
        <v>63</v>
      </c>
      <c r="M68" s="704" t="s">
        <v>63</v>
      </c>
      <c r="N68" s="953" t="s">
        <v>63</v>
      </c>
      <c r="O68" s="619" t="s">
        <v>63</v>
      </c>
      <c r="P68" s="952">
        <f>ifna(vlookup(A68,'Population &amp; Church Numbers'!$A$1234:$D$1316,4,FALSE),"NULL")</f>
        <v>24</v>
      </c>
      <c r="Q68" s="674" t="s">
        <v>63</v>
      </c>
    </row>
    <row r="69">
      <c r="A69" s="609" t="s">
        <v>515</v>
      </c>
      <c r="B69" s="610">
        <f t="array" ref="B69">VLOOKUP($A69,MI_DEMO,2,FALSE)</f>
        <v>22891</v>
      </c>
      <c r="C69" s="948">
        <f>VLOOKUP($A69,'MI Data'!$A$5:$E$88,2,FALSE)</f>
        <v>14</v>
      </c>
      <c r="D69" s="612">
        <f>VLOOKUP($A69,'MI Data'!$A$5:$E$88,5,FALSE)</f>
        <v>2.62</v>
      </c>
      <c r="E69" s="612" t="s">
        <v>63</v>
      </c>
      <c r="F69" s="612" t="s">
        <v>63</v>
      </c>
      <c r="G69" s="612">
        <f>VLOOKUP($A69,'MI Data'!$A$5:$E$88,3,FALSE)</f>
        <v>4</v>
      </c>
      <c r="H69" s="671">
        <f>VLOOKUP($A69,'MI Data'!$A$5:$E$88,4,FALSE)</f>
        <v>21</v>
      </c>
      <c r="I69" s="614" t="s">
        <v>63</v>
      </c>
      <c r="J69" s="615" t="s">
        <v>63</v>
      </c>
      <c r="K69" s="672" t="s">
        <v>63</v>
      </c>
      <c r="L69" s="785" t="s">
        <v>63</v>
      </c>
      <c r="M69" s="704" t="s">
        <v>63</v>
      </c>
      <c r="N69" s="953" t="s">
        <v>63</v>
      </c>
      <c r="O69" s="619" t="s">
        <v>63</v>
      </c>
      <c r="P69" s="952">
        <f>ifna(vlookup(A69,'Population &amp; Church Numbers'!$A$1234:$D$1316,4,FALSE),"NULL")</f>
        <v>36</v>
      </c>
      <c r="Q69" s="674" t="s">
        <v>63</v>
      </c>
    </row>
    <row r="70">
      <c r="A70" s="609" t="s">
        <v>1284</v>
      </c>
      <c r="B70" s="610">
        <f t="array" ref="B70">VLOOKUP($A70,MI_DEMO,2,FALSE)</f>
        <v>8219</v>
      </c>
      <c r="C70" s="948">
        <f>VLOOKUP($A70,'MI Data'!$A$5:$E$88,2,FALSE)</f>
        <v>31</v>
      </c>
      <c r="D70" s="612">
        <f>VLOOKUP($A70,'MI Data'!$A$5:$E$88,5,FALSE)</f>
        <v>2.38</v>
      </c>
      <c r="E70" s="612" t="s">
        <v>63</v>
      </c>
      <c r="F70" s="612" t="s">
        <v>63</v>
      </c>
      <c r="G70" s="612" t="str">
        <f>VLOOKUP($A70,'MI Data'!$A$5:$E$88,3,FALSE)</f>
        <v>NULL</v>
      </c>
      <c r="H70" s="671">
        <f>VLOOKUP($A70,'MI Data'!$A$5:$E$88,4,FALSE)</f>
        <v>8</v>
      </c>
      <c r="I70" s="614" t="s">
        <v>63</v>
      </c>
      <c r="J70" s="615" t="s">
        <v>63</v>
      </c>
      <c r="K70" s="672" t="s">
        <v>63</v>
      </c>
      <c r="L70" s="785" t="s">
        <v>63</v>
      </c>
      <c r="M70" s="704" t="s">
        <v>63</v>
      </c>
      <c r="N70" s="953" t="s">
        <v>63</v>
      </c>
      <c r="O70" s="619" t="s">
        <v>63</v>
      </c>
      <c r="P70" s="952">
        <f>ifna(vlookup(A70,'Population &amp; Church Numbers'!$A$1234:$D$1316,4,FALSE),"NULL")</f>
        <v>11</v>
      </c>
      <c r="Q70" s="674" t="s">
        <v>63</v>
      </c>
    </row>
    <row r="71">
      <c r="A71" s="609" t="s">
        <v>1286</v>
      </c>
      <c r="B71" s="610">
        <f t="array" ref="B71">VLOOKUP($A71,MI_DEMO,2,FALSE)</f>
        <v>25091</v>
      </c>
      <c r="C71" s="948">
        <f>VLOOKUP($A71,'MI Data'!$A$5:$E$88,2,FALSE)</f>
        <v>32</v>
      </c>
      <c r="D71" s="612">
        <f>VLOOKUP($A71,'MI Data'!$A$5:$E$88,5,FALSE)</f>
        <v>2.24</v>
      </c>
      <c r="E71" s="612" t="s">
        <v>63</v>
      </c>
      <c r="F71" s="612" t="s">
        <v>63</v>
      </c>
      <c r="G71" s="612">
        <f>VLOOKUP($A71,'MI Data'!$A$5:$E$88,3,FALSE)</f>
        <v>7</v>
      </c>
      <c r="H71" s="671">
        <f>VLOOKUP($A71,'MI Data'!$A$5:$E$88,4,FALSE)</f>
        <v>17</v>
      </c>
      <c r="I71" s="614" t="s">
        <v>63</v>
      </c>
      <c r="J71" s="615" t="s">
        <v>63</v>
      </c>
      <c r="K71" s="672" t="s">
        <v>63</v>
      </c>
      <c r="L71" s="785" t="s">
        <v>63</v>
      </c>
      <c r="M71" s="704" t="s">
        <v>63</v>
      </c>
      <c r="N71" s="953" t="s">
        <v>63</v>
      </c>
      <c r="O71" s="619" t="s">
        <v>63</v>
      </c>
      <c r="P71" s="952">
        <f>ifna(vlookup(A71,'Population &amp; Church Numbers'!$A$1234:$D$1316,4,FALSE),"NULL")</f>
        <v>23</v>
      </c>
      <c r="Q71" s="674" t="s">
        <v>63</v>
      </c>
    </row>
    <row r="72">
      <c r="A72" s="609" t="s">
        <v>998</v>
      </c>
      <c r="B72" s="610">
        <f t="array" ref="B72">VLOOKUP($A72,MI_DEMO,2,FALSE)</f>
        <v>296200</v>
      </c>
      <c r="C72" s="948">
        <f>VLOOKUP($A72,'MI Data'!$A$5:$E$88,2,FALSE)</f>
        <v>141</v>
      </c>
      <c r="D72" s="612">
        <f>VLOOKUP($A72,'MI Data'!$A$5:$E$88,5,FALSE)</f>
        <v>2.09</v>
      </c>
      <c r="E72" s="612" t="s">
        <v>63</v>
      </c>
      <c r="F72" s="612" t="s">
        <v>63</v>
      </c>
      <c r="G72" s="612">
        <f>VLOOKUP($A72,'MI Data'!$A$5:$E$88,3,FALSE)</f>
        <v>20</v>
      </c>
      <c r="H72" s="671">
        <f>VLOOKUP($A72,'MI Data'!$A$5:$E$88,4,FALSE)</f>
        <v>168</v>
      </c>
      <c r="I72" s="614" t="s">
        <v>63</v>
      </c>
      <c r="J72" s="615" t="s">
        <v>63</v>
      </c>
      <c r="K72" s="672" t="s">
        <v>63</v>
      </c>
      <c r="L72" s="785" t="s">
        <v>63</v>
      </c>
      <c r="M72" s="704" t="s">
        <v>63</v>
      </c>
      <c r="N72" s="953" t="s">
        <v>63</v>
      </c>
      <c r="O72" s="619" t="s">
        <v>63</v>
      </c>
      <c r="P72" s="952">
        <f>ifna(vlookup(A72,'Population &amp; Church Numbers'!$A$1234:$D$1316,4,FALSE),"NULL")</f>
        <v>228</v>
      </c>
      <c r="Q72" s="674" t="s">
        <v>63</v>
      </c>
    </row>
    <row r="73">
      <c r="A73" s="609" t="s">
        <v>1288</v>
      </c>
      <c r="B73" s="610">
        <f t="array" ref="B73">VLOOKUP($A73,MI_DEMO,2,FALSE)</f>
        <v>12982</v>
      </c>
      <c r="C73" s="948">
        <f>VLOOKUP($A73,'MI Data'!$A$5:$E$88,2,FALSE)</f>
        <v>9</v>
      </c>
      <c r="D73" s="612">
        <f>VLOOKUP($A73,'MI Data'!$A$5:$E$88,5,FALSE)</f>
        <v>2.88</v>
      </c>
      <c r="E73" s="612" t="s">
        <v>63</v>
      </c>
      <c r="F73" s="612" t="s">
        <v>63</v>
      </c>
      <c r="G73" s="612">
        <f>VLOOKUP($A73,'MI Data'!$A$5:$E$88,3,FALSE)</f>
        <v>1</v>
      </c>
      <c r="H73" s="671">
        <f>VLOOKUP($A73,'MI Data'!$A$5:$E$88,4,FALSE)</f>
        <v>8</v>
      </c>
      <c r="I73" s="614" t="s">
        <v>63</v>
      </c>
      <c r="J73" s="615" t="s">
        <v>63</v>
      </c>
      <c r="K73" s="672" t="s">
        <v>63</v>
      </c>
      <c r="L73" s="785" t="s">
        <v>63</v>
      </c>
      <c r="M73" s="704" t="s">
        <v>63</v>
      </c>
      <c r="N73" s="953" t="s">
        <v>63</v>
      </c>
      <c r="O73" s="619" t="s">
        <v>63</v>
      </c>
      <c r="P73" s="952">
        <f>ifna(vlookup(A73,'Population &amp; Church Numbers'!$A$1234:$D$1316,4,FALSE),"NULL")</f>
        <v>24</v>
      </c>
      <c r="Q73" s="674" t="s">
        <v>63</v>
      </c>
    </row>
    <row r="74">
      <c r="A74" s="609" t="s">
        <v>1289</v>
      </c>
      <c r="B74" s="610">
        <f t="array" ref="B74">VLOOKUP($A74,MI_DEMO,2,FALSE)</f>
        <v>23459</v>
      </c>
      <c r="C74" s="948">
        <f>VLOOKUP($A74,'MI Data'!$A$5:$E$88,2,FALSE)</f>
        <v>23</v>
      </c>
      <c r="D74" s="612">
        <f>VLOOKUP($A74,'MI Data'!$A$5:$E$88,5,FALSE)</f>
        <v>1.33</v>
      </c>
      <c r="E74" s="612" t="s">
        <v>63</v>
      </c>
      <c r="F74" s="612" t="s">
        <v>63</v>
      </c>
      <c r="G74" s="612">
        <f>VLOOKUP($A74,'MI Data'!$A$5:$E$88,3,FALSE)</f>
        <v>22</v>
      </c>
      <c r="H74" s="671">
        <f>VLOOKUP($A74,'MI Data'!$A$5:$E$88,4,FALSE)</f>
        <v>3</v>
      </c>
      <c r="I74" s="614" t="s">
        <v>63</v>
      </c>
      <c r="J74" s="615" t="s">
        <v>63</v>
      </c>
      <c r="K74" s="672" t="s">
        <v>63</v>
      </c>
      <c r="L74" s="785" t="s">
        <v>63</v>
      </c>
      <c r="M74" s="704" t="s">
        <v>63</v>
      </c>
      <c r="N74" s="953" t="s">
        <v>63</v>
      </c>
      <c r="O74" s="619" t="s">
        <v>63</v>
      </c>
      <c r="P74" s="952">
        <f>ifna(vlookup(A74,'Population &amp; Church Numbers'!$A$1234:$D$1316,4,FALSE),"NULL")</f>
        <v>31</v>
      </c>
      <c r="Q74" s="674" t="s">
        <v>63</v>
      </c>
    </row>
    <row r="75">
      <c r="A75" s="609" t="s">
        <v>1290</v>
      </c>
      <c r="B75" s="610">
        <f t="array" ref="B75">VLOOKUP($A75,MI_DEMO,2,FALSE)</f>
        <v>190124</v>
      </c>
      <c r="C75" s="948">
        <f>VLOOKUP($A75,'MI Data'!$A$5:$E$88,2,FALSE)</f>
        <v>142</v>
      </c>
      <c r="D75" s="612">
        <f>VLOOKUP($A75,'MI Data'!$A$5:$E$88,5,FALSE)</f>
        <v>2.12</v>
      </c>
      <c r="E75" s="612" t="s">
        <v>63</v>
      </c>
      <c r="F75" s="612" t="s">
        <v>63</v>
      </c>
      <c r="G75" s="612">
        <f>VLOOKUP($A75,'MI Data'!$A$5:$E$88,3,FALSE)</f>
        <v>56</v>
      </c>
      <c r="H75" s="671">
        <f>VLOOKUP($A75,'MI Data'!$A$5:$E$88,4,FALSE)</f>
        <v>78</v>
      </c>
      <c r="I75" s="614" t="s">
        <v>63</v>
      </c>
      <c r="J75" s="615" t="s">
        <v>63</v>
      </c>
      <c r="K75" s="672" t="s">
        <v>63</v>
      </c>
      <c r="L75" s="785" t="s">
        <v>63</v>
      </c>
      <c r="M75" s="704" t="s">
        <v>63</v>
      </c>
      <c r="N75" s="953" t="s">
        <v>63</v>
      </c>
      <c r="O75" s="619" t="s">
        <v>63</v>
      </c>
      <c r="P75" s="952">
        <f>ifna(vlookup(A75,'Population &amp; Church Numbers'!$A$1234:$D$1316,4,FALSE),"NULL")</f>
        <v>202</v>
      </c>
      <c r="Q75" s="674" t="s">
        <v>63</v>
      </c>
    </row>
    <row r="76">
      <c r="A76" s="609" t="s">
        <v>768</v>
      </c>
      <c r="B76" s="610">
        <f t="array" ref="B76">VLOOKUP($A76,MI_DEMO,2,FALSE)</f>
        <v>160383</v>
      </c>
      <c r="C76" s="948">
        <f>VLOOKUP($A76,'MI Data'!$A$5:$E$88,2,FALSE)</f>
        <v>201</v>
      </c>
      <c r="D76" s="612">
        <f>VLOOKUP($A76,'MI Data'!$A$5:$E$88,5,FALSE)</f>
        <v>2.04</v>
      </c>
      <c r="E76" s="612" t="s">
        <v>63</v>
      </c>
      <c r="F76" s="612" t="s">
        <v>63</v>
      </c>
      <c r="G76" s="612">
        <f>VLOOKUP($A76,'MI Data'!$A$5:$E$88,3,FALSE)</f>
        <v>13</v>
      </c>
      <c r="H76" s="671">
        <f>VLOOKUP($A76,'MI Data'!$A$5:$E$88,4,FALSE)</f>
        <v>23</v>
      </c>
      <c r="I76" s="614" t="s">
        <v>63</v>
      </c>
      <c r="J76" s="615" t="s">
        <v>63</v>
      </c>
      <c r="K76" s="672" t="s">
        <v>63</v>
      </c>
      <c r="L76" s="785" t="s">
        <v>63</v>
      </c>
      <c r="M76" s="704" t="s">
        <v>63</v>
      </c>
      <c r="N76" s="953" t="s">
        <v>63</v>
      </c>
      <c r="O76" s="619" t="s">
        <v>63</v>
      </c>
      <c r="P76" s="952">
        <f>ifna(vlookup(A76,'Population &amp; Church Numbers'!$A$1234:$D$1316,4,FALSE),"NULL")</f>
        <v>129</v>
      </c>
      <c r="Q76" s="674" t="s">
        <v>63</v>
      </c>
    </row>
    <row r="77">
      <c r="A77" s="609" t="s">
        <v>2614</v>
      </c>
      <c r="B77" s="610">
        <f t="array" ref="B77">VLOOKUP($A77,MI_DEMO,2,FALSE)</f>
        <v>60939</v>
      </c>
      <c r="C77" s="948">
        <f>VLOOKUP($A77,'MI Data'!$A$5:$E$88,2,FALSE)</f>
        <v>140</v>
      </c>
      <c r="D77" s="612">
        <f>VLOOKUP($A77,'MI Data'!$A$5:$E$88,5,FALSE)</f>
        <v>2.67</v>
      </c>
      <c r="E77" s="612" t="s">
        <v>63</v>
      </c>
      <c r="F77" s="612" t="s">
        <v>63</v>
      </c>
      <c r="G77" s="612">
        <f>VLOOKUP($A77,'MI Data'!$A$5:$E$88,3,FALSE)</f>
        <v>5</v>
      </c>
      <c r="H77" s="671">
        <f>VLOOKUP($A77,'MI Data'!$A$5:$E$88,4,FALSE)</f>
        <v>3</v>
      </c>
      <c r="I77" s="614" t="s">
        <v>63</v>
      </c>
      <c r="J77" s="615" t="s">
        <v>63</v>
      </c>
      <c r="K77" s="672" t="s">
        <v>63</v>
      </c>
      <c r="L77" s="785" t="s">
        <v>63</v>
      </c>
      <c r="M77" s="704" t="s">
        <v>63</v>
      </c>
      <c r="N77" s="953" t="s">
        <v>63</v>
      </c>
      <c r="O77" s="619" t="s">
        <v>63</v>
      </c>
      <c r="P77" s="952">
        <f>ifna(vlookup(A77,'Population &amp; Church Numbers'!$A$1234:$D$1316,4,FALSE),"NULL")</f>
        <v>78</v>
      </c>
      <c r="Q77" s="674" t="s">
        <v>63</v>
      </c>
    </row>
    <row r="78">
      <c r="A78" s="609" t="s">
        <v>1291</v>
      </c>
      <c r="B78" s="610">
        <f t="array" ref="B78">VLOOKUP($A78,MI_DEMO,2,FALSE)</f>
        <v>40611</v>
      </c>
      <c r="C78" s="948">
        <f>VLOOKUP($A78,'MI Data'!$A$5:$E$88,2,FALSE)</f>
        <v>59</v>
      </c>
      <c r="D78" s="612">
        <f>VLOOKUP($A78,'MI Data'!$A$5:$E$88,5,FALSE)</f>
        <v>2.11</v>
      </c>
      <c r="E78" s="612" t="s">
        <v>63</v>
      </c>
      <c r="F78" s="612" t="s">
        <v>63</v>
      </c>
      <c r="G78" s="612">
        <f>VLOOKUP($A78,'MI Data'!$A$5:$E$88,3,FALSE)</f>
        <v>11</v>
      </c>
      <c r="H78" s="671">
        <f>VLOOKUP($A78,'MI Data'!$A$5:$E$88,4,FALSE)</f>
        <v>39</v>
      </c>
      <c r="I78" s="614" t="s">
        <v>63</v>
      </c>
      <c r="J78" s="615" t="s">
        <v>63</v>
      </c>
      <c r="K78" s="672" t="s">
        <v>63</v>
      </c>
      <c r="L78" s="785" t="s">
        <v>63</v>
      </c>
      <c r="M78" s="704" t="s">
        <v>63</v>
      </c>
      <c r="N78" s="953" t="s">
        <v>63</v>
      </c>
      <c r="O78" s="619" t="s">
        <v>63</v>
      </c>
      <c r="P78" s="952">
        <f>ifna(vlookup(A78,'Population &amp; Church Numbers'!$A$1234:$D$1316,4,FALSE),"NULL")</f>
        <v>52</v>
      </c>
      <c r="Q78" s="674" t="s">
        <v>63</v>
      </c>
    </row>
    <row r="79">
      <c r="A79" s="609" t="s">
        <v>1292</v>
      </c>
      <c r="B79" s="610">
        <f t="array" ref="B79">VLOOKUP($A79,MI_DEMO,2,FALSE)</f>
        <v>8047</v>
      </c>
      <c r="C79" s="948">
        <f>VLOOKUP($A79,'MI Data'!$A$5:$E$88,2,FALSE)</f>
        <v>22</v>
      </c>
      <c r="D79" s="612">
        <f>VLOOKUP($A79,'MI Data'!$A$5:$E$88,5,FALSE)</f>
        <v>2</v>
      </c>
      <c r="E79" s="612" t="s">
        <v>63</v>
      </c>
      <c r="F79" s="612" t="s">
        <v>63</v>
      </c>
      <c r="G79" s="612">
        <f>VLOOKUP($A79,'MI Data'!$A$5:$E$88,3,FALSE)</f>
        <v>30</v>
      </c>
      <c r="H79" s="671">
        <f>VLOOKUP($A79,'MI Data'!$A$5:$E$88,4,FALSE)</f>
        <v>77</v>
      </c>
      <c r="I79" s="614" t="s">
        <v>63</v>
      </c>
      <c r="J79" s="615" t="s">
        <v>63</v>
      </c>
      <c r="K79" s="672" t="s">
        <v>63</v>
      </c>
      <c r="L79" s="785" t="s">
        <v>63</v>
      </c>
      <c r="M79" s="704" t="s">
        <v>63</v>
      </c>
      <c r="N79" s="953" t="s">
        <v>63</v>
      </c>
      <c r="O79" s="619" t="s">
        <v>63</v>
      </c>
      <c r="P79" s="952">
        <f>ifna(vlookup(A79,'Population &amp; Church Numbers'!$A$1234:$D$1316,4,FALSE),"NULL")</f>
        <v>12</v>
      </c>
      <c r="Q79" s="674" t="s">
        <v>63</v>
      </c>
    </row>
    <row r="80">
      <c r="A80" s="609" t="s">
        <v>1293</v>
      </c>
      <c r="B80" s="610">
        <f t="array" ref="B80">VLOOKUP($A80,MI_DEMO,2,FALSE)</f>
        <v>68094</v>
      </c>
      <c r="C80" s="948">
        <f>VLOOKUP($A80,'MI Data'!$A$5:$E$88,2,FALSE)</f>
        <v>65</v>
      </c>
      <c r="D80" s="612">
        <f>VLOOKUP($A80,'MI Data'!$A$5:$E$88,5,FALSE)</f>
        <v>2.57</v>
      </c>
      <c r="E80" s="612" t="s">
        <v>63</v>
      </c>
      <c r="F80" s="612" t="s">
        <v>63</v>
      </c>
      <c r="G80" s="612">
        <f>VLOOKUP($A80,'MI Data'!$A$5:$E$88,3,FALSE)</f>
        <v>36</v>
      </c>
      <c r="H80" s="671">
        <f>VLOOKUP($A80,'MI Data'!$A$5:$E$88,4,FALSE)</f>
        <v>30</v>
      </c>
      <c r="I80" s="614" t="s">
        <v>63</v>
      </c>
      <c r="J80" s="615" t="s">
        <v>63</v>
      </c>
      <c r="K80" s="672" t="s">
        <v>63</v>
      </c>
      <c r="L80" s="785" t="s">
        <v>63</v>
      </c>
      <c r="M80" s="704" t="s">
        <v>63</v>
      </c>
      <c r="N80" s="953" t="s">
        <v>63</v>
      </c>
      <c r="O80" s="619" t="s">
        <v>63</v>
      </c>
      <c r="P80" s="952">
        <f>ifna(vlookup(A80,'Population &amp; Church Numbers'!$A$1234:$D$1316,4,FALSE),"NULL")</f>
        <v>81</v>
      </c>
      <c r="Q80" s="674" t="s">
        <v>63</v>
      </c>
    </row>
    <row r="81">
      <c r="A81" s="609" t="s">
        <v>1294</v>
      </c>
      <c r="B81" s="610">
        <f t="array" ref="B81">VLOOKUP($A81,MI_DEMO,2,FALSE)</f>
        <v>53323</v>
      </c>
      <c r="C81" s="948">
        <f>VLOOKUP($A81,'MI Data'!$A$5:$E$88,2,FALSE)</f>
        <v>21</v>
      </c>
      <c r="D81" s="612">
        <f>VLOOKUP($A81,'MI Data'!$A$5:$E$88,5,FALSE)</f>
        <v>2.6</v>
      </c>
      <c r="E81" s="612" t="s">
        <v>63</v>
      </c>
      <c r="F81" s="612" t="s">
        <v>63</v>
      </c>
      <c r="G81" s="612">
        <f>VLOOKUP($A81,'MI Data'!$A$5:$E$88,3,FALSE)</f>
        <v>5</v>
      </c>
      <c r="H81" s="671">
        <f>VLOOKUP($A81,'MI Data'!$A$5:$E$88,4,FALSE)</f>
        <v>40</v>
      </c>
      <c r="I81" s="614" t="s">
        <v>63</v>
      </c>
      <c r="J81" s="615" t="s">
        <v>63</v>
      </c>
      <c r="K81" s="672" t="s">
        <v>63</v>
      </c>
      <c r="L81" s="785" t="s">
        <v>63</v>
      </c>
      <c r="M81" s="704" t="s">
        <v>63</v>
      </c>
      <c r="N81" s="953" t="s">
        <v>63</v>
      </c>
      <c r="O81" s="619" t="s">
        <v>63</v>
      </c>
      <c r="P81" s="952">
        <f>ifna(vlookup(A81,'Population &amp; Church Numbers'!$A$1234:$D$1316,4,FALSE),"NULL")</f>
        <v>74</v>
      </c>
      <c r="Q81" s="674" t="s">
        <v>63</v>
      </c>
    </row>
    <row r="82">
      <c r="A82" s="609" t="s">
        <v>317</v>
      </c>
      <c r="B82" s="610">
        <f t="array" ref="B82">VLOOKUP($A82,MI_DEMO,2,FALSE)</f>
        <v>75587</v>
      </c>
      <c r="C82" s="948">
        <f>VLOOKUP($A82,'MI Data'!$A$5:$E$88,2,FALSE)</f>
        <v>82</v>
      </c>
      <c r="D82" s="612">
        <f>VLOOKUP($A82,'MI Data'!$A$5:$E$88,5,FALSE)</f>
        <v>2.12</v>
      </c>
      <c r="E82" s="612" t="s">
        <v>63</v>
      </c>
      <c r="F82" s="612" t="s">
        <v>63</v>
      </c>
      <c r="G82" s="612">
        <f>VLOOKUP($A82,'MI Data'!$A$5:$E$88,3,FALSE)</f>
        <v>13</v>
      </c>
      <c r="H82" s="671">
        <f>VLOOKUP($A82,'MI Data'!$A$5:$E$88,4,FALSE)</f>
        <v>52</v>
      </c>
      <c r="I82" s="614" t="s">
        <v>63</v>
      </c>
      <c r="J82" s="615" t="s">
        <v>63</v>
      </c>
      <c r="K82" s="672" t="s">
        <v>63</v>
      </c>
      <c r="L82" s="785" t="s">
        <v>63</v>
      </c>
      <c r="M82" s="704" t="s">
        <v>63</v>
      </c>
      <c r="N82" s="953" t="s">
        <v>63</v>
      </c>
      <c r="O82" s="619" t="s">
        <v>63</v>
      </c>
      <c r="P82" s="952">
        <f>ifna(vlookup(A82,'Population &amp; Church Numbers'!$A$1234:$D$1316,4,FALSE),"NULL")</f>
        <v>85</v>
      </c>
      <c r="Q82" s="674" t="s">
        <v>63</v>
      </c>
    </row>
    <row r="83">
      <c r="A83" s="609" t="s">
        <v>1295</v>
      </c>
      <c r="B83" s="610">
        <f t="array" ref="B83">VLOOKUP($A83,MI_DEMO,2,FALSE)</f>
        <v>372258</v>
      </c>
      <c r="C83" s="948">
        <f>VLOOKUP($A83,'MI Data'!$A$5:$E$88,2,FALSE)</f>
        <v>115</v>
      </c>
      <c r="D83" s="612">
        <f>VLOOKUP($A83,'MI Data'!$A$5:$E$88,5,FALSE)</f>
        <v>1.91</v>
      </c>
      <c r="E83" s="612" t="s">
        <v>63</v>
      </c>
      <c r="F83" s="612" t="s">
        <v>63</v>
      </c>
      <c r="G83" s="612">
        <f>VLOOKUP($A83,'MI Data'!$A$5:$E$88,3,FALSE)</f>
        <v>31</v>
      </c>
      <c r="H83" s="671">
        <f>VLOOKUP($A83,'MI Data'!$A$5:$E$88,4,FALSE)</f>
        <v>103</v>
      </c>
      <c r="I83" s="614" t="s">
        <v>63</v>
      </c>
      <c r="J83" s="615" t="s">
        <v>63</v>
      </c>
      <c r="K83" s="672" t="s">
        <v>63</v>
      </c>
      <c r="L83" s="785" t="s">
        <v>63</v>
      </c>
      <c r="M83" s="704" t="s">
        <v>63</v>
      </c>
      <c r="N83" s="953" t="s">
        <v>63</v>
      </c>
      <c r="O83" s="619" t="s">
        <v>63</v>
      </c>
      <c r="P83" s="952">
        <f>ifna(vlookup(A83,'Population &amp; Church Numbers'!$A$1234:$D$1316,4,FALSE),"NULL")</f>
        <v>224</v>
      </c>
      <c r="Q83" s="674" t="s">
        <v>63</v>
      </c>
    </row>
    <row r="84">
      <c r="A84" s="609" t="s">
        <v>273</v>
      </c>
      <c r="B84" s="610">
        <f t="array" ref="B84">VLOOKUP($A84,MI_DEMO,2,FALSE)</f>
        <v>1793561</v>
      </c>
      <c r="C84" s="948">
        <f>VLOOKUP($A84,'MI Data'!$A$5:$E$88,2,FALSE)</f>
        <v>2323</v>
      </c>
      <c r="D84" s="612">
        <f>VLOOKUP($A84,'MI Data'!$A$5:$E$88,5,FALSE)</f>
        <v>1.99</v>
      </c>
      <c r="E84" s="612" t="s">
        <v>63</v>
      </c>
      <c r="F84" s="612" t="s">
        <v>63</v>
      </c>
      <c r="G84" s="612">
        <f>VLOOKUP($A84,'MI Data'!$A$5:$E$88,3,FALSE)</f>
        <v>454</v>
      </c>
      <c r="H84" s="671">
        <f>VLOOKUP($A84,'MI Data'!$A$5:$E$88,4,FALSE)</f>
        <v>522</v>
      </c>
      <c r="I84" s="614" t="s">
        <v>63</v>
      </c>
      <c r="J84" s="615" t="s">
        <v>63</v>
      </c>
      <c r="K84" s="672" t="s">
        <v>63</v>
      </c>
      <c r="L84" s="785" t="s">
        <v>63</v>
      </c>
      <c r="M84" s="704" t="s">
        <v>63</v>
      </c>
      <c r="N84" s="953" t="s">
        <v>63</v>
      </c>
      <c r="O84" s="619" t="s">
        <v>63</v>
      </c>
      <c r="P84" s="952">
        <f>ifna(vlookup(A84,'Population &amp; Church Numbers'!$A$1234:$D$1316,4,FALSE),"NULL")</f>
        <v>1155</v>
      </c>
      <c r="Q84" s="674" t="s">
        <v>63</v>
      </c>
    </row>
    <row r="85">
      <c r="A85" s="609" t="s">
        <v>1296</v>
      </c>
      <c r="B85" s="610">
        <f t="array" ref="B85">VLOOKUP($A85,MI_DEMO,2,FALSE)</f>
        <v>33673</v>
      </c>
      <c r="C85" s="948">
        <f>VLOOKUP($A85,'MI Data'!$A$5:$E$88,2,FALSE)</f>
        <v>33</v>
      </c>
      <c r="D85" s="612">
        <f>VLOOKUP($A85,'MI Data'!$A$5:$E$88,5,FALSE)</f>
        <v>2.36</v>
      </c>
      <c r="E85" s="612" t="s">
        <v>63</v>
      </c>
      <c r="F85" s="612" t="s">
        <v>63</v>
      </c>
      <c r="G85" s="612">
        <f>VLOOKUP($A85,'MI Data'!$A$5:$E$88,3,FALSE)</f>
        <v>13</v>
      </c>
      <c r="H85" s="671">
        <f>VLOOKUP($A85,'MI Data'!$A$5:$E$88,4,FALSE)</f>
        <v>22</v>
      </c>
      <c r="I85" s="614" t="s">
        <v>63</v>
      </c>
      <c r="J85" s="615" t="s">
        <v>63</v>
      </c>
      <c r="K85" s="672" t="s">
        <v>63</v>
      </c>
      <c r="L85" s="785" t="s">
        <v>63</v>
      </c>
      <c r="M85" s="704" t="s">
        <v>63</v>
      </c>
      <c r="N85" s="953" t="s">
        <v>63</v>
      </c>
      <c r="O85" s="619" t="s">
        <v>63</v>
      </c>
      <c r="P85" s="952">
        <f>ifna(vlookup(A85,'Population &amp; Church Numbers'!$A$1234:$D$1316,4,FALSE),"NULL")</f>
        <v>42</v>
      </c>
      <c r="Q85" s="674" t="s">
        <v>63</v>
      </c>
    </row>
    <row r="86">
      <c r="A86" s="217"/>
      <c r="B86" s="218"/>
      <c r="C86" s="219"/>
      <c r="D86" s="220"/>
      <c r="E86" s="220"/>
      <c r="F86" s="220"/>
      <c r="G86" s="220"/>
      <c r="H86" s="221"/>
      <c r="I86" s="222"/>
      <c r="J86" s="223"/>
      <c r="K86" s="219"/>
      <c r="L86" s="224"/>
      <c r="M86" s="225"/>
      <c r="N86" s="226"/>
      <c r="O86" s="220"/>
      <c r="P86" s="221"/>
      <c r="Q86" s="295"/>
    </row>
    <row r="87">
      <c r="A87" s="228" t="s">
        <v>2</v>
      </c>
      <c r="B87" s="229"/>
      <c r="C87" s="230">
        <f>SUM(C3:C85)</f>
        <v>9248</v>
      </c>
      <c r="D87" s="588">
        <f>'MI Data'!E5</f>
        <v>2.05</v>
      </c>
      <c r="E87" s="588" t="s">
        <v>63</v>
      </c>
      <c r="F87" s="588" t="s">
        <v>63</v>
      </c>
      <c r="G87" s="231">
        <f>'MI Data'!C5</f>
        <v>2011</v>
      </c>
      <c r="H87" s="359">
        <f>'MI Data'!D5</f>
        <v>3975</v>
      </c>
      <c r="I87" s="433">
        <f>'MI Data'!B103</f>
        <v>2189</v>
      </c>
      <c r="J87" s="235" t="s">
        <v>63</v>
      </c>
      <c r="K87" s="236" t="s">
        <v>63</v>
      </c>
      <c r="L87" s="359" t="s">
        <v>63</v>
      </c>
      <c r="M87" s="237" t="s">
        <v>63</v>
      </c>
      <c r="N87" s="237" t="s">
        <v>63</v>
      </c>
      <c r="O87" s="237" t="s">
        <v>63</v>
      </c>
      <c r="P87" s="233">
        <f>SUM(P3:P85)</f>
        <v>7596</v>
      </c>
      <c r="Q87" s="239" t="s">
        <v>63</v>
      </c>
    </row>
  </sheetData>
  <mergeCells count="1">
    <mergeCell ref="B1:Q1"/>
  </mergeCells>
  <drawing r:id="rId1"/>
  <tableParts count="1">
    <tablePart r:id="rId3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11.38"/>
  </cols>
  <sheetData>
    <row r="1">
      <c r="A1" s="954" t="s">
        <v>3308</v>
      </c>
      <c r="B1" s="955" t="s">
        <v>693</v>
      </c>
      <c r="C1" s="956" t="s">
        <v>696</v>
      </c>
      <c r="D1" s="956" t="s">
        <v>86</v>
      </c>
      <c r="E1" s="957" t="s">
        <v>3317</v>
      </c>
      <c r="F1" s="958"/>
      <c r="G1" s="958"/>
      <c r="H1" s="958"/>
      <c r="I1" s="958"/>
      <c r="J1" s="958"/>
      <c r="K1" s="958"/>
      <c r="L1" s="958"/>
      <c r="M1" s="958"/>
      <c r="N1" s="958"/>
      <c r="O1" s="958"/>
      <c r="P1" s="958"/>
      <c r="Q1" s="958"/>
      <c r="R1" s="958"/>
      <c r="S1" s="958"/>
      <c r="T1" s="958"/>
      <c r="U1" s="958"/>
      <c r="V1" s="958"/>
      <c r="W1" s="958"/>
      <c r="X1" s="958"/>
      <c r="Y1" s="958"/>
      <c r="Z1" s="958"/>
    </row>
    <row r="2">
      <c r="A2" s="959" t="s">
        <v>3325</v>
      </c>
      <c r="B2" s="960" t="s">
        <v>3328</v>
      </c>
      <c r="C2" s="961" t="s">
        <v>2808</v>
      </c>
      <c r="D2" s="961" t="s">
        <v>2808</v>
      </c>
      <c r="E2" s="962" t="s">
        <v>2808</v>
      </c>
      <c r="F2" s="958"/>
      <c r="G2" s="958"/>
      <c r="H2" s="958"/>
      <c r="I2" s="958"/>
      <c r="J2" s="958"/>
      <c r="K2" s="958"/>
      <c r="L2" s="958"/>
      <c r="M2" s="958"/>
      <c r="N2" s="958"/>
      <c r="O2" s="958"/>
      <c r="P2" s="958"/>
      <c r="Q2" s="958"/>
      <c r="R2" s="958"/>
      <c r="S2" s="958"/>
      <c r="T2" s="958"/>
      <c r="U2" s="958"/>
      <c r="V2" s="958"/>
      <c r="W2" s="958"/>
      <c r="X2" s="958"/>
      <c r="Y2" s="958"/>
      <c r="Z2" s="958"/>
    </row>
    <row r="3">
      <c r="A3" s="963" t="s">
        <v>3337</v>
      </c>
      <c r="B3" s="964">
        <v>44469.0</v>
      </c>
      <c r="C3" s="965">
        <v>45377.0</v>
      </c>
      <c r="D3" s="965">
        <v>45352.0</v>
      </c>
      <c r="E3" s="966">
        <v>45352.0</v>
      </c>
      <c r="F3" s="703"/>
      <c r="G3" s="703"/>
      <c r="H3" s="703"/>
      <c r="I3" s="703"/>
      <c r="J3" s="703"/>
      <c r="K3" s="703"/>
      <c r="L3" s="703"/>
      <c r="M3" s="703"/>
      <c r="N3" s="703"/>
      <c r="O3" s="703"/>
      <c r="P3" s="703"/>
      <c r="Q3" s="703"/>
      <c r="R3" s="703"/>
      <c r="S3" s="703"/>
      <c r="T3" s="703"/>
      <c r="U3" s="703"/>
      <c r="V3" s="703"/>
      <c r="W3" s="703"/>
      <c r="X3" s="703"/>
      <c r="Y3" s="703"/>
      <c r="Z3" s="703"/>
    </row>
    <row r="4">
      <c r="A4" s="967" t="s">
        <v>3347</v>
      </c>
      <c r="B4" s="968">
        <v>44914.0</v>
      </c>
      <c r="C4" s="969">
        <v>45385.0</v>
      </c>
      <c r="D4" s="969">
        <v>45385.0</v>
      </c>
      <c r="E4" s="970">
        <v>45385.0</v>
      </c>
      <c r="F4" s="703"/>
      <c r="G4" s="703"/>
      <c r="H4" s="703"/>
      <c r="I4" s="703"/>
      <c r="J4" s="703"/>
      <c r="K4" s="703"/>
      <c r="L4" s="703"/>
      <c r="M4" s="703"/>
      <c r="N4" s="703"/>
      <c r="O4" s="703"/>
      <c r="P4" s="703"/>
      <c r="Q4" s="703"/>
      <c r="R4" s="703"/>
      <c r="S4" s="703"/>
      <c r="T4" s="703"/>
      <c r="U4" s="703"/>
      <c r="V4" s="703"/>
      <c r="W4" s="703"/>
      <c r="X4" s="703"/>
      <c r="Y4" s="703"/>
      <c r="Z4" s="703"/>
    </row>
    <row r="5">
      <c r="A5" s="971" t="s">
        <v>60</v>
      </c>
      <c r="B5" s="972">
        <v>9248.0</v>
      </c>
      <c r="C5" s="973">
        <v>2011.0</v>
      </c>
      <c r="D5" s="974">
        <v>3975.0</v>
      </c>
      <c r="E5" s="974">
        <v>2.05</v>
      </c>
      <c r="F5" s="703"/>
      <c r="G5" s="703"/>
      <c r="H5" s="703"/>
      <c r="I5" s="703"/>
      <c r="J5" s="703"/>
      <c r="K5" s="703"/>
      <c r="L5" s="703"/>
      <c r="M5" s="703"/>
      <c r="N5" s="703"/>
      <c r="O5" s="703"/>
      <c r="P5" s="703"/>
      <c r="Q5" s="703"/>
      <c r="R5" s="703"/>
      <c r="S5" s="703"/>
      <c r="T5" s="703"/>
      <c r="U5" s="703"/>
      <c r="V5" s="703"/>
      <c r="W5" s="703"/>
      <c r="X5" s="703"/>
      <c r="Y5" s="703"/>
      <c r="Z5" s="703"/>
    </row>
    <row r="6">
      <c r="A6" s="975" t="s">
        <v>1233</v>
      </c>
      <c r="B6" s="976">
        <v>13.0</v>
      </c>
      <c r="C6" s="844">
        <v>9.0</v>
      </c>
      <c r="D6" s="844">
        <v>4.0</v>
      </c>
      <c r="E6" s="844">
        <v>3.25</v>
      </c>
      <c r="F6" s="703"/>
      <c r="G6" s="703"/>
      <c r="H6" s="703"/>
      <c r="I6" s="703"/>
      <c r="J6" s="703"/>
      <c r="K6" s="703"/>
      <c r="L6" s="703"/>
      <c r="M6" s="703"/>
      <c r="N6" s="703"/>
      <c r="O6" s="703"/>
      <c r="P6" s="703"/>
      <c r="Q6" s="703"/>
      <c r="R6" s="703"/>
      <c r="S6" s="703"/>
      <c r="T6" s="703"/>
      <c r="U6" s="703"/>
      <c r="V6" s="703"/>
      <c r="W6" s="703"/>
      <c r="X6" s="703"/>
      <c r="Y6" s="703"/>
      <c r="Z6" s="703"/>
    </row>
    <row r="7">
      <c r="A7" s="975" t="s">
        <v>1234</v>
      </c>
      <c r="B7" s="976">
        <v>8.0</v>
      </c>
      <c r="C7" s="844">
        <v>4.0</v>
      </c>
      <c r="D7" s="844">
        <v>6.0</v>
      </c>
      <c r="E7" s="844">
        <v>1.83</v>
      </c>
      <c r="F7" s="703"/>
      <c r="G7" s="703"/>
      <c r="H7" s="703"/>
      <c r="I7" s="703"/>
      <c r="J7" s="703"/>
      <c r="K7" s="703"/>
      <c r="L7" s="703"/>
      <c r="M7" s="703"/>
      <c r="N7" s="703"/>
      <c r="O7" s="703"/>
      <c r="P7" s="703"/>
      <c r="Q7" s="703"/>
      <c r="R7" s="703"/>
      <c r="S7" s="703"/>
      <c r="T7" s="703"/>
      <c r="U7" s="703"/>
      <c r="V7" s="703"/>
      <c r="W7" s="703"/>
      <c r="X7" s="703"/>
      <c r="Y7" s="703"/>
      <c r="Z7" s="703"/>
    </row>
    <row r="8">
      <c r="A8" s="975" t="s">
        <v>1235</v>
      </c>
      <c r="B8" s="976">
        <v>148.0</v>
      </c>
      <c r="C8" s="844">
        <v>12.0</v>
      </c>
      <c r="D8" s="844">
        <v>63.0</v>
      </c>
      <c r="E8" s="844">
        <v>2.16</v>
      </c>
      <c r="F8" s="703"/>
      <c r="G8" s="703"/>
      <c r="H8" s="703"/>
      <c r="I8" s="703"/>
      <c r="J8" s="703"/>
      <c r="K8" s="703"/>
      <c r="L8" s="703"/>
      <c r="M8" s="703"/>
      <c r="N8" s="703"/>
      <c r="O8" s="703"/>
      <c r="P8" s="703"/>
      <c r="Q8" s="703"/>
      <c r="R8" s="703"/>
      <c r="S8" s="703"/>
      <c r="T8" s="703"/>
      <c r="U8" s="703"/>
      <c r="V8" s="703"/>
      <c r="W8" s="703"/>
      <c r="X8" s="703"/>
      <c r="Y8" s="703"/>
      <c r="Z8" s="703"/>
    </row>
    <row r="9">
      <c r="A9" s="975" t="s">
        <v>1236</v>
      </c>
      <c r="B9" s="976">
        <v>57.0</v>
      </c>
      <c r="C9" s="844">
        <v>7.0</v>
      </c>
      <c r="D9" s="844">
        <v>27.0</v>
      </c>
      <c r="E9" s="844">
        <v>2.26</v>
      </c>
      <c r="F9" s="703"/>
      <c r="G9" s="703"/>
      <c r="H9" s="703"/>
      <c r="I9" s="703"/>
      <c r="J9" s="703"/>
      <c r="K9" s="703"/>
      <c r="L9" s="703"/>
      <c r="M9" s="703"/>
      <c r="N9" s="703"/>
      <c r="O9" s="703"/>
      <c r="P9" s="703"/>
      <c r="Q9" s="703"/>
      <c r="R9" s="703"/>
      <c r="S9" s="703"/>
      <c r="T9" s="703"/>
      <c r="U9" s="703"/>
      <c r="V9" s="703"/>
      <c r="W9" s="703"/>
      <c r="X9" s="703"/>
      <c r="Y9" s="703"/>
      <c r="Z9" s="703"/>
    </row>
    <row r="10">
      <c r="A10" s="975" t="s">
        <v>1237</v>
      </c>
      <c r="B10" s="976">
        <v>13.0</v>
      </c>
      <c r="C10" s="844">
        <v>0.0</v>
      </c>
      <c r="D10" s="844">
        <v>10.0</v>
      </c>
      <c r="E10" s="844">
        <v>2.0</v>
      </c>
      <c r="F10" s="703"/>
      <c r="G10" s="703"/>
      <c r="H10" s="703"/>
      <c r="I10" s="703"/>
      <c r="J10" s="703"/>
      <c r="K10" s="703"/>
      <c r="L10" s="703"/>
      <c r="M10" s="703"/>
      <c r="N10" s="703"/>
      <c r="O10" s="703"/>
      <c r="P10" s="703"/>
      <c r="Q10" s="703"/>
      <c r="R10" s="703"/>
      <c r="S10" s="703"/>
      <c r="T10" s="703"/>
      <c r="U10" s="703"/>
      <c r="V10" s="703"/>
      <c r="W10" s="703"/>
      <c r="X10" s="703"/>
      <c r="Y10" s="703"/>
      <c r="Z10" s="703"/>
    </row>
    <row r="11">
      <c r="A11" s="975" t="s">
        <v>1238</v>
      </c>
      <c r="B11" s="976">
        <v>23.0</v>
      </c>
      <c r="C11" s="844">
        <v>8.0</v>
      </c>
      <c r="D11" s="844">
        <v>10.0</v>
      </c>
      <c r="E11" s="844">
        <v>1.7</v>
      </c>
      <c r="F11" s="703"/>
      <c r="G11" s="703"/>
      <c r="H11" s="703"/>
      <c r="I11" s="703"/>
      <c r="J11" s="703"/>
      <c r="K11" s="703"/>
      <c r="L11" s="703"/>
      <c r="M11" s="703"/>
      <c r="N11" s="703"/>
      <c r="O11" s="703"/>
      <c r="P11" s="703"/>
      <c r="Q11" s="703"/>
      <c r="R11" s="703"/>
      <c r="S11" s="703"/>
      <c r="T11" s="703"/>
      <c r="U11" s="703"/>
      <c r="V11" s="703"/>
      <c r="W11" s="703"/>
      <c r="X11" s="703"/>
      <c r="Y11" s="703"/>
      <c r="Z11" s="703"/>
    </row>
    <row r="12">
      <c r="A12" s="975" t="s">
        <v>1239</v>
      </c>
      <c r="B12" s="976">
        <v>2.0</v>
      </c>
      <c r="C12" s="844">
        <v>2.0</v>
      </c>
      <c r="D12" s="844">
        <v>3.0</v>
      </c>
      <c r="E12" s="844">
        <v>1.67</v>
      </c>
      <c r="F12" s="703"/>
      <c r="G12" s="703"/>
      <c r="H12" s="703"/>
      <c r="I12" s="703"/>
      <c r="J12" s="703"/>
      <c r="K12" s="703"/>
      <c r="L12" s="703"/>
      <c r="M12" s="703"/>
      <c r="N12" s="703"/>
      <c r="O12" s="703"/>
      <c r="P12" s="703"/>
      <c r="Q12" s="703"/>
      <c r="R12" s="703"/>
      <c r="S12" s="703"/>
      <c r="T12" s="703"/>
      <c r="U12" s="703"/>
      <c r="V12" s="703"/>
      <c r="W12" s="703"/>
      <c r="X12" s="703"/>
      <c r="Y12" s="703"/>
      <c r="Z12" s="703"/>
    </row>
    <row r="13">
      <c r="A13" s="975" t="s">
        <v>1240</v>
      </c>
      <c r="B13" s="976">
        <v>23.0</v>
      </c>
      <c r="C13" s="844">
        <v>7.0</v>
      </c>
      <c r="D13" s="844">
        <v>38.0</v>
      </c>
      <c r="E13" s="844">
        <v>2.29</v>
      </c>
      <c r="F13" s="703"/>
      <c r="G13" s="703"/>
      <c r="H13" s="703"/>
      <c r="I13" s="703"/>
      <c r="J13" s="703"/>
      <c r="K13" s="703"/>
      <c r="L13" s="703"/>
      <c r="M13" s="703"/>
      <c r="N13" s="703"/>
      <c r="O13" s="703"/>
      <c r="P13" s="703"/>
      <c r="Q13" s="703"/>
      <c r="R13" s="703"/>
      <c r="S13" s="703"/>
      <c r="T13" s="703"/>
      <c r="U13" s="703"/>
      <c r="V13" s="703"/>
      <c r="W13" s="703"/>
      <c r="X13" s="703"/>
      <c r="Y13" s="703"/>
      <c r="Z13" s="703"/>
    </row>
    <row r="14">
      <c r="A14" s="975" t="s">
        <v>482</v>
      </c>
      <c r="B14" s="976">
        <v>116.0</v>
      </c>
      <c r="C14" s="844">
        <v>39.0</v>
      </c>
      <c r="D14" s="844">
        <v>53.0</v>
      </c>
      <c r="E14" s="844">
        <v>1.91</v>
      </c>
      <c r="F14" s="703"/>
      <c r="G14" s="703"/>
      <c r="H14" s="703"/>
      <c r="I14" s="703"/>
      <c r="J14" s="703"/>
      <c r="K14" s="703"/>
      <c r="L14" s="703"/>
      <c r="M14" s="703"/>
      <c r="N14" s="703"/>
      <c r="O14" s="703"/>
      <c r="P14" s="703"/>
      <c r="Q14" s="703"/>
      <c r="R14" s="703"/>
      <c r="S14" s="703"/>
      <c r="T14" s="703"/>
      <c r="U14" s="703"/>
      <c r="V14" s="703"/>
      <c r="W14" s="703"/>
      <c r="X14" s="703"/>
      <c r="Y14" s="703"/>
      <c r="Z14" s="703"/>
    </row>
    <row r="15">
      <c r="A15" s="975" t="s">
        <v>1241</v>
      </c>
      <c r="B15" s="976">
        <v>20.0</v>
      </c>
      <c r="C15" s="844">
        <v>4.0</v>
      </c>
      <c r="D15" s="844">
        <v>6.0</v>
      </c>
      <c r="E15" s="844">
        <v>1.83</v>
      </c>
      <c r="F15" s="703"/>
      <c r="G15" s="703"/>
      <c r="H15" s="703"/>
      <c r="I15" s="703"/>
      <c r="J15" s="703"/>
      <c r="K15" s="703"/>
      <c r="L15" s="703"/>
      <c r="M15" s="703"/>
      <c r="N15" s="703"/>
      <c r="O15" s="703"/>
      <c r="P15" s="703"/>
      <c r="Q15" s="703"/>
      <c r="R15" s="703"/>
      <c r="S15" s="703"/>
      <c r="T15" s="703"/>
      <c r="U15" s="703"/>
      <c r="V15" s="703"/>
      <c r="W15" s="703"/>
      <c r="X15" s="703"/>
      <c r="Y15" s="703"/>
      <c r="Z15" s="703"/>
    </row>
    <row r="16">
      <c r="A16" s="975" t="s">
        <v>540</v>
      </c>
      <c r="B16" s="976">
        <v>172.0</v>
      </c>
      <c r="C16" s="844">
        <v>46.0</v>
      </c>
      <c r="D16" s="844">
        <v>75.0</v>
      </c>
      <c r="E16" s="844">
        <v>1.8</v>
      </c>
      <c r="F16" s="703"/>
      <c r="G16" s="703"/>
      <c r="H16" s="703"/>
      <c r="I16" s="703"/>
      <c r="J16" s="703"/>
      <c r="K16" s="703"/>
      <c r="L16" s="703"/>
      <c r="M16" s="703"/>
      <c r="N16" s="703"/>
      <c r="O16" s="703"/>
      <c r="P16" s="703"/>
      <c r="Q16" s="703"/>
      <c r="R16" s="703"/>
      <c r="S16" s="703"/>
      <c r="T16" s="703"/>
      <c r="U16" s="703"/>
      <c r="V16" s="703"/>
      <c r="W16" s="703"/>
      <c r="X16" s="703"/>
      <c r="Y16" s="703"/>
      <c r="Z16" s="703"/>
    </row>
    <row r="17">
      <c r="A17" s="975" t="s">
        <v>1242</v>
      </c>
      <c r="B17" s="976">
        <v>50.0</v>
      </c>
      <c r="C17" s="844">
        <v>24.0</v>
      </c>
      <c r="D17" s="844">
        <v>8.0</v>
      </c>
      <c r="E17" s="844">
        <v>2.75</v>
      </c>
      <c r="F17" s="703"/>
      <c r="G17" s="703"/>
      <c r="H17" s="703"/>
      <c r="I17" s="703"/>
      <c r="J17" s="703"/>
      <c r="K17" s="703"/>
      <c r="L17" s="703"/>
      <c r="M17" s="703"/>
      <c r="N17" s="703"/>
      <c r="O17" s="703"/>
      <c r="P17" s="703"/>
      <c r="Q17" s="703"/>
      <c r="R17" s="703"/>
      <c r="S17" s="703"/>
      <c r="T17" s="703"/>
      <c r="U17" s="703"/>
      <c r="V17" s="703"/>
      <c r="W17" s="703"/>
      <c r="X17" s="703"/>
      <c r="Y17" s="703"/>
      <c r="Z17" s="703"/>
    </row>
    <row r="18">
      <c r="A18" s="975" t="s">
        <v>93</v>
      </c>
      <c r="B18" s="976">
        <v>204.0</v>
      </c>
      <c r="C18" s="844">
        <v>62.0</v>
      </c>
      <c r="D18" s="844">
        <v>79.0</v>
      </c>
      <c r="E18" s="844">
        <v>2.38</v>
      </c>
      <c r="F18" s="703"/>
      <c r="G18" s="703"/>
      <c r="H18" s="703"/>
      <c r="I18" s="703"/>
      <c r="J18" s="703"/>
      <c r="K18" s="703"/>
      <c r="L18" s="703"/>
      <c r="M18" s="703"/>
      <c r="N18" s="703"/>
      <c r="O18" s="703"/>
      <c r="P18" s="703"/>
      <c r="Q18" s="703"/>
      <c r="R18" s="703"/>
      <c r="S18" s="703"/>
      <c r="T18" s="703"/>
      <c r="U18" s="703"/>
      <c r="V18" s="703"/>
      <c r="W18" s="703"/>
      <c r="X18" s="703"/>
      <c r="Y18" s="703"/>
      <c r="Z18" s="703"/>
    </row>
    <row r="19">
      <c r="A19" s="975" t="s">
        <v>708</v>
      </c>
      <c r="B19" s="976">
        <v>86.0</v>
      </c>
      <c r="C19" s="844">
        <v>23.0</v>
      </c>
      <c r="D19" s="844">
        <v>20.0</v>
      </c>
      <c r="E19" s="844">
        <v>2.2</v>
      </c>
      <c r="F19" s="703"/>
      <c r="G19" s="703"/>
      <c r="H19" s="703"/>
      <c r="I19" s="703"/>
      <c r="J19" s="703"/>
      <c r="K19" s="703"/>
      <c r="L19" s="703"/>
      <c r="M19" s="703"/>
      <c r="N19" s="703"/>
      <c r="O19" s="703"/>
      <c r="P19" s="703"/>
      <c r="Q19" s="703"/>
      <c r="R19" s="703"/>
      <c r="S19" s="703"/>
      <c r="T19" s="703"/>
      <c r="U19" s="703"/>
      <c r="V19" s="703"/>
      <c r="W19" s="703"/>
      <c r="X19" s="703"/>
      <c r="Y19" s="703"/>
      <c r="Z19" s="703"/>
    </row>
    <row r="20">
      <c r="A20" s="975" t="s">
        <v>1243</v>
      </c>
      <c r="B20" s="976">
        <v>14.0</v>
      </c>
      <c r="C20" s="844">
        <v>4.0</v>
      </c>
      <c r="D20" s="844">
        <v>7.0</v>
      </c>
      <c r="E20" s="844">
        <v>1.71</v>
      </c>
      <c r="F20" s="703"/>
      <c r="G20" s="703"/>
      <c r="H20" s="703"/>
      <c r="I20" s="703"/>
      <c r="J20" s="703"/>
      <c r="K20" s="703"/>
      <c r="L20" s="703"/>
      <c r="M20" s="703"/>
      <c r="N20" s="703"/>
      <c r="O20" s="703"/>
      <c r="P20" s="703"/>
      <c r="Q20" s="703"/>
      <c r="R20" s="703"/>
      <c r="S20" s="703"/>
      <c r="T20" s="703"/>
      <c r="U20" s="703"/>
      <c r="V20" s="703"/>
      <c r="W20" s="703"/>
      <c r="X20" s="703"/>
      <c r="Y20" s="703"/>
      <c r="Z20" s="703"/>
    </row>
    <row r="21">
      <c r="A21" s="975" t="s">
        <v>1244</v>
      </c>
      <c r="B21" s="976">
        <v>24.0</v>
      </c>
      <c r="C21" s="844">
        <v>8.0</v>
      </c>
      <c r="D21" s="844">
        <v>11.0</v>
      </c>
      <c r="E21" s="844">
        <v>2.55</v>
      </c>
      <c r="F21" s="703"/>
      <c r="G21" s="703"/>
      <c r="H21" s="703"/>
      <c r="I21" s="703"/>
      <c r="J21" s="703"/>
      <c r="K21" s="703"/>
      <c r="L21" s="703"/>
      <c r="M21" s="703"/>
      <c r="N21" s="703"/>
      <c r="O21" s="703"/>
      <c r="P21" s="703"/>
      <c r="Q21" s="703"/>
      <c r="R21" s="703"/>
      <c r="S21" s="703"/>
      <c r="T21" s="703"/>
      <c r="U21" s="703"/>
      <c r="V21" s="703"/>
      <c r="W21" s="703"/>
      <c r="X21" s="703"/>
      <c r="Y21" s="703"/>
      <c r="Z21" s="703"/>
    </row>
    <row r="22">
      <c r="A22" s="975" t="s">
        <v>1245</v>
      </c>
      <c r="B22" s="976">
        <v>47.0</v>
      </c>
      <c r="C22" s="844">
        <v>9.0</v>
      </c>
      <c r="D22" s="844">
        <v>28.0</v>
      </c>
      <c r="E22" s="844">
        <v>1.93</v>
      </c>
      <c r="F22" s="703"/>
      <c r="G22" s="703"/>
      <c r="H22" s="703"/>
      <c r="I22" s="703"/>
      <c r="J22" s="703"/>
      <c r="K22" s="703"/>
      <c r="L22" s="703"/>
      <c r="M22" s="703"/>
      <c r="N22" s="703"/>
      <c r="O22" s="703"/>
      <c r="P22" s="703"/>
      <c r="Q22" s="703"/>
      <c r="R22" s="703"/>
      <c r="S22" s="703"/>
      <c r="T22" s="703"/>
      <c r="U22" s="703"/>
      <c r="V22" s="703"/>
      <c r="W22" s="703"/>
      <c r="X22" s="703"/>
      <c r="Y22" s="703"/>
      <c r="Z22" s="703"/>
    </row>
    <row r="23">
      <c r="A23" s="975" t="s">
        <v>1246</v>
      </c>
      <c r="B23" s="976">
        <v>46.0</v>
      </c>
      <c r="C23" s="844">
        <v>15.0</v>
      </c>
      <c r="D23" s="844">
        <v>20.0</v>
      </c>
      <c r="E23" s="844">
        <v>2.75</v>
      </c>
      <c r="F23" s="703"/>
      <c r="G23" s="703"/>
      <c r="H23" s="703"/>
      <c r="I23" s="703"/>
      <c r="J23" s="703"/>
      <c r="K23" s="703"/>
      <c r="L23" s="703"/>
      <c r="M23" s="703"/>
      <c r="N23" s="703"/>
      <c r="O23" s="703"/>
      <c r="P23" s="703"/>
      <c r="Q23" s="703"/>
      <c r="R23" s="703"/>
      <c r="S23" s="703"/>
      <c r="T23" s="703"/>
      <c r="U23" s="703"/>
      <c r="V23" s="703"/>
      <c r="W23" s="703"/>
      <c r="X23" s="703"/>
      <c r="Y23" s="703"/>
      <c r="Z23" s="703"/>
    </row>
    <row r="24">
      <c r="A24" s="975" t="s">
        <v>711</v>
      </c>
      <c r="B24" s="976">
        <v>31.0</v>
      </c>
      <c r="C24" s="844">
        <v>15.0</v>
      </c>
      <c r="D24" s="844">
        <v>29.0</v>
      </c>
      <c r="E24" s="844">
        <v>2.24</v>
      </c>
      <c r="F24" s="703"/>
      <c r="G24" s="703"/>
      <c r="H24" s="703"/>
      <c r="I24" s="703"/>
      <c r="J24" s="703"/>
      <c r="K24" s="703"/>
      <c r="L24" s="703"/>
      <c r="M24" s="703"/>
      <c r="N24" s="703"/>
      <c r="O24" s="703"/>
      <c r="P24" s="703"/>
      <c r="Q24" s="703"/>
      <c r="R24" s="703"/>
      <c r="S24" s="703"/>
      <c r="T24" s="703"/>
      <c r="U24" s="703"/>
      <c r="V24" s="703"/>
      <c r="W24" s="703"/>
      <c r="X24" s="703"/>
      <c r="Y24" s="703"/>
      <c r="Z24" s="703"/>
    </row>
    <row r="25">
      <c r="A25" s="975" t="s">
        <v>263</v>
      </c>
      <c r="B25" s="976">
        <v>49.0</v>
      </c>
      <c r="C25" s="844">
        <v>11.0</v>
      </c>
      <c r="D25" s="844">
        <v>7.0</v>
      </c>
      <c r="E25" s="844">
        <v>2.14</v>
      </c>
      <c r="F25" s="703"/>
      <c r="G25" s="703"/>
      <c r="H25" s="703"/>
      <c r="I25" s="703"/>
      <c r="J25" s="703"/>
      <c r="K25" s="703"/>
      <c r="L25" s="703"/>
      <c r="M25" s="703"/>
      <c r="N25" s="703"/>
      <c r="O25" s="703"/>
      <c r="P25" s="703"/>
      <c r="Q25" s="703"/>
      <c r="R25" s="703"/>
      <c r="S25" s="703"/>
      <c r="T25" s="703"/>
      <c r="U25" s="703"/>
      <c r="V25" s="703"/>
      <c r="W25" s="703"/>
      <c r="X25" s="703"/>
      <c r="Y25" s="703"/>
      <c r="Z25" s="703"/>
    </row>
    <row r="26">
      <c r="A26" s="975" t="s">
        <v>407</v>
      </c>
      <c r="B26" s="976">
        <v>46.0</v>
      </c>
      <c r="C26" s="844">
        <v>12.0</v>
      </c>
      <c r="D26" s="844">
        <v>12.0</v>
      </c>
      <c r="E26" s="844">
        <v>1.67</v>
      </c>
      <c r="F26" s="703"/>
      <c r="G26" s="703"/>
      <c r="H26" s="703"/>
      <c r="I26" s="703"/>
      <c r="J26" s="703"/>
      <c r="K26" s="703"/>
      <c r="L26" s="703"/>
      <c r="M26" s="703"/>
      <c r="N26" s="703"/>
      <c r="O26" s="703"/>
      <c r="P26" s="703"/>
      <c r="Q26" s="703"/>
      <c r="R26" s="703"/>
      <c r="S26" s="703"/>
      <c r="T26" s="703"/>
      <c r="U26" s="703"/>
      <c r="V26" s="703"/>
      <c r="W26" s="703"/>
      <c r="X26" s="703"/>
      <c r="Y26" s="703"/>
      <c r="Z26" s="703"/>
    </row>
    <row r="27">
      <c r="A27" s="975" t="s">
        <v>899</v>
      </c>
      <c r="B27" s="976">
        <v>20.0</v>
      </c>
      <c r="C27" s="844">
        <v>6.0</v>
      </c>
      <c r="D27" s="844">
        <v>8.0</v>
      </c>
      <c r="E27" s="844">
        <v>2.0</v>
      </c>
      <c r="F27" s="703"/>
      <c r="G27" s="703"/>
      <c r="H27" s="703"/>
      <c r="I27" s="703"/>
      <c r="J27" s="703"/>
      <c r="K27" s="703"/>
      <c r="L27" s="703"/>
      <c r="M27" s="703"/>
      <c r="N27" s="703"/>
      <c r="O27" s="703"/>
      <c r="P27" s="703"/>
      <c r="Q27" s="703"/>
      <c r="R27" s="703"/>
      <c r="S27" s="703"/>
      <c r="T27" s="703"/>
      <c r="U27" s="703"/>
      <c r="V27" s="703"/>
      <c r="W27" s="703"/>
      <c r="X27" s="703"/>
      <c r="Y27" s="703"/>
      <c r="Z27" s="703"/>
    </row>
    <row r="28">
      <c r="A28" s="975" t="s">
        <v>1247</v>
      </c>
      <c r="B28" s="976">
        <v>53.0</v>
      </c>
      <c r="C28" s="844">
        <v>22.0</v>
      </c>
      <c r="D28" s="844">
        <v>53.0</v>
      </c>
      <c r="E28" s="844">
        <v>2.32</v>
      </c>
      <c r="F28" s="703"/>
      <c r="G28" s="703"/>
      <c r="H28" s="703"/>
      <c r="I28" s="703"/>
      <c r="J28" s="703"/>
      <c r="K28" s="703"/>
      <c r="L28" s="703"/>
      <c r="M28" s="703"/>
      <c r="N28" s="703"/>
      <c r="O28" s="703"/>
      <c r="P28" s="703"/>
      <c r="Q28" s="703"/>
      <c r="R28" s="703"/>
      <c r="S28" s="703"/>
      <c r="T28" s="703"/>
      <c r="U28" s="703"/>
      <c r="V28" s="703"/>
      <c r="W28" s="703"/>
      <c r="X28" s="703"/>
      <c r="Y28" s="703"/>
      <c r="Z28" s="703"/>
    </row>
    <row r="29">
      <c r="A29" s="975" t="s">
        <v>901</v>
      </c>
      <c r="B29" s="976">
        <v>14.0</v>
      </c>
      <c r="C29" s="844">
        <v>5.0</v>
      </c>
      <c r="D29" s="844">
        <v>6.0</v>
      </c>
      <c r="E29" s="844">
        <v>1.83</v>
      </c>
      <c r="F29" s="703"/>
      <c r="G29" s="703"/>
      <c r="H29" s="703"/>
      <c r="I29" s="703"/>
      <c r="J29" s="703"/>
      <c r="K29" s="703"/>
      <c r="L29" s="703"/>
      <c r="M29" s="703"/>
      <c r="N29" s="703"/>
      <c r="O29" s="703"/>
      <c r="P29" s="703"/>
      <c r="Q29" s="703"/>
      <c r="R29" s="703"/>
      <c r="S29" s="703"/>
      <c r="T29" s="703"/>
      <c r="U29" s="703"/>
      <c r="V29" s="703"/>
      <c r="W29" s="703"/>
      <c r="X29" s="703"/>
      <c r="Y29" s="703"/>
      <c r="Z29" s="703"/>
    </row>
    <row r="30">
      <c r="A30" s="975" t="s">
        <v>1248</v>
      </c>
      <c r="B30" s="976">
        <v>464.0</v>
      </c>
      <c r="C30" s="844">
        <v>69.0</v>
      </c>
      <c r="D30" s="844">
        <v>152.0</v>
      </c>
      <c r="E30" s="844">
        <v>2.19</v>
      </c>
      <c r="F30" s="703"/>
      <c r="G30" s="703"/>
      <c r="H30" s="703"/>
      <c r="I30" s="703"/>
      <c r="J30" s="703"/>
      <c r="K30" s="703"/>
      <c r="L30" s="703"/>
      <c r="M30" s="703"/>
      <c r="N30" s="703"/>
      <c r="O30" s="703"/>
      <c r="P30" s="703"/>
      <c r="Q30" s="703"/>
      <c r="R30" s="703"/>
      <c r="S30" s="703"/>
      <c r="T30" s="703"/>
      <c r="U30" s="703"/>
      <c r="V30" s="703"/>
      <c r="W30" s="703"/>
      <c r="X30" s="703"/>
      <c r="Y30" s="703"/>
      <c r="Z30" s="703"/>
    </row>
    <row r="31">
      <c r="A31" s="975" t="s">
        <v>1249</v>
      </c>
      <c r="B31" s="976">
        <v>41.0</v>
      </c>
      <c r="C31" s="844">
        <v>8.0</v>
      </c>
      <c r="D31" s="844">
        <v>10.0</v>
      </c>
      <c r="E31" s="844">
        <v>2.6</v>
      </c>
      <c r="F31" s="703"/>
      <c r="G31" s="703"/>
      <c r="H31" s="703"/>
      <c r="I31" s="703"/>
      <c r="J31" s="703"/>
      <c r="K31" s="703"/>
      <c r="L31" s="703"/>
      <c r="M31" s="703"/>
      <c r="N31" s="703"/>
      <c r="O31" s="703"/>
      <c r="P31" s="703"/>
      <c r="Q31" s="703"/>
      <c r="R31" s="703"/>
      <c r="S31" s="703"/>
      <c r="T31" s="703"/>
      <c r="U31" s="703"/>
      <c r="V31" s="703"/>
      <c r="W31" s="703"/>
      <c r="X31" s="703"/>
      <c r="Y31" s="703"/>
      <c r="Z31" s="703"/>
    </row>
    <row r="32">
      <c r="A32" s="975" t="s">
        <v>1250</v>
      </c>
      <c r="B32" s="976">
        <v>30.0</v>
      </c>
      <c r="C32" s="844">
        <v>3.0</v>
      </c>
      <c r="D32" s="844">
        <v>9.0</v>
      </c>
      <c r="E32" s="844">
        <v>2.11</v>
      </c>
      <c r="F32" s="703"/>
      <c r="G32" s="703"/>
      <c r="H32" s="703"/>
      <c r="I32" s="703"/>
      <c r="J32" s="703"/>
      <c r="K32" s="703"/>
      <c r="L32" s="703"/>
      <c r="M32" s="703"/>
      <c r="N32" s="703"/>
      <c r="O32" s="703"/>
      <c r="P32" s="703"/>
      <c r="Q32" s="703"/>
      <c r="R32" s="703"/>
      <c r="S32" s="703"/>
      <c r="T32" s="703"/>
      <c r="U32" s="703"/>
      <c r="V32" s="703"/>
      <c r="W32" s="703"/>
      <c r="X32" s="703"/>
      <c r="Y32" s="703"/>
      <c r="Z32" s="703"/>
    </row>
    <row r="33">
      <c r="A33" s="975" t="s">
        <v>1251</v>
      </c>
      <c r="B33" s="976">
        <v>56.0</v>
      </c>
      <c r="C33" s="844">
        <v>16.0</v>
      </c>
      <c r="D33" s="844">
        <v>46.0</v>
      </c>
      <c r="E33" s="844">
        <v>1.7</v>
      </c>
      <c r="F33" s="703"/>
      <c r="G33" s="703"/>
      <c r="H33" s="703"/>
      <c r="I33" s="703"/>
      <c r="J33" s="703"/>
      <c r="K33" s="703"/>
      <c r="L33" s="703"/>
      <c r="M33" s="703"/>
      <c r="N33" s="703"/>
      <c r="O33" s="703"/>
      <c r="P33" s="703"/>
      <c r="Q33" s="703"/>
      <c r="R33" s="703"/>
      <c r="S33" s="703"/>
      <c r="T33" s="703"/>
      <c r="U33" s="703"/>
      <c r="V33" s="703"/>
      <c r="W33" s="703"/>
      <c r="X33" s="703"/>
      <c r="Y33" s="703"/>
      <c r="Z33" s="703"/>
    </row>
    <row r="34">
      <c r="A34" s="975" t="s">
        <v>1252</v>
      </c>
      <c r="B34" s="976">
        <v>33.0</v>
      </c>
      <c r="C34" s="844">
        <v>9.0</v>
      </c>
      <c r="D34" s="844">
        <v>16.0</v>
      </c>
      <c r="E34" s="844">
        <v>2.25</v>
      </c>
      <c r="F34" s="703"/>
      <c r="G34" s="703"/>
      <c r="H34" s="703"/>
      <c r="I34" s="703"/>
      <c r="J34" s="703"/>
      <c r="K34" s="703"/>
      <c r="L34" s="703"/>
      <c r="M34" s="703"/>
      <c r="N34" s="703"/>
      <c r="O34" s="703"/>
      <c r="P34" s="703"/>
      <c r="Q34" s="703"/>
      <c r="R34" s="703"/>
      <c r="S34" s="703"/>
      <c r="T34" s="703"/>
      <c r="U34" s="703"/>
      <c r="V34" s="703"/>
      <c r="W34" s="703"/>
      <c r="X34" s="703"/>
      <c r="Y34" s="703"/>
      <c r="Z34" s="703"/>
    </row>
    <row r="35">
      <c r="A35" s="975" t="s">
        <v>1253</v>
      </c>
      <c r="B35" s="976">
        <v>112.0</v>
      </c>
      <c r="C35" s="844">
        <v>27.0</v>
      </c>
      <c r="D35" s="844">
        <v>18.0</v>
      </c>
      <c r="E35" s="844">
        <v>2.5</v>
      </c>
      <c r="F35" s="703"/>
      <c r="G35" s="703"/>
      <c r="H35" s="703"/>
      <c r="I35" s="703"/>
      <c r="J35" s="703"/>
      <c r="K35" s="703"/>
      <c r="L35" s="703"/>
      <c r="M35" s="703"/>
      <c r="N35" s="703"/>
      <c r="O35" s="703"/>
      <c r="P35" s="703"/>
      <c r="Q35" s="703"/>
      <c r="R35" s="703"/>
      <c r="S35" s="703"/>
      <c r="T35" s="703"/>
      <c r="U35" s="703"/>
      <c r="V35" s="703"/>
      <c r="W35" s="703"/>
      <c r="X35" s="703"/>
      <c r="Y35" s="703"/>
      <c r="Z35" s="703"/>
    </row>
    <row r="36">
      <c r="A36" s="975" t="s">
        <v>1254</v>
      </c>
      <c r="B36" s="976">
        <v>13.0</v>
      </c>
      <c r="C36" s="844">
        <v>4.0</v>
      </c>
      <c r="D36" s="844">
        <v>13.0</v>
      </c>
      <c r="E36" s="844">
        <v>2.08</v>
      </c>
      <c r="F36" s="703"/>
      <c r="G36" s="703"/>
      <c r="H36" s="703"/>
      <c r="I36" s="703"/>
      <c r="J36" s="703"/>
      <c r="K36" s="703"/>
      <c r="L36" s="703"/>
      <c r="M36" s="703"/>
      <c r="N36" s="703"/>
      <c r="O36" s="703"/>
      <c r="P36" s="703"/>
      <c r="Q36" s="703"/>
      <c r="R36" s="703"/>
      <c r="S36" s="703"/>
      <c r="T36" s="703"/>
      <c r="U36" s="703"/>
      <c r="V36" s="703"/>
      <c r="W36" s="703"/>
      <c r="X36" s="703"/>
      <c r="Y36" s="703"/>
      <c r="Z36" s="703"/>
    </row>
    <row r="37">
      <c r="A37" s="975" t="s">
        <v>1255</v>
      </c>
      <c r="B37" s="976">
        <v>42.0</v>
      </c>
      <c r="C37" s="844">
        <v>2.0</v>
      </c>
      <c r="D37" s="844">
        <v>17.0</v>
      </c>
      <c r="E37" s="844">
        <v>1.88</v>
      </c>
      <c r="F37" s="703"/>
      <c r="G37" s="703"/>
      <c r="H37" s="703"/>
      <c r="I37" s="703"/>
      <c r="J37" s="703"/>
      <c r="K37" s="703"/>
      <c r="L37" s="703"/>
      <c r="M37" s="703"/>
      <c r="N37" s="703"/>
      <c r="O37" s="703"/>
      <c r="P37" s="703"/>
      <c r="Q37" s="703"/>
      <c r="R37" s="703"/>
      <c r="S37" s="703"/>
      <c r="T37" s="703"/>
      <c r="U37" s="703"/>
      <c r="V37" s="703"/>
      <c r="W37" s="703"/>
      <c r="X37" s="703"/>
      <c r="Y37" s="703"/>
      <c r="Z37" s="703"/>
    </row>
    <row r="38">
      <c r="A38" s="975" t="s">
        <v>1256</v>
      </c>
      <c r="B38" s="976">
        <v>391.0</v>
      </c>
      <c r="C38" s="844">
        <v>82.0</v>
      </c>
      <c r="D38" s="844">
        <v>107.0</v>
      </c>
      <c r="E38" s="844">
        <v>1.92</v>
      </c>
      <c r="F38" s="703"/>
      <c r="G38" s="703"/>
      <c r="H38" s="703"/>
      <c r="I38" s="703"/>
      <c r="J38" s="703"/>
      <c r="K38" s="703"/>
      <c r="L38" s="703"/>
      <c r="M38" s="703"/>
      <c r="N38" s="703"/>
      <c r="O38" s="703"/>
      <c r="P38" s="703"/>
      <c r="Q38" s="703"/>
      <c r="R38" s="703"/>
      <c r="S38" s="703"/>
      <c r="T38" s="703"/>
      <c r="U38" s="703"/>
      <c r="V38" s="703"/>
      <c r="W38" s="703"/>
      <c r="X38" s="703"/>
      <c r="Y38" s="703"/>
      <c r="Z38" s="703"/>
    </row>
    <row r="39">
      <c r="A39" s="975" t="s">
        <v>1257</v>
      </c>
      <c r="B39" s="976">
        <v>44.0</v>
      </c>
      <c r="C39" s="844">
        <v>5.0</v>
      </c>
      <c r="D39" s="844">
        <v>26.0</v>
      </c>
      <c r="E39" s="844">
        <v>2.08</v>
      </c>
      <c r="F39" s="703"/>
      <c r="G39" s="703"/>
      <c r="H39" s="703"/>
      <c r="I39" s="703"/>
      <c r="J39" s="703"/>
      <c r="K39" s="703"/>
      <c r="L39" s="703"/>
      <c r="M39" s="703"/>
      <c r="N39" s="703"/>
      <c r="O39" s="703"/>
      <c r="P39" s="703"/>
      <c r="Q39" s="703"/>
      <c r="R39" s="703"/>
      <c r="S39" s="703"/>
      <c r="T39" s="703"/>
      <c r="U39" s="703"/>
      <c r="V39" s="703"/>
      <c r="W39" s="703"/>
      <c r="X39" s="703"/>
      <c r="Y39" s="703"/>
      <c r="Z39" s="703"/>
    </row>
    <row r="40">
      <c r="A40" s="975" t="s">
        <v>1258</v>
      </c>
      <c r="B40" s="976">
        <v>36.0</v>
      </c>
      <c r="C40" s="844">
        <v>7.0</v>
      </c>
      <c r="D40" s="844">
        <v>23.0</v>
      </c>
      <c r="E40" s="844">
        <v>2.39</v>
      </c>
      <c r="F40" s="703"/>
      <c r="G40" s="703"/>
      <c r="H40" s="703"/>
      <c r="I40" s="703"/>
      <c r="J40" s="703"/>
      <c r="K40" s="703"/>
      <c r="L40" s="703"/>
      <c r="M40" s="703"/>
      <c r="N40" s="703"/>
      <c r="O40" s="703"/>
      <c r="P40" s="703"/>
      <c r="Q40" s="703"/>
      <c r="R40" s="703"/>
      <c r="S40" s="703"/>
      <c r="T40" s="703"/>
      <c r="U40" s="703"/>
      <c r="V40" s="703"/>
      <c r="W40" s="703"/>
      <c r="X40" s="703"/>
      <c r="Y40" s="703"/>
      <c r="Z40" s="703"/>
    </row>
    <row r="41">
      <c r="A41" s="975" t="s">
        <v>1259</v>
      </c>
      <c r="B41" s="976">
        <v>12.0</v>
      </c>
      <c r="C41" s="844">
        <v>1.0</v>
      </c>
      <c r="D41" s="844">
        <v>6.0</v>
      </c>
      <c r="E41" s="844">
        <v>1.67</v>
      </c>
      <c r="F41" s="703"/>
      <c r="G41" s="703"/>
      <c r="H41" s="703"/>
      <c r="I41" s="703"/>
      <c r="J41" s="703"/>
      <c r="K41" s="703"/>
      <c r="L41" s="703"/>
      <c r="M41" s="703"/>
      <c r="N41" s="703"/>
      <c r="O41" s="703"/>
      <c r="P41" s="703"/>
      <c r="Q41" s="703"/>
      <c r="R41" s="703"/>
      <c r="S41" s="703"/>
      <c r="T41" s="703"/>
      <c r="U41" s="703"/>
      <c r="V41" s="703"/>
      <c r="W41" s="703"/>
      <c r="X41" s="703"/>
      <c r="Y41" s="703"/>
      <c r="Z41" s="703"/>
    </row>
    <row r="42">
      <c r="A42" s="975" t="s">
        <v>1260</v>
      </c>
      <c r="B42" s="976">
        <v>45.0</v>
      </c>
      <c r="C42" s="844">
        <v>4.0</v>
      </c>
      <c r="D42" s="844">
        <v>34.0</v>
      </c>
      <c r="E42" s="844">
        <v>2.27</v>
      </c>
      <c r="F42" s="703"/>
      <c r="G42" s="703"/>
      <c r="H42" s="703"/>
      <c r="I42" s="703"/>
      <c r="J42" s="703"/>
      <c r="K42" s="703"/>
      <c r="L42" s="703"/>
      <c r="M42" s="703"/>
      <c r="N42" s="703"/>
      <c r="O42" s="703"/>
      <c r="P42" s="703"/>
      <c r="Q42" s="703"/>
      <c r="R42" s="703"/>
      <c r="S42" s="703"/>
      <c r="T42" s="703"/>
      <c r="U42" s="703"/>
      <c r="V42" s="703"/>
      <c r="W42" s="703"/>
      <c r="X42" s="703"/>
      <c r="Y42" s="703"/>
      <c r="Z42" s="703"/>
    </row>
    <row r="43">
      <c r="A43" s="975" t="s">
        <v>142</v>
      </c>
      <c r="B43" s="976">
        <v>156.0</v>
      </c>
      <c r="C43" s="844">
        <v>45.0</v>
      </c>
      <c r="D43" s="844">
        <v>67.0</v>
      </c>
      <c r="E43" s="844">
        <v>2.31</v>
      </c>
      <c r="F43" s="703"/>
      <c r="G43" s="703"/>
      <c r="H43" s="703"/>
      <c r="I43" s="703"/>
      <c r="J43" s="703"/>
      <c r="K43" s="703"/>
      <c r="L43" s="703"/>
      <c r="M43" s="703"/>
      <c r="N43" s="703"/>
      <c r="O43" s="703"/>
      <c r="P43" s="703"/>
      <c r="Q43" s="703"/>
      <c r="R43" s="703"/>
      <c r="S43" s="703"/>
      <c r="T43" s="703"/>
      <c r="U43" s="703"/>
      <c r="V43" s="703"/>
      <c r="W43" s="703"/>
      <c r="X43" s="703"/>
      <c r="Y43" s="703"/>
      <c r="Z43" s="703"/>
    </row>
    <row r="44">
      <c r="A44" s="975" t="s">
        <v>1261</v>
      </c>
      <c r="B44" s="976">
        <v>396.0</v>
      </c>
      <c r="C44" s="844">
        <v>100.0</v>
      </c>
      <c r="D44" s="844">
        <v>136.0</v>
      </c>
      <c r="E44" s="844">
        <v>2.0</v>
      </c>
      <c r="F44" s="703"/>
      <c r="G44" s="703"/>
      <c r="H44" s="703"/>
      <c r="I44" s="703"/>
      <c r="J44" s="703"/>
      <c r="K44" s="703"/>
      <c r="L44" s="703"/>
      <c r="M44" s="703"/>
      <c r="N44" s="703"/>
      <c r="O44" s="703"/>
      <c r="P44" s="703"/>
      <c r="Q44" s="703"/>
      <c r="R44" s="703"/>
      <c r="S44" s="703"/>
      <c r="T44" s="703"/>
      <c r="U44" s="703"/>
      <c r="V44" s="703"/>
      <c r="W44" s="703"/>
      <c r="X44" s="703"/>
      <c r="Y44" s="703"/>
      <c r="Z44" s="703"/>
    </row>
    <row r="45">
      <c r="A45" s="975" t="s">
        <v>1262</v>
      </c>
      <c r="B45" s="976">
        <v>20.0</v>
      </c>
      <c r="C45" s="844">
        <v>10.0</v>
      </c>
      <c r="D45" s="844">
        <v>10.0</v>
      </c>
      <c r="E45" s="844">
        <v>3.3</v>
      </c>
      <c r="F45" s="703"/>
      <c r="G45" s="703"/>
      <c r="H45" s="703"/>
      <c r="I45" s="703"/>
      <c r="J45" s="703"/>
      <c r="K45" s="703"/>
      <c r="L45" s="703"/>
      <c r="M45" s="703"/>
      <c r="N45" s="703"/>
      <c r="O45" s="703"/>
      <c r="P45" s="703"/>
      <c r="Q45" s="703"/>
      <c r="R45" s="703"/>
      <c r="S45" s="703"/>
      <c r="T45" s="703"/>
      <c r="U45" s="703"/>
      <c r="V45" s="703"/>
      <c r="W45" s="703"/>
      <c r="X45" s="703"/>
      <c r="Y45" s="703"/>
      <c r="Z45" s="703"/>
    </row>
    <row r="46">
      <c r="A46" s="975" t="s">
        <v>474</v>
      </c>
      <c r="B46" s="976">
        <v>512.0</v>
      </c>
      <c r="C46" s="844">
        <v>86.0</v>
      </c>
      <c r="D46" s="844">
        <v>288.0</v>
      </c>
      <c r="E46" s="844">
        <v>2.02</v>
      </c>
      <c r="F46" s="703"/>
      <c r="G46" s="703"/>
      <c r="H46" s="703"/>
      <c r="I46" s="703"/>
      <c r="J46" s="703"/>
      <c r="K46" s="703"/>
      <c r="L46" s="703"/>
      <c r="M46" s="703"/>
      <c r="N46" s="703"/>
      <c r="O46" s="703"/>
      <c r="P46" s="703"/>
      <c r="Q46" s="703"/>
      <c r="R46" s="703"/>
      <c r="S46" s="703"/>
      <c r="T46" s="703"/>
      <c r="U46" s="703"/>
      <c r="V46" s="703"/>
      <c r="W46" s="703"/>
      <c r="X46" s="703"/>
      <c r="Y46" s="703"/>
      <c r="Z46" s="703"/>
    </row>
    <row r="47">
      <c r="A47" s="975" t="s">
        <v>1263</v>
      </c>
      <c r="B47" s="976">
        <v>2.0</v>
      </c>
      <c r="C47" s="844">
        <v>1.0</v>
      </c>
      <c r="D47" s="844">
        <v>1.0</v>
      </c>
      <c r="E47" s="844">
        <v>2.0</v>
      </c>
      <c r="F47" s="703"/>
      <c r="G47" s="703"/>
      <c r="H47" s="703"/>
      <c r="I47" s="703"/>
      <c r="J47" s="703"/>
      <c r="K47" s="703"/>
      <c r="L47" s="703"/>
      <c r="M47" s="703"/>
      <c r="N47" s="703"/>
      <c r="O47" s="703"/>
      <c r="P47" s="703"/>
      <c r="Q47" s="703"/>
      <c r="R47" s="703"/>
      <c r="S47" s="703"/>
      <c r="T47" s="703"/>
      <c r="U47" s="703"/>
      <c r="V47" s="703"/>
      <c r="W47" s="703"/>
      <c r="X47" s="703"/>
      <c r="Y47" s="703"/>
      <c r="Z47" s="703"/>
    </row>
    <row r="48">
      <c r="A48" s="975" t="s">
        <v>337</v>
      </c>
      <c r="B48" s="976">
        <v>28.0</v>
      </c>
      <c r="C48" s="844">
        <v>7.0</v>
      </c>
      <c r="D48" s="844">
        <v>7.0</v>
      </c>
      <c r="E48" s="844">
        <v>2.86</v>
      </c>
      <c r="F48" s="703"/>
      <c r="G48" s="703"/>
      <c r="H48" s="703"/>
      <c r="I48" s="703"/>
      <c r="J48" s="703"/>
      <c r="K48" s="703"/>
      <c r="L48" s="703"/>
      <c r="M48" s="703"/>
      <c r="N48" s="703"/>
      <c r="O48" s="703"/>
      <c r="P48" s="703"/>
      <c r="Q48" s="703"/>
      <c r="R48" s="703"/>
      <c r="S48" s="703"/>
      <c r="T48" s="703"/>
      <c r="U48" s="703"/>
      <c r="V48" s="703"/>
      <c r="W48" s="703"/>
      <c r="X48" s="703"/>
      <c r="Y48" s="703"/>
      <c r="Z48" s="703"/>
    </row>
    <row r="49">
      <c r="A49" s="975" t="s">
        <v>1264</v>
      </c>
      <c r="B49" s="976">
        <v>38.0</v>
      </c>
      <c r="C49" s="844">
        <v>6.0</v>
      </c>
      <c r="D49" s="844">
        <v>37.0</v>
      </c>
      <c r="E49" s="844">
        <v>2.27</v>
      </c>
      <c r="F49" s="703"/>
      <c r="G49" s="703"/>
      <c r="H49" s="703"/>
      <c r="I49" s="703"/>
      <c r="J49" s="703"/>
      <c r="K49" s="703"/>
      <c r="L49" s="703"/>
      <c r="M49" s="703"/>
      <c r="N49" s="703"/>
      <c r="O49" s="703"/>
      <c r="P49" s="703"/>
      <c r="Q49" s="703"/>
      <c r="R49" s="703"/>
      <c r="S49" s="703"/>
      <c r="T49" s="703"/>
      <c r="U49" s="703"/>
      <c r="V49" s="703"/>
      <c r="W49" s="703"/>
      <c r="X49" s="703"/>
      <c r="Y49" s="703"/>
      <c r="Z49" s="703"/>
    </row>
    <row r="50">
      <c r="A50" s="975" t="s">
        <v>1265</v>
      </c>
      <c r="B50" s="976">
        <v>8.0</v>
      </c>
      <c r="C50" s="844">
        <v>7.0</v>
      </c>
      <c r="D50" s="844">
        <v>6.0</v>
      </c>
      <c r="E50" s="844">
        <v>2.33</v>
      </c>
      <c r="F50" s="703"/>
      <c r="G50" s="703"/>
      <c r="H50" s="703"/>
      <c r="I50" s="703"/>
      <c r="J50" s="703"/>
      <c r="K50" s="703"/>
      <c r="L50" s="703"/>
      <c r="M50" s="703"/>
      <c r="N50" s="703"/>
      <c r="O50" s="703"/>
      <c r="P50" s="703"/>
      <c r="Q50" s="703"/>
      <c r="R50" s="703"/>
      <c r="S50" s="703"/>
      <c r="T50" s="703"/>
      <c r="U50" s="703"/>
      <c r="V50" s="703"/>
      <c r="W50" s="703"/>
      <c r="X50" s="703"/>
      <c r="Y50" s="703"/>
      <c r="Z50" s="703"/>
    </row>
    <row r="51">
      <c r="A51" s="975" t="s">
        <v>1266</v>
      </c>
      <c r="B51" s="976">
        <v>134.0</v>
      </c>
      <c r="C51" s="844">
        <v>15.0</v>
      </c>
      <c r="D51" s="844">
        <v>38.0</v>
      </c>
      <c r="E51" s="844">
        <v>2.55</v>
      </c>
      <c r="F51" s="703"/>
      <c r="G51" s="703"/>
      <c r="H51" s="703"/>
      <c r="I51" s="703"/>
      <c r="J51" s="703"/>
      <c r="K51" s="703"/>
      <c r="L51" s="703"/>
      <c r="M51" s="703"/>
      <c r="N51" s="703"/>
      <c r="O51" s="703"/>
      <c r="P51" s="703"/>
      <c r="Q51" s="703"/>
      <c r="R51" s="703"/>
      <c r="S51" s="703"/>
      <c r="T51" s="703"/>
      <c r="U51" s="703"/>
      <c r="V51" s="703"/>
      <c r="W51" s="703"/>
      <c r="X51" s="703"/>
      <c r="Y51" s="703"/>
      <c r="Z51" s="703"/>
    </row>
    <row r="52">
      <c r="A52" s="975" t="s">
        <v>730</v>
      </c>
      <c r="B52" s="976">
        <v>86.0</v>
      </c>
      <c r="C52" s="844">
        <v>12.0</v>
      </c>
      <c r="D52" s="844">
        <v>91.0</v>
      </c>
      <c r="E52" s="844">
        <v>2.02</v>
      </c>
      <c r="F52" s="703"/>
      <c r="G52" s="703"/>
      <c r="H52" s="703"/>
      <c r="I52" s="703"/>
      <c r="J52" s="703"/>
      <c r="K52" s="703"/>
      <c r="L52" s="703"/>
      <c r="M52" s="703"/>
      <c r="N52" s="703"/>
      <c r="O52" s="703"/>
      <c r="P52" s="703"/>
      <c r="Q52" s="703"/>
      <c r="R52" s="703"/>
      <c r="S52" s="703"/>
      <c r="T52" s="703"/>
      <c r="U52" s="703"/>
      <c r="V52" s="703"/>
      <c r="W52" s="703"/>
      <c r="X52" s="703"/>
      <c r="Y52" s="703"/>
      <c r="Z52" s="703"/>
    </row>
    <row r="53">
      <c r="A53" s="975" t="s">
        <v>1267</v>
      </c>
      <c r="B53" s="976">
        <v>6.0</v>
      </c>
      <c r="C53" s="844">
        <v>2.0</v>
      </c>
      <c r="D53" s="844">
        <v>4.0</v>
      </c>
      <c r="E53" s="844">
        <v>3.0</v>
      </c>
      <c r="F53" s="703"/>
      <c r="G53" s="703"/>
      <c r="H53" s="703"/>
      <c r="I53" s="703"/>
      <c r="J53" s="703"/>
      <c r="K53" s="703"/>
      <c r="L53" s="703"/>
      <c r="M53" s="703"/>
      <c r="N53" s="703"/>
      <c r="O53" s="703"/>
      <c r="P53" s="703"/>
      <c r="Q53" s="703"/>
      <c r="R53" s="703"/>
      <c r="S53" s="703"/>
      <c r="T53" s="703"/>
      <c r="U53" s="703"/>
      <c r="V53" s="703"/>
      <c r="W53" s="703"/>
      <c r="X53" s="703"/>
      <c r="Y53" s="703"/>
      <c r="Z53" s="703"/>
    </row>
    <row r="54">
      <c r="A54" s="975" t="s">
        <v>1268</v>
      </c>
      <c r="B54" s="976">
        <v>15.0</v>
      </c>
      <c r="C54" s="844">
        <v>4.0</v>
      </c>
      <c r="D54" s="844">
        <v>3.0</v>
      </c>
      <c r="E54" s="844">
        <v>2.0</v>
      </c>
      <c r="F54" s="703"/>
      <c r="G54" s="703"/>
      <c r="H54" s="703"/>
      <c r="I54" s="703"/>
      <c r="J54" s="703"/>
      <c r="K54" s="703"/>
      <c r="L54" s="703"/>
      <c r="M54" s="703"/>
      <c r="N54" s="703"/>
      <c r="O54" s="703"/>
      <c r="P54" s="703"/>
      <c r="Q54" s="703"/>
      <c r="R54" s="703"/>
      <c r="S54" s="703"/>
      <c r="T54" s="703"/>
      <c r="U54" s="703"/>
      <c r="V54" s="703"/>
      <c r="W54" s="703"/>
      <c r="X54" s="703"/>
      <c r="Y54" s="703"/>
      <c r="Z54" s="703"/>
    </row>
    <row r="55">
      <c r="A55" s="975" t="s">
        <v>478</v>
      </c>
      <c r="B55" s="976">
        <v>478.0</v>
      </c>
      <c r="C55" s="844">
        <v>137.0</v>
      </c>
      <c r="D55" s="844">
        <v>215.0</v>
      </c>
      <c r="E55" s="844">
        <v>1.72</v>
      </c>
      <c r="F55" s="703"/>
      <c r="G55" s="703"/>
      <c r="H55" s="703"/>
      <c r="I55" s="703"/>
      <c r="J55" s="703"/>
      <c r="K55" s="703"/>
      <c r="L55" s="703"/>
      <c r="M55" s="703"/>
      <c r="N55" s="703"/>
      <c r="O55" s="703"/>
      <c r="P55" s="703"/>
      <c r="Q55" s="703"/>
      <c r="R55" s="703"/>
      <c r="S55" s="703"/>
      <c r="T55" s="703"/>
      <c r="U55" s="703"/>
      <c r="V55" s="703"/>
      <c r="W55" s="703"/>
      <c r="X55" s="703"/>
      <c r="Y55" s="703"/>
      <c r="Z55" s="703"/>
    </row>
    <row r="56">
      <c r="A56" s="975" t="s">
        <v>1269</v>
      </c>
      <c r="B56" s="976">
        <v>34.0</v>
      </c>
      <c r="C56" s="844">
        <v>8.0</v>
      </c>
      <c r="D56" s="844">
        <v>13.0</v>
      </c>
      <c r="E56" s="844">
        <v>2.15</v>
      </c>
      <c r="F56" s="703"/>
      <c r="G56" s="703"/>
      <c r="H56" s="703"/>
      <c r="I56" s="703"/>
      <c r="J56" s="703"/>
      <c r="K56" s="703"/>
      <c r="L56" s="703"/>
      <c r="M56" s="703"/>
      <c r="N56" s="703"/>
      <c r="O56" s="703"/>
      <c r="P56" s="703"/>
      <c r="Q56" s="703"/>
      <c r="R56" s="703"/>
      <c r="S56" s="703"/>
      <c r="T56" s="703"/>
      <c r="U56" s="703"/>
      <c r="V56" s="703"/>
      <c r="W56" s="703"/>
      <c r="X56" s="703"/>
      <c r="Y56" s="703"/>
      <c r="Z56" s="703"/>
    </row>
    <row r="57">
      <c r="A57" s="975" t="s">
        <v>1270</v>
      </c>
      <c r="B57" s="976">
        <v>48.0</v>
      </c>
      <c r="C57" s="844">
        <v>3.0</v>
      </c>
      <c r="D57" s="844">
        <v>31.0</v>
      </c>
      <c r="E57" s="844">
        <v>1.97</v>
      </c>
      <c r="F57" s="703"/>
      <c r="G57" s="703"/>
      <c r="H57" s="703"/>
      <c r="I57" s="703"/>
      <c r="J57" s="703"/>
      <c r="K57" s="703"/>
      <c r="L57" s="703"/>
      <c r="M57" s="703"/>
      <c r="N57" s="703"/>
      <c r="O57" s="703"/>
      <c r="P57" s="703"/>
      <c r="Q57" s="703"/>
      <c r="R57" s="703"/>
      <c r="S57" s="703"/>
      <c r="T57" s="703"/>
      <c r="U57" s="703"/>
      <c r="V57" s="703"/>
      <c r="W57" s="703"/>
      <c r="X57" s="703"/>
      <c r="Y57" s="703"/>
      <c r="Z57" s="703"/>
    </row>
    <row r="58">
      <c r="A58" s="975" t="s">
        <v>735</v>
      </c>
      <c r="B58" s="976">
        <v>18.0</v>
      </c>
      <c r="C58" s="844">
        <v>4.0</v>
      </c>
      <c r="D58" s="844">
        <v>16.0</v>
      </c>
      <c r="E58" s="844">
        <v>2.13</v>
      </c>
      <c r="F58" s="703"/>
      <c r="G58" s="703"/>
      <c r="H58" s="703"/>
      <c r="I58" s="703"/>
      <c r="J58" s="703"/>
      <c r="K58" s="703"/>
      <c r="L58" s="703"/>
      <c r="M58" s="703"/>
      <c r="N58" s="703"/>
      <c r="O58" s="703"/>
      <c r="P58" s="703"/>
      <c r="Q58" s="703"/>
      <c r="R58" s="703"/>
      <c r="S58" s="703"/>
      <c r="T58" s="703"/>
      <c r="U58" s="703"/>
      <c r="V58" s="703"/>
      <c r="W58" s="703"/>
      <c r="X58" s="703"/>
      <c r="Y58" s="703"/>
      <c r="Z58" s="703"/>
    </row>
    <row r="59">
      <c r="A59" s="975" t="s">
        <v>1271</v>
      </c>
      <c r="B59" s="976">
        <v>24.0</v>
      </c>
      <c r="C59" s="844">
        <v>2.0</v>
      </c>
      <c r="D59" s="844">
        <v>23.0</v>
      </c>
      <c r="E59" s="844">
        <v>2.39</v>
      </c>
      <c r="F59" s="703"/>
      <c r="G59" s="703"/>
      <c r="H59" s="703"/>
      <c r="I59" s="703"/>
      <c r="J59" s="703"/>
      <c r="K59" s="703"/>
      <c r="L59" s="703"/>
      <c r="M59" s="703"/>
      <c r="N59" s="703"/>
      <c r="O59" s="703"/>
      <c r="P59" s="703"/>
      <c r="Q59" s="703"/>
      <c r="R59" s="703"/>
      <c r="S59" s="703"/>
      <c r="T59" s="703"/>
      <c r="U59" s="703"/>
      <c r="V59" s="703"/>
      <c r="W59" s="703"/>
      <c r="X59" s="703"/>
      <c r="Y59" s="703"/>
      <c r="Z59" s="703"/>
    </row>
    <row r="60">
      <c r="A60" s="975" t="s">
        <v>1272</v>
      </c>
      <c r="B60" s="976">
        <v>34.0</v>
      </c>
      <c r="C60" s="844">
        <v>10.0</v>
      </c>
      <c r="D60" s="844">
        <v>8.0</v>
      </c>
      <c r="E60" s="844">
        <v>2.0</v>
      </c>
      <c r="F60" s="703"/>
      <c r="G60" s="703"/>
      <c r="H60" s="703"/>
      <c r="I60" s="703"/>
      <c r="J60" s="703"/>
      <c r="K60" s="703"/>
      <c r="L60" s="703"/>
      <c r="M60" s="703"/>
      <c r="N60" s="703"/>
      <c r="O60" s="703"/>
      <c r="P60" s="703"/>
      <c r="Q60" s="703"/>
      <c r="R60" s="703"/>
      <c r="S60" s="703"/>
      <c r="T60" s="703"/>
      <c r="U60" s="703"/>
      <c r="V60" s="703"/>
      <c r="W60" s="703"/>
      <c r="X60" s="703"/>
      <c r="Y60" s="703"/>
      <c r="Z60" s="703"/>
    </row>
    <row r="61">
      <c r="A61" s="975" t="s">
        <v>1273</v>
      </c>
      <c r="B61" s="976">
        <v>84.0</v>
      </c>
      <c r="C61" s="844">
        <v>18.0</v>
      </c>
      <c r="D61" s="844">
        <v>48.0</v>
      </c>
      <c r="E61" s="844">
        <v>2.08</v>
      </c>
      <c r="F61" s="703"/>
      <c r="G61" s="703"/>
      <c r="H61" s="703"/>
      <c r="I61" s="703"/>
      <c r="J61" s="703"/>
      <c r="K61" s="703"/>
      <c r="L61" s="703"/>
      <c r="M61" s="703"/>
      <c r="N61" s="703"/>
      <c r="O61" s="703"/>
      <c r="P61" s="703"/>
      <c r="Q61" s="703"/>
      <c r="R61" s="703"/>
      <c r="S61" s="703"/>
      <c r="T61" s="703"/>
      <c r="U61" s="703"/>
      <c r="V61" s="703"/>
      <c r="W61" s="703"/>
      <c r="X61" s="703"/>
      <c r="Y61" s="703"/>
      <c r="Z61" s="703"/>
    </row>
    <row r="62">
      <c r="A62" s="975" t="s">
        <v>1274</v>
      </c>
      <c r="B62" s="976">
        <v>8.0</v>
      </c>
      <c r="C62" s="844">
        <v>2.0</v>
      </c>
      <c r="D62" s="844">
        <v>8.0</v>
      </c>
      <c r="E62" s="844">
        <v>2.63</v>
      </c>
      <c r="F62" s="703"/>
      <c r="G62" s="703"/>
      <c r="H62" s="703"/>
      <c r="I62" s="703"/>
      <c r="J62" s="703"/>
      <c r="K62" s="703"/>
      <c r="L62" s="703"/>
      <c r="M62" s="703"/>
      <c r="N62" s="703"/>
      <c r="O62" s="703"/>
      <c r="P62" s="703"/>
      <c r="Q62" s="703"/>
      <c r="R62" s="703"/>
      <c r="S62" s="703"/>
      <c r="T62" s="703"/>
      <c r="U62" s="703"/>
      <c r="V62" s="703"/>
      <c r="W62" s="703"/>
      <c r="X62" s="703"/>
      <c r="Y62" s="703"/>
      <c r="Z62" s="703"/>
    </row>
    <row r="63">
      <c r="A63" s="975" t="s">
        <v>156</v>
      </c>
      <c r="B63" s="976">
        <v>92.0</v>
      </c>
      <c r="C63" s="844">
        <v>10.0</v>
      </c>
      <c r="D63" s="844">
        <v>58.0</v>
      </c>
      <c r="E63" s="844">
        <v>2.05</v>
      </c>
      <c r="F63" s="703"/>
      <c r="G63" s="703"/>
      <c r="H63" s="703"/>
      <c r="I63" s="703"/>
      <c r="J63" s="703"/>
      <c r="K63" s="703"/>
      <c r="L63" s="703"/>
      <c r="M63" s="703"/>
      <c r="N63" s="703"/>
      <c r="O63" s="703"/>
      <c r="P63" s="703"/>
      <c r="Q63" s="703"/>
      <c r="R63" s="703"/>
      <c r="S63" s="703"/>
      <c r="T63" s="703"/>
      <c r="U63" s="703"/>
      <c r="V63" s="703"/>
      <c r="W63" s="703"/>
      <c r="X63" s="703"/>
      <c r="Y63" s="703"/>
      <c r="Z63" s="703"/>
    </row>
    <row r="64">
      <c r="A64" s="975" t="s">
        <v>1275</v>
      </c>
      <c r="B64" s="976">
        <v>102.0</v>
      </c>
      <c r="C64" s="844">
        <v>22.0</v>
      </c>
      <c r="D64" s="844">
        <v>40.0</v>
      </c>
      <c r="E64" s="844">
        <v>2.23</v>
      </c>
      <c r="F64" s="703"/>
      <c r="G64" s="703"/>
      <c r="H64" s="703"/>
      <c r="I64" s="703"/>
      <c r="J64" s="703"/>
      <c r="K64" s="703"/>
      <c r="L64" s="703"/>
      <c r="M64" s="703"/>
      <c r="N64" s="703"/>
      <c r="O64" s="703"/>
      <c r="P64" s="703"/>
      <c r="Q64" s="703"/>
      <c r="R64" s="703"/>
      <c r="S64" s="703"/>
      <c r="T64" s="703"/>
      <c r="U64" s="703"/>
      <c r="V64" s="703"/>
      <c r="W64" s="703"/>
      <c r="X64" s="703"/>
      <c r="Y64" s="703"/>
      <c r="Z64" s="703"/>
    </row>
    <row r="65">
      <c r="A65" s="975" t="s">
        <v>1276</v>
      </c>
      <c r="B65" s="976">
        <v>11.0</v>
      </c>
      <c r="C65" s="844" t="s">
        <v>63</v>
      </c>
      <c r="D65" s="844">
        <v>4.0</v>
      </c>
      <c r="E65" s="844">
        <v>2.75</v>
      </c>
      <c r="F65" s="703"/>
      <c r="G65" s="703"/>
      <c r="H65" s="703"/>
      <c r="I65" s="703"/>
      <c r="J65" s="703"/>
      <c r="K65" s="703"/>
      <c r="L65" s="703"/>
      <c r="M65" s="703"/>
      <c r="N65" s="703"/>
      <c r="O65" s="703"/>
      <c r="P65" s="703"/>
      <c r="Q65" s="703"/>
      <c r="R65" s="703"/>
      <c r="S65" s="703"/>
      <c r="T65" s="703"/>
      <c r="U65" s="703"/>
      <c r="V65" s="703"/>
      <c r="W65" s="703"/>
      <c r="X65" s="703"/>
      <c r="Y65" s="703"/>
      <c r="Z65" s="703"/>
    </row>
    <row r="66">
      <c r="A66" s="975" t="s">
        <v>1277</v>
      </c>
      <c r="B66" s="976">
        <v>361.0</v>
      </c>
      <c r="C66" s="844">
        <v>62.0</v>
      </c>
      <c r="D66" s="844">
        <v>107.0</v>
      </c>
      <c r="E66" s="844">
        <v>2.1</v>
      </c>
      <c r="F66" s="703"/>
      <c r="G66" s="703"/>
      <c r="H66" s="703"/>
      <c r="I66" s="703"/>
      <c r="J66" s="703"/>
      <c r="K66" s="703"/>
      <c r="L66" s="703"/>
      <c r="M66" s="703"/>
      <c r="N66" s="703"/>
      <c r="O66" s="703"/>
      <c r="P66" s="703"/>
      <c r="Q66" s="703"/>
      <c r="R66" s="703"/>
      <c r="S66" s="703"/>
      <c r="T66" s="703"/>
      <c r="U66" s="703"/>
      <c r="V66" s="703"/>
      <c r="W66" s="703"/>
      <c r="X66" s="703"/>
      <c r="Y66" s="703"/>
      <c r="Z66" s="703"/>
    </row>
    <row r="67">
      <c r="A67" s="975" t="s">
        <v>1278</v>
      </c>
      <c r="B67" s="976">
        <v>69.0</v>
      </c>
      <c r="C67" s="844">
        <v>20.0</v>
      </c>
      <c r="D67" s="844">
        <v>30.0</v>
      </c>
      <c r="E67" s="844">
        <v>1.93</v>
      </c>
      <c r="F67" s="703"/>
      <c r="G67" s="703"/>
      <c r="H67" s="703"/>
      <c r="I67" s="703"/>
      <c r="J67" s="703"/>
      <c r="K67" s="703"/>
      <c r="L67" s="703"/>
      <c r="M67" s="703"/>
      <c r="N67" s="703"/>
      <c r="O67" s="703"/>
      <c r="P67" s="703"/>
      <c r="Q67" s="703"/>
      <c r="R67" s="703"/>
      <c r="S67" s="703"/>
      <c r="T67" s="703"/>
      <c r="U67" s="703"/>
      <c r="V67" s="703"/>
      <c r="W67" s="703"/>
      <c r="X67" s="703"/>
      <c r="Y67" s="703"/>
      <c r="Z67" s="703"/>
    </row>
    <row r="68">
      <c r="A68" s="975" t="s">
        <v>353</v>
      </c>
      <c r="B68" s="976">
        <v>400.0</v>
      </c>
      <c r="C68" s="844">
        <v>99.0</v>
      </c>
      <c r="D68" s="844">
        <v>373.0</v>
      </c>
      <c r="E68" s="844">
        <v>1.78</v>
      </c>
      <c r="F68" s="703"/>
      <c r="G68" s="703"/>
      <c r="H68" s="703"/>
      <c r="I68" s="703"/>
      <c r="J68" s="703"/>
      <c r="K68" s="703"/>
      <c r="L68" s="703"/>
      <c r="M68" s="703"/>
      <c r="N68" s="703"/>
      <c r="O68" s="703"/>
      <c r="P68" s="703"/>
      <c r="Q68" s="703"/>
      <c r="R68" s="703"/>
      <c r="S68" s="703"/>
      <c r="T68" s="703"/>
      <c r="U68" s="703"/>
      <c r="V68" s="703"/>
      <c r="W68" s="703"/>
      <c r="X68" s="703"/>
      <c r="Y68" s="703"/>
      <c r="Z68" s="703"/>
    </row>
    <row r="69">
      <c r="A69" s="975" t="s">
        <v>1280</v>
      </c>
      <c r="B69" s="976">
        <v>11.0</v>
      </c>
      <c r="C69" s="844">
        <v>5.0</v>
      </c>
      <c r="D69" s="844">
        <v>11.0</v>
      </c>
      <c r="E69" s="844">
        <v>2.73</v>
      </c>
      <c r="F69" s="703"/>
      <c r="G69" s="703"/>
      <c r="H69" s="703"/>
      <c r="I69" s="703"/>
      <c r="J69" s="703"/>
      <c r="K69" s="703"/>
      <c r="L69" s="703"/>
      <c r="M69" s="703"/>
      <c r="N69" s="703"/>
      <c r="O69" s="703"/>
      <c r="P69" s="703"/>
      <c r="Q69" s="703"/>
      <c r="R69" s="703"/>
      <c r="S69" s="703"/>
      <c r="T69" s="703"/>
      <c r="U69" s="703"/>
      <c r="V69" s="703"/>
      <c r="W69" s="703"/>
      <c r="X69" s="703"/>
      <c r="Y69" s="703"/>
      <c r="Z69" s="703"/>
    </row>
    <row r="70">
      <c r="A70" s="975" t="s">
        <v>1281</v>
      </c>
      <c r="B70" s="976">
        <v>21.0</v>
      </c>
      <c r="C70" s="844">
        <v>2.0</v>
      </c>
      <c r="D70" s="844">
        <v>24.0</v>
      </c>
      <c r="E70" s="844">
        <v>1.83</v>
      </c>
      <c r="F70" s="703"/>
      <c r="G70" s="703"/>
      <c r="H70" s="703"/>
      <c r="I70" s="703"/>
      <c r="J70" s="703"/>
      <c r="K70" s="703"/>
      <c r="L70" s="703"/>
      <c r="M70" s="703"/>
      <c r="N70" s="703"/>
      <c r="O70" s="703"/>
      <c r="P70" s="703"/>
      <c r="Q70" s="703"/>
      <c r="R70" s="703"/>
      <c r="S70" s="703"/>
      <c r="T70" s="703"/>
      <c r="U70" s="703"/>
      <c r="V70" s="703"/>
      <c r="W70" s="703"/>
      <c r="X70" s="703"/>
      <c r="Y70" s="703"/>
      <c r="Z70" s="703"/>
    </row>
    <row r="71">
      <c r="A71" s="975" t="s">
        <v>1282</v>
      </c>
      <c r="B71" s="976">
        <v>1.0</v>
      </c>
      <c r="C71" s="844" t="s">
        <v>63</v>
      </c>
      <c r="D71" s="844">
        <v>4.0</v>
      </c>
      <c r="E71" s="844">
        <v>2.5</v>
      </c>
      <c r="F71" s="703"/>
      <c r="G71" s="703"/>
      <c r="H71" s="703"/>
      <c r="I71" s="703"/>
      <c r="J71" s="703"/>
      <c r="K71" s="703"/>
      <c r="L71" s="703"/>
      <c r="M71" s="703"/>
      <c r="N71" s="703"/>
      <c r="O71" s="703"/>
      <c r="P71" s="703"/>
      <c r="Q71" s="703"/>
      <c r="R71" s="703"/>
      <c r="S71" s="703"/>
      <c r="T71" s="703"/>
      <c r="U71" s="703"/>
      <c r="V71" s="703"/>
      <c r="W71" s="703"/>
      <c r="X71" s="703"/>
      <c r="Y71" s="703"/>
      <c r="Z71" s="703"/>
    </row>
    <row r="72">
      <c r="A72" s="975" t="s">
        <v>515</v>
      </c>
      <c r="B72" s="976">
        <v>14.0</v>
      </c>
      <c r="C72" s="844">
        <v>4.0</v>
      </c>
      <c r="D72" s="844">
        <v>21.0</v>
      </c>
      <c r="E72" s="844">
        <v>2.62</v>
      </c>
      <c r="F72" s="703"/>
      <c r="G72" s="703"/>
      <c r="H72" s="703"/>
      <c r="I72" s="703"/>
      <c r="J72" s="703"/>
      <c r="K72" s="703"/>
      <c r="L72" s="703"/>
      <c r="M72" s="703"/>
      <c r="N72" s="703"/>
      <c r="O72" s="703"/>
      <c r="P72" s="703"/>
      <c r="Q72" s="703"/>
      <c r="R72" s="703"/>
      <c r="S72" s="703"/>
      <c r="T72" s="703"/>
      <c r="U72" s="703"/>
      <c r="V72" s="703"/>
      <c r="W72" s="703"/>
      <c r="X72" s="703"/>
      <c r="Y72" s="703"/>
      <c r="Z72" s="703"/>
    </row>
    <row r="73">
      <c r="A73" s="975" t="s">
        <v>1284</v>
      </c>
      <c r="B73" s="976">
        <v>31.0</v>
      </c>
      <c r="C73" s="844" t="s">
        <v>63</v>
      </c>
      <c r="D73" s="844">
        <v>8.0</v>
      </c>
      <c r="E73" s="844">
        <v>2.38</v>
      </c>
      <c r="F73" s="703"/>
      <c r="G73" s="703"/>
      <c r="H73" s="703"/>
      <c r="I73" s="703"/>
      <c r="J73" s="703"/>
      <c r="K73" s="703"/>
      <c r="L73" s="703"/>
      <c r="M73" s="703"/>
      <c r="N73" s="703"/>
      <c r="O73" s="703"/>
      <c r="P73" s="703"/>
      <c r="Q73" s="703"/>
      <c r="R73" s="703"/>
      <c r="S73" s="703"/>
      <c r="T73" s="703"/>
      <c r="U73" s="703"/>
      <c r="V73" s="703"/>
      <c r="W73" s="703"/>
      <c r="X73" s="703"/>
      <c r="Y73" s="703"/>
      <c r="Z73" s="703"/>
    </row>
    <row r="74">
      <c r="A74" s="975" t="s">
        <v>1286</v>
      </c>
      <c r="B74" s="976">
        <v>32.0</v>
      </c>
      <c r="C74" s="844">
        <v>7.0</v>
      </c>
      <c r="D74" s="844">
        <v>17.0</v>
      </c>
      <c r="E74" s="844">
        <v>2.24</v>
      </c>
      <c r="F74" s="703"/>
      <c r="G74" s="703"/>
      <c r="H74" s="703"/>
      <c r="I74" s="703"/>
      <c r="J74" s="703"/>
      <c r="K74" s="703"/>
      <c r="L74" s="703"/>
      <c r="M74" s="703"/>
      <c r="N74" s="703"/>
      <c r="O74" s="703"/>
      <c r="P74" s="703"/>
      <c r="Q74" s="703"/>
      <c r="R74" s="703"/>
      <c r="S74" s="703"/>
      <c r="T74" s="703"/>
      <c r="U74" s="703"/>
      <c r="V74" s="703"/>
      <c r="W74" s="703"/>
      <c r="X74" s="703"/>
      <c r="Y74" s="703"/>
      <c r="Z74" s="703"/>
    </row>
    <row r="75">
      <c r="A75" s="975" t="s">
        <v>998</v>
      </c>
      <c r="B75" s="976">
        <v>141.0</v>
      </c>
      <c r="C75" s="844">
        <v>20.0</v>
      </c>
      <c r="D75" s="844">
        <v>168.0</v>
      </c>
      <c r="E75" s="844">
        <v>2.09</v>
      </c>
      <c r="F75" s="703"/>
      <c r="G75" s="703"/>
      <c r="H75" s="703"/>
      <c r="I75" s="703"/>
      <c r="J75" s="703"/>
      <c r="K75" s="703"/>
      <c r="L75" s="703"/>
      <c r="M75" s="703"/>
      <c r="N75" s="703"/>
      <c r="O75" s="703"/>
      <c r="P75" s="703"/>
      <c r="Q75" s="703"/>
      <c r="R75" s="703"/>
      <c r="S75" s="703"/>
      <c r="T75" s="703"/>
      <c r="U75" s="703"/>
      <c r="V75" s="703"/>
      <c r="W75" s="703"/>
      <c r="X75" s="703"/>
      <c r="Y75" s="703"/>
      <c r="Z75" s="703"/>
    </row>
    <row r="76">
      <c r="A76" s="975" t="s">
        <v>1288</v>
      </c>
      <c r="B76" s="976">
        <v>9.0</v>
      </c>
      <c r="C76" s="844">
        <v>1.0</v>
      </c>
      <c r="D76" s="844">
        <v>8.0</v>
      </c>
      <c r="E76" s="844">
        <v>2.88</v>
      </c>
      <c r="F76" s="703"/>
      <c r="G76" s="703"/>
      <c r="H76" s="703"/>
      <c r="I76" s="703"/>
      <c r="J76" s="703"/>
      <c r="K76" s="703"/>
      <c r="L76" s="703"/>
      <c r="M76" s="703"/>
      <c r="N76" s="703"/>
      <c r="O76" s="703"/>
      <c r="P76" s="703"/>
      <c r="Q76" s="703"/>
      <c r="R76" s="703"/>
      <c r="S76" s="703"/>
      <c r="T76" s="703"/>
      <c r="U76" s="703"/>
      <c r="V76" s="703"/>
      <c r="W76" s="703"/>
      <c r="X76" s="703"/>
      <c r="Y76" s="703"/>
      <c r="Z76" s="703"/>
    </row>
    <row r="77">
      <c r="A77" s="975" t="s">
        <v>1289</v>
      </c>
      <c r="B77" s="976">
        <v>23.0</v>
      </c>
      <c r="C77" s="844">
        <v>22.0</v>
      </c>
      <c r="D77" s="844">
        <v>3.0</v>
      </c>
      <c r="E77" s="844">
        <v>1.33</v>
      </c>
      <c r="F77" s="703"/>
      <c r="G77" s="703"/>
      <c r="H77" s="703"/>
      <c r="I77" s="703"/>
      <c r="J77" s="703"/>
      <c r="K77" s="703"/>
      <c r="L77" s="703"/>
      <c r="M77" s="703"/>
      <c r="N77" s="703"/>
      <c r="O77" s="703"/>
      <c r="P77" s="703"/>
      <c r="Q77" s="703"/>
      <c r="R77" s="703"/>
      <c r="S77" s="703"/>
      <c r="T77" s="703"/>
      <c r="U77" s="703"/>
      <c r="V77" s="703"/>
      <c r="W77" s="703"/>
      <c r="X77" s="703"/>
      <c r="Y77" s="703"/>
      <c r="Z77" s="703"/>
    </row>
    <row r="78">
      <c r="A78" s="975" t="s">
        <v>1290</v>
      </c>
      <c r="B78" s="976">
        <v>142.0</v>
      </c>
      <c r="C78" s="844">
        <v>56.0</v>
      </c>
      <c r="D78" s="844">
        <v>78.0</v>
      </c>
      <c r="E78" s="844">
        <v>2.12</v>
      </c>
      <c r="F78" s="703"/>
      <c r="G78" s="703"/>
      <c r="H78" s="703"/>
      <c r="I78" s="703"/>
      <c r="J78" s="703"/>
      <c r="K78" s="703"/>
      <c r="L78" s="703"/>
      <c r="M78" s="703"/>
      <c r="N78" s="703"/>
      <c r="O78" s="703"/>
      <c r="P78" s="703"/>
      <c r="Q78" s="703"/>
      <c r="R78" s="703"/>
      <c r="S78" s="703"/>
      <c r="T78" s="703"/>
      <c r="U78" s="703"/>
      <c r="V78" s="703"/>
      <c r="W78" s="703"/>
      <c r="X78" s="703"/>
      <c r="Y78" s="703"/>
      <c r="Z78" s="703"/>
    </row>
    <row r="79">
      <c r="A79" s="985" t="s">
        <v>768</v>
      </c>
      <c r="B79" s="976">
        <v>201.0</v>
      </c>
      <c r="C79" s="844">
        <v>13.0</v>
      </c>
      <c r="D79" s="844">
        <v>23.0</v>
      </c>
      <c r="E79" s="844">
        <v>2.04</v>
      </c>
      <c r="F79" s="703"/>
      <c r="G79" s="703"/>
      <c r="H79" s="703"/>
      <c r="I79" s="703"/>
      <c r="J79" s="703"/>
      <c r="K79" s="703"/>
      <c r="L79" s="703"/>
      <c r="M79" s="703"/>
      <c r="N79" s="703"/>
      <c r="O79" s="703"/>
      <c r="P79" s="703"/>
      <c r="Q79" s="703"/>
      <c r="R79" s="703"/>
      <c r="S79" s="703"/>
      <c r="T79" s="703"/>
      <c r="U79" s="703"/>
      <c r="V79" s="703"/>
      <c r="W79" s="703"/>
      <c r="X79" s="703"/>
      <c r="Y79" s="703"/>
      <c r="Z79" s="703"/>
    </row>
    <row r="80">
      <c r="A80" s="985" t="s">
        <v>2614</v>
      </c>
      <c r="B80" s="976">
        <v>140.0</v>
      </c>
      <c r="C80" s="844">
        <v>5.0</v>
      </c>
      <c r="D80" s="844">
        <v>3.0</v>
      </c>
      <c r="E80" s="844">
        <v>2.67</v>
      </c>
      <c r="F80" s="703"/>
      <c r="G80" s="703"/>
      <c r="H80" s="703"/>
      <c r="I80" s="703"/>
      <c r="J80" s="703"/>
      <c r="K80" s="703"/>
      <c r="L80" s="703"/>
      <c r="M80" s="703"/>
      <c r="N80" s="703"/>
      <c r="O80" s="703"/>
      <c r="P80" s="703"/>
      <c r="Q80" s="703"/>
      <c r="R80" s="703"/>
      <c r="S80" s="703"/>
      <c r="T80" s="703"/>
      <c r="U80" s="703"/>
      <c r="V80" s="703"/>
      <c r="W80" s="703"/>
      <c r="X80" s="703"/>
      <c r="Y80" s="703"/>
      <c r="Z80" s="703"/>
    </row>
    <row r="81">
      <c r="A81" s="975" t="s">
        <v>1291</v>
      </c>
      <c r="B81" s="976">
        <v>59.0</v>
      </c>
      <c r="C81" s="844">
        <v>11.0</v>
      </c>
      <c r="D81" s="844">
        <v>39.0</v>
      </c>
      <c r="E81" s="844">
        <v>2.11</v>
      </c>
      <c r="F81" s="703"/>
      <c r="G81" s="703"/>
      <c r="H81" s="703"/>
      <c r="I81" s="703"/>
      <c r="J81" s="703"/>
      <c r="K81" s="703"/>
      <c r="L81" s="703"/>
      <c r="M81" s="703"/>
      <c r="N81" s="703"/>
      <c r="O81" s="703"/>
      <c r="P81" s="703"/>
      <c r="Q81" s="703"/>
      <c r="R81" s="703"/>
      <c r="S81" s="703"/>
      <c r="T81" s="703"/>
      <c r="U81" s="703"/>
      <c r="V81" s="703"/>
      <c r="W81" s="703"/>
      <c r="X81" s="703"/>
      <c r="Y81" s="703"/>
      <c r="Z81" s="703"/>
    </row>
    <row r="82">
      <c r="A82" s="975" t="s">
        <v>1292</v>
      </c>
      <c r="B82" s="976">
        <v>22.0</v>
      </c>
      <c r="C82" s="844">
        <v>30.0</v>
      </c>
      <c r="D82" s="844">
        <v>77.0</v>
      </c>
      <c r="E82" s="844">
        <v>2.0</v>
      </c>
      <c r="F82" s="703"/>
      <c r="G82" s="703"/>
      <c r="H82" s="703"/>
      <c r="I82" s="703"/>
      <c r="J82" s="703"/>
      <c r="K82" s="703"/>
      <c r="L82" s="703"/>
      <c r="M82" s="703"/>
      <c r="N82" s="703"/>
      <c r="O82" s="703"/>
      <c r="P82" s="703"/>
      <c r="Q82" s="703"/>
      <c r="R82" s="703"/>
      <c r="S82" s="703"/>
      <c r="T82" s="703"/>
      <c r="U82" s="703"/>
      <c r="V82" s="703"/>
      <c r="W82" s="703"/>
      <c r="X82" s="703"/>
      <c r="Y82" s="703"/>
      <c r="Z82" s="703"/>
    </row>
    <row r="83">
      <c r="A83" s="975" t="s">
        <v>1293</v>
      </c>
      <c r="B83" s="976">
        <v>65.0</v>
      </c>
      <c r="C83" s="844">
        <v>36.0</v>
      </c>
      <c r="D83" s="844">
        <v>30.0</v>
      </c>
      <c r="E83" s="844">
        <v>2.57</v>
      </c>
      <c r="F83" s="703"/>
      <c r="G83" s="703"/>
      <c r="H83" s="703"/>
      <c r="I83" s="703"/>
      <c r="J83" s="703"/>
      <c r="K83" s="703"/>
      <c r="L83" s="703"/>
      <c r="M83" s="703"/>
      <c r="N83" s="703"/>
      <c r="O83" s="703"/>
      <c r="P83" s="703"/>
      <c r="Q83" s="703"/>
      <c r="R83" s="703"/>
      <c r="S83" s="703"/>
      <c r="T83" s="703"/>
      <c r="U83" s="703"/>
      <c r="V83" s="703"/>
      <c r="W83" s="703"/>
      <c r="X83" s="703"/>
      <c r="Y83" s="703"/>
      <c r="Z83" s="703"/>
    </row>
    <row r="84">
      <c r="A84" s="975" t="s">
        <v>1294</v>
      </c>
      <c r="B84" s="976">
        <v>21.0</v>
      </c>
      <c r="C84" s="844">
        <v>5.0</v>
      </c>
      <c r="D84" s="844">
        <v>40.0</v>
      </c>
      <c r="E84" s="844">
        <v>2.6</v>
      </c>
      <c r="F84" s="703"/>
      <c r="G84" s="703"/>
      <c r="H84" s="703"/>
      <c r="I84" s="703"/>
      <c r="J84" s="703"/>
      <c r="K84" s="703"/>
      <c r="L84" s="703"/>
      <c r="M84" s="703"/>
      <c r="N84" s="703"/>
      <c r="O84" s="703"/>
      <c r="P84" s="703"/>
      <c r="Q84" s="703"/>
      <c r="R84" s="703"/>
      <c r="S84" s="703"/>
      <c r="T84" s="703"/>
      <c r="U84" s="703"/>
      <c r="V84" s="703"/>
      <c r="W84" s="703"/>
      <c r="X84" s="703"/>
      <c r="Y84" s="703"/>
      <c r="Z84" s="703"/>
    </row>
    <row r="85">
      <c r="A85" s="975" t="s">
        <v>317</v>
      </c>
      <c r="B85" s="976">
        <v>82.0</v>
      </c>
      <c r="C85" s="844">
        <v>13.0</v>
      </c>
      <c r="D85" s="844">
        <v>52.0</v>
      </c>
      <c r="E85" s="844">
        <v>2.12</v>
      </c>
      <c r="F85" s="703"/>
      <c r="G85" s="703"/>
      <c r="H85" s="703"/>
      <c r="I85" s="703"/>
      <c r="J85" s="703"/>
      <c r="K85" s="703"/>
      <c r="L85" s="703"/>
      <c r="M85" s="703"/>
      <c r="N85" s="703"/>
      <c r="O85" s="703"/>
      <c r="P85" s="703"/>
      <c r="Q85" s="703"/>
      <c r="R85" s="703"/>
      <c r="S85" s="703"/>
      <c r="T85" s="703"/>
      <c r="U85" s="703"/>
      <c r="V85" s="703"/>
      <c r="W85" s="703"/>
      <c r="X85" s="703"/>
      <c r="Y85" s="703"/>
      <c r="Z85" s="703"/>
    </row>
    <row r="86">
      <c r="A86" s="975" t="s">
        <v>1295</v>
      </c>
      <c r="B86" s="976">
        <v>115.0</v>
      </c>
      <c r="C86" s="844">
        <v>31.0</v>
      </c>
      <c r="D86" s="844">
        <v>103.0</v>
      </c>
      <c r="E86" s="844">
        <v>1.91</v>
      </c>
      <c r="F86" s="703"/>
      <c r="G86" s="703"/>
      <c r="H86" s="703"/>
      <c r="I86" s="703"/>
      <c r="J86" s="703"/>
      <c r="K86" s="703"/>
      <c r="L86" s="703"/>
      <c r="M86" s="703"/>
      <c r="N86" s="703"/>
      <c r="O86" s="703"/>
      <c r="P86" s="703"/>
      <c r="Q86" s="703"/>
      <c r="R86" s="703"/>
      <c r="S86" s="703"/>
      <c r="T86" s="703"/>
      <c r="U86" s="703"/>
      <c r="V86" s="703"/>
      <c r="W86" s="703"/>
      <c r="X86" s="703"/>
      <c r="Y86" s="703"/>
      <c r="Z86" s="703"/>
    </row>
    <row r="87">
      <c r="A87" s="975" t="s">
        <v>273</v>
      </c>
      <c r="B87" s="976">
        <v>2323.0</v>
      </c>
      <c r="C87" s="844">
        <v>454.0</v>
      </c>
      <c r="D87" s="844">
        <v>522.0</v>
      </c>
      <c r="E87" s="844">
        <v>1.99</v>
      </c>
      <c r="F87" s="703"/>
      <c r="G87" s="703"/>
      <c r="H87" s="703"/>
      <c r="I87" s="703"/>
      <c r="J87" s="703"/>
      <c r="K87" s="703"/>
      <c r="L87" s="703"/>
      <c r="M87" s="703"/>
      <c r="N87" s="703"/>
      <c r="O87" s="703"/>
      <c r="P87" s="703"/>
      <c r="Q87" s="703"/>
      <c r="R87" s="703"/>
      <c r="S87" s="703"/>
      <c r="T87" s="703"/>
      <c r="U87" s="703"/>
      <c r="V87" s="703"/>
      <c r="W87" s="703"/>
      <c r="X87" s="703"/>
      <c r="Y87" s="703"/>
      <c r="Z87" s="703"/>
    </row>
    <row r="88">
      <c r="A88" s="975" t="s">
        <v>1296</v>
      </c>
      <c r="B88" s="976">
        <v>33.0</v>
      </c>
      <c r="C88" s="844">
        <v>13.0</v>
      </c>
      <c r="D88" s="844">
        <v>22.0</v>
      </c>
      <c r="E88" s="844">
        <v>2.36</v>
      </c>
      <c r="F88" s="703"/>
      <c r="G88" s="703"/>
      <c r="H88" s="703"/>
      <c r="I88" s="703"/>
      <c r="J88" s="703"/>
      <c r="K88" s="703"/>
      <c r="L88" s="703"/>
      <c r="M88" s="703"/>
      <c r="N88" s="703"/>
      <c r="O88" s="703"/>
      <c r="P88" s="703"/>
      <c r="Q88" s="703"/>
      <c r="R88" s="703"/>
      <c r="S88" s="703"/>
      <c r="T88" s="703"/>
      <c r="U88" s="703"/>
      <c r="V88" s="703"/>
      <c r="W88" s="703"/>
      <c r="X88" s="703"/>
      <c r="Y88" s="703"/>
      <c r="Z88" s="703"/>
    </row>
    <row r="89">
      <c r="A89" s="703"/>
      <c r="B89" s="703"/>
      <c r="C89" s="986"/>
      <c r="D89" s="703"/>
      <c r="E89" s="703"/>
      <c r="F89" s="703"/>
      <c r="G89" s="703"/>
      <c r="H89" s="703"/>
      <c r="I89" s="703"/>
      <c r="J89" s="703"/>
      <c r="K89" s="703"/>
      <c r="L89" s="703"/>
      <c r="M89" s="703"/>
      <c r="N89" s="703"/>
      <c r="O89" s="703"/>
      <c r="P89" s="703"/>
      <c r="Q89" s="703"/>
      <c r="R89" s="703"/>
      <c r="S89" s="703"/>
      <c r="T89" s="703"/>
      <c r="U89" s="703"/>
      <c r="V89" s="703"/>
      <c r="W89" s="703"/>
      <c r="X89" s="703"/>
      <c r="Y89" s="703"/>
      <c r="Z89" s="703"/>
    </row>
    <row r="90">
      <c r="A90" s="703"/>
      <c r="B90" s="703"/>
      <c r="C90" s="703"/>
      <c r="D90" s="703"/>
      <c r="E90" s="703"/>
      <c r="F90" s="703"/>
      <c r="G90" s="703"/>
      <c r="H90" s="703"/>
      <c r="I90" s="703"/>
      <c r="J90" s="703"/>
      <c r="K90" s="703"/>
      <c r="L90" s="703"/>
      <c r="M90" s="703"/>
      <c r="N90" s="703"/>
      <c r="O90" s="703"/>
      <c r="P90" s="703"/>
      <c r="Q90" s="703"/>
      <c r="R90" s="703"/>
      <c r="S90" s="703"/>
      <c r="T90" s="703"/>
      <c r="U90" s="703"/>
      <c r="V90" s="703"/>
      <c r="W90" s="703"/>
      <c r="X90" s="703"/>
      <c r="Y90" s="703"/>
      <c r="Z90" s="703"/>
    </row>
    <row r="91">
      <c r="A91" s="703"/>
      <c r="B91" s="703"/>
      <c r="C91" s="703"/>
      <c r="D91" s="703"/>
      <c r="E91" s="703"/>
      <c r="F91" s="703"/>
      <c r="G91" s="703"/>
      <c r="H91" s="703"/>
      <c r="I91" s="703"/>
      <c r="J91" s="703"/>
      <c r="K91" s="703"/>
      <c r="L91" s="703"/>
      <c r="M91" s="703"/>
      <c r="N91" s="703"/>
      <c r="O91" s="703"/>
      <c r="P91" s="703"/>
      <c r="Q91" s="703"/>
      <c r="R91" s="703"/>
      <c r="S91" s="703"/>
      <c r="T91" s="703"/>
      <c r="U91" s="703"/>
      <c r="V91" s="703"/>
      <c r="W91" s="703"/>
      <c r="X91" s="703"/>
      <c r="Y91" s="703"/>
      <c r="Z91" s="703"/>
    </row>
    <row r="92">
      <c r="A92" s="703"/>
      <c r="B92" s="703"/>
      <c r="C92" s="703"/>
      <c r="D92" s="703"/>
      <c r="E92" s="703"/>
      <c r="F92" s="703"/>
      <c r="G92" s="703"/>
      <c r="H92" s="703"/>
      <c r="I92" s="703"/>
      <c r="J92" s="703"/>
      <c r="K92" s="703"/>
      <c r="L92" s="703"/>
      <c r="M92" s="703"/>
      <c r="N92" s="703"/>
      <c r="O92" s="703"/>
      <c r="P92" s="703"/>
      <c r="Q92" s="703"/>
      <c r="R92" s="703"/>
      <c r="S92" s="703"/>
      <c r="T92" s="703"/>
      <c r="U92" s="703"/>
      <c r="V92" s="703"/>
      <c r="W92" s="703"/>
      <c r="X92" s="703"/>
      <c r="Y92" s="703"/>
      <c r="Z92" s="703"/>
    </row>
    <row r="93">
      <c r="A93" s="703"/>
      <c r="B93" s="703"/>
      <c r="C93" s="703"/>
      <c r="D93" s="703"/>
      <c r="E93" s="703"/>
      <c r="F93" s="703"/>
      <c r="G93" s="703"/>
      <c r="H93" s="703"/>
      <c r="I93" s="703"/>
      <c r="J93" s="703"/>
      <c r="K93" s="703"/>
      <c r="L93" s="703"/>
      <c r="M93" s="703"/>
      <c r="N93" s="703"/>
      <c r="O93" s="703"/>
      <c r="P93" s="703"/>
      <c r="Q93" s="703"/>
      <c r="R93" s="703"/>
      <c r="S93" s="703"/>
      <c r="T93" s="703"/>
      <c r="U93" s="703"/>
      <c r="V93" s="703"/>
      <c r="W93" s="703"/>
      <c r="X93" s="703"/>
      <c r="Y93" s="703"/>
      <c r="Z93" s="703"/>
    </row>
    <row r="94">
      <c r="A94" s="703"/>
      <c r="B94" s="703"/>
      <c r="C94" s="703"/>
      <c r="D94" s="703"/>
      <c r="E94" s="703"/>
      <c r="F94" s="703"/>
      <c r="G94" s="703"/>
      <c r="H94" s="703"/>
      <c r="I94" s="703"/>
      <c r="J94" s="703"/>
      <c r="K94" s="703"/>
      <c r="L94" s="703"/>
      <c r="M94" s="703"/>
      <c r="N94" s="703"/>
      <c r="O94" s="703"/>
      <c r="P94" s="703"/>
      <c r="Q94" s="703"/>
      <c r="R94" s="703"/>
      <c r="S94" s="703"/>
      <c r="T94" s="703"/>
      <c r="U94" s="703"/>
      <c r="V94" s="703"/>
      <c r="W94" s="703"/>
      <c r="X94" s="703"/>
      <c r="Y94" s="703"/>
      <c r="Z94" s="703"/>
    </row>
    <row r="95">
      <c r="A95" s="703"/>
      <c r="B95" s="703"/>
      <c r="C95" s="703"/>
      <c r="D95" s="703"/>
      <c r="E95" s="703"/>
      <c r="F95" s="703"/>
      <c r="G95" s="703"/>
      <c r="H95" s="703"/>
      <c r="I95" s="703"/>
      <c r="J95" s="703"/>
      <c r="K95" s="703"/>
      <c r="L95" s="703"/>
      <c r="M95" s="703"/>
      <c r="N95" s="703"/>
      <c r="O95" s="703"/>
      <c r="P95" s="703"/>
      <c r="Q95" s="703"/>
      <c r="R95" s="703"/>
      <c r="S95" s="703"/>
      <c r="T95" s="703"/>
      <c r="U95" s="703"/>
      <c r="V95" s="703"/>
      <c r="W95" s="703"/>
      <c r="X95" s="703"/>
      <c r="Y95" s="703"/>
      <c r="Z95" s="703"/>
    </row>
    <row r="96">
      <c r="A96" s="703"/>
      <c r="B96" s="703"/>
      <c r="C96" s="703"/>
      <c r="D96" s="703"/>
      <c r="E96" s="703"/>
      <c r="F96" s="703"/>
      <c r="G96" s="703"/>
      <c r="H96" s="703"/>
      <c r="I96" s="703"/>
      <c r="J96" s="703"/>
      <c r="K96" s="703"/>
      <c r="L96" s="703"/>
      <c r="M96" s="703"/>
      <c r="N96" s="703"/>
      <c r="O96" s="703"/>
      <c r="P96" s="703"/>
      <c r="Q96" s="703"/>
      <c r="R96" s="703"/>
      <c r="S96" s="703"/>
      <c r="T96" s="703"/>
      <c r="U96" s="703"/>
      <c r="V96" s="703"/>
      <c r="W96" s="703"/>
      <c r="X96" s="703"/>
      <c r="Y96" s="703"/>
      <c r="Z96" s="703"/>
    </row>
    <row r="97">
      <c r="A97" s="703"/>
      <c r="B97" s="703"/>
      <c r="C97" s="703"/>
      <c r="D97" s="703"/>
      <c r="E97" s="703"/>
      <c r="F97" s="703"/>
      <c r="G97" s="703"/>
      <c r="H97" s="703"/>
      <c r="I97" s="703"/>
      <c r="J97" s="703"/>
      <c r="K97" s="703"/>
      <c r="L97" s="703"/>
      <c r="M97" s="703"/>
      <c r="N97" s="703"/>
      <c r="O97" s="703"/>
      <c r="P97" s="703"/>
      <c r="Q97" s="703"/>
      <c r="R97" s="703"/>
      <c r="S97" s="703"/>
      <c r="T97" s="703"/>
      <c r="U97" s="703"/>
      <c r="V97" s="703"/>
      <c r="W97" s="703"/>
      <c r="X97" s="703"/>
      <c r="Y97" s="703"/>
      <c r="Z97" s="703"/>
    </row>
    <row r="98">
      <c r="A98" s="703"/>
      <c r="B98" s="703"/>
      <c r="C98" s="703"/>
      <c r="D98" s="703"/>
      <c r="E98" s="703"/>
      <c r="F98" s="703"/>
      <c r="G98" s="703"/>
      <c r="H98" s="703"/>
      <c r="I98" s="703"/>
      <c r="J98" s="703"/>
      <c r="K98" s="703"/>
      <c r="L98" s="703"/>
      <c r="M98" s="703"/>
      <c r="N98" s="703"/>
      <c r="O98" s="703"/>
      <c r="P98" s="703"/>
      <c r="Q98" s="703"/>
      <c r="R98" s="703"/>
      <c r="S98" s="703"/>
      <c r="T98" s="703"/>
      <c r="U98" s="703"/>
      <c r="V98" s="703"/>
      <c r="W98" s="703"/>
      <c r="X98" s="703"/>
      <c r="Y98" s="703"/>
      <c r="Z98" s="703"/>
    </row>
    <row r="99">
      <c r="A99" s="703"/>
      <c r="B99" s="703"/>
      <c r="C99" s="703"/>
      <c r="D99" s="703"/>
      <c r="E99" s="703"/>
      <c r="F99" s="703"/>
      <c r="G99" s="703"/>
      <c r="H99" s="703"/>
      <c r="I99" s="703"/>
      <c r="J99" s="703"/>
      <c r="K99" s="703"/>
      <c r="L99" s="703"/>
      <c r="M99" s="703"/>
      <c r="N99" s="703"/>
      <c r="O99" s="703"/>
      <c r="P99" s="703"/>
      <c r="Q99" s="703"/>
      <c r="R99" s="703"/>
      <c r="S99" s="703"/>
      <c r="T99" s="703"/>
      <c r="U99" s="703"/>
      <c r="V99" s="703"/>
      <c r="W99" s="703"/>
      <c r="X99" s="703"/>
      <c r="Y99" s="703"/>
      <c r="Z99" s="703"/>
    </row>
    <row r="100">
      <c r="A100" s="703"/>
      <c r="B100" s="703"/>
      <c r="C100" s="703"/>
      <c r="D100" s="703"/>
      <c r="E100" s="703"/>
      <c r="F100" s="703"/>
      <c r="G100" s="703"/>
      <c r="H100" s="703"/>
      <c r="I100" s="703"/>
      <c r="J100" s="703"/>
      <c r="K100" s="703"/>
      <c r="L100" s="703"/>
      <c r="M100" s="703"/>
      <c r="N100" s="703"/>
      <c r="O100" s="703"/>
      <c r="P100" s="703"/>
      <c r="Q100" s="703"/>
      <c r="R100" s="703"/>
      <c r="S100" s="703"/>
      <c r="T100" s="703"/>
      <c r="U100" s="703"/>
      <c r="V100" s="703"/>
      <c r="W100" s="703"/>
      <c r="X100" s="703"/>
      <c r="Y100" s="703"/>
      <c r="Z100" s="703"/>
    </row>
    <row r="101">
      <c r="A101" s="993" t="s">
        <v>792</v>
      </c>
      <c r="B101" s="994"/>
      <c r="C101" s="994"/>
      <c r="D101" s="994"/>
      <c r="E101" s="993" t="s">
        <v>765</v>
      </c>
      <c r="F101" s="993" t="s">
        <v>2808</v>
      </c>
      <c r="G101" s="994"/>
      <c r="H101" s="994"/>
      <c r="I101" s="993" t="s">
        <v>767</v>
      </c>
      <c r="J101" s="995">
        <v>44988.0</v>
      </c>
      <c r="K101" s="993" t="s">
        <v>769</v>
      </c>
      <c r="L101" s="995">
        <v>44926.0</v>
      </c>
      <c r="M101" s="994"/>
      <c r="N101" s="703"/>
      <c r="O101" s="703"/>
      <c r="P101" s="703"/>
      <c r="Q101" s="703"/>
      <c r="R101" s="703"/>
      <c r="S101" s="703"/>
      <c r="T101" s="703"/>
      <c r="U101" s="703"/>
      <c r="V101" s="703"/>
      <c r="W101" s="703"/>
      <c r="X101" s="703"/>
      <c r="Y101" s="703"/>
      <c r="Z101" s="703"/>
    </row>
    <row r="102">
      <c r="A102" s="703"/>
      <c r="B102" s="703"/>
      <c r="C102" s="703"/>
      <c r="D102" s="703"/>
      <c r="E102" s="703"/>
      <c r="F102" s="703"/>
      <c r="G102" s="703"/>
      <c r="H102" s="703"/>
      <c r="I102" s="703"/>
      <c r="J102" s="703"/>
      <c r="K102" s="703"/>
      <c r="L102" s="703"/>
      <c r="M102" s="703"/>
      <c r="N102" s="703"/>
      <c r="O102" s="703"/>
      <c r="P102" s="703"/>
      <c r="Q102" s="703"/>
      <c r="R102" s="703"/>
      <c r="S102" s="703"/>
      <c r="T102" s="703"/>
      <c r="U102" s="703"/>
      <c r="V102" s="703"/>
      <c r="W102" s="703"/>
      <c r="X102" s="703"/>
      <c r="Y102" s="703"/>
      <c r="Z102" s="703"/>
    </row>
    <row r="103">
      <c r="A103" s="839" t="s">
        <v>60</v>
      </c>
      <c r="B103" s="849">
        <v>2189.0</v>
      </c>
      <c r="C103" s="703"/>
      <c r="D103" s="703"/>
      <c r="E103" s="703"/>
      <c r="F103" s="703"/>
      <c r="G103" s="703"/>
      <c r="H103" s="703"/>
      <c r="I103" s="703"/>
      <c r="J103" s="703"/>
      <c r="K103" s="703"/>
      <c r="L103" s="703"/>
      <c r="M103" s="703"/>
      <c r="N103" s="703"/>
      <c r="O103" s="703"/>
      <c r="P103" s="703"/>
      <c r="Q103" s="703"/>
      <c r="R103" s="703"/>
      <c r="S103" s="703"/>
      <c r="T103" s="703"/>
      <c r="U103" s="703"/>
      <c r="V103" s="703"/>
      <c r="W103" s="703"/>
      <c r="X103" s="703"/>
      <c r="Y103" s="703"/>
      <c r="Z103" s="703"/>
    </row>
    <row r="104">
      <c r="A104" s="703"/>
      <c r="B104" s="703"/>
      <c r="C104" s="703"/>
      <c r="D104" s="703"/>
      <c r="E104" s="703"/>
      <c r="F104" s="703"/>
      <c r="G104" s="703"/>
      <c r="H104" s="703"/>
      <c r="I104" s="703"/>
      <c r="J104" s="703"/>
      <c r="K104" s="703"/>
      <c r="L104" s="703"/>
      <c r="M104" s="703"/>
      <c r="N104" s="703"/>
      <c r="O104" s="703"/>
      <c r="P104" s="703"/>
      <c r="Q104" s="703"/>
      <c r="R104" s="703"/>
      <c r="S104" s="703"/>
      <c r="T104" s="703"/>
      <c r="U104" s="703"/>
      <c r="V104" s="703"/>
      <c r="W104" s="703"/>
      <c r="X104" s="703"/>
      <c r="Y104" s="703"/>
      <c r="Z104" s="703"/>
    </row>
    <row r="105">
      <c r="A105" s="703"/>
      <c r="B105" s="703"/>
      <c r="C105" s="703"/>
      <c r="D105" s="703"/>
      <c r="E105" s="703"/>
      <c r="F105" s="703"/>
      <c r="G105" s="703"/>
      <c r="H105" s="703"/>
      <c r="I105" s="703"/>
      <c r="J105" s="703"/>
      <c r="K105" s="703"/>
      <c r="L105" s="703"/>
      <c r="M105" s="703"/>
      <c r="N105" s="703"/>
      <c r="O105" s="703"/>
      <c r="P105" s="703"/>
      <c r="Q105" s="703"/>
      <c r="R105" s="703"/>
      <c r="S105" s="703"/>
      <c r="T105" s="703"/>
      <c r="U105" s="703"/>
      <c r="V105" s="703"/>
      <c r="W105" s="703"/>
      <c r="X105" s="703"/>
      <c r="Y105" s="703"/>
      <c r="Z105" s="703"/>
    </row>
    <row r="106">
      <c r="A106" s="703"/>
      <c r="B106" s="703"/>
      <c r="C106" s="703"/>
      <c r="D106" s="703"/>
      <c r="E106" s="703"/>
      <c r="F106" s="703"/>
      <c r="G106" s="703"/>
      <c r="H106" s="703"/>
      <c r="I106" s="703"/>
      <c r="J106" s="703"/>
      <c r="K106" s="703"/>
      <c r="L106" s="703"/>
      <c r="M106" s="703"/>
      <c r="N106" s="703"/>
      <c r="O106" s="703"/>
      <c r="P106" s="703"/>
      <c r="Q106" s="703"/>
      <c r="R106" s="703"/>
      <c r="S106" s="703"/>
      <c r="T106" s="703"/>
      <c r="U106" s="703"/>
      <c r="V106" s="703"/>
      <c r="W106" s="703"/>
      <c r="X106" s="703"/>
      <c r="Y106" s="703"/>
      <c r="Z106" s="703"/>
    </row>
    <row r="107">
      <c r="A107" s="703"/>
      <c r="B107" s="703"/>
      <c r="C107" s="703"/>
      <c r="D107" s="703"/>
      <c r="E107" s="703"/>
      <c r="F107" s="703"/>
      <c r="G107" s="703"/>
      <c r="H107" s="703"/>
      <c r="I107" s="703"/>
      <c r="J107" s="703"/>
      <c r="K107" s="703"/>
      <c r="L107" s="703"/>
      <c r="M107" s="703"/>
      <c r="N107" s="703"/>
      <c r="O107" s="703"/>
      <c r="P107" s="703"/>
      <c r="Q107" s="703"/>
      <c r="R107" s="703"/>
      <c r="S107" s="703"/>
      <c r="T107" s="703"/>
      <c r="U107" s="703"/>
      <c r="V107" s="703"/>
      <c r="W107" s="703"/>
      <c r="X107" s="703"/>
      <c r="Y107" s="703"/>
      <c r="Z107" s="703"/>
    </row>
    <row r="108">
      <c r="A108" s="703"/>
      <c r="B108" s="703"/>
      <c r="C108" s="703"/>
      <c r="D108" s="703"/>
      <c r="E108" s="703"/>
      <c r="F108" s="703"/>
      <c r="G108" s="703"/>
      <c r="H108" s="703"/>
      <c r="I108" s="703"/>
      <c r="J108" s="703"/>
      <c r="K108" s="703"/>
      <c r="L108" s="703"/>
      <c r="M108" s="703"/>
      <c r="N108" s="703"/>
      <c r="O108" s="703"/>
      <c r="P108" s="703"/>
      <c r="Q108" s="703"/>
      <c r="R108" s="703"/>
      <c r="S108" s="703"/>
      <c r="T108" s="703"/>
      <c r="U108" s="703"/>
      <c r="V108" s="703"/>
      <c r="W108" s="703"/>
      <c r="X108" s="703"/>
      <c r="Y108" s="703"/>
      <c r="Z108" s="703"/>
    </row>
    <row r="109">
      <c r="A109" s="703"/>
      <c r="B109" s="703"/>
      <c r="C109" s="703"/>
      <c r="D109" s="703"/>
      <c r="E109" s="703"/>
      <c r="F109" s="703"/>
      <c r="G109" s="703"/>
      <c r="H109" s="703"/>
      <c r="I109" s="703"/>
      <c r="J109" s="703"/>
      <c r="K109" s="703"/>
      <c r="L109" s="703"/>
      <c r="M109" s="703"/>
      <c r="N109" s="703"/>
      <c r="O109" s="703"/>
      <c r="P109" s="703"/>
      <c r="Q109" s="703"/>
      <c r="R109" s="703"/>
      <c r="S109" s="703"/>
      <c r="T109" s="703"/>
      <c r="U109" s="703"/>
      <c r="V109" s="703"/>
      <c r="W109" s="703"/>
      <c r="X109" s="703"/>
      <c r="Y109" s="703"/>
      <c r="Z109" s="703"/>
    </row>
    <row r="110">
      <c r="A110" s="703"/>
      <c r="B110" s="703"/>
      <c r="C110" s="703"/>
      <c r="D110" s="703"/>
      <c r="E110" s="703"/>
      <c r="F110" s="703"/>
      <c r="G110" s="703"/>
      <c r="H110" s="703"/>
      <c r="I110" s="703"/>
      <c r="J110" s="703"/>
      <c r="K110" s="703"/>
      <c r="L110" s="703"/>
      <c r="M110" s="703"/>
      <c r="N110" s="703"/>
      <c r="O110" s="703"/>
      <c r="P110" s="703"/>
      <c r="Q110" s="703"/>
      <c r="R110" s="703"/>
      <c r="S110" s="703"/>
      <c r="T110" s="703"/>
      <c r="U110" s="703"/>
      <c r="V110" s="703"/>
      <c r="W110" s="703"/>
      <c r="X110" s="703"/>
      <c r="Y110" s="703"/>
      <c r="Z110" s="703"/>
    </row>
    <row r="111">
      <c r="A111" s="703"/>
      <c r="B111" s="703"/>
      <c r="C111" s="703"/>
      <c r="D111" s="703"/>
      <c r="E111" s="703"/>
      <c r="F111" s="703"/>
      <c r="G111" s="703"/>
      <c r="H111" s="703"/>
      <c r="I111" s="703"/>
      <c r="J111" s="703"/>
      <c r="K111" s="703"/>
      <c r="L111" s="703"/>
      <c r="M111" s="703"/>
      <c r="N111" s="703"/>
      <c r="O111" s="703"/>
      <c r="P111" s="703"/>
      <c r="Q111" s="703"/>
      <c r="R111" s="703"/>
      <c r="S111" s="703"/>
      <c r="T111" s="703"/>
      <c r="U111" s="703"/>
      <c r="V111" s="703"/>
      <c r="W111" s="703"/>
      <c r="X111" s="703"/>
      <c r="Y111" s="703"/>
      <c r="Z111" s="703"/>
    </row>
    <row r="112">
      <c r="A112" s="703"/>
      <c r="B112" s="703"/>
      <c r="C112" s="703"/>
      <c r="D112" s="703"/>
      <c r="E112" s="703"/>
      <c r="F112" s="703"/>
      <c r="G112" s="703"/>
      <c r="H112" s="703"/>
      <c r="I112" s="703"/>
      <c r="J112" s="703"/>
      <c r="K112" s="703"/>
      <c r="L112" s="703"/>
      <c r="M112" s="703"/>
      <c r="N112" s="703"/>
      <c r="O112" s="703"/>
      <c r="P112" s="703"/>
      <c r="Q112" s="703"/>
      <c r="R112" s="703"/>
      <c r="S112" s="703"/>
      <c r="T112" s="703"/>
      <c r="U112" s="703"/>
      <c r="V112" s="703"/>
      <c r="W112" s="703"/>
      <c r="X112" s="703"/>
      <c r="Y112" s="703"/>
      <c r="Z112" s="703"/>
    </row>
    <row r="113">
      <c r="A113" s="703"/>
      <c r="B113" s="703"/>
      <c r="C113" s="703"/>
      <c r="D113" s="703"/>
      <c r="E113" s="703"/>
      <c r="F113" s="703"/>
      <c r="G113" s="703"/>
      <c r="H113" s="703"/>
      <c r="I113" s="703"/>
      <c r="J113" s="703"/>
      <c r="K113" s="703"/>
      <c r="L113" s="703"/>
      <c r="M113" s="703"/>
      <c r="N113" s="703"/>
      <c r="O113" s="703"/>
      <c r="P113" s="703"/>
      <c r="Q113" s="703"/>
      <c r="R113" s="703"/>
      <c r="S113" s="703"/>
      <c r="T113" s="703"/>
      <c r="U113" s="703"/>
      <c r="V113" s="703"/>
      <c r="W113" s="703"/>
      <c r="X113" s="703"/>
      <c r="Y113" s="703"/>
      <c r="Z113" s="703"/>
    </row>
    <row r="114">
      <c r="A114" s="703"/>
      <c r="B114" s="703"/>
      <c r="C114" s="703"/>
      <c r="D114" s="703"/>
      <c r="E114" s="703"/>
      <c r="F114" s="703"/>
      <c r="G114" s="703"/>
      <c r="H114" s="703"/>
      <c r="I114" s="703"/>
      <c r="J114" s="703"/>
      <c r="K114" s="703"/>
      <c r="L114" s="703"/>
      <c r="M114" s="703"/>
      <c r="N114" s="703"/>
      <c r="O114" s="703"/>
      <c r="P114" s="703"/>
      <c r="Q114" s="703"/>
      <c r="R114" s="703"/>
      <c r="S114" s="703"/>
      <c r="T114" s="703"/>
      <c r="U114" s="703"/>
      <c r="V114" s="703"/>
      <c r="W114" s="703"/>
      <c r="X114" s="703"/>
      <c r="Y114" s="703"/>
      <c r="Z114" s="703"/>
    </row>
    <row r="115">
      <c r="A115" s="703"/>
      <c r="B115" s="703"/>
      <c r="C115" s="703"/>
      <c r="D115" s="703"/>
      <c r="E115" s="703"/>
      <c r="F115" s="703"/>
      <c r="G115" s="703"/>
      <c r="H115" s="703"/>
      <c r="I115" s="703"/>
      <c r="J115" s="703"/>
      <c r="K115" s="703"/>
      <c r="L115" s="703"/>
      <c r="M115" s="703"/>
      <c r="N115" s="703"/>
      <c r="O115" s="703"/>
      <c r="P115" s="703"/>
      <c r="Q115" s="703"/>
      <c r="R115" s="703"/>
      <c r="S115" s="703"/>
      <c r="T115" s="703"/>
      <c r="U115" s="703"/>
      <c r="V115" s="703"/>
      <c r="W115" s="703"/>
      <c r="X115" s="703"/>
      <c r="Y115" s="703"/>
      <c r="Z115" s="703"/>
    </row>
    <row r="116">
      <c r="A116" s="703"/>
      <c r="B116" s="703"/>
      <c r="C116" s="703"/>
      <c r="D116" s="703"/>
      <c r="E116" s="703"/>
      <c r="F116" s="703"/>
      <c r="G116" s="703"/>
      <c r="H116" s="703"/>
      <c r="I116" s="703"/>
      <c r="J116" s="703"/>
      <c r="K116" s="703"/>
      <c r="L116" s="703"/>
      <c r="M116" s="703"/>
      <c r="N116" s="703"/>
      <c r="O116" s="703"/>
      <c r="P116" s="703"/>
      <c r="Q116" s="703"/>
      <c r="R116" s="703"/>
      <c r="S116" s="703"/>
      <c r="T116" s="703"/>
      <c r="U116" s="703"/>
      <c r="V116" s="703"/>
      <c r="W116" s="703"/>
      <c r="X116" s="703"/>
      <c r="Y116" s="703"/>
      <c r="Z116" s="703"/>
    </row>
    <row r="117">
      <c r="A117" s="703"/>
      <c r="B117" s="703"/>
      <c r="C117" s="703"/>
      <c r="D117" s="703"/>
      <c r="E117" s="703"/>
      <c r="F117" s="703"/>
      <c r="G117" s="703"/>
      <c r="H117" s="703"/>
      <c r="I117" s="703"/>
      <c r="J117" s="703"/>
      <c r="K117" s="703"/>
      <c r="L117" s="703"/>
      <c r="M117" s="703"/>
      <c r="N117" s="703"/>
      <c r="O117" s="703"/>
      <c r="P117" s="703"/>
      <c r="Q117" s="703"/>
      <c r="R117" s="703"/>
      <c r="S117" s="703"/>
      <c r="T117" s="703"/>
      <c r="U117" s="703"/>
      <c r="V117" s="703"/>
      <c r="W117" s="703"/>
      <c r="X117" s="703"/>
      <c r="Y117" s="703"/>
      <c r="Z117" s="703"/>
    </row>
    <row r="118">
      <c r="A118" s="703"/>
      <c r="B118" s="703"/>
      <c r="C118" s="703"/>
      <c r="D118" s="703"/>
      <c r="E118" s="703"/>
      <c r="F118" s="703"/>
      <c r="G118" s="703"/>
      <c r="H118" s="703"/>
      <c r="I118" s="703"/>
      <c r="J118" s="703"/>
      <c r="K118" s="703"/>
      <c r="L118" s="703"/>
      <c r="M118" s="703"/>
      <c r="N118" s="703"/>
      <c r="O118" s="703"/>
      <c r="P118" s="703"/>
      <c r="Q118" s="703"/>
      <c r="R118" s="703"/>
      <c r="S118" s="703"/>
      <c r="T118" s="703"/>
      <c r="U118" s="703"/>
      <c r="V118" s="703"/>
      <c r="W118" s="703"/>
      <c r="X118" s="703"/>
      <c r="Y118" s="703"/>
      <c r="Z118" s="703"/>
    </row>
    <row r="119">
      <c r="A119" s="703"/>
      <c r="B119" s="703"/>
      <c r="C119" s="703"/>
      <c r="D119" s="703"/>
      <c r="E119" s="703"/>
      <c r="F119" s="703"/>
      <c r="G119" s="703"/>
      <c r="H119" s="703"/>
      <c r="I119" s="703"/>
      <c r="J119" s="703"/>
      <c r="K119" s="703"/>
      <c r="L119" s="703"/>
      <c r="M119" s="703"/>
      <c r="N119" s="703"/>
      <c r="O119" s="703"/>
      <c r="P119" s="703"/>
      <c r="Q119" s="703"/>
      <c r="R119" s="703"/>
      <c r="S119" s="703"/>
      <c r="T119" s="703"/>
      <c r="U119" s="703"/>
      <c r="V119" s="703"/>
      <c r="W119" s="703"/>
      <c r="X119" s="703"/>
      <c r="Y119" s="703"/>
      <c r="Z119" s="703"/>
    </row>
    <row r="120">
      <c r="A120" s="703"/>
      <c r="B120" s="703"/>
      <c r="C120" s="703"/>
      <c r="D120" s="703"/>
      <c r="E120" s="703"/>
      <c r="F120" s="703"/>
      <c r="G120" s="703"/>
      <c r="H120" s="703"/>
      <c r="I120" s="703"/>
      <c r="J120" s="703"/>
      <c r="K120" s="703"/>
      <c r="L120" s="703"/>
      <c r="M120" s="703"/>
      <c r="N120" s="703"/>
      <c r="O120" s="703"/>
      <c r="P120" s="703"/>
      <c r="Q120" s="703"/>
      <c r="R120" s="703"/>
      <c r="S120" s="703"/>
      <c r="T120" s="703"/>
      <c r="U120" s="703"/>
      <c r="V120" s="703"/>
      <c r="W120" s="703"/>
      <c r="X120" s="703"/>
      <c r="Y120" s="703"/>
      <c r="Z120" s="703"/>
    </row>
    <row r="121">
      <c r="A121" s="703"/>
      <c r="B121" s="703"/>
      <c r="C121" s="703"/>
      <c r="D121" s="703"/>
      <c r="E121" s="703"/>
      <c r="F121" s="703"/>
      <c r="G121" s="703"/>
      <c r="H121" s="703"/>
      <c r="I121" s="703"/>
      <c r="J121" s="703"/>
      <c r="K121" s="703"/>
      <c r="L121" s="703"/>
      <c r="M121" s="703"/>
      <c r="N121" s="703"/>
      <c r="O121" s="703"/>
      <c r="P121" s="703"/>
      <c r="Q121" s="703"/>
      <c r="R121" s="703"/>
      <c r="S121" s="703"/>
      <c r="T121" s="703"/>
      <c r="U121" s="703"/>
      <c r="V121" s="703"/>
      <c r="W121" s="703"/>
      <c r="X121" s="703"/>
      <c r="Y121" s="703"/>
      <c r="Z121" s="703"/>
    </row>
    <row r="122">
      <c r="A122" s="703"/>
      <c r="B122" s="703"/>
      <c r="C122" s="703"/>
      <c r="D122" s="703"/>
      <c r="E122" s="703"/>
      <c r="F122" s="703"/>
      <c r="G122" s="703"/>
      <c r="H122" s="703"/>
      <c r="I122" s="703"/>
      <c r="J122" s="703"/>
      <c r="K122" s="703"/>
      <c r="L122" s="703"/>
      <c r="M122" s="703"/>
      <c r="N122" s="703"/>
      <c r="O122" s="703"/>
      <c r="P122" s="703"/>
      <c r="Q122" s="703"/>
      <c r="R122" s="703"/>
      <c r="S122" s="703"/>
      <c r="T122" s="703"/>
      <c r="U122" s="703"/>
      <c r="V122" s="703"/>
      <c r="W122" s="703"/>
      <c r="X122" s="703"/>
      <c r="Y122" s="703"/>
      <c r="Z122" s="703"/>
    </row>
    <row r="123">
      <c r="A123" s="703"/>
      <c r="B123" s="703"/>
      <c r="C123" s="703"/>
      <c r="D123" s="703"/>
      <c r="E123" s="703"/>
      <c r="F123" s="703"/>
      <c r="G123" s="703"/>
      <c r="H123" s="703"/>
      <c r="I123" s="703"/>
      <c r="J123" s="703"/>
      <c r="K123" s="703"/>
      <c r="L123" s="703"/>
      <c r="M123" s="703"/>
      <c r="N123" s="703"/>
      <c r="O123" s="703"/>
      <c r="P123" s="703"/>
      <c r="Q123" s="703"/>
      <c r="R123" s="703"/>
      <c r="S123" s="703"/>
      <c r="T123" s="703"/>
      <c r="U123" s="703"/>
      <c r="V123" s="703"/>
      <c r="W123" s="703"/>
      <c r="X123" s="703"/>
      <c r="Y123" s="703"/>
      <c r="Z123" s="703"/>
    </row>
    <row r="124">
      <c r="A124" s="703"/>
      <c r="B124" s="703"/>
      <c r="C124" s="703"/>
      <c r="D124" s="703"/>
      <c r="E124" s="703"/>
      <c r="F124" s="703"/>
      <c r="G124" s="703"/>
      <c r="H124" s="703"/>
      <c r="I124" s="703"/>
      <c r="J124" s="703"/>
      <c r="K124" s="703"/>
      <c r="L124" s="703"/>
      <c r="M124" s="703"/>
      <c r="N124" s="703"/>
      <c r="O124" s="703"/>
      <c r="P124" s="703"/>
      <c r="Q124" s="703"/>
      <c r="R124" s="703"/>
      <c r="S124" s="703"/>
      <c r="T124" s="703"/>
      <c r="U124" s="703"/>
      <c r="V124" s="703"/>
      <c r="W124" s="703"/>
      <c r="X124" s="703"/>
      <c r="Y124" s="703"/>
      <c r="Z124" s="703"/>
    </row>
    <row r="125">
      <c r="A125" s="703"/>
      <c r="B125" s="703"/>
      <c r="C125" s="703"/>
      <c r="D125" s="703"/>
      <c r="E125" s="703"/>
      <c r="F125" s="703"/>
      <c r="G125" s="703"/>
      <c r="H125" s="703"/>
      <c r="I125" s="703"/>
      <c r="J125" s="703"/>
      <c r="K125" s="703"/>
      <c r="L125" s="703"/>
      <c r="M125" s="703"/>
      <c r="N125" s="703"/>
      <c r="O125" s="703"/>
      <c r="P125" s="703"/>
      <c r="Q125" s="703"/>
      <c r="R125" s="703"/>
      <c r="S125" s="703"/>
      <c r="T125" s="703"/>
      <c r="U125" s="703"/>
      <c r="V125" s="703"/>
      <c r="W125" s="703"/>
      <c r="X125" s="703"/>
      <c r="Y125" s="703"/>
      <c r="Z125" s="703"/>
    </row>
    <row r="126">
      <c r="A126" s="703"/>
      <c r="B126" s="703"/>
      <c r="C126" s="703"/>
      <c r="D126" s="703"/>
      <c r="E126" s="703"/>
      <c r="F126" s="703"/>
      <c r="G126" s="703"/>
      <c r="H126" s="703"/>
      <c r="I126" s="703"/>
      <c r="J126" s="703"/>
      <c r="K126" s="703"/>
      <c r="L126" s="703"/>
      <c r="M126" s="703"/>
      <c r="N126" s="703"/>
      <c r="O126" s="703"/>
      <c r="P126" s="703"/>
      <c r="Q126" s="703"/>
      <c r="R126" s="703"/>
      <c r="S126" s="703"/>
      <c r="T126" s="703"/>
      <c r="U126" s="703"/>
      <c r="V126" s="703"/>
      <c r="W126" s="703"/>
      <c r="X126" s="703"/>
      <c r="Y126" s="703"/>
      <c r="Z126" s="703"/>
    </row>
    <row r="127">
      <c r="A127" s="703"/>
      <c r="B127" s="703"/>
      <c r="C127" s="703"/>
      <c r="D127" s="703"/>
      <c r="E127" s="703"/>
      <c r="F127" s="703"/>
      <c r="G127" s="703"/>
      <c r="H127" s="703"/>
      <c r="I127" s="703"/>
      <c r="J127" s="703"/>
      <c r="K127" s="703"/>
      <c r="L127" s="703"/>
      <c r="M127" s="703"/>
      <c r="N127" s="703"/>
      <c r="O127" s="703"/>
      <c r="P127" s="703"/>
      <c r="Q127" s="703"/>
      <c r="R127" s="703"/>
      <c r="S127" s="703"/>
      <c r="T127" s="703"/>
      <c r="U127" s="703"/>
      <c r="V127" s="703"/>
      <c r="W127" s="703"/>
      <c r="X127" s="703"/>
      <c r="Y127" s="703"/>
      <c r="Z127" s="703"/>
    </row>
    <row r="128">
      <c r="A128" s="703"/>
      <c r="B128" s="703"/>
      <c r="C128" s="703"/>
      <c r="D128" s="703"/>
      <c r="E128" s="703"/>
      <c r="F128" s="703"/>
      <c r="G128" s="703"/>
      <c r="H128" s="703"/>
      <c r="I128" s="703"/>
      <c r="J128" s="703"/>
      <c r="K128" s="703"/>
      <c r="L128" s="703"/>
      <c r="M128" s="703"/>
      <c r="N128" s="703"/>
      <c r="O128" s="703"/>
      <c r="P128" s="703"/>
      <c r="Q128" s="703"/>
      <c r="R128" s="703"/>
      <c r="S128" s="703"/>
      <c r="T128" s="703"/>
      <c r="U128" s="703"/>
      <c r="V128" s="703"/>
      <c r="W128" s="703"/>
      <c r="X128" s="703"/>
      <c r="Y128" s="703"/>
      <c r="Z128" s="703"/>
    </row>
    <row r="129">
      <c r="A129" s="703"/>
      <c r="B129" s="703"/>
      <c r="C129" s="703"/>
      <c r="D129" s="703"/>
      <c r="E129" s="703"/>
      <c r="F129" s="703"/>
      <c r="G129" s="703"/>
      <c r="H129" s="703"/>
      <c r="I129" s="703"/>
      <c r="J129" s="703"/>
      <c r="K129" s="703"/>
      <c r="L129" s="703"/>
      <c r="M129" s="703"/>
      <c r="N129" s="703"/>
      <c r="O129" s="703"/>
      <c r="P129" s="703"/>
      <c r="Q129" s="703"/>
      <c r="R129" s="703"/>
      <c r="S129" s="703"/>
      <c r="T129" s="703"/>
      <c r="U129" s="703"/>
      <c r="V129" s="703"/>
      <c r="W129" s="703"/>
      <c r="X129" s="703"/>
      <c r="Y129" s="703"/>
      <c r="Z129" s="703"/>
    </row>
    <row r="130">
      <c r="A130" s="703"/>
      <c r="B130" s="703"/>
      <c r="C130" s="703"/>
      <c r="D130" s="703"/>
      <c r="E130" s="703"/>
      <c r="F130" s="703"/>
      <c r="G130" s="703"/>
      <c r="H130" s="703"/>
      <c r="I130" s="703"/>
      <c r="J130" s="703"/>
      <c r="K130" s="703"/>
      <c r="L130" s="703"/>
      <c r="M130" s="703"/>
      <c r="N130" s="703"/>
      <c r="O130" s="703"/>
      <c r="P130" s="703"/>
      <c r="Q130" s="703"/>
      <c r="R130" s="703"/>
      <c r="S130" s="703"/>
      <c r="T130" s="703"/>
      <c r="U130" s="703"/>
      <c r="V130" s="703"/>
      <c r="W130" s="703"/>
      <c r="X130" s="703"/>
      <c r="Y130" s="703"/>
      <c r="Z130" s="703"/>
    </row>
    <row r="131">
      <c r="A131" s="703"/>
      <c r="B131" s="703"/>
      <c r="C131" s="703"/>
      <c r="D131" s="703"/>
      <c r="E131" s="703"/>
      <c r="F131" s="703"/>
      <c r="G131" s="703"/>
      <c r="H131" s="703"/>
      <c r="I131" s="703"/>
      <c r="J131" s="703"/>
      <c r="K131" s="703"/>
      <c r="L131" s="703"/>
      <c r="M131" s="703"/>
      <c r="N131" s="703"/>
      <c r="O131" s="703"/>
      <c r="P131" s="703"/>
      <c r="Q131" s="703"/>
      <c r="R131" s="703"/>
      <c r="S131" s="703"/>
      <c r="T131" s="703"/>
      <c r="U131" s="703"/>
      <c r="V131" s="703"/>
      <c r="W131" s="703"/>
      <c r="X131" s="703"/>
      <c r="Y131" s="703"/>
      <c r="Z131" s="703"/>
    </row>
    <row r="132">
      <c r="A132" s="703"/>
      <c r="B132" s="703"/>
      <c r="C132" s="703"/>
      <c r="D132" s="703"/>
      <c r="E132" s="703"/>
      <c r="F132" s="703"/>
      <c r="G132" s="703"/>
      <c r="H132" s="703"/>
      <c r="I132" s="703"/>
      <c r="J132" s="703"/>
      <c r="K132" s="703"/>
      <c r="L132" s="703"/>
      <c r="M132" s="703"/>
      <c r="N132" s="703"/>
      <c r="O132" s="703"/>
      <c r="P132" s="703"/>
      <c r="Q132" s="703"/>
      <c r="R132" s="703"/>
      <c r="S132" s="703"/>
      <c r="T132" s="703"/>
      <c r="U132" s="703"/>
      <c r="V132" s="703"/>
      <c r="W132" s="703"/>
      <c r="X132" s="703"/>
      <c r="Y132" s="703"/>
      <c r="Z132" s="703"/>
    </row>
    <row r="133">
      <c r="A133" s="703"/>
      <c r="B133" s="703"/>
      <c r="C133" s="703"/>
      <c r="D133" s="703"/>
      <c r="E133" s="703"/>
      <c r="F133" s="703"/>
      <c r="G133" s="703"/>
      <c r="H133" s="703"/>
      <c r="I133" s="703"/>
      <c r="J133" s="703"/>
      <c r="K133" s="703"/>
      <c r="L133" s="703"/>
      <c r="M133" s="703"/>
      <c r="N133" s="703"/>
      <c r="O133" s="703"/>
      <c r="P133" s="703"/>
      <c r="Q133" s="703"/>
      <c r="R133" s="703"/>
      <c r="S133" s="703"/>
      <c r="T133" s="703"/>
      <c r="U133" s="703"/>
      <c r="V133" s="703"/>
      <c r="W133" s="703"/>
      <c r="X133" s="703"/>
      <c r="Y133" s="703"/>
      <c r="Z133" s="703"/>
    </row>
    <row r="134">
      <c r="A134" s="703"/>
      <c r="B134" s="703"/>
      <c r="C134" s="703"/>
      <c r="D134" s="703"/>
      <c r="E134" s="703"/>
      <c r="F134" s="703"/>
      <c r="G134" s="703"/>
      <c r="H134" s="703"/>
      <c r="I134" s="703"/>
      <c r="J134" s="703"/>
      <c r="K134" s="703"/>
      <c r="L134" s="703"/>
      <c r="M134" s="703"/>
      <c r="N134" s="703"/>
      <c r="O134" s="703"/>
      <c r="P134" s="703"/>
      <c r="Q134" s="703"/>
      <c r="R134" s="703"/>
      <c r="S134" s="703"/>
      <c r="T134" s="703"/>
      <c r="U134" s="703"/>
      <c r="V134" s="703"/>
      <c r="W134" s="703"/>
      <c r="X134" s="703"/>
      <c r="Y134" s="703"/>
      <c r="Z134" s="703"/>
    </row>
    <row r="135">
      <c r="A135" s="703"/>
      <c r="B135" s="703"/>
      <c r="C135" s="703"/>
      <c r="D135" s="703"/>
      <c r="E135" s="703"/>
      <c r="F135" s="703"/>
      <c r="G135" s="703"/>
      <c r="H135" s="703"/>
      <c r="I135" s="703"/>
      <c r="J135" s="703"/>
      <c r="K135" s="703"/>
      <c r="L135" s="703"/>
      <c r="M135" s="703"/>
      <c r="N135" s="703"/>
      <c r="O135" s="703"/>
      <c r="P135" s="703"/>
      <c r="Q135" s="703"/>
      <c r="R135" s="703"/>
      <c r="S135" s="703"/>
      <c r="T135" s="703"/>
      <c r="U135" s="703"/>
      <c r="V135" s="703"/>
      <c r="W135" s="703"/>
      <c r="X135" s="703"/>
      <c r="Y135" s="703"/>
      <c r="Z135" s="703"/>
    </row>
    <row r="136">
      <c r="A136" s="703"/>
      <c r="B136" s="703"/>
      <c r="C136" s="703"/>
      <c r="D136" s="703"/>
      <c r="E136" s="703"/>
      <c r="F136" s="703"/>
      <c r="G136" s="703"/>
      <c r="H136" s="703"/>
      <c r="I136" s="703"/>
      <c r="J136" s="703"/>
      <c r="K136" s="703"/>
      <c r="L136" s="703"/>
      <c r="M136" s="703"/>
      <c r="N136" s="703"/>
      <c r="O136" s="703"/>
      <c r="P136" s="703"/>
      <c r="Q136" s="703"/>
      <c r="R136" s="703"/>
      <c r="S136" s="703"/>
      <c r="T136" s="703"/>
      <c r="U136" s="703"/>
      <c r="V136" s="703"/>
      <c r="W136" s="703"/>
      <c r="X136" s="703"/>
      <c r="Y136" s="703"/>
      <c r="Z136" s="703"/>
    </row>
    <row r="137">
      <c r="A137" s="703"/>
      <c r="B137" s="703"/>
      <c r="C137" s="703"/>
      <c r="D137" s="703"/>
      <c r="E137" s="703"/>
      <c r="F137" s="703"/>
      <c r="G137" s="703"/>
      <c r="H137" s="703"/>
      <c r="I137" s="703"/>
      <c r="J137" s="703"/>
      <c r="K137" s="703"/>
      <c r="L137" s="703"/>
      <c r="M137" s="703"/>
      <c r="N137" s="703"/>
      <c r="O137" s="703"/>
      <c r="P137" s="703"/>
      <c r="Q137" s="703"/>
      <c r="R137" s="703"/>
      <c r="S137" s="703"/>
      <c r="T137" s="703"/>
      <c r="U137" s="703"/>
      <c r="V137" s="703"/>
      <c r="W137" s="703"/>
      <c r="X137" s="703"/>
      <c r="Y137" s="703"/>
      <c r="Z137" s="703"/>
    </row>
    <row r="138">
      <c r="A138" s="703"/>
      <c r="B138" s="703"/>
      <c r="C138" s="703"/>
      <c r="D138" s="703"/>
      <c r="E138" s="703"/>
      <c r="F138" s="703"/>
      <c r="G138" s="703"/>
      <c r="H138" s="703"/>
      <c r="I138" s="703"/>
      <c r="J138" s="703"/>
      <c r="K138" s="703"/>
      <c r="L138" s="703"/>
      <c r="M138" s="703"/>
      <c r="N138" s="703"/>
      <c r="O138" s="703"/>
      <c r="P138" s="703"/>
      <c r="Q138" s="703"/>
      <c r="R138" s="703"/>
      <c r="S138" s="703"/>
      <c r="T138" s="703"/>
      <c r="U138" s="703"/>
      <c r="V138" s="703"/>
      <c r="W138" s="703"/>
      <c r="X138" s="703"/>
      <c r="Y138" s="703"/>
      <c r="Z138" s="703"/>
    </row>
    <row r="139">
      <c r="A139" s="703"/>
      <c r="B139" s="703"/>
      <c r="C139" s="703"/>
      <c r="D139" s="703"/>
      <c r="E139" s="703"/>
      <c r="F139" s="703"/>
      <c r="G139" s="703"/>
      <c r="H139" s="703"/>
      <c r="I139" s="703"/>
      <c r="J139" s="703"/>
      <c r="K139" s="703"/>
      <c r="L139" s="703"/>
      <c r="M139" s="703"/>
      <c r="N139" s="703"/>
      <c r="O139" s="703"/>
      <c r="P139" s="703"/>
      <c r="Q139" s="703"/>
      <c r="R139" s="703"/>
      <c r="S139" s="703"/>
      <c r="T139" s="703"/>
      <c r="U139" s="703"/>
      <c r="V139" s="703"/>
      <c r="W139" s="703"/>
      <c r="X139" s="703"/>
      <c r="Y139" s="703"/>
      <c r="Z139" s="703"/>
    </row>
    <row r="140">
      <c r="A140" s="703"/>
      <c r="B140" s="703"/>
      <c r="C140" s="703"/>
      <c r="D140" s="703"/>
      <c r="E140" s="703"/>
      <c r="F140" s="703"/>
      <c r="G140" s="703"/>
      <c r="H140" s="703"/>
      <c r="I140" s="703"/>
      <c r="J140" s="703"/>
      <c r="K140" s="703"/>
      <c r="L140" s="703"/>
      <c r="M140" s="703"/>
      <c r="N140" s="703"/>
      <c r="O140" s="703"/>
      <c r="P140" s="703"/>
      <c r="Q140" s="703"/>
      <c r="R140" s="703"/>
      <c r="S140" s="703"/>
      <c r="T140" s="703"/>
      <c r="U140" s="703"/>
      <c r="V140" s="703"/>
      <c r="W140" s="703"/>
      <c r="X140" s="703"/>
      <c r="Y140" s="703"/>
      <c r="Z140" s="703"/>
    </row>
    <row r="141">
      <c r="A141" s="703"/>
      <c r="B141" s="703"/>
      <c r="C141" s="703"/>
      <c r="D141" s="703"/>
      <c r="E141" s="703"/>
      <c r="F141" s="703"/>
      <c r="G141" s="703"/>
      <c r="H141" s="703"/>
      <c r="I141" s="703"/>
      <c r="J141" s="703"/>
      <c r="K141" s="703"/>
      <c r="L141" s="703"/>
      <c r="M141" s="703"/>
      <c r="N141" s="703"/>
      <c r="O141" s="703"/>
      <c r="P141" s="703"/>
      <c r="Q141" s="703"/>
      <c r="R141" s="703"/>
      <c r="S141" s="703"/>
      <c r="T141" s="703"/>
      <c r="U141" s="703"/>
      <c r="V141" s="703"/>
      <c r="W141" s="703"/>
      <c r="X141" s="703"/>
      <c r="Y141" s="703"/>
      <c r="Z141" s="703"/>
    </row>
    <row r="142">
      <c r="A142" s="703"/>
      <c r="B142" s="703"/>
      <c r="C142" s="703"/>
      <c r="D142" s="703"/>
      <c r="E142" s="703"/>
      <c r="F142" s="703"/>
      <c r="G142" s="703"/>
      <c r="H142" s="703"/>
      <c r="I142" s="703"/>
      <c r="J142" s="703"/>
      <c r="K142" s="703"/>
      <c r="L142" s="703"/>
      <c r="M142" s="703"/>
      <c r="N142" s="703"/>
      <c r="O142" s="703"/>
      <c r="P142" s="703"/>
      <c r="Q142" s="703"/>
      <c r="R142" s="703"/>
      <c r="S142" s="703"/>
      <c r="T142" s="703"/>
      <c r="U142" s="703"/>
      <c r="V142" s="703"/>
      <c r="W142" s="703"/>
      <c r="X142" s="703"/>
      <c r="Y142" s="703"/>
      <c r="Z142" s="703"/>
    </row>
    <row r="143">
      <c r="A143" s="703"/>
      <c r="B143" s="703"/>
      <c r="C143" s="703"/>
      <c r="D143" s="703"/>
      <c r="E143" s="703"/>
      <c r="F143" s="703"/>
      <c r="G143" s="703"/>
      <c r="H143" s="703"/>
      <c r="I143" s="703"/>
      <c r="J143" s="703"/>
      <c r="K143" s="703"/>
      <c r="L143" s="703"/>
      <c r="M143" s="703"/>
      <c r="N143" s="703"/>
      <c r="O143" s="703"/>
      <c r="P143" s="703"/>
      <c r="Q143" s="703"/>
      <c r="R143" s="703"/>
      <c r="S143" s="703"/>
      <c r="T143" s="703"/>
      <c r="U143" s="703"/>
      <c r="V143" s="703"/>
      <c r="W143" s="703"/>
      <c r="X143" s="703"/>
      <c r="Y143" s="703"/>
      <c r="Z143" s="703"/>
    </row>
    <row r="144">
      <c r="A144" s="703"/>
      <c r="B144" s="703"/>
      <c r="C144" s="703"/>
      <c r="D144" s="703"/>
      <c r="E144" s="703"/>
      <c r="F144" s="703"/>
      <c r="G144" s="703"/>
      <c r="H144" s="703"/>
      <c r="I144" s="703"/>
      <c r="J144" s="703"/>
      <c r="K144" s="703"/>
      <c r="L144" s="703"/>
      <c r="M144" s="703"/>
      <c r="N144" s="703"/>
      <c r="O144" s="703"/>
      <c r="P144" s="703"/>
      <c r="Q144" s="703"/>
      <c r="R144" s="703"/>
      <c r="S144" s="703"/>
      <c r="T144" s="703"/>
      <c r="U144" s="703"/>
      <c r="V144" s="703"/>
      <c r="W144" s="703"/>
      <c r="X144" s="703"/>
      <c r="Y144" s="703"/>
      <c r="Z144" s="703"/>
    </row>
    <row r="145">
      <c r="A145" s="703"/>
      <c r="B145" s="703"/>
      <c r="C145" s="703"/>
      <c r="D145" s="703"/>
      <c r="E145" s="703"/>
      <c r="F145" s="703"/>
      <c r="G145" s="703"/>
      <c r="H145" s="703"/>
      <c r="I145" s="703"/>
      <c r="J145" s="703"/>
      <c r="K145" s="703"/>
      <c r="L145" s="703"/>
      <c r="M145" s="703"/>
      <c r="N145" s="703"/>
      <c r="O145" s="703"/>
      <c r="P145" s="703"/>
      <c r="Q145" s="703"/>
      <c r="R145" s="703"/>
      <c r="S145" s="703"/>
      <c r="T145" s="703"/>
      <c r="U145" s="703"/>
      <c r="V145" s="703"/>
      <c r="W145" s="703"/>
      <c r="X145" s="703"/>
      <c r="Y145" s="703"/>
      <c r="Z145" s="703"/>
    </row>
    <row r="146">
      <c r="A146" s="703"/>
      <c r="B146" s="703"/>
      <c r="C146" s="703"/>
      <c r="D146" s="703"/>
      <c r="E146" s="703"/>
      <c r="F146" s="703"/>
      <c r="G146" s="703"/>
      <c r="H146" s="703"/>
      <c r="I146" s="703"/>
      <c r="J146" s="703"/>
      <c r="K146" s="703"/>
      <c r="L146" s="703"/>
      <c r="M146" s="703"/>
      <c r="N146" s="703"/>
      <c r="O146" s="703"/>
      <c r="P146" s="703"/>
      <c r="Q146" s="703"/>
      <c r="R146" s="703"/>
      <c r="S146" s="703"/>
      <c r="T146" s="703"/>
      <c r="U146" s="703"/>
      <c r="V146" s="703"/>
      <c r="W146" s="703"/>
      <c r="X146" s="703"/>
      <c r="Y146" s="703"/>
      <c r="Z146" s="703"/>
    </row>
    <row r="147">
      <c r="A147" s="703"/>
      <c r="B147" s="703"/>
      <c r="C147" s="703"/>
      <c r="D147" s="703"/>
      <c r="E147" s="703"/>
      <c r="F147" s="703"/>
      <c r="G147" s="703"/>
      <c r="H147" s="703"/>
      <c r="I147" s="703"/>
      <c r="J147" s="703"/>
      <c r="K147" s="703"/>
      <c r="L147" s="703"/>
      <c r="M147" s="703"/>
      <c r="N147" s="703"/>
      <c r="O147" s="703"/>
      <c r="P147" s="703"/>
      <c r="Q147" s="703"/>
      <c r="R147" s="703"/>
      <c r="S147" s="703"/>
      <c r="T147" s="703"/>
      <c r="U147" s="703"/>
      <c r="V147" s="703"/>
      <c r="W147" s="703"/>
      <c r="X147" s="703"/>
      <c r="Y147" s="703"/>
      <c r="Z147" s="703"/>
    </row>
    <row r="148">
      <c r="A148" s="703"/>
      <c r="B148" s="703"/>
      <c r="C148" s="703"/>
      <c r="D148" s="703"/>
      <c r="E148" s="703"/>
      <c r="F148" s="703"/>
      <c r="G148" s="703"/>
      <c r="H148" s="703"/>
      <c r="I148" s="703"/>
      <c r="J148" s="703"/>
      <c r="K148" s="703"/>
      <c r="L148" s="703"/>
      <c r="M148" s="703"/>
      <c r="N148" s="703"/>
      <c r="O148" s="703"/>
      <c r="P148" s="703"/>
      <c r="Q148" s="703"/>
      <c r="R148" s="703"/>
      <c r="S148" s="703"/>
      <c r="T148" s="703"/>
      <c r="U148" s="703"/>
      <c r="V148" s="703"/>
      <c r="W148" s="703"/>
      <c r="X148" s="703"/>
      <c r="Y148" s="703"/>
      <c r="Z148" s="703"/>
    </row>
    <row r="149">
      <c r="A149" s="703"/>
      <c r="B149" s="703"/>
      <c r="C149" s="703"/>
      <c r="D149" s="703"/>
      <c r="E149" s="703"/>
      <c r="F149" s="703"/>
      <c r="G149" s="703"/>
      <c r="H149" s="703"/>
      <c r="I149" s="703"/>
      <c r="J149" s="703"/>
      <c r="K149" s="703"/>
      <c r="L149" s="703"/>
      <c r="M149" s="703"/>
      <c r="N149" s="703"/>
      <c r="O149" s="703"/>
      <c r="P149" s="703"/>
      <c r="Q149" s="703"/>
      <c r="R149" s="703"/>
      <c r="S149" s="703"/>
      <c r="T149" s="703"/>
      <c r="U149" s="703"/>
      <c r="V149" s="703"/>
      <c r="W149" s="703"/>
      <c r="X149" s="703"/>
      <c r="Y149" s="703"/>
      <c r="Z149" s="703"/>
    </row>
    <row r="150">
      <c r="A150" s="703"/>
      <c r="B150" s="703"/>
      <c r="C150" s="703"/>
      <c r="D150" s="703"/>
      <c r="E150" s="703"/>
      <c r="F150" s="703"/>
      <c r="G150" s="703"/>
      <c r="H150" s="703"/>
      <c r="I150" s="703"/>
      <c r="J150" s="703"/>
      <c r="K150" s="703"/>
      <c r="L150" s="703"/>
      <c r="M150" s="703"/>
      <c r="N150" s="703"/>
      <c r="O150" s="703"/>
      <c r="P150" s="703"/>
      <c r="Q150" s="703"/>
      <c r="R150" s="703"/>
      <c r="S150" s="703"/>
      <c r="T150" s="703"/>
      <c r="U150" s="703"/>
      <c r="V150" s="703"/>
      <c r="W150" s="703"/>
      <c r="X150" s="703"/>
      <c r="Y150" s="703"/>
      <c r="Z150" s="703"/>
    </row>
    <row r="151">
      <c r="A151" s="703"/>
      <c r="B151" s="703"/>
      <c r="C151" s="703"/>
      <c r="D151" s="703"/>
      <c r="E151" s="703"/>
      <c r="F151" s="703"/>
      <c r="G151" s="703"/>
      <c r="H151" s="703"/>
      <c r="I151" s="703"/>
      <c r="J151" s="703"/>
      <c r="K151" s="703"/>
      <c r="L151" s="703"/>
      <c r="M151" s="703"/>
      <c r="N151" s="703"/>
      <c r="O151" s="703"/>
      <c r="P151" s="703"/>
      <c r="Q151" s="703"/>
      <c r="R151" s="703"/>
      <c r="S151" s="703"/>
      <c r="T151" s="703"/>
      <c r="U151" s="703"/>
      <c r="V151" s="703"/>
      <c r="W151" s="703"/>
      <c r="X151" s="703"/>
      <c r="Y151" s="703"/>
      <c r="Z151" s="703"/>
    </row>
    <row r="152">
      <c r="A152" s="703"/>
      <c r="B152" s="703"/>
      <c r="C152" s="703"/>
      <c r="D152" s="703"/>
      <c r="E152" s="703"/>
      <c r="F152" s="703"/>
      <c r="G152" s="703"/>
      <c r="H152" s="703"/>
      <c r="I152" s="703"/>
      <c r="J152" s="703"/>
      <c r="K152" s="703"/>
      <c r="L152" s="703"/>
      <c r="M152" s="703"/>
      <c r="N152" s="703"/>
      <c r="O152" s="703"/>
      <c r="P152" s="703"/>
      <c r="Q152" s="703"/>
      <c r="R152" s="703"/>
      <c r="S152" s="703"/>
      <c r="T152" s="703"/>
      <c r="U152" s="703"/>
      <c r="V152" s="703"/>
      <c r="W152" s="703"/>
      <c r="X152" s="703"/>
      <c r="Y152" s="703"/>
      <c r="Z152" s="703"/>
    </row>
    <row r="153">
      <c r="A153" s="703"/>
      <c r="B153" s="703"/>
      <c r="C153" s="703"/>
      <c r="D153" s="703"/>
      <c r="E153" s="703"/>
      <c r="F153" s="703"/>
      <c r="G153" s="703"/>
      <c r="H153" s="703"/>
      <c r="I153" s="703"/>
      <c r="J153" s="703"/>
      <c r="K153" s="703"/>
      <c r="L153" s="703"/>
      <c r="M153" s="703"/>
      <c r="N153" s="703"/>
      <c r="O153" s="703"/>
      <c r="P153" s="703"/>
      <c r="Q153" s="703"/>
      <c r="R153" s="703"/>
      <c r="S153" s="703"/>
      <c r="T153" s="703"/>
      <c r="U153" s="703"/>
      <c r="V153" s="703"/>
      <c r="W153" s="703"/>
      <c r="X153" s="703"/>
      <c r="Y153" s="703"/>
      <c r="Z153" s="703"/>
    </row>
    <row r="154">
      <c r="A154" s="703"/>
      <c r="B154" s="703"/>
      <c r="C154" s="703"/>
      <c r="D154" s="703"/>
      <c r="E154" s="703"/>
      <c r="F154" s="703"/>
      <c r="G154" s="703"/>
      <c r="H154" s="703"/>
      <c r="I154" s="703"/>
      <c r="J154" s="703"/>
      <c r="K154" s="703"/>
      <c r="L154" s="703"/>
      <c r="M154" s="703"/>
      <c r="N154" s="703"/>
      <c r="O154" s="703"/>
      <c r="P154" s="703"/>
      <c r="Q154" s="703"/>
      <c r="R154" s="703"/>
      <c r="S154" s="703"/>
      <c r="T154" s="703"/>
      <c r="U154" s="703"/>
      <c r="V154" s="703"/>
      <c r="W154" s="703"/>
      <c r="X154" s="703"/>
      <c r="Y154" s="703"/>
      <c r="Z154" s="703"/>
    </row>
    <row r="155">
      <c r="A155" s="703"/>
      <c r="B155" s="703"/>
      <c r="C155" s="703"/>
      <c r="D155" s="703"/>
      <c r="E155" s="703"/>
      <c r="F155" s="703"/>
      <c r="G155" s="703"/>
      <c r="H155" s="703"/>
      <c r="I155" s="703"/>
      <c r="J155" s="703"/>
      <c r="K155" s="703"/>
      <c r="L155" s="703"/>
      <c r="M155" s="703"/>
      <c r="N155" s="703"/>
      <c r="O155" s="703"/>
      <c r="P155" s="703"/>
      <c r="Q155" s="703"/>
      <c r="R155" s="703"/>
      <c r="S155" s="703"/>
      <c r="T155" s="703"/>
      <c r="U155" s="703"/>
      <c r="V155" s="703"/>
      <c r="W155" s="703"/>
      <c r="X155" s="703"/>
      <c r="Y155" s="703"/>
      <c r="Z155" s="703"/>
    </row>
    <row r="156">
      <c r="A156" s="703"/>
      <c r="B156" s="703"/>
      <c r="C156" s="703"/>
      <c r="D156" s="703"/>
      <c r="E156" s="703"/>
      <c r="F156" s="703"/>
      <c r="G156" s="703"/>
      <c r="H156" s="703"/>
      <c r="I156" s="703"/>
      <c r="J156" s="703"/>
      <c r="K156" s="703"/>
      <c r="L156" s="703"/>
      <c r="M156" s="703"/>
      <c r="N156" s="703"/>
      <c r="O156" s="703"/>
      <c r="P156" s="703"/>
      <c r="Q156" s="703"/>
      <c r="R156" s="703"/>
      <c r="S156" s="703"/>
      <c r="T156" s="703"/>
      <c r="U156" s="703"/>
      <c r="V156" s="703"/>
      <c r="W156" s="703"/>
      <c r="X156" s="703"/>
      <c r="Y156" s="703"/>
      <c r="Z156" s="703"/>
    </row>
    <row r="157">
      <c r="A157" s="703"/>
      <c r="B157" s="703"/>
      <c r="C157" s="703"/>
      <c r="D157" s="703"/>
      <c r="E157" s="703"/>
      <c r="F157" s="703"/>
      <c r="G157" s="703"/>
      <c r="H157" s="703"/>
      <c r="I157" s="703"/>
      <c r="J157" s="703"/>
      <c r="K157" s="703"/>
      <c r="L157" s="703"/>
      <c r="M157" s="703"/>
      <c r="N157" s="703"/>
      <c r="O157" s="703"/>
      <c r="P157" s="703"/>
      <c r="Q157" s="703"/>
      <c r="R157" s="703"/>
      <c r="S157" s="703"/>
      <c r="T157" s="703"/>
      <c r="U157" s="703"/>
      <c r="V157" s="703"/>
      <c r="W157" s="703"/>
      <c r="X157" s="703"/>
      <c r="Y157" s="703"/>
      <c r="Z157" s="703"/>
    </row>
    <row r="158">
      <c r="A158" s="703"/>
      <c r="B158" s="703"/>
      <c r="C158" s="703"/>
      <c r="D158" s="703"/>
      <c r="E158" s="703"/>
      <c r="F158" s="703"/>
      <c r="G158" s="703"/>
      <c r="H158" s="703"/>
      <c r="I158" s="703"/>
      <c r="J158" s="703"/>
      <c r="K158" s="703"/>
      <c r="L158" s="703"/>
      <c r="M158" s="703"/>
      <c r="N158" s="703"/>
      <c r="O158" s="703"/>
      <c r="P158" s="703"/>
      <c r="Q158" s="703"/>
      <c r="R158" s="703"/>
      <c r="S158" s="703"/>
      <c r="T158" s="703"/>
      <c r="U158" s="703"/>
      <c r="V158" s="703"/>
      <c r="W158" s="703"/>
      <c r="X158" s="703"/>
      <c r="Y158" s="703"/>
      <c r="Z158" s="703"/>
    </row>
    <row r="159">
      <c r="A159" s="703"/>
      <c r="B159" s="703"/>
      <c r="C159" s="703"/>
      <c r="D159" s="703"/>
      <c r="E159" s="703"/>
      <c r="F159" s="703"/>
      <c r="G159" s="703"/>
      <c r="H159" s="703"/>
      <c r="I159" s="703"/>
      <c r="J159" s="703"/>
      <c r="K159" s="703"/>
      <c r="L159" s="703"/>
      <c r="M159" s="703"/>
      <c r="N159" s="703"/>
      <c r="O159" s="703"/>
      <c r="P159" s="703"/>
      <c r="Q159" s="703"/>
      <c r="R159" s="703"/>
      <c r="S159" s="703"/>
      <c r="T159" s="703"/>
      <c r="U159" s="703"/>
      <c r="V159" s="703"/>
      <c r="W159" s="703"/>
      <c r="X159" s="703"/>
      <c r="Y159" s="703"/>
      <c r="Z159" s="703"/>
    </row>
    <row r="160">
      <c r="A160" s="703"/>
      <c r="B160" s="703"/>
      <c r="C160" s="703"/>
      <c r="D160" s="703"/>
      <c r="E160" s="703"/>
      <c r="F160" s="703"/>
      <c r="G160" s="703"/>
      <c r="H160" s="703"/>
      <c r="I160" s="703"/>
      <c r="J160" s="703"/>
      <c r="K160" s="703"/>
      <c r="L160" s="703"/>
      <c r="M160" s="703"/>
      <c r="N160" s="703"/>
      <c r="O160" s="703"/>
      <c r="P160" s="703"/>
      <c r="Q160" s="703"/>
      <c r="R160" s="703"/>
      <c r="S160" s="703"/>
      <c r="T160" s="703"/>
      <c r="U160" s="703"/>
      <c r="V160" s="703"/>
      <c r="W160" s="703"/>
      <c r="X160" s="703"/>
      <c r="Y160" s="703"/>
      <c r="Z160" s="703"/>
    </row>
    <row r="161">
      <c r="A161" s="703"/>
      <c r="B161" s="703"/>
      <c r="C161" s="703"/>
      <c r="D161" s="703"/>
      <c r="E161" s="703"/>
      <c r="F161" s="703"/>
      <c r="G161" s="703"/>
      <c r="H161" s="703"/>
      <c r="I161" s="703"/>
      <c r="J161" s="703"/>
      <c r="K161" s="703"/>
      <c r="L161" s="703"/>
      <c r="M161" s="703"/>
      <c r="N161" s="703"/>
      <c r="O161" s="703"/>
      <c r="P161" s="703"/>
      <c r="Q161" s="703"/>
      <c r="R161" s="703"/>
      <c r="S161" s="703"/>
      <c r="T161" s="703"/>
      <c r="U161" s="703"/>
      <c r="V161" s="703"/>
      <c r="W161" s="703"/>
      <c r="X161" s="703"/>
      <c r="Y161" s="703"/>
      <c r="Z161" s="703"/>
    </row>
    <row r="162">
      <c r="A162" s="703"/>
      <c r="B162" s="703"/>
      <c r="C162" s="703"/>
      <c r="D162" s="703"/>
      <c r="E162" s="703"/>
      <c r="F162" s="703"/>
      <c r="G162" s="703"/>
      <c r="H162" s="703"/>
      <c r="I162" s="703"/>
      <c r="J162" s="703"/>
      <c r="K162" s="703"/>
      <c r="L162" s="703"/>
      <c r="M162" s="703"/>
      <c r="N162" s="703"/>
      <c r="O162" s="703"/>
      <c r="P162" s="703"/>
      <c r="Q162" s="703"/>
      <c r="R162" s="703"/>
      <c r="S162" s="703"/>
      <c r="T162" s="703"/>
      <c r="U162" s="703"/>
      <c r="V162" s="703"/>
      <c r="W162" s="703"/>
      <c r="X162" s="703"/>
      <c r="Y162" s="703"/>
      <c r="Z162" s="703"/>
    </row>
    <row r="163">
      <c r="A163" s="703"/>
      <c r="B163" s="703"/>
      <c r="C163" s="703"/>
      <c r="D163" s="703"/>
      <c r="E163" s="703"/>
      <c r="F163" s="703"/>
      <c r="G163" s="703"/>
      <c r="H163" s="703"/>
      <c r="I163" s="703"/>
      <c r="J163" s="703"/>
      <c r="K163" s="703"/>
      <c r="L163" s="703"/>
      <c r="M163" s="703"/>
      <c r="N163" s="703"/>
      <c r="O163" s="703"/>
      <c r="P163" s="703"/>
      <c r="Q163" s="703"/>
      <c r="R163" s="703"/>
      <c r="S163" s="703"/>
      <c r="T163" s="703"/>
      <c r="U163" s="703"/>
      <c r="V163" s="703"/>
      <c r="W163" s="703"/>
      <c r="X163" s="703"/>
      <c r="Y163" s="703"/>
      <c r="Z163" s="703"/>
    </row>
    <row r="164">
      <c r="A164" s="703"/>
      <c r="B164" s="703"/>
      <c r="C164" s="703"/>
      <c r="D164" s="703"/>
      <c r="E164" s="703"/>
      <c r="F164" s="703"/>
      <c r="G164" s="703"/>
      <c r="H164" s="703"/>
      <c r="I164" s="703"/>
      <c r="J164" s="703"/>
      <c r="K164" s="703"/>
      <c r="L164" s="703"/>
      <c r="M164" s="703"/>
      <c r="N164" s="703"/>
      <c r="O164" s="703"/>
      <c r="P164" s="703"/>
      <c r="Q164" s="703"/>
      <c r="R164" s="703"/>
      <c r="S164" s="703"/>
      <c r="T164" s="703"/>
      <c r="U164" s="703"/>
      <c r="V164" s="703"/>
      <c r="W164" s="703"/>
      <c r="X164" s="703"/>
      <c r="Y164" s="703"/>
      <c r="Z164" s="703"/>
    </row>
    <row r="165">
      <c r="A165" s="703"/>
      <c r="B165" s="703"/>
      <c r="C165" s="703"/>
      <c r="D165" s="703"/>
      <c r="E165" s="703"/>
      <c r="F165" s="703"/>
      <c r="G165" s="703"/>
      <c r="H165" s="703"/>
      <c r="I165" s="703"/>
      <c r="J165" s="703"/>
      <c r="K165" s="703"/>
      <c r="L165" s="703"/>
      <c r="M165" s="703"/>
      <c r="N165" s="703"/>
      <c r="O165" s="703"/>
      <c r="P165" s="703"/>
      <c r="Q165" s="703"/>
      <c r="R165" s="703"/>
      <c r="S165" s="703"/>
      <c r="T165" s="703"/>
      <c r="U165" s="703"/>
      <c r="V165" s="703"/>
      <c r="W165" s="703"/>
      <c r="X165" s="703"/>
      <c r="Y165" s="703"/>
      <c r="Z165" s="703"/>
    </row>
    <row r="166">
      <c r="A166" s="703"/>
      <c r="B166" s="703"/>
      <c r="C166" s="703"/>
      <c r="D166" s="703"/>
      <c r="E166" s="703"/>
      <c r="F166" s="703"/>
      <c r="G166" s="703"/>
      <c r="H166" s="703"/>
      <c r="I166" s="703"/>
      <c r="J166" s="703"/>
      <c r="K166" s="703"/>
      <c r="L166" s="703"/>
      <c r="M166" s="703"/>
      <c r="N166" s="703"/>
      <c r="O166" s="703"/>
      <c r="P166" s="703"/>
      <c r="Q166" s="703"/>
      <c r="R166" s="703"/>
      <c r="S166" s="703"/>
      <c r="T166" s="703"/>
      <c r="U166" s="703"/>
      <c r="V166" s="703"/>
      <c r="W166" s="703"/>
      <c r="X166" s="703"/>
      <c r="Y166" s="703"/>
      <c r="Z166" s="703"/>
    </row>
    <row r="167">
      <c r="A167" s="703"/>
      <c r="B167" s="703"/>
      <c r="C167" s="703"/>
      <c r="D167" s="703"/>
      <c r="E167" s="703"/>
      <c r="F167" s="703"/>
      <c r="G167" s="703"/>
      <c r="H167" s="703"/>
      <c r="I167" s="703"/>
      <c r="J167" s="703"/>
      <c r="K167" s="703"/>
      <c r="L167" s="703"/>
      <c r="M167" s="703"/>
      <c r="N167" s="703"/>
      <c r="O167" s="703"/>
      <c r="P167" s="703"/>
      <c r="Q167" s="703"/>
      <c r="R167" s="703"/>
      <c r="S167" s="703"/>
      <c r="T167" s="703"/>
      <c r="U167" s="703"/>
      <c r="V167" s="703"/>
      <c r="W167" s="703"/>
      <c r="X167" s="703"/>
      <c r="Y167" s="703"/>
      <c r="Z167" s="703"/>
    </row>
    <row r="168">
      <c r="A168" s="703"/>
      <c r="B168" s="703"/>
      <c r="C168" s="703"/>
      <c r="D168" s="703"/>
      <c r="E168" s="703"/>
      <c r="F168" s="703"/>
      <c r="G168" s="703"/>
      <c r="H168" s="703"/>
      <c r="I168" s="703"/>
      <c r="J168" s="703"/>
      <c r="K168" s="703"/>
      <c r="L168" s="703"/>
      <c r="M168" s="703"/>
      <c r="N168" s="703"/>
      <c r="O168" s="703"/>
      <c r="P168" s="703"/>
      <c r="Q168" s="703"/>
      <c r="R168" s="703"/>
      <c r="S168" s="703"/>
      <c r="T168" s="703"/>
      <c r="U168" s="703"/>
      <c r="V168" s="703"/>
      <c r="W168" s="703"/>
      <c r="X168" s="703"/>
      <c r="Y168" s="703"/>
      <c r="Z168" s="703"/>
    </row>
    <row r="169">
      <c r="A169" s="703"/>
      <c r="B169" s="703"/>
      <c r="C169" s="703"/>
      <c r="D169" s="703"/>
      <c r="E169" s="703"/>
      <c r="F169" s="703"/>
      <c r="G169" s="703"/>
      <c r="H169" s="703"/>
      <c r="I169" s="703"/>
      <c r="J169" s="703"/>
      <c r="K169" s="703"/>
      <c r="L169" s="703"/>
      <c r="M169" s="703"/>
      <c r="N169" s="703"/>
      <c r="O169" s="703"/>
      <c r="P169" s="703"/>
      <c r="Q169" s="703"/>
      <c r="R169" s="703"/>
      <c r="S169" s="703"/>
      <c r="T169" s="703"/>
      <c r="U169" s="703"/>
      <c r="V169" s="703"/>
      <c r="W169" s="703"/>
      <c r="X169" s="703"/>
      <c r="Y169" s="703"/>
      <c r="Z169" s="703"/>
    </row>
    <row r="170">
      <c r="A170" s="703"/>
      <c r="B170" s="703"/>
      <c r="C170" s="703"/>
      <c r="D170" s="703"/>
      <c r="E170" s="703"/>
      <c r="F170" s="703"/>
      <c r="G170" s="703"/>
      <c r="H170" s="703"/>
      <c r="I170" s="703"/>
      <c r="J170" s="703"/>
      <c r="K170" s="703"/>
      <c r="L170" s="703"/>
      <c r="M170" s="703"/>
      <c r="N170" s="703"/>
      <c r="O170" s="703"/>
      <c r="P170" s="703"/>
      <c r="Q170" s="703"/>
      <c r="R170" s="703"/>
      <c r="S170" s="703"/>
      <c r="T170" s="703"/>
      <c r="U170" s="703"/>
      <c r="V170" s="703"/>
      <c r="W170" s="703"/>
      <c r="X170" s="703"/>
      <c r="Y170" s="703"/>
      <c r="Z170" s="703"/>
    </row>
    <row r="171">
      <c r="A171" s="703"/>
      <c r="B171" s="703"/>
      <c r="C171" s="703"/>
      <c r="D171" s="703"/>
      <c r="E171" s="703"/>
      <c r="F171" s="703"/>
      <c r="G171" s="703"/>
      <c r="H171" s="703"/>
      <c r="I171" s="703"/>
      <c r="J171" s="703"/>
      <c r="K171" s="703"/>
      <c r="L171" s="703"/>
      <c r="M171" s="703"/>
      <c r="N171" s="703"/>
      <c r="O171" s="703"/>
      <c r="P171" s="703"/>
      <c r="Q171" s="703"/>
      <c r="R171" s="703"/>
      <c r="S171" s="703"/>
      <c r="T171" s="703"/>
      <c r="U171" s="703"/>
      <c r="V171" s="703"/>
      <c r="W171" s="703"/>
      <c r="X171" s="703"/>
      <c r="Y171" s="703"/>
      <c r="Z171" s="703"/>
    </row>
    <row r="172">
      <c r="A172" s="703"/>
      <c r="B172" s="703"/>
      <c r="C172" s="703"/>
      <c r="D172" s="703"/>
      <c r="E172" s="703"/>
      <c r="F172" s="703"/>
      <c r="G172" s="703"/>
      <c r="H172" s="703"/>
      <c r="I172" s="703"/>
      <c r="J172" s="703"/>
      <c r="K172" s="703"/>
      <c r="L172" s="703"/>
      <c r="M172" s="703"/>
      <c r="N172" s="703"/>
      <c r="O172" s="703"/>
      <c r="P172" s="703"/>
      <c r="Q172" s="703"/>
      <c r="R172" s="703"/>
      <c r="S172" s="703"/>
      <c r="T172" s="703"/>
      <c r="U172" s="703"/>
      <c r="V172" s="703"/>
      <c r="W172" s="703"/>
      <c r="X172" s="703"/>
      <c r="Y172" s="703"/>
      <c r="Z172" s="703"/>
    </row>
    <row r="173">
      <c r="A173" s="703"/>
      <c r="B173" s="703"/>
      <c r="C173" s="703"/>
      <c r="D173" s="703"/>
      <c r="E173" s="703"/>
      <c r="F173" s="703"/>
      <c r="G173" s="703"/>
      <c r="H173" s="703"/>
      <c r="I173" s="703"/>
      <c r="J173" s="703"/>
      <c r="K173" s="703"/>
      <c r="L173" s="703"/>
      <c r="M173" s="703"/>
      <c r="N173" s="703"/>
      <c r="O173" s="703"/>
      <c r="P173" s="703"/>
      <c r="Q173" s="703"/>
      <c r="R173" s="703"/>
      <c r="S173" s="703"/>
      <c r="T173" s="703"/>
      <c r="U173" s="703"/>
      <c r="V173" s="703"/>
      <c r="W173" s="703"/>
      <c r="X173" s="703"/>
      <c r="Y173" s="703"/>
      <c r="Z173" s="703"/>
    </row>
    <row r="174">
      <c r="A174" s="703"/>
      <c r="B174" s="703"/>
      <c r="C174" s="703"/>
      <c r="D174" s="703"/>
      <c r="E174" s="703"/>
      <c r="F174" s="703"/>
      <c r="G174" s="703"/>
      <c r="H174" s="703"/>
      <c r="I174" s="703"/>
      <c r="J174" s="703"/>
      <c r="K174" s="703"/>
      <c r="L174" s="703"/>
      <c r="M174" s="703"/>
      <c r="N174" s="703"/>
      <c r="O174" s="703"/>
      <c r="P174" s="703"/>
      <c r="Q174" s="703"/>
      <c r="R174" s="703"/>
      <c r="S174" s="703"/>
      <c r="T174" s="703"/>
      <c r="U174" s="703"/>
      <c r="V174" s="703"/>
      <c r="W174" s="703"/>
      <c r="X174" s="703"/>
      <c r="Y174" s="703"/>
      <c r="Z174" s="703"/>
    </row>
    <row r="175">
      <c r="A175" s="703"/>
      <c r="B175" s="703"/>
      <c r="C175" s="703"/>
      <c r="D175" s="703"/>
      <c r="E175" s="703"/>
      <c r="F175" s="703"/>
      <c r="G175" s="703"/>
      <c r="H175" s="703"/>
      <c r="I175" s="703"/>
      <c r="J175" s="703"/>
      <c r="K175" s="703"/>
      <c r="L175" s="703"/>
      <c r="M175" s="703"/>
      <c r="N175" s="703"/>
      <c r="O175" s="703"/>
      <c r="P175" s="703"/>
      <c r="Q175" s="703"/>
      <c r="R175" s="703"/>
      <c r="S175" s="703"/>
      <c r="T175" s="703"/>
      <c r="U175" s="703"/>
      <c r="V175" s="703"/>
      <c r="W175" s="703"/>
      <c r="X175" s="703"/>
      <c r="Y175" s="703"/>
      <c r="Z175" s="703"/>
    </row>
    <row r="176">
      <c r="A176" s="703"/>
      <c r="B176" s="703"/>
      <c r="C176" s="703"/>
      <c r="D176" s="703"/>
      <c r="E176" s="703"/>
      <c r="F176" s="703"/>
      <c r="G176" s="703"/>
      <c r="H176" s="703"/>
      <c r="I176" s="703"/>
      <c r="J176" s="703"/>
      <c r="K176" s="703"/>
      <c r="L176" s="703"/>
      <c r="M176" s="703"/>
      <c r="N176" s="703"/>
      <c r="O176" s="703"/>
      <c r="P176" s="703"/>
      <c r="Q176" s="703"/>
      <c r="R176" s="703"/>
      <c r="S176" s="703"/>
      <c r="T176" s="703"/>
      <c r="U176" s="703"/>
      <c r="V176" s="703"/>
      <c r="W176" s="703"/>
      <c r="X176" s="703"/>
      <c r="Y176" s="703"/>
      <c r="Z176" s="703"/>
    </row>
    <row r="177">
      <c r="A177" s="703"/>
      <c r="B177" s="703"/>
      <c r="C177" s="703"/>
      <c r="D177" s="703"/>
      <c r="E177" s="703"/>
      <c r="F177" s="703"/>
      <c r="G177" s="703"/>
      <c r="H177" s="703"/>
      <c r="I177" s="703"/>
      <c r="J177" s="703"/>
      <c r="K177" s="703"/>
      <c r="L177" s="703"/>
      <c r="M177" s="703"/>
      <c r="N177" s="703"/>
      <c r="O177" s="703"/>
      <c r="P177" s="703"/>
      <c r="Q177" s="703"/>
      <c r="R177" s="703"/>
      <c r="S177" s="703"/>
      <c r="T177" s="703"/>
      <c r="U177" s="703"/>
      <c r="V177" s="703"/>
      <c r="W177" s="703"/>
      <c r="X177" s="703"/>
      <c r="Y177" s="703"/>
      <c r="Z177" s="703"/>
    </row>
    <row r="178">
      <c r="A178" s="703"/>
      <c r="B178" s="703"/>
      <c r="C178" s="703"/>
      <c r="D178" s="703"/>
      <c r="E178" s="703"/>
      <c r="F178" s="703"/>
      <c r="G178" s="703"/>
      <c r="H178" s="703"/>
      <c r="I178" s="703"/>
      <c r="J178" s="703"/>
      <c r="K178" s="703"/>
      <c r="L178" s="703"/>
      <c r="M178" s="703"/>
      <c r="N178" s="703"/>
      <c r="O178" s="703"/>
      <c r="P178" s="703"/>
      <c r="Q178" s="703"/>
      <c r="R178" s="703"/>
      <c r="S178" s="703"/>
      <c r="T178" s="703"/>
      <c r="U178" s="703"/>
      <c r="V178" s="703"/>
      <c r="W178" s="703"/>
      <c r="X178" s="703"/>
      <c r="Y178" s="703"/>
      <c r="Z178" s="703"/>
    </row>
    <row r="179">
      <c r="A179" s="703"/>
      <c r="B179" s="703"/>
      <c r="C179" s="703"/>
      <c r="D179" s="703"/>
      <c r="E179" s="703"/>
      <c r="F179" s="703"/>
      <c r="G179" s="703"/>
      <c r="H179" s="703"/>
      <c r="I179" s="703"/>
      <c r="J179" s="703"/>
      <c r="K179" s="703"/>
      <c r="L179" s="703"/>
      <c r="M179" s="703"/>
      <c r="N179" s="703"/>
      <c r="O179" s="703"/>
      <c r="P179" s="703"/>
      <c r="Q179" s="703"/>
      <c r="R179" s="703"/>
      <c r="S179" s="703"/>
      <c r="T179" s="703"/>
      <c r="U179" s="703"/>
      <c r="V179" s="703"/>
      <c r="W179" s="703"/>
      <c r="X179" s="703"/>
      <c r="Y179" s="703"/>
      <c r="Z179" s="703"/>
    </row>
    <row r="180">
      <c r="A180" s="703"/>
      <c r="B180" s="703"/>
      <c r="C180" s="703"/>
      <c r="D180" s="703"/>
      <c r="E180" s="703"/>
      <c r="F180" s="703"/>
      <c r="G180" s="703"/>
      <c r="H180" s="703"/>
      <c r="I180" s="703"/>
      <c r="J180" s="703"/>
      <c r="K180" s="703"/>
      <c r="L180" s="703"/>
      <c r="M180" s="703"/>
      <c r="N180" s="703"/>
      <c r="O180" s="703"/>
      <c r="P180" s="703"/>
      <c r="Q180" s="703"/>
      <c r="R180" s="703"/>
      <c r="S180" s="703"/>
      <c r="T180" s="703"/>
      <c r="U180" s="703"/>
      <c r="V180" s="703"/>
      <c r="W180" s="703"/>
      <c r="X180" s="703"/>
      <c r="Y180" s="703"/>
      <c r="Z180" s="703"/>
    </row>
    <row r="181">
      <c r="A181" s="703"/>
      <c r="B181" s="703"/>
      <c r="C181" s="703"/>
      <c r="D181" s="703"/>
      <c r="E181" s="703"/>
      <c r="F181" s="703"/>
      <c r="G181" s="703"/>
      <c r="H181" s="703"/>
      <c r="I181" s="703"/>
      <c r="J181" s="703"/>
      <c r="K181" s="703"/>
      <c r="L181" s="703"/>
      <c r="M181" s="703"/>
      <c r="N181" s="703"/>
      <c r="O181" s="703"/>
      <c r="P181" s="703"/>
      <c r="Q181" s="703"/>
      <c r="R181" s="703"/>
      <c r="S181" s="703"/>
      <c r="T181" s="703"/>
      <c r="U181" s="703"/>
      <c r="V181" s="703"/>
      <c r="W181" s="703"/>
      <c r="X181" s="703"/>
      <c r="Y181" s="703"/>
      <c r="Z181" s="703"/>
    </row>
    <row r="182">
      <c r="A182" s="703"/>
      <c r="B182" s="703"/>
      <c r="C182" s="703"/>
      <c r="D182" s="703"/>
      <c r="E182" s="703"/>
      <c r="F182" s="703"/>
      <c r="G182" s="703"/>
      <c r="H182" s="703"/>
      <c r="I182" s="703"/>
      <c r="J182" s="703"/>
      <c r="K182" s="703"/>
      <c r="L182" s="703"/>
      <c r="M182" s="703"/>
      <c r="N182" s="703"/>
      <c r="O182" s="703"/>
      <c r="P182" s="703"/>
      <c r="Q182" s="703"/>
      <c r="R182" s="703"/>
      <c r="S182" s="703"/>
      <c r="T182" s="703"/>
      <c r="U182" s="703"/>
      <c r="V182" s="703"/>
      <c r="W182" s="703"/>
      <c r="X182" s="703"/>
      <c r="Y182" s="703"/>
      <c r="Z182" s="703"/>
    </row>
    <row r="183">
      <c r="A183" s="703"/>
      <c r="B183" s="703"/>
      <c r="C183" s="703"/>
      <c r="D183" s="703"/>
      <c r="E183" s="703"/>
      <c r="F183" s="703"/>
      <c r="G183" s="703"/>
      <c r="H183" s="703"/>
      <c r="I183" s="703"/>
      <c r="J183" s="703"/>
      <c r="K183" s="703"/>
      <c r="L183" s="703"/>
      <c r="M183" s="703"/>
      <c r="N183" s="703"/>
      <c r="O183" s="703"/>
      <c r="P183" s="703"/>
      <c r="Q183" s="703"/>
      <c r="R183" s="703"/>
      <c r="S183" s="703"/>
      <c r="T183" s="703"/>
      <c r="U183" s="703"/>
      <c r="V183" s="703"/>
      <c r="W183" s="703"/>
      <c r="X183" s="703"/>
      <c r="Y183" s="703"/>
      <c r="Z183" s="703"/>
    </row>
    <row r="184">
      <c r="A184" s="703"/>
      <c r="B184" s="703"/>
      <c r="C184" s="703"/>
      <c r="D184" s="703"/>
      <c r="E184" s="703"/>
      <c r="F184" s="703"/>
      <c r="G184" s="703"/>
      <c r="H184" s="703"/>
      <c r="I184" s="703"/>
      <c r="J184" s="703"/>
      <c r="K184" s="703"/>
      <c r="L184" s="703"/>
      <c r="M184" s="703"/>
      <c r="N184" s="703"/>
      <c r="O184" s="703"/>
      <c r="P184" s="703"/>
      <c r="Q184" s="703"/>
      <c r="R184" s="703"/>
      <c r="S184" s="703"/>
      <c r="T184" s="703"/>
      <c r="U184" s="703"/>
      <c r="V184" s="703"/>
      <c r="W184" s="703"/>
      <c r="X184" s="703"/>
      <c r="Y184" s="703"/>
      <c r="Z184" s="703"/>
    </row>
    <row r="185">
      <c r="A185" s="703"/>
      <c r="B185" s="703"/>
      <c r="C185" s="703"/>
      <c r="D185" s="703"/>
      <c r="E185" s="703"/>
      <c r="F185" s="703"/>
      <c r="G185" s="703"/>
      <c r="H185" s="703"/>
      <c r="I185" s="703"/>
      <c r="J185" s="703"/>
      <c r="K185" s="703"/>
      <c r="L185" s="703"/>
      <c r="M185" s="703"/>
      <c r="N185" s="703"/>
      <c r="O185" s="703"/>
      <c r="P185" s="703"/>
      <c r="Q185" s="703"/>
      <c r="R185" s="703"/>
      <c r="S185" s="703"/>
      <c r="T185" s="703"/>
      <c r="U185" s="703"/>
      <c r="V185" s="703"/>
      <c r="W185" s="703"/>
      <c r="X185" s="703"/>
      <c r="Y185" s="703"/>
      <c r="Z185" s="703"/>
    </row>
    <row r="186">
      <c r="A186" s="703"/>
      <c r="B186" s="703"/>
      <c r="C186" s="703"/>
      <c r="D186" s="703"/>
      <c r="E186" s="703"/>
      <c r="F186" s="703"/>
      <c r="G186" s="703"/>
      <c r="H186" s="703"/>
      <c r="I186" s="703"/>
      <c r="J186" s="703"/>
      <c r="K186" s="703"/>
      <c r="L186" s="703"/>
      <c r="M186" s="703"/>
      <c r="N186" s="703"/>
      <c r="O186" s="703"/>
      <c r="P186" s="703"/>
      <c r="Q186" s="703"/>
      <c r="R186" s="703"/>
      <c r="S186" s="703"/>
      <c r="T186" s="703"/>
      <c r="U186" s="703"/>
      <c r="V186" s="703"/>
      <c r="W186" s="703"/>
      <c r="X186" s="703"/>
      <c r="Y186" s="703"/>
      <c r="Z186" s="703"/>
    </row>
    <row r="187">
      <c r="A187" s="703"/>
      <c r="B187" s="703"/>
      <c r="C187" s="703"/>
      <c r="D187" s="703"/>
      <c r="E187" s="703"/>
      <c r="F187" s="703"/>
      <c r="G187" s="703"/>
      <c r="H187" s="703"/>
      <c r="I187" s="703"/>
      <c r="J187" s="703"/>
      <c r="K187" s="703"/>
      <c r="L187" s="703"/>
      <c r="M187" s="703"/>
      <c r="N187" s="703"/>
      <c r="O187" s="703"/>
      <c r="P187" s="703"/>
      <c r="Q187" s="703"/>
      <c r="R187" s="703"/>
      <c r="S187" s="703"/>
      <c r="T187" s="703"/>
      <c r="U187" s="703"/>
      <c r="V187" s="703"/>
      <c r="W187" s="703"/>
      <c r="X187" s="703"/>
      <c r="Y187" s="703"/>
      <c r="Z187" s="703"/>
    </row>
    <row r="188">
      <c r="A188" s="703"/>
      <c r="B188" s="703"/>
      <c r="C188" s="703"/>
      <c r="D188" s="703"/>
      <c r="E188" s="703"/>
      <c r="F188" s="703"/>
      <c r="G188" s="703"/>
      <c r="H188" s="703"/>
      <c r="I188" s="703"/>
      <c r="J188" s="703"/>
      <c r="K188" s="703"/>
      <c r="L188" s="703"/>
      <c r="M188" s="703"/>
      <c r="N188" s="703"/>
      <c r="O188" s="703"/>
      <c r="P188" s="703"/>
      <c r="Q188" s="703"/>
      <c r="R188" s="703"/>
      <c r="S188" s="703"/>
      <c r="T188" s="703"/>
      <c r="U188" s="703"/>
      <c r="V188" s="703"/>
      <c r="W188" s="703"/>
      <c r="X188" s="703"/>
      <c r="Y188" s="703"/>
      <c r="Z188" s="703"/>
    </row>
    <row r="189">
      <c r="A189" s="703"/>
      <c r="B189" s="703"/>
      <c r="C189" s="703"/>
      <c r="D189" s="703"/>
      <c r="E189" s="703"/>
      <c r="F189" s="703"/>
      <c r="G189" s="703"/>
      <c r="H189" s="703"/>
      <c r="I189" s="703"/>
      <c r="J189" s="703"/>
      <c r="K189" s="703"/>
      <c r="L189" s="703"/>
      <c r="M189" s="703"/>
      <c r="N189" s="703"/>
      <c r="O189" s="703"/>
      <c r="P189" s="703"/>
      <c r="Q189" s="703"/>
      <c r="R189" s="703"/>
      <c r="S189" s="703"/>
      <c r="T189" s="703"/>
      <c r="U189" s="703"/>
      <c r="V189" s="703"/>
      <c r="W189" s="703"/>
      <c r="X189" s="703"/>
      <c r="Y189" s="703"/>
      <c r="Z189" s="703"/>
    </row>
    <row r="190">
      <c r="A190" s="703"/>
      <c r="B190" s="703"/>
      <c r="C190" s="703"/>
      <c r="D190" s="703"/>
      <c r="E190" s="703"/>
      <c r="F190" s="703"/>
      <c r="G190" s="703"/>
      <c r="H190" s="703"/>
      <c r="I190" s="703"/>
      <c r="J190" s="703"/>
      <c r="K190" s="703"/>
      <c r="L190" s="703"/>
      <c r="M190" s="703"/>
      <c r="N190" s="703"/>
      <c r="O190" s="703"/>
      <c r="P190" s="703"/>
      <c r="Q190" s="703"/>
      <c r="R190" s="703"/>
      <c r="S190" s="703"/>
      <c r="T190" s="703"/>
      <c r="U190" s="703"/>
      <c r="V190" s="703"/>
      <c r="W190" s="703"/>
      <c r="X190" s="703"/>
      <c r="Y190" s="703"/>
      <c r="Z190" s="703"/>
    </row>
    <row r="191">
      <c r="A191" s="703"/>
      <c r="B191" s="703"/>
      <c r="C191" s="703"/>
      <c r="D191" s="703"/>
      <c r="E191" s="703"/>
      <c r="F191" s="703"/>
      <c r="G191" s="703"/>
      <c r="H191" s="703"/>
      <c r="I191" s="703"/>
      <c r="J191" s="703"/>
      <c r="K191" s="703"/>
      <c r="L191" s="703"/>
      <c r="M191" s="703"/>
      <c r="N191" s="703"/>
      <c r="O191" s="703"/>
      <c r="P191" s="703"/>
      <c r="Q191" s="703"/>
      <c r="R191" s="703"/>
      <c r="S191" s="703"/>
      <c r="T191" s="703"/>
      <c r="U191" s="703"/>
      <c r="V191" s="703"/>
      <c r="W191" s="703"/>
      <c r="X191" s="703"/>
      <c r="Y191" s="703"/>
      <c r="Z191" s="703"/>
    </row>
    <row r="192">
      <c r="A192" s="703"/>
      <c r="B192" s="703"/>
      <c r="C192" s="703"/>
      <c r="D192" s="703"/>
      <c r="E192" s="703"/>
      <c r="F192" s="703"/>
      <c r="G192" s="703"/>
      <c r="H192" s="703"/>
      <c r="I192" s="703"/>
      <c r="J192" s="703"/>
      <c r="K192" s="703"/>
      <c r="L192" s="703"/>
      <c r="M192" s="703"/>
      <c r="N192" s="703"/>
      <c r="O192" s="703"/>
      <c r="P192" s="703"/>
      <c r="Q192" s="703"/>
      <c r="R192" s="703"/>
      <c r="S192" s="703"/>
      <c r="T192" s="703"/>
      <c r="U192" s="703"/>
      <c r="V192" s="703"/>
      <c r="W192" s="703"/>
      <c r="X192" s="703"/>
      <c r="Y192" s="703"/>
      <c r="Z192" s="703"/>
    </row>
    <row r="193">
      <c r="A193" s="703"/>
      <c r="B193" s="703"/>
      <c r="C193" s="703"/>
      <c r="D193" s="703"/>
      <c r="E193" s="703"/>
      <c r="F193" s="703"/>
      <c r="G193" s="703"/>
      <c r="H193" s="703"/>
      <c r="I193" s="703"/>
      <c r="J193" s="703"/>
      <c r="K193" s="703"/>
      <c r="L193" s="703"/>
      <c r="M193" s="703"/>
      <c r="N193" s="703"/>
      <c r="O193" s="703"/>
      <c r="P193" s="703"/>
      <c r="Q193" s="703"/>
      <c r="R193" s="703"/>
      <c r="S193" s="703"/>
      <c r="T193" s="703"/>
      <c r="U193" s="703"/>
      <c r="V193" s="703"/>
      <c r="W193" s="703"/>
      <c r="X193" s="703"/>
      <c r="Y193" s="703"/>
      <c r="Z193" s="703"/>
    </row>
    <row r="194">
      <c r="A194" s="703"/>
      <c r="B194" s="703"/>
      <c r="C194" s="703"/>
      <c r="D194" s="703"/>
      <c r="E194" s="703"/>
      <c r="F194" s="703"/>
      <c r="G194" s="703"/>
      <c r="H194" s="703"/>
      <c r="I194" s="703"/>
      <c r="J194" s="703"/>
      <c r="K194" s="703"/>
      <c r="L194" s="703"/>
      <c r="M194" s="703"/>
      <c r="N194" s="703"/>
      <c r="O194" s="703"/>
      <c r="P194" s="703"/>
      <c r="Q194" s="703"/>
      <c r="R194" s="703"/>
      <c r="S194" s="703"/>
      <c r="T194" s="703"/>
      <c r="U194" s="703"/>
      <c r="V194" s="703"/>
      <c r="W194" s="703"/>
      <c r="X194" s="703"/>
      <c r="Y194" s="703"/>
      <c r="Z194" s="703"/>
    </row>
    <row r="195">
      <c r="A195" s="703"/>
      <c r="B195" s="703"/>
      <c r="C195" s="703"/>
      <c r="D195" s="703"/>
      <c r="E195" s="703"/>
      <c r="F195" s="703"/>
      <c r="G195" s="703"/>
      <c r="H195" s="703"/>
      <c r="I195" s="703"/>
      <c r="J195" s="703"/>
      <c r="K195" s="703"/>
      <c r="L195" s="703"/>
      <c r="M195" s="703"/>
      <c r="N195" s="703"/>
      <c r="O195" s="703"/>
      <c r="P195" s="703"/>
      <c r="Q195" s="703"/>
      <c r="R195" s="703"/>
      <c r="S195" s="703"/>
      <c r="T195" s="703"/>
      <c r="U195" s="703"/>
      <c r="V195" s="703"/>
      <c r="W195" s="703"/>
      <c r="X195" s="703"/>
      <c r="Y195" s="703"/>
      <c r="Z195" s="703"/>
    </row>
    <row r="196">
      <c r="A196" s="703"/>
      <c r="B196" s="703"/>
      <c r="C196" s="703"/>
      <c r="D196" s="703"/>
      <c r="E196" s="703"/>
      <c r="F196" s="703"/>
      <c r="G196" s="703"/>
      <c r="H196" s="703"/>
      <c r="I196" s="703"/>
      <c r="J196" s="703"/>
      <c r="K196" s="703"/>
      <c r="L196" s="703"/>
      <c r="M196" s="703"/>
      <c r="N196" s="703"/>
      <c r="O196" s="703"/>
      <c r="P196" s="703"/>
      <c r="Q196" s="703"/>
      <c r="R196" s="703"/>
      <c r="S196" s="703"/>
      <c r="T196" s="703"/>
      <c r="U196" s="703"/>
      <c r="V196" s="703"/>
      <c r="W196" s="703"/>
      <c r="X196" s="703"/>
      <c r="Y196" s="703"/>
      <c r="Z196" s="703"/>
    </row>
    <row r="197">
      <c r="A197" s="703"/>
      <c r="B197" s="703"/>
      <c r="C197" s="703"/>
      <c r="D197" s="703"/>
      <c r="E197" s="703"/>
      <c r="F197" s="703"/>
      <c r="G197" s="703"/>
      <c r="H197" s="703"/>
      <c r="I197" s="703"/>
      <c r="J197" s="703"/>
      <c r="K197" s="703"/>
      <c r="L197" s="703"/>
      <c r="M197" s="703"/>
      <c r="N197" s="703"/>
      <c r="O197" s="703"/>
      <c r="P197" s="703"/>
      <c r="Q197" s="703"/>
      <c r="R197" s="703"/>
      <c r="S197" s="703"/>
      <c r="T197" s="703"/>
      <c r="U197" s="703"/>
      <c r="V197" s="703"/>
      <c r="W197" s="703"/>
      <c r="X197" s="703"/>
      <c r="Y197" s="703"/>
      <c r="Z197" s="703"/>
    </row>
    <row r="198">
      <c r="A198" s="703"/>
      <c r="B198" s="703"/>
      <c r="C198" s="703"/>
      <c r="D198" s="703"/>
      <c r="E198" s="703"/>
      <c r="F198" s="703"/>
      <c r="G198" s="703"/>
      <c r="H198" s="703"/>
      <c r="I198" s="703"/>
      <c r="J198" s="703"/>
      <c r="K198" s="703"/>
      <c r="L198" s="703"/>
      <c r="M198" s="703"/>
      <c r="N198" s="703"/>
      <c r="O198" s="703"/>
      <c r="P198" s="703"/>
      <c r="Q198" s="703"/>
      <c r="R198" s="703"/>
      <c r="S198" s="703"/>
      <c r="T198" s="703"/>
      <c r="U198" s="703"/>
      <c r="V198" s="703"/>
      <c r="W198" s="703"/>
      <c r="X198" s="703"/>
      <c r="Y198" s="703"/>
      <c r="Z198" s="703"/>
    </row>
    <row r="199">
      <c r="A199" s="703"/>
      <c r="B199" s="703"/>
      <c r="C199" s="703"/>
      <c r="D199" s="703"/>
      <c r="E199" s="703"/>
      <c r="F199" s="703"/>
      <c r="G199" s="703"/>
      <c r="H199" s="703"/>
      <c r="I199" s="703"/>
      <c r="J199" s="703"/>
      <c r="K199" s="703"/>
      <c r="L199" s="703"/>
      <c r="M199" s="703"/>
      <c r="N199" s="703"/>
      <c r="O199" s="703"/>
      <c r="P199" s="703"/>
      <c r="Q199" s="703"/>
      <c r="R199" s="703"/>
      <c r="S199" s="703"/>
      <c r="T199" s="703"/>
      <c r="U199" s="703"/>
      <c r="V199" s="703"/>
      <c r="W199" s="703"/>
      <c r="X199" s="703"/>
      <c r="Y199" s="703"/>
      <c r="Z199" s="703"/>
    </row>
    <row r="200">
      <c r="A200" s="703"/>
      <c r="B200" s="703"/>
      <c r="C200" s="703"/>
      <c r="D200" s="703"/>
      <c r="E200" s="703"/>
      <c r="F200" s="703"/>
      <c r="G200" s="703"/>
      <c r="H200" s="703"/>
      <c r="I200" s="703"/>
      <c r="J200" s="703"/>
      <c r="K200" s="703"/>
      <c r="L200" s="703"/>
      <c r="M200" s="703"/>
      <c r="N200" s="703"/>
      <c r="O200" s="703"/>
      <c r="P200" s="703"/>
      <c r="Q200" s="703"/>
      <c r="R200" s="703"/>
      <c r="S200" s="703"/>
      <c r="T200" s="703"/>
      <c r="U200" s="703"/>
      <c r="V200" s="703"/>
      <c r="W200" s="703"/>
      <c r="X200" s="703"/>
      <c r="Y200" s="703"/>
      <c r="Z200" s="703"/>
    </row>
    <row r="201">
      <c r="A201" s="703"/>
      <c r="B201" s="703"/>
      <c r="C201" s="703"/>
      <c r="D201" s="703"/>
      <c r="E201" s="703"/>
      <c r="F201" s="703"/>
      <c r="G201" s="703"/>
      <c r="H201" s="703"/>
      <c r="I201" s="703"/>
      <c r="J201" s="703"/>
      <c r="K201" s="703"/>
      <c r="L201" s="703"/>
      <c r="M201" s="703"/>
      <c r="N201" s="703"/>
      <c r="O201" s="703"/>
      <c r="P201" s="703"/>
      <c r="Q201" s="703"/>
      <c r="R201" s="703"/>
      <c r="S201" s="703"/>
      <c r="T201" s="703"/>
      <c r="U201" s="703"/>
      <c r="V201" s="703"/>
      <c r="W201" s="703"/>
      <c r="X201" s="703"/>
      <c r="Y201" s="703"/>
      <c r="Z201" s="703"/>
    </row>
    <row r="202">
      <c r="A202" s="703"/>
      <c r="B202" s="703"/>
      <c r="C202" s="703"/>
      <c r="D202" s="703"/>
      <c r="E202" s="703"/>
      <c r="F202" s="703"/>
      <c r="G202" s="703"/>
      <c r="H202" s="703"/>
      <c r="I202" s="703"/>
      <c r="J202" s="703"/>
      <c r="K202" s="703"/>
      <c r="L202" s="703"/>
      <c r="M202" s="703"/>
      <c r="N202" s="703"/>
      <c r="O202" s="703"/>
      <c r="P202" s="703"/>
      <c r="Q202" s="703"/>
      <c r="R202" s="703"/>
      <c r="S202" s="703"/>
      <c r="T202" s="703"/>
      <c r="U202" s="703"/>
      <c r="V202" s="703"/>
      <c r="W202" s="703"/>
      <c r="X202" s="703"/>
      <c r="Y202" s="703"/>
      <c r="Z202" s="703"/>
    </row>
    <row r="203">
      <c r="A203" s="703"/>
      <c r="B203" s="703"/>
      <c r="C203" s="703"/>
      <c r="D203" s="703"/>
      <c r="E203" s="703"/>
      <c r="F203" s="703"/>
      <c r="G203" s="703"/>
      <c r="H203" s="703"/>
      <c r="I203" s="703"/>
      <c r="J203" s="703"/>
      <c r="K203" s="703"/>
      <c r="L203" s="703"/>
      <c r="M203" s="703"/>
      <c r="N203" s="703"/>
      <c r="O203" s="703"/>
      <c r="P203" s="703"/>
      <c r="Q203" s="703"/>
      <c r="R203" s="703"/>
      <c r="S203" s="703"/>
      <c r="T203" s="703"/>
      <c r="U203" s="703"/>
      <c r="V203" s="703"/>
      <c r="W203" s="703"/>
      <c r="X203" s="703"/>
      <c r="Y203" s="703"/>
      <c r="Z203" s="703"/>
    </row>
    <row r="204">
      <c r="A204" s="703"/>
      <c r="B204" s="703"/>
      <c r="C204" s="703"/>
      <c r="D204" s="703"/>
      <c r="E204" s="703"/>
      <c r="F204" s="703"/>
      <c r="G204" s="703"/>
      <c r="H204" s="703"/>
      <c r="I204" s="703"/>
      <c r="J204" s="703"/>
      <c r="K204" s="703"/>
      <c r="L204" s="703"/>
      <c r="M204" s="703"/>
      <c r="N204" s="703"/>
      <c r="O204" s="703"/>
      <c r="P204" s="703"/>
      <c r="Q204" s="703"/>
      <c r="R204" s="703"/>
      <c r="S204" s="703"/>
      <c r="T204" s="703"/>
      <c r="U204" s="703"/>
      <c r="V204" s="703"/>
      <c r="W204" s="703"/>
      <c r="X204" s="703"/>
      <c r="Y204" s="703"/>
      <c r="Z204" s="703"/>
    </row>
    <row r="205">
      <c r="A205" s="703"/>
      <c r="B205" s="703"/>
      <c r="C205" s="703"/>
      <c r="D205" s="703"/>
      <c r="E205" s="703"/>
      <c r="F205" s="703"/>
      <c r="G205" s="703"/>
      <c r="H205" s="703"/>
      <c r="I205" s="703"/>
      <c r="J205" s="703"/>
      <c r="K205" s="703"/>
      <c r="L205" s="703"/>
      <c r="M205" s="703"/>
      <c r="N205" s="703"/>
      <c r="O205" s="703"/>
      <c r="P205" s="703"/>
      <c r="Q205" s="703"/>
      <c r="R205" s="703"/>
      <c r="S205" s="703"/>
      <c r="T205" s="703"/>
      <c r="U205" s="703"/>
      <c r="V205" s="703"/>
      <c r="W205" s="703"/>
      <c r="X205" s="703"/>
      <c r="Y205" s="703"/>
      <c r="Z205" s="703"/>
    </row>
    <row r="206">
      <c r="A206" s="703"/>
      <c r="B206" s="703"/>
      <c r="C206" s="703"/>
      <c r="D206" s="703"/>
      <c r="E206" s="703"/>
      <c r="F206" s="703"/>
      <c r="G206" s="703"/>
      <c r="H206" s="703"/>
      <c r="I206" s="703"/>
      <c r="J206" s="703"/>
      <c r="K206" s="703"/>
      <c r="L206" s="703"/>
      <c r="M206" s="703"/>
      <c r="N206" s="703"/>
      <c r="O206" s="703"/>
      <c r="P206" s="703"/>
      <c r="Q206" s="703"/>
      <c r="R206" s="703"/>
      <c r="S206" s="703"/>
      <c r="T206" s="703"/>
      <c r="U206" s="703"/>
      <c r="V206" s="703"/>
      <c r="W206" s="703"/>
      <c r="X206" s="703"/>
      <c r="Y206" s="703"/>
      <c r="Z206" s="703"/>
    </row>
    <row r="207">
      <c r="A207" s="703"/>
      <c r="B207" s="703"/>
      <c r="C207" s="703"/>
      <c r="D207" s="703"/>
      <c r="E207" s="703"/>
      <c r="F207" s="703"/>
      <c r="G207" s="703"/>
      <c r="H207" s="703"/>
      <c r="I207" s="703"/>
      <c r="J207" s="703"/>
      <c r="K207" s="703"/>
      <c r="L207" s="703"/>
      <c r="M207" s="703"/>
      <c r="N207" s="703"/>
      <c r="O207" s="703"/>
      <c r="P207" s="703"/>
      <c r="Q207" s="703"/>
      <c r="R207" s="703"/>
      <c r="S207" s="703"/>
      <c r="T207" s="703"/>
      <c r="U207" s="703"/>
      <c r="V207" s="703"/>
      <c r="W207" s="703"/>
      <c r="X207" s="703"/>
      <c r="Y207" s="703"/>
      <c r="Z207" s="703"/>
    </row>
    <row r="208">
      <c r="A208" s="703"/>
      <c r="B208" s="703"/>
      <c r="C208" s="703"/>
      <c r="D208" s="703"/>
      <c r="E208" s="703"/>
      <c r="F208" s="703"/>
      <c r="G208" s="703"/>
      <c r="H208" s="703"/>
      <c r="I208" s="703"/>
      <c r="J208" s="703"/>
      <c r="K208" s="703"/>
      <c r="L208" s="703"/>
      <c r="M208" s="703"/>
      <c r="N208" s="703"/>
      <c r="O208" s="703"/>
      <c r="P208" s="703"/>
      <c r="Q208" s="703"/>
      <c r="R208" s="703"/>
      <c r="S208" s="703"/>
      <c r="T208" s="703"/>
      <c r="U208" s="703"/>
      <c r="V208" s="703"/>
      <c r="W208" s="703"/>
      <c r="X208" s="703"/>
      <c r="Y208" s="703"/>
      <c r="Z208" s="703"/>
    </row>
    <row r="209">
      <c r="A209" s="703"/>
      <c r="B209" s="703"/>
      <c r="C209" s="703"/>
      <c r="D209" s="703"/>
      <c r="E209" s="703"/>
      <c r="F209" s="703"/>
      <c r="G209" s="703"/>
      <c r="H209" s="703"/>
      <c r="I209" s="703"/>
      <c r="J209" s="703"/>
      <c r="K209" s="703"/>
      <c r="L209" s="703"/>
      <c r="M209" s="703"/>
      <c r="N209" s="703"/>
      <c r="O209" s="703"/>
      <c r="P209" s="703"/>
      <c r="Q209" s="703"/>
      <c r="R209" s="703"/>
      <c r="S209" s="703"/>
      <c r="T209" s="703"/>
      <c r="U209" s="703"/>
      <c r="V209" s="703"/>
      <c r="W209" s="703"/>
      <c r="X209" s="703"/>
      <c r="Y209" s="703"/>
      <c r="Z209" s="703"/>
    </row>
    <row r="210">
      <c r="A210" s="703"/>
      <c r="B210" s="703"/>
      <c r="C210" s="703"/>
      <c r="D210" s="703"/>
      <c r="E210" s="703"/>
      <c r="F210" s="703"/>
      <c r="G210" s="703"/>
      <c r="H210" s="703"/>
      <c r="I210" s="703"/>
      <c r="J210" s="703"/>
      <c r="K210" s="703"/>
      <c r="L210" s="703"/>
      <c r="M210" s="703"/>
      <c r="N210" s="703"/>
      <c r="O210" s="703"/>
      <c r="P210" s="703"/>
      <c r="Q210" s="703"/>
      <c r="R210" s="703"/>
      <c r="S210" s="703"/>
      <c r="T210" s="703"/>
      <c r="U210" s="703"/>
      <c r="V210" s="703"/>
      <c r="W210" s="703"/>
      <c r="X210" s="703"/>
      <c r="Y210" s="703"/>
      <c r="Z210" s="703"/>
    </row>
    <row r="211">
      <c r="A211" s="703"/>
      <c r="B211" s="703"/>
      <c r="C211" s="703"/>
      <c r="D211" s="703"/>
      <c r="E211" s="703"/>
      <c r="F211" s="703"/>
      <c r="G211" s="703"/>
      <c r="H211" s="703"/>
      <c r="I211" s="703"/>
      <c r="J211" s="703"/>
      <c r="K211" s="703"/>
      <c r="L211" s="703"/>
      <c r="M211" s="703"/>
      <c r="N211" s="703"/>
      <c r="O211" s="703"/>
      <c r="P211" s="703"/>
      <c r="Q211" s="703"/>
      <c r="R211" s="703"/>
      <c r="S211" s="703"/>
      <c r="T211" s="703"/>
      <c r="U211" s="703"/>
      <c r="V211" s="703"/>
      <c r="W211" s="703"/>
      <c r="X211" s="703"/>
      <c r="Y211" s="703"/>
      <c r="Z211" s="703"/>
    </row>
    <row r="212">
      <c r="A212" s="703"/>
      <c r="B212" s="703"/>
      <c r="C212" s="703"/>
      <c r="D212" s="703"/>
      <c r="E212" s="703"/>
      <c r="F212" s="703"/>
      <c r="G212" s="703"/>
      <c r="H212" s="703"/>
      <c r="I212" s="703"/>
      <c r="J212" s="703"/>
      <c r="K212" s="703"/>
      <c r="L212" s="703"/>
      <c r="M212" s="703"/>
      <c r="N212" s="703"/>
      <c r="O212" s="703"/>
      <c r="P212" s="703"/>
      <c r="Q212" s="703"/>
      <c r="R212" s="703"/>
      <c r="S212" s="703"/>
      <c r="T212" s="703"/>
      <c r="U212" s="703"/>
      <c r="V212" s="703"/>
      <c r="W212" s="703"/>
      <c r="X212" s="703"/>
      <c r="Y212" s="703"/>
      <c r="Z212" s="703"/>
    </row>
    <row r="213">
      <c r="A213" s="703"/>
      <c r="B213" s="703"/>
      <c r="C213" s="703"/>
      <c r="D213" s="703"/>
      <c r="E213" s="703"/>
      <c r="F213" s="703"/>
      <c r="G213" s="703"/>
      <c r="H213" s="703"/>
      <c r="I213" s="703"/>
      <c r="J213" s="703"/>
      <c r="K213" s="703"/>
      <c r="L213" s="703"/>
      <c r="M213" s="703"/>
      <c r="N213" s="703"/>
      <c r="O213" s="703"/>
      <c r="P213" s="703"/>
      <c r="Q213" s="703"/>
      <c r="R213" s="703"/>
      <c r="S213" s="703"/>
      <c r="T213" s="703"/>
      <c r="U213" s="703"/>
      <c r="V213" s="703"/>
      <c r="W213" s="703"/>
      <c r="X213" s="703"/>
      <c r="Y213" s="703"/>
      <c r="Z213" s="703"/>
    </row>
    <row r="214">
      <c r="A214" s="703"/>
      <c r="B214" s="703"/>
      <c r="C214" s="703"/>
      <c r="D214" s="703"/>
      <c r="E214" s="703"/>
      <c r="F214" s="703"/>
      <c r="G214" s="703"/>
      <c r="H214" s="703"/>
      <c r="I214" s="703"/>
      <c r="J214" s="703"/>
      <c r="K214" s="703"/>
      <c r="L214" s="703"/>
      <c r="M214" s="703"/>
      <c r="N214" s="703"/>
      <c r="O214" s="703"/>
      <c r="P214" s="703"/>
      <c r="Q214" s="703"/>
      <c r="R214" s="703"/>
      <c r="S214" s="703"/>
      <c r="T214" s="703"/>
      <c r="U214" s="703"/>
      <c r="V214" s="703"/>
      <c r="W214" s="703"/>
      <c r="X214" s="703"/>
      <c r="Y214" s="703"/>
      <c r="Z214" s="703"/>
    </row>
    <row r="215">
      <c r="A215" s="703"/>
      <c r="B215" s="703"/>
      <c r="C215" s="703"/>
      <c r="D215" s="703"/>
      <c r="E215" s="703"/>
      <c r="F215" s="703"/>
      <c r="G215" s="703"/>
      <c r="H215" s="703"/>
      <c r="I215" s="703"/>
      <c r="J215" s="703"/>
      <c r="K215" s="703"/>
      <c r="L215" s="703"/>
      <c r="M215" s="703"/>
      <c r="N215" s="703"/>
      <c r="O215" s="703"/>
      <c r="P215" s="703"/>
      <c r="Q215" s="703"/>
      <c r="R215" s="703"/>
      <c r="S215" s="703"/>
      <c r="T215" s="703"/>
      <c r="U215" s="703"/>
      <c r="V215" s="703"/>
      <c r="W215" s="703"/>
      <c r="X215" s="703"/>
      <c r="Y215" s="703"/>
      <c r="Z215" s="703"/>
    </row>
    <row r="216">
      <c r="A216" s="703"/>
      <c r="B216" s="703"/>
      <c r="C216" s="703"/>
      <c r="D216" s="703"/>
      <c r="E216" s="703"/>
      <c r="F216" s="703"/>
      <c r="G216" s="703"/>
      <c r="H216" s="703"/>
      <c r="I216" s="703"/>
      <c r="J216" s="703"/>
      <c r="K216" s="703"/>
      <c r="L216" s="703"/>
      <c r="M216" s="703"/>
      <c r="N216" s="703"/>
      <c r="O216" s="703"/>
      <c r="P216" s="703"/>
      <c r="Q216" s="703"/>
      <c r="R216" s="703"/>
      <c r="S216" s="703"/>
      <c r="T216" s="703"/>
      <c r="U216" s="703"/>
      <c r="V216" s="703"/>
      <c r="W216" s="703"/>
      <c r="X216" s="703"/>
      <c r="Y216" s="703"/>
      <c r="Z216" s="703"/>
    </row>
    <row r="217">
      <c r="A217" s="703"/>
      <c r="B217" s="703"/>
      <c r="C217" s="703"/>
      <c r="D217" s="703"/>
      <c r="E217" s="703"/>
      <c r="F217" s="703"/>
      <c r="G217" s="703"/>
      <c r="H217" s="703"/>
      <c r="I217" s="703"/>
      <c r="J217" s="703"/>
      <c r="K217" s="703"/>
      <c r="L217" s="703"/>
      <c r="M217" s="703"/>
      <c r="N217" s="703"/>
      <c r="O217" s="703"/>
      <c r="P217" s="703"/>
      <c r="Q217" s="703"/>
      <c r="R217" s="703"/>
      <c r="S217" s="703"/>
      <c r="T217" s="703"/>
      <c r="U217" s="703"/>
      <c r="V217" s="703"/>
      <c r="W217" s="703"/>
      <c r="X217" s="703"/>
      <c r="Y217" s="703"/>
      <c r="Z217" s="703"/>
    </row>
    <row r="218">
      <c r="A218" s="703"/>
      <c r="B218" s="703"/>
      <c r="C218" s="703"/>
      <c r="D218" s="703"/>
      <c r="E218" s="703"/>
      <c r="F218" s="703"/>
      <c r="G218" s="703"/>
      <c r="H218" s="703"/>
      <c r="I218" s="703"/>
      <c r="J218" s="703"/>
      <c r="K218" s="703"/>
      <c r="L218" s="703"/>
      <c r="M218" s="703"/>
      <c r="N218" s="703"/>
      <c r="O218" s="703"/>
      <c r="P218" s="703"/>
      <c r="Q218" s="703"/>
      <c r="R218" s="703"/>
      <c r="S218" s="703"/>
      <c r="T218" s="703"/>
      <c r="U218" s="703"/>
      <c r="V218" s="703"/>
      <c r="W218" s="703"/>
      <c r="X218" s="703"/>
      <c r="Y218" s="703"/>
      <c r="Z218" s="703"/>
    </row>
    <row r="219">
      <c r="A219" s="703"/>
      <c r="B219" s="703"/>
      <c r="C219" s="703"/>
      <c r="D219" s="703"/>
      <c r="E219" s="703"/>
      <c r="F219" s="703"/>
      <c r="G219" s="703"/>
      <c r="H219" s="703"/>
      <c r="I219" s="703"/>
      <c r="J219" s="703"/>
      <c r="K219" s="703"/>
      <c r="L219" s="703"/>
      <c r="M219" s="703"/>
      <c r="N219" s="703"/>
      <c r="O219" s="703"/>
      <c r="P219" s="703"/>
      <c r="Q219" s="703"/>
      <c r="R219" s="703"/>
      <c r="S219" s="703"/>
      <c r="T219" s="703"/>
      <c r="U219" s="703"/>
      <c r="V219" s="703"/>
      <c r="W219" s="703"/>
      <c r="X219" s="703"/>
      <c r="Y219" s="703"/>
      <c r="Z219" s="703"/>
    </row>
    <row r="220">
      <c r="A220" s="703"/>
      <c r="B220" s="703"/>
      <c r="C220" s="703"/>
      <c r="D220" s="703"/>
      <c r="E220" s="703"/>
      <c r="F220" s="703"/>
      <c r="G220" s="703"/>
      <c r="H220" s="703"/>
      <c r="I220" s="703"/>
      <c r="J220" s="703"/>
      <c r="K220" s="703"/>
      <c r="L220" s="703"/>
      <c r="M220" s="703"/>
      <c r="N220" s="703"/>
      <c r="O220" s="703"/>
      <c r="P220" s="703"/>
      <c r="Q220" s="703"/>
      <c r="R220" s="703"/>
      <c r="S220" s="703"/>
      <c r="T220" s="703"/>
      <c r="U220" s="703"/>
      <c r="V220" s="703"/>
      <c r="W220" s="703"/>
      <c r="X220" s="703"/>
      <c r="Y220" s="703"/>
      <c r="Z220" s="703"/>
    </row>
    <row r="221">
      <c r="A221" s="703"/>
      <c r="B221" s="703"/>
      <c r="C221" s="703"/>
      <c r="D221" s="703"/>
      <c r="E221" s="703"/>
      <c r="F221" s="703"/>
      <c r="G221" s="703"/>
      <c r="H221" s="703"/>
      <c r="I221" s="703"/>
      <c r="J221" s="703"/>
      <c r="K221" s="703"/>
      <c r="L221" s="703"/>
      <c r="M221" s="703"/>
      <c r="N221" s="703"/>
      <c r="O221" s="703"/>
      <c r="P221" s="703"/>
      <c r="Q221" s="703"/>
      <c r="R221" s="703"/>
      <c r="S221" s="703"/>
      <c r="T221" s="703"/>
      <c r="U221" s="703"/>
      <c r="V221" s="703"/>
      <c r="W221" s="703"/>
      <c r="X221" s="703"/>
      <c r="Y221" s="703"/>
      <c r="Z221" s="703"/>
    </row>
    <row r="222">
      <c r="A222" s="703"/>
      <c r="B222" s="703"/>
      <c r="C222" s="703"/>
      <c r="D222" s="703"/>
      <c r="E222" s="703"/>
      <c r="F222" s="703"/>
      <c r="G222" s="703"/>
      <c r="H222" s="703"/>
      <c r="I222" s="703"/>
      <c r="J222" s="703"/>
      <c r="K222" s="703"/>
      <c r="L222" s="703"/>
      <c r="M222" s="703"/>
      <c r="N222" s="703"/>
      <c r="O222" s="703"/>
      <c r="P222" s="703"/>
      <c r="Q222" s="703"/>
      <c r="R222" s="703"/>
      <c r="S222" s="703"/>
      <c r="T222" s="703"/>
      <c r="U222" s="703"/>
      <c r="V222" s="703"/>
      <c r="W222" s="703"/>
      <c r="X222" s="703"/>
      <c r="Y222" s="703"/>
      <c r="Z222" s="703"/>
    </row>
    <row r="223">
      <c r="A223" s="703"/>
      <c r="B223" s="703"/>
      <c r="C223" s="703"/>
      <c r="D223" s="703"/>
      <c r="E223" s="703"/>
      <c r="F223" s="703"/>
      <c r="G223" s="703"/>
      <c r="H223" s="703"/>
      <c r="I223" s="703"/>
      <c r="J223" s="703"/>
      <c r="K223" s="703"/>
      <c r="L223" s="703"/>
      <c r="M223" s="703"/>
      <c r="N223" s="703"/>
      <c r="O223" s="703"/>
      <c r="P223" s="703"/>
      <c r="Q223" s="703"/>
      <c r="R223" s="703"/>
      <c r="S223" s="703"/>
      <c r="T223" s="703"/>
      <c r="U223" s="703"/>
      <c r="V223" s="703"/>
      <c r="W223" s="703"/>
      <c r="X223" s="703"/>
      <c r="Y223" s="703"/>
      <c r="Z223" s="703"/>
    </row>
    <row r="224">
      <c r="A224" s="703"/>
      <c r="B224" s="703"/>
      <c r="C224" s="703"/>
      <c r="D224" s="703"/>
      <c r="E224" s="703"/>
      <c r="F224" s="703"/>
      <c r="G224" s="703"/>
      <c r="H224" s="703"/>
      <c r="I224" s="703"/>
      <c r="J224" s="703"/>
      <c r="K224" s="703"/>
      <c r="L224" s="703"/>
      <c r="M224" s="703"/>
      <c r="N224" s="703"/>
      <c r="O224" s="703"/>
      <c r="P224" s="703"/>
      <c r="Q224" s="703"/>
      <c r="R224" s="703"/>
      <c r="S224" s="703"/>
      <c r="T224" s="703"/>
      <c r="U224" s="703"/>
      <c r="V224" s="703"/>
      <c r="W224" s="703"/>
      <c r="X224" s="703"/>
      <c r="Y224" s="703"/>
      <c r="Z224" s="703"/>
    </row>
    <row r="225">
      <c r="A225" s="703"/>
      <c r="B225" s="703"/>
      <c r="C225" s="703"/>
      <c r="D225" s="703"/>
      <c r="E225" s="703"/>
      <c r="F225" s="703"/>
      <c r="G225" s="703"/>
      <c r="H225" s="703"/>
      <c r="I225" s="703"/>
      <c r="J225" s="703"/>
      <c r="K225" s="703"/>
      <c r="L225" s="703"/>
      <c r="M225" s="703"/>
      <c r="N225" s="703"/>
      <c r="O225" s="703"/>
      <c r="P225" s="703"/>
      <c r="Q225" s="703"/>
      <c r="R225" s="703"/>
      <c r="S225" s="703"/>
      <c r="T225" s="703"/>
      <c r="U225" s="703"/>
      <c r="V225" s="703"/>
      <c r="W225" s="703"/>
      <c r="X225" s="703"/>
      <c r="Y225" s="703"/>
      <c r="Z225" s="703"/>
    </row>
    <row r="226">
      <c r="A226" s="703"/>
      <c r="B226" s="703"/>
      <c r="C226" s="703"/>
      <c r="D226" s="703"/>
      <c r="E226" s="703"/>
      <c r="F226" s="703"/>
      <c r="G226" s="703"/>
      <c r="H226" s="703"/>
      <c r="I226" s="703"/>
      <c r="J226" s="703"/>
      <c r="K226" s="703"/>
      <c r="L226" s="703"/>
      <c r="M226" s="703"/>
      <c r="N226" s="703"/>
      <c r="O226" s="703"/>
      <c r="P226" s="703"/>
      <c r="Q226" s="703"/>
      <c r="R226" s="703"/>
      <c r="S226" s="703"/>
      <c r="T226" s="703"/>
      <c r="U226" s="703"/>
      <c r="V226" s="703"/>
      <c r="W226" s="703"/>
      <c r="X226" s="703"/>
      <c r="Y226" s="703"/>
      <c r="Z226" s="703"/>
    </row>
    <row r="227">
      <c r="A227" s="703"/>
      <c r="B227" s="703"/>
      <c r="C227" s="703"/>
      <c r="D227" s="703"/>
      <c r="E227" s="703"/>
      <c r="F227" s="703"/>
      <c r="G227" s="703"/>
      <c r="H227" s="703"/>
      <c r="I227" s="703"/>
      <c r="J227" s="703"/>
      <c r="K227" s="703"/>
      <c r="L227" s="703"/>
      <c r="M227" s="703"/>
      <c r="N227" s="703"/>
      <c r="O227" s="703"/>
      <c r="P227" s="703"/>
      <c r="Q227" s="703"/>
      <c r="R227" s="703"/>
      <c r="S227" s="703"/>
      <c r="T227" s="703"/>
      <c r="U227" s="703"/>
      <c r="V227" s="703"/>
      <c r="W227" s="703"/>
      <c r="X227" s="703"/>
      <c r="Y227" s="703"/>
      <c r="Z227" s="703"/>
    </row>
    <row r="228">
      <c r="A228" s="703"/>
      <c r="B228" s="703"/>
      <c r="C228" s="703"/>
      <c r="D228" s="703"/>
      <c r="E228" s="703"/>
      <c r="F228" s="703"/>
      <c r="G228" s="703"/>
      <c r="H228" s="703"/>
      <c r="I228" s="703"/>
      <c r="J228" s="703"/>
      <c r="K228" s="703"/>
      <c r="L228" s="703"/>
      <c r="M228" s="703"/>
      <c r="N228" s="703"/>
      <c r="O228" s="703"/>
      <c r="P228" s="703"/>
      <c r="Q228" s="703"/>
      <c r="R228" s="703"/>
      <c r="S228" s="703"/>
      <c r="T228" s="703"/>
      <c r="U228" s="703"/>
      <c r="V228" s="703"/>
      <c r="W228" s="703"/>
      <c r="X228" s="703"/>
      <c r="Y228" s="703"/>
      <c r="Z228" s="703"/>
    </row>
    <row r="229">
      <c r="A229" s="703"/>
      <c r="B229" s="703"/>
      <c r="C229" s="703"/>
      <c r="D229" s="703"/>
      <c r="E229" s="703"/>
      <c r="F229" s="703"/>
      <c r="G229" s="703"/>
      <c r="H229" s="703"/>
      <c r="I229" s="703"/>
      <c r="J229" s="703"/>
      <c r="K229" s="703"/>
      <c r="L229" s="703"/>
      <c r="M229" s="703"/>
      <c r="N229" s="703"/>
      <c r="O229" s="703"/>
      <c r="P229" s="703"/>
      <c r="Q229" s="703"/>
      <c r="R229" s="703"/>
      <c r="S229" s="703"/>
      <c r="T229" s="703"/>
      <c r="U229" s="703"/>
      <c r="V229" s="703"/>
      <c r="W229" s="703"/>
      <c r="X229" s="703"/>
      <c r="Y229" s="703"/>
      <c r="Z229" s="703"/>
    </row>
    <row r="230">
      <c r="A230" s="703"/>
      <c r="B230" s="703"/>
      <c r="C230" s="703"/>
      <c r="D230" s="703"/>
      <c r="E230" s="703"/>
      <c r="F230" s="703"/>
      <c r="G230" s="703"/>
      <c r="H230" s="703"/>
      <c r="I230" s="703"/>
      <c r="J230" s="703"/>
      <c r="K230" s="703"/>
      <c r="L230" s="703"/>
      <c r="M230" s="703"/>
      <c r="N230" s="703"/>
      <c r="O230" s="703"/>
      <c r="P230" s="703"/>
      <c r="Q230" s="703"/>
      <c r="R230" s="703"/>
      <c r="S230" s="703"/>
      <c r="T230" s="703"/>
      <c r="U230" s="703"/>
      <c r="V230" s="703"/>
      <c r="W230" s="703"/>
      <c r="X230" s="703"/>
      <c r="Y230" s="703"/>
      <c r="Z230" s="703"/>
    </row>
    <row r="231">
      <c r="A231" s="703"/>
      <c r="B231" s="703"/>
      <c r="C231" s="703"/>
      <c r="D231" s="703"/>
      <c r="E231" s="703"/>
      <c r="F231" s="703"/>
      <c r="G231" s="703"/>
      <c r="H231" s="703"/>
      <c r="I231" s="703"/>
      <c r="J231" s="703"/>
      <c r="K231" s="703"/>
      <c r="L231" s="703"/>
      <c r="M231" s="703"/>
      <c r="N231" s="703"/>
      <c r="O231" s="703"/>
      <c r="P231" s="703"/>
      <c r="Q231" s="703"/>
      <c r="R231" s="703"/>
      <c r="S231" s="703"/>
      <c r="T231" s="703"/>
      <c r="U231" s="703"/>
      <c r="V231" s="703"/>
      <c r="W231" s="703"/>
      <c r="X231" s="703"/>
      <c r="Y231" s="703"/>
      <c r="Z231" s="703"/>
    </row>
    <row r="232">
      <c r="A232" s="703"/>
      <c r="B232" s="703"/>
      <c r="C232" s="703"/>
      <c r="D232" s="703"/>
      <c r="E232" s="703"/>
      <c r="F232" s="703"/>
      <c r="G232" s="703"/>
      <c r="H232" s="703"/>
      <c r="I232" s="703"/>
      <c r="J232" s="703"/>
      <c r="K232" s="703"/>
      <c r="L232" s="703"/>
      <c r="M232" s="703"/>
      <c r="N232" s="703"/>
      <c r="O232" s="703"/>
      <c r="P232" s="703"/>
      <c r="Q232" s="703"/>
      <c r="R232" s="703"/>
      <c r="S232" s="703"/>
      <c r="T232" s="703"/>
      <c r="U232" s="703"/>
      <c r="V232" s="703"/>
      <c r="W232" s="703"/>
      <c r="X232" s="703"/>
      <c r="Y232" s="703"/>
      <c r="Z232" s="703"/>
    </row>
    <row r="233">
      <c r="A233" s="703"/>
      <c r="B233" s="703"/>
      <c r="C233" s="703"/>
      <c r="D233" s="703"/>
      <c r="E233" s="703"/>
      <c r="F233" s="703"/>
      <c r="G233" s="703"/>
      <c r="H233" s="703"/>
      <c r="I233" s="703"/>
      <c r="J233" s="703"/>
      <c r="K233" s="703"/>
      <c r="L233" s="703"/>
      <c r="M233" s="703"/>
      <c r="N233" s="703"/>
      <c r="O233" s="703"/>
      <c r="P233" s="703"/>
      <c r="Q233" s="703"/>
      <c r="R233" s="703"/>
      <c r="S233" s="703"/>
      <c r="T233" s="703"/>
      <c r="U233" s="703"/>
      <c r="V233" s="703"/>
      <c r="W233" s="703"/>
      <c r="X233" s="703"/>
      <c r="Y233" s="703"/>
      <c r="Z233" s="703"/>
    </row>
    <row r="234">
      <c r="A234" s="703"/>
      <c r="B234" s="703"/>
      <c r="C234" s="703"/>
      <c r="D234" s="703"/>
      <c r="E234" s="703"/>
      <c r="F234" s="703"/>
      <c r="G234" s="703"/>
      <c r="H234" s="703"/>
      <c r="I234" s="703"/>
      <c r="J234" s="703"/>
      <c r="K234" s="703"/>
      <c r="L234" s="703"/>
      <c r="M234" s="703"/>
      <c r="N234" s="703"/>
      <c r="O234" s="703"/>
      <c r="P234" s="703"/>
      <c r="Q234" s="703"/>
      <c r="R234" s="703"/>
      <c r="S234" s="703"/>
      <c r="T234" s="703"/>
      <c r="U234" s="703"/>
      <c r="V234" s="703"/>
      <c r="W234" s="703"/>
      <c r="X234" s="703"/>
      <c r="Y234" s="703"/>
      <c r="Z234" s="703"/>
    </row>
    <row r="235">
      <c r="A235" s="703"/>
      <c r="B235" s="703"/>
      <c r="C235" s="703"/>
      <c r="D235" s="703"/>
      <c r="E235" s="703"/>
      <c r="F235" s="703"/>
      <c r="G235" s="703"/>
      <c r="H235" s="703"/>
      <c r="I235" s="703"/>
      <c r="J235" s="703"/>
      <c r="K235" s="703"/>
      <c r="L235" s="703"/>
      <c r="M235" s="703"/>
      <c r="N235" s="703"/>
      <c r="O235" s="703"/>
      <c r="P235" s="703"/>
      <c r="Q235" s="703"/>
      <c r="R235" s="703"/>
      <c r="S235" s="703"/>
      <c r="T235" s="703"/>
      <c r="U235" s="703"/>
      <c r="V235" s="703"/>
      <c r="W235" s="703"/>
      <c r="X235" s="703"/>
      <c r="Y235" s="703"/>
      <c r="Z235" s="703"/>
    </row>
    <row r="236">
      <c r="A236" s="703"/>
      <c r="B236" s="703"/>
      <c r="C236" s="703"/>
      <c r="D236" s="703"/>
      <c r="E236" s="703"/>
      <c r="F236" s="703"/>
      <c r="G236" s="703"/>
      <c r="H236" s="703"/>
      <c r="I236" s="703"/>
      <c r="J236" s="703"/>
      <c r="K236" s="703"/>
      <c r="L236" s="703"/>
      <c r="M236" s="703"/>
      <c r="N236" s="703"/>
      <c r="O236" s="703"/>
      <c r="P236" s="703"/>
      <c r="Q236" s="703"/>
      <c r="R236" s="703"/>
      <c r="S236" s="703"/>
      <c r="T236" s="703"/>
      <c r="U236" s="703"/>
      <c r="V236" s="703"/>
      <c r="W236" s="703"/>
      <c r="X236" s="703"/>
      <c r="Y236" s="703"/>
      <c r="Z236" s="703"/>
    </row>
    <row r="237">
      <c r="A237" s="703"/>
      <c r="B237" s="703"/>
      <c r="C237" s="703"/>
      <c r="D237" s="703"/>
      <c r="E237" s="703"/>
      <c r="F237" s="703"/>
      <c r="G237" s="703"/>
      <c r="H237" s="703"/>
      <c r="I237" s="703"/>
      <c r="J237" s="703"/>
      <c r="K237" s="703"/>
      <c r="L237" s="703"/>
      <c r="M237" s="703"/>
      <c r="N237" s="703"/>
      <c r="O237" s="703"/>
      <c r="P237" s="703"/>
      <c r="Q237" s="703"/>
      <c r="R237" s="703"/>
      <c r="S237" s="703"/>
      <c r="T237" s="703"/>
      <c r="U237" s="703"/>
      <c r="V237" s="703"/>
      <c r="W237" s="703"/>
      <c r="X237" s="703"/>
      <c r="Y237" s="703"/>
      <c r="Z237" s="703"/>
    </row>
    <row r="238">
      <c r="A238" s="703"/>
      <c r="B238" s="703"/>
      <c r="C238" s="703"/>
      <c r="D238" s="703"/>
      <c r="E238" s="703"/>
      <c r="F238" s="703"/>
      <c r="G238" s="703"/>
      <c r="H238" s="703"/>
      <c r="I238" s="703"/>
      <c r="J238" s="703"/>
      <c r="K238" s="703"/>
      <c r="L238" s="703"/>
      <c r="M238" s="703"/>
      <c r="N238" s="703"/>
      <c r="O238" s="703"/>
      <c r="P238" s="703"/>
      <c r="Q238" s="703"/>
      <c r="R238" s="703"/>
      <c r="S238" s="703"/>
      <c r="T238" s="703"/>
      <c r="U238" s="703"/>
      <c r="V238" s="703"/>
      <c r="W238" s="703"/>
      <c r="X238" s="703"/>
      <c r="Y238" s="703"/>
      <c r="Z238" s="703"/>
    </row>
    <row r="239">
      <c r="A239" s="703"/>
      <c r="B239" s="703"/>
      <c r="C239" s="703"/>
      <c r="D239" s="703"/>
      <c r="E239" s="703"/>
      <c r="F239" s="703"/>
      <c r="G239" s="703"/>
      <c r="H239" s="703"/>
      <c r="I239" s="703"/>
      <c r="J239" s="703"/>
      <c r="K239" s="703"/>
      <c r="L239" s="703"/>
      <c r="M239" s="703"/>
      <c r="N239" s="703"/>
      <c r="O239" s="703"/>
      <c r="P239" s="703"/>
      <c r="Q239" s="703"/>
      <c r="R239" s="703"/>
      <c r="S239" s="703"/>
      <c r="T239" s="703"/>
      <c r="U239" s="703"/>
      <c r="V239" s="703"/>
      <c r="W239" s="703"/>
      <c r="X239" s="703"/>
      <c r="Y239" s="703"/>
      <c r="Z239" s="703"/>
    </row>
    <row r="240">
      <c r="A240" s="703"/>
      <c r="B240" s="703"/>
      <c r="C240" s="703"/>
      <c r="D240" s="703"/>
      <c r="E240" s="703"/>
      <c r="F240" s="703"/>
      <c r="G240" s="703"/>
      <c r="H240" s="703"/>
      <c r="I240" s="703"/>
      <c r="J240" s="703"/>
      <c r="K240" s="703"/>
      <c r="L240" s="703"/>
      <c r="M240" s="703"/>
      <c r="N240" s="703"/>
      <c r="O240" s="703"/>
      <c r="P240" s="703"/>
      <c r="Q240" s="703"/>
      <c r="R240" s="703"/>
      <c r="S240" s="703"/>
      <c r="T240" s="703"/>
      <c r="U240" s="703"/>
      <c r="V240" s="703"/>
      <c r="W240" s="703"/>
      <c r="X240" s="703"/>
      <c r="Y240" s="703"/>
      <c r="Z240" s="703"/>
    </row>
    <row r="241">
      <c r="A241" s="703"/>
      <c r="B241" s="703"/>
      <c r="C241" s="703"/>
      <c r="D241" s="703"/>
      <c r="E241" s="703"/>
      <c r="F241" s="703"/>
      <c r="G241" s="703"/>
      <c r="H241" s="703"/>
      <c r="I241" s="703"/>
      <c r="J241" s="703"/>
      <c r="K241" s="703"/>
      <c r="L241" s="703"/>
      <c r="M241" s="703"/>
      <c r="N241" s="703"/>
      <c r="O241" s="703"/>
      <c r="P241" s="703"/>
      <c r="Q241" s="703"/>
      <c r="R241" s="703"/>
      <c r="S241" s="703"/>
      <c r="T241" s="703"/>
      <c r="U241" s="703"/>
      <c r="V241" s="703"/>
      <c r="W241" s="703"/>
      <c r="X241" s="703"/>
      <c r="Y241" s="703"/>
      <c r="Z241" s="703"/>
    </row>
    <row r="242">
      <c r="A242" s="703"/>
      <c r="B242" s="703"/>
      <c r="C242" s="703"/>
      <c r="D242" s="703"/>
      <c r="E242" s="703"/>
      <c r="F242" s="703"/>
      <c r="G242" s="703"/>
      <c r="H242" s="703"/>
      <c r="I242" s="703"/>
      <c r="J242" s="703"/>
      <c r="K242" s="703"/>
      <c r="L242" s="703"/>
      <c r="M242" s="703"/>
      <c r="N242" s="703"/>
      <c r="O242" s="703"/>
      <c r="P242" s="703"/>
      <c r="Q242" s="703"/>
      <c r="R242" s="703"/>
      <c r="S242" s="703"/>
      <c r="T242" s="703"/>
      <c r="U242" s="703"/>
      <c r="V242" s="703"/>
      <c r="W242" s="703"/>
      <c r="X242" s="703"/>
      <c r="Y242" s="703"/>
      <c r="Z242" s="703"/>
    </row>
    <row r="243">
      <c r="A243" s="703"/>
      <c r="B243" s="703"/>
      <c r="C243" s="703"/>
      <c r="D243" s="703"/>
      <c r="E243" s="703"/>
      <c r="F243" s="703"/>
      <c r="G243" s="703"/>
      <c r="H243" s="703"/>
      <c r="I243" s="703"/>
      <c r="J243" s="703"/>
      <c r="K243" s="703"/>
      <c r="L243" s="703"/>
      <c r="M243" s="703"/>
      <c r="N243" s="703"/>
      <c r="O243" s="703"/>
      <c r="P243" s="703"/>
      <c r="Q243" s="703"/>
      <c r="R243" s="703"/>
      <c r="S243" s="703"/>
      <c r="T243" s="703"/>
      <c r="U243" s="703"/>
      <c r="V243" s="703"/>
      <c r="W243" s="703"/>
      <c r="X243" s="703"/>
      <c r="Y243" s="703"/>
      <c r="Z243" s="703"/>
    </row>
    <row r="244">
      <c r="A244" s="703"/>
      <c r="B244" s="703"/>
      <c r="C244" s="703"/>
      <c r="D244" s="703"/>
      <c r="E244" s="703"/>
      <c r="F244" s="703"/>
      <c r="G244" s="703"/>
      <c r="H244" s="703"/>
      <c r="I244" s="703"/>
      <c r="J244" s="703"/>
      <c r="K244" s="703"/>
      <c r="L244" s="703"/>
      <c r="M244" s="703"/>
      <c r="N244" s="703"/>
      <c r="O244" s="703"/>
      <c r="P244" s="703"/>
      <c r="Q244" s="703"/>
      <c r="R244" s="703"/>
      <c r="S244" s="703"/>
      <c r="T244" s="703"/>
      <c r="U244" s="703"/>
      <c r="V244" s="703"/>
      <c r="W244" s="703"/>
      <c r="X244" s="703"/>
      <c r="Y244" s="703"/>
      <c r="Z244" s="703"/>
    </row>
    <row r="245">
      <c r="A245" s="703"/>
      <c r="B245" s="703"/>
      <c r="C245" s="703"/>
      <c r="D245" s="703"/>
      <c r="E245" s="703"/>
      <c r="F245" s="703"/>
      <c r="G245" s="703"/>
      <c r="H245" s="703"/>
      <c r="I245" s="703"/>
      <c r="J245" s="703"/>
      <c r="K245" s="703"/>
      <c r="L245" s="703"/>
      <c r="M245" s="703"/>
      <c r="N245" s="703"/>
      <c r="O245" s="703"/>
      <c r="P245" s="703"/>
      <c r="Q245" s="703"/>
      <c r="R245" s="703"/>
      <c r="S245" s="703"/>
      <c r="T245" s="703"/>
      <c r="U245" s="703"/>
      <c r="V245" s="703"/>
      <c r="W245" s="703"/>
      <c r="X245" s="703"/>
      <c r="Y245" s="703"/>
      <c r="Z245" s="703"/>
    </row>
    <row r="246">
      <c r="A246" s="703"/>
      <c r="B246" s="703"/>
      <c r="C246" s="703"/>
      <c r="D246" s="703"/>
      <c r="E246" s="703"/>
      <c r="F246" s="703"/>
      <c r="G246" s="703"/>
      <c r="H246" s="703"/>
      <c r="I246" s="703"/>
      <c r="J246" s="703"/>
      <c r="K246" s="703"/>
      <c r="L246" s="703"/>
      <c r="M246" s="703"/>
      <c r="N246" s="703"/>
      <c r="O246" s="703"/>
      <c r="P246" s="703"/>
      <c r="Q246" s="703"/>
      <c r="R246" s="703"/>
      <c r="S246" s="703"/>
      <c r="T246" s="703"/>
      <c r="U246" s="703"/>
      <c r="V246" s="703"/>
      <c r="W246" s="703"/>
      <c r="X246" s="703"/>
      <c r="Y246" s="703"/>
      <c r="Z246" s="703"/>
    </row>
    <row r="247">
      <c r="A247" s="703"/>
      <c r="B247" s="703"/>
      <c r="C247" s="703"/>
      <c r="D247" s="703"/>
      <c r="E247" s="703"/>
      <c r="F247" s="703"/>
      <c r="G247" s="703"/>
      <c r="H247" s="703"/>
      <c r="I247" s="703"/>
      <c r="J247" s="703"/>
      <c r="K247" s="703"/>
      <c r="L247" s="703"/>
      <c r="M247" s="703"/>
      <c r="N247" s="703"/>
      <c r="O247" s="703"/>
      <c r="P247" s="703"/>
      <c r="Q247" s="703"/>
      <c r="R247" s="703"/>
      <c r="S247" s="703"/>
      <c r="T247" s="703"/>
      <c r="U247" s="703"/>
      <c r="V247" s="703"/>
      <c r="W247" s="703"/>
      <c r="X247" s="703"/>
      <c r="Y247" s="703"/>
      <c r="Z247" s="703"/>
    </row>
    <row r="248">
      <c r="A248" s="703"/>
      <c r="B248" s="703"/>
      <c r="C248" s="703"/>
      <c r="D248" s="703"/>
      <c r="E248" s="703"/>
      <c r="F248" s="703"/>
      <c r="G248" s="703"/>
      <c r="H248" s="703"/>
      <c r="I248" s="703"/>
      <c r="J248" s="703"/>
      <c r="K248" s="703"/>
      <c r="L248" s="703"/>
      <c r="M248" s="703"/>
      <c r="N248" s="703"/>
      <c r="O248" s="703"/>
      <c r="P248" s="703"/>
      <c r="Q248" s="703"/>
      <c r="R248" s="703"/>
      <c r="S248" s="703"/>
      <c r="T248" s="703"/>
      <c r="U248" s="703"/>
      <c r="V248" s="703"/>
      <c r="W248" s="703"/>
      <c r="X248" s="703"/>
      <c r="Y248" s="703"/>
      <c r="Z248" s="703"/>
    </row>
    <row r="249">
      <c r="A249" s="703"/>
      <c r="B249" s="703"/>
      <c r="C249" s="703"/>
      <c r="D249" s="703"/>
      <c r="E249" s="703"/>
      <c r="F249" s="703"/>
      <c r="G249" s="703"/>
      <c r="H249" s="703"/>
      <c r="I249" s="703"/>
      <c r="J249" s="703"/>
      <c r="K249" s="703"/>
      <c r="L249" s="703"/>
      <c r="M249" s="703"/>
      <c r="N249" s="703"/>
      <c r="O249" s="703"/>
      <c r="P249" s="703"/>
      <c r="Q249" s="703"/>
      <c r="R249" s="703"/>
      <c r="S249" s="703"/>
      <c r="T249" s="703"/>
      <c r="U249" s="703"/>
      <c r="V249" s="703"/>
      <c r="W249" s="703"/>
      <c r="X249" s="703"/>
      <c r="Y249" s="703"/>
      <c r="Z249" s="703"/>
    </row>
    <row r="250">
      <c r="A250" s="703"/>
      <c r="B250" s="703"/>
      <c r="C250" s="703"/>
      <c r="D250" s="703"/>
      <c r="E250" s="703"/>
      <c r="F250" s="703"/>
      <c r="G250" s="703"/>
      <c r="H250" s="703"/>
      <c r="I250" s="703"/>
      <c r="J250" s="703"/>
      <c r="K250" s="703"/>
      <c r="L250" s="703"/>
      <c r="M250" s="703"/>
      <c r="N250" s="703"/>
      <c r="O250" s="703"/>
      <c r="P250" s="703"/>
      <c r="Q250" s="703"/>
      <c r="R250" s="703"/>
      <c r="S250" s="703"/>
      <c r="T250" s="703"/>
      <c r="U250" s="703"/>
      <c r="V250" s="703"/>
      <c r="W250" s="703"/>
      <c r="X250" s="703"/>
      <c r="Y250" s="703"/>
      <c r="Z250" s="703"/>
    </row>
    <row r="251">
      <c r="A251" s="703"/>
      <c r="B251" s="703"/>
      <c r="C251" s="703"/>
      <c r="D251" s="703"/>
      <c r="E251" s="703"/>
      <c r="F251" s="703"/>
      <c r="G251" s="703"/>
      <c r="H251" s="703"/>
      <c r="I251" s="703"/>
      <c r="J251" s="703"/>
      <c r="K251" s="703"/>
      <c r="L251" s="703"/>
      <c r="M251" s="703"/>
      <c r="N251" s="703"/>
      <c r="O251" s="703"/>
      <c r="P251" s="703"/>
      <c r="Q251" s="703"/>
      <c r="R251" s="703"/>
      <c r="S251" s="703"/>
      <c r="T251" s="703"/>
      <c r="U251" s="703"/>
      <c r="V251" s="703"/>
      <c r="W251" s="703"/>
      <c r="X251" s="703"/>
      <c r="Y251" s="703"/>
      <c r="Z251" s="703"/>
    </row>
    <row r="252">
      <c r="A252" s="703"/>
      <c r="B252" s="703"/>
      <c r="C252" s="703"/>
      <c r="D252" s="703"/>
      <c r="E252" s="703"/>
      <c r="F252" s="703"/>
      <c r="G252" s="703"/>
      <c r="H252" s="703"/>
      <c r="I252" s="703"/>
      <c r="J252" s="703"/>
      <c r="K252" s="703"/>
      <c r="L252" s="703"/>
      <c r="M252" s="703"/>
      <c r="N252" s="703"/>
      <c r="O252" s="703"/>
      <c r="P252" s="703"/>
      <c r="Q252" s="703"/>
      <c r="R252" s="703"/>
      <c r="S252" s="703"/>
      <c r="T252" s="703"/>
      <c r="U252" s="703"/>
      <c r="V252" s="703"/>
      <c r="W252" s="703"/>
      <c r="X252" s="703"/>
      <c r="Y252" s="703"/>
      <c r="Z252" s="703"/>
    </row>
    <row r="253">
      <c r="A253" s="703"/>
      <c r="B253" s="703"/>
      <c r="C253" s="703"/>
      <c r="D253" s="703"/>
      <c r="E253" s="703"/>
      <c r="F253" s="703"/>
      <c r="G253" s="703"/>
      <c r="H253" s="703"/>
      <c r="I253" s="703"/>
      <c r="J253" s="703"/>
      <c r="K253" s="703"/>
      <c r="L253" s="703"/>
      <c r="M253" s="703"/>
      <c r="N253" s="703"/>
      <c r="O253" s="703"/>
      <c r="P253" s="703"/>
      <c r="Q253" s="703"/>
      <c r="R253" s="703"/>
      <c r="S253" s="703"/>
      <c r="T253" s="703"/>
      <c r="U253" s="703"/>
      <c r="V253" s="703"/>
      <c r="W253" s="703"/>
      <c r="X253" s="703"/>
      <c r="Y253" s="703"/>
      <c r="Z253" s="703"/>
    </row>
    <row r="254">
      <c r="A254" s="703"/>
      <c r="B254" s="703"/>
      <c r="C254" s="703"/>
      <c r="D254" s="703"/>
      <c r="E254" s="703"/>
      <c r="F254" s="703"/>
      <c r="G254" s="703"/>
      <c r="H254" s="703"/>
      <c r="I254" s="703"/>
      <c r="J254" s="703"/>
      <c r="K254" s="703"/>
      <c r="L254" s="703"/>
      <c r="M254" s="703"/>
      <c r="N254" s="703"/>
      <c r="O254" s="703"/>
      <c r="P254" s="703"/>
      <c r="Q254" s="703"/>
      <c r="R254" s="703"/>
      <c r="S254" s="703"/>
      <c r="T254" s="703"/>
      <c r="U254" s="703"/>
      <c r="V254" s="703"/>
      <c r="W254" s="703"/>
      <c r="X254" s="703"/>
      <c r="Y254" s="703"/>
      <c r="Z254" s="703"/>
    </row>
    <row r="255">
      <c r="A255" s="703"/>
      <c r="B255" s="703"/>
      <c r="C255" s="703"/>
      <c r="D255" s="703"/>
      <c r="E255" s="703"/>
      <c r="F255" s="703"/>
      <c r="G255" s="703"/>
      <c r="H255" s="703"/>
      <c r="I255" s="703"/>
      <c r="J255" s="703"/>
      <c r="K255" s="703"/>
      <c r="L255" s="703"/>
      <c r="M255" s="703"/>
      <c r="N255" s="703"/>
      <c r="O255" s="703"/>
      <c r="P255" s="703"/>
      <c r="Q255" s="703"/>
      <c r="R255" s="703"/>
      <c r="S255" s="703"/>
      <c r="T255" s="703"/>
      <c r="U255" s="703"/>
      <c r="V255" s="703"/>
      <c r="W255" s="703"/>
      <c r="X255" s="703"/>
      <c r="Y255" s="703"/>
      <c r="Z255" s="703"/>
    </row>
    <row r="256">
      <c r="A256" s="703"/>
      <c r="B256" s="703"/>
      <c r="C256" s="703"/>
      <c r="D256" s="703"/>
      <c r="E256" s="703"/>
      <c r="F256" s="703"/>
      <c r="G256" s="703"/>
      <c r="H256" s="703"/>
      <c r="I256" s="703"/>
      <c r="J256" s="703"/>
      <c r="K256" s="703"/>
      <c r="L256" s="703"/>
      <c r="M256" s="703"/>
      <c r="N256" s="703"/>
      <c r="O256" s="703"/>
      <c r="P256" s="703"/>
      <c r="Q256" s="703"/>
      <c r="R256" s="703"/>
      <c r="S256" s="703"/>
      <c r="T256" s="703"/>
      <c r="U256" s="703"/>
      <c r="V256" s="703"/>
      <c r="W256" s="703"/>
      <c r="X256" s="703"/>
      <c r="Y256" s="703"/>
      <c r="Z256" s="703"/>
    </row>
    <row r="257">
      <c r="A257" s="703"/>
      <c r="B257" s="703"/>
      <c r="C257" s="703"/>
      <c r="D257" s="703"/>
      <c r="E257" s="703"/>
      <c r="F257" s="703"/>
      <c r="G257" s="703"/>
      <c r="H257" s="703"/>
      <c r="I257" s="703"/>
      <c r="J257" s="703"/>
      <c r="K257" s="703"/>
      <c r="L257" s="703"/>
      <c r="M257" s="703"/>
      <c r="N257" s="703"/>
      <c r="O257" s="703"/>
      <c r="P257" s="703"/>
      <c r="Q257" s="703"/>
      <c r="R257" s="703"/>
      <c r="S257" s="703"/>
      <c r="T257" s="703"/>
      <c r="U257" s="703"/>
      <c r="V257" s="703"/>
      <c r="W257" s="703"/>
      <c r="X257" s="703"/>
      <c r="Y257" s="703"/>
      <c r="Z257" s="703"/>
    </row>
    <row r="258">
      <c r="A258" s="703"/>
      <c r="B258" s="703"/>
      <c r="C258" s="703"/>
      <c r="D258" s="703"/>
      <c r="E258" s="703"/>
      <c r="F258" s="703"/>
      <c r="G258" s="703"/>
      <c r="H258" s="703"/>
      <c r="I258" s="703"/>
      <c r="J258" s="703"/>
      <c r="K258" s="703"/>
      <c r="L258" s="703"/>
      <c r="M258" s="703"/>
      <c r="N258" s="703"/>
      <c r="O258" s="703"/>
      <c r="P258" s="703"/>
      <c r="Q258" s="703"/>
      <c r="R258" s="703"/>
      <c r="S258" s="703"/>
      <c r="T258" s="703"/>
      <c r="U258" s="703"/>
      <c r="V258" s="703"/>
      <c r="W258" s="703"/>
      <c r="X258" s="703"/>
      <c r="Y258" s="703"/>
      <c r="Z258" s="703"/>
    </row>
    <row r="259">
      <c r="A259" s="703"/>
      <c r="B259" s="703"/>
      <c r="C259" s="703"/>
      <c r="D259" s="703"/>
      <c r="E259" s="703"/>
      <c r="F259" s="703"/>
      <c r="G259" s="703"/>
      <c r="H259" s="703"/>
      <c r="I259" s="703"/>
      <c r="J259" s="703"/>
      <c r="K259" s="703"/>
      <c r="L259" s="703"/>
      <c r="M259" s="703"/>
      <c r="N259" s="703"/>
      <c r="O259" s="703"/>
      <c r="P259" s="703"/>
      <c r="Q259" s="703"/>
      <c r="R259" s="703"/>
      <c r="S259" s="703"/>
      <c r="T259" s="703"/>
      <c r="U259" s="703"/>
      <c r="V259" s="703"/>
      <c r="W259" s="703"/>
      <c r="X259" s="703"/>
      <c r="Y259" s="703"/>
      <c r="Z259" s="703"/>
    </row>
    <row r="260">
      <c r="A260" s="703"/>
      <c r="B260" s="703"/>
      <c r="C260" s="703"/>
      <c r="D260" s="703"/>
      <c r="E260" s="703"/>
      <c r="F260" s="703"/>
      <c r="G260" s="703"/>
      <c r="H260" s="703"/>
      <c r="I260" s="703"/>
      <c r="J260" s="703"/>
      <c r="K260" s="703"/>
      <c r="L260" s="703"/>
      <c r="M260" s="703"/>
      <c r="N260" s="703"/>
      <c r="O260" s="703"/>
      <c r="P260" s="703"/>
      <c r="Q260" s="703"/>
      <c r="R260" s="703"/>
      <c r="S260" s="703"/>
      <c r="T260" s="703"/>
      <c r="U260" s="703"/>
      <c r="V260" s="703"/>
      <c r="W260" s="703"/>
      <c r="X260" s="703"/>
      <c r="Y260" s="703"/>
      <c r="Z260" s="703"/>
    </row>
    <row r="261">
      <c r="A261" s="703"/>
      <c r="B261" s="703"/>
      <c r="C261" s="703"/>
      <c r="D261" s="703"/>
      <c r="E261" s="703"/>
      <c r="F261" s="703"/>
      <c r="G261" s="703"/>
      <c r="H261" s="703"/>
      <c r="I261" s="703"/>
      <c r="J261" s="703"/>
      <c r="K261" s="703"/>
      <c r="L261" s="703"/>
      <c r="M261" s="703"/>
      <c r="N261" s="703"/>
      <c r="O261" s="703"/>
      <c r="P261" s="703"/>
      <c r="Q261" s="703"/>
      <c r="R261" s="703"/>
      <c r="S261" s="703"/>
      <c r="T261" s="703"/>
      <c r="U261" s="703"/>
      <c r="V261" s="703"/>
      <c r="W261" s="703"/>
      <c r="X261" s="703"/>
      <c r="Y261" s="703"/>
      <c r="Z261" s="703"/>
    </row>
    <row r="262">
      <c r="A262" s="703"/>
      <c r="B262" s="703"/>
      <c r="C262" s="703"/>
      <c r="D262" s="703"/>
      <c r="E262" s="703"/>
      <c r="F262" s="703"/>
      <c r="G262" s="703"/>
      <c r="H262" s="703"/>
      <c r="I262" s="703"/>
      <c r="J262" s="703"/>
      <c r="K262" s="703"/>
      <c r="L262" s="703"/>
      <c r="M262" s="703"/>
      <c r="N262" s="703"/>
      <c r="O262" s="703"/>
      <c r="P262" s="703"/>
      <c r="Q262" s="703"/>
      <c r="R262" s="703"/>
      <c r="S262" s="703"/>
      <c r="T262" s="703"/>
      <c r="U262" s="703"/>
      <c r="V262" s="703"/>
      <c r="W262" s="703"/>
      <c r="X262" s="703"/>
      <c r="Y262" s="703"/>
      <c r="Z262" s="703"/>
    </row>
    <row r="263">
      <c r="A263" s="703"/>
      <c r="B263" s="703"/>
      <c r="C263" s="703"/>
      <c r="D263" s="703"/>
      <c r="E263" s="703"/>
      <c r="F263" s="703"/>
      <c r="G263" s="703"/>
      <c r="H263" s="703"/>
      <c r="I263" s="703"/>
      <c r="J263" s="703"/>
      <c r="K263" s="703"/>
      <c r="L263" s="703"/>
      <c r="M263" s="703"/>
      <c r="N263" s="703"/>
      <c r="O263" s="703"/>
      <c r="P263" s="703"/>
      <c r="Q263" s="703"/>
      <c r="R263" s="703"/>
      <c r="S263" s="703"/>
      <c r="T263" s="703"/>
      <c r="U263" s="703"/>
      <c r="V263" s="703"/>
      <c r="W263" s="703"/>
      <c r="X263" s="703"/>
      <c r="Y263" s="703"/>
      <c r="Z263" s="703"/>
    </row>
    <row r="264">
      <c r="A264" s="703"/>
      <c r="B264" s="703"/>
      <c r="C264" s="703"/>
      <c r="D264" s="703"/>
      <c r="E264" s="703"/>
      <c r="F264" s="703"/>
      <c r="G264" s="703"/>
      <c r="H264" s="703"/>
      <c r="I264" s="703"/>
      <c r="J264" s="703"/>
      <c r="K264" s="703"/>
      <c r="L264" s="703"/>
      <c r="M264" s="703"/>
      <c r="N264" s="703"/>
      <c r="O264" s="703"/>
      <c r="P264" s="703"/>
      <c r="Q264" s="703"/>
      <c r="R264" s="703"/>
      <c r="S264" s="703"/>
      <c r="T264" s="703"/>
      <c r="U264" s="703"/>
      <c r="V264" s="703"/>
      <c r="W264" s="703"/>
      <c r="X264" s="703"/>
      <c r="Y264" s="703"/>
      <c r="Z264" s="703"/>
    </row>
    <row r="265">
      <c r="A265" s="703"/>
      <c r="B265" s="703"/>
      <c r="C265" s="703"/>
      <c r="D265" s="703"/>
      <c r="E265" s="703"/>
      <c r="F265" s="703"/>
      <c r="G265" s="703"/>
      <c r="H265" s="703"/>
      <c r="I265" s="703"/>
      <c r="J265" s="703"/>
      <c r="K265" s="703"/>
      <c r="L265" s="703"/>
      <c r="M265" s="703"/>
      <c r="N265" s="703"/>
      <c r="O265" s="703"/>
      <c r="P265" s="703"/>
      <c r="Q265" s="703"/>
      <c r="R265" s="703"/>
      <c r="S265" s="703"/>
      <c r="T265" s="703"/>
      <c r="U265" s="703"/>
      <c r="V265" s="703"/>
      <c r="W265" s="703"/>
      <c r="X265" s="703"/>
      <c r="Y265" s="703"/>
      <c r="Z265" s="703"/>
    </row>
    <row r="266">
      <c r="A266" s="703"/>
      <c r="B266" s="703"/>
      <c r="C266" s="703"/>
      <c r="D266" s="703"/>
      <c r="E266" s="703"/>
      <c r="F266" s="703"/>
      <c r="G266" s="703"/>
      <c r="H266" s="703"/>
      <c r="I266" s="703"/>
      <c r="J266" s="703"/>
      <c r="K266" s="703"/>
      <c r="L266" s="703"/>
      <c r="M266" s="703"/>
      <c r="N266" s="703"/>
      <c r="O266" s="703"/>
      <c r="P266" s="703"/>
      <c r="Q266" s="703"/>
      <c r="R266" s="703"/>
      <c r="S266" s="703"/>
      <c r="T266" s="703"/>
      <c r="U266" s="703"/>
      <c r="V266" s="703"/>
      <c r="W266" s="703"/>
      <c r="X266" s="703"/>
      <c r="Y266" s="703"/>
      <c r="Z266" s="703"/>
    </row>
    <row r="267">
      <c r="A267" s="703"/>
      <c r="B267" s="703"/>
      <c r="C267" s="703"/>
      <c r="D267" s="703"/>
      <c r="E267" s="703"/>
      <c r="F267" s="703"/>
      <c r="G267" s="703"/>
      <c r="H267" s="703"/>
      <c r="I267" s="703"/>
      <c r="J267" s="703"/>
      <c r="K267" s="703"/>
      <c r="L267" s="703"/>
      <c r="M267" s="703"/>
      <c r="N267" s="703"/>
      <c r="O267" s="703"/>
      <c r="P267" s="703"/>
      <c r="Q267" s="703"/>
      <c r="R267" s="703"/>
      <c r="S267" s="703"/>
      <c r="T267" s="703"/>
      <c r="U267" s="703"/>
      <c r="V267" s="703"/>
      <c r="W267" s="703"/>
      <c r="X267" s="703"/>
      <c r="Y267" s="703"/>
      <c r="Z267" s="703"/>
    </row>
    <row r="268">
      <c r="A268" s="703"/>
      <c r="B268" s="703"/>
      <c r="C268" s="703"/>
      <c r="D268" s="703"/>
      <c r="E268" s="703"/>
      <c r="F268" s="703"/>
      <c r="G268" s="703"/>
      <c r="H268" s="703"/>
      <c r="I268" s="703"/>
      <c r="J268" s="703"/>
      <c r="K268" s="703"/>
      <c r="L268" s="703"/>
      <c r="M268" s="703"/>
      <c r="N268" s="703"/>
      <c r="O268" s="703"/>
      <c r="P268" s="703"/>
      <c r="Q268" s="703"/>
      <c r="R268" s="703"/>
      <c r="S268" s="703"/>
      <c r="T268" s="703"/>
      <c r="U268" s="703"/>
      <c r="V268" s="703"/>
      <c r="W268" s="703"/>
      <c r="X268" s="703"/>
      <c r="Y268" s="703"/>
      <c r="Z268" s="703"/>
    </row>
    <row r="269">
      <c r="A269" s="703"/>
      <c r="B269" s="703"/>
      <c r="C269" s="703"/>
      <c r="D269" s="703"/>
      <c r="E269" s="703"/>
      <c r="F269" s="703"/>
      <c r="G269" s="703"/>
      <c r="H269" s="703"/>
      <c r="I269" s="703"/>
      <c r="J269" s="703"/>
      <c r="K269" s="703"/>
      <c r="L269" s="703"/>
      <c r="M269" s="703"/>
      <c r="N269" s="703"/>
      <c r="O269" s="703"/>
      <c r="P269" s="703"/>
      <c r="Q269" s="703"/>
      <c r="R269" s="703"/>
      <c r="S269" s="703"/>
      <c r="T269" s="703"/>
      <c r="U269" s="703"/>
      <c r="V269" s="703"/>
      <c r="W269" s="703"/>
      <c r="X269" s="703"/>
      <c r="Y269" s="703"/>
      <c r="Z269" s="703"/>
    </row>
    <row r="270">
      <c r="A270" s="703"/>
      <c r="B270" s="703"/>
      <c r="C270" s="703"/>
      <c r="D270" s="703"/>
      <c r="E270" s="703"/>
      <c r="F270" s="703"/>
      <c r="G270" s="703"/>
      <c r="H270" s="703"/>
      <c r="I270" s="703"/>
      <c r="J270" s="703"/>
      <c r="K270" s="703"/>
      <c r="L270" s="703"/>
      <c r="M270" s="703"/>
      <c r="N270" s="703"/>
      <c r="O270" s="703"/>
      <c r="P270" s="703"/>
      <c r="Q270" s="703"/>
      <c r="R270" s="703"/>
      <c r="S270" s="703"/>
      <c r="T270" s="703"/>
      <c r="U270" s="703"/>
      <c r="V270" s="703"/>
      <c r="W270" s="703"/>
      <c r="X270" s="703"/>
      <c r="Y270" s="703"/>
      <c r="Z270" s="703"/>
    </row>
    <row r="271">
      <c r="A271" s="703"/>
      <c r="B271" s="703"/>
      <c r="C271" s="703"/>
      <c r="D271" s="703"/>
      <c r="E271" s="703"/>
      <c r="F271" s="703"/>
      <c r="G271" s="703"/>
      <c r="H271" s="703"/>
      <c r="I271" s="703"/>
      <c r="J271" s="703"/>
      <c r="K271" s="703"/>
      <c r="L271" s="703"/>
      <c r="M271" s="703"/>
      <c r="N271" s="703"/>
      <c r="O271" s="703"/>
      <c r="P271" s="703"/>
      <c r="Q271" s="703"/>
      <c r="R271" s="703"/>
      <c r="S271" s="703"/>
      <c r="T271" s="703"/>
      <c r="U271" s="703"/>
      <c r="V271" s="703"/>
      <c r="W271" s="703"/>
      <c r="X271" s="703"/>
      <c r="Y271" s="703"/>
      <c r="Z271" s="703"/>
    </row>
    <row r="272">
      <c r="A272" s="703"/>
      <c r="B272" s="703"/>
      <c r="C272" s="703"/>
      <c r="D272" s="703"/>
      <c r="E272" s="703"/>
      <c r="F272" s="703"/>
      <c r="G272" s="703"/>
      <c r="H272" s="703"/>
      <c r="I272" s="703"/>
      <c r="J272" s="703"/>
      <c r="K272" s="703"/>
      <c r="L272" s="703"/>
      <c r="M272" s="703"/>
      <c r="N272" s="703"/>
      <c r="O272" s="703"/>
      <c r="P272" s="703"/>
      <c r="Q272" s="703"/>
      <c r="R272" s="703"/>
      <c r="S272" s="703"/>
      <c r="T272" s="703"/>
      <c r="U272" s="703"/>
      <c r="V272" s="703"/>
      <c r="W272" s="703"/>
      <c r="X272" s="703"/>
      <c r="Y272" s="703"/>
      <c r="Z272" s="703"/>
    </row>
    <row r="273">
      <c r="A273" s="703"/>
      <c r="B273" s="703"/>
      <c r="C273" s="703"/>
      <c r="D273" s="703"/>
      <c r="E273" s="703"/>
      <c r="F273" s="703"/>
      <c r="G273" s="703"/>
      <c r="H273" s="703"/>
      <c r="I273" s="703"/>
      <c r="J273" s="703"/>
      <c r="K273" s="703"/>
      <c r="L273" s="703"/>
      <c r="M273" s="703"/>
      <c r="N273" s="703"/>
      <c r="O273" s="703"/>
      <c r="P273" s="703"/>
      <c r="Q273" s="703"/>
      <c r="R273" s="703"/>
      <c r="S273" s="703"/>
      <c r="T273" s="703"/>
      <c r="U273" s="703"/>
      <c r="V273" s="703"/>
      <c r="W273" s="703"/>
      <c r="X273" s="703"/>
      <c r="Y273" s="703"/>
      <c r="Z273" s="703"/>
    </row>
    <row r="274">
      <c r="A274" s="703"/>
      <c r="B274" s="703"/>
      <c r="C274" s="703"/>
      <c r="D274" s="703"/>
      <c r="E274" s="703"/>
      <c r="F274" s="703"/>
      <c r="G274" s="703"/>
      <c r="H274" s="703"/>
      <c r="I274" s="703"/>
      <c r="J274" s="703"/>
      <c r="K274" s="703"/>
      <c r="L274" s="703"/>
      <c r="M274" s="703"/>
      <c r="N274" s="703"/>
      <c r="O274" s="703"/>
      <c r="P274" s="703"/>
      <c r="Q274" s="703"/>
      <c r="R274" s="703"/>
      <c r="S274" s="703"/>
      <c r="T274" s="703"/>
      <c r="U274" s="703"/>
      <c r="V274" s="703"/>
      <c r="W274" s="703"/>
      <c r="X274" s="703"/>
      <c r="Y274" s="703"/>
      <c r="Z274" s="703"/>
    </row>
    <row r="275">
      <c r="A275" s="703"/>
      <c r="B275" s="703"/>
      <c r="C275" s="703"/>
      <c r="D275" s="703"/>
      <c r="E275" s="703"/>
      <c r="F275" s="703"/>
      <c r="G275" s="703"/>
      <c r="H275" s="703"/>
      <c r="I275" s="703"/>
      <c r="J275" s="703"/>
      <c r="K275" s="703"/>
      <c r="L275" s="703"/>
      <c r="M275" s="703"/>
      <c r="N275" s="703"/>
      <c r="O275" s="703"/>
      <c r="P275" s="703"/>
      <c r="Q275" s="703"/>
      <c r="R275" s="703"/>
      <c r="S275" s="703"/>
      <c r="T275" s="703"/>
      <c r="U275" s="703"/>
      <c r="V275" s="703"/>
      <c r="W275" s="703"/>
      <c r="X275" s="703"/>
      <c r="Y275" s="703"/>
      <c r="Z275" s="703"/>
    </row>
    <row r="276">
      <c r="A276" s="703"/>
      <c r="B276" s="703"/>
      <c r="C276" s="703"/>
      <c r="D276" s="703"/>
      <c r="E276" s="703"/>
      <c r="F276" s="703"/>
      <c r="G276" s="703"/>
      <c r="H276" s="703"/>
      <c r="I276" s="703"/>
      <c r="J276" s="703"/>
      <c r="K276" s="703"/>
      <c r="L276" s="703"/>
      <c r="M276" s="703"/>
      <c r="N276" s="703"/>
      <c r="O276" s="703"/>
      <c r="P276" s="703"/>
      <c r="Q276" s="703"/>
      <c r="R276" s="703"/>
      <c r="S276" s="703"/>
      <c r="T276" s="703"/>
      <c r="U276" s="703"/>
      <c r="V276" s="703"/>
      <c r="W276" s="703"/>
      <c r="X276" s="703"/>
      <c r="Y276" s="703"/>
      <c r="Z276" s="703"/>
    </row>
    <row r="277">
      <c r="A277" s="703"/>
      <c r="B277" s="703"/>
      <c r="C277" s="703"/>
      <c r="D277" s="703"/>
      <c r="E277" s="703"/>
      <c r="F277" s="703"/>
      <c r="G277" s="703"/>
      <c r="H277" s="703"/>
      <c r="I277" s="703"/>
      <c r="J277" s="703"/>
      <c r="K277" s="703"/>
      <c r="L277" s="703"/>
      <c r="M277" s="703"/>
      <c r="N277" s="703"/>
      <c r="O277" s="703"/>
      <c r="P277" s="703"/>
      <c r="Q277" s="703"/>
      <c r="R277" s="703"/>
      <c r="S277" s="703"/>
      <c r="T277" s="703"/>
      <c r="U277" s="703"/>
      <c r="V277" s="703"/>
      <c r="W277" s="703"/>
      <c r="X277" s="703"/>
      <c r="Y277" s="703"/>
      <c r="Z277" s="703"/>
    </row>
    <row r="278">
      <c r="A278" s="703"/>
      <c r="B278" s="703"/>
      <c r="C278" s="703"/>
      <c r="D278" s="703"/>
      <c r="E278" s="703"/>
      <c r="F278" s="703"/>
      <c r="G278" s="703"/>
      <c r="H278" s="703"/>
      <c r="I278" s="703"/>
      <c r="J278" s="703"/>
      <c r="K278" s="703"/>
      <c r="L278" s="703"/>
      <c r="M278" s="703"/>
      <c r="N278" s="703"/>
      <c r="O278" s="703"/>
      <c r="P278" s="703"/>
      <c r="Q278" s="703"/>
      <c r="R278" s="703"/>
      <c r="S278" s="703"/>
      <c r="T278" s="703"/>
      <c r="U278" s="703"/>
      <c r="V278" s="703"/>
      <c r="W278" s="703"/>
      <c r="X278" s="703"/>
      <c r="Y278" s="703"/>
      <c r="Z278" s="703"/>
    </row>
    <row r="279">
      <c r="A279" s="703"/>
      <c r="B279" s="703"/>
      <c r="C279" s="703"/>
      <c r="D279" s="703"/>
      <c r="E279" s="703"/>
      <c r="F279" s="703"/>
      <c r="G279" s="703"/>
      <c r="H279" s="703"/>
      <c r="I279" s="703"/>
      <c r="J279" s="703"/>
      <c r="K279" s="703"/>
      <c r="L279" s="703"/>
      <c r="M279" s="703"/>
      <c r="N279" s="703"/>
      <c r="O279" s="703"/>
      <c r="P279" s="703"/>
      <c r="Q279" s="703"/>
      <c r="R279" s="703"/>
      <c r="S279" s="703"/>
      <c r="T279" s="703"/>
      <c r="U279" s="703"/>
      <c r="V279" s="703"/>
      <c r="W279" s="703"/>
      <c r="X279" s="703"/>
      <c r="Y279" s="703"/>
      <c r="Z279" s="703"/>
    </row>
    <row r="280">
      <c r="A280" s="703"/>
      <c r="B280" s="703"/>
      <c r="C280" s="703"/>
      <c r="D280" s="703"/>
      <c r="E280" s="703"/>
      <c r="F280" s="703"/>
      <c r="G280" s="703"/>
      <c r="H280" s="703"/>
      <c r="I280" s="703"/>
      <c r="J280" s="703"/>
      <c r="K280" s="703"/>
      <c r="L280" s="703"/>
      <c r="M280" s="703"/>
      <c r="N280" s="703"/>
      <c r="O280" s="703"/>
      <c r="P280" s="703"/>
      <c r="Q280" s="703"/>
      <c r="R280" s="703"/>
      <c r="S280" s="703"/>
      <c r="T280" s="703"/>
      <c r="U280" s="703"/>
      <c r="V280" s="703"/>
      <c r="W280" s="703"/>
      <c r="X280" s="703"/>
      <c r="Y280" s="703"/>
      <c r="Z280" s="703"/>
    </row>
    <row r="281">
      <c r="A281" s="703"/>
      <c r="B281" s="703"/>
      <c r="C281" s="703"/>
      <c r="D281" s="703"/>
      <c r="E281" s="703"/>
      <c r="F281" s="703"/>
      <c r="G281" s="703"/>
      <c r="H281" s="703"/>
      <c r="I281" s="703"/>
      <c r="J281" s="703"/>
      <c r="K281" s="703"/>
      <c r="L281" s="703"/>
      <c r="M281" s="703"/>
      <c r="N281" s="703"/>
      <c r="O281" s="703"/>
      <c r="P281" s="703"/>
      <c r="Q281" s="703"/>
      <c r="R281" s="703"/>
      <c r="S281" s="703"/>
      <c r="T281" s="703"/>
      <c r="U281" s="703"/>
      <c r="V281" s="703"/>
      <c r="W281" s="703"/>
      <c r="X281" s="703"/>
      <c r="Y281" s="703"/>
      <c r="Z281" s="703"/>
    </row>
    <row r="282">
      <c r="A282" s="703"/>
      <c r="B282" s="703"/>
      <c r="C282" s="703"/>
      <c r="D282" s="703"/>
      <c r="E282" s="703"/>
      <c r="F282" s="703"/>
      <c r="G282" s="703"/>
      <c r="H282" s="703"/>
      <c r="I282" s="703"/>
      <c r="J282" s="703"/>
      <c r="K282" s="703"/>
      <c r="L282" s="703"/>
      <c r="M282" s="703"/>
      <c r="N282" s="703"/>
      <c r="O282" s="703"/>
      <c r="P282" s="703"/>
      <c r="Q282" s="703"/>
      <c r="R282" s="703"/>
      <c r="S282" s="703"/>
      <c r="T282" s="703"/>
      <c r="U282" s="703"/>
      <c r="V282" s="703"/>
      <c r="W282" s="703"/>
      <c r="X282" s="703"/>
      <c r="Y282" s="703"/>
      <c r="Z282" s="703"/>
    </row>
    <row r="283">
      <c r="A283" s="703"/>
      <c r="B283" s="703"/>
      <c r="C283" s="703"/>
      <c r="D283" s="703"/>
      <c r="E283" s="703"/>
      <c r="F283" s="703"/>
      <c r="G283" s="703"/>
      <c r="H283" s="703"/>
      <c r="I283" s="703"/>
      <c r="J283" s="703"/>
      <c r="K283" s="703"/>
      <c r="L283" s="703"/>
      <c r="M283" s="703"/>
      <c r="N283" s="703"/>
      <c r="O283" s="703"/>
      <c r="P283" s="703"/>
      <c r="Q283" s="703"/>
      <c r="R283" s="703"/>
      <c r="S283" s="703"/>
      <c r="T283" s="703"/>
      <c r="U283" s="703"/>
      <c r="V283" s="703"/>
      <c r="W283" s="703"/>
      <c r="X283" s="703"/>
      <c r="Y283" s="703"/>
      <c r="Z283" s="703"/>
    </row>
    <row r="284">
      <c r="A284" s="703"/>
      <c r="B284" s="703"/>
      <c r="C284" s="703"/>
      <c r="D284" s="703"/>
      <c r="E284" s="703"/>
      <c r="F284" s="703"/>
      <c r="G284" s="703"/>
      <c r="H284" s="703"/>
      <c r="I284" s="703"/>
      <c r="J284" s="703"/>
      <c r="K284" s="703"/>
      <c r="L284" s="703"/>
      <c r="M284" s="703"/>
      <c r="N284" s="703"/>
      <c r="O284" s="703"/>
      <c r="P284" s="703"/>
      <c r="Q284" s="703"/>
      <c r="R284" s="703"/>
      <c r="S284" s="703"/>
      <c r="T284" s="703"/>
      <c r="U284" s="703"/>
      <c r="V284" s="703"/>
      <c r="W284" s="703"/>
      <c r="X284" s="703"/>
      <c r="Y284" s="703"/>
      <c r="Z284" s="703"/>
    </row>
    <row r="285">
      <c r="A285" s="703"/>
      <c r="B285" s="703"/>
      <c r="C285" s="703"/>
      <c r="D285" s="703"/>
      <c r="E285" s="703"/>
      <c r="F285" s="703"/>
      <c r="G285" s="703"/>
      <c r="H285" s="703"/>
      <c r="I285" s="703"/>
      <c r="J285" s="703"/>
      <c r="K285" s="703"/>
      <c r="L285" s="703"/>
      <c r="M285" s="703"/>
      <c r="N285" s="703"/>
      <c r="O285" s="703"/>
      <c r="P285" s="703"/>
      <c r="Q285" s="703"/>
      <c r="R285" s="703"/>
      <c r="S285" s="703"/>
      <c r="T285" s="703"/>
      <c r="U285" s="703"/>
      <c r="V285" s="703"/>
      <c r="W285" s="703"/>
      <c r="X285" s="703"/>
      <c r="Y285" s="703"/>
      <c r="Z285" s="703"/>
    </row>
    <row r="286">
      <c r="A286" s="703"/>
      <c r="B286" s="703"/>
      <c r="C286" s="703"/>
      <c r="D286" s="703"/>
      <c r="E286" s="703"/>
      <c r="F286" s="703"/>
      <c r="G286" s="703"/>
      <c r="H286" s="703"/>
      <c r="I286" s="703"/>
      <c r="J286" s="703"/>
      <c r="K286" s="703"/>
      <c r="L286" s="703"/>
      <c r="M286" s="703"/>
      <c r="N286" s="703"/>
      <c r="O286" s="703"/>
      <c r="P286" s="703"/>
      <c r="Q286" s="703"/>
      <c r="R286" s="703"/>
      <c r="S286" s="703"/>
      <c r="T286" s="703"/>
      <c r="U286" s="703"/>
      <c r="V286" s="703"/>
      <c r="W286" s="703"/>
      <c r="X286" s="703"/>
      <c r="Y286" s="703"/>
      <c r="Z286" s="703"/>
    </row>
    <row r="287">
      <c r="A287" s="703"/>
      <c r="B287" s="703"/>
      <c r="C287" s="703"/>
      <c r="D287" s="703"/>
      <c r="E287" s="703"/>
      <c r="F287" s="703"/>
      <c r="G287" s="703"/>
      <c r="H287" s="703"/>
      <c r="I287" s="703"/>
      <c r="J287" s="703"/>
      <c r="K287" s="703"/>
      <c r="L287" s="703"/>
      <c r="M287" s="703"/>
      <c r="N287" s="703"/>
      <c r="O287" s="703"/>
      <c r="P287" s="703"/>
      <c r="Q287" s="703"/>
      <c r="R287" s="703"/>
      <c r="S287" s="703"/>
      <c r="T287" s="703"/>
      <c r="U287" s="703"/>
      <c r="V287" s="703"/>
      <c r="W287" s="703"/>
      <c r="X287" s="703"/>
      <c r="Y287" s="703"/>
      <c r="Z287" s="703"/>
    </row>
    <row r="288">
      <c r="A288" s="703"/>
      <c r="B288" s="703"/>
      <c r="C288" s="703"/>
      <c r="D288" s="703"/>
      <c r="E288" s="703"/>
      <c r="F288" s="703"/>
      <c r="G288" s="703"/>
      <c r="H288" s="703"/>
      <c r="I288" s="703"/>
      <c r="J288" s="703"/>
      <c r="K288" s="703"/>
      <c r="L288" s="703"/>
      <c r="M288" s="703"/>
      <c r="N288" s="703"/>
      <c r="O288" s="703"/>
      <c r="P288" s="703"/>
      <c r="Q288" s="703"/>
      <c r="R288" s="703"/>
      <c r="S288" s="703"/>
      <c r="T288" s="703"/>
      <c r="U288" s="703"/>
      <c r="V288" s="703"/>
      <c r="W288" s="703"/>
      <c r="X288" s="703"/>
      <c r="Y288" s="703"/>
      <c r="Z288" s="703"/>
    </row>
    <row r="289">
      <c r="A289" s="703"/>
      <c r="B289" s="703"/>
      <c r="C289" s="703"/>
      <c r="D289" s="703"/>
      <c r="E289" s="703"/>
      <c r="F289" s="703"/>
      <c r="G289" s="703"/>
      <c r="H289" s="703"/>
      <c r="I289" s="703"/>
      <c r="J289" s="703"/>
      <c r="K289" s="703"/>
      <c r="L289" s="703"/>
      <c r="M289" s="703"/>
      <c r="N289" s="703"/>
      <c r="O289" s="703"/>
      <c r="P289" s="703"/>
      <c r="Q289" s="703"/>
      <c r="R289" s="703"/>
      <c r="S289" s="703"/>
      <c r="T289" s="703"/>
      <c r="U289" s="703"/>
      <c r="V289" s="703"/>
      <c r="W289" s="703"/>
      <c r="X289" s="703"/>
      <c r="Y289" s="703"/>
      <c r="Z289" s="703"/>
    </row>
    <row r="290">
      <c r="A290" s="703"/>
      <c r="B290" s="703"/>
      <c r="C290" s="703"/>
      <c r="D290" s="703"/>
      <c r="E290" s="703"/>
      <c r="F290" s="703"/>
      <c r="G290" s="703"/>
      <c r="H290" s="703"/>
      <c r="I290" s="703"/>
      <c r="J290" s="703"/>
      <c r="K290" s="703"/>
      <c r="L290" s="703"/>
      <c r="M290" s="703"/>
      <c r="N290" s="703"/>
      <c r="O290" s="703"/>
      <c r="P290" s="703"/>
      <c r="Q290" s="703"/>
      <c r="R290" s="703"/>
      <c r="S290" s="703"/>
      <c r="T290" s="703"/>
      <c r="U290" s="703"/>
      <c r="V290" s="703"/>
      <c r="W290" s="703"/>
      <c r="X290" s="703"/>
      <c r="Y290" s="703"/>
      <c r="Z290" s="703"/>
    </row>
    <row r="291">
      <c r="A291" s="703"/>
      <c r="B291" s="703"/>
      <c r="C291" s="703"/>
      <c r="D291" s="703"/>
      <c r="E291" s="703"/>
      <c r="F291" s="703"/>
      <c r="G291" s="703"/>
      <c r="H291" s="703"/>
      <c r="I291" s="703"/>
      <c r="J291" s="703"/>
      <c r="K291" s="703"/>
      <c r="L291" s="703"/>
      <c r="M291" s="703"/>
      <c r="N291" s="703"/>
      <c r="O291" s="703"/>
      <c r="P291" s="703"/>
      <c r="Q291" s="703"/>
      <c r="R291" s="703"/>
      <c r="S291" s="703"/>
      <c r="T291" s="703"/>
      <c r="U291" s="703"/>
      <c r="V291" s="703"/>
      <c r="W291" s="703"/>
      <c r="X291" s="703"/>
      <c r="Y291" s="703"/>
      <c r="Z291" s="703"/>
    </row>
    <row r="292">
      <c r="A292" s="703"/>
      <c r="B292" s="703"/>
      <c r="C292" s="703"/>
      <c r="D292" s="703"/>
      <c r="E292" s="703"/>
      <c r="F292" s="703"/>
      <c r="G292" s="703"/>
      <c r="H292" s="703"/>
      <c r="I292" s="703"/>
      <c r="J292" s="703"/>
      <c r="K292" s="703"/>
      <c r="L292" s="703"/>
      <c r="M292" s="703"/>
      <c r="N292" s="703"/>
      <c r="O292" s="703"/>
      <c r="P292" s="703"/>
      <c r="Q292" s="703"/>
      <c r="R292" s="703"/>
      <c r="S292" s="703"/>
      <c r="T292" s="703"/>
      <c r="U292" s="703"/>
      <c r="V292" s="703"/>
      <c r="W292" s="703"/>
      <c r="X292" s="703"/>
      <c r="Y292" s="703"/>
      <c r="Z292" s="703"/>
    </row>
    <row r="293">
      <c r="A293" s="703"/>
      <c r="B293" s="703"/>
      <c r="C293" s="703"/>
      <c r="D293" s="703"/>
      <c r="E293" s="703"/>
      <c r="F293" s="703"/>
      <c r="G293" s="703"/>
      <c r="H293" s="703"/>
      <c r="I293" s="703"/>
      <c r="J293" s="703"/>
      <c r="K293" s="703"/>
      <c r="L293" s="703"/>
      <c r="M293" s="703"/>
      <c r="N293" s="703"/>
      <c r="O293" s="703"/>
      <c r="P293" s="703"/>
      <c r="Q293" s="703"/>
      <c r="R293" s="703"/>
      <c r="S293" s="703"/>
      <c r="T293" s="703"/>
      <c r="U293" s="703"/>
      <c r="V293" s="703"/>
      <c r="W293" s="703"/>
      <c r="X293" s="703"/>
      <c r="Y293" s="703"/>
      <c r="Z293" s="703"/>
    </row>
    <row r="294">
      <c r="A294" s="703"/>
      <c r="B294" s="703"/>
      <c r="C294" s="703"/>
      <c r="D294" s="703"/>
      <c r="E294" s="703"/>
      <c r="F294" s="703"/>
      <c r="G294" s="703"/>
      <c r="H294" s="703"/>
      <c r="I294" s="703"/>
      <c r="J294" s="703"/>
      <c r="K294" s="703"/>
      <c r="L294" s="703"/>
      <c r="M294" s="703"/>
      <c r="N294" s="703"/>
      <c r="O294" s="703"/>
      <c r="P294" s="703"/>
      <c r="Q294" s="703"/>
      <c r="R294" s="703"/>
      <c r="S294" s="703"/>
      <c r="T294" s="703"/>
      <c r="U294" s="703"/>
      <c r="V294" s="703"/>
      <c r="W294" s="703"/>
      <c r="X294" s="703"/>
      <c r="Y294" s="703"/>
      <c r="Z294" s="703"/>
    </row>
    <row r="295">
      <c r="A295" s="703"/>
      <c r="B295" s="703"/>
      <c r="C295" s="703"/>
      <c r="D295" s="703"/>
      <c r="E295" s="703"/>
      <c r="F295" s="703"/>
      <c r="G295" s="703"/>
      <c r="H295" s="703"/>
      <c r="I295" s="703"/>
      <c r="J295" s="703"/>
      <c r="K295" s="703"/>
      <c r="L295" s="703"/>
      <c r="M295" s="703"/>
      <c r="N295" s="703"/>
      <c r="O295" s="703"/>
      <c r="P295" s="703"/>
      <c r="Q295" s="703"/>
      <c r="R295" s="703"/>
      <c r="S295" s="703"/>
      <c r="T295" s="703"/>
      <c r="U295" s="703"/>
      <c r="V295" s="703"/>
      <c r="W295" s="703"/>
      <c r="X295" s="703"/>
      <c r="Y295" s="703"/>
      <c r="Z295" s="703"/>
    </row>
    <row r="296">
      <c r="A296" s="703"/>
      <c r="B296" s="703"/>
      <c r="C296" s="703"/>
      <c r="D296" s="703"/>
      <c r="E296" s="703"/>
      <c r="F296" s="703"/>
      <c r="G296" s="703"/>
      <c r="H296" s="703"/>
      <c r="I296" s="703"/>
      <c r="J296" s="703"/>
      <c r="K296" s="703"/>
      <c r="L296" s="703"/>
      <c r="M296" s="703"/>
      <c r="N296" s="703"/>
      <c r="O296" s="703"/>
      <c r="P296" s="703"/>
      <c r="Q296" s="703"/>
      <c r="R296" s="703"/>
      <c r="S296" s="703"/>
      <c r="T296" s="703"/>
      <c r="U296" s="703"/>
      <c r="V296" s="703"/>
      <c r="W296" s="703"/>
      <c r="X296" s="703"/>
      <c r="Y296" s="703"/>
      <c r="Z296" s="703"/>
    </row>
    <row r="297">
      <c r="A297" s="703"/>
      <c r="B297" s="703"/>
      <c r="C297" s="703"/>
      <c r="D297" s="703"/>
      <c r="E297" s="703"/>
      <c r="F297" s="703"/>
      <c r="G297" s="703"/>
      <c r="H297" s="703"/>
      <c r="I297" s="703"/>
      <c r="J297" s="703"/>
      <c r="K297" s="703"/>
      <c r="L297" s="703"/>
      <c r="M297" s="703"/>
      <c r="N297" s="703"/>
      <c r="O297" s="703"/>
      <c r="P297" s="703"/>
      <c r="Q297" s="703"/>
      <c r="R297" s="703"/>
      <c r="S297" s="703"/>
      <c r="T297" s="703"/>
      <c r="U297" s="703"/>
      <c r="V297" s="703"/>
      <c r="W297" s="703"/>
      <c r="X297" s="703"/>
      <c r="Y297" s="703"/>
      <c r="Z297" s="703"/>
    </row>
    <row r="298">
      <c r="A298" s="703"/>
      <c r="B298" s="703"/>
      <c r="C298" s="703"/>
      <c r="D298" s="703"/>
      <c r="E298" s="703"/>
      <c r="F298" s="703"/>
      <c r="G298" s="703"/>
      <c r="H298" s="703"/>
      <c r="I298" s="703"/>
      <c r="J298" s="703"/>
      <c r="K298" s="703"/>
      <c r="L298" s="703"/>
      <c r="M298" s="703"/>
      <c r="N298" s="703"/>
      <c r="O298" s="703"/>
      <c r="P298" s="703"/>
      <c r="Q298" s="703"/>
      <c r="R298" s="703"/>
      <c r="S298" s="703"/>
      <c r="T298" s="703"/>
      <c r="U298" s="703"/>
      <c r="V298" s="703"/>
      <c r="W298" s="703"/>
      <c r="X298" s="703"/>
      <c r="Y298" s="703"/>
      <c r="Z298" s="703"/>
    </row>
    <row r="299">
      <c r="A299" s="703"/>
      <c r="B299" s="703"/>
      <c r="C299" s="703"/>
      <c r="D299" s="703"/>
      <c r="E299" s="703"/>
      <c r="F299" s="703"/>
      <c r="G299" s="703"/>
      <c r="H299" s="703"/>
      <c r="I299" s="703"/>
      <c r="J299" s="703"/>
      <c r="K299" s="703"/>
      <c r="L299" s="703"/>
      <c r="M299" s="703"/>
      <c r="N299" s="703"/>
      <c r="O299" s="703"/>
      <c r="P299" s="703"/>
      <c r="Q299" s="703"/>
      <c r="R299" s="703"/>
      <c r="S299" s="703"/>
      <c r="T299" s="703"/>
      <c r="U299" s="703"/>
      <c r="V299" s="703"/>
      <c r="W299" s="703"/>
      <c r="X299" s="703"/>
      <c r="Y299" s="703"/>
      <c r="Z299" s="703"/>
    </row>
    <row r="300">
      <c r="A300" s="703"/>
      <c r="B300" s="703"/>
      <c r="C300" s="703"/>
      <c r="D300" s="703"/>
      <c r="E300" s="703"/>
      <c r="F300" s="703"/>
      <c r="G300" s="703"/>
      <c r="H300" s="703"/>
      <c r="I300" s="703"/>
      <c r="J300" s="703"/>
      <c r="K300" s="703"/>
      <c r="L300" s="703"/>
      <c r="M300" s="703"/>
      <c r="N300" s="703"/>
      <c r="O300" s="703"/>
      <c r="P300" s="703"/>
      <c r="Q300" s="703"/>
      <c r="R300" s="703"/>
      <c r="S300" s="703"/>
      <c r="T300" s="703"/>
      <c r="U300" s="703"/>
      <c r="V300" s="703"/>
      <c r="W300" s="703"/>
      <c r="X300" s="703"/>
      <c r="Y300" s="703"/>
      <c r="Z300" s="703"/>
    </row>
    <row r="301">
      <c r="A301" s="703"/>
      <c r="B301" s="703"/>
      <c r="C301" s="703"/>
      <c r="D301" s="703"/>
      <c r="E301" s="703"/>
      <c r="F301" s="703"/>
      <c r="G301" s="703"/>
      <c r="H301" s="703"/>
      <c r="I301" s="703"/>
      <c r="J301" s="703"/>
      <c r="K301" s="703"/>
      <c r="L301" s="703"/>
      <c r="M301" s="703"/>
      <c r="N301" s="703"/>
      <c r="O301" s="703"/>
      <c r="P301" s="703"/>
      <c r="Q301" s="703"/>
      <c r="R301" s="703"/>
      <c r="S301" s="703"/>
      <c r="T301" s="703"/>
      <c r="U301" s="703"/>
      <c r="V301" s="703"/>
      <c r="W301" s="703"/>
      <c r="X301" s="703"/>
      <c r="Y301" s="703"/>
      <c r="Z301" s="703"/>
    </row>
    <row r="302">
      <c r="A302" s="703"/>
      <c r="B302" s="703"/>
      <c r="C302" s="703"/>
      <c r="D302" s="703"/>
      <c r="E302" s="703"/>
      <c r="F302" s="703"/>
      <c r="G302" s="703"/>
      <c r="H302" s="703"/>
      <c r="I302" s="703"/>
      <c r="J302" s="703"/>
      <c r="K302" s="703"/>
      <c r="L302" s="703"/>
      <c r="M302" s="703"/>
      <c r="N302" s="703"/>
      <c r="O302" s="703"/>
      <c r="P302" s="703"/>
      <c r="Q302" s="703"/>
      <c r="R302" s="703"/>
      <c r="S302" s="703"/>
      <c r="T302" s="703"/>
      <c r="U302" s="703"/>
      <c r="V302" s="703"/>
      <c r="W302" s="703"/>
      <c r="X302" s="703"/>
      <c r="Y302" s="703"/>
      <c r="Z302" s="703"/>
    </row>
    <row r="303">
      <c r="A303" s="703"/>
      <c r="B303" s="703"/>
      <c r="C303" s="703"/>
      <c r="D303" s="703"/>
      <c r="E303" s="703"/>
      <c r="F303" s="703"/>
      <c r="G303" s="703"/>
      <c r="H303" s="703"/>
      <c r="I303" s="703"/>
      <c r="J303" s="703"/>
      <c r="K303" s="703"/>
      <c r="L303" s="703"/>
      <c r="M303" s="703"/>
      <c r="N303" s="703"/>
      <c r="O303" s="703"/>
      <c r="P303" s="703"/>
      <c r="Q303" s="703"/>
      <c r="R303" s="703"/>
      <c r="S303" s="703"/>
      <c r="T303" s="703"/>
      <c r="U303" s="703"/>
      <c r="V303" s="703"/>
      <c r="W303" s="703"/>
      <c r="X303" s="703"/>
      <c r="Y303" s="703"/>
      <c r="Z303" s="703"/>
    </row>
    <row r="304">
      <c r="A304" s="703"/>
      <c r="B304" s="703"/>
      <c r="C304" s="703"/>
      <c r="D304" s="703"/>
      <c r="E304" s="703"/>
      <c r="F304" s="703"/>
      <c r="G304" s="703"/>
      <c r="H304" s="703"/>
      <c r="I304" s="703"/>
      <c r="J304" s="703"/>
      <c r="K304" s="703"/>
      <c r="L304" s="703"/>
      <c r="M304" s="703"/>
      <c r="N304" s="703"/>
      <c r="O304" s="703"/>
      <c r="P304" s="703"/>
      <c r="Q304" s="703"/>
      <c r="R304" s="703"/>
      <c r="S304" s="703"/>
      <c r="T304" s="703"/>
      <c r="U304" s="703"/>
      <c r="V304" s="703"/>
      <c r="W304" s="703"/>
      <c r="X304" s="703"/>
      <c r="Y304" s="703"/>
      <c r="Z304" s="703"/>
    </row>
    <row r="305">
      <c r="A305" s="703"/>
      <c r="B305" s="703"/>
      <c r="C305" s="703"/>
      <c r="D305" s="703"/>
      <c r="E305" s="703"/>
      <c r="F305" s="703"/>
      <c r="G305" s="703"/>
      <c r="H305" s="703"/>
      <c r="I305" s="703"/>
      <c r="J305" s="703"/>
      <c r="K305" s="703"/>
      <c r="L305" s="703"/>
      <c r="M305" s="703"/>
      <c r="N305" s="703"/>
      <c r="O305" s="703"/>
      <c r="P305" s="703"/>
      <c r="Q305" s="703"/>
      <c r="R305" s="703"/>
      <c r="S305" s="703"/>
      <c r="T305" s="703"/>
      <c r="U305" s="703"/>
      <c r="V305" s="703"/>
      <c r="W305" s="703"/>
      <c r="X305" s="703"/>
      <c r="Y305" s="703"/>
      <c r="Z305" s="703"/>
    </row>
    <row r="306">
      <c r="A306" s="703"/>
      <c r="B306" s="703"/>
      <c r="C306" s="703"/>
      <c r="D306" s="703"/>
      <c r="E306" s="703"/>
      <c r="F306" s="703"/>
      <c r="G306" s="703"/>
      <c r="H306" s="703"/>
      <c r="I306" s="703"/>
      <c r="J306" s="703"/>
      <c r="K306" s="703"/>
      <c r="L306" s="703"/>
      <c r="M306" s="703"/>
      <c r="N306" s="703"/>
      <c r="O306" s="703"/>
      <c r="P306" s="703"/>
      <c r="Q306" s="703"/>
      <c r="R306" s="703"/>
      <c r="S306" s="703"/>
      <c r="T306" s="703"/>
      <c r="U306" s="703"/>
      <c r="V306" s="703"/>
      <c r="W306" s="703"/>
      <c r="X306" s="703"/>
      <c r="Y306" s="703"/>
      <c r="Z306" s="703"/>
    </row>
    <row r="307">
      <c r="A307" s="703"/>
      <c r="B307" s="703"/>
      <c r="C307" s="703"/>
      <c r="D307" s="703"/>
      <c r="E307" s="703"/>
      <c r="F307" s="703"/>
      <c r="G307" s="703"/>
      <c r="H307" s="703"/>
      <c r="I307" s="703"/>
      <c r="J307" s="703"/>
      <c r="K307" s="703"/>
      <c r="L307" s="703"/>
      <c r="M307" s="703"/>
      <c r="N307" s="703"/>
      <c r="O307" s="703"/>
      <c r="P307" s="703"/>
      <c r="Q307" s="703"/>
      <c r="R307" s="703"/>
      <c r="S307" s="703"/>
      <c r="T307" s="703"/>
      <c r="U307" s="703"/>
      <c r="V307" s="703"/>
      <c r="W307" s="703"/>
      <c r="X307" s="703"/>
      <c r="Y307" s="703"/>
      <c r="Z307" s="703"/>
    </row>
    <row r="308">
      <c r="A308" s="703"/>
      <c r="B308" s="703"/>
      <c r="C308" s="703"/>
      <c r="D308" s="703"/>
      <c r="E308" s="703"/>
      <c r="F308" s="703"/>
      <c r="G308" s="703"/>
      <c r="H308" s="703"/>
      <c r="I308" s="703"/>
      <c r="J308" s="703"/>
      <c r="K308" s="703"/>
      <c r="L308" s="703"/>
      <c r="M308" s="703"/>
      <c r="N308" s="703"/>
      <c r="O308" s="703"/>
      <c r="P308" s="703"/>
      <c r="Q308" s="703"/>
      <c r="R308" s="703"/>
      <c r="S308" s="703"/>
      <c r="T308" s="703"/>
      <c r="U308" s="703"/>
      <c r="V308" s="703"/>
      <c r="W308" s="703"/>
      <c r="X308" s="703"/>
      <c r="Y308" s="703"/>
      <c r="Z308" s="703"/>
    </row>
    <row r="309">
      <c r="A309" s="703"/>
      <c r="B309" s="703"/>
      <c r="C309" s="703"/>
      <c r="D309" s="703"/>
      <c r="E309" s="703"/>
      <c r="F309" s="703"/>
      <c r="G309" s="703"/>
      <c r="H309" s="703"/>
      <c r="I309" s="703"/>
      <c r="J309" s="703"/>
      <c r="K309" s="703"/>
      <c r="L309" s="703"/>
      <c r="M309" s="703"/>
      <c r="N309" s="703"/>
      <c r="O309" s="703"/>
      <c r="P309" s="703"/>
      <c r="Q309" s="703"/>
      <c r="R309" s="703"/>
      <c r="S309" s="703"/>
      <c r="T309" s="703"/>
      <c r="U309" s="703"/>
      <c r="V309" s="703"/>
      <c r="W309" s="703"/>
      <c r="X309" s="703"/>
      <c r="Y309" s="703"/>
      <c r="Z309" s="703"/>
    </row>
    <row r="310">
      <c r="A310" s="703"/>
      <c r="B310" s="703"/>
      <c r="C310" s="703"/>
      <c r="D310" s="703"/>
      <c r="E310" s="703"/>
      <c r="F310" s="703"/>
      <c r="G310" s="703"/>
      <c r="H310" s="703"/>
      <c r="I310" s="703"/>
      <c r="J310" s="703"/>
      <c r="K310" s="703"/>
      <c r="L310" s="703"/>
      <c r="M310" s="703"/>
      <c r="N310" s="703"/>
      <c r="O310" s="703"/>
      <c r="P310" s="703"/>
      <c r="Q310" s="703"/>
      <c r="R310" s="703"/>
      <c r="S310" s="703"/>
      <c r="T310" s="703"/>
      <c r="U310" s="703"/>
      <c r="V310" s="703"/>
      <c r="W310" s="703"/>
      <c r="X310" s="703"/>
      <c r="Y310" s="703"/>
      <c r="Z310" s="703"/>
    </row>
    <row r="311">
      <c r="A311" s="703"/>
      <c r="B311" s="703"/>
      <c r="C311" s="703"/>
      <c r="D311" s="703"/>
      <c r="E311" s="703"/>
      <c r="F311" s="703"/>
      <c r="G311" s="703"/>
      <c r="H311" s="703"/>
      <c r="I311" s="703"/>
      <c r="J311" s="703"/>
      <c r="K311" s="703"/>
      <c r="L311" s="703"/>
      <c r="M311" s="703"/>
      <c r="N311" s="703"/>
      <c r="O311" s="703"/>
      <c r="P311" s="703"/>
      <c r="Q311" s="703"/>
      <c r="R311" s="703"/>
      <c r="S311" s="703"/>
      <c r="T311" s="703"/>
      <c r="U311" s="703"/>
      <c r="V311" s="703"/>
      <c r="W311" s="703"/>
      <c r="X311" s="703"/>
      <c r="Y311" s="703"/>
      <c r="Z311" s="703"/>
    </row>
    <row r="312">
      <c r="A312" s="703"/>
      <c r="B312" s="703"/>
      <c r="C312" s="703"/>
      <c r="D312" s="703"/>
      <c r="E312" s="703"/>
      <c r="F312" s="703"/>
      <c r="G312" s="703"/>
      <c r="H312" s="703"/>
      <c r="I312" s="703"/>
      <c r="J312" s="703"/>
      <c r="K312" s="703"/>
      <c r="L312" s="703"/>
      <c r="M312" s="703"/>
      <c r="N312" s="703"/>
      <c r="O312" s="703"/>
      <c r="P312" s="703"/>
      <c r="Q312" s="703"/>
      <c r="R312" s="703"/>
      <c r="S312" s="703"/>
      <c r="T312" s="703"/>
      <c r="U312" s="703"/>
      <c r="V312" s="703"/>
      <c r="W312" s="703"/>
      <c r="X312" s="703"/>
      <c r="Y312" s="703"/>
      <c r="Z312" s="703"/>
    </row>
    <row r="313">
      <c r="A313" s="703"/>
      <c r="B313" s="703"/>
      <c r="C313" s="703"/>
      <c r="D313" s="703"/>
      <c r="E313" s="703"/>
      <c r="F313" s="703"/>
      <c r="G313" s="703"/>
      <c r="H313" s="703"/>
      <c r="I313" s="703"/>
      <c r="J313" s="703"/>
      <c r="K313" s="703"/>
      <c r="L313" s="703"/>
      <c r="M313" s="703"/>
      <c r="N313" s="703"/>
      <c r="O313" s="703"/>
      <c r="P313" s="703"/>
      <c r="Q313" s="703"/>
      <c r="R313" s="703"/>
      <c r="S313" s="703"/>
      <c r="T313" s="703"/>
      <c r="U313" s="703"/>
      <c r="V313" s="703"/>
      <c r="W313" s="703"/>
      <c r="X313" s="703"/>
      <c r="Y313" s="703"/>
      <c r="Z313" s="703"/>
    </row>
    <row r="314">
      <c r="A314" s="703"/>
      <c r="B314" s="703"/>
      <c r="C314" s="703"/>
      <c r="D314" s="703"/>
      <c r="E314" s="703"/>
      <c r="F314" s="703"/>
      <c r="G314" s="703"/>
      <c r="H314" s="703"/>
      <c r="I314" s="703"/>
      <c r="J314" s="703"/>
      <c r="K314" s="703"/>
      <c r="L314" s="703"/>
      <c r="M314" s="703"/>
      <c r="N314" s="703"/>
      <c r="O314" s="703"/>
      <c r="P314" s="703"/>
      <c r="Q314" s="703"/>
      <c r="R314" s="703"/>
      <c r="S314" s="703"/>
      <c r="T314" s="703"/>
      <c r="U314" s="703"/>
      <c r="V314" s="703"/>
      <c r="W314" s="703"/>
      <c r="X314" s="703"/>
      <c r="Y314" s="703"/>
      <c r="Z314" s="703"/>
    </row>
    <row r="315">
      <c r="A315" s="703"/>
      <c r="B315" s="703"/>
      <c r="C315" s="703"/>
      <c r="D315" s="703"/>
      <c r="E315" s="703"/>
      <c r="F315" s="703"/>
      <c r="G315" s="703"/>
      <c r="H315" s="703"/>
      <c r="I315" s="703"/>
      <c r="J315" s="703"/>
      <c r="K315" s="703"/>
      <c r="L315" s="703"/>
      <c r="M315" s="703"/>
      <c r="N315" s="703"/>
      <c r="O315" s="703"/>
      <c r="P315" s="703"/>
      <c r="Q315" s="703"/>
      <c r="R315" s="703"/>
      <c r="S315" s="703"/>
      <c r="T315" s="703"/>
      <c r="U315" s="703"/>
      <c r="V315" s="703"/>
      <c r="W315" s="703"/>
      <c r="X315" s="703"/>
      <c r="Y315" s="703"/>
      <c r="Z315" s="703"/>
    </row>
    <row r="316">
      <c r="A316" s="703"/>
      <c r="B316" s="703"/>
      <c r="C316" s="703"/>
      <c r="D316" s="703"/>
      <c r="E316" s="703"/>
      <c r="F316" s="703"/>
      <c r="G316" s="703"/>
      <c r="H316" s="703"/>
      <c r="I316" s="703"/>
      <c r="J316" s="703"/>
      <c r="K316" s="703"/>
      <c r="L316" s="703"/>
      <c r="M316" s="703"/>
      <c r="N316" s="703"/>
      <c r="O316" s="703"/>
      <c r="P316" s="703"/>
      <c r="Q316" s="703"/>
      <c r="R316" s="703"/>
      <c r="S316" s="703"/>
      <c r="T316" s="703"/>
      <c r="U316" s="703"/>
      <c r="V316" s="703"/>
      <c r="W316" s="703"/>
      <c r="X316" s="703"/>
      <c r="Y316" s="703"/>
      <c r="Z316" s="703"/>
    </row>
    <row r="317">
      <c r="A317" s="703"/>
      <c r="B317" s="703"/>
      <c r="C317" s="703"/>
      <c r="D317" s="703"/>
      <c r="E317" s="703"/>
      <c r="F317" s="703"/>
      <c r="G317" s="703"/>
      <c r="H317" s="703"/>
      <c r="I317" s="703"/>
      <c r="J317" s="703"/>
      <c r="K317" s="703"/>
      <c r="L317" s="703"/>
      <c r="M317" s="703"/>
      <c r="N317" s="703"/>
      <c r="O317" s="703"/>
      <c r="P317" s="703"/>
      <c r="Q317" s="703"/>
      <c r="R317" s="703"/>
      <c r="S317" s="703"/>
      <c r="T317" s="703"/>
      <c r="U317" s="703"/>
      <c r="V317" s="703"/>
      <c r="W317" s="703"/>
      <c r="X317" s="703"/>
      <c r="Y317" s="703"/>
      <c r="Z317" s="703"/>
    </row>
    <row r="318">
      <c r="A318" s="703"/>
      <c r="B318" s="703"/>
      <c r="C318" s="703"/>
      <c r="D318" s="703"/>
      <c r="E318" s="703"/>
      <c r="F318" s="703"/>
      <c r="G318" s="703"/>
      <c r="H318" s="703"/>
      <c r="I318" s="703"/>
      <c r="J318" s="703"/>
      <c r="K318" s="703"/>
      <c r="L318" s="703"/>
      <c r="M318" s="703"/>
      <c r="N318" s="703"/>
      <c r="O318" s="703"/>
      <c r="P318" s="703"/>
      <c r="Q318" s="703"/>
      <c r="R318" s="703"/>
      <c r="S318" s="703"/>
      <c r="T318" s="703"/>
      <c r="U318" s="703"/>
      <c r="V318" s="703"/>
      <c r="W318" s="703"/>
      <c r="X318" s="703"/>
      <c r="Y318" s="703"/>
      <c r="Z318" s="703"/>
    </row>
    <row r="319">
      <c r="A319" s="703"/>
      <c r="B319" s="703"/>
      <c r="C319" s="703"/>
      <c r="D319" s="703"/>
      <c r="E319" s="703"/>
      <c r="F319" s="703"/>
      <c r="G319" s="703"/>
      <c r="H319" s="703"/>
      <c r="I319" s="703"/>
      <c r="J319" s="703"/>
      <c r="K319" s="703"/>
      <c r="L319" s="703"/>
      <c r="M319" s="703"/>
      <c r="N319" s="703"/>
      <c r="O319" s="703"/>
      <c r="P319" s="703"/>
      <c r="Q319" s="703"/>
      <c r="R319" s="703"/>
      <c r="S319" s="703"/>
      <c r="T319" s="703"/>
      <c r="U319" s="703"/>
      <c r="V319" s="703"/>
      <c r="W319" s="703"/>
      <c r="X319" s="703"/>
      <c r="Y319" s="703"/>
      <c r="Z319" s="703"/>
    </row>
    <row r="320">
      <c r="A320" s="703"/>
      <c r="B320" s="703"/>
      <c r="C320" s="703"/>
      <c r="D320" s="703"/>
      <c r="E320" s="703"/>
      <c r="F320" s="703"/>
      <c r="G320" s="703"/>
      <c r="H320" s="703"/>
      <c r="I320" s="703"/>
      <c r="J320" s="703"/>
      <c r="K320" s="703"/>
      <c r="L320" s="703"/>
      <c r="M320" s="703"/>
      <c r="N320" s="703"/>
      <c r="O320" s="703"/>
      <c r="P320" s="703"/>
      <c r="Q320" s="703"/>
      <c r="R320" s="703"/>
      <c r="S320" s="703"/>
      <c r="T320" s="703"/>
      <c r="U320" s="703"/>
      <c r="V320" s="703"/>
      <c r="W320" s="703"/>
      <c r="X320" s="703"/>
      <c r="Y320" s="703"/>
      <c r="Z320" s="703"/>
    </row>
    <row r="321">
      <c r="A321" s="703"/>
      <c r="B321" s="703"/>
      <c r="C321" s="703"/>
      <c r="D321" s="703"/>
      <c r="E321" s="703"/>
      <c r="F321" s="703"/>
      <c r="G321" s="703"/>
      <c r="H321" s="703"/>
      <c r="I321" s="703"/>
      <c r="J321" s="703"/>
      <c r="K321" s="703"/>
      <c r="L321" s="703"/>
      <c r="M321" s="703"/>
      <c r="N321" s="703"/>
      <c r="O321" s="703"/>
      <c r="P321" s="703"/>
      <c r="Q321" s="703"/>
      <c r="R321" s="703"/>
      <c r="S321" s="703"/>
      <c r="T321" s="703"/>
      <c r="U321" s="703"/>
      <c r="V321" s="703"/>
      <c r="W321" s="703"/>
      <c r="X321" s="703"/>
      <c r="Y321" s="703"/>
      <c r="Z321" s="703"/>
    </row>
    <row r="322">
      <c r="A322" s="703"/>
      <c r="B322" s="703"/>
      <c r="C322" s="703"/>
      <c r="D322" s="703"/>
      <c r="E322" s="703"/>
      <c r="F322" s="703"/>
      <c r="G322" s="703"/>
      <c r="H322" s="703"/>
      <c r="I322" s="703"/>
      <c r="J322" s="703"/>
      <c r="K322" s="703"/>
      <c r="L322" s="703"/>
      <c r="M322" s="703"/>
      <c r="N322" s="703"/>
      <c r="O322" s="703"/>
      <c r="P322" s="703"/>
      <c r="Q322" s="703"/>
      <c r="R322" s="703"/>
      <c r="S322" s="703"/>
      <c r="T322" s="703"/>
      <c r="U322" s="703"/>
      <c r="V322" s="703"/>
      <c r="W322" s="703"/>
      <c r="X322" s="703"/>
      <c r="Y322" s="703"/>
      <c r="Z322" s="703"/>
    </row>
    <row r="323">
      <c r="A323" s="703"/>
      <c r="B323" s="703"/>
      <c r="C323" s="703"/>
      <c r="D323" s="703"/>
      <c r="E323" s="703"/>
      <c r="F323" s="703"/>
      <c r="G323" s="703"/>
      <c r="H323" s="703"/>
      <c r="I323" s="703"/>
      <c r="J323" s="703"/>
      <c r="K323" s="703"/>
      <c r="L323" s="703"/>
      <c r="M323" s="703"/>
      <c r="N323" s="703"/>
      <c r="O323" s="703"/>
      <c r="P323" s="703"/>
      <c r="Q323" s="703"/>
      <c r="R323" s="703"/>
      <c r="S323" s="703"/>
      <c r="T323" s="703"/>
      <c r="U323" s="703"/>
      <c r="V323" s="703"/>
      <c r="W323" s="703"/>
      <c r="X323" s="703"/>
      <c r="Y323" s="703"/>
      <c r="Z323" s="703"/>
    </row>
    <row r="324">
      <c r="A324" s="703"/>
      <c r="B324" s="703"/>
      <c r="C324" s="703"/>
      <c r="D324" s="703"/>
      <c r="E324" s="703"/>
      <c r="F324" s="703"/>
      <c r="G324" s="703"/>
      <c r="H324" s="703"/>
      <c r="I324" s="703"/>
      <c r="J324" s="703"/>
      <c r="K324" s="703"/>
      <c r="L324" s="703"/>
      <c r="M324" s="703"/>
      <c r="N324" s="703"/>
      <c r="O324" s="703"/>
      <c r="P324" s="703"/>
      <c r="Q324" s="703"/>
      <c r="R324" s="703"/>
      <c r="S324" s="703"/>
      <c r="T324" s="703"/>
      <c r="U324" s="703"/>
      <c r="V324" s="703"/>
      <c r="W324" s="703"/>
      <c r="X324" s="703"/>
      <c r="Y324" s="703"/>
      <c r="Z324" s="703"/>
    </row>
    <row r="325">
      <c r="A325" s="703"/>
      <c r="B325" s="703"/>
      <c r="C325" s="703"/>
      <c r="D325" s="703"/>
      <c r="E325" s="703"/>
      <c r="F325" s="703"/>
      <c r="G325" s="703"/>
      <c r="H325" s="703"/>
      <c r="I325" s="703"/>
      <c r="J325" s="703"/>
      <c r="K325" s="703"/>
      <c r="L325" s="703"/>
      <c r="M325" s="703"/>
      <c r="N325" s="703"/>
      <c r="O325" s="703"/>
      <c r="P325" s="703"/>
      <c r="Q325" s="703"/>
      <c r="R325" s="703"/>
      <c r="S325" s="703"/>
      <c r="T325" s="703"/>
      <c r="U325" s="703"/>
      <c r="V325" s="703"/>
      <c r="W325" s="703"/>
      <c r="X325" s="703"/>
      <c r="Y325" s="703"/>
      <c r="Z325" s="703"/>
    </row>
    <row r="326">
      <c r="A326" s="703"/>
      <c r="B326" s="703"/>
      <c r="C326" s="703"/>
      <c r="D326" s="703"/>
      <c r="E326" s="703"/>
      <c r="F326" s="703"/>
      <c r="G326" s="703"/>
      <c r="H326" s="703"/>
      <c r="I326" s="703"/>
      <c r="J326" s="703"/>
      <c r="K326" s="703"/>
      <c r="L326" s="703"/>
      <c r="M326" s="703"/>
      <c r="N326" s="703"/>
      <c r="O326" s="703"/>
      <c r="P326" s="703"/>
      <c r="Q326" s="703"/>
      <c r="R326" s="703"/>
      <c r="S326" s="703"/>
      <c r="T326" s="703"/>
      <c r="U326" s="703"/>
      <c r="V326" s="703"/>
      <c r="W326" s="703"/>
      <c r="X326" s="703"/>
      <c r="Y326" s="703"/>
      <c r="Z326" s="703"/>
    </row>
    <row r="327">
      <c r="A327" s="703"/>
      <c r="B327" s="703"/>
      <c r="C327" s="703"/>
      <c r="D327" s="703"/>
      <c r="E327" s="703"/>
      <c r="F327" s="703"/>
      <c r="G327" s="703"/>
      <c r="H327" s="703"/>
      <c r="I327" s="703"/>
      <c r="J327" s="703"/>
      <c r="K327" s="703"/>
      <c r="L327" s="703"/>
      <c r="M327" s="703"/>
      <c r="N327" s="703"/>
      <c r="O327" s="703"/>
      <c r="P327" s="703"/>
      <c r="Q327" s="703"/>
      <c r="R327" s="703"/>
      <c r="S327" s="703"/>
      <c r="T327" s="703"/>
      <c r="U327" s="703"/>
      <c r="V327" s="703"/>
      <c r="W327" s="703"/>
      <c r="X327" s="703"/>
      <c r="Y327" s="703"/>
      <c r="Z327" s="703"/>
    </row>
    <row r="328">
      <c r="A328" s="703"/>
      <c r="B328" s="703"/>
      <c r="C328" s="703"/>
      <c r="D328" s="703"/>
      <c r="E328" s="703"/>
      <c r="F328" s="703"/>
      <c r="G328" s="703"/>
      <c r="H328" s="703"/>
      <c r="I328" s="703"/>
      <c r="J328" s="703"/>
      <c r="K328" s="703"/>
      <c r="L328" s="703"/>
      <c r="M328" s="703"/>
      <c r="N328" s="703"/>
      <c r="O328" s="703"/>
      <c r="P328" s="703"/>
      <c r="Q328" s="703"/>
      <c r="R328" s="703"/>
      <c r="S328" s="703"/>
      <c r="T328" s="703"/>
      <c r="U328" s="703"/>
      <c r="V328" s="703"/>
      <c r="W328" s="703"/>
      <c r="X328" s="703"/>
      <c r="Y328" s="703"/>
      <c r="Z328" s="703"/>
    </row>
    <row r="329">
      <c r="A329" s="703"/>
      <c r="B329" s="703"/>
      <c r="C329" s="703"/>
      <c r="D329" s="703"/>
      <c r="E329" s="703"/>
      <c r="F329" s="703"/>
      <c r="G329" s="703"/>
      <c r="H329" s="703"/>
      <c r="I329" s="703"/>
      <c r="J329" s="703"/>
      <c r="K329" s="703"/>
      <c r="L329" s="703"/>
      <c r="M329" s="703"/>
      <c r="N329" s="703"/>
      <c r="O329" s="703"/>
      <c r="P329" s="703"/>
      <c r="Q329" s="703"/>
      <c r="R329" s="703"/>
      <c r="S329" s="703"/>
      <c r="T329" s="703"/>
      <c r="U329" s="703"/>
      <c r="V329" s="703"/>
      <c r="W329" s="703"/>
      <c r="X329" s="703"/>
      <c r="Y329" s="703"/>
      <c r="Z329" s="703"/>
    </row>
    <row r="330">
      <c r="A330" s="703"/>
      <c r="B330" s="703"/>
      <c r="C330" s="703"/>
      <c r="D330" s="703"/>
      <c r="E330" s="703"/>
      <c r="F330" s="703"/>
      <c r="G330" s="703"/>
      <c r="H330" s="703"/>
      <c r="I330" s="703"/>
      <c r="J330" s="703"/>
      <c r="K330" s="703"/>
      <c r="L330" s="703"/>
      <c r="M330" s="703"/>
      <c r="N330" s="703"/>
      <c r="O330" s="703"/>
      <c r="P330" s="703"/>
      <c r="Q330" s="703"/>
      <c r="R330" s="703"/>
      <c r="S330" s="703"/>
      <c r="T330" s="703"/>
      <c r="U330" s="703"/>
      <c r="V330" s="703"/>
      <c r="W330" s="703"/>
      <c r="X330" s="703"/>
      <c r="Y330" s="703"/>
      <c r="Z330" s="703"/>
    </row>
    <row r="331">
      <c r="A331" s="703"/>
      <c r="B331" s="703"/>
      <c r="C331" s="703"/>
      <c r="D331" s="703"/>
      <c r="E331" s="703"/>
      <c r="F331" s="703"/>
      <c r="G331" s="703"/>
      <c r="H331" s="703"/>
      <c r="I331" s="703"/>
      <c r="J331" s="703"/>
      <c r="K331" s="703"/>
      <c r="L331" s="703"/>
      <c r="M331" s="703"/>
      <c r="N331" s="703"/>
      <c r="O331" s="703"/>
      <c r="P331" s="703"/>
      <c r="Q331" s="703"/>
      <c r="R331" s="703"/>
      <c r="S331" s="703"/>
      <c r="T331" s="703"/>
      <c r="U331" s="703"/>
      <c r="V331" s="703"/>
      <c r="W331" s="703"/>
      <c r="X331" s="703"/>
      <c r="Y331" s="703"/>
      <c r="Z331" s="703"/>
    </row>
    <row r="332">
      <c r="A332" s="703"/>
      <c r="B332" s="703"/>
      <c r="C332" s="703"/>
      <c r="D332" s="703"/>
      <c r="E332" s="703"/>
      <c r="F332" s="703"/>
      <c r="G332" s="703"/>
      <c r="H332" s="703"/>
      <c r="I332" s="703"/>
      <c r="J332" s="703"/>
      <c r="K332" s="703"/>
      <c r="L332" s="703"/>
      <c r="M332" s="703"/>
      <c r="N332" s="703"/>
      <c r="O332" s="703"/>
      <c r="P332" s="703"/>
      <c r="Q332" s="703"/>
      <c r="R332" s="703"/>
      <c r="S332" s="703"/>
      <c r="T332" s="703"/>
      <c r="U332" s="703"/>
      <c r="V332" s="703"/>
      <c r="W332" s="703"/>
      <c r="X332" s="703"/>
      <c r="Y332" s="703"/>
      <c r="Z332" s="703"/>
    </row>
    <row r="333">
      <c r="A333" s="703"/>
      <c r="B333" s="703"/>
      <c r="C333" s="703"/>
      <c r="D333" s="703"/>
      <c r="E333" s="703"/>
      <c r="F333" s="703"/>
      <c r="G333" s="703"/>
      <c r="H333" s="703"/>
      <c r="I333" s="703"/>
      <c r="J333" s="703"/>
      <c r="K333" s="703"/>
      <c r="L333" s="703"/>
      <c r="M333" s="703"/>
      <c r="N333" s="703"/>
      <c r="O333" s="703"/>
      <c r="P333" s="703"/>
      <c r="Q333" s="703"/>
      <c r="R333" s="703"/>
      <c r="S333" s="703"/>
      <c r="T333" s="703"/>
      <c r="U333" s="703"/>
      <c r="V333" s="703"/>
      <c r="W333" s="703"/>
      <c r="X333" s="703"/>
      <c r="Y333" s="703"/>
      <c r="Z333" s="703"/>
    </row>
    <row r="334">
      <c r="A334" s="703"/>
      <c r="B334" s="703"/>
      <c r="C334" s="703"/>
      <c r="D334" s="703"/>
      <c r="E334" s="703"/>
      <c r="F334" s="703"/>
      <c r="G334" s="703"/>
      <c r="H334" s="703"/>
      <c r="I334" s="703"/>
      <c r="J334" s="703"/>
      <c r="K334" s="703"/>
      <c r="L334" s="703"/>
      <c r="M334" s="703"/>
      <c r="N334" s="703"/>
      <c r="O334" s="703"/>
      <c r="P334" s="703"/>
      <c r="Q334" s="703"/>
      <c r="R334" s="703"/>
      <c r="S334" s="703"/>
      <c r="T334" s="703"/>
      <c r="U334" s="703"/>
      <c r="V334" s="703"/>
      <c r="W334" s="703"/>
      <c r="X334" s="703"/>
      <c r="Y334" s="703"/>
      <c r="Z334" s="703"/>
    </row>
    <row r="335">
      <c r="A335" s="703"/>
      <c r="B335" s="703"/>
      <c r="C335" s="703"/>
      <c r="D335" s="703"/>
      <c r="E335" s="703"/>
      <c r="F335" s="703"/>
      <c r="G335" s="703"/>
      <c r="H335" s="703"/>
      <c r="I335" s="703"/>
      <c r="J335" s="703"/>
      <c r="K335" s="703"/>
      <c r="L335" s="703"/>
      <c r="M335" s="703"/>
      <c r="N335" s="703"/>
      <c r="O335" s="703"/>
      <c r="P335" s="703"/>
      <c r="Q335" s="703"/>
      <c r="R335" s="703"/>
      <c r="S335" s="703"/>
      <c r="T335" s="703"/>
      <c r="U335" s="703"/>
      <c r="V335" s="703"/>
      <c r="W335" s="703"/>
      <c r="X335" s="703"/>
      <c r="Y335" s="703"/>
      <c r="Z335" s="703"/>
    </row>
    <row r="336">
      <c r="A336" s="703"/>
      <c r="B336" s="703"/>
      <c r="C336" s="703"/>
      <c r="D336" s="703"/>
      <c r="E336" s="703"/>
      <c r="F336" s="703"/>
      <c r="G336" s="703"/>
      <c r="H336" s="703"/>
      <c r="I336" s="703"/>
      <c r="J336" s="703"/>
      <c r="K336" s="703"/>
      <c r="L336" s="703"/>
      <c r="M336" s="703"/>
      <c r="N336" s="703"/>
      <c r="O336" s="703"/>
      <c r="P336" s="703"/>
      <c r="Q336" s="703"/>
      <c r="R336" s="703"/>
      <c r="S336" s="703"/>
      <c r="T336" s="703"/>
      <c r="U336" s="703"/>
      <c r="V336" s="703"/>
      <c r="W336" s="703"/>
      <c r="X336" s="703"/>
      <c r="Y336" s="703"/>
      <c r="Z336" s="703"/>
    </row>
    <row r="337">
      <c r="A337" s="703"/>
      <c r="B337" s="703"/>
      <c r="C337" s="703"/>
      <c r="D337" s="703"/>
      <c r="E337" s="703"/>
      <c r="F337" s="703"/>
      <c r="G337" s="703"/>
      <c r="H337" s="703"/>
      <c r="I337" s="703"/>
      <c r="J337" s="703"/>
      <c r="K337" s="703"/>
      <c r="L337" s="703"/>
      <c r="M337" s="703"/>
      <c r="N337" s="703"/>
      <c r="O337" s="703"/>
      <c r="P337" s="703"/>
      <c r="Q337" s="703"/>
      <c r="R337" s="703"/>
      <c r="S337" s="703"/>
      <c r="T337" s="703"/>
      <c r="U337" s="703"/>
      <c r="V337" s="703"/>
      <c r="W337" s="703"/>
      <c r="X337" s="703"/>
      <c r="Y337" s="703"/>
      <c r="Z337" s="703"/>
    </row>
    <row r="338">
      <c r="A338" s="703"/>
      <c r="B338" s="703"/>
      <c r="C338" s="703"/>
      <c r="D338" s="703"/>
      <c r="E338" s="703"/>
      <c r="F338" s="703"/>
      <c r="G338" s="703"/>
      <c r="H338" s="703"/>
      <c r="I338" s="703"/>
      <c r="J338" s="703"/>
      <c r="K338" s="703"/>
      <c r="L338" s="703"/>
      <c r="M338" s="703"/>
      <c r="N338" s="703"/>
      <c r="O338" s="703"/>
      <c r="P338" s="703"/>
      <c r="Q338" s="703"/>
      <c r="R338" s="703"/>
      <c r="S338" s="703"/>
      <c r="T338" s="703"/>
      <c r="U338" s="703"/>
      <c r="V338" s="703"/>
      <c r="W338" s="703"/>
      <c r="X338" s="703"/>
      <c r="Y338" s="703"/>
      <c r="Z338" s="703"/>
    </row>
    <row r="339">
      <c r="A339" s="703"/>
      <c r="B339" s="703"/>
      <c r="C339" s="703"/>
      <c r="D339" s="703"/>
      <c r="E339" s="703"/>
      <c r="F339" s="703"/>
      <c r="G339" s="703"/>
      <c r="H339" s="703"/>
      <c r="I339" s="703"/>
      <c r="J339" s="703"/>
      <c r="K339" s="703"/>
      <c r="L339" s="703"/>
      <c r="M339" s="703"/>
      <c r="N339" s="703"/>
      <c r="O339" s="703"/>
      <c r="P339" s="703"/>
      <c r="Q339" s="703"/>
      <c r="R339" s="703"/>
      <c r="S339" s="703"/>
      <c r="T339" s="703"/>
      <c r="U339" s="703"/>
      <c r="V339" s="703"/>
      <c r="W339" s="703"/>
      <c r="X339" s="703"/>
      <c r="Y339" s="703"/>
      <c r="Z339" s="703"/>
    </row>
    <row r="340">
      <c r="A340" s="703"/>
      <c r="B340" s="703"/>
      <c r="C340" s="703"/>
      <c r="D340" s="703"/>
      <c r="E340" s="703"/>
      <c r="F340" s="703"/>
      <c r="G340" s="703"/>
      <c r="H340" s="703"/>
      <c r="I340" s="703"/>
      <c r="J340" s="703"/>
      <c r="K340" s="703"/>
      <c r="L340" s="703"/>
      <c r="M340" s="703"/>
      <c r="N340" s="703"/>
      <c r="O340" s="703"/>
      <c r="P340" s="703"/>
      <c r="Q340" s="703"/>
      <c r="R340" s="703"/>
      <c r="S340" s="703"/>
      <c r="T340" s="703"/>
      <c r="U340" s="703"/>
      <c r="V340" s="703"/>
      <c r="W340" s="703"/>
      <c r="X340" s="703"/>
      <c r="Y340" s="703"/>
      <c r="Z340" s="703"/>
    </row>
    <row r="341">
      <c r="A341" s="703"/>
      <c r="B341" s="703"/>
      <c r="C341" s="703"/>
      <c r="D341" s="703"/>
      <c r="E341" s="703"/>
      <c r="F341" s="703"/>
      <c r="G341" s="703"/>
      <c r="H341" s="703"/>
      <c r="I341" s="703"/>
      <c r="J341" s="703"/>
      <c r="K341" s="703"/>
      <c r="L341" s="703"/>
      <c r="M341" s="703"/>
      <c r="N341" s="703"/>
      <c r="O341" s="703"/>
      <c r="P341" s="703"/>
      <c r="Q341" s="703"/>
      <c r="R341" s="703"/>
      <c r="S341" s="703"/>
      <c r="T341" s="703"/>
      <c r="U341" s="703"/>
      <c r="V341" s="703"/>
      <c r="W341" s="703"/>
      <c r="X341" s="703"/>
      <c r="Y341" s="703"/>
      <c r="Z341" s="703"/>
    </row>
    <row r="342">
      <c r="A342" s="703"/>
      <c r="B342" s="703"/>
      <c r="C342" s="703"/>
      <c r="D342" s="703"/>
      <c r="E342" s="703"/>
      <c r="F342" s="703"/>
      <c r="G342" s="703"/>
      <c r="H342" s="703"/>
      <c r="I342" s="703"/>
      <c r="J342" s="703"/>
      <c r="K342" s="703"/>
      <c r="L342" s="703"/>
      <c r="M342" s="703"/>
      <c r="N342" s="703"/>
      <c r="O342" s="703"/>
      <c r="P342" s="703"/>
      <c r="Q342" s="703"/>
      <c r="R342" s="703"/>
      <c r="S342" s="703"/>
      <c r="T342" s="703"/>
      <c r="U342" s="703"/>
      <c r="V342" s="703"/>
      <c r="W342" s="703"/>
      <c r="X342" s="703"/>
      <c r="Y342" s="703"/>
      <c r="Z342" s="703"/>
    </row>
    <row r="343">
      <c r="A343" s="703"/>
      <c r="B343" s="703"/>
      <c r="C343" s="703"/>
      <c r="D343" s="703"/>
      <c r="E343" s="703"/>
      <c r="F343" s="703"/>
      <c r="G343" s="703"/>
      <c r="H343" s="703"/>
      <c r="I343" s="703"/>
      <c r="J343" s="703"/>
      <c r="K343" s="703"/>
      <c r="L343" s="703"/>
      <c r="M343" s="703"/>
      <c r="N343" s="703"/>
      <c r="O343" s="703"/>
      <c r="P343" s="703"/>
      <c r="Q343" s="703"/>
      <c r="R343" s="703"/>
      <c r="S343" s="703"/>
      <c r="T343" s="703"/>
      <c r="U343" s="703"/>
      <c r="V343" s="703"/>
      <c r="W343" s="703"/>
      <c r="X343" s="703"/>
      <c r="Y343" s="703"/>
      <c r="Z343" s="703"/>
    </row>
    <row r="344">
      <c r="A344" s="703"/>
      <c r="B344" s="703"/>
      <c r="C344" s="703"/>
      <c r="D344" s="703"/>
      <c r="E344" s="703"/>
      <c r="F344" s="703"/>
      <c r="G344" s="703"/>
      <c r="H344" s="703"/>
      <c r="I344" s="703"/>
      <c r="J344" s="703"/>
      <c r="K344" s="703"/>
      <c r="L344" s="703"/>
      <c r="M344" s="703"/>
      <c r="N344" s="703"/>
      <c r="O344" s="703"/>
      <c r="P344" s="703"/>
      <c r="Q344" s="703"/>
      <c r="R344" s="703"/>
      <c r="S344" s="703"/>
      <c r="T344" s="703"/>
      <c r="U344" s="703"/>
      <c r="V344" s="703"/>
      <c r="W344" s="703"/>
      <c r="X344" s="703"/>
      <c r="Y344" s="703"/>
      <c r="Z344" s="703"/>
    </row>
    <row r="345">
      <c r="A345" s="703"/>
      <c r="B345" s="703"/>
      <c r="C345" s="703"/>
      <c r="D345" s="703"/>
      <c r="E345" s="703"/>
      <c r="F345" s="703"/>
      <c r="G345" s="703"/>
      <c r="H345" s="703"/>
      <c r="I345" s="703"/>
      <c r="J345" s="703"/>
      <c r="K345" s="703"/>
      <c r="L345" s="703"/>
      <c r="M345" s="703"/>
      <c r="N345" s="703"/>
      <c r="O345" s="703"/>
      <c r="P345" s="703"/>
      <c r="Q345" s="703"/>
      <c r="R345" s="703"/>
      <c r="S345" s="703"/>
      <c r="T345" s="703"/>
      <c r="U345" s="703"/>
      <c r="V345" s="703"/>
      <c r="W345" s="703"/>
      <c r="X345" s="703"/>
      <c r="Y345" s="703"/>
      <c r="Z345" s="703"/>
    </row>
    <row r="346">
      <c r="A346" s="703"/>
      <c r="B346" s="703"/>
      <c r="C346" s="703"/>
      <c r="D346" s="703"/>
      <c r="E346" s="703"/>
      <c r="F346" s="703"/>
      <c r="G346" s="703"/>
      <c r="H346" s="703"/>
      <c r="I346" s="703"/>
      <c r="J346" s="703"/>
      <c r="K346" s="703"/>
      <c r="L346" s="703"/>
      <c r="M346" s="703"/>
      <c r="N346" s="703"/>
      <c r="O346" s="703"/>
      <c r="P346" s="703"/>
      <c r="Q346" s="703"/>
      <c r="R346" s="703"/>
      <c r="S346" s="703"/>
      <c r="T346" s="703"/>
      <c r="U346" s="703"/>
      <c r="V346" s="703"/>
      <c r="W346" s="703"/>
      <c r="X346" s="703"/>
      <c r="Y346" s="703"/>
      <c r="Z346" s="703"/>
    </row>
    <row r="347">
      <c r="A347" s="703"/>
      <c r="B347" s="703"/>
      <c r="C347" s="703"/>
      <c r="D347" s="703"/>
      <c r="E347" s="703"/>
      <c r="F347" s="703"/>
      <c r="G347" s="703"/>
      <c r="H347" s="703"/>
      <c r="I347" s="703"/>
      <c r="J347" s="703"/>
      <c r="K347" s="703"/>
      <c r="L347" s="703"/>
      <c r="M347" s="703"/>
      <c r="N347" s="703"/>
      <c r="O347" s="703"/>
      <c r="P347" s="703"/>
      <c r="Q347" s="703"/>
      <c r="R347" s="703"/>
      <c r="S347" s="703"/>
      <c r="T347" s="703"/>
      <c r="U347" s="703"/>
      <c r="V347" s="703"/>
      <c r="W347" s="703"/>
      <c r="X347" s="703"/>
      <c r="Y347" s="703"/>
      <c r="Z347" s="703"/>
    </row>
    <row r="348">
      <c r="A348" s="703"/>
      <c r="B348" s="703"/>
      <c r="C348" s="703"/>
      <c r="D348" s="703"/>
      <c r="E348" s="703"/>
      <c r="F348" s="703"/>
      <c r="G348" s="703"/>
      <c r="H348" s="703"/>
      <c r="I348" s="703"/>
      <c r="J348" s="703"/>
      <c r="K348" s="703"/>
      <c r="L348" s="703"/>
      <c r="M348" s="703"/>
      <c r="N348" s="703"/>
      <c r="O348" s="703"/>
      <c r="P348" s="703"/>
      <c r="Q348" s="703"/>
      <c r="R348" s="703"/>
      <c r="S348" s="703"/>
      <c r="T348" s="703"/>
      <c r="U348" s="703"/>
      <c r="V348" s="703"/>
      <c r="W348" s="703"/>
      <c r="X348" s="703"/>
      <c r="Y348" s="703"/>
      <c r="Z348" s="703"/>
    </row>
    <row r="349">
      <c r="A349" s="703"/>
      <c r="B349" s="703"/>
      <c r="C349" s="703"/>
      <c r="D349" s="703"/>
      <c r="E349" s="703"/>
      <c r="F349" s="703"/>
      <c r="G349" s="703"/>
      <c r="H349" s="703"/>
      <c r="I349" s="703"/>
      <c r="J349" s="703"/>
      <c r="K349" s="703"/>
      <c r="L349" s="703"/>
      <c r="M349" s="703"/>
      <c r="N349" s="703"/>
      <c r="O349" s="703"/>
      <c r="P349" s="703"/>
      <c r="Q349" s="703"/>
      <c r="R349" s="703"/>
      <c r="S349" s="703"/>
      <c r="T349" s="703"/>
      <c r="U349" s="703"/>
      <c r="V349" s="703"/>
      <c r="W349" s="703"/>
      <c r="X349" s="703"/>
      <c r="Y349" s="703"/>
      <c r="Z349" s="703"/>
    </row>
    <row r="350">
      <c r="A350" s="703"/>
      <c r="B350" s="703"/>
      <c r="C350" s="703"/>
      <c r="D350" s="703"/>
      <c r="E350" s="703"/>
      <c r="F350" s="703"/>
      <c r="G350" s="703"/>
      <c r="H350" s="703"/>
      <c r="I350" s="703"/>
      <c r="J350" s="703"/>
      <c r="K350" s="703"/>
      <c r="L350" s="703"/>
      <c r="M350" s="703"/>
      <c r="N350" s="703"/>
      <c r="O350" s="703"/>
      <c r="P350" s="703"/>
      <c r="Q350" s="703"/>
      <c r="R350" s="703"/>
      <c r="S350" s="703"/>
      <c r="T350" s="703"/>
      <c r="U350" s="703"/>
      <c r="V350" s="703"/>
      <c r="W350" s="703"/>
      <c r="X350" s="703"/>
      <c r="Y350" s="703"/>
      <c r="Z350" s="703"/>
    </row>
    <row r="351">
      <c r="A351" s="703"/>
      <c r="B351" s="703"/>
      <c r="C351" s="703"/>
      <c r="D351" s="703"/>
      <c r="E351" s="703"/>
      <c r="F351" s="703"/>
      <c r="G351" s="703"/>
      <c r="H351" s="703"/>
      <c r="I351" s="703"/>
      <c r="J351" s="703"/>
      <c r="K351" s="703"/>
      <c r="L351" s="703"/>
      <c r="M351" s="703"/>
      <c r="N351" s="703"/>
      <c r="O351" s="703"/>
      <c r="P351" s="703"/>
      <c r="Q351" s="703"/>
      <c r="R351" s="703"/>
      <c r="S351" s="703"/>
      <c r="T351" s="703"/>
      <c r="U351" s="703"/>
      <c r="V351" s="703"/>
      <c r="W351" s="703"/>
      <c r="X351" s="703"/>
      <c r="Y351" s="703"/>
      <c r="Z351" s="703"/>
    </row>
    <row r="352">
      <c r="A352" s="703"/>
      <c r="B352" s="703"/>
      <c r="C352" s="703"/>
      <c r="D352" s="703"/>
      <c r="E352" s="703"/>
      <c r="F352" s="703"/>
      <c r="G352" s="703"/>
      <c r="H352" s="703"/>
      <c r="I352" s="703"/>
      <c r="J352" s="703"/>
      <c r="K352" s="703"/>
      <c r="L352" s="703"/>
      <c r="M352" s="703"/>
      <c r="N352" s="703"/>
      <c r="O352" s="703"/>
      <c r="P352" s="703"/>
      <c r="Q352" s="703"/>
      <c r="R352" s="703"/>
      <c r="S352" s="703"/>
      <c r="T352" s="703"/>
      <c r="U352" s="703"/>
      <c r="V352" s="703"/>
      <c r="W352" s="703"/>
      <c r="X352" s="703"/>
      <c r="Y352" s="703"/>
      <c r="Z352" s="703"/>
    </row>
    <row r="353">
      <c r="A353" s="703"/>
      <c r="B353" s="703"/>
      <c r="C353" s="703"/>
      <c r="D353" s="703"/>
      <c r="E353" s="703"/>
      <c r="F353" s="703"/>
      <c r="G353" s="703"/>
      <c r="H353" s="703"/>
      <c r="I353" s="703"/>
      <c r="J353" s="703"/>
      <c r="K353" s="703"/>
      <c r="L353" s="703"/>
      <c r="M353" s="703"/>
      <c r="N353" s="703"/>
      <c r="O353" s="703"/>
      <c r="P353" s="703"/>
      <c r="Q353" s="703"/>
      <c r="R353" s="703"/>
      <c r="S353" s="703"/>
      <c r="T353" s="703"/>
      <c r="U353" s="703"/>
      <c r="V353" s="703"/>
      <c r="W353" s="703"/>
      <c r="X353" s="703"/>
      <c r="Y353" s="703"/>
      <c r="Z353" s="703"/>
    </row>
    <row r="354">
      <c r="A354" s="703"/>
      <c r="B354" s="703"/>
      <c r="C354" s="703"/>
      <c r="D354" s="703"/>
      <c r="E354" s="703"/>
      <c r="F354" s="703"/>
      <c r="G354" s="703"/>
      <c r="H354" s="703"/>
      <c r="I354" s="703"/>
      <c r="J354" s="703"/>
      <c r="K354" s="703"/>
      <c r="L354" s="703"/>
      <c r="M354" s="703"/>
      <c r="N354" s="703"/>
      <c r="O354" s="703"/>
      <c r="P354" s="703"/>
      <c r="Q354" s="703"/>
      <c r="R354" s="703"/>
      <c r="S354" s="703"/>
      <c r="T354" s="703"/>
      <c r="U354" s="703"/>
      <c r="V354" s="703"/>
      <c r="W354" s="703"/>
      <c r="X354" s="703"/>
      <c r="Y354" s="703"/>
      <c r="Z354" s="703"/>
    </row>
    <row r="355">
      <c r="A355" s="703"/>
      <c r="B355" s="703"/>
      <c r="C355" s="703"/>
      <c r="D355" s="703"/>
      <c r="E355" s="703"/>
      <c r="F355" s="703"/>
      <c r="G355" s="703"/>
      <c r="H355" s="703"/>
      <c r="I355" s="703"/>
      <c r="J355" s="703"/>
      <c r="K355" s="703"/>
      <c r="L355" s="703"/>
      <c r="M355" s="703"/>
      <c r="N355" s="703"/>
      <c r="O355" s="703"/>
      <c r="P355" s="703"/>
      <c r="Q355" s="703"/>
      <c r="R355" s="703"/>
      <c r="S355" s="703"/>
      <c r="T355" s="703"/>
      <c r="U355" s="703"/>
      <c r="V355" s="703"/>
      <c r="W355" s="703"/>
      <c r="X355" s="703"/>
      <c r="Y355" s="703"/>
      <c r="Z355" s="703"/>
    </row>
    <row r="356">
      <c r="A356" s="703"/>
      <c r="B356" s="703"/>
      <c r="C356" s="703"/>
      <c r="D356" s="703"/>
      <c r="E356" s="703"/>
      <c r="F356" s="703"/>
      <c r="G356" s="703"/>
      <c r="H356" s="703"/>
      <c r="I356" s="703"/>
      <c r="J356" s="703"/>
      <c r="K356" s="703"/>
      <c r="L356" s="703"/>
      <c r="M356" s="703"/>
      <c r="N356" s="703"/>
      <c r="O356" s="703"/>
      <c r="P356" s="703"/>
      <c r="Q356" s="703"/>
      <c r="R356" s="703"/>
      <c r="S356" s="703"/>
      <c r="T356" s="703"/>
      <c r="U356" s="703"/>
      <c r="V356" s="703"/>
      <c r="W356" s="703"/>
      <c r="X356" s="703"/>
      <c r="Y356" s="703"/>
      <c r="Z356" s="703"/>
    </row>
    <row r="357">
      <c r="A357" s="703"/>
      <c r="B357" s="703"/>
      <c r="C357" s="703"/>
      <c r="D357" s="703"/>
      <c r="E357" s="703"/>
      <c r="F357" s="703"/>
      <c r="G357" s="703"/>
      <c r="H357" s="703"/>
      <c r="I357" s="703"/>
      <c r="J357" s="703"/>
      <c r="K357" s="703"/>
      <c r="L357" s="703"/>
      <c r="M357" s="703"/>
      <c r="N357" s="703"/>
      <c r="O357" s="703"/>
      <c r="P357" s="703"/>
      <c r="Q357" s="703"/>
      <c r="R357" s="703"/>
      <c r="S357" s="703"/>
      <c r="T357" s="703"/>
      <c r="U357" s="703"/>
      <c r="V357" s="703"/>
      <c r="W357" s="703"/>
      <c r="X357" s="703"/>
      <c r="Y357" s="703"/>
      <c r="Z357" s="703"/>
    </row>
    <row r="358">
      <c r="A358" s="703"/>
      <c r="B358" s="703"/>
      <c r="C358" s="703"/>
      <c r="D358" s="703"/>
      <c r="E358" s="703"/>
      <c r="F358" s="703"/>
      <c r="G358" s="703"/>
      <c r="H358" s="703"/>
      <c r="I358" s="703"/>
      <c r="J358" s="703"/>
      <c r="K358" s="703"/>
      <c r="L358" s="703"/>
      <c r="M358" s="703"/>
      <c r="N358" s="703"/>
      <c r="O358" s="703"/>
      <c r="P358" s="703"/>
      <c r="Q358" s="703"/>
      <c r="R358" s="703"/>
      <c r="S358" s="703"/>
      <c r="T358" s="703"/>
      <c r="U358" s="703"/>
      <c r="V358" s="703"/>
      <c r="W358" s="703"/>
      <c r="X358" s="703"/>
      <c r="Y358" s="703"/>
      <c r="Z358" s="703"/>
    </row>
    <row r="359">
      <c r="A359" s="703"/>
      <c r="B359" s="703"/>
      <c r="C359" s="703"/>
      <c r="D359" s="703"/>
      <c r="E359" s="703"/>
      <c r="F359" s="703"/>
      <c r="G359" s="703"/>
      <c r="H359" s="703"/>
      <c r="I359" s="703"/>
      <c r="J359" s="703"/>
      <c r="K359" s="703"/>
      <c r="L359" s="703"/>
      <c r="M359" s="703"/>
      <c r="N359" s="703"/>
      <c r="O359" s="703"/>
      <c r="P359" s="703"/>
      <c r="Q359" s="703"/>
      <c r="R359" s="703"/>
      <c r="S359" s="703"/>
      <c r="T359" s="703"/>
      <c r="U359" s="703"/>
      <c r="V359" s="703"/>
      <c r="W359" s="703"/>
      <c r="X359" s="703"/>
      <c r="Y359" s="703"/>
      <c r="Z359" s="703"/>
    </row>
    <row r="360">
      <c r="A360" s="703"/>
      <c r="B360" s="703"/>
      <c r="C360" s="703"/>
      <c r="D360" s="703"/>
      <c r="E360" s="703"/>
      <c r="F360" s="703"/>
      <c r="G360" s="703"/>
      <c r="H360" s="703"/>
      <c r="I360" s="703"/>
      <c r="J360" s="703"/>
      <c r="K360" s="703"/>
      <c r="L360" s="703"/>
      <c r="M360" s="703"/>
      <c r="N360" s="703"/>
      <c r="O360" s="703"/>
      <c r="P360" s="703"/>
      <c r="Q360" s="703"/>
      <c r="R360" s="703"/>
      <c r="S360" s="703"/>
      <c r="T360" s="703"/>
      <c r="U360" s="703"/>
      <c r="V360" s="703"/>
      <c r="W360" s="703"/>
      <c r="X360" s="703"/>
      <c r="Y360" s="703"/>
      <c r="Z360" s="703"/>
    </row>
    <row r="361">
      <c r="A361" s="703"/>
      <c r="B361" s="703"/>
      <c r="C361" s="703"/>
      <c r="D361" s="703"/>
      <c r="E361" s="703"/>
      <c r="F361" s="703"/>
      <c r="G361" s="703"/>
      <c r="H361" s="703"/>
      <c r="I361" s="703"/>
      <c r="J361" s="703"/>
      <c r="K361" s="703"/>
      <c r="L361" s="703"/>
      <c r="M361" s="703"/>
      <c r="N361" s="703"/>
      <c r="O361" s="703"/>
      <c r="P361" s="703"/>
      <c r="Q361" s="703"/>
      <c r="R361" s="703"/>
      <c r="S361" s="703"/>
      <c r="T361" s="703"/>
      <c r="U361" s="703"/>
      <c r="V361" s="703"/>
      <c r="W361" s="703"/>
      <c r="X361" s="703"/>
      <c r="Y361" s="703"/>
      <c r="Z361" s="703"/>
    </row>
    <row r="362">
      <c r="A362" s="703"/>
      <c r="B362" s="703"/>
      <c r="C362" s="703"/>
      <c r="D362" s="703"/>
      <c r="E362" s="703"/>
      <c r="F362" s="703"/>
      <c r="G362" s="703"/>
      <c r="H362" s="703"/>
      <c r="I362" s="703"/>
      <c r="J362" s="703"/>
      <c r="K362" s="703"/>
      <c r="L362" s="703"/>
      <c r="M362" s="703"/>
      <c r="N362" s="703"/>
      <c r="O362" s="703"/>
      <c r="P362" s="703"/>
      <c r="Q362" s="703"/>
      <c r="R362" s="703"/>
      <c r="S362" s="703"/>
      <c r="T362" s="703"/>
      <c r="U362" s="703"/>
      <c r="V362" s="703"/>
      <c r="W362" s="703"/>
      <c r="X362" s="703"/>
      <c r="Y362" s="703"/>
      <c r="Z362" s="703"/>
    </row>
    <row r="363">
      <c r="A363" s="703"/>
      <c r="B363" s="703"/>
      <c r="C363" s="703"/>
      <c r="D363" s="703"/>
      <c r="E363" s="703"/>
      <c r="F363" s="703"/>
      <c r="G363" s="703"/>
      <c r="H363" s="703"/>
      <c r="I363" s="703"/>
      <c r="J363" s="703"/>
      <c r="K363" s="703"/>
      <c r="L363" s="703"/>
      <c r="M363" s="703"/>
      <c r="N363" s="703"/>
      <c r="O363" s="703"/>
      <c r="P363" s="703"/>
      <c r="Q363" s="703"/>
      <c r="R363" s="703"/>
      <c r="S363" s="703"/>
      <c r="T363" s="703"/>
      <c r="U363" s="703"/>
      <c r="V363" s="703"/>
      <c r="W363" s="703"/>
      <c r="X363" s="703"/>
      <c r="Y363" s="703"/>
      <c r="Z363" s="703"/>
    </row>
    <row r="364">
      <c r="A364" s="703"/>
      <c r="B364" s="703"/>
      <c r="C364" s="703"/>
      <c r="D364" s="703"/>
      <c r="E364" s="703"/>
      <c r="F364" s="703"/>
      <c r="G364" s="703"/>
      <c r="H364" s="703"/>
      <c r="I364" s="703"/>
      <c r="J364" s="703"/>
      <c r="K364" s="703"/>
      <c r="L364" s="703"/>
      <c r="M364" s="703"/>
      <c r="N364" s="703"/>
      <c r="O364" s="703"/>
      <c r="P364" s="703"/>
      <c r="Q364" s="703"/>
      <c r="R364" s="703"/>
      <c r="S364" s="703"/>
      <c r="T364" s="703"/>
      <c r="U364" s="703"/>
      <c r="V364" s="703"/>
      <c r="W364" s="703"/>
      <c r="X364" s="703"/>
      <c r="Y364" s="703"/>
      <c r="Z364" s="703"/>
    </row>
    <row r="365">
      <c r="A365" s="703"/>
      <c r="B365" s="703"/>
      <c r="C365" s="703"/>
      <c r="D365" s="703"/>
      <c r="E365" s="703"/>
      <c r="F365" s="703"/>
      <c r="G365" s="703"/>
      <c r="H365" s="703"/>
      <c r="I365" s="703"/>
      <c r="J365" s="703"/>
      <c r="K365" s="703"/>
      <c r="L365" s="703"/>
      <c r="M365" s="703"/>
      <c r="N365" s="703"/>
      <c r="O365" s="703"/>
      <c r="P365" s="703"/>
      <c r="Q365" s="703"/>
      <c r="R365" s="703"/>
      <c r="S365" s="703"/>
      <c r="T365" s="703"/>
      <c r="U365" s="703"/>
      <c r="V365" s="703"/>
      <c r="W365" s="703"/>
      <c r="X365" s="703"/>
      <c r="Y365" s="703"/>
      <c r="Z365" s="703"/>
    </row>
    <row r="366">
      <c r="A366" s="703"/>
      <c r="B366" s="703"/>
      <c r="C366" s="703"/>
      <c r="D366" s="703"/>
      <c r="E366" s="703"/>
      <c r="F366" s="703"/>
      <c r="G366" s="703"/>
      <c r="H366" s="703"/>
      <c r="I366" s="703"/>
      <c r="J366" s="703"/>
      <c r="K366" s="703"/>
      <c r="L366" s="703"/>
      <c r="M366" s="703"/>
      <c r="N366" s="703"/>
      <c r="O366" s="703"/>
      <c r="P366" s="703"/>
      <c r="Q366" s="703"/>
      <c r="R366" s="703"/>
      <c r="S366" s="703"/>
      <c r="T366" s="703"/>
      <c r="U366" s="703"/>
      <c r="V366" s="703"/>
      <c r="W366" s="703"/>
      <c r="X366" s="703"/>
      <c r="Y366" s="703"/>
      <c r="Z366" s="703"/>
    </row>
    <row r="367">
      <c r="A367" s="703"/>
      <c r="B367" s="703"/>
      <c r="C367" s="703"/>
      <c r="D367" s="703"/>
      <c r="E367" s="703"/>
      <c r="F367" s="703"/>
      <c r="G367" s="703"/>
      <c r="H367" s="703"/>
      <c r="I367" s="703"/>
      <c r="J367" s="703"/>
      <c r="K367" s="703"/>
      <c r="L367" s="703"/>
      <c r="M367" s="703"/>
      <c r="N367" s="703"/>
      <c r="O367" s="703"/>
      <c r="P367" s="703"/>
      <c r="Q367" s="703"/>
      <c r="R367" s="703"/>
      <c r="S367" s="703"/>
      <c r="T367" s="703"/>
      <c r="U367" s="703"/>
      <c r="V367" s="703"/>
      <c r="W367" s="703"/>
      <c r="X367" s="703"/>
      <c r="Y367" s="703"/>
      <c r="Z367" s="703"/>
    </row>
    <row r="368">
      <c r="A368" s="703"/>
      <c r="B368" s="703"/>
      <c r="C368" s="703"/>
      <c r="D368" s="703"/>
      <c r="E368" s="703"/>
      <c r="F368" s="703"/>
      <c r="G368" s="703"/>
      <c r="H368" s="703"/>
      <c r="I368" s="703"/>
      <c r="J368" s="703"/>
      <c r="K368" s="703"/>
      <c r="L368" s="703"/>
      <c r="M368" s="703"/>
      <c r="N368" s="703"/>
      <c r="O368" s="703"/>
      <c r="P368" s="703"/>
      <c r="Q368" s="703"/>
      <c r="R368" s="703"/>
      <c r="S368" s="703"/>
      <c r="T368" s="703"/>
      <c r="U368" s="703"/>
      <c r="V368" s="703"/>
      <c r="W368" s="703"/>
      <c r="X368" s="703"/>
      <c r="Y368" s="703"/>
      <c r="Z368" s="703"/>
    </row>
    <row r="369">
      <c r="A369" s="703"/>
      <c r="B369" s="703"/>
      <c r="C369" s="703"/>
      <c r="D369" s="703"/>
      <c r="E369" s="703"/>
      <c r="F369" s="703"/>
      <c r="G369" s="703"/>
      <c r="H369" s="703"/>
      <c r="I369" s="703"/>
      <c r="J369" s="703"/>
      <c r="K369" s="703"/>
      <c r="L369" s="703"/>
      <c r="M369" s="703"/>
      <c r="N369" s="703"/>
      <c r="O369" s="703"/>
      <c r="P369" s="703"/>
      <c r="Q369" s="703"/>
      <c r="R369" s="703"/>
      <c r="S369" s="703"/>
      <c r="T369" s="703"/>
      <c r="U369" s="703"/>
      <c r="V369" s="703"/>
      <c r="W369" s="703"/>
      <c r="X369" s="703"/>
      <c r="Y369" s="703"/>
      <c r="Z369" s="703"/>
    </row>
    <row r="370">
      <c r="A370" s="703"/>
      <c r="B370" s="703"/>
      <c r="C370" s="703"/>
      <c r="D370" s="703"/>
      <c r="E370" s="703"/>
      <c r="F370" s="703"/>
      <c r="G370" s="703"/>
      <c r="H370" s="703"/>
      <c r="I370" s="703"/>
      <c r="J370" s="703"/>
      <c r="K370" s="703"/>
      <c r="L370" s="703"/>
      <c r="M370" s="703"/>
      <c r="N370" s="703"/>
      <c r="O370" s="703"/>
      <c r="P370" s="703"/>
      <c r="Q370" s="703"/>
      <c r="R370" s="703"/>
      <c r="S370" s="703"/>
      <c r="T370" s="703"/>
      <c r="U370" s="703"/>
      <c r="V370" s="703"/>
      <c r="W370" s="703"/>
      <c r="X370" s="703"/>
      <c r="Y370" s="703"/>
      <c r="Z370" s="703"/>
    </row>
    <row r="371">
      <c r="A371" s="703"/>
      <c r="B371" s="703"/>
      <c r="C371" s="703"/>
      <c r="D371" s="703"/>
      <c r="E371" s="703"/>
      <c r="F371" s="703"/>
      <c r="G371" s="703"/>
      <c r="H371" s="703"/>
      <c r="I371" s="703"/>
      <c r="J371" s="703"/>
      <c r="K371" s="703"/>
      <c r="L371" s="703"/>
      <c r="M371" s="703"/>
      <c r="N371" s="703"/>
      <c r="O371" s="703"/>
      <c r="P371" s="703"/>
      <c r="Q371" s="703"/>
      <c r="R371" s="703"/>
      <c r="S371" s="703"/>
      <c r="T371" s="703"/>
      <c r="U371" s="703"/>
      <c r="V371" s="703"/>
      <c r="W371" s="703"/>
      <c r="X371" s="703"/>
      <c r="Y371" s="703"/>
      <c r="Z371" s="703"/>
    </row>
    <row r="372">
      <c r="A372" s="703"/>
      <c r="B372" s="703"/>
      <c r="C372" s="703"/>
      <c r="D372" s="703"/>
      <c r="E372" s="703"/>
      <c r="F372" s="703"/>
      <c r="G372" s="703"/>
      <c r="H372" s="703"/>
      <c r="I372" s="703"/>
      <c r="J372" s="703"/>
      <c r="K372" s="703"/>
      <c r="L372" s="703"/>
      <c r="M372" s="703"/>
      <c r="N372" s="703"/>
      <c r="O372" s="703"/>
      <c r="P372" s="703"/>
      <c r="Q372" s="703"/>
      <c r="R372" s="703"/>
      <c r="S372" s="703"/>
      <c r="T372" s="703"/>
      <c r="U372" s="703"/>
      <c r="V372" s="703"/>
      <c r="W372" s="703"/>
      <c r="X372" s="703"/>
      <c r="Y372" s="703"/>
      <c r="Z372" s="703"/>
    </row>
    <row r="373">
      <c r="A373" s="703"/>
      <c r="B373" s="703"/>
      <c r="C373" s="703"/>
      <c r="D373" s="703"/>
      <c r="E373" s="703"/>
      <c r="F373" s="703"/>
      <c r="G373" s="703"/>
      <c r="H373" s="703"/>
      <c r="I373" s="703"/>
      <c r="J373" s="703"/>
      <c r="K373" s="703"/>
      <c r="L373" s="703"/>
      <c r="M373" s="703"/>
      <c r="N373" s="703"/>
      <c r="O373" s="703"/>
      <c r="P373" s="703"/>
      <c r="Q373" s="703"/>
      <c r="R373" s="703"/>
      <c r="S373" s="703"/>
      <c r="T373" s="703"/>
      <c r="U373" s="703"/>
      <c r="V373" s="703"/>
      <c r="W373" s="703"/>
      <c r="X373" s="703"/>
      <c r="Y373" s="703"/>
      <c r="Z373" s="703"/>
    </row>
    <row r="374">
      <c r="A374" s="703"/>
      <c r="B374" s="703"/>
      <c r="C374" s="703"/>
      <c r="D374" s="703"/>
      <c r="E374" s="703"/>
      <c r="F374" s="703"/>
      <c r="G374" s="703"/>
      <c r="H374" s="703"/>
      <c r="I374" s="703"/>
      <c r="J374" s="703"/>
      <c r="K374" s="703"/>
      <c r="L374" s="703"/>
      <c r="M374" s="703"/>
      <c r="N374" s="703"/>
      <c r="O374" s="703"/>
      <c r="P374" s="703"/>
      <c r="Q374" s="703"/>
      <c r="R374" s="703"/>
      <c r="S374" s="703"/>
      <c r="T374" s="703"/>
      <c r="U374" s="703"/>
      <c r="V374" s="703"/>
      <c r="W374" s="703"/>
      <c r="X374" s="703"/>
      <c r="Y374" s="703"/>
      <c r="Z374" s="703"/>
    </row>
    <row r="375">
      <c r="A375" s="703"/>
      <c r="B375" s="703"/>
      <c r="C375" s="703"/>
      <c r="D375" s="703"/>
      <c r="E375" s="703"/>
      <c r="F375" s="703"/>
      <c r="G375" s="703"/>
      <c r="H375" s="703"/>
      <c r="I375" s="703"/>
      <c r="J375" s="703"/>
      <c r="K375" s="703"/>
      <c r="L375" s="703"/>
      <c r="M375" s="703"/>
      <c r="N375" s="703"/>
      <c r="O375" s="703"/>
      <c r="P375" s="703"/>
      <c r="Q375" s="703"/>
      <c r="R375" s="703"/>
      <c r="S375" s="703"/>
      <c r="T375" s="703"/>
      <c r="U375" s="703"/>
      <c r="V375" s="703"/>
      <c r="W375" s="703"/>
      <c r="X375" s="703"/>
      <c r="Y375" s="703"/>
      <c r="Z375" s="703"/>
    </row>
    <row r="376">
      <c r="A376" s="703"/>
      <c r="B376" s="703"/>
      <c r="C376" s="703"/>
      <c r="D376" s="703"/>
      <c r="E376" s="703"/>
      <c r="F376" s="703"/>
      <c r="G376" s="703"/>
      <c r="H376" s="703"/>
      <c r="I376" s="703"/>
      <c r="J376" s="703"/>
      <c r="K376" s="703"/>
      <c r="L376" s="703"/>
      <c r="M376" s="703"/>
      <c r="N376" s="703"/>
      <c r="O376" s="703"/>
      <c r="P376" s="703"/>
      <c r="Q376" s="703"/>
      <c r="R376" s="703"/>
      <c r="S376" s="703"/>
      <c r="T376" s="703"/>
      <c r="U376" s="703"/>
      <c r="V376" s="703"/>
      <c r="W376" s="703"/>
      <c r="X376" s="703"/>
      <c r="Y376" s="703"/>
      <c r="Z376" s="703"/>
    </row>
    <row r="377">
      <c r="A377" s="703"/>
      <c r="B377" s="703"/>
      <c r="C377" s="703"/>
      <c r="D377" s="703"/>
      <c r="E377" s="703"/>
      <c r="F377" s="703"/>
      <c r="G377" s="703"/>
      <c r="H377" s="703"/>
      <c r="I377" s="703"/>
      <c r="J377" s="703"/>
      <c r="K377" s="703"/>
      <c r="L377" s="703"/>
      <c r="M377" s="703"/>
      <c r="N377" s="703"/>
      <c r="O377" s="703"/>
      <c r="P377" s="703"/>
      <c r="Q377" s="703"/>
      <c r="R377" s="703"/>
      <c r="S377" s="703"/>
      <c r="T377" s="703"/>
      <c r="U377" s="703"/>
      <c r="V377" s="703"/>
      <c r="W377" s="703"/>
      <c r="X377" s="703"/>
      <c r="Y377" s="703"/>
      <c r="Z377" s="703"/>
    </row>
    <row r="378">
      <c r="A378" s="703"/>
      <c r="B378" s="703"/>
      <c r="C378" s="703"/>
      <c r="D378" s="703"/>
      <c r="E378" s="703"/>
      <c r="F378" s="703"/>
      <c r="G378" s="703"/>
      <c r="H378" s="703"/>
      <c r="I378" s="703"/>
      <c r="J378" s="703"/>
      <c r="K378" s="703"/>
      <c r="L378" s="703"/>
      <c r="M378" s="703"/>
      <c r="N378" s="703"/>
      <c r="O378" s="703"/>
      <c r="P378" s="703"/>
      <c r="Q378" s="703"/>
      <c r="R378" s="703"/>
      <c r="S378" s="703"/>
      <c r="T378" s="703"/>
      <c r="U378" s="703"/>
      <c r="V378" s="703"/>
      <c r="W378" s="703"/>
      <c r="X378" s="703"/>
      <c r="Y378" s="703"/>
      <c r="Z378" s="703"/>
    </row>
    <row r="379">
      <c r="A379" s="703"/>
      <c r="B379" s="703"/>
      <c r="C379" s="703"/>
      <c r="D379" s="703"/>
      <c r="E379" s="703"/>
      <c r="F379" s="703"/>
      <c r="G379" s="703"/>
      <c r="H379" s="703"/>
      <c r="I379" s="703"/>
      <c r="J379" s="703"/>
      <c r="K379" s="703"/>
      <c r="L379" s="703"/>
      <c r="M379" s="703"/>
      <c r="N379" s="703"/>
      <c r="O379" s="703"/>
      <c r="P379" s="703"/>
      <c r="Q379" s="703"/>
      <c r="R379" s="703"/>
      <c r="S379" s="703"/>
      <c r="T379" s="703"/>
      <c r="U379" s="703"/>
      <c r="V379" s="703"/>
      <c r="W379" s="703"/>
      <c r="X379" s="703"/>
      <c r="Y379" s="703"/>
      <c r="Z379" s="703"/>
    </row>
    <row r="380">
      <c r="A380" s="703"/>
      <c r="B380" s="703"/>
      <c r="C380" s="703"/>
      <c r="D380" s="703"/>
      <c r="E380" s="703"/>
      <c r="F380" s="703"/>
      <c r="G380" s="703"/>
      <c r="H380" s="703"/>
      <c r="I380" s="703"/>
      <c r="J380" s="703"/>
      <c r="K380" s="703"/>
      <c r="L380" s="703"/>
      <c r="M380" s="703"/>
      <c r="N380" s="703"/>
      <c r="O380" s="703"/>
      <c r="P380" s="703"/>
      <c r="Q380" s="703"/>
      <c r="R380" s="703"/>
      <c r="S380" s="703"/>
      <c r="T380" s="703"/>
      <c r="U380" s="703"/>
      <c r="V380" s="703"/>
      <c r="W380" s="703"/>
      <c r="X380" s="703"/>
      <c r="Y380" s="703"/>
      <c r="Z380" s="703"/>
    </row>
    <row r="381">
      <c r="A381" s="703"/>
      <c r="B381" s="703"/>
      <c r="C381" s="703"/>
      <c r="D381" s="703"/>
      <c r="E381" s="703"/>
      <c r="F381" s="703"/>
      <c r="G381" s="703"/>
      <c r="H381" s="703"/>
      <c r="I381" s="703"/>
      <c r="J381" s="703"/>
      <c r="K381" s="703"/>
      <c r="L381" s="703"/>
      <c r="M381" s="703"/>
      <c r="N381" s="703"/>
      <c r="O381" s="703"/>
      <c r="P381" s="703"/>
      <c r="Q381" s="703"/>
      <c r="R381" s="703"/>
      <c r="S381" s="703"/>
      <c r="T381" s="703"/>
      <c r="U381" s="703"/>
      <c r="V381" s="703"/>
      <c r="W381" s="703"/>
      <c r="X381" s="703"/>
      <c r="Y381" s="703"/>
      <c r="Z381" s="703"/>
    </row>
    <row r="382">
      <c r="A382" s="703"/>
      <c r="B382" s="703"/>
      <c r="C382" s="703"/>
      <c r="D382" s="703"/>
      <c r="E382" s="703"/>
      <c r="F382" s="703"/>
      <c r="G382" s="703"/>
      <c r="H382" s="703"/>
      <c r="I382" s="703"/>
      <c r="J382" s="703"/>
      <c r="K382" s="703"/>
      <c r="L382" s="703"/>
      <c r="M382" s="703"/>
      <c r="N382" s="703"/>
      <c r="O382" s="703"/>
      <c r="P382" s="703"/>
      <c r="Q382" s="703"/>
      <c r="R382" s="703"/>
      <c r="S382" s="703"/>
      <c r="T382" s="703"/>
      <c r="U382" s="703"/>
      <c r="V382" s="703"/>
      <c r="W382" s="703"/>
      <c r="X382" s="703"/>
      <c r="Y382" s="703"/>
      <c r="Z382" s="703"/>
    </row>
    <row r="383">
      <c r="A383" s="703"/>
      <c r="B383" s="703"/>
      <c r="C383" s="703"/>
      <c r="D383" s="703"/>
      <c r="E383" s="703"/>
      <c r="F383" s="703"/>
      <c r="G383" s="703"/>
      <c r="H383" s="703"/>
      <c r="I383" s="703"/>
      <c r="J383" s="703"/>
      <c r="K383" s="703"/>
      <c r="L383" s="703"/>
      <c r="M383" s="703"/>
      <c r="N383" s="703"/>
      <c r="O383" s="703"/>
      <c r="P383" s="703"/>
      <c r="Q383" s="703"/>
      <c r="R383" s="703"/>
      <c r="S383" s="703"/>
      <c r="T383" s="703"/>
      <c r="U383" s="703"/>
      <c r="V383" s="703"/>
      <c r="W383" s="703"/>
      <c r="X383" s="703"/>
      <c r="Y383" s="703"/>
      <c r="Z383" s="703"/>
    </row>
    <row r="384">
      <c r="A384" s="703"/>
      <c r="B384" s="703"/>
      <c r="C384" s="703"/>
      <c r="D384" s="703"/>
      <c r="E384" s="703"/>
      <c r="F384" s="703"/>
      <c r="G384" s="703"/>
      <c r="H384" s="703"/>
      <c r="I384" s="703"/>
      <c r="J384" s="703"/>
      <c r="K384" s="703"/>
      <c r="L384" s="703"/>
      <c r="M384" s="703"/>
      <c r="N384" s="703"/>
      <c r="O384" s="703"/>
      <c r="P384" s="703"/>
      <c r="Q384" s="703"/>
      <c r="R384" s="703"/>
      <c r="S384" s="703"/>
      <c r="T384" s="703"/>
      <c r="U384" s="703"/>
      <c r="V384" s="703"/>
      <c r="W384" s="703"/>
      <c r="X384" s="703"/>
      <c r="Y384" s="703"/>
      <c r="Z384" s="703"/>
    </row>
    <row r="385">
      <c r="A385" s="703"/>
      <c r="B385" s="703"/>
      <c r="C385" s="703"/>
      <c r="D385" s="703"/>
      <c r="E385" s="703"/>
      <c r="F385" s="703"/>
      <c r="G385" s="703"/>
      <c r="H385" s="703"/>
      <c r="I385" s="703"/>
      <c r="J385" s="703"/>
      <c r="K385" s="703"/>
      <c r="L385" s="703"/>
      <c r="M385" s="703"/>
      <c r="N385" s="703"/>
      <c r="O385" s="703"/>
      <c r="P385" s="703"/>
      <c r="Q385" s="703"/>
      <c r="R385" s="703"/>
      <c r="S385" s="703"/>
      <c r="T385" s="703"/>
      <c r="U385" s="703"/>
      <c r="V385" s="703"/>
      <c r="W385" s="703"/>
      <c r="X385" s="703"/>
      <c r="Y385" s="703"/>
      <c r="Z385" s="703"/>
    </row>
    <row r="386">
      <c r="A386" s="703"/>
      <c r="B386" s="703"/>
      <c r="C386" s="703"/>
      <c r="D386" s="703"/>
      <c r="E386" s="703"/>
      <c r="F386" s="703"/>
      <c r="G386" s="703"/>
      <c r="H386" s="703"/>
      <c r="I386" s="703"/>
      <c r="J386" s="703"/>
      <c r="K386" s="703"/>
      <c r="L386" s="703"/>
      <c r="M386" s="703"/>
      <c r="N386" s="703"/>
      <c r="O386" s="703"/>
      <c r="P386" s="703"/>
      <c r="Q386" s="703"/>
      <c r="R386" s="703"/>
      <c r="S386" s="703"/>
      <c r="T386" s="703"/>
      <c r="U386" s="703"/>
      <c r="V386" s="703"/>
      <c r="W386" s="703"/>
      <c r="X386" s="703"/>
      <c r="Y386" s="703"/>
      <c r="Z386" s="703"/>
    </row>
    <row r="387">
      <c r="A387" s="703"/>
      <c r="B387" s="703"/>
      <c r="C387" s="703"/>
      <c r="D387" s="703"/>
      <c r="E387" s="703"/>
      <c r="F387" s="703"/>
      <c r="G387" s="703"/>
      <c r="H387" s="703"/>
      <c r="I387" s="703"/>
      <c r="J387" s="703"/>
      <c r="K387" s="703"/>
      <c r="L387" s="703"/>
      <c r="M387" s="703"/>
      <c r="N387" s="703"/>
      <c r="O387" s="703"/>
      <c r="P387" s="703"/>
      <c r="Q387" s="703"/>
      <c r="R387" s="703"/>
      <c r="S387" s="703"/>
      <c r="T387" s="703"/>
      <c r="U387" s="703"/>
      <c r="V387" s="703"/>
      <c r="W387" s="703"/>
      <c r="X387" s="703"/>
      <c r="Y387" s="703"/>
      <c r="Z387" s="703"/>
    </row>
    <row r="388">
      <c r="A388" s="703"/>
      <c r="B388" s="703"/>
      <c r="C388" s="703"/>
      <c r="D388" s="703"/>
      <c r="E388" s="703"/>
      <c r="F388" s="703"/>
      <c r="G388" s="703"/>
      <c r="H388" s="703"/>
      <c r="I388" s="703"/>
      <c r="J388" s="703"/>
      <c r="K388" s="703"/>
      <c r="L388" s="703"/>
      <c r="M388" s="703"/>
      <c r="N388" s="703"/>
      <c r="O388" s="703"/>
      <c r="P388" s="703"/>
      <c r="Q388" s="703"/>
      <c r="R388" s="703"/>
      <c r="S388" s="703"/>
      <c r="T388" s="703"/>
      <c r="U388" s="703"/>
      <c r="V388" s="703"/>
      <c r="W388" s="703"/>
      <c r="X388" s="703"/>
      <c r="Y388" s="703"/>
      <c r="Z388" s="703"/>
    </row>
    <row r="389">
      <c r="A389" s="703"/>
      <c r="B389" s="703"/>
      <c r="C389" s="703"/>
      <c r="D389" s="703"/>
      <c r="E389" s="703"/>
      <c r="F389" s="703"/>
      <c r="G389" s="703"/>
      <c r="H389" s="703"/>
      <c r="I389" s="703"/>
      <c r="J389" s="703"/>
      <c r="K389" s="703"/>
      <c r="L389" s="703"/>
      <c r="M389" s="703"/>
      <c r="N389" s="703"/>
      <c r="O389" s="703"/>
      <c r="P389" s="703"/>
      <c r="Q389" s="703"/>
      <c r="R389" s="703"/>
      <c r="S389" s="703"/>
      <c r="T389" s="703"/>
      <c r="U389" s="703"/>
      <c r="V389" s="703"/>
      <c r="W389" s="703"/>
      <c r="X389" s="703"/>
      <c r="Y389" s="703"/>
      <c r="Z389" s="703"/>
    </row>
    <row r="390">
      <c r="A390" s="703"/>
      <c r="B390" s="703"/>
      <c r="C390" s="703"/>
      <c r="D390" s="703"/>
      <c r="E390" s="703"/>
      <c r="F390" s="703"/>
      <c r="G390" s="703"/>
      <c r="H390" s="703"/>
      <c r="I390" s="703"/>
      <c r="J390" s="703"/>
      <c r="K390" s="703"/>
      <c r="L390" s="703"/>
      <c r="M390" s="703"/>
      <c r="N390" s="703"/>
      <c r="O390" s="703"/>
      <c r="P390" s="703"/>
      <c r="Q390" s="703"/>
      <c r="R390" s="703"/>
      <c r="S390" s="703"/>
      <c r="T390" s="703"/>
      <c r="U390" s="703"/>
      <c r="V390" s="703"/>
      <c r="W390" s="703"/>
      <c r="X390" s="703"/>
      <c r="Y390" s="703"/>
      <c r="Z390" s="703"/>
    </row>
    <row r="391">
      <c r="A391" s="703"/>
      <c r="B391" s="703"/>
      <c r="C391" s="703"/>
      <c r="D391" s="703"/>
      <c r="E391" s="703"/>
      <c r="F391" s="703"/>
      <c r="G391" s="703"/>
      <c r="H391" s="703"/>
      <c r="I391" s="703"/>
      <c r="J391" s="703"/>
      <c r="K391" s="703"/>
      <c r="L391" s="703"/>
      <c r="M391" s="703"/>
      <c r="N391" s="703"/>
      <c r="O391" s="703"/>
      <c r="P391" s="703"/>
      <c r="Q391" s="703"/>
      <c r="R391" s="703"/>
      <c r="S391" s="703"/>
      <c r="T391" s="703"/>
      <c r="U391" s="703"/>
      <c r="V391" s="703"/>
      <c r="W391" s="703"/>
      <c r="X391" s="703"/>
      <c r="Y391" s="703"/>
      <c r="Z391" s="703"/>
    </row>
    <row r="392">
      <c r="A392" s="703"/>
      <c r="B392" s="703"/>
      <c r="C392" s="703"/>
      <c r="D392" s="703"/>
      <c r="E392" s="703"/>
      <c r="F392" s="703"/>
      <c r="G392" s="703"/>
      <c r="H392" s="703"/>
      <c r="I392" s="703"/>
      <c r="J392" s="703"/>
      <c r="K392" s="703"/>
      <c r="L392" s="703"/>
      <c r="M392" s="703"/>
      <c r="N392" s="703"/>
      <c r="O392" s="703"/>
      <c r="P392" s="703"/>
      <c r="Q392" s="703"/>
      <c r="R392" s="703"/>
      <c r="S392" s="703"/>
      <c r="T392" s="703"/>
      <c r="U392" s="703"/>
      <c r="V392" s="703"/>
      <c r="W392" s="703"/>
      <c r="X392" s="703"/>
      <c r="Y392" s="703"/>
      <c r="Z392" s="703"/>
    </row>
    <row r="393">
      <c r="A393" s="703"/>
      <c r="B393" s="703"/>
      <c r="C393" s="703"/>
      <c r="D393" s="703"/>
      <c r="E393" s="703"/>
      <c r="F393" s="703"/>
      <c r="G393" s="703"/>
      <c r="H393" s="703"/>
      <c r="I393" s="703"/>
      <c r="J393" s="703"/>
      <c r="K393" s="703"/>
      <c r="L393" s="703"/>
      <c r="M393" s="703"/>
      <c r="N393" s="703"/>
      <c r="O393" s="703"/>
      <c r="P393" s="703"/>
      <c r="Q393" s="703"/>
      <c r="R393" s="703"/>
      <c r="S393" s="703"/>
      <c r="T393" s="703"/>
      <c r="U393" s="703"/>
      <c r="V393" s="703"/>
      <c r="W393" s="703"/>
      <c r="X393" s="703"/>
      <c r="Y393" s="703"/>
      <c r="Z393" s="703"/>
    </row>
    <row r="394">
      <c r="A394" s="703"/>
      <c r="B394" s="703"/>
      <c r="C394" s="703"/>
      <c r="D394" s="703"/>
      <c r="E394" s="703"/>
      <c r="F394" s="703"/>
      <c r="G394" s="703"/>
      <c r="H394" s="703"/>
      <c r="I394" s="703"/>
      <c r="J394" s="703"/>
      <c r="K394" s="703"/>
      <c r="L394" s="703"/>
      <c r="M394" s="703"/>
      <c r="N394" s="703"/>
      <c r="O394" s="703"/>
      <c r="P394" s="703"/>
      <c r="Q394" s="703"/>
      <c r="R394" s="703"/>
      <c r="S394" s="703"/>
      <c r="T394" s="703"/>
      <c r="U394" s="703"/>
      <c r="V394" s="703"/>
      <c r="W394" s="703"/>
      <c r="X394" s="703"/>
      <c r="Y394" s="703"/>
      <c r="Z394" s="703"/>
    </row>
    <row r="395">
      <c r="A395" s="703"/>
      <c r="B395" s="703"/>
      <c r="C395" s="703"/>
      <c r="D395" s="703"/>
      <c r="E395" s="703"/>
      <c r="F395" s="703"/>
      <c r="G395" s="703"/>
      <c r="H395" s="703"/>
      <c r="I395" s="703"/>
      <c r="J395" s="703"/>
      <c r="K395" s="703"/>
      <c r="L395" s="703"/>
      <c r="M395" s="703"/>
      <c r="N395" s="703"/>
      <c r="O395" s="703"/>
      <c r="P395" s="703"/>
      <c r="Q395" s="703"/>
      <c r="R395" s="703"/>
      <c r="S395" s="703"/>
      <c r="T395" s="703"/>
      <c r="U395" s="703"/>
      <c r="V395" s="703"/>
      <c r="W395" s="703"/>
      <c r="X395" s="703"/>
      <c r="Y395" s="703"/>
      <c r="Z395" s="703"/>
    </row>
    <row r="396">
      <c r="A396" s="703"/>
      <c r="B396" s="703"/>
      <c r="C396" s="703"/>
      <c r="D396" s="703"/>
      <c r="E396" s="703"/>
      <c r="F396" s="703"/>
      <c r="G396" s="703"/>
      <c r="H396" s="703"/>
      <c r="I396" s="703"/>
      <c r="J396" s="703"/>
      <c r="K396" s="703"/>
      <c r="L396" s="703"/>
      <c r="M396" s="703"/>
      <c r="N396" s="703"/>
      <c r="O396" s="703"/>
      <c r="P396" s="703"/>
      <c r="Q396" s="703"/>
      <c r="R396" s="703"/>
      <c r="S396" s="703"/>
      <c r="T396" s="703"/>
      <c r="U396" s="703"/>
      <c r="V396" s="703"/>
      <c r="W396" s="703"/>
      <c r="X396" s="703"/>
      <c r="Y396" s="703"/>
      <c r="Z396" s="703"/>
    </row>
    <row r="397">
      <c r="A397" s="703"/>
      <c r="B397" s="703"/>
      <c r="C397" s="703"/>
      <c r="D397" s="703"/>
      <c r="E397" s="703"/>
      <c r="F397" s="703"/>
      <c r="G397" s="703"/>
      <c r="H397" s="703"/>
      <c r="I397" s="703"/>
      <c r="J397" s="703"/>
      <c r="K397" s="703"/>
      <c r="L397" s="703"/>
      <c r="M397" s="703"/>
      <c r="N397" s="703"/>
      <c r="O397" s="703"/>
      <c r="P397" s="703"/>
      <c r="Q397" s="703"/>
      <c r="R397" s="703"/>
      <c r="S397" s="703"/>
      <c r="T397" s="703"/>
      <c r="U397" s="703"/>
      <c r="V397" s="703"/>
      <c r="W397" s="703"/>
      <c r="X397" s="703"/>
      <c r="Y397" s="703"/>
      <c r="Z397" s="703"/>
    </row>
    <row r="398">
      <c r="A398" s="703"/>
      <c r="B398" s="703"/>
      <c r="C398" s="703"/>
      <c r="D398" s="703"/>
      <c r="E398" s="703"/>
      <c r="F398" s="703"/>
      <c r="G398" s="703"/>
      <c r="H398" s="703"/>
      <c r="I398" s="703"/>
      <c r="J398" s="703"/>
      <c r="K398" s="703"/>
      <c r="L398" s="703"/>
      <c r="M398" s="703"/>
      <c r="N398" s="703"/>
      <c r="O398" s="703"/>
      <c r="P398" s="703"/>
      <c r="Q398" s="703"/>
      <c r="R398" s="703"/>
      <c r="S398" s="703"/>
      <c r="T398" s="703"/>
      <c r="U398" s="703"/>
      <c r="V398" s="703"/>
      <c r="W398" s="703"/>
      <c r="X398" s="703"/>
      <c r="Y398" s="703"/>
      <c r="Z398" s="703"/>
    </row>
    <row r="399">
      <c r="A399" s="703"/>
      <c r="B399" s="703"/>
      <c r="C399" s="703"/>
      <c r="D399" s="703"/>
      <c r="E399" s="703"/>
      <c r="F399" s="703"/>
      <c r="G399" s="703"/>
      <c r="H399" s="703"/>
      <c r="I399" s="703"/>
      <c r="J399" s="703"/>
      <c r="K399" s="703"/>
      <c r="L399" s="703"/>
      <c r="M399" s="703"/>
      <c r="N399" s="703"/>
      <c r="O399" s="703"/>
      <c r="P399" s="703"/>
      <c r="Q399" s="703"/>
      <c r="R399" s="703"/>
      <c r="S399" s="703"/>
      <c r="T399" s="703"/>
      <c r="U399" s="703"/>
      <c r="V399" s="703"/>
      <c r="W399" s="703"/>
      <c r="X399" s="703"/>
      <c r="Y399" s="703"/>
      <c r="Z399" s="703"/>
    </row>
    <row r="400">
      <c r="A400" s="703"/>
      <c r="B400" s="703"/>
      <c r="C400" s="703"/>
      <c r="D400" s="703"/>
      <c r="E400" s="703"/>
      <c r="F400" s="703"/>
      <c r="G400" s="703"/>
      <c r="H400" s="703"/>
      <c r="I400" s="703"/>
      <c r="J400" s="703"/>
      <c r="K400" s="703"/>
      <c r="L400" s="703"/>
      <c r="M400" s="703"/>
      <c r="N400" s="703"/>
      <c r="O400" s="703"/>
      <c r="P400" s="703"/>
      <c r="Q400" s="703"/>
      <c r="R400" s="703"/>
      <c r="S400" s="703"/>
      <c r="T400" s="703"/>
      <c r="U400" s="703"/>
      <c r="V400" s="703"/>
      <c r="W400" s="703"/>
      <c r="X400" s="703"/>
      <c r="Y400" s="703"/>
      <c r="Z400" s="703"/>
    </row>
    <row r="401">
      <c r="A401" s="703"/>
      <c r="B401" s="703"/>
      <c r="C401" s="703"/>
      <c r="D401" s="703"/>
      <c r="E401" s="703"/>
      <c r="F401" s="703"/>
      <c r="G401" s="703"/>
      <c r="H401" s="703"/>
      <c r="I401" s="703"/>
      <c r="J401" s="703"/>
      <c r="K401" s="703"/>
      <c r="L401" s="703"/>
      <c r="M401" s="703"/>
      <c r="N401" s="703"/>
      <c r="O401" s="703"/>
      <c r="P401" s="703"/>
      <c r="Q401" s="703"/>
      <c r="R401" s="703"/>
      <c r="S401" s="703"/>
      <c r="T401" s="703"/>
      <c r="U401" s="703"/>
      <c r="V401" s="703"/>
      <c r="W401" s="703"/>
      <c r="X401" s="703"/>
      <c r="Y401" s="703"/>
      <c r="Z401" s="703"/>
    </row>
    <row r="402">
      <c r="A402" s="703"/>
      <c r="B402" s="703"/>
      <c r="C402" s="703"/>
      <c r="D402" s="703"/>
      <c r="E402" s="703"/>
      <c r="F402" s="703"/>
      <c r="G402" s="703"/>
      <c r="H402" s="703"/>
      <c r="I402" s="703"/>
      <c r="J402" s="703"/>
      <c r="K402" s="703"/>
      <c r="L402" s="703"/>
      <c r="M402" s="703"/>
      <c r="N402" s="703"/>
      <c r="O402" s="703"/>
      <c r="P402" s="703"/>
      <c r="Q402" s="703"/>
      <c r="R402" s="703"/>
      <c r="S402" s="703"/>
      <c r="T402" s="703"/>
      <c r="U402" s="703"/>
      <c r="V402" s="703"/>
      <c r="W402" s="703"/>
      <c r="X402" s="703"/>
      <c r="Y402" s="703"/>
      <c r="Z402" s="703"/>
    </row>
    <row r="403">
      <c r="A403" s="703"/>
      <c r="B403" s="703"/>
      <c r="C403" s="703"/>
      <c r="D403" s="703"/>
      <c r="E403" s="703"/>
      <c r="F403" s="703"/>
      <c r="G403" s="703"/>
      <c r="H403" s="703"/>
      <c r="I403" s="703"/>
      <c r="J403" s="703"/>
      <c r="K403" s="703"/>
      <c r="L403" s="703"/>
      <c r="M403" s="703"/>
      <c r="N403" s="703"/>
      <c r="O403" s="703"/>
      <c r="P403" s="703"/>
      <c r="Q403" s="703"/>
      <c r="R403" s="703"/>
      <c r="S403" s="703"/>
      <c r="T403" s="703"/>
      <c r="U403" s="703"/>
      <c r="V403" s="703"/>
      <c r="W403" s="703"/>
      <c r="X403" s="703"/>
      <c r="Y403" s="703"/>
      <c r="Z403" s="703"/>
    </row>
    <row r="404">
      <c r="A404" s="703"/>
      <c r="B404" s="703"/>
      <c r="C404" s="703"/>
      <c r="D404" s="703"/>
      <c r="E404" s="703"/>
      <c r="F404" s="703"/>
      <c r="G404" s="703"/>
      <c r="H404" s="703"/>
      <c r="I404" s="703"/>
      <c r="J404" s="703"/>
      <c r="K404" s="703"/>
      <c r="L404" s="703"/>
      <c r="M404" s="703"/>
      <c r="N404" s="703"/>
      <c r="O404" s="703"/>
      <c r="P404" s="703"/>
      <c r="Q404" s="703"/>
      <c r="R404" s="703"/>
      <c r="S404" s="703"/>
      <c r="T404" s="703"/>
      <c r="U404" s="703"/>
      <c r="V404" s="703"/>
      <c r="W404" s="703"/>
      <c r="X404" s="703"/>
      <c r="Y404" s="703"/>
      <c r="Z404" s="703"/>
    </row>
    <row r="405">
      <c r="A405" s="703"/>
      <c r="B405" s="703"/>
      <c r="C405" s="703"/>
      <c r="D405" s="703"/>
      <c r="E405" s="703"/>
      <c r="F405" s="703"/>
      <c r="G405" s="703"/>
      <c r="H405" s="703"/>
      <c r="I405" s="703"/>
      <c r="J405" s="703"/>
      <c r="K405" s="703"/>
      <c r="L405" s="703"/>
      <c r="M405" s="703"/>
      <c r="N405" s="703"/>
      <c r="O405" s="703"/>
      <c r="P405" s="703"/>
      <c r="Q405" s="703"/>
      <c r="R405" s="703"/>
      <c r="S405" s="703"/>
      <c r="T405" s="703"/>
      <c r="U405" s="703"/>
      <c r="V405" s="703"/>
      <c r="W405" s="703"/>
      <c r="X405" s="703"/>
      <c r="Y405" s="703"/>
      <c r="Z405" s="703"/>
    </row>
    <row r="406">
      <c r="A406" s="703"/>
      <c r="B406" s="703"/>
      <c r="C406" s="703"/>
      <c r="D406" s="703"/>
      <c r="E406" s="703"/>
      <c r="F406" s="703"/>
      <c r="G406" s="703"/>
      <c r="H406" s="703"/>
      <c r="I406" s="703"/>
      <c r="J406" s="703"/>
      <c r="K406" s="703"/>
      <c r="L406" s="703"/>
      <c r="M406" s="703"/>
      <c r="N406" s="703"/>
      <c r="O406" s="703"/>
      <c r="P406" s="703"/>
      <c r="Q406" s="703"/>
      <c r="R406" s="703"/>
      <c r="S406" s="703"/>
      <c r="T406" s="703"/>
      <c r="U406" s="703"/>
      <c r="V406" s="703"/>
      <c r="W406" s="703"/>
      <c r="X406" s="703"/>
      <c r="Y406" s="703"/>
      <c r="Z406" s="703"/>
    </row>
    <row r="407">
      <c r="A407" s="703"/>
      <c r="B407" s="703"/>
      <c r="C407" s="703"/>
      <c r="D407" s="703"/>
      <c r="E407" s="703"/>
      <c r="F407" s="703"/>
      <c r="G407" s="703"/>
      <c r="H407" s="703"/>
      <c r="I407" s="703"/>
      <c r="J407" s="703"/>
      <c r="K407" s="703"/>
      <c r="L407" s="703"/>
      <c r="M407" s="703"/>
      <c r="N407" s="703"/>
      <c r="O407" s="703"/>
      <c r="P407" s="703"/>
      <c r="Q407" s="703"/>
      <c r="R407" s="703"/>
      <c r="S407" s="703"/>
      <c r="T407" s="703"/>
      <c r="U407" s="703"/>
      <c r="V407" s="703"/>
      <c r="W407" s="703"/>
      <c r="X407" s="703"/>
      <c r="Y407" s="703"/>
      <c r="Z407" s="703"/>
    </row>
    <row r="408">
      <c r="A408" s="703"/>
      <c r="B408" s="703"/>
      <c r="C408" s="703"/>
      <c r="D408" s="703"/>
      <c r="E408" s="703"/>
      <c r="F408" s="703"/>
      <c r="G408" s="703"/>
      <c r="H408" s="703"/>
      <c r="I408" s="703"/>
      <c r="J408" s="703"/>
      <c r="K408" s="703"/>
      <c r="L408" s="703"/>
      <c r="M408" s="703"/>
      <c r="N408" s="703"/>
      <c r="O408" s="703"/>
      <c r="P408" s="703"/>
      <c r="Q408" s="703"/>
      <c r="R408" s="703"/>
      <c r="S408" s="703"/>
      <c r="T408" s="703"/>
      <c r="U408" s="703"/>
      <c r="V408" s="703"/>
      <c r="W408" s="703"/>
      <c r="X408" s="703"/>
      <c r="Y408" s="703"/>
      <c r="Z408" s="703"/>
    </row>
    <row r="409">
      <c r="A409" s="703"/>
      <c r="B409" s="703"/>
      <c r="C409" s="703"/>
      <c r="D409" s="703"/>
      <c r="E409" s="703"/>
      <c r="F409" s="703"/>
      <c r="G409" s="703"/>
      <c r="H409" s="703"/>
      <c r="I409" s="703"/>
      <c r="J409" s="703"/>
      <c r="K409" s="703"/>
      <c r="L409" s="703"/>
      <c r="M409" s="703"/>
      <c r="N409" s="703"/>
      <c r="O409" s="703"/>
      <c r="P409" s="703"/>
      <c r="Q409" s="703"/>
      <c r="R409" s="703"/>
      <c r="S409" s="703"/>
      <c r="T409" s="703"/>
      <c r="U409" s="703"/>
      <c r="V409" s="703"/>
      <c r="W409" s="703"/>
      <c r="X409" s="703"/>
      <c r="Y409" s="703"/>
      <c r="Z409" s="703"/>
    </row>
    <row r="410">
      <c r="A410" s="703"/>
      <c r="B410" s="703"/>
      <c r="C410" s="703"/>
      <c r="D410" s="703"/>
      <c r="E410" s="703"/>
      <c r="F410" s="703"/>
      <c r="G410" s="703"/>
      <c r="H410" s="703"/>
      <c r="I410" s="703"/>
      <c r="J410" s="703"/>
      <c r="K410" s="703"/>
      <c r="L410" s="703"/>
      <c r="M410" s="703"/>
      <c r="N410" s="703"/>
      <c r="O410" s="703"/>
      <c r="P410" s="703"/>
      <c r="Q410" s="703"/>
      <c r="R410" s="703"/>
      <c r="S410" s="703"/>
      <c r="T410" s="703"/>
      <c r="U410" s="703"/>
      <c r="V410" s="703"/>
      <c r="W410" s="703"/>
      <c r="X410" s="703"/>
      <c r="Y410" s="703"/>
      <c r="Z410" s="703"/>
    </row>
    <row r="411">
      <c r="A411" s="703"/>
      <c r="B411" s="703"/>
      <c r="C411" s="703"/>
      <c r="D411" s="703"/>
      <c r="E411" s="703"/>
      <c r="F411" s="703"/>
      <c r="G411" s="703"/>
      <c r="H411" s="703"/>
      <c r="I411" s="703"/>
      <c r="J411" s="703"/>
      <c r="K411" s="703"/>
      <c r="L411" s="703"/>
      <c r="M411" s="703"/>
      <c r="N411" s="703"/>
      <c r="O411" s="703"/>
      <c r="P411" s="703"/>
      <c r="Q411" s="703"/>
      <c r="R411" s="703"/>
      <c r="S411" s="703"/>
      <c r="T411" s="703"/>
      <c r="U411" s="703"/>
      <c r="V411" s="703"/>
      <c r="W411" s="703"/>
      <c r="X411" s="703"/>
      <c r="Y411" s="703"/>
      <c r="Z411" s="703"/>
    </row>
    <row r="412">
      <c r="A412" s="703"/>
      <c r="B412" s="703"/>
      <c r="C412" s="703"/>
      <c r="D412" s="703"/>
      <c r="E412" s="703"/>
      <c r="F412" s="703"/>
      <c r="G412" s="703"/>
      <c r="H412" s="703"/>
      <c r="I412" s="703"/>
      <c r="J412" s="703"/>
      <c r="K412" s="703"/>
      <c r="L412" s="703"/>
      <c r="M412" s="703"/>
      <c r="N412" s="703"/>
      <c r="O412" s="703"/>
      <c r="P412" s="703"/>
      <c r="Q412" s="703"/>
      <c r="R412" s="703"/>
      <c r="S412" s="703"/>
      <c r="T412" s="703"/>
      <c r="U412" s="703"/>
      <c r="V412" s="703"/>
      <c r="W412" s="703"/>
      <c r="X412" s="703"/>
      <c r="Y412" s="703"/>
      <c r="Z412" s="703"/>
    </row>
    <row r="413">
      <c r="A413" s="703"/>
      <c r="B413" s="703"/>
      <c r="C413" s="703"/>
      <c r="D413" s="703"/>
      <c r="E413" s="703"/>
      <c r="F413" s="703"/>
      <c r="G413" s="703"/>
      <c r="H413" s="703"/>
      <c r="I413" s="703"/>
      <c r="J413" s="703"/>
      <c r="K413" s="703"/>
      <c r="L413" s="703"/>
      <c r="M413" s="703"/>
      <c r="N413" s="703"/>
      <c r="O413" s="703"/>
      <c r="P413" s="703"/>
      <c r="Q413" s="703"/>
      <c r="R413" s="703"/>
      <c r="S413" s="703"/>
      <c r="T413" s="703"/>
      <c r="U413" s="703"/>
      <c r="V413" s="703"/>
      <c r="W413" s="703"/>
      <c r="X413" s="703"/>
      <c r="Y413" s="703"/>
      <c r="Z413" s="703"/>
    </row>
    <row r="414">
      <c r="A414" s="703"/>
      <c r="B414" s="703"/>
      <c r="C414" s="703"/>
      <c r="D414" s="703"/>
      <c r="E414" s="703"/>
      <c r="F414" s="703"/>
      <c r="G414" s="703"/>
      <c r="H414" s="703"/>
      <c r="I414" s="703"/>
      <c r="J414" s="703"/>
      <c r="K414" s="703"/>
      <c r="L414" s="703"/>
      <c r="M414" s="703"/>
      <c r="N414" s="703"/>
      <c r="O414" s="703"/>
      <c r="P414" s="703"/>
      <c r="Q414" s="703"/>
      <c r="R414" s="703"/>
      <c r="S414" s="703"/>
      <c r="T414" s="703"/>
      <c r="U414" s="703"/>
      <c r="V414" s="703"/>
      <c r="W414" s="703"/>
      <c r="X414" s="703"/>
      <c r="Y414" s="703"/>
      <c r="Z414" s="703"/>
    </row>
    <row r="415">
      <c r="A415" s="703"/>
      <c r="B415" s="703"/>
      <c r="C415" s="703"/>
      <c r="D415" s="703"/>
      <c r="E415" s="703"/>
      <c r="F415" s="703"/>
      <c r="G415" s="703"/>
      <c r="H415" s="703"/>
      <c r="I415" s="703"/>
      <c r="J415" s="703"/>
      <c r="K415" s="703"/>
      <c r="L415" s="703"/>
      <c r="M415" s="703"/>
      <c r="N415" s="703"/>
      <c r="O415" s="703"/>
      <c r="P415" s="703"/>
      <c r="Q415" s="703"/>
      <c r="R415" s="703"/>
      <c r="S415" s="703"/>
      <c r="T415" s="703"/>
      <c r="U415" s="703"/>
      <c r="V415" s="703"/>
      <c r="W415" s="703"/>
      <c r="X415" s="703"/>
      <c r="Y415" s="703"/>
      <c r="Z415" s="703"/>
    </row>
    <row r="416">
      <c r="A416" s="703"/>
      <c r="B416" s="703"/>
      <c r="C416" s="703"/>
      <c r="D416" s="703"/>
      <c r="E416" s="703"/>
      <c r="F416" s="703"/>
      <c r="G416" s="703"/>
      <c r="H416" s="703"/>
      <c r="I416" s="703"/>
      <c r="J416" s="703"/>
      <c r="K416" s="703"/>
      <c r="L416" s="703"/>
      <c r="M416" s="703"/>
      <c r="N416" s="703"/>
      <c r="O416" s="703"/>
      <c r="P416" s="703"/>
      <c r="Q416" s="703"/>
      <c r="R416" s="703"/>
      <c r="S416" s="703"/>
      <c r="T416" s="703"/>
      <c r="U416" s="703"/>
      <c r="V416" s="703"/>
      <c r="W416" s="703"/>
      <c r="X416" s="703"/>
      <c r="Y416" s="703"/>
      <c r="Z416" s="703"/>
    </row>
    <row r="417">
      <c r="A417" s="703"/>
      <c r="B417" s="703"/>
      <c r="C417" s="703"/>
      <c r="D417" s="703"/>
      <c r="E417" s="703"/>
      <c r="F417" s="703"/>
      <c r="G417" s="703"/>
      <c r="H417" s="703"/>
      <c r="I417" s="703"/>
      <c r="J417" s="703"/>
      <c r="K417" s="703"/>
      <c r="L417" s="703"/>
      <c r="M417" s="703"/>
      <c r="N417" s="703"/>
      <c r="O417" s="703"/>
      <c r="P417" s="703"/>
      <c r="Q417" s="703"/>
      <c r="R417" s="703"/>
      <c r="S417" s="703"/>
      <c r="T417" s="703"/>
      <c r="U417" s="703"/>
      <c r="V417" s="703"/>
      <c r="W417" s="703"/>
      <c r="X417" s="703"/>
      <c r="Y417" s="703"/>
      <c r="Z417" s="703"/>
    </row>
    <row r="418">
      <c r="A418" s="703"/>
      <c r="B418" s="703"/>
      <c r="C418" s="703"/>
      <c r="D418" s="703"/>
      <c r="E418" s="703"/>
      <c r="F418" s="703"/>
      <c r="G418" s="703"/>
      <c r="H418" s="703"/>
      <c r="I418" s="703"/>
      <c r="J418" s="703"/>
      <c r="K418" s="703"/>
      <c r="L418" s="703"/>
      <c r="M418" s="703"/>
      <c r="N418" s="703"/>
      <c r="O418" s="703"/>
      <c r="P418" s="703"/>
      <c r="Q418" s="703"/>
      <c r="R418" s="703"/>
      <c r="S418" s="703"/>
      <c r="T418" s="703"/>
      <c r="U418" s="703"/>
      <c r="V418" s="703"/>
      <c r="W418" s="703"/>
      <c r="X418" s="703"/>
      <c r="Y418" s="703"/>
      <c r="Z418" s="703"/>
    </row>
    <row r="419">
      <c r="A419" s="703"/>
      <c r="B419" s="703"/>
      <c r="C419" s="703"/>
      <c r="D419" s="703"/>
      <c r="E419" s="703"/>
      <c r="F419" s="703"/>
      <c r="G419" s="703"/>
      <c r="H419" s="703"/>
      <c r="I419" s="703"/>
      <c r="J419" s="703"/>
      <c r="K419" s="703"/>
      <c r="L419" s="703"/>
      <c r="M419" s="703"/>
      <c r="N419" s="703"/>
      <c r="O419" s="703"/>
      <c r="P419" s="703"/>
      <c r="Q419" s="703"/>
      <c r="R419" s="703"/>
      <c r="S419" s="703"/>
      <c r="T419" s="703"/>
      <c r="U419" s="703"/>
      <c r="V419" s="703"/>
      <c r="W419" s="703"/>
      <c r="X419" s="703"/>
      <c r="Y419" s="703"/>
      <c r="Z419" s="703"/>
    </row>
    <row r="420">
      <c r="A420" s="703"/>
      <c r="B420" s="703"/>
      <c r="C420" s="703"/>
      <c r="D420" s="703"/>
      <c r="E420" s="703"/>
      <c r="F420" s="703"/>
      <c r="G420" s="703"/>
      <c r="H420" s="703"/>
      <c r="I420" s="703"/>
      <c r="J420" s="703"/>
      <c r="K420" s="703"/>
      <c r="L420" s="703"/>
      <c r="M420" s="703"/>
      <c r="N420" s="703"/>
      <c r="O420" s="703"/>
      <c r="P420" s="703"/>
      <c r="Q420" s="703"/>
      <c r="R420" s="703"/>
      <c r="S420" s="703"/>
      <c r="T420" s="703"/>
      <c r="U420" s="703"/>
      <c r="V420" s="703"/>
      <c r="W420" s="703"/>
      <c r="X420" s="703"/>
      <c r="Y420" s="703"/>
      <c r="Z420" s="703"/>
    </row>
    <row r="421">
      <c r="A421" s="703"/>
      <c r="B421" s="703"/>
      <c r="C421" s="703"/>
      <c r="D421" s="703"/>
      <c r="E421" s="703"/>
      <c r="F421" s="703"/>
      <c r="G421" s="703"/>
      <c r="H421" s="703"/>
      <c r="I421" s="703"/>
      <c r="J421" s="703"/>
      <c r="K421" s="703"/>
      <c r="L421" s="703"/>
      <c r="M421" s="703"/>
      <c r="N421" s="703"/>
      <c r="O421" s="703"/>
      <c r="P421" s="703"/>
      <c r="Q421" s="703"/>
      <c r="R421" s="703"/>
      <c r="S421" s="703"/>
      <c r="T421" s="703"/>
      <c r="U421" s="703"/>
      <c r="V421" s="703"/>
      <c r="W421" s="703"/>
      <c r="X421" s="703"/>
      <c r="Y421" s="703"/>
      <c r="Z421" s="703"/>
    </row>
    <row r="422">
      <c r="A422" s="703"/>
      <c r="B422" s="703"/>
      <c r="C422" s="703"/>
      <c r="D422" s="703"/>
      <c r="E422" s="703"/>
      <c r="F422" s="703"/>
      <c r="G422" s="703"/>
      <c r="H422" s="703"/>
      <c r="I422" s="703"/>
      <c r="J422" s="703"/>
      <c r="K422" s="703"/>
      <c r="L422" s="703"/>
      <c r="M422" s="703"/>
      <c r="N422" s="703"/>
      <c r="O422" s="703"/>
      <c r="P422" s="703"/>
      <c r="Q422" s="703"/>
      <c r="R422" s="703"/>
      <c r="S422" s="703"/>
      <c r="T422" s="703"/>
      <c r="U422" s="703"/>
      <c r="V422" s="703"/>
      <c r="W422" s="703"/>
      <c r="X422" s="703"/>
      <c r="Y422" s="703"/>
      <c r="Z422" s="703"/>
    </row>
    <row r="423">
      <c r="A423" s="703"/>
      <c r="B423" s="703"/>
      <c r="C423" s="703"/>
      <c r="D423" s="703"/>
      <c r="E423" s="703"/>
      <c r="F423" s="703"/>
      <c r="G423" s="703"/>
      <c r="H423" s="703"/>
      <c r="I423" s="703"/>
      <c r="J423" s="703"/>
      <c r="K423" s="703"/>
      <c r="L423" s="703"/>
      <c r="M423" s="703"/>
      <c r="N423" s="703"/>
      <c r="O423" s="703"/>
      <c r="P423" s="703"/>
      <c r="Q423" s="703"/>
      <c r="R423" s="703"/>
      <c r="S423" s="703"/>
      <c r="T423" s="703"/>
      <c r="U423" s="703"/>
      <c r="V423" s="703"/>
      <c r="W423" s="703"/>
      <c r="X423" s="703"/>
      <c r="Y423" s="703"/>
      <c r="Z423" s="703"/>
    </row>
    <row r="424">
      <c r="A424" s="703"/>
      <c r="B424" s="703"/>
      <c r="C424" s="703"/>
      <c r="D424" s="703"/>
      <c r="E424" s="703"/>
      <c r="F424" s="703"/>
      <c r="G424" s="703"/>
      <c r="H424" s="703"/>
      <c r="I424" s="703"/>
      <c r="J424" s="703"/>
      <c r="K424" s="703"/>
      <c r="L424" s="703"/>
      <c r="M424" s="703"/>
      <c r="N424" s="703"/>
      <c r="O424" s="703"/>
      <c r="P424" s="703"/>
      <c r="Q424" s="703"/>
      <c r="R424" s="703"/>
      <c r="S424" s="703"/>
      <c r="T424" s="703"/>
      <c r="U424" s="703"/>
      <c r="V424" s="703"/>
      <c r="W424" s="703"/>
      <c r="X424" s="703"/>
      <c r="Y424" s="703"/>
      <c r="Z424" s="703"/>
    </row>
    <row r="425">
      <c r="A425" s="703"/>
      <c r="B425" s="703"/>
      <c r="C425" s="703"/>
      <c r="D425" s="703"/>
      <c r="E425" s="703"/>
      <c r="F425" s="703"/>
      <c r="G425" s="703"/>
      <c r="H425" s="703"/>
      <c r="I425" s="703"/>
      <c r="J425" s="703"/>
      <c r="K425" s="703"/>
      <c r="L425" s="703"/>
      <c r="M425" s="703"/>
      <c r="N425" s="703"/>
      <c r="O425" s="703"/>
      <c r="P425" s="703"/>
      <c r="Q425" s="703"/>
      <c r="R425" s="703"/>
      <c r="S425" s="703"/>
      <c r="T425" s="703"/>
      <c r="U425" s="703"/>
      <c r="V425" s="703"/>
      <c r="W425" s="703"/>
      <c r="X425" s="703"/>
      <c r="Y425" s="703"/>
      <c r="Z425" s="703"/>
    </row>
    <row r="426">
      <c r="A426" s="703"/>
      <c r="B426" s="703"/>
      <c r="C426" s="703"/>
      <c r="D426" s="703"/>
      <c r="E426" s="703"/>
      <c r="F426" s="703"/>
      <c r="G426" s="703"/>
      <c r="H426" s="703"/>
      <c r="I426" s="703"/>
      <c r="J426" s="703"/>
      <c r="K426" s="703"/>
      <c r="L426" s="703"/>
      <c r="M426" s="703"/>
      <c r="N426" s="703"/>
      <c r="O426" s="703"/>
      <c r="P426" s="703"/>
      <c r="Q426" s="703"/>
      <c r="R426" s="703"/>
      <c r="S426" s="703"/>
      <c r="T426" s="703"/>
      <c r="U426" s="703"/>
      <c r="V426" s="703"/>
      <c r="W426" s="703"/>
      <c r="X426" s="703"/>
      <c r="Y426" s="703"/>
      <c r="Z426" s="703"/>
    </row>
    <row r="427">
      <c r="A427" s="703"/>
      <c r="B427" s="703"/>
      <c r="C427" s="703"/>
      <c r="D427" s="703"/>
      <c r="E427" s="703"/>
      <c r="F427" s="703"/>
      <c r="G427" s="703"/>
      <c r="H427" s="703"/>
      <c r="I427" s="703"/>
      <c r="J427" s="703"/>
      <c r="K427" s="703"/>
      <c r="L427" s="703"/>
      <c r="M427" s="703"/>
      <c r="N427" s="703"/>
      <c r="O427" s="703"/>
      <c r="P427" s="703"/>
      <c r="Q427" s="703"/>
      <c r="R427" s="703"/>
      <c r="S427" s="703"/>
      <c r="T427" s="703"/>
      <c r="U427" s="703"/>
      <c r="V427" s="703"/>
      <c r="W427" s="703"/>
      <c r="X427" s="703"/>
      <c r="Y427" s="703"/>
      <c r="Z427" s="703"/>
    </row>
    <row r="428">
      <c r="A428" s="703"/>
      <c r="B428" s="703"/>
      <c r="C428" s="703"/>
      <c r="D428" s="703"/>
      <c r="E428" s="703"/>
      <c r="F428" s="703"/>
      <c r="G428" s="703"/>
      <c r="H428" s="703"/>
      <c r="I428" s="703"/>
      <c r="J428" s="703"/>
      <c r="K428" s="703"/>
      <c r="L428" s="703"/>
      <c r="M428" s="703"/>
      <c r="N428" s="703"/>
      <c r="O428" s="703"/>
      <c r="P428" s="703"/>
      <c r="Q428" s="703"/>
      <c r="R428" s="703"/>
      <c r="S428" s="703"/>
      <c r="T428" s="703"/>
      <c r="U428" s="703"/>
      <c r="V428" s="703"/>
      <c r="W428" s="703"/>
      <c r="X428" s="703"/>
      <c r="Y428" s="703"/>
      <c r="Z428" s="703"/>
    </row>
    <row r="429">
      <c r="A429" s="703"/>
      <c r="B429" s="703"/>
      <c r="C429" s="703"/>
      <c r="D429" s="703"/>
      <c r="E429" s="703"/>
      <c r="F429" s="703"/>
      <c r="G429" s="703"/>
      <c r="H429" s="703"/>
      <c r="I429" s="703"/>
      <c r="J429" s="703"/>
      <c r="K429" s="703"/>
      <c r="L429" s="703"/>
      <c r="M429" s="703"/>
      <c r="N429" s="703"/>
      <c r="O429" s="703"/>
      <c r="P429" s="703"/>
      <c r="Q429" s="703"/>
      <c r="R429" s="703"/>
      <c r="S429" s="703"/>
      <c r="T429" s="703"/>
      <c r="U429" s="703"/>
      <c r="V429" s="703"/>
      <c r="W429" s="703"/>
      <c r="X429" s="703"/>
      <c r="Y429" s="703"/>
      <c r="Z429" s="703"/>
    </row>
    <row r="430">
      <c r="A430" s="703"/>
      <c r="B430" s="703"/>
      <c r="C430" s="703"/>
      <c r="D430" s="703"/>
      <c r="E430" s="703"/>
      <c r="F430" s="703"/>
      <c r="G430" s="703"/>
      <c r="H430" s="703"/>
      <c r="I430" s="703"/>
      <c r="J430" s="703"/>
      <c r="K430" s="703"/>
      <c r="L430" s="703"/>
      <c r="M430" s="703"/>
      <c r="N430" s="703"/>
      <c r="O430" s="703"/>
      <c r="P430" s="703"/>
      <c r="Q430" s="703"/>
      <c r="R430" s="703"/>
      <c r="S430" s="703"/>
      <c r="T430" s="703"/>
      <c r="U430" s="703"/>
      <c r="V430" s="703"/>
      <c r="W430" s="703"/>
      <c r="X430" s="703"/>
      <c r="Y430" s="703"/>
      <c r="Z430" s="703"/>
    </row>
    <row r="431">
      <c r="A431" s="703"/>
      <c r="B431" s="703"/>
      <c r="C431" s="703"/>
      <c r="D431" s="703"/>
      <c r="E431" s="703"/>
      <c r="F431" s="703"/>
      <c r="G431" s="703"/>
      <c r="H431" s="703"/>
      <c r="I431" s="703"/>
      <c r="J431" s="703"/>
      <c r="K431" s="703"/>
      <c r="L431" s="703"/>
      <c r="M431" s="703"/>
      <c r="N431" s="703"/>
      <c r="O431" s="703"/>
      <c r="P431" s="703"/>
      <c r="Q431" s="703"/>
      <c r="R431" s="703"/>
      <c r="S431" s="703"/>
      <c r="T431" s="703"/>
      <c r="U431" s="703"/>
      <c r="V431" s="703"/>
      <c r="W431" s="703"/>
      <c r="X431" s="703"/>
      <c r="Y431" s="703"/>
      <c r="Z431" s="703"/>
    </row>
    <row r="432">
      <c r="A432" s="703"/>
      <c r="B432" s="703"/>
      <c r="C432" s="703"/>
      <c r="D432" s="703"/>
      <c r="E432" s="703"/>
      <c r="F432" s="703"/>
      <c r="G432" s="703"/>
      <c r="H432" s="703"/>
      <c r="I432" s="703"/>
      <c r="J432" s="703"/>
      <c r="K432" s="703"/>
      <c r="L432" s="703"/>
      <c r="M432" s="703"/>
      <c r="N432" s="703"/>
      <c r="O432" s="703"/>
      <c r="P432" s="703"/>
      <c r="Q432" s="703"/>
      <c r="R432" s="703"/>
      <c r="S432" s="703"/>
      <c r="T432" s="703"/>
      <c r="U432" s="703"/>
      <c r="V432" s="703"/>
      <c r="W432" s="703"/>
      <c r="X432" s="703"/>
      <c r="Y432" s="703"/>
      <c r="Z432" s="703"/>
    </row>
    <row r="433">
      <c r="A433" s="703"/>
      <c r="B433" s="703"/>
      <c r="C433" s="703"/>
      <c r="D433" s="703"/>
      <c r="E433" s="703"/>
      <c r="F433" s="703"/>
      <c r="G433" s="703"/>
      <c r="H433" s="703"/>
      <c r="I433" s="703"/>
      <c r="J433" s="703"/>
      <c r="K433" s="703"/>
      <c r="L433" s="703"/>
      <c r="M433" s="703"/>
      <c r="N433" s="703"/>
      <c r="O433" s="703"/>
      <c r="P433" s="703"/>
      <c r="Q433" s="703"/>
      <c r="R433" s="703"/>
      <c r="S433" s="703"/>
      <c r="T433" s="703"/>
      <c r="U433" s="703"/>
      <c r="V433" s="703"/>
      <c r="W433" s="703"/>
      <c r="X433" s="703"/>
      <c r="Y433" s="703"/>
      <c r="Z433" s="703"/>
    </row>
    <row r="434">
      <c r="A434" s="703"/>
      <c r="B434" s="703"/>
      <c r="C434" s="703"/>
      <c r="D434" s="703"/>
      <c r="E434" s="703"/>
      <c r="F434" s="703"/>
      <c r="G434" s="703"/>
      <c r="H434" s="703"/>
      <c r="I434" s="703"/>
      <c r="J434" s="703"/>
      <c r="K434" s="703"/>
      <c r="L434" s="703"/>
      <c r="M434" s="703"/>
      <c r="N434" s="703"/>
      <c r="O434" s="703"/>
      <c r="P434" s="703"/>
      <c r="Q434" s="703"/>
      <c r="R434" s="703"/>
      <c r="S434" s="703"/>
      <c r="T434" s="703"/>
      <c r="U434" s="703"/>
      <c r="V434" s="703"/>
      <c r="W434" s="703"/>
      <c r="X434" s="703"/>
      <c r="Y434" s="703"/>
      <c r="Z434" s="703"/>
    </row>
    <row r="435">
      <c r="A435" s="703"/>
      <c r="B435" s="703"/>
      <c r="C435" s="703"/>
      <c r="D435" s="703"/>
      <c r="E435" s="703"/>
      <c r="F435" s="703"/>
      <c r="G435" s="703"/>
      <c r="H435" s="703"/>
      <c r="I435" s="703"/>
      <c r="J435" s="703"/>
      <c r="K435" s="703"/>
      <c r="L435" s="703"/>
      <c r="M435" s="703"/>
      <c r="N435" s="703"/>
      <c r="O435" s="703"/>
      <c r="P435" s="703"/>
      <c r="Q435" s="703"/>
      <c r="R435" s="703"/>
      <c r="S435" s="703"/>
      <c r="T435" s="703"/>
      <c r="U435" s="703"/>
      <c r="V435" s="703"/>
      <c r="W435" s="703"/>
      <c r="X435" s="703"/>
      <c r="Y435" s="703"/>
      <c r="Z435" s="703"/>
    </row>
    <row r="436">
      <c r="A436" s="703"/>
      <c r="B436" s="703"/>
      <c r="C436" s="703"/>
      <c r="D436" s="703"/>
      <c r="E436" s="703"/>
      <c r="F436" s="703"/>
      <c r="G436" s="703"/>
      <c r="H436" s="703"/>
      <c r="I436" s="703"/>
      <c r="J436" s="703"/>
      <c r="K436" s="703"/>
      <c r="L436" s="703"/>
      <c r="M436" s="703"/>
      <c r="N436" s="703"/>
      <c r="O436" s="703"/>
      <c r="P436" s="703"/>
      <c r="Q436" s="703"/>
      <c r="R436" s="703"/>
      <c r="S436" s="703"/>
      <c r="T436" s="703"/>
      <c r="U436" s="703"/>
      <c r="V436" s="703"/>
      <c r="W436" s="703"/>
      <c r="X436" s="703"/>
      <c r="Y436" s="703"/>
      <c r="Z436" s="703"/>
    </row>
    <row r="437">
      <c r="A437" s="703"/>
      <c r="B437" s="703"/>
      <c r="C437" s="703"/>
      <c r="D437" s="703"/>
      <c r="E437" s="703"/>
      <c r="F437" s="703"/>
      <c r="G437" s="703"/>
      <c r="H437" s="703"/>
      <c r="I437" s="703"/>
      <c r="J437" s="703"/>
      <c r="K437" s="703"/>
      <c r="L437" s="703"/>
      <c r="M437" s="703"/>
      <c r="N437" s="703"/>
      <c r="O437" s="703"/>
      <c r="P437" s="703"/>
      <c r="Q437" s="703"/>
      <c r="R437" s="703"/>
      <c r="S437" s="703"/>
      <c r="T437" s="703"/>
      <c r="U437" s="703"/>
      <c r="V437" s="703"/>
      <c r="W437" s="703"/>
      <c r="X437" s="703"/>
      <c r="Y437" s="703"/>
      <c r="Z437" s="703"/>
    </row>
    <row r="438">
      <c r="A438" s="703"/>
      <c r="B438" s="703"/>
      <c r="C438" s="703"/>
      <c r="D438" s="703"/>
      <c r="E438" s="703"/>
      <c r="F438" s="703"/>
      <c r="G438" s="703"/>
      <c r="H438" s="703"/>
      <c r="I438" s="703"/>
      <c r="J438" s="703"/>
      <c r="K438" s="703"/>
      <c r="L438" s="703"/>
      <c r="M438" s="703"/>
      <c r="N438" s="703"/>
      <c r="O438" s="703"/>
      <c r="P438" s="703"/>
      <c r="Q438" s="703"/>
      <c r="R438" s="703"/>
      <c r="S438" s="703"/>
      <c r="T438" s="703"/>
      <c r="U438" s="703"/>
      <c r="V438" s="703"/>
      <c r="W438" s="703"/>
      <c r="X438" s="703"/>
      <c r="Y438" s="703"/>
      <c r="Z438" s="703"/>
    </row>
    <row r="439">
      <c r="A439" s="703"/>
      <c r="B439" s="703"/>
      <c r="C439" s="703"/>
      <c r="D439" s="703"/>
      <c r="E439" s="703"/>
      <c r="F439" s="703"/>
      <c r="G439" s="703"/>
      <c r="H439" s="703"/>
      <c r="I439" s="703"/>
      <c r="J439" s="703"/>
      <c r="K439" s="703"/>
      <c r="L439" s="703"/>
      <c r="M439" s="703"/>
      <c r="N439" s="703"/>
      <c r="O439" s="703"/>
      <c r="P439" s="703"/>
      <c r="Q439" s="703"/>
      <c r="R439" s="703"/>
      <c r="S439" s="703"/>
      <c r="T439" s="703"/>
      <c r="U439" s="703"/>
      <c r="V439" s="703"/>
      <c r="W439" s="703"/>
      <c r="X439" s="703"/>
      <c r="Y439" s="703"/>
      <c r="Z439" s="703"/>
    </row>
    <row r="440">
      <c r="A440" s="703"/>
      <c r="B440" s="703"/>
      <c r="C440" s="703"/>
      <c r="D440" s="703"/>
      <c r="E440" s="703"/>
      <c r="F440" s="703"/>
      <c r="G440" s="703"/>
      <c r="H440" s="703"/>
      <c r="I440" s="703"/>
      <c r="J440" s="703"/>
      <c r="K440" s="703"/>
      <c r="L440" s="703"/>
      <c r="M440" s="703"/>
      <c r="N440" s="703"/>
      <c r="O440" s="703"/>
      <c r="P440" s="703"/>
      <c r="Q440" s="703"/>
      <c r="R440" s="703"/>
      <c r="S440" s="703"/>
      <c r="T440" s="703"/>
      <c r="U440" s="703"/>
      <c r="V440" s="703"/>
      <c r="W440" s="703"/>
      <c r="X440" s="703"/>
      <c r="Y440" s="703"/>
      <c r="Z440" s="703"/>
    </row>
    <row r="441">
      <c r="A441" s="703"/>
      <c r="B441" s="703"/>
      <c r="C441" s="703"/>
      <c r="D441" s="703"/>
      <c r="E441" s="703"/>
      <c r="F441" s="703"/>
      <c r="G441" s="703"/>
      <c r="H441" s="703"/>
      <c r="I441" s="703"/>
      <c r="J441" s="703"/>
      <c r="K441" s="703"/>
      <c r="L441" s="703"/>
      <c r="M441" s="703"/>
      <c r="N441" s="703"/>
      <c r="O441" s="703"/>
      <c r="P441" s="703"/>
      <c r="Q441" s="703"/>
      <c r="R441" s="703"/>
      <c r="S441" s="703"/>
      <c r="T441" s="703"/>
      <c r="U441" s="703"/>
      <c r="V441" s="703"/>
      <c r="W441" s="703"/>
      <c r="X441" s="703"/>
      <c r="Y441" s="703"/>
      <c r="Z441" s="703"/>
    </row>
    <row r="442">
      <c r="A442" s="703"/>
      <c r="B442" s="703"/>
      <c r="C442" s="703"/>
      <c r="D442" s="703"/>
      <c r="E442" s="703"/>
      <c r="F442" s="703"/>
      <c r="G442" s="703"/>
      <c r="H442" s="703"/>
      <c r="I442" s="703"/>
      <c r="J442" s="703"/>
      <c r="K442" s="703"/>
      <c r="L442" s="703"/>
      <c r="M442" s="703"/>
      <c r="N442" s="703"/>
      <c r="O442" s="703"/>
      <c r="P442" s="703"/>
      <c r="Q442" s="703"/>
      <c r="R442" s="703"/>
      <c r="S442" s="703"/>
      <c r="T442" s="703"/>
      <c r="U442" s="703"/>
      <c r="V442" s="703"/>
      <c r="W442" s="703"/>
      <c r="X442" s="703"/>
      <c r="Y442" s="703"/>
      <c r="Z442" s="703"/>
    </row>
    <row r="443">
      <c r="A443" s="703"/>
      <c r="B443" s="703"/>
      <c r="C443" s="703"/>
      <c r="D443" s="703"/>
      <c r="E443" s="703"/>
      <c r="F443" s="703"/>
      <c r="G443" s="703"/>
      <c r="H443" s="703"/>
      <c r="I443" s="703"/>
      <c r="J443" s="703"/>
      <c r="K443" s="703"/>
      <c r="L443" s="703"/>
      <c r="M443" s="703"/>
      <c r="N443" s="703"/>
      <c r="O443" s="703"/>
      <c r="P443" s="703"/>
      <c r="Q443" s="703"/>
      <c r="R443" s="703"/>
      <c r="S443" s="703"/>
      <c r="T443" s="703"/>
      <c r="U443" s="703"/>
      <c r="V443" s="703"/>
      <c r="W443" s="703"/>
      <c r="X443" s="703"/>
      <c r="Y443" s="703"/>
      <c r="Z443" s="703"/>
    </row>
    <row r="444">
      <c r="A444" s="703"/>
      <c r="B444" s="703"/>
      <c r="C444" s="703"/>
      <c r="D444" s="703"/>
      <c r="E444" s="703"/>
      <c r="F444" s="703"/>
      <c r="G444" s="703"/>
      <c r="H444" s="703"/>
      <c r="I444" s="703"/>
      <c r="J444" s="703"/>
      <c r="K444" s="703"/>
      <c r="L444" s="703"/>
      <c r="M444" s="703"/>
      <c r="N444" s="703"/>
      <c r="O444" s="703"/>
      <c r="P444" s="703"/>
      <c r="Q444" s="703"/>
      <c r="R444" s="703"/>
      <c r="S444" s="703"/>
      <c r="T444" s="703"/>
      <c r="U444" s="703"/>
      <c r="V444" s="703"/>
      <c r="W444" s="703"/>
      <c r="X444" s="703"/>
      <c r="Y444" s="703"/>
      <c r="Z444" s="703"/>
    </row>
    <row r="445">
      <c r="A445" s="703"/>
      <c r="B445" s="703"/>
      <c r="C445" s="703"/>
      <c r="D445" s="703"/>
      <c r="E445" s="703"/>
      <c r="F445" s="703"/>
      <c r="G445" s="703"/>
      <c r="H445" s="703"/>
      <c r="I445" s="703"/>
      <c r="J445" s="703"/>
      <c r="K445" s="703"/>
      <c r="L445" s="703"/>
      <c r="M445" s="703"/>
      <c r="N445" s="703"/>
      <c r="O445" s="703"/>
      <c r="P445" s="703"/>
      <c r="Q445" s="703"/>
      <c r="R445" s="703"/>
      <c r="S445" s="703"/>
      <c r="T445" s="703"/>
      <c r="U445" s="703"/>
      <c r="V445" s="703"/>
      <c r="W445" s="703"/>
      <c r="X445" s="703"/>
      <c r="Y445" s="703"/>
      <c r="Z445" s="703"/>
    </row>
    <row r="446">
      <c r="A446" s="703"/>
      <c r="B446" s="703"/>
      <c r="C446" s="703"/>
      <c r="D446" s="703"/>
      <c r="E446" s="703"/>
      <c r="F446" s="703"/>
      <c r="G446" s="703"/>
      <c r="H446" s="703"/>
      <c r="I446" s="703"/>
      <c r="J446" s="703"/>
      <c r="K446" s="703"/>
      <c r="L446" s="703"/>
      <c r="M446" s="703"/>
      <c r="N446" s="703"/>
      <c r="O446" s="703"/>
      <c r="P446" s="703"/>
      <c r="Q446" s="703"/>
      <c r="R446" s="703"/>
      <c r="S446" s="703"/>
      <c r="T446" s="703"/>
      <c r="U446" s="703"/>
      <c r="V446" s="703"/>
      <c r="W446" s="703"/>
      <c r="X446" s="703"/>
      <c r="Y446" s="703"/>
      <c r="Z446" s="703"/>
    </row>
    <row r="447">
      <c r="A447" s="703"/>
      <c r="B447" s="703"/>
      <c r="C447" s="703"/>
      <c r="D447" s="703"/>
      <c r="E447" s="703"/>
      <c r="F447" s="703"/>
      <c r="G447" s="703"/>
      <c r="H447" s="703"/>
      <c r="I447" s="703"/>
      <c r="J447" s="703"/>
      <c r="K447" s="703"/>
      <c r="L447" s="703"/>
      <c r="M447" s="703"/>
      <c r="N447" s="703"/>
      <c r="O447" s="703"/>
      <c r="P447" s="703"/>
      <c r="Q447" s="703"/>
      <c r="R447" s="703"/>
      <c r="S447" s="703"/>
      <c r="T447" s="703"/>
      <c r="U447" s="703"/>
      <c r="V447" s="703"/>
      <c r="W447" s="703"/>
      <c r="X447" s="703"/>
      <c r="Y447" s="703"/>
      <c r="Z447" s="703"/>
    </row>
    <row r="448">
      <c r="A448" s="703"/>
      <c r="B448" s="703"/>
      <c r="C448" s="703"/>
      <c r="D448" s="703"/>
      <c r="E448" s="703"/>
      <c r="F448" s="703"/>
      <c r="G448" s="703"/>
      <c r="H448" s="703"/>
      <c r="I448" s="703"/>
      <c r="J448" s="703"/>
      <c r="K448" s="703"/>
      <c r="L448" s="703"/>
      <c r="M448" s="703"/>
      <c r="N448" s="703"/>
      <c r="O448" s="703"/>
      <c r="P448" s="703"/>
      <c r="Q448" s="703"/>
      <c r="R448" s="703"/>
      <c r="S448" s="703"/>
      <c r="T448" s="703"/>
      <c r="U448" s="703"/>
      <c r="V448" s="703"/>
      <c r="W448" s="703"/>
      <c r="X448" s="703"/>
      <c r="Y448" s="703"/>
      <c r="Z448" s="703"/>
    </row>
    <row r="449">
      <c r="A449" s="703"/>
      <c r="B449" s="703"/>
      <c r="C449" s="703"/>
      <c r="D449" s="703"/>
      <c r="E449" s="703"/>
      <c r="F449" s="703"/>
      <c r="G449" s="703"/>
      <c r="H449" s="703"/>
      <c r="I449" s="703"/>
      <c r="J449" s="703"/>
      <c r="K449" s="703"/>
      <c r="L449" s="703"/>
      <c r="M449" s="703"/>
      <c r="N449" s="703"/>
      <c r="O449" s="703"/>
      <c r="P449" s="703"/>
      <c r="Q449" s="703"/>
      <c r="R449" s="703"/>
      <c r="S449" s="703"/>
      <c r="T449" s="703"/>
      <c r="U449" s="703"/>
      <c r="V449" s="703"/>
      <c r="W449" s="703"/>
      <c r="X449" s="703"/>
      <c r="Y449" s="703"/>
      <c r="Z449" s="703"/>
    </row>
    <row r="450">
      <c r="A450" s="703"/>
      <c r="B450" s="703"/>
      <c r="C450" s="703"/>
      <c r="D450" s="703"/>
      <c r="E450" s="703"/>
      <c r="F450" s="703"/>
      <c r="G450" s="703"/>
      <c r="H450" s="703"/>
      <c r="I450" s="703"/>
      <c r="J450" s="703"/>
      <c r="K450" s="703"/>
      <c r="L450" s="703"/>
      <c r="M450" s="703"/>
      <c r="N450" s="703"/>
      <c r="O450" s="703"/>
      <c r="P450" s="703"/>
      <c r="Q450" s="703"/>
      <c r="R450" s="703"/>
      <c r="S450" s="703"/>
      <c r="T450" s="703"/>
      <c r="U450" s="703"/>
      <c r="V450" s="703"/>
      <c r="W450" s="703"/>
      <c r="X450" s="703"/>
      <c r="Y450" s="703"/>
      <c r="Z450" s="703"/>
    </row>
    <row r="451">
      <c r="A451" s="703"/>
      <c r="B451" s="703"/>
      <c r="C451" s="703"/>
      <c r="D451" s="703"/>
      <c r="E451" s="703"/>
      <c r="F451" s="703"/>
      <c r="G451" s="703"/>
      <c r="H451" s="703"/>
      <c r="I451" s="703"/>
      <c r="J451" s="703"/>
      <c r="K451" s="703"/>
      <c r="L451" s="703"/>
      <c r="M451" s="703"/>
      <c r="N451" s="703"/>
      <c r="O451" s="703"/>
      <c r="P451" s="703"/>
      <c r="Q451" s="703"/>
      <c r="R451" s="703"/>
      <c r="S451" s="703"/>
      <c r="T451" s="703"/>
      <c r="U451" s="703"/>
      <c r="V451" s="703"/>
      <c r="W451" s="703"/>
      <c r="X451" s="703"/>
      <c r="Y451" s="703"/>
      <c r="Z451" s="703"/>
    </row>
    <row r="452">
      <c r="A452" s="703"/>
      <c r="B452" s="703"/>
      <c r="C452" s="703"/>
      <c r="D452" s="703"/>
      <c r="E452" s="703"/>
      <c r="F452" s="703"/>
      <c r="G452" s="703"/>
      <c r="H452" s="703"/>
      <c r="I452" s="703"/>
      <c r="J452" s="703"/>
      <c r="K452" s="703"/>
      <c r="L452" s="703"/>
      <c r="M452" s="703"/>
      <c r="N452" s="703"/>
      <c r="O452" s="703"/>
      <c r="P452" s="703"/>
      <c r="Q452" s="703"/>
      <c r="R452" s="703"/>
      <c r="S452" s="703"/>
      <c r="T452" s="703"/>
      <c r="U452" s="703"/>
      <c r="V452" s="703"/>
      <c r="W452" s="703"/>
      <c r="X452" s="703"/>
      <c r="Y452" s="703"/>
      <c r="Z452" s="703"/>
    </row>
    <row r="453">
      <c r="A453" s="703"/>
      <c r="B453" s="703"/>
      <c r="C453" s="703"/>
      <c r="D453" s="703"/>
      <c r="E453" s="703"/>
      <c r="F453" s="703"/>
      <c r="G453" s="703"/>
      <c r="H453" s="703"/>
      <c r="I453" s="703"/>
      <c r="J453" s="703"/>
      <c r="K453" s="703"/>
      <c r="L453" s="703"/>
      <c r="M453" s="703"/>
      <c r="N453" s="703"/>
      <c r="O453" s="703"/>
      <c r="P453" s="703"/>
      <c r="Q453" s="703"/>
      <c r="R453" s="703"/>
      <c r="S453" s="703"/>
      <c r="T453" s="703"/>
      <c r="U453" s="703"/>
      <c r="V453" s="703"/>
      <c r="W453" s="703"/>
      <c r="X453" s="703"/>
      <c r="Y453" s="703"/>
      <c r="Z453" s="703"/>
    </row>
    <row r="454">
      <c r="A454" s="703"/>
      <c r="B454" s="703"/>
      <c r="C454" s="703"/>
      <c r="D454" s="703"/>
      <c r="E454" s="703"/>
      <c r="F454" s="703"/>
      <c r="G454" s="703"/>
      <c r="H454" s="703"/>
      <c r="I454" s="703"/>
      <c r="J454" s="703"/>
      <c r="K454" s="703"/>
      <c r="L454" s="703"/>
      <c r="M454" s="703"/>
      <c r="N454" s="703"/>
      <c r="O454" s="703"/>
      <c r="P454" s="703"/>
      <c r="Q454" s="703"/>
      <c r="R454" s="703"/>
      <c r="S454" s="703"/>
      <c r="T454" s="703"/>
      <c r="U454" s="703"/>
      <c r="V454" s="703"/>
      <c r="W454" s="703"/>
      <c r="X454" s="703"/>
      <c r="Y454" s="703"/>
      <c r="Z454" s="703"/>
    </row>
    <row r="455">
      <c r="A455" s="703"/>
      <c r="B455" s="703"/>
      <c r="C455" s="703"/>
      <c r="D455" s="703"/>
      <c r="E455" s="703"/>
      <c r="F455" s="703"/>
      <c r="G455" s="703"/>
      <c r="H455" s="703"/>
      <c r="I455" s="703"/>
      <c r="J455" s="703"/>
      <c r="K455" s="703"/>
      <c r="L455" s="703"/>
      <c r="M455" s="703"/>
      <c r="N455" s="703"/>
      <c r="O455" s="703"/>
      <c r="P455" s="703"/>
      <c r="Q455" s="703"/>
      <c r="R455" s="703"/>
      <c r="S455" s="703"/>
      <c r="T455" s="703"/>
      <c r="U455" s="703"/>
      <c r="V455" s="703"/>
      <c r="W455" s="703"/>
      <c r="X455" s="703"/>
      <c r="Y455" s="703"/>
      <c r="Z455" s="703"/>
    </row>
    <row r="456">
      <c r="A456" s="703"/>
      <c r="B456" s="703"/>
      <c r="C456" s="703"/>
      <c r="D456" s="703"/>
      <c r="E456" s="703"/>
      <c r="F456" s="703"/>
      <c r="G456" s="703"/>
      <c r="H456" s="703"/>
      <c r="I456" s="703"/>
      <c r="J456" s="703"/>
      <c r="K456" s="703"/>
      <c r="L456" s="703"/>
      <c r="M456" s="703"/>
      <c r="N456" s="703"/>
      <c r="O456" s="703"/>
      <c r="P456" s="703"/>
      <c r="Q456" s="703"/>
      <c r="R456" s="703"/>
      <c r="S456" s="703"/>
      <c r="T456" s="703"/>
      <c r="U456" s="703"/>
      <c r="V456" s="703"/>
      <c r="W456" s="703"/>
      <c r="X456" s="703"/>
      <c r="Y456" s="703"/>
      <c r="Z456" s="703"/>
    </row>
    <row r="457">
      <c r="A457" s="703"/>
      <c r="B457" s="703"/>
      <c r="C457" s="703"/>
      <c r="D457" s="703"/>
      <c r="E457" s="703"/>
      <c r="F457" s="703"/>
      <c r="G457" s="703"/>
      <c r="H457" s="703"/>
      <c r="I457" s="703"/>
      <c r="J457" s="703"/>
      <c r="K457" s="703"/>
      <c r="L457" s="703"/>
      <c r="M457" s="703"/>
      <c r="N457" s="703"/>
      <c r="O457" s="703"/>
      <c r="P457" s="703"/>
      <c r="Q457" s="703"/>
      <c r="R457" s="703"/>
      <c r="S457" s="703"/>
      <c r="T457" s="703"/>
      <c r="U457" s="703"/>
      <c r="V457" s="703"/>
      <c r="W457" s="703"/>
      <c r="X457" s="703"/>
      <c r="Y457" s="703"/>
      <c r="Z457" s="703"/>
    </row>
    <row r="458">
      <c r="A458" s="703"/>
      <c r="B458" s="703"/>
      <c r="C458" s="703"/>
      <c r="D458" s="703"/>
      <c r="E458" s="703"/>
      <c r="F458" s="703"/>
      <c r="G458" s="703"/>
      <c r="H458" s="703"/>
      <c r="I458" s="703"/>
      <c r="J458" s="703"/>
      <c r="K458" s="703"/>
      <c r="L458" s="703"/>
      <c r="M458" s="703"/>
      <c r="N458" s="703"/>
      <c r="O458" s="703"/>
      <c r="P458" s="703"/>
      <c r="Q458" s="703"/>
      <c r="R458" s="703"/>
      <c r="S458" s="703"/>
      <c r="T458" s="703"/>
      <c r="U458" s="703"/>
      <c r="V458" s="703"/>
      <c r="W458" s="703"/>
      <c r="X458" s="703"/>
      <c r="Y458" s="703"/>
      <c r="Z458" s="703"/>
    </row>
    <row r="459">
      <c r="A459" s="703"/>
      <c r="B459" s="703"/>
      <c r="C459" s="703"/>
      <c r="D459" s="703"/>
      <c r="E459" s="703"/>
      <c r="F459" s="703"/>
      <c r="G459" s="703"/>
      <c r="H459" s="703"/>
      <c r="I459" s="703"/>
      <c r="J459" s="703"/>
      <c r="K459" s="703"/>
      <c r="L459" s="703"/>
      <c r="M459" s="703"/>
      <c r="N459" s="703"/>
      <c r="O459" s="703"/>
      <c r="P459" s="703"/>
      <c r="Q459" s="703"/>
      <c r="R459" s="703"/>
      <c r="S459" s="703"/>
      <c r="T459" s="703"/>
      <c r="U459" s="703"/>
      <c r="V459" s="703"/>
      <c r="W459" s="703"/>
      <c r="X459" s="703"/>
      <c r="Y459" s="703"/>
      <c r="Z459" s="703"/>
    </row>
    <row r="460">
      <c r="A460" s="703"/>
      <c r="B460" s="703"/>
      <c r="C460" s="703"/>
      <c r="D460" s="703"/>
      <c r="E460" s="703"/>
      <c r="F460" s="703"/>
      <c r="G460" s="703"/>
      <c r="H460" s="703"/>
      <c r="I460" s="703"/>
      <c r="J460" s="703"/>
      <c r="K460" s="703"/>
      <c r="L460" s="703"/>
      <c r="M460" s="703"/>
      <c r="N460" s="703"/>
      <c r="O460" s="703"/>
      <c r="P460" s="703"/>
      <c r="Q460" s="703"/>
      <c r="R460" s="703"/>
      <c r="S460" s="703"/>
      <c r="T460" s="703"/>
      <c r="U460" s="703"/>
      <c r="V460" s="703"/>
      <c r="W460" s="703"/>
      <c r="X460" s="703"/>
      <c r="Y460" s="703"/>
      <c r="Z460" s="703"/>
    </row>
    <row r="461">
      <c r="A461" s="703"/>
      <c r="B461" s="703"/>
      <c r="C461" s="703"/>
      <c r="D461" s="703"/>
      <c r="E461" s="703"/>
      <c r="F461" s="703"/>
      <c r="G461" s="703"/>
      <c r="H461" s="703"/>
      <c r="I461" s="703"/>
      <c r="J461" s="703"/>
      <c r="K461" s="703"/>
      <c r="L461" s="703"/>
      <c r="M461" s="703"/>
      <c r="N461" s="703"/>
      <c r="O461" s="703"/>
      <c r="P461" s="703"/>
      <c r="Q461" s="703"/>
      <c r="R461" s="703"/>
      <c r="S461" s="703"/>
      <c r="T461" s="703"/>
      <c r="U461" s="703"/>
      <c r="V461" s="703"/>
      <c r="W461" s="703"/>
      <c r="X461" s="703"/>
      <c r="Y461" s="703"/>
      <c r="Z461" s="703"/>
    </row>
    <row r="462">
      <c r="A462" s="703"/>
      <c r="B462" s="703"/>
      <c r="C462" s="703"/>
      <c r="D462" s="703"/>
      <c r="E462" s="703"/>
      <c r="F462" s="703"/>
      <c r="G462" s="703"/>
      <c r="H462" s="703"/>
      <c r="I462" s="703"/>
      <c r="J462" s="703"/>
      <c r="K462" s="703"/>
      <c r="L462" s="703"/>
      <c r="M462" s="703"/>
      <c r="N462" s="703"/>
      <c r="O462" s="703"/>
      <c r="P462" s="703"/>
      <c r="Q462" s="703"/>
      <c r="R462" s="703"/>
      <c r="S462" s="703"/>
      <c r="T462" s="703"/>
      <c r="U462" s="703"/>
      <c r="V462" s="703"/>
      <c r="W462" s="703"/>
      <c r="X462" s="703"/>
      <c r="Y462" s="703"/>
      <c r="Z462" s="703"/>
    </row>
    <row r="463">
      <c r="A463" s="703"/>
      <c r="B463" s="703"/>
      <c r="C463" s="703"/>
      <c r="D463" s="703"/>
      <c r="E463" s="703"/>
      <c r="F463" s="703"/>
      <c r="G463" s="703"/>
      <c r="H463" s="703"/>
      <c r="I463" s="703"/>
      <c r="J463" s="703"/>
      <c r="K463" s="703"/>
      <c r="L463" s="703"/>
      <c r="M463" s="703"/>
      <c r="N463" s="703"/>
      <c r="O463" s="703"/>
      <c r="P463" s="703"/>
      <c r="Q463" s="703"/>
      <c r="R463" s="703"/>
      <c r="S463" s="703"/>
      <c r="T463" s="703"/>
      <c r="U463" s="703"/>
      <c r="V463" s="703"/>
      <c r="W463" s="703"/>
      <c r="X463" s="703"/>
      <c r="Y463" s="703"/>
      <c r="Z463" s="703"/>
    </row>
    <row r="464">
      <c r="A464" s="703"/>
      <c r="B464" s="703"/>
      <c r="C464" s="703"/>
      <c r="D464" s="703"/>
      <c r="E464" s="703"/>
      <c r="F464" s="703"/>
      <c r="G464" s="703"/>
      <c r="H464" s="703"/>
      <c r="I464" s="703"/>
      <c r="J464" s="703"/>
      <c r="K464" s="703"/>
      <c r="L464" s="703"/>
      <c r="M464" s="703"/>
      <c r="N464" s="703"/>
      <c r="O464" s="703"/>
      <c r="P464" s="703"/>
      <c r="Q464" s="703"/>
      <c r="R464" s="703"/>
      <c r="S464" s="703"/>
      <c r="T464" s="703"/>
      <c r="U464" s="703"/>
      <c r="V464" s="703"/>
      <c r="W464" s="703"/>
      <c r="X464" s="703"/>
      <c r="Y464" s="703"/>
      <c r="Z464" s="703"/>
    </row>
    <row r="465">
      <c r="A465" s="703"/>
      <c r="B465" s="703"/>
      <c r="C465" s="703"/>
      <c r="D465" s="703"/>
      <c r="E465" s="703"/>
      <c r="F465" s="703"/>
      <c r="G465" s="703"/>
      <c r="H465" s="703"/>
      <c r="I465" s="703"/>
      <c r="J465" s="703"/>
      <c r="K465" s="703"/>
      <c r="L465" s="703"/>
      <c r="M465" s="703"/>
      <c r="N465" s="703"/>
      <c r="O465" s="703"/>
      <c r="P465" s="703"/>
      <c r="Q465" s="703"/>
      <c r="R465" s="703"/>
      <c r="S465" s="703"/>
      <c r="T465" s="703"/>
      <c r="U465" s="703"/>
      <c r="V465" s="703"/>
      <c r="W465" s="703"/>
      <c r="X465" s="703"/>
      <c r="Y465" s="703"/>
      <c r="Z465" s="703"/>
    </row>
    <row r="466">
      <c r="A466" s="703"/>
      <c r="B466" s="703"/>
      <c r="C466" s="703"/>
      <c r="D466" s="703"/>
      <c r="E466" s="703"/>
      <c r="F466" s="703"/>
      <c r="G466" s="703"/>
      <c r="H466" s="703"/>
      <c r="I466" s="703"/>
      <c r="J466" s="703"/>
      <c r="K466" s="703"/>
      <c r="L466" s="703"/>
      <c r="M466" s="703"/>
      <c r="N466" s="703"/>
      <c r="O466" s="703"/>
      <c r="P466" s="703"/>
      <c r="Q466" s="703"/>
      <c r="R466" s="703"/>
      <c r="S466" s="703"/>
      <c r="T466" s="703"/>
      <c r="U466" s="703"/>
      <c r="V466" s="703"/>
      <c r="W466" s="703"/>
      <c r="X466" s="703"/>
      <c r="Y466" s="703"/>
      <c r="Z466" s="703"/>
    </row>
    <row r="467">
      <c r="A467" s="703"/>
      <c r="B467" s="703"/>
      <c r="C467" s="703"/>
      <c r="D467" s="703"/>
      <c r="E467" s="703"/>
      <c r="F467" s="703"/>
      <c r="G467" s="703"/>
      <c r="H467" s="703"/>
      <c r="I467" s="703"/>
      <c r="J467" s="703"/>
      <c r="K467" s="703"/>
      <c r="L467" s="703"/>
      <c r="M467" s="703"/>
      <c r="N467" s="703"/>
      <c r="O467" s="703"/>
      <c r="P467" s="703"/>
      <c r="Q467" s="703"/>
      <c r="R467" s="703"/>
      <c r="S467" s="703"/>
      <c r="T467" s="703"/>
      <c r="U467" s="703"/>
      <c r="V467" s="703"/>
      <c r="W467" s="703"/>
      <c r="X467" s="703"/>
      <c r="Y467" s="703"/>
      <c r="Z467" s="703"/>
    </row>
    <row r="468">
      <c r="A468" s="703"/>
      <c r="B468" s="703"/>
      <c r="C468" s="703"/>
      <c r="D468" s="703"/>
      <c r="E468" s="703"/>
      <c r="F468" s="703"/>
      <c r="G468" s="703"/>
      <c r="H468" s="703"/>
      <c r="I468" s="703"/>
      <c r="J468" s="703"/>
      <c r="K468" s="703"/>
      <c r="L468" s="703"/>
      <c r="M468" s="703"/>
      <c r="N468" s="703"/>
      <c r="O468" s="703"/>
      <c r="P468" s="703"/>
      <c r="Q468" s="703"/>
      <c r="R468" s="703"/>
      <c r="S468" s="703"/>
      <c r="T468" s="703"/>
      <c r="U468" s="703"/>
      <c r="V468" s="703"/>
      <c r="W468" s="703"/>
      <c r="X468" s="703"/>
      <c r="Y468" s="703"/>
      <c r="Z468" s="703"/>
    </row>
    <row r="469">
      <c r="A469" s="703"/>
      <c r="B469" s="703"/>
      <c r="C469" s="703"/>
      <c r="D469" s="703"/>
      <c r="E469" s="703"/>
      <c r="F469" s="703"/>
      <c r="G469" s="703"/>
      <c r="H469" s="703"/>
      <c r="I469" s="703"/>
      <c r="J469" s="703"/>
      <c r="K469" s="703"/>
      <c r="L469" s="703"/>
      <c r="M469" s="703"/>
      <c r="N469" s="703"/>
      <c r="O469" s="703"/>
      <c r="P469" s="703"/>
      <c r="Q469" s="703"/>
      <c r="R469" s="703"/>
      <c r="S469" s="703"/>
      <c r="T469" s="703"/>
      <c r="U469" s="703"/>
      <c r="V469" s="703"/>
      <c r="W469" s="703"/>
      <c r="X469" s="703"/>
      <c r="Y469" s="703"/>
      <c r="Z469" s="703"/>
    </row>
    <row r="470">
      <c r="A470" s="703"/>
      <c r="B470" s="703"/>
      <c r="C470" s="703"/>
      <c r="D470" s="703"/>
      <c r="E470" s="703"/>
      <c r="F470" s="703"/>
      <c r="G470" s="703"/>
      <c r="H470" s="703"/>
      <c r="I470" s="703"/>
      <c r="J470" s="703"/>
      <c r="K470" s="703"/>
      <c r="L470" s="703"/>
      <c r="M470" s="703"/>
      <c r="N470" s="703"/>
      <c r="O470" s="703"/>
      <c r="P470" s="703"/>
      <c r="Q470" s="703"/>
      <c r="R470" s="703"/>
      <c r="S470" s="703"/>
      <c r="T470" s="703"/>
      <c r="U470" s="703"/>
      <c r="V470" s="703"/>
      <c r="W470" s="703"/>
      <c r="X470" s="703"/>
      <c r="Y470" s="703"/>
      <c r="Z470" s="703"/>
    </row>
    <row r="471">
      <c r="A471" s="703"/>
      <c r="B471" s="703"/>
      <c r="C471" s="703"/>
      <c r="D471" s="703"/>
      <c r="E471" s="703"/>
      <c r="F471" s="703"/>
      <c r="G471" s="703"/>
      <c r="H471" s="703"/>
      <c r="I471" s="703"/>
      <c r="J471" s="703"/>
      <c r="K471" s="703"/>
      <c r="L471" s="703"/>
      <c r="M471" s="703"/>
      <c r="N471" s="703"/>
      <c r="O471" s="703"/>
      <c r="P471" s="703"/>
      <c r="Q471" s="703"/>
      <c r="R471" s="703"/>
      <c r="S471" s="703"/>
      <c r="T471" s="703"/>
      <c r="U471" s="703"/>
      <c r="V471" s="703"/>
      <c r="W471" s="703"/>
      <c r="X471" s="703"/>
      <c r="Y471" s="703"/>
      <c r="Z471" s="703"/>
    </row>
    <row r="472">
      <c r="A472" s="703"/>
      <c r="B472" s="703"/>
      <c r="C472" s="703"/>
      <c r="D472" s="703"/>
      <c r="E472" s="703"/>
      <c r="F472" s="703"/>
      <c r="G472" s="703"/>
      <c r="H472" s="703"/>
      <c r="I472" s="703"/>
      <c r="J472" s="703"/>
      <c r="K472" s="703"/>
      <c r="L472" s="703"/>
      <c r="M472" s="703"/>
      <c r="N472" s="703"/>
      <c r="O472" s="703"/>
      <c r="P472" s="703"/>
      <c r="Q472" s="703"/>
      <c r="R472" s="703"/>
      <c r="S472" s="703"/>
      <c r="T472" s="703"/>
      <c r="U472" s="703"/>
      <c r="V472" s="703"/>
      <c r="W472" s="703"/>
      <c r="X472" s="703"/>
      <c r="Y472" s="703"/>
      <c r="Z472" s="703"/>
    </row>
    <row r="473">
      <c r="A473" s="703"/>
      <c r="B473" s="703"/>
      <c r="C473" s="703"/>
      <c r="D473" s="703"/>
      <c r="E473" s="703"/>
      <c r="F473" s="703"/>
      <c r="G473" s="703"/>
      <c r="H473" s="703"/>
      <c r="I473" s="703"/>
      <c r="J473" s="703"/>
      <c r="K473" s="703"/>
      <c r="L473" s="703"/>
      <c r="M473" s="703"/>
      <c r="N473" s="703"/>
      <c r="O473" s="703"/>
      <c r="P473" s="703"/>
      <c r="Q473" s="703"/>
      <c r="R473" s="703"/>
      <c r="S473" s="703"/>
      <c r="T473" s="703"/>
      <c r="U473" s="703"/>
      <c r="V473" s="703"/>
      <c r="W473" s="703"/>
      <c r="X473" s="703"/>
      <c r="Y473" s="703"/>
      <c r="Z473" s="703"/>
    </row>
    <row r="474">
      <c r="A474" s="703"/>
      <c r="B474" s="703"/>
      <c r="C474" s="703"/>
      <c r="D474" s="703"/>
      <c r="E474" s="703"/>
      <c r="F474" s="703"/>
      <c r="G474" s="703"/>
      <c r="H474" s="703"/>
      <c r="I474" s="703"/>
      <c r="J474" s="703"/>
      <c r="K474" s="703"/>
      <c r="L474" s="703"/>
      <c r="M474" s="703"/>
      <c r="N474" s="703"/>
      <c r="O474" s="703"/>
      <c r="P474" s="703"/>
      <c r="Q474" s="703"/>
      <c r="R474" s="703"/>
      <c r="S474" s="703"/>
      <c r="T474" s="703"/>
      <c r="U474" s="703"/>
      <c r="V474" s="703"/>
      <c r="W474" s="703"/>
      <c r="X474" s="703"/>
      <c r="Y474" s="703"/>
      <c r="Z474" s="703"/>
    </row>
    <row r="475">
      <c r="A475" s="703"/>
      <c r="B475" s="703"/>
      <c r="C475" s="703"/>
      <c r="D475" s="703"/>
      <c r="E475" s="703"/>
      <c r="F475" s="703"/>
      <c r="G475" s="703"/>
      <c r="H475" s="703"/>
      <c r="I475" s="703"/>
      <c r="J475" s="703"/>
      <c r="K475" s="703"/>
      <c r="L475" s="703"/>
      <c r="M475" s="703"/>
      <c r="N475" s="703"/>
      <c r="O475" s="703"/>
      <c r="P475" s="703"/>
      <c r="Q475" s="703"/>
      <c r="R475" s="703"/>
      <c r="S475" s="703"/>
      <c r="T475" s="703"/>
      <c r="U475" s="703"/>
      <c r="V475" s="703"/>
      <c r="W475" s="703"/>
      <c r="X475" s="703"/>
      <c r="Y475" s="703"/>
      <c r="Z475" s="703"/>
    </row>
    <row r="476">
      <c r="A476" s="703"/>
      <c r="B476" s="703"/>
      <c r="C476" s="703"/>
      <c r="D476" s="703"/>
      <c r="E476" s="703"/>
      <c r="F476" s="703"/>
      <c r="G476" s="703"/>
      <c r="H476" s="703"/>
      <c r="I476" s="703"/>
      <c r="J476" s="703"/>
      <c r="K476" s="703"/>
      <c r="L476" s="703"/>
      <c r="M476" s="703"/>
      <c r="N476" s="703"/>
      <c r="O476" s="703"/>
      <c r="P476" s="703"/>
      <c r="Q476" s="703"/>
      <c r="R476" s="703"/>
      <c r="S476" s="703"/>
      <c r="T476" s="703"/>
      <c r="U476" s="703"/>
      <c r="V476" s="703"/>
      <c r="W476" s="703"/>
      <c r="X476" s="703"/>
      <c r="Y476" s="703"/>
      <c r="Z476" s="703"/>
    </row>
    <row r="477">
      <c r="A477" s="703"/>
      <c r="B477" s="703"/>
      <c r="C477" s="703"/>
      <c r="D477" s="703"/>
      <c r="E477" s="703"/>
      <c r="F477" s="703"/>
      <c r="G477" s="703"/>
      <c r="H477" s="703"/>
      <c r="I477" s="703"/>
      <c r="J477" s="703"/>
      <c r="K477" s="703"/>
      <c r="L477" s="703"/>
      <c r="M477" s="703"/>
      <c r="N477" s="703"/>
      <c r="O477" s="703"/>
      <c r="P477" s="703"/>
      <c r="Q477" s="703"/>
      <c r="R477" s="703"/>
      <c r="S477" s="703"/>
      <c r="T477" s="703"/>
      <c r="U477" s="703"/>
      <c r="V477" s="703"/>
      <c r="W477" s="703"/>
      <c r="X477" s="703"/>
      <c r="Y477" s="703"/>
      <c r="Z477" s="703"/>
    </row>
    <row r="478">
      <c r="A478" s="703"/>
      <c r="B478" s="703"/>
      <c r="C478" s="703"/>
      <c r="D478" s="703"/>
      <c r="E478" s="703"/>
      <c r="F478" s="703"/>
      <c r="G478" s="703"/>
      <c r="H478" s="703"/>
      <c r="I478" s="703"/>
      <c r="J478" s="703"/>
      <c r="K478" s="703"/>
      <c r="L478" s="703"/>
      <c r="M478" s="703"/>
      <c r="N478" s="703"/>
      <c r="O478" s="703"/>
      <c r="P478" s="703"/>
      <c r="Q478" s="703"/>
      <c r="R478" s="703"/>
      <c r="S478" s="703"/>
      <c r="T478" s="703"/>
      <c r="U478" s="703"/>
      <c r="V478" s="703"/>
      <c r="W478" s="703"/>
      <c r="X478" s="703"/>
      <c r="Y478" s="703"/>
      <c r="Z478" s="703"/>
    </row>
    <row r="479">
      <c r="A479" s="703"/>
      <c r="B479" s="703"/>
      <c r="C479" s="703"/>
      <c r="D479" s="703"/>
      <c r="E479" s="703"/>
      <c r="F479" s="703"/>
      <c r="G479" s="703"/>
      <c r="H479" s="703"/>
      <c r="I479" s="703"/>
      <c r="J479" s="703"/>
      <c r="K479" s="703"/>
      <c r="L479" s="703"/>
      <c r="M479" s="703"/>
      <c r="N479" s="703"/>
      <c r="O479" s="703"/>
      <c r="P479" s="703"/>
      <c r="Q479" s="703"/>
      <c r="R479" s="703"/>
      <c r="S479" s="703"/>
      <c r="T479" s="703"/>
      <c r="U479" s="703"/>
      <c r="V479" s="703"/>
      <c r="W479" s="703"/>
      <c r="X479" s="703"/>
      <c r="Y479" s="703"/>
      <c r="Z479" s="703"/>
    </row>
    <row r="480">
      <c r="A480" s="703"/>
      <c r="B480" s="703"/>
      <c r="C480" s="703"/>
      <c r="D480" s="703"/>
      <c r="E480" s="703"/>
      <c r="F480" s="703"/>
      <c r="G480" s="703"/>
      <c r="H480" s="703"/>
      <c r="I480" s="703"/>
      <c r="J480" s="703"/>
      <c r="K480" s="703"/>
      <c r="L480" s="703"/>
      <c r="M480" s="703"/>
      <c r="N480" s="703"/>
      <c r="O480" s="703"/>
      <c r="P480" s="703"/>
      <c r="Q480" s="703"/>
      <c r="R480" s="703"/>
      <c r="S480" s="703"/>
      <c r="T480" s="703"/>
      <c r="U480" s="703"/>
      <c r="V480" s="703"/>
      <c r="W480" s="703"/>
      <c r="X480" s="703"/>
      <c r="Y480" s="703"/>
      <c r="Z480" s="703"/>
    </row>
    <row r="481">
      <c r="A481" s="703"/>
      <c r="B481" s="703"/>
      <c r="C481" s="703"/>
      <c r="D481" s="703"/>
      <c r="E481" s="703"/>
      <c r="F481" s="703"/>
      <c r="G481" s="703"/>
      <c r="H481" s="703"/>
      <c r="I481" s="703"/>
      <c r="J481" s="703"/>
      <c r="K481" s="703"/>
      <c r="L481" s="703"/>
      <c r="M481" s="703"/>
      <c r="N481" s="703"/>
      <c r="O481" s="703"/>
      <c r="P481" s="703"/>
      <c r="Q481" s="703"/>
      <c r="R481" s="703"/>
      <c r="S481" s="703"/>
      <c r="T481" s="703"/>
      <c r="U481" s="703"/>
      <c r="V481" s="703"/>
      <c r="W481" s="703"/>
      <c r="X481" s="703"/>
      <c r="Y481" s="703"/>
      <c r="Z481" s="703"/>
    </row>
    <row r="482">
      <c r="A482" s="703"/>
      <c r="B482" s="703"/>
      <c r="C482" s="703"/>
      <c r="D482" s="703"/>
      <c r="E482" s="703"/>
      <c r="F482" s="703"/>
      <c r="G482" s="703"/>
      <c r="H482" s="703"/>
      <c r="I482" s="703"/>
      <c r="J482" s="703"/>
      <c r="K482" s="703"/>
      <c r="L482" s="703"/>
      <c r="M482" s="703"/>
      <c r="N482" s="703"/>
      <c r="O482" s="703"/>
      <c r="P482" s="703"/>
      <c r="Q482" s="703"/>
      <c r="R482" s="703"/>
      <c r="S482" s="703"/>
      <c r="T482" s="703"/>
      <c r="U482" s="703"/>
      <c r="V482" s="703"/>
      <c r="W482" s="703"/>
      <c r="X482" s="703"/>
      <c r="Y482" s="703"/>
      <c r="Z482" s="703"/>
    </row>
    <row r="483">
      <c r="A483" s="703"/>
      <c r="B483" s="703"/>
      <c r="C483" s="703"/>
      <c r="D483" s="703"/>
      <c r="E483" s="703"/>
      <c r="F483" s="703"/>
      <c r="G483" s="703"/>
      <c r="H483" s="703"/>
      <c r="I483" s="703"/>
      <c r="J483" s="703"/>
      <c r="K483" s="703"/>
      <c r="L483" s="703"/>
      <c r="M483" s="703"/>
      <c r="N483" s="703"/>
      <c r="O483" s="703"/>
      <c r="P483" s="703"/>
      <c r="Q483" s="703"/>
      <c r="R483" s="703"/>
      <c r="S483" s="703"/>
      <c r="T483" s="703"/>
      <c r="U483" s="703"/>
      <c r="V483" s="703"/>
      <c r="W483" s="703"/>
      <c r="X483" s="703"/>
      <c r="Y483" s="703"/>
      <c r="Z483" s="703"/>
    </row>
    <row r="484">
      <c r="A484" s="703"/>
      <c r="B484" s="703"/>
      <c r="C484" s="703"/>
      <c r="D484" s="703"/>
      <c r="E484" s="703"/>
      <c r="F484" s="703"/>
      <c r="G484" s="703"/>
      <c r="H484" s="703"/>
      <c r="I484" s="703"/>
      <c r="J484" s="703"/>
      <c r="K484" s="703"/>
      <c r="L484" s="703"/>
      <c r="M484" s="703"/>
      <c r="N484" s="703"/>
      <c r="O484" s="703"/>
      <c r="P484" s="703"/>
      <c r="Q484" s="703"/>
      <c r="R484" s="703"/>
      <c r="S484" s="703"/>
      <c r="T484" s="703"/>
      <c r="U484" s="703"/>
      <c r="V484" s="703"/>
      <c r="W484" s="703"/>
      <c r="X484" s="703"/>
      <c r="Y484" s="703"/>
      <c r="Z484" s="703"/>
    </row>
    <row r="485">
      <c r="A485" s="703"/>
      <c r="B485" s="703"/>
      <c r="C485" s="703"/>
      <c r="D485" s="703"/>
      <c r="E485" s="703"/>
      <c r="F485" s="703"/>
      <c r="G485" s="703"/>
      <c r="H485" s="703"/>
      <c r="I485" s="703"/>
      <c r="J485" s="703"/>
      <c r="K485" s="703"/>
      <c r="L485" s="703"/>
      <c r="M485" s="703"/>
      <c r="N485" s="703"/>
      <c r="O485" s="703"/>
      <c r="P485" s="703"/>
      <c r="Q485" s="703"/>
      <c r="R485" s="703"/>
      <c r="S485" s="703"/>
      <c r="T485" s="703"/>
      <c r="U485" s="703"/>
      <c r="V485" s="703"/>
      <c r="W485" s="703"/>
      <c r="X485" s="703"/>
      <c r="Y485" s="703"/>
      <c r="Z485" s="703"/>
    </row>
    <row r="486">
      <c r="A486" s="703"/>
      <c r="B486" s="703"/>
      <c r="C486" s="703"/>
      <c r="D486" s="703"/>
      <c r="E486" s="703"/>
      <c r="F486" s="703"/>
      <c r="G486" s="703"/>
      <c r="H486" s="703"/>
      <c r="I486" s="703"/>
      <c r="J486" s="703"/>
      <c r="K486" s="703"/>
      <c r="L486" s="703"/>
      <c r="M486" s="703"/>
      <c r="N486" s="703"/>
      <c r="O486" s="703"/>
      <c r="P486" s="703"/>
      <c r="Q486" s="703"/>
      <c r="R486" s="703"/>
      <c r="S486" s="703"/>
      <c r="T486" s="703"/>
      <c r="U486" s="703"/>
      <c r="V486" s="703"/>
      <c r="W486" s="703"/>
      <c r="X486" s="703"/>
      <c r="Y486" s="703"/>
      <c r="Z486" s="703"/>
    </row>
    <row r="487">
      <c r="A487" s="703"/>
      <c r="B487" s="703"/>
      <c r="C487" s="703"/>
      <c r="D487" s="703"/>
      <c r="E487" s="703"/>
      <c r="F487" s="703"/>
      <c r="G487" s="703"/>
      <c r="H487" s="703"/>
      <c r="I487" s="703"/>
      <c r="J487" s="703"/>
      <c r="K487" s="703"/>
      <c r="L487" s="703"/>
      <c r="M487" s="703"/>
      <c r="N487" s="703"/>
      <c r="O487" s="703"/>
      <c r="P487" s="703"/>
      <c r="Q487" s="703"/>
      <c r="R487" s="703"/>
      <c r="S487" s="703"/>
      <c r="T487" s="703"/>
      <c r="U487" s="703"/>
      <c r="V487" s="703"/>
      <c r="W487" s="703"/>
      <c r="X487" s="703"/>
      <c r="Y487" s="703"/>
      <c r="Z487" s="703"/>
    </row>
    <row r="488">
      <c r="A488" s="703"/>
      <c r="B488" s="703"/>
      <c r="C488" s="703"/>
      <c r="D488" s="703"/>
      <c r="E488" s="703"/>
      <c r="F488" s="703"/>
      <c r="G488" s="703"/>
      <c r="H488" s="703"/>
      <c r="I488" s="703"/>
      <c r="J488" s="703"/>
      <c r="K488" s="703"/>
      <c r="L488" s="703"/>
      <c r="M488" s="703"/>
      <c r="N488" s="703"/>
      <c r="O488" s="703"/>
      <c r="P488" s="703"/>
      <c r="Q488" s="703"/>
      <c r="R488" s="703"/>
      <c r="S488" s="703"/>
      <c r="T488" s="703"/>
      <c r="U488" s="703"/>
      <c r="V488" s="703"/>
      <c r="W488" s="703"/>
      <c r="X488" s="703"/>
      <c r="Y488" s="703"/>
      <c r="Z488" s="703"/>
    </row>
    <row r="489">
      <c r="A489" s="703"/>
      <c r="B489" s="703"/>
      <c r="C489" s="703"/>
      <c r="D489" s="703"/>
      <c r="E489" s="703"/>
      <c r="F489" s="703"/>
      <c r="G489" s="703"/>
      <c r="H489" s="703"/>
      <c r="I489" s="703"/>
      <c r="J489" s="703"/>
      <c r="K489" s="703"/>
      <c r="L489" s="703"/>
      <c r="M489" s="703"/>
      <c r="N489" s="703"/>
      <c r="O489" s="703"/>
      <c r="P489" s="703"/>
      <c r="Q489" s="703"/>
      <c r="R489" s="703"/>
      <c r="S489" s="703"/>
      <c r="T489" s="703"/>
      <c r="U489" s="703"/>
      <c r="V489" s="703"/>
      <c r="W489" s="703"/>
      <c r="X489" s="703"/>
      <c r="Y489" s="703"/>
      <c r="Z489" s="703"/>
    </row>
    <row r="490">
      <c r="A490" s="703"/>
      <c r="B490" s="703"/>
      <c r="C490" s="703"/>
      <c r="D490" s="703"/>
      <c r="E490" s="703"/>
      <c r="F490" s="703"/>
      <c r="G490" s="703"/>
      <c r="H490" s="703"/>
      <c r="I490" s="703"/>
      <c r="J490" s="703"/>
      <c r="K490" s="703"/>
      <c r="L490" s="703"/>
      <c r="M490" s="703"/>
      <c r="N490" s="703"/>
      <c r="O490" s="703"/>
      <c r="P490" s="703"/>
      <c r="Q490" s="703"/>
      <c r="R490" s="703"/>
      <c r="S490" s="703"/>
      <c r="T490" s="703"/>
      <c r="U490" s="703"/>
      <c r="V490" s="703"/>
      <c r="W490" s="703"/>
      <c r="X490" s="703"/>
      <c r="Y490" s="703"/>
      <c r="Z490" s="703"/>
    </row>
    <row r="491">
      <c r="A491" s="703"/>
      <c r="B491" s="703"/>
      <c r="C491" s="703"/>
      <c r="D491" s="703"/>
      <c r="E491" s="703"/>
      <c r="F491" s="703"/>
      <c r="G491" s="703"/>
      <c r="H491" s="703"/>
      <c r="I491" s="703"/>
      <c r="J491" s="703"/>
      <c r="K491" s="703"/>
      <c r="L491" s="703"/>
      <c r="M491" s="703"/>
      <c r="N491" s="703"/>
      <c r="O491" s="703"/>
      <c r="P491" s="703"/>
      <c r="Q491" s="703"/>
      <c r="R491" s="703"/>
      <c r="S491" s="703"/>
      <c r="T491" s="703"/>
      <c r="U491" s="703"/>
      <c r="V491" s="703"/>
      <c r="W491" s="703"/>
      <c r="X491" s="703"/>
      <c r="Y491" s="703"/>
      <c r="Z491" s="703"/>
    </row>
    <row r="492">
      <c r="A492" s="703"/>
      <c r="B492" s="703"/>
      <c r="C492" s="703"/>
      <c r="D492" s="703"/>
      <c r="E492" s="703"/>
      <c r="F492" s="703"/>
      <c r="G492" s="703"/>
      <c r="H492" s="703"/>
      <c r="I492" s="703"/>
      <c r="J492" s="703"/>
      <c r="K492" s="703"/>
      <c r="L492" s="703"/>
      <c r="M492" s="703"/>
      <c r="N492" s="703"/>
      <c r="O492" s="703"/>
      <c r="P492" s="703"/>
      <c r="Q492" s="703"/>
      <c r="R492" s="703"/>
      <c r="S492" s="703"/>
      <c r="T492" s="703"/>
      <c r="U492" s="703"/>
      <c r="V492" s="703"/>
      <c r="W492" s="703"/>
      <c r="X492" s="703"/>
      <c r="Y492" s="703"/>
      <c r="Z492" s="703"/>
    </row>
    <row r="493">
      <c r="A493" s="703"/>
      <c r="B493" s="703"/>
      <c r="C493" s="703"/>
      <c r="D493" s="703"/>
      <c r="E493" s="703"/>
      <c r="F493" s="703"/>
      <c r="G493" s="703"/>
      <c r="H493" s="703"/>
      <c r="I493" s="703"/>
      <c r="J493" s="703"/>
      <c r="K493" s="703"/>
      <c r="L493" s="703"/>
      <c r="M493" s="703"/>
      <c r="N493" s="703"/>
      <c r="O493" s="703"/>
      <c r="P493" s="703"/>
      <c r="Q493" s="703"/>
      <c r="R493" s="703"/>
      <c r="S493" s="703"/>
      <c r="T493" s="703"/>
      <c r="U493" s="703"/>
      <c r="V493" s="703"/>
      <c r="W493" s="703"/>
      <c r="X493" s="703"/>
      <c r="Y493" s="703"/>
      <c r="Z493" s="703"/>
    </row>
    <row r="494">
      <c r="A494" s="703"/>
      <c r="B494" s="703"/>
      <c r="C494" s="703"/>
      <c r="D494" s="703"/>
      <c r="E494" s="703"/>
      <c r="F494" s="703"/>
      <c r="G494" s="703"/>
      <c r="H494" s="703"/>
      <c r="I494" s="703"/>
      <c r="J494" s="703"/>
      <c r="K494" s="703"/>
      <c r="L494" s="703"/>
      <c r="M494" s="703"/>
      <c r="N494" s="703"/>
      <c r="O494" s="703"/>
      <c r="P494" s="703"/>
      <c r="Q494" s="703"/>
      <c r="R494" s="703"/>
      <c r="S494" s="703"/>
      <c r="T494" s="703"/>
      <c r="U494" s="703"/>
      <c r="V494" s="703"/>
      <c r="W494" s="703"/>
      <c r="X494" s="703"/>
      <c r="Y494" s="703"/>
      <c r="Z494" s="703"/>
    </row>
    <row r="495">
      <c r="A495" s="703"/>
      <c r="B495" s="703"/>
      <c r="C495" s="703"/>
      <c r="D495" s="703"/>
      <c r="E495" s="703"/>
      <c r="F495" s="703"/>
      <c r="G495" s="703"/>
      <c r="H495" s="703"/>
      <c r="I495" s="703"/>
      <c r="J495" s="703"/>
      <c r="K495" s="703"/>
      <c r="L495" s="703"/>
      <c r="M495" s="703"/>
      <c r="N495" s="703"/>
      <c r="O495" s="703"/>
      <c r="P495" s="703"/>
      <c r="Q495" s="703"/>
      <c r="R495" s="703"/>
      <c r="S495" s="703"/>
      <c r="T495" s="703"/>
      <c r="U495" s="703"/>
      <c r="V495" s="703"/>
      <c r="W495" s="703"/>
      <c r="X495" s="703"/>
      <c r="Y495" s="703"/>
      <c r="Z495" s="703"/>
    </row>
    <row r="496">
      <c r="A496" s="703"/>
      <c r="B496" s="703"/>
      <c r="C496" s="703"/>
      <c r="D496" s="703"/>
      <c r="E496" s="703"/>
      <c r="F496" s="703"/>
      <c r="G496" s="703"/>
      <c r="H496" s="703"/>
      <c r="I496" s="703"/>
      <c r="J496" s="703"/>
      <c r="K496" s="703"/>
      <c r="L496" s="703"/>
      <c r="M496" s="703"/>
      <c r="N496" s="703"/>
      <c r="O496" s="703"/>
      <c r="P496" s="703"/>
      <c r="Q496" s="703"/>
      <c r="R496" s="703"/>
      <c r="S496" s="703"/>
      <c r="T496" s="703"/>
      <c r="U496" s="703"/>
      <c r="V496" s="703"/>
      <c r="W496" s="703"/>
      <c r="X496" s="703"/>
      <c r="Y496" s="703"/>
      <c r="Z496" s="703"/>
    </row>
    <row r="497">
      <c r="A497" s="703"/>
      <c r="B497" s="703"/>
      <c r="C497" s="703"/>
      <c r="D497" s="703"/>
      <c r="E497" s="703"/>
      <c r="F497" s="703"/>
      <c r="G497" s="703"/>
      <c r="H497" s="703"/>
      <c r="I497" s="703"/>
      <c r="J497" s="703"/>
      <c r="K497" s="703"/>
      <c r="L497" s="703"/>
      <c r="M497" s="703"/>
      <c r="N497" s="703"/>
      <c r="O497" s="703"/>
      <c r="P497" s="703"/>
      <c r="Q497" s="703"/>
      <c r="R497" s="703"/>
      <c r="S497" s="703"/>
      <c r="T497" s="703"/>
      <c r="U497" s="703"/>
      <c r="V497" s="703"/>
      <c r="W497" s="703"/>
      <c r="X497" s="703"/>
      <c r="Y497" s="703"/>
      <c r="Z497" s="703"/>
    </row>
    <row r="498">
      <c r="A498" s="703"/>
      <c r="B498" s="703"/>
      <c r="C498" s="703"/>
      <c r="D498" s="703"/>
      <c r="E498" s="703"/>
      <c r="F498" s="703"/>
      <c r="G498" s="703"/>
      <c r="H498" s="703"/>
      <c r="I498" s="703"/>
      <c r="J498" s="703"/>
      <c r="K498" s="703"/>
      <c r="L498" s="703"/>
      <c r="M498" s="703"/>
      <c r="N498" s="703"/>
      <c r="O498" s="703"/>
      <c r="P498" s="703"/>
      <c r="Q498" s="703"/>
      <c r="R498" s="703"/>
      <c r="S498" s="703"/>
      <c r="T498" s="703"/>
      <c r="U498" s="703"/>
      <c r="V498" s="703"/>
      <c r="W498" s="703"/>
      <c r="X498" s="703"/>
      <c r="Y498" s="703"/>
      <c r="Z498" s="703"/>
    </row>
    <row r="499">
      <c r="A499" s="703"/>
      <c r="B499" s="703"/>
      <c r="C499" s="703"/>
      <c r="D499" s="703"/>
      <c r="E499" s="703"/>
      <c r="F499" s="703"/>
      <c r="G499" s="703"/>
      <c r="H499" s="703"/>
      <c r="I499" s="703"/>
      <c r="J499" s="703"/>
      <c r="K499" s="703"/>
      <c r="L499" s="703"/>
      <c r="M499" s="703"/>
      <c r="N499" s="703"/>
      <c r="O499" s="703"/>
      <c r="P499" s="703"/>
      <c r="Q499" s="703"/>
      <c r="R499" s="703"/>
      <c r="S499" s="703"/>
      <c r="T499" s="703"/>
      <c r="U499" s="703"/>
      <c r="V499" s="703"/>
      <c r="W499" s="703"/>
      <c r="X499" s="703"/>
      <c r="Y499" s="703"/>
      <c r="Z499" s="703"/>
    </row>
    <row r="500">
      <c r="A500" s="703"/>
      <c r="B500" s="703"/>
      <c r="C500" s="703"/>
      <c r="D500" s="703"/>
      <c r="E500" s="703"/>
      <c r="F500" s="703"/>
      <c r="G500" s="703"/>
      <c r="H500" s="703"/>
      <c r="I500" s="703"/>
      <c r="J500" s="703"/>
      <c r="K500" s="703"/>
      <c r="L500" s="703"/>
      <c r="M500" s="703"/>
      <c r="N500" s="703"/>
      <c r="O500" s="703"/>
      <c r="P500" s="703"/>
      <c r="Q500" s="703"/>
      <c r="R500" s="703"/>
      <c r="S500" s="703"/>
      <c r="T500" s="703"/>
      <c r="U500" s="703"/>
      <c r="V500" s="703"/>
      <c r="W500" s="703"/>
      <c r="X500" s="703"/>
      <c r="Y500" s="703"/>
      <c r="Z500" s="703"/>
    </row>
    <row r="501">
      <c r="A501" s="703"/>
      <c r="B501" s="703"/>
      <c r="C501" s="703"/>
      <c r="D501" s="703"/>
      <c r="E501" s="703"/>
      <c r="F501" s="703"/>
      <c r="G501" s="703"/>
      <c r="H501" s="703"/>
      <c r="I501" s="703"/>
      <c r="J501" s="703"/>
      <c r="K501" s="703"/>
      <c r="L501" s="703"/>
      <c r="M501" s="703"/>
      <c r="N501" s="703"/>
      <c r="O501" s="703"/>
      <c r="P501" s="703"/>
      <c r="Q501" s="703"/>
      <c r="R501" s="703"/>
      <c r="S501" s="703"/>
      <c r="T501" s="703"/>
      <c r="U501" s="703"/>
      <c r="V501" s="703"/>
      <c r="W501" s="703"/>
      <c r="X501" s="703"/>
      <c r="Y501" s="703"/>
      <c r="Z501" s="703"/>
    </row>
    <row r="502">
      <c r="A502" s="703"/>
      <c r="B502" s="703"/>
      <c r="C502" s="703"/>
      <c r="D502" s="703"/>
      <c r="E502" s="703"/>
      <c r="F502" s="703"/>
      <c r="G502" s="703"/>
      <c r="H502" s="703"/>
      <c r="I502" s="703"/>
      <c r="J502" s="703"/>
      <c r="K502" s="703"/>
      <c r="L502" s="703"/>
      <c r="M502" s="703"/>
      <c r="N502" s="703"/>
      <c r="O502" s="703"/>
      <c r="P502" s="703"/>
      <c r="Q502" s="703"/>
      <c r="R502" s="703"/>
      <c r="S502" s="703"/>
      <c r="T502" s="703"/>
      <c r="U502" s="703"/>
      <c r="V502" s="703"/>
      <c r="W502" s="703"/>
      <c r="X502" s="703"/>
      <c r="Y502" s="703"/>
      <c r="Z502" s="703"/>
    </row>
    <row r="503">
      <c r="A503" s="703"/>
      <c r="B503" s="703"/>
      <c r="C503" s="703"/>
      <c r="D503" s="703"/>
      <c r="E503" s="703"/>
      <c r="F503" s="703"/>
      <c r="G503" s="703"/>
      <c r="H503" s="703"/>
      <c r="I503" s="703"/>
      <c r="J503" s="703"/>
      <c r="K503" s="703"/>
      <c r="L503" s="703"/>
      <c r="M503" s="703"/>
      <c r="N503" s="703"/>
      <c r="O503" s="703"/>
      <c r="P503" s="703"/>
      <c r="Q503" s="703"/>
      <c r="R503" s="703"/>
      <c r="S503" s="703"/>
      <c r="T503" s="703"/>
      <c r="U503" s="703"/>
      <c r="V503" s="703"/>
      <c r="W503" s="703"/>
      <c r="X503" s="703"/>
      <c r="Y503" s="703"/>
      <c r="Z503" s="703"/>
    </row>
    <row r="504">
      <c r="A504" s="703"/>
      <c r="B504" s="703"/>
      <c r="C504" s="703"/>
      <c r="D504" s="703"/>
      <c r="E504" s="703"/>
      <c r="F504" s="703"/>
      <c r="G504" s="703"/>
      <c r="H504" s="703"/>
      <c r="I504" s="703"/>
      <c r="J504" s="703"/>
      <c r="K504" s="703"/>
      <c r="L504" s="703"/>
      <c r="M504" s="703"/>
      <c r="N504" s="703"/>
      <c r="O504" s="703"/>
      <c r="P504" s="703"/>
      <c r="Q504" s="703"/>
      <c r="R504" s="703"/>
      <c r="S504" s="703"/>
      <c r="T504" s="703"/>
      <c r="U504" s="703"/>
      <c r="V504" s="703"/>
      <c r="W504" s="703"/>
      <c r="X504" s="703"/>
      <c r="Y504" s="703"/>
      <c r="Z504" s="703"/>
    </row>
    <row r="505">
      <c r="A505" s="703"/>
      <c r="B505" s="703"/>
      <c r="C505" s="703"/>
      <c r="D505" s="703"/>
      <c r="E505" s="703"/>
      <c r="F505" s="703"/>
      <c r="G505" s="703"/>
      <c r="H505" s="703"/>
      <c r="I505" s="703"/>
      <c r="J505" s="703"/>
      <c r="K505" s="703"/>
      <c r="L505" s="703"/>
      <c r="M505" s="703"/>
      <c r="N505" s="703"/>
      <c r="O505" s="703"/>
      <c r="P505" s="703"/>
      <c r="Q505" s="703"/>
      <c r="R505" s="703"/>
      <c r="S505" s="703"/>
      <c r="T505" s="703"/>
      <c r="U505" s="703"/>
      <c r="V505" s="703"/>
      <c r="W505" s="703"/>
      <c r="X505" s="703"/>
      <c r="Y505" s="703"/>
      <c r="Z505" s="703"/>
    </row>
    <row r="506">
      <c r="A506" s="703"/>
      <c r="B506" s="703"/>
      <c r="C506" s="703"/>
      <c r="D506" s="703"/>
      <c r="E506" s="703"/>
      <c r="F506" s="703"/>
      <c r="G506" s="703"/>
      <c r="H506" s="703"/>
      <c r="I506" s="703"/>
      <c r="J506" s="703"/>
      <c r="K506" s="703"/>
      <c r="L506" s="703"/>
      <c r="M506" s="703"/>
      <c r="N506" s="703"/>
      <c r="O506" s="703"/>
      <c r="P506" s="703"/>
      <c r="Q506" s="703"/>
      <c r="R506" s="703"/>
      <c r="S506" s="703"/>
      <c r="T506" s="703"/>
      <c r="U506" s="703"/>
      <c r="V506" s="703"/>
      <c r="W506" s="703"/>
      <c r="X506" s="703"/>
      <c r="Y506" s="703"/>
      <c r="Z506" s="703"/>
    </row>
    <row r="507">
      <c r="A507" s="703"/>
      <c r="B507" s="703"/>
      <c r="C507" s="703"/>
      <c r="D507" s="703"/>
      <c r="E507" s="703"/>
      <c r="F507" s="703"/>
      <c r="G507" s="703"/>
      <c r="H507" s="703"/>
      <c r="I507" s="703"/>
      <c r="J507" s="703"/>
      <c r="K507" s="703"/>
      <c r="L507" s="703"/>
      <c r="M507" s="703"/>
      <c r="N507" s="703"/>
      <c r="O507" s="703"/>
      <c r="P507" s="703"/>
      <c r="Q507" s="703"/>
      <c r="R507" s="703"/>
      <c r="S507" s="703"/>
      <c r="T507" s="703"/>
      <c r="U507" s="703"/>
      <c r="V507" s="703"/>
      <c r="W507" s="703"/>
      <c r="X507" s="703"/>
      <c r="Y507" s="703"/>
      <c r="Z507" s="703"/>
    </row>
    <row r="508">
      <c r="A508" s="703"/>
      <c r="B508" s="703"/>
      <c r="C508" s="703"/>
      <c r="D508" s="703"/>
      <c r="E508" s="703"/>
      <c r="F508" s="703"/>
      <c r="G508" s="703"/>
      <c r="H508" s="703"/>
      <c r="I508" s="703"/>
      <c r="J508" s="703"/>
      <c r="K508" s="703"/>
      <c r="L508" s="703"/>
      <c r="M508" s="703"/>
      <c r="N508" s="703"/>
      <c r="O508" s="703"/>
      <c r="P508" s="703"/>
      <c r="Q508" s="703"/>
      <c r="R508" s="703"/>
      <c r="S508" s="703"/>
      <c r="T508" s="703"/>
      <c r="U508" s="703"/>
      <c r="V508" s="703"/>
      <c r="W508" s="703"/>
      <c r="X508" s="703"/>
      <c r="Y508" s="703"/>
      <c r="Z508" s="703"/>
    </row>
    <row r="509">
      <c r="A509" s="703"/>
      <c r="B509" s="703"/>
      <c r="C509" s="703"/>
      <c r="D509" s="703"/>
      <c r="E509" s="703"/>
      <c r="F509" s="703"/>
      <c r="G509" s="703"/>
      <c r="H509" s="703"/>
      <c r="I509" s="703"/>
      <c r="J509" s="703"/>
      <c r="K509" s="703"/>
      <c r="L509" s="703"/>
      <c r="M509" s="703"/>
      <c r="N509" s="703"/>
      <c r="O509" s="703"/>
      <c r="P509" s="703"/>
      <c r="Q509" s="703"/>
      <c r="R509" s="703"/>
      <c r="S509" s="703"/>
      <c r="T509" s="703"/>
      <c r="U509" s="703"/>
      <c r="V509" s="703"/>
      <c r="W509" s="703"/>
      <c r="X509" s="703"/>
      <c r="Y509" s="703"/>
      <c r="Z509" s="703"/>
    </row>
    <row r="510">
      <c r="A510" s="703"/>
      <c r="B510" s="703"/>
      <c r="C510" s="703"/>
      <c r="D510" s="703"/>
      <c r="E510" s="703"/>
      <c r="F510" s="703"/>
      <c r="G510" s="703"/>
      <c r="H510" s="703"/>
      <c r="I510" s="703"/>
      <c r="J510" s="703"/>
      <c r="K510" s="703"/>
      <c r="L510" s="703"/>
      <c r="M510" s="703"/>
      <c r="N510" s="703"/>
      <c r="O510" s="703"/>
      <c r="P510" s="703"/>
      <c r="Q510" s="703"/>
      <c r="R510" s="703"/>
      <c r="S510" s="703"/>
      <c r="T510" s="703"/>
      <c r="U510" s="703"/>
      <c r="V510" s="703"/>
      <c r="W510" s="703"/>
      <c r="X510" s="703"/>
      <c r="Y510" s="703"/>
      <c r="Z510" s="703"/>
    </row>
    <row r="511">
      <c r="A511" s="703"/>
      <c r="B511" s="703"/>
      <c r="C511" s="703"/>
      <c r="D511" s="703"/>
      <c r="E511" s="703"/>
      <c r="F511" s="703"/>
      <c r="G511" s="703"/>
      <c r="H511" s="703"/>
      <c r="I511" s="703"/>
      <c r="J511" s="703"/>
      <c r="K511" s="703"/>
      <c r="L511" s="703"/>
      <c r="M511" s="703"/>
      <c r="N511" s="703"/>
      <c r="O511" s="703"/>
      <c r="P511" s="703"/>
      <c r="Q511" s="703"/>
      <c r="R511" s="703"/>
      <c r="S511" s="703"/>
      <c r="T511" s="703"/>
      <c r="U511" s="703"/>
      <c r="V511" s="703"/>
      <c r="W511" s="703"/>
      <c r="X511" s="703"/>
      <c r="Y511" s="703"/>
      <c r="Z511" s="703"/>
    </row>
    <row r="512">
      <c r="A512" s="703"/>
      <c r="B512" s="703"/>
      <c r="C512" s="703"/>
      <c r="D512" s="703"/>
      <c r="E512" s="703"/>
      <c r="F512" s="703"/>
      <c r="G512" s="703"/>
      <c r="H512" s="703"/>
      <c r="I512" s="703"/>
      <c r="J512" s="703"/>
      <c r="K512" s="703"/>
      <c r="L512" s="703"/>
      <c r="M512" s="703"/>
      <c r="N512" s="703"/>
      <c r="O512" s="703"/>
      <c r="P512" s="703"/>
      <c r="Q512" s="703"/>
      <c r="R512" s="703"/>
      <c r="S512" s="703"/>
      <c r="T512" s="703"/>
      <c r="U512" s="703"/>
      <c r="V512" s="703"/>
      <c r="W512" s="703"/>
      <c r="X512" s="703"/>
      <c r="Y512" s="703"/>
      <c r="Z512" s="703"/>
    </row>
    <row r="513">
      <c r="A513" s="703"/>
      <c r="B513" s="703"/>
      <c r="C513" s="703"/>
      <c r="D513" s="703"/>
      <c r="E513" s="703"/>
      <c r="F513" s="703"/>
      <c r="G513" s="703"/>
      <c r="H513" s="703"/>
      <c r="I513" s="703"/>
      <c r="J513" s="703"/>
      <c r="K513" s="703"/>
      <c r="L513" s="703"/>
      <c r="M513" s="703"/>
      <c r="N513" s="703"/>
      <c r="O513" s="703"/>
      <c r="P513" s="703"/>
      <c r="Q513" s="703"/>
      <c r="R513" s="703"/>
      <c r="S513" s="703"/>
      <c r="T513" s="703"/>
      <c r="U513" s="703"/>
      <c r="V513" s="703"/>
      <c r="W513" s="703"/>
      <c r="X513" s="703"/>
      <c r="Y513" s="703"/>
      <c r="Z513" s="703"/>
    </row>
    <row r="514">
      <c r="A514" s="703"/>
      <c r="B514" s="703"/>
      <c r="C514" s="703"/>
      <c r="D514" s="703"/>
      <c r="E514" s="703"/>
      <c r="F514" s="703"/>
      <c r="G514" s="703"/>
      <c r="H514" s="703"/>
      <c r="I514" s="703"/>
      <c r="J514" s="703"/>
      <c r="K514" s="703"/>
      <c r="L514" s="703"/>
      <c r="M514" s="703"/>
      <c r="N514" s="703"/>
      <c r="O514" s="703"/>
      <c r="P514" s="703"/>
      <c r="Q514" s="703"/>
      <c r="R514" s="703"/>
      <c r="S514" s="703"/>
      <c r="T514" s="703"/>
      <c r="U514" s="703"/>
      <c r="V514" s="703"/>
      <c r="W514" s="703"/>
      <c r="X514" s="703"/>
      <c r="Y514" s="703"/>
      <c r="Z514" s="703"/>
    </row>
    <row r="515">
      <c r="A515" s="703"/>
      <c r="B515" s="703"/>
      <c r="C515" s="703"/>
      <c r="D515" s="703"/>
      <c r="E515" s="703"/>
      <c r="F515" s="703"/>
      <c r="G515" s="703"/>
      <c r="H515" s="703"/>
      <c r="I515" s="703"/>
      <c r="J515" s="703"/>
      <c r="K515" s="703"/>
      <c r="L515" s="703"/>
      <c r="M515" s="703"/>
      <c r="N515" s="703"/>
      <c r="O515" s="703"/>
      <c r="P515" s="703"/>
      <c r="Q515" s="703"/>
      <c r="R515" s="703"/>
      <c r="S515" s="703"/>
      <c r="T515" s="703"/>
      <c r="U515" s="703"/>
      <c r="V515" s="703"/>
      <c r="W515" s="703"/>
      <c r="X515" s="703"/>
      <c r="Y515" s="703"/>
      <c r="Z515" s="703"/>
    </row>
    <row r="516">
      <c r="A516" s="703"/>
      <c r="B516" s="703"/>
      <c r="C516" s="703"/>
      <c r="D516" s="703"/>
      <c r="E516" s="703"/>
      <c r="F516" s="703"/>
      <c r="G516" s="703"/>
      <c r="H516" s="703"/>
      <c r="I516" s="703"/>
      <c r="J516" s="703"/>
      <c r="K516" s="703"/>
      <c r="L516" s="703"/>
      <c r="M516" s="703"/>
      <c r="N516" s="703"/>
      <c r="O516" s="703"/>
      <c r="P516" s="703"/>
      <c r="Q516" s="703"/>
      <c r="R516" s="703"/>
      <c r="S516" s="703"/>
      <c r="T516" s="703"/>
      <c r="U516" s="703"/>
      <c r="V516" s="703"/>
      <c r="W516" s="703"/>
      <c r="X516" s="703"/>
      <c r="Y516" s="703"/>
      <c r="Z516" s="703"/>
    </row>
    <row r="517">
      <c r="A517" s="703"/>
      <c r="B517" s="703"/>
      <c r="C517" s="703"/>
      <c r="D517" s="703"/>
      <c r="E517" s="703"/>
      <c r="F517" s="703"/>
      <c r="G517" s="703"/>
      <c r="H517" s="703"/>
      <c r="I517" s="703"/>
      <c r="J517" s="703"/>
      <c r="K517" s="703"/>
      <c r="L517" s="703"/>
      <c r="M517" s="703"/>
      <c r="N517" s="703"/>
      <c r="O517" s="703"/>
      <c r="P517" s="703"/>
      <c r="Q517" s="703"/>
      <c r="R517" s="703"/>
      <c r="S517" s="703"/>
      <c r="T517" s="703"/>
      <c r="U517" s="703"/>
      <c r="V517" s="703"/>
      <c r="W517" s="703"/>
      <c r="X517" s="703"/>
      <c r="Y517" s="703"/>
      <c r="Z517" s="703"/>
    </row>
    <row r="518">
      <c r="A518" s="703"/>
      <c r="B518" s="703"/>
      <c r="C518" s="703"/>
      <c r="D518" s="703"/>
      <c r="E518" s="703"/>
      <c r="F518" s="703"/>
      <c r="G518" s="703"/>
      <c r="H518" s="703"/>
      <c r="I518" s="703"/>
      <c r="J518" s="703"/>
      <c r="K518" s="703"/>
      <c r="L518" s="703"/>
      <c r="M518" s="703"/>
      <c r="N518" s="703"/>
      <c r="O518" s="703"/>
      <c r="P518" s="703"/>
      <c r="Q518" s="703"/>
      <c r="R518" s="703"/>
      <c r="S518" s="703"/>
      <c r="T518" s="703"/>
      <c r="U518" s="703"/>
      <c r="V518" s="703"/>
      <c r="W518" s="703"/>
      <c r="X518" s="703"/>
      <c r="Y518" s="703"/>
      <c r="Z518" s="703"/>
    </row>
    <row r="519">
      <c r="A519" s="703"/>
      <c r="B519" s="703"/>
      <c r="C519" s="703"/>
      <c r="D519" s="703"/>
      <c r="E519" s="703"/>
      <c r="F519" s="703"/>
      <c r="G519" s="703"/>
      <c r="H519" s="703"/>
      <c r="I519" s="703"/>
      <c r="J519" s="703"/>
      <c r="K519" s="703"/>
      <c r="L519" s="703"/>
      <c r="M519" s="703"/>
      <c r="N519" s="703"/>
      <c r="O519" s="703"/>
      <c r="P519" s="703"/>
      <c r="Q519" s="703"/>
      <c r="R519" s="703"/>
      <c r="S519" s="703"/>
      <c r="T519" s="703"/>
      <c r="U519" s="703"/>
      <c r="V519" s="703"/>
      <c r="W519" s="703"/>
      <c r="X519" s="703"/>
      <c r="Y519" s="703"/>
      <c r="Z519" s="703"/>
    </row>
    <row r="520">
      <c r="A520" s="703"/>
      <c r="B520" s="703"/>
      <c r="C520" s="703"/>
      <c r="D520" s="703"/>
      <c r="E520" s="703"/>
      <c r="F520" s="703"/>
      <c r="G520" s="703"/>
      <c r="H520" s="703"/>
      <c r="I520" s="703"/>
      <c r="J520" s="703"/>
      <c r="K520" s="703"/>
      <c r="L520" s="703"/>
      <c r="M520" s="703"/>
      <c r="N520" s="703"/>
      <c r="O520" s="703"/>
      <c r="P520" s="703"/>
      <c r="Q520" s="703"/>
      <c r="R520" s="703"/>
      <c r="S520" s="703"/>
      <c r="T520" s="703"/>
      <c r="U520" s="703"/>
      <c r="V520" s="703"/>
      <c r="W520" s="703"/>
      <c r="X520" s="703"/>
      <c r="Y520" s="703"/>
      <c r="Z520" s="703"/>
    </row>
    <row r="521">
      <c r="A521" s="703"/>
      <c r="B521" s="703"/>
      <c r="C521" s="703"/>
      <c r="D521" s="703"/>
      <c r="E521" s="703"/>
      <c r="F521" s="703"/>
      <c r="G521" s="703"/>
      <c r="H521" s="703"/>
      <c r="I521" s="703"/>
      <c r="J521" s="703"/>
      <c r="K521" s="703"/>
      <c r="L521" s="703"/>
      <c r="M521" s="703"/>
      <c r="N521" s="703"/>
      <c r="O521" s="703"/>
      <c r="P521" s="703"/>
      <c r="Q521" s="703"/>
      <c r="R521" s="703"/>
      <c r="S521" s="703"/>
      <c r="T521" s="703"/>
      <c r="U521" s="703"/>
      <c r="V521" s="703"/>
      <c r="W521" s="703"/>
      <c r="X521" s="703"/>
      <c r="Y521" s="703"/>
      <c r="Z521" s="703"/>
    </row>
    <row r="522">
      <c r="A522" s="703"/>
      <c r="B522" s="703"/>
      <c r="C522" s="703"/>
      <c r="D522" s="703"/>
      <c r="E522" s="703"/>
      <c r="F522" s="703"/>
      <c r="G522" s="703"/>
      <c r="H522" s="703"/>
      <c r="I522" s="703"/>
      <c r="J522" s="703"/>
      <c r="K522" s="703"/>
      <c r="L522" s="703"/>
      <c r="M522" s="703"/>
      <c r="N522" s="703"/>
      <c r="O522" s="703"/>
      <c r="P522" s="703"/>
      <c r="Q522" s="703"/>
      <c r="R522" s="703"/>
      <c r="S522" s="703"/>
      <c r="T522" s="703"/>
      <c r="U522" s="703"/>
      <c r="V522" s="703"/>
      <c r="W522" s="703"/>
      <c r="X522" s="703"/>
      <c r="Y522" s="703"/>
      <c r="Z522" s="703"/>
    </row>
    <row r="523">
      <c r="A523" s="703"/>
      <c r="B523" s="703"/>
      <c r="C523" s="703"/>
      <c r="D523" s="703"/>
      <c r="E523" s="703"/>
      <c r="F523" s="703"/>
      <c r="G523" s="703"/>
      <c r="H523" s="703"/>
      <c r="I523" s="703"/>
      <c r="J523" s="703"/>
      <c r="K523" s="703"/>
      <c r="L523" s="703"/>
      <c r="M523" s="703"/>
      <c r="N523" s="703"/>
      <c r="O523" s="703"/>
      <c r="P523" s="703"/>
      <c r="Q523" s="703"/>
      <c r="R523" s="703"/>
      <c r="S523" s="703"/>
      <c r="T523" s="703"/>
      <c r="U523" s="703"/>
      <c r="V523" s="703"/>
      <c r="W523" s="703"/>
      <c r="X523" s="703"/>
      <c r="Y523" s="703"/>
      <c r="Z523" s="703"/>
    </row>
    <row r="524">
      <c r="A524" s="703"/>
      <c r="B524" s="703"/>
      <c r="C524" s="703"/>
      <c r="D524" s="703"/>
      <c r="E524" s="703"/>
      <c r="F524" s="703"/>
      <c r="G524" s="703"/>
      <c r="H524" s="703"/>
      <c r="I524" s="703"/>
      <c r="J524" s="703"/>
      <c r="K524" s="703"/>
      <c r="L524" s="703"/>
      <c r="M524" s="703"/>
      <c r="N524" s="703"/>
      <c r="O524" s="703"/>
      <c r="P524" s="703"/>
      <c r="Q524" s="703"/>
      <c r="R524" s="703"/>
      <c r="S524" s="703"/>
      <c r="T524" s="703"/>
      <c r="U524" s="703"/>
      <c r="V524" s="703"/>
      <c r="W524" s="703"/>
      <c r="X524" s="703"/>
      <c r="Y524" s="703"/>
      <c r="Z524" s="703"/>
    </row>
    <row r="525">
      <c r="A525" s="703"/>
      <c r="B525" s="703"/>
      <c r="C525" s="703"/>
      <c r="D525" s="703"/>
      <c r="E525" s="703"/>
      <c r="F525" s="703"/>
      <c r="G525" s="703"/>
      <c r="H525" s="703"/>
      <c r="I525" s="703"/>
      <c r="J525" s="703"/>
      <c r="K525" s="703"/>
      <c r="L525" s="703"/>
      <c r="M525" s="703"/>
      <c r="N525" s="703"/>
      <c r="O525" s="703"/>
      <c r="P525" s="703"/>
      <c r="Q525" s="703"/>
      <c r="R525" s="703"/>
      <c r="S525" s="703"/>
      <c r="T525" s="703"/>
      <c r="U525" s="703"/>
      <c r="V525" s="703"/>
      <c r="W525" s="703"/>
      <c r="X525" s="703"/>
      <c r="Y525" s="703"/>
      <c r="Z525" s="703"/>
    </row>
    <row r="526">
      <c r="A526" s="703"/>
      <c r="B526" s="703"/>
      <c r="C526" s="703"/>
      <c r="D526" s="703"/>
      <c r="E526" s="703"/>
      <c r="F526" s="703"/>
      <c r="G526" s="703"/>
      <c r="H526" s="703"/>
      <c r="I526" s="703"/>
      <c r="J526" s="703"/>
      <c r="K526" s="703"/>
      <c r="L526" s="703"/>
      <c r="M526" s="703"/>
      <c r="N526" s="703"/>
      <c r="O526" s="703"/>
      <c r="P526" s="703"/>
      <c r="Q526" s="703"/>
      <c r="R526" s="703"/>
      <c r="S526" s="703"/>
      <c r="T526" s="703"/>
      <c r="U526" s="703"/>
      <c r="V526" s="703"/>
      <c r="W526" s="703"/>
      <c r="X526" s="703"/>
      <c r="Y526" s="703"/>
      <c r="Z526" s="703"/>
    </row>
    <row r="527">
      <c r="A527" s="703"/>
      <c r="B527" s="703"/>
      <c r="C527" s="703"/>
      <c r="D527" s="703"/>
      <c r="E527" s="703"/>
      <c r="F527" s="703"/>
      <c r="G527" s="703"/>
      <c r="H527" s="703"/>
      <c r="I527" s="703"/>
      <c r="J527" s="703"/>
      <c r="K527" s="703"/>
      <c r="L527" s="703"/>
      <c r="M527" s="703"/>
      <c r="N527" s="703"/>
      <c r="O527" s="703"/>
      <c r="P527" s="703"/>
      <c r="Q527" s="703"/>
      <c r="R527" s="703"/>
      <c r="S527" s="703"/>
      <c r="T527" s="703"/>
      <c r="U527" s="703"/>
      <c r="V527" s="703"/>
      <c r="W527" s="703"/>
      <c r="X527" s="703"/>
      <c r="Y527" s="703"/>
      <c r="Z527" s="703"/>
    </row>
    <row r="528">
      <c r="A528" s="703"/>
      <c r="B528" s="703"/>
      <c r="C528" s="703"/>
      <c r="D528" s="703"/>
      <c r="E528" s="703"/>
      <c r="F528" s="703"/>
      <c r="G528" s="703"/>
      <c r="H528" s="703"/>
      <c r="I528" s="703"/>
      <c r="J528" s="703"/>
      <c r="K528" s="703"/>
      <c r="L528" s="703"/>
      <c r="M528" s="703"/>
      <c r="N528" s="703"/>
      <c r="O528" s="703"/>
      <c r="P528" s="703"/>
      <c r="Q528" s="703"/>
      <c r="R528" s="703"/>
      <c r="S528" s="703"/>
      <c r="T528" s="703"/>
      <c r="U528" s="703"/>
      <c r="V528" s="703"/>
      <c r="W528" s="703"/>
      <c r="X528" s="703"/>
      <c r="Y528" s="703"/>
      <c r="Z528" s="703"/>
    </row>
    <row r="529">
      <c r="A529" s="703"/>
      <c r="B529" s="703"/>
      <c r="C529" s="703"/>
      <c r="D529" s="703"/>
      <c r="E529" s="703"/>
      <c r="F529" s="703"/>
      <c r="G529" s="703"/>
      <c r="H529" s="703"/>
      <c r="I529" s="703"/>
      <c r="J529" s="703"/>
      <c r="K529" s="703"/>
      <c r="L529" s="703"/>
      <c r="M529" s="703"/>
      <c r="N529" s="703"/>
      <c r="O529" s="703"/>
      <c r="P529" s="703"/>
      <c r="Q529" s="703"/>
      <c r="R529" s="703"/>
      <c r="S529" s="703"/>
      <c r="T529" s="703"/>
      <c r="U529" s="703"/>
      <c r="V529" s="703"/>
      <c r="W529" s="703"/>
      <c r="X529" s="703"/>
      <c r="Y529" s="703"/>
      <c r="Z529" s="703"/>
    </row>
    <row r="530">
      <c r="A530" s="703"/>
      <c r="B530" s="703"/>
      <c r="C530" s="703"/>
      <c r="D530" s="703"/>
      <c r="E530" s="703"/>
      <c r="F530" s="703"/>
      <c r="G530" s="703"/>
      <c r="H530" s="703"/>
      <c r="I530" s="703"/>
      <c r="J530" s="703"/>
      <c r="K530" s="703"/>
      <c r="L530" s="703"/>
      <c r="M530" s="703"/>
      <c r="N530" s="703"/>
      <c r="O530" s="703"/>
      <c r="P530" s="703"/>
      <c r="Q530" s="703"/>
      <c r="R530" s="703"/>
      <c r="S530" s="703"/>
      <c r="T530" s="703"/>
      <c r="U530" s="703"/>
      <c r="V530" s="703"/>
      <c r="W530" s="703"/>
      <c r="X530" s="703"/>
      <c r="Y530" s="703"/>
      <c r="Z530" s="703"/>
    </row>
    <row r="531">
      <c r="A531" s="703"/>
      <c r="B531" s="703"/>
      <c r="C531" s="703"/>
      <c r="D531" s="703"/>
      <c r="E531" s="703"/>
      <c r="F531" s="703"/>
      <c r="G531" s="703"/>
      <c r="H531" s="703"/>
      <c r="I531" s="703"/>
      <c r="J531" s="703"/>
      <c r="K531" s="703"/>
      <c r="L531" s="703"/>
      <c r="M531" s="703"/>
      <c r="N531" s="703"/>
      <c r="O531" s="703"/>
      <c r="P531" s="703"/>
      <c r="Q531" s="703"/>
      <c r="R531" s="703"/>
      <c r="S531" s="703"/>
      <c r="T531" s="703"/>
      <c r="U531" s="703"/>
      <c r="V531" s="703"/>
      <c r="W531" s="703"/>
      <c r="X531" s="703"/>
      <c r="Y531" s="703"/>
      <c r="Z531" s="703"/>
    </row>
    <row r="532">
      <c r="A532" s="703"/>
      <c r="B532" s="703"/>
      <c r="C532" s="703"/>
      <c r="D532" s="703"/>
      <c r="E532" s="703"/>
      <c r="F532" s="703"/>
      <c r="G532" s="703"/>
      <c r="H532" s="703"/>
      <c r="I532" s="703"/>
      <c r="J532" s="703"/>
      <c r="K532" s="703"/>
      <c r="L532" s="703"/>
      <c r="M532" s="703"/>
      <c r="N532" s="703"/>
      <c r="O532" s="703"/>
      <c r="P532" s="703"/>
      <c r="Q532" s="703"/>
      <c r="R532" s="703"/>
      <c r="S532" s="703"/>
      <c r="T532" s="703"/>
      <c r="U532" s="703"/>
      <c r="V532" s="703"/>
      <c r="W532" s="703"/>
      <c r="X532" s="703"/>
      <c r="Y532" s="703"/>
      <c r="Z532" s="703"/>
    </row>
    <row r="533">
      <c r="A533" s="703"/>
      <c r="B533" s="703"/>
      <c r="C533" s="703"/>
      <c r="D533" s="703"/>
      <c r="E533" s="703"/>
      <c r="F533" s="703"/>
      <c r="G533" s="703"/>
      <c r="H533" s="703"/>
      <c r="I533" s="703"/>
      <c r="J533" s="703"/>
      <c r="K533" s="703"/>
      <c r="L533" s="703"/>
      <c r="M533" s="703"/>
      <c r="N533" s="703"/>
      <c r="O533" s="703"/>
      <c r="P533" s="703"/>
      <c r="Q533" s="703"/>
      <c r="R533" s="703"/>
      <c r="S533" s="703"/>
      <c r="T533" s="703"/>
      <c r="U533" s="703"/>
      <c r="V533" s="703"/>
      <c r="W533" s="703"/>
      <c r="X533" s="703"/>
      <c r="Y533" s="703"/>
      <c r="Z533" s="703"/>
    </row>
    <row r="534">
      <c r="A534" s="703"/>
      <c r="B534" s="703"/>
      <c r="C534" s="703"/>
      <c r="D534" s="703"/>
      <c r="E534" s="703"/>
      <c r="F534" s="703"/>
      <c r="G534" s="703"/>
      <c r="H534" s="703"/>
      <c r="I534" s="703"/>
      <c r="J534" s="703"/>
      <c r="K534" s="703"/>
      <c r="L534" s="703"/>
      <c r="M534" s="703"/>
      <c r="N534" s="703"/>
      <c r="O534" s="703"/>
      <c r="P534" s="703"/>
      <c r="Q534" s="703"/>
      <c r="R534" s="703"/>
      <c r="S534" s="703"/>
      <c r="T534" s="703"/>
      <c r="U534" s="703"/>
      <c r="V534" s="703"/>
      <c r="W534" s="703"/>
      <c r="X534" s="703"/>
      <c r="Y534" s="703"/>
      <c r="Z534" s="703"/>
    </row>
    <row r="535">
      <c r="A535" s="703"/>
      <c r="B535" s="703"/>
      <c r="C535" s="703"/>
      <c r="D535" s="703"/>
      <c r="E535" s="703"/>
      <c r="F535" s="703"/>
      <c r="G535" s="703"/>
      <c r="H535" s="703"/>
      <c r="I535" s="703"/>
      <c r="J535" s="703"/>
      <c r="K535" s="703"/>
      <c r="L535" s="703"/>
      <c r="M535" s="703"/>
      <c r="N535" s="703"/>
      <c r="O535" s="703"/>
      <c r="P535" s="703"/>
      <c r="Q535" s="703"/>
      <c r="R535" s="703"/>
      <c r="S535" s="703"/>
      <c r="T535" s="703"/>
      <c r="U535" s="703"/>
      <c r="V535" s="703"/>
      <c r="W535" s="703"/>
      <c r="X535" s="703"/>
      <c r="Y535" s="703"/>
      <c r="Z535" s="703"/>
    </row>
    <row r="536">
      <c r="A536" s="703"/>
      <c r="B536" s="703"/>
      <c r="C536" s="703"/>
      <c r="D536" s="703"/>
      <c r="E536" s="703"/>
      <c r="F536" s="703"/>
      <c r="G536" s="703"/>
      <c r="H536" s="703"/>
      <c r="I536" s="703"/>
      <c r="J536" s="703"/>
      <c r="K536" s="703"/>
      <c r="L536" s="703"/>
      <c r="M536" s="703"/>
      <c r="N536" s="703"/>
      <c r="O536" s="703"/>
      <c r="P536" s="703"/>
      <c r="Q536" s="703"/>
      <c r="R536" s="703"/>
      <c r="S536" s="703"/>
      <c r="T536" s="703"/>
      <c r="U536" s="703"/>
      <c r="V536" s="703"/>
      <c r="W536" s="703"/>
      <c r="X536" s="703"/>
      <c r="Y536" s="703"/>
      <c r="Z536" s="703"/>
    </row>
    <row r="537">
      <c r="A537" s="703"/>
      <c r="B537" s="703"/>
      <c r="C537" s="703"/>
      <c r="D537" s="703"/>
      <c r="E537" s="703"/>
      <c r="F537" s="703"/>
      <c r="G537" s="703"/>
      <c r="H537" s="703"/>
      <c r="I537" s="703"/>
      <c r="J537" s="703"/>
      <c r="K537" s="703"/>
      <c r="L537" s="703"/>
      <c r="M537" s="703"/>
      <c r="N537" s="703"/>
      <c r="O537" s="703"/>
      <c r="P537" s="703"/>
      <c r="Q537" s="703"/>
      <c r="R537" s="703"/>
      <c r="S537" s="703"/>
      <c r="T537" s="703"/>
      <c r="U537" s="703"/>
      <c r="V537" s="703"/>
      <c r="W537" s="703"/>
      <c r="X537" s="703"/>
      <c r="Y537" s="703"/>
      <c r="Z537" s="703"/>
    </row>
    <row r="538">
      <c r="A538" s="703"/>
      <c r="B538" s="703"/>
      <c r="C538" s="703"/>
      <c r="D538" s="703"/>
      <c r="E538" s="703"/>
      <c r="F538" s="703"/>
      <c r="G538" s="703"/>
      <c r="H538" s="703"/>
      <c r="I538" s="703"/>
      <c r="J538" s="703"/>
      <c r="K538" s="703"/>
      <c r="L538" s="703"/>
      <c r="M538" s="703"/>
      <c r="N538" s="703"/>
      <c r="O538" s="703"/>
      <c r="P538" s="703"/>
      <c r="Q538" s="703"/>
      <c r="R538" s="703"/>
      <c r="S538" s="703"/>
      <c r="T538" s="703"/>
      <c r="U538" s="703"/>
      <c r="V538" s="703"/>
      <c r="W538" s="703"/>
      <c r="X538" s="703"/>
      <c r="Y538" s="703"/>
      <c r="Z538" s="703"/>
    </row>
    <row r="539">
      <c r="A539" s="703"/>
      <c r="B539" s="703"/>
      <c r="C539" s="703"/>
      <c r="D539" s="703"/>
      <c r="E539" s="703"/>
      <c r="F539" s="703"/>
      <c r="G539" s="703"/>
      <c r="H539" s="703"/>
      <c r="I539" s="703"/>
      <c r="J539" s="703"/>
      <c r="K539" s="703"/>
      <c r="L539" s="703"/>
      <c r="M539" s="703"/>
      <c r="N539" s="703"/>
      <c r="O539" s="703"/>
      <c r="P539" s="703"/>
      <c r="Q539" s="703"/>
      <c r="R539" s="703"/>
      <c r="S539" s="703"/>
      <c r="T539" s="703"/>
      <c r="U539" s="703"/>
      <c r="V539" s="703"/>
      <c r="W539" s="703"/>
      <c r="X539" s="703"/>
      <c r="Y539" s="703"/>
      <c r="Z539" s="703"/>
    </row>
    <row r="540">
      <c r="A540" s="703"/>
      <c r="B540" s="703"/>
      <c r="C540" s="703"/>
      <c r="D540" s="703"/>
      <c r="E540" s="703"/>
      <c r="F540" s="703"/>
      <c r="G540" s="703"/>
      <c r="H540" s="703"/>
      <c r="I540" s="703"/>
      <c r="J540" s="703"/>
      <c r="K540" s="703"/>
      <c r="L540" s="703"/>
      <c r="M540" s="703"/>
      <c r="N540" s="703"/>
      <c r="O540" s="703"/>
      <c r="P540" s="703"/>
      <c r="Q540" s="703"/>
      <c r="R540" s="703"/>
      <c r="S540" s="703"/>
      <c r="T540" s="703"/>
      <c r="U540" s="703"/>
      <c r="V540" s="703"/>
      <c r="W540" s="703"/>
      <c r="X540" s="703"/>
      <c r="Y540" s="703"/>
      <c r="Z540" s="703"/>
    </row>
    <row r="541">
      <c r="A541" s="703"/>
      <c r="B541" s="703"/>
      <c r="C541" s="703"/>
      <c r="D541" s="703"/>
      <c r="E541" s="703"/>
      <c r="F541" s="703"/>
      <c r="G541" s="703"/>
      <c r="H541" s="703"/>
      <c r="I541" s="703"/>
      <c r="J541" s="703"/>
      <c r="K541" s="703"/>
      <c r="L541" s="703"/>
      <c r="M541" s="703"/>
      <c r="N541" s="703"/>
      <c r="O541" s="703"/>
      <c r="P541" s="703"/>
      <c r="Q541" s="703"/>
      <c r="R541" s="703"/>
      <c r="S541" s="703"/>
      <c r="T541" s="703"/>
      <c r="U541" s="703"/>
      <c r="V541" s="703"/>
      <c r="W541" s="703"/>
      <c r="X541" s="703"/>
      <c r="Y541" s="703"/>
      <c r="Z541" s="703"/>
    </row>
    <row r="542">
      <c r="A542" s="703"/>
      <c r="B542" s="703"/>
      <c r="C542" s="703"/>
      <c r="D542" s="703"/>
      <c r="E542" s="703"/>
      <c r="F542" s="703"/>
      <c r="G542" s="703"/>
      <c r="H542" s="703"/>
      <c r="I542" s="703"/>
      <c r="J542" s="703"/>
      <c r="K542" s="703"/>
      <c r="L542" s="703"/>
      <c r="M542" s="703"/>
      <c r="N542" s="703"/>
      <c r="O542" s="703"/>
      <c r="P542" s="703"/>
      <c r="Q542" s="703"/>
      <c r="R542" s="703"/>
      <c r="S542" s="703"/>
      <c r="T542" s="703"/>
      <c r="U542" s="703"/>
      <c r="V542" s="703"/>
      <c r="W542" s="703"/>
      <c r="X542" s="703"/>
      <c r="Y542" s="703"/>
      <c r="Z542" s="703"/>
    </row>
    <row r="543">
      <c r="A543" s="703"/>
      <c r="B543" s="703"/>
      <c r="C543" s="703"/>
      <c r="D543" s="703"/>
      <c r="E543" s="703"/>
      <c r="F543" s="703"/>
      <c r="G543" s="703"/>
      <c r="H543" s="703"/>
      <c r="I543" s="703"/>
      <c r="J543" s="703"/>
      <c r="K543" s="703"/>
      <c r="L543" s="703"/>
      <c r="M543" s="703"/>
      <c r="N543" s="703"/>
      <c r="O543" s="703"/>
      <c r="P543" s="703"/>
      <c r="Q543" s="703"/>
      <c r="R543" s="703"/>
      <c r="S543" s="703"/>
      <c r="T543" s="703"/>
      <c r="U543" s="703"/>
      <c r="V543" s="703"/>
      <c r="W543" s="703"/>
      <c r="X543" s="703"/>
      <c r="Y543" s="703"/>
      <c r="Z543" s="703"/>
    </row>
    <row r="544">
      <c r="A544" s="703"/>
      <c r="B544" s="703"/>
      <c r="C544" s="703"/>
      <c r="D544" s="703"/>
      <c r="E544" s="703"/>
      <c r="F544" s="703"/>
      <c r="G544" s="703"/>
      <c r="H544" s="703"/>
      <c r="I544" s="703"/>
      <c r="J544" s="703"/>
      <c r="K544" s="703"/>
      <c r="L544" s="703"/>
      <c r="M544" s="703"/>
      <c r="N544" s="703"/>
      <c r="O544" s="703"/>
      <c r="P544" s="703"/>
      <c r="Q544" s="703"/>
      <c r="R544" s="703"/>
      <c r="S544" s="703"/>
      <c r="T544" s="703"/>
      <c r="U544" s="703"/>
      <c r="V544" s="703"/>
      <c r="W544" s="703"/>
      <c r="X544" s="703"/>
      <c r="Y544" s="703"/>
      <c r="Z544" s="703"/>
    </row>
    <row r="545">
      <c r="A545" s="703"/>
      <c r="B545" s="703"/>
      <c r="C545" s="703"/>
      <c r="D545" s="703"/>
      <c r="E545" s="703"/>
      <c r="F545" s="703"/>
      <c r="G545" s="703"/>
      <c r="H545" s="703"/>
      <c r="I545" s="703"/>
      <c r="J545" s="703"/>
      <c r="K545" s="703"/>
      <c r="L545" s="703"/>
      <c r="M545" s="703"/>
      <c r="N545" s="703"/>
      <c r="O545" s="703"/>
      <c r="P545" s="703"/>
      <c r="Q545" s="703"/>
      <c r="R545" s="703"/>
      <c r="S545" s="703"/>
      <c r="T545" s="703"/>
      <c r="U545" s="703"/>
      <c r="V545" s="703"/>
      <c r="W545" s="703"/>
      <c r="X545" s="703"/>
      <c r="Y545" s="703"/>
      <c r="Z545" s="703"/>
    </row>
    <row r="546">
      <c r="A546" s="703"/>
      <c r="B546" s="703"/>
      <c r="C546" s="703"/>
      <c r="D546" s="703"/>
      <c r="E546" s="703"/>
      <c r="F546" s="703"/>
      <c r="G546" s="703"/>
      <c r="H546" s="703"/>
      <c r="I546" s="703"/>
      <c r="J546" s="703"/>
      <c r="K546" s="703"/>
      <c r="L546" s="703"/>
      <c r="M546" s="703"/>
      <c r="N546" s="703"/>
      <c r="O546" s="703"/>
      <c r="P546" s="703"/>
      <c r="Q546" s="703"/>
      <c r="R546" s="703"/>
      <c r="S546" s="703"/>
      <c r="T546" s="703"/>
      <c r="U546" s="703"/>
      <c r="V546" s="703"/>
      <c r="W546" s="703"/>
      <c r="X546" s="703"/>
      <c r="Y546" s="703"/>
      <c r="Z546" s="703"/>
    </row>
    <row r="547">
      <c r="A547" s="703"/>
      <c r="B547" s="703"/>
      <c r="C547" s="703"/>
      <c r="D547" s="703"/>
      <c r="E547" s="703"/>
      <c r="F547" s="703"/>
      <c r="G547" s="703"/>
      <c r="H547" s="703"/>
      <c r="I547" s="703"/>
      <c r="J547" s="703"/>
      <c r="K547" s="703"/>
      <c r="L547" s="703"/>
      <c r="M547" s="703"/>
      <c r="N547" s="703"/>
      <c r="O547" s="703"/>
      <c r="P547" s="703"/>
      <c r="Q547" s="703"/>
      <c r="R547" s="703"/>
      <c r="S547" s="703"/>
      <c r="T547" s="703"/>
      <c r="U547" s="703"/>
      <c r="V547" s="703"/>
      <c r="W547" s="703"/>
      <c r="X547" s="703"/>
      <c r="Y547" s="703"/>
      <c r="Z547" s="703"/>
    </row>
    <row r="548">
      <c r="A548" s="703"/>
      <c r="B548" s="703"/>
      <c r="C548" s="703"/>
      <c r="D548" s="703"/>
      <c r="E548" s="703"/>
      <c r="F548" s="703"/>
      <c r="G548" s="703"/>
      <c r="H548" s="703"/>
      <c r="I548" s="703"/>
      <c r="J548" s="703"/>
      <c r="K548" s="703"/>
      <c r="L548" s="703"/>
      <c r="M548" s="703"/>
      <c r="N548" s="703"/>
      <c r="O548" s="703"/>
      <c r="P548" s="703"/>
      <c r="Q548" s="703"/>
      <c r="R548" s="703"/>
      <c r="S548" s="703"/>
      <c r="T548" s="703"/>
      <c r="U548" s="703"/>
      <c r="V548" s="703"/>
      <c r="W548" s="703"/>
      <c r="X548" s="703"/>
      <c r="Y548" s="703"/>
      <c r="Z548" s="703"/>
    </row>
    <row r="549">
      <c r="A549" s="703"/>
      <c r="B549" s="703"/>
      <c r="C549" s="703"/>
      <c r="D549" s="703"/>
      <c r="E549" s="703"/>
      <c r="F549" s="703"/>
      <c r="G549" s="703"/>
      <c r="H549" s="703"/>
      <c r="I549" s="703"/>
      <c r="J549" s="703"/>
      <c r="K549" s="703"/>
      <c r="L549" s="703"/>
      <c r="M549" s="703"/>
      <c r="N549" s="703"/>
      <c r="O549" s="703"/>
      <c r="P549" s="703"/>
      <c r="Q549" s="703"/>
      <c r="R549" s="703"/>
      <c r="S549" s="703"/>
      <c r="T549" s="703"/>
      <c r="U549" s="703"/>
      <c r="V549" s="703"/>
      <c r="W549" s="703"/>
      <c r="X549" s="703"/>
      <c r="Y549" s="703"/>
      <c r="Z549" s="703"/>
    </row>
    <row r="550">
      <c r="A550" s="703"/>
      <c r="B550" s="703"/>
      <c r="C550" s="703"/>
      <c r="D550" s="703"/>
      <c r="E550" s="703"/>
      <c r="F550" s="703"/>
      <c r="G550" s="703"/>
      <c r="H550" s="703"/>
      <c r="I550" s="703"/>
      <c r="J550" s="703"/>
      <c r="K550" s="703"/>
      <c r="L550" s="703"/>
      <c r="M550" s="703"/>
      <c r="N550" s="703"/>
      <c r="O550" s="703"/>
      <c r="P550" s="703"/>
      <c r="Q550" s="703"/>
      <c r="R550" s="703"/>
      <c r="S550" s="703"/>
      <c r="T550" s="703"/>
      <c r="U550" s="703"/>
      <c r="V550" s="703"/>
      <c r="W550" s="703"/>
      <c r="X550" s="703"/>
      <c r="Y550" s="703"/>
      <c r="Z550" s="703"/>
    </row>
    <row r="551">
      <c r="A551" s="703"/>
      <c r="B551" s="703"/>
      <c r="C551" s="703"/>
      <c r="D551" s="703"/>
      <c r="E551" s="703"/>
      <c r="F551" s="703"/>
      <c r="G551" s="703"/>
      <c r="H551" s="703"/>
      <c r="I551" s="703"/>
      <c r="J551" s="703"/>
      <c r="K551" s="703"/>
      <c r="L551" s="703"/>
      <c r="M551" s="703"/>
      <c r="N551" s="703"/>
      <c r="O551" s="703"/>
      <c r="P551" s="703"/>
      <c r="Q551" s="703"/>
      <c r="R551" s="703"/>
      <c r="S551" s="703"/>
      <c r="T551" s="703"/>
      <c r="U551" s="703"/>
      <c r="V551" s="703"/>
      <c r="W551" s="703"/>
      <c r="X551" s="703"/>
      <c r="Y551" s="703"/>
      <c r="Z551" s="703"/>
    </row>
    <row r="552">
      <c r="A552" s="703"/>
      <c r="B552" s="703"/>
      <c r="C552" s="703"/>
      <c r="D552" s="703"/>
      <c r="E552" s="703"/>
      <c r="F552" s="703"/>
      <c r="G552" s="703"/>
      <c r="H552" s="703"/>
      <c r="I552" s="703"/>
      <c r="J552" s="703"/>
      <c r="K552" s="703"/>
      <c r="L552" s="703"/>
      <c r="M552" s="703"/>
      <c r="N552" s="703"/>
      <c r="O552" s="703"/>
      <c r="P552" s="703"/>
      <c r="Q552" s="703"/>
      <c r="R552" s="703"/>
      <c r="S552" s="703"/>
      <c r="T552" s="703"/>
      <c r="U552" s="703"/>
      <c r="V552" s="703"/>
      <c r="W552" s="703"/>
      <c r="X552" s="703"/>
      <c r="Y552" s="703"/>
      <c r="Z552" s="703"/>
    </row>
    <row r="553">
      <c r="A553" s="703"/>
      <c r="B553" s="703"/>
      <c r="C553" s="703"/>
      <c r="D553" s="703"/>
      <c r="E553" s="703"/>
      <c r="F553" s="703"/>
      <c r="G553" s="703"/>
      <c r="H553" s="703"/>
      <c r="I553" s="703"/>
      <c r="J553" s="703"/>
      <c r="K553" s="703"/>
      <c r="L553" s="703"/>
      <c r="M553" s="703"/>
      <c r="N553" s="703"/>
      <c r="O553" s="703"/>
      <c r="P553" s="703"/>
      <c r="Q553" s="703"/>
      <c r="R553" s="703"/>
      <c r="S553" s="703"/>
      <c r="T553" s="703"/>
      <c r="U553" s="703"/>
      <c r="V553" s="703"/>
      <c r="W553" s="703"/>
      <c r="X553" s="703"/>
      <c r="Y553" s="703"/>
      <c r="Z553" s="703"/>
    </row>
    <row r="554">
      <c r="A554" s="703"/>
      <c r="B554" s="703"/>
      <c r="C554" s="703"/>
      <c r="D554" s="703"/>
      <c r="E554" s="703"/>
      <c r="F554" s="703"/>
      <c r="G554" s="703"/>
      <c r="H554" s="703"/>
      <c r="I554" s="703"/>
      <c r="J554" s="703"/>
      <c r="K554" s="703"/>
      <c r="L554" s="703"/>
      <c r="M554" s="703"/>
      <c r="N554" s="703"/>
      <c r="O554" s="703"/>
      <c r="P554" s="703"/>
      <c r="Q554" s="703"/>
      <c r="R554" s="703"/>
      <c r="S554" s="703"/>
      <c r="T554" s="703"/>
      <c r="U554" s="703"/>
      <c r="V554" s="703"/>
      <c r="W554" s="703"/>
      <c r="X554" s="703"/>
      <c r="Y554" s="703"/>
      <c r="Z554" s="703"/>
    </row>
    <row r="555">
      <c r="A555" s="703"/>
      <c r="B555" s="703"/>
      <c r="C555" s="703"/>
      <c r="D555" s="703"/>
      <c r="E555" s="703"/>
      <c r="F555" s="703"/>
      <c r="G555" s="703"/>
      <c r="H555" s="703"/>
      <c r="I555" s="703"/>
      <c r="J555" s="703"/>
      <c r="K555" s="703"/>
      <c r="L555" s="703"/>
      <c r="M555" s="703"/>
      <c r="N555" s="703"/>
      <c r="O555" s="703"/>
      <c r="P555" s="703"/>
      <c r="Q555" s="703"/>
      <c r="R555" s="703"/>
      <c r="S555" s="703"/>
      <c r="T555" s="703"/>
      <c r="U555" s="703"/>
      <c r="V555" s="703"/>
      <c r="W555" s="703"/>
      <c r="X555" s="703"/>
      <c r="Y555" s="703"/>
      <c r="Z555" s="703"/>
    </row>
    <row r="556">
      <c r="A556" s="703"/>
      <c r="B556" s="703"/>
      <c r="C556" s="703"/>
      <c r="D556" s="703"/>
      <c r="E556" s="703"/>
      <c r="F556" s="703"/>
      <c r="G556" s="703"/>
      <c r="H556" s="703"/>
      <c r="I556" s="703"/>
      <c r="J556" s="703"/>
      <c r="K556" s="703"/>
      <c r="L556" s="703"/>
      <c r="M556" s="703"/>
      <c r="N556" s="703"/>
      <c r="O556" s="703"/>
      <c r="P556" s="703"/>
      <c r="Q556" s="703"/>
      <c r="R556" s="703"/>
      <c r="S556" s="703"/>
      <c r="T556" s="703"/>
      <c r="U556" s="703"/>
      <c r="V556" s="703"/>
      <c r="W556" s="703"/>
      <c r="X556" s="703"/>
      <c r="Y556" s="703"/>
      <c r="Z556" s="703"/>
    </row>
    <row r="557">
      <c r="A557" s="703"/>
      <c r="B557" s="703"/>
      <c r="C557" s="703"/>
      <c r="D557" s="703"/>
      <c r="E557" s="703"/>
      <c r="F557" s="703"/>
      <c r="G557" s="703"/>
      <c r="H557" s="703"/>
      <c r="I557" s="703"/>
      <c r="J557" s="703"/>
      <c r="K557" s="703"/>
      <c r="L557" s="703"/>
      <c r="M557" s="703"/>
      <c r="N557" s="703"/>
      <c r="O557" s="703"/>
      <c r="P557" s="703"/>
      <c r="Q557" s="703"/>
      <c r="R557" s="703"/>
      <c r="S557" s="703"/>
      <c r="T557" s="703"/>
      <c r="U557" s="703"/>
      <c r="V557" s="703"/>
      <c r="W557" s="703"/>
      <c r="X557" s="703"/>
      <c r="Y557" s="703"/>
      <c r="Z557" s="703"/>
    </row>
    <row r="558">
      <c r="A558" s="703"/>
      <c r="B558" s="703"/>
      <c r="C558" s="703"/>
      <c r="D558" s="703"/>
      <c r="E558" s="703"/>
      <c r="F558" s="703"/>
      <c r="G558" s="703"/>
      <c r="H558" s="703"/>
      <c r="I558" s="703"/>
      <c r="J558" s="703"/>
      <c r="K558" s="703"/>
      <c r="L558" s="703"/>
      <c r="M558" s="703"/>
      <c r="N558" s="703"/>
      <c r="O558" s="703"/>
      <c r="P558" s="703"/>
      <c r="Q558" s="703"/>
      <c r="R558" s="703"/>
      <c r="S558" s="703"/>
      <c r="T558" s="703"/>
      <c r="U558" s="703"/>
      <c r="V558" s="703"/>
      <c r="W558" s="703"/>
      <c r="X558" s="703"/>
      <c r="Y558" s="703"/>
      <c r="Z558" s="703"/>
    </row>
    <row r="559">
      <c r="A559" s="703"/>
      <c r="B559" s="703"/>
      <c r="C559" s="703"/>
      <c r="D559" s="703"/>
      <c r="E559" s="703"/>
      <c r="F559" s="703"/>
      <c r="G559" s="703"/>
      <c r="H559" s="703"/>
      <c r="I559" s="703"/>
      <c r="J559" s="703"/>
      <c r="K559" s="703"/>
      <c r="L559" s="703"/>
      <c r="M559" s="703"/>
      <c r="N559" s="703"/>
      <c r="O559" s="703"/>
      <c r="P559" s="703"/>
      <c r="Q559" s="703"/>
      <c r="R559" s="703"/>
      <c r="S559" s="703"/>
      <c r="T559" s="703"/>
      <c r="U559" s="703"/>
      <c r="V559" s="703"/>
      <c r="W559" s="703"/>
      <c r="X559" s="703"/>
      <c r="Y559" s="703"/>
      <c r="Z559" s="703"/>
    </row>
    <row r="560">
      <c r="A560" s="703"/>
      <c r="B560" s="703"/>
      <c r="C560" s="703"/>
      <c r="D560" s="703"/>
      <c r="E560" s="703"/>
      <c r="F560" s="703"/>
      <c r="G560" s="703"/>
      <c r="H560" s="703"/>
      <c r="I560" s="703"/>
      <c r="J560" s="703"/>
      <c r="K560" s="703"/>
      <c r="L560" s="703"/>
      <c r="M560" s="703"/>
      <c r="N560" s="703"/>
      <c r="O560" s="703"/>
      <c r="P560" s="703"/>
      <c r="Q560" s="703"/>
      <c r="R560" s="703"/>
      <c r="S560" s="703"/>
      <c r="T560" s="703"/>
      <c r="U560" s="703"/>
      <c r="V560" s="703"/>
      <c r="W560" s="703"/>
      <c r="X560" s="703"/>
      <c r="Y560" s="703"/>
      <c r="Z560" s="703"/>
    </row>
    <row r="561">
      <c r="A561" s="703"/>
      <c r="B561" s="703"/>
      <c r="C561" s="703"/>
      <c r="D561" s="703"/>
      <c r="E561" s="703"/>
      <c r="F561" s="703"/>
      <c r="G561" s="703"/>
      <c r="H561" s="703"/>
      <c r="I561" s="703"/>
      <c r="J561" s="703"/>
      <c r="K561" s="703"/>
      <c r="L561" s="703"/>
      <c r="M561" s="703"/>
      <c r="N561" s="703"/>
      <c r="O561" s="703"/>
      <c r="P561" s="703"/>
      <c r="Q561" s="703"/>
      <c r="R561" s="703"/>
      <c r="S561" s="703"/>
      <c r="T561" s="703"/>
      <c r="U561" s="703"/>
      <c r="V561" s="703"/>
      <c r="W561" s="703"/>
      <c r="X561" s="703"/>
      <c r="Y561" s="703"/>
      <c r="Z561" s="703"/>
    </row>
    <row r="562">
      <c r="A562" s="703"/>
      <c r="B562" s="703"/>
      <c r="C562" s="703"/>
      <c r="D562" s="703"/>
      <c r="E562" s="703"/>
      <c r="F562" s="703"/>
      <c r="G562" s="703"/>
      <c r="H562" s="703"/>
      <c r="I562" s="703"/>
      <c r="J562" s="703"/>
      <c r="K562" s="703"/>
      <c r="L562" s="703"/>
      <c r="M562" s="703"/>
      <c r="N562" s="703"/>
      <c r="O562" s="703"/>
      <c r="P562" s="703"/>
      <c r="Q562" s="703"/>
      <c r="R562" s="703"/>
      <c r="S562" s="703"/>
      <c r="T562" s="703"/>
      <c r="U562" s="703"/>
      <c r="V562" s="703"/>
      <c r="W562" s="703"/>
      <c r="X562" s="703"/>
      <c r="Y562" s="703"/>
      <c r="Z562" s="703"/>
    </row>
    <row r="563">
      <c r="A563" s="703"/>
      <c r="B563" s="703"/>
      <c r="C563" s="703"/>
      <c r="D563" s="703"/>
      <c r="E563" s="703"/>
      <c r="F563" s="703"/>
      <c r="G563" s="703"/>
      <c r="H563" s="703"/>
      <c r="I563" s="703"/>
      <c r="J563" s="703"/>
      <c r="K563" s="703"/>
      <c r="L563" s="703"/>
      <c r="M563" s="703"/>
      <c r="N563" s="703"/>
      <c r="O563" s="703"/>
      <c r="P563" s="703"/>
      <c r="Q563" s="703"/>
      <c r="R563" s="703"/>
      <c r="S563" s="703"/>
      <c r="T563" s="703"/>
      <c r="U563" s="703"/>
      <c r="V563" s="703"/>
      <c r="W563" s="703"/>
      <c r="X563" s="703"/>
      <c r="Y563" s="703"/>
      <c r="Z563" s="703"/>
    </row>
    <row r="564">
      <c r="A564" s="703"/>
      <c r="B564" s="703"/>
      <c r="C564" s="703"/>
      <c r="D564" s="703"/>
      <c r="E564" s="703"/>
      <c r="F564" s="703"/>
      <c r="G564" s="703"/>
      <c r="H564" s="703"/>
      <c r="I564" s="703"/>
      <c r="J564" s="703"/>
      <c r="K564" s="703"/>
      <c r="L564" s="703"/>
      <c r="M564" s="703"/>
      <c r="N564" s="703"/>
      <c r="O564" s="703"/>
      <c r="P564" s="703"/>
      <c r="Q564" s="703"/>
      <c r="R564" s="703"/>
      <c r="S564" s="703"/>
      <c r="T564" s="703"/>
      <c r="U564" s="703"/>
      <c r="V564" s="703"/>
      <c r="W564" s="703"/>
      <c r="X564" s="703"/>
      <c r="Y564" s="703"/>
      <c r="Z564" s="703"/>
    </row>
    <row r="565">
      <c r="A565" s="703"/>
      <c r="B565" s="703"/>
      <c r="C565" s="703"/>
      <c r="D565" s="703"/>
      <c r="E565" s="703"/>
      <c r="F565" s="703"/>
      <c r="G565" s="703"/>
      <c r="H565" s="703"/>
      <c r="I565" s="703"/>
      <c r="J565" s="703"/>
      <c r="K565" s="703"/>
      <c r="L565" s="703"/>
      <c r="M565" s="703"/>
      <c r="N565" s="703"/>
      <c r="O565" s="703"/>
      <c r="P565" s="703"/>
      <c r="Q565" s="703"/>
      <c r="R565" s="703"/>
      <c r="S565" s="703"/>
      <c r="T565" s="703"/>
      <c r="U565" s="703"/>
      <c r="V565" s="703"/>
      <c r="W565" s="703"/>
      <c r="X565" s="703"/>
      <c r="Y565" s="703"/>
      <c r="Z565" s="703"/>
    </row>
    <row r="566">
      <c r="A566" s="703"/>
      <c r="B566" s="703"/>
      <c r="C566" s="703"/>
      <c r="D566" s="703"/>
      <c r="E566" s="703"/>
      <c r="F566" s="703"/>
      <c r="G566" s="703"/>
      <c r="H566" s="703"/>
      <c r="I566" s="703"/>
      <c r="J566" s="703"/>
      <c r="K566" s="703"/>
      <c r="L566" s="703"/>
      <c r="M566" s="703"/>
      <c r="N566" s="703"/>
      <c r="O566" s="703"/>
      <c r="P566" s="703"/>
      <c r="Q566" s="703"/>
      <c r="R566" s="703"/>
      <c r="S566" s="703"/>
      <c r="T566" s="703"/>
      <c r="U566" s="703"/>
      <c r="V566" s="703"/>
      <c r="W566" s="703"/>
      <c r="X566" s="703"/>
      <c r="Y566" s="703"/>
      <c r="Z566" s="703"/>
    </row>
    <row r="567">
      <c r="A567" s="703"/>
      <c r="B567" s="703"/>
      <c r="C567" s="703"/>
      <c r="D567" s="703"/>
      <c r="E567" s="703"/>
      <c r="F567" s="703"/>
      <c r="G567" s="703"/>
      <c r="H567" s="703"/>
      <c r="I567" s="703"/>
      <c r="J567" s="703"/>
      <c r="K567" s="703"/>
      <c r="L567" s="703"/>
      <c r="M567" s="703"/>
      <c r="N567" s="703"/>
      <c r="O567" s="703"/>
      <c r="P567" s="703"/>
      <c r="Q567" s="703"/>
      <c r="R567" s="703"/>
      <c r="S567" s="703"/>
      <c r="T567" s="703"/>
      <c r="U567" s="703"/>
      <c r="V567" s="703"/>
      <c r="W567" s="703"/>
      <c r="X567" s="703"/>
      <c r="Y567" s="703"/>
      <c r="Z567" s="703"/>
    </row>
    <row r="568">
      <c r="A568" s="703"/>
      <c r="B568" s="703"/>
      <c r="C568" s="703"/>
      <c r="D568" s="703"/>
      <c r="E568" s="703"/>
      <c r="F568" s="703"/>
      <c r="G568" s="703"/>
      <c r="H568" s="703"/>
      <c r="I568" s="703"/>
      <c r="J568" s="703"/>
      <c r="K568" s="703"/>
      <c r="L568" s="703"/>
      <c r="M568" s="703"/>
      <c r="N568" s="703"/>
      <c r="O568" s="703"/>
      <c r="P568" s="703"/>
      <c r="Q568" s="703"/>
      <c r="R568" s="703"/>
      <c r="S568" s="703"/>
      <c r="T568" s="703"/>
      <c r="U568" s="703"/>
      <c r="V568" s="703"/>
      <c r="W568" s="703"/>
      <c r="X568" s="703"/>
      <c r="Y568" s="703"/>
      <c r="Z568" s="703"/>
    </row>
    <row r="569">
      <c r="A569" s="703"/>
      <c r="B569" s="703"/>
      <c r="C569" s="703"/>
      <c r="D569" s="703"/>
      <c r="E569" s="703"/>
      <c r="F569" s="703"/>
      <c r="G569" s="703"/>
      <c r="H569" s="703"/>
      <c r="I569" s="703"/>
      <c r="J569" s="703"/>
      <c r="K569" s="703"/>
      <c r="L569" s="703"/>
      <c r="M569" s="703"/>
      <c r="N569" s="703"/>
      <c r="O569" s="703"/>
      <c r="P569" s="703"/>
      <c r="Q569" s="703"/>
      <c r="R569" s="703"/>
      <c r="S569" s="703"/>
      <c r="T569" s="703"/>
      <c r="U569" s="703"/>
      <c r="V569" s="703"/>
      <c r="W569" s="703"/>
      <c r="X569" s="703"/>
      <c r="Y569" s="703"/>
      <c r="Z569" s="703"/>
    </row>
    <row r="570">
      <c r="A570" s="703"/>
      <c r="B570" s="703"/>
      <c r="C570" s="703"/>
      <c r="D570" s="703"/>
      <c r="E570" s="703"/>
      <c r="F570" s="703"/>
      <c r="G570" s="703"/>
      <c r="H570" s="703"/>
      <c r="I570" s="703"/>
      <c r="J570" s="703"/>
      <c r="K570" s="703"/>
      <c r="L570" s="703"/>
      <c r="M570" s="703"/>
      <c r="N570" s="703"/>
      <c r="O570" s="703"/>
      <c r="P570" s="703"/>
      <c r="Q570" s="703"/>
      <c r="R570" s="703"/>
      <c r="S570" s="703"/>
      <c r="T570" s="703"/>
      <c r="U570" s="703"/>
      <c r="V570" s="703"/>
      <c r="W570" s="703"/>
      <c r="X570" s="703"/>
      <c r="Y570" s="703"/>
      <c r="Z570" s="703"/>
    </row>
    <row r="571">
      <c r="A571" s="703"/>
      <c r="B571" s="703"/>
      <c r="C571" s="703"/>
      <c r="D571" s="703"/>
      <c r="E571" s="703"/>
      <c r="F571" s="703"/>
      <c r="G571" s="703"/>
      <c r="H571" s="703"/>
      <c r="I571" s="703"/>
      <c r="J571" s="703"/>
      <c r="K571" s="703"/>
      <c r="L571" s="703"/>
      <c r="M571" s="703"/>
      <c r="N571" s="703"/>
      <c r="O571" s="703"/>
      <c r="P571" s="703"/>
      <c r="Q571" s="703"/>
      <c r="R571" s="703"/>
      <c r="S571" s="703"/>
      <c r="T571" s="703"/>
      <c r="U571" s="703"/>
      <c r="V571" s="703"/>
      <c r="W571" s="703"/>
      <c r="X571" s="703"/>
      <c r="Y571" s="703"/>
      <c r="Z571" s="703"/>
    </row>
    <row r="572">
      <c r="A572" s="703"/>
      <c r="B572" s="703"/>
      <c r="C572" s="703"/>
      <c r="D572" s="703"/>
      <c r="E572" s="703"/>
      <c r="F572" s="703"/>
      <c r="G572" s="703"/>
      <c r="H572" s="703"/>
      <c r="I572" s="703"/>
      <c r="J572" s="703"/>
      <c r="K572" s="703"/>
      <c r="L572" s="703"/>
      <c r="M572" s="703"/>
      <c r="N572" s="703"/>
      <c r="O572" s="703"/>
      <c r="P572" s="703"/>
      <c r="Q572" s="703"/>
      <c r="R572" s="703"/>
      <c r="S572" s="703"/>
      <c r="T572" s="703"/>
      <c r="U572" s="703"/>
      <c r="V572" s="703"/>
      <c r="W572" s="703"/>
      <c r="X572" s="703"/>
      <c r="Y572" s="703"/>
      <c r="Z572" s="703"/>
    </row>
    <row r="573">
      <c r="A573" s="703"/>
      <c r="B573" s="703"/>
      <c r="C573" s="703"/>
      <c r="D573" s="703"/>
      <c r="E573" s="703"/>
      <c r="F573" s="703"/>
      <c r="G573" s="703"/>
      <c r="H573" s="703"/>
      <c r="I573" s="703"/>
      <c r="J573" s="703"/>
      <c r="K573" s="703"/>
      <c r="L573" s="703"/>
      <c r="M573" s="703"/>
      <c r="N573" s="703"/>
      <c r="O573" s="703"/>
      <c r="P573" s="703"/>
      <c r="Q573" s="703"/>
      <c r="R573" s="703"/>
      <c r="S573" s="703"/>
      <c r="T573" s="703"/>
      <c r="U573" s="703"/>
      <c r="V573" s="703"/>
      <c r="W573" s="703"/>
      <c r="X573" s="703"/>
      <c r="Y573" s="703"/>
      <c r="Z573" s="703"/>
    </row>
    <row r="574">
      <c r="A574" s="703"/>
      <c r="B574" s="703"/>
      <c r="C574" s="703"/>
      <c r="D574" s="703"/>
      <c r="E574" s="703"/>
      <c r="F574" s="703"/>
      <c r="G574" s="703"/>
      <c r="H574" s="703"/>
      <c r="I574" s="703"/>
      <c r="J574" s="703"/>
      <c r="K574" s="703"/>
      <c r="L574" s="703"/>
      <c r="M574" s="703"/>
      <c r="N574" s="703"/>
      <c r="O574" s="703"/>
      <c r="P574" s="703"/>
      <c r="Q574" s="703"/>
      <c r="R574" s="703"/>
      <c r="S574" s="703"/>
      <c r="T574" s="703"/>
      <c r="U574" s="703"/>
      <c r="V574" s="703"/>
      <c r="W574" s="703"/>
      <c r="X574" s="703"/>
      <c r="Y574" s="703"/>
      <c r="Z574" s="703"/>
    </row>
    <row r="575">
      <c r="A575" s="703"/>
      <c r="B575" s="703"/>
      <c r="C575" s="703"/>
      <c r="D575" s="703"/>
      <c r="E575" s="703"/>
      <c r="F575" s="703"/>
      <c r="G575" s="703"/>
      <c r="H575" s="703"/>
      <c r="I575" s="703"/>
      <c r="J575" s="703"/>
      <c r="K575" s="703"/>
      <c r="L575" s="703"/>
      <c r="M575" s="703"/>
      <c r="N575" s="703"/>
      <c r="O575" s="703"/>
      <c r="P575" s="703"/>
      <c r="Q575" s="703"/>
      <c r="R575" s="703"/>
      <c r="S575" s="703"/>
      <c r="T575" s="703"/>
      <c r="U575" s="703"/>
      <c r="V575" s="703"/>
      <c r="W575" s="703"/>
      <c r="X575" s="703"/>
      <c r="Y575" s="703"/>
      <c r="Z575" s="703"/>
    </row>
    <row r="576">
      <c r="A576" s="703"/>
      <c r="B576" s="703"/>
      <c r="C576" s="703"/>
      <c r="D576" s="703"/>
      <c r="E576" s="703"/>
      <c r="F576" s="703"/>
      <c r="G576" s="703"/>
      <c r="H576" s="703"/>
      <c r="I576" s="703"/>
      <c r="J576" s="703"/>
      <c r="K576" s="703"/>
      <c r="L576" s="703"/>
      <c r="M576" s="703"/>
      <c r="N576" s="703"/>
      <c r="O576" s="703"/>
      <c r="P576" s="703"/>
      <c r="Q576" s="703"/>
      <c r="R576" s="703"/>
      <c r="S576" s="703"/>
      <c r="T576" s="703"/>
      <c r="U576" s="703"/>
      <c r="V576" s="703"/>
      <c r="W576" s="703"/>
      <c r="X576" s="703"/>
      <c r="Y576" s="703"/>
      <c r="Z576" s="703"/>
    </row>
    <row r="577">
      <c r="A577" s="703"/>
      <c r="B577" s="703"/>
      <c r="C577" s="703"/>
      <c r="D577" s="703"/>
      <c r="E577" s="703"/>
      <c r="F577" s="703"/>
      <c r="G577" s="703"/>
      <c r="H577" s="703"/>
      <c r="I577" s="703"/>
      <c r="J577" s="703"/>
      <c r="K577" s="703"/>
      <c r="L577" s="703"/>
      <c r="M577" s="703"/>
      <c r="N577" s="703"/>
      <c r="O577" s="703"/>
      <c r="P577" s="703"/>
      <c r="Q577" s="703"/>
      <c r="R577" s="703"/>
      <c r="S577" s="703"/>
      <c r="T577" s="703"/>
      <c r="U577" s="703"/>
      <c r="V577" s="703"/>
      <c r="W577" s="703"/>
      <c r="X577" s="703"/>
      <c r="Y577" s="703"/>
      <c r="Z577" s="703"/>
    </row>
    <row r="578">
      <c r="A578" s="703"/>
      <c r="B578" s="703"/>
      <c r="C578" s="703"/>
      <c r="D578" s="703"/>
      <c r="E578" s="703"/>
      <c r="F578" s="703"/>
      <c r="G578" s="703"/>
      <c r="H578" s="703"/>
      <c r="I578" s="703"/>
      <c r="J578" s="703"/>
      <c r="K578" s="703"/>
      <c r="L578" s="703"/>
      <c r="M578" s="703"/>
      <c r="N578" s="703"/>
      <c r="O578" s="703"/>
      <c r="P578" s="703"/>
      <c r="Q578" s="703"/>
      <c r="R578" s="703"/>
      <c r="S578" s="703"/>
      <c r="T578" s="703"/>
      <c r="U578" s="703"/>
      <c r="V578" s="703"/>
      <c r="W578" s="703"/>
      <c r="X578" s="703"/>
      <c r="Y578" s="703"/>
      <c r="Z578" s="703"/>
    </row>
    <row r="579">
      <c r="A579" s="703"/>
      <c r="B579" s="703"/>
      <c r="C579" s="703"/>
      <c r="D579" s="703"/>
      <c r="E579" s="703"/>
      <c r="F579" s="703"/>
      <c r="G579" s="703"/>
      <c r="H579" s="703"/>
      <c r="I579" s="703"/>
      <c r="J579" s="703"/>
      <c r="K579" s="703"/>
      <c r="L579" s="703"/>
      <c r="M579" s="703"/>
      <c r="N579" s="703"/>
      <c r="O579" s="703"/>
      <c r="P579" s="703"/>
      <c r="Q579" s="703"/>
      <c r="R579" s="703"/>
      <c r="S579" s="703"/>
      <c r="T579" s="703"/>
      <c r="U579" s="703"/>
      <c r="V579" s="703"/>
      <c r="W579" s="703"/>
      <c r="X579" s="703"/>
      <c r="Y579" s="703"/>
      <c r="Z579" s="703"/>
    </row>
    <row r="580">
      <c r="A580" s="703"/>
      <c r="B580" s="703"/>
      <c r="C580" s="703"/>
      <c r="D580" s="703"/>
      <c r="E580" s="703"/>
      <c r="F580" s="703"/>
      <c r="G580" s="703"/>
      <c r="H580" s="703"/>
      <c r="I580" s="703"/>
      <c r="J580" s="703"/>
      <c r="K580" s="703"/>
      <c r="L580" s="703"/>
      <c r="M580" s="703"/>
      <c r="N580" s="703"/>
      <c r="O580" s="703"/>
      <c r="P580" s="703"/>
      <c r="Q580" s="703"/>
      <c r="R580" s="703"/>
      <c r="S580" s="703"/>
      <c r="T580" s="703"/>
      <c r="U580" s="703"/>
      <c r="V580" s="703"/>
      <c r="W580" s="703"/>
      <c r="X580" s="703"/>
      <c r="Y580" s="703"/>
      <c r="Z580" s="703"/>
    </row>
    <row r="581">
      <c r="A581" s="703"/>
      <c r="B581" s="703"/>
      <c r="C581" s="703"/>
      <c r="D581" s="703"/>
      <c r="E581" s="703"/>
      <c r="F581" s="703"/>
      <c r="G581" s="703"/>
      <c r="H581" s="703"/>
      <c r="I581" s="703"/>
      <c r="J581" s="703"/>
      <c r="K581" s="703"/>
      <c r="L581" s="703"/>
      <c r="M581" s="703"/>
      <c r="N581" s="703"/>
      <c r="O581" s="703"/>
      <c r="P581" s="703"/>
      <c r="Q581" s="703"/>
      <c r="R581" s="703"/>
      <c r="S581" s="703"/>
      <c r="T581" s="703"/>
      <c r="U581" s="703"/>
      <c r="V581" s="703"/>
      <c r="W581" s="703"/>
      <c r="X581" s="703"/>
      <c r="Y581" s="703"/>
      <c r="Z581" s="703"/>
    </row>
    <row r="582">
      <c r="A582" s="703"/>
      <c r="B582" s="703"/>
      <c r="C582" s="703"/>
      <c r="D582" s="703"/>
      <c r="E582" s="703"/>
      <c r="F582" s="703"/>
      <c r="G582" s="703"/>
      <c r="H582" s="703"/>
      <c r="I582" s="703"/>
      <c r="J582" s="703"/>
      <c r="K582" s="703"/>
      <c r="L582" s="703"/>
      <c r="M582" s="703"/>
      <c r="N582" s="703"/>
      <c r="O582" s="703"/>
      <c r="P582" s="703"/>
      <c r="Q582" s="703"/>
      <c r="R582" s="703"/>
      <c r="S582" s="703"/>
      <c r="T582" s="703"/>
      <c r="U582" s="703"/>
      <c r="V582" s="703"/>
      <c r="W582" s="703"/>
      <c r="X582" s="703"/>
      <c r="Y582" s="703"/>
      <c r="Z582" s="703"/>
    </row>
    <row r="583">
      <c r="A583" s="703"/>
      <c r="B583" s="703"/>
      <c r="C583" s="703"/>
      <c r="D583" s="703"/>
      <c r="E583" s="703"/>
      <c r="F583" s="703"/>
      <c r="G583" s="703"/>
      <c r="H583" s="703"/>
      <c r="I583" s="703"/>
      <c r="J583" s="703"/>
      <c r="K583" s="703"/>
      <c r="L583" s="703"/>
      <c r="M583" s="703"/>
      <c r="N583" s="703"/>
      <c r="O583" s="703"/>
      <c r="P583" s="703"/>
      <c r="Q583" s="703"/>
      <c r="R583" s="703"/>
      <c r="S583" s="703"/>
      <c r="T583" s="703"/>
      <c r="U583" s="703"/>
      <c r="V583" s="703"/>
      <c r="W583" s="703"/>
      <c r="X583" s="703"/>
      <c r="Y583" s="703"/>
      <c r="Z583" s="703"/>
    </row>
    <row r="584">
      <c r="A584" s="703"/>
      <c r="B584" s="703"/>
      <c r="C584" s="703"/>
      <c r="D584" s="703"/>
      <c r="E584" s="703"/>
      <c r="F584" s="703"/>
      <c r="G584" s="703"/>
      <c r="H584" s="703"/>
      <c r="I584" s="703"/>
      <c r="J584" s="703"/>
      <c r="K584" s="703"/>
      <c r="L584" s="703"/>
      <c r="M584" s="703"/>
      <c r="N584" s="703"/>
      <c r="O584" s="703"/>
      <c r="P584" s="703"/>
      <c r="Q584" s="703"/>
      <c r="R584" s="703"/>
      <c r="S584" s="703"/>
      <c r="T584" s="703"/>
      <c r="U584" s="703"/>
      <c r="V584" s="703"/>
      <c r="W584" s="703"/>
      <c r="X584" s="703"/>
      <c r="Y584" s="703"/>
      <c r="Z584" s="703"/>
    </row>
    <row r="585">
      <c r="A585" s="703"/>
      <c r="B585" s="703"/>
      <c r="C585" s="703"/>
      <c r="D585" s="703"/>
      <c r="E585" s="703"/>
      <c r="F585" s="703"/>
      <c r="G585" s="703"/>
      <c r="H585" s="703"/>
      <c r="I585" s="703"/>
      <c r="J585" s="703"/>
      <c r="K585" s="703"/>
      <c r="L585" s="703"/>
      <c r="M585" s="703"/>
      <c r="N585" s="703"/>
      <c r="O585" s="703"/>
      <c r="P585" s="703"/>
      <c r="Q585" s="703"/>
      <c r="R585" s="703"/>
      <c r="S585" s="703"/>
      <c r="T585" s="703"/>
      <c r="U585" s="703"/>
      <c r="V585" s="703"/>
      <c r="W585" s="703"/>
      <c r="X585" s="703"/>
      <c r="Y585" s="703"/>
      <c r="Z585" s="703"/>
    </row>
    <row r="586">
      <c r="A586" s="703"/>
      <c r="B586" s="703"/>
      <c r="C586" s="703"/>
      <c r="D586" s="703"/>
      <c r="E586" s="703"/>
      <c r="F586" s="703"/>
      <c r="G586" s="703"/>
      <c r="H586" s="703"/>
      <c r="I586" s="703"/>
      <c r="J586" s="703"/>
      <c r="K586" s="703"/>
      <c r="L586" s="703"/>
      <c r="M586" s="703"/>
      <c r="N586" s="703"/>
      <c r="O586" s="703"/>
      <c r="P586" s="703"/>
      <c r="Q586" s="703"/>
      <c r="R586" s="703"/>
      <c r="S586" s="703"/>
      <c r="T586" s="703"/>
      <c r="U586" s="703"/>
      <c r="V586" s="703"/>
      <c r="W586" s="703"/>
      <c r="X586" s="703"/>
      <c r="Y586" s="703"/>
      <c r="Z586" s="703"/>
    </row>
    <row r="587">
      <c r="A587" s="703"/>
      <c r="B587" s="703"/>
      <c r="C587" s="703"/>
      <c r="D587" s="703"/>
      <c r="E587" s="703"/>
      <c r="F587" s="703"/>
      <c r="G587" s="703"/>
      <c r="H587" s="703"/>
      <c r="I587" s="703"/>
      <c r="J587" s="703"/>
      <c r="K587" s="703"/>
      <c r="L587" s="703"/>
      <c r="M587" s="703"/>
      <c r="N587" s="703"/>
      <c r="O587" s="703"/>
      <c r="P587" s="703"/>
      <c r="Q587" s="703"/>
      <c r="R587" s="703"/>
      <c r="S587" s="703"/>
      <c r="T587" s="703"/>
      <c r="U587" s="703"/>
      <c r="V587" s="703"/>
      <c r="W587" s="703"/>
      <c r="X587" s="703"/>
      <c r="Y587" s="703"/>
      <c r="Z587" s="703"/>
    </row>
    <row r="588">
      <c r="A588" s="703"/>
      <c r="B588" s="703"/>
      <c r="C588" s="703"/>
      <c r="D588" s="703"/>
      <c r="E588" s="703"/>
      <c r="F588" s="703"/>
      <c r="G588" s="703"/>
      <c r="H588" s="703"/>
      <c r="I588" s="703"/>
      <c r="J588" s="703"/>
      <c r="K588" s="703"/>
      <c r="L588" s="703"/>
      <c r="M588" s="703"/>
      <c r="N588" s="703"/>
      <c r="O588" s="703"/>
      <c r="P588" s="703"/>
      <c r="Q588" s="703"/>
      <c r="R588" s="703"/>
      <c r="S588" s="703"/>
      <c r="T588" s="703"/>
      <c r="U588" s="703"/>
      <c r="V588" s="703"/>
      <c r="W588" s="703"/>
      <c r="X588" s="703"/>
      <c r="Y588" s="703"/>
      <c r="Z588" s="703"/>
    </row>
    <row r="589">
      <c r="A589" s="703"/>
      <c r="B589" s="703"/>
      <c r="C589" s="703"/>
      <c r="D589" s="703"/>
      <c r="E589" s="703"/>
      <c r="F589" s="703"/>
      <c r="G589" s="703"/>
      <c r="H589" s="703"/>
      <c r="I589" s="703"/>
      <c r="J589" s="703"/>
      <c r="K589" s="703"/>
      <c r="L589" s="703"/>
      <c r="M589" s="703"/>
      <c r="N589" s="703"/>
      <c r="O589" s="703"/>
      <c r="P589" s="703"/>
      <c r="Q589" s="703"/>
      <c r="R589" s="703"/>
      <c r="S589" s="703"/>
      <c r="T589" s="703"/>
      <c r="U589" s="703"/>
      <c r="V589" s="703"/>
      <c r="W589" s="703"/>
      <c r="X589" s="703"/>
      <c r="Y589" s="703"/>
      <c r="Z589" s="703"/>
    </row>
    <row r="590">
      <c r="A590" s="703"/>
      <c r="B590" s="703"/>
      <c r="C590" s="703"/>
      <c r="D590" s="703"/>
      <c r="E590" s="703"/>
      <c r="F590" s="703"/>
      <c r="G590" s="703"/>
      <c r="H590" s="703"/>
      <c r="I590" s="703"/>
      <c r="J590" s="703"/>
      <c r="K590" s="703"/>
      <c r="L590" s="703"/>
      <c r="M590" s="703"/>
      <c r="N590" s="703"/>
      <c r="O590" s="703"/>
      <c r="P590" s="703"/>
      <c r="Q590" s="703"/>
      <c r="R590" s="703"/>
      <c r="S590" s="703"/>
      <c r="T590" s="703"/>
      <c r="U590" s="703"/>
      <c r="V590" s="703"/>
      <c r="W590" s="703"/>
      <c r="X590" s="703"/>
      <c r="Y590" s="703"/>
      <c r="Z590" s="703"/>
    </row>
    <row r="591">
      <c r="A591" s="703"/>
      <c r="B591" s="703"/>
      <c r="C591" s="703"/>
      <c r="D591" s="703"/>
      <c r="E591" s="703"/>
      <c r="F591" s="703"/>
      <c r="G591" s="703"/>
      <c r="H591" s="703"/>
      <c r="I591" s="703"/>
      <c r="J591" s="703"/>
      <c r="K591" s="703"/>
      <c r="L591" s="703"/>
      <c r="M591" s="703"/>
      <c r="N591" s="703"/>
      <c r="O591" s="703"/>
      <c r="P591" s="703"/>
      <c r="Q591" s="703"/>
      <c r="R591" s="703"/>
      <c r="S591" s="703"/>
      <c r="T591" s="703"/>
      <c r="U591" s="703"/>
      <c r="V591" s="703"/>
      <c r="W591" s="703"/>
      <c r="X591" s="703"/>
      <c r="Y591" s="703"/>
      <c r="Z591" s="703"/>
    </row>
    <row r="592">
      <c r="A592" s="703"/>
      <c r="B592" s="703"/>
      <c r="C592" s="703"/>
      <c r="D592" s="703"/>
      <c r="E592" s="703"/>
      <c r="F592" s="703"/>
      <c r="G592" s="703"/>
      <c r="H592" s="703"/>
      <c r="I592" s="703"/>
      <c r="J592" s="703"/>
      <c r="K592" s="703"/>
      <c r="L592" s="703"/>
      <c r="M592" s="703"/>
      <c r="N592" s="703"/>
      <c r="O592" s="703"/>
      <c r="P592" s="703"/>
      <c r="Q592" s="703"/>
      <c r="R592" s="703"/>
      <c r="S592" s="703"/>
      <c r="T592" s="703"/>
      <c r="U592" s="703"/>
      <c r="V592" s="703"/>
      <c r="W592" s="703"/>
      <c r="X592" s="703"/>
      <c r="Y592" s="703"/>
      <c r="Z592" s="703"/>
    </row>
    <row r="593">
      <c r="A593" s="703"/>
      <c r="B593" s="703"/>
      <c r="C593" s="703"/>
      <c r="D593" s="703"/>
      <c r="E593" s="703"/>
      <c r="F593" s="703"/>
      <c r="G593" s="703"/>
      <c r="H593" s="703"/>
      <c r="I593" s="703"/>
      <c r="J593" s="703"/>
      <c r="K593" s="703"/>
      <c r="L593" s="703"/>
      <c r="M593" s="703"/>
      <c r="N593" s="703"/>
      <c r="O593" s="703"/>
      <c r="P593" s="703"/>
      <c r="Q593" s="703"/>
      <c r="R593" s="703"/>
      <c r="S593" s="703"/>
      <c r="T593" s="703"/>
      <c r="U593" s="703"/>
      <c r="V593" s="703"/>
      <c r="W593" s="703"/>
      <c r="X593" s="703"/>
      <c r="Y593" s="703"/>
      <c r="Z593" s="703"/>
    </row>
    <row r="594">
      <c r="A594" s="703"/>
      <c r="B594" s="703"/>
      <c r="C594" s="703"/>
      <c r="D594" s="703"/>
      <c r="E594" s="703"/>
      <c r="F594" s="703"/>
      <c r="G594" s="703"/>
      <c r="H594" s="703"/>
      <c r="I594" s="703"/>
      <c r="J594" s="703"/>
      <c r="K594" s="703"/>
      <c r="L594" s="703"/>
      <c r="M594" s="703"/>
      <c r="N594" s="703"/>
      <c r="O594" s="703"/>
      <c r="P594" s="703"/>
      <c r="Q594" s="703"/>
      <c r="R594" s="703"/>
      <c r="S594" s="703"/>
      <c r="T594" s="703"/>
      <c r="U594" s="703"/>
      <c r="V594" s="703"/>
      <c r="W594" s="703"/>
      <c r="X594" s="703"/>
      <c r="Y594" s="703"/>
      <c r="Z594" s="703"/>
    </row>
    <row r="595">
      <c r="A595" s="703"/>
      <c r="B595" s="703"/>
      <c r="C595" s="703"/>
      <c r="D595" s="703"/>
      <c r="E595" s="703"/>
      <c r="F595" s="703"/>
      <c r="G595" s="703"/>
      <c r="H595" s="703"/>
      <c r="I595" s="703"/>
      <c r="J595" s="703"/>
      <c r="K595" s="703"/>
      <c r="L595" s="703"/>
      <c r="M595" s="703"/>
      <c r="N595" s="703"/>
      <c r="O595" s="703"/>
      <c r="P595" s="703"/>
      <c r="Q595" s="703"/>
      <c r="R595" s="703"/>
      <c r="S595" s="703"/>
      <c r="T595" s="703"/>
      <c r="U595" s="703"/>
      <c r="V595" s="703"/>
      <c r="W595" s="703"/>
      <c r="X595" s="703"/>
      <c r="Y595" s="703"/>
      <c r="Z595" s="703"/>
    </row>
    <row r="596">
      <c r="A596" s="703"/>
      <c r="B596" s="703"/>
      <c r="C596" s="703"/>
      <c r="D596" s="703"/>
      <c r="E596" s="703"/>
      <c r="F596" s="703"/>
      <c r="G596" s="703"/>
      <c r="H596" s="703"/>
      <c r="I596" s="703"/>
      <c r="J596" s="703"/>
      <c r="K596" s="703"/>
      <c r="L596" s="703"/>
      <c r="M596" s="703"/>
      <c r="N596" s="703"/>
      <c r="O596" s="703"/>
      <c r="P596" s="703"/>
      <c r="Q596" s="703"/>
      <c r="R596" s="703"/>
      <c r="S596" s="703"/>
      <c r="T596" s="703"/>
      <c r="U596" s="703"/>
      <c r="V596" s="703"/>
      <c r="W596" s="703"/>
      <c r="X596" s="703"/>
      <c r="Y596" s="703"/>
      <c r="Z596" s="703"/>
    </row>
    <row r="597">
      <c r="A597" s="703"/>
      <c r="B597" s="703"/>
      <c r="C597" s="703"/>
      <c r="D597" s="703"/>
      <c r="E597" s="703"/>
      <c r="F597" s="703"/>
      <c r="G597" s="703"/>
      <c r="H597" s="703"/>
      <c r="I597" s="703"/>
      <c r="J597" s="703"/>
      <c r="K597" s="703"/>
      <c r="L597" s="703"/>
      <c r="M597" s="703"/>
      <c r="N597" s="703"/>
      <c r="O597" s="703"/>
      <c r="P597" s="703"/>
      <c r="Q597" s="703"/>
      <c r="R597" s="703"/>
      <c r="S597" s="703"/>
      <c r="T597" s="703"/>
      <c r="U597" s="703"/>
      <c r="V597" s="703"/>
      <c r="W597" s="703"/>
      <c r="X597" s="703"/>
      <c r="Y597" s="703"/>
      <c r="Z597" s="703"/>
    </row>
    <row r="598">
      <c r="A598" s="703"/>
      <c r="B598" s="703"/>
      <c r="C598" s="703"/>
      <c r="D598" s="703"/>
      <c r="E598" s="703"/>
      <c r="F598" s="703"/>
      <c r="G598" s="703"/>
      <c r="H598" s="703"/>
      <c r="I598" s="703"/>
      <c r="J598" s="703"/>
      <c r="K598" s="703"/>
      <c r="L598" s="703"/>
      <c r="M598" s="703"/>
      <c r="N598" s="703"/>
      <c r="O598" s="703"/>
      <c r="P598" s="703"/>
      <c r="Q598" s="703"/>
      <c r="R598" s="703"/>
      <c r="S598" s="703"/>
      <c r="T598" s="703"/>
      <c r="U598" s="703"/>
      <c r="V598" s="703"/>
      <c r="W598" s="703"/>
      <c r="X598" s="703"/>
      <c r="Y598" s="703"/>
      <c r="Z598" s="703"/>
    </row>
    <row r="599">
      <c r="A599" s="703"/>
      <c r="B599" s="703"/>
      <c r="C599" s="703"/>
      <c r="D599" s="703"/>
      <c r="E599" s="703"/>
      <c r="F599" s="703"/>
      <c r="G599" s="703"/>
      <c r="H599" s="703"/>
      <c r="I599" s="703"/>
      <c r="J599" s="703"/>
      <c r="K599" s="703"/>
      <c r="L599" s="703"/>
      <c r="M599" s="703"/>
      <c r="N599" s="703"/>
      <c r="O599" s="703"/>
      <c r="P599" s="703"/>
      <c r="Q599" s="703"/>
      <c r="R599" s="703"/>
      <c r="S599" s="703"/>
      <c r="T599" s="703"/>
      <c r="U599" s="703"/>
      <c r="V599" s="703"/>
      <c r="W599" s="703"/>
      <c r="X599" s="703"/>
      <c r="Y599" s="703"/>
      <c r="Z599" s="703"/>
    </row>
    <row r="600">
      <c r="A600" s="703"/>
      <c r="B600" s="703"/>
      <c r="C600" s="703"/>
      <c r="D600" s="703"/>
      <c r="E600" s="703"/>
      <c r="F600" s="703"/>
      <c r="G600" s="703"/>
      <c r="H600" s="703"/>
      <c r="I600" s="703"/>
      <c r="J600" s="703"/>
      <c r="K600" s="703"/>
      <c r="L600" s="703"/>
      <c r="M600" s="703"/>
      <c r="N600" s="703"/>
      <c r="O600" s="703"/>
      <c r="P600" s="703"/>
      <c r="Q600" s="703"/>
      <c r="R600" s="703"/>
      <c r="S600" s="703"/>
      <c r="T600" s="703"/>
      <c r="U600" s="703"/>
      <c r="V600" s="703"/>
      <c r="W600" s="703"/>
      <c r="X600" s="703"/>
      <c r="Y600" s="703"/>
      <c r="Z600" s="703"/>
    </row>
    <row r="601">
      <c r="A601" s="703"/>
      <c r="B601" s="703"/>
      <c r="C601" s="703"/>
      <c r="D601" s="703"/>
      <c r="E601" s="703"/>
      <c r="F601" s="703"/>
      <c r="G601" s="703"/>
      <c r="H601" s="703"/>
      <c r="I601" s="703"/>
      <c r="J601" s="703"/>
      <c r="K601" s="703"/>
      <c r="L601" s="703"/>
      <c r="M601" s="703"/>
      <c r="N601" s="703"/>
      <c r="O601" s="703"/>
      <c r="P601" s="703"/>
      <c r="Q601" s="703"/>
      <c r="R601" s="703"/>
      <c r="S601" s="703"/>
      <c r="T601" s="703"/>
      <c r="U601" s="703"/>
      <c r="V601" s="703"/>
      <c r="W601" s="703"/>
      <c r="X601" s="703"/>
      <c r="Y601" s="703"/>
      <c r="Z601" s="703"/>
    </row>
    <row r="602">
      <c r="A602" s="703"/>
      <c r="B602" s="703"/>
      <c r="C602" s="703"/>
      <c r="D602" s="703"/>
      <c r="E602" s="703"/>
      <c r="F602" s="703"/>
      <c r="G602" s="703"/>
      <c r="H602" s="703"/>
      <c r="I602" s="703"/>
      <c r="J602" s="703"/>
      <c r="K602" s="703"/>
      <c r="L602" s="703"/>
      <c r="M602" s="703"/>
      <c r="N602" s="703"/>
      <c r="O602" s="703"/>
      <c r="P602" s="703"/>
      <c r="Q602" s="703"/>
      <c r="R602" s="703"/>
      <c r="S602" s="703"/>
      <c r="T602" s="703"/>
      <c r="U602" s="703"/>
      <c r="V602" s="703"/>
      <c r="W602" s="703"/>
      <c r="X602" s="703"/>
      <c r="Y602" s="703"/>
      <c r="Z602" s="703"/>
    </row>
    <row r="603">
      <c r="A603" s="703"/>
      <c r="B603" s="703"/>
      <c r="C603" s="703"/>
      <c r="D603" s="703"/>
      <c r="E603" s="703"/>
      <c r="F603" s="703"/>
      <c r="G603" s="703"/>
      <c r="H603" s="703"/>
      <c r="I603" s="703"/>
      <c r="J603" s="703"/>
      <c r="K603" s="703"/>
      <c r="L603" s="703"/>
      <c r="M603" s="703"/>
      <c r="N603" s="703"/>
      <c r="O603" s="703"/>
      <c r="P603" s="703"/>
      <c r="Q603" s="703"/>
      <c r="R603" s="703"/>
      <c r="S603" s="703"/>
      <c r="T603" s="703"/>
      <c r="U603" s="703"/>
      <c r="V603" s="703"/>
      <c r="W603" s="703"/>
      <c r="X603" s="703"/>
      <c r="Y603" s="703"/>
      <c r="Z603" s="703"/>
    </row>
    <row r="604">
      <c r="A604" s="703"/>
      <c r="B604" s="703"/>
      <c r="C604" s="703"/>
      <c r="D604" s="703"/>
      <c r="E604" s="703"/>
      <c r="F604" s="703"/>
      <c r="G604" s="703"/>
      <c r="H604" s="703"/>
      <c r="I604" s="703"/>
      <c r="J604" s="703"/>
      <c r="K604" s="703"/>
      <c r="L604" s="703"/>
      <c r="M604" s="703"/>
      <c r="N604" s="703"/>
      <c r="O604" s="703"/>
      <c r="P604" s="703"/>
      <c r="Q604" s="703"/>
      <c r="R604" s="703"/>
      <c r="S604" s="703"/>
      <c r="T604" s="703"/>
      <c r="U604" s="703"/>
      <c r="V604" s="703"/>
      <c r="W604" s="703"/>
      <c r="X604" s="703"/>
      <c r="Y604" s="703"/>
      <c r="Z604" s="703"/>
    </row>
    <row r="605">
      <c r="A605" s="703"/>
      <c r="B605" s="703"/>
      <c r="C605" s="703"/>
      <c r="D605" s="703"/>
      <c r="E605" s="703"/>
      <c r="F605" s="703"/>
      <c r="G605" s="703"/>
      <c r="H605" s="703"/>
      <c r="I605" s="703"/>
      <c r="J605" s="703"/>
      <c r="K605" s="703"/>
      <c r="L605" s="703"/>
      <c r="M605" s="703"/>
      <c r="N605" s="703"/>
      <c r="O605" s="703"/>
      <c r="P605" s="703"/>
      <c r="Q605" s="703"/>
      <c r="R605" s="703"/>
      <c r="S605" s="703"/>
      <c r="T605" s="703"/>
      <c r="U605" s="703"/>
      <c r="V605" s="703"/>
      <c r="W605" s="703"/>
      <c r="X605" s="703"/>
      <c r="Y605" s="703"/>
      <c r="Z605" s="703"/>
    </row>
    <row r="606">
      <c r="A606" s="703"/>
      <c r="B606" s="703"/>
      <c r="C606" s="703"/>
      <c r="D606" s="703"/>
      <c r="E606" s="703"/>
      <c r="F606" s="703"/>
      <c r="G606" s="703"/>
      <c r="H606" s="703"/>
      <c r="I606" s="703"/>
      <c r="J606" s="703"/>
      <c r="K606" s="703"/>
      <c r="L606" s="703"/>
      <c r="M606" s="703"/>
      <c r="N606" s="703"/>
      <c r="O606" s="703"/>
      <c r="P606" s="703"/>
      <c r="Q606" s="703"/>
      <c r="R606" s="703"/>
      <c r="S606" s="703"/>
      <c r="T606" s="703"/>
      <c r="U606" s="703"/>
      <c r="V606" s="703"/>
      <c r="W606" s="703"/>
      <c r="X606" s="703"/>
      <c r="Y606" s="703"/>
      <c r="Z606" s="703"/>
    </row>
    <row r="607">
      <c r="A607" s="703"/>
      <c r="B607" s="703"/>
      <c r="C607" s="703"/>
      <c r="D607" s="703"/>
      <c r="E607" s="703"/>
      <c r="F607" s="703"/>
      <c r="G607" s="703"/>
      <c r="H607" s="703"/>
      <c r="I607" s="703"/>
      <c r="J607" s="703"/>
      <c r="K607" s="703"/>
      <c r="L607" s="703"/>
      <c r="M607" s="703"/>
      <c r="N607" s="703"/>
      <c r="O607" s="703"/>
      <c r="P607" s="703"/>
      <c r="Q607" s="703"/>
      <c r="R607" s="703"/>
      <c r="S607" s="703"/>
      <c r="T607" s="703"/>
      <c r="U607" s="703"/>
      <c r="V607" s="703"/>
      <c r="W607" s="703"/>
      <c r="X607" s="703"/>
      <c r="Y607" s="703"/>
      <c r="Z607" s="703"/>
    </row>
    <row r="608">
      <c r="A608" s="703"/>
      <c r="B608" s="703"/>
      <c r="C608" s="703"/>
      <c r="D608" s="703"/>
      <c r="E608" s="703"/>
      <c r="F608" s="703"/>
      <c r="G608" s="703"/>
      <c r="H608" s="703"/>
      <c r="I608" s="703"/>
      <c r="J608" s="703"/>
      <c r="K608" s="703"/>
      <c r="L608" s="703"/>
      <c r="M608" s="703"/>
      <c r="N608" s="703"/>
      <c r="O608" s="703"/>
      <c r="P608" s="703"/>
      <c r="Q608" s="703"/>
      <c r="R608" s="703"/>
      <c r="S608" s="703"/>
      <c r="T608" s="703"/>
      <c r="U608" s="703"/>
      <c r="V608" s="703"/>
      <c r="W608" s="703"/>
      <c r="X608" s="703"/>
      <c r="Y608" s="703"/>
      <c r="Z608" s="703"/>
    </row>
    <row r="609">
      <c r="A609" s="703"/>
      <c r="B609" s="703"/>
      <c r="C609" s="703"/>
      <c r="D609" s="703"/>
      <c r="E609" s="703"/>
      <c r="F609" s="703"/>
      <c r="G609" s="703"/>
      <c r="H609" s="703"/>
      <c r="I609" s="703"/>
      <c r="J609" s="703"/>
      <c r="K609" s="703"/>
      <c r="L609" s="703"/>
      <c r="M609" s="703"/>
      <c r="N609" s="703"/>
      <c r="O609" s="703"/>
      <c r="P609" s="703"/>
      <c r="Q609" s="703"/>
      <c r="R609" s="703"/>
      <c r="S609" s="703"/>
      <c r="T609" s="703"/>
      <c r="U609" s="703"/>
      <c r="V609" s="703"/>
      <c r="W609" s="703"/>
      <c r="X609" s="703"/>
      <c r="Y609" s="703"/>
      <c r="Z609" s="703"/>
    </row>
    <row r="610">
      <c r="A610" s="703"/>
      <c r="B610" s="703"/>
      <c r="C610" s="703"/>
      <c r="D610" s="703"/>
      <c r="E610" s="703"/>
      <c r="F610" s="703"/>
      <c r="G610" s="703"/>
      <c r="H610" s="703"/>
      <c r="I610" s="703"/>
      <c r="J610" s="703"/>
      <c r="K610" s="703"/>
      <c r="L610" s="703"/>
      <c r="M610" s="703"/>
      <c r="N610" s="703"/>
      <c r="O610" s="703"/>
      <c r="P610" s="703"/>
      <c r="Q610" s="703"/>
      <c r="R610" s="703"/>
      <c r="S610" s="703"/>
      <c r="T610" s="703"/>
      <c r="U610" s="703"/>
      <c r="V610" s="703"/>
      <c r="W610" s="703"/>
      <c r="X610" s="703"/>
      <c r="Y610" s="703"/>
      <c r="Z610" s="703"/>
    </row>
    <row r="611">
      <c r="A611" s="703"/>
      <c r="B611" s="703"/>
      <c r="C611" s="703"/>
      <c r="D611" s="703"/>
      <c r="E611" s="703"/>
      <c r="F611" s="703"/>
      <c r="G611" s="703"/>
      <c r="H611" s="703"/>
      <c r="I611" s="703"/>
      <c r="J611" s="703"/>
      <c r="K611" s="703"/>
      <c r="L611" s="703"/>
      <c r="M611" s="703"/>
      <c r="N611" s="703"/>
      <c r="O611" s="703"/>
      <c r="P611" s="703"/>
      <c r="Q611" s="703"/>
      <c r="R611" s="703"/>
      <c r="S611" s="703"/>
      <c r="T611" s="703"/>
      <c r="U611" s="703"/>
      <c r="V611" s="703"/>
      <c r="W611" s="703"/>
      <c r="X611" s="703"/>
      <c r="Y611" s="703"/>
      <c r="Z611" s="703"/>
    </row>
    <row r="612">
      <c r="A612" s="703"/>
      <c r="B612" s="703"/>
      <c r="C612" s="703"/>
      <c r="D612" s="703"/>
      <c r="E612" s="703"/>
      <c r="F612" s="703"/>
      <c r="G612" s="703"/>
      <c r="H612" s="703"/>
      <c r="I612" s="703"/>
      <c r="J612" s="703"/>
      <c r="K612" s="703"/>
      <c r="L612" s="703"/>
      <c r="M612" s="703"/>
      <c r="N612" s="703"/>
      <c r="O612" s="703"/>
      <c r="P612" s="703"/>
      <c r="Q612" s="703"/>
      <c r="R612" s="703"/>
      <c r="S612" s="703"/>
      <c r="T612" s="703"/>
      <c r="U612" s="703"/>
      <c r="V612" s="703"/>
      <c r="W612" s="703"/>
      <c r="X612" s="703"/>
      <c r="Y612" s="703"/>
      <c r="Z612" s="703"/>
    </row>
    <row r="613">
      <c r="A613" s="703"/>
      <c r="B613" s="703"/>
      <c r="C613" s="703"/>
      <c r="D613" s="703"/>
      <c r="E613" s="703"/>
      <c r="F613" s="703"/>
      <c r="G613" s="703"/>
      <c r="H613" s="703"/>
      <c r="I613" s="703"/>
      <c r="J613" s="703"/>
      <c r="K613" s="703"/>
      <c r="L613" s="703"/>
      <c r="M613" s="703"/>
      <c r="N613" s="703"/>
      <c r="O613" s="703"/>
      <c r="P613" s="703"/>
      <c r="Q613" s="703"/>
      <c r="R613" s="703"/>
      <c r="S613" s="703"/>
      <c r="T613" s="703"/>
      <c r="U613" s="703"/>
      <c r="V613" s="703"/>
      <c r="W613" s="703"/>
      <c r="X613" s="703"/>
      <c r="Y613" s="703"/>
      <c r="Z613" s="703"/>
    </row>
    <row r="614">
      <c r="A614" s="703"/>
      <c r="B614" s="703"/>
      <c r="C614" s="703"/>
      <c r="D614" s="703"/>
      <c r="E614" s="703"/>
      <c r="F614" s="703"/>
      <c r="G614" s="703"/>
      <c r="H614" s="703"/>
      <c r="I614" s="703"/>
      <c r="J614" s="703"/>
      <c r="K614" s="703"/>
      <c r="L614" s="703"/>
      <c r="M614" s="703"/>
      <c r="N614" s="703"/>
      <c r="O614" s="703"/>
      <c r="P614" s="703"/>
      <c r="Q614" s="703"/>
      <c r="R614" s="703"/>
      <c r="S614" s="703"/>
      <c r="T614" s="703"/>
      <c r="U614" s="703"/>
      <c r="V614" s="703"/>
      <c r="W614" s="703"/>
      <c r="X614" s="703"/>
      <c r="Y614" s="703"/>
      <c r="Z614" s="703"/>
    </row>
    <row r="615">
      <c r="A615" s="703"/>
      <c r="B615" s="703"/>
      <c r="C615" s="703"/>
      <c r="D615" s="703"/>
      <c r="E615" s="703"/>
      <c r="F615" s="703"/>
      <c r="G615" s="703"/>
      <c r="H615" s="703"/>
      <c r="I615" s="703"/>
      <c r="J615" s="703"/>
      <c r="K615" s="703"/>
      <c r="L615" s="703"/>
      <c r="M615" s="703"/>
      <c r="N615" s="703"/>
      <c r="O615" s="703"/>
      <c r="P615" s="703"/>
      <c r="Q615" s="703"/>
      <c r="R615" s="703"/>
      <c r="S615" s="703"/>
      <c r="T615" s="703"/>
      <c r="U615" s="703"/>
      <c r="V615" s="703"/>
      <c r="W615" s="703"/>
      <c r="X615" s="703"/>
      <c r="Y615" s="703"/>
      <c r="Z615" s="703"/>
    </row>
    <row r="616">
      <c r="A616" s="703"/>
      <c r="B616" s="703"/>
      <c r="C616" s="703"/>
      <c r="D616" s="703"/>
      <c r="E616" s="703"/>
      <c r="F616" s="703"/>
      <c r="G616" s="703"/>
      <c r="H616" s="703"/>
      <c r="I616" s="703"/>
      <c r="J616" s="703"/>
      <c r="K616" s="703"/>
      <c r="L616" s="703"/>
      <c r="M616" s="703"/>
      <c r="N616" s="703"/>
      <c r="O616" s="703"/>
      <c r="P616" s="703"/>
      <c r="Q616" s="703"/>
      <c r="R616" s="703"/>
      <c r="S616" s="703"/>
      <c r="T616" s="703"/>
      <c r="U616" s="703"/>
      <c r="V616" s="703"/>
      <c r="W616" s="703"/>
      <c r="X616" s="703"/>
      <c r="Y616" s="703"/>
      <c r="Z616" s="703"/>
    </row>
    <row r="617">
      <c r="A617" s="703"/>
      <c r="B617" s="703"/>
      <c r="C617" s="703"/>
      <c r="D617" s="703"/>
      <c r="E617" s="703"/>
      <c r="F617" s="703"/>
      <c r="G617" s="703"/>
      <c r="H617" s="703"/>
      <c r="I617" s="703"/>
      <c r="J617" s="703"/>
      <c r="K617" s="703"/>
      <c r="L617" s="703"/>
      <c r="M617" s="703"/>
      <c r="N617" s="703"/>
      <c r="O617" s="703"/>
      <c r="P617" s="703"/>
      <c r="Q617" s="703"/>
      <c r="R617" s="703"/>
      <c r="S617" s="703"/>
      <c r="T617" s="703"/>
      <c r="U617" s="703"/>
      <c r="V617" s="703"/>
      <c r="W617" s="703"/>
      <c r="X617" s="703"/>
      <c r="Y617" s="703"/>
      <c r="Z617" s="703"/>
    </row>
    <row r="618">
      <c r="A618" s="703"/>
      <c r="B618" s="703"/>
      <c r="C618" s="703"/>
      <c r="D618" s="703"/>
      <c r="E618" s="703"/>
      <c r="F618" s="703"/>
      <c r="G618" s="703"/>
      <c r="H618" s="703"/>
      <c r="I618" s="703"/>
      <c r="J618" s="703"/>
      <c r="K618" s="703"/>
      <c r="L618" s="703"/>
      <c r="M618" s="703"/>
      <c r="N618" s="703"/>
      <c r="O618" s="703"/>
      <c r="P618" s="703"/>
      <c r="Q618" s="703"/>
      <c r="R618" s="703"/>
      <c r="S618" s="703"/>
      <c r="T618" s="703"/>
      <c r="U618" s="703"/>
      <c r="V618" s="703"/>
      <c r="W618" s="703"/>
      <c r="X618" s="703"/>
      <c r="Y618" s="703"/>
      <c r="Z618" s="703"/>
    </row>
    <row r="619">
      <c r="A619" s="703"/>
      <c r="B619" s="703"/>
      <c r="C619" s="703"/>
      <c r="D619" s="703"/>
      <c r="E619" s="703"/>
      <c r="F619" s="703"/>
      <c r="G619" s="703"/>
      <c r="H619" s="703"/>
      <c r="I619" s="703"/>
      <c r="J619" s="703"/>
      <c r="K619" s="703"/>
      <c r="L619" s="703"/>
      <c r="M619" s="703"/>
      <c r="N619" s="703"/>
      <c r="O619" s="703"/>
      <c r="P619" s="703"/>
      <c r="Q619" s="703"/>
      <c r="R619" s="703"/>
      <c r="S619" s="703"/>
      <c r="T619" s="703"/>
      <c r="U619" s="703"/>
      <c r="V619" s="703"/>
      <c r="W619" s="703"/>
      <c r="X619" s="703"/>
      <c r="Y619" s="703"/>
      <c r="Z619" s="703"/>
    </row>
    <row r="620">
      <c r="A620" s="703"/>
      <c r="B620" s="703"/>
      <c r="C620" s="703"/>
      <c r="D620" s="703"/>
      <c r="E620" s="703"/>
      <c r="F620" s="703"/>
      <c r="G620" s="703"/>
      <c r="H620" s="703"/>
      <c r="I620" s="703"/>
      <c r="J620" s="703"/>
      <c r="K620" s="703"/>
      <c r="L620" s="703"/>
      <c r="M620" s="703"/>
      <c r="N620" s="703"/>
      <c r="O620" s="703"/>
      <c r="P620" s="703"/>
      <c r="Q620" s="703"/>
      <c r="R620" s="703"/>
      <c r="S620" s="703"/>
      <c r="T620" s="703"/>
      <c r="U620" s="703"/>
      <c r="V620" s="703"/>
      <c r="W620" s="703"/>
      <c r="X620" s="703"/>
      <c r="Y620" s="703"/>
      <c r="Z620" s="703"/>
    </row>
    <row r="621">
      <c r="A621" s="703"/>
      <c r="B621" s="703"/>
      <c r="C621" s="703"/>
      <c r="D621" s="703"/>
      <c r="E621" s="703"/>
      <c r="F621" s="703"/>
      <c r="G621" s="703"/>
      <c r="H621" s="703"/>
      <c r="I621" s="703"/>
      <c r="J621" s="703"/>
      <c r="K621" s="703"/>
      <c r="L621" s="703"/>
      <c r="M621" s="703"/>
      <c r="N621" s="703"/>
      <c r="O621" s="703"/>
      <c r="P621" s="703"/>
      <c r="Q621" s="703"/>
      <c r="R621" s="703"/>
      <c r="S621" s="703"/>
      <c r="T621" s="703"/>
      <c r="U621" s="703"/>
      <c r="V621" s="703"/>
      <c r="W621" s="703"/>
      <c r="X621" s="703"/>
      <c r="Y621" s="703"/>
      <c r="Z621" s="703"/>
    </row>
    <row r="622">
      <c r="A622" s="703"/>
      <c r="B622" s="703"/>
      <c r="C622" s="703"/>
      <c r="D622" s="703"/>
      <c r="E622" s="703"/>
      <c r="F622" s="703"/>
      <c r="G622" s="703"/>
      <c r="H622" s="703"/>
      <c r="I622" s="703"/>
      <c r="J622" s="703"/>
      <c r="K622" s="703"/>
      <c r="L622" s="703"/>
      <c r="M622" s="703"/>
      <c r="N622" s="703"/>
      <c r="O622" s="703"/>
      <c r="P622" s="703"/>
      <c r="Q622" s="703"/>
      <c r="R622" s="703"/>
      <c r="S622" s="703"/>
      <c r="T622" s="703"/>
      <c r="U622" s="703"/>
      <c r="V622" s="703"/>
      <c r="W622" s="703"/>
      <c r="X622" s="703"/>
      <c r="Y622" s="703"/>
      <c r="Z622" s="703"/>
    </row>
    <row r="623">
      <c r="A623" s="703"/>
      <c r="B623" s="703"/>
      <c r="C623" s="703"/>
      <c r="D623" s="703"/>
      <c r="E623" s="703"/>
      <c r="F623" s="703"/>
      <c r="G623" s="703"/>
      <c r="H623" s="703"/>
      <c r="I623" s="703"/>
      <c r="J623" s="703"/>
      <c r="K623" s="703"/>
      <c r="L623" s="703"/>
      <c r="M623" s="703"/>
      <c r="N623" s="703"/>
      <c r="O623" s="703"/>
      <c r="P623" s="703"/>
      <c r="Q623" s="703"/>
      <c r="R623" s="703"/>
      <c r="S623" s="703"/>
      <c r="T623" s="703"/>
      <c r="U623" s="703"/>
      <c r="V623" s="703"/>
      <c r="W623" s="703"/>
      <c r="X623" s="703"/>
      <c r="Y623" s="703"/>
      <c r="Z623" s="703"/>
    </row>
    <row r="624">
      <c r="A624" s="703"/>
      <c r="B624" s="703"/>
      <c r="C624" s="703"/>
      <c r="D624" s="703"/>
      <c r="E624" s="703"/>
      <c r="F624" s="703"/>
      <c r="G624" s="703"/>
      <c r="H624" s="703"/>
      <c r="I624" s="703"/>
      <c r="J624" s="703"/>
      <c r="K624" s="703"/>
      <c r="L624" s="703"/>
      <c r="M624" s="703"/>
      <c r="N624" s="703"/>
      <c r="O624" s="703"/>
      <c r="P624" s="703"/>
      <c r="Q624" s="703"/>
      <c r="R624" s="703"/>
      <c r="S624" s="703"/>
      <c r="T624" s="703"/>
      <c r="U624" s="703"/>
      <c r="V624" s="703"/>
      <c r="W624" s="703"/>
      <c r="X624" s="703"/>
      <c r="Y624" s="703"/>
      <c r="Z624" s="703"/>
    </row>
    <row r="625">
      <c r="A625" s="703"/>
      <c r="B625" s="703"/>
      <c r="C625" s="703"/>
      <c r="D625" s="703"/>
      <c r="E625" s="703"/>
      <c r="F625" s="703"/>
      <c r="G625" s="703"/>
      <c r="H625" s="703"/>
      <c r="I625" s="703"/>
      <c r="J625" s="703"/>
      <c r="K625" s="703"/>
      <c r="L625" s="703"/>
      <c r="M625" s="703"/>
      <c r="N625" s="703"/>
      <c r="O625" s="703"/>
      <c r="P625" s="703"/>
      <c r="Q625" s="703"/>
      <c r="R625" s="703"/>
      <c r="S625" s="703"/>
      <c r="T625" s="703"/>
      <c r="U625" s="703"/>
      <c r="V625" s="703"/>
      <c r="W625" s="703"/>
      <c r="X625" s="703"/>
      <c r="Y625" s="703"/>
      <c r="Z625" s="703"/>
    </row>
    <row r="626">
      <c r="A626" s="703"/>
      <c r="B626" s="703"/>
      <c r="C626" s="703"/>
      <c r="D626" s="703"/>
      <c r="E626" s="703"/>
      <c r="F626" s="703"/>
      <c r="G626" s="703"/>
      <c r="H626" s="703"/>
      <c r="I626" s="703"/>
      <c r="J626" s="703"/>
      <c r="K626" s="703"/>
      <c r="L626" s="703"/>
      <c r="M626" s="703"/>
      <c r="N626" s="703"/>
      <c r="O626" s="703"/>
      <c r="P626" s="703"/>
      <c r="Q626" s="703"/>
      <c r="R626" s="703"/>
      <c r="S626" s="703"/>
      <c r="T626" s="703"/>
      <c r="U626" s="703"/>
      <c r="V626" s="703"/>
      <c r="W626" s="703"/>
      <c r="X626" s="703"/>
      <c r="Y626" s="703"/>
      <c r="Z626" s="703"/>
    </row>
    <row r="627">
      <c r="A627" s="703"/>
      <c r="B627" s="703"/>
      <c r="C627" s="703"/>
      <c r="D627" s="703"/>
      <c r="E627" s="703"/>
      <c r="F627" s="703"/>
      <c r="G627" s="703"/>
      <c r="H627" s="703"/>
      <c r="I627" s="703"/>
      <c r="J627" s="703"/>
      <c r="K627" s="703"/>
      <c r="L627" s="703"/>
      <c r="M627" s="703"/>
      <c r="N627" s="703"/>
      <c r="O627" s="703"/>
      <c r="P627" s="703"/>
      <c r="Q627" s="703"/>
      <c r="R627" s="703"/>
      <c r="S627" s="703"/>
      <c r="T627" s="703"/>
      <c r="U627" s="703"/>
      <c r="V627" s="703"/>
      <c r="W627" s="703"/>
      <c r="X627" s="703"/>
      <c r="Y627" s="703"/>
      <c r="Z627" s="703"/>
    </row>
    <row r="628">
      <c r="A628" s="703"/>
      <c r="B628" s="703"/>
      <c r="C628" s="703"/>
      <c r="D628" s="703"/>
      <c r="E628" s="703"/>
      <c r="F628" s="703"/>
      <c r="G628" s="703"/>
      <c r="H628" s="703"/>
      <c r="I628" s="703"/>
      <c r="J628" s="703"/>
      <c r="K628" s="703"/>
      <c r="L628" s="703"/>
      <c r="M628" s="703"/>
      <c r="N628" s="703"/>
      <c r="O628" s="703"/>
      <c r="P628" s="703"/>
      <c r="Q628" s="703"/>
      <c r="R628" s="703"/>
      <c r="S628" s="703"/>
      <c r="T628" s="703"/>
      <c r="U628" s="703"/>
      <c r="V628" s="703"/>
      <c r="W628" s="703"/>
      <c r="X628" s="703"/>
      <c r="Y628" s="703"/>
      <c r="Z628" s="703"/>
    </row>
    <row r="629">
      <c r="A629" s="703"/>
      <c r="B629" s="703"/>
      <c r="C629" s="703"/>
      <c r="D629" s="703"/>
      <c r="E629" s="703"/>
      <c r="F629" s="703"/>
      <c r="G629" s="703"/>
      <c r="H629" s="703"/>
      <c r="I629" s="703"/>
      <c r="J629" s="703"/>
      <c r="K629" s="703"/>
      <c r="L629" s="703"/>
      <c r="M629" s="703"/>
      <c r="N629" s="703"/>
      <c r="O629" s="703"/>
      <c r="P629" s="703"/>
      <c r="Q629" s="703"/>
      <c r="R629" s="703"/>
      <c r="S629" s="703"/>
      <c r="T629" s="703"/>
      <c r="U629" s="703"/>
      <c r="V629" s="703"/>
      <c r="W629" s="703"/>
      <c r="X629" s="703"/>
      <c r="Y629" s="703"/>
      <c r="Z629" s="703"/>
    </row>
    <row r="630">
      <c r="A630" s="703"/>
      <c r="B630" s="703"/>
      <c r="C630" s="703"/>
      <c r="D630" s="703"/>
      <c r="E630" s="703"/>
      <c r="F630" s="703"/>
      <c r="G630" s="703"/>
      <c r="H630" s="703"/>
      <c r="I630" s="703"/>
      <c r="J630" s="703"/>
      <c r="K630" s="703"/>
      <c r="L630" s="703"/>
      <c r="M630" s="703"/>
      <c r="N630" s="703"/>
      <c r="O630" s="703"/>
      <c r="P630" s="703"/>
      <c r="Q630" s="703"/>
      <c r="R630" s="703"/>
      <c r="S630" s="703"/>
      <c r="T630" s="703"/>
      <c r="U630" s="703"/>
      <c r="V630" s="703"/>
      <c r="W630" s="703"/>
      <c r="X630" s="703"/>
      <c r="Y630" s="703"/>
      <c r="Z630" s="703"/>
    </row>
    <row r="631">
      <c r="A631" s="703"/>
      <c r="B631" s="703"/>
      <c r="C631" s="703"/>
      <c r="D631" s="703"/>
      <c r="E631" s="703"/>
      <c r="F631" s="703"/>
      <c r="G631" s="703"/>
      <c r="H631" s="703"/>
      <c r="I631" s="703"/>
      <c r="J631" s="703"/>
      <c r="K631" s="703"/>
      <c r="L631" s="703"/>
      <c r="M631" s="703"/>
      <c r="N631" s="703"/>
      <c r="O631" s="703"/>
      <c r="P631" s="703"/>
      <c r="Q631" s="703"/>
      <c r="R631" s="703"/>
      <c r="S631" s="703"/>
      <c r="T631" s="703"/>
      <c r="U631" s="703"/>
      <c r="V631" s="703"/>
      <c r="W631" s="703"/>
      <c r="X631" s="703"/>
      <c r="Y631" s="703"/>
      <c r="Z631" s="703"/>
    </row>
    <row r="632">
      <c r="A632" s="703"/>
      <c r="B632" s="703"/>
      <c r="C632" s="703"/>
      <c r="D632" s="703"/>
      <c r="E632" s="703"/>
      <c r="F632" s="703"/>
      <c r="G632" s="703"/>
      <c r="H632" s="703"/>
      <c r="I632" s="703"/>
      <c r="J632" s="703"/>
      <c r="K632" s="703"/>
      <c r="L632" s="703"/>
      <c r="M632" s="703"/>
      <c r="N632" s="703"/>
      <c r="O632" s="703"/>
      <c r="P632" s="703"/>
      <c r="Q632" s="703"/>
      <c r="R632" s="703"/>
      <c r="S632" s="703"/>
      <c r="T632" s="703"/>
      <c r="U632" s="703"/>
      <c r="V632" s="703"/>
      <c r="W632" s="703"/>
      <c r="X632" s="703"/>
      <c r="Y632" s="703"/>
      <c r="Z632" s="703"/>
    </row>
    <row r="633">
      <c r="A633" s="703"/>
      <c r="B633" s="703"/>
      <c r="C633" s="703"/>
      <c r="D633" s="703"/>
      <c r="E633" s="703"/>
      <c r="F633" s="703"/>
      <c r="G633" s="703"/>
      <c r="H633" s="703"/>
      <c r="I633" s="703"/>
      <c r="J633" s="703"/>
      <c r="K633" s="703"/>
      <c r="L633" s="703"/>
      <c r="M633" s="703"/>
      <c r="N633" s="703"/>
      <c r="O633" s="703"/>
      <c r="P633" s="703"/>
      <c r="Q633" s="703"/>
      <c r="R633" s="703"/>
      <c r="S633" s="703"/>
      <c r="T633" s="703"/>
      <c r="U633" s="703"/>
      <c r="V633" s="703"/>
      <c r="W633" s="703"/>
      <c r="X633" s="703"/>
      <c r="Y633" s="703"/>
      <c r="Z633" s="703"/>
    </row>
    <row r="634">
      <c r="A634" s="703"/>
      <c r="B634" s="703"/>
      <c r="C634" s="703"/>
      <c r="D634" s="703"/>
      <c r="E634" s="703"/>
      <c r="F634" s="703"/>
      <c r="G634" s="703"/>
      <c r="H634" s="703"/>
      <c r="I634" s="703"/>
      <c r="J634" s="703"/>
      <c r="K634" s="703"/>
      <c r="L634" s="703"/>
      <c r="M634" s="703"/>
      <c r="N634" s="703"/>
      <c r="O634" s="703"/>
      <c r="P634" s="703"/>
      <c r="Q634" s="703"/>
      <c r="R634" s="703"/>
      <c r="S634" s="703"/>
      <c r="T634" s="703"/>
      <c r="U634" s="703"/>
      <c r="V634" s="703"/>
      <c r="W634" s="703"/>
      <c r="X634" s="703"/>
      <c r="Y634" s="703"/>
      <c r="Z634" s="703"/>
    </row>
    <row r="635">
      <c r="A635" s="703"/>
      <c r="B635" s="703"/>
      <c r="C635" s="703"/>
      <c r="D635" s="703"/>
      <c r="E635" s="703"/>
      <c r="F635" s="703"/>
      <c r="G635" s="703"/>
      <c r="H635" s="703"/>
      <c r="I635" s="703"/>
      <c r="J635" s="703"/>
      <c r="K635" s="703"/>
      <c r="L635" s="703"/>
      <c r="M635" s="703"/>
      <c r="N635" s="703"/>
      <c r="O635" s="703"/>
      <c r="P635" s="703"/>
      <c r="Q635" s="703"/>
      <c r="R635" s="703"/>
      <c r="S635" s="703"/>
      <c r="T635" s="703"/>
      <c r="U635" s="703"/>
      <c r="V635" s="703"/>
      <c r="W635" s="703"/>
      <c r="X635" s="703"/>
      <c r="Y635" s="703"/>
      <c r="Z635" s="703"/>
    </row>
    <row r="636">
      <c r="A636" s="703"/>
      <c r="B636" s="703"/>
      <c r="C636" s="703"/>
      <c r="D636" s="703"/>
      <c r="E636" s="703"/>
      <c r="F636" s="703"/>
      <c r="G636" s="703"/>
      <c r="H636" s="703"/>
      <c r="I636" s="703"/>
      <c r="J636" s="703"/>
      <c r="K636" s="703"/>
      <c r="L636" s="703"/>
      <c r="M636" s="703"/>
      <c r="N636" s="703"/>
      <c r="O636" s="703"/>
      <c r="P636" s="703"/>
      <c r="Q636" s="703"/>
      <c r="R636" s="703"/>
      <c r="S636" s="703"/>
      <c r="T636" s="703"/>
      <c r="U636" s="703"/>
      <c r="V636" s="703"/>
      <c r="W636" s="703"/>
      <c r="X636" s="703"/>
      <c r="Y636" s="703"/>
      <c r="Z636" s="703"/>
    </row>
    <row r="637">
      <c r="A637" s="703"/>
      <c r="B637" s="703"/>
      <c r="C637" s="703"/>
      <c r="D637" s="703"/>
      <c r="E637" s="703"/>
      <c r="F637" s="703"/>
      <c r="G637" s="703"/>
      <c r="H637" s="703"/>
      <c r="I637" s="703"/>
      <c r="J637" s="703"/>
      <c r="K637" s="703"/>
      <c r="L637" s="703"/>
      <c r="M637" s="703"/>
      <c r="N637" s="703"/>
      <c r="O637" s="703"/>
      <c r="P637" s="703"/>
      <c r="Q637" s="703"/>
      <c r="R637" s="703"/>
      <c r="S637" s="703"/>
      <c r="T637" s="703"/>
      <c r="U637" s="703"/>
      <c r="V637" s="703"/>
      <c r="W637" s="703"/>
      <c r="X637" s="703"/>
      <c r="Y637" s="703"/>
      <c r="Z637" s="703"/>
    </row>
    <row r="638">
      <c r="A638" s="703"/>
      <c r="B638" s="703"/>
      <c r="C638" s="703"/>
      <c r="D638" s="703"/>
      <c r="E638" s="703"/>
      <c r="F638" s="703"/>
      <c r="G638" s="703"/>
      <c r="H638" s="703"/>
      <c r="I638" s="703"/>
      <c r="J638" s="703"/>
      <c r="K638" s="703"/>
      <c r="L638" s="703"/>
      <c r="M638" s="703"/>
      <c r="N638" s="703"/>
      <c r="O638" s="703"/>
      <c r="P638" s="703"/>
      <c r="Q638" s="703"/>
      <c r="R638" s="703"/>
      <c r="S638" s="703"/>
      <c r="T638" s="703"/>
      <c r="U638" s="703"/>
      <c r="V638" s="703"/>
      <c r="W638" s="703"/>
      <c r="X638" s="703"/>
      <c r="Y638" s="703"/>
      <c r="Z638" s="703"/>
    </row>
    <row r="639">
      <c r="A639" s="703"/>
      <c r="B639" s="703"/>
      <c r="C639" s="703"/>
      <c r="D639" s="703"/>
      <c r="E639" s="703"/>
      <c r="F639" s="703"/>
      <c r="G639" s="703"/>
      <c r="H639" s="703"/>
      <c r="I639" s="703"/>
      <c r="J639" s="703"/>
      <c r="K639" s="703"/>
      <c r="L639" s="703"/>
      <c r="M639" s="703"/>
      <c r="N639" s="703"/>
      <c r="O639" s="703"/>
      <c r="P639" s="703"/>
      <c r="Q639" s="703"/>
      <c r="R639" s="703"/>
      <c r="S639" s="703"/>
      <c r="T639" s="703"/>
      <c r="U639" s="703"/>
      <c r="V639" s="703"/>
      <c r="W639" s="703"/>
      <c r="X639" s="703"/>
      <c r="Y639" s="703"/>
      <c r="Z639" s="703"/>
    </row>
    <row r="640">
      <c r="A640" s="703"/>
      <c r="B640" s="703"/>
      <c r="C640" s="703"/>
      <c r="D640" s="703"/>
      <c r="E640" s="703"/>
      <c r="F640" s="703"/>
      <c r="G640" s="703"/>
      <c r="H640" s="703"/>
      <c r="I640" s="703"/>
      <c r="J640" s="703"/>
      <c r="K640" s="703"/>
      <c r="L640" s="703"/>
      <c r="M640" s="703"/>
      <c r="N640" s="703"/>
      <c r="O640" s="703"/>
      <c r="P640" s="703"/>
      <c r="Q640" s="703"/>
      <c r="R640" s="703"/>
      <c r="S640" s="703"/>
      <c r="T640" s="703"/>
      <c r="U640" s="703"/>
      <c r="V640" s="703"/>
      <c r="W640" s="703"/>
      <c r="X640" s="703"/>
      <c r="Y640" s="703"/>
      <c r="Z640" s="703"/>
    </row>
    <row r="641">
      <c r="A641" s="703"/>
      <c r="B641" s="703"/>
      <c r="C641" s="703"/>
      <c r="D641" s="703"/>
      <c r="E641" s="703"/>
      <c r="F641" s="703"/>
      <c r="G641" s="703"/>
      <c r="H641" s="703"/>
      <c r="I641" s="703"/>
      <c r="J641" s="703"/>
      <c r="K641" s="703"/>
      <c r="L641" s="703"/>
      <c r="M641" s="703"/>
      <c r="N641" s="703"/>
      <c r="O641" s="703"/>
      <c r="P641" s="703"/>
      <c r="Q641" s="703"/>
      <c r="R641" s="703"/>
      <c r="S641" s="703"/>
      <c r="T641" s="703"/>
      <c r="U641" s="703"/>
      <c r="V641" s="703"/>
      <c r="W641" s="703"/>
      <c r="X641" s="703"/>
      <c r="Y641" s="703"/>
      <c r="Z641" s="703"/>
    </row>
    <row r="642">
      <c r="A642" s="703"/>
      <c r="B642" s="703"/>
      <c r="C642" s="703"/>
      <c r="D642" s="703"/>
      <c r="E642" s="703"/>
      <c r="F642" s="703"/>
      <c r="G642" s="703"/>
      <c r="H642" s="703"/>
      <c r="I642" s="703"/>
      <c r="J642" s="703"/>
      <c r="K642" s="703"/>
      <c r="L642" s="703"/>
      <c r="M642" s="703"/>
      <c r="N642" s="703"/>
      <c r="O642" s="703"/>
      <c r="P642" s="703"/>
      <c r="Q642" s="703"/>
      <c r="R642" s="703"/>
      <c r="S642" s="703"/>
      <c r="T642" s="703"/>
      <c r="U642" s="703"/>
      <c r="V642" s="703"/>
      <c r="W642" s="703"/>
      <c r="X642" s="703"/>
      <c r="Y642" s="703"/>
      <c r="Z642" s="703"/>
    </row>
    <row r="643">
      <c r="A643" s="703"/>
      <c r="B643" s="703"/>
      <c r="C643" s="703"/>
      <c r="D643" s="703"/>
      <c r="E643" s="703"/>
      <c r="F643" s="703"/>
      <c r="G643" s="703"/>
      <c r="H643" s="703"/>
      <c r="I643" s="703"/>
      <c r="J643" s="703"/>
      <c r="K643" s="703"/>
      <c r="L643" s="703"/>
      <c r="M643" s="703"/>
      <c r="N643" s="703"/>
      <c r="O643" s="703"/>
      <c r="P643" s="703"/>
      <c r="Q643" s="703"/>
      <c r="R643" s="703"/>
      <c r="S643" s="703"/>
      <c r="T643" s="703"/>
      <c r="U643" s="703"/>
      <c r="V643" s="703"/>
      <c r="W643" s="703"/>
      <c r="X643" s="703"/>
      <c r="Y643" s="703"/>
      <c r="Z643" s="703"/>
    </row>
    <row r="644">
      <c r="A644" s="703"/>
      <c r="B644" s="703"/>
      <c r="C644" s="703"/>
      <c r="D644" s="703"/>
      <c r="E644" s="703"/>
      <c r="F644" s="703"/>
      <c r="G644" s="703"/>
      <c r="H644" s="703"/>
      <c r="I644" s="703"/>
      <c r="J644" s="703"/>
      <c r="K644" s="703"/>
      <c r="L644" s="703"/>
      <c r="M644" s="703"/>
      <c r="N644" s="703"/>
      <c r="O644" s="703"/>
      <c r="P644" s="703"/>
      <c r="Q644" s="703"/>
      <c r="R644" s="703"/>
      <c r="S644" s="703"/>
      <c r="T644" s="703"/>
      <c r="U644" s="703"/>
      <c r="V644" s="703"/>
      <c r="W644" s="703"/>
      <c r="X644" s="703"/>
      <c r="Y644" s="703"/>
      <c r="Z644" s="703"/>
    </row>
    <row r="645">
      <c r="A645" s="703"/>
      <c r="B645" s="703"/>
      <c r="C645" s="703"/>
      <c r="D645" s="703"/>
      <c r="E645" s="703"/>
      <c r="F645" s="703"/>
      <c r="G645" s="703"/>
      <c r="H645" s="703"/>
      <c r="I645" s="703"/>
      <c r="J645" s="703"/>
      <c r="K645" s="703"/>
      <c r="L645" s="703"/>
      <c r="M645" s="703"/>
      <c r="N645" s="703"/>
      <c r="O645" s="703"/>
      <c r="P645" s="703"/>
      <c r="Q645" s="703"/>
      <c r="R645" s="703"/>
      <c r="S645" s="703"/>
      <c r="T645" s="703"/>
      <c r="U645" s="703"/>
      <c r="V645" s="703"/>
      <c r="W645" s="703"/>
      <c r="X645" s="703"/>
      <c r="Y645" s="703"/>
      <c r="Z645" s="703"/>
    </row>
    <row r="646">
      <c r="A646" s="703"/>
      <c r="B646" s="703"/>
      <c r="C646" s="703"/>
      <c r="D646" s="703"/>
      <c r="E646" s="703"/>
      <c r="F646" s="703"/>
      <c r="G646" s="703"/>
      <c r="H646" s="703"/>
      <c r="I646" s="703"/>
      <c r="J646" s="703"/>
      <c r="K646" s="703"/>
      <c r="L646" s="703"/>
      <c r="M646" s="703"/>
      <c r="N646" s="703"/>
      <c r="O646" s="703"/>
      <c r="P646" s="703"/>
      <c r="Q646" s="703"/>
      <c r="R646" s="703"/>
      <c r="S646" s="703"/>
      <c r="T646" s="703"/>
      <c r="U646" s="703"/>
      <c r="V646" s="703"/>
      <c r="W646" s="703"/>
      <c r="X646" s="703"/>
      <c r="Y646" s="703"/>
      <c r="Z646" s="703"/>
    </row>
    <row r="647">
      <c r="A647" s="703"/>
      <c r="B647" s="703"/>
      <c r="C647" s="703"/>
      <c r="D647" s="703"/>
      <c r="E647" s="703"/>
      <c r="F647" s="703"/>
      <c r="G647" s="703"/>
      <c r="H647" s="703"/>
      <c r="I647" s="703"/>
      <c r="J647" s="703"/>
      <c r="K647" s="703"/>
      <c r="L647" s="703"/>
      <c r="M647" s="703"/>
      <c r="N647" s="703"/>
      <c r="O647" s="703"/>
      <c r="P647" s="703"/>
      <c r="Q647" s="703"/>
      <c r="R647" s="703"/>
      <c r="S647" s="703"/>
      <c r="T647" s="703"/>
      <c r="U647" s="703"/>
      <c r="V647" s="703"/>
      <c r="W647" s="703"/>
      <c r="X647" s="703"/>
      <c r="Y647" s="703"/>
      <c r="Z647" s="703"/>
    </row>
    <row r="648">
      <c r="A648" s="703"/>
      <c r="B648" s="703"/>
      <c r="C648" s="703"/>
      <c r="D648" s="703"/>
      <c r="E648" s="703"/>
      <c r="F648" s="703"/>
      <c r="G648" s="703"/>
      <c r="H648" s="703"/>
      <c r="I648" s="703"/>
      <c r="J648" s="703"/>
      <c r="K648" s="703"/>
      <c r="L648" s="703"/>
      <c r="M648" s="703"/>
      <c r="N648" s="703"/>
      <c r="O648" s="703"/>
      <c r="P648" s="703"/>
      <c r="Q648" s="703"/>
      <c r="R648" s="703"/>
      <c r="S648" s="703"/>
      <c r="T648" s="703"/>
      <c r="U648" s="703"/>
      <c r="V648" s="703"/>
      <c r="W648" s="703"/>
      <c r="X648" s="703"/>
      <c r="Y648" s="703"/>
      <c r="Z648" s="703"/>
    </row>
    <row r="649">
      <c r="A649" s="703"/>
      <c r="B649" s="703"/>
      <c r="C649" s="703"/>
      <c r="D649" s="703"/>
      <c r="E649" s="703"/>
      <c r="F649" s="703"/>
      <c r="G649" s="703"/>
      <c r="H649" s="703"/>
      <c r="I649" s="703"/>
      <c r="J649" s="703"/>
      <c r="K649" s="703"/>
      <c r="L649" s="703"/>
      <c r="M649" s="703"/>
      <c r="N649" s="703"/>
      <c r="O649" s="703"/>
      <c r="P649" s="703"/>
      <c r="Q649" s="703"/>
      <c r="R649" s="703"/>
      <c r="S649" s="703"/>
      <c r="T649" s="703"/>
      <c r="U649" s="703"/>
      <c r="V649" s="703"/>
      <c r="W649" s="703"/>
      <c r="X649" s="703"/>
      <c r="Y649" s="703"/>
      <c r="Z649" s="703"/>
    </row>
    <row r="650">
      <c r="A650" s="703"/>
      <c r="B650" s="703"/>
      <c r="C650" s="703"/>
      <c r="D650" s="703"/>
      <c r="E650" s="703"/>
      <c r="F650" s="703"/>
      <c r="G650" s="703"/>
      <c r="H650" s="703"/>
      <c r="I650" s="703"/>
      <c r="J650" s="703"/>
      <c r="K650" s="703"/>
      <c r="L650" s="703"/>
      <c r="M650" s="703"/>
      <c r="N650" s="703"/>
      <c r="O650" s="703"/>
      <c r="P650" s="703"/>
      <c r="Q650" s="703"/>
      <c r="R650" s="703"/>
      <c r="S650" s="703"/>
      <c r="T650" s="703"/>
      <c r="U650" s="703"/>
      <c r="V650" s="703"/>
      <c r="W650" s="703"/>
      <c r="X650" s="703"/>
      <c r="Y650" s="703"/>
      <c r="Z650" s="703"/>
    </row>
    <row r="651">
      <c r="A651" s="703"/>
      <c r="B651" s="703"/>
      <c r="C651" s="703"/>
      <c r="D651" s="703"/>
      <c r="E651" s="703"/>
      <c r="F651" s="703"/>
      <c r="G651" s="703"/>
      <c r="H651" s="703"/>
      <c r="I651" s="703"/>
      <c r="J651" s="703"/>
      <c r="K651" s="703"/>
      <c r="L651" s="703"/>
      <c r="M651" s="703"/>
      <c r="N651" s="703"/>
      <c r="O651" s="703"/>
      <c r="P651" s="703"/>
      <c r="Q651" s="703"/>
      <c r="R651" s="703"/>
      <c r="S651" s="703"/>
      <c r="T651" s="703"/>
      <c r="U651" s="703"/>
      <c r="V651" s="703"/>
      <c r="W651" s="703"/>
      <c r="X651" s="703"/>
      <c r="Y651" s="703"/>
      <c r="Z651" s="703"/>
    </row>
    <row r="652">
      <c r="A652" s="703"/>
      <c r="B652" s="703"/>
      <c r="C652" s="703"/>
      <c r="D652" s="703"/>
      <c r="E652" s="703"/>
      <c r="F652" s="703"/>
      <c r="G652" s="703"/>
      <c r="H652" s="703"/>
      <c r="I652" s="703"/>
      <c r="J652" s="703"/>
      <c r="K652" s="703"/>
      <c r="L652" s="703"/>
      <c r="M652" s="703"/>
      <c r="N652" s="703"/>
      <c r="O652" s="703"/>
      <c r="P652" s="703"/>
      <c r="Q652" s="703"/>
      <c r="R652" s="703"/>
      <c r="S652" s="703"/>
      <c r="T652" s="703"/>
      <c r="U652" s="703"/>
      <c r="V652" s="703"/>
      <c r="W652" s="703"/>
      <c r="X652" s="703"/>
      <c r="Y652" s="703"/>
      <c r="Z652" s="703"/>
    </row>
    <row r="653">
      <c r="A653" s="703"/>
      <c r="B653" s="703"/>
      <c r="C653" s="703"/>
      <c r="D653" s="703"/>
      <c r="E653" s="703"/>
      <c r="F653" s="703"/>
      <c r="G653" s="703"/>
      <c r="H653" s="703"/>
      <c r="I653" s="703"/>
      <c r="J653" s="703"/>
      <c r="K653" s="703"/>
      <c r="L653" s="703"/>
      <c r="M653" s="703"/>
      <c r="N653" s="703"/>
      <c r="O653" s="703"/>
      <c r="P653" s="703"/>
      <c r="Q653" s="703"/>
      <c r="R653" s="703"/>
      <c r="S653" s="703"/>
      <c r="T653" s="703"/>
      <c r="U653" s="703"/>
      <c r="V653" s="703"/>
      <c r="W653" s="703"/>
      <c r="X653" s="703"/>
      <c r="Y653" s="703"/>
      <c r="Z653" s="703"/>
    </row>
    <row r="654">
      <c r="A654" s="703"/>
      <c r="B654" s="703"/>
      <c r="C654" s="703"/>
      <c r="D654" s="703"/>
      <c r="E654" s="703"/>
      <c r="F654" s="703"/>
      <c r="G654" s="703"/>
      <c r="H654" s="703"/>
      <c r="I654" s="703"/>
      <c r="J654" s="703"/>
      <c r="K654" s="703"/>
      <c r="L654" s="703"/>
      <c r="M654" s="703"/>
      <c r="N654" s="703"/>
      <c r="O654" s="703"/>
      <c r="P654" s="703"/>
      <c r="Q654" s="703"/>
      <c r="R654" s="703"/>
      <c r="S654" s="703"/>
      <c r="T654" s="703"/>
      <c r="U654" s="703"/>
      <c r="V654" s="703"/>
      <c r="W654" s="703"/>
      <c r="X654" s="703"/>
      <c r="Y654" s="703"/>
      <c r="Z654" s="703"/>
    </row>
    <row r="655">
      <c r="A655" s="703"/>
      <c r="B655" s="703"/>
      <c r="C655" s="703"/>
      <c r="D655" s="703"/>
      <c r="E655" s="703"/>
      <c r="F655" s="703"/>
      <c r="G655" s="703"/>
      <c r="H655" s="703"/>
      <c r="I655" s="703"/>
      <c r="J655" s="703"/>
      <c r="K655" s="703"/>
      <c r="L655" s="703"/>
      <c r="M655" s="703"/>
      <c r="N655" s="703"/>
      <c r="O655" s="703"/>
      <c r="P655" s="703"/>
      <c r="Q655" s="703"/>
      <c r="R655" s="703"/>
      <c r="S655" s="703"/>
      <c r="T655" s="703"/>
      <c r="U655" s="703"/>
      <c r="V655" s="703"/>
      <c r="W655" s="703"/>
      <c r="X655" s="703"/>
      <c r="Y655" s="703"/>
      <c r="Z655" s="703"/>
    </row>
    <row r="656">
      <c r="A656" s="703"/>
      <c r="B656" s="703"/>
      <c r="C656" s="703"/>
      <c r="D656" s="703"/>
      <c r="E656" s="703"/>
      <c r="F656" s="703"/>
      <c r="G656" s="703"/>
      <c r="H656" s="703"/>
      <c r="I656" s="703"/>
      <c r="J656" s="703"/>
      <c r="K656" s="703"/>
      <c r="L656" s="703"/>
      <c r="M656" s="703"/>
      <c r="N656" s="703"/>
      <c r="O656" s="703"/>
      <c r="P656" s="703"/>
      <c r="Q656" s="703"/>
      <c r="R656" s="703"/>
      <c r="S656" s="703"/>
      <c r="T656" s="703"/>
      <c r="U656" s="703"/>
      <c r="V656" s="703"/>
      <c r="W656" s="703"/>
      <c r="X656" s="703"/>
      <c r="Y656" s="703"/>
      <c r="Z656" s="703"/>
    </row>
    <row r="657">
      <c r="A657" s="703"/>
      <c r="B657" s="703"/>
      <c r="C657" s="703"/>
      <c r="D657" s="703"/>
      <c r="E657" s="703"/>
      <c r="F657" s="703"/>
      <c r="G657" s="703"/>
      <c r="H657" s="703"/>
      <c r="I657" s="703"/>
      <c r="J657" s="703"/>
      <c r="K657" s="703"/>
      <c r="L657" s="703"/>
      <c r="M657" s="703"/>
      <c r="N657" s="703"/>
      <c r="O657" s="703"/>
      <c r="P657" s="703"/>
      <c r="Q657" s="703"/>
      <c r="R657" s="703"/>
      <c r="S657" s="703"/>
      <c r="T657" s="703"/>
      <c r="U657" s="703"/>
      <c r="V657" s="703"/>
      <c r="W657" s="703"/>
      <c r="X657" s="703"/>
      <c r="Y657" s="703"/>
      <c r="Z657" s="703"/>
    </row>
    <row r="658">
      <c r="A658" s="703"/>
      <c r="B658" s="703"/>
      <c r="C658" s="703"/>
      <c r="D658" s="703"/>
      <c r="E658" s="703"/>
      <c r="F658" s="703"/>
      <c r="G658" s="703"/>
      <c r="H658" s="703"/>
      <c r="I658" s="703"/>
      <c r="J658" s="703"/>
      <c r="K658" s="703"/>
      <c r="L658" s="703"/>
      <c r="M658" s="703"/>
      <c r="N658" s="703"/>
      <c r="O658" s="703"/>
      <c r="P658" s="703"/>
      <c r="Q658" s="703"/>
      <c r="R658" s="703"/>
      <c r="S658" s="703"/>
      <c r="T658" s="703"/>
      <c r="U658" s="703"/>
      <c r="V658" s="703"/>
      <c r="W658" s="703"/>
      <c r="X658" s="703"/>
      <c r="Y658" s="703"/>
      <c r="Z658" s="703"/>
    </row>
    <row r="659">
      <c r="A659" s="703"/>
      <c r="B659" s="703"/>
      <c r="C659" s="703"/>
      <c r="D659" s="703"/>
      <c r="E659" s="703"/>
      <c r="F659" s="703"/>
      <c r="G659" s="703"/>
      <c r="H659" s="703"/>
      <c r="I659" s="703"/>
      <c r="J659" s="703"/>
      <c r="K659" s="703"/>
      <c r="L659" s="703"/>
      <c r="M659" s="703"/>
      <c r="N659" s="703"/>
      <c r="O659" s="703"/>
      <c r="P659" s="703"/>
      <c r="Q659" s="703"/>
      <c r="R659" s="703"/>
      <c r="S659" s="703"/>
      <c r="T659" s="703"/>
      <c r="U659" s="703"/>
      <c r="V659" s="703"/>
      <c r="W659" s="703"/>
      <c r="X659" s="703"/>
      <c r="Y659" s="703"/>
      <c r="Z659" s="703"/>
    </row>
    <row r="660">
      <c r="A660" s="703"/>
      <c r="B660" s="703"/>
      <c r="C660" s="703"/>
      <c r="D660" s="703"/>
      <c r="E660" s="703"/>
      <c r="F660" s="703"/>
      <c r="G660" s="703"/>
      <c r="H660" s="703"/>
      <c r="I660" s="703"/>
      <c r="J660" s="703"/>
      <c r="K660" s="703"/>
      <c r="L660" s="703"/>
      <c r="M660" s="703"/>
      <c r="N660" s="703"/>
      <c r="O660" s="703"/>
      <c r="P660" s="703"/>
      <c r="Q660" s="703"/>
      <c r="R660" s="703"/>
      <c r="S660" s="703"/>
      <c r="T660" s="703"/>
      <c r="U660" s="703"/>
      <c r="V660" s="703"/>
      <c r="W660" s="703"/>
      <c r="X660" s="703"/>
      <c r="Y660" s="703"/>
      <c r="Z660" s="703"/>
    </row>
    <row r="661">
      <c r="A661" s="703"/>
      <c r="B661" s="703"/>
      <c r="C661" s="703"/>
      <c r="D661" s="703"/>
      <c r="E661" s="703"/>
      <c r="F661" s="703"/>
      <c r="G661" s="703"/>
      <c r="H661" s="703"/>
      <c r="I661" s="703"/>
      <c r="J661" s="703"/>
      <c r="K661" s="703"/>
      <c r="L661" s="703"/>
      <c r="M661" s="703"/>
      <c r="N661" s="703"/>
      <c r="O661" s="703"/>
      <c r="P661" s="703"/>
      <c r="Q661" s="703"/>
      <c r="R661" s="703"/>
      <c r="S661" s="703"/>
      <c r="T661" s="703"/>
      <c r="U661" s="703"/>
      <c r="V661" s="703"/>
      <c r="W661" s="703"/>
      <c r="X661" s="703"/>
      <c r="Y661" s="703"/>
      <c r="Z661" s="703"/>
    </row>
    <row r="662">
      <c r="A662" s="703"/>
      <c r="B662" s="703"/>
      <c r="C662" s="703"/>
      <c r="D662" s="703"/>
      <c r="E662" s="703"/>
      <c r="F662" s="703"/>
      <c r="G662" s="703"/>
      <c r="H662" s="703"/>
      <c r="I662" s="703"/>
      <c r="J662" s="703"/>
      <c r="K662" s="703"/>
      <c r="L662" s="703"/>
      <c r="M662" s="703"/>
      <c r="N662" s="703"/>
      <c r="O662" s="703"/>
      <c r="P662" s="703"/>
      <c r="Q662" s="703"/>
      <c r="R662" s="703"/>
      <c r="S662" s="703"/>
      <c r="T662" s="703"/>
      <c r="U662" s="703"/>
      <c r="V662" s="703"/>
      <c r="W662" s="703"/>
      <c r="X662" s="703"/>
      <c r="Y662" s="703"/>
      <c r="Z662" s="703"/>
    </row>
    <row r="663">
      <c r="A663" s="703"/>
      <c r="B663" s="703"/>
      <c r="C663" s="703"/>
      <c r="D663" s="703"/>
      <c r="E663" s="703"/>
      <c r="F663" s="703"/>
      <c r="G663" s="703"/>
      <c r="H663" s="703"/>
      <c r="I663" s="703"/>
      <c r="J663" s="703"/>
      <c r="K663" s="703"/>
      <c r="L663" s="703"/>
      <c r="M663" s="703"/>
      <c r="N663" s="703"/>
      <c r="O663" s="703"/>
      <c r="P663" s="703"/>
      <c r="Q663" s="703"/>
      <c r="R663" s="703"/>
      <c r="S663" s="703"/>
      <c r="T663" s="703"/>
      <c r="U663" s="703"/>
      <c r="V663" s="703"/>
      <c r="W663" s="703"/>
      <c r="X663" s="703"/>
      <c r="Y663" s="703"/>
      <c r="Z663" s="703"/>
    </row>
    <row r="664">
      <c r="A664" s="703"/>
      <c r="B664" s="703"/>
      <c r="C664" s="703"/>
      <c r="D664" s="703"/>
      <c r="E664" s="703"/>
      <c r="F664" s="703"/>
      <c r="G664" s="703"/>
      <c r="H664" s="703"/>
      <c r="I664" s="703"/>
      <c r="J664" s="703"/>
      <c r="K664" s="703"/>
      <c r="L664" s="703"/>
      <c r="M664" s="703"/>
      <c r="N664" s="703"/>
      <c r="O664" s="703"/>
      <c r="P664" s="703"/>
      <c r="Q664" s="703"/>
      <c r="R664" s="703"/>
      <c r="S664" s="703"/>
      <c r="T664" s="703"/>
      <c r="U664" s="703"/>
      <c r="V664" s="703"/>
      <c r="W664" s="703"/>
      <c r="X664" s="703"/>
      <c r="Y664" s="703"/>
      <c r="Z664" s="703"/>
    </row>
    <row r="665">
      <c r="A665" s="703"/>
      <c r="B665" s="703"/>
      <c r="C665" s="703"/>
      <c r="D665" s="703"/>
      <c r="E665" s="703"/>
      <c r="F665" s="703"/>
      <c r="G665" s="703"/>
      <c r="H665" s="703"/>
      <c r="I665" s="703"/>
      <c r="J665" s="703"/>
      <c r="K665" s="703"/>
      <c r="L665" s="703"/>
      <c r="M665" s="703"/>
      <c r="N665" s="703"/>
      <c r="O665" s="703"/>
      <c r="P665" s="703"/>
      <c r="Q665" s="703"/>
      <c r="R665" s="703"/>
      <c r="S665" s="703"/>
      <c r="T665" s="703"/>
      <c r="U665" s="703"/>
      <c r="V665" s="703"/>
      <c r="W665" s="703"/>
      <c r="X665" s="703"/>
      <c r="Y665" s="703"/>
      <c r="Z665" s="703"/>
    </row>
    <row r="666">
      <c r="A666" s="703"/>
      <c r="B666" s="703"/>
      <c r="C666" s="703"/>
      <c r="D666" s="703"/>
      <c r="E666" s="703"/>
      <c r="F666" s="703"/>
      <c r="G666" s="703"/>
      <c r="H666" s="703"/>
      <c r="I666" s="703"/>
      <c r="J666" s="703"/>
      <c r="K666" s="703"/>
      <c r="L666" s="703"/>
      <c r="M666" s="703"/>
      <c r="N666" s="703"/>
      <c r="O666" s="703"/>
      <c r="P666" s="703"/>
      <c r="Q666" s="703"/>
      <c r="R666" s="703"/>
      <c r="S666" s="703"/>
      <c r="T666" s="703"/>
      <c r="U666" s="703"/>
      <c r="V666" s="703"/>
      <c r="W666" s="703"/>
      <c r="X666" s="703"/>
      <c r="Y666" s="703"/>
      <c r="Z666" s="703"/>
    </row>
    <row r="667">
      <c r="A667" s="703"/>
      <c r="B667" s="703"/>
      <c r="C667" s="703"/>
      <c r="D667" s="703"/>
      <c r="E667" s="703"/>
      <c r="F667" s="703"/>
      <c r="G667" s="703"/>
      <c r="H667" s="703"/>
      <c r="I667" s="703"/>
      <c r="J667" s="703"/>
      <c r="K667" s="703"/>
      <c r="L667" s="703"/>
      <c r="M667" s="703"/>
      <c r="N667" s="703"/>
      <c r="O667" s="703"/>
      <c r="P667" s="703"/>
      <c r="Q667" s="703"/>
      <c r="R667" s="703"/>
      <c r="S667" s="703"/>
      <c r="T667" s="703"/>
      <c r="U667" s="703"/>
      <c r="V667" s="703"/>
      <c r="W667" s="703"/>
      <c r="X667" s="703"/>
      <c r="Y667" s="703"/>
      <c r="Z667" s="703"/>
    </row>
    <row r="668">
      <c r="A668" s="703"/>
      <c r="B668" s="703"/>
      <c r="C668" s="703"/>
      <c r="D668" s="703"/>
      <c r="E668" s="703"/>
      <c r="F668" s="703"/>
      <c r="G668" s="703"/>
      <c r="H668" s="703"/>
      <c r="I668" s="703"/>
      <c r="J668" s="703"/>
      <c r="K668" s="703"/>
      <c r="L668" s="703"/>
      <c r="M668" s="703"/>
      <c r="N668" s="703"/>
      <c r="O668" s="703"/>
      <c r="P668" s="703"/>
      <c r="Q668" s="703"/>
      <c r="R668" s="703"/>
      <c r="S668" s="703"/>
      <c r="T668" s="703"/>
      <c r="U668" s="703"/>
      <c r="V668" s="703"/>
      <c r="W668" s="703"/>
      <c r="X668" s="703"/>
      <c r="Y668" s="703"/>
      <c r="Z668" s="703"/>
    </row>
    <row r="669">
      <c r="A669" s="703"/>
      <c r="B669" s="703"/>
      <c r="C669" s="703"/>
      <c r="D669" s="703"/>
      <c r="E669" s="703"/>
      <c r="F669" s="703"/>
      <c r="G669" s="703"/>
      <c r="H669" s="703"/>
      <c r="I669" s="703"/>
      <c r="J669" s="703"/>
      <c r="K669" s="703"/>
      <c r="L669" s="703"/>
      <c r="M669" s="703"/>
      <c r="N669" s="703"/>
      <c r="O669" s="703"/>
      <c r="P669" s="703"/>
      <c r="Q669" s="703"/>
      <c r="R669" s="703"/>
      <c r="S669" s="703"/>
      <c r="T669" s="703"/>
      <c r="U669" s="703"/>
      <c r="V669" s="703"/>
      <c r="W669" s="703"/>
      <c r="X669" s="703"/>
      <c r="Y669" s="703"/>
      <c r="Z669" s="703"/>
    </row>
    <row r="670">
      <c r="A670" s="703"/>
      <c r="B670" s="703"/>
      <c r="C670" s="703"/>
      <c r="D670" s="703"/>
      <c r="E670" s="703"/>
      <c r="F670" s="703"/>
      <c r="G670" s="703"/>
      <c r="H670" s="703"/>
      <c r="I670" s="703"/>
      <c r="J670" s="703"/>
      <c r="K670" s="703"/>
      <c r="L670" s="703"/>
      <c r="M670" s="703"/>
      <c r="N670" s="703"/>
      <c r="O670" s="703"/>
      <c r="P670" s="703"/>
      <c r="Q670" s="703"/>
      <c r="R670" s="703"/>
      <c r="S670" s="703"/>
      <c r="T670" s="703"/>
      <c r="U670" s="703"/>
      <c r="V670" s="703"/>
      <c r="W670" s="703"/>
      <c r="X670" s="703"/>
      <c r="Y670" s="703"/>
      <c r="Z670" s="703"/>
    </row>
    <row r="671">
      <c r="A671" s="703"/>
      <c r="B671" s="703"/>
      <c r="C671" s="703"/>
      <c r="D671" s="703"/>
      <c r="E671" s="703"/>
      <c r="F671" s="703"/>
      <c r="G671" s="703"/>
      <c r="H671" s="703"/>
      <c r="I671" s="703"/>
      <c r="J671" s="703"/>
      <c r="K671" s="703"/>
      <c r="L671" s="703"/>
      <c r="M671" s="703"/>
      <c r="N671" s="703"/>
      <c r="O671" s="703"/>
      <c r="P671" s="703"/>
      <c r="Q671" s="703"/>
      <c r="R671" s="703"/>
      <c r="S671" s="703"/>
      <c r="T671" s="703"/>
      <c r="U671" s="703"/>
      <c r="V671" s="703"/>
      <c r="W671" s="703"/>
      <c r="X671" s="703"/>
      <c r="Y671" s="703"/>
      <c r="Z671" s="703"/>
    </row>
    <row r="672">
      <c r="A672" s="703"/>
      <c r="B672" s="703"/>
      <c r="C672" s="703"/>
      <c r="D672" s="703"/>
      <c r="E672" s="703"/>
      <c r="F672" s="703"/>
      <c r="G672" s="703"/>
      <c r="H672" s="703"/>
      <c r="I672" s="703"/>
      <c r="J672" s="703"/>
      <c r="K672" s="703"/>
      <c r="L672" s="703"/>
      <c r="M672" s="703"/>
      <c r="N672" s="703"/>
      <c r="O672" s="703"/>
      <c r="P672" s="703"/>
      <c r="Q672" s="703"/>
      <c r="R672" s="703"/>
      <c r="S672" s="703"/>
      <c r="T672" s="703"/>
      <c r="U672" s="703"/>
      <c r="V672" s="703"/>
      <c r="W672" s="703"/>
      <c r="X672" s="703"/>
      <c r="Y672" s="703"/>
      <c r="Z672" s="703"/>
    </row>
    <row r="673">
      <c r="A673" s="703"/>
      <c r="B673" s="703"/>
      <c r="C673" s="703"/>
      <c r="D673" s="703"/>
      <c r="E673" s="703"/>
      <c r="F673" s="703"/>
      <c r="G673" s="703"/>
      <c r="H673" s="703"/>
      <c r="I673" s="703"/>
      <c r="J673" s="703"/>
      <c r="K673" s="703"/>
      <c r="L673" s="703"/>
      <c r="M673" s="703"/>
      <c r="N673" s="703"/>
      <c r="O673" s="703"/>
      <c r="P673" s="703"/>
      <c r="Q673" s="703"/>
      <c r="R673" s="703"/>
      <c r="S673" s="703"/>
      <c r="T673" s="703"/>
      <c r="U673" s="703"/>
      <c r="V673" s="703"/>
      <c r="W673" s="703"/>
      <c r="X673" s="703"/>
      <c r="Y673" s="703"/>
      <c r="Z673" s="703"/>
    </row>
    <row r="674">
      <c r="A674" s="703"/>
      <c r="B674" s="703"/>
      <c r="C674" s="703"/>
      <c r="D674" s="703"/>
      <c r="E674" s="703"/>
      <c r="F674" s="703"/>
      <c r="G674" s="703"/>
      <c r="H674" s="703"/>
      <c r="I674" s="703"/>
      <c r="J674" s="703"/>
      <c r="K674" s="703"/>
      <c r="L674" s="703"/>
      <c r="M674" s="703"/>
      <c r="N674" s="703"/>
      <c r="O674" s="703"/>
      <c r="P674" s="703"/>
      <c r="Q674" s="703"/>
      <c r="R674" s="703"/>
      <c r="S674" s="703"/>
      <c r="T674" s="703"/>
      <c r="U674" s="703"/>
      <c r="V674" s="703"/>
      <c r="W674" s="703"/>
      <c r="X674" s="703"/>
      <c r="Y674" s="703"/>
      <c r="Z674" s="703"/>
    </row>
    <row r="675">
      <c r="A675" s="703"/>
      <c r="B675" s="703"/>
      <c r="C675" s="703"/>
      <c r="D675" s="703"/>
      <c r="E675" s="703"/>
      <c r="F675" s="703"/>
      <c r="G675" s="703"/>
      <c r="H675" s="703"/>
      <c r="I675" s="703"/>
      <c r="J675" s="703"/>
      <c r="K675" s="703"/>
      <c r="L675" s="703"/>
      <c r="M675" s="703"/>
      <c r="N675" s="703"/>
      <c r="O675" s="703"/>
      <c r="P675" s="703"/>
      <c r="Q675" s="703"/>
      <c r="R675" s="703"/>
      <c r="S675" s="703"/>
      <c r="T675" s="703"/>
      <c r="U675" s="703"/>
      <c r="V675" s="703"/>
      <c r="W675" s="703"/>
      <c r="X675" s="703"/>
      <c r="Y675" s="703"/>
      <c r="Z675" s="703"/>
    </row>
    <row r="676">
      <c r="A676" s="703"/>
      <c r="B676" s="703"/>
      <c r="C676" s="703"/>
      <c r="D676" s="703"/>
      <c r="E676" s="703"/>
      <c r="F676" s="703"/>
      <c r="G676" s="703"/>
      <c r="H676" s="703"/>
      <c r="I676" s="703"/>
      <c r="J676" s="703"/>
      <c r="K676" s="703"/>
      <c r="L676" s="703"/>
      <c r="M676" s="703"/>
      <c r="N676" s="703"/>
      <c r="O676" s="703"/>
      <c r="P676" s="703"/>
      <c r="Q676" s="703"/>
      <c r="R676" s="703"/>
      <c r="S676" s="703"/>
      <c r="T676" s="703"/>
      <c r="U676" s="703"/>
      <c r="V676" s="703"/>
      <c r="W676" s="703"/>
      <c r="X676" s="703"/>
      <c r="Y676" s="703"/>
      <c r="Z676" s="703"/>
    </row>
    <row r="677">
      <c r="A677" s="703"/>
      <c r="B677" s="703"/>
      <c r="C677" s="703"/>
      <c r="D677" s="703"/>
      <c r="E677" s="703"/>
      <c r="F677" s="703"/>
      <c r="G677" s="703"/>
      <c r="H677" s="703"/>
      <c r="I677" s="703"/>
      <c r="J677" s="703"/>
      <c r="K677" s="703"/>
      <c r="L677" s="703"/>
      <c r="M677" s="703"/>
      <c r="N677" s="703"/>
      <c r="O677" s="703"/>
      <c r="P677" s="703"/>
      <c r="Q677" s="703"/>
      <c r="R677" s="703"/>
      <c r="S677" s="703"/>
      <c r="T677" s="703"/>
      <c r="U677" s="703"/>
      <c r="V677" s="703"/>
      <c r="W677" s="703"/>
      <c r="X677" s="703"/>
      <c r="Y677" s="703"/>
      <c r="Z677" s="703"/>
    </row>
    <row r="678">
      <c r="A678" s="703"/>
      <c r="B678" s="703"/>
      <c r="C678" s="703"/>
      <c r="D678" s="703"/>
      <c r="E678" s="703"/>
      <c r="F678" s="703"/>
      <c r="G678" s="703"/>
      <c r="H678" s="703"/>
      <c r="I678" s="703"/>
      <c r="J678" s="703"/>
      <c r="K678" s="703"/>
      <c r="L678" s="703"/>
      <c r="M678" s="703"/>
      <c r="N678" s="703"/>
      <c r="O678" s="703"/>
      <c r="P678" s="703"/>
      <c r="Q678" s="703"/>
      <c r="R678" s="703"/>
      <c r="S678" s="703"/>
      <c r="T678" s="703"/>
      <c r="U678" s="703"/>
      <c r="V678" s="703"/>
      <c r="W678" s="703"/>
      <c r="X678" s="703"/>
      <c r="Y678" s="703"/>
      <c r="Z678" s="703"/>
    </row>
    <row r="679">
      <c r="A679" s="703"/>
      <c r="B679" s="703"/>
      <c r="C679" s="703"/>
      <c r="D679" s="703"/>
      <c r="E679" s="703"/>
      <c r="F679" s="703"/>
      <c r="G679" s="703"/>
      <c r="H679" s="703"/>
      <c r="I679" s="703"/>
      <c r="J679" s="703"/>
      <c r="K679" s="703"/>
      <c r="L679" s="703"/>
      <c r="M679" s="703"/>
      <c r="N679" s="703"/>
      <c r="O679" s="703"/>
      <c r="P679" s="703"/>
      <c r="Q679" s="703"/>
      <c r="R679" s="703"/>
      <c r="S679" s="703"/>
      <c r="T679" s="703"/>
      <c r="U679" s="703"/>
      <c r="V679" s="703"/>
      <c r="W679" s="703"/>
      <c r="X679" s="703"/>
      <c r="Y679" s="703"/>
      <c r="Z679" s="703"/>
    </row>
    <row r="680">
      <c r="A680" s="703"/>
      <c r="B680" s="703"/>
      <c r="C680" s="703"/>
      <c r="D680" s="703"/>
      <c r="E680" s="703"/>
      <c r="F680" s="703"/>
      <c r="G680" s="703"/>
      <c r="H680" s="703"/>
      <c r="I680" s="703"/>
      <c r="J680" s="703"/>
      <c r="K680" s="703"/>
      <c r="L680" s="703"/>
      <c r="M680" s="703"/>
      <c r="N680" s="703"/>
      <c r="O680" s="703"/>
      <c r="P680" s="703"/>
      <c r="Q680" s="703"/>
      <c r="R680" s="703"/>
      <c r="S680" s="703"/>
      <c r="T680" s="703"/>
      <c r="U680" s="703"/>
      <c r="V680" s="703"/>
      <c r="W680" s="703"/>
      <c r="X680" s="703"/>
      <c r="Y680" s="703"/>
      <c r="Z680" s="703"/>
    </row>
    <row r="681">
      <c r="A681" s="703"/>
      <c r="B681" s="703"/>
      <c r="C681" s="703"/>
      <c r="D681" s="703"/>
      <c r="E681" s="703"/>
      <c r="F681" s="703"/>
      <c r="G681" s="703"/>
      <c r="H681" s="703"/>
      <c r="I681" s="703"/>
      <c r="J681" s="703"/>
      <c r="K681" s="703"/>
      <c r="L681" s="703"/>
      <c r="M681" s="703"/>
      <c r="N681" s="703"/>
      <c r="O681" s="703"/>
      <c r="P681" s="703"/>
      <c r="Q681" s="703"/>
      <c r="R681" s="703"/>
      <c r="S681" s="703"/>
      <c r="T681" s="703"/>
      <c r="U681" s="703"/>
      <c r="V681" s="703"/>
      <c r="W681" s="703"/>
      <c r="X681" s="703"/>
      <c r="Y681" s="703"/>
      <c r="Z681" s="703"/>
    </row>
    <row r="682">
      <c r="A682" s="703"/>
      <c r="B682" s="703"/>
      <c r="C682" s="703"/>
      <c r="D682" s="703"/>
      <c r="E682" s="703"/>
      <c r="F682" s="703"/>
      <c r="G682" s="703"/>
      <c r="H682" s="703"/>
      <c r="I682" s="703"/>
      <c r="J682" s="703"/>
      <c r="K682" s="703"/>
      <c r="L682" s="703"/>
      <c r="M682" s="703"/>
      <c r="N682" s="703"/>
      <c r="O682" s="703"/>
      <c r="P682" s="703"/>
      <c r="Q682" s="703"/>
      <c r="R682" s="703"/>
      <c r="S682" s="703"/>
      <c r="T682" s="703"/>
      <c r="U682" s="703"/>
      <c r="V682" s="703"/>
      <c r="W682" s="703"/>
      <c r="X682" s="703"/>
      <c r="Y682" s="703"/>
      <c r="Z682" s="703"/>
    </row>
    <row r="683">
      <c r="A683" s="703"/>
      <c r="B683" s="703"/>
      <c r="C683" s="703"/>
      <c r="D683" s="703"/>
      <c r="E683" s="703"/>
      <c r="F683" s="703"/>
      <c r="G683" s="703"/>
      <c r="H683" s="703"/>
      <c r="I683" s="703"/>
      <c r="J683" s="703"/>
      <c r="K683" s="703"/>
      <c r="L683" s="703"/>
      <c r="M683" s="703"/>
      <c r="N683" s="703"/>
      <c r="O683" s="703"/>
      <c r="P683" s="703"/>
      <c r="Q683" s="703"/>
      <c r="R683" s="703"/>
      <c r="S683" s="703"/>
      <c r="T683" s="703"/>
      <c r="U683" s="703"/>
      <c r="V683" s="703"/>
      <c r="W683" s="703"/>
      <c r="X683" s="703"/>
      <c r="Y683" s="703"/>
      <c r="Z683" s="703"/>
    </row>
    <row r="684">
      <c r="A684" s="703"/>
      <c r="B684" s="703"/>
      <c r="C684" s="703"/>
      <c r="D684" s="703"/>
      <c r="E684" s="703"/>
      <c r="F684" s="703"/>
      <c r="G684" s="703"/>
      <c r="H684" s="703"/>
      <c r="I684" s="703"/>
      <c r="J684" s="703"/>
      <c r="K684" s="703"/>
      <c r="L684" s="703"/>
      <c r="M684" s="703"/>
      <c r="N684" s="703"/>
      <c r="O684" s="703"/>
      <c r="P684" s="703"/>
      <c r="Q684" s="703"/>
      <c r="R684" s="703"/>
      <c r="S684" s="703"/>
      <c r="T684" s="703"/>
      <c r="U684" s="703"/>
      <c r="V684" s="703"/>
      <c r="W684" s="703"/>
      <c r="X684" s="703"/>
      <c r="Y684" s="703"/>
      <c r="Z684" s="703"/>
    </row>
    <row r="685">
      <c r="A685" s="703"/>
      <c r="B685" s="703"/>
      <c r="C685" s="703"/>
      <c r="D685" s="703"/>
      <c r="E685" s="703"/>
      <c r="F685" s="703"/>
      <c r="G685" s="703"/>
      <c r="H685" s="703"/>
      <c r="I685" s="703"/>
      <c r="J685" s="703"/>
      <c r="K685" s="703"/>
      <c r="L685" s="703"/>
      <c r="M685" s="703"/>
      <c r="N685" s="703"/>
      <c r="O685" s="703"/>
      <c r="P685" s="703"/>
      <c r="Q685" s="703"/>
      <c r="R685" s="703"/>
      <c r="S685" s="703"/>
      <c r="T685" s="703"/>
      <c r="U685" s="703"/>
      <c r="V685" s="703"/>
      <c r="W685" s="703"/>
      <c r="X685" s="703"/>
      <c r="Y685" s="703"/>
      <c r="Z685" s="703"/>
    </row>
    <row r="686">
      <c r="A686" s="703"/>
      <c r="B686" s="703"/>
      <c r="C686" s="703"/>
      <c r="D686" s="703"/>
      <c r="E686" s="703"/>
      <c r="F686" s="703"/>
      <c r="G686" s="703"/>
      <c r="H686" s="703"/>
      <c r="I686" s="703"/>
      <c r="J686" s="703"/>
      <c r="K686" s="703"/>
      <c r="L686" s="703"/>
      <c r="M686" s="703"/>
      <c r="N686" s="703"/>
      <c r="O686" s="703"/>
      <c r="P686" s="703"/>
      <c r="Q686" s="703"/>
      <c r="R686" s="703"/>
      <c r="S686" s="703"/>
      <c r="T686" s="703"/>
      <c r="U686" s="703"/>
      <c r="V686" s="703"/>
      <c r="W686" s="703"/>
      <c r="X686" s="703"/>
      <c r="Y686" s="703"/>
      <c r="Z686" s="703"/>
    </row>
    <row r="687">
      <c r="A687" s="703"/>
      <c r="B687" s="703"/>
      <c r="C687" s="703"/>
      <c r="D687" s="703"/>
      <c r="E687" s="703"/>
      <c r="F687" s="703"/>
      <c r="G687" s="703"/>
      <c r="H687" s="703"/>
      <c r="I687" s="703"/>
      <c r="J687" s="703"/>
      <c r="K687" s="703"/>
      <c r="L687" s="703"/>
      <c r="M687" s="703"/>
      <c r="N687" s="703"/>
      <c r="O687" s="703"/>
      <c r="P687" s="703"/>
      <c r="Q687" s="703"/>
      <c r="R687" s="703"/>
      <c r="S687" s="703"/>
      <c r="T687" s="703"/>
      <c r="U687" s="703"/>
      <c r="V687" s="703"/>
      <c r="W687" s="703"/>
      <c r="X687" s="703"/>
      <c r="Y687" s="703"/>
      <c r="Z687" s="703"/>
    </row>
    <row r="688">
      <c r="A688" s="703"/>
      <c r="B688" s="703"/>
      <c r="C688" s="703"/>
      <c r="D688" s="703"/>
      <c r="E688" s="703"/>
      <c r="F688" s="703"/>
      <c r="G688" s="703"/>
      <c r="H688" s="703"/>
      <c r="I688" s="703"/>
      <c r="J688" s="703"/>
      <c r="K688" s="703"/>
      <c r="L688" s="703"/>
      <c r="M688" s="703"/>
      <c r="N688" s="703"/>
      <c r="O688" s="703"/>
      <c r="P688" s="703"/>
      <c r="Q688" s="703"/>
      <c r="R688" s="703"/>
      <c r="S688" s="703"/>
      <c r="T688" s="703"/>
      <c r="U688" s="703"/>
      <c r="V688" s="703"/>
      <c r="W688" s="703"/>
      <c r="X688" s="703"/>
      <c r="Y688" s="703"/>
      <c r="Z688" s="703"/>
    </row>
    <row r="689">
      <c r="A689" s="703"/>
      <c r="B689" s="703"/>
      <c r="C689" s="703"/>
      <c r="D689" s="703"/>
      <c r="E689" s="703"/>
      <c r="F689" s="703"/>
      <c r="G689" s="703"/>
      <c r="H689" s="703"/>
      <c r="I689" s="703"/>
      <c r="J689" s="703"/>
      <c r="K689" s="703"/>
      <c r="L689" s="703"/>
      <c r="M689" s="703"/>
      <c r="N689" s="703"/>
      <c r="O689" s="703"/>
      <c r="P689" s="703"/>
      <c r="Q689" s="703"/>
      <c r="R689" s="703"/>
      <c r="S689" s="703"/>
      <c r="T689" s="703"/>
      <c r="U689" s="703"/>
      <c r="V689" s="703"/>
      <c r="W689" s="703"/>
      <c r="X689" s="703"/>
      <c r="Y689" s="703"/>
      <c r="Z689" s="703"/>
    </row>
    <row r="690">
      <c r="A690" s="703"/>
      <c r="B690" s="703"/>
      <c r="C690" s="703"/>
      <c r="D690" s="703"/>
      <c r="E690" s="703"/>
      <c r="F690" s="703"/>
      <c r="G690" s="703"/>
      <c r="H690" s="703"/>
      <c r="I690" s="703"/>
      <c r="J690" s="703"/>
      <c r="K690" s="703"/>
      <c r="L690" s="703"/>
      <c r="M690" s="703"/>
      <c r="N690" s="703"/>
      <c r="O690" s="703"/>
      <c r="P690" s="703"/>
      <c r="Q690" s="703"/>
      <c r="R690" s="703"/>
      <c r="S690" s="703"/>
      <c r="T690" s="703"/>
      <c r="U690" s="703"/>
      <c r="V690" s="703"/>
      <c r="W690" s="703"/>
      <c r="X690" s="703"/>
      <c r="Y690" s="703"/>
      <c r="Z690" s="703"/>
    </row>
    <row r="691">
      <c r="A691" s="703"/>
      <c r="B691" s="703"/>
      <c r="C691" s="703"/>
      <c r="D691" s="703"/>
      <c r="E691" s="703"/>
      <c r="F691" s="703"/>
      <c r="G691" s="703"/>
      <c r="H691" s="703"/>
      <c r="I691" s="703"/>
      <c r="J691" s="703"/>
      <c r="K691" s="703"/>
      <c r="L691" s="703"/>
      <c r="M691" s="703"/>
      <c r="N691" s="703"/>
      <c r="O691" s="703"/>
      <c r="P691" s="703"/>
      <c r="Q691" s="703"/>
      <c r="R691" s="703"/>
      <c r="S691" s="703"/>
      <c r="T691" s="703"/>
      <c r="U691" s="703"/>
      <c r="V691" s="703"/>
      <c r="W691" s="703"/>
      <c r="X691" s="703"/>
      <c r="Y691" s="703"/>
      <c r="Z691" s="703"/>
    </row>
    <row r="692">
      <c r="A692" s="703"/>
      <c r="B692" s="703"/>
      <c r="C692" s="703"/>
      <c r="D692" s="703"/>
      <c r="E692" s="703"/>
      <c r="F692" s="703"/>
      <c r="G692" s="703"/>
      <c r="H692" s="703"/>
      <c r="I692" s="703"/>
      <c r="J692" s="703"/>
      <c r="K692" s="703"/>
      <c r="L692" s="703"/>
      <c r="M692" s="703"/>
      <c r="N692" s="703"/>
      <c r="O692" s="703"/>
      <c r="P692" s="703"/>
      <c r="Q692" s="703"/>
      <c r="R692" s="703"/>
      <c r="S692" s="703"/>
      <c r="T692" s="703"/>
      <c r="U692" s="703"/>
      <c r="V692" s="703"/>
      <c r="W692" s="703"/>
      <c r="X692" s="703"/>
      <c r="Y692" s="703"/>
      <c r="Z692" s="703"/>
    </row>
    <row r="693">
      <c r="A693" s="703"/>
      <c r="B693" s="703"/>
      <c r="C693" s="703"/>
      <c r="D693" s="703"/>
      <c r="E693" s="703"/>
      <c r="F693" s="703"/>
      <c r="G693" s="703"/>
      <c r="H693" s="703"/>
      <c r="I693" s="703"/>
      <c r="J693" s="703"/>
      <c r="K693" s="703"/>
      <c r="L693" s="703"/>
      <c r="M693" s="703"/>
      <c r="N693" s="703"/>
      <c r="O693" s="703"/>
      <c r="P693" s="703"/>
      <c r="Q693" s="703"/>
      <c r="R693" s="703"/>
      <c r="S693" s="703"/>
      <c r="T693" s="703"/>
      <c r="U693" s="703"/>
      <c r="V693" s="703"/>
      <c r="W693" s="703"/>
      <c r="X693" s="703"/>
      <c r="Y693" s="703"/>
      <c r="Z693" s="703"/>
    </row>
    <row r="694">
      <c r="A694" s="703"/>
      <c r="B694" s="703"/>
      <c r="C694" s="703"/>
      <c r="D694" s="703"/>
      <c r="E694" s="703"/>
      <c r="F694" s="703"/>
      <c r="G694" s="703"/>
      <c r="H694" s="703"/>
      <c r="I694" s="703"/>
      <c r="J694" s="703"/>
      <c r="K694" s="703"/>
      <c r="L694" s="703"/>
      <c r="M694" s="703"/>
      <c r="N694" s="703"/>
      <c r="O694" s="703"/>
      <c r="P694" s="703"/>
      <c r="Q694" s="703"/>
      <c r="R694" s="703"/>
      <c r="S694" s="703"/>
      <c r="T694" s="703"/>
      <c r="U694" s="703"/>
      <c r="V694" s="703"/>
      <c r="W694" s="703"/>
      <c r="X694" s="703"/>
      <c r="Y694" s="703"/>
      <c r="Z694" s="703"/>
    </row>
    <row r="695">
      <c r="A695" s="703"/>
      <c r="B695" s="703"/>
      <c r="C695" s="703"/>
      <c r="D695" s="703"/>
      <c r="E695" s="703"/>
      <c r="F695" s="703"/>
      <c r="G695" s="703"/>
      <c r="H695" s="703"/>
      <c r="I695" s="703"/>
      <c r="J695" s="703"/>
      <c r="K695" s="703"/>
      <c r="L695" s="703"/>
      <c r="M695" s="703"/>
      <c r="N695" s="703"/>
      <c r="O695" s="703"/>
      <c r="P695" s="703"/>
      <c r="Q695" s="703"/>
      <c r="R695" s="703"/>
      <c r="S695" s="703"/>
      <c r="T695" s="703"/>
      <c r="U695" s="703"/>
      <c r="V695" s="703"/>
      <c r="W695" s="703"/>
      <c r="X695" s="703"/>
      <c r="Y695" s="703"/>
      <c r="Z695" s="703"/>
    </row>
    <row r="696">
      <c r="A696" s="703"/>
      <c r="B696" s="703"/>
      <c r="C696" s="703"/>
      <c r="D696" s="703"/>
      <c r="E696" s="703"/>
      <c r="F696" s="703"/>
      <c r="G696" s="703"/>
      <c r="H696" s="703"/>
      <c r="I696" s="703"/>
      <c r="J696" s="703"/>
      <c r="K696" s="703"/>
      <c r="L696" s="703"/>
      <c r="M696" s="703"/>
      <c r="N696" s="703"/>
      <c r="O696" s="703"/>
      <c r="P696" s="703"/>
      <c r="Q696" s="703"/>
      <c r="R696" s="703"/>
      <c r="S696" s="703"/>
      <c r="T696" s="703"/>
      <c r="U696" s="703"/>
      <c r="V696" s="703"/>
      <c r="W696" s="703"/>
      <c r="X696" s="703"/>
      <c r="Y696" s="703"/>
      <c r="Z696" s="703"/>
    </row>
    <row r="697">
      <c r="A697" s="703"/>
      <c r="B697" s="703"/>
      <c r="C697" s="703"/>
      <c r="D697" s="703"/>
      <c r="E697" s="703"/>
      <c r="F697" s="703"/>
      <c r="G697" s="703"/>
      <c r="H697" s="703"/>
      <c r="I697" s="703"/>
      <c r="J697" s="703"/>
      <c r="K697" s="703"/>
      <c r="L697" s="703"/>
      <c r="M697" s="703"/>
      <c r="N697" s="703"/>
      <c r="O697" s="703"/>
      <c r="P697" s="703"/>
      <c r="Q697" s="703"/>
      <c r="R697" s="703"/>
      <c r="S697" s="703"/>
      <c r="T697" s="703"/>
      <c r="U697" s="703"/>
      <c r="V697" s="703"/>
      <c r="W697" s="703"/>
      <c r="X697" s="703"/>
      <c r="Y697" s="703"/>
      <c r="Z697" s="703"/>
    </row>
    <row r="698">
      <c r="A698" s="703"/>
      <c r="B698" s="703"/>
      <c r="C698" s="703"/>
      <c r="D698" s="703"/>
      <c r="E698" s="703"/>
      <c r="F698" s="703"/>
      <c r="G698" s="703"/>
      <c r="H698" s="703"/>
      <c r="I698" s="703"/>
      <c r="J698" s="703"/>
      <c r="K698" s="703"/>
      <c r="L698" s="703"/>
      <c r="M698" s="703"/>
      <c r="N698" s="703"/>
      <c r="O698" s="703"/>
      <c r="P698" s="703"/>
      <c r="Q698" s="703"/>
      <c r="R698" s="703"/>
      <c r="S698" s="703"/>
      <c r="T698" s="703"/>
      <c r="U698" s="703"/>
      <c r="V698" s="703"/>
      <c r="W698" s="703"/>
      <c r="X698" s="703"/>
      <c r="Y698" s="703"/>
      <c r="Z698" s="703"/>
    </row>
    <row r="699">
      <c r="A699" s="703"/>
      <c r="B699" s="703"/>
      <c r="C699" s="703"/>
      <c r="D699" s="703"/>
      <c r="E699" s="703"/>
      <c r="F699" s="703"/>
      <c r="G699" s="703"/>
      <c r="H699" s="703"/>
      <c r="I699" s="703"/>
      <c r="J699" s="703"/>
      <c r="K699" s="703"/>
      <c r="L699" s="703"/>
      <c r="M699" s="703"/>
      <c r="N699" s="703"/>
      <c r="O699" s="703"/>
      <c r="P699" s="703"/>
      <c r="Q699" s="703"/>
      <c r="R699" s="703"/>
      <c r="S699" s="703"/>
      <c r="T699" s="703"/>
      <c r="U699" s="703"/>
      <c r="V699" s="703"/>
      <c r="W699" s="703"/>
      <c r="X699" s="703"/>
      <c r="Y699" s="703"/>
      <c r="Z699" s="703"/>
    </row>
    <row r="700">
      <c r="A700" s="703"/>
      <c r="B700" s="703"/>
      <c r="C700" s="703"/>
      <c r="D700" s="703"/>
      <c r="E700" s="703"/>
      <c r="F700" s="703"/>
      <c r="G700" s="703"/>
      <c r="H700" s="703"/>
      <c r="I700" s="703"/>
      <c r="J700" s="703"/>
      <c r="K700" s="703"/>
      <c r="L700" s="703"/>
      <c r="M700" s="703"/>
      <c r="N700" s="703"/>
      <c r="O700" s="703"/>
      <c r="P700" s="703"/>
      <c r="Q700" s="703"/>
      <c r="R700" s="703"/>
      <c r="S700" s="703"/>
      <c r="T700" s="703"/>
      <c r="U700" s="703"/>
      <c r="V700" s="703"/>
      <c r="W700" s="703"/>
      <c r="X700" s="703"/>
      <c r="Y700" s="703"/>
      <c r="Z700" s="703"/>
    </row>
    <row r="701">
      <c r="A701" s="703"/>
      <c r="B701" s="703"/>
      <c r="C701" s="703"/>
      <c r="D701" s="703"/>
      <c r="E701" s="703"/>
      <c r="F701" s="703"/>
      <c r="G701" s="703"/>
      <c r="H701" s="703"/>
      <c r="I701" s="703"/>
      <c r="J701" s="703"/>
      <c r="K701" s="703"/>
      <c r="L701" s="703"/>
      <c r="M701" s="703"/>
      <c r="N701" s="703"/>
      <c r="O701" s="703"/>
      <c r="P701" s="703"/>
      <c r="Q701" s="703"/>
      <c r="R701" s="703"/>
      <c r="S701" s="703"/>
      <c r="T701" s="703"/>
      <c r="U701" s="703"/>
      <c r="V701" s="703"/>
      <c r="W701" s="703"/>
      <c r="X701" s="703"/>
      <c r="Y701" s="703"/>
      <c r="Z701" s="703"/>
    </row>
    <row r="702">
      <c r="A702" s="703"/>
      <c r="B702" s="703"/>
      <c r="C702" s="703"/>
      <c r="D702" s="703"/>
      <c r="E702" s="703"/>
      <c r="F702" s="703"/>
      <c r="G702" s="703"/>
      <c r="H702" s="703"/>
      <c r="I702" s="703"/>
      <c r="J702" s="703"/>
      <c r="K702" s="703"/>
      <c r="L702" s="703"/>
      <c r="M702" s="703"/>
      <c r="N702" s="703"/>
      <c r="O702" s="703"/>
      <c r="P702" s="703"/>
      <c r="Q702" s="703"/>
      <c r="R702" s="703"/>
      <c r="S702" s="703"/>
      <c r="T702" s="703"/>
      <c r="U702" s="703"/>
      <c r="V702" s="703"/>
      <c r="W702" s="703"/>
      <c r="X702" s="703"/>
      <c r="Y702" s="703"/>
      <c r="Z702" s="703"/>
    </row>
    <row r="703">
      <c r="A703" s="703"/>
      <c r="B703" s="703"/>
      <c r="C703" s="703"/>
      <c r="D703" s="703"/>
      <c r="E703" s="703"/>
      <c r="F703" s="703"/>
      <c r="G703" s="703"/>
      <c r="H703" s="703"/>
      <c r="I703" s="703"/>
      <c r="J703" s="703"/>
      <c r="K703" s="703"/>
      <c r="L703" s="703"/>
      <c r="M703" s="703"/>
      <c r="N703" s="703"/>
      <c r="O703" s="703"/>
      <c r="P703" s="703"/>
      <c r="Q703" s="703"/>
      <c r="R703" s="703"/>
      <c r="S703" s="703"/>
      <c r="T703" s="703"/>
      <c r="U703" s="703"/>
      <c r="V703" s="703"/>
      <c r="W703" s="703"/>
      <c r="X703" s="703"/>
      <c r="Y703" s="703"/>
      <c r="Z703" s="703"/>
    </row>
    <row r="704">
      <c r="A704" s="703"/>
      <c r="B704" s="703"/>
      <c r="C704" s="703"/>
      <c r="D704" s="703"/>
      <c r="E704" s="703"/>
      <c r="F704" s="703"/>
      <c r="G704" s="703"/>
      <c r="H704" s="703"/>
      <c r="I704" s="703"/>
      <c r="J704" s="703"/>
      <c r="K704" s="703"/>
      <c r="L704" s="703"/>
      <c r="M704" s="703"/>
      <c r="N704" s="703"/>
      <c r="O704" s="703"/>
      <c r="P704" s="703"/>
      <c r="Q704" s="703"/>
      <c r="R704" s="703"/>
      <c r="S704" s="703"/>
      <c r="T704" s="703"/>
      <c r="U704" s="703"/>
      <c r="V704" s="703"/>
      <c r="W704" s="703"/>
      <c r="X704" s="703"/>
      <c r="Y704" s="703"/>
      <c r="Z704" s="703"/>
    </row>
    <row r="705">
      <c r="A705" s="703"/>
      <c r="B705" s="703"/>
      <c r="C705" s="703"/>
      <c r="D705" s="703"/>
      <c r="E705" s="703"/>
      <c r="F705" s="703"/>
      <c r="G705" s="703"/>
      <c r="H705" s="703"/>
      <c r="I705" s="703"/>
      <c r="J705" s="703"/>
      <c r="K705" s="703"/>
      <c r="L705" s="703"/>
      <c r="M705" s="703"/>
      <c r="N705" s="703"/>
      <c r="O705" s="703"/>
      <c r="P705" s="703"/>
      <c r="Q705" s="703"/>
      <c r="R705" s="703"/>
      <c r="S705" s="703"/>
      <c r="T705" s="703"/>
      <c r="U705" s="703"/>
      <c r="V705" s="703"/>
      <c r="W705" s="703"/>
      <c r="X705" s="703"/>
      <c r="Y705" s="703"/>
      <c r="Z705" s="703"/>
    </row>
    <row r="706">
      <c r="A706" s="703"/>
      <c r="B706" s="703"/>
      <c r="C706" s="703"/>
      <c r="D706" s="703"/>
      <c r="E706" s="703"/>
      <c r="F706" s="703"/>
      <c r="G706" s="703"/>
      <c r="H706" s="703"/>
      <c r="I706" s="703"/>
      <c r="J706" s="703"/>
      <c r="K706" s="703"/>
      <c r="L706" s="703"/>
      <c r="M706" s="703"/>
      <c r="N706" s="703"/>
      <c r="O706" s="703"/>
      <c r="P706" s="703"/>
      <c r="Q706" s="703"/>
      <c r="R706" s="703"/>
      <c r="S706" s="703"/>
      <c r="T706" s="703"/>
      <c r="U706" s="703"/>
      <c r="V706" s="703"/>
      <c r="W706" s="703"/>
      <c r="X706" s="703"/>
      <c r="Y706" s="703"/>
      <c r="Z706" s="703"/>
    </row>
    <row r="707">
      <c r="A707" s="703"/>
      <c r="B707" s="703"/>
      <c r="C707" s="703"/>
      <c r="D707" s="703"/>
      <c r="E707" s="703"/>
      <c r="F707" s="703"/>
      <c r="G707" s="703"/>
      <c r="H707" s="703"/>
      <c r="I707" s="703"/>
      <c r="J707" s="703"/>
      <c r="K707" s="703"/>
      <c r="L707" s="703"/>
      <c r="M707" s="703"/>
      <c r="N707" s="703"/>
      <c r="O707" s="703"/>
      <c r="P707" s="703"/>
      <c r="Q707" s="703"/>
      <c r="R707" s="703"/>
      <c r="S707" s="703"/>
      <c r="T707" s="703"/>
      <c r="U707" s="703"/>
      <c r="V707" s="703"/>
      <c r="W707" s="703"/>
      <c r="X707" s="703"/>
      <c r="Y707" s="703"/>
      <c r="Z707" s="703"/>
    </row>
    <row r="708">
      <c r="A708" s="703"/>
      <c r="B708" s="703"/>
      <c r="C708" s="703"/>
      <c r="D708" s="703"/>
      <c r="E708" s="703"/>
      <c r="F708" s="703"/>
      <c r="G708" s="703"/>
      <c r="H708" s="703"/>
      <c r="I708" s="703"/>
      <c r="J708" s="703"/>
      <c r="K708" s="703"/>
      <c r="L708" s="703"/>
      <c r="M708" s="703"/>
      <c r="N708" s="703"/>
      <c r="O708" s="703"/>
      <c r="P708" s="703"/>
      <c r="Q708" s="703"/>
      <c r="R708" s="703"/>
      <c r="S708" s="703"/>
      <c r="T708" s="703"/>
      <c r="U708" s="703"/>
      <c r="V708" s="703"/>
      <c r="W708" s="703"/>
      <c r="X708" s="703"/>
      <c r="Y708" s="703"/>
      <c r="Z708" s="703"/>
    </row>
    <row r="709">
      <c r="A709" s="703"/>
      <c r="B709" s="703"/>
      <c r="C709" s="703"/>
      <c r="D709" s="703"/>
      <c r="E709" s="703"/>
      <c r="F709" s="703"/>
      <c r="G709" s="703"/>
      <c r="H709" s="703"/>
      <c r="I709" s="703"/>
      <c r="J709" s="703"/>
      <c r="K709" s="703"/>
      <c r="L709" s="703"/>
      <c r="M709" s="703"/>
      <c r="N709" s="703"/>
      <c r="O709" s="703"/>
      <c r="P709" s="703"/>
      <c r="Q709" s="703"/>
      <c r="R709" s="703"/>
      <c r="S709" s="703"/>
      <c r="T709" s="703"/>
      <c r="U709" s="703"/>
      <c r="V709" s="703"/>
      <c r="W709" s="703"/>
      <c r="X709" s="703"/>
      <c r="Y709" s="703"/>
      <c r="Z709" s="703"/>
    </row>
    <row r="710">
      <c r="A710" s="703"/>
      <c r="B710" s="703"/>
      <c r="C710" s="703"/>
      <c r="D710" s="703"/>
      <c r="E710" s="703"/>
      <c r="F710" s="703"/>
      <c r="G710" s="703"/>
      <c r="H710" s="703"/>
      <c r="I710" s="703"/>
      <c r="J710" s="703"/>
      <c r="K710" s="703"/>
      <c r="L710" s="703"/>
      <c r="M710" s="703"/>
      <c r="N710" s="703"/>
      <c r="O710" s="703"/>
      <c r="P710" s="703"/>
      <c r="Q710" s="703"/>
      <c r="R710" s="703"/>
      <c r="S710" s="703"/>
      <c r="T710" s="703"/>
      <c r="U710" s="703"/>
      <c r="V710" s="703"/>
      <c r="W710" s="703"/>
      <c r="X710" s="703"/>
      <c r="Y710" s="703"/>
      <c r="Z710" s="703"/>
    </row>
    <row r="711">
      <c r="A711" s="703"/>
      <c r="B711" s="703"/>
      <c r="C711" s="703"/>
      <c r="D711" s="703"/>
      <c r="E711" s="703"/>
      <c r="F711" s="703"/>
      <c r="G711" s="703"/>
      <c r="H711" s="703"/>
      <c r="I711" s="703"/>
      <c r="J711" s="703"/>
      <c r="K711" s="703"/>
      <c r="L711" s="703"/>
      <c r="M711" s="703"/>
      <c r="N711" s="703"/>
      <c r="O711" s="703"/>
      <c r="P711" s="703"/>
      <c r="Q711" s="703"/>
      <c r="R711" s="703"/>
      <c r="S711" s="703"/>
      <c r="T711" s="703"/>
      <c r="U711" s="703"/>
      <c r="V711" s="703"/>
      <c r="W711" s="703"/>
      <c r="X711" s="703"/>
      <c r="Y711" s="703"/>
      <c r="Z711" s="703"/>
    </row>
    <row r="712">
      <c r="A712" s="703"/>
      <c r="B712" s="703"/>
      <c r="C712" s="703"/>
      <c r="D712" s="703"/>
      <c r="E712" s="703"/>
      <c r="F712" s="703"/>
      <c r="G712" s="703"/>
      <c r="H712" s="703"/>
      <c r="I712" s="703"/>
      <c r="J712" s="703"/>
      <c r="K712" s="703"/>
      <c r="L712" s="703"/>
      <c r="M712" s="703"/>
      <c r="N712" s="703"/>
      <c r="O712" s="703"/>
      <c r="P712" s="703"/>
      <c r="Q712" s="703"/>
      <c r="R712" s="703"/>
      <c r="S712" s="703"/>
      <c r="T712" s="703"/>
      <c r="U712" s="703"/>
      <c r="V712" s="703"/>
      <c r="W712" s="703"/>
      <c r="X712" s="703"/>
      <c r="Y712" s="703"/>
      <c r="Z712" s="703"/>
    </row>
    <row r="713">
      <c r="A713" s="703"/>
      <c r="B713" s="703"/>
      <c r="C713" s="703"/>
      <c r="D713" s="703"/>
      <c r="E713" s="703"/>
      <c r="F713" s="703"/>
      <c r="G713" s="703"/>
      <c r="H713" s="703"/>
      <c r="I713" s="703"/>
      <c r="J713" s="703"/>
      <c r="K713" s="703"/>
      <c r="L713" s="703"/>
      <c r="M713" s="703"/>
      <c r="N713" s="703"/>
      <c r="O713" s="703"/>
      <c r="P713" s="703"/>
      <c r="Q713" s="703"/>
      <c r="R713" s="703"/>
      <c r="S713" s="703"/>
      <c r="T713" s="703"/>
      <c r="U713" s="703"/>
      <c r="V713" s="703"/>
      <c r="W713" s="703"/>
      <c r="X713" s="703"/>
      <c r="Y713" s="703"/>
      <c r="Z713" s="703"/>
    </row>
    <row r="714">
      <c r="A714" s="703"/>
      <c r="B714" s="703"/>
      <c r="C714" s="703"/>
      <c r="D714" s="703"/>
      <c r="E714" s="703"/>
      <c r="F714" s="703"/>
      <c r="G714" s="703"/>
      <c r="H714" s="703"/>
      <c r="I714" s="703"/>
      <c r="J714" s="703"/>
      <c r="K714" s="703"/>
      <c r="L714" s="703"/>
      <c r="M714" s="703"/>
      <c r="N714" s="703"/>
      <c r="O714" s="703"/>
      <c r="P714" s="703"/>
      <c r="Q714" s="703"/>
      <c r="R714" s="703"/>
      <c r="S714" s="703"/>
      <c r="T714" s="703"/>
      <c r="U714" s="703"/>
      <c r="V714" s="703"/>
      <c r="W714" s="703"/>
      <c r="X714" s="703"/>
      <c r="Y714" s="703"/>
      <c r="Z714" s="703"/>
    </row>
    <row r="715">
      <c r="A715" s="703"/>
      <c r="B715" s="703"/>
      <c r="C715" s="703"/>
      <c r="D715" s="703"/>
      <c r="E715" s="703"/>
      <c r="F715" s="703"/>
      <c r="G715" s="703"/>
      <c r="H715" s="703"/>
      <c r="I715" s="703"/>
      <c r="J715" s="703"/>
      <c r="K715" s="703"/>
      <c r="L715" s="703"/>
      <c r="M715" s="703"/>
      <c r="N715" s="703"/>
      <c r="O715" s="703"/>
      <c r="P715" s="703"/>
      <c r="Q715" s="703"/>
      <c r="R715" s="703"/>
      <c r="S715" s="703"/>
      <c r="T715" s="703"/>
      <c r="U715" s="703"/>
      <c r="V715" s="703"/>
      <c r="W715" s="703"/>
      <c r="X715" s="703"/>
      <c r="Y715" s="703"/>
      <c r="Z715" s="703"/>
    </row>
    <row r="716">
      <c r="A716" s="703"/>
      <c r="B716" s="703"/>
      <c r="C716" s="703"/>
      <c r="D716" s="703"/>
      <c r="E716" s="703"/>
      <c r="F716" s="703"/>
      <c r="G716" s="703"/>
      <c r="H716" s="703"/>
      <c r="I716" s="703"/>
      <c r="J716" s="703"/>
      <c r="K716" s="703"/>
      <c r="L716" s="703"/>
      <c r="M716" s="703"/>
      <c r="N716" s="703"/>
      <c r="O716" s="703"/>
      <c r="P716" s="703"/>
      <c r="Q716" s="703"/>
      <c r="R716" s="703"/>
      <c r="S716" s="703"/>
      <c r="T716" s="703"/>
      <c r="U716" s="703"/>
      <c r="V716" s="703"/>
      <c r="W716" s="703"/>
      <c r="X716" s="703"/>
      <c r="Y716" s="703"/>
      <c r="Z716" s="703"/>
    </row>
    <row r="717">
      <c r="A717" s="703"/>
      <c r="B717" s="703"/>
      <c r="C717" s="703"/>
      <c r="D717" s="703"/>
      <c r="E717" s="703"/>
      <c r="F717" s="703"/>
      <c r="G717" s="703"/>
      <c r="H717" s="703"/>
      <c r="I717" s="703"/>
      <c r="J717" s="703"/>
      <c r="K717" s="703"/>
      <c r="L717" s="703"/>
      <c r="M717" s="703"/>
      <c r="N717" s="703"/>
      <c r="O717" s="703"/>
      <c r="P717" s="703"/>
      <c r="Q717" s="703"/>
      <c r="R717" s="703"/>
      <c r="S717" s="703"/>
      <c r="T717" s="703"/>
      <c r="U717" s="703"/>
      <c r="V717" s="703"/>
      <c r="W717" s="703"/>
      <c r="X717" s="703"/>
      <c r="Y717" s="703"/>
      <c r="Z717" s="703"/>
    </row>
    <row r="718">
      <c r="A718" s="703"/>
      <c r="B718" s="703"/>
      <c r="C718" s="703"/>
      <c r="D718" s="703"/>
      <c r="E718" s="703"/>
      <c r="F718" s="703"/>
      <c r="G718" s="703"/>
      <c r="H718" s="703"/>
      <c r="I718" s="703"/>
      <c r="J718" s="703"/>
      <c r="K718" s="703"/>
      <c r="L718" s="703"/>
      <c r="M718" s="703"/>
      <c r="N718" s="703"/>
      <c r="O718" s="703"/>
      <c r="P718" s="703"/>
      <c r="Q718" s="703"/>
      <c r="R718" s="703"/>
      <c r="S718" s="703"/>
      <c r="T718" s="703"/>
      <c r="U718" s="703"/>
      <c r="V718" s="703"/>
      <c r="W718" s="703"/>
      <c r="X718" s="703"/>
      <c r="Y718" s="703"/>
      <c r="Z718" s="703"/>
    </row>
    <row r="719">
      <c r="A719" s="703"/>
      <c r="B719" s="703"/>
      <c r="C719" s="703"/>
      <c r="D719" s="703"/>
      <c r="E719" s="703"/>
      <c r="F719" s="703"/>
      <c r="G719" s="703"/>
      <c r="H719" s="703"/>
      <c r="I719" s="703"/>
      <c r="J719" s="703"/>
      <c r="K719" s="703"/>
      <c r="L719" s="703"/>
      <c r="M719" s="703"/>
      <c r="N719" s="703"/>
      <c r="O719" s="703"/>
      <c r="P719" s="703"/>
      <c r="Q719" s="703"/>
      <c r="R719" s="703"/>
      <c r="S719" s="703"/>
      <c r="T719" s="703"/>
      <c r="U719" s="703"/>
      <c r="V719" s="703"/>
      <c r="W719" s="703"/>
      <c r="X719" s="703"/>
      <c r="Y719" s="703"/>
      <c r="Z719" s="703"/>
    </row>
    <row r="720">
      <c r="A720" s="703"/>
      <c r="B720" s="703"/>
      <c r="C720" s="703"/>
      <c r="D720" s="703"/>
      <c r="E720" s="703"/>
      <c r="F720" s="703"/>
      <c r="G720" s="703"/>
      <c r="H720" s="703"/>
      <c r="I720" s="703"/>
      <c r="J720" s="703"/>
      <c r="K720" s="703"/>
      <c r="L720" s="703"/>
      <c r="M720" s="703"/>
      <c r="N720" s="703"/>
      <c r="O720" s="703"/>
      <c r="P720" s="703"/>
      <c r="Q720" s="703"/>
      <c r="R720" s="703"/>
      <c r="S720" s="703"/>
      <c r="T720" s="703"/>
      <c r="U720" s="703"/>
      <c r="V720" s="703"/>
      <c r="W720" s="703"/>
      <c r="X720" s="703"/>
      <c r="Y720" s="703"/>
      <c r="Z720" s="703"/>
    </row>
    <row r="721">
      <c r="A721" s="703"/>
      <c r="B721" s="703"/>
      <c r="C721" s="703"/>
      <c r="D721" s="703"/>
      <c r="E721" s="703"/>
      <c r="F721" s="703"/>
      <c r="G721" s="703"/>
      <c r="H721" s="703"/>
      <c r="I721" s="703"/>
      <c r="J721" s="703"/>
      <c r="K721" s="703"/>
      <c r="L721" s="703"/>
      <c r="M721" s="703"/>
      <c r="N721" s="703"/>
      <c r="O721" s="703"/>
      <c r="P721" s="703"/>
      <c r="Q721" s="703"/>
      <c r="R721" s="703"/>
      <c r="S721" s="703"/>
      <c r="T721" s="703"/>
      <c r="U721" s="703"/>
      <c r="V721" s="703"/>
      <c r="W721" s="703"/>
      <c r="X721" s="703"/>
      <c r="Y721" s="703"/>
      <c r="Z721" s="703"/>
    </row>
    <row r="722">
      <c r="A722" s="703"/>
      <c r="B722" s="703"/>
      <c r="C722" s="703"/>
      <c r="D722" s="703"/>
      <c r="E722" s="703"/>
      <c r="F722" s="703"/>
      <c r="G722" s="703"/>
      <c r="H722" s="703"/>
      <c r="I722" s="703"/>
      <c r="J722" s="703"/>
      <c r="K722" s="703"/>
      <c r="L722" s="703"/>
      <c r="M722" s="703"/>
      <c r="N722" s="703"/>
      <c r="O722" s="703"/>
      <c r="P722" s="703"/>
      <c r="Q722" s="703"/>
      <c r="R722" s="703"/>
      <c r="S722" s="703"/>
      <c r="T722" s="703"/>
      <c r="U722" s="703"/>
      <c r="V722" s="703"/>
      <c r="W722" s="703"/>
      <c r="X722" s="703"/>
      <c r="Y722" s="703"/>
      <c r="Z722" s="703"/>
    </row>
    <row r="723">
      <c r="A723" s="703"/>
      <c r="B723" s="703"/>
      <c r="C723" s="703"/>
      <c r="D723" s="703"/>
      <c r="E723" s="703"/>
      <c r="F723" s="703"/>
      <c r="G723" s="703"/>
      <c r="H723" s="703"/>
      <c r="I723" s="703"/>
      <c r="J723" s="703"/>
      <c r="K723" s="703"/>
      <c r="L723" s="703"/>
      <c r="M723" s="703"/>
      <c r="N723" s="703"/>
      <c r="O723" s="703"/>
      <c r="P723" s="703"/>
      <c r="Q723" s="703"/>
      <c r="R723" s="703"/>
      <c r="S723" s="703"/>
      <c r="T723" s="703"/>
      <c r="U723" s="703"/>
      <c r="V723" s="703"/>
      <c r="W723" s="703"/>
      <c r="X723" s="703"/>
      <c r="Y723" s="703"/>
      <c r="Z723" s="703"/>
    </row>
    <row r="724">
      <c r="A724" s="703"/>
      <c r="B724" s="703"/>
      <c r="C724" s="703"/>
      <c r="D724" s="703"/>
      <c r="E724" s="703"/>
      <c r="F724" s="703"/>
      <c r="G724" s="703"/>
      <c r="H724" s="703"/>
      <c r="I724" s="703"/>
      <c r="J724" s="703"/>
      <c r="K724" s="703"/>
      <c r="L724" s="703"/>
      <c r="M724" s="703"/>
      <c r="N724" s="703"/>
      <c r="O724" s="703"/>
      <c r="P724" s="703"/>
      <c r="Q724" s="703"/>
      <c r="R724" s="703"/>
      <c r="S724" s="703"/>
      <c r="T724" s="703"/>
      <c r="U724" s="703"/>
      <c r="V724" s="703"/>
      <c r="W724" s="703"/>
      <c r="X724" s="703"/>
      <c r="Y724" s="703"/>
      <c r="Z724" s="703"/>
    </row>
    <row r="725">
      <c r="A725" s="703"/>
      <c r="B725" s="703"/>
      <c r="C725" s="703"/>
      <c r="D725" s="703"/>
      <c r="E725" s="703"/>
      <c r="F725" s="703"/>
      <c r="G725" s="703"/>
      <c r="H725" s="703"/>
      <c r="I725" s="703"/>
      <c r="J725" s="703"/>
      <c r="K725" s="703"/>
      <c r="L725" s="703"/>
      <c r="M725" s="703"/>
      <c r="N725" s="703"/>
      <c r="O725" s="703"/>
      <c r="P725" s="703"/>
      <c r="Q725" s="703"/>
      <c r="R725" s="703"/>
      <c r="S725" s="703"/>
      <c r="T725" s="703"/>
      <c r="U725" s="703"/>
      <c r="V725" s="703"/>
      <c r="W725" s="703"/>
      <c r="X725" s="703"/>
      <c r="Y725" s="703"/>
      <c r="Z725" s="703"/>
    </row>
    <row r="726">
      <c r="A726" s="703"/>
      <c r="B726" s="703"/>
      <c r="C726" s="703"/>
      <c r="D726" s="703"/>
      <c r="E726" s="703"/>
      <c r="F726" s="703"/>
      <c r="G726" s="703"/>
      <c r="H726" s="703"/>
      <c r="I726" s="703"/>
      <c r="J726" s="703"/>
      <c r="K726" s="703"/>
      <c r="L726" s="703"/>
      <c r="M726" s="703"/>
      <c r="N726" s="703"/>
      <c r="O726" s="703"/>
      <c r="P726" s="703"/>
      <c r="Q726" s="703"/>
      <c r="R726" s="703"/>
      <c r="S726" s="703"/>
      <c r="T726" s="703"/>
      <c r="U726" s="703"/>
      <c r="V726" s="703"/>
      <c r="W726" s="703"/>
      <c r="X726" s="703"/>
      <c r="Y726" s="703"/>
      <c r="Z726" s="703"/>
    </row>
    <row r="727">
      <c r="A727" s="703"/>
      <c r="B727" s="703"/>
      <c r="C727" s="703"/>
      <c r="D727" s="703"/>
      <c r="E727" s="703"/>
      <c r="F727" s="703"/>
      <c r="G727" s="703"/>
      <c r="H727" s="703"/>
      <c r="I727" s="703"/>
      <c r="J727" s="703"/>
      <c r="K727" s="703"/>
      <c r="L727" s="703"/>
      <c r="M727" s="703"/>
      <c r="N727" s="703"/>
      <c r="O727" s="703"/>
      <c r="P727" s="703"/>
      <c r="Q727" s="703"/>
      <c r="R727" s="703"/>
      <c r="S727" s="703"/>
      <c r="T727" s="703"/>
      <c r="U727" s="703"/>
      <c r="V727" s="703"/>
      <c r="W727" s="703"/>
      <c r="X727" s="703"/>
      <c r="Y727" s="703"/>
      <c r="Z727" s="703"/>
    </row>
    <row r="728">
      <c r="A728" s="703"/>
      <c r="B728" s="703"/>
      <c r="C728" s="703"/>
      <c r="D728" s="703"/>
      <c r="E728" s="703"/>
      <c r="F728" s="703"/>
      <c r="G728" s="703"/>
      <c r="H728" s="703"/>
      <c r="I728" s="703"/>
      <c r="J728" s="703"/>
      <c r="K728" s="703"/>
      <c r="L728" s="703"/>
      <c r="M728" s="703"/>
      <c r="N728" s="703"/>
      <c r="O728" s="703"/>
      <c r="P728" s="703"/>
      <c r="Q728" s="703"/>
      <c r="R728" s="703"/>
      <c r="S728" s="703"/>
      <c r="T728" s="703"/>
      <c r="U728" s="703"/>
      <c r="V728" s="703"/>
      <c r="W728" s="703"/>
      <c r="X728" s="703"/>
      <c r="Y728" s="703"/>
      <c r="Z728" s="703"/>
    </row>
    <row r="729">
      <c r="A729" s="703"/>
      <c r="B729" s="703"/>
      <c r="C729" s="703"/>
      <c r="D729" s="703"/>
      <c r="E729" s="703"/>
      <c r="F729" s="703"/>
      <c r="G729" s="703"/>
      <c r="H729" s="703"/>
      <c r="I729" s="703"/>
      <c r="J729" s="703"/>
      <c r="K729" s="703"/>
      <c r="L729" s="703"/>
      <c r="M729" s="703"/>
      <c r="N729" s="703"/>
      <c r="O729" s="703"/>
      <c r="P729" s="703"/>
      <c r="Q729" s="703"/>
      <c r="R729" s="703"/>
      <c r="S729" s="703"/>
      <c r="T729" s="703"/>
      <c r="U729" s="703"/>
      <c r="V729" s="703"/>
      <c r="W729" s="703"/>
      <c r="X729" s="703"/>
      <c r="Y729" s="703"/>
      <c r="Z729" s="703"/>
    </row>
    <row r="730">
      <c r="A730" s="703"/>
      <c r="B730" s="703"/>
      <c r="C730" s="703"/>
      <c r="D730" s="703"/>
      <c r="E730" s="703"/>
      <c r="F730" s="703"/>
      <c r="G730" s="703"/>
      <c r="H730" s="703"/>
      <c r="I730" s="703"/>
      <c r="J730" s="703"/>
      <c r="K730" s="703"/>
      <c r="L730" s="703"/>
      <c r="M730" s="703"/>
      <c r="N730" s="703"/>
      <c r="O730" s="703"/>
      <c r="P730" s="703"/>
      <c r="Q730" s="703"/>
      <c r="R730" s="703"/>
      <c r="S730" s="703"/>
      <c r="T730" s="703"/>
      <c r="U730" s="703"/>
      <c r="V730" s="703"/>
      <c r="W730" s="703"/>
      <c r="X730" s="703"/>
      <c r="Y730" s="703"/>
      <c r="Z730" s="703"/>
    </row>
    <row r="731">
      <c r="A731" s="703"/>
      <c r="B731" s="703"/>
      <c r="C731" s="703"/>
      <c r="D731" s="703"/>
      <c r="E731" s="703"/>
      <c r="F731" s="703"/>
      <c r="G731" s="703"/>
      <c r="H731" s="703"/>
      <c r="I731" s="703"/>
      <c r="J731" s="703"/>
      <c r="K731" s="703"/>
      <c r="L731" s="703"/>
      <c r="M731" s="703"/>
      <c r="N731" s="703"/>
      <c r="O731" s="703"/>
      <c r="P731" s="703"/>
      <c r="Q731" s="703"/>
      <c r="R731" s="703"/>
      <c r="S731" s="703"/>
      <c r="T731" s="703"/>
      <c r="U731" s="703"/>
      <c r="V731" s="703"/>
      <c r="W731" s="703"/>
      <c r="X731" s="703"/>
      <c r="Y731" s="703"/>
      <c r="Z731" s="703"/>
    </row>
    <row r="732">
      <c r="A732" s="703"/>
      <c r="B732" s="703"/>
      <c r="C732" s="703"/>
      <c r="D732" s="703"/>
      <c r="E732" s="703"/>
      <c r="F732" s="703"/>
      <c r="G732" s="703"/>
      <c r="H732" s="703"/>
      <c r="I732" s="703"/>
      <c r="J732" s="703"/>
      <c r="K732" s="703"/>
      <c r="L732" s="703"/>
      <c r="M732" s="703"/>
      <c r="N732" s="703"/>
      <c r="O732" s="703"/>
      <c r="P732" s="703"/>
      <c r="Q732" s="703"/>
      <c r="R732" s="703"/>
      <c r="S732" s="703"/>
      <c r="T732" s="703"/>
      <c r="U732" s="703"/>
      <c r="V732" s="703"/>
      <c r="W732" s="703"/>
      <c r="X732" s="703"/>
      <c r="Y732" s="703"/>
      <c r="Z732" s="703"/>
    </row>
    <row r="733">
      <c r="A733" s="703"/>
      <c r="B733" s="703"/>
      <c r="C733" s="703"/>
      <c r="D733" s="703"/>
      <c r="E733" s="703"/>
      <c r="F733" s="703"/>
      <c r="G733" s="703"/>
      <c r="H733" s="703"/>
      <c r="I733" s="703"/>
      <c r="J733" s="703"/>
      <c r="K733" s="703"/>
      <c r="L733" s="703"/>
      <c r="M733" s="703"/>
      <c r="N733" s="703"/>
      <c r="O733" s="703"/>
      <c r="P733" s="703"/>
      <c r="Q733" s="703"/>
      <c r="R733" s="703"/>
      <c r="S733" s="703"/>
      <c r="T733" s="703"/>
      <c r="U733" s="703"/>
      <c r="V733" s="703"/>
      <c r="W733" s="703"/>
      <c r="X733" s="703"/>
      <c r="Y733" s="703"/>
      <c r="Z733" s="703"/>
    </row>
    <row r="734">
      <c r="A734" s="703"/>
      <c r="B734" s="703"/>
      <c r="C734" s="703"/>
      <c r="D734" s="703"/>
      <c r="E734" s="703"/>
      <c r="F734" s="703"/>
      <c r="G734" s="703"/>
      <c r="H734" s="703"/>
      <c r="I734" s="703"/>
      <c r="J734" s="703"/>
      <c r="K734" s="703"/>
      <c r="L734" s="703"/>
      <c r="M734" s="703"/>
      <c r="N734" s="703"/>
      <c r="O734" s="703"/>
      <c r="P734" s="703"/>
      <c r="Q734" s="703"/>
      <c r="R734" s="703"/>
      <c r="S734" s="703"/>
      <c r="T734" s="703"/>
      <c r="U734" s="703"/>
      <c r="V734" s="703"/>
      <c r="W734" s="703"/>
      <c r="X734" s="703"/>
      <c r="Y734" s="703"/>
      <c r="Z734" s="703"/>
    </row>
    <row r="735">
      <c r="A735" s="703"/>
      <c r="B735" s="703"/>
      <c r="C735" s="703"/>
      <c r="D735" s="703"/>
      <c r="E735" s="703"/>
      <c r="F735" s="703"/>
      <c r="G735" s="703"/>
      <c r="H735" s="703"/>
      <c r="I735" s="703"/>
      <c r="J735" s="703"/>
      <c r="K735" s="703"/>
      <c r="L735" s="703"/>
      <c r="M735" s="703"/>
      <c r="N735" s="703"/>
      <c r="O735" s="703"/>
      <c r="P735" s="703"/>
      <c r="Q735" s="703"/>
      <c r="R735" s="703"/>
      <c r="S735" s="703"/>
      <c r="T735" s="703"/>
      <c r="U735" s="703"/>
      <c r="V735" s="703"/>
      <c r="W735" s="703"/>
      <c r="X735" s="703"/>
      <c r="Y735" s="703"/>
      <c r="Z735" s="703"/>
    </row>
    <row r="736">
      <c r="A736" s="703"/>
      <c r="B736" s="703"/>
      <c r="C736" s="703"/>
      <c r="D736" s="703"/>
      <c r="E736" s="703"/>
      <c r="F736" s="703"/>
      <c r="G736" s="703"/>
      <c r="H736" s="703"/>
      <c r="I736" s="703"/>
      <c r="J736" s="703"/>
      <c r="K736" s="703"/>
      <c r="L736" s="703"/>
      <c r="M736" s="703"/>
      <c r="N736" s="703"/>
      <c r="O736" s="703"/>
      <c r="P736" s="703"/>
      <c r="Q736" s="703"/>
      <c r="R736" s="703"/>
      <c r="S736" s="703"/>
      <c r="T736" s="703"/>
      <c r="U736" s="703"/>
      <c r="V736" s="703"/>
      <c r="W736" s="703"/>
      <c r="X736" s="703"/>
      <c r="Y736" s="703"/>
      <c r="Z736" s="703"/>
    </row>
    <row r="737">
      <c r="A737" s="703"/>
      <c r="B737" s="703"/>
      <c r="C737" s="703"/>
      <c r="D737" s="703"/>
      <c r="E737" s="703"/>
      <c r="F737" s="703"/>
      <c r="G737" s="703"/>
      <c r="H737" s="703"/>
      <c r="I737" s="703"/>
      <c r="J737" s="703"/>
      <c r="K737" s="703"/>
      <c r="L737" s="703"/>
      <c r="M737" s="703"/>
      <c r="N737" s="703"/>
      <c r="O737" s="703"/>
      <c r="P737" s="703"/>
      <c r="Q737" s="703"/>
      <c r="R737" s="703"/>
      <c r="S737" s="703"/>
      <c r="T737" s="703"/>
      <c r="U737" s="703"/>
      <c r="V737" s="703"/>
      <c r="W737" s="703"/>
      <c r="X737" s="703"/>
      <c r="Y737" s="703"/>
      <c r="Z737" s="703"/>
    </row>
    <row r="738">
      <c r="A738" s="703"/>
      <c r="B738" s="703"/>
      <c r="C738" s="703"/>
      <c r="D738" s="703"/>
      <c r="E738" s="703"/>
      <c r="F738" s="703"/>
      <c r="G738" s="703"/>
      <c r="H738" s="703"/>
      <c r="I738" s="703"/>
      <c r="J738" s="703"/>
      <c r="K738" s="703"/>
      <c r="L738" s="703"/>
      <c r="M738" s="703"/>
      <c r="N738" s="703"/>
      <c r="O738" s="703"/>
      <c r="P738" s="703"/>
      <c r="Q738" s="703"/>
      <c r="R738" s="703"/>
      <c r="S738" s="703"/>
      <c r="T738" s="703"/>
      <c r="U738" s="703"/>
      <c r="V738" s="703"/>
      <c r="W738" s="703"/>
      <c r="X738" s="703"/>
      <c r="Y738" s="703"/>
      <c r="Z738" s="703"/>
    </row>
    <row r="739">
      <c r="A739" s="703"/>
      <c r="B739" s="703"/>
      <c r="C739" s="703"/>
      <c r="D739" s="703"/>
      <c r="E739" s="703"/>
      <c r="F739" s="703"/>
      <c r="G739" s="703"/>
      <c r="H739" s="703"/>
      <c r="I739" s="703"/>
      <c r="J739" s="703"/>
      <c r="K739" s="703"/>
      <c r="L739" s="703"/>
      <c r="M739" s="703"/>
      <c r="N739" s="703"/>
      <c r="O739" s="703"/>
      <c r="P739" s="703"/>
      <c r="Q739" s="703"/>
      <c r="R739" s="703"/>
      <c r="S739" s="703"/>
      <c r="T739" s="703"/>
      <c r="U739" s="703"/>
      <c r="V739" s="703"/>
      <c r="W739" s="703"/>
      <c r="X739" s="703"/>
      <c r="Y739" s="703"/>
      <c r="Z739" s="703"/>
    </row>
    <row r="740">
      <c r="A740" s="703"/>
      <c r="B740" s="703"/>
      <c r="C740" s="703"/>
      <c r="D740" s="703"/>
      <c r="E740" s="703"/>
      <c r="F740" s="703"/>
      <c r="G740" s="703"/>
      <c r="H740" s="703"/>
      <c r="I740" s="703"/>
      <c r="J740" s="703"/>
      <c r="K740" s="703"/>
      <c r="L740" s="703"/>
      <c r="M740" s="703"/>
      <c r="N740" s="703"/>
      <c r="O740" s="703"/>
      <c r="P740" s="703"/>
      <c r="Q740" s="703"/>
      <c r="R740" s="703"/>
      <c r="S740" s="703"/>
      <c r="T740" s="703"/>
      <c r="U740" s="703"/>
      <c r="V740" s="703"/>
      <c r="W740" s="703"/>
      <c r="X740" s="703"/>
      <c r="Y740" s="703"/>
      <c r="Z740" s="703"/>
    </row>
    <row r="741">
      <c r="A741" s="703"/>
      <c r="B741" s="703"/>
      <c r="C741" s="703"/>
      <c r="D741" s="703"/>
      <c r="E741" s="703"/>
      <c r="F741" s="703"/>
      <c r="G741" s="703"/>
      <c r="H741" s="703"/>
      <c r="I741" s="703"/>
      <c r="J741" s="703"/>
      <c r="K741" s="703"/>
      <c r="L741" s="703"/>
      <c r="M741" s="703"/>
      <c r="N741" s="703"/>
      <c r="O741" s="703"/>
      <c r="P741" s="703"/>
      <c r="Q741" s="703"/>
      <c r="R741" s="703"/>
      <c r="S741" s="703"/>
      <c r="T741" s="703"/>
      <c r="U741" s="703"/>
      <c r="V741" s="703"/>
      <c r="W741" s="703"/>
      <c r="X741" s="703"/>
      <c r="Y741" s="703"/>
      <c r="Z741" s="703"/>
    </row>
    <row r="742">
      <c r="A742" s="703"/>
      <c r="B742" s="703"/>
      <c r="C742" s="703"/>
      <c r="D742" s="703"/>
      <c r="E742" s="703"/>
      <c r="F742" s="703"/>
      <c r="G742" s="703"/>
      <c r="H742" s="703"/>
      <c r="I742" s="703"/>
      <c r="J742" s="703"/>
      <c r="K742" s="703"/>
      <c r="L742" s="703"/>
      <c r="M742" s="703"/>
      <c r="N742" s="703"/>
      <c r="O742" s="703"/>
      <c r="P742" s="703"/>
      <c r="Q742" s="703"/>
      <c r="R742" s="703"/>
      <c r="S742" s="703"/>
      <c r="T742" s="703"/>
      <c r="U742" s="703"/>
      <c r="V742" s="703"/>
      <c r="W742" s="703"/>
      <c r="X742" s="703"/>
      <c r="Y742" s="703"/>
      <c r="Z742" s="703"/>
    </row>
    <row r="743">
      <c r="A743" s="703"/>
      <c r="B743" s="703"/>
      <c r="C743" s="703"/>
      <c r="D743" s="703"/>
      <c r="E743" s="703"/>
      <c r="F743" s="703"/>
      <c r="G743" s="703"/>
      <c r="H743" s="703"/>
      <c r="I743" s="703"/>
      <c r="J743" s="703"/>
      <c r="K743" s="703"/>
      <c r="L743" s="703"/>
      <c r="M743" s="703"/>
      <c r="N743" s="703"/>
      <c r="O743" s="703"/>
      <c r="P743" s="703"/>
      <c r="Q743" s="703"/>
      <c r="R743" s="703"/>
      <c r="S743" s="703"/>
      <c r="T743" s="703"/>
      <c r="U743" s="703"/>
      <c r="V743" s="703"/>
      <c r="W743" s="703"/>
      <c r="X743" s="703"/>
      <c r="Y743" s="703"/>
      <c r="Z743" s="703"/>
    </row>
    <row r="744">
      <c r="A744" s="703"/>
      <c r="B744" s="703"/>
      <c r="C744" s="703"/>
      <c r="D744" s="703"/>
      <c r="E744" s="703"/>
      <c r="F744" s="703"/>
      <c r="G744" s="703"/>
      <c r="H744" s="703"/>
      <c r="I744" s="703"/>
      <c r="J744" s="703"/>
      <c r="K744" s="703"/>
      <c r="L744" s="703"/>
      <c r="M744" s="703"/>
      <c r="N744" s="703"/>
      <c r="O744" s="703"/>
      <c r="P744" s="703"/>
      <c r="Q744" s="703"/>
      <c r="R744" s="703"/>
      <c r="S744" s="703"/>
      <c r="T744" s="703"/>
      <c r="U744" s="703"/>
      <c r="V744" s="703"/>
      <c r="W744" s="703"/>
      <c r="X744" s="703"/>
      <c r="Y744" s="703"/>
      <c r="Z744" s="703"/>
    </row>
    <row r="745">
      <c r="A745" s="703"/>
      <c r="B745" s="703"/>
      <c r="C745" s="703"/>
      <c r="D745" s="703"/>
      <c r="E745" s="703"/>
      <c r="F745" s="703"/>
      <c r="G745" s="703"/>
      <c r="H745" s="703"/>
      <c r="I745" s="703"/>
      <c r="J745" s="703"/>
      <c r="K745" s="703"/>
      <c r="L745" s="703"/>
      <c r="M745" s="703"/>
      <c r="N745" s="703"/>
      <c r="O745" s="703"/>
      <c r="P745" s="703"/>
      <c r="Q745" s="703"/>
      <c r="R745" s="703"/>
      <c r="S745" s="703"/>
      <c r="T745" s="703"/>
      <c r="U745" s="703"/>
      <c r="V745" s="703"/>
      <c r="W745" s="703"/>
      <c r="X745" s="703"/>
      <c r="Y745" s="703"/>
      <c r="Z745" s="703"/>
    </row>
    <row r="746">
      <c r="A746" s="703"/>
      <c r="B746" s="703"/>
      <c r="C746" s="703"/>
      <c r="D746" s="703"/>
      <c r="E746" s="703"/>
      <c r="F746" s="703"/>
      <c r="G746" s="703"/>
      <c r="H746" s="703"/>
      <c r="I746" s="703"/>
      <c r="J746" s="703"/>
      <c r="K746" s="703"/>
      <c r="L746" s="703"/>
      <c r="M746" s="703"/>
      <c r="N746" s="703"/>
      <c r="O746" s="703"/>
      <c r="P746" s="703"/>
      <c r="Q746" s="703"/>
      <c r="R746" s="703"/>
      <c r="S746" s="703"/>
      <c r="T746" s="703"/>
      <c r="U746" s="703"/>
      <c r="V746" s="703"/>
      <c r="W746" s="703"/>
      <c r="X746" s="703"/>
      <c r="Y746" s="703"/>
      <c r="Z746" s="703"/>
    </row>
    <row r="747">
      <c r="A747" s="703"/>
      <c r="B747" s="703"/>
      <c r="C747" s="703"/>
      <c r="D747" s="703"/>
      <c r="E747" s="703"/>
      <c r="F747" s="703"/>
      <c r="G747" s="703"/>
      <c r="H747" s="703"/>
      <c r="I747" s="703"/>
      <c r="J747" s="703"/>
      <c r="K747" s="703"/>
      <c r="L747" s="703"/>
      <c r="M747" s="703"/>
      <c r="N747" s="703"/>
      <c r="O747" s="703"/>
      <c r="P747" s="703"/>
      <c r="Q747" s="703"/>
      <c r="R747" s="703"/>
      <c r="S747" s="703"/>
      <c r="T747" s="703"/>
      <c r="U747" s="703"/>
      <c r="V747" s="703"/>
      <c r="W747" s="703"/>
      <c r="X747" s="703"/>
      <c r="Y747" s="703"/>
      <c r="Z747" s="703"/>
    </row>
    <row r="748">
      <c r="A748" s="703"/>
      <c r="B748" s="703"/>
      <c r="C748" s="703"/>
      <c r="D748" s="703"/>
      <c r="E748" s="703"/>
      <c r="F748" s="703"/>
      <c r="G748" s="703"/>
      <c r="H748" s="703"/>
      <c r="I748" s="703"/>
      <c r="J748" s="703"/>
      <c r="K748" s="703"/>
      <c r="L748" s="703"/>
      <c r="M748" s="703"/>
      <c r="N748" s="703"/>
      <c r="O748" s="703"/>
      <c r="P748" s="703"/>
      <c r="Q748" s="703"/>
      <c r="R748" s="703"/>
      <c r="S748" s="703"/>
      <c r="T748" s="703"/>
      <c r="U748" s="703"/>
      <c r="V748" s="703"/>
      <c r="W748" s="703"/>
      <c r="X748" s="703"/>
      <c r="Y748" s="703"/>
      <c r="Z748" s="703"/>
    </row>
    <row r="749">
      <c r="A749" s="703"/>
      <c r="B749" s="703"/>
      <c r="C749" s="703"/>
      <c r="D749" s="703"/>
      <c r="E749" s="703"/>
      <c r="F749" s="703"/>
      <c r="G749" s="703"/>
      <c r="H749" s="703"/>
      <c r="I749" s="703"/>
      <c r="J749" s="703"/>
      <c r="K749" s="703"/>
      <c r="L749" s="703"/>
      <c r="M749" s="703"/>
      <c r="N749" s="703"/>
      <c r="O749" s="703"/>
      <c r="P749" s="703"/>
      <c r="Q749" s="703"/>
      <c r="R749" s="703"/>
      <c r="S749" s="703"/>
      <c r="T749" s="703"/>
      <c r="U749" s="703"/>
      <c r="V749" s="703"/>
      <c r="W749" s="703"/>
      <c r="X749" s="703"/>
      <c r="Y749" s="703"/>
      <c r="Z749" s="703"/>
    </row>
    <row r="750">
      <c r="A750" s="703"/>
      <c r="B750" s="703"/>
      <c r="C750" s="703"/>
      <c r="D750" s="703"/>
      <c r="E750" s="703"/>
      <c r="F750" s="703"/>
      <c r="G750" s="703"/>
      <c r="H750" s="703"/>
      <c r="I750" s="703"/>
      <c r="J750" s="703"/>
      <c r="K750" s="703"/>
      <c r="L750" s="703"/>
      <c r="M750" s="703"/>
      <c r="N750" s="703"/>
      <c r="O750" s="703"/>
      <c r="P750" s="703"/>
      <c r="Q750" s="703"/>
      <c r="R750" s="703"/>
      <c r="S750" s="703"/>
      <c r="T750" s="703"/>
      <c r="U750" s="703"/>
      <c r="V750" s="703"/>
      <c r="W750" s="703"/>
      <c r="X750" s="703"/>
      <c r="Y750" s="703"/>
      <c r="Z750" s="703"/>
    </row>
    <row r="751">
      <c r="A751" s="703"/>
      <c r="B751" s="703"/>
      <c r="C751" s="703"/>
      <c r="D751" s="703"/>
      <c r="E751" s="703"/>
      <c r="F751" s="703"/>
      <c r="G751" s="703"/>
      <c r="H751" s="703"/>
      <c r="I751" s="703"/>
      <c r="J751" s="703"/>
      <c r="K751" s="703"/>
      <c r="L751" s="703"/>
      <c r="M751" s="703"/>
      <c r="N751" s="703"/>
      <c r="O751" s="703"/>
      <c r="P751" s="703"/>
      <c r="Q751" s="703"/>
      <c r="R751" s="703"/>
      <c r="S751" s="703"/>
      <c r="T751" s="703"/>
      <c r="U751" s="703"/>
      <c r="V751" s="703"/>
      <c r="W751" s="703"/>
      <c r="X751" s="703"/>
      <c r="Y751" s="703"/>
      <c r="Z751" s="703"/>
    </row>
    <row r="752">
      <c r="A752" s="703"/>
      <c r="B752" s="703"/>
      <c r="C752" s="703"/>
      <c r="D752" s="703"/>
      <c r="E752" s="703"/>
      <c r="F752" s="703"/>
      <c r="G752" s="703"/>
      <c r="H752" s="703"/>
      <c r="I752" s="703"/>
      <c r="J752" s="703"/>
      <c r="K752" s="703"/>
      <c r="L752" s="703"/>
      <c r="M752" s="703"/>
      <c r="N752" s="703"/>
      <c r="O752" s="703"/>
      <c r="P752" s="703"/>
      <c r="Q752" s="703"/>
      <c r="R752" s="703"/>
      <c r="S752" s="703"/>
      <c r="T752" s="703"/>
      <c r="U752" s="703"/>
      <c r="V752" s="703"/>
      <c r="W752" s="703"/>
      <c r="X752" s="703"/>
      <c r="Y752" s="703"/>
      <c r="Z752" s="703"/>
    </row>
    <row r="753">
      <c r="A753" s="703"/>
      <c r="B753" s="703"/>
      <c r="C753" s="703"/>
      <c r="D753" s="703"/>
      <c r="E753" s="703"/>
      <c r="F753" s="703"/>
      <c r="G753" s="703"/>
      <c r="H753" s="703"/>
      <c r="I753" s="703"/>
      <c r="J753" s="703"/>
      <c r="K753" s="703"/>
      <c r="L753" s="703"/>
      <c r="M753" s="703"/>
      <c r="N753" s="703"/>
      <c r="O753" s="703"/>
      <c r="P753" s="703"/>
      <c r="Q753" s="703"/>
      <c r="R753" s="703"/>
      <c r="S753" s="703"/>
      <c r="T753" s="703"/>
      <c r="U753" s="703"/>
      <c r="V753" s="703"/>
      <c r="W753" s="703"/>
      <c r="X753" s="703"/>
      <c r="Y753" s="703"/>
      <c r="Z753" s="703"/>
    </row>
    <row r="754">
      <c r="A754" s="703"/>
      <c r="B754" s="703"/>
      <c r="C754" s="703"/>
      <c r="D754" s="703"/>
      <c r="E754" s="703"/>
      <c r="F754" s="703"/>
      <c r="G754" s="703"/>
      <c r="H754" s="703"/>
      <c r="I754" s="703"/>
      <c r="J754" s="703"/>
      <c r="K754" s="703"/>
      <c r="L754" s="703"/>
      <c r="M754" s="703"/>
      <c r="N754" s="703"/>
      <c r="O754" s="703"/>
      <c r="P754" s="703"/>
      <c r="Q754" s="703"/>
      <c r="R754" s="703"/>
      <c r="S754" s="703"/>
      <c r="T754" s="703"/>
      <c r="U754" s="703"/>
      <c r="V754" s="703"/>
      <c r="W754" s="703"/>
      <c r="X754" s="703"/>
      <c r="Y754" s="703"/>
      <c r="Z754" s="703"/>
    </row>
    <row r="755">
      <c r="A755" s="703"/>
      <c r="B755" s="703"/>
      <c r="C755" s="703"/>
      <c r="D755" s="703"/>
      <c r="E755" s="703"/>
      <c r="F755" s="703"/>
      <c r="G755" s="703"/>
      <c r="H755" s="703"/>
      <c r="I755" s="703"/>
      <c r="J755" s="703"/>
      <c r="K755" s="703"/>
      <c r="L755" s="703"/>
      <c r="M755" s="703"/>
      <c r="N755" s="703"/>
      <c r="O755" s="703"/>
      <c r="P755" s="703"/>
      <c r="Q755" s="703"/>
      <c r="R755" s="703"/>
      <c r="S755" s="703"/>
      <c r="T755" s="703"/>
      <c r="U755" s="703"/>
      <c r="V755" s="703"/>
      <c r="W755" s="703"/>
      <c r="X755" s="703"/>
      <c r="Y755" s="703"/>
      <c r="Z755" s="703"/>
    </row>
    <row r="756">
      <c r="A756" s="703"/>
      <c r="B756" s="703"/>
      <c r="C756" s="703"/>
      <c r="D756" s="703"/>
      <c r="E756" s="703"/>
      <c r="F756" s="703"/>
      <c r="G756" s="703"/>
      <c r="H756" s="703"/>
      <c r="I756" s="703"/>
      <c r="J756" s="703"/>
      <c r="K756" s="703"/>
      <c r="L756" s="703"/>
      <c r="M756" s="703"/>
      <c r="N756" s="703"/>
      <c r="O756" s="703"/>
      <c r="P756" s="703"/>
      <c r="Q756" s="703"/>
      <c r="R756" s="703"/>
      <c r="S756" s="703"/>
      <c r="T756" s="703"/>
      <c r="U756" s="703"/>
      <c r="V756" s="703"/>
      <c r="W756" s="703"/>
      <c r="X756" s="703"/>
      <c r="Y756" s="703"/>
      <c r="Z756" s="703"/>
    </row>
    <row r="757">
      <c r="A757" s="703"/>
      <c r="B757" s="703"/>
      <c r="C757" s="703"/>
      <c r="D757" s="703"/>
      <c r="E757" s="703"/>
      <c r="F757" s="703"/>
      <c r="G757" s="703"/>
      <c r="H757" s="703"/>
      <c r="I757" s="703"/>
      <c r="J757" s="703"/>
      <c r="K757" s="703"/>
      <c r="L757" s="703"/>
      <c r="M757" s="703"/>
      <c r="N757" s="703"/>
      <c r="O757" s="703"/>
      <c r="P757" s="703"/>
      <c r="Q757" s="703"/>
      <c r="R757" s="703"/>
      <c r="S757" s="703"/>
      <c r="T757" s="703"/>
      <c r="U757" s="703"/>
      <c r="V757" s="703"/>
      <c r="W757" s="703"/>
      <c r="X757" s="703"/>
      <c r="Y757" s="703"/>
      <c r="Z757" s="703"/>
    </row>
    <row r="758">
      <c r="A758" s="703"/>
      <c r="B758" s="703"/>
      <c r="C758" s="703"/>
      <c r="D758" s="703"/>
      <c r="E758" s="703"/>
      <c r="F758" s="703"/>
      <c r="G758" s="703"/>
      <c r="H758" s="703"/>
      <c r="I758" s="703"/>
      <c r="J758" s="703"/>
      <c r="K758" s="703"/>
      <c r="L758" s="703"/>
      <c r="M758" s="703"/>
      <c r="N758" s="703"/>
      <c r="O758" s="703"/>
      <c r="P758" s="703"/>
      <c r="Q758" s="703"/>
      <c r="R758" s="703"/>
      <c r="S758" s="703"/>
      <c r="T758" s="703"/>
      <c r="U758" s="703"/>
      <c r="V758" s="703"/>
      <c r="W758" s="703"/>
      <c r="X758" s="703"/>
      <c r="Y758" s="703"/>
      <c r="Z758" s="703"/>
    </row>
    <row r="759">
      <c r="A759" s="703"/>
      <c r="B759" s="703"/>
      <c r="C759" s="703"/>
      <c r="D759" s="703"/>
      <c r="E759" s="703"/>
      <c r="F759" s="703"/>
      <c r="G759" s="703"/>
      <c r="H759" s="703"/>
      <c r="I759" s="703"/>
      <c r="J759" s="703"/>
      <c r="K759" s="703"/>
      <c r="L759" s="703"/>
      <c r="M759" s="703"/>
      <c r="N759" s="703"/>
      <c r="O759" s="703"/>
      <c r="P759" s="703"/>
      <c r="Q759" s="703"/>
      <c r="R759" s="703"/>
      <c r="S759" s="703"/>
      <c r="T759" s="703"/>
      <c r="U759" s="703"/>
      <c r="V759" s="703"/>
      <c r="W759" s="703"/>
      <c r="X759" s="703"/>
      <c r="Y759" s="703"/>
      <c r="Z759" s="703"/>
    </row>
    <row r="760">
      <c r="A760" s="703"/>
      <c r="B760" s="703"/>
      <c r="C760" s="703"/>
      <c r="D760" s="703"/>
      <c r="E760" s="703"/>
      <c r="F760" s="703"/>
      <c r="G760" s="703"/>
      <c r="H760" s="703"/>
      <c r="I760" s="703"/>
      <c r="J760" s="703"/>
      <c r="K760" s="703"/>
      <c r="L760" s="703"/>
      <c r="M760" s="703"/>
      <c r="N760" s="703"/>
      <c r="O760" s="703"/>
      <c r="P760" s="703"/>
      <c r="Q760" s="703"/>
      <c r="R760" s="703"/>
      <c r="S760" s="703"/>
      <c r="T760" s="703"/>
      <c r="U760" s="703"/>
      <c r="V760" s="703"/>
      <c r="W760" s="703"/>
      <c r="X760" s="703"/>
      <c r="Y760" s="703"/>
      <c r="Z760" s="703"/>
    </row>
    <row r="761">
      <c r="A761" s="703"/>
      <c r="B761" s="703"/>
      <c r="C761" s="703"/>
      <c r="D761" s="703"/>
      <c r="E761" s="703"/>
      <c r="F761" s="703"/>
      <c r="G761" s="703"/>
      <c r="H761" s="703"/>
      <c r="I761" s="703"/>
      <c r="J761" s="703"/>
      <c r="K761" s="703"/>
      <c r="L761" s="703"/>
      <c r="M761" s="703"/>
      <c r="N761" s="703"/>
      <c r="O761" s="703"/>
      <c r="P761" s="703"/>
      <c r="Q761" s="703"/>
      <c r="R761" s="703"/>
      <c r="S761" s="703"/>
      <c r="T761" s="703"/>
      <c r="U761" s="703"/>
      <c r="V761" s="703"/>
      <c r="W761" s="703"/>
      <c r="X761" s="703"/>
      <c r="Y761" s="703"/>
      <c r="Z761" s="703"/>
    </row>
    <row r="762">
      <c r="A762" s="703"/>
      <c r="B762" s="703"/>
      <c r="C762" s="703"/>
      <c r="D762" s="703"/>
      <c r="E762" s="703"/>
      <c r="F762" s="703"/>
      <c r="G762" s="703"/>
      <c r="H762" s="703"/>
      <c r="I762" s="703"/>
      <c r="J762" s="703"/>
      <c r="K762" s="703"/>
      <c r="L762" s="703"/>
      <c r="M762" s="703"/>
      <c r="N762" s="703"/>
      <c r="O762" s="703"/>
      <c r="P762" s="703"/>
      <c r="Q762" s="703"/>
      <c r="R762" s="703"/>
      <c r="S762" s="703"/>
      <c r="T762" s="703"/>
      <c r="U762" s="703"/>
      <c r="V762" s="703"/>
      <c r="W762" s="703"/>
      <c r="X762" s="703"/>
      <c r="Y762" s="703"/>
      <c r="Z762" s="703"/>
    </row>
    <row r="763">
      <c r="A763" s="703"/>
      <c r="B763" s="703"/>
      <c r="C763" s="703"/>
      <c r="D763" s="703"/>
      <c r="E763" s="703"/>
      <c r="F763" s="703"/>
      <c r="G763" s="703"/>
      <c r="H763" s="703"/>
      <c r="I763" s="703"/>
      <c r="J763" s="703"/>
      <c r="K763" s="703"/>
      <c r="L763" s="703"/>
      <c r="M763" s="703"/>
      <c r="N763" s="703"/>
      <c r="O763" s="703"/>
      <c r="P763" s="703"/>
      <c r="Q763" s="703"/>
      <c r="R763" s="703"/>
      <c r="S763" s="703"/>
      <c r="T763" s="703"/>
      <c r="U763" s="703"/>
      <c r="V763" s="703"/>
      <c r="W763" s="703"/>
      <c r="X763" s="703"/>
      <c r="Y763" s="703"/>
      <c r="Z763" s="703"/>
    </row>
    <row r="764">
      <c r="A764" s="703"/>
      <c r="B764" s="703"/>
      <c r="C764" s="703"/>
      <c r="D764" s="703"/>
      <c r="E764" s="703"/>
      <c r="F764" s="703"/>
      <c r="G764" s="703"/>
      <c r="H764" s="703"/>
      <c r="I764" s="703"/>
      <c r="J764" s="703"/>
      <c r="K764" s="703"/>
      <c r="L764" s="703"/>
      <c r="M764" s="703"/>
      <c r="N764" s="703"/>
      <c r="O764" s="703"/>
      <c r="P764" s="703"/>
      <c r="Q764" s="703"/>
      <c r="R764" s="703"/>
      <c r="S764" s="703"/>
      <c r="T764" s="703"/>
      <c r="U764" s="703"/>
      <c r="V764" s="703"/>
      <c r="W764" s="703"/>
      <c r="X764" s="703"/>
      <c r="Y764" s="703"/>
      <c r="Z764" s="703"/>
    </row>
    <row r="765">
      <c r="A765" s="703"/>
      <c r="B765" s="703"/>
      <c r="C765" s="703"/>
      <c r="D765" s="703"/>
      <c r="E765" s="703"/>
      <c r="F765" s="703"/>
      <c r="G765" s="703"/>
      <c r="H765" s="703"/>
      <c r="I765" s="703"/>
      <c r="J765" s="703"/>
      <c r="K765" s="703"/>
      <c r="L765" s="703"/>
      <c r="M765" s="703"/>
      <c r="N765" s="703"/>
      <c r="O765" s="703"/>
      <c r="P765" s="703"/>
      <c r="Q765" s="703"/>
      <c r="R765" s="703"/>
      <c r="S765" s="703"/>
      <c r="T765" s="703"/>
      <c r="U765" s="703"/>
      <c r="V765" s="703"/>
      <c r="W765" s="703"/>
      <c r="X765" s="703"/>
      <c r="Y765" s="703"/>
      <c r="Z765" s="703"/>
    </row>
    <row r="766">
      <c r="A766" s="703"/>
      <c r="B766" s="703"/>
      <c r="C766" s="703"/>
      <c r="D766" s="703"/>
      <c r="E766" s="703"/>
      <c r="F766" s="703"/>
      <c r="G766" s="703"/>
      <c r="H766" s="703"/>
      <c r="I766" s="703"/>
      <c r="J766" s="703"/>
      <c r="K766" s="703"/>
      <c r="L766" s="703"/>
      <c r="M766" s="703"/>
      <c r="N766" s="703"/>
      <c r="O766" s="703"/>
      <c r="P766" s="703"/>
      <c r="Q766" s="703"/>
      <c r="R766" s="703"/>
      <c r="S766" s="703"/>
      <c r="T766" s="703"/>
      <c r="U766" s="703"/>
      <c r="V766" s="703"/>
      <c r="W766" s="703"/>
      <c r="X766" s="703"/>
      <c r="Y766" s="703"/>
      <c r="Z766" s="703"/>
    </row>
    <row r="767">
      <c r="A767" s="703"/>
      <c r="B767" s="703"/>
      <c r="C767" s="703"/>
      <c r="D767" s="703"/>
      <c r="E767" s="703"/>
      <c r="F767" s="703"/>
      <c r="G767" s="703"/>
      <c r="H767" s="703"/>
      <c r="I767" s="703"/>
      <c r="J767" s="703"/>
      <c r="K767" s="703"/>
      <c r="L767" s="703"/>
      <c r="M767" s="703"/>
      <c r="N767" s="703"/>
      <c r="O767" s="703"/>
      <c r="P767" s="703"/>
      <c r="Q767" s="703"/>
      <c r="R767" s="703"/>
      <c r="S767" s="703"/>
      <c r="T767" s="703"/>
      <c r="U767" s="703"/>
      <c r="V767" s="703"/>
      <c r="W767" s="703"/>
      <c r="X767" s="703"/>
      <c r="Y767" s="703"/>
      <c r="Z767" s="703"/>
    </row>
    <row r="768">
      <c r="A768" s="703"/>
      <c r="B768" s="703"/>
      <c r="C768" s="703"/>
      <c r="D768" s="703"/>
      <c r="E768" s="703"/>
      <c r="F768" s="703"/>
      <c r="G768" s="703"/>
      <c r="H768" s="703"/>
      <c r="I768" s="703"/>
      <c r="J768" s="703"/>
      <c r="K768" s="703"/>
      <c r="L768" s="703"/>
      <c r="M768" s="703"/>
      <c r="N768" s="703"/>
      <c r="O768" s="703"/>
      <c r="P768" s="703"/>
      <c r="Q768" s="703"/>
      <c r="R768" s="703"/>
      <c r="S768" s="703"/>
      <c r="T768" s="703"/>
      <c r="U768" s="703"/>
      <c r="V768" s="703"/>
      <c r="W768" s="703"/>
      <c r="X768" s="703"/>
      <c r="Y768" s="703"/>
      <c r="Z768" s="703"/>
    </row>
    <row r="769">
      <c r="A769" s="703"/>
      <c r="B769" s="703"/>
      <c r="C769" s="703"/>
      <c r="D769" s="703"/>
      <c r="E769" s="703"/>
      <c r="F769" s="703"/>
      <c r="G769" s="703"/>
      <c r="H769" s="703"/>
      <c r="I769" s="703"/>
      <c r="J769" s="703"/>
      <c r="K769" s="703"/>
      <c r="L769" s="703"/>
      <c r="M769" s="703"/>
      <c r="N769" s="703"/>
      <c r="O769" s="703"/>
      <c r="P769" s="703"/>
      <c r="Q769" s="703"/>
      <c r="R769" s="703"/>
      <c r="S769" s="703"/>
      <c r="T769" s="703"/>
      <c r="U769" s="703"/>
      <c r="V769" s="703"/>
      <c r="W769" s="703"/>
      <c r="X769" s="703"/>
      <c r="Y769" s="703"/>
      <c r="Z769" s="703"/>
    </row>
    <row r="770">
      <c r="A770" s="703"/>
      <c r="B770" s="703"/>
      <c r="C770" s="703"/>
      <c r="D770" s="703"/>
      <c r="E770" s="703"/>
      <c r="F770" s="703"/>
      <c r="G770" s="703"/>
      <c r="H770" s="703"/>
      <c r="I770" s="703"/>
      <c r="J770" s="703"/>
      <c r="K770" s="703"/>
      <c r="L770" s="703"/>
      <c r="M770" s="703"/>
      <c r="N770" s="703"/>
      <c r="O770" s="703"/>
      <c r="P770" s="703"/>
      <c r="Q770" s="703"/>
      <c r="R770" s="703"/>
      <c r="S770" s="703"/>
      <c r="T770" s="703"/>
      <c r="U770" s="703"/>
      <c r="V770" s="703"/>
      <c r="W770" s="703"/>
      <c r="X770" s="703"/>
      <c r="Y770" s="703"/>
      <c r="Z770" s="703"/>
    </row>
    <row r="771">
      <c r="A771" s="703"/>
      <c r="B771" s="703"/>
      <c r="C771" s="703"/>
      <c r="D771" s="703"/>
      <c r="E771" s="703"/>
      <c r="F771" s="703"/>
      <c r="G771" s="703"/>
      <c r="H771" s="703"/>
      <c r="I771" s="703"/>
      <c r="J771" s="703"/>
      <c r="K771" s="703"/>
      <c r="L771" s="703"/>
      <c r="M771" s="703"/>
      <c r="N771" s="703"/>
      <c r="O771" s="703"/>
      <c r="P771" s="703"/>
      <c r="Q771" s="703"/>
      <c r="R771" s="703"/>
      <c r="S771" s="703"/>
      <c r="T771" s="703"/>
      <c r="U771" s="703"/>
      <c r="V771" s="703"/>
      <c r="W771" s="703"/>
      <c r="X771" s="703"/>
      <c r="Y771" s="703"/>
      <c r="Z771" s="703"/>
    </row>
    <row r="772">
      <c r="A772" s="703"/>
      <c r="B772" s="703"/>
      <c r="C772" s="703"/>
      <c r="D772" s="703"/>
      <c r="E772" s="703"/>
      <c r="F772" s="703"/>
      <c r="G772" s="703"/>
      <c r="H772" s="703"/>
      <c r="I772" s="703"/>
      <c r="J772" s="703"/>
      <c r="K772" s="703"/>
      <c r="L772" s="703"/>
      <c r="M772" s="703"/>
      <c r="N772" s="703"/>
      <c r="O772" s="703"/>
      <c r="P772" s="703"/>
      <c r="Q772" s="703"/>
      <c r="R772" s="703"/>
      <c r="S772" s="703"/>
      <c r="T772" s="703"/>
      <c r="U772" s="703"/>
      <c r="V772" s="703"/>
      <c r="W772" s="703"/>
      <c r="X772" s="703"/>
      <c r="Y772" s="703"/>
      <c r="Z772" s="703"/>
    </row>
    <row r="773">
      <c r="A773" s="703"/>
      <c r="B773" s="703"/>
      <c r="C773" s="703"/>
      <c r="D773" s="703"/>
      <c r="E773" s="703"/>
      <c r="F773" s="703"/>
      <c r="G773" s="703"/>
      <c r="H773" s="703"/>
      <c r="I773" s="703"/>
      <c r="J773" s="703"/>
      <c r="K773" s="703"/>
      <c r="L773" s="703"/>
      <c r="M773" s="703"/>
      <c r="N773" s="703"/>
      <c r="O773" s="703"/>
      <c r="P773" s="703"/>
      <c r="Q773" s="703"/>
      <c r="R773" s="703"/>
      <c r="S773" s="703"/>
      <c r="T773" s="703"/>
      <c r="U773" s="703"/>
      <c r="V773" s="703"/>
      <c r="W773" s="703"/>
      <c r="X773" s="703"/>
      <c r="Y773" s="703"/>
      <c r="Z773" s="703"/>
    </row>
    <row r="774">
      <c r="A774" s="703"/>
      <c r="B774" s="703"/>
      <c r="C774" s="703"/>
      <c r="D774" s="703"/>
      <c r="E774" s="703"/>
      <c r="F774" s="703"/>
      <c r="G774" s="703"/>
      <c r="H774" s="703"/>
      <c r="I774" s="703"/>
      <c r="J774" s="703"/>
      <c r="K774" s="703"/>
      <c r="L774" s="703"/>
      <c r="M774" s="703"/>
      <c r="N774" s="703"/>
      <c r="O774" s="703"/>
      <c r="P774" s="703"/>
      <c r="Q774" s="703"/>
      <c r="R774" s="703"/>
      <c r="S774" s="703"/>
      <c r="T774" s="703"/>
      <c r="U774" s="703"/>
      <c r="V774" s="703"/>
      <c r="W774" s="703"/>
      <c r="X774" s="703"/>
      <c r="Y774" s="703"/>
      <c r="Z774" s="703"/>
    </row>
    <row r="775">
      <c r="A775" s="703"/>
      <c r="B775" s="703"/>
      <c r="C775" s="703"/>
      <c r="D775" s="703"/>
      <c r="E775" s="703"/>
      <c r="F775" s="703"/>
      <c r="G775" s="703"/>
      <c r="H775" s="703"/>
      <c r="I775" s="703"/>
      <c r="J775" s="703"/>
      <c r="K775" s="703"/>
      <c r="L775" s="703"/>
      <c r="M775" s="703"/>
      <c r="N775" s="703"/>
      <c r="O775" s="703"/>
      <c r="P775" s="703"/>
      <c r="Q775" s="703"/>
      <c r="R775" s="703"/>
      <c r="S775" s="703"/>
      <c r="T775" s="703"/>
      <c r="U775" s="703"/>
      <c r="V775" s="703"/>
      <c r="W775" s="703"/>
      <c r="X775" s="703"/>
      <c r="Y775" s="703"/>
      <c r="Z775" s="703"/>
    </row>
    <row r="776">
      <c r="A776" s="703"/>
      <c r="B776" s="703"/>
      <c r="C776" s="703"/>
      <c r="D776" s="703"/>
      <c r="E776" s="703"/>
      <c r="F776" s="703"/>
      <c r="G776" s="703"/>
      <c r="H776" s="703"/>
      <c r="I776" s="703"/>
      <c r="J776" s="703"/>
      <c r="K776" s="703"/>
      <c r="L776" s="703"/>
      <c r="M776" s="703"/>
      <c r="N776" s="703"/>
      <c r="O776" s="703"/>
      <c r="P776" s="703"/>
      <c r="Q776" s="703"/>
      <c r="R776" s="703"/>
      <c r="S776" s="703"/>
      <c r="T776" s="703"/>
      <c r="U776" s="703"/>
      <c r="V776" s="703"/>
      <c r="W776" s="703"/>
      <c r="X776" s="703"/>
      <c r="Y776" s="703"/>
      <c r="Z776" s="703"/>
    </row>
    <row r="777">
      <c r="A777" s="703"/>
      <c r="B777" s="703"/>
      <c r="C777" s="703"/>
      <c r="D777" s="703"/>
      <c r="E777" s="703"/>
      <c r="F777" s="703"/>
      <c r="G777" s="703"/>
      <c r="H777" s="703"/>
      <c r="I777" s="703"/>
      <c r="J777" s="703"/>
      <c r="K777" s="703"/>
      <c r="L777" s="703"/>
      <c r="M777" s="703"/>
      <c r="N777" s="703"/>
      <c r="O777" s="703"/>
      <c r="P777" s="703"/>
      <c r="Q777" s="703"/>
      <c r="R777" s="703"/>
      <c r="S777" s="703"/>
      <c r="T777" s="703"/>
      <c r="U777" s="703"/>
      <c r="V777" s="703"/>
      <c r="W777" s="703"/>
      <c r="X777" s="703"/>
      <c r="Y777" s="703"/>
      <c r="Z777" s="703"/>
    </row>
    <row r="778">
      <c r="A778" s="703"/>
      <c r="B778" s="703"/>
      <c r="C778" s="703"/>
      <c r="D778" s="703"/>
      <c r="E778" s="703"/>
      <c r="F778" s="703"/>
      <c r="G778" s="703"/>
      <c r="H778" s="703"/>
      <c r="I778" s="703"/>
      <c r="J778" s="703"/>
      <c r="K778" s="703"/>
      <c r="L778" s="703"/>
      <c r="M778" s="703"/>
      <c r="N778" s="703"/>
      <c r="O778" s="703"/>
      <c r="P778" s="703"/>
      <c r="Q778" s="703"/>
      <c r="R778" s="703"/>
      <c r="S778" s="703"/>
      <c r="T778" s="703"/>
      <c r="U778" s="703"/>
      <c r="V778" s="703"/>
      <c r="W778" s="703"/>
      <c r="X778" s="703"/>
      <c r="Y778" s="703"/>
      <c r="Z778" s="703"/>
    </row>
    <row r="779">
      <c r="A779" s="703"/>
      <c r="B779" s="703"/>
      <c r="C779" s="703"/>
      <c r="D779" s="703"/>
      <c r="E779" s="703"/>
      <c r="F779" s="703"/>
      <c r="G779" s="703"/>
      <c r="H779" s="703"/>
      <c r="I779" s="703"/>
      <c r="J779" s="703"/>
      <c r="K779" s="703"/>
      <c r="L779" s="703"/>
      <c r="M779" s="703"/>
      <c r="N779" s="703"/>
      <c r="O779" s="703"/>
      <c r="P779" s="703"/>
      <c r="Q779" s="703"/>
      <c r="R779" s="703"/>
      <c r="S779" s="703"/>
      <c r="T779" s="703"/>
      <c r="U779" s="703"/>
      <c r="V779" s="703"/>
      <c r="W779" s="703"/>
      <c r="X779" s="703"/>
      <c r="Y779" s="703"/>
      <c r="Z779" s="703"/>
    </row>
    <row r="780">
      <c r="A780" s="703"/>
      <c r="B780" s="703"/>
      <c r="C780" s="703"/>
      <c r="D780" s="703"/>
      <c r="E780" s="703"/>
      <c r="F780" s="703"/>
      <c r="G780" s="703"/>
      <c r="H780" s="703"/>
      <c r="I780" s="703"/>
      <c r="J780" s="703"/>
      <c r="K780" s="703"/>
      <c r="L780" s="703"/>
      <c r="M780" s="703"/>
      <c r="N780" s="703"/>
      <c r="O780" s="703"/>
      <c r="P780" s="703"/>
      <c r="Q780" s="703"/>
      <c r="R780" s="703"/>
      <c r="S780" s="703"/>
      <c r="T780" s="703"/>
      <c r="U780" s="703"/>
      <c r="V780" s="703"/>
      <c r="W780" s="703"/>
      <c r="X780" s="703"/>
      <c r="Y780" s="703"/>
      <c r="Z780" s="703"/>
    </row>
    <row r="781">
      <c r="A781" s="703"/>
      <c r="B781" s="703"/>
      <c r="C781" s="703"/>
      <c r="D781" s="703"/>
      <c r="E781" s="703"/>
      <c r="F781" s="703"/>
      <c r="G781" s="703"/>
      <c r="H781" s="703"/>
      <c r="I781" s="703"/>
      <c r="J781" s="703"/>
      <c r="K781" s="703"/>
      <c r="L781" s="703"/>
      <c r="M781" s="703"/>
      <c r="N781" s="703"/>
      <c r="O781" s="703"/>
      <c r="P781" s="703"/>
      <c r="Q781" s="703"/>
      <c r="R781" s="703"/>
      <c r="S781" s="703"/>
      <c r="T781" s="703"/>
      <c r="U781" s="703"/>
      <c r="V781" s="703"/>
      <c r="W781" s="703"/>
      <c r="X781" s="703"/>
      <c r="Y781" s="703"/>
      <c r="Z781" s="703"/>
    </row>
    <row r="782">
      <c r="A782" s="703"/>
      <c r="B782" s="703"/>
      <c r="C782" s="703"/>
      <c r="D782" s="703"/>
      <c r="E782" s="703"/>
      <c r="F782" s="703"/>
      <c r="G782" s="703"/>
      <c r="H782" s="703"/>
      <c r="I782" s="703"/>
      <c r="J782" s="703"/>
      <c r="K782" s="703"/>
      <c r="L782" s="703"/>
      <c r="M782" s="703"/>
      <c r="N782" s="703"/>
      <c r="O782" s="703"/>
      <c r="P782" s="703"/>
      <c r="Q782" s="703"/>
      <c r="R782" s="703"/>
      <c r="S782" s="703"/>
      <c r="T782" s="703"/>
      <c r="U782" s="703"/>
      <c r="V782" s="703"/>
      <c r="W782" s="703"/>
      <c r="X782" s="703"/>
      <c r="Y782" s="703"/>
      <c r="Z782" s="703"/>
    </row>
    <row r="783">
      <c r="A783" s="703"/>
      <c r="B783" s="703"/>
      <c r="C783" s="703"/>
      <c r="D783" s="703"/>
      <c r="E783" s="703"/>
      <c r="F783" s="703"/>
      <c r="G783" s="703"/>
      <c r="H783" s="703"/>
      <c r="I783" s="703"/>
      <c r="J783" s="703"/>
      <c r="K783" s="703"/>
      <c r="L783" s="703"/>
      <c r="M783" s="703"/>
      <c r="N783" s="703"/>
      <c r="O783" s="703"/>
      <c r="P783" s="703"/>
      <c r="Q783" s="703"/>
      <c r="R783" s="703"/>
      <c r="S783" s="703"/>
      <c r="T783" s="703"/>
      <c r="U783" s="703"/>
      <c r="V783" s="703"/>
      <c r="W783" s="703"/>
      <c r="X783" s="703"/>
      <c r="Y783" s="703"/>
      <c r="Z783" s="703"/>
    </row>
    <row r="784">
      <c r="A784" s="703"/>
      <c r="B784" s="703"/>
      <c r="C784" s="703"/>
      <c r="D784" s="703"/>
      <c r="E784" s="703"/>
      <c r="F784" s="703"/>
      <c r="G784" s="703"/>
      <c r="H784" s="703"/>
      <c r="I784" s="703"/>
      <c r="J784" s="703"/>
      <c r="K784" s="703"/>
      <c r="L784" s="703"/>
      <c r="M784" s="703"/>
      <c r="N784" s="703"/>
      <c r="O784" s="703"/>
      <c r="P784" s="703"/>
      <c r="Q784" s="703"/>
      <c r="R784" s="703"/>
      <c r="S784" s="703"/>
      <c r="T784" s="703"/>
      <c r="U784" s="703"/>
      <c r="V784" s="703"/>
      <c r="W784" s="703"/>
      <c r="X784" s="703"/>
      <c r="Y784" s="703"/>
      <c r="Z784" s="703"/>
    </row>
    <row r="785">
      <c r="A785" s="703"/>
      <c r="B785" s="703"/>
      <c r="C785" s="703"/>
      <c r="D785" s="703"/>
      <c r="E785" s="703"/>
      <c r="F785" s="703"/>
      <c r="G785" s="703"/>
      <c r="H785" s="703"/>
      <c r="I785" s="703"/>
      <c r="J785" s="703"/>
      <c r="K785" s="703"/>
      <c r="L785" s="703"/>
      <c r="M785" s="703"/>
      <c r="N785" s="703"/>
      <c r="O785" s="703"/>
      <c r="P785" s="703"/>
      <c r="Q785" s="703"/>
      <c r="R785" s="703"/>
      <c r="S785" s="703"/>
      <c r="T785" s="703"/>
      <c r="U785" s="703"/>
      <c r="V785" s="703"/>
      <c r="W785" s="703"/>
      <c r="X785" s="703"/>
      <c r="Y785" s="703"/>
      <c r="Z785" s="703"/>
    </row>
    <row r="786">
      <c r="A786" s="703"/>
      <c r="B786" s="703"/>
      <c r="C786" s="703"/>
      <c r="D786" s="703"/>
      <c r="E786" s="703"/>
      <c r="F786" s="703"/>
      <c r="G786" s="703"/>
      <c r="H786" s="703"/>
      <c r="I786" s="703"/>
      <c r="J786" s="703"/>
      <c r="K786" s="703"/>
      <c r="L786" s="703"/>
      <c r="M786" s="703"/>
      <c r="N786" s="703"/>
      <c r="O786" s="703"/>
      <c r="P786" s="703"/>
      <c r="Q786" s="703"/>
      <c r="R786" s="703"/>
      <c r="S786" s="703"/>
      <c r="T786" s="703"/>
      <c r="U786" s="703"/>
      <c r="V786" s="703"/>
      <c r="W786" s="703"/>
      <c r="X786" s="703"/>
      <c r="Y786" s="703"/>
      <c r="Z786" s="703"/>
    </row>
    <row r="787">
      <c r="A787" s="703"/>
      <c r="B787" s="703"/>
      <c r="C787" s="703"/>
      <c r="D787" s="703"/>
      <c r="E787" s="703"/>
      <c r="F787" s="703"/>
      <c r="G787" s="703"/>
      <c r="H787" s="703"/>
      <c r="I787" s="703"/>
      <c r="J787" s="703"/>
      <c r="K787" s="703"/>
      <c r="L787" s="703"/>
      <c r="M787" s="703"/>
      <c r="N787" s="703"/>
      <c r="O787" s="703"/>
      <c r="P787" s="703"/>
      <c r="Q787" s="703"/>
      <c r="R787" s="703"/>
      <c r="S787" s="703"/>
      <c r="T787" s="703"/>
      <c r="U787" s="703"/>
      <c r="V787" s="703"/>
      <c r="W787" s="703"/>
      <c r="X787" s="703"/>
      <c r="Y787" s="703"/>
      <c r="Z787" s="703"/>
    </row>
    <row r="788">
      <c r="A788" s="703"/>
      <c r="B788" s="703"/>
      <c r="C788" s="703"/>
      <c r="D788" s="703"/>
      <c r="E788" s="703"/>
      <c r="F788" s="703"/>
      <c r="G788" s="703"/>
      <c r="H788" s="703"/>
      <c r="I788" s="703"/>
      <c r="J788" s="703"/>
      <c r="K788" s="703"/>
      <c r="L788" s="703"/>
      <c r="M788" s="703"/>
      <c r="N788" s="703"/>
      <c r="O788" s="703"/>
      <c r="P788" s="703"/>
      <c r="Q788" s="703"/>
      <c r="R788" s="703"/>
      <c r="S788" s="703"/>
      <c r="T788" s="703"/>
      <c r="U788" s="703"/>
      <c r="V788" s="703"/>
      <c r="W788" s="703"/>
      <c r="X788" s="703"/>
      <c r="Y788" s="703"/>
      <c r="Z788" s="703"/>
    </row>
    <row r="789">
      <c r="A789" s="703"/>
      <c r="B789" s="703"/>
      <c r="C789" s="703"/>
      <c r="D789" s="703"/>
      <c r="E789" s="703"/>
      <c r="F789" s="703"/>
      <c r="G789" s="703"/>
      <c r="H789" s="703"/>
      <c r="I789" s="703"/>
      <c r="J789" s="703"/>
      <c r="K789" s="703"/>
      <c r="L789" s="703"/>
      <c r="M789" s="703"/>
      <c r="N789" s="703"/>
      <c r="O789" s="703"/>
      <c r="P789" s="703"/>
      <c r="Q789" s="703"/>
      <c r="R789" s="703"/>
      <c r="S789" s="703"/>
      <c r="T789" s="703"/>
      <c r="U789" s="703"/>
      <c r="V789" s="703"/>
      <c r="W789" s="703"/>
      <c r="X789" s="703"/>
      <c r="Y789" s="703"/>
      <c r="Z789" s="703"/>
    </row>
    <row r="790">
      <c r="A790" s="703"/>
      <c r="B790" s="703"/>
      <c r="C790" s="703"/>
      <c r="D790" s="703"/>
      <c r="E790" s="703"/>
      <c r="F790" s="703"/>
      <c r="G790" s="703"/>
      <c r="H790" s="703"/>
      <c r="I790" s="703"/>
      <c r="J790" s="703"/>
      <c r="K790" s="703"/>
      <c r="L790" s="703"/>
      <c r="M790" s="703"/>
      <c r="N790" s="703"/>
      <c r="O790" s="703"/>
      <c r="P790" s="703"/>
      <c r="Q790" s="703"/>
      <c r="R790" s="703"/>
      <c r="S790" s="703"/>
      <c r="T790" s="703"/>
      <c r="U790" s="703"/>
      <c r="V790" s="703"/>
      <c r="W790" s="703"/>
      <c r="X790" s="703"/>
      <c r="Y790" s="703"/>
      <c r="Z790" s="703"/>
    </row>
    <row r="791">
      <c r="A791" s="703"/>
      <c r="B791" s="703"/>
      <c r="C791" s="703"/>
      <c r="D791" s="703"/>
      <c r="E791" s="703"/>
      <c r="F791" s="703"/>
      <c r="G791" s="703"/>
      <c r="H791" s="703"/>
      <c r="I791" s="703"/>
      <c r="J791" s="703"/>
      <c r="K791" s="703"/>
      <c r="L791" s="703"/>
      <c r="M791" s="703"/>
      <c r="N791" s="703"/>
      <c r="O791" s="703"/>
      <c r="P791" s="703"/>
      <c r="Q791" s="703"/>
      <c r="R791" s="703"/>
      <c r="S791" s="703"/>
      <c r="T791" s="703"/>
      <c r="U791" s="703"/>
      <c r="V791" s="703"/>
      <c r="W791" s="703"/>
      <c r="X791" s="703"/>
      <c r="Y791" s="703"/>
      <c r="Z791" s="703"/>
    </row>
    <row r="792">
      <c r="A792" s="703"/>
      <c r="B792" s="703"/>
      <c r="C792" s="703"/>
      <c r="D792" s="703"/>
      <c r="E792" s="703"/>
      <c r="F792" s="703"/>
      <c r="G792" s="703"/>
      <c r="H792" s="703"/>
      <c r="I792" s="703"/>
      <c r="J792" s="703"/>
      <c r="K792" s="703"/>
      <c r="L792" s="703"/>
      <c r="M792" s="703"/>
      <c r="N792" s="703"/>
      <c r="O792" s="703"/>
      <c r="P792" s="703"/>
      <c r="Q792" s="703"/>
      <c r="R792" s="703"/>
      <c r="S792" s="703"/>
      <c r="T792" s="703"/>
      <c r="U792" s="703"/>
      <c r="V792" s="703"/>
      <c r="W792" s="703"/>
      <c r="X792" s="703"/>
      <c r="Y792" s="703"/>
      <c r="Z792" s="703"/>
    </row>
    <row r="793">
      <c r="A793" s="703"/>
      <c r="B793" s="703"/>
      <c r="C793" s="703"/>
      <c r="D793" s="703"/>
      <c r="E793" s="703"/>
      <c r="F793" s="703"/>
      <c r="G793" s="703"/>
      <c r="H793" s="703"/>
      <c r="I793" s="703"/>
      <c r="J793" s="703"/>
      <c r="K793" s="703"/>
      <c r="L793" s="703"/>
      <c r="M793" s="703"/>
      <c r="N793" s="703"/>
      <c r="O793" s="703"/>
      <c r="P793" s="703"/>
      <c r="Q793" s="703"/>
      <c r="R793" s="703"/>
      <c r="S793" s="703"/>
      <c r="T793" s="703"/>
      <c r="U793" s="703"/>
      <c r="V793" s="703"/>
      <c r="W793" s="703"/>
      <c r="X793" s="703"/>
      <c r="Y793" s="703"/>
      <c r="Z793" s="703"/>
    </row>
    <row r="794">
      <c r="A794" s="703"/>
      <c r="B794" s="703"/>
      <c r="C794" s="703"/>
      <c r="D794" s="703"/>
      <c r="E794" s="703"/>
      <c r="F794" s="703"/>
      <c r="G794" s="703"/>
      <c r="H794" s="703"/>
      <c r="I794" s="703"/>
      <c r="J794" s="703"/>
      <c r="K794" s="703"/>
      <c r="L794" s="703"/>
      <c r="M794" s="703"/>
      <c r="N794" s="703"/>
      <c r="O794" s="703"/>
      <c r="P794" s="703"/>
      <c r="Q794" s="703"/>
      <c r="R794" s="703"/>
      <c r="S794" s="703"/>
      <c r="T794" s="703"/>
      <c r="U794" s="703"/>
      <c r="V794" s="703"/>
      <c r="W794" s="703"/>
      <c r="X794" s="703"/>
      <c r="Y794" s="703"/>
      <c r="Z794" s="703"/>
    </row>
    <row r="795">
      <c r="A795" s="703"/>
      <c r="B795" s="703"/>
      <c r="C795" s="703"/>
      <c r="D795" s="703"/>
      <c r="E795" s="703"/>
      <c r="F795" s="703"/>
      <c r="G795" s="703"/>
      <c r="H795" s="703"/>
      <c r="I795" s="703"/>
      <c r="J795" s="703"/>
      <c r="K795" s="703"/>
      <c r="L795" s="703"/>
      <c r="M795" s="703"/>
      <c r="N795" s="703"/>
      <c r="O795" s="703"/>
      <c r="P795" s="703"/>
      <c r="Q795" s="703"/>
      <c r="R795" s="703"/>
      <c r="S795" s="703"/>
      <c r="T795" s="703"/>
      <c r="U795" s="703"/>
      <c r="V795" s="703"/>
      <c r="W795" s="703"/>
      <c r="X795" s="703"/>
      <c r="Y795" s="703"/>
      <c r="Z795" s="703"/>
    </row>
    <row r="796">
      <c r="A796" s="703"/>
      <c r="B796" s="703"/>
      <c r="C796" s="703"/>
      <c r="D796" s="703"/>
      <c r="E796" s="703"/>
      <c r="F796" s="703"/>
      <c r="G796" s="703"/>
      <c r="H796" s="703"/>
      <c r="I796" s="703"/>
      <c r="J796" s="703"/>
      <c r="K796" s="703"/>
      <c r="L796" s="703"/>
      <c r="M796" s="703"/>
      <c r="N796" s="703"/>
      <c r="O796" s="703"/>
      <c r="P796" s="703"/>
      <c r="Q796" s="703"/>
      <c r="R796" s="703"/>
      <c r="S796" s="703"/>
      <c r="T796" s="703"/>
      <c r="U796" s="703"/>
      <c r="V796" s="703"/>
      <c r="W796" s="703"/>
      <c r="X796" s="703"/>
      <c r="Y796" s="703"/>
      <c r="Z796" s="703"/>
    </row>
    <row r="797">
      <c r="A797" s="703"/>
      <c r="B797" s="703"/>
      <c r="C797" s="703"/>
      <c r="D797" s="703"/>
      <c r="E797" s="703"/>
      <c r="F797" s="703"/>
      <c r="G797" s="703"/>
      <c r="H797" s="703"/>
      <c r="I797" s="703"/>
      <c r="J797" s="703"/>
      <c r="K797" s="703"/>
      <c r="L797" s="703"/>
      <c r="M797" s="703"/>
      <c r="N797" s="703"/>
      <c r="O797" s="703"/>
      <c r="P797" s="703"/>
      <c r="Q797" s="703"/>
      <c r="R797" s="703"/>
      <c r="S797" s="703"/>
      <c r="T797" s="703"/>
      <c r="U797" s="703"/>
      <c r="V797" s="703"/>
      <c r="W797" s="703"/>
      <c r="X797" s="703"/>
      <c r="Y797" s="703"/>
      <c r="Z797" s="703"/>
    </row>
    <row r="798">
      <c r="A798" s="703"/>
      <c r="B798" s="703"/>
      <c r="C798" s="703"/>
      <c r="D798" s="703"/>
      <c r="E798" s="703"/>
      <c r="F798" s="703"/>
      <c r="G798" s="703"/>
      <c r="H798" s="703"/>
      <c r="I798" s="703"/>
      <c r="J798" s="703"/>
      <c r="K798" s="703"/>
      <c r="L798" s="703"/>
      <c r="M798" s="703"/>
      <c r="N798" s="703"/>
      <c r="O798" s="703"/>
      <c r="P798" s="703"/>
      <c r="Q798" s="703"/>
      <c r="R798" s="703"/>
      <c r="S798" s="703"/>
      <c r="T798" s="703"/>
      <c r="U798" s="703"/>
      <c r="V798" s="703"/>
      <c r="W798" s="703"/>
      <c r="X798" s="703"/>
      <c r="Y798" s="703"/>
      <c r="Z798" s="703"/>
    </row>
    <row r="799">
      <c r="A799" s="703"/>
      <c r="B799" s="703"/>
      <c r="C799" s="703"/>
      <c r="D799" s="703"/>
      <c r="E799" s="703"/>
      <c r="F799" s="703"/>
      <c r="G799" s="703"/>
      <c r="H799" s="703"/>
      <c r="I799" s="703"/>
      <c r="J799" s="703"/>
      <c r="K799" s="703"/>
      <c r="L799" s="703"/>
      <c r="M799" s="703"/>
      <c r="N799" s="703"/>
      <c r="O799" s="703"/>
      <c r="P799" s="703"/>
      <c r="Q799" s="703"/>
      <c r="R799" s="703"/>
      <c r="S799" s="703"/>
      <c r="T799" s="703"/>
      <c r="U799" s="703"/>
      <c r="V799" s="703"/>
      <c r="W799" s="703"/>
      <c r="X799" s="703"/>
      <c r="Y799" s="703"/>
      <c r="Z799" s="703"/>
    </row>
    <row r="800">
      <c r="A800" s="703"/>
      <c r="B800" s="703"/>
      <c r="C800" s="703"/>
      <c r="D800" s="703"/>
      <c r="E800" s="703"/>
      <c r="F800" s="703"/>
      <c r="G800" s="703"/>
      <c r="H800" s="703"/>
      <c r="I800" s="703"/>
      <c r="J800" s="703"/>
      <c r="K800" s="703"/>
      <c r="L800" s="703"/>
      <c r="M800" s="703"/>
      <c r="N800" s="703"/>
      <c r="O800" s="703"/>
      <c r="P800" s="703"/>
      <c r="Q800" s="703"/>
      <c r="R800" s="703"/>
      <c r="S800" s="703"/>
      <c r="T800" s="703"/>
      <c r="U800" s="703"/>
      <c r="V800" s="703"/>
      <c r="W800" s="703"/>
      <c r="X800" s="703"/>
      <c r="Y800" s="703"/>
      <c r="Z800" s="703"/>
    </row>
    <row r="801">
      <c r="A801" s="703"/>
      <c r="B801" s="703"/>
      <c r="C801" s="703"/>
      <c r="D801" s="703"/>
      <c r="E801" s="703"/>
      <c r="F801" s="703"/>
      <c r="G801" s="703"/>
      <c r="H801" s="703"/>
      <c r="I801" s="703"/>
      <c r="J801" s="703"/>
      <c r="K801" s="703"/>
      <c r="L801" s="703"/>
      <c r="M801" s="703"/>
      <c r="N801" s="703"/>
      <c r="O801" s="703"/>
      <c r="P801" s="703"/>
      <c r="Q801" s="703"/>
      <c r="R801" s="703"/>
      <c r="S801" s="703"/>
      <c r="T801" s="703"/>
      <c r="U801" s="703"/>
      <c r="V801" s="703"/>
      <c r="W801" s="703"/>
      <c r="X801" s="703"/>
      <c r="Y801" s="703"/>
      <c r="Z801" s="703"/>
    </row>
    <row r="802">
      <c r="A802" s="703"/>
      <c r="B802" s="703"/>
      <c r="C802" s="703"/>
      <c r="D802" s="703"/>
      <c r="E802" s="703"/>
      <c r="F802" s="703"/>
      <c r="G802" s="703"/>
      <c r="H802" s="703"/>
      <c r="I802" s="703"/>
      <c r="J802" s="703"/>
      <c r="K802" s="703"/>
      <c r="L802" s="703"/>
      <c r="M802" s="703"/>
      <c r="N802" s="703"/>
      <c r="O802" s="703"/>
      <c r="P802" s="703"/>
      <c r="Q802" s="703"/>
      <c r="R802" s="703"/>
      <c r="S802" s="703"/>
      <c r="T802" s="703"/>
      <c r="U802" s="703"/>
      <c r="V802" s="703"/>
      <c r="W802" s="703"/>
      <c r="X802" s="703"/>
      <c r="Y802" s="703"/>
      <c r="Z802" s="703"/>
    </row>
    <row r="803">
      <c r="A803" s="703"/>
      <c r="B803" s="703"/>
      <c r="C803" s="703"/>
      <c r="D803" s="703"/>
      <c r="E803" s="703"/>
      <c r="F803" s="703"/>
      <c r="G803" s="703"/>
      <c r="H803" s="703"/>
      <c r="I803" s="703"/>
      <c r="J803" s="703"/>
      <c r="K803" s="703"/>
      <c r="L803" s="703"/>
      <c r="M803" s="703"/>
      <c r="N803" s="703"/>
      <c r="O803" s="703"/>
      <c r="P803" s="703"/>
      <c r="Q803" s="703"/>
      <c r="R803" s="703"/>
      <c r="S803" s="703"/>
      <c r="T803" s="703"/>
      <c r="U803" s="703"/>
      <c r="V803" s="703"/>
      <c r="W803" s="703"/>
      <c r="X803" s="703"/>
      <c r="Y803" s="703"/>
      <c r="Z803" s="703"/>
    </row>
    <row r="804">
      <c r="A804" s="703"/>
      <c r="B804" s="703"/>
      <c r="C804" s="703"/>
      <c r="D804" s="703"/>
      <c r="E804" s="703"/>
      <c r="F804" s="703"/>
      <c r="G804" s="703"/>
      <c r="H804" s="703"/>
      <c r="I804" s="703"/>
      <c r="J804" s="703"/>
      <c r="K804" s="703"/>
      <c r="L804" s="703"/>
      <c r="M804" s="703"/>
      <c r="N804" s="703"/>
      <c r="O804" s="703"/>
      <c r="P804" s="703"/>
      <c r="Q804" s="703"/>
      <c r="R804" s="703"/>
      <c r="S804" s="703"/>
      <c r="T804" s="703"/>
      <c r="U804" s="703"/>
      <c r="V804" s="703"/>
      <c r="W804" s="703"/>
      <c r="X804" s="703"/>
      <c r="Y804" s="703"/>
      <c r="Z804" s="703"/>
    </row>
    <row r="805">
      <c r="A805" s="703"/>
      <c r="B805" s="703"/>
      <c r="C805" s="703"/>
      <c r="D805" s="703"/>
      <c r="E805" s="703"/>
      <c r="F805" s="703"/>
      <c r="G805" s="703"/>
      <c r="H805" s="703"/>
      <c r="I805" s="703"/>
      <c r="J805" s="703"/>
      <c r="K805" s="703"/>
      <c r="L805" s="703"/>
      <c r="M805" s="703"/>
      <c r="N805" s="703"/>
      <c r="O805" s="703"/>
      <c r="P805" s="703"/>
      <c r="Q805" s="703"/>
      <c r="R805" s="703"/>
      <c r="S805" s="703"/>
      <c r="T805" s="703"/>
      <c r="U805" s="703"/>
      <c r="V805" s="703"/>
      <c r="W805" s="703"/>
      <c r="X805" s="703"/>
      <c r="Y805" s="703"/>
      <c r="Z805" s="703"/>
    </row>
    <row r="806">
      <c r="A806" s="703"/>
      <c r="B806" s="703"/>
      <c r="C806" s="703"/>
      <c r="D806" s="703"/>
      <c r="E806" s="703"/>
      <c r="F806" s="703"/>
      <c r="G806" s="703"/>
      <c r="H806" s="703"/>
      <c r="I806" s="703"/>
      <c r="J806" s="703"/>
      <c r="K806" s="703"/>
      <c r="L806" s="703"/>
      <c r="M806" s="703"/>
      <c r="N806" s="703"/>
      <c r="O806" s="703"/>
      <c r="P806" s="703"/>
      <c r="Q806" s="703"/>
      <c r="R806" s="703"/>
      <c r="S806" s="703"/>
      <c r="T806" s="703"/>
      <c r="U806" s="703"/>
      <c r="V806" s="703"/>
      <c r="W806" s="703"/>
      <c r="X806" s="703"/>
      <c r="Y806" s="703"/>
      <c r="Z806" s="703"/>
    </row>
    <row r="807">
      <c r="A807" s="703"/>
      <c r="B807" s="703"/>
      <c r="C807" s="703"/>
      <c r="D807" s="703"/>
      <c r="E807" s="703"/>
      <c r="F807" s="703"/>
      <c r="G807" s="703"/>
      <c r="H807" s="703"/>
      <c r="I807" s="703"/>
      <c r="J807" s="703"/>
      <c r="K807" s="703"/>
      <c r="L807" s="703"/>
      <c r="M807" s="703"/>
      <c r="N807" s="703"/>
      <c r="O807" s="703"/>
      <c r="P807" s="703"/>
      <c r="Q807" s="703"/>
      <c r="R807" s="703"/>
      <c r="S807" s="703"/>
      <c r="T807" s="703"/>
      <c r="U807" s="703"/>
      <c r="V807" s="703"/>
      <c r="W807" s="703"/>
      <c r="X807" s="703"/>
      <c r="Y807" s="703"/>
      <c r="Z807" s="703"/>
    </row>
    <row r="808">
      <c r="A808" s="703"/>
      <c r="B808" s="703"/>
      <c r="C808" s="703"/>
      <c r="D808" s="703"/>
      <c r="E808" s="703"/>
      <c r="F808" s="703"/>
      <c r="G808" s="703"/>
      <c r="H808" s="703"/>
      <c r="I808" s="703"/>
      <c r="J808" s="703"/>
      <c r="K808" s="703"/>
      <c r="L808" s="703"/>
      <c r="M808" s="703"/>
      <c r="N808" s="703"/>
      <c r="O808" s="703"/>
      <c r="P808" s="703"/>
      <c r="Q808" s="703"/>
      <c r="R808" s="703"/>
      <c r="S808" s="703"/>
      <c r="T808" s="703"/>
      <c r="U808" s="703"/>
      <c r="V808" s="703"/>
      <c r="W808" s="703"/>
      <c r="X808" s="703"/>
      <c r="Y808" s="703"/>
      <c r="Z808" s="703"/>
    </row>
    <row r="809">
      <c r="A809" s="703"/>
      <c r="B809" s="703"/>
      <c r="C809" s="703"/>
      <c r="D809" s="703"/>
      <c r="E809" s="703"/>
      <c r="F809" s="703"/>
      <c r="G809" s="703"/>
      <c r="H809" s="703"/>
      <c r="I809" s="703"/>
      <c r="J809" s="703"/>
      <c r="K809" s="703"/>
      <c r="L809" s="703"/>
      <c r="M809" s="703"/>
      <c r="N809" s="703"/>
      <c r="O809" s="703"/>
      <c r="P809" s="703"/>
      <c r="Q809" s="703"/>
      <c r="R809" s="703"/>
      <c r="S809" s="703"/>
      <c r="T809" s="703"/>
      <c r="U809" s="703"/>
      <c r="V809" s="703"/>
      <c r="W809" s="703"/>
      <c r="X809" s="703"/>
      <c r="Y809" s="703"/>
      <c r="Z809" s="703"/>
    </row>
    <row r="810">
      <c r="A810" s="703"/>
      <c r="B810" s="703"/>
      <c r="C810" s="703"/>
      <c r="D810" s="703"/>
      <c r="E810" s="703"/>
      <c r="F810" s="703"/>
      <c r="G810" s="703"/>
      <c r="H810" s="703"/>
      <c r="I810" s="703"/>
      <c r="J810" s="703"/>
      <c r="K810" s="703"/>
      <c r="L810" s="703"/>
      <c r="M810" s="703"/>
      <c r="N810" s="703"/>
      <c r="O810" s="703"/>
      <c r="P810" s="703"/>
      <c r="Q810" s="703"/>
      <c r="R810" s="703"/>
      <c r="S810" s="703"/>
      <c r="T810" s="703"/>
      <c r="U810" s="703"/>
      <c r="V810" s="703"/>
      <c r="W810" s="703"/>
      <c r="X810" s="703"/>
      <c r="Y810" s="703"/>
      <c r="Z810" s="703"/>
    </row>
    <row r="811">
      <c r="A811" s="703"/>
      <c r="B811" s="703"/>
      <c r="C811" s="703"/>
      <c r="D811" s="703"/>
      <c r="E811" s="703"/>
      <c r="F811" s="703"/>
      <c r="G811" s="703"/>
      <c r="H811" s="703"/>
      <c r="I811" s="703"/>
      <c r="J811" s="703"/>
      <c r="K811" s="703"/>
      <c r="L811" s="703"/>
      <c r="M811" s="703"/>
      <c r="N811" s="703"/>
      <c r="O811" s="703"/>
      <c r="P811" s="703"/>
      <c r="Q811" s="703"/>
      <c r="R811" s="703"/>
      <c r="S811" s="703"/>
      <c r="T811" s="703"/>
      <c r="U811" s="703"/>
      <c r="V811" s="703"/>
      <c r="W811" s="703"/>
      <c r="X811" s="703"/>
      <c r="Y811" s="703"/>
      <c r="Z811" s="703"/>
    </row>
    <row r="812">
      <c r="A812" s="703"/>
      <c r="B812" s="703"/>
      <c r="C812" s="703"/>
      <c r="D812" s="703"/>
      <c r="E812" s="703"/>
      <c r="F812" s="703"/>
      <c r="G812" s="703"/>
      <c r="H812" s="703"/>
      <c r="I812" s="703"/>
      <c r="J812" s="703"/>
      <c r="K812" s="703"/>
      <c r="L812" s="703"/>
      <c r="M812" s="703"/>
      <c r="N812" s="703"/>
      <c r="O812" s="703"/>
      <c r="P812" s="703"/>
      <c r="Q812" s="703"/>
      <c r="R812" s="703"/>
      <c r="S812" s="703"/>
      <c r="T812" s="703"/>
      <c r="U812" s="703"/>
      <c r="V812" s="703"/>
      <c r="W812" s="703"/>
      <c r="X812" s="703"/>
      <c r="Y812" s="703"/>
      <c r="Z812" s="703"/>
    </row>
    <row r="813">
      <c r="A813" s="703"/>
      <c r="B813" s="703"/>
      <c r="C813" s="703"/>
      <c r="D813" s="703"/>
      <c r="E813" s="703"/>
      <c r="F813" s="703"/>
      <c r="G813" s="703"/>
      <c r="H813" s="703"/>
      <c r="I813" s="703"/>
      <c r="J813" s="703"/>
      <c r="K813" s="703"/>
      <c r="L813" s="703"/>
      <c r="M813" s="703"/>
      <c r="N813" s="703"/>
      <c r="O813" s="703"/>
      <c r="P813" s="703"/>
      <c r="Q813" s="703"/>
      <c r="R813" s="703"/>
      <c r="S813" s="703"/>
      <c r="T813" s="703"/>
      <c r="U813" s="703"/>
      <c r="V813" s="703"/>
      <c r="W813" s="703"/>
      <c r="X813" s="703"/>
      <c r="Y813" s="703"/>
      <c r="Z813" s="703"/>
    </row>
    <row r="814">
      <c r="A814" s="703"/>
      <c r="B814" s="703"/>
      <c r="C814" s="703"/>
      <c r="D814" s="703"/>
      <c r="E814" s="703"/>
      <c r="F814" s="703"/>
      <c r="G814" s="703"/>
      <c r="H814" s="703"/>
      <c r="I814" s="703"/>
      <c r="J814" s="703"/>
      <c r="K814" s="703"/>
      <c r="L814" s="703"/>
      <c r="M814" s="703"/>
      <c r="N814" s="703"/>
      <c r="O814" s="703"/>
      <c r="P814" s="703"/>
      <c r="Q814" s="703"/>
      <c r="R814" s="703"/>
      <c r="S814" s="703"/>
      <c r="T814" s="703"/>
      <c r="U814" s="703"/>
      <c r="V814" s="703"/>
      <c r="W814" s="703"/>
      <c r="X814" s="703"/>
      <c r="Y814" s="703"/>
      <c r="Z814" s="703"/>
    </row>
    <row r="815">
      <c r="A815" s="703"/>
      <c r="B815" s="703"/>
      <c r="C815" s="703"/>
      <c r="D815" s="703"/>
      <c r="E815" s="703"/>
      <c r="F815" s="703"/>
      <c r="G815" s="703"/>
      <c r="H815" s="703"/>
      <c r="I815" s="703"/>
      <c r="J815" s="703"/>
      <c r="K815" s="703"/>
      <c r="L815" s="703"/>
      <c r="M815" s="703"/>
      <c r="N815" s="703"/>
      <c r="O815" s="703"/>
      <c r="P815" s="703"/>
      <c r="Q815" s="703"/>
      <c r="R815" s="703"/>
      <c r="S815" s="703"/>
      <c r="T815" s="703"/>
      <c r="U815" s="703"/>
      <c r="V815" s="703"/>
      <c r="W815" s="703"/>
      <c r="X815" s="703"/>
      <c r="Y815" s="703"/>
      <c r="Z815" s="703"/>
    </row>
    <row r="816">
      <c r="A816" s="703"/>
      <c r="B816" s="703"/>
      <c r="C816" s="703"/>
      <c r="D816" s="703"/>
      <c r="E816" s="703"/>
      <c r="F816" s="703"/>
      <c r="G816" s="703"/>
      <c r="H816" s="703"/>
      <c r="I816" s="703"/>
      <c r="J816" s="703"/>
      <c r="K816" s="703"/>
      <c r="L816" s="703"/>
      <c r="M816" s="703"/>
      <c r="N816" s="703"/>
      <c r="O816" s="703"/>
      <c r="P816" s="703"/>
      <c r="Q816" s="703"/>
      <c r="R816" s="703"/>
      <c r="S816" s="703"/>
      <c r="T816" s="703"/>
      <c r="U816" s="703"/>
      <c r="V816" s="703"/>
      <c r="W816" s="703"/>
      <c r="X816" s="703"/>
      <c r="Y816" s="703"/>
      <c r="Z816" s="703"/>
    </row>
    <row r="817">
      <c r="A817" s="703"/>
      <c r="B817" s="703"/>
      <c r="C817" s="703"/>
      <c r="D817" s="703"/>
      <c r="E817" s="703"/>
      <c r="F817" s="703"/>
      <c r="G817" s="703"/>
      <c r="H817" s="703"/>
      <c r="I817" s="703"/>
      <c r="J817" s="703"/>
      <c r="K817" s="703"/>
      <c r="L817" s="703"/>
      <c r="M817" s="703"/>
      <c r="N817" s="703"/>
      <c r="O817" s="703"/>
      <c r="P817" s="703"/>
      <c r="Q817" s="703"/>
      <c r="R817" s="703"/>
      <c r="S817" s="703"/>
      <c r="T817" s="703"/>
      <c r="U817" s="703"/>
      <c r="V817" s="703"/>
      <c r="W817" s="703"/>
      <c r="X817" s="703"/>
      <c r="Y817" s="703"/>
      <c r="Z817" s="703"/>
    </row>
    <row r="818">
      <c r="A818" s="703"/>
      <c r="B818" s="703"/>
      <c r="C818" s="703"/>
      <c r="D818" s="703"/>
      <c r="E818" s="703"/>
      <c r="F818" s="703"/>
      <c r="G818" s="703"/>
      <c r="H818" s="703"/>
      <c r="I818" s="703"/>
      <c r="J818" s="703"/>
      <c r="K818" s="703"/>
      <c r="L818" s="703"/>
      <c r="M818" s="703"/>
      <c r="N818" s="703"/>
      <c r="O818" s="703"/>
      <c r="P818" s="703"/>
      <c r="Q818" s="703"/>
      <c r="R818" s="703"/>
      <c r="S818" s="703"/>
      <c r="T818" s="703"/>
      <c r="U818" s="703"/>
      <c r="V818" s="703"/>
      <c r="W818" s="703"/>
      <c r="X818" s="703"/>
      <c r="Y818" s="703"/>
      <c r="Z818" s="703"/>
    </row>
    <row r="819">
      <c r="A819" s="703"/>
      <c r="B819" s="703"/>
      <c r="C819" s="703"/>
      <c r="D819" s="703"/>
      <c r="E819" s="703"/>
      <c r="F819" s="703"/>
      <c r="G819" s="703"/>
      <c r="H819" s="703"/>
      <c r="I819" s="703"/>
      <c r="J819" s="703"/>
      <c r="K819" s="703"/>
      <c r="L819" s="703"/>
      <c r="M819" s="703"/>
      <c r="N819" s="703"/>
      <c r="O819" s="703"/>
      <c r="P819" s="703"/>
      <c r="Q819" s="703"/>
      <c r="R819" s="703"/>
      <c r="S819" s="703"/>
      <c r="T819" s="703"/>
      <c r="U819" s="703"/>
      <c r="V819" s="703"/>
      <c r="W819" s="703"/>
      <c r="X819" s="703"/>
      <c r="Y819" s="703"/>
      <c r="Z819" s="703"/>
    </row>
    <row r="820">
      <c r="A820" s="703"/>
      <c r="B820" s="703"/>
      <c r="C820" s="703"/>
      <c r="D820" s="703"/>
      <c r="E820" s="703"/>
      <c r="F820" s="703"/>
      <c r="G820" s="703"/>
      <c r="H820" s="703"/>
      <c r="I820" s="703"/>
      <c r="J820" s="703"/>
      <c r="K820" s="703"/>
      <c r="L820" s="703"/>
      <c r="M820" s="703"/>
      <c r="N820" s="703"/>
      <c r="O820" s="703"/>
      <c r="P820" s="703"/>
      <c r="Q820" s="703"/>
      <c r="R820" s="703"/>
      <c r="S820" s="703"/>
      <c r="T820" s="703"/>
      <c r="U820" s="703"/>
      <c r="V820" s="703"/>
      <c r="W820" s="703"/>
      <c r="X820" s="703"/>
      <c r="Y820" s="703"/>
      <c r="Z820" s="703"/>
    </row>
    <row r="821">
      <c r="A821" s="703"/>
      <c r="B821" s="703"/>
      <c r="C821" s="703"/>
      <c r="D821" s="703"/>
      <c r="E821" s="703"/>
      <c r="F821" s="703"/>
      <c r="G821" s="703"/>
      <c r="H821" s="703"/>
      <c r="I821" s="703"/>
      <c r="J821" s="703"/>
      <c r="K821" s="703"/>
      <c r="L821" s="703"/>
      <c r="M821" s="703"/>
      <c r="N821" s="703"/>
      <c r="O821" s="703"/>
      <c r="P821" s="703"/>
      <c r="Q821" s="703"/>
      <c r="R821" s="703"/>
      <c r="S821" s="703"/>
      <c r="T821" s="703"/>
      <c r="U821" s="703"/>
      <c r="V821" s="703"/>
      <c r="W821" s="703"/>
      <c r="X821" s="703"/>
      <c r="Y821" s="703"/>
      <c r="Z821" s="703"/>
    </row>
    <row r="822">
      <c r="A822" s="703"/>
      <c r="B822" s="703"/>
      <c r="C822" s="703"/>
      <c r="D822" s="703"/>
      <c r="E822" s="703"/>
      <c r="F822" s="703"/>
      <c r="G822" s="703"/>
      <c r="H822" s="703"/>
      <c r="I822" s="703"/>
      <c r="J822" s="703"/>
      <c r="K822" s="703"/>
      <c r="L822" s="703"/>
      <c r="M822" s="703"/>
      <c r="N822" s="703"/>
      <c r="O822" s="703"/>
      <c r="P822" s="703"/>
      <c r="Q822" s="703"/>
      <c r="R822" s="703"/>
      <c r="S822" s="703"/>
      <c r="T822" s="703"/>
      <c r="U822" s="703"/>
      <c r="V822" s="703"/>
      <c r="W822" s="703"/>
      <c r="X822" s="703"/>
      <c r="Y822" s="703"/>
      <c r="Z822" s="703"/>
    </row>
    <row r="823">
      <c r="A823" s="703"/>
      <c r="B823" s="703"/>
      <c r="C823" s="703"/>
      <c r="D823" s="703"/>
      <c r="E823" s="703"/>
      <c r="F823" s="703"/>
      <c r="G823" s="703"/>
      <c r="H823" s="703"/>
      <c r="I823" s="703"/>
      <c r="J823" s="703"/>
      <c r="K823" s="703"/>
      <c r="L823" s="703"/>
      <c r="M823" s="703"/>
      <c r="N823" s="703"/>
      <c r="O823" s="703"/>
      <c r="P823" s="703"/>
      <c r="Q823" s="703"/>
      <c r="R823" s="703"/>
      <c r="S823" s="703"/>
      <c r="T823" s="703"/>
      <c r="U823" s="703"/>
      <c r="V823" s="703"/>
      <c r="W823" s="703"/>
      <c r="X823" s="703"/>
      <c r="Y823" s="703"/>
      <c r="Z823" s="703"/>
    </row>
    <row r="824">
      <c r="A824" s="703"/>
      <c r="B824" s="703"/>
      <c r="C824" s="703"/>
      <c r="D824" s="703"/>
      <c r="E824" s="703"/>
      <c r="F824" s="703"/>
      <c r="G824" s="703"/>
      <c r="H824" s="703"/>
      <c r="I824" s="703"/>
      <c r="J824" s="703"/>
      <c r="K824" s="703"/>
      <c r="L824" s="703"/>
      <c r="M824" s="703"/>
      <c r="N824" s="703"/>
      <c r="O824" s="703"/>
      <c r="P824" s="703"/>
      <c r="Q824" s="703"/>
      <c r="R824" s="703"/>
      <c r="S824" s="703"/>
      <c r="T824" s="703"/>
      <c r="U824" s="703"/>
      <c r="V824" s="703"/>
      <c r="W824" s="703"/>
      <c r="X824" s="703"/>
      <c r="Y824" s="703"/>
      <c r="Z824" s="703"/>
    </row>
    <row r="825">
      <c r="A825" s="703"/>
      <c r="B825" s="703"/>
      <c r="C825" s="703"/>
      <c r="D825" s="703"/>
      <c r="E825" s="703"/>
      <c r="F825" s="703"/>
      <c r="G825" s="703"/>
      <c r="H825" s="703"/>
      <c r="I825" s="703"/>
      <c r="J825" s="703"/>
      <c r="K825" s="703"/>
      <c r="L825" s="703"/>
      <c r="M825" s="703"/>
      <c r="N825" s="703"/>
      <c r="O825" s="703"/>
      <c r="P825" s="703"/>
      <c r="Q825" s="703"/>
      <c r="R825" s="703"/>
      <c r="S825" s="703"/>
      <c r="T825" s="703"/>
      <c r="U825" s="703"/>
      <c r="V825" s="703"/>
      <c r="W825" s="703"/>
      <c r="X825" s="703"/>
      <c r="Y825" s="703"/>
      <c r="Z825" s="703"/>
    </row>
    <row r="826">
      <c r="A826" s="703"/>
      <c r="B826" s="703"/>
      <c r="C826" s="703"/>
      <c r="D826" s="703"/>
      <c r="E826" s="703"/>
      <c r="F826" s="703"/>
      <c r="G826" s="703"/>
      <c r="H826" s="703"/>
      <c r="I826" s="703"/>
      <c r="J826" s="703"/>
      <c r="K826" s="703"/>
      <c r="L826" s="703"/>
      <c r="M826" s="703"/>
      <c r="N826" s="703"/>
      <c r="O826" s="703"/>
      <c r="P826" s="703"/>
      <c r="Q826" s="703"/>
      <c r="R826" s="703"/>
      <c r="S826" s="703"/>
      <c r="T826" s="703"/>
      <c r="U826" s="703"/>
      <c r="V826" s="703"/>
      <c r="W826" s="703"/>
      <c r="X826" s="703"/>
      <c r="Y826" s="703"/>
      <c r="Z826" s="703"/>
    </row>
    <row r="827">
      <c r="A827" s="703"/>
      <c r="B827" s="703"/>
      <c r="C827" s="703"/>
      <c r="D827" s="703"/>
      <c r="E827" s="703"/>
      <c r="F827" s="703"/>
      <c r="G827" s="703"/>
      <c r="H827" s="703"/>
      <c r="I827" s="703"/>
      <c r="J827" s="703"/>
      <c r="K827" s="703"/>
      <c r="L827" s="703"/>
      <c r="M827" s="703"/>
      <c r="N827" s="703"/>
      <c r="O827" s="703"/>
      <c r="P827" s="703"/>
      <c r="Q827" s="703"/>
      <c r="R827" s="703"/>
      <c r="S827" s="703"/>
      <c r="T827" s="703"/>
      <c r="U827" s="703"/>
      <c r="V827" s="703"/>
      <c r="W827" s="703"/>
      <c r="X827" s="703"/>
      <c r="Y827" s="703"/>
      <c r="Z827" s="703"/>
    </row>
    <row r="828">
      <c r="A828" s="703"/>
      <c r="B828" s="703"/>
      <c r="C828" s="703"/>
      <c r="D828" s="703"/>
      <c r="E828" s="703"/>
      <c r="F828" s="703"/>
      <c r="G828" s="703"/>
      <c r="H828" s="703"/>
      <c r="I828" s="703"/>
      <c r="J828" s="703"/>
      <c r="K828" s="703"/>
      <c r="L828" s="703"/>
      <c r="M828" s="703"/>
      <c r="N828" s="703"/>
      <c r="O828" s="703"/>
      <c r="P828" s="703"/>
      <c r="Q828" s="703"/>
      <c r="R828" s="703"/>
      <c r="S828" s="703"/>
      <c r="T828" s="703"/>
      <c r="U828" s="703"/>
      <c r="V828" s="703"/>
      <c r="W828" s="703"/>
      <c r="X828" s="703"/>
      <c r="Y828" s="703"/>
      <c r="Z828" s="703"/>
    </row>
    <row r="829">
      <c r="A829" s="703"/>
      <c r="B829" s="703"/>
      <c r="C829" s="703"/>
      <c r="D829" s="703"/>
      <c r="E829" s="703"/>
      <c r="F829" s="703"/>
      <c r="G829" s="703"/>
      <c r="H829" s="703"/>
      <c r="I829" s="703"/>
      <c r="J829" s="703"/>
      <c r="K829" s="703"/>
      <c r="L829" s="703"/>
      <c r="M829" s="703"/>
      <c r="N829" s="703"/>
      <c r="O829" s="703"/>
      <c r="P829" s="703"/>
      <c r="Q829" s="703"/>
      <c r="R829" s="703"/>
      <c r="S829" s="703"/>
      <c r="T829" s="703"/>
      <c r="U829" s="703"/>
      <c r="V829" s="703"/>
      <c r="W829" s="703"/>
      <c r="X829" s="703"/>
      <c r="Y829" s="703"/>
      <c r="Z829" s="703"/>
    </row>
    <row r="830">
      <c r="A830" s="703"/>
      <c r="B830" s="703"/>
      <c r="C830" s="703"/>
      <c r="D830" s="703"/>
      <c r="E830" s="703"/>
      <c r="F830" s="703"/>
      <c r="G830" s="703"/>
      <c r="H830" s="703"/>
      <c r="I830" s="703"/>
      <c r="J830" s="703"/>
      <c r="K830" s="703"/>
      <c r="L830" s="703"/>
      <c r="M830" s="703"/>
      <c r="N830" s="703"/>
      <c r="O830" s="703"/>
      <c r="P830" s="703"/>
      <c r="Q830" s="703"/>
      <c r="R830" s="703"/>
      <c r="S830" s="703"/>
      <c r="T830" s="703"/>
      <c r="U830" s="703"/>
      <c r="V830" s="703"/>
      <c r="W830" s="703"/>
      <c r="X830" s="703"/>
      <c r="Y830" s="703"/>
      <c r="Z830" s="703"/>
    </row>
    <row r="831">
      <c r="A831" s="703"/>
      <c r="B831" s="703"/>
      <c r="C831" s="703"/>
      <c r="D831" s="703"/>
      <c r="E831" s="703"/>
      <c r="F831" s="703"/>
      <c r="G831" s="703"/>
      <c r="H831" s="703"/>
      <c r="I831" s="703"/>
      <c r="J831" s="703"/>
      <c r="K831" s="703"/>
      <c r="L831" s="703"/>
      <c r="M831" s="703"/>
      <c r="N831" s="703"/>
      <c r="O831" s="703"/>
      <c r="P831" s="703"/>
      <c r="Q831" s="703"/>
      <c r="R831" s="703"/>
      <c r="S831" s="703"/>
      <c r="T831" s="703"/>
      <c r="U831" s="703"/>
      <c r="V831" s="703"/>
      <c r="W831" s="703"/>
      <c r="X831" s="703"/>
      <c r="Y831" s="703"/>
      <c r="Z831" s="703"/>
    </row>
    <row r="832">
      <c r="A832" s="703"/>
      <c r="B832" s="703"/>
      <c r="C832" s="703"/>
      <c r="D832" s="703"/>
      <c r="E832" s="703"/>
      <c r="F832" s="703"/>
      <c r="G832" s="703"/>
      <c r="H832" s="703"/>
      <c r="I832" s="703"/>
      <c r="J832" s="703"/>
      <c r="K832" s="703"/>
      <c r="L832" s="703"/>
      <c r="M832" s="703"/>
      <c r="N832" s="703"/>
      <c r="O832" s="703"/>
      <c r="P832" s="703"/>
      <c r="Q832" s="703"/>
      <c r="R832" s="703"/>
      <c r="S832" s="703"/>
      <c r="T832" s="703"/>
      <c r="U832" s="703"/>
      <c r="V832" s="703"/>
      <c r="W832" s="703"/>
      <c r="X832" s="703"/>
      <c r="Y832" s="703"/>
      <c r="Z832" s="703"/>
    </row>
    <row r="833">
      <c r="A833" s="703"/>
      <c r="B833" s="703"/>
      <c r="C833" s="703"/>
      <c r="D833" s="703"/>
      <c r="E833" s="703"/>
      <c r="F833" s="703"/>
      <c r="G833" s="703"/>
      <c r="H833" s="703"/>
      <c r="I833" s="703"/>
      <c r="J833" s="703"/>
      <c r="K833" s="703"/>
      <c r="L833" s="703"/>
      <c r="M833" s="703"/>
      <c r="N833" s="703"/>
      <c r="O833" s="703"/>
      <c r="P833" s="703"/>
      <c r="Q833" s="703"/>
      <c r="R833" s="703"/>
      <c r="S833" s="703"/>
      <c r="T833" s="703"/>
      <c r="U833" s="703"/>
      <c r="V833" s="703"/>
      <c r="W833" s="703"/>
      <c r="X833" s="703"/>
      <c r="Y833" s="703"/>
      <c r="Z833" s="703"/>
    </row>
    <row r="834">
      <c r="A834" s="703"/>
      <c r="B834" s="703"/>
      <c r="C834" s="703"/>
      <c r="D834" s="703"/>
      <c r="E834" s="703"/>
      <c r="F834" s="703"/>
      <c r="G834" s="703"/>
      <c r="H834" s="703"/>
      <c r="I834" s="703"/>
      <c r="J834" s="703"/>
      <c r="K834" s="703"/>
      <c r="L834" s="703"/>
      <c r="M834" s="703"/>
      <c r="N834" s="703"/>
      <c r="O834" s="703"/>
      <c r="P834" s="703"/>
      <c r="Q834" s="703"/>
      <c r="R834" s="703"/>
      <c r="S834" s="703"/>
      <c r="T834" s="703"/>
      <c r="U834" s="703"/>
      <c r="V834" s="703"/>
      <c r="W834" s="703"/>
      <c r="X834" s="703"/>
      <c r="Y834" s="703"/>
      <c r="Z834" s="703"/>
    </row>
    <row r="835">
      <c r="A835" s="703"/>
      <c r="B835" s="703"/>
      <c r="C835" s="703"/>
      <c r="D835" s="703"/>
      <c r="E835" s="703"/>
      <c r="F835" s="703"/>
      <c r="G835" s="703"/>
      <c r="H835" s="703"/>
      <c r="I835" s="703"/>
      <c r="J835" s="703"/>
      <c r="K835" s="703"/>
      <c r="L835" s="703"/>
      <c r="M835" s="703"/>
      <c r="N835" s="703"/>
      <c r="O835" s="703"/>
      <c r="P835" s="703"/>
      <c r="Q835" s="703"/>
      <c r="R835" s="703"/>
      <c r="S835" s="703"/>
      <c r="T835" s="703"/>
      <c r="U835" s="703"/>
      <c r="V835" s="703"/>
      <c r="W835" s="703"/>
      <c r="X835" s="703"/>
      <c r="Y835" s="703"/>
      <c r="Z835" s="703"/>
    </row>
    <row r="836">
      <c r="A836" s="703"/>
      <c r="B836" s="703"/>
      <c r="C836" s="703"/>
      <c r="D836" s="703"/>
      <c r="E836" s="703"/>
      <c r="F836" s="703"/>
      <c r="G836" s="703"/>
      <c r="H836" s="703"/>
      <c r="I836" s="703"/>
      <c r="J836" s="703"/>
      <c r="K836" s="703"/>
      <c r="L836" s="703"/>
      <c r="M836" s="703"/>
      <c r="N836" s="703"/>
      <c r="O836" s="703"/>
      <c r="P836" s="703"/>
      <c r="Q836" s="703"/>
      <c r="R836" s="703"/>
      <c r="S836" s="703"/>
      <c r="T836" s="703"/>
      <c r="U836" s="703"/>
      <c r="V836" s="703"/>
      <c r="W836" s="703"/>
      <c r="X836" s="703"/>
      <c r="Y836" s="703"/>
      <c r="Z836" s="703"/>
    </row>
    <row r="837">
      <c r="A837" s="703"/>
      <c r="B837" s="703"/>
      <c r="C837" s="703"/>
      <c r="D837" s="703"/>
      <c r="E837" s="703"/>
      <c r="F837" s="703"/>
      <c r="G837" s="703"/>
      <c r="H837" s="703"/>
      <c r="I837" s="703"/>
      <c r="J837" s="703"/>
      <c r="K837" s="703"/>
      <c r="L837" s="703"/>
      <c r="M837" s="703"/>
      <c r="N837" s="703"/>
      <c r="O837" s="703"/>
      <c r="P837" s="703"/>
      <c r="Q837" s="703"/>
      <c r="R837" s="703"/>
      <c r="S837" s="703"/>
      <c r="T837" s="703"/>
      <c r="U837" s="703"/>
      <c r="V837" s="703"/>
      <c r="W837" s="703"/>
      <c r="X837" s="703"/>
      <c r="Y837" s="703"/>
      <c r="Z837" s="703"/>
    </row>
    <row r="838">
      <c r="A838" s="703"/>
      <c r="B838" s="703"/>
      <c r="C838" s="703"/>
      <c r="D838" s="703"/>
      <c r="E838" s="703"/>
      <c r="F838" s="703"/>
      <c r="G838" s="703"/>
      <c r="H838" s="703"/>
      <c r="I838" s="703"/>
      <c r="J838" s="703"/>
      <c r="K838" s="703"/>
      <c r="L838" s="703"/>
      <c r="M838" s="703"/>
      <c r="N838" s="703"/>
      <c r="O838" s="703"/>
      <c r="P838" s="703"/>
      <c r="Q838" s="703"/>
      <c r="R838" s="703"/>
      <c r="S838" s="703"/>
      <c r="T838" s="703"/>
      <c r="U838" s="703"/>
      <c r="V838" s="703"/>
      <c r="W838" s="703"/>
      <c r="X838" s="703"/>
      <c r="Y838" s="703"/>
      <c r="Z838" s="703"/>
    </row>
    <row r="839">
      <c r="A839" s="703"/>
      <c r="B839" s="703"/>
      <c r="C839" s="703"/>
      <c r="D839" s="703"/>
      <c r="E839" s="703"/>
      <c r="F839" s="703"/>
      <c r="G839" s="703"/>
      <c r="H839" s="703"/>
      <c r="I839" s="703"/>
      <c r="J839" s="703"/>
      <c r="K839" s="703"/>
      <c r="L839" s="703"/>
      <c r="M839" s="703"/>
      <c r="N839" s="703"/>
      <c r="O839" s="703"/>
      <c r="P839" s="703"/>
      <c r="Q839" s="703"/>
      <c r="R839" s="703"/>
      <c r="S839" s="703"/>
      <c r="T839" s="703"/>
      <c r="U839" s="703"/>
      <c r="V839" s="703"/>
      <c r="W839" s="703"/>
      <c r="X839" s="703"/>
      <c r="Y839" s="703"/>
      <c r="Z839" s="703"/>
    </row>
    <row r="840">
      <c r="A840" s="703"/>
      <c r="B840" s="703"/>
      <c r="C840" s="703"/>
      <c r="D840" s="703"/>
      <c r="E840" s="703"/>
      <c r="F840" s="703"/>
      <c r="G840" s="703"/>
      <c r="H840" s="703"/>
      <c r="I840" s="703"/>
      <c r="J840" s="703"/>
      <c r="K840" s="703"/>
      <c r="L840" s="703"/>
      <c r="M840" s="703"/>
      <c r="N840" s="703"/>
      <c r="O840" s="703"/>
      <c r="P840" s="703"/>
      <c r="Q840" s="703"/>
      <c r="R840" s="703"/>
      <c r="S840" s="703"/>
      <c r="T840" s="703"/>
      <c r="U840" s="703"/>
      <c r="V840" s="703"/>
      <c r="W840" s="703"/>
      <c r="X840" s="703"/>
      <c r="Y840" s="703"/>
      <c r="Z840" s="703"/>
    </row>
    <row r="841">
      <c r="A841" s="703"/>
      <c r="B841" s="703"/>
      <c r="C841" s="703"/>
      <c r="D841" s="703"/>
      <c r="E841" s="703"/>
      <c r="F841" s="703"/>
      <c r="G841" s="703"/>
      <c r="H841" s="703"/>
      <c r="I841" s="703"/>
      <c r="J841" s="703"/>
      <c r="K841" s="703"/>
      <c r="L841" s="703"/>
      <c r="M841" s="703"/>
      <c r="N841" s="703"/>
      <c r="O841" s="703"/>
      <c r="P841" s="703"/>
      <c r="Q841" s="703"/>
      <c r="R841" s="703"/>
      <c r="S841" s="703"/>
      <c r="T841" s="703"/>
      <c r="U841" s="703"/>
      <c r="V841" s="703"/>
      <c r="W841" s="703"/>
      <c r="X841" s="703"/>
      <c r="Y841" s="703"/>
      <c r="Z841" s="703"/>
    </row>
    <row r="842">
      <c r="A842" s="703"/>
      <c r="B842" s="703"/>
      <c r="C842" s="703"/>
      <c r="D842" s="703"/>
      <c r="E842" s="703"/>
      <c r="F842" s="703"/>
      <c r="G842" s="703"/>
      <c r="H842" s="703"/>
      <c r="I842" s="703"/>
      <c r="J842" s="703"/>
      <c r="K842" s="703"/>
      <c r="L842" s="703"/>
      <c r="M842" s="703"/>
      <c r="N842" s="703"/>
      <c r="O842" s="703"/>
      <c r="P842" s="703"/>
      <c r="Q842" s="703"/>
      <c r="R842" s="703"/>
      <c r="S842" s="703"/>
      <c r="T842" s="703"/>
      <c r="U842" s="703"/>
      <c r="V842" s="703"/>
      <c r="W842" s="703"/>
      <c r="X842" s="703"/>
      <c r="Y842" s="703"/>
      <c r="Z842" s="703"/>
    </row>
    <row r="843">
      <c r="A843" s="703"/>
      <c r="B843" s="703"/>
      <c r="C843" s="703"/>
      <c r="D843" s="703"/>
      <c r="E843" s="703"/>
      <c r="F843" s="703"/>
      <c r="G843" s="703"/>
      <c r="H843" s="703"/>
      <c r="I843" s="703"/>
      <c r="J843" s="703"/>
      <c r="K843" s="703"/>
      <c r="L843" s="703"/>
      <c r="M843" s="703"/>
      <c r="N843" s="703"/>
      <c r="O843" s="703"/>
      <c r="P843" s="703"/>
      <c r="Q843" s="703"/>
      <c r="R843" s="703"/>
      <c r="S843" s="703"/>
      <c r="T843" s="703"/>
      <c r="U843" s="703"/>
      <c r="V843" s="703"/>
      <c r="W843" s="703"/>
      <c r="X843" s="703"/>
      <c r="Y843" s="703"/>
      <c r="Z843" s="703"/>
    </row>
    <row r="844">
      <c r="A844" s="703"/>
      <c r="B844" s="703"/>
      <c r="C844" s="703"/>
      <c r="D844" s="703"/>
      <c r="E844" s="703"/>
      <c r="F844" s="703"/>
      <c r="G844" s="703"/>
      <c r="H844" s="703"/>
      <c r="I844" s="703"/>
      <c r="J844" s="703"/>
      <c r="K844" s="703"/>
      <c r="L844" s="703"/>
      <c r="M844" s="703"/>
      <c r="N844" s="703"/>
      <c r="O844" s="703"/>
      <c r="P844" s="703"/>
      <c r="Q844" s="703"/>
      <c r="R844" s="703"/>
      <c r="S844" s="703"/>
      <c r="T844" s="703"/>
      <c r="U844" s="703"/>
      <c r="V844" s="703"/>
      <c r="W844" s="703"/>
      <c r="X844" s="703"/>
      <c r="Y844" s="703"/>
      <c r="Z844" s="703"/>
    </row>
    <row r="845">
      <c r="A845" s="703"/>
      <c r="B845" s="703"/>
      <c r="C845" s="703"/>
      <c r="D845" s="703"/>
      <c r="E845" s="703"/>
      <c r="F845" s="703"/>
      <c r="G845" s="703"/>
      <c r="H845" s="703"/>
      <c r="I845" s="703"/>
      <c r="J845" s="703"/>
      <c r="K845" s="703"/>
      <c r="L845" s="703"/>
      <c r="M845" s="703"/>
      <c r="N845" s="703"/>
      <c r="O845" s="703"/>
      <c r="P845" s="703"/>
      <c r="Q845" s="703"/>
      <c r="R845" s="703"/>
      <c r="S845" s="703"/>
      <c r="T845" s="703"/>
      <c r="U845" s="703"/>
      <c r="V845" s="703"/>
      <c r="W845" s="703"/>
      <c r="X845" s="703"/>
      <c r="Y845" s="703"/>
      <c r="Z845" s="703"/>
    </row>
    <row r="846">
      <c r="A846" s="703"/>
      <c r="B846" s="703"/>
      <c r="C846" s="703"/>
      <c r="D846" s="703"/>
      <c r="E846" s="703"/>
      <c r="F846" s="703"/>
      <c r="G846" s="703"/>
      <c r="H846" s="703"/>
      <c r="I846" s="703"/>
      <c r="J846" s="703"/>
      <c r="K846" s="703"/>
      <c r="L846" s="703"/>
      <c r="M846" s="703"/>
      <c r="N846" s="703"/>
      <c r="O846" s="703"/>
      <c r="P846" s="703"/>
      <c r="Q846" s="703"/>
      <c r="R846" s="703"/>
      <c r="S846" s="703"/>
      <c r="T846" s="703"/>
      <c r="U846" s="703"/>
      <c r="V846" s="703"/>
      <c r="W846" s="703"/>
      <c r="X846" s="703"/>
      <c r="Y846" s="703"/>
      <c r="Z846" s="703"/>
    </row>
    <row r="847">
      <c r="A847" s="703"/>
      <c r="B847" s="703"/>
      <c r="C847" s="703"/>
      <c r="D847" s="703"/>
      <c r="E847" s="703"/>
      <c r="F847" s="703"/>
      <c r="G847" s="703"/>
      <c r="H847" s="703"/>
      <c r="I847" s="703"/>
      <c r="J847" s="703"/>
      <c r="K847" s="703"/>
      <c r="L847" s="703"/>
      <c r="M847" s="703"/>
      <c r="N847" s="703"/>
      <c r="O847" s="703"/>
      <c r="P847" s="703"/>
      <c r="Q847" s="703"/>
      <c r="R847" s="703"/>
      <c r="S847" s="703"/>
      <c r="T847" s="703"/>
      <c r="U847" s="703"/>
      <c r="V847" s="703"/>
      <c r="W847" s="703"/>
      <c r="X847" s="703"/>
      <c r="Y847" s="703"/>
      <c r="Z847" s="703"/>
    </row>
    <row r="848">
      <c r="A848" s="703"/>
      <c r="B848" s="703"/>
      <c r="C848" s="703"/>
      <c r="D848" s="703"/>
      <c r="E848" s="703"/>
      <c r="F848" s="703"/>
      <c r="G848" s="703"/>
      <c r="H848" s="703"/>
      <c r="I848" s="703"/>
      <c r="J848" s="703"/>
      <c r="K848" s="703"/>
      <c r="L848" s="703"/>
      <c r="M848" s="703"/>
      <c r="N848" s="703"/>
      <c r="O848" s="703"/>
      <c r="P848" s="703"/>
      <c r="Q848" s="703"/>
      <c r="R848" s="703"/>
      <c r="S848" s="703"/>
      <c r="T848" s="703"/>
      <c r="U848" s="703"/>
      <c r="V848" s="703"/>
      <c r="W848" s="703"/>
      <c r="X848" s="703"/>
      <c r="Y848" s="703"/>
      <c r="Z848" s="703"/>
    </row>
    <row r="849">
      <c r="A849" s="703"/>
      <c r="B849" s="703"/>
      <c r="C849" s="703"/>
      <c r="D849" s="703"/>
      <c r="E849" s="703"/>
      <c r="F849" s="703"/>
      <c r="G849" s="703"/>
      <c r="H849" s="703"/>
      <c r="I849" s="703"/>
      <c r="J849" s="703"/>
      <c r="K849" s="703"/>
      <c r="L849" s="703"/>
      <c r="M849" s="703"/>
      <c r="N849" s="703"/>
      <c r="O849" s="703"/>
      <c r="P849" s="703"/>
      <c r="Q849" s="703"/>
      <c r="R849" s="703"/>
      <c r="S849" s="703"/>
      <c r="T849" s="703"/>
      <c r="U849" s="703"/>
      <c r="V849" s="703"/>
      <c r="W849" s="703"/>
      <c r="X849" s="703"/>
      <c r="Y849" s="703"/>
      <c r="Z849" s="703"/>
    </row>
    <row r="850">
      <c r="A850" s="703"/>
      <c r="B850" s="703"/>
      <c r="C850" s="703"/>
      <c r="D850" s="703"/>
      <c r="E850" s="703"/>
      <c r="F850" s="703"/>
      <c r="G850" s="703"/>
      <c r="H850" s="703"/>
      <c r="I850" s="703"/>
      <c r="J850" s="703"/>
      <c r="K850" s="703"/>
      <c r="L850" s="703"/>
      <c r="M850" s="703"/>
      <c r="N850" s="703"/>
      <c r="O850" s="703"/>
      <c r="P850" s="703"/>
      <c r="Q850" s="703"/>
      <c r="R850" s="703"/>
      <c r="S850" s="703"/>
      <c r="T850" s="703"/>
      <c r="U850" s="703"/>
      <c r="V850" s="703"/>
      <c r="W850" s="703"/>
      <c r="X850" s="703"/>
      <c r="Y850" s="703"/>
      <c r="Z850" s="703"/>
    </row>
    <row r="851">
      <c r="A851" s="703"/>
      <c r="B851" s="703"/>
      <c r="C851" s="703"/>
      <c r="D851" s="703"/>
      <c r="E851" s="703"/>
      <c r="F851" s="703"/>
      <c r="G851" s="703"/>
      <c r="H851" s="703"/>
      <c r="I851" s="703"/>
      <c r="J851" s="703"/>
      <c r="K851" s="703"/>
      <c r="L851" s="703"/>
      <c r="M851" s="703"/>
      <c r="N851" s="703"/>
      <c r="O851" s="703"/>
      <c r="P851" s="703"/>
      <c r="Q851" s="703"/>
      <c r="R851" s="703"/>
      <c r="S851" s="703"/>
      <c r="T851" s="703"/>
      <c r="U851" s="703"/>
      <c r="V851" s="703"/>
      <c r="W851" s="703"/>
      <c r="X851" s="703"/>
      <c r="Y851" s="703"/>
      <c r="Z851" s="703"/>
    </row>
    <row r="852">
      <c r="A852" s="703"/>
      <c r="B852" s="703"/>
      <c r="C852" s="703"/>
      <c r="D852" s="703"/>
      <c r="E852" s="703"/>
      <c r="F852" s="703"/>
      <c r="G852" s="703"/>
      <c r="H852" s="703"/>
      <c r="I852" s="703"/>
      <c r="J852" s="703"/>
      <c r="K852" s="703"/>
      <c r="L852" s="703"/>
      <c r="M852" s="703"/>
      <c r="N852" s="703"/>
      <c r="O852" s="703"/>
      <c r="P852" s="703"/>
      <c r="Q852" s="703"/>
      <c r="R852" s="703"/>
      <c r="S852" s="703"/>
      <c r="T852" s="703"/>
      <c r="U852" s="703"/>
      <c r="V852" s="703"/>
      <c r="W852" s="703"/>
      <c r="X852" s="703"/>
      <c r="Y852" s="703"/>
      <c r="Z852" s="703"/>
    </row>
    <row r="853">
      <c r="A853" s="703"/>
      <c r="B853" s="703"/>
      <c r="C853" s="703"/>
      <c r="D853" s="703"/>
      <c r="E853" s="703"/>
      <c r="F853" s="703"/>
      <c r="G853" s="703"/>
      <c r="H853" s="703"/>
      <c r="I853" s="703"/>
      <c r="J853" s="703"/>
      <c r="K853" s="703"/>
      <c r="L853" s="703"/>
      <c r="M853" s="703"/>
      <c r="N853" s="703"/>
      <c r="O853" s="703"/>
      <c r="P853" s="703"/>
      <c r="Q853" s="703"/>
      <c r="R853" s="703"/>
      <c r="S853" s="703"/>
      <c r="T853" s="703"/>
      <c r="U853" s="703"/>
      <c r="V853" s="703"/>
      <c r="W853" s="703"/>
      <c r="X853" s="703"/>
      <c r="Y853" s="703"/>
      <c r="Z853" s="703"/>
    </row>
    <row r="854">
      <c r="A854" s="703"/>
      <c r="B854" s="703"/>
      <c r="C854" s="703"/>
      <c r="D854" s="703"/>
      <c r="E854" s="703"/>
      <c r="F854" s="703"/>
      <c r="G854" s="703"/>
      <c r="H854" s="703"/>
      <c r="I854" s="703"/>
      <c r="J854" s="703"/>
      <c r="K854" s="703"/>
      <c r="L854" s="703"/>
      <c r="M854" s="703"/>
      <c r="N854" s="703"/>
      <c r="O854" s="703"/>
      <c r="P854" s="703"/>
      <c r="Q854" s="703"/>
      <c r="R854" s="703"/>
      <c r="S854" s="703"/>
      <c r="T854" s="703"/>
      <c r="U854" s="703"/>
      <c r="V854" s="703"/>
      <c r="W854" s="703"/>
      <c r="X854" s="703"/>
      <c r="Y854" s="703"/>
      <c r="Z854" s="703"/>
    </row>
    <row r="855">
      <c r="A855" s="703"/>
      <c r="B855" s="703"/>
      <c r="C855" s="703"/>
      <c r="D855" s="703"/>
      <c r="E855" s="703"/>
      <c r="F855" s="703"/>
      <c r="G855" s="703"/>
      <c r="H855" s="703"/>
      <c r="I855" s="703"/>
      <c r="J855" s="703"/>
      <c r="K855" s="703"/>
      <c r="L855" s="703"/>
      <c r="M855" s="703"/>
      <c r="N855" s="703"/>
      <c r="O855" s="703"/>
      <c r="P855" s="703"/>
      <c r="Q855" s="703"/>
      <c r="R855" s="703"/>
      <c r="S855" s="703"/>
      <c r="T855" s="703"/>
      <c r="U855" s="703"/>
      <c r="V855" s="703"/>
      <c r="W855" s="703"/>
      <c r="X855" s="703"/>
      <c r="Y855" s="703"/>
      <c r="Z855" s="703"/>
    </row>
    <row r="856">
      <c r="A856" s="703"/>
      <c r="B856" s="703"/>
      <c r="C856" s="703"/>
      <c r="D856" s="703"/>
      <c r="E856" s="703"/>
      <c r="F856" s="703"/>
      <c r="G856" s="703"/>
      <c r="H856" s="703"/>
      <c r="I856" s="703"/>
      <c r="J856" s="703"/>
      <c r="K856" s="703"/>
      <c r="L856" s="703"/>
      <c r="M856" s="703"/>
      <c r="N856" s="703"/>
      <c r="O856" s="703"/>
      <c r="P856" s="703"/>
      <c r="Q856" s="703"/>
      <c r="R856" s="703"/>
      <c r="S856" s="703"/>
      <c r="T856" s="703"/>
      <c r="U856" s="703"/>
      <c r="V856" s="703"/>
      <c r="W856" s="703"/>
      <c r="X856" s="703"/>
      <c r="Y856" s="703"/>
      <c r="Z856" s="703"/>
    </row>
    <row r="857">
      <c r="A857" s="703"/>
      <c r="B857" s="703"/>
      <c r="C857" s="703"/>
      <c r="D857" s="703"/>
      <c r="E857" s="703"/>
      <c r="F857" s="703"/>
      <c r="G857" s="703"/>
      <c r="H857" s="703"/>
      <c r="I857" s="703"/>
      <c r="J857" s="703"/>
      <c r="K857" s="703"/>
      <c r="L857" s="703"/>
      <c r="M857" s="703"/>
      <c r="N857" s="703"/>
      <c r="O857" s="703"/>
      <c r="P857" s="703"/>
      <c r="Q857" s="703"/>
      <c r="R857" s="703"/>
      <c r="S857" s="703"/>
      <c r="T857" s="703"/>
      <c r="U857" s="703"/>
      <c r="V857" s="703"/>
      <c r="W857" s="703"/>
      <c r="X857" s="703"/>
      <c r="Y857" s="703"/>
      <c r="Z857" s="703"/>
    </row>
    <row r="858">
      <c r="A858" s="703"/>
      <c r="B858" s="703"/>
      <c r="C858" s="703"/>
      <c r="D858" s="703"/>
      <c r="E858" s="703"/>
      <c r="F858" s="703"/>
      <c r="G858" s="703"/>
      <c r="H858" s="703"/>
      <c r="I858" s="703"/>
      <c r="J858" s="703"/>
      <c r="K858" s="703"/>
      <c r="L858" s="703"/>
      <c r="M858" s="703"/>
      <c r="N858" s="703"/>
      <c r="O858" s="703"/>
      <c r="P858" s="703"/>
      <c r="Q858" s="703"/>
      <c r="R858" s="703"/>
      <c r="S858" s="703"/>
      <c r="T858" s="703"/>
      <c r="U858" s="703"/>
      <c r="V858" s="703"/>
      <c r="W858" s="703"/>
      <c r="X858" s="703"/>
      <c r="Y858" s="703"/>
      <c r="Z858" s="703"/>
    </row>
    <row r="859">
      <c r="A859" s="703"/>
      <c r="B859" s="703"/>
      <c r="C859" s="703"/>
      <c r="D859" s="703"/>
      <c r="E859" s="703"/>
      <c r="F859" s="703"/>
      <c r="G859" s="703"/>
      <c r="H859" s="703"/>
      <c r="I859" s="703"/>
      <c r="J859" s="703"/>
      <c r="K859" s="703"/>
      <c r="L859" s="703"/>
      <c r="M859" s="703"/>
      <c r="N859" s="703"/>
      <c r="O859" s="703"/>
      <c r="P859" s="703"/>
      <c r="Q859" s="703"/>
      <c r="R859" s="703"/>
      <c r="S859" s="703"/>
      <c r="T859" s="703"/>
      <c r="U859" s="703"/>
      <c r="V859" s="703"/>
      <c r="W859" s="703"/>
      <c r="X859" s="703"/>
      <c r="Y859" s="703"/>
      <c r="Z859" s="703"/>
    </row>
    <row r="860">
      <c r="A860" s="703"/>
      <c r="B860" s="703"/>
      <c r="C860" s="703"/>
      <c r="D860" s="703"/>
      <c r="E860" s="703"/>
      <c r="F860" s="703"/>
      <c r="G860" s="703"/>
      <c r="H860" s="703"/>
      <c r="I860" s="703"/>
      <c r="J860" s="703"/>
      <c r="K860" s="703"/>
      <c r="L860" s="703"/>
      <c r="M860" s="703"/>
      <c r="N860" s="703"/>
      <c r="O860" s="703"/>
      <c r="P860" s="703"/>
      <c r="Q860" s="703"/>
      <c r="R860" s="703"/>
      <c r="S860" s="703"/>
      <c r="T860" s="703"/>
      <c r="U860" s="703"/>
      <c r="V860" s="703"/>
      <c r="W860" s="703"/>
      <c r="X860" s="703"/>
      <c r="Y860" s="703"/>
      <c r="Z860" s="703"/>
    </row>
    <row r="861">
      <c r="A861" s="703"/>
      <c r="B861" s="703"/>
      <c r="C861" s="703"/>
      <c r="D861" s="703"/>
      <c r="E861" s="703"/>
      <c r="F861" s="703"/>
      <c r="G861" s="703"/>
      <c r="H861" s="703"/>
      <c r="I861" s="703"/>
      <c r="J861" s="703"/>
      <c r="K861" s="703"/>
      <c r="L861" s="703"/>
      <c r="M861" s="703"/>
      <c r="N861" s="703"/>
      <c r="O861" s="703"/>
      <c r="P861" s="703"/>
      <c r="Q861" s="703"/>
      <c r="R861" s="703"/>
      <c r="S861" s="703"/>
      <c r="T861" s="703"/>
      <c r="U861" s="703"/>
      <c r="V861" s="703"/>
      <c r="W861" s="703"/>
      <c r="X861" s="703"/>
      <c r="Y861" s="703"/>
      <c r="Z861" s="703"/>
    </row>
    <row r="862">
      <c r="A862" s="703"/>
      <c r="B862" s="703"/>
      <c r="C862" s="703"/>
      <c r="D862" s="703"/>
      <c r="E862" s="703"/>
      <c r="F862" s="703"/>
      <c r="G862" s="703"/>
      <c r="H862" s="703"/>
      <c r="I862" s="703"/>
      <c r="J862" s="703"/>
      <c r="K862" s="703"/>
      <c r="L862" s="703"/>
      <c r="M862" s="703"/>
      <c r="N862" s="703"/>
      <c r="O862" s="703"/>
      <c r="P862" s="703"/>
      <c r="Q862" s="703"/>
      <c r="R862" s="703"/>
      <c r="S862" s="703"/>
      <c r="T862" s="703"/>
      <c r="U862" s="703"/>
      <c r="V862" s="703"/>
      <c r="W862" s="703"/>
      <c r="X862" s="703"/>
      <c r="Y862" s="703"/>
      <c r="Z862" s="703"/>
    </row>
    <row r="863">
      <c r="A863" s="703"/>
      <c r="B863" s="703"/>
      <c r="C863" s="703"/>
      <c r="D863" s="703"/>
      <c r="E863" s="703"/>
      <c r="F863" s="703"/>
      <c r="G863" s="703"/>
      <c r="H863" s="703"/>
      <c r="I863" s="703"/>
      <c r="J863" s="703"/>
      <c r="K863" s="703"/>
      <c r="L863" s="703"/>
      <c r="M863" s="703"/>
      <c r="N863" s="703"/>
      <c r="O863" s="703"/>
      <c r="P863" s="703"/>
      <c r="Q863" s="703"/>
      <c r="R863" s="703"/>
      <c r="S863" s="703"/>
      <c r="T863" s="703"/>
      <c r="U863" s="703"/>
      <c r="V863" s="703"/>
      <c r="W863" s="703"/>
      <c r="X863" s="703"/>
      <c r="Y863" s="703"/>
      <c r="Z863" s="703"/>
    </row>
    <row r="864">
      <c r="A864" s="703"/>
      <c r="B864" s="703"/>
      <c r="C864" s="703"/>
      <c r="D864" s="703"/>
      <c r="E864" s="703"/>
      <c r="F864" s="703"/>
      <c r="G864" s="703"/>
      <c r="H864" s="703"/>
      <c r="I864" s="703"/>
      <c r="J864" s="703"/>
      <c r="K864" s="703"/>
      <c r="L864" s="703"/>
      <c r="M864" s="703"/>
      <c r="N864" s="703"/>
      <c r="O864" s="703"/>
      <c r="P864" s="703"/>
      <c r="Q864" s="703"/>
      <c r="R864" s="703"/>
      <c r="S864" s="703"/>
      <c r="T864" s="703"/>
      <c r="U864" s="703"/>
      <c r="V864" s="703"/>
      <c r="W864" s="703"/>
      <c r="X864" s="703"/>
      <c r="Y864" s="703"/>
      <c r="Z864" s="703"/>
    </row>
    <row r="865">
      <c r="A865" s="703"/>
      <c r="B865" s="703"/>
      <c r="C865" s="703"/>
      <c r="D865" s="703"/>
      <c r="E865" s="703"/>
      <c r="F865" s="703"/>
      <c r="G865" s="703"/>
      <c r="H865" s="703"/>
      <c r="I865" s="703"/>
      <c r="J865" s="703"/>
      <c r="K865" s="703"/>
      <c r="L865" s="703"/>
      <c r="M865" s="703"/>
      <c r="N865" s="703"/>
      <c r="O865" s="703"/>
      <c r="P865" s="703"/>
      <c r="Q865" s="703"/>
      <c r="R865" s="703"/>
      <c r="S865" s="703"/>
      <c r="T865" s="703"/>
      <c r="U865" s="703"/>
      <c r="V865" s="703"/>
      <c r="W865" s="703"/>
      <c r="X865" s="703"/>
      <c r="Y865" s="703"/>
      <c r="Z865" s="703"/>
    </row>
    <row r="866">
      <c r="A866" s="703"/>
      <c r="B866" s="703"/>
      <c r="C866" s="703"/>
      <c r="D866" s="703"/>
      <c r="E866" s="703"/>
      <c r="F866" s="703"/>
      <c r="G866" s="703"/>
      <c r="H866" s="703"/>
      <c r="I866" s="703"/>
      <c r="J866" s="703"/>
      <c r="K866" s="703"/>
      <c r="L866" s="703"/>
      <c r="M866" s="703"/>
      <c r="N866" s="703"/>
      <c r="O866" s="703"/>
      <c r="P866" s="703"/>
      <c r="Q866" s="703"/>
      <c r="R866" s="703"/>
      <c r="S866" s="703"/>
      <c r="T866" s="703"/>
      <c r="U866" s="703"/>
      <c r="V866" s="703"/>
      <c r="W866" s="703"/>
      <c r="X866" s="703"/>
      <c r="Y866" s="703"/>
      <c r="Z866" s="703"/>
    </row>
    <row r="867">
      <c r="A867" s="703"/>
      <c r="B867" s="703"/>
      <c r="C867" s="703"/>
      <c r="D867" s="703"/>
      <c r="E867" s="703"/>
      <c r="F867" s="703"/>
      <c r="G867" s="703"/>
      <c r="H867" s="703"/>
      <c r="I867" s="703"/>
      <c r="J867" s="703"/>
      <c r="K867" s="703"/>
      <c r="L867" s="703"/>
      <c r="M867" s="703"/>
      <c r="N867" s="703"/>
      <c r="O867" s="703"/>
      <c r="P867" s="703"/>
      <c r="Q867" s="703"/>
      <c r="R867" s="703"/>
      <c r="S867" s="703"/>
      <c r="T867" s="703"/>
      <c r="U867" s="703"/>
      <c r="V867" s="703"/>
      <c r="W867" s="703"/>
      <c r="X867" s="703"/>
      <c r="Y867" s="703"/>
      <c r="Z867" s="703"/>
    </row>
    <row r="868">
      <c r="A868" s="703"/>
      <c r="B868" s="703"/>
      <c r="C868" s="703"/>
      <c r="D868" s="703"/>
      <c r="E868" s="703"/>
      <c r="F868" s="703"/>
      <c r="G868" s="703"/>
      <c r="H868" s="703"/>
      <c r="I868" s="703"/>
      <c r="J868" s="703"/>
      <c r="K868" s="703"/>
      <c r="L868" s="703"/>
      <c r="M868" s="703"/>
      <c r="N868" s="703"/>
      <c r="O868" s="703"/>
      <c r="P868" s="703"/>
      <c r="Q868" s="703"/>
      <c r="R868" s="703"/>
      <c r="S868" s="703"/>
      <c r="T868" s="703"/>
      <c r="U868" s="703"/>
      <c r="V868" s="703"/>
      <c r="W868" s="703"/>
      <c r="X868" s="703"/>
      <c r="Y868" s="703"/>
      <c r="Z868" s="703"/>
    </row>
    <row r="869">
      <c r="A869" s="703"/>
      <c r="B869" s="703"/>
      <c r="C869" s="703"/>
      <c r="D869" s="703"/>
      <c r="E869" s="703"/>
      <c r="F869" s="703"/>
      <c r="G869" s="703"/>
      <c r="H869" s="703"/>
      <c r="I869" s="703"/>
      <c r="J869" s="703"/>
      <c r="K869" s="703"/>
      <c r="L869" s="703"/>
      <c r="M869" s="703"/>
      <c r="N869" s="703"/>
      <c r="O869" s="703"/>
      <c r="P869" s="703"/>
      <c r="Q869" s="703"/>
      <c r="R869" s="703"/>
      <c r="S869" s="703"/>
      <c r="T869" s="703"/>
      <c r="U869" s="703"/>
      <c r="V869" s="703"/>
      <c r="W869" s="703"/>
      <c r="X869" s="703"/>
      <c r="Y869" s="703"/>
      <c r="Z869" s="703"/>
    </row>
    <row r="870">
      <c r="A870" s="703"/>
      <c r="B870" s="703"/>
      <c r="C870" s="703"/>
      <c r="D870" s="703"/>
      <c r="E870" s="703"/>
      <c r="F870" s="703"/>
      <c r="G870" s="703"/>
      <c r="H870" s="703"/>
      <c r="I870" s="703"/>
      <c r="J870" s="703"/>
      <c r="K870" s="703"/>
      <c r="L870" s="703"/>
      <c r="M870" s="703"/>
      <c r="N870" s="703"/>
      <c r="O870" s="703"/>
      <c r="P870" s="703"/>
      <c r="Q870" s="703"/>
      <c r="R870" s="703"/>
      <c r="S870" s="703"/>
      <c r="T870" s="703"/>
      <c r="U870" s="703"/>
      <c r="V870" s="703"/>
      <c r="W870" s="703"/>
      <c r="X870" s="703"/>
      <c r="Y870" s="703"/>
      <c r="Z870" s="703"/>
    </row>
    <row r="871">
      <c r="A871" s="703"/>
      <c r="B871" s="703"/>
      <c r="C871" s="703"/>
      <c r="D871" s="703"/>
      <c r="E871" s="703"/>
      <c r="F871" s="703"/>
      <c r="G871" s="703"/>
      <c r="H871" s="703"/>
      <c r="I871" s="703"/>
      <c r="J871" s="703"/>
      <c r="K871" s="703"/>
      <c r="L871" s="703"/>
      <c r="M871" s="703"/>
      <c r="N871" s="703"/>
      <c r="O871" s="703"/>
      <c r="P871" s="703"/>
      <c r="Q871" s="703"/>
      <c r="R871" s="703"/>
      <c r="S871" s="703"/>
      <c r="T871" s="703"/>
      <c r="U871" s="703"/>
      <c r="V871" s="703"/>
      <c r="W871" s="703"/>
      <c r="X871" s="703"/>
      <c r="Y871" s="703"/>
      <c r="Z871" s="703"/>
    </row>
    <row r="872">
      <c r="A872" s="703"/>
      <c r="B872" s="703"/>
      <c r="C872" s="703"/>
      <c r="D872" s="703"/>
      <c r="E872" s="703"/>
      <c r="F872" s="703"/>
      <c r="G872" s="703"/>
      <c r="H872" s="703"/>
      <c r="I872" s="703"/>
      <c r="J872" s="703"/>
      <c r="K872" s="703"/>
      <c r="L872" s="703"/>
      <c r="M872" s="703"/>
      <c r="N872" s="703"/>
      <c r="O872" s="703"/>
      <c r="P872" s="703"/>
      <c r="Q872" s="703"/>
      <c r="R872" s="703"/>
      <c r="S872" s="703"/>
      <c r="T872" s="703"/>
      <c r="U872" s="703"/>
      <c r="V872" s="703"/>
      <c r="W872" s="703"/>
      <c r="X872" s="703"/>
      <c r="Y872" s="703"/>
      <c r="Z872" s="703"/>
    </row>
    <row r="873">
      <c r="A873" s="703"/>
      <c r="B873" s="703"/>
      <c r="C873" s="703"/>
      <c r="D873" s="703"/>
      <c r="E873" s="703"/>
      <c r="F873" s="703"/>
      <c r="G873" s="703"/>
      <c r="H873" s="703"/>
      <c r="I873" s="703"/>
      <c r="J873" s="703"/>
      <c r="K873" s="703"/>
      <c r="L873" s="703"/>
      <c r="M873" s="703"/>
      <c r="N873" s="703"/>
      <c r="O873" s="703"/>
      <c r="P873" s="703"/>
      <c r="Q873" s="703"/>
      <c r="R873" s="703"/>
      <c r="S873" s="703"/>
      <c r="T873" s="703"/>
      <c r="U873" s="703"/>
      <c r="V873" s="703"/>
      <c r="W873" s="703"/>
      <c r="X873" s="703"/>
      <c r="Y873" s="703"/>
      <c r="Z873" s="703"/>
    </row>
    <row r="874">
      <c r="A874" s="703"/>
      <c r="B874" s="703"/>
      <c r="C874" s="703"/>
      <c r="D874" s="703"/>
      <c r="E874" s="703"/>
      <c r="F874" s="703"/>
      <c r="G874" s="703"/>
      <c r="H874" s="703"/>
      <c r="I874" s="703"/>
      <c r="J874" s="703"/>
      <c r="K874" s="703"/>
      <c r="L874" s="703"/>
      <c r="M874" s="703"/>
      <c r="N874" s="703"/>
      <c r="O874" s="703"/>
      <c r="P874" s="703"/>
      <c r="Q874" s="703"/>
      <c r="R874" s="703"/>
      <c r="S874" s="703"/>
      <c r="T874" s="703"/>
      <c r="U874" s="703"/>
      <c r="V874" s="703"/>
      <c r="W874" s="703"/>
      <c r="X874" s="703"/>
      <c r="Y874" s="703"/>
      <c r="Z874" s="703"/>
    </row>
    <row r="875">
      <c r="A875" s="703"/>
      <c r="B875" s="703"/>
      <c r="C875" s="703"/>
      <c r="D875" s="703"/>
      <c r="E875" s="703"/>
      <c r="F875" s="703"/>
      <c r="G875" s="703"/>
      <c r="H875" s="703"/>
      <c r="I875" s="703"/>
      <c r="J875" s="703"/>
      <c r="K875" s="703"/>
      <c r="L875" s="703"/>
      <c r="M875" s="703"/>
      <c r="N875" s="703"/>
      <c r="O875" s="703"/>
      <c r="P875" s="703"/>
      <c r="Q875" s="703"/>
      <c r="R875" s="703"/>
      <c r="S875" s="703"/>
      <c r="T875" s="703"/>
      <c r="U875" s="703"/>
      <c r="V875" s="703"/>
      <c r="W875" s="703"/>
      <c r="X875" s="703"/>
      <c r="Y875" s="703"/>
      <c r="Z875" s="703"/>
    </row>
    <row r="876">
      <c r="A876" s="703"/>
      <c r="B876" s="703"/>
      <c r="C876" s="703"/>
      <c r="D876" s="703"/>
      <c r="E876" s="703"/>
      <c r="F876" s="703"/>
      <c r="G876" s="703"/>
      <c r="H876" s="703"/>
      <c r="I876" s="703"/>
      <c r="J876" s="703"/>
      <c r="K876" s="703"/>
      <c r="L876" s="703"/>
      <c r="M876" s="703"/>
      <c r="N876" s="703"/>
      <c r="O876" s="703"/>
      <c r="P876" s="703"/>
      <c r="Q876" s="703"/>
      <c r="R876" s="703"/>
      <c r="S876" s="703"/>
      <c r="T876" s="703"/>
      <c r="U876" s="703"/>
      <c r="V876" s="703"/>
      <c r="W876" s="703"/>
      <c r="X876" s="703"/>
      <c r="Y876" s="703"/>
      <c r="Z876" s="703"/>
    </row>
    <row r="877">
      <c r="A877" s="703"/>
      <c r="B877" s="703"/>
      <c r="C877" s="703"/>
      <c r="D877" s="703"/>
      <c r="E877" s="703"/>
      <c r="F877" s="703"/>
      <c r="G877" s="703"/>
      <c r="H877" s="703"/>
      <c r="I877" s="703"/>
      <c r="J877" s="703"/>
      <c r="K877" s="703"/>
      <c r="L877" s="703"/>
      <c r="M877" s="703"/>
      <c r="N877" s="703"/>
      <c r="O877" s="703"/>
      <c r="P877" s="703"/>
      <c r="Q877" s="703"/>
      <c r="R877" s="703"/>
      <c r="S877" s="703"/>
      <c r="T877" s="703"/>
      <c r="U877" s="703"/>
      <c r="V877" s="703"/>
      <c r="W877" s="703"/>
      <c r="X877" s="703"/>
      <c r="Y877" s="703"/>
      <c r="Z877" s="703"/>
    </row>
    <row r="878">
      <c r="A878" s="703"/>
      <c r="B878" s="703"/>
      <c r="C878" s="703"/>
      <c r="D878" s="703"/>
      <c r="E878" s="703"/>
      <c r="F878" s="703"/>
      <c r="G878" s="703"/>
      <c r="H878" s="703"/>
      <c r="I878" s="703"/>
      <c r="J878" s="703"/>
      <c r="K878" s="703"/>
      <c r="L878" s="703"/>
      <c r="M878" s="703"/>
      <c r="N878" s="703"/>
      <c r="O878" s="703"/>
      <c r="P878" s="703"/>
      <c r="Q878" s="703"/>
      <c r="R878" s="703"/>
      <c r="S878" s="703"/>
      <c r="T878" s="703"/>
      <c r="U878" s="703"/>
      <c r="V878" s="703"/>
      <c r="W878" s="703"/>
      <c r="X878" s="703"/>
      <c r="Y878" s="703"/>
      <c r="Z878" s="703"/>
    </row>
    <row r="879">
      <c r="A879" s="703"/>
      <c r="B879" s="703"/>
      <c r="C879" s="703"/>
      <c r="D879" s="703"/>
      <c r="E879" s="703"/>
      <c r="F879" s="703"/>
      <c r="G879" s="703"/>
      <c r="H879" s="703"/>
      <c r="I879" s="703"/>
      <c r="J879" s="703"/>
      <c r="K879" s="703"/>
      <c r="L879" s="703"/>
      <c r="M879" s="703"/>
      <c r="N879" s="703"/>
      <c r="O879" s="703"/>
      <c r="P879" s="703"/>
      <c r="Q879" s="703"/>
      <c r="R879" s="703"/>
      <c r="S879" s="703"/>
      <c r="T879" s="703"/>
      <c r="U879" s="703"/>
      <c r="V879" s="703"/>
      <c r="W879" s="703"/>
      <c r="X879" s="703"/>
      <c r="Y879" s="703"/>
      <c r="Z879" s="703"/>
    </row>
    <row r="880">
      <c r="A880" s="703"/>
      <c r="B880" s="703"/>
      <c r="C880" s="703"/>
      <c r="D880" s="703"/>
      <c r="E880" s="703"/>
      <c r="F880" s="703"/>
      <c r="G880" s="703"/>
      <c r="H880" s="703"/>
      <c r="I880" s="703"/>
      <c r="J880" s="703"/>
      <c r="K880" s="703"/>
      <c r="L880" s="703"/>
      <c r="M880" s="703"/>
      <c r="N880" s="703"/>
      <c r="O880" s="703"/>
      <c r="P880" s="703"/>
      <c r="Q880" s="703"/>
      <c r="R880" s="703"/>
      <c r="S880" s="703"/>
      <c r="T880" s="703"/>
      <c r="U880" s="703"/>
      <c r="V880" s="703"/>
      <c r="W880" s="703"/>
      <c r="X880" s="703"/>
      <c r="Y880" s="703"/>
      <c r="Z880" s="703"/>
    </row>
    <row r="881">
      <c r="A881" s="703"/>
      <c r="B881" s="703"/>
      <c r="C881" s="703"/>
      <c r="D881" s="703"/>
      <c r="E881" s="703"/>
      <c r="F881" s="703"/>
      <c r="G881" s="703"/>
      <c r="H881" s="703"/>
      <c r="I881" s="703"/>
      <c r="J881" s="703"/>
      <c r="K881" s="703"/>
      <c r="L881" s="703"/>
      <c r="M881" s="703"/>
      <c r="N881" s="703"/>
      <c r="O881" s="703"/>
      <c r="P881" s="703"/>
      <c r="Q881" s="703"/>
      <c r="R881" s="703"/>
      <c r="S881" s="703"/>
      <c r="T881" s="703"/>
      <c r="U881" s="703"/>
      <c r="V881" s="703"/>
      <c r="W881" s="703"/>
      <c r="X881" s="703"/>
      <c r="Y881" s="703"/>
      <c r="Z881" s="703"/>
    </row>
    <row r="882">
      <c r="A882" s="703"/>
      <c r="B882" s="703"/>
      <c r="C882" s="703"/>
      <c r="D882" s="703"/>
      <c r="E882" s="703"/>
      <c r="F882" s="703"/>
      <c r="G882" s="703"/>
      <c r="H882" s="703"/>
      <c r="I882" s="703"/>
      <c r="J882" s="703"/>
      <c r="K882" s="703"/>
      <c r="L882" s="703"/>
      <c r="M882" s="703"/>
      <c r="N882" s="703"/>
      <c r="O882" s="703"/>
      <c r="P882" s="703"/>
      <c r="Q882" s="703"/>
      <c r="R882" s="703"/>
      <c r="S882" s="703"/>
      <c r="T882" s="703"/>
      <c r="U882" s="703"/>
      <c r="V882" s="703"/>
      <c r="W882" s="703"/>
      <c r="X882" s="703"/>
      <c r="Y882" s="703"/>
      <c r="Z882" s="703"/>
    </row>
    <row r="883">
      <c r="A883" s="703"/>
      <c r="B883" s="703"/>
      <c r="C883" s="703"/>
      <c r="D883" s="703"/>
      <c r="E883" s="703"/>
      <c r="F883" s="703"/>
      <c r="G883" s="703"/>
      <c r="H883" s="703"/>
      <c r="I883" s="703"/>
      <c r="J883" s="703"/>
      <c r="K883" s="703"/>
      <c r="L883" s="703"/>
      <c r="M883" s="703"/>
      <c r="N883" s="703"/>
      <c r="O883" s="703"/>
      <c r="P883" s="703"/>
      <c r="Q883" s="703"/>
      <c r="R883" s="703"/>
      <c r="S883" s="703"/>
      <c r="T883" s="703"/>
      <c r="U883" s="703"/>
      <c r="V883" s="703"/>
      <c r="W883" s="703"/>
      <c r="X883" s="703"/>
      <c r="Y883" s="703"/>
      <c r="Z883" s="703"/>
    </row>
    <row r="884">
      <c r="A884" s="703"/>
      <c r="B884" s="703"/>
      <c r="C884" s="703"/>
      <c r="D884" s="703"/>
      <c r="E884" s="703"/>
      <c r="F884" s="703"/>
      <c r="G884" s="703"/>
      <c r="H884" s="703"/>
      <c r="I884" s="703"/>
      <c r="J884" s="703"/>
      <c r="K884" s="703"/>
      <c r="L884" s="703"/>
      <c r="M884" s="703"/>
      <c r="N884" s="703"/>
      <c r="O884" s="703"/>
      <c r="P884" s="703"/>
      <c r="Q884" s="703"/>
      <c r="R884" s="703"/>
      <c r="S884" s="703"/>
      <c r="T884" s="703"/>
      <c r="U884" s="703"/>
      <c r="V884" s="703"/>
      <c r="W884" s="703"/>
      <c r="X884" s="703"/>
      <c r="Y884" s="703"/>
      <c r="Z884" s="703"/>
    </row>
    <row r="885">
      <c r="A885" s="703"/>
      <c r="B885" s="703"/>
      <c r="C885" s="703"/>
      <c r="D885" s="703"/>
      <c r="E885" s="703"/>
      <c r="F885" s="703"/>
      <c r="G885" s="703"/>
      <c r="H885" s="703"/>
      <c r="I885" s="703"/>
      <c r="J885" s="703"/>
      <c r="K885" s="703"/>
      <c r="L885" s="703"/>
      <c r="M885" s="703"/>
      <c r="N885" s="703"/>
      <c r="O885" s="703"/>
      <c r="P885" s="703"/>
      <c r="Q885" s="703"/>
      <c r="R885" s="703"/>
      <c r="S885" s="703"/>
      <c r="T885" s="703"/>
      <c r="U885" s="703"/>
      <c r="V885" s="703"/>
      <c r="W885" s="703"/>
      <c r="X885" s="703"/>
      <c r="Y885" s="703"/>
      <c r="Z885" s="703"/>
    </row>
    <row r="886">
      <c r="A886" s="703"/>
      <c r="B886" s="703"/>
      <c r="C886" s="703"/>
      <c r="D886" s="703"/>
      <c r="E886" s="703"/>
      <c r="F886" s="703"/>
      <c r="G886" s="703"/>
      <c r="H886" s="703"/>
      <c r="I886" s="703"/>
      <c r="J886" s="703"/>
      <c r="K886" s="703"/>
      <c r="L886" s="703"/>
      <c r="M886" s="703"/>
      <c r="N886" s="703"/>
      <c r="O886" s="703"/>
      <c r="P886" s="703"/>
      <c r="Q886" s="703"/>
      <c r="R886" s="703"/>
      <c r="S886" s="703"/>
      <c r="T886" s="703"/>
      <c r="U886" s="703"/>
      <c r="V886" s="703"/>
      <c r="W886" s="703"/>
      <c r="X886" s="703"/>
      <c r="Y886" s="703"/>
      <c r="Z886" s="703"/>
    </row>
    <row r="887">
      <c r="A887" s="703"/>
      <c r="B887" s="703"/>
      <c r="C887" s="703"/>
      <c r="D887" s="703"/>
      <c r="E887" s="703"/>
      <c r="F887" s="703"/>
      <c r="G887" s="703"/>
      <c r="H887" s="703"/>
      <c r="I887" s="703"/>
      <c r="J887" s="703"/>
      <c r="K887" s="703"/>
      <c r="L887" s="703"/>
      <c r="M887" s="703"/>
      <c r="N887" s="703"/>
      <c r="O887" s="703"/>
      <c r="P887" s="703"/>
      <c r="Q887" s="703"/>
      <c r="R887" s="703"/>
      <c r="S887" s="703"/>
      <c r="T887" s="703"/>
      <c r="U887" s="703"/>
      <c r="V887" s="703"/>
      <c r="W887" s="703"/>
      <c r="X887" s="703"/>
      <c r="Y887" s="703"/>
      <c r="Z887" s="703"/>
    </row>
    <row r="888">
      <c r="A888" s="703"/>
      <c r="B888" s="703"/>
      <c r="C888" s="703"/>
      <c r="D888" s="703"/>
      <c r="E888" s="703"/>
      <c r="F888" s="703"/>
      <c r="G888" s="703"/>
      <c r="H888" s="703"/>
      <c r="I888" s="703"/>
      <c r="J888" s="703"/>
      <c r="K888" s="703"/>
      <c r="L888" s="703"/>
      <c r="M888" s="703"/>
      <c r="N888" s="703"/>
      <c r="O888" s="703"/>
      <c r="P888" s="703"/>
      <c r="Q888" s="703"/>
      <c r="R888" s="703"/>
      <c r="S888" s="703"/>
      <c r="T888" s="703"/>
      <c r="U888" s="703"/>
      <c r="V888" s="703"/>
      <c r="W888" s="703"/>
      <c r="X888" s="703"/>
      <c r="Y888" s="703"/>
      <c r="Z888" s="703"/>
    </row>
    <row r="889">
      <c r="A889" s="703"/>
      <c r="B889" s="703"/>
      <c r="C889" s="703"/>
      <c r="D889" s="703"/>
      <c r="E889" s="703"/>
      <c r="F889" s="703"/>
      <c r="G889" s="703"/>
      <c r="H889" s="703"/>
      <c r="I889" s="703"/>
      <c r="J889" s="703"/>
      <c r="K889" s="703"/>
      <c r="L889" s="703"/>
      <c r="M889" s="703"/>
      <c r="N889" s="703"/>
      <c r="O889" s="703"/>
      <c r="P889" s="703"/>
      <c r="Q889" s="703"/>
      <c r="R889" s="703"/>
      <c r="S889" s="703"/>
      <c r="T889" s="703"/>
      <c r="U889" s="703"/>
      <c r="V889" s="703"/>
      <c r="W889" s="703"/>
      <c r="X889" s="703"/>
      <c r="Y889" s="703"/>
      <c r="Z889" s="703"/>
    </row>
    <row r="890">
      <c r="A890" s="703"/>
      <c r="B890" s="703"/>
      <c r="C890" s="703"/>
      <c r="D890" s="703"/>
      <c r="E890" s="703"/>
      <c r="F890" s="703"/>
      <c r="G890" s="703"/>
      <c r="H890" s="703"/>
      <c r="I890" s="703"/>
      <c r="J890" s="703"/>
      <c r="K890" s="703"/>
      <c r="L890" s="703"/>
      <c r="M890" s="703"/>
      <c r="N890" s="703"/>
      <c r="O890" s="703"/>
      <c r="P890" s="703"/>
      <c r="Q890" s="703"/>
      <c r="R890" s="703"/>
      <c r="S890" s="703"/>
      <c r="T890" s="703"/>
      <c r="U890" s="703"/>
      <c r="V890" s="703"/>
      <c r="W890" s="703"/>
      <c r="X890" s="703"/>
      <c r="Y890" s="703"/>
      <c r="Z890" s="703"/>
    </row>
    <row r="891">
      <c r="A891" s="703"/>
      <c r="B891" s="703"/>
      <c r="C891" s="703"/>
      <c r="D891" s="703"/>
      <c r="E891" s="703"/>
      <c r="F891" s="703"/>
      <c r="G891" s="703"/>
      <c r="H891" s="703"/>
      <c r="I891" s="703"/>
      <c r="J891" s="703"/>
      <c r="K891" s="703"/>
      <c r="L891" s="703"/>
      <c r="M891" s="703"/>
      <c r="N891" s="703"/>
      <c r="O891" s="703"/>
      <c r="P891" s="703"/>
      <c r="Q891" s="703"/>
      <c r="R891" s="703"/>
      <c r="S891" s="703"/>
      <c r="T891" s="703"/>
      <c r="U891" s="703"/>
      <c r="V891" s="703"/>
      <c r="W891" s="703"/>
      <c r="X891" s="703"/>
      <c r="Y891" s="703"/>
      <c r="Z891" s="703"/>
    </row>
    <row r="892">
      <c r="A892" s="703"/>
      <c r="B892" s="703"/>
      <c r="C892" s="703"/>
      <c r="D892" s="703"/>
      <c r="E892" s="703"/>
      <c r="F892" s="703"/>
      <c r="G892" s="703"/>
      <c r="H892" s="703"/>
      <c r="I892" s="703"/>
      <c r="J892" s="703"/>
      <c r="K892" s="703"/>
      <c r="L892" s="703"/>
      <c r="M892" s="703"/>
      <c r="N892" s="703"/>
      <c r="O892" s="703"/>
      <c r="P892" s="703"/>
      <c r="Q892" s="703"/>
      <c r="R892" s="703"/>
      <c r="S892" s="703"/>
      <c r="T892" s="703"/>
      <c r="U892" s="703"/>
      <c r="V892" s="703"/>
      <c r="W892" s="703"/>
      <c r="X892" s="703"/>
      <c r="Y892" s="703"/>
      <c r="Z892" s="703"/>
    </row>
    <row r="893">
      <c r="A893" s="703"/>
      <c r="B893" s="703"/>
      <c r="C893" s="703"/>
      <c r="D893" s="703"/>
      <c r="E893" s="703"/>
      <c r="F893" s="703"/>
      <c r="G893" s="703"/>
      <c r="H893" s="703"/>
      <c r="I893" s="703"/>
      <c r="J893" s="703"/>
      <c r="K893" s="703"/>
      <c r="L893" s="703"/>
      <c r="M893" s="703"/>
      <c r="N893" s="703"/>
      <c r="O893" s="703"/>
      <c r="P893" s="703"/>
      <c r="Q893" s="703"/>
      <c r="R893" s="703"/>
      <c r="S893" s="703"/>
      <c r="T893" s="703"/>
      <c r="U893" s="703"/>
      <c r="V893" s="703"/>
      <c r="W893" s="703"/>
      <c r="X893" s="703"/>
      <c r="Y893" s="703"/>
      <c r="Z893" s="703"/>
    </row>
    <row r="894">
      <c r="A894" s="703"/>
      <c r="B894" s="703"/>
      <c r="C894" s="703"/>
      <c r="D894" s="703"/>
      <c r="E894" s="703"/>
      <c r="F894" s="703"/>
      <c r="G894" s="703"/>
      <c r="H894" s="703"/>
      <c r="I894" s="703"/>
      <c r="J894" s="703"/>
      <c r="K894" s="703"/>
      <c r="L894" s="703"/>
      <c r="M894" s="703"/>
      <c r="N894" s="703"/>
      <c r="O894" s="703"/>
      <c r="P894" s="703"/>
      <c r="Q894" s="703"/>
      <c r="R894" s="703"/>
      <c r="S894" s="703"/>
      <c r="T894" s="703"/>
      <c r="U894" s="703"/>
      <c r="V894" s="703"/>
      <c r="W894" s="703"/>
      <c r="X894" s="703"/>
      <c r="Y894" s="703"/>
      <c r="Z894" s="703"/>
    </row>
    <row r="895">
      <c r="A895" s="703"/>
      <c r="B895" s="703"/>
      <c r="C895" s="703"/>
      <c r="D895" s="703"/>
      <c r="E895" s="703"/>
      <c r="F895" s="703"/>
      <c r="G895" s="703"/>
      <c r="H895" s="703"/>
      <c r="I895" s="703"/>
      <c r="J895" s="703"/>
      <c r="K895" s="703"/>
      <c r="L895" s="703"/>
      <c r="M895" s="703"/>
      <c r="N895" s="703"/>
      <c r="O895" s="703"/>
      <c r="P895" s="703"/>
      <c r="Q895" s="703"/>
      <c r="R895" s="703"/>
      <c r="S895" s="703"/>
      <c r="T895" s="703"/>
      <c r="U895" s="703"/>
      <c r="V895" s="703"/>
      <c r="W895" s="703"/>
      <c r="X895" s="703"/>
      <c r="Y895" s="703"/>
      <c r="Z895" s="703"/>
    </row>
    <row r="896">
      <c r="A896" s="703"/>
      <c r="B896" s="703"/>
      <c r="C896" s="703"/>
      <c r="D896" s="703"/>
      <c r="E896" s="703"/>
      <c r="F896" s="703"/>
      <c r="G896" s="703"/>
      <c r="H896" s="703"/>
      <c r="I896" s="703"/>
      <c r="J896" s="703"/>
      <c r="K896" s="703"/>
      <c r="L896" s="703"/>
      <c r="M896" s="703"/>
      <c r="N896" s="703"/>
      <c r="O896" s="703"/>
      <c r="P896" s="703"/>
      <c r="Q896" s="703"/>
      <c r="R896" s="703"/>
      <c r="S896" s="703"/>
      <c r="T896" s="703"/>
      <c r="U896" s="703"/>
      <c r="V896" s="703"/>
      <c r="W896" s="703"/>
      <c r="X896" s="703"/>
      <c r="Y896" s="703"/>
      <c r="Z896" s="703"/>
    </row>
    <row r="897">
      <c r="A897" s="703"/>
      <c r="B897" s="703"/>
      <c r="C897" s="703"/>
      <c r="D897" s="703"/>
      <c r="E897" s="703"/>
      <c r="F897" s="703"/>
      <c r="G897" s="703"/>
      <c r="H897" s="703"/>
      <c r="I897" s="703"/>
      <c r="J897" s="703"/>
      <c r="K897" s="703"/>
      <c r="L897" s="703"/>
      <c r="M897" s="703"/>
      <c r="N897" s="703"/>
      <c r="O897" s="703"/>
      <c r="P897" s="703"/>
      <c r="Q897" s="703"/>
      <c r="R897" s="703"/>
      <c r="S897" s="703"/>
      <c r="T897" s="703"/>
      <c r="U897" s="703"/>
      <c r="V897" s="703"/>
      <c r="W897" s="703"/>
      <c r="X897" s="703"/>
      <c r="Y897" s="703"/>
      <c r="Z897" s="703"/>
    </row>
    <row r="898">
      <c r="A898" s="703"/>
      <c r="B898" s="703"/>
      <c r="C898" s="703"/>
      <c r="D898" s="703"/>
      <c r="E898" s="703"/>
      <c r="F898" s="703"/>
      <c r="G898" s="703"/>
      <c r="H898" s="703"/>
      <c r="I898" s="703"/>
      <c r="J898" s="703"/>
      <c r="K898" s="703"/>
      <c r="L898" s="703"/>
      <c r="M898" s="703"/>
      <c r="N898" s="703"/>
      <c r="O898" s="703"/>
      <c r="P898" s="703"/>
      <c r="Q898" s="703"/>
      <c r="R898" s="703"/>
      <c r="S898" s="703"/>
      <c r="T898" s="703"/>
      <c r="U898" s="703"/>
      <c r="V898" s="703"/>
      <c r="W898" s="703"/>
      <c r="X898" s="703"/>
      <c r="Y898" s="703"/>
      <c r="Z898" s="703"/>
    </row>
    <row r="899">
      <c r="A899" s="703"/>
      <c r="B899" s="703"/>
      <c r="C899" s="703"/>
      <c r="D899" s="703"/>
      <c r="E899" s="703"/>
      <c r="F899" s="703"/>
      <c r="G899" s="703"/>
      <c r="H899" s="703"/>
      <c r="I899" s="703"/>
      <c r="J899" s="703"/>
      <c r="K899" s="703"/>
      <c r="L899" s="703"/>
      <c r="M899" s="703"/>
      <c r="N899" s="703"/>
      <c r="O899" s="703"/>
      <c r="P899" s="703"/>
      <c r="Q899" s="703"/>
      <c r="R899" s="703"/>
      <c r="S899" s="703"/>
      <c r="T899" s="703"/>
      <c r="U899" s="703"/>
      <c r="V899" s="703"/>
      <c r="W899" s="703"/>
      <c r="X899" s="703"/>
      <c r="Y899" s="703"/>
      <c r="Z899" s="703"/>
    </row>
    <row r="900">
      <c r="A900" s="703"/>
      <c r="B900" s="703"/>
      <c r="C900" s="703"/>
      <c r="D900" s="703"/>
      <c r="E900" s="703"/>
      <c r="F900" s="703"/>
      <c r="G900" s="703"/>
      <c r="H900" s="703"/>
      <c r="I900" s="703"/>
      <c r="J900" s="703"/>
      <c r="K900" s="703"/>
      <c r="L900" s="703"/>
      <c r="M900" s="703"/>
      <c r="N900" s="703"/>
      <c r="O900" s="703"/>
      <c r="P900" s="703"/>
      <c r="Q900" s="703"/>
      <c r="R900" s="703"/>
      <c r="S900" s="703"/>
      <c r="T900" s="703"/>
      <c r="U900" s="703"/>
      <c r="V900" s="703"/>
      <c r="W900" s="703"/>
      <c r="X900" s="703"/>
      <c r="Y900" s="703"/>
      <c r="Z900" s="703"/>
    </row>
    <row r="901">
      <c r="A901" s="703"/>
      <c r="B901" s="703"/>
      <c r="C901" s="703"/>
      <c r="D901" s="703"/>
      <c r="E901" s="703"/>
      <c r="F901" s="703"/>
      <c r="G901" s="703"/>
      <c r="H901" s="703"/>
      <c r="I901" s="703"/>
      <c r="J901" s="703"/>
      <c r="K901" s="703"/>
      <c r="L901" s="703"/>
      <c r="M901" s="703"/>
      <c r="N901" s="703"/>
      <c r="O901" s="703"/>
      <c r="P901" s="703"/>
      <c r="Q901" s="703"/>
      <c r="R901" s="703"/>
      <c r="S901" s="703"/>
      <c r="T901" s="703"/>
      <c r="U901" s="703"/>
      <c r="V901" s="703"/>
      <c r="W901" s="703"/>
      <c r="X901" s="703"/>
      <c r="Y901" s="703"/>
      <c r="Z901" s="703"/>
    </row>
    <row r="902">
      <c r="A902" s="703"/>
      <c r="B902" s="703"/>
      <c r="C902" s="703"/>
      <c r="D902" s="703"/>
      <c r="E902" s="703"/>
      <c r="F902" s="703"/>
      <c r="G902" s="703"/>
      <c r="H902" s="703"/>
      <c r="I902" s="703"/>
      <c r="J902" s="703"/>
      <c r="K902" s="703"/>
      <c r="L902" s="703"/>
      <c r="M902" s="703"/>
      <c r="N902" s="703"/>
      <c r="O902" s="703"/>
      <c r="P902" s="703"/>
      <c r="Q902" s="703"/>
      <c r="R902" s="703"/>
      <c r="S902" s="703"/>
      <c r="T902" s="703"/>
      <c r="U902" s="703"/>
      <c r="V902" s="703"/>
      <c r="W902" s="703"/>
      <c r="X902" s="703"/>
      <c r="Y902" s="703"/>
      <c r="Z902" s="703"/>
    </row>
    <row r="903">
      <c r="A903" s="703"/>
      <c r="B903" s="703"/>
      <c r="C903" s="703"/>
      <c r="D903" s="703"/>
      <c r="E903" s="703"/>
      <c r="F903" s="703"/>
      <c r="G903" s="703"/>
      <c r="H903" s="703"/>
      <c r="I903" s="703"/>
      <c r="J903" s="703"/>
      <c r="K903" s="703"/>
      <c r="L903" s="703"/>
      <c r="M903" s="703"/>
      <c r="N903" s="703"/>
      <c r="O903" s="703"/>
      <c r="P903" s="703"/>
      <c r="Q903" s="703"/>
      <c r="R903" s="703"/>
      <c r="S903" s="703"/>
      <c r="T903" s="703"/>
      <c r="U903" s="703"/>
      <c r="V903" s="703"/>
      <c r="W903" s="703"/>
      <c r="X903" s="703"/>
      <c r="Y903" s="703"/>
      <c r="Z903" s="703"/>
    </row>
    <row r="904">
      <c r="A904" s="703"/>
      <c r="B904" s="703"/>
      <c r="C904" s="703"/>
      <c r="D904" s="703"/>
      <c r="E904" s="703"/>
      <c r="F904" s="703"/>
      <c r="G904" s="703"/>
      <c r="H904" s="703"/>
      <c r="I904" s="703"/>
      <c r="J904" s="703"/>
      <c r="K904" s="703"/>
      <c r="L904" s="703"/>
      <c r="M904" s="703"/>
      <c r="N904" s="703"/>
      <c r="O904" s="703"/>
      <c r="P904" s="703"/>
      <c r="Q904" s="703"/>
      <c r="R904" s="703"/>
      <c r="S904" s="703"/>
      <c r="T904" s="703"/>
      <c r="U904" s="703"/>
      <c r="V904" s="703"/>
      <c r="W904" s="703"/>
      <c r="X904" s="703"/>
      <c r="Y904" s="703"/>
      <c r="Z904" s="703"/>
    </row>
    <row r="905">
      <c r="A905" s="703"/>
      <c r="B905" s="703"/>
      <c r="C905" s="703"/>
      <c r="D905" s="703"/>
      <c r="E905" s="703"/>
      <c r="F905" s="703"/>
      <c r="G905" s="703"/>
      <c r="H905" s="703"/>
      <c r="I905" s="703"/>
      <c r="J905" s="703"/>
      <c r="K905" s="703"/>
      <c r="L905" s="703"/>
      <c r="M905" s="703"/>
      <c r="N905" s="703"/>
      <c r="O905" s="703"/>
      <c r="P905" s="703"/>
      <c r="Q905" s="703"/>
      <c r="R905" s="703"/>
      <c r="S905" s="703"/>
      <c r="T905" s="703"/>
      <c r="U905" s="703"/>
      <c r="V905" s="703"/>
      <c r="W905" s="703"/>
      <c r="X905" s="703"/>
      <c r="Y905" s="703"/>
      <c r="Z905" s="703"/>
    </row>
    <row r="906">
      <c r="A906" s="703"/>
      <c r="B906" s="703"/>
      <c r="C906" s="703"/>
      <c r="D906" s="703"/>
      <c r="E906" s="703"/>
      <c r="F906" s="703"/>
      <c r="G906" s="703"/>
      <c r="H906" s="703"/>
      <c r="I906" s="703"/>
      <c r="J906" s="703"/>
      <c r="K906" s="703"/>
      <c r="L906" s="703"/>
      <c r="M906" s="703"/>
      <c r="N906" s="703"/>
      <c r="O906" s="703"/>
      <c r="P906" s="703"/>
      <c r="Q906" s="703"/>
      <c r="R906" s="703"/>
      <c r="S906" s="703"/>
      <c r="T906" s="703"/>
      <c r="U906" s="703"/>
      <c r="V906" s="703"/>
      <c r="W906" s="703"/>
      <c r="X906" s="703"/>
      <c r="Y906" s="703"/>
      <c r="Z906" s="703"/>
    </row>
    <row r="907">
      <c r="A907" s="703"/>
      <c r="B907" s="703"/>
      <c r="C907" s="703"/>
      <c r="D907" s="703"/>
      <c r="E907" s="703"/>
      <c r="F907" s="703"/>
      <c r="G907" s="703"/>
      <c r="H907" s="703"/>
      <c r="I907" s="703"/>
      <c r="J907" s="703"/>
      <c r="K907" s="703"/>
      <c r="L907" s="703"/>
      <c r="M907" s="703"/>
      <c r="N907" s="703"/>
      <c r="O907" s="703"/>
      <c r="P907" s="703"/>
      <c r="Q907" s="703"/>
      <c r="R907" s="703"/>
      <c r="S907" s="703"/>
      <c r="T907" s="703"/>
      <c r="U907" s="703"/>
      <c r="V907" s="703"/>
      <c r="W907" s="703"/>
      <c r="X907" s="703"/>
      <c r="Y907" s="703"/>
      <c r="Z907" s="703"/>
    </row>
    <row r="908">
      <c r="A908" s="703"/>
      <c r="B908" s="703"/>
      <c r="C908" s="703"/>
      <c r="D908" s="703"/>
      <c r="E908" s="703"/>
      <c r="F908" s="703"/>
      <c r="G908" s="703"/>
      <c r="H908" s="703"/>
      <c r="I908" s="703"/>
      <c r="J908" s="703"/>
      <c r="K908" s="703"/>
      <c r="L908" s="703"/>
      <c r="M908" s="703"/>
      <c r="N908" s="703"/>
      <c r="O908" s="703"/>
      <c r="P908" s="703"/>
      <c r="Q908" s="703"/>
      <c r="R908" s="703"/>
      <c r="S908" s="703"/>
      <c r="T908" s="703"/>
      <c r="U908" s="703"/>
      <c r="V908" s="703"/>
      <c r="W908" s="703"/>
      <c r="X908" s="703"/>
      <c r="Y908" s="703"/>
      <c r="Z908" s="703"/>
    </row>
    <row r="909">
      <c r="A909" s="703"/>
      <c r="B909" s="703"/>
      <c r="C909" s="703"/>
      <c r="D909" s="703"/>
      <c r="E909" s="703"/>
      <c r="F909" s="703"/>
      <c r="G909" s="703"/>
      <c r="H909" s="703"/>
      <c r="I909" s="703"/>
      <c r="J909" s="703"/>
      <c r="K909" s="703"/>
      <c r="L909" s="703"/>
      <c r="M909" s="703"/>
      <c r="N909" s="703"/>
      <c r="O909" s="703"/>
      <c r="P909" s="703"/>
      <c r="Q909" s="703"/>
      <c r="R909" s="703"/>
      <c r="S909" s="703"/>
      <c r="T909" s="703"/>
      <c r="U909" s="703"/>
      <c r="V909" s="703"/>
      <c r="W909" s="703"/>
      <c r="X909" s="703"/>
      <c r="Y909" s="703"/>
      <c r="Z909" s="703"/>
    </row>
    <row r="910">
      <c r="A910" s="703"/>
      <c r="B910" s="703"/>
      <c r="C910" s="703"/>
      <c r="D910" s="703"/>
      <c r="E910" s="703"/>
      <c r="F910" s="703"/>
      <c r="G910" s="703"/>
      <c r="H910" s="703"/>
      <c r="I910" s="703"/>
      <c r="J910" s="703"/>
      <c r="K910" s="703"/>
      <c r="L910" s="703"/>
      <c r="M910" s="703"/>
      <c r="N910" s="703"/>
      <c r="O910" s="703"/>
      <c r="P910" s="703"/>
      <c r="Q910" s="703"/>
      <c r="R910" s="703"/>
      <c r="S910" s="703"/>
      <c r="T910" s="703"/>
      <c r="U910" s="703"/>
      <c r="V910" s="703"/>
      <c r="W910" s="703"/>
      <c r="X910" s="703"/>
      <c r="Y910" s="703"/>
      <c r="Z910" s="703"/>
    </row>
    <row r="911">
      <c r="A911" s="703"/>
      <c r="B911" s="703"/>
      <c r="C911" s="703"/>
      <c r="D911" s="703"/>
      <c r="E911" s="703"/>
      <c r="F911" s="703"/>
      <c r="G911" s="703"/>
      <c r="H911" s="703"/>
      <c r="I911" s="703"/>
      <c r="J911" s="703"/>
      <c r="K911" s="703"/>
      <c r="L911" s="703"/>
      <c r="M911" s="703"/>
      <c r="N911" s="703"/>
      <c r="O911" s="703"/>
      <c r="P911" s="703"/>
      <c r="Q911" s="703"/>
      <c r="R911" s="703"/>
      <c r="S911" s="703"/>
      <c r="T911" s="703"/>
      <c r="U911" s="703"/>
      <c r="V911" s="703"/>
      <c r="W911" s="703"/>
      <c r="X911" s="703"/>
      <c r="Y911" s="703"/>
      <c r="Z911" s="703"/>
    </row>
    <row r="912">
      <c r="A912" s="703"/>
      <c r="B912" s="703"/>
      <c r="C912" s="703"/>
      <c r="D912" s="703"/>
      <c r="E912" s="703"/>
      <c r="F912" s="703"/>
      <c r="G912" s="703"/>
      <c r="H912" s="703"/>
      <c r="I912" s="703"/>
      <c r="J912" s="703"/>
      <c r="K912" s="703"/>
      <c r="L912" s="703"/>
      <c r="M912" s="703"/>
      <c r="N912" s="703"/>
      <c r="O912" s="703"/>
      <c r="P912" s="703"/>
      <c r="Q912" s="703"/>
      <c r="R912" s="703"/>
      <c r="S912" s="703"/>
      <c r="T912" s="703"/>
      <c r="U912" s="703"/>
      <c r="V912" s="703"/>
      <c r="W912" s="703"/>
      <c r="X912" s="703"/>
      <c r="Y912" s="703"/>
      <c r="Z912" s="703"/>
    </row>
    <row r="913">
      <c r="A913" s="703"/>
      <c r="B913" s="703"/>
      <c r="C913" s="703"/>
      <c r="D913" s="703"/>
      <c r="E913" s="703"/>
      <c r="F913" s="703"/>
      <c r="G913" s="703"/>
      <c r="H913" s="703"/>
      <c r="I913" s="703"/>
      <c r="J913" s="703"/>
      <c r="K913" s="703"/>
      <c r="L913" s="703"/>
      <c r="M913" s="703"/>
      <c r="N913" s="703"/>
      <c r="O913" s="703"/>
      <c r="P913" s="703"/>
      <c r="Q913" s="703"/>
      <c r="R913" s="703"/>
      <c r="S913" s="703"/>
      <c r="T913" s="703"/>
      <c r="U913" s="703"/>
      <c r="V913" s="703"/>
      <c r="W913" s="703"/>
      <c r="X913" s="703"/>
      <c r="Y913" s="703"/>
      <c r="Z913" s="703"/>
    </row>
    <row r="914">
      <c r="A914" s="703"/>
      <c r="B914" s="703"/>
      <c r="C914" s="703"/>
      <c r="D914" s="703"/>
      <c r="E914" s="703"/>
      <c r="F914" s="703"/>
      <c r="G914" s="703"/>
      <c r="H914" s="703"/>
      <c r="I914" s="703"/>
      <c r="J914" s="703"/>
      <c r="K914" s="703"/>
      <c r="L914" s="703"/>
      <c r="M914" s="703"/>
      <c r="N914" s="703"/>
      <c r="O914" s="703"/>
      <c r="P914" s="703"/>
      <c r="Q914" s="703"/>
      <c r="R914" s="703"/>
      <c r="S914" s="703"/>
      <c r="T914" s="703"/>
      <c r="U914" s="703"/>
      <c r="V914" s="703"/>
      <c r="W914" s="703"/>
      <c r="X914" s="703"/>
      <c r="Y914" s="703"/>
      <c r="Z914" s="703"/>
    </row>
    <row r="915">
      <c r="A915" s="703"/>
      <c r="B915" s="703"/>
      <c r="C915" s="703"/>
      <c r="D915" s="703"/>
      <c r="E915" s="703"/>
      <c r="F915" s="703"/>
      <c r="G915" s="703"/>
      <c r="H915" s="703"/>
      <c r="I915" s="703"/>
      <c r="J915" s="703"/>
      <c r="K915" s="703"/>
      <c r="L915" s="703"/>
      <c r="M915" s="703"/>
      <c r="N915" s="703"/>
      <c r="O915" s="703"/>
      <c r="P915" s="703"/>
      <c r="Q915" s="703"/>
      <c r="R915" s="703"/>
      <c r="S915" s="703"/>
      <c r="T915" s="703"/>
      <c r="U915" s="703"/>
      <c r="V915" s="703"/>
      <c r="W915" s="703"/>
      <c r="X915" s="703"/>
      <c r="Y915" s="703"/>
      <c r="Z915" s="703"/>
    </row>
    <row r="916">
      <c r="A916" s="703"/>
      <c r="B916" s="703"/>
      <c r="C916" s="703"/>
      <c r="D916" s="703"/>
      <c r="E916" s="703"/>
      <c r="F916" s="703"/>
      <c r="G916" s="703"/>
      <c r="H916" s="703"/>
      <c r="I916" s="703"/>
      <c r="J916" s="703"/>
      <c r="K916" s="703"/>
      <c r="L916" s="703"/>
      <c r="M916" s="703"/>
      <c r="N916" s="703"/>
      <c r="O916" s="703"/>
      <c r="P916" s="703"/>
      <c r="Q916" s="703"/>
      <c r="R916" s="703"/>
      <c r="S916" s="703"/>
      <c r="T916" s="703"/>
      <c r="U916" s="703"/>
      <c r="V916" s="703"/>
      <c r="W916" s="703"/>
      <c r="X916" s="703"/>
      <c r="Y916" s="703"/>
      <c r="Z916" s="703"/>
    </row>
    <row r="917">
      <c r="A917" s="703"/>
      <c r="B917" s="703"/>
      <c r="C917" s="703"/>
      <c r="D917" s="703"/>
      <c r="E917" s="703"/>
      <c r="F917" s="703"/>
      <c r="G917" s="703"/>
      <c r="H917" s="703"/>
      <c r="I917" s="703"/>
      <c r="J917" s="703"/>
      <c r="K917" s="703"/>
      <c r="L917" s="703"/>
      <c r="M917" s="703"/>
      <c r="N917" s="703"/>
      <c r="O917" s="703"/>
      <c r="P917" s="703"/>
      <c r="Q917" s="703"/>
      <c r="R917" s="703"/>
      <c r="S917" s="703"/>
      <c r="T917" s="703"/>
      <c r="U917" s="703"/>
      <c r="V917" s="703"/>
      <c r="W917" s="703"/>
      <c r="X917" s="703"/>
      <c r="Y917" s="703"/>
      <c r="Z917" s="703"/>
    </row>
    <row r="918">
      <c r="A918" s="703"/>
      <c r="B918" s="703"/>
      <c r="C918" s="703"/>
      <c r="D918" s="703"/>
      <c r="E918" s="703"/>
      <c r="F918" s="703"/>
      <c r="G918" s="703"/>
      <c r="H918" s="703"/>
      <c r="I918" s="703"/>
      <c r="J918" s="703"/>
      <c r="K918" s="703"/>
      <c r="L918" s="703"/>
      <c r="M918" s="703"/>
      <c r="N918" s="703"/>
      <c r="O918" s="703"/>
      <c r="P918" s="703"/>
      <c r="Q918" s="703"/>
      <c r="R918" s="703"/>
      <c r="S918" s="703"/>
      <c r="T918" s="703"/>
      <c r="U918" s="703"/>
      <c r="V918" s="703"/>
      <c r="W918" s="703"/>
      <c r="X918" s="703"/>
      <c r="Y918" s="703"/>
      <c r="Z918" s="703"/>
    </row>
    <row r="919">
      <c r="A919" s="703"/>
      <c r="B919" s="703"/>
      <c r="C919" s="703"/>
      <c r="D919" s="703"/>
      <c r="E919" s="703"/>
      <c r="F919" s="703"/>
      <c r="G919" s="703"/>
      <c r="H919" s="703"/>
      <c r="I919" s="703"/>
      <c r="J919" s="703"/>
      <c r="K919" s="703"/>
      <c r="L919" s="703"/>
      <c r="M919" s="703"/>
      <c r="N919" s="703"/>
      <c r="O919" s="703"/>
      <c r="P919" s="703"/>
      <c r="Q919" s="703"/>
      <c r="R919" s="703"/>
      <c r="S919" s="703"/>
      <c r="T919" s="703"/>
      <c r="U919" s="703"/>
      <c r="V919" s="703"/>
      <c r="W919" s="703"/>
      <c r="X919" s="703"/>
      <c r="Y919" s="703"/>
      <c r="Z919" s="703"/>
    </row>
    <row r="920">
      <c r="A920" s="703"/>
      <c r="B920" s="703"/>
      <c r="C920" s="703"/>
      <c r="D920" s="703"/>
      <c r="E920" s="703"/>
      <c r="F920" s="703"/>
      <c r="G920" s="703"/>
      <c r="H920" s="703"/>
      <c r="I920" s="703"/>
      <c r="J920" s="703"/>
      <c r="K920" s="703"/>
      <c r="L920" s="703"/>
      <c r="M920" s="703"/>
      <c r="N920" s="703"/>
      <c r="O920" s="703"/>
      <c r="P920" s="703"/>
      <c r="Q920" s="703"/>
      <c r="R920" s="703"/>
      <c r="S920" s="703"/>
      <c r="T920" s="703"/>
      <c r="U920" s="703"/>
      <c r="V920" s="703"/>
      <c r="W920" s="703"/>
      <c r="X920" s="703"/>
      <c r="Y920" s="703"/>
      <c r="Z920" s="703"/>
    </row>
    <row r="921">
      <c r="A921" s="703"/>
      <c r="B921" s="703"/>
      <c r="C921" s="703"/>
      <c r="D921" s="703"/>
      <c r="E921" s="703"/>
      <c r="F921" s="703"/>
      <c r="G921" s="703"/>
      <c r="H921" s="703"/>
      <c r="I921" s="703"/>
      <c r="J921" s="703"/>
      <c r="K921" s="703"/>
      <c r="L921" s="703"/>
      <c r="M921" s="703"/>
      <c r="N921" s="703"/>
      <c r="O921" s="703"/>
      <c r="P921" s="703"/>
      <c r="Q921" s="703"/>
      <c r="R921" s="703"/>
      <c r="S921" s="703"/>
      <c r="T921" s="703"/>
      <c r="U921" s="703"/>
      <c r="V921" s="703"/>
      <c r="W921" s="703"/>
      <c r="X921" s="703"/>
      <c r="Y921" s="703"/>
      <c r="Z921" s="703"/>
    </row>
    <row r="922">
      <c r="A922" s="703"/>
      <c r="B922" s="703"/>
      <c r="C922" s="703"/>
      <c r="D922" s="703"/>
      <c r="E922" s="703"/>
      <c r="F922" s="703"/>
      <c r="G922" s="703"/>
      <c r="H922" s="703"/>
      <c r="I922" s="703"/>
      <c r="J922" s="703"/>
      <c r="K922" s="703"/>
      <c r="L922" s="703"/>
      <c r="M922" s="703"/>
      <c r="N922" s="703"/>
      <c r="O922" s="703"/>
      <c r="P922" s="703"/>
      <c r="Q922" s="703"/>
      <c r="R922" s="703"/>
      <c r="S922" s="703"/>
      <c r="T922" s="703"/>
      <c r="U922" s="703"/>
      <c r="V922" s="703"/>
      <c r="W922" s="703"/>
      <c r="X922" s="703"/>
      <c r="Y922" s="703"/>
      <c r="Z922" s="703"/>
    </row>
    <row r="923">
      <c r="A923" s="703"/>
      <c r="B923" s="703"/>
      <c r="C923" s="703"/>
      <c r="D923" s="703"/>
      <c r="E923" s="703"/>
      <c r="F923" s="703"/>
      <c r="G923" s="703"/>
      <c r="H923" s="703"/>
      <c r="I923" s="703"/>
      <c r="J923" s="703"/>
      <c r="K923" s="703"/>
      <c r="L923" s="703"/>
      <c r="M923" s="703"/>
      <c r="N923" s="703"/>
      <c r="O923" s="703"/>
      <c r="P923" s="703"/>
      <c r="Q923" s="703"/>
      <c r="R923" s="703"/>
      <c r="S923" s="703"/>
      <c r="T923" s="703"/>
      <c r="U923" s="703"/>
      <c r="V923" s="703"/>
      <c r="W923" s="703"/>
      <c r="X923" s="703"/>
      <c r="Y923" s="703"/>
      <c r="Z923" s="703"/>
    </row>
    <row r="924">
      <c r="A924" s="703"/>
      <c r="B924" s="703"/>
      <c r="C924" s="703"/>
      <c r="D924" s="703"/>
      <c r="E924" s="703"/>
      <c r="F924" s="703"/>
      <c r="G924" s="703"/>
      <c r="H924" s="703"/>
      <c r="I924" s="703"/>
      <c r="J924" s="703"/>
      <c r="K924" s="703"/>
      <c r="L924" s="703"/>
      <c r="M924" s="703"/>
      <c r="N924" s="703"/>
      <c r="O924" s="703"/>
      <c r="P924" s="703"/>
      <c r="Q924" s="703"/>
      <c r="R924" s="703"/>
      <c r="S924" s="703"/>
      <c r="T924" s="703"/>
      <c r="U924" s="703"/>
      <c r="V924" s="703"/>
      <c r="W924" s="703"/>
      <c r="X924" s="703"/>
      <c r="Y924" s="703"/>
      <c r="Z924" s="703"/>
    </row>
    <row r="925">
      <c r="A925" s="703"/>
      <c r="B925" s="703"/>
      <c r="C925" s="703"/>
      <c r="D925" s="703"/>
      <c r="E925" s="703"/>
      <c r="F925" s="703"/>
      <c r="G925" s="703"/>
      <c r="H925" s="703"/>
      <c r="I925" s="703"/>
      <c r="J925" s="703"/>
      <c r="K925" s="703"/>
      <c r="L925" s="703"/>
      <c r="M925" s="703"/>
      <c r="N925" s="703"/>
      <c r="O925" s="703"/>
      <c r="P925" s="703"/>
      <c r="Q925" s="703"/>
      <c r="R925" s="703"/>
      <c r="S925" s="703"/>
      <c r="T925" s="703"/>
      <c r="U925" s="703"/>
      <c r="V925" s="703"/>
      <c r="W925" s="703"/>
      <c r="X925" s="703"/>
      <c r="Y925" s="703"/>
      <c r="Z925" s="703"/>
    </row>
    <row r="926">
      <c r="A926" s="703"/>
      <c r="B926" s="703"/>
      <c r="C926" s="703"/>
      <c r="D926" s="703"/>
      <c r="E926" s="703"/>
      <c r="F926" s="703"/>
      <c r="G926" s="703"/>
      <c r="H926" s="703"/>
      <c r="I926" s="703"/>
      <c r="J926" s="703"/>
      <c r="K926" s="703"/>
      <c r="L926" s="703"/>
      <c r="M926" s="703"/>
      <c r="N926" s="703"/>
      <c r="O926" s="703"/>
      <c r="P926" s="703"/>
      <c r="Q926" s="703"/>
      <c r="R926" s="703"/>
      <c r="S926" s="703"/>
      <c r="T926" s="703"/>
      <c r="U926" s="703"/>
      <c r="V926" s="703"/>
      <c r="W926" s="703"/>
      <c r="X926" s="703"/>
      <c r="Y926" s="703"/>
      <c r="Z926" s="703"/>
    </row>
    <row r="927">
      <c r="A927" s="703"/>
      <c r="B927" s="703"/>
      <c r="C927" s="703"/>
      <c r="D927" s="703"/>
      <c r="E927" s="703"/>
      <c r="F927" s="703"/>
      <c r="G927" s="703"/>
      <c r="H927" s="703"/>
      <c r="I927" s="703"/>
      <c r="J927" s="703"/>
      <c r="K927" s="703"/>
      <c r="L927" s="703"/>
      <c r="M927" s="703"/>
      <c r="N927" s="703"/>
      <c r="O927" s="703"/>
      <c r="P927" s="703"/>
      <c r="Q927" s="703"/>
      <c r="R927" s="703"/>
      <c r="S927" s="703"/>
      <c r="T927" s="703"/>
      <c r="U927" s="703"/>
      <c r="V927" s="703"/>
      <c r="W927" s="703"/>
      <c r="X927" s="703"/>
      <c r="Y927" s="703"/>
      <c r="Z927" s="703"/>
    </row>
    <row r="928">
      <c r="A928" s="703"/>
      <c r="B928" s="703"/>
      <c r="C928" s="703"/>
      <c r="D928" s="703"/>
      <c r="E928" s="703"/>
      <c r="F928" s="703"/>
      <c r="G928" s="703"/>
      <c r="H928" s="703"/>
      <c r="I928" s="703"/>
      <c r="J928" s="703"/>
      <c r="K928" s="703"/>
      <c r="L928" s="703"/>
      <c r="M928" s="703"/>
      <c r="N928" s="703"/>
      <c r="O928" s="703"/>
      <c r="P928" s="703"/>
      <c r="Q928" s="703"/>
      <c r="R928" s="703"/>
      <c r="S928" s="703"/>
      <c r="T928" s="703"/>
      <c r="U928" s="703"/>
      <c r="V928" s="703"/>
      <c r="W928" s="703"/>
      <c r="X928" s="703"/>
      <c r="Y928" s="703"/>
      <c r="Z928" s="703"/>
    </row>
    <row r="929">
      <c r="A929" s="703"/>
      <c r="B929" s="703"/>
      <c r="C929" s="703"/>
      <c r="D929" s="703"/>
      <c r="E929" s="703"/>
      <c r="F929" s="703"/>
      <c r="G929" s="703"/>
      <c r="H929" s="703"/>
      <c r="I929" s="703"/>
      <c r="J929" s="703"/>
      <c r="K929" s="703"/>
      <c r="L929" s="703"/>
      <c r="M929" s="703"/>
      <c r="N929" s="703"/>
      <c r="O929" s="703"/>
      <c r="P929" s="703"/>
      <c r="Q929" s="703"/>
      <c r="R929" s="703"/>
      <c r="S929" s="703"/>
      <c r="T929" s="703"/>
      <c r="U929" s="703"/>
      <c r="V929" s="703"/>
      <c r="W929" s="703"/>
      <c r="X929" s="703"/>
      <c r="Y929" s="703"/>
      <c r="Z929" s="703"/>
    </row>
    <row r="930">
      <c r="A930" s="703"/>
      <c r="B930" s="703"/>
      <c r="C930" s="703"/>
      <c r="D930" s="703"/>
      <c r="E930" s="703"/>
      <c r="F930" s="703"/>
      <c r="G930" s="703"/>
      <c r="H930" s="703"/>
      <c r="I930" s="703"/>
      <c r="J930" s="703"/>
      <c r="K930" s="703"/>
      <c r="L930" s="703"/>
      <c r="M930" s="703"/>
      <c r="N930" s="703"/>
      <c r="O930" s="703"/>
      <c r="P930" s="703"/>
      <c r="Q930" s="703"/>
      <c r="R930" s="703"/>
      <c r="S930" s="703"/>
      <c r="T930" s="703"/>
      <c r="U930" s="703"/>
      <c r="V930" s="703"/>
      <c r="W930" s="703"/>
      <c r="X930" s="703"/>
      <c r="Y930" s="703"/>
      <c r="Z930" s="703"/>
    </row>
    <row r="931">
      <c r="A931" s="703"/>
      <c r="B931" s="703"/>
      <c r="C931" s="703"/>
      <c r="D931" s="703"/>
      <c r="E931" s="703"/>
      <c r="F931" s="703"/>
      <c r="G931" s="703"/>
      <c r="H931" s="703"/>
      <c r="I931" s="703"/>
      <c r="J931" s="703"/>
      <c r="K931" s="703"/>
      <c r="L931" s="703"/>
      <c r="M931" s="703"/>
      <c r="N931" s="703"/>
      <c r="O931" s="703"/>
      <c r="P931" s="703"/>
      <c r="Q931" s="703"/>
      <c r="R931" s="703"/>
      <c r="S931" s="703"/>
      <c r="T931" s="703"/>
      <c r="U931" s="703"/>
      <c r="V931" s="703"/>
      <c r="W931" s="703"/>
      <c r="X931" s="703"/>
      <c r="Y931" s="703"/>
      <c r="Z931" s="703"/>
    </row>
    <row r="932">
      <c r="A932" s="703"/>
      <c r="B932" s="703"/>
      <c r="C932" s="703"/>
      <c r="D932" s="703"/>
      <c r="E932" s="703"/>
      <c r="F932" s="703"/>
      <c r="G932" s="703"/>
      <c r="H932" s="703"/>
      <c r="I932" s="703"/>
      <c r="J932" s="703"/>
      <c r="K932" s="703"/>
      <c r="L932" s="703"/>
      <c r="M932" s="703"/>
      <c r="N932" s="703"/>
      <c r="O932" s="703"/>
      <c r="P932" s="703"/>
      <c r="Q932" s="703"/>
      <c r="R932" s="703"/>
      <c r="S932" s="703"/>
      <c r="T932" s="703"/>
      <c r="U932" s="703"/>
      <c r="V932" s="703"/>
      <c r="W932" s="703"/>
      <c r="X932" s="703"/>
      <c r="Y932" s="703"/>
      <c r="Z932" s="703"/>
    </row>
    <row r="933">
      <c r="A933" s="703"/>
      <c r="B933" s="703"/>
      <c r="C933" s="703"/>
      <c r="D933" s="703"/>
      <c r="E933" s="703"/>
      <c r="F933" s="703"/>
      <c r="G933" s="703"/>
      <c r="H933" s="703"/>
      <c r="I933" s="703"/>
      <c r="J933" s="703"/>
      <c r="K933" s="703"/>
      <c r="L933" s="703"/>
      <c r="M933" s="703"/>
      <c r="N933" s="703"/>
      <c r="O933" s="703"/>
      <c r="P933" s="703"/>
      <c r="Q933" s="703"/>
      <c r="R933" s="703"/>
      <c r="S933" s="703"/>
      <c r="T933" s="703"/>
      <c r="U933" s="703"/>
      <c r="V933" s="703"/>
      <c r="W933" s="703"/>
      <c r="X933" s="703"/>
      <c r="Y933" s="703"/>
      <c r="Z933" s="703"/>
    </row>
    <row r="934">
      <c r="A934" s="703"/>
      <c r="B934" s="703"/>
      <c r="C934" s="703"/>
      <c r="D934" s="703"/>
      <c r="E934" s="703"/>
      <c r="F934" s="703"/>
      <c r="G934" s="703"/>
      <c r="H934" s="703"/>
      <c r="I934" s="703"/>
      <c r="J934" s="703"/>
      <c r="K934" s="703"/>
      <c r="L934" s="703"/>
      <c r="M934" s="703"/>
      <c r="N934" s="703"/>
      <c r="O934" s="703"/>
      <c r="P934" s="703"/>
      <c r="Q934" s="703"/>
      <c r="R934" s="703"/>
      <c r="S934" s="703"/>
      <c r="T934" s="703"/>
      <c r="U934" s="703"/>
      <c r="V934" s="703"/>
      <c r="W934" s="703"/>
      <c r="X934" s="703"/>
      <c r="Y934" s="703"/>
      <c r="Z934" s="703"/>
    </row>
    <row r="935">
      <c r="A935" s="703"/>
      <c r="B935" s="703"/>
      <c r="C935" s="703"/>
      <c r="D935" s="703"/>
      <c r="E935" s="703"/>
      <c r="F935" s="703"/>
      <c r="G935" s="703"/>
      <c r="H935" s="703"/>
      <c r="I935" s="703"/>
      <c r="J935" s="703"/>
      <c r="K935" s="703"/>
      <c r="L935" s="703"/>
      <c r="M935" s="703"/>
      <c r="N935" s="703"/>
      <c r="O935" s="703"/>
      <c r="P935" s="703"/>
      <c r="Q935" s="703"/>
      <c r="R935" s="703"/>
      <c r="S935" s="703"/>
      <c r="T935" s="703"/>
      <c r="U935" s="703"/>
      <c r="V935" s="703"/>
      <c r="W935" s="703"/>
      <c r="X935" s="703"/>
      <c r="Y935" s="703"/>
      <c r="Z935" s="703"/>
    </row>
    <row r="936">
      <c r="A936" s="703"/>
      <c r="B936" s="703"/>
      <c r="C936" s="703"/>
      <c r="D936" s="703"/>
      <c r="E936" s="703"/>
      <c r="F936" s="703"/>
      <c r="G936" s="703"/>
      <c r="H936" s="703"/>
      <c r="I936" s="703"/>
      <c r="J936" s="703"/>
      <c r="K936" s="703"/>
      <c r="L936" s="703"/>
      <c r="M936" s="703"/>
      <c r="N936" s="703"/>
      <c r="O936" s="703"/>
      <c r="P936" s="703"/>
      <c r="Q936" s="703"/>
      <c r="R936" s="703"/>
      <c r="S936" s="703"/>
      <c r="T936" s="703"/>
      <c r="U936" s="703"/>
      <c r="V936" s="703"/>
      <c r="W936" s="703"/>
      <c r="X936" s="703"/>
      <c r="Y936" s="703"/>
      <c r="Z936" s="703"/>
    </row>
    <row r="937">
      <c r="A937" s="703"/>
      <c r="B937" s="703"/>
      <c r="C937" s="703"/>
      <c r="D937" s="703"/>
      <c r="E937" s="703"/>
      <c r="F937" s="703"/>
      <c r="G937" s="703"/>
      <c r="H937" s="703"/>
      <c r="I937" s="703"/>
      <c r="J937" s="703"/>
      <c r="K937" s="703"/>
      <c r="L937" s="703"/>
      <c r="M937" s="703"/>
      <c r="N937" s="703"/>
      <c r="O937" s="703"/>
      <c r="P937" s="703"/>
      <c r="Q937" s="703"/>
      <c r="R937" s="703"/>
      <c r="S937" s="703"/>
      <c r="T937" s="703"/>
      <c r="U937" s="703"/>
      <c r="V937" s="703"/>
      <c r="W937" s="703"/>
      <c r="X937" s="703"/>
      <c r="Y937" s="703"/>
      <c r="Z937" s="703"/>
    </row>
    <row r="938">
      <c r="A938" s="703"/>
      <c r="B938" s="703"/>
      <c r="C938" s="703"/>
      <c r="D938" s="703"/>
      <c r="E938" s="703"/>
      <c r="F938" s="703"/>
      <c r="G938" s="703"/>
      <c r="H938" s="703"/>
      <c r="I938" s="703"/>
      <c r="J938" s="703"/>
      <c r="K938" s="703"/>
      <c r="L938" s="703"/>
      <c r="M938" s="703"/>
      <c r="N938" s="703"/>
      <c r="O938" s="703"/>
      <c r="P938" s="703"/>
      <c r="Q938" s="703"/>
      <c r="R938" s="703"/>
      <c r="S938" s="703"/>
      <c r="T938" s="703"/>
      <c r="U938" s="703"/>
      <c r="V938" s="703"/>
      <c r="W938" s="703"/>
      <c r="X938" s="703"/>
      <c r="Y938" s="703"/>
      <c r="Z938" s="703"/>
    </row>
    <row r="939">
      <c r="A939" s="703"/>
      <c r="B939" s="703"/>
      <c r="C939" s="703"/>
      <c r="D939" s="703"/>
      <c r="E939" s="703"/>
      <c r="F939" s="703"/>
      <c r="G939" s="703"/>
      <c r="H939" s="703"/>
      <c r="I939" s="703"/>
      <c r="J939" s="703"/>
      <c r="K939" s="703"/>
      <c r="L939" s="703"/>
      <c r="M939" s="703"/>
      <c r="N939" s="703"/>
      <c r="O939" s="703"/>
      <c r="P939" s="703"/>
      <c r="Q939" s="703"/>
      <c r="R939" s="703"/>
      <c r="S939" s="703"/>
      <c r="T939" s="703"/>
      <c r="U939" s="703"/>
      <c r="V939" s="703"/>
      <c r="W939" s="703"/>
      <c r="X939" s="703"/>
      <c r="Y939" s="703"/>
      <c r="Z939" s="703"/>
    </row>
    <row r="940">
      <c r="A940" s="703"/>
      <c r="B940" s="703"/>
      <c r="C940" s="703"/>
      <c r="D940" s="703"/>
      <c r="E940" s="703"/>
      <c r="F940" s="703"/>
      <c r="G940" s="703"/>
      <c r="H940" s="703"/>
      <c r="I940" s="703"/>
      <c r="J940" s="703"/>
      <c r="K940" s="703"/>
      <c r="L940" s="703"/>
      <c r="M940" s="703"/>
      <c r="N940" s="703"/>
      <c r="O940" s="703"/>
      <c r="P940" s="703"/>
      <c r="Q940" s="703"/>
      <c r="R940" s="703"/>
      <c r="S940" s="703"/>
      <c r="T940" s="703"/>
      <c r="U940" s="703"/>
      <c r="V940" s="703"/>
      <c r="W940" s="703"/>
      <c r="X940" s="703"/>
      <c r="Y940" s="703"/>
      <c r="Z940" s="703"/>
    </row>
    <row r="941">
      <c r="A941" s="703"/>
      <c r="B941" s="703"/>
      <c r="C941" s="703"/>
      <c r="D941" s="703"/>
      <c r="E941" s="703"/>
      <c r="F941" s="703"/>
      <c r="G941" s="703"/>
      <c r="H941" s="703"/>
      <c r="I941" s="703"/>
      <c r="J941" s="703"/>
      <c r="K941" s="703"/>
      <c r="L941" s="703"/>
      <c r="M941" s="703"/>
      <c r="N941" s="703"/>
      <c r="O941" s="703"/>
      <c r="P941" s="703"/>
      <c r="Q941" s="703"/>
      <c r="R941" s="703"/>
      <c r="S941" s="703"/>
      <c r="T941" s="703"/>
      <c r="U941" s="703"/>
      <c r="V941" s="703"/>
      <c r="W941" s="703"/>
      <c r="X941" s="703"/>
      <c r="Y941" s="703"/>
      <c r="Z941" s="703"/>
    </row>
    <row r="942">
      <c r="A942" s="703"/>
      <c r="B942" s="703"/>
      <c r="C942" s="703"/>
      <c r="D942" s="703"/>
      <c r="E942" s="703"/>
      <c r="F942" s="703"/>
      <c r="G942" s="703"/>
      <c r="H942" s="703"/>
      <c r="I942" s="703"/>
      <c r="J942" s="703"/>
      <c r="K942" s="703"/>
      <c r="L942" s="703"/>
      <c r="M942" s="703"/>
      <c r="N942" s="703"/>
      <c r="O942" s="703"/>
      <c r="P942" s="703"/>
      <c r="Q942" s="703"/>
      <c r="R942" s="703"/>
      <c r="S942" s="703"/>
      <c r="T942" s="703"/>
      <c r="U942" s="703"/>
      <c r="V942" s="703"/>
      <c r="W942" s="703"/>
      <c r="X942" s="703"/>
      <c r="Y942" s="703"/>
      <c r="Z942" s="703"/>
    </row>
    <row r="943">
      <c r="A943" s="703"/>
      <c r="B943" s="703"/>
      <c r="C943" s="703"/>
      <c r="D943" s="703"/>
      <c r="E943" s="703"/>
      <c r="F943" s="703"/>
      <c r="G943" s="703"/>
      <c r="H943" s="703"/>
      <c r="I943" s="703"/>
      <c r="J943" s="703"/>
      <c r="K943" s="703"/>
      <c r="L943" s="703"/>
      <c r="M943" s="703"/>
      <c r="N943" s="703"/>
      <c r="O943" s="703"/>
      <c r="P943" s="703"/>
      <c r="Q943" s="703"/>
      <c r="R943" s="703"/>
      <c r="S943" s="703"/>
      <c r="T943" s="703"/>
      <c r="U943" s="703"/>
      <c r="V943" s="703"/>
      <c r="W943" s="703"/>
      <c r="X943" s="703"/>
      <c r="Y943" s="703"/>
      <c r="Z943" s="703"/>
    </row>
    <row r="944">
      <c r="A944" s="703"/>
      <c r="B944" s="703"/>
      <c r="C944" s="703"/>
      <c r="D944" s="703"/>
      <c r="E944" s="703"/>
      <c r="F944" s="703"/>
      <c r="G944" s="703"/>
      <c r="H944" s="703"/>
      <c r="I944" s="703"/>
      <c r="J944" s="703"/>
      <c r="K944" s="703"/>
      <c r="L944" s="703"/>
      <c r="M944" s="703"/>
      <c r="N944" s="703"/>
      <c r="O944" s="703"/>
      <c r="P944" s="703"/>
      <c r="Q944" s="703"/>
      <c r="R944" s="703"/>
      <c r="S944" s="703"/>
      <c r="T944" s="703"/>
      <c r="U944" s="703"/>
      <c r="V944" s="703"/>
      <c r="W944" s="703"/>
      <c r="X944" s="703"/>
      <c r="Y944" s="703"/>
      <c r="Z944" s="703"/>
    </row>
    <row r="945">
      <c r="A945" s="703"/>
      <c r="B945" s="703"/>
      <c r="C945" s="703"/>
      <c r="D945" s="703"/>
      <c r="E945" s="703"/>
      <c r="F945" s="703"/>
      <c r="G945" s="703"/>
      <c r="H945" s="703"/>
      <c r="I945" s="703"/>
      <c r="J945" s="703"/>
      <c r="K945" s="703"/>
      <c r="L945" s="703"/>
      <c r="M945" s="703"/>
      <c r="N945" s="703"/>
      <c r="O945" s="703"/>
      <c r="P945" s="703"/>
      <c r="Q945" s="703"/>
      <c r="R945" s="703"/>
      <c r="S945" s="703"/>
      <c r="T945" s="703"/>
      <c r="U945" s="703"/>
      <c r="V945" s="703"/>
      <c r="W945" s="703"/>
      <c r="X945" s="703"/>
      <c r="Y945" s="703"/>
      <c r="Z945" s="703"/>
    </row>
    <row r="946">
      <c r="A946" s="703"/>
      <c r="B946" s="703"/>
      <c r="C946" s="703"/>
      <c r="D946" s="703"/>
      <c r="E946" s="703"/>
      <c r="F946" s="703"/>
      <c r="G946" s="703"/>
      <c r="H946" s="703"/>
      <c r="I946" s="703"/>
      <c r="J946" s="703"/>
      <c r="K946" s="703"/>
      <c r="L946" s="703"/>
      <c r="M946" s="703"/>
      <c r="N946" s="703"/>
      <c r="O946" s="703"/>
      <c r="P946" s="703"/>
      <c r="Q946" s="703"/>
      <c r="R946" s="703"/>
      <c r="S946" s="703"/>
      <c r="T946" s="703"/>
      <c r="U946" s="703"/>
      <c r="V946" s="703"/>
      <c r="W946" s="703"/>
      <c r="X946" s="703"/>
      <c r="Y946" s="703"/>
      <c r="Z946" s="703"/>
    </row>
    <row r="947">
      <c r="A947" s="703"/>
      <c r="B947" s="703"/>
      <c r="C947" s="703"/>
      <c r="D947" s="703"/>
      <c r="E947" s="703"/>
      <c r="F947" s="703"/>
      <c r="G947" s="703"/>
      <c r="H947" s="703"/>
      <c r="I947" s="703"/>
      <c r="J947" s="703"/>
      <c r="K947" s="703"/>
      <c r="L947" s="703"/>
      <c r="M947" s="703"/>
      <c r="N947" s="703"/>
      <c r="O947" s="703"/>
      <c r="P947" s="703"/>
      <c r="Q947" s="703"/>
      <c r="R947" s="703"/>
      <c r="S947" s="703"/>
      <c r="T947" s="703"/>
      <c r="U947" s="703"/>
      <c r="V947" s="703"/>
      <c r="W947" s="703"/>
      <c r="X947" s="703"/>
      <c r="Y947" s="703"/>
      <c r="Z947" s="703"/>
    </row>
    <row r="948">
      <c r="A948" s="703"/>
      <c r="B948" s="703"/>
      <c r="C948" s="703"/>
      <c r="D948" s="703"/>
      <c r="E948" s="703"/>
      <c r="F948" s="703"/>
      <c r="G948" s="703"/>
      <c r="H948" s="703"/>
      <c r="I948" s="703"/>
      <c r="J948" s="703"/>
      <c r="K948" s="703"/>
      <c r="L948" s="703"/>
      <c r="M948" s="703"/>
      <c r="N948" s="703"/>
      <c r="O948" s="703"/>
      <c r="P948" s="703"/>
      <c r="Q948" s="703"/>
      <c r="R948" s="703"/>
      <c r="S948" s="703"/>
      <c r="T948" s="703"/>
      <c r="U948" s="703"/>
      <c r="V948" s="703"/>
      <c r="W948" s="703"/>
      <c r="X948" s="703"/>
      <c r="Y948" s="703"/>
      <c r="Z948" s="703"/>
    </row>
    <row r="949">
      <c r="A949" s="703"/>
      <c r="B949" s="703"/>
      <c r="C949" s="703"/>
      <c r="D949" s="703"/>
      <c r="E949" s="703"/>
      <c r="F949" s="703"/>
      <c r="G949" s="703"/>
      <c r="H949" s="703"/>
      <c r="I949" s="703"/>
      <c r="J949" s="703"/>
      <c r="K949" s="703"/>
      <c r="L949" s="703"/>
      <c r="M949" s="703"/>
      <c r="N949" s="703"/>
      <c r="O949" s="703"/>
      <c r="P949" s="703"/>
      <c r="Q949" s="703"/>
      <c r="R949" s="703"/>
      <c r="S949" s="703"/>
      <c r="T949" s="703"/>
      <c r="U949" s="703"/>
      <c r="V949" s="703"/>
      <c r="W949" s="703"/>
      <c r="X949" s="703"/>
      <c r="Y949" s="703"/>
      <c r="Z949" s="703"/>
    </row>
    <row r="950">
      <c r="A950" s="703"/>
      <c r="B950" s="703"/>
      <c r="C950" s="703"/>
      <c r="D950" s="703"/>
      <c r="E950" s="703"/>
      <c r="F950" s="703"/>
      <c r="G950" s="703"/>
      <c r="H950" s="703"/>
      <c r="I950" s="703"/>
      <c r="J950" s="703"/>
      <c r="K950" s="703"/>
      <c r="L950" s="703"/>
      <c r="M950" s="703"/>
      <c r="N950" s="703"/>
      <c r="O950" s="703"/>
      <c r="P950" s="703"/>
      <c r="Q950" s="703"/>
      <c r="R950" s="703"/>
      <c r="S950" s="703"/>
      <c r="T950" s="703"/>
      <c r="U950" s="703"/>
      <c r="V950" s="703"/>
      <c r="W950" s="703"/>
      <c r="X950" s="703"/>
      <c r="Y950" s="703"/>
      <c r="Z950" s="703"/>
    </row>
    <row r="951">
      <c r="A951" s="703"/>
      <c r="B951" s="703"/>
      <c r="C951" s="703"/>
      <c r="D951" s="703"/>
      <c r="E951" s="703"/>
      <c r="F951" s="703"/>
      <c r="G951" s="703"/>
      <c r="H951" s="703"/>
      <c r="I951" s="703"/>
      <c r="J951" s="703"/>
      <c r="K951" s="703"/>
      <c r="L951" s="703"/>
      <c r="M951" s="703"/>
      <c r="N951" s="703"/>
      <c r="O951" s="703"/>
      <c r="P951" s="703"/>
      <c r="Q951" s="703"/>
      <c r="R951" s="703"/>
      <c r="S951" s="703"/>
      <c r="T951" s="703"/>
      <c r="U951" s="703"/>
      <c r="V951" s="703"/>
      <c r="W951" s="703"/>
      <c r="X951" s="703"/>
      <c r="Y951" s="703"/>
      <c r="Z951" s="703"/>
    </row>
    <row r="952">
      <c r="A952" s="703"/>
      <c r="B952" s="703"/>
      <c r="C952" s="703"/>
      <c r="D952" s="703"/>
      <c r="E952" s="703"/>
      <c r="F952" s="703"/>
      <c r="G952" s="703"/>
      <c r="H952" s="703"/>
      <c r="I952" s="703"/>
      <c r="J952" s="703"/>
      <c r="K952" s="703"/>
      <c r="L952" s="703"/>
      <c r="M952" s="703"/>
      <c r="N952" s="703"/>
      <c r="O952" s="703"/>
      <c r="P952" s="703"/>
      <c r="Q952" s="703"/>
      <c r="R952" s="703"/>
      <c r="S952" s="703"/>
      <c r="T952" s="703"/>
      <c r="U952" s="703"/>
      <c r="V952" s="703"/>
      <c r="W952" s="703"/>
      <c r="X952" s="703"/>
      <c r="Y952" s="703"/>
      <c r="Z952" s="703"/>
    </row>
    <row r="953">
      <c r="A953" s="703"/>
      <c r="B953" s="703"/>
      <c r="C953" s="703"/>
      <c r="D953" s="703"/>
      <c r="E953" s="703"/>
      <c r="F953" s="703"/>
      <c r="G953" s="703"/>
      <c r="H953" s="703"/>
      <c r="I953" s="703"/>
      <c r="J953" s="703"/>
      <c r="K953" s="703"/>
      <c r="L953" s="703"/>
      <c r="M953" s="703"/>
      <c r="N953" s="703"/>
      <c r="O953" s="703"/>
      <c r="P953" s="703"/>
      <c r="Q953" s="703"/>
      <c r="R953" s="703"/>
      <c r="S953" s="703"/>
      <c r="T953" s="703"/>
      <c r="U953" s="703"/>
      <c r="V953" s="703"/>
      <c r="W953" s="703"/>
      <c r="X953" s="703"/>
      <c r="Y953" s="703"/>
      <c r="Z953" s="703"/>
    </row>
    <row r="954">
      <c r="A954" s="703"/>
      <c r="B954" s="703"/>
      <c r="C954" s="703"/>
      <c r="D954" s="703"/>
      <c r="E954" s="703"/>
      <c r="F954" s="703"/>
      <c r="G954" s="703"/>
      <c r="H954" s="703"/>
      <c r="I954" s="703"/>
      <c r="J954" s="703"/>
      <c r="K954" s="703"/>
      <c r="L954" s="703"/>
      <c r="M954" s="703"/>
      <c r="N954" s="703"/>
      <c r="O954" s="703"/>
      <c r="P954" s="703"/>
      <c r="Q954" s="703"/>
      <c r="R954" s="703"/>
      <c r="S954" s="703"/>
      <c r="T954" s="703"/>
      <c r="U954" s="703"/>
      <c r="V954" s="703"/>
      <c r="W954" s="703"/>
      <c r="X954" s="703"/>
      <c r="Y954" s="703"/>
      <c r="Z954" s="703"/>
    </row>
    <row r="955">
      <c r="A955" s="703"/>
      <c r="B955" s="703"/>
      <c r="C955" s="703"/>
      <c r="D955" s="703"/>
      <c r="E955" s="703"/>
      <c r="F955" s="703"/>
      <c r="G955" s="703"/>
      <c r="H955" s="703"/>
      <c r="I955" s="703"/>
      <c r="J955" s="703"/>
      <c r="K955" s="703"/>
      <c r="L955" s="703"/>
      <c r="M955" s="703"/>
      <c r="N955" s="703"/>
      <c r="O955" s="703"/>
      <c r="P955" s="703"/>
      <c r="Q955" s="703"/>
      <c r="R955" s="703"/>
      <c r="S955" s="703"/>
      <c r="T955" s="703"/>
      <c r="U955" s="703"/>
      <c r="V955" s="703"/>
      <c r="W955" s="703"/>
      <c r="X955" s="703"/>
      <c r="Y955" s="703"/>
      <c r="Z955" s="703"/>
    </row>
    <row r="956">
      <c r="A956" s="703"/>
      <c r="B956" s="703"/>
      <c r="C956" s="703"/>
      <c r="D956" s="703"/>
      <c r="E956" s="703"/>
      <c r="F956" s="703"/>
      <c r="G956" s="703"/>
      <c r="H956" s="703"/>
      <c r="I956" s="703"/>
      <c r="J956" s="703"/>
      <c r="K956" s="703"/>
      <c r="L956" s="703"/>
      <c r="M956" s="703"/>
      <c r="N956" s="703"/>
      <c r="O956" s="703"/>
      <c r="P956" s="703"/>
      <c r="Q956" s="703"/>
      <c r="R956" s="703"/>
      <c r="S956" s="703"/>
      <c r="T956" s="703"/>
      <c r="U956" s="703"/>
      <c r="V956" s="703"/>
      <c r="W956" s="703"/>
      <c r="X956" s="703"/>
      <c r="Y956" s="703"/>
      <c r="Z956" s="703"/>
    </row>
    <row r="957">
      <c r="A957" s="703"/>
      <c r="B957" s="703"/>
      <c r="C957" s="703"/>
      <c r="D957" s="703"/>
      <c r="E957" s="703"/>
      <c r="F957" s="703"/>
      <c r="G957" s="703"/>
      <c r="H957" s="703"/>
      <c r="I957" s="703"/>
      <c r="J957" s="703"/>
      <c r="K957" s="703"/>
      <c r="L957" s="703"/>
      <c r="M957" s="703"/>
      <c r="N957" s="703"/>
      <c r="O957" s="703"/>
      <c r="P957" s="703"/>
      <c r="Q957" s="703"/>
      <c r="R957" s="703"/>
      <c r="S957" s="703"/>
      <c r="T957" s="703"/>
      <c r="U957" s="703"/>
      <c r="V957" s="703"/>
      <c r="W957" s="703"/>
      <c r="X957" s="703"/>
      <c r="Y957" s="703"/>
      <c r="Z957" s="703"/>
    </row>
    <row r="958">
      <c r="A958" s="703"/>
      <c r="B958" s="703"/>
      <c r="C958" s="703"/>
      <c r="D958" s="703"/>
      <c r="E958" s="703"/>
      <c r="F958" s="703"/>
      <c r="G958" s="703"/>
      <c r="H958" s="703"/>
      <c r="I958" s="703"/>
      <c r="J958" s="703"/>
      <c r="K958" s="703"/>
      <c r="L958" s="703"/>
      <c r="M958" s="703"/>
      <c r="N958" s="703"/>
      <c r="O958" s="703"/>
      <c r="P958" s="703"/>
      <c r="Q958" s="703"/>
      <c r="R958" s="703"/>
      <c r="S958" s="703"/>
      <c r="T958" s="703"/>
      <c r="U958" s="703"/>
      <c r="V958" s="703"/>
      <c r="W958" s="703"/>
      <c r="X958" s="703"/>
      <c r="Y958" s="703"/>
      <c r="Z958" s="703"/>
    </row>
    <row r="959">
      <c r="A959" s="703"/>
      <c r="B959" s="703"/>
      <c r="C959" s="703"/>
      <c r="D959" s="703"/>
      <c r="E959" s="703"/>
      <c r="F959" s="703"/>
      <c r="G959" s="703"/>
      <c r="H959" s="703"/>
      <c r="I959" s="703"/>
      <c r="J959" s="703"/>
      <c r="K959" s="703"/>
      <c r="L959" s="703"/>
      <c r="M959" s="703"/>
      <c r="N959" s="703"/>
      <c r="O959" s="703"/>
      <c r="P959" s="703"/>
      <c r="Q959" s="703"/>
      <c r="R959" s="703"/>
      <c r="S959" s="703"/>
      <c r="T959" s="703"/>
      <c r="U959" s="703"/>
      <c r="V959" s="703"/>
      <c r="W959" s="703"/>
      <c r="X959" s="703"/>
      <c r="Y959" s="703"/>
      <c r="Z959" s="703"/>
    </row>
    <row r="960">
      <c r="A960" s="703"/>
      <c r="B960" s="703"/>
      <c r="C960" s="703"/>
      <c r="D960" s="703"/>
      <c r="E960" s="703"/>
      <c r="F960" s="703"/>
      <c r="G960" s="703"/>
      <c r="H960" s="703"/>
      <c r="I960" s="703"/>
      <c r="J960" s="703"/>
      <c r="K960" s="703"/>
      <c r="L960" s="703"/>
      <c r="M960" s="703"/>
      <c r="N960" s="703"/>
      <c r="O960" s="703"/>
      <c r="P960" s="703"/>
      <c r="Q960" s="703"/>
      <c r="R960" s="703"/>
      <c r="S960" s="703"/>
      <c r="T960" s="703"/>
      <c r="U960" s="703"/>
      <c r="V960" s="703"/>
      <c r="W960" s="703"/>
      <c r="X960" s="703"/>
      <c r="Y960" s="703"/>
      <c r="Z960" s="703"/>
    </row>
    <row r="961">
      <c r="A961" s="703"/>
      <c r="B961" s="703"/>
      <c r="C961" s="703"/>
      <c r="D961" s="703"/>
      <c r="E961" s="703"/>
      <c r="F961" s="703"/>
      <c r="G961" s="703"/>
      <c r="H961" s="703"/>
      <c r="I961" s="703"/>
      <c r="J961" s="703"/>
      <c r="K961" s="703"/>
      <c r="L961" s="703"/>
      <c r="M961" s="703"/>
      <c r="N961" s="703"/>
      <c r="O961" s="703"/>
      <c r="P961" s="703"/>
      <c r="Q961" s="703"/>
      <c r="R961" s="703"/>
      <c r="S961" s="703"/>
      <c r="T961" s="703"/>
      <c r="U961" s="703"/>
      <c r="V961" s="703"/>
      <c r="W961" s="703"/>
      <c r="X961" s="703"/>
      <c r="Y961" s="703"/>
      <c r="Z961" s="703"/>
    </row>
    <row r="962">
      <c r="A962" s="703"/>
      <c r="B962" s="703"/>
      <c r="C962" s="703"/>
      <c r="D962" s="703"/>
      <c r="E962" s="703"/>
      <c r="F962" s="703"/>
      <c r="G962" s="703"/>
      <c r="H962" s="703"/>
      <c r="I962" s="703"/>
      <c r="J962" s="703"/>
      <c r="K962" s="703"/>
      <c r="L962" s="703"/>
      <c r="M962" s="703"/>
      <c r="N962" s="703"/>
      <c r="O962" s="703"/>
      <c r="P962" s="703"/>
      <c r="Q962" s="703"/>
      <c r="R962" s="703"/>
      <c r="S962" s="703"/>
      <c r="T962" s="703"/>
      <c r="U962" s="703"/>
      <c r="V962" s="703"/>
      <c r="W962" s="703"/>
      <c r="X962" s="703"/>
      <c r="Y962" s="703"/>
      <c r="Z962" s="703"/>
    </row>
    <row r="963">
      <c r="A963" s="703"/>
      <c r="B963" s="703"/>
      <c r="C963" s="703"/>
      <c r="D963" s="703"/>
      <c r="E963" s="703"/>
      <c r="F963" s="703"/>
      <c r="G963" s="703"/>
      <c r="H963" s="703"/>
      <c r="I963" s="703"/>
      <c r="J963" s="703"/>
      <c r="K963" s="703"/>
      <c r="L963" s="703"/>
      <c r="M963" s="703"/>
      <c r="N963" s="703"/>
      <c r="O963" s="703"/>
      <c r="P963" s="703"/>
      <c r="Q963" s="703"/>
      <c r="R963" s="703"/>
      <c r="S963" s="703"/>
      <c r="T963" s="703"/>
      <c r="U963" s="703"/>
      <c r="V963" s="703"/>
      <c r="W963" s="703"/>
      <c r="X963" s="703"/>
      <c r="Y963" s="703"/>
      <c r="Z963" s="703"/>
    </row>
    <row r="964">
      <c r="A964" s="703"/>
      <c r="B964" s="703"/>
      <c r="C964" s="703"/>
      <c r="D964" s="703"/>
      <c r="E964" s="703"/>
      <c r="F964" s="703"/>
      <c r="G964" s="703"/>
      <c r="H964" s="703"/>
      <c r="I964" s="703"/>
      <c r="J964" s="703"/>
      <c r="K964" s="703"/>
      <c r="L964" s="703"/>
      <c r="M964" s="703"/>
      <c r="N964" s="703"/>
      <c r="O964" s="703"/>
      <c r="P964" s="703"/>
      <c r="Q964" s="703"/>
      <c r="R964" s="703"/>
      <c r="S964" s="703"/>
      <c r="T964" s="703"/>
      <c r="U964" s="703"/>
      <c r="V964" s="703"/>
      <c r="W964" s="703"/>
      <c r="X964" s="703"/>
      <c r="Y964" s="703"/>
      <c r="Z964" s="703"/>
    </row>
    <row r="965">
      <c r="A965" s="703"/>
      <c r="B965" s="703"/>
      <c r="C965" s="703"/>
      <c r="D965" s="703"/>
      <c r="E965" s="703"/>
      <c r="F965" s="703"/>
      <c r="G965" s="703"/>
      <c r="H965" s="703"/>
      <c r="I965" s="703"/>
      <c r="J965" s="703"/>
      <c r="K965" s="703"/>
      <c r="L965" s="703"/>
      <c r="M965" s="703"/>
      <c r="N965" s="703"/>
      <c r="O965" s="703"/>
      <c r="P965" s="703"/>
      <c r="Q965" s="703"/>
      <c r="R965" s="703"/>
      <c r="S965" s="703"/>
      <c r="T965" s="703"/>
      <c r="U965" s="703"/>
      <c r="V965" s="703"/>
      <c r="W965" s="703"/>
      <c r="X965" s="703"/>
      <c r="Y965" s="703"/>
      <c r="Z965" s="703"/>
    </row>
    <row r="966">
      <c r="A966" s="703"/>
      <c r="B966" s="703"/>
      <c r="C966" s="703"/>
      <c r="D966" s="703"/>
      <c r="E966" s="703"/>
      <c r="F966" s="703"/>
      <c r="G966" s="703"/>
      <c r="H966" s="703"/>
      <c r="I966" s="703"/>
      <c r="J966" s="703"/>
      <c r="K966" s="703"/>
      <c r="L966" s="703"/>
      <c r="M966" s="703"/>
      <c r="N966" s="703"/>
      <c r="O966" s="703"/>
      <c r="P966" s="703"/>
      <c r="Q966" s="703"/>
      <c r="R966" s="703"/>
      <c r="S966" s="703"/>
      <c r="T966" s="703"/>
      <c r="U966" s="703"/>
      <c r="V966" s="703"/>
      <c r="W966" s="703"/>
      <c r="X966" s="703"/>
      <c r="Y966" s="703"/>
      <c r="Z966" s="703"/>
    </row>
    <row r="967">
      <c r="A967" s="703"/>
      <c r="B967" s="703"/>
      <c r="C967" s="703"/>
      <c r="D967" s="703"/>
      <c r="E967" s="703"/>
      <c r="F967" s="703"/>
      <c r="G967" s="703"/>
      <c r="H967" s="703"/>
      <c r="I967" s="703"/>
      <c r="J967" s="703"/>
      <c r="K967" s="703"/>
      <c r="L967" s="703"/>
      <c r="M967" s="703"/>
      <c r="N967" s="703"/>
      <c r="O967" s="703"/>
      <c r="P967" s="703"/>
      <c r="Q967" s="703"/>
      <c r="R967" s="703"/>
      <c r="S967" s="703"/>
      <c r="T967" s="703"/>
      <c r="U967" s="703"/>
      <c r="V967" s="703"/>
      <c r="W967" s="703"/>
      <c r="X967" s="703"/>
      <c r="Y967" s="703"/>
      <c r="Z967" s="703"/>
    </row>
    <row r="968">
      <c r="A968" s="703"/>
      <c r="B968" s="703"/>
      <c r="C968" s="703"/>
      <c r="D968" s="703"/>
      <c r="E968" s="703"/>
      <c r="F968" s="703"/>
      <c r="G968" s="703"/>
      <c r="H968" s="703"/>
      <c r="I968" s="703"/>
      <c r="J968" s="703"/>
      <c r="K968" s="703"/>
      <c r="L968" s="703"/>
      <c r="M968" s="703"/>
      <c r="N968" s="703"/>
      <c r="O968" s="703"/>
      <c r="P968" s="703"/>
      <c r="Q968" s="703"/>
      <c r="R968" s="703"/>
      <c r="S968" s="703"/>
      <c r="T968" s="703"/>
      <c r="U968" s="703"/>
      <c r="V968" s="703"/>
      <c r="W968" s="703"/>
      <c r="X968" s="703"/>
      <c r="Y968" s="703"/>
      <c r="Z968" s="703"/>
    </row>
    <row r="969">
      <c r="A969" s="703"/>
      <c r="B969" s="703"/>
      <c r="C969" s="703"/>
      <c r="D969" s="703"/>
      <c r="E969" s="703"/>
      <c r="F969" s="703"/>
      <c r="G969" s="703"/>
      <c r="H969" s="703"/>
      <c r="I969" s="703"/>
      <c r="J969" s="703"/>
      <c r="K969" s="703"/>
      <c r="L969" s="703"/>
      <c r="M969" s="703"/>
      <c r="N969" s="703"/>
      <c r="O969" s="703"/>
      <c r="P969" s="703"/>
      <c r="Q969" s="703"/>
      <c r="R969" s="703"/>
      <c r="S969" s="703"/>
      <c r="T969" s="703"/>
      <c r="U969" s="703"/>
      <c r="V969" s="703"/>
      <c r="W969" s="703"/>
      <c r="X969" s="703"/>
      <c r="Y969" s="703"/>
      <c r="Z969" s="703"/>
    </row>
    <row r="970">
      <c r="A970" s="703"/>
      <c r="B970" s="703"/>
      <c r="C970" s="703"/>
      <c r="D970" s="703"/>
      <c r="E970" s="703"/>
      <c r="F970" s="703"/>
      <c r="G970" s="703"/>
      <c r="H970" s="703"/>
      <c r="I970" s="703"/>
      <c r="J970" s="703"/>
      <c r="K970" s="703"/>
      <c r="L970" s="703"/>
      <c r="M970" s="703"/>
      <c r="N970" s="703"/>
      <c r="O970" s="703"/>
      <c r="P970" s="703"/>
      <c r="Q970" s="703"/>
      <c r="R970" s="703"/>
      <c r="S970" s="703"/>
      <c r="T970" s="703"/>
      <c r="U970" s="703"/>
      <c r="V970" s="703"/>
      <c r="W970" s="703"/>
      <c r="X970" s="703"/>
      <c r="Y970" s="703"/>
      <c r="Z970" s="703"/>
    </row>
    <row r="971">
      <c r="A971" s="703"/>
      <c r="B971" s="703"/>
      <c r="C971" s="703"/>
      <c r="D971" s="703"/>
      <c r="E971" s="703"/>
      <c r="F971" s="703"/>
      <c r="G971" s="703"/>
      <c r="H971" s="703"/>
      <c r="I971" s="703"/>
      <c r="J971" s="703"/>
      <c r="K971" s="703"/>
      <c r="L971" s="703"/>
      <c r="M971" s="703"/>
      <c r="N971" s="703"/>
      <c r="O971" s="703"/>
      <c r="P971" s="703"/>
      <c r="Q971" s="703"/>
      <c r="R971" s="703"/>
      <c r="S971" s="703"/>
      <c r="T971" s="703"/>
      <c r="U971" s="703"/>
      <c r="V971" s="703"/>
      <c r="W971" s="703"/>
      <c r="X971" s="703"/>
      <c r="Y971" s="703"/>
      <c r="Z971" s="703"/>
    </row>
    <row r="972">
      <c r="A972" s="703"/>
      <c r="B972" s="703"/>
      <c r="C972" s="703"/>
      <c r="D972" s="703"/>
      <c r="E972" s="703"/>
      <c r="F972" s="703"/>
      <c r="G972" s="703"/>
      <c r="H972" s="703"/>
      <c r="I972" s="703"/>
      <c r="J972" s="703"/>
      <c r="K972" s="703"/>
      <c r="L972" s="703"/>
      <c r="M972" s="703"/>
      <c r="N972" s="703"/>
      <c r="O972" s="703"/>
      <c r="P972" s="703"/>
      <c r="Q972" s="703"/>
      <c r="R972" s="703"/>
      <c r="S972" s="703"/>
      <c r="T972" s="703"/>
      <c r="U972" s="703"/>
      <c r="V972" s="703"/>
      <c r="W972" s="703"/>
      <c r="X972" s="703"/>
      <c r="Y972" s="703"/>
      <c r="Z972" s="703"/>
    </row>
    <row r="973">
      <c r="A973" s="703"/>
      <c r="B973" s="703"/>
      <c r="C973" s="703"/>
      <c r="D973" s="703"/>
      <c r="E973" s="703"/>
      <c r="F973" s="703"/>
      <c r="G973" s="703"/>
      <c r="H973" s="703"/>
      <c r="I973" s="703"/>
      <c r="J973" s="703"/>
      <c r="K973" s="703"/>
      <c r="L973" s="703"/>
      <c r="M973" s="703"/>
      <c r="N973" s="703"/>
      <c r="O973" s="703"/>
      <c r="P973" s="703"/>
      <c r="Q973" s="703"/>
      <c r="R973" s="703"/>
      <c r="S973" s="703"/>
      <c r="T973" s="703"/>
      <c r="U973" s="703"/>
      <c r="V973" s="703"/>
      <c r="W973" s="703"/>
      <c r="X973" s="703"/>
      <c r="Y973" s="703"/>
      <c r="Z973" s="703"/>
    </row>
    <row r="974">
      <c r="A974" s="703"/>
      <c r="B974" s="703"/>
      <c r="C974" s="703"/>
      <c r="D974" s="703"/>
      <c r="E974" s="703"/>
      <c r="F974" s="703"/>
      <c r="G974" s="703"/>
      <c r="H974" s="703"/>
      <c r="I974" s="703"/>
      <c r="J974" s="703"/>
      <c r="K974" s="703"/>
      <c r="L974" s="703"/>
      <c r="M974" s="703"/>
      <c r="N974" s="703"/>
      <c r="O974" s="703"/>
      <c r="P974" s="703"/>
      <c r="Q974" s="703"/>
      <c r="R974" s="703"/>
      <c r="S974" s="703"/>
      <c r="T974" s="703"/>
      <c r="U974" s="703"/>
      <c r="V974" s="703"/>
      <c r="W974" s="703"/>
      <c r="X974" s="703"/>
      <c r="Y974" s="703"/>
      <c r="Z974" s="703"/>
    </row>
    <row r="975">
      <c r="A975" s="703"/>
      <c r="B975" s="703"/>
      <c r="C975" s="703"/>
      <c r="D975" s="703"/>
      <c r="E975" s="703"/>
      <c r="F975" s="703"/>
      <c r="G975" s="703"/>
      <c r="H975" s="703"/>
      <c r="I975" s="703"/>
      <c r="J975" s="703"/>
      <c r="K975" s="703"/>
      <c r="L975" s="703"/>
      <c r="M975" s="703"/>
      <c r="N975" s="703"/>
      <c r="O975" s="703"/>
      <c r="P975" s="703"/>
      <c r="Q975" s="703"/>
      <c r="R975" s="703"/>
      <c r="S975" s="703"/>
      <c r="T975" s="703"/>
      <c r="U975" s="703"/>
      <c r="V975" s="703"/>
      <c r="W975" s="703"/>
      <c r="X975" s="703"/>
      <c r="Y975" s="703"/>
      <c r="Z975" s="703"/>
    </row>
    <row r="976">
      <c r="A976" s="703"/>
      <c r="B976" s="703"/>
      <c r="C976" s="703"/>
      <c r="D976" s="703"/>
      <c r="E976" s="703"/>
      <c r="F976" s="703"/>
      <c r="G976" s="703"/>
      <c r="H976" s="703"/>
      <c r="I976" s="703"/>
      <c r="J976" s="703"/>
      <c r="K976" s="703"/>
      <c r="L976" s="703"/>
      <c r="M976" s="703"/>
      <c r="N976" s="703"/>
      <c r="O976" s="703"/>
      <c r="P976" s="703"/>
      <c r="Q976" s="703"/>
      <c r="R976" s="703"/>
      <c r="S976" s="703"/>
      <c r="T976" s="703"/>
      <c r="U976" s="703"/>
      <c r="V976" s="703"/>
      <c r="W976" s="703"/>
      <c r="X976" s="703"/>
      <c r="Y976" s="703"/>
      <c r="Z976" s="703"/>
    </row>
    <row r="977">
      <c r="A977" s="703"/>
      <c r="B977" s="703"/>
      <c r="C977" s="703"/>
      <c r="D977" s="703"/>
      <c r="E977" s="703"/>
      <c r="F977" s="703"/>
      <c r="G977" s="703"/>
      <c r="H977" s="703"/>
      <c r="I977" s="703"/>
      <c r="J977" s="703"/>
      <c r="K977" s="703"/>
      <c r="L977" s="703"/>
      <c r="M977" s="703"/>
      <c r="N977" s="703"/>
      <c r="O977" s="703"/>
      <c r="P977" s="703"/>
      <c r="Q977" s="703"/>
      <c r="R977" s="703"/>
      <c r="S977" s="703"/>
      <c r="T977" s="703"/>
      <c r="U977" s="703"/>
      <c r="V977" s="703"/>
      <c r="W977" s="703"/>
      <c r="X977" s="703"/>
      <c r="Y977" s="703"/>
      <c r="Z977" s="703"/>
    </row>
    <row r="978">
      <c r="A978" s="703"/>
      <c r="B978" s="703"/>
      <c r="C978" s="703"/>
      <c r="D978" s="703"/>
      <c r="E978" s="703"/>
      <c r="F978" s="703"/>
      <c r="G978" s="703"/>
      <c r="H978" s="703"/>
      <c r="I978" s="703"/>
      <c r="J978" s="703"/>
      <c r="K978" s="703"/>
      <c r="L978" s="703"/>
      <c r="M978" s="703"/>
      <c r="N978" s="703"/>
      <c r="O978" s="703"/>
      <c r="P978" s="703"/>
      <c r="Q978" s="703"/>
      <c r="R978" s="703"/>
      <c r="S978" s="703"/>
      <c r="T978" s="703"/>
      <c r="U978" s="703"/>
      <c r="V978" s="703"/>
      <c r="W978" s="703"/>
      <c r="X978" s="703"/>
      <c r="Y978" s="703"/>
      <c r="Z978" s="703"/>
    </row>
    <row r="979">
      <c r="A979" s="703"/>
      <c r="B979" s="703"/>
      <c r="C979" s="703"/>
      <c r="D979" s="703"/>
      <c r="E979" s="703"/>
      <c r="F979" s="703"/>
      <c r="G979" s="703"/>
      <c r="H979" s="703"/>
      <c r="I979" s="703"/>
      <c r="J979" s="703"/>
      <c r="K979" s="703"/>
      <c r="L979" s="703"/>
      <c r="M979" s="703"/>
      <c r="N979" s="703"/>
      <c r="O979" s="703"/>
      <c r="P979" s="703"/>
      <c r="Q979" s="703"/>
      <c r="R979" s="703"/>
      <c r="S979" s="703"/>
      <c r="T979" s="703"/>
      <c r="U979" s="703"/>
      <c r="V979" s="703"/>
      <c r="W979" s="703"/>
      <c r="X979" s="703"/>
      <c r="Y979" s="703"/>
      <c r="Z979" s="703"/>
    </row>
    <row r="980">
      <c r="A980" s="703"/>
      <c r="B980" s="703"/>
      <c r="C980" s="703"/>
      <c r="D980" s="703"/>
      <c r="E980" s="703"/>
      <c r="F980" s="703"/>
      <c r="G980" s="703"/>
      <c r="H980" s="703"/>
      <c r="I980" s="703"/>
      <c r="J980" s="703"/>
      <c r="K980" s="703"/>
      <c r="L980" s="703"/>
      <c r="M980" s="703"/>
      <c r="N980" s="703"/>
      <c r="O980" s="703"/>
      <c r="P980" s="703"/>
      <c r="Q980" s="703"/>
      <c r="R980" s="703"/>
      <c r="S980" s="703"/>
      <c r="T980" s="703"/>
      <c r="U980" s="703"/>
      <c r="V980" s="703"/>
      <c r="W980" s="703"/>
      <c r="X980" s="703"/>
      <c r="Y980" s="703"/>
      <c r="Z980" s="703"/>
    </row>
    <row r="981">
      <c r="A981" s="703"/>
      <c r="B981" s="703"/>
      <c r="C981" s="703"/>
      <c r="D981" s="703"/>
      <c r="E981" s="703"/>
      <c r="F981" s="703"/>
      <c r="G981" s="703"/>
      <c r="H981" s="703"/>
      <c r="I981" s="703"/>
      <c r="J981" s="703"/>
      <c r="K981" s="703"/>
      <c r="L981" s="703"/>
      <c r="M981" s="703"/>
      <c r="N981" s="703"/>
      <c r="O981" s="703"/>
      <c r="P981" s="703"/>
      <c r="Q981" s="703"/>
      <c r="R981" s="703"/>
      <c r="S981" s="703"/>
      <c r="T981" s="703"/>
      <c r="U981" s="703"/>
      <c r="V981" s="703"/>
      <c r="W981" s="703"/>
      <c r="X981" s="703"/>
      <c r="Y981" s="703"/>
      <c r="Z981" s="703"/>
    </row>
    <row r="982">
      <c r="A982" s="703"/>
      <c r="B982" s="703"/>
      <c r="C982" s="703"/>
      <c r="D982" s="703"/>
      <c r="E982" s="703"/>
      <c r="F982" s="703"/>
      <c r="G982" s="703"/>
      <c r="H982" s="703"/>
      <c r="I982" s="703"/>
      <c r="J982" s="703"/>
      <c r="K982" s="703"/>
      <c r="L982" s="703"/>
      <c r="M982" s="703"/>
      <c r="N982" s="703"/>
      <c r="O982" s="703"/>
      <c r="P982" s="703"/>
      <c r="Q982" s="703"/>
      <c r="R982" s="703"/>
      <c r="S982" s="703"/>
      <c r="T982" s="703"/>
      <c r="U982" s="703"/>
      <c r="V982" s="703"/>
      <c r="W982" s="703"/>
      <c r="X982" s="703"/>
      <c r="Y982" s="703"/>
      <c r="Z982" s="703"/>
    </row>
    <row r="983">
      <c r="A983" s="703"/>
      <c r="B983" s="703"/>
      <c r="C983" s="703"/>
      <c r="D983" s="703"/>
      <c r="E983" s="703"/>
      <c r="F983" s="703"/>
      <c r="G983" s="703"/>
      <c r="H983" s="703"/>
      <c r="I983" s="703"/>
      <c r="J983" s="703"/>
      <c r="K983" s="703"/>
      <c r="L983" s="703"/>
      <c r="M983" s="703"/>
      <c r="N983" s="703"/>
      <c r="O983" s="703"/>
      <c r="P983" s="703"/>
      <c r="Q983" s="703"/>
      <c r="R983" s="703"/>
      <c r="S983" s="703"/>
      <c r="T983" s="703"/>
      <c r="U983" s="703"/>
      <c r="V983" s="703"/>
      <c r="W983" s="703"/>
      <c r="X983" s="703"/>
      <c r="Y983" s="703"/>
      <c r="Z983" s="703"/>
    </row>
    <row r="984">
      <c r="A984" s="703"/>
      <c r="B984" s="703"/>
      <c r="C984" s="703"/>
      <c r="D984" s="703"/>
      <c r="E984" s="703"/>
      <c r="F984" s="703"/>
      <c r="G984" s="703"/>
      <c r="H984" s="703"/>
      <c r="I984" s="703"/>
      <c r="J984" s="703"/>
      <c r="K984" s="703"/>
      <c r="L984" s="703"/>
      <c r="M984" s="703"/>
      <c r="N984" s="703"/>
      <c r="O984" s="703"/>
      <c r="P984" s="703"/>
      <c r="Q984" s="703"/>
      <c r="R984" s="703"/>
      <c r="S984" s="703"/>
      <c r="T984" s="703"/>
      <c r="U984" s="703"/>
      <c r="V984" s="703"/>
      <c r="W984" s="703"/>
      <c r="X984" s="703"/>
      <c r="Y984" s="703"/>
      <c r="Z984" s="703"/>
    </row>
    <row r="985">
      <c r="A985" s="703"/>
      <c r="B985" s="703"/>
      <c r="C985" s="703"/>
      <c r="D985" s="703"/>
      <c r="E985" s="703"/>
      <c r="F985" s="703"/>
      <c r="G985" s="703"/>
      <c r="H985" s="703"/>
      <c r="I985" s="703"/>
      <c r="J985" s="703"/>
      <c r="K985" s="703"/>
      <c r="L985" s="703"/>
      <c r="M985" s="703"/>
      <c r="N985" s="703"/>
      <c r="O985" s="703"/>
      <c r="P985" s="703"/>
      <c r="Q985" s="703"/>
      <c r="R985" s="703"/>
      <c r="S985" s="703"/>
      <c r="T985" s="703"/>
      <c r="U985" s="703"/>
      <c r="V985" s="703"/>
      <c r="W985" s="703"/>
      <c r="X985" s="703"/>
      <c r="Y985" s="703"/>
      <c r="Z985" s="703"/>
    </row>
    <row r="986">
      <c r="A986" s="703"/>
      <c r="B986" s="703"/>
      <c r="C986" s="703"/>
      <c r="D986" s="703"/>
      <c r="E986" s="703"/>
      <c r="F986" s="703"/>
      <c r="G986" s="703"/>
      <c r="H986" s="703"/>
      <c r="I986" s="703"/>
      <c r="J986" s="703"/>
      <c r="K986" s="703"/>
      <c r="L986" s="703"/>
      <c r="M986" s="703"/>
      <c r="N986" s="703"/>
      <c r="O986" s="703"/>
      <c r="P986" s="703"/>
      <c r="Q986" s="703"/>
      <c r="R986" s="703"/>
      <c r="S986" s="703"/>
      <c r="T986" s="703"/>
      <c r="U986" s="703"/>
      <c r="V986" s="703"/>
      <c r="W986" s="703"/>
      <c r="X986" s="703"/>
      <c r="Y986" s="703"/>
      <c r="Z986" s="703"/>
    </row>
    <row r="987">
      <c r="A987" s="703"/>
      <c r="B987" s="703"/>
      <c r="C987" s="703"/>
      <c r="D987" s="703"/>
      <c r="E987" s="703"/>
      <c r="F987" s="703"/>
      <c r="G987" s="703"/>
      <c r="H987" s="703"/>
      <c r="I987" s="703"/>
      <c r="J987" s="703"/>
      <c r="K987" s="703"/>
      <c r="L987" s="703"/>
      <c r="M987" s="703"/>
      <c r="N987" s="703"/>
      <c r="O987" s="703"/>
      <c r="P987" s="703"/>
      <c r="Q987" s="703"/>
      <c r="R987" s="703"/>
      <c r="S987" s="703"/>
      <c r="T987" s="703"/>
      <c r="U987" s="703"/>
      <c r="V987" s="703"/>
      <c r="W987" s="703"/>
      <c r="X987" s="703"/>
      <c r="Y987" s="703"/>
      <c r="Z987" s="703"/>
    </row>
    <row r="988">
      <c r="A988" s="703"/>
      <c r="B988" s="703"/>
      <c r="C988" s="703"/>
      <c r="D988" s="703"/>
      <c r="E988" s="703"/>
      <c r="F988" s="703"/>
      <c r="G988" s="703"/>
      <c r="H988" s="703"/>
      <c r="I988" s="703"/>
      <c r="J988" s="703"/>
      <c r="K988" s="703"/>
      <c r="L988" s="703"/>
      <c r="M988" s="703"/>
      <c r="N988" s="703"/>
      <c r="O988" s="703"/>
      <c r="P988" s="703"/>
      <c r="Q988" s="703"/>
      <c r="R988" s="703"/>
      <c r="S988" s="703"/>
      <c r="T988" s="703"/>
      <c r="U988" s="703"/>
      <c r="V988" s="703"/>
      <c r="W988" s="703"/>
      <c r="X988" s="703"/>
      <c r="Y988" s="703"/>
      <c r="Z988" s="703"/>
    </row>
    <row r="989">
      <c r="A989" s="703"/>
      <c r="B989" s="703"/>
      <c r="C989" s="703"/>
      <c r="D989" s="703"/>
      <c r="E989" s="703"/>
      <c r="F989" s="703"/>
      <c r="G989" s="703"/>
      <c r="H989" s="703"/>
      <c r="I989" s="703"/>
      <c r="J989" s="703"/>
      <c r="K989" s="703"/>
      <c r="L989" s="703"/>
      <c r="M989" s="703"/>
      <c r="N989" s="703"/>
      <c r="O989" s="703"/>
      <c r="P989" s="703"/>
      <c r="Q989" s="703"/>
      <c r="R989" s="703"/>
      <c r="S989" s="703"/>
      <c r="T989" s="703"/>
      <c r="U989" s="703"/>
      <c r="V989" s="703"/>
      <c r="W989" s="703"/>
      <c r="X989" s="703"/>
      <c r="Y989" s="703"/>
      <c r="Z989" s="703"/>
    </row>
    <row r="990">
      <c r="A990" s="703"/>
      <c r="B990" s="703"/>
      <c r="C990" s="703"/>
      <c r="D990" s="703"/>
      <c r="E990" s="703"/>
      <c r="F990" s="703"/>
      <c r="G990" s="703"/>
      <c r="H990" s="703"/>
      <c r="I990" s="703"/>
      <c r="J990" s="703"/>
      <c r="K990" s="703"/>
      <c r="L990" s="703"/>
      <c r="M990" s="703"/>
      <c r="N990" s="703"/>
      <c r="O990" s="703"/>
      <c r="P990" s="703"/>
      <c r="Q990" s="703"/>
      <c r="R990" s="703"/>
      <c r="S990" s="703"/>
      <c r="T990" s="703"/>
      <c r="U990" s="703"/>
      <c r="V990" s="703"/>
      <c r="W990" s="703"/>
      <c r="X990" s="703"/>
      <c r="Y990" s="703"/>
      <c r="Z990" s="703"/>
    </row>
    <row r="991">
      <c r="A991" s="703"/>
      <c r="B991" s="703"/>
      <c r="C991" s="703"/>
      <c r="D991" s="703"/>
      <c r="E991" s="703"/>
      <c r="F991" s="703"/>
      <c r="G991" s="703"/>
      <c r="H991" s="703"/>
      <c r="I991" s="703"/>
      <c r="J991" s="703"/>
      <c r="K991" s="703"/>
      <c r="L991" s="703"/>
      <c r="M991" s="703"/>
      <c r="N991" s="703"/>
      <c r="O991" s="703"/>
      <c r="P991" s="703"/>
      <c r="Q991" s="703"/>
      <c r="R991" s="703"/>
      <c r="S991" s="703"/>
      <c r="T991" s="703"/>
      <c r="U991" s="703"/>
      <c r="V991" s="703"/>
      <c r="W991" s="703"/>
      <c r="X991" s="703"/>
      <c r="Y991" s="703"/>
      <c r="Z991" s="703"/>
    </row>
    <row r="992">
      <c r="A992" s="703"/>
      <c r="B992" s="703"/>
      <c r="C992" s="703"/>
      <c r="D992" s="703"/>
      <c r="E992" s="703"/>
      <c r="F992" s="703"/>
      <c r="G992" s="703"/>
      <c r="H992" s="703"/>
      <c r="I992" s="703"/>
      <c r="J992" s="703"/>
      <c r="K992" s="703"/>
      <c r="L992" s="703"/>
      <c r="M992" s="703"/>
      <c r="N992" s="703"/>
      <c r="O992" s="703"/>
      <c r="P992" s="703"/>
      <c r="Q992" s="703"/>
      <c r="R992" s="703"/>
      <c r="S992" s="703"/>
      <c r="T992" s="703"/>
      <c r="U992" s="703"/>
      <c r="V992" s="703"/>
      <c r="W992" s="703"/>
      <c r="X992" s="703"/>
      <c r="Y992" s="703"/>
      <c r="Z992" s="703"/>
    </row>
    <row r="993">
      <c r="A993" s="703"/>
      <c r="B993" s="703"/>
      <c r="C993" s="703"/>
      <c r="D993" s="703"/>
      <c r="E993" s="703"/>
      <c r="F993" s="703"/>
      <c r="G993" s="703"/>
      <c r="H993" s="703"/>
      <c r="I993" s="703"/>
      <c r="J993" s="703"/>
      <c r="K993" s="703"/>
      <c r="L993" s="703"/>
      <c r="M993" s="703"/>
      <c r="N993" s="703"/>
      <c r="O993" s="703"/>
      <c r="P993" s="703"/>
      <c r="Q993" s="703"/>
      <c r="R993" s="703"/>
      <c r="S993" s="703"/>
      <c r="T993" s="703"/>
      <c r="U993" s="703"/>
      <c r="V993" s="703"/>
      <c r="W993" s="703"/>
      <c r="X993" s="703"/>
      <c r="Y993" s="703"/>
      <c r="Z993" s="703"/>
    </row>
    <row r="994">
      <c r="A994" s="703"/>
      <c r="B994" s="703"/>
      <c r="C994" s="703"/>
      <c r="D994" s="703"/>
      <c r="E994" s="703"/>
      <c r="F994" s="703"/>
      <c r="G994" s="703"/>
      <c r="H994" s="703"/>
      <c r="I994" s="703"/>
      <c r="J994" s="703"/>
      <c r="K994" s="703"/>
      <c r="L994" s="703"/>
      <c r="M994" s="703"/>
      <c r="N994" s="703"/>
      <c r="O994" s="703"/>
      <c r="P994" s="703"/>
      <c r="Q994" s="703"/>
      <c r="R994" s="703"/>
      <c r="S994" s="703"/>
      <c r="T994" s="703"/>
      <c r="U994" s="703"/>
      <c r="V994" s="703"/>
      <c r="W994" s="703"/>
      <c r="X994" s="703"/>
      <c r="Y994" s="703"/>
      <c r="Z994" s="703"/>
    </row>
    <row r="995">
      <c r="A995" s="703"/>
      <c r="B995" s="703"/>
      <c r="C995" s="703"/>
      <c r="D995" s="703"/>
      <c r="E995" s="703"/>
      <c r="F995" s="703"/>
      <c r="G995" s="703"/>
      <c r="H995" s="703"/>
      <c r="I995" s="703"/>
      <c r="J995" s="703"/>
      <c r="K995" s="703"/>
      <c r="L995" s="703"/>
      <c r="M995" s="703"/>
      <c r="N995" s="703"/>
      <c r="O995" s="703"/>
      <c r="P995" s="703"/>
      <c r="Q995" s="703"/>
      <c r="R995" s="703"/>
      <c r="S995" s="703"/>
      <c r="T995" s="703"/>
      <c r="U995" s="703"/>
      <c r="V995" s="703"/>
      <c r="W995" s="703"/>
      <c r="X995" s="703"/>
      <c r="Y995" s="703"/>
      <c r="Z995" s="703"/>
    </row>
    <row r="996">
      <c r="A996" s="703"/>
      <c r="B996" s="703"/>
      <c r="C996" s="703"/>
      <c r="D996" s="703"/>
      <c r="E996" s="703"/>
      <c r="F996" s="703"/>
      <c r="G996" s="703"/>
      <c r="H996" s="703"/>
      <c r="I996" s="703"/>
      <c r="J996" s="703"/>
      <c r="K996" s="703"/>
      <c r="L996" s="703"/>
      <c r="M996" s="703"/>
      <c r="N996" s="703"/>
      <c r="O996" s="703"/>
      <c r="P996" s="703"/>
      <c r="Q996" s="703"/>
      <c r="R996" s="703"/>
      <c r="S996" s="703"/>
      <c r="T996" s="703"/>
      <c r="U996" s="703"/>
      <c r="V996" s="703"/>
      <c r="W996" s="703"/>
      <c r="X996" s="703"/>
      <c r="Y996" s="703"/>
      <c r="Z996" s="703"/>
    </row>
    <row r="997">
      <c r="A997" s="703"/>
      <c r="B997" s="703"/>
      <c r="C997" s="703"/>
      <c r="D997" s="703"/>
      <c r="E997" s="703"/>
      <c r="F997" s="703"/>
      <c r="G997" s="703"/>
      <c r="H997" s="703"/>
      <c r="I997" s="703"/>
      <c r="J997" s="703"/>
      <c r="K997" s="703"/>
      <c r="L997" s="703"/>
      <c r="M997" s="703"/>
      <c r="N997" s="703"/>
      <c r="O997" s="703"/>
      <c r="P997" s="703"/>
      <c r="Q997" s="703"/>
      <c r="R997" s="703"/>
      <c r="S997" s="703"/>
      <c r="T997" s="703"/>
      <c r="U997" s="703"/>
      <c r="V997" s="703"/>
      <c r="W997" s="703"/>
      <c r="X997" s="703"/>
      <c r="Y997" s="703"/>
      <c r="Z997" s="703"/>
    </row>
    <row r="998">
      <c r="A998" s="703"/>
      <c r="B998" s="703"/>
      <c r="C998" s="703"/>
      <c r="D998" s="703"/>
      <c r="E998" s="703"/>
      <c r="F998" s="703"/>
      <c r="G998" s="703"/>
      <c r="H998" s="703"/>
      <c r="I998" s="703"/>
      <c r="J998" s="703"/>
      <c r="K998" s="703"/>
      <c r="L998" s="703"/>
      <c r="M998" s="703"/>
      <c r="N998" s="703"/>
      <c r="O998" s="703"/>
      <c r="P998" s="703"/>
      <c r="Q998" s="703"/>
      <c r="R998" s="703"/>
      <c r="S998" s="703"/>
      <c r="T998" s="703"/>
      <c r="U998" s="703"/>
      <c r="V998" s="703"/>
      <c r="W998" s="703"/>
      <c r="X998" s="703"/>
      <c r="Y998" s="703"/>
      <c r="Z998" s="703"/>
    </row>
    <row r="999">
      <c r="A999" s="703"/>
      <c r="B999" s="703"/>
      <c r="C999" s="703"/>
      <c r="D999" s="703"/>
      <c r="E999" s="703"/>
      <c r="F999" s="703"/>
      <c r="G999" s="703"/>
      <c r="H999" s="703"/>
      <c r="I999" s="703"/>
      <c r="J999" s="703"/>
      <c r="K999" s="703"/>
      <c r="L999" s="703"/>
      <c r="M999" s="703"/>
      <c r="N999" s="703"/>
      <c r="O999" s="703"/>
      <c r="P999" s="703"/>
      <c r="Q999" s="703"/>
      <c r="R999" s="703"/>
      <c r="S999" s="703"/>
      <c r="T999" s="703"/>
      <c r="U999" s="703"/>
      <c r="V999" s="703"/>
      <c r="W999" s="703"/>
      <c r="X999" s="703"/>
      <c r="Y999" s="703"/>
      <c r="Z999" s="703"/>
    </row>
    <row r="1000">
      <c r="A1000" s="703"/>
      <c r="B1000" s="703"/>
      <c r="C1000" s="703"/>
      <c r="D1000" s="703"/>
      <c r="E1000" s="703"/>
      <c r="F1000" s="703"/>
      <c r="G1000" s="703"/>
      <c r="H1000" s="703"/>
      <c r="I1000" s="703"/>
      <c r="J1000" s="703"/>
      <c r="K1000" s="703"/>
      <c r="L1000" s="703"/>
      <c r="M1000" s="703"/>
      <c r="N1000" s="703"/>
      <c r="O1000" s="703"/>
      <c r="P1000" s="703"/>
      <c r="Q1000" s="703"/>
      <c r="R1000" s="703"/>
      <c r="S1000" s="703"/>
      <c r="T1000" s="703"/>
      <c r="U1000" s="703"/>
      <c r="V1000" s="703"/>
      <c r="W1000" s="703"/>
      <c r="X1000" s="703"/>
      <c r="Y1000" s="703"/>
      <c r="Z1000" s="703"/>
    </row>
    <row r="1001">
      <c r="A1001" s="703"/>
      <c r="B1001" s="703"/>
      <c r="C1001" s="703"/>
      <c r="D1001" s="703"/>
      <c r="E1001" s="703"/>
      <c r="F1001" s="703"/>
      <c r="G1001" s="703"/>
      <c r="H1001" s="703"/>
      <c r="I1001" s="703"/>
      <c r="J1001" s="703"/>
      <c r="K1001" s="703"/>
      <c r="L1001" s="703"/>
      <c r="M1001" s="703"/>
      <c r="N1001" s="703"/>
      <c r="O1001" s="703"/>
      <c r="P1001" s="703"/>
      <c r="Q1001" s="703"/>
      <c r="R1001" s="703"/>
      <c r="S1001" s="703"/>
      <c r="T1001" s="703"/>
      <c r="U1001" s="703"/>
      <c r="V1001" s="703"/>
      <c r="W1001" s="703"/>
      <c r="X1001" s="703"/>
      <c r="Y1001" s="703"/>
      <c r="Z1001" s="703"/>
    </row>
  </sheetData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8.0"/>
    <col customWidth="1" min="12" max="12" width="13.25"/>
  </cols>
  <sheetData>
    <row r="1">
      <c r="A1" s="167"/>
      <c r="B1" s="168" t="s">
        <v>65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</row>
    <row r="2">
      <c r="A2" s="978" t="s">
        <v>3473</v>
      </c>
      <c r="B2" s="979" t="s">
        <v>174</v>
      </c>
      <c r="C2" s="979" t="s">
        <v>693</v>
      </c>
      <c r="D2" s="979" t="s">
        <v>694</v>
      </c>
      <c r="E2" s="979" t="s">
        <v>695</v>
      </c>
      <c r="F2" s="979" t="s">
        <v>179</v>
      </c>
      <c r="G2" s="979" t="s">
        <v>696</v>
      </c>
      <c r="H2" s="979" t="s">
        <v>697</v>
      </c>
      <c r="I2" s="979" t="s">
        <v>84</v>
      </c>
      <c r="J2" s="979" t="s">
        <v>698</v>
      </c>
      <c r="K2" s="980" t="s">
        <v>699</v>
      </c>
      <c r="L2" s="981" t="s">
        <v>89</v>
      </c>
      <c r="M2" s="982" t="s">
        <v>700</v>
      </c>
      <c r="N2" s="983" t="s">
        <v>701</v>
      </c>
      <c r="O2" s="983" t="s">
        <v>702</v>
      </c>
      <c r="P2" s="981" t="s">
        <v>90</v>
      </c>
      <c r="Q2" s="984" t="s">
        <v>703</v>
      </c>
    </row>
    <row r="3">
      <c r="A3" s="609" t="s">
        <v>1297</v>
      </c>
      <c r="B3" s="610">
        <f t="array" ref="B3">VLOOKUP($A3,MN_DEMO,2,FALSE)</f>
        <v>15697</v>
      </c>
      <c r="C3" s="611">
        <f>IFERROR(VLOOKUP($A3,'MN Data'!$A$3:$E$83,2,FALSE),"NULL")</f>
        <v>51</v>
      </c>
      <c r="D3" s="612" t="s">
        <v>63</v>
      </c>
      <c r="E3" s="612" t="s">
        <v>63</v>
      </c>
      <c r="F3" s="612" t="s">
        <v>63</v>
      </c>
      <c r="G3" s="612" t="s">
        <v>63</v>
      </c>
      <c r="H3" s="671" t="s">
        <v>63</v>
      </c>
      <c r="I3" s="614" t="s">
        <v>63</v>
      </c>
      <c r="J3" s="615" t="s">
        <v>63</v>
      </c>
      <c r="K3" s="672" t="s">
        <v>63</v>
      </c>
      <c r="L3" s="785" t="s">
        <v>63</v>
      </c>
      <c r="M3" s="949" t="s">
        <v>63</v>
      </c>
      <c r="N3" s="950" t="s">
        <v>63</v>
      </c>
      <c r="O3" s="951" t="s">
        <v>63</v>
      </c>
      <c r="P3" s="952">
        <f>ifna(vlookup(A3,'Population &amp; Church Numbers'!$A$1317:$D$1403,4,FALSE),"NULL")</f>
        <v>23</v>
      </c>
      <c r="Q3" s="674" t="s">
        <v>63</v>
      </c>
    </row>
    <row r="4">
      <c r="A4" s="609" t="s">
        <v>1298</v>
      </c>
      <c r="B4" s="610">
        <f t="array" ref="B4">VLOOKUP($A4,MN_DEMO,2,FALSE)</f>
        <v>363887</v>
      </c>
      <c r="C4" s="611">
        <f>IFERROR(VLOOKUP($A4,'MN Data'!$A$3:$E$83,2,FALSE),"NULL")</f>
        <v>435</v>
      </c>
      <c r="D4" s="612" t="s">
        <v>63</v>
      </c>
      <c r="E4" s="612" t="s">
        <v>63</v>
      </c>
      <c r="F4" s="612" t="s">
        <v>63</v>
      </c>
      <c r="G4" s="612" t="s">
        <v>63</v>
      </c>
      <c r="H4" s="671" t="s">
        <v>63</v>
      </c>
      <c r="I4" s="614" t="s">
        <v>63</v>
      </c>
      <c r="J4" s="615" t="s">
        <v>63</v>
      </c>
      <c r="K4" s="672" t="s">
        <v>63</v>
      </c>
      <c r="L4" s="785" t="s">
        <v>63</v>
      </c>
      <c r="M4" s="704" t="s">
        <v>63</v>
      </c>
      <c r="N4" s="953" t="s">
        <v>63</v>
      </c>
      <c r="O4" s="619" t="s">
        <v>63</v>
      </c>
      <c r="P4" s="952">
        <f>ifna(vlookup(A4,'Population &amp; Church Numbers'!$A$1317:$D$1403,4,FALSE),"NULL")</f>
        <v>127</v>
      </c>
      <c r="Q4" s="674" t="s">
        <v>63</v>
      </c>
    </row>
    <row r="5">
      <c r="A5" s="609" t="s">
        <v>1299</v>
      </c>
      <c r="B5" s="610">
        <f t="array" ref="B5">VLOOKUP($A5,MN_DEMO,2,FALSE)</f>
        <v>35183</v>
      </c>
      <c r="C5" s="611">
        <f>IFERROR(VLOOKUP($A5,'MN Data'!$A$3:$E$83,2,FALSE),"NULL")</f>
        <v>176</v>
      </c>
      <c r="D5" s="612" t="s">
        <v>63</v>
      </c>
      <c r="E5" s="612" t="s">
        <v>63</v>
      </c>
      <c r="F5" s="612" t="s">
        <v>63</v>
      </c>
      <c r="G5" s="612" t="s">
        <v>63</v>
      </c>
      <c r="H5" s="671" t="s">
        <v>63</v>
      </c>
      <c r="I5" s="614" t="s">
        <v>63</v>
      </c>
      <c r="J5" s="615" t="s">
        <v>63</v>
      </c>
      <c r="K5" s="672" t="s">
        <v>63</v>
      </c>
      <c r="L5" s="785" t="s">
        <v>63</v>
      </c>
      <c r="M5" s="704" t="s">
        <v>63</v>
      </c>
      <c r="N5" s="953" t="s">
        <v>63</v>
      </c>
      <c r="O5" s="619" t="s">
        <v>63</v>
      </c>
      <c r="P5" s="952">
        <f>ifna(vlookup(A5,'Population &amp; Church Numbers'!$A$1317:$D$1403,4,FALSE),"NULL")</f>
        <v>51</v>
      </c>
      <c r="Q5" s="674" t="s">
        <v>63</v>
      </c>
    </row>
    <row r="6">
      <c r="A6" s="609" t="s">
        <v>1300</v>
      </c>
      <c r="B6" s="610">
        <f t="array" ref="B6">VLOOKUP($A6,MN_DEMO,2,FALSE)</f>
        <v>46228</v>
      </c>
      <c r="C6" s="611">
        <f>IFERROR(VLOOKUP($A6,'MN Data'!$A$3:$E$83,2,FALSE),"NULL")</f>
        <v>775</v>
      </c>
      <c r="D6" s="612" t="s">
        <v>63</v>
      </c>
      <c r="E6" s="612" t="s">
        <v>63</v>
      </c>
      <c r="F6" s="612" t="s">
        <v>63</v>
      </c>
      <c r="G6" s="612" t="s">
        <v>63</v>
      </c>
      <c r="H6" s="671" t="s">
        <v>63</v>
      </c>
      <c r="I6" s="614" t="s">
        <v>63</v>
      </c>
      <c r="J6" s="615" t="s">
        <v>63</v>
      </c>
      <c r="K6" s="672" t="s">
        <v>63</v>
      </c>
      <c r="L6" s="785" t="s">
        <v>63</v>
      </c>
      <c r="M6" s="704" t="s">
        <v>63</v>
      </c>
      <c r="N6" s="953" t="s">
        <v>63</v>
      </c>
      <c r="O6" s="619" t="s">
        <v>63</v>
      </c>
      <c r="P6" s="952">
        <f>ifna(vlookup(A6,'Population &amp; Church Numbers'!$A$1317:$D$1403,4,FALSE),"NULL")</f>
        <v>45</v>
      </c>
      <c r="Q6" s="674" t="s">
        <v>63</v>
      </c>
    </row>
    <row r="7">
      <c r="A7" s="609" t="s">
        <v>243</v>
      </c>
      <c r="B7" s="610">
        <f t="array" ref="B7">VLOOKUP($A7,MN_DEMO,2,FALSE)</f>
        <v>41379</v>
      </c>
      <c r="C7" s="611">
        <f>IFERROR(VLOOKUP($A7,'MN Data'!$A$3:$E$83,2,FALSE),"NULL")</f>
        <v>103</v>
      </c>
      <c r="D7" s="612" t="s">
        <v>63</v>
      </c>
      <c r="E7" s="612" t="s">
        <v>63</v>
      </c>
      <c r="F7" s="612" t="s">
        <v>63</v>
      </c>
      <c r="G7" s="612" t="s">
        <v>63</v>
      </c>
      <c r="H7" s="671" t="s">
        <v>63</v>
      </c>
      <c r="I7" s="614" t="s">
        <v>63</v>
      </c>
      <c r="J7" s="615" t="s">
        <v>63</v>
      </c>
      <c r="K7" s="672" t="s">
        <v>63</v>
      </c>
      <c r="L7" s="785" t="s">
        <v>63</v>
      </c>
      <c r="M7" s="704" t="s">
        <v>63</v>
      </c>
      <c r="N7" s="953" t="s">
        <v>63</v>
      </c>
      <c r="O7" s="619" t="s">
        <v>63</v>
      </c>
      <c r="P7" s="952">
        <f>ifna(vlookup(A7,'Population &amp; Church Numbers'!$A$1317:$D$1403,4,FALSE),"NULL")</f>
        <v>29</v>
      </c>
      <c r="Q7" s="674" t="s">
        <v>63</v>
      </c>
    </row>
    <row r="8">
      <c r="A8" s="609" t="s">
        <v>1301</v>
      </c>
      <c r="B8" s="610">
        <f t="array" ref="B8">VLOOKUP($A8,MN_DEMO,2,FALSE)</f>
        <v>5166</v>
      </c>
      <c r="C8" s="611">
        <f>IFERROR(VLOOKUP($A8,'MN Data'!$A$3:$E$83,2,FALSE),"NULL")</f>
        <v>13</v>
      </c>
      <c r="D8" s="612" t="s">
        <v>63</v>
      </c>
      <c r="E8" s="612" t="s">
        <v>63</v>
      </c>
      <c r="F8" s="612" t="s">
        <v>63</v>
      </c>
      <c r="G8" s="612" t="s">
        <v>63</v>
      </c>
      <c r="H8" s="671" t="s">
        <v>63</v>
      </c>
      <c r="I8" s="614" t="s">
        <v>63</v>
      </c>
      <c r="J8" s="615" t="s">
        <v>63</v>
      </c>
      <c r="K8" s="672" t="s">
        <v>63</v>
      </c>
      <c r="L8" s="785" t="s">
        <v>63</v>
      </c>
      <c r="M8" s="704" t="s">
        <v>63</v>
      </c>
      <c r="N8" s="953" t="s">
        <v>63</v>
      </c>
      <c r="O8" s="619" t="s">
        <v>63</v>
      </c>
      <c r="P8" s="952">
        <f>ifna(vlookup(A8,'Population &amp; Church Numbers'!$A$1317:$D$1403,4,FALSE),"NULL")</f>
        <v>11</v>
      </c>
      <c r="Q8" s="674" t="s">
        <v>63</v>
      </c>
    </row>
    <row r="9">
      <c r="A9" s="609" t="s">
        <v>1302</v>
      </c>
      <c r="B9" s="610">
        <f t="array" ref="B9">VLOOKUP($A9,MN_DEMO,2,FALSE)</f>
        <v>69112</v>
      </c>
      <c r="C9" s="611">
        <f>IFERROR(VLOOKUP($A9,'MN Data'!$A$3:$E$83,2,FALSE),"NULL")</f>
        <v>163</v>
      </c>
      <c r="D9" s="612" t="s">
        <v>63</v>
      </c>
      <c r="E9" s="612" t="s">
        <v>63</v>
      </c>
      <c r="F9" s="612" t="s">
        <v>63</v>
      </c>
      <c r="G9" s="612" t="s">
        <v>63</v>
      </c>
      <c r="H9" s="671" t="s">
        <v>63</v>
      </c>
      <c r="I9" s="614" t="s">
        <v>63</v>
      </c>
      <c r="J9" s="615" t="s">
        <v>63</v>
      </c>
      <c r="K9" s="672" t="s">
        <v>63</v>
      </c>
      <c r="L9" s="785" t="s">
        <v>63</v>
      </c>
      <c r="M9" s="704" t="s">
        <v>63</v>
      </c>
      <c r="N9" s="953" t="s">
        <v>63</v>
      </c>
      <c r="O9" s="619" t="s">
        <v>63</v>
      </c>
      <c r="P9" s="952">
        <f>ifna(vlookup(A9,'Population &amp; Church Numbers'!$A$1317:$D$1403,4,FALSE),"NULL")</f>
        <v>66</v>
      </c>
      <c r="Q9" s="674" t="s">
        <v>63</v>
      </c>
    </row>
    <row r="10">
      <c r="A10" s="609" t="s">
        <v>706</v>
      </c>
      <c r="B10" s="610">
        <f t="array" ref="B10">VLOOKUP($A10,MN_DEMO,2,FALSE)</f>
        <v>25912</v>
      </c>
      <c r="C10" s="611">
        <f>IFERROR(VLOOKUP($A10,'MN Data'!$A$3:$E$83,2,FALSE),"NULL")</f>
        <v>67</v>
      </c>
      <c r="D10" s="612" t="s">
        <v>63</v>
      </c>
      <c r="E10" s="612" t="s">
        <v>63</v>
      </c>
      <c r="F10" s="612" t="s">
        <v>63</v>
      </c>
      <c r="G10" s="612" t="s">
        <v>63</v>
      </c>
      <c r="H10" s="671" t="s">
        <v>63</v>
      </c>
      <c r="I10" s="614" t="s">
        <v>63</v>
      </c>
      <c r="J10" s="615" t="s">
        <v>63</v>
      </c>
      <c r="K10" s="672" t="s">
        <v>63</v>
      </c>
      <c r="L10" s="785" t="s">
        <v>63</v>
      </c>
      <c r="M10" s="704" t="s">
        <v>63</v>
      </c>
      <c r="N10" s="953" t="s">
        <v>63</v>
      </c>
      <c r="O10" s="619" t="s">
        <v>63</v>
      </c>
      <c r="P10" s="952">
        <f>ifna(vlookup(A10,'Population &amp; Church Numbers'!$A$1317:$D$1403,4,FALSE),"NULL")</f>
        <v>38</v>
      </c>
      <c r="Q10" s="674" t="s">
        <v>63</v>
      </c>
    </row>
    <row r="11">
      <c r="A11" s="609" t="s">
        <v>1303</v>
      </c>
      <c r="B11" s="610">
        <f t="array" ref="B11">VLOOKUP($A11,MN_DEMO,2,FALSE)</f>
        <v>36207</v>
      </c>
      <c r="C11" s="611">
        <f>IFERROR(VLOOKUP($A11,'MN Data'!$A$3:$E$83,2,FALSE),"NULL")</f>
        <v>120</v>
      </c>
      <c r="D11" s="612" t="s">
        <v>63</v>
      </c>
      <c r="E11" s="612" t="s">
        <v>63</v>
      </c>
      <c r="F11" s="612" t="s">
        <v>63</v>
      </c>
      <c r="G11" s="612" t="s">
        <v>63</v>
      </c>
      <c r="H11" s="671" t="s">
        <v>63</v>
      </c>
      <c r="I11" s="614" t="s">
        <v>63</v>
      </c>
      <c r="J11" s="615" t="s">
        <v>63</v>
      </c>
      <c r="K11" s="672" t="s">
        <v>63</v>
      </c>
      <c r="L11" s="785" t="s">
        <v>63</v>
      </c>
      <c r="M11" s="704" t="s">
        <v>63</v>
      </c>
      <c r="N11" s="953" t="s">
        <v>63</v>
      </c>
      <c r="O11" s="619" t="s">
        <v>63</v>
      </c>
      <c r="P11" s="952">
        <f>ifna(vlookup(A11,'Population &amp; Church Numbers'!$A$1317:$D$1403,4,FALSE),"NULL")</f>
        <v>39</v>
      </c>
      <c r="Q11" s="674" t="s">
        <v>63</v>
      </c>
    </row>
    <row r="12">
      <c r="A12" s="609" t="s">
        <v>1304</v>
      </c>
      <c r="B12" s="610">
        <f t="array" ref="B12">VLOOKUP($A12,MN_DEMO,2,FALSE)</f>
        <v>106922</v>
      </c>
      <c r="C12" s="611">
        <f>IFERROR(VLOOKUP($A12,'MN Data'!$A$3:$E$83,2,FALSE),"NULL")</f>
        <v>157</v>
      </c>
      <c r="D12" s="612" t="s">
        <v>63</v>
      </c>
      <c r="E12" s="612" t="s">
        <v>63</v>
      </c>
      <c r="F12" s="612" t="s">
        <v>63</v>
      </c>
      <c r="G12" s="612" t="s">
        <v>63</v>
      </c>
      <c r="H12" s="671" t="s">
        <v>63</v>
      </c>
      <c r="I12" s="614" t="s">
        <v>63</v>
      </c>
      <c r="J12" s="615" t="s">
        <v>63</v>
      </c>
      <c r="K12" s="672" t="s">
        <v>63</v>
      </c>
      <c r="L12" s="785" t="s">
        <v>63</v>
      </c>
      <c r="M12" s="704" t="s">
        <v>63</v>
      </c>
      <c r="N12" s="953" t="s">
        <v>63</v>
      </c>
      <c r="O12" s="619" t="s">
        <v>63</v>
      </c>
      <c r="P12" s="952">
        <f>ifna(vlookup(A12,'Population &amp; Church Numbers'!$A$1317:$D$1403,4,FALSE),"NULL")</f>
        <v>55</v>
      </c>
      <c r="Q12" s="674" t="s">
        <v>63</v>
      </c>
    </row>
    <row r="13">
      <c r="A13" s="609" t="s">
        <v>708</v>
      </c>
      <c r="B13" s="610">
        <f t="array" ref="B13">VLOOKUP($A13,MN_DEMO,2,FALSE)</f>
        <v>30066</v>
      </c>
      <c r="C13" s="611">
        <f>IFERROR(VLOOKUP($A13,'MN Data'!$A$3:$E$83,2,FALSE),"NULL")</f>
        <v>120</v>
      </c>
      <c r="D13" s="612" t="s">
        <v>63</v>
      </c>
      <c r="E13" s="612" t="s">
        <v>63</v>
      </c>
      <c r="F13" s="612" t="s">
        <v>63</v>
      </c>
      <c r="G13" s="612" t="s">
        <v>63</v>
      </c>
      <c r="H13" s="671" t="s">
        <v>63</v>
      </c>
      <c r="I13" s="614" t="s">
        <v>63</v>
      </c>
      <c r="J13" s="615" t="s">
        <v>63</v>
      </c>
      <c r="K13" s="672" t="s">
        <v>63</v>
      </c>
      <c r="L13" s="785" t="s">
        <v>63</v>
      </c>
      <c r="M13" s="704" t="s">
        <v>63</v>
      </c>
      <c r="N13" s="953" t="s">
        <v>63</v>
      </c>
      <c r="O13" s="619" t="s">
        <v>63</v>
      </c>
      <c r="P13" s="952">
        <f>ifna(vlookup(A13,'Population &amp; Church Numbers'!$A$1317:$D$1403,4,FALSE),"NULL")</f>
        <v>50</v>
      </c>
      <c r="Q13" s="674" t="s">
        <v>63</v>
      </c>
    </row>
    <row r="14">
      <c r="A14" s="609" t="s">
        <v>1245</v>
      </c>
      <c r="B14" s="610">
        <f t="array" ref="B14">VLOOKUP($A14,MN_DEMO,2,FALSE)</f>
        <v>12598</v>
      </c>
      <c r="C14" s="611">
        <f>IFERROR(VLOOKUP($A14,'MN Data'!$A$3:$E$83,2,FALSE),"NULL")</f>
        <v>47</v>
      </c>
      <c r="D14" s="612" t="s">
        <v>63</v>
      </c>
      <c r="E14" s="612" t="s">
        <v>63</v>
      </c>
      <c r="F14" s="612" t="s">
        <v>63</v>
      </c>
      <c r="G14" s="612" t="s">
        <v>63</v>
      </c>
      <c r="H14" s="671" t="s">
        <v>63</v>
      </c>
      <c r="I14" s="614" t="s">
        <v>63</v>
      </c>
      <c r="J14" s="615" t="s">
        <v>63</v>
      </c>
      <c r="K14" s="672" t="s">
        <v>63</v>
      </c>
      <c r="L14" s="785" t="s">
        <v>63</v>
      </c>
      <c r="M14" s="704" t="s">
        <v>63</v>
      </c>
      <c r="N14" s="953" t="s">
        <v>63</v>
      </c>
      <c r="O14" s="619" t="s">
        <v>63</v>
      </c>
      <c r="P14" s="952">
        <f>ifna(vlookup(A14,'Population &amp; Church Numbers'!$A$1317:$D$1403,4,FALSE),"NULL")</f>
        <v>28</v>
      </c>
      <c r="Q14" s="674" t="s">
        <v>63</v>
      </c>
    </row>
    <row r="15">
      <c r="A15" s="609" t="s">
        <v>1305</v>
      </c>
      <c r="B15" s="610">
        <f t="array" ref="B15">VLOOKUP($A15,MN_DEMO,2,FALSE)</f>
        <v>56621</v>
      </c>
      <c r="C15" s="611">
        <f>IFERROR(VLOOKUP($A15,'MN Data'!$A$3:$E$83,2,FALSE),"NULL")</f>
        <v>103</v>
      </c>
      <c r="D15" s="612" t="s">
        <v>63</v>
      </c>
      <c r="E15" s="612" t="s">
        <v>63</v>
      </c>
      <c r="F15" s="612" t="s">
        <v>63</v>
      </c>
      <c r="G15" s="612" t="s">
        <v>63</v>
      </c>
      <c r="H15" s="671" t="s">
        <v>63</v>
      </c>
      <c r="I15" s="614" t="s">
        <v>63</v>
      </c>
      <c r="J15" s="615" t="s">
        <v>63</v>
      </c>
      <c r="K15" s="672" t="s">
        <v>63</v>
      </c>
      <c r="L15" s="785" t="s">
        <v>63</v>
      </c>
      <c r="M15" s="704" t="s">
        <v>63</v>
      </c>
      <c r="N15" s="953" t="s">
        <v>63</v>
      </c>
      <c r="O15" s="619" t="s">
        <v>63</v>
      </c>
      <c r="P15" s="952">
        <f>ifna(vlookup(A15,'Population &amp; Church Numbers'!$A$1317:$D$1403,4,FALSE),"NULL")</f>
        <v>44</v>
      </c>
      <c r="Q15" s="674" t="s">
        <v>63</v>
      </c>
    </row>
    <row r="16">
      <c r="A16" s="609" t="s">
        <v>112</v>
      </c>
      <c r="B16" s="610">
        <f t="array" ref="B16">VLOOKUP($A16,MN_DEMO,2,FALSE)</f>
        <v>65318</v>
      </c>
      <c r="C16" s="611">
        <f>IFERROR(VLOOKUP($A16,'MN Data'!$A$3:$E$83,2,FALSE),"NULL")</f>
        <v>228</v>
      </c>
      <c r="D16" s="612" t="s">
        <v>63</v>
      </c>
      <c r="E16" s="612" t="s">
        <v>63</v>
      </c>
      <c r="F16" s="612" t="s">
        <v>63</v>
      </c>
      <c r="G16" s="612" t="s">
        <v>63</v>
      </c>
      <c r="H16" s="671" t="s">
        <v>63</v>
      </c>
      <c r="I16" s="614" t="s">
        <v>63</v>
      </c>
      <c r="J16" s="615" t="s">
        <v>63</v>
      </c>
      <c r="K16" s="672" t="s">
        <v>63</v>
      </c>
      <c r="L16" s="785" t="s">
        <v>63</v>
      </c>
      <c r="M16" s="704" t="s">
        <v>63</v>
      </c>
      <c r="N16" s="953" t="s">
        <v>63</v>
      </c>
      <c r="O16" s="619" t="s">
        <v>63</v>
      </c>
      <c r="P16" s="952">
        <f>ifna(vlookup(A16,'Population &amp; Church Numbers'!$A$1317:$D$1403,4,FALSE),"NULL")</f>
        <v>55</v>
      </c>
      <c r="Q16" s="674" t="s">
        <v>63</v>
      </c>
    </row>
    <row r="17">
      <c r="A17" s="609" t="s">
        <v>675</v>
      </c>
      <c r="B17" s="610">
        <f t="array" ref="B17">VLOOKUP($A17,MN_DEMO,2,FALSE)</f>
        <v>8524</v>
      </c>
      <c r="C17" s="611">
        <f>IFERROR(VLOOKUP($A17,'MN Data'!$A$3:$E$83,2,FALSE),"NULL")</f>
        <v>47</v>
      </c>
      <c r="D17" s="612" t="s">
        <v>63</v>
      </c>
      <c r="E17" s="612" t="s">
        <v>63</v>
      </c>
      <c r="F17" s="612" t="s">
        <v>63</v>
      </c>
      <c r="G17" s="612" t="s">
        <v>63</v>
      </c>
      <c r="H17" s="671" t="s">
        <v>63</v>
      </c>
      <c r="I17" s="614" t="s">
        <v>63</v>
      </c>
      <c r="J17" s="615" t="s">
        <v>63</v>
      </c>
      <c r="K17" s="672" t="s">
        <v>63</v>
      </c>
      <c r="L17" s="785" t="s">
        <v>63</v>
      </c>
      <c r="M17" s="704" t="s">
        <v>63</v>
      </c>
      <c r="N17" s="953" t="s">
        <v>63</v>
      </c>
      <c r="O17" s="619" t="s">
        <v>63</v>
      </c>
      <c r="P17" s="952">
        <f>ifna(vlookup(A17,'Population &amp; Church Numbers'!$A$1317:$D$1403,4,FALSE),"NULL")</f>
        <v>27</v>
      </c>
      <c r="Q17" s="674" t="s">
        <v>63</v>
      </c>
    </row>
    <row r="18">
      <c r="A18" s="609" t="s">
        <v>202</v>
      </c>
      <c r="B18" s="610">
        <f t="array" ref="B18">VLOOKUP($A18,MN_DEMO,2,FALSE)</f>
        <v>5600</v>
      </c>
      <c r="C18" s="611">
        <f>IFERROR(VLOOKUP($A18,'MN Data'!$A$3:$E$83,2,FALSE),"NULL")</f>
        <v>8</v>
      </c>
      <c r="D18" s="612" t="s">
        <v>63</v>
      </c>
      <c r="E18" s="612" t="s">
        <v>63</v>
      </c>
      <c r="F18" s="612" t="s">
        <v>63</v>
      </c>
      <c r="G18" s="612" t="s">
        <v>63</v>
      </c>
      <c r="H18" s="671" t="s">
        <v>63</v>
      </c>
      <c r="I18" s="614" t="s">
        <v>63</v>
      </c>
      <c r="J18" s="615" t="s">
        <v>63</v>
      </c>
      <c r="K18" s="672" t="s">
        <v>63</v>
      </c>
      <c r="L18" s="785" t="s">
        <v>63</v>
      </c>
      <c r="M18" s="704" t="s">
        <v>63</v>
      </c>
      <c r="N18" s="953" t="s">
        <v>63</v>
      </c>
      <c r="O18" s="619" t="s">
        <v>63</v>
      </c>
      <c r="P18" s="952">
        <f>ifna(vlookup(A18,'Population &amp; Church Numbers'!$A$1317:$D$1403,4,FALSE),"NULL")</f>
        <v>9</v>
      </c>
      <c r="Q18" s="674" t="s">
        <v>63</v>
      </c>
    </row>
    <row r="19">
      <c r="A19" s="609" t="s">
        <v>1306</v>
      </c>
      <c r="B19" s="610">
        <f t="array" ref="B19">VLOOKUP($A19,MN_DEMO,2,FALSE)</f>
        <v>11517</v>
      </c>
      <c r="C19" s="611" t="str">
        <f>IFERROR(VLOOKUP($A19,'MN Data'!$A$3:$E$83,2,FALSE),"NULL")</f>
        <v>NULL</v>
      </c>
      <c r="D19" s="612" t="s">
        <v>63</v>
      </c>
      <c r="E19" s="612" t="s">
        <v>63</v>
      </c>
      <c r="F19" s="612" t="s">
        <v>63</v>
      </c>
      <c r="G19" s="612" t="s">
        <v>63</v>
      </c>
      <c r="H19" s="671" t="s">
        <v>63</v>
      </c>
      <c r="I19" s="614" t="s">
        <v>63</v>
      </c>
      <c r="J19" s="615" t="s">
        <v>63</v>
      </c>
      <c r="K19" s="672" t="s">
        <v>63</v>
      </c>
      <c r="L19" s="785" t="s">
        <v>63</v>
      </c>
      <c r="M19" s="704" t="s">
        <v>63</v>
      </c>
      <c r="N19" s="953" t="s">
        <v>63</v>
      </c>
      <c r="O19" s="619" t="s">
        <v>63</v>
      </c>
      <c r="P19" s="952">
        <f>ifna(vlookup(A19,'Population &amp; Church Numbers'!$A$1317:$D$1403,4,FALSE),"NULL")</f>
        <v>28</v>
      </c>
      <c r="Q19" s="674" t="s">
        <v>63</v>
      </c>
    </row>
    <row r="20">
      <c r="A20" s="609" t="s">
        <v>1307</v>
      </c>
      <c r="B20" s="610">
        <f t="array" ref="B20">VLOOKUP($A20,MN_DEMO,2,FALSE)</f>
        <v>66123</v>
      </c>
      <c r="C20" s="611">
        <f>IFERROR(VLOOKUP($A20,'MN Data'!$A$3:$E$83,2,FALSE),"NULL")</f>
        <v>201</v>
      </c>
      <c r="D20" s="612" t="s">
        <v>63</v>
      </c>
      <c r="E20" s="612" t="s">
        <v>63</v>
      </c>
      <c r="F20" s="612" t="s">
        <v>63</v>
      </c>
      <c r="G20" s="612" t="s">
        <v>63</v>
      </c>
      <c r="H20" s="671" t="s">
        <v>63</v>
      </c>
      <c r="I20" s="614" t="s">
        <v>63</v>
      </c>
      <c r="J20" s="615" t="s">
        <v>63</v>
      </c>
      <c r="K20" s="672" t="s">
        <v>63</v>
      </c>
      <c r="L20" s="785" t="s">
        <v>63</v>
      </c>
      <c r="M20" s="704" t="s">
        <v>63</v>
      </c>
      <c r="N20" s="953" t="s">
        <v>63</v>
      </c>
      <c r="O20" s="619" t="s">
        <v>63</v>
      </c>
      <c r="P20" s="952">
        <f>ifna(vlookup(A20,'Population &amp; Church Numbers'!$A$1317:$D$1403,4,FALSE),"NULL")</f>
        <v>67</v>
      </c>
      <c r="Q20" s="674" t="s">
        <v>63</v>
      </c>
    </row>
    <row r="21">
      <c r="A21" s="609" t="s">
        <v>1308</v>
      </c>
      <c r="B21" s="610">
        <f t="array" ref="B21">VLOOKUP($A21,MN_DEMO,2,FALSE)</f>
        <v>439882</v>
      </c>
      <c r="C21" s="611">
        <f>IFERROR(VLOOKUP($A21,'MN Data'!$A$3:$E$83,2,FALSE),"NULL")</f>
        <v>322</v>
      </c>
      <c r="D21" s="612" t="s">
        <v>63</v>
      </c>
      <c r="E21" s="612" t="s">
        <v>63</v>
      </c>
      <c r="F21" s="612" t="s">
        <v>63</v>
      </c>
      <c r="G21" s="612" t="s">
        <v>63</v>
      </c>
      <c r="H21" s="671" t="s">
        <v>63</v>
      </c>
      <c r="I21" s="614" t="s">
        <v>63</v>
      </c>
      <c r="J21" s="615" t="s">
        <v>63</v>
      </c>
      <c r="K21" s="672" t="s">
        <v>63</v>
      </c>
      <c r="L21" s="785" t="s">
        <v>63</v>
      </c>
      <c r="M21" s="704" t="s">
        <v>63</v>
      </c>
      <c r="N21" s="953" t="s">
        <v>63</v>
      </c>
      <c r="O21" s="619" t="s">
        <v>63</v>
      </c>
      <c r="P21" s="952">
        <f>ifna(vlookup(A21,'Population &amp; Church Numbers'!$A$1317:$D$1403,4,FALSE),"NULL")</f>
        <v>175</v>
      </c>
      <c r="Q21" s="674" t="s">
        <v>63</v>
      </c>
    </row>
    <row r="22">
      <c r="A22" s="609" t="s">
        <v>564</v>
      </c>
      <c r="B22" s="610">
        <f t="array" ref="B22">VLOOKUP($A22,MN_DEMO,2,FALSE)</f>
        <v>20867</v>
      </c>
      <c r="C22" s="611" t="str">
        <f>IFERROR(VLOOKUP($A22,'MN Data'!$A$3:$E$83,2,FALSE),"NULL")</f>
        <v>NULL</v>
      </c>
      <c r="D22" s="612" t="s">
        <v>63</v>
      </c>
      <c r="E22" s="612" t="s">
        <v>63</v>
      </c>
      <c r="F22" s="612" t="s">
        <v>63</v>
      </c>
      <c r="G22" s="612" t="s">
        <v>63</v>
      </c>
      <c r="H22" s="671" t="s">
        <v>63</v>
      </c>
      <c r="I22" s="614" t="s">
        <v>63</v>
      </c>
      <c r="J22" s="615" t="s">
        <v>63</v>
      </c>
      <c r="K22" s="672" t="s">
        <v>63</v>
      </c>
      <c r="L22" s="785" t="s">
        <v>63</v>
      </c>
      <c r="M22" s="704" t="s">
        <v>63</v>
      </c>
      <c r="N22" s="953" t="s">
        <v>63</v>
      </c>
      <c r="O22" s="619" t="s">
        <v>63</v>
      </c>
      <c r="P22" s="952">
        <f>ifna(vlookup(A22,'Population &amp; Church Numbers'!$A$1317:$D$1403,4,FALSE),"NULL")</f>
        <v>28</v>
      </c>
      <c r="Q22" s="674" t="s">
        <v>63</v>
      </c>
    </row>
    <row r="23">
      <c r="A23" s="609" t="s">
        <v>412</v>
      </c>
      <c r="B23" s="610">
        <f t="array" ref="B23">VLOOKUP($A23,MN_DEMO,2,FALSE)</f>
        <v>39006</v>
      </c>
      <c r="C23" s="611">
        <f>IFERROR(VLOOKUP($A23,'MN Data'!$A$3:$E$83,2,FALSE),"NULL")</f>
        <v>68</v>
      </c>
      <c r="D23" s="612" t="s">
        <v>63</v>
      </c>
      <c r="E23" s="612" t="s">
        <v>63</v>
      </c>
      <c r="F23" s="612" t="s">
        <v>63</v>
      </c>
      <c r="G23" s="612" t="s">
        <v>63</v>
      </c>
      <c r="H23" s="671" t="s">
        <v>63</v>
      </c>
      <c r="I23" s="614" t="s">
        <v>63</v>
      </c>
      <c r="J23" s="615" t="s">
        <v>63</v>
      </c>
      <c r="K23" s="672" t="s">
        <v>63</v>
      </c>
      <c r="L23" s="785" t="s">
        <v>63</v>
      </c>
      <c r="M23" s="704" t="s">
        <v>63</v>
      </c>
      <c r="N23" s="953" t="s">
        <v>63</v>
      </c>
      <c r="O23" s="619" t="s">
        <v>63</v>
      </c>
      <c r="P23" s="952">
        <f>ifna(vlookup(A23,'Population &amp; Church Numbers'!$A$1317:$D$1403,4,FALSE),"NULL")</f>
        <v>44</v>
      </c>
      <c r="Q23" s="674" t="s">
        <v>63</v>
      </c>
    </row>
    <row r="24">
      <c r="A24" s="609" t="s">
        <v>1309</v>
      </c>
      <c r="B24" s="610">
        <f t="array" ref="B24">VLOOKUP($A24,MN_DEMO,2,FALSE)</f>
        <v>13921</v>
      </c>
      <c r="C24" s="611" t="str">
        <f>IFERROR(VLOOKUP($A24,'MN Data'!$A$3:$E$83,2,FALSE),"NULL")</f>
        <v>NULL</v>
      </c>
      <c r="D24" s="612" t="s">
        <v>63</v>
      </c>
      <c r="E24" s="612" t="s">
        <v>63</v>
      </c>
      <c r="F24" s="612" t="s">
        <v>63</v>
      </c>
      <c r="G24" s="612" t="s">
        <v>63</v>
      </c>
      <c r="H24" s="671" t="s">
        <v>63</v>
      </c>
      <c r="I24" s="614" t="s">
        <v>63</v>
      </c>
      <c r="J24" s="615" t="s">
        <v>63</v>
      </c>
      <c r="K24" s="672" t="s">
        <v>63</v>
      </c>
      <c r="L24" s="785" t="s">
        <v>63</v>
      </c>
      <c r="M24" s="704" t="s">
        <v>63</v>
      </c>
      <c r="N24" s="953" t="s">
        <v>63</v>
      </c>
      <c r="O24" s="619" t="s">
        <v>63</v>
      </c>
      <c r="P24" s="952">
        <f>ifna(vlookup(A24,'Population &amp; Church Numbers'!$A$1317:$D$1403,4,FALSE),"NULL")</f>
        <v>39</v>
      </c>
      <c r="Q24" s="674" t="s">
        <v>63</v>
      </c>
    </row>
    <row r="25">
      <c r="A25" s="609" t="s">
        <v>1310</v>
      </c>
      <c r="B25" s="610">
        <f t="array" ref="B25">VLOOKUP($A25,MN_DEMO,2,FALSE)</f>
        <v>21228</v>
      </c>
      <c r="C25" s="611">
        <f>IFERROR(VLOOKUP($A25,'MN Data'!$A$3:$E$83,2,FALSE),"NULL")</f>
        <v>19</v>
      </c>
      <c r="D25" s="612" t="s">
        <v>63</v>
      </c>
      <c r="E25" s="612" t="s">
        <v>63</v>
      </c>
      <c r="F25" s="612" t="s">
        <v>63</v>
      </c>
      <c r="G25" s="612" t="s">
        <v>63</v>
      </c>
      <c r="H25" s="671" t="s">
        <v>63</v>
      </c>
      <c r="I25" s="614" t="s">
        <v>63</v>
      </c>
      <c r="J25" s="615" t="s">
        <v>63</v>
      </c>
      <c r="K25" s="672" t="s">
        <v>63</v>
      </c>
      <c r="L25" s="785" t="s">
        <v>63</v>
      </c>
      <c r="M25" s="704" t="s">
        <v>63</v>
      </c>
      <c r="N25" s="953" t="s">
        <v>63</v>
      </c>
      <c r="O25" s="619" t="s">
        <v>63</v>
      </c>
      <c r="P25" s="952">
        <f>ifna(vlookup(A25,'Population &amp; Church Numbers'!$A$1317:$D$1403,4,FALSE),"NULL")</f>
        <v>54</v>
      </c>
      <c r="Q25" s="674" t="s">
        <v>63</v>
      </c>
    </row>
    <row r="26">
      <c r="A26" s="609" t="s">
        <v>1311</v>
      </c>
      <c r="B26" s="610">
        <f t="array" ref="B26">VLOOKUP($A26,MN_DEMO,2,FALSE)</f>
        <v>30895</v>
      </c>
      <c r="C26" s="611">
        <f>IFERROR(VLOOKUP($A26,'MN Data'!$A$3:$E$83,2,FALSE),"NULL")</f>
        <v>124</v>
      </c>
      <c r="D26" s="612" t="s">
        <v>63</v>
      </c>
      <c r="E26" s="612" t="s">
        <v>63</v>
      </c>
      <c r="F26" s="612" t="s">
        <v>63</v>
      </c>
      <c r="G26" s="612" t="s">
        <v>63</v>
      </c>
      <c r="H26" s="671" t="s">
        <v>63</v>
      </c>
      <c r="I26" s="614" t="s">
        <v>63</v>
      </c>
      <c r="J26" s="615" t="s">
        <v>63</v>
      </c>
      <c r="K26" s="672" t="s">
        <v>63</v>
      </c>
      <c r="L26" s="785" t="s">
        <v>63</v>
      </c>
      <c r="M26" s="704" t="s">
        <v>63</v>
      </c>
      <c r="N26" s="953" t="s">
        <v>63</v>
      </c>
      <c r="O26" s="619" t="s">
        <v>63</v>
      </c>
      <c r="P26" s="952">
        <f>ifna(vlookup(A26,'Population &amp; Church Numbers'!$A$1317:$D$1403,4,FALSE),"NULL")</f>
        <v>50</v>
      </c>
      <c r="Q26" s="674" t="s">
        <v>63</v>
      </c>
    </row>
    <row r="27">
      <c r="A27" s="609" t="s">
        <v>1312</v>
      </c>
      <c r="B27" s="610">
        <f t="array" ref="B27">VLOOKUP($A27,MN_DEMO,2,FALSE)</f>
        <v>47582</v>
      </c>
      <c r="C27" s="611">
        <f>IFERROR(VLOOKUP($A27,'MN Data'!$A$3:$E$83,2,FALSE),"NULL")</f>
        <v>95</v>
      </c>
      <c r="D27" s="612" t="s">
        <v>63</v>
      </c>
      <c r="E27" s="612" t="s">
        <v>63</v>
      </c>
      <c r="F27" s="612" t="s">
        <v>63</v>
      </c>
      <c r="G27" s="612" t="s">
        <v>63</v>
      </c>
      <c r="H27" s="671" t="s">
        <v>63</v>
      </c>
      <c r="I27" s="614" t="s">
        <v>63</v>
      </c>
      <c r="J27" s="615" t="s">
        <v>63</v>
      </c>
      <c r="K27" s="672" t="s">
        <v>63</v>
      </c>
      <c r="L27" s="785" t="s">
        <v>63</v>
      </c>
      <c r="M27" s="704" t="s">
        <v>63</v>
      </c>
      <c r="N27" s="953" t="s">
        <v>63</v>
      </c>
      <c r="O27" s="619" t="s">
        <v>63</v>
      </c>
      <c r="P27" s="952">
        <f>ifna(vlookup(A27,'Population &amp; Church Numbers'!$A$1317:$D$1403,4,FALSE),"NULL")</f>
        <v>76</v>
      </c>
      <c r="Q27" s="674" t="s">
        <v>63</v>
      </c>
    </row>
    <row r="28">
      <c r="A28" s="609" t="s">
        <v>278</v>
      </c>
      <c r="B28" s="610">
        <f t="array" ref="B28">VLOOKUP($A28,MN_DEMO,2,FALSE)</f>
        <v>6074</v>
      </c>
      <c r="C28" s="611">
        <f>IFERROR(VLOOKUP($A28,'MN Data'!$A$3:$E$83,2,FALSE),"NULL")</f>
        <v>28</v>
      </c>
      <c r="D28" s="612" t="s">
        <v>63</v>
      </c>
      <c r="E28" s="612" t="s">
        <v>63</v>
      </c>
      <c r="F28" s="612" t="s">
        <v>63</v>
      </c>
      <c r="G28" s="612" t="s">
        <v>63</v>
      </c>
      <c r="H28" s="671" t="s">
        <v>63</v>
      </c>
      <c r="I28" s="614" t="s">
        <v>63</v>
      </c>
      <c r="J28" s="615" t="s">
        <v>63</v>
      </c>
      <c r="K28" s="672" t="s">
        <v>63</v>
      </c>
      <c r="L28" s="785" t="s">
        <v>63</v>
      </c>
      <c r="M28" s="704" t="s">
        <v>63</v>
      </c>
      <c r="N28" s="953" t="s">
        <v>63</v>
      </c>
      <c r="O28" s="619" t="s">
        <v>63</v>
      </c>
      <c r="P28" s="952">
        <f>ifna(vlookup(A28,'Population &amp; Church Numbers'!$A$1317:$D$1403,4,FALSE),"NULL")</f>
        <v>21</v>
      </c>
      <c r="Q28" s="674" t="s">
        <v>63</v>
      </c>
    </row>
    <row r="29">
      <c r="A29" s="609" t="s">
        <v>350</v>
      </c>
      <c r="B29" s="610">
        <f t="array" ref="B29">VLOOKUP($A29,MN_DEMO,2,FALSE)</f>
        <v>1281565</v>
      </c>
      <c r="C29" s="611">
        <f>IFERROR(VLOOKUP($A29,'MN Data'!$A$3:$E$83,2,FALSE),"NULL")</f>
        <v>2553</v>
      </c>
      <c r="D29" s="612" t="s">
        <v>63</v>
      </c>
      <c r="E29" s="612" t="s">
        <v>63</v>
      </c>
      <c r="F29" s="612" t="s">
        <v>63</v>
      </c>
      <c r="G29" s="612" t="s">
        <v>63</v>
      </c>
      <c r="H29" s="671" t="s">
        <v>63</v>
      </c>
      <c r="I29" s="614" t="s">
        <v>63</v>
      </c>
      <c r="J29" s="615" t="s">
        <v>63</v>
      </c>
      <c r="K29" s="672" t="s">
        <v>63</v>
      </c>
      <c r="L29" s="785" t="s">
        <v>63</v>
      </c>
      <c r="M29" s="704" t="s">
        <v>63</v>
      </c>
      <c r="N29" s="953" t="s">
        <v>63</v>
      </c>
      <c r="O29" s="619" t="s">
        <v>63</v>
      </c>
      <c r="P29" s="952">
        <f>ifna(vlookup(A29,'Population &amp; Church Numbers'!$A$1317:$D$1403,4,FALSE),"NULL")</f>
        <v>580</v>
      </c>
      <c r="Q29" s="674" t="s">
        <v>63</v>
      </c>
    </row>
    <row r="30">
      <c r="A30" s="609" t="s">
        <v>141</v>
      </c>
      <c r="B30" s="610">
        <f t="array" ref="B30">VLOOKUP($A30,MN_DEMO,2,FALSE)</f>
        <v>18843</v>
      </c>
      <c r="C30" s="611">
        <f>IFERROR(VLOOKUP($A30,'MN Data'!$A$3:$E$83,2,FALSE),"NULL")</f>
        <v>32</v>
      </c>
      <c r="D30" s="612" t="s">
        <v>63</v>
      </c>
      <c r="E30" s="612" t="s">
        <v>63</v>
      </c>
      <c r="F30" s="612" t="s">
        <v>63</v>
      </c>
      <c r="G30" s="612" t="s">
        <v>63</v>
      </c>
      <c r="H30" s="671" t="s">
        <v>63</v>
      </c>
      <c r="I30" s="614" t="s">
        <v>63</v>
      </c>
      <c r="J30" s="615" t="s">
        <v>63</v>
      </c>
      <c r="K30" s="672" t="s">
        <v>63</v>
      </c>
      <c r="L30" s="785" t="s">
        <v>63</v>
      </c>
      <c r="M30" s="704" t="s">
        <v>63</v>
      </c>
      <c r="N30" s="953" t="s">
        <v>63</v>
      </c>
      <c r="O30" s="619" t="s">
        <v>63</v>
      </c>
      <c r="P30" s="952">
        <f>ifna(vlookup(A30,'Population &amp; Church Numbers'!$A$1317:$D$1403,4,FALSE),"NULL")</f>
        <v>30</v>
      </c>
      <c r="Q30" s="674" t="s">
        <v>63</v>
      </c>
    </row>
    <row r="31">
      <c r="A31" s="609" t="s">
        <v>1313</v>
      </c>
      <c r="B31" s="610">
        <f t="array" ref="B31">VLOOKUP($A31,MN_DEMO,2,FALSE)</f>
        <v>21344</v>
      </c>
      <c r="C31" s="611">
        <f>IFERROR(VLOOKUP($A31,'MN Data'!$A$3:$E$83,2,FALSE),"NULL")</f>
        <v>96</v>
      </c>
      <c r="D31" s="612" t="s">
        <v>63</v>
      </c>
      <c r="E31" s="612" t="s">
        <v>63</v>
      </c>
      <c r="F31" s="612" t="s">
        <v>63</v>
      </c>
      <c r="G31" s="612" t="s">
        <v>63</v>
      </c>
      <c r="H31" s="671" t="s">
        <v>63</v>
      </c>
      <c r="I31" s="614" t="s">
        <v>63</v>
      </c>
      <c r="J31" s="615" t="s">
        <v>63</v>
      </c>
      <c r="K31" s="672" t="s">
        <v>63</v>
      </c>
      <c r="L31" s="785" t="s">
        <v>63</v>
      </c>
      <c r="M31" s="704" t="s">
        <v>63</v>
      </c>
      <c r="N31" s="953" t="s">
        <v>63</v>
      </c>
      <c r="O31" s="619" t="s">
        <v>63</v>
      </c>
      <c r="P31" s="952">
        <f>ifna(vlookup(A31,'Population &amp; Church Numbers'!$A$1317:$D$1403,4,FALSE),"NULL")</f>
        <v>34</v>
      </c>
      <c r="Q31" s="674" t="s">
        <v>63</v>
      </c>
    </row>
    <row r="32">
      <c r="A32" s="609" t="s">
        <v>1314</v>
      </c>
      <c r="B32" s="610">
        <f t="array" ref="B32">VLOOKUP($A32,MN_DEMO,2,FALSE)</f>
        <v>41135</v>
      </c>
      <c r="C32" s="611">
        <f>IFERROR(VLOOKUP($A32,'MN Data'!$A$3:$E$83,2,FALSE),"NULL")</f>
        <v>85</v>
      </c>
      <c r="D32" s="612" t="s">
        <v>63</v>
      </c>
      <c r="E32" s="612" t="s">
        <v>63</v>
      </c>
      <c r="F32" s="612" t="s">
        <v>63</v>
      </c>
      <c r="G32" s="612" t="s">
        <v>63</v>
      </c>
      <c r="H32" s="671" t="s">
        <v>63</v>
      </c>
      <c r="I32" s="614" t="s">
        <v>63</v>
      </c>
      <c r="J32" s="615" t="s">
        <v>63</v>
      </c>
      <c r="K32" s="672" t="s">
        <v>63</v>
      </c>
      <c r="L32" s="785" t="s">
        <v>63</v>
      </c>
      <c r="M32" s="704" t="s">
        <v>63</v>
      </c>
      <c r="N32" s="953" t="s">
        <v>63</v>
      </c>
      <c r="O32" s="619" t="s">
        <v>63</v>
      </c>
      <c r="P32" s="952">
        <f>ifna(vlookup(A32,'Population &amp; Church Numbers'!$A$1317:$D$1403,4,FALSE),"NULL")</f>
        <v>36</v>
      </c>
      <c r="Q32" s="674" t="s">
        <v>63</v>
      </c>
    </row>
    <row r="33">
      <c r="A33" s="609" t="s">
        <v>1315</v>
      </c>
      <c r="B33" s="610">
        <f t="array" ref="B33">VLOOKUP($A33,MN_DEMO,2,FALSE)</f>
        <v>45014</v>
      </c>
      <c r="C33" s="611">
        <f>IFERROR(VLOOKUP($A33,'MN Data'!$A$3:$E$83,2,FALSE),"NULL")</f>
        <v>244</v>
      </c>
      <c r="D33" s="612" t="s">
        <v>63</v>
      </c>
      <c r="E33" s="612" t="s">
        <v>63</v>
      </c>
      <c r="F33" s="612" t="s">
        <v>63</v>
      </c>
      <c r="G33" s="612" t="s">
        <v>63</v>
      </c>
      <c r="H33" s="671" t="s">
        <v>63</v>
      </c>
      <c r="I33" s="614" t="s">
        <v>63</v>
      </c>
      <c r="J33" s="615" t="s">
        <v>63</v>
      </c>
      <c r="K33" s="672" t="s">
        <v>63</v>
      </c>
      <c r="L33" s="785" t="s">
        <v>63</v>
      </c>
      <c r="M33" s="704" t="s">
        <v>63</v>
      </c>
      <c r="N33" s="953" t="s">
        <v>63</v>
      </c>
      <c r="O33" s="619" t="s">
        <v>63</v>
      </c>
      <c r="P33" s="952">
        <f>ifna(vlookup(A33,'Population &amp; Church Numbers'!$A$1317:$D$1403,4,FALSE),"NULL")</f>
        <v>67</v>
      </c>
      <c r="Q33" s="674" t="s">
        <v>63</v>
      </c>
    </row>
    <row r="34">
      <c r="A34" s="609" t="s">
        <v>142</v>
      </c>
      <c r="B34" s="610">
        <f t="array" ref="B34">VLOOKUP($A34,MN_DEMO,2,FALSE)</f>
        <v>9989</v>
      </c>
      <c r="C34" s="611" t="str">
        <f>IFERROR(VLOOKUP($A34,'MN Data'!$A$3:$E$83,2,FALSE),"NULL")</f>
        <v>NULL</v>
      </c>
      <c r="D34" s="612" t="s">
        <v>63</v>
      </c>
      <c r="E34" s="612" t="s">
        <v>63</v>
      </c>
      <c r="F34" s="612" t="s">
        <v>63</v>
      </c>
      <c r="G34" s="612" t="s">
        <v>63</v>
      </c>
      <c r="H34" s="671" t="s">
        <v>63</v>
      </c>
      <c r="I34" s="614" t="s">
        <v>63</v>
      </c>
      <c r="J34" s="615" t="s">
        <v>63</v>
      </c>
      <c r="K34" s="672" t="s">
        <v>63</v>
      </c>
      <c r="L34" s="785" t="s">
        <v>63</v>
      </c>
      <c r="M34" s="704" t="s">
        <v>63</v>
      </c>
      <c r="N34" s="953" t="s">
        <v>63</v>
      </c>
      <c r="O34" s="619" t="s">
        <v>63</v>
      </c>
      <c r="P34" s="952">
        <f>ifna(vlookup(A34,'Population &amp; Church Numbers'!$A$1317:$D$1403,4,FALSE),"NULL")</f>
        <v>22</v>
      </c>
      <c r="Q34" s="674" t="s">
        <v>63</v>
      </c>
    </row>
    <row r="35">
      <c r="A35" s="609" t="s">
        <v>1316</v>
      </c>
      <c r="B35" s="610">
        <f t="array" ref="B35">VLOOKUP($A35,MN_DEMO,2,FALSE)</f>
        <v>16032</v>
      </c>
      <c r="C35" s="611">
        <f>IFERROR(VLOOKUP($A35,'MN Data'!$A$3:$E$83,2,FALSE),"NULL")</f>
        <v>30</v>
      </c>
      <c r="D35" s="612" t="s">
        <v>63</v>
      </c>
      <c r="E35" s="612" t="s">
        <v>63</v>
      </c>
      <c r="F35" s="612" t="s">
        <v>63</v>
      </c>
      <c r="G35" s="612" t="s">
        <v>63</v>
      </c>
      <c r="H35" s="671" t="s">
        <v>63</v>
      </c>
      <c r="I35" s="614" t="s">
        <v>63</v>
      </c>
      <c r="J35" s="615" t="s">
        <v>63</v>
      </c>
      <c r="K35" s="672" t="s">
        <v>63</v>
      </c>
      <c r="L35" s="785" t="s">
        <v>63</v>
      </c>
      <c r="M35" s="704" t="s">
        <v>63</v>
      </c>
      <c r="N35" s="953" t="s">
        <v>63</v>
      </c>
      <c r="O35" s="619" t="s">
        <v>63</v>
      </c>
      <c r="P35" s="952">
        <f>ifna(vlookup(A35,'Population &amp; Church Numbers'!$A$1317:$D$1403,4,FALSE),"NULL")</f>
        <v>20</v>
      </c>
      <c r="Q35" s="674" t="s">
        <v>63</v>
      </c>
    </row>
    <row r="36">
      <c r="A36" s="609" t="s">
        <v>1317</v>
      </c>
      <c r="B36" s="610">
        <f t="array" ref="B36">VLOOKUP($A36,MN_DEMO,2,FALSE)</f>
        <v>43732</v>
      </c>
      <c r="C36" s="611">
        <f>IFERROR(VLOOKUP($A36,'MN Data'!$A$3:$E$83,2,FALSE),"NULL")</f>
        <v>180</v>
      </c>
      <c r="D36" s="612" t="s">
        <v>63</v>
      </c>
      <c r="E36" s="612" t="s">
        <v>63</v>
      </c>
      <c r="F36" s="612" t="s">
        <v>63</v>
      </c>
      <c r="G36" s="612" t="s">
        <v>63</v>
      </c>
      <c r="H36" s="671" t="s">
        <v>63</v>
      </c>
      <c r="I36" s="614" t="s">
        <v>63</v>
      </c>
      <c r="J36" s="615" t="s">
        <v>63</v>
      </c>
      <c r="K36" s="672" t="s">
        <v>63</v>
      </c>
      <c r="L36" s="785" t="s">
        <v>63</v>
      </c>
      <c r="M36" s="704" t="s">
        <v>63</v>
      </c>
      <c r="N36" s="953" t="s">
        <v>63</v>
      </c>
      <c r="O36" s="619" t="s">
        <v>63</v>
      </c>
      <c r="P36" s="952">
        <f>ifna(vlookup(A36,'Population &amp; Church Numbers'!$A$1317:$D$1403,4,FALSE),"NULL")</f>
        <v>56</v>
      </c>
      <c r="Q36" s="674" t="s">
        <v>63</v>
      </c>
    </row>
    <row r="37">
      <c r="A37" s="609" t="s">
        <v>1318</v>
      </c>
      <c r="B37" s="610">
        <f t="array" ref="B37">VLOOKUP($A37,MN_DEMO,2,FALSE)</f>
        <v>4207</v>
      </c>
      <c r="C37" s="611">
        <f>IFERROR(VLOOKUP($A37,'MN Data'!$A$3:$E$83,2,FALSE),"NULL")</f>
        <v>11</v>
      </c>
      <c r="D37" s="612" t="s">
        <v>63</v>
      </c>
      <c r="E37" s="612" t="s">
        <v>63</v>
      </c>
      <c r="F37" s="612" t="s">
        <v>63</v>
      </c>
      <c r="G37" s="612" t="s">
        <v>63</v>
      </c>
      <c r="H37" s="671" t="s">
        <v>63</v>
      </c>
      <c r="I37" s="614" t="s">
        <v>63</v>
      </c>
      <c r="J37" s="615" t="s">
        <v>63</v>
      </c>
      <c r="K37" s="672" t="s">
        <v>63</v>
      </c>
      <c r="L37" s="785" t="s">
        <v>63</v>
      </c>
      <c r="M37" s="704" t="s">
        <v>63</v>
      </c>
      <c r="N37" s="953" t="s">
        <v>63</v>
      </c>
      <c r="O37" s="619" t="s">
        <v>63</v>
      </c>
      <c r="P37" s="952">
        <f>ifna(vlookup(A37,'Population &amp; Church Numbers'!$A$1317:$D$1403,4,FALSE),"NULL")</f>
        <v>11</v>
      </c>
      <c r="Q37" s="674" t="s">
        <v>63</v>
      </c>
    </row>
    <row r="38">
      <c r="A38" s="609" t="s">
        <v>1319</v>
      </c>
      <c r="B38" s="610">
        <f t="array" ref="B38">VLOOKUP($A38,MN_DEMO,2,FALSE)</f>
        <v>12062</v>
      </c>
      <c r="C38" s="611">
        <f>IFERROR(VLOOKUP($A38,'MN Data'!$A$3:$E$83,2,FALSE),"NULL")</f>
        <v>81</v>
      </c>
      <c r="D38" s="612" t="s">
        <v>63</v>
      </c>
      <c r="E38" s="612" t="s">
        <v>63</v>
      </c>
      <c r="F38" s="612" t="s">
        <v>63</v>
      </c>
      <c r="G38" s="612" t="s">
        <v>63</v>
      </c>
      <c r="H38" s="671" t="s">
        <v>63</v>
      </c>
      <c r="I38" s="614" t="s">
        <v>63</v>
      </c>
      <c r="J38" s="615" t="s">
        <v>63</v>
      </c>
      <c r="K38" s="672" t="s">
        <v>63</v>
      </c>
      <c r="L38" s="785" t="s">
        <v>63</v>
      </c>
      <c r="M38" s="704" t="s">
        <v>63</v>
      </c>
      <c r="N38" s="953" t="s">
        <v>63</v>
      </c>
      <c r="O38" s="619" t="s">
        <v>63</v>
      </c>
      <c r="P38" s="952">
        <f>ifna(vlookup(A38,'Population &amp; Church Numbers'!$A$1317:$D$1403,4,FALSE),"NULL")</f>
        <v>20</v>
      </c>
      <c r="Q38" s="674" t="s">
        <v>63</v>
      </c>
    </row>
    <row r="39">
      <c r="A39" s="609" t="s">
        <v>1320</v>
      </c>
      <c r="B39" s="610">
        <f t="array" ref="B39">VLOOKUP($A39,MN_DEMO,2,FALSE)</f>
        <v>6719</v>
      </c>
      <c r="C39" s="611">
        <f>IFERROR(VLOOKUP($A39,'MN Data'!$A$3:$E$83,2,FALSE),"NULL")</f>
        <v>16</v>
      </c>
      <c r="D39" s="612" t="s">
        <v>63</v>
      </c>
      <c r="E39" s="612" t="s">
        <v>63</v>
      </c>
      <c r="F39" s="612" t="s">
        <v>63</v>
      </c>
      <c r="G39" s="612" t="s">
        <v>63</v>
      </c>
      <c r="H39" s="671" t="s">
        <v>63</v>
      </c>
      <c r="I39" s="614" t="s">
        <v>63</v>
      </c>
      <c r="J39" s="615" t="s">
        <v>63</v>
      </c>
      <c r="K39" s="672" t="s">
        <v>63</v>
      </c>
      <c r="L39" s="785" t="s">
        <v>63</v>
      </c>
      <c r="M39" s="704" t="s">
        <v>63</v>
      </c>
      <c r="N39" s="953" t="s">
        <v>63</v>
      </c>
      <c r="O39" s="619" t="s">
        <v>63</v>
      </c>
      <c r="P39" s="952">
        <f>ifna(vlookup(A39,'Population &amp; Church Numbers'!$A$1317:$D$1403,4,FALSE),"NULL")</f>
        <v>16</v>
      </c>
      <c r="Q39" s="674" t="s">
        <v>63</v>
      </c>
    </row>
    <row r="40">
      <c r="A40" s="609" t="s">
        <v>337</v>
      </c>
      <c r="B40" s="610">
        <f t="array" ref="B40">VLOOKUP($A40,MN_DEMO,2,FALSE)</f>
        <v>10905</v>
      </c>
      <c r="C40" s="611">
        <f>IFERROR(VLOOKUP($A40,'MN Data'!$A$3:$E$83,2,FALSE),"NULL")</f>
        <v>24</v>
      </c>
      <c r="D40" s="612" t="s">
        <v>63</v>
      </c>
      <c r="E40" s="612" t="s">
        <v>63</v>
      </c>
      <c r="F40" s="612" t="s">
        <v>63</v>
      </c>
      <c r="G40" s="612" t="s">
        <v>63</v>
      </c>
      <c r="H40" s="671" t="s">
        <v>63</v>
      </c>
      <c r="I40" s="614" t="s">
        <v>63</v>
      </c>
      <c r="J40" s="615" t="s">
        <v>63</v>
      </c>
      <c r="K40" s="672" t="s">
        <v>63</v>
      </c>
      <c r="L40" s="785" t="s">
        <v>63</v>
      </c>
      <c r="M40" s="704" t="s">
        <v>63</v>
      </c>
      <c r="N40" s="953" t="s">
        <v>63</v>
      </c>
      <c r="O40" s="619" t="s">
        <v>63</v>
      </c>
      <c r="P40" s="952">
        <f>ifna(vlookup(A40,'Population &amp; Church Numbers'!$A$1317:$D$1403,4,FALSE),"NULL")</f>
        <v>17</v>
      </c>
      <c r="Q40" s="674" t="s">
        <v>63</v>
      </c>
    </row>
    <row r="41">
      <c r="A41" s="609" t="s">
        <v>3483</v>
      </c>
      <c r="B41" s="610">
        <f t="array" ref="B41">VLOOKUP($A41,MN_DEMO,2,FALSE)</f>
        <v>3763</v>
      </c>
      <c r="C41" s="611" t="str">
        <f>IFERROR(VLOOKUP($A41,'MN Data'!$A$3:$E$83,2,FALSE),"NULL")</f>
        <v>NULL</v>
      </c>
      <c r="D41" s="612" t="s">
        <v>63</v>
      </c>
      <c r="E41" s="612" t="s">
        <v>63</v>
      </c>
      <c r="F41" s="612" t="s">
        <v>63</v>
      </c>
      <c r="G41" s="612" t="s">
        <v>63</v>
      </c>
      <c r="H41" s="671" t="s">
        <v>63</v>
      </c>
      <c r="I41" s="614" t="s">
        <v>63</v>
      </c>
      <c r="J41" s="615" t="s">
        <v>63</v>
      </c>
      <c r="K41" s="672" t="s">
        <v>63</v>
      </c>
      <c r="L41" s="785" t="s">
        <v>63</v>
      </c>
      <c r="M41" s="704" t="s">
        <v>63</v>
      </c>
      <c r="N41" s="953" t="s">
        <v>63</v>
      </c>
      <c r="O41" s="619" t="s">
        <v>63</v>
      </c>
      <c r="P41" s="952">
        <f>ifna(vlookup(A41,'Population &amp; Church Numbers'!$A$1317:$D$1403,4,FALSE),"NULL")</f>
        <v>10</v>
      </c>
      <c r="Q41" s="674" t="s">
        <v>63</v>
      </c>
    </row>
    <row r="42">
      <c r="A42" s="609" t="s">
        <v>1322</v>
      </c>
      <c r="B42" s="610">
        <f t="array" ref="B42">VLOOKUP($A42,MN_DEMO,2,FALSE)</f>
        <v>28674</v>
      </c>
      <c r="C42" s="611">
        <f>IFERROR(VLOOKUP($A42,'MN Data'!$A$3:$E$83,2,FALSE),"NULL")</f>
        <v>57</v>
      </c>
      <c r="D42" s="612" t="s">
        <v>63</v>
      </c>
      <c r="E42" s="612" t="s">
        <v>63</v>
      </c>
      <c r="F42" s="612" t="s">
        <v>63</v>
      </c>
      <c r="G42" s="612" t="s">
        <v>63</v>
      </c>
      <c r="H42" s="671" t="s">
        <v>63</v>
      </c>
      <c r="I42" s="614" t="s">
        <v>63</v>
      </c>
      <c r="J42" s="615" t="s">
        <v>63</v>
      </c>
      <c r="K42" s="672" t="s">
        <v>63</v>
      </c>
      <c r="L42" s="785" t="s">
        <v>63</v>
      </c>
      <c r="M42" s="704" t="s">
        <v>63</v>
      </c>
      <c r="N42" s="953" t="s">
        <v>63</v>
      </c>
      <c r="O42" s="619" t="s">
        <v>63</v>
      </c>
      <c r="P42" s="952">
        <f>ifna(vlookup(A42,'Population &amp; Church Numbers'!$A$1317:$D$1403,4,FALSE),"NULL")</f>
        <v>27</v>
      </c>
      <c r="Q42" s="674" t="s">
        <v>63</v>
      </c>
    </row>
    <row r="43">
      <c r="A43" s="609" t="s">
        <v>290</v>
      </c>
      <c r="B43" s="610">
        <f t="array" ref="B43">VLOOKUP($A43,MN_DEMO,2,FALSE)</f>
        <v>5640</v>
      </c>
      <c r="C43" s="611" t="str">
        <f>IFERROR(VLOOKUP($A43,'MN Data'!$A$3:$E$83,2,FALSE),"NULL")</f>
        <v>NULL</v>
      </c>
      <c r="D43" s="612" t="s">
        <v>63</v>
      </c>
      <c r="E43" s="612" t="s">
        <v>63</v>
      </c>
      <c r="F43" s="612" t="s">
        <v>63</v>
      </c>
      <c r="G43" s="612" t="s">
        <v>63</v>
      </c>
      <c r="H43" s="671" t="s">
        <v>63</v>
      </c>
      <c r="I43" s="614" t="s">
        <v>63</v>
      </c>
      <c r="J43" s="615" t="s">
        <v>63</v>
      </c>
      <c r="K43" s="672" t="s">
        <v>63</v>
      </c>
      <c r="L43" s="785" t="s">
        <v>63</v>
      </c>
      <c r="M43" s="704" t="s">
        <v>63</v>
      </c>
      <c r="N43" s="953" t="s">
        <v>63</v>
      </c>
      <c r="O43" s="619" t="s">
        <v>63</v>
      </c>
      <c r="P43" s="952">
        <f>ifna(vlookup(A43,'Population &amp; Church Numbers'!$A$1317:$D$1403,4,FALSE),"NULL")</f>
        <v>16</v>
      </c>
      <c r="Q43" s="674" t="s">
        <v>63</v>
      </c>
    </row>
    <row r="44">
      <c r="A44" s="609" t="s">
        <v>910</v>
      </c>
      <c r="B44" s="610">
        <f t="array" ref="B44">VLOOKUP($A44,MN_DEMO,2,FALSE)</f>
        <v>25269</v>
      </c>
      <c r="C44" s="611" t="str">
        <f>IFERROR(VLOOKUP($A44,'MN Data'!$A$3:$E$83,2,FALSE),"NULL")</f>
        <v>NULL</v>
      </c>
      <c r="D44" s="612" t="s">
        <v>63</v>
      </c>
      <c r="E44" s="612" t="s">
        <v>63</v>
      </c>
      <c r="F44" s="612" t="s">
        <v>63</v>
      </c>
      <c r="G44" s="612" t="s">
        <v>63</v>
      </c>
      <c r="H44" s="671" t="s">
        <v>63</v>
      </c>
      <c r="I44" s="614" t="s">
        <v>63</v>
      </c>
      <c r="J44" s="615" t="s">
        <v>63</v>
      </c>
      <c r="K44" s="672" t="s">
        <v>63</v>
      </c>
      <c r="L44" s="785" t="s">
        <v>63</v>
      </c>
      <c r="M44" s="704" t="s">
        <v>63</v>
      </c>
      <c r="N44" s="953" t="s">
        <v>63</v>
      </c>
      <c r="O44" s="619" t="s">
        <v>63</v>
      </c>
      <c r="P44" s="952">
        <f>ifna(vlookup(A44,'Population &amp; Church Numbers'!$A$1317:$D$1403,4,FALSE),"NULL")</f>
        <v>40</v>
      </c>
      <c r="Q44" s="674" t="s">
        <v>63</v>
      </c>
    </row>
    <row r="45">
      <c r="A45" s="609" t="s">
        <v>1324</v>
      </c>
      <c r="B45" s="610">
        <f t="array" ref="B45">VLOOKUP($A45,MN_DEMO,2,FALSE)</f>
        <v>5411</v>
      </c>
      <c r="C45" s="611">
        <f>IFERROR(VLOOKUP($A45,'MN Data'!$A$3:$E$83,2,FALSE),"NULL")</f>
        <v>20</v>
      </c>
      <c r="D45" s="612" t="s">
        <v>63</v>
      </c>
      <c r="E45" s="612" t="s">
        <v>63</v>
      </c>
      <c r="F45" s="612" t="s">
        <v>63</v>
      </c>
      <c r="G45" s="612" t="s">
        <v>63</v>
      </c>
      <c r="H45" s="671" t="s">
        <v>63</v>
      </c>
      <c r="I45" s="614" t="s">
        <v>63</v>
      </c>
      <c r="J45" s="615" t="s">
        <v>63</v>
      </c>
      <c r="K45" s="672" t="s">
        <v>63</v>
      </c>
      <c r="L45" s="785" t="s">
        <v>63</v>
      </c>
      <c r="M45" s="704" t="s">
        <v>63</v>
      </c>
      <c r="N45" s="953" t="s">
        <v>63</v>
      </c>
      <c r="O45" s="619" t="s">
        <v>63</v>
      </c>
      <c r="P45" s="952">
        <f>ifna(vlookup(A45,'Population &amp; Church Numbers'!$A$1317:$D$1403,4,FALSE),"NULL")</f>
        <v>7</v>
      </c>
      <c r="Q45" s="674" t="s">
        <v>63</v>
      </c>
    </row>
    <row r="46">
      <c r="A46" s="609" t="s">
        <v>154</v>
      </c>
      <c r="B46" s="610">
        <f t="array" ref="B46">VLOOKUP($A46,MN_DEMO,2,FALSE)</f>
        <v>9040</v>
      </c>
      <c r="C46" s="611">
        <f>IFERROR(VLOOKUP($A46,'MN Data'!$A$3:$E$83,2,FALSE),"NULL")</f>
        <v>10</v>
      </c>
      <c r="D46" s="612" t="s">
        <v>63</v>
      </c>
      <c r="E46" s="612" t="s">
        <v>63</v>
      </c>
      <c r="F46" s="612" t="s">
        <v>63</v>
      </c>
      <c r="G46" s="612" t="s">
        <v>63</v>
      </c>
      <c r="H46" s="671" t="s">
        <v>63</v>
      </c>
      <c r="I46" s="614" t="s">
        <v>63</v>
      </c>
      <c r="J46" s="615" t="s">
        <v>63</v>
      </c>
      <c r="K46" s="672" t="s">
        <v>63</v>
      </c>
      <c r="L46" s="785" t="s">
        <v>63</v>
      </c>
      <c r="M46" s="704" t="s">
        <v>63</v>
      </c>
      <c r="N46" s="953" t="s">
        <v>63</v>
      </c>
      <c r="O46" s="619" t="s">
        <v>63</v>
      </c>
      <c r="P46" s="952">
        <f>ifna(vlookup(A46,'Population &amp; Church Numbers'!$A$1317:$D$1403,4,FALSE),"NULL")</f>
        <v>31</v>
      </c>
      <c r="Q46" s="674" t="s">
        <v>63</v>
      </c>
    </row>
    <row r="47">
      <c r="A47" s="609" t="s">
        <v>510</v>
      </c>
      <c r="B47" s="610">
        <f t="array" ref="B47">VLOOKUP($A47,MN_DEMO,2,FALSE)</f>
        <v>20025</v>
      </c>
      <c r="C47" s="611" t="str">
        <f>IFERROR(VLOOKUP($A47,'MN Data'!$A$3:$E$83,2,FALSE),"NULL")</f>
        <v>NULL</v>
      </c>
      <c r="D47" s="612" t="s">
        <v>63</v>
      </c>
      <c r="E47" s="612" t="s">
        <v>63</v>
      </c>
      <c r="F47" s="612" t="s">
        <v>63</v>
      </c>
      <c r="G47" s="612" t="s">
        <v>63</v>
      </c>
      <c r="H47" s="671" t="s">
        <v>63</v>
      </c>
      <c r="I47" s="614" t="s">
        <v>63</v>
      </c>
      <c r="J47" s="615" t="s">
        <v>63</v>
      </c>
      <c r="K47" s="672" t="s">
        <v>63</v>
      </c>
      <c r="L47" s="785" t="s">
        <v>63</v>
      </c>
      <c r="M47" s="704" t="s">
        <v>63</v>
      </c>
      <c r="N47" s="953" t="s">
        <v>63</v>
      </c>
      <c r="O47" s="619" t="s">
        <v>63</v>
      </c>
      <c r="P47" s="952">
        <f>ifna(vlookup(A47,'Population &amp; Church Numbers'!$A$1317:$D$1403,4,FALSE),"NULL")</f>
        <v>39</v>
      </c>
      <c r="Q47" s="674" t="s">
        <v>63</v>
      </c>
    </row>
    <row r="48">
      <c r="A48" s="609" t="s">
        <v>1323</v>
      </c>
      <c r="B48" s="610">
        <f t="array" ref="B48">VLOOKUP($A48,MN_DEMO,2,FALSE)</f>
        <v>36771</v>
      </c>
      <c r="C48" s="611">
        <f>IFERROR(VLOOKUP($A48,'MN Data'!$A$3:$E$83,2,FALSE),"NULL")</f>
        <v>99</v>
      </c>
      <c r="D48" s="612" t="s">
        <v>63</v>
      </c>
      <c r="E48" s="612" t="s">
        <v>63</v>
      </c>
      <c r="F48" s="612" t="s">
        <v>63</v>
      </c>
      <c r="G48" s="612" t="s">
        <v>63</v>
      </c>
      <c r="H48" s="671" t="s">
        <v>63</v>
      </c>
      <c r="I48" s="614" t="s">
        <v>63</v>
      </c>
      <c r="J48" s="615" t="s">
        <v>63</v>
      </c>
      <c r="K48" s="672" t="s">
        <v>63</v>
      </c>
      <c r="L48" s="785" t="s">
        <v>63</v>
      </c>
      <c r="M48" s="704" t="s">
        <v>63</v>
      </c>
      <c r="N48" s="953" t="s">
        <v>63</v>
      </c>
      <c r="O48" s="619" t="s">
        <v>63</v>
      </c>
      <c r="P48" s="952">
        <f>ifna(vlookup(A48,'Population &amp; Church Numbers'!$A$1317:$D$1403,4,FALSE),"NULL")</f>
        <v>47</v>
      </c>
      <c r="Q48" s="674" t="s">
        <v>63</v>
      </c>
    </row>
    <row r="49">
      <c r="A49" s="609" t="s">
        <v>1325</v>
      </c>
      <c r="B49" s="610">
        <f t="array" ref="B49">VLOOKUP($A49,MN_DEMO,2,FALSE)</f>
        <v>23400</v>
      </c>
      <c r="C49" s="611">
        <f>IFERROR(VLOOKUP($A49,'MN Data'!$A$3:$E$83,2,FALSE),"NULL")</f>
        <v>65</v>
      </c>
      <c r="D49" s="612" t="s">
        <v>63</v>
      </c>
      <c r="E49" s="612" t="s">
        <v>63</v>
      </c>
      <c r="F49" s="612" t="s">
        <v>63</v>
      </c>
      <c r="G49" s="612" t="s">
        <v>63</v>
      </c>
      <c r="H49" s="671" t="s">
        <v>63</v>
      </c>
      <c r="I49" s="614" t="s">
        <v>63</v>
      </c>
      <c r="J49" s="615" t="s">
        <v>63</v>
      </c>
      <c r="K49" s="672" t="s">
        <v>63</v>
      </c>
      <c r="L49" s="785" t="s">
        <v>63</v>
      </c>
      <c r="M49" s="704" t="s">
        <v>63</v>
      </c>
      <c r="N49" s="953" t="s">
        <v>63</v>
      </c>
      <c r="O49" s="619" t="s">
        <v>63</v>
      </c>
      <c r="P49" s="952">
        <f>ifna(vlookup(A49,'Population &amp; Church Numbers'!$A$1317:$D$1403,4,FALSE),"NULL")</f>
        <v>37</v>
      </c>
      <c r="Q49" s="674" t="s">
        <v>63</v>
      </c>
    </row>
    <row r="50">
      <c r="A50" s="609" t="s">
        <v>1326</v>
      </c>
      <c r="B50" s="610">
        <f t="array" ref="B50">VLOOKUP($A50,MN_DEMO,2,FALSE)</f>
        <v>26459</v>
      </c>
      <c r="C50" s="611">
        <f>IFERROR(VLOOKUP($A50,'MN Data'!$A$3:$E$83,2,FALSE),"NULL")</f>
        <v>215</v>
      </c>
      <c r="D50" s="612" t="s">
        <v>63</v>
      </c>
      <c r="E50" s="612" t="s">
        <v>63</v>
      </c>
      <c r="F50" s="612" t="s">
        <v>63</v>
      </c>
      <c r="G50" s="612" t="s">
        <v>63</v>
      </c>
      <c r="H50" s="671" t="s">
        <v>63</v>
      </c>
      <c r="I50" s="614" t="s">
        <v>63</v>
      </c>
      <c r="J50" s="615" t="s">
        <v>63</v>
      </c>
      <c r="K50" s="672" t="s">
        <v>63</v>
      </c>
      <c r="L50" s="785" t="s">
        <v>63</v>
      </c>
      <c r="M50" s="704" t="s">
        <v>63</v>
      </c>
      <c r="N50" s="953" t="s">
        <v>63</v>
      </c>
      <c r="O50" s="619" t="s">
        <v>63</v>
      </c>
      <c r="P50" s="952">
        <f>ifna(vlookup(A50,'Population &amp; Church Numbers'!$A$1317:$D$1403,4,FALSE),"NULL")</f>
        <v>43</v>
      </c>
      <c r="Q50" s="674" t="s">
        <v>63</v>
      </c>
    </row>
    <row r="51">
      <c r="A51" s="609" t="s">
        <v>1327</v>
      </c>
      <c r="B51" s="610">
        <f t="array" ref="B51">VLOOKUP($A51,MN_DEMO,2,FALSE)</f>
        <v>34010</v>
      </c>
      <c r="C51" s="611">
        <f>IFERROR(VLOOKUP($A51,'MN Data'!$A$3:$E$83,2,FALSE),"NULL")</f>
        <v>109</v>
      </c>
      <c r="D51" s="612" t="s">
        <v>63</v>
      </c>
      <c r="E51" s="612" t="s">
        <v>63</v>
      </c>
      <c r="F51" s="612" t="s">
        <v>63</v>
      </c>
      <c r="G51" s="612" t="s">
        <v>63</v>
      </c>
      <c r="H51" s="671" t="s">
        <v>63</v>
      </c>
      <c r="I51" s="614" t="s">
        <v>63</v>
      </c>
      <c r="J51" s="615" t="s">
        <v>63</v>
      </c>
      <c r="K51" s="672" t="s">
        <v>63</v>
      </c>
      <c r="L51" s="785" t="s">
        <v>63</v>
      </c>
      <c r="M51" s="704" t="s">
        <v>63</v>
      </c>
      <c r="N51" s="953" t="s">
        <v>63</v>
      </c>
      <c r="O51" s="619" t="s">
        <v>63</v>
      </c>
      <c r="P51" s="952">
        <f>ifna(vlookup(A51,'Population &amp; Church Numbers'!$A$1317:$D$1403,4,FALSE),"NULL")</f>
        <v>44</v>
      </c>
      <c r="Q51" s="674" t="s">
        <v>63</v>
      </c>
    </row>
    <row r="52">
      <c r="A52" s="609" t="s">
        <v>1328</v>
      </c>
      <c r="B52" s="610">
        <f t="array" ref="B52">VLOOKUP($A52,MN_DEMO,2,FALSE)</f>
        <v>40029</v>
      </c>
      <c r="C52" s="611">
        <f>IFERROR(VLOOKUP($A52,'MN Data'!$A$3:$E$83,2,FALSE),"NULL")</f>
        <v>90</v>
      </c>
      <c r="D52" s="612" t="s">
        <v>63</v>
      </c>
      <c r="E52" s="612" t="s">
        <v>63</v>
      </c>
      <c r="F52" s="612" t="s">
        <v>63</v>
      </c>
      <c r="G52" s="612" t="s">
        <v>63</v>
      </c>
      <c r="H52" s="671" t="s">
        <v>63</v>
      </c>
      <c r="I52" s="614" t="s">
        <v>63</v>
      </c>
      <c r="J52" s="615" t="s">
        <v>63</v>
      </c>
      <c r="K52" s="672" t="s">
        <v>63</v>
      </c>
      <c r="L52" s="785" t="s">
        <v>63</v>
      </c>
      <c r="M52" s="704" t="s">
        <v>63</v>
      </c>
      <c r="N52" s="953" t="s">
        <v>63</v>
      </c>
      <c r="O52" s="619" t="s">
        <v>63</v>
      </c>
      <c r="P52" s="952">
        <f>ifna(vlookup(A52,'Population &amp; Church Numbers'!$A$1317:$D$1403,4,FALSE),"NULL")</f>
        <v>49</v>
      </c>
      <c r="Q52" s="674" t="s">
        <v>63</v>
      </c>
    </row>
    <row r="53">
      <c r="A53" s="609" t="s">
        <v>611</v>
      </c>
      <c r="B53" s="610">
        <f t="array" ref="B53">VLOOKUP($A53,MN_DEMO,2,FALSE)</f>
        <v>8179</v>
      </c>
      <c r="C53" s="611" t="str">
        <f>IFERROR(VLOOKUP($A53,'MN Data'!$A$3:$E$83,2,FALSE),"NULL")</f>
        <v>NULL</v>
      </c>
      <c r="D53" s="612" t="s">
        <v>63</v>
      </c>
      <c r="E53" s="612" t="s">
        <v>63</v>
      </c>
      <c r="F53" s="612" t="s">
        <v>63</v>
      </c>
      <c r="G53" s="612" t="s">
        <v>63</v>
      </c>
      <c r="H53" s="671" t="s">
        <v>63</v>
      </c>
      <c r="I53" s="614" t="s">
        <v>63</v>
      </c>
      <c r="J53" s="615" t="s">
        <v>63</v>
      </c>
      <c r="K53" s="672" t="s">
        <v>63</v>
      </c>
      <c r="L53" s="785" t="s">
        <v>63</v>
      </c>
      <c r="M53" s="704" t="s">
        <v>63</v>
      </c>
      <c r="N53" s="953" t="s">
        <v>63</v>
      </c>
      <c r="O53" s="619" t="s">
        <v>63</v>
      </c>
      <c r="P53" s="952">
        <f>ifna(vlookup(A53,'Population &amp; Church Numbers'!$A$1317:$D$1403,4,FALSE),"NULL")</f>
        <v>20</v>
      </c>
      <c r="Q53" s="674" t="s">
        <v>63</v>
      </c>
    </row>
    <row r="54">
      <c r="A54" s="609" t="s">
        <v>1329</v>
      </c>
      <c r="B54" s="610">
        <f t="array" ref="B54">VLOOKUP($A54,MN_DEMO,2,FALSE)</f>
        <v>34454</v>
      </c>
      <c r="C54" s="611">
        <f>IFERROR(VLOOKUP($A54,'MN Data'!$A$3:$E$83,2,FALSE),"NULL")</f>
        <v>61</v>
      </c>
      <c r="D54" s="612" t="s">
        <v>63</v>
      </c>
      <c r="E54" s="612" t="s">
        <v>63</v>
      </c>
      <c r="F54" s="612" t="s">
        <v>63</v>
      </c>
      <c r="G54" s="612" t="s">
        <v>63</v>
      </c>
      <c r="H54" s="671" t="s">
        <v>63</v>
      </c>
      <c r="I54" s="614" t="s">
        <v>63</v>
      </c>
      <c r="J54" s="615" t="s">
        <v>63</v>
      </c>
      <c r="K54" s="672" t="s">
        <v>63</v>
      </c>
      <c r="L54" s="785" t="s">
        <v>63</v>
      </c>
      <c r="M54" s="704" t="s">
        <v>63</v>
      </c>
      <c r="N54" s="953" t="s">
        <v>63</v>
      </c>
      <c r="O54" s="619" t="s">
        <v>63</v>
      </c>
      <c r="P54" s="952">
        <f>ifna(vlookup(A54,'Population &amp; Church Numbers'!$A$1317:$D$1403,4,FALSE),"NULL")</f>
        <v>30</v>
      </c>
      <c r="Q54" s="674" t="s">
        <v>63</v>
      </c>
    </row>
    <row r="55">
      <c r="A55" s="609" t="s">
        <v>1330</v>
      </c>
      <c r="B55" s="610">
        <f t="array" ref="B55">VLOOKUP($A55,MN_DEMO,2,FALSE)</f>
        <v>22290</v>
      </c>
      <c r="C55" s="611">
        <f>IFERROR(VLOOKUP($A55,'MN Data'!$A$3:$E$83,2,FALSE),"NULL")</f>
        <v>50</v>
      </c>
      <c r="D55" s="612" t="s">
        <v>63</v>
      </c>
      <c r="E55" s="612" t="s">
        <v>63</v>
      </c>
      <c r="F55" s="612" t="s">
        <v>63</v>
      </c>
      <c r="G55" s="612" t="s">
        <v>63</v>
      </c>
      <c r="H55" s="671" t="s">
        <v>63</v>
      </c>
      <c r="I55" s="614" t="s">
        <v>63</v>
      </c>
      <c r="J55" s="615" t="s">
        <v>63</v>
      </c>
      <c r="K55" s="672" t="s">
        <v>63</v>
      </c>
      <c r="L55" s="785" t="s">
        <v>63</v>
      </c>
      <c r="M55" s="704" t="s">
        <v>63</v>
      </c>
      <c r="N55" s="953" t="s">
        <v>63</v>
      </c>
      <c r="O55" s="619" t="s">
        <v>63</v>
      </c>
      <c r="P55" s="952">
        <f>ifna(vlookup(A55,'Population &amp; Church Numbers'!$A$1317:$D$1403,4,FALSE),"NULL")</f>
        <v>34</v>
      </c>
      <c r="Q55" s="674" t="s">
        <v>63</v>
      </c>
    </row>
    <row r="56">
      <c r="A56" s="609" t="s">
        <v>1331</v>
      </c>
      <c r="B56" s="610">
        <f t="array" ref="B56">VLOOKUP($A56,MN_DEMO,2,FALSE)</f>
        <v>6441</v>
      </c>
      <c r="C56" s="611">
        <f>IFERROR(VLOOKUP($A56,'MN Data'!$A$3:$E$83,2,FALSE),"NULL")</f>
        <v>16</v>
      </c>
      <c r="D56" s="612" t="s">
        <v>63</v>
      </c>
      <c r="E56" s="612" t="s">
        <v>63</v>
      </c>
      <c r="F56" s="612" t="s">
        <v>63</v>
      </c>
      <c r="G56" s="612" t="s">
        <v>63</v>
      </c>
      <c r="H56" s="671" t="s">
        <v>63</v>
      </c>
      <c r="I56" s="614" t="s">
        <v>63</v>
      </c>
      <c r="J56" s="615" t="s">
        <v>63</v>
      </c>
      <c r="K56" s="672" t="s">
        <v>63</v>
      </c>
      <c r="L56" s="785" t="s">
        <v>63</v>
      </c>
      <c r="M56" s="704" t="s">
        <v>63</v>
      </c>
      <c r="N56" s="953" t="s">
        <v>63</v>
      </c>
      <c r="O56" s="619" t="s">
        <v>63</v>
      </c>
      <c r="P56" s="952">
        <f>ifna(vlookup(A56,'Population &amp; Church Numbers'!$A$1317:$D$1403,4,FALSE),"NULL")</f>
        <v>18</v>
      </c>
      <c r="Q56" s="674" t="s">
        <v>63</v>
      </c>
    </row>
    <row r="57">
      <c r="A57" s="609" t="s">
        <v>1332</v>
      </c>
      <c r="B57" s="610">
        <f t="array" ref="B57">VLOOKUP($A57,MN_DEMO,2,FALSE)</f>
        <v>162847</v>
      </c>
      <c r="C57" s="611">
        <f>IFERROR(VLOOKUP($A57,'MN Data'!$A$3:$E$83,2,FALSE),"NULL")</f>
        <v>205</v>
      </c>
      <c r="D57" s="612" t="s">
        <v>63</v>
      </c>
      <c r="E57" s="612" t="s">
        <v>63</v>
      </c>
      <c r="F57" s="612" t="s">
        <v>63</v>
      </c>
      <c r="G57" s="612" t="s">
        <v>63</v>
      </c>
      <c r="H57" s="671" t="s">
        <v>63</v>
      </c>
      <c r="I57" s="614" t="s">
        <v>63</v>
      </c>
      <c r="J57" s="615" t="s">
        <v>63</v>
      </c>
      <c r="K57" s="672" t="s">
        <v>63</v>
      </c>
      <c r="L57" s="785" t="s">
        <v>63</v>
      </c>
      <c r="M57" s="704" t="s">
        <v>63</v>
      </c>
      <c r="N57" s="953" t="s">
        <v>63</v>
      </c>
      <c r="O57" s="619" t="s">
        <v>63</v>
      </c>
      <c r="P57" s="952">
        <f>ifna(vlookup(A57,'Population &amp; Church Numbers'!$A$1317:$D$1403,4,FALSE),"NULL")</f>
        <v>110</v>
      </c>
      <c r="Q57" s="674" t="s">
        <v>63</v>
      </c>
    </row>
    <row r="58">
      <c r="A58" s="609" t="s">
        <v>1333</v>
      </c>
      <c r="B58" s="610">
        <f t="array" ref="B58">VLOOKUP($A58,MN_DEMO,2,FALSE)</f>
        <v>60081</v>
      </c>
      <c r="C58" s="611">
        <f>IFERROR(VLOOKUP($A58,'MN Data'!$A$3:$E$83,2,FALSE),"NULL")</f>
        <v>178</v>
      </c>
      <c r="D58" s="612" t="s">
        <v>63</v>
      </c>
      <c r="E58" s="612" t="s">
        <v>63</v>
      </c>
      <c r="F58" s="612" t="s">
        <v>63</v>
      </c>
      <c r="G58" s="612" t="s">
        <v>63</v>
      </c>
      <c r="H58" s="671" t="s">
        <v>63</v>
      </c>
      <c r="I58" s="614" t="s">
        <v>63</v>
      </c>
      <c r="J58" s="615" t="s">
        <v>63</v>
      </c>
      <c r="K58" s="672" t="s">
        <v>63</v>
      </c>
      <c r="L58" s="785" t="s">
        <v>63</v>
      </c>
      <c r="M58" s="704" t="s">
        <v>63</v>
      </c>
      <c r="N58" s="953" t="s">
        <v>63</v>
      </c>
      <c r="O58" s="619" t="s">
        <v>63</v>
      </c>
      <c r="P58" s="952">
        <f>ifna(vlookup(A58,'Population &amp; Church Numbers'!$A$1317:$D$1403,4,FALSE),"NULL")</f>
        <v>100</v>
      </c>
      <c r="Q58" s="674" t="s">
        <v>63</v>
      </c>
    </row>
    <row r="59">
      <c r="A59" s="609" t="s">
        <v>1334</v>
      </c>
      <c r="B59" s="610">
        <f t="array" ref="B59">VLOOKUP($A59,MN_DEMO,2,FALSE)</f>
        <v>13992</v>
      </c>
      <c r="C59" s="611">
        <f>IFERROR(VLOOKUP($A59,'MN Data'!$A$3:$E$83,2,FALSE),"NULL")</f>
        <v>16</v>
      </c>
      <c r="D59" s="612" t="s">
        <v>63</v>
      </c>
      <c r="E59" s="612" t="s">
        <v>63</v>
      </c>
      <c r="F59" s="612" t="s">
        <v>63</v>
      </c>
      <c r="G59" s="612" t="s">
        <v>63</v>
      </c>
      <c r="H59" s="671" t="s">
        <v>63</v>
      </c>
      <c r="I59" s="614" t="s">
        <v>63</v>
      </c>
      <c r="J59" s="615" t="s">
        <v>63</v>
      </c>
      <c r="K59" s="672" t="s">
        <v>63</v>
      </c>
      <c r="L59" s="785" t="s">
        <v>63</v>
      </c>
      <c r="M59" s="704" t="s">
        <v>63</v>
      </c>
      <c r="N59" s="953" t="s">
        <v>63</v>
      </c>
      <c r="O59" s="619" t="s">
        <v>63</v>
      </c>
      <c r="P59" s="952">
        <f>ifna(vlookup(A59,'Population &amp; Church Numbers'!$A$1317:$D$1403,4,FALSE),"NULL")</f>
        <v>27</v>
      </c>
      <c r="Q59" s="674" t="s">
        <v>63</v>
      </c>
    </row>
    <row r="60">
      <c r="A60" s="609" t="s">
        <v>1336</v>
      </c>
      <c r="B60" s="610">
        <f t="array" ref="B60">VLOOKUP($A60,MN_DEMO,2,FALSE)</f>
        <v>28876</v>
      </c>
      <c r="C60" s="611">
        <f>IFERROR(VLOOKUP($A60,'MN Data'!$A$3:$E$83,2,FALSE),"NULL")</f>
        <v>87</v>
      </c>
      <c r="D60" s="612" t="s">
        <v>63</v>
      </c>
      <c r="E60" s="612" t="s">
        <v>63</v>
      </c>
      <c r="F60" s="612" t="s">
        <v>63</v>
      </c>
      <c r="G60" s="612" t="s">
        <v>63</v>
      </c>
      <c r="H60" s="671" t="s">
        <v>63</v>
      </c>
      <c r="I60" s="614" t="s">
        <v>63</v>
      </c>
      <c r="J60" s="615" t="s">
        <v>63</v>
      </c>
      <c r="K60" s="672" t="s">
        <v>63</v>
      </c>
      <c r="L60" s="785" t="s">
        <v>63</v>
      </c>
      <c r="M60" s="704" t="s">
        <v>63</v>
      </c>
      <c r="N60" s="953" t="s">
        <v>63</v>
      </c>
      <c r="O60" s="619" t="s">
        <v>63</v>
      </c>
      <c r="P60" s="952">
        <f>ifna(vlookup(A60,'Population &amp; Church Numbers'!$A$1317:$D$1403,4,FALSE),"NULL")</f>
        <v>39</v>
      </c>
      <c r="Q60" s="674" t="s">
        <v>63</v>
      </c>
    </row>
    <row r="61">
      <c r="A61" s="609" t="s">
        <v>1337</v>
      </c>
      <c r="B61" s="610">
        <f t="array" ref="B61">VLOOKUP($A61,MN_DEMO,2,FALSE)</f>
        <v>9424</v>
      </c>
      <c r="C61" s="611" t="str">
        <f>IFERROR(VLOOKUP($A61,'MN Data'!$A$3:$E$83,2,FALSE),"NULL")</f>
        <v>NULL</v>
      </c>
      <c r="D61" s="612" t="s">
        <v>63</v>
      </c>
      <c r="E61" s="612" t="s">
        <v>63</v>
      </c>
      <c r="F61" s="612" t="s">
        <v>63</v>
      </c>
      <c r="G61" s="612" t="s">
        <v>63</v>
      </c>
      <c r="H61" s="671" t="s">
        <v>63</v>
      </c>
      <c r="I61" s="614" t="s">
        <v>63</v>
      </c>
      <c r="J61" s="615" t="s">
        <v>63</v>
      </c>
      <c r="K61" s="672" t="s">
        <v>63</v>
      </c>
      <c r="L61" s="785" t="s">
        <v>63</v>
      </c>
      <c r="M61" s="704" t="s">
        <v>63</v>
      </c>
      <c r="N61" s="953" t="s">
        <v>63</v>
      </c>
      <c r="O61" s="619" t="s">
        <v>63</v>
      </c>
      <c r="P61" s="952">
        <f>ifna(vlookup(A61,'Population &amp; Church Numbers'!$A$1317:$D$1403,4,FALSE),"NULL")</f>
        <v>24</v>
      </c>
      <c r="Q61" s="674" t="s">
        <v>63</v>
      </c>
    </row>
    <row r="62">
      <c r="A62" s="609" t="s">
        <v>302</v>
      </c>
      <c r="B62" s="610">
        <f t="array" ref="B62">VLOOKUP($A62,MN_DEMO,2,FALSE)</f>
        <v>31192</v>
      </c>
      <c r="C62" s="611">
        <f>IFERROR(VLOOKUP($A62,'MN Data'!$A$3:$E$83,2,FALSE),"NULL")</f>
        <v>110</v>
      </c>
      <c r="D62" s="612" t="s">
        <v>63</v>
      </c>
      <c r="E62" s="612" t="s">
        <v>63</v>
      </c>
      <c r="F62" s="612" t="s">
        <v>63</v>
      </c>
      <c r="G62" s="612" t="s">
        <v>63</v>
      </c>
      <c r="H62" s="671" t="s">
        <v>63</v>
      </c>
      <c r="I62" s="614" t="s">
        <v>63</v>
      </c>
      <c r="J62" s="615" t="s">
        <v>63</v>
      </c>
      <c r="K62" s="672" t="s">
        <v>63</v>
      </c>
      <c r="L62" s="785" t="s">
        <v>63</v>
      </c>
      <c r="M62" s="704" t="s">
        <v>63</v>
      </c>
      <c r="N62" s="953" t="s">
        <v>63</v>
      </c>
      <c r="O62" s="619" t="s">
        <v>63</v>
      </c>
      <c r="P62" s="952">
        <f>ifna(vlookup(A62,'Population &amp; Church Numbers'!$A$1317:$D$1403,4,FALSE),"NULL")</f>
        <v>63</v>
      </c>
      <c r="Q62" s="674" t="s">
        <v>63</v>
      </c>
    </row>
    <row r="63">
      <c r="A63" s="609" t="s">
        <v>303</v>
      </c>
      <c r="B63" s="610">
        <f t="array" ref="B63">VLOOKUP($A63,MN_DEMO,2,FALSE)</f>
        <v>11308</v>
      </c>
      <c r="C63" s="611">
        <f>IFERROR(VLOOKUP($A63,'MN Data'!$A$3:$E$83,2,FALSE),"NULL")</f>
        <v>23</v>
      </c>
      <c r="D63" s="612" t="s">
        <v>63</v>
      </c>
      <c r="E63" s="612" t="s">
        <v>63</v>
      </c>
      <c r="F63" s="612" t="s">
        <v>63</v>
      </c>
      <c r="G63" s="612" t="s">
        <v>63</v>
      </c>
      <c r="H63" s="671" t="s">
        <v>63</v>
      </c>
      <c r="I63" s="614" t="s">
        <v>63</v>
      </c>
      <c r="J63" s="615" t="s">
        <v>63</v>
      </c>
      <c r="K63" s="672" t="s">
        <v>63</v>
      </c>
      <c r="L63" s="785" t="s">
        <v>63</v>
      </c>
      <c r="M63" s="704" t="s">
        <v>63</v>
      </c>
      <c r="N63" s="953" t="s">
        <v>63</v>
      </c>
      <c r="O63" s="619" t="s">
        <v>63</v>
      </c>
      <c r="P63" s="952">
        <f>ifna(vlookup(A63,'Population &amp; Church Numbers'!$A$1317:$D$1403,4,FALSE),"NULL")</f>
        <v>21</v>
      </c>
      <c r="Q63" s="674" t="s">
        <v>63</v>
      </c>
    </row>
    <row r="64">
      <c r="A64" s="609" t="s">
        <v>645</v>
      </c>
      <c r="B64" s="610">
        <f t="array" ref="B64">VLOOKUP($A64,MN_DEMO,2,FALSE)</f>
        <v>552352</v>
      </c>
      <c r="C64" s="611">
        <f>IFERROR(VLOOKUP($A64,'MN Data'!$A$3:$E$83,2,FALSE),"NULL")</f>
        <v>1230</v>
      </c>
      <c r="D64" s="612" t="s">
        <v>63</v>
      </c>
      <c r="E64" s="612" t="s">
        <v>63</v>
      </c>
      <c r="F64" s="612" t="s">
        <v>63</v>
      </c>
      <c r="G64" s="612" t="s">
        <v>63</v>
      </c>
      <c r="H64" s="671" t="s">
        <v>63</v>
      </c>
      <c r="I64" s="614" t="s">
        <v>63</v>
      </c>
      <c r="J64" s="615" t="s">
        <v>63</v>
      </c>
      <c r="K64" s="672" t="s">
        <v>63</v>
      </c>
      <c r="L64" s="785" t="s">
        <v>63</v>
      </c>
      <c r="M64" s="704" t="s">
        <v>63</v>
      </c>
      <c r="N64" s="953" t="s">
        <v>63</v>
      </c>
      <c r="O64" s="619" t="s">
        <v>63</v>
      </c>
      <c r="P64" s="952">
        <f>ifna(vlookup(A64,'Population &amp; Church Numbers'!$A$1317:$D$1403,4,FALSE),"NULL")</f>
        <v>255</v>
      </c>
      <c r="Q64" s="674" t="s">
        <v>63</v>
      </c>
    </row>
    <row r="65">
      <c r="A65" s="609" t="s">
        <v>1338</v>
      </c>
      <c r="B65" s="610">
        <f t="array" ref="B65">VLOOKUP($A65,MN_DEMO,2,FALSE)</f>
        <v>3935</v>
      </c>
      <c r="C65" s="611">
        <f>IFERROR(VLOOKUP($A65,'MN Data'!$A$3:$E$83,2,FALSE),"NULL")</f>
        <v>1</v>
      </c>
      <c r="D65" s="612" t="s">
        <v>63</v>
      </c>
      <c r="E65" s="612" t="s">
        <v>63</v>
      </c>
      <c r="F65" s="612" t="s">
        <v>63</v>
      </c>
      <c r="G65" s="612" t="s">
        <v>63</v>
      </c>
      <c r="H65" s="671" t="s">
        <v>63</v>
      </c>
      <c r="I65" s="614" t="s">
        <v>63</v>
      </c>
      <c r="J65" s="615" t="s">
        <v>63</v>
      </c>
      <c r="K65" s="672" t="s">
        <v>63</v>
      </c>
      <c r="L65" s="785" t="s">
        <v>63</v>
      </c>
      <c r="M65" s="704" t="s">
        <v>63</v>
      </c>
      <c r="N65" s="953" t="s">
        <v>63</v>
      </c>
      <c r="O65" s="619" t="s">
        <v>63</v>
      </c>
      <c r="P65" s="952">
        <f>ifna(vlookup(A65,'Population &amp; Church Numbers'!$A$1317:$D$1403,4,FALSE),"NULL")</f>
        <v>8</v>
      </c>
      <c r="Q65" s="674" t="s">
        <v>63</v>
      </c>
    </row>
    <row r="66">
      <c r="A66" s="609" t="s">
        <v>1339</v>
      </c>
      <c r="B66" s="610">
        <f t="array" ref="B66">VLOOKUP($A66,MN_DEMO,2,FALSE)</f>
        <v>15425</v>
      </c>
      <c r="C66" s="611" t="str">
        <f>IFERROR(VLOOKUP($A66,'MN Data'!$A$3:$E$83,2,FALSE),"NULL")</f>
        <v>NULL</v>
      </c>
      <c r="D66" s="612" t="s">
        <v>63</v>
      </c>
      <c r="E66" s="612" t="s">
        <v>63</v>
      </c>
      <c r="F66" s="612" t="s">
        <v>63</v>
      </c>
      <c r="G66" s="612" t="s">
        <v>63</v>
      </c>
      <c r="H66" s="671" t="s">
        <v>63</v>
      </c>
      <c r="I66" s="614" t="s">
        <v>63</v>
      </c>
      <c r="J66" s="615" t="s">
        <v>63</v>
      </c>
      <c r="K66" s="672" t="s">
        <v>63</v>
      </c>
      <c r="L66" s="785" t="s">
        <v>63</v>
      </c>
      <c r="M66" s="704" t="s">
        <v>63</v>
      </c>
      <c r="N66" s="953" t="s">
        <v>63</v>
      </c>
      <c r="O66" s="619" t="s">
        <v>63</v>
      </c>
      <c r="P66" s="952">
        <f>ifna(vlookup(A66,'Population &amp; Church Numbers'!$A$1317:$D$1403,4,FALSE),"NULL")</f>
        <v>41</v>
      </c>
      <c r="Q66" s="674" t="s">
        <v>63</v>
      </c>
    </row>
    <row r="67">
      <c r="A67" s="609" t="s">
        <v>1340</v>
      </c>
      <c r="B67" s="610">
        <f t="array" ref="B67">VLOOKUP($A67,MN_DEMO,2,FALSE)</f>
        <v>14723</v>
      </c>
      <c r="C67" s="611">
        <f>IFERROR(VLOOKUP($A67,'MN Data'!$A$3:$E$83,2,FALSE),"NULL")</f>
        <v>61</v>
      </c>
      <c r="D67" s="612" t="s">
        <v>63</v>
      </c>
      <c r="E67" s="612" t="s">
        <v>63</v>
      </c>
      <c r="F67" s="612" t="s">
        <v>63</v>
      </c>
      <c r="G67" s="612" t="s">
        <v>63</v>
      </c>
      <c r="H67" s="671" t="s">
        <v>63</v>
      </c>
      <c r="I67" s="614" t="s">
        <v>63</v>
      </c>
      <c r="J67" s="615" t="s">
        <v>63</v>
      </c>
      <c r="K67" s="672" t="s">
        <v>63</v>
      </c>
      <c r="L67" s="785" t="s">
        <v>63</v>
      </c>
      <c r="M67" s="704" t="s">
        <v>63</v>
      </c>
      <c r="N67" s="953" t="s">
        <v>63</v>
      </c>
      <c r="O67" s="619" t="s">
        <v>63</v>
      </c>
      <c r="P67" s="952">
        <f>ifna(vlookup(A67,'Population &amp; Church Numbers'!$A$1317:$D$1403,4,FALSE),"NULL")</f>
        <v>32</v>
      </c>
      <c r="Q67" s="674" t="s">
        <v>63</v>
      </c>
    </row>
    <row r="68">
      <c r="A68" s="609" t="s">
        <v>1005</v>
      </c>
      <c r="B68" s="610">
        <f t="array" ref="B68">VLOOKUP($A68,MN_DEMO,2,FALSE)</f>
        <v>67097</v>
      </c>
      <c r="C68" s="611">
        <f>IFERROR(VLOOKUP($A68,'MN Data'!$A$3:$E$83,2,FALSE),"NULL")</f>
        <v>222</v>
      </c>
      <c r="D68" s="612" t="s">
        <v>63</v>
      </c>
      <c r="E68" s="612" t="s">
        <v>63</v>
      </c>
      <c r="F68" s="612" t="s">
        <v>63</v>
      </c>
      <c r="G68" s="612" t="s">
        <v>63</v>
      </c>
      <c r="H68" s="671" t="s">
        <v>63</v>
      </c>
      <c r="I68" s="614" t="s">
        <v>63</v>
      </c>
      <c r="J68" s="615" t="s">
        <v>63</v>
      </c>
      <c r="K68" s="672" t="s">
        <v>63</v>
      </c>
      <c r="L68" s="785" t="s">
        <v>63</v>
      </c>
      <c r="M68" s="704" t="s">
        <v>63</v>
      </c>
      <c r="N68" s="953" t="s">
        <v>63</v>
      </c>
      <c r="O68" s="619" t="s">
        <v>63</v>
      </c>
      <c r="P68" s="952">
        <f>ifna(vlookup(A68,'Population &amp; Church Numbers'!$A$1317:$D$1403,4,FALSE),"NULL")</f>
        <v>54</v>
      </c>
      <c r="Q68" s="674" t="s">
        <v>63</v>
      </c>
    </row>
    <row r="69">
      <c r="A69" s="609" t="s">
        <v>1341</v>
      </c>
      <c r="B69" s="610">
        <f t="array" ref="B69">VLOOKUP($A69,MN_DEMO,2,FALSE)</f>
        <v>9704</v>
      </c>
      <c r="C69" s="611" t="str">
        <f>IFERROR(VLOOKUP($A69,'MN Data'!$A$3:$E$83,2,FALSE),"NULL")</f>
        <v>NULL</v>
      </c>
      <c r="D69" s="612" t="s">
        <v>63</v>
      </c>
      <c r="E69" s="612" t="s">
        <v>63</v>
      </c>
      <c r="F69" s="612" t="s">
        <v>63</v>
      </c>
      <c r="G69" s="612" t="s">
        <v>63</v>
      </c>
      <c r="H69" s="671" t="s">
        <v>63</v>
      </c>
      <c r="I69" s="614" t="s">
        <v>63</v>
      </c>
      <c r="J69" s="615" t="s">
        <v>63</v>
      </c>
      <c r="K69" s="672" t="s">
        <v>63</v>
      </c>
      <c r="L69" s="785" t="s">
        <v>63</v>
      </c>
      <c r="M69" s="704" t="s">
        <v>63</v>
      </c>
      <c r="N69" s="953" t="s">
        <v>63</v>
      </c>
      <c r="O69" s="619" t="s">
        <v>63</v>
      </c>
      <c r="P69" s="952">
        <f>ifna(vlookup(A69,'Population &amp; Church Numbers'!$A$1317:$D$1403,4,FALSE),"NULL")</f>
        <v>21</v>
      </c>
      <c r="Q69" s="674" t="s">
        <v>63</v>
      </c>
    </row>
    <row r="70">
      <c r="A70" s="609" t="s">
        <v>1342</v>
      </c>
      <c r="B70" s="610">
        <f t="array" ref="B70">VLOOKUP($A70,MN_DEMO,2,FALSE)</f>
        <v>15331</v>
      </c>
      <c r="C70" s="611">
        <f>IFERROR(VLOOKUP($A70,'MN Data'!$A$3:$E$83,2,FALSE),"NULL")</f>
        <v>30</v>
      </c>
      <c r="D70" s="612" t="s">
        <v>63</v>
      </c>
      <c r="E70" s="612" t="s">
        <v>63</v>
      </c>
      <c r="F70" s="612" t="s">
        <v>63</v>
      </c>
      <c r="G70" s="612" t="s">
        <v>63</v>
      </c>
      <c r="H70" s="671" t="s">
        <v>63</v>
      </c>
      <c r="I70" s="614" t="s">
        <v>63</v>
      </c>
      <c r="J70" s="615" t="s">
        <v>63</v>
      </c>
      <c r="K70" s="672" t="s">
        <v>63</v>
      </c>
      <c r="L70" s="785" t="s">
        <v>63</v>
      </c>
      <c r="M70" s="704" t="s">
        <v>63</v>
      </c>
      <c r="N70" s="953" t="s">
        <v>63</v>
      </c>
      <c r="O70" s="619" t="s">
        <v>63</v>
      </c>
      <c r="P70" s="952">
        <f>ifna(vlookup(A70,'Population &amp; Church Numbers'!$A$1317:$D$1403,4,FALSE),"NULL")</f>
        <v>28</v>
      </c>
      <c r="Q70" s="674" t="s">
        <v>63</v>
      </c>
    </row>
    <row r="71">
      <c r="A71" s="609" t="s">
        <v>409</v>
      </c>
      <c r="B71" s="610">
        <f t="array" ref="B71">VLOOKUP($A71,MN_DEMO,2,FALSE)</f>
        <v>200231</v>
      </c>
      <c r="C71" s="611">
        <f>IFERROR(VLOOKUP($A71,'MN Data'!$A$3:$E$83,2,FALSE),"NULL")</f>
        <v>931</v>
      </c>
      <c r="D71" s="612" t="s">
        <v>63</v>
      </c>
      <c r="E71" s="612" t="s">
        <v>63</v>
      </c>
      <c r="F71" s="612" t="s">
        <v>63</v>
      </c>
      <c r="G71" s="612" t="s">
        <v>63</v>
      </c>
      <c r="H71" s="671" t="s">
        <v>63</v>
      </c>
      <c r="I71" s="614" t="s">
        <v>63</v>
      </c>
      <c r="J71" s="615" t="s">
        <v>63</v>
      </c>
      <c r="K71" s="672" t="s">
        <v>63</v>
      </c>
      <c r="L71" s="785" t="s">
        <v>63</v>
      </c>
      <c r="M71" s="704" t="s">
        <v>63</v>
      </c>
      <c r="N71" s="953" t="s">
        <v>63</v>
      </c>
      <c r="O71" s="619" t="s">
        <v>63</v>
      </c>
      <c r="P71" s="952">
        <f>ifna(vlookup(A71,'Population &amp; Church Numbers'!$A$1317:$D$1403,4,FALSE),"NULL")</f>
        <v>205</v>
      </c>
      <c r="Q71" s="674" t="s">
        <v>63</v>
      </c>
    </row>
    <row r="72">
      <c r="A72" s="609" t="s">
        <v>309</v>
      </c>
      <c r="B72" s="610">
        <f t="array" ref="B72">VLOOKUP($A72,MN_DEMO,2,FALSE)</f>
        <v>150928</v>
      </c>
      <c r="C72" s="611">
        <f>IFERROR(VLOOKUP($A72,'MN Data'!$A$3:$E$83,2,FALSE),"NULL")</f>
        <v>124</v>
      </c>
      <c r="D72" s="612" t="s">
        <v>63</v>
      </c>
      <c r="E72" s="612" t="s">
        <v>63</v>
      </c>
      <c r="F72" s="612" t="s">
        <v>63</v>
      </c>
      <c r="G72" s="612" t="s">
        <v>63</v>
      </c>
      <c r="H72" s="671" t="s">
        <v>63</v>
      </c>
      <c r="I72" s="614" t="s">
        <v>63</v>
      </c>
      <c r="J72" s="615" t="s">
        <v>63</v>
      </c>
      <c r="K72" s="672" t="s">
        <v>63</v>
      </c>
      <c r="L72" s="785" t="s">
        <v>63</v>
      </c>
      <c r="M72" s="704" t="s">
        <v>63</v>
      </c>
      <c r="N72" s="953" t="s">
        <v>63</v>
      </c>
      <c r="O72" s="619" t="s">
        <v>63</v>
      </c>
      <c r="P72" s="952">
        <f>ifna(vlookup(A72,'Population &amp; Church Numbers'!$A$1317:$D$1403,4,FALSE),"NULL")</f>
        <v>54</v>
      </c>
      <c r="Q72" s="674" t="s">
        <v>63</v>
      </c>
    </row>
    <row r="73">
      <c r="A73" s="609" t="s">
        <v>1344</v>
      </c>
      <c r="B73" s="610">
        <f t="array" ref="B73">VLOOKUP($A73,MN_DEMO,2,FALSE)</f>
        <v>97183</v>
      </c>
      <c r="C73" s="611">
        <f>IFERROR(VLOOKUP($A73,'MN Data'!$A$3:$E$83,2,FALSE),"NULL")</f>
        <v>126</v>
      </c>
      <c r="D73" s="612" t="s">
        <v>63</v>
      </c>
      <c r="E73" s="612" t="s">
        <v>63</v>
      </c>
      <c r="F73" s="612" t="s">
        <v>63</v>
      </c>
      <c r="G73" s="612" t="s">
        <v>63</v>
      </c>
      <c r="H73" s="671" t="s">
        <v>63</v>
      </c>
      <c r="I73" s="614" t="s">
        <v>63</v>
      </c>
      <c r="J73" s="615" t="s">
        <v>63</v>
      </c>
      <c r="K73" s="672" t="s">
        <v>63</v>
      </c>
      <c r="L73" s="785" t="s">
        <v>63</v>
      </c>
      <c r="M73" s="704" t="s">
        <v>63</v>
      </c>
      <c r="N73" s="953" t="s">
        <v>63</v>
      </c>
      <c r="O73" s="619" t="s">
        <v>63</v>
      </c>
      <c r="P73" s="952">
        <f>ifna(vlookup(A73,'Population &amp; Church Numbers'!$A$1317:$D$1403,4,FALSE),"NULL")</f>
        <v>42</v>
      </c>
      <c r="Q73" s="674" t="s">
        <v>63</v>
      </c>
    </row>
    <row r="74">
      <c r="A74" s="609" t="s">
        <v>1345</v>
      </c>
      <c r="B74" s="610">
        <f t="array" ref="B74">VLOOKUP($A74,MN_DEMO,2,FALSE)</f>
        <v>14836</v>
      </c>
      <c r="C74" s="611">
        <f>IFERROR(VLOOKUP($A74,'MN Data'!$A$3:$E$83,2,FALSE),"NULL")</f>
        <v>23</v>
      </c>
      <c r="D74" s="612" t="s">
        <v>63</v>
      </c>
      <c r="E74" s="612" t="s">
        <v>63</v>
      </c>
      <c r="F74" s="612" t="s">
        <v>63</v>
      </c>
      <c r="G74" s="612" t="s">
        <v>63</v>
      </c>
      <c r="H74" s="671" t="s">
        <v>63</v>
      </c>
      <c r="I74" s="614" t="s">
        <v>63</v>
      </c>
      <c r="J74" s="615" t="s">
        <v>63</v>
      </c>
      <c r="K74" s="672" t="s">
        <v>63</v>
      </c>
      <c r="L74" s="785" t="s">
        <v>63</v>
      </c>
      <c r="M74" s="704" t="s">
        <v>63</v>
      </c>
      <c r="N74" s="953" t="s">
        <v>63</v>
      </c>
      <c r="O74" s="619" t="s">
        <v>63</v>
      </c>
      <c r="P74" s="952">
        <f>ifna(vlookup(A74,'Population &amp; Church Numbers'!$A$1317:$D$1403,4,FALSE),"NULL")</f>
        <v>33</v>
      </c>
      <c r="Q74" s="674" t="s">
        <v>63</v>
      </c>
    </row>
    <row r="75">
      <c r="A75" s="609" t="s">
        <v>1346</v>
      </c>
      <c r="B75" s="610">
        <f t="array" ref="B75">VLOOKUP($A75,MN_DEMO,2,FALSE)</f>
        <v>158292</v>
      </c>
      <c r="C75" s="611">
        <f>IFERROR(VLOOKUP($A75,'MN Data'!$A$3:$E$83,2,FALSE),"NULL")</f>
        <v>361</v>
      </c>
      <c r="D75" s="612" t="s">
        <v>63</v>
      </c>
      <c r="E75" s="612" t="s">
        <v>63</v>
      </c>
      <c r="F75" s="612" t="s">
        <v>63</v>
      </c>
      <c r="G75" s="612" t="s">
        <v>63</v>
      </c>
      <c r="H75" s="671" t="s">
        <v>63</v>
      </c>
      <c r="I75" s="614" t="s">
        <v>63</v>
      </c>
      <c r="J75" s="615" t="s">
        <v>63</v>
      </c>
      <c r="K75" s="672" t="s">
        <v>63</v>
      </c>
      <c r="L75" s="785" t="s">
        <v>63</v>
      </c>
      <c r="M75" s="704" t="s">
        <v>63</v>
      </c>
      <c r="N75" s="953" t="s">
        <v>63</v>
      </c>
      <c r="O75" s="619" t="s">
        <v>63</v>
      </c>
      <c r="P75" s="952">
        <f>ifna(vlookup(A75,'Population &amp; Church Numbers'!$A$1317:$D$1403,4,FALSE),"NULL")</f>
        <v>114</v>
      </c>
      <c r="Q75" s="674" t="s">
        <v>63</v>
      </c>
    </row>
    <row r="76">
      <c r="A76" s="609" t="s">
        <v>1347</v>
      </c>
      <c r="B76" s="610">
        <f t="array" ref="B76">VLOOKUP($A76,MN_DEMO,2,FALSE)</f>
        <v>37406</v>
      </c>
      <c r="C76" s="611" t="str">
        <f>IFERROR(VLOOKUP($A76,'MN Data'!$A$3:$E$83,2,FALSE),"NULL")</f>
        <v>NULL</v>
      </c>
      <c r="D76" s="612" t="s">
        <v>63</v>
      </c>
      <c r="E76" s="612" t="s">
        <v>63</v>
      </c>
      <c r="F76" s="612" t="s">
        <v>63</v>
      </c>
      <c r="G76" s="612" t="s">
        <v>63</v>
      </c>
      <c r="H76" s="671" t="s">
        <v>63</v>
      </c>
      <c r="I76" s="614" t="s">
        <v>63</v>
      </c>
      <c r="J76" s="615" t="s">
        <v>63</v>
      </c>
      <c r="K76" s="672" t="s">
        <v>63</v>
      </c>
      <c r="L76" s="785" t="s">
        <v>63</v>
      </c>
      <c r="M76" s="704" t="s">
        <v>63</v>
      </c>
      <c r="N76" s="953" t="s">
        <v>63</v>
      </c>
      <c r="O76" s="619" t="s">
        <v>63</v>
      </c>
      <c r="P76" s="952">
        <f>ifna(vlookup(A76,'Population &amp; Church Numbers'!$A$1317:$D$1403,4,FALSE),"NULL")</f>
        <v>33</v>
      </c>
      <c r="Q76" s="674" t="s">
        <v>63</v>
      </c>
    </row>
    <row r="77">
      <c r="A77" s="609" t="s">
        <v>1015</v>
      </c>
      <c r="B77" s="610">
        <f t="array" ref="B77">VLOOKUP($A77,MN_DEMO,2,FALSE)</f>
        <v>9671</v>
      </c>
      <c r="C77" s="611">
        <f>IFERROR(VLOOKUP($A77,'MN Data'!$A$3:$E$83,2,FALSE),"NULL")</f>
        <v>33</v>
      </c>
      <c r="D77" s="612" t="s">
        <v>63</v>
      </c>
      <c r="E77" s="612" t="s">
        <v>63</v>
      </c>
      <c r="F77" s="612" t="s">
        <v>63</v>
      </c>
      <c r="G77" s="612" t="s">
        <v>63</v>
      </c>
      <c r="H77" s="671" t="s">
        <v>63</v>
      </c>
      <c r="I77" s="614" t="s">
        <v>63</v>
      </c>
      <c r="J77" s="615" t="s">
        <v>63</v>
      </c>
      <c r="K77" s="672" t="s">
        <v>63</v>
      </c>
      <c r="L77" s="785" t="s">
        <v>63</v>
      </c>
      <c r="M77" s="704" t="s">
        <v>63</v>
      </c>
      <c r="N77" s="953" t="s">
        <v>63</v>
      </c>
      <c r="O77" s="619" t="s">
        <v>63</v>
      </c>
      <c r="P77" s="952">
        <f>ifna(vlookup(A77,'Population &amp; Church Numbers'!$A$1317:$D$1403,4,FALSE),"NULL")</f>
        <v>20</v>
      </c>
      <c r="Q77" s="674" t="s">
        <v>63</v>
      </c>
    </row>
    <row r="78">
      <c r="A78" s="609" t="s">
        <v>1348</v>
      </c>
      <c r="B78" s="610">
        <f t="array" ref="B78">VLOOKUP($A78,MN_DEMO,2,FALSE)</f>
        <v>9838</v>
      </c>
      <c r="C78" s="611">
        <f>IFERROR(VLOOKUP($A78,'MN Data'!$A$3:$E$83,2,FALSE),"NULL")</f>
        <v>58</v>
      </c>
      <c r="D78" s="612" t="s">
        <v>63</v>
      </c>
      <c r="E78" s="612" t="s">
        <v>63</v>
      </c>
      <c r="F78" s="612" t="s">
        <v>63</v>
      </c>
      <c r="G78" s="612" t="s">
        <v>63</v>
      </c>
      <c r="H78" s="671" t="s">
        <v>63</v>
      </c>
      <c r="I78" s="614" t="s">
        <v>63</v>
      </c>
      <c r="J78" s="615" t="s">
        <v>63</v>
      </c>
      <c r="K78" s="672" t="s">
        <v>63</v>
      </c>
      <c r="L78" s="785" t="s">
        <v>63</v>
      </c>
      <c r="M78" s="704" t="s">
        <v>63</v>
      </c>
      <c r="N78" s="953" t="s">
        <v>63</v>
      </c>
      <c r="O78" s="619" t="s">
        <v>63</v>
      </c>
      <c r="P78" s="952">
        <f>ifna(vlookup(A78,'Population &amp; Church Numbers'!$A$1317:$D$1403,4,FALSE),"NULL")</f>
        <v>21</v>
      </c>
      <c r="Q78" s="674" t="s">
        <v>63</v>
      </c>
    </row>
    <row r="79">
      <c r="A79" s="609" t="s">
        <v>1135</v>
      </c>
      <c r="B79" s="610">
        <f t="array" ref="B79">VLOOKUP($A79,MN_DEMO,2,FALSE)</f>
        <v>25262</v>
      </c>
      <c r="C79" s="611">
        <f>IFERROR(VLOOKUP($A79,'MN Data'!$A$3:$E$83,2,FALSE),"NULL")</f>
        <v>57</v>
      </c>
      <c r="D79" s="612" t="s">
        <v>63</v>
      </c>
      <c r="E79" s="612" t="s">
        <v>63</v>
      </c>
      <c r="F79" s="612" t="s">
        <v>63</v>
      </c>
      <c r="G79" s="612" t="s">
        <v>63</v>
      </c>
      <c r="H79" s="671" t="s">
        <v>63</v>
      </c>
      <c r="I79" s="614" t="s">
        <v>63</v>
      </c>
      <c r="J79" s="615" t="s">
        <v>63</v>
      </c>
      <c r="K79" s="672" t="s">
        <v>63</v>
      </c>
      <c r="L79" s="785" t="s">
        <v>63</v>
      </c>
      <c r="M79" s="704" t="s">
        <v>63</v>
      </c>
      <c r="N79" s="953" t="s">
        <v>63</v>
      </c>
      <c r="O79" s="619" t="s">
        <v>63</v>
      </c>
      <c r="P79" s="952">
        <f>ifna(vlookup(A79,'Population &amp; Church Numbers'!$A$1317:$D$1403,4,FALSE),"NULL")</f>
        <v>45</v>
      </c>
      <c r="Q79" s="674" t="s">
        <v>63</v>
      </c>
    </row>
    <row r="80">
      <c r="A80" s="609" t="s">
        <v>1349</v>
      </c>
      <c r="B80" s="610">
        <f t="array" ref="B80">VLOOKUP($A80,MN_DEMO,2,FALSE)</f>
        <v>3360</v>
      </c>
      <c r="C80" s="611">
        <f>IFERROR(VLOOKUP($A80,'MN Data'!$A$3:$E$83,2,FALSE),"NULL")</f>
        <v>12</v>
      </c>
      <c r="D80" s="612" t="s">
        <v>63</v>
      </c>
      <c r="E80" s="612" t="s">
        <v>63</v>
      </c>
      <c r="F80" s="612" t="s">
        <v>63</v>
      </c>
      <c r="G80" s="612" t="s">
        <v>63</v>
      </c>
      <c r="H80" s="671" t="s">
        <v>63</v>
      </c>
      <c r="I80" s="614" t="s">
        <v>63</v>
      </c>
      <c r="J80" s="615" t="s">
        <v>63</v>
      </c>
      <c r="K80" s="672" t="s">
        <v>63</v>
      </c>
      <c r="L80" s="785" t="s">
        <v>63</v>
      </c>
      <c r="M80" s="704" t="s">
        <v>63</v>
      </c>
      <c r="N80" s="953" t="s">
        <v>63</v>
      </c>
      <c r="O80" s="619" t="s">
        <v>63</v>
      </c>
      <c r="P80" s="952">
        <f>ifna(vlookup(A80,'Population &amp; Church Numbers'!$A$1317:$D$1403,4,FALSE),"NULL")</f>
        <v>11</v>
      </c>
      <c r="Q80" s="674" t="s">
        <v>63</v>
      </c>
    </row>
    <row r="81">
      <c r="A81" s="609" t="s">
        <v>1350</v>
      </c>
      <c r="B81" s="610">
        <f t="array" ref="B81">VLOOKUP($A81,MN_DEMO,2,FALSE)</f>
        <v>21387</v>
      </c>
      <c r="C81" s="611">
        <f>IFERROR(VLOOKUP($A81,'MN Data'!$A$3:$E$83,2,FALSE),"NULL")</f>
        <v>34</v>
      </c>
      <c r="D81" s="612" t="s">
        <v>63</v>
      </c>
      <c r="E81" s="612" t="s">
        <v>63</v>
      </c>
      <c r="F81" s="612" t="s">
        <v>63</v>
      </c>
      <c r="G81" s="612" t="s">
        <v>63</v>
      </c>
      <c r="H81" s="671" t="s">
        <v>63</v>
      </c>
      <c r="I81" s="614" t="s">
        <v>63</v>
      </c>
      <c r="J81" s="615" t="s">
        <v>63</v>
      </c>
      <c r="K81" s="672" t="s">
        <v>63</v>
      </c>
      <c r="L81" s="785" t="s">
        <v>63</v>
      </c>
      <c r="M81" s="704" t="s">
        <v>63</v>
      </c>
      <c r="N81" s="953" t="s">
        <v>63</v>
      </c>
      <c r="O81" s="619" t="s">
        <v>63</v>
      </c>
      <c r="P81" s="952">
        <f>ifna(vlookup(A81,'Population &amp; Church Numbers'!$A$1317:$D$1403,4,FALSE),"NULL")</f>
        <v>33</v>
      </c>
      <c r="Q81" s="674" t="s">
        <v>63</v>
      </c>
    </row>
    <row r="82">
      <c r="A82" s="609" t="s">
        <v>1351</v>
      </c>
      <c r="B82" s="610">
        <f t="array" ref="B82">VLOOKUP($A82,MN_DEMO,2,FALSE)</f>
        <v>14065</v>
      </c>
      <c r="C82" s="611">
        <f>IFERROR(VLOOKUP($A82,'MN Data'!$A$3:$E$83,2,FALSE),"NULL")</f>
        <v>91</v>
      </c>
      <c r="D82" s="612" t="s">
        <v>63</v>
      </c>
      <c r="E82" s="612" t="s">
        <v>63</v>
      </c>
      <c r="F82" s="612" t="s">
        <v>63</v>
      </c>
      <c r="G82" s="612" t="s">
        <v>63</v>
      </c>
      <c r="H82" s="671" t="s">
        <v>63</v>
      </c>
      <c r="I82" s="614" t="s">
        <v>63</v>
      </c>
      <c r="J82" s="615" t="s">
        <v>63</v>
      </c>
      <c r="K82" s="672" t="s">
        <v>63</v>
      </c>
      <c r="L82" s="785" t="s">
        <v>63</v>
      </c>
      <c r="M82" s="704" t="s">
        <v>63</v>
      </c>
      <c r="N82" s="953" t="s">
        <v>63</v>
      </c>
      <c r="O82" s="619" t="s">
        <v>63</v>
      </c>
      <c r="P82" s="952">
        <f>ifna(vlookup(A82,'Population &amp; Church Numbers'!$A$1317:$D$1403,4,FALSE),"NULL")</f>
        <v>34</v>
      </c>
      <c r="Q82" s="674" t="s">
        <v>63</v>
      </c>
    </row>
    <row r="83">
      <c r="A83" s="609" t="s">
        <v>1352</v>
      </c>
      <c r="B83" s="610">
        <f t="array" ref="B83">VLOOKUP($A83,MN_DEMO,2,FALSE)</f>
        <v>18968</v>
      </c>
      <c r="C83" s="611" t="str">
        <f>IFERROR(VLOOKUP($A83,'MN Data'!$A$3:$E$83,2,FALSE),"NULL")</f>
        <v>NULL</v>
      </c>
      <c r="D83" s="612" t="s">
        <v>63</v>
      </c>
      <c r="E83" s="612" t="s">
        <v>63</v>
      </c>
      <c r="F83" s="612" t="s">
        <v>63</v>
      </c>
      <c r="G83" s="612" t="s">
        <v>63</v>
      </c>
      <c r="H83" s="671" t="s">
        <v>63</v>
      </c>
      <c r="I83" s="614" t="s">
        <v>63</v>
      </c>
      <c r="J83" s="615" t="s">
        <v>63</v>
      </c>
      <c r="K83" s="672" t="s">
        <v>63</v>
      </c>
      <c r="L83" s="785" t="s">
        <v>63</v>
      </c>
      <c r="M83" s="704" t="s">
        <v>63</v>
      </c>
      <c r="N83" s="953" t="s">
        <v>63</v>
      </c>
      <c r="O83" s="619" t="s">
        <v>63</v>
      </c>
      <c r="P83" s="952">
        <f>ifna(vlookup(A83,'Population &amp; Church Numbers'!$A$1317:$D$1403,4,FALSE),"NULL")</f>
        <v>32</v>
      </c>
      <c r="Q83" s="674" t="s">
        <v>63</v>
      </c>
    </row>
    <row r="84">
      <c r="A84" s="609" t="s">
        <v>119</v>
      </c>
      <c r="B84" s="610">
        <f t="array" ref="B84">VLOOKUP($A84,MN_DEMO,2,FALSE)</f>
        <v>267568</v>
      </c>
      <c r="C84" s="611">
        <f>IFERROR(VLOOKUP($A84,'MN Data'!$A$3:$E$83,2,FALSE),"NULL")</f>
        <v>235</v>
      </c>
      <c r="D84" s="612" t="s">
        <v>63</v>
      </c>
      <c r="E84" s="612" t="s">
        <v>63</v>
      </c>
      <c r="F84" s="612" t="s">
        <v>63</v>
      </c>
      <c r="G84" s="612" t="s">
        <v>63</v>
      </c>
      <c r="H84" s="671" t="s">
        <v>63</v>
      </c>
      <c r="I84" s="614" t="s">
        <v>63</v>
      </c>
      <c r="J84" s="615" t="s">
        <v>63</v>
      </c>
      <c r="K84" s="672" t="s">
        <v>63</v>
      </c>
      <c r="L84" s="785" t="s">
        <v>63</v>
      </c>
      <c r="M84" s="704" t="s">
        <v>63</v>
      </c>
      <c r="N84" s="953" t="s">
        <v>63</v>
      </c>
      <c r="O84" s="619" t="s">
        <v>63</v>
      </c>
      <c r="P84" s="952">
        <f>ifna(vlookup(A84,'Population &amp; Church Numbers'!$A$1317:$D$1403,4,FALSE),"NULL")</f>
        <v>95</v>
      </c>
      <c r="Q84" s="674" t="s">
        <v>63</v>
      </c>
    </row>
    <row r="85">
      <c r="A85" s="609" t="s">
        <v>1353</v>
      </c>
      <c r="B85" s="610">
        <f t="array" ref="B85">VLOOKUP($A85,MN_DEMO,2,FALSE)</f>
        <v>11253</v>
      </c>
      <c r="C85" s="611">
        <f>IFERROR(VLOOKUP($A85,'MN Data'!$A$3:$E$83,2,FALSE),"NULL")</f>
        <v>44</v>
      </c>
      <c r="D85" s="612" t="s">
        <v>63</v>
      </c>
      <c r="E85" s="612" t="s">
        <v>63</v>
      </c>
      <c r="F85" s="612" t="s">
        <v>63</v>
      </c>
      <c r="G85" s="612" t="s">
        <v>63</v>
      </c>
      <c r="H85" s="671" t="s">
        <v>63</v>
      </c>
      <c r="I85" s="614" t="s">
        <v>63</v>
      </c>
      <c r="J85" s="615" t="s">
        <v>63</v>
      </c>
      <c r="K85" s="672" t="s">
        <v>63</v>
      </c>
      <c r="L85" s="785" t="s">
        <v>63</v>
      </c>
      <c r="M85" s="704" t="s">
        <v>63</v>
      </c>
      <c r="N85" s="953" t="s">
        <v>63</v>
      </c>
      <c r="O85" s="619" t="s">
        <v>63</v>
      </c>
      <c r="P85" s="952">
        <f>ifna(vlookup(A85,'Population &amp; Church Numbers'!$A$1317:$D$1403,4,FALSE),"NULL")</f>
        <v>23</v>
      </c>
      <c r="Q85" s="674" t="s">
        <v>63</v>
      </c>
    </row>
    <row r="86">
      <c r="A86" s="609" t="s">
        <v>1354</v>
      </c>
      <c r="B86" s="610">
        <f t="array" ref="B86">VLOOKUP($A86,MN_DEMO,2,FALSE)</f>
        <v>6506</v>
      </c>
      <c r="C86" s="611">
        <f>IFERROR(VLOOKUP($A86,'MN Data'!$A$3:$E$83,2,FALSE),"NULL")</f>
        <v>38</v>
      </c>
      <c r="D86" s="612" t="s">
        <v>63</v>
      </c>
      <c r="E86" s="612" t="s">
        <v>63</v>
      </c>
      <c r="F86" s="612" t="s">
        <v>63</v>
      </c>
      <c r="G86" s="612" t="s">
        <v>63</v>
      </c>
      <c r="H86" s="671" t="s">
        <v>63</v>
      </c>
      <c r="I86" s="614" t="s">
        <v>63</v>
      </c>
      <c r="J86" s="615" t="s">
        <v>63</v>
      </c>
      <c r="K86" s="672" t="s">
        <v>63</v>
      </c>
      <c r="L86" s="785" t="s">
        <v>63</v>
      </c>
      <c r="M86" s="704" t="s">
        <v>63</v>
      </c>
      <c r="N86" s="953" t="s">
        <v>63</v>
      </c>
      <c r="O86" s="619" t="s">
        <v>63</v>
      </c>
      <c r="P86" s="952">
        <f>ifna(vlookup(A86,'Population &amp; Church Numbers'!$A$1317:$D$1403,4,FALSE),"NULL")</f>
        <v>11</v>
      </c>
      <c r="Q86" s="674" t="s">
        <v>63</v>
      </c>
    </row>
    <row r="87">
      <c r="A87" s="609" t="s">
        <v>1355</v>
      </c>
      <c r="B87" s="610">
        <f t="array" ref="B87">VLOOKUP($A87,MN_DEMO,2,FALSE)</f>
        <v>49671</v>
      </c>
      <c r="C87" s="611">
        <f>IFERROR(VLOOKUP($A87,'MN Data'!$A$3:$E$83,2,FALSE),"NULL")</f>
        <v>143</v>
      </c>
      <c r="D87" s="612" t="s">
        <v>63</v>
      </c>
      <c r="E87" s="612" t="s">
        <v>63</v>
      </c>
      <c r="F87" s="612" t="s">
        <v>63</v>
      </c>
      <c r="G87" s="612" t="s">
        <v>63</v>
      </c>
      <c r="H87" s="671" t="s">
        <v>63</v>
      </c>
      <c r="I87" s="614" t="s">
        <v>63</v>
      </c>
      <c r="J87" s="615" t="s">
        <v>63</v>
      </c>
      <c r="K87" s="672" t="s">
        <v>63</v>
      </c>
      <c r="L87" s="785" t="s">
        <v>63</v>
      </c>
      <c r="M87" s="704" t="s">
        <v>63</v>
      </c>
      <c r="N87" s="953" t="s">
        <v>63</v>
      </c>
      <c r="O87" s="619" t="s">
        <v>63</v>
      </c>
      <c r="P87" s="952">
        <f>ifna(vlookup(A87,'Population &amp; Church Numbers'!$A$1317:$D$1403,4,FALSE),"NULL")</f>
        <v>46</v>
      </c>
      <c r="Q87" s="674" t="s">
        <v>63</v>
      </c>
    </row>
    <row r="88">
      <c r="A88" s="609" t="s">
        <v>949</v>
      </c>
      <c r="B88" s="610">
        <f t="array" ref="B88">VLOOKUP($A88,MN_DEMO,2,FALSE)</f>
        <v>141337</v>
      </c>
      <c r="C88" s="611">
        <f>IFERROR(VLOOKUP($A88,'MN Data'!$A$3:$E$83,2,FALSE),"NULL")</f>
        <v>197</v>
      </c>
      <c r="D88" s="612" t="s">
        <v>63</v>
      </c>
      <c r="E88" s="612" t="s">
        <v>63</v>
      </c>
      <c r="F88" s="612" t="s">
        <v>63</v>
      </c>
      <c r="G88" s="612" t="s">
        <v>63</v>
      </c>
      <c r="H88" s="671" t="s">
        <v>63</v>
      </c>
      <c r="I88" s="614" t="s">
        <v>63</v>
      </c>
      <c r="J88" s="615" t="s">
        <v>63</v>
      </c>
      <c r="K88" s="672" t="s">
        <v>63</v>
      </c>
      <c r="L88" s="785" t="s">
        <v>63</v>
      </c>
      <c r="M88" s="704" t="s">
        <v>63</v>
      </c>
      <c r="N88" s="953" t="s">
        <v>63</v>
      </c>
      <c r="O88" s="619" t="s">
        <v>63</v>
      </c>
      <c r="P88" s="952">
        <f>ifna(vlookup(A88,'Population &amp; Church Numbers'!$A$1317:$D$1403,4,FALSE),"NULL")</f>
        <v>84</v>
      </c>
      <c r="Q88" s="674" t="s">
        <v>63</v>
      </c>
    </row>
    <row r="89">
      <c r="A89" s="609" t="s">
        <v>1356</v>
      </c>
      <c r="B89" s="610">
        <f t="array" ref="B89">VLOOKUP($A89,MN_DEMO,2,FALSE)</f>
        <v>9528</v>
      </c>
      <c r="C89" s="611">
        <f>IFERROR(VLOOKUP($A89,'MN Data'!$A$3:$E$83,2,FALSE),"NULL")</f>
        <v>38</v>
      </c>
      <c r="D89" s="612" t="s">
        <v>63</v>
      </c>
      <c r="E89" s="612" t="s">
        <v>63</v>
      </c>
      <c r="F89" s="612" t="s">
        <v>63</v>
      </c>
      <c r="G89" s="612" t="s">
        <v>63</v>
      </c>
      <c r="H89" s="671" t="s">
        <v>63</v>
      </c>
      <c r="I89" s="614" t="s">
        <v>63</v>
      </c>
      <c r="J89" s="615" t="s">
        <v>63</v>
      </c>
      <c r="K89" s="672" t="s">
        <v>63</v>
      </c>
      <c r="L89" s="785" t="s">
        <v>63</v>
      </c>
      <c r="M89" s="704" t="s">
        <v>63</v>
      </c>
      <c r="N89" s="953" t="s">
        <v>63</v>
      </c>
      <c r="O89" s="619" t="s">
        <v>63</v>
      </c>
      <c r="P89" s="952">
        <f>ifna(vlookup(A89,'Population &amp; Church Numbers'!$A$1317:$D$1403,4,FALSE),"NULL")</f>
        <v>25</v>
      </c>
      <c r="Q89" s="674" t="s">
        <v>63</v>
      </c>
    </row>
    <row r="90">
      <c r="A90" s="217"/>
      <c r="B90" s="218"/>
      <c r="C90" s="219"/>
      <c r="D90" s="220"/>
      <c r="E90" s="220"/>
      <c r="F90" s="220"/>
      <c r="G90" s="220"/>
      <c r="H90" s="221"/>
      <c r="I90" s="222"/>
      <c r="J90" s="223"/>
      <c r="K90" s="219"/>
      <c r="L90" s="224"/>
      <c r="M90" s="225"/>
      <c r="N90" s="226"/>
      <c r="O90" s="220"/>
      <c r="P90" s="221"/>
      <c r="Q90" s="227"/>
    </row>
    <row r="91">
      <c r="A91" s="228" t="s">
        <v>2</v>
      </c>
      <c r="B91" s="229"/>
      <c r="C91" s="230">
        <f>'MN Data'!B84</f>
        <v>13442</v>
      </c>
      <c r="D91" s="231" t="s">
        <v>63</v>
      </c>
      <c r="E91" s="231" t="s">
        <v>63</v>
      </c>
      <c r="F91" s="231" t="s">
        <v>63</v>
      </c>
      <c r="G91" s="231" t="s">
        <v>63</v>
      </c>
      <c r="H91" s="359">
        <f>AFCARSCSC!D27</f>
        <v>3766</v>
      </c>
      <c r="I91" s="433">
        <f>AFCARSCSC!C27</f>
        <v>1423</v>
      </c>
      <c r="J91" s="235" t="s">
        <v>63</v>
      </c>
      <c r="K91" s="708" t="s">
        <v>63</v>
      </c>
      <c r="L91" s="309" t="s">
        <v>63</v>
      </c>
      <c r="M91" s="360" t="s">
        <v>63</v>
      </c>
      <c r="N91" s="311" t="s">
        <v>63</v>
      </c>
      <c r="O91" s="311" t="s">
        <v>63</v>
      </c>
      <c r="P91" s="233">
        <f>SUM(P3:P89)</f>
        <v>4464</v>
      </c>
      <c r="Q91" s="239" t="s">
        <v>63</v>
      </c>
    </row>
  </sheetData>
  <mergeCells count="1">
    <mergeCell ref="B1:Q1"/>
  </mergeCells>
  <drawing r:id="rId1"/>
  <tableParts count="1">
    <tablePart r:id="rId3"/>
  </tableParts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75" t="s">
        <v>1040</v>
      </c>
      <c r="B1" s="276"/>
      <c r="C1" s="276"/>
      <c r="D1" s="275" t="s">
        <v>765</v>
      </c>
      <c r="E1" s="276"/>
      <c r="F1" s="276"/>
      <c r="G1" s="276"/>
      <c r="H1" s="275" t="s">
        <v>767</v>
      </c>
      <c r="I1" s="277">
        <v>44914.0</v>
      </c>
      <c r="J1" s="275" t="s">
        <v>769</v>
      </c>
      <c r="K1" s="987">
        <v>43739.0</v>
      </c>
      <c r="L1" s="276"/>
    </row>
    <row r="2">
      <c r="A2" s="988" t="s">
        <v>3473</v>
      </c>
      <c r="B2" s="989" t="s">
        <v>3474</v>
      </c>
      <c r="C2" s="990"/>
      <c r="D2" s="990"/>
      <c r="E2" s="991"/>
    </row>
    <row r="3">
      <c r="A3" s="810" t="s">
        <v>1297</v>
      </c>
      <c r="B3" s="413">
        <v>51.0</v>
      </c>
      <c r="C3" s="992"/>
      <c r="D3" s="992"/>
      <c r="E3" s="367"/>
    </row>
    <row r="4">
      <c r="A4" s="810" t="s">
        <v>1298</v>
      </c>
      <c r="B4" s="413">
        <v>435.0</v>
      </c>
      <c r="C4" s="992"/>
      <c r="D4" s="992"/>
      <c r="E4" s="367"/>
    </row>
    <row r="5">
      <c r="A5" s="810" t="s">
        <v>1299</v>
      </c>
      <c r="B5" s="413">
        <v>176.0</v>
      </c>
      <c r="C5" s="992"/>
      <c r="D5" s="992"/>
      <c r="E5" s="367"/>
    </row>
    <row r="6">
      <c r="A6" s="810" t="s">
        <v>1300</v>
      </c>
      <c r="B6" s="416">
        <v>775.0</v>
      </c>
      <c r="C6" s="992"/>
      <c r="D6" s="992"/>
      <c r="E6" s="367"/>
    </row>
    <row r="7">
      <c r="A7" s="810" t="s">
        <v>243</v>
      </c>
      <c r="B7" s="413">
        <v>103.0</v>
      </c>
      <c r="C7" s="992"/>
      <c r="D7" s="992"/>
      <c r="E7" s="367"/>
    </row>
    <row r="8">
      <c r="A8" s="810" t="s">
        <v>1301</v>
      </c>
      <c r="B8" s="413">
        <v>13.0</v>
      </c>
      <c r="C8" s="992"/>
      <c r="D8" s="992"/>
      <c r="E8" s="367"/>
    </row>
    <row r="9">
      <c r="A9" s="810" t="s">
        <v>1302</v>
      </c>
      <c r="B9" s="413">
        <v>163.0</v>
      </c>
      <c r="C9" s="992"/>
      <c r="D9" s="992"/>
      <c r="E9" s="367"/>
    </row>
    <row r="10">
      <c r="A10" s="810" t="s">
        <v>706</v>
      </c>
      <c r="B10" s="413">
        <v>67.0</v>
      </c>
      <c r="C10" s="992"/>
      <c r="D10" s="992"/>
      <c r="E10" s="367"/>
    </row>
    <row r="11">
      <c r="A11" s="810" t="s">
        <v>1303</v>
      </c>
      <c r="B11" s="413">
        <v>120.0</v>
      </c>
      <c r="C11" s="992"/>
      <c r="D11" s="992"/>
      <c r="E11" s="367"/>
    </row>
    <row r="12">
      <c r="A12" s="810" t="s">
        <v>1304</v>
      </c>
      <c r="B12" s="413">
        <v>157.0</v>
      </c>
      <c r="C12" s="992"/>
      <c r="D12" s="992"/>
      <c r="E12" s="367"/>
    </row>
    <row r="13">
      <c r="A13" s="810" t="s">
        <v>708</v>
      </c>
      <c r="B13" s="413">
        <v>120.0</v>
      </c>
      <c r="C13" s="992"/>
      <c r="D13" s="992"/>
      <c r="E13" s="367"/>
    </row>
    <row r="14">
      <c r="A14" s="810" t="s">
        <v>1245</v>
      </c>
      <c r="B14" s="413">
        <v>47.0</v>
      </c>
      <c r="C14" s="992"/>
      <c r="D14" s="992"/>
      <c r="E14" s="367"/>
    </row>
    <row r="15">
      <c r="A15" s="810" t="s">
        <v>1305</v>
      </c>
      <c r="B15" s="413">
        <v>103.0</v>
      </c>
      <c r="C15" s="992"/>
      <c r="D15" s="992"/>
      <c r="E15" s="367"/>
    </row>
    <row r="16">
      <c r="A16" s="810" t="s">
        <v>112</v>
      </c>
      <c r="B16" s="413">
        <v>228.0</v>
      </c>
      <c r="C16" s="992"/>
      <c r="D16" s="992"/>
      <c r="E16" s="367"/>
    </row>
    <row r="17">
      <c r="A17" s="810" t="s">
        <v>675</v>
      </c>
      <c r="B17" s="413">
        <v>47.0</v>
      </c>
      <c r="C17" s="992"/>
      <c r="D17" s="992"/>
      <c r="E17" s="367"/>
    </row>
    <row r="18">
      <c r="A18" s="810" t="s">
        <v>202</v>
      </c>
      <c r="B18" s="413">
        <v>8.0</v>
      </c>
      <c r="C18" s="992"/>
      <c r="D18" s="992"/>
      <c r="E18" s="367"/>
    </row>
    <row r="19">
      <c r="A19" s="810" t="s">
        <v>1307</v>
      </c>
      <c r="B19" s="413">
        <v>201.0</v>
      </c>
      <c r="C19" s="992"/>
      <c r="D19" s="992"/>
      <c r="E19" s="367"/>
    </row>
    <row r="20">
      <c r="A20" s="810" t="s">
        <v>1308</v>
      </c>
      <c r="B20" s="413">
        <v>322.0</v>
      </c>
      <c r="C20" s="992"/>
      <c r="D20" s="992"/>
      <c r="E20" s="367"/>
    </row>
    <row r="21">
      <c r="A21" s="810" t="s">
        <v>412</v>
      </c>
      <c r="B21" s="413">
        <v>68.0</v>
      </c>
      <c r="C21" s="992"/>
      <c r="D21" s="992"/>
      <c r="E21" s="367"/>
    </row>
    <row r="22">
      <c r="A22" s="810" t="s">
        <v>3475</v>
      </c>
      <c r="B22" s="413" t="s">
        <v>63</v>
      </c>
      <c r="C22" s="992"/>
      <c r="D22" s="992"/>
      <c r="E22" s="367"/>
    </row>
    <row r="23">
      <c r="A23" s="810" t="s">
        <v>1310</v>
      </c>
      <c r="B23" s="413">
        <v>19.0</v>
      </c>
      <c r="C23" s="992"/>
      <c r="D23" s="992"/>
      <c r="E23" s="367"/>
    </row>
    <row r="24">
      <c r="A24" s="810" t="s">
        <v>1311</v>
      </c>
      <c r="B24" s="413">
        <v>124.0</v>
      </c>
      <c r="C24" s="992"/>
      <c r="D24" s="992"/>
      <c r="E24" s="367"/>
    </row>
    <row r="25">
      <c r="A25" s="810" t="s">
        <v>1312</v>
      </c>
      <c r="B25" s="413">
        <v>95.0</v>
      </c>
      <c r="C25" s="992"/>
      <c r="D25" s="992"/>
      <c r="E25" s="367"/>
    </row>
    <row r="26">
      <c r="A26" s="810" t="s">
        <v>278</v>
      </c>
      <c r="B26" s="413">
        <v>28.0</v>
      </c>
      <c r="C26" s="992"/>
      <c r="D26" s="992"/>
      <c r="E26" s="367"/>
    </row>
    <row r="27">
      <c r="A27" s="810" t="s">
        <v>350</v>
      </c>
      <c r="B27" s="413">
        <v>2553.0</v>
      </c>
      <c r="C27" s="992"/>
      <c r="D27" s="992"/>
      <c r="E27" s="367"/>
    </row>
    <row r="28">
      <c r="A28" s="810" t="s">
        <v>141</v>
      </c>
      <c r="B28" s="416">
        <v>32.0</v>
      </c>
      <c r="C28" s="992"/>
      <c r="D28" s="992"/>
      <c r="E28" s="367"/>
    </row>
    <row r="29">
      <c r="A29" s="810" t="s">
        <v>1313</v>
      </c>
      <c r="B29" s="416">
        <v>96.0</v>
      </c>
      <c r="C29" s="996"/>
      <c r="D29" s="992"/>
      <c r="E29" s="367"/>
    </row>
    <row r="30">
      <c r="A30" s="810" t="s">
        <v>1314</v>
      </c>
      <c r="B30" s="413">
        <v>85.0</v>
      </c>
      <c r="C30" s="992"/>
      <c r="D30" s="992"/>
      <c r="E30" s="367"/>
    </row>
    <row r="31">
      <c r="A31" s="810" t="s">
        <v>1315</v>
      </c>
      <c r="B31" s="413">
        <v>244.0</v>
      </c>
      <c r="C31" s="992"/>
      <c r="D31" s="992"/>
      <c r="E31" s="367"/>
    </row>
    <row r="32">
      <c r="A32" s="810" t="s">
        <v>1316</v>
      </c>
      <c r="B32" s="413">
        <v>30.0</v>
      </c>
      <c r="C32" s="992"/>
      <c r="D32" s="992"/>
      <c r="E32" s="367"/>
    </row>
    <row r="33">
      <c r="A33" s="810" t="s">
        <v>1317</v>
      </c>
      <c r="B33" s="413">
        <v>180.0</v>
      </c>
      <c r="C33" s="992"/>
      <c r="D33" s="992"/>
      <c r="E33" s="367"/>
    </row>
    <row r="34">
      <c r="A34" s="810" t="s">
        <v>1318</v>
      </c>
      <c r="B34" s="413">
        <v>11.0</v>
      </c>
      <c r="C34" s="992"/>
      <c r="D34" s="992"/>
      <c r="E34" s="367"/>
    </row>
    <row r="35">
      <c r="A35" s="810" t="s">
        <v>1319</v>
      </c>
      <c r="B35" s="413">
        <v>81.0</v>
      </c>
      <c r="C35" s="992"/>
      <c r="D35" s="992"/>
      <c r="E35" s="367"/>
    </row>
    <row r="36">
      <c r="A36" s="810" t="s">
        <v>3476</v>
      </c>
      <c r="B36" s="413">
        <v>16.0</v>
      </c>
      <c r="C36" s="992"/>
      <c r="D36" s="992"/>
      <c r="E36" s="367"/>
    </row>
    <row r="37">
      <c r="A37" s="810" t="s">
        <v>337</v>
      </c>
      <c r="B37" s="413">
        <v>24.0</v>
      </c>
      <c r="C37" s="992"/>
      <c r="D37" s="992"/>
      <c r="E37" s="367"/>
    </row>
    <row r="38">
      <c r="A38" s="810" t="s">
        <v>3477</v>
      </c>
      <c r="B38" s="413">
        <v>7.0</v>
      </c>
      <c r="C38" s="992"/>
      <c r="D38" s="992"/>
      <c r="E38" s="367"/>
    </row>
    <row r="39">
      <c r="A39" s="810" t="s">
        <v>1322</v>
      </c>
      <c r="B39" s="413">
        <v>57.0</v>
      </c>
      <c r="C39" s="992"/>
      <c r="D39" s="992"/>
      <c r="E39" s="367"/>
    </row>
    <row r="40">
      <c r="A40" s="810" t="s">
        <v>1323</v>
      </c>
      <c r="B40" s="413">
        <v>99.0</v>
      </c>
      <c r="C40" s="992"/>
      <c r="D40" s="992"/>
      <c r="E40" s="367"/>
    </row>
    <row r="41">
      <c r="A41" s="997" t="s">
        <v>1324</v>
      </c>
      <c r="B41" s="413">
        <v>20.0</v>
      </c>
      <c r="C41" s="992"/>
      <c r="D41" s="992"/>
      <c r="E41" s="367"/>
    </row>
    <row r="42">
      <c r="A42" s="997" t="s">
        <v>154</v>
      </c>
      <c r="B42" s="413">
        <v>10.0</v>
      </c>
      <c r="C42" s="992"/>
      <c r="D42" s="992"/>
      <c r="E42" s="367"/>
    </row>
    <row r="43">
      <c r="A43" s="810" t="s">
        <v>1325</v>
      </c>
      <c r="B43" s="413">
        <v>65.0</v>
      </c>
      <c r="C43" s="992"/>
      <c r="D43" s="992"/>
      <c r="E43" s="367"/>
    </row>
    <row r="44">
      <c r="A44" s="810" t="s">
        <v>1326</v>
      </c>
      <c r="B44" s="413">
        <v>215.0</v>
      </c>
      <c r="C44" s="992"/>
      <c r="D44" s="992"/>
      <c r="E44" s="367"/>
    </row>
    <row r="45">
      <c r="A45" s="810" t="s">
        <v>1327</v>
      </c>
      <c r="B45" s="413">
        <v>109.0</v>
      </c>
      <c r="C45" s="992"/>
      <c r="D45" s="992"/>
      <c r="E45" s="367"/>
    </row>
    <row r="46">
      <c r="A46" s="810" t="s">
        <v>1328</v>
      </c>
      <c r="B46" s="413">
        <v>90.0</v>
      </c>
      <c r="C46" s="992"/>
      <c r="D46" s="992"/>
      <c r="E46" s="367"/>
    </row>
    <row r="47">
      <c r="A47" s="998" t="s">
        <v>1329</v>
      </c>
      <c r="B47" s="413">
        <v>61.0</v>
      </c>
      <c r="C47" s="992"/>
      <c r="D47" s="992"/>
      <c r="E47" s="367"/>
    </row>
    <row r="48">
      <c r="A48" s="810" t="s">
        <v>1330</v>
      </c>
      <c r="B48" s="413">
        <v>50.0</v>
      </c>
      <c r="C48" s="992"/>
      <c r="D48" s="992"/>
      <c r="E48" s="367"/>
    </row>
    <row r="49">
      <c r="A49" s="810" t="s">
        <v>1331</v>
      </c>
      <c r="B49" s="413">
        <v>16.0</v>
      </c>
      <c r="C49" s="992"/>
      <c r="D49" s="992"/>
      <c r="E49" s="367"/>
    </row>
    <row r="50">
      <c r="A50" s="810" t="s">
        <v>1332</v>
      </c>
      <c r="B50" s="413">
        <v>205.0</v>
      </c>
      <c r="C50" s="992"/>
      <c r="D50" s="992"/>
      <c r="E50" s="367"/>
    </row>
    <row r="51">
      <c r="A51" s="810" t="s">
        <v>1333</v>
      </c>
      <c r="B51" s="413">
        <v>178.0</v>
      </c>
      <c r="C51" s="992"/>
      <c r="D51" s="992"/>
      <c r="E51" s="367"/>
    </row>
    <row r="52">
      <c r="A52" s="810" t="s">
        <v>1334</v>
      </c>
      <c r="B52" s="413">
        <v>16.0</v>
      </c>
      <c r="C52" s="992"/>
      <c r="D52" s="992"/>
      <c r="E52" s="367"/>
    </row>
    <row r="53">
      <c r="A53" s="810" t="s">
        <v>1336</v>
      </c>
      <c r="B53" s="413">
        <v>87.0</v>
      </c>
      <c r="C53" s="992"/>
      <c r="D53" s="992"/>
      <c r="E53" s="367"/>
    </row>
    <row r="54">
      <c r="A54" s="810" t="s">
        <v>302</v>
      </c>
      <c r="B54" s="413">
        <v>110.0</v>
      </c>
      <c r="C54" s="992"/>
      <c r="D54" s="992"/>
      <c r="E54" s="367"/>
    </row>
    <row r="55">
      <c r="A55" s="810" t="s">
        <v>303</v>
      </c>
      <c r="B55" s="413">
        <v>23.0</v>
      </c>
      <c r="C55" s="992"/>
      <c r="D55" s="992"/>
      <c r="E55" s="367"/>
    </row>
    <row r="56">
      <c r="A56" s="810" t="s">
        <v>645</v>
      </c>
      <c r="B56" s="413">
        <v>1230.0</v>
      </c>
      <c r="C56" s="992"/>
      <c r="D56" s="992"/>
      <c r="E56" s="367"/>
    </row>
    <row r="57">
      <c r="A57" s="810" t="s">
        <v>1338</v>
      </c>
      <c r="B57" s="413">
        <v>1.0</v>
      </c>
      <c r="C57" s="992"/>
      <c r="D57" s="992"/>
      <c r="E57" s="367"/>
    </row>
    <row r="58">
      <c r="A58" s="810" t="s">
        <v>1340</v>
      </c>
      <c r="B58" s="413">
        <v>61.0</v>
      </c>
      <c r="C58" s="992"/>
      <c r="D58" s="992"/>
      <c r="E58" s="367"/>
    </row>
    <row r="59">
      <c r="A59" s="810" t="s">
        <v>1005</v>
      </c>
      <c r="B59" s="416">
        <v>222.0</v>
      </c>
      <c r="C59" s="992"/>
      <c r="D59" s="992"/>
      <c r="E59" s="367"/>
    </row>
    <row r="60">
      <c r="A60" s="810" t="s">
        <v>1342</v>
      </c>
      <c r="B60" s="416">
        <v>30.0</v>
      </c>
      <c r="C60" s="992"/>
      <c r="D60" s="992"/>
      <c r="E60" s="367"/>
    </row>
    <row r="61">
      <c r="A61" s="810" t="s">
        <v>409</v>
      </c>
      <c r="B61" s="413">
        <v>931.0</v>
      </c>
      <c r="C61" s="992"/>
      <c r="D61" s="992"/>
      <c r="E61" s="367"/>
    </row>
    <row r="62">
      <c r="A62" s="997" t="s">
        <v>309</v>
      </c>
      <c r="B62" s="413">
        <v>124.0</v>
      </c>
      <c r="C62" s="992"/>
      <c r="D62" s="992"/>
      <c r="E62" s="367"/>
    </row>
    <row r="63">
      <c r="A63" s="997" t="s">
        <v>1344</v>
      </c>
      <c r="B63" s="413">
        <v>126.0</v>
      </c>
      <c r="C63" s="992"/>
      <c r="D63" s="992"/>
      <c r="E63" s="367"/>
    </row>
    <row r="64">
      <c r="A64" s="997" t="s">
        <v>1345</v>
      </c>
      <c r="B64" s="413">
        <v>23.0</v>
      </c>
      <c r="C64" s="992"/>
      <c r="D64" s="992"/>
      <c r="E64" s="367"/>
    </row>
    <row r="65">
      <c r="A65" s="997" t="s">
        <v>1346</v>
      </c>
      <c r="B65" s="413">
        <v>361.0</v>
      </c>
      <c r="C65" s="992"/>
      <c r="D65" s="992"/>
      <c r="E65" s="367"/>
    </row>
    <row r="66">
      <c r="A66" s="997" t="s">
        <v>1015</v>
      </c>
      <c r="B66" s="413">
        <v>33.0</v>
      </c>
      <c r="C66" s="992"/>
      <c r="D66" s="992"/>
      <c r="E66" s="367"/>
    </row>
    <row r="67">
      <c r="A67" s="810" t="s">
        <v>1348</v>
      </c>
      <c r="B67" s="413">
        <v>58.0</v>
      </c>
      <c r="C67" s="992"/>
      <c r="D67" s="992"/>
      <c r="E67" s="367"/>
    </row>
    <row r="68">
      <c r="A68" s="810" t="s">
        <v>1135</v>
      </c>
      <c r="B68" s="416">
        <v>57.0</v>
      </c>
      <c r="C68" s="992"/>
      <c r="D68" s="992"/>
      <c r="E68" s="367"/>
    </row>
    <row r="69">
      <c r="A69" s="810" t="s">
        <v>1349</v>
      </c>
      <c r="B69" s="416">
        <v>12.0</v>
      </c>
      <c r="C69" s="992"/>
      <c r="D69" s="992"/>
      <c r="E69" s="367"/>
    </row>
    <row r="70">
      <c r="A70" s="810" t="s">
        <v>1350</v>
      </c>
      <c r="B70" s="413">
        <v>34.0</v>
      </c>
      <c r="C70" s="992"/>
      <c r="D70" s="992"/>
      <c r="E70" s="367"/>
    </row>
    <row r="71">
      <c r="A71" s="810" t="s">
        <v>1351</v>
      </c>
      <c r="B71" s="413">
        <v>91.0</v>
      </c>
      <c r="C71" s="992"/>
      <c r="D71" s="992"/>
      <c r="E71" s="367"/>
    </row>
    <row r="72">
      <c r="A72" s="810" t="s">
        <v>119</v>
      </c>
      <c r="B72" s="413">
        <v>235.0</v>
      </c>
      <c r="C72" s="992"/>
      <c r="D72" s="992"/>
      <c r="E72" s="367"/>
    </row>
    <row r="73">
      <c r="A73" s="810" t="s">
        <v>1353</v>
      </c>
      <c r="B73" s="413">
        <v>44.0</v>
      </c>
      <c r="C73" s="992"/>
      <c r="D73" s="992"/>
      <c r="E73" s="367"/>
    </row>
    <row r="74">
      <c r="A74" s="810" t="s">
        <v>1354</v>
      </c>
      <c r="B74" s="413">
        <v>38.0</v>
      </c>
      <c r="C74" s="992"/>
      <c r="D74" s="992"/>
      <c r="E74" s="367"/>
    </row>
    <row r="75">
      <c r="A75" s="810" t="s">
        <v>1355</v>
      </c>
      <c r="B75" s="413">
        <v>143.0</v>
      </c>
      <c r="C75" s="992"/>
      <c r="D75" s="992"/>
      <c r="E75" s="367"/>
    </row>
    <row r="76">
      <c r="A76" s="810" t="s">
        <v>949</v>
      </c>
      <c r="B76" s="413">
        <v>197.0</v>
      </c>
      <c r="C76" s="992"/>
      <c r="D76" s="992"/>
      <c r="E76" s="367"/>
    </row>
    <row r="77">
      <c r="A77" s="810" t="s">
        <v>1356</v>
      </c>
      <c r="B77" s="413">
        <v>38.0</v>
      </c>
      <c r="C77" s="992"/>
      <c r="D77" s="992"/>
      <c r="E77" s="367"/>
    </row>
    <row r="78">
      <c r="A78" s="999" t="s">
        <v>3478</v>
      </c>
      <c r="B78" s="413">
        <v>219.0</v>
      </c>
      <c r="C78" s="992"/>
      <c r="D78" s="992"/>
      <c r="E78" s="367"/>
    </row>
    <row r="79">
      <c r="A79" s="323" t="s">
        <v>3479</v>
      </c>
      <c r="B79" s="413">
        <v>86.0</v>
      </c>
      <c r="C79" s="992"/>
      <c r="D79" s="992"/>
      <c r="E79" s="367"/>
    </row>
    <row r="80">
      <c r="A80" s="323" t="s">
        <v>3475</v>
      </c>
      <c r="B80" s="413">
        <v>152.0</v>
      </c>
      <c r="C80" s="992"/>
      <c r="D80" s="992"/>
      <c r="E80" s="367"/>
    </row>
    <row r="81">
      <c r="A81" s="323" t="s">
        <v>3480</v>
      </c>
      <c r="B81" s="413">
        <v>188.0</v>
      </c>
      <c r="C81" s="992"/>
      <c r="D81" s="992"/>
      <c r="E81" s="367"/>
    </row>
    <row r="82">
      <c r="A82" s="323" t="s">
        <v>3481</v>
      </c>
      <c r="B82" s="413">
        <v>291.0</v>
      </c>
      <c r="C82" s="992"/>
      <c r="D82" s="992"/>
      <c r="E82" s="367"/>
    </row>
    <row r="83">
      <c r="A83" s="320" t="s">
        <v>3482</v>
      </c>
      <c r="B83" s="416">
        <v>177.0</v>
      </c>
      <c r="C83" s="992"/>
      <c r="D83" s="1000"/>
      <c r="E83" s="367"/>
    </row>
    <row r="84">
      <c r="A84" s="832" t="s">
        <v>65</v>
      </c>
      <c r="B84" s="1001">
        <v>13442.0</v>
      </c>
      <c r="C84" s="1000"/>
    </row>
    <row r="95">
      <c r="A95" s="275" t="s">
        <v>852</v>
      </c>
    </row>
    <row r="100">
      <c r="D100" s="275" t="s">
        <v>765</v>
      </c>
      <c r="E100" s="276"/>
      <c r="F100" s="276"/>
      <c r="G100" s="276"/>
      <c r="H100" s="275" t="s">
        <v>767</v>
      </c>
      <c r="I100" s="276"/>
      <c r="J100" s="275" t="s">
        <v>769</v>
      </c>
      <c r="K100" s="276"/>
      <c r="L100" s="276"/>
    </row>
    <row r="101">
      <c r="B101" s="276"/>
      <c r="C101" s="276"/>
    </row>
  </sheetData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6.0"/>
    <col customWidth="1" min="12" max="12" width="13.63"/>
  </cols>
  <sheetData>
    <row r="1">
      <c r="A1" s="167"/>
      <c r="B1" s="168" t="s">
        <v>67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</row>
    <row r="2">
      <c r="A2" s="169" t="s">
        <v>172</v>
      </c>
      <c r="B2" s="170" t="s">
        <v>174</v>
      </c>
      <c r="C2" s="171" t="s">
        <v>693</v>
      </c>
      <c r="D2" s="608" t="s">
        <v>694</v>
      </c>
      <c r="E2" s="608" t="s">
        <v>695</v>
      </c>
      <c r="F2" s="608" t="s">
        <v>179</v>
      </c>
      <c r="G2" s="608" t="s">
        <v>696</v>
      </c>
      <c r="H2" s="173" t="s">
        <v>697</v>
      </c>
      <c r="I2" s="174" t="s">
        <v>84</v>
      </c>
      <c r="J2" s="170" t="s">
        <v>698</v>
      </c>
      <c r="K2" s="175" t="s">
        <v>699</v>
      </c>
      <c r="L2" s="173" t="s">
        <v>89</v>
      </c>
      <c r="M2" s="176" t="s">
        <v>700</v>
      </c>
      <c r="N2" s="177" t="s">
        <v>701</v>
      </c>
      <c r="O2" s="177" t="s">
        <v>702</v>
      </c>
      <c r="P2" s="178" t="s">
        <v>90</v>
      </c>
      <c r="Q2" s="325" t="s">
        <v>703</v>
      </c>
    </row>
    <row r="3">
      <c r="A3" s="609" t="s">
        <v>386</v>
      </c>
      <c r="B3" s="610">
        <f t="array" ref="B3">VLOOKUP($A3,MS_DEMO,2,FALSE)</f>
        <v>29538</v>
      </c>
      <c r="C3" s="704">
        <f>vlookup(A3,'MS Data'!$A$3:$B$85,2,FALSE)</f>
        <v>45</v>
      </c>
      <c r="D3" s="612" t="s">
        <v>63</v>
      </c>
      <c r="E3" s="612">
        <f>vlookup(A3,'MS Data'!$A$3:$K$85,4,FALSE)</f>
        <v>26</v>
      </c>
      <c r="F3" s="612">
        <f>vlookup(A3,'MS Data'!$A$3:$K$85,7,FALSE)</f>
        <v>12</v>
      </c>
      <c r="G3" s="612" t="s">
        <v>63</v>
      </c>
      <c r="H3" s="671" t="s">
        <v>63</v>
      </c>
      <c r="I3" s="614">
        <f>vlookup(A3,'MS Data'!$A$3:$K$85,9,FALSE)</f>
        <v>2</v>
      </c>
      <c r="J3" s="1002" t="s">
        <v>63</v>
      </c>
      <c r="K3" s="704" t="str">
        <f>vlookup(A3,'MS Data'!$A$3:$K$85,11,FALSE)</f>
        <v>62%</v>
      </c>
      <c r="L3" s="838" t="s">
        <v>63</v>
      </c>
      <c r="M3" s="614" t="s">
        <v>63</v>
      </c>
      <c r="N3" s="614" t="s">
        <v>63</v>
      </c>
      <c r="O3" s="614" t="s">
        <v>63</v>
      </c>
      <c r="P3" s="620">
        <f>ifna(vlookup(A3,'Population &amp; Church Numbers'!$A$1404:$D$1485,4,FALSE),"NULL")</f>
        <v>58</v>
      </c>
      <c r="Q3" s="674" t="s">
        <v>63</v>
      </c>
    </row>
    <row r="4">
      <c r="A4" s="609" t="s">
        <v>1358</v>
      </c>
      <c r="B4" s="610">
        <f t="array" ref="B4">VLOOKUP($A4,MS_DEMO,2,FALSE)</f>
        <v>34740</v>
      </c>
      <c r="C4" s="704">
        <f>vlookup(A4,'MS Data'!$A$3:$B$85,2,FALSE)</f>
        <v>42</v>
      </c>
      <c r="D4" s="612" t="s">
        <v>63</v>
      </c>
      <c r="E4" s="612">
        <f>vlookup(A4,'MS Data'!$A$3:$K$85,4,FALSE)</f>
        <v>14</v>
      </c>
      <c r="F4" s="612">
        <f>vlookup(A4,'MS Data'!$A$3:$K$85,7,FALSE)</f>
        <v>24</v>
      </c>
      <c r="G4" s="612" t="s">
        <v>63</v>
      </c>
      <c r="H4" s="671" t="s">
        <v>63</v>
      </c>
      <c r="I4" s="614">
        <f>vlookup(A4,'MS Data'!$A$3:$K$85,9,FALSE)</f>
        <v>3</v>
      </c>
      <c r="J4" s="1002" t="s">
        <v>63</v>
      </c>
      <c r="K4" s="704" t="str">
        <f>vlookup(A4,'MS Data'!$A$3:$K$85,11,FALSE)</f>
        <v>36%</v>
      </c>
      <c r="L4" s="838" t="s">
        <v>63</v>
      </c>
      <c r="M4" s="614" t="s">
        <v>63</v>
      </c>
      <c r="N4" s="614" t="s">
        <v>63</v>
      </c>
      <c r="O4" s="614" t="s">
        <v>63</v>
      </c>
      <c r="P4" s="620">
        <f>ifna(vlookup(A4,'Population &amp; Church Numbers'!$A$1404:$D$1485,4,FALSE),"NULL")</f>
        <v>50</v>
      </c>
      <c r="Q4" s="674" t="s">
        <v>63</v>
      </c>
    </row>
    <row r="5">
      <c r="A5" s="609" t="s">
        <v>1359</v>
      </c>
      <c r="B5" s="610">
        <f t="array" ref="B5">VLOOKUP($A5,MS_DEMO,2,FALSE)</f>
        <v>12720</v>
      </c>
      <c r="C5" s="704">
        <f>vlookup(A5,'MS Data'!$A$3:$B$85,2,FALSE)</f>
        <v>5</v>
      </c>
      <c r="D5" s="612" t="s">
        <v>63</v>
      </c>
      <c r="E5" s="612">
        <f>vlookup(A5,'MS Data'!$A$3:$K$85,4,FALSE)</f>
        <v>1</v>
      </c>
      <c r="F5" s="612">
        <f>vlookup(A5,'MS Data'!$A$3:$K$85,7,FALSE)</f>
        <v>4</v>
      </c>
      <c r="G5" s="612" t="s">
        <v>63</v>
      </c>
      <c r="H5" s="671" t="s">
        <v>63</v>
      </c>
      <c r="I5" s="614">
        <f>vlookup(A5,'MS Data'!$A$3:$K$85,9,FALSE)</f>
        <v>0</v>
      </c>
      <c r="J5" s="1002" t="s">
        <v>63</v>
      </c>
      <c r="K5" s="704" t="str">
        <f>vlookup(A5,'MS Data'!$A$3:$K$85,11,FALSE)</f>
        <v>25%</v>
      </c>
      <c r="L5" s="838" t="s">
        <v>63</v>
      </c>
      <c r="M5" s="614" t="s">
        <v>63</v>
      </c>
      <c r="N5" s="614" t="s">
        <v>63</v>
      </c>
      <c r="O5" s="614" t="s">
        <v>63</v>
      </c>
      <c r="P5" s="620">
        <f>ifna(vlookup(A5,'Population &amp; Church Numbers'!$A$1404:$D$1485,4,FALSE),"NULL")</f>
        <v>22</v>
      </c>
      <c r="Q5" s="674" t="s">
        <v>63</v>
      </c>
    </row>
    <row r="6">
      <c r="A6" s="609" t="s">
        <v>1360</v>
      </c>
      <c r="B6" s="610">
        <f t="array" ref="B6">VLOOKUP($A6,MS_DEMO,2,FALSE)</f>
        <v>17889</v>
      </c>
      <c r="C6" s="704">
        <f>vlookup(A6,'MS Data'!$A$3:$B$85,2,FALSE)</f>
        <v>8</v>
      </c>
      <c r="D6" s="612" t="s">
        <v>63</v>
      </c>
      <c r="E6" s="612">
        <f>vlookup(A6,'MS Data'!$A$3:$K$85,4,FALSE)</f>
        <v>3</v>
      </c>
      <c r="F6" s="612">
        <f>vlookup(A6,'MS Data'!$A$3:$K$85,7,FALSE)</f>
        <v>4</v>
      </c>
      <c r="G6" s="612" t="s">
        <v>63</v>
      </c>
      <c r="H6" s="671" t="s">
        <v>63</v>
      </c>
      <c r="I6" s="614">
        <f>vlookup(A6,'MS Data'!$A$3:$K$85,9,FALSE)</f>
        <v>0</v>
      </c>
      <c r="J6" s="1002" t="s">
        <v>63</v>
      </c>
      <c r="K6" s="704" t="str">
        <f>vlookup(A6,'MS Data'!$A$3:$K$85,11,FALSE)</f>
        <v>71%</v>
      </c>
      <c r="L6" s="838" t="s">
        <v>63</v>
      </c>
      <c r="M6" s="614" t="s">
        <v>63</v>
      </c>
      <c r="N6" s="614" t="s">
        <v>63</v>
      </c>
      <c r="O6" s="614" t="s">
        <v>63</v>
      </c>
      <c r="P6" s="620">
        <f>ifna(vlookup(A6,'Population &amp; Church Numbers'!$A$1404:$D$1485,4,FALSE),"NULL")</f>
        <v>31</v>
      </c>
      <c r="Q6" s="674" t="s">
        <v>63</v>
      </c>
    </row>
    <row r="7">
      <c r="A7" s="609" t="s">
        <v>243</v>
      </c>
      <c r="B7" s="610">
        <f t="array" ref="B7">VLOOKUP($A7,MS_DEMO,2,FALSE)</f>
        <v>7646</v>
      </c>
      <c r="C7" s="704">
        <f>vlookup(A7,'MS Data'!$A$3:$B$85,2,FALSE)</f>
        <v>6</v>
      </c>
      <c r="D7" s="612" t="s">
        <v>63</v>
      </c>
      <c r="E7" s="612">
        <f>vlookup(A7,'MS Data'!$A$3:$K$85,4,FALSE)</f>
        <v>3</v>
      </c>
      <c r="F7" s="612">
        <f>vlookup(A7,'MS Data'!$A$3:$K$85,7,FALSE)</f>
        <v>2</v>
      </c>
      <c r="G7" s="612" t="s">
        <v>63</v>
      </c>
      <c r="H7" s="671" t="s">
        <v>63</v>
      </c>
      <c r="I7" s="614">
        <f>vlookup(A7,'MS Data'!$A$3:$K$85,9,FALSE)</f>
        <v>2</v>
      </c>
      <c r="J7" s="1002" t="s">
        <v>63</v>
      </c>
      <c r="K7" s="704" t="str">
        <f>vlookup(A7,'MS Data'!$A$3:$K$85,11,FALSE)</f>
        <v>67%</v>
      </c>
      <c r="L7" s="838" t="s">
        <v>63</v>
      </c>
      <c r="M7" s="614" t="s">
        <v>63</v>
      </c>
      <c r="N7" s="614" t="s">
        <v>63</v>
      </c>
      <c r="O7" s="614" t="s">
        <v>63</v>
      </c>
      <c r="P7" s="620">
        <f>ifna(vlookup(A7,'Population &amp; Church Numbers'!$A$1404:$D$1485,4,FALSE),"NULL")</f>
        <v>12</v>
      </c>
      <c r="Q7" s="674" t="s">
        <v>63</v>
      </c>
    </row>
    <row r="8">
      <c r="A8" s="609" t="s">
        <v>1361</v>
      </c>
      <c r="B8" s="610">
        <f t="array" ref="B8">VLOOKUP($A8,MS_DEMO,2,FALSE)</f>
        <v>30985</v>
      </c>
      <c r="C8" s="704">
        <f>vlookup(A8,'MS Data'!$A$3:$B$85,2,FALSE)</f>
        <v>16</v>
      </c>
      <c r="D8" s="612" t="s">
        <v>63</v>
      </c>
      <c r="E8" s="612">
        <f>vlookup(A8,'MS Data'!$A$3:$K$85,4,FALSE)</f>
        <v>7</v>
      </c>
      <c r="F8" s="612">
        <f>vlookup(A8,'MS Data'!$A$3:$K$85,7,FALSE)</f>
        <v>1</v>
      </c>
      <c r="G8" s="612" t="s">
        <v>63</v>
      </c>
      <c r="H8" s="671" t="s">
        <v>63</v>
      </c>
      <c r="I8" s="614">
        <f>vlookup(A8,'MS Data'!$A$3:$K$85,9,FALSE)</f>
        <v>0</v>
      </c>
      <c r="J8" s="1002" t="s">
        <v>63</v>
      </c>
      <c r="K8" s="704" t="str">
        <f>vlookup(A8,'MS Data'!$A$3:$K$85,11,FALSE)</f>
        <v>29%</v>
      </c>
      <c r="L8" s="838" t="s">
        <v>63</v>
      </c>
      <c r="M8" s="614" t="s">
        <v>63</v>
      </c>
      <c r="N8" s="614" t="s">
        <v>63</v>
      </c>
      <c r="O8" s="614" t="s">
        <v>63</v>
      </c>
      <c r="P8" s="620">
        <f>ifna(vlookup(A8,'Population &amp; Church Numbers'!$A$1404:$D$1485,4,FALSE),"NULL")</f>
        <v>40</v>
      </c>
      <c r="Q8" s="674" t="s">
        <v>63</v>
      </c>
    </row>
    <row r="9">
      <c r="A9" s="609" t="s">
        <v>93</v>
      </c>
      <c r="B9" s="610">
        <f t="array" ref="B9">VLOOKUP($A9,MS_DEMO,2,FALSE)</f>
        <v>13266</v>
      </c>
      <c r="C9" s="704">
        <f>vlookup(A9,'MS Data'!$A$3:$B$85,2,FALSE)</f>
        <v>23</v>
      </c>
      <c r="D9" s="612" t="s">
        <v>63</v>
      </c>
      <c r="E9" s="612">
        <f>vlookup(A9,'MS Data'!$A$3:$K$85,4,FALSE)</f>
        <v>6</v>
      </c>
      <c r="F9" s="612">
        <f>vlookup(A9,'MS Data'!$A$3:$K$85,7,FALSE)</f>
        <v>9</v>
      </c>
      <c r="G9" s="612" t="s">
        <v>63</v>
      </c>
      <c r="H9" s="671" t="s">
        <v>63</v>
      </c>
      <c r="I9" s="614">
        <f>vlookup(A9,'MS Data'!$A$3:$K$85,9,FALSE)</f>
        <v>2</v>
      </c>
      <c r="J9" s="1002" t="s">
        <v>63</v>
      </c>
      <c r="K9" s="704" t="str">
        <f>vlookup(A9,'MS Data'!$A$3:$K$85,11,FALSE)</f>
        <v>56%</v>
      </c>
      <c r="L9" s="838" t="s">
        <v>63</v>
      </c>
      <c r="M9" s="614" t="s">
        <v>63</v>
      </c>
      <c r="N9" s="614" t="s">
        <v>63</v>
      </c>
      <c r="O9" s="614" t="s">
        <v>63</v>
      </c>
      <c r="P9" s="620">
        <f>ifna(vlookup(A9,'Population &amp; Church Numbers'!$A$1404:$D$1485,4,FALSE),"NULL")</f>
        <v>37</v>
      </c>
      <c r="Q9" s="674" t="s">
        <v>63</v>
      </c>
    </row>
    <row r="10">
      <c r="A10" s="609" t="s">
        <v>248</v>
      </c>
      <c r="B10" s="610">
        <f t="array" ref="B10">VLOOKUP($A10,MS_DEMO,2,FALSE)</f>
        <v>9998</v>
      </c>
      <c r="C10" s="704">
        <f>vlookup(A10,'MS Data'!$A$3:$B$85,2,FALSE)</f>
        <v>2</v>
      </c>
      <c r="D10" s="612" t="s">
        <v>63</v>
      </c>
      <c r="E10" s="612">
        <f>vlookup(A10,'MS Data'!$A$3:$K$85,4,FALSE)</f>
        <v>1</v>
      </c>
      <c r="F10" s="612">
        <f>vlookup(A10,'MS Data'!$A$3:$K$85,7,FALSE)</f>
        <v>0</v>
      </c>
      <c r="G10" s="612" t="s">
        <v>63</v>
      </c>
      <c r="H10" s="671" t="s">
        <v>63</v>
      </c>
      <c r="I10" s="614">
        <f>vlookup(A10,'MS Data'!$A$3:$K$85,9,FALSE)</f>
        <v>0</v>
      </c>
      <c r="J10" s="1002" t="s">
        <v>63</v>
      </c>
      <c r="K10" s="704" t="str">
        <f>vlookup(A10,'MS Data'!$A$3:$K$85,11,FALSE)</f>
        <v>100%</v>
      </c>
      <c r="L10" s="838" t="s">
        <v>63</v>
      </c>
      <c r="M10" s="614" t="s">
        <v>63</v>
      </c>
      <c r="N10" s="614" t="s">
        <v>63</v>
      </c>
      <c r="O10" s="614" t="s">
        <v>63</v>
      </c>
      <c r="P10" s="620">
        <f>ifna(vlookup(A10,'Population &amp; Church Numbers'!$A$1404:$D$1485,4,FALSE),"NULL")</f>
        <v>11</v>
      </c>
      <c r="Q10" s="674" t="s">
        <v>63</v>
      </c>
    </row>
    <row r="11">
      <c r="A11" s="609" t="s">
        <v>896</v>
      </c>
      <c r="B11" s="610">
        <f t="array" ref="B11">VLOOKUP($A11,MS_DEMO,2,FALSE)</f>
        <v>17106</v>
      </c>
      <c r="C11" s="704">
        <f>vlookup(A11,'MS Data'!$A$3:$B$85,2,FALSE)</f>
        <v>16</v>
      </c>
      <c r="D11" s="612" t="s">
        <v>63</v>
      </c>
      <c r="E11" s="612">
        <f>vlookup(A11,'MS Data'!$A$3:$K$85,4,FALSE)</f>
        <v>5</v>
      </c>
      <c r="F11" s="612">
        <f>vlookup(A11,'MS Data'!$A$3:$K$85,7,FALSE)</f>
        <v>11</v>
      </c>
      <c r="G11" s="612" t="s">
        <v>63</v>
      </c>
      <c r="H11" s="671" t="s">
        <v>63</v>
      </c>
      <c r="I11" s="614">
        <f>vlookup(A11,'MS Data'!$A$3:$K$85,9,FALSE)</f>
        <v>0</v>
      </c>
      <c r="J11" s="1002" t="s">
        <v>63</v>
      </c>
      <c r="K11" s="704" t="str">
        <f>vlookup(A11,'MS Data'!$A$3:$K$85,11,FALSE)</f>
        <v>67%</v>
      </c>
      <c r="L11" s="838" t="s">
        <v>63</v>
      </c>
      <c r="M11" s="614" t="s">
        <v>63</v>
      </c>
      <c r="N11" s="614" t="s">
        <v>63</v>
      </c>
      <c r="O11" s="614" t="s">
        <v>63</v>
      </c>
      <c r="P11" s="620">
        <f>ifna(vlookup(A11,'Population &amp; Church Numbers'!$A$1404:$D$1485,4,FALSE),"NULL")</f>
        <v>40</v>
      </c>
      <c r="Q11" s="674" t="s">
        <v>63</v>
      </c>
    </row>
    <row r="12">
      <c r="A12" s="609" t="s">
        <v>107</v>
      </c>
      <c r="B12" s="610">
        <f t="array" ref="B12">VLOOKUP($A12,MS_DEMO,2,FALSE)</f>
        <v>8246</v>
      </c>
      <c r="C12" s="704">
        <f>vlookup(A12,'MS Data'!$A$3:$B$85,2,FALSE)</f>
        <v>10</v>
      </c>
      <c r="D12" s="612" t="s">
        <v>63</v>
      </c>
      <c r="E12" s="612">
        <f>vlookup(A12,'MS Data'!$A$3:$K$85,4,FALSE)</f>
        <v>4</v>
      </c>
      <c r="F12" s="612">
        <f>vlookup(A12,'MS Data'!$A$3:$K$85,7,FALSE)</f>
        <v>3</v>
      </c>
      <c r="G12" s="612" t="s">
        <v>63</v>
      </c>
      <c r="H12" s="671" t="s">
        <v>63</v>
      </c>
      <c r="I12" s="614">
        <f>vlookup(A12,'MS Data'!$A$3:$K$85,9,FALSE)</f>
        <v>0</v>
      </c>
      <c r="J12" s="1002" t="s">
        <v>63</v>
      </c>
      <c r="K12" s="704" t="str">
        <f>vlookup(A12,'MS Data'!$A$3:$K$85,11,FALSE)</f>
        <v>67%</v>
      </c>
      <c r="L12" s="838" t="s">
        <v>63</v>
      </c>
      <c r="M12" s="614" t="s">
        <v>63</v>
      </c>
      <c r="N12" s="614" t="s">
        <v>63</v>
      </c>
      <c r="O12" s="614" t="s">
        <v>63</v>
      </c>
      <c r="P12" s="620">
        <f>ifna(vlookup(A12,'Population &amp; Church Numbers'!$A$1404:$D$1485,4,FALSE),"NULL")</f>
        <v>15</v>
      </c>
      <c r="Q12" s="674" t="s">
        <v>63</v>
      </c>
    </row>
    <row r="13">
      <c r="A13" s="609" t="s">
        <v>1151</v>
      </c>
      <c r="B13" s="610">
        <f t="array" ref="B13">VLOOKUP($A13,MS_DEMO,2,FALSE)</f>
        <v>9135</v>
      </c>
      <c r="C13" s="704">
        <f>vlookup(A13,'MS Data'!$A$3:$B$85,2,FALSE)</f>
        <v>5</v>
      </c>
      <c r="D13" s="612" t="s">
        <v>63</v>
      </c>
      <c r="E13" s="612">
        <f>vlookup(A13,'MS Data'!$A$3:$K$85,4,FALSE)</f>
        <v>2</v>
      </c>
      <c r="F13" s="612">
        <f>vlookup(A13,'MS Data'!$A$3:$K$85,7,FALSE)</f>
        <v>2</v>
      </c>
      <c r="G13" s="612" t="s">
        <v>63</v>
      </c>
      <c r="H13" s="671" t="s">
        <v>63</v>
      </c>
      <c r="I13" s="614">
        <f>vlookup(A13,'MS Data'!$A$3:$K$85,9,FALSE)</f>
        <v>0</v>
      </c>
      <c r="J13" s="1002" t="s">
        <v>63</v>
      </c>
      <c r="K13" s="704" t="str">
        <f>vlookup(A13,'MS Data'!$A$3:$K$85,11,FALSE)</f>
        <v>100%</v>
      </c>
      <c r="L13" s="838" t="s">
        <v>63</v>
      </c>
      <c r="M13" s="614" t="s">
        <v>63</v>
      </c>
      <c r="N13" s="614" t="s">
        <v>63</v>
      </c>
      <c r="O13" s="614" t="s">
        <v>63</v>
      </c>
      <c r="P13" s="620">
        <f>ifna(vlookup(A13,'Population &amp; Church Numbers'!$A$1404:$D$1485,4,FALSE),"NULL")</f>
        <v>24</v>
      </c>
      <c r="Q13" s="674" t="s">
        <v>63</v>
      </c>
    </row>
    <row r="14">
      <c r="A14" s="609" t="s">
        <v>110</v>
      </c>
      <c r="B14" s="610">
        <f t="array" ref="B14">VLOOKUP($A14,MS_DEMO,2,FALSE)</f>
        <v>15615</v>
      </c>
      <c r="C14" s="704">
        <f>vlookup(A14,'MS Data'!$A$3:$B$85,2,FALSE)</f>
        <v>10</v>
      </c>
      <c r="D14" s="612" t="s">
        <v>63</v>
      </c>
      <c r="E14" s="612">
        <f>vlookup(A14,'MS Data'!$A$3:$K$85,4,FALSE)</f>
        <v>2</v>
      </c>
      <c r="F14" s="612">
        <f>vlookup(A14,'MS Data'!$A$3:$K$85,7,FALSE)</f>
        <v>3</v>
      </c>
      <c r="G14" s="612" t="s">
        <v>63</v>
      </c>
      <c r="H14" s="671" t="s">
        <v>63</v>
      </c>
      <c r="I14" s="614">
        <f>vlookup(A14,'MS Data'!$A$3:$K$85,9,FALSE)</f>
        <v>1</v>
      </c>
      <c r="J14" s="1002" t="s">
        <v>63</v>
      </c>
      <c r="K14" s="704" t="str">
        <f>vlookup(A14,'MS Data'!$A$3:$K$85,11,FALSE)</f>
        <v>44%</v>
      </c>
      <c r="L14" s="838" t="s">
        <v>63</v>
      </c>
      <c r="M14" s="614" t="s">
        <v>63</v>
      </c>
      <c r="N14" s="614" t="s">
        <v>63</v>
      </c>
      <c r="O14" s="614" t="s">
        <v>63</v>
      </c>
      <c r="P14" s="620">
        <f>ifna(vlookup(A14,'Population &amp; Church Numbers'!$A$1404:$D$1485,4,FALSE),"NULL")</f>
        <v>38</v>
      </c>
      <c r="Q14" s="674" t="s">
        <v>63</v>
      </c>
    </row>
    <row r="15">
      <c r="A15" s="609" t="s">
        <v>112</v>
      </c>
      <c r="B15" s="610">
        <f t="array" ref="B15">VLOOKUP($A15,MS_DEMO,2,FALSE)</f>
        <v>18636</v>
      </c>
      <c r="C15" s="704">
        <f>vlookup(A15,'MS Data'!$A$3:$B$85,2,FALSE)</f>
        <v>44</v>
      </c>
      <c r="D15" s="612" t="s">
        <v>63</v>
      </c>
      <c r="E15" s="612">
        <f>vlookup(A15,'MS Data'!$A$3:$K$85,4,FALSE)</f>
        <v>18</v>
      </c>
      <c r="F15" s="612">
        <f>vlookup(A15,'MS Data'!$A$3:$K$85,7,FALSE)</f>
        <v>18</v>
      </c>
      <c r="G15" s="612" t="s">
        <v>63</v>
      </c>
      <c r="H15" s="671" t="s">
        <v>63</v>
      </c>
      <c r="I15" s="614">
        <f>vlookup(A15,'MS Data'!$A$3:$K$85,9,FALSE)</f>
        <v>8</v>
      </c>
      <c r="J15" s="1002" t="s">
        <v>63</v>
      </c>
      <c r="K15" s="704" t="str">
        <f>vlookup(A15,'MS Data'!$A$3:$K$85,11,FALSE)</f>
        <v>39%</v>
      </c>
      <c r="L15" s="838" t="s">
        <v>63</v>
      </c>
      <c r="M15" s="614" t="s">
        <v>63</v>
      </c>
      <c r="N15" s="614" t="s">
        <v>63</v>
      </c>
      <c r="O15" s="614" t="s">
        <v>63</v>
      </c>
      <c r="P15" s="620">
        <f>ifna(vlookup(A15,'Population &amp; Church Numbers'!$A$1404:$D$1485,4,FALSE),"NULL")</f>
        <v>41</v>
      </c>
      <c r="Q15" s="674" t="s">
        <v>63</v>
      </c>
    </row>
    <row r="16">
      <c r="A16" s="609" t="s">
        <v>1362</v>
      </c>
      <c r="B16" s="610">
        <f t="array" ref="B16">VLOOKUP($A16,MS_DEMO,2,FALSE)</f>
        <v>21390</v>
      </c>
      <c r="C16" s="704">
        <f>vlookup(A16,'MS Data'!$A$3:$B$85,2,FALSE)</f>
        <v>28</v>
      </c>
      <c r="D16" s="612" t="s">
        <v>63</v>
      </c>
      <c r="E16" s="612">
        <f>vlookup(A16,'MS Data'!$A$3:$K$85,4,FALSE)</f>
        <v>11</v>
      </c>
      <c r="F16" s="612">
        <f>vlookup(A16,'MS Data'!$A$3:$K$85,7,FALSE)</f>
        <v>5</v>
      </c>
      <c r="G16" s="612" t="s">
        <v>63</v>
      </c>
      <c r="H16" s="671" t="s">
        <v>63</v>
      </c>
      <c r="I16" s="614">
        <f>vlookup(A16,'MS Data'!$A$3:$K$85,9,FALSE)</f>
        <v>7</v>
      </c>
      <c r="J16" s="1002" t="s">
        <v>63</v>
      </c>
      <c r="K16" s="704" t="str">
        <f>vlookup(A16,'MS Data'!$A$3:$K$85,11,FALSE)</f>
        <v>33%</v>
      </c>
      <c r="L16" s="838" t="s">
        <v>63</v>
      </c>
      <c r="M16" s="614" t="s">
        <v>63</v>
      </c>
      <c r="N16" s="614" t="s">
        <v>63</v>
      </c>
      <c r="O16" s="614" t="s">
        <v>63</v>
      </c>
      <c r="P16" s="620">
        <f>ifna(vlookup(A16,'Population &amp; Church Numbers'!$A$1404:$D$1485,4,FALSE),"NULL")</f>
        <v>27</v>
      </c>
      <c r="Q16" s="674" t="s">
        <v>63</v>
      </c>
    </row>
    <row r="17">
      <c r="A17" s="609" t="s">
        <v>1363</v>
      </c>
      <c r="B17" s="610">
        <f t="array" ref="B17">VLOOKUP($A17,MS_DEMO,2,FALSE)</f>
        <v>28368</v>
      </c>
      <c r="C17" s="704">
        <f>vlookup(A17,'MS Data'!$A$3:$B$85,2,FALSE)</f>
        <v>30</v>
      </c>
      <c r="D17" s="612" t="s">
        <v>63</v>
      </c>
      <c r="E17" s="612">
        <f>vlookup(A17,'MS Data'!$A$3:$K$85,4,FALSE)</f>
        <v>23</v>
      </c>
      <c r="F17" s="612">
        <f>vlookup(A17,'MS Data'!$A$3:$K$85,7,FALSE)</f>
        <v>0</v>
      </c>
      <c r="G17" s="612" t="s">
        <v>63</v>
      </c>
      <c r="H17" s="671" t="s">
        <v>63</v>
      </c>
      <c r="I17" s="614">
        <f>vlookup(A17,'MS Data'!$A$3:$K$85,9,FALSE)</f>
        <v>1</v>
      </c>
      <c r="J17" s="1002" t="s">
        <v>63</v>
      </c>
      <c r="K17" s="704" t="str">
        <f>vlookup(A17,'MS Data'!$A$3:$K$85,11,FALSE)</f>
        <v>57%</v>
      </c>
      <c r="L17" s="838" t="s">
        <v>63</v>
      </c>
      <c r="M17" s="614" t="s">
        <v>63</v>
      </c>
      <c r="N17" s="614" t="s">
        <v>63</v>
      </c>
      <c r="O17" s="614" t="s">
        <v>63</v>
      </c>
      <c r="P17" s="620">
        <f>ifna(vlookup(A17,'Population &amp; Church Numbers'!$A$1404:$D$1485,4,FALSE),"NULL")</f>
        <v>44</v>
      </c>
      <c r="Q17" s="674" t="s">
        <v>63</v>
      </c>
    </row>
    <row r="18">
      <c r="A18" s="609" t="s">
        <v>126</v>
      </c>
      <c r="B18" s="610">
        <f t="array" ref="B18">VLOOKUP($A18,MS_DEMO,2,FALSE)</f>
        <v>18340</v>
      </c>
      <c r="C18" s="704">
        <f>vlookup(A18,'MS Data'!$A$3:$B$85,2,FALSE)</f>
        <v>20</v>
      </c>
      <c r="D18" s="612" t="s">
        <v>63</v>
      </c>
      <c r="E18" s="612">
        <f>vlookup(A18,'MS Data'!$A$3:$K$85,4,FALSE)</f>
        <v>7</v>
      </c>
      <c r="F18" s="612">
        <f>vlookup(A18,'MS Data'!$A$3:$K$85,7,FALSE)</f>
        <v>8</v>
      </c>
      <c r="G18" s="612" t="s">
        <v>63</v>
      </c>
      <c r="H18" s="671" t="s">
        <v>63</v>
      </c>
      <c r="I18" s="614">
        <f>vlookup(A18,'MS Data'!$A$3:$K$85,9,FALSE)</f>
        <v>0</v>
      </c>
      <c r="J18" s="1002" t="s">
        <v>63</v>
      </c>
      <c r="K18" s="704" t="str">
        <f>vlookup(A18,'MS Data'!$A$3:$K$85,11,FALSE)</f>
        <v>50%</v>
      </c>
      <c r="L18" s="838" t="s">
        <v>63</v>
      </c>
      <c r="M18" s="614" t="s">
        <v>63</v>
      </c>
      <c r="N18" s="614" t="s">
        <v>63</v>
      </c>
      <c r="O18" s="614" t="s">
        <v>63</v>
      </c>
      <c r="P18" s="620">
        <f>ifna(vlookup(A18,'Population &amp; Church Numbers'!$A$1404:$D$1485,4,FALSE),"NULL")</f>
        <v>30</v>
      </c>
      <c r="Q18" s="674" t="s">
        <v>63</v>
      </c>
    </row>
    <row r="19">
      <c r="A19" s="609" t="s">
        <v>489</v>
      </c>
      <c r="B19" s="610">
        <f t="array" ref="B19">VLOOKUP($A19,MS_DEMO,2,FALSE)</f>
        <v>185314</v>
      </c>
      <c r="C19" s="704">
        <f>vlookup(A19,'MS Data'!$A$3:$B$85,2,FALSE)</f>
        <v>81</v>
      </c>
      <c r="D19" s="612" t="s">
        <v>63</v>
      </c>
      <c r="E19" s="612">
        <f>vlookup(A19,'MS Data'!$A$3:$K$85,4,FALSE)</f>
        <v>26</v>
      </c>
      <c r="F19" s="612">
        <f>vlookup(A19,'MS Data'!$A$3:$K$85,7,FALSE)</f>
        <v>34</v>
      </c>
      <c r="G19" s="612" t="s">
        <v>63</v>
      </c>
      <c r="H19" s="671" t="s">
        <v>63</v>
      </c>
      <c r="I19" s="614">
        <f>vlookup(A19,'MS Data'!$A$3:$K$85,9,FALSE)</f>
        <v>8</v>
      </c>
      <c r="J19" s="1002" t="s">
        <v>63</v>
      </c>
      <c r="K19" s="704" t="str">
        <f>vlookup(A19,'MS Data'!$A$3:$K$85,11,FALSE)</f>
        <v>52%</v>
      </c>
      <c r="L19" s="838" t="s">
        <v>63</v>
      </c>
      <c r="M19" s="614" t="s">
        <v>63</v>
      </c>
      <c r="N19" s="614" t="s">
        <v>63</v>
      </c>
      <c r="O19" s="614" t="s">
        <v>63</v>
      </c>
      <c r="P19" s="620">
        <f>ifna(vlookup(A19,'Population &amp; Church Numbers'!$A$1404:$D$1485,4,FALSE),"NULL")</f>
        <v>157</v>
      </c>
      <c r="Q19" s="674" t="s">
        <v>63</v>
      </c>
    </row>
    <row r="20">
      <c r="A20" s="609" t="s">
        <v>1364</v>
      </c>
      <c r="B20" s="610">
        <f t="array" ref="B20">VLOOKUP($A20,MS_DEMO,2,FALSE)</f>
        <v>78158</v>
      </c>
      <c r="C20" s="704">
        <f>vlookup(A20,'MS Data'!$A$3:$B$85,2,FALSE)</f>
        <v>137</v>
      </c>
      <c r="D20" s="612" t="s">
        <v>63</v>
      </c>
      <c r="E20" s="612">
        <f>vlookup(A20,'MS Data'!$A$3:$K$85,4,FALSE)</f>
        <v>59</v>
      </c>
      <c r="F20" s="612">
        <f>vlookup(A20,'MS Data'!$A$3:$K$85,7,FALSE)</f>
        <v>36</v>
      </c>
      <c r="G20" s="612" t="s">
        <v>63</v>
      </c>
      <c r="H20" s="671" t="s">
        <v>63</v>
      </c>
      <c r="I20" s="614">
        <f>vlookup(A20,'MS Data'!$A$3:$K$85,9,FALSE)</f>
        <v>17</v>
      </c>
      <c r="J20" s="1002" t="s">
        <v>63</v>
      </c>
      <c r="K20" s="704" t="str">
        <f>vlookup(A20,'MS Data'!$A$3:$K$85,11,FALSE)</f>
        <v>29%</v>
      </c>
      <c r="L20" s="838" t="s">
        <v>63</v>
      </c>
      <c r="M20" s="614" t="s">
        <v>63</v>
      </c>
      <c r="N20" s="614" t="s">
        <v>63</v>
      </c>
      <c r="O20" s="614" t="s">
        <v>63</v>
      </c>
      <c r="P20" s="620">
        <f>ifna(vlookup(A20,'Population &amp; Church Numbers'!$A$1404:$D$1485,4,FALSE),"NULL")</f>
        <v>92</v>
      </c>
      <c r="Q20" s="674" t="s">
        <v>63</v>
      </c>
    </row>
    <row r="21">
      <c r="A21" s="609" t="s">
        <v>136</v>
      </c>
      <c r="B21" s="610">
        <f t="array" ref="B21">VLOOKUP($A21,MS_DEMO,2,FALSE)</f>
        <v>7675</v>
      </c>
      <c r="C21" s="704">
        <f>vlookup(A21,'MS Data'!$A$3:$B$85,2,FALSE)</f>
        <v>9</v>
      </c>
      <c r="D21" s="612" t="s">
        <v>63</v>
      </c>
      <c r="E21" s="612">
        <f>vlookup(A21,'MS Data'!$A$3:$K$85,4,FALSE)</f>
        <v>1</v>
      </c>
      <c r="F21" s="612">
        <f>vlookup(A21,'MS Data'!$A$3:$K$85,7,FALSE)</f>
        <v>6</v>
      </c>
      <c r="G21" s="612" t="s">
        <v>63</v>
      </c>
      <c r="H21" s="671" t="s">
        <v>63</v>
      </c>
      <c r="I21" s="614">
        <f>vlookup(A21,'MS Data'!$A$3:$K$85,9,FALSE)</f>
        <v>0</v>
      </c>
      <c r="J21" s="1002" t="s">
        <v>63</v>
      </c>
      <c r="K21" s="704" t="str">
        <f>vlookup(A21,'MS Data'!$A$3:$K$85,11,FALSE)</f>
        <v>100%</v>
      </c>
      <c r="L21" s="838" t="s">
        <v>63</v>
      </c>
      <c r="M21" s="614" t="s">
        <v>63</v>
      </c>
      <c r="N21" s="614" t="s">
        <v>63</v>
      </c>
      <c r="O21" s="614" t="s">
        <v>63</v>
      </c>
      <c r="P21" s="620">
        <f>ifna(vlookup(A21,'Population &amp; Church Numbers'!$A$1404:$D$1485,4,FALSE),"NULL")</f>
        <v>24</v>
      </c>
      <c r="Q21" s="674" t="s">
        <v>63</v>
      </c>
    </row>
    <row r="22">
      <c r="A22" s="609" t="s">
        <v>1365</v>
      </c>
      <c r="B22" s="610">
        <f t="array" ref="B22">VLOOKUP($A22,MS_DEMO,2,FALSE)</f>
        <v>24350</v>
      </c>
      <c r="C22" s="704">
        <f>vlookup(A22,'MS Data'!$A$3:$B$85,2,FALSE)</f>
        <v>68</v>
      </c>
      <c r="D22" s="612" t="s">
        <v>63</v>
      </c>
      <c r="E22" s="612">
        <f>vlookup(A22,'MS Data'!$A$3:$K$85,4,FALSE)</f>
        <v>34</v>
      </c>
      <c r="F22" s="612">
        <f>vlookup(A22,'MS Data'!$A$3:$K$85,7,FALSE)</f>
        <v>16</v>
      </c>
      <c r="G22" s="612" t="s">
        <v>63</v>
      </c>
      <c r="H22" s="671" t="s">
        <v>63</v>
      </c>
      <c r="I22" s="614">
        <f>vlookup(A22,'MS Data'!$A$3:$K$85,9,FALSE)</f>
        <v>10</v>
      </c>
      <c r="J22" s="1002" t="s">
        <v>63</v>
      </c>
      <c r="K22" s="704" t="str">
        <f>vlookup(A22,'MS Data'!$A$3:$K$85,11,FALSE)</f>
        <v>50%</v>
      </c>
      <c r="L22" s="838" t="s">
        <v>63</v>
      </c>
      <c r="M22" s="614" t="s">
        <v>63</v>
      </c>
      <c r="N22" s="614" t="s">
        <v>63</v>
      </c>
      <c r="O22" s="614" t="s">
        <v>63</v>
      </c>
      <c r="P22" s="620">
        <f>ifna(vlookup(A22,'Population &amp; Church Numbers'!$A$1404:$D$1485,4,FALSE),"NULL")</f>
        <v>20</v>
      </c>
      <c r="Q22" s="674" t="s">
        <v>63</v>
      </c>
    </row>
    <row r="23">
      <c r="A23" s="609" t="s">
        <v>138</v>
      </c>
      <c r="B23" s="610">
        <f t="array" ref="B23">VLOOKUP($A23,MS_DEMO,2,FALSE)</f>
        <v>13530</v>
      </c>
      <c r="C23" s="704">
        <f>vlookup(A23,'MS Data'!$A$3:$B$85,2,FALSE)</f>
        <v>21</v>
      </c>
      <c r="D23" s="612" t="s">
        <v>63</v>
      </c>
      <c r="E23" s="612">
        <f>vlookup(A23,'MS Data'!$A$3:$K$85,4,FALSE)</f>
        <v>8</v>
      </c>
      <c r="F23" s="612">
        <f>vlookup(A23,'MS Data'!$A$3:$K$85,7,FALSE)</f>
        <v>9</v>
      </c>
      <c r="G23" s="612" t="s">
        <v>63</v>
      </c>
      <c r="H23" s="671" t="s">
        <v>63</v>
      </c>
      <c r="I23" s="614">
        <f>vlookup(A23,'MS Data'!$A$3:$K$85,9,FALSE)</f>
        <v>2</v>
      </c>
      <c r="J23" s="1002" t="s">
        <v>63</v>
      </c>
      <c r="K23" s="704" t="str">
        <f>vlookup(A23,'MS Data'!$A$3:$K$85,11,FALSE)</f>
        <v>75%</v>
      </c>
      <c r="L23" s="838" t="s">
        <v>63</v>
      </c>
      <c r="M23" s="614" t="s">
        <v>63</v>
      </c>
      <c r="N23" s="614" t="s">
        <v>63</v>
      </c>
      <c r="O23" s="614" t="s">
        <v>63</v>
      </c>
      <c r="P23" s="620">
        <f>ifna(vlookup(A23,'Population &amp; Church Numbers'!$A$1404:$D$1485,4,FALSE),"NULL")</f>
        <v>30</v>
      </c>
      <c r="Q23" s="674" t="s">
        <v>63</v>
      </c>
    </row>
    <row r="24">
      <c r="A24" s="609" t="s">
        <v>1366</v>
      </c>
      <c r="B24" s="610">
        <f t="array" ref="B24">VLOOKUP($A24,MS_DEMO,2,FALSE)</f>
        <v>21629</v>
      </c>
      <c r="C24" s="704">
        <f>vlookup(A24,'MS Data'!$A$3:$B$85,2,FALSE)</f>
        <v>20</v>
      </c>
      <c r="D24" s="612" t="s">
        <v>63</v>
      </c>
      <c r="E24" s="612">
        <f>vlookup(A24,'MS Data'!$A$3:$K$85,4,FALSE)</f>
        <v>10</v>
      </c>
      <c r="F24" s="612">
        <f>vlookup(A24,'MS Data'!$A$3:$K$85,7,FALSE)</f>
        <v>3</v>
      </c>
      <c r="G24" s="612" t="s">
        <v>63</v>
      </c>
      <c r="H24" s="671" t="s">
        <v>63</v>
      </c>
      <c r="I24" s="614">
        <f>vlookup(A24,'MS Data'!$A$3:$K$85,9,FALSE)</f>
        <v>5</v>
      </c>
      <c r="J24" s="1002" t="s">
        <v>63</v>
      </c>
      <c r="K24" s="704" t="str">
        <f>vlookup(A24,'MS Data'!$A$3:$K$85,11,FALSE)</f>
        <v>54%</v>
      </c>
      <c r="L24" s="838" t="s">
        <v>63</v>
      </c>
      <c r="M24" s="614" t="s">
        <v>63</v>
      </c>
      <c r="N24" s="614" t="s">
        <v>63</v>
      </c>
      <c r="O24" s="614" t="s">
        <v>63</v>
      </c>
      <c r="P24" s="620">
        <f>ifna(vlookup(A24,'Population &amp; Church Numbers'!$A$1404:$D$1485,4,FALSE),"NULL")</f>
        <v>42</v>
      </c>
      <c r="Q24" s="674" t="s">
        <v>63</v>
      </c>
    </row>
    <row r="25">
      <c r="A25" s="609" t="s">
        <v>587</v>
      </c>
      <c r="B25" s="610">
        <f t="array" ref="B25">VLOOKUP($A25,MS_DEMO,2,FALSE)</f>
        <v>46053</v>
      </c>
      <c r="C25" s="704">
        <f>vlookup(A25,'MS Data'!$A$3:$B$85,2,FALSE)</f>
        <v>85</v>
      </c>
      <c r="D25" s="612" t="s">
        <v>63</v>
      </c>
      <c r="E25" s="612">
        <f>vlookup(A25,'MS Data'!$A$3:$K$85,4,FALSE)</f>
        <v>31</v>
      </c>
      <c r="F25" s="612">
        <f>vlookup(A25,'MS Data'!$A$3:$K$85,7,FALSE)</f>
        <v>27</v>
      </c>
      <c r="G25" s="612" t="s">
        <v>63</v>
      </c>
      <c r="H25" s="671" t="s">
        <v>63</v>
      </c>
      <c r="I25" s="614">
        <f>vlookup(A25,'MS Data'!$A$3:$K$85,9,FALSE)</f>
        <v>25</v>
      </c>
      <c r="J25" s="1002" t="s">
        <v>63</v>
      </c>
      <c r="K25" s="704" t="str">
        <f>vlookup(A25,'MS Data'!$A$3:$K$85,11,FALSE)</f>
        <v>46%</v>
      </c>
      <c r="L25" s="838" t="s">
        <v>63</v>
      </c>
      <c r="M25" s="614" t="s">
        <v>63</v>
      </c>
      <c r="N25" s="614" t="s">
        <v>63</v>
      </c>
      <c r="O25" s="614" t="s">
        <v>63</v>
      </c>
      <c r="P25" s="620">
        <f>ifna(vlookup(A25,'Population &amp; Church Numbers'!$A$1404:$D$1485,4,FALSE),"NULL")</f>
        <v>38</v>
      </c>
      <c r="Q25" s="674" t="s">
        <v>63</v>
      </c>
    </row>
    <row r="26">
      <c r="A26" s="609" t="s">
        <v>775</v>
      </c>
      <c r="B26" s="610">
        <f t="array" ref="B26">VLOOKUP($A26,MS_DEMO,2,FALSE)</f>
        <v>208621</v>
      </c>
      <c r="C26" s="704">
        <f>vlookup(A26,'MS Data'!$A$3:$B$85,2,FALSE)</f>
        <v>229</v>
      </c>
      <c r="D26" s="612" t="s">
        <v>63</v>
      </c>
      <c r="E26" s="612">
        <f>vlookup(A26,'MS Data'!$A$3:$K$85,4,FALSE)</f>
        <v>98</v>
      </c>
      <c r="F26" s="612">
        <f>vlookup(A26,'MS Data'!$A$3:$K$85,7,FALSE)</f>
        <v>86</v>
      </c>
      <c r="G26" s="612" t="s">
        <v>63</v>
      </c>
      <c r="H26" s="671" t="s">
        <v>63</v>
      </c>
      <c r="I26" s="614">
        <f>vlookup(A26,'MS Data'!$A$3:$K$85,9,FALSE)</f>
        <v>59</v>
      </c>
      <c r="J26" s="1002" t="s">
        <v>63</v>
      </c>
      <c r="K26" s="704" t="str">
        <f>vlookup(A26,'MS Data'!$A$3:$K$85,11,FALSE)</f>
        <v>29%</v>
      </c>
      <c r="L26" s="838" t="s">
        <v>63</v>
      </c>
      <c r="M26" s="614" t="s">
        <v>63</v>
      </c>
      <c r="N26" s="614" t="s">
        <v>63</v>
      </c>
      <c r="O26" s="614" t="s">
        <v>63</v>
      </c>
      <c r="P26" s="620">
        <f>ifna(vlookup(A26,'Population &amp; Church Numbers'!$A$1404:$D$1485,4,FALSE),"NULL")</f>
        <v>181</v>
      </c>
      <c r="Q26" s="674" t="s">
        <v>63</v>
      </c>
    </row>
    <row r="27">
      <c r="A27" s="609" t="s">
        <v>1367</v>
      </c>
      <c r="B27" s="610">
        <f t="array" ref="B27">VLOOKUP($A27,MS_DEMO,2,FALSE)</f>
        <v>227742</v>
      </c>
      <c r="C27" s="704">
        <f>vlookup(A27,'MS Data'!$A$3:$B$85,2,FALSE)</f>
        <v>182</v>
      </c>
      <c r="D27" s="612" t="s">
        <v>63</v>
      </c>
      <c r="E27" s="612">
        <f>vlookup(A27,'MS Data'!$A$3:$K$85,4,FALSE)</f>
        <v>103</v>
      </c>
      <c r="F27" s="612">
        <f>vlookup(A27,'MS Data'!$A$3:$K$85,7,FALSE)</f>
        <v>10</v>
      </c>
      <c r="G27" s="612" t="s">
        <v>63</v>
      </c>
      <c r="H27" s="671" t="s">
        <v>63</v>
      </c>
      <c r="I27" s="614">
        <f>vlookup(A27,'MS Data'!$A$3:$K$85,9,FALSE)</f>
        <v>13</v>
      </c>
      <c r="J27" s="1002" t="s">
        <v>63</v>
      </c>
      <c r="K27" s="704" t="str">
        <f>vlookup(A27,'MS Data'!$A$3:$K$85,11,FALSE)</f>
        <v>22%</v>
      </c>
      <c r="L27" s="838" t="s">
        <v>63</v>
      </c>
      <c r="M27" s="614" t="s">
        <v>63</v>
      </c>
      <c r="N27" s="614" t="s">
        <v>63</v>
      </c>
      <c r="O27" s="614" t="s">
        <v>63</v>
      </c>
      <c r="P27" s="620">
        <f>ifna(vlookup(A27,'Population &amp; Church Numbers'!$A$1404:$D$1485,4,FALSE),"NULL")</f>
        <v>296</v>
      </c>
      <c r="Q27" s="674" t="s">
        <v>63</v>
      </c>
    </row>
    <row r="28">
      <c r="A28" s="609" t="s">
        <v>502</v>
      </c>
      <c r="B28" s="610">
        <f t="array" ref="B28">VLOOKUP($A28,MS_DEMO,2,FALSE)</f>
        <v>17000</v>
      </c>
      <c r="C28" s="704">
        <f>vlookup(A28,'MS Data'!$A$3:$B$85,2,FALSE)</f>
        <v>14</v>
      </c>
      <c r="D28" s="612" t="s">
        <v>63</v>
      </c>
      <c r="E28" s="612">
        <f>vlookup(A28,'MS Data'!$A$3:$K$85,4,FALSE)</f>
        <v>7</v>
      </c>
      <c r="F28" s="612">
        <f>vlookup(A28,'MS Data'!$A$3:$K$85,7,FALSE)</f>
        <v>3</v>
      </c>
      <c r="G28" s="612" t="s">
        <v>63</v>
      </c>
      <c r="H28" s="671" t="s">
        <v>63</v>
      </c>
      <c r="I28" s="614">
        <f>vlookup(A28,'MS Data'!$A$3:$K$85,9,FALSE)</f>
        <v>6</v>
      </c>
      <c r="J28" s="1002" t="s">
        <v>63</v>
      </c>
      <c r="K28" s="704" t="str">
        <f>vlookup(A28,'MS Data'!$A$3:$K$85,11,FALSE)</f>
        <v>100%</v>
      </c>
      <c r="L28" s="838" t="s">
        <v>63</v>
      </c>
      <c r="M28" s="614" t="s">
        <v>63</v>
      </c>
      <c r="N28" s="614" t="s">
        <v>63</v>
      </c>
      <c r="O28" s="614" t="s">
        <v>63</v>
      </c>
      <c r="P28" s="620">
        <f>ifna(vlookup(A28,'Population &amp; Church Numbers'!$A$1404:$D$1485,4,FALSE),"NULL")</f>
        <v>22</v>
      </c>
      <c r="Q28" s="674" t="s">
        <v>63</v>
      </c>
    </row>
    <row r="29">
      <c r="A29" s="609" t="s">
        <v>1368</v>
      </c>
      <c r="B29" s="610">
        <f t="array" ref="B29">VLOOKUP($A29,MS_DEMO,2,FALSE)</f>
        <v>7785</v>
      </c>
      <c r="C29" s="704">
        <f>vlookup(A29,'MS Data'!$A$3:$B$85,2,FALSE)</f>
        <v>15</v>
      </c>
      <c r="D29" s="612" t="s">
        <v>63</v>
      </c>
      <c r="E29" s="612">
        <f>vlookup(A29,'MS Data'!$A$3:$K$85,4,FALSE)</f>
        <v>8</v>
      </c>
      <c r="F29" s="612">
        <f>vlookup(A29,'MS Data'!$A$3:$K$85,7,FALSE)</f>
        <v>2</v>
      </c>
      <c r="G29" s="612" t="s">
        <v>63</v>
      </c>
      <c r="H29" s="671" t="s">
        <v>63</v>
      </c>
      <c r="I29" s="614">
        <f>vlookup(A29,'MS Data'!$A$3:$K$85,9,FALSE)</f>
        <v>3</v>
      </c>
      <c r="J29" s="1002" t="s">
        <v>63</v>
      </c>
      <c r="K29" s="704" t="str">
        <f>vlookup(A29,'MS Data'!$A$3:$K$85,11,FALSE)</f>
        <v>na%</v>
      </c>
      <c r="L29" s="838" t="s">
        <v>63</v>
      </c>
      <c r="M29" s="614" t="s">
        <v>63</v>
      </c>
      <c r="N29" s="614" t="s">
        <v>63</v>
      </c>
      <c r="O29" s="614" t="s">
        <v>63</v>
      </c>
      <c r="P29" s="620">
        <f>ifna(vlookup(A29,'Population &amp; Church Numbers'!$A$1404:$D$1485,4,FALSE),"NULL")</f>
        <v>14</v>
      </c>
      <c r="Q29" s="674" t="s">
        <v>63</v>
      </c>
    </row>
    <row r="30">
      <c r="A30" s="609" t="s">
        <v>1369</v>
      </c>
      <c r="B30" s="610">
        <f t="array" ref="B30">VLOOKUP($A30,MS_DEMO,2,FALSE)</f>
        <v>1338</v>
      </c>
      <c r="C30" s="704">
        <f>vlookup(A30,'MS Data'!$A$3:$B$85,2,FALSE)</f>
        <v>0</v>
      </c>
      <c r="D30" s="612" t="s">
        <v>63</v>
      </c>
      <c r="E30" s="612">
        <f>vlookup(A30,'MS Data'!$A$3:$K$85,4,FALSE)</f>
        <v>0</v>
      </c>
      <c r="F30" s="612">
        <f>vlookup(A30,'MS Data'!$A$3:$K$85,7,FALSE)</f>
        <v>0</v>
      </c>
      <c r="G30" s="612" t="s">
        <v>63</v>
      </c>
      <c r="H30" s="671" t="s">
        <v>63</v>
      </c>
      <c r="I30" s="614">
        <f>vlookup(A30,'MS Data'!$A$3:$K$85,9,FALSE)</f>
        <v>0</v>
      </c>
      <c r="J30" s="1002" t="s">
        <v>63</v>
      </c>
      <c r="K30" s="704" t="str">
        <f>vlookup(A30,'MS Data'!$A$3:$K$85,11,FALSE)</f>
        <v>na%</v>
      </c>
      <c r="L30" s="838" t="s">
        <v>63</v>
      </c>
      <c r="M30" s="614" t="s">
        <v>63</v>
      </c>
      <c r="N30" s="614" t="s">
        <v>63</v>
      </c>
      <c r="O30" s="614" t="s">
        <v>63</v>
      </c>
      <c r="P30" s="620" t="str">
        <f>ifna(vlookup(A30,'Population &amp; Church Numbers'!$A$1404:$D$1485,4,FALSE),"NULL")</f>
        <v>NULL</v>
      </c>
      <c r="Q30" s="674" t="s">
        <v>63</v>
      </c>
    </row>
    <row r="31">
      <c r="A31" s="609" t="s">
        <v>1370</v>
      </c>
      <c r="B31" s="610">
        <f t="array" ref="B31">VLOOKUP($A31,MS_DEMO,2,FALSE)</f>
        <v>23863</v>
      </c>
      <c r="C31" s="704">
        <f>vlookup(A31,'MS Data'!$A$3:$B$85,2,FALSE)</f>
        <v>48</v>
      </c>
      <c r="D31" s="612" t="s">
        <v>63</v>
      </c>
      <c r="E31" s="612">
        <f>vlookup(A31,'MS Data'!$A$3:$K$85,4,FALSE)</f>
        <v>18</v>
      </c>
      <c r="F31" s="612">
        <f>vlookup(A31,'MS Data'!$A$3:$K$85,7,FALSE)</f>
        <v>15</v>
      </c>
      <c r="G31" s="612" t="s">
        <v>63</v>
      </c>
      <c r="H31" s="671" t="s">
        <v>63</v>
      </c>
      <c r="I31" s="614">
        <f>vlookup(A31,'MS Data'!$A$3:$K$85,9,FALSE)</f>
        <v>6</v>
      </c>
      <c r="J31" s="1002" t="s">
        <v>63</v>
      </c>
      <c r="K31" s="704" t="str">
        <f>vlookup(A31,'MS Data'!$A$3:$K$85,11,FALSE)</f>
        <v>6%</v>
      </c>
      <c r="L31" s="838" t="s">
        <v>63</v>
      </c>
      <c r="M31" s="614" t="s">
        <v>63</v>
      </c>
      <c r="N31" s="614" t="s">
        <v>63</v>
      </c>
      <c r="O31" s="614" t="s">
        <v>63</v>
      </c>
      <c r="P31" s="620">
        <f>ifna(vlookup(A31,'Population &amp; Church Numbers'!$A$1404:$D$1485,4,FALSE),"NULL")</f>
        <v>38</v>
      </c>
      <c r="Q31" s="674" t="s">
        <v>63</v>
      </c>
    </row>
    <row r="32">
      <c r="A32" s="609" t="s">
        <v>142</v>
      </c>
      <c r="B32" s="610">
        <f t="array" ref="B32">VLOOKUP($A32,MS_DEMO,2,FALSE)</f>
        <v>143252</v>
      </c>
      <c r="C32" s="704">
        <f>vlookup(A32,'MS Data'!$A$3:$B$85,2,FALSE)</f>
        <v>232</v>
      </c>
      <c r="D32" s="612" t="s">
        <v>63</v>
      </c>
      <c r="E32" s="612">
        <f>vlookup(A32,'MS Data'!$A$3:$K$85,4,FALSE)</f>
        <v>110</v>
      </c>
      <c r="F32" s="612">
        <f>vlookup(A32,'MS Data'!$A$3:$K$85,7,FALSE)</f>
        <v>86</v>
      </c>
      <c r="G32" s="612" t="s">
        <v>63</v>
      </c>
      <c r="H32" s="671" t="s">
        <v>63</v>
      </c>
      <c r="I32" s="614">
        <f>vlookup(A32,'MS Data'!$A$3:$K$85,9,FALSE)</f>
        <v>25</v>
      </c>
      <c r="J32" s="1002" t="s">
        <v>63</v>
      </c>
      <c r="K32" s="704" t="str">
        <f>vlookup(A32,'MS Data'!$A$3:$K$85,11,FALSE)</f>
        <v>47%</v>
      </c>
      <c r="L32" s="838" t="s">
        <v>63</v>
      </c>
      <c r="M32" s="614" t="s">
        <v>63</v>
      </c>
      <c r="N32" s="614" t="s">
        <v>63</v>
      </c>
      <c r="O32" s="614" t="s">
        <v>63</v>
      </c>
      <c r="P32" s="620">
        <f>ifna(vlookup(A32,'Population &amp; Church Numbers'!$A$1404:$D$1485,4,FALSE),"NULL")</f>
        <v>156</v>
      </c>
      <c r="Q32" s="674" t="s">
        <v>63</v>
      </c>
    </row>
    <row r="33">
      <c r="A33" s="609" t="s">
        <v>593</v>
      </c>
      <c r="B33" s="610">
        <f t="array" ref="B33">VLOOKUP($A33,MS_DEMO,2,FALSE)</f>
        <v>16367</v>
      </c>
      <c r="C33" s="704">
        <f>vlookup(A33,'MS Data'!$A$3:$B$85,2,FALSE)</f>
        <v>21</v>
      </c>
      <c r="D33" s="612" t="s">
        <v>63</v>
      </c>
      <c r="E33" s="612">
        <f>vlookup(A33,'MS Data'!$A$3:$K$85,4,FALSE)</f>
        <v>7</v>
      </c>
      <c r="F33" s="612">
        <f>vlookup(A33,'MS Data'!$A$3:$K$85,7,FALSE)</f>
        <v>7</v>
      </c>
      <c r="G33" s="612" t="s">
        <v>63</v>
      </c>
      <c r="H33" s="671" t="s">
        <v>63</v>
      </c>
      <c r="I33" s="614">
        <f>vlookup(A33,'MS Data'!$A$3:$K$85,9,FALSE)</f>
        <v>1</v>
      </c>
      <c r="J33" s="1002" t="s">
        <v>63</v>
      </c>
      <c r="K33" s="704" t="str">
        <f>vlookup(A33,'MS Data'!$A$3:$K$85,11,FALSE)</f>
        <v>33%</v>
      </c>
      <c r="L33" s="838" t="s">
        <v>63</v>
      </c>
      <c r="M33" s="614" t="s">
        <v>63</v>
      </c>
      <c r="N33" s="614" t="s">
        <v>63</v>
      </c>
      <c r="O33" s="614" t="s">
        <v>63</v>
      </c>
      <c r="P33" s="620">
        <f>ifna(vlookup(A33,'Population &amp; Church Numbers'!$A$1404:$D$1485,4,FALSE),"NULL")</f>
        <v>29</v>
      </c>
      <c r="Q33" s="674" t="s">
        <v>63</v>
      </c>
    </row>
    <row r="34">
      <c r="A34" s="609" t="s">
        <v>143</v>
      </c>
      <c r="B34" s="610">
        <f t="array" ref="B34">VLOOKUP($A34,MS_DEMO,2,FALSE)</f>
        <v>7260</v>
      </c>
      <c r="C34" s="704">
        <f>vlookup(A34,'MS Data'!$A$3:$B$85,2,FALSE)</f>
        <v>1</v>
      </c>
      <c r="D34" s="612" t="s">
        <v>63</v>
      </c>
      <c r="E34" s="612">
        <f>vlookup(A34,'MS Data'!$A$3:$K$85,4,FALSE)</f>
        <v>1</v>
      </c>
      <c r="F34" s="612">
        <f>vlookup(A34,'MS Data'!$A$3:$K$85,7,FALSE)</f>
        <v>0</v>
      </c>
      <c r="G34" s="612" t="s">
        <v>63</v>
      </c>
      <c r="H34" s="671" t="s">
        <v>63</v>
      </c>
      <c r="I34" s="614">
        <f>vlookup(A34,'MS Data'!$A$3:$K$85,9,FALSE)</f>
        <v>0</v>
      </c>
      <c r="J34" s="1002" t="s">
        <v>63</v>
      </c>
      <c r="K34" s="704" t="str">
        <f>vlookup(A34,'MS Data'!$A$3:$K$85,11,FALSE)</f>
        <v>33%</v>
      </c>
      <c r="L34" s="838" t="s">
        <v>63</v>
      </c>
      <c r="M34" s="614" t="s">
        <v>63</v>
      </c>
      <c r="N34" s="614" t="s">
        <v>63</v>
      </c>
      <c r="O34" s="614" t="s">
        <v>63</v>
      </c>
      <c r="P34" s="620">
        <f>ifna(vlookup(A34,'Population &amp; Church Numbers'!$A$1404:$D$1485,4,FALSE),"NULL")</f>
        <v>7</v>
      </c>
      <c r="Q34" s="674" t="s">
        <v>63</v>
      </c>
    </row>
    <row r="35">
      <c r="A35" s="609" t="s">
        <v>1159</v>
      </c>
      <c r="B35" s="610">
        <f t="array" ref="B35">VLOOKUP($A35,MS_DEMO,2,FALSE)</f>
        <v>11321</v>
      </c>
      <c r="C35" s="704">
        <f>vlookup(A35,'MS Data'!$A$3:$B$85,2,FALSE)</f>
        <v>20</v>
      </c>
      <c r="D35" s="612" t="s">
        <v>63</v>
      </c>
      <c r="E35" s="612">
        <f>vlookup(A35,'MS Data'!$A$3:$K$85,4,FALSE)</f>
        <v>15</v>
      </c>
      <c r="F35" s="612">
        <f>vlookup(A35,'MS Data'!$A$3:$K$85,7,FALSE)</f>
        <v>0</v>
      </c>
      <c r="G35" s="612" t="s">
        <v>63</v>
      </c>
      <c r="H35" s="671" t="s">
        <v>63</v>
      </c>
      <c r="I35" s="614">
        <f>vlookup(A35,'MS Data'!$A$3:$K$85,9,FALSE)</f>
        <v>3</v>
      </c>
      <c r="J35" s="1002" t="s">
        <v>63</v>
      </c>
      <c r="K35" s="704" t="str">
        <f>vlookup(A35,'MS Data'!$A$3:$K$85,11,FALSE)</f>
        <v>10%</v>
      </c>
      <c r="L35" s="838" t="s">
        <v>63</v>
      </c>
      <c r="M35" s="614" t="s">
        <v>63</v>
      </c>
      <c r="N35" s="614" t="s">
        <v>63</v>
      </c>
      <c r="O35" s="614" t="s">
        <v>63</v>
      </c>
      <c r="P35" s="620">
        <f>ifna(vlookup(A35,'Population &amp; Church Numbers'!$A$1404:$D$1485,4,FALSE),"NULL")</f>
        <v>31</v>
      </c>
      <c r="Q35" s="674" t="s">
        <v>63</v>
      </c>
    </row>
    <row r="36">
      <c r="A36" s="609" t="s">
        <v>598</v>
      </c>
      <c r="B36" s="610">
        <f t="array" ref="B36">VLOOKUP($A36,MS_DEMO,2,FALSE)</f>
        <v>67246</v>
      </c>
      <c r="C36" s="704">
        <f>vlookup(A36,'MS Data'!$A$3:$B$85,2,FALSE)</f>
        <v>111</v>
      </c>
      <c r="D36" s="612" t="s">
        <v>63</v>
      </c>
      <c r="E36" s="612">
        <f>vlookup(A36,'MS Data'!$A$3:$K$85,4,FALSE)</f>
        <v>32</v>
      </c>
      <c r="F36" s="612">
        <f>vlookup(A36,'MS Data'!$A$3:$K$85,7,FALSE)</f>
        <v>60</v>
      </c>
      <c r="G36" s="612" t="s">
        <v>63</v>
      </c>
      <c r="H36" s="671" t="s">
        <v>63</v>
      </c>
      <c r="I36" s="614">
        <f>vlookup(A36,'MS Data'!$A$3:$K$85,9,FALSE)</f>
        <v>22</v>
      </c>
      <c r="J36" s="1002" t="s">
        <v>63</v>
      </c>
      <c r="K36" s="704" t="str">
        <f>vlookup(A36,'MS Data'!$A$3:$K$85,11,FALSE)</f>
        <v>28%</v>
      </c>
      <c r="L36" s="838" t="s">
        <v>63</v>
      </c>
      <c r="M36" s="614" t="s">
        <v>63</v>
      </c>
      <c r="N36" s="614" t="s">
        <v>63</v>
      </c>
      <c r="O36" s="614" t="s">
        <v>63</v>
      </c>
      <c r="P36" s="620">
        <f>ifna(vlookup(A36,'Population &amp; Church Numbers'!$A$1404:$D$1485,4,FALSE),"NULL")</f>
        <v>116</v>
      </c>
      <c r="Q36" s="674" t="s">
        <v>63</v>
      </c>
    </row>
    <row r="37">
      <c r="A37" s="609" t="s">
        <v>1371</v>
      </c>
      <c r="B37" s="610">
        <f t="array" ref="B37">VLOOKUP($A37,MS_DEMO,2,FALSE)</f>
        <v>8988</v>
      </c>
      <c r="C37" s="704">
        <f>vlookup(A37,'MS Data'!$A$3:$B$85,2,FALSE)</f>
        <v>12</v>
      </c>
      <c r="D37" s="612" t="s">
        <v>63</v>
      </c>
      <c r="E37" s="612">
        <f>vlookup(A37,'MS Data'!$A$3:$K$85,4,FALSE)</f>
        <v>2</v>
      </c>
      <c r="F37" s="612">
        <f>vlookup(A37,'MS Data'!$A$3:$K$85,7,FALSE)</f>
        <v>5</v>
      </c>
      <c r="G37" s="612" t="s">
        <v>63</v>
      </c>
      <c r="H37" s="671" t="s">
        <v>63</v>
      </c>
      <c r="I37" s="614">
        <f>vlookup(A37,'MS Data'!$A$3:$K$85,9,FALSE)</f>
        <v>1</v>
      </c>
      <c r="J37" s="1002" t="s">
        <v>63</v>
      </c>
      <c r="K37" s="704" t="str">
        <f>vlookup(A37,'MS Data'!$A$3:$K$85,11,FALSE)</f>
        <v>33%</v>
      </c>
      <c r="L37" s="838" t="s">
        <v>63</v>
      </c>
      <c r="M37" s="614" t="s">
        <v>63</v>
      </c>
      <c r="N37" s="614" t="s">
        <v>63</v>
      </c>
      <c r="O37" s="614" t="s">
        <v>63</v>
      </c>
      <c r="P37" s="620">
        <f>ifna(vlookup(A37,'Population &amp; Church Numbers'!$A$1404:$D$1485,4,FALSE),"NULL")</f>
        <v>21</v>
      </c>
      <c r="Q37" s="674" t="s">
        <v>63</v>
      </c>
    </row>
    <row r="38">
      <c r="A38" s="609" t="s">
        <v>289</v>
      </c>
      <c r="B38" s="610">
        <f t="array" ref="B38">VLOOKUP($A38,MS_DEMO,2,FALSE)</f>
        <v>55813</v>
      </c>
      <c r="C38" s="704">
        <f>vlookup(A38,'MS Data'!$A$3:$B$85,2,FALSE)</f>
        <v>41</v>
      </c>
      <c r="D38" s="612" t="s">
        <v>63</v>
      </c>
      <c r="E38" s="612">
        <f>vlookup(A38,'MS Data'!$A$3:$K$85,4,FALSE)</f>
        <v>23</v>
      </c>
      <c r="F38" s="612">
        <f>vlookup(A38,'MS Data'!$A$3:$K$85,7,FALSE)</f>
        <v>13</v>
      </c>
      <c r="G38" s="612" t="s">
        <v>63</v>
      </c>
      <c r="H38" s="671" t="s">
        <v>63</v>
      </c>
      <c r="I38" s="614">
        <f>vlookup(A38,'MS Data'!$A$3:$K$85,9,FALSE)</f>
        <v>7</v>
      </c>
      <c r="J38" s="1002" t="s">
        <v>63</v>
      </c>
      <c r="K38" s="704" t="str">
        <f>vlookup(A38,'MS Data'!$A$3:$K$85,11,FALSE)</f>
        <v>42%</v>
      </c>
      <c r="L38" s="838" t="s">
        <v>63</v>
      </c>
      <c r="M38" s="614" t="s">
        <v>63</v>
      </c>
      <c r="N38" s="614" t="s">
        <v>63</v>
      </c>
      <c r="O38" s="614" t="s">
        <v>63</v>
      </c>
      <c r="P38" s="620">
        <f>ifna(vlookup(A38,'Population &amp; Church Numbers'!$A$1404:$D$1485,4,FALSE),"NULL")</f>
        <v>52</v>
      </c>
      <c r="Q38" s="674" t="s">
        <v>63</v>
      </c>
    </row>
    <row r="39">
      <c r="A39" s="609" t="s">
        <v>144</v>
      </c>
      <c r="B39" s="610">
        <f t="array" ref="B39">VLOOKUP($A39,MS_DEMO,2,FALSE)</f>
        <v>64222</v>
      </c>
      <c r="C39" s="704">
        <f>vlookup(A39,'MS Data'!$A$3:$B$85,2,FALSE)</f>
        <v>48</v>
      </c>
      <c r="D39" s="612" t="s">
        <v>63</v>
      </c>
      <c r="E39" s="612">
        <f>vlookup(A39,'MS Data'!$A$3:$K$85,4,FALSE)</f>
        <v>16</v>
      </c>
      <c r="F39" s="612">
        <f>vlookup(A39,'MS Data'!$A$3:$K$85,7,FALSE)</f>
        <v>26</v>
      </c>
      <c r="G39" s="612" t="s">
        <v>63</v>
      </c>
      <c r="H39" s="671" t="s">
        <v>63</v>
      </c>
      <c r="I39" s="614">
        <f>vlookup(A39,'MS Data'!$A$3:$K$85,9,FALSE)</f>
        <v>9</v>
      </c>
      <c r="J39" s="1002" t="s">
        <v>63</v>
      </c>
      <c r="K39" s="704" t="str">
        <f>vlookup(A39,'MS Data'!$A$3:$K$85,11,FALSE)</f>
        <v>53%</v>
      </c>
      <c r="L39" s="838" t="s">
        <v>63</v>
      </c>
      <c r="M39" s="614" t="s">
        <v>63</v>
      </c>
      <c r="N39" s="614" t="s">
        <v>63</v>
      </c>
      <c r="O39" s="614" t="s">
        <v>63</v>
      </c>
      <c r="P39" s="620">
        <f>ifna(vlookup(A39,'Population &amp; Church Numbers'!$A$1404:$D$1485,4,FALSE),"NULL")</f>
        <v>52</v>
      </c>
      <c r="Q39" s="674" t="s">
        <v>63</v>
      </c>
    </row>
    <row r="40">
      <c r="A40" s="609" t="s">
        <v>145</v>
      </c>
      <c r="B40" s="610">
        <f t="array" ref="B40">VLOOKUP($A40,MS_DEMO,2,FALSE)</f>
        <v>72984</v>
      </c>
      <c r="C40" s="704">
        <f>vlookup(A40,'MS Data'!$A$3:$B$85,2,FALSE)</f>
        <v>123</v>
      </c>
      <c r="D40" s="612" t="s">
        <v>63</v>
      </c>
      <c r="E40" s="612">
        <f>vlookup(A40,'MS Data'!$A$3:$K$85,4,FALSE)</f>
        <v>53</v>
      </c>
      <c r="F40" s="612">
        <f>vlookup(A40,'MS Data'!$A$3:$K$85,7,FALSE)</f>
        <v>49</v>
      </c>
      <c r="G40" s="612" t="s">
        <v>63</v>
      </c>
      <c r="H40" s="671" t="s">
        <v>63</v>
      </c>
      <c r="I40" s="614">
        <f>vlookup(A40,'MS Data'!$A$3:$K$85,9,FALSE)</f>
        <v>22</v>
      </c>
      <c r="J40" s="1002" t="s">
        <v>63</v>
      </c>
      <c r="K40" s="704" t="str">
        <f>vlookup(A40,'MS Data'!$A$3:$K$85,11,FALSE)</f>
        <v>36%</v>
      </c>
      <c r="L40" s="838" t="s">
        <v>63</v>
      </c>
      <c r="M40" s="614" t="s">
        <v>63</v>
      </c>
      <c r="N40" s="614" t="s">
        <v>63</v>
      </c>
      <c r="O40" s="614" t="s">
        <v>63</v>
      </c>
      <c r="P40" s="620">
        <f>ifna(vlookup(A40,'Population &amp; Church Numbers'!$A$1404:$D$1485,4,FALSE),"NULL")</f>
        <v>131</v>
      </c>
      <c r="Q40" s="674" t="s">
        <v>63</v>
      </c>
    </row>
    <row r="41">
      <c r="A41" s="609" t="s">
        <v>146</v>
      </c>
      <c r="B41" s="610">
        <f t="array" ref="B41">VLOOKUP($A41,MS_DEMO,2,FALSE)</f>
        <v>12016</v>
      </c>
      <c r="C41" s="704">
        <f>vlookup(A41,'MS Data'!$A$3:$B$85,2,FALSE)</f>
        <v>12</v>
      </c>
      <c r="D41" s="612" t="s">
        <v>63</v>
      </c>
      <c r="E41" s="612">
        <f>vlookup(A41,'MS Data'!$A$3:$K$85,4,FALSE)</f>
        <v>7</v>
      </c>
      <c r="F41" s="612">
        <f>vlookup(A41,'MS Data'!$A$3:$K$85,7,FALSE)</f>
        <v>0</v>
      </c>
      <c r="G41" s="612" t="s">
        <v>63</v>
      </c>
      <c r="H41" s="671" t="s">
        <v>63</v>
      </c>
      <c r="I41" s="614">
        <f>vlookup(A41,'MS Data'!$A$3:$K$85,9,FALSE)</f>
        <v>1</v>
      </c>
      <c r="J41" s="1002" t="s">
        <v>63</v>
      </c>
      <c r="K41" s="704" t="str">
        <f>vlookup(A41,'MS Data'!$A$3:$K$85,11,FALSE)</f>
        <v>20%</v>
      </c>
      <c r="L41" s="838" t="s">
        <v>63</v>
      </c>
      <c r="M41" s="614" t="s">
        <v>63</v>
      </c>
      <c r="N41" s="614" t="s">
        <v>63</v>
      </c>
      <c r="O41" s="614" t="s">
        <v>63</v>
      </c>
      <c r="P41" s="620">
        <f>ifna(vlookup(A41,'Population &amp; Church Numbers'!$A$1404:$D$1485,4,FALSE),"NULL")</f>
        <v>33</v>
      </c>
      <c r="Q41" s="674" t="s">
        <v>63</v>
      </c>
    </row>
    <row r="42">
      <c r="A42" s="609" t="s">
        <v>1372</v>
      </c>
      <c r="B42" s="610">
        <f t="array" ref="B42">VLOOKUP($A42,MS_DEMO,2,FALSE)</f>
        <v>21275</v>
      </c>
      <c r="C42" s="704">
        <f>vlookup(A42,'MS Data'!$A$3:$B$85,2,FALSE)</f>
        <v>22</v>
      </c>
      <c r="D42" s="612" t="s">
        <v>63</v>
      </c>
      <c r="E42" s="612">
        <f>vlookup(A42,'MS Data'!$A$3:$K$85,4,FALSE)</f>
        <v>8</v>
      </c>
      <c r="F42" s="612">
        <f>vlookup(A42,'MS Data'!$A$3:$K$85,7,FALSE)</f>
        <v>8</v>
      </c>
      <c r="G42" s="612" t="s">
        <v>63</v>
      </c>
      <c r="H42" s="671" t="s">
        <v>63</v>
      </c>
      <c r="I42" s="614">
        <f>vlookup(A42,'MS Data'!$A$3:$K$85,9,FALSE)</f>
        <v>2</v>
      </c>
      <c r="J42" s="1002" t="s">
        <v>63</v>
      </c>
      <c r="K42" s="704" t="str">
        <f>vlookup(A42,'MS Data'!$A$3:$K$85,11,FALSE)</f>
        <v>100%</v>
      </c>
      <c r="L42" s="838" t="s">
        <v>63</v>
      </c>
      <c r="M42" s="614" t="s">
        <v>63</v>
      </c>
      <c r="N42" s="614" t="s">
        <v>63</v>
      </c>
      <c r="O42" s="614" t="s">
        <v>63</v>
      </c>
      <c r="P42" s="620">
        <f>ifna(vlookup(A42,'Population &amp; Church Numbers'!$A$1404:$D$1485,4,FALSE),"NULL")</f>
        <v>26</v>
      </c>
      <c r="Q42" s="674" t="s">
        <v>63</v>
      </c>
    </row>
    <row r="43">
      <c r="A43" s="609" t="s">
        <v>147</v>
      </c>
      <c r="B43" s="610">
        <f t="array" ref="B43">VLOOKUP($A43,MS_DEMO,2,FALSE)</f>
        <v>83343</v>
      </c>
      <c r="C43" s="704">
        <f>vlookup(A43,'MS Data'!$A$3:$B$85,2,FALSE)</f>
        <v>218</v>
      </c>
      <c r="D43" s="612" t="s">
        <v>63</v>
      </c>
      <c r="E43" s="612">
        <f>vlookup(A43,'MS Data'!$A$3:$K$85,4,FALSE)</f>
        <v>90</v>
      </c>
      <c r="F43" s="612">
        <f>vlookup(A43,'MS Data'!$A$3:$K$85,7,FALSE)</f>
        <v>83</v>
      </c>
      <c r="G43" s="612" t="s">
        <v>63</v>
      </c>
      <c r="H43" s="671" t="s">
        <v>63</v>
      </c>
      <c r="I43" s="614">
        <f>vlookup(A43,'MS Data'!$A$3:$K$85,9,FALSE)</f>
        <v>25</v>
      </c>
      <c r="J43" s="1002" t="s">
        <v>63</v>
      </c>
      <c r="K43" s="704" t="str">
        <f>vlookup(A43,'MS Data'!$A$3:$K$85,11,FALSE)</f>
        <v>50%</v>
      </c>
      <c r="L43" s="838" t="s">
        <v>63</v>
      </c>
      <c r="M43" s="614" t="s">
        <v>63</v>
      </c>
      <c r="N43" s="614" t="s">
        <v>63</v>
      </c>
      <c r="O43" s="614" t="s">
        <v>63</v>
      </c>
      <c r="P43" s="620">
        <f>ifna(vlookup(A43,'Population &amp; Church Numbers'!$A$1404:$D$1485,4,FALSE),"NULL")</f>
        <v>116</v>
      </c>
      <c r="Q43" s="674" t="s">
        <v>63</v>
      </c>
    </row>
    <row r="44">
      <c r="A44" s="609" t="s">
        <v>1373</v>
      </c>
      <c r="B44" s="610">
        <f t="array" ref="B44">VLOOKUP($A44,MS_DEMO,2,FALSE)</f>
        <v>28339</v>
      </c>
      <c r="C44" s="704">
        <f>vlookup(A44,'MS Data'!$A$3:$B$85,2,FALSE)</f>
        <v>14</v>
      </c>
      <c r="D44" s="612" t="s">
        <v>63</v>
      </c>
      <c r="E44" s="612">
        <f>vlookup(A44,'MS Data'!$A$3:$K$85,4,FALSE)</f>
        <v>10</v>
      </c>
      <c r="F44" s="612">
        <f>vlookup(A44,'MS Data'!$A$3:$K$85,7,FALSE)</f>
        <v>0</v>
      </c>
      <c r="G44" s="612" t="s">
        <v>63</v>
      </c>
      <c r="H44" s="671" t="s">
        <v>63</v>
      </c>
      <c r="I44" s="614">
        <f>vlookup(A44,'MS Data'!$A$3:$K$85,9,FALSE)</f>
        <v>0</v>
      </c>
      <c r="J44" s="1002" t="s">
        <v>63</v>
      </c>
      <c r="K44" s="704" t="str">
        <f>vlookup(A44,'MS Data'!$A$3:$K$85,11,FALSE)</f>
        <v>25%</v>
      </c>
      <c r="L44" s="838" t="s">
        <v>63</v>
      </c>
      <c r="M44" s="614" t="s">
        <v>63</v>
      </c>
      <c r="N44" s="614" t="s">
        <v>63</v>
      </c>
      <c r="O44" s="614" t="s">
        <v>63</v>
      </c>
      <c r="P44" s="620">
        <f>ifna(vlookup(A44,'Population &amp; Church Numbers'!$A$1404:$D$1485,4,FALSE),"NULL")</f>
        <v>43</v>
      </c>
      <c r="Q44" s="674" t="s">
        <v>63</v>
      </c>
    </row>
    <row r="45">
      <c r="A45" s="609" t="s">
        <v>290</v>
      </c>
      <c r="B45" s="610">
        <f t="array" ref="B45">VLOOKUP($A45,MS_DEMO,2,FALSE)</f>
        <v>34907</v>
      </c>
      <c r="C45" s="704">
        <f>vlookup(A45,'MS Data'!$A$3:$B$85,2,FALSE)</f>
        <v>51</v>
      </c>
      <c r="D45" s="612" t="s">
        <v>63</v>
      </c>
      <c r="E45" s="612">
        <f>vlookup(A45,'MS Data'!$A$3:$K$85,4,FALSE)</f>
        <v>24</v>
      </c>
      <c r="F45" s="612">
        <f>vlookup(A45,'MS Data'!$A$3:$K$85,7,FALSE)</f>
        <v>9</v>
      </c>
      <c r="G45" s="612" t="s">
        <v>63</v>
      </c>
      <c r="H45" s="671" t="s">
        <v>63</v>
      </c>
      <c r="I45" s="614">
        <f>vlookup(A45,'MS Data'!$A$3:$K$85,9,FALSE)</f>
        <v>8</v>
      </c>
      <c r="J45" s="1002" t="s">
        <v>63</v>
      </c>
      <c r="K45" s="704" t="str">
        <f>vlookup(A45,'MS Data'!$A$3:$K$85,11,FALSE)</f>
        <v>25%</v>
      </c>
      <c r="L45" s="838" t="s">
        <v>63</v>
      </c>
      <c r="M45" s="614" t="s">
        <v>63</v>
      </c>
      <c r="N45" s="614" t="s">
        <v>63</v>
      </c>
      <c r="O45" s="614" t="s">
        <v>63</v>
      </c>
      <c r="P45" s="620">
        <f>ifna(vlookup(A45,'Population &amp; Church Numbers'!$A$1404:$D$1485,4,FALSE),"NULL")</f>
        <v>60</v>
      </c>
      <c r="Q45" s="674" t="s">
        <v>63</v>
      </c>
    </row>
    <row r="46">
      <c r="A46" s="609" t="s">
        <v>149</v>
      </c>
      <c r="B46" s="610">
        <f t="array" ref="B46">VLOOKUP($A46,MS_DEMO,2,FALSE)</f>
        <v>58879</v>
      </c>
      <c r="C46" s="704">
        <f>vlookup(A46,'MS Data'!$A$3:$B$85,2,FALSE)</f>
        <v>189</v>
      </c>
      <c r="D46" s="612" t="s">
        <v>63</v>
      </c>
      <c r="E46" s="612">
        <f>vlookup(A46,'MS Data'!$A$3:$K$85,4,FALSE)</f>
        <v>44</v>
      </c>
      <c r="F46" s="612">
        <f>vlookup(A46,'MS Data'!$A$3:$K$85,7,FALSE)</f>
        <v>98</v>
      </c>
      <c r="G46" s="612" t="s">
        <v>63</v>
      </c>
      <c r="H46" s="671" t="s">
        <v>63</v>
      </c>
      <c r="I46" s="614">
        <f>vlookup(A46,'MS Data'!$A$3:$K$85,9,FALSE)</f>
        <v>13</v>
      </c>
      <c r="J46" s="1002" t="s">
        <v>63</v>
      </c>
      <c r="K46" s="704" t="str">
        <f>vlookup(A46,'MS Data'!$A$3:$K$85,11,FALSE)</f>
        <v>43%</v>
      </c>
      <c r="L46" s="838" t="s">
        <v>63</v>
      </c>
      <c r="M46" s="614" t="s">
        <v>63</v>
      </c>
      <c r="N46" s="614" t="s">
        <v>63</v>
      </c>
      <c r="O46" s="614" t="s">
        <v>63</v>
      </c>
      <c r="P46" s="620">
        <f>ifna(vlookup(A46,'Population &amp; Church Numbers'!$A$1404:$D$1485,4,FALSE),"NULL")</f>
        <v>84</v>
      </c>
      <c r="Q46" s="674" t="s">
        <v>63</v>
      </c>
    </row>
    <row r="47">
      <c r="A47" s="609" t="s">
        <v>151</v>
      </c>
      <c r="B47" s="610">
        <f t="array" ref="B47">VLOOKUP($A47,MS_DEMO,2,FALSE)</f>
        <v>109145</v>
      </c>
      <c r="C47" s="704">
        <f>vlookup(A47,'MS Data'!$A$3:$B$85,2,FALSE)</f>
        <v>34</v>
      </c>
      <c r="D47" s="612" t="s">
        <v>63</v>
      </c>
      <c r="E47" s="612">
        <f>vlookup(A47,'MS Data'!$A$3:$K$85,4,FALSE)</f>
        <v>23</v>
      </c>
      <c r="F47" s="612">
        <f>vlookup(A47,'MS Data'!$A$3:$K$85,7,FALSE)</f>
        <v>2</v>
      </c>
      <c r="G47" s="612" t="s">
        <v>63</v>
      </c>
      <c r="H47" s="671" t="s">
        <v>63</v>
      </c>
      <c r="I47" s="614">
        <f>vlookup(A47,'MS Data'!$A$3:$K$85,9,FALSE)</f>
        <v>2</v>
      </c>
      <c r="J47" s="1002" t="s">
        <v>63</v>
      </c>
      <c r="K47" s="704" t="str">
        <f>vlookup(A47,'MS Data'!$A$3:$K$85,11,FALSE)</f>
        <v>0%</v>
      </c>
      <c r="L47" s="838" t="s">
        <v>63</v>
      </c>
      <c r="M47" s="614" t="s">
        <v>63</v>
      </c>
      <c r="N47" s="614" t="s">
        <v>63</v>
      </c>
      <c r="O47" s="614" t="s">
        <v>63</v>
      </c>
      <c r="P47" s="620">
        <f>ifna(vlookup(A47,'Population &amp; Church Numbers'!$A$1404:$D$1485,4,FALSE),"NULL")</f>
        <v>114</v>
      </c>
      <c r="Q47" s="674" t="s">
        <v>63</v>
      </c>
    </row>
    <row r="48">
      <c r="A48" s="609" t="s">
        <v>153</v>
      </c>
      <c r="B48" s="610">
        <f t="array" ref="B48">VLOOKUP($A48,MS_DEMO,2,FALSE)</f>
        <v>24441</v>
      </c>
      <c r="C48" s="704">
        <f>vlookup(A48,'MS Data'!$A$3:$B$85,2,FALSE)</f>
        <v>25</v>
      </c>
      <c r="D48" s="612" t="s">
        <v>63</v>
      </c>
      <c r="E48" s="612">
        <f>vlookup(A48,'MS Data'!$A$3:$K$85,4,FALSE)</f>
        <v>12</v>
      </c>
      <c r="F48" s="612">
        <f>vlookup(A48,'MS Data'!$A$3:$K$85,7,FALSE)</f>
        <v>9</v>
      </c>
      <c r="G48" s="612" t="s">
        <v>63</v>
      </c>
      <c r="H48" s="671" t="s">
        <v>63</v>
      </c>
      <c r="I48" s="614">
        <f>vlookup(A48,'MS Data'!$A$3:$K$85,9,FALSE)</f>
        <v>2</v>
      </c>
      <c r="J48" s="1002" t="s">
        <v>63</v>
      </c>
      <c r="K48" s="704" t="str">
        <f>vlookup(A48,'MS Data'!$A$3:$K$85,11,FALSE)</f>
        <v>68%</v>
      </c>
      <c r="L48" s="838" t="s">
        <v>63</v>
      </c>
      <c r="M48" s="614" t="s">
        <v>63</v>
      </c>
      <c r="N48" s="614" t="s">
        <v>63</v>
      </c>
      <c r="O48" s="614" t="s">
        <v>63</v>
      </c>
      <c r="P48" s="620">
        <f>ifna(vlookup(A48,'Population &amp; Church Numbers'!$A$1404:$D$1485,4,FALSE),"NULL")</f>
        <v>50</v>
      </c>
      <c r="Q48" s="674" t="s">
        <v>63</v>
      </c>
    </row>
    <row r="49">
      <c r="A49" s="609" t="s">
        <v>154</v>
      </c>
      <c r="B49" s="610">
        <f t="array" ref="B49">VLOOKUP($A49,MS_DEMO,2,FALSE)</f>
        <v>33752</v>
      </c>
      <c r="C49" s="704">
        <f>vlookup(A49,'MS Data'!$A$3:$B$85,2,FALSE)</f>
        <v>42</v>
      </c>
      <c r="D49" s="612" t="s">
        <v>63</v>
      </c>
      <c r="E49" s="612">
        <f>vlookup(A49,'MS Data'!$A$3:$K$85,4,FALSE)</f>
        <v>12</v>
      </c>
      <c r="F49" s="612">
        <f>vlookup(A49,'MS Data'!$A$3:$K$85,7,FALSE)</f>
        <v>20</v>
      </c>
      <c r="G49" s="612" t="s">
        <v>63</v>
      </c>
      <c r="H49" s="671" t="s">
        <v>63</v>
      </c>
      <c r="I49" s="614">
        <f>vlookup(A49,'MS Data'!$A$3:$K$85,9,FALSE)</f>
        <v>9</v>
      </c>
      <c r="J49" s="1002" t="s">
        <v>63</v>
      </c>
      <c r="K49" s="704" t="str">
        <f>vlookup(A49,'MS Data'!$A$3:$K$85,11,FALSE)</f>
        <v>33%</v>
      </c>
      <c r="L49" s="838" t="s">
        <v>63</v>
      </c>
      <c r="M49" s="614" t="s">
        <v>63</v>
      </c>
      <c r="N49" s="614" t="s">
        <v>63</v>
      </c>
      <c r="O49" s="614" t="s">
        <v>63</v>
      </c>
      <c r="P49" s="620">
        <f>ifna(vlookup(A49,'Population &amp; Church Numbers'!$A$1404:$D$1485,4,FALSE),"NULL")</f>
        <v>60</v>
      </c>
      <c r="Q49" s="674" t="s">
        <v>63</v>
      </c>
    </row>
    <row r="50">
      <c r="A50" s="609" t="s">
        <v>156</v>
      </c>
      <c r="B50" s="610">
        <f t="array" ref="B50">VLOOKUP($A50,MS_DEMO,2,FALSE)</f>
        <v>34180</v>
      </c>
      <c r="C50" s="704">
        <f>vlookup(A50,'MS Data'!$A$3:$B$85,2,FALSE)</f>
        <v>72</v>
      </c>
      <c r="D50" s="612" t="s">
        <v>63</v>
      </c>
      <c r="E50" s="612">
        <f>vlookup(A50,'MS Data'!$A$3:$K$85,4,FALSE)</f>
        <v>28</v>
      </c>
      <c r="F50" s="612">
        <f>vlookup(A50,'MS Data'!$A$3:$K$85,7,FALSE)</f>
        <v>28</v>
      </c>
      <c r="G50" s="612" t="s">
        <v>63</v>
      </c>
      <c r="H50" s="671" t="s">
        <v>63</v>
      </c>
      <c r="I50" s="614">
        <f>vlookup(A50,'MS Data'!$A$3:$K$85,9,FALSE)</f>
        <v>12</v>
      </c>
      <c r="J50" s="1002" t="s">
        <v>63</v>
      </c>
      <c r="K50" s="704" t="str">
        <f>vlookup(A50,'MS Data'!$A$3:$K$85,11,FALSE)</f>
        <v>34%</v>
      </c>
      <c r="L50" s="838" t="s">
        <v>63</v>
      </c>
      <c r="M50" s="614" t="s">
        <v>63</v>
      </c>
      <c r="N50" s="614" t="s">
        <v>63</v>
      </c>
      <c r="O50" s="614" t="s">
        <v>63</v>
      </c>
      <c r="P50" s="620">
        <f>ifna(vlookup(A50,'Population &amp; Church Numbers'!$A$1404:$D$1485,4,FALSE),"NULL")</f>
        <v>65</v>
      </c>
      <c r="Q50" s="674" t="s">
        <v>63</v>
      </c>
    </row>
    <row r="51">
      <c r="A51" s="609" t="s">
        <v>157</v>
      </c>
      <c r="B51" s="610">
        <f t="array" ref="B51">VLOOKUP($A51,MS_DEMO,2,FALSE)</f>
        <v>9822</v>
      </c>
      <c r="C51" s="704">
        <f>vlookup(A51,'MS Data'!$A$3:$B$85,2,FALSE)</f>
        <v>1</v>
      </c>
      <c r="D51" s="612" t="s">
        <v>63</v>
      </c>
      <c r="E51" s="612">
        <f>vlookup(A51,'MS Data'!$A$3:$K$85,4,FALSE)</f>
        <v>1</v>
      </c>
      <c r="F51" s="612">
        <f>vlookup(A51,'MS Data'!$A$3:$K$85,7,FALSE)</f>
        <v>0</v>
      </c>
      <c r="G51" s="612" t="s">
        <v>63</v>
      </c>
      <c r="H51" s="671" t="s">
        <v>63</v>
      </c>
      <c r="I51" s="614">
        <f>vlookup(A51,'MS Data'!$A$3:$K$85,9,FALSE)</f>
        <v>0</v>
      </c>
      <c r="J51" s="1002" t="s">
        <v>63</v>
      </c>
      <c r="K51" s="704" t="str">
        <f>vlookup(A51,'MS Data'!$A$3:$K$85,11,FALSE)</f>
        <v>100%</v>
      </c>
      <c r="L51" s="838" t="s">
        <v>63</v>
      </c>
      <c r="M51" s="614" t="s">
        <v>63</v>
      </c>
      <c r="N51" s="614" t="s">
        <v>63</v>
      </c>
      <c r="O51" s="614" t="s">
        <v>63</v>
      </c>
      <c r="P51" s="620">
        <f>ifna(vlookup(A51,'Population &amp; Church Numbers'!$A$1404:$D$1485,4,FALSE),"NULL")</f>
        <v>17</v>
      </c>
      <c r="Q51" s="674" t="s">
        <v>63</v>
      </c>
    </row>
    <row r="52">
      <c r="A52" s="609" t="s">
        <v>1374</v>
      </c>
      <c r="B52" s="610">
        <f t="array" ref="B52">VLOOKUP($A52,MS_DEMO,2,FALSE)</f>
        <v>29087</v>
      </c>
      <c r="C52" s="704">
        <f>vlookup(A52,'MS Data'!$A$3:$B$85,2,FALSE)</f>
        <v>56</v>
      </c>
      <c r="D52" s="612" t="s">
        <v>63</v>
      </c>
      <c r="E52" s="612">
        <f>vlookup(A52,'MS Data'!$A$3:$K$85,4,FALSE)</f>
        <v>17</v>
      </c>
      <c r="F52" s="612">
        <f>vlookup(A52,'MS Data'!$A$3:$K$85,7,FALSE)</f>
        <v>26</v>
      </c>
      <c r="G52" s="612" t="s">
        <v>63</v>
      </c>
      <c r="H52" s="671" t="s">
        <v>63</v>
      </c>
      <c r="I52" s="614">
        <f>vlookup(A52,'MS Data'!$A$3:$K$85,9,FALSE)</f>
        <v>5</v>
      </c>
      <c r="J52" s="1002" t="s">
        <v>63</v>
      </c>
      <c r="K52" s="704" t="str">
        <f>vlookup(A52,'MS Data'!$A$3:$K$85,11,FALSE)</f>
        <v>28%</v>
      </c>
      <c r="L52" s="838" t="s">
        <v>63</v>
      </c>
      <c r="M52" s="614" t="s">
        <v>63</v>
      </c>
      <c r="N52" s="614" t="s">
        <v>63</v>
      </c>
      <c r="O52" s="614" t="s">
        <v>63</v>
      </c>
      <c r="P52" s="620">
        <f>ifna(vlookup(A52,'Population &amp; Church Numbers'!$A$1404:$D$1485,4,FALSE),"NULL")</f>
        <v>40</v>
      </c>
      <c r="Q52" s="674" t="s">
        <v>63</v>
      </c>
    </row>
    <row r="53">
      <c r="A53" s="609" t="s">
        <v>297</v>
      </c>
      <c r="B53" s="610">
        <f t="array" ref="B53">VLOOKUP($A53,MS_DEMO,2,FALSE)</f>
        <v>21291</v>
      </c>
      <c r="C53" s="704">
        <f>vlookup(A53,'MS Data'!$A$3:$B$85,2,FALSE)</f>
        <v>14</v>
      </c>
      <c r="D53" s="612" t="s">
        <v>63</v>
      </c>
      <c r="E53" s="612">
        <f>vlookup(A53,'MS Data'!$A$3:$K$85,4,FALSE)</f>
        <v>6</v>
      </c>
      <c r="F53" s="612">
        <f>vlookup(A53,'MS Data'!$A$3:$K$85,7,FALSE)</f>
        <v>7</v>
      </c>
      <c r="G53" s="612" t="s">
        <v>63</v>
      </c>
      <c r="H53" s="671" t="s">
        <v>63</v>
      </c>
      <c r="I53" s="614">
        <f>vlookup(A53,'MS Data'!$A$3:$K$85,9,FALSE)</f>
        <v>0</v>
      </c>
      <c r="J53" s="1002" t="s">
        <v>63</v>
      </c>
      <c r="K53" s="704" t="str">
        <f>vlookup(A53,'MS Data'!$A$3:$K$85,11,FALSE)</f>
        <v>54%</v>
      </c>
      <c r="L53" s="838" t="s">
        <v>63</v>
      </c>
      <c r="M53" s="614" t="s">
        <v>63</v>
      </c>
      <c r="N53" s="614" t="s">
        <v>63</v>
      </c>
      <c r="O53" s="614" t="s">
        <v>63</v>
      </c>
      <c r="P53" s="620">
        <f>ifna(vlookup(A53,'Population &amp; Church Numbers'!$A$1404:$D$1485,4,FALSE),"NULL")</f>
        <v>35</v>
      </c>
      <c r="Q53" s="674" t="s">
        <v>63</v>
      </c>
    </row>
    <row r="54">
      <c r="A54" s="609" t="s">
        <v>1375</v>
      </c>
      <c r="B54" s="610">
        <f t="array" ref="B54">VLOOKUP($A54,MS_DEMO,2,FALSE)</f>
        <v>10285</v>
      </c>
      <c r="C54" s="704">
        <f>vlookup(A54,'MS Data'!$A$3:$B$85,2,FALSE)</f>
        <v>39</v>
      </c>
      <c r="D54" s="612" t="s">
        <v>63</v>
      </c>
      <c r="E54" s="612">
        <f>vlookup(A54,'MS Data'!$A$3:$K$85,4,FALSE)</f>
        <v>7</v>
      </c>
      <c r="F54" s="612">
        <f>vlookup(A54,'MS Data'!$A$3:$K$85,7,FALSE)</f>
        <v>22</v>
      </c>
      <c r="G54" s="612" t="s">
        <v>63</v>
      </c>
      <c r="H54" s="671" t="s">
        <v>63</v>
      </c>
      <c r="I54" s="614">
        <f>vlookup(A54,'MS Data'!$A$3:$K$85,9,FALSE)</f>
        <v>1</v>
      </c>
      <c r="J54" s="1002" t="s">
        <v>63</v>
      </c>
      <c r="K54" s="704" t="str">
        <f>vlookup(A54,'MS Data'!$A$3:$K$85,11,FALSE)</f>
        <v>0%</v>
      </c>
      <c r="L54" s="838" t="s">
        <v>63</v>
      </c>
      <c r="M54" s="614" t="s">
        <v>63</v>
      </c>
      <c r="N54" s="614" t="s">
        <v>63</v>
      </c>
      <c r="O54" s="614" t="s">
        <v>63</v>
      </c>
      <c r="P54" s="620">
        <f>ifna(vlookup(A54,'Population &amp; Church Numbers'!$A$1404:$D$1485,4,FALSE),"NULL")</f>
        <v>22</v>
      </c>
      <c r="Q54" s="674" t="s">
        <v>63</v>
      </c>
    </row>
    <row r="55">
      <c r="A55" s="609" t="s">
        <v>1376</v>
      </c>
      <c r="B55" s="610">
        <f t="array" ref="B55">VLOOKUP($A55,MS_DEMO,2,FALSE)</f>
        <v>51788</v>
      </c>
      <c r="C55" s="704">
        <f>vlookup(A55,'MS Data'!$A$3:$B$85,2,FALSE)</f>
        <v>42</v>
      </c>
      <c r="D55" s="612" t="s">
        <v>63</v>
      </c>
      <c r="E55" s="612">
        <f>vlookup(A55,'MS Data'!$A$3:$K$85,4,FALSE)</f>
        <v>17</v>
      </c>
      <c r="F55" s="612">
        <f>vlookup(A55,'MS Data'!$A$3:$K$85,7,FALSE)</f>
        <v>18</v>
      </c>
      <c r="G55" s="612" t="s">
        <v>63</v>
      </c>
      <c r="H55" s="671" t="s">
        <v>63</v>
      </c>
      <c r="I55" s="614">
        <f>vlookup(A55,'MS Data'!$A$3:$K$85,9,FALSE)</f>
        <v>4</v>
      </c>
      <c r="J55" s="1002" t="s">
        <v>63</v>
      </c>
      <c r="K55" s="704" t="str">
        <f>vlookup(A55,'MS Data'!$A$3:$K$85,11,FALSE)</f>
        <v>67%</v>
      </c>
      <c r="L55" s="838" t="s">
        <v>63</v>
      </c>
      <c r="M55" s="614" t="s">
        <v>63</v>
      </c>
      <c r="N55" s="614" t="s">
        <v>63</v>
      </c>
      <c r="O55" s="614" t="s">
        <v>63</v>
      </c>
      <c r="P55" s="620">
        <f>ifna(vlookup(A55,'Population &amp; Church Numbers'!$A$1404:$D$1485,4,FALSE),"NULL")</f>
        <v>70</v>
      </c>
      <c r="Q55" s="674" t="s">
        <v>63</v>
      </c>
    </row>
    <row r="56">
      <c r="A56" s="609" t="s">
        <v>1377</v>
      </c>
      <c r="B56" s="610">
        <f t="array" ref="B56">VLOOKUP($A56,MS_DEMO,2,FALSE)</f>
        <v>33208</v>
      </c>
      <c r="C56" s="704">
        <f>vlookup(A56,'MS Data'!$A$3:$B$85,2,FALSE)</f>
        <v>29</v>
      </c>
      <c r="D56" s="612" t="s">
        <v>63</v>
      </c>
      <c r="E56" s="612">
        <f>vlookup(A56,'MS Data'!$A$3:$K$85,4,FALSE)</f>
        <v>18</v>
      </c>
      <c r="F56" s="612">
        <f>vlookup(A56,'MS Data'!$A$3:$K$85,7,FALSE)</f>
        <v>1</v>
      </c>
      <c r="G56" s="612" t="s">
        <v>63</v>
      </c>
      <c r="H56" s="671" t="s">
        <v>63</v>
      </c>
      <c r="I56" s="614">
        <f>vlookup(A56,'MS Data'!$A$3:$K$85,9,FALSE)</f>
        <v>5</v>
      </c>
      <c r="J56" s="1002" t="s">
        <v>63</v>
      </c>
      <c r="K56" s="704" t="str">
        <f>vlookup(A56,'MS Data'!$A$3:$K$85,11,FALSE)</f>
        <v>38%</v>
      </c>
      <c r="L56" s="838" t="s">
        <v>63</v>
      </c>
      <c r="M56" s="614" t="s">
        <v>63</v>
      </c>
      <c r="N56" s="614" t="s">
        <v>63</v>
      </c>
      <c r="O56" s="614" t="s">
        <v>63</v>
      </c>
      <c r="P56" s="620">
        <f>ifna(vlookup(A56,'Population &amp; Church Numbers'!$A$1404:$D$1485,4,FALSE),"NULL")</f>
        <v>41</v>
      </c>
      <c r="Q56" s="674" t="s">
        <v>63</v>
      </c>
    </row>
    <row r="57">
      <c r="A57" s="609" t="s">
        <v>1378</v>
      </c>
      <c r="B57" s="610">
        <f t="array" ref="B57">VLOOKUP($A57,MS_DEMO,2,FALSE)</f>
        <v>56145</v>
      </c>
      <c r="C57" s="704">
        <f>vlookup(A57,'MS Data'!$A$3:$B$85,2,FALSE)</f>
        <v>109</v>
      </c>
      <c r="D57" s="612" t="s">
        <v>63</v>
      </c>
      <c r="E57" s="612">
        <f>vlookup(A57,'MS Data'!$A$3:$K$85,4,FALSE)</f>
        <v>48</v>
      </c>
      <c r="F57" s="612">
        <f>vlookup(A57,'MS Data'!$A$3:$K$85,7,FALSE)</f>
        <v>46</v>
      </c>
      <c r="G57" s="612" t="s">
        <v>63</v>
      </c>
      <c r="H57" s="671" t="s">
        <v>63</v>
      </c>
      <c r="I57" s="614">
        <f>vlookup(A57,'MS Data'!$A$3:$K$85,9,FALSE)</f>
        <v>36</v>
      </c>
      <c r="J57" s="1002" t="s">
        <v>63</v>
      </c>
      <c r="K57" s="704" t="str">
        <f>vlookup(A57,'MS Data'!$A$3:$K$85,11,FALSE)</f>
        <v>29%</v>
      </c>
      <c r="L57" s="838" t="s">
        <v>63</v>
      </c>
      <c r="M57" s="614" t="s">
        <v>63</v>
      </c>
      <c r="N57" s="614" t="s">
        <v>63</v>
      </c>
      <c r="O57" s="614" t="s">
        <v>63</v>
      </c>
      <c r="P57" s="620">
        <f>ifna(vlookup(A57,'Population &amp; Church Numbers'!$A$1404:$D$1485,4,FALSE),"NULL")</f>
        <v>57</v>
      </c>
      <c r="Q57" s="674" t="s">
        <v>63</v>
      </c>
    </row>
    <row r="58">
      <c r="A58" s="609" t="s">
        <v>159</v>
      </c>
      <c r="B58" s="610">
        <f t="array" ref="B58">VLOOKUP($A58,MS_DEMO,2,FALSE)</f>
        <v>11511</v>
      </c>
      <c r="C58" s="704">
        <f>vlookup(A58,'MS Data'!$A$3:$B$85,2,FALSE)</f>
        <v>21</v>
      </c>
      <c r="D58" s="612" t="s">
        <v>63</v>
      </c>
      <c r="E58" s="612">
        <f>vlookup(A58,'MS Data'!$A$3:$K$85,4,FALSE)</f>
        <v>9</v>
      </c>
      <c r="F58" s="612">
        <f>vlookup(A58,'MS Data'!$A$3:$K$85,7,FALSE)</f>
        <v>6</v>
      </c>
      <c r="G58" s="612" t="s">
        <v>63</v>
      </c>
      <c r="H58" s="671" t="s">
        <v>63</v>
      </c>
      <c r="I58" s="614">
        <f>vlookup(A58,'MS Data'!$A$3:$K$85,9,FALSE)</f>
        <v>6</v>
      </c>
      <c r="J58" s="1002" t="s">
        <v>63</v>
      </c>
      <c r="K58" s="704" t="str">
        <f>vlookup(A58,'MS Data'!$A$3:$K$85,11,FALSE)</f>
        <v>15%</v>
      </c>
      <c r="L58" s="838" t="s">
        <v>63</v>
      </c>
      <c r="M58" s="614" t="s">
        <v>63</v>
      </c>
      <c r="N58" s="614" t="s">
        <v>63</v>
      </c>
      <c r="O58" s="614" t="s">
        <v>63</v>
      </c>
      <c r="P58" s="620">
        <f>ifna(vlookup(A58,'Population &amp; Church Numbers'!$A$1404:$D$1485,4,FALSE),"NULL")</f>
        <v>16</v>
      </c>
      <c r="Q58" s="674" t="s">
        <v>63</v>
      </c>
    </row>
    <row r="59">
      <c r="A59" s="609" t="s">
        <v>162</v>
      </c>
      <c r="B59" s="610">
        <f t="array" ref="B59">VLOOKUP($A59,MS_DEMO,2,FALSE)</f>
        <v>40324</v>
      </c>
      <c r="C59" s="704">
        <f>vlookup(A59,'MS Data'!$A$3:$B$85,2,FALSE)</f>
        <v>111</v>
      </c>
      <c r="D59" s="612" t="s">
        <v>63</v>
      </c>
      <c r="E59" s="612">
        <f>vlookup(A59,'MS Data'!$A$3:$K$85,4,FALSE)</f>
        <v>49</v>
      </c>
      <c r="F59" s="612">
        <f>vlookup(A59,'MS Data'!$A$3:$K$85,7,FALSE)</f>
        <v>29</v>
      </c>
      <c r="G59" s="612" t="s">
        <v>63</v>
      </c>
      <c r="H59" s="671" t="s">
        <v>63</v>
      </c>
      <c r="I59" s="614">
        <f>vlookup(A59,'MS Data'!$A$3:$K$85,9,FALSE)</f>
        <v>4</v>
      </c>
      <c r="J59" s="1002" t="s">
        <v>63</v>
      </c>
      <c r="K59" s="704" t="str">
        <f>vlookup(A59,'MS Data'!$A$3:$K$85,11,FALSE)</f>
        <v>58%</v>
      </c>
      <c r="L59" s="838" t="s">
        <v>63</v>
      </c>
      <c r="M59" s="614" t="s">
        <v>63</v>
      </c>
      <c r="N59" s="614" t="s">
        <v>63</v>
      </c>
      <c r="O59" s="614" t="s">
        <v>63</v>
      </c>
      <c r="P59" s="620">
        <f>ifna(vlookup(A59,'Population &amp; Church Numbers'!$A$1404:$D$1485,4,FALSE),"NULL")</f>
        <v>69</v>
      </c>
      <c r="Q59" s="674" t="s">
        <v>63</v>
      </c>
    </row>
    <row r="60">
      <c r="A60" s="609" t="s">
        <v>1379</v>
      </c>
      <c r="B60" s="610">
        <f t="array" ref="B60">VLOOKUP($A60,MS_DEMO,2,FALSE)</f>
        <v>31184</v>
      </c>
      <c r="C60" s="704">
        <f>vlookup(A60,'MS Data'!$A$3:$B$85,2,FALSE)</f>
        <v>60</v>
      </c>
      <c r="D60" s="612" t="s">
        <v>63</v>
      </c>
      <c r="E60" s="612">
        <f>vlookup(A60,'MS Data'!$A$3:$K$85,4,FALSE)</f>
        <v>25</v>
      </c>
      <c r="F60" s="612">
        <f>vlookup(A60,'MS Data'!$A$3:$K$85,7,FALSE)</f>
        <v>21</v>
      </c>
      <c r="G60" s="612" t="s">
        <v>63</v>
      </c>
      <c r="H60" s="671" t="s">
        <v>63</v>
      </c>
      <c r="I60" s="614">
        <f>vlookup(A60,'MS Data'!$A$3:$K$85,9,FALSE)</f>
        <v>4</v>
      </c>
      <c r="J60" s="1002" t="s">
        <v>63</v>
      </c>
      <c r="K60" s="704" t="str">
        <f>vlookup(A60,'MS Data'!$A$3:$K$85,11,FALSE)</f>
        <v>41%</v>
      </c>
      <c r="L60" s="838" t="s">
        <v>63</v>
      </c>
      <c r="M60" s="614" t="s">
        <v>63</v>
      </c>
      <c r="N60" s="614" t="s">
        <v>63</v>
      </c>
      <c r="O60" s="614" t="s">
        <v>63</v>
      </c>
      <c r="P60" s="620">
        <f>ifna(vlookup(A60,'Population &amp; Church Numbers'!$A$1404:$D$1485,4,FALSE),"NULL")</f>
        <v>33</v>
      </c>
      <c r="Q60" s="674" t="s">
        <v>63</v>
      </c>
    </row>
    <row r="61">
      <c r="A61" s="609" t="s">
        <v>1380</v>
      </c>
      <c r="B61" s="610">
        <f t="array" ref="B61">VLOOKUP($A61,MS_DEMO,2,FALSE)</f>
        <v>25008</v>
      </c>
      <c r="C61" s="704">
        <f>vlookup(A61,'MS Data'!$A$3:$B$85,2,FALSE)</f>
        <v>57</v>
      </c>
      <c r="D61" s="612" t="s">
        <v>63</v>
      </c>
      <c r="E61" s="612">
        <f>vlookup(A61,'MS Data'!$A$3:$K$85,4,FALSE)</f>
        <v>21</v>
      </c>
      <c r="F61" s="612">
        <f>vlookup(A61,'MS Data'!$A$3:$K$85,7,FALSE)</f>
        <v>26</v>
      </c>
      <c r="G61" s="612" t="s">
        <v>63</v>
      </c>
      <c r="H61" s="671" t="s">
        <v>63</v>
      </c>
      <c r="I61" s="614">
        <f>vlookup(A61,'MS Data'!$A$3:$K$85,9,FALSE)</f>
        <v>7</v>
      </c>
      <c r="J61" s="1002" t="s">
        <v>63</v>
      </c>
      <c r="K61" s="704" t="str">
        <f>vlookup(A61,'MS Data'!$A$3:$K$85,11,FALSE)</f>
        <v>50%</v>
      </c>
      <c r="L61" s="838" t="s">
        <v>63</v>
      </c>
      <c r="M61" s="614" t="s">
        <v>63</v>
      </c>
      <c r="N61" s="614" t="s">
        <v>63</v>
      </c>
      <c r="O61" s="614" t="s">
        <v>63</v>
      </c>
      <c r="P61" s="620">
        <f>ifna(vlookup(A61,'Population &amp; Church Numbers'!$A$1404:$D$1485,4,FALSE),"NULL")</f>
        <v>27</v>
      </c>
      <c r="Q61" s="674" t="s">
        <v>63</v>
      </c>
    </row>
    <row r="62">
      <c r="A62" s="609" t="s">
        <v>618</v>
      </c>
      <c r="B62" s="610">
        <f t="array" ref="B62">VLOOKUP($A62,MS_DEMO,2,FALSE)</f>
        <v>6176</v>
      </c>
      <c r="C62" s="704">
        <f>vlookup(A62,'MS Data'!$A$3:$B$85,2,FALSE)</f>
        <v>1</v>
      </c>
      <c r="D62" s="612" t="s">
        <v>63</v>
      </c>
      <c r="E62" s="612">
        <f>vlookup(A62,'MS Data'!$A$3:$K$85,4,FALSE)</f>
        <v>1</v>
      </c>
      <c r="F62" s="612">
        <f>vlookup(A62,'MS Data'!$A$3:$K$85,7,FALSE)</f>
        <v>0</v>
      </c>
      <c r="G62" s="612" t="s">
        <v>63</v>
      </c>
      <c r="H62" s="671" t="s">
        <v>63</v>
      </c>
      <c r="I62" s="614">
        <f>vlookup(A62,'MS Data'!$A$3:$K$85,9,FALSE)</f>
        <v>1</v>
      </c>
      <c r="J62" s="1002" t="s">
        <v>63</v>
      </c>
      <c r="K62" s="704" t="str">
        <f>vlookup(A62,'MS Data'!$A$3:$K$85,11,FALSE)</f>
        <v>na%</v>
      </c>
      <c r="L62" s="838" t="s">
        <v>63</v>
      </c>
      <c r="M62" s="614" t="s">
        <v>63</v>
      </c>
      <c r="N62" s="614" t="s">
        <v>63</v>
      </c>
      <c r="O62" s="614" t="s">
        <v>63</v>
      </c>
      <c r="P62" s="620">
        <f>ifna(vlookup(A62,'Population &amp; Church Numbers'!$A$1404:$D$1485,4,FALSE),"NULL")</f>
        <v>19</v>
      </c>
      <c r="Q62" s="674" t="s">
        <v>63</v>
      </c>
    </row>
    <row r="63">
      <c r="A63" s="609" t="s">
        <v>1381</v>
      </c>
      <c r="B63" s="610">
        <f t="array" ref="B63">VLOOKUP($A63,MS_DEMO,2,FALSE)</f>
        <v>157031</v>
      </c>
      <c r="C63" s="704">
        <f>vlookup(A63,'MS Data'!$A$3:$B$85,2,FALSE)</f>
        <v>38</v>
      </c>
      <c r="D63" s="612" t="s">
        <v>63</v>
      </c>
      <c r="E63" s="612">
        <f>vlookup(A63,'MS Data'!$A$3:$K$85,4,FALSE)</f>
        <v>21</v>
      </c>
      <c r="F63" s="612">
        <f>vlookup(A63,'MS Data'!$A$3:$K$85,7,FALSE)</f>
        <v>2</v>
      </c>
      <c r="G63" s="612" t="s">
        <v>63</v>
      </c>
      <c r="H63" s="671" t="s">
        <v>63</v>
      </c>
      <c r="I63" s="614">
        <f>vlookup(A63,'MS Data'!$A$3:$K$85,9,FALSE)</f>
        <v>11</v>
      </c>
      <c r="J63" s="1002" t="s">
        <v>63</v>
      </c>
      <c r="K63" s="704" t="str">
        <f>vlookup(A63,'MS Data'!$A$3:$K$85,11,FALSE)</f>
        <v>52%</v>
      </c>
      <c r="L63" s="838" t="s">
        <v>63</v>
      </c>
      <c r="M63" s="614" t="s">
        <v>63</v>
      </c>
      <c r="N63" s="614" t="s">
        <v>63</v>
      </c>
      <c r="O63" s="614" t="s">
        <v>63</v>
      </c>
      <c r="P63" s="620">
        <f>ifna(vlookup(A63,'Population &amp; Church Numbers'!$A$1404:$D$1485,4,FALSE),"NULL")</f>
        <v>146</v>
      </c>
      <c r="Q63" s="674" t="s">
        <v>63</v>
      </c>
    </row>
    <row r="64">
      <c r="A64" s="609" t="s">
        <v>309</v>
      </c>
      <c r="B64" s="610">
        <f t="array" ref="B64">VLOOKUP($A64,MS_DEMO,2,FALSE)</f>
        <v>27990</v>
      </c>
      <c r="C64" s="704">
        <f>vlookup(A64,'MS Data'!$A$3:$B$85,2,FALSE)</f>
        <v>63</v>
      </c>
      <c r="D64" s="612" t="s">
        <v>63</v>
      </c>
      <c r="E64" s="612">
        <f>vlookup(A64,'MS Data'!$A$3:$K$85,4,FALSE)</f>
        <v>31</v>
      </c>
      <c r="F64" s="612">
        <f>vlookup(A64,'MS Data'!$A$3:$K$85,7,FALSE)</f>
        <v>20</v>
      </c>
      <c r="G64" s="612" t="s">
        <v>63</v>
      </c>
      <c r="H64" s="671" t="s">
        <v>63</v>
      </c>
      <c r="I64" s="614">
        <f>vlookup(A64,'MS Data'!$A$3:$K$85,9,FALSE)</f>
        <v>14</v>
      </c>
      <c r="J64" s="1002" t="s">
        <v>63</v>
      </c>
      <c r="K64" s="704" t="str">
        <f>vlookup(A64,'MS Data'!$A$3:$K$85,11,FALSE)</f>
        <v>42%</v>
      </c>
      <c r="L64" s="838" t="s">
        <v>63</v>
      </c>
      <c r="M64" s="614" t="s">
        <v>63</v>
      </c>
      <c r="N64" s="614" t="s">
        <v>63</v>
      </c>
      <c r="O64" s="614" t="s">
        <v>63</v>
      </c>
      <c r="P64" s="620">
        <f>ifna(vlookup(A64,'Population &amp; Church Numbers'!$A$1404:$D$1485,4,FALSE),"NULL")</f>
        <v>42</v>
      </c>
      <c r="Q64" s="674" t="s">
        <v>63</v>
      </c>
    </row>
    <row r="65">
      <c r="A65" s="609" t="s">
        <v>1382</v>
      </c>
      <c r="B65" s="610">
        <f t="array" ref="B65">VLOOKUP($A65,MS_DEMO,2,FALSE)</f>
        <v>3800</v>
      </c>
      <c r="C65" s="704">
        <f>vlookup(A65,'MS Data'!$A$3:$B$85,2,FALSE)</f>
        <v>0</v>
      </c>
      <c r="D65" s="612" t="s">
        <v>63</v>
      </c>
      <c r="E65" s="612">
        <f>vlookup(A65,'MS Data'!$A$3:$K$85,4,FALSE)</f>
        <v>0</v>
      </c>
      <c r="F65" s="612">
        <f>vlookup(A65,'MS Data'!$A$3:$K$85,7,FALSE)</f>
        <v>0</v>
      </c>
      <c r="G65" s="612" t="s">
        <v>63</v>
      </c>
      <c r="H65" s="671" t="s">
        <v>63</v>
      </c>
      <c r="I65" s="614">
        <f>vlookup(A65,'MS Data'!$A$3:$K$85,9,FALSE)</f>
        <v>0</v>
      </c>
      <c r="J65" s="1002" t="s">
        <v>63</v>
      </c>
      <c r="K65" s="704" t="str">
        <f>vlookup(A65,'MS Data'!$A$3:$K$85,11,FALSE)</f>
        <v>na%</v>
      </c>
      <c r="L65" s="838" t="s">
        <v>63</v>
      </c>
      <c r="M65" s="614" t="s">
        <v>63</v>
      </c>
      <c r="N65" s="614" t="s">
        <v>63</v>
      </c>
      <c r="O65" s="614" t="s">
        <v>63</v>
      </c>
      <c r="P65" s="620">
        <f>ifna(vlookup(A65,'Population &amp; Church Numbers'!$A$1404:$D$1485,4,FALSE),"NULL")</f>
        <v>6</v>
      </c>
      <c r="Q65" s="674" t="s">
        <v>63</v>
      </c>
    </row>
    <row r="66">
      <c r="A66" s="609" t="s">
        <v>1134</v>
      </c>
      <c r="B66" s="610">
        <f t="array" ref="B66">VLOOKUP($A66,MS_DEMO,2,FALSE)</f>
        <v>25949</v>
      </c>
      <c r="C66" s="704">
        <f>vlookup(A66,'MS Data'!$A$3:$B$85,2,FALSE)</f>
        <v>19</v>
      </c>
      <c r="D66" s="612" t="s">
        <v>63</v>
      </c>
      <c r="E66" s="612">
        <f>vlookup(A66,'MS Data'!$A$3:$K$85,4,FALSE)</f>
        <v>9</v>
      </c>
      <c r="F66" s="612">
        <f>vlookup(A66,'MS Data'!$A$3:$K$85,7,FALSE)</f>
        <v>2</v>
      </c>
      <c r="G66" s="612" t="s">
        <v>63</v>
      </c>
      <c r="H66" s="671" t="s">
        <v>63</v>
      </c>
      <c r="I66" s="614">
        <f>vlookup(A66,'MS Data'!$A$3:$K$85,9,FALSE)</f>
        <v>5</v>
      </c>
      <c r="J66" s="1002" t="s">
        <v>63</v>
      </c>
      <c r="K66" s="704" t="str">
        <f>vlookup(A66,'MS Data'!$A$3:$K$85,11,FALSE)</f>
        <v>14%</v>
      </c>
      <c r="L66" s="838" t="s">
        <v>63</v>
      </c>
      <c r="M66" s="614" t="s">
        <v>63</v>
      </c>
      <c r="N66" s="614" t="s">
        <v>63</v>
      </c>
      <c r="O66" s="614" t="s">
        <v>63</v>
      </c>
      <c r="P66" s="620">
        <f>ifna(vlookup(A66,'Population &amp; Church Numbers'!$A$1404:$D$1485,4,FALSE),"NULL")</f>
        <v>36</v>
      </c>
      <c r="Q66" s="674" t="s">
        <v>63</v>
      </c>
    </row>
    <row r="67">
      <c r="A67" s="609" t="s">
        <v>1012</v>
      </c>
      <c r="B67" s="610">
        <f t="array" ref="B67">VLOOKUP($A67,MS_DEMO,2,FALSE)</f>
        <v>14209</v>
      </c>
      <c r="C67" s="704">
        <f>vlookup(A67,'MS Data'!$A$3:$B$85,2,FALSE)</f>
        <v>4</v>
      </c>
      <c r="D67" s="612" t="s">
        <v>63</v>
      </c>
      <c r="E67" s="612">
        <f>vlookup(A67,'MS Data'!$A$3:$K$85,4,FALSE)</f>
        <v>1</v>
      </c>
      <c r="F67" s="612">
        <f>vlookup(A67,'MS Data'!$A$3:$K$85,7,FALSE)</f>
        <v>1</v>
      </c>
      <c r="G67" s="612" t="s">
        <v>63</v>
      </c>
      <c r="H67" s="671" t="s">
        <v>63</v>
      </c>
      <c r="I67" s="614">
        <f>vlookup(A67,'MS Data'!$A$3:$K$85,9,FALSE)</f>
        <v>0</v>
      </c>
      <c r="J67" s="1002" t="s">
        <v>63</v>
      </c>
      <c r="K67" s="704" t="str">
        <f>vlookup(A67,'MS Data'!$A$3:$K$85,11,FALSE)</f>
        <v>0%</v>
      </c>
      <c r="L67" s="838" t="s">
        <v>63</v>
      </c>
      <c r="M67" s="614" t="s">
        <v>63</v>
      </c>
      <c r="N67" s="614" t="s">
        <v>63</v>
      </c>
      <c r="O67" s="614" t="s">
        <v>63</v>
      </c>
      <c r="P67" s="620">
        <f>ifna(vlookup(A67,'Population &amp; Church Numbers'!$A$1404:$D$1485,4,FALSE),"NULL")</f>
        <v>28</v>
      </c>
      <c r="Q67" s="674" t="s">
        <v>63</v>
      </c>
    </row>
    <row r="68">
      <c r="A68" s="609" t="s">
        <v>315</v>
      </c>
      <c r="B68" s="610">
        <f t="array" ref="B68">VLOOKUP($A68,MS_DEMO,2,FALSE)</f>
        <v>18333</v>
      </c>
      <c r="C68" s="704">
        <f>vlookup(A68,'MS Data'!$A$3:$B$85,2,FALSE)</f>
        <v>44</v>
      </c>
      <c r="D68" s="612" t="s">
        <v>63</v>
      </c>
      <c r="E68" s="612">
        <f>vlookup(A68,'MS Data'!$A$3:$K$85,4,FALSE)</f>
        <v>15</v>
      </c>
      <c r="F68" s="612">
        <f>vlookup(A68,'MS Data'!$A$3:$K$85,7,FALSE)</f>
        <v>15</v>
      </c>
      <c r="G68" s="612" t="s">
        <v>63</v>
      </c>
      <c r="H68" s="671" t="s">
        <v>63</v>
      </c>
      <c r="I68" s="614">
        <f>vlookup(A68,'MS Data'!$A$3:$K$85,9,FALSE)</f>
        <v>11</v>
      </c>
      <c r="J68" s="1002" t="s">
        <v>63</v>
      </c>
      <c r="K68" s="704" t="str">
        <f>vlookup(A68,'MS Data'!$A$3:$K$85,11,FALSE)</f>
        <v>50%</v>
      </c>
      <c r="L68" s="838" t="s">
        <v>63</v>
      </c>
      <c r="M68" s="614" t="s">
        <v>63</v>
      </c>
      <c r="N68" s="614" t="s">
        <v>63</v>
      </c>
      <c r="O68" s="614" t="s">
        <v>63</v>
      </c>
      <c r="P68" s="620">
        <f>ifna(vlookup(A68,'Population &amp; Church Numbers'!$A$1404:$D$1485,4,FALSE),"NULL")</f>
        <v>24</v>
      </c>
      <c r="Q68" s="674" t="s">
        <v>63</v>
      </c>
    </row>
    <row r="69">
      <c r="A69" s="609" t="s">
        <v>1383</v>
      </c>
      <c r="B69" s="610">
        <f t="array" ref="B69">VLOOKUP($A69,MS_DEMO,2,FALSE)</f>
        <v>25971</v>
      </c>
      <c r="C69" s="704">
        <f>vlookup(A69,'MS Data'!$A$3:$B$85,2,FALSE)</f>
        <v>44</v>
      </c>
      <c r="D69" s="612" t="s">
        <v>63</v>
      </c>
      <c r="E69" s="612">
        <f>vlookup(A69,'MS Data'!$A$3:$K$85,4,FALSE)</f>
        <v>26</v>
      </c>
      <c r="F69" s="612">
        <f>vlookup(A69,'MS Data'!$A$3:$K$85,7,FALSE)</f>
        <v>4</v>
      </c>
      <c r="G69" s="612" t="s">
        <v>63</v>
      </c>
      <c r="H69" s="671" t="s">
        <v>63</v>
      </c>
      <c r="I69" s="614">
        <f>vlookup(A69,'MS Data'!$A$3:$K$85,9,FALSE)</f>
        <v>2</v>
      </c>
      <c r="J69" s="1002" t="s">
        <v>63</v>
      </c>
      <c r="K69" s="704" t="str">
        <f>vlookup(A69,'MS Data'!$A$3:$K$85,11,FALSE)</f>
        <v>100%</v>
      </c>
      <c r="L69" s="838" t="s">
        <v>63</v>
      </c>
      <c r="M69" s="614" t="s">
        <v>63</v>
      </c>
      <c r="N69" s="614" t="s">
        <v>63</v>
      </c>
      <c r="O69" s="614" t="s">
        <v>63</v>
      </c>
      <c r="P69" s="620">
        <f>ifna(vlookup(A69,'Population &amp; Church Numbers'!$A$1404:$D$1485,4,FALSE),"NULL")</f>
        <v>44</v>
      </c>
      <c r="Q69" s="674" t="s">
        <v>63</v>
      </c>
    </row>
    <row r="70">
      <c r="A70" s="609" t="s">
        <v>1384</v>
      </c>
      <c r="B70" s="610">
        <f t="array" ref="B70">VLOOKUP($A70,MS_DEMO,2,FALSE)</f>
        <v>12715</v>
      </c>
      <c r="C70" s="704">
        <f>vlookup(A70,'MS Data'!$A$3:$B$85,2,FALSE)</f>
        <v>0</v>
      </c>
      <c r="D70" s="612" t="s">
        <v>63</v>
      </c>
      <c r="E70" s="612">
        <f>vlookup(A70,'MS Data'!$A$3:$K$85,4,FALSE)</f>
        <v>0</v>
      </c>
      <c r="F70" s="612">
        <f>vlookup(A70,'MS Data'!$A$3:$K$85,7,FALSE)</f>
        <v>0</v>
      </c>
      <c r="G70" s="612" t="s">
        <v>63</v>
      </c>
      <c r="H70" s="671" t="s">
        <v>63</v>
      </c>
      <c r="I70" s="614">
        <f>vlookup(A70,'MS Data'!$A$3:$K$85,9,FALSE)</f>
        <v>0</v>
      </c>
      <c r="J70" s="1002" t="s">
        <v>63</v>
      </c>
      <c r="K70" s="704" t="str">
        <f>vlookup(A70,'MS Data'!$A$3:$K$85,11,FALSE)</f>
        <v>0%</v>
      </c>
      <c r="L70" s="838" t="s">
        <v>63</v>
      </c>
      <c r="M70" s="614" t="s">
        <v>63</v>
      </c>
      <c r="N70" s="614" t="s">
        <v>63</v>
      </c>
      <c r="O70" s="614" t="s">
        <v>63</v>
      </c>
      <c r="P70" s="620">
        <f>ifna(vlookup(A70,'Population &amp; Church Numbers'!$A$1404:$D$1485,4,FALSE),"NULL")</f>
        <v>14</v>
      </c>
      <c r="Q70" s="674" t="s">
        <v>63</v>
      </c>
    </row>
    <row r="71">
      <c r="A71" s="609" t="s">
        <v>1385</v>
      </c>
      <c r="B71" s="610">
        <f t="array" ref="B71">VLOOKUP($A71,MS_DEMO,2,FALSE)</f>
        <v>28064</v>
      </c>
      <c r="C71" s="704">
        <f>vlookup(A71,'MS Data'!$A$3:$B$85,2,FALSE)</f>
        <v>11</v>
      </c>
      <c r="D71" s="612" t="s">
        <v>63</v>
      </c>
      <c r="E71" s="612">
        <f>vlookup(A71,'MS Data'!$A$3:$K$85,4,FALSE)</f>
        <v>10</v>
      </c>
      <c r="F71" s="612">
        <f>vlookup(A71,'MS Data'!$A$3:$K$85,7,FALSE)</f>
        <v>0</v>
      </c>
      <c r="G71" s="612" t="s">
        <v>63</v>
      </c>
      <c r="H71" s="671" t="s">
        <v>63</v>
      </c>
      <c r="I71" s="614">
        <f>vlookup(A71,'MS Data'!$A$3:$K$85,9,FALSE)</f>
        <v>3</v>
      </c>
      <c r="J71" s="1002" t="s">
        <v>63</v>
      </c>
      <c r="K71" s="704" t="str">
        <f>vlookup(A71,'MS Data'!$A$3:$K$85,11,FALSE)</f>
        <v>100%</v>
      </c>
      <c r="L71" s="838" t="s">
        <v>63</v>
      </c>
      <c r="M71" s="614" t="s">
        <v>63</v>
      </c>
      <c r="N71" s="614" t="s">
        <v>63</v>
      </c>
      <c r="O71" s="614" t="s">
        <v>63</v>
      </c>
      <c r="P71" s="620">
        <f>ifna(vlookup(A71,'Population &amp; Church Numbers'!$A$1404:$D$1485,4,FALSE),"NULL")</f>
        <v>44</v>
      </c>
      <c r="Q71" s="674" t="s">
        <v>63</v>
      </c>
    </row>
    <row r="72">
      <c r="A72" s="609" t="s">
        <v>1386</v>
      </c>
      <c r="B72" s="610">
        <f t="array" ref="B72">VLOOKUP($A72,MS_DEMO,2,FALSE)</f>
        <v>21815</v>
      </c>
      <c r="C72" s="704">
        <f>vlookup(A72,'MS Data'!$A$3:$B$85,2,FALSE)</f>
        <v>25</v>
      </c>
      <c r="D72" s="612" t="s">
        <v>63</v>
      </c>
      <c r="E72" s="612">
        <f>vlookup(A72,'MS Data'!$A$3:$K$85,4,FALSE)</f>
        <v>8</v>
      </c>
      <c r="F72" s="612">
        <f>vlookup(A72,'MS Data'!$A$3:$K$85,7,FALSE)</f>
        <v>12</v>
      </c>
      <c r="G72" s="612" t="s">
        <v>63</v>
      </c>
      <c r="H72" s="671" t="s">
        <v>63</v>
      </c>
      <c r="I72" s="614">
        <f>vlookup(A72,'MS Data'!$A$3:$K$85,9,FALSE)</f>
        <v>7</v>
      </c>
      <c r="J72" s="1002" t="s">
        <v>63</v>
      </c>
      <c r="K72" s="704" t="str">
        <f>vlookup(A72,'MS Data'!$A$3:$K$85,11,FALSE)</f>
        <v>43%</v>
      </c>
      <c r="L72" s="838" t="s">
        <v>63</v>
      </c>
      <c r="M72" s="614" t="s">
        <v>63</v>
      </c>
      <c r="N72" s="614" t="s">
        <v>63</v>
      </c>
      <c r="O72" s="614" t="s">
        <v>63</v>
      </c>
      <c r="P72" s="620">
        <f>ifna(vlookup(A72,'Population &amp; Church Numbers'!$A$1404:$D$1485,4,FALSE),"NULL")</f>
        <v>31</v>
      </c>
      <c r="Q72" s="674" t="s">
        <v>63</v>
      </c>
    </row>
    <row r="73">
      <c r="A73" s="609" t="s">
        <v>1387</v>
      </c>
      <c r="B73" s="610">
        <f t="array" ref="B73">VLOOKUP($A73,MS_DEMO,2,FALSE)</f>
        <v>18850</v>
      </c>
      <c r="C73" s="704">
        <f>vlookup(A73,'MS Data'!$A$3:$B$85,2,FALSE)</f>
        <v>57</v>
      </c>
      <c r="D73" s="612" t="s">
        <v>63</v>
      </c>
      <c r="E73" s="612">
        <f>vlookup(A73,'MS Data'!$A$3:$K$85,4,FALSE)</f>
        <v>15</v>
      </c>
      <c r="F73" s="612">
        <f>vlookup(A73,'MS Data'!$A$3:$K$85,7,FALSE)</f>
        <v>33</v>
      </c>
      <c r="G73" s="612" t="s">
        <v>63</v>
      </c>
      <c r="H73" s="671" t="s">
        <v>63</v>
      </c>
      <c r="I73" s="614">
        <f>vlookup(A73,'MS Data'!$A$3:$K$85,9,FALSE)</f>
        <v>4</v>
      </c>
      <c r="J73" s="1002" t="s">
        <v>63</v>
      </c>
      <c r="K73" s="704" t="str">
        <f>vlookup(A73,'MS Data'!$A$3:$K$85,11,FALSE)</f>
        <v>64%</v>
      </c>
      <c r="L73" s="838" t="s">
        <v>63</v>
      </c>
      <c r="M73" s="614" t="s">
        <v>63</v>
      </c>
      <c r="N73" s="614" t="s">
        <v>63</v>
      </c>
      <c r="O73" s="614" t="s">
        <v>63</v>
      </c>
      <c r="P73" s="620">
        <f>ifna(vlookup(A73,'Population &amp; Church Numbers'!$A$1404:$D$1485,4,FALSE),"NULL")</f>
        <v>29</v>
      </c>
      <c r="Q73" s="674" t="s">
        <v>63</v>
      </c>
    </row>
    <row r="74">
      <c r="A74" s="609" t="s">
        <v>1388</v>
      </c>
      <c r="B74" s="610">
        <f t="array" ref="B74">VLOOKUP($A74,MS_DEMO,2,FALSE)</f>
        <v>9782</v>
      </c>
      <c r="C74" s="704">
        <f>vlookup(A74,'MS Data'!$A$3:$B$85,2,FALSE)</f>
        <v>3</v>
      </c>
      <c r="D74" s="612" t="s">
        <v>63</v>
      </c>
      <c r="E74" s="612">
        <f>vlookup(A74,'MS Data'!$A$3:$K$85,4,FALSE)</f>
        <v>1</v>
      </c>
      <c r="F74" s="612">
        <f>vlookup(A74,'MS Data'!$A$3:$K$85,7,FALSE)</f>
        <v>2</v>
      </c>
      <c r="G74" s="612" t="s">
        <v>63</v>
      </c>
      <c r="H74" s="671" t="s">
        <v>63</v>
      </c>
      <c r="I74" s="614">
        <f>vlookup(A74,'MS Data'!$A$3:$K$85,9,FALSE)</f>
        <v>1</v>
      </c>
      <c r="J74" s="1002" t="s">
        <v>63</v>
      </c>
      <c r="K74" s="704" t="str">
        <f>vlookup(A74,'MS Data'!$A$3:$K$85,11,FALSE)</f>
        <v>25%</v>
      </c>
      <c r="L74" s="838" t="s">
        <v>63</v>
      </c>
      <c r="M74" s="614" t="s">
        <v>63</v>
      </c>
      <c r="N74" s="614" t="s">
        <v>63</v>
      </c>
      <c r="O74" s="614" t="s">
        <v>63</v>
      </c>
      <c r="P74" s="620">
        <f>ifna(vlookup(A74,'Population &amp; Church Numbers'!$A$1404:$D$1485,4,FALSE),"NULL")</f>
        <v>12</v>
      </c>
      <c r="Q74" s="674" t="s">
        <v>63</v>
      </c>
    </row>
    <row r="75">
      <c r="A75" s="609" t="s">
        <v>316</v>
      </c>
      <c r="B75" s="610">
        <f t="array" ref="B75">VLOOKUP($A75,MS_DEMO,2,FALSE)</f>
        <v>27777</v>
      </c>
      <c r="C75" s="704">
        <f>vlookup(A75,'MS Data'!$A$3:$B$85,2,FALSE)</f>
        <v>29</v>
      </c>
      <c r="D75" s="612" t="s">
        <v>63</v>
      </c>
      <c r="E75" s="612">
        <f>vlookup(A75,'MS Data'!$A$3:$K$85,4,FALSE)</f>
        <v>9</v>
      </c>
      <c r="F75" s="612">
        <f>vlookup(A75,'MS Data'!$A$3:$K$85,7,FALSE)</f>
        <v>16</v>
      </c>
      <c r="G75" s="612" t="s">
        <v>63</v>
      </c>
      <c r="H75" s="671" t="s">
        <v>63</v>
      </c>
      <c r="I75" s="614">
        <f>vlookup(A75,'MS Data'!$A$3:$K$85,9,FALSE)</f>
        <v>6</v>
      </c>
      <c r="J75" s="1002" t="s">
        <v>63</v>
      </c>
      <c r="K75" s="704" t="str">
        <f>vlookup(A75,'MS Data'!$A$3:$K$85,11,FALSE)</f>
        <v>29%</v>
      </c>
      <c r="L75" s="838" t="s">
        <v>63</v>
      </c>
      <c r="M75" s="614" t="s">
        <v>63</v>
      </c>
      <c r="N75" s="614" t="s">
        <v>63</v>
      </c>
      <c r="O75" s="614" t="s">
        <v>63</v>
      </c>
      <c r="P75" s="620">
        <f>ifna(vlookup(A75,'Population &amp; Church Numbers'!$A$1404:$D$1485,4,FALSE),"NULL")</f>
        <v>46</v>
      </c>
      <c r="Q75" s="674" t="s">
        <v>63</v>
      </c>
    </row>
    <row r="76">
      <c r="A76" s="609" t="s">
        <v>1389</v>
      </c>
      <c r="B76" s="610">
        <f t="array" ref="B76">VLOOKUP($A76,MS_DEMO,2,FALSE)</f>
        <v>13884</v>
      </c>
      <c r="C76" s="704">
        <f>vlookup(A76,'MS Data'!$A$3:$B$85,2,FALSE)</f>
        <v>24</v>
      </c>
      <c r="D76" s="612" t="s">
        <v>63</v>
      </c>
      <c r="E76" s="612">
        <f>vlookup(A76,'MS Data'!$A$3:$K$85,4,FALSE)</f>
        <v>11</v>
      </c>
      <c r="F76" s="612">
        <f>vlookup(A76,'MS Data'!$A$3:$K$85,7,FALSE)</f>
        <v>9</v>
      </c>
      <c r="G76" s="612" t="s">
        <v>63</v>
      </c>
      <c r="H76" s="671" t="s">
        <v>63</v>
      </c>
      <c r="I76" s="614">
        <f>vlookup(A76,'MS Data'!$A$3:$K$85,9,FALSE)</f>
        <v>6</v>
      </c>
      <c r="J76" s="1002" t="s">
        <v>63</v>
      </c>
      <c r="K76" s="704" t="str">
        <f>vlookup(A76,'MS Data'!$A$3:$K$85,11,FALSE)</f>
        <v>23%</v>
      </c>
      <c r="L76" s="838" t="s">
        <v>63</v>
      </c>
      <c r="M76" s="614" t="s">
        <v>63</v>
      </c>
      <c r="N76" s="614" t="s">
        <v>63</v>
      </c>
      <c r="O76" s="614" t="s">
        <v>63</v>
      </c>
      <c r="P76" s="620">
        <f>ifna(vlookup(A76,'Population &amp; Church Numbers'!$A$1404:$D$1485,4,FALSE),"NULL")</f>
        <v>19</v>
      </c>
      <c r="Q76" s="674" t="s">
        <v>63</v>
      </c>
    </row>
    <row r="77">
      <c r="A77" s="609" t="s">
        <v>647</v>
      </c>
      <c r="B77" s="610">
        <f t="array" ref="B77">VLOOKUP($A77,MS_DEMO,2,FALSE)</f>
        <v>44722</v>
      </c>
      <c r="C77" s="704">
        <f>vlookup(A77,'MS Data'!$A$3:$B$85,2,FALSE)</f>
        <v>117</v>
      </c>
      <c r="D77" s="612" t="s">
        <v>63</v>
      </c>
      <c r="E77" s="612">
        <f>vlookup(A77,'MS Data'!$A$3:$K$85,4,FALSE)</f>
        <v>30</v>
      </c>
      <c r="F77" s="612">
        <f>vlookup(A77,'MS Data'!$A$3:$K$85,7,FALSE)</f>
        <v>36</v>
      </c>
      <c r="G77" s="612" t="s">
        <v>63</v>
      </c>
      <c r="H77" s="671" t="s">
        <v>63</v>
      </c>
      <c r="I77" s="614">
        <f>vlookup(A77,'MS Data'!$A$3:$K$85,9,FALSE)</f>
        <v>14</v>
      </c>
      <c r="J77" s="1002" t="s">
        <v>63</v>
      </c>
      <c r="K77" s="704" t="str">
        <f>vlookup(A77,'MS Data'!$A$3:$K$85,11,FALSE)</f>
        <v>57%</v>
      </c>
      <c r="L77" s="838" t="s">
        <v>63</v>
      </c>
      <c r="M77" s="614" t="s">
        <v>63</v>
      </c>
      <c r="N77" s="614" t="s">
        <v>63</v>
      </c>
      <c r="O77" s="614" t="s">
        <v>63</v>
      </c>
      <c r="P77" s="620">
        <f>ifna(vlookup(A77,'Population &amp; Church Numbers'!$A$1404:$D$1485,4,FALSE),"NULL")</f>
        <v>80</v>
      </c>
      <c r="Q77" s="674" t="s">
        <v>63</v>
      </c>
    </row>
    <row r="78">
      <c r="A78" s="609" t="s">
        <v>119</v>
      </c>
      <c r="B78" s="610">
        <f t="array" ref="B78">VLOOKUP($A78,MS_DEMO,2,FALSE)</f>
        <v>44922</v>
      </c>
      <c r="C78" s="704">
        <f>vlookup(A78,'MS Data'!$A$3:$B$85,2,FALSE)</f>
        <v>62</v>
      </c>
      <c r="D78" s="612" t="s">
        <v>63</v>
      </c>
      <c r="E78" s="612">
        <f>vlookup(A78,'MS Data'!$A$3:$K$85,4,FALSE)</f>
        <v>39</v>
      </c>
      <c r="F78" s="612">
        <f>vlookup(A78,'MS Data'!$A$3:$K$85,7,FALSE)</f>
        <v>4</v>
      </c>
      <c r="G78" s="612" t="s">
        <v>63</v>
      </c>
      <c r="H78" s="671" t="s">
        <v>63</v>
      </c>
      <c r="I78" s="614">
        <f>vlookup(A78,'MS Data'!$A$3:$K$85,9,FALSE)</f>
        <v>7</v>
      </c>
      <c r="J78" s="1002" t="s">
        <v>63</v>
      </c>
      <c r="K78" s="704" t="str">
        <f>vlookup(A78,'MS Data'!$A$3:$K$85,11,FALSE)</f>
        <v>33%</v>
      </c>
      <c r="L78" s="838" t="s">
        <v>63</v>
      </c>
      <c r="M78" s="614" t="s">
        <v>63</v>
      </c>
      <c r="N78" s="614" t="s">
        <v>63</v>
      </c>
      <c r="O78" s="614" t="s">
        <v>63</v>
      </c>
      <c r="P78" s="620">
        <f>ifna(vlookup(A78,'Population &amp; Church Numbers'!$A$1404:$D$1485,4,FALSE),"NULL")</f>
        <v>92</v>
      </c>
      <c r="Q78" s="674" t="s">
        <v>63</v>
      </c>
    </row>
    <row r="79">
      <c r="A79" s="609" t="s">
        <v>273</v>
      </c>
      <c r="B79" s="610">
        <f t="array" ref="B79">VLOOKUP($A79,MS_DEMO,2,FALSE)</f>
        <v>19779</v>
      </c>
      <c r="C79" s="704">
        <f>vlookup(A79,'MS Data'!$A$3:$B$85,2,FALSE)</f>
        <v>6</v>
      </c>
      <c r="D79" s="612" t="s">
        <v>63</v>
      </c>
      <c r="E79" s="612">
        <f>vlookup(A79,'MS Data'!$A$3:$K$85,4,FALSE)</f>
        <v>3</v>
      </c>
      <c r="F79" s="612">
        <f>vlookup(A79,'MS Data'!$A$3:$K$85,7,FALSE)</f>
        <v>3</v>
      </c>
      <c r="G79" s="612" t="s">
        <v>63</v>
      </c>
      <c r="H79" s="671" t="s">
        <v>63</v>
      </c>
      <c r="I79" s="614">
        <f>vlookup(A79,'MS Data'!$A$3:$K$85,9,FALSE)</f>
        <v>0</v>
      </c>
      <c r="J79" s="1002" t="s">
        <v>63</v>
      </c>
      <c r="K79" s="704" t="str">
        <f>vlookup(A79,'MS Data'!$A$3:$K$85,11,FALSE)</f>
        <v>59%</v>
      </c>
      <c r="L79" s="838" t="s">
        <v>63</v>
      </c>
      <c r="M79" s="614" t="s">
        <v>63</v>
      </c>
      <c r="N79" s="614" t="s">
        <v>63</v>
      </c>
      <c r="O79" s="614" t="s">
        <v>63</v>
      </c>
      <c r="P79" s="620">
        <f>ifna(vlookup(A79,'Population &amp; Church Numbers'!$A$1404:$D$1485,4,FALSE),"NULL")</f>
        <v>43</v>
      </c>
      <c r="Q79" s="674" t="s">
        <v>63</v>
      </c>
    </row>
    <row r="80">
      <c r="A80" s="609" t="s">
        <v>648</v>
      </c>
      <c r="B80" s="610">
        <f t="array" ref="B80">VLOOKUP($A80,MS_DEMO,2,FALSE)</f>
        <v>9926</v>
      </c>
      <c r="C80" s="704">
        <f>vlookup(A80,'MS Data'!$A$3:$B$85,2,FALSE)</f>
        <v>21</v>
      </c>
      <c r="D80" s="612" t="s">
        <v>63</v>
      </c>
      <c r="E80" s="612">
        <f>vlookup(A80,'MS Data'!$A$3:$K$85,4,FALSE)</f>
        <v>4</v>
      </c>
      <c r="F80" s="612">
        <f>vlookup(A80,'MS Data'!$A$3:$K$85,7,FALSE)</f>
        <v>7</v>
      </c>
      <c r="G80" s="612" t="s">
        <v>63</v>
      </c>
      <c r="H80" s="671" t="s">
        <v>63</v>
      </c>
      <c r="I80" s="614">
        <f>vlookup(A80,'MS Data'!$A$3:$K$85,9,FALSE)</f>
        <v>1</v>
      </c>
      <c r="J80" s="1002" t="s">
        <v>63</v>
      </c>
      <c r="K80" s="704" t="str">
        <f>vlookup(A80,'MS Data'!$A$3:$K$85,11,FALSE)</f>
        <v>55%</v>
      </c>
      <c r="L80" s="838" t="s">
        <v>63</v>
      </c>
      <c r="M80" s="614" t="s">
        <v>63</v>
      </c>
      <c r="N80" s="614" t="s">
        <v>63</v>
      </c>
      <c r="O80" s="614" t="s">
        <v>63</v>
      </c>
      <c r="P80" s="620">
        <f>ifna(vlookup(A80,'Population &amp; Church Numbers'!$A$1404:$D$1485,4,FALSE),"NULL")</f>
        <v>20</v>
      </c>
      <c r="Q80" s="674" t="s">
        <v>63</v>
      </c>
    </row>
    <row r="81">
      <c r="A81" s="609" t="s">
        <v>654</v>
      </c>
      <c r="B81" s="610">
        <f t="array" ref="B81">VLOOKUP($A81,MS_DEMO,2,FALSE)</f>
        <v>8587</v>
      </c>
      <c r="C81" s="704">
        <f>vlookup(A81,'MS Data'!$A$3:$B$85,2,FALSE)</f>
        <v>15</v>
      </c>
      <c r="D81" s="612" t="s">
        <v>63</v>
      </c>
      <c r="E81" s="612">
        <f>vlookup(A81,'MS Data'!$A$3:$K$85,4,FALSE)</f>
        <v>9</v>
      </c>
      <c r="F81" s="612">
        <f>vlookup(A81,'MS Data'!$A$3:$K$85,7,FALSE)</f>
        <v>4</v>
      </c>
      <c r="G81" s="612" t="s">
        <v>63</v>
      </c>
      <c r="H81" s="671" t="s">
        <v>63</v>
      </c>
      <c r="I81" s="614">
        <f>vlookup(A81,'MS Data'!$A$3:$K$85,9,FALSE)</f>
        <v>0</v>
      </c>
      <c r="J81" s="1002" t="s">
        <v>63</v>
      </c>
      <c r="K81" s="704" t="str">
        <f>vlookup(A81,'MS Data'!$A$3:$K$85,11,FALSE)</f>
        <v>100%</v>
      </c>
      <c r="L81" s="838" t="s">
        <v>63</v>
      </c>
      <c r="M81" s="614" t="s">
        <v>63</v>
      </c>
      <c r="N81" s="614" t="s">
        <v>63</v>
      </c>
      <c r="O81" s="614" t="s">
        <v>63</v>
      </c>
      <c r="P81" s="620">
        <f>ifna(vlookup(A81,'Population &amp; Church Numbers'!$A$1404:$D$1485,4,FALSE),"NULL")</f>
        <v>14</v>
      </c>
      <c r="Q81" s="674" t="s">
        <v>63</v>
      </c>
    </row>
    <row r="82">
      <c r="A82" s="609" t="s">
        <v>178</v>
      </c>
      <c r="B82" s="610">
        <f t="array" ref="B82">VLOOKUP($A82,MS_DEMO,2,FALSE)</f>
        <v>17714</v>
      </c>
      <c r="C82" s="704">
        <f>vlookup(A82,'MS Data'!$A$3:$B$85,2,FALSE)</f>
        <v>17</v>
      </c>
      <c r="D82" s="612" t="s">
        <v>63</v>
      </c>
      <c r="E82" s="612">
        <f>vlookup(A82,'MS Data'!$A$3:$K$85,4,FALSE)</f>
        <v>6</v>
      </c>
      <c r="F82" s="612">
        <f>vlookup(A82,'MS Data'!$A$3:$K$85,7,FALSE)</f>
        <v>9</v>
      </c>
      <c r="G82" s="612" t="s">
        <v>63</v>
      </c>
      <c r="H82" s="671" t="s">
        <v>63</v>
      </c>
      <c r="I82" s="614">
        <f>vlookup(A82,'MS Data'!$A$3:$K$85,9,FALSE)</f>
        <v>4</v>
      </c>
      <c r="J82" s="1002" t="s">
        <v>63</v>
      </c>
      <c r="K82" s="704" t="str">
        <f>vlookup(A82,'MS Data'!$A$3:$K$85,11,FALSE)</f>
        <v>33%</v>
      </c>
      <c r="L82" s="838" t="s">
        <v>63</v>
      </c>
      <c r="M82" s="614" t="s">
        <v>63</v>
      </c>
      <c r="N82" s="614" t="s">
        <v>63</v>
      </c>
      <c r="O82" s="614" t="s">
        <v>63</v>
      </c>
      <c r="P82" s="620">
        <f>ifna(vlookup(A82,'Population &amp; Church Numbers'!$A$1404:$D$1485,4,FALSE),"NULL")</f>
        <v>39</v>
      </c>
      <c r="Q82" s="674" t="s">
        <v>63</v>
      </c>
    </row>
    <row r="83">
      <c r="A83" s="609" t="s">
        <v>1390</v>
      </c>
      <c r="B83" s="610">
        <f t="array" ref="B83">VLOOKUP($A83,MS_DEMO,2,FALSE)</f>
        <v>12481</v>
      </c>
      <c r="C83" s="704">
        <f>vlookup(A83,'MS Data'!$A$3:$B$85,2,FALSE)</f>
        <v>8</v>
      </c>
      <c r="D83" s="612" t="s">
        <v>63</v>
      </c>
      <c r="E83" s="612">
        <f>vlookup(A83,'MS Data'!$A$3:$K$85,4,FALSE)</f>
        <v>5</v>
      </c>
      <c r="F83" s="612">
        <f>vlookup(A83,'MS Data'!$A$3:$K$85,7,FALSE)</f>
        <v>3</v>
      </c>
      <c r="G83" s="612" t="s">
        <v>63</v>
      </c>
      <c r="H83" s="671" t="s">
        <v>63</v>
      </c>
      <c r="I83" s="614">
        <f>vlookup(A83,'MS Data'!$A$3:$K$85,9,FALSE)</f>
        <v>0</v>
      </c>
      <c r="J83" s="1002" t="s">
        <v>63</v>
      </c>
      <c r="K83" s="704" t="str">
        <f>vlookup(A83,'MS Data'!$A$3:$K$85,11,FALSE)</f>
        <v>60%</v>
      </c>
      <c r="L83" s="838" t="s">
        <v>63</v>
      </c>
      <c r="M83" s="614" t="s">
        <v>63</v>
      </c>
      <c r="N83" s="614" t="s">
        <v>63</v>
      </c>
      <c r="O83" s="614" t="s">
        <v>63</v>
      </c>
      <c r="P83" s="620">
        <f>ifna(vlookup(A83,'Population &amp; Church Numbers'!$A$1404:$D$1485,4,FALSE),"NULL")</f>
        <v>25</v>
      </c>
      <c r="Q83" s="674" t="s">
        <v>63</v>
      </c>
    </row>
    <row r="84">
      <c r="A84" s="609" t="s">
        <v>1391</v>
      </c>
      <c r="B84" s="610">
        <f t="array" ref="B84">VLOOKUP($A84,MS_DEMO,2,FALSE)</f>
        <v>26743</v>
      </c>
      <c r="C84" s="704">
        <f>vlookup(A84,'MS Data'!$A$3:$B$85,2,FALSE)</f>
        <v>24</v>
      </c>
      <c r="D84" s="612" t="s">
        <v>63</v>
      </c>
      <c r="E84" s="612">
        <f>vlookup(A84,'MS Data'!$A$3:$K$85,4,FALSE)</f>
        <v>10</v>
      </c>
      <c r="F84" s="612">
        <f>vlookup(A84,'MS Data'!$A$3:$K$85,7,FALSE)</f>
        <v>6</v>
      </c>
      <c r="G84" s="612" t="s">
        <v>63</v>
      </c>
      <c r="H84" s="671" t="s">
        <v>63</v>
      </c>
      <c r="I84" s="614">
        <f>vlookup(A84,'MS Data'!$A$3:$K$85,9,FALSE)</f>
        <v>14</v>
      </c>
      <c r="J84" s="1002" t="s">
        <v>63</v>
      </c>
      <c r="K84" s="704" t="str">
        <f>vlookup(A84,'MS Data'!$A$3:$K$85,11,FALSE)</f>
        <v>22%</v>
      </c>
      <c r="L84" s="838" t="s">
        <v>63</v>
      </c>
      <c r="M84" s="614" t="s">
        <v>63</v>
      </c>
      <c r="N84" s="614" t="s">
        <v>63</v>
      </c>
      <c r="O84" s="614" t="s">
        <v>63</v>
      </c>
      <c r="P84" s="620">
        <f>ifna(vlookup(A84,'Population &amp; Church Numbers'!$A$1404:$D$1485,4,FALSE),"NULL")</f>
        <v>44</v>
      </c>
      <c r="Q84" s="674" t="s">
        <v>63</v>
      </c>
    </row>
    <row r="85">
      <c r="A85" s="217"/>
      <c r="B85" s="218"/>
      <c r="C85" s="219"/>
      <c r="D85" s="220"/>
      <c r="E85" s="220"/>
      <c r="F85" s="220"/>
      <c r="G85" s="220"/>
      <c r="H85" s="221"/>
      <c r="I85" s="222"/>
      <c r="J85" s="223"/>
      <c r="K85" s="219"/>
      <c r="L85" s="224"/>
      <c r="M85" s="225"/>
      <c r="N85" s="226"/>
      <c r="O85" s="220"/>
      <c r="P85" s="221"/>
      <c r="Q85" s="295"/>
    </row>
    <row r="86">
      <c r="A86" s="228" t="s">
        <v>2</v>
      </c>
      <c r="B86" s="229"/>
      <c r="C86" s="236">
        <f>'MS Data'!B85</f>
        <v>3678</v>
      </c>
      <c r="D86" s="311" t="s">
        <v>63</v>
      </c>
      <c r="E86" s="854">
        <f>'MS Data'!D85</f>
        <v>1535</v>
      </c>
      <c r="F86" s="854">
        <f>'MS Data'!G85</f>
        <v>1246</v>
      </c>
      <c r="G86" s="311" t="s">
        <v>63</v>
      </c>
      <c r="H86" s="977">
        <f>AFCARSCSC!D28</f>
        <v>1691</v>
      </c>
      <c r="I86" s="360">
        <f>'MS Data'!I85</f>
        <v>527</v>
      </c>
      <c r="J86" s="1040" t="s">
        <v>63</v>
      </c>
      <c r="K86" s="708" t="str">
        <f>'MS Data'!K85</f>
        <v>43%</v>
      </c>
      <c r="L86" s="1041" t="s">
        <v>63</v>
      </c>
      <c r="M86" s="360" t="s">
        <v>63</v>
      </c>
      <c r="N86" s="360" t="s">
        <v>63</v>
      </c>
      <c r="O86" s="360" t="s">
        <v>63</v>
      </c>
      <c r="P86" s="233">
        <f>SUM(P3:P84)</f>
        <v>4044</v>
      </c>
      <c r="Q86" s="691" t="s">
        <v>63</v>
      </c>
    </row>
  </sheetData>
  <mergeCells count="1">
    <mergeCell ref="B1:Q1"/>
  </mergeCells>
  <drawing r:id="rId1"/>
  <tableParts count="1">
    <tablePart r:id="rId3"/>
  </tableParts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5"/>
    <col customWidth="1" min="3" max="4" width="12.63"/>
    <col customWidth="1" hidden="1" min="5" max="5" width="12.63"/>
    <col customWidth="1" min="6" max="7" width="12.63"/>
    <col customWidth="1" hidden="1" min="8" max="8" width="12.63"/>
    <col customWidth="1" min="9" max="9" width="12.63"/>
  </cols>
  <sheetData>
    <row r="1">
      <c r="A1" s="275"/>
      <c r="B1" s="1003"/>
      <c r="C1" s="1003"/>
      <c r="D1" s="1003"/>
      <c r="E1" s="1003"/>
      <c r="F1" s="1003"/>
      <c r="G1" s="1003"/>
      <c r="H1" s="1003"/>
      <c r="I1" s="1003"/>
      <c r="J1" s="276"/>
      <c r="K1" s="275" t="s">
        <v>765</v>
      </c>
      <c r="L1" s="1004" t="s">
        <v>3484</v>
      </c>
      <c r="M1" s="276"/>
      <c r="N1" s="276"/>
      <c r="O1" s="275" t="s">
        <v>767</v>
      </c>
      <c r="P1" s="277">
        <v>45383.0</v>
      </c>
      <c r="Q1" s="275" t="s">
        <v>769</v>
      </c>
      <c r="R1" s="277">
        <v>45199.0</v>
      </c>
      <c r="S1" s="276"/>
    </row>
    <row r="2">
      <c r="A2" s="349"/>
      <c r="B2" s="1005" t="s">
        <v>693</v>
      </c>
      <c r="C2" s="1005" t="s">
        <v>3485</v>
      </c>
      <c r="D2" s="1005"/>
      <c r="E2" s="1005"/>
      <c r="F2" s="1005" t="s">
        <v>3486</v>
      </c>
      <c r="G2" s="1005"/>
      <c r="H2" s="1005"/>
      <c r="I2" s="1005" t="s">
        <v>84</v>
      </c>
      <c r="J2" s="1006" t="s">
        <v>3487</v>
      </c>
      <c r="K2" s="355" t="s">
        <v>3488</v>
      </c>
    </row>
    <row r="3">
      <c r="A3" s="355" t="s">
        <v>386</v>
      </c>
      <c r="B3" s="1007">
        <v>45.0</v>
      </c>
      <c r="C3" s="1008" t="s">
        <v>3489</v>
      </c>
      <c r="D3" s="1009">
        <f>IFERROR(__xludf.DUMMYFUNCTION("SPLIT(C3,""/"")"),26.0)</f>
        <v>26</v>
      </c>
      <c r="E3" s="1010">
        <f>IFERROR(__xludf.DUMMYFUNCTION("""COMPUTED_VALUE"""),45.0)</f>
        <v>45</v>
      </c>
      <c r="F3" s="1008" t="s">
        <v>3490</v>
      </c>
      <c r="G3" s="1009">
        <f>IFERROR(__xludf.DUMMYFUNCTION("SPLIT(F3,""/"")"),12.0)</f>
        <v>12</v>
      </c>
      <c r="H3" s="1010">
        <f>IFERROR(__xludf.DUMMYFUNCTION("""COMPUTED_VALUE"""),45.0)</f>
        <v>45</v>
      </c>
      <c r="I3" s="1007">
        <v>2.0</v>
      </c>
      <c r="J3" s="354">
        <v>62.0</v>
      </c>
      <c r="K3" s="349" t="str">
        <f t="shared" ref="K3:K85" si="1">CONCAT(J3,"%")</f>
        <v>62%</v>
      </c>
    </row>
    <row r="4">
      <c r="A4" s="355" t="s">
        <v>1358</v>
      </c>
      <c r="B4" s="1007">
        <v>42.0</v>
      </c>
      <c r="C4" s="1008" t="s">
        <v>3491</v>
      </c>
      <c r="D4" s="1009">
        <f>IFERROR(__xludf.DUMMYFUNCTION("SPLIT(C4,""/"")"),14.0)</f>
        <v>14</v>
      </c>
      <c r="E4" s="1010">
        <f>IFERROR(__xludf.DUMMYFUNCTION("""COMPUTED_VALUE"""),42.0)</f>
        <v>42</v>
      </c>
      <c r="F4" s="1008" t="s">
        <v>3493</v>
      </c>
      <c r="G4" s="1009">
        <f>IFERROR(__xludf.DUMMYFUNCTION("SPLIT(F4,""/"")"),24.0)</f>
        <v>24</v>
      </c>
      <c r="H4" s="1010">
        <f>IFERROR(__xludf.DUMMYFUNCTION("""COMPUTED_VALUE"""),42.0)</f>
        <v>42</v>
      </c>
      <c r="I4" s="1007">
        <v>3.0</v>
      </c>
      <c r="J4" s="354">
        <v>36.0</v>
      </c>
      <c r="K4" s="349" t="str">
        <f t="shared" si="1"/>
        <v>36%</v>
      </c>
    </row>
    <row r="5">
      <c r="A5" s="355" t="s">
        <v>1359</v>
      </c>
      <c r="B5" s="1007">
        <v>5.0</v>
      </c>
      <c r="C5" s="1008" t="s">
        <v>3494</v>
      </c>
      <c r="D5" s="1009">
        <f>IFERROR(__xludf.DUMMYFUNCTION("SPLIT(C5,""/"")"),1.0)</f>
        <v>1</v>
      </c>
      <c r="E5" s="1010">
        <f>IFERROR(__xludf.DUMMYFUNCTION("""COMPUTED_VALUE"""),5.0)</f>
        <v>5</v>
      </c>
      <c r="F5" s="1008" t="s">
        <v>3495</v>
      </c>
      <c r="G5" s="1009">
        <f>IFERROR(__xludf.DUMMYFUNCTION("SPLIT(F5,""/"")"),4.0)</f>
        <v>4</v>
      </c>
      <c r="H5" s="1010">
        <f>IFERROR(__xludf.DUMMYFUNCTION("""COMPUTED_VALUE"""),5.0)</f>
        <v>5</v>
      </c>
      <c r="I5" s="1007">
        <v>0.0</v>
      </c>
      <c r="J5" s="354">
        <v>25.0</v>
      </c>
      <c r="K5" s="349" t="str">
        <f t="shared" si="1"/>
        <v>25%</v>
      </c>
    </row>
    <row r="6">
      <c r="A6" s="355" t="s">
        <v>1360</v>
      </c>
      <c r="B6" s="1007">
        <v>8.0</v>
      </c>
      <c r="C6" s="1008" t="s">
        <v>3500</v>
      </c>
      <c r="D6" s="1009">
        <f>IFERROR(__xludf.DUMMYFUNCTION("SPLIT(C6,""/"")"),3.0)</f>
        <v>3</v>
      </c>
      <c r="E6" s="1010">
        <f>IFERROR(__xludf.DUMMYFUNCTION("""COMPUTED_VALUE"""),8.0)</f>
        <v>8</v>
      </c>
      <c r="F6" s="1008" t="s">
        <v>3501</v>
      </c>
      <c r="G6" s="1009">
        <f>IFERROR(__xludf.DUMMYFUNCTION("SPLIT(F6,""/"")"),4.0)</f>
        <v>4</v>
      </c>
      <c r="H6" s="1010">
        <f>IFERROR(__xludf.DUMMYFUNCTION("""COMPUTED_VALUE"""),8.0)</f>
        <v>8</v>
      </c>
      <c r="I6" s="1007">
        <v>0.0</v>
      </c>
      <c r="J6" s="354">
        <v>71.0</v>
      </c>
      <c r="K6" s="349" t="str">
        <f t="shared" si="1"/>
        <v>71%</v>
      </c>
    </row>
    <row r="7">
      <c r="A7" s="355" t="s">
        <v>243</v>
      </c>
      <c r="B7" s="1007">
        <v>6.0</v>
      </c>
      <c r="C7" s="1008" t="s">
        <v>3506</v>
      </c>
      <c r="D7" s="1009">
        <f>IFERROR(__xludf.DUMMYFUNCTION("SPLIT(C7,""/"")"),3.0)</f>
        <v>3</v>
      </c>
      <c r="E7" s="1010">
        <f>IFERROR(__xludf.DUMMYFUNCTION("""COMPUTED_VALUE"""),6.0)</f>
        <v>6</v>
      </c>
      <c r="F7" s="1008" t="s">
        <v>3508</v>
      </c>
      <c r="G7" s="1009">
        <f>IFERROR(__xludf.DUMMYFUNCTION("SPLIT(F7,""/"")"),2.0)</f>
        <v>2</v>
      </c>
      <c r="H7" s="1010">
        <f>IFERROR(__xludf.DUMMYFUNCTION("""COMPUTED_VALUE"""),6.0)</f>
        <v>6</v>
      </c>
      <c r="I7" s="1007">
        <v>2.0</v>
      </c>
      <c r="J7" s="354">
        <v>67.0</v>
      </c>
      <c r="K7" s="349" t="str">
        <f t="shared" si="1"/>
        <v>67%</v>
      </c>
    </row>
    <row r="8">
      <c r="A8" s="355" t="s">
        <v>1361</v>
      </c>
      <c r="B8" s="1007">
        <v>16.0</v>
      </c>
      <c r="C8" s="1008" t="s">
        <v>3510</v>
      </c>
      <c r="D8" s="1009">
        <f>IFERROR(__xludf.DUMMYFUNCTION("SPLIT(C8,""/"")"),7.0)</f>
        <v>7</v>
      </c>
      <c r="E8" s="1010">
        <f>IFERROR(__xludf.DUMMYFUNCTION("""COMPUTED_VALUE"""),16.0)</f>
        <v>16</v>
      </c>
      <c r="F8" s="1008" t="s">
        <v>3511</v>
      </c>
      <c r="G8" s="1009">
        <f>IFERROR(__xludf.DUMMYFUNCTION("SPLIT(F8,""/"")"),1.0)</f>
        <v>1</v>
      </c>
      <c r="H8" s="1010">
        <f>IFERROR(__xludf.DUMMYFUNCTION("""COMPUTED_VALUE"""),16.0)</f>
        <v>16</v>
      </c>
      <c r="I8" s="1007">
        <v>0.0</v>
      </c>
      <c r="J8" s="354">
        <v>29.0</v>
      </c>
      <c r="K8" s="349" t="str">
        <f t="shared" si="1"/>
        <v>29%</v>
      </c>
    </row>
    <row r="9">
      <c r="A9" s="355" t="s">
        <v>93</v>
      </c>
      <c r="B9" s="1007">
        <v>23.0</v>
      </c>
      <c r="C9" s="1008" t="s">
        <v>3512</v>
      </c>
      <c r="D9" s="1009">
        <f>IFERROR(__xludf.DUMMYFUNCTION("SPLIT(C9,""/"")"),6.0)</f>
        <v>6</v>
      </c>
      <c r="E9" s="1010">
        <f>IFERROR(__xludf.DUMMYFUNCTION("""COMPUTED_VALUE"""),23.0)</f>
        <v>23</v>
      </c>
      <c r="F9" s="1008" t="s">
        <v>3514</v>
      </c>
      <c r="G9" s="1009">
        <f>IFERROR(__xludf.DUMMYFUNCTION("SPLIT(F9,""/"")"),9.0)</f>
        <v>9</v>
      </c>
      <c r="H9" s="1010">
        <f>IFERROR(__xludf.DUMMYFUNCTION("""COMPUTED_VALUE"""),23.0)</f>
        <v>23</v>
      </c>
      <c r="I9" s="1007">
        <v>2.0</v>
      </c>
      <c r="J9" s="354">
        <v>56.0</v>
      </c>
      <c r="K9" s="349" t="str">
        <f t="shared" si="1"/>
        <v>56%</v>
      </c>
    </row>
    <row r="10">
      <c r="A10" s="355" t="s">
        <v>248</v>
      </c>
      <c r="B10" s="1007">
        <v>2.0</v>
      </c>
      <c r="C10" s="1008" t="s">
        <v>3515</v>
      </c>
      <c r="D10" s="1009">
        <f>IFERROR(__xludf.DUMMYFUNCTION("SPLIT(C10,""/"")"),1.0)</f>
        <v>1</v>
      </c>
      <c r="E10" s="1010">
        <f>IFERROR(__xludf.DUMMYFUNCTION("""COMPUTED_VALUE"""),2.0)</f>
        <v>2</v>
      </c>
      <c r="F10" s="1008" t="s">
        <v>3518</v>
      </c>
      <c r="G10" s="1009">
        <f>IFERROR(__xludf.DUMMYFUNCTION("SPLIT(F10,""/"")"),0.0)</f>
        <v>0</v>
      </c>
      <c r="H10" s="1010">
        <f>IFERROR(__xludf.DUMMYFUNCTION("""COMPUTED_VALUE"""),2.0)</f>
        <v>2</v>
      </c>
      <c r="I10" s="1007">
        <v>0.0</v>
      </c>
      <c r="J10" s="354">
        <v>100.0</v>
      </c>
      <c r="K10" s="349" t="str">
        <f t="shared" si="1"/>
        <v>100%</v>
      </c>
    </row>
    <row r="11">
      <c r="A11" s="355" t="s">
        <v>896</v>
      </c>
      <c r="B11" s="1007">
        <v>16.0</v>
      </c>
      <c r="C11" s="1008" t="s">
        <v>3520</v>
      </c>
      <c r="D11" s="1009">
        <f>IFERROR(__xludf.DUMMYFUNCTION("SPLIT(C11,""/"")"),5.0)</f>
        <v>5</v>
      </c>
      <c r="E11" s="1010">
        <f>IFERROR(__xludf.DUMMYFUNCTION("""COMPUTED_VALUE"""),16.0)</f>
        <v>16</v>
      </c>
      <c r="F11" s="1008" t="s">
        <v>3522</v>
      </c>
      <c r="G11" s="1009">
        <f>IFERROR(__xludf.DUMMYFUNCTION("SPLIT(F11,""/"")"),11.0)</f>
        <v>11</v>
      </c>
      <c r="H11" s="1010">
        <f>IFERROR(__xludf.DUMMYFUNCTION("""COMPUTED_VALUE"""),16.0)</f>
        <v>16</v>
      </c>
      <c r="I11" s="1007">
        <v>0.0</v>
      </c>
      <c r="J11" s="354">
        <v>67.0</v>
      </c>
      <c r="K11" s="349" t="str">
        <f t="shared" si="1"/>
        <v>67%</v>
      </c>
    </row>
    <row r="12">
      <c r="A12" s="355" t="s">
        <v>107</v>
      </c>
      <c r="B12" s="1007">
        <v>10.0</v>
      </c>
      <c r="C12" s="1008" t="s">
        <v>3523</v>
      </c>
      <c r="D12" s="1009">
        <f>IFERROR(__xludf.DUMMYFUNCTION("SPLIT(C12,""/"")"),4.0)</f>
        <v>4</v>
      </c>
      <c r="E12" s="1010">
        <f>IFERROR(__xludf.DUMMYFUNCTION("""COMPUTED_VALUE"""),10.0)</f>
        <v>10</v>
      </c>
      <c r="F12" s="1008" t="s">
        <v>3524</v>
      </c>
      <c r="G12" s="1009">
        <f>IFERROR(__xludf.DUMMYFUNCTION("SPLIT(F12,""/"")"),3.0)</f>
        <v>3</v>
      </c>
      <c r="H12" s="1010">
        <f>IFERROR(__xludf.DUMMYFUNCTION("""COMPUTED_VALUE"""),10.0)</f>
        <v>10</v>
      </c>
      <c r="I12" s="1007">
        <v>0.0</v>
      </c>
      <c r="J12" s="354">
        <v>67.0</v>
      </c>
      <c r="K12" s="349" t="str">
        <f t="shared" si="1"/>
        <v>67%</v>
      </c>
    </row>
    <row r="13">
      <c r="A13" s="355" t="s">
        <v>1151</v>
      </c>
      <c r="B13" s="1007">
        <v>5.0</v>
      </c>
      <c r="C13" s="1008" t="s">
        <v>3526</v>
      </c>
      <c r="D13" s="1009">
        <f>IFERROR(__xludf.DUMMYFUNCTION("SPLIT(C13,""/"")"),2.0)</f>
        <v>2</v>
      </c>
      <c r="E13" s="1010">
        <f>IFERROR(__xludf.DUMMYFUNCTION("""COMPUTED_VALUE"""),5.0)</f>
        <v>5</v>
      </c>
      <c r="F13" s="1008" t="s">
        <v>3526</v>
      </c>
      <c r="G13" s="1009">
        <f>IFERROR(__xludf.DUMMYFUNCTION("SPLIT(F13,""/"")"),2.0)</f>
        <v>2</v>
      </c>
      <c r="H13" s="1010">
        <f>IFERROR(__xludf.DUMMYFUNCTION("""COMPUTED_VALUE"""),5.0)</f>
        <v>5</v>
      </c>
      <c r="I13" s="1007">
        <v>0.0</v>
      </c>
      <c r="J13" s="354">
        <v>100.0</v>
      </c>
      <c r="K13" s="349" t="str">
        <f t="shared" si="1"/>
        <v>100%</v>
      </c>
    </row>
    <row r="14">
      <c r="A14" s="355" t="s">
        <v>110</v>
      </c>
      <c r="B14" s="1007">
        <v>10.0</v>
      </c>
      <c r="C14" s="1008" t="s">
        <v>3531</v>
      </c>
      <c r="D14" s="1009">
        <f>IFERROR(__xludf.DUMMYFUNCTION("SPLIT(C14,""/"")"),2.0)</f>
        <v>2</v>
      </c>
      <c r="E14" s="1010">
        <f>IFERROR(__xludf.DUMMYFUNCTION("""COMPUTED_VALUE"""),10.0)</f>
        <v>10</v>
      </c>
      <c r="F14" s="1008" t="s">
        <v>3524</v>
      </c>
      <c r="G14" s="1009">
        <f>IFERROR(__xludf.DUMMYFUNCTION("SPLIT(F14,""/"")"),3.0)</f>
        <v>3</v>
      </c>
      <c r="H14" s="1010">
        <f>IFERROR(__xludf.DUMMYFUNCTION("""COMPUTED_VALUE"""),10.0)</f>
        <v>10</v>
      </c>
      <c r="I14" s="1007">
        <v>1.0</v>
      </c>
      <c r="J14" s="354">
        <v>44.0</v>
      </c>
      <c r="K14" s="349" t="str">
        <f t="shared" si="1"/>
        <v>44%</v>
      </c>
    </row>
    <row r="15">
      <c r="A15" s="355" t="s">
        <v>112</v>
      </c>
      <c r="B15" s="1007">
        <v>44.0</v>
      </c>
      <c r="C15" s="1008" t="s">
        <v>3533</v>
      </c>
      <c r="D15" s="1009">
        <f>IFERROR(__xludf.DUMMYFUNCTION("SPLIT(C15,""/"")"),18.0)</f>
        <v>18</v>
      </c>
      <c r="E15" s="1010">
        <f>IFERROR(__xludf.DUMMYFUNCTION("""COMPUTED_VALUE"""),44.0)</f>
        <v>44</v>
      </c>
      <c r="F15" s="1008" t="s">
        <v>3533</v>
      </c>
      <c r="G15" s="1009">
        <f>IFERROR(__xludf.DUMMYFUNCTION("SPLIT(F15,""/"")"),18.0)</f>
        <v>18</v>
      </c>
      <c r="H15" s="1010">
        <f>IFERROR(__xludf.DUMMYFUNCTION("""COMPUTED_VALUE"""),44.0)</f>
        <v>44</v>
      </c>
      <c r="I15" s="1007">
        <v>8.0</v>
      </c>
      <c r="J15" s="354">
        <v>39.0</v>
      </c>
      <c r="K15" s="349" t="str">
        <f t="shared" si="1"/>
        <v>39%</v>
      </c>
    </row>
    <row r="16">
      <c r="A16" s="355" t="s">
        <v>1362</v>
      </c>
      <c r="B16" s="1007">
        <v>28.0</v>
      </c>
      <c r="C16" s="1008" t="s">
        <v>3536</v>
      </c>
      <c r="D16" s="1009">
        <f>IFERROR(__xludf.DUMMYFUNCTION("SPLIT(C16,""/"")"),11.0)</f>
        <v>11</v>
      </c>
      <c r="E16" s="1010">
        <f>IFERROR(__xludf.DUMMYFUNCTION("""COMPUTED_VALUE"""),28.0)</f>
        <v>28</v>
      </c>
      <c r="F16" s="1008" t="s">
        <v>3537</v>
      </c>
      <c r="G16" s="1009">
        <f>IFERROR(__xludf.DUMMYFUNCTION("SPLIT(F16,""/"")"),5.0)</f>
        <v>5</v>
      </c>
      <c r="H16" s="1010">
        <f>IFERROR(__xludf.DUMMYFUNCTION("""COMPUTED_VALUE"""),28.0)</f>
        <v>28</v>
      </c>
      <c r="I16" s="1007">
        <v>7.0</v>
      </c>
      <c r="J16" s="354">
        <v>33.0</v>
      </c>
      <c r="K16" s="349" t="str">
        <f t="shared" si="1"/>
        <v>33%</v>
      </c>
    </row>
    <row r="17">
      <c r="A17" s="355" t="s">
        <v>1363</v>
      </c>
      <c r="B17" s="1007">
        <v>30.0</v>
      </c>
      <c r="C17" s="1008" t="s">
        <v>3539</v>
      </c>
      <c r="D17" s="1009">
        <f>IFERROR(__xludf.DUMMYFUNCTION("SPLIT(C17,""/"")"),23.0)</f>
        <v>23</v>
      </c>
      <c r="E17" s="1010">
        <f>IFERROR(__xludf.DUMMYFUNCTION("""COMPUTED_VALUE"""),30.0)</f>
        <v>30</v>
      </c>
      <c r="F17" s="1008" t="s">
        <v>3541</v>
      </c>
      <c r="G17" s="1009">
        <f>IFERROR(__xludf.DUMMYFUNCTION("SPLIT(F17,""/"")"),0.0)</f>
        <v>0</v>
      </c>
      <c r="H17" s="1010">
        <f>IFERROR(__xludf.DUMMYFUNCTION("""COMPUTED_VALUE"""),30.0)</f>
        <v>30</v>
      </c>
      <c r="I17" s="1007">
        <v>1.0</v>
      </c>
      <c r="J17" s="354">
        <v>57.0</v>
      </c>
      <c r="K17" s="349" t="str">
        <f t="shared" si="1"/>
        <v>57%</v>
      </c>
    </row>
    <row r="18">
      <c r="A18" s="355" t="s">
        <v>126</v>
      </c>
      <c r="B18" s="1007">
        <v>20.0</v>
      </c>
      <c r="C18" s="1008" t="s">
        <v>3543</v>
      </c>
      <c r="D18" s="1009">
        <f>IFERROR(__xludf.DUMMYFUNCTION("SPLIT(C18,""/"")"),7.0)</f>
        <v>7</v>
      </c>
      <c r="E18" s="1010">
        <f>IFERROR(__xludf.DUMMYFUNCTION("""COMPUTED_VALUE"""),20.0)</f>
        <v>20</v>
      </c>
      <c r="F18" s="1008" t="s">
        <v>3545</v>
      </c>
      <c r="G18" s="1009">
        <f>IFERROR(__xludf.DUMMYFUNCTION("SPLIT(F18,""/"")"),8.0)</f>
        <v>8</v>
      </c>
      <c r="H18" s="1010">
        <f>IFERROR(__xludf.DUMMYFUNCTION("""COMPUTED_VALUE"""),20.0)</f>
        <v>20</v>
      </c>
      <c r="I18" s="1007">
        <v>0.0</v>
      </c>
      <c r="J18" s="354">
        <v>50.0</v>
      </c>
      <c r="K18" s="349" t="str">
        <f t="shared" si="1"/>
        <v>50%</v>
      </c>
    </row>
    <row r="19">
      <c r="A19" s="355" t="s">
        <v>3546</v>
      </c>
      <c r="B19" s="1007">
        <v>81.0</v>
      </c>
      <c r="C19" s="1008" t="s">
        <v>3547</v>
      </c>
      <c r="D19" s="1009">
        <f>IFERROR(__xludf.DUMMYFUNCTION("SPLIT(C19,""/"")"),26.0)</f>
        <v>26</v>
      </c>
      <c r="E19" s="1010">
        <f>IFERROR(__xludf.DUMMYFUNCTION("""COMPUTED_VALUE"""),81.0)</f>
        <v>81</v>
      </c>
      <c r="F19" s="1008" t="s">
        <v>3548</v>
      </c>
      <c r="G19" s="1009">
        <f>IFERROR(__xludf.DUMMYFUNCTION("SPLIT(F19,""/"")"),34.0)</f>
        <v>34</v>
      </c>
      <c r="H19" s="1010">
        <f>IFERROR(__xludf.DUMMYFUNCTION("""COMPUTED_VALUE"""),81.0)</f>
        <v>81</v>
      </c>
      <c r="I19" s="1007">
        <v>8.0</v>
      </c>
      <c r="J19" s="354">
        <v>52.0</v>
      </c>
      <c r="K19" s="349" t="str">
        <f t="shared" si="1"/>
        <v>52%</v>
      </c>
    </row>
    <row r="20">
      <c r="A20" s="355" t="s">
        <v>1364</v>
      </c>
      <c r="B20" s="1007">
        <v>137.0</v>
      </c>
      <c r="C20" s="1008" t="s">
        <v>3550</v>
      </c>
      <c r="D20" s="1009">
        <f>IFERROR(__xludf.DUMMYFUNCTION("SPLIT(C20,""/"")"),59.0)</f>
        <v>59</v>
      </c>
      <c r="E20" s="1010">
        <f>IFERROR(__xludf.DUMMYFUNCTION("""COMPUTED_VALUE"""),137.0)</f>
        <v>137</v>
      </c>
      <c r="F20" s="1008" t="s">
        <v>3552</v>
      </c>
      <c r="G20" s="1009">
        <f>IFERROR(__xludf.DUMMYFUNCTION("SPLIT(F20,""/"")"),36.0)</f>
        <v>36</v>
      </c>
      <c r="H20" s="1010">
        <f>IFERROR(__xludf.DUMMYFUNCTION("""COMPUTED_VALUE"""),137.0)</f>
        <v>137</v>
      </c>
      <c r="I20" s="1007">
        <v>17.0</v>
      </c>
      <c r="J20" s="354">
        <v>29.0</v>
      </c>
      <c r="K20" s="349" t="str">
        <f t="shared" si="1"/>
        <v>29%</v>
      </c>
    </row>
    <row r="21">
      <c r="A21" s="355" t="s">
        <v>136</v>
      </c>
      <c r="B21" s="1007">
        <v>9.0</v>
      </c>
      <c r="C21" s="1008" t="s">
        <v>3553</v>
      </c>
      <c r="D21" s="1009">
        <f>IFERROR(__xludf.DUMMYFUNCTION("SPLIT(C21,""/"")"),1.0)</f>
        <v>1</v>
      </c>
      <c r="E21" s="1010">
        <f>IFERROR(__xludf.DUMMYFUNCTION("""COMPUTED_VALUE"""),9.0)</f>
        <v>9</v>
      </c>
      <c r="F21" s="1008" t="s">
        <v>3555</v>
      </c>
      <c r="G21" s="1009">
        <f>IFERROR(__xludf.DUMMYFUNCTION("SPLIT(F21,""/"")"),6.0)</f>
        <v>6</v>
      </c>
      <c r="H21" s="1010">
        <f>IFERROR(__xludf.DUMMYFUNCTION("""COMPUTED_VALUE"""),9.0)</f>
        <v>9</v>
      </c>
      <c r="I21" s="1007">
        <v>0.0</v>
      </c>
      <c r="J21" s="354">
        <v>100.0</v>
      </c>
      <c r="K21" s="349" t="str">
        <f t="shared" si="1"/>
        <v>100%</v>
      </c>
    </row>
    <row r="22">
      <c r="A22" s="355" t="s">
        <v>1365</v>
      </c>
      <c r="B22" s="1007">
        <v>68.0</v>
      </c>
      <c r="C22" s="1008" t="s">
        <v>3556</v>
      </c>
      <c r="D22" s="1009">
        <f>IFERROR(__xludf.DUMMYFUNCTION("SPLIT(C22,""/"")"),34.0)</f>
        <v>34</v>
      </c>
      <c r="E22" s="1010">
        <f>IFERROR(__xludf.DUMMYFUNCTION("""COMPUTED_VALUE"""),68.0)</f>
        <v>68</v>
      </c>
      <c r="F22" s="1008" t="s">
        <v>3557</v>
      </c>
      <c r="G22" s="1009">
        <f>IFERROR(__xludf.DUMMYFUNCTION("SPLIT(F22,""/"")"),16.0)</f>
        <v>16</v>
      </c>
      <c r="H22" s="1010">
        <f>IFERROR(__xludf.DUMMYFUNCTION("""COMPUTED_VALUE"""),68.0)</f>
        <v>68</v>
      </c>
      <c r="I22" s="1007">
        <v>10.0</v>
      </c>
      <c r="J22" s="354">
        <v>50.0</v>
      </c>
      <c r="K22" s="349" t="str">
        <f t="shared" si="1"/>
        <v>50%</v>
      </c>
    </row>
    <row r="23">
      <c r="A23" s="355" t="s">
        <v>138</v>
      </c>
      <c r="B23" s="1007">
        <v>21.0</v>
      </c>
      <c r="C23" s="1008" t="s">
        <v>3558</v>
      </c>
      <c r="D23" s="1009">
        <f>IFERROR(__xludf.DUMMYFUNCTION("SPLIT(C23,""/"")"),8.0)</f>
        <v>8</v>
      </c>
      <c r="E23" s="1010">
        <f>IFERROR(__xludf.DUMMYFUNCTION("""COMPUTED_VALUE"""),21.0)</f>
        <v>21</v>
      </c>
      <c r="F23" s="1008" t="s">
        <v>3560</v>
      </c>
      <c r="G23" s="1009">
        <f>IFERROR(__xludf.DUMMYFUNCTION("SPLIT(F23,""/"")"),9.0)</f>
        <v>9</v>
      </c>
      <c r="H23" s="1010">
        <f>IFERROR(__xludf.DUMMYFUNCTION("""COMPUTED_VALUE"""),21.0)</f>
        <v>21</v>
      </c>
      <c r="I23" s="1007">
        <v>2.0</v>
      </c>
      <c r="J23" s="354">
        <v>75.0</v>
      </c>
      <c r="K23" s="349" t="str">
        <f t="shared" si="1"/>
        <v>75%</v>
      </c>
    </row>
    <row r="24">
      <c r="A24" s="355" t="s">
        <v>1366</v>
      </c>
      <c r="B24" s="1007">
        <v>20.0</v>
      </c>
      <c r="C24" s="1008" t="s">
        <v>3563</v>
      </c>
      <c r="D24" s="1009">
        <f>IFERROR(__xludf.DUMMYFUNCTION("SPLIT(C24,""/"")"),10.0)</f>
        <v>10</v>
      </c>
      <c r="E24" s="1010">
        <f>IFERROR(__xludf.DUMMYFUNCTION("""COMPUTED_VALUE"""),20.0)</f>
        <v>20</v>
      </c>
      <c r="F24" s="1008" t="s">
        <v>3564</v>
      </c>
      <c r="G24" s="1009">
        <f>IFERROR(__xludf.DUMMYFUNCTION("SPLIT(F24,""/"")"),3.0)</f>
        <v>3</v>
      </c>
      <c r="H24" s="1010">
        <f>IFERROR(__xludf.DUMMYFUNCTION("""COMPUTED_VALUE"""),20.0)</f>
        <v>20</v>
      </c>
      <c r="I24" s="1007">
        <v>5.0</v>
      </c>
      <c r="J24" s="354">
        <v>54.0</v>
      </c>
      <c r="K24" s="349" t="str">
        <f t="shared" si="1"/>
        <v>54%</v>
      </c>
    </row>
    <row r="25">
      <c r="A25" s="355" t="s">
        <v>587</v>
      </c>
      <c r="B25" s="1007">
        <v>85.0</v>
      </c>
      <c r="C25" s="1008" t="s">
        <v>3567</v>
      </c>
      <c r="D25" s="1009">
        <f>IFERROR(__xludf.DUMMYFUNCTION("SPLIT(C25,""/"")"),31.0)</f>
        <v>31</v>
      </c>
      <c r="E25" s="1010">
        <f>IFERROR(__xludf.DUMMYFUNCTION("""COMPUTED_VALUE"""),85.0)</f>
        <v>85</v>
      </c>
      <c r="F25" s="1008" t="s">
        <v>3568</v>
      </c>
      <c r="G25" s="1009">
        <f>IFERROR(__xludf.DUMMYFUNCTION("SPLIT(F25,""/"")"),27.0)</f>
        <v>27</v>
      </c>
      <c r="H25" s="1010">
        <f>IFERROR(__xludf.DUMMYFUNCTION("""COMPUTED_VALUE"""),85.0)</f>
        <v>85</v>
      </c>
      <c r="I25" s="1007">
        <v>25.0</v>
      </c>
      <c r="J25" s="354">
        <v>46.0</v>
      </c>
      <c r="K25" s="349" t="str">
        <f t="shared" si="1"/>
        <v>46%</v>
      </c>
    </row>
    <row r="26">
      <c r="A26" s="355" t="s">
        <v>775</v>
      </c>
      <c r="B26" s="1007">
        <v>229.0</v>
      </c>
      <c r="C26" s="1008" t="s">
        <v>3571</v>
      </c>
      <c r="D26" s="1009">
        <f>IFERROR(__xludf.DUMMYFUNCTION("SPLIT(C26,""/"")"),98.0)</f>
        <v>98</v>
      </c>
      <c r="E26" s="1010">
        <f>IFERROR(__xludf.DUMMYFUNCTION("""COMPUTED_VALUE"""),229.0)</f>
        <v>229</v>
      </c>
      <c r="F26" s="1008" t="s">
        <v>3572</v>
      </c>
      <c r="G26" s="1009">
        <f>IFERROR(__xludf.DUMMYFUNCTION("SPLIT(F26,""/"")"),86.0)</f>
        <v>86</v>
      </c>
      <c r="H26" s="1010">
        <f>IFERROR(__xludf.DUMMYFUNCTION("""COMPUTED_VALUE"""),229.0)</f>
        <v>229</v>
      </c>
      <c r="I26" s="1007">
        <v>59.0</v>
      </c>
      <c r="J26" s="354">
        <v>29.0</v>
      </c>
      <c r="K26" s="349" t="str">
        <f t="shared" si="1"/>
        <v>29%</v>
      </c>
    </row>
    <row r="27">
      <c r="A27" s="355" t="s">
        <v>1367</v>
      </c>
      <c r="B27" s="1007">
        <v>182.0</v>
      </c>
      <c r="C27" s="1008" t="s">
        <v>3575</v>
      </c>
      <c r="D27" s="1009">
        <f>IFERROR(__xludf.DUMMYFUNCTION("SPLIT(C27,""/"")"),103.0)</f>
        <v>103</v>
      </c>
      <c r="E27" s="1010">
        <f>IFERROR(__xludf.DUMMYFUNCTION("""COMPUTED_VALUE"""),182.0)</f>
        <v>182</v>
      </c>
      <c r="F27" s="1008" t="s">
        <v>3577</v>
      </c>
      <c r="G27" s="1009">
        <f>IFERROR(__xludf.DUMMYFUNCTION("SPLIT(F27,""/"")"),10.0)</f>
        <v>10</v>
      </c>
      <c r="H27" s="1010">
        <f>IFERROR(__xludf.DUMMYFUNCTION("""COMPUTED_VALUE"""),182.0)</f>
        <v>182</v>
      </c>
      <c r="I27" s="1007">
        <v>13.0</v>
      </c>
      <c r="J27" s="354">
        <v>22.0</v>
      </c>
      <c r="K27" s="349" t="str">
        <f t="shared" si="1"/>
        <v>22%</v>
      </c>
    </row>
    <row r="28">
      <c r="A28" s="355" t="s">
        <v>502</v>
      </c>
      <c r="B28" s="1007">
        <v>14.0</v>
      </c>
      <c r="C28" s="1008" t="s">
        <v>3580</v>
      </c>
      <c r="D28" s="1009">
        <f>IFERROR(__xludf.DUMMYFUNCTION("SPLIT(C28,""/"")"),7.0)</f>
        <v>7</v>
      </c>
      <c r="E28" s="1010">
        <f>IFERROR(__xludf.DUMMYFUNCTION("""COMPUTED_VALUE"""),14.0)</f>
        <v>14</v>
      </c>
      <c r="F28" s="1008" t="s">
        <v>3582</v>
      </c>
      <c r="G28" s="1009">
        <f>IFERROR(__xludf.DUMMYFUNCTION("SPLIT(F28,""/"")"),3.0)</f>
        <v>3</v>
      </c>
      <c r="H28" s="1010">
        <f>IFERROR(__xludf.DUMMYFUNCTION("""COMPUTED_VALUE"""),14.0)</f>
        <v>14</v>
      </c>
      <c r="I28" s="1007">
        <v>6.0</v>
      </c>
      <c r="J28" s="354">
        <v>100.0</v>
      </c>
      <c r="K28" s="349" t="str">
        <f t="shared" si="1"/>
        <v>100%</v>
      </c>
    </row>
    <row r="29">
      <c r="A29" s="355" t="s">
        <v>1368</v>
      </c>
      <c r="B29" s="1007">
        <v>15.0</v>
      </c>
      <c r="C29" s="1008" t="s">
        <v>3586</v>
      </c>
      <c r="D29" s="1009">
        <f>IFERROR(__xludf.DUMMYFUNCTION("SPLIT(C29,""/"")"),8.0)</f>
        <v>8</v>
      </c>
      <c r="E29" s="1010">
        <f>IFERROR(__xludf.DUMMYFUNCTION("""COMPUTED_VALUE"""),15.0)</f>
        <v>15</v>
      </c>
      <c r="F29" s="1008" t="s">
        <v>3587</v>
      </c>
      <c r="G29" s="1009">
        <f>IFERROR(__xludf.DUMMYFUNCTION("SPLIT(F29,""/"")"),2.0)</f>
        <v>2</v>
      </c>
      <c r="H29" s="1010">
        <f>IFERROR(__xludf.DUMMYFUNCTION("""COMPUTED_VALUE"""),15.0)</f>
        <v>15</v>
      </c>
      <c r="I29" s="1007">
        <v>3.0</v>
      </c>
      <c r="J29" s="354" t="s">
        <v>3590</v>
      </c>
      <c r="K29" s="349" t="str">
        <f t="shared" si="1"/>
        <v>na%</v>
      </c>
    </row>
    <row r="30">
      <c r="A30" s="355" t="s">
        <v>1369</v>
      </c>
      <c r="B30" s="1007">
        <v>0.0</v>
      </c>
      <c r="C30" s="1008" t="s">
        <v>3591</v>
      </c>
      <c r="D30" s="1009">
        <f>IFERROR(__xludf.DUMMYFUNCTION("SPLIT(C30,""/"")"),0.0)</f>
        <v>0</v>
      </c>
      <c r="E30" s="1010">
        <f>IFERROR(__xludf.DUMMYFUNCTION("""COMPUTED_VALUE"""),0.0)</f>
        <v>0</v>
      </c>
      <c r="F30" s="1008" t="s">
        <v>3591</v>
      </c>
      <c r="G30" s="1009">
        <f>IFERROR(__xludf.DUMMYFUNCTION("SPLIT(F30,""/"")"),0.0)</f>
        <v>0</v>
      </c>
      <c r="H30" s="1010">
        <f>IFERROR(__xludf.DUMMYFUNCTION("""COMPUTED_VALUE"""),0.0)</f>
        <v>0</v>
      </c>
      <c r="I30" s="1007">
        <v>0.0</v>
      </c>
      <c r="J30" s="354" t="s">
        <v>3590</v>
      </c>
      <c r="K30" s="349" t="str">
        <f t="shared" si="1"/>
        <v>na%</v>
      </c>
    </row>
    <row r="31">
      <c r="A31" s="355" t="s">
        <v>1370</v>
      </c>
      <c r="B31" s="1007">
        <v>48.0</v>
      </c>
      <c r="C31" s="1008" t="s">
        <v>3595</v>
      </c>
      <c r="D31" s="1009">
        <f>IFERROR(__xludf.DUMMYFUNCTION("SPLIT(C31,""/"")"),18.0)</f>
        <v>18</v>
      </c>
      <c r="E31" s="1010">
        <f>IFERROR(__xludf.DUMMYFUNCTION("""COMPUTED_VALUE"""),48.0)</f>
        <v>48</v>
      </c>
      <c r="F31" s="1008" t="s">
        <v>3596</v>
      </c>
      <c r="G31" s="1009">
        <f>IFERROR(__xludf.DUMMYFUNCTION("SPLIT(F31,""/"")"),15.0)</f>
        <v>15</v>
      </c>
      <c r="H31" s="1010">
        <f>IFERROR(__xludf.DUMMYFUNCTION("""COMPUTED_VALUE"""),48.0)</f>
        <v>48</v>
      </c>
      <c r="I31" s="1007">
        <v>6.0</v>
      </c>
      <c r="J31" s="354">
        <v>6.0</v>
      </c>
      <c r="K31" s="349" t="str">
        <f t="shared" si="1"/>
        <v>6%</v>
      </c>
    </row>
    <row r="32">
      <c r="A32" s="355" t="s">
        <v>142</v>
      </c>
      <c r="B32" s="1007">
        <v>232.0</v>
      </c>
      <c r="C32" s="1008" t="s">
        <v>3598</v>
      </c>
      <c r="D32" s="1009">
        <f>IFERROR(__xludf.DUMMYFUNCTION("SPLIT(C32,""/"")"),110.0)</f>
        <v>110</v>
      </c>
      <c r="E32" s="1010">
        <f>IFERROR(__xludf.DUMMYFUNCTION("""COMPUTED_VALUE"""),232.0)</f>
        <v>232</v>
      </c>
      <c r="F32" s="1008" t="s">
        <v>3600</v>
      </c>
      <c r="G32" s="1009">
        <f>IFERROR(__xludf.DUMMYFUNCTION("SPLIT(F32,""/"")"),86.0)</f>
        <v>86</v>
      </c>
      <c r="H32" s="1010">
        <f>IFERROR(__xludf.DUMMYFUNCTION("""COMPUTED_VALUE"""),232.0)</f>
        <v>232</v>
      </c>
      <c r="I32" s="1007">
        <v>25.0</v>
      </c>
      <c r="J32" s="354">
        <v>47.0</v>
      </c>
      <c r="K32" s="349" t="str">
        <f t="shared" si="1"/>
        <v>47%</v>
      </c>
    </row>
    <row r="33">
      <c r="A33" s="355" t="s">
        <v>593</v>
      </c>
      <c r="B33" s="1007">
        <v>21.0</v>
      </c>
      <c r="C33" s="1008" t="s">
        <v>3602</v>
      </c>
      <c r="D33" s="1009">
        <f>IFERROR(__xludf.DUMMYFUNCTION("SPLIT(C33,""/"")"),7.0)</f>
        <v>7</v>
      </c>
      <c r="E33" s="1010">
        <f>IFERROR(__xludf.DUMMYFUNCTION("""COMPUTED_VALUE"""),21.0)</f>
        <v>21</v>
      </c>
      <c r="F33" s="1008" t="s">
        <v>3602</v>
      </c>
      <c r="G33" s="1009">
        <f>IFERROR(__xludf.DUMMYFUNCTION("SPLIT(F33,""/"")"),7.0)</f>
        <v>7</v>
      </c>
      <c r="H33" s="1010">
        <f>IFERROR(__xludf.DUMMYFUNCTION("""COMPUTED_VALUE"""),21.0)</f>
        <v>21</v>
      </c>
      <c r="I33" s="1007">
        <v>1.0</v>
      </c>
      <c r="J33" s="354">
        <v>33.0</v>
      </c>
      <c r="K33" s="349" t="str">
        <f t="shared" si="1"/>
        <v>33%</v>
      </c>
    </row>
    <row r="34">
      <c r="A34" s="355" t="s">
        <v>143</v>
      </c>
      <c r="B34" s="1007">
        <v>1.0</v>
      </c>
      <c r="C34" s="1008" t="s">
        <v>3605</v>
      </c>
      <c r="D34" s="1009">
        <f>IFERROR(__xludf.DUMMYFUNCTION("SPLIT(C34,""/"")"),1.0)</f>
        <v>1</v>
      </c>
      <c r="E34" s="1010">
        <f>IFERROR(__xludf.DUMMYFUNCTION("""COMPUTED_VALUE"""),1.0)</f>
        <v>1</v>
      </c>
      <c r="F34" s="1008" t="s">
        <v>3606</v>
      </c>
      <c r="G34" s="1009">
        <f>IFERROR(__xludf.DUMMYFUNCTION("SPLIT(F34,""/"")"),0.0)</f>
        <v>0</v>
      </c>
      <c r="H34" s="1010">
        <f>IFERROR(__xludf.DUMMYFUNCTION("""COMPUTED_VALUE"""),1.0)</f>
        <v>1</v>
      </c>
      <c r="I34" s="1007">
        <v>0.0</v>
      </c>
      <c r="J34" s="354">
        <v>33.0</v>
      </c>
      <c r="K34" s="349" t="str">
        <f t="shared" si="1"/>
        <v>33%</v>
      </c>
    </row>
    <row r="35">
      <c r="A35" s="355" t="s">
        <v>1159</v>
      </c>
      <c r="B35" s="1007">
        <v>20.0</v>
      </c>
      <c r="C35" s="1008" t="s">
        <v>3607</v>
      </c>
      <c r="D35" s="1009">
        <f>IFERROR(__xludf.DUMMYFUNCTION("SPLIT(C35,""/"")"),15.0)</f>
        <v>15</v>
      </c>
      <c r="E35" s="1010">
        <f>IFERROR(__xludf.DUMMYFUNCTION("""COMPUTED_VALUE"""),20.0)</f>
        <v>20</v>
      </c>
      <c r="F35" s="1008" t="s">
        <v>3609</v>
      </c>
      <c r="G35" s="1009">
        <f>IFERROR(__xludf.DUMMYFUNCTION("SPLIT(F35,""/"")"),0.0)</f>
        <v>0</v>
      </c>
      <c r="H35" s="1010">
        <f>IFERROR(__xludf.DUMMYFUNCTION("""COMPUTED_VALUE"""),20.0)</f>
        <v>20</v>
      </c>
      <c r="I35" s="1007">
        <v>3.0</v>
      </c>
      <c r="J35" s="354">
        <v>10.0</v>
      </c>
      <c r="K35" s="349" t="str">
        <f t="shared" si="1"/>
        <v>10%</v>
      </c>
    </row>
    <row r="36">
      <c r="A36" s="355" t="s">
        <v>598</v>
      </c>
      <c r="B36" s="1007">
        <v>111.0</v>
      </c>
      <c r="C36" s="1008" t="s">
        <v>3611</v>
      </c>
      <c r="D36" s="1009">
        <f>IFERROR(__xludf.DUMMYFUNCTION("SPLIT(C36,""/"")"),32.0)</f>
        <v>32</v>
      </c>
      <c r="E36" s="1010">
        <f>IFERROR(__xludf.DUMMYFUNCTION("""COMPUTED_VALUE"""),111.0)</f>
        <v>111</v>
      </c>
      <c r="F36" s="1008" t="s">
        <v>3613</v>
      </c>
      <c r="G36" s="1009">
        <f>IFERROR(__xludf.DUMMYFUNCTION("SPLIT(F36,""/"")"),60.0)</f>
        <v>60</v>
      </c>
      <c r="H36" s="1010">
        <f>IFERROR(__xludf.DUMMYFUNCTION("""COMPUTED_VALUE"""),111.0)</f>
        <v>111</v>
      </c>
      <c r="I36" s="1007">
        <v>22.0</v>
      </c>
      <c r="J36" s="354">
        <v>28.0</v>
      </c>
      <c r="K36" s="349" t="str">
        <f t="shared" si="1"/>
        <v>28%</v>
      </c>
    </row>
    <row r="37">
      <c r="A37" s="355" t="s">
        <v>1371</v>
      </c>
      <c r="B37" s="1007">
        <v>12.0</v>
      </c>
      <c r="C37" s="1008" t="s">
        <v>3616</v>
      </c>
      <c r="D37" s="1009">
        <f>IFERROR(__xludf.DUMMYFUNCTION("SPLIT(C37,""/"")"),2.0)</f>
        <v>2</v>
      </c>
      <c r="E37" s="1010">
        <f>IFERROR(__xludf.DUMMYFUNCTION("""COMPUTED_VALUE"""),12.0)</f>
        <v>12</v>
      </c>
      <c r="F37" s="1008" t="s">
        <v>3617</v>
      </c>
      <c r="G37" s="1009">
        <f>IFERROR(__xludf.DUMMYFUNCTION("SPLIT(F37,""/"")"),5.0)</f>
        <v>5</v>
      </c>
      <c r="H37" s="1010">
        <f>IFERROR(__xludf.DUMMYFUNCTION("""COMPUTED_VALUE"""),12.0)</f>
        <v>12</v>
      </c>
      <c r="I37" s="1007">
        <v>1.0</v>
      </c>
      <c r="J37" s="354">
        <v>33.0</v>
      </c>
      <c r="K37" s="349" t="str">
        <f t="shared" si="1"/>
        <v>33%</v>
      </c>
    </row>
    <row r="38">
      <c r="A38" s="355" t="s">
        <v>289</v>
      </c>
      <c r="B38" s="1007">
        <v>41.0</v>
      </c>
      <c r="C38" s="1008" t="s">
        <v>3619</v>
      </c>
      <c r="D38" s="1009">
        <f>IFERROR(__xludf.DUMMYFUNCTION("SPLIT(C38,""/"")"),23.0)</f>
        <v>23</v>
      </c>
      <c r="E38" s="1010">
        <f>IFERROR(__xludf.DUMMYFUNCTION("""COMPUTED_VALUE"""),41.0)</f>
        <v>41</v>
      </c>
      <c r="F38" s="1008" t="s">
        <v>3620</v>
      </c>
      <c r="G38" s="1009">
        <f>IFERROR(__xludf.DUMMYFUNCTION("SPLIT(F38,""/"")"),13.0)</f>
        <v>13</v>
      </c>
      <c r="H38" s="1010">
        <f>IFERROR(__xludf.DUMMYFUNCTION("""COMPUTED_VALUE"""),41.0)</f>
        <v>41</v>
      </c>
      <c r="I38" s="1007">
        <v>7.0</v>
      </c>
      <c r="J38" s="354">
        <v>42.0</v>
      </c>
      <c r="K38" s="349" t="str">
        <f t="shared" si="1"/>
        <v>42%</v>
      </c>
    </row>
    <row r="39">
      <c r="A39" s="355" t="s">
        <v>144</v>
      </c>
      <c r="B39" s="1007">
        <v>48.0</v>
      </c>
      <c r="C39" s="1026" t="s">
        <v>3623</v>
      </c>
      <c r="D39" s="1009">
        <f>IFERROR(__xludf.DUMMYFUNCTION("SPLIT(C39,""/"")"),16.0)</f>
        <v>16</v>
      </c>
      <c r="E39" s="1010">
        <f>IFERROR(__xludf.DUMMYFUNCTION("""COMPUTED_VALUE"""),48.0)</f>
        <v>48</v>
      </c>
      <c r="F39" s="1026" t="s">
        <v>3624</v>
      </c>
      <c r="G39" s="1009">
        <f>IFERROR(__xludf.DUMMYFUNCTION("SPLIT(F39,""/"")"),26.0)</f>
        <v>26</v>
      </c>
      <c r="H39" s="1010">
        <f>IFERROR(__xludf.DUMMYFUNCTION("""COMPUTED_VALUE"""),48.0)</f>
        <v>48</v>
      </c>
      <c r="I39" s="1007">
        <v>9.0</v>
      </c>
      <c r="J39" s="354">
        <v>53.0</v>
      </c>
      <c r="K39" s="349" t="str">
        <f t="shared" si="1"/>
        <v>53%</v>
      </c>
    </row>
    <row r="40">
      <c r="A40" s="355" t="s">
        <v>145</v>
      </c>
      <c r="B40" s="1027">
        <v>123.0</v>
      </c>
      <c r="C40" s="1028" t="s">
        <v>3625</v>
      </c>
      <c r="D40" s="1009">
        <f>IFERROR(__xludf.DUMMYFUNCTION("SPLIT(C40,""/"")"),53.0)</f>
        <v>53</v>
      </c>
      <c r="E40" s="606">
        <f>IFERROR(__xludf.DUMMYFUNCTION("""COMPUTED_VALUE"""),123.0)</f>
        <v>123</v>
      </c>
      <c r="F40" s="1028" t="s">
        <v>3626</v>
      </c>
      <c r="G40" s="1009">
        <f>IFERROR(__xludf.DUMMYFUNCTION("SPLIT(F40,""/"")"),49.0)</f>
        <v>49</v>
      </c>
      <c r="H40" s="606">
        <f>IFERROR(__xludf.DUMMYFUNCTION("""COMPUTED_VALUE"""),123.0)</f>
        <v>123</v>
      </c>
      <c r="I40" s="1029">
        <v>22.0</v>
      </c>
      <c r="J40" s="1029">
        <v>36.0</v>
      </c>
      <c r="K40" s="349" t="str">
        <f t="shared" si="1"/>
        <v>36%</v>
      </c>
      <c r="L40" s="606"/>
      <c r="M40" s="606"/>
      <c r="N40" s="606"/>
      <c r="O40" s="606"/>
      <c r="P40" s="606"/>
      <c r="Q40" s="606"/>
    </row>
    <row r="41">
      <c r="A41" s="1030" t="s">
        <v>146</v>
      </c>
      <c r="B41" s="1031">
        <v>12.0</v>
      </c>
      <c r="C41" s="1008" t="s">
        <v>3630</v>
      </c>
      <c r="D41" s="1009">
        <f>IFERROR(__xludf.DUMMYFUNCTION("SPLIT(C41,""/"")"),7.0)</f>
        <v>7</v>
      </c>
      <c r="E41" s="848">
        <f>IFERROR(__xludf.DUMMYFUNCTION("""COMPUTED_VALUE"""),12.0)</f>
        <v>12</v>
      </c>
      <c r="F41" s="1008" t="s">
        <v>3631</v>
      </c>
      <c r="G41" s="1009">
        <f>IFERROR(__xludf.DUMMYFUNCTION("SPLIT(F41,""/"")"),0.0)</f>
        <v>0</v>
      </c>
      <c r="H41" s="848">
        <f>IFERROR(__xludf.DUMMYFUNCTION("""COMPUTED_VALUE"""),12.0)</f>
        <v>12</v>
      </c>
      <c r="I41" s="607">
        <v>1.0</v>
      </c>
      <c r="J41" s="607">
        <v>20.0</v>
      </c>
      <c r="K41" s="349" t="str">
        <f t="shared" si="1"/>
        <v>20%</v>
      </c>
      <c r="L41" s="847"/>
      <c r="M41" s="847"/>
      <c r="N41" s="847"/>
      <c r="O41" s="847"/>
      <c r="P41" s="847"/>
      <c r="Q41" s="847"/>
    </row>
    <row r="42">
      <c r="A42" s="355" t="s">
        <v>1372</v>
      </c>
      <c r="B42" s="1007">
        <v>22.0</v>
      </c>
      <c r="C42" s="1008" t="s">
        <v>3634</v>
      </c>
      <c r="D42" s="1009">
        <f>IFERROR(__xludf.DUMMYFUNCTION("SPLIT(C42,""/"")"),8.0)</f>
        <v>8</v>
      </c>
      <c r="E42" s="1010">
        <f>IFERROR(__xludf.DUMMYFUNCTION("""COMPUTED_VALUE"""),22.0)</f>
        <v>22</v>
      </c>
      <c r="F42" s="1008" t="s">
        <v>3634</v>
      </c>
      <c r="G42" s="1009">
        <f>IFERROR(__xludf.DUMMYFUNCTION("SPLIT(F42,""/"")"),8.0)</f>
        <v>8</v>
      </c>
      <c r="H42" s="1010">
        <f>IFERROR(__xludf.DUMMYFUNCTION("""COMPUTED_VALUE"""),22.0)</f>
        <v>22</v>
      </c>
      <c r="I42" s="1007">
        <v>2.0</v>
      </c>
      <c r="J42" s="354">
        <v>100.0</v>
      </c>
      <c r="K42" s="349" t="str">
        <f t="shared" si="1"/>
        <v>100%</v>
      </c>
    </row>
    <row r="43">
      <c r="A43" s="355" t="s">
        <v>147</v>
      </c>
      <c r="B43" s="1007">
        <v>218.0</v>
      </c>
      <c r="C43" s="1008" t="s">
        <v>3635</v>
      </c>
      <c r="D43" s="1009">
        <f>IFERROR(__xludf.DUMMYFUNCTION("SPLIT(C43,""/"")"),90.0)</f>
        <v>90</v>
      </c>
      <c r="E43" s="1010">
        <f>IFERROR(__xludf.DUMMYFUNCTION("""COMPUTED_VALUE"""),218.0)</f>
        <v>218</v>
      </c>
      <c r="F43" s="1008" t="s">
        <v>3636</v>
      </c>
      <c r="G43" s="1009">
        <f>IFERROR(__xludf.DUMMYFUNCTION("SPLIT(F43,""/"")"),83.0)</f>
        <v>83</v>
      </c>
      <c r="H43" s="1010">
        <f>IFERROR(__xludf.DUMMYFUNCTION("""COMPUTED_VALUE"""),218.0)</f>
        <v>218</v>
      </c>
      <c r="I43" s="1007">
        <v>25.0</v>
      </c>
      <c r="J43" s="354">
        <v>50.0</v>
      </c>
      <c r="K43" s="349" t="str">
        <f t="shared" si="1"/>
        <v>50%</v>
      </c>
    </row>
    <row r="44">
      <c r="A44" s="355" t="s">
        <v>1373</v>
      </c>
      <c r="B44" s="1007">
        <v>14.0</v>
      </c>
      <c r="C44" s="1008" t="s">
        <v>3637</v>
      </c>
      <c r="D44" s="1009">
        <f>IFERROR(__xludf.DUMMYFUNCTION("SPLIT(C44,""/"")"),10.0)</f>
        <v>10</v>
      </c>
      <c r="E44" s="1010">
        <f>IFERROR(__xludf.DUMMYFUNCTION("""COMPUTED_VALUE"""),14.0)</f>
        <v>14</v>
      </c>
      <c r="F44" s="1008" t="s">
        <v>3638</v>
      </c>
      <c r="G44" s="1009">
        <f>IFERROR(__xludf.DUMMYFUNCTION("SPLIT(F44,""/"")"),0.0)</f>
        <v>0</v>
      </c>
      <c r="H44" s="1010">
        <f>IFERROR(__xludf.DUMMYFUNCTION("""COMPUTED_VALUE"""),14.0)</f>
        <v>14</v>
      </c>
      <c r="I44" s="1007">
        <v>0.0</v>
      </c>
      <c r="J44" s="354">
        <v>25.0</v>
      </c>
      <c r="K44" s="349" t="str">
        <f t="shared" si="1"/>
        <v>25%</v>
      </c>
    </row>
    <row r="45">
      <c r="A45" s="355" t="s">
        <v>290</v>
      </c>
      <c r="B45" s="1007">
        <v>51.0</v>
      </c>
      <c r="C45" s="1008" t="s">
        <v>3639</v>
      </c>
      <c r="D45" s="1009">
        <f>IFERROR(__xludf.DUMMYFUNCTION("SPLIT(C45,""/"")"),24.0)</f>
        <v>24</v>
      </c>
      <c r="E45" s="1010">
        <f>IFERROR(__xludf.DUMMYFUNCTION("""COMPUTED_VALUE"""),51.0)</f>
        <v>51</v>
      </c>
      <c r="F45" s="1008" t="s">
        <v>3640</v>
      </c>
      <c r="G45" s="1009">
        <f>IFERROR(__xludf.DUMMYFUNCTION("SPLIT(F45,""/"")"),9.0)</f>
        <v>9</v>
      </c>
      <c r="H45" s="1010">
        <f>IFERROR(__xludf.DUMMYFUNCTION("""COMPUTED_VALUE"""),51.0)</f>
        <v>51</v>
      </c>
      <c r="I45" s="1007">
        <v>8.0</v>
      </c>
      <c r="J45" s="354">
        <v>25.0</v>
      </c>
      <c r="K45" s="349" t="str">
        <f t="shared" si="1"/>
        <v>25%</v>
      </c>
    </row>
    <row r="46">
      <c r="A46" s="355" t="s">
        <v>149</v>
      </c>
      <c r="B46" s="1007">
        <v>189.0</v>
      </c>
      <c r="C46" s="1008" t="s">
        <v>3641</v>
      </c>
      <c r="D46" s="1009">
        <f>IFERROR(__xludf.DUMMYFUNCTION("SPLIT(C46,""/"")"),44.0)</f>
        <v>44</v>
      </c>
      <c r="E46" s="1010">
        <f>IFERROR(__xludf.DUMMYFUNCTION("""COMPUTED_VALUE"""),189.0)</f>
        <v>189</v>
      </c>
      <c r="F46" s="1008" t="s">
        <v>3642</v>
      </c>
      <c r="G46" s="1009">
        <f>IFERROR(__xludf.DUMMYFUNCTION("SPLIT(F46,""/"")"),98.0)</f>
        <v>98</v>
      </c>
      <c r="H46" s="1010">
        <f>IFERROR(__xludf.DUMMYFUNCTION("""COMPUTED_VALUE"""),189.0)</f>
        <v>189</v>
      </c>
      <c r="I46" s="1007">
        <v>13.0</v>
      </c>
      <c r="J46" s="354">
        <v>43.0</v>
      </c>
      <c r="K46" s="349" t="str">
        <f t="shared" si="1"/>
        <v>43%</v>
      </c>
    </row>
    <row r="47">
      <c r="A47" s="355" t="s">
        <v>151</v>
      </c>
      <c r="B47" s="1007">
        <v>34.0</v>
      </c>
      <c r="C47" s="1008" t="s">
        <v>3643</v>
      </c>
      <c r="D47" s="1009">
        <f>IFERROR(__xludf.DUMMYFUNCTION("SPLIT(C47,""/"")"),23.0)</f>
        <v>23</v>
      </c>
      <c r="E47" s="1010">
        <f>IFERROR(__xludf.DUMMYFUNCTION("""COMPUTED_VALUE"""),34.0)</f>
        <v>34</v>
      </c>
      <c r="F47" s="1008" t="s">
        <v>3644</v>
      </c>
      <c r="G47" s="1009">
        <f>IFERROR(__xludf.DUMMYFUNCTION("SPLIT(F47,""/"")"),2.0)</f>
        <v>2</v>
      </c>
      <c r="H47" s="1010">
        <f>IFERROR(__xludf.DUMMYFUNCTION("""COMPUTED_VALUE"""),34.0)</f>
        <v>34</v>
      </c>
      <c r="I47" s="1007">
        <v>2.0</v>
      </c>
      <c r="J47" s="354">
        <v>0.0</v>
      </c>
      <c r="K47" s="349" t="str">
        <f t="shared" si="1"/>
        <v>0%</v>
      </c>
    </row>
    <row r="48">
      <c r="A48" s="355" t="s">
        <v>153</v>
      </c>
      <c r="B48" s="1007">
        <v>25.0</v>
      </c>
      <c r="C48" s="1008" t="s">
        <v>3645</v>
      </c>
      <c r="D48" s="1009">
        <f>IFERROR(__xludf.DUMMYFUNCTION("SPLIT(C48,""/"")"),12.0)</f>
        <v>12</v>
      </c>
      <c r="E48" s="1010">
        <f>IFERROR(__xludf.DUMMYFUNCTION("""COMPUTED_VALUE"""),25.0)</f>
        <v>25</v>
      </c>
      <c r="F48" s="1008" t="s">
        <v>3646</v>
      </c>
      <c r="G48" s="1009">
        <f>IFERROR(__xludf.DUMMYFUNCTION("SPLIT(F48,""/"")"),9.0)</f>
        <v>9</v>
      </c>
      <c r="H48" s="1010">
        <f>IFERROR(__xludf.DUMMYFUNCTION("""COMPUTED_VALUE"""),25.0)</f>
        <v>25</v>
      </c>
      <c r="I48" s="1007">
        <v>2.0</v>
      </c>
      <c r="J48" s="354">
        <v>68.0</v>
      </c>
      <c r="K48" s="349" t="str">
        <f t="shared" si="1"/>
        <v>68%</v>
      </c>
    </row>
    <row r="49">
      <c r="A49" s="355" t="s">
        <v>154</v>
      </c>
      <c r="B49" s="1007">
        <v>42.0</v>
      </c>
      <c r="C49" s="1008" t="s">
        <v>3647</v>
      </c>
      <c r="D49" s="1009">
        <f>IFERROR(__xludf.DUMMYFUNCTION("SPLIT(C49,""/"")"),12.0)</f>
        <v>12</v>
      </c>
      <c r="E49" s="1010">
        <f>IFERROR(__xludf.DUMMYFUNCTION("""COMPUTED_VALUE"""),42.0)</f>
        <v>42</v>
      </c>
      <c r="F49" s="1008" t="s">
        <v>3648</v>
      </c>
      <c r="G49" s="1009">
        <f>IFERROR(__xludf.DUMMYFUNCTION("SPLIT(F49,""/"")"),20.0)</f>
        <v>20</v>
      </c>
      <c r="H49" s="1010">
        <f>IFERROR(__xludf.DUMMYFUNCTION("""COMPUTED_VALUE"""),42.0)</f>
        <v>42</v>
      </c>
      <c r="I49" s="1007">
        <v>9.0</v>
      </c>
      <c r="J49" s="354">
        <v>33.0</v>
      </c>
      <c r="K49" s="349" t="str">
        <f t="shared" si="1"/>
        <v>33%</v>
      </c>
    </row>
    <row r="50">
      <c r="A50" s="355" t="s">
        <v>156</v>
      </c>
      <c r="B50" s="1007">
        <v>72.0</v>
      </c>
      <c r="C50" s="1008" t="s">
        <v>3649</v>
      </c>
      <c r="D50" s="1009">
        <f>IFERROR(__xludf.DUMMYFUNCTION("SPLIT(C50,""/"")"),28.0)</f>
        <v>28</v>
      </c>
      <c r="E50" s="1010">
        <f>IFERROR(__xludf.DUMMYFUNCTION("""COMPUTED_VALUE"""),72.0)</f>
        <v>72</v>
      </c>
      <c r="F50" s="1008" t="s">
        <v>3649</v>
      </c>
      <c r="G50" s="1009">
        <f>IFERROR(__xludf.DUMMYFUNCTION("SPLIT(F50,""/"")"),28.0)</f>
        <v>28</v>
      </c>
      <c r="H50" s="1010">
        <f>IFERROR(__xludf.DUMMYFUNCTION("""COMPUTED_VALUE"""),72.0)</f>
        <v>72</v>
      </c>
      <c r="I50" s="1007">
        <v>12.0</v>
      </c>
      <c r="J50" s="354">
        <v>34.0</v>
      </c>
      <c r="K50" s="349" t="str">
        <f t="shared" si="1"/>
        <v>34%</v>
      </c>
    </row>
    <row r="51">
      <c r="A51" s="355" t="s">
        <v>157</v>
      </c>
      <c r="B51" s="1007">
        <v>1.0</v>
      </c>
      <c r="C51" s="1008" t="s">
        <v>3605</v>
      </c>
      <c r="D51" s="1009">
        <f>IFERROR(__xludf.DUMMYFUNCTION("SPLIT(C51,""/"")"),1.0)</f>
        <v>1</v>
      </c>
      <c r="E51" s="1010">
        <f>IFERROR(__xludf.DUMMYFUNCTION("""COMPUTED_VALUE"""),1.0)</f>
        <v>1</v>
      </c>
      <c r="F51" s="1008" t="s">
        <v>3606</v>
      </c>
      <c r="G51" s="1009">
        <f>IFERROR(__xludf.DUMMYFUNCTION("SPLIT(F51,""/"")"),0.0)</f>
        <v>0</v>
      </c>
      <c r="H51" s="1010">
        <f>IFERROR(__xludf.DUMMYFUNCTION("""COMPUTED_VALUE"""),1.0)</f>
        <v>1</v>
      </c>
      <c r="I51" s="1007">
        <v>0.0</v>
      </c>
      <c r="J51" s="354">
        <v>100.0</v>
      </c>
      <c r="K51" s="349" t="str">
        <f t="shared" si="1"/>
        <v>100%</v>
      </c>
    </row>
    <row r="52">
      <c r="A52" s="355" t="s">
        <v>1374</v>
      </c>
      <c r="B52" s="1007">
        <v>56.0</v>
      </c>
      <c r="C52" s="1008" t="s">
        <v>3650</v>
      </c>
      <c r="D52" s="1009">
        <f>IFERROR(__xludf.DUMMYFUNCTION("SPLIT(C52,""/"")"),17.0)</f>
        <v>17</v>
      </c>
      <c r="E52" s="1010">
        <f>IFERROR(__xludf.DUMMYFUNCTION("""COMPUTED_VALUE"""),56.0)</f>
        <v>56</v>
      </c>
      <c r="F52" s="1008" t="s">
        <v>3651</v>
      </c>
      <c r="G52" s="1009">
        <f>IFERROR(__xludf.DUMMYFUNCTION("SPLIT(F52,""/"")"),26.0)</f>
        <v>26</v>
      </c>
      <c r="H52" s="1010">
        <f>IFERROR(__xludf.DUMMYFUNCTION("""COMPUTED_VALUE"""),56.0)</f>
        <v>56</v>
      </c>
      <c r="I52" s="1007">
        <v>5.0</v>
      </c>
      <c r="J52" s="354">
        <v>28.0</v>
      </c>
      <c r="K52" s="349" t="str">
        <f t="shared" si="1"/>
        <v>28%</v>
      </c>
    </row>
    <row r="53">
      <c r="A53" s="355" t="s">
        <v>297</v>
      </c>
      <c r="B53" s="1007">
        <v>14.0</v>
      </c>
      <c r="C53" s="1008" t="s">
        <v>3652</v>
      </c>
      <c r="D53" s="1009">
        <f>IFERROR(__xludf.DUMMYFUNCTION("SPLIT(C53,""/"")"),6.0)</f>
        <v>6</v>
      </c>
      <c r="E53" s="1010">
        <f>IFERROR(__xludf.DUMMYFUNCTION("""COMPUTED_VALUE"""),14.0)</f>
        <v>14</v>
      </c>
      <c r="F53" s="1008" t="s">
        <v>3580</v>
      </c>
      <c r="G53" s="1009">
        <f>IFERROR(__xludf.DUMMYFUNCTION("SPLIT(F53,""/"")"),7.0)</f>
        <v>7</v>
      </c>
      <c r="H53" s="1010">
        <f>IFERROR(__xludf.DUMMYFUNCTION("""COMPUTED_VALUE"""),14.0)</f>
        <v>14</v>
      </c>
      <c r="I53" s="1007">
        <v>0.0</v>
      </c>
      <c r="J53" s="354">
        <v>54.0</v>
      </c>
      <c r="K53" s="349" t="str">
        <f t="shared" si="1"/>
        <v>54%</v>
      </c>
    </row>
    <row r="54">
      <c r="A54" s="355" t="s">
        <v>1375</v>
      </c>
      <c r="B54" s="1007">
        <v>39.0</v>
      </c>
      <c r="C54" s="1008" t="s">
        <v>3653</v>
      </c>
      <c r="D54" s="1009">
        <f>IFERROR(__xludf.DUMMYFUNCTION("SPLIT(C54,""/"")"),7.0)</f>
        <v>7</v>
      </c>
      <c r="E54" s="1010">
        <f>IFERROR(__xludf.DUMMYFUNCTION("""COMPUTED_VALUE"""),39.0)</f>
        <v>39</v>
      </c>
      <c r="F54" s="1008" t="s">
        <v>3654</v>
      </c>
      <c r="G54" s="1009">
        <f>IFERROR(__xludf.DUMMYFUNCTION("SPLIT(F54,""/"")"),22.0)</f>
        <v>22</v>
      </c>
      <c r="H54" s="1010">
        <f>IFERROR(__xludf.DUMMYFUNCTION("""COMPUTED_VALUE"""),39.0)</f>
        <v>39</v>
      </c>
      <c r="I54" s="1007">
        <v>1.0</v>
      </c>
      <c r="J54" s="354">
        <v>0.0</v>
      </c>
      <c r="K54" s="349" t="str">
        <f t="shared" si="1"/>
        <v>0%</v>
      </c>
    </row>
    <row r="55">
      <c r="A55" s="355" t="s">
        <v>1376</v>
      </c>
      <c r="B55" s="1007">
        <v>42.0</v>
      </c>
      <c r="C55" s="1008" t="s">
        <v>3655</v>
      </c>
      <c r="D55" s="1009">
        <f>IFERROR(__xludf.DUMMYFUNCTION("SPLIT(C55,""/"")"),17.0)</f>
        <v>17</v>
      </c>
      <c r="E55" s="1010">
        <f>IFERROR(__xludf.DUMMYFUNCTION("""COMPUTED_VALUE"""),42.0)</f>
        <v>42</v>
      </c>
      <c r="F55" s="1008" t="s">
        <v>3656</v>
      </c>
      <c r="G55" s="1009">
        <f>IFERROR(__xludf.DUMMYFUNCTION("SPLIT(F55,""/"")"),18.0)</f>
        <v>18</v>
      </c>
      <c r="H55" s="1010">
        <f>IFERROR(__xludf.DUMMYFUNCTION("""COMPUTED_VALUE"""),42.0)</f>
        <v>42</v>
      </c>
      <c r="I55" s="1007">
        <v>4.0</v>
      </c>
      <c r="J55" s="354">
        <v>67.0</v>
      </c>
      <c r="K55" s="349" t="str">
        <f t="shared" si="1"/>
        <v>67%</v>
      </c>
    </row>
    <row r="56">
      <c r="A56" s="355" t="s">
        <v>1377</v>
      </c>
      <c r="B56" s="1007">
        <v>29.0</v>
      </c>
      <c r="C56" s="1008" t="s">
        <v>3657</v>
      </c>
      <c r="D56" s="1009">
        <f>IFERROR(__xludf.DUMMYFUNCTION("SPLIT(C56,""/"")"),18.0)</f>
        <v>18</v>
      </c>
      <c r="E56" s="1010">
        <f>IFERROR(__xludf.DUMMYFUNCTION("""COMPUTED_VALUE"""),29.0)</f>
        <v>29</v>
      </c>
      <c r="F56" s="1008" t="s">
        <v>3658</v>
      </c>
      <c r="G56" s="1009">
        <f>IFERROR(__xludf.DUMMYFUNCTION("SPLIT(F56,""/"")"),1.0)</f>
        <v>1</v>
      </c>
      <c r="H56" s="1010">
        <f>IFERROR(__xludf.DUMMYFUNCTION("""COMPUTED_VALUE"""),29.0)</f>
        <v>29</v>
      </c>
      <c r="I56" s="1007">
        <v>5.0</v>
      </c>
      <c r="J56" s="354">
        <v>38.0</v>
      </c>
      <c r="K56" s="349" t="str">
        <f t="shared" si="1"/>
        <v>38%</v>
      </c>
    </row>
    <row r="57">
      <c r="A57" s="355" t="s">
        <v>1378</v>
      </c>
      <c r="B57" s="1007">
        <v>109.0</v>
      </c>
      <c r="C57" s="1008" t="s">
        <v>3659</v>
      </c>
      <c r="D57" s="1009">
        <f>IFERROR(__xludf.DUMMYFUNCTION("SPLIT(C57,""/"")"),48.0)</f>
        <v>48</v>
      </c>
      <c r="E57" s="1010">
        <f>IFERROR(__xludf.DUMMYFUNCTION("""COMPUTED_VALUE"""),109.0)</f>
        <v>109</v>
      </c>
      <c r="F57" s="1008" t="s">
        <v>3660</v>
      </c>
      <c r="G57" s="1009">
        <f>IFERROR(__xludf.DUMMYFUNCTION("SPLIT(F57,""/"")"),46.0)</f>
        <v>46</v>
      </c>
      <c r="H57" s="1010">
        <f>IFERROR(__xludf.DUMMYFUNCTION("""COMPUTED_VALUE"""),109.0)</f>
        <v>109</v>
      </c>
      <c r="I57" s="1007">
        <v>36.0</v>
      </c>
      <c r="J57" s="354">
        <v>29.0</v>
      </c>
      <c r="K57" s="349" t="str">
        <f t="shared" si="1"/>
        <v>29%</v>
      </c>
    </row>
    <row r="58">
      <c r="A58" s="355" t="s">
        <v>159</v>
      </c>
      <c r="B58" s="1007">
        <v>21.0</v>
      </c>
      <c r="C58" s="1008" t="s">
        <v>3560</v>
      </c>
      <c r="D58" s="1009">
        <f>IFERROR(__xludf.DUMMYFUNCTION("SPLIT(C58,""/"")"),9.0)</f>
        <v>9</v>
      </c>
      <c r="E58" s="1010">
        <f>IFERROR(__xludf.DUMMYFUNCTION("""COMPUTED_VALUE"""),21.0)</f>
        <v>21</v>
      </c>
      <c r="F58" s="1008" t="s">
        <v>3661</v>
      </c>
      <c r="G58" s="1009">
        <f>IFERROR(__xludf.DUMMYFUNCTION("SPLIT(F58,""/"")"),6.0)</f>
        <v>6</v>
      </c>
      <c r="H58" s="1010">
        <f>IFERROR(__xludf.DUMMYFUNCTION("""COMPUTED_VALUE"""),21.0)</f>
        <v>21</v>
      </c>
      <c r="I58" s="1007">
        <v>6.0</v>
      </c>
      <c r="J58" s="354">
        <v>15.0</v>
      </c>
      <c r="K58" s="349" t="str">
        <f t="shared" si="1"/>
        <v>15%</v>
      </c>
    </row>
    <row r="59">
      <c r="A59" s="355" t="s">
        <v>162</v>
      </c>
      <c r="B59" s="1007">
        <v>111.0</v>
      </c>
      <c r="C59" s="1008" t="s">
        <v>3662</v>
      </c>
      <c r="D59" s="1009">
        <f>IFERROR(__xludf.DUMMYFUNCTION("SPLIT(C59,""/"")"),49.0)</f>
        <v>49</v>
      </c>
      <c r="E59" s="1010">
        <f>IFERROR(__xludf.DUMMYFUNCTION("""COMPUTED_VALUE"""),111.0)</f>
        <v>111</v>
      </c>
      <c r="F59" s="1008" t="s">
        <v>3663</v>
      </c>
      <c r="G59" s="1009">
        <f>IFERROR(__xludf.DUMMYFUNCTION("SPLIT(F59,""/"")"),29.0)</f>
        <v>29</v>
      </c>
      <c r="H59" s="1010">
        <f>IFERROR(__xludf.DUMMYFUNCTION("""COMPUTED_VALUE"""),111.0)</f>
        <v>111</v>
      </c>
      <c r="I59" s="1007">
        <v>4.0</v>
      </c>
      <c r="J59" s="354">
        <v>58.0</v>
      </c>
      <c r="K59" s="349" t="str">
        <f t="shared" si="1"/>
        <v>58%</v>
      </c>
    </row>
    <row r="60">
      <c r="A60" s="355" t="s">
        <v>1379</v>
      </c>
      <c r="B60" s="1007">
        <v>60.0</v>
      </c>
      <c r="C60" s="1008" t="s">
        <v>3664</v>
      </c>
      <c r="D60" s="1009">
        <f>IFERROR(__xludf.DUMMYFUNCTION("SPLIT(C60,""/"")"),25.0)</f>
        <v>25</v>
      </c>
      <c r="E60" s="1010">
        <f>IFERROR(__xludf.DUMMYFUNCTION("""COMPUTED_VALUE"""),60.0)</f>
        <v>60</v>
      </c>
      <c r="F60" s="1008" t="s">
        <v>3665</v>
      </c>
      <c r="G60" s="1009">
        <f>IFERROR(__xludf.DUMMYFUNCTION("SPLIT(F60,""/"")"),21.0)</f>
        <v>21</v>
      </c>
      <c r="H60" s="1010">
        <f>IFERROR(__xludf.DUMMYFUNCTION("""COMPUTED_VALUE"""),60.0)</f>
        <v>60</v>
      </c>
      <c r="I60" s="1007">
        <v>4.0</v>
      </c>
      <c r="J60" s="354">
        <v>41.0</v>
      </c>
      <c r="K60" s="349" t="str">
        <f t="shared" si="1"/>
        <v>41%</v>
      </c>
    </row>
    <row r="61">
      <c r="A61" s="355" t="s">
        <v>1380</v>
      </c>
      <c r="B61" s="1007">
        <v>57.0</v>
      </c>
      <c r="C61" s="1008" t="s">
        <v>3666</v>
      </c>
      <c r="D61" s="1009">
        <f>IFERROR(__xludf.DUMMYFUNCTION("SPLIT(C61,""/"")"),21.0)</f>
        <v>21</v>
      </c>
      <c r="E61" s="1010">
        <f>IFERROR(__xludf.DUMMYFUNCTION("""COMPUTED_VALUE"""),57.0)</f>
        <v>57</v>
      </c>
      <c r="F61" s="1008" t="s">
        <v>3667</v>
      </c>
      <c r="G61" s="1009">
        <f>IFERROR(__xludf.DUMMYFUNCTION("SPLIT(F61,""/"")"),26.0)</f>
        <v>26</v>
      </c>
      <c r="H61" s="1010">
        <f>IFERROR(__xludf.DUMMYFUNCTION("""COMPUTED_VALUE"""),57.0)</f>
        <v>57</v>
      </c>
      <c r="I61" s="1007">
        <v>7.0</v>
      </c>
      <c r="J61" s="354">
        <v>50.0</v>
      </c>
      <c r="K61" s="349" t="str">
        <f t="shared" si="1"/>
        <v>50%</v>
      </c>
    </row>
    <row r="62">
      <c r="A62" s="355" t="s">
        <v>618</v>
      </c>
      <c r="B62" s="1007">
        <v>1.0</v>
      </c>
      <c r="C62" s="1008" t="s">
        <v>3605</v>
      </c>
      <c r="D62" s="1009">
        <f>IFERROR(__xludf.DUMMYFUNCTION("SPLIT(C62,""/"")"),1.0)</f>
        <v>1</v>
      </c>
      <c r="E62" s="1010">
        <f>IFERROR(__xludf.DUMMYFUNCTION("""COMPUTED_VALUE"""),1.0)</f>
        <v>1</v>
      </c>
      <c r="F62" s="1008" t="s">
        <v>3606</v>
      </c>
      <c r="G62" s="1009">
        <f>IFERROR(__xludf.DUMMYFUNCTION("SPLIT(F62,""/"")"),0.0)</f>
        <v>0</v>
      </c>
      <c r="H62" s="1010">
        <f>IFERROR(__xludf.DUMMYFUNCTION("""COMPUTED_VALUE"""),1.0)</f>
        <v>1</v>
      </c>
      <c r="I62" s="1007">
        <v>1.0</v>
      </c>
      <c r="J62" s="354" t="s">
        <v>3590</v>
      </c>
      <c r="K62" s="349" t="str">
        <f t="shared" si="1"/>
        <v>na%</v>
      </c>
    </row>
    <row r="63">
      <c r="A63" s="355" t="s">
        <v>1381</v>
      </c>
      <c r="B63" s="1007">
        <v>38.0</v>
      </c>
      <c r="C63" s="1008" t="s">
        <v>3668</v>
      </c>
      <c r="D63" s="1009">
        <f>IFERROR(__xludf.DUMMYFUNCTION("SPLIT(C63,""/"")"),21.0)</f>
        <v>21</v>
      </c>
      <c r="E63" s="1010">
        <f>IFERROR(__xludf.DUMMYFUNCTION("""COMPUTED_VALUE"""),38.0)</f>
        <v>38</v>
      </c>
      <c r="F63" s="1008" t="s">
        <v>3669</v>
      </c>
      <c r="G63" s="1009">
        <f>IFERROR(__xludf.DUMMYFUNCTION("SPLIT(F63,""/"")"),2.0)</f>
        <v>2</v>
      </c>
      <c r="H63" s="1010">
        <f>IFERROR(__xludf.DUMMYFUNCTION("""COMPUTED_VALUE"""),38.0)</f>
        <v>38</v>
      </c>
      <c r="I63" s="1007">
        <v>11.0</v>
      </c>
      <c r="J63" s="354">
        <v>52.0</v>
      </c>
      <c r="K63" s="349" t="str">
        <f t="shared" si="1"/>
        <v>52%</v>
      </c>
    </row>
    <row r="64">
      <c r="A64" s="355" t="s">
        <v>309</v>
      </c>
      <c r="B64" s="1007">
        <v>63.0</v>
      </c>
      <c r="C64" s="1008" t="s">
        <v>3670</v>
      </c>
      <c r="D64" s="1009">
        <f>IFERROR(__xludf.DUMMYFUNCTION("SPLIT(C64,""/"")"),31.0)</f>
        <v>31</v>
      </c>
      <c r="E64" s="1010">
        <f>IFERROR(__xludf.DUMMYFUNCTION("""COMPUTED_VALUE"""),63.0)</f>
        <v>63</v>
      </c>
      <c r="F64" s="1008" t="s">
        <v>3672</v>
      </c>
      <c r="G64" s="1009">
        <f>IFERROR(__xludf.DUMMYFUNCTION("SPLIT(F64,""/"")"),20.0)</f>
        <v>20</v>
      </c>
      <c r="H64" s="1010">
        <f>IFERROR(__xludf.DUMMYFUNCTION("""COMPUTED_VALUE"""),63.0)</f>
        <v>63</v>
      </c>
      <c r="I64" s="1007">
        <v>14.0</v>
      </c>
      <c r="J64" s="354">
        <v>42.0</v>
      </c>
      <c r="K64" s="349" t="str">
        <f t="shared" si="1"/>
        <v>42%</v>
      </c>
    </row>
    <row r="65">
      <c r="A65" s="355" t="s">
        <v>1382</v>
      </c>
      <c r="B65" s="1007">
        <v>0.0</v>
      </c>
      <c r="C65" s="1008" t="s">
        <v>3591</v>
      </c>
      <c r="D65" s="1009">
        <f>IFERROR(__xludf.DUMMYFUNCTION("SPLIT(C65,""/"")"),0.0)</f>
        <v>0</v>
      </c>
      <c r="E65" s="1010">
        <f>IFERROR(__xludf.DUMMYFUNCTION("""COMPUTED_VALUE"""),0.0)</f>
        <v>0</v>
      </c>
      <c r="F65" s="1008" t="s">
        <v>3591</v>
      </c>
      <c r="G65" s="1009">
        <f>IFERROR(__xludf.DUMMYFUNCTION("SPLIT(F65,""/"")"),0.0)</f>
        <v>0</v>
      </c>
      <c r="H65" s="1010">
        <f>IFERROR(__xludf.DUMMYFUNCTION("""COMPUTED_VALUE"""),0.0)</f>
        <v>0</v>
      </c>
      <c r="I65" s="1007">
        <v>0.0</v>
      </c>
      <c r="J65" s="354" t="s">
        <v>3590</v>
      </c>
      <c r="K65" s="349" t="str">
        <f t="shared" si="1"/>
        <v>na%</v>
      </c>
    </row>
    <row r="66">
      <c r="A66" s="355" t="s">
        <v>1134</v>
      </c>
      <c r="B66" s="1007">
        <v>19.0</v>
      </c>
      <c r="C66" s="1008" t="s">
        <v>3673</v>
      </c>
      <c r="D66" s="1009">
        <f>IFERROR(__xludf.DUMMYFUNCTION("SPLIT(C66,""/"")"),9.0)</f>
        <v>9</v>
      </c>
      <c r="E66" s="1010">
        <f>IFERROR(__xludf.DUMMYFUNCTION("""COMPUTED_VALUE"""),19.0)</f>
        <v>19</v>
      </c>
      <c r="F66" s="1008" t="s">
        <v>3674</v>
      </c>
      <c r="G66" s="1009">
        <f>IFERROR(__xludf.DUMMYFUNCTION("SPLIT(F66,""/"")"),2.0)</f>
        <v>2</v>
      </c>
      <c r="H66" s="1010">
        <f>IFERROR(__xludf.DUMMYFUNCTION("""COMPUTED_VALUE"""),19.0)</f>
        <v>19</v>
      </c>
      <c r="I66" s="1007">
        <v>5.0</v>
      </c>
      <c r="J66" s="354">
        <v>14.0</v>
      </c>
      <c r="K66" s="349" t="str">
        <f t="shared" si="1"/>
        <v>14%</v>
      </c>
    </row>
    <row r="67">
      <c r="A67" s="355" t="s">
        <v>1012</v>
      </c>
      <c r="B67" s="1007">
        <v>4.0</v>
      </c>
      <c r="C67" s="1008" t="s">
        <v>3675</v>
      </c>
      <c r="D67" s="1009">
        <f>IFERROR(__xludf.DUMMYFUNCTION("SPLIT(C67,""/"")"),1.0)</f>
        <v>1</v>
      </c>
      <c r="E67" s="1010">
        <f>IFERROR(__xludf.DUMMYFUNCTION("""COMPUTED_VALUE"""),4.0)</f>
        <v>4</v>
      </c>
      <c r="F67" s="1008" t="s">
        <v>3675</v>
      </c>
      <c r="G67" s="1009">
        <f>IFERROR(__xludf.DUMMYFUNCTION("SPLIT(F67,""/"")"),1.0)</f>
        <v>1</v>
      </c>
      <c r="H67" s="1010">
        <f>IFERROR(__xludf.DUMMYFUNCTION("""COMPUTED_VALUE"""),4.0)</f>
        <v>4</v>
      </c>
      <c r="I67" s="1007">
        <v>0.0</v>
      </c>
      <c r="J67" s="354">
        <v>0.0</v>
      </c>
      <c r="K67" s="349" t="str">
        <f t="shared" si="1"/>
        <v>0%</v>
      </c>
    </row>
    <row r="68">
      <c r="A68" s="355" t="s">
        <v>315</v>
      </c>
      <c r="B68" s="1007">
        <v>44.0</v>
      </c>
      <c r="C68" s="1008" t="s">
        <v>3676</v>
      </c>
      <c r="D68" s="1009">
        <f>IFERROR(__xludf.DUMMYFUNCTION("SPLIT(C68,""/"")"),15.0)</f>
        <v>15</v>
      </c>
      <c r="E68" s="1010">
        <f>IFERROR(__xludf.DUMMYFUNCTION("""COMPUTED_VALUE"""),44.0)</f>
        <v>44</v>
      </c>
      <c r="F68" s="1008" t="s">
        <v>3676</v>
      </c>
      <c r="G68" s="1009">
        <f>IFERROR(__xludf.DUMMYFUNCTION("SPLIT(F68,""/"")"),15.0)</f>
        <v>15</v>
      </c>
      <c r="H68" s="1010">
        <f>IFERROR(__xludf.DUMMYFUNCTION("""COMPUTED_VALUE"""),44.0)</f>
        <v>44</v>
      </c>
      <c r="I68" s="1007">
        <v>11.0</v>
      </c>
      <c r="J68" s="354">
        <v>50.0</v>
      </c>
      <c r="K68" s="349" t="str">
        <f t="shared" si="1"/>
        <v>50%</v>
      </c>
    </row>
    <row r="69">
      <c r="A69" s="355" t="s">
        <v>1383</v>
      </c>
      <c r="B69" s="1007">
        <v>44.0</v>
      </c>
      <c r="C69" s="1008" t="s">
        <v>3677</v>
      </c>
      <c r="D69" s="1009">
        <f>IFERROR(__xludf.DUMMYFUNCTION("SPLIT(C69,""/"")"),26.0)</f>
        <v>26</v>
      </c>
      <c r="E69" s="1010">
        <f>IFERROR(__xludf.DUMMYFUNCTION("""COMPUTED_VALUE"""),44.0)</f>
        <v>44</v>
      </c>
      <c r="F69" s="1008" t="s">
        <v>3678</v>
      </c>
      <c r="G69" s="1009">
        <f>IFERROR(__xludf.DUMMYFUNCTION("SPLIT(F69,""/"")"),4.0)</f>
        <v>4</v>
      </c>
      <c r="H69" s="1010">
        <f>IFERROR(__xludf.DUMMYFUNCTION("""COMPUTED_VALUE"""),44.0)</f>
        <v>44</v>
      </c>
      <c r="I69" s="1007">
        <v>2.0</v>
      </c>
      <c r="J69" s="354">
        <v>100.0</v>
      </c>
      <c r="K69" s="349" t="str">
        <f t="shared" si="1"/>
        <v>100%</v>
      </c>
    </row>
    <row r="70">
      <c r="A70" s="355" t="s">
        <v>1384</v>
      </c>
      <c r="B70" s="1007">
        <v>0.0</v>
      </c>
      <c r="C70" s="1008" t="s">
        <v>3591</v>
      </c>
      <c r="D70" s="1009">
        <f>IFERROR(__xludf.DUMMYFUNCTION("SPLIT(C70,""/"")"),0.0)</f>
        <v>0</v>
      </c>
      <c r="E70" s="1010">
        <f>IFERROR(__xludf.DUMMYFUNCTION("""COMPUTED_VALUE"""),0.0)</f>
        <v>0</v>
      </c>
      <c r="F70" s="1008" t="s">
        <v>3591</v>
      </c>
      <c r="G70" s="1009">
        <f>IFERROR(__xludf.DUMMYFUNCTION("SPLIT(F70,""/"")"),0.0)</f>
        <v>0</v>
      </c>
      <c r="H70" s="1010">
        <f>IFERROR(__xludf.DUMMYFUNCTION("""COMPUTED_VALUE"""),0.0)</f>
        <v>0</v>
      </c>
      <c r="I70" s="1007">
        <v>0.0</v>
      </c>
      <c r="J70" s="354">
        <v>0.0</v>
      </c>
      <c r="K70" s="349" t="str">
        <f t="shared" si="1"/>
        <v>0%</v>
      </c>
    </row>
    <row r="71">
      <c r="A71" s="355" t="s">
        <v>1385</v>
      </c>
      <c r="B71" s="1007">
        <v>11.0</v>
      </c>
      <c r="C71" s="1008" t="s">
        <v>3679</v>
      </c>
      <c r="D71" s="1009">
        <f>IFERROR(__xludf.DUMMYFUNCTION("SPLIT(C71,""/"")"),10.0)</f>
        <v>10</v>
      </c>
      <c r="E71" s="1010">
        <f>IFERROR(__xludf.DUMMYFUNCTION("""COMPUTED_VALUE"""),11.0)</f>
        <v>11</v>
      </c>
      <c r="F71" s="1008" t="s">
        <v>3680</v>
      </c>
      <c r="G71" s="1009">
        <f>IFERROR(__xludf.DUMMYFUNCTION("SPLIT(F71,""/"")"),0.0)</f>
        <v>0</v>
      </c>
      <c r="H71" s="1010">
        <f>IFERROR(__xludf.DUMMYFUNCTION("""COMPUTED_VALUE"""),11.0)</f>
        <v>11</v>
      </c>
      <c r="I71" s="1007">
        <v>3.0</v>
      </c>
      <c r="J71" s="354">
        <v>100.0</v>
      </c>
      <c r="K71" s="349" t="str">
        <f t="shared" si="1"/>
        <v>100%</v>
      </c>
    </row>
    <row r="72">
      <c r="A72" s="355" t="s">
        <v>1386</v>
      </c>
      <c r="B72" s="1007">
        <v>25.0</v>
      </c>
      <c r="C72" s="1008" t="s">
        <v>3681</v>
      </c>
      <c r="D72" s="1009">
        <f>IFERROR(__xludf.DUMMYFUNCTION("SPLIT(C72,""/"")"),8.0)</f>
        <v>8</v>
      </c>
      <c r="E72" s="1010">
        <f>IFERROR(__xludf.DUMMYFUNCTION("""COMPUTED_VALUE"""),25.0)</f>
        <v>25</v>
      </c>
      <c r="F72" s="1008" t="s">
        <v>3645</v>
      </c>
      <c r="G72" s="1009">
        <f>IFERROR(__xludf.DUMMYFUNCTION("SPLIT(F72,""/"")"),12.0)</f>
        <v>12</v>
      </c>
      <c r="H72" s="1010">
        <f>IFERROR(__xludf.DUMMYFUNCTION("""COMPUTED_VALUE"""),25.0)</f>
        <v>25</v>
      </c>
      <c r="I72" s="1007">
        <v>7.0</v>
      </c>
      <c r="J72" s="354">
        <v>43.0</v>
      </c>
      <c r="K72" s="349" t="str">
        <f t="shared" si="1"/>
        <v>43%</v>
      </c>
    </row>
    <row r="73">
      <c r="A73" s="355" t="s">
        <v>1387</v>
      </c>
      <c r="B73" s="1007">
        <v>57.0</v>
      </c>
      <c r="C73" s="1008" t="s">
        <v>3682</v>
      </c>
      <c r="D73" s="1009">
        <f>IFERROR(__xludf.DUMMYFUNCTION("SPLIT(C73,""/"")"),15.0)</f>
        <v>15</v>
      </c>
      <c r="E73" s="1010">
        <f>IFERROR(__xludf.DUMMYFUNCTION("""COMPUTED_VALUE"""),57.0)</f>
        <v>57</v>
      </c>
      <c r="F73" s="1008" t="s">
        <v>3683</v>
      </c>
      <c r="G73" s="1009">
        <f>IFERROR(__xludf.DUMMYFUNCTION("SPLIT(F73,""/"")"),33.0)</f>
        <v>33</v>
      </c>
      <c r="H73" s="1010">
        <f>IFERROR(__xludf.DUMMYFUNCTION("""COMPUTED_VALUE"""),57.0)</f>
        <v>57</v>
      </c>
      <c r="I73" s="1007">
        <v>4.0</v>
      </c>
      <c r="J73" s="354">
        <v>64.0</v>
      </c>
      <c r="K73" s="349" t="str">
        <f t="shared" si="1"/>
        <v>64%</v>
      </c>
    </row>
    <row r="74">
      <c r="A74" s="355" t="s">
        <v>1388</v>
      </c>
      <c r="B74" s="1007">
        <v>3.0</v>
      </c>
      <c r="C74" s="1008" t="s">
        <v>3684</v>
      </c>
      <c r="D74" s="1009">
        <f>IFERROR(__xludf.DUMMYFUNCTION("SPLIT(C74,""/"")"),1.0)</f>
        <v>1</v>
      </c>
      <c r="E74" s="1010">
        <f>IFERROR(__xludf.DUMMYFUNCTION("""COMPUTED_VALUE"""),3.0)</f>
        <v>3</v>
      </c>
      <c r="F74" s="1008" t="s">
        <v>3685</v>
      </c>
      <c r="G74" s="1009">
        <f>IFERROR(__xludf.DUMMYFUNCTION("SPLIT(F74,""/"")"),2.0)</f>
        <v>2</v>
      </c>
      <c r="H74" s="1010">
        <f>IFERROR(__xludf.DUMMYFUNCTION("""COMPUTED_VALUE"""),3.0)</f>
        <v>3</v>
      </c>
      <c r="I74" s="1007">
        <v>1.0</v>
      </c>
      <c r="J74" s="354">
        <v>25.0</v>
      </c>
      <c r="K74" s="349" t="str">
        <f t="shared" si="1"/>
        <v>25%</v>
      </c>
    </row>
    <row r="75">
      <c r="A75" s="355" t="s">
        <v>316</v>
      </c>
      <c r="B75" s="1007">
        <v>29.0</v>
      </c>
      <c r="C75" s="1008" t="s">
        <v>3686</v>
      </c>
      <c r="D75" s="1009">
        <f>IFERROR(__xludf.DUMMYFUNCTION("SPLIT(C75,""/"")"),9.0)</f>
        <v>9</v>
      </c>
      <c r="E75" s="1010">
        <f>IFERROR(__xludf.DUMMYFUNCTION("""COMPUTED_VALUE"""),29.0)</f>
        <v>29</v>
      </c>
      <c r="F75" s="1008" t="s">
        <v>3687</v>
      </c>
      <c r="G75" s="1009">
        <f>IFERROR(__xludf.DUMMYFUNCTION("SPLIT(F75,""/"")"),16.0)</f>
        <v>16</v>
      </c>
      <c r="H75" s="1010">
        <f>IFERROR(__xludf.DUMMYFUNCTION("""COMPUTED_VALUE"""),29.0)</f>
        <v>29</v>
      </c>
      <c r="I75" s="1007">
        <v>6.0</v>
      </c>
      <c r="J75" s="354">
        <v>29.0</v>
      </c>
      <c r="K75" s="349" t="str">
        <f t="shared" si="1"/>
        <v>29%</v>
      </c>
    </row>
    <row r="76">
      <c r="A76" s="355" t="s">
        <v>1389</v>
      </c>
      <c r="B76" s="1007">
        <v>24.0</v>
      </c>
      <c r="C76" s="1008" t="s">
        <v>3688</v>
      </c>
      <c r="D76" s="1009">
        <f>IFERROR(__xludf.DUMMYFUNCTION("SPLIT(C76,""/"")"),11.0)</f>
        <v>11</v>
      </c>
      <c r="E76" s="1010">
        <f>IFERROR(__xludf.DUMMYFUNCTION("""COMPUTED_VALUE"""),24.0)</f>
        <v>24</v>
      </c>
      <c r="F76" s="1008" t="s">
        <v>3689</v>
      </c>
      <c r="G76" s="1009">
        <f>IFERROR(__xludf.DUMMYFUNCTION("SPLIT(F76,""/"")"),9.0)</f>
        <v>9</v>
      </c>
      <c r="H76" s="1010">
        <f>IFERROR(__xludf.DUMMYFUNCTION("""COMPUTED_VALUE"""),24.0)</f>
        <v>24</v>
      </c>
      <c r="I76" s="1007">
        <v>6.0</v>
      </c>
      <c r="J76" s="354">
        <v>23.0</v>
      </c>
      <c r="K76" s="349" t="str">
        <f t="shared" si="1"/>
        <v>23%</v>
      </c>
    </row>
    <row r="77">
      <c r="A77" s="355" t="s">
        <v>647</v>
      </c>
      <c r="B77" s="1007">
        <v>117.0</v>
      </c>
      <c r="C77" s="1008" t="s">
        <v>3690</v>
      </c>
      <c r="D77" s="1009">
        <f>IFERROR(__xludf.DUMMYFUNCTION("SPLIT(C77,""/"")"),30.0)</f>
        <v>30</v>
      </c>
      <c r="E77" s="1010">
        <f>IFERROR(__xludf.DUMMYFUNCTION("""COMPUTED_VALUE"""),117.0)</f>
        <v>117</v>
      </c>
      <c r="F77" s="1008" t="s">
        <v>3691</v>
      </c>
      <c r="G77" s="1009">
        <f>IFERROR(__xludf.DUMMYFUNCTION("SPLIT(F77,""/"")"),36.0)</f>
        <v>36</v>
      </c>
      <c r="H77" s="1010">
        <f>IFERROR(__xludf.DUMMYFUNCTION("""COMPUTED_VALUE"""),117.0)</f>
        <v>117</v>
      </c>
      <c r="I77" s="1007">
        <v>14.0</v>
      </c>
      <c r="J77" s="354">
        <v>57.0</v>
      </c>
      <c r="K77" s="349" t="str">
        <f t="shared" si="1"/>
        <v>57%</v>
      </c>
    </row>
    <row r="78">
      <c r="A78" s="355" t="s">
        <v>119</v>
      </c>
      <c r="B78" s="1007">
        <v>62.0</v>
      </c>
      <c r="C78" s="1008" t="s">
        <v>3692</v>
      </c>
      <c r="D78" s="1009">
        <f>IFERROR(__xludf.DUMMYFUNCTION("SPLIT(C78,""/"")"),39.0)</f>
        <v>39</v>
      </c>
      <c r="E78" s="1010">
        <f>IFERROR(__xludf.DUMMYFUNCTION("""COMPUTED_VALUE"""),62.0)</f>
        <v>62</v>
      </c>
      <c r="F78" s="1008" t="s">
        <v>3693</v>
      </c>
      <c r="G78" s="1009">
        <f>IFERROR(__xludf.DUMMYFUNCTION("SPLIT(F78,""/"")"),4.0)</f>
        <v>4</v>
      </c>
      <c r="H78" s="1010">
        <f>IFERROR(__xludf.DUMMYFUNCTION("""COMPUTED_VALUE"""),62.0)</f>
        <v>62</v>
      </c>
      <c r="I78" s="1007">
        <v>7.0</v>
      </c>
      <c r="J78" s="354">
        <v>33.0</v>
      </c>
      <c r="K78" s="349" t="str">
        <f t="shared" si="1"/>
        <v>33%</v>
      </c>
    </row>
    <row r="79">
      <c r="A79" s="355" t="s">
        <v>273</v>
      </c>
      <c r="B79" s="1007">
        <v>6.0</v>
      </c>
      <c r="C79" s="1008" t="s">
        <v>3506</v>
      </c>
      <c r="D79" s="1009">
        <f>IFERROR(__xludf.DUMMYFUNCTION("SPLIT(C79,""/"")"),3.0)</f>
        <v>3</v>
      </c>
      <c r="E79" s="1010">
        <f>IFERROR(__xludf.DUMMYFUNCTION("""COMPUTED_VALUE"""),6.0)</f>
        <v>6</v>
      </c>
      <c r="F79" s="1008" t="s">
        <v>3506</v>
      </c>
      <c r="G79" s="1009">
        <f>IFERROR(__xludf.DUMMYFUNCTION("SPLIT(F79,""/"")"),3.0)</f>
        <v>3</v>
      </c>
      <c r="H79" s="1010">
        <f>IFERROR(__xludf.DUMMYFUNCTION("""COMPUTED_VALUE"""),6.0)</f>
        <v>6</v>
      </c>
      <c r="I79" s="1007">
        <v>0.0</v>
      </c>
      <c r="J79" s="354">
        <v>59.0</v>
      </c>
      <c r="K79" s="349" t="str">
        <f t="shared" si="1"/>
        <v>59%</v>
      </c>
    </row>
    <row r="80">
      <c r="A80" s="355" t="s">
        <v>648</v>
      </c>
      <c r="B80" s="1007">
        <v>21.0</v>
      </c>
      <c r="C80" s="1008" t="s">
        <v>3694</v>
      </c>
      <c r="D80" s="1009">
        <f>IFERROR(__xludf.DUMMYFUNCTION("SPLIT(C80,""/"")"),4.0)</f>
        <v>4</v>
      </c>
      <c r="E80" s="1010">
        <f>IFERROR(__xludf.DUMMYFUNCTION("""COMPUTED_VALUE"""),21.0)</f>
        <v>21</v>
      </c>
      <c r="F80" s="1008" t="s">
        <v>3602</v>
      </c>
      <c r="G80" s="1009">
        <f>IFERROR(__xludf.DUMMYFUNCTION("SPLIT(F80,""/"")"),7.0)</f>
        <v>7</v>
      </c>
      <c r="H80" s="1010">
        <f>IFERROR(__xludf.DUMMYFUNCTION("""COMPUTED_VALUE"""),21.0)</f>
        <v>21</v>
      </c>
      <c r="I80" s="1007">
        <v>1.0</v>
      </c>
      <c r="J80" s="354">
        <v>55.0</v>
      </c>
      <c r="K80" s="349" t="str">
        <f t="shared" si="1"/>
        <v>55%</v>
      </c>
    </row>
    <row r="81">
      <c r="A81" s="355" t="s">
        <v>654</v>
      </c>
      <c r="B81" s="1007">
        <v>15.0</v>
      </c>
      <c r="C81" s="1008" t="s">
        <v>3695</v>
      </c>
      <c r="D81" s="1009">
        <f>IFERROR(__xludf.DUMMYFUNCTION("SPLIT(C81,""/"")"),9.0)</f>
        <v>9</v>
      </c>
      <c r="E81" s="1010">
        <f>IFERROR(__xludf.DUMMYFUNCTION("""COMPUTED_VALUE"""),15.0)</f>
        <v>15</v>
      </c>
      <c r="F81" s="1008" t="s">
        <v>3696</v>
      </c>
      <c r="G81" s="1009">
        <f>IFERROR(__xludf.DUMMYFUNCTION("SPLIT(F81,""/"")"),4.0)</f>
        <v>4</v>
      </c>
      <c r="H81" s="1010">
        <f>IFERROR(__xludf.DUMMYFUNCTION("""COMPUTED_VALUE"""),15.0)</f>
        <v>15</v>
      </c>
      <c r="I81" s="1007">
        <v>0.0</v>
      </c>
      <c r="J81" s="354">
        <v>100.0</v>
      </c>
      <c r="K81" s="349" t="str">
        <f t="shared" si="1"/>
        <v>100%</v>
      </c>
    </row>
    <row r="82">
      <c r="A82" s="355" t="s">
        <v>178</v>
      </c>
      <c r="B82" s="1007">
        <v>17.0</v>
      </c>
      <c r="C82" s="1008" t="s">
        <v>3697</v>
      </c>
      <c r="D82" s="1009">
        <f>IFERROR(__xludf.DUMMYFUNCTION("SPLIT(C82,""/"")"),6.0)</f>
        <v>6</v>
      </c>
      <c r="E82" s="1010">
        <f>IFERROR(__xludf.DUMMYFUNCTION("""COMPUTED_VALUE"""),17.0)</f>
        <v>17</v>
      </c>
      <c r="F82" s="1008" t="s">
        <v>3698</v>
      </c>
      <c r="G82" s="1009">
        <f>IFERROR(__xludf.DUMMYFUNCTION("SPLIT(F82,""/"")"),9.0)</f>
        <v>9</v>
      </c>
      <c r="H82" s="1010">
        <f>IFERROR(__xludf.DUMMYFUNCTION("""COMPUTED_VALUE"""),17.0)</f>
        <v>17</v>
      </c>
      <c r="I82" s="1007">
        <v>4.0</v>
      </c>
      <c r="J82" s="354">
        <v>33.0</v>
      </c>
      <c r="K82" s="349" t="str">
        <f t="shared" si="1"/>
        <v>33%</v>
      </c>
    </row>
    <row r="83">
      <c r="A83" s="355" t="s">
        <v>1390</v>
      </c>
      <c r="B83" s="1007">
        <v>8.0</v>
      </c>
      <c r="C83" s="1008" t="s">
        <v>3699</v>
      </c>
      <c r="D83" s="1009">
        <f>IFERROR(__xludf.DUMMYFUNCTION("SPLIT(C83,""/"")"),5.0)</f>
        <v>5</v>
      </c>
      <c r="E83" s="1010">
        <f>IFERROR(__xludf.DUMMYFUNCTION("""COMPUTED_VALUE"""),8.0)</f>
        <v>8</v>
      </c>
      <c r="F83" s="1008" t="s">
        <v>3500</v>
      </c>
      <c r="G83" s="1009">
        <f>IFERROR(__xludf.DUMMYFUNCTION("SPLIT(F83,""/"")"),3.0)</f>
        <v>3</v>
      </c>
      <c r="H83" s="1010">
        <f>IFERROR(__xludf.DUMMYFUNCTION("""COMPUTED_VALUE"""),8.0)</f>
        <v>8</v>
      </c>
      <c r="I83" s="1007">
        <v>0.0</v>
      </c>
      <c r="J83" s="354">
        <v>60.0</v>
      </c>
      <c r="K83" s="349" t="str">
        <f t="shared" si="1"/>
        <v>60%</v>
      </c>
    </row>
    <row r="84">
      <c r="A84" s="355" t="s">
        <v>1391</v>
      </c>
      <c r="B84" s="1007">
        <v>24.0</v>
      </c>
      <c r="C84" s="1008" t="s">
        <v>3700</v>
      </c>
      <c r="D84" s="1009">
        <f>IFERROR(__xludf.DUMMYFUNCTION("SPLIT(C84,""/"")"),10.0)</f>
        <v>10</v>
      </c>
      <c r="E84" s="1010">
        <f>IFERROR(__xludf.DUMMYFUNCTION("""COMPUTED_VALUE"""),24.0)</f>
        <v>24</v>
      </c>
      <c r="F84" s="1008" t="s">
        <v>3701</v>
      </c>
      <c r="G84" s="1009">
        <f>IFERROR(__xludf.DUMMYFUNCTION("SPLIT(F84,""/"")"),6.0)</f>
        <v>6</v>
      </c>
      <c r="H84" s="1010">
        <f>IFERROR(__xludf.DUMMYFUNCTION("""COMPUTED_VALUE"""),24.0)</f>
        <v>24</v>
      </c>
      <c r="I84" s="1007">
        <v>14.0</v>
      </c>
      <c r="J84" s="354">
        <v>22.0</v>
      </c>
      <c r="K84" s="349" t="str">
        <f t="shared" si="1"/>
        <v>22%</v>
      </c>
    </row>
    <row r="85">
      <c r="A85" s="355" t="s">
        <v>1870</v>
      </c>
      <c r="B85" s="1036">
        <v>3678.0</v>
      </c>
      <c r="C85" s="1008" t="s">
        <v>3702</v>
      </c>
      <c r="D85" s="1037">
        <f>IFERROR(__xludf.DUMMYFUNCTION("SPLIT(C85,""/"")"),1535.0)</f>
        <v>1535</v>
      </c>
      <c r="E85" s="1038">
        <f>IFERROR(__xludf.DUMMYFUNCTION("""COMPUTED_VALUE"""),3678.0)</f>
        <v>3678</v>
      </c>
      <c r="F85" s="1008" t="s">
        <v>3703</v>
      </c>
      <c r="G85" s="1037">
        <f>IFERROR(__xludf.DUMMYFUNCTION("SPLIT(F85,""/"")"),1246.0)</f>
        <v>1246</v>
      </c>
      <c r="H85" s="1038">
        <f>IFERROR(__xludf.DUMMYFUNCTION("""COMPUTED_VALUE"""),3678.0)</f>
        <v>3678</v>
      </c>
      <c r="I85" s="1007">
        <v>527.0</v>
      </c>
      <c r="J85" s="354">
        <v>43.0</v>
      </c>
      <c r="K85" s="349" t="str">
        <f t="shared" si="1"/>
        <v>43%</v>
      </c>
    </row>
    <row r="86">
      <c r="B86" s="1039"/>
      <c r="C86" s="1039"/>
      <c r="D86" s="1039"/>
      <c r="E86" s="1039"/>
      <c r="F86" s="1039"/>
      <c r="G86" s="1039"/>
      <c r="H86" s="1039"/>
      <c r="I86" s="1039"/>
    </row>
    <row r="87">
      <c r="B87" s="1039"/>
      <c r="C87" s="1039"/>
      <c r="D87" s="1039"/>
      <c r="E87" s="1039"/>
      <c r="F87" s="1039"/>
      <c r="G87" s="1039"/>
      <c r="H87" s="1039"/>
      <c r="I87" s="1039"/>
    </row>
    <row r="88">
      <c r="B88" s="1039"/>
      <c r="C88" s="1039"/>
      <c r="D88" s="1039"/>
      <c r="E88" s="1039"/>
      <c r="F88" s="1039"/>
      <c r="G88" s="1039"/>
      <c r="H88" s="1039"/>
      <c r="I88" s="1039"/>
    </row>
    <row r="89">
      <c r="B89" s="1039"/>
      <c r="C89" s="1039"/>
      <c r="D89" s="1039"/>
      <c r="E89" s="1039"/>
      <c r="F89" s="1039"/>
      <c r="G89" s="1039"/>
      <c r="H89" s="1039"/>
      <c r="I89" s="1039"/>
    </row>
    <row r="90">
      <c r="B90" s="1039"/>
      <c r="C90" s="1039"/>
      <c r="D90" s="1039"/>
      <c r="E90" s="1039"/>
      <c r="F90" s="1039"/>
      <c r="G90" s="1039"/>
      <c r="H90" s="1039"/>
      <c r="I90" s="1039"/>
    </row>
    <row r="91">
      <c r="B91" s="1039"/>
      <c r="C91" s="1039"/>
      <c r="D91" s="1039"/>
      <c r="E91" s="1039"/>
      <c r="F91" s="1039"/>
      <c r="G91" s="1039"/>
      <c r="H91" s="1039"/>
      <c r="I91" s="1039"/>
    </row>
    <row r="92">
      <c r="B92" s="1039"/>
      <c r="C92" s="1039"/>
      <c r="D92" s="1039"/>
      <c r="E92" s="1039"/>
      <c r="F92" s="1039"/>
      <c r="G92" s="1039"/>
      <c r="H92" s="1039"/>
      <c r="I92" s="1039"/>
    </row>
    <row r="93">
      <c r="B93" s="1039"/>
      <c r="C93" s="1039"/>
      <c r="D93" s="1039"/>
      <c r="E93" s="1039"/>
      <c r="F93" s="1039"/>
      <c r="G93" s="1039"/>
      <c r="H93" s="1039"/>
      <c r="I93" s="1039"/>
    </row>
    <row r="94">
      <c r="B94" s="1039"/>
      <c r="C94" s="1039"/>
      <c r="D94" s="1039"/>
      <c r="E94" s="1039"/>
      <c r="F94" s="1039"/>
      <c r="G94" s="1039"/>
      <c r="H94" s="1039"/>
      <c r="I94" s="1039"/>
    </row>
    <row r="95">
      <c r="B95" s="1039"/>
      <c r="C95" s="1039"/>
      <c r="D95" s="1039"/>
      <c r="E95" s="1039"/>
      <c r="F95" s="1039"/>
      <c r="G95" s="1039"/>
      <c r="H95" s="1039"/>
      <c r="I95" s="1039"/>
    </row>
    <row r="96">
      <c r="B96" s="1039"/>
      <c r="C96" s="1039"/>
      <c r="D96" s="1039"/>
      <c r="E96" s="1039"/>
      <c r="F96" s="1039"/>
      <c r="G96" s="1039"/>
      <c r="H96" s="1039"/>
      <c r="I96" s="1039"/>
    </row>
    <row r="97">
      <c r="B97" s="1039"/>
      <c r="C97" s="1039"/>
      <c r="D97" s="1039"/>
      <c r="E97" s="1039"/>
      <c r="F97" s="1039"/>
      <c r="G97" s="1039"/>
      <c r="H97" s="1039"/>
      <c r="I97" s="1039"/>
    </row>
    <row r="98">
      <c r="B98" s="1039"/>
      <c r="C98" s="1039"/>
      <c r="D98" s="1039"/>
      <c r="E98" s="1039"/>
      <c r="F98" s="1039"/>
      <c r="G98" s="1039"/>
      <c r="H98" s="1039"/>
      <c r="I98" s="1039"/>
    </row>
    <row r="99">
      <c r="B99" s="1039"/>
      <c r="C99" s="1039"/>
      <c r="D99" s="1039"/>
      <c r="E99" s="1039"/>
      <c r="F99" s="1039"/>
      <c r="G99" s="1039"/>
      <c r="H99" s="1039"/>
      <c r="I99" s="1039"/>
    </row>
    <row r="100">
      <c r="B100" s="1039"/>
      <c r="C100" s="1039"/>
      <c r="D100" s="1039"/>
      <c r="E100" s="1039"/>
      <c r="F100" s="1039"/>
      <c r="G100" s="1039"/>
      <c r="H100" s="1039"/>
      <c r="I100" s="1039"/>
    </row>
    <row r="101">
      <c r="B101" s="1039"/>
      <c r="C101" s="1039"/>
      <c r="D101" s="1039"/>
      <c r="E101" s="1039"/>
      <c r="F101" s="1039"/>
      <c r="G101" s="1039"/>
      <c r="H101" s="1039"/>
      <c r="I101" s="1039"/>
    </row>
    <row r="102">
      <c r="B102" s="1039"/>
      <c r="C102" s="1039"/>
      <c r="D102" s="1039"/>
      <c r="E102" s="1039"/>
      <c r="F102" s="1039"/>
      <c r="G102" s="1039"/>
      <c r="H102" s="1039"/>
      <c r="I102" s="1039"/>
    </row>
    <row r="103">
      <c r="B103" s="1039"/>
      <c r="C103" s="1039"/>
      <c r="D103" s="1039"/>
      <c r="E103" s="1039"/>
      <c r="F103" s="1039"/>
      <c r="G103" s="1039"/>
      <c r="H103" s="1039"/>
      <c r="I103" s="1039"/>
    </row>
    <row r="104">
      <c r="B104" s="1039"/>
      <c r="C104" s="1039"/>
      <c r="D104" s="1039"/>
      <c r="E104" s="1039"/>
      <c r="F104" s="1039"/>
      <c r="G104" s="1039"/>
      <c r="H104" s="1039"/>
      <c r="I104" s="1039"/>
    </row>
    <row r="105">
      <c r="B105" s="1039"/>
      <c r="C105" s="1039"/>
      <c r="D105" s="1039"/>
      <c r="E105" s="1039"/>
      <c r="F105" s="1039"/>
      <c r="G105" s="1039"/>
      <c r="H105" s="1039"/>
      <c r="I105" s="1039"/>
    </row>
    <row r="106">
      <c r="B106" s="1039"/>
      <c r="C106" s="1039"/>
      <c r="D106" s="1039"/>
      <c r="E106" s="1039"/>
      <c r="F106" s="1039"/>
      <c r="G106" s="1039"/>
      <c r="H106" s="1039"/>
      <c r="I106" s="1039"/>
    </row>
    <row r="107">
      <c r="B107" s="1039"/>
      <c r="C107" s="1039"/>
      <c r="D107" s="1039"/>
      <c r="E107" s="1039"/>
      <c r="F107" s="1039"/>
      <c r="G107" s="1039"/>
      <c r="H107" s="1039"/>
      <c r="I107" s="1039"/>
    </row>
    <row r="108">
      <c r="B108" s="1039"/>
      <c r="C108" s="1039"/>
      <c r="D108" s="1039"/>
      <c r="E108" s="1039"/>
      <c r="F108" s="1039"/>
      <c r="G108" s="1039"/>
      <c r="H108" s="1039"/>
      <c r="I108" s="1039"/>
    </row>
    <row r="109">
      <c r="B109" s="1039"/>
      <c r="C109" s="1039"/>
      <c r="D109" s="1039"/>
      <c r="E109" s="1039"/>
      <c r="F109" s="1039"/>
      <c r="G109" s="1039"/>
      <c r="H109" s="1039"/>
      <c r="I109" s="1039"/>
    </row>
    <row r="110">
      <c r="B110" s="1039"/>
      <c r="C110" s="1039"/>
      <c r="D110" s="1039"/>
      <c r="E110" s="1039"/>
      <c r="F110" s="1039"/>
      <c r="G110" s="1039"/>
      <c r="H110" s="1039"/>
      <c r="I110" s="1039"/>
    </row>
    <row r="111">
      <c r="B111" s="1039"/>
      <c r="C111" s="1039"/>
      <c r="D111" s="1039"/>
      <c r="E111" s="1039"/>
      <c r="F111" s="1039"/>
      <c r="G111" s="1039"/>
      <c r="H111" s="1039"/>
      <c r="I111" s="1039"/>
    </row>
    <row r="112">
      <c r="B112" s="1039"/>
      <c r="C112" s="1039"/>
      <c r="D112" s="1039"/>
      <c r="E112" s="1039"/>
      <c r="F112" s="1039"/>
      <c r="G112" s="1039"/>
      <c r="H112" s="1039"/>
      <c r="I112" s="1039"/>
    </row>
    <row r="113">
      <c r="B113" s="1039"/>
      <c r="C113" s="1039"/>
      <c r="D113" s="1039"/>
      <c r="E113" s="1039"/>
      <c r="F113" s="1039"/>
      <c r="G113" s="1039"/>
      <c r="H113" s="1039"/>
      <c r="I113" s="1039"/>
    </row>
    <row r="114">
      <c r="B114" s="1039"/>
      <c r="C114" s="1039"/>
      <c r="D114" s="1039"/>
      <c r="E114" s="1039"/>
      <c r="F114" s="1039"/>
      <c r="G114" s="1039"/>
      <c r="H114" s="1039"/>
      <c r="I114" s="1039"/>
    </row>
    <row r="115">
      <c r="B115" s="1039"/>
      <c r="C115" s="1039"/>
      <c r="D115" s="1039"/>
      <c r="E115" s="1039"/>
      <c r="F115" s="1039"/>
      <c r="G115" s="1039"/>
      <c r="H115" s="1039"/>
      <c r="I115" s="1039"/>
    </row>
    <row r="116">
      <c r="B116" s="1039"/>
      <c r="C116" s="1039"/>
      <c r="D116" s="1039"/>
      <c r="E116" s="1039"/>
      <c r="F116" s="1039"/>
      <c r="G116" s="1039"/>
      <c r="H116" s="1039"/>
      <c r="I116" s="1039"/>
    </row>
    <row r="117">
      <c r="B117" s="1039"/>
      <c r="C117" s="1039"/>
      <c r="D117" s="1039"/>
      <c r="E117" s="1039"/>
      <c r="F117" s="1039"/>
      <c r="G117" s="1039"/>
      <c r="H117" s="1039"/>
      <c r="I117" s="1039"/>
    </row>
    <row r="118">
      <c r="B118" s="1039"/>
      <c r="C118" s="1039"/>
      <c r="D118" s="1039"/>
      <c r="E118" s="1039"/>
      <c r="F118" s="1039"/>
      <c r="G118" s="1039"/>
      <c r="H118" s="1039"/>
      <c r="I118" s="1039"/>
    </row>
    <row r="119">
      <c r="B119" s="1039"/>
      <c r="C119" s="1039"/>
      <c r="D119" s="1039"/>
      <c r="E119" s="1039"/>
      <c r="F119" s="1039"/>
      <c r="G119" s="1039"/>
      <c r="H119" s="1039"/>
      <c r="I119" s="1039"/>
    </row>
    <row r="120">
      <c r="B120" s="1039"/>
      <c r="C120" s="1039"/>
      <c r="D120" s="1039"/>
      <c r="E120" s="1039"/>
      <c r="F120" s="1039"/>
      <c r="G120" s="1039"/>
      <c r="H120" s="1039"/>
      <c r="I120" s="1039"/>
    </row>
    <row r="121">
      <c r="B121" s="1039"/>
      <c r="C121" s="1039"/>
      <c r="D121" s="1039"/>
      <c r="E121" s="1039"/>
      <c r="F121" s="1039"/>
      <c r="G121" s="1039"/>
      <c r="H121" s="1039"/>
      <c r="I121" s="1039"/>
    </row>
    <row r="122">
      <c r="B122" s="1039"/>
      <c r="C122" s="1039"/>
      <c r="D122" s="1039"/>
      <c r="E122" s="1039"/>
      <c r="F122" s="1039"/>
      <c r="G122" s="1039"/>
      <c r="H122" s="1039"/>
      <c r="I122" s="1039"/>
    </row>
    <row r="123">
      <c r="B123" s="1039"/>
      <c r="C123" s="1039"/>
      <c r="D123" s="1039"/>
      <c r="E123" s="1039"/>
      <c r="F123" s="1039"/>
      <c r="G123" s="1039"/>
      <c r="H123" s="1039"/>
      <c r="I123" s="1039"/>
    </row>
    <row r="124">
      <c r="B124" s="1039"/>
      <c r="C124" s="1039"/>
      <c r="D124" s="1039"/>
      <c r="E124" s="1039"/>
      <c r="F124" s="1039"/>
      <c r="G124" s="1039"/>
      <c r="H124" s="1039"/>
      <c r="I124" s="1039"/>
    </row>
    <row r="125">
      <c r="B125" s="1039"/>
      <c r="C125" s="1039"/>
      <c r="D125" s="1039"/>
      <c r="E125" s="1039"/>
      <c r="F125" s="1039"/>
      <c r="G125" s="1039"/>
      <c r="H125" s="1039"/>
      <c r="I125" s="1039"/>
    </row>
    <row r="126">
      <c r="B126" s="1039"/>
      <c r="C126" s="1039"/>
      <c r="D126" s="1039"/>
      <c r="E126" s="1039"/>
      <c r="F126" s="1039"/>
      <c r="G126" s="1039"/>
      <c r="H126" s="1039"/>
      <c r="I126" s="1039"/>
    </row>
    <row r="127">
      <c r="B127" s="1039"/>
      <c r="C127" s="1039"/>
      <c r="D127" s="1039"/>
      <c r="E127" s="1039"/>
      <c r="F127" s="1039"/>
      <c r="G127" s="1039"/>
      <c r="H127" s="1039"/>
      <c r="I127" s="1039"/>
    </row>
    <row r="128">
      <c r="B128" s="1039"/>
      <c r="C128" s="1039"/>
      <c r="D128" s="1039"/>
      <c r="E128" s="1039"/>
      <c r="F128" s="1039"/>
      <c r="G128" s="1039"/>
      <c r="H128" s="1039"/>
      <c r="I128" s="1039"/>
    </row>
    <row r="129">
      <c r="B129" s="1039"/>
      <c r="C129" s="1039"/>
      <c r="D129" s="1039"/>
      <c r="E129" s="1039"/>
      <c r="F129" s="1039"/>
      <c r="G129" s="1039"/>
      <c r="H129" s="1039"/>
      <c r="I129" s="1039"/>
    </row>
    <row r="130">
      <c r="B130" s="1039"/>
      <c r="C130" s="1039"/>
      <c r="D130" s="1039"/>
      <c r="E130" s="1039"/>
      <c r="F130" s="1039"/>
      <c r="G130" s="1039"/>
      <c r="H130" s="1039"/>
      <c r="I130" s="1039"/>
    </row>
    <row r="131">
      <c r="B131" s="1039"/>
      <c r="C131" s="1039"/>
      <c r="D131" s="1039"/>
      <c r="E131" s="1039"/>
      <c r="F131" s="1039"/>
      <c r="G131" s="1039"/>
      <c r="H131" s="1039"/>
      <c r="I131" s="1039"/>
    </row>
    <row r="132">
      <c r="B132" s="1039"/>
      <c r="C132" s="1039"/>
      <c r="D132" s="1039"/>
      <c r="E132" s="1039"/>
      <c r="F132" s="1039"/>
      <c r="G132" s="1039"/>
      <c r="H132" s="1039"/>
      <c r="I132" s="1039"/>
    </row>
    <row r="133">
      <c r="B133" s="1039"/>
      <c r="C133" s="1039"/>
      <c r="D133" s="1039"/>
      <c r="E133" s="1039"/>
      <c r="F133" s="1039"/>
      <c r="G133" s="1039"/>
      <c r="H133" s="1039"/>
      <c r="I133" s="1039"/>
    </row>
    <row r="134">
      <c r="B134" s="1039"/>
      <c r="C134" s="1039"/>
      <c r="D134" s="1039"/>
      <c r="E134" s="1039"/>
      <c r="F134" s="1039"/>
      <c r="G134" s="1039"/>
      <c r="H134" s="1039"/>
      <c r="I134" s="1039"/>
    </row>
    <row r="135">
      <c r="B135" s="1039"/>
      <c r="C135" s="1039"/>
      <c r="D135" s="1039"/>
      <c r="E135" s="1039"/>
      <c r="F135" s="1039"/>
      <c r="G135" s="1039"/>
      <c r="H135" s="1039"/>
      <c r="I135" s="1039"/>
    </row>
    <row r="136">
      <c r="B136" s="1039"/>
      <c r="C136" s="1039"/>
      <c r="D136" s="1039"/>
      <c r="E136" s="1039"/>
      <c r="F136" s="1039"/>
      <c r="G136" s="1039"/>
      <c r="H136" s="1039"/>
      <c r="I136" s="1039"/>
    </row>
    <row r="137">
      <c r="B137" s="1039"/>
      <c r="C137" s="1039"/>
      <c r="D137" s="1039"/>
      <c r="E137" s="1039"/>
      <c r="F137" s="1039"/>
      <c r="G137" s="1039"/>
      <c r="H137" s="1039"/>
      <c r="I137" s="1039"/>
    </row>
    <row r="138">
      <c r="B138" s="1039"/>
      <c r="C138" s="1039"/>
      <c r="D138" s="1039"/>
      <c r="E138" s="1039"/>
      <c r="F138" s="1039"/>
      <c r="G138" s="1039"/>
      <c r="H138" s="1039"/>
      <c r="I138" s="1039"/>
    </row>
    <row r="139">
      <c r="B139" s="1039"/>
      <c r="C139" s="1039"/>
      <c r="D139" s="1039"/>
      <c r="E139" s="1039"/>
      <c r="F139" s="1039"/>
      <c r="G139" s="1039"/>
      <c r="H139" s="1039"/>
      <c r="I139" s="1039"/>
    </row>
    <row r="140">
      <c r="B140" s="1039"/>
      <c r="C140" s="1039"/>
      <c r="D140" s="1039"/>
      <c r="E140" s="1039"/>
      <c r="F140" s="1039"/>
      <c r="G140" s="1039"/>
      <c r="H140" s="1039"/>
      <c r="I140" s="1039"/>
    </row>
    <row r="141">
      <c r="B141" s="1039"/>
      <c r="C141" s="1039"/>
      <c r="D141" s="1039"/>
      <c r="E141" s="1039"/>
      <c r="F141" s="1039"/>
      <c r="G141" s="1039"/>
      <c r="H141" s="1039"/>
      <c r="I141" s="1039"/>
    </row>
    <row r="142">
      <c r="B142" s="1039"/>
      <c r="C142" s="1039"/>
      <c r="D142" s="1039"/>
      <c r="E142" s="1039"/>
      <c r="F142" s="1039"/>
      <c r="G142" s="1039"/>
      <c r="H142" s="1039"/>
      <c r="I142" s="1039"/>
    </row>
    <row r="143">
      <c r="B143" s="1039"/>
      <c r="C143" s="1039"/>
      <c r="D143" s="1039"/>
      <c r="E143" s="1039"/>
      <c r="F143" s="1039"/>
      <c r="G143" s="1039"/>
      <c r="H143" s="1039"/>
      <c r="I143" s="1039"/>
    </row>
    <row r="144">
      <c r="B144" s="1039"/>
      <c r="C144" s="1039"/>
      <c r="D144" s="1039"/>
      <c r="E144" s="1039"/>
      <c r="F144" s="1039"/>
      <c r="G144" s="1039"/>
      <c r="H144" s="1039"/>
      <c r="I144" s="1039"/>
    </row>
    <row r="145">
      <c r="B145" s="1039"/>
      <c r="C145" s="1039"/>
      <c r="D145" s="1039"/>
      <c r="E145" s="1039"/>
      <c r="F145" s="1039"/>
      <c r="G145" s="1039"/>
      <c r="H145" s="1039"/>
      <c r="I145" s="1039"/>
    </row>
    <row r="146">
      <c r="B146" s="1039"/>
      <c r="C146" s="1039"/>
      <c r="D146" s="1039"/>
      <c r="E146" s="1039"/>
      <c r="F146" s="1039"/>
      <c r="G146" s="1039"/>
      <c r="H146" s="1039"/>
      <c r="I146" s="1039"/>
    </row>
    <row r="147">
      <c r="B147" s="1039"/>
      <c r="C147" s="1039"/>
      <c r="D147" s="1039"/>
      <c r="E147" s="1039"/>
      <c r="F147" s="1039"/>
      <c r="G147" s="1039"/>
      <c r="H147" s="1039"/>
      <c r="I147" s="1039"/>
    </row>
    <row r="148">
      <c r="B148" s="1039"/>
      <c r="C148" s="1039"/>
      <c r="D148" s="1039"/>
      <c r="E148" s="1039"/>
      <c r="F148" s="1039"/>
      <c r="G148" s="1039"/>
      <c r="H148" s="1039"/>
      <c r="I148" s="1039"/>
    </row>
    <row r="149">
      <c r="B149" s="1039"/>
      <c r="C149" s="1039"/>
      <c r="D149" s="1039"/>
      <c r="E149" s="1039"/>
      <c r="F149" s="1039"/>
      <c r="G149" s="1039"/>
      <c r="H149" s="1039"/>
      <c r="I149" s="1039"/>
    </row>
    <row r="150">
      <c r="B150" s="1039"/>
      <c r="C150" s="1039"/>
      <c r="D150" s="1039"/>
      <c r="E150" s="1039"/>
      <c r="F150" s="1039"/>
      <c r="G150" s="1039"/>
      <c r="H150" s="1039"/>
      <c r="I150" s="1039"/>
    </row>
    <row r="151">
      <c r="B151" s="1039"/>
      <c r="C151" s="1039"/>
      <c r="D151" s="1039"/>
      <c r="E151" s="1039"/>
      <c r="F151" s="1039"/>
      <c r="G151" s="1039"/>
      <c r="H151" s="1039"/>
      <c r="I151" s="1039"/>
    </row>
    <row r="152">
      <c r="B152" s="1039"/>
      <c r="C152" s="1039"/>
      <c r="D152" s="1039"/>
      <c r="E152" s="1039"/>
      <c r="F152" s="1039"/>
      <c r="G152" s="1039"/>
      <c r="H152" s="1039"/>
      <c r="I152" s="1039"/>
    </row>
    <row r="153">
      <c r="B153" s="1039"/>
      <c r="C153" s="1039"/>
      <c r="D153" s="1039"/>
      <c r="E153" s="1039"/>
      <c r="F153" s="1039"/>
      <c r="G153" s="1039"/>
      <c r="H153" s="1039"/>
      <c r="I153" s="1039"/>
    </row>
    <row r="154">
      <c r="B154" s="1039"/>
      <c r="C154" s="1039"/>
      <c r="D154" s="1039"/>
      <c r="E154" s="1039"/>
      <c r="F154" s="1039"/>
      <c r="G154" s="1039"/>
      <c r="H154" s="1039"/>
      <c r="I154" s="1039"/>
    </row>
    <row r="155">
      <c r="B155" s="1039"/>
      <c r="C155" s="1039"/>
      <c r="D155" s="1039"/>
      <c r="E155" s="1039"/>
      <c r="F155" s="1039"/>
      <c r="G155" s="1039"/>
      <c r="H155" s="1039"/>
      <c r="I155" s="1039"/>
    </row>
    <row r="156">
      <c r="B156" s="1039"/>
      <c r="C156" s="1039"/>
      <c r="D156" s="1039"/>
      <c r="E156" s="1039"/>
      <c r="F156" s="1039"/>
      <c r="G156" s="1039"/>
      <c r="H156" s="1039"/>
      <c r="I156" s="1039"/>
    </row>
    <row r="157">
      <c r="B157" s="1039"/>
      <c r="C157" s="1039"/>
      <c r="D157" s="1039"/>
      <c r="E157" s="1039"/>
      <c r="F157" s="1039"/>
      <c r="G157" s="1039"/>
      <c r="H157" s="1039"/>
      <c r="I157" s="1039"/>
    </row>
    <row r="158">
      <c r="B158" s="1039"/>
      <c r="C158" s="1039"/>
      <c r="D158" s="1039"/>
      <c r="E158" s="1039"/>
      <c r="F158" s="1039"/>
      <c r="G158" s="1039"/>
      <c r="H158" s="1039"/>
      <c r="I158" s="1039"/>
    </row>
    <row r="159">
      <c r="B159" s="1039"/>
      <c r="C159" s="1039"/>
      <c r="D159" s="1039"/>
      <c r="E159" s="1039"/>
      <c r="F159" s="1039"/>
      <c r="G159" s="1039"/>
      <c r="H159" s="1039"/>
      <c r="I159" s="1039"/>
    </row>
    <row r="160">
      <c r="B160" s="1039"/>
      <c r="C160" s="1039"/>
      <c r="D160" s="1039"/>
      <c r="E160" s="1039"/>
      <c r="F160" s="1039"/>
      <c r="G160" s="1039"/>
      <c r="H160" s="1039"/>
      <c r="I160" s="1039"/>
    </row>
    <row r="161">
      <c r="B161" s="1039"/>
      <c r="C161" s="1039"/>
      <c r="D161" s="1039"/>
      <c r="E161" s="1039"/>
      <c r="F161" s="1039"/>
      <c r="G161" s="1039"/>
      <c r="H161" s="1039"/>
      <c r="I161" s="1039"/>
    </row>
    <row r="162">
      <c r="B162" s="1039"/>
      <c r="C162" s="1039"/>
      <c r="D162" s="1039"/>
      <c r="E162" s="1039"/>
      <c r="F162" s="1039"/>
      <c r="G162" s="1039"/>
      <c r="H162" s="1039"/>
      <c r="I162" s="1039"/>
    </row>
    <row r="163">
      <c r="B163" s="1039"/>
      <c r="C163" s="1039"/>
      <c r="D163" s="1039"/>
      <c r="E163" s="1039"/>
      <c r="F163" s="1039"/>
      <c r="G163" s="1039"/>
      <c r="H163" s="1039"/>
      <c r="I163" s="1039"/>
    </row>
    <row r="164">
      <c r="B164" s="1039"/>
      <c r="C164" s="1039"/>
      <c r="D164" s="1039"/>
      <c r="E164" s="1039"/>
      <c r="F164" s="1039"/>
      <c r="G164" s="1039"/>
      <c r="H164" s="1039"/>
      <c r="I164" s="1039"/>
    </row>
    <row r="165">
      <c r="B165" s="1039"/>
      <c r="C165" s="1039"/>
      <c r="D165" s="1039"/>
      <c r="E165" s="1039"/>
      <c r="F165" s="1039"/>
      <c r="G165" s="1039"/>
      <c r="H165" s="1039"/>
      <c r="I165" s="1039"/>
    </row>
    <row r="166">
      <c r="B166" s="1039"/>
      <c r="C166" s="1039"/>
      <c r="D166" s="1039"/>
      <c r="E166" s="1039"/>
      <c r="F166" s="1039"/>
      <c r="G166" s="1039"/>
      <c r="H166" s="1039"/>
      <c r="I166" s="1039"/>
    </row>
    <row r="167">
      <c r="B167" s="1039"/>
      <c r="C167" s="1039"/>
      <c r="D167" s="1039"/>
      <c r="E167" s="1039"/>
      <c r="F167" s="1039"/>
      <c r="G167" s="1039"/>
      <c r="H167" s="1039"/>
      <c r="I167" s="1039"/>
    </row>
    <row r="168">
      <c r="B168" s="1039"/>
      <c r="C168" s="1039"/>
      <c r="D168" s="1039"/>
      <c r="E168" s="1039"/>
      <c r="F168" s="1039"/>
      <c r="G168" s="1039"/>
      <c r="H168" s="1039"/>
      <c r="I168" s="1039"/>
    </row>
    <row r="169">
      <c r="B169" s="1039"/>
      <c r="C169" s="1039"/>
      <c r="D169" s="1039"/>
      <c r="E169" s="1039"/>
      <c r="F169" s="1039"/>
      <c r="G169" s="1039"/>
      <c r="H169" s="1039"/>
      <c r="I169" s="1039"/>
    </row>
    <row r="170">
      <c r="B170" s="1039"/>
      <c r="C170" s="1039"/>
      <c r="D170" s="1039"/>
      <c r="E170" s="1039"/>
      <c r="F170" s="1039"/>
      <c r="G170" s="1039"/>
      <c r="H170" s="1039"/>
      <c r="I170" s="1039"/>
    </row>
    <row r="171">
      <c r="B171" s="1039"/>
      <c r="C171" s="1039"/>
      <c r="D171" s="1039"/>
      <c r="E171" s="1039"/>
      <c r="F171" s="1039"/>
      <c r="G171" s="1039"/>
      <c r="H171" s="1039"/>
      <c r="I171" s="1039"/>
    </row>
    <row r="172">
      <c r="B172" s="1039"/>
      <c r="C172" s="1039"/>
      <c r="D172" s="1039"/>
      <c r="E172" s="1039"/>
      <c r="F172" s="1039"/>
      <c r="G172" s="1039"/>
      <c r="H172" s="1039"/>
      <c r="I172" s="1039"/>
    </row>
    <row r="173">
      <c r="B173" s="1039"/>
      <c r="C173" s="1039"/>
      <c r="D173" s="1039"/>
      <c r="E173" s="1039"/>
      <c r="F173" s="1039"/>
      <c r="G173" s="1039"/>
      <c r="H173" s="1039"/>
      <c r="I173" s="1039"/>
    </row>
    <row r="174">
      <c r="B174" s="1039"/>
      <c r="C174" s="1039"/>
      <c r="D174" s="1039"/>
      <c r="E174" s="1039"/>
      <c r="F174" s="1039"/>
      <c r="G174" s="1039"/>
      <c r="H174" s="1039"/>
      <c r="I174" s="1039"/>
    </row>
    <row r="175">
      <c r="B175" s="1039"/>
      <c r="C175" s="1039"/>
      <c r="D175" s="1039"/>
      <c r="E175" s="1039"/>
      <c r="F175" s="1039"/>
      <c r="G175" s="1039"/>
      <c r="H175" s="1039"/>
      <c r="I175" s="1039"/>
    </row>
    <row r="176">
      <c r="B176" s="1039"/>
      <c r="C176" s="1039"/>
      <c r="D176" s="1039"/>
      <c r="E176" s="1039"/>
      <c r="F176" s="1039"/>
      <c r="G176" s="1039"/>
      <c r="H176" s="1039"/>
      <c r="I176" s="1039"/>
    </row>
    <row r="177">
      <c r="B177" s="1039"/>
      <c r="C177" s="1039"/>
      <c r="D177" s="1039"/>
      <c r="E177" s="1039"/>
      <c r="F177" s="1039"/>
      <c r="G177" s="1039"/>
      <c r="H177" s="1039"/>
      <c r="I177" s="1039"/>
    </row>
    <row r="178">
      <c r="B178" s="1039"/>
      <c r="C178" s="1039"/>
      <c r="D178" s="1039"/>
      <c r="E178" s="1039"/>
      <c r="F178" s="1039"/>
      <c r="G178" s="1039"/>
      <c r="H178" s="1039"/>
      <c r="I178" s="1039"/>
    </row>
    <row r="179">
      <c r="B179" s="1039"/>
      <c r="C179" s="1039"/>
      <c r="D179" s="1039"/>
      <c r="E179" s="1039"/>
      <c r="F179" s="1039"/>
      <c r="G179" s="1039"/>
      <c r="H179" s="1039"/>
      <c r="I179" s="1039"/>
    </row>
    <row r="180">
      <c r="B180" s="1039"/>
      <c r="C180" s="1039"/>
      <c r="D180" s="1039"/>
      <c r="E180" s="1039"/>
      <c r="F180" s="1039"/>
      <c r="G180" s="1039"/>
      <c r="H180" s="1039"/>
      <c r="I180" s="1039"/>
    </row>
    <row r="181">
      <c r="B181" s="1039"/>
      <c r="C181" s="1039"/>
      <c r="D181" s="1039"/>
      <c r="E181" s="1039"/>
      <c r="F181" s="1039"/>
      <c r="G181" s="1039"/>
      <c r="H181" s="1039"/>
      <c r="I181" s="1039"/>
    </row>
    <row r="182">
      <c r="B182" s="1039"/>
      <c r="C182" s="1039"/>
      <c r="D182" s="1039"/>
      <c r="E182" s="1039"/>
      <c r="F182" s="1039"/>
      <c r="G182" s="1039"/>
      <c r="H182" s="1039"/>
      <c r="I182" s="1039"/>
    </row>
    <row r="183">
      <c r="B183" s="1039"/>
      <c r="C183" s="1039"/>
      <c r="D183" s="1039"/>
      <c r="E183" s="1039"/>
      <c r="F183" s="1039"/>
      <c r="G183" s="1039"/>
      <c r="H183" s="1039"/>
      <c r="I183" s="1039"/>
    </row>
    <row r="184">
      <c r="B184" s="1039"/>
      <c r="C184" s="1039"/>
      <c r="D184" s="1039"/>
      <c r="E184" s="1039"/>
      <c r="F184" s="1039"/>
      <c r="G184" s="1039"/>
      <c r="H184" s="1039"/>
      <c r="I184" s="1039"/>
    </row>
    <row r="185">
      <c r="B185" s="1039"/>
      <c r="C185" s="1039"/>
      <c r="D185" s="1039"/>
      <c r="E185" s="1039"/>
      <c r="F185" s="1039"/>
      <c r="G185" s="1039"/>
      <c r="H185" s="1039"/>
      <c r="I185" s="1039"/>
    </row>
    <row r="186">
      <c r="B186" s="1039"/>
      <c r="C186" s="1039"/>
      <c r="D186" s="1039"/>
      <c r="E186" s="1039"/>
      <c r="F186" s="1039"/>
      <c r="G186" s="1039"/>
      <c r="H186" s="1039"/>
      <c r="I186" s="1039"/>
    </row>
    <row r="187">
      <c r="B187" s="1039"/>
      <c r="C187" s="1039"/>
      <c r="D187" s="1039"/>
      <c r="E187" s="1039"/>
      <c r="F187" s="1039"/>
      <c r="G187" s="1039"/>
      <c r="H187" s="1039"/>
      <c r="I187" s="1039"/>
    </row>
    <row r="188">
      <c r="B188" s="1039"/>
      <c r="C188" s="1039"/>
      <c r="D188" s="1039"/>
      <c r="E188" s="1039"/>
      <c r="F188" s="1039"/>
      <c r="G188" s="1039"/>
      <c r="H188" s="1039"/>
      <c r="I188" s="1039"/>
    </row>
    <row r="189">
      <c r="B189" s="1039"/>
      <c r="C189" s="1039"/>
      <c r="D189" s="1039"/>
      <c r="E189" s="1039"/>
      <c r="F189" s="1039"/>
      <c r="G189" s="1039"/>
      <c r="H189" s="1039"/>
      <c r="I189" s="1039"/>
    </row>
    <row r="190">
      <c r="B190" s="1039"/>
      <c r="C190" s="1039"/>
      <c r="D190" s="1039"/>
      <c r="E190" s="1039"/>
      <c r="F190" s="1039"/>
      <c r="G190" s="1039"/>
      <c r="H190" s="1039"/>
      <c r="I190" s="1039"/>
    </row>
    <row r="191">
      <c r="B191" s="1039"/>
      <c r="C191" s="1039"/>
      <c r="D191" s="1039"/>
      <c r="E191" s="1039"/>
      <c r="F191" s="1039"/>
      <c r="G191" s="1039"/>
      <c r="H191" s="1039"/>
      <c r="I191" s="1039"/>
    </row>
    <row r="192">
      <c r="B192" s="1039"/>
      <c r="C192" s="1039"/>
      <c r="D192" s="1039"/>
      <c r="E192" s="1039"/>
      <c r="F192" s="1039"/>
      <c r="G192" s="1039"/>
      <c r="H192" s="1039"/>
      <c r="I192" s="1039"/>
    </row>
    <row r="193">
      <c r="B193" s="1039"/>
      <c r="C193" s="1039"/>
      <c r="D193" s="1039"/>
      <c r="E193" s="1039"/>
      <c r="F193" s="1039"/>
      <c r="G193" s="1039"/>
      <c r="H193" s="1039"/>
      <c r="I193" s="1039"/>
    </row>
    <row r="194">
      <c r="B194" s="1039"/>
      <c r="C194" s="1039"/>
      <c r="D194" s="1039"/>
      <c r="E194" s="1039"/>
      <c r="F194" s="1039"/>
      <c r="G194" s="1039"/>
      <c r="H194" s="1039"/>
      <c r="I194" s="1039"/>
    </row>
    <row r="195">
      <c r="B195" s="1039"/>
      <c r="C195" s="1039"/>
      <c r="D195" s="1039"/>
      <c r="E195" s="1039"/>
      <c r="F195" s="1039"/>
      <c r="G195" s="1039"/>
      <c r="H195" s="1039"/>
      <c r="I195" s="1039"/>
    </row>
    <row r="196">
      <c r="B196" s="1039"/>
      <c r="C196" s="1039"/>
      <c r="D196" s="1039"/>
      <c r="E196" s="1039"/>
      <c r="F196" s="1039"/>
      <c r="G196" s="1039"/>
      <c r="H196" s="1039"/>
      <c r="I196" s="1039"/>
    </row>
    <row r="197">
      <c r="B197" s="1039"/>
      <c r="C197" s="1039"/>
      <c r="D197" s="1039"/>
      <c r="E197" s="1039"/>
      <c r="F197" s="1039"/>
      <c r="G197" s="1039"/>
      <c r="H197" s="1039"/>
      <c r="I197" s="1039"/>
    </row>
    <row r="198">
      <c r="B198" s="1039"/>
      <c r="C198" s="1039"/>
      <c r="D198" s="1039"/>
      <c r="E198" s="1039"/>
      <c r="F198" s="1039"/>
      <c r="G198" s="1039"/>
      <c r="H198" s="1039"/>
      <c r="I198" s="1039"/>
    </row>
    <row r="199">
      <c r="B199" s="1039"/>
      <c r="C199" s="1039"/>
      <c r="D199" s="1039"/>
      <c r="E199" s="1039"/>
      <c r="F199" s="1039"/>
      <c r="G199" s="1039"/>
      <c r="H199" s="1039"/>
      <c r="I199" s="1039"/>
    </row>
    <row r="200">
      <c r="B200" s="1039"/>
      <c r="C200" s="1039"/>
      <c r="D200" s="1039"/>
      <c r="E200" s="1039"/>
      <c r="F200" s="1039"/>
      <c r="G200" s="1039"/>
      <c r="H200" s="1039"/>
      <c r="I200" s="1039"/>
    </row>
    <row r="201">
      <c r="B201" s="1039"/>
      <c r="C201" s="1039"/>
      <c r="D201" s="1039"/>
      <c r="E201" s="1039"/>
      <c r="F201" s="1039"/>
      <c r="G201" s="1039"/>
      <c r="H201" s="1039"/>
      <c r="I201" s="1039"/>
    </row>
    <row r="202">
      <c r="B202" s="1039"/>
      <c r="C202" s="1039"/>
      <c r="D202" s="1039"/>
      <c r="E202" s="1039"/>
      <c r="F202" s="1039"/>
      <c r="G202" s="1039"/>
      <c r="H202" s="1039"/>
      <c r="I202" s="1039"/>
    </row>
    <row r="203">
      <c r="B203" s="1039"/>
      <c r="C203" s="1039"/>
      <c r="D203" s="1039"/>
      <c r="E203" s="1039"/>
      <c r="F203" s="1039"/>
      <c r="G203" s="1039"/>
      <c r="H203" s="1039"/>
      <c r="I203" s="1039"/>
    </row>
    <row r="204">
      <c r="B204" s="1039"/>
      <c r="C204" s="1039"/>
      <c r="D204" s="1039"/>
      <c r="E204" s="1039"/>
      <c r="F204" s="1039"/>
      <c r="G204" s="1039"/>
      <c r="H204" s="1039"/>
      <c r="I204" s="1039"/>
    </row>
    <row r="205">
      <c r="B205" s="1039"/>
      <c r="C205" s="1039"/>
      <c r="D205" s="1039"/>
      <c r="E205" s="1039"/>
      <c r="F205" s="1039"/>
      <c r="G205" s="1039"/>
      <c r="H205" s="1039"/>
      <c r="I205" s="1039"/>
    </row>
    <row r="206">
      <c r="B206" s="1039"/>
      <c r="C206" s="1039"/>
      <c r="D206" s="1039"/>
      <c r="E206" s="1039"/>
      <c r="F206" s="1039"/>
      <c r="G206" s="1039"/>
      <c r="H206" s="1039"/>
      <c r="I206" s="1039"/>
    </row>
    <row r="207">
      <c r="B207" s="1039"/>
      <c r="C207" s="1039"/>
      <c r="D207" s="1039"/>
      <c r="E207" s="1039"/>
      <c r="F207" s="1039"/>
      <c r="G207" s="1039"/>
      <c r="H207" s="1039"/>
      <c r="I207" s="1039"/>
    </row>
    <row r="208">
      <c r="B208" s="1039"/>
      <c r="C208" s="1039"/>
      <c r="D208" s="1039"/>
      <c r="E208" s="1039"/>
      <c r="F208" s="1039"/>
      <c r="G208" s="1039"/>
      <c r="H208" s="1039"/>
      <c r="I208" s="1039"/>
    </row>
    <row r="209">
      <c r="B209" s="1039"/>
      <c r="C209" s="1039"/>
      <c r="D209" s="1039"/>
      <c r="E209" s="1039"/>
      <c r="F209" s="1039"/>
      <c r="G209" s="1039"/>
      <c r="H209" s="1039"/>
      <c r="I209" s="1039"/>
    </row>
    <row r="210">
      <c r="B210" s="1039"/>
      <c r="C210" s="1039"/>
      <c r="D210" s="1039"/>
      <c r="E210" s="1039"/>
      <c r="F210" s="1039"/>
      <c r="G210" s="1039"/>
      <c r="H210" s="1039"/>
      <c r="I210" s="1039"/>
    </row>
    <row r="211">
      <c r="B211" s="1039"/>
      <c r="C211" s="1039"/>
      <c r="D211" s="1039"/>
      <c r="E211" s="1039"/>
      <c r="F211" s="1039"/>
      <c r="G211" s="1039"/>
      <c r="H211" s="1039"/>
      <c r="I211" s="1039"/>
    </row>
    <row r="212">
      <c r="B212" s="1039"/>
      <c r="C212" s="1039"/>
      <c r="D212" s="1039"/>
      <c r="E212" s="1039"/>
      <c r="F212" s="1039"/>
      <c r="G212" s="1039"/>
      <c r="H212" s="1039"/>
      <c r="I212" s="1039"/>
    </row>
    <row r="213">
      <c r="B213" s="1039"/>
      <c r="C213" s="1039"/>
      <c r="D213" s="1039"/>
      <c r="E213" s="1039"/>
      <c r="F213" s="1039"/>
      <c r="G213" s="1039"/>
      <c r="H213" s="1039"/>
      <c r="I213" s="1039"/>
    </row>
    <row r="214">
      <c r="B214" s="1039"/>
      <c r="C214" s="1039"/>
      <c r="D214" s="1039"/>
      <c r="E214" s="1039"/>
      <c r="F214" s="1039"/>
      <c r="G214" s="1039"/>
      <c r="H214" s="1039"/>
      <c r="I214" s="1039"/>
    </row>
    <row r="215">
      <c r="B215" s="1039"/>
      <c r="C215" s="1039"/>
      <c r="D215" s="1039"/>
      <c r="E215" s="1039"/>
      <c r="F215" s="1039"/>
      <c r="G215" s="1039"/>
      <c r="H215" s="1039"/>
      <c r="I215" s="1039"/>
    </row>
    <row r="216">
      <c r="B216" s="1039"/>
      <c r="C216" s="1039"/>
      <c r="D216" s="1039"/>
      <c r="E216" s="1039"/>
      <c r="F216" s="1039"/>
      <c r="G216" s="1039"/>
      <c r="H216" s="1039"/>
      <c r="I216" s="1039"/>
    </row>
    <row r="217">
      <c r="B217" s="1039"/>
      <c r="C217" s="1039"/>
      <c r="D217" s="1039"/>
      <c r="E217" s="1039"/>
      <c r="F217" s="1039"/>
      <c r="G217" s="1039"/>
      <c r="H217" s="1039"/>
      <c r="I217" s="1039"/>
    </row>
    <row r="218">
      <c r="B218" s="1039"/>
      <c r="C218" s="1039"/>
      <c r="D218" s="1039"/>
      <c r="E218" s="1039"/>
      <c r="F218" s="1039"/>
      <c r="G218" s="1039"/>
      <c r="H218" s="1039"/>
      <c r="I218" s="1039"/>
    </row>
    <row r="219">
      <c r="B219" s="1039"/>
      <c r="C219" s="1039"/>
      <c r="D219" s="1039"/>
      <c r="E219" s="1039"/>
      <c r="F219" s="1039"/>
      <c r="G219" s="1039"/>
      <c r="H219" s="1039"/>
      <c r="I219" s="1039"/>
    </row>
    <row r="220">
      <c r="B220" s="1039"/>
      <c r="C220" s="1039"/>
      <c r="D220" s="1039"/>
      <c r="E220" s="1039"/>
      <c r="F220" s="1039"/>
      <c r="G220" s="1039"/>
      <c r="H220" s="1039"/>
      <c r="I220" s="1039"/>
    </row>
    <row r="221">
      <c r="B221" s="1039"/>
      <c r="C221" s="1039"/>
      <c r="D221" s="1039"/>
      <c r="E221" s="1039"/>
      <c r="F221" s="1039"/>
      <c r="G221" s="1039"/>
      <c r="H221" s="1039"/>
      <c r="I221" s="1039"/>
    </row>
    <row r="222">
      <c r="B222" s="1039"/>
      <c r="C222" s="1039"/>
      <c r="D222" s="1039"/>
      <c r="E222" s="1039"/>
      <c r="F222" s="1039"/>
      <c r="G222" s="1039"/>
      <c r="H222" s="1039"/>
      <c r="I222" s="1039"/>
    </row>
    <row r="223">
      <c r="B223" s="1039"/>
      <c r="C223" s="1039"/>
      <c r="D223" s="1039"/>
      <c r="E223" s="1039"/>
      <c r="F223" s="1039"/>
      <c r="G223" s="1039"/>
      <c r="H223" s="1039"/>
      <c r="I223" s="1039"/>
    </row>
    <row r="224">
      <c r="B224" s="1039"/>
      <c r="C224" s="1039"/>
      <c r="D224" s="1039"/>
      <c r="E224" s="1039"/>
      <c r="F224" s="1039"/>
      <c r="G224" s="1039"/>
      <c r="H224" s="1039"/>
      <c r="I224" s="1039"/>
    </row>
    <row r="225">
      <c r="B225" s="1039"/>
      <c r="C225" s="1039"/>
      <c r="D225" s="1039"/>
      <c r="E225" s="1039"/>
      <c r="F225" s="1039"/>
      <c r="G225" s="1039"/>
      <c r="H225" s="1039"/>
      <c r="I225" s="1039"/>
    </row>
    <row r="226">
      <c r="B226" s="1039"/>
      <c r="C226" s="1039"/>
      <c r="D226" s="1039"/>
      <c r="E226" s="1039"/>
      <c r="F226" s="1039"/>
      <c r="G226" s="1039"/>
      <c r="H226" s="1039"/>
      <c r="I226" s="1039"/>
    </row>
    <row r="227">
      <c r="B227" s="1039"/>
      <c r="C227" s="1039"/>
      <c r="D227" s="1039"/>
      <c r="E227" s="1039"/>
      <c r="F227" s="1039"/>
      <c r="G227" s="1039"/>
      <c r="H227" s="1039"/>
      <c r="I227" s="1039"/>
    </row>
    <row r="228">
      <c r="B228" s="1039"/>
      <c r="C228" s="1039"/>
      <c r="D228" s="1039"/>
      <c r="E228" s="1039"/>
      <c r="F228" s="1039"/>
      <c r="G228" s="1039"/>
      <c r="H228" s="1039"/>
      <c r="I228" s="1039"/>
    </row>
    <row r="229">
      <c r="B229" s="1039"/>
      <c r="C229" s="1039"/>
      <c r="D229" s="1039"/>
      <c r="E229" s="1039"/>
      <c r="F229" s="1039"/>
      <c r="G229" s="1039"/>
      <c r="H229" s="1039"/>
      <c r="I229" s="1039"/>
    </row>
    <row r="230">
      <c r="B230" s="1039"/>
      <c r="C230" s="1039"/>
      <c r="D230" s="1039"/>
      <c r="E230" s="1039"/>
      <c r="F230" s="1039"/>
      <c r="G230" s="1039"/>
      <c r="H230" s="1039"/>
      <c r="I230" s="1039"/>
    </row>
    <row r="231">
      <c r="B231" s="1039"/>
      <c r="C231" s="1039"/>
      <c r="D231" s="1039"/>
      <c r="E231" s="1039"/>
      <c r="F231" s="1039"/>
      <c r="G231" s="1039"/>
      <c r="H231" s="1039"/>
      <c r="I231" s="1039"/>
    </row>
    <row r="232">
      <c r="B232" s="1039"/>
      <c r="C232" s="1039"/>
      <c r="D232" s="1039"/>
      <c r="E232" s="1039"/>
      <c r="F232" s="1039"/>
      <c r="G232" s="1039"/>
      <c r="H232" s="1039"/>
      <c r="I232" s="1039"/>
    </row>
    <row r="233">
      <c r="B233" s="1039"/>
      <c r="C233" s="1039"/>
      <c r="D233" s="1039"/>
      <c r="E233" s="1039"/>
      <c r="F233" s="1039"/>
      <c r="G233" s="1039"/>
      <c r="H233" s="1039"/>
      <c r="I233" s="1039"/>
    </row>
    <row r="234">
      <c r="B234" s="1039"/>
      <c r="C234" s="1039"/>
      <c r="D234" s="1039"/>
      <c r="E234" s="1039"/>
      <c r="F234" s="1039"/>
      <c r="G234" s="1039"/>
      <c r="H234" s="1039"/>
      <c r="I234" s="1039"/>
    </row>
    <row r="235">
      <c r="B235" s="1039"/>
      <c r="C235" s="1039"/>
      <c r="D235" s="1039"/>
      <c r="E235" s="1039"/>
      <c r="F235" s="1039"/>
      <c r="G235" s="1039"/>
      <c r="H235" s="1039"/>
      <c r="I235" s="1039"/>
    </row>
    <row r="236">
      <c r="B236" s="1039"/>
      <c r="C236" s="1039"/>
      <c r="D236" s="1039"/>
      <c r="E236" s="1039"/>
      <c r="F236" s="1039"/>
      <c r="G236" s="1039"/>
      <c r="H236" s="1039"/>
      <c r="I236" s="1039"/>
    </row>
    <row r="237">
      <c r="B237" s="1039"/>
      <c r="C237" s="1039"/>
      <c r="D237" s="1039"/>
      <c r="E237" s="1039"/>
      <c r="F237" s="1039"/>
      <c r="G237" s="1039"/>
      <c r="H237" s="1039"/>
      <c r="I237" s="1039"/>
    </row>
    <row r="238">
      <c r="B238" s="1039"/>
      <c r="C238" s="1039"/>
      <c r="D238" s="1039"/>
      <c r="E238" s="1039"/>
      <c r="F238" s="1039"/>
      <c r="G238" s="1039"/>
      <c r="H238" s="1039"/>
      <c r="I238" s="1039"/>
    </row>
    <row r="239">
      <c r="B239" s="1039"/>
      <c r="C239" s="1039"/>
      <c r="D239" s="1039"/>
      <c r="E239" s="1039"/>
      <c r="F239" s="1039"/>
      <c r="G239" s="1039"/>
      <c r="H239" s="1039"/>
      <c r="I239" s="1039"/>
    </row>
    <row r="240">
      <c r="B240" s="1039"/>
      <c r="C240" s="1039"/>
      <c r="D240" s="1039"/>
      <c r="E240" s="1039"/>
      <c r="F240" s="1039"/>
      <c r="G240" s="1039"/>
      <c r="H240" s="1039"/>
      <c r="I240" s="1039"/>
    </row>
    <row r="241">
      <c r="B241" s="1039"/>
      <c r="C241" s="1039"/>
      <c r="D241" s="1039"/>
      <c r="E241" s="1039"/>
      <c r="F241" s="1039"/>
      <c r="G241" s="1039"/>
      <c r="H241" s="1039"/>
      <c r="I241" s="1039"/>
    </row>
    <row r="242">
      <c r="B242" s="1039"/>
      <c r="C242" s="1039"/>
      <c r="D242" s="1039"/>
      <c r="E242" s="1039"/>
      <c r="F242" s="1039"/>
      <c r="G242" s="1039"/>
      <c r="H242" s="1039"/>
      <c r="I242" s="1039"/>
    </row>
    <row r="243">
      <c r="B243" s="1039"/>
      <c r="C243" s="1039"/>
      <c r="D243" s="1039"/>
      <c r="E243" s="1039"/>
      <c r="F243" s="1039"/>
      <c r="G243" s="1039"/>
      <c r="H243" s="1039"/>
      <c r="I243" s="1039"/>
    </row>
    <row r="244">
      <c r="B244" s="1039"/>
      <c r="C244" s="1039"/>
      <c r="D244" s="1039"/>
      <c r="E244" s="1039"/>
      <c r="F244" s="1039"/>
      <c r="G244" s="1039"/>
      <c r="H244" s="1039"/>
      <c r="I244" s="1039"/>
    </row>
    <row r="245">
      <c r="B245" s="1039"/>
      <c r="C245" s="1039"/>
      <c r="D245" s="1039"/>
      <c r="E245" s="1039"/>
      <c r="F245" s="1039"/>
      <c r="G245" s="1039"/>
      <c r="H245" s="1039"/>
      <c r="I245" s="1039"/>
    </row>
    <row r="246">
      <c r="B246" s="1039"/>
      <c r="C246" s="1039"/>
      <c r="D246" s="1039"/>
      <c r="E246" s="1039"/>
      <c r="F246" s="1039"/>
      <c r="G246" s="1039"/>
      <c r="H246" s="1039"/>
      <c r="I246" s="1039"/>
    </row>
    <row r="247">
      <c r="B247" s="1039"/>
      <c r="C247" s="1039"/>
      <c r="D247" s="1039"/>
      <c r="E247" s="1039"/>
      <c r="F247" s="1039"/>
      <c r="G247" s="1039"/>
      <c r="H247" s="1039"/>
      <c r="I247" s="1039"/>
    </row>
    <row r="248">
      <c r="B248" s="1039"/>
      <c r="C248" s="1039"/>
      <c r="D248" s="1039"/>
      <c r="E248" s="1039"/>
      <c r="F248" s="1039"/>
      <c r="G248" s="1039"/>
      <c r="H248" s="1039"/>
      <c r="I248" s="1039"/>
    </row>
    <row r="249">
      <c r="B249" s="1039"/>
      <c r="C249" s="1039"/>
      <c r="D249" s="1039"/>
      <c r="E249" s="1039"/>
      <c r="F249" s="1039"/>
      <c r="G249" s="1039"/>
      <c r="H249" s="1039"/>
      <c r="I249" s="1039"/>
    </row>
    <row r="250">
      <c r="B250" s="1039"/>
      <c r="C250" s="1039"/>
      <c r="D250" s="1039"/>
      <c r="E250" s="1039"/>
      <c r="F250" s="1039"/>
      <c r="G250" s="1039"/>
      <c r="H250" s="1039"/>
      <c r="I250" s="1039"/>
    </row>
    <row r="251">
      <c r="B251" s="1039"/>
      <c r="C251" s="1039"/>
      <c r="D251" s="1039"/>
      <c r="E251" s="1039"/>
      <c r="F251" s="1039"/>
      <c r="G251" s="1039"/>
      <c r="H251" s="1039"/>
      <c r="I251" s="1039"/>
    </row>
    <row r="252">
      <c r="B252" s="1039"/>
      <c r="C252" s="1039"/>
      <c r="D252" s="1039"/>
      <c r="E252" s="1039"/>
      <c r="F252" s="1039"/>
      <c r="G252" s="1039"/>
      <c r="H252" s="1039"/>
      <c r="I252" s="1039"/>
    </row>
    <row r="253">
      <c r="B253" s="1039"/>
      <c r="C253" s="1039"/>
      <c r="D253" s="1039"/>
      <c r="E253" s="1039"/>
      <c r="F253" s="1039"/>
      <c r="G253" s="1039"/>
      <c r="H253" s="1039"/>
      <c r="I253" s="1039"/>
    </row>
    <row r="254">
      <c r="B254" s="1039"/>
      <c r="C254" s="1039"/>
      <c r="D254" s="1039"/>
      <c r="E254" s="1039"/>
      <c r="F254" s="1039"/>
      <c r="G254" s="1039"/>
      <c r="H254" s="1039"/>
      <c r="I254" s="1039"/>
    </row>
    <row r="255">
      <c r="B255" s="1039"/>
      <c r="C255" s="1039"/>
      <c r="D255" s="1039"/>
      <c r="E255" s="1039"/>
      <c r="F255" s="1039"/>
      <c r="G255" s="1039"/>
      <c r="H255" s="1039"/>
      <c r="I255" s="1039"/>
    </row>
    <row r="256">
      <c r="B256" s="1039"/>
      <c r="C256" s="1039"/>
      <c r="D256" s="1039"/>
      <c r="E256" s="1039"/>
      <c r="F256" s="1039"/>
      <c r="G256" s="1039"/>
      <c r="H256" s="1039"/>
      <c r="I256" s="1039"/>
    </row>
    <row r="257">
      <c r="B257" s="1039"/>
      <c r="C257" s="1039"/>
      <c r="D257" s="1039"/>
      <c r="E257" s="1039"/>
      <c r="F257" s="1039"/>
      <c r="G257" s="1039"/>
      <c r="H257" s="1039"/>
      <c r="I257" s="1039"/>
    </row>
    <row r="258">
      <c r="B258" s="1039"/>
      <c r="C258" s="1039"/>
      <c r="D258" s="1039"/>
      <c r="E258" s="1039"/>
      <c r="F258" s="1039"/>
      <c r="G258" s="1039"/>
      <c r="H258" s="1039"/>
      <c r="I258" s="1039"/>
    </row>
    <row r="259">
      <c r="B259" s="1039"/>
      <c r="C259" s="1039"/>
      <c r="D259" s="1039"/>
      <c r="E259" s="1039"/>
      <c r="F259" s="1039"/>
      <c r="G259" s="1039"/>
      <c r="H259" s="1039"/>
      <c r="I259" s="1039"/>
    </row>
    <row r="260">
      <c r="B260" s="1039"/>
      <c r="C260" s="1039"/>
      <c r="D260" s="1039"/>
      <c r="E260" s="1039"/>
      <c r="F260" s="1039"/>
      <c r="G260" s="1039"/>
      <c r="H260" s="1039"/>
      <c r="I260" s="1039"/>
    </row>
    <row r="261">
      <c r="B261" s="1039"/>
      <c r="C261" s="1039"/>
      <c r="D261" s="1039"/>
      <c r="E261" s="1039"/>
      <c r="F261" s="1039"/>
      <c r="G261" s="1039"/>
      <c r="H261" s="1039"/>
      <c r="I261" s="1039"/>
    </row>
    <row r="262">
      <c r="B262" s="1039"/>
      <c r="C262" s="1039"/>
      <c r="D262" s="1039"/>
      <c r="E262" s="1039"/>
      <c r="F262" s="1039"/>
      <c r="G262" s="1039"/>
      <c r="H262" s="1039"/>
      <c r="I262" s="1039"/>
    </row>
    <row r="263">
      <c r="B263" s="1039"/>
      <c r="C263" s="1039"/>
      <c r="D263" s="1039"/>
      <c r="E263" s="1039"/>
      <c r="F263" s="1039"/>
      <c r="G263" s="1039"/>
      <c r="H263" s="1039"/>
      <c r="I263" s="1039"/>
    </row>
    <row r="264">
      <c r="B264" s="1039"/>
      <c r="C264" s="1039"/>
      <c r="D264" s="1039"/>
      <c r="E264" s="1039"/>
      <c r="F264" s="1039"/>
      <c r="G264" s="1039"/>
      <c r="H264" s="1039"/>
      <c r="I264" s="1039"/>
    </row>
    <row r="265">
      <c r="B265" s="1039"/>
      <c r="C265" s="1039"/>
      <c r="D265" s="1039"/>
      <c r="E265" s="1039"/>
      <c r="F265" s="1039"/>
      <c r="G265" s="1039"/>
      <c r="H265" s="1039"/>
      <c r="I265" s="1039"/>
    </row>
    <row r="266">
      <c r="B266" s="1039"/>
      <c r="C266" s="1039"/>
      <c r="D266" s="1039"/>
      <c r="E266" s="1039"/>
      <c r="F266" s="1039"/>
      <c r="G266" s="1039"/>
      <c r="H266" s="1039"/>
      <c r="I266" s="1039"/>
    </row>
    <row r="267">
      <c r="B267" s="1039"/>
      <c r="C267" s="1039"/>
      <c r="D267" s="1039"/>
      <c r="E267" s="1039"/>
      <c r="F267" s="1039"/>
      <c r="G267" s="1039"/>
      <c r="H267" s="1039"/>
      <c r="I267" s="1039"/>
    </row>
    <row r="268">
      <c r="B268" s="1039"/>
      <c r="C268" s="1039"/>
      <c r="D268" s="1039"/>
      <c r="E268" s="1039"/>
      <c r="F268" s="1039"/>
      <c r="G268" s="1039"/>
      <c r="H268" s="1039"/>
      <c r="I268" s="1039"/>
    </row>
    <row r="269">
      <c r="B269" s="1039"/>
      <c r="C269" s="1039"/>
      <c r="D269" s="1039"/>
      <c r="E269" s="1039"/>
      <c r="F269" s="1039"/>
      <c r="G269" s="1039"/>
      <c r="H269" s="1039"/>
      <c r="I269" s="1039"/>
    </row>
    <row r="270">
      <c r="B270" s="1039"/>
      <c r="C270" s="1039"/>
      <c r="D270" s="1039"/>
      <c r="E270" s="1039"/>
      <c r="F270" s="1039"/>
      <c r="G270" s="1039"/>
      <c r="H270" s="1039"/>
      <c r="I270" s="1039"/>
    </row>
    <row r="271">
      <c r="B271" s="1039"/>
      <c r="C271" s="1039"/>
      <c r="D271" s="1039"/>
      <c r="E271" s="1039"/>
      <c r="F271" s="1039"/>
      <c r="G271" s="1039"/>
      <c r="H271" s="1039"/>
      <c r="I271" s="1039"/>
    </row>
    <row r="272">
      <c r="B272" s="1039"/>
      <c r="C272" s="1039"/>
      <c r="D272" s="1039"/>
      <c r="E272" s="1039"/>
      <c r="F272" s="1039"/>
      <c r="G272" s="1039"/>
      <c r="H272" s="1039"/>
      <c r="I272" s="1039"/>
    </row>
    <row r="273">
      <c r="B273" s="1039"/>
      <c r="C273" s="1039"/>
      <c r="D273" s="1039"/>
      <c r="E273" s="1039"/>
      <c r="F273" s="1039"/>
      <c r="G273" s="1039"/>
      <c r="H273" s="1039"/>
      <c r="I273" s="1039"/>
    </row>
    <row r="274">
      <c r="B274" s="1039"/>
      <c r="C274" s="1039"/>
      <c r="D274" s="1039"/>
      <c r="E274" s="1039"/>
      <c r="F274" s="1039"/>
      <c r="G274" s="1039"/>
      <c r="H274" s="1039"/>
      <c r="I274" s="1039"/>
    </row>
    <row r="275">
      <c r="B275" s="1039"/>
      <c r="C275" s="1039"/>
      <c r="D275" s="1039"/>
      <c r="E275" s="1039"/>
      <c r="F275" s="1039"/>
      <c r="G275" s="1039"/>
      <c r="H275" s="1039"/>
      <c r="I275" s="1039"/>
    </row>
    <row r="276">
      <c r="B276" s="1039"/>
      <c r="C276" s="1039"/>
      <c r="D276" s="1039"/>
      <c r="E276" s="1039"/>
      <c r="F276" s="1039"/>
      <c r="G276" s="1039"/>
      <c r="H276" s="1039"/>
      <c r="I276" s="1039"/>
    </row>
    <row r="277">
      <c r="B277" s="1039"/>
      <c r="C277" s="1039"/>
      <c r="D277" s="1039"/>
      <c r="E277" s="1039"/>
      <c r="F277" s="1039"/>
      <c r="G277" s="1039"/>
      <c r="H277" s="1039"/>
      <c r="I277" s="1039"/>
    </row>
    <row r="278">
      <c r="B278" s="1039"/>
      <c r="C278" s="1039"/>
      <c r="D278" s="1039"/>
      <c r="E278" s="1039"/>
      <c r="F278" s="1039"/>
      <c r="G278" s="1039"/>
      <c r="H278" s="1039"/>
      <c r="I278" s="1039"/>
    </row>
    <row r="279">
      <c r="B279" s="1039"/>
      <c r="C279" s="1039"/>
      <c r="D279" s="1039"/>
      <c r="E279" s="1039"/>
      <c r="F279" s="1039"/>
      <c r="G279" s="1039"/>
      <c r="H279" s="1039"/>
      <c r="I279" s="1039"/>
    </row>
    <row r="280">
      <c r="B280" s="1039"/>
      <c r="C280" s="1039"/>
      <c r="D280" s="1039"/>
      <c r="E280" s="1039"/>
      <c r="F280" s="1039"/>
      <c r="G280" s="1039"/>
      <c r="H280" s="1039"/>
      <c r="I280" s="1039"/>
    </row>
    <row r="281">
      <c r="B281" s="1039"/>
      <c r="C281" s="1039"/>
      <c r="D281" s="1039"/>
      <c r="E281" s="1039"/>
      <c r="F281" s="1039"/>
      <c r="G281" s="1039"/>
      <c r="H281" s="1039"/>
      <c r="I281" s="1039"/>
    </row>
    <row r="282">
      <c r="B282" s="1039"/>
      <c r="C282" s="1039"/>
      <c r="D282" s="1039"/>
      <c r="E282" s="1039"/>
      <c r="F282" s="1039"/>
      <c r="G282" s="1039"/>
      <c r="H282" s="1039"/>
      <c r="I282" s="1039"/>
    </row>
    <row r="283">
      <c r="B283" s="1039"/>
      <c r="C283" s="1039"/>
      <c r="D283" s="1039"/>
      <c r="E283" s="1039"/>
      <c r="F283" s="1039"/>
      <c r="G283" s="1039"/>
      <c r="H283" s="1039"/>
      <c r="I283" s="1039"/>
    </row>
    <row r="284">
      <c r="B284" s="1039"/>
      <c r="C284" s="1039"/>
      <c r="D284" s="1039"/>
      <c r="E284" s="1039"/>
      <c r="F284" s="1039"/>
      <c r="G284" s="1039"/>
      <c r="H284" s="1039"/>
      <c r="I284" s="1039"/>
    </row>
    <row r="285">
      <c r="B285" s="1039"/>
      <c r="C285" s="1039"/>
      <c r="D285" s="1039"/>
      <c r="E285" s="1039"/>
      <c r="F285" s="1039"/>
      <c r="G285" s="1039"/>
      <c r="H285" s="1039"/>
      <c r="I285" s="1039"/>
    </row>
    <row r="286">
      <c r="B286" s="1039"/>
      <c r="C286" s="1039"/>
      <c r="D286" s="1039"/>
      <c r="E286" s="1039"/>
      <c r="F286" s="1039"/>
      <c r="G286" s="1039"/>
      <c r="H286" s="1039"/>
      <c r="I286" s="1039"/>
    </row>
    <row r="287">
      <c r="B287" s="1039"/>
      <c r="C287" s="1039"/>
      <c r="D287" s="1039"/>
      <c r="E287" s="1039"/>
      <c r="F287" s="1039"/>
      <c r="G287" s="1039"/>
      <c r="H287" s="1039"/>
      <c r="I287" s="1039"/>
    </row>
    <row r="288">
      <c r="B288" s="1039"/>
      <c r="C288" s="1039"/>
      <c r="D288" s="1039"/>
      <c r="E288" s="1039"/>
      <c r="F288" s="1039"/>
      <c r="G288" s="1039"/>
      <c r="H288" s="1039"/>
      <c r="I288" s="1039"/>
    </row>
    <row r="289">
      <c r="B289" s="1039"/>
      <c r="C289" s="1039"/>
      <c r="D289" s="1039"/>
      <c r="E289" s="1039"/>
      <c r="F289" s="1039"/>
      <c r="G289" s="1039"/>
      <c r="H289" s="1039"/>
      <c r="I289" s="1039"/>
    </row>
    <row r="290">
      <c r="B290" s="1039"/>
      <c r="C290" s="1039"/>
      <c r="D290" s="1039"/>
      <c r="E290" s="1039"/>
      <c r="F290" s="1039"/>
      <c r="G290" s="1039"/>
      <c r="H290" s="1039"/>
      <c r="I290" s="1039"/>
    </row>
    <row r="291">
      <c r="B291" s="1039"/>
      <c r="C291" s="1039"/>
      <c r="D291" s="1039"/>
      <c r="E291" s="1039"/>
      <c r="F291" s="1039"/>
      <c r="G291" s="1039"/>
      <c r="H291" s="1039"/>
      <c r="I291" s="1039"/>
    </row>
    <row r="292">
      <c r="B292" s="1039"/>
      <c r="C292" s="1039"/>
      <c r="D292" s="1039"/>
      <c r="E292" s="1039"/>
      <c r="F292" s="1039"/>
      <c r="G292" s="1039"/>
      <c r="H292" s="1039"/>
      <c r="I292" s="1039"/>
    </row>
    <row r="293">
      <c r="B293" s="1039"/>
      <c r="C293" s="1039"/>
      <c r="D293" s="1039"/>
      <c r="E293" s="1039"/>
      <c r="F293" s="1039"/>
      <c r="G293" s="1039"/>
      <c r="H293" s="1039"/>
      <c r="I293" s="1039"/>
    </row>
    <row r="294">
      <c r="B294" s="1039"/>
      <c r="C294" s="1039"/>
      <c r="D294" s="1039"/>
      <c r="E294" s="1039"/>
      <c r="F294" s="1039"/>
      <c r="G294" s="1039"/>
      <c r="H294" s="1039"/>
      <c r="I294" s="1039"/>
    </row>
    <row r="295">
      <c r="B295" s="1039"/>
      <c r="C295" s="1039"/>
      <c r="D295" s="1039"/>
      <c r="E295" s="1039"/>
      <c r="F295" s="1039"/>
      <c r="G295" s="1039"/>
      <c r="H295" s="1039"/>
      <c r="I295" s="1039"/>
    </row>
    <row r="296">
      <c r="B296" s="1039"/>
      <c r="C296" s="1039"/>
      <c r="D296" s="1039"/>
      <c r="E296" s="1039"/>
      <c r="F296" s="1039"/>
      <c r="G296" s="1039"/>
      <c r="H296" s="1039"/>
      <c r="I296" s="1039"/>
    </row>
    <row r="297">
      <c r="B297" s="1039"/>
      <c r="C297" s="1039"/>
      <c r="D297" s="1039"/>
      <c r="E297" s="1039"/>
      <c r="F297" s="1039"/>
      <c r="G297" s="1039"/>
      <c r="H297" s="1039"/>
      <c r="I297" s="1039"/>
    </row>
    <row r="298">
      <c r="B298" s="1039"/>
      <c r="C298" s="1039"/>
      <c r="D298" s="1039"/>
      <c r="E298" s="1039"/>
      <c r="F298" s="1039"/>
      <c r="G298" s="1039"/>
      <c r="H298" s="1039"/>
      <c r="I298" s="1039"/>
    </row>
    <row r="299">
      <c r="B299" s="1039"/>
      <c r="C299" s="1039"/>
      <c r="D299" s="1039"/>
      <c r="E299" s="1039"/>
      <c r="F299" s="1039"/>
      <c r="G299" s="1039"/>
      <c r="H299" s="1039"/>
      <c r="I299" s="1039"/>
    </row>
    <row r="300">
      <c r="B300" s="1039"/>
      <c r="C300" s="1039"/>
      <c r="D300" s="1039"/>
      <c r="E300" s="1039"/>
      <c r="F300" s="1039"/>
      <c r="G300" s="1039"/>
      <c r="H300" s="1039"/>
      <c r="I300" s="1039"/>
    </row>
    <row r="301">
      <c r="B301" s="1039"/>
      <c r="C301" s="1039"/>
      <c r="D301" s="1039"/>
      <c r="E301" s="1039"/>
      <c r="F301" s="1039"/>
      <c r="G301" s="1039"/>
      <c r="H301" s="1039"/>
      <c r="I301" s="1039"/>
    </row>
    <row r="302">
      <c r="B302" s="1039"/>
      <c r="C302" s="1039"/>
      <c r="D302" s="1039"/>
      <c r="E302" s="1039"/>
      <c r="F302" s="1039"/>
      <c r="G302" s="1039"/>
      <c r="H302" s="1039"/>
      <c r="I302" s="1039"/>
    </row>
    <row r="303">
      <c r="B303" s="1039"/>
      <c r="C303" s="1039"/>
      <c r="D303" s="1039"/>
      <c r="E303" s="1039"/>
      <c r="F303" s="1039"/>
      <c r="G303" s="1039"/>
      <c r="H303" s="1039"/>
      <c r="I303" s="1039"/>
    </row>
    <row r="304">
      <c r="B304" s="1039"/>
      <c r="C304" s="1039"/>
      <c r="D304" s="1039"/>
      <c r="E304" s="1039"/>
      <c r="F304" s="1039"/>
      <c r="G304" s="1039"/>
      <c r="H304" s="1039"/>
      <c r="I304" s="1039"/>
    </row>
    <row r="305">
      <c r="B305" s="1039"/>
      <c r="C305" s="1039"/>
      <c r="D305" s="1039"/>
      <c r="E305" s="1039"/>
      <c r="F305" s="1039"/>
      <c r="G305" s="1039"/>
      <c r="H305" s="1039"/>
      <c r="I305" s="1039"/>
    </row>
    <row r="306">
      <c r="B306" s="1039"/>
      <c r="C306" s="1039"/>
      <c r="D306" s="1039"/>
      <c r="E306" s="1039"/>
      <c r="F306" s="1039"/>
      <c r="G306" s="1039"/>
      <c r="H306" s="1039"/>
      <c r="I306" s="1039"/>
    </row>
    <row r="307">
      <c r="B307" s="1039"/>
      <c r="C307" s="1039"/>
      <c r="D307" s="1039"/>
      <c r="E307" s="1039"/>
      <c r="F307" s="1039"/>
      <c r="G307" s="1039"/>
      <c r="H307" s="1039"/>
      <c r="I307" s="1039"/>
    </row>
    <row r="308">
      <c r="B308" s="1039"/>
      <c r="C308" s="1039"/>
      <c r="D308" s="1039"/>
      <c r="E308" s="1039"/>
      <c r="F308" s="1039"/>
      <c r="G308" s="1039"/>
      <c r="H308" s="1039"/>
      <c r="I308" s="1039"/>
    </row>
    <row r="309">
      <c r="B309" s="1039"/>
      <c r="C309" s="1039"/>
      <c r="D309" s="1039"/>
      <c r="E309" s="1039"/>
      <c r="F309" s="1039"/>
      <c r="G309" s="1039"/>
      <c r="H309" s="1039"/>
      <c r="I309" s="1039"/>
    </row>
    <row r="310">
      <c r="B310" s="1039"/>
      <c r="C310" s="1039"/>
      <c r="D310" s="1039"/>
      <c r="E310" s="1039"/>
      <c r="F310" s="1039"/>
      <c r="G310" s="1039"/>
      <c r="H310" s="1039"/>
      <c r="I310" s="1039"/>
    </row>
    <row r="311">
      <c r="B311" s="1039"/>
      <c r="C311" s="1039"/>
      <c r="D311" s="1039"/>
      <c r="E311" s="1039"/>
      <c r="F311" s="1039"/>
      <c r="G311" s="1039"/>
      <c r="H311" s="1039"/>
      <c r="I311" s="1039"/>
    </row>
    <row r="312">
      <c r="B312" s="1039"/>
      <c r="C312" s="1039"/>
      <c r="D312" s="1039"/>
      <c r="E312" s="1039"/>
      <c r="F312" s="1039"/>
      <c r="G312" s="1039"/>
      <c r="H312" s="1039"/>
      <c r="I312" s="1039"/>
    </row>
    <row r="313">
      <c r="B313" s="1039"/>
      <c r="C313" s="1039"/>
      <c r="D313" s="1039"/>
      <c r="E313" s="1039"/>
      <c r="F313" s="1039"/>
      <c r="G313" s="1039"/>
      <c r="H313" s="1039"/>
      <c r="I313" s="1039"/>
    </row>
    <row r="314">
      <c r="B314" s="1039"/>
      <c r="C314" s="1039"/>
      <c r="D314" s="1039"/>
      <c r="E314" s="1039"/>
      <c r="F314" s="1039"/>
      <c r="G314" s="1039"/>
      <c r="H314" s="1039"/>
      <c r="I314" s="1039"/>
    </row>
    <row r="315">
      <c r="B315" s="1039"/>
      <c r="C315" s="1039"/>
      <c r="D315" s="1039"/>
      <c r="E315" s="1039"/>
      <c r="F315" s="1039"/>
      <c r="G315" s="1039"/>
      <c r="H315" s="1039"/>
      <c r="I315" s="1039"/>
    </row>
    <row r="316">
      <c r="B316" s="1039"/>
      <c r="C316" s="1039"/>
      <c r="D316" s="1039"/>
      <c r="E316" s="1039"/>
      <c r="F316" s="1039"/>
      <c r="G316" s="1039"/>
      <c r="H316" s="1039"/>
      <c r="I316" s="1039"/>
    </row>
    <row r="317">
      <c r="B317" s="1039"/>
      <c r="C317" s="1039"/>
      <c r="D317" s="1039"/>
      <c r="E317" s="1039"/>
      <c r="F317" s="1039"/>
      <c r="G317" s="1039"/>
      <c r="H317" s="1039"/>
      <c r="I317" s="1039"/>
    </row>
    <row r="318">
      <c r="B318" s="1039"/>
      <c r="C318" s="1039"/>
      <c r="D318" s="1039"/>
      <c r="E318" s="1039"/>
      <c r="F318" s="1039"/>
      <c r="G318" s="1039"/>
      <c r="H318" s="1039"/>
      <c r="I318" s="1039"/>
    </row>
    <row r="319">
      <c r="B319" s="1039"/>
      <c r="C319" s="1039"/>
      <c r="D319" s="1039"/>
      <c r="E319" s="1039"/>
      <c r="F319" s="1039"/>
      <c r="G319" s="1039"/>
      <c r="H319" s="1039"/>
      <c r="I319" s="1039"/>
    </row>
    <row r="320">
      <c r="B320" s="1039"/>
      <c r="C320" s="1039"/>
      <c r="D320" s="1039"/>
      <c r="E320" s="1039"/>
      <c r="F320" s="1039"/>
      <c r="G320" s="1039"/>
      <c r="H320" s="1039"/>
      <c r="I320" s="1039"/>
    </row>
    <row r="321">
      <c r="B321" s="1039"/>
      <c r="C321" s="1039"/>
      <c r="D321" s="1039"/>
      <c r="E321" s="1039"/>
      <c r="F321" s="1039"/>
      <c r="G321" s="1039"/>
      <c r="H321" s="1039"/>
      <c r="I321" s="1039"/>
    </row>
    <row r="322">
      <c r="B322" s="1039"/>
      <c r="C322" s="1039"/>
      <c r="D322" s="1039"/>
      <c r="E322" s="1039"/>
      <c r="F322" s="1039"/>
      <c r="G322" s="1039"/>
      <c r="H322" s="1039"/>
      <c r="I322" s="1039"/>
    </row>
    <row r="323">
      <c r="B323" s="1039"/>
      <c r="C323" s="1039"/>
      <c r="D323" s="1039"/>
      <c r="E323" s="1039"/>
      <c r="F323" s="1039"/>
      <c r="G323" s="1039"/>
      <c r="H323" s="1039"/>
      <c r="I323" s="1039"/>
    </row>
    <row r="324">
      <c r="B324" s="1039"/>
      <c r="C324" s="1039"/>
      <c r="D324" s="1039"/>
      <c r="E324" s="1039"/>
      <c r="F324" s="1039"/>
      <c r="G324" s="1039"/>
      <c r="H324" s="1039"/>
      <c r="I324" s="1039"/>
    </row>
    <row r="325">
      <c r="B325" s="1039"/>
      <c r="C325" s="1039"/>
      <c r="D325" s="1039"/>
      <c r="E325" s="1039"/>
      <c r="F325" s="1039"/>
      <c r="G325" s="1039"/>
      <c r="H325" s="1039"/>
      <c r="I325" s="1039"/>
    </row>
    <row r="326">
      <c r="B326" s="1039"/>
      <c r="C326" s="1039"/>
      <c r="D326" s="1039"/>
      <c r="E326" s="1039"/>
      <c r="F326" s="1039"/>
      <c r="G326" s="1039"/>
      <c r="H326" s="1039"/>
      <c r="I326" s="1039"/>
    </row>
    <row r="327">
      <c r="B327" s="1039"/>
      <c r="C327" s="1039"/>
      <c r="D327" s="1039"/>
      <c r="E327" s="1039"/>
      <c r="F327" s="1039"/>
      <c r="G327" s="1039"/>
      <c r="H327" s="1039"/>
      <c r="I327" s="1039"/>
    </row>
    <row r="328">
      <c r="B328" s="1039"/>
      <c r="C328" s="1039"/>
      <c r="D328" s="1039"/>
      <c r="E328" s="1039"/>
      <c r="F328" s="1039"/>
      <c r="G328" s="1039"/>
      <c r="H328" s="1039"/>
      <c r="I328" s="1039"/>
    </row>
    <row r="329">
      <c r="B329" s="1039"/>
      <c r="C329" s="1039"/>
      <c r="D329" s="1039"/>
      <c r="E329" s="1039"/>
      <c r="F329" s="1039"/>
      <c r="G329" s="1039"/>
      <c r="H329" s="1039"/>
      <c r="I329" s="1039"/>
    </row>
    <row r="330">
      <c r="B330" s="1039"/>
      <c r="C330" s="1039"/>
      <c r="D330" s="1039"/>
      <c r="E330" s="1039"/>
      <c r="F330" s="1039"/>
      <c r="G330" s="1039"/>
      <c r="H330" s="1039"/>
      <c r="I330" s="1039"/>
    </row>
    <row r="331">
      <c r="B331" s="1039"/>
      <c r="C331" s="1039"/>
      <c r="D331" s="1039"/>
      <c r="E331" s="1039"/>
      <c r="F331" s="1039"/>
      <c r="G331" s="1039"/>
      <c r="H331" s="1039"/>
      <c r="I331" s="1039"/>
    </row>
    <row r="332">
      <c r="B332" s="1039"/>
      <c r="C332" s="1039"/>
      <c r="D332" s="1039"/>
      <c r="E332" s="1039"/>
      <c r="F332" s="1039"/>
      <c r="G332" s="1039"/>
      <c r="H332" s="1039"/>
      <c r="I332" s="1039"/>
    </row>
    <row r="333">
      <c r="B333" s="1039"/>
      <c r="C333" s="1039"/>
      <c r="D333" s="1039"/>
      <c r="E333" s="1039"/>
      <c r="F333" s="1039"/>
      <c r="G333" s="1039"/>
      <c r="H333" s="1039"/>
      <c r="I333" s="1039"/>
    </row>
    <row r="334">
      <c r="B334" s="1039"/>
      <c r="C334" s="1039"/>
      <c r="D334" s="1039"/>
      <c r="E334" s="1039"/>
      <c r="F334" s="1039"/>
      <c r="G334" s="1039"/>
      <c r="H334" s="1039"/>
      <c r="I334" s="1039"/>
    </row>
    <row r="335">
      <c r="B335" s="1039"/>
      <c r="C335" s="1039"/>
      <c r="D335" s="1039"/>
      <c r="E335" s="1039"/>
      <c r="F335" s="1039"/>
      <c r="G335" s="1039"/>
      <c r="H335" s="1039"/>
      <c r="I335" s="1039"/>
    </row>
    <row r="336">
      <c r="B336" s="1039"/>
      <c r="C336" s="1039"/>
      <c r="D336" s="1039"/>
      <c r="E336" s="1039"/>
      <c r="F336" s="1039"/>
      <c r="G336" s="1039"/>
      <c r="H336" s="1039"/>
      <c r="I336" s="1039"/>
    </row>
    <row r="337">
      <c r="B337" s="1039"/>
      <c r="C337" s="1039"/>
      <c r="D337" s="1039"/>
      <c r="E337" s="1039"/>
      <c r="F337" s="1039"/>
      <c r="G337" s="1039"/>
      <c r="H337" s="1039"/>
      <c r="I337" s="1039"/>
    </row>
    <row r="338">
      <c r="B338" s="1039"/>
      <c r="C338" s="1039"/>
      <c r="D338" s="1039"/>
      <c r="E338" s="1039"/>
      <c r="F338" s="1039"/>
      <c r="G338" s="1039"/>
      <c r="H338" s="1039"/>
      <c r="I338" s="1039"/>
    </row>
    <row r="339">
      <c r="B339" s="1039"/>
      <c r="C339" s="1039"/>
      <c r="D339" s="1039"/>
      <c r="E339" s="1039"/>
      <c r="F339" s="1039"/>
      <c r="G339" s="1039"/>
      <c r="H339" s="1039"/>
      <c r="I339" s="1039"/>
    </row>
    <row r="340">
      <c r="B340" s="1039"/>
      <c r="C340" s="1039"/>
      <c r="D340" s="1039"/>
      <c r="E340" s="1039"/>
      <c r="F340" s="1039"/>
      <c r="G340" s="1039"/>
      <c r="H340" s="1039"/>
      <c r="I340" s="1039"/>
    </row>
    <row r="341">
      <c r="B341" s="1039"/>
      <c r="C341" s="1039"/>
      <c r="D341" s="1039"/>
      <c r="E341" s="1039"/>
      <c r="F341" s="1039"/>
      <c r="G341" s="1039"/>
      <c r="H341" s="1039"/>
      <c r="I341" s="1039"/>
    </row>
    <row r="342">
      <c r="B342" s="1039"/>
      <c r="C342" s="1039"/>
      <c r="D342" s="1039"/>
      <c r="E342" s="1039"/>
      <c r="F342" s="1039"/>
      <c r="G342" s="1039"/>
      <c r="H342" s="1039"/>
      <c r="I342" s="1039"/>
    </row>
    <row r="343">
      <c r="B343" s="1039"/>
      <c r="C343" s="1039"/>
      <c r="D343" s="1039"/>
      <c r="E343" s="1039"/>
      <c r="F343" s="1039"/>
      <c r="G343" s="1039"/>
      <c r="H343" s="1039"/>
      <c r="I343" s="1039"/>
    </row>
    <row r="344">
      <c r="B344" s="1039"/>
      <c r="C344" s="1039"/>
      <c r="D344" s="1039"/>
      <c r="E344" s="1039"/>
      <c r="F344" s="1039"/>
      <c r="G344" s="1039"/>
      <c r="H344" s="1039"/>
      <c r="I344" s="1039"/>
    </row>
    <row r="345">
      <c r="B345" s="1039"/>
      <c r="C345" s="1039"/>
      <c r="D345" s="1039"/>
      <c r="E345" s="1039"/>
      <c r="F345" s="1039"/>
      <c r="G345" s="1039"/>
      <c r="H345" s="1039"/>
      <c r="I345" s="1039"/>
    </row>
    <row r="346">
      <c r="B346" s="1039"/>
      <c r="C346" s="1039"/>
      <c r="D346" s="1039"/>
      <c r="E346" s="1039"/>
      <c r="F346" s="1039"/>
      <c r="G346" s="1039"/>
      <c r="H346" s="1039"/>
      <c r="I346" s="1039"/>
    </row>
    <row r="347">
      <c r="B347" s="1039"/>
      <c r="C347" s="1039"/>
      <c r="D347" s="1039"/>
      <c r="E347" s="1039"/>
      <c r="F347" s="1039"/>
      <c r="G347" s="1039"/>
      <c r="H347" s="1039"/>
      <c r="I347" s="1039"/>
    </row>
    <row r="348">
      <c r="B348" s="1039"/>
      <c r="C348" s="1039"/>
      <c r="D348" s="1039"/>
      <c r="E348" s="1039"/>
      <c r="F348" s="1039"/>
      <c r="G348" s="1039"/>
      <c r="H348" s="1039"/>
      <c r="I348" s="1039"/>
    </row>
    <row r="349">
      <c r="B349" s="1039"/>
      <c r="C349" s="1039"/>
      <c r="D349" s="1039"/>
      <c r="E349" s="1039"/>
      <c r="F349" s="1039"/>
      <c r="G349" s="1039"/>
      <c r="H349" s="1039"/>
      <c r="I349" s="1039"/>
    </row>
    <row r="350">
      <c r="B350" s="1039"/>
      <c r="C350" s="1039"/>
      <c r="D350" s="1039"/>
      <c r="E350" s="1039"/>
      <c r="F350" s="1039"/>
      <c r="G350" s="1039"/>
      <c r="H350" s="1039"/>
      <c r="I350" s="1039"/>
    </row>
    <row r="351">
      <c r="B351" s="1039"/>
      <c r="C351" s="1039"/>
      <c r="D351" s="1039"/>
      <c r="E351" s="1039"/>
      <c r="F351" s="1039"/>
      <c r="G351" s="1039"/>
      <c r="H351" s="1039"/>
      <c r="I351" s="1039"/>
    </row>
    <row r="352">
      <c r="B352" s="1039"/>
      <c r="C352" s="1039"/>
      <c r="D352" s="1039"/>
      <c r="E352" s="1039"/>
      <c r="F352" s="1039"/>
      <c r="G352" s="1039"/>
      <c r="H352" s="1039"/>
      <c r="I352" s="1039"/>
    </row>
    <row r="353">
      <c r="B353" s="1039"/>
      <c r="C353" s="1039"/>
      <c r="D353" s="1039"/>
      <c r="E353" s="1039"/>
      <c r="F353" s="1039"/>
      <c r="G353" s="1039"/>
      <c r="H353" s="1039"/>
      <c r="I353" s="1039"/>
    </row>
    <row r="354">
      <c r="B354" s="1039"/>
      <c r="C354" s="1039"/>
      <c r="D354" s="1039"/>
      <c r="E354" s="1039"/>
      <c r="F354" s="1039"/>
      <c r="G354" s="1039"/>
      <c r="H354" s="1039"/>
      <c r="I354" s="1039"/>
    </row>
    <row r="355">
      <c r="B355" s="1039"/>
      <c r="C355" s="1039"/>
      <c r="D355" s="1039"/>
      <c r="E355" s="1039"/>
      <c r="F355" s="1039"/>
      <c r="G355" s="1039"/>
      <c r="H355" s="1039"/>
      <c r="I355" s="1039"/>
    </row>
    <row r="356">
      <c r="B356" s="1039"/>
      <c r="C356" s="1039"/>
      <c r="D356" s="1039"/>
      <c r="E356" s="1039"/>
      <c r="F356" s="1039"/>
      <c r="G356" s="1039"/>
      <c r="H356" s="1039"/>
      <c r="I356" s="1039"/>
    </row>
    <row r="357">
      <c r="B357" s="1039"/>
      <c r="C357" s="1039"/>
      <c r="D357" s="1039"/>
      <c r="E357" s="1039"/>
      <c r="F357" s="1039"/>
      <c r="G357" s="1039"/>
      <c r="H357" s="1039"/>
      <c r="I357" s="1039"/>
    </row>
    <row r="358">
      <c r="B358" s="1039"/>
      <c r="C358" s="1039"/>
      <c r="D358" s="1039"/>
      <c r="E358" s="1039"/>
      <c r="F358" s="1039"/>
      <c r="G358" s="1039"/>
      <c r="H358" s="1039"/>
      <c r="I358" s="1039"/>
    </row>
    <row r="359">
      <c r="B359" s="1039"/>
      <c r="C359" s="1039"/>
      <c r="D359" s="1039"/>
      <c r="E359" s="1039"/>
      <c r="F359" s="1039"/>
      <c r="G359" s="1039"/>
      <c r="H359" s="1039"/>
      <c r="I359" s="1039"/>
    </row>
    <row r="360">
      <c r="B360" s="1039"/>
      <c r="C360" s="1039"/>
      <c r="D360" s="1039"/>
      <c r="E360" s="1039"/>
      <c r="F360" s="1039"/>
      <c r="G360" s="1039"/>
      <c r="H360" s="1039"/>
      <c r="I360" s="1039"/>
    </row>
    <row r="361">
      <c r="B361" s="1039"/>
      <c r="C361" s="1039"/>
      <c r="D361" s="1039"/>
      <c r="E361" s="1039"/>
      <c r="F361" s="1039"/>
      <c r="G361" s="1039"/>
      <c r="H361" s="1039"/>
      <c r="I361" s="1039"/>
    </row>
    <row r="362">
      <c r="B362" s="1039"/>
      <c r="C362" s="1039"/>
      <c r="D362" s="1039"/>
      <c r="E362" s="1039"/>
      <c r="F362" s="1039"/>
      <c r="G362" s="1039"/>
      <c r="H362" s="1039"/>
      <c r="I362" s="1039"/>
    </row>
    <row r="363">
      <c r="B363" s="1039"/>
      <c r="C363" s="1039"/>
      <c r="D363" s="1039"/>
      <c r="E363" s="1039"/>
      <c r="F363" s="1039"/>
      <c r="G363" s="1039"/>
      <c r="H363" s="1039"/>
      <c r="I363" s="1039"/>
    </row>
    <row r="364">
      <c r="B364" s="1039"/>
      <c r="C364" s="1039"/>
      <c r="D364" s="1039"/>
      <c r="E364" s="1039"/>
      <c r="F364" s="1039"/>
      <c r="G364" s="1039"/>
      <c r="H364" s="1039"/>
      <c r="I364" s="1039"/>
    </row>
    <row r="365">
      <c r="B365" s="1039"/>
      <c r="C365" s="1039"/>
      <c r="D365" s="1039"/>
      <c r="E365" s="1039"/>
      <c r="F365" s="1039"/>
      <c r="G365" s="1039"/>
      <c r="H365" s="1039"/>
      <c r="I365" s="1039"/>
    </row>
    <row r="366">
      <c r="B366" s="1039"/>
      <c r="C366" s="1039"/>
      <c r="D366" s="1039"/>
      <c r="E366" s="1039"/>
      <c r="F366" s="1039"/>
      <c r="G366" s="1039"/>
      <c r="H366" s="1039"/>
      <c r="I366" s="1039"/>
    </row>
    <row r="367">
      <c r="B367" s="1039"/>
      <c r="C367" s="1039"/>
      <c r="D367" s="1039"/>
      <c r="E367" s="1039"/>
      <c r="F367" s="1039"/>
      <c r="G367" s="1039"/>
      <c r="H367" s="1039"/>
      <c r="I367" s="1039"/>
    </row>
    <row r="368">
      <c r="B368" s="1039"/>
      <c r="C368" s="1039"/>
      <c r="D368" s="1039"/>
      <c r="E368" s="1039"/>
      <c r="F368" s="1039"/>
      <c r="G368" s="1039"/>
      <c r="H368" s="1039"/>
      <c r="I368" s="1039"/>
    </row>
    <row r="369">
      <c r="B369" s="1039"/>
      <c r="C369" s="1039"/>
      <c r="D369" s="1039"/>
      <c r="E369" s="1039"/>
      <c r="F369" s="1039"/>
      <c r="G369" s="1039"/>
      <c r="H369" s="1039"/>
      <c r="I369" s="1039"/>
    </row>
    <row r="370">
      <c r="B370" s="1039"/>
      <c r="C370" s="1039"/>
      <c r="D370" s="1039"/>
      <c r="E370" s="1039"/>
      <c r="F370" s="1039"/>
      <c r="G370" s="1039"/>
      <c r="H370" s="1039"/>
      <c r="I370" s="1039"/>
    </row>
    <row r="371">
      <c r="B371" s="1039"/>
      <c r="C371" s="1039"/>
      <c r="D371" s="1039"/>
      <c r="E371" s="1039"/>
      <c r="F371" s="1039"/>
      <c r="G371" s="1039"/>
      <c r="H371" s="1039"/>
      <c r="I371" s="1039"/>
    </row>
    <row r="372">
      <c r="B372" s="1039"/>
      <c r="C372" s="1039"/>
      <c r="D372" s="1039"/>
      <c r="E372" s="1039"/>
      <c r="F372" s="1039"/>
      <c r="G372" s="1039"/>
      <c r="H372" s="1039"/>
      <c r="I372" s="1039"/>
    </row>
    <row r="373">
      <c r="B373" s="1039"/>
      <c r="C373" s="1039"/>
      <c r="D373" s="1039"/>
      <c r="E373" s="1039"/>
      <c r="F373" s="1039"/>
      <c r="G373" s="1039"/>
      <c r="H373" s="1039"/>
      <c r="I373" s="1039"/>
    </row>
    <row r="374">
      <c r="B374" s="1039"/>
      <c r="C374" s="1039"/>
      <c r="D374" s="1039"/>
      <c r="E374" s="1039"/>
      <c r="F374" s="1039"/>
      <c r="G374" s="1039"/>
      <c r="H374" s="1039"/>
      <c r="I374" s="1039"/>
    </row>
    <row r="375">
      <c r="B375" s="1039"/>
      <c r="C375" s="1039"/>
      <c r="D375" s="1039"/>
      <c r="E375" s="1039"/>
      <c r="F375" s="1039"/>
      <c r="G375" s="1039"/>
      <c r="H375" s="1039"/>
      <c r="I375" s="1039"/>
    </row>
    <row r="376">
      <c r="B376" s="1039"/>
      <c r="C376" s="1039"/>
      <c r="D376" s="1039"/>
      <c r="E376" s="1039"/>
      <c r="F376" s="1039"/>
      <c r="G376" s="1039"/>
      <c r="H376" s="1039"/>
      <c r="I376" s="1039"/>
    </row>
    <row r="377">
      <c r="B377" s="1039"/>
      <c r="C377" s="1039"/>
      <c r="D377" s="1039"/>
      <c r="E377" s="1039"/>
      <c r="F377" s="1039"/>
      <c r="G377" s="1039"/>
      <c r="H377" s="1039"/>
      <c r="I377" s="1039"/>
    </row>
    <row r="378">
      <c r="B378" s="1039"/>
      <c r="C378" s="1039"/>
      <c r="D378" s="1039"/>
      <c r="E378" s="1039"/>
      <c r="F378" s="1039"/>
      <c r="G378" s="1039"/>
      <c r="H378" s="1039"/>
      <c r="I378" s="1039"/>
    </row>
    <row r="379">
      <c r="B379" s="1039"/>
      <c r="C379" s="1039"/>
      <c r="D379" s="1039"/>
      <c r="E379" s="1039"/>
      <c r="F379" s="1039"/>
      <c r="G379" s="1039"/>
      <c r="H379" s="1039"/>
      <c r="I379" s="1039"/>
    </row>
    <row r="380">
      <c r="B380" s="1039"/>
      <c r="C380" s="1039"/>
      <c r="D380" s="1039"/>
      <c r="E380" s="1039"/>
      <c r="F380" s="1039"/>
      <c r="G380" s="1039"/>
      <c r="H380" s="1039"/>
      <c r="I380" s="1039"/>
    </row>
    <row r="381">
      <c r="B381" s="1039"/>
      <c r="C381" s="1039"/>
      <c r="D381" s="1039"/>
      <c r="E381" s="1039"/>
      <c r="F381" s="1039"/>
      <c r="G381" s="1039"/>
      <c r="H381" s="1039"/>
      <c r="I381" s="1039"/>
    </row>
    <row r="382">
      <c r="B382" s="1039"/>
      <c r="C382" s="1039"/>
      <c r="D382" s="1039"/>
      <c r="E382" s="1039"/>
      <c r="F382" s="1039"/>
      <c r="G382" s="1039"/>
      <c r="H382" s="1039"/>
      <c r="I382" s="1039"/>
    </row>
    <row r="383">
      <c r="B383" s="1039"/>
      <c r="C383" s="1039"/>
      <c r="D383" s="1039"/>
      <c r="E383" s="1039"/>
      <c r="F383" s="1039"/>
      <c r="G383" s="1039"/>
      <c r="H383" s="1039"/>
      <c r="I383" s="1039"/>
    </row>
    <row r="384">
      <c r="B384" s="1039"/>
      <c r="C384" s="1039"/>
      <c r="D384" s="1039"/>
      <c r="E384" s="1039"/>
      <c r="F384" s="1039"/>
      <c r="G384" s="1039"/>
      <c r="H384" s="1039"/>
      <c r="I384" s="1039"/>
    </row>
    <row r="385">
      <c r="B385" s="1039"/>
      <c r="C385" s="1039"/>
      <c r="D385" s="1039"/>
      <c r="E385" s="1039"/>
      <c r="F385" s="1039"/>
      <c r="G385" s="1039"/>
      <c r="H385" s="1039"/>
      <c r="I385" s="1039"/>
    </row>
    <row r="386">
      <c r="B386" s="1039"/>
      <c r="C386" s="1039"/>
      <c r="D386" s="1039"/>
      <c r="E386" s="1039"/>
      <c r="F386" s="1039"/>
      <c r="G386" s="1039"/>
      <c r="H386" s="1039"/>
      <c r="I386" s="1039"/>
    </row>
    <row r="387">
      <c r="B387" s="1039"/>
      <c r="C387" s="1039"/>
      <c r="D387" s="1039"/>
      <c r="E387" s="1039"/>
      <c r="F387" s="1039"/>
      <c r="G387" s="1039"/>
      <c r="H387" s="1039"/>
      <c r="I387" s="1039"/>
    </row>
    <row r="388">
      <c r="B388" s="1039"/>
      <c r="C388" s="1039"/>
      <c r="D388" s="1039"/>
      <c r="E388" s="1039"/>
      <c r="F388" s="1039"/>
      <c r="G388" s="1039"/>
      <c r="H388" s="1039"/>
      <c r="I388" s="1039"/>
    </row>
    <row r="389">
      <c r="B389" s="1039"/>
      <c r="C389" s="1039"/>
      <c r="D389" s="1039"/>
      <c r="E389" s="1039"/>
      <c r="F389" s="1039"/>
      <c r="G389" s="1039"/>
      <c r="H389" s="1039"/>
      <c r="I389" s="1039"/>
    </row>
    <row r="390">
      <c r="B390" s="1039"/>
      <c r="C390" s="1039"/>
      <c r="D390" s="1039"/>
      <c r="E390" s="1039"/>
      <c r="F390" s="1039"/>
      <c r="G390" s="1039"/>
      <c r="H390" s="1039"/>
      <c r="I390" s="1039"/>
    </row>
    <row r="391">
      <c r="B391" s="1039"/>
      <c r="C391" s="1039"/>
      <c r="D391" s="1039"/>
      <c r="E391" s="1039"/>
      <c r="F391" s="1039"/>
      <c r="G391" s="1039"/>
      <c r="H391" s="1039"/>
      <c r="I391" s="1039"/>
    </row>
    <row r="392">
      <c r="B392" s="1039"/>
      <c r="C392" s="1039"/>
      <c r="D392" s="1039"/>
      <c r="E392" s="1039"/>
      <c r="F392" s="1039"/>
      <c r="G392" s="1039"/>
      <c r="H392" s="1039"/>
      <c r="I392" s="1039"/>
    </row>
    <row r="393">
      <c r="B393" s="1039"/>
      <c r="C393" s="1039"/>
      <c r="D393" s="1039"/>
      <c r="E393" s="1039"/>
      <c r="F393" s="1039"/>
      <c r="G393" s="1039"/>
      <c r="H393" s="1039"/>
      <c r="I393" s="1039"/>
    </row>
    <row r="394">
      <c r="B394" s="1039"/>
      <c r="C394" s="1039"/>
      <c r="D394" s="1039"/>
      <c r="E394" s="1039"/>
      <c r="F394" s="1039"/>
      <c r="G394" s="1039"/>
      <c r="H394" s="1039"/>
      <c r="I394" s="1039"/>
    </row>
    <row r="395">
      <c r="B395" s="1039"/>
      <c r="C395" s="1039"/>
      <c r="D395" s="1039"/>
      <c r="E395" s="1039"/>
      <c r="F395" s="1039"/>
      <c r="G395" s="1039"/>
      <c r="H395" s="1039"/>
      <c r="I395" s="1039"/>
    </row>
    <row r="396">
      <c r="B396" s="1039"/>
      <c r="C396" s="1039"/>
      <c r="D396" s="1039"/>
      <c r="E396" s="1039"/>
      <c r="F396" s="1039"/>
      <c r="G396" s="1039"/>
      <c r="H396" s="1039"/>
      <c r="I396" s="1039"/>
    </row>
    <row r="397">
      <c r="B397" s="1039"/>
      <c r="C397" s="1039"/>
      <c r="D397" s="1039"/>
      <c r="E397" s="1039"/>
      <c r="F397" s="1039"/>
      <c r="G397" s="1039"/>
      <c r="H397" s="1039"/>
      <c r="I397" s="1039"/>
    </row>
    <row r="398">
      <c r="B398" s="1039"/>
      <c r="C398" s="1039"/>
      <c r="D398" s="1039"/>
      <c r="E398" s="1039"/>
      <c r="F398" s="1039"/>
      <c r="G398" s="1039"/>
      <c r="H398" s="1039"/>
      <c r="I398" s="1039"/>
    </row>
    <row r="399">
      <c r="B399" s="1039"/>
      <c r="C399" s="1039"/>
      <c r="D399" s="1039"/>
      <c r="E399" s="1039"/>
      <c r="F399" s="1039"/>
      <c r="G399" s="1039"/>
      <c r="H399" s="1039"/>
      <c r="I399" s="1039"/>
    </row>
    <row r="400">
      <c r="B400" s="1039"/>
      <c r="C400" s="1039"/>
      <c r="D400" s="1039"/>
      <c r="E400" s="1039"/>
      <c r="F400" s="1039"/>
      <c r="G400" s="1039"/>
      <c r="H400" s="1039"/>
      <c r="I400" s="1039"/>
    </row>
    <row r="401">
      <c r="B401" s="1039"/>
      <c r="C401" s="1039"/>
      <c r="D401" s="1039"/>
      <c r="E401" s="1039"/>
      <c r="F401" s="1039"/>
      <c r="G401" s="1039"/>
      <c r="H401" s="1039"/>
      <c r="I401" s="1039"/>
    </row>
    <row r="402">
      <c r="B402" s="1039"/>
      <c r="C402" s="1039"/>
      <c r="D402" s="1039"/>
      <c r="E402" s="1039"/>
      <c r="F402" s="1039"/>
      <c r="G402" s="1039"/>
      <c r="H402" s="1039"/>
      <c r="I402" s="1039"/>
    </row>
    <row r="403">
      <c r="B403" s="1039"/>
      <c r="C403" s="1039"/>
      <c r="D403" s="1039"/>
      <c r="E403" s="1039"/>
      <c r="F403" s="1039"/>
      <c r="G403" s="1039"/>
      <c r="H403" s="1039"/>
      <c r="I403" s="1039"/>
    </row>
    <row r="404">
      <c r="B404" s="1039"/>
      <c r="C404" s="1039"/>
      <c r="D404" s="1039"/>
      <c r="E404" s="1039"/>
      <c r="F404" s="1039"/>
      <c r="G404" s="1039"/>
      <c r="H404" s="1039"/>
      <c r="I404" s="1039"/>
    </row>
    <row r="405">
      <c r="B405" s="1039"/>
      <c r="C405" s="1039"/>
      <c r="D405" s="1039"/>
      <c r="E405" s="1039"/>
      <c r="F405" s="1039"/>
      <c r="G405" s="1039"/>
      <c r="H405" s="1039"/>
      <c r="I405" s="1039"/>
    </row>
    <row r="406">
      <c r="B406" s="1039"/>
      <c r="C406" s="1039"/>
      <c r="D406" s="1039"/>
      <c r="E406" s="1039"/>
      <c r="F406" s="1039"/>
      <c r="G406" s="1039"/>
      <c r="H406" s="1039"/>
      <c r="I406" s="1039"/>
    </row>
    <row r="407">
      <c r="B407" s="1039"/>
      <c r="C407" s="1039"/>
      <c r="D407" s="1039"/>
      <c r="E407" s="1039"/>
      <c r="F407" s="1039"/>
      <c r="G407" s="1039"/>
      <c r="H407" s="1039"/>
      <c r="I407" s="1039"/>
    </row>
    <row r="408">
      <c r="B408" s="1039"/>
      <c r="C408" s="1039"/>
      <c r="D408" s="1039"/>
      <c r="E408" s="1039"/>
      <c r="F408" s="1039"/>
      <c r="G408" s="1039"/>
      <c r="H408" s="1039"/>
      <c r="I408" s="1039"/>
    </row>
    <row r="409">
      <c r="B409" s="1039"/>
      <c r="C409" s="1039"/>
      <c r="D409" s="1039"/>
      <c r="E409" s="1039"/>
      <c r="F409" s="1039"/>
      <c r="G409" s="1039"/>
      <c r="H409" s="1039"/>
      <c r="I409" s="1039"/>
    </row>
    <row r="410">
      <c r="B410" s="1039"/>
      <c r="C410" s="1039"/>
      <c r="D410" s="1039"/>
      <c r="E410" s="1039"/>
      <c r="F410" s="1039"/>
      <c r="G410" s="1039"/>
      <c r="H410" s="1039"/>
      <c r="I410" s="1039"/>
    </row>
    <row r="411">
      <c r="B411" s="1039"/>
      <c r="C411" s="1039"/>
      <c r="D411" s="1039"/>
      <c r="E411" s="1039"/>
      <c r="F411" s="1039"/>
      <c r="G411" s="1039"/>
      <c r="H411" s="1039"/>
      <c r="I411" s="1039"/>
    </row>
    <row r="412">
      <c r="B412" s="1039"/>
      <c r="C412" s="1039"/>
      <c r="D412" s="1039"/>
      <c r="E412" s="1039"/>
      <c r="F412" s="1039"/>
      <c r="G412" s="1039"/>
      <c r="H412" s="1039"/>
      <c r="I412" s="1039"/>
    </row>
    <row r="413">
      <c r="B413" s="1039"/>
      <c r="C413" s="1039"/>
      <c r="D413" s="1039"/>
      <c r="E413" s="1039"/>
      <c r="F413" s="1039"/>
      <c r="G413" s="1039"/>
      <c r="H413" s="1039"/>
      <c r="I413" s="1039"/>
    </row>
    <row r="414">
      <c r="B414" s="1039"/>
      <c r="C414" s="1039"/>
      <c r="D414" s="1039"/>
      <c r="E414" s="1039"/>
      <c r="F414" s="1039"/>
      <c r="G414" s="1039"/>
      <c r="H414" s="1039"/>
      <c r="I414" s="1039"/>
    </row>
    <row r="415">
      <c r="B415" s="1039"/>
      <c r="C415" s="1039"/>
      <c r="D415" s="1039"/>
      <c r="E415" s="1039"/>
      <c r="F415" s="1039"/>
      <c r="G415" s="1039"/>
      <c r="H415" s="1039"/>
      <c r="I415" s="1039"/>
    </row>
    <row r="416">
      <c r="B416" s="1039"/>
      <c r="C416" s="1039"/>
      <c r="D416" s="1039"/>
      <c r="E416" s="1039"/>
      <c r="F416" s="1039"/>
      <c r="G416" s="1039"/>
      <c r="H416" s="1039"/>
      <c r="I416" s="1039"/>
    </row>
    <row r="417">
      <c r="B417" s="1039"/>
      <c r="C417" s="1039"/>
      <c r="D417" s="1039"/>
      <c r="E417" s="1039"/>
      <c r="F417" s="1039"/>
      <c r="G417" s="1039"/>
      <c r="H417" s="1039"/>
      <c r="I417" s="1039"/>
    </row>
    <row r="418">
      <c r="B418" s="1039"/>
      <c r="C418" s="1039"/>
      <c r="D418" s="1039"/>
      <c r="E418" s="1039"/>
      <c r="F418" s="1039"/>
      <c r="G418" s="1039"/>
      <c r="H418" s="1039"/>
      <c r="I418" s="1039"/>
    </row>
    <row r="419">
      <c r="B419" s="1039"/>
      <c r="C419" s="1039"/>
      <c r="D419" s="1039"/>
      <c r="E419" s="1039"/>
      <c r="F419" s="1039"/>
      <c r="G419" s="1039"/>
      <c r="H419" s="1039"/>
      <c r="I419" s="1039"/>
    </row>
    <row r="420">
      <c r="B420" s="1039"/>
      <c r="C420" s="1039"/>
      <c r="D420" s="1039"/>
      <c r="E420" s="1039"/>
      <c r="F420" s="1039"/>
      <c r="G420" s="1039"/>
      <c r="H420" s="1039"/>
      <c r="I420" s="1039"/>
    </row>
    <row r="421">
      <c r="B421" s="1039"/>
      <c r="C421" s="1039"/>
      <c r="D421" s="1039"/>
      <c r="E421" s="1039"/>
      <c r="F421" s="1039"/>
      <c r="G421" s="1039"/>
      <c r="H421" s="1039"/>
      <c r="I421" s="1039"/>
    </row>
    <row r="422">
      <c r="B422" s="1039"/>
      <c r="C422" s="1039"/>
      <c r="D422" s="1039"/>
      <c r="E422" s="1039"/>
      <c r="F422" s="1039"/>
      <c r="G422" s="1039"/>
      <c r="H422" s="1039"/>
      <c r="I422" s="1039"/>
    </row>
    <row r="423">
      <c r="B423" s="1039"/>
      <c r="C423" s="1039"/>
      <c r="D423" s="1039"/>
      <c r="E423" s="1039"/>
      <c r="F423" s="1039"/>
      <c r="G423" s="1039"/>
      <c r="H423" s="1039"/>
      <c r="I423" s="1039"/>
    </row>
    <row r="424">
      <c r="B424" s="1039"/>
      <c r="C424" s="1039"/>
      <c r="D424" s="1039"/>
      <c r="E424" s="1039"/>
      <c r="F424" s="1039"/>
      <c r="G424" s="1039"/>
      <c r="H424" s="1039"/>
      <c r="I424" s="1039"/>
    </row>
    <row r="425">
      <c r="B425" s="1039"/>
      <c r="C425" s="1039"/>
      <c r="D425" s="1039"/>
      <c r="E425" s="1039"/>
      <c r="F425" s="1039"/>
      <c r="G425" s="1039"/>
      <c r="H425" s="1039"/>
      <c r="I425" s="1039"/>
    </row>
    <row r="426">
      <c r="B426" s="1039"/>
      <c r="C426" s="1039"/>
      <c r="D426" s="1039"/>
      <c r="E426" s="1039"/>
      <c r="F426" s="1039"/>
      <c r="G426" s="1039"/>
      <c r="H426" s="1039"/>
      <c r="I426" s="1039"/>
    </row>
    <row r="427">
      <c r="B427" s="1039"/>
      <c r="C427" s="1039"/>
      <c r="D427" s="1039"/>
      <c r="E427" s="1039"/>
      <c r="F427" s="1039"/>
      <c r="G427" s="1039"/>
      <c r="H427" s="1039"/>
      <c r="I427" s="1039"/>
    </row>
    <row r="428">
      <c r="B428" s="1039"/>
      <c r="C428" s="1039"/>
      <c r="D428" s="1039"/>
      <c r="E428" s="1039"/>
      <c r="F428" s="1039"/>
      <c r="G428" s="1039"/>
      <c r="H428" s="1039"/>
      <c r="I428" s="1039"/>
    </row>
    <row r="429">
      <c r="B429" s="1039"/>
      <c r="C429" s="1039"/>
      <c r="D429" s="1039"/>
      <c r="E429" s="1039"/>
      <c r="F429" s="1039"/>
      <c r="G429" s="1039"/>
      <c r="H429" s="1039"/>
      <c r="I429" s="1039"/>
    </row>
    <row r="430">
      <c r="B430" s="1039"/>
      <c r="C430" s="1039"/>
      <c r="D430" s="1039"/>
      <c r="E430" s="1039"/>
      <c r="F430" s="1039"/>
      <c r="G430" s="1039"/>
      <c r="H430" s="1039"/>
      <c r="I430" s="1039"/>
    </row>
    <row r="431">
      <c r="B431" s="1039"/>
      <c r="C431" s="1039"/>
      <c r="D431" s="1039"/>
      <c r="E431" s="1039"/>
      <c r="F431" s="1039"/>
      <c r="G431" s="1039"/>
      <c r="H431" s="1039"/>
      <c r="I431" s="1039"/>
    </row>
    <row r="432">
      <c r="B432" s="1039"/>
      <c r="C432" s="1039"/>
      <c r="D432" s="1039"/>
      <c r="E432" s="1039"/>
      <c r="F432" s="1039"/>
      <c r="G432" s="1039"/>
      <c r="H432" s="1039"/>
      <c r="I432" s="1039"/>
    </row>
    <row r="433">
      <c r="B433" s="1039"/>
      <c r="C433" s="1039"/>
      <c r="D433" s="1039"/>
      <c r="E433" s="1039"/>
      <c r="F433" s="1039"/>
      <c r="G433" s="1039"/>
      <c r="H433" s="1039"/>
      <c r="I433" s="1039"/>
    </row>
    <row r="434">
      <c r="B434" s="1039"/>
      <c r="C434" s="1039"/>
      <c r="D434" s="1039"/>
      <c r="E434" s="1039"/>
      <c r="F434" s="1039"/>
      <c r="G434" s="1039"/>
      <c r="H434" s="1039"/>
      <c r="I434" s="1039"/>
    </row>
    <row r="435">
      <c r="B435" s="1039"/>
      <c r="C435" s="1039"/>
      <c r="D435" s="1039"/>
      <c r="E435" s="1039"/>
      <c r="F435" s="1039"/>
      <c r="G435" s="1039"/>
      <c r="H435" s="1039"/>
      <c r="I435" s="1039"/>
    </row>
    <row r="436">
      <c r="B436" s="1039"/>
      <c r="C436" s="1039"/>
      <c r="D436" s="1039"/>
      <c r="E436" s="1039"/>
      <c r="F436" s="1039"/>
      <c r="G436" s="1039"/>
      <c r="H436" s="1039"/>
      <c r="I436" s="1039"/>
    </row>
    <row r="437">
      <c r="B437" s="1039"/>
      <c r="C437" s="1039"/>
      <c r="D437" s="1039"/>
      <c r="E437" s="1039"/>
      <c r="F437" s="1039"/>
      <c r="G437" s="1039"/>
      <c r="H437" s="1039"/>
      <c r="I437" s="1039"/>
    </row>
    <row r="438">
      <c r="B438" s="1039"/>
      <c r="C438" s="1039"/>
      <c r="D438" s="1039"/>
      <c r="E438" s="1039"/>
      <c r="F438" s="1039"/>
      <c r="G438" s="1039"/>
      <c r="H438" s="1039"/>
      <c r="I438" s="1039"/>
    </row>
    <row r="439">
      <c r="B439" s="1039"/>
      <c r="C439" s="1039"/>
      <c r="D439" s="1039"/>
      <c r="E439" s="1039"/>
      <c r="F439" s="1039"/>
      <c r="G439" s="1039"/>
      <c r="H439" s="1039"/>
      <c r="I439" s="1039"/>
    </row>
    <row r="440">
      <c r="B440" s="1039"/>
      <c r="C440" s="1039"/>
      <c r="D440" s="1039"/>
      <c r="E440" s="1039"/>
      <c r="F440" s="1039"/>
      <c r="G440" s="1039"/>
      <c r="H440" s="1039"/>
      <c r="I440" s="1039"/>
    </row>
    <row r="441">
      <c r="B441" s="1039"/>
      <c r="C441" s="1039"/>
      <c r="D441" s="1039"/>
      <c r="E441" s="1039"/>
      <c r="F441" s="1039"/>
      <c r="G441" s="1039"/>
      <c r="H441" s="1039"/>
      <c r="I441" s="1039"/>
    </row>
    <row r="442">
      <c r="B442" s="1039"/>
      <c r="C442" s="1039"/>
      <c r="D442" s="1039"/>
      <c r="E442" s="1039"/>
      <c r="F442" s="1039"/>
      <c r="G442" s="1039"/>
      <c r="H442" s="1039"/>
      <c r="I442" s="1039"/>
    </row>
    <row r="443">
      <c r="B443" s="1039"/>
      <c r="C443" s="1039"/>
      <c r="D443" s="1039"/>
      <c r="E443" s="1039"/>
      <c r="F443" s="1039"/>
      <c r="G443" s="1039"/>
      <c r="H443" s="1039"/>
      <c r="I443" s="1039"/>
    </row>
    <row r="444">
      <c r="B444" s="1039"/>
      <c r="C444" s="1039"/>
      <c r="D444" s="1039"/>
      <c r="E444" s="1039"/>
      <c r="F444" s="1039"/>
      <c r="G444" s="1039"/>
      <c r="H444" s="1039"/>
      <c r="I444" s="1039"/>
    </row>
    <row r="445">
      <c r="B445" s="1039"/>
      <c r="C445" s="1039"/>
      <c r="D445" s="1039"/>
      <c r="E445" s="1039"/>
      <c r="F445" s="1039"/>
      <c r="G445" s="1039"/>
      <c r="H445" s="1039"/>
      <c r="I445" s="1039"/>
    </row>
    <row r="446">
      <c r="B446" s="1039"/>
      <c r="C446" s="1039"/>
      <c r="D446" s="1039"/>
      <c r="E446" s="1039"/>
      <c r="F446" s="1039"/>
      <c r="G446" s="1039"/>
      <c r="H446" s="1039"/>
      <c r="I446" s="1039"/>
    </row>
    <row r="447">
      <c r="B447" s="1039"/>
      <c r="C447" s="1039"/>
      <c r="D447" s="1039"/>
      <c r="E447" s="1039"/>
      <c r="F447" s="1039"/>
      <c r="G447" s="1039"/>
      <c r="H447" s="1039"/>
      <c r="I447" s="1039"/>
    </row>
    <row r="448">
      <c r="B448" s="1039"/>
      <c r="C448" s="1039"/>
      <c r="D448" s="1039"/>
      <c r="E448" s="1039"/>
      <c r="F448" s="1039"/>
      <c r="G448" s="1039"/>
      <c r="H448" s="1039"/>
      <c r="I448" s="1039"/>
    </row>
    <row r="449">
      <c r="B449" s="1039"/>
      <c r="C449" s="1039"/>
      <c r="D449" s="1039"/>
      <c r="E449" s="1039"/>
      <c r="F449" s="1039"/>
      <c r="G449" s="1039"/>
      <c r="H449" s="1039"/>
      <c r="I449" s="1039"/>
    </row>
    <row r="450">
      <c r="B450" s="1039"/>
      <c r="C450" s="1039"/>
      <c r="D450" s="1039"/>
      <c r="E450" s="1039"/>
      <c r="F450" s="1039"/>
      <c r="G450" s="1039"/>
      <c r="H450" s="1039"/>
      <c r="I450" s="1039"/>
    </row>
    <row r="451">
      <c r="B451" s="1039"/>
      <c r="C451" s="1039"/>
      <c r="D451" s="1039"/>
      <c r="E451" s="1039"/>
      <c r="F451" s="1039"/>
      <c r="G451" s="1039"/>
      <c r="H451" s="1039"/>
      <c r="I451" s="1039"/>
    </row>
    <row r="452">
      <c r="B452" s="1039"/>
      <c r="C452" s="1039"/>
      <c r="D452" s="1039"/>
      <c r="E452" s="1039"/>
      <c r="F452" s="1039"/>
      <c r="G452" s="1039"/>
      <c r="H452" s="1039"/>
      <c r="I452" s="1039"/>
    </row>
    <row r="453">
      <c r="B453" s="1039"/>
      <c r="C453" s="1039"/>
      <c r="D453" s="1039"/>
      <c r="E453" s="1039"/>
      <c r="F453" s="1039"/>
      <c r="G453" s="1039"/>
      <c r="H453" s="1039"/>
      <c r="I453" s="1039"/>
    </row>
    <row r="454">
      <c r="B454" s="1039"/>
      <c r="C454" s="1039"/>
      <c r="D454" s="1039"/>
      <c r="E454" s="1039"/>
      <c r="F454" s="1039"/>
      <c r="G454" s="1039"/>
      <c r="H454" s="1039"/>
      <c r="I454" s="1039"/>
    </row>
    <row r="455">
      <c r="B455" s="1039"/>
      <c r="C455" s="1039"/>
      <c r="D455" s="1039"/>
      <c r="E455" s="1039"/>
      <c r="F455" s="1039"/>
      <c r="G455" s="1039"/>
      <c r="H455" s="1039"/>
      <c r="I455" s="1039"/>
    </row>
    <row r="456">
      <c r="B456" s="1039"/>
      <c r="C456" s="1039"/>
      <c r="D456" s="1039"/>
      <c r="E456" s="1039"/>
      <c r="F456" s="1039"/>
      <c r="G456" s="1039"/>
      <c r="H456" s="1039"/>
      <c r="I456" s="1039"/>
    </row>
    <row r="457">
      <c r="B457" s="1039"/>
      <c r="C457" s="1039"/>
      <c r="D457" s="1039"/>
      <c r="E457" s="1039"/>
      <c r="F457" s="1039"/>
      <c r="G457" s="1039"/>
      <c r="H457" s="1039"/>
      <c r="I457" s="1039"/>
    </row>
    <row r="458">
      <c r="B458" s="1039"/>
      <c r="C458" s="1039"/>
      <c r="D458" s="1039"/>
      <c r="E458" s="1039"/>
      <c r="F458" s="1039"/>
      <c r="G458" s="1039"/>
      <c r="H458" s="1039"/>
      <c r="I458" s="1039"/>
    </row>
    <row r="459">
      <c r="B459" s="1039"/>
      <c r="C459" s="1039"/>
      <c r="D459" s="1039"/>
      <c r="E459" s="1039"/>
      <c r="F459" s="1039"/>
      <c r="G459" s="1039"/>
      <c r="H459" s="1039"/>
      <c r="I459" s="1039"/>
    </row>
    <row r="460">
      <c r="B460" s="1039"/>
      <c r="C460" s="1039"/>
      <c r="D460" s="1039"/>
      <c r="E460" s="1039"/>
      <c r="F460" s="1039"/>
      <c r="G460" s="1039"/>
      <c r="H460" s="1039"/>
      <c r="I460" s="1039"/>
    </row>
    <row r="461">
      <c r="B461" s="1039"/>
      <c r="C461" s="1039"/>
      <c r="D461" s="1039"/>
      <c r="E461" s="1039"/>
      <c r="F461" s="1039"/>
      <c r="G461" s="1039"/>
      <c r="H461" s="1039"/>
      <c r="I461" s="1039"/>
    </row>
    <row r="462">
      <c r="B462" s="1039"/>
      <c r="C462" s="1039"/>
      <c r="D462" s="1039"/>
      <c r="E462" s="1039"/>
      <c r="F462" s="1039"/>
      <c r="G462" s="1039"/>
      <c r="H462" s="1039"/>
      <c r="I462" s="1039"/>
    </row>
    <row r="463">
      <c r="B463" s="1039"/>
      <c r="C463" s="1039"/>
      <c r="D463" s="1039"/>
      <c r="E463" s="1039"/>
      <c r="F463" s="1039"/>
      <c r="G463" s="1039"/>
      <c r="H463" s="1039"/>
      <c r="I463" s="1039"/>
    </row>
    <row r="464">
      <c r="B464" s="1039"/>
      <c r="C464" s="1039"/>
      <c r="D464" s="1039"/>
      <c r="E464" s="1039"/>
      <c r="F464" s="1039"/>
      <c r="G464" s="1039"/>
      <c r="H464" s="1039"/>
      <c r="I464" s="1039"/>
    </row>
    <row r="465">
      <c r="B465" s="1039"/>
      <c r="C465" s="1039"/>
      <c r="D465" s="1039"/>
      <c r="E465" s="1039"/>
      <c r="F465" s="1039"/>
      <c r="G465" s="1039"/>
      <c r="H465" s="1039"/>
      <c r="I465" s="1039"/>
    </row>
    <row r="466">
      <c r="B466" s="1039"/>
      <c r="C466" s="1039"/>
      <c r="D466" s="1039"/>
      <c r="E466" s="1039"/>
      <c r="F466" s="1039"/>
      <c r="G466" s="1039"/>
      <c r="H466" s="1039"/>
      <c r="I466" s="1039"/>
    </row>
    <row r="467">
      <c r="B467" s="1039"/>
      <c r="C467" s="1039"/>
      <c r="D467" s="1039"/>
      <c r="E467" s="1039"/>
      <c r="F467" s="1039"/>
      <c r="G467" s="1039"/>
      <c r="H467" s="1039"/>
      <c r="I467" s="1039"/>
    </row>
    <row r="468">
      <c r="B468" s="1039"/>
      <c r="C468" s="1039"/>
      <c r="D468" s="1039"/>
      <c r="E468" s="1039"/>
      <c r="F468" s="1039"/>
      <c r="G468" s="1039"/>
      <c r="H468" s="1039"/>
      <c r="I468" s="1039"/>
    </row>
    <row r="469">
      <c r="B469" s="1039"/>
      <c r="C469" s="1039"/>
      <c r="D469" s="1039"/>
      <c r="E469" s="1039"/>
      <c r="F469" s="1039"/>
      <c r="G469" s="1039"/>
      <c r="H469" s="1039"/>
      <c r="I469" s="1039"/>
    </row>
    <row r="470">
      <c r="B470" s="1039"/>
      <c r="C470" s="1039"/>
      <c r="D470" s="1039"/>
      <c r="E470" s="1039"/>
      <c r="F470" s="1039"/>
      <c r="G470" s="1039"/>
      <c r="H470" s="1039"/>
      <c r="I470" s="1039"/>
    </row>
    <row r="471">
      <c r="B471" s="1039"/>
      <c r="C471" s="1039"/>
      <c r="D471" s="1039"/>
      <c r="E471" s="1039"/>
      <c r="F471" s="1039"/>
      <c r="G471" s="1039"/>
      <c r="H471" s="1039"/>
      <c r="I471" s="1039"/>
    </row>
    <row r="472">
      <c r="B472" s="1039"/>
      <c r="C472" s="1039"/>
      <c r="D472" s="1039"/>
      <c r="E472" s="1039"/>
      <c r="F472" s="1039"/>
      <c r="G472" s="1039"/>
      <c r="H472" s="1039"/>
      <c r="I472" s="1039"/>
    </row>
    <row r="473">
      <c r="B473" s="1039"/>
      <c r="C473" s="1039"/>
      <c r="D473" s="1039"/>
      <c r="E473" s="1039"/>
      <c r="F473" s="1039"/>
      <c r="G473" s="1039"/>
      <c r="H473" s="1039"/>
      <c r="I473" s="1039"/>
    </row>
    <row r="474">
      <c r="B474" s="1039"/>
      <c r="C474" s="1039"/>
      <c r="D474" s="1039"/>
      <c r="E474" s="1039"/>
      <c r="F474" s="1039"/>
      <c r="G474" s="1039"/>
      <c r="H474" s="1039"/>
      <c r="I474" s="1039"/>
    </row>
    <row r="475">
      <c r="B475" s="1039"/>
      <c r="C475" s="1039"/>
      <c r="D475" s="1039"/>
      <c r="E475" s="1039"/>
      <c r="F475" s="1039"/>
      <c r="G475" s="1039"/>
      <c r="H475" s="1039"/>
      <c r="I475" s="1039"/>
    </row>
    <row r="476">
      <c r="B476" s="1039"/>
      <c r="C476" s="1039"/>
      <c r="D476" s="1039"/>
      <c r="E476" s="1039"/>
      <c r="F476" s="1039"/>
      <c r="G476" s="1039"/>
      <c r="H476" s="1039"/>
      <c r="I476" s="1039"/>
    </row>
    <row r="477">
      <c r="B477" s="1039"/>
      <c r="C477" s="1039"/>
      <c r="D477" s="1039"/>
      <c r="E477" s="1039"/>
      <c r="F477" s="1039"/>
      <c r="G477" s="1039"/>
      <c r="H477" s="1039"/>
      <c r="I477" s="1039"/>
    </row>
    <row r="478">
      <c r="B478" s="1039"/>
      <c r="C478" s="1039"/>
      <c r="D478" s="1039"/>
      <c r="E478" s="1039"/>
      <c r="F478" s="1039"/>
      <c r="G478" s="1039"/>
      <c r="H478" s="1039"/>
      <c r="I478" s="1039"/>
    </row>
    <row r="479">
      <c r="B479" s="1039"/>
      <c r="C479" s="1039"/>
      <c r="D479" s="1039"/>
      <c r="E479" s="1039"/>
      <c r="F479" s="1039"/>
      <c r="G479" s="1039"/>
      <c r="H479" s="1039"/>
      <c r="I479" s="1039"/>
    </row>
    <row r="480">
      <c r="B480" s="1039"/>
      <c r="C480" s="1039"/>
      <c r="D480" s="1039"/>
      <c r="E480" s="1039"/>
      <c r="F480" s="1039"/>
      <c r="G480" s="1039"/>
      <c r="H480" s="1039"/>
      <c r="I480" s="1039"/>
    </row>
    <row r="481">
      <c r="B481" s="1039"/>
      <c r="C481" s="1039"/>
      <c r="D481" s="1039"/>
      <c r="E481" s="1039"/>
      <c r="F481" s="1039"/>
      <c r="G481" s="1039"/>
      <c r="H481" s="1039"/>
      <c r="I481" s="1039"/>
    </row>
    <row r="482">
      <c r="B482" s="1039"/>
      <c r="C482" s="1039"/>
      <c r="D482" s="1039"/>
      <c r="E482" s="1039"/>
      <c r="F482" s="1039"/>
      <c r="G482" s="1039"/>
      <c r="H482" s="1039"/>
      <c r="I482" s="1039"/>
    </row>
    <row r="483">
      <c r="B483" s="1039"/>
      <c r="C483" s="1039"/>
      <c r="D483" s="1039"/>
      <c r="E483" s="1039"/>
      <c r="F483" s="1039"/>
      <c r="G483" s="1039"/>
      <c r="H483" s="1039"/>
      <c r="I483" s="1039"/>
    </row>
    <row r="484">
      <c r="B484" s="1039"/>
      <c r="C484" s="1039"/>
      <c r="D484" s="1039"/>
      <c r="E484" s="1039"/>
      <c r="F484" s="1039"/>
      <c r="G484" s="1039"/>
      <c r="H484" s="1039"/>
      <c r="I484" s="1039"/>
    </row>
    <row r="485">
      <c r="B485" s="1039"/>
      <c r="C485" s="1039"/>
      <c r="D485" s="1039"/>
      <c r="E485" s="1039"/>
      <c r="F485" s="1039"/>
      <c r="G485" s="1039"/>
      <c r="H485" s="1039"/>
      <c r="I485" s="1039"/>
    </row>
    <row r="486">
      <c r="B486" s="1039"/>
      <c r="C486" s="1039"/>
      <c r="D486" s="1039"/>
      <c r="E486" s="1039"/>
      <c r="F486" s="1039"/>
      <c r="G486" s="1039"/>
      <c r="H486" s="1039"/>
      <c r="I486" s="1039"/>
    </row>
    <row r="487">
      <c r="B487" s="1039"/>
      <c r="C487" s="1039"/>
      <c r="D487" s="1039"/>
      <c r="E487" s="1039"/>
      <c r="F487" s="1039"/>
      <c r="G487" s="1039"/>
      <c r="H487" s="1039"/>
      <c r="I487" s="1039"/>
    </row>
    <row r="488">
      <c r="B488" s="1039"/>
      <c r="C488" s="1039"/>
      <c r="D488" s="1039"/>
      <c r="E488" s="1039"/>
      <c r="F488" s="1039"/>
      <c r="G488" s="1039"/>
      <c r="H488" s="1039"/>
      <c r="I488" s="1039"/>
    </row>
    <row r="489">
      <c r="B489" s="1039"/>
      <c r="C489" s="1039"/>
      <c r="D489" s="1039"/>
      <c r="E489" s="1039"/>
      <c r="F489" s="1039"/>
      <c r="G489" s="1039"/>
      <c r="H489" s="1039"/>
      <c r="I489" s="1039"/>
    </row>
    <row r="490">
      <c r="B490" s="1039"/>
      <c r="C490" s="1039"/>
      <c r="D490" s="1039"/>
      <c r="E490" s="1039"/>
      <c r="F490" s="1039"/>
      <c r="G490" s="1039"/>
      <c r="H490" s="1039"/>
      <c r="I490" s="1039"/>
    </row>
    <row r="491">
      <c r="B491" s="1039"/>
      <c r="C491" s="1039"/>
      <c r="D491" s="1039"/>
      <c r="E491" s="1039"/>
      <c r="F491" s="1039"/>
      <c r="G491" s="1039"/>
      <c r="H491" s="1039"/>
      <c r="I491" s="1039"/>
    </row>
    <row r="492">
      <c r="B492" s="1039"/>
      <c r="C492" s="1039"/>
      <c r="D492" s="1039"/>
      <c r="E492" s="1039"/>
      <c r="F492" s="1039"/>
      <c r="G492" s="1039"/>
      <c r="H492" s="1039"/>
      <c r="I492" s="1039"/>
    </row>
    <row r="493">
      <c r="B493" s="1039"/>
      <c r="C493" s="1039"/>
      <c r="D493" s="1039"/>
      <c r="E493" s="1039"/>
      <c r="F493" s="1039"/>
      <c r="G493" s="1039"/>
      <c r="H493" s="1039"/>
      <c r="I493" s="1039"/>
    </row>
    <row r="494">
      <c r="B494" s="1039"/>
      <c r="C494" s="1039"/>
      <c r="D494" s="1039"/>
      <c r="E494" s="1039"/>
      <c r="F494" s="1039"/>
      <c r="G494" s="1039"/>
      <c r="H494" s="1039"/>
      <c r="I494" s="1039"/>
    </row>
    <row r="495">
      <c r="B495" s="1039"/>
      <c r="C495" s="1039"/>
      <c r="D495" s="1039"/>
      <c r="E495" s="1039"/>
      <c r="F495" s="1039"/>
      <c r="G495" s="1039"/>
      <c r="H495" s="1039"/>
      <c r="I495" s="1039"/>
    </row>
    <row r="496">
      <c r="B496" s="1039"/>
      <c r="C496" s="1039"/>
      <c r="D496" s="1039"/>
      <c r="E496" s="1039"/>
      <c r="F496" s="1039"/>
      <c r="G496" s="1039"/>
      <c r="H496" s="1039"/>
      <c r="I496" s="1039"/>
    </row>
    <row r="497">
      <c r="B497" s="1039"/>
      <c r="C497" s="1039"/>
      <c r="D497" s="1039"/>
      <c r="E497" s="1039"/>
      <c r="F497" s="1039"/>
      <c r="G497" s="1039"/>
      <c r="H497" s="1039"/>
      <c r="I497" s="1039"/>
    </row>
    <row r="498">
      <c r="B498" s="1039"/>
      <c r="C498" s="1039"/>
      <c r="D498" s="1039"/>
      <c r="E498" s="1039"/>
      <c r="F498" s="1039"/>
      <c r="G498" s="1039"/>
      <c r="H498" s="1039"/>
      <c r="I498" s="1039"/>
    </row>
    <row r="499">
      <c r="B499" s="1039"/>
      <c r="C499" s="1039"/>
      <c r="D499" s="1039"/>
      <c r="E499" s="1039"/>
      <c r="F499" s="1039"/>
      <c r="G499" s="1039"/>
      <c r="H499" s="1039"/>
      <c r="I499" s="1039"/>
    </row>
    <row r="500">
      <c r="B500" s="1039"/>
      <c r="C500" s="1039"/>
      <c r="D500" s="1039"/>
      <c r="E500" s="1039"/>
      <c r="F500" s="1039"/>
      <c r="G500" s="1039"/>
      <c r="H500" s="1039"/>
      <c r="I500" s="1039"/>
    </row>
    <row r="501">
      <c r="B501" s="1039"/>
      <c r="C501" s="1039"/>
      <c r="D501" s="1039"/>
      <c r="E501" s="1039"/>
      <c r="F501" s="1039"/>
      <c r="G501" s="1039"/>
      <c r="H501" s="1039"/>
      <c r="I501" s="1039"/>
    </row>
    <row r="502">
      <c r="B502" s="1039"/>
      <c r="C502" s="1039"/>
      <c r="D502" s="1039"/>
      <c r="E502" s="1039"/>
      <c r="F502" s="1039"/>
      <c r="G502" s="1039"/>
      <c r="H502" s="1039"/>
      <c r="I502" s="1039"/>
    </row>
    <row r="503">
      <c r="B503" s="1039"/>
      <c r="C503" s="1039"/>
      <c r="D503" s="1039"/>
      <c r="E503" s="1039"/>
      <c r="F503" s="1039"/>
      <c r="G503" s="1039"/>
      <c r="H503" s="1039"/>
      <c r="I503" s="1039"/>
    </row>
    <row r="504">
      <c r="B504" s="1039"/>
      <c r="C504" s="1039"/>
      <c r="D504" s="1039"/>
      <c r="E504" s="1039"/>
      <c r="F504" s="1039"/>
      <c r="G504" s="1039"/>
      <c r="H504" s="1039"/>
      <c r="I504" s="1039"/>
    </row>
    <row r="505">
      <c r="B505" s="1039"/>
      <c r="C505" s="1039"/>
      <c r="D505" s="1039"/>
      <c r="E505" s="1039"/>
      <c r="F505" s="1039"/>
      <c r="G505" s="1039"/>
      <c r="H505" s="1039"/>
      <c r="I505" s="1039"/>
    </row>
    <row r="506">
      <c r="B506" s="1039"/>
      <c r="C506" s="1039"/>
      <c r="D506" s="1039"/>
      <c r="E506" s="1039"/>
      <c r="F506" s="1039"/>
      <c r="G506" s="1039"/>
      <c r="H506" s="1039"/>
      <c r="I506" s="1039"/>
    </row>
    <row r="507">
      <c r="B507" s="1039"/>
      <c r="C507" s="1039"/>
      <c r="D507" s="1039"/>
      <c r="E507" s="1039"/>
      <c r="F507" s="1039"/>
      <c r="G507" s="1039"/>
      <c r="H507" s="1039"/>
      <c r="I507" s="1039"/>
    </row>
    <row r="508">
      <c r="B508" s="1039"/>
      <c r="C508" s="1039"/>
      <c r="D508" s="1039"/>
      <c r="E508" s="1039"/>
      <c r="F508" s="1039"/>
      <c r="G508" s="1039"/>
      <c r="H508" s="1039"/>
      <c r="I508" s="1039"/>
    </row>
    <row r="509">
      <c r="B509" s="1039"/>
      <c r="C509" s="1039"/>
      <c r="D509" s="1039"/>
      <c r="E509" s="1039"/>
      <c r="F509" s="1039"/>
      <c r="G509" s="1039"/>
      <c r="H509" s="1039"/>
      <c r="I509" s="1039"/>
    </row>
    <row r="510">
      <c r="B510" s="1039"/>
      <c r="C510" s="1039"/>
      <c r="D510" s="1039"/>
      <c r="E510" s="1039"/>
      <c r="F510" s="1039"/>
      <c r="G510" s="1039"/>
      <c r="H510" s="1039"/>
      <c r="I510" s="1039"/>
    </row>
    <row r="511">
      <c r="B511" s="1039"/>
      <c r="C511" s="1039"/>
      <c r="D511" s="1039"/>
      <c r="E511" s="1039"/>
      <c r="F511" s="1039"/>
      <c r="G511" s="1039"/>
      <c r="H511" s="1039"/>
      <c r="I511" s="1039"/>
    </row>
    <row r="512">
      <c r="B512" s="1039"/>
      <c r="C512" s="1039"/>
      <c r="D512" s="1039"/>
      <c r="E512" s="1039"/>
      <c r="F512" s="1039"/>
      <c r="G512" s="1039"/>
      <c r="H512" s="1039"/>
      <c r="I512" s="1039"/>
    </row>
    <row r="513">
      <c r="B513" s="1039"/>
      <c r="C513" s="1039"/>
      <c r="D513" s="1039"/>
      <c r="E513" s="1039"/>
      <c r="F513" s="1039"/>
      <c r="G513" s="1039"/>
      <c r="H513" s="1039"/>
      <c r="I513" s="1039"/>
    </row>
    <row r="514">
      <c r="B514" s="1039"/>
      <c r="C514" s="1039"/>
      <c r="D514" s="1039"/>
      <c r="E514" s="1039"/>
      <c r="F514" s="1039"/>
      <c r="G514" s="1039"/>
      <c r="H514" s="1039"/>
      <c r="I514" s="1039"/>
    </row>
    <row r="515">
      <c r="B515" s="1039"/>
      <c r="C515" s="1039"/>
      <c r="D515" s="1039"/>
      <c r="E515" s="1039"/>
      <c r="F515" s="1039"/>
      <c r="G515" s="1039"/>
      <c r="H515" s="1039"/>
      <c r="I515" s="1039"/>
    </row>
    <row r="516">
      <c r="B516" s="1039"/>
      <c r="C516" s="1039"/>
      <c r="D516" s="1039"/>
      <c r="E516" s="1039"/>
      <c r="F516" s="1039"/>
      <c r="G516" s="1039"/>
      <c r="H516" s="1039"/>
      <c r="I516" s="1039"/>
    </row>
    <row r="517">
      <c r="B517" s="1039"/>
      <c r="C517" s="1039"/>
      <c r="D517" s="1039"/>
      <c r="E517" s="1039"/>
      <c r="F517" s="1039"/>
      <c r="G517" s="1039"/>
      <c r="H517" s="1039"/>
      <c r="I517" s="1039"/>
    </row>
    <row r="518">
      <c r="B518" s="1039"/>
      <c r="C518" s="1039"/>
      <c r="D518" s="1039"/>
      <c r="E518" s="1039"/>
      <c r="F518" s="1039"/>
      <c r="G518" s="1039"/>
      <c r="H518" s="1039"/>
      <c r="I518" s="1039"/>
    </row>
    <row r="519">
      <c r="B519" s="1039"/>
      <c r="C519" s="1039"/>
      <c r="D519" s="1039"/>
      <c r="E519" s="1039"/>
      <c r="F519" s="1039"/>
      <c r="G519" s="1039"/>
      <c r="H519" s="1039"/>
      <c r="I519" s="1039"/>
    </row>
    <row r="520">
      <c r="B520" s="1039"/>
      <c r="C520" s="1039"/>
      <c r="D520" s="1039"/>
      <c r="E520" s="1039"/>
      <c r="F520" s="1039"/>
      <c r="G520" s="1039"/>
      <c r="H520" s="1039"/>
      <c r="I520" s="1039"/>
    </row>
    <row r="521">
      <c r="B521" s="1039"/>
      <c r="C521" s="1039"/>
      <c r="D521" s="1039"/>
      <c r="E521" s="1039"/>
      <c r="F521" s="1039"/>
      <c r="G521" s="1039"/>
      <c r="H521" s="1039"/>
      <c r="I521" s="1039"/>
    </row>
    <row r="522">
      <c r="B522" s="1039"/>
      <c r="C522" s="1039"/>
      <c r="D522" s="1039"/>
      <c r="E522" s="1039"/>
      <c r="F522" s="1039"/>
      <c r="G522" s="1039"/>
      <c r="H522" s="1039"/>
      <c r="I522" s="1039"/>
    </row>
    <row r="523">
      <c r="B523" s="1039"/>
      <c r="C523" s="1039"/>
      <c r="D523" s="1039"/>
      <c r="E523" s="1039"/>
      <c r="F523" s="1039"/>
      <c r="G523" s="1039"/>
      <c r="H523" s="1039"/>
      <c r="I523" s="1039"/>
    </row>
    <row r="524">
      <c r="B524" s="1039"/>
      <c r="C524" s="1039"/>
      <c r="D524" s="1039"/>
      <c r="E524" s="1039"/>
      <c r="F524" s="1039"/>
      <c r="G524" s="1039"/>
      <c r="H524" s="1039"/>
      <c r="I524" s="1039"/>
    </row>
    <row r="525">
      <c r="B525" s="1039"/>
      <c r="C525" s="1039"/>
      <c r="D525" s="1039"/>
      <c r="E525" s="1039"/>
      <c r="F525" s="1039"/>
      <c r="G525" s="1039"/>
      <c r="H525" s="1039"/>
      <c r="I525" s="1039"/>
    </row>
    <row r="526">
      <c r="B526" s="1039"/>
      <c r="C526" s="1039"/>
      <c r="D526" s="1039"/>
      <c r="E526" s="1039"/>
      <c r="F526" s="1039"/>
      <c r="G526" s="1039"/>
      <c r="H526" s="1039"/>
      <c r="I526" s="1039"/>
    </row>
    <row r="527">
      <c r="B527" s="1039"/>
      <c r="C527" s="1039"/>
      <c r="D527" s="1039"/>
      <c r="E527" s="1039"/>
      <c r="F527" s="1039"/>
      <c r="G527" s="1039"/>
      <c r="H527" s="1039"/>
      <c r="I527" s="1039"/>
    </row>
    <row r="528">
      <c r="B528" s="1039"/>
      <c r="C528" s="1039"/>
      <c r="D528" s="1039"/>
      <c r="E528" s="1039"/>
      <c r="F528" s="1039"/>
      <c r="G528" s="1039"/>
      <c r="H528" s="1039"/>
      <c r="I528" s="1039"/>
    </row>
    <row r="529">
      <c r="B529" s="1039"/>
      <c r="C529" s="1039"/>
      <c r="D529" s="1039"/>
      <c r="E529" s="1039"/>
      <c r="F529" s="1039"/>
      <c r="G529" s="1039"/>
      <c r="H529" s="1039"/>
      <c r="I529" s="1039"/>
    </row>
    <row r="530">
      <c r="B530" s="1039"/>
      <c r="C530" s="1039"/>
      <c r="D530" s="1039"/>
      <c r="E530" s="1039"/>
      <c r="F530" s="1039"/>
      <c r="G530" s="1039"/>
      <c r="H530" s="1039"/>
      <c r="I530" s="1039"/>
    </row>
    <row r="531">
      <c r="B531" s="1039"/>
      <c r="C531" s="1039"/>
      <c r="D531" s="1039"/>
      <c r="E531" s="1039"/>
      <c r="F531" s="1039"/>
      <c r="G531" s="1039"/>
      <c r="H531" s="1039"/>
      <c r="I531" s="1039"/>
    </row>
    <row r="532">
      <c r="B532" s="1039"/>
      <c r="C532" s="1039"/>
      <c r="D532" s="1039"/>
      <c r="E532" s="1039"/>
      <c r="F532" s="1039"/>
      <c r="G532" s="1039"/>
      <c r="H532" s="1039"/>
      <c r="I532" s="1039"/>
    </row>
    <row r="533">
      <c r="B533" s="1039"/>
      <c r="C533" s="1039"/>
      <c r="D533" s="1039"/>
      <c r="E533" s="1039"/>
      <c r="F533" s="1039"/>
      <c r="G533" s="1039"/>
      <c r="H533" s="1039"/>
      <c r="I533" s="1039"/>
    </row>
    <row r="534">
      <c r="B534" s="1039"/>
      <c r="C534" s="1039"/>
      <c r="D534" s="1039"/>
      <c r="E534" s="1039"/>
      <c r="F534" s="1039"/>
      <c r="G534" s="1039"/>
      <c r="H534" s="1039"/>
      <c r="I534" s="1039"/>
    </row>
    <row r="535">
      <c r="B535" s="1039"/>
      <c r="C535" s="1039"/>
      <c r="D535" s="1039"/>
      <c r="E535" s="1039"/>
      <c r="F535" s="1039"/>
      <c r="G535" s="1039"/>
      <c r="H535" s="1039"/>
      <c r="I535" s="1039"/>
    </row>
    <row r="536">
      <c r="B536" s="1039"/>
      <c r="C536" s="1039"/>
      <c r="D536" s="1039"/>
      <c r="E536" s="1039"/>
      <c r="F536" s="1039"/>
      <c r="G536" s="1039"/>
      <c r="H536" s="1039"/>
      <c r="I536" s="1039"/>
    </row>
    <row r="537">
      <c r="B537" s="1039"/>
      <c r="C537" s="1039"/>
      <c r="D537" s="1039"/>
      <c r="E537" s="1039"/>
      <c r="F537" s="1039"/>
      <c r="G537" s="1039"/>
      <c r="H537" s="1039"/>
      <c r="I537" s="1039"/>
    </row>
    <row r="538">
      <c r="B538" s="1039"/>
      <c r="C538" s="1039"/>
      <c r="D538" s="1039"/>
      <c r="E538" s="1039"/>
      <c r="F538" s="1039"/>
      <c r="G538" s="1039"/>
      <c r="H538" s="1039"/>
      <c r="I538" s="1039"/>
    </row>
    <row r="539">
      <c r="B539" s="1039"/>
      <c r="C539" s="1039"/>
      <c r="D539" s="1039"/>
      <c r="E539" s="1039"/>
      <c r="F539" s="1039"/>
      <c r="G539" s="1039"/>
      <c r="H539" s="1039"/>
      <c r="I539" s="1039"/>
    </row>
    <row r="540">
      <c r="B540" s="1039"/>
      <c r="C540" s="1039"/>
      <c r="D540" s="1039"/>
      <c r="E540" s="1039"/>
      <c r="F540" s="1039"/>
      <c r="G540" s="1039"/>
      <c r="H540" s="1039"/>
      <c r="I540" s="1039"/>
    </row>
    <row r="541">
      <c r="B541" s="1039"/>
      <c r="C541" s="1039"/>
      <c r="D541" s="1039"/>
      <c r="E541" s="1039"/>
      <c r="F541" s="1039"/>
      <c r="G541" s="1039"/>
      <c r="H541" s="1039"/>
      <c r="I541" s="1039"/>
    </row>
    <row r="542">
      <c r="B542" s="1039"/>
      <c r="C542" s="1039"/>
      <c r="D542" s="1039"/>
      <c r="E542" s="1039"/>
      <c r="F542" s="1039"/>
      <c r="G542" s="1039"/>
      <c r="H542" s="1039"/>
      <c r="I542" s="1039"/>
    </row>
    <row r="543">
      <c r="B543" s="1039"/>
      <c r="C543" s="1039"/>
      <c r="D543" s="1039"/>
      <c r="E543" s="1039"/>
      <c r="F543" s="1039"/>
      <c r="G543" s="1039"/>
      <c r="H543" s="1039"/>
      <c r="I543" s="1039"/>
    </row>
    <row r="544">
      <c r="B544" s="1039"/>
      <c r="C544" s="1039"/>
      <c r="D544" s="1039"/>
      <c r="E544" s="1039"/>
      <c r="F544" s="1039"/>
      <c r="G544" s="1039"/>
      <c r="H544" s="1039"/>
      <c r="I544" s="1039"/>
    </row>
    <row r="545">
      <c r="B545" s="1039"/>
      <c r="C545" s="1039"/>
      <c r="D545" s="1039"/>
      <c r="E545" s="1039"/>
      <c r="F545" s="1039"/>
      <c r="G545" s="1039"/>
      <c r="H545" s="1039"/>
      <c r="I545" s="1039"/>
    </row>
    <row r="546">
      <c r="B546" s="1039"/>
      <c r="C546" s="1039"/>
      <c r="D546" s="1039"/>
      <c r="E546" s="1039"/>
      <c r="F546" s="1039"/>
      <c r="G546" s="1039"/>
      <c r="H546" s="1039"/>
      <c r="I546" s="1039"/>
    </row>
    <row r="547">
      <c r="B547" s="1039"/>
      <c r="C547" s="1039"/>
      <c r="D547" s="1039"/>
      <c r="E547" s="1039"/>
      <c r="F547" s="1039"/>
      <c r="G547" s="1039"/>
      <c r="H547" s="1039"/>
      <c r="I547" s="1039"/>
    </row>
    <row r="548">
      <c r="B548" s="1039"/>
      <c r="C548" s="1039"/>
      <c r="D548" s="1039"/>
      <c r="E548" s="1039"/>
      <c r="F548" s="1039"/>
      <c r="G548" s="1039"/>
      <c r="H548" s="1039"/>
      <c r="I548" s="1039"/>
    </row>
    <row r="549">
      <c r="B549" s="1039"/>
      <c r="C549" s="1039"/>
      <c r="D549" s="1039"/>
      <c r="E549" s="1039"/>
      <c r="F549" s="1039"/>
      <c r="G549" s="1039"/>
      <c r="H549" s="1039"/>
      <c r="I549" s="1039"/>
    </row>
    <row r="550">
      <c r="B550" s="1039"/>
      <c r="C550" s="1039"/>
      <c r="D550" s="1039"/>
      <c r="E550" s="1039"/>
      <c r="F550" s="1039"/>
      <c r="G550" s="1039"/>
      <c r="H550" s="1039"/>
      <c r="I550" s="1039"/>
    </row>
    <row r="551">
      <c r="B551" s="1039"/>
      <c r="C551" s="1039"/>
      <c r="D551" s="1039"/>
      <c r="E551" s="1039"/>
      <c r="F551" s="1039"/>
      <c r="G551" s="1039"/>
      <c r="H551" s="1039"/>
      <c r="I551" s="1039"/>
    </row>
    <row r="552">
      <c r="B552" s="1039"/>
      <c r="C552" s="1039"/>
      <c r="D552" s="1039"/>
      <c r="E552" s="1039"/>
      <c r="F552" s="1039"/>
      <c r="G552" s="1039"/>
      <c r="H552" s="1039"/>
      <c r="I552" s="1039"/>
    </row>
    <row r="553">
      <c r="B553" s="1039"/>
      <c r="C553" s="1039"/>
      <c r="D553" s="1039"/>
      <c r="E553" s="1039"/>
      <c r="F553" s="1039"/>
      <c r="G553" s="1039"/>
      <c r="H553" s="1039"/>
      <c r="I553" s="1039"/>
    </row>
    <row r="554">
      <c r="B554" s="1039"/>
      <c r="C554" s="1039"/>
      <c r="D554" s="1039"/>
      <c r="E554" s="1039"/>
      <c r="F554" s="1039"/>
      <c r="G554" s="1039"/>
      <c r="H554" s="1039"/>
      <c r="I554" s="1039"/>
    </row>
    <row r="555">
      <c r="B555" s="1039"/>
      <c r="C555" s="1039"/>
      <c r="D555" s="1039"/>
      <c r="E555" s="1039"/>
      <c r="F555" s="1039"/>
      <c r="G555" s="1039"/>
      <c r="H555" s="1039"/>
      <c r="I555" s="1039"/>
    </row>
    <row r="556">
      <c r="B556" s="1039"/>
      <c r="C556" s="1039"/>
      <c r="D556" s="1039"/>
      <c r="E556" s="1039"/>
      <c r="F556" s="1039"/>
      <c r="G556" s="1039"/>
      <c r="H556" s="1039"/>
      <c r="I556" s="1039"/>
    </row>
    <row r="557">
      <c r="B557" s="1039"/>
      <c r="C557" s="1039"/>
      <c r="D557" s="1039"/>
      <c r="E557" s="1039"/>
      <c r="F557" s="1039"/>
      <c r="G557" s="1039"/>
      <c r="H557" s="1039"/>
      <c r="I557" s="1039"/>
    </row>
    <row r="558">
      <c r="B558" s="1039"/>
      <c r="C558" s="1039"/>
      <c r="D558" s="1039"/>
      <c r="E558" s="1039"/>
      <c r="F558" s="1039"/>
      <c r="G558" s="1039"/>
      <c r="H558" s="1039"/>
      <c r="I558" s="1039"/>
    </row>
    <row r="559">
      <c r="B559" s="1039"/>
      <c r="C559" s="1039"/>
      <c r="D559" s="1039"/>
      <c r="E559" s="1039"/>
      <c r="F559" s="1039"/>
      <c r="G559" s="1039"/>
      <c r="H559" s="1039"/>
      <c r="I559" s="1039"/>
    </row>
    <row r="560">
      <c r="B560" s="1039"/>
      <c r="C560" s="1039"/>
      <c r="D560" s="1039"/>
      <c r="E560" s="1039"/>
      <c r="F560" s="1039"/>
      <c r="G560" s="1039"/>
      <c r="H560" s="1039"/>
      <c r="I560" s="1039"/>
    </row>
    <row r="561">
      <c r="B561" s="1039"/>
      <c r="C561" s="1039"/>
      <c r="D561" s="1039"/>
      <c r="E561" s="1039"/>
      <c r="F561" s="1039"/>
      <c r="G561" s="1039"/>
      <c r="H561" s="1039"/>
      <c r="I561" s="1039"/>
    </row>
    <row r="562">
      <c r="B562" s="1039"/>
      <c r="C562" s="1039"/>
      <c r="D562" s="1039"/>
      <c r="E562" s="1039"/>
      <c r="F562" s="1039"/>
      <c r="G562" s="1039"/>
      <c r="H562" s="1039"/>
      <c r="I562" s="1039"/>
    </row>
    <row r="563">
      <c r="B563" s="1039"/>
      <c r="C563" s="1039"/>
      <c r="D563" s="1039"/>
      <c r="E563" s="1039"/>
      <c r="F563" s="1039"/>
      <c r="G563" s="1039"/>
      <c r="H563" s="1039"/>
      <c r="I563" s="1039"/>
    </row>
    <row r="564">
      <c r="B564" s="1039"/>
      <c r="C564" s="1039"/>
      <c r="D564" s="1039"/>
      <c r="E564" s="1039"/>
      <c r="F564" s="1039"/>
      <c r="G564" s="1039"/>
      <c r="H564" s="1039"/>
      <c r="I564" s="1039"/>
    </row>
    <row r="565">
      <c r="B565" s="1039"/>
      <c r="C565" s="1039"/>
      <c r="D565" s="1039"/>
      <c r="E565" s="1039"/>
      <c r="F565" s="1039"/>
      <c r="G565" s="1039"/>
      <c r="H565" s="1039"/>
      <c r="I565" s="1039"/>
    </row>
    <row r="566">
      <c r="B566" s="1039"/>
      <c r="C566" s="1039"/>
      <c r="D566" s="1039"/>
      <c r="E566" s="1039"/>
      <c r="F566" s="1039"/>
      <c r="G566" s="1039"/>
      <c r="H566" s="1039"/>
      <c r="I566" s="1039"/>
    </row>
    <row r="567">
      <c r="B567" s="1039"/>
      <c r="C567" s="1039"/>
      <c r="D567" s="1039"/>
      <c r="E567" s="1039"/>
      <c r="F567" s="1039"/>
      <c r="G567" s="1039"/>
      <c r="H567" s="1039"/>
      <c r="I567" s="1039"/>
    </row>
    <row r="568">
      <c r="B568" s="1039"/>
      <c r="C568" s="1039"/>
      <c r="D568" s="1039"/>
      <c r="E568" s="1039"/>
      <c r="F568" s="1039"/>
      <c r="G568" s="1039"/>
      <c r="H568" s="1039"/>
      <c r="I568" s="1039"/>
    </row>
    <row r="569">
      <c r="B569" s="1039"/>
      <c r="C569" s="1039"/>
      <c r="D569" s="1039"/>
      <c r="E569" s="1039"/>
      <c r="F569" s="1039"/>
      <c r="G569" s="1039"/>
      <c r="H569" s="1039"/>
      <c r="I569" s="1039"/>
    </row>
    <row r="570">
      <c r="B570" s="1039"/>
      <c r="C570" s="1039"/>
      <c r="D570" s="1039"/>
      <c r="E570" s="1039"/>
      <c r="F570" s="1039"/>
      <c r="G570" s="1039"/>
      <c r="H570" s="1039"/>
      <c r="I570" s="1039"/>
    </row>
    <row r="571">
      <c r="B571" s="1039"/>
      <c r="C571" s="1039"/>
      <c r="D571" s="1039"/>
      <c r="E571" s="1039"/>
      <c r="F571" s="1039"/>
      <c r="G571" s="1039"/>
      <c r="H571" s="1039"/>
      <c r="I571" s="1039"/>
    </row>
    <row r="572">
      <c r="B572" s="1039"/>
      <c r="C572" s="1039"/>
      <c r="D572" s="1039"/>
      <c r="E572" s="1039"/>
      <c r="F572" s="1039"/>
      <c r="G572" s="1039"/>
      <c r="H572" s="1039"/>
      <c r="I572" s="1039"/>
    </row>
    <row r="573">
      <c r="B573" s="1039"/>
      <c r="C573" s="1039"/>
      <c r="D573" s="1039"/>
      <c r="E573" s="1039"/>
      <c r="F573" s="1039"/>
      <c r="G573" s="1039"/>
      <c r="H573" s="1039"/>
      <c r="I573" s="1039"/>
    </row>
    <row r="574">
      <c r="B574" s="1039"/>
      <c r="C574" s="1039"/>
      <c r="D574" s="1039"/>
      <c r="E574" s="1039"/>
      <c r="F574" s="1039"/>
      <c r="G574" s="1039"/>
      <c r="H574" s="1039"/>
      <c r="I574" s="1039"/>
    </row>
    <row r="575">
      <c r="B575" s="1039"/>
      <c r="C575" s="1039"/>
      <c r="D575" s="1039"/>
      <c r="E575" s="1039"/>
      <c r="F575" s="1039"/>
      <c r="G575" s="1039"/>
      <c r="H575" s="1039"/>
      <c r="I575" s="1039"/>
    </row>
    <row r="576">
      <c r="B576" s="1039"/>
      <c r="C576" s="1039"/>
      <c r="D576" s="1039"/>
      <c r="E576" s="1039"/>
      <c r="F576" s="1039"/>
      <c r="G576" s="1039"/>
      <c r="H576" s="1039"/>
      <c r="I576" s="1039"/>
    </row>
    <row r="577">
      <c r="B577" s="1039"/>
      <c r="C577" s="1039"/>
      <c r="D577" s="1039"/>
      <c r="E577" s="1039"/>
      <c r="F577" s="1039"/>
      <c r="G577" s="1039"/>
      <c r="H577" s="1039"/>
      <c r="I577" s="1039"/>
    </row>
    <row r="578">
      <c r="B578" s="1039"/>
      <c r="C578" s="1039"/>
      <c r="D578" s="1039"/>
      <c r="E578" s="1039"/>
      <c r="F578" s="1039"/>
      <c r="G578" s="1039"/>
      <c r="H578" s="1039"/>
      <c r="I578" s="1039"/>
    </row>
    <row r="579">
      <c r="B579" s="1039"/>
      <c r="C579" s="1039"/>
      <c r="D579" s="1039"/>
      <c r="E579" s="1039"/>
      <c r="F579" s="1039"/>
      <c r="G579" s="1039"/>
      <c r="H579" s="1039"/>
      <c r="I579" s="1039"/>
    </row>
    <row r="580">
      <c r="B580" s="1039"/>
      <c r="C580" s="1039"/>
      <c r="D580" s="1039"/>
      <c r="E580" s="1039"/>
      <c r="F580" s="1039"/>
      <c r="G580" s="1039"/>
      <c r="H580" s="1039"/>
      <c r="I580" s="1039"/>
    </row>
    <row r="581">
      <c r="B581" s="1039"/>
      <c r="C581" s="1039"/>
      <c r="D581" s="1039"/>
      <c r="E581" s="1039"/>
      <c r="F581" s="1039"/>
      <c r="G581" s="1039"/>
      <c r="H581" s="1039"/>
      <c r="I581" s="1039"/>
    </row>
    <row r="582">
      <c r="B582" s="1039"/>
      <c r="C582" s="1039"/>
      <c r="D582" s="1039"/>
      <c r="E582" s="1039"/>
      <c r="F582" s="1039"/>
      <c r="G582" s="1039"/>
      <c r="H582" s="1039"/>
      <c r="I582" s="1039"/>
    </row>
    <row r="583">
      <c r="B583" s="1039"/>
      <c r="C583" s="1039"/>
      <c r="D583" s="1039"/>
      <c r="E583" s="1039"/>
      <c r="F583" s="1039"/>
      <c r="G583" s="1039"/>
      <c r="H583" s="1039"/>
      <c r="I583" s="1039"/>
    </row>
    <row r="584">
      <c r="B584" s="1039"/>
      <c r="C584" s="1039"/>
      <c r="D584" s="1039"/>
      <c r="E584" s="1039"/>
      <c r="F584" s="1039"/>
      <c r="G584" s="1039"/>
      <c r="H584" s="1039"/>
      <c r="I584" s="1039"/>
    </row>
    <row r="585">
      <c r="B585" s="1039"/>
      <c r="C585" s="1039"/>
      <c r="D585" s="1039"/>
      <c r="E585" s="1039"/>
      <c r="F585" s="1039"/>
      <c r="G585" s="1039"/>
      <c r="H585" s="1039"/>
      <c r="I585" s="1039"/>
    </row>
    <row r="586">
      <c r="B586" s="1039"/>
      <c r="C586" s="1039"/>
      <c r="D586" s="1039"/>
      <c r="E586" s="1039"/>
      <c r="F586" s="1039"/>
      <c r="G586" s="1039"/>
      <c r="H586" s="1039"/>
      <c r="I586" s="1039"/>
    </row>
    <row r="587">
      <c r="B587" s="1039"/>
      <c r="C587" s="1039"/>
      <c r="D587" s="1039"/>
      <c r="E587" s="1039"/>
      <c r="F587" s="1039"/>
      <c r="G587" s="1039"/>
      <c r="H587" s="1039"/>
      <c r="I587" s="1039"/>
    </row>
    <row r="588">
      <c r="B588" s="1039"/>
      <c r="C588" s="1039"/>
      <c r="D588" s="1039"/>
      <c r="E588" s="1039"/>
      <c r="F588" s="1039"/>
      <c r="G588" s="1039"/>
      <c r="H588" s="1039"/>
      <c r="I588" s="1039"/>
    </row>
    <row r="589">
      <c r="B589" s="1039"/>
      <c r="C589" s="1039"/>
      <c r="D589" s="1039"/>
      <c r="E589" s="1039"/>
      <c r="F589" s="1039"/>
      <c r="G589" s="1039"/>
      <c r="H589" s="1039"/>
      <c r="I589" s="1039"/>
    </row>
    <row r="590">
      <c r="B590" s="1039"/>
      <c r="C590" s="1039"/>
      <c r="D590" s="1039"/>
      <c r="E590" s="1039"/>
      <c r="F590" s="1039"/>
      <c r="G590" s="1039"/>
      <c r="H590" s="1039"/>
      <c r="I590" s="1039"/>
    </row>
    <row r="591">
      <c r="B591" s="1039"/>
      <c r="C591" s="1039"/>
      <c r="D591" s="1039"/>
      <c r="E591" s="1039"/>
      <c r="F591" s="1039"/>
      <c r="G591" s="1039"/>
      <c r="H591" s="1039"/>
      <c r="I591" s="1039"/>
    </row>
    <row r="592">
      <c r="B592" s="1039"/>
      <c r="C592" s="1039"/>
      <c r="D592" s="1039"/>
      <c r="E592" s="1039"/>
      <c r="F592" s="1039"/>
      <c r="G592" s="1039"/>
      <c r="H592" s="1039"/>
      <c r="I592" s="1039"/>
    </row>
    <row r="593">
      <c r="B593" s="1039"/>
      <c r="C593" s="1039"/>
      <c r="D593" s="1039"/>
      <c r="E593" s="1039"/>
      <c r="F593" s="1039"/>
      <c r="G593" s="1039"/>
      <c r="H593" s="1039"/>
      <c r="I593" s="1039"/>
    </row>
    <row r="594">
      <c r="B594" s="1039"/>
      <c r="C594" s="1039"/>
      <c r="D594" s="1039"/>
      <c r="E594" s="1039"/>
      <c r="F594" s="1039"/>
      <c r="G594" s="1039"/>
      <c r="H594" s="1039"/>
      <c r="I594" s="1039"/>
    </row>
    <row r="595">
      <c r="B595" s="1039"/>
      <c r="C595" s="1039"/>
      <c r="D595" s="1039"/>
      <c r="E595" s="1039"/>
      <c r="F595" s="1039"/>
      <c r="G595" s="1039"/>
      <c r="H595" s="1039"/>
      <c r="I595" s="1039"/>
    </row>
    <row r="596">
      <c r="B596" s="1039"/>
      <c r="C596" s="1039"/>
      <c r="D596" s="1039"/>
      <c r="E596" s="1039"/>
      <c r="F596" s="1039"/>
      <c r="G596" s="1039"/>
      <c r="H596" s="1039"/>
      <c r="I596" s="1039"/>
    </row>
    <row r="597">
      <c r="B597" s="1039"/>
      <c r="C597" s="1039"/>
      <c r="D597" s="1039"/>
      <c r="E597" s="1039"/>
      <c r="F597" s="1039"/>
      <c r="G597" s="1039"/>
      <c r="H597" s="1039"/>
      <c r="I597" s="1039"/>
    </row>
    <row r="598">
      <c r="B598" s="1039"/>
      <c r="C598" s="1039"/>
      <c r="D598" s="1039"/>
      <c r="E598" s="1039"/>
      <c r="F598" s="1039"/>
      <c r="G598" s="1039"/>
      <c r="H598" s="1039"/>
      <c r="I598" s="1039"/>
    </row>
    <row r="599">
      <c r="B599" s="1039"/>
      <c r="C599" s="1039"/>
      <c r="D599" s="1039"/>
      <c r="E599" s="1039"/>
      <c r="F599" s="1039"/>
      <c r="G599" s="1039"/>
      <c r="H599" s="1039"/>
      <c r="I599" s="1039"/>
    </row>
    <row r="600">
      <c r="B600" s="1039"/>
      <c r="C600" s="1039"/>
      <c r="D600" s="1039"/>
      <c r="E600" s="1039"/>
      <c r="F600" s="1039"/>
      <c r="G600" s="1039"/>
      <c r="H600" s="1039"/>
      <c r="I600" s="1039"/>
    </row>
    <row r="601">
      <c r="B601" s="1039"/>
      <c r="C601" s="1039"/>
      <c r="D601" s="1039"/>
      <c r="E601" s="1039"/>
      <c r="F601" s="1039"/>
      <c r="G601" s="1039"/>
      <c r="H601" s="1039"/>
      <c r="I601" s="1039"/>
    </row>
    <row r="602">
      <c r="B602" s="1039"/>
      <c r="C602" s="1039"/>
      <c r="D602" s="1039"/>
      <c r="E602" s="1039"/>
      <c r="F602" s="1039"/>
      <c r="G602" s="1039"/>
      <c r="H602" s="1039"/>
      <c r="I602" s="1039"/>
    </row>
    <row r="603">
      <c r="B603" s="1039"/>
      <c r="C603" s="1039"/>
      <c r="D603" s="1039"/>
      <c r="E603" s="1039"/>
      <c r="F603" s="1039"/>
      <c r="G603" s="1039"/>
      <c r="H603" s="1039"/>
      <c r="I603" s="1039"/>
    </row>
    <row r="604">
      <c r="B604" s="1039"/>
      <c r="C604" s="1039"/>
      <c r="D604" s="1039"/>
      <c r="E604" s="1039"/>
      <c r="F604" s="1039"/>
      <c r="G604" s="1039"/>
      <c r="H604" s="1039"/>
      <c r="I604" s="1039"/>
    </row>
    <row r="605">
      <c r="B605" s="1039"/>
      <c r="C605" s="1039"/>
      <c r="D605" s="1039"/>
      <c r="E605" s="1039"/>
      <c r="F605" s="1039"/>
      <c r="G605" s="1039"/>
      <c r="H605" s="1039"/>
      <c r="I605" s="1039"/>
    </row>
    <row r="606">
      <c r="B606" s="1039"/>
      <c r="C606" s="1039"/>
      <c r="D606" s="1039"/>
      <c r="E606" s="1039"/>
      <c r="F606" s="1039"/>
      <c r="G606" s="1039"/>
      <c r="H606" s="1039"/>
      <c r="I606" s="1039"/>
    </row>
    <row r="607">
      <c r="B607" s="1039"/>
      <c r="C607" s="1039"/>
      <c r="D607" s="1039"/>
      <c r="E607" s="1039"/>
      <c r="F607" s="1039"/>
      <c r="G607" s="1039"/>
      <c r="H607" s="1039"/>
      <c r="I607" s="1039"/>
    </row>
    <row r="608">
      <c r="B608" s="1039"/>
      <c r="C608" s="1039"/>
      <c r="D608" s="1039"/>
      <c r="E608" s="1039"/>
      <c r="F608" s="1039"/>
      <c r="G608" s="1039"/>
      <c r="H608" s="1039"/>
      <c r="I608" s="1039"/>
    </row>
    <row r="609">
      <c r="B609" s="1039"/>
      <c r="C609" s="1039"/>
      <c r="D609" s="1039"/>
      <c r="E609" s="1039"/>
      <c r="F609" s="1039"/>
      <c r="G609" s="1039"/>
      <c r="H609" s="1039"/>
      <c r="I609" s="1039"/>
    </row>
    <row r="610">
      <c r="B610" s="1039"/>
      <c r="C610" s="1039"/>
      <c r="D610" s="1039"/>
      <c r="E610" s="1039"/>
      <c r="F610" s="1039"/>
      <c r="G610" s="1039"/>
      <c r="H610" s="1039"/>
      <c r="I610" s="1039"/>
    </row>
    <row r="611">
      <c r="B611" s="1039"/>
      <c r="C611" s="1039"/>
      <c r="D611" s="1039"/>
      <c r="E611" s="1039"/>
      <c r="F611" s="1039"/>
      <c r="G611" s="1039"/>
      <c r="H611" s="1039"/>
      <c r="I611" s="1039"/>
    </row>
    <row r="612">
      <c r="B612" s="1039"/>
      <c r="C612" s="1039"/>
      <c r="D612" s="1039"/>
      <c r="E612" s="1039"/>
      <c r="F612" s="1039"/>
      <c r="G612" s="1039"/>
      <c r="H612" s="1039"/>
      <c r="I612" s="1039"/>
    </row>
    <row r="613">
      <c r="B613" s="1039"/>
      <c r="C613" s="1039"/>
      <c r="D613" s="1039"/>
      <c r="E613" s="1039"/>
      <c r="F613" s="1039"/>
      <c r="G613" s="1039"/>
      <c r="H613" s="1039"/>
      <c r="I613" s="1039"/>
    </row>
    <row r="614">
      <c r="B614" s="1039"/>
      <c r="C614" s="1039"/>
      <c r="D614" s="1039"/>
      <c r="E614" s="1039"/>
      <c r="F614" s="1039"/>
      <c r="G614" s="1039"/>
      <c r="H614" s="1039"/>
      <c r="I614" s="1039"/>
    </row>
    <row r="615">
      <c r="B615" s="1039"/>
      <c r="C615" s="1039"/>
      <c r="D615" s="1039"/>
      <c r="E615" s="1039"/>
      <c r="F615" s="1039"/>
      <c r="G615" s="1039"/>
      <c r="H615" s="1039"/>
      <c r="I615" s="1039"/>
    </row>
    <row r="616">
      <c r="B616" s="1039"/>
      <c r="C616" s="1039"/>
      <c r="D616" s="1039"/>
      <c r="E616" s="1039"/>
      <c r="F616" s="1039"/>
      <c r="G616" s="1039"/>
      <c r="H616" s="1039"/>
      <c r="I616" s="1039"/>
    </row>
    <row r="617">
      <c r="B617" s="1039"/>
      <c r="C617" s="1039"/>
      <c r="D617" s="1039"/>
      <c r="E617" s="1039"/>
      <c r="F617" s="1039"/>
      <c r="G617" s="1039"/>
      <c r="H617" s="1039"/>
      <c r="I617" s="1039"/>
    </row>
    <row r="618">
      <c r="B618" s="1039"/>
      <c r="C618" s="1039"/>
      <c r="D618" s="1039"/>
      <c r="E618" s="1039"/>
      <c r="F618" s="1039"/>
      <c r="G618" s="1039"/>
      <c r="H618" s="1039"/>
      <c r="I618" s="1039"/>
    </row>
    <row r="619">
      <c r="B619" s="1039"/>
      <c r="C619" s="1039"/>
      <c r="D619" s="1039"/>
      <c r="E619" s="1039"/>
      <c r="F619" s="1039"/>
      <c r="G619" s="1039"/>
      <c r="H619" s="1039"/>
      <c r="I619" s="1039"/>
    </row>
    <row r="620">
      <c r="B620" s="1039"/>
      <c r="C620" s="1039"/>
      <c r="D620" s="1039"/>
      <c r="E620" s="1039"/>
      <c r="F620" s="1039"/>
      <c r="G620" s="1039"/>
      <c r="H620" s="1039"/>
      <c r="I620" s="1039"/>
    </row>
    <row r="621">
      <c r="B621" s="1039"/>
      <c r="C621" s="1039"/>
      <c r="D621" s="1039"/>
      <c r="E621" s="1039"/>
      <c r="F621" s="1039"/>
      <c r="G621" s="1039"/>
      <c r="H621" s="1039"/>
      <c r="I621" s="1039"/>
    </row>
    <row r="622">
      <c r="B622" s="1039"/>
      <c r="C622" s="1039"/>
      <c r="D622" s="1039"/>
      <c r="E622" s="1039"/>
      <c r="F622" s="1039"/>
      <c r="G622" s="1039"/>
      <c r="H622" s="1039"/>
      <c r="I622" s="1039"/>
    </row>
    <row r="623">
      <c r="B623" s="1039"/>
      <c r="C623" s="1039"/>
      <c r="D623" s="1039"/>
      <c r="E623" s="1039"/>
      <c r="F623" s="1039"/>
      <c r="G623" s="1039"/>
      <c r="H623" s="1039"/>
      <c r="I623" s="1039"/>
    </row>
    <row r="624">
      <c r="B624" s="1039"/>
      <c r="C624" s="1039"/>
      <c r="D624" s="1039"/>
      <c r="E624" s="1039"/>
      <c r="F624" s="1039"/>
      <c r="G624" s="1039"/>
      <c r="H624" s="1039"/>
      <c r="I624" s="1039"/>
    </row>
    <row r="625">
      <c r="B625" s="1039"/>
      <c r="C625" s="1039"/>
      <c r="D625" s="1039"/>
      <c r="E625" s="1039"/>
      <c r="F625" s="1039"/>
      <c r="G625" s="1039"/>
      <c r="H625" s="1039"/>
      <c r="I625" s="1039"/>
    </row>
    <row r="626">
      <c r="B626" s="1039"/>
      <c r="C626" s="1039"/>
      <c r="D626" s="1039"/>
      <c r="E626" s="1039"/>
      <c r="F626" s="1039"/>
      <c r="G626" s="1039"/>
      <c r="H626" s="1039"/>
      <c r="I626" s="1039"/>
    </row>
    <row r="627">
      <c r="B627" s="1039"/>
      <c r="C627" s="1039"/>
      <c r="D627" s="1039"/>
      <c r="E627" s="1039"/>
      <c r="F627" s="1039"/>
      <c r="G627" s="1039"/>
      <c r="H627" s="1039"/>
      <c r="I627" s="1039"/>
    </row>
    <row r="628">
      <c r="B628" s="1039"/>
      <c r="C628" s="1039"/>
      <c r="D628" s="1039"/>
      <c r="E628" s="1039"/>
      <c r="F628" s="1039"/>
      <c r="G628" s="1039"/>
      <c r="H628" s="1039"/>
      <c r="I628" s="1039"/>
    </row>
    <row r="629">
      <c r="B629" s="1039"/>
      <c r="C629" s="1039"/>
      <c r="D629" s="1039"/>
      <c r="E629" s="1039"/>
      <c r="F629" s="1039"/>
      <c r="G629" s="1039"/>
      <c r="H629" s="1039"/>
      <c r="I629" s="1039"/>
    </row>
    <row r="630">
      <c r="B630" s="1039"/>
      <c r="C630" s="1039"/>
      <c r="D630" s="1039"/>
      <c r="E630" s="1039"/>
      <c r="F630" s="1039"/>
      <c r="G630" s="1039"/>
      <c r="H630" s="1039"/>
      <c r="I630" s="1039"/>
    </row>
    <row r="631">
      <c r="B631" s="1039"/>
      <c r="C631" s="1039"/>
      <c r="D631" s="1039"/>
      <c r="E631" s="1039"/>
      <c r="F631" s="1039"/>
      <c r="G631" s="1039"/>
      <c r="H631" s="1039"/>
      <c r="I631" s="1039"/>
    </row>
    <row r="632">
      <c r="B632" s="1039"/>
      <c r="C632" s="1039"/>
      <c r="D632" s="1039"/>
      <c r="E632" s="1039"/>
      <c r="F632" s="1039"/>
      <c r="G632" s="1039"/>
      <c r="H632" s="1039"/>
      <c r="I632" s="1039"/>
    </row>
    <row r="633">
      <c r="B633" s="1039"/>
      <c r="C633" s="1039"/>
      <c r="D633" s="1039"/>
      <c r="E633" s="1039"/>
      <c r="F633" s="1039"/>
      <c r="G633" s="1039"/>
      <c r="H633" s="1039"/>
      <c r="I633" s="1039"/>
    </row>
    <row r="634">
      <c r="B634" s="1039"/>
      <c r="C634" s="1039"/>
      <c r="D634" s="1039"/>
      <c r="E634" s="1039"/>
      <c r="F634" s="1039"/>
      <c r="G634" s="1039"/>
      <c r="H634" s="1039"/>
      <c r="I634" s="1039"/>
    </row>
    <row r="635">
      <c r="B635" s="1039"/>
      <c r="C635" s="1039"/>
      <c r="D635" s="1039"/>
      <c r="E635" s="1039"/>
      <c r="F635" s="1039"/>
      <c r="G635" s="1039"/>
      <c r="H635" s="1039"/>
      <c r="I635" s="1039"/>
    </row>
    <row r="636">
      <c r="B636" s="1039"/>
      <c r="C636" s="1039"/>
      <c r="D636" s="1039"/>
      <c r="E636" s="1039"/>
      <c r="F636" s="1039"/>
      <c r="G636" s="1039"/>
      <c r="H636" s="1039"/>
      <c r="I636" s="1039"/>
    </row>
    <row r="637">
      <c r="B637" s="1039"/>
      <c r="C637" s="1039"/>
      <c r="D637" s="1039"/>
      <c r="E637" s="1039"/>
      <c r="F637" s="1039"/>
      <c r="G637" s="1039"/>
      <c r="H637" s="1039"/>
      <c r="I637" s="1039"/>
    </row>
    <row r="638">
      <c r="B638" s="1039"/>
      <c r="C638" s="1039"/>
      <c r="D638" s="1039"/>
      <c r="E638" s="1039"/>
      <c r="F638" s="1039"/>
      <c r="G638" s="1039"/>
      <c r="H638" s="1039"/>
      <c r="I638" s="1039"/>
    </row>
    <row r="639">
      <c r="B639" s="1039"/>
      <c r="C639" s="1039"/>
      <c r="D639" s="1039"/>
      <c r="E639" s="1039"/>
      <c r="F639" s="1039"/>
      <c r="G639" s="1039"/>
      <c r="H639" s="1039"/>
      <c r="I639" s="1039"/>
    </row>
    <row r="640">
      <c r="B640" s="1039"/>
      <c r="C640" s="1039"/>
      <c r="D640" s="1039"/>
      <c r="E640" s="1039"/>
      <c r="F640" s="1039"/>
      <c r="G640" s="1039"/>
      <c r="H640" s="1039"/>
      <c r="I640" s="1039"/>
    </row>
    <row r="641">
      <c r="B641" s="1039"/>
      <c r="C641" s="1039"/>
      <c r="D641" s="1039"/>
      <c r="E641" s="1039"/>
      <c r="F641" s="1039"/>
      <c r="G641" s="1039"/>
      <c r="H641" s="1039"/>
      <c r="I641" s="1039"/>
    </row>
    <row r="642">
      <c r="B642" s="1039"/>
      <c r="C642" s="1039"/>
      <c r="D642" s="1039"/>
      <c r="E642" s="1039"/>
      <c r="F642" s="1039"/>
      <c r="G642" s="1039"/>
      <c r="H642" s="1039"/>
      <c r="I642" s="1039"/>
    </row>
    <row r="643">
      <c r="B643" s="1039"/>
      <c r="C643" s="1039"/>
      <c r="D643" s="1039"/>
      <c r="E643" s="1039"/>
      <c r="F643" s="1039"/>
      <c r="G643" s="1039"/>
      <c r="H643" s="1039"/>
      <c r="I643" s="1039"/>
    </row>
    <row r="644">
      <c r="B644" s="1039"/>
      <c r="C644" s="1039"/>
      <c r="D644" s="1039"/>
      <c r="E644" s="1039"/>
      <c r="F644" s="1039"/>
      <c r="G644" s="1039"/>
      <c r="H644" s="1039"/>
      <c r="I644" s="1039"/>
    </row>
    <row r="645">
      <c r="B645" s="1039"/>
      <c r="C645" s="1039"/>
      <c r="D645" s="1039"/>
      <c r="E645" s="1039"/>
      <c r="F645" s="1039"/>
      <c r="G645" s="1039"/>
      <c r="H645" s="1039"/>
      <c r="I645" s="1039"/>
    </row>
    <row r="646">
      <c r="B646" s="1039"/>
      <c r="C646" s="1039"/>
      <c r="D646" s="1039"/>
      <c r="E646" s="1039"/>
      <c r="F646" s="1039"/>
      <c r="G646" s="1039"/>
      <c r="H646" s="1039"/>
      <c r="I646" s="1039"/>
    </row>
    <row r="647">
      <c r="B647" s="1039"/>
      <c r="C647" s="1039"/>
      <c r="D647" s="1039"/>
      <c r="E647" s="1039"/>
      <c r="F647" s="1039"/>
      <c r="G647" s="1039"/>
      <c r="H647" s="1039"/>
      <c r="I647" s="1039"/>
    </row>
    <row r="648">
      <c r="B648" s="1039"/>
      <c r="C648" s="1039"/>
      <c r="D648" s="1039"/>
      <c r="E648" s="1039"/>
      <c r="F648" s="1039"/>
      <c r="G648" s="1039"/>
      <c r="H648" s="1039"/>
      <c r="I648" s="1039"/>
    </row>
    <row r="649">
      <c r="B649" s="1039"/>
      <c r="C649" s="1039"/>
      <c r="D649" s="1039"/>
      <c r="E649" s="1039"/>
      <c r="F649" s="1039"/>
      <c r="G649" s="1039"/>
      <c r="H649" s="1039"/>
      <c r="I649" s="1039"/>
    </row>
    <row r="650">
      <c r="B650" s="1039"/>
      <c r="C650" s="1039"/>
      <c r="D650" s="1039"/>
      <c r="E650" s="1039"/>
      <c r="F650" s="1039"/>
      <c r="G650" s="1039"/>
      <c r="H650" s="1039"/>
      <c r="I650" s="1039"/>
    </row>
    <row r="651">
      <c r="B651" s="1039"/>
      <c r="C651" s="1039"/>
      <c r="D651" s="1039"/>
      <c r="E651" s="1039"/>
      <c r="F651" s="1039"/>
      <c r="G651" s="1039"/>
      <c r="H651" s="1039"/>
      <c r="I651" s="1039"/>
    </row>
    <row r="652">
      <c r="B652" s="1039"/>
      <c r="C652" s="1039"/>
      <c r="D652" s="1039"/>
      <c r="E652" s="1039"/>
      <c r="F652" s="1039"/>
      <c r="G652" s="1039"/>
      <c r="H652" s="1039"/>
      <c r="I652" s="1039"/>
    </row>
    <row r="653">
      <c r="B653" s="1039"/>
      <c r="C653" s="1039"/>
      <c r="D653" s="1039"/>
      <c r="E653" s="1039"/>
      <c r="F653" s="1039"/>
      <c r="G653" s="1039"/>
      <c r="H653" s="1039"/>
      <c r="I653" s="1039"/>
    </row>
    <row r="654">
      <c r="B654" s="1039"/>
      <c r="C654" s="1039"/>
      <c r="D654" s="1039"/>
      <c r="E654" s="1039"/>
      <c r="F654" s="1039"/>
      <c r="G654" s="1039"/>
      <c r="H654" s="1039"/>
      <c r="I654" s="1039"/>
    </row>
    <row r="655">
      <c r="B655" s="1039"/>
      <c r="C655" s="1039"/>
      <c r="D655" s="1039"/>
      <c r="E655" s="1039"/>
      <c r="F655" s="1039"/>
      <c r="G655" s="1039"/>
      <c r="H655" s="1039"/>
      <c r="I655" s="1039"/>
    </row>
    <row r="656">
      <c r="B656" s="1039"/>
      <c r="C656" s="1039"/>
      <c r="D656" s="1039"/>
      <c r="E656" s="1039"/>
      <c r="F656" s="1039"/>
      <c r="G656" s="1039"/>
      <c r="H656" s="1039"/>
      <c r="I656" s="1039"/>
    </row>
    <row r="657">
      <c r="B657" s="1039"/>
      <c r="C657" s="1039"/>
      <c r="D657" s="1039"/>
      <c r="E657" s="1039"/>
      <c r="F657" s="1039"/>
      <c r="G657" s="1039"/>
      <c r="H657" s="1039"/>
      <c r="I657" s="1039"/>
    </row>
    <row r="658">
      <c r="B658" s="1039"/>
      <c r="C658" s="1039"/>
      <c r="D658" s="1039"/>
      <c r="E658" s="1039"/>
      <c r="F658" s="1039"/>
      <c r="G658" s="1039"/>
      <c r="H658" s="1039"/>
      <c r="I658" s="1039"/>
    </row>
    <row r="659">
      <c r="B659" s="1039"/>
      <c r="C659" s="1039"/>
      <c r="D659" s="1039"/>
      <c r="E659" s="1039"/>
      <c r="F659" s="1039"/>
      <c r="G659" s="1039"/>
      <c r="H659" s="1039"/>
      <c r="I659" s="1039"/>
    </row>
    <row r="660">
      <c r="B660" s="1039"/>
      <c r="C660" s="1039"/>
      <c r="D660" s="1039"/>
      <c r="E660" s="1039"/>
      <c r="F660" s="1039"/>
      <c r="G660" s="1039"/>
      <c r="H660" s="1039"/>
      <c r="I660" s="1039"/>
    </row>
    <row r="661">
      <c r="B661" s="1039"/>
      <c r="C661" s="1039"/>
      <c r="D661" s="1039"/>
      <c r="E661" s="1039"/>
      <c r="F661" s="1039"/>
      <c r="G661" s="1039"/>
      <c r="H661" s="1039"/>
      <c r="I661" s="1039"/>
    </row>
    <row r="662">
      <c r="B662" s="1039"/>
      <c r="C662" s="1039"/>
      <c r="D662" s="1039"/>
      <c r="E662" s="1039"/>
      <c r="F662" s="1039"/>
      <c r="G662" s="1039"/>
      <c r="H662" s="1039"/>
      <c r="I662" s="1039"/>
    </row>
    <row r="663">
      <c r="B663" s="1039"/>
      <c r="C663" s="1039"/>
      <c r="D663" s="1039"/>
      <c r="E663" s="1039"/>
      <c r="F663" s="1039"/>
      <c r="G663" s="1039"/>
      <c r="H663" s="1039"/>
      <c r="I663" s="1039"/>
    </row>
    <row r="664">
      <c r="B664" s="1039"/>
      <c r="C664" s="1039"/>
      <c r="D664" s="1039"/>
      <c r="E664" s="1039"/>
      <c r="F664" s="1039"/>
      <c r="G664" s="1039"/>
      <c r="H664" s="1039"/>
      <c r="I664" s="1039"/>
    </row>
    <row r="665">
      <c r="B665" s="1039"/>
      <c r="C665" s="1039"/>
      <c r="D665" s="1039"/>
      <c r="E665" s="1039"/>
      <c r="F665" s="1039"/>
      <c r="G665" s="1039"/>
      <c r="H665" s="1039"/>
      <c r="I665" s="1039"/>
    </row>
    <row r="666">
      <c r="B666" s="1039"/>
      <c r="C666" s="1039"/>
      <c r="D666" s="1039"/>
      <c r="E666" s="1039"/>
      <c r="F666" s="1039"/>
      <c r="G666" s="1039"/>
      <c r="H666" s="1039"/>
      <c r="I666" s="1039"/>
    </row>
    <row r="667">
      <c r="B667" s="1039"/>
      <c r="C667" s="1039"/>
      <c r="D667" s="1039"/>
      <c r="E667" s="1039"/>
      <c r="F667" s="1039"/>
      <c r="G667" s="1039"/>
      <c r="H667" s="1039"/>
      <c r="I667" s="1039"/>
    </row>
    <row r="668">
      <c r="B668" s="1039"/>
      <c r="C668" s="1039"/>
      <c r="D668" s="1039"/>
      <c r="E668" s="1039"/>
      <c r="F668" s="1039"/>
      <c r="G668" s="1039"/>
      <c r="H668" s="1039"/>
      <c r="I668" s="1039"/>
    </row>
    <row r="669">
      <c r="B669" s="1039"/>
      <c r="C669" s="1039"/>
      <c r="D669" s="1039"/>
      <c r="E669" s="1039"/>
      <c r="F669" s="1039"/>
      <c r="G669" s="1039"/>
      <c r="H669" s="1039"/>
      <c r="I669" s="1039"/>
    </row>
    <row r="670">
      <c r="B670" s="1039"/>
      <c r="C670" s="1039"/>
      <c r="D670" s="1039"/>
      <c r="E670" s="1039"/>
      <c r="F670" s="1039"/>
      <c r="G670" s="1039"/>
      <c r="H670" s="1039"/>
      <c r="I670" s="1039"/>
    </row>
    <row r="671">
      <c r="B671" s="1039"/>
      <c r="C671" s="1039"/>
      <c r="D671" s="1039"/>
      <c r="E671" s="1039"/>
      <c r="F671" s="1039"/>
      <c r="G671" s="1039"/>
      <c r="H671" s="1039"/>
      <c r="I671" s="1039"/>
    </row>
    <row r="672">
      <c r="B672" s="1039"/>
      <c r="C672" s="1039"/>
      <c r="D672" s="1039"/>
      <c r="E672" s="1039"/>
      <c r="F672" s="1039"/>
      <c r="G672" s="1039"/>
      <c r="H672" s="1039"/>
      <c r="I672" s="1039"/>
    </row>
    <row r="673">
      <c r="B673" s="1039"/>
      <c r="C673" s="1039"/>
      <c r="D673" s="1039"/>
      <c r="E673" s="1039"/>
      <c r="F673" s="1039"/>
      <c r="G673" s="1039"/>
      <c r="H673" s="1039"/>
      <c r="I673" s="1039"/>
    </row>
    <row r="674">
      <c r="B674" s="1039"/>
      <c r="C674" s="1039"/>
      <c r="D674" s="1039"/>
      <c r="E674" s="1039"/>
      <c r="F674" s="1039"/>
      <c r="G674" s="1039"/>
      <c r="H674" s="1039"/>
      <c r="I674" s="1039"/>
    </row>
    <row r="675">
      <c r="B675" s="1039"/>
      <c r="C675" s="1039"/>
      <c r="D675" s="1039"/>
      <c r="E675" s="1039"/>
      <c r="F675" s="1039"/>
      <c r="G675" s="1039"/>
      <c r="H675" s="1039"/>
      <c r="I675" s="1039"/>
    </row>
    <row r="676">
      <c r="B676" s="1039"/>
      <c r="C676" s="1039"/>
      <c r="D676" s="1039"/>
      <c r="E676" s="1039"/>
      <c r="F676" s="1039"/>
      <c r="G676" s="1039"/>
      <c r="H676" s="1039"/>
      <c r="I676" s="1039"/>
    </row>
    <row r="677">
      <c r="B677" s="1039"/>
      <c r="C677" s="1039"/>
      <c r="D677" s="1039"/>
      <c r="E677" s="1039"/>
      <c r="F677" s="1039"/>
      <c r="G677" s="1039"/>
      <c r="H677" s="1039"/>
      <c r="I677" s="1039"/>
    </row>
    <row r="678">
      <c r="B678" s="1039"/>
      <c r="C678" s="1039"/>
      <c r="D678" s="1039"/>
      <c r="E678" s="1039"/>
      <c r="F678" s="1039"/>
      <c r="G678" s="1039"/>
      <c r="H678" s="1039"/>
      <c r="I678" s="1039"/>
    </row>
    <row r="679">
      <c r="B679" s="1039"/>
      <c r="C679" s="1039"/>
      <c r="D679" s="1039"/>
      <c r="E679" s="1039"/>
      <c r="F679" s="1039"/>
      <c r="G679" s="1039"/>
      <c r="H679" s="1039"/>
      <c r="I679" s="1039"/>
    </row>
    <row r="680">
      <c r="B680" s="1039"/>
      <c r="C680" s="1039"/>
      <c r="D680" s="1039"/>
      <c r="E680" s="1039"/>
      <c r="F680" s="1039"/>
      <c r="G680" s="1039"/>
      <c r="H680" s="1039"/>
      <c r="I680" s="1039"/>
    </row>
    <row r="681">
      <c r="B681" s="1039"/>
      <c r="C681" s="1039"/>
      <c r="D681" s="1039"/>
      <c r="E681" s="1039"/>
      <c r="F681" s="1039"/>
      <c r="G681" s="1039"/>
      <c r="H681" s="1039"/>
      <c r="I681" s="1039"/>
    </row>
    <row r="682">
      <c r="B682" s="1039"/>
      <c r="C682" s="1039"/>
      <c r="D682" s="1039"/>
      <c r="E682" s="1039"/>
      <c r="F682" s="1039"/>
      <c r="G682" s="1039"/>
      <c r="H682" s="1039"/>
      <c r="I682" s="1039"/>
    </row>
    <row r="683">
      <c r="B683" s="1039"/>
      <c r="C683" s="1039"/>
      <c r="D683" s="1039"/>
      <c r="E683" s="1039"/>
      <c r="F683" s="1039"/>
      <c r="G683" s="1039"/>
      <c r="H683" s="1039"/>
      <c r="I683" s="1039"/>
    </row>
    <row r="684">
      <c r="B684" s="1039"/>
      <c r="C684" s="1039"/>
      <c r="D684" s="1039"/>
      <c r="E684" s="1039"/>
      <c r="F684" s="1039"/>
      <c r="G684" s="1039"/>
      <c r="H684" s="1039"/>
      <c r="I684" s="1039"/>
    </row>
    <row r="685">
      <c r="B685" s="1039"/>
      <c r="C685" s="1039"/>
      <c r="D685" s="1039"/>
      <c r="E685" s="1039"/>
      <c r="F685" s="1039"/>
      <c r="G685" s="1039"/>
      <c r="H685" s="1039"/>
      <c r="I685" s="1039"/>
    </row>
    <row r="686">
      <c r="B686" s="1039"/>
      <c r="C686" s="1039"/>
      <c r="D686" s="1039"/>
      <c r="E686" s="1039"/>
      <c r="F686" s="1039"/>
      <c r="G686" s="1039"/>
      <c r="H686" s="1039"/>
      <c r="I686" s="1039"/>
    </row>
    <row r="687">
      <c r="B687" s="1039"/>
      <c r="C687" s="1039"/>
      <c r="D687" s="1039"/>
      <c r="E687" s="1039"/>
      <c r="F687" s="1039"/>
      <c r="G687" s="1039"/>
      <c r="H687" s="1039"/>
      <c r="I687" s="1039"/>
    </row>
    <row r="688">
      <c r="B688" s="1039"/>
      <c r="C688" s="1039"/>
      <c r="D688" s="1039"/>
      <c r="E688" s="1039"/>
      <c r="F688" s="1039"/>
      <c r="G688" s="1039"/>
      <c r="H688" s="1039"/>
      <c r="I688" s="1039"/>
    </row>
    <row r="689">
      <c r="B689" s="1039"/>
      <c r="C689" s="1039"/>
      <c r="D689" s="1039"/>
      <c r="E689" s="1039"/>
      <c r="F689" s="1039"/>
      <c r="G689" s="1039"/>
      <c r="H689" s="1039"/>
      <c r="I689" s="1039"/>
    </row>
    <row r="690">
      <c r="B690" s="1039"/>
      <c r="C690" s="1039"/>
      <c r="D690" s="1039"/>
      <c r="E690" s="1039"/>
      <c r="F690" s="1039"/>
      <c r="G690" s="1039"/>
      <c r="H690" s="1039"/>
      <c r="I690" s="1039"/>
    </row>
    <row r="691">
      <c r="B691" s="1039"/>
      <c r="C691" s="1039"/>
      <c r="D691" s="1039"/>
      <c r="E691" s="1039"/>
      <c r="F691" s="1039"/>
      <c r="G691" s="1039"/>
      <c r="H691" s="1039"/>
      <c r="I691" s="1039"/>
    </row>
    <row r="692">
      <c r="B692" s="1039"/>
      <c r="C692" s="1039"/>
      <c r="D692" s="1039"/>
      <c r="E692" s="1039"/>
      <c r="F692" s="1039"/>
      <c r="G692" s="1039"/>
      <c r="H692" s="1039"/>
      <c r="I692" s="1039"/>
    </row>
    <row r="693">
      <c r="B693" s="1039"/>
      <c r="C693" s="1039"/>
      <c r="D693" s="1039"/>
      <c r="E693" s="1039"/>
      <c r="F693" s="1039"/>
      <c r="G693" s="1039"/>
      <c r="H693" s="1039"/>
      <c r="I693" s="1039"/>
    </row>
    <row r="694">
      <c r="B694" s="1039"/>
      <c r="C694" s="1039"/>
      <c r="D694" s="1039"/>
      <c r="E694" s="1039"/>
      <c r="F694" s="1039"/>
      <c r="G694" s="1039"/>
      <c r="H694" s="1039"/>
      <c r="I694" s="1039"/>
    </row>
    <row r="695">
      <c r="B695" s="1039"/>
      <c r="C695" s="1039"/>
      <c r="D695" s="1039"/>
      <c r="E695" s="1039"/>
      <c r="F695" s="1039"/>
      <c r="G695" s="1039"/>
      <c r="H695" s="1039"/>
      <c r="I695" s="1039"/>
    </row>
    <row r="696">
      <c r="B696" s="1039"/>
      <c r="C696" s="1039"/>
      <c r="D696" s="1039"/>
      <c r="E696" s="1039"/>
      <c r="F696" s="1039"/>
      <c r="G696" s="1039"/>
      <c r="H696" s="1039"/>
      <c r="I696" s="1039"/>
    </row>
    <row r="697">
      <c r="B697" s="1039"/>
      <c r="C697" s="1039"/>
      <c r="D697" s="1039"/>
      <c r="E697" s="1039"/>
      <c r="F697" s="1039"/>
      <c r="G697" s="1039"/>
      <c r="H697" s="1039"/>
      <c r="I697" s="1039"/>
    </row>
    <row r="698">
      <c r="B698" s="1039"/>
      <c r="C698" s="1039"/>
      <c r="D698" s="1039"/>
      <c r="E698" s="1039"/>
      <c r="F698" s="1039"/>
      <c r="G698" s="1039"/>
      <c r="H698" s="1039"/>
      <c r="I698" s="1039"/>
    </row>
    <row r="699">
      <c r="B699" s="1039"/>
      <c r="C699" s="1039"/>
      <c r="D699" s="1039"/>
      <c r="E699" s="1039"/>
      <c r="F699" s="1039"/>
      <c r="G699" s="1039"/>
      <c r="H699" s="1039"/>
      <c r="I699" s="1039"/>
    </row>
    <row r="700">
      <c r="B700" s="1039"/>
      <c r="C700" s="1039"/>
      <c r="D700" s="1039"/>
      <c r="E700" s="1039"/>
      <c r="F700" s="1039"/>
      <c r="G700" s="1039"/>
      <c r="H700" s="1039"/>
      <c r="I700" s="1039"/>
    </row>
    <row r="701">
      <c r="B701" s="1039"/>
      <c r="C701" s="1039"/>
      <c r="D701" s="1039"/>
      <c r="E701" s="1039"/>
      <c r="F701" s="1039"/>
      <c r="G701" s="1039"/>
      <c r="H701" s="1039"/>
      <c r="I701" s="1039"/>
    </row>
    <row r="702">
      <c r="B702" s="1039"/>
      <c r="C702" s="1039"/>
      <c r="D702" s="1039"/>
      <c r="E702" s="1039"/>
      <c r="F702" s="1039"/>
      <c r="G702" s="1039"/>
      <c r="H702" s="1039"/>
      <c r="I702" s="1039"/>
    </row>
    <row r="703">
      <c r="B703" s="1039"/>
      <c r="C703" s="1039"/>
      <c r="D703" s="1039"/>
      <c r="E703" s="1039"/>
      <c r="F703" s="1039"/>
      <c r="G703" s="1039"/>
      <c r="H703" s="1039"/>
      <c r="I703" s="1039"/>
    </row>
    <row r="704">
      <c r="B704" s="1039"/>
      <c r="C704" s="1039"/>
      <c r="D704" s="1039"/>
      <c r="E704" s="1039"/>
      <c r="F704" s="1039"/>
      <c r="G704" s="1039"/>
      <c r="H704" s="1039"/>
      <c r="I704" s="1039"/>
    </row>
    <row r="705">
      <c r="B705" s="1039"/>
      <c r="C705" s="1039"/>
      <c r="D705" s="1039"/>
      <c r="E705" s="1039"/>
      <c r="F705" s="1039"/>
      <c r="G705" s="1039"/>
      <c r="H705" s="1039"/>
      <c r="I705" s="1039"/>
    </row>
    <row r="706">
      <c r="B706" s="1039"/>
      <c r="C706" s="1039"/>
      <c r="D706" s="1039"/>
      <c r="E706" s="1039"/>
      <c r="F706" s="1039"/>
      <c r="G706" s="1039"/>
      <c r="H706" s="1039"/>
      <c r="I706" s="1039"/>
    </row>
    <row r="707">
      <c r="B707" s="1039"/>
      <c r="C707" s="1039"/>
      <c r="D707" s="1039"/>
      <c r="E707" s="1039"/>
      <c r="F707" s="1039"/>
      <c r="G707" s="1039"/>
      <c r="H707" s="1039"/>
      <c r="I707" s="1039"/>
    </row>
    <row r="708">
      <c r="B708" s="1039"/>
      <c r="C708" s="1039"/>
      <c r="D708" s="1039"/>
      <c r="E708" s="1039"/>
      <c r="F708" s="1039"/>
      <c r="G708" s="1039"/>
      <c r="H708" s="1039"/>
      <c r="I708" s="1039"/>
    </row>
    <row r="709">
      <c r="B709" s="1039"/>
      <c r="C709" s="1039"/>
      <c r="D709" s="1039"/>
      <c r="E709" s="1039"/>
      <c r="F709" s="1039"/>
      <c r="G709" s="1039"/>
      <c r="H709" s="1039"/>
      <c r="I709" s="1039"/>
    </row>
    <row r="710">
      <c r="B710" s="1039"/>
      <c r="C710" s="1039"/>
      <c r="D710" s="1039"/>
      <c r="E710" s="1039"/>
      <c r="F710" s="1039"/>
      <c r="G710" s="1039"/>
      <c r="H710" s="1039"/>
      <c r="I710" s="1039"/>
    </row>
    <row r="711">
      <c r="B711" s="1039"/>
      <c r="C711" s="1039"/>
      <c r="D711" s="1039"/>
      <c r="E711" s="1039"/>
      <c r="F711" s="1039"/>
      <c r="G711" s="1039"/>
      <c r="H711" s="1039"/>
      <c r="I711" s="1039"/>
    </row>
    <row r="712">
      <c r="B712" s="1039"/>
      <c r="C712" s="1039"/>
      <c r="D712" s="1039"/>
      <c r="E712" s="1039"/>
      <c r="F712" s="1039"/>
      <c r="G712" s="1039"/>
      <c r="H712" s="1039"/>
      <c r="I712" s="1039"/>
    </row>
    <row r="713">
      <c r="B713" s="1039"/>
      <c r="C713" s="1039"/>
      <c r="D713" s="1039"/>
      <c r="E713" s="1039"/>
      <c r="F713" s="1039"/>
      <c r="G713" s="1039"/>
      <c r="H713" s="1039"/>
      <c r="I713" s="1039"/>
    </row>
    <row r="714">
      <c r="B714" s="1039"/>
      <c r="C714" s="1039"/>
      <c r="D714" s="1039"/>
      <c r="E714" s="1039"/>
      <c r="F714" s="1039"/>
      <c r="G714" s="1039"/>
      <c r="H714" s="1039"/>
      <c r="I714" s="1039"/>
    </row>
    <row r="715">
      <c r="B715" s="1039"/>
      <c r="C715" s="1039"/>
      <c r="D715" s="1039"/>
      <c r="E715" s="1039"/>
      <c r="F715" s="1039"/>
      <c r="G715" s="1039"/>
      <c r="H715" s="1039"/>
      <c r="I715" s="1039"/>
    </row>
    <row r="716">
      <c r="B716" s="1039"/>
      <c r="C716" s="1039"/>
      <c r="D716" s="1039"/>
      <c r="E716" s="1039"/>
      <c r="F716" s="1039"/>
      <c r="G716" s="1039"/>
      <c r="H716" s="1039"/>
      <c r="I716" s="1039"/>
    </row>
    <row r="717">
      <c r="B717" s="1039"/>
      <c r="C717" s="1039"/>
      <c r="D717" s="1039"/>
      <c r="E717" s="1039"/>
      <c r="F717" s="1039"/>
      <c r="G717" s="1039"/>
      <c r="H717" s="1039"/>
      <c r="I717" s="1039"/>
    </row>
    <row r="718">
      <c r="B718" s="1039"/>
      <c r="C718" s="1039"/>
      <c r="D718" s="1039"/>
      <c r="E718" s="1039"/>
      <c r="F718" s="1039"/>
      <c r="G718" s="1039"/>
      <c r="H718" s="1039"/>
      <c r="I718" s="1039"/>
    </row>
    <row r="719">
      <c r="B719" s="1039"/>
      <c r="C719" s="1039"/>
      <c r="D719" s="1039"/>
      <c r="E719" s="1039"/>
      <c r="F719" s="1039"/>
      <c r="G719" s="1039"/>
      <c r="H719" s="1039"/>
      <c r="I719" s="1039"/>
    </row>
    <row r="720">
      <c r="B720" s="1039"/>
      <c r="C720" s="1039"/>
      <c r="D720" s="1039"/>
      <c r="E720" s="1039"/>
      <c r="F720" s="1039"/>
      <c r="G720" s="1039"/>
      <c r="H720" s="1039"/>
      <c r="I720" s="1039"/>
    </row>
    <row r="721">
      <c r="B721" s="1039"/>
      <c r="C721" s="1039"/>
      <c r="D721" s="1039"/>
      <c r="E721" s="1039"/>
      <c r="F721" s="1039"/>
      <c r="G721" s="1039"/>
      <c r="H721" s="1039"/>
      <c r="I721" s="1039"/>
    </row>
    <row r="722">
      <c r="B722" s="1039"/>
      <c r="C722" s="1039"/>
      <c r="D722" s="1039"/>
      <c r="E722" s="1039"/>
      <c r="F722" s="1039"/>
      <c r="G722" s="1039"/>
      <c r="H722" s="1039"/>
      <c r="I722" s="1039"/>
    </row>
    <row r="723">
      <c r="B723" s="1039"/>
      <c r="C723" s="1039"/>
      <c r="D723" s="1039"/>
      <c r="E723" s="1039"/>
      <c r="F723" s="1039"/>
      <c r="G723" s="1039"/>
      <c r="H723" s="1039"/>
      <c r="I723" s="1039"/>
    </row>
    <row r="724">
      <c r="B724" s="1039"/>
      <c r="C724" s="1039"/>
      <c r="D724" s="1039"/>
      <c r="E724" s="1039"/>
      <c r="F724" s="1039"/>
      <c r="G724" s="1039"/>
      <c r="H724" s="1039"/>
      <c r="I724" s="1039"/>
    </row>
    <row r="725">
      <c r="B725" s="1039"/>
      <c r="C725" s="1039"/>
      <c r="D725" s="1039"/>
      <c r="E725" s="1039"/>
      <c r="F725" s="1039"/>
      <c r="G725" s="1039"/>
      <c r="H725" s="1039"/>
      <c r="I725" s="1039"/>
    </row>
    <row r="726">
      <c r="B726" s="1039"/>
      <c r="C726" s="1039"/>
      <c r="D726" s="1039"/>
      <c r="E726" s="1039"/>
      <c r="F726" s="1039"/>
      <c r="G726" s="1039"/>
      <c r="H726" s="1039"/>
      <c r="I726" s="1039"/>
    </row>
    <row r="727">
      <c r="B727" s="1039"/>
      <c r="C727" s="1039"/>
      <c r="D727" s="1039"/>
      <c r="E727" s="1039"/>
      <c r="F727" s="1039"/>
      <c r="G727" s="1039"/>
      <c r="H727" s="1039"/>
      <c r="I727" s="1039"/>
    </row>
    <row r="728">
      <c r="B728" s="1039"/>
      <c r="C728" s="1039"/>
      <c r="D728" s="1039"/>
      <c r="E728" s="1039"/>
      <c r="F728" s="1039"/>
      <c r="G728" s="1039"/>
      <c r="H728" s="1039"/>
      <c r="I728" s="1039"/>
    </row>
    <row r="729">
      <c r="B729" s="1039"/>
      <c r="C729" s="1039"/>
      <c r="D729" s="1039"/>
      <c r="E729" s="1039"/>
      <c r="F729" s="1039"/>
      <c r="G729" s="1039"/>
      <c r="H729" s="1039"/>
      <c r="I729" s="1039"/>
    </row>
    <row r="730">
      <c r="B730" s="1039"/>
      <c r="C730" s="1039"/>
      <c r="D730" s="1039"/>
      <c r="E730" s="1039"/>
      <c r="F730" s="1039"/>
      <c r="G730" s="1039"/>
      <c r="H730" s="1039"/>
      <c r="I730" s="1039"/>
    </row>
    <row r="731">
      <c r="B731" s="1039"/>
      <c r="C731" s="1039"/>
      <c r="D731" s="1039"/>
      <c r="E731" s="1039"/>
      <c r="F731" s="1039"/>
      <c r="G731" s="1039"/>
      <c r="H731" s="1039"/>
      <c r="I731" s="1039"/>
    </row>
    <row r="732">
      <c r="B732" s="1039"/>
      <c r="C732" s="1039"/>
      <c r="D732" s="1039"/>
      <c r="E732" s="1039"/>
      <c r="F732" s="1039"/>
      <c r="G732" s="1039"/>
      <c r="H732" s="1039"/>
      <c r="I732" s="1039"/>
    </row>
    <row r="733">
      <c r="B733" s="1039"/>
      <c r="C733" s="1039"/>
      <c r="D733" s="1039"/>
      <c r="E733" s="1039"/>
      <c r="F733" s="1039"/>
      <c r="G733" s="1039"/>
      <c r="H733" s="1039"/>
      <c r="I733" s="1039"/>
    </row>
    <row r="734">
      <c r="B734" s="1039"/>
      <c r="C734" s="1039"/>
      <c r="D734" s="1039"/>
      <c r="E734" s="1039"/>
      <c r="F734" s="1039"/>
      <c r="G734" s="1039"/>
      <c r="H734" s="1039"/>
      <c r="I734" s="1039"/>
    </row>
    <row r="735">
      <c r="B735" s="1039"/>
      <c r="C735" s="1039"/>
      <c r="D735" s="1039"/>
      <c r="E735" s="1039"/>
      <c r="F735" s="1039"/>
      <c r="G735" s="1039"/>
      <c r="H735" s="1039"/>
      <c r="I735" s="1039"/>
    </row>
    <row r="736">
      <c r="B736" s="1039"/>
      <c r="C736" s="1039"/>
      <c r="D736" s="1039"/>
      <c r="E736" s="1039"/>
      <c r="F736" s="1039"/>
      <c r="G736" s="1039"/>
      <c r="H736" s="1039"/>
      <c r="I736" s="1039"/>
    </row>
    <row r="737">
      <c r="B737" s="1039"/>
      <c r="C737" s="1039"/>
      <c r="D737" s="1039"/>
      <c r="E737" s="1039"/>
      <c r="F737" s="1039"/>
      <c r="G737" s="1039"/>
      <c r="H737" s="1039"/>
      <c r="I737" s="1039"/>
    </row>
    <row r="738">
      <c r="B738" s="1039"/>
      <c r="C738" s="1039"/>
      <c r="D738" s="1039"/>
      <c r="E738" s="1039"/>
      <c r="F738" s="1039"/>
      <c r="G738" s="1039"/>
      <c r="H738" s="1039"/>
      <c r="I738" s="1039"/>
    </row>
    <row r="739">
      <c r="B739" s="1039"/>
      <c r="C739" s="1039"/>
      <c r="D739" s="1039"/>
      <c r="E739" s="1039"/>
      <c r="F739" s="1039"/>
      <c r="G739" s="1039"/>
      <c r="H739" s="1039"/>
      <c r="I739" s="1039"/>
    </row>
    <row r="740">
      <c r="B740" s="1039"/>
      <c r="C740" s="1039"/>
      <c r="D740" s="1039"/>
      <c r="E740" s="1039"/>
      <c r="F740" s="1039"/>
      <c r="G740" s="1039"/>
      <c r="H740" s="1039"/>
      <c r="I740" s="1039"/>
    </row>
    <row r="741">
      <c r="B741" s="1039"/>
      <c r="C741" s="1039"/>
      <c r="D741" s="1039"/>
      <c r="E741" s="1039"/>
      <c r="F741" s="1039"/>
      <c r="G741" s="1039"/>
      <c r="H741" s="1039"/>
      <c r="I741" s="1039"/>
    </row>
    <row r="742">
      <c r="B742" s="1039"/>
      <c r="C742" s="1039"/>
      <c r="D742" s="1039"/>
      <c r="E742" s="1039"/>
      <c r="F742" s="1039"/>
      <c r="G742" s="1039"/>
      <c r="H742" s="1039"/>
      <c r="I742" s="1039"/>
    </row>
    <row r="743">
      <c r="B743" s="1039"/>
      <c r="C743" s="1039"/>
      <c r="D743" s="1039"/>
      <c r="E743" s="1039"/>
      <c r="F743" s="1039"/>
      <c r="G743" s="1039"/>
      <c r="H743" s="1039"/>
      <c r="I743" s="1039"/>
    </row>
    <row r="744">
      <c r="B744" s="1039"/>
      <c r="C744" s="1039"/>
      <c r="D744" s="1039"/>
      <c r="E744" s="1039"/>
      <c r="F744" s="1039"/>
      <c r="G744" s="1039"/>
      <c r="H744" s="1039"/>
      <c r="I744" s="1039"/>
    </row>
    <row r="745">
      <c r="B745" s="1039"/>
      <c r="C745" s="1039"/>
      <c r="D745" s="1039"/>
      <c r="E745" s="1039"/>
      <c r="F745" s="1039"/>
      <c r="G745" s="1039"/>
      <c r="H745" s="1039"/>
      <c r="I745" s="1039"/>
    </row>
    <row r="746">
      <c r="B746" s="1039"/>
      <c r="C746" s="1039"/>
      <c r="D746" s="1039"/>
      <c r="E746" s="1039"/>
      <c r="F746" s="1039"/>
      <c r="G746" s="1039"/>
      <c r="H746" s="1039"/>
      <c r="I746" s="1039"/>
    </row>
    <row r="747">
      <c r="B747" s="1039"/>
      <c r="C747" s="1039"/>
      <c r="D747" s="1039"/>
      <c r="E747" s="1039"/>
      <c r="F747" s="1039"/>
      <c r="G747" s="1039"/>
      <c r="H747" s="1039"/>
      <c r="I747" s="1039"/>
    </row>
    <row r="748">
      <c r="B748" s="1039"/>
      <c r="C748" s="1039"/>
      <c r="D748" s="1039"/>
      <c r="E748" s="1039"/>
      <c r="F748" s="1039"/>
      <c r="G748" s="1039"/>
      <c r="H748" s="1039"/>
      <c r="I748" s="1039"/>
    </row>
    <row r="749">
      <c r="B749" s="1039"/>
      <c r="C749" s="1039"/>
      <c r="D749" s="1039"/>
      <c r="E749" s="1039"/>
      <c r="F749" s="1039"/>
      <c r="G749" s="1039"/>
      <c r="H749" s="1039"/>
      <c r="I749" s="1039"/>
    </row>
    <row r="750">
      <c r="B750" s="1039"/>
      <c r="C750" s="1039"/>
      <c r="D750" s="1039"/>
      <c r="E750" s="1039"/>
      <c r="F750" s="1039"/>
      <c r="G750" s="1039"/>
      <c r="H750" s="1039"/>
      <c r="I750" s="1039"/>
    </row>
    <row r="751">
      <c r="B751" s="1039"/>
      <c r="C751" s="1039"/>
      <c r="D751" s="1039"/>
      <c r="E751" s="1039"/>
      <c r="F751" s="1039"/>
      <c r="G751" s="1039"/>
      <c r="H751" s="1039"/>
      <c r="I751" s="1039"/>
    </row>
    <row r="752">
      <c r="B752" s="1039"/>
      <c r="C752" s="1039"/>
      <c r="D752" s="1039"/>
      <c r="E752" s="1039"/>
      <c r="F752" s="1039"/>
      <c r="G752" s="1039"/>
      <c r="H752" s="1039"/>
      <c r="I752" s="1039"/>
    </row>
    <row r="753">
      <c r="B753" s="1039"/>
      <c r="C753" s="1039"/>
      <c r="D753" s="1039"/>
      <c r="E753" s="1039"/>
      <c r="F753" s="1039"/>
      <c r="G753" s="1039"/>
      <c r="H753" s="1039"/>
      <c r="I753" s="1039"/>
    </row>
    <row r="754">
      <c r="B754" s="1039"/>
      <c r="C754" s="1039"/>
      <c r="D754" s="1039"/>
      <c r="E754" s="1039"/>
      <c r="F754" s="1039"/>
      <c r="G754" s="1039"/>
      <c r="H754" s="1039"/>
      <c r="I754" s="1039"/>
    </row>
    <row r="755">
      <c r="B755" s="1039"/>
      <c r="C755" s="1039"/>
      <c r="D755" s="1039"/>
      <c r="E755" s="1039"/>
      <c r="F755" s="1039"/>
      <c r="G755" s="1039"/>
      <c r="H755" s="1039"/>
      <c r="I755" s="1039"/>
    </row>
    <row r="756">
      <c r="B756" s="1039"/>
      <c r="C756" s="1039"/>
      <c r="D756" s="1039"/>
      <c r="E756" s="1039"/>
      <c r="F756" s="1039"/>
      <c r="G756" s="1039"/>
      <c r="H756" s="1039"/>
      <c r="I756" s="1039"/>
    </row>
    <row r="757">
      <c r="B757" s="1039"/>
      <c r="C757" s="1039"/>
      <c r="D757" s="1039"/>
      <c r="E757" s="1039"/>
      <c r="F757" s="1039"/>
      <c r="G757" s="1039"/>
      <c r="H757" s="1039"/>
      <c r="I757" s="1039"/>
    </row>
    <row r="758">
      <c r="B758" s="1039"/>
      <c r="C758" s="1039"/>
      <c r="D758" s="1039"/>
      <c r="E758" s="1039"/>
      <c r="F758" s="1039"/>
      <c r="G758" s="1039"/>
      <c r="H758" s="1039"/>
      <c r="I758" s="1039"/>
    </row>
    <row r="759">
      <c r="B759" s="1039"/>
      <c r="C759" s="1039"/>
      <c r="D759" s="1039"/>
      <c r="E759" s="1039"/>
      <c r="F759" s="1039"/>
      <c r="G759" s="1039"/>
      <c r="H759" s="1039"/>
      <c r="I759" s="1039"/>
    </row>
    <row r="760">
      <c r="B760" s="1039"/>
      <c r="C760" s="1039"/>
      <c r="D760" s="1039"/>
      <c r="E760" s="1039"/>
      <c r="F760" s="1039"/>
      <c r="G760" s="1039"/>
      <c r="H760" s="1039"/>
      <c r="I760" s="1039"/>
    </row>
    <row r="761">
      <c r="B761" s="1039"/>
      <c r="C761" s="1039"/>
      <c r="D761" s="1039"/>
      <c r="E761" s="1039"/>
      <c r="F761" s="1039"/>
      <c r="G761" s="1039"/>
      <c r="H761" s="1039"/>
      <c r="I761" s="1039"/>
    </row>
    <row r="762">
      <c r="B762" s="1039"/>
      <c r="C762" s="1039"/>
      <c r="D762" s="1039"/>
      <c r="E762" s="1039"/>
      <c r="F762" s="1039"/>
      <c r="G762" s="1039"/>
      <c r="H762" s="1039"/>
      <c r="I762" s="1039"/>
    </row>
    <row r="763">
      <c r="B763" s="1039"/>
      <c r="C763" s="1039"/>
      <c r="D763" s="1039"/>
      <c r="E763" s="1039"/>
      <c r="F763" s="1039"/>
      <c r="G763" s="1039"/>
      <c r="H763" s="1039"/>
      <c r="I763" s="1039"/>
    </row>
    <row r="764">
      <c r="B764" s="1039"/>
      <c r="C764" s="1039"/>
      <c r="D764" s="1039"/>
      <c r="E764" s="1039"/>
      <c r="F764" s="1039"/>
      <c r="G764" s="1039"/>
      <c r="H764" s="1039"/>
      <c r="I764" s="1039"/>
    </row>
    <row r="765">
      <c r="B765" s="1039"/>
      <c r="C765" s="1039"/>
      <c r="D765" s="1039"/>
      <c r="E765" s="1039"/>
      <c r="F765" s="1039"/>
      <c r="G765" s="1039"/>
      <c r="H765" s="1039"/>
      <c r="I765" s="1039"/>
    </row>
    <row r="766">
      <c r="B766" s="1039"/>
      <c r="C766" s="1039"/>
      <c r="D766" s="1039"/>
      <c r="E766" s="1039"/>
      <c r="F766" s="1039"/>
      <c r="G766" s="1039"/>
      <c r="H766" s="1039"/>
      <c r="I766" s="1039"/>
    </row>
    <row r="767">
      <c r="B767" s="1039"/>
      <c r="C767" s="1039"/>
      <c r="D767" s="1039"/>
      <c r="E767" s="1039"/>
      <c r="F767" s="1039"/>
      <c r="G767" s="1039"/>
      <c r="H767" s="1039"/>
      <c r="I767" s="1039"/>
    </row>
    <row r="768">
      <c r="B768" s="1039"/>
      <c r="C768" s="1039"/>
      <c r="D768" s="1039"/>
      <c r="E768" s="1039"/>
      <c r="F768" s="1039"/>
      <c r="G768" s="1039"/>
      <c r="H768" s="1039"/>
      <c r="I768" s="1039"/>
    </row>
    <row r="769">
      <c r="B769" s="1039"/>
      <c r="C769" s="1039"/>
      <c r="D769" s="1039"/>
      <c r="E769" s="1039"/>
      <c r="F769" s="1039"/>
      <c r="G769" s="1039"/>
      <c r="H769" s="1039"/>
      <c r="I769" s="1039"/>
    </row>
    <row r="770">
      <c r="B770" s="1039"/>
      <c r="C770" s="1039"/>
      <c r="D770" s="1039"/>
      <c r="E770" s="1039"/>
      <c r="F770" s="1039"/>
      <c r="G770" s="1039"/>
      <c r="H770" s="1039"/>
      <c r="I770" s="1039"/>
    </row>
    <row r="771">
      <c r="B771" s="1039"/>
      <c r="C771" s="1039"/>
      <c r="D771" s="1039"/>
      <c r="E771" s="1039"/>
      <c r="F771" s="1039"/>
      <c r="G771" s="1039"/>
      <c r="H771" s="1039"/>
      <c r="I771" s="1039"/>
    </row>
    <row r="772">
      <c r="B772" s="1039"/>
      <c r="C772" s="1039"/>
      <c r="D772" s="1039"/>
      <c r="E772" s="1039"/>
      <c r="F772" s="1039"/>
      <c r="G772" s="1039"/>
      <c r="H772" s="1039"/>
      <c r="I772" s="1039"/>
    </row>
    <row r="773">
      <c r="B773" s="1039"/>
      <c r="C773" s="1039"/>
      <c r="D773" s="1039"/>
      <c r="E773" s="1039"/>
      <c r="F773" s="1039"/>
      <c r="G773" s="1039"/>
      <c r="H773" s="1039"/>
      <c r="I773" s="1039"/>
    </row>
    <row r="774">
      <c r="B774" s="1039"/>
      <c r="C774" s="1039"/>
      <c r="D774" s="1039"/>
      <c r="E774" s="1039"/>
      <c r="F774" s="1039"/>
      <c r="G774" s="1039"/>
      <c r="H774" s="1039"/>
      <c r="I774" s="1039"/>
    </row>
    <row r="775">
      <c r="B775" s="1039"/>
      <c r="C775" s="1039"/>
      <c r="D775" s="1039"/>
      <c r="E775" s="1039"/>
      <c r="F775" s="1039"/>
      <c r="G775" s="1039"/>
      <c r="H775" s="1039"/>
      <c r="I775" s="1039"/>
    </row>
    <row r="776">
      <c r="B776" s="1039"/>
      <c r="C776" s="1039"/>
      <c r="D776" s="1039"/>
      <c r="E776" s="1039"/>
      <c r="F776" s="1039"/>
      <c r="G776" s="1039"/>
      <c r="H776" s="1039"/>
      <c r="I776" s="1039"/>
    </row>
    <row r="777">
      <c r="B777" s="1039"/>
      <c r="C777" s="1039"/>
      <c r="D777" s="1039"/>
      <c r="E777" s="1039"/>
      <c r="F777" s="1039"/>
      <c r="G777" s="1039"/>
      <c r="H777" s="1039"/>
      <c r="I777" s="1039"/>
    </row>
    <row r="778">
      <c r="B778" s="1039"/>
      <c r="C778" s="1039"/>
      <c r="D778" s="1039"/>
      <c r="E778" s="1039"/>
      <c r="F778" s="1039"/>
      <c r="G778" s="1039"/>
      <c r="H778" s="1039"/>
      <c r="I778" s="1039"/>
    </row>
    <row r="779">
      <c r="B779" s="1039"/>
      <c r="C779" s="1039"/>
      <c r="D779" s="1039"/>
      <c r="E779" s="1039"/>
      <c r="F779" s="1039"/>
      <c r="G779" s="1039"/>
      <c r="H779" s="1039"/>
      <c r="I779" s="1039"/>
    </row>
    <row r="780">
      <c r="B780" s="1039"/>
      <c r="C780" s="1039"/>
      <c r="D780" s="1039"/>
      <c r="E780" s="1039"/>
      <c r="F780" s="1039"/>
      <c r="G780" s="1039"/>
      <c r="H780" s="1039"/>
      <c r="I780" s="1039"/>
    </row>
    <row r="781">
      <c r="B781" s="1039"/>
      <c r="C781" s="1039"/>
      <c r="D781" s="1039"/>
      <c r="E781" s="1039"/>
      <c r="F781" s="1039"/>
      <c r="G781" s="1039"/>
      <c r="H781" s="1039"/>
      <c r="I781" s="1039"/>
    </row>
    <row r="782">
      <c r="B782" s="1039"/>
      <c r="C782" s="1039"/>
      <c r="D782" s="1039"/>
      <c r="E782" s="1039"/>
      <c r="F782" s="1039"/>
      <c r="G782" s="1039"/>
      <c r="H782" s="1039"/>
      <c r="I782" s="1039"/>
    </row>
    <row r="783">
      <c r="B783" s="1039"/>
      <c r="C783" s="1039"/>
      <c r="D783" s="1039"/>
      <c r="E783" s="1039"/>
      <c r="F783" s="1039"/>
      <c r="G783" s="1039"/>
      <c r="H783" s="1039"/>
      <c r="I783" s="1039"/>
    </row>
    <row r="784">
      <c r="B784" s="1039"/>
      <c r="C784" s="1039"/>
      <c r="D784" s="1039"/>
      <c r="E784" s="1039"/>
      <c r="F784" s="1039"/>
      <c r="G784" s="1039"/>
      <c r="H784" s="1039"/>
      <c r="I784" s="1039"/>
    </row>
    <row r="785">
      <c r="B785" s="1039"/>
      <c r="C785" s="1039"/>
      <c r="D785" s="1039"/>
      <c r="E785" s="1039"/>
      <c r="F785" s="1039"/>
      <c r="G785" s="1039"/>
      <c r="H785" s="1039"/>
      <c r="I785" s="1039"/>
    </row>
    <row r="786">
      <c r="B786" s="1039"/>
      <c r="C786" s="1039"/>
      <c r="D786" s="1039"/>
      <c r="E786" s="1039"/>
      <c r="F786" s="1039"/>
      <c r="G786" s="1039"/>
      <c r="H786" s="1039"/>
      <c r="I786" s="1039"/>
    </row>
    <row r="787">
      <c r="B787" s="1039"/>
      <c r="C787" s="1039"/>
      <c r="D787" s="1039"/>
      <c r="E787" s="1039"/>
      <c r="F787" s="1039"/>
      <c r="G787" s="1039"/>
      <c r="H787" s="1039"/>
      <c r="I787" s="1039"/>
    </row>
    <row r="788">
      <c r="B788" s="1039"/>
      <c r="C788" s="1039"/>
      <c r="D788" s="1039"/>
      <c r="E788" s="1039"/>
      <c r="F788" s="1039"/>
      <c r="G788" s="1039"/>
      <c r="H788" s="1039"/>
      <c r="I788" s="1039"/>
    </row>
    <row r="789">
      <c r="B789" s="1039"/>
      <c r="C789" s="1039"/>
      <c r="D789" s="1039"/>
      <c r="E789" s="1039"/>
      <c r="F789" s="1039"/>
      <c r="G789" s="1039"/>
      <c r="H789" s="1039"/>
      <c r="I789" s="1039"/>
    </row>
    <row r="790">
      <c r="B790" s="1039"/>
      <c r="C790" s="1039"/>
      <c r="D790" s="1039"/>
      <c r="E790" s="1039"/>
      <c r="F790" s="1039"/>
      <c r="G790" s="1039"/>
      <c r="H790" s="1039"/>
      <c r="I790" s="1039"/>
    </row>
    <row r="791">
      <c r="B791" s="1039"/>
      <c r="C791" s="1039"/>
      <c r="D791" s="1039"/>
      <c r="E791" s="1039"/>
      <c r="F791" s="1039"/>
      <c r="G791" s="1039"/>
      <c r="H791" s="1039"/>
      <c r="I791" s="1039"/>
    </row>
    <row r="792">
      <c r="B792" s="1039"/>
      <c r="C792" s="1039"/>
      <c r="D792" s="1039"/>
      <c r="E792" s="1039"/>
      <c r="F792" s="1039"/>
      <c r="G792" s="1039"/>
      <c r="H792" s="1039"/>
      <c r="I792" s="1039"/>
    </row>
    <row r="793">
      <c r="B793" s="1039"/>
      <c r="C793" s="1039"/>
      <c r="D793" s="1039"/>
      <c r="E793" s="1039"/>
      <c r="F793" s="1039"/>
      <c r="G793" s="1039"/>
      <c r="H793" s="1039"/>
      <c r="I793" s="1039"/>
    </row>
    <row r="794">
      <c r="B794" s="1039"/>
      <c r="C794" s="1039"/>
      <c r="D794" s="1039"/>
      <c r="E794" s="1039"/>
      <c r="F794" s="1039"/>
      <c r="G794" s="1039"/>
      <c r="H794" s="1039"/>
      <c r="I794" s="1039"/>
    </row>
    <row r="795">
      <c r="B795" s="1039"/>
      <c r="C795" s="1039"/>
      <c r="D795" s="1039"/>
      <c r="E795" s="1039"/>
      <c r="F795" s="1039"/>
      <c r="G795" s="1039"/>
      <c r="H795" s="1039"/>
      <c r="I795" s="1039"/>
    </row>
    <row r="796">
      <c r="B796" s="1039"/>
      <c r="C796" s="1039"/>
      <c r="D796" s="1039"/>
      <c r="E796" s="1039"/>
      <c r="F796" s="1039"/>
      <c r="G796" s="1039"/>
      <c r="H796" s="1039"/>
      <c r="I796" s="1039"/>
    </row>
    <row r="797">
      <c r="B797" s="1039"/>
      <c r="C797" s="1039"/>
      <c r="D797" s="1039"/>
      <c r="E797" s="1039"/>
      <c r="F797" s="1039"/>
      <c r="G797" s="1039"/>
      <c r="H797" s="1039"/>
      <c r="I797" s="1039"/>
    </row>
    <row r="798">
      <c r="B798" s="1039"/>
      <c r="C798" s="1039"/>
      <c r="D798" s="1039"/>
      <c r="E798" s="1039"/>
      <c r="F798" s="1039"/>
      <c r="G798" s="1039"/>
      <c r="H798" s="1039"/>
      <c r="I798" s="1039"/>
    </row>
    <row r="799">
      <c r="B799" s="1039"/>
      <c r="C799" s="1039"/>
      <c r="D799" s="1039"/>
      <c r="E799" s="1039"/>
      <c r="F799" s="1039"/>
      <c r="G799" s="1039"/>
      <c r="H799" s="1039"/>
      <c r="I799" s="1039"/>
    </row>
    <row r="800">
      <c r="B800" s="1039"/>
      <c r="C800" s="1039"/>
      <c r="D800" s="1039"/>
      <c r="E800" s="1039"/>
      <c r="F800" s="1039"/>
      <c r="G800" s="1039"/>
      <c r="H800" s="1039"/>
      <c r="I800" s="1039"/>
    </row>
    <row r="801">
      <c r="B801" s="1039"/>
      <c r="C801" s="1039"/>
      <c r="D801" s="1039"/>
      <c r="E801" s="1039"/>
      <c r="F801" s="1039"/>
      <c r="G801" s="1039"/>
      <c r="H801" s="1039"/>
      <c r="I801" s="1039"/>
    </row>
    <row r="802">
      <c r="B802" s="1039"/>
      <c r="C802" s="1039"/>
      <c r="D802" s="1039"/>
      <c r="E802" s="1039"/>
      <c r="F802" s="1039"/>
      <c r="G802" s="1039"/>
      <c r="H802" s="1039"/>
      <c r="I802" s="1039"/>
    </row>
    <row r="803">
      <c r="B803" s="1039"/>
      <c r="C803" s="1039"/>
      <c r="D803" s="1039"/>
      <c r="E803" s="1039"/>
      <c r="F803" s="1039"/>
      <c r="G803" s="1039"/>
      <c r="H803" s="1039"/>
      <c r="I803" s="1039"/>
    </row>
    <row r="804">
      <c r="B804" s="1039"/>
      <c r="C804" s="1039"/>
      <c r="D804" s="1039"/>
      <c r="E804" s="1039"/>
      <c r="F804" s="1039"/>
      <c r="G804" s="1039"/>
      <c r="H804" s="1039"/>
      <c r="I804" s="1039"/>
    </row>
    <row r="805">
      <c r="B805" s="1039"/>
      <c r="C805" s="1039"/>
      <c r="D805" s="1039"/>
      <c r="E805" s="1039"/>
      <c r="F805" s="1039"/>
      <c r="G805" s="1039"/>
      <c r="H805" s="1039"/>
      <c r="I805" s="1039"/>
    </row>
    <row r="806">
      <c r="B806" s="1039"/>
      <c r="C806" s="1039"/>
      <c r="D806" s="1039"/>
      <c r="E806" s="1039"/>
      <c r="F806" s="1039"/>
      <c r="G806" s="1039"/>
      <c r="H806" s="1039"/>
      <c r="I806" s="1039"/>
    </row>
    <row r="807">
      <c r="B807" s="1039"/>
      <c r="C807" s="1039"/>
      <c r="D807" s="1039"/>
      <c r="E807" s="1039"/>
      <c r="F807" s="1039"/>
      <c r="G807" s="1039"/>
      <c r="H807" s="1039"/>
      <c r="I807" s="1039"/>
    </row>
    <row r="808">
      <c r="B808" s="1039"/>
      <c r="C808" s="1039"/>
      <c r="D808" s="1039"/>
      <c r="E808" s="1039"/>
      <c r="F808" s="1039"/>
      <c r="G808" s="1039"/>
      <c r="H808" s="1039"/>
      <c r="I808" s="1039"/>
    </row>
    <row r="809">
      <c r="B809" s="1039"/>
      <c r="C809" s="1039"/>
      <c r="D809" s="1039"/>
      <c r="E809" s="1039"/>
      <c r="F809" s="1039"/>
      <c r="G809" s="1039"/>
      <c r="H809" s="1039"/>
      <c r="I809" s="1039"/>
    </row>
    <row r="810">
      <c r="B810" s="1039"/>
      <c r="C810" s="1039"/>
      <c r="D810" s="1039"/>
      <c r="E810" s="1039"/>
      <c r="F810" s="1039"/>
      <c r="G810" s="1039"/>
      <c r="H810" s="1039"/>
      <c r="I810" s="1039"/>
    </row>
    <row r="811">
      <c r="B811" s="1039"/>
      <c r="C811" s="1039"/>
      <c r="D811" s="1039"/>
      <c r="E811" s="1039"/>
      <c r="F811" s="1039"/>
      <c r="G811" s="1039"/>
      <c r="H811" s="1039"/>
      <c r="I811" s="1039"/>
    </row>
    <row r="812">
      <c r="B812" s="1039"/>
      <c r="C812" s="1039"/>
      <c r="D812" s="1039"/>
      <c r="E812" s="1039"/>
      <c r="F812" s="1039"/>
      <c r="G812" s="1039"/>
      <c r="H812" s="1039"/>
      <c r="I812" s="1039"/>
    </row>
    <row r="813">
      <c r="B813" s="1039"/>
      <c r="C813" s="1039"/>
      <c r="D813" s="1039"/>
      <c r="E813" s="1039"/>
      <c r="F813" s="1039"/>
      <c r="G813" s="1039"/>
      <c r="H813" s="1039"/>
      <c r="I813" s="1039"/>
    </row>
    <row r="814">
      <c r="B814" s="1039"/>
      <c r="C814" s="1039"/>
      <c r="D814" s="1039"/>
      <c r="E814" s="1039"/>
      <c r="F814" s="1039"/>
      <c r="G814" s="1039"/>
      <c r="H814" s="1039"/>
      <c r="I814" s="1039"/>
    </row>
    <row r="815">
      <c r="B815" s="1039"/>
      <c r="C815" s="1039"/>
      <c r="D815" s="1039"/>
      <c r="E815" s="1039"/>
      <c r="F815" s="1039"/>
      <c r="G815" s="1039"/>
      <c r="H815" s="1039"/>
      <c r="I815" s="1039"/>
    </row>
    <row r="816">
      <c r="B816" s="1039"/>
      <c r="C816" s="1039"/>
      <c r="D816" s="1039"/>
      <c r="E816" s="1039"/>
      <c r="F816" s="1039"/>
      <c r="G816" s="1039"/>
      <c r="H816" s="1039"/>
      <c r="I816" s="1039"/>
    </row>
    <row r="817">
      <c r="B817" s="1039"/>
      <c r="C817" s="1039"/>
      <c r="D817" s="1039"/>
      <c r="E817" s="1039"/>
      <c r="F817" s="1039"/>
      <c r="G817" s="1039"/>
      <c r="H817" s="1039"/>
      <c r="I817" s="1039"/>
    </row>
    <row r="818">
      <c r="B818" s="1039"/>
      <c r="C818" s="1039"/>
      <c r="D818" s="1039"/>
      <c r="E818" s="1039"/>
      <c r="F818" s="1039"/>
      <c r="G818" s="1039"/>
      <c r="H818" s="1039"/>
      <c r="I818" s="1039"/>
    </row>
    <row r="819">
      <c r="B819" s="1039"/>
      <c r="C819" s="1039"/>
      <c r="D819" s="1039"/>
      <c r="E819" s="1039"/>
      <c r="F819" s="1039"/>
      <c r="G819" s="1039"/>
      <c r="H819" s="1039"/>
      <c r="I819" s="1039"/>
    </row>
    <row r="820">
      <c r="B820" s="1039"/>
      <c r="C820" s="1039"/>
      <c r="D820" s="1039"/>
      <c r="E820" s="1039"/>
      <c r="F820" s="1039"/>
      <c r="G820" s="1039"/>
      <c r="H820" s="1039"/>
      <c r="I820" s="1039"/>
    </row>
    <row r="821">
      <c r="B821" s="1039"/>
      <c r="C821" s="1039"/>
      <c r="D821" s="1039"/>
      <c r="E821" s="1039"/>
      <c r="F821" s="1039"/>
      <c r="G821" s="1039"/>
      <c r="H821" s="1039"/>
      <c r="I821" s="1039"/>
    </row>
    <row r="822">
      <c r="B822" s="1039"/>
      <c r="C822" s="1039"/>
      <c r="D822" s="1039"/>
      <c r="E822" s="1039"/>
      <c r="F822" s="1039"/>
      <c r="G822" s="1039"/>
      <c r="H822" s="1039"/>
      <c r="I822" s="1039"/>
    </row>
    <row r="823">
      <c r="B823" s="1039"/>
      <c r="C823" s="1039"/>
      <c r="D823" s="1039"/>
      <c r="E823" s="1039"/>
      <c r="F823" s="1039"/>
      <c r="G823" s="1039"/>
      <c r="H823" s="1039"/>
      <c r="I823" s="1039"/>
    </row>
    <row r="824">
      <c r="B824" s="1039"/>
      <c r="C824" s="1039"/>
      <c r="D824" s="1039"/>
      <c r="E824" s="1039"/>
      <c r="F824" s="1039"/>
      <c r="G824" s="1039"/>
      <c r="H824" s="1039"/>
      <c r="I824" s="1039"/>
    </row>
    <row r="825">
      <c r="B825" s="1039"/>
      <c r="C825" s="1039"/>
      <c r="D825" s="1039"/>
      <c r="E825" s="1039"/>
      <c r="F825" s="1039"/>
      <c r="G825" s="1039"/>
      <c r="H825" s="1039"/>
      <c r="I825" s="1039"/>
    </row>
    <row r="826">
      <c r="B826" s="1039"/>
      <c r="C826" s="1039"/>
      <c r="D826" s="1039"/>
      <c r="E826" s="1039"/>
      <c r="F826" s="1039"/>
      <c r="G826" s="1039"/>
      <c r="H826" s="1039"/>
      <c r="I826" s="1039"/>
    </row>
    <row r="827">
      <c r="B827" s="1039"/>
      <c r="C827" s="1039"/>
      <c r="D827" s="1039"/>
      <c r="E827" s="1039"/>
      <c r="F827" s="1039"/>
      <c r="G827" s="1039"/>
      <c r="H827" s="1039"/>
      <c r="I827" s="1039"/>
    </row>
    <row r="828">
      <c r="B828" s="1039"/>
      <c r="C828" s="1039"/>
      <c r="D828" s="1039"/>
      <c r="E828" s="1039"/>
      <c r="F828" s="1039"/>
      <c r="G828" s="1039"/>
      <c r="H828" s="1039"/>
      <c r="I828" s="1039"/>
    </row>
    <row r="829">
      <c r="B829" s="1039"/>
      <c r="C829" s="1039"/>
      <c r="D829" s="1039"/>
      <c r="E829" s="1039"/>
      <c r="F829" s="1039"/>
      <c r="G829" s="1039"/>
      <c r="H829" s="1039"/>
      <c r="I829" s="1039"/>
    </row>
    <row r="830">
      <c r="B830" s="1039"/>
      <c r="C830" s="1039"/>
      <c r="D830" s="1039"/>
      <c r="E830" s="1039"/>
      <c r="F830" s="1039"/>
      <c r="G830" s="1039"/>
      <c r="H830" s="1039"/>
      <c r="I830" s="1039"/>
    </row>
    <row r="831">
      <c r="B831" s="1039"/>
      <c r="C831" s="1039"/>
      <c r="D831" s="1039"/>
      <c r="E831" s="1039"/>
      <c r="F831" s="1039"/>
      <c r="G831" s="1039"/>
      <c r="H831" s="1039"/>
      <c r="I831" s="1039"/>
    </row>
    <row r="832">
      <c r="B832" s="1039"/>
      <c r="C832" s="1039"/>
      <c r="D832" s="1039"/>
      <c r="E832" s="1039"/>
      <c r="F832" s="1039"/>
      <c r="G832" s="1039"/>
      <c r="H832" s="1039"/>
      <c r="I832" s="1039"/>
    </row>
    <row r="833">
      <c r="B833" s="1039"/>
      <c r="C833" s="1039"/>
      <c r="D833" s="1039"/>
      <c r="E833" s="1039"/>
      <c r="F833" s="1039"/>
      <c r="G833" s="1039"/>
      <c r="H833" s="1039"/>
      <c r="I833" s="1039"/>
    </row>
    <row r="834">
      <c r="B834" s="1039"/>
      <c r="C834" s="1039"/>
      <c r="D834" s="1039"/>
      <c r="E834" s="1039"/>
      <c r="F834" s="1039"/>
      <c r="G834" s="1039"/>
      <c r="H834" s="1039"/>
      <c r="I834" s="1039"/>
    </row>
    <row r="835">
      <c r="B835" s="1039"/>
      <c r="C835" s="1039"/>
      <c r="D835" s="1039"/>
      <c r="E835" s="1039"/>
      <c r="F835" s="1039"/>
      <c r="G835" s="1039"/>
      <c r="H835" s="1039"/>
      <c r="I835" s="1039"/>
    </row>
    <row r="836">
      <c r="B836" s="1039"/>
      <c r="C836" s="1039"/>
      <c r="D836" s="1039"/>
      <c r="E836" s="1039"/>
      <c r="F836" s="1039"/>
      <c r="G836" s="1039"/>
      <c r="H836" s="1039"/>
      <c r="I836" s="1039"/>
    </row>
    <row r="837">
      <c r="B837" s="1039"/>
      <c r="C837" s="1039"/>
      <c r="D837" s="1039"/>
      <c r="E837" s="1039"/>
      <c r="F837" s="1039"/>
      <c r="G837" s="1039"/>
      <c r="H837" s="1039"/>
      <c r="I837" s="1039"/>
    </row>
    <row r="838">
      <c r="B838" s="1039"/>
      <c r="C838" s="1039"/>
      <c r="D838" s="1039"/>
      <c r="E838" s="1039"/>
      <c r="F838" s="1039"/>
      <c r="G838" s="1039"/>
      <c r="H838" s="1039"/>
      <c r="I838" s="1039"/>
    </row>
    <row r="839">
      <c r="B839" s="1039"/>
      <c r="C839" s="1039"/>
      <c r="D839" s="1039"/>
      <c r="E839" s="1039"/>
      <c r="F839" s="1039"/>
      <c r="G839" s="1039"/>
      <c r="H839" s="1039"/>
      <c r="I839" s="1039"/>
    </row>
    <row r="840">
      <c r="B840" s="1039"/>
      <c r="C840" s="1039"/>
      <c r="D840" s="1039"/>
      <c r="E840" s="1039"/>
      <c r="F840" s="1039"/>
      <c r="G840" s="1039"/>
      <c r="H840" s="1039"/>
      <c r="I840" s="1039"/>
    </row>
    <row r="841">
      <c r="B841" s="1039"/>
      <c r="C841" s="1039"/>
      <c r="D841" s="1039"/>
      <c r="E841" s="1039"/>
      <c r="F841" s="1039"/>
      <c r="G841" s="1039"/>
      <c r="H841" s="1039"/>
      <c r="I841" s="1039"/>
    </row>
    <row r="842">
      <c r="B842" s="1039"/>
      <c r="C842" s="1039"/>
      <c r="D842" s="1039"/>
      <c r="E842" s="1039"/>
      <c r="F842" s="1039"/>
      <c r="G842" s="1039"/>
      <c r="H842" s="1039"/>
      <c r="I842" s="1039"/>
    </row>
    <row r="843">
      <c r="B843" s="1039"/>
      <c r="C843" s="1039"/>
      <c r="D843" s="1039"/>
      <c r="E843" s="1039"/>
      <c r="F843" s="1039"/>
      <c r="G843" s="1039"/>
      <c r="H843" s="1039"/>
      <c r="I843" s="1039"/>
    </row>
    <row r="844">
      <c r="B844" s="1039"/>
      <c r="C844" s="1039"/>
      <c r="D844" s="1039"/>
      <c r="E844" s="1039"/>
      <c r="F844" s="1039"/>
      <c r="G844" s="1039"/>
      <c r="H844" s="1039"/>
      <c r="I844" s="1039"/>
    </row>
    <row r="845">
      <c r="B845" s="1039"/>
      <c r="C845" s="1039"/>
      <c r="D845" s="1039"/>
      <c r="E845" s="1039"/>
      <c r="F845" s="1039"/>
      <c r="G845" s="1039"/>
      <c r="H845" s="1039"/>
      <c r="I845" s="1039"/>
    </row>
    <row r="846">
      <c r="B846" s="1039"/>
      <c r="C846" s="1039"/>
      <c r="D846" s="1039"/>
      <c r="E846" s="1039"/>
      <c r="F846" s="1039"/>
      <c r="G846" s="1039"/>
      <c r="H846" s="1039"/>
      <c r="I846" s="1039"/>
    </row>
    <row r="847">
      <c r="B847" s="1039"/>
      <c r="C847" s="1039"/>
      <c r="D847" s="1039"/>
      <c r="E847" s="1039"/>
      <c r="F847" s="1039"/>
      <c r="G847" s="1039"/>
      <c r="H847" s="1039"/>
      <c r="I847" s="1039"/>
    </row>
    <row r="848">
      <c r="B848" s="1039"/>
      <c r="C848" s="1039"/>
      <c r="D848" s="1039"/>
      <c r="E848" s="1039"/>
      <c r="F848" s="1039"/>
      <c r="G848" s="1039"/>
      <c r="H848" s="1039"/>
      <c r="I848" s="1039"/>
    </row>
    <row r="849">
      <c r="B849" s="1039"/>
      <c r="C849" s="1039"/>
      <c r="D849" s="1039"/>
      <c r="E849" s="1039"/>
      <c r="F849" s="1039"/>
      <c r="G849" s="1039"/>
      <c r="H849" s="1039"/>
      <c r="I849" s="1039"/>
    </row>
    <row r="850">
      <c r="B850" s="1039"/>
      <c r="C850" s="1039"/>
      <c r="D850" s="1039"/>
      <c r="E850" s="1039"/>
      <c r="F850" s="1039"/>
      <c r="G850" s="1039"/>
      <c r="H850" s="1039"/>
      <c r="I850" s="1039"/>
    </row>
    <row r="851">
      <c r="B851" s="1039"/>
      <c r="C851" s="1039"/>
      <c r="D851" s="1039"/>
      <c r="E851" s="1039"/>
      <c r="F851" s="1039"/>
      <c r="G851" s="1039"/>
      <c r="H851" s="1039"/>
      <c r="I851" s="1039"/>
    </row>
    <row r="852">
      <c r="B852" s="1039"/>
      <c r="C852" s="1039"/>
      <c r="D852" s="1039"/>
      <c r="E852" s="1039"/>
      <c r="F852" s="1039"/>
      <c r="G852" s="1039"/>
      <c r="H852" s="1039"/>
      <c r="I852" s="1039"/>
    </row>
    <row r="853">
      <c r="B853" s="1039"/>
      <c r="C853" s="1039"/>
      <c r="D853" s="1039"/>
      <c r="E853" s="1039"/>
      <c r="F853" s="1039"/>
      <c r="G853" s="1039"/>
      <c r="H853" s="1039"/>
      <c r="I853" s="1039"/>
    </row>
    <row r="854">
      <c r="B854" s="1039"/>
      <c r="C854" s="1039"/>
      <c r="D854" s="1039"/>
      <c r="E854" s="1039"/>
      <c r="F854" s="1039"/>
      <c r="G854" s="1039"/>
      <c r="H854" s="1039"/>
      <c r="I854" s="1039"/>
    </row>
    <row r="855">
      <c r="B855" s="1039"/>
      <c r="C855" s="1039"/>
      <c r="D855" s="1039"/>
      <c r="E855" s="1039"/>
      <c r="F855" s="1039"/>
      <c r="G855" s="1039"/>
      <c r="H855" s="1039"/>
      <c r="I855" s="1039"/>
    </row>
    <row r="856">
      <c r="B856" s="1039"/>
      <c r="C856" s="1039"/>
      <c r="D856" s="1039"/>
      <c r="E856" s="1039"/>
      <c r="F856" s="1039"/>
      <c r="G856" s="1039"/>
      <c r="H856" s="1039"/>
      <c r="I856" s="1039"/>
    </row>
    <row r="857">
      <c r="B857" s="1039"/>
      <c r="C857" s="1039"/>
      <c r="D857" s="1039"/>
      <c r="E857" s="1039"/>
      <c r="F857" s="1039"/>
      <c r="G857" s="1039"/>
      <c r="H857" s="1039"/>
      <c r="I857" s="1039"/>
    </row>
    <row r="858">
      <c r="B858" s="1039"/>
      <c r="C858" s="1039"/>
      <c r="D858" s="1039"/>
      <c r="E858" s="1039"/>
      <c r="F858" s="1039"/>
      <c r="G858" s="1039"/>
      <c r="H858" s="1039"/>
      <c r="I858" s="1039"/>
    </row>
    <row r="859">
      <c r="B859" s="1039"/>
      <c r="C859" s="1039"/>
      <c r="D859" s="1039"/>
      <c r="E859" s="1039"/>
      <c r="F859" s="1039"/>
      <c r="G859" s="1039"/>
      <c r="H859" s="1039"/>
      <c r="I859" s="1039"/>
    </row>
    <row r="860">
      <c r="B860" s="1039"/>
      <c r="C860" s="1039"/>
      <c r="D860" s="1039"/>
      <c r="E860" s="1039"/>
      <c r="F860" s="1039"/>
      <c r="G860" s="1039"/>
      <c r="H860" s="1039"/>
      <c r="I860" s="1039"/>
    </row>
    <row r="861">
      <c r="B861" s="1039"/>
      <c r="C861" s="1039"/>
      <c r="D861" s="1039"/>
      <c r="E861" s="1039"/>
      <c r="F861" s="1039"/>
      <c r="G861" s="1039"/>
      <c r="H861" s="1039"/>
      <c r="I861" s="1039"/>
    </row>
    <row r="862">
      <c r="B862" s="1039"/>
      <c r="C862" s="1039"/>
      <c r="D862" s="1039"/>
      <c r="E862" s="1039"/>
      <c r="F862" s="1039"/>
      <c r="G862" s="1039"/>
      <c r="H862" s="1039"/>
      <c r="I862" s="1039"/>
    </row>
    <row r="863">
      <c r="B863" s="1039"/>
      <c r="C863" s="1039"/>
      <c r="D863" s="1039"/>
      <c r="E863" s="1039"/>
      <c r="F863" s="1039"/>
      <c r="G863" s="1039"/>
      <c r="H863" s="1039"/>
      <c r="I863" s="1039"/>
    </row>
    <row r="864">
      <c r="B864" s="1039"/>
      <c r="C864" s="1039"/>
      <c r="D864" s="1039"/>
      <c r="E864" s="1039"/>
      <c r="F864" s="1039"/>
      <c r="G864" s="1039"/>
      <c r="H864" s="1039"/>
      <c r="I864" s="1039"/>
    </row>
    <row r="865">
      <c r="B865" s="1039"/>
      <c r="C865" s="1039"/>
      <c r="D865" s="1039"/>
      <c r="E865" s="1039"/>
      <c r="F865" s="1039"/>
      <c r="G865" s="1039"/>
      <c r="H865" s="1039"/>
      <c r="I865" s="1039"/>
    </row>
    <row r="866">
      <c r="B866" s="1039"/>
      <c r="C866" s="1039"/>
      <c r="D866" s="1039"/>
      <c r="E866" s="1039"/>
      <c r="F866" s="1039"/>
      <c r="G866" s="1039"/>
      <c r="H866" s="1039"/>
      <c r="I866" s="1039"/>
    </row>
    <row r="867">
      <c r="B867" s="1039"/>
      <c r="C867" s="1039"/>
      <c r="D867" s="1039"/>
      <c r="E867" s="1039"/>
      <c r="F867" s="1039"/>
      <c r="G867" s="1039"/>
      <c r="H867" s="1039"/>
      <c r="I867" s="1039"/>
    </row>
    <row r="868">
      <c r="B868" s="1039"/>
      <c r="C868" s="1039"/>
      <c r="D868" s="1039"/>
      <c r="E868" s="1039"/>
      <c r="F868" s="1039"/>
      <c r="G868" s="1039"/>
      <c r="H868" s="1039"/>
      <c r="I868" s="1039"/>
    </row>
    <row r="869">
      <c r="B869" s="1039"/>
      <c r="C869" s="1039"/>
      <c r="D869" s="1039"/>
      <c r="E869" s="1039"/>
      <c r="F869" s="1039"/>
      <c r="G869" s="1039"/>
      <c r="H869" s="1039"/>
      <c r="I869" s="1039"/>
    </row>
    <row r="870">
      <c r="B870" s="1039"/>
      <c r="C870" s="1039"/>
      <c r="D870" s="1039"/>
      <c r="E870" s="1039"/>
      <c r="F870" s="1039"/>
      <c r="G870" s="1039"/>
      <c r="H870" s="1039"/>
      <c r="I870" s="1039"/>
    </row>
    <row r="871">
      <c r="B871" s="1039"/>
      <c r="C871" s="1039"/>
      <c r="D871" s="1039"/>
      <c r="E871" s="1039"/>
      <c r="F871" s="1039"/>
      <c r="G871" s="1039"/>
      <c r="H871" s="1039"/>
      <c r="I871" s="1039"/>
    </row>
    <row r="872">
      <c r="B872" s="1039"/>
      <c r="C872" s="1039"/>
      <c r="D872" s="1039"/>
      <c r="E872" s="1039"/>
      <c r="F872" s="1039"/>
      <c r="G872" s="1039"/>
      <c r="H872" s="1039"/>
      <c r="I872" s="1039"/>
    </row>
    <row r="873">
      <c r="B873" s="1039"/>
      <c r="C873" s="1039"/>
      <c r="D873" s="1039"/>
      <c r="E873" s="1039"/>
      <c r="F873" s="1039"/>
      <c r="G873" s="1039"/>
      <c r="H873" s="1039"/>
      <c r="I873" s="1039"/>
    </row>
    <row r="874">
      <c r="B874" s="1039"/>
      <c r="C874" s="1039"/>
      <c r="D874" s="1039"/>
      <c r="E874" s="1039"/>
      <c r="F874" s="1039"/>
      <c r="G874" s="1039"/>
      <c r="H874" s="1039"/>
      <c r="I874" s="1039"/>
    </row>
    <row r="875">
      <c r="B875" s="1039"/>
      <c r="C875" s="1039"/>
      <c r="D875" s="1039"/>
      <c r="E875" s="1039"/>
      <c r="F875" s="1039"/>
      <c r="G875" s="1039"/>
      <c r="H875" s="1039"/>
      <c r="I875" s="1039"/>
    </row>
    <row r="876">
      <c r="B876" s="1039"/>
      <c r="C876" s="1039"/>
      <c r="D876" s="1039"/>
      <c r="E876" s="1039"/>
      <c r="F876" s="1039"/>
      <c r="G876" s="1039"/>
      <c r="H876" s="1039"/>
      <c r="I876" s="1039"/>
    </row>
    <row r="877">
      <c r="B877" s="1039"/>
      <c r="C877" s="1039"/>
      <c r="D877" s="1039"/>
      <c r="E877" s="1039"/>
      <c r="F877" s="1039"/>
      <c r="G877" s="1039"/>
      <c r="H877" s="1039"/>
      <c r="I877" s="1039"/>
    </row>
    <row r="878">
      <c r="B878" s="1039"/>
      <c r="C878" s="1039"/>
      <c r="D878" s="1039"/>
      <c r="E878" s="1039"/>
      <c r="F878" s="1039"/>
      <c r="G878" s="1039"/>
      <c r="H878" s="1039"/>
      <c r="I878" s="1039"/>
    </row>
    <row r="879">
      <c r="B879" s="1039"/>
      <c r="C879" s="1039"/>
      <c r="D879" s="1039"/>
      <c r="E879" s="1039"/>
      <c r="F879" s="1039"/>
      <c r="G879" s="1039"/>
      <c r="H879" s="1039"/>
      <c r="I879" s="1039"/>
    </row>
    <row r="880">
      <c r="B880" s="1039"/>
      <c r="C880" s="1039"/>
      <c r="D880" s="1039"/>
      <c r="E880" s="1039"/>
      <c r="F880" s="1039"/>
      <c r="G880" s="1039"/>
      <c r="H880" s="1039"/>
      <c r="I880" s="1039"/>
    </row>
    <row r="881">
      <c r="B881" s="1039"/>
      <c r="C881" s="1039"/>
      <c r="D881" s="1039"/>
      <c r="E881" s="1039"/>
      <c r="F881" s="1039"/>
      <c r="G881" s="1039"/>
      <c r="H881" s="1039"/>
      <c r="I881" s="1039"/>
    </row>
    <row r="882">
      <c r="B882" s="1039"/>
      <c r="C882" s="1039"/>
      <c r="D882" s="1039"/>
      <c r="E882" s="1039"/>
      <c r="F882" s="1039"/>
      <c r="G882" s="1039"/>
      <c r="H882" s="1039"/>
      <c r="I882" s="1039"/>
    </row>
    <row r="883">
      <c r="B883" s="1039"/>
      <c r="C883" s="1039"/>
      <c r="D883" s="1039"/>
      <c r="E883" s="1039"/>
      <c r="F883" s="1039"/>
      <c r="G883" s="1039"/>
      <c r="H883" s="1039"/>
      <c r="I883" s="1039"/>
    </row>
    <row r="884">
      <c r="B884" s="1039"/>
      <c r="C884" s="1039"/>
      <c r="D884" s="1039"/>
      <c r="E884" s="1039"/>
      <c r="F884" s="1039"/>
      <c r="G884" s="1039"/>
      <c r="H884" s="1039"/>
      <c r="I884" s="1039"/>
    </row>
    <row r="885">
      <c r="B885" s="1039"/>
      <c r="C885" s="1039"/>
      <c r="D885" s="1039"/>
      <c r="E885" s="1039"/>
      <c r="F885" s="1039"/>
      <c r="G885" s="1039"/>
      <c r="H885" s="1039"/>
      <c r="I885" s="1039"/>
    </row>
    <row r="886">
      <c r="B886" s="1039"/>
      <c r="C886" s="1039"/>
      <c r="D886" s="1039"/>
      <c r="E886" s="1039"/>
      <c r="F886" s="1039"/>
      <c r="G886" s="1039"/>
      <c r="H886" s="1039"/>
      <c r="I886" s="1039"/>
    </row>
    <row r="887">
      <c r="B887" s="1039"/>
      <c r="D887" s="1039"/>
      <c r="E887" s="1039"/>
      <c r="G887" s="1039"/>
      <c r="H887" s="1039"/>
      <c r="I887" s="1039"/>
    </row>
  </sheetData>
  <hyperlinks>
    <hyperlink r:id="rId1" ref="L1"/>
  </hyperlinks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6.38"/>
    <col customWidth="1" min="12" max="12" width="13.63"/>
    <col customWidth="1" min="16" max="16" width="14.0"/>
  </cols>
  <sheetData>
    <row r="1">
      <c r="A1" s="167"/>
      <c r="B1" s="168" t="s">
        <v>73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</row>
    <row r="2">
      <c r="A2" s="169" t="s">
        <v>172</v>
      </c>
      <c r="B2" s="170" t="s">
        <v>174</v>
      </c>
      <c r="C2" s="171" t="s">
        <v>693</v>
      </c>
      <c r="D2" s="608" t="s">
        <v>694</v>
      </c>
      <c r="E2" s="608" t="s">
        <v>695</v>
      </c>
      <c r="F2" s="608" t="s">
        <v>179</v>
      </c>
      <c r="G2" s="608" t="s">
        <v>696</v>
      </c>
      <c r="H2" s="173" t="s">
        <v>697</v>
      </c>
      <c r="I2" s="174" t="s">
        <v>84</v>
      </c>
      <c r="J2" s="170" t="s">
        <v>698</v>
      </c>
      <c r="K2" s="175" t="s">
        <v>699</v>
      </c>
      <c r="L2" s="173" t="s">
        <v>89</v>
      </c>
      <c r="M2" s="783" t="s">
        <v>700</v>
      </c>
      <c r="N2" s="177" t="s">
        <v>701</v>
      </c>
      <c r="O2" s="177" t="s">
        <v>702</v>
      </c>
      <c r="P2" s="178" t="s">
        <v>90</v>
      </c>
      <c r="Q2" s="325" t="s">
        <v>703</v>
      </c>
    </row>
    <row r="3">
      <c r="A3" s="609" t="s">
        <v>882</v>
      </c>
      <c r="B3" s="610">
        <f t="array" ref="B3">VLOOKUP($A3,MO_DEMO,2,FALSE)</f>
        <v>25314</v>
      </c>
      <c r="C3" s="611">
        <f>IFERROR(VLOOKUP($A3,'MO Data'!$A$4:$G$128,7,FALSE),"NULL")</f>
        <v>157</v>
      </c>
      <c r="D3" s="612" t="s">
        <v>63</v>
      </c>
      <c r="E3" s="612" t="s">
        <v>63</v>
      </c>
      <c r="F3" s="612" t="s">
        <v>63</v>
      </c>
      <c r="G3" s="612" t="s">
        <v>63</v>
      </c>
      <c r="H3" s="671" t="s">
        <v>63</v>
      </c>
      <c r="I3" s="614">
        <f>VLOOKUP($A3,'MO Data'!$A$269:$B$392,2,FALSE)</f>
        <v>5</v>
      </c>
      <c r="J3" s="615" t="s">
        <v>63</v>
      </c>
      <c r="K3" s="672" t="s">
        <v>63</v>
      </c>
      <c r="L3" s="728">
        <f>VLOOKUP($A3,'MO Data'!$A$139:$B$261,2,FALSE)</f>
        <v>26</v>
      </c>
      <c r="M3" s="704" t="s">
        <v>63</v>
      </c>
      <c r="N3" s="612" t="s">
        <v>63</v>
      </c>
      <c r="O3" s="612" t="s">
        <v>63</v>
      </c>
      <c r="P3" s="952">
        <f>ifna(vlookup(A3,'Population &amp; Church Numbers'!$A$1486:$D$1600,4,FALSE),"NULL")</f>
        <v>36</v>
      </c>
      <c r="Q3" s="674" t="s">
        <v>63</v>
      </c>
    </row>
    <row r="4">
      <c r="A4" s="609" t="s">
        <v>1392</v>
      </c>
      <c r="B4" s="610">
        <f t="array" ref="B4">VLOOKUP($A4,MO_DEMO,2,FALSE)</f>
        <v>18135</v>
      </c>
      <c r="C4" s="611">
        <f>IFERROR(VLOOKUP($A4,'MO Data'!$A$4:$G$128,7,FALSE),"NULL")</f>
        <v>7</v>
      </c>
      <c r="D4" s="612" t="s">
        <v>63</v>
      </c>
      <c r="E4" s="612" t="s">
        <v>63</v>
      </c>
      <c r="F4" s="612" t="s">
        <v>63</v>
      </c>
      <c r="G4" s="612" t="s">
        <v>63</v>
      </c>
      <c r="H4" s="671" t="s">
        <v>63</v>
      </c>
      <c r="I4" s="614">
        <f>VLOOKUP($A4,'MO Data'!$A$269:$B$392,2,FALSE)</f>
        <v>0</v>
      </c>
      <c r="J4" s="615" t="s">
        <v>63</v>
      </c>
      <c r="K4" s="672" t="s">
        <v>63</v>
      </c>
      <c r="L4" s="728">
        <f>VLOOKUP($A4,'MO Data'!$A$139:$B$261,2,FALSE)</f>
        <v>9</v>
      </c>
      <c r="M4" s="704" t="s">
        <v>63</v>
      </c>
      <c r="N4" s="612" t="s">
        <v>63</v>
      </c>
      <c r="O4" s="612" t="s">
        <v>63</v>
      </c>
      <c r="P4" s="952">
        <f>ifna(vlookup(A4,'Population &amp; Church Numbers'!$A$1486:$D$1600,4,FALSE),"NULL")</f>
        <v>11</v>
      </c>
      <c r="Q4" s="674" t="s">
        <v>63</v>
      </c>
    </row>
    <row r="5">
      <c r="A5" s="609" t="s">
        <v>955</v>
      </c>
      <c r="B5" s="610">
        <f t="array" ref="B5">VLOOKUP($A5,MO_DEMO,2,FALSE)</f>
        <v>5305</v>
      </c>
      <c r="C5" s="611">
        <f>IFERROR(VLOOKUP($A5,'MO Data'!$A$4:$G$128,7,FALSE),"NULL")</f>
        <v>16</v>
      </c>
      <c r="D5" s="612" t="s">
        <v>63</v>
      </c>
      <c r="E5" s="612" t="s">
        <v>63</v>
      </c>
      <c r="F5" s="612" t="s">
        <v>63</v>
      </c>
      <c r="G5" s="612" t="s">
        <v>63</v>
      </c>
      <c r="H5" s="671" t="s">
        <v>63</v>
      </c>
      <c r="I5" s="614">
        <f>VLOOKUP($A5,'MO Data'!$A$269:$B$392,2,FALSE)</f>
        <v>2</v>
      </c>
      <c r="J5" s="615" t="s">
        <v>63</v>
      </c>
      <c r="K5" s="672" t="s">
        <v>63</v>
      </c>
      <c r="L5" s="728">
        <f>VLOOKUP($A5,'MO Data'!$A$139:$B$261,2,FALSE)</f>
        <v>7</v>
      </c>
      <c r="M5" s="704" t="s">
        <v>63</v>
      </c>
      <c r="N5" s="612" t="s">
        <v>63</v>
      </c>
      <c r="O5" s="612" t="s">
        <v>63</v>
      </c>
      <c r="P5" s="952">
        <f>ifna(vlookup(A5,'Population &amp; Church Numbers'!$A$1486:$D$1600,4,FALSE),"NULL")</f>
        <v>16</v>
      </c>
      <c r="Q5" s="674" t="s">
        <v>63</v>
      </c>
    </row>
    <row r="6">
      <c r="A6" s="609" t="s">
        <v>1393</v>
      </c>
      <c r="B6" s="610">
        <f t="array" ref="B6">VLOOKUP($A6,MO_DEMO,2,FALSE)</f>
        <v>24962</v>
      </c>
      <c r="C6" s="611">
        <f>IFERROR(VLOOKUP($A6,'MO Data'!$A$4:$G$128,7,FALSE),"NULL")</f>
        <v>116</v>
      </c>
      <c r="D6" s="612" t="s">
        <v>63</v>
      </c>
      <c r="E6" s="612" t="s">
        <v>63</v>
      </c>
      <c r="F6" s="612" t="s">
        <v>63</v>
      </c>
      <c r="G6" s="612" t="s">
        <v>63</v>
      </c>
      <c r="H6" s="671" t="s">
        <v>63</v>
      </c>
      <c r="I6" s="614">
        <f>VLOOKUP($A6,'MO Data'!$A$269:$B$392,2,FALSE)</f>
        <v>9</v>
      </c>
      <c r="J6" s="615" t="s">
        <v>63</v>
      </c>
      <c r="K6" s="672" t="s">
        <v>63</v>
      </c>
      <c r="L6" s="728">
        <f>VLOOKUP($A6,'MO Data'!$A$139:$B$261,2,FALSE)</f>
        <v>24</v>
      </c>
      <c r="M6" s="704" t="s">
        <v>63</v>
      </c>
      <c r="N6" s="612" t="s">
        <v>63</v>
      </c>
      <c r="O6" s="612" t="s">
        <v>63</v>
      </c>
      <c r="P6" s="952">
        <f>ifna(vlookup(A6,'Population &amp; Church Numbers'!$A$1486:$D$1600,4,FALSE),"NULL")</f>
        <v>38</v>
      </c>
      <c r="Q6" s="674" t="s">
        <v>63</v>
      </c>
    </row>
    <row r="7">
      <c r="A7" s="609" t="s">
        <v>1240</v>
      </c>
      <c r="B7" s="610">
        <f t="array" ref="B7">VLOOKUP($A7,MO_DEMO,2,FALSE)</f>
        <v>34534</v>
      </c>
      <c r="C7" s="611">
        <f>IFERROR(VLOOKUP($A7,'MO Data'!$A$4:$G$128,7,FALSE),"NULL")</f>
        <v>186</v>
      </c>
      <c r="D7" s="612" t="s">
        <v>63</v>
      </c>
      <c r="E7" s="612" t="s">
        <v>63</v>
      </c>
      <c r="F7" s="612" t="s">
        <v>63</v>
      </c>
      <c r="G7" s="612" t="s">
        <v>63</v>
      </c>
      <c r="H7" s="671" t="s">
        <v>63</v>
      </c>
      <c r="I7" s="614">
        <f>VLOOKUP($A7,'MO Data'!$A$269:$B$392,2,FALSE)</f>
        <v>14</v>
      </c>
      <c r="J7" s="615" t="s">
        <v>63</v>
      </c>
      <c r="K7" s="672" t="s">
        <v>63</v>
      </c>
      <c r="L7" s="728">
        <f>VLOOKUP($A7,'MO Data'!$A$139:$B$261,2,FALSE)</f>
        <v>31</v>
      </c>
      <c r="M7" s="704" t="s">
        <v>63</v>
      </c>
      <c r="N7" s="612" t="s">
        <v>63</v>
      </c>
      <c r="O7" s="612" t="s">
        <v>63</v>
      </c>
      <c r="P7" s="952">
        <f>ifna(vlookup(A7,'Population &amp; Church Numbers'!$A$1486:$D$1600,4,FALSE),"NULL")</f>
        <v>70</v>
      </c>
      <c r="Q7" s="674" t="s">
        <v>63</v>
      </c>
    </row>
    <row r="8">
      <c r="A8" s="609" t="s">
        <v>958</v>
      </c>
      <c r="B8" s="610">
        <f t="array" ref="B8">VLOOKUP($A8,MO_DEMO,2,FALSE)</f>
        <v>11637</v>
      </c>
      <c r="C8" s="611">
        <f>IFERROR(VLOOKUP($A8,'MO Data'!$A$4:$G$128,7,FALSE),"NULL")</f>
        <v>46</v>
      </c>
      <c r="D8" s="612" t="s">
        <v>63</v>
      </c>
      <c r="E8" s="612" t="s">
        <v>63</v>
      </c>
      <c r="F8" s="612" t="s">
        <v>63</v>
      </c>
      <c r="G8" s="612" t="s">
        <v>63</v>
      </c>
      <c r="H8" s="671" t="s">
        <v>63</v>
      </c>
      <c r="I8" s="614">
        <f>VLOOKUP($A8,'MO Data'!$A$269:$B$392,2,FALSE)</f>
        <v>5</v>
      </c>
      <c r="J8" s="615" t="s">
        <v>63</v>
      </c>
      <c r="K8" s="672" t="s">
        <v>63</v>
      </c>
      <c r="L8" s="728">
        <f>VLOOKUP($A8,'MO Data'!$A$139:$B$261,2,FALSE)</f>
        <v>18</v>
      </c>
      <c r="M8" s="704" t="s">
        <v>63</v>
      </c>
      <c r="N8" s="612" t="s">
        <v>63</v>
      </c>
      <c r="O8" s="612" t="s">
        <v>63</v>
      </c>
      <c r="P8" s="952">
        <f>ifna(vlookup(A8,'Population &amp; Church Numbers'!$A$1486:$D$1600,4,FALSE),"NULL")</f>
        <v>25</v>
      </c>
      <c r="Q8" s="674" t="s">
        <v>63</v>
      </c>
    </row>
    <row r="9">
      <c r="A9" s="609" t="s">
        <v>1394</v>
      </c>
      <c r="B9" s="610">
        <f t="array" ref="B9">VLOOKUP($A9,MO_DEMO,2,FALSE)</f>
        <v>16042</v>
      </c>
      <c r="C9" s="611">
        <f>IFERROR(VLOOKUP($A9,'MO Data'!$A$4:$G$128,7,FALSE),"NULL")</f>
        <v>29</v>
      </c>
      <c r="D9" s="612" t="s">
        <v>63</v>
      </c>
      <c r="E9" s="612" t="s">
        <v>63</v>
      </c>
      <c r="F9" s="612" t="s">
        <v>63</v>
      </c>
      <c r="G9" s="612" t="s">
        <v>63</v>
      </c>
      <c r="H9" s="671" t="s">
        <v>63</v>
      </c>
      <c r="I9" s="614">
        <f>VLOOKUP($A9,'MO Data'!$A$269:$B$392,2,FALSE)</f>
        <v>1</v>
      </c>
      <c r="J9" s="615" t="s">
        <v>63</v>
      </c>
      <c r="K9" s="672" t="s">
        <v>63</v>
      </c>
      <c r="L9" s="728">
        <f>VLOOKUP($A9,'MO Data'!$A$139:$B$261,2,FALSE)</f>
        <v>23</v>
      </c>
      <c r="M9" s="704" t="s">
        <v>63</v>
      </c>
      <c r="N9" s="612" t="s">
        <v>63</v>
      </c>
      <c r="O9" s="612" t="s">
        <v>63</v>
      </c>
      <c r="P9" s="952">
        <f>ifna(vlookup(A9,'Population &amp; Church Numbers'!$A$1486:$D$1600,4,FALSE),"NULL")</f>
        <v>34</v>
      </c>
      <c r="Q9" s="674" t="s">
        <v>63</v>
      </c>
    </row>
    <row r="10">
      <c r="A10" s="609" t="s">
        <v>243</v>
      </c>
      <c r="B10" s="610">
        <f t="array" ref="B10">VLOOKUP($A10,MO_DEMO,2,FALSE)</f>
        <v>19394</v>
      </c>
      <c r="C10" s="611">
        <f>IFERROR(VLOOKUP($A10,'MO Data'!$A$4:$G$128,7,FALSE),"NULL")</f>
        <v>33</v>
      </c>
      <c r="D10" s="612" t="s">
        <v>63</v>
      </c>
      <c r="E10" s="612" t="s">
        <v>63</v>
      </c>
      <c r="F10" s="612" t="s">
        <v>63</v>
      </c>
      <c r="G10" s="612" t="s">
        <v>63</v>
      </c>
      <c r="H10" s="671" t="s">
        <v>63</v>
      </c>
      <c r="I10" s="614">
        <f>VLOOKUP($A10,'MO Data'!$A$269:$B$392,2,FALSE)</f>
        <v>0</v>
      </c>
      <c r="J10" s="615" t="s">
        <v>63</v>
      </c>
      <c r="K10" s="672" t="s">
        <v>63</v>
      </c>
      <c r="L10" s="728">
        <f>VLOOKUP($A10,'MO Data'!$A$139:$B$261,2,FALSE)</f>
        <v>20</v>
      </c>
      <c r="M10" s="704" t="s">
        <v>63</v>
      </c>
      <c r="N10" s="612" t="s">
        <v>63</v>
      </c>
      <c r="O10" s="612" t="s">
        <v>63</v>
      </c>
      <c r="P10" s="952">
        <f>ifna(vlookup(A10,'Population &amp; Church Numbers'!$A$1486:$D$1600,4,FALSE),"NULL")</f>
        <v>27</v>
      </c>
      <c r="Q10" s="674" t="s">
        <v>63</v>
      </c>
    </row>
    <row r="11">
      <c r="A11" s="609" t="s">
        <v>1395</v>
      </c>
      <c r="B11" s="610">
        <f t="array" ref="B11">VLOOKUP($A11,MO_DEMO,2,FALSE)</f>
        <v>10567</v>
      </c>
      <c r="C11" s="611">
        <f>IFERROR(VLOOKUP($A11,'MO Data'!$A$4:$G$128,7,FALSE),"NULL")</f>
        <v>72</v>
      </c>
      <c r="D11" s="612" t="s">
        <v>63</v>
      </c>
      <c r="E11" s="612" t="s">
        <v>63</v>
      </c>
      <c r="F11" s="612" t="s">
        <v>63</v>
      </c>
      <c r="G11" s="612" t="s">
        <v>63</v>
      </c>
      <c r="H11" s="671" t="s">
        <v>63</v>
      </c>
      <c r="I11" s="614">
        <f>VLOOKUP($A11,'MO Data'!$A$269:$B$392,2,FALSE)</f>
        <v>3</v>
      </c>
      <c r="J11" s="615" t="s">
        <v>63</v>
      </c>
      <c r="K11" s="672" t="s">
        <v>63</v>
      </c>
      <c r="L11" s="728">
        <f>VLOOKUP($A11,'MO Data'!$A$139:$B$261,2,FALSE)</f>
        <v>26</v>
      </c>
      <c r="M11" s="704" t="s">
        <v>63</v>
      </c>
      <c r="N11" s="612" t="s">
        <v>63</v>
      </c>
      <c r="O11" s="612" t="s">
        <v>63</v>
      </c>
      <c r="P11" s="952">
        <f>ifna(vlookup(A11,'Population &amp; Church Numbers'!$A$1486:$D$1600,4,FALSE),"NULL")</f>
        <v>13</v>
      </c>
      <c r="Q11" s="674" t="s">
        <v>63</v>
      </c>
    </row>
    <row r="12">
      <c r="A12" s="609" t="s">
        <v>246</v>
      </c>
      <c r="B12" s="610">
        <f t="array" ref="B12">VLOOKUP($A12,MO_DEMO,2,FALSE)</f>
        <v>183610</v>
      </c>
      <c r="C12" s="611">
        <f>IFERROR(VLOOKUP($A12,'MO Data'!$A$4:$G$128,7,FALSE),"NULL")</f>
        <v>499</v>
      </c>
      <c r="D12" s="612" t="s">
        <v>63</v>
      </c>
      <c r="E12" s="612" t="s">
        <v>63</v>
      </c>
      <c r="F12" s="612" t="s">
        <v>63</v>
      </c>
      <c r="G12" s="612" t="s">
        <v>63</v>
      </c>
      <c r="H12" s="671" t="s">
        <v>63</v>
      </c>
      <c r="I12" s="614">
        <f>VLOOKUP($A12,'MO Data'!$A$269:$B$392,2,FALSE)</f>
        <v>4</v>
      </c>
      <c r="J12" s="615" t="s">
        <v>63</v>
      </c>
      <c r="K12" s="672" t="s">
        <v>63</v>
      </c>
      <c r="L12" s="728">
        <f>VLOOKUP($A12,'MO Data'!$A$139:$B$261,2,FALSE)</f>
        <v>190</v>
      </c>
      <c r="M12" s="704" t="s">
        <v>63</v>
      </c>
      <c r="N12" s="612" t="s">
        <v>63</v>
      </c>
      <c r="O12" s="612" t="s">
        <v>63</v>
      </c>
      <c r="P12" s="952">
        <f>ifna(vlookup(A12,'Population &amp; Church Numbers'!$A$1486:$D$1600,4,FALSE),"NULL")</f>
        <v>128</v>
      </c>
      <c r="Q12" s="674" t="s">
        <v>63</v>
      </c>
    </row>
    <row r="13">
      <c r="A13" s="609" t="s">
        <v>892</v>
      </c>
      <c r="B13" s="610">
        <f t="array" ref="B13">VLOOKUP($A13,MO_DEMO,2,FALSE)</f>
        <v>84793</v>
      </c>
      <c r="C13" s="611">
        <f>IFERROR(VLOOKUP($A13,'MO Data'!$A$4:$G$128,7,FALSE),"NULL")</f>
        <v>152</v>
      </c>
      <c r="D13" s="612" t="s">
        <v>63</v>
      </c>
      <c r="E13" s="612" t="s">
        <v>63</v>
      </c>
      <c r="F13" s="612" t="s">
        <v>63</v>
      </c>
      <c r="G13" s="612" t="s">
        <v>63</v>
      </c>
      <c r="H13" s="671" t="s">
        <v>63</v>
      </c>
      <c r="I13" s="614">
        <f>VLOOKUP($A13,'MO Data'!$A$269:$B$392,2,FALSE)</f>
        <v>16</v>
      </c>
      <c r="J13" s="615" t="s">
        <v>63</v>
      </c>
      <c r="K13" s="672" t="s">
        <v>63</v>
      </c>
      <c r="L13" s="728">
        <f>VLOOKUP($A13,'MO Data'!$A$139:$B$261,2,FALSE)</f>
        <v>127</v>
      </c>
      <c r="M13" s="704" t="s">
        <v>63</v>
      </c>
      <c r="N13" s="612" t="s">
        <v>63</v>
      </c>
      <c r="O13" s="612" t="s">
        <v>63</v>
      </c>
      <c r="P13" s="952">
        <f>ifna(vlookup(A13,'Population &amp; Church Numbers'!$A$1486:$D$1600,4,FALSE),"NULL")</f>
        <v>92</v>
      </c>
      <c r="Q13" s="674" t="s">
        <v>63</v>
      </c>
    </row>
    <row r="14">
      <c r="A14" s="609" t="s">
        <v>87</v>
      </c>
      <c r="B14" s="610">
        <f t="array" ref="B14">VLOOKUP($A14,MO_DEMO,2,FALSE)</f>
        <v>42130</v>
      </c>
      <c r="C14" s="611">
        <f>IFERROR(VLOOKUP($A14,'MO Data'!$A$4:$G$128,7,FALSE),"NULL")</f>
        <v>275</v>
      </c>
      <c r="D14" s="612" t="s">
        <v>63</v>
      </c>
      <c r="E14" s="612" t="s">
        <v>63</v>
      </c>
      <c r="F14" s="612" t="s">
        <v>63</v>
      </c>
      <c r="G14" s="612" t="s">
        <v>63</v>
      </c>
      <c r="H14" s="671" t="s">
        <v>63</v>
      </c>
      <c r="I14" s="614">
        <f>VLOOKUP($A14,'MO Data'!$A$269:$B$392,2,FALSE)</f>
        <v>16</v>
      </c>
      <c r="J14" s="615" t="s">
        <v>63</v>
      </c>
      <c r="K14" s="672" t="s">
        <v>63</v>
      </c>
      <c r="L14" s="728">
        <f>VLOOKUP($A14,'MO Data'!$A$139:$B$261,2,FALSE)</f>
        <v>107</v>
      </c>
      <c r="M14" s="704" t="s">
        <v>63</v>
      </c>
      <c r="N14" s="612" t="s">
        <v>63</v>
      </c>
      <c r="O14" s="612" t="s">
        <v>63</v>
      </c>
      <c r="P14" s="952">
        <f>ifna(vlookup(A14,'Population &amp; Church Numbers'!$A$1486:$D$1600,4,FALSE),"NULL")</f>
        <v>50</v>
      </c>
      <c r="Q14" s="674" t="s">
        <v>63</v>
      </c>
    </row>
    <row r="15">
      <c r="A15" s="609" t="s">
        <v>1034</v>
      </c>
      <c r="B15" s="610">
        <f t="array" ref="B15">VLOOKUP($A15,MO_DEMO,2,FALSE)</f>
        <v>8815</v>
      </c>
      <c r="C15" s="611">
        <f>IFERROR(VLOOKUP($A15,'MO Data'!$A$4:$G$128,7,FALSE),"NULL")</f>
        <v>17</v>
      </c>
      <c r="D15" s="612" t="s">
        <v>63</v>
      </c>
      <c r="E15" s="612" t="s">
        <v>63</v>
      </c>
      <c r="F15" s="612" t="s">
        <v>63</v>
      </c>
      <c r="G15" s="612" t="s">
        <v>63</v>
      </c>
      <c r="H15" s="671" t="s">
        <v>63</v>
      </c>
      <c r="I15" s="614">
        <f>VLOOKUP($A15,'MO Data'!$A$269:$B$392,2,FALSE)</f>
        <v>0</v>
      </c>
      <c r="J15" s="615" t="s">
        <v>63</v>
      </c>
      <c r="K15" s="672" t="s">
        <v>63</v>
      </c>
      <c r="L15" s="728">
        <f>VLOOKUP($A15,'MO Data'!$A$139:$B$261,2,FALSE)</f>
        <v>12</v>
      </c>
      <c r="M15" s="704" t="s">
        <v>63</v>
      </c>
      <c r="N15" s="612" t="s">
        <v>63</v>
      </c>
      <c r="O15" s="612" t="s">
        <v>63</v>
      </c>
      <c r="P15" s="952">
        <f>ifna(vlookup(A15,'Population &amp; Church Numbers'!$A$1486:$D$1600,4,FALSE),"NULL")</f>
        <v>16</v>
      </c>
      <c r="Q15" s="674" t="s">
        <v>63</v>
      </c>
    </row>
    <row r="16">
      <c r="A16" s="609" t="s">
        <v>1396</v>
      </c>
      <c r="B16" s="610">
        <f t="array" ref="B16">VLOOKUP($A16,MO_DEMO,2,FALSE)</f>
        <v>44283</v>
      </c>
      <c r="C16" s="611">
        <f>IFERROR(VLOOKUP($A16,'MO Data'!$A$4:$G$128,7,FALSE),"NULL")</f>
        <v>211</v>
      </c>
      <c r="D16" s="612" t="s">
        <v>63</v>
      </c>
      <c r="E16" s="612" t="s">
        <v>63</v>
      </c>
      <c r="F16" s="612" t="s">
        <v>63</v>
      </c>
      <c r="G16" s="612" t="s">
        <v>63</v>
      </c>
      <c r="H16" s="671" t="s">
        <v>63</v>
      </c>
      <c r="I16" s="614">
        <f>VLOOKUP($A16,'MO Data'!$A$269:$B$392,2,FALSE)</f>
        <v>4</v>
      </c>
      <c r="J16" s="615" t="s">
        <v>63</v>
      </c>
      <c r="K16" s="672" t="s">
        <v>63</v>
      </c>
      <c r="L16" s="728">
        <f>VLOOKUP($A16,'MO Data'!$A$139:$B$261,2,FALSE)</f>
        <v>78</v>
      </c>
      <c r="M16" s="704" t="s">
        <v>63</v>
      </c>
      <c r="N16" s="612" t="s">
        <v>63</v>
      </c>
      <c r="O16" s="612" t="s">
        <v>63</v>
      </c>
      <c r="P16" s="952">
        <f>ifna(vlookup(A16,'Population &amp; Church Numbers'!$A$1486:$D$1600,4,FALSE),"NULL")</f>
        <v>45</v>
      </c>
      <c r="Q16" s="674" t="s">
        <v>63</v>
      </c>
    </row>
    <row r="17">
      <c r="A17" s="609" t="s">
        <v>548</v>
      </c>
      <c r="B17" s="610">
        <f t="array" ref="B17">VLOOKUP($A17,MO_DEMO,2,FALSE)</f>
        <v>42745</v>
      </c>
      <c r="C17" s="611">
        <f>IFERROR(VLOOKUP($A17,'MO Data'!$A$4:$G$128,7,FALSE),"NULL")</f>
        <v>113</v>
      </c>
      <c r="D17" s="612" t="s">
        <v>63</v>
      </c>
      <c r="E17" s="612" t="s">
        <v>63</v>
      </c>
      <c r="F17" s="612" t="s">
        <v>63</v>
      </c>
      <c r="G17" s="612" t="s">
        <v>63</v>
      </c>
      <c r="H17" s="671" t="s">
        <v>63</v>
      </c>
      <c r="I17" s="614">
        <f>VLOOKUP($A17,'MO Data'!$A$269:$B$392,2,FALSE)</f>
        <v>0</v>
      </c>
      <c r="J17" s="615" t="s">
        <v>63</v>
      </c>
      <c r="K17" s="672" t="s">
        <v>63</v>
      </c>
      <c r="L17" s="728">
        <f>VLOOKUP($A17,'MO Data'!$A$139:$B$261,2,FALSE)</f>
        <v>41</v>
      </c>
      <c r="M17" s="704" t="s">
        <v>63</v>
      </c>
      <c r="N17" s="612" t="s">
        <v>63</v>
      </c>
      <c r="O17" s="612" t="s">
        <v>63</v>
      </c>
      <c r="P17" s="952">
        <f>ifna(vlookup(A17,'Population &amp; Church Numbers'!$A$1486:$D$1600,4,FALSE),"NULL")</f>
        <v>39</v>
      </c>
      <c r="Q17" s="674" t="s">
        <v>63</v>
      </c>
    </row>
    <row r="18">
      <c r="A18" s="609" t="s">
        <v>1397</v>
      </c>
      <c r="B18" s="610">
        <f t="array" ref="B18">VLOOKUP($A18,MO_DEMO,2,FALSE)</f>
        <v>81710</v>
      </c>
      <c r="C18" s="611">
        <f>IFERROR(VLOOKUP($A18,'MO Data'!$A$4:$G$128,7,FALSE),"NULL")</f>
        <v>384</v>
      </c>
      <c r="D18" s="612" t="s">
        <v>63</v>
      </c>
      <c r="E18" s="612" t="s">
        <v>63</v>
      </c>
      <c r="F18" s="612" t="s">
        <v>63</v>
      </c>
      <c r="G18" s="612" t="s">
        <v>63</v>
      </c>
      <c r="H18" s="671" t="s">
        <v>63</v>
      </c>
      <c r="I18" s="614">
        <f>VLOOKUP($A18,'MO Data'!$A$269:$B$392,2,FALSE)</f>
        <v>11</v>
      </c>
      <c r="J18" s="615" t="s">
        <v>63</v>
      </c>
      <c r="K18" s="672" t="s">
        <v>63</v>
      </c>
      <c r="L18" s="728">
        <f>VLOOKUP($A18,'MO Data'!$A$139:$B$261,2,FALSE)</f>
        <v>191</v>
      </c>
      <c r="M18" s="704" t="s">
        <v>63</v>
      </c>
      <c r="N18" s="612" t="s">
        <v>63</v>
      </c>
      <c r="O18" s="612" t="s">
        <v>63</v>
      </c>
      <c r="P18" s="952">
        <f>ifna(vlookup(A18,'Population &amp; Church Numbers'!$A$1486:$D$1600,4,FALSE),"NULL")</f>
        <v>83</v>
      </c>
      <c r="Q18" s="674" t="s">
        <v>63</v>
      </c>
    </row>
    <row r="19">
      <c r="A19" s="609" t="s">
        <v>248</v>
      </c>
      <c r="B19" s="610">
        <f t="array" ref="B19">VLOOKUP($A19,MO_DEMO,2,FALSE)</f>
        <v>8495</v>
      </c>
      <c r="C19" s="611">
        <f>IFERROR(VLOOKUP($A19,'MO Data'!$A$4:$G$128,7,FALSE),"NULL")</f>
        <v>2</v>
      </c>
      <c r="D19" s="612" t="s">
        <v>63</v>
      </c>
      <c r="E19" s="612" t="s">
        <v>63</v>
      </c>
      <c r="F19" s="612" t="s">
        <v>63</v>
      </c>
      <c r="G19" s="612" t="s">
        <v>63</v>
      </c>
      <c r="H19" s="671" t="s">
        <v>63</v>
      </c>
      <c r="I19" s="614">
        <f>VLOOKUP($A19,'MO Data'!$A$269:$B$392,2,FALSE)</f>
        <v>0</v>
      </c>
      <c r="J19" s="615" t="s">
        <v>63</v>
      </c>
      <c r="K19" s="672" t="s">
        <v>63</v>
      </c>
      <c r="L19" s="728">
        <f>VLOOKUP($A19,'MO Data'!$A$139:$B$261,2,FALSE)</f>
        <v>3</v>
      </c>
      <c r="M19" s="704" t="s">
        <v>63</v>
      </c>
      <c r="N19" s="612" t="s">
        <v>63</v>
      </c>
      <c r="O19" s="612" t="s">
        <v>63</v>
      </c>
      <c r="P19" s="952">
        <f>ifna(vlookup(A19,'Population &amp; Church Numbers'!$A$1486:$D$1600,4,FALSE),"NULL")</f>
        <v>14</v>
      </c>
      <c r="Q19" s="674" t="s">
        <v>63</v>
      </c>
    </row>
    <row r="20">
      <c r="A20" s="609" t="s">
        <v>1038</v>
      </c>
      <c r="B20" s="610">
        <f t="array" ref="B20">VLOOKUP($A20,MO_DEMO,2,FALSE)</f>
        <v>5202</v>
      </c>
      <c r="C20" s="611">
        <f>IFERROR(VLOOKUP($A20,'MO Data'!$A$4:$G$128,7,FALSE),"NULL")</f>
        <v>17</v>
      </c>
      <c r="D20" s="612" t="s">
        <v>63</v>
      </c>
      <c r="E20" s="612" t="s">
        <v>63</v>
      </c>
      <c r="F20" s="612" t="s">
        <v>63</v>
      </c>
      <c r="G20" s="612" t="s">
        <v>63</v>
      </c>
      <c r="H20" s="671" t="s">
        <v>63</v>
      </c>
      <c r="I20" s="614">
        <f>VLOOKUP($A20,'MO Data'!$A$269:$B$392,2,FALSE)</f>
        <v>0</v>
      </c>
      <c r="J20" s="615" t="s">
        <v>63</v>
      </c>
      <c r="K20" s="672" t="s">
        <v>63</v>
      </c>
      <c r="L20" s="728">
        <f>VLOOKUP($A20,'MO Data'!$A$139:$B$261,2,FALSE)</f>
        <v>14</v>
      </c>
      <c r="M20" s="704" t="s">
        <v>63</v>
      </c>
      <c r="N20" s="612" t="s">
        <v>63</v>
      </c>
      <c r="O20" s="612" t="s">
        <v>63</v>
      </c>
      <c r="P20" s="952">
        <f>ifna(vlookup(A20,'Population &amp; Church Numbers'!$A$1486:$D$1600,4,FALSE),"NULL")</f>
        <v>8</v>
      </c>
      <c r="Q20" s="674" t="s">
        <v>63</v>
      </c>
    </row>
    <row r="21">
      <c r="A21" s="609" t="s">
        <v>708</v>
      </c>
      <c r="B21" s="610">
        <f t="array" ref="B21">VLOOKUP($A21,MO_DEMO,2,FALSE)</f>
        <v>107824</v>
      </c>
      <c r="C21" s="611">
        <f>IFERROR(VLOOKUP($A21,'MO Data'!$A$4:$G$128,7,FALSE),"NULL")</f>
        <v>264</v>
      </c>
      <c r="D21" s="612" t="s">
        <v>63</v>
      </c>
      <c r="E21" s="612" t="s">
        <v>63</v>
      </c>
      <c r="F21" s="612" t="s">
        <v>63</v>
      </c>
      <c r="G21" s="612" t="s">
        <v>63</v>
      </c>
      <c r="H21" s="671" t="s">
        <v>63</v>
      </c>
      <c r="I21" s="614">
        <f>VLOOKUP($A21,'MO Data'!$A$269:$B$392,2,FALSE)</f>
        <v>9</v>
      </c>
      <c r="J21" s="615" t="s">
        <v>63</v>
      </c>
      <c r="K21" s="672" t="s">
        <v>63</v>
      </c>
      <c r="L21" s="728">
        <f>VLOOKUP($A21,'MO Data'!$A$139:$B$261,2,FALSE)</f>
        <v>65</v>
      </c>
      <c r="M21" s="704" t="s">
        <v>63</v>
      </c>
      <c r="N21" s="612" t="s">
        <v>63</v>
      </c>
      <c r="O21" s="612" t="s">
        <v>63</v>
      </c>
      <c r="P21" s="952">
        <f>ifna(vlookup(A21,'Population &amp; Church Numbers'!$A$1486:$D$1600,4,FALSE),"NULL")</f>
        <v>102</v>
      </c>
      <c r="Q21" s="674" t="s">
        <v>63</v>
      </c>
    </row>
    <row r="22">
      <c r="A22" s="609" t="s">
        <v>894</v>
      </c>
      <c r="B22" s="610">
        <f t="array" ref="B22">VLOOKUP($A22,MO_DEMO,2,FALSE)</f>
        <v>14188</v>
      </c>
      <c r="C22" s="611">
        <f>IFERROR(VLOOKUP($A22,'MO Data'!$A$4:$G$128,7,FALSE),"NULL")</f>
        <v>44</v>
      </c>
      <c r="D22" s="612" t="s">
        <v>63</v>
      </c>
      <c r="E22" s="612" t="s">
        <v>63</v>
      </c>
      <c r="F22" s="612" t="s">
        <v>63</v>
      </c>
      <c r="G22" s="612" t="s">
        <v>63</v>
      </c>
      <c r="H22" s="671" t="s">
        <v>63</v>
      </c>
      <c r="I22" s="614">
        <f>VLOOKUP($A22,'MO Data'!$A$269:$B$392,2,FALSE)</f>
        <v>1</v>
      </c>
      <c r="J22" s="615" t="s">
        <v>63</v>
      </c>
      <c r="K22" s="672" t="s">
        <v>63</v>
      </c>
      <c r="L22" s="728">
        <f>VLOOKUP($A22,'MO Data'!$A$139:$B$261,2,FALSE)</f>
        <v>22</v>
      </c>
      <c r="M22" s="704" t="s">
        <v>63</v>
      </c>
      <c r="N22" s="612" t="s">
        <v>63</v>
      </c>
      <c r="O22" s="612" t="s">
        <v>63</v>
      </c>
      <c r="P22" s="952">
        <f>ifna(vlookup(A22,'Population &amp; Church Numbers'!$A$1486:$D$1600,4,FALSE),"NULL")</f>
        <v>21</v>
      </c>
      <c r="Q22" s="674" t="s">
        <v>63</v>
      </c>
    </row>
    <row r="23">
      <c r="A23" s="609" t="s">
        <v>1398</v>
      </c>
      <c r="B23" s="610">
        <f t="array" ref="B23">VLOOKUP($A23,MO_DEMO,2,FALSE)</f>
        <v>7408</v>
      </c>
      <c r="C23" s="611">
        <f>IFERROR(VLOOKUP($A23,'MO Data'!$A$4:$G$128,7,FALSE),"NULL")</f>
        <v>30</v>
      </c>
      <c r="D23" s="612" t="s">
        <v>63</v>
      </c>
      <c r="E23" s="612" t="s">
        <v>63</v>
      </c>
      <c r="F23" s="612" t="s">
        <v>63</v>
      </c>
      <c r="G23" s="612" t="s">
        <v>63</v>
      </c>
      <c r="H23" s="671" t="s">
        <v>63</v>
      </c>
      <c r="I23" s="614">
        <f>VLOOKUP($A23,'MO Data'!$A$269:$B$392,2,FALSE)</f>
        <v>0</v>
      </c>
      <c r="J23" s="615" t="s">
        <v>63</v>
      </c>
      <c r="K23" s="672" t="s">
        <v>63</v>
      </c>
      <c r="L23" s="728">
        <f>VLOOKUP($A23,'MO Data'!$A$139:$B$261,2,FALSE)</f>
        <v>16</v>
      </c>
      <c r="M23" s="704" t="s">
        <v>63</v>
      </c>
      <c r="N23" s="612" t="s">
        <v>63</v>
      </c>
      <c r="O23" s="612" t="s">
        <v>63</v>
      </c>
      <c r="P23" s="952">
        <f>ifna(vlookup(A23,'Population &amp; Church Numbers'!$A$1486:$D$1600,4,FALSE),"NULL")</f>
        <v>16</v>
      </c>
      <c r="Q23" s="674" t="s">
        <v>63</v>
      </c>
    </row>
    <row r="24">
      <c r="A24" s="609" t="s">
        <v>710</v>
      </c>
      <c r="B24" s="610">
        <f t="array" ref="B24">VLOOKUP($A24,MO_DEMO,2,FALSE)</f>
        <v>88842</v>
      </c>
      <c r="C24" s="611">
        <f>IFERROR(VLOOKUP($A24,'MO Data'!$A$4:$G$128,7,FALSE),"NULL")</f>
        <v>244</v>
      </c>
      <c r="D24" s="612" t="s">
        <v>63</v>
      </c>
      <c r="E24" s="612" t="s">
        <v>63</v>
      </c>
      <c r="F24" s="612" t="s">
        <v>63</v>
      </c>
      <c r="G24" s="612" t="s">
        <v>63</v>
      </c>
      <c r="H24" s="671" t="s">
        <v>63</v>
      </c>
      <c r="I24" s="614">
        <f>VLOOKUP($A24,'MO Data'!$A$269:$B$392,2,FALSE)</f>
        <v>13</v>
      </c>
      <c r="J24" s="615" t="s">
        <v>63</v>
      </c>
      <c r="K24" s="672" t="s">
        <v>63</v>
      </c>
      <c r="L24" s="728">
        <f>VLOOKUP($A24,'MO Data'!$A$139:$B$261,2,FALSE)</f>
        <v>81</v>
      </c>
      <c r="M24" s="704" t="s">
        <v>63</v>
      </c>
      <c r="N24" s="612" t="s">
        <v>63</v>
      </c>
      <c r="O24" s="612" t="s">
        <v>63</v>
      </c>
      <c r="P24" s="952">
        <f>ifna(vlookup(A24,'Population &amp; Church Numbers'!$A$1486:$D$1600,4,FALSE),"NULL")</f>
        <v>73</v>
      </c>
      <c r="Q24" s="674" t="s">
        <v>63</v>
      </c>
    </row>
    <row r="25">
      <c r="A25" s="609" t="s">
        <v>253</v>
      </c>
      <c r="B25" s="610">
        <f t="array" ref="B25">VLOOKUP($A25,MO_DEMO,2,FALSE)</f>
        <v>6634</v>
      </c>
      <c r="C25" s="611">
        <f>IFERROR(VLOOKUP($A25,'MO Data'!$A$4:$G$128,7,FALSE),"NULL")</f>
        <v>50</v>
      </c>
      <c r="D25" s="612" t="s">
        <v>63</v>
      </c>
      <c r="E25" s="612" t="s">
        <v>63</v>
      </c>
      <c r="F25" s="612" t="s">
        <v>63</v>
      </c>
      <c r="G25" s="612" t="s">
        <v>63</v>
      </c>
      <c r="H25" s="671" t="s">
        <v>63</v>
      </c>
      <c r="I25" s="614">
        <f>VLOOKUP($A25,'MO Data'!$A$269:$B$392,2,FALSE)</f>
        <v>5</v>
      </c>
      <c r="J25" s="615" t="s">
        <v>63</v>
      </c>
      <c r="K25" s="672" t="s">
        <v>63</v>
      </c>
      <c r="L25" s="728">
        <f>VLOOKUP($A25,'MO Data'!$A$139:$B$261,2,FALSE)</f>
        <v>25</v>
      </c>
      <c r="M25" s="704" t="s">
        <v>63</v>
      </c>
      <c r="N25" s="612" t="s">
        <v>63</v>
      </c>
      <c r="O25" s="612" t="s">
        <v>63</v>
      </c>
      <c r="P25" s="952">
        <f>ifna(vlookup(A25,'Population &amp; Church Numbers'!$A$1486:$D$1600,4,FALSE),"NULL")</f>
        <v>15</v>
      </c>
      <c r="Q25" s="674" t="s">
        <v>63</v>
      </c>
    </row>
    <row r="26">
      <c r="A26" s="609" t="s">
        <v>112</v>
      </c>
      <c r="B26" s="610">
        <f t="array" ref="B26">VLOOKUP($A26,MO_DEMO,2,FALSE)</f>
        <v>253335</v>
      </c>
      <c r="C26" s="611">
        <f>IFERROR(VLOOKUP($A26,'MO Data'!$A$4:$G$128,7,FALSE),"NULL")</f>
        <v>232</v>
      </c>
      <c r="D26" s="612" t="s">
        <v>63</v>
      </c>
      <c r="E26" s="612" t="s">
        <v>63</v>
      </c>
      <c r="F26" s="612" t="s">
        <v>63</v>
      </c>
      <c r="G26" s="612" t="s">
        <v>63</v>
      </c>
      <c r="H26" s="671" t="s">
        <v>63</v>
      </c>
      <c r="I26" s="614">
        <f>VLOOKUP($A26,'MO Data'!$A$269:$B$392,2,FALSE)</f>
        <v>7</v>
      </c>
      <c r="J26" s="615" t="s">
        <v>63</v>
      </c>
      <c r="K26" s="672" t="s">
        <v>63</v>
      </c>
      <c r="L26" s="728">
        <f>VLOOKUP($A26,'MO Data'!$A$139:$B$261,2,FALSE)</f>
        <v>66</v>
      </c>
      <c r="M26" s="704" t="s">
        <v>63</v>
      </c>
      <c r="N26" s="612" t="s">
        <v>63</v>
      </c>
      <c r="O26" s="612" t="s">
        <v>63</v>
      </c>
      <c r="P26" s="952">
        <f>ifna(vlookup(A26,'Population &amp; Church Numbers'!$A$1486:$D$1600,4,FALSE),"NULL")</f>
        <v>175</v>
      </c>
      <c r="Q26" s="674" t="s">
        <v>63</v>
      </c>
    </row>
    <row r="27">
      <c r="A27" s="609" t="s">
        <v>711</v>
      </c>
      <c r="B27" s="610">
        <f t="array" ref="B27">VLOOKUP($A27,MO_DEMO,2,FALSE)</f>
        <v>21184</v>
      </c>
      <c r="C27" s="611">
        <f>IFERROR(VLOOKUP($A27,'MO Data'!$A$4:$G$128,7,FALSE),"NULL")</f>
        <v>57</v>
      </c>
      <c r="D27" s="612" t="s">
        <v>63</v>
      </c>
      <c r="E27" s="612" t="s">
        <v>63</v>
      </c>
      <c r="F27" s="612" t="s">
        <v>63</v>
      </c>
      <c r="G27" s="612" t="s">
        <v>63</v>
      </c>
      <c r="H27" s="671" t="s">
        <v>63</v>
      </c>
      <c r="I27" s="614">
        <f>VLOOKUP($A27,'MO Data'!$A$269:$B$392,2,FALSE)</f>
        <v>5</v>
      </c>
      <c r="J27" s="615" t="s">
        <v>63</v>
      </c>
      <c r="K27" s="672" t="s">
        <v>63</v>
      </c>
      <c r="L27" s="728">
        <f>VLOOKUP($A27,'MO Data'!$A$139:$B$261,2,FALSE)</f>
        <v>20</v>
      </c>
      <c r="M27" s="704" t="s">
        <v>63</v>
      </c>
      <c r="N27" s="612" t="s">
        <v>63</v>
      </c>
      <c r="O27" s="612" t="s">
        <v>63</v>
      </c>
      <c r="P27" s="952">
        <f>ifna(vlookup(A27,'Population &amp; Church Numbers'!$A$1486:$D$1600,4,FALSE),"NULL")</f>
        <v>21</v>
      </c>
      <c r="Q27" s="674" t="s">
        <v>63</v>
      </c>
    </row>
    <row r="28">
      <c r="A28" s="609" t="s">
        <v>1399</v>
      </c>
      <c r="B28" s="610">
        <f t="array" ref="B28">VLOOKUP($A28,MO_DEMO,2,FALSE)</f>
        <v>77279</v>
      </c>
      <c r="C28" s="611">
        <f>IFERROR(VLOOKUP($A28,'MO Data'!$A$4:$G$128,7,FALSE),"NULL")</f>
        <v>213</v>
      </c>
      <c r="D28" s="612" t="s">
        <v>63</v>
      </c>
      <c r="E28" s="612" t="s">
        <v>63</v>
      </c>
      <c r="F28" s="612" t="s">
        <v>63</v>
      </c>
      <c r="G28" s="612" t="s">
        <v>63</v>
      </c>
      <c r="H28" s="671" t="s">
        <v>63</v>
      </c>
      <c r="I28" s="614">
        <f>VLOOKUP($A28,'MO Data'!$A$269:$B$392,2,FALSE)</f>
        <v>5</v>
      </c>
      <c r="J28" s="615" t="s">
        <v>63</v>
      </c>
      <c r="K28" s="672" t="s">
        <v>63</v>
      </c>
      <c r="L28" s="728">
        <f>VLOOKUP($A28,'MO Data'!$A$139:$B$261,2,FALSE)</f>
        <v>79</v>
      </c>
      <c r="M28" s="704" t="s">
        <v>63</v>
      </c>
      <c r="N28" s="612" t="s">
        <v>63</v>
      </c>
      <c r="O28" s="612" t="s">
        <v>63</v>
      </c>
      <c r="P28" s="952">
        <f>ifna(vlookup(A28,'Population &amp; Church Numbers'!$A$1486:$D$1600,4,FALSE),"NULL")</f>
        <v>72</v>
      </c>
      <c r="Q28" s="674" t="s">
        <v>63</v>
      </c>
    </row>
    <row r="29">
      <c r="A29" s="609" t="s">
        <v>1400</v>
      </c>
      <c r="B29" s="610">
        <f t="array" ref="B29">VLOOKUP($A29,MO_DEMO,2,FALSE)</f>
        <v>17103</v>
      </c>
      <c r="C29" s="611">
        <f>IFERROR(VLOOKUP($A29,'MO Data'!$A$4:$G$128,7,FALSE),"NULL")</f>
        <v>30</v>
      </c>
      <c r="D29" s="612" t="s">
        <v>63</v>
      </c>
      <c r="E29" s="612" t="s">
        <v>63</v>
      </c>
      <c r="F29" s="612" t="s">
        <v>63</v>
      </c>
      <c r="G29" s="612" t="s">
        <v>63</v>
      </c>
      <c r="H29" s="671" t="s">
        <v>63</v>
      </c>
      <c r="I29" s="614">
        <f>VLOOKUP($A29,'MO Data'!$A$269:$B$392,2,FALSE)</f>
        <v>1</v>
      </c>
      <c r="J29" s="615" t="s">
        <v>63</v>
      </c>
      <c r="K29" s="672" t="s">
        <v>63</v>
      </c>
      <c r="L29" s="728">
        <f>VLOOKUP($A29,'MO Data'!$A$139:$B$261,2,FALSE)</f>
        <v>3</v>
      </c>
      <c r="M29" s="704" t="s">
        <v>63</v>
      </c>
      <c r="N29" s="612" t="s">
        <v>63</v>
      </c>
      <c r="O29" s="612" t="s">
        <v>63</v>
      </c>
      <c r="P29" s="952">
        <f>ifna(vlookup(A29,'Population &amp; Church Numbers'!$A$1486:$D$1600,4,FALSE),"NULL")</f>
        <v>21</v>
      </c>
      <c r="Q29" s="674" t="s">
        <v>63</v>
      </c>
    </row>
    <row r="30">
      <c r="A30" s="609" t="s">
        <v>263</v>
      </c>
      <c r="B30" s="610">
        <f t="array" ref="B30">VLOOKUP($A30,MO_DEMO,2,FALSE)</f>
        <v>23056</v>
      </c>
      <c r="C30" s="611">
        <f>IFERROR(VLOOKUP($A30,'MO Data'!$A$4:$G$128,7,FALSE),"NULL")</f>
        <v>170</v>
      </c>
      <c r="D30" s="612" t="s">
        <v>63</v>
      </c>
      <c r="E30" s="612" t="s">
        <v>63</v>
      </c>
      <c r="F30" s="612" t="s">
        <v>63</v>
      </c>
      <c r="G30" s="612" t="s">
        <v>63</v>
      </c>
      <c r="H30" s="671" t="s">
        <v>63</v>
      </c>
      <c r="I30" s="614">
        <f>VLOOKUP($A30,'MO Data'!$A$269:$B$392,2,FALSE)</f>
        <v>10</v>
      </c>
      <c r="J30" s="615" t="s">
        <v>63</v>
      </c>
      <c r="K30" s="672" t="s">
        <v>63</v>
      </c>
      <c r="L30" s="728">
        <f>VLOOKUP($A30,'MO Data'!$A$139:$B$261,2,FALSE)</f>
        <v>20</v>
      </c>
      <c r="M30" s="704" t="s">
        <v>63</v>
      </c>
      <c r="N30" s="612" t="s">
        <v>63</v>
      </c>
      <c r="O30" s="612" t="s">
        <v>63</v>
      </c>
      <c r="P30" s="952">
        <f>ifna(vlookup(A30,'Population &amp; Church Numbers'!$A$1486:$D$1600,4,FALSE),"NULL")</f>
        <v>46</v>
      </c>
      <c r="Q30" s="674" t="s">
        <v>63</v>
      </c>
    </row>
    <row r="31">
      <c r="A31" s="609" t="s">
        <v>561</v>
      </c>
      <c r="B31" s="610">
        <f t="array" ref="B31">VLOOKUP($A31,MO_DEMO,2,FALSE)</f>
        <v>7569</v>
      </c>
      <c r="C31" s="611">
        <f>IFERROR(VLOOKUP($A31,'MO Data'!$A$4:$G$128,7,FALSE),"NULL")</f>
        <v>11</v>
      </c>
      <c r="D31" s="612" t="s">
        <v>63</v>
      </c>
      <c r="E31" s="612" t="s">
        <v>63</v>
      </c>
      <c r="F31" s="612" t="s">
        <v>63</v>
      </c>
      <c r="G31" s="612" t="s">
        <v>63</v>
      </c>
      <c r="H31" s="671" t="s">
        <v>63</v>
      </c>
      <c r="I31" s="614">
        <f>VLOOKUP($A31,'MO Data'!$A$269:$B$392,2,FALSE)</f>
        <v>0</v>
      </c>
      <c r="J31" s="615" t="s">
        <v>63</v>
      </c>
      <c r="K31" s="672" t="s">
        <v>63</v>
      </c>
      <c r="L31" s="728">
        <f>VLOOKUP($A31,'MO Data'!$A$139:$B$261,2,FALSE)</f>
        <v>4</v>
      </c>
      <c r="M31" s="704" t="s">
        <v>63</v>
      </c>
      <c r="N31" s="612" t="s">
        <v>63</v>
      </c>
      <c r="O31" s="612" t="s">
        <v>63</v>
      </c>
      <c r="P31" s="952">
        <f>ifna(vlookup(A31,'Population &amp; Church Numbers'!$A$1486:$D$1600,4,FALSE),"NULL")</f>
        <v>17</v>
      </c>
      <c r="Q31" s="674" t="s">
        <v>63</v>
      </c>
    </row>
    <row r="32">
      <c r="A32" s="609" t="s">
        <v>130</v>
      </c>
      <c r="B32" s="610">
        <f t="array" ref="B32">VLOOKUP($A32,MO_DEMO,2,FALSE)</f>
        <v>17071</v>
      </c>
      <c r="C32" s="611">
        <f>IFERROR(VLOOKUP($A32,'MO Data'!$A$4:$G$128,7,FALSE),"NULL")</f>
        <v>55</v>
      </c>
      <c r="D32" s="612" t="s">
        <v>63</v>
      </c>
      <c r="E32" s="612" t="s">
        <v>63</v>
      </c>
      <c r="F32" s="612" t="s">
        <v>63</v>
      </c>
      <c r="G32" s="612" t="s">
        <v>63</v>
      </c>
      <c r="H32" s="671" t="s">
        <v>63</v>
      </c>
      <c r="I32" s="614">
        <f>VLOOKUP($A32,'MO Data'!$A$269:$B$392,2,FALSE)</f>
        <v>1</v>
      </c>
      <c r="J32" s="615" t="s">
        <v>63</v>
      </c>
      <c r="K32" s="672" t="s">
        <v>63</v>
      </c>
      <c r="L32" s="728">
        <f>VLOOKUP($A32,'MO Data'!$A$139:$B$261,2,FALSE)</f>
        <v>9</v>
      </c>
      <c r="M32" s="704" t="s">
        <v>63</v>
      </c>
      <c r="N32" s="612" t="s">
        <v>63</v>
      </c>
      <c r="O32" s="612" t="s">
        <v>63</v>
      </c>
      <c r="P32" s="952">
        <f>ifna(vlookup(A32,'Population &amp; Church Numbers'!$A$1486:$D$1600,4,FALSE),"NULL")</f>
        <v>19</v>
      </c>
      <c r="Q32" s="674" t="s">
        <v>63</v>
      </c>
    </row>
    <row r="33">
      <c r="A33" s="609" t="s">
        <v>758</v>
      </c>
      <c r="B33" s="610">
        <f t="array" ref="B33">VLOOKUP($A33,MO_DEMO,2,FALSE)</f>
        <v>8430</v>
      </c>
      <c r="C33" s="611">
        <f>IFERROR(VLOOKUP($A33,'MO Data'!$A$4:$G$128,7,FALSE),"NULL")</f>
        <v>22</v>
      </c>
      <c r="D33" s="612" t="s">
        <v>63</v>
      </c>
      <c r="E33" s="612" t="s">
        <v>63</v>
      </c>
      <c r="F33" s="612" t="s">
        <v>63</v>
      </c>
      <c r="G33" s="612" t="s">
        <v>63</v>
      </c>
      <c r="H33" s="671" t="s">
        <v>63</v>
      </c>
      <c r="I33" s="614">
        <f>VLOOKUP($A33,'MO Data'!$A$269:$B$392,2,FALSE)</f>
        <v>1</v>
      </c>
      <c r="J33" s="615" t="s">
        <v>63</v>
      </c>
      <c r="K33" s="672" t="s">
        <v>63</v>
      </c>
      <c r="L33" s="728">
        <f>VLOOKUP($A33,'MO Data'!$A$139:$B$261,2,FALSE)</f>
        <v>8</v>
      </c>
      <c r="M33" s="704" t="s">
        <v>63</v>
      </c>
      <c r="N33" s="612" t="s">
        <v>63</v>
      </c>
      <c r="O33" s="612" t="s">
        <v>63</v>
      </c>
      <c r="P33" s="952">
        <f>ifna(vlookup(A33,'Population &amp; Church Numbers'!$A$1486:$D$1600,4,FALSE),"NULL")</f>
        <v>13</v>
      </c>
      <c r="Q33" s="674" t="s">
        <v>63</v>
      </c>
    </row>
    <row r="34">
      <c r="A34" s="609" t="s">
        <v>131</v>
      </c>
      <c r="B34" s="610">
        <f t="array" ref="B34">VLOOKUP($A34,MO_DEMO,2,FALSE)</f>
        <v>11029</v>
      </c>
      <c r="C34" s="611">
        <f>IFERROR(VLOOKUP($A34,'MO Data'!$A$4:$G$128,7,FALSE),"NULL")</f>
        <v>111</v>
      </c>
      <c r="D34" s="612" t="s">
        <v>63</v>
      </c>
      <c r="E34" s="612" t="s">
        <v>63</v>
      </c>
      <c r="F34" s="612" t="s">
        <v>63</v>
      </c>
      <c r="G34" s="612" t="s">
        <v>63</v>
      </c>
      <c r="H34" s="671" t="s">
        <v>63</v>
      </c>
      <c r="I34" s="614">
        <f>VLOOKUP($A34,'MO Data'!$A$269:$B$392,2,FALSE)</f>
        <v>2</v>
      </c>
      <c r="J34" s="615" t="s">
        <v>63</v>
      </c>
      <c r="K34" s="672" t="s">
        <v>63</v>
      </c>
      <c r="L34" s="728">
        <f>VLOOKUP($A34,'MO Data'!$A$139:$B$261,2,FALSE)</f>
        <v>6</v>
      </c>
      <c r="M34" s="704" t="s">
        <v>63</v>
      </c>
      <c r="N34" s="612" t="s">
        <v>63</v>
      </c>
      <c r="O34" s="612" t="s">
        <v>63</v>
      </c>
      <c r="P34" s="952">
        <f>ifna(vlookup(A34,'Population &amp; Church Numbers'!$A$1486:$D$1600,4,FALSE),"NULL")</f>
        <v>14</v>
      </c>
      <c r="Q34" s="674" t="s">
        <v>63</v>
      </c>
    </row>
    <row r="35">
      <c r="A35" s="609" t="s">
        <v>1402</v>
      </c>
      <c r="B35" s="610">
        <f t="array" ref="B35">VLOOKUP($A35,MO_DEMO,2,FALSE)</f>
        <v>14421</v>
      </c>
      <c r="C35" s="611">
        <f>IFERROR(VLOOKUP($A35,'MO Data'!$A$4:$G$128,7,FALSE),"NULL")</f>
        <v>80</v>
      </c>
      <c r="D35" s="612" t="s">
        <v>63</v>
      </c>
      <c r="E35" s="612" t="s">
        <v>63</v>
      </c>
      <c r="F35" s="612" t="s">
        <v>63</v>
      </c>
      <c r="G35" s="612" t="s">
        <v>63</v>
      </c>
      <c r="H35" s="671" t="s">
        <v>63</v>
      </c>
      <c r="I35" s="614">
        <f>VLOOKUP($A35,'MO Data'!$A$269:$B$392,2,FALSE)</f>
        <v>14</v>
      </c>
      <c r="J35" s="615" t="s">
        <v>63</v>
      </c>
      <c r="K35" s="672" t="s">
        <v>63</v>
      </c>
      <c r="L35" s="728">
        <f>VLOOKUP($A35,'MO Data'!$A$139:$B$261,2,FALSE)</f>
        <v>13</v>
      </c>
      <c r="M35" s="704" t="s">
        <v>63</v>
      </c>
      <c r="N35" s="612" t="s">
        <v>63</v>
      </c>
      <c r="O35" s="612" t="s">
        <v>63</v>
      </c>
      <c r="P35" s="952">
        <f>ifna(vlookup(A35,'Population &amp; Church Numbers'!$A$1486:$D$1600,4,FALSE),"NULL")</f>
        <v>32</v>
      </c>
      <c r="Q35" s="674" t="s">
        <v>63</v>
      </c>
    </row>
    <row r="36">
      <c r="A36" s="609" t="s">
        <v>412</v>
      </c>
      <c r="B36" s="610">
        <f t="array" ref="B36">VLOOKUP($A36,MO_DEMO,2,FALSE)</f>
        <v>11578</v>
      </c>
      <c r="C36" s="611">
        <f>IFERROR(VLOOKUP($A36,'MO Data'!$A$4:$G$128,7,FALSE),"NULL")</f>
        <v>74</v>
      </c>
      <c r="D36" s="612" t="s">
        <v>63</v>
      </c>
      <c r="E36" s="612" t="s">
        <v>63</v>
      </c>
      <c r="F36" s="612" t="s">
        <v>63</v>
      </c>
      <c r="G36" s="612" t="s">
        <v>63</v>
      </c>
      <c r="H36" s="671" t="s">
        <v>63</v>
      </c>
      <c r="I36" s="614">
        <f>VLOOKUP($A36,'MO Data'!$A$269:$B$392,2,FALSE)</f>
        <v>1</v>
      </c>
      <c r="J36" s="615" t="s">
        <v>63</v>
      </c>
      <c r="K36" s="672" t="s">
        <v>63</v>
      </c>
      <c r="L36" s="728">
        <f>VLOOKUP($A36,'MO Data'!$A$139:$B$261,2,FALSE)</f>
        <v>15</v>
      </c>
      <c r="M36" s="704" t="s">
        <v>63</v>
      </c>
      <c r="N36" s="612" t="s">
        <v>63</v>
      </c>
      <c r="O36" s="612" t="s">
        <v>63</v>
      </c>
      <c r="P36" s="952">
        <f>ifna(vlookup(A36,'Population &amp; Church Numbers'!$A$1486:$D$1600,4,FALSE),"NULL")</f>
        <v>15</v>
      </c>
      <c r="Q36" s="674" t="s">
        <v>63</v>
      </c>
    </row>
    <row r="37">
      <c r="A37" s="609" t="s">
        <v>1403</v>
      </c>
      <c r="B37" s="610">
        <f t="array" ref="B37">VLOOKUP($A37,MO_DEMO,2,FALSE)</f>
        <v>28283</v>
      </c>
      <c r="C37" s="611">
        <f>IFERROR(VLOOKUP($A37,'MO Data'!$A$4:$G$128,7,FALSE),"NULL")</f>
        <v>172</v>
      </c>
      <c r="D37" s="612" t="s">
        <v>63</v>
      </c>
      <c r="E37" s="612" t="s">
        <v>63</v>
      </c>
      <c r="F37" s="612" t="s">
        <v>63</v>
      </c>
      <c r="G37" s="612" t="s">
        <v>63</v>
      </c>
      <c r="H37" s="671" t="s">
        <v>63</v>
      </c>
      <c r="I37" s="614">
        <f>VLOOKUP($A37,'MO Data'!$A$269:$B$392,2,FALSE)</f>
        <v>0</v>
      </c>
      <c r="J37" s="615" t="s">
        <v>63</v>
      </c>
      <c r="K37" s="672" t="s">
        <v>63</v>
      </c>
      <c r="L37" s="728">
        <f>VLOOKUP($A37,'MO Data'!$A$139:$B$261,2,FALSE)</f>
        <v>50</v>
      </c>
      <c r="M37" s="704" t="s">
        <v>63</v>
      </c>
      <c r="N37" s="612" t="s">
        <v>63</v>
      </c>
      <c r="O37" s="612" t="s">
        <v>63</v>
      </c>
      <c r="P37" s="952">
        <f>ifna(vlookup(A37,'Population &amp; Church Numbers'!$A$1486:$D$1600,4,FALSE),"NULL")</f>
        <v>49</v>
      </c>
      <c r="Q37" s="674" t="s">
        <v>63</v>
      </c>
    </row>
    <row r="38">
      <c r="A38" s="609" t="s">
        <v>136</v>
      </c>
      <c r="B38" s="610">
        <f t="array" ref="B38">VLOOKUP($A38,MO_DEMO,2,FALSE)</f>
        <v>104682</v>
      </c>
      <c r="C38" s="611">
        <f>IFERROR(VLOOKUP($A38,'MO Data'!$A$4:$G$128,7,FALSE),"NULL")</f>
        <v>474</v>
      </c>
      <c r="D38" s="612" t="s">
        <v>63</v>
      </c>
      <c r="E38" s="612" t="s">
        <v>63</v>
      </c>
      <c r="F38" s="612" t="s">
        <v>63</v>
      </c>
      <c r="G38" s="612" t="s">
        <v>63</v>
      </c>
      <c r="H38" s="671" t="s">
        <v>63</v>
      </c>
      <c r="I38" s="614">
        <f>VLOOKUP($A38,'MO Data'!$A$269:$B$392,2,FALSE)</f>
        <v>37</v>
      </c>
      <c r="J38" s="615" t="s">
        <v>63</v>
      </c>
      <c r="K38" s="672" t="s">
        <v>63</v>
      </c>
      <c r="L38" s="728">
        <f>VLOOKUP($A38,'MO Data'!$A$139:$B$261,2,FALSE)</f>
        <v>97</v>
      </c>
      <c r="M38" s="704" t="s">
        <v>63</v>
      </c>
      <c r="N38" s="612" t="s">
        <v>63</v>
      </c>
      <c r="O38" s="612" t="s">
        <v>63</v>
      </c>
      <c r="P38" s="952">
        <f>ifna(vlookup(A38,'Population &amp; Church Numbers'!$A$1486:$D$1600,4,FALSE),"NULL")</f>
        <v>129</v>
      </c>
      <c r="Q38" s="674" t="s">
        <v>63</v>
      </c>
    </row>
    <row r="39">
      <c r="A39" s="609" t="s">
        <v>1404</v>
      </c>
      <c r="B39" s="610">
        <f t="array" ref="B39">VLOOKUP($A39,MO_DEMO,2,FALSE)</f>
        <v>14794</v>
      </c>
      <c r="C39" s="611">
        <f>IFERROR(VLOOKUP($A39,'MO Data'!$A$4:$G$128,7,FALSE),"NULL")</f>
        <v>55</v>
      </c>
      <c r="D39" s="612" t="s">
        <v>63</v>
      </c>
      <c r="E39" s="612" t="s">
        <v>63</v>
      </c>
      <c r="F39" s="612" t="s">
        <v>63</v>
      </c>
      <c r="G39" s="612" t="s">
        <v>63</v>
      </c>
      <c r="H39" s="671" t="s">
        <v>63</v>
      </c>
      <c r="I39" s="614">
        <f>VLOOKUP($A39,'MO Data'!$A$269:$B$392,2,FALSE)</f>
        <v>3</v>
      </c>
      <c r="J39" s="615" t="s">
        <v>63</v>
      </c>
      <c r="K39" s="672" t="s">
        <v>63</v>
      </c>
      <c r="L39" s="728">
        <f>VLOOKUP($A39,'MO Data'!$A$139:$B$261,2,FALSE)</f>
        <v>21</v>
      </c>
      <c r="M39" s="704" t="s">
        <v>63</v>
      </c>
      <c r="N39" s="612" t="s">
        <v>63</v>
      </c>
      <c r="O39" s="612" t="s">
        <v>63</v>
      </c>
      <c r="P39" s="952">
        <f>ifna(vlookup(A39,'Population &amp; Church Numbers'!$A$1486:$D$1600,4,FALSE),"NULL")</f>
        <v>38</v>
      </c>
      <c r="Q39" s="674" t="s">
        <v>63</v>
      </c>
    </row>
    <row r="40">
      <c r="A40" s="609" t="s">
        <v>1405</v>
      </c>
      <c r="B40" s="610">
        <f t="array" ref="B40">VLOOKUP($A40,MO_DEMO,2,FALSE)</f>
        <v>6162</v>
      </c>
      <c r="C40" s="611">
        <f>IFERROR(VLOOKUP($A40,'MO Data'!$A$4:$G$128,7,FALSE),"NULL")</f>
        <v>43</v>
      </c>
      <c r="D40" s="612" t="s">
        <v>63</v>
      </c>
      <c r="E40" s="612" t="s">
        <v>63</v>
      </c>
      <c r="F40" s="612" t="s">
        <v>63</v>
      </c>
      <c r="G40" s="612" t="s">
        <v>63</v>
      </c>
      <c r="H40" s="671" t="s">
        <v>63</v>
      </c>
      <c r="I40" s="614">
        <f>VLOOKUP($A40,'MO Data'!$A$269:$B$392,2,FALSE)</f>
        <v>3</v>
      </c>
      <c r="J40" s="615" t="s">
        <v>63</v>
      </c>
      <c r="K40" s="672" t="s">
        <v>63</v>
      </c>
      <c r="L40" s="728">
        <f>VLOOKUP($A40,'MO Data'!$A$139:$B$261,2,FALSE)</f>
        <v>4</v>
      </c>
      <c r="M40" s="704" t="s">
        <v>63</v>
      </c>
      <c r="N40" s="612" t="s">
        <v>63</v>
      </c>
      <c r="O40" s="612" t="s">
        <v>63</v>
      </c>
      <c r="P40" s="952">
        <f>ifna(vlookup(A40,'Population &amp; Church Numbers'!$A$1486:$D$1600,4,FALSE),"NULL")</f>
        <v>12</v>
      </c>
      <c r="Q40" s="674" t="s">
        <v>63</v>
      </c>
    </row>
    <row r="41">
      <c r="A41" s="609" t="s">
        <v>138</v>
      </c>
      <c r="B41" s="610">
        <f t="array" ref="B41">VLOOKUP($A41,MO_DEMO,2,FALSE)</f>
        <v>298915</v>
      </c>
      <c r="C41" s="611">
        <f>IFERROR(VLOOKUP($A41,'MO Data'!$A$4:$G$128,7,FALSE),"NULL")</f>
        <v>1068</v>
      </c>
      <c r="D41" s="612" t="s">
        <v>63</v>
      </c>
      <c r="E41" s="612" t="s">
        <v>63</v>
      </c>
      <c r="F41" s="612" t="s">
        <v>63</v>
      </c>
      <c r="G41" s="612" t="s">
        <v>63</v>
      </c>
      <c r="H41" s="671" t="s">
        <v>63</v>
      </c>
      <c r="I41" s="614">
        <f>VLOOKUP($A41,'MO Data'!$A$269:$B$392,2,FALSE)</f>
        <v>105</v>
      </c>
      <c r="J41" s="615" t="s">
        <v>63</v>
      </c>
      <c r="K41" s="672" t="s">
        <v>63</v>
      </c>
      <c r="L41" s="728">
        <f>VLOOKUP($A41,'MO Data'!$A$139:$B$261,2,FALSE)</f>
        <v>258</v>
      </c>
      <c r="M41" s="704" t="s">
        <v>63</v>
      </c>
      <c r="N41" s="612" t="s">
        <v>63</v>
      </c>
      <c r="O41" s="612" t="s">
        <v>63</v>
      </c>
      <c r="P41" s="952">
        <f>ifna(vlookup(A41,'Population &amp; Church Numbers'!$A$1486:$D$1600,4,FALSE),"NULL")</f>
        <v>279</v>
      </c>
      <c r="Q41" s="674" t="s">
        <v>63</v>
      </c>
    </row>
    <row r="42">
      <c r="A42" s="609" t="s">
        <v>720</v>
      </c>
      <c r="B42" s="610">
        <f t="array" ref="B42">VLOOKUP($A42,MO_DEMO,2,FALSE)</f>
        <v>9808</v>
      </c>
      <c r="C42" s="611">
        <f>IFERROR(VLOOKUP($A42,'MO Data'!$A$4:$G$128,7,FALSE),"NULL")</f>
        <v>36</v>
      </c>
      <c r="D42" s="612" t="s">
        <v>63</v>
      </c>
      <c r="E42" s="612" t="s">
        <v>63</v>
      </c>
      <c r="F42" s="612" t="s">
        <v>63</v>
      </c>
      <c r="G42" s="612" t="s">
        <v>63</v>
      </c>
      <c r="H42" s="671" t="s">
        <v>63</v>
      </c>
      <c r="I42" s="614">
        <f>VLOOKUP($A42,'MO Data'!$A$269:$B$392,2,FALSE)</f>
        <v>0</v>
      </c>
      <c r="J42" s="615" t="s">
        <v>63</v>
      </c>
      <c r="K42" s="672" t="s">
        <v>63</v>
      </c>
      <c r="L42" s="728">
        <f>VLOOKUP($A42,'MO Data'!$A$139:$B$261,2,FALSE)</f>
        <v>30</v>
      </c>
      <c r="M42" s="704" t="s">
        <v>63</v>
      </c>
      <c r="N42" s="612" t="s">
        <v>63</v>
      </c>
      <c r="O42" s="612" t="s">
        <v>63</v>
      </c>
      <c r="P42" s="952">
        <f>ifna(vlookup(A42,'Population &amp; Church Numbers'!$A$1486:$D$1600,4,FALSE),"NULL")</f>
        <v>21</v>
      </c>
      <c r="Q42" s="674" t="s">
        <v>63</v>
      </c>
    </row>
    <row r="43">
      <c r="A43" s="609" t="s">
        <v>775</v>
      </c>
      <c r="B43" s="610">
        <f t="array" ref="B43">VLOOKUP($A43,MO_DEMO,2,FALSE)</f>
        <v>8157</v>
      </c>
      <c r="C43" s="611">
        <f>IFERROR(VLOOKUP($A43,'MO Data'!$A$4:$G$128,7,FALSE),"NULL")</f>
        <v>44</v>
      </c>
      <c r="D43" s="612" t="s">
        <v>63</v>
      </c>
      <c r="E43" s="612" t="s">
        <v>63</v>
      </c>
      <c r="F43" s="612" t="s">
        <v>63</v>
      </c>
      <c r="G43" s="612" t="s">
        <v>63</v>
      </c>
      <c r="H43" s="671" t="s">
        <v>63</v>
      </c>
      <c r="I43" s="614">
        <f>VLOOKUP($A43,'MO Data'!$A$269:$B$392,2,FALSE)</f>
        <v>2</v>
      </c>
      <c r="J43" s="615" t="s">
        <v>63</v>
      </c>
      <c r="K43" s="672" t="s">
        <v>63</v>
      </c>
      <c r="L43" s="728">
        <f>VLOOKUP($A43,'MO Data'!$A$139:$B$261,2,FALSE)</f>
        <v>18</v>
      </c>
      <c r="M43" s="704" t="s">
        <v>63</v>
      </c>
      <c r="N43" s="612" t="s">
        <v>63</v>
      </c>
      <c r="O43" s="612" t="s">
        <v>63</v>
      </c>
      <c r="P43" s="952">
        <f>ifna(vlookup(A43,'Population &amp; Church Numbers'!$A$1486:$D$1600,4,FALSE),"NULL")</f>
        <v>25</v>
      </c>
      <c r="Q43" s="674" t="s">
        <v>63</v>
      </c>
    </row>
    <row r="44">
      <c r="A44" s="609" t="s">
        <v>140</v>
      </c>
      <c r="B44" s="610">
        <f t="array" ref="B44">VLOOKUP($A44,MO_DEMO,2,FALSE)</f>
        <v>21946</v>
      </c>
      <c r="C44" s="611">
        <f>IFERROR(VLOOKUP($A44,'MO Data'!$A$4:$G$128,7,FALSE),"NULL")</f>
        <v>123</v>
      </c>
      <c r="D44" s="612" t="s">
        <v>63</v>
      </c>
      <c r="E44" s="612" t="s">
        <v>63</v>
      </c>
      <c r="F44" s="612" t="s">
        <v>63</v>
      </c>
      <c r="G44" s="612" t="s">
        <v>63</v>
      </c>
      <c r="H44" s="671" t="s">
        <v>63</v>
      </c>
      <c r="I44" s="614">
        <f>VLOOKUP($A44,'MO Data'!$A$269:$B$392,2,FALSE)</f>
        <v>6</v>
      </c>
      <c r="J44" s="615" t="s">
        <v>63</v>
      </c>
      <c r="K44" s="672" t="s">
        <v>63</v>
      </c>
      <c r="L44" s="728">
        <f>VLOOKUP($A44,'MO Data'!$A$139:$B$261,2,FALSE)</f>
        <v>41</v>
      </c>
      <c r="M44" s="704" t="s">
        <v>63</v>
      </c>
      <c r="N44" s="612" t="s">
        <v>63</v>
      </c>
      <c r="O44" s="612" t="s">
        <v>63</v>
      </c>
      <c r="P44" s="952">
        <f>ifna(vlookup(A44,'Population &amp; Church Numbers'!$A$1486:$D$1600,4,FALSE),"NULL")</f>
        <v>32</v>
      </c>
      <c r="Q44" s="674" t="s">
        <v>63</v>
      </c>
    </row>
    <row r="45">
      <c r="A45" s="609" t="s">
        <v>1406</v>
      </c>
      <c r="B45" s="610">
        <f t="array" ref="B45">VLOOKUP($A45,MO_DEMO,2,FALSE)</f>
        <v>8279</v>
      </c>
      <c r="C45" s="611">
        <f>IFERROR(VLOOKUP($A45,'MO Data'!$A$4:$G$128,7,FALSE),"NULL")</f>
        <v>15</v>
      </c>
      <c r="D45" s="612" t="s">
        <v>63</v>
      </c>
      <c r="E45" s="612" t="s">
        <v>63</v>
      </c>
      <c r="F45" s="612" t="s">
        <v>63</v>
      </c>
      <c r="G45" s="612" t="s">
        <v>63</v>
      </c>
      <c r="H45" s="671" t="s">
        <v>63</v>
      </c>
      <c r="I45" s="614">
        <f>VLOOKUP($A45,'MO Data'!$A$269:$B$392,2,FALSE)</f>
        <v>2</v>
      </c>
      <c r="J45" s="615" t="s">
        <v>63</v>
      </c>
      <c r="K45" s="672" t="s">
        <v>63</v>
      </c>
      <c r="L45" s="728">
        <f>VLOOKUP($A45,'MO Data'!$A$139:$B$261,2,FALSE)</f>
        <v>8</v>
      </c>
      <c r="M45" s="704" t="s">
        <v>63</v>
      </c>
      <c r="N45" s="612" t="s">
        <v>63</v>
      </c>
      <c r="O45" s="612" t="s">
        <v>63</v>
      </c>
      <c r="P45" s="952">
        <f>ifna(vlookup(A45,'Population &amp; Church Numbers'!$A$1486:$D$1600,4,FALSE),"NULL")</f>
        <v>13</v>
      </c>
      <c r="Q45" s="674" t="s">
        <v>63</v>
      </c>
    </row>
    <row r="46">
      <c r="A46" s="609" t="s">
        <v>1407</v>
      </c>
      <c r="B46" s="610">
        <f t="array" ref="B46">VLOOKUP($A46,MO_DEMO,2,FALSE)</f>
        <v>4223</v>
      </c>
      <c r="C46" s="611">
        <f>IFERROR(VLOOKUP($A46,'MO Data'!$A$4:$G$128,7,FALSE),"NULL")</f>
        <v>21</v>
      </c>
      <c r="D46" s="612" t="s">
        <v>63</v>
      </c>
      <c r="E46" s="612" t="s">
        <v>63</v>
      </c>
      <c r="F46" s="612" t="s">
        <v>63</v>
      </c>
      <c r="G46" s="612" t="s">
        <v>63</v>
      </c>
      <c r="H46" s="671" t="s">
        <v>63</v>
      </c>
      <c r="I46" s="614">
        <f>VLOOKUP($A46,'MO Data'!$A$269:$B$392,2,FALSE)</f>
        <v>4</v>
      </c>
      <c r="J46" s="615" t="s">
        <v>63</v>
      </c>
      <c r="K46" s="672" t="s">
        <v>63</v>
      </c>
      <c r="L46" s="728">
        <f>VLOOKUP($A46,'MO Data'!$A$139:$B$261,2,FALSE)</f>
        <v>4</v>
      </c>
      <c r="M46" s="704" t="s">
        <v>63</v>
      </c>
      <c r="N46" s="612" t="s">
        <v>63</v>
      </c>
      <c r="O46" s="612" t="s">
        <v>63</v>
      </c>
      <c r="P46" s="952">
        <f>ifna(vlookup(A46,'Population &amp; Church Numbers'!$A$1486:$D$1600,4,FALSE),"NULL")</f>
        <v>13</v>
      </c>
      <c r="Q46" s="674" t="s">
        <v>63</v>
      </c>
    </row>
    <row r="47">
      <c r="A47" s="609" t="s">
        <v>283</v>
      </c>
      <c r="B47" s="610">
        <f t="array" ref="B47">VLOOKUP($A47,MO_DEMO,2,FALSE)</f>
        <v>10151</v>
      </c>
      <c r="C47" s="611">
        <f>IFERROR(VLOOKUP($A47,'MO Data'!$A$4:$G$128,7,FALSE),"NULL")</f>
        <v>67</v>
      </c>
      <c r="D47" s="612" t="s">
        <v>63</v>
      </c>
      <c r="E47" s="612" t="s">
        <v>63</v>
      </c>
      <c r="F47" s="612" t="s">
        <v>63</v>
      </c>
      <c r="G47" s="612" t="s">
        <v>63</v>
      </c>
      <c r="H47" s="671" t="s">
        <v>63</v>
      </c>
      <c r="I47" s="614">
        <f>VLOOKUP($A47,'MO Data'!$A$269:$B$392,2,FALSE)</f>
        <v>0</v>
      </c>
      <c r="J47" s="615" t="s">
        <v>63</v>
      </c>
      <c r="K47" s="672" t="s">
        <v>63</v>
      </c>
      <c r="L47" s="728">
        <f>VLOOKUP($A47,'MO Data'!$A$139:$B$261,2,FALSE)</f>
        <v>5</v>
      </c>
      <c r="M47" s="704" t="s">
        <v>63</v>
      </c>
      <c r="N47" s="612" t="s">
        <v>63</v>
      </c>
      <c r="O47" s="612" t="s">
        <v>63</v>
      </c>
      <c r="P47" s="952">
        <f>ifna(vlookup(A47,'Population &amp; Church Numbers'!$A$1486:$D$1600,4,FALSE),"NULL")</f>
        <v>14</v>
      </c>
      <c r="Q47" s="674" t="s">
        <v>63</v>
      </c>
    </row>
    <row r="48">
      <c r="A48" s="609" t="s">
        <v>1408</v>
      </c>
      <c r="B48" s="610">
        <f t="array" ref="B48">VLOOKUP($A48,MO_DEMO,2,FALSE)</f>
        <v>39750</v>
      </c>
      <c r="C48" s="611">
        <f>IFERROR(VLOOKUP($A48,'MO Data'!$A$4:$G$128,7,FALSE),"NULL")</f>
        <v>195</v>
      </c>
      <c r="D48" s="612" t="s">
        <v>63</v>
      </c>
      <c r="E48" s="612" t="s">
        <v>63</v>
      </c>
      <c r="F48" s="612" t="s">
        <v>63</v>
      </c>
      <c r="G48" s="612" t="s">
        <v>63</v>
      </c>
      <c r="H48" s="671" t="s">
        <v>63</v>
      </c>
      <c r="I48" s="614">
        <f>VLOOKUP($A48,'MO Data'!$A$269:$B$392,2,FALSE)</f>
        <v>1</v>
      </c>
      <c r="J48" s="615" t="s">
        <v>63</v>
      </c>
      <c r="K48" s="672" t="s">
        <v>63</v>
      </c>
      <c r="L48" s="728">
        <f>VLOOKUP($A48,'MO Data'!$A$139:$B$261,2,FALSE)</f>
        <v>111</v>
      </c>
      <c r="M48" s="704" t="s">
        <v>63</v>
      </c>
      <c r="N48" s="612" t="s">
        <v>63</v>
      </c>
      <c r="O48" s="612" t="s">
        <v>63</v>
      </c>
      <c r="P48" s="952">
        <f>ifna(vlookup(A48,'Population &amp; Church Numbers'!$A$1486:$D$1600,4,FALSE),"NULL")</f>
        <v>56</v>
      </c>
      <c r="Q48" s="674" t="s">
        <v>63</v>
      </c>
    </row>
    <row r="49">
      <c r="A49" s="609" t="s">
        <v>1259</v>
      </c>
      <c r="B49" s="610">
        <f t="array" ref="B49">VLOOKUP($A49,MO_DEMO,2,FALSE)</f>
        <v>9537</v>
      </c>
      <c r="C49" s="611">
        <f>IFERROR(VLOOKUP($A49,'MO Data'!$A$4:$G$128,7,FALSE),"NULL")</f>
        <v>49</v>
      </c>
      <c r="D49" s="612" t="s">
        <v>63</v>
      </c>
      <c r="E49" s="612" t="s">
        <v>63</v>
      </c>
      <c r="F49" s="612" t="s">
        <v>63</v>
      </c>
      <c r="G49" s="612" t="s">
        <v>63</v>
      </c>
      <c r="H49" s="671" t="s">
        <v>63</v>
      </c>
      <c r="I49" s="614">
        <f>VLOOKUP($A49,'MO Data'!$A$269:$B$392,2,FALSE)</f>
        <v>2</v>
      </c>
      <c r="J49" s="615" t="s">
        <v>63</v>
      </c>
      <c r="K49" s="672" t="s">
        <v>63</v>
      </c>
      <c r="L49" s="728">
        <f>VLOOKUP($A49,'MO Data'!$A$139:$B$261,2,FALSE)</f>
        <v>7</v>
      </c>
      <c r="M49" s="704" t="s">
        <v>63</v>
      </c>
      <c r="N49" s="612" t="s">
        <v>63</v>
      </c>
      <c r="O49" s="612" t="s">
        <v>63</v>
      </c>
      <c r="P49" s="952">
        <f>ifna(vlookup(A49,'Population &amp; Church Numbers'!$A$1486:$D$1600,4,FALSE),"NULL")</f>
        <v>28</v>
      </c>
      <c r="Q49" s="674" t="s">
        <v>63</v>
      </c>
    </row>
    <row r="50">
      <c r="A50" s="609" t="s">
        <v>142</v>
      </c>
      <c r="B50" s="610">
        <f t="array" ref="B50">VLOOKUP($A50,MO_DEMO,2,FALSE)</f>
        <v>717204</v>
      </c>
      <c r="C50" s="611">
        <f>IFERROR(VLOOKUP($A50,'MO Data'!$A$4:$G$128,7,FALSE),"NULL")</f>
        <v>2367</v>
      </c>
      <c r="D50" s="612" t="s">
        <v>63</v>
      </c>
      <c r="E50" s="612" t="s">
        <v>63</v>
      </c>
      <c r="F50" s="612" t="s">
        <v>63</v>
      </c>
      <c r="G50" s="612" t="s">
        <v>63</v>
      </c>
      <c r="H50" s="671" t="s">
        <v>63</v>
      </c>
      <c r="I50" s="614">
        <f>VLOOKUP($A50,'MO Data'!$A$269:$B$392,2,FALSE)</f>
        <v>132</v>
      </c>
      <c r="J50" s="615" t="s">
        <v>63</v>
      </c>
      <c r="K50" s="672" t="s">
        <v>63</v>
      </c>
      <c r="L50" s="728">
        <f>VLOOKUP($A50,'MO Data'!$A$139:$B$261,2,FALSE)</f>
        <v>576</v>
      </c>
      <c r="M50" s="704" t="s">
        <v>63</v>
      </c>
      <c r="N50" s="612" t="s">
        <v>63</v>
      </c>
      <c r="O50" s="612" t="s">
        <v>63</v>
      </c>
      <c r="P50" s="952">
        <f>ifna(vlookup(A50,'Population &amp; Church Numbers'!$A$1486:$D$1600,4,FALSE),"NULL")</f>
        <v>629</v>
      </c>
      <c r="Q50" s="674" t="s">
        <v>63</v>
      </c>
    </row>
    <row r="51">
      <c r="A51" s="609" t="s">
        <v>593</v>
      </c>
      <c r="B51" s="610">
        <f t="array" ref="B51">VLOOKUP($A51,MO_DEMO,2,FALSE)</f>
        <v>122761</v>
      </c>
      <c r="C51" s="611">
        <f>IFERROR(VLOOKUP($A51,'MO Data'!$A$4:$G$128,7,FALSE),"NULL")</f>
        <v>691</v>
      </c>
      <c r="D51" s="612" t="s">
        <v>63</v>
      </c>
      <c r="E51" s="612" t="s">
        <v>63</v>
      </c>
      <c r="F51" s="612" t="s">
        <v>63</v>
      </c>
      <c r="G51" s="612" t="s">
        <v>63</v>
      </c>
      <c r="H51" s="671" t="s">
        <v>63</v>
      </c>
      <c r="I51" s="614">
        <f>VLOOKUP($A51,'MO Data'!$A$269:$B$392,2,FALSE)</f>
        <v>12</v>
      </c>
      <c r="J51" s="615" t="s">
        <v>63</v>
      </c>
      <c r="K51" s="672" t="s">
        <v>63</v>
      </c>
      <c r="L51" s="728">
        <f>VLOOKUP($A51,'MO Data'!$A$139:$B$261,2,FALSE)</f>
        <v>292</v>
      </c>
      <c r="M51" s="704" t="s">
        <v>63</v>
      </c>
      <c r="N51" s="612" t="s">
        <v>63</v>
      </c>
      <c r="O51" s="612" t="s">
        <v>63</v>
      </c>
      <c r="P51" s="952">
        <f>ifna(vlookup(A51,'Population &amp; Church Numbers'!$A$1486:$D$1600,4,FALSE),"NULL")</f>
        <v>131</v>
      </c>
      <c r="Q51" s="674" t="s">
        <v>63</v>
      </c>
    </row>
    <row r="52">
      <c r="A52" s="609" t="s">
        <v>143</v>
      </c>
      <c r="B52" s="610">
        <f t="array" ref="B52">VLOOKUP($A52,MO_DEMO,2,FALSE)</f>
        <v>226739</v>
      </c>
      <c r="C52" s="611">
        <f>IFERROR(VLOOKUP($A52,'MO Data'!$A$4:$G$128,7,FALSE),"NULL")</f>
        <v>894</v>
      </c>
      <c r="D52" s="612" t="s">
        <v>63</v>
      </c>
      <c r="E52" s="612" t="s">
        <v>63</v>
      </c>
      <c r="F52" s="612" t="s">
        <v>63</v>
      </c>
      <c r="G52" s="612" t="s">
        <v>63</v>
      </c>
      <c r="H52" s="671" t="s">
        <v>63</v>
      </c>
      <c r="I52" s="614">
        <f>VLOOKUP($A52,'MO Data'!$A$269:$B$392,2,FALSE)</f>
        <v>27</v>
      </c>
      <c r="J52" s="615" t="s">
        <v>63</v>
      </c>
      <c r="K52" s="672" t="s">
        <v>63</v>
      </c>
      <c r="L52" s="728">
        <f>VLOOKUP($A52,'MO Data'!$A$139:$B$261,2,FALSE)</f>
        <v>143</v>
      </c>
      <c r="M52" s="704" t="s">
        <v>63</v>
      </c>
      <c r="N52" s="612" t="s">
        <v>63</v>
      </c>
      <c r="O52" s="612" t="s">
        <v>63</v>
      </c>
      <c r="P52" s="952">
        <f>ifna(vlookup(A52,'Population &amp; Church Numbers'!$A$1486:$D$1600,4,FALSE),"NULL")</f>
        <v>126</v>
      </c>
      <c r="Q52" s="674" t="s">
        <v>63</v>
      </c>
    </row>
    <row r="53">
      <c r="A53" s="609" t="s">
        <v>288</v>
      </c>
      <c r="B53" s="610">
        <f t="array" ref="B53">VLOOKUP($A53,MO_DEMO,2,FALSE)</f>
        <v>54013</v>
      </c>
      <c r="C53" s="611">
        <f>IFERROR(VLOOKUP($A53,'MO Data'!$A$4:$G$128,7,FALSE),"NULL")</f>
        <v>164</v>
      </c>
      <c r="D53" s="612" t="s">
        <v>63</v>
      </c>
      <c r="E53" s="612" t="s">
        <v>63</v>
      </c>
      <c r="F53" s="612" t="s">
        <v>63</v>
      </c>
      <c r="G53" s="612" t="s">
        <v>63</v>
      </c>
      <c r="H53" s="671" t="s">
        <v>63</v>
      </c>
      <c r="I53" s="614">
        <f>VLOOKUP($A53,'MO Data'!$A$269:$B$392,2,FALSE)</f>
        <v>3</v>
      </c>
      <c r="J53" s="615" t="s">
        <v>63</v>
      </c>
      <c r="K53" s="672" t="s">
        <v>63</v>
      </c>
      <c r="L53" s="728">
        <f>VLOOKUP($A53,'MO Data'!$A$139:$B$261,2,FALSE)</f>
        <v>20</v>
      </c>
      <c r="M53" s="704" t="s">
        <v>63</v>
      </c>
      <c r="N53" s="612" t="s">
        <v>63</v>
      </c>
      <c r="O53" s="612" t="s">
        <v>63</v>
      </c>
      <c r="P53" s="952">
        <f>ifna(vlookup(A53,'Population &amp; Church Numbers'!$A$1486:$D$1600,4,FALSE),"NULL")</f>
        <v>50</v>
      </c>
      <c r="Q53" s="674" t="s">
        <v>63</v>
      </c>
    </row>
    <row r="54">
      <c r="A54" s="609" t="s">
        <v>728</v>
      </c>
      <c r="B54" s="610">
        <f t="array" ref="B54">VLOOKUP($A54,MO_DEMO,2,FALSE)</f>
        <v>3744</v>
      </c>
      <c r="C54" s="611">
        <f>IFERROR(VLOOKUP($A54,'MO Data'!$A$4:$G$128,7,FALSE),"NULL")</f>
        <v>29</v>
      </c>
      <c r="D54" s="612" t="s">
        <v>63</v>
      </c>
      <c r="E54" s="612" t="s">
        <v>63</v>
      </c>
      <c r="F54" s="612" t="s">
        <v>63</v>
      </c>
      <c r="G54" s="612" t="s">
        <v>63</v>
      </c>
      <c r="H54" s="671" t="s">
        <v>63</v>
      </c>
      <c r="I54" s="614">
        <f>VLOOKUP($A54,'MO Data'!$A$269:$B$392,2,FALSE)</f>
        <v>1</v>
      </c>
      <c r="J54" s="615" t="s">
        <v>63</v>
      </c>
      <c r="K54" s="672" t="s">
        <v>63</v>
      </c>
      <c r="L54" s="728">
        <f>VLOOKUP($A54,'MO Data'!$A$139:$B$261,2,FALSE)</f>
        <v>1</v>
      </c>
      <c r="M54" s="704" t="s">
        <v>63</v>
      </c>
      <c r="N54" s="612" t="s">
        <v>63</v>
      </c>
      <c r="O54" s="612" t="s">
        <v>63</v>
      </c>
      <c r="P54" s="952">
        <f>ifna(vlookup(A54,'Population &amp; Church Numbers'!$A$1486:$D$1600,4,FALSE),"NULL")</f>
        <v>6</v>
      </c>
      <c r="Q54" s="674" t="s">
        <v>63</v>
      </c>
    </row>
    <row r="55">
      <c r="A55" s="609" t="s">
        <v>1409</v>
      </c>
      <c r="B55" s="610">
        <f t="array" ref="B55">VLOOKUP($A55,MO_DEMO,2,FALSE)</f>
        <v>36039</v>
      </c>
      <c r="C55" s="611">
        <f>IFERROR(VLOOKUP($A55,'MO Data'!$A$4:$G$128,7,FALSE),"NULL")</f>
        <v>240</v>
      </c>
      <c r="D55" s="612" t="s">
        <v>63</v>
      </c>
      <c r="E55" s="612" t="s">
        <v>63</v>
      </c>
      <c r="F55" s="612" t="s">
        <v>63</v>
      </c>
      <c r="G55" s="612" t="s">
        <v>63</v>
      </c>
      <c r="H55" s="671" t="s">
        <v>63</v>
      </c>
      <c r="I55" s="614">
        <f>VLOOKUP($A55,'MO Data'!$A$269:$B$392,2,FALSE)</f>
        <v>6</v>
      </c>
      <c r="J55" s="615" t="s">
        <v>63</v>
      </c>
      <c r="K55" s="672" t="s">
        <v>63</v>
      </c>
      <c r="L55" s="728">
        <f>VLOOKUP($A55,'MO Data'!$A$139:$B$261,2,FALSE)</f>
        <v>75</v>
      </c>
      <c r="M55" s="704" t="s">
        <v>63</v>
      </c>
      <c r="N55" s="612" t="s">
        <v>63</v>
      </c>
      <c r="O55" s="612" t="s">
        <v>63</v>
      </c>
      <c r="P55" s="952">
        <f>ifna(vlookup(A55,'Population &amp; Church Numbers'!$A$1486:$D$1600,4,FALSE),"NULL")</f>
        <v>56</v>
      </c>
      <c r="Q55" s="674" t="s">
        <v>63</v>
      </c>
    </row>
    <row r="56">
      <c r="A56" s="609" t="s">
        <v>289</v>
      </c>
      <c r="B56" s="610">
        <f t="array" ref="B56">VLOOKUP($A56,MO_DEMO,2,FALSE)</f>
        <v>32984</v>
      </c>
      <c r="C56" s="611">
        <f>IFERROR(VLOOKUP($A56,'MO Data'!$A$4:$G$128,7,FALSE),"NULL")</f>
        <v>55</v>
      </c>
      <c r="D56" s="612" t="s">
        <v>63</v>
      </c>
      <c r="E56" s="612" t="s">
        <v>63</v>
      </c>
      <c r="F56" s="612" t="s">
        <v>63</v>
      </c>
      <c r="G56" s="612" t="s">
        <v>63</v>
      </c>
      <c r="H56" s="671" t="s">
        <v>63</v>
      </c>
      <c r="I56" s="614">
        <f>VLOOKUP($A56,'MO Data'!$A$269:$B$392,2,FALSE)</f>
        <v>0</v>
      </c>
      <c r="J56" s="615" t="s">
        <v>63</v>
      </c>
      <c r="K56" s="672" t="s">
        <v>63</v>
      </c>
      <c r="L56" s="728">
        <f>VLOOKUP($A56,'MO Data'!$A$139:$B$261,2,FALSE)</f>
        <v>30</v>
      </c>
      <c r="M56" s="704" t="s">
        <v>63</v>
      </c>
      <c r="N56" s="612" t="s">
        <v>63</v>
      </c>
      <c r="O56" s="612" t="s">
        <v>63</v>
      </c>
      <c r="P56" s="952">
        <f>ifna(vlookup(A56,'Population &amp; Church Numbers'!$A$1486:$D$1600,4,FALSE),"NULL")</f>
        <v>58</v>
      </c>
      <c r="Q56" s="674" t="s">
        <v>63</v>
      </c>
    </row>
    <row r="57">
      <c r="A57" s="609" t="s">
        <v>146</v>
      </c>
      <c r="B57" s="610">
        <f t="array" ref="B57">VLOOKUP($A57,MO_DEMO,2,FALSE)</f>
        <v>38001</v>
      </c>
      <c r="C57" s="611">
        <f>IFERROR(VLOOKUP($A57,'MO Data'!$A$4:$G$128,7,FALSE),"NULL")</f>
        <v>235</v>
      </c>
      <c r="D57" s="612" t="s">
        <v>63</v>
      </c>
      <c r="E57" s="612" t="s">
        <v>63</v>
      </c>
      <c r="F57" s="612" t="s">
        <v>63</v>
      </c>
      <c r="G57" s="612" t="s">
        <v>63</v>
      </c>
      <c r="H57" s="671" t="s">
        <v>63</v>
      </c>
      <c r="I57" s="614">
        <f>VLOOKUP($A57,'MO Data'!$A$269:$B$392,2,FALSE)</f>
        <v>15</v>
      </c>
      <c r="J57" s="615" t="s">
        <v>63</v>
      </c>
      <c r="K57" s="672" t="s">
        <v>63</v>
      </c>
      <c r="L57" s="728">
        <f>VLOOKUP($A57,'MO Data'!$A$139:$B$261,2,FALSE)</f>
        <v>25</v>
      </c>
      <c r="M57" s="704" t="s">
        <v>63</v>
      </c>
      <c r="N57" s="612" t="s">
        <v>63</v>
      </c>
      <c r="O57" s="612" t="s">
        <v>63</v>
      </c>
      <c r="P57" s="952">
        <f>ifna(vlookup(A57,'Population &amp; Church Numbers'!$A$1486:$D$1600,4,FALSE),"NULL")</f>
        <v>74</v>
      </c>
      <c r="Q57" s="674" t="s">
        <v>63</v>
      </c>
    </row>
    <row r="58">
      <c r="A58" s="609" t="s">
        <v>682</v>
      </c>
      <c r="B58" s="610">
        <f t="array" ref="B58">VLOOKUP($A58,MO_DEMO,2,FALSE)</f>
        <v>10032</v>
      </c>
      <c r="C58" s="611">
        <f>IFERROR(VLOOKUP($A58,'MO Data'!$A$4:$G$128,7,FALSE),"NULL")</f>
        <v>30</v>
      </c>
      <c r="D58" s="612" t="s">
        <v>63</v>
      </c>
      <c r="E58" s="612" t="s">
        <v>63</v>
      </c>
      <c r="F58" s="612" t="s">
        <v>63</v>
      </c>
      <c r="G58" s="612" t="s">
        <v>63</v>
      </c>
      <c r="H58" s="671" t="s">
        <v>63</v>
      </c>
      <c r="I58" s="614">
        <f>VLOOKUP($A58,'MO Data'!$A$269:$B$392,2,FALSE)</f>
        <v>0</v>
      </c>
      <c r="J58" s="615" t="s">
        <v>63</v>
      </c>
      <c r="K58" s="672" t="s">
        <v>63</v>
      </c>
      <c r="L58" s="728">
        <f>VLOOKUP($A58,'MO Data'!$A$139:$B$261,2,FALSE)</f>
        <v>10</v>
      </c>
      <c r="M58" s="704" t="s">
        <v>63</v>
      </c>
      <c r="N58" s="612" t="s">
        <v>63</v>
      </c>
      <c r="O58" s="612" t="s">
        <v>63</v>
      </c>
      <c r="P58" s="952">
        <f>ifna(vlookup(A58,'Population &amp; Church Numbers'!$A$1486:$D$1600,4,FALSE),"NULL")</f>
        <v>21</v>
      </c>
      <c r="Q58" s="674" t="s">
        <v>63</v>
      </c>
    </row>
    <row r="59">
      <c r="A59" s="609" t="s">
        <v>290</v>
      </c>
      <c r="B59" s="610">
        <f t="array" ref="B59">VLOOKUP($A59,MO_DEMO,2,FALSE)</f>
        <v>59574</v>
      </c>
      <c r="C59" s="611">
        <f>IFERROR(VLOOKUP($A59,'MO Data'!$A$4:$G$128,7,FALSE),"NULL")</f>
        <v>223</v>
      </c>
      <c r="D59" s="612" t="s">
        <v>63</v>
      </c>
      <c r="E59" s="612" t="s">
        <v>63</v>
      </c>
      <c r="F59" s="612" t="s">
        <v>63</v>
      </c>
      <c r="G59" s="612" t="s">
        <v>63</v>
      </c>
      <c r="H59" s="671" t="s">
        <v>63</v>
      </c>
      <c r="I59" s="614">
        <f>VLOOKUP($A59,'MO Data'!$A$269:$B$392,2,FALSE)</f>
        <v>13</v>
      </c>
      <c r="J59" s="615" t="s">
        <v>63</v>
      </c>
      <c r="K59" s="672" t="s">
        <v>63</v>
      </c>
      <c r="L59" s="728">
        <f>VLOOKUP($A59,'MO Data'!$A$139:$B$261,2,FALSE)</f>
        <v>79</v>
      </c>
      <c r="M59" s="704" t="s">
        <v>63</v>
      </c>
      <c r="N59" s="612" t="s">
        <v>63</v>
      </c>
      <c r="O59" s="612" t="s">
        <v>63</v>
      </c>
      <c r="P59" s="952">
        <f>ifna(vlookup(A59,'Population &amp; Church Numbers'!$A$1486:$D$1600,4,FALSE),"NULL")</f>
        <v>52</v>
      </c>
      <c r="Q59" s="674" t="s">
        <v>63</v>
      </c>
    </row>
    <row r="60">
      <c r="A60" s="609" t="s">
        <v>907</v>
      </c>
      <c r="B60" s="610">
        <f t="array" ref="B60">VLOOKUP($A60,MO_DEMO,2,FALSE)</f>
        <v>11874</v>
      </c>
      <c r="C60" s="611">
        <f>IFERROR(VLOOKUP($A60,'MO Data'!$A$4:$G$128,7,FALSE),"NULL")</f>
        <v>93</v>
      </c>
      <c r="D60" s="612" t="s">
        <v>63</v>
      </c>
      <c r="E60" s="612" t="s">
        <v>63</v>
      </c>
      <c r="F60" s="612" t="s">
        <v>63</v>
      </c>
      <c r="G60" s="612" t="s">
        <v>63</v>
      </c>
      <c r="H60" s="671" t="s">
        <v>63</v>
      </c>
      <c r="I60" s="614">
        <f>VLOOKUP($A60,'MO Data'!$A$269:$B$392,2,FALSE)</f>
        <v>3</v>
      </c>
      <c r="J60" s="615" t="s">
        <v>63</v>
      </c>
      <c r="K60" s="672" t="s">
        <v>63</v>
      </c>
      <c r="L60" s="728">
        <f>VLOOKUP($A60,'MO Data'!$A$139:$B$261,2,FALSE)</f>
        <v>20</v>
      </c>
      <c r="M60" s="704" t="s">
        <v>63</v>
      </c>
      <c r="N60" s="612" t="s">
        <v>63</v>
      </c>
      <c r="O60" s="612" t="s">
        <v>63</v>
      </c>
      <c r="P60" s="952">
        <f>ifna(vlookup(A60,'Population &amp; Church Numbers'!$A$1486:$D$1600,4,FALSE),"NULL")</f>
        <v>31</v>
      </c>
      <c r="Q60" s="674" t="s">
        <v>63</v>
      </c>
    </row>
    <row r="61">
      <c r="A61" s="609" t="s">
        <v>730</v>
      </c>
      <c r="B61" s="610">
        <f t="array" ref="B61">VLOOKUP($A61,MO_DEMO,2,FALSE)</f>
        <v>14557</v>
      </c>
      <c r="C61" s="611">
        <f>IFERROR(VLOOKUP($A61,'MO Data'!$A$4:$G$128,7,FALSE),"NULL")</f>
        <v>63</v>
      </c>
      <c r="D61" s="612" t="s">
        <v>63</v>
      </c>
      <c r="E61" s="612" t="s">
        <v>63</v>
      </c>
      <c r="F61" s="612" t="s">
        <v>63</v>
      </c>
      <c r="G61" s="612" t="s">
        <v>63</v>
      </c>
      <c r="H61" s="671" t="s">
        <v>63</v>
      </c>
      <c r="I61" s="614">
        <f>VLOOKUP($A61,'MO Data'!$A$269:$B$392,2,FALSE)</f>
        <v>1</v>
      </c>
      <c r="J61" s="615" t="s">
        <v>63</v>
      </c>
      <c r="K61" s="672" t="s">
        <v>63</v>
      </c>
      <c r="L61" s="728">
        <f>VLOOKUP($A61,'MO Data'!$A$139:$B$261,2,FALSE)</f>
        <v>29</v>
      </c>
      <c r="M61" s="704" t="s">
        <v>63</v>
      </c>
      <c r="N61" s="612" t="s">
        <v>63</v>
      </c>
      <c r="O61" s="612" t="s">
        <v>63</v>
      </c>
      <c r="P61" s="952">
        <f>ifna(vlookup(A61,'Population &amp; Church Numbers'!$A$1486:$D$1600,4,FALSE),"NULL")</f>
        <v>20</v>
      </c>
      <c r="Q61" s="674" t="s">
        <v>63</v>
      </c>
    </row>
    <row r="62">
      <c r="A62" s="609" t="s">
        <v>150</v>
      </c>
      <c r="B62" s="610">
        <f t="array" ref="B62">VLOOKUP($A62,MO_DEMO,2,FALSE)</f>
        <v>15209</v>
      </c>
      <c r="C62" s="611">
        <f>IFERROR(VLOOKUP($A62,'MO Data'!$A$4:$G$128,7,FALSE),"NULL")</f>
        <v>100</v>
      </c>
      <c r="D62" s="612" t="s">
        <v>63</v>
      </c>
      <c r="E62" s="612" t="s">
        <v>63</v>
      </c>
      <c r="F62" s="612" t="s">
        <v>63</v>
      </c>
      <c r="G62" s="612" t="s">
        <v>63</v>
      </c>
      <c r="H62" s="671" t="s">
        <v>63</v>
      </c>
      <c r="I62" s="614">
        <f>VLOOKUP($A62,'MO Data'!$A$269:$B$392,2,FALSE)</f>
        <v>0</v>
      </c>
      <c r="J62" s="615" t="s">
        <v>63</v>
      </c>
      <c r="K62" s="672" t="s">
        <v>63</v>
      </c>
      <c r="L62" s="728">
        <f>VLOOKUP($A62,'MO Data'!$A$139:$B$261,2,FALSE)</f>
        <v>11</v>
      </c>
      <c r="M62" s="704" t="s">
        <v>63</v>
      </c>
      <c r="N62" s="612" t="s">
        <v>63</v>
      </c>
      <c r="O62" s="612" t="s">
        <v>63</v>
      </c>
      <c r="P62" s="952">
        <f>ifna(vlookup(A62,'Population &amp; Church Numbers'!$A$1486:$D$1600,4,FALSE),"NULL")</f>
        <v>37</v>
      </c>
      <c r="Q62" s="674" t="s">
        <v>63</v>
      </c>
    </row>
    <row r="63">
      <c r="A63" s="609" t="s">
        <v>151</v>
      </c>
      <c r="B63" s="610">
        <f t="array" ref="B63">VLOOKUP($A63,MO_DEMO,2,FALSE)</f>
        <v>12626</v>
      </c>
      <c r="C63" s="611">
        <f>IFERROR(VLOOKUP($A63,'MO Data'!$A$4:$G$128,7,FALSE),"NULL")</f>
        <v>50</v>
      </c>
      <c r="D63" s="612" t="s">
        <v>63</v>
      </c>
      <c r="E63" s="612" t="s">
        <v>63</v>
      </c>
      <c r="F63" s="612" t="s">
        <v>63</v>
      </c>
      <c r="G63" s="612" t="s">
        <v>63</v>
      </c>
      <c r="H63" s="671" t="s">
        <v>63</v>
      </c>
      <c r="I63" s="614">
        <f>VLOOKUP($A63,'MO Data'!$A$269:$B$392,2,FALSE)</f>
        <v>6</v>
      </c>
      <c r="J63" s="615" t="s">
        <v>63</v>
      </c>
      <c r="K63" s="672" t="s">
        <v>63</v>
      </c>
      <c r="L63" s="728">
        <f>VLOOKUP($A63,'MO Data'!$A$139:$B$261,2,FALSE)</f>
        <v>19</v>
      </c>
      <c r="M63" s="704" t="s">
        <v>63</v>
      </c>
      <c r="N63" s="612" t="s">
        <v>63</v>
      </c>
      <c r="O63" s="612" t="s">
        <v>63</v>
      </c>
      <c r="P63" s="952">
        <f>ifna(vlookup(A63,'Population &amp; Church Numbers'!$A$1486:$D$1600,4,FALSE),"NULL")</f>
        <v>21</v>
      </c>
      <c r="Q63" s="674" t="s">
        <v>63</v>
      </c>
    </row>
    <row r="64">
      <c r="A64" s="609" t="s">
        <v>1411</v>
      </c>
      <c r="B64" s="610">
        <f t="array" ref="B64">VLOOKUP($A64,MO_DEMO,2,FALSE)</f>
        <v>8432</v>
      </c>
      <c r="C64" s="611">
        <f>IFERROR(VLOOKUP($A64,'MO Data'!$A$4:$G$128,7,FALSE),"NULL")</f>
        <v>47</v>
      </c>
      <c r="D64" s="612" t="s">
        <v>63</v>
      </c>
      <c r="E64" s="612" t="s">
        <v>63</v>
      </c>
      <c r="F64" s="612" t="s">
        <v>63</v>
      </c>
      <c r="G64" s="612" t="s">
        <v>63</v>
      </c>
      <c r="H64" s="671" t="s">
        <v>63</v>
      </c>
      <c r="I64" s="614">
        <f>VLOOKUP($A64,'MO Data'!$A$269:$B$392,2,FALSE)</f>
        <v>2</v>
      </c>
      <c r="J64" s="615" t="s">
        <v>63</v>
      </c>
      <c r="K64" s="672" t="s">
        <v>63</v>
      </c>
      <c r="L64" s="728">
        <f>VLOOKUP($A64,'MO Data'!$A$139:$B$261,2,FALSE)</f>
        <v>6</v>
      </c>
      <c r="M64" s="704" t="s">
        <v>63</v>
      </c>
      <c r="N64" s="612" t="s">
        <v>63</v>
      </c>
      <c r="O64" s="612" t="s">
        <v>63</v>
      </c>
      <c r="P64" s="952">
        <f>ifna(vlookup(A64,'Population &amp; Church Numbers'!$A$1486:$D$1600,4,FALSE),"NULL")</f>
        <v>15</v>
      </c>
      <c r="Q64" s="674" t="s">
        <v>63</v>
      </c>
    </row>
    <row r="65">
      <c r="A65" s="609" t="s">
        <v>153</v>
      </c>
      <c r="B65" s="610">
        <f t="array" ref="B65">VLOOKUP($A65,MO_DEMO,2,FALSE)</f>
        <v>28525</v>
      </c>
      <c r="C65" s="611">
        <f>IFERROR(VLOOKUP($A65,'MO Data'!$A$4:$G$128,7,FALSE),"NULL")</f>
        <v>249</v>
      </c>
      <c r="D65" s="612" t="s">
        <v>63</v>
      </c>
      <c r="E65" s="612" t="s">
        <v>63</v>
      </c>
      <c r="F65" s="612" t="s">
        <v>63</v>
      </c>
      <c r="G65" s="612" t="s">
        <v>63</v>
      </c>
      <c r="H65" s="671" t="s">
        <v>63</v>
      </c>
      <c r="I65" s="614">
        <f>VLOOKUP($A65,'MO Data'!$A$269:$B$392,2,FALSE)</f>
        <v>7</v>
      </c>
      <c r="J65" s="615" t="s">
        <v>63</v>
      </c>
      <c r="K65" s="672" t="s">
        <v>63</v>
      </c>
      <c r="L65" s="728">
        <f>VLOOKUP($A65,'MO Data'!$A$139:$B$261,2,FALSE)</f>
        <v>29</v>
      </c>
      <c r="M65" s="704" t="s">
        <v>63</v>
      </c>
      <c r="N65" s="612" t="s">
        <v>63</v>
      </c>
      <c r="O65" s="612" t="s">
        <v>63</v>
      </c>
      <c r="P65" s="952">
        <f>ifna(vlookup(A65,'Population &amp; Church Numbers'!$A$1486:$D$1600,4,FALSE),"NULL")</f>
        <v>47</v>
      </c>
      <c r="Q65" s="674" t="s">
        <v>63</v>
      </c>
    </row>
    <row r="66">
      <c r="A66" s="609" t="s">
        <v>3729</v>
      </c>
      <c r="B66" s="610">
        <f t="array" ref="B66">VLOOKUP($A66,MO_DEMO,2,FALSE)</f>
        <v>23303</v>
      </c>
      <c r="C66" s="611">
        <f>IFERROR(VLOOKUP($A66,'MO Data'!$A$4:$G$128,7,FALSE),"NULL")</f>
        <v>110</v>
      </c>
      <c r="D66" s="612" t="s">
        <v>63</v>
      </c>
      <c r="E66" s="612" t="s">
        <v>63</v>
      </c>
      <c r="F66" s="612" t="s">
        <v>63</v>
      </c>
      <c r="G66" s="612" t="s">
        <v>63</v>
      </c>
      <c r="H66" s="671" t="s">
        <v>63</v>
      </c>
      <c r="I66" s="614">
        <f>VLOOKUP($A66,'MO Data'!$A$269:$B$392,2,FALSE)</f>
        <v>9</v>
      </c>
      <c r="J66" s="615" t="s">
        <v>63</v>
      </c>
      <c r="K66" s="672" t="s">
        <v>63</v>
      </c>
      <c r="L66" s="728">
        <f>VLOOKUP($A66,'MO Data'!$A$139:$B$261,2,FALSE)</f>
        <v>25</v>
      </c>
      <c r="M66" s="704" t="s">
        <v>63</v>
      </c>
      <c r="N66" s="612" t="s">
        <v>63</v>
      </c>
      <c r="O66" s="612" t="s">
        <v>63</v>
      </c>
      <c r="P66" s="952">
        <f>ifna(vlookup(A66,'Population &amp; Church Numbers'!$A$1486:$D$1600,4,FALSE),"NULL")</f>
        <v>34</v>
      </c>
      <c r="Q66" s="674" t="s">
        <v>63</v>
      </c>
    </row>
    <row r="67">
      <c r="A67" s="609" t="s">
        <v>738</v>
      </c>
      <c r="B67" s="610">
        <f t="array" ref="B67">VLOOKUP($A67,MO_DEMO,2,FALSE)</f>
        <v>3538</v>
      </c>
      <c r="C67" s="611">
        <f>IFERROR(VLOOKUP($A67,'MO Data'!$A$4:$G$128,7,FALSE),"NULL")</f>
        <v>8</v>
      </c>
      <c r="D67" s="612" t="s">
        <v>63</v>
      </c>
      <c r="E67" s="612" t="s">
        <v>63</v>
      </c>
      <c r="F67" s="612" t="s">
        <v>63</v>
      </c>
      <c r="G67" s="612" t="s">
        <v>63</v>
      </c>
      <c r="H67" s="671" t="s">
        <v>63</v>
      </c>
      <c r="I67" s="614">
        <f>VLOOKUP($A67,'MO Data'!$A$269:$B$392,2,FALSE)</f>
        <v>0</v>
      </c>
      <c r="J67" s="615" t="s">
        <v>63</v>
      </c>
      <c r="K67" s="672" t="s">
        <v>63</v>
      </c>
      <c r="L67" s="728">
        <f>VLOOKUP($A67,'MO Data'!$A$139:$B$261,2,FALSE)</f>
        <v>1</v>
      </c>
      <c r="M67" s="704" t="s">
        <v>63</v>
      </c>
      <c r="N67" s="612" t="s">
        <v>63</v>
      </c>
      <c r="O67" s="612" t="s">
        <v>63</v>
      </c>
      <c r="P67" s="952">
        <f>ifna(vlookup(A67,'Population &amp; Church Numbers'!$A$1486:$D$1600,4,FALSE),"NULL")</f>
        <v>9</v>
      </c>
      <c r="Q67" s="674" t="s">
        <v>63</v>
      </c>
    </row>
    <row r="68">
      <c r="A68" s="609" t="s">
        <v>295</v>
      </c>
      <c r="B68" s="610">
        <f t="array" ref="B68">VLOOKUP($A68,MO_DEMO,2,FALSE)</f>
        <v>24722</v>
      </c>
      <c r="C68" s="611">
        <f>IFERROR(VLOOKUP($A68,'MO Data'!$A$4:$G$128,7,FALSE),"NULL")</f>
        <v>79</v>
      </c>
      <c r="D68" s="612" t="s">
        <v>63</v>
      </c>
      <c r="E68" s="612" t="s">
        <v>63</v>
      </c>
      <c r="F68" s="612" t="s">
        <v>63</v>
      </c>
      <c r="G68" s="612" t="s">
        <v>63</v>
      </c>
      <c r="H68" s="671" t="s">
        <v>63</v>
      </c>
      <c r="I68" s="614">
        <f>VLOOKUP($A68,'MO Data'!$A$269:$B$392,2,FALSE)</f>
        <v>1</v>
      </c>
      <c r="J68" s="615" t="s">
        <v>63</v>
      </c>
      <c r="K68" s="672" t="s">
        <v>63</v>
      </c>
      <c r="L68" s="728">
        <f>VLOOKUP($A68,'MO Data'!$A$139:$B$261,2,FALSE)</f>
        <v>57</v>
      </c>
      <c r="M68" s="704" t="s">
        <v>63</v>
      </c>
      <c r="N68" s="612" t="s">
        <v>63</v>
      </c>
      <c r="O68" s="612" t="s">
        <v>63</v>
      </c>
      <c r="P68" s="952">
        <f>ifna(vlookup(A68,'Population &amp; Church Numbers'!$A$1486:$D$1600,4,FALSE),"NULL")</f>
        <v>35</v>
      </c>
      <c r="Q68" s="674" t="s">
        <v>63</v>
      </c>
    </row>
    <row r="69">
      <c r="A69" s="609" t="s">
        <v>67</v>
      </c>
      <c r="B69" s="610">
        <f t="array" ref="B69">VLOOKUP($A69,MO_DEMO,2,FALSE)</f>
        <v>12577</v>
      </c>
      <c r="C69" s="611">
        <f>IFERROR(VLOOKUP($A69,'MO Data'!$A$4:$G$128,7,FALSE),"NULL")</f>
        <v>68</v>
      </c>
      <c r="D69" s="612" t="s">
        <v>63</v>
      </c>
      <c r="E69" s="612" t="s">
        <v>63</v>
      </c>
      <c r="F69" s="612" t="s">
        <v>63</v>
      </c>
      <c r="G69" s="612" t="s">
        <v>63</v>
      </c>
      <c r="H69" s="671" t="s">
        <v>63</v>
      </c>
      <c r="I69" s="614">
        <f>VLOOKUP($A69,'MO Data'!$A$269:$B$392,2,FALSE)</f>
        <v>0</v>
      </c>
      <c r="J69" s="615" t="s">
        <v>63</v>
      </c>
      <c r="K69" s="672" t="s">
        <v>63</v>
      </c>
      <c r="L69" s="728">
        <f>VLOOKUP($A69,'MO Data'!$A$139:$B$261,2,FALSE)</f>
        <v>16</v>
      </c>
      <c r="M69" s="704" t="s">
        <v>63</v>
      </c>
      <c r="N69" s="612" t="s">
        <v>63</v>
      </c>
      <c r="O69" s="612" t="s">
        <v>63</v>
      </c>
      <c r="P69" s="952">
        <f>ifna(vlookup(A69,'Population &amp; Church Numbers'!$A$1486:$D$1600,4,FALSE),"NULL")</f>
        <v>26</v>
      </c>
      <c r="Q69" s="674" t="s">
        <v>63</v>
      </c>
    </row>
    <row r="70">
      <c r="A70" s="609" t="s">
        <v>1412</v>
      </c>
      <c r="B70" s="610">
        <f t="array" ref="B70">VLOOKUP($A70,MO_DEMO,2,FALSE)</f>
        <v>15473</v>
      </c>
      <c r="C70" s="611">
        <f>IFERROR(VLOOKUP($A70,'MO Data'!$A$4:$G$128,7,FALSE),"NULL")</f>
        <v>28</v>
      </c>
      <c r="D70" s="612" t="s">
        <v>63</v>
      </c>
      <c r="E70" s="612" t="s">
        <v>63</v>
      </c>
      <c r="F70" s="612" t="s">
        <v>63</v>
      </c>
      <c r="G70" s="612" t="s">
        <v>63</v>
      </c>
      <c r="H70" s="671" t="s">
        <v>63</v>
      </c>
      <c r="I70" s="614">
        <f>VLOOKUP($A70,'MO Data'!$A$269:$B$392,2,FALSE)</f>
        <v>1</v>
      </c>
      <c r="J70" s="615" t="s">
        <v>63</v>
      </c>
      <c r="K70" s="672" t="s">
        <v>63</v>
      </c>
      <c r="L70" s="728">
        <f>VLOOKUP($A70,'MO Data'!$A$139:$B$261,2,FALSE)</f>
        <v>18</v>
      </c>
      <c r="M70" s="704" t="s">
        <v>63</v>
      </c>
      <c r="N70" s="612" t="s">
        <v>63</v>
      </c>
      <c r="O70" s="612" t="s">
        <v>63</v>
      </c>
      <c r="P70" s="952">
        <f>ifna(vlookup(A70,'Population &amp; Church Numbers'!$A$1486:$D$1600,4,FALSE),"NULL")</f>
        <v>28</v>
      </c>
      <c r="Q70" s="674" t="s">
        <v>63</v>
      </c>
    </row>
    <row r="71">
      <c r="A71" s="609" t="s">
        <v>156</v>
      </c>
      <c r="B71" s="610">
        <f t="array" ref="B71">VLOOKUP($A71,MO_DEMO,2,FALSE)</f>
        <v>8666</v>
      </c>
      <c r="C71" s="611">
        <f>IFERROR(VLOOKUP($A71,'MO Data'!$A$4:$G$128,7,FALSE),"NULL")</f>
        <v>39</v>
      </c>
      <c r="D71" s="612" t="s">
        <v>63</v>
      </c>
      <c r="E71" s="612" t="s">
        <v>63</v>
      </c>
      <c r="F71" s="612" t="s">
        <v>63</v>
      </c>
      <c r="G71" s="612" t="s">
        <v>63</v>
      </c>
      <c r="H71" s="671" t="s">
        <v>63</v>
      </c>
      <c r="I71" s="614">
        <f>VLOOKUP($A71,'MO Data'!$A$269:$B$392,2,FALSE)</f>
        <v>1</v>
      </c>
      <c r="J71" s="615" t="s">
        <v>63</v>
      </c>
      <c r="K71" s="672" t="s">
        <v>63</v>
      </c>
      <c r="L71" s="728">
        <f>VLOOKUP($A71,'MO Data'!$A$139:$B$261,2,FALSE)</f>
        <v>12</v>
      </c>
      <c r="M71" s="704" t="s">
        <v>63</v>
      </c>
      <c r="N71" s="612" t="s">
        <v>63</v>
      </c>
      <c r="O71" s="612" t="s">
        <v>63</v>
      </c>
      <c r="P71" s="952">
        <f>ifna(vlookup(A71,'Population &amp; Church Numbers'!$A$1486:$D$1600,4,FALSE),"NULL")</f>
        <v>18</v>
      </c>
      <c r="Q71" s="674" t="s">
        <v>63</v>
      </c>
    </row>
    <row r="72">
      <c r="A72" s="609" t="s">
        <v>157</v>
      </c>
      <c r="B72" s="610">
        <f t="array" ref="B72">VLOOKUP($A72,MO_DEMO,2,FALSE)</f>
        <v>11322</v>
      </c>
      <c r="C72" s="611">
        <f>IFERROR(VLOOKUP($A72,'MO Data'!$A$4:$G$128,7,FALSE),"NULL")</f>
        <v>61</v>
      </c>
      <c r="D72" s="612" t="s">
        <v>63</v>
      </c>
      <c r="E72" s="612" t="s">
        <v>63</v>
      </c>
      <c r="F72" s="612" t="s">
        <v>63</v>
      </c>
      <c r="G72" s="612" t="s">
        <v>63</v>
      </c>
      <c r="H72" s="671" t="s">
        <v>63</v>
      </c>
      <c r="I72" s="614">
        <f>VLOOKUP($A72,'MO Data'!$A$269:$B$392,2,FALSE)</f>
        <v>8</v>
      </c>
      <c r="J72" s="615" t="s">
        <v>63</v>
      </c>
      <c r="K72" s="672" t="s">
        <v>63</v>
      </c>
      <c r="L72" s="728">
        <f>VLOOKUP($A72,'MO Data'!$A$139:$B$261,2,FALSE)</f>
        <v>22</v>
      </c>
      <c r="M72" s="704" t="s">
        <v>63</v>
      </c>
      <c r="N72" s="612" t="s">
        <v>63</v>
      </c>
      <c r="O72" s="612" t="s">
        <v>63</v>
      </c>
      <c r="P72" s="952">
        <f>ifna(vlookup(A72,'Population &amp; Church Numbers'!$A$1486:$D$1600,4,FALSE),"NULL")</f>
        <v>20</v>
      </c>
      <c r="Q72" s="674" t="s">
        <v>63</v>
      </c>
    </row>
    <row r="73">
      <c r="A73" s="609" t="s">
        <v>158</v>
      </c>
      <c r="B73" s="610">
        <f t="array" ref="B73">VLOOKUP($A73,MO_DEMO,2,FALSE)</f>
        <v>21006</v>
      </c>
      <c r="C73" s="611">
        <f>IFERROR(VLOOKUP($A73,'MO Data'!$A$4:$G$128,7,FALSE),"NULL")</f>
        <v>100</v>
      </c>
      <c r="D73" s="612" t="s">
        <v>63</v>
      </c>
      <c r="E73" s="612" t="s">
        <v>63</v>
      </c>
      <c r="F73" s="612" t="s">
        <v>63</v>
      </c>
      <c r="G73" s="612" t="s">
        <v>63</v>
      </c>
      <c r="H73" s="671" t="s">
        <v>63</v>
      </c>
      <c r="I73" s="614">
        <f>VLOOKUP($A73,'MO Data'!$A$269:$B$392,2,FALSE)</f>
        <v>0</v>
      </c>
      <c r="J73" s="615" t="s">
        <v>63</v>
      </c>
      <c r="K73" s="672" t="s">
        <v>63</v>
      </c>
      <c r="L73" s="728">
        <f>VLOOKUP($A73,'MO Data'!$A$139:$B$261,2,FALSE)</f>
        <v>37</v>
      </c>
      <c r="M73" s="704" t="s">
        <v>63</v>
      </c>
      <c r="N73" s="612" t="s">
        <v>63</v>
      </c>
      <c r="O73" s="612" t="s">
        <v>63</v>
      </c>
      <c r="P73" s="952">
        <f>ifna(vlookup(A73,'Population &amp; Church Numbers'!$A$1486:$D$1600,4,FALSE),"NULL")</f>
        <v>37</v>
      </c>
      <c r="Q73" s="674" t="s">
        <v>63</v>
      </c>
    </row>
    <row r="74">
      <c r="A74" s="609" t="s">
        <v>1413</v>
      </c>
      <c r="B74" s="610">
        <f t="array" ref="B74">VLOOKUP($A74,MO_DEMO,2,FALSE)</f>
        <v>16434</v>
      </c>
      <c r="C74" s="611">
        <f>IFERROR(VLOOKUP($A74,'MO Data'!$A$4:$G$128,7,FALSE),"NULL")</f>
        <v>154</v>
      </c>
      <c r="D74" s="612" t="s">
        <v>63</v>
      </c>
      <c r="E74" s="612" t="s">
        <v>63</v>
      </c>
      <c r="F74" s="612" t="s">
        <v>63</v>
      </c>
      <c r="G74" s="612" t="s">
        <v>63</v>
      </c>
      <c r="H74" s="671" t="s">
        <v>63</v>
      </c>
      <c r="I74" s="614">
        <f>VLOOKUP($A74,'MO Data'!$A$269:$B$392,2,FALSE)</f>
        <v>4</v>
      </c>
      <c r="J74" s="615" t="s">
        <v>63</v>
      </c>
      <c r="K74" s="672" t="s">
        <v>63</v>
      </c>
      <c r="L74" s="728">
        <f>VLOOKUP($A74,'MO Data'!$A$139:$B$261,2,FALSE)</f>
        <v>61</v>
      </c>
      <c r="M74" s="704" t="s">
        <v>63</v>
      </c>
      <c r="N74" s="612" t="s">
        <v>63</v>
      </c>
      <c r="O74" s="612" t="s">
        <v>63</v>
      </c>
      <c r="P74" s="952">
        <f>ifna(vlookup(A74,'Population &amp; Church Numbers'!$A$1486:$D$1600,4,FALSE),"NULL")</f>
        <v>29</v>
      </c>
      <c r="Q74" s="674" t="s">
        <v>63</v>
      </c>
    </row>
    <row r="75">
      <c r="A75" s="609" t="s">
        <v>297</v>
      </c>
      <c r="B75" s="610">
        <f t="array" ref="B75">VLOOKUP($A75,MO_DEMO,2,FALSE)</f>
        <v>58648</v>
      </c>
      <c r="C75" s="611">
        <f>IFERROR(VLOOKUP($A75,'MO Data'!$A$4:$G$128,7,FALSE),"NULL")</f>
        <v>307</v>
      </c>
      <c r="D75" s="612" t="s">
        <v>63</v>
      </c>
      <c r="E75" s="612" t="s">
        <v>63</v>
      </c>
      <c r="F75" s="612" t="s">
        <v>63</v>
      </c>
      <c r="G75" s="612" t="s">
        <v>63</v>
      </c>
      <c r="H75" s="671" t="s">
        <v>63</v>
      </c>
      <c r="I75" s="614">
        <f>VLOOKUP($A75,'MO Data'!$A$269:$B$392,2,FALSE)</f>
        <v>10</v>
      </c>
      <c r="J75" s="615" t="s">
        <v>63</v>
      </c>
      <c r="K75" s="672" t="s">
        <v>63</v>
      </c>
      <c r="L75" s="728">
        <f>VLOOKUP($A75,'MO Data'!$A$139:$B$261,2,FALSE)</f>
        <v>45</v>
      </c>
      <c r="M75" s="704" t="s">
        <v>63</v>
      </c>
      <c r="N75" s="612" t="s">
        <v>63</v>
      </c>
      <c r="O75" s="612" t="s">
        <v>63</v>
      </c>
      <c r="P75" s="952">
        <f>ifna(vlookup(A75,'Population &amp; Church Numbers'!$A$1486:$D$1600,4,FALSE),"NULL")</f>
        <v>73</v>
      </c>
      <c r="Q75" s="674" t="s">
        <v>63</v>
      </c>
    </row>
    <row r="76">
      <c r="A76" s="609" t="s">
        <v>1414</v>
      </c>
      <c r="B76" s="610">
        <f t="array" ref="B76">VLOOKUP($A76,MO_DEMO,2,FALSE)</f>
        <v>21241</v>
      </c>
      <c r="C76" s="611">
        <f>IFERROR(VLOOKUP($A76,'MO Data'!$A$4:$G$128,7,FALSE),"NULL")</f>
        <v>89</v>
      </c>
      <c r="D76" s="612" t="s">
        <v>63</v>
      </c>
      <c r="E76" s="612" t="s">
        <v>63</v>
      </c>
      <c r="F76" s="612" t="s">
        <v>63</v>
      </c>
      <c r="G76" s="612" t="s">
        <v>63</v>
      </c>
      <c r="H76" s="671" t="s">
        <v>63</v>
      </c>
      <c r="I76" s="614">
        <f>VLOOKUP($A76,'MO Data'!$A$269:$B$392,2,FALSE)</f>
        <v>2</v>
      </c>
      <c r="J76" s="615" t="s">
        <v>63</v>
      </c>
      <c r="K76" s="672" t="s">
        <v>63</v>
      </c>
      <c r="L76" s="728">
        <f>VLOOKUP($A76,'MO Data'!$A$139:$B$261,2,FALSE)</f>
        <v>9</v>
      </c>
      <c r="M76" s="704" t="s">
        <v>63</v>
      </c>
      <c r="N76" s="612" t="s">
        <v>63</v>
      </c>
      <c r="O76" s="612" t="s">
        <v>63</v>
      </c>
      <c r="P76" s="952">
        <f>ifna(vlookup(A76,'Population &amp; Church Numbers'!$A$1486:$D$1600,4,FALSE),"NULL")</f>
        <v>24</v>
      </c>
      <c r="Q76" s="674" t="s">
        <v>63</v>
      </c>
    </row>
    <row r="77">
      <c r="A77" s="609" t="s">
        <v>103</v>
      </c>
      <c r="B77" s="610">
        <f t="array" ref="B77">VLOOKUP($A77,MO_DEMO,2,FALSE)</f>
        <v>8635</v>
      </c>
      <c r="C77" s="611">
        <f>IFERROR(VLOOKUP($A77,'MO Data'!$A$4:$G$128,7,FALSE),"NULL")</f>
        <v>64</v>
      </c>
      <c r="D77" s="612" t="s">
        <v>63</v>
      </c>
      <c r="E77" s="612" t="s">
        <v>63</v>
      </c>
      <c r="F77" s="612" t="s">
        <v>63</v>
      </c>
      <c r="G77" s="612" t="s">
        <v>63</v>
      </c>
      <c r="H77" s="671" t="s">
        <v>63</v>
      </c>
      <c r="I77" s="614">
        <f>VLOOKUP($A77,'MO Data'!$A$269:$B$392,2,FALSE)</f>
        <v>0</v>
      </c>
      <c r="J77" s="615" t="s">
        <v>63</v>
      </c>
      <c r="K77" s="672" t="s">
        <v>63</v>
      </c>
      <c r="L77" s="728">
        <f>VLOOKUP($A77,'MO Data'!$A$139:$B$261,2,FALSE)</f>
        <v>20</v>
      </c>
      <c r="M77" s="704" t="s">
        <v>63</v>
      </c>
      <c r="N77" s="612" t="s">
        <v>63</v>
      </c>
      <c r="O77" s="612" t="s">
        <v>63</v>
      </c>
      <c r="P77" s="952">
        <f>ifna(vlookup(A77,'Population &amp; Church Numbers'!$A$1486:$D$1600,4,FALSE),"NULL")</f>
        <v>18</v>
      </c>
      <c r="Q77" s="674" t="s">
        <v>63</v>
      </c>
    </row>
    <row r="78">
      <c r="A78" s="609" t="s">
        <v>996</v>
      </c>
      <c r="B78" s="610">
        <f t="array" ref="B78">VLOOKUP($A78,MO_DEMO,2,FALSE)</f>
        <v>13274</v>
      </c>
      <c r="C78" s="611">
        <f>IFERROR(VLOOKUP($A78,'MO Data'!$A$4:$G$128,7,FALSE),"NULL")</f>
        <v>9</v>
      </c>
      <c r="D78" s="612" t="s">
        <v>63</v>
      </c>
      <c r="E78" s="612" t="s">
        <v>63</v>
      </c>
      <c r="F78" s="612" t="s">
        <v>63</v>
      </c>
      <c r="G78" s="612" t="s">
        <v>63</v>
      </c>
      <c r="H78" s="671" t="s">
        <v>63</v>
      </c>
      <c r="I78" s="614">
        <f>VLOOKUP($A78,'MO Data'!$A$269:$B$392,2,FALSE)</f>
        <v>1</v>
      </c>
      <c r="J78" s="615" t="s">
        <v>63</v>
      </c>
      <c r="K78" s="672" t="s">
        <v>63</v>
      </c>
      <c r="L78" s="728">
        <f>VLOOKUP($A78,'MO Data'!$A$139:$B$261,2,FALSE)</f>
        <v>8</v>
      </c>
      <c r="M78" s="704" t="s">
        <v>63</v>
      </c>
      <c r="N78" s="612" t="s">
        <v>63</v>
      </c>
      <c r="O78" s="612" t="s">
        <v>63</v>
      </c>
      <c r="P78" s="952">
        <f>ifna(vlookup(A78,'Population &amp; Church Numbers'!$A$1486:$D$1600,4,FALSE),"NULL")</f>
        <v>13</v>
      </c>
      <c r="Q78" s="674" t="s">
        <v>63</v>
      </c>
    </row>
    <row r="79">
      <c r="A79" s="609" t="s">
        <v>1415</v>
      </c>
      <c r="B79" s="610">
        <f t="array" ref="B79">VLOOKUP($A79,MO_DEMO,2,FALSE)</f>
        <v>8553</v>
      </c>
      <c r="C79" s="611">
        <f>IFERROR(VLOOKUP($A79,'MO Data'!$A$4:$G$128,7,FALSE),"NULL")</f>
        <v>41</v>
      </c>
      <c r="D79" s="612" t="s">
        <v>63</v>
      </c>
      <c r="E79" s="612" t="s">
        <v>63</v>
      </c>
      <c r="F79" s="612" t="s">
        <v>63</v>
      </c>
      <c r="G79" s="612" t="s">
        <v>63</v>
      </c>
      <c r="H79" s="671" t="s">
        <v>63</v>
      </c>
      <c r="I79" s="614">
        <f>VLOOKUP($A79,'MO Data'!$A$269:$B$392,2,FALSE)</f>
        <v>0</v>
      </c>
      <c r="J79" s="615" t="s">
        <v>63</v>
      </c>
      <c r="K79" s="672" t="s">
        <v>63</v>
      </c>
      <c r="L79" s="728">
        <f>VLOOKUP($A79,'MO Data'!$A$139:$B$261,2,FALSE)</f>
        <v>12</v>
      </c>
      <c r="M79" s="704" t="s">
        <v>63</v>
      </c>
      <c r="N79" s="612" t="s">
        <v>63</v>
      </c>
      <c r="O79" s="612" t="s">
        <v>63</v>
      </c>
      <c r="P79" s="952">
        <f>ifna(vlookup(A79,'Population &amp; Church Numbers'!$A$1486:$D$1600,4,FALSE),"NULL")</f>
        <v>13</v>
      </c>
      <c r="Q79" s="674" t="s">
        <v>63</v>
      </c>
    </row>
    <row r="80">
      <c r="A80" s="609" t="s">
        <v>1416</v>
      </c>
      <c r="B80" s="610">
        <f t="array" ref="B80">VLOOKUP($A80,MO_DEMO,2,FALSE)</f>
        <v>15661</v>
      </c>
      <c r="C80" s="611">
        <f>IFERROR(VLOOKUP($A80,'MO Data'!$A$4:$G$128,7,FALSE),"NULL")</f>
        <v>170</v>
      </c>
      <c r="D80" s="612" t="s">
        <v>63</v>
      </c>
      <c r="E80" s="612" t="s">
        <v>63</v>
      </c>
      <c r="F80" s="612" t="s">
        <v>63</v>
      </c>
      <c r="G80" s="612" t="s">
        <v>63</v>
      </c>
      <c r="H80" s="671" t="s">
        <v>63</v>
      </c>
      <c r="I80" s="614">
        <f>VLOOKUP($A80,'MO Data'!$A$269:$B$392,2,FALSE)</f>
        <v>3</v>
      </c>
      <c r="J80" s="615" t="s">
        <v>63</v>
      </c>
      <c r="K80" s="672" t="s">
        <v>63</v>
      </c>
      <c r="L80" s="728">
        <f>VLOOKUP($A80,'MO Data'!$A$139:$B$261,2,FALSE)</f>
        <v>75</v>
      </c>
      <c r="M80" s="704" t="s">
        <v>63</v>
      </c>
      <c r="N80" s="612" t="s">
        <v>63</v>
      </c>
      <c r="O80" s="612" t="s">
        <v>63</v>
      </c>
      <c r="P80" s="952">
        <f>ifna(vlookup(A80,'Population &amp; Church Numbers'!$A$1486:$D$1600,4,FALSE),"NULL")</f>
        <v>35</v>
      </c>
      <c r="Q80" s="674" t="s">
        <v>63</v>
      </c>
    </row>
    <row r="81">
      <c r="A81" s="609" t="s">
        <v>159</v>
      </c>
      <c r="B81" s="610">
        <f t="array" ref="B81">VLOOKUP($A81,MO_DEMO,2,FALSE)</f>
        <v>18956</v>
      </c>
      <c r="C81" s="611">
        <f>IFERROR(VLOOKUP($A81,'MO Data'!$A$4:$G$128,7,FALSE),"NULL")</f>
        <v>70</v>
      </c>
      <c r="D81" s="612" t="s">
        <v>63</v>
      </c>
      <c r="E81" s="612" t="s">
        <v>63</v>
      </c>
      <c r="F81" s="612" t="s">
        <v>63</v>
      </c>
      <c r="G81" s="612" t="s">
        <v>63</v>
      </c>
      <c r="H81" s="671" t="s">
        <v>63</v>
      </c>
      <c r="I81" s="614">
        <f>VLOOKUP($A81,'MO Data'!$A$269:$B$392,2,FALSE)</f>
        <v>1</v>
      </c>
      <c r="J81" s="615" t="s">
        <v>63</v>
      </c>
      <c r="K81" s="672" t="s">
        <v>63</v>
      </c>
      <c r="L81" s="728">
        <f>VLOOKUP($A81,'MO Data'!$A$139:$B$261,2,FALSE)</f>
        <v>42</v>
      </c>
      <c r="M81" s="704" t="s">
        <v>63</v>
      </c>
      <c r="N81" s="612" t="s">
        <v>63</v>
      </c>
      <c r="O81" s="612" t="s">
        <v>63</v>
      </c>
      <c r="P81" s="952">
        <f>ifna(vlookup(A81,'Population &amp; Church Numbers'!$A$1486:$D$1600,4,FALSE),"NULL")</f>
        <v>16</v>
      </c>
      <c r="Q81" s="674" t="s">
        <v>63</v>
      </c>
    </row>
    <row r="82">
      <c r="A82" s="609" t="s">
        <v>1417</v>
      </c>
      <c r="B82" s="610">
        <f t="array" ref="B82">VLOOKUP($A82,MO_DEMO,2,FALSE)</f>
        <v>42980</v>
      </c>
      <c r="C82" s="611">
        <f>IFERROR(VLOOKUP($A82,'MO Data'!$A$4:$G$128,7,FALSE),"NULL")</f>
        <v>130</v>
      </c>
      <c r="D82" s="612" t="s">
        <v>63</v>
      </c>
      <c r="E82" s="612" t="s">
        <v>63</v>
      </c>
      <c r="F82" s="612" t="s">
        <v>63</v>
      </c>
      <c r="G82" s="612" t="s">
        <v>63</v>
      </c>
      <c r="H82" s="671" t="s">
        <v>63</v>
      </c>
      <c r="I82" s="614">
        <f>VLOOKUP($A82,'MO Data'!$A$269:$B$392,2,FALSE)</f>
        <v>4</v>
      </c>
      <c r="J82" s="615" t="s">
        <v>63</v>
      </c>
      <c r="K82" s="672" t="s">
        <v>63</v>
      </c>
      <c r="L82" s="728">
        <f>VLOOKUP($A82,'MO Data'!$A$139:$B$261,2,FALSE)</f>
        <v>50</v>
      </c>
      <c r="M82" s="704" t="s">
        <v>63</v>
      </c>
      <c r="N82" s="612" t="s">
        <v>63</v>
      </c>
      <c r="O82" s="612" t="s">
        <v>63</v>
      </c>
      <c r="P82" s="952">
        <f>ifna(vlookup(A82,'Population &amp; Church Numbers'!$A$1486:$D$1600,4,FALSE),"NULL")</f>
        <v>59</v>
      </c>
      <c r="Q82" s="674" t="s">
        <v>63</v>
      </c>
    </row>
    <row r="83">
      <c r="A83" s="609" t="s">
        <v>1418</v>
      </c>
      <c r="B83" s="610">
        <f t="array" ref="B83">VLOOKUP($A83,MO_DEMO,2,FALSE)</f>
        <v>44638</v>
      </c>
      <c r="C83" s="611">
        <f>IFERROR(VLOOKUP($A83,'MO Data'!$A$4:$G$128,7,FALSE),"NULL")</f>
        <v>315</v>
      </c>
      <c r="D83" s="612" t="s">
        <v>63</v>
      </c>
      <c r="E83" s="612" t="s">
        <v>63</v>
      </c>
      <c r="F83" s="612" t="s">
        <v>63</v>
      </c>
      <c r="G83" s="612" t="s">
        <v>63</v>
      </c>
      <c r="H83" s="671" t="s">
        <v>63</v>
      </c>
      <c r="I83" s="614">
        <f>VLOOKUP($A83,'MO Data'!$A$269:$B$392,2,FALSE)</f>
        <v>5</v>
      </c>
      <c r="J83" s="615" t="s">
        <v>63</v>
      </c>
      <c r="K83" s="672" t="s">
        <v>63</v>
      </c>
      <c r="L83" s="728">
        <f>VLOOKUP($A83,'MO Data'!$A$139:$B$261,2,FALSE)</f>
        <v>84</v>
      </c>
      <c r="M83" s="704" t="s">
        <v>63</v>
      </c>
      <c r="N83" s="612" t="s">
        <v>63</v>
      </c>
      <c r="O83" s="612" t="s">
        <v>63</v>
      </c>
      <c r="P83" s="952">
        <f>ifna(vlookup(A83,'Population &amp; Church Numbers'!$A$1486:$D$1600,4,FALSE),"NULL")</f>
        <v>55</v>
      </c>
      <c r="Q83" s="674" t="s">
        <v>63</v>
      </c>
    </row>
    <row r="84">
      <c r="A84" s="609" t="s">
        <v>162</v>
      </c>
      <c r="B84" s="610">
        <f t="array" ref="B84">VLOOKUP($A84,MO_DEMO,2,FALSE)</f>
        <v>17587</v>
      </c>
      <c r="C84" s="611">
        <f>IFERROR(VLOOKUP($A84,'MO Data'!$A$4:$G$128,7,FALSE),"NULL")</f>
        <v>57</v>
      </c>
      <c r="D84" s="612" t="s">
        <v>63</v>
      </c>
      <c r="E84" s="612" t="s">
        <v>63</v>
      </c>
      <c r="F84" s="612" t="s">
        <v>63</v>
      </c>
      <c r="G84" s="612" t="s">
        <v>63</v>
      </c>
      <c r="H84" s="671" t="s">
        <v>63</v>
      </c>
      <c r="I84" s="614">
        <f>VLOOKUP($A84,'MO Data'!$A$269:$B$392,2,FALSE)</f>
        <v>0</v>
      </c>
      <c r="J84" s="615" t="s">
        <v>63</v>
      </c>
      <c r="K84" s="672" t="s">
        <v>63</v>
      </c>
      <c r="L84" s="728">
        <f>VLOOKUP($A84,'MO Data'!$A$139:$B$261,2,FALSE)</f>
        <v>21</v>
      </c>
      <c r="M84" s="704" t="s">
        <v>63</v>
      </c>
      <c r="N84" s="612" t="s">
        <v>63</v>
      </c>
      <c r="O84" s="612" t="s">
        <v>63</v>
      </c>
      <c r="P84" s="952">
        <f>ifna(vlookup(A84,'Population &amp; Church Numbers'!$A$1486:$D$1600,4,FALSE),"NULL")</f>
        <v>23</v>
      </c>
      <c r="Q84" s="674" t="s">
        <v>63</v>
      </c>
    </row>
    <row r="85">
      <c r="A85" s="609" t="s">
        <v>1419</v>
      </c>
      <c r="B85" s="610">
        <f t="array" ref="B85">VLOOKUP($A85,MO_DEMO,2,FALSE)</f>
        <v>106718</v>
      </c>
      <c r="C85" s="611">
        <f>IFERROR(VLOOKUP($A85,'MO Data'!$A$4:$G$128,7,FALSE),"NULL")</f>
        <v>68</v>
      </c>
      <c r="D85" s="612" t="s">
        <v>63</v>
      </c>
      <c r="E85" s="612" t="s">
        <v>63</v>
      </c>
      <c r="F85" s="612" t="s">
        <v>63</v>
      </c>
      <c r="G85" s="612" t="s">
        <v>63</v>
      </c>
      <c r="H85" s="671" t="s">
        <v>63</v>
      </c>
      <c r="I85" s="614">
        <f>VLOOKUP($A85,'MO Data'!$A$269:$B$392,2,FALSE)</f>
        <v>2</v>
      </c>
      <c r="J85" s="615" t="s">
        <v>63</v>
      </c>
      <c r="K85" s="672" t="s">
        <v>63</v>
      </c>
      <c r="L85" s="728">
        <f>VLOOKUP($A85,'MO Data'!$A$139:$B$261,2,FALSE)</f>
        <v>23</v>
      </c>
      <c r="M85" s="704" t="s">
        <v>63</v>
      </c>
      <c r="N85" s="612" t="s">
        <v>63</v>
      </c>
      <c r="O85" s="612" t="s">
        <v>63</v>
      </c>
      <c r="P85" s="952">
        <f>ifna(vlookup(A85,'Population &amp; Church Numbers'!$A$1486:$D$1600,4,FALSE),"NULL")</f>
        <v>59</v>
      </c>
      <c r="Q85" s="674" t="s">
        <v>63</v>
      </c>
    </row>
    <row r="86">
      <c r="A86" s="609" t="s">
        <v>302</v>
      </c>
      <c r="B86" s="610">
        <f t="array" ref="B86">VLOOKUP($A86,MO_DEMO,2,FALSE)</f>
        <v>31519</v>
      </c>
      <c r="C86" s="611">
        <f>IFERROR(VLOOKUP($A86,'MO Data'!$A$4:$G$128,7,FALSE),"NULL")</f>
        <v>76</v>
      </c>
      <c r="D86" s="612" t="s">
        <v>63</v>
      </c>
      <c r="E86" s="612" t="s">
        <v>63</v>
      </c>
      <c r="F86" s="612" t="s">
        <v>63</v>
      </c>
      <c r="G86" s="612" t="s">
        <v>63</v>
      </c>
      <c r="H86" s="671" t="s">
        <v>63</v>
      </c>
      <c r="I86" s="614">
        <f>VLOOKUP($A86,'MO Data'!$A$269:$B$392,2,FALSE)</f>
        <v>6</v>
      </c>
      <c r="J86" s="615" t="s">
        <v>63</v>
      </c>
      <c r="K86" s="672" t="s">
        <v>63</v>
      </c>
      <c r="L86" s="728">
        <f>VLOOKUP($A86,'MO Data'!$A$139:$B$261,2,FALSE)</f>
        <v>39</v>
      </c>
      <c r="M86" s="704" t="s">
        <v>63</v>
      </c>
      <c r="N86" s="612" t="s">
        <v>63</v>
      </c>
      <c r="O86" s="612" t="s">
        <v>63</v>
      </c>
      <c r="P86" s="952">
        <f>ifna(vlookup(A86,'Population &amp; Church Numbers'!$A$1486:$D$1600,4,FALSE),"NULL")</f>
        <v>37</v>
      </c>
      <c r="Q86" s="674" t="s">
        <v>63</v>
      </c>
    </row>
    <row r="87">
      <c r="A87" s="609" t="s">
        <v>305</v>
      </c>
      <c r="B87" s="610">
        <f t="array" ref="B87">VLOOKUP($A87,MO_DEMO,2,FALSE)</f>
        <v>53955</v>
      </c>
      <c r="C87" s="611">
        <f>IFERROR(VLOOKUP($A87,'MO Data'!$A$4:$G$128,7,FALSE),"NULL")</f>
        <v>278</v>
      </c>
      <c r="D87" s="612" t="s">
        <v>63</v>
      </c>
      <c r="E87" s="612" t="s">
        <v>63</v>
      </c>
      <c r="F87" s="612" t="s">
        <v>63</v>
      </c>
      <c r="G87" s="612" t="s">
        <v>63</v>
      </c>
      <c r="H87" s="671" t="s">
        <v>63</v>
      </c>
      <c r="I87" s="614">
        <f>VLOOKUP($A87,'MO Data'!$A$269:$B$392,2,FALSE)</f>
        <v>4</v>
      </c>
      <c r="J87" s="615" t="s">
        <v>63</v>
      </c>
      <c r="K87" s="672" t="s">
        <v>63</v>
      </c>
      <c r="L87" s="728">
        <f>VLOOKUP($A87,'MO Data'!$A$139:$B$261,2,FALSE)</f>
        <v>67</v>
      </c>
      <c r="M87" s="704" t="s">
        <v>63</v>
      </c>
      <c r="N87" s="612" t="s">
        <v>63</v>
      </c>
      <c r="O87" s="612" t="s">
        <v>63</v>
      </c>
      <c r="P87" s="952">
        <f>ifna(vlookup(A87,'Population &amp; Church Numbers'!$A$1486:$D$1600,4,FALSE),"NULL")</f>
        <v>53</v>
      </c>
      <c r="Q87" s="674" t="s">
        <v>63</v>
      </c>
    </row>
    <row r="88">
      <c r="A88" s="609" t="s">
        <v>518</v>
      </c>
      <c r="B88" s="610">
        <f t="array" ref="B88">VLOOKUP($A88,MO_DEMO,2,FALSE)</f>
        <v>4681</v>
      </c>
      <c r="C88" s="611">
        <f>IFERROR(VLOOKUP($A88,'MO Data'!$A$4:$G$128,7,FALSE),"NULL")</f>
        <v>20</v>
      </c>
      <c r="D88" s="612" t="s">
        <v>63</v>
      </c>
      <c r="E88" s="612" t="s">
        <v>63</v>
      </c>
      <c r="F88" s="612" t="s">
        <v>63</v>
      </c>
      <c r="G88" s="612" t="s">
        <v>63</v>
      </c>
      <c r="H88" s="671" t="s">
        <v>63</v>
      </c>
      <c r="I88" s="614">
        <f>VLOOKUP($A88,'MO Data'!$A$269:$B$392,2,FALSE)</f>
        <v>1</v>
      </c>
      <c r="J88" s="615" t="s">
        <v>63</v>
      </c>
      <c r="K88" s="672" t="s">
        <v>63</v>
      </c>
      <c r="L88" s="728">
        <f>VLOOKUP($A88,'MO Data'!$A$139:$B$261,2,FALSE)</f>
        <v>13</v>
      </c>
      <c r="M88" s="704" t="s">
        <v>63</v>
      </c>
      <c r="N88" s="612" t="s">
        <v>63</v>
      </c>
      <c r="O88" s="612" t="s">
        <v>63</v>
      </c>
      <c r="P88" s="952">
        <f>ifna(vlookup(A88,'Population &amp; Church Numbers'!$A$1486:$D$1600,4,FALSE),"NULL")</f>
        <v>10</v>
      </c>
      <c r="Q88" s="674" t="s">
        <v>63</v>
      </c>
    </row>
    <row r="89">
      <c r="A89" s="609" t="s">
        <v>1420</v>
      </c>
      <c r="B89" s="610">
        <f t="array" ref="B89">VLOOKUP($A89,MO_DEMO,2,FALSE)</f>
        <v>10355</v>
      </c>
      <c r="C89" s="611">
        <f>IFERROR(VLOOKUP($A89,'MO Data'!$A$4:$G$128,7,FALSE),"NULL")</f>
        <v>42</v>
      </c>
      <c r="D89" s="612" t="s">
        <v>63</v>
      </c>
      <c r="E89" s="612" t="s">
        <v>63</v>
      </c>
      <c r="F89" s="612" t="s">
        <v>63</v>
      </c>
      <c r="G89" s="612" t="s">
        <v>63</v>
      </c>
      <c r="H89" s="671" t="s">
        <v>63</v>
      </c>
      <c r="I89" s="614">
        <f>VLOOKUP($A89,'MO Data'!$A$269:$B$392,2,FALSE)</f>
        <v>3</v>
      </c>
      <c r="J89" s="615" t="s">
        <v>63</v>
      </c>
      <c r="K89" s="672" t="s">
        <v>63</v>
      </c>
      <c r="L89" s="728">
        <f>VLOOKUP($A89,'MO Data'!$A$139:$B$261,2,FALSE)</f>
        <v>9</v>
      </c>
      <c r="M89" s="704" t="s">
        <v>63</v>
      </c>
      <c r="N89" s="612" t="s">
        <v>63</v>
      </c>
      <c r="O89" s="612" t="s">
        <v>63</v>
      </c>
      <c r="P89" s="952">
        <f>ifna(vlookup(A89,'Population &amp; Church Numbers'!$A$1486:$D$1600,4,FALSE),"NULL")</f>
        <v>13</v>
      </c>
      <c r="Q89" s="674" t="s">
        <v>63</v>
      </c>
    </row>
    <row r="90">
      <c r="A90" s="609" t="s">
        <v>163</v>
      </c>
      <c r="B90" s="610">
        <f t="array" ref="B90">VLOOKUP($A90,MO_DEMO,2,FALSE)</f>
        <v>24716</v>
      </c>
      <c r="C90" s="611">
        <f>IFERROR(VLOOKUP($A90,'MO Data'!$A$4:$G$128,7,FALSE),"NULL")</f>
        <v>199</v>
      </c>
      <c r="D90" s="612" t="s">
        <v>63</v>
      </c>
      <c r="E90" s="612" t="s">
        <v>63</v>
      </c>
      <c r="F90" s="612" t="s">
        <v>63</v>
      </c>
      <c r="G90" s="612" t="s">
        <v>63</v>
      </c>
      <c r="H90" s="671" t="s">
        <v>63</v>
      </c>
      <c r="I90" s="614">
        <f>VLOOKUP($A90,'MO Data'!$A$269:$B$392,2,FALSE)</f>
        <v>2</v>
      </c>
      <c r="J90" s="615" t="s">
        <v>63</v>
      </c>
      <c r="K90" s="672" t="s">
        <v>63</v>
      </c>
      <c r="L90" s="728">
        <f>VLOOKUP($A90,'MO Data'!$A$139:$B$261,2,FALSE)</f>
        <v>38</v>
      </c>
      <c r="M90" s="704" t="s">
        <v>63</v>
      </c>
      <c r="N90" s="612" t="s">
        <v>63</v>
      </c>
      <c r="O90" s="612" t="s">
        <v>63</v>
      </c>
      <c r="P90" s="952">
        <f>ifna(vlookup(A90,'Population &amp; Church Numbers'!$A$1486:$D$1600,4,FALSE),"NULL")</f>
        <v>37</v>
      </c>
      <c r="Q90" s="674" t="s">
        <v>63</v>
      </c>
    </row>
    <row r="91">
      <c r="A91" s="609" t="s">
        <v>1421</v>
      </c>
      <c r="B91" s="610">
        <f t="array" ref="B91">VLOOKUP($A91,MO_DEMO,2,FALSE)</f>
        <v>23158</v>
      </c>
      <c r="C91" s="611">
        <f>IFERROR(VLOOKUP($A91,'MO Data'!$A$4:$G$128,7,FALSE),"NULL")</f>
        <v>24</v>
      </c>
      <c r="D91" s="612" t="s">
        <v>63</v>
      </c>
      <c r="E91" s="612" t="s">
        <v>63</v>
      </c>
      <c r="F91" s="612" t="s">
        <v>63</v>
      </c>
      <c r="G91" s="612" t="s">
        <v>63</v>
      </c>
      <c r="H91" s="671" t="s">
        <v>63</v>
      </c>
      <c r="I91" s="614">
        <f>VLOOKUP($A91,'MO Data'!$A$269:$B$392,2,FALSE)</f>
        <v>0</v>
      </c>
      <c r="J91" s="615" t="s">
        <v>63</v>
      </c>
      <c r="K91" s="672" t="s">
        <v>63</v>
      </c>
      <c r="L91" s="728">
        <f>VLOOKUP($A91,'MO Data'!$A$139:$B$261,2,FALSE)</f>
        <v>8</v>
      </c>
      <c r="M91" s="704" t="s">
        <v>63</v>
      </c>
      <c r="N91" s="612" t="s">
        <v>63</v>
      </c>
      <c r="O91" s="612" t="s">
        <v>63</v>
      </c>
      <c r="P91" s="952">
        <f>ifna(vlookup(A91,'Population &amp; Church Numbers'!$A$1486:$D$1600,4,FALSE),"NULL")</f>
        <v>32</v>
      </c>
      <c r="Q91" s="674" t="s">
        <v>63</v>
      </c>
    </row>
    <row r="92">
      <c r="A92" s="609" t="s">
        <v>1422</v>
      </c>
      <c r="B92" s="610">
        <f t="array" ref="B92">VLOOKUP($A92,MO_DEMO,2,FALSE)</f>
        <v>6096</v>
      </c>
      <c r="C92" s="611">
        <f>IFERROR(VLOOKUP($A92,'MO Data'!$A$4:$G$128,7,FALSE),"NULL")</f>
        <v>41</v>
      </c>
      <c r="D92" s="612" t="s">
        <v>63</v>
      </c>
      <c r="E92" s="612" t="s">
        <v>63</v>
      </c>
      <c r="F92" s="612" t="s">
        <v>63</v>
      </c>
      <c r="G92" s="612" t="s">
        <v>63</v>
      </c>
      <c r="H92" s="671" t="s">
        <v>63</v>
      </c>
      <c r="I92" s="614">
        <f>VLOOKUP($A92,'MO Data'!$A$269:$B$392,2,FALSE)</f>
        <v>0</v>
      </c>
      <c r="J92" s="615" t="s">
        <v>63</v>
      </c>
      <c r="K92" s="672" t="s">
        <v>63</v>
      </c>
      <c r="L92" s="728">
        <f>VLOOKUP($A92,'MO Data'!$A$139:$B$261,2,FALSE)</f>
        <v>11</v>
      </c>
      <c r="M92" s="704" t="s">
        <v>63</v>
      </c>
      <c r="N92" s="612" t="s">
        <v>63</v>
      </c>
      <c r="O92" s="612" t="s">
        <v>63</v>
      </c>
      <c r="P92" s="952">
        <f>ifna(vlookup(A92,'Population &amp; Church Numbers'!$A$1486:$D$1600,4,FALSE),"NULL")</f>
        <v>17</v>
      </c>
      <c r="Q92" s="674" t="s">
        <v>63</v>
      </c>
    </row>
    <row r="93">
      <c r="A93" s="609" t="s">
        <v>839</v>
      </c>
      <c r="B93" s="610">
        <f t="array" ref="B93">VLOOKUP($A93,MO_DEMO,2,FALSE)</f>
        <v>10679</v>
      </c>
      <c r="C93" s="611">
        <f>IFERROR(VLOOKUP($A93,'MO Data'!$A$4:$G$128,7,FALSE),"NULL")</f>
        <v>200</v>
      </c>
      <c r="D93" s="612" t="s">
        <v>63</v>
      </c>
      <c r="E93" s="612" t="s">
        <v>63</v>
      </c>
      <c r="F93" s="612" t="s">
        <v>63</v>
      </c>
      <c r="G93" s="612" t="s">
        <v>63</v>
      </c>
      <c r="H93" s="671" t="s">
        <v>63</v>
      </c>
      <c r="I93" s="614">
        <f>VLOOKUP($A93,'MO Data'!$A$269:$B$392,2,FALSE)</f>
        <v>6</v>
      </c>
      <c r="J93" s="615" t="s">
        <v>63</v>
      </c>
      <c r="K93" s="672" t="s">
        <v>63</v>
      </c>
      <c r="L93" s="728">
        <f>VLOOKUP($A93,'MO Data'!$A$139:$B$261,2,FALSE)</f>
        <v>15</v>
      </c>
      <c r="M93" s="704" t="s">
        <v>63</v>
      </c>
      <c r="N93" s="612" t="s">
        <v>63</v>
      </c>
      <c r="O93" s="612" t="s">
        <v>63</v>
      </c>
      <c r="P93" s="952">
        <f>ifna(vlookup(A93,'Population &amp; Church Numbers'!$A$1486:$D$1600,4,FALSE),"NULL")</f>
        <v>19</v>
      </c>
      <c r="Q93" s="674" t="s">
        <v>63</v>
      </c>
    </row>
    <row r="94">
      <c r="A94" s="609" t="s">
        <v>2825</v>
      </c>
      <c r="B94" s="610">
        <f t="array" ref="B94">VLOOKUP($A94,MO_DEMO,2,FALSE)</f>
        <v>405262</v>
      </c>
      <c r="C94" s="611">
        <f>IFERROR(VLOOKUP($A94,'MO Data'!$A$4:$G$128,7,FALSE),"NULL")</f>
        <v>359</v>
      </c>
      <c r="D94" s="612" t="s">
        <v>63</v>
      </c>
      <c r="E94" s="612" t="s">
        <v>63</v>
      </c>
      <c r="F94" s="612" t="s">
        <v>63</v>
      </c>
      <c r="G94" s="612" t="s">
        <v>63</v>
      </c>
      <c r="H94" s="671" t="s">
        <v>63</v>
      </c>
      <c r="I94" s="614">
        <f>VLOOKUP($A94,'MO Data'!$A$269:$B$392,2,FALSE)</f>
        <v>27</v>
      </c>
      <c r="J94" s="615" t="s">
        <v>63</v>
      </c>
      <c r="K94" s="672" t="s">
        <v>63</v>
      </c>
      <c r="L94" s="728">
        <f>VLOOKUP($A94,'MO Data'!$A$139:$B$261,2,FALSE)</f>
        <v>108</v>
      </c>
      <c r="M94" s="704" t="s">
        <v>63</v>
      </c>
      <c r="N94" s="612" t="s">
        <v>63</v>
      </c>
      <c r="O94" s="612" t="s">
        <v>63</v>
      </c>
      <c r="P94" s="952">
        <f>ifna(vlookup(A94,'Population &amp; Church Numbers'!$A$1486:$D$1600,4,FALSE),"NULL")</f>
        <v>164</v>
      </c>
      <c r="Q94" s="674" t="s">
        <v>63</v>
      </c>
    </row>
    <row r="95">
      <c r="A95" s="609" t="s">
        <v>768</v>
      </c>
      <c r="B95" s="610">
        <f t="array" ref="B95">VLOOKUP($A95,MO_DEMO,2,FALSE)</f>
        <v>9284</v>
      </c>
      <c r="C95" s="611">
        <f>IFERROR(VLOOKUP($A95,'MO Data'!$A$4:$G$128,7,FALSE),"NULL")</f>
        <v>27</v>
      </c>
      <c r="D95" s="612" t="s">
        <v>63</v>
      </c>
      <c r="E95" s="612" t="s">
        <v>63</v>
      </c>
      <c r="F95" s="612" t="s">
        <v>63</v>
      </c>
      <c r="G95" s="612" t="s">
        <v>63</v>
      </c>
      <c r="H95" s="671" t="s">
        <v>63</v>
      </c>
      <c r="I95" s="614">
        <f>VLOOKUP($A95,'MO Data'!$A$269:$B$392,2,FALSE)</f>
        <v>1</v>
      </c>
      <c r="J95" s="615" t="s">
        <v>63</v>
      </c>
      <c r="K95" s="672" t="s">
        <v>63</v>
      </c>
      <c r="L95" s="728">
        <f>VLOOKUP($A95,'MO Data'!$A$139:$B$261,2,FALSE)</f>
        <v>8</v>
      </c>
      <c r="M95" s="704" t="s">
        <v>63</v>
      </c>
      <c r="N95" s="612" t="s">
        <v>63</v>
      </c>
      <c r="O95" s="612" t="s">
        <v>63</v>
      </c>
      <c r="P95" s="952">
        <f>ifna(vlookup(A95,'Population &amp; Church Numbers'!$A$1486:$D$1600,4,FALSE),"NULL")</f>
        <v>12</v>
      </c>
      <c r="Q95" s="674" t="s">
        <v>63</v>
      </c>
    </row>
    <row r="96">
      <c r="A96" s="609" t="s">
        <v>3749</v>
      </c>
      <c r="B96" s="610">
        <f t="array" ref="B96">VLOOKUP($A96,MO_DEMO,2,FALSE)</f>
        <v>18479</v>
      </c>
      <c r="C96" s="611">
        <f>IFERROR(VLOOKUP($A96,'MO Data'!$A$4:$G$128,7,FALSE),"NULL")</f>
        <v>37</v>
      </c>
      <c r="D96" s="612" t="s">
        <v>63</v>
      </c>
      <c r="E96" s="612" t="s">
        <v>63</v>
      </c>
      <c r="F96" s="612" t="s">
        <v>63</v>
      </c>
      <c r="G96" s="612" t="s">
        <v>63</v>
      </c>
      <c r="H96" s="671" t="s">
        <v>63</v>
      </c>
      <c r="I96" s="614">
        <f>VLOOKUP($A96,'MO Data'!$A$269:$B$392,2,FALSE)</f>
        <v>6</v>
      </c>
      <c r="J96" s="615" t="s">
        <v>63</v>
      </c>
      <c r="K96" s="672" t="s">
        <v>63</v>
      </c>
      <c r="L96" s="728">
        <f>VLOOKUP($A96,'MO Data'!$A$139:$B$261,2,FALSE)</f>
        <v>19</v>
      </c>
      <c r="M96" s="704" t="s">
        <v>63</v>
      </c>
      <c r="N96" s="612" t="s">
        <v>63</v>
      </c>
      <c r="O96" s="612" t="s">
        <v>63</v>
      </c>
      <c r="P96" s="952">
        <f>ifna(vlookup(A96,'Population &amp; Church Numbers'!$A$1486:$D$1600,4,FALSE),"NULL")</f>
        <v>15</v>
      </c>
      <c r="Q96" s="674" t="s">
        <v>63</v>
      </c>
    </row>
    <row r="97">
      <c r="A97" s="609" t="s">
        <v>3750</v>
      </c>
      <c r="B97" s="610">
        <f t="array" ref="B97">VLOOKUP($A97,MO_DEMO,2,FALSE)</f>
        <v>66922</v>
      </c>
      <c r="C97" s="611">
        <f>IFERROR(VLOOKUP($A97,'MO Data'!$A$4:$G$128,7,FALSE),"NULL")</f>
        <v>442</v>
      </c>
      <c r="D97" s="612" t="s">
        <v>63</v>
      </c>
      <c r="E97" s="612" t="s">
        <v>63</v>
      </c>
      <c r="F97" s="612" t="s">
        <v>63</v>
      </c>
      <c r="G97" s="612" t="s">
        <v>63</v>
      </c>
      <c r="H97" s="671" t="s">
        <v>63</v>
      </c>
      <c r="I97" s="614">
        <f>VLOOKUP($A97,'MO Data'!$A$269:$B$392,2,FALSE)</f>
        <v>38</v>
      </c>
      <c r="J97" s="615" t="s">
        <v>63</v>
      </c>
      <c r="K97" s="672" t="s">
        <v>63</v>
      </c>
      <c r="L97" s="728">
        <f>VLOOKUP($A97,'MO Data'!$A$139:$B$261,2,FALSE)</f>
        <v>123</v>
      </c>
      <c r="M97" s="704" t="s">
        <v>63</v>
      </c>
      <c r="N97" s="612" t="s">
        <v>63</v>
      </c>
      <c r="O97" s="612" t="s">
        <v>63</v>
      </c>
      <c r="P97" s="952">
        <f>ifna(vlookup(A97,'Population &amp; Church Numbers'!$A$1486:$D$1600,4,FALSE),"NULL")</f>
        <v>77</v>
      </c>
      <c r="Q97" s="674" t="s">
        <v>63</v>
      </c>
    </row>
    <row r="98">
      <c r="A98" s="609" t="s">
        <v>409</v>
      </c>
      <c r="B98" s="610">
        <f t="array" ref="B98">VLOOKUP($A98,MO_DEMO,2,FALSE)</f>
        <v>1004125</v>
      </c>
      <c r="C98" s="611">
        <f>IFERROR(VLOOKUP($A98,'MO Data'!$A$4:$G$128,7,FALSE),"NULL")</f>
        <v>1463</v>
      </c>
      <c r="D98" s="612" t="s">
        <v>63</v>
      </c>
      <c r="E98" s="612" t="s">
        <v>63</v>
      </c>
      <c r="F98" s="612" t="s">
        <v>63</v>
      </c>
      <c r="G98" s="612" t="s">
        <v>63</v>
      </c>
      <c r="H98" s="671" t="s">
        <v>63</v>
      </c>
      <c r="I98" s="614">
        <f>VLOOKUP($A98,'MO Data'!$A$269:$B$392,2,FALSE)</f>
        <v>58</v>
      </c>
      <c r="J98" s="615" t="s">
        <v>63</v>
      </c>
      <c r="K98" s="672" t="s">
        <v>63</v>
      </c>
      <c r="L98" s="728">
        <f>VLOOKUP($A98,'MO Data'!$A$139:$B$261,2,FALSE)</f>
        <v>179</v>
      </c>
      <c r="M98" s="704" t="s">
        <v>63</v>
      </c>
      <c r="N98" s="612" t="s">
        <v>63</v>
      </c>
      <c r="O98" s="612" t="s">
        <v>63</v>
      </c>
      <c r="P98" s="952">
        <f>ifna(vlookup(A98,'Population &amp; Church Numbers'!$A$1486:$D$1600,4,FALSE),"NULL")</f>
        <v>593</v>
      </c>
      <c r="Q98" s="674" t="s">
        <v>63</v>
      </c>
    </row>
    <row r="99">
      <c r="A99" s="609" t="s">
        <v>3751</v>
      </c>
      <c r="B99" s="610">
        <f t="array" ref="B99">VLOOKUP($A99,MO_DEMO,2,FALSE)</f>
        <v>301578</v>
      </c>
      <c r="C99" s="611">
        <f>IFERROR(VLOOKUP($A99,'MO Data'!$A$4:$G$128,7,FALSE),"NULL")</f>
        <v>920</v>
      </c>
      <c r="D99" s="612" t="s">
        <v>63</v>
      </c>
      <c r="E99" s="612" t="s">
        <v>63</v>
      </c>
      <c r="F99" s="612" t="s">
        <v>63</v>
      </c>
      <c r="G99" s="612" t="s">
        <v>63</v>
      </c>
      <c r="H99" s="671" t="s">
        <v>63</v>
      </c>
      <c r="I99" s="614">
        <f>VLOOKUP($A99,'MO Data'!$A$269:$B$392,2,FALSE)</f>
        <v>47</v>
      </c>
      <c r="J99" s="615" t="s">
        <v>63</v>
      </c>
      <c r="K99" s="672" t="s">
        <v>63</v>
      </c>
      <c r="L99" s="728">
        <f>VLOOKUP($A99,'MO Data'!$A$139:$B$261,2,FALSE)</f>
        <v>150</v>
      </c>
      <c r="M99" s="704" t="s">
        <v>63</v>
      </c>
      <c r="N99" s="612" t="s">
        <v>63</v>
      </c>
      <c r="O99" s="612" t="s">
        <v>63</v>
      </c>
      <c r="P99" s="952">
        <f>ifna(vlookup(A99,'Population &amp; Church Numbers'!$A$1486:$D$1600,4,FALSE),"NULL")</f>
        <v>349</v>
      </c>
      <c r="Q99" s="674" t="s">
        <v>63</v>
      </c>
    </row>
    <row r="100">
      <c r="A100" s="609" t="s">
        <v>308</v>
      </c>
      <c r="B100" s="610">
        <f t="array" ref="B100">VLOOKUP($A100,MO_DEMO,2,FALSE)</f>
        <v>23333</v>
      </c>
      <c r="C100" s="611">
        <f>IFERROR(VLOOKUP($A100,'MO Data'!$A$4:$G$128,7,FALSE),"NULL")</f>
        <v>75</v>
      </c>
      <c r="D100" s="612" t="s">
        <v>63</v>
      </c>
      <c r="E100" s="612" t="s">
        <v>63</v>
      </c>
      <c r="F100" s="612" t="s">
        <v>63</v>
      </c>
      <c r="G100" s="612" t="s">
        <v>63</v>
      </c>
      <c r="H100" s="671" t="s">
        <v>63</v>
      </c>
      <c r="I100" s="614">
        <f>VLOOKUP($A100,'MO Data'!$A$269:$B$392,2,FALSE)</f>
        <v>2</v>
      </c>
      <c r="J100" s="615" t="s">
        <v>63</v>
      </c>
      <c r="K100" s="672" t="s">
        <v>63</v>
      </c>
      <c r="L100" s="728">
        <f>VLOOKUP($A100,'MO Data'!$A$139:$B$261,2,FALSE)</f>
        <v>33</v>
      </c>
      <c r="M100" s="704" t="s">
        <v>63</v>
      </c>
      <c r="N100" s="612" t="s">
        <v>63</v>
      </c>
      <c r="O100" s="612" t="s">
        <v>63</v>
      </c>
      <c r="P100" s="952">
        <f>ifna(vlookup(A100,'Population &amp; Church Numbers'!$A$1486:$D$1600,4,FALSE),"NULL")</f>
        <v>39</v>
      </c>
      <c r="Q100" s="674" t="s">
        <v>63</v>
      </c>
    </row>
    <row r="101">
      <c r="A101" s="609" t="s">
        <v>746</v>
      </c>
      <c r="B101" s="610">
        <f t="array" ref="B101">VLOOKUP($A101,MO_DEMO,2,FALSE)</f>
        <v>4032</v>
      </c>
      <c r="C101" s="611">
        <f>IFERROR(VLOOKUP($A101,'MO Data'!$A$4:$G$128,7,FALSE),"NULL")</f>
        <v>20</v>
      </c>
      <c r="D101" s="612" t="s">
        <v>63</v>
      </c>
      <c r="E101" s="612" t="s">
        <v>63</v>
      </c>
      <c r="F101" s="612" t="s">
        <v>63</v>
      </c>
      <c r="G101" s="612" t="s">
        <v>63</v>
      </c>
      <c r="H101" s="671" t="s">
        <v>63</v>
      </c>
      <c r="I101" s="614">
        <f>VLOOKUP($A101,'MO Data'!$A$269:$B$392,2,FALSE)</f>
        <v>1</v>
      </c>
      <c r="J101" s="615" t="s">
        <v>63</v>
      </c>
      <c r="K101" s="672" t="s">
        <v>63</v>
      </c>
      <c r="L101" s="728">
        <f>VLOOKUP($A101,'MO Data'!$A$139:$B$261,2,FALSE)</f>
        <v>4</v>
      </c>
      <c r="M101" s="704" t="s">
        <v>63</v>
      </c>
      <c r="N101" s="612" t="s">
        <v>63</v>
      </c>
      <c r="O101" s="612" t="s">
        <v>63</v>
      </c>
      <c r="P101" s="952">
        <f>ifna(vlookup(A101,'Population &amp; Church Numbers'!$A$1486:$D$1600,4,FALSE),"NULL")</f>
        <v>8</v>
      </c>
      <c r="Q101" s="674" t="s">
        <v>63</v>
      </c>
    </row>
    <row r="102">
      <c r="A102" s="609" t="s">
        <v>1425</v>
      </c>
      <c r="B102" s="610">
        <f t="array" ref="B102">VLOOKUP($A102,MO_DEMO,2,FALSE)</f>
        <v>4716</v>
      </c>
      <c r="C102" s="611">
        <f>IFERROR(VLOOKUP($A102,'MO Data'!$A$4:$G$128,7,FALSE),"NULL")</f>
        <v>18</v>
      </c>
      <c r="D102" s="612" t="s">
        <v>63</v>
      </c>
      <c r="E102" s="612" t="s">
        <v>63</v>
      </c>
      <c r="F102" s="612" t="s">
        <v>63</v>
      </c>
      <c r="G102" s="612" t="s">
        <v>63</v>
      </c>
      <c r="H102" s="671" t="s">
        <v>63</v>
      </c>
      <c r="I102" s="614">
        <f>VLOOKUP($A102,'MO Data'!$A$269:$B$392,2,FALSE)</f>
        <v>0</v>
      </c>
      <c r="J102" s="615" t="s">
        <v>63</v>
      </c>
      <c r="K102" s="672" t="s">
        <v>63</v>
      </c>
      <c r="L102" s="728">
        <f>VLOOKUP($A102,'MO Data'!$A$139:$B$261,2,FALSE)</f>
        <v>15</v>
      </c>
      <c r="M102" s="704" t="s">
        <v>63</v>
      </c>
      <c r="N102" s="612" t="s">
        <v>63</v>
      </c>
      <c r="O102" s="612" t="s">
        <v>63</v>
      </c>
      <c r="P102" s="952">
        <f>ifna(vlookup(A102,'Population &amp; Church Numbers'!$A$1486:$D$1600,4,FALSE),"NULL")</f>
        <v>7</v>
      </c>
      <c r="Q102" s="674" t="s">
        <v>63</v>
      </c>
    </row>
    <row r="103">
      <c r="A103" s="609" t="s">
        <v>309</v>
      </c>
      <c r="B103" s="610">
        <f t="array" ref="B103">VLOOKUP($A103,MO_DEMO,2,FALSE)</f>
        <v>38059</v>
      </c>
      <c r="C103" s="611">
        <f>IFERROR(VLOOKUP($A103,'MO Data'!$A$4:$G$128,7,FALSE),"NULL")</f>
        <v>185</v>
      </c>
      <c r="D103" s="612" t="s">
        <v>63</v>
      </c>
      <c r="E103" s="612" t="s">
        <v>63</v>
      </c>
      <c r="F103" s="612" t="s">
        <v>63</v>
      </c>
      <c r="G103" s="612" t="s">
        <v>63</v>
      </c>
      <c r="H103" s="671" t="s">
        <v>63</v>
      </c>
      <c r="I103" s="614">
        <f>VLOOKUP($A103,'MO Data'!$A$269:$B$392,2,FALSE)</f>
        <v>1</v>
      </c>
      <c r="J103" s="615" t="s">
        <v>63</v>
      </c>
      <c r="K103" s="672" t="s">
        <v>63</v>
      </c>
      <c r="L103" s="728">
        <f>VLOOKUP($A103,'MO Data'!$A$139:$B$261,2,FALSE)</f>
        <v>78</v>
      </c>
      <c r="M103" s="704" t="s">
        <v>63</v>
      </c>
      <c r="N103" s="612" t="s">
        <v>63</v>
      </c>
      <c r="O103" s="612" t="s">
        <v>63</v>
      </c>
      <c r="P103" s="952">
        <f>ifna(vlookup(A103,'Population &amp; Church Numbers'!$A$1486:$D$1600,4,FALSE),"NULL")</f>
        <v>65</v>
      </c>
      <c r="Q103" s="674" t="s">
        <v>63</v>
      </c>
    </row>
    <row r="104">
      <c r="A104" s="609" t="s">
        <v>1426</v>
      </c>
      <c r="B104" s="610">
        <f t="array" ref="B104">VLOOKUP($A104,MO_DEMO,2,FALSE)</f>
        <v>7031</v>
      </c>
      <c r="C104" s="611">
        <f>IFERROR(VLOOKUP($A104,'MO Data'!$A$4:$G$128,7,FALSE),"NULL")</f>
        <v>25</v>
      </c>
      <c r="D104" s="612" t="s">
        <v>63</v>
      </c>
      <c r="E104" s="612" t="s">
        <v>63</v>
      </c>
      <c r="F104" s="612" t="s">
        <v>63</v>
      </c>
      <c r="G104" s="612" t="s">
        <v>63</v>
      </c>
      <c r="H104" s="671" t="s">
        <v>63</v>
      </c>
      <c r="I104" s="614">
        <f>VLOOKUP($A104,'MO Data'!$A$269:$B$392,2,FALSE)</f>
        <v>0</v>
      </c>
      <c r="J104" s="615" t="s">
        <v>63</v>
      </c>
      <c r="K104" s="672" t="s">
        <v>63</v>
      </c>
      <c r="L104" s="728">
        <f>VLOOKUP($A104,'MO Data'!$A$139:$B$261,2,FALSE)</f>
        <v>14</v>
      </c>
      <c r="M104" s="704" t="s">
        <v>63</v>
      </c>
      <c r="N104" s="612" t="s">
        <v>63</v>
      </c>
      <c r="O104" s="612" t="s">
        <v>63</v>
      </c>
      <c r="P104" s="952">
        <f>ifna(vlookup(A104,'Population &amp; Church Numbers'!$A$1486:$D$1600,4,FALSE),"NULL")</f>
        <v>9</v>
      </c>
      <c r="Q104" s="674" t="s">
        <v>63</v>
      </c>
    </row>
    <row r="105">
      <c r="A105" s="609" t="s">
        <v>168</v>
      </c>
      <c r="B105" s="610">
        <f t="array" ref="B105">VLOOKUP($A105,MO_DEMO,2,FALSE)</f>
        <v>6103</v>
      </c>
      <c r="C105" s="611">
        <f>IFERROR(VLOOKUP($A105,'MO Data'!$A$4:$G$128,7,FALSE),"NULL")</f>
        <v>35</v>
      </c>
      <c r="D105" s="612" t="s">
        <v>63</v>
      </c>
      <c r="E105" s="612" t="s">
        <v>63</v>
      </c>
      <c r="F105" s="612" t="s">
        <v>63</v>
      </c>
      <c r="G105" s="612" t="s">
        <v>63</v>
      </c>
      <c r="H105" s="671" t="s">
        <v>63</v>
      </c>
      <c r="I105" s="614">
        <f>VLOOKUP($A105,'MO Data'!$A$269:$B$392,2,FALSE)</f>
        <v>0</v>
      </c>
      <c r="J105" s="615" t="s">
        <v>63</v>
      </c>
      <c r="K105" s="672" t="s">
        <v>63</v>
      </c>
      <c r="L105" s="728">
        <f>VLOOKUP($A105,'MO Data'!$A$139:$B$261,2,FALSE)</f>
        <v>12</v>
      </c>
      <c r="M105" s="704" t="s">
        <v>63</v>
      </c>
      <c r="N105" s="612" t="s">
        <v>63</v>
      </c>
      <c r="O105" s="612" t="s">
        <v>63</v>
      </c>
      <c r="P105" s="952">
        <f>ifna(vlookup(A105,'Population &amp; Church Numbers'!$A$1486:$D$1600,4,FALSE),"NULL")</f>
        <v>12</v>
      </c>
      <c r="Q105" s="674" t="s">
        <v>63</v>
      </c>
    </row>
    <row r="106">
      <c r="A106" s="609" t="s">
        <v>1427</v>
      </c>
      <c r="B106" s="610">
        <f t="array" ref="B106">VLOOKUP($A106,MO_DEMO,2,FALSE)</f>
        <v>28672</v>
      </c>
      <c r="C106" s="611">
        <f>IFERROR(VLOOKUP($A106,'MO Data'!$A$4:$G$128,7,FALSE),"NULL")</f>
        <v>288</v>
      </c>
      <c r="D106" s="612" t="s">
        <v>63</v>
      </c>
      <c r="E106" s="612" t="s">
        <v>63</v>
      </c>
      <c r="F106" s="612" t="s">
        <v>63</v>
      </c>
      <c r="G106" s="612" t="s">
        <v>63</v>
      </c>
      <c r="H106" s="671" t="s">
        <v>63</v>
      </c>
      <c r="I106" s="614">
        <f>VLOOKUP($A106,'MO Data'!$A$269:$B$392,2,FALSE)</f>
        <v>4</v>
      </c>
      <c r="J106" s="615" t="s">
        <v>63</v>
      </c>
      <c r="K106" s="672" t="s">
        <v>63</v>
      </c>
      <c r="L106" s="728">
        <f>VLOOKUP($A106,'MO Data'!$A$139:$B$261,2,FALSE)</f>
        <v>89</v>
      </c>
      <c r="M106" s="704" t="s">
        <v>63</v>
      </c>
      <c r="N106" s="612" t="s">
        <v>63</v>
      </c>
      <c r="O106" s="612" t="s">
        <v>63</v>
      </c>
      <c r="P106" s="952">
        <f>ifna(vlookup(A106,'Population &amp; Church Numbers'!$A$1486:$D$1600,4,FALSE),"NULL")</f>
        <v>53</v>
      </c>
      <c r="Q106" s="674" t="s">
        <v>63</v>
      </c>
    </row>
    <row r="107">
      <c r="A107" s="609" t="s">
        <v>315</v>
      </c>
      <c r="B107" s="610">
        <f t="array" ref="B107">VLOOKUP($A107,MO_DEMO,2,FALSE)</f>
        <v>31076</v>
      </c>
      <c r="C107" s="611">
        <f>IFERROR(VLOOKUP($A107,'MO Data'!$A$4:$G$128,7,FALSE),"NULL")</f>
        <v>145</v>
      </c>
      <c r="D107" s="612" t="s">
        <v>63</v>
      </c>
      <c r="E107" s="612" t="s">
        <v>63</v>
      </c>
      <c r="F107" s="612" t="s">
        <v>63</v>
      </c>
      <c r="G107" s="612" t="s">
        <v>63</v>
      </c>
      <c r="H107" s="671" t="s">
        <v>63</v>
      </c>
      <c r="I107" s="614">
        <f>VLOOKUP($A107,'MO Data'!$A$269:$B$392,2,FALSE)</f>
        <v>17</v>
      </c>
      <c r="J107" s="615" t="s">
        <v>63</v>
      </c>
      <c r="K107" s="672" t="s">
        <v>63</v>
      </c>
      <c r="L107" s="728">
        <f>VLOOKUP($A107,'MO Data'!$A$139:$B$261,2,FALSE)</f>
        <v>25</v>
      </c>
      <c r="M107" s="704" t="s">
        <v>63</v>
      </c>
      <c r="N107" s="612" t="s">
        <v>63</v>
      </c>
      <c r="O107" s="612" t="s">
        <v>63</v>
      </c>
      <c r="P107" s="952">
        <f>ifna(vlookup(A107,'Population &amp; Church Numbers'!$A$1486:$D$1600,4,FALSE),"NULL")</f>
        <v>43</v>
      </c>
      <c r="Q107" s="674" t="s">
        <v>63</v>
      </c>
    </row>
    <row r="108">
      <c r="A108" s="609" t="s">
        <v>860</v>
      </c>
      <c r="B108" s="610">
        <f t="array" ref="B108">VLOOKUP($A108,MO_DEMO,2,FALSE)</f>
        <v>5999</v>
      </c>
      <c r="C108" s="611">
        <f>IFERROR(VLOOKUP($A108,'MO Data'!$A$4:$G$128,7,FALSE),"NULL")</f>
        <v>49</v>
      </c>
      <c r="D108" s="612" t="s">
        <v>63</v>
      </c>
      <c r="E108" s="612" t="s">
        <v>63</v>
      </c>
      <c r="F108" s="612" t="s">
        <v>63</v>
      </c>
      <c r="G108" s="612" t="s">
        <v>63</v>
      </c>
      <c r="H108" s="671" t="s">
        <v>63</v>
      </c>
      <c r="I108" s="614">
        <f>VLOOKUP($A108,'MO Data'!$A$269:$B$392,2,FALSE)</f>
        <v>0</v>
      </c>
      <c r="J108" s="615" t="s">
        <v>63</v>
      </c>
      <c r="K108" s="672" t="s">
        <v>63</v>
      </c>
      <c r="L108" s="728">
        <f>VLOOKUP($A108,'MO Data'!$A$139:$B$261,2,FALSE)</f>
        <v>19</v>
      </c>
      <c r="M108" s="704" t="s">
        <v>63</v>
      </c>
      <c r="N108" s="612" t="s">
        <v>63</v>
      </c>
      <c r="O108" s="612" t="s">
        <v>63</v>
      </c>
      <c r="P108" s="952">
        <f>ifna(vlookup(A108,'Population &amp; Church Numbers'!$A$1486:$D$1600,4,FALSE),"NULL")</f>
        <v>13</v>
      </c>
      <c r="Q108" s="674" t="s">
        <v>63</v>
      </c>
    </row>
    <row r="109">
      <c r="A109" s="609" t="s">
        <v>1428</v>
      </c>
      <c r="B109" s="610">
        <f t="array" ref="B109">VLOOKUP($A109,MO_DEMO,2,FALSE)</f>
        <v>56066</v>
      </c>
      <c r="C109" s="611">
        <f>IFERROR(VLOOKUP($A109,'MO Data'!$A$4:$G$128,7,FALSE),"NULL")</f>
        <v>424</v>
      </c>
      <c r="D109" s="612" t="s">
        <v>63</v>
      </c>
      <c r="E109" s="612" t="s">
        <v>63</v>
      </c>
      <c r="F109" s="612" t="s">
        <v>63</v>
      </c>
      <c r="G109" s="612" t="s">
        <v>63</v>
      </c>
      <c r="H109" s="671" t="s">
        <v>63</v>
      </c>
      <c r="I109" s="614">
        <f>VLOOKUP($A109,'MO Data'!$A$269:$B$392,2,FALSE)</f>
        <v>21</v>
      </c>
      <c r="J109" s="615" t="s">
        <v>63</v>
      </c>
      <c r="K109" s="672" t="s">
        <v>63</v>
      </c>
      <c r="L109" s="728">
        <f>VLOOKUP($A109,'MO Data'!$A$139:$B$261,2,FALSE)</f>
        <v>110</v>
      </c>
      <c r="M109" s="704" t="s">
        <v>63</v>
      </c>
      <c r="N109" s="612" t="s">
        <v>63</v>
      </c>
      <c r="O109" s="612" t="s">
        <v>63</v>
      </c>
      <c r="P109" s="952">
        <f>ifna(vlookup(A109,'Population &amp; Church Numbers'!$A$1486:$D$1600,4,FALSE),"NULL")</f>
        <v>68</v>
      </c>
      <c r="Q109" s="674" t="s">
        <v>63</v>
      </c>
    </row>
    <row r="110">
      <c r="A110" s="609" t="s">
        <v>113</v>
      </c>
      <c r="B110" s="610">
        <f t="array" ref="B110">VLOOKUP($A110,MO_DEMO,2,FALSE)</f>
        <v>24487</v>
      </c>
      <c r="C110" s="611">
        <f>IFERROR(VLOOKUP($A110,'MO Data'!$A$4:$G$128,7,FALSE),"NULL")</f>
        <v>156</v>
      </c>
      <c r="D110" s="612" t="s">
        <v>63</v>
      </c>
      <c r="E110" s="612" t="s">
        <v>63</v>
      </c>
      <c r="F110" s="612" t="s">
        <v>63</v>
      </c>
      <c r="G110" s="612" t="s">
        <v>63</v>
      </c>
      <c r="H110" s="671" t="s">
        <v>63</v>
      </c>
      <c r="I110" s="614">
        <f>VLOOKUP($A110,'MO Data'!$A$269:$B$392,2,FALSE)</f>
        <v>6</v>
      </c>
      <c r="J110" s="615" t="s">
        <v>63</v>
      </c>
      <c r="K110" s="672" t="s">
        <v>63</v>
      </c>
      <c r="L110" s="728">
        <f>VLOOKUP($A110,'MO Data'!$A$139:$B$261,2,FALSE)</f>
        <v>32</v>
      </c>
      <c r="M110" s="704" t="s">
        <v>63</v>
      </c>
      <c r="N110" s="612" t="s">
        <v>63</v>
      </c>
      <c r="O110" s="612" t="s">
        <v>63</v>
      </c>
      <c r="P110" s="952">
        <f>ifna(vlookup(A110,'Population &amp; Church Numbers'!$A$1486:$D$1600,4,FALSE),"NULL")</f>
        <v>44</v>
      </c>
      <c r="Q110" s="674" t="s">
        <v>63</v>
      </c>
    </row>
    <row r="111">
      <c r="A111" s="609" t="s">
        <v>1181</v>
      </c>
      <c r="B111" s="610">
        <f t="array" ref="B111">VLOOKUP($A111,MO_DEMO,2,FALSE)</f>
        <v>19707</v>
      </c>
      <c r="C111" s="611">
        <f>IFERROR(VLOOKUP($A111,'MO Data'!$A$4:$G$128,7,FALSE),"NULL")</f>
        <v>39</v>
      </c>
      <c r="D111" s="612" t="s">
        <v>63</v>
      </c>
      <c r="E111" s="612" t="s">
        <v>63</v>
      </c>
      <c r="F111" s="612" t="s">
        <v>63</v>
      </c>
      <c r="G111" s="612" t="s">
        <v>63</v>
      </c>
      <c r="H111" s="671" t="s">
        <v>63</v>
      </c>
      <c r="I111" s="614">
        <f>VLOOKUP($A111,'MO Data'!$A$269:$B$392,2,FALSE)</f>
        <v>1</v>
      </c>
      <c r="J111" s="615" t="s">
        <v>63</v>
      </c>
      <c r="K111" s="672" t="s">
        <v>63</v>
      </c>
      <c r="L111" s="728">
        <f>VLOOKUP($A111,'MO Data'!$A$139:$B$261,2,FALSE)</f>
        <v>26</v>
      </c>
      <c r="M111" s="704" t="s">
        <v>63</v>
      </c>
      <c r="N111" s="612" t="s">
        <v>63</v>
      </c>
      <c r="O111" s="612" t="s">
        <v>63</v>
      </c>
      <c r="P111" s="952">
        <f>ifna(vlookup(A111,'Population &amp; Church Numbers'!$A$1486:$D$1600,4,FALSE),"NULL")</f>
        <v>29</v>
      </c>
      <c r="Q111" s="674" t="s">
        <v>63</v>
      </c>
    </row>
    <row r="112">
      <c r="A112" s="609" t="s">
        <v>647</v>
      </c>
      <c r="B112" s="610">
        <f t="array" ref="B112">VLOOKUP($A112,MO_DEMO,2,FALSE)</f>
        <v>35532</v>
      </c>
      <c r="C112" s="611">
        <f>IFERROR(VLOOKUP($A112,'MO Data'!$A$4:$G$128,7,FALSE),"NULL")</f>
        <v>103</v>
      </c>
      <c r="D112" s="612" t="s">
        <v>63</v>
      </c>
      <c r="E112" s="612" t="s">
        <v>63</v>
      </c>
      <c r="F112" s="612" t="s">
        <v>63</v>
      </c>
      <c r="G112" s="612" t="s">
        <v>63</v>
      </c>
      <c r="H112" s="671" t="s">
        <v>63</v>
      </c>
      <c r="I112" s="614">
        <f>VLOOKUP($A112,'MO Data'!$A$269:$B$392,2,FALSE)</f>
        <v>3</v>
      </c>
      <c r="J112" s="615" t="s">
        <v>63</v>
      </c>
      <c r="K112" s="672" t="s">
        <v>63</v>
      </c>
      <c r="L112" s="728">
        <f>VLOOKUP($A112,'MO Data'!$A$139:$B$261,2,FALSE)</f>
        <v>57</v>
      </c>
      <c r="M112" s="704" t="s">
        <v>63</v>
      </c>
      <c r="N112" s="612" t="s">
        <v>63</v>
      </c>
      <c r="O112" s="612" t="s">
        <v>63</v>
      </c>
      <c r="P112" s="952">
        <f>ifna(vlookup(A112,'Population &amp; Church Numbers'!$A$1486:$D$1600,4,FALSE),"NULL")</f>
        <v>28</v>
      </c>
      <c r="Q112" s="674" t="s">
        <v>63</v>
      </c>
    </row>
    <row r="113">
      <c r="A113" s="609" t="s">
        <v>119</v>
      </c>
      <c r="B113" s="610">
        <f t="array" ref="B113">VLOOKUP($A113,MO_DEMO,2,FALSE)</f>
        <v>23514</v>
      </c>
      <c r="C113" s="611">
        <f>IFERROR(VLOOKUP($A113,'MO Data'!$A$4:$G$128,7,FALSE),"NULL")</f>
        <v>184</v>
      </c>
      <c r="D113" s="612" t="s">
        <v>63</v>
      </c>
      <c r="E113" s="612" t="s">
        <v>63</v>
      </c>
      <c r="F113" s="612" t="s">
        <v>63</v>
      </c>
      <c r="G113" s="612" t="s">
        <v>63</v>
      </c>
      <c r="H113" s="671" t="s">
        <v>63</v>
      </c>
      <c r="I113" s="614">
        <f>VLOOKUP($A113,'MO Data'!$A$269:$B$392,2,FALSE)</f>
        <v>24</v>
      </c>
      <c r="J113" s="615" t="s">
        <v>63</v>
      </c>
      <c r="K113" s="672" t="s">
        <v>63</v>
      </c>
      <c r="L113" s="728">
        <f>VLOOKUP($A113,'MO Data'!$A$139:$B$261,2,FALSE)</f>
        <v>43</v>
      </c>
      <c r="M113" s="704" t="s">
        <v>63</v>
      </c>
      <c r="N113" s="612" t="s">
        <v>63</v>
      </c>
      <c r="O113" s="612" t="s">
        <v>63</v>
      </c>
      <c r="P113" s="952">
        <f>ifna(vlookup(A113,'Population &amp; Church Numbers'!$A$1486:$D$1600,4,FALSE),"NULL")</f>
        <v>39</v>
      </c>
      <c r="Q113" s="674" t="s">
        <v>63</v>
      </c>
    </row>
    <row r="114">
      <c r="A114" s="609" t="s">
        <v>273</v>
      </c>
      <c r="B114" s="610">
        <f t="array" ref="B114">VLOOKUP($A114,MO_DEMO,2,FALSE)</f>
        <v>10974</v>
      </c>
      <c r="C114" s="611">
        <f>IFERROR(VLOOKUP($A114,'MO Data'!$A$4:$G$128,7,FALSE),"NULL")</f>
        <v>95</v>
      </c>
      <c r="D114" s="612" t="s">
        <v>63</v>
      </c>
      <c r="E114" s="612" t="s">
        <v>63</v>
      </c>
      <c r="F114" s="612" t="s">
        <v>63</v>
      </c>
      <c r="G114" s="612" t="s">
        <v>63</v>
      </c>
      <c r="H114" s="671" t="s">
        <v>63</v>
      </c>
      <c r="I114" s="614">
        <f>VLOOKUP($A114,'MO Data'!$A$269:$B$392,2,FALSE)</f>
        <v>5</v>
      </c>
      <c r="J114" s="615" t="s">
        <v>63</v>
      </c>
      <c r="K114" s="672" t="s">
        <v>63</v>
      </c>
      <c r="L114" s="728">
        <f>VLOOKUP($A114,'MO Data'!$A$139:$B$261,2,FALSE)</f>
        <v>24</v>
      </c>
      <c r="M114" s="704" t="s">
        <v>63</v>
      </c>
      <c r="N114" s="612" t="s">
        <v>63</v>
      </c>
      <c r="O114" s="612" t="s">
        <v>63</v>
      </c>
      <c r="P114" s="952">
        <f>ifna(vlookup(A114,'Population &amp; Church Numbers'!$A$1486:$D$1600,4,FALSE),"NULL")</f>
        <v>23</v>
      </c>
      <c r="Q114" s="674" t="s">
        <v>63</v>
      </c>
    </row>
    <row r="115">
      <c r="A115" s="609" t="s">
        <v>648</v>
      </c>
      <c r="B115" s="610">
        <f t="array" ref="B115">VLOOKUP($A115,MO_DEMO,2,FALSE)</f>
        <v>39085</v>
      </c>
      <c r="C115" s="611">
        <f>IFERROR(VLOOKUP($A115,'MO Data'!$A$4:$G$128,7,FALSE),"NULL")</f>
        <v>217</v>
      </c>
      <c r="D115" s="612" t="s">
        <v>63</v>
      </c>
      <c r="E115" s="612" t="s">
        <v>63</v>
      </c>
      <c r="F115" s="612" t="s">
        <v>63</v>
      </c>
      <c r="G115" s="612" t="s">
        <v>63</v>
      </c>
      <c r="H115" s="671" t="s">
        <v>63</v>
      </c>
      <c r="I115" s="614">
        <f>VLOOKUP($A115,'MO Data'!$A$269:$B$392,2,FALSE)</f>
        <v>11</v>
      </c>
      <c r="J115" s="615" t="s">
        <v>63</v>
      </c>
      <c r="K115" s="672" t="s">
        <v>63</v>
      </c>
      <c r="L115" s="728">
        <f>VLOOKUP($A115,'MO Data'!$A$139:$B$261,2,FALSE)</f>
        <v>50</v>
      </c>
      <c r="M115" s="704" t="s">
        <v>63</v>
      </c>
      <c r="N115" s="612" t="s">
        <v>63</v>
      </c>
      <c r="O115" s="612" t="s">
        <v>63</v>
      </c>
      <c r="P115" s="952">
        <f>ifna(vlookup(A115,'Population &amp; Church Numbers'!$A$1486:$D$1600,4,FALSE),"NULL")</f>
        <v>35</v>
      </c>
      <c r="Q115" s="674" t="s">
        <v>63</v>
      </c>
    </row>
    <row r="116">
      <c r="A116" s="609" t="s">
        <v>655</v>
      </c>
      <c r="B116" s="610">
        <f t="array" ref="B116">VLOOKUP($A116,MO_DEMO,2,FALSE)</f>
        <v>1973</v>
      </c>
      <c r="C116" s="611">
        <f>IFERROR(VLOOKUP($A116,'MO Data'!$A$4:$G$128,7,FALSE),"NULL")</f>
        <v>15</v>
      </c>
      <c r="D116" s="612" t="s">
        <v>63</v>
      </c>
      <c r="E116" s="612" t="s">
        <v>63</v>
      </c>
      <c r="F116" s="612" t="s">
        <v>63</v>
      </c>
      <c r="G116" s="612" t="s">
        <v>63</v>
      </c>
      <c r="H116" s="671" t="s">
        <v>63</v>
      </c>
      <c r="I116" s="614">
        <f>VLOOKUP($A116,'MO Data'!$A$269:$B$392,2,FALSE)</f>
        <v>0</v>
      </c>
      <c r="J116" s="615" t="s">
        <v>63</v>
      </c>
      <c r="K116" s="672" t="s">
        <v>63</v>
      </c>
      <c r="L116" s="728">
        <f>VLOOKUP($A116,'MO Data'!$A$139:$B$261,2,FALSE)</f>
        <v>2</v>
      </c>
      <c r="M116" s="704" t="s">
        <v>63</v>
      </c>
      <c r="N116" s="612" t="s">
        <v>63</v>
      </c>
      <c r="O116" s="612" t="s">
        <v>63</v>
      </c>
      <c r="P116" s="952">
        <f>ifna(vlookup(A116,'Population &amp; Church Numbers'!$A$1486:$D$1600,4,FALSE),"NULL")</f>
        <v>2</v>
      </c>
      <c r="Q116" s="674" t="s">
        <v>63</v>
      </c>
    </row>
    <row r="117">
      <c r="A117" s="609" t="s">
        <v>949</v>
      </c>
      <c r="B117" s="610">
        <f t="array" ref="B117">VLOOKUP($A117,MO_DEMO,2,FALSE)</f>
        <v>18188</v>
      </c>
      <c r="C117" s="611">
        <f>IFERROR(VLOOKUP($A117,'MO Data'!$A$4:$G$128,7,FALSE),"NULL")</f>
        <v>153</v>
      </c>
      <c r="D117" s="612" t="s">
        <v>63</v>
      </c>
      <c r="E117" s="612" t="s">
        <v>63</v>
      </c>
      <c r="F117" s="612" t="s">
        <v>63</v>
      </c>
      <c r="G117" s="612" t="s">
        <v>63</v>
      </c>
      <c r="H117" s="671" t="s">
        <v>63</v>
      </c>
      <c r="I117" s="614">
        <f>VLOOKUP($A117,'MO Data'!$A$269:$B$392,2,FALSE)</f>
        <v>1</v>
      </c>
      <c r="J117" s="615" t="s">
        <v>63</v>
      </c>
      <c r="K117" s="672" t="s">
        <v>63</v>
      </c>
      <c r="L117" s="728">
        <f>VLOOKUP($A117,'MO Data'!$A$139:$B$261,2,FALSE)</f>
        <v>51</v>
      </c>
      <c r="M117" s="704" t="s">
        <v>63</v>
      </c>
      <c r="N117" s="612" t="s">
        <v>63</v>
      </c>
      <c r="O117" s="612" t="s">
        <v>63</v>
      </c>
      <c r="P117" s="952">
        <f>ifna(vlookup(A117,'Population &amp; Church Numbers'!$A$1486:$D$1600,4,FALSE),"NULL")</f>
        <v>27</v>
      </c>
      <c r="Q117" s="674" t="s">
        <v>63</v>
      </c>
    </row>
    <row r="118">
      <c r="A118" s="217"/>
      <c r="B118" s="218"/>
      <c r="C118" s="219"/>
      <c r="D118" s="220"/>
      <c r="E118" s="220"/>
      <c r="F118" s="220"/>
      <c r="G118" s="220"/>
      <c r="H118" s="221"/>
      <c r="I118" s="614"/>
      <c r="J118" s="223"/>
      <c r="K118" s="219"/>
      <c r="L118" s="224"/>
      <c r="M118" s="225"/>
      <c r="N118" s="226"/>
      <c r="O118" s="220"/>
      <c r="P118" s="221"/>
      <c r="Q118" s="227"/>
    </row>
    <row r="119">
      <c r="A119" s="228" t="s">
        <v>2</v>
      </c>
      <c r="B119" s="229"/>
      <c r="C119" s="230">
        <f>'MO Data'!G130</f>
        <v>20247</v>
      </c>
      <c r="D119" s="311" t="s">
        <v>63</v>
      </c>
      <c r="E119" s="311" t="s">
        <v>63</v>
      </c>
      <c r="F119" s="311" t="s">
        <v>63</v>
      </c>
      <c r="G119" s="311" t="s">
        <v>63</v>
      </c>
      <c r="H119" s="977">
        <f>AFCARSCSC!D29</f>
        <v>4567</v>
      </c>
      <c r="I119" s="234">
        <f>'MO Data'!B392</f>
        <v>906</v>
      </c>
      <c r="J119" s="305" t="s">
        <v>63</v>
      </c>
      <c r="K119" s="708" t="s">
        <v>63</v>
      </c>
      <c r="L119" s="233">
        <f>'MO Data'!B261</f>
        <v>5527</v>
      </c>
      <c r="M119" s="360" t="s">
        <v>63</v>
      </c>
      <c r="N119" s="311" t="s">
        <v>63</v>
      </c>
      <c r="O119" s="311" t="s">
        <v>63</v>
      </c>
      <c r="P119" s="233">
        <f>SUM(P3:P117)</f>
        <v>6096</v>
      </c>
      <c r="Q119" s="691" t="s">
        <v>63</v>
      </c>
    </row>
  </sheetData>
  <mergeCells count="1">
    <mergeCell ref="B1:Q1"/>
  </mergeCells>
  <drawing r:id="rId1"/>
  <tableParts count="1">
    <tablePart r:id="rId3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9" max="9" width="14.0"/>
    <col customWidth="1" min="11" max="11" width="16.88"/>
  </cols>
  <sheetData>
    <row r="1">
      <c r="A1" s="275" t="s">
        <v>398</v>
      </c>
      <c r="B1" s="276"/>
      <c r="C1" s="276"/>
      <c r="D1" s="276"/>
      <c r="E1" s="275" t="s">
        <v>765</v>
      </c>
      <c r="F1" s="1011" t="s">
        <v>3492</v>
      </c>
      <c r="G1" s="1012"/>
      <c r="H1" s="1012"/>
      <c r="I1" s="275" t="s">
        <v>767</v>
      </c>
      <c r="J1" s="1013">
        <v>44609.0</v>
      </c>
      <c r="K1" s="275" t="s">
        <v>769</v>
      </c>
      <c r="L1" s="1013">
        <v>44377.0</v>
      </c>
      <c r="M1" s="276"/>
    </row>
    <row r="3">
      <c r="A3" s="1014"/>
    </row>
    <row r="4">
      <c r="A4" s="1015"/>
      <c r="B4" s="1016" t="s">
        <v>3496</v>
      </c>
      <c r="C4" s="1016" t="s">
        <v>3497</v>
      </c>
      <c r="D4" s="1016" t="s">
        <v>3498</v>
      </c>
      <c r="E4" s="1016" t="s">
        <v>3499</v>
      </c>
      <c r="F4" s="1017"/>
      <c r="G4" s="1016" t="s">
        <v>2</v>
      </c>
    </row>
    <row r="5">
      <c r="A5" s="1018" t="s">
        <v>2462</v>
      </c>
      <c r="B5" s="1018" t="s">
        <v>3502</v>
      </c>
      <c r="C5" s="1018" t="s">
        <v>3502</v>
      </c>
      <c r="D5" s="1018" t="s">
        <v>3502</v>
      </c>
      <c r="E5" s="1019" t="s">
        <v>3503</v>
      </c>
      <c r="F5" s="1019" t="s">
        <v>3504</v>
      </c>
      <c r="G5" s="1018" t="s">
        <v>3505</v>
      </c>
    </row>
    <row r="6">
      <c r="A6" s="1020" t="s">
        <v>3507</v>
      </c>
      <c r="B6" s="408">
        <v>0.0</v>
      </c>
      <c r="C6" s="1021">
        <v>5.0</v>
      </c>
      <c r="D6" s="1021">
        <v>2.0</v>
      </c>
      <c r="E6" s="1021">
        <v>0.0</v>
      </c>
      <c r="F6" s="1021">
        <v>0.0</v>
      </c>
      <c r="G6" s="413">
        <v>7.0</v>
      </c>
    </row>
    <row r="7">
      <c r="A7" s="1020" t="s">
        <v>3509</v>
      </c>
      <c r="B7" s="408">
        <v>0.0</v>
      </c>
      <c r="C7" s="1021">
        <v>4.0</v>
      </c>
      <c r="D7" s="1021">
        <v>11.0</v>
      </c>
      <c r="E7" s="1021">
        <v>1.0</v>
      </c>
      <c r="F7" s="1021">
        <v>0.0</v>
      </c>
      <c r="G7" s="413">
        <v>16.0</v>
      </c>
    </row>
    <row r="8">
      <c r="A8" s="1020" t="s">
        <v>2627</v>
      </c>
      <c r="B8" s="408">
        <v>0.0</v>
      </c>
      <c r="C8" s="1021">
        <v>57.0</v>
      </c>
      <c r="D8" s="1021">
        <v>73.0</v>
      </c>
      <c r="E8" s="1021">
        <v>11.0</v>
      </c>
      <c r="F8" s="1021">
        <v>11.0</v>
      </c>
      <c r="G8" s="408">
        <v>152.0</v>
      </c>
    </row>
    <row r="9">
      <c r="A9" s="1020" t="s">
        <v>2751</v>
      </c>
      <c r="B9" s="408">
        <v>0.0</v>
      </c>
      <c r="C9" s="1021">
        <v>3.0</v>
      </c>
      <c r="D9" s="1021">
        <v>11.0</v>
      </c>
      <c r="E9" s="1021">
        <v>1.0</v>
      </c>
      <c r="F9" s="1021">
        <v>2.0</v>
      </c>
      <c r="G9" s="408">
        <v>17.0</v>
      </c>
    </row>
    <row r="10">
      <c r="A10" s="1020" t="s">
        <v>2539</v>
      </c>
      <c r="B10" s="408">
        <v>0.0</v>
      </c>
      <c r="C10" s="1021">
        <v>2.0</v>
      </c>
      <c r="D10" s="1021">
        <v>0.0</v>
      </c>
      <c r="E10" s="1021">
        <v>0.0</v>
      </c>
      <c r="F10" s="1021">
        <v>0.0</v>
      </c>
      <c r="G10" s="413">
        <v>2.0</v>
      </c>
    </row>
    <row r="11">
      <c r="A11" s="1020" t="s">
        <v>2540</v>
      </c>
      <c r="B11" s="408">
        <v>0.0</v>
      </c>
      <c r="C11" s="1021">
        <v>80.0</v>
      </c>
      <c r="D11" s="1021">
        <v>132.0</v>
      </c>
      <c r="E11" s="1021">
        <v>32.0</v>
      </c>
      <c r="F11" s="1021">
        <v>20.0</v>
      </c>
      <c r="G11" s="408">
        <v>264.0</v>
      </c>
    </row>
    <row r="12">
      <c r="A12" s="1020" t="s">
        <v>3513</v>
      </c>
      <c r="B12" s="408">
        <v>0.0</v>
      </c>
      <c r="C12" s="1021">
        <v>11.0</v>
      </c>
      <c r="D12" s="1021">
        <v>10.0</v>
      </c>
      <c r="E12" s="1021">
        <v>7.0</v>
      </c>
      <c r="F12" s="1021">
        <v>2.0</v>
      </c>
      <c r="G12" s="408">
        <v>30.0</v>
      </c>
    </row>
    <row r="13">
      <c r="A13" s="1020" t="s">
        <v>804</v>
      </c>
      <c r="B13" s="408">
        <v>1.0</v>
      </c>
      <c r="C13" s="1021">
        <v>78.0</v>
      </c>
      <c r="D13" s="1021">
        <v>122.0</v>
      </c>
      <c r="E13" s="1021">
        <v>14.0</v>
      </c>
      <c r="F13" s="1021">
        <v>17.0</v>
      </c>
      <c r="G13" s="408">
        <v>232.0</v>
      </c>
    </row>
    <row r="14">
      <c r="A14" s="1020" t="s">
        <v>2544</v>
      </c>
      <c r="B14" s="408">
        <v>0.0</v>
      </c>
      <c r="C14" s="1021">
        <v>21.0</v>
      </c>
      <c r="D14" s="1021">
        <v>22.0</v>
      </c>
      <c r="E14" s="1021">
        <v>5.0</v>
      </c>
      <c r="F14" s="1021">
        <v>9.0</v>
      </c>
      <c r="G14" s="408">
        <v>57.0</v>
      </c>
    </row>
    <row r="15">
      <c r="A15" s="1020" t="s">
        <v>3516</v>
      </c>
      <c r="B15" s="408">
        <v>0.0</v>
      </c>
      <c r="C15" s="1021">
        <v>10.0</v>
      </c>
      <c r="D15" s="1021">
        <v>11.0</v>
      </c>
      <c r="E15" s="1021">
        <v>8.0</v>
      </c>
      <c r="F15" s="1021">
        <v>1.0</v>
      </c>
      <c r="G15" s="408">
        <v>30.0</v>
      </c>
    </row>
    <row r="16">
      <c r="A16" s="1020" t="s">
        <v>3517</v>
      </c>
      <c r="B16" s="408">
        <v>0.0</v>
      </c>
      <c r="C16" s="1021">
        <v>5.0</v>
      </c>
      <c r="D16" s="1021">
        <v>14.0</v>
      </c>
      <c r="E16" s="1021">
        <v>1.0</v>
      </c>
      <c r="F16" s="1021">
        <v>2.0</v>
      </c>
      <c r="G16" s="408">
        <v>22.0</v>
      </c>
    </row>
    <row r="17">
      <c r="A17" s="1020" t="s">
        <v>815</v>
      </c>
      <c r="B17" s="408">
        <v>0.0</v>
      </c>
      <c r="C17" s="1021">
        <v>34.0</v>
      </c>
      <c r="D17" s="1021">
        <v>72.0</v>
      </c>
      <c r="E17" s="1021">
        <v>1.0</v>
      </c>
      <c r="F17" s="1021">
        <v>4.0</v>
      </c>
      <c r="G17" s="408">
        <v>111.0</v>
      </c>
    </row>
    <row r="18">
      <c r="A18" s="1020" t="s">
        <v>3519</v>
      </c>
      <c r="B18" s="408">
        <v>0.0</v>
      </c>
      <c r="C18" s="1021">
        <v>5.0</v>
      </c>
      <c r="D18" s="1021">
        <v>36.0</v>
      </c>
      <c r="E18" s="1021">
        <v>0.0</v>
      </c>
      <c r="F18" s="1021">
        <v>2.0</v>
      </c>
      <c r="G18" s="408">
        <v>43.0</v>
      </c>
    </row>
    <row r="19">
      <c r="A19" s="1020" t="s">
        <v>2558</v>
      </c>
      <c r="B19" s="408">
        <v>0.0</v>
      </c>
      <c r="C19" s="1021">
        <v>8.0</v>
      </c>
      <c r="D19" s="1021">
        <v>24.0</v>
      </c>
      <c r="E19" s="1021">
        <v>1.0</v>
      </c>
      <c r="F19" s="1021">
        <v>3.0</v>
      </c>
      <c r="G19" s="408">
        <v>36.0</v>
      </c>
    </row>
    <row r="20">
      <c r="A20" s="1020" t="s">
        <v>2644</v>
      </c>
      <c r="B20" s="408">
        <v>0.0</v>
      </c>
      <c r="C20" s="1021">
        <v>5.0</v>
      </c>
      <c r="D20" s="1021">
        <v>32.0</v>
      </c>
      <c r="E20" s="1021">
        <v>3.0</v>
      </c>
      <c r="F20" s="1021">
        <v>4.0</v>
      </c>
      <c r="G20" s="408">
        <v>44.0</v>
      </c>
    </row>
    <row r="21">
      <c r="A21" s="1020" t="s">
        <v>3521</v>
      </c>
      <c r="B21" s="408">
        <v>0.0</v>
      </c>
      <c r="C21" s="1021">
        <v>0.0</v>
      </c>
      <c r="D21" s="1021">
        <v>17.0</v>
      </c>
      <c r="E21" s="1021">
        <v>2.0</v>
      </c>
      <c r="F21" s="1021">
        <v>2.0</v>
      </c>
      <c r="G21" s="408">
        <v>21.0</v>
      </c>
    </row>
    <row r="22">
      <c r="A22" s="1020" t="s">
        <v>2565</v>
      </c>
      <c r="B22" s="408">
        <v>3.0</v>
      </c>
      <c r="C22" s="1021">
        <v>52.0</v>
      </c>
      <c r="D22" s="1021">
        <v>82.0</v>
      </c>
      <c r="E22" s="1021">
        <v>13.0</v>
      </c>
      <c r="F22" s="1021">
        <v>14.0</v>
      </c>
      <c r="G22" s="408">
        <v>164.0</v>
      </c>
    </row>
    <row r="23">
      <c r="A23" s="1020" t="s">
        <v>2765</v>
      </c>
      <c r="B23" s="408">
        <v>0.0</v>
      </c>
      <c r="C23" s="1021">
        <v>22.0</v>
      </c>
      <c r="D23" s="1021">
        <v>24.0</v>
      </c>
      <c r="E23" s="1021">
        <v>5.0</v>
      </c>
      <c r="F23" s="1021">
        <v>4.0</v>
      </c>
      <c r="G23" s="408">
        <v>55.0</v>
      </c>
    </row>
    <row r="24">
      <c r="A24" s="1020" t="s">
        <v>2651</v>
      </c>
      <c r="B24" s="408">
        <v>0.0</v>
      </c>
      <c r="C24" s="1021">
        <v>30.0</v>
      </c>
      <c r="D24" s="1021">
        <v>38.0</v>
      </c>
      <c r="E24" s="1021">
        <v>15.0</v>
      </c>
      <c r="F24" s="1021">
        <v>10.0</v>
      </c>
      <c r="G24" s="408">
        <v>93.0</v>
      </c>
    </row>
    <row r="25">
      <c r="A25" s="1020" t="s">
        <v>2571</v>
      </c>
      <c r="B25" s="408">
        <v>0.0</v>
      </c>
      <c r="C25" s="1021">
        <v>17.0</v>
      </c>
      <c r="D25" s="1021">
        <v>38.0</v>
      </c>
      <c r="E25" s="1021">
        <v>2.0</v>
      </c>
      <c r="F25" s="1021">
        <v>6.0</v>
      </c>
      <c r="G25" s="408">
        <v>63.0</v>
      </c>
    </row>
    <row r="26">
      <c r="A26" s="1020" t="s">
        <v>2579</v>
      </c>
      <c r="B26" s="408">
        <v>0.0</v>
      </c>
      <c r="C26" s="1021">
        <v>0.0</v>
      </c>
      <c r="D26" s="1021">
        <v>8.0</v>
      </c>
      <c r="E26" s="1021">
        <v>0.0</v>
      </c>
      <c r="F26" s="1021">
        <v>0.0</v>
      </c>
      <c r="G26" s="413">
        <v>8.0</v>
      </c>
    </row>
    <row r="27">
      <c r="A27" s="1020" t="s">
        <v>3525</v>
      </c>
      <c r="B27" s="408">
        <v>0.0</v>
      </c>
      <c r="C27" s="1021">
        <v>16.0</v>
      </c>
      <c r="D27" s="1021">
        <v>64.0</v>
      </c>
      <c r="E27" s="1021">
        <v>3.0</v>
      </c>
      <c r="F27" s="1021">
        <v>6.0</v>
      </c>
      <c r="G27" s="408">
        <v>89.0</v>
      </c>
    </row>
    <row r="28">
      <c r="A28" s="1020" t="s">
        <v>3527</v>
      </c>
      <c r="B28" s="408">
        <v>0.0</v>
      </c>
      <c r="C28" s="1021">
        <v>45.0</v>
      </c>
      <c r="D28" s="1021">
        <v>63.0</v>
      </c>
      <c r="E28" s="1021">
        <v>11.0</v>
      </c>
      <c r="F28" s="1021">
        <v>11.0</v>
      </c>
      <c r="G28" s="408">
        <v>130.0</v>
      </c>
    </row>
    <row r="29">
      <c r="A29" s="1020" t="s">
        <v>3528</v>
      </c>
      <c r="B29" s="408">
        <v>2.0</v>
      </c>
      <c r="C29" s="1021">
        <v>29.0</v>
      </c>
      <c r="D29" s="1021">
        <v>28.0</v>
      </c>
      <c r="E29" s="1021">
        <v>8.0</v>
      </c>
      <c r="F29" s="1021">
        <v>1.0</v>
      </c>
      <c r="G29" s="408">
        <v>68.0</v>
      </c>
    </row>
    <row r="30">
      <c r="A30" s="1020" t="s">
        <v>3529</v>
      </c>
      <c r="B30" s="408">
        <v>0.0</v>
      </c>
      <c r="C30" s="1021">
        <v>8.0</v>
      </c>
      <c r="D30" s="1021">
        <v>8.0</v>
      </c>
      <c r="E30" s="1021">
        <v>1.0</v>
      </c>
      <c r="F30" s="1021">
        <v>3.0</v>
      </c>
      <c r="G30" s="408">
        <v>20.0</v>
      </c>
    </row>
    <row r="31">
      <c r="A31" s="1020" t="s">
        <v>3530</v>
      </c>
      <c r="B31" s="408">
        <v>0.0</v>
      </c>
      <c r="C31" s="1021">
        <v>2.0</v>
      </c>
      <c r="D31" s="1021">
        <v>18.0</v>
      </c>
      <c r="E31" s="1021">
        <v>4.0</v>
      </c>
      <c r="F31" s="1021">
        <v>0.0</v>
      </c>
      <c r="G31" s="408">
        <v>24.0</v>
      </c>
    </row>
    <row r="32">
      <c r="A32" s="1020" t="s">
        <v>2587</v>
      </c>
      <c r="B32" s="408">
        <v>0.0</v>
      </c>
      <c r="C32" s="1021">
        <v>15.0</v>
      </c>
      <c r="D32" s="1021">
        <v>48.0</v>
      </c>
      <c r="E32" s="1021">
        <v>6.0</v>
      </c>
      <c r="F32" s="1021">
        <v>6.0</v>
      </c>
      <c r="G32" s="408">
        <v>75.0</v>
      </c>
    </row>
    <row r="33">
      <c r="A33" s="1020" t="s">
        <v>3532</v>
      </c>
      <c r="B33" s="408">
        <v>0.0</v>
      </c>
      <c r="C33" s="1021">
        <v>17.0</v>
      </c>
      <c r="D33" s="1021">
        <v>25.0</v>
      </c>
      <c r="E33" s="1021">
        <v>6.0</v>
      </c>
      <c r="F33" s="1021">
        <v>1.0</v>
      </c>
      <c r="G33" s="408">
        <v>49.0</v>
      </c>
    </row>
    <row r="34">
      <c r="A34" s="1020" t="s">
        <v>2680</v>
      </c>
      <c r="B34" s="408">
        <v>0.0</v>
      </c>
      <c r="C34" s="1021">
        <v>0.0</v>
      </c>
      <c r="D34" s="1021">
        <v>15.0</v>
      </c>
      <c r="E34" s="1021">
        <v>0.0</v>
      </c>
      <c r="F34" s="1021">
        <v>0.0</v>
      </c>
      <c r="G34" s="408">
        <v>15.0</v>
      </c>
    </row>
    <row r="35">
      <c r="A35" s="1022" t="s">
        <v>3534</v>
      </c>
      <c r="B35" s="206">
        <v>6.0</v>
      </c>
      <c r="C35" s="206">
        <v>581.0</v>
      </c>
      <c r="D35" s="208">
        <v>1048.0</v>
      </c>
      <c r="E35" s="206">
        <v>161.0</v>
      </c>
      <c r="F35" s="206">
        <v>141.0</v>
      </c>
      <c r="G35" s="208">
        <v>1937.0</v>
      </c>
    </row>
    <row r="36">
      <c r="A36" s="1020" t="s">
        <v>2620</v>
      </c>
      <c r="B36" s="413">
        <v>0.0</v>
      </c>
      <c r="C36" s="413">
        <v>49.0</v>
      </c>
      <c r="D36" s="413">
        <v>87.0</v>
      </c>
      <c r="E36" s="1021">
        <v>13.0</v>
      </c>
      <c r="F36" s="413">
        <v>8.0</v>
      </c>
      <c r="G36" s="413">
        <v>157.0</v>
      </c>
    </row>
    <row r="37">
      <c r="A37" s="1020" t="s">
        <v>3535</v>
      </c>
      <c r="B37" s="413">
        <v>1.0</v>
      </c>
      <c r="C37" s="413">
        <v>46.0</v>
      </c>
      <c r="D37" s="413">
        <v>56.0</v>
      </c>
      <c r="E37" s="1021">
        <v>5.0</v>
      </c>
      <c r="F37" s="413">
        <v>8.0</v>
      </c>
      <c r="G37" s="413">
        <v>116.0</v>
      </c>
    </row>
    <row r="38">
      <c r="A38" s="1020" t="s">
        <v>2537</v>
      </c>
      <c r="B38" s="413">
        <v>1.0</v>
      </c>
      <c r="C38" s="413">
        <v>152.0</v>
      </c>
      <c r="D38" s="413">
        <v>254.0</v>
      </c>
      <c r="E38" s="1021">
        <v>54.0</v>
      </c>
      <c r="F38" s="413">
        <v>38.0</v>
      </c>
      <c r="G38" s="413">
        <v>499.0</v>
      </c>
    </row>
    <row r="39">
      <c r="A39" s="1020" t="s">
        <v>3538</v>
      </c>
      <c r="B39" s="413">
        <v>1.0</v>
      </c>
      <c r="C39" s="413">
        <v>63.0</v>
      </c>
      <c r="D39" s="413">
        <v>116.0</v>
      </c>
      <c r="E39" s="1021">
        <v>19.0</v>
      </c>
      <c r="F39" s="413">
        <v>12.0</v>
      </c>
      <c r="G39" s="413">
        <v>211.0</v>
      </c>
    </row>
    <row r="40">
      <c r="A40" s="1020" t="s">
        <v>2543</v>
      </c>
      <c r="B40" s="413">
        <v>0.0</v>
      </c>
      <c r="C40" s="413">
        <v>11.0</v>
      </c>
      <c r="D40" s="413">
        <v>31.0</v>
      </c>
      <c r="E40" s="1021">
        <v>5.0</v>
      </c>
      <c r="F40" s="413">
        <v>3.0</v>
      </c>
      <c r="G40" s="413">
        <v>50.0</v>
      </c>
    </row>
    <row r="41">
      <c r="A41" s="1020" t="s">
        <v>3540</v>
      </c>
      <c r="B41" s="413">
        <v>2.0</v>
      </c>
      <c r="C41" s="413">
        <v>68.0</v>
      </c>
      <c r="D41" s="413">
        <v>97.0</v>
      </c>
      <c r="E41" s="1021">
        <v>24.0</v>
      </c>
      <c r="F41" s="413">
        <v>22.0</v>
      </c>
      <c r="G41" s="413">
        <v>213.0</v>
      </c>
    </row>
    <row r="42">
      <c r="A42" s="1020" t="s">
        <v>820</v>
      </c>
      <c r="B42" s="413">
        <v>4.0</v>
      </c>
      <c r="C42" s="413">
        <v>150.0</v>
      </c>
      <c r="D42" s="413">
        <v>258.0</v>
      </c>
      <c r="E42" s="1021">
        <v>25.0</v>
      </c>
      <c r="F42" s="413">
        <v>37.0</v>
      </c>
      <c r="G42" s="413">
        <v>474.0</v>
      </c>
    </row>
    <row r="43">
      <c r="A43" s="1020" t="s">
        <v>3542</v>
      </c>
      <c r="B43" s="413">
        <v>0.0</v>
      </c>
      <c r="C43" s="413">
        <v>14.0</v>
      </c>
      <c r="D43" s="413">
        <v>36.0</v>
      </c>
      <c r="E43" s="1021">
        <v>4.0</v>
      </c>
      <c r="F43" s="413">
        <v>1.0</v>
      </c>
      <c r="G43" s="413">
        <v>55.0</v>
      </c>
    </row>
    <row r="44">
      <c r="A44" s="1020" t="s">
        <v>2645</v>
      </c>
      <c r="B44" s="413">
        <v>0.0</v>
      </c>
      <c r="C44" s="413">
        <v>22.0</v>
      </c>
      <c r="D44" s="413">
        <v>31.0</v>
      </c>
      <c r="E44" s="1021">
        <v>9.0</v>
      </c>
      <c r="F44" s="413">
        <v>5.0</v>
      </c>
      <c r="G44" s="413">
        <v>67.0</v>
      </c>
    </row>
    <row r="45">
      <c r="A45" s="1020" t="s">
        <v>2569</v>
      </c>
      <c r="B45" s="413">
        <v>0.0</v>
      </c>
      <c r="C45" s="413">
        <v>10.0</v>
      </c>
      <c r="D45" s="413">
        <v>19.0</v>
      </c>
      <c r="E45" s="1021">
        <v>0.0</v>
      </c>
      <c r="F45" s="413">
        <v>0.0</v>
      </c>
      <c r="G45" s="413">
        <v>29.0</v>
      </c>
    </row>
    <row r="46">
      <c r="A46" s="1020" t="s">
        <v>3544</v>
      </c>
      <c r="B46" s="413">
        <v>0.0</v>
      </c>
      <c r="C46" s="413">
        <v>9.0</v>
      </c>
      <c r="D46" s="413">
        <v>15.0</v>
      </c>
      <c r="E46" s="1021">
        <v>3.0</v>
      </c>
      <c r="F46" s="413">
        <v>3.0</v>
      </c>
      <c r="G46" s="413">
        <v>30.0</v>
      </c>
    </row>
    <row r="47">
      <c r="A47" s="1020" t="s">
        <v>2768</v>
      </c>
      <c r="B47" s="413">
        <v>0.0</v>
      </c>
      <c r="C47" s="413">
        <v>74.0</v>
      </c>
      <c r="D47" s="413">
        <v>128.0</v>
      </c>
      <c r="E47" s="1021">
        <v>6.0</v>
      </c>
      <c r="F47" s="413">
        <v>15.0</v>
      </c>
      <c r="G47" s="413">
        <v>223.0</v>
      </c>
    </row>
    <row r="48">
      <c r="A48" s="1020" t="s">
        <v>873</v>
      </c>
      <c r="B48" s="413">
        <v>1.0</v>
      </c>
      <c r="C48" s="413">
        <v>44.0</v>
      </c>
      <c r="D48" s="413">
        <v>39.0</v>
      </c>
      <c r="E48" s="1021">
        <v>7.0</v>
      </c>
      <c r="F48" s="413">
        <v>9.0</v>
      </c>
      <c r="G48" s="413">
        <v>100.0</v>
      </c>
    </row>
    <row r="49">
      <c r="A49" s="1020" t="s">
        <v>874</v>
      </c>
      <c r="B49" s="413">
        <v>0.0</v>
      </c>
      <c r="C49" s="413">
        <v>92.0</v>
      </c>
      <c r="D49" s="413">
        <v>126.0</v>
      </c>
      <c r="E49" s="1021">
        <v>17.0</v>
      </c>
      <c r="F49" s="413">
        <v>14.0</v>
      </c>
      <c r="G49" s="413">
        <v>249.0</v>
      </c>
    </row>
    <row r="50">
      <c r="A50" s="1020" t="s">
        <v>875</v>
      </c>
      <c r="B50" s="413">
        <v>0.0</v>
      </c>
      <c r="C50" s="413">
        <v>16.0</v>
      </c>
      <c r="D50" s="413">
        <v>18.0</v>
      </c>
      <c r="E50" s="1021">
        <v>4.0</v>
      </c>
      <c r="F50" s="413">
        <v>1.0</v>
      </c>
      <c r="G50" s="413">
        <v>39.0</v>
      </c>
    </row>
    <row r="51">
      <c r="A51" s="1020" t="s">
        <v>837</v>
      </c>
      <c r="B51" s="413">
        <v>0.0</v>
      </c>
      <c r="C51" s="413">
        <v>8.0</v>
      </c>
      <c r="D51" s="413">
        <v>44.0</v>
      </c>
      <c r="E51" s="1021">
        <v>5.0</v>
      </c>
      <c r="F51" s="413">
        <v>4.0</v>
      </c>
      <c r="G51" s="413">
        <v>61.0</v>
      </c>
    </row>
    <row r="52">
      <c r="A52" s="1020" t="s">
        <v>3549</v>
      </c>
      <c r="B52" s="413">
        <v>0.0</v>
      </c>
      <c r="C52" s="413">
        <v>3.0</v>
      </c>
      <c r="D52" s="413">
        <v>5.0</v>
      </c>
      <c r="E52" s="1021">
        <v>1.0</v>
      </c>
      <c r="F52" s="413">
        <v>0.0</v>
      </c>
      <c r="G52" s="413">
        <v>9.0</v>
      </c>
    </row>
    <row r="53">
      <c r="A53" s="1020" t="s">
        <v>840</v>
      </c>
      <c r="B53" s="413">
        <v>0.0</v>
      </c>
      <c r="C53" s="413">
        <v>9.0</v>
      </c>
      <c r="D53" s="413">
        <v>37.0</v>
      </c>
      <c r="E53" s="1021">
        <v>6.0</v>
      </c>
      <c r="F53" s="413">
        <v>5.0</v>
      </c>
      <c r="G53" s="413">
        <v>57.0</v>
      </c>
    </row>
    <row r="54">
      <c r="A54" s="1020" t="s">
        <v>3551</v>
      </c>
      <c r="B54" s="413">
        <v>0.0</v>
      </c>
      <c r="C54" s="413">
        <v>16.0</v>
      </c>
      <c r="D54" s="413">
        <v>20.0</v>
      </c>
      <c r="E54" s="1021">
        <v>5.0</v>
      </c>
      <c r="F54" s="413">
        <v>1.0</v>
      </c>
      <c r="G54" s="413">
        <v>42.0</v>
      </c>
    </row>
    <row r="55">
      <c r="A55" s="1020" t="s">
        <v>841</v>
      </c>
      <c r="B55" s="413">
        <v>1.0</v>
      </c>
      <c r="C55" s="413">
        <v>69.0</v>
      </c>
      <c r="D55" s="413">
        <v>100.0</v>
      </c>
      <c r="E55" s="1021">
        <v>20.0</v>
      </c>
      <c r="F55" s="413">
        <v>9.0</v>
      </c>
      <c r="G55" s="413">
        <v>199.0</v>
      </c>
    </row>
    <row r="56">
      <c r="A56" s="1020" t="s">
        <v>2589</v>
      </c>
      <c r="B56" s="413">
        <v>0.0</v>
      </c>
      <c r="C56" s="413">
        <v>0.0</v>
      </c>
      <c r="D56" s="413">
        <v>18.0</v>
      </c>
      <c r="E56" s="1021">
        <v>2.0</v>
      </c>
      <c r="F56" s="413">
        <v>0.0</v>
      </c>
      <c r="G56" s="413">
        <v>20.0</v>
      </c>
    </row>
    <row r="57">
      <c r="A57" s="1020" t="s">
        <v>3554</v>
      </c>
      <c r="B57" s="413">
        <v>0.0</v>
      </c>
      <c r="C57" s="413">
        <v>1.0</v>
      </c>
      <c r="D57" s="413">
        <v>14.0</v>
      </c>
      <c r="E57" s="1021">
        <v>2.0</v>
      </c>
      <c r="F57" s="413">
        <v>1.0</v>
      </c>
      <c r="G57" s="413">
        <v>18.0</v>
      </c>
    </row>
    <row r="58">
      <c r="A58" s="1020" t="s">
        <v>845</v>
      </c>
      <c r="B58" s="413">
        <v>1.0</v>
      </c>
      <c r="C58" s="413">
        <v>7.0</v>
      </c>
      <c r="D58" s="413">
        <v>19.0</v>
      </c>
      <c r="E58" s="1021">
        <v>3.0</v>
      </c>
      <c r="F58" s="413">
        <v>5.0</v>
      </c>
      <c r="G58" s="413">
        <v>35.0</v>
      </c>
    </row>
    <row r="59">
      <c r="A59" s="1020" t="s">
        <v>2779</v>
      </c>
      <c r="B59" s="413">
        <v>0.0</v>
      </c>
      <c r="C59" s="413">
        <v>150.0</v>
      </c>
      <c r="D59" s="413">
        <v>162.0</v>
      </c>
      <c r="E59" s="1021">
        <v>14.0</v>
      </c>
      <c r="F59" s="413">
        <v>33.0</v>
      </c>
      <c r="G59" s="413">
        <v>359.0</v>
      </c>
    </row>
    <row r="60">
      <c r="A60" s="1020" t="s">
        <v>2597</v>
      </c>
      <c r="B60" s="413">
        <v>0.0</v>
      </c>
      <c r="C60" s="416">
        <v>30.0</v>
      </c>
      <c r="D60" s="416">
        <v>59.0</v>
      </c>
      <c r="E60" s="1021">
        <v>9.0</v>
      </c>
      <c r="F60" s="413">
        <v>5.0</v>
      </c>
      <c r="G60" s="413">
        <v>103.0</v>
      </c>
    </row>
    <row r="61">
      <c r="A61" s="1023"/>
      <c r="B61" s="206">
        <v>12.0</v>
      </c>
      <c r="C61" s="208">
        <v>1113.0</v>
      </c>
      <c r="D61" s="208">
        <v>1789.0</v>
      </c>
      <c r="E61" s="206">
        <v>262.0</v>
      </c>
      <c r="F61" s="206">
        <v>239.0</v>
      </c>
      <c r="G61" s="208">
        <v>3415.0</v>
      </c>
    </row>
    <row r="62">
      <c r="A62" s="1020" t="s">
        <v>3559</v>
      </c>
      <c r="B62" s="413">
        <v>0.0</v>
      </c>
      <c r="C62" s="413">
        <v>19.0</v>
      </c>
      <c r="D62" s="413">
        <v>43.0</v>
      </c>
      <c r="E62" s="1021">
        <v>6.0</v>
      </c>
      <c r="F62" s="413">
        <v>4.0</v>
      </c>
      <c r="G62" s="413">
        <v>72.0</v>
      </c>
    </row>
    <row r="63">
      <c r="A63" s="1020" t="s">
        <v>858</v>
      </c>
      <c r="B63" s="413">
        <v>2.0</v>
      </c>
      <c r="C63" s="413">
        <v>92.0</v>
      </c>
      <c r="D63" s="413">
        <v>129.0</v>
      </c>
      <c r="E63" s="1021">
        <v>26.0</v>
      </c>
      <c r="F63" s="413">
        <v>26.0</v>
      </c>
      <c r="G63" s="413">
        <v>275.0</v>
      </c>
    </row>
    <row r="64">
      <c r="A64" s="1020" t="s">
        <v>3561</v>
      </c>
      <c r="B64" s="413">
        <v>0.0</v>
      </c>
      <c r="C64" s="413">
        <v>89.0</v>
      </c>
      <c r="D64" s="413">
        <v>241.0</v>
      </c>
      <c r="E64" s="1021">
        <v>33.0</v>
      </c>
      <c r="F64" s="413">
        <v>21.0</v>
      </c>
      <c r="G64" s="413">
        <v>384.0</v>
      </c>
    </row>
    <row r="65">
      <c r="A65" s="1020" t="s">
        <v>3562</v>
      </c>
      <c r="B65" s="413">
        <v>0.0</v>
      </c>
      <c r="C65" s="413">
        <v>9.0</v>
      </c>
      <c r="D65" s="413">
        <v>5.0</v>
      </c>
      <c r="E65" s="1021">
        <v>3.0</v>
      </c>
      <c r="F65" s="413">
        <v>0.0</v>
      </c>
      <c r="G65" s="413">
        <v>17.0</v>
      </c>
    </row>
    <row r="66">
      <c r="A66" s="1020" t="s">
        <v>2547</v>
      </c>
      <c r="B66" s="413">
        <v>0.0</v>
      </c>
      <c r="C66" s="413">
        <v>45.0</v>
      </c>
      <c r="D66" s="413">
        <v>95.0</v>
      </c>
      <c r="E66" s="1021">
        <v>16.0</v>
      </c>
      <c r="F66" s="413">
        <v>14.0</v>
      </c>
      <c r="G66" s="413">
        <v>170.0</v>
      </c>
    </row>
    <row r="67">
      <c r="A67" s="1020" t="s">
        <v>3565</v>
      </c>
      <c r="B67" s="413">
        <v>0.0</v>
      </c>
      <c r="C67" s="413">
        <v>22.0</v>
      </c>
      <c r="D67" s="413">
        <v>38.0</v>
      </c>
      <c r="E67" s="1021">
        <v>14.0</v>
      </c>
      <c r="F67" s="413">
        <v>6.0</v>
      </c>
      <c r="G67" s="413">
        <v>80.0</v>
      </c>
    </row>
    <row r="68">
      <c r="A68" s="1020" t="s">
        <v>3566</v>
      </c>
      <c r="B68" s="413">
        <v>0.0</v>
      </c>
      <c r="C68" s="413">
        <v>31.0</v>
      </c>
      <c r="D68" s="413">
        <v>114.0</v>
      </c>
      <c r="E68" s="1021">
        <v>21.0</v>
      </c>
      <c r="F68" s="413">
        <v>6.0</v>
      </c>
      <c r="G68" s="413">
        <v>172.0</v>
      </c>
    </row>
    <row r="69">
      <c r="A69" s="1024"/>
      <c r="B69" s="358"/>
      <c r="C69" s="358"/>
      <c r="D69" s="358"/>
      <c r="E69" s="358"/>
      <c r="F69" s="358"/>
      <c r="G69" s="358"/>
    </row>
    <row r="70">
      <c r="A70" s="1020" t="s">
        <v>3569</v>
      </c>
      <c r="B70" s="413">
        <v>0.0</v>
      </c>
      <c r="C70" s="413">
        <v>70.0</v>
      </c>
      <c r="D70" s="413">
        <v>80.0</v>
      </c>
      <c r="E70" s="1021">
        <v>22.0</v>
      </c>
      <c r="F70" s="413">
        <v>23.0</v>
      </c>
      <c r="G70" s="413">
        <v>195.0</v>
      </c>
    </row>
    <row r="71">
      <c r="A71" s="1020" t="s">
        <v>3570</v>
      </c>
      <c r="B71" s="413">
        <v>2.0</v>
      </c>
      <c r="C71" s="413">
        <v>7.0</v>
      </c>
      <c r="D71" s="413">
        <v>29.0</v>
      </c>
      <c r="E71" s="1021">
        <v>7.0</v>
      </c>
      <c r="F71" s="413">
        <v>4.0</v>
      </c>
      <c r="G71" s="413">
        <v>49.0</v>
      </c>
    </row>
    <row r="72">
      <c r="A72" s="1020" t="s">
        <v>827</v>
      </c>
      <c r="B72" s="413">
        <v>0.0</v>
      </c>
      <c r="C72" s="413">
        <v>209.0</v>
      </c>
      <c r="D72" s="413">
        <v>604.0</v>
      </c>
      <c r="E72" s="1021">
        <v>38.0</v>
      </c>
      <c r="F72" s="413">
        <v>43.0</v>
      </c>
      <c r="G72" s="413">
        <v>894.0</v>
      </c>
    </row>
    <row r="73">
      <c r="A73" s="1020" t="s">
        <v>833</v>
      </c>
      <c r="B73" s="413">
        <v>4.0</v>
      </c>
      <c r="C73" s="413">
        <v>14.0</v>
      </c>
      <c r="D73" s="413">
        <v>19.0</v>
      </c>
      <c r="E73" s="1021">
        <v>8.0</v>
      </c>
      <c r="F73" s="413">
        <v>5.0</v>
      </c>
      <c r="G73" s="413">
        <v>50.0</v>
      </c>
    </row>
    <row r="74">
      <c r="A74" s="1020" t="s">
        <v>3573</v>
      </c>
      <c r="B74" s="413">
        <v>0.0</v>
      </c>
      <c r="C74" s="413">
        <v>13.0</v>
      </c>
      <c r="D74" s="413">
        <v>23.0</v>
      </c>
      <c r="E74" s="1021">
        <v>5.0</v>
      </c>
      <c r="F74" s="413">
        <v>6.0</v>
      </c>
      <c r="G74" s="413">
        <v>47.0</v>
      </c>
    </row>
    <row r="75">
      <c r="A75" s="1020" t="s">
        <v>3574</v>
      </c>
      <c r="B75" s="413">
        <v>0.0</v>
      </c>
      <c r="C75" s="413">
        <v>16.0</v>
      </c>
      <c r="D75" s="413">
        <v>44.0</v>
      </c>
      <c r="E75" s="1021">
        <v>4.0</v>
      </c>
      <c r="F75" s="413">
        <v>4.0</v>
      </c>
      <c r="G75" s="413">
        <v>68.0</v>
      </c>
    </row>
    <row r="76">
      <c r="A76" s="1020" t="s">
        <v>3576</v>
      </c>
      <c r="B76" s="413">
        <v>0.0</v>
      </c>
      <c r="C76" s="413">
        <v>24.0</v>
      </c>
      <c r="D76" s="413">
        <v>108.0</v>
      </c>
      <c r="E76" s="1021">
        <v>17.0</v>
      </c>
      <c r="F76" s="413">
        <v>5.0</v>
      </c>
      <c r="G76" s="413">
        <v>154.0</v>
      </c>
    </row>
    <row r="77">
      <c r="A77" s="1020" t="s">
        <v>3578</v>
      </c>
      <c r="B77" s="413">
        <v>0.0</v>
      </c>
      <c r="C77" s="413">
        <v>18.0</v>
      </c>
      <c r="D77" s="413">
        <v>33.0</v>
      </c>
      <c r="E77" s="1021">
        <v>7.0</v>
      </c>
      <c r="F77" s="413">
        <v>6.0</v>
      </c>
      <c r="G77" s="413">
        <v>64.0</v>
      </c>
    </row>
    <row r="78">
      <c r="A78" s="1020" t="s">
        <v>3579</v>
      </c>
      <c r="B78" s="413">
        <v>0.0</v>
      </c>
      <c r="C78" s="413">
        <v>40.0</v>
      </c>
      <c r="D78" s="413">
        <v>97.0</v>
      </c>
      <c r="E78" s="1021">
        <v>16.0</v>
      </c>
      <c r="F78" s="413">
        <v>17.0</v>
      </c>
      <c r="G78" s="413">
        <v>170.0</v>
      </c>
    </row>
    <row r="79">
      <c r="A79" s="1020" t="s">
        <v>877</v>
      </c>
      <c r="B79" s="413">
        <v>0.0</v>
      </c>
      <c r="C79" s="413">
        <v>21.0</v>
      </c>
      <c r="D79" s="413">
        <v>40.0</v>
      </c>
      <c r="E79" s="1021">
        <v>7.0</v>
      </c>
      <c r="F79" s="413">
        <v>2.0</v>
      </c>
      <c r="G79" s="413">
        <v>70.0</v>
      </c>
    </row>
    <row r="80">
      <c r="A80" s="1020" t="s">
        <v>3581</v>
      </c>
      <c r="B80" s="413">
        <v>2.0</v>
      </c>
      <c r="C80" s="413">
        <v>76.0</v>
      </c>
      <c r="D80" s="413">
        <v>180.0</v>
      </c>
      <c r="E80" s="1021">
        <v>43.0</v>
      </c>
      <c r="F80" s="413">
        <v>14.0</v>
      </c>
      <c r="G80" s="413">
        <v>315.0</v>
      </c>
    </row>
    <row r="81">
      <c r="A81" s="1020" t="s">
        <v>3583</v>
      </c>
      <c r="B81" s="413">
        <v>0.0</v>
      </c>
      <c r="C81" s="413">
        <v>74.0</v>
      </c>
      <c r="D81" s="413">
        <v>130.0</v>
      </c>
      <c r="E81" s="1021">
        <v>58.0</v>
      </c>
      <c r="F81" s="413">
        <v>16.0</v>
      </c>
      <c r="G81" s="413">
        <v>278.0</v>
      </c>
    </row>
    <row r="82">
      <c r="A82" s="1020" t="s">
        <v>3584</v>
      </c>
      <c r="B82" s="413">
        <v>0.0</v>
      </c>
      <c r="C82" s="413">
        <v>5.0</v>
      </c>
      <c r="D82" s="413">
        <v>29.0</v>
      </c>
      <c r="E82" s="1021">
        <v>3.0</v>
      </c>
      <c r="F82" s="413">
        <v>4.0</v>
      </c>
      <c r="G82" s="413">
        <v>41.0</v>
      </c>
    </row>
    <row r="83">
      <c r="A83" s="1020" t="s">
        <v>3585</v>
      </c>
      <c r="B83" s="413">
        <v>3.0</v>
      </c>
      <c r="C83" s="413">
        <v>51.0</v>
      </c>
      <c r="D83" s="413">
        <v>134.0</v>
      </c>
      <c r="E83" s="1021">
        <v>4.0</v>
      </c>
      <c r="F83" s="413">
        <v>8.0</v>
      </c>
      <c r="G83" s="413">
        <v>200.0</v>
      </c>
    </row>
    <row r="84">
      <c r="A84" s="1020" t="s">
        <v>2590</v>
      </c>
      <c r="B84" s="413">
        <v>1.0</v>
      </c>
      <c r="C84" s="413">
        <v>37.0</v>
      </c>
      <c r="D84" s="413">
        <v>128.0</v>
      </c>
      <c r="E84" s="1021">
        <v>13.0</v>
      </c>
      <c r="F84" s="413">
        <v>6.0</v>
      </c>
      <c r="G84" s="413">
        <v>185.0</v>
      </c>
    </row>
    <row r="85">
      <c r="A85" s="1020" t="s">
        <v>3588</v>
      </c>
      <c r="B85" s="413">
        <v>0.0</v>
      </c>
      <c r="C85" s="413">
        <v>12.0</v>
      </c>
      <c r="D85" s="413">
        <v>7.0</v>
      </c>
      <c r="E85" s="1021">
        <v>1.0</v>
      </c>
      <c r="F85" s="413">
        <v>5.0</v>
      </c>
      <c r="G85" s="413">
        <v>25.0</v>
      </c>
    </row>
    <row r="86">
      <c r="A86" s="1020" t="s">
        <v>3589</v>
      </c>
      <c r="B86" s="413">
        <v>6.0</v>
      </c>
      <c r="C86" s="413">
        <v>129.0</v>
      </c>
      <c r="D86" s="413">
        <v>246.0</v>
      </c>
      <c r="E86" s="1021">
        <v>31.0</v>
      </c>
      <c r="F86" s="413">
        <v>30.0</v>
      </c>
      <c r="G86" s="413">
        <v>442.0</v>
      </c>
    </row>
    <row r="87">
      <c r="A87" s="1020" t="s">
        <v>3592</v>
      </c>
      <c r="B87" s="413">
        <v>0.0</v>
      </c>
      <c r="C87" s="413">
        <v>8.0</v>
      </c>
      <c r="D87" s="413">
        <v>18.0</v>
      </c>
      <c r="E87" s="1021">
        <v>6.0</v>
      </c>
      <c r="F87" s="413">
        <v>5.0</v>
      </c>
      <c r="G87" s="413">
        <v>37.0</v>
      </c>
    </row>
    <row r="88">
      <c r="A88" s="1020" t="s">
        <v>3593</v>
      </c>
      <c r="B88" s="413">
        <v>0.0</v>
      </c>
      <c r="C88" s="413">
        <v>58.0</v>
      </c>
      <c r="D88" s="413">
        <v>167.0</v>
      </c>
      <c r="E88" s="1021">
        <v>50.0</v>
      </c>
      <c r="F88" s="413">
        <v>13.0</v>
      </c>
      <c r="G88" s="413">
        <v>288.0</v>
      </c>
    </row>
    <row r="89">
      <c r="A89" s="1020" t="s">
        <v>3594</v>
      </c>
      <c r="B89" s="413">
        <v>2.0</v>
      </c>
      <c r="C89" s="413">
        <v>35.0</v>
      </c>
      <c r="D89" s="413">
        <v>91.0</v>
      </c>
      <c r="E89" s="1021">
        <v>21.0</v>
      </c>
      <c r="F89" s="413">
        <v>7.0</v>
      </c>
      <c r="G89" s="413">
        <v>156.0</v>
      </c>
    </row>
    <row r="90">
      <c r="A90" s="1020" t="s">
        <v>883</v>
      </c>
      <c r="B90" s="413">
        <v>1.0</v>
      </c>
      <c r="C90" s="413">
        <v>45.0</v>
      </c>
      <c r="D90" s="413">
        <v>109.0</v>
      </c>
      <c r="E90" s="1021">
        <v>15.0</v>
      </c>
      <c r="F90" s="413">
        <v>14.0</v>
      </c>
      <c r="G90" s="413">
        <v>184.0</v>
      </c>
    </row>
    <row r="91">
      <c r="A91" s="1020" t="s">
        <v>2598</v>
      </c>
      <c r="B91" s="206">
        <v>0.0</v>
      </c>
      <c r="C91" s="206">
        <v>42.0</v>
      </c>
      <c r="D91" s="206">
        <v>40.0</v>
      </c>
      <c r="E91" s="206">
        <v>7.0</v>
      </c>
      <c r="F91" s="206">
        <v>6.0</v>
      </c>
      <c r="G91" s="206">
        <v>95.0</v>
      </c>
    </row>
    <row r="92">
      <c r="A92" s="1024" t="s">
        <v>3534</v>
      </c>
      <c r="B92" s="206">
        <v>23.0</v>
      </c>
      <c r="C92" s="208">
        <v>1311.0</v>
      </c>
      <c r="D92" s="208">
        <v>3021.0</v>
      </c>
      <c r="E92" s="206">
        <v>502.0</v>
      </c>
      <c r="F92" s="206">
        <v>320.0</v>
      </c>
      <c r="G92" s="208">
        <v>5177.0</v>
      </c>
    </row>
    <row r="93">
      <c r="A93" s="1020" t="s">
        <v>3597</v>
      </c>
      <c r="B93" s="413">
        <v>0.0</v>
      </c>
      <c r="C93" s="413">
        <v>64.0</v>
      </c>
      <c r="D93" s="413">
        <v>92.0</v>
      </c>
      <c r="E93" s="1021">
        <v>13.0</v>
      </c>
      <c r="F93" s="413">
        <v>17.0</v>
      </c>
      <c r="G93" s="413">
        <v>186.0</v>
      </c>
    </row>
    <row r="94">
      <c r="A94" s="1020" t="s">
        <v>3599</v>
      </c>
      <c r="B94" s="413">
        <v>4.0</v>
      </c>
      <c r="C94" s="413">
        <v>16.0</v>
      </c>
      <c r="D94" s="413">
        <v>21.0</v>
      </c>
      <c r="E94" s="1021">
        <v>3.0</v>
      </c>
      <c r="F94" s="413">
        <v>2.0</v>
      </c>
      <c r="G94" s="413">
        <v>46.0</v>
      </c>
    </row>
    <row r="95">
      <c r="A95" s="1020" t="s">
        <v>3601</v>
      </c>
      <c r="B95" s="413">
        <v>0.0</v>
      </c>
      <c r="C95" s="413">
        <v>10.0</v>
      </c>
      <c r="D95" s="413">
        <v>13.0</v>
      </c>
      <c r="E95" s="1021">
        <v>1.0</v>
      </c>
      <c r="F95" s="413">
        <v>5.0</v>
      </c>
      <c r="G95" s="413">
        <v>29.0</v>
      </c>
    </row>
    <row r="96">
      <c r="A96" s="1020" t="s">
        <v>2624</v>
      </c>
      <c r="B96" s="413">
        <v>0.0</v>
      </c>
      <c r="C96" s="413">
        <v>14.0</v>
      </c>
      <c r="D96" s="413">
        <v>10.0</v>
      </c>
      <c r="E96" s="1021">
        <v>4.0</v>
      </c>
      <c r="F96" s="413">
        <v>5.0</v>
      </c>
      <c r="G96" s="413">
        <v>33.0</v>
      </c>
    </row>
    <row r="97">
      <c r="A97" s="1020" t="s">
        <v>3603</v>
      </c>
      <c r="B97" s="413">
        <v>0.0</v>
      </c>
      <c r="C97" s="413">
        <v>32.0</v>
      </c>
      <c r="D97" s="413">
        <v>64.0</v>
      </c>
      <c r="E97" s="1021">
        <v>7.0</v>
      </c>
      <c r="F97" s="413">
        <v>10.0</v>
      </c>
      <c r="G97" s="413">
        <v>113.0</v>
      </c>
    </row>
    <row r="98">
      <c r="A98" s="1020" t="s">
        <v>2629</v>
      </c>
      <c r="B98" s="413">
        <v>0.0</v>
      </c>
      <c r="C98" s="413">
        <v>5.0</v>
      </c>
      <c r="D98" s="413">
        <v>24.0</v>
      </c>
      <c r="E98" s="1021">
        <v>6.0</v>
      </c>
      <c r="F98" s="413">
        <v>9.0</v>
      </c>
      <c r="G98" s="413">
        <v>44.0</v>
      </c>
    </row>
    <row r="99">
      <c r="A99" s="1020" t="s">
        <v>2542</v>
      </c>
      <c r="B99" s="413">
        <v>0.0</v>
      </c>
      <c r="C99" s="413">
        <v>70.0</v>
      </c>
      <c r="D99" s="413">
        <v>142.0</v>
      </c>
      <c r="E99" s="1021">
        <v>18.0</v>
      </c>
      <c r="F99" s="413">
        <v>14.0</v>
      </c>
      <c r="G99" s="413">
        <v>244.0</v>
      </c>
    </row>
    <row r="100">
      <c r="A100" s="1020" t="s">
        <v>3604</v>
      </c>
      <c r="B100" s="413">
        <v>0.0</v>
      </c>
      <c r="C100" s="413">
        <v>8.0</v>
      </c>
      <c r="D100" s="413">
        <v>3.0</v>
      </c>
      <c r="E100" s="1021">
        <v>0.0</v>
      </c>
      <c r="F100" s="413">
        <v>0.0</v>
      </c>
      <c r="G100" s="413">
        <v>11.0</v>
      </c>
    </row>
    <row r="101">
      <c r="A101" s="1020" t="s">
        <v>813</v>
      </c>
      <c r="B101" s="413">
        <v>0.0</v>
      </c>
      <c r="C101" s="413">
        <v>19.0</v>
      </c>
      <c r="D101" s="413">
        <v>27.0</v>
      </c>
      <c r="E101" s="1021">
        <v>6.0</v>
      </c>
      <c r="F101" s="413">
        <v>3.0</v>
      </c>
      <c r="G101" s="413">
        <v>55.0</v>
      </c>
    </row>
    <row r="102">
      <c r="A102" s="1020" t="s">
        <v>2551</v>
      </c>
      <c r="B102" s="413">
        <v>2.0</v>
      </c>
      <c r="C102" s="413">
        <v>19.0</v>
      </c>
      <c r="D102" s="413">
        <v>47.0</v>
      </c>
      <c r="E102" s="1021">
        <v>1.0</v>
      </c>
      <c r="F102" s="413">
        <v>5.0</v>
      </c>
      <c r="G102" s="413">
        <v>74.0</v>
      </c>
    </row>
    <row r="103">
      <c r="A103" s="1020" t="s">
        <v>822</v>
      </c>
      <c r="B103" s="413">
        <v>14.0</v>
      </c>
      <c r="C103" s="413">
        <v>345.0</v>
      </c>
      <c r="D103" s="413">
        <v>558.0</v>
      </c>
      <c r="E103" s="1021">
        <v>74.0</v>
      </c>
      <c r="F103" s="413">
        <v>77.0</v>
      </c>
      <c r="G103" s="413">
        <v>1068.0</v>
      </c>
    </row>
    <row r="104">
      <c r="A104" s="1020" t="s">
        <v>824</v>
      </c>
      <c r="B104" s="413">
        <v>1.0</v>
      </c>
      <c r="C104" s="413">
        <v>43.0</v>
      </c>
      <c r="D104" s="413">
        <v>65.0</v>
      </c>
      <c r="E104" s="1021">
        <v>5.0</v>
      </c>
      <c r="F104" s="413">
        <v>9.0</v>
      </c>
      <c r="G104" s="413">
        <v>123.0</v>
      </c>
    </row>
    <row r="105">
      <c r="A105" s="1020" t="s">
        <v>3608</v>
      </c>
      <c r="B105" s="413">
        <v>2.0</v>
      </c>
      <c r="C105" s="413">
        <v>9.0</v>
      </c>
      <c r="D105" s="413">
        <v>3.0</v>
      </c>
      <c r="E105" s="1021">
        <v>0.0</v>
      </c>
      <c r="F105" s="413">
        <v>1.0</v>
      </c>
      <c r="G105" s="413">
        <v>15.0</v>
      </c>
    </row>
    <row r="106">
      <c r="A106" s="1020" t="s">
        <v>2563</v>
      </c>
      <c r="B106" s="413">
        <v>23.0</v>
      </c>
      <c r="C106" s="413">
        <v>177.0</v>
      </c>
      <c r="D106" s="413">
        <v>349.0</v>
      </c>
      <c r="E106" s="1021">
        <v>87.0</v>
      </c>
      <c r="F106" s="413">
        <v>55.0</v>
      </c>
      <c r="G106" s="413">
        <v>691.0</v>
      </c>
    </row>
    <row r="107">
      <c r="A107" s="1020" t="s">
        <v>3610</v>
      </c>
      <c r="B107" s="413">
        <v>2.0</v>
      </c>
      <c r="C107" s="413">
        <v>86.0</v>
      </c>
      <c r="D107" s="413">
        <v>116.0</v>
      </c>
      <c r="E107" s="1021">
        <v>16.0</v>
      </c>
      <c r="F107" s="413">
        <v>20.0</v>
      </c>
      <c r="G107" s="413">
        <v>240.0</v>
      </c>
    </row>
    <row r="108">
      <c r="A108" s="1020" t="s">
        <v>829</v>
      </c>
      <c r="B108" s="413">
        <v>1.0</v>
      </c>
      <c r="C108" s="413">
        <v>67.0</v>
      </c>
      <c r="D108" s="413">
        <v>134.0</v>
      </c>
      <c r="E108" s="1021">
        <v>21.0</v>
      </c>
      <c r="F108" s="413">
        <v>12.0</v>
      </c>
      <c r="G108" s="413">
        <v>235.0</v>
      </c>
    </row>
    <row r="109">
      <c r="A109" s="1020" t="s">
        <v>3612</v>
      </c>
      <c r="B109" s="413">
        <v>0.0</v>
      </c>
      <c r="C109" s="413">
        <v>23.0</v>
      </c>
      <c r="D109" s="413">
        <v>71.0</v>
      </c>
      <c r="E109" s="1021">
        <v>6.0</v>
      </c>
      <c r="F109" s="413">
        <v>10.0</v>
      </c>
      <c r="G109" s="413">
        <v>110.0</v>
      </c>
    </row>
    <row r="110">
      <c r="A110" s="1020" t="s">
        <v>3614</v>
      </c>
      <c r="B110" s="413">
        <v>0.0</v>
      </c>
      <c r="C110" s="413">
        <v>31.0</v>
      </c>
      <c r="D110" s="413">
        <v>32.0</v>
      </c>
      <c r="E110" s="1021">
        <v>7.0</v>
      </c>
      <c r="F110" s="413">
        <v>9.0</v>
      </c>
      <c r="G110" s="413">
        <v>79.0</v>
      </c>
    </row>
    <row r="111">
      <c r="A111" s="1020" t="s">
        <v>3615</v>
      </c>
      <c r="B111" s="413">
        <v>0.0</v>
      </c>
      <c r="C111" s="413">
        <v>6.0</v>
      </c>
      <c r="D111" s="413">
        <v>19.0</v>
      </c>
      <c r="E111" s="1021">
        <v>2.0</v>
      </c>
      <c r="F111" s="413">
        <v>1.0</v>
      </c>
      <c r="G111" s="413">
        <v>28.0</v>
      </c>
    </row>
    <row r="112">
      <c r="A112" s="1020" t="s">
        <v>838</v>
      </c>
      <c r="B112" s="413">
        <v>0.0</v>
      </c>
      <c r="C112" s="413">
        <v>44.0</v>
      </c>
      <c r="D112" s="413">
        <v>44.0</v>
      </c>
      <c r="E112" s="1021">
        <v>8.0</v>
      </c>
      <c r="F112" s="413">
        <v>4.0</v>
      </c>
      <c r="G112" s="413">
        <v>100.0</v>
      </c>
    </row>
    <row r="113">
      <c r="A113" s="1020" t="s">
        <v>3220</v>
      </c>
      <c r="B113" s="413">
        <v>14.0</v>
      </c>
      <c r="C113" s="413">
        <v>84.0</v>
      </c>
      <c r="D113" s="413">
        <v>172.0</v>
      </c>
      <c r="E113" s="1021">
        <v>24.0</v>
      </c>
      <c r="F113" s="413">
        <v>13.0</v>
      </c>
      <c r="G113" s="413">
        <v>307.0</v>
      </c>
    </row>
    <row r="114">
      <c r="A114" s="1025" t="s">
        <v>3618</v>
      </c>
      <c r="B114" s="413">
        <v>0.0</v>
      </c>
      <c r="C114" s="413">
        <v>13.0</v>
      </c>
      <c r="D114" s="413">
        <v>21.0</v>
      </c>
      <c r="E114" s="1021">
        <v>4.0</v>
      </c>
      <c r="F114" s="413">
        <v>3.0</v>
      </c>
      <c r="G114" s="413">
        <v>41.0</v>
      </c>
    </row>
    <row r="115">
      <c r="A115" s="1020" t="s">
        <v>2666</v>
      </c>
      <c r="B115" s="413">
        <v>1.0</v>
      </c>
      <c r="C115" s="413">
        <v>27.0</v>
      </c>
      <c r="D115" s="413">
        <v>38.0</v>
      </c>
      <c r="E115" s="1021">
        <v>6.0</v>
      </c>
      <c r="F115" s="413">
        <v>4.0</v>
      </c>
      <c r="G115" s="413">
        <v>76.0</v>
      </c>
    </row>
    <row r="116">
      <c r="A116" s="1025" t="s">
        <v>844</v>
      </c>
      <c r="B116" s="413">
        <v>0.0</v>
      </c>
      <c r="C116" s="413">
        <v>10.0</v>
      </c>
      <c r="D116" s="413">
        <v>10.0</v>
      </c>
      <c r="E116" s="1021">
        <v>5.0</v>
      </c>
      <c r="F116" s="413">
        <v>2.0</v>
      </c>
      <c r="G116" s="413">
        <v>27.0</v>
      </c>
    </row>
    <row r="117">
      <c r="A117" s="1020" t="s">
        <v>3621</v>
      </c>
      <c r="B117" s="413">
        <v>0.0</v>
      </c>
      <c r="C117" s="413">
        <v>40.0</v>
      </c>
      <c r="D117" s="413">
        <v>76.0</v>
      </c>
      <c r="E117" s="1021">
        <v>16.0</v>
      </c>
      <c r="F117" s="413">
        <v>13.0</v>
      </c>
      <c r="G117" s="413">
        <v>145.0</v>
      </c>
    </row>
    <row r="118">
      <c r="A118" s="1020" t="s">
        <v>3622</v>
      </c>
      <c r="B118" s="413">
        <v>0.0</v>
      </c>
      <c r="C118" s="413">
        <v>172.0</v>
      </c>
      <c r="D118" s="413">
        <v>194.0</v>
      </c>
      <c r="E118" s="1021">
        <v>32.0</v>
      </c>
      <c r="F118" s="413">
        <v>26.0</v>
      </c>
      <c r="G118" s="413">
        <v>424.0</v>
      </c>
    </row>
    <row r="119">
      <c r="A119" s="1020" t="s">
        <v>2790</v>
      </c>
      <c r="B119" s="413">
        <v>0.0</v>
      </c>
      <c r="C119" s="413">
        <v>11.0</v>
      </c>
      <c r="D119" s="413">
        <v>21.0</v>
      </c>
      <c r="E119" s="1021">
        <v>4.0</v>
      </c>
      <c r="F119" s="413">
        <v>3.0</v>
      </c>
      <c r="G119" s="413">
        <v>39.0</v>
      </c>
    </row>
    <row r="120">
      <c r="A120" s="1020" t="s">
        <v>2677</v>
      </c>
      <c r="B120" s="413">
        <v>2.0</v>
      </c>
      <c r="C120" s="413">
        <v>89.0</v>
      </c>
      <c r="D120" s="413">
        <v>104.0</v>
      </c>
      <c r="E120" s="1021">
        <v>12.0</v>
      </c>
      <c r="F120" s="413">
        <v>10.0</v>
      </c>
      <c r="G120" s="413">
        <v>217.0</v>
      </c>
    </row>
    <row r="121">
      <c r="A121" s="1020" t="s">
        <v>2681</v>
      </c>
      <c r="B121" s="206">
        <v>3.0</v>
      </c>
      <c r="C121" s="208">
        <v>51.0</v>
      </c>
      <c r="D121" s="208">
        <v>80.0</v>
      </c>
      <c r="E121" s="206">
        <v>10.0</v>
      </c>
      <c r="F121" s="206">
        <v>9.0</v>
      </c>
      <c r="G121" s="208">
        <v>153.0</v>
      </c>
    </row>
    <row r="122">
      <c r="A122" s="1022" t="s">
        <v>3534</v>
      </c>
      <c r="B122" s="206">
        <v>69.0</v>
      </c>
      <c r="C122" s="208">
        <v>1585.0</v>
      </c>
      <c r="D122" s="208">
        <v>2550.0</v>
      </c>
      <c r="E122" s="206">
        <v>398.0</v>
      </c>
      <c r="F122" s="206">
        <v>351.0</v>
      </c>
      <c r="G122" s="208">
        <v>4953.0</v>
      </c>
    </row>
    <row r="123">
      <c r="A123" s="1020" t="s">
        <v>826</v>
      </c>
      <c r="B123" s="413">
        <v>11.0</v>
      </c>
      <c r="C123" s="413">
        <v>752.0</v>
      </c>
      <c r="D123" s="416">
        <v>1285.0</v>
      </c>
      <c r="E123" s="413">
        <v>114.0</v>
      </c>
      <c r="F123" s="413">
        <v>205.0</v>
      </c>
      <c r="G123" s="416">
        <v>2367.0</v>
      </c>
    </row>
    <row r="124">
      <c r="A124" s="1020" t="s">
        <v>3534</v>
      </c>
      <c r="B124" s="413">
        <v>11.0</v>
      </c>
      <c r="C124" s="413">
        <v>752.0</v>
      </c>
      <c r="D124" s="416">
        <v>1285.0</v>
      </c>
      <c r="E124" s="413">
        <v>114.0</v>
      </c>
      <c r="F124" s="413">
        <v>205.0</v>
      </c>
      <c r="G124" s="416">
        <v>2367.0</v>
      </c>
    </row>
    <row r="125">
      <c r="A125" s="1020" t="s">
        <v>3627</v>
      </c>
      <c r="B125" s="413">
        <v>6.0</v>
      </c>
      <c r="C125" s="413">
        <v>306.0</v>
      </c>
      <c r="D125" s="416">
        <v>427.0</v>
      </c>
      <c r="E125" s="413">
        <v>77.0</v>
      </c>
      <c r="F125" s="413">
        <v>104.0</v>
      </c>
      <c r="G125" s="416">
        <v>920.0</v>
      </c>
    </row>
    <row r="126">
      <c r="A126" s="1020" t="s">
        <v>3628</v>
      </c>
      <c r="B126" s="410">
        <v>7.0</v>
      </c>
      <c r="C126" s="410">
        <v>453.0</v>
      </c>
      <c r="D126" s="1001">
        <v>740.0</v>
      </c>
      <c r="E126" s="410">
        <v>109.0</v>
      </c>
      <c r="F126" s="410">
        <v>154.0</v>
      </c>
      <c r="G126" s="1001">
        <v>1463.0</v>
      </c>
    </row>
    <row r="127">
      <c r="A127" s="1032" t="s">
        <v>3629</v>
      </c>
      <c r="B127" s="1021">
        <v>13.0</v>
      </c>
      <c r="C127" s="1021">
        <v>759.0</v>
      </c>
      <c r="D127" s="1033">
        <v>1167.0</v>
      </c>
      <c r="E127" s="1021">
        <v>186.0</v>
      </c>
      <c r="F127" s="1021">
        <v>258.0</v>
      </c>
      <c r="G127" s="1034">
        <v>2383.0</v>
      </c>
    </row>
    <row r="128">
      <c r="A128" s="1020" t="s">
        <v>3632</v>
      </c>
      <c r="B128" s="206">
        <v>0.0</v>
      </c>
      <c r="C128" s="206">
        <v>6.0</v>
      </c>
      <c r="D128" s="208">
        <v>5.0</v>
      </c>
      <c r="E128" s="206">
        <v>3.0</v>
      </c>
      <c r="F128" s="206">
        <v>1.0</v>
      </c>
      <c r="G128" s="208">
        <v>15.0</v>
      </c>
    </row>
    <row r="129">
      <c r="A129" s="1022" t="s">
        <v>3534</v>
      </c>
      <c r="B129" s="206">
        <v>0.0</v>
      </c>
      <c r="C129" s="206">
        <v>6.0</v>
      </c>
      <c r="D129" s="206">
        <v>5.0</v>
      </c>
      <c r="E129" s="206">
        <v>3.0</v>
      </c>
      <c r="F129" s="206">
        <v>1.0</v>
      </c>
      <c r="G129" s="206">
        <v>15.0</v>
      </c>
    </row>
    <row r="130">
      <c r="A130" s="784" t="s">
        <v>3633</v>
      </c>
      <c r="B130" s="833">
        <v>134.0</v>
      </c>
      <c r="C130" s="209">
        <v>6107.0</v>
      </c>
      <c r="D130" s="209">
        <v>10865.0</v>
      </c>
      <c r="E130" s="209">
        <v>1626.0</v>
      </c>
      <c r="F130" s="209">
        <v>1515.0</v>
      </c>
      <c r="G130" s="209">
        <v>20247.0</v>
      </c>
    </row>
    <row r="137">
      <c r="A137" s="275" t="s">
        <v>2484</v>
      </c>
      <c r="B137" s="276"/>
      <c r="C137" s="276"/>
      <c r="D137" s="276"/>
      <c r="E137" s="276"/>
      <c r="F137" s="276"/>
      <c r="G137" s="276"/>
      <c r="H137" s="276"/>
      <c r="I137" s="275" t="s">
        <v>1043</v>
      </c>
      <c r="J137" s="1013">
        <v>44609.0</v>
      </c>
      <c r="K137" s="275" t="s">
        <v>1044</v>
      </c>
      <c r="L137" s="277">
        <v>44012.0</v>
      </c>
      <c r="M137" s="276"/>
      <c r="N137" s="276"/>
      <c r="O137" s="276"/>
      <c r="P137" s="276"/>
      <c r="Q137" s="276"/>
      <c r="R137" s="276"/>
      <c r="S137" s="276"/>
      <c r="T137" s="276"/>
    </row>
    <row r="139">
      <c r="A139" s="784" t="s">
        <v>3507</v>
      </c>
      <c r="B139" s="206">
        <v>9.0</v>
      </c>
    </row>
    <row r="140">
      <c r="A140" s="784" t="s">
        <v>3509</v>
      </c>
      <c r="B140" s="206">
        <v>7.0</v>
      </c>
    </row>
    <row r="141">
      <c r="A141" s="784" t="s">
        <v>2627</v>
      </c>
      <c r="B141" s="206">
        <v>127.0</v>
      </c>
    </row>
    <row r="142">
      <c r="A142" s="784" t="s">
        <v>2751</v>
      </c>
      <c r="B142" s="206">
        <v>12.0</v>
      </c>
    </row>
    <row r="143">
      <c r="A143" s="784" t="s">
        <v>2539</v>
      </c>
      <c r="B143" s="206">
        <v>3.0</v>
      </c>
    </row>
    <row r="144">
      <c r="A144" s="784" t="s">
        <v>2540</v>
      </c>
      <c r="B144" s="206">
        <v>65.0</v>
      </c>
    </row>
    <row r="145">
      <c r="A145" s="784" t="s">
        <v>3513</v>
      </c>
      <c r="B145" s="206">
        <v>16.0</v>
      </c>
    </row>
    <row r="146">
      <c r="A146" s="784" t="s">
        <v>804</v>
      </c>
      <c r="B146" s="206">
        <v>66.0</v>
      </c>
    </row>
    <row r="147">
      <c r="A147" s="784" t="s">
        <v>2544</v>
      </c>
      <c r="B147" s="206">
        <v>20.0</v>
      </c>
    </row>
    <row r="148">
      <c r="A148" s="784" t="s">
        <v>3516</v>
      </c>
      <c r="B148" s="206">
        <v>3.0</v>
      </c>
    </row>
    <row r="149">
      <c r="A149" s="784" t="s">
        <v>3517</v>
      </c>
      <c r="B149" s="206">
        <v>8.0</v>
      </c>
    </row>
    <row r="150">
      <c r="A150" s="784" t="s">
        <v>815</v>
      </c>
      <c r="B150" s="206">
        <v>6.0</v>
      </c>
    </row>
    <row r="151">
      <c r="A151" s="784" t="s">
        <v>3519</v>
      </c>
      <c r="B151" s="206">
        <v>4.0</v>
      </c>
    </row>
    <row r="152">
      <c r="A152" s="784" t="s">
        <v>2558</v>
      </c>
      <c r="B152" s="206">
        <v>30.0</v>
      </c>
    </row>
    <row r="153">
      <c r="A153" s="784" t="s">
        <v>2644</v>
      </c>
      <c r="B153" s="206">
        <v>18.0</v>
      </c>
    </row>
    <row r="154">
      <c r="A154" s="784" t="s">
        <v>3521</v>
      </c>
      <c r="B154" s="206">
        <v>4.0</v>
      </c>
    </row>
    <row r="155">
      <c r="A155" s="784" t="s">
        <v>2565</v>
      </c>
      <c r="B155" s="206">
        <v>20.0</v>
      </c>
    </row>
    <row r="156">
      <c r="A156" s="784" t="s">
        <v>2765</v>
      </c>
      <c r="B156" s="206">
        <v>30.0</v>
      </c>
    </row>
    <row r="157">
      <c r="A157" s="784" t="s">
        <v>2651</v>
      </c>
      <c r="B157" s="206">
        <v>20.0</v>
      </c>
    </row>
    <row r="158">
      <c r="A158" s="784" t="s">
        <v>2571</v>
      </c>
      <c r="B158" s="206">
        <v>29.0</v>
      </c>
    </row>
    <row r="159">
      <c r="A159" s="784" t="s">
        <v>2579</v>
      </c>
      <c r="B159" s="206">
        <v>1.0</v>
      </c>
    </row>
    <row r="160">
      <c r="A160" s="784" t="s">
        <v>3525</v>
      </c>
      <c r="B160" s="206">
        <v>9.0</v>
      </c>
    </row>
    <row r="161">
      <c r="A161" s="784" t="s">
        <v>3527</v>
      </c>
      <c r="B161" s="206">
        <v>50.0</v>
      </c>
    </row>
    <row r="162">
      <c r="A162" s="784" t="s">
        <v>3528</v>
      </c>
      <c r="B162" s="206">
        <v>23.0</v>
      </c>
    </row>
    <row r="163">
      <c r="A163" s="784" t="s">
        <v>3529</v>
      </c>
      <c r="B163" s="206">
        <v>13.0</v>
      </c>
    </row>
    <row r="164">
      <c r="A164" s="784" t="s">
        <v>3530</v>
      </c>
      <c r="B164" s="206">
        <v>8.0</v>
      </c>
    </row>
    <row r="165">
      <c r="A165" s="784" t="s">
        <v>2587</v>
      </c>
      <c r="B165" s="206">
        <v>33.0</v>
      </c>
    </row>
    <row r="166">
      <c r="A166" s="784" t="s">
        <v>3532</v>
      </c>
      <c r="B166" s="206">
        <v>19.0</v>
      </c>
    </row>
    <row r="167">
      <c r="A167" s="784" t="s">
        <v>2680</v>
      </c>
      <c r="B167" s="206">
        <v>2.0</v>
      </c>
    </row>
    <row r="168">
      <c r="A168" s="784" t="s">
        <v>3629</v>
      </c>
      <c r="B168" s="206">
        <v>655.0</v>
      </c>
    </row>
    <row r="169">
      <c r="A169" s="784" t="s">
        <v>2620</v>
      </c>
      <c r="B169" s="206">
        <v>26.0</v>
      </c>
    </row>
    <row r="170">
      <c r="A170" s="784" t="s">
        <v>3535</v>
      </c>
      <c r="B170" s="206">
        <v>24.0</v>
      </c>
    </row>
    <row r="171">
      <c r="A171" s="784" t="s">
        <v>2537</v>
      </c>
      <c r="B171" s="206">
        <v>190.0</v>
      </c>
    </row>
    <row r="172">
      <c r="A172" s="784" t="s">
        <v>3538</v>
      </c>
      <c r="B172" s="206">
        <v>78.0</v>
      </c>
    </row>
    <row r="173">
      <c r="A173" s="784" t="s">
        <v>2543</v>
      </c>
      <c r="B173" s="206">
        <v>25.0</v>
      </c>
    </row>
    <row r="174">
      <c r="A174" s="784" t="s">
        <v>3540</v>
      </c>
      <c r="B174" s="206">
        <v>79.0</v>
      </c>
    </row>
    <row r="175">
      <c r="A175" s="784" t="s">
        <v>820</v>
      </c>
      <c r="B175" s="206">
        <v>97.0</v>
      </c>
    </row>
    <row r="176">
      <c r="A176" s="784" t="s">
        <v>3542</v>
      </c>
      <c r="B176" s="206">
        <v>21.0</v>
      </c>
    </row>
    <row r="177">
      <c r="A177" s="784" t="s">
        <v>2645</v>
      </c>
      <c r="B177" s="206">
        <v>5.0</v>
      </c>
    </row>
    <row r="178">
      <c r="A178" s="784" t="s">
        <v>2569</v>
      </c>
      <c r="B178" s="206">
        <v>1.0</v>
      </c>
    </row>
    <row r="179">
      <c r="A179" s="784" t="s">
        <v>3544</v>
      </c>
      <c r="B179" s="206">
        <v>10.0</v>
      </c>
    </row>
    <row r="180">
      <c r="A180" s="784" t="s">
        <v>2768</v>
      </c>
      <c r="B180" s="206">
        <v>79.0</v>
      </c>
    </row>
    <row r="181">
      <c r="A181" s="784" t="s">
        <v>873</v>
      </c>
      <c r="B181" s="206">
        <v>11.0</v>
      </c>
    </row>
    <row r="182">
      <c r="A182" s="784" t="s">
        <v>874</v>
      </c>
      <c r="B182" s="206">
        <v>29.0</v>
      </c>
    </row>
    <row r="183">
      <c r="A183" s="784" t="s">
        <v>875</v>
      </c>
      <c r="B183" s="206">
        <v>12.0</v>
      </c>
    </row>
    <row r="184">
      <c r="A184" s="784" t="s">
        <v>837</v>
      </c>
      <c r="B184" s="206">
        <v>22.0</v>
      </c>
    </row>
    <row r="185">
      <c r="A185" s="784" t="s">
        <v>3549</v>
      </c>
      <c r="B185" s="206">
        <v>8.0</v>
      </c>
    </row>
    <row r="186">
      <c r="A186" s="784" t="s">
        <v>840</v>
      </c>
      <c r="B186" s="206">
        <v>21.0</v>
      </c>
    </row>
    <row r="187">
      <c r="A187" s="784" t="s">
        <v>3551</v>
      </c>
      <c r="B187" s="206">
        <v>9.0</v>
      </c>
    </row>
    <row r="188">
      <c r="A188" s="784" t="s">
        <v>841</v>
      </c>
      <c r="B188" s="206">
        <v>38.0</v>
      </c>
    </row>
    <row r="189">
      <c r="A189" s="784" t="s">
        <v>2589</v>
      </c>
      <c r="B189" s="206">
        <v>4.0</v>
      </c>
    </row>
    <row r="190">
      <c r="A190" s="784" t="s">
        <v>3554</v>
      </c>
      <c r="B190" s="206">
        <v>15.0</v>
      </c>
    </row>
    <row r="191">
      <c r="A191" s="784" t="s">
        <v>845</v>
      </c>
      <c r="B191" s="206">
        <v>12.0</v>
      </c>
    </row>
    <row r="192">
      <c r="A192" s="784" t="s">
        <v>2779</v>
      </c>
      <c r="B192" s="206">
        <v>108.0</v>
      </c>
    </row>
    <row r="193">
      <c r="A193" s="784" t="s">
        <v>2597</v>
      </c>
      <c r="B193" s="206">
        <v>57.0</v>
      </c>
    </row>
    <row r="194">
      <c r="A194" s="784" t="s">
        <v>3629</v>
      </c>
      <c r="B194" s="206">
        <v>981.0</v>
      </c>
    </row>
    <row r="195">
      <c r="A195" s="784" t="s">
        <v>3559</v>
      </c>
      <c r="B195" s="206">
        <v>26.0</v>
      </c>
    </row>
    <row r="196">
      <c r="A196" s="784" t="s">
        <v>858</v>
      </c>
      <c r="B196" s="206">
        <v>107.0</v>
      </c>
    </row>
    <row r="197">
      <c r="A197" s="784" t="s">
        <v>3561</v>
      </c>
      <c r="B197" s="206">
        <v>191.0</v>
      </c>
    </row>
    <row r="198">
      <c r="A198" s="784" t="s">
        <v>3562</v>
      </c>
      <c r="B198" s="206">
        <v>14.0</v>
      </c>
    </row>
    <row r="199">
      <c r="A199" s="784" t="s">
        <v>2547</v>
      </c>
      <c r="B199" s="206">
        <v>20.0</v>
      </c>
    </row>
    <row r="200">
      <c r="A200" s="784" t="s">
        <v>3565</v>
      </c>
      <c r="B200" s="206">
        <v>13.0</v>
      </c>
    </row>
    <row r="201">
      <c r="A201" s="784" t="s">
        <v>3566</v>
      </c>
      <c r="B201" s="206">
        <v>50.0</v>
      </c>
    </row>
    <row r="202">
      <c r="A202" s="784" t="s">
        <v>3569</v>
      </c>
      <c r="B202" s="206">
        <v>111.0</v>
      </c>
    </row>
    <row r="203">
      <c r="A203" s="784" t="s">
        <v>3570</v>
      </c>
      <c r="B203" s="206">
        <v>7.0</v>
      </c>
    </row>
    <row r="204">
      <c r="A204" s="784" t="s">
        <v>827</v>
      </c>
      <c r="B204" s="206">
        <v>143.0</v>
      </c>
    </row>
    <row r="205">
      <c r="A205" s="784" t="s">
        <v>833</v>
      </c>
      <c r="B205" s="206">
        <v>19.0</v>
      </c>
    </row>
    <row r="206">
      <c r="A206" s="784" t="s">
        <v>3573</v>
      </c>
      <c r="B206" s="206">
        <v>6.0</v>
      </c>
    </row>
    <row r="207">
      <c r="A207" s="784" t="s">
        <v>3574</v>
      </c>
      <c r="B207" s="206">
        <v>16.0</v>
      </c>
    </row>
    <row r="208">
      <c r="A208" s="784" t="s">
        <v>3576</v>
      </c>
      <c r="B208" s="206">
        <v>61.0</v>
      </c>
    </row>
    <row r="209">
      <c r="A209" s="784" t="s">
        <v>3578</v>
      </c>
      <c r="B209" s="206">
        <v>20.0</v>
      </c>
    </row>
    <row r="210">
      <c r="A210" s="784" t="s">
        <v>3579</v>
      </c>
      <c r="B210" s="206">
        <v>75.0</v>
      </c>
    </row>
    <row r="211">
      <c r="A211" s="784" t="s">
        <v>877</v>
      </c>
      <c r="B211" s="206">
        <v>42.0</v>
      </c>
    </row>
    <row r="212">
      <c r="A212" s="784" t="s">
        <v>3581</v>
      </c>
      <c r="B212" s="206">
        <v>84.0</v>
      </c>
    </row>
    <row r="213">
      <c r="A213" s="784" t="s">
        <v>3583</v>
      </c>
      <c r="B213" s="206">
        <v>67.0</v>
      </c>
    </row>
    <row r="214">
      <c r="A214" s="784" t="s">
        <v>3584</v>
      </c>
      <c r="B214" s="206">
        <v>11.0</v>
      </c>
    </row>
    <row r="215">
      <c r="A215" s="784" t="s">
        <v>3585</v>
      </c>
      <c r="B215" s="206">
        <v>15.0</v>
      </c>
    </row>
    <row r="216">
      <c r="A216" s="784" t="s">
        <v>2590</v>
      </c>
      <c r="B216" s="206">
        <v>78.0</v>
      </c>
    </row>
    <row r="217">
      <c r="A217" s="784" t="s">
        <v>3588</v>
      </c>
      <c r="B217" s="206">
        <v>14.0</v>
      </c>
    </row>
    <row r="218">
      <c r="A218" s="784" t="s">
        <v>3589</v>
      </c>
      <c r="B218" s="206">
        <v>123.0</v>
      </c>
    </row>
    <row r="219">
      <c r="A219" s="784" t="s">
        <v>3592</v>
      </c>
      <c r="B219" s="206">
        <v>19.0</v>
      </c>
    </row>
    <row r="220">
      <c r="A220" s="784" t="s">
        <v>3593</v>
      </c>
      <c r="B220" s="206">
        <v>89.0</v>
      </c>
    </row>
    <row r="221">
      <c r="A221" s="784" t="s">
        <v>3594</v>
      </c>
      <c r="B221" s="206">
        <v>32.0</v>
      </c>
    </row>
    <row r="222">
      <c r="A222" s="784" t="s">
        <v>883</v>
      </c>
      <c r="B222" s="206">
        <v>43.0</v>
      </c>
    </row>
    <row r="223">
      <c r="A223" s="784" t="s">
        <v>2598</v>
      </c>
      <c r="B223" s="206">
        <v>24.0</v>
      </c>
    </row>
    <row r="224">
      <c r="A224" s="784" t="s">
        <v>3629</v>
      </c>
      <c r="B224" s="208">
        <v>1520.0</v>
      </c>
    </row>
    <row r="225">
      <c r="A225" s="784" t="s">
        <v>3597</v>
      </c>
      <c r="B225" s="206">
        <v>31.0</v>
      </c>
    </row>
    <row r="226">
      <c r="A226" s="784" t="s">
        <v>3599</v>
      </c>
      <c r="B226" s="206">
        <v>18.0</v>
      </c>
    </row>
    <row r="227">
      <c r="A227" s="784" t="s">
        <v>3601</v>
      </c>
      <c r="B227" s="206">
        <v>23.0</v>
      </c>
    </row>
    <row r="228">
      <c r="A228" s="784" t="s">
        <v>2624</v>
      </c>
      <c r="B228" s="206">
        <v>20.0</v>
      </c>
    </row>
    <row r="229">
      <c r="A229" s="784" t="s">
        <v>3603</v>
      </c>
      <c r="B229" s="206">
        <v>41.0</v>
      </c>
    </row>
    <row r="230">
      <c r="A230" s="784" t="s">
        <v>2629</v>
      </c>
      <c r="B230" s="206">
        <v>22.0</v>
      </c>
    </row>
    <row r="231">
      <c r="A231" s="784" t="s">
        <v>2542</v>
      </c>
      <c r="B231" s="206">
        <v>81.0</v>
      </c>
    </row>
    <row r="232">
      <c r="A232" s="784" t="s">
        <v>3604</v>
      </c>
      <c r="B232" s="206">
        <v>4.0</v>
      </c>
    </row>
    <row r="233">
      <c r="A233" s="784" t="s">
        <v>813</v>
      </c>
      <c r="B233" s="206">
        <v>9.0</v>
      </c>
    </row>
    <row r="234">
      <c r="A234" s="784" t="s">
        <v>2551</v>
      </c>
      <c r="B234" s="206">
        <v>15.0</v>
      </c>
    </row>
    <row r="235">
      <c r="A235" s="784" t="s">
        <v>822</v>
      </c>
      <c r="B235" s="206">
        <v>258.0</v>
      </c>
    </row>
    <row r="236">
      <c r="A236" s="784" t="s">
        <v>824</v>
      </c>
      <c r="B236" s="206">
        <v>41.0</v>
      </c>
    </row>
    <row r="237">
      <c r="A237" s="784" t="s">
        <v>3608</v>
      </c>
      <c r="B237" s="206">
        <v>8.0</v>
      </c>
    </row>
    <row r="238">
      <c r="A238" s="784" t="s">
        <v>2563</v>
      </c>
      <c r="B238" s="206">
        <v>292.0</v>
      </c>
    </row>
    <row r="239">
      <c r="A239" s="784" t="s">
        <v>3610</v>
      </c>
      <c r="B239" s="206">
        <v>75.0</v>
      </c>
    </row>
    <row r="240">
      <c r="A240" s="784" t="s">
        <v>829</v>
      </c>
      <c r="B240" s="206">
        <v>25.0</v>
      </c>
    </row>
    <row r="241">
      <c r="A241" s="784" t="s">
        <v>3612</v>
      </c>
      <c r="B241" s="206">
        <v>25.0</v>
      </c>
    </row>
    <row r="242">
      <c r="A242" s="784" t="s">
        <v>3614</v>
      </c>
      <c r="B242" s="206">
        <v>57.0</v>
      </c>
    </row>
    <row r="243">
      <c r="A243" s="784" t="s">
        <v>3615</v>
      </c>
      <c r="B243" s="206">
        <v>18.0</v>
      </c>
    </row>
    <row r="244">
      <c r="A244" s="784" t="s">
        <v>838</v>
      </c>
      <c r="B244" s="206">
        <v>37.0</v>
      </c>
    </row>
    <row r="245">
      <c r="A245" s="784" t="s">
        <v>3220</v>
      </c>
      <c r="B245" s="206">
        <v>45.0</v>
      </c>
    </row>
    <row r="246">
      <c r="A246" s="784" t="s">
        <v>3618</v>
      </c>
      <c r="B246" s="206">
        <v>12.0</v>
      </c>
    </row>
    <row r="247">
      <c r="A247" s="784" t="s">
        <v>2666</v>
      </c>
      <c r="B247" s="206">
        <v>39.0</v>
      </c>
    </row>
    <row r="248">
      <c r="A248" s="784" t="s">
        <v>844</v>
      </c>
      <c r="B248" s="206">
        <v>8.0</v>
      </c>
    </row>
    <row r="249">
      <c r="A249" s="784" t="s">
        <v>3621</v>
      </c>
      <c r="B249" s="206">
        <v>25.0</v>
      </c>
    </row>
    <row r="250">
      <c r="A250" s="784" t="s">
        <v>3622</v>
      </c>
      <c r="B250" s="206">
        <v>110.0</v>
      </c>
    </row>
    <row r="251">
      <c r="A251" s="784" t="s">
        <v>2790</v>
      </c>
      <c r="B251" s="206">
        <v>26.0</v>
      </c>
    </row>
    <row r="252">
      <c r="A252" s="784" t="s">
        <v>2677</v>
      </c>
      <c r="B252" s="206">
        <v>50.0</v>
      </c>
    </row>
    <row r="253">
      <c r="A253" s="784" t="s">
        <v>2681</v>
      </c>
      <c r="B253" s="206">
        <v>51.0</v>
      </c>
    </row>
    <row r="254">
      <c r="A254" s="784" t="s">
        <v>3629</v>
      </c>
      <c r="B254" s="208">
        <v>1466.0</v>
      </c>
    </row>
    <row r="255">
      <c r="A255" s="784" t="s">
        <v>826</v>
      </c>
      <c r="B255" s="206">
        <v>576.0</v>
      </c>
    </row>
    <row r="256">
      <c r="A256" s="784" t="s">
        <v>3629</v>
      </c>
      <c r="B256" s="206">
        <v>576.0</v>
      </c>
    </row>
    <row r="257">
      <c r="A257" s="784" t="s">
        <v>3627</v>
      </c>
      <c r="B257" s="206">
        <v>150.0</v>
      </c>
    </row>
    <row r="258">
      <c r="A258" s="784" t="s">
        <v>3628</v>
      </c>
      <c r="B258" s="206">
        <v>179.0</v>
      </c>
    </row>
    <row r="259">
      <c r="A259" s="784" t="s">
        <v>3629</v>
      </c>
      <c r="B259" s="206">
        <v>329.0</v>
      </c>
    </row>
    <row r="260">
      <c r="A260" s="1035"/>
      <c r="B260" s="208"/>
    </row>
    <row r="261">
      <c r="A261" s="784" t="s">
        <v>3671</v>
      </c>
      <c r="B261" s="209">
        <v>5527.0</v>
      </c>
    </row>
    <row r="266">
      <c r="A266" s="275" t="s">
        <v>792</v>
      </c>
      <c r="B266" s="276"/>
      <c r="C266" s="276"/>
      <c r="D266" s="276"/>
      <c r="E266" s="276"/>
      <c r="F266" s="276"/>
      <c r="G266" s="276"/>
      <c r="H266" s="276"/>
      <c r="I266" s="275" t="s">
        <v>1043</v>
      </c>
      <c r="J266" s="277">
        <v>44609.0</v>
      </c>
      <c r="K266" s="275" t="s">
        <v>1044</v>
      </c>
      <c r="L266" s="277">
        <v>44377.0</v>
      </c>
      <c r="M266" s="276"/>
      <c r="N266" s="276"/>
      <c r="O266" s="276"/>
      <c r="P266" s="276"/>
      <c r="Q266" s="276"/>
      <c r="R266" s="276"/>
      <c r="S266" s="276"/>
      <c r="T266" s="276"/>
    </row>
    <row r="269">
      <c r="A269" s="784" t="s">
        <v>3507</v>
      </c>
      <c r="B269" s="206">
        <v>0.0</v>
      </c>
    </row>
    <row r="270">
      <c r="A270" s="784" t="s">
        <v>3509</v>
      </c>
      <c r="B270" s="206">
        <v>2.0</v>
      </c>
    </row>
    <row r="271">
      <c r="A271" s="784" t="s">
        <v>2627</v>
      </c>
      <c r="B271" s="206">
        <v>16.0</v>
      </c>
    </row>
    <row r="272">
      <c r="A272" s="784" t="s">
        <v>2751</v>
      </c>
      <c r="B272" s="206">
        <v>0.0</v>
      </c>
    </row>
    <row r="273">
      <c r="A273" s="784" t="s">
        <v>2539</v>
      </c>
      <c r="B273" s="206">
        <v>0.0</v>
      </c>
    </row>
    <row r="274">
      <c r="A274" s="784" t="s">
        <v>2540</v>
      </c>
      <c r="B274" s="206">
        <v>9.0</v>
      </c>
    </row>
    <row r="275">
      <c r="A275" s="784" t="s">
        <v>3513</v>
      </c>
      <c r="B275" s="206">
        <v>0.0</v>
      </c>
    </row>
    <row r="276">
      <c r="A276" s="784" t="s">
        <v>804</v>
      </c>
      <c r="B276" s="206">
        <v>7.0</v>
      </c>
    </row>
    <row r="277">
      <c r="A277" s="784" t="s">
        <v>2544</v>
      </c>
      <c r="B277" s="206">
        <v>5.0</v>
      </c>
    </row>
    <row r="278">
      <c r="A278" s="784" t="s">
        <v>3516</v>
      </c>
      <c r="B278" s="206">
        <v>1.0</v>
      </c>
    </row>
    <row r="279">
      <c r="A279" s="784" t="s">
        <v>3517</v>
      </c>
      <c r="B279" s="206">
        <v>1.0</v>
      </c>
    </row>
    <row r="280">
      <c r="A280" s="784" t="s">
        <v>815</v>
      </c>
      <c r="B280" s="206">
        <v>2.0</v>
      </c>
    </row>
    <row r="281">
      <c r="A281" s="784" t="s">
        <v>3519</v>
      </c>
      <c r="B281" s="206">
        <v>3.0</v>
      </c>
    </row>
    <row r="282">
      <c r="A282" s="784" t="s">
        <v>2558</v>
      </c>
      <c r="B282" s="206">
        <v>0.0</v>
      </c>
    </row>
    <row r="283">
      <c r="A283" s="784" t="s">
        <v>2644</v>
      </c>
      <c r="B283" s="206">
        <v>2.0</v>
      </c>
    </row>
    <row r="284">
      <c r="A284" s="784" t="s">
        <v>3521</v>
      </c>
      <c r="B284" s="206">
        <v>4.0</v>
      </c>
    </row>
    <row r="285">
      <c r="A285" s="784" t="s">
        <v>2565</v>
      </c>
      <c r="B285" s="206">
        <v>3.0</v>
      </c>
    </row>
    <row r="286">
      <c r="A286" s="784" t="s">
        <v>2765</v>
      </c>
      <c r="B286" s="206">
        <v>0.0</v>
      </c>
    </row>
    <row r="287">
      <c r="A287" s="784" t="s">
        <v>2651</v>
      </c>
      <c r="B287" s="206">
        <v>3.0</v>
      </c>
    </row>
    <row r="288">
      <c r="A288" s="784" t="s">
        <v>2571</v>
      </c>
      <c r="B288" s="206">
        <v>1.0</v>
      </c>
    </row>
    <row r="289">
      <c r="A289" s="784" t="s">
        <v>2579</v>
      </c>
      <c r="B289" s="206">
        <v>0.0</v>
      </c>
    </row>
    <row r="290">
      <c r="A290" s="784" t="s">
        <v>3525</v>
      </c>
      <c r="B290" s="206">
        <v>2.0</v>
      </c>
    </row>
    <row r="291">
      <c r="A291" s="784" t="s">
        <v>3527</v>
      </c>
      <c r="B291" s="206">
        <v>4.0</v>
      </c>
    </row>
    <row r="292">
      <c r="A292" s="784" t="s">
        <v>3528</v>
      </c>
      <c r="B292" s="206">
        <v>2.0</v>
      </c>
    </row>
    <row r="293">
      <c r="A293" s="784" t="s">
        <v>3529</v>
      </c>
      <c r="B293" s="206">
        <v>1.0</v>
      </c>
    </row>
    <row r="294">
      <c r="A294" s="784" t="s">
        <v>3530</v>
      </c>
      <c r="B294" s="206">
        <v>0.0</v>
      </c>
    </row>
    <row r="295">
      <c r="A295" s="784" t="s">
        <v>2587</v>
      </c>
      <c r="B295" s="206">
        <v>2.0</v>
      </c>
    </row>
    <row r="296">
      <c r="A296" s="784" t="s">
        <v>3532</v>
      </c>
      <c r="B296" s="206">
        <v>0.0</v>
      </c>
    </row>
    <row r="297">
      <c r="A297" s="784" t="s">
        <v>2680</v>
      </c>
      <c r="B297" s="206">
        <v>0.0</v>
      </c>
    </row>
    <row r="298">
      <c r="A298" s="784" t="s">
        <v>3629</v>
      </c>
      <c r="B298" s="206">
        <v>70.0</v>
      </c>
    </row>
    <row r="299">
      <c r="A299" s="784" t="s">
        <v>2620</v>
      </c>
      <c r="B299" s="206">
        <v>5.0</v>
      </c>
    </row>
    <row r="300">
      <c r="A300" s="784" t="s">
        <v>3535</v>
      </c>
      <c r="B300" s="206">
        <v>9.0</v>
      </c>
    </row>
    <row r="301">
      <c r="A301" s="784" t="s">
        <v>2537</v>
      </c>
      <c r="B301" s="206">
        <v>4.0</v>
      </c>
    </row>
    <row r="302">
      <c r="A302" s="784" t="s">
        <v>3538</v>
      </c>
      <c r="B302" s="206">
        <v>4.0</v>
      </c>
    </row>
    <row r="303">
      <c r="A303" s="784" t="s">
        <v>2543</v>
      </c>
      <c r="B303" s="206">
        <v>5.0</v>
      </c>
    </row>
    <row r="304">
      <c r="A304" s="784" t="s">
        <v>3540</v>
      </c>
      <c r="B304" s="206">
        <v>5.0</v>
      </c>
    </row>
    <row r="305">
      <c r="A305" s="784" t="s">
        <v>820</v>
      </c>
      <c r="B305" s="206">
        <v>37.0</v>
      </c>
    </row>
    <row r="306">
      <c r="A306" s="784" t="s">
        <v>3542</v>
      </c>
      <c r="B306" s="206">
        <v>3.0</v>
      </c>
    </row>
    <row r="307">
      <c r="A307" s="784" t="s">
        <v>2645</v>
      </c>
      <c r="B307" s="206">
        <v>0.0</v>
      </c>
    </row>
    <row r="308">
      <c r="A308" s="784" t="s">
        <v>2569</v>
      </c>
      <c r="B308" s="206">
        <v>1.0</v>
      </c>
    </row>
    <row r="309">
      <c r="A309" s="784" t="s">
        <v>3544</v>
      </c>
      <c r="B309" s="206">
        <v>0.0</v>
      </c>
    </row>
    <row r="310">
      <c r="A310" s="784" t="s">
        <v>2768</v>
      </c>
      <c r="B310" s="206">
        <v>13.0</v>
      </c>
    </row>
    <row r="311">
      <c r="A311" s="784" t="s">
        <v>873</v>
      </c>
      <c r="B311" s="206">
        <v>0.0</v>
      </c>
    </row>
    <row r="312">
      <c r="A312" s="784" t="s">
        <v>874</v>
      </c>
      <c r="B312" s="206">
        <v>7.0</v>
      </c>
    </row>
    <row r="313">
      <c r="A313" s="784" t="s">
        <v>875</v>
      </c>
      <c r="B313" s="206">
        <v>1.0</v>
      </c>
    </row>
    <row r="314">
      <c r="A314" s="784" t="s">
        <v>837</v>
      </c>
      <c r="B314" s="206">
        <v>8.0</v>
      </c>
    </row>
    <row r="315">
      <c r="A315" s="784" t="s">
        <v>3549</v>
      </c>
      <c r="B315" s="206">
        <v>1.0</v>
      </c>
    </row>
    <row r="316">
      <c r="A316" s="784" t="s">
        <v>840</v>
      </c>
      <c r="B316" s="206">
        <v>0.0</v>
      </c>
    </row>
    <row r="317">
      <c r="A317" s="784" t="s">
        <v>3551</v>
      </c>
      <c r="B317" s="206">
        <v>3.0</v>
      </c>
    </row>
    <row r="318">
      <c r="A318" s="784" t="s">
        <v>841</v>
      </c>
      <c r="B318" s="206">
        <v>2.0</v>
      </c>
    </row>
    <row r="319">
      <c r="A319" s="784" t="s">
        <v>2589</v>
      </c>
      <c r="B319" s="206">
        <v>1.0</v>
      </c>
    </row>
    <row r="320">
      <c r="A320" s="784" t="s">
        <v>3554</v>
      </c>
      <c r="B320" s="206">
        <v>0.0</v>
      </c>
    </row>
    <row r="321">
      <c r="A321" s="784" t="s">
        <v>845</v>
      </c>
      <c r="B321" s="206">
        <v>0.0</v>
      </c>
    </row>
    <row r="322">
      <c r="A322" s="784" t="s">
        <v>2779</v>
      </c>
      <c r="B322" s="206">
        <v>27.0</v>
      </c>
    </row>
    <row r="323">
      <c r="A323" s="784" t="s">
        <v>2597</v>
      </c>
      <c r="B323" s="206">
        <v>3.0</v>
      </c>
    </row>
    <row r="324">
      <c r="A324" s="784" t="s">
        <v>3629</v>
      </c>
      <c r="B324" s="206">
        <v>139.0</v>
      </c>
    </row>
    <row r="325">
      <c r="A325" s="784" t="s">
        <v>3559</v>
      </c>
      <c r="B325" s="206">
        <v>3.0</v>
      </c>
    </row>
    <row r="326">
      <c r="A326" s="784" t="s">
        <v>858</v>
      </c>
      <c r="B326" s="206">
        <v>16.0</v>
      </c>
    </row>
    <row r="327">
      <c r="A327" s="784" t="s">
        <v>3561</v>
      </c>
      <c r="B327" s="206">
        <v>11.0</v>
      </c>
    </row>
    <row r="328">
      <c r="A328" s="784" t="s">
        <v>3562</v>
      </c>
      <c r="B328" s="206">
        <v>0.0</v>
      </c>
    </row>
    <row r="329">
      <c r="A329" s="784" t="s">
        <v>2547</v>
      </c>
      <c r="B329" s="206">
        <v>10.0</v>
      </c>
    </row>
    <row r="330">
      <c r="A330" s="784" t="s">
        <v>3565</v>
      </c>
      <c r="B330" s="206">
        <v>14.0</v>
      </c>
    </row>
    <row r="331">
      <c r="A331" s="784" t="s">
        <v>3566</v>
      </c>
      <c r="B331" s="206">
        <v>0.0</v>
      </c>
    </row>
    <row r="332">
      <c r="A332" s="784" t="s">
        <v>3569</v>
      </c>
      <c r="B332" s="206">
        <v>1.0</v>
      </c>
    </row>
    <row r="333">
      <c r="A333" s="784" t="s">
        <v>3570</v>
      </c>
      <c r="B333" s="206">
        <v>2.0</v>
      </c>
    </row>
    <row r="334">
      <c r="A334" s="784" t="s">
        <v>827</v>
      </c>
      <c r="B334" s="206">
        <v>27.0</v>
      </c>
    </row>
    <row r="335">
      <c r="A335" s="784" t="s">
        <v>833</v>
      </c>
      <c r="B335" s="206">
        <v>6.0</v>
      </c>
    </row>
    <row r="336">
      <c r="A336" s="784" t="s">
        <v>3573</v>
      </c>
      <c r="B336" s="206">
        <v>2.0</v>
      </c>
    </row>
    <row r="337">
      <c r="A337" s="784" t="s">
        <v>3574</v>
      </c>
      <c r="B337" s="206">
        <v>0.0</v>
      </c>
    </row>
    <row r="338">
      <c r="A338" s="784" t="s">
        <v>3576</v>
      </c>
      <c r="B338" s="206">
        <v>4.0</v>
      </c>
    </row>
    <row r="339">
      <c r="A339" s="784" t="s">
        <v>3578</v>
      </c>
      <c r="B339" s="206">
        <v>0.0</v>
      </c>
    </row>
    <row r="340">
      <c r="A340" s="784" t="s">
        <v>3579</v>
      </c>
      <c r="B340" s="206">
        <v>3.0</v>
      </c>
    </row>
    <row r="341">
      <c r="A341" s="784" t="s">
        <v>877</v>
      </c>
      <c r="B341" s="206">
        <v>1.0</v>
      </c>
    </row>
    <row r="342">
      <c r="A342" s="784" t="s">
        <v>3581</v>
      </c>
      <c r="B342" s="206">
        <v>5.0</v>
      </c>
    </row>
    <row r="343">
      <c r="A343" s="784" t="s">
        <v>3583</v>
      </c>
      <c r="B343" s="206">
        <v>4.0</v>
      </c>
    </row>
    <row r="344">
      <c r="A344" s="784" t="s">
        <v>3584</v>
      </c>
      <c r="B344" s="206">
        <v>0.0</v>
      </c>
    </row>
    <row r="345">
      <c r="A345" s="784" t="s">
        <v>3585</v>
      </c>
      <c r="B345" s="206">
        <v>6.0</v>
      </c>
    </row>
    <row r="346">
      <c r="A346" s="784" t="s">
        <v>2590</v>
      </c>
      <c r="B346" s="206">
        <v>1.0</v>
      </c>
    </row>
    <row r="347">
      <c r="A347" s="784" t="s">
        <v>3588</v>
      </c>
      <c r="B347" s="206">
        <v>0.0</v>
      </c>
    </row>
    <row r="348">
      <c r="A348" s="784" t="s">
        <v>3589</v>
      </c>
      <c r="B348" s="206">
        <v>38.0</v>
      </c>
    </row>
    <row r="349">
      <c r="A349" s="784" t="s">
        <v>3592</v>
      </c>
      <c r="B349" s="206">
        <v>6.0</v>
      </c>
    </row>
    <row r="350">
      <c r="A350" s="784" t="s">
        <v>3593</v>
      </c>
      <c r="B350" s="206">
        <v>4.0</v>
      </c>
    </row>
    <row r="351">
      <c r="A351" s="784" t="s">
        <v>3594</v>
      </c>
      <c r="B351" s="206">
        <v>6.0</v>
      </c>
    </row>
    <row r="352">
      <c r="A352" s="784" t="s">
        <v>883</v>
      </c>
      <c r="B352" s="206">
        <v>24.0</v>
      </c>
    </row>
    <row r="353">
      <c r="A353" s="784" t="s">
        <v>2598</v>
      </c>
      <c r="B353" s="206">
        <v>5.0</v>
      </c>
    </row>
    <row r="354">
      <c r="A354" s="784" t="s">
        <v>3629</v>
      </c>
      <c r="B354" s="206">
        <v>199.0</v>
      </c>
    </row>
    <row r="355">
      <c r="A355" s="784" t="s">
        <v>3597</v>
      </c>
      <c r="B355" s="206">
        <v>14.0</v>
      </c>
    </row>
    <row r="356">
      <c r="A356" s="784" t="s">
        <v>3599</v>
      </c>
      <c r="B356" s="206">
        <v>5.0</v>
      </c>
    </row>
    <row r="357">
      <c r="A357" s="784" t="s">
        <v>3601</v>
      </c>
      <c r="B357" s="206">
        <v>1.0</v>
      </c>
    </row>
    <row r="358">
      <c r="A358" s="784" t="s">
        <v>2624</v>
      </c>
      <c r="B358" s="206">
        <v>0.0</v>
      </c>
    </row>
    <row r="359">
      <c r="A359" s="784" t="s">
        <v>3603</v>
      </c>
      <c r="B359" s="206">
        <v>0.0</v>
      </c>
    </row>
    <row r="360">
      <c r="A360" s="784" t="s">
        <v>2629</v>
      </c>
      <c r="B360" s="206">
        <v>1.0</v>
      </c>
    </row>
    <row r="361">
      <c r="A361" s="784" t="s">
        <v>2542</v>
      </c>
      <c r="B361" s="206">
        <v>13.0</v>
      </c>
    </row>
    <row r="362">
      <c r="A362" s="784" t="s">
        <v>3604</v>
      </c>
      <c r="B362" s="206">
        <v>0.0</v>
      </c>
    </row>
    <row r="363">
      <c r="A363" s="784" t="s">
        <v>813</v>
      </c>
      <c r="B363" s="206">
        <v>1.0</v>
      </c>
    </row>
    <row r="364">
      <c r="A364" s="784" t="s">
        <v>2551</v>
      </c>
      <c r="B364" s="206">
        <v>1.0</v>
      </c>
    </row>
    <row r="365">
      <c r="A365" s="784" t="s">
        <v>822</v>
      </c>
      <c r="B365" s="206">
        <v>105.0</v>
      </c>
    </row>
    <row r="366">
      <c r="A366" s="784" t="s">
        <v>824</v>
      </c>
      <c r="B366" s="206">
        <v>6.0</v>
      </c>
    </row>
    <row r="367">
      <c r="A367" s="784" t="s">
        <v>3608</v>
      </c>
      <c r="B367" s="206">
        <v>2.0</v>
      </c>
    </row>
    <row r="368">
      <c r="A368" s="784" t="s">
        <v>2563</v>
      </c>
      <c r="B368" s="206">
        <v>12.0</v>
      </c>
    </row>
    <row r="369">
      <c r="A369" s="784" t="s">
        <v>3610</v>
      </c>
      <c r="B369" s="206">
        <v>6.0</v>
      </c>
    </row>
    <row r="370">
      <c r="A370" s="784" t="s">
        <v>829</v>
      </c>
      <c r="B370" s="206">
        <v>15.0</v>
      </c>
    </row>
    <row r="371">
      <c r="A371" s="784" t="s">
        <v>3612</v>
      </c>
      <c r="B371" s="206">
        <v>9.0</v>
      </c>
    </row>
    <row r="372">
      <c r="A372" s="784" t="s">
        <v>3614</v>
      </c>
      <c r="B372" s="206">
        <v>1.0</v>
      </c>
    </row>
    <row r="373">
      <c r="A373" s="784" t="s">
        <v>3615</v>
      </c>
      <c r="B373" s="206">
        <v>1.0</v>
      </c>
    </row>
    <row r="374">
      <c r="A374" s="784" t="s">
        <v>838</v>
      </c>
      <c r="B374" s="206">
        <v>0.0</v>
      </c>
    </row>
    <row r="375">
      <c r="A375" s="784" t="s">
        <v>3220</v>
      </c>
      <c r="B375" s="206">
        <v>10.0</v>
      </c>
    </row>
    <row r="376">
      <c r="A376" s="784" t="s">
        <v>3618</v>
      </c>
      <c r="B376" s="206">
        <v>0.0</v>
      </c>
    </row>
    <row r="377">
      <c r="A377" s="784" t="s">
        <v>2666</v>
      </c>
      <c r="B377" s="206">
        <v>6.0</v>
      </c>
    </row>
    <row r="378">
      <c r="A378" s="784" t="s">
        <v>844</v>
      </c>
      <c r="B378" s="206">
        <v>1.0</v>
      </c>
    </row>
    <row r="379">
      <c r="A379" s="784" t="s">
        <v>3621</v>
      </c>
      <c r="B379" s="206">
        <v>17.0</v>
      </c>
    </row>
    <row r="380">
      <c r="A380" s="784" t="s">
        <v>3622</v>
      </c>
      <c r="B380" s="206">
        <v>21.0</v>
      </c>
    </row>
    <row r="381">
      <c r="A381" s="784" t="s">
        <v>2790</v>
      </c>
      <c r="B381" s="206">
        <v>1.0</v>
      </c>
    </row>
    <row r="382">
      <c r="A382" s="784" t="s">
        <v>2677</v>
      </c>
      <c r="B382" s="206">
        <v>11.0</v>
      </c>
    </row>
    <row r="383">
      <c r="A383" s="784" t="s">
        <v>2681</v>
      </c>
      <c r="B383" s="206">
        <v>1.0</v>
      </c>
    </row>
    <row r="384">
      <c r="A384" s="784" t="s">
        <v>3629</v>
      </c>
      <c r="B384" s="206">
        <v>261.0</v>
      </c>
    </row>
    <row r="385">
      <c r="A385" s="784" t="s">
        <v>826</v>
      </c>
      <c r="B385" s="206">
        <v>132.0</v>
      </c>
    </row>
    <row r="386">
      <c r="A386" s="784" t="s">
        <v>3629</v>
      </c>
      <c r="B386" s="206">
        <v>132.0</v>
      </c>
    </row>
    <row r="387">
      <c r="A387" s="784" t="s">
        <v>3627</v>
      </c>
      <c r="B387" s="206">
        <v>47.0</v>
      </c>
    </row>
    <row r="388">
      <c r="A388" s="784" t="s">
        <v>3628</v>
      </c>
      <c r="B388" s="206">
        <v>58.0</v>
      </c>
    </row>
    <row r="389">
      <c r="A389" s="784" t="s">
        <v>3629</v>
      </c>
      <c r="B389" s="206">
        <v>105.0</v>
      </c>
    </row>
    <row r="390">
      <c r="A390" s="784" t="s">
        <v>3632</v>
      </c>
      <c r="B390" s="206">
        <v>0.0</v>
      </c>
    </row>
    <row r="391">
      <c r="A391" s="784" t="s">
        <v>3629</v>
      </c>
      <c r="B391" s="206">
        <v>0.0</v>
      </c>
    </row>
    <row r="392">
      <c r="A392" s="784" t="s">
        <v>3633</v>
      </c>
      <c r="B392" s="833">
        <v>906.0</v>
      </c>
    </row>
  </sheetData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5.25"/>
    <col customWidth="1" min="12" max="12" width="13.5"/>
  </cols>
  <sheetData>
    <row r="1">
      <c r="A1" s="167"/>
      <c r="B1" s="168" t="s">
        <v>76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</row>
    <row r="2">
      <c r="A2" s="169" t="s">
        <v>172</v>
      </c>
      <c r="B2" s="170" t="s">
        <v>174</v>
      </c>
      <c r="C2" s="171" t="s">
        <v>693</v>
      </c>
      <c r="D2" s="172" t="s">
        <v>694</v>
      </c>
      <c r="E2" s="172" t="s">
        <v>695</v>
      </c>
      <c r="F2" s="172" t="s">
        <v>179</v>
      </c>
      <c r="G2" s="172" t="s">
        <v>696</v>
      </c>
      <c r="H2" s="173" t="s">
        <v>697</v>
      </c>
      <c r="I2" s="174" t="s">
        <v>84</v>
      </c>
      <c r="J2" s="170" t="s">
        <v>698</v>
      </c>
      <c r="K2" s="175" t="s">
        <v>699</v>
      </c>
      <c r="L2" s="173" t="s">
        <v>89</v>
      </c>
      <c r="M2" s="176" t="s">
        <v>700</v>
      </c>
      <c r="N2" s="177" t="s">
        <v>701</v>
      </c>
      <c r="O2" s="177" t="s">
        <v>702</v>
      </c>
      <c r="P2" s="178" t="s">
        <v>90</v>
      </c>
      <c r="Q2" s="325" t="s">
        <v>703</v>
      </c>
    </row>
    <row r="3">
      <c r="A3" s="326" t="s">
        <v>1431</v>
      </c>
      <c r="B3" s="251">
        <f t="array" ref="B3">VLOOKUP($A3,MT_DEMO,2,FALSE)</f>
        <v>9371</v>
      </c>
      <c r="C3" s="252" t="s">
        <v>63</v>
      </c>
      <c r="D3" s="253" t="s">
        <v>63</v>
      </c>
      <c r="E3" s="253" t="s">
        <v>63</v>
      </c>
      <c r="F3" s="253" t="s">
        <v>63</v>
      </c>
      <c r="G3" s="253" t="s">
        <v>63</v>
      </c>
      <c r="H3" s="254" t="s">
        <v>63</v>
      </c>
      <c r="I3" s="255" t="s">
        <v>63</v>
      </c>
      <c r="J3" s="256" t="s">
        <v>63</v>
      </c>
      <c r="K3" s="274" t="s">
        <v>63</v>
      </c>
      <c r="L3" s="254" t="s">
        <v>63</v>
      </c>
      <c r="M3" s="258" t="s">
        <v>63</v>
      </c>
      <c r="N3" s="253" t="s">
        <v>63</v>
      </c>
      <c r="O3" s="253" t="s">
        <v>63</v>
      </c>
      <c r="P3" s="261">
        <f>ifna(vlookup(A3,'Population &amp; Church Numbers'!$A$1601:$D$1656,4,FALSE),"NULL")</f>
        <v>17</v>
      </c>
      <c r="Q3" s="329" t="s">
        <v>63</v>
      </c>
    </row>
    <row r="4">
      <c r="A4" s="188" t="s">
        <v>1432</v>
      </c>
      <c r="B4" s="189">
        <f t="array" ref="B4">VLOOKUP($A4,MT_DEMO,2,FALSE)</f>
        <v>13124</v>
      </c>
      <c r="C4" s="264" t="s">
        <v>63</v>
      </c>
      <c r="D4" s="265" t="s">
        <v>63</v>
      </c>
      <c r="E4" s="265" t="s">
        <v>63</v>
      </c>
      <c r="F4" s="265" t="s">
        <v>63</v>
      </c>
      <c r="G4" s="265" t="s">
        <v>63</v>
      </c>
      <c r="H4" s="266" t="s">
        <v>63</v>
      </c>
      <c r="I4" s="267" t="s">
        <v>63</v>
      </c>
      <c r="J4" s="268" t="s">
        <v>63</v>
      </c>
      <c r="K4" s="284" t="s">
        <v>63</v>
      </c>
      <c r="L4" s="266" t="s">
        <v>63</v>
      </c>
      <c r="M4" s="267" t="s">
        <v>63</v>
      </c>
      <c r="N4" s="265" t="s">
        <v>63</v>
      </c>
      <c r="O4" s="265" t="s">
        <v>63</v>
      </c>
      <c r="P4" s="272">
        <f>ifna(vlookup(A4,'Population &amp; Church Numbers'!$A$1601:$D$1656,4,FALSE),"NULL")</f>
        <v>13</v>
      </c>
      <c r="Q4" s="334" t="s">
        <v>63</v>
      </c>
    </row>
    <row r="5">
      <c r="A5" s="326" t="s">
        <v>666</v>
      </c>
      <c r="B5" s="251">
        <f t="array" ref="B5">VLOOKUP($A5,MT_DEMO,2,FALSE)</f>
        <v>7044</v>
      </c>
      <c r="C5" s="252" t="s">
        <v>63</v>
      </c>
      <c r="D5" s="253" t="s">
        <v>63</v>
      </c>
      <c r="E5" s="253" t="s">
        <v>63</v>
      </c>
      <c r="F5" s="253" t="s">
        <v>63</v>
      </c>
      <c r="G5" s="253" t="s">
        <v>63</v>
      </c>
      <c r="H5" s="254" t="s">
        <v>63</v>
      </c>
      <c r="I5" s="255" t="s">
        <v>63</v>
      </c>
      <c r="J5" s="256" t="s">
        <v>63</v>
      </c>
      <c r="K5" s="274" t="s">
        <v>63</v>
      </c>
      <c r="L5" s="254" t="s">
        <v>63</v>
      </c>
      <c r="M5" s="255" t="s">
        <v>63</v>
      </c>
      <c r="N5" s="253" t="s">
        <v>63</v>
      </c>
      <c r="O5" s="253" t="s">
        <v>63</v>
      </c>
      <c r="P5" s="261">
        <f>ifna(vlookup(A5,'Population &amp; Church Numbers'!$A$1601:$D$1656,4,FALSE),"NULL")</f>
        <v>11</v>
      </c>
      <c r="Q5" s="329" t="s">
        <v>63</v>
      </c>
    </row>
    <row r="6">
      <c r="A6" s="188" t="s">
        <v>1433</v>
      </c>
      <c r="B6" s="189">
        <f t="array" ref="B6">VLOOKUP($A6,MT_DEMO,2,FALSE)</f>
        <v>6774</v>
      </c>
      <c r="C6" s="264" t="s">
        <v>63</v>
      </c>
      <c r="D6" s="265" t="s">
        <v>63</v>
      </c>
      <c r="E6" s="265" t="s">
        <v>63</v>
      </c>
      <c r="F6" s="265" t="s">
        <v>63</v>
      </c>
      <c r="G6" s="265" t="s">
        <v>63</v>
      </c>
      <c r="H6" s="266" t="s">
        <v>63</v>
      </c>
      <c r="I6" s="267" t="s">
        <v>63</v>
      </c>
      <c r="J6" s="268" t="s">
        <v>63</v>
      </c>
      <c r="K6" s="284" t="s">
        <v>63</v>
      </c>
      <c r="L6" s="266" t="s">
        <v>63</v>
      </c>
      <c r="M6" s="267" t="s">
        <v>63</v>
      </c>
      <c r="N6" s="265" t="s">
        <v>63</v>
      </c>
      <c r="O6" s="265" t="s">
        <v>63</v>
      </c>
      <c r="P6" s="272">
        <f>ifna(vlookup(A6,'Population &amp; Church Numbers'!$A$1601:$D$1656,4,FALSE),"NULL")</f>
        <v>6</v>
      </c>
      <c r="Q6" s="334" t="s">
        <v>63</v>
      </c>
    </row>
    <row r="7">
      <c r="A7" s="326" t="s">
        <v>1434</v>
      </c>
      <c r="B7" s="251">
        <f t="array" ref="B7">VLOOKUP($A7,MT_DEMO,2,FALSE)</f>
        <v>10473</v>
      </c>
      <c r="C7" s="252" t="s">
        <v>63</v>
      </c>
      <c r="D7" s="253" t="s">
        <v>63</v>
      </c>
      <c r="E7" s="253" t="s">
        <v>63</v>
      </c>
      <c r="F7" s="253" t="s">
        <v>63</v>
      </c>
      <c r="G7" s="253" t="s">
        <v>63</v>
      </c>
      <c r="H7" s="254" t="s">
        <v>63</v>
      </c>
      <c r="I7" s="255" t="s">
        <v>63</v>
      </c>
      <c r="J7" s="256" t="s">
        <v>63</v>
      </c>
      <c r="K7" s="274" t="s">
        <v>63</v>
      </c>
      <c r="L7" s="254" t="s">
        <v>63</v>
      </c>
      <c r="M7" s="255" t="s">
        <v>63</v>
      </c>
      <c r="N7" s="253" t="s">
        <v>63</v>
      </c>
      <c r="O7" s="253" t="s">
        <v>63</v>
      </c>
      <c r="P7" s="261">
        <f>ifna(vlookup(A7,'Population &amp; Church Numbers'!$A$1601:$D$1656,4,FALSE),"NULL")</f>
        <v>16</v>
      </c>
      <c r="Q7" s="329" t="s">
        <v>63</v>
      </c>
    </row>
    <row r="8">
      <c r="A8" s="188" t="s">
        <v>1038</v>
      </c>
      <c r="B8" s="189">
        <f t="array" ref="B8">VLOOKUP($A8,MT_DEMO,2,FALSE)</f>
        <v>1415</v>
      </c>
      <c r="C8" s="264" t="s">
        <v>63</v>
      </c>
      <c r="D8" s="265" t="s">
        <v>63</v>
      </c>
      <c r="E8" s="265" t="s">
        <v>63</v>
      </c>
      <c r="F8" s="265" t="s">
        <v>63</v>
      </c>
      <c r="G8" s="265" t="s">
        <v>63</v>
      </c>
      <c r="H8" s="266" t="s">
        <v>63</v>
      </c>
      <c r="I8" s="267" t="s">
        <v>63</v>
      </c>
      <c r="J8" s="268" t="s">
        <v>63</v>
      </c>
      <c r="K8" s="284" t="s">
        <v>63</v>
      </c>
      <c r="L8" s="266" t="s">
        <v>63</v>
      </c>
      <c r="M8" s="267" t="s">
        <v>63</v>
      </c>
      <c r="N8" s="265" t="s">
        <v>63</v>
      </c>
      <c r="O8" s="265" t="s">
        <v>63</v>
      </c>
      <c r="P8" s="272">
        <f>ifna(vlookup(A8,'Population &amp; Church Numbers'!$A$1601:$D$1656,4,FALSE),"NULL")</f>
        <v>3</v>
      </c>
      <c r="Q8" s="334" t="s">
        <v>63</v>
      </c>
    </row>
    <row r="9">
      <c r="A9" s="326" t="s">
        <v>1435</v>
      </c>
      <c r="B9" s="251">
        <f t="array" ref="B9">VLOOKUP($A9,MT_DEMO,2,FALSE)</f>
        <v>84414</v>
      </c>
      <c r="C9" s="252" t="s">
        <v>63</v>
      </c>
      <c r="D9" s="253" t="s">
        <v>63</v>
      </c>
      <c r="E9" s="253" t="s">
        <v>63</v>
      </c>
      <c r="F9" s="253" t="s">
        <v>63</v>
      </c>
      <c r="G9" s="253" t="s">
        <v>63</v>
      </c>
      <c r="H9" s="254" t="s">
        <v>63</v>
      </c>
      <c r="I9" s="255" t="s">
        <v>63</v>
      </c>
      <c r="J9" s="256" t="s">
        <v>63</v>
      </c>
      <c r="K9" s="274" t="s">
        <v>63</v>
      </c>
      <c r="L9" s="254" t="s">
        <v>63</v>
      </c>
      <c r="M9" s="255" t="s">
        <v>63</v>
      </c>
      <c r="N9" s="253" t="s">
        <v>63</v>
      </c>
      <c r="O9" s="253" t="s">
        <v>63</v>
      </c>
      <c r="P9" s="261">
        <f>ifna(vlookup(A9,'Population &amp; Church Numbers'!$A$1601:$D$1656,4,FALSE),"NULL")</f>
        <v>80</v>
      </c>
      <c r="Q9" s="329" t="s">
        <v>63</v>
      </c>
    </row>
    <row r="10">
      <c r="A10" s="188" t="s">
        <v>1436</v>
      </c>
      <c r="B10" s="189">
        <f t="array" ref="B10">VLOOKUP($A10,MT_DEMO,2,FALSE)</f>
        <v>5895</v>
      </c>
      <c r="C10" s="264" t="s">
        <v>63</v>
      </c>
      <c r="D10" s="265" t="s">
        <v>63</v>
      </c>
      <c r="E10" s="265" t="s">
        <v>63</v>
      </c>
      <c r="F10" s="265" t="s">
        <v>63</v>
      </c>
      <c r="G10" s="265" t="s">
        <v>63</v>
      </c>
      <c r="H10" s="266" t="s">
        <v>63</v>
      </c>
      <c r="I10" s="267" t="s">
        <v>63</v>
      </c>
      <c r="J10" s="268" t="s">
        <v>63</v>
      </c>
      <c r="K10" s="284" t="s">
        <v>63</v>
      </c>
      <c r="L10" s="266" t="s">
        <v>63</v>
      </c>
      <c r="M10" s="267" t="s">
        <v>63</v>
      </c>
      <c r="N10" s="265" t="s">
        <v>63</v>
      </c>
      <c r="O10" s="265" t="s">
        <v>63</v>
      </c>
      <c r="P10" s="272">
        <f>ifna(vlookup(A10,'Population &amp; Church Numbers'!$A$1601:$D$1656,4,FALSE),"NULL")</f>
        <v>11</v>
      </c>
      <c r="Q10" s="334" t="s">
        <v>63</v>
      </c>
    </row>
    <row r="11">
      <c r="A11" s="326" t="s">
        <v>406</v>
      </c>
      <c r="B11" s="251">
        <f t="array" ref="B11">VLOOKUP($A11,MT_DEMO,2,FALSE)</f>
        <v>11867</v>
      </c>
      <c r="C11" s="252" t="s">
        <v>63</v>
      </c>
      <c r="D11" s="253" t="s">
        <v>63</v>
      </c>
      <c r="E11" s="253" t="s">
        <v>63</v>
      </c>
      <c r="F11" s="253" t="s">
        <v>63</v>
      </c>
      <c r="G11" s="253" t="s">
        <v>63</v>
      </c>
      <c r="H11" s="254" t="s">
        <v>63</v>
      </c>
      <c r="I11" s="255" t="s">
        <v>63</v>
      </c>
      <c r="J11" s="256" t="s">
        <v>63</v>
      </c>
      <c r="K11" s="274" t="s">
        <v>63</v>
      </c>
      <c r="L11" s="254" t="s">
        <v>63</v>
      </c>
      <c r="M11" s="255" t="s">
        <v>63</v>
      </c>
      <c r="N11" s="253" t="s">
        <v>63</v>
      </c>
      <c r="O11" s="253" t="s">
        <v>63</v>
      </c>
      <c r="P11" s="261">
        <f>ifna(vlookup(A11,'Population &amp; Church Numbers'!$A$1601:$D$1656,4,FALSE),"NULL")</f>
        <v>14</v>
      </c>
      <c r="Q11" s="329" t="s">
        <v>63</v>
      </c>
    </row>
    <row r="12">
      <c r="A12" s="188" t="s">
        <v>1437</v>
      </c>
      <c r="B12" s="189">
        <f t="array" ref="B12">VLOOKUP($A12,MT_DEMO,2,FALSE)</f>
        <v>1661</v>
      </c>
      <c r="C12" s="264" t="s">
        <v>63</v>
      </c>
      <c r="D12" s="265" t="s">
        <v>63</v>
      </c>
      <c r="E12" s="265" t="s">
        <v>63</v>
      </c>
      <c r="F12" s="265" t="s">
        <v>63</v>
      </c>
      <c r="G12" s="265" t="s">
        <v>63</v>
      </c>
      <c r="H12" s="266" t="s">
        <v>63</v>
      </c>
      <c r="I12" s="267" t="s">
        <v>63</v>
      </c>
      <c r="J12" s="268" t="s">
        <v>63</v>
      </c>
      <c r="K12" s="284" t="s">
        <v>63</v>
      </c>
      <c r="L12" s="266" t="s">
        <v>63</v>
      </c>
      <c r="M12" s="267" t="s">
        <v>63</v>
      </c>
      <c r="N12" s="265" t="s">
        <v>63</v>
      </c>
      <c r="O12" s="265" t="s">
        <v>63</v>
      </c>
      <c r="P12" s="272">
        <f>ifna(vlookup(A12,'Population &amp; Church Numbers'!$A$1601:$D$1656,4,FALSE),"NULL")</f>
        <v>6</v>
      </c>
      <c r="Q12" s="334" t="s">
        <v>63</v>
      </c>
    </row>
    <row r="13">
      <c r="A13" s="326" t="s">
        <v>562</v>
      </c>
      <c r="B13" s="251">
        <f t="array" ref="B13">VLOOKUP($A13,MT_DEMO,2,FALSE)</f>
        <v>8940</v>
      </c>
      <c r="C13" s="252" t="s">
        <v>63</v>
      </c>
      <c r="D13" s="253" t="s">
        <v>63</v>
      </c>
      <c r="E13" s="253" t="s">
        <v>63</v>
      </c>
      <c r="F13" s="253" t="s">
        <v>63</v>
      </c>
      <c r="G13" s="253" t="s">
        <v>63</v>
      </c>
      <c r="H13" s="254" t="s">
        <v>63</v>
      </c>
      <c r="I13" s="255" t="s">
        <v>63</v>
      </c>
      <c r="J13" s="256" t="s">
        <v>63</v>
      </c>
      <c r="K13" s="274" t="s">
        <v>63</v>
      </c>
      <c r="L13" s="254" t="s">
        <v>63</v>
      </c>
      <c r="M13" s="255" t="s">
        <v>63</v>
      </c>
      <c r="N13" s="253" t="s">
        <v>63</v>
      </c>
      <c r="O13" s="253" t="s">
        <v>63</v>
      </c>
      <c r="P13" s="261">
        <f>ifna(vlookup(A13,'Population &amp; Church Numbers'!$A$1601:$D$1656,4,FALSE),"NULL")</f>
        <v>13</v>
      </c>
      <c r="Q13" s="329" t="s">
        <v>63</v>
      </c>
    </row>
    <row r="14">
      <c r="A14" s="188" t="s">
        <v>1438</v>
      </c>
      <c r="B14" s="189">
        <f t="array" ref="B14">VLOOKUP($A14,MT_DEMO,2,FALSE)</f>
        <v>9421</v>
      </c>
      <c r="C14" s="264" t="s">
        <v>63</v>
      </c>
      <c r="D14" s="265" t="s">
        <v>63</v>
      </c>
      <c r="E14" s="265" t="s">
        <v>63</v>
      </c>
      <c r="F14" s="265" t="s">
        <v>63</v>
      </c>
      <c r="G14" s="265" t="s">
        <v>63</v>
      </c>
      <c r="H14" s="266" t="s">
        <v>63</v>
      </c>
      <c r="I14" s="267" t="s">
        <v>63</v>
      </c>
      <c r="J14" s="268" t="s">
        <v>63</v>
      </c>
      <c r="K14" s="284" t="s">
        <v>63</v>
      </c>
      <c r="L14" s="266" t="s">
        <v>63</v>
      </c>
      <c r="M14" s="267" t="s">
        <v>63</v>
      </c>
      <c r="N14" s="265" t="s">
        <v>63</v>
      </c>
      <c r="O14" s="265" t="s">
        <v>63</v>
      </c>
      <c r="P14" s="272">
        <f>ifna(vlookup(A14,'Population &amp; Church Numbers'!$A$1601:$D$1656,4,FALSE),"NULL")</f>
        <v>12</v>
      </c>
      <c r="Q14" s="334" t="s">
        <v>63</v>
      </c>
    </row>
    <row r="15">
      <c r="A15" s="326" t="s">
        <v>1439</v>
      </c>
      <c r="B15" s="251">
        <f t="array" ref="B15">VLOOKUP($A15,MT_DEMO,2,FALSE)</f>
        <v>3049</v>
      </c>
      <c r="C15" s="252" t="s">
        <v>63</v>
      </c>
      <c r="D15" s="253" t="s">
        <v>63</v>
      </c>
      <c r="E15" s="253" t="s">
        <v>63</v>
      </c>
      <c r="F15" s="253" t="s">
        <v>63</v>
      </c>
      <c r="G15" s="253" t="s">
        <v>63</v>
      </c>
      <c r="H15" s="254" t="s">
        <v>63</v>
      </c>
      <c r="I15" s="255" t="s">
        <v>63</v>
      </c>
      <c r="J15" s="256" t="s">
        <v>63</v>
      </c>
      <c r="K15" s="274" t="s">
        <v>63</v>
      </c>
      <c r="L15" s="254" t="s">
        <v>63</v>
      </c>
      <c r="M15" s="255" t="s">
        <v>63</v>
      </c>
      <c r="N15" s="253" t="s">
        <v>63</v>
      </c>
      <c r="O15" s="253" t="s">
        <v>63</v>
      </c>
      <c r="P15" s="261">
        <f>ifna(vlookup(A15,'Population &amp; Church Numbers'!$A$1601:$D$1656,4,FALSE),"NULL")</f>
        <v>10</v>
      </c>
      <c r="Q15" s="329" t="s">
        <v>63</v>
      </c>
    </row>
    <row r="16">
      <c r="A16" s="188" t="s">
        <v>1440</v>
      </c>
      <c r="B16" s="189">
        <f t="array" ref="B16">VLOOKUP($A16,MT_DEMO,2,FALSE)</f>
        <v>11446</v>
      </c>
      <c r="C16" s="264" t="s">
        <v>63</v>
      </c>
      <c r="D16" s="265" t="s">
        <v>63</v>
      </c>
      <c r="E16" s="265" t="s">
        <v>63</v>
      </c>
      <c r="F16" s="265" t="s">
        <v>63</v>
      </c>
      <c r="G16" s="265" t="s">
        <v>63</v>
      </c>
      <c r="H16" s="266" t="s">
        <v>63</v>
      </c>
      <c r="I16" s="267" t="s">
        <v>63</v>
      </c>
      <c r="J16" s="268" t="s">
        <v>63</v>
      </c>
      <c r="K16" s="284" t="s">
        <v>63</v>
      </c>
      <c r="L16" s="266" t="s">
        <v>63</v>
      </c>
      <c r="M16" s="267" t="s">
        <v>63</v>
      </c>
      <c r="N16" s="265" t="s">
        <v>63</v>
      </c>
      <c r="O16" s="265" t="s">
        <v>63</v>
      </c>
      <c r="P16" s="272">
        <f>ifna(vlookup(A16,'Population &amp; Church Numbers'!$A$1601:$D$1656,4,FALSE),"NULL")</f>
        <v>22</v>
      </c>
      <c r="Q16" s="334" t="s">
        <v>63</v>
      </c>
    </row>
    <row r="17">
      <c r="A17" s="326" t="s">
        <v>1441</v>
      </c>
      <c r="B17" s="251">
        <f t="array" ref="B17">VLOOKUP($A17,MT_DEMO,2,FALSE)</f>
        <v>104357</v>
      </c>
      <c r="C17" s="252" t="s">
        <v>63</v>
      </c>
      <c r="D17" s="253" t="s">
        <v>63</v>
      </c>
      <c r="E17" s="253" t="s">
        <v>63</v>
      </c>
      <c r="F17" s="253" t="s">
        <v>63</v>
      </c>
      <c r="G17" s="253" t="s">
        <v>63</v>
      </c>
      <c r="H17" s="254" t="s">
        <v>63</v>
      </c>
      <c r="I17" s="255" t="s">
        <v>63</v>
      </c>
      <c r="J17" s="256" t="s">
        <v>63</v>
      </c>
      <c r="K17" s="274" t="s">
        <v>63</v>
      </c>
      <c r="L17" s="254" t="s">
        <v>63</v>
      </c>
      <c r="M17" s="255" t="s">
        <v>63</v>
      </c>
      <c r="N17" s="253" t="s">
        <v>63</v>
      </c>
      <c r="O17" s="253" t="s">
        <v>63</v>
      </c>
      <c r="P17" s="261">
        <f>ifna(vlookup(A17,'Population &amp; Church Numbers'!$A$1601:$D$1656,4,FALSE),"NULL")</f>
        <v>96</v>
      </c>
      <c r="Q17" s="329" t="s">
        <v>63</v>
      </c>
    </row>
    <row r="18">
      <c r="A18" s="188" t="s">
        <v>719</v>
      </c>
      <c r="B18" s="189">
        <f t="array" ref="B18">VLOOKUP($A18,MT_DEMO,2,FALSE)</f>
        <v>118960</v>
      </c>
      <c r="C18" s="264" t="s">
        <v>63</v>
      </c>
      <c r="D18" s="265" t="s">
        <v>63</v>
      </c>
      <c r="E18" s="265" t="s">
        <v>63</v>
      </c>
      <c r="F18" s="265" t="s">
        <v>63</v>
      </c>
      <c r="G18" s="265" t="s">
        <v>63</v>
      </c>
      <c r="H18" s="266" t="s">
        <v>63</v>
      </c>
      <c r="I18" s="267" t="s">
        <v>63</v>
      </c>
      <c r="J18" s="268" t="s">
        <v>63</v>
      </c>
      <c r="K18" s="284" t="s">
        <v>63</v>
      </c>
      <c r="L18" s="266" t="s">
        <v>63</v>
      </c>
      <c r="M18" s="267" t="s">
        <v>63</v>
      </c>
      <c r="N18" s="265" t="s">
        <v>63</v>
      </c>
      <c r="O18" s="265" t="s">
        <v>63</v>
      </c>
      <c r="P18" s="272">
        <f>ifna(vlookup(A18,'Population &amp; Church Numbers'!$A$1601:$D$1656,4,FALSE),"NULL")</f>
        <v>70</v>
      </c>
      <c r="Q18" s="334" t="s">
        <v>63</v>
      </c>
    </row>
    <row r="19">
      <c r="A19" s="326" t="s">
        <v>417</v>
      </c>
      <c r="B19" s="251">
        <f t="array" ref="B19">VLOOKUP($A19,MT_DEMO,2,FALSE)</f>
        <v>1173</v>
      </c>
      <c r="C19" s="252" t="s">
        <v>63</v>
      </c>
      <c r="D19" s="253" t="s">
        <v>63</v>
      </c>
      <c r="E19" s="253" t="s">
        <v>63</v>
      </c>
      <c r="F19" s="253" t="s">
        <v>63</v>
      </c>
      <c r="G19" s="253" t="s">
        <v>63</v>
      </c>
      <c r="H19" s="254" t="s">
        <v>63</v>
      </c>
      <c r="I19" s="255" t="s">
        <v>63</v>
      </c>
      <c r="J19" s="256" t="s">
        <v>63</v>
      </c>
      <c r="K19" s="274" t="s">
        <v>63</v>
      </c>
      <c r="L19" s="254" t="s">
        <v>63</v>
      </c>
      <c r="M19" s="255" t="s">
        <v>63</v>
      </c>
      <c r="N19" s="253" t="s">
        <v>63</v>
      </c>
      <c r="O19" s="253" t="s">
        <v>63</v>
      </c>
      <c r="P19" s="261">
        <f>ifna(vlookup(A19,'Population &amp; Church Numbers'!$A$1601:$D$1656,4,FALSE),"NULL")</f>
        <v>3</v>
      </c>
      <c r="Q19" s="329" t="s">
        <v>63</v>
      </c>
    </row>
    <row r="20">
      <c r="A20" s="188" t="s">
        <v>1442</v>
      </c>
      <c r="B20" s="189">
        <f t="array" ref="B20">VLOOKUP($A20,MT_DEMO,2,FALSE)</f>
        <v>13778</v>
      </c>
      <c r="C20" s="264" t="s">
        <v>63</v>
      </c>
      <c r="D20" s="265" t="s">
        <v>63</v>
      </c>
      <c r="E20" s="265" t="s">
        <v>63</v>
      </c>
      <c r="F20" s="265" t="s">
        <v>63</v>
      </c>
      <c r="G20" s="265" t="s">
        <v>63</v>
      </c>
      <c r="H20" s="266" t="s">
        <v>63</v>
      </c>
      <c r="I20" s="267" t="s">
        <v>63</v>
      </c>
      <c r="J20" s="268" t="s">
        <v>63</v>
      </c>
      <c r="K20" s="284" t="s">
        <v>63</v>
      </c>
      <c r="L20" s="266" t="s">
        <v>63</v>
      </c>
      <c r="M20" s="267" t="s">
        <v>63</v>
      </c>
      <c r="N20" s="265" t="s">
        <v>63</v>
      </c>
      <c r="O20" s="265" t="s">
        <v>63</v>
      </c>
      <c r="P20" s="272">
        <f>ifna(vlookup(A20,'Population &amp; Church Numbers'!$A$1601:$D$1656,4,FALSE),"NULL")</f>
        <v>13</v>
      </c>
      <c r="Q20" s="334" t="s">
        <v>63</v>
      </c>
    </row>
    <row r="21">
      <c r="A21" s="326" t="s">
        <v>1443</v>
      </c>
      <c r="B21" s="251">
        <f t="array" ref="B21">VLOOKUP($A21,MT_DEMO,2,FALSE)</f>
        <v>823</v>
      </c>
      <c r="C21" s="252" t="s">
        <v>63</v>
      </c>
      <c r="D21" s="253" t="s">
        <v>63</v>
      </c>
      <c r="E21" s="253" t="s">
        <v>63</v>
      </c>
      <c r="F21" s="253" t="s">
        <v>63</v>
      </c>
      <c r="G21" s="253" t="s">
        <v>63</v>
      </c>
      <c r="H21" s="254" t="s">
        <v>63</v>
      </c>
      <c r="I21" s="255" t="s">
        <v>63</v>
      </c>
      <c r="J21" s="256" t="s">
        <v>63</v>
      </c>
      <c r="K21" s="274" t="s">
        <v>63</v>
      </c>
      <c r="L21" s="254" t="s">
        <v>63</v>
      </c>
      <c r="M21" s="255" t="s">
        <v>63</v>
      </c>
      <c r="N21" s="253" t="s">
        <v>63</v>
      </c>
      <c r="O21" s="253" t="s">
        <v>63</v>
      </c>
      <c r="P21" s="261">
        <f>ifna(vlookup(A21,'Population &amp; Church Numbers'!$A$1601:$D$1656,4,FALSE),"NULL")</f>
        <v>2</v>
      </c>
      <c r="Q21" s="329" t="s">
        <v>63</v>
      </c>
    </row>
    <row r="22">
      <c r="A22" s="188" t="s">
        <v>1444</v>
      </c>
      <c r="B22" s="189">
        <f t="array" ref="B22">VLOOKUP($A22,MT_DEMO,2,FALSE)</f>
        <v>3309</v>
      </c>
      <c r="C22" s="264" t="s">
        <v>63</v>
      </c>
      <c r="D22" s="265" t="s">
        <v>63</v>
      </c>
      <c r="E22" s="265" t="s">
        <v>63</v>
      </c>
      <c r="F22" s="265" t="s">
        <v>63</v>
      </c>
      <c r="G22" s="265" t="s">
        <v>63</v>
      </c>
      <c r="H22" s="266" t="s">
        <v>63</v>
      </c>
      <c r="I22" s="267" t="s">
        <v>63</v>
      </c>
      <c r="J22" s="268" t="s">
        <v>63</v>
      </c>
      <c r="K22" s="284" t="s">
        <v>63</v>
      </c>
      <c r="L22" s="266" t="s">
        <v>63</v>
      </c>
      <c r="M22" s="267" t="s">
        <v>63</v>
      </c>
      <c r="N22" s="265" t="s">
        <v>63</v>
      </c>
      <c r="O22" s="265" t="s">
        <v>63</v>
      </c>
      <c r="P22" s="272">
        <f>ifna(vlookup(A22,'Population &amp; Church Numbers'!$A$1601:$D$1656,4,FALSE),"NULL")</f>
        <v>2</v>
      </c>
      <c r="Q22" s="334" t="s">
        <v>63</v>
      </c>
    </row>
    <row r="23">
      <c r="A23" s="326" t="s">
        <v>1445</v>
      </c>
      <c r="B23" s="251">
        <f t="array" ref="B23">VLOOKUP($A23,MT_DEMO,2,FALSE)</f>
        <v>16309</v>
      </c>
      <c r="C23" s="252" t="s">
        <v>63</v>
      </c>
      <c r="D23" s="253" t="s">
        <v>63</v>
      </c>
      <c r="E23" s="253" t="s">
        <v>63</v>
      </c>
      <c r="F23" s="253" t="s">
        <v>63</v>
      </c>
      <c r="G23" s="253" t="s">
        <v>63</v>
      </c>
      <c r="H23" s="254" t="s">
        <v>63</v>
      </c>
      <c r="I23" s="255" t="s">
        <v>63</v>
      </c>
      <c r="J23" s="256" t="s">
        <v>63</v>
      </c>
      <c r="K23" s="274" t="s">
        <v>63</v>
      </c>
      <c r="L23" s="254" t="s">
        <v>63</v>
      </c>
      <c r="M23" s="255" t="s">
        <v>63</v>
      </c>
      <c r="N23" s="253" t="s">
        <v>63</v>
      </c>
      <c r="O23" s="253" t="s">
        <v>63</v>
      </c>
      <c r="P23" s="261">
        <f>ifna(vlookup(A23,'Population &amp; Church Numbers'!$A$1601:$D$1656,4,FALSE),"NULL")</f>
        <v>23</v>
      </c>
      <c r="Q23" s="329" t="s">
        <v>63</v>
      </c>
    </row>
    <row r="24">
      <c r="A24" s="188" t="s">
        <v>143</v>
      </c>
      <c r="B24" s="189">
        <f t="array" ref="B24">VLOOKUP($A24,MT_DEMO,2,FALSE)</f>
        <v>12085</v>
      </c>
      <c r="C24" s="264" t="s">
        <v>63</v>
      </c>
      <c r="D24" s="265" t="s">
        <v>63</v>
      </c>
      <c r="E24" s="265" t="s">
        <v>63</v>
      </c>
      <c r="F24" s="265" t="s">
        <v>63</v>
      </c>
      <c r="G24" s="265" t="s">
        <v>63</v>
      </c>
      <c r="H24" s="266" t="s">
        <v>63</v>
      </c>
      <c r="I24" s="267" t="s">
        <v>63</v>
      </c>
      <c r="J24" s="268" t="s">
        <v>63</v>
      </c>
      <c r="K24" s="284" t="s">
        <v>63</v>
      </c>
      <c r="L24" s="266" t="s">
        <v>63</v>
      </c>
      <c r="M24" s="267" t="s">
        <v>63</v>
      </c>
      <c r="N24" s="265" t="s">
        <v>63</v>
      </c>
      <c r="O24" s="265" t="s">
        <v>63</v>
      </c>
      <c r="P24" s="272">
        <f>ifna(vlookup(A24,'Population &amp; Church Numbers'!$A$1601:$D$1656,4,FALSE),"NULL")</f>
        <v>17</v>
      </c>
      <c r="Q24" s="334" t="s">
        <v>63</v>
      </c>
    </row>
    <row r="25">
      <c r="A25" s="326" t="s">
        <v>1446</v>
      </c>
      <c r="B25" s="251">
        <f t="array" ref="B25">VLOOKUP($A25,MT_DEMO,2,FALSE)</f>
        <v>2023</v>
      </c>
      <c r="C25" s="252" t="s">
        <v>63</v>
      </c>
      <c r="D25" s="253" t="s">
        <v>63</v>
      </c>
      <c r="E25" s="253" t="s">
        <v>63</v>
      </c>
      <c r="F25" s="253" t="s">
        <v>63</v>
      </c>
      <c r="G25" s="253" t="s">
        <v>63</v>
      </c>
      <c r="H25" s="254" t="s">
        <v>63</v>
      </c>
      <c r="I25" s="255" t="s">
        <v>63</v>
      </c>
      <c r="J25" s="256" t="s">
        <v>63</v>
      </c>
      <c r="K25" s="274" t="s">
        <v>63</v>
      </c>
      <c r="L25" s="254" t="s">
        <v>63</v>
      </c>
      <c r="M25" s="255" t="s">
        <v>63</v>
      </c>
      <c r="N25" s="253" t="s">
        <v>63</v>
      </c>
      <c r="O25" s="253" t="s">
        <v>63</v>
      </c>
      <c r="P25" s="261">
        <f>ifna(vlookup(A25,'Population &amp; Church Numbers'!$A$1601:$D$1656,4,FALSE),"NULL")</f>
        <v>4</v>
      </c>
      <c r="Q25" s="329" t="s">
        <v>63</v>
      </c>
    </row>
    <row r="26">
      <c r="A26" s="188" t="s">
        <v>337</v>
      </c>
      <c r="B26" s="189">
        <f t="array" ref="B26">VLOOKUP($A26,MT_DEMO,2,FALSE)</f>
        <v>31134</v>
      </c>
      <c r="C26" s="264" t="s">
        <v>63</v>
      </c>
      <c r="D26" s="265" t="s">
        <v>63</v>
      </c>
      <c r="E26" s="265" t="s">
        <v>63</v>
      </c>
      <c r="F26" s="265" t="s">
        <v>63</v>
      </c>
      <c r="G26" s="265" t="s">
        <v>63</v>
      </c>
      <c r="H26" s="266" t="s">
        <v>63</v>
      </c>
      <c r="I26" s="267" t="s">
        <v>63</v>
      </c>
      <c r="J26" s="268" t="s">
        <v>63</v>
      </c>
      <c r="K26" s="284" t="s">
        <v>63</v>
      </c>
      <c r="L26" s="266" t="s">
        <v>63</v>
      </c>
      <c r="M26" s="267" t="s">
        <v>63</v>
      </c>
      <c r="N26" s="265" t="s">
        <v>63</v>
      </c>
      <c r="O26" s="265" t="s">
        <v>63</v>
      </c>
      <c r="P26" s="272">
        <f>ifna(vlookup(A26,'Population &amp; Church Numbers'!$A$1601:$D$1656,4,FALSE),"NULL")</f>
        <v>35</v>
      </c>
      <c r="Q26" s="334" t="s">
        <v>63</v>
      </c>
    </row>
    <row r="27">
      <c r="A27" s="326" t="s">
        <v>1447</v>
      </c>
      <c r="B27" s="251">
        <f t="array" ref="B27">VLOOKUP($A27,MT_DEMO,2,FALSE)</f>
        <v>70973</v>
      </c>
      <c r="C27" s="252" t="s">
        <v>63</v>
      </c>
      <c r="D27" s="253" t="s">
        <v>63</v>
      </c>
      <c r="E27" s="253" t="s">
        <v>63</v>
      </c>
      <c r="F27" s="253" t="s">
        <v>63</v>
      </c>
      <c r="G27" s="253" t="s">
        <v>63</v>
      </c>
      <c r="H27" s="254" t="s">
        <v>63</v>
      </c>
      <c r="I27" s="255" t="s">
        <v>63</v>
      </c>
      <c r="J27" s="256" t="s">
        <v>63</v>
      </c>
      <c r="K27" s="274" t="s">
        <v>63</v>
      </c>
      <c r="L27" s="254" t="s">
        <v>63</v>
      </c>
      <c r="M27" s="255" t="s">
        <v>63</v>
      </c>
      <c r="N27" s="253" t="s">
        <v>63</v>
      </c>
      <c r="O27" s="253" t="s">
        <v>63</v>
      </c>
      <c r="P27" s="261">
        <f>ifna(vlookup(A27,'Population &amp; Church Numbers'!$A$1601:$D$1656,4,FALSE),"NULL")</f>
        <v>50</v>
      </c>
      <c r="Q27" s="329" t="s">
        <v>63</v>
      </c>
    </row>
    <row r="28">
      <c r="A28" s="188" t="s">
        <v>508</v>
      </c>
      <c r="B28" s="189">
        <f t="array" ref="B28">VLOOKUP($A28,MT_DEMO,2,FALSE)</f>
        <v>1959</v>
      </c>
      <c r="C28" s="264" t="s">
        <v>63</v>
      </c>
      <c r="D28" s="265" t="s">
        <v>63</v>
      </c>
      <c r="E28" s="265" t="s">
        <v>63</v>
      </c>
      <c r="F28" s="265" t="s">
        <v>63</v>
      </c>
      <c r="G28" s="265" t="s">
        <v>63</v>
      </c>
      <c r="H28" s="266" t="s">
        <v>63</v>
      </c>
      <c r="I28" s="267" t="s">
        <v>63</v>
      </c>
      <c r="J28" s="268" t="s">
        <v>63</v>
      </c>
      <c r="K28" s="284" t="s">
        <v>63</v>
      </c>
      <c r="L28" s="266" t="s">
        <v>63</v>
      </c>
      <c r="M28" s="267" t="s">
        <v>63</v>
      </c>
      <c r="N28" s="265" t="s">
        <v>63</v>
      </c>
      <c r="O28" s="265" t="s">
        <v>63</v>
      </c>
      <c r="P28" s="272">
        <f>ifna(vlookup(A28,'Population &amp; Church Numbers'!$A$1601:$D$1656,4,FALSE),"NULL")</f>
        <v>9</v>
      </c>
      <c r="Q28" s="334" t="s">
        <v>63</v>
      </c>
    </row>
    <row r="29">
      <c r="A29" s="326" t="s">
        <v>290</v>
      </c>
      <c r="B29" s="251">
        <f t="array" ref="B29">VLOOKUP($A29,MT_DEMO,2,FALSE)</f>
        <v>19677</v>
      </c>
      <c r="C29" s="252" t="s">
        <v>63</v>
      </c>
      <c r="D29" s="253" t="s">
        <v>63</v>
      </c>
      <c r="E29" s="253" t="s">
        <v>63</v>
      </c>
      <c r="F29" s="253" t="s">
        <v>63</v>
      </c>
      <c r="G29" s="253" t="s">
        <v>63</v>
      </c>
      <c r="H29" s="254" t="s">
        <v>63</v>
      </c>
      <c r="I29" s="255" t="s">
        <v>63</v>
      </c>
      <c r="J29" s="256" t="s">
        <v>63</v>
      </c>
      <c r="K29" s="274" t="s">
        <v>63</v>
      </c>
      <c r="L29" s="254" t="s">
        <v>63</v>
      </c>
      <c r="M29" s="255" t="s">
        <v>63</v>
      </c>
      <c r="N29" s="253" t="s">
        <v>63</v>
      </c>
      <c r="O29" s="253" t="s">
        <v>63</v>
      </c>
      <c r="P29" s="261">
        <f>ifna(vlookup(A29,'Population &amp; Church Numbers'!$A$1601:$D$1656,4,FALSE),"NULL")</f>
        <v>31</v>
      </c>
      <c r="Q29" s="329" t="s">
        <v>63</v>
      </c>
    </row>
    <row r="30">
      <c r="A30" s="188" t="s">
        <v>151</v>
      </c>
      <c r="B30" s="189">
        <f t="array" ref="B30">VLOOKUP($A30,MT_DEMO,2,FALSE)</f>
        <v>8623</v>
      </c>
      <c r="C30" s="264" t="s">
        <v>63</v>
      </c>
      <c r="D30" s="265" t="s">
        <v>63</v>
      </c>
      <c r="E30" s="265" t="s">
        <v>63</v>
      </c>
      <c r="F30" s="265" t="s">
        <v>63</v>
      </c>
      <c r="G30" s="265" t="s">
        <v>63</v>
      </c>
      <c r="H30" s="266" t="s">
        <v>63</v>
      </c>
      <c r="I30" s="267" t="s">
        <v>63</v>
      </c>
      <c r="J30" s="268" t="s">
        <v>63</v>
      </c>
      <c r="K30" s="284" t="s">
        <v>63</v>
      </c>
      <c r="L30" s="266" t="s">
        <v>63</v>
      </c>
      <c r="M30" s="267" t="s">
        <v>63</v>
      </c>
      <c r="N30" s="265" t="s">
        <v>63</v>
      </c>
      <c r="O30" s="265" t="s">
        <v>63</v>
      </c>
      <c r="P30" s="272">
        <f>ifna(vlookup(A30,'Population &amp; Church Numbers'!$A$1601:$D$1656,4,FALSE),"NULL")</f>
        <v>19</v>
      </c>
      <c r="Q30" s="334" t="s">
        <v>63</v>
      </c>
    </row>
    <row r="31">
      <c r="A31" s="326" t="s">
        <v>1448</v>
      </c>
      <c r="B31" s="251">
        <f t="array" ref="B31">VLOOKUP($A31,MT_DEMO,2,FALSE)</f>
        <v>1729</v>
      </c>
      <c r="C31" s="252" t="s">
        <v>63</v>
      </c>
      <c r="D31" s="253" t="s">
        <v>63</v>
      </c>
      <c r="E31" s="253" t="s">
        <v>63</v>
      </c>
      <c r="F31" s="253" t="s">
        <v>63</v>
      </c>
      <c r="G31" s="253" t="s">
        <v>63</v>
      </c>
      <c r="H31" s="254" t="s">
        <v>63</v>
      </c>
      <c r="I31" s="255" t="s">
        <v>63</v>
      </c>
      <c r="J31" s="256" t="s">
        <v>63</v>
      </c>
      <c r="K31" s="274" t="s">
        <v>63</v>
      </c>
      <c r="L31" s="254" t="s">
        <v>63</v>
      </c>
      <c r="M31" s="255" t="s">
        <v>63</v>
      </c>
      <c r="N31" s="253" t="s">
        <v>63</v>
      </c>
      <c r="O31" s="253" t="s">
        <v>63</v>
      </c>
      <c r="P31" s="261">
        <f>ifna(vlookup(A31,'Population &amp; Church Numbers'!$A$1601:$D$1656,4,FALSE),"NULL")</f>
        <v>6</v>
      </c>
      <c r="Q31" s="329" t="s">
        <v>63</v>
      </c>
    </row>
    <row r="32">
      <c r="A32" s="188" t="s">
        <v>1449</v>
      </c>
      <c r="B32" s="189">
        <f t="array" ref="B32">VLOOKUP($A32,MT_DEMO,2,FALSE)</f>
        <v>1927</v>
      </c>
      <c r="C32" s="264" t="s">
        <v>63</v>
      </c>
      <c r="D32" s="265" t="s">
        <v>63</v>
      </c>
      <c r="E32" s="265" t="s">
        <v>63</v>
      </c>
      <c r="F32" s="265" t="s">
        <v>63</v>
      </c>
      <c r="G32" s="265" t="s">
        <v>63</v>
      </c>
      <c r="H32" s="266" t="s">
        <v>63</v>
      </c>
      <c r="I32" s="267" t="s">
        <v>63</v>
      </c>
      <c r="J32" s="268" t="s">
        <v>63</v>
      </c>
      <c r="K32" s="284" t="s">
        <v>63</v>
      </c>
      <c r="L32" s="266" t="s">
        <v>63</v>
      </c>
      <c r="M32" s="267" t="s">
        <v>63</v>
      </c>
      <c r="N32" s="265" t="s">
        <v>63</v>
      </c>
      <c r="O32" s="265" t="s">
        <v>63</v>
      </c>
      <c r="P32" s="272">
        <f>ifna(vlookup(A32,'Population &amp; Church Numbers'!$A$1601:$D$1656,4,FALSE),"NULL")</f>
        <v>4</v>
      </c>
      <c r="Q32" s="334" t="s">
        <v>63</v>
      </c>
    </row>
    <row r="33">
      <c r="A33" s="326" t="s">
        <v>435</v>
      </c>
      <c r="B33" s="251">
        <f t="array" ref="B33">VLOOKUP($A33,MT_DEMO,2,FALSE)</f>
        <v>4535</v>
      </c>
      <c r="C33" s="252" t="s">
        <v>63</v>
      </c>
      <c r="D33" s="253" t="s">
        <v>63</v>
      </c>
      <c r="E33" s="253" t="s">
        <v>63</v>
      </c>
      <c r="F33" s="253" t="s">
        <v>63</v>
      </c>
      <c r="G33" s="253" t="s">
        <v>63</v>
      </c>
      <c r="H33" s="254" t="s">
        <v>63</v>
      </c>
      <c r="I33" s="255" t="s">
        <v>63</v>
      </c>
      <c r="J33" s="256" t="s">
        <v>63</v>
      </c>
      <c r="K33" s="274" t="s">
        <v>63</v>
      </c>
      <c r="L33" s="254" t="s">
        <v>63</v>
      </c>
      <c r="M33" s="255" t="s">
        <v>63</v>
      </c>
      <c r="N33" s="253" t="s">
        <v>63</v>
      </c>
      <c r="O33" s="253" t="s">
        <v>63</v>
      </c>
      <c r="P33" s="261">
        <f>ifna(vlookup(A33,'Population &amp; Church Numbers'!$A$1601:$D$1656,4,FALSE),"NULL")</f>
        <v>12</v>
      </c>
      <c r="Q33" s="329" t="s">
        <v>63</v>
      </c>
    </row>
    <row r="34">
      <c r="A34" s="188" t="s">
        <v>1450</v>
      </c>
      <c r="B34" s="189">
        <f t="array" ref="B34">VLOOKUP($A34,MT_DEMO,2,FALSE)</f>
        <v>117922</v>
      </c>
      <c r="C34" s="264" t="s">
        <v>63</v>
      </c>
      <c r="D34" s="265" t="s">
        <v>63</v>
      </c>
      <c r="E34" s="265" t="s">
        <v>63</v>
      </c>
      <c r="F34" s="265" t="s">
        <v>63</v>
      </c>
      <c r="G34" s="265" t="s">
        <v>63</v>
      </c>
      <c r="H34" s="266" t="s">
        <v>63</v>
      </c>
      <c r="I34" s="267" t="s">
        <v>63</v>
      </c>
      <c r="J34" s="268" t="s">
        <v>63</v>
      </c>
      <c r="K34" s="284" t="s">
        <v>63</v>
      </c>
      <c r="L34" s="266" t="s">
        <v>63</v>
      </c>
      <c r="M34" s="267" t="s">
        <v>63</v>
      </c>
      <c r="N34" s="265" t="s">
        <v>63</v>
      </c>
      <c r="O34" s="265" t="s">
        <v>63</v>
      </c>
      <c r="P34" s="272">
        <f>ifna(vlookup(A34,'Population &amp; Church Numbers'!$A$1601:$D$1656,4,FALSE),"NULL")</f>
        <v>74</v>
      </c>
      <c r="Q34" s="334" t="s">
        <v>63</v>
      </c>
    </row>
    <row r="35">
      <c r="A35" s="326" t="s">
        <v>1451</v>
      </c>
      <c r="B35" s="251">
        <f t="array" ref="B35">VLOOKUP($A35,MT_DEMO,2,FALSE)</f>
        <v>4730</v>
      </c>
      <c r="C35" s="252" t="s">
        <v>63</v>
      </c>
      <c r="D35" s="253" t="s">
        <v>63</v>
      </c>
      <c r="E35" s="253" t="s">
        <v>63</v>
      </c>
      <c r="F35" s="253" t="s">
        <v>63</v>
      </c>
      <c r="G35" s="253" t="s">
        <v>63</v>
      </c>
      <c r="H35" s="254" t="s">
        <v>63</v>
      </c>
      <c r="I35" s="255" t="s">
        <v>63</v>
      </c>
      <c r="J35" s="256" t="s">
        <v>63</v>
      </c>
      <c r="K35" s="274" t="s">
        <v>63</v>
      </c>
      <c r="L35" s="254" t="s">
        <v>63</v>
      </c>
      <c r="M35" s="255" t="s">
        <v>63</v>
      </c>
      <c r="N35" s="253" t="s">
        <v>63</v>
      </c>
      <c r="O35" s="253" t="s">
        <v>63</v>
      </c>
      <c r="P35" s="261">
        <f>ifna(vlookup(A35,'Population &amp; Church Numbers'!$A$1601:$D$1656,4,FALSE),"NULL")</f>
        <v>9</v>
      </c>
      <c r="Q35" s="329" t="s">
        <v>63</v>
      </c>
    </row>
    <row r="36">
      <c r="A36" s="188" t="s">
        <v>445</v>
      </c>
      <c r="B36" s="189">
        <f t="array" ref="B36">VLOOKUP($A36,MT_DEMO,2,FALSE)</f>
        <v>17191</v>
      </c>
      <c r="C36" s="264" t="s">
        <v>63</v>
      </c>
      <c r="D36" s="265" t="s">
        <v>63</v>
      </c>
      <c r="E36" s="265" t="s">
        <v>63</v>
      </c>
      <c r="F36" s="265" t="s">
        <v>63</v>
      </c>
      <c r="G36" s="265" t="s">
        <v>63</v>
      </c>
      <c r="H36" s="266" t="s">
        <v>63</v>
      </c>
      <c r="I36" s="267" t="s">
        <v>63</v>
      </c>
      <c r="J36" s="268" t="s">
        <v>63</v>
      </c>
      <c r="K36" s="284" t="s">
        <v>63</v>
      </c>
      <c r="L36" s="266" t="s">
        <v>63</v>
      </c>
      <c r="M36" s="267" t="s">
        <v>63</v>
      </c>
      <c r="N36" s="265" t="s">
        <v>63</v>
      </c>
      <c r="O36" s="265" t="s">
        <v>63</v>
      </c>
      <c r="P36" s="272">
        <f>ifna(vlookup(A36,'Population &amp; Church Numbers'!$A$1601:$D$1656,4,FALSE),"NULL")</f>
        <v>28</v>
      </c>
      <c r="Q36" s="334" t="s">
        <v>63</v>
      </c>
    </row>
    <row r="37">
      <c r="A37" s="326" t="s">
        <v>1452</v>
      </c>
      <c r="B37" s="251">
        <f t="array" ref="B37">VLOOKUP($A37,MT_DEMO,2,FALSE)</f>
        <v>496</v>
      </c>
      <c r="C37" s="252" t="s">
        <v>63</v>
      </c>
      <c r="D37" s="253" t="s">
        <v>63</v>
      </c>
      <c r="E37" s="253" t="s">
        <v>63</v>
      </c>
      <c r="F37" s="253" t="s">
        <v>63</v>
      </c>
      <c r="G37" s="253" t="s">
        <v>63</v>
      </c>
      <c r="H37" s="254" t="s">
        <v>63</v>
      </c>
      <c r="I37" s="255" t="s">
        <v>63</v>
      </c>
      <c r="J37" s="256" t="s">
        <v>63</v>
      </c>
      <c r="K37" s="274" t="s">
        <v>63</v>
      </c>
      <c r="L37" s="254" t="s">
        <v>63</v>
      </c>
      <c r="M37" s="255" t="s">
        <v>63</v>
      </c>
      <c r="N37" s="253" t="s">
        <v>63</v>
      </c>
      <c r="O37" s="253" t="s">
        <v>63</v>
      </c>
      <c r="P37" s="261">
        <f>ifna(vlookup(A37,'Population &amp; Church Numbers'!$A$1601:$D$1656,4,FALSE),"NULL")</f>
        <v>2</v>
      </c>
      <c r="Q37" s="329" t="s">
        <v>63</v>
      </c>
    </row>
    <row r="38">
      <c r="A38" s="188" t="s">
        <v>300</v>
      </c>
      <c r="B38" s="189">
        <f t="array" ref="B38">VLOOKUP($A38,MT_DEMO,2,FALSE)</f>
        <v>4217</v>
      </c>
      <c r="C38" s="264" t="s">
        <v>63</v>
      </c>
      <c r="D38" s="265" t="s">
        <v>63</v>
      </c>
      <c r="E38" s="265" t="s">
        <v>63</v>
      </c>
      <c r="F38" s="265" t="s">
        <v>63</v>
      </c>
      <c r="G38" s="265" t="s">
        <v>63</v>
      </c>
      <c r="H38" s="266" t="s">
        <v>63</v>
      </c>
      <c r="I38" s="267" t="s">
        <v>63</v>
      </c>
      <c r="J38" s="268" t="s">
        <v>63</v>
      </c>
      <c r="K38" s="284" t="s">
        <v>63</v>
      </c>
      <c r="L38" s="266" t="s">
        <v>63</v>
      </c>
      <c r="M38" s="267" t="s">
        <v>63</v>
      </c>
      <c r="N38" s="265" t="s">
        <v>63</v>
      </c>
      <c r="O38" s="265" t="s">
        <v>63</v>
      </c>
      <c r="P38" s="272">
        <f>ifna(vlookup(A38,'Population &amp; Church Numbers'!$A$1601:$D$1656,4,FALSE),"NULL")</f>
        <v>10</v>
      </c>
      <c r="Q38" s="334" t="s">
        <v>63</v>
      </c>
    </row>
    <row r="39">
      <c r="A39" s="326" t="s">
        <v>1453</v>
      </c>
      <c r="B39" s="251">
        <f t="array" ref="B39">VLOOKUP($A39,MT_DEMO,2,FALSE)</f>
        <v>5898</v>
      </c>
      <c r="C39" s="252" t="s">
        <v>63</v>
      </c>
      <c r="D39" s="253" t="s">
        <v>63</v>
      </c>
      <c r="E39" s="253" t="s">
        <v>63</v>
      </c>
      <c r="F39" s="253" t="s">
        <v>63</v>
      </c>
      <c r="G39" s="253" t="s">
        <v>63</v>
      </c>
      <c r="H39" s="254" t="s">
        <v>63</v>
      </c>
      <c r="I39" s="255" t="s">
        <v>63</v>
      </c>
      <c r="J39" s="256" t="s">
        <v>63</v>
      </c>
      <c r="K39" s="274" t="s">
        <v>63</v>
      </c>
      <c r="L39" s="254" t="s">
        <v>63</v>
      </c>
      <c r="M39" s="255" t="s">
        <v>63</v>
      </c>
      <c r="N39" s="253" t="s">
        <v>63</v>
      </c>
      <c r="O39" s="253" t="s">
        <v>63</v>
      </c>
      <c r="P39" s="261">
        <f>ifna(vlookup(A39,'Population &amp; Church Numbers'!$A$1601:$D$1656,4,FALSE),"NULL")</f>
        <v>14</v>
      </c>
      <c r="Q39" s="329" t="s">
        <v>63</v>
      </c>
    </row>
    <row r="40">
      <c r="A40" s="188" t="s">
        <v>1454</v>
      </c>
      <c r="B40" s="189">
        <f t="array" ref="B40">VLOOKUP($A40,MT_DEMO,2,FALSE)</f>
        <v>1694</v>
      </c>
      <c r="C40" s="264" t="s">
        <v>63</v>
      </c>
      <c r="D40" s="265" t="s">
        <v>63</v>
      </c>
      <c r="E40" s="265" t="s">
        <v>63</v>
      </c>
      <c r="F40" s="265" t="s">
        <v>63</v>
      </c>
      <c r="G40" s="265" t="s">
        <v>63</v>
      </c>
      <c r="H40" s="266" t="s">
        <v>63</v>
      </c>
      <c r="I40" s="267" t="s">
        <v>63</v>
      </c>
      <c r="J40" s="268" t="s">
        <v>63</v>
      </c>
      <c r="K40" s="284" t="s">
        <v>63</v>
      </c>
      <c r="L40" s="266" t="s">
        <v>63</v>
      </c>
      <c r="M40" s="267" t="s">
        <v>63</v>
      </c>
      <c r="N40" s="265" t="s">
        <v>63</v>
      </c>
      <c r="O40" s="265" t="s">
        <v>63</v>
      </c>
      <c r="P40" s="272">
        <f>ifna(vlookup(A40,'Population &amp; Church Numbers'!$A$1601:$D$1656,4,FALSE),"NULL")</f>
        <v>5</v>
      </c>
      <c r="Q40" s="334" t="s">
        <v>63</v>
      </c>
    </row>
    <row r="41">
      <c r="A41" s="326" t="s">
        <v>1130</v>
      </c>
      <c r="B41" s="251">
        <f t="array" ref="B41">VLOOKUP($A41,MT_DEMO,2,FALSE)</f>
        <v>6946</v>
      </c>
      <c r="C41" s="252" t="s">
        <v>63</v>
      </c>
      <c r="D41" s="253" t="s">
        <v>63</v>
      </c>
      <c r="E41" s="253" t="s">
        <v>63</v>
      </c>
      <c r="F41" s="253" t="s">
        <v>63</v>
      </c>
      <c r="G41" s="253" t="s">
        <v>63</v>
      </c>
      <c r="H41" s="254" t="s">
        <v>63</v>
      </c>
      <c r="I41" s="255" t="s">
        <v>63</v>
      </c>
      <c r="J41" s="256" t="s">
        <v>63</v>
      </c>
      <c r="K41" s="274" t="s">
        <v>63</v>
      </c>
      <c r="L41" s="254" t="s">
        <v>63</v>
      </c>
      <c r="M41" s="255" t="s">
        <v>63</v>
      </c>
      <c r="N41" s="253" t="s">
        <v>63</v>
      </c>
      <c r="O41" s="253" t="s">
        <v>63</v>
      </c>
      <c r="P41" s="261">
        <f>ifna(vlookup(A41,'Population &amp; Church Numbers'!$A$1601:$D$1656,4,FALSE),"NULL")</f>
        <v>13</v>
      </c>
      <c r="Q41" s="329" t="s">
        <v>63</v>
      </c>
    </row>
    <row r="42">
      <c r="A42" s="188" t="s">
        <v>304</v>
      </c>
      <c r="B42" s="189">
        <f t="array" ref="B42">VLOOKUP($A42,MT_DEMO,2,FALSE)</f>
        <v>1088</v>
      </c>
      <c r="C42" s="264" t="s">
        <v>63</v>
      </c>
      <c r="D42" s="265" t="s">
        <v>63</v>
      </c>
      <c r="E42" s="265" t="s">
        <v>63</v>
      </c>
      <c r="F42" s="265" t="s">
        <v>63</v>
      </c>
      <c r="G42" s="265" t="s">
        <v>63</v>
      </c>
      <c r="H42" s="266" t="s">
        <v>63</v>
      </c>
      <c r="I42" s="267" t="s">
        <v>63</v>
      </c>
      <c r="J42" s="268" t="s">
        <v>63</v>
      </c>
      <c r="K42" s="284" t="s">
        <v>63</v>
      </c>
      <c r="L42" s="266" t="s">
        <v>63</v>
      </c>
      <c r="M42" s="267" t="s">
        <v>63</v>
      </c>
      <c r="N42" s="265" t="s">
        <v>63</v>
      </c>
      <c r="O42" s="265" t="s">
        <v>63</v>
      </c>
      <c r="P42" s="272">
        <f>ifna(vlookup(A42,'Population &amp; Church Numbers'!$A$1601:$D$1656,4,FALSE),"NULL")</f>
        <v>5</v>
      </c>
      <c r="Q42" s="334" t="s">
        <v>63</v>
      </c>
    </row>
    <row r="43">
      <c r="A43" s="326" t="s">
        <v>1455</v>
      </c>
      <c r="B43" s="251">
        <f t="array" ref="B43">VLOOKUP($A43,MT_DEMO,2,FALSE)</f>
        <v>44174</v>
      </c>
      <c r="C43" s="252" t="s">
        <v>63</v>
      </c>
      <c r="D43" s="253" t="s">
        <v>63</v>
      </c>
      <c r="E43" s="253" t="s">
        <v>63</v>
      </c>
      <c r="F43" s="253" t="s">
        <v>63</v>
      </c>
      <c r="G43" s="253" t="s">
        <v>63</v>
      </c>
      <c r="H43" s="254" t="s">
        <v>63</v>
      </c>
      <c r="I43" s="255" t="s">
        <v>63</v>
      </c>
      <c r="J43" s="256" t="s">
        <v>63</v>
      </c>
      <c r="K43" s="274" t="s">
        <v>63</v>
      </c>
      <c r="L43" s="254" t="s">
        <v>63</v>
      </c>
      <c r="M43" s="255" t="s">
        <v>63</v>
      </c>
      <c r="N43" s="253" t="s">
        <v>63</v>
      </c>
      <c r="O43" s="253" t="s">
        <v>63</v>
      </c>
      <c r="P43" s="261">
        <f>ifna(vlookup(A43,'Population &amp; Church Numbers'!$A$1601:$D$1656,4,FALSE),"NULL")</f>
        <v>46</v>
      </c>
      <c r="Q43" s="329" t="s">
        <v>63</v>
      </c>
    </row>
    <row r="44">
      <c r="A44" s="188" t="s">
        <v>743</v>
      </c>
      <c r="B44" s="189">
        <f t="array" ref="B44">VLOOKUP($A44,MT_DEMO,2,FALSE)</f>
        <v>11491</v>
      </c>
      <c r="C44" s="264" t="s">
        <v>63</v>
      </c>
      <c r="D44" s="265" t="s">
        <v>63</v>
      </c>
      <c r="E44" s="265" t="s">
        <v>63</v>
      </c>
      <c r="F44" s="265" t="s">
        <v>63</v>
      </c>
      <c r="G44" s="265" t="s">
        <v>63</v>
      </c>
      <c r="H44" s="266" t="s">
        <v>63</v>
      </c>
      <c r="I44" s="267" t="s">
        <v>63</v>
      </c>
      <c r="J44" s="268" t="s">
        <v>63</v>
      </c>
      <c r="K44" s="284" t="s">
        <v>63</v>
      </c>
      <c r="L44" s="266" t="s">
        <v>63</v>
      </c>
      <c r="M44" s="267" t="s">
        <v>63</v>
      </c>
      <c r="N44" s="265" t="s">
        <v>63</v>
      </c>
      <c r="O44" s="265" t="s">
        <v>63</v>
      </c>
      <c r="P44" s="272">
        <f>ifna(vlookup(A44,'Population &amp; Church Numbers'!$A$1601:$D$1656,4,FALSE),"NULL")</f>
        <v>22</v>
      </c>
      <c r="Q44" s="334" t="s">
        <v>63</v>
      </c>
    </row>
    <row r="45">
      <c r="A45" s="326" t="s">
        <v>1456</v>
      </c>
      <c r="B45" s="251">
        <f t="array" ref="B45">VLOOKUP($A45,MT_DEMO,2,FALSE)</f>
        <v>10794</v>
      </c>
      <c r="C45" s="252" t="s">
        <v>63</v>
      </c>
      <c r="D45" s="253" t="s">
        <v>63</v>
      </c>
      <c r="E45" s="253" t="s">
        <v>63</v>
      </c>
      <c r="F45" s="253" t="s">
        <v>63</v>
      </c>
      <c r="G45" s="253" t="s">
        <v>63</v>
      </c>
      <c r="H45" s="254" t="s">
        <v>63</v>
      </c>
      <c r="I45" s="255" t="s">
        <v>63</v>
      </c>
      <c r="J45" s="256" t="s">
        <v>63</v>
      </c>
      <c r="K45" s="274" t="s">
        <v>63</v>
      </c>
      <c r="L45" s="254" t="s">
        <v>63</v>
      </c>
      <c r="M45" s="255" t="s">
        <v>63</v>
      </c>
      <c r="N45" s="253" t="s">
        <v>63</v>
      </c>
      <c r="O45" s="253" t="s">
        <v>63</v>
      </c>
      <c r="P45" s="261">
        <f>ifna(vlookup(A45,'Population &amp; Church Numbers'!$A$1601:$D$1656,4,FALSE),"NULL")</f>
        <v>18</v>
      </c>
      <c r="Q45" s="329" t="s">
        <v>63</v>
      </c>
    </row>
    <row r="46">
      <c r="A46" s="188" t="s">
        <v>1457</v>
      </c>
      <c r="B46" s="189">
        <f t="array" ref="B46">VLOOKUP($A46,MT_DEMO,2,FALSE)</f>
        <v>8329</v>
      </c>
      <c r="C46" s="264" t="s">
        <v>63</v>
      </c>
      <c r="D46" s="265" t="s">
        <v>63</v>
      </c>
      <c r="E46" s="265" t="s">
        <v>63</v>
      </c>
      <c r="F46" s="265" t="s">
        <v>63</v>
      </c>
      <c r="G46" s="265" t="s">
        <v>63</v>
      </c>
      <c r="H46" s="266" t="s">
        <v>63</v>
      </c>
      <c r="I46" s="267" t="s">
        <v>63</v>
      </c>
      <c r="J46" s="268" t="s">
        <v>63</v>
      </c>
      <c r="K46" s="284" t="s">
        <v>63</v>
      </c>
      <c r="L46" s="266" t="s">
        <v>63</v>
      </c>
      <c r="M46" s="267" t="s">
        <v>63</v>
      </c>
      <c r="N46" s="265" t="s">
        <v>63</v>
      </c>
      <c r="O46" s="265" t="s">
        <v>63</v>
      </c>
      <c r="P46" s="272">
        <f>ifna(vlookup(A46,'Population &amp; Church Numbers'!$A$1601:$D$1656,4,FALSE),"NULL")</f>
        <v>12</v>
      </c>
      <c r="Q46" s="334" t="s">
        <v>63</v>
      </c>
    </row>
    <row r="47">
      <c r="A47" s="326" t="s">
        <v>1458</v>
      </c>
      <c r="B47" s="251">
        <f t="array" ref="B47">VLOOKUP($A47,MT_DEMO,2,FALSE)</f>
        <v>12400</v>
      </c>
      <c r="C47" s="252" t="s">
        <v>63</v>
      </c>
      <c r="D47" s="253" t="s">
        <v>63</v>
      </c>
      <c r="E47" s="253" t="s">
        <v>63</v>
      </c>
      <c r="F47" s="253" t="s">
        <v>63</v>
      </c>
      <c r="G47" s="253" t="s">
        <v>63</v>
      </c>
      <c r="H47" s="254" t="s">
        <v>63</v>
      </c>
      <c r="I47" s="255" t="s">
        <v>63</v>
      </c>
      <c r="J47" s="256" t="s">
        <v>63</v>
      </c>
      <c r="K47" s="274" t="s">
        <v>63</v>
      </c>
      <c r="L47" s="254" t="s">
        <v>63</v>
      </c>
      <c r="M47" s="255" t="s">
        <v>63</v>
      </c>
      <c r="N47" s="253" t="s">
        <v>63</v>
      </c>
      <c r="O47" s="253" t="s">
        <v>63</v>
      </c>
      <c r="P47" s="261">
        <f>ifna(vlookup(A47,'Population &amp; Church Numbers'!$A$1601:$D$1656,4,FALSE),"NULL")</f>
        <v>23</v>
      </c>
      <c r="Q47" s="329" t="s">
        <v>63</v>
      </c>
    </row>
    <row r="48">
      <c r="A48" s="188" t="s">
        <v>1010</v>
      </c>
      <c r="B48" s="189">
        <f t="array" ref="B48">VLOOKUP($A48,MT_DEMO,2,FALSE)</f>
        <v>3539</v>
      </c>
      <c r="C48" s="264" t="s">
        <v>63</v>
      </c>
      <c r="D48" s="265" t="s">
        <v>63</v>
      </c>
      <c r="E48" s="265" t="s">
        <v>63</v>
      </c>
      <c r="F48" s="265" t="s">
        <v>63</v>
      </c>
      <c r="G48" s="265" t="s">
        <v>63</v>
      </c>
      <c r="H48" s="266" t="s">
        <v>63</v>
      </c>
      <c r="I48" s="267" t="s">
        <v>63</v>
      </c>
      <c r="J48" s="268" t="s">
        <v>63</v>
      </c>
      <c r="K48" s="284" t="s">
        <v>63</v>
      </c>
      <c r="L48" s="266" t="s">
        <v>63</v>
      </c>
      <c r="M48" s="267" t="s">
        <v>63</v>
      </c>
      <c r="N48" s="265" t="s">
        <v>63</v>
      </c>
      <c r="O48" s="265" t="s">
        <v>63</v>
      </c>
      <c r="P48" s="272">
        <f>ifna(vlookup(A48,'Population &amp; Church Numbers'!$A$1601:$D$1656,4,FALSE),"NULL")</f>
        <v>14</v>
      </c>
      <c r="Q48" s="334" t="s">
        <v>63</v>
      </c>
    </row>
    <row r="49">
      <c r="A49" s="326" t="s">
        <v>1459</v>
      </c>
      <c r="B49" s="251">
        <f t="array" ref="B49">VLOOKUP($A49,MT_DEMO,2,FALSE)</f>
        <v>35133</v>
      </c>
      <c r="C49" s="252" t="s">
        <v>63</v>
      </c>
      <c r="D49" s="253" t="s">
        <v>63</v>
      </c>
      <c r="E49" s="253" t="s">
        <v>63</v>
      </c>
      <c r="F49" s="253" t="s">
        <v>63</v>
      </c>
      <c r="G49" s="253" t="s">
        <v>63</v>
      </c>
      <c r="H49" s="254" t="s">
        <v>63</v>
      </c>
      <c r="I49" s="255" t="s">
        <v>63</v>
      </c>
      <c r="J49" s="256" t="s">
        <v>63</v>
      </c>
      <c r="K49" s="274" t="s">
        <v>63</v>
      </c>
      <c r="L49" s="254" t="s">
        <v>63</v>
      </c>
      <c r="M49" s="255" t="s">
        <v>63</v>
      </c>
      <c r="N49" s="253" t="s">
        <v>63</v>
      </c>
      <c r="O49" s="253" t="s">
        <v>63</v>
      </c>
      <c r="P49" s="261">
        <f>ifna(vlookup(A49,'Population &amp; Church Numbers'!$A$1601:$D$1656,4,FALSE),"NULL")</f>
        <v>24</v>
      </c>
      <c r="Q49" s="329" t="s">
        <v>63</v>
      </c>
    </row>
    <row r="50">
      <c r="A50" s="188" t="s">
        <v>1460</v>
      </c>
      <c r="B50" s="189">
        <f t="array" ref="B50">VLOOKUP($A50,MT_DEMO,2,FALSE)</f>
        <v>8963</v>
      </c>
      <c r="C50" s="264" t="s">
        <v>63</v>
      </c>
      <c r="D50" s="265" t="s">
        <v>63</v>
      </c>
      <c r="E50" s="265" t="s">
        <v>63</v>
      </c>
      <c r="F50" s="265" t="s">
        <v>63</v>
      </c>
      <c r="G50" s="265" t="s">
        <v>63</v>
      </c>
      <c r="H50" s="266" t="s">
        <v>63</v>
      </c>
      <c r="I50" s="267" t="s">
        <v>63</v>
      </c>
      <c r="J50" s="268" t="s">
        <v>63</v>
      </c>
      <c r="K50" s="284" t="s">
        <v>63</v>
      </c>
      <c r="L50" s="266" t="s">
        <v>63</v>
      </c>
      <c r="M50" s="267" t="s">
        <v>63</v>
      </c>
      <c r="N50" s="265" t="s">
        <v>63</v>
      </c>
      <c r="O50" s="265" t="s">
        <v>63</v>
      </c>
      <c r="P50" s="272">
        <f>ifna(vlookup(A50,'Population &amp; Church Numbers'!$A$1601:$D$1656,4,FALSE),"NULL")</f>
        <v>17</v>
      </c>
      <c r="Q50" s="334" t="s">
        <v>63</v>
      </c>
    </row>
    <row r="51">
      <c r="A51" s="326" t="s">
        <v>1461</v>
      </c>
      <c r="B51" s="251">
        <f t="array" ref="B51">VLOOKUP($A51,MT_DEMO,2,FALSE)</f>
        <v>3678</v>
      </c>
      <c r="C51" s="252" t="s">
        <v>63</v>
      </c>
      <c r="D51" s="253" t="s">
        <v>63</v>
      </c>
      <c r="E51" s="253" t="s">
        <v>63</v>
      </c>
      <c r="F51" s="253" t="s">
        <v>63</v>
      </c>
      <c r="G51" s="253" t="s">
        <v>63</v>
      </c>
      <c r="H51" s="254" t="s">
        <v>63</v>
      </c>
      <c r="I51" s="255" t="s">
        <v>63</v>
      </c>
      <c r="J51" s="256" t="s">
        <v>63</v>
      </c>
      <c r="K51" s="274" t="s">
        <v>63</v>
      </c>
      <c r="L51" s="254" t="s">
        <v>63</v>
      </c>
      <c r="M51" s="255" t="s">
        <v>63</v>
      </c>
      <c r="N51" s="253" t="s">
        <v>63</v>
      </c>
      <c r="O51" s="253" t="s">
        <v>63</v>
      </c>
      <c r="P51" s="261">
        <f>ifna(vlookup(A51,'Population &amp; Church Numbers'!$A$1601:$D$1656,4,FALSE),"NULL")</f>
        <v>9</v>
      </c>
      <c r="Q51" s="329" t="s">
        <v>63</v>
      </c>
    </row>
    <row r="52">
      <c r="A52" s="188" t="s">
        <v>690</v>
      </c>
      <c r="B52" s="189">
        <f t="array" ref="B52">VLOOKUP($A52,MT_DEMO,2,FALSE)</f>
        <v>6226</v>
      </c>
      <c r="C52" s="264" t="s">
        <v>63</v>
      </c>
      <c r="D52" s="265" t="s">
        <v>63</v>
      </c>
      <c r="E52" s="265" t="s">
        <v>63</v>
      </c>
      <c r="F52" s="265" t="s">
        <v>63</v>
      </c>
      <c r="G52" s="265" t="s">
        <v>63</v>
      </c>
      <c r="H52" s="266" t="s">
        <v>63</v>
      </c>
      <c r="I52" s="267" t="s">
        <v>63</v>
      </c>
      <c r="J52" s="268" t="s">
        <v>63</v>
      </c>
      <c r="K52" s="284" t="s">
        <v>63</v>
      </c>
      <c r="L52" s="266" t="s">
        <v>63</v>
      </c>
      <c r="M52" s="267" t="s">
        <v>63</v>
      </c>
      <c r="N52" s="265" t="s">
        <v>63</v>
      </c>
      <c r="O52" s="265" t="s">
        <v>63</v>
      </c>
      <c r="P52" s="272">
        <f>ifna(vlookup(A52,'Population &amp; Church Numbers'!$A$1601:$D$1656,4,FALSE),"NULL")</f>
        <v>18</v>
      </c>
      <c r="Q52" s="334" t="s">
        <v>63</v>
      </c>
    </row>
    <row r="53">
      <c r="A53" s="326" t="s">
        <v>1462</v>
      </c>
      <c r="B53" s="251">
        <f t="array" ref="B53">VLOOKUP($A53,MT_DEMO,2,FALSE)</f>
        <v>4971</v>
      </c>
      <c r="C53" s="252" t="s">
        <v>63</v>
      </c>
      <c r="D53" s="253" t="s">
        <v>63</v>
      </c>
      <c r="E53" s="253" t="s">
        <v>63</v>
      </c>
      <c r="F53" s="253" t="s">
        <v>63</v>
      </c>
      <c r="G53" s="253" t="s">
        <v>63</v>
      </c>
      <c r="H53" s="254" t="s">
        <v>63</v>
      </c>
      <c r="I53" s="255" t="s">
        <v>63</v>
      </c>
      <c r="J53" s="256" t="s">
        <v>63</v>
      </c>
      <c r="K53" s="274" t="s">
        <v>63</v>
      </c>
      <c r="L53" s="254" t="s">
        <v>63</v>
      </c>
      <c r="M53" s="255" t="s">
        <v>63</v>
      </c>
      <c r="N53" s="253" t="s">
        <v>63</v>
      </c>
      <c r="O53" s="253" t="s">
        <v>63</v>
      </c>
      <c r="P53" s="261">
        <f>ifna(vlookup(A53,'Population &amp; Church Numbers'!$A$1601:$D$1656,4,FALSE),"NULL")</f>
        <v>9</v>
      </c>
      <c r="Q53" s="329" t="s">
        <v>63</v>
      </c>
    </row>
    <row r="54">
      <c r="A54" s="188" t="s">
        <v>1463</v>
      </c>
      <c r="B54" s="189">
        <f t="array" ref="B54">VLOOKUP($A54,MT_DEMO,2,FALSE)</f>
        <v>762</v>
      </c>
      <c r="C54" s="264" t="s">
        <v>63</v>
      </c>
      <c r="D54" s="265" t="s">
        <v>63</v>
      </c>
      <c r="E54" s="265" t="s">
        <v>63</v>
      </c>
      <c r="F54" s="265" t="s">
        <v>63</v>
      </c>
      <c r="G54" s="265" t="s">
        <v>63</v>
      </c>
      <c r="H54" s="266" t="s">
        <v>63</v>
      </c>
      <c r="I54" s="267" t="s">
        <v>63</v>
      </c>
      <c r="J54" s="268" t="s">
        <v>63</v>
      </c>
      <c r="K54" s="284" t="s">
        <v>63</v>
      </c>
      <c r="L54" s="266" t="s">
        <v>63</v>
      </c>
      <c r="M54" s="267" t="s">
        <v>63</v>
      </c>
      <c r="N54" s="265" t="s">
        <v>63</v>
      </c>
      <c r="O54" s="265" t="s">
        <v>63</v>
      </c>
      <c r="P54" s="272">
        <f>ifna(vlookup(A54,'Population &amp; Church Numbers'!$A$1601:$D$1656,4,FALSE),"NULL")</f>
        <v>2</v>
      </c>
      <c r="Q54" s="334" t="s">
        <v>63</v>
      </c>
    </row>
    <row r="55">
      <c r="A55" s="326" t="s">
        <v>692</v>
      </c>
      <c r="B55" s="251">
        <f t="array" ref="B55">VLOOKUP($A55,MT_DEMO,2,FALSE)</f>
        <v>7578</v>
      </c>
      <c r="C55" s="252" t="s">
        <v>63</v>
      </c>
      <c r="D55" s="253" t="s">
        <v>63</v>
      </c>
      <c r="E55" s="253" t="s">
        <v>63</v>
      </c>
      <c r="F55" s="253" t="s">
        <v>63</v>
      </c>
      <c r="G55" s="253" t="s">
        <v>63</v>
      </c>
      <c r="H55" s="254" t="s">
        <v>63</v>
      </c>
      <c r="I55" s="255" t="s">
        <v>63</v>
      </c>
      <c r="J55" s="256" t="s">
        <v>63</v>
      </c>
      <c r="K55" s="274" t="s">
        <v>63</v>
      </c>
      <c r="L55" s="254" t="s">
        <v>63</v>
      </c>
      <c r="M55" s="255" t="s">
        <v>63</v>
      </c>
      <c r="N55" s="253" t="s">
        <v>63</v>
      </c>
      <c r="O55" s="253" t="s">
        <v>63</v>
      </c>
      <c r="P55" s="261">
        <f>ifna(vlookup(A55,'Population &amp; Church Numbers'!$A$1601:$D$1656,4,FALSE),"NULL")</f>
        <v>10</v>
      </c>
      <c r="Q55" s="329" t="s">
        <v>63</v>
      </c>
    </row>
    <row r="56">
      <c r="A56" s="188" t="s">
        <v>1464</v>
      </c>
      <c r="B56" s="189">
        <f t="array" ref="B56">VLOOKUP($A56,MT_DEMO,2,FALSE)</f>
        <v>2069</v>
      </c>
      <c r="C56" s="264" t="s">
        <v>63</v>
      </c>
      <c r="D56" s="265" t="s">
        <v>63</v>
      </c>
      <c r="E56" s="265" t="s">
        <v>63</v>
      </c>
      <c r="F56" s="265" t="s">
        <v>63</v>
      </c>
      <c r="G56" s="265" t="s">
        <v>63</v>
      </c>
      <c r="H56" s="266" t="s">
        <v>63</v>
      </c>
      <c r="I56" s="267" t="s">
        <v>63</v>
      </c>
      <c r="J56" s="268" t="s">
        <v>63</v>
      </c>
      <c r="K56" s="284" t="s">
        <v>63</v>
      </c>
      <c r="L56" s="266" t="s">
        <v>63</v>
      </c>
      <c r="M56" s="267" t="s">
        <v>63</v>
      </c>
      <c r="N56" s="265" t="s">
        <v>63</v>
      </c>
      <c r="O56" s="265" t="s">
        <v>63</v>
      </c>
      <c r="P56" s="272">
        <f>ifna(vlookup(A56,'Population &amp; Church Numbers'!$A$1601:$D$1656,4,FALSE),"NULL")</f>
        <v>5</v>
      </c>
      <c r="Q56" s="334" t="s">
        <v>63</v>
      </c>
    </row>
    <row r="57">
      <c r="A57" s="326" t="s">
        <v>1465</v>
      </c>
      <c r="B57" s="251">
        <f t="array" ref="B57">VLOOKUP($A57,MT_DEMO,2,FALSE)</f>
        <v>937</v>
      </c>
      <c r="C57" s="252" t="s">
        <v>63</v>
      </c>
      <c r="D57" s="253" t="s">
        <v>63</v>
      </c>
      <c r="E57" s="253" t="s">
        <v>63</v>
      </c>
      <c r="F57" s="253" t="s">
        <v>63</v>
      </c>
      <c r="G57" s="253" t="s">
        <v>63</v>
      </c>
      <c r="H57" s="254" t="s">
        <v>63</v>
      </c>
      <c r="I57" s="255" t="s">
        <v>63</v>
      </c>
      <c r="J57" s="256" t="s">
        <v>63</v>
      </c>
      <c r="K57" s="274" t="s">
        <v>63</v>
      </c>
      <c r="L57" s="254" t="s">
        <v>63</v>
      </c>
      <c r="M57" s="255" t="s">
        <v>63</v>
      </c>
      <c r="N57" s="253" t="s">
        <v>63</v>
      </c>
      <c r="O57" s="253" t="s">
        <v>63</v>
      </c>
      <c r="P57" s="261">
        <f>ifna(vlookup(A57,'Population &amp; Church Numbers'!$A$1601:$D$1656,4,FALSE),"NULL")</f>
        <v>3</v>
      </c>
      <c r="Q57" s="329" t="s">
        <v>63</v>
      </c>
    </row>
    <row r="58">
      <c r="A58" s="188" t="s">
        <v>1466</v>
      </c>
      <c r="B58" s="189">
        <f t="array" ref="B58">VLOOKUP($A58,MT_DEMO,2,FALSE)</f>
        <v>164731</v>
      </c>
      <c r="C58" s="264" t="s">
        <v>63</v>
      </c>
      <c r="D58" s="265" t="s">
        <v>63</v>
      </c>
      <c r="E58" s="265" t="s">
        <v>63</v>
      </c>
      <c r="F58" s="265" t="s">
        <v>63</v>
      </c>
      <c r="G58" s="265" t="s">
        <v>63</v>
      </c>
      <c r="H58" s="266" t="s">
        <v>63</v>
      </c>
      <c r="I58" s="267" t="s">
        <v>63</v>
      </c>
      <c r="J58" s="268" t="s">
        <v>63</v>
      </c>
      <c r="K58" s="284" t="s">
        <v>63</v>
      </c>
      <c r="L58" s="266" t="s">
        <v>63</v>
      </c>
      <c r="M58" s="267" t="s">
        <v>63</v>
      </c>
      <c r="N58" s="265" t="s">
        <v>63</v>
      </c>
      <c r="O58" s="265" t="s">
        <v>63</v>
      </c>
      <c r="P58" s="272">
        <f>ifna(vlookup(A58,'Population &amp; Church Numbers'!$A$1601:$D$1656,4,FALSE),"NULL")</f>
        <v>121</v>
      </c>
      <c r="Q58" s="334" t="s">
        <v>63</v>
      </c>
    </row>
    <row r="59">
      <c r="A59" s="217"/>
      <c r="B59" s="218"/>
      <c r="C59" s="219"/>
      <c r="D59" s="220"/>
      <c r="E59" s="220"/>
      <c r="F59" s="220"/>
      <c r="G59" s="220"/>
      <c r="H59" s="221"/>
      <c r="I59" s="222"/>
      <c r="J59" s="223"/>
      <c r="K59" s="219"/>
      <c r="L59" s="224"/>
      <c r="M59" s="225"/>
      <c r="N59" s="226"/>
      <c r="O59" s="220"/>
      <c r="P59" s="221"/>
      <c r="Q59" s="295"/>
    </row>
    <row r="60">
      <c r="A60" s="228" t="s">
        <v>2</v>
      </c>
      <c r="B60" s="229"/>
      <c r="C60" s="230">
        <f>AFCARSCSC!B30</f>
        <v>2672</v>
      </c>
      <c r="D60" s="311" t="s">
        <v>63</v>
      </c>
      <c r="E60" s="311" t="s">
        <v>63</v>
      </c>
      <c r="F60" s="311" t="s">
        <v>63</v>
      </c>
      <c r="G60" s="311" t="s">
        <v>63</v>
      </c>
      <c r="H60" s="233">
        <f>AFCARSCSC!D30</f>
        <v>1200</v>
      </c>
      <c r="I60" s="234">
        <f>AFCARSCSC!C30</f>
        <v>345</v>
      </c>
      <c r="J60" s="622">
        <f>'AL Data'!B274</f>
        <v>4558</v>
      </c>
      <c r="K60" s="708" t="s">
        <v>63</v>
      </c>
      <c r="L60" s="309" t="s">
        <v>63</v>
      </c>
      <c r="M60" s="360" t="s">
        <v>63</v>
      </c>
      <c r="N60" s="311" t="s">
        <v>63</v>
      </c>
      <c r="O60" s="311" t="s">
        <v>63</v>
      </c>
      <c r="P60" s="233">
        <f>SUM(P3:P58)</f>
        <v>1143</v>
      </c>
      <c r="Q60" s="691" t="s">
        <v>63</v>
      </c>
    </row>
  </sheetData>
  <autoFilter ref="$A$2:$Q$58"/>
  <mergeCells count="1">
    <mergeCell ref="B1:Q1"/>
  </mergeCells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4.88"/>
    <col customWidth="1" min="11" max="11" width="17.5"/>
  </cols>
  <sheetData>
    <row r="1">
      <c r="A1" s="1042" t="s">
        <v>1040</v>
      </c>
      <c r="B1" s="369"/>
      <c r="C1" s="369"/>
      <c r="D1" s="369"/>
      <c r="E1" s="601" t="s">
        <v>765</v>
      </c>
      <c r="F1" s="601" t="s">
        <v>3704</v>
      </c>
      <c r="G1" s="369"/>
      <c r="H1" s="369"/>
      <c r="I1" s="601" t="s">
        <v>767</v>
      </c>
      <c r="J1" s="602"/>
      <c r="K1" s="601" t="s">
        <v>769</v>
      </c>
      <c r="L1" s="602"/>
      <c r="M1" s="373"/>
    </row>
    <row r="2">
      <c r="A2" s="545"/>
    </row>
    <row r="3">
      <c r="A3" s="1043" t="s">
        <v>76</v>
      </c>
      <c r="B3" s="1044">
        <v>4259.0</v>
      </c>
      <c r="C3" s="1045"/>
      <c r="D3" s="1046" t="s">
        <v>76</v>
      </c>
      <c r="E3" s="48"/>
      <c r="F3" s="1045"/>
      <c r="G3" s="1045"/>
      <c r="H3" s="1045"/>
      <c r="I3" s="1045"/>
    </row>
    <row r="4">
      <c r="A4" s="1043" t="s">
        <v>1431</v>
      </c>
      <c r="B4" s="1047">
        <v>36.0</v>
      </c>
      <c r="C4" s="1048"/>
      <c r="D4" s="1049" t="s">
        <v>3705</v>
      </c>
      <c r="E4" s="1050"/>
      <c r="F4" s="1051" t="s">
        <v>323</v>
      </c>
      <c r="G4" s="1048"/>
      <c r="H4" s="1048"/>
      <c r="I4" s="1048"/>
    </row>
    <row r="5">
      <c r="A5" s="1049" t="s">
        <v>1432</v>
      </c>
      <c r="B5" s="1052">
        <v>72.0</v>
      </c>
      <c r="C5" s="1053"/>
      <c r="D5" s="1054" t="s">
        <v>1058</v>
      </c>
      <c r="E5" s="1050"/>
      <c r="F5" s="1055"/>
      <c r="G5" s="1053"/>
      <c r="H5" s="1053"/>
      <c r="I5" s="1053"/>
    </row>
    <row r="6">
      <c r="A6" s="1043" t="s">
        <v>666</v>
      </c>
      <c r="B6" s="1044">
        <v>10.0</v>
      </c>
      <c r="C6" s="1045"/>
      <c r="D6" s="1043" t="s">
        <v>3706</v>
      </c>
      <c r="E6" s="1056"/>
      <c r="F6" s="1057" t="s">
        <v>323</v>
      </c>
      <c r="G6" s="1045"/>
      <c r="H6" s="1045"/>
      <c r="I6" s="1045"/>
    </row>
    <row r="7">
      <c r="A7" s="1043" t="s">
        <v>1433</v>
      </c>
      <c r="B7" s="1044" t="s">
        <v>63</v>
      </c>
      <c r="C7" s="1045"/>
      <c r="D7" s="1058"/>
      <c r="E7" s="1058"/>
      <c r="F7" s="1045"/>
      <c r="G7" s="1045"/>
      <c r="H7" s="1045"/>
      <c r="I7" s="1045"/>
    </row>
    <row r="8">
      <c r="A8" s="1043" t="s">
        <v>1434</v>
      </c>
      <c r="B8" s="1044">
        <v>10.0</v>
      </c>
    </row>
    <row r="9">
      <c r="A9" s="1043" t="s">
        <v>1038</v>
      </c>
      <c r="B9" s="1044" t="s">
        <v>63</v>
      </c>
    </row>
    <row r="10">
      <c r="A10" s="1043" t="s">
        <v>1435</v>
      </c>
      <c r="B10" s="1044">
        <v>563.0</v>
      </c>
    </row>
    <row r="11">
      <c r="A11" s="1043" t="s">
        <v>1436</v>
      </c>
      <c r="B11" s="1044" t="s">
        <v>63</v>
      </c>
    </row>
    <row r="12">
      <c r="A12" s="1043" t="s">
        <v>406</v>
      </c>
      <c r="B12" s="1044">
        <v>46.0</v>
      </c>
    </row>
    <row r="13">
      <c r="A13" s="1043" t="s">
        <v>1437</v>
      </c>
      <c r="B13" s="1044" t="s">
        <v>63</v>
      </c>
    </row>
    <row r="14">
      <c r="A14" s="1043" t="s">
        <v>562</v>
      </c>
      <c r="B14" s="1044">
        <v>29.0</v>
      </c>
    </row>
    <row r="15">
      <c r="A15" s="1043" t="s">
        <v>1438</v>
      </c>
      <c r="B15" s="1044">
        <v>26.0</v>
      </c>
    </row>
    <row r="16">
      <c r="A16" s="1043" t="s">
        <v>1439</v>
      </c>
      <c r="B16" s="1044" t="s">
        <v>63</v>
      </c>
    </row>
    <row r="17">
      <c r="A17" s="1043" t="s">
        <v>1440</v>
      </c>
      <c r="B17" s="1044">
        <v>19.0</v>
      </c>
    </row>
    <row r="18">
      <c r="A18" s="1043" t="s">
        <v>1441</v>
      </c>
      <c r="B18" s="1044">
        <v>176.0</v>
      </c>
    </row>
    <row r="19">
      <c r="A19" s="1043" t="s">
        <v>719</v>
      </c>
      <c r="B19" s="1044">
        <v>139.0</v>
      </c>
    </row>
    <row r="20">
      <c r="A20" s="1043" t="s">
        <v>417</v>
      </c>
      <c r="B20" s="1044" t="s">
        <v>63</v>
      </c>
    </row>
    <row r="21">
      <c r="A21" s="1043" t="s">
        <v>1442</v>
      </c>
      <c r="B21" s="1044">
        <v>154.0</v>
      </c>
    </row>
    <row r="22">
      <c r="A22" s="1043" t="s">
        <v>1443</v>
      </c>
      <c r="B22" s="1044" t="s">
        <v>63</v>
      </c>
    </row>
    <row r="23">
      <c r="A23" s="1043" t="s">
        <v>1444</v>
      </c>
      <c r="B23" s="1044" t="s">
        <v>63</v>
      </c>
    </row>
    <row r="24">
      <c r="A24" s="1043" t="s">
        <v>1445</v>
      </c>
      <c r="B24" s="1044">
        <v>95.0</v>
      </c>
    </row>
    <row r="25">
      <c r="A25" s="1043" t="s">
        <v>143</v>
      </c>
      <c r="B25" s="1044">
        <v>20.0</v>
      </c>
    </row>
    <row r="26">
      <c r="A26" s="1043" t="s">
        <v>1446</v>
      </c>
      <c r="B26" s="1044" t="s">
        <v>63</v>
      </c>
    </row>
    <row r="27">
      <c r="A27" s="1043" t="s">
        <v>337</v>
      </c>
      <c r="B27" s="1044">
        <v>30.0</v>
      </c>
    </row>
    <row r="28">
      <c r="A28" s="1043" t="s">
        <v>3707</v>
      </c>
      <c r="B28" s="1044">
        <v>228.0</v>
      </c>
    </row>
    <row r="29">
      <c r="A29" s="1043" t="s">
        <v>508</v>
      </c>
      <c r="B29" s="1044" t="s">
        <v>63</v>
      </c>
    </row>
    <row r="30">
      <c r="A30" s="1043" t="s">
        <v>290</v>
      </c>
      <c r="B30" s="1044">
        <v>51.0</v>
      </c>
    </row>
    <row r="31">
      <c r="A31" s="1043" t="s">
        <v>1448</v>
      </c>
      <c r="B31" s="1044" t="s">
        <v>63</v>
      </c>
    </row>
    <row r="32">
      <c r="A32" s="1043" t="s">
        <v>151</v>
      </c>
      <c r="B32" s="1044" t="s">
        <v>63</v>
      </c>
    </row>
    <row r="33">
      <c r="A33" s="1043" t="s">
        <v>1449</v>
      </c>
      <c r="B33" s="1044" t="s">
        <v>63</v>
      </c>
    </row>
    <row r="34">
      <c r="A34" s="1043" t="s">
        <v>435</v>
      </c>
      <c r="B34" s="1044" t="s">
        <v>63</v>
      </c>
    </row>
    <row r="35">
      <c r="A35" s="1043" t="s">
        <v>1450</v>
      </c>
      <c r="B35" s="1044">
        <v>237.0</v>
      </c>
    </row>
    <row r="36">
      <c r="A36" s="1043" t="s">
        <v>1451</v>
      </c>
      <c r="B36" s="1044">
        <v>28.0</v>
      </c>
    </row>
    <row r="37">
      <c r="A37" s="1043" t="s">
        <v>445</v>
      </c>
      <c r="B37" s="1044">
        <v>58.0</v>
      </c>
    </row>
    <row r="38">
      <c r="A38" s="1043" t="s">
        <v>1452</v>
      </c>
      <c r="B38" s="1044" t="s">
        <v>63</v>
      </c>
    </row>
    <row r="39">
      <c r="A39" s="1043" t="s">
        <v>300</v>
      </c>
      <c r="B39" s="1044">
        <v>13.0</v>
      </c>
    </row>
    <row r="40">
      <c r="A40" s="1043" t="s">
        <v>1453</v>
      </c>
      <c r="B40" s="1044">
        <v>13.0</v>
      </c>
    </row>
    <row r="41">
      <c r="A41" s="1043" t="s">
        <v>1454</v>
      </c>
      <c r="B41" s="1044" t="s">
        <v>63</v>
      </c>
    </row>
    <row r="42">
      <c r="A42" s="1043" t="s">
        <v>1130</v>
      </c>
      <c r="B42" s="1044" t="s">
        <v>63</v>
      </c>
    </row>
    <row r="43">
      <c r="A43" s="1043" t="s">
        <v>304</v>
      </c>
      <c r="B43" s="1044" t="s">
        <v>63</v>
      </c>
    </row>
    <row r="44">
      <c r="A44" s="1043" t="s">
        <v>1455</v>
      </c>
      <c r="B44" s="1044">
        <v>52.0</v>
      </c>
    </row>
    <row r="45">
      <c r="A45" s="1043" t="s">
        <v>743</v>
      </c>
      <c r="B45" s="1044">
        <v>32.0</v>
      </c>
    </row>
    <row r="46">
      <c r="A46" s="1043" t="s">
        <v>1456</v>
      </c>
      <c r="B46" s="1044">
        <v>228.0</v>
      </c>
    </row>
    <row r="47">
      <c r="A47" s="1043" t="s">
        <v>1457</v>
      </c>
      <c r="B47" s="1044">
        <v>48.0</v>
      </c>
    </row>
    <row r="48">
      <c r="A48" s="1043" t="s">
        <v>1458</v>
      </c>
      <c r="B48" s="1044">
        <v>23.0</v>
      </c>
    </row>
    <row r="49">
      <c r="A49" s="1043" t="s">
        <v>1010</v>
      </c>
      <c r="B49" s="1044" t="s">
        <v>63</v>
      </c>
    </row>
    <row r="50">
      <c r="A50" s="1043" t="s">
        <v>1459</v>
      </c>
      <c r="B50" s="1044">
        <v>257.0</v>
      </c>
      <c r="C50" s="1059"/>
      <c r="D50" s="1045"/>
      <c r="E50" s="1045"/>
      <c r="F50" s="1045"/>
      <c r="G50" s="1059"/>
      <c r="H50" s="1045"/>
      <c r="I50" s="1059"/>
      <c r="J50" s="1045"/>
      <c r="K50" s="1045"/>
    </row>
    <row r="51">
      <c r="A51" s="1043" t="s">
        <v>1460</v>
      </c>
      <c r="B51" s="1044">
        <v>14.0</v>
      </c>
    </row>
    <row r="52">
      <c r="A52" s="1043" t="s">
        <v>1461</v>
      </c>
      <c r="B52" s="1044" t="s">
        <v>63</v>
      </c>
    </row>
    <row r="53">
      <c r="A53" s="1043" t="s">
        <v>690</v>
      </c>
      <c r="B53" s="1044">
        <v>10.0</v>
      </c>
    </row>
    <row r="54">
      <c r="A54" s="1043" t="s">
        <v>1462</v>
      </c>
      <c r="B54" s="1044">
        <v>14.0</v>
      </c>
    </row>
    <row r="55">
      <c r="A55" s="1043" t="s">
        <v>1463</v>
      </c>
      <c r="B55" s="1044" t="s">
        <v>63</v>
      </c>
    </row>
    <row r="56">
      <c r="A56" s="1043" t="s">
        <v>692</v>
      </c>
      <c r="B56" s="1044">
        <v>24.0</v>
      </c>
    </row>
    <row r="57">
      <c r="A57" s="1043" t="s">
        <v>1464</v>
      </c>
      <c r="B57" s="1044" t="s">
        <v>63</v>
      </c>
    </row>
    <row r="58">
      <c r="A58" s="1043" t="s">
        <v>1465</v>
      </c>
      <c r="B58" s="1044" t="s">
        <v>63</v>
      </c>
    </row>
    <row r="59">
      <c r="A59" s="1043" t="s">
        <v>1466</v>
      </c>
      <c r="B59" s="1044">
        <v>1121.0</v>
      </c>
    </row>
    <row r="60">
      <c r="A60" s="545"/>
    </row>
    <row r="61">
      <c r="A61" s="545"/>
    </row>
    <row r="62">
      <c r="A62" s="545"/>
    </row>
    <row r="63">
      <c r="A63" s="545"/>
    </row>
    <row r="64">
      <c r="A64" s="545"/>
    </row>
    <row r="65">
      <c r="A65" s="545"/>
    </row>
    <row r="66">
      <c r="A66" s="545"/>
    </row>
    <row r="67">
      <c r="A67" s="545"/>
    </row>
    <row r="68">
      <c r="A68" s="545"/>
    </row>
    <row r="69">
      <c r="A69" s="545"/>
    </row>
    <row r="70">
      <c r="A70" s="545"/>
    </row>
    <row r="71">
      <c r="A71" s="545"/>
    </row>
    <row r="72">
      <c r="A72" s="545"/>
    </row>
    <row r="73">
      <c r="A73" s="545"/>
    </row>
    <row r="74">
      <c r="A74" s="545"/>
    </row>
    <row r="75">
      <c r="A75" s="545"/>
    </row>
    <row r="76">
      <c r="A76" s="545"/>
    </row>
    <row r="77">
      <c r="A77" s="545"/>
    </row>
    <row r="78">
      <c r="A78" s="545"/>
    </row>
    <row r="79">
      <c r="A79" s="545"/>
    </row>
    <row r="80">
      <c r="A80" s="545"/>
    </row>
    <row r="81">
      <c r="A81" s="545"/>
    </row>
    <row r="82">
      <c r="A82" s="545"/>
    </row>
    <row r="83">
      <c r="A83" s="545"/>
    </row>
    <row r="84">
      <c r="A84" s="545"/>
    </row>
    <row r="85">
      <c r="A85" s="545"/>
    </row>
    <row r="86">
      <c r="A86" s="545"/>
    </row>
    <row r="87">
      <c r="A87" s="545"/>
    </row>
    <row r="88">
      <c r="A88" s="545"/>
    </row>
    <row r="89">
      <c r="A89" s="545"/>
    </row>
    <row r="90">
      <c r="A90" s="545"/>
    </row>
    <row r="91">
      <c r="A91" s="545"/>
    </row>
    <row r="92">
      <c r="A92" s="545"/>
    </row>
    <row r="93">
      <c r="A93" s="545"/>
    </row>
    <row r="94">
      <c r="A94" s="545"/>
    </row>
    <row r="95">
      <c r="A95" s="545"/>
    </row>
    <row r="96">
      <c r="A96" s="545"/>
    </row>
    <row r="97">
      <c r="A97" s="545"/>
    </row>
    <row r="98">
      <c r="A98" s="545"/>
    </row>
    <row r="99">
      <c r="A99" s="545"/>
    </row>
    <row r="100">
      <c r="A100" s="1060" t="s">
        <v>852</v>
      </c>
      <c r="B100" s="276"/>
      <c r="C100" s="276"/>
      <c r="D100" s="276"/>
      <c r="E100" s="275" t="s">
        <v>765</v>
      </c>
      <c r="F100" s="276"/>
      <c r="G100" s="276"/>
      <c r="H100" s="276"/>
      <c r="I100" s="275" t="s">
        <v>767</v>
      </c>
      <c r="J100" s="276"/>
      <c r="K100" s="275" t="s">
        <v>769</v>
      </c>
      <c r="L100" s="276"/>
      <c r="M100" s="276"/>
    </row>
    <row r="101">
      <c r="A101" s="545"/>
    </row>
    <row r="102">
      <c r="A102" s="545"/>
    </row>
    <row r="103">
      <c r="A103" s="545"/>
    </row>
    <row r="104">
      <c r="A104" s="545"/>
    </row>
    <row r="105">
      <c r="A105" s="545"/>
    </row>
    <row r="106">
      <c r="A106" s="545"/>
    </row>
    <row r="107">
      <c r="A107" s="545"/>
    </row>
    <row r="108">
      <c r="A108" s="545"/>
    </row>
    <row r="109">
      <c r="A109" s="545"/>
    </row>
    <row r="110">
      <c r="A110" s="545"/>
    </row>
    <row r="111">
      <c r="A111" s="545"/>
    </row>
    <row r="112">
      <c r="A112" s="545"/>
    </row>
    <row r="113">
      <c r="A113" s="545"/>
    </row>
    <row r="114">
      <c r="A114" s="545"/>
    </row>
    <row r="115">
      <c r="A115" s="545"/>
    </row>
    <row r="116">
      <c r="A116" s="545"/>
    </row>
    <row r="117">
      <c r="A117" s="545"/>
    </row>
    <row r="118">
      <c r="A118" s="545"/>
    </row>
    <row r="119">
      <c r="A119" s="545"/>
    </row>
    <row r="120">
      <c r="A120" s="545"/>
    </row>
    <row r="121">
      <c r="A121" s="545"/>
    </row>
    <row r="122">
      <c r="A122" s="545"/>
    </row>
    <row r="123">
      <c r="A123" s="545"/>
    </row>
    <row r="124">
      <c r="A124" s="545"/>
    </row>
    <row r="125">
      <c r="A125" s="545"/>
    </row>
    <row r="126">
      <c r="A126" s="545"/>
    </row>
    <row r="127">
      <c r="A127" s="545"/>
    </row>
    <row r="128">
      <c r="A128" s="545"/>
    </row>
    <row r="129">
      <c r="A129" s="545"/>
    </row>
    <row r="130">
      <c r="A130" s="545"/>
    </row>
    <row r="131">
      <c r="A131" s="545"/>
    </row>
    <row r="132">
      <c r="A132" s="545"/>
    </row>
    <row r="133">
      <c r="A133" s="545"/>
    </row>
    <row r="134">
      <c r="A134" s="545"/>
    </row>
    <row r="135">
      <c r="A135" s="545"/>
    </row>
    <row r="136">
      <c r="A136" s="545"/>
    </row>
    <row r="137">
      <c r="A137" s="545"/>
    </row>
    <row r="138">
      <c r="A138" s="545"/>
    </row>
    <row r="139">
      <c r="A139" s="545"/>
    </row>
    <row r="140">
      <c r="A140" s="545"/>
    </row>
    <row r="141">
      <c r="A141" s="545"/>
    </row>
    <row r="142">
      <c r="A142" s="545"/>
    </row>
    <row r="143">
      <c r="A143" s="545"/>
    </row>
    <row r="144">
      <c r="A144" s="545"/>
    </row>
    <row r="145">
      <c r="A145" s="545"/>
    </row>
    <row r="146">
      <c r="A146" s="545"/>
    </row>
    <row r="147">
      <c r="A147" s="545"/>
    </row>
    <row r="148">
      <c r="A148" s="545"/>
    </row>
    <row r="149">
      <c r="A149" s="545"/>
    </row>
    <row r="150">
      <c r="A150" s="545"/>
    </row>
    <row r="151">
      <c r="A151" s="545"/>
    </row>
    <row r="152">
      <c r="A152" s="545"/>
    </row>
    <row r="153">
      <c r="A153" s="545"/>
    </row>
    <row r="154">
      <c r="A154" s="545"/>
    </row>
    <row r="155">
      <c r="A155" s="545"/>
    </row>
    <row r="156">
      <c r="A156" s="545"/>
    </row>
    <row r="157">
      <c r="A157" s="545"/>
    </row>
    <row r="158">
      <c r="A158" s="545"/>
    </row>
    <row r="159">
      <c r="A159" s="545"/>
    </row>
    <row r="160">
      <c r="A160" s="545"/>
    </row>
    <row r="161">
      <c r="A161" s="545"/>
    </row>
    <row r="162">
      <c r="A162" s="545"/>
    </row>
    <row r="163">
      <c r="A163" s="545"/>
    </row>
    <row r="164">
      <c r="A164" s="545"/>
    </row>
    <row r="165">
      <c r="A165" s="545"/>
    </row>
    <row r="166">
      <c r="A166" s="545"/>
    </row>
    <row r="167">
      <c r="A167" s="545"/>
    </row>
    <row r="168">
      <c r="A168" s="545"/>
    </row>
    <row r="169">
      <c r="A169" s="545"/>
    </row>
    <row r="170">
      <c r="A170" s="545"/>
    </row>
    <row r="171">
      <c r="A171" s="545"/>
    </row>
    <row r="172">
      <c r="A172" s="545"/>
    </row>
    <row r="173">
      <c r="A173" s="545"/>
    </row>
    <row r="174">
      <c r="A174" s="545"/>
    </row>
    <row r="175">
      <c r="A175" s="545"/>
    </row>
    <row r="176">
      <c r="A176" s="545"/>
    </row>
    <row r="177">
      <c r="A177" s="545"/>
    </row>
    <row r="178">
      <c r="A178" s="545"/>
    </row>
    <row r="179">
      <c r="A179" s="545"/>
    </row>
    <row r="180">
      <c r="A180" s="545"/>
    </row>
    <row r="181">
      <c r="A181" s="545"/>
    </row>
    <row r="182">
      <c r="A182" s="545"/>
    </row>
    <row r="183">
      <c r="A183" s="545"/>
    </row>
    <row r="184">
      <c r="A184" s="545"/>
    </row>
    <row r="185">
      <c r="A185" s="545"/>
    </row>
    <row r="186">
      <c r="A186" s="545"/>
    </row>
    <row r="187">
      <c r="A187" s="545"/>
    </row>
    <row r="188">
      <c r="A188" s="545"/>
    </row>
    <row r="189">
      <c r="A189" s="545"/>
    </row>
    <row r="190">
      <c r="A190" s="545"/>
    </row>
    <row r="191">
      <c r="A191" s="545"/>
    </row>
    <row r="192">
      <c r="A192" s="545"/>
    </row>
    <row r="193">
      <c r="A193" s="545"/>
    </row>
    <row r="194">
      <c r="A194" s="545"/>
    </row>
    <row r="195">
      <c r="A195" s="545"/>
    </row>
    <row r="196">
      <c r="A196" s="545"/>
    </row>
    <row r="197">
      <c r="A197" s="545"/>
    </row>
    <row r="198">
      <c r="A198" s="545"/>
    </row>
    <row r="199">
      <c r="A199" s="545"/>
    </row>
    <row r="200">
      <c r="A200" s="545"/>
    </row>
    <row r="201">
      <c r="A201" s="545"/>
    </row>
    <row r="202">
      <c r="A202" s="545"/>
    </row>
    <row r="203">
      <c r="A203" s="545"/>
    </row>
    <row r="204">
      <c r="A204" s="545"/>
    </row>
    <row r="205">
      <c r="A205" s="545"/>
    </row>
    <row r="206">
      <c r="A206" s="545"/>
    </row>
    <row r="207">
      <c r="A207" s="545"/>
    </row>
    <row r="208">
      <c r="A208" s="545"/>
    </row>
    <row r="209">
      <c r="A209" s="545"/>
    </row>
    <row r="210">
      <c r="A210" s="545"/>
    </row>
    <row r="211">
      <c r="A211" s="545"/>
    </row>
    <row r="212">
      <c r="A212" s="545"/>
    </row>
    <row r="213">
      <c r="A213" s="545"/>
    </row>
    <row r="214">
      <c r="A214" s="545"/>
    </row>
    <row r="215">
      <c r="A215" s="545"/>
    </row>
    <row r="216">
      <c r="A216" s="545"/>
    </row>
    <row r="217">
      <c r="A217" s="545"/>
    </row>
    <row r="218">
      <c r="A218" s="545"/>
    </row>
    <row r="219">
      <c r="A219" s="545"/>
    </row>
    <row r="220">
      <c r="A220" s="545"/>
    </row>
    <row r="221">
      <c r="A221" s="545"/>
    </row>
    <row r="222">
      <c r="A222" s="545"/>
    </row>
    <row r="223">
      <c r="A223" s="545"/>
    </row>
    <row r="224">
      <c r="A224" s="545"/>
    </row>
    <row r="225">
      <c r="A225" s="545"/>
    </row>
    <row r="226">
      <c r="A226" s="545"/>
    </row>
    <row r="227">
      <c r="A227" s="545"/>
    </row>
    <row r="228">
      <c r="A228" s="545"/>
    </row>
    <row r="229">
      <c r="A229" s="545"/>
    </row>
    <row r="230">
      <c r="A230" s="545"/>
    </row>
    <row r="231">
      <c r="A231" s="545"/>
    </row>
    <row r="232">
      <c r="A232" s="545"/>
    </row>
    <row r="233">
      <c r="A233" s="545"/>
    </row>
    <row r="234">
      <c r="A234" s="545"/>
    </row>
    <row r="235">
      <c r="A235" s="545"/>
    </row>
    <row r="236">
      <c r="A236" s="545"/>
    </row>
    <row r="237">
      <c r="A237" s="545"/>
    </row>
    <row r="238">
      <c r="A238" s="545"/>
    </row>
    <row r="239">
      <c r="A239" s="545"/>
    </row>
    <row r="240">
      <c r="A240" s="545"/>
    </row>
    <row r="241">
      <c r="A241" s="545"/>
    </row>
    <row r="242">
      <c r="A242" s="545"/>
    </row>
    <row r="243">
      <c r="A243" s="545"/>
    </row>
    <row r="244">
      <c r="A244" s="545"/>
    </row>
    <row r="245">
      <c r="A245" s="545"/>
    </row>
    <row r="246">
      <c r="A246" s="545"/>
    </row>
    <row r="247">
      <c r="A247" s="545"/>
    </row>
    <row r="248">
      <c r="A248" s="545"/>
    </row>
    <row r="249">
      <c r="A249" s="545"/>
    </row>
    <row r="250">
      <c r="A250" s="545"/>
    </row>
    <row r="251">
      <c r="A251" s="545"/>
    </row>
    <row r="252">
      <c r="A252" s="545"/>
    </row>
    <row r="253">
      <c r="A253" s="545"/>
    </row>
    <row r="254">
      <c r="A254" s="545"/>
    </row>
    <row r="255">
      <c r="A255" s="545"/>
    </row>
    <row r="256">
      <c r="A256" s="545"/>
    </row>
    <row r="257">
      <c r="A257" s="545"/>
    </row>
    <row r="258">
      <c r="A258" s="545"/>
    </row>
    <row r="259">
      <c r="A259" s="545"/>
    </row>
    <row r="260">
      <c r="A260" s="545"/>
    </row>
    <row r="261">
      <c r="A261" s="545"/>
    </row>
    <row r="262">
      <c r="A262" s="545"/>
    </row>
    <row r="263">
      <c r="A263" s="545"/>
    </row>
    <row r="264">
      <c r="A264" s="545"/>
    </row>
    <row r="265">
      <c r="A265" s="545"/>
    </row>
    <row r="266">
      <c r="A266" s="545"/>
    </row>
    <row r="267">
      <c r="A267" s="545"/>
    </row>
    <row r="268">
      <c r="A268" s="545"/>
    </row>
    <row r="269">
      <c r="A269" s="545"/>
    </row>
    <row r="270">
      <c r="A270" s="545"/>
    </row>
    <row r="271">
      <c r="A271" s="545"/>
    </row>
    <row r="272">
      <c r="A272" s="545"/>
    </row>
    <row r="273">
      <c r="A273" s="545"/>
    </row>
    <row r="274">
      <c r="A274" s="545"/>
    </row>
    <row r="275">
      <c r="A275" s="545"/>
    </row>
    <row r="276">
      <c r="A276" s="545"/>
    </row>
    <row r="277">
      <c r="A277" s="545"/>
    </row>
    <row r="278">
      <c r="A278" s="545"/>
    </row>
    <row r="279">
      <c r="A279" s="545"/>
    </row>
    <row r="280">
      <c r="A280" s="545"/>
    </row>
    <row r="281">
      <c r="A281" s="545"/>
    </row>
    <row r="282">
      <c r="A282" s="545"/>
    </row>
    <row r="283">
      <c r="A283" s="545"/>
    </row>
    <row r="284">
      <c r="A284" s="545"/>
    </row>
    <row r="285">
      <c r="A285" s="545"/>
    </row>
    <row r="286">
      <c r="A286" s="545"/>
    </row>
    <row r="287">
      <c r="A287" s="545"/>
    </row>
    <row r="288">
      <c r="A288" s="545"/>
    </row>
    <row r="289">
      <c r="A289" s="545"/>
    </row>
    <row r="290">
      <c r="A290" s="545"/>
    </row>
    <row r="291">
      <c r="A291" s="545"/>
    </row>
    <row r="292">
      <c r="A292" s="545"/>
    </row>
    <row r="293">
      <c r="A293" s="545"/>
    </row>
    <row r="294">
      <c r="A294" s="545"/>
    </row>
    <row r="295">
      <c r="A295" s="545"/>
    </row>
    <row r="296">
      <c r="A296" s="545"/>
    </row>
    <row r="297">
      <c r="A297" s="545"/>
    </row>
    <row r="298">
      <c r="A298" s="545"/>
    </row>
    <row r="299">
      <c r="A299" s="545"/>
    </row>
    <row r="300">
      <c r="A300" s="545"/>
    </row>
    <row r="301">
      <c r="A301" s="545"/>
    </row>
    <row r="302">
      <c r="A302" s="545"/>
    </row>
    <row r="303">
      <c r="A303" s="545"/>
    </row>
    <row r="304">
      <c r="A304" s="545"/>
    </row>
    <row r="305">
      <c r="A305" s="545"/>
    </row>
    <row r="306">
      <c r="A306" s="545"/>
    </row>
    <row r="307">
      <c r="A307" s="545"/>
    </row>
    <row r="308">
      <c r="A308" s="545"/>
    </row>
    <row r="309">
      <c r="A309" s="545"/>
    </row>
    <row r="310">
      <c r="A310" s="545"/>
    </row>
    <row r="311">
      <c r="A311" s="545"/>
    </row>
    <row r="312">
      <c r="A312" s="545"/>
    </row>
    <row r="313">
      <c r="A313" s="545"/>
    </row>
    <row r="314">
      <c r="A314" s="545"/>
    </row>
    <row r="315">
      <c r="A315" s="545"/>
    </row>
    <row r="316">
      <c r="A316" s="545"/>
    </row>
    <row r="317">
      <c r="A317" s="545"/>
    </row>
    <row r="318">
      <c r="A318" s="545"/>
    </row>
    <row r="319">
      <c r="A319" s="545"/>
    </row>
    <row r="320">
      <c r="A320" s="545"/>
    </row>
    <row r="321">
      <c r="A321" s="545"/>
    </row>
    <row r="322">
      <c r="A322" s="545"/>
    </row>
    <row r="323">
      <c r="A323" s="545"/>
    </row>
    <row r="324">
      <c r="A324" s="545"/>
    </row>
    <row r="325">
      <c r="A325" s="545"/>
    </row>
    <row r="326">
      <c r="A326" s="545"/>
    </row>
    <row r="327">
      <c r="A327" s="545"/>
    </row>
    <row r="328">
      <c r="A328" s="545"/>
    </row>
    <row r="329">
      <c r="A329" s="545"/>
    </row>
    <row r="330">
      <c r="A330" s="545"/>
    </row>
    <row r="331">
      <c r="A331" s="545"/>
    </row>
    <row r="332">
      <c r="A332" s="545"/>
    </row>
    <row r="333">
      <c r="A333" s="545"/>
    </row>
    <row r="334">
      <c r="A334" s="545"/>
    </row>
    <row r="335">
      <c r="A335" s="545"/>
    </row>
    <row r="336">
      <c r="A336" s="545"/>
    </row>
    <row r="337">
      <c r="A337" s="545"/>
    </row>
    <row r="338">
      <c r="A338" s="545"/>
    </row>
    <row r="339">
      <c r="A339" s="545"/>
    </row>
    <row r="340">
      <c r="A340" s="545"/>
    </row>
    <row r="341">
      <c r="A341" s="545"/>
    </row>
    <row r="342">
      <c r="A342" s="545"/>
    </row>
    <row r="343">
      <c r="A343" s="545"/>
    </row>
    <row r="344">
      <c r="A344" s="545"/>
    </row>
    <row r="345">
      <c r="A345" s="545"/>
    </row>
    <row r="346">
      <c r="A346" s="545"/>
    </row>
    <row r="347">
      <c r="A347" s="545"/>
    </row>
    <row r="348">
      <c r="A348" s="545"/>
    </row>
    <row r="349">
      <c r="A349" s="545"/>
    </row>
    <row r="350">
      <c r="A350" s="545"/>
    </row>
    <row r="351">
      <c r="A351" s="545"/>
    </row>
    <row r="352">
      <c r="A352" s="545"/>
    </row>
    <row r="353">
      <c r="A353" s="545"/>
    </row>
    <row r="354">
      <c r="A354" s="545"/>
    </row>
    <row r="355">
      <c r="A355" s="545"/>
    </row>
    <row r="356">
      <c r="A356" s="545"/>
    </row>
    <row r="357">
      <c r="A357" s="545"/>
    </row>
    <row r="358">
      <c r="A358" s="545"/>
    </row>
    <row r="359">
      <c r="A359" s="545"/>
    </row>
    <row r="360">
      <c r="A360" s="545"/>
    </row>
    <row r="361">
      <c r="A361" s="545"/>
    </row>
    <row r="362">
      <c r="A362" s="545"/>
    </row>
    <row r="363">
      <c r="A363" s="545"/>
    </row>
    <row r="364">
      <c r="A364" s="545"/>
    </row>
    <row r="365">
      <c r="A365" s="545"/>
    </row>
    <row r="366">
      <c r="A366" s="545"/>
    </row>
    <row r="367">
      <c r="A367" s="545"/>
    </row>
    <row r="368">
      <c r="A368" s="545"/>
    </row>
    <row r="369">
      <c r="A369" s="545"/>
    </row>
    <row r="370">
      <c r="A370" s="545"/>
    </row>
    <row r="371">
      <c r="A371" s="545"/>
    </row>
    <row r="372">
      <c r="A372" s="545"/>
    </row>
    <row r="373">
      <c r="A373" s="545"/>
    </row>
    <row r="374">
      <c r="A374" s="545"/>
    </row>
    <row r="375">
      <c r="A375" s="545"/>
    </row>
    <row r="376">
      <c r="A376" s="545"/>
    </row>
    <row r="377">
      <c r="A377" s="545"/>
    </row>
    <row r="378">
      <c r="A378" s="545"/>
    </row>
    <row r="379">
      <c r="A379" s="545"/>
    </row>
    <row r="380">
      <c r="A380" s="545"/>
    </row>
    <row r="381">
      <c r="A381" s="545"/>
    </row>
    <row r="382">
      <c r="A382" s="545"/>
    </row>
    <row r="383">
      <c r="A383" s="545"/>
    </row>
    <row r="384">
      <c r="A384" s="545"/>
    </row>
    <row r="385">
      <c r="A385" s="545"/>
    </row>
    <row r="386">
      <c r="A386" s="545"/>
    </row>
    <row r="387">
      <c r="A387" s="545"/>
    </row>
    <row r="388">
      <c r="A388" s="545"/>
    </row>
    <row r="389">
      <c r="A389" s="545"/>
    </row>
    <row r="390">
      <c r="A390" s="545"/>
    </row>
    <row r="391">
      <c r="A391" s="545"/>
    </row>
    <row r="392">
      <c r="A392" s="545"/>
    </row>
    <row r="393">
      <c r="A393" s="545"/>
    </row>
    <row r="394">
      <c r="A394" s="545"/>
    </row>
    <row r="395">
      <c r="A395" s="545"/>
    </row>
    <row r="396">
      <c r="A396" s="545"/>
    </row>
    <row r="397">
      <c r="A397" s="545"/>
    </row>
    <row r="398">
      <c r="A398" s="545"/>
    </row>
    <row r="399">
      <c r="A399" s="545"/>
    </row>
    <row r="400">
      <c r="A400" s="545"/>
    </row>
    <row r="401">
      <c r="A401" s="545"/>
    </row>
    <row r="402">
      <c r="A402" s="545"/>
    </row>
    <row r="403">
      <c r="A403" s="545"/>
    </row>
    <row r="404">
      <c r="A404" s="545"/>
    </row>
    <row r="405">
      <c r="A405" s="545"/>
    </row>
    <row r="406">
      <c r="A406" s="545"/>
    </row>
    <row r="407">
      <c r="A407" s="545"/>
    </row>
    <row r="408">
      <c r="A408" s="545"/>
    </row>
    <row r="409">
      <c r="A409" s="545"/>
    </row>
    <row r="410">
      <c r="A410" s="545"/>
    </row>
    <row r="411">
      <c r="A411" s="545"/>
    </row>
    <row r="412">
      <c r="A412" s="545"/>
    </row>
    <row r="413">
      <c r="A413" s="545"/>
    </row>
    <row r="414">
      <c r="A414" s="545"/>
    </row>
    <row r="415">
      <c r="A415" s="545"/>
    </row>
    <row r="416">
      <c r="A416" s="545"/>
    </row>
    <row r="417">
      <c r="A417" s="545"/>
    </row>
    <row r="418">
      <c r="A418" s="545"/>
    </row>
    <row r="419">
      <c r="A419" s="545"/>
    </row>
    <row r="420">
      <c r="A420" s="545"/>
    </row>
    <row r="421">
      <c r="A421" s="545"/>
    </row>
    <row r="422">
      <c r="A422" s="545"/>
    </row>
    <row r="423">
      <c r="A423" s="545"/>
    </row>
    <row r="424">
      <c r="A424" s="545"/>
    </row>
    <row r="425">
      <c r="A425" s="545"/>
    </row>
    <row r="426">
      <c r="A426" s="545"/>
    </row>
    <row r="427">
      <c r="A427" s="545"/>
    </row>
    <row r="428">
      <c r="A428" s="545"/>
    </row>
    <row r="429">
      <c r="A429" s="545"/>
    </row>
    <row r="430">
      <c r="A430" s="545"/>
    </row>
    <row r="431">
      <c r="A431" s="545"/>
    </row>
    <row r="432">
      <c r="A432" s="545"/>
    </row>
    <row r="433">
      <c r="A433" s="545"/>
    </row>
    <row r="434">
      <c r="A434" s="545"/>
    </row>
    <row r="435">
      <c r="A435" s="545"/>
    </row>
    <row r="436">
      <c r="A436" s="545"/>
    </row>
    <row r="437">
      <c r="A437" s="545"/>
    </row>
    <row r="438">
      <c r="A438" s="545"/>
    </row>
    <row r="439">
      <c r="A439" s="545"/>
    </row>
    <row r="440">
      <c r="A440" s="545"/>
    </row>
    <row r="441">
      <c r="A441" s="545"/>
    </row>
    <row r="442">
      <c r="A442" s="545"/>
    </row>
    <row r="443">
      <c r="A443" s="545"/>
    </row>
    <row r="444">
      <c r="A444" s="545"/>
    </row>
    <row r="445">
      <c r="A445" s="545"/>
    </row>
    <row r="446">
      <c r="A446" s="545"/>
    </row>
    <row r="447">
      <c r="A447" s="545"/>
    </row>
    <row r="448">
      <c r="A448" s="545"/>
    </row>
    <row r="449">
      <c r="A449" s="545"/>
    </row>
    <row r="450">
      <c r="A450" s="545"/>
    </row>
    <row r="451">
      <c r="A451" s="545"/>
    </row>
    <row r="452">
      <c r="A452" s="545"/>
    </row>
    <row r="453">
      <c r="A453" s="545"/>
    </row>
    <row r="454">
      <c r="A454" s="545"/>
    </row>
    <row r="455">
      <c r="A455" s="545"/>
    </row>
    <row r="456">
      <c r="A456" s="545"/>
    </row>
    <row r="457">
      <c r="A457" s="545"/>
    </row>
    <row r="458">
      <c r="A458" s="545"/>
    </row>
    <row r="459">
      <c r="A459" s="545"/>
    </row>
    <row r="460">
      <c r="A460" s="545"/>
    </row>
    <row r="461">
      <c r="A461" s="545"/>
    </row>
    <row r="462">
      <c r="A462" s="545"/>
    </row>
    <row r="463">
      <c r="A463" s="545"/>
    </row>
    <row r="464">
      <c r="A464" s="545"/>
    </row>
    <row r="465">
      <c r="A465" s="545"/>
    </row>
    <row r="466">
      <c r="A466" s="545"/>
    </row>
    <row r="467">
      <c r="A467" s="545"/>
    </row>
    <row r="468">
      <c r="A468" s="545"/>
    </row>
    <row r="469">
      <c r="A469" s="545"/>
    </row>
    <row r="470">
      <c r="A470" s="545"/>
    </row>
    <row r="471">
      <c r="A471" s="545"/>
    </row>
    <row r="472">
      <c r="A472" s="545"/>
    </row>
    <row r="473">
      <c r="A473" s="545"/>
    </row>
    <row r="474">
      <c r="A474" s="545"/>
    </row>
    <row r="475">
      <c r="A475" s="545"/>
    </row>
    <row r="476">
      <c r="A476" s="545"/>
    </row>
    <row r="477">
      <c r="A477" s="545"/>
    </row>
    <row r="478">
      <c r="A478" s="545"/>
    </row>
    <row r="479">
      <c r="A479" s="545"/>
    </row>
    <row r="480">
      <c r="A480" s="545"/>
    </row>
    <row r="481">
      <c r="A481" s="545"/>
    </row>
    <row r="482">
      <c r="A482" s="545"/>
    </row>
    <row r="483">
      <c r="A483" s="545"/>
    </row>
    <row r="484">
      <c r="A484" s="545"/>
    </row>
    <row r="485">
      <c r="A485" s="545"/>
    </row>
    <row r="486">
      <c r="A486" s="545"/>
    </row>
    <row r="487">
      <c r="A487" s="545"/>
    </row>
    <row r="488">
      <c r="A488" s="545"/>
    </row>
    <row r="489">
      <c r="A489" s="545"/>
    </row>
    <row r="490">
      <c r="A490" s="545"/>
    </row>
    <row r="491">
      <c r="A491" s="545"/>
    </row>
    <row r="492">
      <c r="A492" s="545"/>
    </row>
    <row r="493">
      <c r="A493" s="545"/>
    </row>
    <row r="494">
      <c r="A494" s="545"/>
    </row>
    <row r="495">
      <c r="A495" s="545"/>
    </row>
    <row r="496">
      <c r="A496" s="545"/>
    </row>
    <row r="497">
      <c r="A497" s="545"/>
    </row>
    <row r="498">
      <c r="A498" s="545"/>
    </row>
    <row r="499">
      <c r="A499" s="545"/>
    </row>
    <row r="500">
      <c r="A500" s="545"/>
    </row>
    <row r="501">
      <c r="A501" s="545"/>
    </row>
    <row r="502">
      <c r="A502" s="545"/>
    </row>
    <row r="503">
      <c r="A503" s="545"/>
    </row>
    <row r="504">
      <c r="A504" s="545"/>
    </row>
    <row r="505">
      <c r="A505" s="545"/>
    </row>
    <row r="506">
      <c r="A506" s="545"/>
    </row>
    <row r="507">
      <c r="A507" s="545"/>
    </row>
    <row r="508">
      <c r="A508" s="545"/>
    </row>
    <row r="509">
      <c r="A509" s="545"/>
    </row>
    <row r="510">
      <c r="A510" s="545"/>
    </row>
    <row r="511">
      <c r="A511" s="545"/>
    </row>
    <row r="512">
      <c r="A512" s="545"/>
    </row>
    <row r="513">
      <c r="A513" s="545"/>
    </row>
    <row r="514">
      <c r="A514" s="545"/>
    </row>
    <row r="515">
      <c r="A515" s="545"/>
    </row>
    <row r="516">
      <c r="A516" s="545"/>
    </row>
    <row r="517">
      <c r="A517" s="545"/>
    </row>
    <row r="518">
      <c r="A518" s="545"/>
    </row>
    <row r="519">
      <c r="A519" s="545"/>
    </row>
    <row r="520">
      <c r="A520" s="545"/>
    </row>
    <row r="521">
      <c r="A521" s="545"/>
    </row>
    <row r="522">
      <c r="A522" s="545"/>
    </row>
    <row r="523">
      <c r="A523" s="545"/>
    </row>
    <row r="524">
      <c r="A524" s="545"/>
    </row>
    <row r="525">
      <c r="A525" s="545"/>
    </row>
    <row r="526">
      <c r="A526" s="545"/>
    </row>
    <row r="527">
      <c r="A527" s="545"/>
    </row>
    <row r="528">
      <c r="A528" s="545"/>
    </row>
    <row r="529">
      <c r="A529" s="545"/>
    </row>
    <row r="530">
      <c r="A530" s="545"/>
    </row>
    <row r="531">
      <c r="A531" s="545"/>
    </row>
    <row r="532">
      <c r="A532" s="545"/>
    </row>
    <row r="533">
      <c r="A533" s="545"/>
    </row>
    <row r="534">
      <c r="A534" s="545"/>
    </row>
    <row r="535">
      <c r="A535" s="545"/>
    </row>
    <row r="536">
      <c r="A536" s="545"/>
    </row>
    <row r="537">
      <c r="A537" s="545"/>
    </row>
    <row r="538">
      <c r="A538" s="545"/>
    </row>
    <row r="539">
      <c r="A539" s="545"/>
    </row>
    <row r="540">
      <c r="A540" s="545"/>
    </row>
    <row r="541">
      <c r="A541" s="545"/>
    </row>
    <row r="542">
      <c r="A542" s="545"/>
    </row>
    <row r="543">
      <c r="A543" s="545"/>
    </row>
    <row r="544">
      <c r="A544" s="545"/>
    </row>
    <row r="545">
      <c r="A545" s="545"/>
    </row>
    <row r="546">
      <c r="A546" s="545"/>
    </row>
    <row r="547">
      <c r="A547" s="545"/>
    </row>
    <row r="548">
      <c r="A548" s="545"/>
    </row>
    <row r="549">
      <c r="A549" s="545"/>
    </row>
    <row r="550">
      <c r="A550" s="545"/>
    </row>
    <row r="551">
      <c r="A551" s="545"/>
    </row>
    <row r="552">
      <c r="A552" s="545"/>
    </row>
    <row r="553">
      <c r="A553" s="545"/>
    </row>
    <row r="554">
      <c r="A554" s="545"/>
    </row>
    <row r="555">
      <c r="A555" s="545"/>
    </row>
    <row r="556">
      <c r="A556" s="545"/>
    </row>
    <row r="557">
      <c r="A557" s="545"/>
    </row>
    <row r="558">
      <c r="A558" s="545"/>
    </row>
    <row r="559">
      <c r="A559" s="545"/>
    </row>
    <row r="560">
      <c r="A560" s="545"/>
    </row>
    <row r="561">
      <c r="A561" s="545"/>
    </row>
    <row r="562">
      <c r="A562" s="545"/>
    </row>
    <row r="563">
      <c r="A563" s="545"/>
    </row>
    <row r="564">
      <c r="A564" s="545"/>
    </row>
    <row r="565">
      <c r="A565" s="545"/>
    </row>
    <row r="566">
      <c r="A566" s="545"/>
    </row>
    <row r="567">
      <c r="A567" s="545"/>
    </row>
    <row r="568">
      <c r="A568" s="545"/>
    </row>
    <row r="569">
      <c r="A569" s="545"/>
    </row>
    <row r="570">
      <c r="A570" s="545"/>
    </row>
    <row r="571">
      <c r="A571" s="545"/>
    </row>
    <row r="572">
      <c r="A572" s="545"/>
    </row>
    <row r="573">
      <c r="A573" s="545"/>
    </row>
    <row r="574">
      <c r="A574" s="545"/>
    </row>
    <row r="575">
      <c r="A575" s="545"/>
    </row>
    <row r="576">
      <c r="A576" s="545"/>
    </row>
    <row r="577">
      <c r="A577" s="545"/>
    </row>
    <row r="578">
      <c r="A578" s="545"/>
    </row>
    <row r="579">
      <c r="A579" s="545"/>
    </row>
    <row r="580">
      <c r="A580" s="545"/>
    </row>
    <row r="581">
      <c r="A581" s="545"/>
    </row>
    <row r="582">
      <c r="A582" s="545"/>
    </row>
    <row r="583">
      <c r="A583" s="545"/>
    </row>
    <row r="584">
      <c r="A584" s="545"/>
    </row>
    <row r="585">
      <c r="A585" s="545"/>
    </row>
    <row r="586">
      <c r="A586" s="545"/>
    </row>
    <row r="587">
      <c r="A587" s="545"/>
    </row>
    <row r="588">
      <c r="A588" s="545"/>
    </row>
    <row r="589">
      <c r="A589" s="545"/>
    </row>
    <row r="590">
      <c r="A590" s="545"/>
    </row>
    <row r="591">
      <c r="A591" s="545"/>
    </row>
    <row r="592">
      <c r="A592" s="545"/>
    </row>
    <row r="593">
      <c r="A593" s="545"/>
    </row>
    <row r="594">
      <c r="A594" s="545"/>
    </row>
    <row r="595">
      <c r="A595" s="545"/>
    </row>
    <row r="596">
      <c r="A596" s="545"/>
    </row>
    <row r="597">
      <c r="A597" s="545"/>
    </row>
    <row r="598">
      <c r="A598" s="545"/>
    </row>
    <row r="599">
      <c r="A599" s="545"/>
    </row>
    <row r="600">
      <c r="A600" s="545"/>
    </row>
    <row r="601">
      <c r="A601" s="545"/>
    </row>
    <row r="602">
      <c r="A602" s="545"/>
    </row>
    <row r="603">
      <c r="A603" s="545"/>
    </row>
    <row r="604">
      <c r="A604" s="545"/>
    </row>
    <row r="605">
      <c r="A605" s="545"/>
    </row>
    <row r="606">
      <c r="A606" s="545"/>
    </row>
    <row r="607">
      <c r="A607" s="545"/>
    </row>
    <row r="608">
      <c r="A608" s="545"/>
    </row>
    <row r="609">
      <c r="A609" s="545"/>
    </row>
    <row r="610">
      <c r="A610" s="545"/>
    </row>
    <row r="611">
      <c r="A611" s="545"/>
    </row>
    <row r="612">
      <c r="A612" s="545"/>
    </row>
    <row r="613">
      <c r="A613" s="545"/>
    </row>
    <row r="614">
      <c r="A614" s="545"/>
    </row>
    <row r="615">
      <c r="A615" s="545"/>
    </row>
    <row r="616">
      <c r="A616" s="545"/>
    </row>
    <row r="617">
      <c r="A617" s="545"/>
    </row>
    <row r="618">
      <c r="A618" s="545"/>
    </row>
    <row r="619">
      <c r="A619" s="545"/>
    </row>
    <row r="620">
      <c r="A620" s="545"/>
    </row>
    <row r="621">
      <c r="A621" s="545"/>
    </row>
    <row r="622">
      <c r="A622" s="545"/>
    </row>
    <row r="623">
      <c r="A623" s="545"/>
    </row>
    <row r="624">
      <c r="A624" s="545"/>
    </row>
    <row r="625">
      <c r="A625" s="545"/>
    </row>
    <row r="626">
      <c r="A626" s="545"/>
    </row>
    <row r="627">
      <c r="A627" s="545"/>
    </row>
    <row r="628">
      <c r="A628" s="545"/>
    </row>
    <row r="629">
      <c r="A629" s="545"/>
    </row>
    <row r="630">
      <c r="A630" s="545"/>
    </row>
    <row r="631">
      <c r="A631" s="545"/>
    </row>
    <row r="632">
      <c r="A632" s="545"/>
    </row>
    <row r="633">
      <c r="A633" s="545"/>
    </row>
    <row r="634">
      <c r="A634" s="545"/>
    </row>
    <row r="635">
      <c r="A635" s="545"/>
    </row>
    <row r="636">
      <c r="A636" s="545"/>
    </row>
    <row r="637">
      <c r="A637" s="545"/>
    </row>
    <row r="638">
      <c r="A638" s="545"/>
    </row>
    <row r="639">
      <c r="A639" s="545"/>
    </row>
    <row r="640">
      <c r="A640" s="545"/>
    </row>
    <row r="641">
      <c r="A641" s="545"/>
    </row>
    <row r="642">
      <c r="A642" s="545"/>
    </row>
    <row r="643">
      <c r="A643" s="545"/>
    </row>
    <row r="644">
      <c r="A644" s="545"/>
    </row>
    <row r="645">
      <c r="A645" s="545"/>
    </row>
    <row r="646">
      <c r="A646" s="545"/>
    </row>
    <row r="647">
      <c r="A647" s="545"/>
    </row>
    <row r="648">
      <c r="A648" s="545"/>
    </row>
    <row r="649">
      <c r="A649" s="545"/>
    </row>
    <row r="650">
      <c r="A650" s="545"/>
    </row>
    <row r="651">
      <c r="A651" s="545"/>
    </row>
    <row r="652">
      <c r="A652" s="545"/>
    </row>
    <row r="653">
      <c r="A653" s="545"/>
    </row>
    <row r="654">
      <c r="A654" s="545"/>
    </row>
    <row r="655">
      <c r="A655" s="545"/>
    </row>
    <row r="656">
      <c r="A656" s="545"/>
    </row>
    <row r="657">
      <c r="A657" s="545"/>
    </row>
    <row r="658">
      <c r="A658" s="545"/>
    </row>
    <row r="659">
      <c r="A659" s="545"/>
    </row>
    <row r="660">
      <c r="A660" s="545"/>
    </row>
    <row r="661">
      <c r="A661" s="545"/>
    </row>
    <row r="662">
      <c r="A662" s="545"/>
    </row>
    <row r="663">
      <c r="A663" s="545"/>
    </row>
    <row r="664">
      <c r="A664" s="545"/>
    </row>
    <row r="665">
      <c r="A665" s="545"/>
    </row>
    <row r="666">
      <c r="A666" s="545"/>
    </row>
    <row r="667">
      <c r="A667" s="545"/>
    </row>
    <row r="668">
      <c r="A668" s="545"/>
    </row>
    <row r="669">
      <c r="A669" s="545"/>
    </row>
    <row r="670">
      <c r="A670" s="545"/>
    </row>
    <row r="671">
      <c r="A671" s="545"/>
    </row>
    <row r="672">
      <c r="A672" s="545"/>
    </row>
    <row r="673">
      <c r="A673" s="545"/>
    </row>
    <row r="674">
      <c r="A674" s="545"/>
    </row>
    <row r="675">
      <c r="A675" s="545"/>
    </row>
    <row r="676">
      <c r="A676" s="545"/>
    </row>
    <row r="677">
      <c r="A677" s="545"/>
    </row>
    <row r="678">
      <c r="A678" s="545"/>
    </row>
    <row r="679">
      <c r="A679" s="545"/>
    </row>
    <row r="680">
      <c r="A680" s="545"/>
    </row>
    <row r="681">
      <c r="A681" s="545"/>
    </row>
    <row r="682">
      <c r="A682" s="545"/>
    </row>
    <row r="683">
      <c r="A683" s="545"/>
    </row>
    <row r="684">
      <c r="A684" s="545"/>
    </row>
    <row r="685">
      <c r="A685" s="545"/>
    </row>
    <row r="686">
      <c r="A686" s="545"/>
    </row>
    <row r="687">
      <c r="A687" s="545"/>
    </row>
    <row r="688">
      <c r="A688" s="545"/>
    </row>
    <row r="689">
      <c r="A689" s="545"/>
    </row>
    <row r="690">
      <c r="A690" s="545"/>
    </row>
    <row r="691">
      <c r="A691" s="545"/>
    </row>
    <row r="692">
      <c r="A692" s="545"/>
    </row>
    <row r="693">
      <c r="A693" s="545"/>
    </row>
    <row r="694">
      <c r="A694" s="545"/>
    </row>
    <row r="695">
      <c r="A695" s="545"/>
    </row>
    <row r="696">
      <c r="A696" s="545"/>
    </row>
    <row r="697">
      <c r="A697" s="545"/>
    </row>
    <row r="698">
      <c r="A698" s="545"/>
    </row>
    <row r="699">
      <c r="A699" s="545"/>
    </row>
    <row r="700">
      <c r="A700" s="545"/>
    </row>
    <row r="701">
      <c r="A701" s="545"/>
    </row>
    <row r="702">
      <c r="A702" s="545"/>
    </row>
    <row r="703">
      <c r="A703" s="545"/>
    </row>
    <row r="704">
      <c r="A704" s="545"/>
    </row>
    <row r="705">
      <c r="A705" s="545"/>
    </row>
    <row r="706">
      <c r="A706" s="545"/>
    </row>
    <row r="707">
      <c r="A707" s="545"/>
    </row>
    <row r="708">
      <c r="A708" s="545"/>
    </row>
    <row r="709">
      <c r="A709" s="545"/>
    </row>
    <row r="710">
      <c r="A710" s="545"/>
    </row>
    <row r="711">
      <c r="A711" s="545"/>
    </row>
    <row r="712">
      <c r="A712" s="545"/>
    </row>
    <row r="713">
      <c r="A713" s="545"/>
    </row>
    <row r="714">
      <c r="A714" s="545"/>
    </row>
    <row r="715">
      <c r="A715" s="545"/>
    </row>
    <row r="716">
      <c r="A716" s="545"/>
    </row>
    <row r="717">
      <c r="A717" s="545"/>
    </row>
    <row r="718">
      <c r="A718" s="545"/>
    </row>
    <row r="719">
      <c r="A719" s="545"/>
    </row>
    <row r="720">
      <c r="A720" s="545"/>
    </row>
    <row r="721">
      <c r="A721" s="545"/>
    </row>
    <row r="722">
      <c r="A722" s="545"/>
    </row>
    <row r="723">
      <c r="A723" s="545"/>
    </row>
    <row r="724">
      <c r="A724" s="545"/>
    </row>
    <row r="725">
      <c r="A725" s="545"/>
    </row>
    <row r="726">
      <c r="A726" s="545"/>
    </row>
    <row r="727">
      <c r="A727" s="545"/>
    </row>
    <row r="728">
      <c r="A728" s="545"/>
    </row>
    <row r="729">
      <c r="A729" s="545"/>
    </row>
    <row r="730">
      <c r="A730" s="545"/>
    </row>
    <row r="731">
      <c r="A731" s="545"/>
    </row>
    <row r="732">
      <c r="A732" s="545"/>
    </row>
    <row r="733">
      <c r="A733" s="545"/>
    </row>
    <row r="734">
      <c r="A734" s="545"/>
    </row>
    <row r="735">
      <c r="A735" s="545"/>
    </row>
    <row r="736">
      <c r="A736" s="545"/>
    </row>
    <row r="737">
      <c r="A737" s="545"/>
    </row>
    <row r="738">
      <c r="A738" s="545"/>
    </row>
    <row r="739">
      <c r="A739" s="545"/>
    </row>
    <row r="740">
      <c r="A740" s="545"/>
    </row>
    <row r="741">
      <c r="A741" s="545"/>
    </row>
    <row r="742">
      <c r="A742" s="545"/>
    </row>
    <row r="743">
      <c r="A743" s="545"/>
    </row>
    <row r="744">
      <c r="A744" s="545"/>
    </row>
    <row r="745">
      <c r="A745" s="545"/>
    </row>
    <row r="746">
      <c r="A746" s="545"/>
    </row>
    <row r="747">
      <c r="A747" s="545"/>
    </row>
    <row r="748">
      <c r="A748" s="545"/>
    </row>
    <row r="749">
      <c r="A749" s="545"/>
    </row>
    <row r="750">
      <c r="A750" s="545"/>
    </row>
    <row r="751">
      <c r="A751" s="545"/>
    </row>
    <row r="752">
      <c r="A752" s="545"/>
    </row>
    <row r="753">
      <c r="A753" s="545"/>
    </row>
    <row r="754">
      <c r="A754" s="545"/>
    </row>
    <row r="755">
      <c r="A755" s="545"/>
    </row>
    <row r="756">
      <c r="A756" s="545"/>
    </row>
    <row r="757">
      <c r="A757" s="545"/>
    </row>
    <row r="758">
      <c r="A758" s="545"/>
    </row>
    <row r="759">
      <c r="A759" s="545"/>
    </row>
    <row r="760">
      <c r="A760" s="545"/>
    </row>
    <row r="761">
      <c r="A761" s="545"/>
    </row>
    <row r="762">
      <c r="A762" s="545"/>
    </row>
    <row r="763">
      <c r="A763" s="545"/>
    </row>
    <row r="764">
      <c r="A764" s="545"/>
    </row>
    <row r="765">
      <c r="A765" s="545"/>
    </row>
    <row r="766">
      <c r="A766" s="545"/>
    </row>
    <row r="767">
      <c r="A767" s="545"/>
    </row>
    <row r="768">
      <c r="A768" s="545"/>
    </row>
    <row r="769">
      <c r="A769" s="545"/>
    </row>
    <row r="770">
      <c r="A770" s="545"/>
    </row>
    <row r="771">
      <c r="A771" s="545"/>
    </row>
    <row r="772">
      <c r="A772" s="545"/>
    </row>
    <row r="773">
      <c r="A773" s="545"/>
    </row>
    <row r="774">
      <c r="A774" s="545"/>
    </row>
    <row r="775">
      <c r="A775" s="545"/>
    </row>
    <row r="776">
      <c r="A776" s="545"/>
    </row>
    <row r="777">
      <c r="A777" s="545"/>
    </row>
    <row r="778">
      <c r="A778" s="545"/>
    </row>
    <row r="779">
      <c r="A779" s="545"/>
    </row>
    <row r="780">
      <c r="A780" s="545"/>
    </row>
    <row r="781">
      <c r="A781" s="545"/>
    </row>
    <row r="782">
      <c r="A782" s="545"/>
    </row>
    <row r="783">
      <c r="A783" s="545"/>
    </row>
    <row r="784">
      <c r="A784" s="545"/>
    </row>
    <row r="785">
      <c r="A785" s="545"/>
    </row>
    <row r="786">
      <c r="A786" s="545"/>
    </row>
    <row r="787">
      <c r="A787" s="545"/>
    </row>
    <row r="788">
      <c r="A788" s="545"/>
    </row>
    <row r="789">
      <c r="A789" s="545"/>
    </row>
    <row r="790">
      <c r="A790" s="545"/>
    </row>
    <row r="791">
      <c r="A791" s="545"/>
    </row>
    <row r="792">
      <c r="A792" s="545"/>
    </row>
    <row r="793">
      <c r="A793" s="545"/>
    </row>
    <row r="794">
      <c r="A794" s="545"/>
    </row>
    <row r="795">
      <c r="A795" s="545"/>
    </row>
    <row r="796">
      <c r="A796" s="545"/>
    </row>
    <row r="797">
      <c r="A797" s="545"/>
    </row>
    <row r="798">
      <c r="A798" s="545"/>
    </row>
    <row r="799">
      <c r="A799" s="545"/>
    </row>
    <row r="800">
      <c r="A800" s="545"/>
    </row>
    <row r="801">
      <c r="A801" s="545"/>
    </row>
    <row r="802">
      <c r="A802" s="545"/>
    </row>
    <row r="803">
      <c r="A803" s="545"/>
    </row>
    <row r="804">
      <c r="A804" s="545"/>
    </row>
    <row r="805">
      <c r="A805" s="545"/>
    </row>
    <row r="806">
      <c r="A806" s="545"/>
    </row>
    <row r="807">
      <c r="A807" s="545"/>
    </row>
    <row r="808">
      <c r="A808" s="545"/>
    </row>
    <row r="809">
      <c r="A809" s="545"/>
    </row>
    <row r="810">
      <c r="A810" s="545"/>
    </row>
    <row r="811">
      <c r="A811" s="545"/>
    </row>
    <row r="812">
      <c r="A812" s="545"/>
    </row>
    <row r="813">
      <c r="A813" s="545"/>
    </row>
    <row r="814">
      <c r="A814" s="545"/>
    </row>
    <row r="815">
      <c r="A815" s="545"/>
    </row>
    <row r="816">
      <c r="A816" s="545"/>
    </row>
    <row r="817">
      <c r="A817" s="545"/>
    </row>
    <row r="818">
      <c r="A818" s="545"/>
    </row>
    <row r="819">
      <c r="A819" s="545"/>
    </row>
    <row r="820">
      <c r="A820" s="545"/>
    </row>
    <row r="821">
      <c r="A821" s="545"/>
    </row>
    <row r="822">
      <c r="A822" s="545"/>
    </row>
    <row r="823">
      <c r="A823" s="545"/>
    </row>
    <row r="824">
      <c r="A824" s="545"/>
    </row>
    <row r="825">
      <c r="A825" s="545"/>
    </row>
    <row r="826">
      <c r="A826" s="545"/>
    </row>
    <row r="827">
      <c r="A827" s="545"/>
    </row>
    <row r="828">
      <c r="A828" s="545"/>
    </row>
    <row r="829">
      <c r="A829" s="545"/>
    </row>
    <row r="830">
      <c r="A830" s="545"/>
    </row>
    <row r="831">
      <c r="A831" s="545"/>
    </row>
    <row r="832">
      <c r="A832" s="545"/>
    </row>
    <row r="833">
      <c r="A833" s="545"/>
    </row>
    <row r="834">
      <c r="A834" s="545"/>
    </row>
    <row r="835">
      <c r="A835" s="545"/>
    </row>
    <row r="836">
      <c r="A836" s="545"/>
    </row>
    <row r="837">
      <c r="A837" s="545"/>
    </row>
    <row r="838">
      <c r="A838" s="545"/>
    </row>
    <row r="839">
      <c r="A839" s="545"/>
    </row>
    <row r="840">
      <c r="A840" s="545"/>
    </row>
    <row r="841">
      <c r="A841" s="545"/>
    </row>
    <row r="842">
      <c r="A842" s="545"/>
    </row>
    <row r="843">
      <c r="A843" s="545"/>
    </row>
    <row r="844">
      <c r="A844" s="545"/>
    </row>
    <row r="845">
      <c r="A845" s="545"/>
    </row>
    <row r="846">
      <c r="A846" s="545"/>
    </row>
    <row r="847">
      <c r="A847" s="545"/>
    </row>
    <row r="848">
      <c r="A848" s="545"/>
    </row>
    <row r="849">
      <c r="A849" s="545"/>
    </row>
    <row r="850">
      <c r="A850" s="545"/>
    </row>
    <row r="851">
      <c r="A851" s="545"/>
    </row>
    <row r="852">
      <c r="A852" s="545"/>
    </row>
    <row r="853">
      <c r="A853" s="545"/>
    </row>
    <row r="854">
      <c r="A854" s="545"/>
    </row>
    <row r="855">
      <c r="A855" s="545"/>
    </row>
    <row r="856">
      <c r="A856" s="545"/>
    </row>
    <row r="857">
      <c r="A857" s="545"/>
    </row>
    <row r="858">
      <c r="A858" s="545"/>
    </row>
    <row r="859">
      <c r="A859" s="545"/>
    </row>
    <row r="860">
      <c r="A860" s="545"/>
    </row>
    <row r="861">
      <c r="A861" s="545"/>
    </row>
    <row r="862">
      <c r="A862" s="545"/>
    </row>
    <row r="863">
      <c r="A863" s="545"/>
    </row>
    <row r="864">
      <c r="A864" s="545"/>
    </row>
    <row r="865">
      <c r="A865" s="545"/>
    </row>
    <row r="866">
      <c r="A866" s="545"/>
    </row>
    <row r="867">
      <c r="A867" s="545"/>
    </row>
    <row r="868">
      <c r="A868" s="545"/>
    </row>
    <row r="869">
      <c r="A869" s="545"/>
    </row>
    <row r="870">
      <c r="A870" s="545"/>
    </row>
    <row r="871">
      <c r="A871" s="545"/>
    </row>
    <row r="872">
      <c r="A872" s="545"/>
    </row>
    <row r="873">
      <c r="A873" s="545"/>
    </row>
    <row r="874">
      <c r="A874" s="545"/>
    </row>
    <row r="875">
      <c r="A875" s="545"/>
    </row>
    <row r="876">
      <c r="A876" s="545"/>
    </row>
    <row r="877">
      <c r="A877" s="545"/>
    </row>
    <row r="878">
      <c r="A878" s="545"/>
    </row>
    <row r="879">
      <c r="A879" s="545"/>
    </row>
    <row r="880">
      <c r="A880" s="545"/>
    </row>
    <row r="881">
      <c r="A881" s="545"/>
    </row>
    <row r="882">
      <c r="A882" s="545"/>
    </row>
    <row r="883">
      <c r="A883" s="545"/>
    </row>
    <row r="884">
      <c r="A884" s="545"/>
    </row>
    <row r="885">
      <c r="A885" s="545"/>
    </row>
    <row r="886">
      <c r="A886" s="545"/>
    </row>
    <row r="887">
      <c r="A887" s="545"/>
    </row>
    <row r="888">
      <c r="A888" s="545"/>
    </row>
    <row r="889">
      <c r="A889" s="545"/>
    </row>
    <row r="890">
      <c r="A890" s="545"/>
    </row>
    <row r="891">
      <c r="A891" s="545"/>
    </row>
    <row r="892">
      <c r="A892" s="545"/>
    </row>
    <row r="893">
      <c r="A893" s="545"/>
    </row>
    <row r="894">
      <c r="A894" s="545"/>
    </row>
    <row r="895">
      <c r="A895" s="545"/>
    </row>
    <row r="896">
      <c r="A896" s="545"/>
    </row>
    <row r="897">
      <c r="A897" s="545"/>
    </row>
    <row r="898">
      <c r="A898" s="545"/>
    </row>
    <row r="899">
      <c r="A899" s="545"/>
    </row>
    <row r="900">
      <c r="A900" s="545"/>
    </row>
    <row r="901">
      <c r="A901" s="545"/>
    </row>
    <row r="902">
      <c r="A902" s="545"/>
    </row>
    <row r="903">
      <c r="A903" s="545"/>
    </row>
    <row r="904">
      <c r="A904" s="545"/>
    </row>
    <row r="905">
      <c r="A905" s="545"/>
    </row>
    <row r="906">
      <c r="A906" s="545"/>
    </row>
    <row r="907">
      <c r="A907" s="545"/>
    </row>
    <row r="908">
      <c r="A908" s="545"/>
    </row>
    <row r="909">
      <c r="A909" s="545"/>
    </row>
    <row r="910">
      <c r="A910" s="545"/>
    </row>
    <row r="911">
      <c r="A911" s="545"/>
    </row>
    <row r="912">
      <c r="A912" s="545"/>
    </row>
    <row r="913">
      <c r="A913" s="545"/>
    </row>
    <row r="914">
      <c r="A914" s="545"/>
    </row>
    <row r="915">
      <c r="A915" s="545"/>
    </row>
    <row r="916">
      <c r="A916" s="545"/>
    </row>
    <row r="917">
      <c r="A917" s="545"/>
    </row>
    <row r="918">
      <c r="A918" s="545"/>
    </row>
    <row r="919">
      <c r="A919" s="545"/>
    </row>
    <row r="920">
      <c r="A920" s="545"/>
    </row>
    <row r="921">
      <c r="A921" s="545"/>
    </row>
    <row r="922">
      <c r="A922" s="545"/>
    </row>
    <row r="923">
      <c r="A923" s="545"/>
    </row>
    <row r="924">
      <c r="A924" s="545"/>
    </row>
    <row r="925">
      <c r="A925" s="545"/>
    </row>
    <row r="926">
      <c r="A926" s="545"/>
    </row>
    <row r="927">
      <c r="A927" s="545"/>
    </row>
    <row r="928">
      <c r="A928" s="545"/>
    </row>
    <row r="929">
      <c r="A929" s="545"/>
    </row>
    <row r="930">
      <c r="A930" s="545"/>
    </row>
    <row r="931">
      <c r="A931" s="545"/>
    </row>
    <row r="932">
      <c r="A932" s="545"/>
    </row>
    <row r="933">
      <c r="A933" s="545"/>
    </row>
    <row r="934">
      <c r="A934" s="545"/>
    </row>
    <row r="935">
      <c r="A935" s="545"/>
    </row>
    <row r="936">
      <c r="A936" s="545"/>
    </row>
    <row r="937">
      <c r="A937" s="545"/>
    </row>
    <row r="938">
      <c r="A938" s="545"/>
    </row>
    <row r="939">
      <c r="A939" s="545"/>
    </row>
    <row r="940">
      <c r="A940" s="545"/>
    </row>
    <row r="941">
      <c r="A941" s="545"/>
    </row>
    <row r="942">
      <c r="A942" s="545"/>
    </row>
    <row r="943">
      <c r="A943" s="545"/>
    </row>
    <row r="944">
      <c r="A944" s="545"/>
    </row>
    <row r="945">
      <c r="A945" s="545"/>
    </row>
    <row r="946">
      <c r="A946" s="545"/>
    </row>
    <row r="947">
      <c r="A947" s="545"/>
    </row>
    <row r="948">
      <c r="A948" s="545"/>
    </row>
    <row r="949">
      <c r="A949" s="545"/>
    </row>
    <row r="950">
      <c r="A950" s="545"/>
    </row>
    <row r="951">
      <c r="A951" s="545"/>
    </row>
    <row r="952">
      <c r="A952" s="545"/>
    </row>
    <row r="953">
      <c r="A953" s="545"/>
    </row>
    <row r="954">
      <c r="A954" s="545"/>
    </row>
    <row r="955">
      <c r="A955" s="545"/>
    </row>
    <row r="956">
      <c r="A956" s="545"/>
    </row>
    <row r="957">
      <c r="A957" s="545"/>
    </row>
    <row r="958">
      <c r="A958" s="545"/>
    </row>
    <row r="959">
      <c r="A959" s="545"/>
    </row>
    <row r="960">
      <c r="A960" s="545"/>
    </row>
    <row r="961">
      <c r="A961" s="545"/>
    </row>
    <row r="962">
      <c r="A962" s="545"/>
    </row>
    <row r="963">
      <c r="A963" s="545"/>
    </row>
    <row r="964">
      <c r="A964" s="545"/>
    </row>
    <row r="965">
      <c r="A965" s="545"/>
    </row>
    <row r="966">
      <c r="A966" s="545"/>
    </row>
    <row r="967">
      <c r="A967" s="545"/>
    </row>
    <row r="968">
      <c r="A968" s="545"/>
    </row>
    <row r="969">
      <c r="A969" s="545"/>
    </row>
    <row r="970">
      <c r="A970" s="545"/>
    </row>
    <row r="971">
      <c r="A971" s="545"/>
    </row>
    <row r="972">
      <c r="A972" s="545"/>
    </row>
    <row r="973">
      <c r="A973" s="545"/>
    </row>
    <row r="974">
      <c r="A974" s="545"/>
    </row>
    <row r="975">
      <c r="A975" s="545"/>
    </row>
    <row r="976">
      <c r="A976" s="545"/>
    </row>
    <row r="977">
      <c r="A977" s="545"/>
    </row>
    <row r="978">
      <c r="A978" s="545"/>
    </row>
    <row r="979">
      <c r="A979" s="545"/>
    </row>
    <row r="980">
      <c r="A980" s="545"/>
    </row>
    <row r="981">
      <c r="A981" s="545"/>
    </row>
    <row r="982">
      <c r="A982" s="545"/>
    </row>
    <row r="983">
      <c r="A983" s="545"/>
    </row>
    <row r="984">
      <c r="A984" s="545"/>
    </row>
    <row r="985">
      <c r="A985" s="545"/>
    </row>
    <row r="986">
      <c r="A986" s="545"/>
    </row>
    <row r="987">
      <c r="A987" s="545"/>
    </row>
    <row r="988">
      <c r="A988" s="545"/>
    </row>
    <row r="989">
      <c r="A989" s="545"/>
    </row>
    <row r="990">
      <c r="A990" s="545"/>
    </row>
    <row r="991">
      <c r="A991" s="545"/>
    </row>
    <row r="992">
      <c r="A992" s="545"/>
    </row>
    <row r="993">
      <c r="A993" s="545"/>
    </row>
    <row r="994">
      <c r="A994" s="545"/>
    </row>
    <row r="995">
      <c r="A995" s="545"/>
    </row>
    <row r="996">
      <c r="A996" s="545"/>
    </row>
    <row r="997">
      <c r="A997" s="545"/>
    </row>
    <row r="998">
      <c r="A998" s="545"/>
    </row>
    <row r="999">
      <c r="A999" s="545"/>
    </row>
    <row r="1000">
      <c r="A1000" s="545"/>
    </row>
  </sheetData>
  <mergeCells count="1">
    <mergeCell ref="D3:E3"/>
  </mergeCells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sheetData>
    <row r="1">
      <c r="A1" s="167"/>
      <c r="B1" s="168" t="s">
        <v>79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</row>
    <row r="2">
      <c r="A2" s="169" t="s">
        <v>172</v>
      </c>
      <c r="B2" s="170" t="s">
        <v>174</v>
      </c>
      <c r="C2" s="171" t="s">
        <v>693</v>
      </c>
      <c r="D2" s="608" t="s">
        <v>694</v>
      </c>
      <c r="E2" s="608" t="s">
        <v>695</v>
      </c>
      <c r="F2" s="608" t="s">
        <v>179</v>
      </c>
      <c r="G2" s="608" t="s">
        <v>696</v>
      </c>
      <c r="H2" s="173" t="s">
        <v>697</v>
      </c>
      <c r="I2" s="174" t="s">
        <v>84</v>
      </c>
      <c r="J2" s="170" t="s">
        <v>698</v>
      </c>
      <c r="K2" s="175" t="s">
        <v>699</v>
      </c>
      <c r="L2" s="173" t="s">
        <v>89</v>
      </c>
      <c r="M2" s="176" t="s">
        <v>700</v>
      </c>
      <c r="N2" s="177" t="s">
        <v>701</v>
      </c>
      <c r="O2" s="177" t="s">
        <v>702</v>
      </c>
      <c r="P2" s="178" t="s">
        <v>90</v>
      </c>
      <c r="Q2" s="325" t="s">
        <v>703</v>
      </c>
    </row>
    <row r="3">
      <c r="A3" s="609" t="s">
        <v>386</v>
      </c>
      <c r="B3" s="610">
        <f t="array" ref="B3">VLOOKUP($A3,NE_DEMO,2,FALSE)</f>
        <v>31205</v>
      </c>
      <c r="C3" s="611">
        <f>if(VLOOKUP($A3,'NE Data'!$A$3:$B$97,2,FALSE)="--","NULL",VLOOKUP($A3,'NE Data'!$A$3:$B$97,2,FALSE))</f>
        <v>67</v>
      </c>
      <c r="D3" s="612">
        <f>vlookup(A3,'NE Data'!$A$104:$C$198,3,FALSE)</f>
        <v>1.98</v>
      </c>
      <c r="E3" s="612">
        <f>if(VLOOKUP($A3,'NE Data'!$A$3:$G$97,3,FALSE)="--","NULL",VLOOKUP($A3,'NE Data'!$A$3:$G$97,3,FALSE))</f>
        <v>24</v>
      </c>
      <c r="F3" s="612">
        <f>if(VLOOKUP($A3,'NE Data'!$A$3:$G$97,4,FALSE)="--","NULL",VLOOKUP($A3,'NE Data'!$A$3:$G$97,4,FALSE))</f>
        <v>38</v>
      </c>
      <c r="G3" s="612" t="s">
        <v>63</v>
      </c>
      <c r="H3" s="671">
        <f>vlookup(A3,'NE Data'!$A$104:$C$198,2,FALSE)</f>
        <v>40</v>
      </c>
      <c r="I3" s="614">
        <f>if(vlookup(A3,'NE Data'!$A$210:$B$304,2,FALSE)="*","NULL",vlookup(A3,'NE Data'!$A$210:$B$304,2,FALSE))</f>
        <v>14</v>
      </c>
      <c r="J3" s="615" t="s">
        <v>63</v>
      </c>
      <c r="K3" s="1061">
        <f>iferror(VLOOKUP($A3,'NE Data'!$A$3:$I$97,9,FALSE),"NULL")</f>
        <v>0.6585365854</v>
      </c>
      <c r="L3" s="612">
        <f>if(vlookup(A3,'NE Data'!$A$312:$B$406,2,FALSE)="*","NULL",vlookup(A3,'NE Data'!$A$312:$B$406,2,FALSE))</f>
        <v>8</v>
      </c>
      <c r="M3" s="673" t="s">
        <v>63</v>
      </c>
      <c r="N3" s="612" t="s">
        <v>63</v>
      </c>
      <c r="O3" s="612" t="s">
        <v>63</v>
      </c>
      <c r="P3" s="620">
        <f>ifna(vlookup(A3,'Population &amp; Church Numbers'!$A$1657:$D$1749,4,FALSE),"NULL")</f>
        <v>31</v>
      </c>
      <c r="Q3" s="1062">
        <f>vlookup(A3,'NE Data'!$A$419:$B$513,2,FALSE)</f>
        <v>0.7586</v>
      </c>
    </row>
    <row r="4">
      <c r="A4" s="609" t="s">
        <v>1467</v>
      </c>
      <c r="B4" s="610">
        <f t="array" ref="B4">VLOOKUP($A4,NE_DEMO,2,FALSE)</f>
        <v>6295</v>
      </c>
      <c r="C4" s="611" t="str">
        <f>if(VLOOKUP($A4,'NE Data'!$A$3:$B$97,2,FALSE)="--","NULL",VLOOKUP($A4,'NE Data'!$A$3:$B$97,2,FALSE))</f>
        <v>NULL</v>
      </c>
      <c r="D4" s="612">
        <f>vlookup(A4,'NE Data'!$A$104:$C$198,3,FALSE)</f>
        <v>1.63</v>
      </c>
      <c r="E4" s="612" t="str">
        <f>if(VLOOKUP($A4,'NE Data'!$A$3:$G$97,3,FALSE)="--","NULL",VLOOKUP($A4,'NE Data'!$A$3:$G$97,3,FALSE))</f>
        <v>NULL</v>
      </c>
      <c r="F4" s="612" t="str">
        <f>if(VLOOKUP($A4,'NE Data'!$A$3:$G$97,4,FALSE)="--","NULL",VLOOKUP($A4,'NE Data'!$A$3:$G$97,4,FALSE))</f>
        <v>NULL</v>
      </c>
      <c r="G4" s="612" t="s">
        <v>63</v>
      </c>
      <c r="H4" s="671">
        <f>vlookup(A4,'NE Data'!$A$104:$C$198,2,FALSE)</f>
        <v>8</v>
      </c>
      <c r="I4" s="614" t="str">
        <f>if(vlookup(A4,'NE Data'!$A$210:$B$304,2,FALSE)="*","NULL",vlookup(A4,'NE Data'!$A$210:$B$304,2,FALSE))</f>
        <v>NULL</v>
      </c>
      <c r="J4" s="615" t="s">
        <v>63</v>
      </c>
      <c r="K4" s="1061" t="str">
        <f>iferror(VLOOKUP($A4,'NE Data'!$A$3:$I$97,9,FALSE),"NULL")</f>
        <v>NULL</v>
      </c>
      <c r="L4" s="612" t="str">
        <f>if(vlookup(A4,'NE Data'!$A$312:$B$406,2,FALSE)="*","NULL",vlookup(A4,'NE Data'!$A$312:$B$406,2,FALSE))</f>
        <v>NULL</v>
      </c>
      <c r="M4" s="614" t="s">
        <v>63</v>
      </c>
      <c r="N4" s="612" t="s">
        <v>63</v>
      </c>
      <c r="O4" s="612" t="s">
        <v>63</v>
      </c>
      <c r="P4" s="620">
        <f>ifna(vlookup(A4,'Population &amp; Church Numbers'!$A$1657:$D$1749,4,FALSE),"NULL")</f>
        <v>18</v>
      </c>
      <c r="Q4" s="1062">
        <f>vlookup(A4,'NE Data'!$A$419:$B$513,2,FALSE)</f>
        <v>0.6667</v>
      </c>
    </row>
    <row r="5">
      <c r="A5" s="609" t="s">
        <v>1468</v>
      </c>
      <c r="B5" s="610">
        <f t="array" ref="B5">VLOOKUP($A5,NE_DEMO,2,FALSE)</f>
        <v>434</v>
      </c>
      <c r="C5" s="611" t="str">
        <f>if(VLOOKUP($A5,'NE Data'!$A$3:$B$97,2,FALSE)="--","NULL",VLOOKUP($A5,'NE Data'!$A$3:$B$97,2,FALSE))</f>
        <v>NULL</v>
      </c>
      <c r="D5" s="612">
        <f>vlookup(A5,'NE Data'!$A$104:$C$198,3,FALSE)</f>
        <v>0</v>
      </c>
      <c r="E5" s="612" t="str">
        <f>if(VLOOKUP($A5,'NE Data'!$A$3:$G$97,3,FALSE)="--","NULL",VLOOKUP($A5,'NE Data'!$A$3:$G$97,3,FALSE))</f>
        <v>NULL</v>
      </c>
      <c r="F5" s="612" t="str">
        <f>if(VLOOKUP($A5,'NE Data'!$A$3:$G$97,4,FALSE)="--","NULL",VLOOKUP($A5,'NE Data'!$A$3:$G$97,4,FALSE))</f>
        <v>NULL</v>
      </c>
      <c r="G5" s="612" t="s">
        <v>63</v>
      </c>
      <c r="H5" s="671">
        <f>vlookup(A5,'NE Data'!$A$104:$C$198,2,FALSE)</f>
        <v>0</v>
      </c>
      <c r="I5" s="614">
        <f>if(vlookup(A5,'NE Data'!$A$210:$B$304,2,FALSE)="*","NULL",vlookup(A5,'NE Data'!$A$210:$B$304,2,FALSE))</f>
        <v>0</v>
      </c>
      <c r="J5" s="615" t="s">
        <v>63</v>
      </c>
      <c r="K5" s="1061" t="str">
        <f>iferror(VLOOKUP($A5,'NE Data'!$A$3:$I$97,9,FALSE),"NULL")</f>
        <v>NULL</v>
      </c>
      <c r="L5" s="612">
        <f>if(vlookup(A5,'NE Data'!$A$312:$B$406,2,FALSE)="*","NULL",vlookup(A5,'NE Data'!$A$312:$B$406,2,FALSE))</f>
        <v>0</v>
      </c>
      <c r="M5" s="614" t="s">
        <v>63</v>
      </c>
      <c r="N5" s="612" t="s">
        <v>63</v>
      </c>
      <c r="O5" s="612" t="s">
        <v>63</v>
      </c>
      <c r="P5" s="620">
        <f>ifna(vlookup(A5,'Population &amp; Church Numbers'!$A$1657:$D$1749,4,FALSE),"NULL")</f>
        <v>1</v>
      </c>
      <c r="Q5" s="1062" t="str">
        <f>vlookup(A5,'NE Data'!$A$419:$B$513,2,FALSE)</f>
        <v>NULL</v>
      </c>
    </row>
    <row r="6">
      <c r="A6" s="609" t="s">
        <v>1469</v>
      </c>
      <c r="B6" s="610">
        <f t="array" ref="B6">VLOOKUP($A6,NE_DEMO,2,FALSE)</f>
        <v>674</v>
      </c>
      <c r="C6" s="611" t="str">
        <f>if(VLOOKUP($A6,'NE Data'!$A$3:$B$97,2,FALSE)="--","NULL",VLOOKUP($A6,'NE Data'!$A$3:$B$97,2,FALSE))</f>
        <v>NULL</v>
      </c>
      <c r="D6" s="612">
        <f>vlookup(A6,'NE Data'!$A$104:$C$198,3,FALSE)</f>
        <v>2</v>
      </c>
      <c r="E6" s="612" t="str">
        <f>if(VLOOKUP($A6,'NE Data'!$A$3:$G$97,3,FALSE)="--","NULL",VLOOKUP($A6,'NE Data'!$A$3:$G$97,3,FALSE))</f>
        <v>NULL</v>
      </c>
      <c r="F6" s="612" t="str">
        <f>if(VLOOKUP($A6,'NE Data'!$A$3:$G$97,4,FALSE)="--","NULL",VLOOKUP($A6,'NE Data'!$A$3:$G$97,4,FALSE))</f>
        <v>NULL</v>
      </c>
      <c r="G6" s="612" t="s">
        <v>63</v>
      </c>
      <c r="H6" s="671">
        <f>vlookup(A6,'NE Data'!$A$104:$C$198,2,FALSE)</f>
        <v>2</v>
      </c>
      <c r="I6" s="614">
        <f>if(vlookup(A6,'NE Data'!$A$210:$B$304,2,FALSE)="*","NULL",vlookup(A6,'NE Data'!$A$210:$B$304,2,FALSE))</f>
        <v>0</v>
      </c>
      <c r="J6" s="615" t="s">
        <v>63</v>
      </c>
      <c r="K6" s="1061" t="str">
        <f>iferror(VLOOKUP($A6,'NE Data'!$A$3:$I$97,9,FALSE),"NULL")</f>
        <v>NULL</v>
      </c>
      <c r="L6" s="612">
        <f>if(vlookup(A6,'NE Data'!$A$312:$B$406,2,FALSE)="*","NULL",vlookup(A6,'NE Data'!$A$312:$B$406,2,FALSE))</f>
        <v>0</v>
      </c>
      <c r="M6" s="614" t="s">
        <v>63</v>
      </c>
      <c r="N6" s="612" t="s">
        <v>63</v>
      </c>
      <c r="O6" s="612" t="s">
        <v>63</v>
      </c>
      <c r="P6" s="620">
        <f>ifna(vlookup(A6,'Population &amp; Church Numbers'!$A$1657:$D$1749,4,FALSE),"NULL")</f>
        <v>1</v>
      </c>
      <c r="Q6" s="1062">
        <f>vlookup(A6,'NE Data'!$A$419:$B$513,2,FALSE)</f>
        <v>1</v>
      </c>
    </row>
    <row r="7">
      <c r="A7" s="609" t="s">
        <v>666</v>
      </c>
      <c r="B7" s="610">
        <f t="array" ref="B7">VLOOKUP($A7,NE_DEMO,2,FALSE)</f>
        <v>431</v>
      </c>
      <c r="C7" s="611" t="str">
        <f>if(VLOOKUP($A7,'NE Data'!$A$3:$B$97,2,FALSE)="--","NULL",VLOOKUP($A7,'NE Data'!$A$3:$B$97,2,FALSE))</f>
        <v>NULL</v>
      </c>
      <c r="D7" s="612">
        <f>vlookup(A7,'NE Data'!$A$104:$C$198,3,FALSE)</f>
        <v>3</v>
      </c>
      <c r="E7" s="612" t="str">
        <f>if(VLOOKUP($A7,'NE Data'!$A$3:$G$97,3,FALSE)="--","NULL",VLOOKUP($A7,'NE Data'!$A$3:$G$97,3,FALSE))</f>
        <v>NULL</v>
      </c>
      <c r="F7" s="612" t="str">
        <f>if(VLOOKUP($A7,'NE Data'!$A$3:$G$97,4,FALSE)="--","NULL",VLOOKUP($A7,'NE Data'!$A$3:$G$97,4,FALSE))</f>
        <v>NULL</v>
      </c>
      <c r="G7" s="612" t="s">
        <v>63</v>
      </c>
      <c r="H7" s="671">
        <f>vlookup(A7,'NE Data'!$A$104:$C$198,2,FALSE)</f>
        <v>1</v>
      </c>
      <c r="I7" s="614">
        <f>if(vlookup(A7,'NE Data'!$A$210:$B$304,2,FALSE)="*","NULL",vlookup(A7,'NE Data'!$A$210:$B$304,2,FALSE))</f>
        <v>0</v>
      </c>
      <c r="J7" s="615" t="s">
        <v>63</v>
      </c>
      <c r="K7" s="1061" t="str">
        <f>iferror(VLOOKUP($A7,'NE Data'!$A$3:$I$97,9,FALSE),"NULL")</f>
        <v>NULL</v>
      </c>
      <c r="L7" s="612">
        <f>if(vlookup(A7,'NE Data'!$A$312:$B$406,2,FALSE)="*","NULL",vlookup(A7,'NE Data'!$A$312:$B$406,2,FALSE))</f>
        <v>0</v>
      </c>
      <c r="M7" s="614" t="s">
        <v>63</v>
      </c>
      <c r="N7" s="612" t="s">
        <v>63</v>
      </c>
      <c r="O7" s="612" t="s">
        <v>63</v>
      </c>
      <c r="P7" s="620">
        <f>ifna(vlookup(A7,'Population &amp; Church Numbers'!$A$1657:$D$1749,4,FALSE),"NULL")</f>
        <v>4</v>
      </c>
      <c r="Q7" s="1062" t="str">
        <f>vlookup(A7,'NE Data'!$A$419:$B$513,2,FALSE)</f>
        <v>NULL</v>
      </c>
    </row>
    <row r="8">
      <c r="A8" s="609" t="s">
        <v>246</v>
      </c>
      <c r="B8" s="610">
        <f t="array" ref="B8">VLOOKUP($A8,NE_DEMO,2,FALSE)</f>
        <v>5379</v>
      </c>
      <c r="C8" s="611" t="str">
        <f>if(VLOOKUP($A8,'NE Data'!$A$3:$B$97,2,FALSE)="--","NULL",VLOOKUP($A8,'NE Data'!$A$3:$B$97,2,FALSE))</f>
        <v>NULL</v>
      </c>
      <c r="D8" s="612">
        <f>vlookup(A8,'NE Data'!$A$104:$C$198,3,FALSE)</f>
        <v>2</v>
      </c>
      <c r="E8" s="612" t="str">
        <f>if(VLOOKUP($A8,'NE Data'!$A$3:$G$97,3,FALSE)="--","NULL",VLOOKUP($A8,'NE Data'!$A$3:$G$97,3,FALSE))</f>
        <v>NULL</v>
      </c>
      <c r="F8" s="612" t="str">
        <f>if(VLOOKUP($A8,'NE Data'!$A$3:$G$97,4,FALSE)="--","NULL",VLOOKUP($A8,'NE Data'!$A$3:$G$97,4,FALSE))</f>
        <v>NULL</v>
      </c>
      <c r="G8" s="612" t="s">
        <v>63</v>
      </c>
      <c r="H8" s="671">
        <f>vlookup(A8,'NE Data'!$A$104:$C$198,2,FALSE)</f>
        <v>2</v>
      </c>
      <c r="I8" s="614">
        <f>if(vlookup(A8,'NE Data'!$A$210:$B$304,2,FALSE)="*","NULL",vlookup(A8,'NE Data'!$A$210:$B$304,2,FALSE))</f>
        <v>0</v>
      </c>
      <c r="J8" s="615" t="s">
        <v>63</v>
      </c>
      <c r="K8" s="1061" t="str">
        <f>iferror(VLOOKUP($A8,'NE Data'!$A$3:$I$97,9,FALSE),"NULL")</f>
        <v>NULL</v>
      </c>
      <c r="L8" s="612" t="str">
        <f>if(vlookup(A8,'NE Data'!$A$312:$B$406,2,FALSE)="*","NULL",vlookup(A8,'NE Data'!$A$312:$B$406,2,FALSE))</f>
        <v>NULL</v>
      </c>
      <c r="M8" s="614" t="s">
        <v>63</v>
      </c>
      <c r="N8" s="612" t="s">
        <v>63</v>
      </c>
      <c r="O8" s="612" t="s">
        <v>63</v>
      </c>
      <c r="P8" s="620">
        <f>ifna(vlookup(A8,'Population &amp; Church Numbers'!$A$1657:$D$1749,4,FALSE),"NULL")</f>
        <v>17</v>
      </c>
      <c r="Q8" s="1062">
        <f>vlookup(A8,'NE Data'!$A$419:$B$513,2,FALSE)</f>
        <v>1</v>
      </c>
    </row>
    <row r="9">
      <c r="A9" s="609" t="s">
        <v>1470</v>
      </c>
      <c r="B9" s="610">
        <f t="array" ref="B9">VLOOKUP($A9,NE_DEMO,2,FALSE)</f>
        <v>10842</v>
      </c>
      <c r="C9" s="611">
        <f>if(VLOOKUP($A9,'NE Data'!$A$3:$B$97,2,FALSE)="--","NULL",VLOOKUP($A9,'NE Data'!$A$3:$B$97,2,FALSE))</f>
        <v>18</v>
      </c>
      <c r="D9" s="612">
        <f>vlookup(A9,'NE Data'!$A$104:$C$198,3,FALSE)</f>
        <v>2.36</v>
      </c>
      <c r="E9" s="612" t="str">
        <f>if(VLOOKUP($A9,'NE Data'!$A$3:$G$97,3,FALSE)="--","NULL",VLOOKUP($A9,'NE Data'!$A$3:$G$97,3,FALSE))</f>
        <v>NULL</v>
      </c>
      <c r="F9" s="612">
        <f>if(VLOOKUP($A9,'NE Data'!$A$3:$G$97,4,FALSE)="--","NULL",VLOOKUP($A9,'NE Data'!$A$3:$G$97,4,FALSE))</f>
        <v>13</v>
      </c>
      <c r="G9" s="612" t="s">
        <v>63</v>
      </c>
      <c r="H9" s="671">
        <f>vlookup(A9,'NE Data'!$A$104:$C$198,2,FALSE)</f>
        <v>11</v>
      </c>
      <c r="I9" s="614" t="str">
        <f>if(vlookup(A9,'NE Data'!$A$210:$B$304,2,FALSE)="*","NULL",vlookup(A9,'NE Data'!$A$210:$B$304,2,FALSE))</f>
        <v>NULL</v>
      </c>
      <c r="J9" s="615" t="s">
        <v>63</v>
      </c>
      <c r="K9" s="1061" t="str">
        <f>iferror(VLOOKUP($A9,'NE Data'!$A$3:$I$97,9,FALSE),"NULL")</f>
        <v>NULL</v>
      </c>
      <c r="L9" s="612">
        <f>if(vlookup(A9,'NE Data'!$A$312:$B$406,2,FALSE)="*","NULL",vlookup(A9,'NE Data'!$A$312:$B$406,2,FALSE))</f>
        <v>7</v>
      </c>
      <c r="M9" s="614" t="s">
        <v>63</v>
      </c>
      <c r="N9" s="612" t="s">
        <v>63</v>
      </c>
      <c r="O9" s="612" t="s">
        <v>63</v>
      </c>
      <c r="P9" s="620">
        <f>ifna(vlookup(A9,'Population &amp; Church Numbers'!$A$1657:$D$1749,4,FALSE),"NULL")</f>
        <v>18</v>
      </c>
      <c r="Q9" s="1062">
        <f>vlookup(A9,'NE Data'!$A$419:$B$513,2,FALSE)</f>
        <v>0.6667</v>
      </c>
    </row>
    <row r="10">
      <c r="A10" s="609" t="s">
        <v>1028</v>
      </c>
      <c r="B10" s="610">
        <f t="array" ref="B10">VLOOKUP($A10,NE_DEMO,2,FALSE)</f>
        <v>1810</v>
      </c>
      <c r="C10" s="611" t="str">
        <f>if(VLOOKUP($A10,'NE Data'!$A$3:$B$97,2,FALSE)="--","NULL",VLOOKUP($A10,'NE Data'!$A$3:$B$97,2,FALSE))</f>
        <v>NULL</v>
      </c>
      <c r="D10" s="612">
        <f>vlookup(A10,'NE Data'!$A$104:$C$198,3,FALSE)</f>
        <v>1.5</v>
      </c>
      <c r="E10" s="612" t="str">
        <f>if(VLOOKUP($A10,'NE Data'!$A$3:$G$97,3,FALSE)="--","NULL",VLOOKUP($A10,'NE Data'!$A$3:$G$97,3,FALSE))</f>
        <v>NULL</v>
      </c>
      <c r="F10" s="612" t="str">
        <f>if(VLOOKUP($A10,'NE Data'!$A$3:$G$97,4,FALSE)="--","NULL",VLOOKUP($A10,'NE Data'!$A$3:$G$97,4,FALSE))</f>
        <v>NULL</v>
      </c>
      <c r="G10" s="612" t="s">
        <v>63</v>
      </c>
      <c r="H10" s="671">
        <f>vlookup(A10,'NE Data'!$A$104:$C$198,2,FALSE)</f>
        <v>2</v>
      </c>
      <c r="I10" s="614">
        <f>if(vlookup(A10,'NE Data'!$A$210:$B$304,2,FALSE)="*","NULL",vlookup(A10,'NE Data'!$A$210:$B$304,2,FALSE))</f>
        <v>0</v>
      </c>
      <c r="J10" s="615" t="s">
        <v>63</v>
      </c>
      <c r="K10" s="1061" t="str">
        <f>iferror(VLOOKUP($A10,'NE Data'!$A$3:$I$97,9,FALSE),"NULL")</f>
        <v>NULL</v>
      </c>
      <c r="L10" s="612">
        <f>if(vlookup(A10,'NE Data'!$A$312:$B$406,2,FALSE)="*","NULL",vlookup(A10,'NE Data'!$A$312:$B$406,2,FALSE))</f>
        <v>0</v>
      </c>
      <c r="M10" s="614" t="s">
        <v>63</v>
      </c>
      <c r="N10" s="612" t="s">
        <v>63</v>
      </c>
      <c r="O10" s="612" t="s">
        <v>63</v>
      </c>
      <c r="P10" s="620">
        <f>ifna(vlookup(A10,'Population &amp; Church Numbers'!$A$1657:$D$1749,4,FALSE),"NULL")</f>
        <v>16</v>
      </c>
      <c r="Q10" s="1062">
        <f>vlookup(A10,'NE Data'!$A$419:$B$513,2,FALSE)</f>
        <v>1</v>
      </c>
    </row>
    <row r="11">
      <c r="A11" s="609" t="s">
        <v>706</v>
      </c>
      <c r="B11" s="610">
        <f t="array" ref="B11">VLOOKUP($A11,NE_DEMO,2,FALSE)</f>
        <v>2903</v>
      </c>
      <c r="C11" s="611" t="str">
        <f>if(VLOOKUP($A11,'NE Data'!$A$3:$B$97,2,FALSE)="--","NULL",VLOOKUP($A11,'NE Data'!$A$3:$B$97,2,FALSE))</f>
        <v>NULL</v>
      </c>
      <c r="D11" s="612">
        <f>vlookup(A11,'NE Data'!$A$104:$C$198,3,FALSE)</f>
        <v>0</v>
      </c>
      <c r="E11" s="612" t="str">
        <f>if(VLOOKUP($A11,'NE Data'!$A$3:$G$97,3,FALSE)="--","NULL",VLOOKUP($A11,'NE Data'!$A$3:$G$97,3,FALSE))</f>
        <v>NULL</v>
      </c>
      <c r="F11" s="612" t="str">
        <f>if(VLOOKUP($A11,'NE Data'!$A$3:$G$97,4,FALSE)="--","NULL",VLOOKUP($A11,'NE Data'!$A$3:$G$97,4,FALSE))</f>
        <v>NULL</v>
      </c>
      <c r="G11" s="612" t="s">
        <v>63</v>
      </c>
      <c r="H11" s="671">
        <f>vlookup(A11,'NE Data'!$A$104:$C$198,2,FALSE)</f>
        <v>0</v>
      </c>
      <c r="I11" s="614">
        <f>if(vlookup(A11,'NE Data'!$A$210:$B$304,2,FALSE)="*","NULL",vlookup(A11,'NE Data'!$A$210:$B$304,2,FALSE))</f>
        <v>0</v>
      </c>
      <c r="J11" s="615" t="s">
        <v>63</v>
      </c>
      <c r="K11" s="1061" t="str">
        <f>iferror(VLOOKUP($A11,'NE Data'!$A$3:$I$97,9,FALSE),"NULL")</f>
        <v>NULL</v>
      </c>
      <c r="L11" s="612" t="str">
        <f>if(vlookup(A11,'NE Data'!$A$312:$B$406,2,FALSE)="*","NULL",vlookup(A11,'NE Data'!$A$312:$B$406,2,FALSE))</f>
        <v>NULL</v>
      </c>
      <c r="M11" s="614" t="s">
        <v>63</v>
      </c>
      <c r="N11" s="612" t="s">
        <v>63</v>
      </c>
      <c r="O11" s="612" t="s">
        <v>63</v>
      </c>
      <c r="P11" s="620">
        <f>ifna(vlookup(A11,'Population &amp; Church Numbers'!$A$1657:$D$1749,4,FALSE),"NULL")</f>
        <v>10</v>
      </c>
      <c r="Q11" s="1062">
        <f>vlookup(A11,'NE Data'!$A$419:$B$513,2,FALSE)</f>
        <v>0</v>
      </c>
    </row>
    <row r="12">
      <c r="A12" s="609" t="s">
        <v>1471</v>
      </c>
      <c r="B12" s="610">
        <f t="array" ref="B12">VLOOKUP($A12,NE_DEMO,2,FALSE)</f>
        <v>50084</v>
      </c>
      <c r="C12" s="718">
        <f>if(VLOOKUP($A12,'NE Data'!$A$3:$B$97,2,FALSE)="--","NULL",VLOOKUP($A12,'NE Data'!$A$3:$B$97,2,FALSE))</f>
        <v>107</v>
      </c>
      <c r="D12" s="612">
        <f>vlookup(A12,'NE Data'!$A$104:$C$198,3,FALSE)</f>
        <v>2.21</v>
      </c>
      <c r="E12" s="726">
        <f>if(VLOOKUP($A12,'NE Data'!$A$3:$G$97,3,FALSE)="--","NULL",VLOOKUP($A12,'NE Data'!$A$3:$G$97,3,FALSE))</f>
        <v>45</v>
      </c>
      <c r="F12" s="726">
        <f>if(VLOOKUP($A12,'NE Data'!$A$3:$G$97,4,FALSE)="--","NULL",VLOOKUP($A12,'NE Data'!$A$3:$G$97,4,FALSE))</f>
        <v>57</v>
      </c>
      <c r="G12" s="612" t="s">
        <v>63</v>
      </c>
      <c r="H12" s="671">
        <f>vlookup(A12,'NE Data'!$A$104:$C$198,2,FALSE)</f>
        <v>71</v>
      </c>
      <c r="I12" s="614">
        <f>if(vlookup(A12,'NE Data'!$A$210:$B$304,2,FALSE)="*","NULL",vlookup(A12,'NE Data'!$A$210:$B$304,2,FALSE))</f>
        <v>20</v>
      </c>
      <c r="J12" s="615" t="s">
        <v>63</v>
      </c>
      <c r="K12" s="1061">
        <f>iferror(VLOOKUP($A12,'NE Data'!$A$3:$I$97,9,FALSE),"NULL")</f>
        <v>0.5652173913</v>
      </c>
      <c r="L12" s="612">
        <f>if(vlookup(A12,'NE Data'!$A$312:$B$406,2,FALSE)="*","NULL",vlookup(A12,'NE Data'!$A$312:$B$406,2,FALSE))</f>
        <v>37</v>
      </c>
      <c r="M12" s="614" t="s">
        <v>63</v>
      </c>
      <c r="N12" s="612" t="s">
        <v>63</v>
      </c>
      <c r="O12" s="612" t="s">
        <v>63</v>
      </c>
      <c r="P12" s="620">
        <f>ifna(vlookup(A12,'Population &amp; Church Numbers'!$A$1657:$D$1749,4,FALSE),"NULL")</f>
        <v>49</v>
      </c>
      <c r="Q12" s="1062">
        <f>vlookup(A12,'NE Data'!$A$419:$B$513,2,FALSE)</f>
        <v>0.7636</v>
      </c>
    </row>
    <row r="13">
      <c r="A13" s="609" t="s">
        <v>1472</v>
      </c>
      <c r="B13" s="610">
        <f t="array" ref="B13">VLOOKUP($A13,NE_DEMO,2,FALSE)</f>
        <v>6722</v>
      </c>
      <c r="C13" s="611" t="str">
        <f>if(VLOOKUP($A13,'NE Data'!$A$3:$B$97,2,FALSE)="--","NULL",VLOOKUP($A13,'NE Data'!$A$3:$B$97,2,FALSE))</f>
        <v>NULL</v>
      </c>
      <c r="D13" s="612">
        <f>vlookup(A13,'NE Data'!$A$104:$C$198,3,FALSE)</f>
        <v>1.5</v>
      </c>
      <c r="E13" s="612" t="str">
        <f>if(VLOOKUP($A13,'NE Data'!$A$3:$G$97,3,FALSE)="--","NULL",VLOOKUP($A13,'NE Data'!$A$3:$G$97,3,FALSE))</f>
        <v>NULL</v>
      </c>
      <c r="F13" s="612" t="str">
        <f>if(VLOOKUP($A13,'NE Data'!$A$3:$G$97,4,FALSE)="--","NULL",VLOOKUP($A13,'NE Data'!$A$3:$G$97,4,FALSE))</f>
        <v>NULL</v>
      </c>
      <c r="G13" s="612" t="s">
        <v>63</v>
      </c>
      <c r="H13" s="671">
        <f>vlookup(A13,'NE Data'!$A$104:$C$198,2,FALSE)</f>
        <v>8</v>
      </c>
      <c r="I13" s="614">
        <f>if(vlookup(A13,'NE Data'!$A$210:$B$304,2,FALSE)="*","NULL",vlookup(A13,'NE Data'!$A$210:$B$304,2,FALSE))</f>
        <v>0</v>
      </c>
      <c r="J13" s="615" t="s">
        <v>63</v>
      </c>
      <c r="K13" s="1061" t="str">
        <f>iferror(VLOOKUP($A13,'NE Data'!$A$3:$I$97,9,FALSE),"NULL")</f>
        <v>NULL</v>
      </c>
      <c r="L13" s="612" t="str">
        <f>if(vlookup(A13,'NE Data'!$A$312:$B$406,2,FALSE)="*","NULL",vlookup(A13,'NE Data'!$A$312:$B$406,2,FALSE))</f>
        <v>NULL</v>
      </c>
      <c r="M13" s="614" t="s">
        <v>63</v>
      </c>
      <c r="N13" s="612" t="s">
        <v>63</v>
      </c>
      <c r="O13" s="612" t="s">
        <v>63</v>
      </c>
      <c r="P13" s="620">
        <f>ifna(vlookup(A13,'Population &amp; Church Numbers'!$A$1657:$D$1749,4,FALSE),"NULL")</f>
        <v>14</v>
      </c>
      <c r="Q13" s="1062">
        <f>vlookup(A13,'NE Data'!$A$419:$B$513,2,FALSE)</f>
        <v>0.5</v>
      </c>
    </row>
    <row r="14">
      <c r="A14" s="609" t="s">
        <v>87</v>
      </c>
      <c r="B14" s="610">
        <f t="array" ref="B14">VLOOKUP($A14,NE_DEMO,2,FALSE)</f>
        <v>8369</v>
      </c>
      <c r="C14" s="611">
        <f>if(VLOOKUP($A14,'NE Data'!$A$3:$B$97,2,FALSE)="--","NULL",VLOOKUP($A14,'NE Data'!$A$3:$B$97,2,FALSE))</f>
        <v>18</v>
      </c>
      <c r="D14" s="612">
        <f>vlookup(A14,'NE Data'!$A$104:$C$198,3,FALSE)</f>
        <v>1.91</v>
      </c>
      <c r="E14" s="612" t="str">
        <f>if(VLOOKUP($A14,'NE Data'!$A$3:$G$97,3,FALSE)="--","NULL",VLOOKUP($A14,'NE Data'!$A$3:$G$97,3,FALSE))</f>
        <v>NULL</v>
      </c>
      <c r="F14" s="612" t="str">
        <f>if(VLOOKUP($A14,'NE Data'!$A$3:$G$97,4,FALSE)="--","NULL",VLOOKUP($A14,'NE Data'!$A$3:$G$97,4,FALSE))</f>
        <v>NULL</v>
      </c>
      <c r="G14" s="612" t="s">
        <v>63</v>
      </c>
      <c r="H14" s="671">
        <f>vlookup(A14,'NE Data'!$A$104:$C$198,2,FALSE)</f>
        <v>11</v>
      </c>
      <c r="I14" s="614" t="str">
        <f>if(vlookup(A14,'NE Data'!$A$210:$B$304,2,FALSE)="*","NULL",vlookup(A14,'NE Data'!$A$210:$B$304,2,FALSE))</f>
        <v>NULL</v>
      </c>
      <c r="J14" s="615" t="s">
        <v>63</v>
      </c>
      <c r="K14" s="1061" t="str">
        <f>iferror(VLOOKUP($A14,'NE Data'!$A$3:$I$97,9,FALSE),"NULL")</f>
        <v>NULL</v>
      </c>
      <c r="L14" s="612" t="str">
        <f>if(vlookup(A14,'NE Data'!$A$312:$B$406,2,FALSE)="*","NULL",vlookup(A14,'NE Data'!$A$312:$B$406,2,FALSE))</f>
        <v>NULL</v>
      </c>
      <c r="M14" s="614" t="s">
        <v>63</v>
      </c>
      <c r="N14" s="612" t="s">
        <v>63</v>
      </c>
      <c r="O14" s="612" t="s">
        <v>63</v>
      </c>
      <c r="P14" s="620">
        <f>ifna(vlookup(A14,'Population &amp; Church Numbers'!$A$1657:$D$1749,4,FALSE),"NULL")</f>
        <v>13</v>
      </c>
      <c r="Q14" s="1062">
        <f>vlookup(A14,'NE Data'!$A$419:$B$513,2,FALSE)</f>
        <v>0.6</v>
      </c>
    </row>
    <row r="15">
      <c r="A15" s="609" t="s">
        <v>708</v>
      </c>
      <c r="B15" s="610">
        <f t="array" ref="B15">VLOOKUP($A15,NE_DEMO,2,FALSE)</f>
        <v>26598</v>
      </c>
      <c r="C15" s="611">
        <f>if(VLOOKUP($A15,'NE Data'!$A$3:$B$97,2,FALSE)="--","NULL",VLOOKUP($A15,'NE Data'!$A$3:$B$97,2,FALSE))</f>
        <v>23</v>
      </c>
      <c r="D15" s="612">
        <f>vlookup(A15,'NE Data'!$A$104:$C$198,3,FALSE)</f>
        <v>2.32</v>
      </c>
      <c r="E15" s="612">
        <f>if(VLOOKUP($A15,'NE Data'!$A$3:$G$97,3,FALSE)="--","NULL",VLOOKUP($A15,'NE Data'!$A$3:$G$97,3,FALSE))</f>
        <v>16</v>
      </c>
      <c r="F15" s="612" t="str">
        <f>if(VLOOKUP($A15,'NE Data'!$A$3:$G$97,4,FALSE)="--","NULL",VLOOKUP($A15,'NE Data'!$A$3:$G$97,4,FALSE))</f>
        <v>NULL</v>
      </c>
      <c r="G15" s="612" t="s">
        <v>63</v>
      </c>
      <c r="H15" s="671">
        <f>vlookup(A15,'NE Data'!$A$104:$C$198,2,FALSE)</f>
        <v>28</v>
      </c>
      <c r="I15" s="614">
        <f>if(vlookup(A15,'NE Data'!$A$210:$B$304,2,FALSE)="*","NULL",vlookup(A15,'NE Data'!$A$210:$B$304,2,FALSE))</f>
        <v>6</v>
      </c>
      <c r="J15" s="615" t="s">
        <v>63</v>
      </c>
      <c r="K15" s="1061" t="str">
        <f>iferror(VLOOKUP($A15,'NE Data'!$A$3:$I$97,9,FALSE),"NULL")</f>
        <v>NULL</v>
      </c>
      <c r="L15" s="612" t="str">
        <f>if(vlookup(A15,'NE Data'!$A$312:$B$406,2,FALSE)="*","NULL",vlookup(A15,'NE Data'!$A$312:$B$406,2,FALSE))</f>
        <v>NULL</v>
      </c>
      <c r="M15" s="614" t="s">
        <v>63</v>
      </c>
      <c r="N15" s="612" t="s">
        <v>63</v>
      </c>
      <c r="O15" s="612" t="s">
        <v>63</v>
      </c>
      <c r="P15" s="620">
        <f>ifna(vlookup(A15,'Population &amp; Church Numbers'!$A$1657:$D$1749,4,FALSE),"NULL")</f>
        <v>30</v>
      </c>
      <c r="Q15" s="1062">
        <f>vlookup(A15,'NE Data'!$A$419:$B$513,2,FALSE)</f>
        <v>0.5484</v>
      </c>
    </row>
    <row r="16">
      <c r="A16" s="609" t="s">
        <v>894</v>
      </c>
      <c r="B16" s="610">
        <f t="array" ref="B16">VLOOKUP($A16,NE_DEMO,2,FALSE)</f>
        <v>8380</v>
      </c>
      <c r="C16" s="611" t="str">
        <f>if(VLOOKUP($A16,'NE Data'!$A$3:$B$97,2,FALSE)="--","NULL",VLOOKUP($A16,'NE Data'!$A$3:$B$97,2,FALSE))</f>
        <v>NULL</v>
      </c>
      <c r="D16" s="612">
        <f>vlookup(A16,'NE Data'!$A$104:$C$198,3,FALSE)</f>
        <v>3.25</v>
      </c>
      <c r="E16" s="612" t="str">
        <f>if(VLOOKUP($A16,'NE Data'!$A$3:$G$97,3,FALSE)="--","NULL",VLOOKUP($A16,'NE Data'!$A$3:$G$97,3,FALSE))</f>
        <v>NULL</v>
      </c>
      <c r="F16" s="612" t="str">
        <f>if(VLOOKUP($A16,'NE Data'!$A$3:$G$97,4,FALSE)="--","NULL",VLOOKUP($A16,'NE Data'!$A$3:$G$97,4,FALSE))</f>
        <v>NULL</v>
      </c>
      <c r="G16" s="612" t="s">
        <v>63</v>
      </c>
      <c r="H16" s="671">
        <f>vlookup(A16,'NE Data'!$A$104:$C$198,2,FALSE)</f>
        <v>4</v>
      </c>
      <c r="I16" s="614" t="str">
        <f>if(vlookup(A16,'NE Data'!$A$210:$B$304,2,FALSE)="*","NULL",vlookup(A16,'NE Data'!$A$210:$B$304,2,FALSE))</f>
        <v>NULL</v>
      </c>
      <c r="J16" s="615" t="s">
        <v>63</v>
      </c>
      <c r="K16" s="1061" t="str">
        <f>iferror(VLOOKUP($A16,'NE Data'!$A$3:$I$97,9,FALSE),"NULL")</f>
        <v>NULL</v>
      </c>
      <c r="L16" s="612">
        <f>if(vlookup(A16,'NE Data'!$A$312:$B$406,2,FALSE)="*","NULL",vlookup(A16,'NE Data'!$A$312:$B$406,2,FALSE))</f>
        <v>0</v>
      </c>
      <c r="M16" s="614" t="s">
        <v>63</v>
      </c>
      <c r="N16" s="612" t="s">
        <v>63</v>
      </c>
      <c r="O16" s="612" t="s">
        <v>63</v>
      </c>
      <c r="P16" s="620">
        <f>ifna(vlookup(A16,'Population &amp; Church Numbers'!$A$1657:$D$1749,4,FALSE),"NULL")</f>
        <v>18</v>
      </c>
      <c r="Q16" s="1062">
        <f>vlookup(A16,'NE Data'!$A$419:$B$513,2,FALSE)</f>
        <v>0.4286</v>
      </c>
    </row>
    <row r="17">
      <c r="A17" s="609" t="s">
        <v>960</v>
      </c>
      <c r="B17" s="610">
        <f t="array" ref="B17">VLOOKUP($A17,NE_DEMO,2,FALSE)</f>
        <v>3893</v>
      </c>
      <c r="C17" s="611" t="str">
        <f>if(VLOOKUP($A17,'NE Data'!$A$3:$B$97,2,FALSE)="--","NULL",VLOOKUP($A17,'NE Data'!$A$3:$B$97,2,FALSE))</f>
        <v>NULL</v>
      </c>
      <c r="D17" s="612">
        <f>vlookup(A17,'NE Data'!$A$104:$C$198,3,FALSE)</f>
        <v>2.33</v>
      </c>
      <c r="E17" s="612" t="str">
        <f>if(VLOOKUP($A17,'NE Data'!$A$3:$G$97,3,FALSE)="--","NULL",VLOOKUP($A17,'NE Data'!$A$3:$G$97,3,FALSE))</f>
        <v>NULL</v>
      </c>
      <c r="F17" s="612" t="str">
        <f>if(VLOOKUP($A17,'NE Data'!$A$3:$G$97,4,FALSE)="--","NULL",VLOOKUP($A17,'NE Data'!$A$3:$G$97,4,FALSE))</f>
        <v>NULL</v>
      </c>
      <c r="G17" s="612" t="s">
        <v>63</v>
      </c>
      <c r="H17" s="671">
        <f>vlookup(A17,'NE Data'!$A$104:$C$198,2,FALSE)</f>
        <v>3</v>
      </c>
      <c r="I17" s="614">
        <f>if(vlookup(A17,'NE Data'!$A$210:$B$304,2,FALSE)="*","NULL",vlookup(A17,'NE Data'!$A$210:$B$304,2,FALSE))</f>
        <v>0</v>
      </c>
      <c r="J17" s="615" t="s">
        <v>63</v>
      </c>
      <c r="K17" s="1061" t="str">
        <f>iferror(VLOOKUP($A17,'NE Data'!$A$3:$I$97,9,FALSE),"NULL")</f>
        <v>NULL</v>
      </c>
      <c r="L17" s="612">
        <f>if(vlookup(A17,'NE Data'!$A$312:$B$406,2,FALSE)="*","NULL",vlookup(A17,'NE Data'!$A$312:$B$406,2,FALSE))</f>
        <v>0</v>
      </c>
      <c r="M17" s="614" t="s">
        <v>63</v>
      </c>
      <c r="N17" s="612" t="s">
        <v>63</v>
      </c>
      <c r="O17" s="612" t="s">
        <v>63</v>
      </c>
      <c r="P17" s="620">
        <f>ifna(vlookup(A17,'Population &amp; Church Numbers'!$A$1657:$D$1749,4,FALSE),"NULL")</f>
        <v>12</v>
      </c>
      <c r="Q17" s="1062">
        <f>vlookup(A17,'NE Data'!$A$419:$B$513,2,FALSE)</f>
        <v>1</v>
      </c>
    </row>
    <row r="18">
      <c r="A18" s="609" t="s">
        <v>1473</v>
      </c>
      <c r="B18" s="610">
        <f t="array" ref="B18">VLOOKUP($A18,NE_DEMO,2,FALSE)</f>
        <v>5455</v>
      </c>
      <c r="C18" s="611" t="str">
        <f>if(VLOOKUP($A18,'NE Data'!$A$3:$B$97,2,FALSE)="--","NULL",VLOOKUP($A18,'NE Data'!$A$3:$B$97,2,FALSE))</f>
        <v>NULL</v>
      </c>
      <c r="D18" s="612">
        <f>vlookup(A18,'NE Data'!$A$104:$C$198,3,FALSE)</f>
        <v>1</v>
      </c>
      <c r="E18" s="612" t="str">
        <f>if(VLOOKUP($A18,'NE Data'!$A$3:$G$97,3,FALSE)="--","NULL",VLOOKUP($A18,'NE Data'!$A$3:$G$97,3,FALSE))</f>
        <v>NULL</v>
      </c>
      <c r="F18" s="612" t="str">
        <f>if(VLOOKUP($A18,'NE Data'!$A$3:$G$97,4,FALSE)="--","NULL",VLOOKUP($A18,'NE Data'!$A$3:$G$97,4,FALSE))</f>
        <v>NULL</v>
      </c>
      <c r="G18" s="612" t="s">
        <v>63</v>
      </c>
      <c r="H18" s="671">
        <f>vlookup(A18,'NE Data'!$A$104:$C$198,2,FALSE)</f>
        <v>2</v>
      </c>
      <c r="I18" s="614">
        <f>if(vlookup(A18,'NE Data'!$A$210:$B$304,2,FALSE)="*","NULL",vlookup(A18,'NE Data'!$A$210:$B$304,2,FALSE))</f>
        <v>0</v>
      </c>
      <c r="J18" s="615" t="s">
        <v>63</v>
      </c>
      <c r="K18" s="1061" t="str">
        <f>iferror(VLOOKUP($A18,'NE Data'!$A$3:$I$97,9,FALSE),"NULL")</f>
        <v>NULL</v>
      </c>
      <c r="L18" s="612" t="str">
        <f>if(vlookup(A18,'NE Data'!$A$312:$B$406,2,FALSE)="*","NULL",vlookup(A18,'NE Data'!$A$312:$B$406,2,FALSE))</f>
        <v>NULL</v>
      </c>
      <c r="M18" s="614" t="s">
        <v>63</v>
      </c>
      <c r="N18" s="612" t="s">
        <v>63</v>
      </c>
      <c r="O18" s="612" t="s">
        <v>63</v>
      </c>
      <c r="P18" s="620">
        <f>ifna(vlookup(A18,'Population &amp; Church Numbers'!$A$1657:$D$1749,4,FALSE),"NULL")</f>
        <v>13</v>
      </c>
      <c r="Q18" s="1062">
        <f>vlookup(A18,'NE Data'!$A$419:$B$513,2,FALSE)</f>
        <v>1</v>
      </c>
    </row>
    <row r="19">
      <c r="A19" s="609" t="s">
        <v>399</v>
      </c>
      <c r="B19" s="610">
        <f t="array" ref="B19">VLOOKUP($A19,NE_DEMO,2,FALSE)</f>
        <v>9468</v>
      </c>
      <c r="C19" s="611">
        <f>if(VLOOKUP($A19,'NE Data'!$A$3:$B$97,2,FALSE)="--","NULL",VLOOKUP($A19,'NE Data'!$A$3:$B$97,2,FALSE))</f>
        <v>19</v>
      </c>
      <c r="D19" s="612">
        <f>vlookup(A19,'NE Data'!$A$104:$C$198,3,FALSE)</f>
        <v>2.1</v>
      </c>
      <c r="E19" s="612" t="str">
        <f>if(VLOOKUP($A19,'NE Data'!$A$3:$G$97,3,FALSE)="--","NULL",VLOOKUP($A19,'NE Data'!$A$3:$G$97,3,FALSE))</f>
        <v>NULL</v>
      </c>
      <c r="F19" s="612" t="str">
        <f>if(VLOOKUP($A19,'NE Data'!$A$3:$G$97,4,FALSE)="--","NULL",VLOOKUP($A19,'NE Data'!$A$3:$G$97,4,FALSE))</f>
        <v>NULL</v>
      </c>
      <c r="G19" s="612" t="s">
        <v>63</v>
      </c>
      <c r="H19" s="671">
        <f>vlookup(A19,'NE Data'!$A$104:$C$198,2,FALSE)</f>
        <v>10</v>
      </c>
      <c r="I19" s="614" t="str">
        <f>if(vlookup(A19,'NE Data'!$A$210:$B$304,2,FALSE)="*","NULL",vlookup(A19,'NE Data'!$A$210:$B$304,2,FALSE))</f>
        <v>NULL</v>
      </c>
      <c r="J19" s="615" t="s">
        <v>63</v>
      </c>
      <c r="K19" s="1061" t="str">
        <f>iferror(VLOOKUP($A19,'NE Data'!$A$3:$I$97,9,FALSE),"NULL")</f>
        <v>NULL</v>
      </c>
      <c r="L19" s="612">
        <f>if(vlookup(A19,'NE Data'!$A$312:$B$406,2,FALSE)="*","NULL",vlookup(A19,'NE Data'!$A$312:$B$406,2,FALSE))</f>
        <v>13</v>
      </c>
      <c r="M19" s="614" t="s">
        <v>63</v>
      </c>
      <c r="N19" s="612" t="s">
        <v>63</v>
      </c>
      <c r="O19" s="612" t="s">
        <v>63</v>
      </c>
      <c r="P19" s="620">
        <f>ifna(vlookup(A19,'Population &amp; Church Numbers'!$A$1657:$D$1749,4,FALSE),"NULL")</f>
        <v>26</v>
      </c>
      <c r="Q19" s="1062">
        <f>vlookup(A19,'NE Data'!$A$419:$B$513,2,FALSE)</f>
        <v>1</v>
      </c>
    </row>
    <row r="20">
      <c r="A20" s="609" t="s">
        <v>112</v>
      </c>
      <c r="B20" s="610">
        <f t="array" ref="B20">VLOOKUP($A20,NE_DEMO,2,FALSE)</f>
        <v>6104</v>
      </c>
      <c r="C20" s="611" t="str">
        <f>if(VLOOKUP($A20,'NE Data'!$A$3:$B$97,2,FALSE)="--","NULL",VLOOKUP($A20,'NE Data'!$A$3:$B$97,2,FALSE))</f>
        <v>NULL</v>
      </c>
      <c r="D20" s="612">
        <f>vlookup(A20,'NE Data'!$A$104:$C$198,3,FALSE)</f>
        <v>2.42</v>
      </c>
      <c r="E20" s="612" t="str">
        <f>if(VLOOKUP($A20,'NE Data'!$A$3:$G$97,3,FALSE)="--","NULL",VLOOKUP($A20,'NE Data'!$A$3:$G$97,3,FALSE))</f>
        <v>NULL</v>
      </c>
      <c r="F20" s="612" t="str">
        <f>if(VLOOKUP($A20,'NE Data'!$A$3:$G$97,4,FALSE)="--","NULL",VLOOKUP($A20,'NE Data'!$A$3:$G$97,4,FALSE))</f>
        <v>NULL</v>
      </c>
      <c r="G20" s="612" t="s">
        <v>63</v>
      </c>
      <c r="H20" s="671">
        <f>vlookup(A20,'NE Data'!$A$104:$C$198,2,FALSE)</f>
        <v>12</v>
      </c>
      <c r="I20" s="614" t="str">
        <f>if(vlookup(A20,'NE Data'!$A$210:$B$304,2,FALSE)="*","NULL",vlookup(A20,'NE Data'!$A$210:$B$304,2,FALSE))</f>
        <v>NULL</v>
      </c>
      <c r="J20" s="615" t="s">
        <v>63</v>
      </c>
      <c r="K20" s="1061" t="str">
        <f>iferror(VLOOKUP($A20,'NE Data'!$A$3:$I$97,9,FALSE),"NULL")</f>
        <v>NULL</v>
      </c>
      <c r="L20" s="612" t="str">
        <f>if(vlookup(A20,'NE Data'!$A$312:$B$406,2,FALSE)="*","NULL",vlookup(A20,'NE Data'!$A$312:$B$406,2,FALSE))</f>
        <v>NULL</v>
      </c>
      <c r="M20" s="614" t="s">
        <v>63</v>
      </c>
      <c r="N20" s="612" t="s">
        <v>63</v>
      </c>
      <c r="O20" s="612" t="s">
        <v>63</v>
      </c>
      <c r="P20" s="620">
        <f>ifna(vlookup(A20,'Population &amp; Church Numbers'!$A$1657:$D$1749,4,FALSE),"NULL")</f>
        <v>18</v>
      </c>
      <c r="Q20" s="1062">
        <f>vlookup(A20,'NE Data'!$A$419:$B$513,2,FALSE)</f>
        <v>0.8889</v>
      </c>
    </row>
    <row r="21">
      <c r="A21" s="609" t="s">
        <v>1474</v>
      </c>
      <c r="B21" s="610">
        <f t="array" ref="B21">VLOOKUP($A21,NE_DEMO,2,FALSE)</f>
        <v>10582</v>
      </c>
      <c r="C21" s="611">
        <f>if(VLOOKUP($A21,'NE Data'!$A$3:$B$97,2,FALSE)="--","NULL",VLOOKUP($A21,'NE Data'!$A$3:$B$97,2,FALSE))</f>
        <v>15</v>
      </c>
      <c r="D21" s="612">
        <f>vlookup(A21,'NE Data'!$A$104:$C$198,3,FALSE)</f>
        <v>1.67</v>
      </c>
      <c r="E21" s="612" t="str">
        <f>if(VLOOKUP($A21,'NE Data'!$A$3:$G$97,3,FALSE)="--","NULL",VLOOKUP($A21,'NE Data'!$A$3:$G$97,3,FALSE))</f>
        <v>NULL</v>
      </c>
      <c r="F21" s="612">
        <f>if(VLOOKUP($A21,'NE Data'!$A$3:$G$97,4,FALSE)="--","NULL",VLOOKUP($A21,'NE Data'!$A$3:$G$97,4,FALSE))</f>
        <v>10</v>
      </c>
      <c r="G21" s="612" t="s">
        <v>63</v>
      </c>
      <c r="H21" s="671">
        <f>vlookup(A21,'NE Data'!$A$104:$C$198,2,FALSE)</f>
        <v>6</v>
      </c>
      <c r="I21" s="614" t="str">
        <f>if(vlookup(A21,'NE Data'!$A$210:$B$304,2,FALSE)="*","NULL",vlookup(A21,'NE Data'!$A$210:$B$304,2,FALSE))</f>
        <v>NULL</v>
      </c>
      <c r="J21" s="615" t="s">
        <v>63</v>
      </c>
      <c r="K21" s="1061" t="str">
        <f>iferror(VLOOKUP($A21,'NE Data'!$A$3:$I$97,9,FALSE),"NULL")</f>
        <v>NULL</v>
      </c>
      <c r="L21" s="612" t="str">
        <f>if(vlookup(A21,'NE Data'!$A$312:$B$406,2,FALSE)="*","NULL",vlookup(A21,'NE Data'!$A$312:$B$406,2,FALSE))</f>
        <v>NULL</v>
      </c>
      <c r="M21" s="614" t="s">
        <v>63</v>
      </c>
      <c r="N21" s="612" t="s">
        <v>63</v>
      </c>
      <c r="O21" s="612" t="s">
        <v>63</v>
      </c>
      <c r="P21" s="620">
        <f>ifna(vlookup(A21,'Population &amp; Church Numbers'!$A$1657:$D$1749,4,FALSE),"NULL")</f>
        <v>12</v>
      </c>
      <c r="Q21" s="1062">
        <f>vlookup(A21,'NE Data'!$A$419:$B$513,2,FALSE)</f>
        <v>0.5</v>
      </c>
    </row>
    <row r="22">
      <c r="A22" s="609" t="s">
        <v>1475</v>
      </c>
      <c r="B22" s="610">
        <f t="array" ref="B22">VLOOKUP($A22,NE_DEMO,2,FALSE)</f>
        <v>9013</v>
      </c>
      <c r="C22" s="611">
        <f>if(VLOOKUP($A22,'NE Data'!$A$3:$B$97,2,FALSE)="--","NULL",VLOOKUP($A22,'NE Data'!$A$3:$B$97,2,FALSE))</f>
        <v>18</v>
      </c>
      <c r="D22" s="612">
        <f>vlookup(A22,'NE Data'!$A$104:$C$198,3,FALSE)</f>
        <v>2</v>
      </c>
      <c r="E22" s="612" t="str">
        <f>if(VLOOKUP($A22,'NE Data'!$A$3:$G$97,3,FALSE)="--","NULL",VLOOKUP($A22,'NE Data'!$A$3:$G$97,3,FALSE))</f>
        <v>NULL</v>
      </c>
      <c r="F22" s="612" t="str">
        <f>if(VLOOKUP($A22,'NE Data'!$A$3:$G$97,4,FALSE)="--","NULL",VLOOKUP($A22,'NE Data'!$A$3:$G$97,4,FALSE))</f>
        <v>NULL</v>
      </c>
      <c r="G22" s="612" t="s">
        <v>63</v>
      </c>
      <c r="H22" s="671">
        <f>vlookup(A22,'NE Data'!$A$104:$C$198,2,FALSE)</f>
        <v>8</v>
      </c>
      <c r="I22" s="614">
        <f>if(vlookup(A22,'NE Data'!$A$210:$B$304,2,FALSE)="*","NULL",vlookup(A22,'NE Data'!$A$210:$B$304,2,FALSE))</f>
        <v>7</v>
      </c>
      <c r="J22" s="615" t="s">
        <v>63</v>
      </c>
      <c r="K22" s="1061">
        <f>iferror(VLOOKUP($A22,'NE Data'!$A$3:$I$97,9,FALSE),"NULL")</f>
        <v>0.5454545455</v>
      </c>
      <c r="L22" s="612" t="str">
        <f>if(vlookup(A22,'NE Data'!$A$312:$B$406,2,FALSE)="*","NULL",vlookup(A22,'NE Data'!$A$312:$B$406,2,FALSE))</f>
        <v>NULL</v>
      </c>
      <c r="M22" s="614" t="s">
        <v>63</v>
      </c>
      <c r="N22" s="612" t="s">
        <v>63</v>
      </c>
      <c r="O22" s="612" t="s">
        <v>63</v>
      </c>
      <c r="P22" s="620">
        <f>ifna(vlookup(A22,'Population &amp; Church Numbers'!$A$1657:$D$1749,4,FALSE),"NULL")</f>
        <v>21</v>
      </c>
      <c r="Q22" s="1062">
        <f>vlookup(A22,'NE Data'!$A$419:$B$513,2,FALSE)</f>
        <v>1</v>
      </c>
    </row>
    <row r="23">
      <c r="A23" s="609" t="s">
        <v>406</v>
      </c>
      <c r="B23" s="610">
        <f t="array" ref="B23">VLOOKUP($A23,NE_DEMO,2,FALSE)</f>
        <v>10545</v>
      </c>
      <c r="C23" s="611">
        <f>if(VLOOKUP($A23,'NE Data'!$A$3:$B$97,2,FALSE)="--","NULL",VLOOKUP($A23,'NE Data'!$A$3:$B$97,2,FALSE))</f>
        <v>28</v>
      </c>
      <c r="D23" s="612">
        <f>vlookup(A23,'NE Data'!$A$104:$C$198,3,FALSE)</f>
        <v>1.88</v>
      </c>
      <c r="E23" s="612">
        <f>if(VLOOKUP($A23,'NE Data'!$A$3:$G$97,3,FALSE)="--","NULL",VLOOKUP($A23,'NE Data'!$A$3:$G$97,3,FALSE))</f>
        <v>15</v>
      </c>
      <c r="F23" s="612">
        <f>if(VLOOKUP($A23,'NE Data'!$A$3:$G$97,4,FALSE)="--","NULL",VLOOKUP($A23,'NE Data'!$A$3:$G$97,4,FALSE))</f>
        <v>10</v>
      </c>
      <c r="G23" s="612" t="s">
        <v>63</v>
      </c>
      <c r="H23" s="671">
        <f>vlookup(A23,'NE Data'!$A$104:$C$198,2,FALSE)</f>
        <v>8</v>
      </c>
      <c r="I23" s="614" t="str">
        <f>if(vlookup(A23,'NE Data'!$A$210:$B$304,2,FALSE)="*","NULL",vlookup(A23,'NE Data'!$A$210:$B$304,2,FALSE))</f>
        <v>NULL</v>
      </c>
      <c r="J23" s="615" t="s">
        <v>63</v>
      </c>
      <c r="K23" s="1061" t="str">
        <f>iferror(VLOOKUP($A23,'NE Data'!$A$3:$I$97,9,FALSE),"NULL")</f>
        <v>NULL</v>
      </c>
      <c r="L23" s="612">
        <f>if(vlookup(A23,'NE Data'!$A$312:$B$406,2,FALSE)="*","NULL",vlookup(A23,'NE Data'!$A$312:$B$406,2,FALSE))</f>
        <v>7</v>
      </c>
      <c r="M23" s="614" t="s">
        <v>63</v>
      </c>
      <c r="N23" s="612" t="s">
        <v>63</v>
      </c>
      <c r="O23" s="612" t="s">
        <v>63</v>
      </c>
      <c r="P23" s="620">
        <f>ifna(vlookup(A23,'Population &amp; Church Numbers'!$A$1657:$D$1749,4,FALSE),"NULL")</f>
        <v>28</v>
      </c>
      <c r="Q23" s="1062">
        <f>vlookup(A23,'NE Data'!$A$419:$B$513,2,FALSE)</f>
        <v>1</v>
      </c>
    </row>
    <row r="24">
      <c r="A24" s="609" t="s">
        <v>1308</v>
      </c>
      <c r="B24" s="610">
        <f t="array" ref="B24">VLOOKUP($A24,NE_DEMO,2,FALSE)</f>
        <v>21582</v>
      </c>
      <c r="C24" s="611">
        <f>if(VLOOKUP($A24,'NE Data'!$A$3:$B$97,2,FALSE)="--","NULL",VLOOKUP($A24,'NE Data'!$A$3:$B$97,2,FALSE))</f>
        <v>15</v>
      </c>
      <c r="D24" s="612">
        <f>vlookup(A24,'NE Data'!$A$104:$C$198,3,FALSE)</f>
        <v>1.44</v>
      </c>
      <c r="E24" s="612" t="str">
        <f>if(VLOOKUP($A24,'NE Data'!$A$3:$G$97,3,FALSE)="--","NULL",VLOOKUP($A24,'NE Data'!$A$3:$G$97,3,FALSE))</f>
        <v>NULL</v>
      </c>
      <c r="F24" s="612" t="str">
        <f>if(VLOOKUP($A24,'NE Data'!$A$3:$G$97,4,FALSE)="--","NULL",VLOOKUP($A24,'NE Data'!$A$3:$G$97,4,FALSE))</f>
        <v>NULL</v>
      </c>
      <c r="G24" s="612" t="s">
        <v>63</v>
      </c>
      <c r="H24" s="671">
        <f>vlookup(A24,'NE Data'!$A$104:$C$198,2,FALSE)</f>
        <v>9</v>
      </c>
      <c r="I24" s="614">
        <f>if(vlookup(A24,'NE Data'!$A$210:$B$304,2,FALSE)="*","NULL",vlookup(A24,'NE Data'!$A$210:$B$304,2,FALSE))</f>
        <v>6</v>
      </c>
      <c r="J24" s="615" t="s">
        <v>63</v>
      </c>
      <c r="K24" s="1061" t="str">
        <f>iferror(VLOOKUP($A24,'NE Data'!$A$3:$I$97,9,FALSE),"NULL")</f>
        <v>NULL</v>
      </c>
      <c r="L24" s="612">
        <f>if(vlookup(A24,'NE Data'!$A$312:$B$406,2,FALSE)="*","NULL",vlookup(A24,'NE Data'!$A$312:$B$406,2,FALSE))</f>
        <v>15</v>
      </c>
      <c r="M24" s="614" t="s">
        <v>63</v>
      </c>
      <c r="N24" s="612" t="s">
        <v>63</v>
      </c>
      <c r="O24" s="612" t="s">
        <v>63</v>
      </c>
      <c r="P24" s="620">
        <f>ifna(vlookup(A24,'Population &amp; Church Numbers'!$A$1657:$D$1749,4,FALSE),"NULL")</f>
        <v>14</v>
      </c>
      <c r="Q24" s="1062">
        <f>vlookup(A24,'NE Data'!$A$419:$B$513,2,FALSE)</f>
        <v>0.6</v>
      </c>
    </row>
    <row r="25">
      <c r="A25" s="609" t="s">
        <v>1476</v>
      </c>
      <c r="B25" s="610">
        <f t="array" ref="B25">VLOOKUP($A25,NE_DEMO,2,FALSE)</f>
        <v>8199</v>
      </c>
      <c r="C25" s="611">
        <f>if(VLOOKUP($A25,'NE Data'!$A$3:$B$97,2,FALSE)="--","NULL",VLOOKUP($A25,'NE Data'!$A$3:$B$97,2,FALSE))</f>
        <v>10</v>
      </c>
      <c r="D25" s="612">
        <f>vlookup(A25,'NE Data'!$A$104:$C$198,3,FALSE)</f>
        <v>1.8</v>
      </c>
      <c r="E25" s="612" t="str">
        <f>if(VLOOKUP($A25,'NE Data'!$A$3:$G$97,3,FALSE)="--","NULL",VLOOKUP($A25,'NE Data'!$A$3:$G$97,3,FALSE))</f>
        <v>NULL</v>
      </c>
      <c r="F25" s="612" t="str">
        <f>if(VLOOKUP($A25,'NE Data'!$A$3:$G$97,4,FALSE)="--","NULL",VLOOKUP($A25,'NE Data'!$A$3:$G$97,4,FALSE))</f>
        <v>NULL</v>
      </c>
      <c r="G25" s="612" t="s">
        <v>63</v>
      </c>
      <c r="H25" s="671">
        <f>vlookup(A25,'NE Data'!$A$104:$C$198,2,FALSE)</f>
        <v>5</v>
      </c>
      <c r="I25" s="614">
        <f>if(vlookup(A25,'NE Data'!$A$210:$B$304,2,FALSE)="*","NULL",vlookup(A25,'NE Data'!$A$210:$B$304,2,FALSE))</f>
        <v>0</v>
      </c>
      <c r="J25" s="615" t="s">
        <v>63</v>
      </c>
      <c r="K25" s="1061" t="str">
        <f>iferror(VLOOKUP($A25,'NE Data'!$A$3:$I$97,9,FALSE),"NULL")</f>
        <v>NULL</v>
      </c>
      <c r="L25" s="612" t="str">
        <f>if(vlookup(A25,'NE Data'!$A$312:$B$406,2,FALSE)="*","NULL",vlookup(A25,'NE Data'!$A$312:$B$406,2,FALSE))</f>
        <v>NULL</v>
      </c>
      <c r="M25" s="614" t="s">
        <v>63</v>
      </c>
      <c r="N25" s="612" t="s">
        <v>63</v>
      </c>
      <c r="O25" s="612" t="s">
        <v>63</v>
      </c>
      <c r="P25" s="620">
        <f>ifna(vlookup(A25,'Population &amp; Church Numbers'!$A$1657:$D$1749,4,FALSE),"NULL")</f>
        <v>19</v>
      </c>
      <c r="Q25" s="1062">
        <f>vlookup(A25,'NE Data'!$A$419:$B$513,2,FALSE)</f>
        <v>0.3333</v>
      </c>
    </row>
    <row r="26">
      <c r="A26" s="609" t="s">
        <v>562</v>
      </c>
      <c r="B26" s="610">
        <f t="array" ref="B26">VLOOKUP($A26,NE_DEMO,2,FALSE)</f>
        <v>24111</v>
      </c>
      <c r="C26" s="611">
        <f>if(VLOOKUP($A26,'NE Data'!$A$3:$B$97,2,FALSE)="--","NULL",VLOOKUP($A26,'NE Data'!$A$3:$B$97,2,FALSE))</f>
        <v>58</v>
      </c>
      <c r="D26" s="612">
        <f>vlookup(A26,'NE Data'!$A$104:$C$198,3,FALSE)</f>
        <v>1.62</v>
      </c>
      <c r="E26" s="612">
        <f>if(VLOOKUP($A26,'NE Data'!$A$3:$G$97,3,FALSE)="--","NULL",VLOOKUP($A26,'NE Data'!$A$3:$G$97,3,FALSE))</f>
        <v>30</v>
      </c>
      <c r="F26" s="612">
        <f>if(VLOOKUP($A26,'NE Data'!$A$3:$G$97,4,FALSE)="--","NULL",VLOOKUP($A26,'NE Data'!$A$3:$G$97,4,FALSE))</f>
        <v>26</v>
      </c>
      <c r="G26" s="612" t="s">
        <v>63</v>
      </c>
      <c r="H26" s="671">
        <f>vlookup(A26,'NE Data'!$A$104:$C$198,2,FALSE)</f>
        <v>37</v>
      </c>
      <c r="I26" s="614">
        <f>if(vlookup(A26,'NE Data'!$A$210:$B$304,2,FALSE)="*","NULL",vlookup(A26,'NE Data'!$A$210:$B$304,2,FALSE))</f>
        <v>9</v>
      </c>
      <c r="J26" s="615" t="s">
        <v>63</v>
      </c>
      <c r="K26" s="1061">
        <f>iferror(VLOOKUP($A26,'NE Data'!$A$3:$I$97,9,FALSE),"NULL")</f>
        <v>0.4285714286</v>
      </c>
      <c r="L26" s="612">
        <f>if(vlookup(A26,'NE Data'!$A$312:$B$406,2,FALSE)="*","NULL",vlookup(A26,'NE Data'!$A$312:$B$406,2,FALSE))</f>
        <v>9</v>
      </c>
      <c r="M26" s="614" t="s">
        <v>63</v>
      </c>
      <c r="N26" s="612" t="s">
        <v>63</v>
      </c>
      <c r="O26" s="612" t="s">
        <v>63</v>
      </c>
      <c r="P26" s="620">
        <f>ifna(vlookup(A26,'Population &amp; Church Numbers'!$A$1657:$D$1749,4,FALSE),"NULL")</f>
        <v>39</v>
      </c>
      <c r="Q26" s="1062">
        <f>vlookup(A26,'NE Data'!$A$419:$B$513,2,FALSE)</f>
        <v>0.6842</v>
      </c>
    </row>
    <row r="27">
      <c r="A27" s="609" t="s">
        <v>1477</v>
      </c>
      <c r="B27" s="610">
        <f t="array" ref="B27">VLOOKUP($A27,NE_DEMO,2,FALSE)</f>
        <v>1838</v>
      </c>
      <c r="C27" s="611" t="str">
        <f>if(VLOOKUP($A27,'NE Data'!$A$3:$B$97,2,FALSE)="--","NULL",VLOOKUP($A27,'NE Data'!$A$3:$B$97,2,FALSE))</f>
        <v>NULL</v>
      </c>
      <c r="D27" s="612">
        <f>vlookup(A27,'NE Data'!$A$104:$C$198,3,FALSE)</f>
        <v>3</v>
      </c>
      <c r="E27" s="612" t="str">
        <f>if(VLOOKUP($A27,'NE Data'!$A$3:$G$97,3,FALSE)="--","NULL",VLOOKUP($A27,'NE Data'!$A$3:$G$97,3,FALSE))</f>
        <v>NULL</v>
      </c>
      <c r="F27" s="612" t="str">
        <f>if(VLOOKUP($A27,'NE Data'!$A$3:$G$97,4,FALSE)="--","NULL",VLOOKUP($A27,'NE Data'!$A$3:$G$97,4,FALSE))</f>
        <v>NULL</v>
      </c>
      <c r="G27" s="612" t="s">
        <v>63</v>
      </c>
      <c r="H27" s="671">
        <f>vlookup(A27,'NE Data'!$A$104:$C$198,2,FALSE)</f>
        <v>1</v>
      </c>
      <c r="I27" s="614">
        <f>if(vlookup(A27,'NE Data'!$A$210:$B$304,2,FALSE)="*","NULL",vlookup(A27,'NE Data'!$A$210:$B$304,2,FALSE))</f>
        <v>0</v>
      </c>
      <c r="J27" s="615" t="s">
        <v>63</v>
      </c>
      <c r="K27" s="1061" t="str">
        <f>iferror(VLOOKUP($A27,'NE Data'!$A$3:$I$97,9,FALSE),"NULL")</f>
        <v>NULL</v>
      </c>
      <c r="L27" s="612" t="str">
        <f>if(vlookup(A27,'NE Data'!$A$312:$B$406,2,FALSE)="*","NULL",vlookup(A27,'NE Data'!$A$312:$B$406,2,FALSE))</f>
        <v>NULL</v>
      </c>
      <c r="M27" s="614" t="s">
        <v>63</v>
      </c>
      <c r="N27" s="612" t="s">
        <v>63</v>
      </c>
      <c r="O27" s="612" t="s">
        <v>63</v>
      </c>
      <c r="P27" s="620">
        <f>ifna(vlookup(A27,'Population &amp; Church Numbers'!$A$1657:$D$1749,4,FALSE),"NULL")</f>
        <v>8</v>
      </c>
      <c r="Q27" s="1062">
        <f>vlookup(A27,'NE Data'!$A$419:$B$513,2,FALSE)</f>
        <v>1</v>
      </c>
    </row>
    <row r="28">
      <c r="A28" s="609" t="s">
        <v>1478</v>
      </c>
      <c r="B28" s="610">
        <f t="array" ref="B28">VLOOKUP($A28,NE_DEMO,2,FALSE)</f>
        <v>5606</v>
      </c>
      <c r="C28" s="611">
        <f>if(VLOOKUP($A28,'NE Data'!$A$3:$B$97,2,FALSE)="--","NULL",VLOOKUP($A28,'NE Data'!$A$3:$B$97,2,FALSE))</f>
        <v>11</v>
      </c>
      <c r="D28" s="612">
        <f>vlookup(A28,'NE Data'!$A$104:$C$198,3,FALSE)</f>
        <v>2.33</v>
      </c>
      <c r="E28" s="612" t="str">
        <f>if(VLOOKUP($A28,'NE Data'!$A$3:$G$97,3,FALSE)="--","NULL",VLOOKUP($A28,'NE Data'!$A$3:$G$97,3,FALSE))</f>
        <v>NULL</v>
      </c>
      <c r="F28" s="612" t="str">
        <f>if(VLOOKUP($A28,'NE Data'!$A$3:$G$97,4,FALSE)="--","NULL",VLOOKUP($A28,'NE Data'!$A$3:$G$97,4,FALSE))</f>
        <v>NULL</v>
      </c>
      <c r="G28" s="612" t="s">
        <v>63</v>
      </c>
      <c r="H28" s="671">
        <f>vlookup(A28,'NE Data'!$A$104:$C$198,2,FALSE)</f>
        <v>3</v>
      </c>
      <c r="I28" s="614">
        <f>if(vlookup(A28,'NE Data'!$A$210:$B$304,2,FALSE)="*","NULL",vlookup(A28,'NE Data'!$A$210:$B$304,2,FALSE))</f>
        <v>0</v>
      </c>
      <c r="J28" s="615" t="s">
        <v>63</v>
      </c>
      <c r="K28" s="1061" t="str">
        <f>iferror(VLOOKUP($A28,'NE Data'!$A$3:$I$97,9,FALSE),"NULL")</f>
        <v>NULL</v>
      </c>
      <c r="L28" s="612">
        <f>if(vlookup(A28,'NE Data'!$A$312:$B$406,2,FALSE)="*","NULL",vlookup(A28,'NE Data'!$A$312:$B$406,2,FALSE))</f>
        <v>0</v>
      </c>
      <c r="M28" s="614" t="s">
        <v>63</v>
      </c>
      <c r="N28" s="612" t="s">
        <v>63</v>
      </c>
      <c r="O28" s="612" t="s">
        <v>63</v>
      </c>
      <c r="P28" s="620">
        <f>ifna(vlookup(A28,'Population &amp; Church Numbers'!$A$1657:$D$1749,4,FALSE),"NULL")</f>
        <v>17</v>
      </c>
      <c r="Q28" s="1062">
        <f>vlookup(A28,'NE Data'!$A$419:$B$513,2,FALSE)</f>
        <v>1</v>
      </c>
    </row>
    <row r="29">
      <c r="A29" s="609" t="s">
        <v>564</v>
      </c>
      <c r="B29" s="610">
        <f t="array" ref="B29">VLOOKUP($A29,NE_DEMO,2,FALSE)</f>
        <v>37167</v>
      </c>
      <c r="C29" s="611">
        <f>if(VLOOKUP($A29,'NE Data'!$A$3:$B$97,2,FALSE)="--","NULL",VLOOKUP($A29,'NE Data'!$A$3:$B$97,2,FALSE))</f>
        <v>111</v>
      </c>
      <c r="D29" s="612">
        <f>vlookup(A29,'NE Data'!$A$104:$C$198,3,FALSE)</f>
        <v>1.71</v>
      </c>
      <c r="E29" s="612">
        <f>if(VLOOKUP($A29,'NE Data'!$A$3:$G$97,3,FALSE)="--","NULL",VLOOKUP($A29,'NE Data'!$A$3:$G$97,3,FALSE))</f>
        <v>30</v>
      </c>
      <c r="F29" s="612">
        <f>if(VLOOKUP($A29,'NE Data'!$A$3:$G$97,4,FALSE)="--","NULL",VLOOKUP($A29,'NE Data'!$A$3:$G$97,4,FALSE))</f>
        <v>78</v>
      </c>
      <c r="G29" s="612" t="s">
        <v>63</v>
      </c>
      <c r="H29" s="671">
        <f>vlookup(A29,'NE Data'!$A$104:$C$198,2,FALSE)</f>
        <v>52</v>
      </c>
      <c r="I29" s="614">
        <f>if(vlookup(A29,'NE Data'!$A$210:$B$304,2,FALSE)="*","NULL",vlookup(A29,'NE Data'!$A$210:$B$304,2,FALSE))</f>
        <v>23</v>
      </c>
      <c r="J29" s="615" t="s">
        <v>63</v>
      </c>
      <c r="K29" s="1061">
        <f>iferror(VLOOKUP($A29,'NE Data'!$A$3:$I$97,9,FALSE),"NULL")</f>
        <v>0.7941176471</v>
      </c>
      <c r="L29" s="612">
        <f>if(vlookup(A29,'NE Data'!$A$312:$B$406,2,FALSE)="*","NULL",vlookup(A29,'NE Data'!$A$312:$B$406,2,FALSE))</f>
        <v>35</v>
      </c>
      <c r="M29" s="614" t="s">
        <v>63</v>
      </c>
      <c r="N29" s="612" t="s">
        <v>63</v>
      </c>
      <c r="O29" s="612" t="s">
        <v>63</v>
      </c>
      <c r="P29" s="620">
        <f>ifna(vlookup(A29,'Population &amp; Church Numbers'!$A$1657:$D$1749,4,FALSE),"NULL")</f>
        <v>40</v>
      </c>
      <c r="Q29" s="1062">
        <f>vlookup(A29,'NE Data'!$A$419:$B$513,2,FALSE)</f>
        <v>0.9</v>
      </c>
    </row>
    <row r="30">
      <c r="A30" s="609" t="s">
        <v>412</v>
      </c>
      <c r="B30" s="610">
        <f t="array" ref="B30">VLOOKUP($A30,NE_DEMO,2,FALSE)</f>
        <v>584526</v>
      </c>
      <c r="C30" s="611">
        <f>if(VLOOKUP($A30,'NE Data'!$A$3:$B$97,2,FALSE)="--","NULL",VLOOKUP($A30,'NE Data'!$A$3:$B$97,2,FALSE))</f>
        <v>1374</v>
      </c>
      <c r="D30" s="612">
        <f>vlookup(A30,'NE Data'!$A$104:$C$198,3,FALSE)</f>
        <v>2.12</v>
      </c>
      <c r="E30" s="612">
        <f>if(VLOOKUP($A30,'NE Data'!$A$3:$G$97,3,FALSE)="--","NULL",VLOOKUP($A30,'NE Data'!$A$3:$G$97,3,FALSE))</f>
        <v>488</v>
      </c>
      <c r="F30" s="612">
        <f>if(VLOOKUP($A30,'NE Data'!$A$3:$G$97,4,FALSE)="--","NULL",VLOOKUP($A30,'NE Data'!$A$3:$G$97,4,FALSE))</f>
        <v>805</v>
      </c>
      <c r="G30" s="612" t="s">
        <v>63</v>
      </c>
      <c r="H30" s="671">
        <f>vlookup(A30,'NE Data'!$A$104:$C$198,2,FALSE)</f>
        <v>908</v>
      </c>
      <c r="I30" s="614">
        <f>if(vlookup(A30,'NE Data'!$A$210:$B$304,2,FALSE)="*","NULL",vlookup(A30,'NE Data'!$A$210:$B$304,2,FALSE))</f>
        <v>313</v>
      </c>
      <c r="J30" s="615" t="s">
        <v>63</v>
      </c>
      <c r="K30" s="1061">
        <f>iferror(VLOOKUP($A30,'NE Data'!$A$3:$I$97,9,FALSE),"NULL")</f>
        <v>0.5137318255</v>
      </c>
      <c r="L30" s="612">
        <f>if(vlookup(A30,'NE Data'!$A$312:$B$406,2,FALSE)="*","NULL",vlookup(A30,'NE Data'!$A$312:$B$406,2,FALSE))</f>
        <v>378</v>
      </c>
      <c r="M30" s="614" t="s">
        <v>63</v>
      </c>
      <c r="N30" s="612" t="s">
        <v>63</v>
      </c>
      <c r="O30" s="612" t="s">
        <v>63</v>
      </c>
      <c r="P30" s="620">
        <f>ifna(vlookup(A30,'Population &amp; Church Numbers'!$A$1657:$D$1749,4,FALSE),"NULL")</f>
        <v>300</v>
      </c>
      <c r="Q30" s="1062">
        <f>vlookup(A30,'NE Data'!$A$419:$B$513,2,FALSE)</f>
        <v>0.7611</v>
      </c>
    </row>
    <row r="31">
      <c r="A31" s="609" t="s">
        <v>1479</v>
      </c>
      <c r="B31" s="610">
        <f t="array" ref="B31">VLOOKUP($A31,NE_DEMO,2,FALSE)</f>
        <v>1654</v>
      </c>
      <c r="C31" s="611" t="str">
        <f>if(VLOOKUP($A31,'NE Data'!$A$3:$B$97,2,FALSE)="--","NULL",VLOOKUP($A31,'NE Data'!$A$3:$B$97,2,FALSE))</f>
        <v>NULL</v>
      </c>
      <c r="D31" s="612">
        <f>vlookup(A31,'NE Data'!$A$104:$C$198,3,FALSE)</f>
        <v>1</v>
      </c>
      <c r="E31" s="612" t="str">
        <f>if(VLOOKUP($A31,'NE Data'!$A$3:$G$97,3,FALSE)="--","NULL",VLOOKUP($A31,'NE Data'!$A$3:$G$97,3,FALSE))</f>
        <v>NULL</v>
      </c>
      <c r="F31" s="612" t="str">
        <f>if(VLOOKUP($A31,'NE Data'!$A$3:$G$97,4,FALSE)="--","NULL",VLOOKUP($A31,'NE Data'!$A$3:$G$97,4,FALSE))</f>
        <v>NULL</v>
      </c>
      <c r="G31" s="612" t="s">
        <v>63</v>
      </c>
      <c r="H31" s="671">
        <f>vlookup(A31,'NE Data'!$A$104:$C$198,2,FALSE)</f>
        <v>1</v>
      </c>
      <c r="I31" s="614">
        <f>if(vlookup(A31,'NE Data'!$A$210:$B$304,2,FALSE)="*","NULL",vlookup(A31,'NE Data'!$A$210:$B$304,2,FALSE))</f>
        <v>0</v>
      </c>
      <c r="J31" s="615" t="s">
        <v>63</v>
      </c>
      <c r="K31" s="1061" t="str">
        <f>iferror(VLOOKUP($A31,'NE Data'!$A$3:$I$97,9,FALSE),"NULL")</f>
        <v>NULL</v>
      </c>
      <c r="L31" s="612">
        <f>if(vlookup(A31,'NE Data'!$A$312:$B$406,2,FALSE)="*","NULL",vlookup(A31,'NE Data'!$A$312:$B$406,2,FALSE))</f>
        <v>0</v>
      </c>
      <c r="M31" s="614" t="s">
        <v>63</v>
      </c>
      <c r="N31" s="612" t="s">
        <v>63</v>
      </c>
      <c r="O31" s="612" t="s">
        <v>63</v>
      </c>
      <c r="P31" s="620">
        <f>ifna(vlookup(A31,'Population &amp; Church Numbers'!$A$1657:$D$1749,4,FALSE),"NULL")</f>
        <v>7</v>
      </c>
      <c r="Q31" s="1062">
        <f>vlookup(A31,'NE Data'!$A$419:$B$513,2,FALSE)</f>
        <v>0</v>
      </c>
    </row>
    <row r="32">
      <c r="A32" s="609" t="s">
        <v>1310</v>
      </c>
      <c r="B32" s="610">
        <f t="array" ref="B32">VLOOKUP($A32,NE_DEMO,2,FALSE)</f>
        <v>5551</v>
      </c>
      <c r="C32" s="611" t="str">
        <f>if(VLOOKUP($A32,'NE Data'!$A$3:$B$97,2,FALSE)="--","NULL",VLOOKUP($A32,'NE Data'!$A$3:$B$97,2,FALSE))</f>
        <v>NULL</v>
      </c>
      <c r="D32" s="612">
        <f>vlookup(A32,'NE Data'!$A$104:$C$198,3,FALSE)</f>
        <v>2.33</v>
      </c>
      <c r="E32" s="612" t="str">
        <f>if(VLOOKUP($A32,'NE Data'!$A$3:$G$97,3,FALSE)="--","NULL",VLOOKUP($A32,'NE Data'!$A$3:$G$97,3,FALSE))</f>
        <v>NULL</v>
      </c>
      <c r="F32" s="612" t="str">
        <f>if(VLOOKUP($A32,'NE Data'!$A$3:$G$97,4,FALSE)="--","NULL",VLOOKUP($A32,'NE Data'!$A$3:$G$97,4,FALSE))</f>
        <v>NULL</v>
      </c>
      <c r="G32" s="612" t="s">
        <v>63</v>
      </c>
      <c r="H32" s="671">
        <f>vlookup(A32,'NE Data'!$A$104:$C$198,2,FALSE)</f>
        <v>3</v>
      </c>
      <c r="I32" s="614" t="str">
        <f>if(vlookup(A32,'NE Data'!$A$210:$B$304,2,FALSE)="*","NULL",vlookup(A32,'NE Data'!$A$210:$B$304,2,FALSE))</f>
        <v>NULL</v>
      </c>
      <c r="J32" s="615" t="s">
        <v>63</v>
      </c>
      <c r="K32" s="1061" t="str">
        <f>iferror(VLOOKUP($A32,'NE Data'!$A$3:$I$97,9,FALSE),"NULL")</f>
        <v>NULL</v>
      </c>
      <c r="L32" s="612" t="str">
        <f>if(vlookup(A32,'NE Data'!$A$312:$B$406,2,FALSE)="*","NULL",vlookup(A32,'NE Data'!$A$312:$B$406,2,FALSE))</f>
        <v>NULL</v>
      </c>
      <c r="M32" s="614" t="s">
        <v>63</v>
      </c>
      <c r="N32" s="612" t="s">
        <v>63</v>
      </c>
      <c r="O32" s="612" t="s">
        <v>63</v>
      </c>
      <c r="P32" s="620">
        <f>ifna(vlookup(A32,'Population &amp; Church Numbers'!$A$1657:$D$1749,4,FALSE),"NULL")</f>
        <v>15</v>
      </c>
      <c r="Q32" s="1062">
        <f>vlookup(A32,'NE Data'!$A$419:$B$513,2,FALSE)</f>
        <v>0.5</v>
      </c>
    </row>
    <row r="33">
      <c r="A33" s="609" t="s">
        <v>136</v>
      </c>
      <c r="B33" s="610">
        <f t="array" ref="B33">VLOOKUP($A33,NE_DEMO,2,FALSE)</f>
        <v>2889</v>
      </c>
      <c r="C33" s="611" t="str">
        <f>if(VLOOKUP($A33,'NE Data'!$A$3:$B$97,2,FALSE)="--","NULL",VLOOKUP($A33,'NE Data'!$A$3:$B$97,2,FALSE))</f>
        <v>NULL</v>
      </c>
      <c r="D33" s="612">
        <f>vlookup(A33,'NE Data'!$A$104:$C$198,3,FALSE)</f>
        <v>2.25</v>
      </c>
      <c r="E33" s="612" t="str">
        <f>if(VLOOKUP($A33,'NE Data'!$A$3:$G$97,3,FALSE)="--","NULL",VLOOKUP($A33,'NE Data'!$A$3:$G$97,3,FALSE))</f>
        <v>NULL</v>
      </c>
      <c r="F33" s="612" t="str">
        <f>if(VLOOKUP($A33,'NE Data'!$A$3:$G$97,4,FALSE)="--","NULL",VLOOKUP($A33,'NE Data'!$A$3:$G$97,4,FALSE))</f>
        <v>NULL</v>
      </c>
      <c r="G33" s="612" t="s">
        <v>63</v>
      </c>
      <c r="H33" s="671">
        <f>vlookup(A33,'NE Data'!$A$104:$C$198,2,FALSE)</f>
        <v>4</v>
      </c>
      <c r="I33" s="614" t="str">
        <f>if(vlookup(A33,'NE Data'!$A$210:$B$304,2,FALSE)="*","NULL",vlookup(A33,'NE Data'!$A$210:$B$304,2,FALSE))</f>
        <v>NULL</v>
      </c>
      <c r="J33" s="615" t="s">
        <v>63</v>
      </c>
      <c r="K33" s="1061" t="str">
        <f>iferror(VLOOKUP($A33,'NE Data'!$A$3:$I$97,9,FALSE),"NULL")</f>
        <v>NULL</v>
      </c>
      <c r="L33" s="612" t="str">
        <f>if(vlookup(A33,'NE Data'!$A$312:$B$406,2,FALSE)="*","NULL",vlookup(A33,'NE Data'!$A$312:$B$406,2,FALSE))</f>
        <v>NULL</v>
      </c>
      <c r="M33" s="614" t="s">
        <v>63</v>
      </c>
      <c r="N33" s="612" t="s">
        <v>63</v>
      </c>
      <c r="O33" s="612" t="s">
        <v>63</v>
      </c>
      <c r="P33" s="620">
        <f>ifna(vlookup(A33,'Population &amp; Church Numbers'!$A$1657:$D$1749,4,FALSE),"NULL")</f>
        <v>10</v>
      </c>
      <c r="Q33" s="1062">
        <f>vlookup(A33,'NE Data'!$A$419:$B$513,2,FALSE)</f>
        <v>1</v>
      </c>
    </row>
    <row r="34">
      <c r="A34" s="609" t="s">
        <v>1480</v>
      </c>
      <c r="B34" s="610">
        <f t="array" ref="B34">VLOOKUP($A34,NE_DEMO,2,FALSE)</f>
        <v>2519</v>
      </c>
      <c r="C34" s="611" t="str">
        <f>if(VLOOKUP($A34,'NE Data'!$A$3:$B$97,2,FALSE)="--","NULL",VLOOKUP($A34,'NE Data'!$A$3:$B$97,2,FALSE))</f>
        <v>NULL</v>
      </c>
      <c r="D34" s="612">
        <f>vlookup(A34,'NE Data'!$A$104:$C$198,3,FALSE)</f>
        <v>1</v>
      </c>
      <c r="E34" s="612" t="str">
        <f>if(VLOOKUP($A34,'NE Data'!$A$3:$G$97,3,FALSE)="--","NULL",VLOOKUP($A34,'NE Data'!$A$3:$G$97,3,FALSE))</f>
        <v>NULL</v>
      </c>
      <c r="F34" s="612" t="str">
        <f>if(VLOOKUP($A34,'NE Data'!$A$3:$G$97,4,FALSE)="--","NULL",VLOOKUP($A34,'NE Data'!$A$3:$G$97,4,FALSE))</f>
        <v>NULL</v>
      </c>
      <c r="G34" s="612" t="s">
        <v>63</v>
      </c>
      <c r="H34" s="671">
        <f>vlookup(A34,'NE Data'!$A$104:$C$198,2,FALSE)</f>
        <v>3</v>
      </c>
      <c r="I34" s="614">
        <f>if(vlookup(A34,'NE Data'!$A$210:$B$304,2,FALSE)="*","NULL",vlookup(A34,'NE Data'!$A$210:$B$304,2,FALSE))</f>
        <v>0</v>
      </c>
      <c r="J34" s="615" t="s">
        <v>63</v>
      </c>
      <c r="K34" s="1061" t="str">
        <f>iferror(VLOOKUP($A34,'NE Data'!$A$3:$I$97,9,FALSE),"NULL")</f>
        <v>NULL</v>
      </c>
      <c r="L34" s="612" t="str">
        <f>if(vlookup(A34,'NE Data'!$A$312:$B$406,2,FALSE)="*","NULL",vlookup(A34,'NE Data'!$A$312:$B$406,2,FALSE))</f>
        <v>NULL</v>
      </c>
      <c r="M34" s="614" t="s">
        <v>63</v>
      </c>
      <c r="N34" s="612" t="s">
        <v>63</v>
      </c>
      <c r="O34" s="612" t="s">
        <v>63</v>
      </c>
      <c r="P34" s="620">
        <f>ifna(vlookup(A34,'Population &amp; Church Numbers'!$A$1657:$D$1749,4,FALSE),"NULL")</f>
        <v>7</v>
      </c>
      <c r="Q34" s="1062">
        <f>vlookup(A34,'NE Data'!$A$419:$B$513,2,FALSE)</f>
        <v>0</v>
      </c>
    </row>
    <row r="35">
      <c r="A35" s="609" t="s">
        <v>1481</v>
      </c>
      <c r="B35" s="610">
        <f t="array" ref="B35">VLOOKUP($A35,NE_DEMO,2,FALSE)</f>
        <v>4636</v>
      </c>
      <c r="C35" s="611" t="str">
        <f>if(VLOOKUP($A35,'NE Data'!$A$3:$B$97,2,FALSE)="--","NULL",VLOOKUP($A35,'NE Data'!$A$3:$B$97,2,FALSE))</f>
        <v>NULL</v>
      </c>
      <c r="D35" s="612">
        <f>vlookup(A35,'NE Data'!$A$104:$C$198,3,FALSE)</f>
        <v>1.8</v>
      </c>
      <c r="E35" s="612" t="str">
        <f>if(VLOOKUP($A35,'NE Data'!$A$3:$G$97,3,FALSE)="--","NULL",VLOOKUP($A35,'NE Data'!$A$3:$G$97,3,FALSE))</f>
        <v>NULL</v>
      </c>
      <c r="F35" s="612" t="str">
        <f>if(VLOOKUP($A35,'NE Data'!$A$3:$G$97,4,FALSE)="--","NULL",VLOOKUP($A35,'NE Data'!$A$3:$G$97,4,FALSE))</f>
        <v>NULL</v>
      </c>
      <c r="G35" s="612" t="s">
        <v>63</v>
      </c>
      <c r="H35" s="671">
        <f>vlookup(A35,'NE Data'!$A$104:$C$198,2,FALSE)</f>
        <v>5</v>
      </c>
      <c r="I35" s="614">
        <f>if(vlookup(A35,'NE Data'!$A$210:$B$304,2,FALSE)="*","NULL",vlookup(A35,'NE Data'!$A$210:$B$304,2,FALSE))</f>
        <v>0</v>
      </c>
      <c r="J35" s="615" t="s">
        <v>63</v>
      </c>
      <c r="K35" s="1061" t="str">
        <f>iferror(VLOOKUP($A35,'NE Data'!$A$3:$I$97,9,FALSE),"NULL")</f>
        <v>NULL</v>
      </c>
      <c r="L35" s="612" t="str">
        <f>if(vlookup(A35,'NE Data'!$A$312:$B$406,2,FALSE)="*","NULL",vlookup(A35,'NE Data'!$A$312:$B$406,2,FALSE))</f>
        <v>NULL</v>
      </c>
      <c r="M35" s="614" t="s">
        <v>63</v>
      </c>
      <c r="N35" s="612" t="s">
        <v>63</v>
      </c>
      <c r="O35" s="612" t="s">
        <v>63</v>
      </c>
      <c r="P35" s="620">
        <f>ifna(vlookup(A35,'Population &amp; Church Numbers'!$A$1657:$D$1749,4,FALSE),"NULL")</f>
        <v>16</v>
      </c>
      <c r="Q35" s="1062">
        <f>vlookup(A35,'NE Data'!$A$419:$B$513,2,FALSE)</f>
        <v>0.5</v>
      </c>
    </row>
    <row r="36">
      <c r="A36" s="609" t="s">
        <v>1482</v>
      </c>
      <c r="B36" s="610">
        <f t="array" ref="B36">VLOOKUP($A36,NE_DEMO,2,FALSE)</f>
        <v>21704</v>
      </c>
      <c r="C36" s="611">
        <f>if(VLOOKUP($A36,'NE Data'!$A$3:$B$97,2,FALSE)="--","NULL",VLOOKUP($A36,'NE Data'!$A$3:$B$97,2,FALSE))</f>
        <v>17</v>
      </c>
      <c r="D36" s="612">
        <f>vlookup(A36,'NE Data'!$A$104:$C$198,3,FALSE)</f>
        <v>2.35</v>
      </c>
      <c r="E36" s="612" t="str">
        <f>if(VLOOKUP($A36,'NE Data'!$A$3:$G$97,3,FALSE)="--","NULL",VLOOKUP($A36,'NE Data'!$A$3:$G$97,3,FALSE))</f>
        <v>NULL</v>
      </c>
      <c r="F36" s="612">
        <f>if(VLOOKUP($A36,'NE Data'!$A$3:$G$97,4,FALSE)="--","NULL",VLOOKUP($A36,'NE Data'!$A$3:$G$97,4,FALSE))</f>
        <v>10</v>
      </c>
      <c r="G36" s="612" t="s">
        <v>63</v>
      </c>
      <c r="H36" s="671">
        <f>vlookup(A36,'NE Data'!$A$104:$C$198,2,FALSE)</f>
        <v>17</v>
      </c>
      <c r="I36" s="614" t="str">
        <f>if(vlookup(A36,'NE Data'!$A$210:$B$304,2,FALSE)="*","NULL",vlookup(A36,'NE Data'!$A$210:$B$304,2,FALSE))</f>
        <v>NULL</v>
      </c>
      <c r="J36" s="615" t="s">
        <v>63</v>
      </c>
      <c r="K36" s="1061" t="str">
        <f>iferror(VLOOKUP($A36,'NE Data'!$A$3:$I$97,9,FALSE),"NULL")</f>
        <v>NULL</v>
      </c>
      <c r="L36" s="612">
        <f>if(vlookup(A36,'NE Data'!$A$312:$B$406,2,FALSE)="*","NULL",vlookup(A36,'NE Data'!$A$312:$B$406,2,FALSE))</f>
        <v>18</v>
      </c>
      <c r="M36" s="614" t="s">
        <v>63</v>
      </c>
      <c r="N36" s="612" t="s">
        <v>63</v>
      </c>
      <c r="O36" s="612" t="s">
        <v>63</v>
      </c>
      <c r="P36" s="620">
        <f>ifna(vlookup(A36,'Population &amp; Church Numbers'!$A$1657:$D$1749,4,FALSE),"NULL")</f>
        <v>41</v>
      </c>
      <c r="Q36" s="1062">
        <f>vlookup(A36,'NE Data'!$A$419:$B$513,2,FALSE)</f>
        <v>0.6923</v>
      </c>
    </row>
    <row r="37">
      <c r="A37" s="609" t="s">
        <v>1483</v>
      </c>
      <c r="B37" s="610">
        <f t="array" ref="B37">VLOOKUP($A37,NE_DEMO,2,FALSE)</f>
        <v>1874</v>
      </c>
      <c r="C37" s="611" t="str">
        <f>if(VLOOKUP($A37,'NE Data'!$A$3:$B$97,2,FALSE)="--","NULL",VLOOKUP($A37,'NE Data'!$A$3:$B$97,2,FALSE))</f>
        <v>NULL</v>
      </c>
      <c r="D37" s="612">
        <f>vlookup(A37,'NE Data'!$A$104:$C$198,3,FALSE)</f>
        <v>1.33</v>
      </c>
      <c r="E37" s="612" t="str">
        <f>if(VLOOKUP($A37,'NE Data'!$A$3:$G$97,3,FALSE)="--","NULL",VLOOKUP($A37,'NE Data'!$A$3:$G$97,3,FALSE))</f>
        <v>NULL</v>
      </c>
      <c r="F37" s="612" t="str">
        <f>if(VLOOKUP($A37,'NE Data'!$A$3:$G$97,4,FALSE)="--","NULL",VLOOKUP($A37,'NE Data'!$A$3:$G$97,4,FALSE))</f>
        <v>NULL</v>
      </c>
      <c r="G37" s="612" t="s">
        <v>63</v>
      </c>
      <c r="H37" s="671">
        <f>vlookup(A37,'NE Data'!$A$104:$C$198,2,FALSE)</f>
        <v>3</v>
      </c>
      <c r="I37" s="614">
        <f>if(vlookup(A37,'NE Data'!$A$210:$B$304,2,FALSE)="*","NULL",vlookup(A37,'NE Data'!$A$210:$B$304,2,FALSE))</f>
        <v>0</v>
      </c>
      <c r="J37" s="615" t="s">
        <v>63</v>
      </c>
      <c r="K37" s="1061" t="str">
        <f>iferror(VLOOKUP($A37,'NE Data'!$A$3:$I$97,9,FALSE),"NULL")</f>
        <v>NULL</v>
      </c>
      <c r="L37" s="612" t="str">
        <f>if(vlookup(A37,'NE Data'!$A$312:$B$406,2,FALSE)="*","NULL",vlookup(A37,'NE Data'!$A$312:$B$406,2,FALSE))</f>
        <v>NULL</v>
      </c>
      <c r="M37" s="614" t="s">
        <v>63</v>
      </c>
      <c r="N37" s="612" t="s">
        <v>63</v>
      </c>
      <c r="O37" s="612" t="s">
        <v>63</v>
      </c>
      <c r="P37" s="620">
        <f>ifna(vlookup(A37,'Population &amp; Church Numbers'!$A$1657:$D$1749,4,FALSE),"NULL")</f>
        <v>8</v>
      </c>
      <c r="Q37" s="1062">
        <f>vlookup(A37,'NE Data'!$A$419:$B$513,2,FALSE)</f>
        <v>0</v>
      </c>
    </row>
    <row r="38">
      <c r="A38" s="609" t="s">
        <v>417</v>
      </c>
      <c r="B38" s="610">
        <f t="array" ref="B38">VLOOKUP($A38,NE_DEMO,2,FALSE)</f>
        <v>1813</v>
      </c>
      <c r="C38" s="611" t="str">
        <f>if(VLOOKUP($A38,'NE Data'!$A$3:$B$97,2,FALSE)="--","NULL",VLOOKUP($A38,'NE Data'!$A$3:$B$97,2,FALSE))</f>
        <v>NULL</v>
      </c>
      <c r="D38" s="612">
        <f>vlookup(A38,'NE Data'!$A$104:$C$198,3,FALSE)</f>
        <v>0</v>
      </c>
      <c r="E38" s="612" t="str">
        <f>if(VLOOKUP($A38,'NE Data'!$A$3:$G$97,3,FALSE)="--","NULL",VLOOKUP($A38,'NE Data'!$A$3:$G$97,3,FALSE))</f>
        <v>NULL</v>
      </c>
      <c r="F38" s="612" t="str">
        <f>if(VLOOKUP($A38,'NE Data'!$A$3:$G$97,4,FALSE)="--","NULL",VLOOKUP($A38,'NE Data'!$A$3:$G$97,4,FALSE))</f>
        <v>NULL</v>
      </c>
      <c r="G38" s="612" t="s">
        <v>63</v>
      </c>
      <c r="H38" s="671">
        <f>vlookup(A38,'NE Data'!$A$104:$C$198,2,FALSE)</f>
        <v>0</v>
      </c>
      <c r="I38" s="614">
        <f>if(vlookup(A38,'NE Data'!$A$210:$B$304,2,FALSE)="*","NULL",vlookup(A38,'NE Data'!$A$210:$B$304,2,FALSE))</f>
        <v>0</v>
      </c>
      <c r="J38" s="615" t="s">
        <v>63</v>
      </c>
      <c r="K38" s="1061" t="str">
        <f>iferror(VLOOKUP($A38,'NE Data'!$A$3:$I$97,9,FALSE),"NULL")</f>
        <v>NULL</v>
      </c>
      <c r="L38" s="612" t="str">
        <f>if(vlookup(A38,'NE Data'!$A$312:$B$406,2,FALSE)="*","NULL",vlookup(A38,'NE Data'!$A$312:$B$406,2,FALSE))</f>
        <v>NULL</v>
      </c>
      <c r="M38" s="614" t="s">
        <v>63</v>
      </c>
      <c r="N38" s="612" t="s">
        <v>63</v>
      </c>
      <c r="O38" s="612" t="s">
        <v>63</v>
      </c>
      <c r="P38" s="620">
        <f>ifna(vlookup(A38,'Population &amp; Church Numbers'!$A$1657:$D$1749,4,FALSE),"NULL")</f>
        <v>9</v>
      </c>
      <c r="Q38" s="1062">
        <f>vlookup(A38,'NE Data'!$A$419:$B$513,2,FALSE)</f>
        <v>0.5</v>
      </c>
    </row>
    <row r="39">
      <c r="A39" s="609" t="s">
        <v>1484</v>
      </c>
      <c r="B39" s="610">
        <f t="array" ref="B39">VLOOKUP($A39,NE_DEMO,2,FALSE)</f>
        <v>1893</v>
      </c>
      <c r="C39" s="611" t="str">
        <f>if(VLOOKUP($A39,'NE Data'!$A$3:$B$97,2,FALSE)="--","NULL",VLOOKUP($A39,'NE Data'!$A$3:$B$97,2,FALSE))</f>
        <v>NULL</v>
      </c>
      <c r="D39" s="612">
        <f>vlookup(A39,'NE Data'!$A$104:$C$198,3,FALSE)</f>
        <v>0</v>
      </c>
      <c r="E39" s="612" t="str">
        <f>if(VLOOKUP($A39,'NE Data'!$A$3:$G$97,3,FALSE)="--","NULL",VLOOKUP($A39,'NE Data'!$A$3:$G$97,3,FALSE))</f>
        <v>NULL</v>
      </c>
      <c r="F39" s="612" t="str">
        <f>if(VLOOKUP($A39,'NE Data'!$A$3:$G$97,4,FALSE)="--","NULL",VLOOKUP($A39,'NE Data'!$A$3:$G$97,4,FALSE))</f>
        <v>NULL</v>
      </c>
      <c r="G39" s="612" t="s">
        <v>63</v>
      </c>
      <c r="H39" s="671">
        <f>vlookup(A39,'NE Data'!$A$104:$C$198,2,FALSE)</f>
        <v>0</v>
      </c>
      <c r="I39" s="614">
        <f>if(vlookup(A39,'NE Data'!$A$210:$B$304,2,FALSE)="*","NULL",vlookup(A39,'NE Data'!$A$210:$B$304,2,FALSE))</f>
        <v>0</v>
      </c>
      <c r="J39" s="615" t="s">
        <v>63</v>
      </c>
      <c r="K39" s="1061" t="str">
        <f>iferror(VLOOKUP($A39,'NE Data'!$A$3:$I$97,9,FALSE),"NULL")</f>
        <v>NULL</v>
      </c>
      <c r="L39" s="612">
        <f>if(vlookup(A39,'NE Data'!$A$312:$B$406,2,FALSE)="*","NULL",vlookup(A39,'NE Data'!$A$312:$B$406,2,FALSE))</f>
        <v>0</v>
      </c>
      <c r="M39" s="614" t="s">
        <v>63</v>
      </c>
      <c r="N39" s="612" t="s">
        <v>63</v>
      </c>
      <c r="O39" s="612" t="s">
        <v>63</v>
      </c>
      <c r="P39" s="620">
        <f>ifna(vlookup(A39,'Population &amp; Church Numbers'!$A$1657:$D$1749,4,FALSE),"NULL")</f>
        <v>4</v>
      </c>
      <c r="Q39" s="1062" t="str">
        <f>vlookup(A39,'NE Data'!$A$419:$B$513,2,FALSE)</f>
        <v>NULL</v>
      </c>
    </row>
    <row r="40">
      <c r="A40" s="609" t="s">
        <v>278</v>
      </c>
      <c r="B40" s="610">
        <f t="array" ref="B40">VLOOKUP($A40,NE_DEMO,2,FALSE)</f>
        <v>611</v>
      </c>
      <c r="C40" s="611" t="str">
        <f>if(VLOOKUP($A40,'NE Data'!$A$3:$B$97,2,FALSE)="--","NULL",VLOOKUP($A40,'NE Data'!$A$3:$B$97,2,FALSE))</f>
        <v>NULL</v>
      </c>
      <c r="D40" s="612">
        <f>vlookup(A40,'NE Data'!$A$104:$C$198,3,FALSE)</f>
        <v>1.5</v>
      </c>
      <c r="E40" s="612" t="str">
        <f>if(VLOOKUP($A40,'NE Data'!$A$3:$G$97,3,FALSE)="--","NULL",VLOOKUP($A40,'NE Data'!$A$3:$G$97,3,FALSE))</f>
        <v>NULL</v>
      </c>
      <c r="F40" s="612" t="str">
        <f>if(VLOOKUP($A40,'NE Data'!$A$3:$G$97,4,FALSE)="--","NULL",VLOOKUP($A40,'NE Data'!$A$3:$G$97,4,FALSE))</f>
        <v>NULL</v>
      </c>
      <c r="G40" s="612" t="s">
        <v>63</v>
      </c>
      <c r="H40" s="671">
        <f>vlookup(A40,'NE Data'!$A$104:$C$198,2,FALSE)</f>
        <v>2</v>
      </c>
      <c r="I40" s="614">
        <f>if(vlookup(A40,'NE Data'!$A$210:$B$304,2,FALSE)="*","NULL",vlookup(A40,'NE Data'!$A$210:$B$304,2,FALSE))</f>
        <v>0</v>
      </c>
      <c r="J40" s="615" t="s">
        <v>63</v>
      </c>
      <c r="K40" s="1061" t="str">
        <f>iferror(VLOOKUP($A40,'NE Data'!$A$3:$I$97,9,FALSE),"NULL")</f>
        <v>NULL</v>
      </c>
      <c r="L40" s="612" t="str">
        <f>if(vlookup(A40,'NE Data'!$A$312:$B$406,2,FALSE)="*","NULL",vlookup(A40,'NE Data'!$A$312:$B$406,2,FALSE))</f>
        <v>NULL</v>
      </c>
      <c r="M40" s="614" t="s">
        <v>63</v>
      </c>
      <c r="N40" s="612" t="s">
        <v>63</v>
      </c>
      <c r="O40" s="612" t="s">
        <v>63</v>
      </c>
      <c r="P40" s="620">
        <f>ifna(vlookup(A40,'Population &amp; Church Numbers'!$A$1657:$D$1749,4,FALSE),"NULL")</f>
        <v>2</v>
      </c>
      <c r="Q40" s="1062">
        <f>vlookup(A40,'NE Data'!$A$419:$B$513,2,FALSE)</f>
        <v>1</v>
      </c>
    </row>
    <row r="41">
      <c r="A41" s="609" t="s">
        <v>976</v>
      </c>
      <c r="B41" s="610">
        <f t="array" ref="B41">VLOOKUP($A41,NE_DEMO,2,FALSE)</f>
        <v>2188</v>
      </c>
      <c r="C41" s="611" t="str">
        <f>if(VLOOKUP($A41,'NE Data'!$A$3:$B$97,2,FALSE)="--","NULL",VLOOKUP($A41,'NE Data'!$A$3:$B$97,2,FALSE))</f>
        <v>NULL</v>
      </c>
      <c r="D41" s="612">
        <f>vlookup(A41,'NE Data'!$A$104:$C$198,3,FALSE)</f>
        <v>1</v>
      </c>
      <c r="E41" s="612" t="str">
        <f>if(VLOOKUP($A41,'NE Data'!$A$3:$G$97,3,FALSE)="--","NULL",VLOOKUP($A41,'NE Data'!$A$3:$G$97,3,FALSE))</f>
        <v>NULL</v>
      </c>
      <c r="F41" s="612" t="str">
        <f>if(VLOOKUP($A41,'NE Data'!$A$3:$G$97,4,FALSE)="--","NULL",VLOOKUP($A41,'NE Data'!$A$3:$G$97,4,FALSE))</f>
        <v>NULL</v>
      </c>
      <c r="G41" s="612" t="s">
        <v>63</v>
      </c>
      <c r="H41" s="671">
        <f>vlookup(A41,'NE Data'!$A$104:$C$198,2,FALSE)</f>
        <v>1</v>
      </c>
      <c r="I41" s="614">
        <f>if(vlookup(A41,'NE Data'!$A$210:$B$304,2,FALSE)="*","NULL",vlookup(A41,'NE Data'!$A$210:$B$304,2,FALSE))</f>
        <v>0</v>
      </c>
      <c r="J41" s="615" t="s">
        <v>63</v>
      </c>
      <c r="K41" s="1061" t="str">
        <f>iferror(VLOOKUP($A41,'NE Data'!$A$3:$I$97,9,FALSE),"NULL")</f>
        <v>NULL</v>
      </c>
      <c r="L41" s="612">
        <f>if(vlookup(A41,'NE Data'!$A$312:$B$406,2,FALSE)="*","NULL",vlookup(A41,'NE Data'!$A$312:$B$406,2,FALSE))</f>
        <v>0</v>
      </c>
      <c r="M41" s="614" t="s">
        <v>63</v>
      </c>
      <c r="N41" s="612" t="s">
        <v>63</v>
      </c>
      <c r="O41" s="612" t="s">
        <v>63</v>
      </c>
      <c r="P41" s="620">
        <f>ifna(vlookup(A41,'Population &amp; Church Numbers'!$A$1657:$D$1749,4,FALSE),"NULL")</f>
        <v>9</v>
      </c>
      <c r="Q41" s="1062">
        <f>vlookup(A41,'NE Data'!$A$419:$B$513,2,FALSE)</f>
        <v>1</v>
      </c>
    </row>
    <row r="42">
      <c r="A42" s="609" t="s">
        <v>586</v>
      </c>
      <c r="B42" s="610">
        <f t="array" ref="B42">VLOOKUP($A42,NE_DEMO,2,FALSE)</f>
        <v>62895</v>
      </c>
      <c r="C42" s="611">
        <f>if(VLOOKUP($A42,'NE Data'!$A$3:$B$97,2,FALSE)="--","NULL",VLOOKUP($A42,'NE Data'!$A$3:$B$97,2,FALSE))</f>
        <v>117</v>
      </c>
      <c r="D42" s="612">
        <f>vlookup(A42,'NE Data'!$A$104:$C$198,3,FALSE)</f>
        <v>2.08</v>
      </c>
      <c r="E42" s="612">
        <f>if(VLOOKUP($A42,'NE Data'!$A$3:$G$97,3,FALSE)="--","NULL",VLOOKUP($A42,'NE Data'!$A$3:$G$97,3,FALSE))</f>
        <v>39</v>
      </c>
      <c r="F42" s="612">
        <f>if(VLOOKUP($A42,'NE Data'!$A$3:$G$97,4,FALSE)="--","NULL",VLOOKUP($A42,'NE Data'!$A$3:$G$97,4,FALSE))</f>
        <v>73</v>
      </c>
      <c r="G42" s="612" t="s">
        <v>63</v>
      </c>
      <c r="H42" s="671">
        <f>vlookup(A42,'NE Data'!$A$104:$C$198,2,FALSE)</f>
        <v>65</v>
      </c>
      <c r="I42" s="614">
        <f>if(vlookup(A42,'NE Data'!$A$210:$B$304,2,FALSE)="*","NULL",vlookup(A42,'NE Data'!$A$210:$B$304,2,FALSE))</f>
        <v>12</v>
      </c>
      <c r="J42" s="615" t="s">
        <v>63</v>
      </c>
      <c r="K42" s="1061">
        <f>iferror(VLOOKUP($A42,'NE Data'!$A$3:$I$97,9,FALSE),"NULL")</f>
        <v>0.5070422535</v>
      </c>
      <c r="L42" s="612">
        <f>if(vlookup(A42,'NE Data'!$A$312:$B$406,2,FALSE)="*","NULL",vlookup(A42,'NE Data'!$A$312:$B$406,2,FALSE))</f>
        <v>17</v>
      </c>
      <c r="M42" s="614" t="s">
        <v>63</v>
      </c>
      <c r="N42" s="612" t="s">
        <v>63</v>
      </c>
      <c r="O42" s="612" t="s">
        <v>63</v>
      </c>
      <c r="P42" s="620">
        <f>ifna(vlookup(A42,'Population &amp; Church Numbers'!$A$1657:$D$1749,4,FALSE),"NULL")</f>
        <v>46</v>
      </c>
      <c r="Q42" s="1062">
        <f>vlookup(A42,'NE Data'!$A$419:$B$513,2,FALSE)</f>
        <v>0.7576</v>
      </c>
    </row>
    <row r="43">
      <c r="A43" s="609" t="s">
        <v>497</v>
      </c>
      <c r="B43" s="610">
        <f t="array" ref="B43">VLOOKUP($A43,NE_DEMO,2,FALSE)</f>
        <v>9429</v>
      </c>
      <c r="C43" s="611">
        <f>if(VLOOKUP($A43,'NE Data'!$A$3:$B$97,2,FALSE)="--","NULL",VLOOKUP($A43,'NE Data'!$A$3:$B$97,2,FALSE))</f>
        <v>10</v>
      </c>
      <c r="D43" s="612">
        <f>vlookup(A43,'NE Data'!$A$104:$C$198,3,FALSE)</f>
        <v>1.43</v>
      </c>
      <c r="E43" s="612" t="str">
        <f>if(VLOOKUP($A43,'NE Data'!$A$3:$G$97,3,FALSE)="--","NULL",VLOOKUP($A43,'NE Data'!$A$3:$G$97,3,FALSE))</f>
        <v>NULL</v>
      </c>
      <c r="F43" s="612" t="str">
        <f>if(VLOOKUP($A43,'NE Data'!$A$3:$G$97,4,FALSE)="--","NULL",VLOOKUP($A43,'NE Data'!$A$3:$G$97,4,FALSE))</f>
        <v>NULL</v>
      </c>
      <c r="G43" s="612" t="s">
        <v>63</v>
      </c>
      <c r="H43" s="671">
        <f>vlookup(A43,'NE Data'!$A$104:$C$198,2,FALSE)</f>
        <v>7</v>
      </c>
      <c r="I43" s="614" t="str">
        <f>if(vlookup(A43,'NE Data'!$A$210:$B$304,2,FALSE)="*","NULL",vlookup(A43,'NE Data'!$A$210:$B$304,2,FALSE))</f>
        <v>NULL</v>
      </c>
      <c r="J43" s="615" t="s">
        <v>63</v>
      </c>
      <c r="K43" s="1061" t="str">
        <f>iferror(VLOOKUP($A43,'NE Data'!$A$3:$I$97,9,FALSE),"NULL")</f>
        <v>NULL</v>
      </c>
      <c r="L43" s="612" t="str">
        <f>if(vlookup(A43,'NE Data'!$A$312:$B$406,2,FALSE)="*","NULL",vlookup(A43,'NE Data'!$A$312:$B$406,2,FALSE))</f>
        <v>NULL</v>
      </c>
      <c r="M43" s="614" t="s">
        <v>63</v>
      </c>
      <c r="N43" s="612" t="s">
        <v>63</v>
      </c>
      <c r="O43" s="612" t="s">
        <v>63</v>
      </c>
      <c r="P43" s="620">
        <f>ifna(vlookup(A43,'Population &amp; Church Numbers'!$A$1657:$D$1749,4,FALSE),"NULL")</f>
        <v>30</v>
      </c>
      <c r="Q43" s="1062">
        <f>vlookup(A43,'NE Data'!$A$419:$B$513,2,FALSE)</f>
        <v>1</v>
      </c>
    </row>
    <row r="44">
      <c r="A44" s="609" t="s">
        <v>1088</v>
      </c>
      <c r="B44" s="610">
        <f t="array" ref="B44">VLOOKUP($A44,NE_DEMO,2,FALSE)</f>
        <v>3073</v>
      </c>
      <c r="C44" s="611" t="str">
        <f>if(VLOOKUP($A44,'NE Data'!$A$3:$B$97,2,FALSE)="--","NULL",VLOOKUP($A44,'NE Data'!$A$3:$B$97,2,FALSE))</f>
        <v>NULL</v>
      </c>
      <c r="D44" s="612">
        <f>vlookup(A44,'NE Data'!$A$104:$C$198,3,FALSE)</f>
        <v>2</v>
      </c>
      <c r="E44" s="612" t="str">
        <f>if(VLOOKUP($A44,'NE Data'!$A$3:$G$97,3,FALSE)="--","NULL",VLOOKUP($A44,'NE Data'!$A$3:$G$97,3,FALSE))</f>
        <v>NULL</v>
      </c>
      <c r="F44" s="612" t="str">
        <f>if(VLOOKUP($A44,'NE Data'!$A$3:$G$97,4,FALSE)="--","NULL",VLOOKUP($A44,'NE Data'!$A$3:$G$97,4,FALSE))</f>
        <v>NULL</v>
      </c>
      <c r="G44" s="612" t="s">
        <v>63</v>
      </c>
      <c r="H44" s="671">
        <f>vlookup(A44,'NE Data'!$A$104:$C$198,2,FALSE)</f>
        <v>2</v>
      </c>
      <c r="I44" s="614" t="str">
        <f>if(vlookup(A44,'NE Data'!$A$210:$B$304,2,FALSE)="*","NULL",vlookup(A44,'NE Data'!$A$210:$B$304,2,FALSE))</f>
        <v>NULL</v>
      </c>
      <c r="J44" s="615" t="s">
        <v>63</v>
      </c>
      <c r="K44" s="1061" t="str">
        <f>iferror(VLOOKUP($A44,'NE Data'!$A$3:$I$97,9,FALSE),"NULL")</f>
        <v>NULL</v>
      </c>
      <c r="L44" s="612">
        <f>if(vlookup(A44,'NE Data'!$A$312:$B$406,2,FALSE)="*","NULL",vlookup(A44,'NE Data'!$A$312:$B$406,2,FALSE))</f>
        <v>6</v>
      </c>
      <c r="M44" s="614" t="s">
        <v>63</v>
      </c>
      <c r="N44" s="612" t="s">
        <v>63</v>
      </c>
      <c r="O44" s="612" t="s">
        <v>63</v>
      </c>
      <c r="P44" s="620">
        <f>ifna(vlookup(A44,'Population &amp; Church Numbers'!$A$1657:$D$1749,4,FALSE),"NULL")</f>
        <v>6</v>
      </c>
      <c r="Q44" s="1062">
        <f>vlookup(A44,'NE Data'!$A$419:$B$513,2,FALSE)</f>
        <v>1</v>
      </c>
    </row>
    <row r="45">
      <c r="A45" s="609" t="s">
        <v>1485</v>
      </c>
      <c r="B45" s="610">
        <f t="array" ref="B45">VLOOKUP($A45,NE_DEMO,2,FALSE)</f>
        <v>856</v>
      </c>
      <c r="C45" s="611" t="str">
        <f>if(VLOOKUP($A45,'NE Data'!$A$3:$B$97,2,FALSE)="--","NULL",VLOOKUP($A45,'NE Data'!$A$3:$B$97,2,FALSE))</f>
        <v>NULL</v>
      </c>
      <c r="D45" s="612">
        <f>vlookup(A45,'NE Data'!$A$104:$C$198,3,FALSE)</f>
        <v>0</v>
      </c>
      <c r="E45" s="612" t="str">
        <f>if(VLOOKUP($A45,'NE Data'!$A$3:$G$97,3,FALSE)="--","NULL",VLOOKUP($A45,'NE Data'!$A$3:$G$97,3,FALSE))</f>
        <v>NULL</v>
      </c>
      <c r="F45" s="612" t="str">
        <f>if(VLOOKUP($A45,'NE Data'!$A$3:$G$97,4,FALSE)="--","NULL",VLOOKUP($A45,'NE Data'!$A$3:$G$97,4,FALSE))</f>
        <v>NULL</v>
      </c>
      <c r="G45" s="612" t="s">
        <v>63</v>
      </c>
      <c r="H45" s="671">
        <f>vlookup(A45,'NE Data'!$A$104:$C$198,2,FALSE)</f>
        <v>0</v>
      </c>
      <c r="I45" s="614">
        <f>if(vlookup(A45,'NE Data'!$A$210:$B$304,2,FALSE)="*","NULL",vlookup(A45,'NE Data'!$A$210:$B$304,2,FALSE))</f>
        <v>0</v>
      </c>
      <c r="J45" s="615" t="s">
        <v>63</v>
      </c>
      <c r="K45" s="1061" t="str">
        <f>iferror(VLOOKUP($A45,'NE Data'!$A$3:$I$97,9,FALSE),"NULL")</f>
        <v>NULL</v>
      </c>
      <c r="L45" s="612">
        <f>if(vlookup(A45,'NE Data'!$A$312:$B$406,2,FALSE)="*","NULL",vlookup(A45,'NE Data'!$A$312:$B$406,2,FALSE))</f>
        <v>0</v>
      </c>
      <c r="M45" s="614" t="s">
        <v>63</v>
      </c>
      <c r="N45" s="612" t="s">
        <v>63</v>
      </c>
      <c r="O45" s="612" t="s">
        <v>63</v>
      </c>
      <c r="P45" s="620">
        <f>ifna(vlookup(A45,'Population &amp; Church Numbers'!$A$1657:$D$1749,4,FALSE),"NULL")</f>
        <v>1</v>
      </c>
      <c r="Q45" s="1062" t="str">
        <f>vlookup(A45,'NE Data'!$A$419:$B$513,2,FALSE)</f>
        <v>NULL</v>
      </c>
    </row>
    <row r="46">
      <c r="A46" s="609" t="s">
        <v>1486</v>
      </c>
      <c r="B46" s="610">
        <f t="array" ref="B46">VLOOKUP($A46,NE_DEMO,2,FALSE)</f>
        <v>2616</v>
      </c>
      <c r="C46" s="611" t="str">
        <f>if(VLOOKUP($A46,'NE Data'!$A$3:$B$97,2,FALSE)="--","NULL",VLOOKUP($A46,'NE Data'!$A$3:$B$97,2,FALSE))</f>
        <v>NULL</v>
      </c>
      <c r="D46" s="612">
        <f>vlookup(A46,'NE Data'!$A$104:$C$198,3,FALSE)</f>
        <v>2</v>
      </c>
      <c r="E46" s="612" t="str">
        <f>if(VLOOKUP($A46,'NE Data'!$A$3:$G$97,3,FALSE)="--","NULL",VLOOKUP($A46,'NE Data'!$A$3:$G$97,3,FALSE))</f>
        <v>NULL</v>
      </c>
      <c r="F46" s="612" t="str">
        <f>if(VLOOKUP($A46,'NE Data'!$A$3:$G$97,4,FALSE)="--","NULL",VLOOKUP($A46,'NE Data'!$A$3:$G$97,4,FALSE))</f>
        <v>NULL</v>
      </c>
      <c r="G46" s="612" t="s">
        <v>63</v>
      </c>
      <c r="H46" s="671">
        <f>vlookup(A46,'NE Data'!$A$104:$C$198,2,FALSE)</f>
        <v>1</v>
      </c>
      <c r="I46" s="614" t="str">
        <f>if(vlookup(A46,'NE Data'!$A$210:$B$304,2,FALSE)="*","NULL",vlookup(A46,'NE Data'!$A$210:$B$304,2,FALSE))</f>
        <v>NULL</v>
      </c>
      <c r="J46" s="615" t="s">
        <v>63</v>
      </c>
      <c r="K46" s="1061" t="str">
        <f>iferror(VLOOKUP($A46,'NE Data'!$A$3:$I$97,9,FALSE),"NULL")</f>
        <v>NULL</v>
      </c>
      <c r="L46" s="612" t="str">
        <f>if(vlookup(A46,'NE Data'!$A$312:$B$406,2,FALSE)="*","NULL",vlookup(A46,'NE Data'!$A$312:$B$406,2,FALSE))</f>
        <v>NULL</v>
      </c>
      <c r="M46" s="614" t="s">
        <v>63</v>
      </c>
      <c r="N46" s="612" t="s">
        <v>63</v>
      </c>
      <c r="O46" s="612" t="s">
        <v>63</v>
      </c>
      <c r="P46" s="620">
        <f>ifna(vlookup(A46,'Population &amp; Church Numbers'!$A$1657:$D$1749,4,FALSE),"NULL")</f>
        <v>7</v>
      </c>
      <c r="Q46" s="1062" t="str">
        <f>vlookup(A46,'NE Data'!$A$419:$B$513,2,FALSE)</f>
        <v>NULL</v>
      </c>
    </row>
    <row r="47">
      <c r="A47" s="609" t="s">
        <v>1407</v>
      </c>
      <c r="B47" s="610">
        <f t="array" ref="B47">VLOOKUP($A47,NE_DEMO,2,FALSE)</f>
        <v>10127</v>
      </c>
      <c r="C47" s="611">
        <f>if(VLOOKUP($A47,'NE Data'!$A$3:$B$97,2,FALSE)="--","NULL",VLOOKUP($A47,'NE Data'!$A$3:$B$97,2,FALSE))</f>
        <v>11</v>
      </c>
      <c r="D47" s="612">
        <f>vlookup(A47,'NE Data'!$A$104:$C$198,3,FALSE)</f>
        <v>2.1</v>
      </c>
      <c r="E47" s="612" t="str">
        <f>if(VLOOKUP($A47,'NE Data'!$A$3:$G$97,3,FALSE)="--","NULL",VLOOKUP($A47,'NE Data'!$A$3:$G$97,3,FALSE))</f>
        <v>NULL</v>
      </c>
      <c r="F47" s="612" t="str">
        <f>if(VLOOKUP($A47,'NE Data'!$A$3:$G$97,4,FALSE)="--","NULL",VLOOKUP($A47,'NE Data'!$A$3:$G$97,4,FALSE))</f>
        <v>NULL</v>
      </c>
      <c r="G47" s="612" t="s">
        <v>63</v>
      </c>
      <c r="H47" s="671">
        <f>vlookup(A47,'NE Data'!$A$104:$C$198,2,FALSE)</f>
        <v>10</v>
      </c>
      <c r="I47" s="614" t="str">
        <f>if(vlookup(A47,'NE Data'!$A$210:$B$304,2,FALSE)="*","NULL",vlookup(A47,'NE Data'!$A$210:$B$304,2,FALSE))</f>
        <v>NULL</v>
      </c>
      <c r="J47" s="615" t="s">
        <v>63</v>
      </c>
      <c r="K47" s="1061" t="str">
        <f>iferror(VLOOKUP($A47,'NE Data'!$A$3:$I$97,9,FALSE),"NULL")</f>
        <v>NULL</v>
      </c>
      <c r="L47" s="612">
        <f>if(vlookup(A47,'NE Data'!$A$312:$B$406,2,FALSE)="*","NULL",vlookup(A47,'NE Data'!$A$312:$B$406,2,FALSE))</f>
        <v>6</v>
      </c>
      <c r="M47" s="614" t="s">
        <v>63</v>
      </c>
      <c r="N47" s="612" t="s">
        <v>63</v>
      </c>
      <c r="O47" s="612" t="s">
        <v>63</v>
      </c>
      <c r="P47" s="620">
        <f>ifna(vlookup(A47,'Population &amp; Church Numbers'!$A$1657:$D$1749,4,FALSE),"NULL")</f>
        <v>27</v>
      </c>
      <c r="Q47" s="1062">
        <f>vlookup(A47,'NE Data'!$A$419:$B$513,2,FALSE)</f>
        <v>0.8</v>
      </c>
    </row>
    <row r="48">
      <c r="A48" s="609" t="s">
        <v>1487</v>
      </c>
      <c r="B48" s="610">
        <f t="array" ref="B48">VLOOKUP($A48,NE_DEMO,2,FALSE)</f>
        <v>711</v>
      </c>
      <c r="C48" s="611" t="str">
        <f>if(VLOOKUP($A48,'NE Data'!$A$3:$B$97,2,FALSE)="--","NULL",VLOOKUP($A48,'NE Data'!$A$3:$B$97,2,FALSE))</f>
        <v>NULL</v>
      </c>
      <c r="D48" s="612">
        <f>vlookup(A48,'NE Data'!$A$104:$C$198,3,FALSE)</f>
        <v>0</v>
      </c>
      <c r="E48" s="612" t="str">
        <f>if(VLOOKUP($A48,'NE Data'!$A$3:$G$97,3,FALSE)="--","NULL",VLOOKUP($A48,'NE Data'!$A$3:$G$97,3,FALSE))</f>
        <v>NULL</v>
      </c>
      <c r="F48" s="612" t="str">
        <f>if(VLOOKUP($A48,'NE Data'!$A$3:$G$97,4,FALSE)="--","NULL",VLOOKUP($A48,'NE Data'!$A$3:$G$97,4,FALSE))</f>
        <v>NULL</v>
      </c>
      <c r="G48" s="612" t="s">
        <v>63</v>
      </c>
      <c r="H48" s="671">
        <f>vlookup(A48,'NE Data'!$A$104:$C$198,2,FALSE)</f>
        <v>0</v>
      </c>
      <c r="I48" s="614">
        <f>if(vlookup(A48,'NE Data'!$A$210:$B$304,2,FALSE)="*","NULL",vlookup(A48,'NE Data'!$A$210:$B$304,2,FALSE))</f>
        <v>0</v>
      </c>
      <c r="J48" s="615" t="s">
        <v>63</v>
      </c>
      <c r="K48" s="1061" t="str">
        <f>iferror(VLOOKUP($A48,'NE Data'!$A$3:$I$97,9,FALSE),"NULL")</f>
        <v>NULL</v>
      </c>
      <c r="L48" s="612">
        <f>if(vlookup(A48,'NE Data'!$A$312:$B$406,2,FALSE)="*","NULL",vlookup(A48,'NE Data'!$A$312:$B$406,2,FALSE))</f>
        <v>0</v>
      </c>
      <c r="M48" s="614" t="s">
        <v>63</v>
      </c>
      <c r="N48" s="612" t="s">
        <v>63</v>
      </c>
      <c r="O48" s="612" t="s">
        <v>63</v>
      </c>
      <c r="P48" s="620">
        <f>ifna(vlookup(A48,'Population &amp; Church Numbers'!$A$1657:$D$1749,4,FALSE),"NULL")</f>
        <v>4</v>
      </c>
      <c r="Q48" s="1062" t="str">
        <f>vlookup(A48,'NE Data'!$A$419:$B$513,2,FALSE)</f>
        <v>NULL</v>
      </c>
    </row>
    <row r="49">
      <c r="A49" s="609" t="s">
        <v>283</v>
      </c>
      <c r="B49" s="610">
        <f t="array" ref="B49">VLOOKUP($A49,NE_DEMO,2,FALSE)</f>
        <v>6475</v>
      </c>
      <c r="C49" s="611" t="str">
        <f>if(VLOOKUP($A49,'NE Data'!$A$3:$B$97,2,FALSE)="--","NULL",VLOOKUP($A49,'NE Data'!$A$3:$B$97,2,FALSE))</f>
        <v>NULL</v>
      </c>
      <c r="D49" s="612">
        <f>vlookup(A49,'NE Data'!$A$104:$C$198,3,FALSE)</f>
        <v>2</v>
      </c>
      <c r="E49" s="612" t="str">
        <f>if(VLOOKUP($A49,'NE Data'!$A$3:$G$97,3,FALSE)="--","NULL",VLOOKUP($A49,'NE Data'!$A$3:$G$97,3,FALSE))</f>
        <v>NULL</v>
      </c>
      <c r="F49" s="612" t="str">
        <f>if(VLOOKUP($A49,'NE Data'!$A$3:$G$97,4,FALSE)="--","NULL",VLOOKUP($A49,'NE Data'!$A$3:$G$97,4,FALSE))</f>
        <v>NULL</v>
      </c>
      <c r="G49" s="612" t="s">
        <v>63</v>
      </c>
      <c r="H49" s="671">
        <f>vlookup(A49,'NE Data'!$A$104:$C$198,2,FALSE)</f>
        <v>5</v>
      </c>
      <c r="I49" s="614" t="str">
        <f>if(vlookup(A49,'NE Data'!$A$210:$B$304,2,FALSE)="*","NULL",vlookup(A49,'NE Data'!$A$210:$B$304,2,FALSE))</f>
        <v>NULL</v>
      </c>
      <c r="J49" s="615" t="s">
        <v>63</v>
      </c>
      <c r="K49" s="1061" t="str">
        <f>iferror(VLOOKUP($A49,'NE Data'!$A$3:$I$97,9,FALSE),"NULL")</f>
        <v>NULL</v>
      </c>
      <c r="L49" s="612" t="str">
        <f>if(vlookup(A49,'NE Data'!$A$312:$B$406,2,FALSE)="*","NULL",vlookup(A49,'NE Data'!$A$312:$B$406,2,FALSE))</f>
        <v>NULL</v>
      </c>
      <c r="M49" s="614" t="s">
        <v>63</v>
      </c>
      <c r="N49" s="612" t="s">
        <v>63</v>
      </c>
      <c r="O49" s="612" t="s">
        <v>63</v>
      </c>
      <c r="P49" s="620">
        <f>ifna(vlookup(A49,'Population &amp; Church Numbers'!$A$1657:$D$1749,4,FALSE),"NULL")</f>
        <v>11</v>
      </c>
      <c r="Q49" s="1062">
        <f>vlookup(A49,'NE Data'!$A$419:$B$513,2,FALSE)</f>
        <v>1</v>
      </c>
    </row>
    <row r="50">
      <c r="A50" s="609" t="s">
        <v>143</v>
      </c>
      <c r="B50" s="610">
        <f t="array" ref="B50">VLOOKUP($A50,NE_DEMO,2,FALSE)</f>
        <v>7240</v>
      </c>
      <c r="C50" s="611" t="str">
        <f>if(VLOOKUP($A50,'NE Data'!$A$3:$B$97,2,FALSE)="--","NULL",VLOOKUP($A50,'NE Data'!$A$3:$B$97,2,FALSE))</f>
        <v>NULL</v>
      </c>
      <c r="D50" s="612">
        <f>vlookup(A50,'NE Data'!$A$104:$C$198,3,FALSE)</f>
        <v>1.6</v>
      </c>
      <c r="E50" s="612" t="str">
        <f>if(VLOOKUP($A50,'NE Data'!$A$3:$G$97,3,FALSE)="--","NULL",VLOOKUP($A50,'NE Data'!$A$3:$G$97,3,FALSE))</f>
        <v>NULL</v>
      </c>
      <c r="F50" s="612" t="str">
        <f>if(VLOOKUP($A50,'NE Data'!$A$3:$G$97,4,FALSE)="--","NULL",VLOOKUP($A50,'NE Data'!$A$3:$G$97,4,FALSE))</f>
        <v>NULL</v>
      </c>
      <c r="G50" s="612" t="s">
        <v>63</v>
      </c>
      <c r="H50" s="671">
        <f>vlookup(A50,'NE Data'!$A$104:$C$198,2,FALSE)</f>
        <v>10</v>
      </c>
      <c r="I50" s="614">
        <f>if(vlookup(A50,'NE Data'!$A$210:$B$304,2,FALSE)="*","NULL",vlookup(A50,'NE Data'!$A$210:$B$304,2,FALSE))</f>
        <v>0</v>
      </c>
      <c r="J50" s="615" t="s">
        <v>63</v>
      </c>
      <c r="K50" s="1061" t="str">
        <f>iferror(VLOOKUP($A50,'NE Data'!$A$3:$I$97,9,FALSE),"NULL")</f>
        <v>NULL</v>
      </c>
      <c r="L50" s="612">
        <f>if(vlookup(A50,'NE Data'!$A$312:$B$406,2,FALSE)="*","NULL",vlookup(A50,'NE Data'!$A$312:$B$406,2,FALSE))</f>
        <v>10</v>
      </c>
      <c r="M50" s="614" t="s">
        <v>63</v>
      </c>
      <c r="N50" s="612" t="s">
        <v>63</v>
      </c>
      <c r="O50" s="612" t="s">
        <v>63</v>
      </c>
      <c r="P50" s="620">
        <f>ifna(vlookup(A50,'Population &amp; Church Numbers'!$A$1657:$D$1749,4,FALSE),"NULL")</f>
        <v>20</v>
      </c>
      <c r="Q50" s="1062">
        <f>vlookup(A50,'NE Data'!$A$419:$B$513,2,FALSE)</f>
        <v>0.8889</v>
      </c>
    </row>
    <row r="51">
      <c r="A51" s="609" t="s">
        <v>288</v>
      </c>
      <c r="B51" s="610">
        <f t="array" ref="B51">VLOOKUP($A51,NE_DEMO,2,FALSE)</f>
        <v>5290</v>
      </c>
      <c r="C51" s="611" t="str">
        <f>if(VLOOKUP($A51,'NE Data'!$A$3:$B$97,2,FALSE)="--","NULL",VLOOKUP($A51,'NE Data'!$A$3:$B$97,2,FALSE))</f>
        <v>NULL</v>
      </c>
      <c r="D51" s="612">
        <f>vlookup(A51,'NE Data'!$A$104:$C$198,3,FALSE)</f>
        <v>1</v>
      </c>
      <c r="E51" s="612" t="str">
        <f>if(VLOOKUP($A51,'NE Data'!$A$3:$G$97,3,FALSE)="--","NULL",VLOOKUP($A51,'NE Data'!$A$3:$G$97,3,FALSE))</f>
        <v>NULL</v>
      </c>
      <c r="F51" s="612" t="str">
        <f>if(VLOOKUP($A51,'NE Data'!$A$3:$G$97,4,FALSE)="--","NULL",VLOOKUP($A51,'NE Data'!$A$3:$G$97,4,FALSE))</f>
        <v>NULL</v>
      </c>
      <c r="G51" s="612" t="s">
        <v>63</v>
      </c>
      <c r="H51" s="671">
        <f>vlookup(A51,'NE Data'!$A$104:$C$198,2,FALSE)</f>
        <v>2</v>
      </c>
      <c r="I51" s="614" t="str">
        <f>if(vlookup(A51,'NE Data'!$A$210:$B$304,2,FALSE)="*","NULL",vlookup(A51,'NE Data'!$A$210:$B$304,2,FALSE))</f>
        <v>NULL</v>
      </c>
      <c r="J51" s="615" t="s">
        <v>63</v>
      </c>
      <c r="K51" s="1061" t="str">
        <f>iferror(VLOOKUP($A51,'NE Data'!$A$3:$I$97,9,FALSE),"NULL")</f>
        <v>NULL</v>
      </c>
      <c r="L51" s="612" t="str">
        <f>if(vlookup(A51,'NE Data'!$A$312:$B$406,2,FALSE)="*","NULL",vlookup(A51,'NE Data'!$A$312:$B$406,2,FALSE))</f>
        <v>NULL</v>
      </c>
      <c r="M51" s="614" t="s">
        <v>63</v>
      </c>
      <c r="N51" s="612" t="s">
        <v>63</v>
      </c>
      <c r="O51" s="612" t="s">
        <v>63</v>
      </c>
      <c r="P51" s="620">
        <f>ifna(vlookup(A51,'Population &amp; Church Numbers'!$A$1657:$D$1749,4,FALSE),"NULL")</f>
        <v>7</v>
      </c>
      <c r="Q51" s="1062">
        <f>vlookup(A51,'NE Data'!$A$419:$B$513,2,FALSE)</f>
        <v>0.5</v>
      </c>
    </row>
    <row r="52">
      <c r="A52" s="609" t="s">
        <v>1488</v>
      </c>
      <c r="B52" s="610">
        <f t="array" ref="B52">VLOOKUP($A52,NE_DEMO,2,FALSE)</f>
        <v>6688</v>
      </c>
      <c r="C52" s="611">
        <f>if(VLOOKUP($A52,'NE Data'!$A$3:$B$97,2,FALSE)="--","NULL",VLOOKUP($A52,'NE Data'!$A$3:$B$97,2,FALSE))</f>
        <v>10</v>
      </c>
      <c r="D52" s="612">
        <f>vlookup(A52,'NE Data'!$A$104:$C$198,3,FALSE)</f>
        <v>2</v>
      </c>
      <c r="E52" s="612" t="str">
        <f>if(VLOOKUP($A52,'NE Data'!$A$3:$G$97,3,FALSE)="--","NULL",VLOOKUP($A52,'NE Data'!$A$3:$G$97,3,FALSE))</f>
        <v>NULL</v>
      </c>
      <c r="F52" s="612" t="str">
        <f>if(VLOOKUP($A52,'NE Data'!$A$3:$G$97,4,FALSE)="--","NULL",VLOOKUP($A52,'NE Data'!$A$3:$G$97,4,FALSE))</f>
        <v>NULL</v>
      </c>
      <c r="G52" s="612" t="s">
        <v>63</v>
      </c>
      <c r="H52" s="671">
        <f>vlookup(A52,'NE Data'!$A$104:$C$198,2,FALSE)</f>
        <v>5</v>
      </c>
      <c r="I52" s="614" t="str">
        <f>if(vlookup(A52,'NE Data'!$A$210:$B$304,2,FALSE)="*","NULL",vlookup(A52,'NE Data'!$A$210:$B$304,2,FALSE))</f>
        <v>NULL</v>
      </c>
      <c r="J52" s="615" t="s">
        <v>63</v>
      </c>
      <c r="K52" s="1061" t="str">
        <f>iferror(VLOOKUP($A52,'NE Data'!$A$3:$I$97,9,FALSE),"NULL")</f>
        <v>NULL</v>
      </c>
      <c r="L52" s="612" t="str">
        <f>if(vlookup(A52,'NE Data'!$A$312:$B$406,2,FALSE)="*","NULL",vlookup(A52,'NE Data'!$A$312:$B$406,2,FALSE))</f>
        <v>NULL</v>
      </c>
      <c r="M52" s="614" t="s">
        <v>63</v>
      </c>
      <c r="N52" s="612" t="s">
        <v>63</v>
      </c>
      <c r="O52" s="612" t="s">
        <v>63</v>
      </c>
      <c r="P52" s="620">
        <f>ifna(vlookup(A52,'Population &amp; Church Numbers'!$A$1657:$D$1749,4,FALSE),"NULL")</f>
        <v>11</v>
      </c>
      <c r="Q52" s="1062">
        <f>vlookup(A52,'NE Data'!$A$419:$B$513,2,FALSE)</f>
        <v>0.5</v>
      </c>
    </row>
    <row r="53">
      <c r="A53" s="609" t="s">
        <v>1489</v>
      </c>
      <c r="B53" s="610">
        <f t="array" ref="B53">VLOOKUP($A53,NE_DEMO,2,FALSE)</f>
        <v>8335</v>
      </c>
      <c r="C53" s="611">
        <f>if(VLOOKUP($A53,'NE Data'!$A$3:$B$97,2,FALSE)="--","NULL",VLOOKUP($A53,'NE Data'!$A$3:$B$97,2,FALSE))</f>
        <v>25</v>
      </c>
      <c r="D53" s="612">
        <f>vlookup(A53,'NE Data'!$A$104:$C$198,3,FALSE)</f>
        <v>2.63</v>
      </c>
      <c r="E53" s="612" t="str">
        <f>if(VLOOKUP($A53,'NE Data'!$A$3:$G$97,3,FALSE)="--","NULL",VLOOKUP($A53,'NE Data'!$A$3:$G$97,3,FALSE))</f>
        <v>NULL</v>
      </c>
      <c r="F53" s="612">
        <f>if(VLOOKUP($A53,'NE Data'!$A$3:$G$97,4,FALSE)="--","NULL",VLOOKUP($A53,'NE Data'!$A$3:$G$97,4,FALSE))</f>
        <v>18</v>
      </c>
      <c r="G53" s="612" t="s">
        <v>63</v>
      </c>
      <c r="H53" s="671">
        <f>vlookup(A53,'NE Data'!$A$104:$C$198,2,FALSE)</f>
        <v>8</v>
      </c>
      <c r="I53" s="614" t="str">
        <f>if(vlookup(A53,'NE Data'!$A$210:$B$304,2,FALSE)="*","NULL",vlookup(A53,'NE Data'!$A$210:$B$304,2,FALSE))</f>
        <v>NULL</v>
      </c>
      <c r="J53" s="615" t="s">
        <v>63</v>
      </c>
      <c r="K53" s="1061" t="str">
        <f>iferror(VLOOKUP($A53,'NE Data'!$A$3:$I$97,9,FALSE),"NULL")</f>
        <v>NULL</v>
      </c>
      <c r="L53" s="612">
        <f>if(vlookup(A53,'NE Data'!$A$312:$B$406,2,FALSE)="*","NULL",vlookup(A53,'NE Data'!$A$312:$B$406,2,FALSE))</f>
        <v>9</v>
      </c>
      <c r="M53" s="614" t="s">
        <v>63</v>
      </c>
      <c r="N53" s="612" t="s">
        <v>63</v>
      </c>
      <c r="O53" s="612" t="s">
        <v>63</v>
      </c>
      <c r="P53" s="620">
        <f>ifna(vlookup(A53,'Population &amp; Church Numbers'!$A$1657:$D$1749,4,FALSE),"NULL")</f>
        <v>21</v>
      </c>
      <c r="Q53" s="1062">
        <f>vlookup(A53,'NE Data'!$A$419:$B$513,2,FALSE)</f>
        <v>0.4444</v>
      </c>
    </row>
    <row r="54">
      <c r="A54" s="609" t="s">
        <v>1490</v>
      </c>
      <c r="B54" s="610">
        <f t="array" ref="B54">VLOOKUP($A54,NE_DEMO,2,FALSE)</f>
        <v>769</v>
      </c>
      <c r="C54" s="611" t="str">
        <f>if(VLOOKUP($A54,'NE Data'!$A$3:$B$97,2,FALSE)="--","NULL",VLOOKUP($A54,'NE Data'!$A$3:$B$97,2,FALSE))</f>
        <v>NULL</v>
      </c>
      <c r="D54" s="612">
        <f>vlookup(A54,'NE Data'!$A$104:$C$198,3,FALSE)</f>
        <v>0</v>
      </c>
      <c r="E54" s="612" t="str">
        <f>if(VLOOKUP($A54,'NE Data'!$A$3:$G$97,3,FALSE)="--","NULL",VLOOKUP($A54,'NE Data'!$A$3:$G$97,3,FALSE))</f>
        <v>NULL</v>
      </c>
      <c r="F54" s="612" t="str">
        <f>if(VLOOKUP($A54,'NE Data'!$A$3:$G$97,4,FALSE)="--","NULL",VLOOKUP($A54,'NE Data'!$A$3:$G$97,4,FALSE))</f>
        <v>NULL</v>
      </c>
      <c r="G54" s="612" t="s">
        <v>63</v>
      </c>
      <c r="H54" s="671">
        <f>vlookup(A54,'NE Data'!$A$104:$C$198,2,FALSE)</f>
        <v>0</v>
      </c>
      <c r="I54" s="614">
        <f>if(vlookup(A54,'NE Data'!$A$210:$B$304,2,FALSE)="*","NULL",vlookup(A54,'NE Data'!$A$210:$B$304,2,FALSE))</f>
        <v>0</v>
      </c>
      <c r="J54" s="615" t="s">
        <v>63</v>
      </c>
      <c r="K54" s="1061" t="str">
        <f>iferror(VLOOKUP($A54,'NE Data'!$A$3:$I$97,9,FALSE),"NULL")</f>
        <v>NULL</v>
      </c>
      <c r="L54" s="612">
        <f>if(vlookup(A54,'NE Data'!$A$312:$B$406,2,FALSE)="*","NULL",vlookup(A54,'NE Data'!$A$312:$B$406,2,FALSE))</f>
        <v>0</v>
      </c>
      <c r="M54" s="614" t="s">
        <v>63</v>
      </c>
      <c r="N54" s="612" t="s">
        <v>63</v>
      </c>
      <c r="O54" s="612" t="s">
        <v>63</v>
      </c>
      <c r="P54" s="620">
        <f>ifna(vlookup(A54,'Population &amp; Church Numbers'!$A$1657:$D$1749,4,FALSE),"NULL")</f>
        <v>8</v>
      </c>
      <c r="Q54" s="1062" t="str">
        <f>vlookup(A54,'NE Data'!$A$419:$B$513,2,FALSE)</f>
        <v>NULL</v>
      </c>
    </row>
    <row r="55">
      <c r="A55" s="609" t="s">
        <v>1491</v>
      </c>
      <c r="B55" s="610">
        <f t="array" ref="B55">VLOOKUP($A55,NE_DEMO,2,FALSE)</f>
        <v>3434</v>
      </c>
      <c r="C55" s="611" t="str">
        <f>if(VLOOKUP($A55,'NE Data'!$A$3:$B$97,2,FALSE)="--","NULL",VLOOKUP($A55,'NE Data'!$A$3:$B$97,2,FALSE))</f>
        <v>NULL</v>
      </c>
      <c r="D55" s="612">
        <f>vlookup(A55,'NE Data'!$A$104:$C$198,3,FALSE)</f>
        <v>1.4</v>
      </c>
      <c r="E55" s="612" t="str">
        <f>if(VLOOKUP($A55,'NE Data'!$A$3:$G$97,3,FALSE)="--","NULL",VLOOKUP($A55,'NE Data'!$A$3:$G$97,3,FALSE))</f>
        <v>NULL</v>
      </c>
      <c r="F55" s="612" t="str">
        <f>if(VLOOKUP($A55,'NE Data'!$A$3:$G$97,4,FALSE)="--","NULL",VLOOKUP($A55,'NE Data'!$A$3:$G$97,4,FALSE))</f>
        <v>NULL</v>
      </c>
      <c r="G55" s="612" t="s">
        <v>63</v>
      </c>
      <c r="H55" s="671">
        <f>vlookup(A55,'NE Data'!$A$104:$C$198,2,FALSE)</f>
        <v>5</v>
      </c>
      <c r="I55" s="614">
        <f>if(vlookup(A55,'NE Data'!$A$210:$B$304,2,FALSE)="*","NULL",vlookup(A55,'NE Data'!$A$210:$B$304,2,FALSE))</f>
        <v>0</v>
      </c>
      <c r="J55" s="615" t="s">
        <v>63</v>
      </c>
      <c r="K55" s="1061" t="str">
        <f>iferror(VLOOKUP($A55,'NE Data'!$A$3:$I$97,9,FALSE),"NULL")</f>
        <v>NULL</v>
      </c>
      <c r="L55" s="612" t="str">
        <f>if(vlookup(A55,'NE Data'!$A$312:$B$406,2,FALSE)="*","NULL",vlookup(A55,'NE Data'!$A$312:$B$406,2,FALSE))</f>
        <v>NULL</v>
      </c>
      <c r="M55" s="614" t="s">
        <v>63</v>
      </c>
      <c r="N55" s="612" t="s">
        <v>63</v>
      </c>
      <c r="O55" s="612" t="s">
        <v>63</v>
      </c>
      <c r="P55" s="620">
        <f>ifna(vlookup(A55,'Population &amp; Church Numbers'!$A$1657:$D$1749,4,FALSE),"NULL")</f>
        <v>9</v>
      </c>
      <c r="Q55" s="1062">
        <f>vlookup(A55,'NE Data'!$A$419:$B$513,2,FALSE)</f>
        <v>1</v>
      </c>
    </row>
    <row r="56">
      <c r="A56" s="609" t="s">
        <v>728</v>
      </c>
      <c r="B56" s="610">
        <f t="array" ref="B56">VLOOKUP($A56,NE_DEMO,2,FALSE)</f>
        <v>8391</v>
      </c>
      <c r="C56" s="611">
        <f>if(VLOOKUP($A56,'NE Data'!$A$3:$B$97,2,FALSE)="--","NULL",VLOOKUP($A56,'NE Data'!$A$3:$B$97,2,FALSE))</f>
        <v>15</v>
      </c>
      <c r="D56" s="612">
        <f>vlookup(A56,'NE Data'!$A$104:$C$198,3,FALSE)</f>
        <v>1.8</v>
      </c>
      <c r="E56" s="612" t="str">
        <f>if(VLOOKUP($A56,'NE Data'!$A$3:$G$97,3,FALSE)="--","NULL",VLOOKUP($A56,'NE Data'!$A$3:$G$97,3,FALSE))</f>
        <v>NULL</v>
      </c>
      <c r="F56" s="612">
        <f>if(VLOOKUP($A56,'NE Data'!$A$3:$G$97,4,FALSE)="--","NULL",VLOOKUP($A56,'NE Data'!$A$3:$G$97,4,FALSE))</f>
        <v>11</v>
      </c>
      <c r="G56" s="612" t="s">
        <v>63</v>
      </c>
      <c r="H56" s="671">
        <f>vlookup(A56,'NE Data'!$A$104:$C$198,2,FALSE)</f>
        <v>10</v>
      </c>
      <c r="I56" s="614" t="str">
        <f>if(vlookup(A56,'NE Data'!$A$210:$B$304,2,FALSE)="*","NULL",vlookup(A56,'NE Data'!$A$210:$B$304,2,FALSE))</f>
        <v>NULL</v>
      </c>
      <c r="J56" s="615" t="s">
        <v>63</v>
      </c>
      <c r="K56" s="1061" t="str">
        <f>iferror(VLOOKUP($A56,'NE Data'!$A$3:$I$97,9,FALSE),"NULL")</f>
        <v>NULL</v>
      </c>
      <c r="L56" s="612" t="str">
        <f>if(vlookup(A56,'NE Data'!$A$312:$B$406,2,FALSE)="*","NULL",vlookup(A56,'NE Data'!$A$312:$B$406,2,FALSE))</f>
        <v>NULL</v>
      </c>
      <c r="M56" s="614" t="s">
        <v>63</v>
      </c>
      <c r="N56" s="612" t="s">
        <v>63</v>
      </c>
      <c r="O56" s="612" t="s">
        <v>63</v>
      </c>
      <c r="P56" s="620">
        <f>ifna(vlookup(A56,'Population &amp; Church Numbers'!$A$1657:$D$1749,4,FALSE),"NULL")</f>
        <v>26</v>
      </c>
      <c r="Q56" s="1062">
        <f>vlookup(A56,'NE Data'!$A$419:$B$513,2,FALSE)</f>
        <v>0.5714</v>
      </c>
    </row>
    <row r="57">
      <c r="A57" s="609" t="s">
        <v>650</v>
      </c>
      <c r="B57" s="610">
        <f t="array" ref="B57">VLOOKUP($A57,NE_DEMO,2,FALSE)</f>
        <v>322608</v>
      </c>
      <c r="C57" s="611">
        <f>if(VLOOKUP($A57,'NE Data'!$A$3:$B$97,2,FALSE)="--","NULL",VLOOKUP($A57,'NE Data'!$A$3:$B$97,2,FALSE))</f>
        <v>497</v>
      </c>
      <c r="D57" s="612">
        <f>vlookup(A57,'NE Data'!$A$104:$C$198,3,FALSE)</f>
        <v>1.97</v>
      </c>
      <c r="E57" s="612">
        <f>if(VLOOKUP($A57,'NE Data'!$A$3:$G$97,3,FALSE)="--","NULL",VLOOKUP($A57,'NE Data'!$A$3:$G$97,3,FALSE))</f>
        <v>184</v>
      </c>
      <c r="F57" s="612">
        <f>if(VLOOKUP($A57,'NE Data'!$A$3:$G$97,4,FALSE)="--","NULL",VLOOKUP($A57,'NE Data'!$A$3:$G$97,4,FALSE))</f>
        <v>277</v>
      </c>
      <c r="G57" s="612" t="s">
        <v>63</v>
      </c>
      <c r="H57" s="671">
        <f>vlookup(A57,'NE Data'!$A$104:$C$198,2,FALSE)</f>
        <v>271</v>
      </c>
      <c r="I57" s="614">
        <f>if(vlookup(A57,'NE Data'!$A$210:$B$304,2,FALSE)="*","NULL",vlookup(A57,'NE Data'!$A$210:$B$304,2,FALSE))</f>
        <v>123</v>
      </c>
      <c r="J57" s="615" t="s">
        <v>63</v>
      </c>
      <c r="K57" s="1061">
        <f>iferror(VLOOKUP($A57,'NE Data'!$A$3:$I$97,9,FALSE),"NULL")</f>
        <v>0.3771929825</v>
      </c>
      <c r="L57" s="612">
        <f>if(vlookup(A57,'NE Data'!$A$312:$B$406,2,FALSE)="*","NULL",vlookup(A57,'NE Data'!$A$312:$B$406,2,FALSE))</f>
        <v>226</v>
      </c>
      <c r="M57" s="614" t="s">
        <v>63</v>
      </c>
      <c r="N57" s="612" t="s">
        <v>63</v>
      </c>
      <c r="O57" s="612" t="s">
        <v>63</v>
      </c>
      <c r="P57" s="620">
        <f>ifna(vlookup(A57,'Population &amp; Church Numbers'!$A$1657:$D$1749,4,FALSE),"NULL")</f>
        <v>193</v>
      </c>
      <c r="Q57" s="1062">
        <f>vlookup(A57,'NE Data'!$A$419:$B$513,2,FALSE)</f>
        <v>0.6961</v>
      </c>
    </row>
    <row r="58">
      <c r="A58" s="609" t="s">
        <v>290</v>
      </c>
      <c r="B58" s="610">
        <f t="array" ref="B58">VLOOKUP($A58,NE_DEMO,2,FALSE)</f>
        <v>34676</v>
      </c>
      <c r="C58" s="611">
        <f>if(VLOOKUP($A58,'NE Data'!$A$3:$B$97,2,FALSE)="--","NULL",VLOOKUP($A58,'NE Data'!$A$3:$B$97,2,FALSE))</f>
        <v>140</v>
      </c>
      <c r="D58" s="612">
        <f>vlookup(A58,'NE Data'!$A$104:$C$198,3,FALSE)</f>
        <v>1.98</v>
      </c>
      <c r="E58" s="612">
        <f>if(VLOOKUP($A58,'NE Data'!$A$3:$G$97,3,FALSE)="--","NULL",VLOOKUP($A58,'NE Data'!$A$3:$G$97,3,FALSE))</f>
        <v>33</v>
      </c>
      <c r="F58" s="612">
        <f>if(VLOOKUP($A58,'NE Data'!$A$3:$G$97,4,FALSE)="--","NULL",VLOOKUP($A58,'NE Data'!$A$3:$G$97,4,FALSE))</f>
        <v>100</v>
      </c>
      <c r="G58" s="612" t="s">
        <v>63</v>
      </c>
      <c r="H58" s="671">
        <f>vlookup(A58,'NE Data'!$A$104:$C$198,2,FALSE)</f>
        <v>66</v>
      </c>
      <c r="I58" s="614">
        <f>if(vlookup(A58,'NE Data'!$A$210:$B$304,2,FALSE)="*","NULL",vlookup(A58,'NE Data'!$A$210:$B$304,2,FALSE))</f>
        <v>20</v>
      </c>
      <c r="J58" s="615" t="s">
        <v>63</v>
      </c>
      <c r="K58" s="1061">
        <f>iferror(VLOOKUP($A58,'NE Data'!$A$3:$I$97,9,FALSE),"NULL")</f>
        <v>0.5904761905</v>
      </c>
      <c r="L58" s="612">
        <f>if(vlookup(A58,'NE Data'!$A$312:$B$406,2,FALSE)="*","NULL",vlookup(A58,'NE Data'!$A$312:$B$406,2,FALSE))</f>
        <v>33</v>
      </c>
      <c r="M58" s="614" t="s">
        <v>63</v>
      </c>
      <c r="N58" s="612" t="s">
        <v>63</v>
      </c>
      <c r="O58" s="612" t="s">
        <v>63</v>
      </c>
      <c r="P58" s="620">
        <f>ifna(vlookup(A58,'Population &amp; Church Numbers'!$A$1657:$D$1749,4,FALSE),"NULL")</f>
        <v>50</v>
      </c>
      <c r="Q58" s="1062">
        <f>vlookup(A58,'NE Data'!$A$419:$B$513,2,FALSE)</f>
        <v>0.7037</v>
      </c>
    </row>
    <row r="59">
      <c r="A59" s="609" t="s">
        <v>293</v>
      </c>
      <c r="B59" s="610">
        <f t="array" ref="B59">VLOOKUP($A59,NE_DEMO,2,FALSE)</f>
        <v>716</v>
      </c>
      <c r="C59" s="611" t="str">
        <f>if(VLOOKUP($A59,'NE Data'!$A$3:$B$97,2,FALSE)="--","NULL",VLOOKUP($A59,'NE Data'!$A$3:$B$97,2,FALSE))</f>
        <v>NULL</v>
      </c>
      <c r="D59" s="612">
        <f>vlookup(A59,'NE Data'!$A$104:$C$198,3,FALSE)</f>
        <v>0</v>
      </c>
      <c r="E59" s="612" t="str">
        <f>if(VLOOKUP($A59,'NE Data'!$A$3:$G$97,3,FALSE)="--","NULL",VLOOKUP($A59,'NE Data'!$A$3:$G$97,3,FALSE))</f>
        <v>NULL</v>
      </c>
      <c r="F59" s="612" t="str">
        <f>if(VLOOKUP($A59,'NE Data'!$A$3:$G$97,4,FALSE)="--","NULL",VLOOKUP($A59,'NE Data'!$A$3:$G$97,4,FALSE))</f>
        <v>NULL</v>
      </c>
      <c r="G59" s="612" t="s">
        <v>63</v>
      </c>
      <c r="H59" s="671">
        <f>vlookup(A59,'NE Data'!$A$104:$C$198,2,FALSE)</f>
        <v>0</v>
      </c>
      <c r="I59" s="614">
        <f>if(vlookup(A59,'NE Data'!$A$210:$B$304,2,FALSE)="*","NULL",vlookup(A59,'NE Data'!$A$210:$B$304,2,FALSE))</f>
        <v>0</v>
      </c>
      <c r="J59" s="615" t="s">
        <v>63</v>
      </c>
      <c r="K59" s="1061" t="str">
        <f>iferror(VLOOKUP($A59,'NE Data'!$A$3:$I$97,9,FALSE),"NULL")</f>
        <v>NULL</v>
      </c>
      <c r="L59" s="612" t="str">
        <f>if(vlookup(A59,'NE Data'!$A$312:$B$406,2,FALSE)="*","NULL",vlookup(A59,'NE Data'!$A$312:$B$406,2,FALSE))</f>
        <v>NULL</v>
      </c>
      <c r="M59" s="614" t="s">
        <v>63</v>
      </c>
      <c r="N59" s="612" t="s">
        <v>63</v>
      </c>
      <c r="O59" s="612" t="s">
        <v>63</v>
      </c>
      <c r="P59" s="620">
        <f>ifna(vlookup(A59,'Population &amp; Church Numbers'!$A$1657:$D$1749,4,FALSE),"NULL")</f>
        <v>3</v>
      </c>
      <c r="Q59" s="1062" t="str">
        <f>vlookup(A59,'NE Data'!$A$419:$B$513,2,FALSE)</f>
        <v>NULL</v>
      </c>
    </row>
    <row r="60">
      <c r="A60" s="609" t="s">
        <v>1492</v>
      </c>
      <c r="B60" s="610">
        <f t="array" ref="B60">VLOOKUP($A60,NE_DEMO,2,FALSE)</f>
        <v>607</v>
      </c>
      <c r="C60" s="611" t="str">
        <f>if(VLOOKUP($A60,'NE Data'!$A$3:$B$97,2,FALSE)="--","NULL",VLOOKUP($A60,'NE Data'!$A$3:$B$97,2,FALSE))</f>
        <v>NULL</v>
      </c>
      <c r="D60" s="612">
        <f>vlookup(A60,'NE Data'!$A$104:$C$198,3,FALSE)</f>
        <v>1</v>
      </c>
      <c r="E60" s="612" t="str">
        <f>if(VLOOKUP($A60,'NE Data'!$A$3:$G$97,3,FALSE)="--","NULL",VLOOKUP($A60,'NE Data'!$A$3:$G$97,3,FALSE))</f>
        <v>NULL</v>
      </c>
      <c r="F60" s="612" t="str">
        <f>if(VLOOKUP($A60,'NE Data'!$A$3:$G$97,4,FALSE)="--","NULL",VLOOKUP($A60,'NE Data'!$A$3:$G$97,4,FALSE))</f>
        <v>NULL</v>
      </c>
      <c r="G60" s="612" t="s">
        <v>63</v>
      </c>
      <c r="H60" s="671">
        <f>vlookup(A60,'NE Data'!$A$104:$C$198,2,FALSE)</f>
        <v>1</v>
      </c>
      <c r="I60" s="614">
        <f>if(vlookup(A60,'NE Data'!$A$210:$B$304,2,FALSE)="*","NULL",vlookup(A60,'NE Data'!$A$210:$B$304,2,FALSE))</f>
        <v>0</v>
      </c>
      <c r="J60" s="615" t="s">
        <v>63</v>
      </c>
      <c r="K60" s="1061" t="str">
        <f>iferror(VLOOKUP($A60,'NE Data'!$A$3:$I$97,9,FALSE),"NULL")</f>
        <v>NULL</v>
      </c>
      <c r="L60" s="612" t="str">
        <f>if(vlookup(A60,'NE Data'!$A$312:$B$406,2,FALSE)="*","NULL",vlookup(A60,'NE Data'!$A$312:$B$406,2,FALSE))</f>
        <v>NULL</v>
      </c>
      <c r="M60" s="614" t="s">
        <v>63</v>
      </c>
      <c r="N60" s="612" t="s">
        <v>63</v>
      </c>
      <c r="O60" s="612" t="s">
        <v>63</v>
      </c>
      <c r="P60" s="620">
        <f>ifna(vlookup(A60,'Population &amp; Church Numbers'!$A$1657:$D$1749,4,FALSE),"NULL")</f>
        <v>4</v>
      </c>
      <c r="Q60" s="1062" t="str">
        <f>vlookup(A60,'NE Data'!$A$419:$B$513,2,FALSE)</f>
        <v>NULL</v>
      </c>
    </row>
    <row r="61">
      <c r="A61" s="609" t="s">
        <v>988</v>
      </c>
      <c r="B61" s="610">
        <f t="array" ref="B61">VLOOKUP($A61,NE_DEMO,2,FALSE)</f>
        <v>399</v>
      </c>
      <c r="C61" s="611">
        <f>if(VLOOKUP($A61,'NE Data'!$A$3:$B$97,2,FALSE)="--","NULL",VLOOKUP($A61,'NE Data'!$A$3:$B$97,2,FALSE))</f>
        <v>67</v>
      </c>
      <c r="D61" s="612">
        <f>vlookup(A61,'NE Data'!$A$104:$C$198,3,FALSE)</f>
        <v>0</v>
      </c>
      <c r="E61" s="612">
        <f>if(VLOOKUP($A61,'NE Data'!$A$3:$G$97,3,FALSE)="--","NULL",VLOOKUP($A61,'NE Data'!$A$3:$G$97,3,FALSE))</f>
        <v>21</v>
      </c>
      <c r="F61" s="612">
        <f>if(VLOOKUP($A61,'NE Data'!$A$3:$G$97,4,FALSE)="--","NULL",VLOOKUP($A61,'NE Data'!$A$3:$G$97,4,FALSE))</f>
        <v>43</v>
      </c>
      <c r="G61" s="612" t="s">
        <v>63</v>
      </c>
      <c r="H61" s="671">
        <f>vlookup(A61,'NE Data'!$A$104:$C$198,2,FALSE)</f>
        <v>0</v>
      </c>
      <c r="I61" s="614">
        <f>if(vlookup(A61,'NE Data'!$A$210:$B$304,2,FALSE)="*","NULL",vlookup(A61,'NE Data'!$A$210:$B$304,2,FALSE))</f>
        <v>0</v>
      </c>
      <c r="J61" s="615" t="s">
        <v>63</v>
      </c>
      <c r="K61" s="1061">
        <f>iferror(VLOOKUP($A61,'NE Data'!$A$3:$I$97,9,FALSE),"NULL")</f>
        <v>0.5737704918</v>
      </c>
      <c r="L61" s="612">
        <f>if(vlookup(A61,'NE Data'!$A$312:$B$406,2,FALSE)="*","NULL",vlookup(A61,'NE Data'!$A$312:$B$406,2,FALSE))</f>
        <v>0</v>
      </c>
      <c r="M61" s="614" t="s">
        <v>63</v>
      </c>
      <c r="N61" s="612" t="s">
        <v>63</v>
      </c>
      <c r="O61" s="612" t="s">
        <v>63</v>
      </c>
      <c r="P61" s="620">
        <f>ifna(vlookup(A61,'Population &amp; Church Numbers'!$A$1657:$D$1749,4,FALSE),"NULL")</f>
        <v>1</v>
      </c>
      <c r="Q61" s="1062" t="str">
        <f>vlookup(A61,'NE Data'!$A$419:$B$513,2,FALSE)</f>
        <v>NULL</v>
      </c>
    </row>
    <row r="62">
      <c r="A62" s="609" t="s">
        <v>151</v>
      </c>
      <c r="B62" s="610">
        <f t="array" ref="B62">VLOOKUP($A62,NE_DEMO,2,FALSE)</f>
        <v>35585</v>
      </c>
      <c r="C62" s="611" t="str">
        <f>if(VLOOKUP($A62,'NE Data'!$A$3:$B$97,2,FALSE)="--","NULL",VLOOKUP($A62,'NE Data'!$A$3:$B$97,2,FALSE))</f>
        <v>NULL</v>
      </c>
      <c r="D62" s="612">
        <f>vlookup(A62,'NE Data'!$A$104:$C$198,3,FALSE)</f>
        <v>2.22</v>
      </c>
      <c r="E62" s="612" t="str">
        <f>if(VLOOKUP($A62,'NE Data'!$A$3:$G$97,3,FALSE)="--","NULL",VLOOKUP($A62,'NE Data'!$A$3:$G$97,3,FALSE))</f>
        <v>NULL</v>
      </c>
      <c r="F62" s="612" t="str">
        <f>if(VLOOKUP($A62,'NE Data'!$A$3:$G$97,4,FALSE)="--","NULL",VLOOKUP($A62,'NE Data'!$A$3:$G$97,4,FALSE))</f>
        <v>NULL</v>
      </c>
      <c r="G62" s="612" t="s">
        <v>63</v>
      </c>
      <c r="H62" s="671">
        <f>vlookup(A62,'NE Data'!$A$104:$C$198,2,FALSE)</f>
        <v>41</v>
      </c>
      <c r="I62" s="614">
        <f>if(vlookup(A62,'NE Data'!$A$210:$B$304,2,FALSE)="*","NULL",vlookup(A62,'NE Data'!$A$210:$B$304,2,FALSE))</f>
        <v>7</v>
      </c>
      <c r="J62" s="615" t="s">
        <v>63</v>
      </c>
      <c r="K62" s="1061" t="str">
        <f>iferror(VLOOKUP($A62,'NE Data'!$A$3:$I$97,9,FALSE),"NULL")</f>
        <v>NULL</v>
      </c>
      <c r="L62" s="612">
        <f>if(vlookup(A62,'NE Data'!$A$312:$B$406,2,FALSE)="*","NULL",vlookup(A62,'NE Data'!$A$312:$B$406,2,FALSE))</f>
        <v>20</v>
      </c>
      <c r="M62" s="614" t="s">
        <v>63</v>
      </c>
      <c r="N62" s="612" t="s">
        <v>63</v>
      </c>
      <c r="O62" s="612" t="s">
        <v>63</v>
      </c>
      <c r="P62" s="620">
        <f>ifna(vlookup(A62,'Population &amp; Church Numbers'!$A$1657:$D$1749,4,FALSE),"NULL")</f>
        <v>43</v>
      </c>
      <c r="Q62" s="1062">
        <f>vlookup(A62,'NE Data'!$A$419:$B$513,2,FALSE)</f>
        <v>0.6786</v>
      </c>
    </row>
    <row r="63">
      <c r="A63" s="609" t="s">
        <v>1493</v>
      </c>
      <c r="B63" s="610">
        <f t="array" ref="B63">VLOOKUP($A63,NE_DEMO,2,FALSE)</f>
        <v>7668</v>
      </c>
      <c r="C63" s="611" t="str">
        <f>if(VLOOKUP($A63,'NE Data'!$A$3:$B$97,2,FALSE)="--","NULL",VLOOKUP($A63,'NE Data'!$A$3:$B$97,2,FALSE))</f>
        <v>NULL</v>
      </c>
      <c r="D63" s="612">
        <f>vlookup(A63,'NE Data'!$A$104:$C$198,3,FALSE)</f>
        <v>2.33</v>
      </c>
      <c r="E63" s="612" t="str">
        <f>if(VLOOKUP($A63,'NE Data'!$A$3:$G$97,3,FALSE)="--","NULL",VLOOKUP($A63,'NE Data'!$A$3:$G$97,3,FALSE))</f>
        <v>NULL</v>
      </c>
      <c r="F63" s="612" t="str">
        <f>if(VLOOKUP($A63,'NE Data'!$A$3:$G$97,4,FALSE)="--","NULL",VLOOKUP($A63,'NE Data'!$A$3:$G$97,4,FALSE))</f>
        <v>NULL</v>
      </c>
      <c r="G63" s="612" t="s">
        <v>63</v>
      </c>
      <c r="H63" s="671">
        <f>vlookup(A63,'NE Data'!$A$104:$C$198,2,FALSE)</f>
        <v>9</v>
      </c>
      <c r="I63" s="614">
        <f>if(vlookup(A63,'NE Data'!$A$210:$B$304,2,FALSE)="*","NULL",vlookup(A63,'NE Data'!$A$210:$B$304,2,FALSE))</f>
        <v>0</v>
      </c>
      <c r="J63" s="615" t="s">
        <v>63</v>
      </c>
      <c r="K63" s="1061" t="str">
        <f>iferror(VLOOKUP($A63,'NE Data'!$A$3:$I$97,9,FALSE),"NULL")</f>
        <v>NULL</v>
      </c>
      <c r="L63" s="612" t="str">
        <f>if(vlookup(A63,'NE Data'!$A$312:$B$406,2,FALSE)="*","NULL",vlookup(A63,'NE Data'!$A$312:$B$406,2,FALSE))</f>
        <v>NULL</v>
      </c>
      <c r="M63" s="614" t="s">
        <v>63</v>
      </c>
      <c r="N63" s="612" t="s">
        <v>63</v>
      </c>
      <c r="O63" s="612" t="s">
        <v>63</v>
      </c>
      <c r="P63" s="620">
        <f>ifna(vlookup(A63,'Population &amp; Church Numbers'!$A$1657:$D$1749,4,FALSE),"NULL")</f>
        <v>16</v>
      </c>
      <c r="Q63" s="1062">
        <f>vlookup(A63,'NE Data'!$A$419:$B$513,2,FALSE)</f>
        <v>0.8</v>
      </c>
    </row>
    <row r="64">
      <c r="A64" s="609" t="s">
        <v>1494</v>
      </c>
      <c r="B64" s="610">
        <f t="array" ref="B64">VLOOKUP($A64,NE_DEMO,2,FALSE)</f>
        <v>4555</v>
      </c>
      <c r="C64" s="611" t="str">
        <f>if(VLOOKUP($A64,'NE Data'!$A$3:$B$97,2,FALSE)="--","NULL",VLOOKUP($A64,'NE Data'!$A$3:$B$97,2,FALSE))</f>
        <v>NULL</v>
      </c>
      <c r="D64" s="612">
        <f>vlookup(A64,'NE Data'!$A$104:$C$198,3,FALSE)</f>
        <v>1.4</v>
      </c>
      <c r="E64" s="612" t="str">
        <f>if(VLOOKUP($A64,'NE Data'!$A$3:$G$97,3,FALSE)="--","NULL",VLOOKUP($A64,'NE Data'!$A$3:$G$97,3,FALSE))</f>
        <v>NULL</v>
      </c>
      <c r="F64" s="612" t="str">
        <f>if(VLOOKUP($A64,'NE Data'!$A$3:$G$97,4,FALSE)="--","NULL",VLOOKUP($A64,'NE Data'!$A$3:$G$97,4,FALSE))</f>
        <v>NULL</v>
      </c>
      <c r="G64" s="612" t="s">
        <v>63</v>
      </c>
      <c r="H64" s="671">
        <f>vlookup(A64,'NE Data'!$A$104:$C$198,2,FALSE)</f>
        <v>10</v>
      </c>
      <c r="I64" s="614" t="str">
        <f>if(vlookup(A64,'NE Data'!$A$210:$B$304,2,FALSE)="*","NULL",vlookup(A64,'NE Data'!$A$210:$B$304,2,FALSE))</f>
        <v>NULL</v>
      </c>
      <c r="J64" s="615" t="s">
        <v>63</v>
      </c>
      <c r="K64" s="1061" t="str">
        <f>iferror(VLOOKUP($A64,'NE Data'!$A$3:$I$97,9,FALSE),"NULL")</f>
        <v>NULL</v>
      </c>
      <c r="L64" s="612" t="str">
        <f>if(vlookup(A64,'NE Data'!$A$312:$B$406,2,FALSE)="*","NULL",vlookup(A64,'NE Data'!$A$312:$B$406,2,FALSE))</f>
        <v>NULL</v>
      </c>
      <c r="M64" s="614" t="s">
        <v>63</v>
      </c>
      <c r="N64" s="612" t="s">
        <v>63</v>
      </c>
      <c r="O64" s="612" t="s">
        <v>63</v>
      </c>
      <c r="P64" s="620">
        <f>ifna(vlookup(A64,'Population &amp; Church Numbers'!$A$1657:$D$1749,4,FALSE),"NULL")</f>
        <v>12</v>
      </c>
      <c r="Q64" s="1062">
        <f>vlookup(A64,'NE Data'!$A$419:$B$513,2,FALSE)</f>
        <v>0.6</v>
      </c>
    </row>
    <row r="65">
      <c r="A65" s="609" t="s">
        <v>1495</v>
      </c>
      <c r="B65" s="610">
        <f t="array" ref="B65">VLOOKUP($A65,NE_DEMO,2,FALSE)</f>
        <v>3380</v>
      </c>
      <c r="C65" s="611" t="str">
        <f>if(VLOOKUP($A65,'NE Data'!$A$3:$B$97,2,FALSE)="--","NULL",VLOOKUP($A65,'NE Data'!$A$3:$B$97,2,FALSE))</f>
        <v>NULL</v>
      </c>
      <c r="D65" s="612">
        <f>vlookup(A65,'NE Data'!$A$104:$C$198,3,FALSE)</f>
        <v>2.5</v>
      </c>
      <c r="E65" s="612" t="str">
        <f>if(VLOOKUP($A65,'NE Data'!$A$3:$G$97,3,FALSE)="--","NULL",VLOOKUP($A65,'NE Data'!$A$3:$G$97,3,FALSE))</f>
        <v>NULL</v>
      </c>
      <c r="F65" s="612" t="str">
        <f>if(VLOOKUP($A65,'NE Data'!$A$3:$G$97,4,FALSE)="--","NULL",VLOOKUP($A65,'NE Data'!$A$3:$G$97,4,FALSE))</f>
        <v>NULL</v>
      </c>
      <c r="G65" s="612" t="s">
        <v>63</v>
      </c>
      <c r="H65" s="671">
        <f>vlookup(A65,'NE Data'!$A$104:$C$198,2,FALSE)</f>
        <v>2</v>
      </c>
      <c r="I65" s="614">
        <f>if(vlookup(A65,'NE Data'!$A$210:$B$304,2,FALSE)="*","NULL",vlookup(A65,'NE Data'!$A$210:$B$304,2,FALSE))</f>
        <v>0</v>
      </c>
      <c r="J65" s="615" t="s">
        <v>63</v>
      </c>
      <c r="K65" s="1061" t="str">
        <f>iferror(VLOOKUP($A65,'NE Data'!$A$3:$I$97,9,FALSE),"NULL")</f>
        <v>NULL</v>
      </c>
      <c r="L65" s="612" t="str">
        <f>if(vlookup(A65,'NE Data'!$A$312:$B$406,2,FALSE)="*","NULL",vlookup(A65,'NE Data'!$A$312:$B$406,2,FALSE))</f>
        <v>NULL</v>
      </c>
      <c r="M65" s="614" t="s">
        <v>63</v>
      </c>
      <c r="N65" s="612" t="s">
        <v>63</v>
      </c>
      <c r="O65" s="612" t="s">
        <v>63</v>
      </c>
      <c r="P65" s="620">
        <f>ifna(vlookup(A65,'Population &amp; Church Numbers'!$A$1657:$D$1749,4,FALSE),"NULL")</f>
        <v>4</v>
      </c>
      <c r="Q65" s="1062">
        <f>vlookup(A65,'NE Data'!$A$419:$B$513,2,FALSE)</f>
        <v>0.6667</v>
      </c>
    </row>
    <row r="66">
      <c r="A66" s="609" t="s">
        <v>992</v>
      </c>
      <c r="B66" s="610">
        <f t="array" ref="B66">VLOOKUP($A66,NE_DEMO,2,FALSE)</f>
        <v>7074</v>
      </c>
      <c r="C66" s="611" t="str">
        <f>if(VLOOKUP($A66,'NE Data'!$A$3:$B$97,2,FALSE)="--","NULL",VLOOKUP($A66,'NE Data'!$A$3:$B$97,2,FALSE))</f>
        <v>NULL</v>
      </c>
      <c r="D66" s="612">
        <f>vlookup(A66,'NE Data'!$A$104:$C$198,3,FALSE)</f>
        <v>1.8</v>
      </c>
      <c r="E66" s="612" t="str">
        <f>if(VLOOKUP($A66,'NE Data'!$A$3:$G$97,3,FALSE)="--","NULL",VLOOKUP($A66,'NE Data'!$A$3:$G$97,3,FALSE))</f>
        <v>NULL</v>
      </c>
      <c r="F66" s="612" t="str">
        <f>if(VLOOKUP($A66,'NE Data'!$A$3:$G$97,4,FALSE)="--","NULL",VLOOKUP($A66,'NE Data'!$A$3:$G$97,4,FALSE))</f>
        <v>NULL</v>
      </c>
      <c r="G66" s="612" t="s">
        <v>63</v>
      </c>
      <c r="H66" s="671">
        <f>vlookup(A66,'NE Data'!$A$104:$C$198,2,FALSE)</f>
        <v>5</v>
      </c>
      <c r="I66" s="614" t="str">
        <f>if(vlookup(A66,'NE Data'!$A$210:$B$304,2,FALSE)="*","NULL",vlookup(A66,'NE Data'!$A$210:$B$304,2,FALSE))</f>
        <v>NULL</v>
      </c>
      <c r="J66" s="615" t="s">
        <v>63</v>
      </c>
      <c r="K66" s="1061" t="str">
        <f>iferror(VLOOKUP($A66,'NE Data'!$A$3:$I$97,9,FALSE),"NULL")</f>
        <v>NULL</v>
      </c>
      <c r="L66" s="612" t="str">
        <f>if(vlookup(A66,'NE Data'!$A$312:$B$406,2,FALSE)="*","NULL",vlookup(A66,'NE Data'!$A$312:$B$406,2,FALSE))</f>
        <v>NULL</v>
      </c>
      <c r="M66" s="614" t="s">
        <v>63</v>
      </c>
      <c r="N66" s="612" t="s">
        <v>63</v>
      </c>
      <c r="O66" s="612" t="s">
        <v>63</v>
      </c>
      <c r="P66" s="620">
        <f>ifna(vlookup(A66,'Population &amp; Church Numbers'!$A$1657:$D$1749,4,FALSE),"NULL")</f>
        <v>13</v>
      </c>
      <c r="Q66" s="1062">
        <f>vlookup(A66,'NE Data'!$A$419:$B$513,2,FALSE)</f>
        <v>0.3333</v>
      </c>
    </row>
    <row r="67">
      <c r="A67" s="609" t="s">
        <v>1496</v>
      </c>
      <c r="B67" s="610">
        <f t="array" ref="B67">VLOOKUP($A67,NE_DEMO,2,FALSE)</f>
        <v>4095</v>
      </c>
      <c r="C67" s="611" t="str">
        <f>if(VLOOKUP($A67,'NE Data'!$A$3:$B$97,2,FALSE)="--","NULL",VLOOKUP($A67,'NE Data'!$A$3:$B$97,2,FALSE))</f>
        <v>NULL</v>
      </c>
      <c r="D67" s="612">
        <f>vlookup(A67,'NE Data'!$A$104:$C$198,3,FALSE)</f>
        <v>1.75</v>
      </c>
      <c r="E67" s="612" t="str">
        <f>if(VLOOKUP($A67,'NE Data'!$A$3:$G$97,3,FALSE)="--","NULL",VLOOKUP($A67,'NE Data'!$A$3:$G$97,3,FALSE))</f>
        <v>NULL</v>
      </c>
      <c r="F67" s="612" t="str">
        <f>if(VLOOKUP($A67,'NE Data'!$A$3:$G$97,4,FALSE)="--","NULL",VLOOKUP($A67,'NE Data'!$A$3:$G$97,4,FALSE))</f>
        <v>NULL</v>
      </c>
      <c r="G67" s="612" t="s">
        <v>63</v>
      </c>
      <c r="H67" s="671">
        <f>vlookup(A67,'NE Data'!$A$104:$C$198,2,FALSE)</f>
        <v>4</v>
      </c>
      <c r="I67" s="614" t="str">
        <f>if(vlookup(A67,'NE Data'!$A$210:$B$304,2,FALSE)="*","NULL",vlookup(A67,'NE Data'!$A$210:$B$304,2,FALSE))</f>
        <v>NULL</v>
      </c>
      <c r="J67" s="615" t="s">
        <v>63</v>
      </c>
      <c r="K67" s="1061" t="str">
        <f>iferror(VLOOKUP($A67,'NE Data'!$A$3:$I$97,9,FALSE),"NULL")</f>
        <v>NULL</v>
      </c>
      <c r="L67" s="612" t="str">
        <f>if(vlookup(A67,'NE Data'!$A$312:$B$406,2,FALSE)="*","NULL",vlookup(A67,'NE Data'!$A$312:$B$406,2,FALSE))</f>
        <v>NULL</v>
      </c>
      <c r="M67" s="614" t="s">
        <v>63</v>
      </c>
      <c r="N67" s="612" t="s">
        <v>63</v>
      </c>
      <c r="O67" s="612" t="s">
        <v>63</v>
      </c>
      <c r="P67" s="620">
        <f>ifna(vlookup(A67,'Population &amp; Church Numbers'!$A$1657:$D$1749,4,FALSE),"NULL")</f>
        <v>16</v>
      </c>
      <c r="Q67" s="1062">
        <f>vlookup(A67,'NE Data'!$A$419:$B$513,2,FALSE)</f>
        <v>1</v>
      </c>
    </row>
    <row r="68">
      <c r="A68" s="609" t="s">
        <v>1497</v>
      </c>
      <c r="B68" s="610">
        <f t="array" ref="B68">VLOOKUP($A68,NE_DEMO,2,FALSE)</f>
        <v>15912</v>
      </c>
      <c r="C68" s="611">
        <f>if(VLOOKUP($A68,'NE Data'!$A$3:$B$97,2,FALSE)="--","NULL",VLOOKUP($A68,'NE Data'!$A$3:$B$97,2,FALSE))</f>
        <v>14</v>
      </c>
      <c r="D68" s="612">
        <f>vlookup(A68,'NE Data'!$A$104:$C$198,3,FALSE)</f>
        <v>1.8</v>
      </c>
      <c r="E68" s="612" t="str">
        <f>if(VLOOKUP($A68,'NE Data'!$A$3:$G$97,3,FALSE)="--","NULL",VLOOKUP($A68,'NE Data'!$A$3:$G$97,3,FALSE))</f>
        <v>NULL</v>
      </c>
      <c r="F68" s="612" t="str">
        <f>if(VLOOKUP($A68,'NE Data'!$A$3:$G$97,4,FALSE)="--","NULL",VLOOKUP($A68,'NE Data'!$A$3:$G$97,4,FALSE))</f>
        <v>NULL</v>
      </c>
      <c r="G68" s="612" t="s">
        <v>63</v>
      </c>
      <c r="H68" s="671">
        <f>vlookup(A68,'NE Data'!$A$104:$C$198,2,FALSE)</f>
        <v>15</v>
      </c>
      <c r="I68" s="614">
        <f>if(vlookup(A68,'NE Data'!$A$210:$B$304,2,FALSE)="*","NULL",vlookup(A68,'NE Data'!$A$210:$B$304,2,FALSE))</f>
        <v>7</v>
      </c>
      <c r="J68" s="615" t="s">
        <v>63</v>
      </c>
      <c r="K68" s="1061" t="str">
        <f>iferror(VLOOKUP($A68,'NE Data'!$A$3:$I$97,9,FALSE),"NULL")</f>
        <v>NULL</v>
      </c>
      <c r="L68" s="612">
        <f>if(vlookup(A68,'NE Data'!$A$312:$B$406,2,FALSE)="*","NULL",vlookup(A68,'NE Data'!$A$312:$B$406,2,FALSE))</f>
        <v>8</v>
      </c>
      <c r="M68" s="614" t="s">
        <v>63</v>
      </c>
      <c r="N68" s="612" t="s">
        <v>63</v>
      </c>
      <c r="O68" s="612" t="s">
        <v>63</v>
      </c>
      <c r="P68" s="620">
        <f>ifna(vlookup(A68,'Population &amp; Church Numbers'!$A$1657:$D$1749,4,FALSE),"NULL")</f>
        <v>33</v>
      </c>
      <c r="Q68" s="1062">
        <f>vlookup(A68,'NE Data'!$A$419:$B$513,2,FALSE)</f>
        <v>0.5333</v>
      </c>
    </row>
    <row r="69">
      <c r="A69" s="609" t="s">
        <v>999</v>
      </c>
      <c r="B69" s="610">
        <f t="array" ref="B69">VLOOKUP($A69,NE_DEMO,2,FALSE)</f>
        <v>2544</v>
      </c>
      <c r="C69" s="611" t="str">
        <f>if(VLOOKUP($A69,'NE Data'!$A$3:$B$97,2,FALSE)="--","NULL",VLOOKUP($A69,'NE Data'!$A$3:$B$97,2,FALSE))</f>
        <v>NULL</v>
      </c>
      <c r="D69" s="612">
        <f>vlookup(A69,'NE Data'!$A$104:$C$198,3,FALSE)</f>
        <v>1.2</v>
      </c>
      <c r="E69" s="612" t="str">
        <f>if(VLOOKUP($A69,'NE Data'!$A$3:$G$97,3,FALSE)="--","NULL",VLOOKUP($A69,'NE Data'!$A$3:$G$97,3,FALSE))</f>
        <v>NULL</v>
      </c>
      <c r="F69" s="612" t="str">
        <f>if(VLOOKUP($A69,'NE Data'!$A$3:$G$97,4,FALSE)="--","NULL",VLOOKUP($A69,'NE Data'!$A$3:$G$97,4,FALSE))</f>
        <v>NULL</v>
      </c>
      <c r="G69" s="612" t="s">
        <v>63</v>
      </c>
      <c r="H69" s="671">
        <f>vlookup(A69,'NE Data'!$A$104:$C$198,2,FALSE)</f>
        <v>5</v>
      </c>
      <c r="I69" s="614">
        <f>if(vlookup(A69,'NE Data'!$A$210:$B$304,2,FALSE)="*","NULL",vlookup(A69,'NE Data'!$A$210:$B$304,2,FALSE))</f>
        <v>0</v>
      </c>
      <c r="J69" s="615" t="s">
        <v>63</v>
      </c>
      <c r="K69" s="1061" t="str">
        <f>iferror(VLOOKUP($A69,'NE Data'!$A$3:$I$97,9,FALSE),"NULL")</f>
        <v>NULL</v>
      </c>
      <c r="L69" s="612" t="str">
        <f>if(vlookup(A69,'NE Data'!$A$312:$B$406,2,FALSE)="*","NULL",vlookup(A69,'NE Data'!$A$312:$B$406,2,FALSE))</f>
        <v>NULL</v>
      </c>
      <c r="M69" s="614" t="s">
        <v>63</v>
      </c>
      <c r="N69" s="612" t="s">
        <v>63</v>
      </c>
      <c r="O69" s="612" t="s">
        <v>63</v>
      </c>
      <c r="P69" s="620">
        <f>ifna(vlookup(A69,'Population &amp; Church Numbers'!$A$1657:$D$1749,4,FALSE),"NULL")</f>
        <v>6</v>
      </c>
      <c r="Q69" s="1062">
        <f>vlookup(A69,'NE Data'!$A$419:$B$513,2,FALSE)</f>
        <v>1</v>
      </c>
    </row>
    <row r="70">
      <c r="A70" s="609" t="s">
        <v>1498</v>
      </c>
      <c r="B70" s="610">
        <f t="array" ref="B70">VLOOKUP($A70,NE_DEMO,2,FALSE)</f>
        <v>2858</v>
      </c>
      <c r="C70" s="611" t="str">
        <f>if(VLOOKUP($A70,'NE Data'!$A$3:$B$97,2,FALSE)="--","NULL",VLOOKUP($A70,'NE Data'!$A$3:$B$97,2,FALSE))</f>
        <v>NULL</v>
      </c>
      <c r="D70" s="612">
        <f>vlookup(A70,'NE Data'!$A$104:$C$198,3,FALSE)</f>
        <v>2.5</v>
      </c>
      <c r="E70" s="612" t="str">
        <f>if(VLOOKUP($A70,'NE Data'!$A$3:$G$97,3,FALSE)="--","NULL",VLOOKUP($A70,'NE Data'!$A$3:$G$97,3,FALSE))</f>
        <v>NULL</v>
      </c>
      <c r="F70" s="612" t="str">
        <f>if(VLOOKUP($A70,'NE Data'!$A$3:$G$97,4,FALSE)="--","NULL",VLOOKUP($A70,'NE Data'!$A$3:$G$97,4,FALSE))</f>
        <v>NULL</v>
      </c>
      <c r="G70" s="612" t="s">
        <v>63</v>
      </c>
      <c r="H70" s="671">
        <f>vlookup(A70,'NE Data'!$A$104:$C$198,2,FALSE)</f>
        <v>2</v>
      </c>
      <c r="I70" s="614">
        <f>if(vlookup(A70,'NE Data'!$A$210:$B$304,2,FALSE)="*","NULL",vlookup(A70,'NE Data'!$A$210:$B$304,2,FALSE))</f>
        <v>0</v>
      </c>
      <c r="J70" s="615" t="s">
        <v>63</v>
      </c>
      <c r="K70" s="1061" t="str">
        <f>iferror(VLOOKUP($A70,'NE Data'!$A$3:$I$97,9,FALSE),"NULL")</f>
        <v>NULL</v>
      </c>
      <c r="L70" s="612" t="str">
        <f>if(vlookup(A70,'NE Data'!$A$312:$B$406,2,FALSE)="*","NULL",vlookup(A70,'NE Data'!$A$312:$B$406,2,FALSE))</f>
        <v>NULL</v>
      </c>
      <c r="M70" s="614" t="s">
        <v>63</v>
      </c>
      <c r="N70" s="612" t="s">
        <v>63</v>
      </c>
      <c r="O70" s="612" t="s">
        <v>63</v>
      </c>
      <c r="P70" s="620">
        <f>ifna(vlookup(A70,'Population &amp; Church Numbers'!$A$1657:$D$1749,4,FALSE),"NULL")</f>
        <v>10</v>
      </c>
      <c r="Q70" s="1062">
        <f>vlookup(A70,'NE Data'!$A$419:$B$513,2,FALSE)</f>
        <v>1</v>
      </c>
    </row>
    <row r="71">
      <c r="A71" s="609" t="s">
        <v>1418</v>
      </c>
      <c r="B71" s="610">
        <f t="array" ref="B71">VLOOKUP($A71,NE_DEMO,2,FALSE)</f>
        <v>8968</v>
      </c>
      <c r="C71" s="611">
        <f>if(VLOOKUP($A71,'NE Data'!$A$3:$B$97,2,FALSE)="--","NULL",VLOOKUP($A71,'NE Data'!$A$3:$B$97,2,FALSE))</f>
        <v>16</v>
      </c>
      <c r="D71" s="612">
        <f>vlookup(A71,'NE Data'!$A$104:$C$198,3,FALSE)</f>
        <v>1.92</v>
      </c>
      <c r="E71" s="612" t="str">
        <f>if(VLOOKUP($A71,'NE Data'!$A$3:$G$97,3,FALSE)="--","NULL",VLOOKUP($A71,'NE Data'!$A$3:$G$97,3,FALSE))</f>
        <v>NULL</v>
      </c>
      <c r="F71" s="612">
        <f>if(VLOOKUP($A71,'NE Data'!$A$3:$G$97,4,FALSE)="--","NULL",VLOOKUP($A71,'NE Data'!$A$3:$G$97,4,FALSE))</f>
        <v>10</v>
      </c>
      <c r="G71" s="612" t="s">
        <v>63</v>
      </c>
      <c r="H71" s="671">
        <f>vlookup(A71,'NE Data'!$A$104:$C$198,2,FALSE)</f>
        <v>12</v>
      </c>
      <c r="I71" s="614">
        <f>if(vlookup(A71,'NE Data'!$A$210:$B$304,2,FALSE)="*","NULL",vlookup(A71,'NE Data'!$A$210:$B$304,2,FALSE))</f>
        <v>0</v>
      </c>
      <c r="J71" s="615" t="s">
        <v>63</v>
      </c>
      <c r="K71" s="1061" t="str">
        <f>iferror(VLOOKUP($A71,'NE Data'!$A$3:$I$97,9,FALSE),"NULL")</f>
        <v>NULL</v>
      </c>
      <c r="L71" s="612">
        <f>if(vlookup(A71,'NE Data'!$A$312:$B$406,2,FALSE)="*","NULL",vlookup(A71,'NE Data'!$A$312:$B$406,2,FALSE))</f>
        <v>7</v>
      </c>
      <c r="M71" s="614" t="s">
        <v>63</v>
      </c>
      <c r="N71" s="612" t="s">
        <v>63</v>
      </c>
      <c r="O71" s="612" t="s">
        <v>63</v>
      </c>
      <c r="P71" s="620">
        <f>ifna(vlookup(A71,'Population &amp; Church Numbers'!$A$1657:$D$1749,4,FALSE),"NULL")</f>
        <v>20</v>
      </c>
      <c r="Q71" s="1062">
        <f>vlookup(A71,'NE Data'!$A$419:$B$513,2,FALSE)</f>
        <v>1</v>
      </c>
    </row>
    <row r="72">
      <c r="A72" s="609" t="s">
        <v>473</v>
      </c>
      <c r="B72" s="610">
        <f t="array" ref="B72">VLOOKUP($A72,NE_DEMO,2,FALSE)</f>
        <v>7317</v>
      </c>
      <c r="C72" s="611">
        <f>if(VLOOKUP($A72,'NE Data'!$A$3:$B$97,2,FALSE)="--","NULL",VLOOKUP($A72,'NE Data'!$A$3:$B$97,2,FALSE))</f>
        <v>18</v>
      </c>
      <c r="D72" s="612">
        <f>vlookup(A72,'NE Data'!$A$104:$C$198,3,FALSE)</f>
        <v>2.43</v>
      </c>
      <c r="E72" s="612" t="str">
        <f>if(VLOOKUP($A72,'NE Data'!$A$3:$G$97,3,FALSE)="--","NULL",VLOOKUP($A72,'NE Data'!$A$3:$G$97,3,FALSE))</f>
        <v>NULL</v>
      </c>
      <c r="F72" s="612">
        <f>if(VLOOKUP($A72,'NE Data'!$A$3:$G$97,4,FALSE)="--","NULL",VLOOKUP($A72,'NE Data'!$A$3:$G$97,4,FALSE))</f>
        <v>14</v>
      </c>
      <c r="G72" s="612" t="s">
        <v>63</v>
      </c>
      <c r="H72" s="671">
        <f>vlookup(A72,'NE Data'!$A$104:$C$198,2,FALSE)</f>
        <v>7</v>
      </c>
      <c r="I72" s="614" t="str">
        <f>if(vlookup(A72,'NE Data'!$A$210:$B$304,2,FALSE)="*","NULL",vlookup(A72,'NE Data'!$A$210:$B$304,2,FALSE))</f>
        <v>NULL</v>
      </c>
      <c r="J72" s="615" t="s">
        <v>63</v>
      </c>
      <c r="K72" s="1061" t="str">
        <f>iferror(VLOOKUP($A72,'NE Data'!$A$3:$I$97,9,FALSE),"NULL")</f>
        <v>NULL</v>
      </c>
      <c r="L72" s="612" t="str">
        <f>if(vlookup(A72,'NE Data'!$A$312:$B$406,2,FALSE)="*","NULL",vlookup(A72,'NE Data'!$A$312:$B$406,2,FALSE))</f>
        <v>NULL</v>
      </c>
      <c r="M72" s="614" t="s">
        <v>63</v>
      </c>
      <c r="N72" s="612" t="s">
        <v>63</v>
      </c>
      <c r="O72" s="612" t="s">
        <v>63</v>
      </c>
      <c r="P72" s="620">
        <f>ifna(vlookup(A72,'Population &amp; Church Numbers'!$A$1657:$D$1749,4,FALSE),"NULL")</f>
        <v>15</v>
      </c>
      <c r="Q72" s="1062">
        <f>vlookup(A72,'NE Data'!$A$419:$B$513,2,FALSE)</f>
        <v>0.6</v>
      </c>
    </row>
    <row r="73">
      <c r="A73" s="609" t="s">
        <v>1419</v>
      </c>
      <c r="B73" s="610">
        <f t="array" ref="B73">VLOOKUP($A73,NE_DEMO,2,FALSE)</f>
        <v>34296</v>
      </c>
      <c r="C73" s="611">
        <f>if(VLOOKUP($A73,'NE Data'!$A$3:$B$97,2,FALSE)="--","NULL",VLOOKUP($A73,'NE Data'!$A$3:$B$97,2,FALSE))</f>
        <v>54</v>
      </c>
      <c r="D73" s="612">
        <f>vlookup(A73,'NE Data'!$A$104:$C$198,3,FALSE)</f>
        <v>2.23</v>
      </c>
      <c r="E73" s="612">
        <f>if(VLOOKUP($A73,'NE Data'!$A$3:$G$97,3,FALSE)="--","NULL",VLOOKUP($A73,'NE Data'!$A$3:$G$97,3,FALSE))</f>
        <v>19</v>
      </c>
      <c r="F73" s="612">
        <f>if(VLOOKUP($A73,'NE Data'!$A$3:$G$97,4,FALSE)="--","NULL",VLOOKUP($A73,'NE Data'!$A$3:$G$97,4,FALSE))</f>
        <v>35</v>
      </c>
      <c r="G73" s="612" t="s">
        <v>63</v>
      </c>
      <c r="H73" s="671">
        <f>vlookup(A73,'NE Data'!$A$104:$C$198,2,FALSE)</f>
        <v>26</v>
      </c>
      <c r="I73" s="614">
        <f>if(vlookup(A73,'NE Data'!$A$210:$B$304,2,FALSE)="*","NULL",vlookup(A73,'NE Data'!$A$210:$B$304,2,FALSE))</f>
        <v>7</v>
      </c>
      <c r="J73" s="615" t="s">
        <v>63</v>
      </c>
      <c r="K73" s="1061">
        <f>iferror(VLOOKUP($A73,'NE Data'!$A$3:$I$97,9,FALSE),"NULL")</f>
        <v>0.75</v>
      </c>
      <c r="L73" s="612">
        <f>if(vlookup(A73,'NE Data'!$A$312:$B$406,2,FALSE)="*","NULL",vlookup(A73,'NE Data'!$A$312:$B$406,2,FALSE))</f>
        <v>16</v>
      </c>
      <c r="M73" s="614" t="s">
        <v>63</v>
      </c>
      <c r="N73" s="612" t="s">
        <v>63</v>
      </c>
      <c r="O73" s="612" t="s">
        <v>63</v>
      </c>
      <c r="P73" s="620">
        <f>ifna(vlookup(A73,'Population &amp; Church Numbers'!$A$1657:$D$1749,4,FALSE),"NULL")</f>
        <v>41</v>
      </c>
      <c r="Q73" s="1062">
        <f>vlookup(A73,'NE Data'!$A$419:$B$513,2,FALSE)</f>
        <v>0.7222</v>
      </c>
    </row>
    <row r="74">
      <c r="A74" s="609" t="s">
        <v>302</v>
      </c>
      <c r="B74" s="610">
        <f t="array" ref="B74">VLOOKUP($A74,NE_DEMO,2,FALSE)</f>
        <v>5214</v>
      </c>
      <c r="C74" s="611" t="str">
        <f>if(VLOOKUP($A74,'NE Data'!$A$3:$B$97,2,FALSE)="--","NULL",VLOOKUP($A74,'NE Data'!$A$3:$B$97,2,FALSE))</f>
        <v>NULL</v>
      </c>
      <c r="D74" s="612">
        <f>vlookup(A74,'NE Data'!$A$104:$C$198,3,FALSE)</f>
        <v>2.71</v>
      </c>
      <c r="E74" s="612" t="str">
        <f>if(VLOOKUP($A74,'NE Data'!$A$3:$G$97,3,FALSE)="--","NULL",VLOOKUP($A74,'NE Data'!$A$3:$G$97,3,FALSE))</f>
        <v>NULL</v>
      </c>
      <c r="F74" s="612" t="str">
        <f>if(VLOOKUP($A74,'NE Data'!$A$3:$G$97,4,FALSE)="--","NULL",VLOOKUP($A74,'NE Data'!$A$3:$G$97,4,FALSE))</f>
        <v>NULL</v>
      </c>
      <c r="G74" s="612" t="s">
        <v>63</v>
      </c>
      <c r="H74" s="671">
        <f>vlookup(A74,'NE Data'!$A$104:$C$198,2,FALSE)</f>
        <v>7</v>
      </c>
      <c r="I74" s="614">
        <f>if(vlookup(A74,'NE Data'!$A$210:$B$304,2,FALSE)="*","NULL",vlookup(A74,'NE Data'!$A$210:$B$304,2,FALSE))</f>
        <v>0</v>
      </c>
      <c r="J74" s="615" t="s">
        <v>63</v>
      </c>
      <c r="K74" s="1061" t="str">
        <f>iferror(VLOOKUP($A74,'NE Data'!$A$3:$I$97,9,FALSE),"NULL")</f>
        <v>NULL</v>
      </c>
      <c r="L74" s="612" t="str">
        <f>if(vlookup(A74,'NE Data'!$A$312:$B$406,2,FALSE)="*","NULL",vlookup(A74,'NE Data'!$A$312:$B$406,2,FALSE))</f>
        <v>NULL</v>
      </c>
      <c r="M74" s="614" t="s">
        <v>63</v>
      </c>
      <c r="N74" s="612" t="s">
        <v>63</v>
      </c>
      <c r="O74" s="612" t="s">
        <v>63</v>
      </c>
      <c r="P74" s="620">
        <f>ifna(vlookup(A74,'Population &amp; Church Numbers'!$A$1657:$D$1749,4,FALSE),"NULL")</f>
        <v>18</v>
      </c>
      <c r="Q74" s="1062">
        <f>vlookup(A74,'NE Data'!$A$419:$B$513,2,FALSE)</f>
        <v>0.4</v>
      </c>
    </row>
    <row r="75">
      <c r="A75" s="609" t="s">
        <v>1499</v>
      </c>
      <c r="B75" s="610">
        <f t="array" ref="B75">VLOOKUP($A75,NE_DEMO,2,FALSE)</f>
        <v>10702</v>
      </c>
      <c r="C75" s="611">
        <f>if(VLOOKUP($A75,'NE Data'!$A$3:$B$97,2,FALSE)="--","NULL",VLOOKUP($A75,'NE Data'!$A$3:$B$97,2,FALSE))</f>
        <v>16</v>
      </c>
      <c r="D75" s="612">
        <f>vlookup(A75,'NE Data'!$A$104:$C$198,3,FALSE)</f>
        <v>1.87</v>
      </c>
      <c r="E75" s="612" t="str">
        <f>if(VLOOKUP($A75,'NE Data'!$A$3:$G$97,3,FALSE)="--","NULL",VLOOKUP($A75,'NE Data'!$A$3:$G$97,3,FALSE))</f>
        <v>NULL</v>
      </c>
      <c r="F75" s="612" t="str">
        <f>if(VLOOKUP($A75,'NE Data'!$A$3:$G$97,4,FALSE)="--","NULL",VLOOKUP($A75,'NE Data'!$A$3:$G$97,4,FALSE))</f>
        <v>NULL</v>
      </c>
      <c r="G75" s="612" t="s">
        <v>63</v>
      </c>
      <c r="H75" s="671">
        <f>vlookup(A75,'NE Data'!$A$104:$C$198,2,FALSE)</f>
        <v>15</v>
      </c>
      <c r="I75" s="614" t="str">
        <f>if(vlookup(A75,'NE Data'!$A$210:$B$304,2,FALSE)="*","NULL",vlookup(A75,'NE Data'!$A$210:$B$304,2,FALSE))</f>
        <v>NULL</v>
      </c>
      <c r="J75" s="615" t="s">
        <v>63</v>
      </c>
      <c r="K75" s="1061" t="str">
        <f>iferror(VLOOKUP($A75,'NE Data'!$A$3:$I$97,9,FALSE),"NULL")</f>
        <v>NULL</v>
      </c>
      <c r="L75" s="612" t="str">
        <f>if(vlookup(A75,'NE Data'!$A$312:$B$406,2,FALSE)="*","NULL",vlookup(A75,'NE Data'!$A$312:$B$406,2,FALSE))</f>
        <v>NULL</v>
      </c>
      <c r="M75" s="614" t="s">
        <v>63</v>
      </c>
      <c r="N75" s="612" t="s">
        <v>63</v>
      </c>
      <c r="O75" s="612" t="s">
        <v>63</v>
      </c>
      <c r="P75" s="620">
        <f>ifna(vlookup(A75,'Population &amp; Church Numbers'!$A$1657:$D$1749,4,FALSE),"NULL")</f>
        <v>18</v>
      </c>
      <c r="Q75" s="1062">
        <f>vlookup(A75,'NE Data'!$A$419:$B$513,2,FALSE)</f>
        <v>0.9</v>
      </c>
    </row>
    <row r="76">
      <c r="A76" s="609" t="s">
        <v>1500</v>
      </c>
      <c r="B76" s="610">
        <f t="array" ref="B76">VLOOKUP($A76,NE_DEMO,2,FALSE)</f>
        <v>7871</v>
      </c>
      <c r="C76" s="611">
        <f>if(VLOOKUP($A76,'NE Data'!$A$3:$B$97,2,FALSE)="--","NULL",VLOOKUP($A76,'NE Data'!$A$3:$B$97,2,FALSE))</f>
        <v>10</v>
      </c>
      <c r="D76" s="612">
        <f>vlookup(A76,'NE Data'!$A$104:$C$198,3,FALSE)</f>
        <v>1.43</v>
      </c>
      <c r="E76" s="612" t="str">
        <f>if(VLOOKUP($A76,'NE Data'!$A$3:$G$97,3,FALSE)="--","NULL",VLOOKUP($A76,'NE Data'!$A$3:$G$97,3,FALSE))</f>
        <v>NULL</v>
      </c>
      <c r="F76" s="612" t="str">
        <f>if(VLOOKUP($A76,'NE Data'!$A$3:$G$97,4,FALSE)="--","NULL",VLOOKUP($A76,'NE Data'!$A$3:$G$97,4,FALSE))</f>
        <v>NULL</v>
      </c>
      <c r="G76" s="612" t="s">
        <v>63</v>
      </c>
      <c r="H76" s="671">
        <f>vlookup(A76,'NE Data'!$A$104:$C$198,2,FALSE)</f>
        <v>7</v>
      </c>
      <c r="I76" s="614" t="str">
        <f>if(vlookup(A76,'NE Data'!$A$210:$B$304,2,FALSE)="*","NULL",vlookup(A76,'NE Data'!$A$210:$B$304,2,FALSE))</f>
        <v>NULL</v>
      </c>
      <c r="J76" s="615" t="s">
        <v>63</v>
      </c>
      <c r="K76" s="1061" t="str">
        <f>iferror(VLOOKUP($A76,'NE Data'!$A$3:$I$97,9,FALSE),"NULL")</f>
        <v>NULL</v>
      </c>
      <c r="L76" s="612">
        <f>if(vlookup(A76,'NE Data'!$A$312:$B$406,2,FALSE)="*","NULL",vlookup(A76,'NE Data'!$A$312:$B$406,2,FALSE))</f>
        <v>6</v>
      </c>
      <c r="M76" s="614" t="s">
        <v>63</v>
      </c>
      <c r="N76" s="612" t="s">
        <v>63</v>
      </c>
      <c r="O76" s="612" t="s">
        <v>63</v>
      </c>
      <c r="P76" s="620">
        <f>ifna(vlookup(A76,'Population &amp; Church Numbers'!$A$1657:$D$1749,4,FALSE),"NULL")</f>
        <v>31</v>
      </c>
      <c r="Q76" s="1062">
        <f>vlookup(A76,'NE Data'!$A$419:$B$513,2,FALSE)</f>
        <v>0.5</v>
      </c>
    </row>
    <row r="77">
      <c r="A77" s="609" t="s">
        <v>1341</v>
      </c>
      <c r="B77" s="610">
        <f t="array" ref="B77">VLOOKUP($A77,NE_DEMO,2,FALSE)</f>
        <v>1262</v>
      </c>
      <c r="C77" s="611" t="str">
        <f>if(VLOOKUP($A77,'NE Data'!$A$3:$B$97,2,FALSE)="--","NULL",VLOOKUP($A77,'NE Data'!$A$3:$B$97,2,FALSE))</f>
        <v>NULL</v>
      </c>
      <c r="D77" s="612">
        <f>vlookup(A77,'NE Data'!$A$104:$C$198,3,FALSE)</f>
        <v>0</v>
      </c>
      <c r="E77" s="612" t="str">
        <f>if(VLOOKUP($A77,'NE Data'!$A$3:$G$97,3,FALSE)="--","NULL",VLOOKUP($A77,'NE Data'!$A$3:$G$97,3,FALSE))</f>
        <v>NULL</v>
      </c>
      <c r="F77" s="612" t="str">
        <f>if(VLOOKUP($A77,'NE Data'!$A$3:$G$97,4,FALSE)="--","NULL",VLOOKUP($A77,'NE Data'!$A$3:$G$97,4,FALSE))</f>
        <v>NULL</v>
      </c>
      <c r="G77" s="612" t="s">
        <v>63</v>
      </c>
      <c r="H77" s="671">
        <f>vlookup(A77,'NE Data'!$A$104:$C$198,2,FALSE)</f>
        <v>0</v>
      </c>
      <c r="I77" s="614">
        <f>if(vlookup(A77,'NE Data'!$A$210:$B$304,2,FALSE)="*","NULL",vlookup(A77,'NE Data'!$A$210:$B$304,2,FALSE))</f>
        <v>0</v>
      </c>
      <c r="J77" s="615" t="s">
        <v>63</v>
      </c>
      <c r="K77" s="1061" t="str">
        <f>iferror(VLOOKUP($A77,'NE Data'!$A$3:$I$97,9,FALSE),"NULL")</f>
        <v>NULL</v>
      </c>
      <c r="L77" s="612">
        <f>if(vlookup(A77,'NE Data'!$A$312:$B$406,2,FALSE)="*","NULL",vlookup(A77,'NE Data'!$A$312:$B$406,2,FALSE))</f>
        <v>0</v>
      </c>
      <c r="M77" s="614" t="s">
        <v>63</v>
      </c>
      <c r="N77" s="612" t="s">
        <v>63</v>
      </c>
      <c r="O77" s="612" t="s">
        <v>63</v>
      </c>
      <c r="P77" s="620">
        <f>ifna(vlookup(A77,'Population &amp; Church Numbers'!$A$1657:$D$1749,4,FALSE),"NULL")</f>
        <v>5</v>
      </c>
      <c r="Q77" s="1062" t="str">
        <f>vlookup(A77,'NE Data'!$A$419:$B$513,2,FALSE)</f>
        <v>NULL</v>
      </c>
    </row>
    <row r="78">
      <c r="A78" s="609" t="s">
        <v>308</v>
      </c>
      <c r="B78" s="610">
        <f t="array" ref="B78">VLOOKUP($A78,NE_DEMO,2,FALSE)</f>
        <v>14292</v>
      </c>
      <c r="C78" s="611">
        <f>if(VLOOKUP($A78,'NE Data'!$A$3:$B$97,2,FALSE)="--","NULL",VLOOKUP($A78,'NE Data'!$A$3:$B$97,2,FALSE))</f>
        <v>14</v>
      </c>
      <c r="D78" s="612">
        <f>vlookup(A78,'NE Data'!$A$104:$C$198,3,FALSE)</f>
        <v>2</v>
      </c>
      <c r="E78" s="612" t="str">
        <f>if(VLOOKUP($A78,'NE Data'!$A$3:$G$97,3,FALSE)="--","NULL",VLOOKUP($A78,'NE Data'!$A$3:$G$97,3,FALSE))</f>
        <v>NULL</v>
      </c>
      <c r="F78" s="612" t="str">
        <f>if(VLOOKUP($A78,'NE Data'!$A$3:$G$97,4,FALSE)="--","NULL",VLOOKUP($A78,'NE Data'!$A$3:$G$97,4,FALSE))</f>
        <v>NULL</v>
      </c>
      <c r="G78" s="612" t="s">
        <v>63</v>
      </c>
      <c r="H78" s="671">
        <f>vlookup(A78,'NE Data'!$A$104:$C$198,2,FALSE)</f>
        <v>7</v>
      </c>
      <c r="I78" s="614" t="str">
        <f>if(vlookup(A78,'NE Data'!$A$210:$B$304,2,FALSE)="*","NULL",vlookup(A78,'NE Data'!$A$210:$B$304,2,FALSE))</f>
        <v>NULL</v>
      </c>
      <c r="J78" s="615" t="s">
        <v>63</v>
      </c>
      <c r="K78" s="1061" t="str">
        <f>iferror(VLOOKUP($A78,'NE Data'!$A$3:$I$97,9,FALSE),"NULL")</f>
        <v>NULL</v>
      </c>
      <c r="L78" s="612" t="str">
        <f>if(vlookup(A78,'NE Data'!$A$312:$B$406,2,FALSE)="*","NULL",vlookup(A78,'NE Data'!$A$312:$B$406,2,FALSE))</f>
        <v>NULL</v>
      </c>
      <c r="M78" s="614" t="s">
        <v>63</v>
      </c>
      <c r="N78" s="612" t="s">
        <v>63</v>
      </c>
      <c r="O78" s="612" t="s">
        <v>63</v>
      </c>
      <c r="P78" s="620">
        <f>ifna(vlookup(A78,'Population &amp; Church Numbers'!$A$1657:$D$1749,4,FALSE),"NULL")</f>
        <v>15</v>
      </c>
      <c r="Q78" s="1062">
        <f>vlookup(A78,'NE Data'!$A$419:$B$513,2,FALSE)</f>
        <v>0.6</v>
      </c>
    </row>
    <row r="79">
      <c r="A79" s="609" t="s">
        <v>1501</v>
      </c>
      <c r="B79" s="610">
        <f t="array" ref="B79">VLOOKUP($A79,NE_DEMO,2,FALSE)</f>
        <v>190604</v>
      </c>
      <c r="C79" s="611">
        <f>if(VLOOKUP($A79,'NE Data'!$A$3:$B$97,2,FALSE)="--","NULL",VLOOKUP($A79,'NE Data'!$A$3:$B$97,2,FALSE))</f>
        <v>195</v>
      </c>
      <c r="D79" s="612">
        <f>vlookup(A79,'NE Data'!$A$104:$C$198,3,FALSE)</f>
        <v>2.14</v>
      </c>
      <c r="E79" s="612">
        <f>if(VLOOKUP($A79,'NE Data'!$A$3:$G$97,3,FALSE)="--","NULL",VLOOKUP($A79,'NE Data'!$A$3:$G$97,3,FALSE))</f>
        <v>50</v>
      </c>
      <c r="F79" s="612">
        <f>if(VLOOKUP($A79,'NE Data'!$A$3:$G$97,4,FALSE)="--","NULL",VLOOKUP($A79,'NE Data'!$A$3:$G$97,4,FALSE))</f>
        <v>138</v>
      </c>
      <c r="G79" s="612" t="s">
        <v>63</v>
      </c>
      <c r="H79" s="671">
        <f>vlookup(A79,'NE Data'!$A$104:$C$198,2,FALSE)</f>
        <v>209</v>
      </c>
      <c r="I79" s="614">
        <f>if(vlookup(A79,'NE Data'!$A$210:$B$304,2,FALSE)="*","NULL",vlookup(A79,'NE Data'!$A$210:$B$304,2,FALSE))</f>
        <v>35</v>
      </c>
      <c r="J79" s="615" t="s">
        <v>63</v>
      </c>
      <c r="K79" s="1061">
        <f>iferror(VLOOKUP($A79,'NE Data'!$A$3:$I$97,9,FALSE),"NULL")</f>
        <v>0.404494382</v>
      </c>
      <c r="L79" s="612">
        <f>if(vlookup(A79,'NE Data'!$A$312:$B$406,2,FALSE)="*","NULL",vlookup(A79,'NE Data'!$A$312:$B$406,2,FALSE))</f>
        <v>27</v>
      </c>
      <c r="M79" s="614" t="s">
        <v>63</v>
      </c>
      <c r="N79" s="612" t="s">
        <v>63</v>
      </c>
      <c r="O79" s="612" t="s">
        <v>63</v>
      </c>
      <c r="P79" s="620">
        <f>ifna(vlookup(A79,'Population &amp; Church Numbers'!$A$1657:$D$1749,4,FALSE),"NULL")</f>
        <v>69</v>
      </c>
      <c r="Q79" s="1062">
        <f>vlookup(A79,'NE Data'!$A$419:$B$513,2,FALSE)</f>
        <v>0.6383</v>
      </c>
    </row>
    <row r="80">
      <c r="A80" s="609" t="s">
        <v>1502</v>
      </c>
      <c r="B80" s="610">
        <f t="array" ref="B80">VLOOKUP($A80,NE_DEMO,2,FALSE)</f>
        <v>22278</v>
      </c>
      <c r="C80" s="611">
        <f>if(VLOOKUP($A80,'NE Data'!$A$3:$B$97,2,FALSE)="--","NULL",VLOOKUP($A80,'NE Data'!$A$3:$B$97,2,FALSE))</f>
        <v>29</v>
      </c>
      <c r="D80" s="612">
        <f>vlookup(A80,'NE Data'!$A$104:$C$198,3,FALSE)</f>
        <v>1.9</v>
      </c>
      <c r="E80" s="612" t="str">
        <f>if(VLOOKUP($A80,'NE Data'!$A$3:$G$97,3,FALSE)="--","NULL",VLOOKUP($A80,'NE Data'!$A$3:$G$97,3,FALSE))</f>
        <v>NULL</v>
      </c>
      <c r="F80" s="612">
        <f>if(VLOOKUP($A80,'NE Data'!$A$3:$G$97,4,FALSE)="--","NULL",VLOOKUP($A80,'NE Data'!$A$3:$G$97,4,FALSE))</f>
        <v>20</v>
      </c>
      <c r="G80" s="612" t="s">
        <v>63</v>
      </c>
      <c r="H80" s="671">
        <f>vlookup(A80,'NE Data'!$A$104:$C$198,2,FALSE)</f>
        <v>20</v>
      </c>
      <c r="I80" s="614">
        <f>if(vlookup(A80,'NE Data'!$A$210:$B$304,2,FALSE)="*","NULL",vlookup(A80,'NE Data'!$A$210:$B$304,2,FALSE))</f>
        <v>6</v>
      </c>
      <c r="J80" s="615" t="s">
        <v>63</v>
      </c>
      <c r="K80" s="1061">
        <f>iferror(VLOOKUP($A80,'NE Data'!$A$3:$I$97,9,FALSE),"NULL")</f>
        <v>0.6666666667</v>
      </c>
      <c r="L80" s="612">
        <f>if(vlookup(A80,'NE Data'!$A$312:$B$406,2,FALSE)="*","NULL",vlookup(A80,'NE Data'!$A$312:$B$406,2,FALSE))</f>
        <v>7</v>
      </c>
      <c r="M80" s="614" t="s">
        <v>63</v>
      </c>
      <c r="N80" s="612" t="s">
        <v>63</v>
      </c>
      <c r="O80" s="612" t="s">
        <v>63</v>
      </c>
      <c r="P80" s="620">
        <f>ifna(vlookup(A80,'Population &amp; Church Numbers'!$A$1657:$D$1749,4,FALSE),"NULL")</f>
        <v>37</v>
      </c>
      <c r="Q80" s="1062">
        <f>vlookup(A80,'NE Data'!$A$419:$B$513,2,FALSE)</f>
        <v>0.6875</v>
      </c>
    </row>
    <row r="81">
      <c r="A81" s="609" t="s">
        <v>1503</v>
      </c>
      <c r="B81" s="610">
        <f t="array" ref="B81">VLOOKUP($A81,NE_DEMO,2,FALSE)</f>
        <v>36084</v>
      </c>
      <c r="C81" s="611">
        <f>if(VLOOKUP($A81,'NE Data'!$A$3:$B$97,2,FALSE)="--","NULL",VLOOKUP($A81,'NE Data'!$A$3:$B$97,2,FALSE))</f>
        <v>77</v>
      </c>
      <c r="D81" s="612">
        <f>vlookup(A81,'NE Data'!$A$104:$C$198,3,FALSE)</f>
        <v>1.91</v>
      </c>
      <c r="E81" s="612">
        <f>if(VLOOKUP($A81,'NE Data'!$A$3:$G$97,3,FALSE)="--","NULL",VLOOKUP($A81,'NE Data'!$A$3:$G$97,3,FALSE))</f>
        <v>26</v>
      </c>
      <c r="F81" s="612">
        <f>if(VLOOKUP($A81,'NE Data'!$A$3:$G$97,4,FALSE)="--","NULL",VLOOKUP($A81,'NE Data'!$A$3:$G$97,4,FALSE))</f>
        <v>44</v>
      </c>
      <c r="G81" s="612" t="s">
        <v>63</v>
      </c>
      <c r="H81" s="671">
        <f>vlookup(A81,'NE Data'!$A$104:$C$198,2,FALSE)</f>
        <v>64</v>
      </c>
      <c r="I81" s="614">
        <f>if(vlookup(A81,'NE Data'!$A$210:$B$304,2,FALSE)="*","NULL",vlookup(A81,'NE Data'!$A$210:$B$304,2,FALSE))</f>
        <v>12</v>
      </c>
      <c r="J81" s="615" t="s">
        <v>63</v>
      </c>
      <c r="K81" s="1061">
        <f>iferror(VLOOKUP($A81,'NE Data'!$A$3:$I$97,9,FALSE),"NULL")</f>
        <v>0.3404255319</v>
      </c>
      <c r="L81" s="612">
        <f>if(vlookup(A81,'NE Data'!$A$312:$B$406,2,FALSE)="*","NULL",vlookup(A81,'NE Data'!$A$312:$B$406,2,FALSE))</f>
        <v>20</v>
      </c>
      <c r="M81" s="614" t="s">
        <v>63</v>
      </c>
      <c r="N81" s="612" t="s">
        <v>63</v>
      </c>
      <c r="O81" s="612" t="s">
        <v>63</v>
      </c>
      <c r="P81" s="620">
        <f>ifna(vlookup(A81,'Population &amp; Church Numbers'!$A$1657:$D$1749,4,FALSE),"NULL")</f>
        <v>54</v>
      </c>
      <c r="Q81" s="1062">
        <f>vlookup(A81,'NE Data'!$A$419:$B$513,2,FALSE)</f>
        <v>0.6053</v>
      </c>
    </row>
    <row r="82">
      <c r="A82" s="609" t="s">
        <v>1008</v>
      </c>
      <c r="B82" s="610">
        <f t="array" ref="B82">VLOOKUP($A82,NE_DEMO,2,FALSE)</f>
        <v>17609</v>
      </c>
      <c r="C82" s="611">
        <f>if(VLOOKUP($A82,'NE Data'!$A$3:$B$97,2,FALSE)="--","NULL",VLOOKUP($A82,'NE Data'!$A$3:$B$97,2,FALSE))</f>
        <v>27</v>
      </c>
      <c r="D82" s="612">
        <f>vlookup(A82,'NE Data'!$A$104:$C$198,3,FALSE)</f>
        <v>1.95</v>
      </c>
      <c r="E82" s="612" t="str">
        <f>if(VLOOKUP($A82,'NE Data'!$A$3:$G$97,3,FALSE)="--","NULL",VLOOKUP($A82,'NE Data'!$A$3:$G$97,3,FALSE))</f>
        <v>NULL</v>
      </c>
      <c r="F82" s="612">
        <f>if(VLOOKUP($A82,'NE Data'!$A$3:$G$97,4,FALSE)="--","NULL",VLOOKUP($A82,'NE Data'!$A$3:$G$97,4,FALSE))</f>
        <v>17</v>
      </c>
      <c r="G82" s="612" t="s">
        <v>63</v>
      </c>
      <c r="H82" s="671">
        <f>vlookup(A82,'NE Data'!$A$104:$C$198,2,FALSE)</f>
        <v>20</v>
      </c>
      <c r="I82" s="614" t="str">
        <f>if(vlookup(A82,'NE Data'!$A$210:$B$304,2,FALSE)="*","NULL",vlookup(A82,'NE Data'!$A$210:$B$304,2,FALSE))</f>
        <v>NULL</v>
      </c>
      <c r="J82" s="615" t="s">
        <v>63</v>
      </c>
      <c r="K82" s="1061" t="str">
        <f>iferror(VLOOKUP($A82,'NE Data'!$A$3:$I$97,9,FALSE),"NULL")</f>
        <v>NULL</v>
      </c>
      <c r="L82" s="612">
        <f>if(vlookup(A82,'NE Data'!$A$312:$B$406,2,FALSE)="*","NULL",vlookup(A82,'NE Data'!$A$312:$B$406,2,FALSE))</f>
        <v>12</v>
      </c>
      <c r="M82" s="614" t="s">
        <v>63</v>
      </c>
      <c r="N82" s="612" t="s">
        <v>63</v>
      </c>
      <c r="O82" s="612" t="s">
        <v>63</v>
      </c>
      <c r="P82" s="620">
        <f>ifna(vlookup(A82,'Population &amp; Church Numbers'!$A$1657:$D$1749,4,FALSE),"NULL")</f>
        <v>36</v>
      </c>
      <c r="Q82" s="1062">
        <f>vlookup(A82,'NE Data'!$A$419:$B$513,2,FALSE)</f>
        <v>0.7692</v>
      </c>
    </row>
    <row r="83">
      <c r="A83" s="609" t="s">
        <v>1010</v>
      </c>
      <c r="B83" s="610">
        <f t="array" ref="B83">VLOOKUP($A83,NE_DEMO,2,FALSE)</f>
        <v>5127</v>
      </c>
      <c r="C83" s="611">
        <f>if(VLOOKUP($A83,'NE Data'!$A$3:$B$97,2,FALSE)="--","NULL",VLOOKUP($A83,'NE Data'!$A$3:$B$97,2,FALSE))</f>
        <v>12</v>
      </c>
      <c r="D83" s="612">
        <f>vlookup(A83,'NE Data'!$A$104:$C$198,3,FALSE)</f>
        <v>2.33</v>
      </c>
      <c r="E83" s="612" t="str">
        <f>if(VLOOKUP($A83,'NE Data'!$A$3:$G$97,3,FALSE)="--","NULL",VLOOKUP($A83,'NE Data'!$A$3:$G$97,3,FALSE))</f>
        <v>NULL</v>
      </c>
      <c r="F83" s="612">
        <f>if(VLOOKUP($A83,'NE Data'!$A$3:$G$97,4,FALSE)="--","NULL",VLOOKUP($A83,'NE Data'!$A$3:$G$97,4,FALSE))</f>
        <v>10</v>
      </c>
      <c r="G83" s="612" t="s">
        <v>63</v>
      </c>
      <c r="H83" s="671">
        <f>vlookup(A83,'NE Data'!$A$104:$C$198,2,FALSE)</f>
        <v>3</v>
      </c>
      <c r="I83" s="614">
        <f>if(vlookup(A83,'NE Data'!$A$210:$B$304,2,FALSE)="*","NULL",vlookup(A83,'NE Data'!$A$210:$B$304,2,FALSE))</f>
        <v>0</v>
      </c>
      <c r="J83" s="615" t="s">
        <v>63</v>
      </c>
      <c r="K83" s="1061" t="str">
        <f>iferror(VLOOKUP($A83,'NE Data'!$A$3:$I$97,9,FALSE),"NULL")</f>
        <v>NULL</v>
      </c>
      <c r="L83" s="612" t="str">
        <f>if(vlookup(A83,'NE Data'!$A$312:$B$406,2,FALSE)="*","NULL",vlookup(A83,'NE Data'!$A$312:$B$406,2,FALSE))</f>
        <v>NULL</v>
      </c>
      <c r="M83" s="614" t="s">
        <v>63</v>
      </c>
      <c r="N83" s="612" t="s">
        <v>63</v>
      </c>
      <c r="O83" s="612" t="s">
        <v>63</v>
      </c>
      <c r="P83" s="620">
        <f>ifna(vlookup(A83,'Population &amp; Church Numbers'!$A$1657:$D$1749,4,FALSE),"NULL")</f>
        <v>18</v>
      </c>
      <c r="Q83" s="1062">
        <f>vlookup(A83,'NE Data'!$A$419:$B$513,2,FALSE)</f>
        <v>0</v>
      </c>
    </row>
    <row r="84">
      <c r="A84" s="609" t="s">
        <v>1011</v>
      </c>
      <c r="B84" s="610">
        <f t="array" ref="B84">VLOOKUP($A84,NE_DEMO,2,FALSE)</f>
        <v>2959</v>
      </c>
      <c r="C84" s="611" t="str">
        <f>if(VLOOKUP($A84,'NE Data'!$A$3:$B$97,2,FALSE)="--","NULL",VLOOKUP($A84,'NE Data'!$A$3:$B$97,2,FALSE))</f>
        <v>NULL</v>
      </c>
      <c r="D84" s="612">
        <f>vlookup(A84,'NE Data'!$A$104:$C$198,3,FALSE)</f>
        <v>2.67</v>
      </c>
      <c r="E84" s="612" t="str">
        <f>if(VLOOKUP($A84,'NE Data'!$A$3:$G$97,3,FALSE)="--","NULL",VLOOKUP($A84,'NE Data'!$A$3:$G$97,3,FALSE))</f>
        <v>NULL</v>
      </c>
      <c r="F84" s="612" t="str">
        <f>if(VLOOKUP($A84,'NE Data'!$A$3:$G$97,4,FALSE)="--","NULL",VLOOKUP($A84,'NE Data'!$A$3:$G$97,4,FALSE))</f>
        <v>NULL</v>
      </c>
      <c r="G84" s="612" t="s">
        <v>63</v>
      </c>
      <c r="H84" s="671">
        <f>vlookup(A84,'NE Data'!$A$104:$C$198,2,FALSE)</f>
        <v>9</v>
      </c>
      <c r="I84" s="614">
        <f>if(vlookup(A84,'NE Data'!$A$210:$B$304,2,FALSE)="*","NULL",vlookup(A84,'NE Data'!$A$210:$B$304,2,FALSE))</f>
        <v>0</v>
      </c>
      <c r="J84" s="615" t="s">
        <v>63</v>
      </c>
      <c r="K84" s="1061" t="str">
        <f>iferror(VLOOKUP($A84,'NE Data'!$A$3:$I$97,9,FALSE),"NULL")</f>
        <v>NULL</v>
      </c>
      <c r="L84" s="612">
        <f>if(vlookup(A84,'NE Data'!$A$312:$B$406,2,FALSE)="*","NULL",vlookup(A84,'NE Data'!$A$312:$B$406,2,FALSE))</f>
        <v>8</v>
      </c>
      <c r="M84" s="614" t="s">
        <v>63</v>
      </c>
      <c r="N84" s="612" t="s">
        <v>63</v>
      </c>
      <c r="O84" s="612" t="s">
        <v>63</v>
      </c>
      <c r="P84" s="620">
        <f>ifna(vlookup(A84,'Population &amp; Church Numbers'!$A$1657:$D$1749,4,FALSE),"NULL")</f>
        <v>8</v>
      </c>
      <c r="Q84" s="1062">
        <f>vlookup(A84,'NE Data'!$A$419:$B$513,2,FALSE)</f>
        <v>1</v>
      </c>
    </row>
    <row r="85">
      <c r="A85" s="609" t="s">
        <v>937</v>
      </c>
      <c r="B85" s="610">
        <f t="array" ref="B85">VLOOKUP($A85,NE_DEMO,2,FALSE)</f>
        <v>1135</v>
      </c>
      <c r="C85" s="611" t="str">
        <f>if(VLOOKUP($A85,'NE Data'!$A$3:$B$97,2,FALSE)="--","NULL",VLOOKUP($A85,'NE Data'!$A$3:$B$97,2,FALSE))</f>
        <v>NULL</v>
      </c>
      <c r="D85" s="612">
        <f>vlookup(A85,'NE Data'!$A$104:$C$198,3,FALSE)</f>
        <v>0</v>
      </c>
      <c r="E85" s="612" t="str">
        <f>if(VLOOKUP($A85,'NE Data'!$A$3:$G$97,3,FALSE)="--","NULL",VLOOKUP($A85,'NE Data'!$A$3:$G$97,3,FALSE))</f>
        <v>NULL</v>
      </c>
      <c r="F85" s="612" t="str">
        <f>if(VLOOKUP($A85,'NE Data'!$A$3:$G$97,4,FALSE)="--","NULL",VLOOKUP($A85,'NE Data'!$A$3:$G$97,4,FALSE))</f>
        <v>NULL</v>
      </c>
      <c r="G85" s="612" t="s">
        <v>63</v>
      </c>
      <c r="H85" s="671">
        <f>vlookup(A85,'NE Data'!$A$104:$C$198,2,FALSE)</f>
        <v>0</v>
      </c>
      <c r="I85" s="614">
        <f>if(vlookup(A85,'NE Data'!$A$210:$B$304,2,FALSE)="*","NULL",vlookup(A85,'NE Data'!$A$210:$B$304,2,FALSE))</f>
        <v>0</v>
      </c>
      <c r="J85" s="615" t="s">
        <v>63</v>
      </c>
      <c r="K85" s="1061" t="str">
        <f>iferror(VLOOKUP($A85,'NE Data'!$A$3:$I$97,9,FALSE),"NULL")</f>
        <v>NULL</v>
      </c>
      <c r="L85" s="612">
        <f>if(vlookup(A85,'NE Data'!$A$312:$B$406,2,FALSE)="*","NULL",vlookup(A85,'NE Data'!$A$312:$B$406,2,FALSE))</f>
        <v>0</v>
      </c>
      <c r="M85" s="614" t="s">
        <v>63</v>
      </c>
      <c r="N85" s="612" t="s">
        <v>63</v>
      </c>
      <c r="O85" s="612" t="s">
        <v>63</v>
      </c>
      <c r="P85" s="620">
        <f>ifna(vlookup(A85,'Population &amp; Church Numbers'!$A$1657:$D$1749,4,FALSE),"NULL")</f>
        <v>4</v>
      </c>
      <c r="Q85" s="1062">
        <f>vlookup(A85,'NE Data'!$A$419:$B$513,2,FALSE)</f>
        <v>0</v>
      </c>
    </row>
    <row r="86">
      <c r="A86" s="609" t="s">
        <v>1014</v>
      </c>
      <c r="B86" s="610">
        <f t="array" ref="B86">VLOOKUP($A86,NE_DEMO,2,FALSE)</f>
        <v>5842</v>
      </c>
      <c r="C86" s="611" t="str">
        <f>if(VLOOKUP($A86,'NE Data'!$A$3:$B$97,2,FALSE)="--","NULL",VLOOKUP($A86,'NE Data'!$A$3:$B$97,2,FALSE))</f>
        <v>NULL</v>
      </c>
      <c r="D86" s="612">
        <f>vlookup(A86,'NE Data'!$A$104:$C$198,3,FALSE)</f>
        <v>2.33</v>
      </c>
      <c r="E86" s="612" t="str">
        <f>if(VLOOKUP($A86,'NE Data'!$A$3:$G$97,3,FALSE)="--","NULL",VLOOKUP($A86,'NE Data'!$A$3:$G$97,3,FALSE))</f>
        <v>NULL</v>
      </c>
      <c r="F86" s="612" t="str">
        <f>if(VLOOKUP($A86,'NE Data'!$A$3:$G$97,4,FALSE)="--","NULL",VLOOKUP($A86,'NE Data'!$A$3:$G$97,4,FALSE))</f>
        <v>NULL</v>
      </c>
      <c r="G86" s="612" t="s">
        <v>63</v>
      </c>
      <c r="H86" s="671">
        <f>vlookup(A86,'NE Data'!$A$104:$C$198,2,FALSE)</f>
        <v>6</v>
      </c>
      <c r="I86" s="614">
        <f>if(vlookup(A86,'NE Data'!$A$210:$B$304,2,FALSE)="*","NULL",vlookup(A86,'NE Data'!$A$210:$B$304,2,FALSE))</f>
        <v>0</v>
      </c>
      <c r="J86" s="615" t="s">
        <v>63</v>
      </c>
      <c r="K86" s="1061" t="str">
        <f>iferror(VLOOKUP($A86,'NE Data'!$A$3:$I$97,9,FALSE),"NULL")</f>
        <v>NULL</v>
      </c>
      <c r="L86" s="612" t="str">
        <f>if(vlookup(A86,'NE Data'!$A$312:$B$406,2,FALSE)="*","NULL",vlookup(A86,'NE Data'!$A$312:$B$406,2,FALSE))</f>
        <v>NULL</v>
      </c>
      <c r="M86" s="614" t="s">
        <v>63</v>
      </c>
      <c r="N86" s="612" t="s">
        <v>63</v>
      </c>
      <c r="O86" s="612" t="s">
        <v>63</v>
      </c>
      <c r="P86" s="620">
        <f>ifna(vlookup(A86,'Population &amp; Church Numbers'!$A$1657:$D$1749,4,FALSE),"NULL")</f>
        <v>10</v>
      </c>
      <c r="Q86" s="1062">
        <f>vlookup(A86,'NE Data'!$A$419:$B$513,2,FALSE)</f>
        <v>0.6667</v>
      </c>
    </row>
    <row r="87">
      <c r="A87" s="609" t="s">
        <v>1504</v>
      </c>
      <c r="B87" s="610">
        <f t="array" ref="B87">VLOOKUP($A87,NE_DEMO,2,FALSE)</f>
        <v>5034</v>
      </c>
      <c r="C87" s="611" t="str">
        <f>if(VLOOKUP($A87,'NE Data'!$A$3:$B$97,2,FALSE)="--","NULL",VLOOKUP($A87,'NE Data'!$A$3:$B$97,2,FALSE))</f>
        <v>NULL</v>
      </c>
      <c r="D87" s="612">
        <f>vlookup(A87,'NE Data'!$A$104:$C$198,3,FALSE)</f>
        <v>2</v>
      </c>
      <c r="E87" s="612" t="str">
        <f>if(VLOOKUP($A87,'NE Data'!$A$3:$G$97,3,FALSE)="--","NULL",VLOOKUP($A87,'NE Data'!$A$3:$G$97,3,FALSE))</f>
        <v>NULL</v>
      </c>
      <c r="F87" s="612" t="str">
        <f>if(VLOOKUP($A87,'NE Data'!$A$3:$G$97,4,FALSE)="--","NULL",VLOOKUP($A87,'NE Data'!$A$3:$G$97,4,FALSE))</f>
        <v>NULL</v>
      </c>
      <c r="G87" s="612" t="s">
        <v>63</v>
      </c>
      <c r="H87" s="671">
        <f>vlookup(A87,'NE Data'!$A$104:$C$198,2,FALSE)</f>
        <v>6</v>
      </c>
      <c r="I87" s="614" t="str">
        <f>if(vlookup(A87,'NE Data'!$A$210:$B$304,2,FALSE)="*","NULL",vlookup(A87,'NE Data'!$A$210:$B$304,2,FALSE))</f>
        <v>NULL</v>
      </c>
      <c r="J87" s="615" t="s">
        <v>63</v>
      </c>
      <c r="K87" s="1061" t="str">
        <f>iferror(VLOOKUP($A87,'NE Data'!$A$3:$I$97,9,FALSE),"NULL")</f>
        <v>NULL</v>
      </c>
      <c r="L87" s="612" t="str">
        <f>if(vlookup(A87,'NE Data'!$A$312:$B$406,2,FALSE)="*","NULL",vlookup(A87,'NE Data'!$A$312:$B$406,2,FALSE))</f>
        <v>NULL</v>
      </c>
      <c r="M87" s="614" t="s">
        <v>63</v>
      </c>
      <c r="N87" s="612" t="s">
        <v>63</v>
      </c>
      <c r="O87" s="612" t="s">
        <v>63</v>
      </c>
      <c r="P87" s="620">
        <f>ifna(vlookup(A87,'Population &amp; Church Numbers'!$A$1657:$D$1749,4,FALSE),"NULL")</f>
        <v>21</v>
      </c>
      <c r="Q87" s="1062">
        <f>vlookup(A87,'NE Data'!$A$419:$B$513,2,FALSE)</f>
        <v>1</v>
      </c>
    </row>
    <row r="88">
      <c r="A88" s="609" t="s">
        <v>636</v>
      </c>
      <c r="B88" s="610">
        <f t="array" ref="B88">VLOOKUP($A88,NE_DEMO,2,FALSE)</f>
        <v>669</v>
      </c>
      <c r="C88" s="611" t="str">
        <f>if(VLOOKUP($A88,'NE Data'!$A$3:$B$97,2,FALSE)="--","NULL",VLOOKUP($A88,'NE Data'!$A$3:$B$97,2,FALSE))</f>
        <v>NULL</v>
      </c>
      <c r="D88" s="612">
        <f>vlookup(A88,'NE Data'!$A$104:$C$198,3,FALSE)</f>
        <v>1</v>
      </c>
      <c r="E88" s="612" t="str">
        <f>if(VLOOKUP($A88,'NE Data'!$A$3:$G$97,3,FALSE)="--","NULL",VLOOKUP($A88,'NE Data'!$A$3:$G$97,3,FALSE))</f>
        <v>NULL</v>
      </c>
      <c r="F88" s="612" t="str">
        <f>if(VLOOKUP($A88,'NE Data'!$A$3:$G$97,4,FALSE)="--","NULL",VLOOKUP($A88,'NE Data'!$A$3:$G$97,4,FALSE))</f>
        <v>NULL</v>
      </c>
      <c r="G88" s="612" t="s">
        <v>63</v>
      </c>
      <c r="H88" s="671">
        <f>vlookup(A88,'NE Data'!$A$104:$C$198,2,FALSE)</f>
        <v>1</v>
      </c>
      <c r="I88" s="614">
        <f>if(vlookup(A88,'NE Data'!$A$210:$B$304,2,FALSE)="*","NULL",vlookup(A88,'NE Data'!$A$210:$B$304,2,FALSE))</f>
        <v>0</v>
      </c>
      <c r="J88" s="615" t="s">
        <v>63</v>
      </c>
      <c r="K88" s="1061" t="str">
        <f>iferror(VLOOKUP($A88,'NE Data'!$A$3:$I$97,9,FALSE),"NULL")</f>
        <v>NULL</v>
      </c>
      <c r="L88" s="612">
        <f>if(vlookup(A88,'NE Data'!$A$312:$B$406,2,FALSE)="*","NULL",vlookup(A88,'NE Data'!$A$312:$B$406,2,FALSE))</f>
        <v>0</v>
      </c>
      <c r="M88" s="614" t="s">
        <v>63</v>
      </c>
      <c r="N88" s="612" t="s">
        <v>63</v>
      </c>
      <c r="O88" s="612" t="s">
        <v>63</v>
      </c>
      <c r="P88" s="620">
        <f>ifna(vlookup(A88,'Population &amp; Church Numbers'!$A$1657:$D$1749,4,FALSE),"NULL")</f>
        <v>2</v>
      </c>
      <c r="Q88" s="1062" t="str">
        <f>vlookup(A88,'NE Data'!$A$419:$B$513,2,FALSE)</f>
        <v>NULL</v>
      </c>
    </row>
    <row r="89">
      <c r="A89" s="609" t="s">
        <v>1505</v>
      </c>
      <c r="B89" s="610">
        <f t="array" ref="B89">VLOOKUP($A89,NE_DEMO,2,FALSE)</f>
        <v>6773</v>
      </c>
      <c r="C89" s="611" t="str">
        <f>if(VLOOKUP($A89,'NE Data'!$A$3:$B$97,2,FALSE)="--","NULL",VLOOKUP($A89,'NE Data'!$A$3:$B$97,2,FALSE))</f>
        <v>NULL</v>
      </c>
      <c r="D89" s="612">
        <f>vlookup(A89,'NE Data'!$A$104:$C$198,3,FALSE)</f>
        <v>2.33</v>
      </c>
      <c r="E89" s="612" t="str">
        <f>if(VLOOKUP($A89,'NE Data'!$A$3:$G$97,3,FALSE)="--","NULL",VLOOKUP($A89,'NE Data'!$A$3:$G$97,3,FALSE))</f>
        <v>NULL</v>
      </c>
      <c r="F89" s="612" t="str">
        <f>if(VLOOKUP($A89,'NE Data'!$A$3:$G$97,4,FALSE)="--","NULL",VLOOKUP($A89,'NE Data'!$A$3:$G$97,4,FALSE))</f>
        <v>NULL</v>
      </c>
      <c r="G89" s="612" t="s">
        <v>63</v>
      </c>
      <c r="H89" s="671">
        <f>vlookup(A89,'NE Data'!$A$104:$C$198,2,FALSE)</f>
        <v>46</v>
      </c>
      <c r="I89" s="614">
        <f>if(vlookup(A89,'NE Data'!$A$210:$B$304,2,FALSE)="*","NULL",vlookup(A89,'NE Data'!$A$210:$B$304,2,FALSE))</f>
        <v>0</v>
      </c>
      <c r="J89" s="615" t="s">
        <v>63</v>
      </c>
      <c r="K89" s="1061" t="str">
        <f>iferror(VLOOKUP($A89,'NE Data'!$A$3:$I$97,9,FALSE),"NULL")</f>
        <v>NULL</v>
      </c>
      <c r="L89" s="612" t="str">
        <f>if(vlookup(A89,'NE Data'!$A$312:$B$406,2,FALSE)="*","NULL",vlookup(A89,'NE Data'!$A$312:$B$406,2,FALSE))</f>
        <v>NULL</v>
      </c>
      <c r="M89" s="614" t="s">
        <v>63</v>
      </c>
      <c r="N89" s="612" t="s">
        <v>63</v>
      </c>
      <c r="O89" s="612" t="s">
        <v>63</v>
      </c>
      <c r="P89" s="620">
        <f>ifna(vlookup(A89,'Population &amp; Church Numbers'!$A$1657:$D$1749,4,FALSE),"NULL")</f>
        <v>9</v>
      </c>
      <c r="Q89" s="1062">
        <f>vlookup(A89,'NE Data'!$A$419:$B$513,2,FALSE)</f>
        <v>0.6667</v>
      </c>
    </row>
    <row r="90">
      <c r="A90" s="609" t="s">
        <v>692</v>
      </c>
      <c r="B90" s="610">
        <f t="array" ref="B90">VLOOKUP($A90,NE_DEMO,2,FALSE)</f>
        <v>4059</v>
      </c>
      <c r="C90" s="611" t="str">
        <f>if(VLOOKUP($A90,'NE Data'!$A$3:$B$97,2,FALSE)="--","NULL",VLOOKUP($A90,'NE Data'!$A$3:$B$97,2,FALSE))</f>
        <v>NULL</v>
      </c>
      <c r="D90" s="612">
        <f>vlookup(A90,'NE Data'!$A$104:$C$198,3,FALSE)</f>
        <v>2</v>
      </c>
      <c r="E90" s="612" t="str">
        <f>if(VLOOKUP($A90,'NE Data'!$A$3:$G$97,3,FALSE)="--","NULL",VLOOKUP($A90,'NE Data'!$A$3:$G$97,3,FALSE))</f>
        <v>NULL</v>
      </c>
      <c r="F90" s="612" t="str">
        <f>if(VLOOKUP($A90,'NE Data'!$A$3:$G$97,4,FALSE)="--","NULL",VLOOKUP($A90,'NE Data'!$A$3:$G$97,4,FALSE))</f>
        <v>NULL</v>
      </c>
      <c r="G90" s="612" t="s">
        <v>63</v>
      </c>
      <c r="H90" s="671">
        <f>vlookup(A90,'NE Data'!$A$104:$C$198,2,FALSE)</f>
        <v>5</v>
      </c>
      <c r="I90" s="614">
        <f>if(vlookup(A90,'NE Data'!$A$210:$B$304,2,FALSE)="*","NULL",vlookup(A90,'NE Data'!$A$210:$B$304,2,FALSE))</f>
        <v>0</v>
      </c>
      <c r="J90" s="615" t="s">
        <v>63</v>
      </c>
      <c r="K90" s="1061" t="str">
        <f>iferror(VLOOKUP($A90,'NE Data'!$A$3:$I$97,9,FALSE),"NULL")</f>
        <v>NULL</v>
      </c>
      <c r="L90" s="612" t="str">
        <f>if(vlookup(A90,'NE Data'!$A$312:$B$406,2,FALSE)="*","NULL",vlookup(A90,'NE Data'!$A$312:$B$406,2,FALSE))</f>
        <v>NULL</v>
      </c>
      <c r="M90" s="614" t="s">
        <v>63</v>
      </c>
      <c r="N90" s="612" t="s">
        <v>63</v>
      </c>
      <c r="O90" s="612" t="s">
        <v>63</v>
      </c>
      <c r="P90" s="620">
        <f>ifna(vlookup(A90,'Population &amp; Church Numbers'!$A$1657:$D$1749,4,FALSE),"NULL")</f>
        <v>10</v>
      </c>
      <c r="Q90" s="1062">
        <f>vlookup(A90,'NE Data'!$A$419:$B$513,2,FALSE)</f>
        <v>1</v>
      </c>
    </row>
    <row r="91">
      <c r="A91" s="609" t="s">
        <v>119</v>
      </c>
      <c r="B91" s="610">
        <f t="array" ref="B91">VLOOKUP($A91,NE_DEMO,2,FALSE)</f>
        <v>20865</v>
      </c>
      <c r="C91" s="611">
        <f>if(VLOOKUP($A91,'NE Data'!$A$3:$B$97,2,FALSE)="--","NULL",VLOOKUP($A91,'NE Data'!$A$3:$B$97,2,FALSE))</f>
        <v>14</v>
      </c>
      <c r="D91" s="612">
        <f>vlookup(A91,'NE Data'!$A$104:$C$198,3,FALSE)</f>
        <v>2.08</v>
      </c>
      <c r="E91" s="612" t="str">
        <f>if(VLOOKUP($A91,'NE Data'!$A$3:$G$97,3,FALSE)="--","NULL",VLOOKUP($A91,'NE Data'!$A$3:$G$97,3,FALSE))</f>
        <v>NULL</v>
      </c>
      <c r="F91" s="612" t="str">
        <f>if(VLOOKUP($A91,'NE Data'!$A$3:$G$97,4,FALSE)="--","NULL",VLOOKUP($A91,'NE Data'!$A$3:$G$97,4,FALSE))</f>
        <v>NULL</v>
      </c>
      <c r="G91" s="612" t="s">
        <v>63</v>
      </c>
      <c r="H91" s="671">
        <f>vlookup(A91,'NE Data'!$A$104:$C$198,2,FALSE)</f>
        <v>13</v>
      </c>
      <c r="I91" s="614">
        <f>if(vlookup(A91,'NE Data'!$A$210:$B$304,2,FALSE)="*","NULL",vlookup(A91,'NE Data'!$A$210:$B$304,2,FALSE))</f>
        <v>0</v>
      </c>
      <c r="J91" s="615" t="s">
        <v>63</v>
      </c>
      <c r="K91" s="1061" t="str">
        <f>iferror(VLOOKUP($A91,'NE Data'!$A$3:$I$97,9,FALSE),"NULL")</f>
        <v>NULL</v>
      </c>
      <c r="L91" s="612" t="str">
        <f>if(vlookup(A91,'NE Data'!$A$312:$B$406,2,FALSE)="*","NULL",vlookup(A91,'NE Data'!$A$312:$B$406,2,FALSE))</f>
        <v>NULL</v>
      </c>
      <c r="M91" s="614" t="s">
        <v>63</v>
      </c>
      <c r="N91" s="612" t="s">
        <v>63</v>
      </c>
      <c r="O91" s="612" t="s">
        <v>63</v>
      </c>
      <c r="P91" s="620">
        <f>ifna(vlookup(A91,'Population &amp; Church Numbers'!$A$1657:$D$1749,4,FALSE),"NULL")</f>
        <v>25</v>
      </c>
      <c r="Q91" s="1062">
        <f>vlookup(A91,'NE Data'!$A$419:$B$513,2,FALSE)</f>
        <v>0.7143</v>
      </c>
    </row>
    <row r="92">
      <c r="A92" s="609" t="s">
        <v>273</v>
      </c>
      <c r="B92" s="610">
        <f t="array" ref="B92">VLOOKUP($A92,NE_DEMO,2,FALSE)</f>
        <v>9697</v>
      </c>
      <c r="C92" s="611">
        <f>if(VLOOKUP($A92,'NE Data'!$A$3:$B$97,2,FALSE)="--","NULL",VLOOKUP($A92,'NE Data'!$A$3:$B$97,2,FALSE))</f>
        <v>11</v>
      </c>
      <c r="D92" s="612">
        <f>vlookup(A92,'NE Data'!$A$104:$C$198,3,FALSE)</f>
        <v>2.14</v>
      </c>
      <c r="E92" s="612" t="str">
        <f>if(VLOOKUP($A92,'NE Data'!$A$3:$G$97,3,FALSE)="--","NULL",VLOOKUP($A92,'NE Data'!$A$3:$G$97,3,FALSE))</f>
        <v>NULL</v>
      </c>
      <c r="F92" s="612" t="str">
        <f>if(VLOOKUP($A92,'NE Data'!$A$3:$G$97,4,FALSE)="--","NULL",VLOOKUP($A92,'NE Data'!$A$3:$G$97,4,FALSE))</f>
        <v>NULL</v>
      </c>
      <c r="G92" s="612" t="s">
        <v>63</v>
      </c>
      <c r="H92" s="671">
        <f>vlookup(A92,'NE Data'!$A$104:$C$198,2,FALSE)</f>
        <v>7</v>
      </c>
      <c r="I92" s="614" t="str">
        <f>if(vlookup(A92,'NE Data'!$A$210:$B$304,2,FALSE)="*","NULL",vlookup(A92,'NE Data'!$A$210:$B$304,2,FALSE))</f>
        <v>NULL</v>
      </c>
      <c r="J92" s="615" t="s">
        <v>63</v>
      </c>
      <c r="K92" s="1061" t="str">
        <f>iferror(VLOOKUP($A92,'NE Data'!$A$3:$I$97,9,FALSE),"NULL")</f>
        <v>NULL</v>
      </c>
      <c r="L92" s="612" t="str">
        <f>if(vlookup(A92,'NE Data'!$A$312:$B$406,2,FALSE)="*","NULL",vlookup(A92,'NE Data'!$A$312:$B$406,2,FALSE))</f>
        <v>NULL</v>
      </c>
      <c r="M92" s="614" t="s">
        <v>63</v>
      </c>
      <c r="N92" s="612" t="s">
        <v>63</v>
      </c>
      <c r="O92" s="612" t="s">
        <v>63</v>
      </c>
      <c r="P92" s="620">
        <f>ifna(vlookup(A92,'Population &amp; Church Numbers'!$A$1657:$D$1749,4,FALSE),"NULL")</f>
        <v>13</v>
      </c>
      <c r="Q92" s="1062">
        <f>vlookup(A92,'NE Data'!$A$419:$B$513,2,FALSE)</f>
        <v>0.7143</v>
      </c>
    </row>
    <row r="93">
      <c r="A93" s="609" t="s">
        <v>648</v>
      </c>
      <c r="B93" s="610">
        <f t="array" ref="B93">VLOOKUP($A93,NE_DEMO,2,FALSE)</f>
        <v>3395</v>
      </c>
      <c r="C93" s="611" t="str">
        <f>if(VLOOKUP($A93,'NE Data'!$A$3:$B$97,2,FALSE)="--","NULL",VLOOKUP($A93,'NE Data'!$A$3:$B$97,2,FALSE))</f>
        <v>NULL</v>
      </c>
      <c r="D93" s="612">
        <f>vlookup(A93,'NE Data'!$A$104:$C$198,3,FALSE)</f>
        <v>2.25</v>
      </c>
      <c r="E93" s="612" t="str">
        <f>if(VLOOKUP($A93,'NE Data'!$A$3:$G$97,3,FALSE)="--","NULL",VLOOKUP($A93,'NE Data'!$A$3:$G$97,3,FALSE))</f>
        <v>NULL</v>
      </c>
      <c r="F93" s="612" t="str">
        <f>if(VLOOKUP($A93,'NE Data'!$A$3:$G$97,4,FALSE)="--","NULL",VLOOKUP($A93,'NE Data'!$A$3:$G$97,4,FALSE))</f>
        <v>NULL</v>
      </c>
      <c r="G93" s="612" t="s">
        <v>63</v>
      </c>
      <c r="H93" s="671">
        <f>vlookup(A93,'NE Data'!$A$104:$C$198,2,FALSE)</f>
        <v>4</v>
      </c>
      <c r="I93" s="614">
        <f>if(vlookup(A93,'NE Data'!$A$210:$B$304,2,FALSE)="*","NULL",vlookup(A93,'NE Data'!$A$210:$B$304,2,FALSE))</f>
        <v>0</v>
      </c>
      <c r="J93" s="615" t="s">
        <v>63</v>
      </c>
      <c r="K93" s="1061" t="str">
        <f>iferror(VLOOKUP($A93,'NE Data'!$A$3:$I$97,9,FALSE),"NULL")</f>
        <v>NULL</v>
      </c>
      <c r="L93" s="612">
        <f>if(vlookup(A93,'NE Data'!$A$312:$B$406,2,FALSE)="*","NULL",vlookup(A93,'NE Data'!$A$312:$B$406,2,FALSE))</f>
        <v>0</v>
      </c>
      <c r="M93" s="614" t="s">
        <v>63</v>
      </c>
      <c r="N93" s="612" t="s">
        <v>63</v>
      </c>
      <c r="O93" s="612" t="s">
        <v>63</v>
      </c>
      <c r="P93" s="620">
        <f>ifna(vlookup(A93,'Population &amp; Church Numbers'!$A$1657:$D$1749,4,FALSE),"NULL")</f>
        <v>10</v>
      </c>
      <c r="Q93" s="1062">
        <f>vlookup(A93,'NE Data'!$A$419:$B$513,2,FALSE)</f>
        <v>1</v>
      </c>
    </row>
    <row r="94">
      <c r="A94" s="609" t="s">
        <v>649</v>
      </c>
      <c r="B94" s="610">
        <f t="array" ref="B94">VLOOKUP($A94,NE_DEMO,2,FALSE)</f>
        <v>774</v>
      </c>
      <c r="C94" s="611" t="str">
        <f>if(VLOOKUP($A94,'NE Data'!$A$3:$B$97,2,FALSE)="--","NULL",VLOOKUP($A94,'NE Data'!$A$3:$B$97,2,FALSE))</f>
        <v>NULL</v>
      </c>
      <c r="D94" s="612">
        <f>vlookup(A94,'NE Data'!$A$104:$C$198,3,FALSE)</f>
        <v>0</v>
      </c>
      <c r="E94" s="612" t="str">
        <f>if(VLOOKUP($A94,'NE Data'!$A$3:$G$97,3,FALSE)="--","NULL",VLOOKUP($A94,'NE Data'!$A$3:$G$97,3,FALSE))</f>
        <v>NULL</v>
      </c>
      <c r="F94" s="612" t="str">
        <f>if(VLOOKUP($A94,'NE Data'!$A$3:$G$97,4,FALSE)="--","NULL",VLOOKUP($A94,'NE Data'!$A$3:$G$97,4,FALSE))</f>
        <v>NULL</v>
      </c>
      <c r="G94" s="612" t="s">
        <v>63</v>
      </c>
      <c r="H94" s="671">
        <f>vlookup(A94,'NE Data'!$A$104:$C$198,2,FALSE)</f>
        <v>0</v>
      </c>
      <c r="I94" s="614">
        <f>if(vlookup(A94,'NE Data'!$A$210:$B$304,2,FALSE)="*","NULL",vlookup(A94,'NE Data'!$A$210:$B$304,2,FALSE))</f>
        <v>0</v>
      </c>
      <c r="J94" s="615" t="s">
        <v>63</v>
      </c>
      <c r="K94" s="1061" t="str">
        <f>iferror(VLOOKUP($A94,'NE Data'!$A$3:$I$97,9,FALSE),"NULL")</f>
        <v>NULL</v>
      </c>
      <c r="L94" s="612" t="str">
        <f>if(vlookup(A94,'NE Data'!$A$312:$B$406,2,FALSE)="*","NULL",vlookup(A94,'NE Data'!$A$312:$B$406,2,FALSE))</f>
        <v>NULL</v>
      </c>
      <c r="M94" s="614" t="s">
        <v>63</v>
      </c>
      <c r="N94" s="612" t="s">
        <v>63</v>
      </c>
      <c r="O94" s="612" t="s">
        <v>63</v>
      </c>
      <c r="P94" s="620" t="str">
        <f>ifna(vlookup(A94,'Population &amp; Church Numbers'!$A$1657:$D$1749,4,FALSE),"NULL")</f>
        <v>NULL</v>
      </c>
      <c r="Q94" s="1062" t="str">
        <f>vlookup(A94,'NE Data'!$A$419:$B$513,2,FALSE)</f>
        <v>NULL</v>
      </c>
    </row>
    <row r="95">
      <c r="A95" s="609" t="s">
        <v>1196</v>
      </c>
      <c r="B95" s="610">
        <f t="array" ref="B95">VLOOKUP($A95,NE_DEMO,2,FALSE)</f>
        <v>14125</v>
      </c>
      <c r="C95" s="611">
        <f>if(VLOOKUP($A95,'NE Data'!$A$3:$B$97,2,FALSE)="--","NULL",VLOOKUP($A95,'NE Data'!$A$3:$B$97,2,FALSE))</f>
        <v>54</v>
      </c>
      <c r="D95" s="612">
        <f>vlookup(A95,'NE Data'!$A$104:$C$198,3,FALSE)</f>
        <v>2</v>
      </c>
      <c r="E95" s="612">
        <f>if(VLOOKUP($A95,'NE Data'!$A$3:$G$97,3,FALSE)="--","NULL",VLOOKUP($A95,'NE Data'!$A$3:$G$97,3,FALSE))</f>
        <v>22</v>
      </c>
      <c r="F95" s="612">
        <f>if(VLOOKUP($A95,'NE Data'!$A$3:$G$97,4,FALSE)="--","NULL",VLOOKUP($A95,'NE Data'!$A$3:$G$97,4,FALSE))</f>
        <v>29</v>
      </c>
      <c r="G95" s="612" t="s">
        <v>63</v>
      </c>
      <c r="H95" s="671">
        <f>vlookup(A95,'NE Data'!$A$104:$C$198,2,FALSE)</f>
        <v>19</v>
      </c>
      <c r="I95" s="614">
        <f>if(vlookup(A95,'NE Data'!$A$210:$B$304,2,FALSE)="*","NULL",vlookup(A95,'NE Data'!$A$210:$B$304,2,FALSE))</f>
        <v>10</v>
      </c>
      <c r="J95" s="615" t="s">
        <v>63</v>
      </c>
      <c r="K95" s="1061" t="str">
        <f>iferror(VLOOKUP($A95,'NE Data'!$A$3:$I$97,9,FALSE),"NULL")</f>
        <v>NULL</v>
      </c>
      <c r="L95" s="612" t="str">
        <f>if(vlookup(A95,'NE Data'!$A$312:$B$406,2,FALSE)="*","NULL",vlookup(A95,'NE Data'!$A$312:$B$406,2,FALSE))</f>
        <v>NULL</v>
      </c>
      <c r="M95" s="614" t="s">
        <v>63</v>
      </c>
      <c r="N95" s="612" t="s">
        <v>63</v>
      </c>
      <c r="O95" s="612" t="s">
        <v>63</v>
      </c>
      <c r="P95" s="620">
        <f>ifna(vlookup(A95,'Population &amp; Church Numbers'!$A$1657:$D$1749,4,FALSE),"NULL")</f>
        <v>25</v>
      </c>
      <c r="Q95" s="1062">
        <f>vlookup(A95,'NE Data'!$A$419:$B$513,2,FALSE)</f>
        <v>0.7857</v>
      </c>
    </row>
    <row r="96">
      <c r="A96" s="217"/>
      <c r="B96" s="218"/>
      <c r="C96" s="611"/>
      <c r="D96" s="220"/>
      <c r="E96" s="612"/>
      <c r="F96" s="612"/>
      <c r="G96" s="220"/>
      <c r="H96" s="221"/>
      <c r="I96" s="222"/>
      <c r="J96" s="223"/>
      <c r="K96" s="1061"/>
      <c r="L96" s="224"/>
      <c r="M96" s="225"/>
      <c r="N96" s="226"/>
      <c r="O96" s="220"/>
      <c r="P96" s="221"/>
      <c r="Q96" s="295"/>
    </row>
    <row r="97">
      <c r="A97" s="228" t="s">
        <v>2</v>
      </c>
      <c r="B97" s="229"/>
      <c r="C97" s="1157">
        <f>if(VLOOKUP($A97,'NE Data'!$A$3:$B$97,2,FALSE)="--","NULL",VLOOKUP($A97,'NE Data'!$A$3:$B$97,2,FALSE))</f>
        <v>3534</v>
      </c>
      <c r="D97" s="1140">
        <f>AVERAGE(D3:D95)</f>
        <v>1.696236559</v>
      </c>
      <c r="E97" s="1158">
        <f>if(VLOOKUP($A97,'NE Data'!$A$3:$G$97,3,FALSE)="--","NULL",VLOOKUP($A97,'NE Data'!$A$3:$G$97,3,FALSE))</f>
        <v>1236</v>
      </c>
      <c r="F97" s="1159">
        <f>if(VLOOKUP($A97,'NE Data'!$A$3:$G$97,4,FALSE)="--","NULL",VLOOKUP($A97,'NE Data'!$A$3:$G$97,4,FALSE))</f>
        <v>2092</v>
      </c>
      <c r="G97" s="311" t="s">
        <v>63</v>
      </c>
      <c r="H97" s="359">
        <f>'NE Data'!B198</f>
        <v>2365</v>
      </c>
      <c r="I97" s="360">
        <v>787.0</v>
      </c>
      <c r="J97" s="305" t="s">
        <v>63</v>
      </c>
      <c r="K97" s="1160">
        <f>iferror(VLOOKUP($A97,'NE Data'!$A$3:$I$97,9,FALSE),"NULL")</f>
        <v>0.493413831</v>
      </c>
      <c r="L97" s="359">
        <v>1205.0</v>
      </c>
      <c r="M97" s="360" t="s">
        <v>63</v>
      </c>
      <c r="N97" s="311" t="s">
        <v>63</v>
      </c>
      <c r="O97" s="311" t="s">
        <v>63</v>
      </c>
      <c r="P97" s="233">
        <f>SUM(P3:P95)</f>
        <v>2087</v>
      </c>
      <c r="Q97" s="1161">
        <f>'NE Data'!B513</f>
        <v>0.7189</v>
      </c>
    </row>
  </sheetData>
  <mergeCells count="1">
    <mergeCell ref="B1:Q1"/>
  </mergeCells>
  <drawing r:id="rId1"/>
  <tableParts count="1">
    <tablePart r:id="rId3"/>
  </tableParts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75" t="s">
        <v>1040</v>
      </c>
      <c r="B1" s="276"/>
      <c r="C1" s="276"/>
      <c r="D1" s="276"/>
      <c r="E1" s="275" t="s">
        <v>765</v>
      </c>
      <c r="F1" s="275" t="s">
        <v>3708</v>
      </c>
      <c r="G1" s="276"/>
      <c r="H1" s="276"/>
      <c r="I1" s="275" t="s">
        <v>767</v>
      </c>
      <c r="J1" s="277">
        <v>45490.0</v>
      </c>
      <c r="K1" s="275" t="s">
        <v>769</v>
      </c>
      <c r="L1" s="277">
        <v>45382.0</v>
      </c>
      <c r="M1" s="276"/>
    </row>
    <row r="2">
      <c r="B2" s="1" t="s">
        <v>3709</v>
      </c>
      <c r="C2" s="1" t="s">
        <v>3710</v>
      </c>
      <c r="D2" s="1" t="s">
        <v>3711</v>
      </c>
      <c r="E2" s="1" t="s">
        <v>3712</v>
      </c>
      <c r="F2" s="1" t="s">
        <v>3713</v>
      </c>
      <c r="G2" s="1" t="s">
        <v>3714</v>
      </c>
    </row>
    <row r="3">
      <c r="A3" s="1063" t="s">
        <v>386</v>
      </c>
      <c r="B3" s="1064">
        <v>67.0</v>
      </c>
      <c r="C3" s="1064">
        <v>24.0</v>
      </c>
      <c r="D3" s="206">
        <v>38.0</v>
      </c>
      <c r="E3" s="206">
        <v>31.0</v>
      </c>
      <c r="F3" s="206">
        <v>27.0</v>
      </c>
      <c r="G3" s="206">
        <v>41.0</v>
      </c>
      <c r="I3" s="119">
        <f t="shared" ref="I3:I97" si="1">F3/G3</f>
        <v>0.6585365854</v>
      </c>
    </row>
    <row r="4">
      <c r="A4" s="1063" t="s">
        <v>1467</v>
      </c>
      <c r="B4" s="1064" t="s">
        <v>3715</v>
      </c>
      <c r="C4" s="1064" t="s">
        <v>3715</v>
      </c>
      <c r="D4" s="206" t="s">
        <v>3715</v>
      </c>
      <c r="E4" s="206" t="s">
        <v>3715</v>
      </c>
      <c r="F4" s="206" t="s">
        <v>3715</v>
      </c>
      <c r="G4" s="206" t="s">
        <v>3715</v>
      </c>
      <c r="I4" s="119" t="str">
        <f t="shared" si="1"/>
        <v>#VALUE!</v>
      </c>
    </row>
    <row r="5">
      <c r="A5" s="1063" t="s">
        <v>1468</v>
      </c>
      <c r="B5" s="1064" t="s">
        <v>3715</v>
      </c>
      <c r="C5" s="1064" t="s">
        <v>3715</v>
      </c>
      <c r="D5" s="206" t="s">
        <v>3715</v>
      </c>
      <c r="E5" s="206" t="s">
        <v>3715</v>
      </c>
      <c r="F5" s="206" t="s">
        <v>3715</v>
      </c>
      <c r="G5" s="206" t="s">
        <v>3715</v>
      </c>
      <c r="I5" s="119" t="str">
        <f t="shared" si="1"/>
        <v>#VALUE!</v>
      </c>
    </row>
    <row r="6">
      <c r="A6" s="1063" t="s">
        <v>1469</v>
      </c>
      <c r="B6" s="1064" t="s">
        <v>3715</v>
      </c>
      <c r="C6" s="1064" t="s">
        <v>3715</v>
      </c>
      <c r="D6" s="206" t="s">
        <v>3715</v>
      </c>
      <c r="E6" s="206" t="s">
        <v>3715</v>
      </c>
      <c r="F6" s="206" t="s">
        <v>3715</v>
      </c>
      <c r="G6" s="206" t="s">
        <v>3715</v>
      </c>
      <c r="I6" s="119" t="str">
        <f t="shared" si="1"/>
        <v>#VALUE!</v>
      </c>
    </row>
    <row r="7">
      <c r="A7" s="1063" t="s">
        <v>666</v>
      </c>
      <c r="B7" s="1064" t="s">
        <v>3715</v>
      </c>
      <c r="C7" s="1064" t="s">
        <v>3715</v>
      </c>
      <c r="D7" s="206" t="s">
        <v>3715</v>
      </c>
      <c r="E7" s="206" t="s">
        <v>3715</v>
      </c>
      <c r="F7" s="206" t="s">
        <v>3715</v>
      </c>
      <c r="G7" s="206" t="s">
        <v>3715</v>
      </c>
      <c r="I7" s="119" t="str">
        <f t="shared" si="1"/>
        <v>#VALUE!</v>
      </c>
    </row>
    <row r="8">
      <c r="A8" s="1063" t="s">
        <v>246</v>
      </c>
      <c r="B8" s="1064" t="s">
        <v>3715</v>
      </c>
      <c r="C8" s="1064" t="s">
        <v>3715</v>
      </c>
      <c r="D8" s="206" t="s">
        <v>3715</v>
      </c>
      <c r="E8" s="206" t="s">
        <v>3715</v>
      </c>
      <c r="F8" s="206" t="s">
        <v>3715</v>
      </c>
      <c r="G8" s="206" t="s">
        <v>3715</v>
      </c>
      <c r="I8" s="119" t="str">
        <f t="shared" si="1"/>
        <v>#VALUE!</v>
      </c>
    </row>
    <row r="9">
      <c r="A9" s="1063" t="s">
        <v>1470</v>
      </c>
      <c r="B9" s="1064">
        <v>18.0</v>
      </c>
      <c r="C9" s="1064" t="s">
        <v>3715</v>
      </c>
      <c r="D9" s="206">
        <v>13.0</v>
      </c>
      <c r="E9" s="206" t="s">
        <v>3715</v>
      </c>
      <c r="F9" s="206" t="s">
        <v>3715</v>
      </c>
      <c r="G9" s="206" t="s">
        <v>3715</v>
      </c>
      <c r="I9" s="119" t="str">
        <f t="shared" si="1"/>
        <v>#VALUE!</v>
      </c>
    </row>
    <row r="10">
      <c r="A10" s="1063" t="s">
        <v>1028</v>
      </c>
      <c r="B10" s="1064" t="s">
        <v>3715</v>
      </c>
      <c r="C10" s="1064" t="s">
        <v>3715</v>
      </c>
      <c r="D10" s="206" t="s">
        <v>3715</v>
      </c>
      <c r="E10" s="206" t="s">
        <v>3715</v>
      </c>
      <c r="F10" s="206" t="s">
        <v>3715</v>
      </c>
      <c r="G10" s="206" t="s">
        <v>3715</v>
      </c>
      <c r="I10" s="119" t="str">
        <f t="shared" si="1"/>
        <v>#VALUE!</v>
      </c>
    </row>
    <row r="11">
      <c r="A11" s="1063" t="s">
        <v>706</v>
      </c>
      <c r="B11" s="1064" t="s">
        <v>3715</v>
      </c>
      <c r="C11" s="1064" t="s">
        <v>3715</v>
      </c>
      <c r="D11" s="206" t="s">
        <v>3715</v>
      </c>
      <c r="E11" s="206" t="s">
        <v>3715</v>
      </c>
      <c r="F11" s="206" t="s">
        <v>3715</v>
      </c>
      <c r="G11" s="206" t="s">
        <v>3715</v>
      </c>
      <c r="I11" s="119" t="str">
        <f t="shared" si="1"/>
        <v>#VALUE!</v>
      </c>
    </row>
    <row r="12">
      <c r="A12" s="1063" t="s">
        <v>1471</v>
      </c>
      <c r="B12" s="1065">
        <v>107.0</v>
      </c>
      <c r="C12" s="1065">
        <v>45.0</v>
      </c>
      <c r="D12" s="208">
        <v>57.0</v>
      </c>
      <c r="E12" s="206">
        <v>54.0</v>
      </c>
      <c r="F12" s="206">
        <v>26.0</v>
      </c>
      <c r="G12" s="206">
        <v>46.0</v>
      </c>
      <c r="I12" s="119">
        <f t="shared" si="1"/>
        <v>0.5652173913</v>
      </c>
    </row>
    <row r="13">
      <c r="A13" s="1063" t="s">
        <v>1472</v>
      </c>
      <c r="B13" s="1064" t="s">
        <v>3715</v>
      </c>
      <c r="C13" s="1064" t="s">
        <v>3715</v>
      </c>
      <c r="D13" s="206" t="s">
        <v>3715</v>
      </c>
      <c r="E13" s="206" t="s">
        <v>3715</v>
      </c>
      <c r="F13" s="206" t="s">
        <v>3715</v>
      </c>
      <c r="G13" s="206" t="s">
        <v>3715</v>
      </c>
      <c r="I13" s="119" t="str">
        <f t="shared" si="1"/>
        <v>#VALUE!</v>
      </c>
    </row>
    <row r="14">
      <c r="A14" s="1063" t="s">
        <v>87</v>
      </c>
      <c r="B14" s="1064">
        <v>18.0</v>
      </c>
      <c r="C14" s="1064" t="s">
        <v>3715</v>
      </c>
      <c r="D14" s="206" t="s">
        <v>3715</v>
      </c>
      <c r="E14" s="206">
        <v>13.0</v>
      </c>
      <c r="F14" s="206" t="s">
        <v>3715</v>
      </c>
      <c r="G14" s="206" t="s">
        <v>3715</v>
      </c>
      <c r="I14" s="119" t="str">
        <f t="shared" si="1"/>
        <v>#VALUE!</v>
      </c>
    </row>
    <row r="15">
      <c r="A15" s="1063" t="s">
        <v>708</v>
      </c>
      <c r="B15" s="1064">
        <v>23.0</v>
      </c>
      <c r="C15" s="1064">
        <v>16.0</v>
      </c>
      <c r="D15" s="206" t="s">
        <v>3715</v>
      </c>
      <c r="E15" s="206">
        <v>17.0</v>
      </c>
      <c r="F15" s="206" t="s">
        <v>3715</v>
      </c>
      <c r="G15" s="206" t="s">
        <v>3715</v>
      </c>
      <c r="I15" s="119" t="str">
        <f t="shared" si="1"/>
        <v>#VALUE!</v>
      </c>
    </row>
    <row r="16">
      <c r="A16" s="1063" t="s">
        <v>894</v>
      </c>
      <c r="B16" s="1064" t="s">
        <v>3715</v>
      </c>
      <c r="C16" s="1064" t="s">
        <v>3715</v>
      </c>
      <c r="D16" s="206" t="s">
        <v>3715</v>
      </c>
      <c r="E16" s="206" t="s">
        <v>3715</v>
      </c>
      <c r="F16" s="206" t="s">
        <v>3715</v>
      </c>
      <c r="G16" s="206" t="s">
        <v>3715</v>
      </c>
      <c r="I16" s="119" t="str">
        <f t="shared" si="1"/>
        <v>#VALUE!</v>
      </c>
    </row>
    <row r="17">
      <c r="A17" s="1063" t="s">
        <v>960</v>
      </c>
      <c r="B17" s="1064" t="s">
        <v>3715</v>
      </c>
      <c r="C17" s="1064" t="s">
        <v>3715</v>
      </c>
      <c r="D17" s="206" t="s">
        <v>3715</v>
      </c>
      <c r="E17" s="206" t="s">
        <v>3715</v>
      </c>
      <c r="F17" s="206" t="s">
        <v>3715</v>
      </c>
      <c r="G17" s="206" t="s">
        <v>3715</v>
      </c>
      <c r="I17" s="119" t="str">
        <f t="shared" si="1"/>
        <v>#VALUE!</v>
      </c>
    </row>
    <row r="18">
      <c r="A18" s="1063" t="s">
        <v>1473</v>
      </c>
      <c r="B18" s="1064" t="s">
        <v>3715</v>
      </c>
      <c r="C18" s="1064" t="s">
        <v>3715</v>
      </c>
      <c r="D18" s="206" t="s">
        <v>3715</v>
      </c>
      <c r="E18" s="206" t="s">
        <v>3715</v>
      </c>
      <c r="F18" s="206" t="s">
        <v>3715</v>
      </c>
      <c r="G18" s="206" t="s">
        <v>3715</v>
      </c>
      <c r="I18" s="119" t="str">
        <f t="shared" si="1"/>
        <v>#VALUE!</v>
      </c>
    </row>
    <row r="19">
      <c r="A19" s="1063" t="s">
        <v>399</v>
      </c>
      <c r="B19" s="1064">
        <v>19.0</v>
      </c>
      <c r="C19" s="1064" t="s">
        <v>3715</v>
      </c>
      <c r="D19" s="206" t="s">
        <v>3715</v>
      </c>
      <c r="E19" s="206">
        <v>14.0</v>
      </c>
      <c r="F19" s="206" t="s">
        <v>3715</v>
      </c>
      <c r="G19" s="206">
        <v>25.0</v>
      </c>
      <c r="I19" s="119" t="str">
        <f t="shared" si="1"/>
        <v>#VALUE!</v>
      </c>
    </row>
    <row r="20">
      <c r="A20" s="1063" t="s">
        <v>112</v>
      </c>
      <c r="B20" s="1064" t="s">
        <v>3715</v>
      </c>
      <c r="C20" s="1064" t="s">
        <v>3715</v>
      </c>
      <c r="D20" s="206" t="s">
        <v>3715</v>
      </c>
      <c r="E20" s="206" t="s">
        <v>3715</v>
      </c>
      <c r="F20" s="206" t="s">
        <v>3715</v>
      </c>
      <c r="G20" s="206" t="s">
        <v>3715</v>
      </c>
      <c r="I20" s="119" t="str">
        <f t="shared" si="1"/>
        <v>#VALUE!</v>
      </c>
    </row>
    <row r="21">
      <c r="A21" s="1063" t="s">
        <v>1474</v>
      </c>
      <c r="B21" s="1064">
        <v>15.0</v>
      </c>
      <c r="C21" s="1064" t="s">
        <v>3715</v>
      </c>
      <c r="D21" s="206">
        <v>10.0</v>
      </c>
      <c r="E21" s="206" t="s">
        <v>3715</v>
      </c>
      <c r="F21" s="206" t="s">
        <v>3715</v>
      </c>
      <c r="G21" s="206" t="s">
        <v>3715</v>
      </c>
      <c r="I21" s="119" t="str">
        <f t="shared" si="1"/>
        <v>#VALUE!</v>
      </c>
    </row>
    <row r="22">
      <c r="A22" s="1063" t="s">
        <v>1475</v>
      </c>
      <c r="B22" s="1064">
        <v>18.0</v>
      </c>
      <c r="C22" s="1064" t="s">
        <v>3715</v>
      </c>
      <c r="D22" s="206" t="s">
        <v>3715</v>
      </c>
      <c r="E22" s="206">
        <v>14.0</v>
      </c>
      <c r="F22" s="206">
        <v>12.0</v>
      </c>
      <c r="G22" s="206">
        <v>22.0</v>
      </c>
      <c r="I22" s="119">
        <f t="shared" si="1"/>
        <v>0.5454545455</v>
      </c>
    </row>
    <row r="23">
      <c r="A23" s="1063" t="s">
        <v>406</v>
      </c>
      <c r="B23" s="1064">
        <v>28.0</v>
      </c>
      <c r="C23" s="1064">
        <v>15.0</v>
      </c>
      <c r="D23" s="206">
        <v>10.0</v>
      </c>
      <c r="E23" s="206">
        <v>20.0</v>
      </c>
      <c r="F23" s="206" t="s">
        <v>3715</v>
      </c>
      <c r="G23" s="206">
        <v>11.0</v>
      </c>
      <c r="I23" s="119" t="str">
        <f t="shared" si="1"/>
        <v>#VALUE!</v>
      </c>
    </row>
    <row r="24">
      <c r="A24" s="1063" t="s">
        <v>1308</v>
      </c>
      <c r="B24" s="1064">
        <v>15.0</v>
      </c>
      <c r="C24" s="1064" t="s">
        <v>3715</v>
      </c>
      <c r="D24" s="206" t="s">
        <v>3715</v>
      </c>
      <c r="E24" s="206">
        <v>11.0</v>
      </c>
      <c r="F24" s="206" t="s">
        <v>3715</v>
      </c>
      <c r="G24" s="206" t="s">
        <v>3715</v>
      </c>
      <c r="I24" s="119" t="str">
        <f t="shared" si="1"/>
        <v>#VALUE!</v>
      </c>
    </row>
    <row r="25">
      <c r="A25" s="1063" t="s">
        <v>1476</v>
      </c>
      <c r="B25" s="1064">
        <v>10.0</v>
      </c>
      <c r="C25" s="1064" t="s">
        <v>3715</v>
      </c>
      <c r="D25" s="206" t="s">
        <v>3715</v>
      </c>
      <c r="E25" s="206" t="s">
        <v>3715</v>
      </c>
      <c r="F25" s="206" t="s">
        <v>3715</v>
      </c>
      <c r="G25" s="206" t="s">
        <v>3715</v>
      </c>
      <c r="I25" s="119" t="str">
        <f t="shared" si="1"/>
        <v>#VALUE!</v>
      </c>
    </row>
    <row r="26">
      <c r="A26" s="1063" t="s">
        <v>562</v>
      </c>
      <c r="B26" s="1064">
        <v>58.0</v>
      </c>
      <c r="C26" s="1064">
        <v>30.0</v>
      </c>
      <c r="D26" s="206">
        <v>26.0</v>
      </c>
      <c r="E26" s="206">
        <v>24.0</v>
      </c>
      <c r="F26" s="206">
        <v>21.0</v>
      </c>
      <c r="G26" s="206">
        <v>49.0</v>
      </c>
      <c r="I26" s="119">
        <f t="shared" si="1"/>
        <v>0.4285714286</v>
      </c>
    </row>
    <row r="27">
      <c r="A27" s="1063" t="s">
        <v>1477</v>
      </c>
      <c r="B27" s="1064" t="s">
        <v>3715</v>
      </c>
      <c r="C27" s="1064" t="s">
        <v>3715</v>
      </c>
      <c r="D27" s="206" t="s">
        <v>3715</v>
      </c>
      <c r="E27" s="206" t="s">
        <v>3715</v>
      </c>
      <c r="F27" s="206" t="s">
        <v>3715</v>
      </c>
      <c r="G27" s="206" t="s">
        <v>3715</v>
      </c>
      <c r="I27" s="119" t="str">
        <f t="shared" si="1"/>
        <v>#VALUE!</v>
      </c>
    </row>
    <row r="28">
      <c r="A28" s="1063" t="s">
        <v>1478</v>
      </c>
      <c r="B28" s="1064">
        <v>11.0</v>
      </c>
      <c r="C28" s="1064" t="s">
        <v>3715</v>
      </c>
      <c r="D28" s="206" t="s">
        <v>3715</v>
      </c>
      <c r="E28" s="206" t="s">
        <v>3715</v>
      </c>
      <c r="F28" s="206" t="s">
        <v>3715</v>
      </c>
      <c r="G28" s="206" t="s">
        <v>3715</v>
      </c>
      <c r="I28" s="119" t="str">
        <f t="shared" si="1"/>
        <v>#VALUE!</v>
      </c>
    </row>
    <row r="29">
      <c r="A29" s="1063" t="s">
        <v>564</v>
      </c>
      <c r="B29" s="1064">
        <v>111.0</v>
      </c>
      <c r="C29" s="1064">
        <v>30.0</v>
      </c>
      <c r="D29" s="206">
        <v>78.0</v>
      </c>
      <c r="E29" s="206">
        <v>41.0</v>
      </c>
      <c r="F29" s="206">
        <v>54.0</v>
      </c>
      <c r="G29" s="206">
        <v>68.0</v>
      </c>
      <c r="I29" s="119">
        <f t="shared" si="1"/>
        <v>0.7941176471</v>
      </c>
    </row>
    <row r="30">
      <c r="A30" s="1063" t="s">
        <v>412</v>
      </c>
      <c r="B30" s="1064">
        <v>1374.0</v>
      </c>
      <c r="C30" s="1064">
        <v>488.0</v>
      </c>
      <c r="D30" s="206">
        <v>805.0</v>
      </c>
      <c r="E30" s="206">
        <v>263.0</v>
      </c>
      <c r="F30" s="206">
        <v>318.0</v>
      </c>
      <c r="G30" s="206">
        <v>619.0</v>
      </c>
      <c r="I30" s="119">
        <f t="shared" si="1"/>
        <v>0.5137318255</v>
      </c>
    </row>
    <row r="31">
      <c r="A31" s="1063" t="s">
        <v>1479</v>
      </c>
      <c r="B31" s="1064" t="s">
        <v>3715</v>
      </c>
      <c r="C31" s="1064" t="s">
        <v>3715</v>
      </c>
      <c r="D31" s="206" t="s">
        <v>3715</v>
      </c>
      <c r="E31" s="206" t="s">
        <v>3715</v>
      </c>
      <c r="F31" s="206" t="s">
        <v>3715</v>
      </c>
      <c r="G31" s="206" t="s">
        <v>3715</v>
      </c>
      <c r="I31" s="119" t="str">
        <f t="shared" si="1"/>
        <v>#VALUE!</v>
      </c>
    </row>
    <row r="32">
      <c r="A32" s="1063" t="s">
        <v>1310</v>
      </c>
      <c r="B32" s="1064" t="s">
        <v>3715</v>
      </c>
      <c r="C32" s="1064" t="s">
        <v>3715</v>
      </c>
      <c r="D32" s="206" t="s">
        <v>3715</v>
      </c>
      <c r="E32" s="206" t="s">
        <v>3715</v>
      </c>
      <c r="F32" s="206" t="s">
        <v>3715</v>
      </c>
      <c r="G32" s="206" t="s">
        <v>3715</v>
      </c>
      <c r="I32" s="119" t="str">
        <f t="shared" si="1"/>
        <v>#VALUE!</v>
      </c>
    </row>
    <row r="33">
      <c r="A33" s="1063" t="s">
        <v>136</v>
      </c>
      <c r="B33" s="1064" t="s">
        <v>3715</v>
      </c>
      <c r="C33" s="1064" t="s">
        <v>3715</v>
      </c>
      <c r="D33" s="206" t="s">
        <v>3715</v>
      </c>
      <c r="E33" s="206" t="s">
        <v>3715</v>
      </c>
      <c r="F33" s="206" t="s">
        <v>3715</v>
      </c>
      <c r="G33" s="206" t="s">
        <v>3715</v>
      </c>
      <c r="I33" s="119" t="str">
        <f t="shared" si="1"/>
        <v>#VALUE!</v>
      </c>
    </row>
    <row r="34">
      <c r="A34" s="1063" t="s">
        <v>1480</v>
      </c>
      <c r="B34" s="1064" t="s">
        <v>3715</v>
      </c>
      <c r="C34" s="1064" t="s">
        <v>3715</v>
      </c>
      <c r="D34" s="206" t="s">
        <v>3715</v>
      </c>
      <c r="E34" s="206" t="s">
        <v>3715</v>
      </c>
      <c r="F34" s="206" t="s">
        <v>3715</v>
      </c>
      <c r="G34" s="206" t="s">
        <v>3715</v>
      </c>
      <c r="I34" s="119" t="str">
        <f t="shared" si="1"/>
        <v>#VALUE!</v>
      </c>
    </row>
    <row r="35">
      <c r="A35" s="1063" t="s">
        <v>1481</v>
      </c>
      <c r="B35" s="1064" t="s">
        <v>3715</v>
      </c>
      <c r="C35" s="1064" t="s">
        <v>3715</v>
      </c>
      <c r="D35" s="206" t="s">
        <v>3715</v>
      </c>
      <c r="E35" s="206" t="s">
        <v>3715</v>
      </c>
      <c r="F35" s="206" t="s">
        <v>3715</v>
      </c>
      <c r="G35" s="206" t="s">
        <v>3715</v>
      </c>
      <c r="I35" s="119" t="str">
        <f t="shared" si="1"/>
        <v>#VALUE!</v>
      </c>
    </row>
    <row r="36">
      <c r="A36" s="1063" t="s">
        <v>1482</v>
      </c>
      <c r="B36" s="1064">
        <v>17.0</v>
      </c>
      <c r="C36" s="1064" t="s">
        <v>3715</v>
      </c>
      <c r="D36" s="206">
        <v>10.0</v>
      </c>
      <c r="E36" s="206" t="s">
        <v>3715</v>
      </c>
      <c r="F36" s="206" t="s">
        <v>3715</v>
      </c>
      <c r="G36" s="206">
        <v>15.0</v>
      </c>
      <c r="I36" s="119" t="str">
        <f t="shared" si="1"/>
        <v>#VALUE!</v>
      </c>
    </row>
    <row r="37">
      <c r="A37" s="1063" t="s">
        <v>1483</v>
      </c>
      <c r="B37" s="1064" t="s">
        <v>3715</v>
      </c>
      <c r="C37" s="1064" t="s">
        <v>3715</v>
      </c>
      <c r="D37" s="206" t="s">
        <v>3715</v>
      </c>
      <c r="E37" s="206" t="s">
        <v>3715</v>
      </c>
      <c r="F37" s="206" t="s">
        <v>3715</v>
      </c>
      <c r="G37" s="206" t="s">
        <v>3715</v>
      </c>
      <c r="I37" s="119" t="str">
        <f t="shared" si="1"/>
        <v>#VALUE!</v>
      </c>
    </row>
    <row r="38">
      <c r="A38" s="1063" t="s">
        <v>417</v>
      </c>
      <c r="B38" s="1064" t="s">
        <v>3715</v>
      </c>
      <c r="C38" s="1064" t="s">
        <v>3715</v>
      </c>
      <c r="D38" s="206" t="s">
        <v>3715</v>
      </c>
      <c r="E38" s="206" t="s">
        <v>3715</v>
      </c>
      <c r="F38" s="206" t="s">
        <v>3715</v>
      </c>
      <c r="G38" s="206" t="s">
        <v>3715</v>
      </c>
      <c r="I38" s="119" t="str">
        <f t="shared" si="1"/>
        <v>#VALUE!</v>
      </c>
    </row>
    <row r="39">
      <c r="A39" s="1063" t="s">
        <v>1484</v>
      </c>
      <c r="B39" s="1064" t="s">
        <v>3715</v>
      </c>
      <c r="C39" s="1064" t="s">
        <v>3715</v>
      </c>
      <c r="D39" s="206" t="s">
        <v>3715</v>
      </c>
      <c r="E39" s="206" t="s">
        <v>3715</v>
      </c>
      <c r="F39" s="206" t="s">
        <v>3715</v>
      </c>
      <c r="G39" s="206" t="s">
        <v>3715</v>
      </c>
      <c r="I39" s="119" t="str">
        <f t="shared" si="1"/>
        <v>#VALUE!</v>
      </c>
    </row>
    <row r="40">
      <c r="A40" s="1063" t="s">
        <v>278</v>
      </c>
      <c r="B40" s="1064" t="s">
        <v>3715</v>
      </c>
      <c r="C40" s="1064" t="s">
        <v>3715</v>
      </c>
      <c r="D40" s="206" t="s">
        <v>3715</v>
      </c>
      <c r="E40" s="206" t="s">
        <v>3715</v>
      </c>
      <c r="F40" s="206" t="s">
        <v>3715</v>
      </c>
      <c r="G40" s="206" t="s">
        <v>3715</v>
      </c>
      <c r="I40" s="119" t="str">
        <f t="shared" si="1"/>
        <v>#VALUE!</v>
      </c>
    </row>
    <row r="41">
      <c r="A41" s="1063" t="s">
        <v>976</v>
      </c>
      <c r="B41" s="1064" t="s">
        <v>3715</v>
      </c>
      <c r="C41" s="1064" t="s">
        <v>3715</v>
      </c>
      <c r="D41" s="206" t="s">
        <v>3715</v>
      </c>
      <c r="E41" s="206" t="s">
        <v>3715</v>
      </c>
      <c r="F41" s="206" t="s">
        <v>3715</v>
      </c>
      <c r="G41" s="206" t="s">
        <v>3715</v>
      </c>
      <c r="I41" s="119" t="str">
        <f t="shared" si="1"/>
        <v>#VALUE!</v>
      </c>
    </row>
    <row r="42">
      <c r="A42" s="1063" t="s">
        <v>586</v>
      </c>
      <c r="B42" s="1064">
        <v>117.0</v>
      </c>
      <c r="C42" s="1064">
        <v>39.0</v>
      </c>
      <c r="D42" s="206">
        <v>73.0</v>
      </c>
      <c r="E42" s="206">
        <v>47.0</v>
      </c>
      <c r="F42" s="206">
        <v>36.0</v>
      </c>
      <c r="G42" s="206">
        <v>71.0</v>
      </c>
      <c r="I42" s="119">
        <f t="shared" si="1"/>
        <v>0.5070422535</v>
      </c>
    </row>
    <row r="43">
      <c r="A43" s="1063" t="s">
        <v>497</v>
      </c>
      <c r="B43" s="1064">
        <v>10.0</v>
      </c>
      <c r="C43" s="1064" t="s">
        <v>3715</v>
      </c>
      <c r="D43" s="206" t="s">
        <v>3715</v>
      </c>
      <c r="E43" s="206">
        <v>10.0</v>
      </c>
      <c r="F43" s="206" t="s">
        <v>3715</v>
      </c>
      <c r="G43" s="206" t="s">
        <v>3715</v>
      </c>
      <c r="I43" s="119" t="str">
        <f t="shared" si="1"/>
        <v>#VALUE!</v>
      </c>
    </row>
    <row r="44">
      <c r="A44" s="1063" t="s">
        <v>1088</v>
      </c>
      <c r="B44" s="1064" t="s">
        <v>3715</v>
      </c>
      <c r="C44" s="1064" t="s">
        <v>3715</v>
      </c>
      <c r="D44" s="206" t="s">
        <v>3715</v>
      </c>
      <c r="E44" s="206" t="s">
        <v>3715</v>
      </c>
      <c r="F44" s="206" t="s">
        <v>3715</v>
      </c>
      <c r="G44" s="206" t="s">
        <v>3715</v>
      </c>
      <c r="I44" s="119" t="str">
        <f t="shared" si="1"/>
        <v>#VALUE!</v>
      </c>
    </row>
    <row r="45">
      <c r="A45" s="1063" t="s">
        <v>1485</v>
      </c>
      <c r="B45" s="1064" t="s">
        <v>3715</v>
      </c>
      <c r="C45" s="1064" t="s">
        <v>3715</v>
      </c>
      <c r="D45" s="206" t="s">
        <v>3715</v>
      </c>
      <c r="E45" s="206" t="s">
        <v>3715</v>
      </c>
      <c r="F45" s="206" t="s">
        <v>3715</v>
      </c>
      <c r="G45" s="206" t="s">
        <v>3715</v>
      </c>
      <c r="I45" s="119" t="str">
        <f t="shared" si="1"/>
        <v>#VALUE!</v>
      </c>
    </row>
    <row r="46">
      <c r="A46" s="1063" t="s">
        <v>1486</v>
      </c>
      <c r="B46" s="1064" t="s">
        <v>3715</v>
      </c>
      <c r="C46" s="1064" t="s">
        <v>3715</v>
      </c>
      <c r="D46" s="206" t="s">
        <v>3715</v>
      </c>
      <c r="E46" s="206" t="s">
        <v>3715</v>
      </c>
      <c r="F46" s="206" t="s">
        <v>3715</v>
      </c>
      <c r="G46" s="206" t="s">
        <v>3715</v>
      </c>
      <c r="I46" s="119" t="str">
        <f t="shared" si="1"/>
        <v>#VALUE!</v>
      </c>
    </row>
    <row r="47">
      <c r="A47" s="1063" t="s">
        <v>1407</v>
      </c>
      <c r="B47" s="1064">
        <v>11.0</v>
      </c>
      <c r="C47" s="1064" t="s">
        <v>3715</v>
      </c>
      <c r="D47" s="206" t="s">
        <v>3715</v>
      </c>
      <c r="E47" s="206" t="s">
        <v>3715</v>
      </c>
      <c r="F47" s="206" t="s">
        <v>3715</v>
      </c>
      <c r="G47" s="206" t="s">
        <v>3715</v>
      </c>
      <c r="I47" s="119" t="str">
        <f t="shared" si="1"/>
        <v>#VALUE!</v>
      </c>
    </row>
    <row r="48">
      <c r="A48" s="1063" t="s">
        <v>1487</v>
      </c>
      <c r="B48" s="1064" t="s">
        <v>3715</v>
      </c>
      <c r="C48" s="1064" t="s">
        <v>3715</v>
      </c>
      <c r="D48" s="206" t="s">
        <v>3715</v>
      </c>
      <c r="E48" s="206" t="s">
        <v>3715</v>
      </c>
      <c r="F48" s="206" t="s">
        <v>3715</v>
      </c>
      <c r="G48" s="206" t="s">
        <v>3715</v>
      </c>
      <c r="I48" s="119" t="str">
        <f t="shared" si="1"/>
        <v>#VALUE!</v>
      </c>
    </row>
    <row r="49">
      <c r="A49" s="1063" t="s">
        <v>283</v>
      </c>
      <c r="B49" s="1064" t="s">
        <v>3715</v>
      </c>
      <c r="C49" s="1064" t="s">
        <v>3715</v>
      </c>
      <c r="D49" s="206" t="s">
        <v>3715</v>
      </c>
      <c r="E49" s="206" t="s">
        <v>3715</v>
      </c>
      <c r="F49" s="206" t="s">
        <v>3715</v>
      </c>
      <c r="G49" s="206" t="s">
        <v>3715</v>
      </c>
      <c r="I49" s="119" t="str">
        <f t="shared" si="1"/>
        <v>#VALUE!</v>
      </c>
    </row>
    <row r="50">
      <c r="A50" s="1063" t="s">
        <v>143</v>
      </c>
      <c r="B50" s="1064" t="s">
        <v>3715</v>
      </c>
      <c r="C50" s="1064" t="s">
        <v>3715</v>
      </c>
      <c r="D50" s="206" t="s">
        <v>3715</v>
      </c>
      <c r="E50" s="206" t="s">
        <v>3715</v>
      </c>
      <c r="F50" s="206" t="s">
        <v>3715</v>
      </c>
      <c r="G50" s="206">
        <v>14.0</v>
      </c>
      <c r="I50" s="119" t="str">
        <f t="shared" si="1"/>
        <v>#VALUE!</v>
      </c>
    </row>
    <row r="51">
      <c r="A51" s="1063" t="s">
        <v>288</v>
      </c>
      <c r="B51" s="1064" t="s">
        <v>3715</v>
      </c>
      <c r="C51" s="1064" t="s">
        <v>3715</v>
      </c>
      <c r="D51" s="206" t="s">
        <v>3715</v>
      </c>
      <c r="E51" s="206" t="s">
        <v>3715</v>
      </c>
      <c r="F51" s="206" t="s">
        <v>3715</v>
      </c>
      <c r="G51" s="206" t="s">
        <v>3715</v>
      </c>
      <c r="I51" s="119" t="str">
        <f t="shared" si="1"/>
        <v>#VALUE!</v>
      </c>
    </row>
    <row r="52">
      <c r="A52" s="1063" t="s">
        <v>1488</v>
      </c>
      <c r="B52" s="1064">
        <v>10.0</v>
      </c>
      <c r="C52" s="1064" t="s">
        <v>3715</v>
      </c>
      <c r="D52" s="206" t="s">
        <v>3715</v>
      </c>
      <c r="E52" s="206" t="s">
        <v>3715</v>
      </c>
      <c r="F52" s="206" t="s">
        <v>3715</v>
      </c>
      <c r="G52" s="206" t="s">
        <v>3715</v>
      </c>
      <c r="I52" s="119" t="str">
        <f t="shared" si="1"/>
        <v>#VALUE!</v>
      </c>
    </row>
    <row r="53">
      <c r="A53" s="1063" t="s">
        <v>1489</v>
      </c>
      <c r="B53" s="1064">
        <v>25.0</v>
      </c>
      <c r="C53" s="1064" t="s">
        <v>3715</v>
      </c>
      <c r="D53" s="206">
        <v>18.0</v>
      </c>
      <c r="E53" s="206">
        <v>11.0</v>
      </c>
      <c r="F53" s="206" t="s">
        <v>3715</v>
      </c>
      <c r="G53" s="206" t="s">
        <v>3715</v>
      </c>
      <c r="I53" s="119" t="str">
        <f t="shared" si="1"/>
        <v>#VALUE!</v>
      </c>
    </row>
    <row r="54">
      <c r="A54" s="1063" t="s">
        <v>1490</v>
      </c>
      <c r="B54" s="1064" t="s">
        <v>3715</v>
      </c>
      <c r="C54" s="1064" t="s">
        <v>3715</v>
      </c>
      <c r="D54" s="206" t="s">
        <v>3715</v>
      </c>
      <c r="E54" s="206" t="s">
        <v>3715</v>
      </c>
      <c r="F54" s="206" t="s">
        <v>3715</v>
      </c>
      <c r="G54" s="206" t="s">
        <v>3715</v>
      </c>
      <c r="I54" s="119" t="str">
        <f t="shared" si="1"/>
        <v>#VALUE!</v>
      </c>
    </row>
    <row r="55">
      <c r="A55" s="1063" t="s">
        <v>1491</v>
      </c>
      <c r="B55" s="1064" t="s">
        <v>3715</v>
      </c>
      <c r="C55" s="1064" t="s">
        <v>3715</v>
      </c>
      <c r="D55" s="206" t="s">
        <v>3715</v>
      </c>
      <c r="E55" s="206" t="s">
        <v>3715</v>
      </c>
      <c r="F55" s="206" t="s">
        <v>3715</v>
      </c>
      <c r="G55" s="206" t="s">
        <v>3715</v>
      </c>
      <c r="I55" s="119" t="str">
        <f t="shared" si="1"/>
        <v>#VALUE!</v>
      </c>
    </row>
    <row r="56">
      <c r="A56" s="1063" t="s">
        <v>728</v>
      </c>
      <c r="B56" s="1064">
        <v>15.0</v>
      </c>
      <c r="C56" s="1064" t="s">
        <v>3715</v>
      </c>
      <c r="D56" s="206">
        <v>11.0</v>
      </c>
      <c r="E56" s="206">
        <v>11.0</v>
      </c>
      <c r="F56" s="206" t="s">
        <v>3715</v>
      </c>
      <c r="G56" s="206" t="s">
        <v>3715</v>
      </c>
      <c r="I56" s="119" t="str">
        <f t="shared" si="1"/>
        <v>#VALUE!</v>
      </c>
    </row>
    <row r="57">
      <c r="A57" s="1063" t="s">
        <v>650</v>
      </c>
      <c r="B57" s="1064">
        <v>497.0</v>
      </c>
      <c r="C57" s="1064">
        <v>184.0</v>
      </c>
      <c r="D57" s="206">
        <v>277.0</v>
      </c>
      <c r="E57" s="206">
        <v>167.0</v>
      </c>
      <c r="F57" s="206">
        <v>86.0</v>
      </c>
      <c r="G57" s="206">
        <v>228.0</v>
      </c>
      <c r="I57" s="119">
        <f t="shared" si="1"/>
        <v>0.3771929825</v>
      </c>
    </row>
    <row r="58">
      <c r="A58" s="1063" t="s">
        <v>290</v>
      </c>
      <c r="B58" s="1064">
        <v>140.0</v>
      </c>
      <c r="C58" s="1064">
        <v>33.0</v>
      </c>
      <c r="D58" s="206">
        <v>100.0</v>
      </c>
      <c r="E58" s="206">
        <v>45.0</v>
      </c>
      <c r="F58" s="206">
        <v>62.0</v>
      </c>
      <c r="G58" s="206">
        <v>105.0</v>
      </c>
      <c r="I58" s="119">
        <f t="shared" si="1"/>
        <v>0.5904761905</v>
      </c>
    </row>
    <row r="59">
      <c r="A59" s="1063" t="s">
        <v>293</v>
      </c>
      <c r="B59" s="1064" t="s">
        <v>3715</v>
      </c>
      <c r="C59" s="1064" t="s">
        <v>3715</v>
      </c>
      <c r="D59" s="206" t="s">
        <v>3715</v>
      </c>
      <c r="E59" s="206" t="s">
        <v>3715</v>
      </c>
      <c r="F59" s="206" t="s">
        <v>3715</v>
      </c>
      <c r="G59" s="206" t="s">
        <v>3715</v>
      </c>
      <c r="I59" s="119" t="str">
        <f t="shared" si="1"/>
        <v>#VALUE!</v>
      </c>
    </row>
    <row r="60">
      <c r="A60" s="1063" t="s">
        <v>1492</v>
      </c>
      <c r="B60" s="1064" t="s">
        <v>3715</v>
      </c>
      <c r="C60" s="1064" t="s">
        <v>3715</v>
      </c>
      <c r="D60" s="206" t="s">
        <v>3715</v>
      </c>
      <c r="E60" s="206" t="s">
        <v>3715</v>
      </c>
      <c r="F60" s="206" t="s">
        <v>3715</v>
      </c>
      <c r="G60" s="206" t="s">
        <v>3715</v>
      </c>
      <c r="I60" s="119" t="str">
        <f t="shared" si="1"/>
        <v>#VALUE!</v>
      </c>
    </row>
    <row r="61">
      <c r="A61" s="1063" t="s">
        <v>988</v>
      </c>
      <c r="B61" s="1064">
        <v>67.0</v>
      </c>
      <c r="C61" s="1064">
        <v>21.0</v>
      </c>
      <c r="D61" s="206">
        <v>43.0</v>
      </c>
      <c r="E61" s="206">
        <v>31.0</v>
      </c>
      <c r="F61" s="206">
        <v>35.0</v>
      </c>
      <c r="G61" s="206">
        <v>61.0</v>
      </c>
      <c r="I61" s="119">
        <f t="shared" si="1"/>
        <v>0.5737704918</v>
      </c>
    </row>
    <row r="62">
      <c r="A62" s="1063" t="s">
        <v>151</v>
      </c>
      <c r="B62" s="1064" t="s">
        <v>3715</v>
      </c>
      <c r="C62" s="1064" t="s">
        <v>3715</v>
      </c>
      <c r="D62" s="206" t="s">
        <v>3715</v>
      </c>
      <c r="E62" s="206" t="s">
        <v>3715</v>
      </c>
      <c r="F62" s="206" t="s">
        <v>3715</v>
      </c>
      <c r="G62" s="206" t="s">
        <v>3715</v>
      </c>
      <c r="I62" s="119" t="str">
        <f t="shared" si="1"/>
        <v>#VALUE!</v>
      </c>
    </row>
    <row r="63">
      <c r="A63" s="1063" t="s">
        <v>1493</v>
      </c>
      <c r="B63" s="1064" t="s">
        <v>3715</v>
      </c>
      <c r="C63" s="1064" t="s">
        <v>3715</v>
      </c>
      <c r="D63" s="206" t="s">
        <v>3715</v>
      </c>
      <c r="E63" s="206" t="s">
        <v>3715</v>
      </c>
      <c r="F63" s="206" t="s">
        <v>3715</v>
      </c>
      <c r="G63" s="206" t="s">
        <v>3715</v>
      </c>
      <c r="I63" s="119" t="str">
        <f t="shared" si="1"/>
        <v>#VALUE!</v>
      </c>
    </row>
    <row r="64">
      <c r="A64" s="1063" t="s">
        <v>1494</v>
      </c>
      <c r="B64" s="1064" t="s">
        <v>3715</v>
      </c>
      <c r="C64" s="1064" t="s">
        <v>3715</v>
      </c>
      <c r="D64" s="206" t="s">
        <v>3715</v>
      </c>
      <c r="E64" s="206" t="s">
        <v>3715</v>
      </c>
      <c r="F64" s="206" t="s">
        <v>3715</v>
      </c>
      <c r="G64" s="206" t="s">
        <v>3715</v>
      </c>
      <c r="I64" s="119" t="str">
        <f t="shared" si="1"/>
        <v>#VALUE!</v>
      </c>
    </row>
    <row r="65">
      <c r="A65" s="1063" t="s">
        <v>1495</v>
      </c>
      <c r="B65" s="1064" t="s">
        <v>3715</v>
      </c>
      <c r="C65" s="1064" t="s">
        <v>3715</v>
      </c>
      <c r="D65" s="206" t="s">
        <v>3715</v>
      </c>
      <c r="E65" s="206" t="s">
        <v>3715</v>
      </c>
      <c r="F65" s="206" t="s">
        <v>3715</v>
      </c>
      <c r="G65" s="206" t="s">
        <v>3715</v>
      </c>
      <c r="I65" s="119" t="str">
        <f t="shared" si="1"/>
        <v>#VALUE!</v>
      </c>
    </row>
    <row r="66">
      <c r="A66" s="1063" t="s">
        <v>992</v>
      </c>
      <c r="B66" s="1064" t="s">
        <v>3715</v>
      </c>
      <c r="C66" s="1064" t="s">
        <v>3715</v>
      </c>
      <c r="D66" s="206" t="s">
        <v>3715</v>
      </c>
      <c r="E66" s="206" t="s">
        <v>3715</v>
      </c>
      <c r="F66" s="206" t="s">
        <v>3715</v>
      </c>
      <c r="G66" s="206" t="s">
        <v>3715</v>
      </c>
      <c r="I66" s="119" t="str">
        <f t="shared" si="1"/>
        <v>#VALUE!</v>
      </c>
    </row>
    <row r="67">
      <c r="A67" s="1063" t="s">
        <v>1496</v>
      </c>
      <c r="B67" s="1064" t="s">
        <v>3715</v>
      </c>
      <c r="C67" s="1064" t="s">
        <v>3715</v>
      </c>
      <c r="D67" s="206" t="s">
        <v>3715</v>
      </c>
      <c r="E67" s="206" t="s">
        <v>3715</v>
      </c>
      <c r="F67" s="206" t="s">
        <v>3715</v>
      </c>
      <c r="G67" s="206" t="s">
        <v>3715</v>
      </c>
      <c r="I67" s="119" t="str">
        <f t="shared" si="1"/>
        <v>#VALUE!</v>
      </c>
    </row>
    <row r="68">
      <c r="A68" s="1063" t="s">
        <v>1497</v>
      </c>
      <c r="B68" s="1064">
        <v>14.0</v>
      </c>
      <c r="C68" s="1064" t="s">
        <v>3715</v>
      </c>
      <c r="D68" s="206" t="s">
        <v>3715</v>
      </c>
      <c r="E68" s="206" t="s">
        <v>3715</v>
      </c>
      <c r="F68" s="206" t="s">
        <v>3715</v>
      </c>
      <c r="G68" s="206">
        <v>23.0</v>
      </c>
      <c r="I68" s="119" t="str">
        <f t="shared" si="1"/>
        <v>#VALUE!</v>
      </c>
    </row>
    <row r="69">
      <c r="A69" s="1063" t="s">
        <v>999</v>
      </c>
      <c r="B69" s="1064" t="s">
        <v>3715</v>
      </c>
      <c r="C69" s="1064" t="s">
        <v>3715</v>
      </c>
      <c r="D69" s="206" t="s">
        <v>3715</v>
      </c>
      <c r="E69" s="206" t="s">
        <v>3715</v>
      </c>
      <c r="F69" s="206" t="s">
        <v>3715</v>
      </c>
      <c r="G69" s="206" t="s">
        <v>3715</v>
      </c>
      <c r="I69" s="119" t="str">
        <f t="shared" si="1"/>
        <v>#VALUE!</v>
      </c>
    </row>
    <row r="70">
      <c r="A70" s="1063" t="s">
        <v>1498</v>
      </c>
      <c r="B70" s="1064" t="s">
        <v>3715</v>
      </c>
      <c r="C70" s="1064" t="s">
        <v>3715</v>
      </c>
      <c r="D70" s="206" t="s">
        <v>3715</v>
      </c>
      <c r="E70" s="206" t="s">
        <v>3715</v>
      </c>
      <c r="F70" s="206" t="s">
        <v>3715</v>
      </c>
      <c r="G70" s="206" t="s">
        <v>3715</v>
      </c>
      <c r="I70" s="119" t="str">
        <f t="shared" si="1"/>
        <v>#VALUE!</v>
      </c>
    </row>
    <row r="71">
      <c r="A71" s="1063" t="s">
        <v>1418</v>
      </c>
      <c r="B71" s="1064">
        <v>16.0</v>
      </c>
      <c r="C71" s="1064" t="s">
        <v>3715</v>
      </c>
      <c r="D71" s="206">
        <v>10.0</v>
      </c>
      <c r="E71" s="206" t="s">
        <v>3715</v>
      </c>
      <c r="F71" s="206" t="s">
        <v>3715</v>
      </c>
      <c r="G71" s="206" t="s">
        <v>3715</v>
      </c>
      <c r="I71" s="119" t="str">
        <f t="shared" si="1"/>
        <v>#VALUE!</v>
      </c>
    </row>
    <row r="72">
      <c r="A72" s="1063" t="s">
        <v>473</v>
      </c>
      <c r="B72" s="1064">
        <v>18.0</v>
      </c>
      <c r="C72" s="1064" t="s">
        <v>3715</v>
      </c>
      <c r="D72" s="206">
        <v>14.0</v>
      </c>
      <c r="E72" s="206" t="s">
        <v>3715</v>
      </c>
      <c r="F72" s="206" t="s">
        <v>3715</v>
      </c>
      <c r="G72" s="206" t="s">
        <v>3715</v>
      </c>
      <c r="I72" s="119" t="str">
        <f t="shared" si="1"/>
        <v>#VALUE!</v>
      </c>
    </row>
    <row r="73">
      <c r="A73" s="1063" t="s">
        <v>1419</v>
      </c>
      <c r="B73" s="1064">
        <v>54.0</v>
      </c>
      <c r="C73" s="1064">
        <v>19.0</v>
      </c>
      <c r="D73" s="206">
        <v>35.0</v>
      </c>
      <c r="E73" s="206">
        <v>24.0</v>
      </c>
      <c r="F73" s="206">
        <v>18.0</v>
      </c>
      <c r="G73" s="206">
        <v>24.0</v>
      </c>
      <c r="I73" s="119">
        <f t="shared" si="1"/>
        <v>0.75</v>
      </c>
    </row>
    <row r="74">
      <c r="A74" s="1063" t="s">
        <v>302</v>
      </c>
      <c r="B74" s="1064" t="s">
        <v>3715</v>
      </c>
      <c r="C74" s="1064" t="s">
        <v>3715</v>
      </c>
      <c r="D74" s="206" t="s">
        <v>3715</v>
      </c>
      <c r="E74" s="206" t="s">
        <v>3715</v>
      </c>
      <c r="F74" s="206" t="s">
        <v>3715</v>
      </c>
      <c r="G74" s="206" t="s">
        <v>3715</v>
      </c>
      <c r="I74" s="119" t="str">
        <f t="shared" si="1"/>
        <v>#VALUE!</v>
      </c>
    </row>
    <row r="75">
      <c r="A75" s="1063" t="s">
        <v>1499</v>
      </c>
      <c r="B75" s="1064">
        <v>16.0</v>
      </c>
      <c r="C75" s="1064" t="s">
        <v>3715</v>
      </c>
      <c r="D75" s="206" t="s">
        <v>3715</v>
      </c>
      <c r="E75" s="206" t="s">
        <v>3715</v>
      </c>
      <c r="F75" s="206" t="s">
        <v>3715</v>
      </c>
      <c r="G75" s="206" t="s">
        <v>3715</v>
      </c>
      <c r="I75" s="119" t="str">
        <f t="shared" si="1"/>
        <v>#VALUE!</v>
      </c>
    </row>
    <row r="76">
      <c r="A76" s="1063" t="s">
        <v>1500</v>
      </c>
      <c r="B76" s="1064">
        <v>10.0</v>
      </c>
      <c r="C76" s="1064" t="s">
        <v>3715</v>
      </c>
      <c r="D76" s="206" t="s">
        <v>3715</v>
      </c>
      <c r="E76" s="206" t="s">
        <v>3715</v>
      </c>
      <c r="F76" s="206" t="s">
        <v>3715</v>
      </c>
      <c r="G76" s="206" t="s">
        <v>3715</v>
      </c>
      <c r="I76" s="119" t="str">
        <f t="shared" si="1"/>
        <v>#VALUE!</v>
      </c>
    </row>
    <row r="77">
      <c r="A77" s="1063" t="s">
        <v>1341</v>
      </c>
      <c r="B77" s="1064" t="s">
        <v>3715</v>
      </c>
      <c r="C77" s="1064" t="s">
        <v>3715</v>
      </c>
      <c r="D77" s="206" t="s">
        <v>3715</v>
      </c>
      <c r="E77" s="206" t="s">
        <v>3715</v>
      </c>
      <c r="F77" s="206" t="s">
        <v>3715</v>
      </c>
      <c r="G77" s="206" t="s">
        <v>3715</v>
      </c>
      <c r="I77" s="119" t="str">
        <f t="shared" si="1"/>
        <v>#VALUE!</v>
      </c>
    </row>
    <row r="78">
      <c r="A78" s="1063" t="s">
        <v>308</v>
      </c>
      <c r="B78" s="1064">
        <v>14.0</v>
      </c>
      <c r="C78" s="1064" t="s">
        <v>3715</v>
      </c>
      <c r="D78" s="206" t="s">
        <v>3715</v>
      </c>
      <c r="E78" s="206">
        <v>11.0</v>
      </c>
      <c r="F78" s="206" t="s">
        <v>3715</v>
      </c>
      <c r="G78" s="206" t="s">
        <v>3715</v>
      </c>
      <c r="I78" s="119" t="str">
        <f t="shared" si="1"/>
        <v>#VALUE!</v>
      </c>
    </row>
    <row r="79">
      <c r="A79" s="1063" t="s">
        <v>1501</v>
      </c>
      <c r="B79" s="1064">
        <v>195.0</v>
      </c>
      <c r="C79" s="1064">
        <v>50.0</v>
      </c>
      <c r="D79" s="206">
        <v>138.0</v>
      </c>
      <c r="E79" s="206">
        <v>128.0</v>
      </c>
      <c r="F79" s="206">
        <v>36.0</v>
      </c>
      <c r="G79" s="206">
        <v>89.0</v>
      </c>
      <c r="I79" s="119">
        <f t="shared" si="1"/>
        <v>0.404494382</v>
      </c>
    </row>
    <row r="80">
      <c r="A80" s="1063" t="s">
        <v>1502</v>
      </c>
      <c r="B80" s="1064">
        <v>29.0</v>
      </c>
      <c r="C80" s="1064" t="s">
        <v>3715</v>
      </c>
      <c r="D80" s="206">
        <v>20.0</v>
      </c>
      <c r="E80" s="206">
        <v>18.0</v>
      </c>
      <c r="F80" s="206">
        <v>12.0</v>
      </c>
      <c r="G80" s="206">
        <v>18.0</v>
      </c>
      <c r="I80" s="119">
        <f t="shared" si="1"/>
        <v>0.6666666667</v>
      </c>
    </row>
    <row r="81">
      <c r="A81" s="1063" t="s">
        <v>1503</v>
      </c>
      <c r="B81" s="1064">
        <v>77.0</v>
      </c>
      <c r="C81" s="1064">
        <v>26.0</v>
      </c>
      <c r="D81" s="206">
        <v>44.0</v>
      </c>
      <c r="E81" s="206">
        <v>28.0</v>
      </c>
      <c r="F81" s="206">
        <v>16.0</v>
      </c>
      <c r="G81" s="206">
        <v>47.0</v>
      </c>
      <c r="I81" s="119">
        <f t="shared" si="1"/>
        <v>0.3404255319</v>
      </c>
    </row>
    <row r="82">
      <c r="A82" s="1063" t="s">
        <v>1008</v>
      </c>
      <c r="B82" s="1064">
        <v>27.0</v>
      </c>
      <c r="C82" s="1064" t="s">
        <v>3715</v>
      </c>
      <c r="D82" s="206">
        <v>17.0</v>
      </c>
      <c r="E82" s="206">
        <v>16.0</v>
      </c>
      <c r="F82" s="206" t="s">
        <v>3715</v>
      </c>
      <c r="G82" s="206" t="s">
        <v>3715</v>
      </c>
      <c r="I82" s="119" t="str">
        <f t="shared" si="1"/>
        <v>#VALUE!</v>
      </c>
    </row>
    <row r="83">
      <c r="A83" s="1063" t="s">
        <v>1010</v>
      </c>
      <c r="B83" s="1064">
        <v>12.0</v>
      </c>
      <c r="C83" s="1064" t="s">
        <v>3715</v>
      </c>
      <c r="D83" s="206">
        <v>10.0</v>
      </c>
      <c r="E83" s="206" t="s">
        <v>3715</v>
      </c>
      <c r="F83" s="206" t="s">
        <v>3715</v>
      </c>
      <c r="G83" s="206" t="s">
        <v>3715</v>
      </c>
      <c r="I83" s="119" t="str">
        <f t="shared" si="1"/>
        <v>#VALUE!</v>
      </c>
    </row>
    <row r="84">
      <c r="A84" s="1063" t="s">
        <v>1011</v>
      </c>
      <c r="B84" s="1064" t="s">
        <v>3715</v>
      </c>
      <c r="C84" s="1064" t="s">
        <v>3715</v>
      </c>
      <c r="D84" s="206" t="s">
        <v>3715</v>
      </c>
      <c r="E84" s="206" t="s">
        <v>3715</v>
      </c>
      <c r="F84" s="206" t="s">
        <v>3715</v>
      </c>
      <c r="G84" s="206" t="s">
        <v>3715</v>
      </c>
      <c r="I84" s="119" t="str">
        <f t="shared" si="1"/>
        <v>#VALUE!</v>
      </c>
    </row>
    <row r="85">
      <c r="A85" s="1063" t="s">
        <v>937</v>
      </c>
      <c r="B85" s="1064" t="s">
        <v>3715</v>
      </c>
      <c r="C85" s="1064" t="s">
        <v>3715</v>
      </c>
      <c r="D85" s="206" t="s">
        <v>3715</v>
      </c>
      <c r="E85" s="206" t="s">
        <v>3715</v>
      </c>
      <c r="F85" s="206" t="s">
        <v>3715</v>
      </c>
      <c r="G85" s="206" t="s">
        <v>3715</v>
      </c>
      <c r="I85" s="119" t="str">
        <f t="shared" si="1"/>
        <v>#VALUE!</v>
      </c>
    </row>
    <row r="86">
      <c r="A86" s="1063" t="s">
        <v>1014</v>
      </c>
      <c r="B86" s="1064" t="s">
        <v>3715</v>
      </c>
      <c r="C86" s="1064" t="s">
        <v>3715</v>
      </c>
      <c r="D86" s="206" t="s">
        <v>3715</v>
      </c>
      <c r="E86" s="206" t="s">
        <v>3715</v>
      </c>
      <c r="F86" s="206" t="s">
        <v>3715</v>
      </c>
      <c r="G86" s="206" t="s">
        <v>3715</v>
      </c>
      <c r="I86" s="119" t="str">
        <f t="shared" si="1"/>
        <v>#VALUE!</v>
      </c>
    </row>
    <row r="87">
      <c r="A87" s="1063" t="s">
        <v>1504</v>
      </c>
      <c r="B87" s="1064" t="s">
        <v>3715</v>
      </c>
      <c r="C87" s="1064" t="s">
        <v>3715</v>
      </c>
      <c r="D87" s="206" t="s">
        <v>3715</v>
      </c>
      <c r="E87" s="206" t="s">
        <v>3715</v>
      </c>
      <c r="F87" s="206" t="s">
        <v>3715</v>
      </c>
      <c r="G87" s="206" t="s">
        <v>3715</v>
      </c>
      <c r="I87" s="119" t="str">
        <f t="shared" si="1"/>
        <v>#VALUE!</v>
      </c>
    </row>
    <row r="88">
      <c r="A88" s="1063" t="s">
        <v>636</v>
      </c>
      <c r="B88" s="1064" t="s">
        <v>3715</v>
      </c>
      <c r="C88" s="1064" t="s">
        <v>3715</v>
      </c>
      <c r="D88" s="206" t="s">
        <v>3715</v>
      </c>
      <c r="E88" s="206" t="s">
        <v>3715</v>
      </c>
      <c r="F88" s="206" t="s">
        <v>3715</v>
      </c>
      <c r="G88" s="206" t="s">
        <v>3715</v>
      </c>
      <c r="I88" s="119" t="str">
        <f t="shared" si="1"/>
        <v>#VALUE!</v>
      </c>
    </row>
    <row r="89">
      <c r="A89" s="1063" t="s">
        <v>1505</v>
      </c>
      <c r="B89" s="1064" t="s">
        <v>3715</v>
      </c>
      <c r="C89" s="1064" t="s">
        <v>3715</v>
      </c>
      <c r="D89" s="206" t="s">
        <v>3715</v>
      </c>
      <c r="E89" s="206" t="s">
        <v>3715</v>
      </c>
      <c r="F89" s="206" t="s">
        <v>3715</v>
      </c>
      <c r="G89" s="206" t="s">
        <v>3715</v>
      </c>
      <c r="I89" s="119" t="str">
        <f t="shared" si="1"/>
        <v>#VALUE!</v>
      </c>
    </row>
    <row r="90">
      <c r="A90" s="1063" t="s">
        <v>692</v>
      </c>
      <c r="B90" s="1064" t="s">
        <v>3715</v>
      </c>
      <c r="C90" s="1064" t="s">
        <v>3715</v>
      </c>
      <c r="D90" s="206" t="s">
        <v>3715</v>
      </c>
      <c r="E90" s="206" t="s">
        <v>3715</v>
      </c>
      <c r="F90" s="206" t="s">
        <v>3715</v>
      </c>
      <c r="G90" s="206">
        <v>15.0</v>
      </c>
      <c r="I90" s="119" t="str">
        <f t="shared" si="1"/>
        <v>#VALUE!</v>
      </c>
    </row>
    <row r="91">
      <c r="A91" s="1063" t="s">
        <v>119</v>
      </c>
      <c r="B91" s="1064">
        <v>14.0</v>
      </c>
      <c r="C91" s="1064" t="s">
        <v>3715</v>
      </c>
      <c r="D91" s="206" t="s">
        <v>3715</v>
      </c>
      <c r="E91" s="206" t="s">
        <v>3715</v>
      </c>
      <c r="F91" s="206" t="s">
        <v>3715</v>
      </c>
      <c r="G91" s="206" t="s">
        <v>3715</v>
      </c>
      <c r="I91" s="119" t="str">
        <f t="shared" si="1"/>
        <v>#VALUE!</v>
      </c>
    </row>
    <row r="92">
      <c r="A92" s="1063" t="s">
        <v>273</v>
      </c>
      <c r="B92" s="1064">
        <v>11.0</v>
      </c>
      <c r="C92" s="1064" t="s">
        <v>3715</v>
      </c>
      <c r="D92" s="206" t="s">
        <v>3715</v>
      </c>
      <c r="E92" s="206" t="s">
        <v>3715</v>
      </c>
      <c r="F92" s="206" t="s">
        <v>3715</v>
      </c>
      <c r="G92" s="206">
        <v>11.0</v>
      </c>
      <c r="I92" s="119" t="str">
        <f t="shared" si="1"/>
        <v>#VALUE!</v>
      </c>
    </row>
    <row r="93">
      <c r="A93" s="1063" t="s">
        <v>648</v>
      </c>
      <c r="B93" s="1064" t="s">
        <v>3715</v>
      </c>
      <c r="C93" s="1064" t="s">
        <v>3715</v>
      </c>
      <c r="D93" s="206" t="s">
        <v>3715</v>
      </c>
      <c r="E93" s="206" t="s">
        <v>3715</v>
      </c>
      <c r="F93" s="206" t="s">
        <v>3715</v>
      </c>
      <c r="G93" s="206" t="s">
        <v>3715</v>
      </c>
      <c r="I93" s="119" t="str">
        <f t="shared" si="1"/>
        <v>#VALUE!</v>
      </c>
    </row>
    <row r="94">
      <c r="A94" s="1063" t="s">
        <v>649</v>
      </c>
      <c r="B94" s="1064" t="s">
        <v>3715</v>
      </c>
      <c r="C94" s="1064" t="s">
        <v>3715</v>
      </c>
      <c r="D94" s="206" t="s">
        <v>3715</v>
      </c>
      <c r="E94" s="206" t="s">
        <v>3715</v>
      </c>
      <c r="F94" s="206" t="s">
        <v>3715</v>
      </c>
      <c r="G94" s="206" t="s">
        <v>3715</v>
      </c>
      <c r="I94" s="119" t="str">
        <f t="shared" si="1"/>
        <v>#VALUE!</v>
      </c>
    </row>
    <row r="95">
      <c r="A95" s="1063" t="s">
        <v>1196</v>
      </c>
      <c r="B95" s="1064">
        <v>54.0</v>
      </c>
      <c r="C95" s="1064">
        <v>22.0</v>
      </c>
      <c r="D95" s="206">
        <v>29.0</v>
      </c>
      <c r="E95" s="206">
        <v>35.0</v>
      </c>
      <c r="F95" s="206" t="s">
        <v>3715</v>
      </c>
      <c r="G95" s="206">
        <v>14.0</v>
      </c>
      <c r="I95" s="119" t="str">
        <f t="shared" si="1"/>
        <v>#VALUE!</v>
      </c>
    </row>
    <row r="96">
      <c r="I96" s="119" t="str">
        <f t="shared" si="1"/>
        <v>#DIV/0!</v>
      </c>
    </row>
    <row r="97">
      <c r="A97" s="204" t="s">
        <v>923</v>
      </c>
      <c r="B97" s="833">
        <v>3534.0</v>
      </c>
      <c r="C97" s="833">
        <v>1236.0</v>
      </c>
      <c r="D97" s="833">
        <v>2092.0</v>
      </c>
      <c r="E97" s="833">
        <v>1295.0</v>
      </c>
      <c r="F97" s="833">
        <v>899.0</v>
      </c>
      <c r="G97" s="833">
        <v>1822.0</v>
      </c>
      <c r="I97" s="1069">
        <f t="shared" si="1"/>
        <v>0.493413831</v>
      </c>
    </row>
    <row r="100">
      <c r="A100" s="275" t="s">
        <v>852</v>
      </c>
      <c r="B100" s="276"/>
      <c r="C100" s="276"/>
      <c r="D100" s="276"/>
      <c r="E100" s="275" t="s">
        <v>765</v>
      </c>
      <c r="F100" s="275" t="s">
        <v>3716</v>
      </c>
      <c r="G100" s="276"/>
      <c r="H100" s="276"/>
      <c r="I100" s="275" t="s">
        <v>767</v>
      </c>
      <c r="J100" s="277">
        <v>45462.0</v>
      </c>
      <c r="K100" s="275" t="s">
        <v>769</v>
      </c>
      <c r="L100" s="277">
        <v>45383.0</v>
      </c>
      <c r="M100" s="276"/>
    </row>
    <row r="102">
      <c r="A102" s="351" t="s">
        <v>3717</v>
      </c>
      <c r="B102" s="548"/>
      <c r="C102" s="548"/>
    </row>
    <row r="103">
      <c r="A103" s="548"/>
      <c r="B103" s="548"/>
      <c r="C103" s="548"/>
    </row>
    <row r="104">
      <c r="A104" s="351" t="s">
        <v>172</v>
      </c>
      <c r="B104" s="351" t="s">
        <v>3718</v>
      </c>
      <c r="C104" s="351" t="s">
        <v>3719</v>
      </c>
    </row>
    <row r="105">
      <c r="A105" s="351" t="s">
        <v>386</v>
      </c>
      <c r="B105" s="351">
        <v>40.0</v>
      </c>
      <c r="C105" s="351">
        <v>1.98</v>
      </c>
    </row>
    <row r="106">
      <c r="A106" s="351" t="s">
        <v>1467</v>
      </c>
      <c r="B106" s="351">
        <v>8.0</v>
      </c>
      <c r="C106" s="351">
        <v>1.63</v>
      </c>
    </row>
    <row r="107">
      <c r="A107" s="351" t="s">
        <v>1468</v>
      </c>
      <c r="B107" s="351">
        <v>0.0</v>
      </c>
      <c r="C107" s="351">
        <v>0.0</v>
      </c>
    </row>
    <row r="108">
      <c r="A108" s="351" t="s">
        <v>1469</v>
      </c>
      <c r="B108" s="351">
        <v>2.0</v>
      </c>
      <c r="C108" s="351">
        <v>2.0</v>
      </c>
    </row>
    <row r="109">
      <c r="A109" s="351" t="s">
        <v>666</v>
      </c>
      <c r="B109" s="351">
        <v>1.0</v>
      </c>
      <c r="C109" s="351">
        <v>3.0</v>
      </c>
    </row>
    <row r="110">
      <c r="A110" s="351" t="s">
        <v>246</v>
      </c>
      <c r="B110" s="351">
        <v>2.0</v>
      </c>
      <c r="C110" s="351">
        <v>2.0</v>
      </c>
    </row>
    <row r="111">
      <c r="A111" s="351" t="s">
        <v>1470</v>
      </c>
      <c r="B111" s="351">
        <v>11.0</v>
      </c>
      <c r="C111" s="351">
        <v>2.36</v>
      </c>
    </row>
    <row r="112">
      <c r="A112" s="351" t="s">
        <v>1028</v>
      </c>
      <c r="B112" s="351">
        <v>2.0</v>
      </c>
      <c r="C112" s="351">
        <v>1.5</v>
      </c>
    </row>
    <row r="113">
      <c r="A113" s="351" t="s">
        <v>706</v>
      </c>
      <c r="B113" s="351">
        <v>0.0</v>
      </c>
      <c r="C113" s="351">
        <v>0.0</v>
      </c>
    </row>
    <row r="114">
      <c r="A114" s="351" t="s">
        <v>1471</v>
      </c>
      <c r="B114" s="351">
        <v>71.0</v>
      </c>
      <c r="C114" s="351">
        <v>2.21</v>
      </c>
    </row>
    <row r="115">
      <c r="A115" s="351" t="s">
        <v>1472</v>
      </c>
      <c r="B115" s="351">
        <v>8.0</v>
      </c>
      <c r="C115" s="351">
        <v>1.5</v>
      </c>
    </row>
    <row r="116">
      <c r="A116" s="351" t="s">
        <v>87</v>
      </c>
      <c r="B116" s="351">
        <v>11.0</v>
      </c>
      <c r="C116" s="351">
        <v>1.91</v>
      </c>
    </row>
    <row r="117">
      <c r="A117" s="351" t="s">
        <v>708</v>
      </c>
      <c r="B117" s="351">
        <v>28.0</v>
      </c>
      <c r="C117" s="351">
        <v>2.32</v>
      </c>
    </row>
    <row r="118">
      <c r="A118" s="351" t="s">
        <v>894</v>
      </c>
      <c r="B118" s="351">
        <v>4.0</v>
      </c>
      <c r="C118" s="351">
        <v>3.25</v>
      </c>
    </row>
    <row r="119">
      <c r="A119" s="351" t="s">
        <v>960</v>
      </c>
      <c r="B119" s="351">
        <v>3.0</v>
      </c>
      <c r="C119" s="351">
        <v>2.33</v>
      </c>
    </row>
    <row r="120">
      <c r="A120" s="351" t="s">
        <v>1473</v>
      </c>
      <c r="B120" s="351">
        <v>2.0</v>
      </c>
      <c r="C120" s="351">
        <v>1.0</v>
      </c>
    </row>
    <row r="121">
      <c r="A121" s="351" t="s">
        <v>399</v>
      </c>
      <c r="B121" s="351">
        <v>10.0</v>
      </c>
      <c r="C121" s="351">
        <v>2.1</v>
      </c>
    </row>
    <row r="122">
      <c r="A122" s="351" t="s">
        <v>112</v>
      </c>
      <c r="B122" s="351">
        <v>12.0</v>
      </c>
      <c r="C122" s="351">
        <v>2.42</v>
      </c>
    </row>
    <row r="123">
      <c r="A123" s="351" t="s">
        <v>1474</v>
      </c>
      <c r="B123" s="351">
        <v>6.0</v>
      </c>
      <c r="C123" s="351">
        <v>1.67</v>
      </c>
    </row>
    <row r="124">
      <c r="A124" s="351" t="s">
        <v>1475</v>
      </c>
      <c r="B124" s="351">
        <v>8.0</v>
      </c>
      <c r="C124" s="351">
        <v>2.0</v>
      </c>
    </row>
    <row r="125">
      <c r="A125" s="351" t="s">
        <v>406</v>
      </c>
      <c r="B125" s="351">
        <v>8.0</v>
      </c>
      <c r="C125" s="351">
        <v>1.88</v>
      </c>
    </row>
    <row r="126">
      <c r="A126" s="351" t="s">
        <v>1308</v>
      </c>
      <c r="B126" s="351">
        <v>9.0</v>
      </c>
      <c r="C126" s="351">
        <v>1.44</v>
      </c>
    </row>
    <row r="127">
      <c r="A127" s="351" t="s">
        <v>1476</v>
      </c>
      <c r="B127" s="351">
        <v>5.0</v>
      </c>
      <c r="C127" s="351">
        <v>1.8</v>
      </c>
    </row>
    <row r="128">
      <c r="A128" s="351" t="s">
        <v>562</v>
      </c>
      <c r="B128" s="351">
        <v>37.0</v>
      </c>
      <c r="C128" s="351">
        <v>1.62</v>
      </c>
    </row>
    <row r="129">
      <c r="A129" s="351" t="s">
        <v>1477</v>
      </c>
      <c r="B129" s="351">
        <v>1.0</v>
      </c>
      <c r="C129" s="351">
        <v>3.0</v>
      </c>
    </row>
    <row r="130">
      <c r="A130" s="351" t="s">
        <v>1478</v>
      </c>
      <c r="B130" s="351">
        <v>3.0</v>
      </c>
      <c r="C130" s="351">
        <v>2.33</v>
      </c>
    </row>
    <row r="131">
      <c r="A131" s="351" t="s">
        <v>564</v>
      </c>
      <c r="B131" s="351">
        <v>52.0</v>
      </c>
      <c r="C131" s="351">
        <v>1.71</v>
      </c>
    </row>
    <row r="132">
      <c r="A132" s="351" t="s">
        <v>412</v>
      </c>
      <c r="B132" s="351">
        <v>908.0</v>
      </c>
      <c r="C132" s="351">
        <v>2.12</v>
      </c>
    </row>
    <row r="133">
      <c r="A133" s="351" t="s">
        <v>1479</v>
      </c>
      <c r="B133" s="351">
        <v>1.0</v>
      </c>
      <c r="C133" s="351">
        <v>1.0</v>
      </c>
    </row>
    <row r="134">
      <c r="A134" s="351" t="s">
        <v>1310</v>
      </c>
      <c r="B134" s="351">
        <v>3.0</v>
      </c>
      <c r="C134" s="351">
        <v>2.33</v>
      </c>
    </row>
    <row r="135">
      <c r="A135" s="351" t="s">
        <v>136</v>
      </c>
      <c r="B135" s="351">
        <v>4.0</v>
      </c>
      <c r="C135" s="351">
        <v>2.25</v>
      </c>
    </row>
    <row r="136">
      <c r="A136" s="351" t="s">
        <v>1480</v>
      </c>
      <c r="B136" s="351">
        <v>3.0</v>
      </c>
      <c r="C136" s="351">
        <v>1.0</v>
      </c>
    </row>
    <row r="137">
      <c r="A137" s="351" t="s">
        <v>1481</v>
      </c>
      <c r="B137" s="351">
        <v>5.0</v>
      </c>
      <c r="C137" s="351">
        <v>1.8</v>
      </c>
    </row>
    <row r="138">
      <c r="A138" s="351" t="s">
        <v>1482</v>
      </c>
      <c r="B138" s="351">
        <v>17.0</v>
      </c>
      <c r="C138" s="351">
        <v>2.35</v>
      </c>
    </row>
    <row r="139">
      <c r="A139" s="351" t="s">
        <v>1483</v>
      </c>
      <c r="B139" s="351">
        <v>3.0</v>
      </c>
      <c r="C139" s="351">
        <v>1.33</v>
      </c>
    </row>
    <row r="140">
      <c r="A140" s="351" t="s">
        <v>417</v>
      </c>
      <c r="B140" s="351">
        <v>0.0</v>
      </c>
      <c r="C140" s="351">
        <v>0.0</v>
      </c>
    </row>
    <row r="141">
      <c r="A141" s="351" t="s">
        <v>1484</v>
      </c>
      <c r="B141" s="351">
        <v>0.0</v>
      </c>
      <c r="C141" s="351">
        <v>0.0</v>
      </c>
    </row>
    <row r="142">
      <c r="A142" s="351" t="s">
        <v>278</v>
      </c>
      <c r="B142" s="351">
        <v>2.0</v>
      </c>
      <c r="C142" s="351">
        <v>1.5</v>
      </c>
    </row>
    <row r="143">
      <c r="A143" s="351" t="s">
        <v>976</v>
      </c>
      <c r="B143" s="351">
        <v>1.0</v>
      </c>
      <c r="C143" s="351">
        <v>1.0</v>
      </c>
    </row>
    <row r="144">
      <c r="A144" s="351" t="s">
        <v>586</v>
      </c>
      <c r="B144" s="351">
        <v>65.0</v>
      </c>
      <c r="C144" s="351">
        <v>2.08</v>
      </c>
    </row>
    <row r="145">
      <c r="A145" s="351" t="s">
        <v>497</v>
      </c>
      <c r="B145" s="351">
        <v>7.0</v>
      </c>
      <c r="C145" s="351">
        <v>1.43</v>
      </c>
    </row>
    <row r="146">
      <c r="A146" s="351" t="s">
        <v>1088</v>
      </c>
      <c r="B146" s="351">
        <v>2.0</v>
      </c>
      <c r="C146" s="351">
        <v>2.0</v>
      </c>
    </row>
    <row r="147">
      <c r="A147" s="351" t="s">
        <v>1485</v>
      </c>
      <c r="B147" s="351">
        <v>0.0</v>
      </c>
      <c r="C147" s="351">
        <v>0.0</v>
      </c>
    </row>
    <row r="148">
      <c r="A148" s="351" t="s">
        <v>1486</v>
      </c>
      <c r="B148" s="351">
        <v>1.0</v>
      </c>
      <c r="C148" s="351">
        <v>2.0</v>
      </c>
    </row>
    <row r="149">
      <c r="A149" s="351" t="s">
        <v>1407</v>
      </c>
      <c r="B149" s="351">
        <v>10.0</v>
      </c>
      <c r="C149" s="351">
        <v>2.1</v>
      </c>
    </row>
    <row r="150">
      <c r="A150" s="351" t="s">
        <v>1487</v>
      </c>
      <c r="B150" s="351">
        <v>0.0</v>
      </c>
      <c r="C150" s="351">
        <v>0.0</v>
      </c>
    </row>
    <row r="151">
      <c r="A151" s="351" t="s">
        <v>283</v>
      </c>
      <c r="B151" s="351">
        <v>5.0</v>
      </c>
      <c r="C151" s="351">
        <v>2.0</v>
      </c>
    </row>
    <row r="152">
      <c r="A152" s="351" t="s">
        <v>143</v>
      </c>
      <c r="B152" s="351">
        <v>10.0</v>
      </c>
      <c r="C152" s="351">
        <v>1.6</v>
      </c>
    </row>
    <row r="153">
      <c r="A153" s="351" t="s">
        <v>288</v>
      </c>
      <c r="B153" s="351">
        <v>2.0</v>
      </c>
      <c r="C153" s="351">
        <v>1.0</v>
      </c>
    </row>
    <row r="154">
      <c r="A154" s="351" t="s">
        <v>1488</v>
      </c>
      <c r="B154" s="351">
        <v>5.0</v>
      </c>
      <c r="C154" s="351">
        <v>2.0</v>
      </c>
    </row>
    <row r="155">
      <c r="A155" s="351" t="s">
        <v>1489</v>
      </c>
      <c r="B155" s="351">
        <v>8.0</v>
      </c>
      <c r="C155" s="351">
        <v>2.63</v>
      </c>
    </row>
    <row r="156">
      <c r="A156" s="351" t="s">
        <v>1490</v>
      </c>
      <c r="B156" s="351">
        <v>0.0</v>
      </c>
      <c r="C156" s="351">
        <v>0.0</v>
      </c>
    </row>
    <row r="157">
      <c r="A157" s="351" t="s">
        <v>1491</v>
      </c>
      <c r="B157" s="351">
        <v>5.0</v>
      </c>
      <c r="C157" s="351">
        <v>1.4</v>
      </c>
    </row>
    <row r="158">
      <c r="A158" s="351" t="s">
        <v>728</v>
      </c>
      <c r="B158" s="351">
        <v>10.0</v>
      </c>
      <c r="C158" s="351">
        <v>1.8</v>
      </c>
    </row>
    <row r="159">
      <c r="A159" s="351" t="s">
        <v>650</v>
      </c>
      <c r="B159" s="351">
        <v>271.0</v>
      </c>
      <c r="C159" s="351">
        <v>1.97</v>
      </c>
    </row>
    <row r="160">
      <c r="A160" s="351" t="s">
        <v>290</v>
      </c>
      <c r="B160" s="351">
        <v>66.0</v>
      </c>
      <c r="C160" s="351">
        <v>1.98</v>
      </c>
    </row>
    <row r="161">
      <c r="A161" s="351" t="s">
        <v>293</v>
      </c>
      <c r="B161" s="351">
        <v>0.0</v>
      </c>
      <c r="C161" s="351">
        <v>0.0</v>
      </c>
    </row>
    <row r="162">
      <c r="A162" s="351" t="s">
        <v>1492</v>
      </c>
      <c r="B162" s="351">
        <v>1.0</v>
      </c>
      <c r="C162" s="351">
        <v>1.0</v>
      </c>
    </row>
    <row r="163">
      <c r="A163" s="351" t="s">
        <v>988</v>
      </c>
      <c r="B163" s="351">
        <v>0.0</v>
      </c>
      <c r="C163" s="351">
        <v>0.0</v>
      </c>
    </row>
    <row r="164">
      <c r="A164" s="351" t="s">
        <v>151</v>
      </c>
      <c r="B164" s="351">
        <v>41.0</v>
      </c>
      <c r="C164" s="351">
        <v>2.22</v>
      </c>
    </row>
    <row r="165">
      <c r="A165" s="351" t="s">
        <v>1493</v>
      </c>
      <c r="B165" s="351">
        <v>9.0</v>
      </c>
      <c r="C165" s="351">
        <v>2.33</v>
      </c>
    </row>
    <row r="166">
      <c r="A166" s="351" t="s">
        <v>1494</v>
      </c>
      <c r="B166" s="351">
        <v>10.0</v>
      </c>
      <c r="C166" s="351">
        <v>1.4</v>
      </c>
    </row>
    <row r="167">
      <c r="A167" s="351" t="s">
        <v>1495</v>
      </c>
      <c r="B167" s="351">
        <v>2.0</v>
      </c>
      <c r="C167" s="351">
        <v>2.5</v>
      </c>
    </row>
    <row r="168">
      <c r="A168" s="351" t="s">
        <v>992</v>
      </c>
      <c r="B168" s="351">
        <v>5.0</v>
      </c>
      <c r="C168" s="351">
        <v>1.8</v>
      </c>
    </row>
    <row r="169">
      <c r="A169" s="351" t="s">
        <v>1496</v>
      </c>
      <c r="B169" s="351">
        <v>4.0</v>
      </c>
      <c r="C169" s="351">
        <v>1.75</v>
      </c>
    </row>
    <row r="170">
      <c r="A170" s="351" t="s">
        <v>1497</v>
      </c>
      <c r="B170" s="351">
        <v>15.0</v>
      </c>
      <c r="C170" s="351">
        <v>1.8</v>
      </c>
    </row>
    <row r="171">
      <c r="A171" s="351" t="s">
        <v>999</v>
      </c>
      <c r="B171" s="351">
        <v>5.0</v>
      </c>
      <c r="C171" s="351">
        <v>1.2</v>
      </c>
    </row>
    <row r="172">
      <c r="A172" s="351" t="s">
        <v>1498</v>
      </c>
      <c r="B172" s="351">
        <v>2.0</v>
      </c>
      <c r="C172" s="351">
        <v>2.5</v>
      </c>
    </row>
    <row r="173">
      <c r="A173" s="351" t="s">
        <v>1418</v>
      </c>
      <c r="B173" s="351">
        <v>12.0</v>
      </c>
      <c r="C173" s="351">
        <v>1.92</v>
      </c>
    </row>
    <row r="174">
      <c r="A174" s="351" t="s">
        <v>473</v>
      </c>
      <c r="B174" s="351">
        <v>7.0</v>
      </c>
      <c r="C174" s="351">
        <v>2.43</v>
      </c>
    </row>
    <row r="175">
      <c r="A175" s="351" t="s">
        <v>1419</v>
      </c>
      <c r="B175" s="351">
        <v>26.0</v>
      </c>
      <c r="C175" s="351">
        <v>2.23</v>
      </c>
    </row>
    <row r="176">
      <c r="A176" s="351" t="s">
        <v>302</v>
      </c>
      <c r="B176" s="351">
        <v>7.0</v>
      </c>
      <c r="C176" s="351">
        <v>2.71</v>
      </c>
    </row>
    <row r="177">
      <c r="A177" s="351" t="s">
        <v>1499</v>
      </c>
      <c r="B177" s="351">
        <v>15.0</v>
      </c>
      <c r="C177" s="351">
        <v>1.87</v>
      </c>
    </row>
    <row r="178">
      <c r="A178" s="351" t="s">
        <v>1500</v>
      </c>
      <c r="B178" s="351">
        <v>7.0</v>
      </c>
      <c r="C178" s="351">
        <v>1.43</v>
      </c>
    </row>
    <row r="179">
      <c r="A179" s="351" t="s">
        <v>1341</v>
      </c>
      <c r="B179" s="351">
        <v>0.0</v>
      </c>
      <c r="C179" s="351">
        <v>0.0</v>
      </c>
    </row>
    <row r="180">
      <c r="A180" s="351" t="s">
        <v>308</v>
      </c>
      <c r="B180" s="351">
        <v>7.0</v>
      </c>
      <c r="C180" s="351">
        <v>2.0</v>
      </c>
    </row>
    <row r="181">
      <c r="A181" s="351" t="s">
        <v>1501</v>
      </c>
      <c r="B181" s="351">
        <v>209.0</v>
      </c>
      <c r="C181" s="351">
        <v>2.14</v>
      </c>
    </row>
    <row r="182">
      <c r="A182" s="351" t="s">
        <v>1502</v>
      </c>
      <c r="B182" s="351">
        <v>20.0</v>
      </c>
      <c r="C182" s="351">
        <v>1.9</v>
      </c>
    </row>
    <row r="183">
      <c r="A183" s="351" t="s">
        <v>1503</v>
      </c>
      <c r="B183" s="351">
        <v>64.0</v>
      </c>
      <c r="C183" s="351">
        <v>1.91</v>
      </c>
    </row>
    <row r="184">
      <c r="A184" s="351" t="s">
        <v>1008</v>
      </c>
      <c r="B184" s="351">
        <v>20.0</v>
      </c>
      <c r="C184" s="351">
        <v>1.95</v>
      </c>
    </row>
    <row r="185">
      <c r="A185" s="351" t="s">
        <v>1010</v>
      </c>
      <c r="B185" s="351">
        <v>3.0</v>
      </c>
      <c r="C185" s="351">
        <v>2.33</v>
      </c>
    </row>
    <row r="186">
      <c r="A186" s="351" t="s">
        <v>1011</v>
      </c>
      <c r="B186" s="351">
        <v>9.0</v>
      </c>
      <c r="C186" s="351">
        <v>2.67</v>
      </c>
    </row>
    <row r="187">
      <c r="A187" s="351" t="s">
        <v>937</v>
      </c>
      <c r="B187" s="351">
        <v>0.0</v>
      </c>
      <c r="C187" s="351">
        <v>0.0</v>
      </c>
    </row>
    <row r="188">
      <c r="A188" s="351" t="s">
        <v>1014</v>
      </c>
      <c r="B188" s="351">
        <v>6.0</v>
      </c>
      <c r="C188" s="351">
        <v>2.33</v>
      </c>
    </row>
    <row r="189">
      <c r="A189" s="351" t="s">
        <v>1504</v>
      </c>
      <c r="B189" s="351">
        <v>6.0</v>
      </c>
      <c r="C189" s="351">
        <v>2.0</v>
      </c>
    </row>
    <row r="190">
      <c r="A190" s="351" t="s">
        <v>636</v>
      </c>
      <c r="B190" s="351">
        <v>1.0</v>
      </c>
      <c r="C190" s="351">
        <v>1.0</v>
      </c>
    </row>
    <row r="191">
      <c r="A191" s="351" t="s">
        <v>1505</v>
      </c>
      <c r="B191" s="351">
        <v>46.0</v>
      </c>
      <c r="C191" s="351">
        <v>2.33</v>
      </c>
    </row>
    <row r="192">
      <c r="A192" s="351" t="s">
        <v>692</v>
      </c>
      <c r="B192" s="351">
        <v>5.0</v>
      </c>
      <c r="C192" s="351">
        <v>2.0</v>
      </c>
    </row>
    <row r="193">
      <c r="A193" s="351" t="s">
        <v>119</v>
      </c>
      <c r="B193" s="351">
        <v>13.0</v>
      </c>
      <c r="C193" s="351">
        <v>2.08</v>
      </c>
    </row>
    <row r="194">
      <c r="A194" s="351" t="s">
        <v>273</v>
      </c>
      <c r="B194" s="351">
        <v>7.0</v>
      </c>
      <c r="C194" s="351">
        <v>2.14</v>
      </c>
    </row>
    <row r="195">
      <c r="A195" s="351" t="s">
        <v>648</v>
      </c>
      <c r="B195" s="351">
        <v>4.0</v>
      </c>
      <c r="C195" s="351">
        <v>2.25</v>
      </c>
    </row>
    <row r="196">
      <c r="A196" s="351" t="s">
        <v>649</v>
      </c>
      <c r="B196" s="351">
        <v>0.0</v>
      </c>
      <c r="C196" s="351">
        <v>0.0</v>
      </c>
    </row>
    <row r="197">
      <c r="A197" s="351" t="s">
        <v>1196</v>
      </c>
      <c r="B197" s="351">
        <v>19.0</v>
      </c>
      <c r="C197" s="351">
        <v>2.0</v>
      </c>
    </row>
    <row r="198">
      <c r="A198" s="351" t="s">
        <v>61</v>
      </c>
      <c r="B198" s="351">
        <v>2365.0</v>
      </c>
      <c r="C198" s="351">
        <v>2.06</v>
      </c>
    </row>
    <row r="199">
      <c r="A199" s="351" t="s">
        <v>3720</v>
      </c>
      <c r="B199" s="548"/>
      <c r="C199" s="548"/>
    </row>
    <row r="200">
      <c r="A200" s="548"/>
      <c r="B200" s="548"/>
      <c r="C200" s="548"/>
    </row>
    <row r="201">
      <c r="A201" s="548"/>
      <c r="B201" s="548"/>
      <c r="C201" s="548"/>
    </row>
    <row r="202">
      <c r="A202" s="548"/>
      <c r="B202" s="548"/>
      <c r="C202" s="548"/>
    </row>
    <row r="203">
      <c r="A203" s="548"/>
      <c r="B203" s="548"/>
      <c r="C203" s="548"/>
    </row>
    <row r="204">
      <c r="A204" s="548"/>
      <c r="B204" s="548"/>
      <c r="C204" s="548"/>
    </row>
    <row r="206">
      <c r="A206" s="275" t="s">
        <v>792</v>
      </c>
      <c r="B206" s="276"/>
      <c r="C206" s="276"/>
      <c r="D206" s="276"/>
      <c r="E206" s="275" t="s">
        <v>765</v>
      </c>
      <c r="F206" s="275" t="s">
        <v>3716</v>
      </c>
      <c r="G206" s="276"/>
      <c r="H206" s="276"/>
      <c r="I206" s="275" t="s">
        <v>767</v>
      </c>
      <c r="J206" s="277">
        <v>45462.0</v>
      </c>
      <c r="K206" s="275" t="s">
        <v>769</v>
      </c>
      <c r="L206" s="277">
        <v>45383.0</v>
      </c>
      <c r="M206" s="276"/>
    </row>
    <row r="208">
      <c r="A208" s="351" t="s">
        <v>3721</v>
      </c>
      <c r="B208" s="548"/>
    </row>
    <row r="209">
      <c r="A209" s="548"/>
      <c r="B209" s="548"/>
    </row>
    <row r="210">
      <c r="A210" s="351" t="s">
        <v>172</v>
      </c>
      <c r="B210" s="351" t="s">
        <v>3722</v>
      </c>
    </row>
    <row r="211">
      <c r="A211" s="351" t="s">
        <v>386</v>
      </c>
      <c r="B211" s="351">
        <v>14.0</v>
      </c>
    </row>
    <row r="212">
      <c r="A212" s="351" t="s">
        <v>1467</v>
      </c>
      <c r="B212" s="351" t="s">
        <v>323</v>
      </c>
    </row>
    <row r="213">
      <c r="A213" s="351" t="s">
        <v>1468</v>
      </c>
      <c r="B213" s="351">
        <v>0.0</v>
      </c>
    </row>
    <row r="214">
      <c r="A214" s="351" t="s">
        <v>1469</v>
      </c>
      <c r="B214" s="351">
        <v>0.0</v>
      </c>
    </row>
    <row r="215">
      <c r="A215" s="351" t="s">
        <v>666</v>
      </c>
      <c r="B215" s="351">
        <v>0.0</v>
      </c>
    </row>
    <row r="216">
      <c r="A216" s="351" t="s">
        <v>246</v>
      </c>
      <c r="B216" s="351">
        <v>0.0</v>
      </c>
    </row>
    <row r="217">
      <c r="A217" s="351" t="s">
        <v>1470</v>
      </c>
      <c r="B217" s="351" t="s">
        <v>323</v>
      </c>
    </row>
    <row r="218">
      <c r="A218" s="351" t="s">
        <v>1028</v>
      </c>
      <c r="B218" s="351">
        <v>0.0</v>
      </c>
    </row>
    <row r="219">
      <c r="A219" s="351" t="s">
        <v>706</v>
      </c>
      <c r="B219" s="351">
        <v>0.0</v>
      </c>
    </row>
    <row r="220">
      <c r="A220" s="351" t="s">
        <v>1471</v>
      </c>
      <c r="B220" s="351">
        <v>20.0</v>
      </c>
    </row>
    <row r="221">
      <c r="A221" s="351" t="s">
        <v>1472</v>
      </c>
      <c r="B221" s="351">
        <v>0.0</v>
      </c>
    </row>
    <row r="222">
      <c r="A222" s="351" t="s">
        <v>87</v>
      </c>
      <c r="B222" s="351" t="s">
        <v>323</v>
      </c>
    </row>
    <row r="223">
      <c r="A223" s="351" t="s">
        <v>708</v>
      </c>
      <c r="B223" s="351">
        <v>6.0</v>
      </c>
    </row>
    <row r="224">
      <c r="A224" s="351" t="s">
        <v>894</v>
      </c>
      <c r="B224" s="351" t="s">
        <v>323</v>
      </c>
    </row>
    <row r="225">
      <c r="A225" s="351" t="s">
        <v>960</v>
      </c>
      <c r="B225" s="351">
        <v>0.0</v>
      </c>
    </row>
    <row r="226">
      <c r="A226" s="351" t="s">
        <v>1473</v>
      </c>
      <c r="B226" s="351">
        <v>0.0</v>
      </c>
    </row>
    <row r="227">
      <c r="A227" s="351" t="s">
        <v>399</v>
      </c>
      <c r="B227" s="351" t="s">
        <v>323</v>
      </c>
    </row>
    <row r="228">
      <c r="A228" s="351" t="s">
        <v>112</v>
      </c>
      <c r="B228" s="351" t="s">
        <v>323</v>
      </c>
    </row>
    <row r="229">
      <c r="A229" s="351" t="s">
        <v>1474</v>
      </c>
      <c r="B229" s="351" t="s">
        <v>323</v>
      </c>
    </row>
    <row r="230">
      <c r="A230" s="351" t="s">
        <v>1475</v>
      </c>
      <c r="B230" s="351">
        <v>7.0</v>
      </c>
    </row>
    <row r="231">
      <c r="A231" s="351" t="s">
        <v>406</v>
      </c>
      <c r="B231" s="351" t="s">
        <v>323</v>
      </c>
    </row>
    <row r="232">
      <c r="A232" s="351" t="s">
        <v>1308</v>
      </c>
      <c r="B232" s="351">
        <v>6.0</v>
      </c>
    </row>
    <row r="233">
      <c r="A233" s="351" t="s">
        <v>1476</v>
      </c>
      <c r="B233" s="351">
        <v>0.0</v>
      </c>
    </row>
    <row r="234">
      <c r="A234" s="351" t="s">
        <v>562</v>
      </c>
      <c r="B234" s="351">
        <v>9.0</v>
      </c>
    </row>
    <row r="235">
      <c r="A235" s="351" t="s">
        <v>1477</v>
      </c>
      <c r="B235" s="351">
        <v>0.0</v>
      </c>
    </row>
    <row r="236">
      <c r="A236" s="351" t="s">
        <v>1478</v>
      </c>
      <c r="B236" s="351">
        <v>0.0</v>
      </c>
    </row>
    <row r="237">
      <c r="A237" s="351" t="s">
        <v>564</v>
      </c>
      <c r="B237" s="351">
        <v>23.0</v>
      </c>
    </row>
    <row r="238">
      <c r="A238" s="351" t="s">
        <v>412</v>
      </c>
      <c r="B238" s="351">
        <v>313.0</v>
      </c>
    </row>
    <row r="239">
      <c r="A239" s="351" t="s">
        <v>1479</v>
      </c>
      <c r="B239" s="351">
        <v>0.0</v>
      </c>
    </row>
    <row r="240">
      <c r="A240" s="351" t="s">
        <v>1310</v>
      </c>
      <c r="B240" s="351" t="s">
        <v>323</v>
      </c>
    </row>
    <row r="241">
      <c r="A241" s="351" t="s">
        <v>136</v>
      </c>
      <c r="B241" s="351" t="s">
        <v>323</v>
      </c>
    </row>
    <row r="242">
      <c r="A242" s="351" t="s">
        <v>1480</v>
      </c>
      <c r="B242" s="351">
        <v>0.0</v>
      </c>
    </row>
    <row r="243">
      <c r="A243" s="351" t="s">
        <v>1481</v>
      </c>
      <c r="B243" s="351">
        <v>0.0</v>
      </c>
    </row>
    <row r="244">
      <c r="A244" s="351" t="s">
        <v>1482</v>
      </c>
      <c r="B244" s="351" t="s">
        <v>323</v>
      </c>
    </row>
    <row r="245">
      <c r="A245" s="351" t="s">
        <v>1483</v>
      </c>
      <c r="B245" s="351">
        <v>0.0</v>
      </c>
    </row>
    <row r="246">
      <c r="A246" s="351" t="s">
        <v>417</v>
      </c>
      <c r="B246" s="351">
        <v>0.0</v>
      </c>
    </row>
    <row r="247">
      <c r="A247" s="351" t="s">
        <v>1484</v>
      </c>
      <c r="B247" s="351">
        <v>0.0</v>
      </c>
    </row>
    <row r="248">
      <c r="A248" s="351" t="s">
        <v>278</v>
      </c>
      <c r="B248" s="351">
        <v>0.0</v>
      </c>
    </row>
    <row r="249">
      <c r="A249" s="351" t="s">
        <v>976</v>
      </c>
      <c r="B249" s="351">
        <v>0.0</v>
      </c>
    </row>
    <row r="250">
      <c r="A250" s="351" t="s">
        <v>586</v>
      </c>
      <c r="B250" s="351">
        <v>12.0</v>
      </c>
    </row>
    <row r="251">
      <c r="A251" s="351" t="s">
        <v>497</v>
      </c>
      <c r="B251" s="351" t="s">
        <v>323</v>
      </c>
    </row>
    <row r="252">
      <c r="A252" s="351" t="s">
        <v>1088</v>
      </c>
      <c r="B252" s="351" t="s">
        <v>323</v>
      </c>
    </row>
    <row r="253">
      <c r="A253" s="351" t="s">
        <v>1485</v>
      </c>
      <c r="B253" s="351">
        <v>0.0</v>
      </c>
    </row>
    <row r="254">
      <c r="A254" s="351" t="s">
        <v>1486</v>
      </c>
      <c r="B254" s="351" t="s">
        <v>323</v>
      </c>
    </row>
    <row r="255">
      <c r="A255" s="351" t="s">
        <v>1407</v>
      </c>
      <c r="B255" s="351" t="s">
        <v>323</v>
      </c>
    </row>
    <row r="256">
      <c r="A256" s="351" t="s">
        <v>1487</v>
      </c>
      <c r="B256" s="351">
        <v>0.0</v>
      </c>
    </row>
    <row r="257">
      <c r="A257" s="351" t="s">
        <v>283</v>
      </c>
      <c r="B257" s="351" t="s">
        <v>323</v>
      </c>
    </row>
    <row r="258">
      <c r="A258" s="351" t="s">
        <v>143</v>
      </c>
      <c r="B258" s="351">
        <v>0.0</v>
      </c>
    </row>
    <row r="259">
      <c r="A259" s="351" t="s">
        <v>288</v>
      </c>
      <c r="B259" s="351" t="s">
        <v>323</v>
      </c>
    </row>
    <row r="260">
      <c r="A260" s="351" t="s">
        <v>1488</v>
      </c>
      <c r="B260" s="351" t="s">
        <v>323</v>
      </c>
    </row>
    <row r="261">
      <c r="A261" s="351" t="s">
        <v>1489</v>
      </c>
      <c r="B261" s="351" t="s">
        <v>323</v>
      </c>
    </row>
    <row r="262">
      <c r="A262" s="351" t="s">
        <v>1490</v>
      </c>
      <c r="B262" s="351">
        <v>0.0</v>
      </c>
    </row>
    <row r="263">
      <c r="A263" s="351" t="s">
        <v>1491</v>
      </c>
      <c r="B263" s="351">
        <v>0.0</v>
      </c>
    </row>
    <row r="264">
      <c r="A264" s="351" t="s">
        <v>728</v>
      </c>
      <c r="B264" s="351" t="s">
        <v>323</v>
      </c>
    </row>
    <row r="265">
      <c r="A265" s="351" t="s">
        <v>650</v>
      </c>
      <c r="B265" s="351">
        <v>123.0</v>
      </c>
    </row>
    <row r="266">
      <c r="A266" s="351" t="s">
        <v>290</v>
      </c>
      <c r="B266" s="351">
        <v>20.0</v>
      </c>
    </row>
    <row r="267">
      <c r="A267" s="351" t="s">
        <v>293</v>
      </c>
      <c r="B267" s="351">
        <v>0.0</v>
      </c>
    </row>
    <row r="268">
      <c r="A268" s="351" t="s">
        <v>1492</v>
      </c>
      <c r="B268" s="351">
        <v>0.0</v>
      </c>
    </row>
    <row r="269">
      <c r="A269" s="351" t="s">
        <v>988</v>
      </c>
      <c r="B269" s="351">
        <v>0.0</v>
      </c>
    </row>
    <row r="270">
      <c r="A270" s="351" t="s">
        <v>151</v>
      </c>
      <c r="B270" s="351">
        <v>7.0</v>
      </c>
    </row>
    <row r="271">
      <c r="A271" s="351" t="s">
        <v>1493</v>
      </c>
      <c r="B271" s="351">
        <v>0.0</v>
      </c>
    </row>
    <row r="272">
      <c r="A272" s="351" t="s">
        <v>1494</v>
      </c>
      <c r="B272" s="351" t="s">
        <v>323</v>
      </c>
    </row>
    <row r="273">
      <c r="A273" s="351" t="s">
        <v>1495</v>
      </c>
      <c r="B273" s="351">
        <v>0.0</v>
      </c>
    </row>
    <row r="274">
      <c r="A274" s="351" t="s">
        <v>992</v>
      </c>
      <c r="B274" s="351" t="s">
        <v>323</v>
      </c>
    </row>
    <row r="275">
      <c r="A275" s="351" t="s">
        <v>1496</v>
      </c>
      <c r="B275" s="351" t="s">
        <v>323</v>
      </c>
    </row>
    <row r="276">
      <c r="A276" s="351" t="s">
        <v>1497</v>
      </c>
      <c r="B276" s="351">
        <v>7.0</v>
      </c>
    </row>
    <row r="277">
      <c r="A277" s="351" t="s">
        <v>999</v>
      </c>
      <c r="B277" s="351">
        <v>0.0</v>
      </c>
    </row>
    <row r="278">
      <c r="A278" s="351" t="s">
        <v>1498</v>
      </c>
      <c r="B278" s="351">
        <v>0.0</v>
      </c>
    </row>
    <row r="279">
      <c r="A279" s="351" t="s">
        <v>1418</v>
      </c>
      <c r="B279" s="351">
        <v>0.0</v>
      </c>
    </row>
    <row r="280">
      <c r="A280" s="351" t="s">
        <v>473</v>
      </c>
      <c r="B280" s="351" t="s">
        <v>323</v>
      </c>
    </row>
    <row r="281">
      <c r="A281" s="351" t="s">
        <v>1419</v>
      </c>
      <c r="B281" s="351">
        <v>7.0</v>
      </c>
    </row>
    <row r="282">
      <c r="A282" s="351" t="s">
        <v>302</v>
      </c>
      <c r="B282" s="351">
        <v>0.0</v>
      </c>
    </row>
    <row r="283">
      <c r="A283" s="351" t="s">
        <v>1499</v>
      </c>
      <c r="B283" s="351" t="s">
        <v>323</v>
      </c>
    </row>
    <row r="284">
      <c r="A284" s="351" t="s">
        <v>1500</v>
      </c>
      <c r="B284" s="351" t="s">
        <v>323</v>
      </c>
    </row>
    <row r="285">
      <c r="A285" s="351" t="s">
        <v>1341</v>
      </c>
      <c r="B285" s="351">
        <v>0.0</v>
      </c>
    </row>
    <row r="286">
      <c r="A286" s="351" t="s">
        <v>308</v>
      </c>
      <c r="B286" s="351" t="s">
        <v>323</v>
      </c>
    </row>
    <row r="287">
      <c r="A287" s="351" t="s">
        <v>1501</v>
      </c>
      <c r="B287" s="351">
        <v>35.0</v>
      </c>
    </row>
    <row r="288">
      <c r="A288" s="351" t="s">
        <v>1502</v>
      </c>
      <c r="B288" s="351">
        <v>6.0</v>
      </c>
    </row>
    <row r="289">
      <c r="A289" s="351" t="s">
        <v>1503</v>
      </c>
      <c r="B289" s="351">
        <v>12.0</v>
      </c>
    </row>
    <row r="290">
      <c r="A290" s="351" t="s">
        <v>1008</v>
      </c>
      <c r="B290" s="351" t="s">
        <v>323</v>
      </c>
    </row>
    <row r="291">
      <c r="A291" s="351" t="s">
        <v>1010</v>
      </c>
      <c r="B291" s="351">
        <v>0.0</v>
      </c>
    </row>
    <row r="292">
      <c r="A292" s="351" t="s">
        <v>1011</v>
      </c>
      <c r="B292" s="351">
        <v>0.0</v>
      </c>
    </row>
    <row r="293">
      <c r="A293" s="351" t="s">
        <v>937</v>
      </c>
      <c r="B293" s="351">
        <v>0.0</v>
      </c>
    </row>
    <row r="294">
      <c r="A294" s="351" t="s">
        <v>1014</v>
      </c>
      <c r="B294" s="351">
        <v>0.0</v>
      </c>
    </row>
    <row r="295">
      <c r="A295" s="351" t="s">
        <v>1504</v>
      </c>
      <c r="B295" s="351" t="s">
        <v>323</v>
      </c>
    </row>
    <row r="296">
      <c r="A296" s="351" t="s">
        <v>636</v>
      </c>
      <c r="B296" s="351">
        <v>0.0</v>
      </c>
    </row>
    <row r="297">
      <c r="A297" s="351" t="s">
        <v>1505</v>
      </c>
      <c r="B297" s="351">
        <v>0.0</v>
      </c>
    </row>
    <row r="298">
      <c r="A298" s="351" t="s">
        <v>692</v>
      </c>
      <c r="B298" s="351">
        <v>0.0</v>
      </c>
    </row>
    <row r="299">
      <c r="A299" s="351" t="s">
        <v>119</v>
      </c>
      <c r="B299" s="351">
        <v>0.0</v>
      </c>
    </row>
    <row r="300">
      <c r="A300" s="351" t="s">
        <v>273</v>
      </c>
      <c r="B300" s="351" t="s">
        <v>323</v>
      </c>
    </row>
    <row r="301">
      <c r="A301" s="351" t="s">
        <v>648</v>
      </c>
      <c r="B301" s="351">
        <v>0.0</v>
      </c>
    </row>
    <row r="302">
      <c r="A302" s="351" t="s">
        <v>649</v>
      </c>
      <c r="B302" s="351">
        <v>0.0</v>
      </c>
    </row>
    <row r="303">
      <c r="A303" s="351" t="s">
        <v>1196</v>
      </c>
      <c r="B303" s="351">
        <v>10.0</v>
      </c>
    </row>
    <row r="304">
      <c r="A304" s="351" t="s">
        <v>3723</v>
      </c>
      <c r="B304" s="351" t="s">
        <v>3724</v>
      </c>
    </row>
    <row r="305">
      <c r="A305" s="351" t="s">
        <v>3725</v>
      </c>
      <c r="B305" s="548"/>
    </row>
    <row r="306">
      <c r="A306" s="351" t="s">
        <v>3726</v>
      </c>
      <c r="B306" s="548"/>
    </row>
    <row r="308">
      <c r="A308" s="275" t="s">
        <v>2484</v>
      </c>
      <c r="B308" s="276"/>
      <c r="C308" s="276"/>
      <c r="D308" s="276"/>
      <c r="E308" s="275" t="s">
        <v>765</v>
      </c>
      <c r="F308" s="275" t="s">
        <v>3716</v>
      </c>
      <c r="G308" s="276"/>
      <c r="H308" s="276"/>
      <c r="I308" s="275" t="s">
        <v>767</v>
      </c>
      <c r="J308" s="277">
        <v>45462.0</v>
      </c>
      <c r="K308" s="275" t="s">
        <v>769</v>
      </c>
      <c r="L308" s="277">
        <v>45383.0</v>
      </c>
      <c r="M308" s="276"/>
    </row>
    <row r="310">
      <c r="A310" s="351" t="s">
        <v>3727</v>
      </c>
      <c r="B310" s="548"/>
    </row>
    <row r="311">
      <c r="A311" s="548"/>
      <c r="B311" s="548"/>
    </row>
    <row r="312">
      <c r="A312" s="351" t="s">
        <v>172</v>
      </c>
      <c r="B312" s="351" t="s">
        <v>3728</v>
      </c>
    </row>
    <row r="313">
      <c r="A313" s="351" t="s">
        <v>386</v>
      </c>
      <c r="B313" s="351">
        <v>8.0</v>
      </c>
    </row>
    <row r="314">
      <c r="A314" s="351" t="s">
        <v>1467</v>
      </c>
      <c r="B314" s="351" t="s">
        <v>323</v>
      </c>
    </row>
    <row r="315">
      <c r="A315" s="351" t="s">
        <v>1468</v>
      </c>
      <c r="B315" s="351">
        <v>0.0</v>
      </c>
    </row>
    <row r="316">
      <c r="A316" s="351" t="s">
        <v>1469</v>
      </c>
      <c r="B316" s="351">
        <v>0.0</v>
      </c>
    </row>
    <row r="317">
      <c r="A317" s="351" t="s">
        <v>666</v>
      </c>
      <c r="B317" s="351">
        <v>0.0</v>
      </c>
    </row>
    <row r="318">
      <c r="A318" s="351" t="s">
        <v>246</v>
      </c>
      <c r="B318" s="351" t="s">
        <v>323</v>
      </c>
    </row>
    <row r="319">
      <c r="A319" s="351" t="s">
        <v>1470</v>
      </c>
      <c r="B319" s="351">
        <v>7.0</v>
      </c>
    </row>
    <row r="320">
      <c r="A320" s="351" t="s">
        <v>1028</v>
      </c>
      <c r="B320" s="351">
        <v>0.0</v>
      </c>
    </row>
    <row r="321">
      <c r="A321" s="351" t="s">
        <v>706</v>
      </c>
      <c r="B321" s="351" t="s">
        <v>323</v>
      </c>
    </row>
    <row r="322">
      <c r="A322" s="351" t="s">
        <v>1471</v>
      </c>
      <c r="B322" s="351">
        <v>37.0</v>
      </c>
    </row>
    <row r="323">
      <c r="A323" s="351" t="s">
        <v>1472</v>
      </c>
      <c r="B323" s="351" t="s">
        <v>323</v>
      </c>
    </row>
    <row r="324">
      <c r="A324" s="351" t="s">
        <v>87</v>
      </c>
      <c r="B324" s="351" t="s">
        <v>323</v>
      </c>
    </row>
    <row r="325">
      <c r="A325" s="351" t="s">
        <v>708</v>
      </c>
      <c r="B325" s="351" t="s">
        <v>323</v>
      </c>
    </row>
    <row r="326">
      <c r="A326" s="351" t="s">
        <v>894</v>
      </c>
      <c r="B326" s="351">
        <v>0.0</v>
      </c>
    </row>
    <row r="327">
      <c r="A327" s="351" t="s">
        <v>960</v>
      </c>
      <c r="B327" s="351">
        <v>0.0</v>
      </c>
    </row>
    <row r="328">
      <c r="A328" s="351" t="s">
        <v>1473</v>
      </c>
      <c r="B328" s="351" t="s">
        <v>323</v>
      </c>
    </row>
    <row r="329">
      <c r="A329" s="351" t="s">
        <v>399</v>
      </c>
      <c r="B329" s="351">
        <v>13.0</v>
      </c>
    </row>
    <row r="330">
      <c r="A330" s="351" t="s">
        <v>112</v>
      </c>
      <c r="B330" s="351" t="s">
        <v>323</v>
      </c>
    </row>
    <row r="331">
      <c r="A331" s="351" t="s">
        <v>1474</v>
      </c>
      <c r="B331" s="351" t="s">
        <v>323</v>
      </c>
    </row>
    <row r="332">
      <c r="A332" s="351" t="s">
        <v>1475</v>
      </c>
      <c r="B332" s="351" t="s">
        <v>323</v>
      </c>
    </row>
    <row r="333">
      <c r="A333" s="351" t="s">
        <v>406</v>
      </c>
      <c r="B333" s="351">
        <v>7.0</v>
      </c>
    </row>
    <row r="334">
      <c r="A334" s="351" t="s">
        <v>1308</v>
      </c>
      <c r="B334" s="351">
        <v>15.0</v>
      </c>
    </row>
    <row r="335">
      <c r="A335" s="351" t="s">
        <v>1476</v>
      </c>
      <c r="B335" s="351" t="s">
        <v>323</v>
      </c>
    </row>
    <row r="336">
      <c r="A336" s="351" t="s">
        <v>562</v>
      </c>
      <c r="B336" s="351">
        <v>9.0</v>
      </c>
    </row>
    <row r="337">
      <c r="A337" s="351" t="s">
        <v>1477</v>
      </c>
      <c r="B337" s="351" t="s">
        <v>323</v>
      </c>
    </row>
    <row r="338">
      <c r="A338" s="351" t="s">
        <v>1478</v>
      </c>
      <c r="B338" s="351">
        <v>0.0</v>
      </c>
    </row>
    <row r="339">
      <c r="A339" s="351" t="s">
        <v>564</v>
      </c>
      <c r="B339" s="351">
        <v>35.0</v>
      </c>
    </row>
    <row r="340">
      <c r="A340" s="351" t="s">
        <v>412</v>
      </c>
      <c r="B340" s="351">
        <v>378.0</v>
      </c>
    </row>
    <row r="341">
      <c r="A341" s="351" t="s">
        <v>1479</v>
      </c>
      <c r="B341" s="351">
        <v>0.0</v>
      </c>
    </row>
    <row r="342">
      <c r="A342" s="351" t="s">
        <v>1310</v>
      </c>
      <c r="B342" s="351" t="s">
        <v>323</v>
      </c>
    </row>
    <row r="343">
      <c r="A343" s="351" t="s">
        <v>136</v>
      </c>
      <c r="B343" s="351" t="s">
        <v>323</v>
      </c>
    </row>
    <row r="344">
      <c r="A344" s="351" t="s">
        <v>1480</v>
      </c>
      <c r="B344" s="351" t="s">
        <v>323</v>
      </c>
    </row>
    <row r="345">
      <c r="A345" s="351" t="s">
        <v>1481</v>
      </c>
      <c r="B345" s="351" t="s">
        <v>323</v>
      </c>
    </row>
    <row r="346">
      <c r="A346" s="351" t="s">
        <v>1482</v>
      </c>
      <c r="B346" s="351">
        <v>18.0</v>
      </c>
    </row>
    <row r="347">
      <c r="A347" s="351" t="s">
        <v>1483</v>
      </c>
      <c r="B347" s="351" t="s">
        <v>323</v>
      </c>
    </row>
    <row r="348">
      <c r="A348" s="351" t="s">
        <v>417</v>
      </c>
      <c r="B348" s="351" t="s">
        <v>323</v>
      </c>
    </row>
    <row r="349">
      <c r="A349" s="351" t="s">
        <v>1484</v>
      </c>
      <c r="B349" s="351">
        <v>0.0</v>
      </c>
    </row>
    <row r="350">
      <c r="A350" s="351" t="s">
        <v>278</v>
      </c>
      <c r="B350" s="351" t="s">
        <v>323</v>
      </c>
    </row>
    <row r="351">
      <c r="A351" s="351" t="s">
        <v>976</v>
      </c>
      <c r="B351" s="351">
        <v>0.0</v>
      </c>
    </row>
    <row r="352">
      <c r="A352" s="351" t="s">
        <v>586</v>
      </c>
      <c r="B352" s="351">
        <v>17.0</v>
      </c>
    </row>
    <row r="353">
      <c r="A353" s="351" t="s">
        <v>497</v>
      </c>
      <c r="B353" s="351" t="s">
        <v>323</v>
      </c>
    </row>
    <row r="354">
      <c r="A354" s="351" t="s">
        <v>1088</v>
      </c>
      <c r="B354" s="351">
        <v>6.0</v>
      </c>
    </row>
    <row r="355">
      <c r="A355" s="351" t="s">
        <v>1485</v>
      </c>
      <c r="B355" s="351">
        <v>0.0</v>
      </c>
    </row>
    <row r="356">
      <c r="A356" s="351" t="s">
        <v>1486</v>
      </c>
      <c r="B356" s="351" t="s">
        <v>323</v>
      </c>
    </row>
    <row r="357">
      <c r="A357" s="351" t="s">
        <v>1407</v>
      </c>
      <c r="B357" s="351">
        <v>6.0</v>
      </c>
    </row>
    <row r="358">
      <c r="A358" s="351" t="s">
        <v>1487</v>
      </c>
      <c r="B358" s="351">
        <v>0.0</v>
      </c>
    </row>
    <row r="359">
      <c r="A359" s="351" t="s">
        <v>283</v>
      </c>
      <c r="B359" s="351" t="s">
        <v>323</v>
      </c>
    </row>
    <row r="360">
      <c r="A360" s="351" t="s">
        <v>143</v>
      </c>
      <c r="B360" s="351">
        <v>10.0</v>
      </c>
    </row>
    <row r="361">
      <c r="A361" s="351" t="s">
        <v>288</v>
      </c>
      <c r="B361" s="351" t="s">
        <v>323</v>
      </c>
    </row>
    <row r="362">
      <c r="A362" s="351" t="s">
        <v>1488</v>
      </c>
      <c r="B362" s="351" t="s">
        <v>323</v>
      </c>
    </row>
    <row r="363">
      <c r="A363" s="351" t="s">
        <v>1489</v>
      </c>
      <c r="B363" s="351">
        <v>9.0</v>
      </c>
    </row>
    <row r="364">
      <c r="A364" s="351" t="s">
        <v>1490</v>
      </c>
      <c r="B364" s="351">
        <v>0.0</v>
      </c>
    </row>
    <row r="365">
      <c r="A365" s="351" t="s">
        <v>1491</v>
      </c>
      <c r="B365" s="351" t="s">
        <v>323</v>
      </c>
    </row>
    <row r="366">
      <c r="A366" s="351" t="s">
        <v>728</v>
      </c>
      <c r="B366" s="351" t="s">
        <v>323</v>
      </c>
    </row>
    <row r="367">
      <c r="A367" s="351" t="s">
        <v>650</v>
      </c>
      <c r="B367" s="351">
        <v>226.0</v>
      </c>
    </row>
    <row r="368">
      <c r="A368" s="351" t="s">
        <v>290</v>
      </c>
      <c r="B368" s="351">
        <v>33.0</v>
      </c>
    </row>
    <row r="369">
      <c r="A369" s="351" t="s">
        <v>293</v>
      </c>
      <c r="B369" s="351" t="s">
        <v>323</v>
      </c>
    </row>
    <row r="370">
      <c r="A370" s="351" t="s">
        <v>1492</v>
      </c>
      <c r="B370" s="351" t="s">
        <v>323</v>
      </c>
    </row>
    <row r="371">
      <c r="A371" s="351" t="s">
        <v>988</v>
      </c>
      <c r="B371" s="351">
        <v>0.0</v>
      </c>
    </row>
    <row r="372">
      <c r="A372" s="351" t="s">
        <v>151</v>
      </c>
      <c r="B372" s="351">
        <v>20.0</v>
      </c>
    </row>
    <row r="373">
      <c r="A373" s="351" t="s">
        <v>1493</v>
      </c>
      <c r="B373" s="351" t="s">
        <v>323</v>
      </c>
    </row>
    <row r="374">
      <c r="A374" s="351" t="s">
        <v>1494</v>
      </c>
      <c r="B374" s="351" t="s">
        <v>323</v>
      </c>
    </row>
    <row r="375">
      <c r="A375" s="351" t="s">
        <v>1495</v>
      </c>
      <c r="B375" s="351" t="s">
        <v>323</v>
      </c>
    </row>
    <row r="376">
      <c r="A376" s="351" t="s">
        <v>992</v>
      </c>
      <c r="B376" s="351" t="s">
        <v>323</v>
      </c>
    </row>
    <row r="377">
      <c r="A377" s="351" t="s">
        <v>1496</v>
      </c>
      <c r="B377" s="351" t="s">
        <v>323</v>
      </c>
    </row>
    <row r="378">
      <c r="A378" s="351" t="s">
        <v>1497</v>
      </c>
      <c r="B378" s="351">
        <v>8.0</v>
      </c>
    </row>
    <row r="379">
      <c r="A379" s="351" t="s">
        <v>999</v>
      </c>
      <c r="B379" s="351" t="s">
        <v>323</v>
      </c>
    </row>
    <row r="380">
      <c r="A380" s="351" t="s">
        <v>1498</v>
      </c>
      <c r="B380" s="351" t="s">
        <v>323</v>
      </c>
    </row>
    <row r="381">
      <c r="A381" s="351" t="s">
        <v>1418</v>
      </c>
      <c r="B381" s="351">
        <v>7.0</v>
      </c>
    </row>
    <row r="382">
      <c r="A382" s="351" t="s">
        <v>473</v>
      </c>
      <c r="B382" s="351" t="s">
        <v>323</v>
      </c>
    </row>
    <row r="383">
      <c r="A383" s="351" t="s">
        <v>1419</v>
      </c>
      <c r="B383" s="351">
        <v>16.0</v>
      </c>
    </row>
    <row r="384">
      <c r="A384" s="351" t="s">
        <v>302</v>
      </c>
      <c r="B384" s="351" t="s">
        <v>323</v>
      </c>
    </row>
    <row r="385">
      <c r="A385" s="351" t="s">
        <v>1499</v>
      </c>
      <c r="B385" s="351" t="s">
        <v>323</v>
      </c>
    </row>
    <row r="386">
      <c r="A386" s="351" t="s">
        <v>1500</v>
      </c>
      <c r="B386" s="351">
        <v>6.0</v>
      </c>
    </row>
    <row r="387">
      <c r="A387" s="351" t="s">
        <v>1341</v>
      </c>
      <c r="B387" s="351">
        <v>0.0</v>
      </c>
    </row>
    <row r="388">
      <c r="A388" s="351" t="s">
        <v>308</v>
      </c>
      <c r="B388" s="351" t="s">
        <v>323</v>
      </c>
    </row>
    <row r="389">
      <c r="A389" s="351" t="s">
        <v>1501</v>
      </c>
      <c r="B389" s="351">
        <v>27.0</v>
      </c>
    </row>
    <row r="390">
      <c r="A390" s="351" t="s">
        <v>1502</v>
      </c>
      <c r="B390" s="351">
        <v>7.0</v>
      </c>
    </row>
    <row r="391">
      <c r="A391" s="351" t="s">
        <v>1503</v>
      </c>
      <c r="B391" s="351">
        <v>20.0</v>
      </c>
    </row>
    <row r="392">
      <c r="A392" s="351" t="s">
        <v>1008</v>
      </c>
      <c r="B392" s="351">
        <v>12.0</v>
      </c>
    </row>
    <row r="393">
      <c r="A393" s="351" t="s">
        <v>1010</v>
      </c>
      <c r="B393" s="351" t="s">
        <v>323</v>
      </c>
    </row>
    <row r="394">
      <c r="A394" s="351" t="s">
        <v>1011</v>
      </c>
      <c r="B394" s="351">
        <v>8.0</v>
      </c>
    </row>
    <row r="395">
      <c r="A395" s="351" t="s">
        <v>937</v>
      </c>
      <c r="B395" s="351">
        <v>0.0</v>
      </c>
    </row>
    <row r="396">
      <c r="A396" s="351" t="s">
        <v>1014</v>
      </c>
      <c r="B396" s="351" t="s">
        <v>323</v>
      </c>
    </row>
    <row r="397">
      <c r="A397" s="351" t="s">
        <v>1504</v>
      </c>
      <c r="B397" s="351" t="s">
        <v>323</v>
      </c>
    </row>
    <row r="398">
      <c r="A398" s="351" t="s">
        <v>636</v>
      </c>
      <c r="B398" s="351">
        <v>0.0</v>
      </c>
    </row>
    <row r="399">
      <c r="A399" s="351" t="s">
        <v>1505</v>
      </c>
      <c r="B399" s="351" t="s">
        <v>323</v>
      </c>
    </row>
    <row r="400">
      <c r="A400" s="351" t="s">
        <v>692</v>
      </c>
      <c r="B400" s="351" t="s">
        <v>323</v>
      </c>
    </row>
    <row r="401">
      <c r="A401" s="351" t="s">
        <v>119</v>
      </c>
      <c r="B401" s="351" t="s">
        <v>323</v>
      </c>
    </row>
    <row r="402">
      <c r="A402" s="351" t="s">
        <v>273</v>
      </c>
      <c r="B402" s="351" t="s">
        <v>323</v>
      </c>
    </row>
    <row r="403">
      <c r="A403" s="351" t="s">
        <v>648</v>
      </c>
      <c r="B403" s="351">
        <v>0.0</v>
      </c>
    </row>
    <row r="404">
      <c r="A404" s="351" t="s">
        <v>649</v>
      </c>
      <c r="B404" s="351" t="s">
        <v>323</v>
      </c>
    </row>
    <row r="405">
      <c r="A405" s="351" t="s">
        <v>1196</v>
      </c>
      <c r="B405" s="351" t="s">
        <v>323</v>
      </c>
    </row>
    <row r="406">
      <c r="A406" s="351" t="s">
        <v>3730</v>
      </c>
      <c r="B406" s="351" t="s">
        <v>3731</v>
      </c>
    </row>
    <row r="407">
      <c r="A407" s="351" t="s">
        <v>3732</v>
      </c>
      <c r="B407" s="548"/>
    </row>
    <row r="408">
      <c r="A408" s="548"/>
      <c r="B408" s="548"/>
    </row>
    <row r="409">
      <c r="A409" s="548"/>
      <c r="B409" s="548"/>
    </row>
    <row r="410">
      <c r="A410" s="548"/>
      <c r="B410" s="548"/>
    </row>
    <row r="411">
      <c r="A411" s="351" t="s">
        <v>3733</v>
      </c>
      <c r="B411" s="548"/>
    </row>
    <row r="412">
      <c r="A412" s="548"/>
      <c r="B412" s="548"/>
    </row>
    <row r="415">
      <c r="A415" s="275" t="s">
        <v>3734</v>
      </c>
      <c r="B415" s="276"/>
      <c r="C415" s="276"/>
      <c r="D415" s="276"/>
      <c r="E415" s="275" t="s">
        <v>765</v>
      </c>
      <c r="F415" s="275" t="s">
        <v>3716</v>
      </c>
      <c r="G415" s="276"/>
      <c r="H415" s="276"/>
      <c r="I415" s="275" t="s">
        <v>767</v>
      </c>
      <c r="J415" s="277">
        <v>45462.0</v>
      </c>
      <c r="K415" s="275" t="s">
        <v>769</v>
      </c>
      <c r="L415" s="275" t="s">
        <v>3735</v>
      </c>
      <c r="M415" s="276"/>
    </row>
    <row r="417">
      <c r="A417" s="351" t="s">
        <v>3736</v>
      </c>
      <c r="B417" s="548"/>
    </row>
    <row r="418">
      <c r="A418" s="548"/>
      <c r="B418" s="548"/>
    </row>
    <row r="419">
      <c r="A419" s="351" t="s">
        <v>172</v>
      </c>
      <c r="B419" s="351" t="s">
        <v>3737</v>
      </c>
    </row>
    <row r="420">
      <c r="A420" s="351" t="s">
        <v>386</v>
      </c>
      <c r="B420" s="640">
        <v>0.7586</v>
      </c>
    </row>
    <row r="421">
      <c r="A421" s="351" t="s">
        <v>1467</v>
      </c>
      <c r="B421" s="640">
        <v>0.6667</v>
      </c>
    </row>
    <row r="422">
      <c r="A422" s="351" t="s">
        <v>1468</v>
      </c>
      <c r="B422" s="351" t="s">
        <v>63</v>
      </c>
    </row>
    <row r="423">
      <c r="A423" s="351" t="s">
        <v>1469</v>
      </c>
      <c r="B423" s="640">
        <v>1.0</v>
      </c>
    </row>
    <row r="424">
      <c r="A424" s="351" t="s">
        <v>666</v>
      </c>
      <c r="B424" s="351" t="s">
        <v>63</v>
      </c>
    </row>
    <row r="425">
      <c r="A425" s="351" t="s">
        <v>246</v>
      </c>
      <c r="B425" s="640">
        <v>1.0</v>
      </c>
    </row>
    <row r="426">
      <c r="A426" s="351" t="s">
        <v>1470</v>
      </c>
      <c r="B426" s="640">
        <v>0.6667</v>
      </c>
    </row>
    <row r="427">
      <c r="A427" s="351" t="s">
        <v>1028</v>
      </c>
      <c r="B427" s="640">
        <v>1.0</v>
      </c>
    </row>
    <row r="428">
      <c r="A428" s="351" t="s">
        <v>706</v>
      </c>
      <c r="B428" s="640">
        <v>0.0</v>
      </c>
    </row>
    <row r="429">
      <c r="A429" s="351" t="s">
        <v>1471</v>
      </c>
      <c r="B429" s="640">
        <v>0.7636</v>
      </c>
    </row>
    <row r="430">
      <c r="A430" s="351" t="s">
        <v>1472</v>
      </c>
      <c r="B430" s="640">
        <v>0.5</v>
      </c>
    </row>
    <row r="431">
      <c r="A431" s="351" t="s">
        <v>87</v>
      </c>
      <c r="B431" s="640">
        <v>0.6</v>
      </c>
    </row>
    <row r="432">
      <c r="A432" s="351" t="s">
        <v>708</v>
      </c>
      <c r="B432" s="640">
        <v>0.5484</v>
      </c>
    </row>
    <row r="433">
      <c r="A433" s="351" t="s">
        <v>894</v>
      </c>
      <c r="B433" s="640">
        <v>0.4286</v>
      </c>
    </row>
    <row r="434">
      <c r="A434" s="351" t="s">
        <v>960</v>
      </c>
      <c r="B434" s="640">
        <v>1.0</v>
      </c>
    </row>
    <row r="435">
      <c r="A435" s="351" t="s">
        <v>1473</v>
      </c>
      <c r="B435" s="640">
        <v>1.0</v>
      </c>
    </row>
    <row r="436">
      <c r="A436" s="351" t="s">
        <v>399</v>
      </c>
      <c r="B436" s="640">
        <v>1.0</v>
      </c>
    </row>
    <row r="437">
      <c r="A437" s="351" t="s">
        <v>112</v>
      </c>
      <c r="B437" s="640">
        <v>0.8889</v>
      </c>
    </row>
    <row r="438">
      <c r="A438" s="351" t="s">
        <v>1474</v>
      </c>
      <c r="B438" s="640">
        <v>0.5</v>
      </c>
    </row>
    <row r="439">
      <c r="A439" s="351" t="s">
        <v>1475</v>
      </c>
      <c r="B439" s="640">
        <v>1.0</v>
      </c>
    </row>
    <row r="440">
      <c r="A440" s="351" t="s">
        <v>406</v>
      </c>
      <c r="B440" s="640">
        <v>1.0</v>
      </c>
    </row>
    <row r="441">
      <c r="A441" s="351" t="s">
        <v>1308</v>
      </c>
      <c r="B441" s="640">
        <v>0.6</v>
      </c>
    </row>
    <row r="442">
      <c r="A442" s="351" t="s">
        <v>1476</v>
      </c>
      <c r="B442" s="640">
        <v>0.3333</v>
      </c>
    </row>
    <row r="443">
      <c r="A443" s="351" t="s">
        <v>562</v>
      </c>
      <c r="B443" s="640">
        <v>0.6842</v>
      </c>
    </row>
    <row r="444">
      <c r="A444" s="351" t="s">
        <v>1477</v>
      </c>
      <c r="B444" s="640">
        <v>1.0</v>
      </c>
    </row>
    <row r="445">
      <c r="A445" s="351" t="s">
        <v>1478</v>
      </c>
      <c r="B445" s="640">
        <v>1.0</v>
      </c>
    </row>
    <row r="446">
      <c r="A446" s="351" t="s">
        <v>564</v>
      </c>
      <c r="B446" s="640">
        <v>0.9</v>
      </c>
    </row>
    <row r="447">
      <c r="A447" s="351" t="s">
        <v>412</v>
      </c>
      <c r="B447" s="640">
        <v>0.7611</v>
      </c>
    </row>
    <row r="448">
      <c r="A448" s="351" t="s">
        <v>1479</v>
      </c>
      <c r="B448" s="640">
        <v>0.0</v>
      </c>
    </row>
    <row r="449">
      <c r="A449" s="351" t="s">
        <v>1310</v>
      </c>
      <c r="B449" s="640">
        <v>0.5</v>
      </c>
    </row>
    <row r="450">
      <c r="A450" s="351" t="s">
        <v>136</v>
      </c>
      <c r="B450" s="640">
        <v>1.0</v>
      </c>
    </row>
    <row r="451">
      <c r="A451" s="351" t="s">
        <v>1480</v>
      </c>
      <c r="B451" s="640">
        <v>0.0</v>
      </c>
    </row>
    <row r="452">
      <c r="A452" s="351" t="s">
        <v>1481</v>
      </c>
      <c r="B452" s="640">
        <v>0.5</v>
      </c>
    </row>
    <row r="453">
      <c r="A453" s="351" t="s">
        <v>1482</v>
      </c>
      <c r="B453" s="640">
        <v>0.6923</v>
      </c>
    </row>
    <row r="454">
      <c r="A454" s="351" t="s">
        <v>1483</v>
      </c>
      <c r="B454" s="640">
        <v>0.0</v>
      </c>
    </row>
    <row r="455">
      <c r="A455" s="351" t="s">
        <v>417</v>
      </c>
      <c r="B455" s="640">
        <v>0.5</v>
      </c>
    </row>
    <row r="456">
      <c r="A456" s="351" t="s">
        <v>1484</v>
      </c>
      <c r="B456" s="351" t="s">
        <v>63</v>
      </c>
    </row>
    <row r="457">
      <c r="A457" s="351" t="s">
        <v>278</v>
      </c>
      <c r="B457" s="640">
        <v>1.0</v>
      </c>
    </row>
    <row r="458">
      <c r="A458" s="351" t="s">
        <v>976</v>
      </c>
      <c r="B458" s="640">
        <v>1.0</v>
      </c>
    </row>
    <row r="459">
      <c r="A459" s="351" t="s">
        <v>586</v>
      </c>
      <c r="B459" s="640">
        <v>0.7576</v>
      </c>
    </row>
    <row r="460">
      <c r="A460" s="351" t="s">
        <v>497</v>
      </c>
      <c r="B460" s="640">
        <v>1.0</v>
      </c>
    </row>
    <row r="461">
      <c r="A461" s="351" t="s">
        <v>1088</v>
      </c>
      <c r="B461" s="640">
        <v>1.0</v>
      </c>
    </row>
    <row r="462">
      <c r="A462" s="351" t="s">
        <v>1485</v>
      </c>
      <c r="B462" s="351" t="s">
        <v>63</v>
      </c>
    </row>
    <row r="463">
      <c r="A463" s="351" t="s">
        <v>1486</v>
      </c>
      <c r="B463" s="351" t="s">
        <v>63</v>
      </c>
    </row>
    <row r="464">
      <c r="A464" s="351" t="s">
        <v>1407</v>
      </c>
      <c r="B464" s="640">
        <v>0.8</v>
      </c>
    </row>
    <row r="465">
      <c r="A465" s="351" t="s">
        <v>1487</v>
      </c>
      <c r="B465" s="351" t="s">
        <v>63</v>
      </c>
    </row>
    <row r="466">
      <c r="A466" s="351" t="s">
        <v>283</v>
      </c>
      <c r="B466" s="640">
        <v>1.0</v>
      </c>
    </row>
    <row r="467">
      <c r="A467" s="351" t="s">
        <v>143</v>
      </c>
      <c r="B467" s="640">
        <v>0.8889</v>
      </c>
    </row>
    <row r="468">
      <c r="A468" s="351" t="s">
        <v>288</v>
      </c>
      <c r="B468" s="640">
        <v>0.5</v>
      </c>
    </row>
    <row r="469">
      <c r="A469" s="351" t="s">
        <v>1488</v>
      </c>
      <c r="B469" s="640">
        <v>0.5</v>
      </c>
    </row>
    <row r="470">
      <c r="A470" s="351" t="s">
        <v>1489</v>
      </c>
      <c r="B470" s="640">
        <v>0.4444</v>
      </c>
    </row>
    <row r="471">
      <c r="A471" s="351" t="s">
        <v>1490</v>
      </c>
      <c r="B471" s="351" t="s">
        <v>63</v>
      </c>
    </row>
    <row r="472">
      <c r="A472" s="351" t="s">
        <v>1491</v>
      </c>
      <c r="B472" s="640">
        <v>1.0</v>
      </c>
    </row>
    <row r="473">
      <c r="A473" s="351" t="s">
        <v>728</v>
      </c>
      <c r="B473" s="640">
        <v>0.5714</v>
      </c>
    </row>
    <row r="474">
      <c r="A474" s="351" t="s">
        <v>650</v>
      </c>
      <c r="B474" s="640">
        <v>0.6961</v>
      </c>
    </row>
    <row r="475">
      <c r="A475" s="351" t="s">
        <v>290</v>
      </c>
      <c r="B475" s="640">
        <v>0.7037</v>
      </c>
    </row>
    <row r="476">
      <c r="A476" s="351" t="s">
        <v>293</v>
      </c>
      <c r="B476" s="351" t="s">
        <v>63</v>
      </c>
    </row>
    <row r="477">
      <c r="A477" s="351" t="s">
        <v>1492</v>
      </c>
      <c r="B477" s="351" t="s">
        <v>63</v>
      </c>
    </row>
    <row r="478">
      <c r="A478" s="351" t="s">
        <v>988</v>
      </c>
      <c r="B478" s="351" t="s">
        <v>63</v>
      </c>
    </row>
    <row r="479">
      <c r="A479" s="351" t="s">
        <v>151</v>
      </c>
      <c r="B479" s="640">
        <v>0.6786</v>
      </c>
    </row>
    <row r="480">
      <c r="A480" s="351" t="s">
        <v>1493</v>
      </c>
      <c r="B480" s="640">
        <v>0.8</v>
      </c>
    </row>
    <row r="481">
      <c r="A481" s="351" t="s">
        <v>1494</v>
      </c>
      <c r="B481" s="640">
        <v>0.6</v>
      </c>
    </row>
    <row r="482">
      <c r="A482" s="351" t="s">
        <v>1495</v>
      </c>
      <c r="B482" s="640">
        <v>0.6667</v>
      </c>
    </row>
    <row r="483">
      <c r="A483" s="351" t="s">
        <v>992</v>
      </c>
      <c r="B483" s="640">
        <v>0.3333</v>
      </c>
    </row>
    <row r="484">
      <c r="A484" s="351" t="s">
        <v>1496</v>
      </c>
      <c r="B484" s="640">
        <v>1.0</v>
      </c>
    </row>
    <row r="485">
      <c r="A485" s="351" t="s">
        <v>1497</v>
      </c>
      <c r="B485" s="640">
        <v>0.5333</v>
      </c>
    </row>
    <row r="486">
      <c r="A486" s="351" t="s">
        <v>999</v>
      </c>
      <c r="B486" s="640">
        <v>1.0</v>
      </c>
    </row>
    <row r="487">
      <c r="A487" s="351" t="s">
        <v>1498</v>
      </c>
      <c r="B487" s="640">
        <v>1.0</v>
      </c>
    </row>
    <row r="488">
      <c r="A488" s="351" t="s">
        <v>1418</v>
      </c>
      <c r="B488" s="640">
        <v>1.0</v>
      </c>
    </row>
    <row r="489">
      <c r="A489" s="351" t="s">
        <v>473</v>
      </c>
      <c r="B489" s="640">
        <v>0.6</v>
      </c>
    </row>
    <row r="490">
      <c r="A490" s="351" t="s">
        <v>1419</v>
      </c>
      <c r="B490" s="640">
        <v>0.7222</v>
      </c>
    </row>
    <row r="491">
      <c r="A491" s="351" t="s">
        <v>302</v>
      </c>
      <c r="B491" s="640">
        <v>0.4</v>
      </c>
    </row>
    <row r="492">
      <c r="A492" s="351" t="s">
        <v>1499</v>
      </c>
      <c r="B492" s="640">
        <v>0.9</v>
      </c>
    </row>
    <row r="493">
      <c r="A493" s="351" t="s">
        <v>1500</v>
      </c>
      <c r="B493" s="640">
        <v>0.5</v>
      </c>
    </row>
    <row r="494">
      <c r="A494" s="351" t="s">
        <v>1341</v>
      </c>
      <c r="B494" s="351" t="s">
        <v>63</v>
      </c>
    </row>
    <row r="495">
      <c r="A495" s="351" t="s">
        <v>308</v>
      </c>
      <c r="B495" s="640">
        <v>0.6</v>
      </c>
    </row>
    <row r="496">
      <c r="A496" s="351" t="s">
        <v>1501</v>
      </c>
      <c r="B496" s="640">
        <v>0.6383</v>
      </c>
    </row>
    <row r="497">
      <c r="A497" s="351" t="s">
        <v>1502</v>
      </c>
      <c r="B497" s="640">
        <v>0.6875</v>
      </c>
    </row>
    <row r="498">
      <c r="A498" s="351" t="s">
        <v>1503</v>
      </c>
      <c r="B498" s="640">
        <v>0.6053</v>
      </c>
    </row>
    <row r="499">
      <c r="A499" s="351" t="s">
        <v>1008</v>
      </c>
      <c r="B499" s="640">
        <v>0.7692</v>
      </c>
    </row>
    <row r="500">
      <c r="A500" s="351" t="s">
        <v>1010</v>
      </c>
      <c r="B500" s="640">
        <v>0.0</v>
      </c>
    </row>
    <row r="501">
      <c r="A501" s="351" t="s">
        <v>1011</v>
      </c>
      <c r="B501" s="640">
        <v>1.0</v>
      </c>
    </row>
    <row r="502">
      <c r="A502" s="351" t="s">
        <v>937</v>
      </c>
      <c r="B502" s="640">
        <v>0.0</v>
      </c>
    </row>
    <row r="503">
      <c r="A503" s="351" t="s">
        <v>1014</v>
      </c>
      <c r="B503" s="640">
        <v>0.6667</v>
      </c>
    </row>
    <row r="504">
      <c r="A504" s="351" t="s">
        <v>1504</v>
      </c>
      <c r="B504" s="640">
        <v>1.0</v>
      </c>
    </row>
    <row r="505">
      <c r="A505" s="351" t="s">
        <v>636</v>
      </c>
      <c r="B505" s="351" t="s">
        <v>63</v>
      </c>
    </row>
    <row r="506">
      <c r="A506" s="351" t="s">
        <v>1505</v>
      </c>
      <c r="B506" s="640">
        <v>0.6667</v>
      </c>
    </row>
    <row r="507">
      <c r="A507" s="351" t="s">
        <v>692</v>
      </c>
      <c r="B507" s="640">
        <v>1.0</v>
      </c>
    </row>
    <row r="508">
      <c r="A508" s="351" t="s">
        <v>119</v>
      </c>
      <c r="B508" s="640">
        <v>0.7143</v>
      </c>
    </row>
    <row r="509">
      <c r="A509" s="351" t="s">
        <v>273</v>
      </c>
      <c r="B509" s="640">
        <v>0.7143</v>
      </c>
    </row>
    <row r="510">
      <c r="A510" s="351" t="s">
        <v>648</v>
      </c>
      <c r="B510" s="640">
        <v>1.0</v>
      </c>
    </row>
    <row r="511">
      <c r="A511" s="351" t="s">
        <v>649</v>
      </c>
      <c r="B511" s="351" t="s">
        <v>63</v>
      </c>
    </row>
    <row r="512">
      <c r="A512" s="351" t="s">
        <v>1196</v>
      </c>
      <c r="B512" s="640">
        <v>0.7857</v>
      </c>
    </row>
    <row r="513">
      <c r="A513" s="351" t="s">
        <v>3741</v>
      </c>
      <c r="B513" s="640">
        <v>0.7189</v>
      </c>
    </row>
    <row r="514">
      <c r="A514" s="351" t="s">
        <v>3742</v>
      </c>
      <c r="B514" s="548"/>
    </row>
    <row r="515">
      <c r="A515" s="548"/>
      <c r="B515" s="548"/>
    </row>
    <row r="516">
      <c r="A516" s="548"/>
      <c r="B516" s="548"/>
    </row>
    <row r="517">
      <c r="A517" s="351" t="s">
        <v>3743</v>
      </c>
      <c r="B517" s="548"/>
    </row>
    <row r="518">
      <c r="A518" s="548"/>
      <c r="B518" s="548"/>
    </row>
  </sheetData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7" max="7" width="13.0"/>
    <col customWidth="1" min="12" max="12" width="13.38"/>
  </cols>
  <sheetData>
    <row r="1">
      <c r="A1" s="167"/>
      <c r="B1" s="168" t="s">
        <v>82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</row>
    <row r="2">
      <c r="A2" s="169" t="s">
        <v>172</v>
      </c>
      <c r="B2" s="170" t="s">
        <v>174</v>
      </c>
      <c r="C2" s="171" t="s">
        <v>693</v>
      </c>
      <c r="D2" s="172" t="s">
        <v>694</v>
      </c>
      <c r="E2" s="172" t="s">
        <v>695</v>
      </c>
      <c r="F2" s="172" t="s">
        <v>179</v>
      </c>
      <c r="G2" s="172" t="s">
        <v>696</v>
      </c>
      <c r="H2" s="173" t="s">
        <v>697</v>
      </c>
      <c r="I2" s="174" t="s">
        <v>84</v>
      </c>
      <c r="J2" s="170" t="s">
        <v>698</v>
      </c>
      <c r="K2" s="175" t="s">
        <v>699</v>
      </c>
      <c r="L2" s="173" t="s">
        <v>89</v>
      </c>
      <c r="M2" s="176" t="s">
        <v>700</v>
      </c>
      <c r="N2" s="177" t="s">
        <v>701</v>
      </c>
      <c r="O2" s="177" t="s">
        <v>702</v>
      </c>
      <c r="P2" s="178" t="s">
        <v>90</v>
      </c>
      <c r="Q2" s="325" t="s">
        <v>703</v>
      </c>
    </row>
    <row r="3">
      <c r="A3" s="326" t="s">
        <v>1506</v>
      </c>
      <c r="B3" s="251">
        <f t="array" ref="B3">VLOOKUP($A3,NV_DEMO,2,FALSE)</f>
        <v>25516</v>
      </c>
      <c r="C3" s="252" t="s">
        <v>63</v>
      </c>
      <c r="D3" s="253" t="s">
        <v>63</v>
      </c>
      <c r="E3" s="253" t="s">
        <v>63</v>
      </c>
      <c r="F3" s="253" t="s">
        <v>63</v>
      </c>
      <c r="G3" s="253" t="s">
        <v>63</v>
      </c>
      <c r="H3" s="254" t="s">
        <v>63</v>
      </c>
      <c r="I3" s="255" t="s">
        <v>63</v>
      </c>
      <c r="J3" s="256" t="s">
        <v>63</v>
      </c>
      <c r="K3" s="274" t="s">
        <v>63</v>
      </c>
      <c r="L3" s="254" t="s">
        <v>63</v>
      </c>
      <c r="M3" s="258" t="s">
        <v>63</v>
      </c>
      <c r="N3" s="1066" t="s">
        <v>63</v>
      </c>
      <c r="O3" s="1067" t="s">
        <v>63</v>
      </c>
      <c r="P3" s="261">
        <f>ifna(vlookup(A3,'Population &amp; Church Numbers'!$A$1750:$D$1766,4,FALSE),"NULL")</f>
        <v>14</v>
      </c>
      <c r="Q3" s="1068" t="s">
        <v>63</v>
      </c>
    </row>
    <row r="4">
      <c r="A4" s="188" t="s">
        <v>253</v>
      </c>
      <c r="B4" s="189">
        <f t="array" ref="B4">VLOOKUP($A4,NV_DEMO,2,FALSE)</f>
        <v>2265461</v>
      </c>
      <c r="C4" s="335">
        <f>'NV Data'!B4</f>
        <v>3017</v>
      </c>
      <c r="D4" s="265" t="s">
        <v>63</v>
      </c>
      <c r="E4" s="265">
        <f>'NV Data'!D4</f>
        <v>579</v>
      </c>
      <c r="F4" s="265">
        <f>'NV Data'!C4</f>
        <v>460</v>
      </c>
      <c r="G4" s="265" t="s">
        <v>63</v>
      </c>
      <c r="H4" s="266" t="s">
        <v>63</v>
      </c>
      <c r="I4" s="267" t="s">
        <v>63</v>
      </c>
      <c r="J4" s="268" t="s">
        <v>63</v>
      </c>
      <c r="K4" s="284" t="s">
        <v>63</v>
      </c>
      <c r="L4" s="266" t="s">
        <v>63</v>
      </c>
      <c r="M4" s="267" t="s">
        <v>63</v>
      </c>
      <c r="N4" s="1070" t="s">
        <v>63</v>
      </c>
      <c r="O4" s="1071" t="s">
        <v>63</v>
      </c>
      <c r="P4" s="272">
        <f>ifna(vlookup(A4,'Population &amp; Church Numbers'!$A$1750:$D$1766,4,FALSE),"NULL")</f>
        <v>440</v>
      </c>
      <c r="Q4" s="1072" t="s">
        <v>63</v>
      </c>
    </row>
    <row r="5">
      <c r="A5" s="326" t="s">
        <v>412</v>
      </c>
      <c r="B5" s="251">
        <f t="array" ref="B5">VLOOKUP($A5,NV_DEMO,2,FALSE)</f>
        <v>49488</v>
      </c>
      <c r="C5" s="252" t="s">
        <v>63</v>
      </c>
      <c r="D5" s="253" t="s">
        <v>63</v>
      </c>
      <c r="E5" s="253" t="s">
        <v>63</v>
      </c>
      <c r="F5" s="253" t="s">
        <v>63</v>
      </c>
      <c r="G5" s="253" t="s">
        <v>63</v>
      </c>
      <c r="H5" s="254" t="s">
        <v>63</v>
      </c>
      <c r="I5" s="255" t="s">
        <v>63</v>
      </c>
      <c r="J5" s="256" t="s">
        <v>63</v>
      </c>
      <c r="K5" s="274" t="s">
        <v>63</v>
      </c>
      <c r="L5" s="254" t="s">
        <v>63</v>
      </c>
      <c r="M5" s="255" t="s">
        <v>63</v>
      </c>
      <c r="N5" s="1073" t="s">
        <v>63</v>
      </c>
      <c r="O5" s="1067" t="s">
        <v>63</v>
      </c>
      <c r="P5" s="261">
        <f>ifna(vlookup(A5,'Population &amp; Church Numbers'!$A$1750:$D$1766,4,FALSE),"NULL")</f>
        <v>24</v>
      </c>
      <c r="Q5" s="1074" t="s">
        <v>63</v>
      </c>
    </row>
    <row r="6">
      <c r="A6" s="188" t="s">
        <v>1507</v>
      </c>
      <c r="B6" s="189">
        <f t="array" ref="B6">VLOOKUP($A6,NV_DEMO,2,FALSE)</f>
        <v>53702</v>
      </c>
      <c r="C6" s="264" t="s">
        <v>63</v>
      </c>
      <c r="D6" s="265" t="s">
        <v>63</v>
      </c>
      <c r="E6" s="265" t="s">
        <v>63</v>
      </c>
      <c r="F6" s="265" t="s">
        <v>63</v>
      </c>
      <c r="G6" s="265" t="s">
        <v>63</v>
      </c>
      <c r="H6" s="266" t="s">
        <v>63</v>
      </c>
      <c r="I6" s="267" t="s">
        <v>63</v>
      </c>
      <c r="J6" s="268" t="s">
        <v>63</v>
      </c>
      <c r="K6" s="284" t="s">
        <v>63</v>
      </c>
      <c r="L6" s="266" t="s">
        <v>63</v>
      </c>
      <c r="M6" s="267" t="s">
        <v>63</v>
      </c>
      <c r="N6" s="1070" t="s">
        <v>63</v>
      </c>
      <c r="O6" s="1071" t="s">
        <v>63</v>
      </c>
      <c r="P6" s="272">
        <f>ifna(vlookup(A6,'Population &amp; Church Numbers'!$A$1750:$D$1766,4,FALSE),"NULL")</f>
        <v>34</v>
      </c>
      <c r="Q6" s="1075" t="s">
        <v>63</v>
      </c>
    </row>
    <row r="7">
      <c r="A7" s="326" t="s">
        <v>1508</v>
      </c>
      <c r="B7" s="251">
        <f t="array" ref="B7">VLOOKUP($A7,NV_DEMO,2,FALSE)</f>
        <v>729</v>
      </c>
      <c r="C7" s="252" t="s">
        <v>63</v>
      </c>
      <c r="D7" s="253" t="s">
        <v>63</v>
      </c>
      <c r="E7" s="253" t="s">
        <v>63</v>
      </c>
      <c r="F7" s="253" t="s">
        <v>63</v>
      </c>
      <c r="G7" s="253" t="s">
        <v>63</v>
      </c>
      <c r="H7" s="254" t="s">
        <v>63</v>
      </c>
      <c r="I7" s="255" t="s">
        <v>63</v>
      </c>
      <c r="J7" s="256" t="s">
        <v>63</v>
      </c>
      <c r="K7" s="274" t="s">
        <v>63</v>
      </c>
      <c r="L7" s="254" t="s">
        <v>63</v>
      </c>
      <c r="M7" s="255" t="s">
        <v>63</v>
      </c>
      <c r="N7" s="1073" t="s">
        <v>63</v>
      </c>
      <c r="O7" s="1067" t="s">
        <v>63</v>
      </c>
      <c r="P7" s="261" t="str">
        <f>ifna(vlookup(A7,'Population &amp; Church Numbers'!$A$1750:$D$1766,4,FALSE),"NULL")</f>
        <v>NULL</v>
      </c>
      <c r="Q7" s="1074" t="s">
        <v>63</v>
      </c>
    </row>
    <row r="8">
      <c r="A8" s="188" t="s">
        <v>1509</v>
      </c>
      <c r="B8" s="189">
        <f t="array" ref="B8">VLOOKUP($A8,NV_DEMO,2,FALSE)</f>
        <v>1855</v>
      </c>
      <c r="C8" s="264" t="s">
        <v>63</v>
      </c>
      <c r="D8" s="265" t="s">
        <v>63</v>
      </c>
      <c r="E8" s="265" t="s">
        <v>63</v>
      </c>
      <c r="F8" s="265" t="s">
        <v>63</v>
      </c>
      <c r="G8" s="265" t="s">
        <v>63</v>
      </c>
      <c r="H8" s="266" t="s">
        <v>63</v>
      </c>
      <c r="I8" s="267" t="s">
        <v>63</v>
      </c>
      <c r="J8" s="268" t="s">
        <v>63</v>
      </c>
      <c r="K8" s="284" t="s">
        <v>63</v>
      </c>
      <c r="L8" s="266" t="s">
        <v>63</v>
      </c>
      <c r="M8" s="267" t="s">
        <v>63</v>
      </c>
      <c r="N8" s="1070" t="s">
        <v>63</v>
      </c>
      <c r="O8" s="1071" t="s">
        <v>63</v>
      </c>
      <c r="P8" s="272">
        <f>ifna(vlookup(A8,'Population &amp; Church Numbers'!$A$1750:$D$1766,4,FALSE),"NULL")</f>
        <v>1</v>
      </c>
      <c r="Q8" s="1075" t="s">
        <v>63</v>
      </c>
    </row>
    <row r="9">
      <c r="A9" s="326" t="s">
        <v>333</v>
      </c>
      <c r="B9" s="251">
        <f t="array" ref="B9">VLOOKUP($A9,NV_DEMO,2,FALSE)</f>
        <v>17285</v>
      </c>
      <c r="C9" s="252" t="s">
        <v>63</v>
      </c>
      <c r="D9" s="253" t="s">
        <v>63</v>
      </c>
      <c r="E9" s="253" t="s">
        <v>63</v>
      </c>
      <c r="F9" s="253" t="s">
        <v>63</v>
      </c>
      <c r="G9" s="253" t="s">
        <v>63</v>
      </c>
      <c r="H9" s="254" t="s">
        <v>63</v>
      </c>
      <c r="I9" s="255" t="s">
        <v>63</v>
      </c>
      <c r="J9" s="256" t="s">
        <v>63</v>
      </c>
      <c r="K9" s="274" t="s">
        <v>63</v>
      </c>
      <c r="L9" s="254" t="s">
        <v>63</v>
      </c>
      <c r="M9" s="255" t="s">
        <v>63</v>
      </c>
      <c r="N9" s="1073" t="s">
        <v>63</v>
      </c>
      <c r="O9" s="1067" t="s">
        <v>63</v>
      </c>
      <c r="P9" s="261">
        <f>ifna(vlookup(A9,'Population &amp; Church Numbers'!$A$1750:$D$1766,4,FALSE),"NULL")</f>
        <v>11</v>
      </c>
      <c r="Q9" s="1074" t="s">
        <v>63</v>
      </c>
    </row>
    <row r="10">
      <c r="A10" s="188" t="s">
        <v>1510</v>
      </c>
      <c r="B10" s="189">
        <f t="array" ref="B10">VLOOKUP($A10,NV_DEMO,2,FALSE)</f>
        <v>5734</v>
      </c>
      <c r="C10" s="264" t="s">
        <v>63</v>
      </c>
      <c r="D10" s="265" t="s">
        <v>63</v>
      </c>
      <c r="E10" s="265" t="s">
        <v>63</v>
      </c>
      <c r="F10" s="265" t="s">
        <v>63</v>
      </c>
      <c r="G10" s="265" t="s">
        <v>63</v>
      </c>
      <c r="H10" s="266" t="s">
        <v>63</v>
      </c>
      <c r="I10" s="267" t="s">
        <v>63</v>
      </c>
      <c r="J10" s="268" t="s">
        <v>63</v>
      </c>
      <c r="K10" s="284" t="s">
        <v>63</v>
      </c>
      <c r="L10" s="266" t="s">
        <v>63</v>
      </c>
      <c r="M10" s="267" t="s">
        <v>63</v>
      </c>
      <c r="N10" s="1070" t="s">
        <v>63</v>
      </c>
      <c r="O10" s="1071" t="s">
        <v>63</v>
      </c>
      <c r="P10" s="272">
        <f>ifna(vlookup(A10,'Population &amp; Church Numbers'!$A$1750:$D$1766,4,FALSE),"NULL")</f>
        <v>6</v>
      </c>
      <c r="Q10" s="1075" t="s">
        <v>63</v>
      </c>
    </row>
    <row r="11">
      <c r="A11" s="326" t="s">
        <v>290</v>
      </c>
      <c r="B11" s="251">
        <f t="array" ref="B11">VLOOKUP($A11,NV_DEMO,2,FALSE)</f>
        <v>4499</v>
      </c>
      <c r="C11" s="252" t="s">
        <v>63</v>
      </c>
      <c r="D11" s="253" t="s">
        <v>63</v>
      </c>
      <c r="E11" s="253" t="s">
        <v>63</v>
      </c>
      <c r="F11" s="253" t="s">
        <v>63</v>
      </c>
      <c r="G11" s="253" t="s">
        <v>63</v>
      </c>
      <c r="H11" s="254" t="s">
        <v>63</v>
      </c>
      <c r="I11" s="255" t="s">
        <v>63</v>
      </c>
      <c r="J11" s="256" t="s">
        <v>63</v>
      </c>
      <c r="K11" s="274" t="s">
        <v>63</v>
      </c>
      <c r="L11" s="254" t="s">
        <v>63</v>
      </c>
      <c r="M11" s="255" t="s">
        <v>63</v>
      </c>
      <c r="N11" s="1073" t="s">
        <v>63</v>
      </c>
      <c r="O11" s="1067" t="s">
        <v>63</v>
      </c>
      <c r="P11" s="261">
        <f>ifna(vlookup(A11,'Population &amp; Church Numbers'!$A$1750:$D$1766,4,FALSE),"NULL")</f>
        <v>11</v>
      </c>
      <c r="Q11" s="1074" t="s">
        <v>63</v>
      </c>
    </row>
    <row r="12">
      <c r="A12" s="188" t="s">
        <v>910</v>
      </c>
      <c r="B12" s="189">
        <f t="array" ref="B12">VLOOKUP($A12,NV_DEMO,2,FALSE)</f>
        <v>59235</v>
      </c>
      <c r="C12" s="264" t="s">
        <v>63</v>
      </c>
      <c r="D12" s="265" t="s">
        <v>63</v>
      </c>
      <c r="E12" s="265" t="s">
        <v>63</v>
      </c>
      <c r="F12" s="265" t="s">
        <v>63</v>
      </c>
      <c r="G12" s="265" t="s">
        <v>63</v>
      </c>
      <c r="H12" s="266" t="s">
        <v>63</v>
      </c>
      <c r="I12" s="267" t="s">
        <v>63</v>
      </c>
      <c r="J12" s="268" t="s">
        <v>63</v>
      </c>
      <c r="K12" s="284" t="s">
        <v>63</v>
      </c>
      <c r="L12" s="266" t="s">
        <v>63</v>
      </c>
      <c r="M12" s="267" t="s">
        <v>63</v>
      </c>
      <c r="N12" s="1070" t="s">
        <v>63</v>
      </c>
      <c r="O12" s="1071" t="s">
        <v>63</v>
      </c>
      <c r="P12" s="272">
        <f>ifna(vlookup(A12,'Population &amp; Church Numbers'!$A$1750:$D$1766,4,FALSE),"NULL")</f>
        <v>37</v>
      </c>
      <c r="Q12" s="1075" t="s">
        <v>63</v>
      </c>
    </row>
    <row r="13">
      <c r="A13" s="326" t="s">
        <v>435</v>
      </c>
      <c r="B13" s="251">
        <f t="array" ref="B13">VLOOKUP($A13,NV_DEMO,2,FALSE)</f>
        <v>4554</v>
      </c>
      <c r="C13" s="252" t="s">
        <v>63</v>
      </c>
      <c r="D13" s="253" t="s">
        <v>63</v>
      </c>
      <c r="E13" s="253" t="s">
        <v>63</v>
      </c>
      <c r="F13" s="253" t="s">
        <v>63</v>
      </c>
      <c r="G13" s="253" t="s">
        <v>63</v>
      </c>
      <c r="H13" s="254" t="s">
        <v>63</v>
      </c>
      <c r="I13" s="255" t="s">
        <v>63</v>
      </c>
      <c r="J13" s="256" t="s">
        <v>63</v>
      </c>
      <c r="K13" s="274" t="s">
        <v>63</v>
      </c>
      <c r="L13" s="254" t="s">
        <v>63</v>
      </c>
      <c r="M13" s="255" t="s">
        <v>63</v>
      </c>
      <c r="N13" s="1073" t="s">
        <v>63</v>
      </c>
      <c r="O13" s="1067" t="s">
        <v>63</v>
      </c>
      <c r="P13" s="261">
        <f>ifna(vlookup(A13,'Population &amp; Church Numbers'!$A$1750:$D$1766,4,FALSE),"NULL")</f>
        <v>12</v>
      </c>
      <c r="Q13" s="1074" t="s">
        <v>63</v>
      </c>
    </row>
    <row r="14">
      <c r="A14" s="188" t="s">
        <v>1511</v>
      </c>
      <c r="B14" s="189">
        <f t="array" ref="B14">VLOOKUP($A14,NV_DEMO,2,FALSE)</f>
        <v>51591</v>
      </c>
      <c r="C14" s="264" t="s">
        <v>63</v>
      </c>
      <c r="D14" s="265" t="s">
        <v>63</v>
      </c>
      <c r="E14" s="265" t="s">
        <v>63</v>
      </c>
      <c r="F14" s="265" t="s">
        <v>63</v>
      </c>
      <c r="G14" s="265" t="s">
        <v>63</v>
      </c>
      <c r="H14" s="266" t="s">
        <v>63</v>
      </c>
      <c r="I14" s="267" t="s">
        <v>63</v>
      </c>
      <c r="J14" s="268" t="s">
        <v>63</v>
      </c>
      <c r="K14" s="284" t="s">
        <v>63</v>
      </c>
      <c r="L14" s="266" t="s">
        <v>63</v>
      </c>
      <c r="M14" s="267" t="s">
        <v>63</v>
      </c>
      <c r="N14" s="1070" t="s">
        <v>63</v>
      </c>
      <c r="O14" s="1071" t="s">
        <v>63</v>
      </c>
      <c r="P14" s="272">
        <f>ifna(vlookup(A14,'Population &amp; Church Numbers'!$A$1750:$D$1766,4,FALSE),"NULL")</f>
        <v>30</v>
      </c>
      <c r="Q14" s="1075" t="s">
        <v>63</v>
      </c>
    </row>
    <row r="15">
      <c r="A15" s="326" t="s">
        <v>1512</v>
      </c>
      <c r="B15" s="251">
        <f t="array" ref="B15">VLOOKUP($A15,NV_DEMO,2,FALSE)</f>
        <v>6650</v>
      </c>
      <c r="C15" s="252" t="s">
        <v>63</v>
      </c>
      <c r="D15" s="253" t="s">
        <v>63</v>
      </c>
      <c r="E15" s="253" t="s">
        <v>63</v>
      </c>
      <c r="F15" s="253" t="s">
        <v>63</v>
      </c>
      <c r="G15" s="253" t="s">
        <v>63</v>
      </c>
      <c r="H15" s="254" t="s">
        <v>63</v>
      </c>
      <c r="I15" s="255" t="s">
        <v>63</v>
      </c>
      <c r="J15" s="256" t="s">
        <v>63</v>
      </c>
      <c r="K15" s="274" t="s">
        <v>63</v>
      </c>
      <c r="L15" s="254" t="s">
        <v>63</v>
      </c>
      <c r="M15" s="255" t="s">
        <v>63</v>
      </c>
      <c r="N15" s="1073" t="s">
        <v>63</v>
      </c>
      <c r="O15" s="1067" t="s">
        <v>63</v>
      </c>
      <c r="P15" s="261">
        <f>ifna(vlookup(A15,'Population &amp; Church Numbers'!$A$1750:$D$1766,4,FALSE),"NULL")</f>
        <v>6</v>
      </c>
      <c r="Q15" s="1074" t="s">
        <v>63</v>
      </c>
    </row>
    <row r="16">
      <c r="A16" s="188" t="s">
        <v>1513</v>
      </c>
      <c r="B16" s="189">
        <f t="array" ref="B16">VLOOKUP($A16,NV_DEMO,2,FALSE)</f>
        <v>4104</v>
      </c>
      <c r="C16" s="264" t="s">
        <v>63</v>
      </c>
      <c r="D16" s="265" t="s">
        <v>63</v>
      </c>
      <c r="E16" s="265" t="s">
        <v>63</v>
      </c>
      <c r="F16" s="265" t="s">
        <v>63</v>
      </c>
      <c r="G16" s="265" t="s">
        <v>63</v>
      </c>
      <c r="H16" s="266" t="s">
        <v>63</v>
      </c>
      <c r="I16" s="267" t="s">
        <v>63</v>
      </c>
      <c r="J16" s="268" t="s">
        <v>63</v>
      </c>
      <c r="K16" s="284" t="s">
        <v>63</v>
      </c>
      <c r="L16" s="266" t="s">
        <v>63</v>
      </c>
      <c r="M16" s="267" t="s">
        <v>63</v>
      </c>
      <c r="N16" s="1070" t="s">
        <v>63</v>
      </c>
      <c r="O16" s="1071" t="s">
        <v>63</v>
      </c>
      <c r="P16" s="272">
        <f>ifna(vlookup(A16,'Population &amp; Church Numbers'!$A$1750:$D$1766,4,FALSE),"NULL")</f>
        <v>1</v>
      </c>
      <c r="Q16" s="1075" t="s">
        <v>63</v>
      </c>
    </row>
    <row r="17">
      <c r="A17" s="326" t="s">
        <v>1514</v>
      </c>
      <c r="B17" s="251">
        <f t="array" ref="B17">VLOOKUP($A17,NV_DEMO,2,FALSE)</f>
        <v>486492</v>
      </c>
      <c r="C17" s="327">
        <f>'NV Data'!B5</f>
        <v>589</v>
      </c>
      <c r="D17" s="253" t="s">
        <v>63</v>
      </c>
      <c r="E17" s="253">
        <f>'NV Data'!D5</f>
        <v>237</v>
      </c>
      <c r="F17" s="253">
        <f>'NV Data'!C5</f>
        <v>105</v>
      </c>
      <c r="G17" s="253" t="s">
        <v>63</v>
      </c>
      <c r="H17" s="254" t="s">
        <v>63</v>
      </c>
      <c r="I17" s="255" t="s">
        <v>63</v>
      </c>
      <c r="J17" s="256" t="s">
        <v>63</v>
      </c>
      <c r="K17" s="274" t="s">
        <v>63</v>
      </c>
      <c r="L17" s="254" t="s">
        <v>63</v>
      </c>
      <c r="M17" s="255" t="s">
        <v>63</v>
      </c>
      <c r="N17" s="1073" t="s">
        <v>63</v>
      </c>
      <c r="O17" s="1067" t="s">
        <v>63</v>
      </c>
      <c r="P17" s="261">
        <f>ifna(vlookup(A17,'Population &amp; Church Numbers'!$A$1750:$D$1766,4,FALSE),"NULL")</f>
        <v>136</v>
      </c>
      <c r="Q17" s="1074" t="s">
        <v>63</v>
      </c>
    </row>
    <row r="18">
      <c r="A18" s="188" t="s">
        <v>1515</v>
      </c>
      <c r="B18" s="189">
        <f t="array" ref="B18">VLOOKUP($A18,NV_DEMO,2,FALSE)</f>
        <v>9080</v>
      </c>
      <c r="C18" s="264" t="s">
        <v>63</v>
      </c>
      <c r="D18" s="265" t="s">
        <v>63</v>
      </c>
      <c r="E18" s="265" t="s">
        <v>63</v>
      </c>
      <c r="F18" s="265" t="s">
        <v>63</v>
      </c>
      <c r="G18" s="265" t="s">
        <v>63</v>
      </c>
      <c r="H18" s="266" t="s">
        <v>63</v>
      </c>
      <c r="I18" s="267" t="s">
        <v>63</v>
      </c>
      <c r="J18" s="268" t="s">
        <v>63</v>
      </c>
      <c r="K18" s="284" t="s">
        <v>63</v>
      </c>
      <c r="L18" s="266" t="s">
        <v>63</v>
      </c>
      <c r="M18" s="267" t="s">
        <v>63</v>
      </c>
      <c r="N18" s="1070" t="s">
        <v>63</v>
      </c>
      <c r="O18" s="1071" t="s">
        <v>63</v>
      </c>
      <c r="P18" s="272">
        <f>ifna(vlookup(A18,'Population &amp; Church Numbers'!$A$1750:$D$1766,4,FALSE),"NULL")</f>
        <v>8</v>
      </c>
      <c r="Q18" s="1075" t="s">
        <v>63</v>
      </c>
    </row>
    <row r="19">
      <c r="A19" s="326" t="s">
        <v>1516</v>
      </c>
      <c r="B19" s="251">
        <f t="array" ref="B19">VLOOKUP($A19,NV_DEMO,2,FALSE)</f>
        <v>58639</v>
      </c>
      <c r="C19" s="252" t="s">
        <v>63</v>
      </c>
      <c r="D19" s="253" t="s">
        <v>63</v>
      </c>
      <c r="E19" s="253" t="s">
        <v>63</v>
      </c>
      <c r="F19" s="253" t="s">
        <v>63</v>
      </c>
      <c r="G19" s="253" t="s">
        <v>63</v>
      </c>
      <c r="H19" s="254" t="s">
        <v>63</v>
      </c>
      <c r="I19" s="255" t="s">
        <v>63</v>
      </c>
      <c r="J19" s="256" t="s">
        <v>63</v>
      </c>
      <c r="K19" s="274" t="s">
        <v>63</v>
      </c>
      <c r="L19" s="254" t="s">
        <v>63</v>
      </c>
      <c r="M19" s="255" t="s">
        <v>63</v>
      </c>
      <c r="N19" s="1073" t="s">
        <v>63</v>
      </c>
      <c r="O19" s="1067" t="s">
        <v>63</v>
      </c>
      <c r="P19" s="261">
        <f>ifna(vlookup(A19,'Population &amp; Church Numbers'!$A$1750:$D$1766,4,FALSE),"NULL")</f>
        <v>23</v>
      </c>
      <c r="Q19" s="1074" t="s">
        <v>63</v>
      </c>
    </row>
    <row r="20">
      <c r="A20" s="1076"/>
      <c r="B20" s="458"/>
      <c r="C20" s="333"/>
      <c r="D20" s="1077"/>
      <c r="E20" s="1077"/>
      <c r="F20" s="1077"/>
      <c r="G20" s="1077"/>
      <c r="H20" s="1078"/>
      <c r="I20" s="1079"/>
      <c r="J20" s="1080"/>
      <c r="K20" s="1081"/>
      <c r="L20" s="1082"/>
      <c r="M20" s="395"/>
      <c r="N20" s="265"/>
      <c r="O20" s="459"/>
      <c r="P20" s="460"/>
      <c r="Q20" s="295"/>
    </row>
    <row r="21">
      <c r="A21" s="228" t="s">
        <v>2</v>
      </c>
      <c r="B21" s="229"/>
      <c r="C21" s="230">
        <f>'NV Data'!B7</f>
        <v>3989</v>
      </c>
      <c r="D21" s="311" t="s">
        <v>63</v>
      </c>
      <c r="E21" s="311">
        <f>'NV Data'!D7</f>
        <v>970</v>
      </c>
      <c r="F21" s="311">
        <f>'NV Data'!C7</f>
        <v>603</v>
      </c>
      <c r="G21" s="311" t="s">
        <v>63</v>
      </c>
      <c r="H21" s="233">
        <f>AFCARSCSC!D32</f>
        <v>1099</v>
      </c>
      <c r="I21" s="234">
        <f>AFCARSCSC!C32</f>
        <v>718</v>
      </c>
      <c r="J21" s="1083" t="s">
        <v>63</v>
      </c>
      <c r="K21" s="1084" t="s">
        <v>63</v>
      </c>
      <c r="L21" s="1085" t="s">
        <v>63</v>
      </c>
      <c r="M21" s="1086" t="s">
        <v>63</v>
      </c>
      <c r="N21" s="1087" t="s">
        <v>63</v>
      </c>
      <c r="O21" s="1088" t="s">
        <v>63</v>
      </c>
      <c r="P21" s="233">
        <f>SUM(P3:P19)</f>
        <v>794</v>
      </c>
      <c r="Q21" s="1089" t="s">
        <v>63</v>
      </c>
    </row>
  </sheetData>
  <autoFilter ref="$A$2:$Q$20"/>
  <mergeCells count="1">
    <mergeCell ref="B1:Q1"/>
  </mergeCells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75" t="s">
        <v>1040</v>
      </c>
      <c r="B1" s="276"/>
      <c r="C1" s="276"/>
      <c r="D1" s="276"/>
      <c r="E1" s="275" t="s">
        <v>765</v>
      </c>
      <c r="F1" s="275" t="s">
        <v>3738</v>
      </c>
      <c r="G1" s="276"/>
      <c r="H1" s="276"/>
      <c r="I1" s="275" t="s">
        <v>767</v>
      </c>
      <c r="J1" s="277">
        <v>45442.0</v>
      </c>
      <c r="K1" s="275" t="s">
        <v>769</v>
      </c>
      <c r="L1" s="277">
        <v>45291.0</v>
      </c>
      <c r="M1" s="276"/>
    </row>
    <row r="3">
      <c r="B3" s="1" t="s">
        <v>3739</v>
      </c>
      <c r="C3" s="1" t="s">
        <v>1724</v>
      </c>
      <c r="D3" s="1" t="s">
        <v>3740</v>
      </c>
    </row>
    <row r="4">
      <c r="A4" s="320" t="s">
        <v>253</v>
      </c>
      <c r="B4" s="208">
        <v>3017.0</v>
      </c>
      <c r="C4" s="206">
        <v>460.0</v>
      </c>
      <c r="D4" s="206">
        <v>579.0</v>
      </c>
    </row>
    <row r="5">
      <c r="A5" s="320" t="s">
        <v>1514</v>
      </c>
      <c r="B5" s="206">
        <v>589.0</v>
      </c>
      <c r="C5" s="206">
        <v>105.0</v>
      </c>
      <c r="D5" s="206">
        <v>237.0</v>
      </c>
    </row>
    <row r="6">
      <c r="A6" s="320" t="s">
        <v>3744</v>
      </c>
      <c r="B6" s="208">
        <v>383.0</v>
      </c>
      <c r="C6" s="206">
        <v>38.0</v>
      </c>
      <c r="D6" s="206">
        <v>154.0</v>
      </c>
    </row>
    <row r="7">
      <c r="A7" s="204" t="s">
        <v>923</v>
      </c>
      <c r="B7" s="208">
        <v>3989.0</v>
      </c>
      <c r="C7" s="206">
        <v>603.0</v>
      </c>
      <c r="D7" s="206">
        <v>970.0</v>
      </c>
    </row>
    <row r="9">
      <c r="A9" s="275" t="s">
        <v>2459</v>
      </c>
      <c r="B9" s="276"/>
      <c r="C9" s="276"/>
      <c r="D9" s="276"/>
      <c r="E9" s="275" t="s">
        <v>765</v>
      </c>
      <c r="F9" s="276"/>
      <c r="G9" s="276"/>
      <c r="H9" s="276"/>
      <c r="I9" s="275" t="s">
        <v>767</v>
      </c>
      <c r="J9" s="276"/>
      <c r="K9" s="275" t="s">
        <v>769</v>
      </c>
      <c r="L9" s="276"/>
      <c r="M9" s="276"/>
    </row>
    <row r="11">
      <c r="A11" s="320" t="s">
        <v>3745</v>
      </c>
      <c r="B11" s="358"/>
    </row>
    <row r="12">
      <c r="A12" s="320" t="s">
        <v>1514</v>
      </c>
      <c r="B12" s="358"/>
    </row>
    <row r="13">
      <c r="A13" s="320" t="s">
        <v>3746</v>
      </c>
      <c r="B13" s="358"/>
    </row>
    <row r="14">
      <c r="A14" s="204" t="s">
        <v>923</v>
      </c>
      <c r="B14" s="1090"/>
    </row>
  </sheetData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4.25"/>
    <col customWidth="1" min="12" max="12" width="13.38"/>
  </cols>
  <sheetData>
    <row r="1">
      <c r="A1" s="167"/>
      <c r="B1" s="168" t="s">
        <v>85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</row>
    <row r="2" ht="56.25" customHeight="1">
      <c r="A2" s="169" t="s">
        <v>172</v>
      </c>
      <c r="B2" s="170" t="s">
        <v>174</v>
      </c>
      <c r="C2" s="171" t="s">
        <v>693</v>
      </c>
      <c r="D2" s="172" t="s">
        <v>694</v>
      </c>
      <c r="E2" s="172" t="s">
        <v>695</v>
      </c>
      <c r="F2" s="172" t="s">
        <v>179</v>
      </c>
      <c r="G2" s="172" t="s">
        <v>696</v>
      </c>
      <c r="H2" s="173" t="s">
        <v>697</v>
      </c>
      <c r="I2" s="174" t="s">
        <v>84</v>
      </c>
      <c r="J2" s="170" t="s">
        <v>698</v>
      </c>
      <c r="K2" s="175" t="s">
        <v>699</v>
      </c>
      <c r="L2" s="173" t="s">
        <v>89</v>
      </c>
      <c r="M2" s="176" t="s">
        <v>700</v>
      </c>
      <c r="N2" s="177" t="s">
        <v>701</v>
      </c>
      <c r="O2" s="177" t="s">
        <v>702</v>
      </c>
      <c r="P2" s="178" t="s">
        <v>90</v>
      </c>
      <c r="Q2" s="325" t="s">
        <v>703</v>
      </c>
    </row>
    <row r="3">
      <c r="A3" s="326" t="s">
        <v>1518</v>
      </c>
      <c r="B3" s="251">
        <f t="array" ref="B3">VLOOKUP($A3,NH_DEMO,2,FALSE)</f>
        <v>63705</v>
      </c>
      <c r="C3" s="252" t="s">
        <v>63</v>
      </c>
      <c r="D3" s="253" t="s">
        <v>63</v>
      </c>
      <c r="E3" s="253" t="s">
        <v>63</v>
      </c>
      <c r="F3" s="253" t="s">
        <v>63</v>
      </c>
      <c r="G3" s="253" t="s">
        <v>63</v>
      </c>
      <c r="H3" s="254" t="s">
        <v>63</v>
      </c>
      <c r="I3" s="255" t="s">
        <v>63</v>
      </c>
      <c r="J3" s="256" t="s">
        <v>63</v>
      </c>
      <c r="K3" s="274" t="s">
        <v>63</v>
      </c>
      <c r="L3" s="254" t="s">
        <v>63</v>
      </c>
      <c r="M3" s="258" t="s">
        <v>63</v>
      </c>
      <c r="N3" s="253" t="s">
        <v>63</v>
      </c>
      <c r="O3" s="253" t="s">
        <v>63</v>
      </c>
      <c r="P3" s="261">
        <f>ifna(vlookup(A3,'Population &amp; Church Numbers'!$A$1767:$D$1776,4,FALSE),"NULL")</f>
        <v>56</v>
      </c>
      <c r="Q3" s="262" t="s">
        <v>63</v>
      </c>
    </row>
    <row r="4">
      <c r="A4" s="188" t="s">
        <v>248</v>
      </c>
      <c r="B4" s="189">
        <f t="array" ref="B4">VLOOKUP($A4,NH_DEMO,2,FALSE)</f>
        <v>50107</v>
      </c>
      <c r="C4" s="264" t="s">
        <v>63</v>
      </c>
      <c r="D4" s="265" t="s">
        <v>63</v>
      </c>
      <c r="E4" s="265" t="s">
        <v>63</v>
      </c>
      <c r="F4" s="265" t="s">
        <v>63</v>
      </c>
      <c r="G4" s="265" t="s">
        <v>63</v>
      </c>
      <c r="H4" s="266" t="s">
        <v>63</v>
      </c>
      <c r="I4" s="267" t="s">
        <v>63</v>
      </c>
      <c r="J4" s="268" t="s">
        <v>63</v>
      </c>
      <c r="K4" s="284" t="s">
        <v>63</v>
      </c>
      <c r="L4" s="266" t="s">
        <v>63</v>
      </c>
      <c r="M4" s="267" t="s">
        <v>63</v>
      </c>
      <c r="N4" s="265" t="s">
        <v>63</v>
      </c>
      <c r="O4" s="265" t="s">
        <v>63</v>
      </c>
      <c r="P4" s="272">
        <f>ifna(vlookup(A4,'Population &amp; Church Numbers'!$A$1767:$D$1776,4,FALSE),"NULL")</f>
        <v>46</v>
      </c>
      <c r="Q4" s="273" t="s">
        <v>63</v>
      </c>
    </row>
    <row r="5">
      <c r="A5" s="326" t="s">
        <v>1519</v>
      </c>
      <c r="B5" s="251">
        <f t="array" ref="B5">VLOOKUP($A5,NH_DEMO,2,FALSE)</f>
        <v>76458</v>
      </c>
      <c r="C5" s="252" t="s">
        <v>63</v>
      </c>
      <c r="D5" s="253" t="s">
        <v>63</v>
      </c>
      <c r="E5" s="253" t="s">
        <v>63</v>
      </c>
      <c r="F5" s="253" t="s">
        <v>63</v>
      </c>
      <c r="G5" s="253" t="s">
        <v>63</v>
      </c>
      <c r="H5" s="254" t="s">
        <v>63</v>
      </c>
      <c r="I5" s="255" t="s">
        <v>63</v>
      </c>
      <c r="J5" s="256" t="s">
        <v>63</v>
      </c>
      <c r="K5" s="274" t="s">
        <v>63</v>
      </c>
      <c r="L5" s="254" t="s">
        <v>63</v>
      </c>
      <c r="M5" s="255" t="s">
        <v>63</v>
      </c>
      <c r="N5" s="253" t="s">
        <v>63</v>
      </c>
      <c r="O5" s="253" t="s">
        <v>63</v>
      </c>
      <c r="P5" s="261">
        <f>ifna(vlookup(A5,'Population &amp; Church Numbers'!$A$1767:$D$1776,4,FALSE),"NULL")</f>
        <v>63</v>
      </c>
      <c r="Q5" s="262" t="s">
        <v>63</v>
      </c>
    </row>
    <row r="6">
      <c r="A6" s="188" t="s">
        <v>1520</v>
      </c>
      <c r="B6" s="189">
        <f t="array" ref="B6">VLOOKUP($A6,NH_DEMO,2,FALSE)</f>
        <v>31268</v>
      </c>
      <c r="C6" s="264" t="s">
        <v>63</v>
      </c>
      <c r="D6" s="265" t="s">
        <v>63</v>
      </c>
      <c r="E6" s="265" t="s">
        <v>63</v>
      </c>
      <c r="F6" s="265" t="s">
        <v>63</v>
      </c>
      <c r="G6" s="265" t="s">
        <v>63</v>
      </c>
      <c r="H6" s="266" t="s">
        <v>63</v>
      </c>
      <c r="I6" s="267" t="s">
        <v>63</v>
      </c>
      <c r="J6" s="268" t="s">
        <v>63</v>
      </c>
      <c r="K6" s="284" t="s">
        <v>63</v>
      </c>
      <c r="L6" s="266" t="s">
        <v>63</v>
      </c>
      <c r="M6" s="267" t="s">
        <v>63</v>
      </c>
      <c r="N6" s="265" t="s">
        <v>63</v>
      </c>
      <c r="O6" s="265" t="s">
        <v>63</v>
      </c>
      <c r="P6" s="272">
        <f>ifna(vlookup(A6,'Population &amp; Church Numbers'!$A$1767:$D$1776,4,FALSE),"NULL")</f>
        <v>39</v>
      </c>
      <c r="Q6" s="273" t="s">
        <v>63</v>
      </c>
    </row>
    <row r="7">
      <c r="A7" s="326" t="s">
        <v>1521</v>
      </c>
      <c r="B7" s="251">
        <f t="array" ref="B7">VLOOKUP($A7,NH_DEMO,2,FALSE)</f>
        <v>91118</v>
      </c>
      <c r="C7" s="252" t="s">
        <v>63</v>
      </c>
      <c r="D7" s="253" t="s">
        <v>63</v>
      </c>
      <c r="E7" s="253" t="s">
        <v>63</v>
      </c>
      <c r="F7" s="253" t="s">
        <v>63</v>
      </c>
      <c r="G7" s="253" t="s">
        <v>63</v>
      </c>
      <c r="H7" s="254" t="s">
        <v>63</v>
      </c>
      <c r="I7" s="255" t="s">
        <v>63</v>
      </c>
      <c r="J7" s="256" t="s">
        <v>63</v>
      </c>
      <c r="K7" s="274" t="s">
        <v>63</v>
      </c>
      <c r="L7" s="254" t="s">
        <v>63</v>
      </c>
      <c r="M7" s="255" t="s">
        <v>63</v>
      </c>
      <c r="N7" s="253" t="s">
        <v>63</v>
      </c>
      <c r="O7" s="253" t="s">
        <v>63</v>
      </c>
      <c r="P7" s="261">
        <f>ifna(vlookup(A7,'Population &amp; Church Numbers'!$A$1767:$D$1776,4,FALSE),"NULL")</f>
        <v>87</v>
      </c>
      <c r="Q7" s="262" t="s">
        <v>63</v>
      </c>
    </row>
    <row r="8">
      <c r="A8" s="188" t="s">
        <v>306</v>
      </c>
      <c r="B8" s="189">
        <f t="array" ref="B8">VLOOKUP($A8,NH_DEMO,2,FALSE)</f>
        <v>422937</v>
      </c>
      <c r="C8" s="264" t="s">
        <v>63</v>
      </c>
      <c r="D8" s="265" t="s">
        <v>63</v>
      </c>
      <c r="E8" s="265" t="s">
        <v>63</v>
      </c>
      <c r="F8" s="265" t="s">
        <v>63</v>
      </c>
      <c r="G8" s="265" t="s">
        <v>63</v>
      </c>
      <c r="H8" s="266" t="s">
        <v>63</v>
      </c>
      <c r="I8" s="267" t="s">
        <v>63</v>
      </c>
      <c r="J8" s="268" t="s">
        <v>63</v>
      </c>
      <c r="K8" s="284" t="s">
        <v>63</v>
      </c>
      <c r="L8" s="266" t="s">
        <v>63</v>
      </c>
      <c r="M8" s="267" t="s">
        <v>63</v>
      </c>
      <c r="N8" s="265" t="s">
        <v>63</v>
      </c>
      <c r="O8" s="265" t="s">
        <v>63</v>
      </c>
      <c r="P8" s="272">
        <f>ifna(vlookup(A8,'Population &amp; Church Numbers'!$A$1767:$D$1776,4,FALSE),"NULL")</f>
        <v>181</v>
      </c>
      <c r="Q8" s="273" t="s">
        <v>63</v>
      </c>
    </row>
    <row r="9">
      <c r="A9" s="326" t="s">
        <v>1522</v>
      </c>
      <c r="B9" s="251">
        <f t="array" ref="B9">VLOOKUP($A9,NH_DEMO,2,FALSE)</f>
        <v>153808</v>
      </c>
      <c r="C9" s="252" t="s">
        <v>63</v>
      </c>
      <c r="D9" s="253" t="s">
        <v>63</v>
      </c>
      <c r="E9" s="253" t="s">
        <v>63</v>
      </c>
      <c r="F9" s="253" t="s">
        <v>63</v>
      </c>
      <c r="G9" s="253" t="s">
        <v>63</v>
      </c>
      <c r="H9" s="254" t="s">
        <v>63</v>
      </c>
      <c r="I9" s="255" t="s">
        <v>63</v>
      </c>
      <c r="J9" s="256" t="s">
        <v>63</v>
      </c>
      <c r="K9" s="274" t="s">
        <v>63</v>
      </c>
      <c r="L9" s="254" t="s">
        <v>63</v>
      </c>
      <c r="M9" s="255" t="s">
        <v>63</v>
      </c>
      <c r="N9" s="253" t="s">
        <v>63</v>
      </c>
      <c r="O9" s="253" t="s">
        <v>63</v>
      </c>
      <c r="P9" s="261">
        <f>ifna(vlookup(A9,'Population &amp; Church Numbers'!$A$1767:$D$1776,4,FALSE),"NULL")</f>
        <v>95</v>
      </c>
      <c r="Q9" s="262" t="s">
        <v>63</v>
      </c>
    </row>
    <row r="10">
      <c r="A10" s="188" t="s">
        <v>1523</v>
      </c>
      <c r="B10" s="189">
        <f t="array" ref="B10">VLOOKUP($A10,NH_DEMO,2,FALSE)</f>
        <v>314176</v>
      </c>
      <c r="C10" s="264" t="s">
        <v>63</v>
      </c>
      <c r="D10" s="265" t="s">
        <v>63</v>
      </c>
      <c r="E10" s="265" t="s">
        <v>63</v>
      </c>
      <c r="F10" s="265" t="s">
        <v>63</v>
      </c>
      <c r="G10" s="265" t="s">
        <v>63</v>
      </c>
      <c r="H10" s="266" t="s">
        <v>63</v>
      </c>
      <c r="I10" s="267" t="s">
        <v>63</v>
      </c>
      <c r="J10" s="268" t="s">
        <v>63</v>
      </c>
      <c r="K10" s="284" t="s">
        <v>63</v>
      </c>
      <c r="L10" s="266" t="s">
        <v>63</v>
      </c>
      <c r="M10" s="267" t="s">
        <v>63</v>
      </c>
      <c r="N10" s="265" t="s">
        <v>63</v>
      </c>
      <c r="O10" s="265" t="s">
        <v>63</v>
      </c>
      <c r="P10" s="272">
        <f>ifna(vlookup(A10,'Population &amp; Church Numbers'!$A$1767:$D$1776,4,FALSE),"NULL")</f>
        <v>141</v>
      </c>
      <c r="Q10" s="273" t="s">
        <v>63</v>
      </c>
    </row>
    <row r="11">
      <c r="A11" s="326" t="s">
        <v>1524</v>
      </c>
      <c r="B11" s="251">
        <f t="array" ref="B11">VLOOKUP($A11,NH_DEMO,2,FALSE)</f>
        <v>130889</v>
      </c>
      <c r="C11" s="252" t="s">
        <v>63</v>
      </c>
      <c r="D11" s="253" t="s">
        <v>63</v>
      </c>
      <c r="E11" s="253" t="s">
        <v>63</v>
      </c>
      <c r="F11" s="253" t="s">
        <v>63</v>
      </c>
      <c r="G11" s="253" t="s">
        <v>63</v>
      </c>
      <c r="H11" s="254" t="s">
        <v>63</v>
      </c>
      <c r="I11" s="255" t="s">
        <v>63</v>
      </c>
      <c r="J11" s="256" t="s">
        <v>63</v>
      </c>
      <c r="K11" s="274" t="s">
        <v>63</v>
      </c>
      <c r="L11" s="254" t="s">
        <v>63</v>
      </c>
      <c r="M11" s="255" t="s">
        <v>63</v>
      </c>
      <c r="N11" s="253" t="s">
        <v>63</v>
      </c>
      <c r="O11" s="253" t="s">
        <v>63</v>
      </c>
      <c r="P11" s="261">
        <f>ifna(vlookup(A11,'Population &amp; Church Numbers'!$A$1767:$D$1776,4,FALSE),"NULL")</f>
        <v>70</v>
      </c>
      <c r="Q11" s="262" t="s">
        <v>63</v>
      </c>
    </row>
    <row r="12">
      <c r="A12" s="188" t="s">
        <v>860</v>
      </c>
      <c r="B12" s="189">
        <f t="array" ref="B12">VLOOKUP($A12,NH_DEMO,2,FALSE)</f>
        <v>43063</v>
      </c>
      <c r="C12" s="264" t="s">
        <v>63</v>
      </c>
      <c r="D12" s="265" t="s">
        <v>63</v>
      </c>
      <c r="E12" s="265" t="s">
        <v>63</v>
      </c>
      <c r="F12" s="265" t="s">
        <v>63</v>
      </c>
      <c r="G12" s="265" t="s">
        <v>63</v>
      </c>
      <c r="H12" s="266" t="s">
        <v>63</v>
      </c>
      <c r="I12" s="267" t="s">
        <v>63</v>
      </c>
      <c r="J12" s="268" t="s">
        <v>63</v>
      </c>
      <c r="K12" s="284" t="s">
        <v>63</v>
      </c>
      <c r="L12" s="266" t="s">
        <v>63</v>
      </c>
      <c r="M12" s="267" t="s">
        <v>63</v>
      </c>
      <c r="N12" s="265" t="s">
        <v>63</v>
      </c>
      <c r="O12" s="265" t="s">
        <v>63</v>
      </c>
      <c r="P12" s="272">
        <f>ifna(vlookup(A12,'Population &amp; Church Numbers'!$A$1767:$D$1776,4,FALSE),"NULL")</f>
        <v>40</v>
      </c>
      <c r="Q12" s="273" t="s">
        <v>63</v>
      </c>
    </row>
    <row r="13">
      <c r="A13" s="217"/>
      <c r="B13" s="218"/>
      <c r="C13" s="219"/>
      <c r="D13" s="220"/>
      <c r="E13" s="220"/>
      <c r="F13" s="220"/>
      <c r="G13" s="220"/>
      <c r="H13" s="221"/>
      <c r="I13" s="222"/>
      <c r="J13" s="223"/>
      <c r="K13" s="219"/>
      <c r="L13" s="224"/>
      <c r="M13" s="225"/>
      <c r="N13" s="226"/>
      <c r="O13" s="220"/>
      <c r="P13" s="221"/>
      <c r="Q13" s="295"/>
    </row>
    <row r="14">
      <c r="A14" s="228" t="s">
        <v>2</v>
      </c>
      <c r="B14" s="229"/>
      <c r="C14" s="230">
        <f>AFCARSCSC!B33</f>
        <v>1181</v>
      </c>
      <c r="D14" s="311" t="s">
        <v>63</v>
      </c>
      <c r="E14" s="311" t="s">
        <v>63</v>
      </c>
      <c r="F14" s="311" t="s">
        <v>63</v>
      </c>
      <c r="G14" s="311" t="s">
        <v>63</v>
      </c>
      <c r="H14" s="233">
        <f>AFCARSCSC!D33</f>
        <v>599</v>
      </c>
      <c r="I14" s="234">
        <f>AFCARSCSC!C33</f>
        <v>60</v>
      </c>
      <c r="J14" s="305" t="s">
        <v>63</v>
      </c>
      <c r="K14" s="708" t="s">
        <v>63</v>
      </c>
      <c r="L14" s="309" t="s">
        <v>63</v>
      </c>
      <c r="M14" s="360" t="s">
        <v>63</v>
      </c>
      <c r="N14" s="311" t="s">
        <v>63</v>
      </c>
      <c r="O14" s="1091" t="s">
        <v>63</v>
      </c>
      <c r="P14" s="233">
        <f>SUM(P3:P12)</f>
        <v>818</v>
      </c>
      <c r="Q14" s="1092" t="s">
        <v>63</v>
      </c>
    </row>
  </sheetData>
  <autoFilter ref="$A$2:$Q$12"/>
  <mergeCells count="1">
    <mergeCell ref="B1:Q1"/>
  </mergeCells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75" t="s">
        <v>1040</v>
      </c>
      <c r="B1" s="276"/>
      <c r="C1" s="276"/>
      <c r="D1" s="276"/>
      <c r="E1" s="275" t="s">
        <v>765</v>
      </c>
      <c r="F1" s="276"/>
      <c r="G1" s="276"/>
      <c r="H1" s="276"/>
      <c r="I1" s="275" t="s">
        <v>767</v>
      </c>
      <c r="J1" s="276"/>
      <c r="K1" s="275" t="s">
        <v>769</v>
      </c>
      <c r="L1" s="276"/>
      <c r="M1" s="276"/>
    </row>
    <row r="50">
      <c r="A50" s="275" t="s">
        <v>792</v>
      </c>
      <c r="B50" s="276"/>
      <c r="C50" s="276"/>
      <c r="D50" s="276"/>
      <c r="E50" s="275" t="s">
        <v>765</v>
      </c>
      <c r="F50" s="276"/>
      <c r="G50" s="276"/>
      <c r="H50" s="276"/>
      <c r="I50" s="275" t="s">
        <v>767</v>
      </c>
      <c r="J50" s="276"/>
      <c r="K50" s="275" t="s">
        <v>769</v>
      </c>
      <c r="L50" s="276"/>
      <c r="M50" s="276"/>
    </row>
    <row r="100">
      <c r="A100" s="275" t="s">
        <v>852</v>
      </c>
      <c r="B100" s="276"/>
      <c r="C100" s="276"/>
      <c r="D100" s="276"/>
      <c r="E100" s="275" t="s">
        <v>765</v>
      </c>
      <c r="F100" s="276"/>
      <c r="G100" s="276"/>
      <c r="H100" s="276"/>
      <c r="I100" s="275" t="s">
        <v>767</v>
      </c>
      <c r="J100" s="276"/>
      <c r="K100" s="275" t="s">
        <v>769</v>
      </c>
      <c r="L100" s="276"/>
      <c r="M100" s="276"/>
    </row>
  </sheetData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2" max="12" width="13.5"/>
  </cols>
  <sheetData>
    <row r="1">
      <c r="A1" s="167"/>
      <c r="B1" s="168" t="s">
        <v>88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</row>
    <row r="2">
      <c r="A2" s="169" t="s">
        <v>172</v>
      </c>
      <c r="B2" s="170" t="s">
        <v>174</v>
      </c>
      <c r="C2" s="171" t="s">
        <v>693</v>
      </c>
      <c r="D2" s="172" t="s">
        <v>694</v>
      </c>
      <c r="E2" s="172" t="s">
        <v>695</v>
      </c>
      <c r="F2" s="172" t="s">
        <v>179</v>
      </c>
      <c r="G2" s="172" t="s">
        <v>696</v>
      </c>
      <c r="H2" s="173" t="s">
        <v>697</v>
      </c>
      <c r="I2" s="174" t="s">
        <v>84</v>
      </c>
      <c r="J2" s="170" t="s">
        <v>698</v>
      </c>
      <c r="K2" s="175" t="s">
        <v>699</v>
      </c>
      <c r="L2" s="173" t="s">
        <v>89</v>
      </c>
      <c r="M2" s="176" t="s">
        <v>700</v>
      </c>
      <c r="N2" s="177" t="s">
        <v>701</v>
      </c>
      <c r="O2" s="177" t="s">
        <v>702</v>
      </c>
      <c r="P2" s="178" t="s">
        <v>90</v>
      </c>
      <c r="Q2" s="325" t="s">
        <v>703</v>
      </c>
    </row>
    <row r="3">
      <c r="A3" s="326" t="s">
        <v>1525</v>
      </c>
      <c r="B3" s="251">
        <f t="array" ref="B3">VLOOKUP($A3,NJ_DEMO,2,FALSE)</f>
        <v>274534</v>
      </c>
      <c r="C3" s="327">
        <f>VLOOKUP($A3,'NJ Data'!$A$3:$D$24,2,FALSE)</f>
        <v>164</v>
      </c>
      <c r="D3" s="253" t="s">
        <v>63</v>
      </c>
      <c r="E3" s="253">
        <f>VLOOKUP($A3,'NJ Data'!$A$3:$D$24,4,FALSE)</f>
        <v>77</v>
      </c>
      <c r="F3" s="253">
        <f>VLOOKUP($A3,'NJ Data'!$A$3:$D$24,3,FALSE)</f>
        <v>74</v>
      </c>
      <c r="G3" s="253" t="s">
        <v>63</v>
      </c>
      <c r="H3" s="254" t="s">
        <v>63</v>
      </c>
      <c r="I3" s="255" t="s">
        <v>63</v>
      </c>
      <c r="J3" s="256" t="s">
        <v>63</v>
      </c>
      <c r="K3" s="479">
        <f>vlookup(A3,'NJ Data'!$A$3:$E$24,5,FALSE)</f>
        <v>0.49</v>
      </c>
      <c r="L3" s="254" t="s">
        <v>63</v>
      </c>
      <c r="M3" s="258" t="s">
        <v>63</v>
      </c>
      <c r="N3" s="1066" t="s">
        <v>63</v>
      </c>
      <c r="O3" s="1067" t="s">
        <v>63</v>
      </c>
      <c r="P3" s="261">
        <f>ifna(vlookup(A3,'Population &amp; Church Numbers'!$A$1777:$D$1797,4,FALSE),"NULL")</f>
        <v>159</v>
      </c>
      <c r="Q3" s="1068" t="s">
        <v>63</v>
      </c>
    </row>
    <row r="4">
      <c r="A4" s="188" t="s">
        <v>447</v>
      </c>
      <c r="B4" s="189">
        <f t="array" ref="B4">VLOOKUP($A4,NJ_DEMO,2,FALSE)</f>
        <v>955732</v>
      </c>
      <c r="C4" s="333">
        <f>VLOOKUP($A4,'NJ Data'!$A$3:$D$24,2,FALSE)</f>
        <v>82</v>
      </c>
      <c r="D4" s="265" t="s">
        <v>63</v>
      </c>
      <c r="E4" s="265">
        <f>VLOOKUP($A4,'NJ Data'!$A$3:$D$24,4,FALSE)</f>
        <v>27</v>
      </c>
      <c r="F4" s="265">
        <f>VLOOKUP($A4,'NJ Data'!$A$3:$D$24,3,FALSE)</f>
        <v>44</v>
      </c>
      <c r="G4" s="265" t="s">
        <v>63</v>
      </c>
      <c r="H4" s="266" t="s">
        <v>63</v>
      </c>
      <c r="I4" s="267" t="s">
        <v>63</v>
      </c>
      <c r="J4" s="268" t="s">
        <v>63</v>
      </c>
      <c r="K4" s="498">
        <f>vlookup(A4,'NJ Data'!$A$3:$E$24,5,FALSE)</f>
        <v>0.43</v>
      </c>
      <c r="L4" s="266" t="s">
        <v>63</v>
      </c>
      <c r="M4" s="267" t="s">
        <v>63</v>
      </c>
      <c r="N4" s="1070" t="s">
        <v>63</v>
      </c>
      <c r="O4" s="1071" t="s">
        <v>63</v>
      </c>
      <c r="P4" s="272">
        <f>ifna(vlookup(A4,'Population &amp; Church Numbers'!$A$1777:$D$1797,4,FALSE),"NULL")</f>
        <v>436</v>
      </c>
      <c r="Q4" s="1072" t="s">
        <v>63</v>
      </c>
    </row>
    <row r="5">
      <c r="A5" s="326" t="s">
        <v>1526</v>
      </c>
      <c r="B5" s="251">
        <f t="array" ref="B5">VLOOKUP($A5,NJ_DEMO,2,FALSE)</f>
        <v>461860</v>
      </c>
      <c r="C5" s="327">
        <f>VLOOKUP($A5,'NJ Data'!$A$3:$D$24,2,FALSE)</f>
        <v>202</v>
      </c>
      <c r="D5" s="253" t="s">
        <v>63</v>
      </c>
      <c r="E5" s="253">
        <f>VLOOKUP($A5,'NJ Data'!$A$3:$D$24,4,FALSE)</f>
        <v>98</v>
      </c>
      <c r="F5" s="253">
        <f>VLOOKUP($A5,'NJ Data'!$A$3:$D$24,3,FALSE)</f>
        <v>87</v>
      </c>
      <c r="G5" s="253" t="s">
        <v>63</v>
      </c>
      <c r="H5" s="254" t="s">
        <v>63</v>
      </c>
      <c r="I5" s="255" t="s">
        <v>63</v>
      </c>
      <c r="J5" s="256" t="s">
        <v>63</v>
      </c>
      <c r="K5" s="479">
        <f>vlookup(A5,'NJ Data'!$A$3:$E$24,5,FALSE)</f>
        <v>0.48</v>
      </c>
      <c r="L5" s="254" t="s">
        <v>63</v>
      </c>
      <c r="M5" s="255" t="s">
        <v>63</v>
      </c>
      <c r="N5" s="1073" t="s">
        <v>63</v>
      </c>
      <c r="O5" s="1067" t="s">
        <v>63</v>
      </c>
      <c r="P5" s="261">
        <f>ifna(vlookup(A5,'Population &amp; Church Numbers'!$A$1777:$D$1797,4,FALSE),"NULL")</f>
        <v>231</v>
      </c>
      <c r="Q5" s="1074" t="s">
        <v>63</v>
      </c>
    </row>
    <row r="6">
      <c r="A6" s="188" t="s">
        <v>548</v>
      </c>
      <c r="B6" s="189">
        <f t="array" ref="B6">VLOOKUP($A6,NJ_DEMO,2,FALSE)</f>
        <v>523485</v>
      </c>
      <c r="C6" s="333">
        <f>VLOOKUP($A6,'NJ Data'!$A$3:$D$24,2,FALSE)</f>
        <v>428</v>
      </c>
      <c r="D6" s="265" t="s">
        <v>63</v>
      </c>
      <c r="E6" s="265">
        <f>VLOOKUP($A6,'NJ Data'!$A$3:$D$24,4,FALSE)</f>
        <v>201</v>
      </c>
      <c r="F6" s="265">
        <f>VLOOKUP($A6,'NJ Data'!$A$3:$D$24,3,FALSE)</f>
        <v>201</v>
      </c>
      <c r="G6" s="265" t="s">
        <v>63</v>
      </c>
      <c r="H6" s="266" t="s">
        <v>63</v>
      </c>
      <c r="I6" s="267" t="s">
        <v>63</v>
      </c>
      <c r="J6" s="268" t="s">
        <v>63</v>
      </c>
      <c r="K6" s="498">
        <f>vlookup(A6,'NJ Data'!$A$3:$E$24,5,FALSE)</f>
        <v>0.48</v>
      </c>
      <c r="L6" s="266" t="s">
        <v>63</v>
      </c>
      <c r="M6" s="267" t="s">
        <v>63</v>
      </c>
      <c r="N6" s="1070" t="s">
        <v>63</v>
      </c>
      <c r="O6" s="1071" t="s">
        <v>63</v>
      </c>
      <c r="P6" s="272">
        <f>ifna(vlookup(A6,'Population &amp; Church Numbers'!$A$1777:$D$1797,4,FALSE),"NULL")</f>
        <v>275</v>
      </c>
      <c r="Q6" s="1075" t="s">
        <v>63</v>
      </c>
    </row>
    <row r="7">
      <c r="A7" s="326" t="s">
        <v>1527</v>
      </c>
      <c r="B7" s="251">
        <f t="array" ref="B7">VLOOKUP($A7,NJ_DEMO,2,FALSE)</f>
        <v>95263</v>
      </c>
      <c r="C7" s="327">
        <f>VLOOKUP($A7,'NJ Data'!$A$3:$D$24,2,FALSE)</f>
        <v>63</v>
      </c>
      <c r="D7" s="253" t="s">
        <v>63</v>
      </c>
      <c r="E7" s="253">
        <f>VLOOKUP($A7,'NJ Data'!$A$3:$D$24,4,FALSE)</f>
        <v>34</v>
      </c>
      <c r="F7" s="253">
        <f>VLOOKUP($A7,'NJ Data'!$A$3:$D$24,3,FALSE)</f>
        <v>24</v>
      </c>
      <c r="G7" s="253" t="s">
        <v>63</v>
      </c>
      <c r="H7" s="254" t="s">
        <v>63</v>
      </c>
      <c r="I7" s="255" t="s">
        <v>63</v>
      </c>
      <c r="J7" s="256" t="s">
        <v>63</v>
      </c>
      <c r="K7" s="479">
        <f>vlookup(A7,'NJ Data'!$A$3:$E$24,5,FALSE)</f>
        <v>0.53</v>
      </c>
      <c r="L7" s="254" t="s">
        <v>63</v>
      </c>
      <c r="M7" s="255" t="s">
        <v>63</v>
      </c>
      <c r="N7" s="1073" t="s">
        <v>63</v>
      </c>
      <c r="O7" s="1067" t="s">
        <v>63</v>
      </c>
      <c r="P7" s="261">
        <f>ifna(vlookup(A7,'Population &amp; Church Numbers'!$A$1777:$D$1797,4,FALSE),"NULL")</f>
        <v>86</v>
      </c>
      <c r="Q7" s="1074" t="s">
        <v>63</v>
      </c>
    </row>
    <row r="8">
      <c r="A8" s="188" t="s">
        <v>713</v>
      </c>
      <c r="B8" s="189">
        <f t="array" ref="B8">VLOOKUP($A8,NJ_DEMO,2,FALSE)</f>
        <v>154152</v>
      </c>
      <c r="C8" s="333">
        <f>VLOOKUP($A8,'NJ Data'!$A$3:$D$24,2,FALSE)</f>
        <v>99</v>
      </c>
      <c r="D8" s="265" t="s">
        <v>63</v>
      </c>
      <c r="E8" s="265">
        <f>VLOOKUP($A8,'NJ Data'!$A$3:$D$24,4,FALSE)</f>
        <v>50</v>
      </c>
      <c r="F8" s="265">
        <f>VLOOKUP($A8,'NJ Data'!$A$3:$D$24,3,FALSE)</f>
        <v>33</v>
      </c>
      <c r="G8" s="265" t="s">
        <v>63</v>
      </c>
      <c r="H8" s="266" t="s">
        <v>63</v>
      </c>
      <c r="I8" s="267" t="s">
        <v>63</v>
      </c>
      <c r="J8" s="268" t="s">
        <v>63</v>
      </c>
      <c r="K8" s="498">
        <f>vlookup(A8,'NJ Data'!$A$3:$E$24,5,FALSE)</f>
        <v>0.56</v>
      </c>
      <c r="L8" s="266" t="s">
        <v>63</v>
      </c>
      <c r="M8" s="267" t="s">
        <v>63</v>
      </c>
      <c r="N8" s="1070" t="s">
        <v>63</v>
      </c>
      <c r="O8" s="1071" t="s">
        <v>63</v>
      </c>
      <c r="P8" s="272">
        <f>ifna(vlookup(A8,'Population &amp; Church Numbers'!$A$1777:$D$1797,4,FALSE),"NULL")</f>
        <v>126</v>
      </c>
      <c r="Q8" s="1075" t="s">
        <v>63</v>
      </c>
    </row>
    <row r="9">
      <c r="A9" s="326" t="s">
        <v>516</v>
      </c>
      <c r="B9" s="251">
        <f t="array" ref="B9">VLOOKUP($A9,NJ_DEMO,2,FALSE)</f>
        <v>863728</v>
      </c>
      <c r="C9" s="327">
        <f>VLOOKUP($A9,'NJ Data'!$A$3:$D$24,2,FALSE)</f>
        <v>357</v>
      </c>
      <c r="D9" s="253" t="s">
        <v>63</v>
      </c>
      <c r="E9" s="253">
        <f>VLOOKUP($A9,'NJ Data'!$A$3:$D$24,4,FALSE)</f>
        <v>168</v>
      </c>
      <c r="F9" s="253">
        <f>VLOOKUP($A9,'NJ Data'!$A$3:$D$24,3,FALSE)</f>
        <v>149</v>
      </c>
      <c r="G9" s="253" t="s">
        <v>63</v>
      </c>
      <c r="H9" s="254" t="s">
        <v>63</v>
      </c>
      <c r="I9" s="255" t="s">
        <v>63</v>
      </c>
      <c r="J9" s="256" t="s">
        <v>63</v>
      </c>
      <c r="K9" s="479">
        <f>vlookup(A9,'NJ Data'!$A$3:$E$24,5,FALSE)</f>
        <v>0.33</v>
      </c>
      <c r="L9" s="254" t="s">
        <v>63</v>
      </c>
      <c r="M9" s="255" t="s">
        <v>63</v>
      </c>
      <c r="N9" s="1073" t="s">
        <v>63</v>
      </c>
      <c r="O9" s="1067" t="s">
        <v>63</v>
      </c>
      <c r="P9" s="261">
        <f>ifna(vlookup(A9,'Population &amp; Church Numbers'!$A$1777:$D$1797,4,FALSE),"NULL")</f>
        <v>498</v>
      </c>
      <c r="Q9" s="1074" t="s">
        <v>63</v>
      </c>
    </row>
    <row r="10">
      <c r="A10" s="188" t="s">
        <v>1528</v>
      </c>
      <c r="B10" s="189">
        <f t="array" ref="B10">VLOOKUP($A10,NJ_DEMO,2,FALSE)</f>
        <v>302294</v>
      </c>
      <c r="C10" s="333">
        <f>VLOOKUP($A10,'NJ Data'!$A$3:$D$24,2,FALSE)</f>
        <v>161</v>
      </c>
      <c r="D10" s="265" t="s">
        <v>63</v>
      </c>
      <c r="E10" s="265">
        <f>VLOOKUP($A10,'NJ Data'!$A$3:$D$24,4,FALSE)</f>
        <v>71</v>
      </c>
      <c r="F10" s="265">
        <f>VLOOKUP($A10,'NJ Data'!$A$3:$D$24,3,FALSE)</f>
        <v>64</v>
      </c>
      <c r="G10" s="265" t="s">
        <v>63</v>
      </c>
      <c r="H10" s="266" t="s">
        <v>63</v>
      </c>
      <c r="I10" s="267" t="s">
        <v>63</v>
      </c>
      <c r="J10" s="268" t="s">
        <v>63</v>
      </c>
      <c r="K10" s="498">
        <f>vlookup(A10,'NJ Data'!$A$3:$E$24,5,FALSE)</f>
        <v>0.42</v>
      </c>
      <c r="L10" s="266" t="s">
        <v>63</v>
      </c>
      <c r="M10" s="267" t="s">
        <v>63</v>
      </c>
      <c r="N10" s="1070" t="s">
        <v>63</v>
      </c>
      <c r="O10" s="1071" t="s">
        <v>63</v>
      </c>
      <c r="P10" s="272">
        <f>ifna(vlookup(A10,'Population &amp; Church Numbers'!$A$1777:$D$1797,4,FALSE),"NULL")</f>
        <v>182</v>
      </c>
      <c r="Q10" s="1075" t="s">
        <v>63</v>
      </c>
    </row>
    <row r="11">
      <c r="A11" s="326" t="s">
        <v>580</v>
      </c>
      <c r="B11" s="251">
        <f t="array" ref="B11">VLOOKUP($A11,NJ_DEMO,2,FALSE)</f>
        <v>724854</v>
      </c>
      <c r="C11" s="327">
        <f>VLOOKUP($A11,'NJ Data'!$A$3:$D$24,2,FALSE)</f>
        <v>167</v>
      </c>
      <c r="D11" s="253" t="s">
        <v>63</v>
      </c>
      <c r="E11" s="253">
        <f>VLOOKUP($A11,'NJ Data'!$A$3:$D$24,4,FALSE)</f>
        <v>40</v>
      </c>
      <c r="F11" s="253">
        <f>VLOOKUP($A11,'NJ Data'!$A$3:$D$24,3,FALSE)</f>
        <v>94</v>
      </c>
      <c r="G11" s="253" t="s">
        <v>63</v>
      </c>
      <c r="H11" s="254" t="s">
        <v>63</v>
      </c>
      <c r="I11" s="255" t="s">
        <v>63</v>
      </c>
      <c r="J11" s="256" t="s">
        <v>63</v>
      </c>
      <c r="K11" s="479">
        <f>vlookup(A11,'NJ Data'!$A$3:$E$24,5,FALSE)</f>
        <v>0.37</v>
      </c>
      <c r="L11" s="254" t="s">
        <v>63</v>
      </c>
      <c r="M11" s="255" t="s">
        <v>63</v>
      </c>
      <c r="N11" s="1073" t="s">
        <v>63</v>
      </c>
      <c r="O11" s="1067" t="s">
        <v>63</v>
      </c>
      <c r="P11" s="261">
        <f>ifna(vlookup(A11,'Population &amp; Church Numbers'!$A$1777:$D$1797,4,FALSE),"NULL")</f>
        <v>246</v>
      </c>
      <c r="Q11" s="1074" t="s">
        <v>63</v>
      </c>
    </row>
    <row r="12">
      <c r="A12" s="188" t="s">
        <v>1529</v>
      </c>
      <c r="B12" s="189">
        <f t="array" ref="B12">VLOOKUP($A12,NJ_DEMO,2,FALSE)</f>
        <v>128947</v>
      </c>
      <c r="C12" s="333" t="str">
        <f>VLOOKUP($A12,'NJ Data'!$A$3:$D$24,2,FALSE)</f>
        <v>NULL</v>
      </c>
      <c r="D12" s="265" t="s">
        <v>63</v>
      </c>
      <c r="E12" s="265" t="str">
        <f>VLOOKUP($A12,'NJ Data'!$A$3:$D$24,4,FALSE)</f>
        <v>NULL</v>
      </c>
      <c r="F12" s="265" t="str">
        <f>VLOOKUP($A12,'NJ Data'!$A$3:$D$24,3,FALSE)</f>
        <v>NULL</v>
      </c>
      <c r="G12" s="265" t="s">
        <v>63</v>
      </c>
      <c r="H12" s="266" t="s">
        <v>63</v>
      </c>
      <c r="I12" s="267" t="s">
        <v>63</v>
      </c>
      <c r="J12" s="268" t="s">
        <v>63</v>
      </c>
      <c r="K12" s="284" t="str">
        <f>vlookup(A12,'NJ Data'!$A$3:$E$24,5,FALSE)</f>
        <v>NULL</v>
      </c>
      <c r="L12" s="266" t="s">
        <v>63</v>
      </c>
      <c r="M12" s="267" t="s">
        <v>63</v>
      </c>
      <c r="N12" s="1070" t="s">
        <v>63</v>
      </c>
      <c r="O12" s="1071" t="s">
        <v>63</v>
      </c>
      <c r="P12" s="272">
        <f>ifna(vlookup(A12,'Population &amp; Church Numbers'!$A$1777:$D$1797,4,FALSE),"NULL")</f>
        <v>90</v>
      </c>
      <c r="Q12" s="1075" t="s">
        <v>63</v>
      </c>
    </row>
    <row r="13">
      <c r="A13" s="326" t="s">
        <v>738</v>
      </c>
      <c r="B13" s="251">
        <f t="array" ref="B13">VLOOKUP($A13,NJ_DEMO,2,FALSE)</f>
        <v>387340</v>
      </c>
      <c r="C13" s="327">
        <f>VLOOKUP($A13,'NJ Data'!$A$3:$D$24,2,FALSE)</f>
        <v>203</v>
      </c>
      <c r="D13" s="253" t="s">
        <v>63</v>
      </c>
      <c r="E13" s="253">
        <f>VLOOKUP($A13,'NJ Data'!$A$3:$D$24,4,FALSE)</f>
        <v>103</v>
      </c>
      <c r="F13" s="253">
        <f>VLOOKUP($A13,'NJ Data'!$A$3:$D$24,3,FALSE)</f>
        <v>81</v>
      </c>
      <c r="G13" s="253" t="s">
        <v>63</v>
      </c>
      <c r="H13" s="254" t="s">
        <v>63</v>
      </c>
      <c r="I13" s="255" t="s">
        <v>63</v>
      </c>
      <c r="J13" s="256" t="s">
        <v>63</v>
      </c>
      <c r="K13" s="479">
        <f>vlookup(A13,'NJ Data'!$A$3:$E$24,5,FALSE)</f>
        <v>0.46</v>
      </c>
      <c r="L13" s="254" t="s">
        <v>63</v>
      </c>
      <c r="M13" s="255" t="s">
        <v>63</v>
      </c>
      <c r="N13" s="1073" t="s">
        <v>63</v>
      </c>
      <c r="O13" s="1067" t="s">
        <v>63</v>
      </c>
      <c r="P13" s="261">
        <f>ifna(vlookup(A13,'Population &amp; Church Numbers'!$A$1777:$D$1797,4,FALSE),"NULL")</f>
        <v>203</v>
      </c>
      <c r="Q13" s="1074" t="s">
        <v>63</v>
      </c>
    </row>
    <row r="14">
      <c r="A14" s="188" t="s">
        <v>281</v>
      </c>
      <c r="B14" s="189">
        <f t="array" ref="B14">VLOOKUP($A14,NJ_DEMO,2,FALSE)</f>
        <v>863162</v>
      </c>
      <c r="C14" s="333">
        <f>VLOOKUP($A14,'NJ Data'!$A$3:$D$24,2,FALSE)</f>
        <v>154</v>
      </c>
      <c r="D14" s="265" t="s">
        <v>63</v>
      </c>
      <c r="E14" s="265">
        <f>VLOOKUP($A14,'NJ Data'!$A$3:$D$24,4,FALSE)</f>
        <v>43</v>
      </c>
      <c r="F14" s="265">
        <f>VLOOKUP($A14,'NJ Data'!$A$3:$D$24,3,FALSE)</f>
        <v>78</v>
      </c>
      <c r="G14" s="265" t="s">
        <v>63</v>
      </c>
      <c r="H14" s="266" t="s">
        <v>63</v>
      </c>
      <c r="I14" s="267" t="s">
        <v>63</v>
      </c>
      <c r="J14" s="268" t="s">
        <v>63</v>
      </c>
      <c r="K14" s="498">
        <f>vlookup(A14,'NJ Data'!$A$3:$E$24,5,FALSE)</f>
        <v>0.55</v>
      </c>
      <c r="L14" s="266" t="s">
        <v>63</v>
      </c>
      <c r="M14" s="267" t="s">
        <v>63</v>
      </c>
      <c r="N14" s="1070" t="s">
        <v>63</v>
      </c>
      <c r="O14" s="1071" t="s">
        <v>63</v>
      </c>
      <c r="P14" s="272">
        <f>ifna(vlookup(A14,'Population &amp; Church Numbers'!$A$1777:$D$1797,4,FALSE),"NULL")</f>
        <v>314</v>
      </c>
      <c r="Q14" s="1075" t="s">
        <v>63</v>
      </c>
    </row>
    <row r="15">
      <c r="A15" s="326" t="s">
        <v>603</v>
      </c>
      <c r="B15" s="251">
        <f t="array" ref="B15">VLOOKUP($A15,NJ_DEMO,2,FALSE)</f>
        <v>643615</v>
      </c>
      <c r="C15" s="327">
        <f>VLOOKUP($A15,'NJ Data'!$A$3:$D$24,2,FALSE)</f>
        <v>162</v>
      </c>
      <c r="D15" s="253" t="s">
        <v>63</v>
      </c>
      <c r="E15" s="253">
        <f>VLOOKUP($A15,'NJ Data'!$A$3:$D$24,4,FALSE)</f>
        <v>42</v>
      </c>
      <c r="F15" s="253">
        <f>VLOOKUP($A15,'NJ Data'!$A$3:$D$24,3,FALSE)</f>
        <v>103</v>
      </c>
      <c r="G15" s="253" t="s">
        <v>63</v>
      </c>
      <c r="H15" s="254" t="s">
        <v>63</v>
      </c>
      <c r="I15" s="255" t="s">
        <v>63</v>
      </c>
      <c r="J15" s="256" t="s">
        <v>63</v>
      </c>
      <c r="K15" s="479">
        <f>vlookup(A15,'NJ Data'!$A$3:$E$24,5,FALSE)</f>
        <v>0.42</v>
      </c>
      <c r="L15" s="254" t="s">
        <v>63</v>
      </c>
      <c r="M15" s="255" t="s">
        <v>63</v>
      </c>
      <c r="N15" s="1073" t="s">
        <v>63</v>
      </c>
      <c r="O15" s="1067" t="s">
        <v>63</v>
      </c>
      <c r="P15" s="261">
        <f>ifna(vlookup(A15,'Population &amp; Church Numbers'!$A$1777:$D$1797,4,FALSE),"NULL")</f>
        <v>296</v>
      </c>
      <c r="Q15" s="1074" t="s">
        <v>63</v>
      </c>
    </row>
    <row r="16">
      <c r="A16" s="188" t="s">
        <v>990</v>
      </c>
      <c r="B16" s="189">
        <f t="array" ref="B16">VLOOKUP($A16,NJ_DEMO,2,FALSE)</f>
        <v>509285</v>
      </c>
      <c r="C16" s="333">
        <f>VLOOKUP($A16,'NJ Data'!$A$3:$D$24,2,FALSE)</f>
        <v>58</v>
      </c>
      <c r="D16" s="265" t="s">
        <v>63</v>
      </c>
      <c r="E16" s="265">
        <f>VLOOKUP($A16,'NJ Data'!$A$3:$D$24,4,FALSE)</f>
        <v>27</v>
      </c>
      <c r="F16" s="265">
        <f>VLOOKUP($A16,'NJ Data'!$A$3:$D$24,3,FALSE)</f>
        <v>21</v>
      </c>
      <c r="G16" s="265" t="s">
        <v>63</v>
      </c>
      <c r="H16" s="266" t="s">
        <v>63</v>
      </c>
      <c r="I16" s="267" t="s">
        <v>63</v>
      </c>
      <c r="J16" s="268" t="s">
        <v>63</v>
      </c>
      <c r="K16" s="498">
        <f>vlookup(A16,'NJ Data'!$A$3:$E$24,5,FALSE)</f>
        <v>0.45</v>
      </c>
      <c r="L16" s="266" t="s">
        <v>63</v>
      </c>
      <c r="M16" s="267" t="s">
        <v>63</v>
      </c>
      <c r="N16" s="1070" t="s">
        <v>63</v>
      </c>
      <c r="O16" s="1071" t="s">
        <v>63</v>
      </c>
      <c r="P16" s="272">
        <f>ifna(vlookup(A16,'Population &amp; Church Numbers'!$A$1777:$D$1797,4,FALSE),"NULL")</f>
        <v>261</v>
      </c>
      <c r="Q16" s="1075" t="s">
        <v>63</v>
      </c>
    </row>
    <row r="17">
      <c r="A17" s="326" t="s">
        <v>608</v>
      </c>
      <c r="B17" s="251">
        <f t="array" ref="B17">VLOOKUP($A17,NJ_DEMO,2,FALSE)</f>
        <v>637229</v>
      </c>
      <c r="C17" s="327">
        <f>VLOOKUP($A17,'NJ Data'!$A$3:$D$24,2,FALSE)</f>
        <v>175</v>
      </c>
      <c r="D17" s="253" t="s">
        <v>63</v>
      </c>
      <c r="E17" s="253">
        <f>VLOOKUP($A17,'NJ Data'!$A$3:$D$24,4,FALSE)</f>
        <v>61</v>
      </c>
      <c r="F17" s="253">
        <f>VLOOKUP($A17,'NJ Data'!$A$3:$D$24,3,FALSE)</f>
        <v>96</v>
      </c>
      <c r="G17" s="253" t="s">
        <v>63</v>
      </c>
      <c r="H17" s="254" t="s">
        <v>63</v>
      </c>
      <c r="I17" s="255" t="s">
        <v>63</v>
      </c>
      <c r="J17" s="256" t="s">
        <v>63</v>
      </c>
      <c r="K17" s="479">
        <f>vlookup(A17,'NJ Data'!$A$3:$E$24,5,FALSE)</f>
        <v>0.41</v>
      </c>
      <c r="L17" s="254" t="s">
        <v>63</v>
      </c>
      <c r="M17" s="255" t="s">
        <v>63</v>
      </c>
      <c r="N17" s="1073" t="s">
        <v>63</v>
      </c>
      <c r="O17" s="1067" t="s">
        <v>63</v>
      </c>
      <c r="P17" s="261">
        <f>ifna(vlookup(A17,'Population &amp; Church Numbers'!$A$1777:$D$1797,4,FALSE),"NULL")</f>
        <v>186</v>
      </c>
      <c r="Q17" s="1074" t="s">
        <v>63</v>
      </c>
    </row>
    <row r="18">
      <c r="A18" s="188" t="s">
        <v>1530</v>
      </c>
      <c r="B18" s="189">
        <f t="array" ref="B18">VLOOKUP($A18,NJ_DEMO,2,FALSE)</f>
        <v>524118</v>
      </c>
      <c r="C18" s="333">
        <f>VLOOKUP($A18,'NJ Data'!$A$3:$D$24,2,FALSE)</f>
        <v>166</v>
      </c>
      <c r="D18" s="265" t="s">
        <v>63</v>
      </c>
      <c r="E18" s="265">
        <f>VLOOKUP($A18,'NJ Data'!$A$3:$D$24,4,FALSE)</f>
        <v>76</v>
      </c>
      <c r="F18" s="265">
        <f>VLOOKUP($A18,'NJ Data'!$A$3:$D$24,3,FALSE)</f>
        <v>67</v>
      </c>
      <c r="G18" s="265" t="s">
        <v>63</v>
      </c>
      <c r="H18" s="266" t="s">
        <v>63</v>
      </c>
      <c r="I18" s="267" t="s">
        <v>63</v>
      </c>
      <c r="J18" s="268" t="s">
        <v>63</v>
      </c>
      <c r="K18" s="498">
        <f>vlookup(A18,'NJ Data'!$A$3:$E$24,5,FALSE)</f>
        <v>0.59</v>
      </c>
      <c r="L18" s="266" t="s">
        <v>63</v>
      </c>
      <c r="M18" s="267" t="s">
        <v>63</v>
      </c>
      <c r="N18" s="1070" t="s">
        <v>63</v>
      </c>
      <c r="O18" s="1071" t="s">
        <v>63</v>
      </c>
      <c r="P18" s="272">
        <f>ifna(vlookup(A18,'Population &amp; Church Numbers'!$A$1777:$D$1797,4,FALSE),"NULL")</f>
        <v>265</v>
      </c>
      <c r="Q18" s="1075" t="s">
        <v>63</v>
      </c>
    </row>
    <row r="19">
      <c r="A19" s="326" t="s">
        <v>1531</v>
      </c>
      <c r="B19" s="251">
        <f t="array" ref="B19">VLOOKUP($A19,NJ_DEMO,2,FALSE)</f>
        <v>64837</v>
      </c>
      <c r="C19" s="327">
        <f>VLOOKUP($A19,'NJ Data'!$A$3:$D$24,2,FALSE)</f>
        <v>40</v>
      </c>
      <c r="D19" s="253" t="s">
        <v>63</v>
      </c>
      <c r="E19" s="253">
        <f>VLOOKUP($A19,'NJ Data'!$A$3:$D$24,4,FALSE)</f>
        <v>21</v>
      </c>
      <c r="F19" s="253">
        <f>VLOOKUP($A19,'NJ Data'!$A$3:$D$24,3,FALSE)</f>
        <v>15</v>
      </c>
      <c r="G19" s="253" t="s">
        <v>63</v>
      </c>
      <c r="H19" s="254" t="s">
        <v>63</v>
      </c>
      <c r="I19" s="255" t="s">
        <v>63</v>
      </c>
      <c r="J19" s="256" t="s">
        <v>63</v>
      </c>
      <c r="K19" s="479">
        <f>vlookup(A19,'NJ Data'!$A$3:$E$24,5,FALSE)</f>
        <v>0.47</v>
      </c>
      <c r="L19" s="254" t="s">
        <v>63</v>
      </c>
      <c r="M19" s="255" t="s">
        <v>63</v>
      </c>
      <c r="N19" s="1073" t="s">
        <v>63</v>
      </c>
      <c r="O19" s="1067" t="s">
        <v>63</v>
      </c>
      <c r="P19" s="261">
        <f>ifna(vlookup(A19,'Population &amp; Church Numbers'!$A$1777:$D$1797,4,FALSE),"NULL")</f>
        <v>76</v>
      </c>
      <c r="Q19" s="1074" t="s">
        <v>63</v>
      </c>
    </row>
    <row r="20">
      <c r="A20" s="188" t="s">
        <v>1194</v>
      </c>
      <c r="B20" s="189">
        <f t="array" ref="B20">VLOOKUP($A20,NJ_DEMO,2,FALSE)</f>
        <v>345361</v>
      </c>
      <c r="C20" s="333">
        <f>VLOOKUP($A20,'NJ Data'!$A$3:$D$24,2,FALSE)</f>
        <v>30</v>
      </c>
      <c r="D20" s="265" t="s">
        <v>63</v>
      </c>
      <c r="E20" s="265">
        <f>VLOOKUP($A20,'NJ Data'!$A$3:$D$24,4,FALSE)</f>
        <v>15</v>
      </c>
      <c r="F20" s="265">
        <f>VLOOKUP($A20,'NJ Data'!$A$3:$D$24,3,FALSE)</f>
        <v>11</v>
      </c>
      <c r="G20" s="265" t="s">
        <v>63</v>
      </c>
      <c r="H20" s="266" t="s">
        <v>63</v>
      </c>
      <c r="I20" s="267" t="s">
        <v>63</v>
      </c>
      <c r="J20" s="268" t="s">
        <v>63</v>
      </c>
      <c r="K20" s="284" t="str">
        <f>vlookup(A20,'NJ Data'!$A$3:$E$24,5,FALSE)</f>
        <v>NULL</v>
      </c>
      <c r="L20" s="266" t="s">
        <v>63</v>
      </c>
      <c r="M20" s="267" t="s">
        <v>63</v>
      </c>
      <c r="N20" s="1070" t="s">
        <v>63</v>
      </c>
      <c r="O20" s="1071" t="s">
        <v>63</v>
      </c>
      <c r="P20" s="272">
        <f>ifna(vlookup(A20,'Population &amp; Church Numbers'!$A$1777:$D$1797,4,FALSE),"NULL")</f>
        <v>147</v>
      </c>
      <c r="Q20" s="1075" t="s">
        <v>63</v>
      </c>
    </row>
    <row r="21">
      <c r="A21" s="326" t="s">
        <v>476</v>
      </c>
      <c r="B21" s="251">
        <f t="array" ref="B21">VLOOKUP($A21,NJ_DEMO,2,FALSE)</f>
        <v>144221</v>
      </c>
      <c r="C21" s="327">
        <f>VLOOKUP($A21,'NJ Data'!$A$3:$D$24,2,FALSE)</f>
        <v>27</v>
      </c>
      <c r="D21" s="253" t="s">
        <v>63</v>
      </c>
      <c r="E21" s="253">
        <f>VLOOKUP($A21,'NJ Data'!$A$3:$D$24,4,FALSE)</f>
        <v>12</v>
      </c>
      <c r="F21" s="253">
        <f>VLOOKUP($A21,'NJ Data'!$A$3:$D$24,3,FALSE)</f>
        <v>13</v>
      </c>
      <c r="G21" s="253" t="s">
        <v>63</v>
      </c>
      <c r="H21" s="254" t="s">
        <v>63</v>
      </c>
      <c r="I21" s="255" t="s">
        <v>63</v>
      </c>
      <c r="J21" s="256" t="s">
        <v>63</v>
      </c>
      <c r="K21" s="479">
        <f>vlookup(A21,'NJ Data'!$A$3:$E$24,5,FALSE)</f>
        <v>0.83</v>
      </c>
      <c r="L21" s="254" t="s">
        <v>63</v>
      </c>
      <c r="M21" s="255" t="s">
        <v>63</v>
      </c>
      <c r="N21" s="1073" t="s">
        <v>63</v>
      </c>
      <c r="O21" s="1067" t="s">
        <v>63</v>
      </c>
      <c r="P21" s="261">
        <f>ifna(vlookup(A21,'Population &amp; Church Numbers'!$A$1777:$D$1797,4,FALSE),"NULL")</f>
        <v>85</v>
      </c>
      <c r="Q21" s="1074" t="s">
        <v>63</v>
      </c>
    </row>
    <row r="22">
      <c r="A22" s="188" t="s">
        <v>316</v>
      </c>
      <c r="B22" s="189">
        <f t="array" ref="B22">VLOOKUP($A22,NJ_DEMO,2,FALSE)</f>
        <v>575345</v>
      </c>
      <c r="C22" s="333">
        <f>VLOOKUP($A22,'NJ Data'!$A$3:$D$24,2,FALSE)</f>
        <v>151</v>
      </c>
      <c r="D22" s="265" t="s">
        <v>63</v>
      </c>
      <c r="E22" s="265">
        <f>VLOOKUP($A22,'NJ Data'!$A$3:$D$24,4,FALSE)</f>
        <v>54</v>
      </c>
      <c r="F22" s="265">
        <f>VLOOKUP($A22,'NJ Data'!$A$3:$D$24,3,FALSE)</f>
        <v>72</v>
      </c>
      <c r="G22" s="265" t="s">
        <v>63</v>
      </c>
      <c r="H22" s="266" t="s">
        <v>63</v>
      </c>
      <c r="I22" s="267" t="s">
        <v>63</v>
      </c>
      <c r="J22" s="268" t="s">
        <v>63</v>
      </c>
      <c r="K22" s="498">
        <f>vlookup(A22,'NJ Data'!$A$3:$E$24,5,FALSE)</f>
        <v>0.56</v>
      </c>
      <c r="L22" s="266" t="s">
        <v>63</v>
      </c>
      <c r="M22" s="267" t="s">
        <v>63</v>
      </c>
      <c r="N22" s="1070" t="s">
        <v>63</v>
      </c>
      <c r="O22" s="1071" t="s">
        <v>63</v>
      </c>
      <c r="P22" s="272">
        <f>ifna(vlookup(A22,'Population &amp; Church Numbers'!$A$1777:$D$1797,4,FALSE),"NULL")</f>
        <v>270</v>
      </c>
      <c r="Q22" s="1075" t="s">
        <v>63</v>
      </c>
    </row>
    <row r="23">
      <c r="A23" s="326" t="s">
        <v>647</v>
      </c>
      <c r="B23" s="251">
        <f t="array" ref="B23">VLOOKUP($A23,NJ_DEMO,2,FALSE)</f>
        <v>109632</v>
      </c>
      <c r="C23" s="327">
        <f>VLOOKUP($A23,'NJ Data'!$A$3:$D$24,2,FALSE)</f>
        <v>35</v>
      </c>
      <c r="D23" s="253" t="s">
        <v>63</v>
      </c>
      <c r="E23" s="253">
        <f>VLOOKUP($A23,'NJ Data'!$A$3:$D$24,4,FALSE)</f>
        <v>18</v>
      </c>
      <c r="F23" s="253">
        <f>VLOOKUP($A23,'NJ Data'!$A$3:$D$24,3,FALSE)</f>
        <v>14</v>
      </c>
      <c r="G23" s="253" t="s">
        <v>63</v>
      </c>
      <c r="H23" s="254" t="s">
        <v>63</v>
      </c>
      <c r="I23" s="255" t="s">
        <v>63</v>
      </c>
      <c r="J23" s="256" t="s">
        <v>63</v>
      </c>
      <c r="K23" s="479">
        <f>vlookup(A23,'NJ Data'!$A$3:$E$24,5,FALSE)</f>
        <v>0.75</v>
      </c>
      <c r="L23" s="254" t="s">
        <v>63</v>
      </c>
      <c r="M23" s="255" t="s">
        <v>63</v>
      </c>
      <c r="N23" s="1073" t="s">
        <v>63</v>
      </c>
      <c r="O23" s="1067" t="s">
        <v>63</v>
      </c>
      <c r="P23" s="261">
        <f>ifna(vlookup(A23,'Population &amp; Church Numbers'!$A$1777:$D$1797,4,FALSE),"NULL")</f>
        <v>76</v>
      </c>
      <c r="Q23" s="1074" t="s">
        <v>63</v>
      </c>
    </row>
    <row r="24">
      <c r="A24" s="1076"/>
      <c r="B24" s="458"/>
      <c r="C24" s="333"/>
      <c r="D24" s="1077"/>
      <c r="E24" s="1077"/>
      <c r="F24" s="1077"/>
      <c r="G24" s="1077"/>
      <c r="H24" s="1078"/>
      <c r="I24" s="1079"/>
      <c r="J24" s="1080"/>
      <c r="K24" s="1081"/>
      <c r="L24" s="1082"/>
      <c r="M24" s="395"/>
      <c r="N24" s="265"/>
      <c r="O24" s="459"/>
      <c r="P24" s="460"/>
      <c r="Q24" s="295"/>
    </row>
    <row r="25">
      <c r="A25" s="228" t="s">
        <v>2</v>
      </c>
      <c r="B25" s="229"/>
      <c r="C25" s="230">
        <f>'NJ Data'!B24</f>
        <v>2939</v>
      </c>
      <c r="D25" s="311" t="s">
        <v>63</v>
      </c>
      <c r="E25" s="854">
        <f>'NJ Data'!D24</f>
        <v>1244</v>
      </c>
      <c r="F25" s="854">
        <f>'NJ Data'!C24</f>
        <v>1346</v>
      </c>
      <c r="G25" s="311" t="s">
        <v>63</v>
      </c>
      <c r="H25" s="233">
        <f>AFCARSCSC!D34</f>
        <v>2449</v>
      </c>
      <c r="I25" s="234">
        <f>AFCARSCSC!C34</f>
        <v>444</v>
      </c>
      <c r="J25" s="1101" t="s">
        <v>63</v>
      </c>
      <c r="K25" s="1102">
        <f>'NJ Data'!E24</f>
        <v>0.47</v>
      </c>
      <c r="L25" s="1103" t="s">
        <v>63</v>
      </c>
      <c r="M25" s="1104" t="s">
        <v>63</v>
      </c>
      <c r="N25" s="238" t="s">
        <v>63</v>
      </c>
      <c r="O25" s="1105" t="s">
        <v>63</v>
      </c>
      <c r="P25" s="233">
        <f>SUM(P3:P23)</f>
        <v>4508</v>
      </c>
      <c r="Q25" s="1106" t="s">
        <v>63</v>
      </c>
    </row>
  </sheetData>
  <autoFilter ref="$A$2:$Q$24"/>
  <mergeCells count="1">
    <mergeCell ref="B1:Q1"/>
  </mergeCells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3.88"/>
    <col customWidth="1" min="11" max="11" width="16.0"/>
  </cols>
  <sheetData>
    <row r="1">
      <c r="A1" s="275" t="s">
        <v>1040</v>
      </c>
      <c r="B1" s="276"/>
      <c r="C1" s="276"/>
      <c r="D1" s="276"/>
      <c r="E1" s="275" t="s">
        <v>765</v>
      </c>
      <c r="F1" s="887" t="s">
        <v>3747</v>
      </c>
      <c r="I1" s="275" t="s">
        <v>767</v>
      </c>
      <c r="J1" s="277">
        <v>45442.0</v>
      </c>
      <c r="K1" s="275" t="s">
        <v>769</v>
      </c>
      <c r="L1" s="277">
        <v>45291.0</v>
      </c>
      <c r="M1" s="275"/>
    </row>
    <row r="2">
      <c r="A2" s="1093"/>
      <c r="B2" s="1094" t="s">
        <v>2448</v>
      </c>
      <c r="C2" s="1095" t="s">
        <v>1055</v>
      </c>
      <c r="D2" s="10" t="s">
        <v>1058</v>
      </c>
      <c r="E2" s="10" t="s">
        <v>3748</v>
      </c>
      <c r="F2" s="567"/>
      <c r="G2" s="567"/>
      <c r="H2" s="567"/>
      <c r="I2" s="567"/>
      <c r="J2" s="567"/>
      <c r="K2" s="567"/>
      <c r="L2" s="567"/>
      <c r="M2" s="567"/>
      <c r="N2" s="567"/>
      <c r="O2" s="567"/>
      <c r="P2" s="567"/>
      <c r="Q2" s="567"/>
      <c r="R2" s="567"/>
      <c r="S2" s="567"/>
      <c r="T2" s="567"/>
      <c r="U2" s="567"/>
      <c r="V2" s="567"/>
      <c r="W2" s="567"/>
      <c r="X2" s="567"/>
      <c r="Y2" s="567"/>
      <c r="Z2" s="567"/>
    </row>
    <row r="3">
      <c r="A3" s="1096" t="s">
        <v>1525</v>
      </c>
      <c r="B3" s="1097">
        <v>164.0</v>
      </c>
      <c r="C3" s="206">
        <v>74.0</v>
      </c>
      <c r="D3" s="206">
        <v>77.0</v>
      </c>
      <c r="E3" s="1098">
        <v>0.49</v>
      </c>
    </row>
    <row r="4">
      <c r="A4" s="1096" t="s">
        <v>447</v>
      </c>
      <c r="B4" s="1097">
        <v>82.0</v>
      </c>
      <c r="C4" s="206">
        <v>44.0</v>
      </c>
      <c r="D4" s="206">
        <v>27.0</v>
      </c>
      <c r="E4" s="1098">
        <v>0.43</v>
      </c>
    </row>
    <row r="5">
      <c r="A5" s="1096" t="s">
        <v>1526</v>
      </c>
      <c r="B5" s="1097">
        <v>202.0</v>
      </c>
      <c r="C5" s="206">
        <v>87.0</v>
      </c>
      <c r="D5" s="206">
        <v>98.0</v>
      </c>
      <c r="E5" s="1098">
        <v>0.48</v>
      </c>
    </row>
    <row r="6">
      <c r="A6" s="1096" t="s">
        <v>548</v>
      </c>
      <c r="B6" s="1097">
        <v>428.0</v>
      </c>
      <c r="C6" s="206">
        <v>201.0</v>
      </c>
      <c r="D6" s="206">
        <v>201.0</v>
      </c>
      <c r="E6" s="1098">
        <v>0.48</v>
      </c>
    </row>
    <row r="7">
      <c r="A7" s="1096" t="s">
        <v>1527</v>
      </c>
      <c r="B7" s="1097">
        <v>63.0</v>
      </c>
      <c r="C7" s="206">
        <v>24.0</v>
      </c>
      <c r="D7" s="206">
        <v>34.0</v>
      </c>
      <c r="E7" s="1098">
        <v>0.53</v>
      </c>
    </row>
    <row r="8">
      <c r="A8" s="1096" t="s">
        <v>713</v>
      </c>
      <c r="B8" s="1097">
        <v>99.0</v>
      </c>
      <c r="C8" s="206">
        <v>33.0</v>
      </c>
      <c r="D8" s="206">
        <v>50.0</v>
      </c>
      <c r="E8" s="1098">
        <v>0.56</v>
      </c>
    </row>
    <row r="9">
      <c r="A9" s="1096" t="s">
        <v>516</v>
      </c>
      <c r="B9" s="1097">
        <v>357.0</v>
      </c>
      <c r="C9" s="206">
        <v>149.0</v>
      </c>
      <c r="D9" s="206">
        <v>168.0</v>
      </c>
      <c r="E9" s="1098">
        <v>0.33</v>
      </c>
    </row>
    <row r="10">
      <c r="A10" s="1096" t="s">
        <v>1528</v>
      </c>
      <c r="B10" s="1097">
        <v>161.0</v>
      </c>
      <c r="C10" s="206">
        <v>64.0</v>
      </c>
      <c r="D10" s="206">
        <v>71.0</v>
      </c>
      <c r="E10" s="1098">
        <v>0.42</v>
      </c>
    </row>
    <row r="11">
      <c r="A11" s="1096" t="s">
        <v>580</v>
      </c>
      <c r="B11" s="1097">
        <v>167.0</v>
      </c>
      <c r="C11" s="206">
        <v>94.0</v>
      </c>
      <c r="D11" s="206">
        <v>40.0</v>
      </c>
      <c r="E11" s="1098">
        <v>0.37</v>
      </c>
    </row>
    <row r="12">
      <c r="A12" s="1096" t="s">
        <v>1529</v>
      </c>
      <c r="B12" s="1097" t="s">
        <v>63</v>
      </c>
      <c r="C12" s="1097" t="s">
        <v>63</v>
      </c>
      <c r="D12" s="1097" t="s">
        <v>63</v>
      </c>
      <c r="E12" s="206" t="s">
        <v>63</v>
      </c>
    </row>
    <row r="13">
      <c r="A13" s="1096" t="s">
        <v>738</v>
      </c>
      <c r="B13" s="1097">
        <v>203.0</v>
      </c>
      <c r="C13" s="206">
        <v>81.0</v>
      </c>
      <c r="D13" s="206">
        <v>103.0</v>
      </c>
      <c r="E13" s="1098">
        <v>0.46</v>
      </c>
    </row>
    <row r="14">
      <c r="A14" s="1096" t="s">
        <v>281</v>
      </c>
      <c r="B14" s="1097">
        <v>154.0</v>
      </c>
      <c r="C14" s="206">
        <v>78.0</v>
      </c>
      <c r="D14" s="206">
        <v>43.0</v>
      </c>
      <c r="E14" s="1098">
        <v>0.55</v>
      </c>
    </row>
    <row r="15">
      <c r="A15" s="1096" t="s">
        <v>603</v>
      </c>
      <c r="B15" s="1097">
        <v>162.0</v>
      </c>
      <c r="C15" s="206">
        <v>103.0</v>
      </c>
      <c r="D15" s="206">
        <v>42.0</v>
      </c>
      <c r="E15" s="1098">
        <v>0.42</v>
      </c>
    </row>
    <row r="16">
      <c r="A16" s="1096" t="s">
        <v>990</v>
      </c>
      <c r="B16" s="1097">
        <v>58.0</v>
      </c>
      <c r="C16" s="206">
        <v>21.0</v>
      </c>
      <c r="D16" s="206">
        <v>27.0</v>
      </c>
      <c r="E16" s="1098">
        <v>0.45</v>
      </c>
    </row>
    <row r="17">
      <c r="A17" s="1096" t="s">
        <v>608</v>
      </c>
      <c r="B17" s="1097">
        <v>175.0</v>
      </c>
      <c r="C17" s="206">
        <v>96.0</v>
      </c>
      <c r="D17" s="206">
        <v>61.0</v>
      </c>
      <c r="E17" s="1098">
        <v>0.41</v>
      </c>
    </row>
    <row r="18">
      <c r="A18" s="1096" t="s">
        <v>1530</v>
      </c>
      <c r="B18" s="1097">
        <v>166.0</v>
      </c>
      <c r="C18" s="206">
        <v>67.0</v>
      </c>
      <c r="D18" s="206">
        <v>76.0</v>
      </c>
      <c r="E18" s="1098">
        <v>0.59</v>
      </c>
    </row>
    <row r="19">
      <c r="A19" s="1096" t="s">
        <v>1531</v>
      </c>
      <c r="B19" s="1097">
        <v>40.0</v>
      </c>
      <c r="C19" s="206">
        <v>15.0</v>
      </c>
      <c r="D19" s="206">
        <v>21.0</v>
      </c>
      <c r="E19" s="1098">
        <v>0.47</v>
      </c>
    </row>
    <row r="20">
      <c r="A20" s="1096" t="s">
        <v>1194</v>
      </c>
      <c r="B20" s="1097">
        <v>30.0</v>
      </c>
      <c r="C20" s="206">
        <v>11.0</v>
      </c>
      <c r="D20" s="206">
        <v>15.0</v>
      </c>
      <c r="E20" s="206" t="s">
        <v>63</v>
      </c>
    </row>
    <row r="21">
      <c r="A21" s="1096" t="s">
        <v>476</v>
      </c>
      <c r="B21" s="1097">
        <v>27.0</v>
      </c>
      <c r="C21" s="206">
        <v>13.0</v>
      </c>
      <c r="D21" s="206">
        <v>12.0</v>
      </c>
      <c r="E21" s="1098">
        <v>0.83</v>
      </c>
    </row>
    <row r="22">
      <c r="A22" s="1096" t="s">
        <v>316</v>
      </c>
      <c r="B22" s="1097">
        <v>151.0</v>
      </c>
      <c r="C22" s="206">
        <v>72.0</v>
      </c>
      <c r="D22" s="206">
        <v>54.0</v>
      </c>
      <c r="E22" s="1098">
        <v>0.56</v>
      </c>
    </row>
    <row r="23">
      <c r="A23" s="1096" t="s">
        <v>647</v>
      </c>
      <c r="B23" s="1097">
        <v>35.0</v>
      </c>
      <c r="C23" s="206">
        <v>14.0</v>
      </c>
      <c r="D23" s="206">
        <v>18.0</v>
      </c>
      <c r="E23" s="1098">
        <v>0.75</v>
      </c>
    </row>
    <row r="24">
      <c r="A24" s="1099" t="s">
        <v>923</v>
      </c>
      <c r="B24" s="209">
        <v>2939.0</v>
      </c>
      <c r="C24" s="209">
        <v>1346.0</v>
      </c>
      <c r="D24" s="209">
        <v>1244.0</v>
      </c>
      <c r="E24" s="1100">
        <v>0.47</v>
      </c>
    </row>
    <row r="25">
      <c r="D25" s="1"/>
    </row>
    <row r="51">
      <c r="A51" s="275" t="s">
        <v>792</v>
      </c>
      <c r="B51" s="276"/>
      <c r="C51" s="276"/>
      <c r="D51" s="276"/>
      <c r="E51" s="275" t="s">
        <v>765</v>
      </c>
      <c r="F51" s="276"/>
      <c r="G51" s="276"/>
      <c r="H51" s="276"/>
      <c r="I51" s="275" t="s">
        <v>767</v>
      </c>
      <c r="J51" s="276"/>
      <c r="K51" s="275" t="s">
        <v>769</v>
      </c>
      <c r="L51" s="276"/>
      <c r="M51" s="276"/>
    </row>
    <row r="101">
      <c r="A101" s="275" t="s">
        <v>852</v>
      </c>
      <c r="B101" s="276"/>
      <c r="C101" s="276"/>
      <c r="D101" s="276"/>
      <c r="E101" s="275" t="s">
        <v>765</v>
      </c>
      <c r="F101" s="276"/>
      <c r="G101" s="276"/>
      <c r="H101" s="276"/>
      <c r="I101" s="275" t="s">
        <v>767</v>
      </c>
      <c r="J101" s="276"/>
      <c r="K101" s="275" t="s">
        <v>769</v>
      </c>
      <c r="L101" s="276"/>
      <c r="M101" s="276"/>
    </row>
  </sheetData>
  <mergeCells count="1">
    <mergeCell ref="F1:H1"/>
  </mergeCells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2" max="12" width="13.13"/>
  </cols>
  <sheetData>
    <row r="1">
      <c r="A1" s="167"/>
      <c r="B1" s="168" t="s">
        <v>91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</row>
    <row r="2">
      <c r="A2" s="169" t="s">
        <v>172</v>
      </c>
      <c r="B2" s="170" t="s">
        <v>174</v>
      </c>
      <c r="C2" s="171" t="s">
        <v>693</v>
      </c>
      <c r="D2" s="172" t="s">
        <v>694</v>
      </c>
      <c r="E2" s="172" t="s">
        <v>695</v>
      </c>
      <c r="F2" s="172" t="s">
        <v>179</v>
      </c>
      <c r="G2" s="172" t="s">
        <v>696</v>
      </c>
      <c r="H2" s="173" t="s">
        <v>697</v>
      </c>
      <c r="I2" s="174" t="s">
        <v>84</v>
      </c>
      <c r="J2" s="170" t="s">
        <v>698</v>
      </c>
      <c r="K2" s="175" t="s">
        <v>699</v>
      </c>
      <c r="L2" s="173" t="s">
        <v>89</v>
      </c>
      <c r="M2" s="176" t="s">
        <v>700</v>
      </c>
      <c r="N2" s="177" t="s">
        <v>701</v>
      </c>
      <c r="O2" s="177" t="s">
        <v>702</v>
      </c>
      <c r="P2" s="178" t="s">
        <v>90</v>
      </c>
      <c r="Q2" s="325" t="s">
        <v>703</v>
      </c>
    </row>
    <row r="3">
      <c r="A3" s="326" t="s">
        <v>577</v>
      </c>
      <c r="B3" s="251">
        <f t="array" ref="B3">VLOOKUP($A3,NM_DEMO,2,FALSE)</f>
        <v>676444</v>
      </c>
      <c r="C3" s="327">
        <f>iferror(VLOOKUP($A3,'NM Data'!$A$42:$B$80,2,FALSE),"NULL")</f>
        <v>584</v>
      </c>
      <c r="D3" s="253">
        <f>iferror(VLOOKUP($A3,'NM Data'!$A$2:$D$37,4,FALSE),"NULL")</f>
        <v>2</v>
      </c>
      <c r="E3" s="253" t="s">
        <v>63</v>
      </c>
      <c r="F3" s="253">
        <f>vlookup(A3,'NM Data'!$A$3:$M$37,2,FALSE)</f>
        <v>297</v>
      </c>
      <c r="G3" s="253">
        <f>iferror(VLOOKUP($A3,'NM Data'!$A$2:$C$37,3,FALSE),"NULL")</f>
        <v>26</v>
      </c>
      <c r="H3" s="254">
        <f>vlookup(A3,'NM Data'!$A$3:$M$37,13,FALSE)</f>
        <v>429</v>
      </c>
      <c r="I3" s="255">
        <f>vlookup(A3,'NM Data'!$A$3:$M$37,7,FALSE)</f>
        <v>176</v>
      </c>
      <c r="J3" s="256" t="s">
        <v>63</v>
      </c>
      <c r="K3" s="253" t="s">
        <v>63</v>
      </c>
      <c r="L3" s="254" t="s">
        <v>63</v>
      </c>
      <c r="M3" s="258" t="s">
        <v>63</v>
      </c>
      <c r="N3" s="253" t="s">
        <v>63</v>
      </c>
      <c r="O3" s="253" t="s">
        <v>63</v>
      </c>
      <c r="P3" s="261">
        <f>ifna(vlookup(A3,'Population &amp; Church Numbers'!$A$1798:$D$1830,4,FALSE),"NULL")</f>
        <v>280</v>
      </c>
      <c r="Q3" s="262" t="s">
        <v>63</v>
      </c>
    </row>
    <row r="4">
      <c r="A4" s="188" t="s">
        <v>1532</v>
      </c>
      <c r="B4" s="189">
        <f t="array" ref="B4">VLOOKUP($A4,NM_DEMO,2,FALSE)</f>
        <v>3579</v>
      </c>
      <c r="C4" s="333" t="str">
        <f>iferror(VLOOKUP($A4,'NM Data'!$A$42:$B$80,2,FALSE),"NULL")</f>
        <v>NULL</v>
      </c>
      <c r="D4" s="265">
        <f>iferror(VLOOKUP($A4,'NM Data'!$A$2:$D$37,4,FALSE),"NULL")</f>
        <v>0</v>
      </c>
      <c r="E4" s="265" t="s">
        <v>63</v>
      </c>
      <c r="F4" s="265">
        <f>vlookup(A4,'NM Data'!$A$3:$M$37,2,FALSE)</f>
        <v>0</v>
      </c>
      <c r="G4" s="265">
        <f>iferror(VLOOKUP($A4,'NM Data'!$A$2:$C$37,3,FALSE),"NULL")</f>
        <v>0</v>
      </c>
      <c r="H4" s="266">
        <f>vlookup(A4,'NM Data'!$A$3:$M$37,13,FALSE)</f>
        <v>0</v>
      </c>
      <c r="I4" s="267">
        <f>vlookup(A4,'NM Data'!$A$3:$M$37,7,FALSE)</f>
        <v>0</v>
      </c>
      <c r="J4" s="268" t="s">
        <v>63</v>
      </c>
      <c r="K4" s="265" t="s">
        <v>63</v>
      </c>
      <c r="L4" s="266" t="s">
        <v>63</v>
      </c>
      <c r="M4" s="267" t="s">
        <v>63</v>
      </c>
      <c r="N4" s="265" t="s">
        <v>63</v>
      </c>
      <c r="O4" s="265" t="s">
        <v>63</v>
      </c>
      <c r="P4" s="272">
        <f>ifna(vlookup(A4,'Population &amp; Church Numbers'!$A$1798:$D$1830,4,FALSE),"NULL")</f>
        <v>8</v>
      </c>
      <c r="Q4" s="273" t="s">
        <v>63</v>
      </c>
    </row>
    <row r="5">
      <c r="A5" s="326" t="s">
        <v>1533</v>
      </c>
      <c r="B5" s="251">
        <f t="array" ref="B5">VLOOKUP($A5,NM_DEMO,2,FALSE)</f>
        <v>65157</v>
      </c>
      <c r="C5" s="327">
        <f>iferror(VLOOKUP($A5,'NM Data'!$A$42:$B$80,2,FALSE),"NULL")</f>
        <v>143</v>
      </c>
      <c r="D5" s="253">
        <f>iferror(VLOOKUP($A5,'NM Data'!$A$2:$D$37,4,FALSE),"NULL")</f>
        <v>3</v>
      </c>
      <c r="E5" s="253" t="s">
        <v>63</v>
      </c>
      <c r="F5" s="253">
        <f>vlookup(A5,'NM Data'!$A$3:$M$37,2,FALSE)</f>
        <v>42</v>
      </c>
      <c r="G5" s="253">
        <f>iferror(VLOOKUP($A5,'NM Data'!$A$2:$C$37,3,FALSE),"NULL")</f>
        <v>3</v>
      </c>
      <c r="H5" s="254">
        <f>vlookup(A5,'NM Data'!$A$3:$M$37,13,FALSE)</f>
        <v>64</v>
      </c>
      <c r="I5" s="255">
        <f>vlookup(A5,'NM Data'!$A$3:$M$37,7,FALSE)</f>
        <v>46</v>
      </c>
      <c r="J5" s="256" t="s">
        <v>63</v>
      </c>
      <c r="K5" s="253" t="s">
        <v>63</v>
      </c>
      <c r="L5" s="254" t="s">
        <v>63</v>
      </c>
      <c r="M5" s="255" t="s">
        <v>63</v>
      </c>
      <c r="N5" s="253" t="s">
        <v>63</v>
      </c>
      <c r="O5" s="253" t="s">
        <v>63</v>
      </c>
      <c r="P5" s="261">
        <f>ifna(vlookup(A5,'Population &amp; Church Numbers'!$A$1798:$D$1830,4,FALSE),"NULL")</f>
        <v>50</v>
      </c>
      <c r="Q5" s="262" t="s">
        <v>63</v>
      </c>
    </row>
    <row r="6">
      <c r="A6" s="188" t="s">
        <v>1534</v>
      </c>
      <c r="B6" s="189">
        <f t="array" ref="B6">VLOOKUP($A6,NM_DEMO,2,FALSE)</f>
        <v>27172</v>
      </c>
      <c r="C6" s="333">
        <f>iferror(VLOOKUP($A6,'NM Data'!$A$42:$B$80,2,FALSE),"NULL")</f>
        <v>39</v>
      </c>
      <c r="D6" s="265">
        <f>iferror(VLOOKUP($A6,'NM Data'!$A$2:$D$37,4,FALSE),"NULL")</f>
        <v>3</v>
      </c>
      <c r="E6" s="265" t="s">
        <v>63</v>
      </c>
      <c r="F6" s="265">
        <f>vlookup(A6,'NM Data'!$A$3:$M$37,2,FALSE)</f>
        <v>20</v>
      </c>
      <c r="G6" s="265">
        <f>iferror(VLOOKUP($A6,'NM Data'!$A$2:$C$37,3,FALSE),"NULL")</f>
        <v>0</v>
      </c>
      <c r="H6" s="266">
        <f>vlookup(A6,'NM Data'!$A$3:$M$37,13,FALSE)</f>
        <v>27</v>
      </c>
      <c r="I6" s="267">
        <f>vlookup(A6,'NM Data'!$A$3:$M$37,7,FALSE)</f>
        <v>8</v>
      </c>
      <c r="J6" s="268" t="s">
        <v>63</v>
      </c>
      <c r="K6" s="265" t="s">
        <v>63</v>
      </c>
      <c r="L6" s="266" t="s">
        <v>63</v>
      </c>
      <c r="M6" s="267" t="s">
        <v>63</v>
      </c>
      <c r="N6" s="265" t="s">
        <v>63</v>
      </c>
      <c r="O6" s="265" t="s">
        <v>63</v>
      </c>
      <c r="P6" s="272">
        <f>ifna(vlookup(A6,'Population &amp; Church Numbers'!$A$1798:$D$1830,4,FALSE),"NULL")</f>
        <v>18</v>
      </c>
      <c r="Q6" s="273" t="s">
        <v>63</v>
      </c>
    </row>
    <row r="7">
      <c r="A7" s="326" t="s">
        <v>1474</v>
      </c>
      <c r="B7" s="251">
        <f t="array" ref="B7">VLOOKUP($A7,NM_DEMO,2,FALSE)</f>
        <v>12387</v>
      </c>
      <c r="C7" s="327" t="str">
        <f>iferror(VLOOKUP($A7,'NM Data'!$A$42:$B$80,2,FALSE),"NULL")</f>
        <v>NULL</v>
      </c>
      <c r="D7" s="253">
        <f>iferror(VLOOKUP($A7,'NM Data'!$A$2:$D$37,4,FALSE),"NULL")</f>
        <v>3</v>
      </c>
      <c r="E7" s="253" t="s">
        <v>63</v>
      </c>
      <c r="F7" s="253">
        <f>vlookup(A7,'NM Data'!$A$3:$M$37,2,FALSE)</f>
        <v>10</v>
      </c>
      <c r="G7" s="253">
        <f>iferror(VLOOKUP($A7,'NM Data'!$A$2:$C$37,3,FALSE),"NULL")</f>
        <v>0</v>
      </c>
      <c r="H7" s="254">
        <f>vlookup(A7,'NM Data'!$A$3:$M$37,13,FALSE)</f>
        <v>9</v>
      </c>
      <c r="I7" s="255">
        <f>vlookup(A7,'NM Data'!$A$3:$M$37,7,FALSE)</f>
        <v>3</v>
      </c>
      <c r="J7" s="256" t="s">
        <v>63</v>
      </c>
      <c r="K7" s="253" t="s">
        <v>63</v>
      </c>
      <c r="L7" s="254" t="s">
        <v>63</v>
      </c>
      <c r="M7" s="255" t="s">
        <v>63</v>
      </c>
      <c r="N7" s="253" t="s">
        <v>63</v>
      </c>
      <c r="O7" s="253" t="s">
        <v>63</v>
      </c>
      <c r="P7" s="261">
        <f>ifna(vlookup(A7,'Population &amp; Church Numbers'!$A$1798:$D$1830,4,FALSE),"NULL")</f>
        <v>18</v>
      </c>
      <c r="Q7" s="262" t="s">
        <v>63</v>
      </c>
    </row>
    <row r="8">
      <c r="A8" s="188" t="s">
        <v>1535</v>
      </c>
      <c r="B8" s="189">
        <f t="array" ref="B8">VLOOKUP($A8,NM_DEMO,2,FALSE)</f>
        <v>48430</v>
      </c>
      <c r="C8" s="333">
        <f>iferror(VLOOKUP($A8,'NM Data'!$A$42:$B$80,2,FALSE),"NULL")</f>
        <v>97</v>
      </c>
      <c r="D8" s="265">
        <f>iferror(VLOOKUP($A8,'NM Data'!$A$2:$D$37,4,FALSE),"NULL")</f>
        <v>2</v>
      </c>
      <c r="E8" s="265" t="s">
        <v>63</v>
      </c>
      <c r="F8" s="265">
        <f>vlookup(A8,'NM Data'!$A$3:$M$37,2,FALSE)</f>
        <v>39</v>
      </c>
      <c r="G8" s="265">
        <f>iferror(VLOOKUP($A8,'NM Data'!$A$2:$C$37,3,FALSE),"NULL")</f>
        <v>2</v>
      </c>
      <c r="H8" s="266">
        <f>vlookup(A8,'NM Data'!$A$3:$M$37,13,FALSE)</f>
        <v>49</v>
      </c>
      <c r="I8" s="267">
        <f>vlookup(A8,'NM Data'!$A$3:$M$37,7,FALSE)</f>
        <v>34</v>
      </c>
      <c r="J8" s="268" t="s">
        <v>63</v>
      </c>
      <c r="K8" s="265" t="s">
        <v>63</v>
      </c>
      <c r="L8" s="266" t="s">
        <v>63</v>
      </c>
      <c r="M8" s="267" t="s">
        <v>63</v>
      </c>
      <c r="N8" s="265" t="s">
        <v>63</v>
      </c>
      <c r="O8" s="265" t="s">
        <v>63</v>
      </c>
      <c r="P8" s="272">
        <f>ifna(vlookup(A8,'Population &amp; Church Numbers'!$A$1798:$D$1830,4,FALSE),"NULL")</f>
        <v>41</v>
      </c>
      <c r="Q8" s="273" t="s">
        <v>63</v>
      </c>
    </row>
    <row r="9">
      <c r="A9" s="326" t="s">
        <v>1536</v>
      </c>
      <c r="B9" s="251">
        <f t="array" ref="B9">VLOOKUP($A9,NM_DEMO,2,FALSE)</f>
        <v>1698</v>
      </c>
      <c r="C9" s="327" t="str">
        <f>iferror(VLOOKUP($A9,'NM Data'!$A$42:$B$80,2,FALSE),"NULL")</f>
        <v>NULL</v>
      </c>
      <c r="D9" s="253">
        <f>iferror(VLOOKUP($A9,'NM Data'!$A$2:$D$37,4,FALSE),"NULL")</f>
        <v>0</v>
      </c>
      <c r="E9" s="253" t="s">
        <v>63</v>
      </c>
      <c r="F9" s="253">
        <f>vlookup(A9,'NM Data'!$A$3:$M$37,2,FALSE)</f>
        <v>0</v>
      </c>
      <c r="G9" s="253">
        <f>iferror(VLOOKUP($A9,'NM Data'!$A$2:$C$37,3,FALSE),"NULL")</f>
        <v>0</v>
      </c>
      <c r="H9" s="254">
        <f>vlookup(A9,'NM Data'!$A$3:$M$37,13,FALSE)</f>
        <v>0</v>
      </c>
      <c r="I9" s="255">
        <f>vlookup(A9,'NM Data'!$A$3:$M$37,7,FALSE)</f>
        <v>3</v>
      </c>
      <c r="J9" s="256" t="s">
        <v>63</v>
      </c>
      <c r="K9" s="253" t="s">
        <v>63</v>
      </c>
      <c r="L9" s="254" t="s">
        <v>63</v>
      </c>
      <c r="M9" s="255" t="s">
        <v>63</v>
      </c>
      <c r="N9" s="253" t="s">
        <v>63</v>
      </c>
      <c r="O9" s="253" t="s">
        <v>63</v>
      </c>
      <c r="P9" s="261">
        <f>ifna(vlookup(A9,'Population &amp; Church Numbers'!$A$1798:$D$1830,4,FALSE),"NULL")</f>
        <v>3</v>
      </c>
      <c r="Q9" s="262" t="s">
        <v>63</v>
      </c>
    </row>
    <row r="10">
      <c r="A10" s="188" t="s">
        <v>1537</v>
      </c>
      <c r="B10" s="189">
        <f t="array" ref="B10">VLOOKUP($A10,NM_DEMO,2,FALSE)</f>
        <v>219561</v>
      </c>
      <c r="C10" s="333" t="str">
        <f>iferror(VLOOKUP($A10,'NM Data'!$A$42:$B$80,2,FALSE),"NULL")</f>
        <v>NULL</v>
      </c>
      <c r="D10" s="265">
        <f>iferror(VLOOKUP($A10,'NM Data'!$A$2:$D$37,4,FALSE),"NULL")</f>
        <v>2</v>
      </c>
      <c r="E10" s="265" t="s">
        <v>63</v>
      </c>
      <c r="F10" s="265">
        <f>vlookup(A10,'NM Data'!$A$3:$M$37,2,FALSE)</f>
        <v>72</v>
      </c>
      <c r="G10" s="265">
        <f>iferror(VLOOKUP($A10,'NM Data'!$A$2:$C$37,3,FALSE),"NULL")</f>
        <v>0</v>
      </c>
      <c r="H10" s="266">
        <f>vlookup(A10,'NM Data'!$A$3:$M$37,13,FALSE)</f>
        <v>147</v>
      </c>
      <c r="I10" s="267">
        <f>vlookup(A10,'NM Data'!$A$3:$M$37,7,FALSE)</f>
        <v>66</v>
      </c>
      <c r="J10" s="268" t="s">
        <v>63</v>
      </c>
      <c r="K10" s="265" t="s">
        <v>63</v>
      </c>
      <c r="L10" s="266" t="s">
        <v>63</v>
      </c>
      <c r="M10" s="267" t="s">
        <v>63</v>
      </c>
      <c r="N10" s="265" t="s">
        <v>63</v>
      </c>
      <c r="O10" s="265" t="s">
        <v>63</v>
      </c>
      <c r="P10" s="272">
        <f>ifna(vlookup(A10,'Population &amp; Church Numbers'!$A$1798:$D$1830,4,FALSE),"NULL")</f>
        <v>97</v>
      </c>
      <c r="Q10" s="273" t="s">
        <v>63</v>
      </c>
    </row>
    <row r="11">
      <c r="A11" s="326" t="s">
        <v>1538</v>
      </c>
      <c r="B11" s="251">
        <f t="array" ref="B11">VLOOKUP($A11,NM_DEMO,2,FALSE)</f>
        <v>62314</v>
      </c>
      <c r="C11" s="327">
        <f>iferror(VLOOKUP($A11,'NM Data'!$A$42:$B$80,2,FALSE),"NULL")</f>
        <v>133</v>
      </c>
      <c r="D11" s="253">
        <f>iferror(VLOOKUP($A11,'NM Data'!$A$2:$D$37,4,FALSE),"NULL")</f>
        <v>2</v>
      </c>
      <c r="E11" s="253" t="s">
        <v>63</v>
      </c>
      <c r="F11" s="253">
        <f>vlookup(A11,'NM Data'!$A$3:$M$37,2,FALSE)</f>
        <v>90</v>
      </c>
      <c r="G11" s="253">
        <f>iferror(VLOOKUP($A11,'NM Data'!$A$2:$C$37,3,FALSE),"NULL")</f>
        <v>3</v>
      </c>
      <c r="H11" s="254">
        <f>vlookup(A11,'NM Data'!$A$3:$M$37,13,FALSE)</f>
        <v>96</v>
      </c>
      <c r="I11" s="255">
        <f>vlookup(A11,'NM Data'!$A$3:$M$37,7,FALSE)</f>
        <v>45</v>
      </c>
      <c r="J11" s="256" t="s">
        <v>63</v>
      </c>
      <c r="K11" s="253" t="s">
        <v>63</v>
      </c>
      <c r="L11" s="254" t="s">
        <v>63</v>
      </c>
      <c r="M11" s="255" t="s">
        <v>63</v>
      </c>
      <c r="N11" s="253" t="s">
        <v>63</v>
      </c>
      <c r="O11" s="253" t="s">
        <v>63</v>
      </c>
      <c r="P11" s="261">
        <f>ifna(vlookup(A11,'Population &amp; Church Numbers'!$A$1798:$D$1830,4,FALSE),"NULL")</f>
        <v>60</v>
      </c>
      <c r="Q11" s="262" t="s">
        <v>63</v>
      </c>
    </row>
    <row r="12">
      <c r="A12" s="188" t="s">
        <v>278</v>
      </c>
      <c r="B12" s="189">
        <f t="array" ref="B12">VLOOKUP($A12,NM_DEMO,2,FALSE)</f>
        <v>28185</v>
      </c>
      <c r="C12" s="333" t="str">
        <f>iferror(VLOOKUP($A12,'NM Data'!$A$42:$B$80,2,FALSE),"NULL")</f>
        <v>NULL</v>
      </c>
      <c r="D12" s="265">
        <f>iferror(VLOOKUP($A12,'NM Data'!$A$2:$D$37,4,FALSE),"NULL")</f>
        <v>3</v>
      </c>
      <c r="E12" s="265" t="s">
        <v>63</v>
      </c>
      <c r="F12" s="265">
        <f>vlookup(A12,'NM Data'!$A$3:$M$37,2,FALSE)</f>
        <v>11</v>
      </c>
      <c r="G12" s="265">
        <f>iferror(VLOOKUP($A12,'NM Data'!$A$2:$C$37,3,FALSE),"NULL")</f>
        <v>0</v>
      </c>
      <c r="H12" s="266">
        <f>vlookup(A12,'NM Data'!$A$3:$M$37,13,FALSE)</f>
        <v>17</v>
      </c>
      <c r="I12" s="267">
        <f>vlookup(A12,'NM Data'!$A$3:$M$37,7,FALSE)</f>
        <v>7</v>
      </c>
      <c r="J12" s="268" t="s">
        <v>63</v>
      </c>
      <c r="K12" s="265" t="s">
        <v>63</v>
      </c>
      <c r="L12" s="266" t="s">
        <v>63</v>
      </c>
      <c r="M12" s="267" t="s">
        <v>63</v>
      </c>
      <c r="N12" s="265" t="s">
        <v>63</v>
      </c>
      <c r="O12" s="265" t="s">
        <v>63</v>
      </c>
      <c r="P12" s="272">
        <f>ifna(vlookup(A12,'Population &amp; Church Numbers'!$A$1798:$D$1830,4,FALSE),"NULL")</f>
        <v>27</v>
      </c>
      <c r="Q12" s="273" t="s">
        <v>63</v>
      </c>
    </row>
    <row r="13">
      <c r="A13" s="326" t="s">
        <v>1539</v>
      </c>
      <c r="B13" s="251">
        <f t="array" ref="B13">VLOOKUP($A13,NM_DEMO,2,FALSE)</f>
        <v>4452</v>
      </c>
      <c r="C13" s="327" t="str">
        <f>iferror(VLOOKUP($A13,'NM Data'!$A$42:$B$80,2,FALSE),"NULL")</f>
        <v>NULL</v>
      </c>
      <c r="D13" s="253">
        <f>iferror(VLOOKUP($A13,'NM Data'!$A$2:$D$37,4,FALSE),"NULL")</f>
        <v>4</v>
      </c>
      <c r="E13" s="253" t="s">
        <v>63</v>
      </c>
      <c r="F13" s="253">
        <f>vlookup(A13,'NM Data'!$A$3:$M$37,2,FALSE)</f>
        <v>5</v>
      </c>
      <c r="G13" s="253">
        <f>iferror(VLOOKUP($A13,'NM Data'!$A$2:$C$37,3,FALSE),"NULL")</f>
        <v>0</v>
      </c>
      <c r="H13" s="254">
        <f>vlookup(A13,'NM Data'!$A$3:$M$37,13,FALSE)</f>
        <v>3</v>
      </c>
      <c r="I13" s="255">
        <f>vlookup(A13,'NM Data'!$A$3:$M$37,7,FALSE)</f>
        <v>5</v>
      </c>
      <c r="J13" s="256" t="s">
        <v>63</v>
      </c>
      <c r="K13" s="253" t="s">
        <v>63</v>
      </c>
      <c r="L13" s="254" t="s">
        <v>63</v>
      </c>
      <c r="M13" s="255" t="s">
        <v>63</v>
      </c>
      <c r="N13" s="253" t="s">
        <v>63</v>
      </c>
      <c r="O13" s="253" t="s">
        <v>63</v>
      </c>
      <c r="P13" s="261">
        <f>ifna(vlookup(A13,'Population &amp; Church Numbers'!$A$1798:$D$1830,4,FALSE),"NULL")</f>
        <v>6</v>
      </c>
      <c r="Q13" s="262" t="s">
        <v>63</v>
      </c>
    </row>
    <row r="14">
      <c r="A14" s="188" t="s">
        <v>1540</v>
      </c>
      <c r="B14" s="189">
        <f t="array" ref="B14">VLOOKUP($A14,NM_DEMO,2,FALSE)</f>
        <v>657</v>
      </c>
      <c r="C14" s="333" t="str">
        <f>iferror(VLOOKUP($A14,'NM Data'!$A$42:$B$80,2,FALSE),"NULL")</f>
        <v>NULL</v>
      </c>
      <c r="D14" s="265">
        <f>iferror(VLOOKUP($A14,'NM Data'!$A$2:$D$37,4,FALSE),"NULL")</f>
        <v>2</v>
      </c>
      <c r="E14" s="265" t="s">
        <v>63</v>
      </c>
      <c r="F14" s="265">
        <f>vlookup(A14,'NM Data'!$A$3:$M$37,2,FALSE)</f>
        <v>0</v>
      </c>
      <c r="G14" s="265">
        <f>iferror(VLOOKUP($A14,'NM Data'!$A$2:$C$37,3,FALSE),"NULL")</f>
        <v>0</v>
      </c>
      <c r="H14" s="266">
        <f>vlookup(A14,'NM Data'!$A$3:$M$37,13,FALSE)</f>
        <v>2</v>
      </c>
      <c r="I14" s="267">
        <f>vlookup(A14,'NM Data'!$A$3:$M$37,7,FALSE)</f>
        <v>0</v>
      </c>
      <c r="J14" s="268" t="s">
        <v>63</v>
      </c>
      <c r="K14" s="265" t="s">
        <v>63</v>
      </c>
      <c r="L14" s="266" t="s">
        <v>63</v>
      </c>
      <c r="M14" s="267" t="s">
        <v>63</v>
      </c>
      <c r="N14" s="265" t="s">
        <v>63</v>
      </c>
      <c r="O14" s="265" t="s">
        <v>63</v>
      </c>
      <c r="P14" s="272">
        <f>ifna(vlookup(A14,'Population &amp; Church Numbers'!$A$1798:$D$1830,4,FALSE),"NULL")</f>
        <v>3</v>
      </c>
      <c r="Q14" s="273" t="s">
        <v>63</v>
      </c>
    </row>
    <row r="15">
      <c r="A15" s="326" t="s">
        <v>480</v>
      </c>
      <c r="B15" s="251">
        <f t="array" ref="B15">VLOOKUP($A15,NM_DEMO,2,FALSE)</f>
        <v>4178</v>
      </c>
      <c r="C15" s="327" t="str">
        <f>iferror(VLOOKUP($A15,'NM Data'!$A$42:$B$80,2,FALSE),"NULL")</f>
        <v>NULL</v>
      </c>
      <c r="D15" s="253">
        <f>iferror(VLOOKUP($A15,'NM Data'!$A$2:$D$37,4,FALSE),"NULL")</f>
        <v>3</v>
      </c>
      <c r="E15" s="253" t="s">
        <v>63</v>
      </c>
      <c r="F15" s="253">
        <f>vlookup(A15,'NM Data'!$A$3:$M$37,2,FALSE)</f>
        <v>0</v>
      </c>
      <c r="G15" s="253">
        <f>iferror(VLOOKUP($A15,'NM Data'!$A$2:$C$37,3,FALSE),"NULL")</f>
        <v>0</v>
      </c>
      <c r="H15" s="254">
        <f>vlookup(A15,'NM Data'!$A$3:$M$37,13,FALSE)</f>
        <v>2</v>
      </c>
      <c r="I15" s="255">
        <f>vlookup(A15,'NM Data'!$A$3:$M$37,7,FALSE)</f>
        <v>0</v>
      </c>
      <c r="J15" s="256" t="s">
        <v>63</v>
      </c>
      <c r="K15" s="253" t="s">
        <v>63</v>
      </c>
      <c r="L15" s="254" t="s">
        <v>63</v>
      </c>
      <c r="M15" s="255" t="s">
        <v>63</v>
      </c>
      <c r="N15" s="253" t="s">
        <v>63</v>
      </c>
      <c r="O15" s="253" t="s">
        <v>63</v>
      </c>
      <c r="P15" s="261">
        <f>ifna(vlookup(A15,'Population &amp; Church Numbers'!$A$1798:$D$1830,4,FALSE),"NULL")</f>
        <v>6</v>
      </c>
      <c r="Q15" s="262" t="s">
        <v>63</v>
      </c>
    </row>
    <row r="16">
      <c r="A16" s="188" t="s">
        <v>1541</v>
      </c>
      <c r="B16" s="189">
        <f t="array" ref="B16">VLOOKUP($A16,NM_DEMO,2,FALSE)</f>
        <v>74455</v>
      </c>
      <c r="C16" s="333">
        <f>iferror(VLOOKUP($A16,'NM Data'!$A$42:$B$80,2,FALSE),"NULL")</f>
        <v>120</v>
      </c>
      <c r="D16" s="265">
        <f>iferror(VLOOKUP($A16,'NM Data'!$A$2:$D$37,4,FALSE),"NULL")</f>
        <v>2</v>
      </c>
      <c r="E16" s="265" t="s">
        <v>63</v>
      </c>
      <c r="F16" s="265">
        <f>vlookup(A16,'NM Data'!$A$3:$M$37,2,FALSE)</f>
        <v>41</v>
      </c>
      <c r="G16" s="265">
        <f>iferror(VLOOKUP($A16,'NM Data'!$A$2:$C$37,3,FALSE),"NULL")</f>
        <v>1</v>
      </c>
      <c r="H16" s="266">
        <f>vlookup(A16,'NM Data'!$A$3:$M$37,13,FALSE)</f>
        <v>72</v>
      </c>
      <c r="I16" s="267">
        <f>vlookup(A16,'NM Data'!$A$3:$M$37,7,FALSE)</f>
        <v>46</v>
      </c>
      <c r="J16" s="268" t="s">
        <v>63</v>
      </c>
      <c r="K16" s="265" t="s">
        <v>63</v>
      </c>
      <c r="L16" s="266" t="s">
        <v>63</v>
      </c>
      <c r="M16" s="267" t="s">
        <v>63</v>
      </c>
      <c r="N16" s="265" t="s">
        <v>63</v>
      </c>
      <c r="O16" s="265" t="s">
        <v>63</v>
      </c>
      <c r="P16" s="272">
        <f>ifna(vlookup(A16,'Population &amp; Church Numbers'!$A$1798:$D$1830,4,FALSE),"NULL")</f>
        <v>83</v>
      </c>
      <c r="Q16" s="273" t="s">
        <v>63</v>
      </c>
    </row>
    <row r="17">
      <c r="A17" s="326" t="s">
        <v>290</v>
      </c>
      <c r="B17" s="251">
        <f t="array" ref="B17">VLOOKUP($A17,NM_DEMO,2,FALSE)</f>
        <v>20269</v>
      </c>
      <c r="C17" s="327">
        <f>iferror(VLOOKUP($A17,'NM Data'!$A$42:$B$80,2,FALSE),"NULL")</f>
        <v>15</v>
      </c>
      <c r="D17" s="253">
        <f>iferror(VLOOKUP($A17,'NM Data'!$A$2:$D$37,4,FALSE),"NULL")</f>
        <v>2</v>
      </c>
      <c r="E17" s="253" t="s">
        <v>63</v>
      </c>
      <c r="F17" s="253">
        <f>vlookup(A17,'NM Data'!$A$3:$M$37,2,FALSE)</f>
        <v>4</v>
      </c>
      <c r="G17" s="253">
        <f>iferror(VLOOKUP($A17,'NM Data'!$A$2:$C$37,3,FALSE),"NULL")</f>
        <v>0</v>
      </c>
      <c r="H17" s="254">
        <f>vlookup(A17,'NM Data'!$A$3:$M$37,13,FALSE)</f>
        <v>15</v>
      </c>
      <c r="I17" s="255">
        <f>vlookup(A17,'NM Data'!$A$3:$M$37,7,FALSE)</f>
        <v>2</v>
      </c>
      <c r="J17" s="256" t="s">
        <v>63</v>
      </c>
      <c r="K17" s="253" t="s">
        <v>63</v>
      </c>
      <c r="L17" s="254" t="s">
        <v>63</v>
      </c>
      <c r="M17" s="255" t="s">
        <v>63</v>
      </c>
      <c r="N17" s="253" t="s">
        <v>63</v>
      </c>
      <c r="O17" s="253" t="s">
        <v>63</v>
      </c>
      <c r="P17" s="261">
        <f>ifna(vlookup(A17,'Population &amp; Church Numbers'!$A$1798:$D$1830,4,FALSE),"NULL")</f>
        <v>25</v>
      </c>
      <c r="Q17" s="262" t="s">
        <v>63</v>
      </c>
    </row>
    <row r="18">
      <c r="A18" s="188" t="s">
        <v>1542</v>
      </c>
      <c r="B18" s="189">
        <f t="array" ref="B18">VLOOKUP($A18,NM_DEMO,2,FALSE)</f>
        <v>19419</v>
      </c>
      <c r="C18" s="333" t="str">
        <f>iferror(VLOOKUP($A18,'NM Data'!$A$42:$B$80,2,FALSE),"NULL")</f>
        <v>NULL</v>
      </c>
      <c r="D18" s="265">
        <f>iferror(VLOOKUP($A18,'NM Data'!$A$2:$D$37,4,FALSE),"NULL")</f>
        <v>2</v>
      </c>
      <c r="E18" s="265" t="s">
        <v>63</v>
      </c>
      <c r="F18" s="265">
        <f>vlookup(A18,'NM Data'!$A$3:$M$37,2,FALSE)</f>
        <v>0</v>
      </c>
      <c r="G18" s="265">
        <f>iferror(VLOOKUP($A18,'NM Data'!$A$2:$C$37,3,FALSE),"NULL")</f>
        <v>0</v>
      </c>
      <c r="H18" s="266">
        <f>vlookup(A18,'NM Data'!$A$3:$M$37,13,FALSE)</f>
        <v>7</v>
      </c>
      <c r="I18" s="267">
        <f>vlookup(A18,'NM Data'!$A$3:$M$37,7,FALSE)</f>
        <v>0</v>
      </c>
      <c r="J18" s="268" t="s">
        <v>63</v>
      </c>
      <c r="K18" s="265" t="s">
        <v>63</v>
      </c>
      <c r="L18" s="266" t="s">
        <v>63</v>
      </c>
      <c r="M18" s="267" t="s">
        <v>63</v>
      </c>
      <c r="N18" s="265" t="s">
        <v>63</v>
      </c>
      <c r="O18" s="265" t="s">
        <v>63</v>
      </c>
      <c r="P18" s="272">
        <f>ifna(vlookup(A18,'Population &amp; Church Numbers'!$A$1798:$D$1830,4,FALSE),"NULL")</f>
        <v>19</v>
      </c>
      <c r="Q18" s="273" t="s">
        <v>63</v>
      </c>
    </row>
    <row r="19">
      <c r="A19" s="326" t="s">
        <v>1543</v>
      </c>
      <c r="B19" s="251">
        <f t="array" ref="B19">VLOOKUP($A19,NM_DEMO,2,FALSE)</f>
        <v>25427</v>
      </c>
      <c r="C19" s="327" t="str">
        <f>iferror(VLOOKUP($A19,'NM Data'!$A$42:$B$80,2,FALSE),"NULL")</f>
        <v>NULL</v>
      </c>
      <c r="D19" s="253">
        <f>iferror(VLOOKUP($A19,'NM Data'!$A$2:$D$37,4,FALSE),"NULL")</f>
        <v>3</v>
      </c>
      <c r="E19" s="253" t="s">
        <v>63</v>
      </c>
      <c r="F19" s="253">
        <f>vlookup(A19,'NM Data'!$A$3:$M$37,2,FALSE)</f>
        <v>13</v>
      </c>
      <c r="G19" s="253">
        <f>iferror(VLOOKUP($A19,'NM Data'!$A$2:$C$37,3,FALSE),"NULL")</f>
        <v>0</v>
      </c>
      <c r="H19" s="254">
        <f>vlookup(A19,'NM Data'!$A$3:$M$37,13,FALSE)</f>
        <v>24</v>
      </c>
      <c r="I19" s="255">
        <f>vlookup(A19,'NM Data'!$A$3:$M$37,7,FALSE)</f>
        <v>10</v>
      </c>
      <c r="J19" s="256" t="s">
        <v>63</v>
      </c>
      <c r="K19" s="253" t="s">
        <v>63</v>
      </c>
      <c r="L19" s="254" t="s">
        <v>63</v>
      </c>
      <c r="M19" s="255" t="s">
        <v>63</v>
      </c>
      <c r="N19" s="253" t="s">
        <v>63</v>
      </c>
      <c r="O19" s="253" t="s">
        <v>63</v>
      </c>
      <c r="P19" s="261">
        <f>ifna(vlookup(A19,'Population &amp; Church Numbers'!$A$1798:$D$1830,4,FALSE),"NULL")</f>
        <v>15</v>
      </c>
      <c r="Q19" s="262" t="s">
        <v>63</v>
      </c>
    </row>
    <row r="20">
      <c r="A20" s="188" t="s">
        <v>3765</v>
      </c>
      <c r="B20" s="189">
        <f t="array" ref="B20">VLOOKUP($A20,NM_DEMO,2,FALSE)</f>
        <v>72902</v>
      </c>
      <c r="C20" s="333">
        <f>iferror(VLOOKUP($A20,'NM Data'!$A$42:$B$80,2,FALSE),"NULL")</f>
        <v>40</v>
      </c>
      <c r="D20" s="265">
        <f>iferror(VLOOKUP($A20,'NM Data'!$A$2:$D$37,4,FALSE),"NULL")</f>
        <v>2</v>
      </c>
      <c r="E20" s="265" t="s">
        <v>63</v>
      </c>
      <c r="F20" s="265">
        <f>vlookup(A20,'NM Data'!$A$3:$M$37,2,FALSE)</f>
        <v>18</v>
      </c>
      <c r="G20" s="265">
        <f>iferror(VLOOKUP($A20,'NM Data'!$A$2:$C$37,3,FALSE),"NULL")</f>
        <v>0</v>
      </c>
      <c r="H20" s="266">
        <f>vlookup(A20,'NM Data'!$A$3:$M$37,13,FALSE)</f>
        <v>49</v>
      </c>
      <c r="I20" s="267">
        <f>vlookup(A20,'NM Data'!$A$3:$M$37,7,FALSE)</f>
        <v>9</v>
      </c>
      <c r="J20" s="268" t="s">
        <v>63</v>
      </c>
      <c r="K20" s="265" t="s">
        <v>63</v>
      </c>
      <c r="L20" s="266" t="s">
        <v>63</v>
      </c>
      <c r="M20" s="267" t="s">
        <v>63</v>
      </c>
      <c r="N20" s="265" t="s">
        <v>63</v>
      </c>
      <c r="O20" s="265" t="s">
        <v>63</v>
      </c>
      <c r="P20" s="272">
        <f>ifna(vlookup(A20,'Population &amp; Church Numbers'!$A$1798:$D$1830,4,FALSE),"NULL")</f>
        <v>48</v>
      </c>
      <c r="Q20" s="273" t="s">
        <v>63</v>
      </c>
    </row>
    <row r="21">
      <c r="A21" s="326" t="s">
        <v>1545</v>
      </c>
      <c r="B21" s="251">
        <f t="array" ref="B21">VLOOKUP($A21,NM_DEMO,2,FALSE)</f>
        <v>4189</v>
      </c>
      <c r="C21" s="327" t="str">
        <f>iferror(VLOOKUP($A21,'NM Data'!$A$42:$B$80,2,FALSE),"NULL")</f>
        <v>NULL</v>
      </c>
      <c r="D21" s="253">
        <f>iferror(VLOOKUP($A21,'NM Data'!$A$2:$D$37,4,FALSE),"NULL")</f>
        <v>4</v>
      </c>
      <c r="E21" s="253" t="s">
        <v>63</v>
      </c>
      <c r="F21" s="253">
        <f>vlookup(A21,'NM Data'!$A$3:$M$37,2,FALSE)</f>
        <v>2</v>
      </c>
      <c r="G21" s="253">
        <f>iferror(VLOOKUP($A21,'NM Data'!$A$2:$C$37,3,FALSE),"NULL")</f>
        <v>0</v>
      </c>
      <c r="H21" s="254">
        <f>vlookup(A21,'NM Data'!$A$3:$M$37,13,FALSE)</f>
        <v>1</v>
      </c>
      <c r="I21" s="255">
        <f>vlookup(A21,'NM Data'!$A$3:$M$37,7,FALSE)</f>
        <v>3</v>
      </c>
      <c r="J21" s="256" t="s">
        <v>63</v>
      </c>
      <c r="K21" s="253" t="s">
        <v>63</v>
      </c>
      <c r="L21" s="254" t="s">
        <v>63</v>
      </c>
      <c r="M21" s="255" t="s">
        <v>63</v>
      </c>
      <c r="N21" s="253" t="s">
        <v>63</v>
      </c>
      <c r="O21" s="253" t="s">
        <v>63</v>
      </c>
      <c r="P21" s="261">
        <f>ifna(vlookup(A21,'Population &amp; Church Numbers'!$A$1798:$D$1830,4,FALSE),"NULL")</f>
        <v>2</v>
      </c>
      <c r="Q21" s="262" t="s">
        <v>63</v>
      </c>
    </row>
    <row r="22">
      <c r="A22" s="188" t="s">
        <v>441</v>
      </c>
      <c r="B22" s="189">
        <f t="array" ref="B22">VLOOKUP($A22,NM_DEMO,2,FALSE)</f>
        <v>67839</v>
      </c>
      <c r="C22" s="333">
        <f>iferror(VLOOKUP($A22,'NM Data'!$A$42:$B$80,2,FALSE),"NULL")</f>
        <v>57</v>
      </c>
      <c r="D22" s="265">
        <f>iferror(VLOOKUP($A22,'NM Data'!$A$2:$D$37,4,FALSE),"NULL")</f>
        <v>2</v>
      </c>
      <c r="E22" s="265" t="s">
        <v>63</v>
      </c>
      <c r="F22" s="265">
        <f>vlookup(A22,'NM Data'!$A$3:$M$37,2,FALSE)</f>
        <v>25</v>
      </c>
      <c r="G22" s="265">
        <f>iferror(VLOOKUP($A22,'NM Data'!$A$2:$C$37,3,FALSE),"NULL")</f>
        <v>0</v>
      </c>
      <c r="H22" s="266">
        <f>vlookup(A22,'NM Data'!$A$3:$M$37,13,FALSE)</f>
        <v>50</v>
      </c>
      <c r="I22" s="267">
        <f>vlookup(A22,'NM Data'!$A$3:$M$37,7,FALSE)</f>
        <v>21</v>
      </c>
      <c r="J22" s="268" t="s">
        <v>63</v>
      </c>
      <c r="K22" s="265" t="s">
        <v>63</v>
      </c>
      <c r="L22" s="266" t="s">
        <v>63</v>
      </c>
      <c r="M22" s="267" t="s">
        <v>63</v>
      </c>
      <c r="N22" s="265" t="s">
        <v>63</v>
      </c>
      <c r="O22" s="265" t="s">
        <v>63</v>
      </c>
      <c r="P22" s="272">
        <f>ifna(vlookup(A22,'Population &amp; Church Numbers'!$A$1798:$D$1830,4,FALSE),"NULL")</f>
        <v>47</v>
      </c>
      <c r="Q22" s="273" t="s">
        <v>63</v>
      </c>
    </row>
    <row r="23">
      <c r="A23" s="326" t="s">
        <v>1546</v>
      </c>
      <c r="B23" s="251">
        <f t="array" ref="B23">VLOOKUP($A23,NM_DEMO,2,FALSE)</f>
        <v>8746</v>
      </c>
      <c r="C23" s="327" t="str">
        <f>iferror(VLOOKUP($A23,'NM Data'!$A$42:$B$80,2,FALSE),"NULL")</f>
        <v>NULL</v>
      </c>
      <c r="D23" s="253">
        <f>iferror(VLOOKUP($A23,'NM Data'!$A$2:$D$37,4,FALSE),"NULL")</f>
        <v>1</v>
      </c>
      <c r="E23" s="253" t="s">
        <v>63</v>
      </c>
      <c r="F23" s="253">
        <f>vlookup(A23,'NM Data'!$A$3:$M$37,2,FALSE)</f>
        <v>5</v>
      </c>
      <c r="G23" s="253">
        <f>iferror(VLOOKUP($A23,'NM Data'!$A$2:$C$37,3,FALSE),"NULL")</f>
        <v>0</v>
      </c>
      <c r="H23" s="254">
        <f>vlookup(A23,'NM Data'!$A$3:$M$37,13,FALSE)</f>
        <v>11</v>
      </c>
      <c r="I23" s="255">
        <f>vlookup(A23,'NM Data'!$A$3:$M$37,7,FALSE)</f>
        <v>0</v>
      </c>
      <c r="J23" s="256" t="s">
        <v>63</v>
      </c>
      <c r="K23" s="253" t="s">
        <v>63</v>
      </c>
      <c r="L23" s="254" t="s">
        <v>63</v>
      </c>
      <c r="M23" s="255" t="s">
        <v>63</v>
      </c>
      <c r="N23" s="253" t="s">
        <v>63</v>
      </c>
      <c r="O23" s="253" t="s">
        <v>63</v>
      </c>
      <c r="P23" s="261">
        <f>ifna(vlookup(A23,'Population &amp; Church Numbers'!$A$1798:$D$1830,4,FALSE),"NULL")</f>
        <v>18</v>
      </c>
      <c r="Q23" s="262" t="s">
        <v>63</v>
      </c>
    </row>
    <row r="24">
      <c r="A24" s="188" t="s">
        <v>1547</v>
      </c>
      <c r="B24" s="189">
        <f t="array" ref="B24">VLOOKUP($A24,NM_DEMO,2,FALSE)</f>
        <v>40363</v>
      </c>
      <c r="C24" s="333" t="str">
        <f>iferror(VLOOKUP($A24,'NM Data'!$A$42:$B$80,2,FALSE),"NULL")</f>
        <v>NULL</v>
      </c>
      <c r="D24" s="265">
        <f>iferror(VLOOKUP($A24,'NM Data'!$A$2:$D$37,4,FALSE),"NULL")</f>
        <v>3</v>
      </c>
      <c r="E24" s="265" t="s">
        <v>63</v>
      </c>
      <c r="F24" s="265">
        <f>vlookup(A24,'NM Data'!$A$3:$M$37,2,FALSE)</f>
        <v>7</v>
      </c>
      <c r="G24" s="265">
        <f>iferror(VLOOKUP($A24,'NM Data'!$A$2:$C$37,3,FALSE),"NULL")</f>
        <v>0</v>
      </c>
      <c r="H24" s="266">
        <f>vlookup(A24,'NM Data'!$A$3:$M$37,13,FALSE)</f>
        <v>19</v>
      </c>
      <c r="I24" s="267">
        <f>vlookup(A24,'NM Data'!$A$3:$M$37,7,FALSE)</f>
        <v>11</v>
      </c>
      <c r="J24" s="268" t="s">
        <v>63</v>
      </c>
      <c r="K24" s="265" t="s">
        <v>63</v>
      </c>
      <c r="L24" s="266" t="s">
        <v>63</v>
      </c>
      <c r="M24" s="267" t="s">
        <v>63</v>
      </c>
      <c r="N24" s="265" t="s">
        <v>63</v>
      </c>
      <c r="O24" s="265" t="s">
        <v>63</v>
      </c>
      <c r="P24" s="272">
        <f>ifna(vlookup(A24,'Population &amp; Church Numbers'!$A$1798:$D$1830,4,FALSE),"NULL")</f>
        <v>30</v>
      </c>
      <c r="Q24" s="273" t="s">
        <v>63</v>
      </c>
    </row>
    <row r="25">
      <c r="A25" s="326" t="s">
        <v>1456</v>
      </c>
      <c r="B25" s="251">
        <f t="array" ref="B25">VLOOKUP($A25,NM_DEMO,2,FALSE)</f>
        <v>19191</v>
      </c>
      <c r="C25" s="327">
        <f>iferror(VLOOKUP($A25,'NM Data'!$A$42:$B$80,2,FALSE),"NULL")</f>
        <v>12</v>
      </c>
      <c r="D25" s="253">
        <f>iferror(VLOOKUP($A25,'NM Data'!$A$2:$D$37,4,FALSE),"NULL")</f>
        <v>1</v>
      </c>
      <c r="E25" s="253" t="s">
        <v>63</v>
      </c>
      <c r="F25" s="253">
        <f>vlookup(A25,'NM Data'!$A$3:$M$37,2,FALSE)</f>
        <v>5</v>
      </c>
      <c r="G25" s="253">
        <f>iferror(VLOOKUP($A25,'NM Data'!$A$2:$C$37,3,FALSE),"NULL")</f>
        <v>0</v>
      </c>
      <c r="H25" s="254">
        <f>vlookup(A25,'NM Data'!$A$3:$M$37,13,FALSE)</f>
        <v>13</v>
      </c>
      <c r="I25" s="255" t="s">
        <v>63</v>
      </c>
      <c r="J25" s="256" t="s">
        <v>63</v>
      </c>
      <c r="K25" s="253" t="s">
        <v>63</v>
      </c>
      <c r="L25" s="254" t="s">
        <v>63</v>
      </c>
      <c r="M25" s="255" t="s">
        <v>63</v>
      </c>
      <c r="N25" s="253" t="s">
        <v>63</v>
      </c>
      <c r="O25" s="253" t="s">
        <v>63</v>
      </c>
      <c r="P25" s="261">
        <f>ifna(vlookup(A25,'Population &amp; Church Numbers'!$A$1798:$D$1830,4,FALSE),"NULL")</f>
        <v>30</v>
      </c>
      <c r="Q25" s="262" t="s">
        <v>63</v>
      </c>
    </row>
    <row r="26">
      <c r="A26" s="188" t="s">
        <v>1548</v>
      </c>
      <c r="B26" s="189">
        <f t="array" ref="B26">VLOOKUP($A26,NM_DEMO,2,FALSE)</f>
        <v>148834</v>
      </c>
      <c r="C26" s="333">
        <f>iferror(VLOOKUP($A26,'NM Data'!$A$42:$B$80,2,FALSE),"NULL")</f>
        <v>25</v>
      </c>
      <c r="D26" s="265">
        <f>iferror(VLOOKUP($A26,'NM Data'!$A$2:$D$37,4,FALSE),"NULL")</f>
        <v>3</v>
      </c>
      <c r="E26" s="265" t="s">
        <v>63</v>
      </c>
      <c r="F26" s="265">
        <f>vlookup(A26,'NM Data'!$A$3:$M$37,2,FALSE)</f>
        <v>12</v>
      </c>
      <c r="G26" s="265">
        <f>iferror(VLOOKUP($A26,'NM Data'!$A$2:$C$37,3,FALSE),"NULL")</f>
        <v>0</v>
      </c>
      <c r="H26" s="266">
        <f>vlookup(A26,'NM Data'!$A$3:$M$37,13,FALSE)</f>
        <v>53</v>
      </c>
      <c r="I26" s="267">
        <f>vlookup(A26,'NM Data'!$A$3:$M$37,7,FALSE)</f>
        <v>3</v>
      </c>
      <c r="J26" s="268" t="s">
        <v>63</v>
      </c>
      <c r="K26" s="265" t="s">
        <v>63</v>
      </c>
      <c r="L26" s="266" t="s">
        <v>63</v>
      </c>
      <c r="M26" s="267" t="s">
        <v>63</v>
      </c>
      <c r="N26" s="265" t="s">
        <v>63</v>
      </c>
      <c r="O26" s="265" t="s">
        <v>63</v>
      </c>
      <c r="P26" s="272">
        <f>ifna(vlookup(A26,'Population &amp; Church Numbers'!$A$1798:$D$1830,4,FALSE),"NULL")</f>
        <v>59</v>
      </c>
      <c r="Q26" s="273" t="s">
        <v>63</v>
      </c>
    </row>
    <row r="27">
      <c r="A27" s="326" t="s">
        <v>457</v>
      </c>
      <c r="B27" s="251">
        <f t="array" ref="B27">VLOOKUP($A27,NM_DEMO,2,FALSE)</f>
        <v>121661</v>
      </c>
      <c r="C27" s="327">
        <f>iferror(VLOOKUP($A27,'NM Data'!$A$42:$B$80,2,FALSE),"NULL")</f>
        <v>70</v>
      </c>
      <c r="D27" s="253">
        <f>iferror(VLOOKUP($A27,'NM Data'!$A$2:$D$37,4,FALSE),"NULL")</f>
        <v>3</v>
      </c>
      <c r="E27" s="253" t="s">
        <v>63</v>
      </c>
      <c r="F27" s="253">
        <f>vlookup(A27,'NM Data'!$A$3:$M$37,2,FALSE)</f>
        <v>33</v>
      </c>
      <c r="G27" s="253">
        <f>iferror(VLOOKUP($A27,'NM Data'!$A$2:$C$37,3,FALSE),"NULL")</f>
        <v>0</v>
      </c>
      <c r="H27" s="254">
        <f>vlookup(A27,'NM Data'!$A$3:$M$37,13,FALSE)</f>
        <v>78</v>
      </c>
      <c r="I27" s="255">
        <f>vlookup(A27,'NM Data'!$A$3:$M$37,7,FALSE)</f>
        <v>24</v>
      </c>
      <c r="J27" s="256" t="s">
        <v>63</v>
      </c>
      <c r="K27" s="253" t="s">
        <v>63</v>
      </c>
      <c r="L27" s="254" t="s">
        <v>63</v>
      </c>
      <c r="M27" s="255" t="s">
        <v>63</v>
      </c>
      <c r="N27" s="253" t="s">
        <v>63</v>
      </c>
      <c r="O27" s="253" t="s">
        <v>63</v>
      </c>
      <c r="P27" s="261">
        <f>ifna(vlookup(A27,'Population &amp; Church Numbers'!$A$1798:$D$1830,4,FALSE),"NULL")</f>
        <v>99</v>
      </c>
      <c r="Q27" s="262" t="s">
        <v>63</v>
      </c>
    </row>
    <row r="28">
      <c r="A28" s="188" t="s">
        <v>458</v>
      </c>
      <c r="B28" s="189">
        <f t="array" ref="B28">VLOOKUP($A28,NM_DEMO,2,FALSE)</f>
        <v>27201</v>
      </c>
      <c r="C28" s="333" t="str">
        <f>iferror(VLOOKUP($A28,'NM Data'!$A$42:$B$80,2,FALSE),"NULL")</f>
        <v>NULL</v>
      </c>
      <c r="D28" s="265">
        <f>iferror(VLOOKUP($A28,'NM Data'!$A$2:$D$37,4,FALSE),"NULL")</f>
        <v>2</v>
      </c>
      <c r="E28" s="265" t="s">
        <v>63</v>
      </c>
      <c r="F28" s="265">
        <f>vlookup(A28,'NM Data'!$A$3:$M$37,2,FALSE)</f>
        <v>38</v>
      </c>
      <c r="G28" s="265">
        <f>iferror(VLOOKUP($A28,'NM Data'!$A$2:$C$37,3,FALSE),"NULL")</f>
        <v>1</v>
      </c>
      <c r="H28" s="266">
        <f>vlookup(A28,'NM Data'!$A$3:$M$37,13,FALSE)</f>
        <v>49</v>
      </c>
      <c r="I28" s="267">
        <f>vlookup(A28,'NM Data'!$A$3:$M$37,7,FALSE)</f>
        <v>39</v>
      </c>
      <c r="J28" s="268" t="s">
        <v>63</v>
      </c>
      <c r="K28" s="265" t="s">
        <v>63</v>
      </c>
      <c r="L28" s="266" t="s">
        <v>63</v>
      </c>
      <c r="M28" s="267" t="s">
        <v>63</v>
      </c>
      <c r="N28" s="265" t="s">
        <v>63</v>
      </c>
      <c r="O28" s="265" t="s">
        <v>63</v>
      </c>
      <c r="P28" s="272">
        <f>ifna(vlookup(A28,'Population &amp; Church Numbers'!$A$1798:$D$1830,4,FALSE),"NULL")</f>
        <v>18</v>
      </c>
      <c r="Q28" s="273" t="s">
        <v>63</v>
      </c>
    </row>
    <row r="29">
      <c r="A29" s="326" t="s">
        <v>1549</v>
      </c>
      <c r="B29" s="251">
        <f t="array" ref="B29">VLOOKUP($A29,NM_DEMO,2,FALSE)</f>
        <v>154823</v>
      </c>
      <c r="C29" s="327">
        <f>iferror(VLOOKUP($A29,'NM Data'!$A$42:$B$80,2,FALSE),"NULL")</f>
        <v>34</v>
      </c>
      <c r="D29" s="253">
        <f>iferror(VLOOKUP($A29,'NM Data'!$A$2:$D$37,4,FALSE),"NULL")</f>
        <v>2</v>
      </c>
      <c r="E29" s="253" t="s">
        <v>63</v>
      </c>
      <c r="F29" s="253">
        <f>vlookup(A29,'NM Data'!$A$3:$M$37,2,FALSE)</f>
        <v>11</v>
      </c>
      <c r="G29" s="253">
        <f>iferror(VLOOKUP($A29,'NM Data'!$A$2:$C$37,3,FALSE),"NULL")</f>
        <v>0</v>
      </c>
      <c r="H29" s="254">
        <f>vlookup(A29,'NM Data'!$A$3:$M$37,13,FALSE)</f>
        <v>50</v>
      </c>
      <c r="I29" s="255">
        <f>vlookup(A29,'NM Data'!$A$3:$M$37,7,FALSE)</f>
        <v>11</v>
      </c>
      <c r="J29" s="256" t="s">
        <v>63</v>
      </c>
      <c r="K29" s="253" t="s">
        <v>63</v>
      </c>
      <c r="L29" s="254" t="s">
        <v>63</v>
      </c>
      <c r="M29" s="255" t="s">
        <v>63</v>
      </c>
      <c r="N29" s="253" t="s">
        <v>63</v>
      </c>
      <c r="O29" s="253" t="s">
        <v>63</v>
      </c>
      <c r="P29" s="261">
        <f>ifna(vlookup(A29,'Population &amp; Church Numbers'!$A$1798:$D$1830,4,FALSE),"NULL")</f>
        <v>65</v>
      </c>
      <c r="Q29" s="262" t="s">
        <v>63</v>
      </c>
    </row>
    <row r="30">
      <c r="A30" s="188" t="s">
        <v>365</v>
      </c>
      <c r="B30" s="189">
        <f t="array" ref="B30">VLOOKUP($A30,NM_DEMO,2,FALSE)</f>
        <v>11576</v>
      </c>
      <c r="C30" s="333">
        <f>iferror(VLOOKUP($A30,'NM Data'!$A$42:$B$80,2,FALSE),"NULL")</f>
        <v>0</v>
      </c>
      <c r="D30" s="265">
        <f>iferror(VLOOKUP($A30,'NM Data'!$A$2:$D$37,4,FALSE),"NULL")</f>
        <v>3</v>
      </c>
      <c r="E30" s="265" t="s">
        <v>63</v>
      </c>
      <c r="F30" s="265">
        <f>vlookup(A30,'NM Data'!$A$3:$M$37,2,FALSE)</f>
        <v>0</v>
      </c>
      <c r="G30" s="265">
        <f>iferror(VLOOKUP($A30,'NM Data'!$A$2:$C$37,3,FALSE),"NULL")</f>
        <v>0</v>
      </c>
      <c r="H30" s="266">
        <f>vlookup(A30,'NM Data'!$A$3:$M$37,13,FALSE)</f>
        <v>12</v>
      </c>
      <c r="I30" s="267">
        <f>vlookup(A30,'NM Data'!$A$3:$M$37,7,FALSE)</f>
        <v>0</v>
      </c>
      <c r="J30" s="268" t="s">
        <v>63</v>
      </c>
      <c r="K30" s="265" t="s">
        <v>63</v>
      </c>
      <c r="L30" s="266" t="s">
        <v>63</v>
      </c>
      <c r="M30" s="267" t="s">
        <v>63</v>
      </c>
      <c r="N30" s="265" t="s">
        <v>63</v>
      </c>
      <c r="O30" s="265" t="s">
        <v>63</v>
      </c>
      <c r="P30" s="272">
        <f>ifna(vlookup(A30,'Population &amp; Church Numbers'!$A$1798:$D$1830,4,FALSE),"NULL")</f>
        <v>10</v>
      </c>
      <c r="Q30" s="273" t="s">
        <v>63</v>
      </c>
    </row>
    <row r="31">
      <c r="A31" s="326" t="s">
        <v>1550</v>
      </c>
      <c r="B31" s="251">
        <f t="array" ref="B31">VLOOKUP($A31,NM_DEMO,2,FALSE)</f>
        <v>16595</v>
      </c>
      <c r="C31" s="327">
        <f>iferror(VLOOKUP($A31,'NM Data'!$A$42:$B$80,2,FALSE),"NULL")</f>
        <v>8</v>
      </c>
      <c r="D31" s="253">
        <f>iferror(VLOOKUP($A31,'NM Data'!$A$2:$D$37,4,FALSE),"NULL")</f>
        <v>3</v>
      </c>
      <c r="E31" s="253" t="s">
        <v>63</v>
      </c>
      <c r="F31" s="253">
        <f>vlookup(A31,'NM Data'!$A$3:$M$37,2,FALSE)</f>
        <v>2</v>
      </c>
      <c r="G31" s="253">
        <f>iferror(VLOOKUP($A31,'NM Data'!$A$2:$C$37,3,FALSE),"NULL")</f>
        <v>0</v>
      </c>
      <c r="H31" s="254">
        <f>vlookup(A31,'NM Data'!$A$3:$M$37,13,FALSE)</f>
        <v>18</v>
      </c>
      <c r="I31" s="255">
        <f>vlookup(A31,'NM Data'!$A$3:$M$37,7,FALSE)</f>
        <v>1</v>
      </c>
      <c r="J31" s="256" t="s">
        <v>63</v>
      </c>
      <c r="K31" s="253" t="s">
        <v>63</v>
      </c>
      <c r="L31" s="254" t="s">
        <v>63</v>
      </c>
      <c r="M31" s="255" t="s">
        <v>63</v>
      </c>
      <c r="N31" s="253" t="s">
        <v>63</v>
      </c>
      <c r="O31" s="253" t="s">
        <v>63</v>
      </c>
      <c r="P31" s="261">
        <f>ifna(vlookup(A31,'Population &amp; Church Numbers'!$A$1798:$D$1830,4,FALSE),"NULL")</f>
        <v>9</v>
      </c>
      <c r="Q31" s="262" t="s">
        <v>63</v>
      </c>
    </row>
    <row r="32">
      <c r="A32" s="188" t="s">
        <v>1551</v>
      </c>
      <c r="B32" s="189">
        <f t="array" ref="B32">VLOOKUP($A32,NM_DEMO,2,FALSE)</f>
        <v>34489</v>
      </c>
      <c r="C32" s="333">
        <f>iferror(VLOOKUP($A32,'NM Data'!$A$42:$B$80,2,FALSE),"NULL")</f>
        <v>60</v>
      </c>
      <c r="D32" s="265">
        <f>iferror(VLOOKUP($A32,'NM Data'!$A$2:$D$37,4,FALSE),"NULL")</f>
        <v>2</v>
      </c>
      <c r="E32" s="265" t="s">
        <v>63</v>
      </c>
      <c r="F32" s="265">
        <f>vlookup(A32,'NM Data'!$A$3:$M$37,2,FALSE)</f>
        <v>31</v>
      </c>
      <c r="G32" s="265">
        <f>iferror(VLOOKUP($A32,'NM Data'!$A$2:$C$37,3,FALSE),"NULL")</f>
        <v>1</v>
      </c>
      <c r="H32" s="266">
        <f>vlookup(A32,'NM Data'!$A$3:$M$37,13,FALSE)</f>
        <v>33</v>
      </c>
      <c r="I32" s="267">
        <f>vlookup(A32,'NM Data'!$A$3:$M$37,7,FALSE)</f>
        <v>19</v>
      </c>
      <c r="J32" s="268" t="s">
        <v>63</v>
      </c>
      <c r="K32" s="265" t="s">
        <v>63</v>
      </c>
      <c r="L32" s="266" t="s">
        <v>63</v>
      </c>
      <c r="M32" s="267" t="s">
        <v>63</v>
      </c>
      <c r="N32" s="265" t="s">
        <v>63</v>
      </c>
      <c r="O32" s="265" t="s">
        <v>63</v>
      </c>
      <c r="P32" s="272">
        <f>ifna(vlookup(A32,'Population &amp; Church Numbers'!$A$1798:$D$1830,4,FALSE),"NULL")</f>
        <v>21</v>
      </c>
      <c r="Q32" s="273" t="s">
        <v>63</v>
      </c>
    </row>
    <row r="33">
      <c r="A33" s="326" t="s">
        <v>1552</v>
      </c>
      <c r="B33" s="251">
        <f t="array" ref="B33">VLOOKUP($A33,NM_DEMO,2,FALSE)</f>
        <v>15045</v>
      </c>
      <c r="C33" s="327">
        <f>iferror(VLOOKUP($A33,'NM Data'!$A$42:$B$80,2,FALSE),"NULL")</f>
        <v>22</v>
      </c>
      <c r="D33" s="253">
        <f>iferror(VLOOKUP($A33,'NM Data'!$A$2:$D$37,4,FALSE),"NULL")</f>
        <v>3</v>
      </c>
      <c r="E33" s="253" t="s">
        <v>63</v>
      </c>
      <c r="F33" s="253">
        <f>vlookup(A33,'NM Data'!$A$3:$M$37,2,FALSE)</f>
        <v>7</v>
      </c>
      <c r="G33" s="253">
        <f>iferror(VLOOKUP($A33,'NM Data'!$A$2:$C$37,3,FALSE),"NULL")</f>
        <v>0</v>
      </c>
      <c r="H33" s="254">
        <f>vlookup(A33,'NM Data'!$A$3:$M$37,13,FALSE)</f>
        <v>9</v>
      </c>
      <c r="I33" s="255">
        <f>vlookup(A33,'NM Data'!$A$3:$M$37,7,FALSE)</f>
        <v>6</v>
      </c>
      <c r="J33" s="256" t="s">
        <v>63</v>
      </c>
      <c r="K33" s="253" t="s">
        <v>63</v>
      </c>
      <c r="L33" s="254" t="s">
        <v>63</v>
      </c>
      <c r="M33" s="255" t="s">
        <v>63</v>
      </c>
      <c r="N33" s="253" t="s">
        <v>63</v>
      </c>
      <c r="O33" s="253" t="s">
        <v>63</v>
      </c>
      <c r="P33" s="261">
        <f>ifna(vlookup(A33,'Population &amp; Church Numbers'!$A$1798:$D$1830,4,FALSE),"NULL")</f>
        <v>20</v>
      </c>
      <c r="Q33" s="262" t="s">
        <v>63</v>
      </c>
    </row>
    <row r="34">
      <c r="A34" s="188" t="s">
        <v>316</v>
      </c>
      <c r="B34" s="189">
        <f t="array" ref="B34">VLOOKUP($A34,NM_DEMO,2,FALSE)</f>
        <v>4079</v>
      </c>
      <c r="C34" s="333" t="str">
        <f>iferror(VLOOKUP($A34,'NM Data'!$A$42:$B$80,2,FALSE),"NULL")</f>
        <v>NULL</v>
      </c>
      <c r="D34" s="265">
        <f>iferror(VLOOKUP($A34,'NM Data'!$A$2:$D$37,4,FALSE),"NULL")</f>
        <v>2</v>
      </c>
      <c r="E34" s="265" t="s">
        <v>63</v>
      </c>
      <c r="F34" s="265">
        <f>vlookup(A34,'NM Data'!$A$3:$M$37,2,FALSE)</f>
        <v>1</v>
      </c>
      <c r="G34" s="265">
        <f>iferror(VLOOKUP($A34,'NM Data'!$A$2:$C$37,3,FALSE),"NULL")</f>
        <v>0</v>
      </c>
      <c r="H34" s="266">
        <f>vlookup(A34,'NM Data'!$A$3:$M$37,13,FALSE)</f>
        <v>2</v>
      </c>
      <c r="I34" s="267">
        <f>vlookup(A34,'NM Data'!$A$3:$M$37,7,FALSE)</f>
        <v>0</v>
      </c>
      <c r="J34" s="268" t="s">
        <v>63</v>
      </c>
      <c r="K34" s="265" t="s">
        <v>63</v>
      </c>
      <c r="L34" s="266" t="s">
        <v>63</v>
      </c>
      <c r="M34" s="267" t="s">
        <v>63</v>
      </c>
      <c r="N34" s="265" t="s">
        <v>63</v>
      </c>
      <c r="O34" s="265" t="s">
        <v>63</v>
      </c>
      <c r="P34" s="272">
        <f>ifna(vlookup(A34,'Population &amp; Church Numbers'!$A$1798:$D$1830,4,FALSE),"NULL")</f>
        <v>9</v>
      </c>
      <c r="Q34" s="273" t="s">
        <v>63</v>
      </c>
    </row>
    <row r="35">
      <c r="A35" s="326" t="s">
        <v>1553</v>
      </c>
      <c r="B35" s="251">
        <f t="array" ref="B35">VLOOKUP($A35,NM_DEMO,2,FALSE)</f>
        <v>76205</v>
      </c>
      <c r="C35" s="327">
        <f>iferror(VLOOKUP($A35,'NM Data'!$A$42:$B$80,2,FALSE),"NULL")</f>
        <v>104</v>
      </c>
      <c r="D35" s="253">
        <f>iferror(VLOOKUP($A35,'NM Data'!$A$2:$D$37,4,FALSE),"NULL")</f>
        <v>2</v>
      </c>
      <c r="E35" s="253" t="s">
        <v>63</v>
      </c>
      <c r="F35" s="253">
        <f>vlookup(A35,'NM Data'!$A$3:$M$37,2,FALSE)</f>
        <v>53</v>
      </c>
      <c r="G35" s="253">
        <f>iferror(VLOOKUP($A35,'NM Data'!$A$2:$C$37,3,FALSE),"NULL")</f>
        <v>0</v>
      </c>
      <c r="H35" s="254">
        <f>vlookup(A35,'NM Data'!$A$3:$M$37,13,FALSE)</f>
        <v>106</v>
      </c>
      <c r="I35" s="255">
        <f>vlookup(A35,'NM Data'!$A$3:$M$37,7,FALSE)</f>
        <v>18</v>
      </c>
      <c r="J35" s="256" t="s">
        <v>63</v>
      </c>
      <c r="K35" s="253" t="s">
        <v>63</v>
      </c>
      <c r="L35" s="254" t="s">
        <v>63</v>
      </c>
      <c r="M35" s="255" t="s">
        <v>63</v>
      </c>
      <c r="N35" s="253" t="s">
        <v>63</v>
      </c>
      <c r="O35" s="253" t="s">
        <v>63</v>
      </c>
      <c r="P35" s="261">
        <f>ifna(vlookup(A35,'Population &amp; Church Numbers'!$A$1798:$D$1830,4,FALSE),"NULL")</f>
        <v>40</v>
      </c>
      <c r="Q35" s="262" t="s">
        <v>63</v>
      </c>
    </row>
    <row r="36">
      <c r="A36" s="217"/>
      <c r="B36" s="218"/>
      <c r="C36" s="219"/>
      <c r="D36" s="220"/>
      <c r="E36" s="220"/>
      <c r="F36" s="220"/>
      <c r="G36" s="220"/>
      <c r="H36" s="221"/>
      <c r="I36" s="222"/>
      <c r="J36" s="223"/>
      <c r="K36" s="219"/>
      <c r="L36" s="224"/>
      <c r="M36" s="225"/>
      <c r="N36" s="226"/>
      <c r="O36" s="220"/>
      <c r="P36" s="221"/>
      <c r="Q36" s="295"/>
    </row>
    <row r="37">
      <c r="A37" s="228" t="s">
        <v>2</v>
      </c>
      <c r="B37" s="229"/>
      <c r="C37" s="230">
        <f>'NM Data'!B77</f>
        <v>1942</v>
      </c>
      <c r="D37" s="311" t="s">
        <v>63</v>
      </c>
      <c r="E37" s="311" t="s">
        <v>63</v>
      </c>
      <c r="F37" s="311">
        <f>'NM Data'!B37</f>
        <v>894</v>
      </c>
      <c r="G37" s="311">
        <f>'NM Data'!C37</f>
        <v>37</v>
      </c>
      <c r="H37" s="359">
        <f>'NM Data'!M37</f>
        <v>1516</v>
      </c>
      <c r="I37" s="360">
        <f>'NM Data'!G37</f>
        <v>616</v>
      </c>
      <c r="J37" s="305" t="s">
        <v>63</v>
      </c>
      <c r="K37" s="708" t="s">
        <v>63</v>
      </c>
      <c r="L37" s="309" t="s">
        <v>63</v>
      </c>
      <c r="M37" s="360" t="s">
        <v>63</v>
      </c>
      <c r="N37" s="311" t="s">
        <v>63</v>
      </c>
      <c r="O37" s="1091" t="s">
        <v>63</v>
      </c>
      <c r="P37" s="233">
        <f>SUM(P3:P35)</f>
        <v>1284</v>
      </c>
      <c r="Q37" s="1092" t="s">
        <v>63</v>
      </c>
    </row>
  </sheetData>
  <autoFilter ref="$A$2:$Q$35"/>
  <mergeCells count="1">
    <mergeCell ref="B1:Q1"/>
  </mergeCells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75" t="s">
        <v>3752</v>
      </c>
      <c r="B1" s="276"/>
      <c r="C1" s="276"/>
      <c r="D1" s="276"/>
      <c r="E1" s="275" t="s">
        <v>765</v>
      </c>
      <c r="F1" s="275" t="s">
        <v>3753</v>
      </c>
      <c r="G1" s="276"/>
      <c r="H1" s="276"/>
      <c r="I1" s="275" t="s">
        <v>767</v>
      </c>
      <c r="J1" s="277">
        <v>45456.0</v>
      </c>
      <c r="K1" s="275" t="s">
        <v>769</v>
      </c>
      <c r="L1" s="277">
        <v>45291.0</v>
      </c>
      <c r="M1" s="276"/>
    </row>
    <row r="2">
      <c r="A2" s="670"/>
    </row>
    <row r="3">
      <c r="A3" s="1107" t="s">
        <v>172</v>
      </c>
      <c r="B3" s="1108" t="s">
        <v>3754</v>
      </c>
      <c r="C3" s="1108" t="s">
        <v>3755</v>
      </c>
      <c r="D3" s="1109" t="s">
        <v>3756</v>
      </c>
      <c r="E3" s="1109" t="s">
        <v>3757</v>
      </c>
      <c r="F3" s="1109" t="s">
        <v>3758</v>
      </c>
      <c r="G3" s="1109" t="s">
        <v>3759</v>
      </c>
      <c r="H3" s="1109" t="s">
        <v>3760</v>
      </c>
      <c r="I3" s="1109" t="s">
        <v>3761</v>
      </c>
      <c r="J3" s="1109" t="s">
        <v>3762</v>
      </c>
      <c r="K3" s="1109" t="s">
        <v>3763</v>
      </c>
      <c r="L3" s="571"/>
      <c r="M3" s="1109" t="s">
        <v>3764</v>
      </c>
      <c r="N3" s="571"/>
      <c r="O3" s="571"/>
      <c r="P3" s="571"/>
      <c r="Q3" s="571"/>
      <c r="R3" s="571"/>
      <c r="S3" s="571"/>
      <c r="T3" s="571"/>
      <c r="U3" s="571"/>
      <c r="V3" s="571"/>
      <c r="W3" s="571"/>
      <c r="X3" s="571"/>
      <c r="Y3" s="571"/>
      <c r="Z3" s="571"/>
    </row>
    <row r="4">
      <c r="A4" s="1063" t="s">
        <v>577</v>
      </c>
      <c r="B4" s="1064">
        <v>297.0</v>
      </c>
      <c r="C4" s="1064">
        <v>26.0</v>
      </c>
      <c r="D4" s="206">
        <v>2.0</v>
      </c>
      <c r="E4" s="206">
        <v>272.0</v>
      </c>
      <c r="F4" s="206">
        <v>157.0</v>
      </c>
      <c r="G4" s="206">
        <v>176.0</v>
      </c>
      <c r="H4" s="206">
        <v>1.0</v>
      </c>
      <c r="I4" s="206">
        <v>165.0</v>
      </c>
      <c r="J4" s="206">
        <v>63.0</v>
      </c>
      <c r="K4" s="206">
        <v>46.0</v>
      </c>
      <c r="M4" s="322">
        <f t="shared" ref="M4:M37" si="1">sum(E4+F4)</f>
        <v>429</v>
      </c>
    </row>
    <row r="5">
      <c r="A5" s="1063" t="s">
        <v>1532</v>
      </c>
      <c r="B5" s="1064">
        <v>0.0</v>
      </c>
      <c r="C5" s="1064">
        <v>0.0</v>
      </c>
      <c r="D5" s="206">
        <v>0.0</v>
      </c>
      <c r="E5" s="206">
        <v>0.0</v>
      </c>
      <c r="F5" s="206">
        <v>0.0</v>
      </c>
      <c r="G5" s="206">
        <v>0.0</v>
      </c>
      <c r="H5" s="206">
        <v>0.0</v>
      </c>
      <c r="I5" s="206">
        <v>0.0</v>
      </c>
      <c r="J5" s="206">
        <v>0.0</v>
      </c>
      <c r="K5" s="206">
        <v>0.0</v>
      </c>
      <c r="M5" s="322">
        <f t="shared" si="1"/>
        <v>0</v>
      </c>
    </row>
    <row r="6">
      <c r="A6" s="1063" t="s">
        <v>1533</v>
      </c>
      <c r="B6" s="1064">
        <v>42.0</v>
      </c>
      <c r="C6" s="1064">
        <v>3.0</v>
      </c>
      <c r="D6" s="206">
        <v>3.0</v>
      </c>
      <c r="E6" s="206">
        <v>41.0</v>
      </c>
      <c r="F6" s="206">
        <v>23.0</v>
      </c>
      <c r="G6" s="206">
        <v>46.0</v>
      </c>
      <c r="H6" s="206">
        <v>1.0</v>
      </c>
      <c r="I6" s="206">
        <v>36.0</v>
      </c>
      <c r="J6" s="206">
        <v>0.0</v>
      </c>
      <c r="K6" s="206">
        <v>34.0</v>
      </c>
      <c r="M6" s="322">
        <f t="shared" si="1"/>
        <v>64</v>
      </c>
    </row>
    <row r="7">
      <c r="A7" s="1063" t="s">
        <v>1534</v>
      </c>
      <c r="B7" s="1064">
        <v>20.0</v>
      </c>
      <c r="C7" s="1064">
        <v>0.0</v>
      </c>
      <c r="D7" s="206">
        <v>3.0</v>
      </c>
      <c r="E7" s="206">
        <v>17.0</v>
      </c>
      <c r="F7" s="206">
        <v>10.0</v>
      </c>
      <c r="G7" s="206">
        <v>8.0</v>
      </c>
      <c r="H7" s="206">
        <v>0.0</v>
      </c>
      <c r="I7" s="206">
        <v>4.0</v>
      </c>
      <c r="J7" s="206">
        <v>5.0</v>
      </c>
      <c r="K7" s="206">
        <v>11.0</v>
      </c>
      <c r="M7" s="322">
        <f t="shared" si="1"/>
        <v>27</v>
      </c>
    </row>
    <row r="8">
      <c r="A8" s="1063" t="s">
        <v>1474</v>
      </c>
      <c r="B8" s="1064">
        <v>10.0</v>
      </c>
      <c r="C8" s="1064">
        <v>0.0</v>
      </c>
      <c r="D8" s="206">
        <v>3.0</v>
      </c>
      <c r="E8" s="206">
        <v>5.0</v>
      </c>
      <c r="F8" s="206">
        <v>4.0</v>
      </c>
      <c r="G8" s="206">
        <v>3.0</v>
      </c>
      <c r="H8" s="206">
        <v>0.0</v>
      </c>
      <c r="I8" s="206">
        <v>7.0</v>
      </c>
      <c r="J8" s="206">
        <v>1.0</v>
      </c>
      <c r="K8" s="206">
        <v>1.0</v>
      </c>
      <c r="M8" s="322">
        <f t="shared" si="1"/>
        <v>9</v>
      </c>
    </row>
    <row r="9">
      <c r="A9" s="1063" t="s">
        <v>1535</v>
      </c>
      <c r="B9" s="1064">
        <v>39.0</v>
      </c>
      <c r="C9" s="1064">
        <v>2.0</v>
      </c>
      <c r="D9" s="206">
        <v>2.0</v>
      </c>
      <c r="E9" s="206">
        <v>32.0</v>
      </c>
      <c r="F9" s="206">
        <v>17.0</v>
      </c>
      <c r="G9" s="206">
        <v>34.0</v>
      </c>
      <c r="H9" s="206">
        <v>1.0</v>
      </c>
      <c r="I9" s="206">
        <v>12.0</v>
      </c>
      <c r="J9" s="206">
        <v>1.0</v>
      </c>
      <c r="K9" s="206">
        <v>7.0</v>
      </c>
      <c r="M9" s="322">
        <f t="shared" si="1"/>
        <v>49</v>
      </c>
    </row>
    <row r="10">
      <c r="A10" s="1063" t="s">
        <v>1536</v>
      </c>
      <c r="B10" s="1064">
        <v>0.0</v>
      </c>
      <c r="C10" s="1064">
        <v>0.0</v>
      </c>
      <c r="D10" s="206">
        <v>0.0</v>
      </c>
      <c r="E10" s="206">
        <v>0.0</v>
      </c>
      <c r="F10" s="206">
        <v>0.0</v>
      </c>
      <c r="G10" s="206">
        <v>3.0</v>
      </c>
      <c r="H10" s="206">
        <v>0.0</v>
      </c>
      <c r="I10" s="206">
        <v>4.0</v>
      </c>
      <c r="J10" s="206">
        <v>0.0</v>
      </c>
      <c r="K10" s="206">
        <v>0.0</v>
      </c>
      <c r="M10" s="322">
        <f t="shared" si="1"/>
        <v>0</v>
      </c>
    </row>
    <row r="11">
      <c r="A11" s="1063" t="s">
        <v>1537</v>
      </c>
      <c r="B11" s="1064">
        <v>72.0</v>
      </c>
      <c r="C11" s="1064">
        <v>0.0</v>
      </c>
      <c r="D11" s="206">
        <v>2.0</v>
      </c>
      <c r="E11" s="206">
        <v>101.0</v>
      </c>
      <c r="F11" s="206">
        <v>46.0</v>
      </c>
      <c r="G11" s="206">
        <v>66.0</v>
      </c>
      <c r="H11" s="206">
        <v>1.0</v>
      </c>
      <c r="I11" s="206">
        <v>77.0</v>
      </c>
      <c r="J11" s="206">
        <v>18.0</v>
      </c>
      <c r="K11" s="206">
        <v>30.0</v>
      </c>
      <c r="M11" s="322">
        <f t="shared" si="1"/>
        <v>147</v>
      </c>
    </row>
    <row r="12">
      <c r="A12" s="1063" t="s">
        <v>1538</v>
      </c>
      <c r="B12" s="1064">
        <v>90.0</v>
      </c>
      <c r="C12" s="1064">
        <v>3.0</v>
      </c>
      <c r="D12" s="206">
        <v>2.0</v>
      </c>
      <c r="E12" s="206">
        <v>56.0</v>
      </c>
      <c r="F12" s="206">
        <v>40.0</v>
      </c>
      <c r="G12" s="206">
        <v>45.0</v>
      </c>
      <c r="H12" s="206">
        <v>1.0</v>
      </c>
      <c r="I12" s="206">
        <v>31.0</v>
      </c>
      <c r="J12" s="206">
        <v>0.0</v>
      </c>
      <c r="K12" s="206">
        <v>0.0</v>
      </c>
      <c r="M12" s="322">
        <f t="shared" si="1"/>
        <v>96</v>
      </c>
    </row>
    <row r="13">
      <c r="A13" s="1063" t="s">
        <v>278</v>
      </c>
      <c r="B13" s="1064">
        <v>11.0</v>
      </c>
      <c r="C13" s="1064">
        <v>0.0</v>
      </c>
      <c r="D13" s="206">
        <v>3.0</v>
      </c>
      <c r="E13" s="206">
        <v>11.0</v>
      </c>
      <c r="F13" s="206">
        <v>6.0</v>
      </c>
      <c r="G13" s="206">
        <v>7.0</v>
      </c>
      <c r="H13" s="206">
        <v>0.0</v>
      </c>
      <c r="I13" s="206">
        <v>20.0</v>
      </c>
      <c r="J13" s="206">
        <v>0.0</v>
      </c>
      <c r="K13" s="206">
        <v>9.0</v>
      </c>
      <c r="M13" s="322">
        <f t="shared" si="1"/>
        <v>17</v>
      </c>
    </row>
    <row r="14">
      <c r="A14" s="1063" t="s">
        <v>1539</v>
      </c>
      <c r="B14" s="1064">
        <v>5.0</v>
      </c>
      <c r="C14" s="1064">
        <v>0.0</v>
      </c>
      <c r="D14" s="206">
        <v>4.0</v>
      </c>
      <c r="E14" s="206">
        <v>2.0</v>
      </c>
      <c r="F14" s="206">
        <v>1.0</v>
      </c>
      <c r="G14" s="206">
        <v>5.0</v>
      </c>
      <c r="H14" s="206">
        <v>0.0</v>
      </c>
      <c r="I14" s="206">
        <v>1.0</v>
      </c>
      <c r="J14" s="206">
        <v>0.0</v>
      </c>
      <c r="K14" s="206">
        <v>0.0</v>
      </c>
      <c r="M14" s="322">
        <f t="shared" si="1"/>
        <v>3</v>
      </c>
    </row>
    <row r="15">
      <c r="A15" s="1063" t="s">
        <v>1540</v>
      </c>
      <c r="B15" s="1064">
        <v>0.0</v>
      </c>
      <c r="C15" s="1064">
        <v>0.0</v>
      </c>
      <c r="D15" s="206">
        <v>2.0</v>
      </c>
      <c r="E15" s="206">
        <v>2.0</v>
      </c>
      <c r="F15" s="206">
        <v>0.0</v>
      </c>
      <c r="G15" s="206">
        <v>0.0</v>
      </c>
      <c r="H15" s="206">
        <v>0.0</v>
      </c>
      <c r="I15" s="206">
        <v>0.0</v>
      </c>
      <c r="J15" s="206">
        <v>0.0</v>
      </c>
      <c r="K15" s="206">
        <v>0.0</v>
      </c>
      <c r="M15" s="322">
        <f t="shared" si="1"/>
        <v>2</v>
      </c>
    </row>
    <row r="16">
      <c r="A16" s="1063" t="s">
        <v>480</v>
      </c>
      <c r="B16" s="1064">
        <v>0.0</v>
      </c>
      <c r="C16" s="1064">
        <v>0.0</v>
      </c>
      <c r="D16" s="206">
        <v>3.0</v>
      </c>
      <c r="E16" s="206">
        <v>2.0</v>
      </c>
      <c r="F16" s="206">
        <v>0.0</v>
      </c>
      <c r="G16" s="206">
        <v>0.0</v>
      </c>
      <c r="H16" s="206">
        <v>0.0</v>
      </c>
      <c r="I16" s="206">
        <v>4.0</v>
      </c>
      <c r="J16" s="206">
        <v>0.0</v>
      </c>
      <c r="K16" s="206">
        <v>0.0</v>
      </c>
      <c r="M16" s="322">
        <f t="shared" si="1"/>
        <v>2</v>
      </c>
    </row>
    <row r="17">
      <c r="A17" s="1063" t="s">
        <v>1541</v>
      </c>
      <c r="B17" s="1064">
        <v>41.0</v>
      </c>
      <c r="C17" s="1064">
        <v>1.0</v>
      </c>
      <c r="D17" s="206">
        <v>2.0</v>
      </c>
      <c r="E17" s="206">
        <v>49.0</v>
      </c>
      <c r="F17" s="206">
        <v>23.0</v>
      </c>
      <c r="G17" s="206">
        <v>46.0</v>
      </c>
      <c r="H17" s="206">
        <v>1.0</v>
      </c>
      <c r="I17" s="206">
        <v>11.0</v>
      </c>
      <c r="J17" s="206">
        <v>3.0</v>
      </c>
      <c r="K17" s="206">
        <v>77.0</v>
      </c>
      <c r="M17" s="322">
        <f t="shared" si="1"/>
        <v>72</v>
      </c>
    </row>
    <row r="18">
      <c r="A18" s="1063" t="s">
        <v>290</v>
      </c>
      <c r="B18" s="1064">
        <v>4.0</v>
      </c>
      <c r="C18" s="1064">
        <v>0.0</v>
      </c>
      <c r="D18" s="206">
        <v>2.0</v>
      </c>
      <c r="E18" s="206">
        <v>9.0</v>
      </c>
      <c r="F18" s="206">
        <v>6.0</v>
      </c>
      <c r="G18" s="206">
        <v>2.0</v>
      </c>
      <c r="H18" s="206">
        <v>0.0</v>
      </c>
      <c r="I18" s="206">
        <v>3.0</v>
      </c>
      <c r="J18" s="206">
        <v>2.0</v>
      </c>
      <c r="K18" s="206">
        <v>5.0</v>
      </c>
      <c r="M18" s="322">
        <f t="shared" si="1"/>
        <v>15</v>
      </c>
    </row>
    <row r="19">
      <c r="A19" s="1063" t="s">
        <v>1542</v>
      </c>
      <c r="B19" s="1064">
        <v>0.0</v>
      </c>
      <c r="C19" s="1064">
        <v>0.0</v>
      </c>
      <c r="D19" s="206">
        <v>2.0</v>
      </c>
      <c r="E19" s="206">
        <v>5.0</v>
      </c>
      <c r="F19" s="206">
        <v>2.0</v>
      </c>
      <c r="G19" s="206">
        <v>0.0</v>
      </c>
      <c r="H19" s="206">
        <v>0.0</v>
      </c>
      <c r="I19" s="206">
        <v>0.0</v>
      </c>
      <c r="J19" s="206">
        <v>0.0</v>
      </c>
      <c r="K19" s="206">
        <v>0.0</v>
      </c>
      <c r="M19" s="322">
        <f t="shared" si="1"/>
        <v>7</v>
      </c>
    </row>
    <row r="20">
      <c r="A20" s="1063" t="s">
        <v>1543</v>
      </c>
      <c r="B20" s="1064">
        <v>13.0</v>
      </c>
      <c r="C20" s="1064">
        <v>0.0</v>
      </c>
      <c r="D20" s="206">
        <v>3.0</v>
      </c>
      <c r="E20" s="206">
        <v>16.0</v>
      </c>
      <c r="F20" s="206">
        <v>8.0</v>
      </c>
      <c r="G20" s="206">
        <v>10.0</v>
      </c>
      <c r="H20" s="206">
        <v>2.0</v>
      </c>
      <c r="I20" s="206">
        <v>6.0</v>
      </c>
      <c r="J20" s="206">
        <v>0.0</v>
      </c>
      <c r="K20" s="206">
        <v>4.0</v>
      </c>
      <c r="M20" s="322">
        <f t="shared" si="1"/>
        <v>24</v>
      </c>
    </row>
    <row r="21">
      <c r="A21" s="1063" t="s">
        <v>3765</v>
      </c>
      <c r="B21" s="1064">
        <v>18.0</v>
      </c>
      <c r="C21" s="1064">
        <v>0.0</v>
      </c>
      <c r="D21" s="206">
        <v>2.0</v>
      </c>
      <c r="E21" s="206">
        <v>31.0</v>
      </c>
      <c r="F21" s="206">
        <v>18.0</v>
      </c>
      <c r="G21" s="206">
        <v>9.0</v>
      </c>
      <c r="H21" s="206">
        <v>0.0</v>
      </c>
      <c r="I21" s="206">
        <v>21.0</v>
      </c>
      <c r="J21" s="206">
        <v>1.0</v>
      </c>
      <c r="K21" s="206">
        <v>16.0</v>
      </c>
      <c r="M21" s="322">
        <f t="shared" si="1"/>
        <v>49</v>
      </c>
    </row>
    <row r="22">
      <c r="A22" s="1063" t="s">
        <v>1545</v>
      </c>
      <c r="B22" s="1064">
        <v>2.0</v>
      </c>
      <c r="C22" s="1064">
        <v>0.0</v>
      </c>
      <c r="D22" s="206">
        <v>4.0</v>
      </c>
      <c r="E22" s="206">
        <v>1.0</v>
      </c>
      <c r="F22" s="206">
        <v>0.0</v>
      </c>
      <c r="G22" s="206">
        <v>3.0</v>
      </c>
      <c r="H22" s="206">
        <v>0.0</v>
      </c>
      <c r="I22" s="206">
        <v>1.0</v>
      </c>
      <c r="J22" s="206">
        <v>0.0</v>
      </c>
      <c r="K22" s="206">
        <v>0.0</v>
      </c>
      <c r="M22" s="322">
        <f t="shared" si="1"/>
        <v>1</v>
      </c>
    </row>
    <row r="23">
      <c r="A23" s="1063" t="s">
        <v>441</v>
      </c>
      <c r="B23" s="1064">
        <v>25.0</v>
      </c>
      <c r="C23" s="1064">
        <v>0.0</v>
      </c>
      <c r="D23" s="206">
        <v>2.0</v>
      </c>
      <c r="E23" s="206">
        <v>30.0</v>
      </c>
      <c r="F23" s="206">
        <v>20.0</v>
      </c>
      <c r="G23" s="206">
        <v>21.0</v>
      </c>
      <c r="H23" s="206">
        <v>0.0</v>
      </c>
      <c r="I23" s="206">
        <v>20.0</v>
      </c>
      <c r="J23" s="206">
        <v>1.0</v>
      </c>
      <c r="K23" s="206">
        <v>21.0</v>
      </c>
      <c r="M23" s="322">
        <f t="shared" si="1"/>
        <v>50</v>
      </c>
    </row>
    <row r="24">
      <c r="A24" s="1063" t="s">
        <v>1546</v>
      </c>
      <c r="B24" s="1064">
        <v>5.0</v>
      </c>
      <c r="C24" s="1064">
        <v>0.0</v>
      </c>
      <c r="D24" s="206">
        <v>1.0</v>
      </c>
      <c r="E24" s="206">
        <v>7.0</v>
      </c>
      <c r="F24" s="206">
        <v>4.0</v>
      </c>
      <c r="G24" s="206">
        <v>0.0</v>
      </c>
      <c r="H24" s="206">
        <v>0.0</v>
      </c>
      <c r="I24" s="206">
        <v>12.0</v>
      </c>
      <c r="J24" s="206">
        <v>0.0</v>
      </c>
      <c r="K24" s="206">
        <v>6.0</v>
      </c>
      <c r="M24" s="322">
        <f t="shared" si="1"/>
        <v>11</v>
      </c>
    </row>
    <row r="25">
      <c r="A25" s="1063" t="s">
        <v>1547</v>
      </c>
      <c r="B25" s="1064">
        <v>7.0</v>
      </c>
      <c r="C25" s="1064">
        <v>0.0</v>
      </c>
      <c r="D25" s="206">
        <v>3.0</v>
      </c>
      <c r="E25" s="206">
        <v>12.0</v>
      </c>
      <c r="F25" s="206">
        <v>7.0</v>
      </c>
      <c r="G25" s="206">
        <v>11.0</v>
      </c>
      <c r="H25" s="206">
        <v>0.0</v>
      </c>
      <c r="I25" s="206">
        <v>4.0</v>
      </c>
      <c r="J25" s="206">
        <v>0.0</v>
      </c>
      <c r="K25" s="206">
        <v>6.0</v>
      </c>
      <c r="M25" s="322">
        <f t="shared" si="1"/>
        <v>19</v>
      </c>
    </row>
    <row r="26">
      <c r="A26" s="1063" t="s">
        <v>1456</v>
      </c>
      <c r="B26" s="1064">
        <v>5.0</v>
      </c>
      <c r="C26" s="1064">
        <v>0.0</v>
      </c>
      <c r="D26" s="206">
        <v>1.0</v>
      </c>
      <c r="E26" s="206">
        <v>8.0</v>
      </c>
      <c r="F26" s="206">
        <v>5.0</v>
      </c>
      <c r="G26" s="358"/>
      <c r="H26" s="206">
        <v>0.0</v>
      </c>
      <c r="I26" s="206">
        <v>6.0</v>
      </c>
      <c r="J26" s="206">
        <v>1.0</v>
      </c>
      <c r="K26" s="206">
        <v>3.0</v>
      </c>
      <c r="M26" s="322">
        <f t="shared" si="1"/>
        <v>13</v>
      </c>
    </row>
    <row r="27">
      <c r="A27" s="1063" t="s">
        <v>457</v>
      </c>
      <c r="B27" s="1064">
        <v>33.0</v>
      </c>
      <c r="C27" s="1064">
        <v>0.0</v>
      </c>
      <c r="D27" s="206">
        <v>3.0</v>
      </c>
      <c r="E27" s="206">
        <v>50.0</v>
      </c>
      <c r="F27" s="206">
        <v>28.0</v>
      </c>
      <c r="G27" s="206">
        <v>24.0</v>
      </c>
      <c r="H27" s="206">
        <v>2.0</v>
      </c>
      <c r="I27" s="206">
        <v>22.0</v>
      </c>
      <c r="J27" s="206">
        <v>4.0</v>
      </c>
      <c r="K27" s="206">
        <v>52.0</v>
      </c>
      <c r="M27" s="322">
        <f t="shared" si="1"/>
        <v>78</v>
      </c>
    </row>
    <row r="28">
      <c r="A28" s="1063" t="s">
        <v>458</v>
      </c>
      <c r="B28" s="1064">
        <v>38.0</v>
      </c>
      <c r="C28" s="1064">
        <v>1.0</v>
      </c>
      <c r="D28" s="206">
        <v>2.0</v>
      </c>
      <c r="E28" s="206">
        <v>29.0</v>
      </c>
      <c r="F28" s="206">
        <v>20.0</v>
      </c>
      <c r="G28" s="206">
        <v>39.0</v>
      </c>
      <c r="H28" s="206">
        <v>0.0</v>
      </c>
      <c r="I28" s="206">
        <v>14.0</v>
      </c>
      <c r="J28" s="206">
        <v>0.0</v>
      </c>
      <c r="K28" s="206">
        <v>5.0</v>
      </c>
      <c r="M28" s="322">
        <f t="shared" si="1"/>
        <v>49</v>
      </c>
    </row>
    <row r="29">
      <c r="A29" s="1063" t="s">
        <v>1548</v>
      </c>
      <c r="B29" s="1064">
        <v>12.0</v>
      </c>
      <c r="C29" s="1064">
        <v>0.0</v>
      </c>
      <c r="D29" s="206">
        <v>3.0</v>
      </c>
      <c r="E29" s="206">
        <v>35.0</v>
      </c>
      <c r="F29" s="206">
        <v>18.0</v>
      </c>
      <c r="G29" s="206">
        <v>3.0</v>
      </c>
      <c r="H29" s="206">
        <v>0.0</v>
      </c>
      <c r="I29" s="206">
        <v>8.0</v>
      </c>
      <c r="J29" s="206">
        <v>6.0</v>
      </c>
      <c r="K29" s="206">
        <v>21.0</v>
      </c>
      <c r="M29" s="322">
        <f t="shared" si="1"/>
        <v>53</v>
      </c>
    </row>
    <row r="30">
      <c r="A30" s="1063" t="s">
        <v>1549</v>
      </c>
      <c r="B30" s="1064">
        <v>11.0</v>
      </c>
      <c r="C30" s="1064">
        <v>0.0</v>
      </c>
      <c r="D30" s="206">
        <v>2.0</v>
      </c>
      <c r="E30" s="206">
        <v>36.0</v>
      </c>
      <c r="F30" s="206">
        <v>14.0</v>
      </c>
      <c r="G30" s="206">
        <v>11.0</v>
      </c>
      <c r="H30" s="206">
        <v>0.0</v>
      </c>
      <c r="I30" s="206">
        <v>11.0</v>
      </c>
      <c r="J30" s="206">
        <v>2.0</v>
      </c>
      <c r="K30" s="206">
        <v>14.0</v>
      </c>
      <c r="M30" s="322">
        <f t="shared" si="1"/>
        <v>50</v>
      </c>
    </row>
    <row r="31">
      <c r="A31" s="1063" t="s">
        <v>365</v>
      </c>
      <c r="B31" s="1064">
        <v>0.0</v>
      </c>
      <c r="C31" s="1064">
        <v>0.0</v>
      </c>
      <c r="D31" s="206">
        <v>3.0</v>
      </c>
      <c r="E31" s="206">
        <v>7.0</v>
      </c>
      <c r="F31" s="206">
        <v>5.0</v>
      </c>
      <c r="G31" s="206">
        <v>0.0</v>
      </c>
      <c r="H31" s="206">
        <v>0.0</v>
      </c>
      <c r="I31" s="206">
        <v>1.0</v>
      </c>
      <c r="J31" s="206">
        <v>0.0</v>
      </c>
      <c r="K31" s="206">
        <v>1.0</v>
      </c>
      <c r="M31" s="322">
        <f t="shared" si="1"/>
        <v>12</v>
      </c>
    </row>
    <row r="32">
      <c r="A32" s="1063" t="s">
        <v>1550</v>
      </c>
      <c r="B32" s="1064">
        <v>2.0</v>
      </c>
      <c r="C32" s="1064">
        <v>0.0</v>
      </c>
      <c r="D32" s="206">
        <v>3.0</v>
      </c>
      <c r="E32" s="206">
        <v>12.0</v>
      </c>
      <c r="F32" s="206">
        <v>6.0</v>
      </c>
      <c r="G32" s="206">
        <v>1.0</v>
      </c>
      <c r="H32" s="206">
        <v>0.0</v>
      </c>
      <c r="I32" s="206">
        <v>3.0</v>
      </c>
      <c r="J32" s="206">
        <v>0.0</v>
      </c>
      <c r="K32" s="206">
        <v>19.0</v>
      </c>
      <c r="M32" s="322">
        <f t="shared" si="1"/>
        <v>18</v>
      </c>
    </row>
    <row r="33">
      <c r="A33" s="1063" t="s">
        <v>1551</v>
      </c>
      <c r="B33" s="1064">
        <v>31.0</v>
      </c>
      <c r="C33" s="1064">
        <v>1.0</v>
      </c>
      <c r="D33" s="206">
        <v>2.0</v>
      </c>
      <c r="E33" s="206">
        <v>19.0</v>
      </c>
      <c r="F33" s="206">
        <v>14.0</v>
      </c>
      <c r="G33" s="206">
        <v>19.0</v>
      </c>
      <c r="H33" s="206">
        <v>3.0</v>
      </c>
      <c r="I33" s="206">
        <v>12.0</v>
      </c>
      <c r="J33" s="206">
        <v>11.0</v>
      </c>
      <c r="K33" s="206">
        <v>3.0</v>
      </c>
      <c r="M33" s="322">
        <f t="shared" si="1"/>
        <v>33</v>
      </c>
    </row>
    <row r="34">
      <c r="A34" s="1063" t="s">
        <v>1552</v>
      </c>
      <c r="B34" s="1064">
        <v>7.0</v>
      </c>
      <c r="C34" s="1064">
        <v>0.0</v>
      </c>
      <c r="D34" s="206">
        <v>3.0</v>
      </c>
      <c r="E34" s="206">
        <v>9.0</v>
      </c>
      <c r="F34" s="206">
        <v>0.0</v>
      </c>
      <c r="G34" s="206">
        <v>6.0</v>
      </c>
      <c r="H34" s="206">
        <v>2.0</v>
      </c>
      <c r="I34" s="206">
        <v>10.0</v>
      </c>
      <c r="J34" s="206">
        <v>0.0</v>
      </c>
      <c r="K34" s="206">
        <v>31.0</v>
      </c>
      <c r="M34" s="322">
        <f t="shared" si="1"/>
        <v>9</v>
      </c>
    </row>
    <row r="35">
      <c r="A35" s="1063" t="s">
        <v>316</v>
      </c>
      <c r="B35" s="1064">
        <v>1.0</v>
      </c>
      <c r="C35" s="1064">
        <v>0.0</v>
      </c>
      <c r="D35" s="206">
        <v>2.0</v>
      </c>
      <c r="E35" s="206">
        <v>2.0</v>
      </c>
      <c r="F35" s="206">
        <v>0.0</v>
      </c>
      <c r="G35" s="206">
        <v>0.0</v>
      </c>
      <c r="H35" s="206">
        <v>0.0</v>
      </c>
      <c r="I35" s="206">
        <v>0.0</v>
      </c>
      <c r="J35" s="206">
        <v>0.0</v>
      </c>
      <c r="K35" s="206">
        <v>0.0</v>
      </c>
      <c r="M35" s="322">
        <f t="shared" si="1"/>
        <v>2</v>
      </c>
    </row>
    <row r="36">
      <c r="A36" s="1063" t="s">
        <v>1553</v>
      </c>
      <c r="B36" s="1064">
        <v>53.0</v>
      </c>
      <c r="C36" s="1064">
        <v>0.0</v>
      </c>
      <c r="D36" s="206">
        <v>2.0</v>
      </c>
      <c r="E36" s="206">
        <v>68.0</v>
      </c>
      <c r="F36" s="206">
        <v>38.0</v>
      </c>
      <c r="G36" s="206">
        <v>18.0</v>
      </c>
      <c r="H36" s="206">
        <v>0.0</v>
      </c>
      <c r="I36" s="206">
        <v>82.0</v>
      </c>
      <c r="J36" s="206">
        <v>1.0</v>
      </c>
      <c r="K36" s="206">
        <v>18.0</v>
      </c>
      <c r="M36" s="322">
        <f t="shared" si="1"/>
        <v>106</v>
      </c>
    </row>
    <row r="37">
      <c r="A37" s="1063" t="s">
        <v>91</v>
      </c>
      <c r="B37" s="1064">
        <v>894.0</v>
      </c>
      <c r="C37" s="1064">
        <v>37.0</v>
      </c>
      <c r="D37" s="206">
        <v>2.0</v>
      </c>
      <c r="E37" s="206">
        <v>976.0</v>
      </c>
      <c r="F37" s="206">
        <v>540.0</v>
      </c>
      <c r="G37" s="206">
        <v>616.0</v>
      </c>
      <c r="H37" s="206">
        <v>15.0</v>
      </c>
      <c r="I37" s="206">
        <v>608.0</v>
      </c>
      <c r="J37" s="206">
        <v>120.0</v>
      </c>
      <c r="K37" s="206">
        <v>440.0</v>
      </c>
      <c r="M37" s="322">
        <f t="shared" si="1"/>
        <v>1516</v>
      </c>
    </row>
    <row r="38">
      <c r="A38" s="1110"/>
      <c r="B38" s="947"/>
      <c r="C38" s="947"/>
      <c r="D38" s="1"/>
    </row>
    <row r="39">
      <c r="A39" s="1110"/>
      <c r="B39" s="947"/>
      <c r="C39" s="947"/>
      <c r="D39" s="1"/>
    </row>
    <row r="40">
      <c r="A40" s="275" t="s">
        <v>1040</v>
      </c>
      <c r="B40" s="276"/>
      <c r="C40" s="276"/>
      <c r="D40" s="276"/>
      <c r="E40" s="275" t="s">
        <v>765</v>
      </c>
      <c r="F40" s="275" t="s">
        <v>3753</v>
      </c>
      <c r="G40" s="276"/>
      <c r="H40" s="276"/>
      <c r="I40" s="275" t="s">
        <v>767</v>
      </c>
      <c r="J40" s="277">
        <v>45456.0</v>
      </c>
      <c r="K40" s="275" t="s">
        <v>769</v>
      </c>
      <c r="L40" s="277">
        <v>45107.0</v>
      </c>
      <c r="M40" s="276"/>
    </row>
    <row r="41">
      <c r="A41" s="1110"/>
      <c r="B41" s="947"/>
      <c r="C41" s="947"/>
      <c r="D41" s="1"/>
    </row>
    <row r="42">
      <c r="A42" s="1063"/>
      <c r="B42" s="1111" t="s">
        <v>3766</v>
      </c>
    </row>
    <row r="43">
      <c r="A43" s="1063" t="s">
        <v>1534</v>
      </c>
      <c r="B43" s="1064">
        <v>39.0</v>
      </c>
    </row>
    <row r="44">
      <c r="A44" s="1063" t="s">
        <v>3765</v>
      </c>
      <c r="B44" s="1064">
        <v>40.0</v>
      </c>
    </row>
    <row r="45">
      <c r="A45" s="1063" t="s">
        <v>457</v>
      </c>
      <c r="B45" s="1064">
        <v>70.0</v>
      </c>
    </row>
    <row r="46">
      <c r="A46" s="1063" t="s">
        <v>1548</v>
      </c>
      <c r="B46" s="1064">
        <v>25.0</v>
      </c>
    </row>
    <row r="47">
      <c r="A47" s="1063" t="s">
        <v>1552</v>
      </c>
      <c r="B47" s="1064">
        <v>22.0</v>
      </c>
    </row>
    <row r="48">
      <c r="A48" s="1063" t="s">
        <v>1553</v>
      </c>
      <c r="B48" s="1064">
        <v>104.0</v>
      </c>
    </row>
    <row r="49">
      <c r="A49" s="1063" t="s">
        <v>3767</v>
      </c>
      <c r="B49" s="1064">
        <v>300.0</v>
      </c>
    </row>
    <row r="50">
      <c r="A50" s="1063" t="s">
        <v>3768</v>
      </c>
      <c r="B50" s="1064">
        <v>13.0</v>
      </c>
    </row>
    <row r="51">
      <c r="A51" s="1063" t="s">
        <v>3769</v>
      </c>
      <c r="B51" s="1064">
        <v>94.0</v>
      </c>
    </row>
    <row r="52">
      <c r="A52" s="1063" t="s">
        <v>3770</v>
      </c>
      <c r="B52" s="1064">
        <v>35.0</v>
      </c>
    </row>
    <row r="53">
      <c r="A53" s="1063" t="s">
        <v>1549</v>
      </c>
      <c r="B53" s="1064">
        <v>34.0</v>
      </c>
    </row>
    <row r="54">
      <c r="A54" s="1063" t="s">
        <v>1551</v>
      </c>
      <c r="B54" s="1064">
        <v>60.0</v>
      </c>
    </row>
    <row r="55">
      <c r="A55" s="1063" t="s">
        <v>3771</v>
      </c>
      <c r="B55" s="1064">
        <v>236.0</v>
      </c>
    </row>
    <row r="56">
      <c r="A56" s="1063"/>
      <c r="B56" s="1064"/>
    </row>
    <row r="57">
      <c r="A57" s="1063"/>
      <c r="B57" s="1064"/>
    </row>
    <row r="58">
      <c r="A58" s="1063" t="s">
        <v>3772</v>
      </c>
      <c r="B58" s="1064">
        <v>0.0</v>
      </c>
    </row>
    <row r="59">
      <c r="A59" s="1063" t="s">
        <v>3773</v>
      </c>
      <c r="B59" s="1064">
        <v>584.0</v>
      </c>
    </row>
    <row r="60">
      <c r="A60" s="1063" t="s">
        <v>3774</v>
      </c>
      <c r="B60" s="1064">
        <v>0.0</v>
      </c>
    </row>
    <row r="61">
      <c r="A61" s="1063" t="s">
        <v>3775</v>
      </c>
      <c r="B61" s="1064">
        <v>584.0</v>
      </c>
    </row>
    <row r="62">
      <c r="A62" s="1063" t="s">
        <v>1533</v>
      </c>
      <c r="B62" s="1064">
        <v>143.0</v>
      </c>
    </row>
    <row r="63">
      <c r="A63" s="1063" t="s">
        <v>1535</v>
      </c>
      <c r="B63" s="1064">
        <v>97.0</v>
      </c>
    </row>
    <row r="64">
      <c r="A64" s="1063" t="s">
        <v>3776</v>
      </c>
      <c r="B64" s="1064">
        <v>21.0</v>
      </c>
    </row>
    <row r="65">
      <c r="A65" s="1063" t="s">
        <v>1538</v>
      </c>
      <c r="B65" s="1064">
        <v>133.0</v>
      </c>
    </row>
    <row r="66">
      <c r="A66" s="1063" t="s">
        <v>1541</v>
      </c>
      <c r="B66" s="1064">
        <v>120.0</v>
      </c>
    </row>
    <row r="67">
      <c r="A67" s="1063" t="s">
        <v>1456</v>
      </c>
      <c r="B67" s="1064">
        <v>12.0</v>
      </c>
    </row>
    <row r="68">
      <c r="A68" s="1063" t="s">
        <v>3777</v>
      </c>
      <c r="B68" s="1064">
        <v>526.0</v>
      </c>
    </row>
    <row r="69">
      <c r="A69" s="1063" t="s">
        <v>3778</v>
      </c>
      <c r="B69" s="1064">
        <v>170.0</v>
      </c>
    </row>
    <row r="70">
      <c r="A70" s="1063" t="s">
        <v>3779</v>
      </c>
      <c r="B70" s="1064">
        <v>25.0</v>
      </c>
    </row>
    <row r="71">
      <c r="A71" s="1063" t="s">
        <v>3780</v>
      </c>
      <c r="B71" s="1064">
        <v>21.0</v>
      </c>
    </row>
    <row r="72">
      <c r="A72" s="1063" t="s">
        <v>441</v>
      </c>
      <c r="B72" s="1064">
        <v>57.0</v>
      </c>
    </row>
    <row r="73">
      <c r="A73" s="1063" t="s">
        <v>365</v>
      </c>
      <c r="B73" s="1064">
        <v>0.0</v>
      </c>
    </row>
    <row r="74">
      <c r="A74" s="1063" t="s">
        <v>1550</v>
      </c>
      <c r="B74" s="1064">
        <v>8.0</v>
      </c>
    </row>
    <row r="75">
      <c r="A75" s="1063" t="s">
        <v>290</v>
      </c>
      <c r="B75" s="1064">
        <v>15.0</v>
      </c>
    </row>
    <row r="76">
      <c r="A76" s="348" t="s">
        <v>3781</v>
      </c>
      <c r="B76" s="206">
        <v>296.0</v>
      </c>
    </row>
    <row r="77">
      <c r="A77" s="204" t="s">
        <v>3782</v>
      </c>
      <c r="B77" s="206">
        <v>1942.0</v>
      </c>
    </row>
    <row r="79">
      <c r="A79" s="320" t="s">
        <v>577</v>
      </c>
      <c r="B79" s="322">
        <f>SUM(B58:B60)</f>
        <v>584</v>
      </c>
    </row>
  </sheetData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2" max="12" width="13.63"/>
  </cols>
  <sheetData>
    <row r="1">
      <c r="A1" s="167"/>
      <c r="B1" s="168" t="s">
        <v>94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</row>
    <row r="2">
      <c r="A2" s="169" t="s">
        <v>172</v>
      </c>
      <c r="B2" s="170" t="s">
        <v>174</v>
      </c>
      <c r="C2" s="171" t="s">
        <v>693</v>
      </c>
      <c r="D2" s="172" t="s">
        <v>694</v>
      </c>
      <c r="E2" s="172" t="s">
        <v>695</v>
      </c>
      <c r="F2" s="172" t="s">
        <v>179</v>
      </c>
      <c r="G2" s="172" t="s">
        <v>696</v>
      </c>
      <c r="H2" s="173" t="s">
        <v>697</v>
      </c>
      <c r="I2" s="174" t="s">
        <v>84</v>
      </c>
      <c r="J2" s="170" t="s">
        <v>698</v>
      </c>
      <c r="K2" s="175" t="s">
        <v>699</v>
      </c>
      <c r="L2" s="173" t="s">
        <v>89</v>
      </c>
      <c r="M2" s="176" t="s">
        <v>700</v>
      </c>
      <c r="N2" s="177" t="s">
        <v>701</v>
      </c>
      <c r="O2" s="177" t="s">
        <v>702</v>
      </c>
      <c r="P2" s="178" t="s">
        <v>90</v>
      </c>
      <c r="Q2" s="325" t="s">
        <v>703</v>
      </c>
    </row>
    <row r="3">
      <c r="A3" s="326" t="s">
        <v>1554</v>
      </c>
      <c r="B3" s="251">
        <f t="array" ref="B3">VLOOKUP($A3,NY_DEMO,2,FALSE)</f>
        <v>314848</v>
      </c>
      <c r="C3" s="327">
        <f>VLOOKUP(A3,'NY Data'!$A$9:$U$67,3,FALSE)</f>
        <v>211</v>
      </c>
      <c r="D3" s="1114">
        <f>VLOOKUP(A3,'NY Data'!$A$136:$C$194,3,FALSE)</f>
        <v>1.87012987</v>
      </c>
      <c r="E3" s="253">
        <f>VLOOKUP(A3,'NY Data'!$A$9:$U$67,4,FALSE)</f>
        <v>103</v>
      </c>
      <c r="F3" s="253">
        <f>VLOOKUP(A3,'NY Data'!$A$9:$U$67,6,FALSE)</f>
        <v>66</v>
      </c>
      <c r="G3" s="253" t="s">
        <v>63</v>
      </c>
      <c r="H3" s="254">
        <f>VLOOKUP(A3,'NY Data'!$A$136:$B$194,2,FALSE)</f>
        <v>154</v>
      </c>
      <c r="I3" s="255">
        <f>vlookup(A3,'NY Data'!$A$73:$C$132,2,FALSE)</f>
        <v>36</v>
      </c>
      <c r="J3" s="256" t="s">
        <v>63</v>
      </c>
      <c r="K3" s="776">
        <f>vlookup(A3,'NY Data'!$A$73:$C$132,3,FALSE)</f>
        <v>0.663</v>
      </c>
      <c r="L3" s="254" t="s">
        <v>63</v>
      </c>
      <c r="M3" s="258" t="s">
        <v>63</v>
      </c>
      <c r="N3" s="253" t="s">
        <v>63</v>
      </c>
      <c r="O3" s="253" t="s">
        <v>63</v>
      </c>
      <c r="P3" s="261">
        <f>ifna(vlookup(A3,'Population &amp; Church Numbers'!$A$1831:$D$1892,4,FALSE),"NULL")</f>
        <v>183</v>
      </c>
      <c r="Q3" s="262" t="s">
        <v>63</v>
      </c>
    </row>
    <row r="4">
      <c r="A4" s="188" t="s">
        <v>1197</v>
      </c>
      <c r="B4" s="189">
        <f t="array" ref="B4">VLOOKUP($A4,NY_DEMO,2,FALSE)</f>
        <v>46456</v>
      </c>
      <c r="C4" s="333">
        <f>VLOOKUP(A4,'NY Data'!$A$9:$U$67,3,FALSE)</f>
        <v>33</v>
      </c>
      <c r="D4" s="1115">
        <f>VLOOKUP(A4,'NY Data'!$A$136:$C$194,3,FALSE)</f>
        <v>2</v>
      </c>
      <c r="E4" s="265">
        <f>VLOOKUP(A4,'NY Data'!$A$9:$U$67,4,FALSE)</f>
        <v>14</v>
      </c>
      <c r="F4" s="265">
        <f>VLOOKUP(A4,'NY Data'!$A$9:$U$67,6,FALSE)</f>
        <v>17</v>
      </c>
      <c r="G4" s="265" t="s">
        <v>63</v>
      </c>
      <c r="H4" s="266">
        <f>VLOOKUP(A4,'NY Data'!$A$136:$B$194,2,FALSE)</f>
        <v>37</v>
      </c>
      <c r="I4" s="267">
        <f>vlookup(A4,'NY Data'!$A$73:$C$132,2,FALSE)</f>
        <v>3</v>
      </c>
      <c r="J4" s="268" t="s">
        <v>63</v>
      </c>
      <c r="K4" s="269">
        <f>vlookup(A4,'NY Data'!$A$73:$C$132,3,FALSE)</f>
        <v>0.625</v>
      </c>
      <c r="L4" s="266" t="s">
        <v>63</v>
      </c>
      <c r="M4" s="267" t="s">
        <v>63</v>
      </c>
      <c r="N4" s="265" t="s">
        <v>63</v>
      </c>
      <c r="O4" s="265" t="s">
        <v>63</v>
      </c>
      <c r="P4" s="272">
        <f>ifna(vlookup(A4,'Population &amp; Church Numbers'!$A$1831:$D$1892,4,FALSE),"NULL")</f>
        <v>62</v>
      </c>
      <c r="Q4" s="273" t="s">
        <v>63</v>
      </c>
    </row>
    <row r="5">
      <c r="A5" s="326" t="s">
        <v>314</v>
      </c>
      <c r="B5" s="251">
        <f t="array" ref="B5">VLOOKUP($A5,NY_DEMO,2,FALSE)</f>
        <v>1472654</v>
      </c>
      <c r="C5" s="252" t="s">
        <v>63</v>
      </c>
      <c r="D5" s="253" t="s">
        <v>63</v>
      </c>
      <c r="E5" s="253" t="s">
        <v>63</v>
      </c>
      <c r="F5" s="253" t="s">
        <v>63</v>
      </c>
      <c r="G5" s="253" t="s">
        <v>63</v>
      </c>
      <c r="H5" s="254" t="s">
        <v>63</v>
      </c>
      <c r="I5" s="255" t="s">
        <v>63</v>
      </c>
      <c r="J5" s="256" t="s">
        <v>63</v>
      </c>
      <c r="K5" s="274" t="s">
        <v>63</v>
      </c>
      <c r="L5" s="254" t="s">
        <v>63</v>
      </c>
      <c r="M5" s="255" t="s">
        <v>63</v>
      </c>
      <c r="N5" s="253" t="s">
        <v>63</v>
      </c>
      <c r="O5" s="253" t="s">
        <v>63</v>
      </c>
      <c r="P5" s="261">
        <f>ifna(vlookup(A5,'Population &amp; Church Numbers'!$A$1831:$D$1892,4,FALSE),"NULL")</f>
        <v>448</v>
      </c>
      <c r="Q5" s="262" t="s">
        <v>63</v>
      </c>
    </row>
    <row r="6">
      <c r="A6" s="188" t="s">
        <v>1555</v>
      </c>
      <c r="B6" s="189">
        <f t="array" ref="B6">VLOOKUP($A6,NY_DEMO,2,FALSE)</f>
        <v>198683</v>
      </c>
      <c r="C6" s="333">
        <f>VLOOKUP(A6,'NY Data'!$A$9:$U$67,3,FALSE)</f>
        <v>241</v>
      </c>
      <c r="D6" s="1115">
        <f>VLOOKUP(A6,'NY Data'!$A$136:$C$194,3,FALSE)</f>
        <v>2.073446328</v>
      </c>
      <c r="E6" s="265">
        <f>VLOOKUP(A6,'NY Data'!$A$9:$U$67,4,FALSE)</f>
        <v>107</v>
      </c>
      <c r="F6" s="265">
        <f>VLOOKUP(A6,'NY Data'!$A$9:$U$67,6,FALSE)</f>
        <v>88</v>
      </c>
      <c r="G6" s="265" t="s">
        <v>63</v>
      </c>
      <c r="H6" s="266">
        <f>VLOOKUP(A6,'NY Data'!$A$136:$B$194,2,FALSE)</f>
        <v>177</v>
      </c>
      <c r="I6" s="267">
        <f>vlookup(A6,'NY Data'!$A$73:$C$132,2,FALSE)</f>
        <v>65</v>
      </c>
      <c r="J6" s="268" t="s">
        <v>63</v>
      </c>
      <c r="K6" s="269">
        <f>vlookup(A6,'NY Data'!$A$73:$C$132,3,FALSE)</f>
        <v>0.521</v>
      </c>
      <c r="L6" s="266" t="s">
        <v>63</v>
      </c>
      <c r="M6" s="267" t="s">
        <v>63</v>
      </c>
      <c r="N6" s="265" t="s">
        <v>63</v>
      </c>
      <c r="O6" s="265" t="s">
        <v>63</v>
      </c>
      <c r="P6" s="272">
        <f>ifna(vlookup(A6,'Population &amp; Church Numbers'!$A$1831:$D$1892,4,FALSE),"NULL")</f>
        <v>162</v>
      </c>
      <c r="Q6" s="273" t="s">
        <v>63</v>
      </c>
    </row>
    <row r="7">
      <c r="A7" s="326" t="s">
        <v>1556</v>
      </c>
      <c r="B7" s="251">
        <f t="array" ref="B7">VLOOKUP($A7,NY_DEMO,2,FALSE)</f>
        <v>77042</v>
      </c>
      <c r="C7" s="327">
        <f>VLOOKUP(A7,'NY Data'!$A$9:$U$67,3,FALSE)</f>
        <v>85</v>
      </c>
      <c r="D7" s="1114">
        <f>VLOOKUP(A7,'NY Data'!$A$136:$C$194,3,FALSE)</f>
        <v>1.903846154</v>
      </c>
      <c r="E7" s="253">
        <f>VLOOKUP(A7,'NY Data'!$A$9:$U$67,4,FALSE)</f>
        <v>35</v>
      </c>
      <c r="F7" s="253">
        <f>VLOOKUP(A7,'NY Data'!$A$9:$U$67,6,FALSE)</f>
        <v>34</v>
      </c>
      <c r="G7" s="253" t="s">
        <v>63</v>
      </c>
      <c r="H7" s="254">
        <f>VLOOKUP(A7,'NY Data'!$A$136:$B$194,2,FALSE)</f>
        <v>52</v>
      </c>
      <c r="I7" s="255">
        <f>vlookup(A7,'NY Data'!$A$73:$C$132,2,FALSE)</f>
        <v>3</v>
      </c>
      <c r="J7" s="256" t="s">
        <v>63</v>
      </c>
      <c r="K7" s="776">
        <f>vlookup(A7,'NY Data'!$A$73:$C$132,3,FALSE)</f>
        <v>0.615</v>
      </c>
      <c r="L7" s="254" t="s">
        <v>63</v>
      </c>
      <c r="M7" s="255" t="s">
        <v>63</v>
      </c>
      <c r="N7" s="253" t="s">
        <v>63</v>
      </c>
      <c r="O7" s="253" t="s">
        <v>63</v>
      </c>
      <c r="P7" s="261">
        <f>ifna(vlookup(A7,'Population &amp; Church Numbers'!$A$1831:$D$1892,4,FALSE),"NULL")</f>
        <v>83</v>
      </c>
      <c r="Q7" s="262" t="s">
        <v>63</v>
      </c>
    </row>
    <row r="8">
      <c r="A8" s="188" t="s">
        <v>1557</v>
      </c>
      <c r="B8" s="189">
        <f t="array" ref="B8">VLOOKUP($A8,NY_DEMO,2,FALSE)</f>
        <v>76248</v>
      </c>
      <c r="C8" s="333">
        <f>VLOOKUP(A8,'NY Data'!$A$9:$U$67,3,FALSE)</f>
        <v>112</v>
      </c>
      <c r="D8" s="1115">
        <f>VLOOKUP(A8,'NY Data'!$A$136:$C$194,3,FALSE)</f>
        <v>2.191780822</v>
      </c>
      <c r="E8" s="265">
        <f>VLOOKUP(A8,'NY Data'!$A$9:$U$67,4,FALSE)</f>
        <v>60</v>
      </c>
      <c r="F8" s="265">
        <f>VLOOKUP(A8,'NY Data'!$A$9:$U$67,6,FALSE)</f>
        <v>28</v>
      </c>
      <c r="G8" s="265" t="s">
        <v>63</v>
      </c>
      <c r="H8" s="266">
        <f>VLOOKUP(A8,'NY Data'!$A$136:$B$194,2,FALSE)</f>
        <v>73</v>
      </c>
      <c r="I8" s="267">
        <f>vlookup(A8,'NY Data'!$A$73:$C$132,2,FALSE)</f>
        <v>21</v>
      </c>
      <c r="J8" s="268" t="s">
        <v>63</v>
      </c>
      <c r="K8" s="269">
        <f>vlookup(A8,'NY Data'!$A$73:$C$132,3,FALSE)</f>
        <v>0.608</v>
      </c>
      <c r="L8" s="266" t="s">
        <v>63</v>
      </c>
      <c r="M8" s="267" t="s">
        <v>63</v>
      </c>
      <c r="N8" s="265" t="s">
        <v>63</v>
      </c>
      <c r="O8" s="265" t="s">
        <v>63</v>
      </c>
      <c r="P8" s="272">
        <f>ifna(vlookup(A8,'Population &amp; Church Numbers'!$A$1831:$D$1892,4,FALSE),"NULL")</f>
        <v>58</v>
      </c>
      <c r="Q8" s="273" t="s">
        <v>63</v>
      </c>
    </row>
    <row r="9">
      <c r="A9" s="326" t="s">
        <v>961</v>
      </c>
      <c r="B9" s="251">
        <f t="array" ref="B9">VLOOKUP($A9,NY_DEMO,2,FALSE)</f>
        <v>127657</v>
      </c>
      <c r="C9" s="327">
        <f>VLOOKUP(A9,'NY Data'!$A$9:$U$67,3,FALSE)</f>
        <v>76</v>
      </c>
      <c r="D9" s="1114">
        <f>VLOOKUP(A9,'NY Data'!$A$136:$C$194,3,FALSE)</f>
        <v>1.786666667</v>
      </c>
      <c r="E9" s="253">
        <f>VLOOKUP(A9,'NY Data'!$A$9:$U$67,4,FALSE)</f>
        <v>34</v>
      </c>
      <c r="F9" s="253">
        <f>VLOOKUP(A9,'NY Data'!$A$9:$U$67,6,FALSE)</f>
        <v>31</v>
      </c>
      <c r="G9" s="253" t="s">
        <v>63</v>
      </c>
      <c r="H9" s="254">
        <f>VLOOKUP(A9,'NY Data'!$A$136:$B$194,2,FALSE)</f>
        <v>75</v>
      </c>
      <c r="I9" s="255">
        <f>vlookup(A9,'NY Data'!$A$73:$C$132,2,FALSE)</f>
        <v>19</v>
      </c>
      <c r="J9" s="256" t="s">
        <v>63</v>
      </c>
      <c r="K9" s="776">
        <f>vlookup(A9,'NY Data'!$A$73:$C$132,3,FALSE)</f>
        <v>0.315</v>
      </c>
      <c r="L9" s="254" t="s">
        <v>63</v>
      </c>
      <c r="M9" s="255" t="s">
        <v>63</v>
      </c>
      <c r="N9" s="253" t="s">
        <v>63</v>
      </c>
      <c r="O9" s="253" t="s">
        <v>63</v>
      </c>
      <c r="P9" s="261">
        <f>ifna(vlookup(A9,'Population &amp; Church Numbers'!$A$1831:$D$1892,4,FALSE),"NULL")</f>
        <v>160</v>
      </c>
      <c r="Q9" s="262" t="s">
        <v>63</v>
      </c>
    </row>
    <row r="10">
      <c r="A10" s="188" t="s">
        <v>1558</v>
      </c>
      <c r="B10" s="189">
        <f t="array" ref="B10">VLOOKUP($A10,NY_DEMO,2,FALSE)</f>
        <v>84148</v>
      </c>
      <c r="C10" s="333">
        <f>VLOOKUP(A10,'NY Data'!$A$9:$U$67,3,FALSE)</f>
        <v>17</v>
      </c>
      <c r="D10" s="1115">
        <f>VLOOKUP(A10,'NY Data'!$A$136:$C$194,3,FALSE)</f>
        <v>2.280701754</v>
      </c>
      <c r="E10" s="265">
        <f>VLOOKUP(A10,'NY Data'!$A$9:$U$67,4,FALSE)</f>
        <v>3</v>
      </c>
      <c r="F10" s="265">
        <f>VLOOKUP(A10,'NY Data'!$A$9:$U$67,6,FALSE)</f>
        <v>12</v>
      </c>
      <c r="G10" s="265" t="s">
        <v>63</v>
      </c>
      <c r="H10" s="266">
        <f>VLOOKUP(A10,'NY Data'!$A$136:$B$194,2,FALSE)</f>
        <v>57</v>
      </c>
      <c r="I10" s="267">
        <f>vlookup(A10,'NY Data'!$A$73:$C$132,2,FALSE)</f>
        <v>4</v>
      </c>
      <c r="J10" s="268" t="s">
        <v>63</v>
      </c>
      <c r="K10" s="269">
        <f>vlookup(A10,'NY Data'!$A$73:$C$132,3,FALSE)</f>
        <v>0.269</v>
      </c>
      <c r="L10" s="266" t="s">
        <v>63</v>
      </c>
      <c r="M10" s="267" t="s">
        <v>63</v>
      </c>
      <c r="N10" s="265" t="s">
        <v>63</v>
      </c>
      <c r="O10" s="265" t="s">
        <v>63</v>
      </c>
      <c r="P10" s="272">
        <f>ifna(vlookup(A10,'Population &amp; Church Numbers'!$A$1831:$D$1892,4,FALSE),"NULL")</f>
        <v>72</v>
      </c>
      <c r="Q10" s="273" t="s">
        <v>63</v>
      </c>
    </row>
    <row r="11">
      <c r="A11" s="326" t="s">
        <v>1559</v>
      </c>
      <c r="B11" s="251">
        <f t="array" ref="B11">VLOOKUP($A11,NY_DEMO,2,FALSE)</f>
        <v>47220</v>
      </c>
      <c r="C11" s="327">
        <f>VLOOKUP(A11,'NY Data'!$A$9:$U$67,3,FALSE)</f>
        <v>53</v>
      </c>
      <c r="D11" s="1114">
        <f>VLOOKUP(A11,'NY Data'!$A$136:$C$194,3,FALSE)</f>
        <v>2.079365079</v>
      </c>
      <c r="E11" s="253">
        <f>VLOOKUP(A11,'NY Data'!$A$9:$U$67,4,FALSE)</f>
        <v>22</v>
      </c>
      <c r="F11" s="253">
        <f>VLOOKUP(A11,'NY Data'!$A$9:$U$67,6,FALSE)</f>
        <v>20</v>
      </c>
      <c r="G11" s="253" t="s">
        <v>63</v>
      </c>
      <c r="H11" s="254">
        <f>VLOOKUP(A11,'NY Data'!$A$136:$B$194,2,FALSE)</f>
        <v>63</v>
      </c>
      <c r="I11" s="255">
        <f>vlookup(A11,'NY Data'!$A$73:$C$132,2,FALSE)</f>
        <v>12</v>
      </c>
      <c r="J11" s="256" t="s">
        <v>63</v>
      </c>
      <c r="K11" s="776">
        <f>vlookup(A11,'NY Data'!$A$73:$C$132,3,FALSE)</f>
        <v>0.333</v>
      </c>
      <c r="L11" s="254" t="s">
        <v>63</v>
      </c>
      <c r="M11" s="255" t="s">
        <v>63</v>
      </c>
      <c r="N11" s="253" t="s">
        <v>63</v>
      </c>
      <c r="O11" s="253" t="s">
        <v>63</v>
      </c>
      <c r="P11" s="261">
        <f>ifna(vlookup(A11,'Population &amp; Church Numbers'!$A$1831:$D$1892,4,FALSE),"NULL")</f>
        <v>66</v>
      </c>
      <c r="Q11" s="262" t="s">
        <v>63</v>
      </c>
    </row>
    <row r="12">
      <c r="A12" s="188" t="s">
        <v>711</v>
      </c>
      <c r="B12" s="189">
        <f t="array" ref="B12">VLOOKUP($A12,NY_DEMO,2,FALSE)</f>
        <v>79843</v>
      </c>
      <c r="C12" s="333">
        <f>VLOOKUP(A12,'NY Data'!$A$9:$U$67,3,FALSE)</f>
        <v>70</v>
      </c>
      <c r="D12" s="1115">
        <f>VLOOKUP(A12,'NY Data'!$A$136:$C$194,3,FALSE)</f>
        <v>2.070707071</v>
      </c>
      <c r="E12" s="265">
        <f>VLOOKUP(A12,'NY Data'!$A$9:$U$67,4,FALSE)</f>
        <v>29</v>
      </c>
      <c r="F12" s="265">
        <f>VLOOKUP(A12,'NY Data'!$A$9:$U$67,6,FALSE)</f>
        <v>31</v>
      </c>
      <c r="G12" s="265" t="s">
        <v>63</v>
      </c>
      <c r="H12" s="266">
        <f>VLOOKUP(A12,'NY Data'!$A$136:$B$194,2,FALSE)</f>
        <v>99</v>
      </c>
      <c r="I12" s="267">
        <f>vlookup(A12,'NY Data'!$A$73:$C$132,2,FALSE)</f>
        <v>19</v>
      </c>
      <c r="J12" s="268" t="s">
        <v>63</v>
      </c>
      <c r="K12" s="269">
        <f>vlookup(A12,'NY Data'!$A$73:$C$132,3,FALSE)</f>
        <v>0.455</v>
      </c>
      <c r="L12" s="266" t="s">
        <v>63</v>
      </c>
      <c r="M12" s="267" t="s">
        <v>63</v>
      </c>
      <c r="N12" s="265" t="s">
        <v>63</v>
      </c>
      <c r="O12" s="265" t="s">
        <v>63</v>
      </c>
      <c r="P12" s="272">
        <f>ifna(vlookup(A12,'Population &amp; Church Numbers'!$A$1831:$D$1892,4,FALSE),"NULL")</f>
        <v>53</v>
      </c>
      <c r="Q12" s="273" t="s">
        <v>63</v>
      </c>
    </row>
    <row r="13">
      <c r="A13" s="326" t="s">
        <v>258</v>
      </c>
      <c r="B13" s="251">
        <f t="array" ref="B13">VLOOKUP($A13,NY_DEMO,2,FALSE)</f>
        <v>61570</v>
      </c>
      <c r="C13" s="327">
        <f>VLOOKUP(A13,'NY Data'!$A$9:$U$67,3,FALSE)</f>
        <v>44</v>
      </c>
      <c r="D13" s="1114">
        <f>VLOOKUP(A13,'NY Data'!$A$136:$C$194,3,FALSE)</f>
        <v>2.095238095</v>
      </c>
      <c r="E13" s="253">
        <f>VLOOKUP(A13,'NY Data'!$A$9:$U$67,4,FALSE)</f>
        <v>20</v>
      </c>
      <c r="F13" s="253">
        <f>VLOOKUP(A13,'NY Data'!$A$9:$U$67,6,FALSE)</f>
        <v>5</v>
      </c>
      <c r="G13" s="253" t="s">
        <v>63</v>
      </c>
      <c r="H13" s="254">
        <f>VLOOKUP(A13,'NY Data'!$A$136:$B$194,2,FALSE)</f>
        <v>21</v>
      </c>
      <c r="I13" s="255">
        <f>vlookup(A13,'NY Data'!$A$73:$C$132,2,FALSE)</f>
        <v>8</v>
      </c>
      <c r="J13" s="256" t="s">
        <v>63</v>
      </c>
      <c r="K13" s="776">
        <f>vlookup(A13,'NY Data'!$A$73:$C$132,3,FALSE)</f>
        <v>0.583</v>
      </c>
      <c r="L13" s="254" t="s">
        <v>63</v>
      </c>
      <c r="M13" s="255" t="s">
        <v>63</v>
      </c>
      <c r="N13" s="253" t="s">
        <v>63</v>
      </c>
      <c r="O13" s="253" t="s">
        <v>63</v>
      </c>
      <c r="P13" s="261">
        <f>ifna(vlookup(A13,'Population &amp; Church Numbers'!$A$1831:$D$1892,4,FALSE),"NULL")</f>
        <v>49</v>
      </c>
      <c r="Q13" s="262" t="s">
        <v>63</v>
      </c>
    </row>
    <row r="14">
      <c r="A14" s="188" t="s">
        <v>1560</v>
      </c>
      <c r="B14" s="189">
        <f t="array" ref="B14">VLOOKUP($A14,NY_DEMO,2,FALSE)</f>
        <v>46809</v>
      </c>
      <c r="C14" s="333">
        <f>VLOOKUP(A14,'NY Data'!$A$9:$U$67,3,FALSE)</f>
        <v>73</v>
      </c>
      <c r="D14" s="1115">
        <f>VLOOKUP(A14,'NY Data'!$A$136:$C$194,3,FALSE)</f>
        <v>1.977777778</v>
      </c>
      <c r="E14" s="265">
        <f>VLOOKUP(A14,'NY Data'!$A$9:$U$67,4,FALSE)</f>
        <v>34</v>
      </c>
      <c r="F14" s="265">
        <f>VLOOKUP(A14,'NY Data'!$A$9:$U$67,6,FALSE)</f>
        <v>33</v>
      </c>
      <c r="G14" s="265" t="s">
        <v>63</v>
      </c>
      <c r="H14" s="266">
        <f>VLOOKUP(A14,'NY Data'!$A$136:$B$194,2,FALSE)</f>
        <v>45</v>
      </c>
      <c r="I14" s="267">
        <f>vlookup(A14,'NY Data'!$A$73:$C$132,2,FALSE)</f>
        <v>38</v>
      </c>
      <c r="J14" s="268" t="s">
        <v>63</v>
      </c>
      <c r="K14" s="269">
        <f>vlookup(A14,'NY Data'!$A$73:$C$132,3,FALSE)</f>
        <v>0.585</v>
      </c>
      <c r="L14" s="266" t="s">
        <v>63</v>
      </c>
      <c r="M14" s="267" t="s">
        <v>63</v>
      </c>
      <c r="N14" s="265" t="s">
        <v>63</v>
      </c>
      <c r="O14" s="265" t="s">
        <v>63</v>
      </c>
      <c r="P14" s="272">
        <f>ifna(vlookup(A14,'Population &amp; Church Numbers'!$A$1831:$D$1892,4,FALSE),"NULL")</f>
        <v>37</v>
      </c>
      <c r="Q14" s="273" t="s">
        <v>63</v>
      </c>
    </row>
    <row r="15">
      <c r="A15" s="326" t="s">
        <v>40</v>
      </c>
      <c r="B15" s="251">
        <f t="array" ref="B15">VLOOKUP($A15,NY_DEMO,2,FALSE)</f>
        <v>44308</v>
      </c>
      <c r="C15" s="327">
        <f>VLOOKUP(A15,'NY Data'!$A$9:$U$67,3,FALSE)</f>
        <v>81</v>
      </c>
      <c r="D15" s="1114">
        <f>VLOOKUP(A15,'NY Data'!$A$136:$C$194,3,FALSE)</f>
        <v>1.835820896</v>
      </c>
      <c r="E15" s="253">
        <f>VLOOKUP(A15,'NY Data'!$A$9:$U$67,4,FALSE)</f>
        <v>38</v>
      </c>
      <c r="F15" s="253">
        <f>VLOOKUP(A15,'NY Data'!$A$9:$U$67,6,FALSE)</f>
        <v>36</v>
      </c>
      <c r="G15" s="253" t="s">
        <v>63</v>
      </c>
      <c r="H15" s="254">
        <f>VLOOKUP(A15,'NY Data'!$A$136:$B$194,2,FALSE)</f>
        <v>67</v>
      </c>
      <c r="I15" s="255">
        <f>vlookup(A15,'NY Data'!$A$73:$C$132,2,FALSE)</f>
        <v>32</v>
      </c>
      <c r="J15" s="256" t="s">
        <v>63</v>
      </c>
      <c r="K15" s="776">
        <f>vlookup(A15,'NY Data'!$A$73:$C$132,3,FALSE)</f>
        <v>0.514</v>
      </c>
      <c r="L15" s="254" t="s">
        <v>63</v>
      </c>
      <c r="M15" s="255" t="s">
        <v>63</v>
      </c>
      <c r="N15" s="253" t="s">
        <v>63</v>
      </c>
      <c r="O15" s="253" t="s">
        <v>63</v>
      </c>
      <c r="P15" s="261">
        <f>ifna(vlookup(A15,'Population &amp; Church Numbers'!$A$1831:$D$1892,4,FALSE),"NULL")</f>
        <v>69</v>
      </c>
      <c r="Q15" s="262" t="s">
        <v>63</v>
      </c>
    </row>
    <row r="16">
      <c r="A16" s="188" t="s">
        <v>1561</v>
      </c>
      <c r="B16" s="189">
        <f t="array" ref="B16">VLOOKUP($A16,NY_DEMO,2,FALSE)</f>
        <v>295911</v>
      </c>
      <c r="C16" s="333">
        <f>VLOOKUP(A16,'NY Data'!$A$9:$U$67,3,FALSE)</f>
        <v>161</v>
      </c>
      <c r="D16" s="1115">
        <f>VLOOKUP(A16,'NY Data'!$A$136:$C$194,3,FALSE)</f>
        <v>1.83974359</v>
      </c>
      <c r="E16" s="265">
        <f>VLOOKUP(A16,'NY Data'!$A$9:$U$67,4,FALSE)</f>
        <v>66</v>
      </c>
      <c r="F16" s="265">
        <f>VLOOKUP(A16,'NY Data'!$A$9:$U$67,6,FALSE)</f>
        <v>75</v>
      </c>
      <c r="G16" s="265" t="s">
        <v>63</v>
      </c>
      <c r="H16" s="266">
        <f>VLOOKUP(A16,'NY Data'!$A$136:$B$194,2,FALSE)</f>
        <v>156</v>
      </c>
      <c r="I16" s="267">
        <f>vlookup(A16,'NY Data'!$A$73:$C$132,2,FALSE)</f>
        <v>31</v>
      </c>
      <c r="J16" s="268" t="s">
        <v>63</v>
      </c>
      <c r="K16" s="269">
        <f>vlookup(A16,'NY Data'!$A$73:$C$132,3,FALSE)</f>
        <v>0.519</v>
      </c>
      <c r="L16" s="266" t="s">
        <v>63</v>
      </c>
      <c r="M16" s="267" t="s">
        <v>63</v>
      </c>
      <c r="N16" s="265" t="s">
        <v>63</v>
      </c>
      <c r="O16" s="265" t="s">
        <v>63</v>
      </c>
      <c r="P16" s="272">
        <f>ifna(vlookup(A16,'Population &amp; Church Numbers'!$A$1831:$D$1892,4,FALSE),"NULL")</f>
        <v>158</v>
      </c>
      <c r="Q16" s="273" t="s">
        <v>63</v>
      </c>
    </row>
    <row r="17">
      <c r="A17" s="326" t="s">
        <v>464</v>
      </c>
      <c r="B17" s="251">
        <f t="array" ref="B17">VLOOKUP($A17,NY_DEMO,2,FALSE)</f>
        <v>954236</v>
      </c>
      <c r="C17" s="327">
        <f>VLOOKUP(A17,'NY Data'!$A$9:$U$67,3,FALSE)</f>
        <v>632</v>
      </c>
      <c r="D17" s="1114">
        <f>VLOOKUP(A17,'NY Data'!$A$136:$C$194,3,FALSE)</f>
        <v>1.826359833</v>
      </c>
      <c r="E17" s="253">
        <f>VLOOKUP(A17,'NY Data'!$A$9:$U$67,4,FALSE)</f>
        <v>257</v>
      </c>
      <c r="F17" s="253">
        <f>VLOOKUP(A17,'NY Data'!$A$9:$U$67,6,FALSE)</f>
        <v>256</v>
      </c>
      <c r="G17" s="253" t="s">
        <v>63</v>
      </c>
      <c r="H17" s="254">
        <f>VLOOKUP(A17,'NY Data'!$A$136:$B$194,2,FALSE)</f>
        <v>478</v>
      </c>
      <c r="I17" s="255">
        <f>vlookup(A17,'NY Data'!$A$73:$C$132,2,FALSE)</f>
        <v>165</v>
      </c>
      <c r="J17" s="256" t="s">
        <v>63</v>
      </c>
      <c r="K17" s="776">
        <f>vlookup(A17,'NY Data'!$A$73:$C$132,3,FALSE)</f>
        <v>0.448</v>
      </c>
      <c r="L17" s="254" t="s">
        <v>63</v>
      </c>
      <c r="M17" s="255" t="s">
        <v>63</v>
      </c>
      <c r="N17" s="253" t="s">
        <v>63</v>
      </c>
      <c r="O17" s="253" t="s">
        <v>63</v>
      </c>
      <c r="P17" s="261">
        <f>ifna(vlookup(A17,'Population &amp; Church Numbers'!$A$1831:$D$1892,4,FALSE),"NULL")</f>
        <v>523</v>
      </c>
      <c r="Q17" s="262" t="s">
        <v>63</v>
      </c>
    </row>
    <row r="18">
      <c r="A18" s="188" t="s">
        <v>516</v>
      </c>
      <c r="B18" s="189">
        <f t="array" ref="B18">VLOOKUP($A18,NY_DEMO,2,FALSE)</f>
        <v>37381</v>
      </c>
      <c r="C18" s="333">
        <f>VLOOKUP(A18,'NY Data'!$A$9:$U$67,3,FALSE)</f>
        <v>43</v>
      </c>
      <c r="D18" s="1115">
        <f>VLOOKUP(A18,'NY Data'!$A$136:$C$194,3,FALSE)</f>
        <v>2</v>
      </c>
      <c r="E18" s="265">
        <f>VLOOKUP(A18,'NY Data'!$A$9:$U$67,4,FALSE)</f>
        <v>23</v>
      </c>
      <c r="F18" s="265">
        <f>VLOOKUP(A18,'NY Data'!$A$9:$U$67,6,FALSE)</f>
        <v>11</v>
      </c>
      <c r="G18" s="265" t="s">
        <v>63</v>
      </c>
      <c r="H18" s="266">
        <f>VLOOKUP(A18,'NY Data'!$A$136:$B$194,2,FALSE)</f>
        <v>28</v>
      </c>
      <c r="I18" s="267">
        <f>vlookup(A18,'NY Data'!$A$73:$C$132,2,FALSE)</f>
        <v>14</v>
      </c>
      <c r="J18" s="268" t="s">
        <v>63</v>
      </c>
      <c r="K18" s="269">
        <f>vlookup(A18,'NY Data'!$A$73:$C$132,3,FALSE)</f>
        <v>0.417</v>
      </c>
      <c r="L18" s="266" t="s">
        <v>63</v>
      </c>
      <c r="M18" s="267" t="s">
        <v>63</v>
      </c>
      <c r="N18" s="265" t="s">
        <v>63</v>
      </c>
      <c r="O18" s="265" t="s">
        <v>63</v>
      </c>
      <c r="P18" s="272">
        <f>ifna(vlookup(A18,'Population &amp; Church Numbers'!$A$1831:$D$1892,4,FALSE),"NULL")</f>
        <v>47</v>
      </c>
      <c r="Q18" s="273" t="s">
        <v>63</v>
      </c>
    </row>
    <row r="19">
      <c r="A19" s="326" t="s">
        <v>136</v>
      </c>
      <c r="B19" s="251">
        <f t="array" ref="B19">VLOOKUP($A19,NY_DEMO,2,FALSE)</f>
        <v>47555</v>
      </c>
      <c r="C19" s="327">
        <f>VLOOKUP(A19,'NY Data'!$A$9:$U$67,3,FALSE)</f>
        <v>142</v>
      </c>
      <c r="D19" s="1114">
        <f>VLOOKUP(A19,'NY Data'!$A$136:$C$194,3,FALSE)</f>
        <v>2.471264368</v>
      </c>
      <c r="E19" s="253">
        <f>VLOOKUP(A19,'NY Data'!$A$9:$U$67,4,FALSE)</f>
        <v>57</v>
      </c>
      <c r="F19" s="253">
        <f>VLOOKUP(A19,'NY Data'!$A$9:$U$67,6,FALSE)</f>
        <v>61</v>
      </c>
      <c r="G19" s="253" t="s">
        <v>63</v>
      </c>
      <c r="H19" s="254">
        <f>VLOOKUP(A19,'NY Data'!$A$136:$B$194,2,FALSE)</f>
        <v>87</v>
      </c>
      <c r="I19" s="255">
        <f>vlookup(A19,'NY Data'!$A$73:$C$132,2,FALSE)</f>
        <v>10</v>
      </c>
      <c r="J19" s="256" t="s">
        <v>63</v>
      </c>
      <c r="K19" s="776">
        <f>vlookup(A19,'NY Data'!$A$73:$C$132,3,FALSE)</f>
        <v>0.558</v>
      </c>
      <c r="L19" s="254" t="s">
        <v>63</v>
      </c>
      <c r="M19" s="255" t="s">
        <v>63</v>
      </c>
      <c r="N19" s="253" t="s">
        <v>63</v>
      </c>
      <c r="O19" s="253" t="s">
        <v>63</v>
      </c>
      <c r="P19" s="261">
        <f>ifna(vlookup(A19,'Population &amp; Church Numbers'!$A$1831:$D$1892,4,FALSE),"NULL")</f>
        <v>45</v>
      </c>
      <c r="Q19" s="262" t="s">
        <v>63</v>
      </c>
    </row>
    <row r="20">
      <c r="A20" s="188" t="s">
        <v>275</v>
      </c>
      <c r="B20" s="189">
        <f t="array" ref="B20">VLOOKUP($A20,NY_DEMO,2,FALSE)</f>
        <v>53324</v>
      </c>
      <c r="C20" s="333">
        <f>VLOOKUP(A20,'NY Data'!$A$9:$U$67,3,FALSE)</f>
        <v>33</v>
      </c>
      <c r="D20" s="1115">
        <f>VLOOKUP(A20,'NY Data'!$A$136:$C$194,3,FALSE)</f>
        <v>2.341463415</v>
      </c>
      <c r="E20" s="265">
        <f>VLOOKUP(A20,'NY Data'!$A$9:$U$67,4,FALSE)</f>
        <v>13</v>
      </c>
      <c r="F20" s="265">
        <f>VLOOKUP(A20,'NY Data'!$A$9:$U$67,6,FALSE)</f>
        <v>13</v>
      </c>
      <c r="G20" s="265" t="s">
        <v>63</v>
      </c>
      <c r="H20" s="266">
        <f>VLOOKUP(A20,'NY Data'!$A$136:$B$194,2,FALSE)</f>
        <v>41</v>
      </c>
      <c r="I20" s="267">
        <f>vlookup(A20,'NY Data'!$A$73:$C$132,2,FALSE)</f>
        <v>9</v>
      </c>
      <c r="J20" s="268" t="s">
        <v>63</v>
      </c>
      <c r="K20" s="498">
        <f>vlookup(A20,'NY Data'!$A$73:$C$132,3,FALSE)</f>
        <v>0.8</v>
      </c>
      <c r="L20" s="266" t="s">
        <v>63</v>
      </c>
      <c r="M20" s="267" t="s">
        <v>63</v>
      </c>
      <c r="N20" s="265" t="s">
        <v>63</v>
      </c>
      <c r="O20" s="265" t="s">
        <v>63</v>
      </c>
      <c r="P20" s="272">
        <f>ifna(vlookup(A20,'Population &amp; Church Numbers'!$A$1831:$D$1892,4,FALSE),"NULL")</f>
        <v>50</v>
      </c>
      <c r="Q20" s="273" t="s">
        <v>63</v>
      </c>
    </row>
    <row r="21">
      <c r="A21" s="326" t="s">
        <v>1248</v>
      </c>
      <c r="B21" s="251">
        <f t="array" ref="B21">VLOOKUP($A21,NY_DEMO,2,FALSE)</f>
        <v>58388</v>
      </c>
      <c r="C21" s="327">
        <f>VLOOKUP(A21,'NY Data'!$A$9:$U$67,3,FALSE)</f>
        <v>38</v>
      </c>
      <c r="D21" s="1114">
        <f>VLOOKUP(A21,'NY Data'!$A$136:$C$194,3,FALSE)</f>
        <v>2.151515152</v>
      </c>
      <c r="E21" s="253">
        <f>VLOOKUP(A21,'NY Data'!$A$9:$U$67,4,FALSE)</f>
        <v>13</v>
      </c>
      <c r="F21" s="253">
        <f>VLOOKUP(A21,'NY Data'!$A$9:$U$67,6,FALSE)</f>
        <v>13</v>
      </c>
      <c r="G21" s="253" t="s">
        <v>63</v>
      </c>
      <c r="H21" s="254">
        <f>VLOOKUP(A21,'NY Data'!$A$136:$B$194,2,FALSE)</f>
        <v>33</v>
      </c>
      <c r="I21" s="255" t="str">
        <f>vlookup(A21,'NY Data'!$A$73:$C$132,2,FALSE)</f>
        <v>NULL</v>
      </c>
      <c r="J21" s="256" t="s">
        <v>63</v>
      </c>
      <c r="K21" s="274" t="str">
        <f>vlookup(A21,'NY Data'!$A$73:$C$132,3,FALSE)</f>
        <v>NULL</v>
      </c>
      <c r="L21" s="254" t="s">
        <v>63</v>
      </c>
      <c r="M21" s="255" t="s">
        <v>63</v>
      </c>
      <c r="N21" s="253" t="s">
        <v>63</v>
      </c>
      <c r="O21" s="253" t="s">
        <v>63</v>
      </c>
      <c r="P21" s="261">
        <f>ifna(vlookup(A21,'Population &amp; Church Numbers'!$A$1831:$D$1892,4,FALSE),"NULL")</f>
        <v>52</v>
      </c>
      <c r="Q21" s="262" t="s">
        <v>63</v>
      </c>
    </row>
    <row r="22">
      <c r="A22" s="188" t="s">
        <v>138</v>
      </c>
      <c r="B22" s="189">
        <f t="array" ref="B22">VLOOKUP($A22,NY_DEMO,2,FALSE)</f>
        <v>47931</v>
      </c>
      <c r="C22" s="333">
        <f>VLOOKUP(A22,'NY Data'!$A$9:$U$67,3,FALSE)</f>
        <v>44</v>
      </c>
      <c r="D22" s="1115">
        <f>VLOOKUP(A22,'NY Data'!$A$136:$C$194,3,FALSE)</f>
        <v>2.129032258</v>
      </c>
      <c r="E22" s="265">
        <f>VLOOKUP(A22,'NY Data'!$A$9:$U$67,4,FALSE)</f>
        <v>19</v>
      </c>
      <c r="F22" s="265">
        <f>VLOOKUP(A22,'NY Data'!$A$9:$U$67,6,FALSE)</f>
        <v>16</v>
      </c>
      <c r="G22" s="265" t="s">
        <v>63</v>
      </c>
      <c r="H22" s="266">
        <f>VLOOKUP(A22,'NY Data'!$A$136:$B$194,2,FALSE)</f>
        <v>31</v>
      </c>
      <c r="I22" s="267">
        <f>vlookup(A22,'NY Data'!$A$73:$C$132,2,FALSE)</f>
        <v>12</v>
      </c>
      <c r="J22" s="268" t="s">
        <v>63</v>
      </c>
      <c r="K22" s="269">
        <f>vlookup(A22,'NY Data'!$A$73:$C$132,3,FALSE)</f>
        <v>0.639</v>
      </c>
      <c r="L22" s="266" t="s">
        <v>63</v>
      </c>
      <c r="M22" s="267" t="s">
        <v>63</v>
      </c>
      <c r="N22" s="265" t="s">
        <v>63</v>
      </c>
      <c r="O22" s="265" t="s">
        <v>63</v>
      </c>
      <c r="P22" s="272">
        <f>ifna(vlookup(A22,'Population &amp; Church Numbers'!$A$1831:$D$1892,4,FALSE),"NULL")</f>
        <v>43</v>
      </c>
      <c r="Q22" s="273" t="s">
        <v>63</v>
      </c>
    </row>
    <row r="23">
      <c r="A23" s="326" t="s">
        <v>497</v>
      </c>
      <c r="B23" s="251">
        <f t="array" ref="B23">VLOOKUP($A23,NY_DEMO,2,FALSE)</f>
        <v>5107</v>
      </c>
      <c r="C23" s="327">
        <f>VLOOKUP(A23,'NY Data'!$A$9:$U$67,3,FALSE)</f>
        <v>1</v>
      </c>
      <c r="D23" s="1114">
        <f>VLOOKUP(A23,'NY Data'!$A$136:$C$194,3,FALSE)</f>
        <v>2</v>
      </c>
      <c r="E23" s="253">
        <f>VLOOKUP(A23,'NY Data'!$A$9:$U$67,4,FALSE)</f>
        <v>0</v>
      </c>
      <c r="F23" s="253">
        <f>VLOOKUP(A23,'NY Data'!$A$9:$U$67,6,FALSE)</f>
        <v>0</v>
      </c>
      <c r="G23" s="253" t="s">
        <v>63</v>
      </c>
      <c r="H23" s="254">
        <f>VLOOKUP(A23,'NY Data'!$A$136:$B$194,2,FALSE)</f>
        <v>2</v>
      </c>
      <c r="I23" s="255">
        <f>vlookup(A23,'NY Data'!$A$73:$C$132,2,FALSE)</f>
        <v>0</v>
      </c>
      <c r="J23" s="256" t="s">
        <v>63</v>
      </c>
      <c r="K23" s="274" t="str">
        <f>vlookup(A23,'NY Data'!$A$73:$C$132,3,FALSE)</f>
        <v>NULL</v>
      </c>
      <c r="L23" s="254" t="s">
        <v>63</v>
      </c>
      <c r="M23" s="255" t="s">
        <v>63</v>
      </c>
      <c r="N23" s="253" t="s">
        <v>63</v>
      </c>
      <c r="O23" s="253" t="s">
        <v>63</v>
      </c>
      <c r="P23" s="261">
        <f>ifna(vlookup(A23,'Population &amp; Church Numbers'!$A$1831:$D$1892,4,FALSE),"NULL")</f>
        <v>15</v>
      </c>
      <c r="Q23" s="262" t="s">
        <v>63</v>
      </c>
    </row>
    <row r="24">
      <c r="A24" s="188" t="s">
        <v>1562</v>
      </c>
      <c r="B24" s="189">
        <f t="array" ref="B24">VLOOKUP($A24,NY_DEMO,2,FALSE)</f>
        <v>60139</v>
      </c>
      <c r="C24" s="333">
        <f>VLOOKUP(A24,'NY Data'!$A$9:$U$67,3,FALSE)</f>
        <v>73</v>
      </c>
      <c r="D24" s="1115">
        <f>VLOOKUP(A24,'NY Data'!$A$136:$C$194,3,FALSE)</f>
        <v>2.362068966</v>
      </c>
      <c r="E24" s="265">
        <f>VLOOKUP(A24,'NY Data'!$A$9:$U$67,4,FALSE)</f>
        <v>28</v>
      </c>
      <c r="F24" s="265">
        <f>VLOOKUP(A24,'NY Data'!$A$9:$U$67,6,FALSE)</f>
        <v>26</v>
      </c>
      <c r="G24" s="265" t="s">
        <v>63</v>
      </c>
      <c r="H24" s="266">
        <f>VLOOKUP(A24,'NY Data'!$A$136:$B$194,2,FALSE)</f>
        <v>58</v>
      </c>
      <c r="I24" s="267">
        <f>vlookup(A24,'NY Data'!$A$73:$C$132,2,FALSE)</f>
        <v>11</v>
      </c>
      <c r="J24" s="268" t="s">
        <v>63</v>
      </c>
      <c r="K24" s="269">
        <f>vlookup(A24,'NY Data'!$A$73:$C$132,3,FALSE)</f>
        <v>0.468</v>
      </c>
      <c r="L24" s="266" t="s">
        <v>63</v>
      </c>
      <c r="M24" s="267" t="s">
        <v>63</v>
      </c>
      <c r="N24" s="265" t="s">
        <v>63</v>
      </c>
      <c r="O24" s="265" t="s">
        <v>63</v>
      </c>
      <c r="P24" s="272">
        <f>ifna(vlookup(A24,'Population &amp; Church Numbers'!$A$1831:$D$1892,4,FALSE),"NULL")</f>
        <v>54</v>
      </c>
      <c r="Q24" s="273" t="s">
        <v>63</v>
      </c>
    </row>
    <row r="25">
      <c r="A25" s="326" t="s">
        <v>143</v>
      </c>
      <c r="B25" s="251">
        <f t="array" ref="B25">VLOOKUP($A25,NY_DEMO,2,FALSE)</f>
        <v>116721</v>
      </c>
      <c r="C25" s="327">
        <f>VLOOKUP(A25,'NY Data'!$A$9:$U$67,3,FALSE)</f>
        <v>95</v>
      </c>
      <c r="D25" s="1114">
        <f>VLOOKUP(A25,'NY Data'!$A$136:$C$194,3,FALSE)</f>
        <v>2.364864865</v>
      </c>
      <c r="E25" s="253">
        <f>VLOOKUP(A25,'NY Data'!$A$9:$U$67,4,FALSE)</f>
        <v>73</v>
      </c>
      <c r="F25" s="253">
        <f>VLOOKUP(A25,'NY Data'!$A$9:$U$67,6,FALSE)</f>
        <v>8</v>
      </c>
      <c r="G25" s="253" t="s">
        <v>63</v>
      </c>
      <c r="H25" s="254">
        <f>VLOOKUP(A25,'NY Data'!$A$136:$B$194,2,FALSE)</f>
        <v>74</v>
      </c>
      <c r="I25" s="255">
        <f>vlookup(A25,'NY Data'!$A$73:$C$132,2,FALSE)</f>
        <v>47</v>
      </c>
      <c r="J25" s="256" t="s">
        <v>63</v>
      </c>
      <c r="K25" s="479">
        <f>vlookup(A25,'NY Data'!$A$73:$C$132,3,FALSE)</f>
        <v>0.5</v>
      </c>
      <c r="L25" s="254" t="s">
        <v>63</v>
      </c>
      <c r="M25" s="255" t="s">
        <v>63</v>
      </c>
      <c r="N25" s="253" t="s">
        <v>63</v>
      </c>
      <c r="O25" s="253" t="s">
        <v>63</v>
      </c>
      <c r="P25" s="261">
        <f>ifna(vlookup(A25,'Population &amp; Church Numbers'!$A$1831:$D$1892,4,FALSE),"NULL")</f>
        <v>95</v>
      </c>
      <c r="Q25" s="262" t="s">
        <v>63</v>
      </c>
    </row>
    <row r="26">
      <c r="A26" s="188" t="s">
        <v>249</v>
      </c>
      <c r="B26" s="189">
        <f t="array" ref="B26">VLOOKUP($A26,NY_DEMO,2,FALSE)</f>
        <v>2736074</v>
      </c>
      <c r="C26" s="264" t="s">
        <v>63</v>
      </c>
      <c r="D26" s="265" t="s">
        <v>63</v>
      </c>
      <c r="E26" s="265" t="s">
        <v>63</v>
      </c>
      <c r="F26" s="265" t="s">
        <v>63</v>
      </c>
      <c r="G26" s="265" t="s">
        <v>63</v>
      </c>
      <c r="H26" s="266" t="s">
        <v>63</v>
      </c>
      <c r="I26" s="267" t="s">
        <v>63</v>
      </c>
      <c r="J26" s="268" t="s">
        <v>63</v>
      </c>
      <c r="K26" s="284" t="s">
        <v>63</v>
      </c>
      <c r="L26" s="266" t="s">
        <v>63</v>
      </c>
      <c r="M26" s="267" t="s">
        <v>63</v>
      </c>
      <c r="N26" s="265" t="s">
        <v>63</v>
      </c>
      <c r="O26" s="265" t="s">
        <v>63</v>
      </c>
      <c r="P26" s="272">
        <f>ifna(vlookup(A26,'Population &amp; Church Numbers'!$A$1831:$D$1892,4,FALSE),"NULL")</f>
        <v>806</v>
      </c>
      <c r="Q26" s="273" t="s">
        <v>63</v>
      </c>
    </row>
    <row r="27">
      <c r="A27" s="326" t="s">
        <v>682</v>
      </c>
      <c r="B27" s="251">
        <f t="array" ref="B27">VLOOKUP($A27,NY_DEMO,2,FALSE)</f>
        <v>26582</v>
      </c>
      <c r="C27" s="327">
        <f>VLOOKUP(A27,'NY Data'!$A$9:$U$67,3,FALSE)</f>
        <v>10</v>
      </c>
      <c r="D27" s="1114">
        <f>VLOOKUP(A27,'NY Data'!$A$136:$C$194,3,FALSE)</f>
        <v>2.181818182</v>
      </c>
      <c r="E27" s="253">
        <f>VLOOKUP(A27,'NY Data'!$A$9:$U$67,4,FALSE)</f>
        <v>6</v>
      </c>
      <c r="F27" s="253">
        <f>VLOOKUP(A27,'NY Data'!$A$9:$U$67,6,FALSE)</f>
        <v>3</v>
      </c>
      <c r="G27" s="253" t="s">
        <v>63</v>
      </c>
      <c r="H27" s="254">
        <f>VLOOKUP(A27,'NY Data'!$A$136:$B$194,2,FALSE)</f>
        <v>33</v>
      </c>
      <c r="I27" s="255">
        <f>vlookup(A27,'NY Data'!$A$73:$C$132,2,FALSE)</f>
        <v>2</v>
      </c>
      <c r="J27" s="256" t="s">
        <v>63</v>
      </c>
      <c r="K27" s="776">
        <f>vlookup(A27,'NY Data'!$A$73:$C$132,3,FALSE)</f>
        <v>0.273</v>
      </c>
      <c r="L27" s="254" t="s">
        <v>63</v>
      </c>
      <c r="M27" s="255" t="s">
        <v>63</v>
      </c>
      <c r="N27" s="253" t="s">
        <v>63</v>
      </c>
      <c r="O27" s="253" t="s">
        <v>63</v>
      </c>
      <c r="P27" s="261">
        <f>ifna(vlookup(A27,'Population &amp; Church Numbers'!$A$1831:$D$1892,4,FALSE),"NULL")</f>
        <v>32</v>
      </c>
      <c r="Q27" s="262" t="s">
        <v>63</v>
      </c>
    </row>
    <row r="28">
      <c r="A28" s="188" t="s">
        <v>730</v>
      </c>
      <c r="B28" s="189">
        <f t="array" ref="B28">VLOOKUP($A28,NY_DEMO,2,FALSE)</f>
        <v>61834</v>
      </c>
      <c r="C28" s="333">
        <f>VLOOKUP(A28,'NY Data'!$A$9:$U$67,3,FALSE)</f>
        <v>13</v>
      </c>
      <c r="D28" s="1115">
        <f>VLOOKUP(A28,'NY Data'!$A$136:$C$194,3,FALSE)</f>
        <v>2.277777778</v>
      </c>
      <c r="E28" s="265">
        <f>VLOOKUP(A28,'NY Data'!$A$9:$U$67,4,FALSE)</f>
        <v>5</v>
      </c>
      <c r="F28" s="265">
        <f>VLOOKUP(A28,'NY Data'!$A$9:$U$67,6,FALSE)</f>
        <v>0</v>
      </c>
      <c r="G28" s="265" t="s">
        <v>63</v>
      </c>
      <c r="H28" s="266">
        <f>VLOOKUP(A28,'NY Data'!$A$136:$B$194,2,FALSE)</f>
        <v>18</v>
      </c>
      <c r="I28" s="267">
        <f>vlookup(A28,'NY Data'!$A$73:$C$132,2,FALSE)</f>
        <v>3</v>
      </c>
      <c r="J28" s="268" t="s">
        <v>63</v>
      </c>
      <c r="K28" s="498">
        <f>vlookup(A28,'NY Data'!$A$73:$C$132,3,FALSE)</f>
        <v>0.5</v>
      </c>
      <c r="L28" s="266" t="s">
        <v>63</v>
      </c>
      <c r="M28" s="267" t="s">
        <v>63</v>
      </c>
      <c r="N28" s="265" t="s">
        <v>63</v>
      </c>
      <c r="O28" s="265" t="s">
        <v>63</v>
      </c>
      <c r="P28" s="272">
        <f>ifna(vlookup(A28,'Population &amp; Church Numbers'!$A$1831:$D$1892,4,FALSE),"NULL")</f>
        <v>71</v>
      </c>
      <c r="Q28" s="273" t="s">
        <v>63</v>
      </c>
    </row>
    <row r="29">
      <c r="A29" s="326" t="s">
        <v>151</v>
      </c>
      <c r="B29" s="251">
        <f t="array" ref="B29">VLOOKUP($A29,NY_DEMO,2,FALSE)</f>
        <v>68016</v>
      </c>
      <c r="C29" s="327">
        <f>VLOOKUP(A29,'NY Data'!$A$9:$U$67,3,FALSE)</f>
        <v>42</v>
      </c>
      <c r="D29" s="1114">
        <f>VLOOKUP(A29,'NY Data'!$A$136:$C$194,3,FALSE)</f>
        <v>2.352941176</v>
      </c>
      <c r="E29" s="253">
        <f>VLOOKUP(A29,'NY Data'!$A$9:$U$67,4,FALSE)</f>
        <v>23</v>
      </c>
      <c r="F29" s="253">
        <f>VLOOKUP(A29,'NY Data'!$A$9:$U$67,6,FALSE)</f>
        <v>10</v>
      </c>
      <c r="G29" s="253" t="s">
        <v>63</v>
      </c>
      <c r="H29" s="254">
        <f>VLOOKUP(A29,'NY Data'!$A$136:$B$194,2,FALSE)</f>
        <v>34</v>
      </c>
      <c r="I29" s="255">
        <f>vlookup(A29,'NY Data'!$A$73:$C$132,2,FALSE)</f>
        <v>8</v>
      </c>
      <c r="J29" s="256" t="s">
        <v>63</v>
      </c>
      <c r="K29" s="776">
        <f>vlookup(A29,'NY Data'!$A$73:$C$132,3,FALSE)</f>
        <v>0.688</v>
      </c>
      <c r="L29" s="254" t="s">
        <v>63</v>
      </c>
      <c r="M29" s="255" t="s">
        <v>63</v>
      </c>
      <c r="N29" s="253" t="s">
        <v>63</v>
      </c>
      <c r="O29" s="253" t="s">
        <v>63</v>
      </c>
      <c r="P29" s="261">
        <f>ifna(vlookup(A29,'Population &amp; Church Numbers'!$A$1831:$D$1892,4,FALSE),"NULL")</f>
        <v>57</v>
      </c>
      <c r="Q29" s="262" t="s">
        <v>63</v>
      </c>
    </row>
    <row r="30">
      <c r="A30" s="188" t="s">
        <v>156</v>
      </c>
      <c r="B30" s="189">
        <f t="array" ref="B30">VLOOKUP($A30,NY_DEMO,2,FALSE)</f>
        <v>759443</v>
      </c>
      <c r="C30" s="333">
        <f>VLOOKUP(A30,'NY Data'!$A$9:$U$67,3,FALSE)</f>
        <v>439</v>
      </c>
      <c r="D30" s="1115">
        <f>VLOOKUP(A30,'NY Data'!$A$136:$C$194,3,FALSE)</f>
        <v>2.03986711</v>
      </c>
      <c r="E30" s="265">
        <f>VLOOKUP(A30,'NY Data'!$A$9:$U$67,4,FALSE)</f>
        <v>302</v>
      </c>
      <c r="F30" s="265">
        <f>VLOOKUP(A30,'NY Data'!$A$9:$U$67,6,FALSE)</f>
        <v>61</v>
      </c>
      <c r="G30" s="265" t="s">
        <v>63</v>
      </c>
      <c r="H30" s="266">
        <f>VLOOKUP(A30,'NY Data'!$A$136:$B$194,2,FALSE)</f>
        <v>301</v>
      </c>
      <c r="I30" s="267">
        <f>vlookup(A30,'NY Data'!$A$73:$C$132,2,FALSE)</f>
        <v>87</v>
      </c>
      <c r="J30" s="268" t="s">
        <v>63</v>
      </c>
      <c r="K30" s="269">
        <f>vlookup(A30,'NY Data'!$A$73:$C$132,3,FALSE)</f>
        <v>0.724</v>
      </c>
      <c r="L30" s="266" t="s">
        <v>63</v>
      </c>
      <c r="M30" s="267" t="s">
        <v>63</v>
      </c>
      <c r="N30" s="265" t="s">
        <v>63</v>
      </c>
      <c r="O30" s="265" t="s">
        <v>63</v>
      </c>
      <c r="P30" s="272">
        <f>ifna(vlookup(A30,'Population &amp; Church Numbers'!$A$1831:$D$1892,4,FALSE),"NULL")</f>
        <v>471</v>
      </c>
      <c r="Q30" s="273" t="s">
        <v>63</v>
      </c>
    </row>
    <row r="31">
      <c r="A31" s="326" t="s">
        <v>157</v>
      </c>
      <c r="B31" s="251">
        <f t="array" ref="B31">VLOOKUP($A31,NY_DEMO,2,FALSE)</f>
        <v>49532</v>
      </c>
      <c r="C31" s="327">
        <f>VLOOKUP(A31,'NY Data'!$A$9:$U$67,3,FALSE)</f>
        <v>40</v>
      </c>
      <c r="D31" s="1114">
        <f>VLOOKUP(A31,'NY Data'!$A$136:$C$194,3,FALSE)</f>
        <v>2.551724138</v>
      </c>
      <c r="E31" s="253">
        <f>VLOOKUP(A31,'NY Data'!$A$9:$U$67,4,FALSE)</f>
        <v>24</v>
      </c>
      <c r="F31" s="253">
        <f>VLOOKUP(A31,'NY Data'!$A$9:$U$67,6,FALSE)</f>
        <v>6</v>
      </c>
      <c r="G31" s="253" t="s">
        <v>63</v>
      </c>
      <c r="H31" s="254">
        <f>VLOOKUP(A31,'NY Data'!$A$136:$B$194,2,FALSE)</f>
        <v>29</v>
      </c>
      <c r="I31" s="255">
        <f>vlookup(A31,'NY Data'!$A$73:$C$132,2,FALSE)</f>
        <v>15</v>
      </c>
      <c r="J31" s="256" t="s">
        <v>63</v>
      </c>
      <c r="K31" s="776">
        <f>vlookup(A31,'NY Data'!$A$73:$C$132,3,FALSE)</f>
        <v>0.571</v>
      </c>
      <c r="L31" s="254" t="s">
        <v>63</v>
      </c>
      <c r="M31" s="255" t="s">
        <v>63</v>
      </c>
      <c r="N31" s="253" t="s">
        <v>63</v>
      </c>
      <c r="O31" s="253" t="s">
        <v>63</v>
      </c>
      <c r="P31" s="261">
        <f>ifna(vlookup(A31,'Population &amp; Church Numbers'!$A$1831:$D$1892,4,FALSE),"NULL")</f>
        <v>46</v>
      </c>
      <c r="Q31" s="262" t="s">
        <v>63</v>
      </c>
    </row>
    <row r="32">
      <c r="A32" s="188" t="s">
        <v>330</v>
      </c>
      <c r="B32" s="189">
        <f t="array" ref="B32">VLOOKUP($A32,NY_DEMO,2,FALSE)</f>
        <v>1395774</v>
      </c>
      <c r="C32" s="333">
        <f>VLOOKUP(A32,'NY Data'!$A$9:$U$67,3,FALSE)</f>
        <v>159</v>
      </c>
      <c r="D32" s="1115">
        <f>VLOOKUP(A32,'NY Data'!$A$136:$C$194,3,FALSE)</f>
        <v>2.764705882</v>
      </c>
      <c r="E32" s="265">
        <f>VLOOKUP(A32,'NY Data'!$A$9:$U$67,4,FALSE)</f>
        <v>87</v>
      </c>
      <c r="F32" s="265">
        <f>VLOOKUP(A32,'NY Data'!$A$9:$U$67,6,FALSE)</f>
        <v>24</v>
      </c>
      <c r="G32" s="265" t="s">
        <v>63</v>
      </c>
      <c r="H32" s="266">
        <f>VLOOKUP(A32,'NY Data'!$A$136:$B$194,2,FALSE)</f>
        <v>213</v>
      </c>
      <c r="I32" s="267">
        <f>vlookup(A32,'NY Data'!$A$73:$C$132,2,FALSE)</f>
        <v>37</v>
      </c>
      <c r="J32" s="268" t="s">
        <v>63</v>
      </c>
      <c r="K32" s="269">
        <f>vlookup(A32,'NY Data'!$A$73:$C$132,3,FALSE)</f>
        <v>0.707</v>
      </c>
      <c r="L32" s="266" t="s">
        <v>63</v>
      </c>
      <c r="M32" s="267" t="s">
        <v>63</v>
      </c>
      <c r="N32" s="265" t="s">
        <v>63</v>
      </c>
      <c r="O32" s="265" t="s">
        <v>63</v>
      </c>
      <c r="P32" s="272">
        <f>ifna(vlookup(A32,'Population &amp; Church Numbers'!$A$1831:$D$1892,4,FALSE),"NULL")</f>
        <v>480</v>
      </c>
      <c r="Q32" s="273" t="s">
        <v>63</v>
      </c>
    </row>
    <row r="33">
      <c r="A33" s="326" t="s">
        <v>94</v>
      </c>
      <c r="B33" s="251">
        <f t="array" ref="B33">VLOOKUP($A33,NY_DEMO,2,FALSE)</f>
        <v>1694251</v>
      </c>
      <c r="C33" s="252" t="s">
        <v>63</v>
      </c>
      <c r="D33" s="253" t="s">
        <v>63</v>
      </c>
      <c r="E33" s="253" t="s">
        <v>63</v>
      </c>
      <c r="F33" s="253" t="s">
        <v>63</v>
      </c>
      <c r="G33" s="253" t="s">
        <v>63</v>
      </c>
      <c r="H33" s="254" t="s">
        <v>63</v>
      </c>
      <c r="I33" s="255" t="s">
        <v>63</v>
      </c>
      <c r="J33" s="256" t="s">
        <v>63</v>
      </c>
      <c r="K33" s="274" t="s">
        <v>63</v>
      </c>
      <c r="L33" s="254" t="s">
        <v>63</v>
      </c>
      <c r="M33" s="255" t="s">
        <v>63</v>
      </c>
      <c r="N33" s="253" t="s">
        <v>63</v>
      </c>
      <c r="O33" s="253" t="s">
        <v>63</v>
      </c>
      <c r="P33" s="261">
        <f>ifna(vlookup(A33,'Population &amp; Church Numbers'!$A$1831:$D$1892,4,FALSE),"NULL")</f>
        <v>446</v>
      </c>
      <c r="Q33" s="262" t="s">
        <v>63</v>
      </c>
    </row>
    <row r="34">
      <c r="A34" s="188" t="s">
        <v>1563</v>
      </c>
      <c r="B34" s="189">
        <f t="array" ref="B34">VLOOKUP($A34,NY_DEMO,2,FALSE)</f>
        <v>212666</v>
      </c>
      <c r="C34" s="333">
        <f>VLOOKUP(A34,'NY Data'!$A$9:$U$67,3,FALSE)</f>
        <v>189</v>
      </c>
      <c r="D34" s="1115">
        <f>VLOOKUP(A34,'NY Data'!$A$136:$C$194,3,FALSE)</f>
        <v>2.174603175</v>
      </c>
      <c r="E34" s="265">
        <f>VLOOKUP(A34,'NY Data'!$A$9:$U$67,4,FALSE)</f>
        <v>93</v>
      </c>
      <c r="F34" s="265">
        <f>VLOOKUP(A34,'NY Data'!$A$9:$U$67,6,FALSE)</f>
        <v>52</v>
      </c>
      <c r="G34" s="265" t="s">
        <v>63</v>
      </c>
      <c r="H34" s="266">
        <f>VLOOKUP(A34,'NY Data'!$A$136:$B$194,2,FALSE)</f>
        <v>126</v>
      </c>
      <c r="I34" s="267">
        <f>vlookup(A34,'NY Data'!$A$73:$C$132,2,FALSE)</f>
        <v>63</v>
      </c>
      <c r="J34" s="268" t="s">
        <v>63</v>
      </c>
      <c r="K34" s="269">
        <f>vlookup(A34,'NY Data'!$A$73:$C$132,3,FALSE)</f>
        <v>0.537</v>
      </c>
      <c r="L34" s="266" t="s">
        <v>63</v>
      </c>
      <c r="M34" s="267" t="s">
        <v>63</v>
      </c>
      <c r="N34" s="265" t="s">
        <v>63</v>
      </c>
      <c r="O34" s="265" t="s">
        <v>63</v>
      </c>
      <c r="P34" s="272">
        <f>ifna(vlookup(A34,'Population &amp; Church Numbers'!$A$1831:$D$1892,4,FALSE),"NULL")</f>
        <v>155</v>
      </c>
      <c r="Q34" s="273" t="s">
        <v>63</v>
      </c>
    </row>
    <row r="35">
      <c r="A35" s="326" t="s">
        <v>685</v>
      </c>
      <c r="B35" s="251">
        <f t="array" ref="B35">VLOOKUP($A35,NY_DEMO,2,FALSE)</f>
        <v>232125</v>
      </c>
      <c r="C35" s="327">
        <f>VLOOKUP(A35,'NY Data'!$A$9:$U$67,3,FALSE)</f>
        <v>432</v>
      </c>
      <c r="D35" s="1114">
        <f>VLOOKUP(A35,'NY Data'!$A$136:$C$194,3,FALSE)</f>
        <v>2.218905473</v>
      </c>
      <c r="E35" s="253">
        <f>VLOOKUP(A35,'NY Data'!$A$9:$U$67,4,FALSE)</f>
        <v>166</v>
      </c>
      <c r="F35" s="253">
        <f>VLOOKUP(A35,'NY Data'!$A$9:$U$67,6,FALSE)</f>
        <v>226</v>
      </c>
      <c r="G35" s="253" t="s">
        <v>63</v>
      </c>
      <c r="H35" s="254">
        <f>VLOOKUP(A35,'NY Data'!$A$136:$B$194,2,FALSE)</f>
        <v>201</v>
      </c>
      <c r="I35" s="255">
        <f>vlookup(A35,'NY Data'!$A$73:$C$132,2,FALSE)</f>
        <v>94</v>
      </c>
      <c r="J35" s="256" t="s">
        <v>63</v>
      </c>
      <c r="K35" s="776">
        <f>vlookup(A35,'NY Data'!$A$73:$C$132,3,FALSE)</f>
        <v>0.727</v>
      </c>
      <c r="L35" s="254" t="s">
        <v>63</v>
      </c>
      <c r="M35" s="255" t="s">
        <v>63</v>
      </c>
      <c r="N35" s="253" t="s">
        <v>63</v>
      </c>
      <c r="O35" s="253" t="s">
        <v>63</v>
      </c>
      <c r="P35" s="261">
        <f>ifna(vlookup(A35,'Population &amp; Church Numbers'!$A$1831:$D$1892,4,FALSE),"NULL")</f>
        <v>153</v>
      </c>
      <c r="Q35" s="262" t="s">
        <v>63</v>
      </c>
    </row>
    <row r="36">
      <c r="A36" s="188" t="s">
        <v>1564</v>
      </c>
      <c r="B36" s="189">
        <f t="array" ref="B36">VLOOKUP($A36,NY_DEMO,2,FALSE)</f>
        <v>476516</v>
      </c>
      <c r="C36" s="333">
        <f>VLOOKUP(A36,'NY Data'!$A$9:$U$67,3,FALSE)</f>
        <v>602</v>
      </c>
      <c r="D36" s="1115">
        <f>VLOOKUP(A36,'NY Data'!$A$136:$C$194,3,FALSE)</f>
        <v>2.076433121</v>
      </c>
      <c r="E36" s="265">
        <f>VLOOKUP(A36,'NY Data'!$A$9:$U$67,4,FALSE)</f>
        <v>323</v>
      </c>
      <c r="F36" s="265">
        <f>VLOOKUP(A36,'NY Data'!$A$9:$U$67,6,FALSE)</f>
        <v>193</v>
      </c>
      <c r="G36" s="265" t="s">
        <v>63</v>
      </c>
      <c r="H36" s="266">
        <f>VLOOKUP(A36,'NY Data'!$A$136:$B$194,2,FALSE)</f>
        <v>314</v>
      </c>
      <c r="I36" s="267">
        <f>vlookup(A36,'NY Data'!$A$73:$C$132,2,FALSE)</f>
        <v>80</v>
      </c>
      <c r="J36" s="268" t="s">
        <v>63</v>
      </c>
      <c r="K36" s="269">
        <f>vlookup(A36,'NY Data'!$A$73:$C$132,3,FALSE)</f>
        <v>0.448</v>
      </c>
      <c r="L36" s="266" t="s">
        <v>63</v>
      </c>
      <c r="M36" s="267" t="s">
        <v>63</v>
      </c>
      <c r="N36" s="265" t="s">
        <v>63</v>
      </c>
      <c r="O36" s="265" t="s">
        <v>63</v>
      </c>
      <c r="P36" s="272">
        <f>ifna(vlookup(A36,'Population &amp; Church Numbers'!$A$1831:$D$1892,4,FALSE),"NULL")</f>
        <v>266</v>
      </c>
      <c r="Q36" s="273" t="s">
        <v>63</v>
      </c>
    </row>
    <row r="37">
      <c r="A37" s="326" t="s">
        <v>1565</v>
      </c>
      <c r="B37" s="251">
        <f t="array" ref="B37">VLOOKUP($A37,NY_DEMO,2,FALSE)</f>
        <v>112458</v>
      </c>
      <c r="C37" s="327">
        <f>VLOOKUP(A37,'NY Data'!$A$9:$U$67,3,FALSE)</f>
        <v>64</v>
      </c>
      <c r="D37" s="1114">
        <f>VLOOKUP(A37,'NY Data'!$A$136:$C$194,3,FALSE)</f>
        <v>1.934782609</v>
      </c>
      <c r="E37" s="253">
        <f>VLOOKUP(A37,'NY Data'!$A$9:$U$67,4,FALSE)</f>
        <v>28</v>
      </c>
      <c r="F37" s="253">
        <f>VLOOKUP(A37,'NY Data'!$A$9:$U$67,6,FALSE)</f>
        <v>13</v>
      </c>
      <c r="G37" s="253" t="s">
        <v>63</v>
      </c>
      <c r="H37" s="254">
        <f>VLOOKUP(A37,'NY Data'!$A$136:$B$194,2,FALSE)</f>
        <v>46</v>
      </c>
      <c r="I37" s="255">
        <f>vlookup(A37,'NY Data'!$A$73:$C$132,2,FALSE)</f>
        <v>11</v>
      </c>
      <c r="J37" s="256" t="s">
        <v>63</v>
      </c>
      <c r="K37" s="479">
        <f>vlookup(A37,'NY Data'!$A$73:$C$132,3,FALSE)</f>
        <v>0.64</v>
      </c>
      <c r="L37" s="254" t="s">
        <v>63</v>
      </c>
      <c r="M37" s="255" t="s">
        <v>63</v>
      </c>
      <c r="N37" s="253" t="s">
        <v>63</v>
      </c>
      <c r="O37" s="253" t="s">
        <v>63</v>
      </c>
      <c r="P37" s="261">
        <f>ifna(vlookup(A37,'Population &amp; Church Numbers'!$A$1831:$D$1892,4,FALSE),"NULL")</f>
        <v>92</v>
      </c>
      <c r="Q37" s="262" t="s">
        <v>63</v>
      </c>
    </row>
    <row r="38">
      <c r="A38" s="188" t="s">
        <v>241</v>
      </c>
      <c r="B38" s="189">
        <f t="array" ref="B38">VLOOKUP($A38,NY_DEMO,2,FALSE)</f>
        <v>401310</v>
      </c>
      <c r="C38" s="333">
        <f>VLOOKUP(A38,'NY Data'!$A$9:$U$67,3,FALSE)</f>
        <v>207</v>
      </c>
      <c r="D38" s="1115">
        <f>VLOOKUP(A38,'NY Data'!$A$136:$C$194,3,FALSE)</f>
        <v>2.007843137</v>
      </c>
      <c r="E38" s="265">
        <f>VLOOKUP(A38,'NY Data'!$A$9:$U$67,4,FALSE)</f>
        <v>109</v>
      </c>
      <c r="F38" s="265">
        <f>VLOOKUP(A38,'NY Data'!$A$9:$U$67,6,FALSE)</f>
        <v>75</v>
      </c>
      <c r="G38" s="265" t="s">
        <v>63</v>
      </c>
      <c r="H38" s="266">
        <f>VLOOKUP(A38,'NY Data'!$A$136:$B$194,2,FALSE)</f>
        <v>255</v>
      </c>
      <c r="I38" s="267">
        <f>vlookup(A38,'NY Data'!$A$73:$C$132,2,FALSE)</f>
        <v>41</v>
      </c>
      <c r="J38" s="268" t="s">
        <v>63</v>
      </c>
      <c r="K38" s="269">
        <f>vlookup(A38,'NY Data'!$A$73:$C$132,3,FALSE)</f>
        <v>0.646</v>
      </c>
      <c r="L38" s="266" t="s">
        <v>63</v>
      </c>
      <c r="M38" s="267" t="s">
        <v>63</v>
      </c>
      <c r="N38" s="265" t="s">
        <v>63</v>
      </c>
      <c r="O38" s="265" t="s">
        <v>63</v>
      </c>
      <c r="P38" s="272">
        <f>ifna(vlookup(A38,'Population &amp; Church Numbers'!$A$1831:$D$1892,4,FALSE),"NULL")</f>
        <v>201</v>
      </c>
      <c r="Q38" s="273" t="s">
        <v>63</v>
      </c>
    </row>
    <row r="39">
      <c r="A39" s="326" t="s">
        <v>1163</v>
      </c>
      <c r="B39" s="251">
        <f t="array" ref="B39">VLOOKUP($A39,NY_DEMO,2,FALSE)</f>
        <v>40343</v>
      </c>
      <c r="C39" s="327">
        <f>VLOOKUP(A39,'NY Data'!$A$9:$U$67,3,FALSE)</f>
        <v>23</v>
      </c>
      <c r="D39" s="1114">
        <f>VLOOKUP(A39,'NY Data'!$A$136:$C$194,3,FALSE)</f>
        <v>2.4</v>
      </c>
      <c r="E39" s="253">
        <f>VLOOKUP(A39,'NY Data'!$A$9:$U$67,4,FALSE)</f>
        <v>17</v>
      </c>
      <c r="F39" s="253">
        <f>VLOOKUP(A39,'NY Data'!$A$9:$U$67,6,FALSE)</f>
        <v>1</v>
      </c>
      <c r="G39" s="253" t="s">
        <v>63</v>
      </c>
      <c r="H39" s="254">
        <f>VLOOKUP(A39,'NY Data'!$A$136:$B$194,2,FALSE)</f>
        <v>30</v>
      </c>
      <c r="I39" s="255">
        <f>vlookup(A39,'NY Data'!$A$73:$C$132,2,FALSE)</f>
        <v>5</v>
      </c>
      <c r="J39" s="256" t="s">
        <v>63</v>
      </c>
      <c r="K39" s="479">
        <f>vlookup(A39,'NY Data'!$A$73:$C$132,3,FALSE)</f>
        <v>0.25</v>
      </c>
      <c r="L39" s="254" t="s">
        <v>63</v>
      </c>
      <c r="M39" s="255" t="s">
        <v>63</v>
      </c>
      <c r="N39" s="253" t="s">
        <v>63</v>
      </c>
      <c r="O39" s="253" t="s">
        <v>63</v>
      </c>
      <c r="P39" s="261">
        <f>ifna(vlookup(A39,'Population &amp; Church Numbers'!$A$1831:$D$1892,4,FALSE),"NULL")</f>
        <v>41</v>
      </c>
      <c r="Q39" s="262" t="s">
        <v>63</v>
      </c>
    </row>
    <row r="40">
      <c r="A40" s="188" t="s">
        <v>1566</v>
      </c>
      <c r="B40" s="189">
        <f t="array" ref="B40">VLOOKUP($A40,NY_DEMO,2,FALSE)</f>
        <v>117525</v>
      </c>
      <c r="C40" s="333">
        <f>VLOOKUP(A40,'NY Data'!$A$9:$U$67,3,FALSE)</f>
        <v>183</v>
      </c>
      <c r="D40" s="1115">
        <f>VLOOKUP(A40,'NY Data'!$A$136:$C$194,3,FALSE)</f>
        <v>2.221374046</v>
      </c>
      <c r="E40" s="265">
        <f>VLOOKUP(A40,'NY Data'!$A$9:$U$67,4,FALSE)</f>
        <v>91</v>
      </c>
      <c r="F40" s="265">
        <f>VLOOKUP(A40,'NY Data'!$A$9:$U$67,6,FALSE)</f>
        <v>54</v>
      </c>
      <c r="G40" s="265" t="s">
        <v>63</v>
      </c>
      <c r="H40" s="266">
        <f>VLOOKUP(A40,'NY Data'!$A$136:$B$194,2,FALSE)</f>
        <v>131</v>
      </c>
      <c r="I40" s="267">
        <f>vlookup(A40,'NY Data'!$A$73:$C$132,2,FALSE)</f>
        <v>27</v>
      </c>
      <c r="J40" s="268" t="s">
        <v>63</v>
      </c>
      <c r="K40" s="269">
        <f>vlookup(A40,'NY Data'!$A$73:$C$132,3,FALSE)</f>
        <v>0.511</v>
      </c>
      <c r="L40" s="266" t="s">
        <v>63</v>
      </c>
      <c r="M40" s="267" t="s">
        <v>63</v>
      </c>
      <c r="N40" s="265" t="s">
        <v>63</v>
      </c>
      <c r="O40" s="265" t="s">
        <v>63</v>
      </c>
      <c r="P40" s="272">
        <f>ifna(vlookup(A40,'Population &amp; Church Numbers'!$A$1831:$D$1892,4,FALSE),"NULL")</f>
        <v>85</v>
      </c>
      <c r="Q40" s="273" t="s">
        <v>63</v>
      </c>
    </row>
    <row r="41">
      <c r="A41" s="326" t="s">
        <v>1286</v>
      </c>
      <c r="B41" s="251">
        <f t="array" ref="B41">VLOOKUP($A41,NY_DEMO,2,FALSE)</f>
        <v>58524</v>
      </c>
      <c r="C41" s="327">
        <f>VLOOKUP(A41,'NY Data'!$A$9:$U$67,3,FALSE)</f>
        <v>37</v>
      </c>
      <c r="D41" s="1114">
        <f>VLOOKUP(A41,'NY Data'!$A$136:$C$194,3,FALSE)</f>
        <v>2.444444444</v>
      </c>
      <c r="E41" s="253">
        <f>VLOOKUP(A41,'NY Data'!$A$9:$U$67,4,FALSE)</f>
        <v>25</v>
      </c>
      <c r="F41" s="253">
        <f>VLOOKUP(A41,'NY Data'!$A$9:$U$67,6,FALSE)</f>
        <v>5</v>
      </c>
      <c r="G41" s="253" t="s">
        <v>63</v>
      </c>
      <c r="H41" s="254">
        <f>VLOOKUP(A41,'NY Data'!$A$136:$B$194,2,FALSE)</f>
        <v>27</v>
      </c>
      <c r="I41" s="255">
        <f>vlookup(A41,'NY Data'!$A$73:$C$132,2,FALSE)</f>
        <v>7</v>
      </c>
      <c r="J41" s="256" t="s">
        <v>63</v>
      </c>
      <c r="K41" s="776">
        <f>vlookup(A41,'NY Data'!$A$73:$C$132,3,FALSE)</f>
        <v>0.714</v>
      </c>
      <c r="L41" s="254" t="s">
        <v>63</v>
      </c>
      <c r="M41" s="255" t="s">
        <v>63</v>
      </c>
      <c r="N41" s="253" t="s">
        <v>63</v>
      </c>
      <c r="O41" s="253" t="s">
        <v>63</v>
      </c>
      <c r="P41" s="261">
        <f>ifna(vlookup(A41,'Population &amp; Church Numbers'!$A$1831:$D$1892,4,FALSE),"NULL")</f>
        <v>68</v>
      </c>
      <c r="Q41" s="262" t="s">
        <v>63</v>
      </c>
    </row>
    <row r="42">
      <c r="A42" s="188" t="s">
        <v>518</v>
      </c>
      <c r="B42" s="189">
        <f t="array" ref="B42">VLOOKUP($A42,NY_DEMO,2,FALSE)</f>
        <v>97668</v>
      </c>
      <c r="C42" s="333">
        <f>VLOOKUP(A42,'NY Data'!$A$9:$U$67,3,FALSE)</f>
        <v>11</v>
      </c>
      <c r="D42" s="1115">
        <f>VLOOKUP(A42,'NY Data'!$A$136:$C$194,3,FALSE)</f>
        <v>2.166666667</v>
      </c>
      <c r="E42" s="265">
        <f>VLOOKUP(A42,'NY Data'!$A$9:$U$67,4,FALSE)</f>
        <v>5</v>
      </c>
      <c r="F42" s="265">
        <f>VLOOKUP(A42,'NY Data'!$A$9:$U$67,6,FALSE)</f>
        <v>6</v>
      </c>
      <c r="G42" s="265" t="s">
        <v>63</v>
      </c>
      <c r="H42" s="266">
        <f>VLOOKUP(A42,'NY Data'!$A$136:$B$194,2,FALSE)</f>
        <v>24</v>
      </c>
      <c r="I42" s="267">
        <f>vlookup(A42,'NY Data'!$A$73:$C$132,2,FALSE)</f>
        <v>1</v>
      </c>
      <c r="J42" s="268" t="s">
        <v>63</v>
      </c>
      <c r="K42" s="269">
        <f>vlookup(A42,'NY Data'!$A$73:$C$132,3,FALSE)</f>
        <v>0.923</v>
      </c>
      <c r="L42" s="266" t="s">
        <v>63</v>
      </c>
      <c r="M42" s="267" t="s">
        <v>63</v>
      </c>
      <c r="N42" s="265" t="s">
        <v>63</v>
      </c>
      <c r="O42" s="265" t="s">
        <v>63</v>
      </c>
      <c r="P42" s="272">
        <f>ifna(vlookup(A42,'Population &amp; Church Numbers'!$A$1831:$D$1892,4,FALSE),"NULL")</f>
        <v>37</v>
      </c>
      <c r="Q42" s="273" t="s">
        <v>63</v>
      </c>
    </row>
    <row r="43">
      <c r="A43" s="326" t="s">
        <v>254</v>
      </c>
      <c r="B43" s="251">
        <f t="array" ref="B43">VLOOKUP($A43,NY_DEMO,2,FALSE)</f>
        <v>2405464</v>
      </c>
      <c r="C43" s="252" t="s">
        <v>63</v>
      </c>
      <c r="D43" s="253" t="s">
        <v>63</v>
      </c>
      <c r="E43" s="253" t="s">
        <v>63</v>
      </c>
      <c r="F43" s="253" t="s">
        <v>63</v>
      </c>
      <c r="G43" s="253" t="s">
        <v>63</v>
      </c>
      <c r="H43" s="254" t="s">
        <v>63</v>
      </c>
      <c r="I43" s="255" t="s">
        <v>63</v>
      </c>
      <c r="J43" s="256" t="s">
        <v>63</v>
      </c>
      <c r="K43" s="274" t="s">
        <v>63</v>
      </c>
      <c r="L43" s="254" t="s">
        <v>63</v>
      </c>
      <c r="M43" s="255" t="s">
        <v>63</v>
      </c>
      <c r="N43" s="253" t="s">
        <v>63</v>
      </c>
      <c r="O43" s="253" t="s">
        <v>63</v>
      </c>
      <c r="P43" s="261">
        <f>ifna(vlookup(A43,'Population &amp; Church Numbers'!$A$1831:$D$1892,4,FALSE),"NULL")</f>
        <v>694</v>
      </c>
      <c r="Q43" s="262" t="s">
        <v>63</v>
      </c>
    </row>
    <row r="44">
      <c r="A44" s="188" t="s">
        <v>1567</v>
      </c>
      <c r="B44" s="189">
        <f t="array" ref="B44">VLOOKUP($A44,NY_DEMO,2,FALSE)</f>
        <v>161130</v>
      </c>
      <c r="C44" s="333">
        <f>VLOOKUP(A44,'NY Data'!$A$9:$U$67,3,FALSE)</f>
        <v>72</v>
      </c>
      <c r="D44" s="1115">
        <f>VLOOKUP(A44,'NY Data'!$A$136:$C$194,3,FALSE)</f>
        <v>2.391891892</v>
      </c>
      <c r="E44" s="265">
        <f>VLOOKUP(A44,'NY Data'!$A$9:$U$67,4,FALSE)</f>
        <v>45</v>
      </c>
      <c r="F44" s="265">
        <f>VLOOKUP(A44,'NY Data'!$A$9:$U$67,6,FALSE)</f>
        <v>9</v>
      </c>
      <c r="G44" s="265" t="s">
        <v>63</v>
      </c>
      <c r="H44" s="266">
        <f>VLOOKUP(A44,'NY Data'!$A$136:$B$194,2,FALSE)</f>
        <v>74</v>
      </c>
      <c r="I44" s="267">
        <f>vlookup(A44,'NY Data'!$A$73:$C$132,2,FALSE)</f>
        <v>10</v>
      </c>
      <c r="J44" s="268" t="s">
        <v>63</v>
      </c>
      <c r="K44" s="269">
        <f>vlookup(A44,'NY Data'!$A$73:$C$132,3,FALSE)</f>
        <v>0.634</v>
      </c>
      <c r="L44" s="266" t="s">
        <v>63</v>
      </c>
      <c r="M44" s="267" t="s">
        <v>63</v>
      </c>
      <c r="N44" s="265" t="s">
        <v>63</v>
      </c>
      <c r="O44" s="265" t="s">
        <v>63</v>
      </c>
      <c r="P44" s="272">
        <f>ifna(vlookup(A44,'Population &amp; Church Numbers'!$A$1831:$D$1892,4,FALSE),"NULL")</f>
        <v>108</v>
      </c>
      <c r="Q44" s="273" t="s">
        <v>63</v>
      </c>
    </row>
    <row r="45">
      <c r="A45" s="326" t="s">
        <v>621</v>
      </c>
      <c r="B45" s="251">
        <f t="array" ref="B45">VLOOKUP($A45,NY_DEMO,2,FALSE)</f>
        <v>495747</v>
      </c>
      <c r="C45" s="252" t="s">
        <v>63</v>
      </c>
      <c r="D45" s="253" t="s">
        <v>63</v>
      </c>
      <c r="E45" s="253" t="s">
        <v>63</v>
      </c>
      <c r="F45" s="253" t="s">
        <v>63</v>
      </c>
      <c r="G45" s="253" t="s">
        <v>63</v>
      </c>
      <c r="H45" s="254" t="s">
        <v>63</v>
      </c>
      <c r="I45" s="255" t="s">
        <v>63</v>
      </c>
      <c r="J45" s="256" t="s">
        <v>63</v>
      </c>
      <c r="K45" s="274" t="s">
        <v>63</v>
      </c>
      <c r="L45" s="254" t="s">
        <v>63</v>
      </c>
      <c r="M45" s="255" t="s">
        <v>63</v>
      </c>
      <c r="N45" s="253" t="s">
        <v>63</v>
      </c>
      <c r="O45" s="253" t="s">
        <v>63</v>
      </c>
      <c r="P45" s="261">
        <f>ifna(vlookup(A45,'Population &amp; Church Numbers'!$A$1831:$D$1892,4,FALSE),"NULL")</f>
        <v>116</v>
      </c>
      <c r="Q45" s="262" t="s">
        <v>63</v>
      </c>
    </row>
    <row r="46">
      <c r="A46" s="188" t="s">
        <v>1568</v>
      </c>
      <c r="B46" s="189">
        <f t="array" ref="B46">VLOOKUP($A46,NY_DEMO,2,FALSE)</f>
        <v>338329</v>
      </c>
      <c r="C46" s="333">
        <f>VLOOKUP(A46,'NY Data'!$A$9:$U$67,3,FALSE)</f>
        <v>80</v>
      </c>
      <c r="D46" s="1115">
        <f>VLOOKUP(A46,'NY Data'!$A$136:$C$194,3,FALSE)</f>
        <v>2.213592233</v>
      </c>
      <c r="E46" s="265">
        <f>VLOOKUP(A46,'NY Data'!$A$9:$U$67,4,FALSE)</f>
        <v>60</v>
      </c>
      <c r="F46" s="265">
        <f>VLOOKUP(A46,'NY Data'!$A$9:$U$67,6,FALSE)</f>
        <v>17</v>
      </c>
      <c r="G46" s="265" t="s">
        <v>63</v>
      </c>
      <c r="H46" s="266">
        <f>VLOOKUP(A46,'NY Data'!$A$136:$B$194,2,FALSE)</f>
        <v>103</v>
      </c>
      <c r="I46" s="267">
        <f>vlookup(A46,'NY Data'!$A$73:$C$132,2,FALSE)</f>
        <v>26</v>
      </c>
      <c r="J46" s="268" t="s">
        <v>63</v>
      </c>
      <c r="K46" s="269">
        <f>vlookup(A46,'NY Data'!$A$73:$C$132,3,FALSE)</f>
        <v>0.605</v>
      </c>
      <c r="L46" s="266" t="s">
        <v>63</v>
      </c>
      <c r="M46" s="267" t="s">
        <v>63</v>
      </c>
      <c r="N46" s="265" t="s">
        <v>63</v>
      </c>
      <c r="O46" s="265" t="s">
        <v>63</v>
      </c>
      <c r="P46" s="272">
        <f>ifna(vlookup(A46,'Population &amp; Church Numbers'!$A$1831:$D$1892,4,FALSE),"NULL")</f>
        <v>130</v>
      </c>
      <c r="Q46" s="273" t="s">
        <v>63</v>
      </c>
    </row>
    <row r="47">
      <c r="A47" s="326" t="s">
        <v>3845</v>
      </c>
      <c r="B47" s="251">
        <f t="array" ref="B47">VLOOKUP($A47,NY_DEMO,2,FALSE)</f>
        <v>108505</v>
      </c>
      <c r="C47" s="327">
        <f>VLOOKUP(A47,'NY Data'!$A$9:$U$67,3,FALSE)</f>
        <v>218</v>
      </c>
      <c r="D47" s="1114">
        <f>VLOOKUP(A47,'NY Data'!$A$136:$C$194,3,FALSE)</f>
        <v>2.362573099</v>
      </c>
      <c r="E47" s="253">
        <f>VLOOKUP(A47,'NY Data'!$A$9:$U$67,4,FALSE)</f>
        <v>67</v>
      </c>
      <c r="F47" s="253">
        <f>VLOOKUP(A47,'NY Data'!$A$9:$U$67,6,FALSE)</f>
        <v>121</v>
      </c>
      <c r="G47" s="253" t="s">
        <v>63</v>
      </c>
      <c r="H47" s="254">
        <f>VLOOKUP(A47,'NY Data'!$A$136:$B$194,2,FALSE)</f>
        <v>171</v>
      </c>
      <c r="I47" s="255">
        <f>vlookup(A47,'NY Data'!$A$73:$C$132,2,FALSE)</f>
        <v>68</v>
      </c>
      <c r="J47" s="256" t="s">
        <v>63</v>
      </c>
      <c r="K47" s="776">
        <f>vlookup(A47,'NY Data'!$A$73:$C$132,3,FALSE)</f>
        <v>0.307</v>
      </c>
      <c r="L47" s="254" t="s">
        <v>63</v>
      </c>
      <c r="M47" s="255" t="s">
        <v>63</v>
      </c>
      <c r="N47" s="253" t="s">
        <v>63</v>
      </c>
      <c r="O47" s="253" t="s">
        <v>63</v>
      </c>
      <c r="P47" s="261">
        <f>ifna(vlookup(A47,'Population &amp; Church Numbers'!$A$1831:$D$1892,4,FALSE),"NULL")</f>
        <v>84</v>
      </c>
      <c r="Q47" s="262" t="s">
        <v>63</v>
      </c>
    </row>
    <row r="48">
      <c r="A48" s="188" t="s">
        <v>1570</v>
      </c>
      <c r="B48" s="189">
        <f t="array" ref="B48">VLOOKUP($A48,NY_DEMO,2,FALSE)</f>
        <v>235509</v>
      </c>
      <c r="C48" s="333">
        <f>VLOOKUP(A48,'NY Data'!$A$9:$U$67,3,FALSE)</f>
        <v>27</v>
      </c>
      <c r="D48" s="1115">
        <f>VLOOKUP(A48,'NY Data'!$A$136:$C$194,3,FALSE)</f>
        <v>2.405063291</v>
      </c>
      <c r="E48" s="265">
        <f>VLOOKUP(A48,'NY Data'!$A$9:$U$67,4,FALSE)</f>
        <v>13</v>
      </c>
      <c r="F48" s="265">
        <f>VLOOKUP(A48,'NY Data'!$A$9:$U$67,6,FALSE)</f>
        <v>2</v>
      </c>
      <c r="G48" s="265" t="s">
        <v>63</v>
      </c>
      <c r="H48" s="266">
        <f>VLOOKUP(A48,'NY Data'!$A$136:$B$194,2,FALSE)</f>
        <v>79</v>
      </c>
      <c r="I48" s="267">
        <f>vlookup(A48,'NY Data'!$A$73:$C$132,2,FALSE)</f>
        <v>13</v>
      </c>
      <c r="J48" s="268" t="s">
        <v>63</v>
      </c>
      <c r="K48" s="498">
        <f>vlookup(A48,'NY Data'!$A$73:$C$132,3,FALSE)</f>
        <v>0.5</v>
      </c>
      <c r="L48" s="266" t="s">
        <v>63</v>
      </c>
      <c r="M48" s="267" t="s">
        <v>63</v>
      </c>
      <c r="N48" s="265" t="s">
        <v>63</v>
      </c>
      <c r="O48" s="265" t="s">
        <v>63</v>
      </c>
      <c r="P48" s="272">
        <f>ifna(vlookup(A48,'Population &amp; Church Numbers'!$A$1831:$D$1892,4,FALSE),"NULL")</f>
        <v>117</v>
      </c>
      <c r="Q48" s="273" t="s">
        <v>63</v>
      </c>
    </row>
    <row r="49">
      <c r="A49" s="326" t="s">
        <v>1571</v>
      </c>
      <c r="B49" s="251">
        <f t="array" ref="B49">VLOOKUP($A49,NY_DEMO,2,FALSE)</f>
        <v>158061</v>
      </c>
      <c r="C49" s="327">
        <f>VLOOKUP(A49,'NY Data'!$A$9:$U$67,3,FALSE)</f>
        <v>231</v>
      </c>
      <c r="D49" s="1114">
        <f>VLOOKUP(A49,'NY Data'!$A$136:$C$194,3,FALSE)</f>
        <v>2.412371134</v>
      </c>
      <c r="E49" s="253">
        <f>VLOOKUP(A49,'NY Data'!$A$9:$U$67,4,FALSE)</f>
        <v>105</v>
      </c>
      <c r="F49" s="253">
        <f>VLOOKUP(A49,'NY Data'!$A$9:$U$67,6,FALSE)</f>
        <v>62</v>
      </c>
      <c r="G49" s="253" t="s">
        <v>63</v>
      </c>
      <c r="H49" s="254">
        <f>VLOOKUP(A49,'NY Data'!$A$136:$B$194,2,FALSE)</f>
        <v>97</v>
      </c>
      <c r="I49" s="255">
        <f>vlookup(A49,'NY Data'!$A$73:$C$132,2,FALSE)</f>
        <v>42</v>
      </c>
      <c r="J49" s="256" t="s">
        <v>63</v>
      </c>
      <c r="K49" s="776">
        <f>vlookup(A49,'NY Data'!$A$73:$C$132,3,FALSE)</f>
        <v>0.643</v>
      </c>
      <c r="L49" s="254" t="s">
        <v>63</v>
      </c>
      <c r="M49" s="255" t="s">
        <v>63</v>
      </c>
      <c r="N49" s="253" t="s">
        <v>63</v>
      </c>
      <c r="O49" s="253" t="s">
        <v>63</v>
      </c>
      <c r="P49" s="261">
        <f>ifna(vlookup(A49,'Population &amp; Church Numbers'!$A$1831:$D$1892,4,FALSE),"NULL")</f>
        <v>95</v>
      </c>
      <c r="Q49" s="262" t="s">
        <v>63</v>
      </c>
    </row>
    <row r="50">
      <c r="A50" s="188" t="s">
        <v>1572</v>
      </c>
      <c r="B50" s="189">
        <f t="array" ref="B50">VLOOKUP($A50,NY_DEMO,2,FALSE)</f>
        <v>29714</v>
      </c>
      <c r="C50" s="333">
        <f>VLOOKUP(A50,'NY Data'!$A$9:$U$67,3,FALSE)</f>
        <v>45</v>
      </c>
      <c r="D50" s="1115">
        <f>VLOOKUP(A50,'NY Data'!$A$136:$C$194,3,FALSE)</f>
        <v>2.46875</v>
      </c>
      <c r="E50" s="265">
        <f>VLOOKUP(A50,'NY Data'!$A$9:$U$67,4,FALSE)</f>
        <v>14</v>
      </c>
      <c r="F50" s="265">
        <f>VLOOKUP(A50,'NY Data'!$A$9:$U$67,6,FALSE)</f>
        <v>19</v>
      </c>
      <c r="G50" s="265" t="s">
        <v>63</v>
      </c>
      <c r="H50" s="266">
        <f>VLOOKUP(A50,'NY Data'!$A$136:$B$194,2,FALSE)</f>
        <v>32</v>
      </c>
      <c r="I50" s="267">
        <f>vlookup(A50,'NY Data'!$A$73:$C$132,2,FALSE)</f>
        <v>14</v>
      </c>
      <c r="J50" s="268" t="s">
        <v>63</v>
      </c>
      <c r="K50" s="269">
        <f>vlookup(A50,'NY Data'!$A$73:$C$132,3,FALSE)</f>
        <v>0.619</v>
      </c>
      <c r="L50" s="266" t="s">
        <v>63</v>
      </c>
      <c r="M50" s="267" t="s">
        <v>63</v>
      </c>
      <c r="N50" s="265" t="s">
        <v>63</v>
      </c>
      <c r="O50" s="265" t="s">
        <v>63</v>
      </c>
      <c r="P50" s="272">
        <f>ifna(vlookup(A50,'Population &amp; Church Numbers'!$A$1831:$D$1892,4,FALSE),"NULL")</f>
        <v>37</v>
      </c>
      <c r="Q50" s="273" t="s">
        <v>63</v>
      </c>
    </row>
    <row r="51">
      <c r="A51" s="326" t="s">
        <v>746</v>
      </c>
      <c r="B51" s="251">
        <f t="array" ref="B51">VLOOKUP($A51,NY_DEMO,2,FALSE)</f>
        <v>17898</v>
      </c>
      <c r="C51" s="327">
        <f>VLOOKUP(A51,'NY Data'!$A$9:$U$67,3,FALSE)</f>
        <v>21</v>
      </c>
      <c r="D51" s="1114">
        <f>VLOOKUP(A51,'NY Data'!$A$136:$C$194,3,FALSE)</f>
        <v>1.923076923</v>
      </c>
      <c r="E51" s="253">
        <f>VLOOKUP(A51,'NY Data'!$A$9:$U$67,4,FALSE)</f>
        <v>15</v>
      </c>
      <c r="F51" s="253">
        <f>VLOOKUP(A51,'NY Data'!$A$9:$U$67,6,FALSE)</f>
        <v>4</v>
      </c>
      <c r="G51" s="253" t="s">
        <v>63</v>
      </c>
      <c r="H51" s="254">
        <f>VLOOKUP(A51,'NY Data'!$A$136:$B$194,2,FALSE)</f>
        <v>13</v>
      </c>
      <c r="I51" s="255">
        <f>vlookup(A51,'NY Data'!$A$73:$C$132,2,FALSE)</f>
        <v>14</v>
      </c>
      <c r="J51" s="256" t="s">
        <v>63</v>
      </c>
      <c r="K51" s="776">
        <f>vlookup(A51,'NY Data'!$A$73:$C$132,3,FALSE)</f>
        <v>0.462</v>
      </c>
      <c r="L51" s="254" t="s">
        <v>63</v>
      </c>
      <c r="M51" s="255" t="s">
        <v>63</v>
      </c>
      <c r="N51" s="253" t="s">
        <v>63</v>
      </c>
      <c r="O51" s="253" t="s">
        <v>63</v>
      </c>
      <c r="P51" s="261">
        <f>ifna(vlookup(A51,'Population &amp; Church Numbers'!$A$1831:$D$1892,4,FALSE),"NULL")</f>
        <v>26</v>
      </c>
      <c r="Q51" s="262" t="s">
        <v>63</v>
      </c>
    </row>
    <row r="52">
      <c r="A52" s="188" t="s">
        <v>1573</v>
      </c>
      <c r="B52" s="189">
        <f t="array" ref="B52">VLOOKUP($A52,NY_DEMO,2,FALSE)</f>
        <v>33814</v>
      </c>
      <c r="C52" s="333">
        <f>VLOOKUP(A52,'NY Data'!$A$9:$U$67,3,FALSE)</f>
        <v>17</v>
      </c>
      <c r="D52" s="1115">
        <f>VLOOKUP(A52,'NY Data'!$A$136:$C$194,3,FALSE)</f>
        <v>2.777777778</v>
      </c>
      <c r="E52" s="265">
        <f>VLOOKUP(A52,'NY Data'!$A$9:$U$67,4,FALSE)</f>
        <v>9</v>
      </c>
      <c r="F52" s="265">
        <f>VLOOKUP(A52,'NY Data'!$A$9:$U$67,6,FALSE)</f>
        <v>1</v>
      </c>
      <c r="G52" s="265" t="s">
        <v>63</v>
      </c>
      <c r="H52" s="266">
        <f>VLOOKUP(A52,'NY Data'!$A$136:$B$194,2,FALSE)</f>
        <v>18</v>
      </c>
      <c r="I52" s="267">
        <f>vlookup(A52,'NY Data'!$A$73:$C$132,2,FALSE)</f>
        <v>4</v>
      </c>
      <c r="J52" s="268" t="s">
        <v>63</v>
      </c>
      <c r="K52" s="269">
        <f>vlookup(A52,'NY Data'!$A$73:$C$132,3,FALSE)</f>
        <v>0.308</v>
      </c>
      <c r="L52" s="266" t="s">
        <v>63</v>
      </c>
      <c r="M52" s="267" t="s">
        <v>63</v>
      </c>
      <c r="N52" s="265" t="s">
        <v>63</v>
      </c>
      <c r="O52" s="265" t="s">
        <v>63</v>
      </c>
      <c r="P52" s="272">
        <f>ifna(vlookup(A52,'Population &amp; Church Numbers'!$A$1831:$D$1892,4,FALSE),"NULL")</f>
        <v>27</v>
      </c>
      <c r="Q52" s="273" t="s">
        <v>63</v>
      </c>
    </row>
    <row r="53">
      <c r="A53" s="326" t="s">
        <v>859</v>
      </c>
      <c r="B53" s="251">
        <f t="array" ref="B53">VLOOKUP($A53,NY_DEMO,2,FALSE)</f>
        <v>93584</v>
      </c>
      <c r="C53" s="327">
        <f>VLOOKUP(A53,'NY Data'!$A$9:$U$67,3,FALSE)</f>
        <v>102</v>
      </c>
      <c r="D53" s="1114">
        <f>VLOOKUP(A53,'NY Data'!$A$136:$C$194,3,FALSE)</f>
        <v>2.573770492</v>
      </c>
      <c r="E53" s="253">
        <f>VLOOKUP(A53,'NY Data'!$A$9:$U$67,4,FALSE)</f>
        <v>71</v>
      </c>
      <c r="F53" s="253">
        <f>VLOOKUP(A53,'NY Data'!$A$9:$U$67,6,FALSE)</f>
        <v>10</v>
      </c>
      <c r="G53" s="253" t="s">
        <v>63</v>
      </c>
      <c r="H53" s="254">
        <f>VLOOKUP(A53,'NY Data'!$A$136:$B$194,2,FALSE)</f>
        <v>61</v>
      </c>
      <c r="I53" s="255">
        <f>vlookup(A53,'NY Data'!$A$73:$C$132,2,FALSE)</f>
        <v>20</v>
      </c>
      <c r="J53" s="256" t="s">
        <v>63</v>
      </c>
      <c r="K53" s="776">
        <f>vlookup(A53,'NY Data'!$A$73:$C$132,3,FALSE)</f>
        <v>0.426</v>
      </c>
      <c r="L53" s="254" t="s">
        <v>63</v>
      </c>
      <c r="M53" s="255" t="s">
        <v>63</v>
      </c>
      <c r="N53" s="253" t="s">
        <v>63</v>
      </c>
      <c r="O53" s="253" t="s">
        <v>63</v>
      </c>
      <c r="P53" s="261">
        <f>ifna(vlookup(A53,'Population &amp; Church Numbers'!$A$1831:$D$1892,4,FALSE),"NULL")</f>
        <v>101</v>
      </c>
      <c r="Q53" s="262" t="s">
        <v>63</v>
      </c>
    </row>
    <row r="54">
      <c r="A54" s="188" t="s">
        <v>299</v>
      </c>
      <c r="B54" s="189">
        <f t="array" ref="B54">VLOOKUP($A54,NY_DEMO,2,FALSE)</f>
        <v>1525920</v>
      </c>
      <c r="C54" s="333">
        <f>VLOOKUP(A54,'NY Data'!$A$9:$U$67,3,FALSE)</f>
        <v>518</v>
      </c>
      <c r="D54" s="1115">
        <f>VLOOKUP(A54,'NY Data'!$A$136:$C$194,3,FALSE)</f>
        <v>1.953436807</v>
      </c>
      <c r="E54" s="265">
        <f>VLOOKUP(A54,'NY Data'!$A$9:$U$67,4,FALSE)</f>
        <v>241</v>
      </c>
      <c r="F54" s="265">
        <f>VLOOKUP(A54,'NY Data'!$A$9:$U$67,6,FALSE)</f>
        <v>163</v>
      </c>
      <c r="G54" s="265" t="s">
        <v>63</v>
      </c>
      <c r="H54" s="266">
        <f>VLOOKUP(A54,'NY Data'!$A$136:$B$194,2,FALSE)</f>
        <v>451</v>
      </c>
      <c r="I54" s="267">
        <f>vlookup(A54,'NY Data'!$A$73:$C$132,2,FALSE)</f>
        <v>170</v>
      </c>
      <c r="J54" s="268" t="s">
        <v>63</v>
      </c>
      <c r="K54" s="269">
        <f>vlookup(A54,'NY Data'!$A$73:$C$132,3,FALSE)</f>
        <v>0.597</v>
      </c>
      <c r="L54" s="266" t="s">
        <v>63</v>
      </c>
      <c r="M54" s="267" t="s">
        <v>63</v>
      </c>
      <c r="N54" s="265" t="s">
        <v>63</v>
      </c>
      <c r="O54" s="265" t="s">
        <v>63</v>
      </c>
      <c r="P54" s="272">
        <f>ifna(vlookup(A54,'Population &amp; Church Numbers'!$A$1831:$D$1892,4,FALSE),"NULL")</f>
        <v>520</v>
      </c>
      <c r="Q54" s="273" t="s">
        <v>63</v>
      </c>
    </row>
    <row r="55">
      <c r="A55" s="326" t="s">
        <v>860</v>
      </c>
      <c r="B55" s="251">
        <f t="array" ref="B55">VLOOKUP($A55,NY_DEMO,2,FALSE)</f>
        <v>78624</v>
      </c>
      <c r="C55" s="327">
        <f>VLOOKUP(A55,'NY Data'!$A$9:$U$67,3,FALSE)</f>
        <v>109</v>
      </c>
      <c r="D55" s="1114">
        <f>VLOOKUP(A55,'NY Data'!$A$136:$C$194,3,FALSE)</f>
        <v>2.358024691</v>
      </c>
      <c r="E55" s="253">
        <f>VLOOKUP(A55,'NY Data'!$A$9:$U$67,4,FALSE)</f>
        <v>60</v>
      </c>
      <c r="F55" s="253">
        <f>VLOOKUP(A55,'NY Data'!$A$9:$U$67,6,FALSE)</f>
        <v>25</v>
      </c>
      <c r="G55" s="253" t="s">
        <v>63</v>
      </c>
      <c r="H55" s="254">
        <f>VLOOKUP(A55,'NY Data'!$A$136:$B$194,2,FALSE)</f>
        <v>81</v>
      </c>
      <c r="I55" s="255">
        <f>vlookup(A55,'NY Data'!$A$73:$C$132,2,FALSE)</f>
        <v>34</v>
      </c>
      <c r="J55" s="256" t="s">
        <v>63</v>
      </c>
      <c r="K55" s="776">
        <f>vlookup(A55,'NY Data'!$A$73:$C$132,3,FALSE)</f>
        <v>0.431</v>
      </c>
      <c r="L55" s="254" t="s">
        <v>63</v>
      </c>
      <c r="M55" s="255" t="s">
        <v>63</v>
      </c>
      <c r="N55" s="253" t="s">
        <v>63</v>
      </c>
      <c r="O55" s="253" t="s">
        <v>63</v>
      </c>
      <c r="P55" s="261">
        <f>ifna(vlookup(A55,'Population &amp; Church Numbers'!$A$1831:$D$1892,4,FALSE),"NULL")</f>
        <v>57</v>
      </c>
      <c r="Q55" s="262" t="s">
        <v>63</v>
      </c>
    </row>
    <row r="56">
      <c r="A56" s="188" t="s">
        <v>1574</v>
      </c>
      <c r="B56" s="189">
        <f t="array" ref="B56">VLOOKUP($A56,NY_DEMO,2,FALSE)</f>
        <v>48455</v>
      </c>
      <c r="C56" s="333">
        <f>VLOOKUP(A56,'NY Data'!$A$9:$U$67,3,FALSE)</f>
        <v>42</v>
      </c>
      <c r="D56" s="1115">
        <f>VLOOKUP(A56,'NY Data'!$A$136:$C$194,3,FALSE)</f>
        <v>2.433333333</v>
      </c>
      <c r="E56" s="265">
        <f>VLOOKUP(A56,'NY Data'!$A$9:$U$67,4,FALSE)</f>
        <v>21</v>
      </c>
      <c r="F56" s="265">
        <f>VLOOKUP(A56,'NY Data'!$A$9:$U$67,6,FALSE)</f>
        <v>13</v>
      </c>
      <c r="G56" s="265" t="s">
        <v>63</v>
      </c>
      <c r="H56" s="266">
        <f>VLOOKUP(A56,'NY Data'!$A$136:$B$194,2,FALSE)</f>
        <v>30</v>
      </c>
      <c r="I56" s="267">
        <f>vlookup(A56,'NY Data'!$A$73:$C$132,2,FALSE)</f>
        <v>3</v>
      </c>
      <c r="J56" s="268" t="s">
        <v>63</v>
      </c>
      <c r="K56" s="498">
        <f>vlookup(A56,'NY Data'!$A$73:$C$132,3,FALSE)</f>
        <v>0.5</v>
      </c>
      <c r="L56" s="266" t="s">
        <v>63</v>
      </c>
      <c r="M56" s="267" t="s">
        <v>63</v>
      </c>
      <c r="N56" s="265" t="s">
        <v>63</v>
      </c>
      <c r="O56" s="265" t="s">
        <v>63</v>
      </c>
      <c r="P56" s="272">
        <f>ifna(vlookup(A56,'Population &amp; Church Numbers'!$A$1831:$D$1892,4,FALSE),"NULL")</f>
        <v>48</v>
      </c>
      <c r="Q56" s="273" t="s">
        <v>63</v>
      </c>
    </row>
    <row r="57">
      <c r="A57" s="326" t="s">
        <v>1575</v>
      </c>
      <c r="B57" s="251">
        <f t="array" ref="B57">VLOOKUP($A57,NY_DEMO,2,FALSE)</f>
        <v>105740</v>
      </c>
      <c r="C57" s="327">
        <f>VLOOKUP(A57,'NY Data'!$A$9:$U$67,3,FALSE)</f>
        <v>74</v>
      </c>
      <c r="D57" s="1114">
        <f>VLOOKUP(A57,'NY Data'!$A$136:$C$194,3,FALSE)</f>
        <v>1.730769231</v>
      </c>
      <c r="E57" s="253">
        <f>VLOOKUP(A57,'NY Data'!$A$9:$U$67,4,FALSE)</f>
        <v>26</v>
      </c>
      <c r="F57" s="253">
        <f>VLOOKUP(A57,'NY Data'!$A$9:$U$67,6,FALSE)</f>
        <v>40</v>
      </c>
      <c r="G57" s="253" t="s">
        <v>63</v>
      </c>
      <c r="H57" s="254">
        <f>VLOOKUP(A57,'NY Data'!$A$136:$B$194,2,FALSE)</f>
        <v>52</v>
      </c>
      <c r="I57" s="255">
        <f>vlookup(A57,'NY Data'!$A$73:$C$132,2,FALSE)</f>
        <v>16</v>
      </c>
      <c r="J57" s="256" t="s">
        <v>63</v>
      </c>
      <c r="K57" s="776">
        <f>vlookup(A57,'NY Data'!$A$73:$C$132,3,FALSE)</f>
        <v>0.516</v>
      </c>
      <c r="L57" s="254" t="s">
        <v>63</v>
      </c>
      <c r="M57" s="255" t="s">
        <v>63</v>
      </c>
      <c r="N57" s="253" t="s">
        <v>63</v>
      </c>
      <c r="O57" s="253" t="s">
        <v>63</v>
      </c>
      <c r="P57" s="261">
        <f>ifna(vlookup(A57,'Population &amp; Church Numbers'!$A$1831:$D$1892,4,FALSE),"NULL")</f>
        <v>63</v>
      </c>
      <c r="Q57" s="262" t="s">
        <v>63</v>
      </c>
    </row>
    <row r="58">
      <c r="A58" s="188" t="s">
        <v>1576</v>
      </c>
      <c r="B58" s="189">
        <f t="array" ref="B58">VLOOKUP($A58,NY_DEMO,2,FALSE)</f>
        <v>181851</v>
      </c>
      <c r="C58" s="333">
        <f>VLOOKUP(A58,'NY Data'!$A$9:$U$67,3,FALSE)</f>
        <v>127</v>
      </c>
      <c r="D58" s="1115">
        <f>VLOOKUP(A58,'NY Data'!$A$136:$C$194,3,FALSE)</f>
        <v>2.016806723</v>
      </c>
      <c r="E58" s="265">
        <f>VLOOKUP(A58,'NY Data'!$A$9:$U$67,4,FALSE)</f>
        <v>55</v>
      </c>
      <c r="F58" s="265">
        <f>VLOOKUP(A58,'NY Data'!$A$9:$U$67,6,FALSE)</f>
        <v>50</v>
      </c>
      <c r="G58" s="265" t="s">
        <v>63</v>
      </c>
      <c r="H58" s="266">
        <f>VLOOKUP(A58,'NY Data'!$A$136:$B$194,2,FALSE)</f>
        <v>119</v>
      </c>
      <c r="I58" s="267">
        <f>vlookup(A58,'NY Data'!$A$73:$C$132,2,FALSE)</f>
        <v>20</v>
      </c>
      <c r="J58" s="268" t="s">
        <v>63</v>
      </c>
      <c r="K58" s="269">
        <f>vlookup(A58,'NY Data'!$A$73:$C$132,3,FALSE)</f>
        <v>0.551</v>
      </c>
      <c r="L58" s="266" t="s">
        <v>63</v>
      </c>
      <c r="M58" s="267" t="s">
        <v>63</v>
      </c>
      <c r="N58" s="265" t="s">
        <v>63</v>
      </c>
      <c r="O58" s="265" t="s">
        <v>63</v>
      </c>
      <c r="P58" s="272">
        <f>ifna(vlookup(A58,'Population &amp; Church Numbers'!$A$1831:$D$1892,4,FALSE),"NULL")</f>
        <v>124</v>
      </c>
      <c r="Q58" s="273" t="s">
        <v>63</v>
      </c>
    </row>
    <row r="59">
      <c r="A59" s="326" t="s">
        <v>647</v>
      </c>
      <c r="B59" s="251">
        <f t="array" ref="B59">VLOOKUP($A59,NY_DEMO,2,FALSE)</f>
        <v>65737</v>
      </c>
      <c r="C59" s="327">
        <f>VLOOKUP(A59,'NY Data'!$A$9:$U$67,3,FALSE)</f>
        <v>25</v>
      </c>
      <c r="D59" s="1114">
        <f>VLOOKUP(A59,'NY Data'!$A$136:$C$194,3,FALSE)</f>
        <v>2.181818182</v>
      </c>
      <c r="E59" s="253">
        <f>VLOOKUP(A59,'NY Data'!$A$9:$U$67,4,FALSE)</f>
        <v>8</v>
      </c>
      <c r="F59" s="253">
        <f>VLOOKUP(A59,'NY Data'!$A$9:$U$67,6,FALSE)</f>
        <v>3</v>
      </c>
      <c r="G59" s="253" t="s">
        <v>63</v>
      </c>
      <c r="H59" s="254">
        <f>VLOOKUP(A59,'NY Data'!$A$136:$B$194,2,FALSE)</f>
        <v>33</v>
      </c>
      <c r="I59" s="255">
        <f>vlookup(A59,'NY Data'!$A$73:$C$132,2,FALSE)</f>
        <v>2</v>
      </c>
      <c r="J59" s="256" t="s">
        <v>63</v>
      </c>
      <c r="K59" s="776">
        <f>vlookup(A59,'NY Data'!$A$73:$C$132,3,FALSE)</f>
        <v>0.609</v>
      </c>
      <c r="L59" s="254" t="s">
        <v>63</v>
      </c>
      <c r="M59" s="255" t="s">
        <v>63</v>
      </c>
      <c r="N59" s="253" t="s">
        <v>63</v>
      </c>
      <c r="O59" s="253" t="s">
        <v>63</v>
      </c>
      <c r="P59" s="261">
        <f>ifna(vlookup(A59,'Population &amp; Church Numbers'!$A$1831:$D$1892,4,FALSE),"NULL")</f>
        <v>44</v>
      </c>
      <c r="Q59" s="262" t="s">
        <v>63</v>
      </c>
    </row>
    <row r="60">
      <c r="A60" s="188" t="s">
        <v>119</v>
      </c>
      <c r="B60" s="189">
        <f t="array" ref="B60">VLOOKUP($A60,NY_DEMO,2,FALSE)</f>
        <v>61302</v>
      </c>
      <c r="C60" s="333">
        <f>VLOOKUP(A60,'NY Data'!$A$9:$U$67,3,FALSE)</f>
        <v>32</v>
      </c>
      <c r="D60" s="1115">
        <f>VLOOKUP(A60,'NY Data'!$A$136:$C$194,3,FALSE)</f>
        <v>3.071428571</v>
      </c>
      <c r="E60" s="265">
        <f>VLOOKUP(A60,'NY Data'!$A$9:$U$67,4,FALSE)</f>
        <v>18</v>
      </c>
      <c r="F60" s="265">
        <f>VLOOKUP(A60,'NY Data'!$A$9:$U$67,6,FALSE)</f>
        <v>7</v>
      </c>
      <c r="G60" s="265" t="s">
        <v>63</v>
      </c>
      <c r="H60" s="266">
        <f>VLOOKUP(A60,'NY Data'!$A$136:$B$194,2,FALSE)</f>
        <v>42</v>
      </c>
      <c r="I60" s="267">
        <f>vlookup(A60,'NY Data'!$A$73:$C$132,2,FALSE)</f>
        <v>11</v>
      </c>
      <c r="J60" s="268" t="s">
        <v>63</v>
      </c>
      <c r="K60" s="269">
        <f>vlookup(A60,'NY Data'!$A$73:$C$132,3,FALSE)</f>
        <v>0.273</v>
      </c>
      <c r="L60" s="266" t="s">
        <v>63</v>
      </c>
      <c r="M60" s="267" t="s">
        <v>63</v>
      </c>
      <c r="N60" s="265" t="s">
        <v>63</v>
      </c>
      <c r="O60" s="265" t="s">
        <v>63</v>
      </c>
      <c r="P60" s="272">
        <f>ifna(vlookup(A60,'Population &amp; Church Numbers'!$A$1831:$D$1892,4,FALSE),"NULL")</f>
        <v>51</v>
      </c>
      <c r="Q60" s="273" t="s">
        <v>63</v>
      </c>
    </row>
    <row r="61">
      <c r="A61" s="326" t="s">
        <v>273</v>
      </c>
      <c r="B61" s="251">
        <f t="array" ref="B61">VLOOKUP($A61,NY_DEMO,2,FALSE)</f>
        <v>91283</v>
      </c>
      <c r="C61" s="327">
        <f>VLOOKUP(A61,'NY Data'!$A$9:$U$67,3,FALSE)</f>
        <v>34</v>
      </c>
      <c r="D61" s="1114">
        <f>VLOOKUP(A61,'NY Data'!$A$136:$C$194,3,FALSE)</f>
        <v>2.673469388</v>
      </c>
      <c r="E61" s="253">
        <f>VLOOKUP(A61,'NY Data'!$A$9:$U$67,4,FALSE)</f>
        <v>21</v>
      </c>
      <c r="F61" s="253">
        <f>VLOOKUP(A61,'NY Data'!$A$9:$U$67,6,FALSE)</f>
        <v>0</v>
      </c>
      <c r="G61" s="253" t="s">
        <v>63</v>
      </c>
      <c r="H61" s="254">
        <f>VLOOKUP(A61,'NY Data'!$A$136:$B$194,2,FALSE)</f>
        <v>49</v>
      </c>
      <c r="I61" s="255">
        <f>vlookup(A61,'NY Data'!$A$73:$C$132,2,FALSE)</f>
        <v>14</v>
      </c>
      <c r="J61" s="256" t="s">
        <v>63</v>
      </c>
      <c r="K61" s="776">
        <f>vlookup(A61,'NY Data'!$A$73:$C$132,3,FALSE)</f>
        <v>0.875</v>
      </c>
      <c r="L61" s="254" t="s">
        <v>63</v>
      </c>
      <c r="M61" s="255" t="s">
        <v>63</v>
      </c>
      <c r="N61" s="253" t="s">
        <v>63</v>
      </c>
      <c r="O61" s="253" t="s">
        <v>63</v>
      </c>
      <c r="P61" s="261">
        <f>ifna(vlookup(A61,'Population &amp; Church Numbers'!$A$1831:$D$1892,4,FALSE),"NULL")</f>
        <v>79</v>
      </c>
      <c r="Q61" s="262" t="s">
        <v>63</v>
      </c>
    </row>
    <row r="62">
      <c r="A62" s="188" t="s">
        <v>426</v>
      </c>
      <c r="B62" s="189">
        <f t="array" ref="B62">VLOOKUP($A62,NY_DEMO,2,FALSE)</f>
        <v>1004457</v>
      </c>
      <c r="C62" s="333">
        <f>VLOOKUP(A62,'NY Data'!$A$9:$U$67,3,FALSE)</f>
        <v>315</v>
      </c>
      <c r="D62" s="1115">
        <f>VLOOKUP(A62,'NY Data'!$A$136:$C$194,3,FALSE)</f>
        <v>1.977961433</v>
      </c>
      <c r="E62" s="265">
        <f>VLOOKUP(A62,'NY Data'!$A$9:$U$67,4,FALSE)</f>
        <v>127</v>
      </c>
      <c r="F62" s="265">
        <f>VLOOKUP(A62,'NY Data'!$A$9:$U$67,6,FALSE)</f>
        <v>127</v>
      </c>
      <c r="G62" s="265" t="s">
        <v>63</v>
      </c>
      <c r="H62" s="266">
        <f>VLOOKUP(A62,'NY Data'!$A$136:$B$194,2,FALSE)</f>
        <v>363</v>
      </c>
      <c r="I62" s="267">
        <f>vlookup(A62,'NY Data'!$A$73:$C$132,2,FALSE)</f>
        <v>49</v>
      </c>
      <c r="J62" s="268" t="s">
        <v>63</v>
      </c>
      <c r="K62" s="269">
        <f>vlookup(A62,'NY Data'!$A$73:$C$132,3,FALSE)</f>
        <v>0.562</v>
      </c>
      <c r="L62" s="266" t="s">
        <v>63</v>
      </c>
      <c r="M62" s="267" t="s">
        <v>63</v>
      </c>
      <c r="N62" s="265" t="s">
        <v>63</v>
      </c>
      <c r="O62" s="265" t="s">
        <v>63</v>
      </c>
      <c r="P62" s="272">
        <f>ifna(vlookup(A62,'Population &amp; Church Numbers'!$A$1831:$D$1892,4,FALSE),"NULL")</f>
        <v>418</v>
      </c>
      <c r="Q62" s="273" t="s">
        <v>63</v>
      </c>
    </row>
    <row r="63">
      <c r="A63" s="326" t="s">
        <v>123</v>
      </c>
      <c r="B63" s="251">
        <f t="array" ref="B63">VLOOKUP($A63,NY_DEMO,2,FALSE)</f>
        <v>40531</v>
      </c>
      <c r="C63" s="327">
        <f>VLOOKUP(A63,'NY Data'!$A$9:$U$67,3,FALSE)</f>
        <v>25</v>
      </c>
      <c r="D63" s="1114">
        <f>VLOOKUP(A63,'NY Data'!$A$136:$C$194,3,FALSE)</f>
        <v>2.238095238</v>
      </c>
      <c r="E63" s="253">
        <f>VLOOKUP(A63,'NY Data'!$A$9:$U$67,4,FALSE)</f>
        <v>16</v>
      </c>
      <c r="F63" s="253">
        <f>VLOOKUP(A63,'NY Data'!$A$9:$U$67,6,FALSE)</f>
        <v>6</v>
      </c>
      <c r="G63" s="253" t="s">
        <v>63</v>
      </c>
      <c r="H63" s="254">
        <f>VLOOKUP(A63,'NY Data'!$A$136:$B$194,2,FALSE)</f>
        <v>21</v>
      </c>
      <c r="I63" s="255">
        <f>vlookup(A63,'NY Data'!$A$73:$C$132,2,FALSE)</f>
        <v>3</v>
      </c>
      <c r="J63" s="256" t="s">
        <v>63</v>
      </c>
      <c r="K63" s="776">
        <f>vlookup(A63,'NY Data'!$A$73:$C$132,3,FALSE)</f>
        <v>0.571</v>
      </c>
      <c r="L63" s="254" t="s">
        <v>63</v>
      </c>
      <c r="M63" s="255" t="s">
        <v>63</v>
      </c>
      <c r="N63" s="253" t="s">
        <v>63</v>
      </c>
      <c r="O63" s="253" t="s">
        <v>63</v>
      </c>
      <c r="P63" s="261">
        <f>ifna(vlookup(A63,'Population &amp; Church Numbers'!$A$1831:$D$1892,4,FALSE),"NULL")</f>
        <v>56</v>
      </c>
      <c r="Q63" s="262" t="s">
        <v>63</v>
      </c>
    </row>
    <row r="64">
      <c r="A64" s="188" t="s">
        <v>1577</v>
      </c>
      <c r="B64" s="189">
        <f t="array" ref="B64">VLOOKUP($A64,NY_DEMO,2,FALSE)</f>
        <v>24774</v>
      </c>
      <c r="C64" s="333">
        <f>VLOOKUP(A64,'NY Data'!$A$9:$U$67,3,FALSE)</f>
        <v>31</v>
      </c>
      <c r="D64" s="1115">
        <f>VLOOKUP(A64,'NY Data'!$A$136:$C$194,3,FALSE)</f>
        <v>2.55</v>
      </c>
      <c r="E64" s="265">
        <f>VLOOKUP(A64,'NY Data'!$A$9:$U$67,4,FALSE)</f>
        <v>11</v>
      </c>
      <c r="F64" s="265">
        <f>VLOOKUP(A64,'NY Data'!$A$9:$U$67,6,FALSE)</f>
        <v>20</v>
      </c>
      <c r="G64" s="265" t="s">
        <v>63</v>
      </c>
      <c r="H64" s="266">
        <f>VLOOKUP(A64,'NY Data'!$A$136:$B$194,2,FALSE)</f>
        <v>20</v>
      </c>
      <c r="I64" s="267">
        <f>vlookup(A64,'NY Data'!$A$73:$C$132,2,FALSE)</f>
        <v>10</v>
      </c>
      <c r="J64" s="268" t="s">
        <v>63</v>
      </c>
      <c r="K64" s="269">
        <f>vlookup(A64,'NY Data'!$A$73:$C$132,3,FALSE)</f>
        <v>0.462</v>
      </c>
      <c r="L64" s="266" t="s">
        <v>63</v>
      </c>
      <c r="M64" s="267" t="s">
        <v>63</v>
      </c>
      <c r="N64" s="265" t="s">
        <v>63</v>
      </c>
      <c r="O64" s="265" t="s">
        <v>63</v>
      </c>
      <c r="P64" s="272">
        <f>ifna(vlookup(A64,'Population &amp; Church Numbers'!$A$1831:$D$1892,4,FALSE),"NULL")</f>
        <v>31</v>
      </c>
      <c r="Q64" s="273" t="s">
        <v>63</v>
      </c>
    </row>
    <row r="65">
      <c r="A65" s="217"/>
      <c r="B65" s="218"/>
      <c r="C65" s="219"/>
      <c r="D65" s="220"/>
      <c r="E65" s="220"/>
      <c r="F65" s="220"/>
      <c r="G65" s="220"/>
      <c r="H65" s="221"/>
      <c r="I65" s="222"/>
      <c r="J65" s="223"/>
      <c r="K65" s="219"/>
      <c r="L65" s="224"/>
      <c r="M65" s="225"/>
      <c r="N65" s="226"/>
      <c r="O65" s="220"/>
      <c r="P65" s="221"/>
      <c r="Q65" s="295"/>
    </row>
    <row r="66">
      <c r="A66" s="228" t="s">
        <v>2</v>
      </c>
      <c r="B66" s="229"/>
      <c r="C66" s="230">
        <f>'NY Data'!C5</f>
        <v>14733</v>
      </c>
      <c r="D66" s="1140">
        <f>'NY Data'!C194</f>
        <v>2.043524519</v>
      </c>
      <c r="E66" s="854">
        <f>'NY Data'!D5</f>
        <v>6151</v>
      </c>
      <c r="F66" s="854">
        <f>'NY Data'!F5</f>
        <v>5802</v>
      </c>
      <c r="G66" s="311" t="s">
        <v>63</v>
      </c>
      <c r="H66" s="977">
        <f>'NY Data'!B194</f>
        <v>10339</v>
      </c>
      <c r="I66" s="237">
        <f>'NY Data'!B132</f>
        <v>3231</v>
      </c>
      <c r="J66" s="235" t="s">
        <v>63</v>
      </c>
      <c r="K66" s="308">
        <f>'NY Data'!C132</f>
        <v>0.553</v>
      </c>
      <c r="L66" s="309" t="s">
        <v>63</v>
      </c>
      <c r="M66" s="360" t="s">
        <v>63</v>
      </c>
      <c r="N66" s="311" t="s">
        <v>63</v>
      </c>
      <c r="O66" s="1091" t="s">
        <v>63</v>
      </c>
      <c r="P66" s="233">
        <f>SUM(P3:P64)</f>
        <v>9117</v>
      </c>
      <c r="Q66" s="1092" t="s">
        <v>63</v>
      </c>
    </row>
  </sheetData>
  <autoFilter ref="$A$2:$Q$64"/>
  <mergeCells count="1">
    <mergeCell ref="B1:Q1"/>
  </mergeCells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75" t="s">
        <v>1040</v>
      </c>
      <c r="B1" s="276"/>
      <c r="C1" s="276"/>
      <c r="D1" s="276"/>
      <c r="E1" s="276"/>
      <c r="F1" s="276"/>
      <c r="G1" s="276"/>
      <c r="H1" s="275" t="s">
        <v>765</v>
      </c>
      <c r="I1" s="275" t="s">
        <v>3783</v>
      </c>
      <c r="J1" s="276"/>
      <c r="K1" s="276"/>
      <c r="L1" s="275" t="s">
        <v>767</v>
      </c>
      <c r="M1" s="277">
        <v>45469.0</v>
      </c>
      <c r="N1" s="275" t="s">
        <v>769</v>
      </c>
      <c r="O1" s="277">
        <v>45382.0</v>
      </c>
      <c r="P1" s="276"/>
    </row>
    <row r="3">
      <c r="A3" s="320" t="s">
        <v>172</v>
      </c>
      <c r="B3" s="204"/>
      <c r="C3" s="202" t="s">
        <v>3784</v>
      </c>
      <c r="D3" s="202" t="s">
        <v>3785</v>
      </c>
      <c r="E3" s="1112"/>
      <c r="F3" s="202" t="s">
        <v>3786</v>
      </c>
      <c r="G3" s="202"/>
      <c r="H3" s="202" t="s">
        <v>3787</v>
      </c>
      <c r="I3" s="202"/>
      <c r="J3" s="202" t="s">
        <v>3788</v>
      </c>
      <c r="K3" s="202"/>
      <c r="L3" s="202" t="s">
        <v>3789</v>
      </c>
      <c r="M3" s="202"/>
      <c r="N3" s="202" t="s">
        <v>3790</v>
      </c>
      <c r="O3" s="202"/>
      <c r="P3" s="320" t="s">
        <v>3791</v>
      </c>
      <c r="Q3" s="322"/>
      <c r="R3" s="320" t="s">
        <v>3792</v>
      </c>
      <c r="S3" s="322"/>
      <c r="T3" s="320" t="s">
        <v>3793</v>
      </c>
      <c r="U3" s="322"/>
    </row>
    <row r="4">
      <c r="A4" s="1113"/>
      <c r="B4" s="320"/>
      <c r="C4" s="320" t="s">
        <v>3794</v>
      </c>
      <c r="D4" s="320" t="s">
        <v>3794</v>
      </c>
      <c r="E4" s="320" t="s">
        <v>2165</v>
      </c>
      <c r="F4" s="320" t="s">
        <v>3794</v>
      </c>
      <c r="G4" s="320" t="s">
        <v>2165</v>
      </c>
      <c r="H4" s="320" t="s">
        <v>3794</v>
      </c>
      <c r="I4" s="320" t="s">
        <v>2165</v>
      </c>
      <c r="J4" s="320" t="s">
        <v>3794</v>
      </c>
      <c r="K4" s="320" t="s">
        <v>2165</v>
      </c>
      <c r="L4" s="320" t="s">
        <v>3794</v>
      </c>
      <c r="M4" s="320" t="s">
        <v>2165</v>
      </c>
      <c r="N4" s="320" t="s">
        <v>3794</v>
      </c>
      <c r="O4" s="320" t="s">
        <v>2165</v>
      </c>
      <c r="P4" s="320" t="s">
        <v>3794</v>
      </c>
      <c r="Q4" s="320" t="s">
        <v>2165</v>
      </c>
      <c r="R4" s="320" t="s">
        <v>3794</v>
      </c>
      <c r="S4" s="320" t="s">
        <v>2165</v>
      </c>
      <c r="T4" s="320" t="s">
        <v>3794</v>
      </c>
      <c r="U4" s="320" t="s">
        <v>2165</v>
      </c>
    </row>
    <row r="5">
      <c r="A5" s="204" t="s">
        <v>3795</v>
      </c>
      <c r="B5" s="320"/>
      <c r="C5" s="208">
        <v>14733.0</v>
      </c>
      <c r="D5" s="208">
        <v>6151.0</v>
      </c>
      <c r="E5" s="553">
        <v>0.417</v>
      </c>
      <c r="F5" s="208">
        <v>5802.0</v>
      </c>
      <c r="G5" s="553">
        <v>0.394</v>
      </c>
      <c r="H5" s="208">
        <v>1432.0</v>
      </c>
      <c r="I5" s="553">
        <v>0.097</v>
      </c>
      <c r="J5" s="206">
        <v>54.0</v>
      </c>
      <c r="K5" s="553">
        <v>0.004</v>
      </c>
      <c r="L5" s="206">
        <v>18.0</v>
      </c>
      <c r="M5" s="553">
        <v>0.001</v>
      </c>
      <c r="N5" s="206">
        <v>86.0</v>
      </c>
      <c r="O5" s="553">
        <v>0.006</v>
      </c>
      <c r="P5" s="206">
        <v>403.0</v>
      </c>
      <c r="Q5" s="553">
        <v>0.027</v>
      </c>
      <c r="R5" s="206">
        <v>80.0</v>
      </c>
      <c r="S5" s="553">
        <v>0.005</v>
      </c>
      <c r="T5" s="206">
        <v>707.0</v>
      </c>
      <c r="U5" s="553">
        <v>0.048</v>
      </c>
    </row>
    <row r="6">
      <c r="A6" s="204" t="s">
        <v>3796</v>
      </c>
      <c r="B6" s="320"/>
      <c r="C6" s="208">
        <v>7762.0</v>
      </c>
      <c r="D6" s="208">
        <v>2796.0</v>
      </c>
      <c r="E6" s="553">
        <v>0.36</v>
      </c>
      <c r="F6" s="208">
        <v>3479.0</v>
      </c>
      <c r="G6" s="553">
        <v>0.448</v>
      </c>
      <c r="H6" s="206">
        <v>609.0</v>
      </c>
      <c r="I6" s="553">
        <v>0.078</v>
      </c>
      <c r="J6" s="206">
        <v>35.0</v>
      </c>
      <c r="K6" s="553">
        <v>0.005</v>
      </c>
      <c r="L6" s="206">
        <v>4.0</v>
      </c>
      <c r="M6" s="553">
        <v>0.001</v>
      </c>
      <c r="N6" s="206">
        <v>0.0</v>
      </c>
      <c r="O6" s="553">
        <v>0.0</v>
      </c>
      <c r="P6" s="206">
        <v>347.0</v>
      </c>
      <c r="Q6" s="553">
        <v>0.045</v>
      </c>
      <c r="R6" s="206">
        <v>9.0</v>
      </c>
      <c r="S6" s="553">
        <v>0.001</v>
      </c>
      <c r="T6" s="206">
        <v>483.0</v>
      </c>
      <c r="U6" s="553">
        <v>0.062</v>
      </c>
    </row>
    <row r="7">
      <c r="A7" s="204" t="s">
        <v>3797</v>
      </c>
      <c r="B7" s="320"/>
      <c r="C7" s="208">
        <v>6971.0</v>
      </c>
      <c r="D7" s="208">
        <v>3355.0</v>
      </c>
      <c r="E7" s="553">
        <v>0.481</v>
      </c>
      <c r="F7" s="208">
        <v>2323.0</v>
      </c>
      <c r="G7" s="553">
        <v>0.333</v>
      </c>
      <c r="H7" s="206">
        <v>823.0</v>
      </c>
      <c r="I7" s="553">
        <v>0.118</v>
      </c>
      <c r="J7" s="206">
        <v>19.0</v>
      </c>
      <c r="K7" s="553">
        <v>0.003</v>
      </c>
      <c r="L7" s="206">
        <v>14.0</v>
      </c>
      <c r="M7" s="553">
        <v>0.002</v>
      </c>
      <c r="N7" s="206">
        <v>86.0</v>
      </c>
      <c r="O7" s="553">
        <v>0.012</v>
      </c>
      <c r="P7" s="206">
        <v>56.0</v>
      </c>
      <c r="Q7" s="553">
        <v>0.008</v>
      </c>
      <c r="R7" s="206">
        <v>71.0</v>
      </c>
      <c r="S7" s="553">
        <v>0.01</v>
      </c>
      <c r="T7" s="206">
        <v>224.0</v>
      </c>
      <c r="U7" s="553">
        <v>0.032</v>
      </c>
    </row>
    <row r="8">
      <c r="A8" s="1113"/>
      <c r="B8" s="320"/>
      <c r="C8" s="358"/>
      <c r="D8" s="358"/>
      <c r="E8" s="358"/>
      <c r="F8" s="358"/>
      <c r="G8" s="206"/>
      <c r="H8" s="206"/>
      <c r="I8" s="206"/>
      <c r="J8" s="206"/>
      <c r="K8" s="206"/>
      <c r="L8" s="206"/>
      <c r="M8" s="206"/>
      <c r="N8" s="206"/>
      <c r="O8" s="206"/>
      <c r="P8" s="358"/>
      <c r="Q8" s="358"/>
      <c r="R8" s="358"/>
      <c r="S8" s="358"/>
      <c r="T8" s="358"/>
      <c r="U8" s="358"/>
    </row>
    <row r="9">
      <c r="A9" s="204" t="s">
        <v>3798</v>
      </c>
      <c r="B9" s="320"/>
      <c r="C9" s="206">
        <v>211.0</v>
      </c>
      <c r="D9" s="206">
        <v>103.0</v>
      </c>
      <c r="E9" s="553">
        <v>0.488</v>
      </c>
      <c r="F9" s="206">
        <v>66.0</v>
      </c>
      <c r="G9" s="553">
        <v>0.313</v>
      </c>
      <c r="H9" s="206">
        <v>25.0</v>
      </c>
      <c r="I9" s="553">
        <v>0.118</v>
      </c>
      <c r="J9" s="206">
        <v>1.0</v>
      </c>
      <c r="K9" s="553">
        <v>0.005</v>
      </c>
      <c r="L9" s="206">
        <v>0.0</v>
      </c>
      <c r="M9" s="553">
        <v>0.0</v>
      </c>
      <c r="N9" s="206">
        <v>4.0</v>
      </c>
      <c r="O9" s="553">
        <v>0.019</v>
      </c>
      <c r="P9" s="206">
        <v>4.0</v>
      </c>
      <c r="Q9" s="553">
        <v>0.019</v>
      </c>
      <c r="R9" s="206">
        <v>1.0</v>
      </c>
      <c r="S9" s="553">
        <v>0.005</v>
      </c>
      <c r="T9" s="206">
        <v>7.0</v>
      </c>
      <c r="U9" s="553">
        <v>0.033</v>
      </c>
    </row>
    <row r="10">
      <c r="A10" s="204" t="s">
        <v>3799</v>
      </c>
      <c r="B10" s="320"/>
      <c r="C10" s="206">
        <v>33.0</v>
      </c>
      <c r="D10" s="206">
        <v>14.0</v>
      </c>
      <c r="E10" s="553">
        <v>0.424</v>
      </c>
      <c r="F10" s="206">
        <v>17.0</v>
      </c>
      <c r="G10" s="553">
        <v>0.515</v>
      </c>
      <c r="H10" s="206">
        <v>2.0</v>
      </c>
      <c r="I10" s="553">
        <v>0.061</v>
      </c>
      <c r="J10" s="206">
        <v>0.0</v>
      </c>
      <c r="K10" s="553">
        <v>0.0</v>
      </c>
      <c r="L10" s="206">
        <v>0.0</v>
      </c>
      <c r="M10" s="553">
        <v>0.0</v>
      </c>
      <c r="N10" s="206">
        <v>0.0</v>
      </c>
      <c r="O10" s="553">
        <v>0.0</v>
      </c>
      <c r="P10" s="206">
        <v>0.0</v>
      </c>
      <c r="Q10" s="553">
        <v>0.0</v>
      </c>
      <c r="R10" s="206">
        <v>0.0</v>
      </c>
      <c r="S10" s="553">
        <v>0.0</v>
      </c>
      <c r="T10" s="206">
        <v>0.0</v>
      </c>
      <c r="U10" s="553">
        <v>0.0</v>
      </c>
    </row>
    <row r="11">
      <c r="A11" s="204" t="s">
        <v>3800</v>
      </c>
      <c r="B11" s="320"/>
      <c r="C11" s="206">
        <v>241.0</v>
      </c>
      <c r="D11" s="206">
        <v>107.0</v>
      </c>
      <c r="E11" s="553">
        <v>0.444</v>
      </c>
      <c r="F11" s="206">
        <v>88.0</v>
      </c>
      <c r="G11" s="553">
        <v>0.365</v>
      </c>
      <c r="H11" s="206">
        <v>26.0</v>
      </c>
      <c r="I11" s="553">
        <v>0.108</v>
      </c>
      <c r="J11" s="206">
        <v>2.0</v>
      </c>
      <c r="K11" s="553">
        <v>0.008</v>
      </c>
      <c r="L11" s="206">
        <v>0.0</v>
      </c>
      <c r="M11" s="553">
        <v>0.0</v>
      </c>
      <c r="N11" s="206">
        <v>7.0</v>
      </c>
      <c r="O11" s="553">
        <v>0.029</v>
      </c>
      <c r="P11" s="206">
        <v>0.0</v>
      </c>
      <c r="Q11" s="553">
        <v>0.0</v>
      </c>
      <c r="R11" s="206">
        <v>0.0</v>
      </c>
      <c r="S11" s="553">
        <v>0.0</v>
      </c>
      <c r="T11" s="206">
        <v>11.0</v>
      </c>
      <c r="U11" s="553">
        <v>0.046</v>
      </c>
    </row>
    <row r="12">
      <c r="A12" s="204" t="s">
        <v>3801</v>
      </c>
      <c r="B12" s="320"/>
      <c r="C12" s="206">
        <v>85.0</v>
      </c>
      <c r="D12" s="206">
        <v>35.0</v>
      </c>
      <c r="E12" s="553">
        <v>0.412</v>
      </c>
      <c r="F12" s="206">
        <v>34.0</v>
      </c>
      <c r="G12" s="553">
        <v>0.4</v>
      </c>
      <c r="H12" s="206">
        <v>10.0</v>
      </c>
      <c r="I12" s="553">
        <v>0.118</v>
      </c>
      <c r="J12" s="206">
        <v>0.0</v>
      </c>
      <c r="K12" s="553">
        <v>0.0</v>
      </c>
      <c r="L12" s="206">
        <v>0.0</v>
      </c>
      <c r="M12" s="553">
        <v>0.0</v>
      </c>
      <c r="N12" s="206">
        <v>2.0</v>
      </c>
      <c r="O12" s="553">
        <v>0.024</v>
      </c>
      <c r="P12" s="206">
        <v>0.0</v>
      </c>
      <c r="Q12" s="553">
        <v>0.0</v>
      </c>
      <c r="R12" s="206">
        <v>1.0</v>
      </c>
      <c r="S12" s="553">
        <v>0.012</v>
      </c>
      <c r="T12" s="206">
        <v>3.0</v>
      </c>
      <c r="U12" s="553">
        <v>0.035</v>
      </c>
    </row>
    <row r="13">
      <c r="A13" s="204" t="s">
        <v>3802</v>
      </c>
      <c r="B13" s="320"/>
      <c r="C13" s="206">
        <v>112.0</v>
      </c>
      <c r="D13" s="206">
        <v>60.0</v>
      </c>
      <c r="E13" s="553">
        <v>0.536</v>
      </c>
      <c r="F13" s="206">
        <v>28.0</v>
      </c>
      <c r="G13" s="553">
        <v>0.25</v>
      </c>
      <c r="H13" s="206">
        <v>9.0</v>
      </c>
      <c r="I13" s="553">
        <v>0.08</v>
      </c>
      <c r="J13" s="206">
        <v>0.0</v>
      </c>
      <c r="K13" s="553">
        <v>0.0</v>
      </c>
      <c r="L13" s="206">
        <v>0.0</v>
      </c>
      <c r="M13" s="553">
        <v>0.0</v>
      </c>
      <c r="N13" s="206">
        <v>1.0</v>
      </c>
      <c r="O13" s="553">
        <v>0.009</v>
      </c>
      <c r="P13" s="206">
        <v>4.0</v>
      </c>
      <c r="Q13" s="553">
        <v>0.036</v>
      </c>
      <c r="R13" s="206">
        <v>2.0</v>
      </c>
      <c r="S13" s="553">
        <v>0.018</v>
      </c>
      <c r="T13" s="206">
        <v>8.0</v>
      </c>
      <c r="U13" s="553">
        <v>0.071</v>
      </c>
    </row>
    <row r="14">
      <c r="A14" s="204" t="s">
        <v>3803</v>
      </c>
      <c r="B14" s="320"/>
      <c r="C14" s="206">
        <v>76.0</v>
      </c>
      <c r="D14" s="206">
        <v>34.0</v>
      </c>
      <c r="E14" s="553">
        <v>0.447</v>
      </c>
      <c r="F14" s="206">
        <v>31.0</v>
      </c>
      <c r="G14" s="553">
        <v>0.408</v>
      </c>
      <c r="H14" s="206">
        <v>10.0</v>
      </c>
      <c r="I14" s="553">
        <v>0.132</v>
      </c>
      <c r="J14" s="206">
        <v>0.0</v>
      </c>
      <c r="K14" s="553">
        <v>0.0</v>
      </c>
      <c r="L14" s="206">
        <v>0.0</v>
      </c>
      <c r="M14" s="553">
        <v>0.0</v>
      </c>
      <c r="N14" s="206">
        <v>1.0</v>
      </c>
      <c r="O14" s="553">
        <v>0.013</v>
      </c>
      <c r="P14" s="206">
        <v>0.0</v>
      </c>
      <c r="Q14" s="553">
        <v>0.0</v>
      </c>
      <c r="R14" s="206">
        <v>0.0</v>
      </c>
      <c r="S14" s="553">
        <v>0.0</v>
      </c>
      <c r="T14" s="206">
        <v>0.0</v>
      </c>
      <c r="U14" s="553">
        <v>0.0</v>
      </c>
    </row>
    <row r="15">
      <c r="A15" s="204" t="s">
        <v>3804</v>
      </c>
      <c r="B15" s="320"/>
      <c r="C15" s="206">
        <v>17.0</v>
      </c>
      <c r="D15" s="206">
        <v>3.0</v>
      </c>
      <c r="E15" s="553">
        <v>0.176</v>
      </c>
      <c r="F15" s="206">
        <v>12.0</v>
      </c>
      <c r="G15" s="553">
        <v>0.706</v>
      </c>
      <c r="H15" s="206">
        <v>2.0</v>
      </c>
      <c r="I15" s="553">
        <v>0.118</v>
      </c>
      <c r="J15" s="206">
        <v>0.0</v>
      </c>
      <c r="K15" s="553">
        <v>0.0</v>
      </c>
      <c r="L15" s="206">
        <v>0.0</v>
      </c>
      <c r="M15" s="553">
        <v>0.0</v>
      </c>
      <c r="N15" s="206">
        <v>0.0</v>
      </c>
      <c r="O15" s="553">
        <v>0.0</v>
      </c>
      <c r="P15" s="206">
        <v>0.0</v>
      </c>
      <c r="Q15" s="553">
        <v>0.0</v>
      </c>
      <c r="R15" s="206">
        <v>0.0</v>
      </c>
      <c r="S15" s="553">
        <v>0.0</v>
      </c>
      <c r="T15" s="206">
        <v>0.0</v>
      </c>
      <c r="U15" s="553">
        <v>0.0</v>
      </c>
    </row>
    <row r="16">
      <c r="A16" s="204" t="s">
        <v>3805</v>
      </c>
      <c r="B16" s="320"/>
      <c r="C16" s="206">
        <v>53.0</v>
      </c>
      <c r="D16" s="206">
        <v>22.0</v>
      </c>
      <c r="E16" s="553">
        <v>0.415</v>
      </c>
      <c r="F16" s="206">
        <v>20.0</v>
      </c>
      <c r="G16" s="553">
        <v>0.377</v>
      </c>
      <c r="H16" s="206">
        <v>7.0</v>
      </c>
      <c r="I16" s="553">
        <v>0.132</v>
      </c>
      <c r="J16" s="206">
        <v>0.0</v>
      </c>
      <c r="K16" s="553">
        <v>0.0</v>
      </c>
      <c r="L16" s="206">
        <v>0.0</v>
      </c>
      <c r="M16" s="553">
        <v>0.0</v>
      </c>
      <c r="N16" s="206">
        <v>0.0</v>
      </c>
      <c r="O16" s="553">
        <v>0.0</v>
      </c>
      <c r="P16" s="206">
        <v>0.0</v>
      </c>
      <c r="Q16" s="553">
        <v>0.0</v>
      </c>
      <c r="R16" s="206">
        <v>0.0</v>
      </c>
      <c r="S16" s="553">
        <v>0.0</v>
      </c>
      <c r="T16" s="206">
        <v>4.0</v>
      </c>
      <c r="U16" s="553">
        <v>0.075</v>
      </c>
    </row>
    <row r="17">
      <c r="A17" s="204" t="s">
        <v>2544</v>
      </c>
      <c r="B17" s="320"/>
      <c r="C17" s="206">
        <v>70.0</v>
      </c>
      <c r="D17" s="206">
        <v>29.0</v>
      </c>
      <c r="E17" s="553">
        <v>0.414</v>
      </c>
      <c r="F17" s="206">
        <v>31.0</v>
      </c>
      <c r="G17" s="553">
        <v>0.443</v>
      </c>
      <c r="H17" s="206">
        <v>4.0</v>
      </c>
      <c r="I17" s="553">
        <v>0.057</v>
      </c>
      <c r="J17" s="206">
        <v>0.0</v>
      </c>
      <c r="K17" s="553">
        <v>0.0</v>
      </c>
      <c r="L17" s="206">
        <v>0.0</v>
      </c>
      <c r="M17" s="553">
        <v>0.0</v>
      </c>
      <c r="N17" s="206">
        <v>0.0</v>
      </c>
      <c r="O17" s="553">
        <v>0.0</v>
      </c>
      <c r="P17" s="206">
        <v>1.0</v>
      </c>
      <c r="Q17" s="553">
        <v>0.014</v>
      </c>
      <c r="R17" s="206">
        <v>2.0</v>
      </c>
      <c r="S17" s="553">
        <v>0.029</v>
      </c>
      <c r="T17" s="206">
        <v>3.0</v>
      </c>
      <c r="U17" s="553">
        <v>0.043</v>
      </c>
    </row>
    <row r="18">
      <c r="A18" s="204" t="s">
        <v>3806</v>
      </c>
      <c r="B18" s="320"/>
      <c r="C18" s="206">
        <v>44.0</v>
      </c>
      <c r="D18" s="206">
        <v>20.0</v>
      </c>
      <c r="E18" s="553">
        <v>0.455</v>
      </c>
      <c r="F18" s="206">
        <v>5.0</v>
      </c>
      <c r="G18" s="553">
        <v>0.114</v>
      </c>
      <c r="H18" s="206">
        <v>10.0</v>
      </c>
      <c r="I18" s="553">
        <v>0.227</v>
      </c>
      <c r="J18" s="206">
        <v>0.0</v>
      </c>
      <c r="K18" s="553">
        <v>0.0</v>
      </c>
      <c r="L18" s="206">
        <v>0.0</v>
      </c>
      <c r="M18" s="553">
        <v>0.0</v>
      </c>
      <c r="N18" s="206">
        <v>0.0</v>
      </c>
      <c r="O18" s="553">
        <v>0.0</v>
      </c>
      <c r="P18" s="206">
        <v>0.0</v>
      </c>
      <c r="Q18" s="553">
        <v>0.0</v>
      </c>
      <c r="R18" s="206">
        <v>0.0</v>
      </c>
      <c r="S18" s="553">
        <v>0.0</v>
      </c>
      <c r="T18" s="206">
        <v>9.0</v>
      </c>
      <c r="U18" s="553">
        <v>0.205</v>
      </c>
    </row>
    <row r="19">
      <c r="A19" s="204" t="s">
        <v>3807</v>
      </c>
      <c r="B19" s="320"/>
      <c r="C19" s="206">
        <v>73.0</v>
      </c>
      <c r="D19" s="206">
        <v>34.0</v>
      </c>
      <c r="E19" s="553">
        <v>0.466</v>
      </c>
      <c r="F19" s="206">
        <v>33.0</v>
      </c>
      <c r="G19" s="553">
        <v>0.452</v>
      </c>
      <c r="H19" s="206">
        <v>4.0</v>
      </c>
      <c r="I19" s="553">
        <v>0.055</v>
      </c>
      <c r="J19" s="206">
        <v>1.0</v>
      </c>
      <c r="K19" s="553">
        <v>0.014</v>
      </c>
      <c r="L19" s="206">
        <v>0.0</v>
      </c>
      <c r="M19" s="553">
        <v>0.0</v>
      </c>
      <c r="N19" s="206">
        <v>0.0</v>
      </c>
      <c r="O19" s="553">
        <v>0.0</v>
      </c>
      <c r="P19" s="206">
        <v>0.0</v>
      </c>
      <c r="Q19" s="553">
        <v>0.0</v>
      </c>
      <c r="R19" s="206">
        <v>1.0</v>
      </c>
      <c r="S19" s="553">
        <v>0.014</v>
      </c>
      <c r="T19" s="206">
        <v>0.0</v>
      </c>
      <c r="U19" s="553">
        <v>0.0</v>
      </c>
    </row>
    <row r="20">
      <c r="A20" s="204" t="s">
        <v>2635</v>
      </c>
      <c r="B20" s="320"/>
      <c r="C20" s="206">
        <v>81.0</v>
      </c>
      <c r="D20" s="206">
        <v>38.0</v>
      </c>
      <c r="E20" s="553">
        <v>0.469</v>
      </c>
      <c r="F20" s="206">
        <v>36.0</v>
      </c>
      <c r="G20" s="553">
        <v>0.444</v>
      </c>
      <c r="H20" s="206">
        <v>5.0</v>
      </c>
      <c r="I20" s="553">
        <v>0.062</v>
      </c>
      <c r="J20" s="206">
        <v>0.0</v>
      </c>
      <c r="K20" s="553">
        <v>0.0</v>
      </c>
      <c r="L20" s="206">
        <v>0.0</v>
      </c>
      <c r="M20" s="553">
        <v>0.0</v>
      </c>
      <c r="N20" s="206">
        <v>0.0</v>
      </c>
      <c r="O20" s="553">
        <v>0.0</v>
      </c>
      <c r="P20" s="206">
        <v>0.0</v>
      </c>
      <c r="Q20" s="553">
        <v>0.0</v>
      </c>
      <c r="R20" s="206">
        <v>1.0</v>
      </c>
      <c r="S20" s="553">
        <v>0.012</v>
      </c>
      <c r="T20" s="206">
        <v>1.0</v>
      </c>
      <c r="U20" s="553">
        <v>0.012</v>
      </c>
    </row>
    <row r="21">
      <c r="A21" s="204" t="s">
        <v>3808</v>
      </c>
      <c r="B21" s="320"/>
      <c r="C21" s="206">
        <v>161.0</v>
      </c>
      <c r="D21" s="206">
        <v>66.0</v>
      </c>
      <c r="E21" s="553">
        <v>0.41</v>
      </c>
      <c r="F21" s="206">
        <v>75.0</v>
      </c>
      <c r="G21" s="553">
        <v>0.466</v>
      </c>
      <c r="H21" s="206">
        <v>12.0</v>
      </c>
      <c r="I21" s="553">
        <v>0.075</v>
      </c>
      <c r="J21" s="206">
        <v>0.0</v>
      </c>
      <c r="K21" s="553">
        <v>0.0</v>
      </c>
      <c r="L21" s="206">
        <v>3.0</v>
      </c>
      <c r="M21" s="553">
        <v>0.019</v>
      </c>
      <c r="N21" s="206">
        <v>2.0</v>
      </c>
      <c r="O21" s="553">
        <v>0.012</v>
      </c>
      <c r="P21" s="206">
        <v>0.0</v>
      </c>
      <c r="Q21" s="553">
        <v>0.0</v>
      </c>
      <c r="R21" s="206">
        <v>1.0</v>
      </c>
      <c r="S21" s="553">
        <v>0.006</v>
      </c>
      <c r="T21" s="206">
        <v>2.0</v>
      </c>
      <c r="U21" s="553">
        <v>0.012</v>
      </c>
    </row>
    <row r="22">
      <c r="A22" s="204" t="s">
        <v>3809</v>
      </c>
      <c r="B22" s="320"/>
      <c r="C22" s="206">
        <v>632.0</v>
      </c>
      <c r="D22" s="206">
        <v>257.0</v>
      </c>
      <c r="E22" s="553">
        <v>0.407</v>
      </c>
      <c r="F22" s="206">
        <v>256.0</v>
      </c>
      <c r="G22" s="553">
        <v>0.405</v>
      </c>
      <c r="H22" s="206">
        <v>80.0</v>
      </c>
      <c r="I22" s="553">
        <v>0.127</v>
      </c>
      <c r="J22" s="206">
        <v>6.0</v>
      </c>
      <c r="K22" s="553">
        <v>0.009</v>
      </c>
      <c r="L22" s="206">
        <v>0.0</v>
      </c>
      <c r="M22" s="553">
        <v>0.0</v>
      </c>
      <c r="N22" s="206">
        <v>26.0</v>
      </c>
      <c r="O22" s="553">
        <v>0.041</v>
      </c>
      <c r="P22" s="206">
        <v>1.0</v>
      </c>
      <c r="Q22" s="553">
        <v>0.002</v>
      </c>
      <c r="R22" s="206">
        <v>4.0</v>
      </c>
      <c r="S22" s="553">
        <v>0.006</v>
      </c>
      <c r="T22" s="206">
        <v>2.0</v>
      </c>
      <c r="U22" s="553">
        <v>0.003</v>
      </c>
    </row>
    <row r="23">
      <c r="A23" s="204" t="s">
        <v>3027</v>
      </c>
      <c r="B23" s="320"/>
      <c r="C23" s="206">
        <v>43.0</v>
      </c>
      <c r="D23" s="206">
        <v>23.0</v>
      </c>
      <c r="E23" s="553">
        <v>0.535</v>
      </c>
      <c r="F23" s="206">
        <v>11.0</v>
      </c>
      <c r="G23" s="553">
        <v>0.256</v>
      </c>
      <c r="H23" s="206">
        <v>4.0</v>
      </c>
      <c r="I23" s="553">
        <v>0.093</v>
      </c>
      <c r="J23" s="206">
        <v>0.0</v>
      </c>
      <c r="K23" s="553">
        <v>0.0</v>
      </c>
      <c r="L23" s="206">
        <v>0.0</v>
      </c>
      <c r="M23" s="553">
        <v>0.0</v>
      </c>
      <c r="N23" s="206">
        <v>0.0</v>
      </c>
      <c r="O23" s="553">
        <v>0.0</v>
      </c>
      <c r="P23" s="206">
        <v>1.0</v>
      </c>
      <c r="Q23" s="553">
        <v>0.023</v>
      </c>
      <c r="R23" s="206">
        <v>1.0</v>
      </c>
      <c r="S23" s="553">
        <v>0.023</v>
      </c>
      <c r="T23" s="206">
        <v>3.0</v>
      </c>
      <c r="U23" s="553">
        <v>0.07</v>
      </c>
    </row>
    <row r="24">
      <c r="A24" s="204" t="s">
        <v>820</v>
      </c>
      <c r="B24" s="320"/>
      <c r="C24" s="206">
        <v>142.0</v>
      </c>
      <c r="D24" s="206">
        <v>57.0</v>
      </c>
      <c r="E24" s="553">
        <v>0.401</v>
      </c>
      <c r="F24" s="206">
        <v>61.0</v>
      </c>
      <c r="G24" s="553">
        <v>0.43</v>
      </c>
      <c r="H24" s="206">
        <v>7.0</v>
      </c>
      <c r="I24" s="553">
        <v>0.049</v>
      </c>
      <c r="J24" s="206">
        <v>0.0</v>
      </c>
      <c r="K24" s="553">
        <v>0.0</v>
      </c>
      <c r="L24" s="206">
        <v>0.0</v>
      </c>
      <c r="M24" s="553">
        <v>0.0</v>
      </c>
      <c r="N24" s="206">
        <v>0.0</v>
      </c>
      <c r="O24" s="553">
        <v>0.0</v>
      </c>
      <c r="P24" s="206">
        <v>1.0</v>
      </c>
      <c r="Q24" s="553">
        <v>0.007</v>
      </c>
      <c r="R24" s="206">
        <v>2.0</v>
      </c>
      <c r="S24" s="553">
        <v>0.014</v>
      </c>
      <c r="T24" s="206">
        <v>14.0</v>
      </c>
      <c r="U24" s="553">
        <v>0.099</v>
      </c>
    </row>
    <row r="25">
      <c r="A25" s="204" t="s">
        <v>2556</v>
      </c>
      <c r="B25" s="320"/>
      <c r="C25" s="206">
        <v>33.0</v>
      </c>
      <c r="D25" s="206">
        <v>13.0</v>
      </c>
      <c r="E25" s="553">
        <v>0.394</v>
      </c>
      <c r="F25" s="206">
        <v>13.0</v>
      </c>
      <c r="G25" s="553">
        <v>0.394</v>
      </c>
      <c r="H25" s="206">
        <v>2.0</v>
      </c>
      <c r="I25" s="553">
        <v>0.061</v>
      </c>
      <c r="J25" s="206">
        <v>0.0</v>
      </c>
      <c r="K25" s="553">
        <v>0.0</v>
      </c>
      <c r="L25" s="206">
        <v>1.0</v>
      </c>
      <c r="M25" s="553">
        <v>0.03</v>
      </c>
      <c r="N25" s="206">
        <v>0.0</v>
      </c>
      <c r="O25" s="553">
        <v>0.0</v>
      </c>
      <c r="P25" s="206">
        <v>0.0</v>
      </c>
      <c r="Q25" s="553">
        <v>0.0</v>
      </c>
      <c r="R25" s="206">
        <v>3.0</v>
      </c>
      <c r="S25" s="553">
        <v>0.091</v>
      </c>
      <c r="T25" s="206">
        <v>1.0</v>
      </c>
      <c r="U25" s="553">
        <v>0.03</v>
      </c>
    </row>
    <row r="26">
      <c r="A26" s="204" t="s">
        <v>3810</v>
      </c>
      <c r="B26" s="320"/>
      <c r="C26" s="206">
        <v>38.0</v>
      </c>
      <c r="D26" s="206">
        <v>13.0</v>
      </c>
      <c r="E26" s="553">
        <v>0.342</v>
      </c>
      <c r="F26" s="206">
        <v>13.0</v>
      </c>
      <c r="G26" s="553">
        <v>0.342</v>
      </c>
      <c r="H26" s="206">
        <v>8.0</v>
      </c>
      <c r="I26" s="553">
        <v>0.211</v>
      </c>
      <c r="J26" s="206">
        <v>0.0</v>
      </c>
      <c r="K26" s="553">
        <v>0.0</v>
      </c>
      <c r="L26" s="206">
        <v>0.0</v>
      </c>
      <c r="M26" s="553">
        <v>0.0</v>
      </c>
      <c r="N26" s="206">
        <v>1.0</v>
      </c>
      <c r="O26" s="553">
        <v>0.026</v>
      </c>
      <c r="P26" s="206">
        <v>0.0</v>
      </c>
      <c r="Q26" s="553">
        <v>0.0</v>
      </c>
      <c r="R26" s="206">
        <v>0.0</v>
      </c>
      <c r="S26" s="553">
        <v>0.0</v>
      </c>
      <c r="T26" s="206">
        <v>3.0</v>
      </c>
      <c r="U26" s="553">
        <v>0.079</v>
      </c>
    </row>
    <row r="27">
      <c r="A27" s="204" t="s">
        <v>822</v>
      </c>
      <c r="B27" s="320"/>
      <c r="C27" s="206">
        <v>44.0</v>
      </c>
      <c r="D27" s="206">
        <v>19.0</v>
      </c>
      <c r="E27" s="553">
        <v>0.432</v>
      </c>
      <c r="F27" s="206">
        <v>16.0</v>
      </c>
      <c r="G27" s="553">
        <v>0.364</v>
      </c>
      <c r="H27" s="206">
        <v>5.0</v>
      </c>
      <c r="I27" s="553">
        <v>0.114</v>
      </c>
      <c r="J27" s="206">
        <v>0.0</v>
      </c>
      <c r="K27" s="553">
        <v>0.0</v>
      </c>
      <c r="L27" s="206">
        <v>0.0</v>
      </c>
      <c r="M27" s="553">
        <v>0.0</v>
      </c>
      <c r="N27" s="206">
        <v>0.0</v>
      </c>
      <c r="O27" s="553">
        <v>0.0</v>
      </c>
      <c r="P27" s="206">
        <v>0.0</v>
      </c>
      <c r="Q27" s="553">
        <v>0.0</v>
      </c>
      <c r="R27" s="206">
        <v>1.0</v>
      </c>
      <c r="S27" s="553">
        <v>0.023</v>
      </c>
      <c r="T27" s="206">
        <v>3.0</v>
      </c>
      <c r="U27" s="553">
        <v>0.068</v>
      </c>
    </row>
    <row r="28">
      <c r="A28" s="204" t="s">
        <v>2559</v>
      </c>
      <c r="B28" s="320"/>
      <c r="C28" s="206">
        <v>1.0</v>
      </c>
      <c r="D28" s="206">
        <v>0.0</v>
      </c>
      <c r="E28" s="553">
        <v>0.0</v>
      </c>
      <c r="F28" s="206">
        <v>0.0</v>
      </c>
      <c r="G28" s="553">
        <v>0.0</v>
      </c>
      <c r="H28" s="206">
        <v>1.0</v>
      </c>
      <c r="I28" s="553">
        <v>1.0</v>
      </c>
      <c r="J28" s="206">
        <v>0.0</v>
      </c>
      <c r="K28" s="553">
        <v>0.0</v>
      </c>
      <c r="L28" s="206">
        <v>0.0</v>
      </c>
      <c r="M28" s="553">
        <v>0.0</v>
      </c>
      <c r="N28" s="206">
        <v>0.0</v>
      </c>
      <c r="O28" s="553">
        <v>0.0</v>
      </c>
      <c r="P28" s="206">
        <v>0.0</v>
      </c>
      <c r="Q28" s="553">
        <v>0.0</v>
      </c>
      <c r="R28" s="206">
        <v>0.0</v>
      </c>
      <c r="S28" s="553">
        <v>0.0</v>
      </c>
      <c r="T28" s="206">
        <v>0.0</v>
      </c>
      <c r="U28" s="553">
        <v>0.0</v>
      </c>
    </row>
    <row r="29">
      <c r="A29" s="204" t="s">
        <v>3811</v>
      </c>
      <c r="B29" s="320"/>
      <c r="C29" s="206">
        <v>73.0</v>
      </c>
      <c r="D29" s="206">
        <v>28.0</v>
      </c>
      <c r="E29" s="553">
        <v>0.384</v>
      </c>
      <c r="F29" s="206">
        <v>26.0</v>
      </c>
      <c r="G29" s="553">
        <v>0.356</v>
      </c>
      <c r="H29" s="206">
        <v>19.0</v>
      </c>
      <c r="I29" s="553">
        <v>0.26</v>
      </c>
      <c r="J29" s="206">
        <v>0.0</v>
      </c>
      <c r="K29" s="553">
        <v>0.0</v>
      </c>
      <c r="L29" s="206">
        <v>0.0</v>
      </c>
      <c r="M29" s="553">
        <v>0.0</v>
      </c>
      <c r="N29" s="206">
        <v>0.0</v>
      </c>
      <c r="O29" s="553">
        <v>0.0</v>
      </c>
      <c r="P29" s="206">
        <v>0.0</v>
      </c>
      <c r="Q29" s="553">
        <v>0.0</v>
      </c>
      <c r="R29" s="206">
        <v>0.0</v>
      </c>
      <c r="S29" s="553">
        <v>0.0</v>
      </c>
      <c r="T29" s="206">
        <v>0.0</v>
      </c>
      <c r="U29" s="553">
        <v>0.0</v>
      </c>
    </row>
    <row r="30">
      <c r="A30" s="204" t="s">
        <v>827</v>
      </c>
      <c r="B30" s="320"/>
      <c r="C30" s="206">
        <v>95.0</v>
      </c>
      <c r="D30" s="206">
        <v>73.0</v>
      </c>
      <c r="E30" s="553">
        <v>0.768</v>
      </c>
      <c r="F30" s="206">
        <v>8.0</v>
      </c>
      <c r="G30" s="553">
        <v>0.084</v>
      </c>
      <c r="H30" s="206">
        <v>11.0</v>
      </c>
      <c r="I30" s="553">
        <v>0.116</v>
      </c>
      <c r="J30" s="206">
        <v>0.0</v>
      </c>
      <c r="K30" s="553">
        <v>0.0</v>
      </c>
      <c r="L30" s="206">
        <v>0.0</v>
      </c>
      <c r="M30" s="553">
        <v>0.0</v>
      </c>
      <c r="N30" s="206">
        <v>0.0</v>
      </c>
      <c r="O30" s="553">
        <v>0.0</v>
      </c>
      <c r="P30" s="206">
        <v>1.0</v>
      </c>
      <c r="Q30" s="553">
        <v>0.011</v>
      </c>
      <c r="R30" s="206">
        <v>1.0</v>
      </c>
      <c r="S30" s="553">
        <v>0.011</v>
      </c>
      <c r="T30" s="206">
        <v>1.0</v>
      </c>
      <c r="U30" s="553">
        <v>0.011</v>
      </c>
    </row>
    <row r="31">
      <c r="A31" s="204" t="s">
        <v>3544</v>
      </c>
      <c r="B31" s="320"/>
      <c r="C31" s="206">
        <v>10.0</v>
      </c>
      <c r="D31" s="206">
        <v>6.0</v>
      </c>
      <c r="E31" s="553">
        <v>0.6</v>
      </c>
      <c r="F31" s="206">
        <v>3.0</v>
      </c>
      <c r="G31" s="553">
        <v>0.3</v>
      </c>
      <c r="H31" s="206">
        <v>1.0</v>
      </c>
      <c r="I31" s="553">
        <v>0.1</v>
      </c>
      <c r="J31" s="206">
        <v>0.0</v>
      </c>
      <c r="K31" s="553">
        <v>0.0</v>
      </c>
      <c r="L31" s="206">
        <v>0.0</v>
      </c>
      <c r="M31" s="553">
        <v>0.0</v>
      </c>
      <c r="N31" s="206">
        <v>0.0</v>
      </c>
      <c r="O31" s="553">
        <v>0.0</v>
      </c>
      <c r="P31" s="206">
        <v>0.0</v>
      </c>
      <c r="Q31" s="553">
        <v>0.0</v>
      </c>
      <c r="R31" s="206">
        <v>0.0</v>
      </c>
      <c r="S31" s="553">
        <v>0.0</v>
      </c>
      <c r="T31" s="206">
        <v>0.0</v>
      </c>
      <c r="U31" s="553">
        <v>0.0</v>
      </c>
    </row>
    <row r="32">
      <c r="A32" s="204" t="s">
        <v>2571</v>
      </c>
      <c r="B32" s="320"/>
      <c r="C32" s="206">
        <v>13.0</v>
      </c>
      <c r="D32" s="206">
        <v>5.0</v>
      </c>
      <c r="E32" s="553">
        <v>0.385</v>
      </c>
      <c r="F32" s="206">
        <v>0.0</v>
      </c>
      <c r="G32" s="553">
        <v>0.0</v>
      </c>
      <c r="H32" s="206">
        <v>8.0</v>
      </c>
      <c r="I32" s="553">
        <v>0.615</v>
      </c>
      <c r="J32" s="206">
        <v>0.0</v>
      </c>
      <c r="K32" s="553">
        <v>0.0</v>
      </c>
      <c r="L32" s="206">
        <v>0.0</v>
      </c>
      <c r="M32" s="553">
        <v>0.0</v>
      </c>
      <c r="N32" s="206">
        <v>0.0</v>
      </c>
      <c r="O32" s="553">
        <v>0.0</v>
      </c>
      <c r="P32" s="206">
        <v>0.0</v>
      </c>
      <c r="Q32" s="553">
        <v>0.0</v>
      </c>
      <c r="R32" s="206">
        <v>0.0</v>
      </c>
      <c r="S32" s="553">
        <v>0.0</v>
      </c>
      <c r="T32" s="206">
        <v>0.0</v>
      </c>
      <c r="U32" s="553">
        <v>0.0</v>
      </c>
    </row>
    <row r="33">
      <c r="A33" s="204" t="s">
        <v>833</v>
      </c>
      <c r="B33" s="320"/>
      <c r="C33" s="206">
        <v>42.0</v>
      </c>
      <c r="D33" s="206">
        <v>23.0</v>
      </c>
      <c r="E33" s="553">
        <v>0.548</v>
      </c>
      <c r="F33" s="206">
        <v>10.0</v>
      </c>
      <c r="G33" s="553">
        <v>0.238</v>
      </c>
      <c r="H33" s="206">
        <v>9.0</v>
      </c>
      <c r="I33" s="553">
        <v>0.214</v>
      </c>
      <c r="J33" s="206">
        <v>0.0</v>
      </c>
      <c r="K33" s="553">
        <v>0.0</v>
      </c>
      <c r="L33" s="206">
        <v>0.0</v>
      </c>
      <c r="M33" s="553">
        <v>0.0</v>
      </c>
      <c r="N33" s="206">
        <v>0.0</v>
      </c>
      <c r="O33" s="553">
        <v>0.0</v>
      </c>
      <c r="P33" s="206">
        <v>0.0</v>
      </c>
      <c r="Q33" s="553">
        <v>0.0</v>
      </c>
      <c r="R33" s="206">
        <v>0.0</v>
      </c>
      <c r="S33" s="553">
        <v>0.0</v>
      </c>
      <c r="T33" s="206">
        <v>0.0</v>
      </c>
      <c r="U33" s="553">
        <v>0.0</v>
      </c>
    </row>
    <row r="34">
      <c r="A34" s="204" t="s">
        <v>875</v>
      </c>
      <c r="B34" s="320"/>
      <c r="C34" s="206">
        <v>439.0</v>
      </c>
      <c r="D34" s="206">
        <v>302.0</v>
      </c>
      <c r="E34" s="553">
        <v>0.688</v>
      </c>
      <c r="F34" s="206">
        <v>61.0</v>
      </c>
      <c r="G34" s="553">
        <v>0.139</v>
      </c>
      <c r="H34" s="206">
        <v>54.0</v>
      </c>
      <c r="I34" s="553">
        <v>0.123</v>
      </c>
      <c r="J34" s="206">
        <v>0.0</v>
      </c>
      <c r="K34" s="553">
        <v>0.0</v>
      </c>
      <c r="L34" s="206">
        <v>0.0</v>
      </c>
      <c r="M34" s="553">
        <v>0.0</v>
      </c>
      <c r="N34" s="206">
        <v>3.0</v>
      </c>
      <c r="O34" s="553">
        <v>0.007</v>
      </c>
      <c r="P34" s="206">
        <v>8.0</v>
      </c>
      <c r="Q34" s="553">
        <v>0.018</v>
      </c>
      <c r="R34" s="206">
        <v>0.0</v>
      </c>
      <c r="S34" s="553">
        <v>0.0</v>
      </c>
      <c r="T34" s="206">
        <v>11.0</v>
      </c>
      <c r="U34" s="553">
        <v>0.025</v>
      </c>
    </row>
    <row r="35">
      <c r="A35" s="204" t="s">
        <v>837</v>
      </c>
      <c r="B35" s="320"/>
      <c r="C35" s="206">
        <v>40.0</v>
      </c>
      <c r="D35" s="206">
        <v>24.0</v>
      </c>
      <c r="E35" s="553">
        <v>0.6</v>
      </c>
      <c r="F35" s="206">
        <v>6.0</v>
      </c>
      <c r="G35" s="553">
        <v>0.15</v>
      </c>
      <c r="H35" s="206">
        <v>9.0</v>
      </c>
      <c r="I35" s="553">
        <v>0.225</v>
      </c>
      <c r="J35" s="206">
        <v>0.0</v>
      </c>
      <c r="K35" s="553">
        <v>0.0</v>
      </c>
      <c r="L35" s="206">
        <v>0.0</v>
      </c>
      <c r="M35" s="553">
        <v>0.0</v>
      </c>
      <c r="N35" s="206">
        <v>0.0</v>
      </c>
      <c r="O35" s="553">
        <v>0.0</v>
      </c>
      <c r="P35" s="206">
        <v>0.0</v>
      </c>
      <c r="Q35" s="553">
        <v>0.0</v>
      </c>
      <c r="R35" s="206">
        <v>0.0</v>
      </c>
      <c r="S35" s="553">
        <v>0.0</v>
      </c>
      <c r="T35" s="206">
        <v>1.0</v>
      </c>
      <c r="U35" s="553">
        <v>0.025</v>
      </c>
    </row>
    <row r="36">
      <c r="A36" s="204" t="s">
        <v>3812</v>
      </c>
      <c r="B36" s="320"/>
      <c r="C36" s="206">
        <v>159.0</v>
      </c>
      <c r="D36" s="206">
        <v>87.0</v>
      </c>
      <c r="E36" s="553">
        <v>0.547</v>
      </c>
      <c r="F36" s="206">
        <v>24.0</v>
      </c>
      <c r="G36" s="553">
        <v>0.151</v>
      </c>
      <c r="H36" s="206">
        <v>42.0</v>
      </c>
      <c r="I36" s="553">
        <v>0.264</v>
      </c>
      <c r="J36" s="206">
        <v>2.0</v>
      </c>
      <c r="K36" s="553">
        <v>0.013</v>
      </c>
      <c r="L36" s="206">
        <v>0.0</v>
      </c>
      <c r="M36" s="553">
        <v>0.0</v>
      </c>
      <c r="N36" s="206">
        <v>1.0</v>
      </c>
      <c r="O36" s="553">
        <v>0.006</v>
      </c>
      <c r="P36" s="206">
        <v>2.0</v>
      </c>
      <c r="Q36" s="553">
        <v>0.013</v>
      </c>
      <c r="R36" s="206">
        <v>1.0</v>
      </c>
      <c r="S36" s="553">
        <v>0.006</v>
      </c>
      <c r="T36" s="206">
        <v>0.0</v>
      </c>
      <c r="U36" s="553">
        <v>0.0</v>
      </c>
    </row>
    <row r="37">
      <c r="A37" s="204" t="s">
        <v>3813</v>
      </c>
      <c r="B37" s="320"/>
      <c r="C37" s="206">
        <v>189.0</v>
      </c>
      <c r="D37" s="206">
        <v>93.0</v>
      </c>
      <c r="E37" s="553">
        <v>0.492</v>
      </c>
      <c r="F37" s="206">
        <v>52.0</v>
      </c>
      <c r="G37" s="553">
        <v>0.275</v>
      </c>
      <c r="H37" s="206">
        <v>20.0</v>
      </c>
      <c r="I37" s="553">
        <v>0.106</v>
      </c>
      <c r="J37" s="206">
        <v>1.0</v>
      </c>
      <c r="K37" s="553">
        <v>0.005</v>
      </c>
      <c r="L37" s="206">
        <v>0.0</v>
      </c>
      <c r="M37" s="553">
        <v>0.0</v>
      </c>
      <c r="N37" s="206">
        <v>7.0</v>
      </c>
      <c r="O37" s="553">
        <v>0.037</v>
      </c>
      <c r="P37" s="206">
        <v>0.0</v>
      </c>
      <c r="Q37" s="553">
        <v>0.0</v>
      </c>
      <c r="R37" s="206">
        <v>2.0</v>
      </c>
      <c r="S37" s="553">
        <v>0.011</v>
      </c>
      <c r="T37" s="206">
        <v>14.0</v>
      </c>
      <c r="U37" s="553">
        <v>0.074</v>
      </c>
    </row>
    <row r="38">
      <c r="A38" s="204" t="s">
        <v>3796</v>
      </c>
      <c r="B38" s="320"/>
      <c r="C38" s="208">
        <v>7762.0</v>
      </c>
      <c r="D38" s="208">
        <v>2796.0</v>
      </c>
      <c r="E38" s="553">
        <v>0.36</v>
      </c>
      <c r="F38" s="208">
        <v>3479.0</v>
      </c>
      <c r="G38" s="553">
        <v>0.448</v>
      </c>
      <c r="H38" s="206">
        <v>609.0</v>
      </c>
      <c r="I38" s="553">
        <v>0.078</v>
      </c>
      <c r="J38" s="206">
        <v>35.0</v>
      </c>
      <c r="K38" s="553">
        <v>0.005</v>
      </c>
      <c r="L38" s="206">
        <v>4.0</v>
      </c>
      <c r="M38" s="553">
        <v>0.001</v>
      </c>
      <c r="N38" s="206">
        <v>0.0</v>
      </c>
      <c r="O38" s="553">
        <v>0.0</v>
      </c>
      <c r="P38" s="206">
        <v>347.0</v>
      </c>
      <c r="Q38" s="553">
        <v>0.045</v>
      </c>
      <c r="R38" s="206">
        <v>9.0</v>
      </c>
      <c r="S38" s="553">
        <v>0.001</v>
      </c>
      <c r="T38" s="206">
        <v>483.0</v>
      </c>
      <c r="U38" s="553">
        <v>0.062</v>
      </c>
    </row>
    <row r="39">
      <c r="A39" s="204" t="s">
        <v>3814</v>
      </c>
      <c r="B39" s="320"/>
      <c r="C39" s="206">
        <v>432.0</v>
      </c>
      <c r="D39" s="206">
        <v>166.0</v>
      </c>
      <c r="E39" s="553">
        <v>0.384</v>
      </c>
      <c r="F39" s="206">
        <v>226.0</v>
      </c>
      <c r="G39" s="553">
        <v>0.523</v>
      </c>
      <c r="H39" s="206">
        <v>26.0</v>
      </c>
      <c r="I39" s="553">
        <v>0.06</v>
      </c>
      <c r="J39" s="206">
        <v>0.0</v>
      </c>
      <c r="K39" s="553">
        <v>0.0</v>
      </c>
      <c r="L39" s="206">
        <v>0.0</v>
      </c>
      <c r="M39" s="553">
        <v>0.0</v>
      </c>
      <c r="N39" s="206">
        <v>0.0</v>
      </c>
      <c r="O39" s="553">
        <v>0.0</v>
      </c>
      <c r="P39" s="206">
        <v>0.0</v>
      </c>
      <c r="Q39" s="553">
        <v>0.0</v>
      </c>
      <c r="R39" s="206">
        <v>2.0</v>
      </c>
      <c r="S39" s="553">
        <v>0.005</v>
      </c>
      <c r="T39" s="206">
        <v>12.0</v>
      </c>
      <c r="U39" s="553">
        <v>0.028</v>
      </c>
    </row>
    <row r="40">
      <c r="A40" s="204" t="s">
        <v>3815</v>
      </c>
      <c r="B40" s="320"/>
      <c r="C40" s="206">
        <v>602.0</v>
      </c>
      <c r="D40" s="206">
        <v>323.0</v>
      </c>
      <c r="E40" s="553">
        <v>0.537</v>
      </c>
      <c r="F40" s="206">
        <v>193.0</v>
      </c>
      <c r="G40" s="553">
        <v>0.321</v>
      </c>
      <c r="H40" s="206">
        <v>47.0</v>
      </c>
      <c r="I40" s="553">
        <v>0.078</v>
      </c>
      <c r="J40" s="206">
        <v>0.0</v>
      </c>
      <c r="K40" s="553">
        <v>0.0</v>
      </c>
      <c r="L40" s="206">
        <v>2.0</v>
      </c>
      <c r="M40" s="553">
        <v>0.003</v>
      </c>
      <c r="N40" s="206">
        <v>19.0</v>
      </c>
      <c r="O40" s="553">
        <v>0.032</v>
      </c>
      <c r="P40" s="206">
        <v>10.0</v>
      </c>
      <c r="Q40" s="553">
        <v>0.017</v>
      </c>
      <c r="R40" s="206">
        <v>2.0</v>
      </c>
      <c r="S40" s="553">
        <v>0.003</v>
      </c>
      <c r="T40" s="206">
        <v>6.0</v>
      </c>
      <c r="U40" s="553">
        <v>0.01</v>
      </c>
    </row>
    <row r="41">
      <c r="A41" s="204" t="s">
        <v>3816</v>
      </c>
      <c r="B41" s="320"/>
      <c r="C41" s="206">
        <v>64.0</v>
      </c>
      <c r="D41" s="206">
        <v>28.0</v>
      </c>
      <c r="E41" s="553">
        <v>0.438</v>
      </c>
      <c r="F41" s="206">
        <v>13.0</v>
      </c>
      <c r="G41" s="553">
        <v>0.203</v>
      </c>
      <c r="H41" s="206">
        <v>11.0</v>
      </c>
      <c r="I41" s="553">
        <v>0.172</v>
      </c>
      <c r="J41" s="206">
        <v>0.0</v>
      </c>
      <c r="K41" s="553">
        <v>0.0</v>
      </c>
      <c r="L41" s="206">
        <v>0.0</v>
      </c>
      <c r="M41" s="553">
        <v>0.0</v>
      </c>
      <c r="N41" s="206">
        <v>3.0</v>
      </c>
      <c r="O41" s="553">
        <v>0.047</v>
      </c>
      <c r="P41" s="206">
        <v>0.0</v>
      </c>
      <c r="Q41" s="553">
        <v>0.0</v>
      </c>
      <c r="R41" s="206">
        <v>2.0</v>
      </c>
      <c r="S41" s="553">
        <v>0.031</v>
      </c>
      <c r="T41" s="206">
        <v>7.0</v>
      </c>
      <c r="U41" s="553">
        <v>0.109</v>
      </c>
    </row>
    <row r="42">
      <c r="A42" s="204" t="s">
        <v>1955</v>
      </c>
      <c r="B42" s="320"/>
      <c r="C42" s="206">
        <v>207.0</v>
      </c>
      <c r="D42" s="206">
        <v>109.0</v>
      </c>
      <c r="E42" s="553">
        <v>0.527</v>
      </c>
      <c r="F42" s="206">
        <v>75.0</v>
      </c>
      <c r="G42" s="553">
        <v>0.362</v>
      </c>
      <c r="H42" s="206">
        <v>6.0</v>
      </c>
      <c r="I42" s="553">
        <v>0.029</v>
      </c>
      <c r="J42" s="206">
        <v>0.0</v>
      </c>
      <c r="K42" s="553">
        <v>0.0</v>
      </c>
      <c r="L42" s="206">
        <v>1.0</v>
      </c>
      <c r="M42" s="553">
        <v>0.005</v>
      </c>
      <c r="N42" s="206">
        <v>1.0</v>
      </c>
      <c r="O42" s="553">
        <v>0.005</v>
      </c>
      <c r="P42" s="206">
        <v>2.0</v>
      </c>
      <c r="Q42" s="553">
        <v>0.01</v>
      </c>
      <c r="R42" s="206">
        <v>3.0</v>
      </c>
      <c r="S42" s="553">
        <v>0.014</v>
      </c>
      <c r="T42" s="206">
        <v>10.0</v>
      </c>
      <c r="U42" s="553">
        <v>0.048</v>
      </c>
    </row>
    <row r="43">
      <c r="A43" s="204" t="s">
        <v>2771</v>
      </c>
      <c r="B43" s="320"/>
      <c r="C43" s="206">
        <v>23.0</v>
      </c>
      <c r="D43" s="206">
        <v>17.0</v>
      </c>
      <c r="E43" s="553">
        <v>0.739</v>
      </c>
      <c r="F43" s="206">
        <v>1.0</v>
      </c>
      <c r="G43" s="553">
        <v>0.043</v>
      </c>
      <c r="H43" s="206">
        <v>4.0</v>
      </c>
      <c r="I43" s="553">
        <v>0.174</v>
      </c>
      <c r="J43" s="206">
        <v>0.0</v>
      </c>
      <c r="K43" s="553">
        <v>0.0</v>
      </c>
      <c r="L43" s="206">
        <v>0.0</v>
      </c>
      <c r="M43" s="553">
        <v>0.0</v>
      </c>
      <c r="N43" s="206">
        <v>1.0</v>
      </c>
      <c r="O43" s="553">
        <v>0.043</v>
      </c>
      <c r="P43" s="206">
        <v>0.0</v>
      </c>
      <c r="Q43" s="553">
        <v>0.0</v>
      </c>
      <c r="R43" s="206">
        <v>0.0</v>
      </c>
      <c r="S43" s="553">
        <v>0.0</v>
      </c>
      <c r="T43" s="206">
        <v>0.0</v>
      </c>
      <c r="U43" s="553">
        <v>0.0</v>
      </c>
    </row>
    <row r="44">
      <c r="A44" s="204" t="s">
        <v>3817</v>
      </c>
      <c r="B44" s="320"/>
      <c r="C44" s="206">
        <v>183.0</v>
      </c>
      <c r="D44" s="206">
        <v>91.0</v>
      </c>
      <c r="E44" s="553">
        <v>0.497</v>
      </c>
      <c r="F44" s="206">
        <v>54.0</v>
      </c>
      <c r="G44" s="553">
        <v>0.295</v>
      </c>
      <c r="H44" s="206">
        <v>21.0</v>
      </c>
      <c r="I44" s="553">
        <v>0.115</v>
      </c>
      <c r="J44" s="206">
        <v>0.0</v>
      </c>
      <c r="K44" s="553">
        <v>0.0</v>
      </c>
      <c r="L44" s="206">
        <v>0.0</v>
      </c>
      <c r="M44" s="553">
        <v>0.0</v>
      </c>
      <c r="N44" s="206">
        <v>0.0</v>
      </c>
      <c r="O44" s="553">
        <v>0.0</v>
      </c>
      <c r="P44" s="206">
        <v>2.0</v>
      </c>
      <c r="Q44" s="553">
        <v>0.011</v>
      </c>
      <c r="R44" s="206">
        <v>2.0</v>
      </c>
      <c r="S44" s="553">
        <v>0.011</v>
      </c>
      <c r="T44" s="206">
        <v>13.0</v>
      </c>
      <c r="U44" s="553">
        <v>0.071</v>
      </c>
    </row>
    <row r="45">
      <c r="A45" s="204" t="s">
        <v>3818</v>
      </c>
      <c r="B45" s="320"/>
      <c r="C45" s="206">
        <v>37.0</v>
      </c>
      <c r="D45" s="206">
        <v>25.0</v>
      </c>
      <c r="E45" s="553">
        <v>0.676</v>
      </c>
      <c r="F45" s="206">
        <v>5.0</v>
      </c>
      <c r="G45" s="553">
        <v>0.135</v>
      </c>
      <c r="H45" s="206">
        <v>5.0</v>
      </c>
      <c r="I45" s="553">
        <v>0.135</v>
      </c>
      <c r="J45" s="206">
        <v>0.0</v>
      </c>
      <c r="K45" s="553">
        <v>0.0</v>
      </c>
      <c r="L45" s="206">
        <v>0.0</v>
      </c>
      <c r="M45" s="553">
        <v>0.0</v>
      </c>
      <c r="N45" s="206">
        <v>0.0</v>
      </c>
      <c r="O45" s="553">
        <v>0.0</v>
      </c>
      <c r="P45" s="206">
        <v>0.0</v>
      </c>
      <c r="Q45" s="553">
        <v>0.0</v>
      </c>
      <c r="R45" s="206">
        <v>2.0</v>
      </c>
      <c r="S45" s="553">
        <v>0.054</v>
      </c>
      <c r="T45" s="206">
        <v>0.0</v>
      </c>
      <c r="U45" s="553">
        <v>0.0</v>
      </c>
    </row>
    <row r="46">
      <c r="A46" s="204" t="s">
        <v>3529</v>
      </c>
      <c r="B46" s="320"/>
      <c r="C46" s="206">
        <v>11.0</v>
      </c>
      <c r="D46" s="206">
        <v>5.0</v>
      </c>
      <c r="E46" s="553">
        <v>0.455</v>
      </c>
      <c r="F46" s="206">
        <v>6.0</v>
      </c>
      <c r="G46" s="553">
        <v>0.545</v>
      </c>
      <c r="H46" s="206">
        <v>0.0</v>
      </c>
      <c r="I46" s="553">
        <v>0.0</v>
      </c>
      <c r="J46" s="206">
        <v>0.0</v>
      </c>
      <c r="K46" s="553">
        <v>0.0</v>
      </c>
      <c r="L46" s="206">
        <v>0.0</v>
      </c>
      <c r="M46" s="553">
        <v>0.0</v>
      </c>
      <c r="N46" s="206">
        <v>0.0</v>
      </c>
      <c r="O46" s="553">
        <v>0.0</v>
      </c>
      <c r="P46" s="206">
        <v>0.0</v>
      </c>
      <c r="Q46" s="553">
        <v>0.0</v>
      </c>
      <c r="R46" s="206">
        <v>0.0</v>
      </c>
      <c r="S46" s="553">
        <v>0.0</v>
      </c>
      <c r="T46" s="206">
        <v>0.0</v>
      </c>
      <c r="U46" s="553">
        <v>0.0</v>
      </c>
    </row>
    <row r="47">
      <c r="A47" s="204" t="s">
        <v>3819</v>
      </c>
      <c r="B47" s="320"/>
      <c r="C47" s="206">
        <v>72.0</v>
      </c>
      <c r="D47" s="206">
        <v>45.0</v>
      </c>
      <c r="E47" s="553">
        <v>0.625</v>
      </c>
      <c r="F47" s="206">
        <v>9.0</v>
      </c>
      <c r="G47" s="553">
        <v>0.125</v>
      </c>
      <c r="H47" s="206">
        <v>11.0</v>
      </c>
      <c r="I47" s="553">
        <v>0.153</v>
      </c>
      <c r="J47" s="206">
        <v>0.0</v>
      </c>
      <c r="K47" s="553">
        <v>0.0</v>
      </c>
      <c r="L47" s="206">
        <v>0.0</v>
      </c>
      <c r="M47" s="553">
        <v>0.0</v>
      </c>
      <c r="N47" s="206">
        <v>0.0</v>
      </c>
      <c r="O47" s="553">
        <v>0.0</v>
      </c>
      <c r="P47" s="206">
        <v>3.0</v>
      </c>
      <c r="Q47" s="553">
        <v>0.042</v>
      </c>
      <c r="R47" s="206">
        <v>3.0</v>
      </c>
      <c r="S47" s="553">
        <v>0.042</v>
      </c>
      <c r="T47" s="206">
        <v>1.0</v>
      </c>
      <c r="U47" s="553">
        <v>0.014</v>
      </c>
    </row>
    <row r="48">
      <c r="A48" s="204" t="s">
        <v>3296</v>
      </c>
      <c r="B48" s="320"/>
      <c r="C48" s="206">
        <v>80.0</v>
      </c>
      <c r="D48" s="206">
        <v>60.0</v>
      </c>
      <c r="E48" s="553">
        <v>0.75</v>
      </c>
      <c r="F48" s="206">
        <v>17.0</v>
      </c>
      <c r="G48" s="553">
        <v>0.213</v>
      </c>
      <c r="H48" s="206">
        <v>1.0</v>
      </c>
      <c r="I48" s="553">
        <v>0.013</v>
      </c>
      <c r="J48" s="206">
        <v>0.0</v>
      </c>
      <c r="K48" s="553">
        <v>0.0</v>
      </c>
      <c r="L48" s="206">
        <v>0.0</v>
      </c>
      <c r="M48" s="553">
        <v>0.0</v>
      </c>
      <c r="N48" s="206">
        <v>0.0</v>
      </c>
      <c r="O48" s="553">
        <v>0.0</v>
      </c>
      <c r="P48" s="206">
        <v>0.0</v>
      </c>
      <c r="Q48" s="553">
        <v>0.0</v>
      </c>
      <c r="R48" s="206">
        <v>1.0</v>
      </c>
      <c r="S48" s="553">
        <v>0.013</v>
      </c>
      <c r="T48" s="206">
        <v>1.0</v>
      </c>
      <c r="U48" s="553">
        <v>0.013</v>
      </c>
    </row>
    <row r="49">
      <c r="A49" s="204" t="s">
        <v>3820</v>
      </c>
      <c r="B49" s="320"/>
      <c r="C49" s="206">
        <v>27.0</v>
      </c>
      <c r="D49" s="206">
        <v>13.0</v>
      </c>
      <c r="E49" s="553">
        <v>0.481</v>
      </c>
      <c r="F49" s="206">
        <v>2.0</v>
      </c>
      <c r="G49" s="553">
        <v>0.074</v>
      </c>
      <c r="H49" s="206">
        <v>7.0</v>
      </c>
      <c r="I49" s="553">
        <v>0.259</v>
      </c>
      <c r="J49" s="206">
        <v>0.0</v>
      </c>
      <c r="K49" s="553">
        <v>0.0</v>
      </c>
      <c r="L49" s="206">
        <v>0.0</v>
      </c>
      <c r="M49" s="553">
        <v>0.0</v>
      </c>
      <c r="N49" s="206">
        <v>1.0</v>
      </c>
      <c r="O49" s="553">
        <v>0.037</v>
      </c>
      <c r="P49" s="206">
        <v>1.0</v>
      </c>
      <c r="Q49" s="553">
        <v>0.037</v>
      </c>
      <c r="R49" s="206">
        <v>0.0</v>
      </c>
      <c r="S49" s="553">
        <v>0.0</v>
      </c>
      <c r="T49" s="206">
        <v>3.0</v>
      </c>
      <c r="U49" s="553">
        <v>0.111</v>
      </c>
    </row>
    <row r="50">
      <c r="A50" s="204" t="s">
        <v>3821</v>
      </c>
      <c r="B50" s="320"/>
      <c r="C50" s="206">
        <v>231.0</v>
      </c>
      <c r="D50" s="206">
        <v>105.0</v>
      </c>
      <c r="E50" s="553">
        <v>0.455</v>
      </c>
      <c r="F50" s="206">
        <v>62.0</v>
      </c>
      <c r="G50" s="553">
        <v>0.268</v>
      </c>
      <c r="H50" s="206">
        <v>42.0</v>
      </c>
      <c r="I50" s="553">
        <v>0.182</v>
      </c>
      <c r="J50" s="206">
        <v>1.0</v>
      </c>
      <c r="K50" s="553">
        <v>0.004</v>
      </c>
      <c r="L50" s="206">
        <v>1.0</v>
      </c>
      <c r="M50" s="553">
        <v>0.004</v>
      </c>
      <c r="N50" s="206">
        <v>0.0</v>
      </c>
      <c r="O50" s="553">
        <v>0.0</v>
      </c>
      <c r="P50" s="206">
        <v>0.0</v>
      </c>
      <c r="Q50" s="553">
        <v>0.0</v>
      </c>
      <c r="R50" s="206">
        <v>4.0</v>
      </c>
      <c r="S50" s="553">
        <v>0.017</v>
      </c>
      <c r="T50" s="206">
        <v>16.0</v>
      </c>
      <c r="U50" s="553">
        <v>0.069</v>
      </c>
    </row>
    <row r="51">
      <c r="A51" s="204" t="s">
        <v>3822</v>
      </c>
      <c r="B51" s="320"/>
      <c r="C51" s="206">
        <v>45.0</v>
      </c>
      <c r="D51" s="206">
        <v>14.0</v>
      </c>
      <c r="E51" s="553">
        <v>0.311</v>
      </c>
      <c r="F51" s="206">
        <v>19.0</v>
      </c>
      <c r="G51" s="553">
        <v>0.422</v>
      </c>
      <c r="H51" s="206">
        <v>9.0</v>
      </c>
      <c r="I51" s="553">
        <v>0.2</v>
      </c>
      <c r="J51" s="206">
        <v>0.0</v>
      </c>
      <c r="K51" s="553">
        <v>0.0</v>
      </c>
      <c r="L51" s="206">
        <v>0.0</v>
      </c>
      <c r="M51" s="553">
        <v>0.0</v>
      </c>
      <c r="N51" s="206">
        <v>0.0</v>
      </c>
      <c r="O51" s="553">
        <v>0.0</v>
      </c>
      <c r="P51" s="206">
        <v>0.0</v>
      </c>
      <c r="Q51" s="553">
        <v>0.0</v>
      </c>
      <c r="R51" s="206">
        <v>1.0</v>
      </c>
      <c r="S51" s="553">
        <v>0.022</v>
      </c>
      <c r="T51" s="206">
        <v>2.0</v>
      </c>
      <c r="U51" s="553">
        <v>0.044</v>
      </c>
    </row>
    <row r="52">
      <c r="A52" s="204" t="s">
        <v>2589</v>
      </c>
      <c r="B52" s="320"/>
      <c r="C52" s="206">
        <v>21.0</v>
      </c>
      <c r="D52" s="206">
        <v>15.0</v>
      </c>
      <c r="E52" s="553">
        <v>0.714</v>
      </c>
      <c r="F52" s="206">
        <v>4.0</v>
      </c>
      <c r="G52" s="553">
        <v>0.19</v>
      </c>
      <c r="H52" s="206">
        <v>1.0</v>
      </c>
      <c r="I52" s="553">
        <v>0.048</v>
      </c>
      <c r="J52" s="206">
        <v>0.0</v>
      </c>
      <c r="K52" s="553">
        <v>0.0</v>
      </c>
      <c r="L52" s="206">
        <v>0.0</v>
      </c>
      <c r="M52" s="553">
        <v>0.0</v>
      </c>
      <c r="N52" s="206">
        <v>0.0</v>
      </c>
      <c r="O52" s="553">
        <v>0.0</v>
      </c>
      <c r="P52" s="206">
        <v>0.0</v>
      </c>
      <c r="Q52" s="553">
        <v>0.0</v>
      </c>
      <c r="R52" s="206">
        <v>0.0</v>
      </c>
      <c r="S52" s="553">
        <v>0.0</v>
      </c>
      <c r="T52" s="206">
        <v>1.0</v>
      </c>
      <c r="U52" s="553">
        <v>0.048</v>
      </c>
    </row>
    <row r="53">
      <c r="A53" s="204" t="s">
        <v>3823</v>
      </c>
      <c r="B53" s="320"/>
      <c r="C53" s="206">
        <v>17.0</v>
      </c>
      <c r="D53" s="206">
        <v>9.0</v>
      </c>
      <c r="E53" s="553">
        <v>0.529</v>
      </c>
      <c r="F53" s="206">
        <v>1.0</v>
      </c>
      <c r="G53" s="553">
        <v>0.059</v>
      </c>
      <c r="H53" s="206">
        <v>6.0</v>
      </c>
      <c r="I53" s="553">
        <v>0.353</v>
      </c>
      <c r="J53" s="206">
        <v>0.0</v>
      </c>
      <c r="K53" s="553">
        <v>0.0</v>
      </c>
      <c r="L53" s="206">
        <v>0.0</v>
      </c>
      <c r="M53" s="553">
        <v>0.0</v>
      </c>
      <c r="N53" s="206">
        <v>0.0</v>
      </c>
      <c r="O53" s="553">
        <v>0.0</v>
      </c>
      <c r="P53" s="206">
        <v>0.0</v>
      </c>
      <c r="Q53" s="553">
        <v>0.0</v>
      </c>
      <c r="R53" s="206">
        <v>0.0</v>
      </c>
      <c r="S53" s="553">
        <v>0.0</v>
      </c>
      <c r="T53" s="206">
        <v>1.0</v>
      </c>
      <c r="U53" s="553">
        <v>0.059</v>
      </c>
    </row>
    <row r="54">
      <c r="A54" s="204" t="s">
        <v>3824</v>
      </c>
      <c r="B54" s="320"/>
      <c r="C54" s="206">
        <v>218.0</v>
      </c>
      <c r="D54" s="206">
        <v>67.0</v>
      </c>
      <c r="E54" s="553">
        <v>0.307</v>
      </c>
      <c r="F54" s="206">
        <v>121.0</v>
      </c>
      <c r="G54" s="553">
        <v>0.555</v>
      </c>
      <c r="H54" s="206">
        <v>19.0</v>
      </c>
      <c r="I54" s="553">
        <v>0.087</v>
      </c>
      <c r="J54" s="206">
        <v>0.0</v>
      </c>
      <c r="K54" s="553">
        <v>0.0</v>
      </c>
      <c r="L54" s="206">
        <v>0.0</v>
      </c>
      <c r="M54" s="553">
        <v>0.0</v>
      </c>
      <c r="N54" s="206">
        <v>2.0</v>
      </c>
      <c r="O54" s="553">
        <v>0.009</v>
      </c>
      <c r="P54" s="206">
        <v>1.0</v>
      </c>
      <c r="Q54" s="553">
        <v>0.005</v>
      </c>
      <c r="R54" s="206">
        <v>3.0</v>
      </c>
      <c r="S54" s="553">
        <v>0.014</v>
      </c>
      <c r="T54" s="206">
        <v>5.0</v>
      </c>
      <c r="U54" s="553">
        <v>0.023</v>
      </c>
    </row>
    <row r="55">
      <c r="A55" s="204" t="s">
        <v>3825</v>
      </c>
      <c r="B55" s="320"/>
      <c r="C55" s="206">
        <v>17.0</v>
      </c>
      <c r="D55" s="206">
        <v>0.0</v>
      </c>
      <c r="E55" s="553">
        <v>0.0</v>
      </c>
      <c r="F55" s="206">
        <v>15.0</v>
      </c>
      <c r="G55" s="553">
        <v>0.882</v>
      </c>
      <c r="H55" s="206">
        <v>1.0</v>
      </c>
      <c r="I55" s="553">
        <v>0.059</v>
      </c>
      <c r="J55" s="206">
        <v>0.0</v>
      </c>
      <c r="K55" s="553">
        <v>0.0</v>
      </c>
      <c r="L55" s="206">
        <v>0.0</v>
      </c>
      <c r="M55" s="553">
        <v>0.0</v>
      </c>
      <c r="N55" s="206">
        <v>0.0</v>
      </c>
      <c r="O55" s="553">
        <v>0.0</v>
      </c>
      <c r="P55" s="206">
        <v>1.0</v>
      </c>
      <c r="Q55" s="553">
        <v>0.059</v>
      </c>
      <c r="R55" s="206">
        <v>0.0</v>
      </c>
      <c r="S55" s="553">
        <v>0.0</v>
      </c>
      <c r="T55" s="206">
        <v>0.0</v>
      </c>
      <c r="U55" s="553">
        <v>0.0</v>
      </c>
    </row>
    <row r="56">
      <c r="A56" s="204" t="s">
        <v>3826</v>
      </c>
      <c r="B56" s="320"/>
      <c r="C56" s="206">
        <v>102.0</v>
      </c>
      <c r="D56" s="206">
        <v>71.0</v>
      </c>
      <c r="E56" s="553">
        <v>0.696</v>
      </c>
      <c r="F56" s="206">
        <v>10.0</v>
      </c>
      <c r="G56" s="553">
        <v>0.098</v>
      </c>
      <c r="H56" s="206">
        <v>15.0</v>
      </c>
      <c r="I56" s="553">
        <v>0.147</v>
      </c>
      <c r="J56" s="206">
        <v>0.0</v>
      </c>
      <c r="K56" s="553">
        <v>0.0</v>
      </c>
      <c r="L56" s="206">
        <v>0.0</v>
      </c>
      <c r="M56" s="553">
        <v>0.0</v>
      </c>
      <c r="N56" s="206">
        <v>2.0</v>
      </c>
      <c r="O56" s="553">
        <v>0.02</v>
      </c>
      <c r="P56" s="206">
        <v>0.0</v>
      </c>
      <c r="Q56" s="553">
        <v>0.0</v>
      </c>
      <c r="R56" s="206">
        <v>4.0</v>
      </c>
      <c r="S56" s="553">
        <v>0.039</v>
      </c>
      <c r="T56" s="206">
        <v>0.0</v>
      </c>
      <c r="U56" s="553">
        <v>0.0</v>
      </c>
    </row>
    <row r="57">
      <c r="A57" s="204" t="s">
        <v>3827</v>
      </c>
      <c r="B57" s="320"/>
      <c r="C57" s="206">
        <v>518.0</v>
      </c>
      <c r="D57" s="206">
        <v>241.0</v>
      </c>
      <c r="E57" s="553">
        <v>0.465</v>
      </c>
      <c r="F57" s="206">
        <v>163.0</v>
      </c>
      <c r="G57" s="553">
        <v>0.315</v>
      </c>
      <c r="H57" s="206">
        <v>84.0</v>
      </c>
      <c r="I57" s="553">
        <v>0.162</v>
      </c>
      <c r="J57" s="206">
        <v>5.0</v>
      </c>
      <c r="K57" s="553">
        <v>0.01</v>
      </c>
      <c r="L57" s="206">
        <v>1.0</v>
      </c>
      <c r="M57" s="553">
        <v>0.002</v>
      </c>
      <c r="N57" s="206">
        <v>0.0</v>
      </c>
      <c r="O57" s="553">
        <v>0.0</v>
      </c>
      <c r="P57" s="206">
        <v>3.0</v>
      </c>
      <c r="Q57" s="553">
        <v>0.006</v>
      </c>
      <c r="R57" s="206">
        <v>8.0</v>
      </c>
      <c r="S57" s="553">
        <v>0.015</v>
      </c>
      <c r="T57" s="206">
        <v>13.0</v>
      </c>
      <c r="U57" s="553">
        <v>0.025</v>
      </c>
    </row>
    <row r="58">
      <c r="A58" s="204" t="s">
        <v>3532</v>
      </c>
      <c r="B58" s="320"/>
      <c r="C58" s="206">
        <v>109.0</v>
      </c>
      <c r="D58" s="206">
        <v>60.0</v>
      </c>
      <c r="E58" s="553">
        <v>0.55</v>
      </c>
      <c r="F58" s="206">
        <v>25.0</v>
      </c>
      <c r="G58" s="553">
        <v>0.229</v>
      </c>
      <c r="H58" s="206">
        <v>15.0</v>
      </c>
      <c r="I58" s="553">
        <v>0.138</v>
      </c>
      <c r="J58" s="206">
        <v>0.0</v>
      </c>
      <c r="K58" s="553">
        <v>0.0</v>
      </c>
      <c r="L58" s="206">
        <v>0.0</v>
      </c>
      <c r="M58" s="553">
        <v>0.0</v>
      </c>
      <c r="N58" s="206">
        <v>1.0</v>
      </c>
      <c r="O58" s="553">
        <v>0.009</v>
      </c>
      <c r="P58" s="206">
        <v>4.0</v>
      </c>
      <c r="Q58" s="553">
        <v>0.037</v>
      </c>
      <c r="R58" s="206">
        <v>1.0</v>
      </c>
      <c r="S58" s="553">
        <v>0.009</v>
      </c>
      <c r="T58" s="206">
        <v>3.0</v>
      </c>
      <c r="U58" s="553">
        <v>0.028</v>
      </c>
    </row>
    <row r="59">
      <c r="A59" s="204" t="s">
        <v>3828</v>
      </c>
      <c r="B59" s="320"/>
      <c r="C59" s="206">
        <v>42.0</v>
      </c>
      <c r="D59" s="206">
        <v>21.0</v>
      </c>
      <c r="E59" s="553">
        <v>0.5</v>
      </c>
      <c r="F59" s="206">
        <v>13.0</v>
      </c>
      <c r="G59" s="553">
        <v>0.31</v>
      </c>
      <c r="H59" s="206">
        <v>8.0</v>
      </c>
      <c r="I59" s="553">
        <v>0.19</v>
      </c>
      <c r="J59" s="206">
        <v>0.0</v>
      </c>
      <c r="K59" s="553">
        <v>0.0</v>
      </c>
      <c r="L59" s="206">
        <v>0.0</v>
      </c>
      <c r="M59" s="553">
        <v>0.0</v>
      </c>
      <c r="N59" s="206">
        <v>0.0</v>
      </c>
      <c r="O59" s="553">
        <v>0.0</v>
      </c>
      <c r="P59" s="206">
        <v>0.0</v>
      </c>
      <c r="Q59" s="553">
        <v>0.0</v>
      </c>
      <c r="R59" s="206">
        <v>0.0</v>
      </c>
      <c r="S59" s="553">
        <v>0.0</v>
      </c>
      <c r="T59" s="206">
        <v>0.0</v>
      </c>
      <c r="U59" s="553">
        <v>0.0</v>
      </c>
    </row>
    <row r="60">
      <c r="A60" s="204" t="s">
        <v>3829</v>
      </c>
      <c r="B60" s="320"/>
      <c r="C60" s="206">
        <v>74.0</v>
      </c>
      <c r="D60" s="206">
        <v>26.0</v>
      </c>
      <c r="E60" s="553">
        <v>0.351</v>
      </c>
      <c r="F60" s="206">
        <v>40.0</v>
      </c>
      <c r="G60" s="553">
        <v>0.541</v>
      </c>
      <c r="H60" s="206">
        <v>7.0</v>
      </c>
      <c r="I60" s="553">
        <v>0.095</v>
      </c>
      <c r="J60" s="206">
        <v>0.0</v>
      </c>
      <c r="K60" s="553">
        <v>0.0</v>
      </c>
      <c r="L60" s="206">
        <v>0.0</v>
      </c>
      <c r="M60" s="553">
        <v>0.0</v>
      </c>
      <c r="N60" s="206">
        <v>1.0</v>
      </c>
      <c r="O60" s="553">
        <v>0.014</v>
      </c>
      <c r="P60" s="206">
        <v>0.0</v>
      </c>
      <c r="Q60" s="553">
        <v>0.0</v>
      </c>
      <c r="R60" s="206">
        <v>0.0</v>
      </c>
      <c r="S60" s="553">
        <v>0.0</v>
      </c>
      <c r="T60" s="206">
        <v>0.0</v>
      </c>
      <c r="U60" s="553">
        <v>0.0</v>
      </c>
    </row>
    <row r="61">
      <c r="A61" s="204" t="s">
        <v>3830</v>
      </c>
      <c r="B61" s="320"/>
      <c r="C61" s="206">
        <v>127.0</v>
      </c>
      <c r="D61" s="206">
        <v>55.0</v>
      </c>
      <c r="E61" s="553">
        <v>0.433</v>
      </c>
      <c r="F61" s="206">
        <v>50.0</v>
      </c>
      <c r="G61" s="553">
        <v>0.394</v>
      </c>
      <c r="H61" s="206">
        <v>13.0</v>
      </c>
      <c r="I61" s="553">
        <v>0.102</v>
      </c>
      <c r="J61" s="206">
        <v>0.0</v>
      </c>
      <c r="K61" s="553">
        <v>0.0</v>
      </c>
      <c r="L61" s="206">
        <v>1.0</v>
      </c>
      <c r="M61" s="553">
        <v>0.008</v>
      </c>
      <c r="N61" s="206">
        <v>0.0</v>
      </c>
      <c r="O61" s="553">
        <v>0.0</v>
      </c>
      <c r="P61" s="206">
        <v>2.0</v>
      </c>
      <c r="Q61" s="553">
        <v>0.016</v>
      </c>
      <c r="R61" s="206">
        <v>1.0</v>
      </c>
      <c r="S61" s="553">
        <v>0.008</v>
      </c>
      <c r="T61" s="206">
        <v>5.0</v>
      </c>
      <c r="U61" s="553">
        <v>0.039</v>
      </c>
    </row>
    <row r="62">
      <c r="A62" s="204" t="s">
        <v>2597</v>
      </c>
      <c r="B62" s="320"/>
      <c r="C62" s="206">
        <v>25.0</v>
      </c>
      <c r="D62" s="206">
        <v>8.0</v>
      </c>
      <c r="E62" s="553">
        <v>0.32</v>
      </c>
      <c r="F62" s="206">
        <v>3.0</v>
      </c>
      <c r="G62" s="553">
        <v>0.12</v>
      </c>
      <c r="H62" s="206">
        <v>4.0</v>
      </c>
      <c r="I62" s="553">
        <v>0.16</v>
      </c>
      <c r="J62" s="206">
        <v>0.0</v>
      </c>
      <c r="K62" s="553">
        <v>0.0</v>
      </c>
      <c r="L62" s="206">
        <v>1.0</v>
      </c>
      <c r="M62" s="553">
        <v>0.04</v>
      </c>
      <c r="N62" s="206">
        <v>0.0</v>
      </c>
      <c r="O62" s="553">
        <v>0.0</v>
      </c>
      <c r="P62" s="206">
        <v>0.0</v>
      </c>
      <c r="Q62" s="553">
        <v>0.0</v>
      </c>
      <c r="R62" s="206">
        <v>0.0</v>
      </c>
      <c r="S62" s="553">
        <v>0.0</v>
      </c>
      <c r="T62" s="206">
        <v>9.0</v>
      </c>
      <c r="U62" s="553">
        <v>0.36</v>
      </c>
    </row>
    <row r="63">
      <c r="A63" s="204" t="s">
        <v>883</v>
      </c>
      <c r="B63" s="320"/>
      <c r="C63" s="206">
        <v>32.0</v>
      </c>
      <c r="D63" s="206">
        <v>18.0</v>
      </c>
      <c r="E63" s="553">
        <v>0.563</v>
      </c>
      <c r="F63" s="206">
        <v>7.0</v>
      </c>
      <c r="G63" s="553">
        <v>0.219</v>
      </c>
      <c r="H63" s="206">
        <v>4.0</v>
      </c>
      <c r="I63" s="553">
        <v>0.125</v>
      </c>
      <c r="J63" s="206">
        <v>0.0</v>
      </c>
      <c r="K63" s="553">
        <v>0.0</v>
      </c>
      <c r="L63" s="206">
        <v>0.0</v>
      </c>
      <c r="M63" s="553">
        <v>0.0</v>
      </c>
      <c r="N63" s="206">
        <v>0.0</v>
      </c>
      <c r="O63" s="553">
        <v>0.0</v>
      </c>
      <c r="P63" s="206">
        <v>1.0</v>
      </c>
      <c r="Q63" s="553">
        <v>0.031</v>
      </c>
      <c r="R63" s="206">
        <v>0.0</v>
      </c>
      <c r="S63" s="553">
        <v>0.0</v>
      </c>
      <c r="T63" s="206">
        <v>2.0</v>
      </c>
      <c r="U63" s="553">
        <v>0.063</v>
      </c>
    </row>
    <row r="64">
      <c r="A64" s="204" t="s">
        <v>2598</v>
      </c>
      <c r="B64" s="320"/>
      <c r="C64" s="206">
        <v>34.0</v>
      </c>
      <c r="D64" s="206">
        <v>21.0</v>
      </c>
      <c r="E64" s="553">
        <v>0.618</v>
      </c>
      <c r="F64" s="206">
        <v>0.0</v>
      </c>
      <c r="G64" s="553">
        <v>0.0</v>
      </c>
      <c r="H64" s="206">
        <v>13.0</v>
      </c>
      <c r="I64" s="553">
        <v>0.382</v>
      </c>
      <c r="J64" s="206">
        <v>0.0</v>
      </c>
      <c r="K64" s="553">
        <v>0.0</v>
      </c>
      <c r="L64" s="206">
        <v>0.0</v>
      </c>
      <c r="M64" s="553">
        <v>0.0</v>
      </c>
      <c r="N64" s="206">
        <v>0.0</v>
      </c>
      <c r="O64" s="553">
        <v>0.0</v>
      </c>
      <c r="P64" s="206">
        <v>0.0</v>
      </c>
      <c r="Q64" s="553">
        <v>0.0</v>
      </c>
      <c r="R64" s="206">
        <v>0.0</v>
      </c>
      <c r="S64" s="553">
        <v>0.0</v>
      </c>
      <c r="T64" s="206">
        <v>0.0</v>
      </c>
      <c r="U64" s="553">
        <v>0.0</v>
      </c>
    </row>
    <row r="65">
      <c r="A65" s="204" t="s">
        <v>3831</v>
      </c>
      <c r="B65" s="320"/>
      <c r="C65" s="206">
        <v>315.0</v>
      </c>
      <c r="D65" s="206">
        <v>127.0</v>
      </c>
      <c r="E65" s="553">
        <v>0.403</v>
      </c>
      <c r="F65" s="206">
        <v>127.0</v>
      </c>
      <c r="G65" s="553">
        <v>0.403</v>
      </c>
      <c r="H65" s="206">
        <v>35.0</v>
      </c>
      <c r="I65" s="553">
        <v>0.111</v>
      </c>
      <c r="J65" s="206">
        <v>0.0</v>
      </c>
      <c r="K65" s="553">
        <v>0.0</v>
      </c>
      <c r="L65" s="206">
        <v>3.0</v>
      </c>
      <c r="M65" s="553">
        <v>0.01</v>
      </c>
      <c r="N65" s="206">
        <v>0.0</v>
      </c>
      <c r="O65" s="553">
        <v>0.0</v>
      </c>
      <c r="P65" s="206">
        <v>2.0</v>
      </c>
      <c r="Q65" s="553">
        <v>0.006</v>
      </c>
      <c r="R65" s="206">
        <v>8.0</v>
      </c>
      <c r="S65" s="553">
        <v>0.025</v>
      </c>
      <c r="T65" s="206">
        <v>13.0</v>
      </c>
      <c r="U65" s="553">
        <v>0.041</v>
      </c>
    </row>
    <row r="66">
      <c r="A66" s="204" t="s">
        <v>3832</v>
      </c>
      <c r="B66" s="320"/>
      <c r="C66" s="206">
        <v>25.0</v>
      </c>
      <c r="D66" s="206">
        <v>16.0</v>
      </c>
      <c r="E66" s="553">
        <v>0.64</v>
      </c>
      <c r="F66" s="206">
        <v>6.0</v>
      </c>
      <c r="G66" s="553">
        <v>0.24</v>
      </c>
      <c r="H66" s="206">
        <v>2.0</v>
      </c>
      <c r="I66" s="553">
        <v>0.08</v>
      </c>
      <c r="J66" s="206">
        <v>0.0</v>
      </c>
      <c r="K66" s="553">
        <v>0.0</v>
      </c>
      <c r="L66" s="206">
        <v>0.0</v>
      </c>
      <c r="M66" s="553">
        <v>0.0</v>
      </c>
      <c r="N66" s="206">
        <v>0.0</v>
      </c>
      <c r="O66" s="553">
        <v>0.0</v>
      </c>
      <c r="P66" s="206">
        <v>1.0</v>
      </c>
      <c r="Q66" s="553">
        <v>0.04</v>
      </c>
      <c r="R66" s="206">
        <v>0.0</v>
      </c>
      <c r="S66" s="553">
        <v>0.0</v>
      </c>
      <c r="T66" s="206">
        <v>0.0</v>
      </c>
      <c r="U66" s="553">
        <v>0.0</v>
      </c>
    </row>
    <row r="67">
      <c r="A67" s="204" t="s">
        <v>3833</v>
      </c>
      <c r="B67" s="320"/>
      <c r="C67" s="206">
        <v>31.0</v>
      </c>
      <c r="D67" s="206">
        <v>11.0</v>
      </c>
      <c r="E67" s="553">
        <v>0.355</v>
      </c>
      <c r="F67" s="206">
        <v>20.0</v>
      </c>
      <c r="G67" s="553">
        <v>0.645</v>
      </c>
      <c r="H67" s="206">
        <v>0.0</v>
      </c>
      <c r="I67" s="553">
        <v>0.0</v>
      </c>
      <c r="J67" s="206">
        <v>0.0</v>
      </c>
      <c r="K67" s="553">
        <v>0.0</v>
      </c>
      <c r="L67" s="206">
        <v>0.0</v>
      </c>
      <c r="M67" s="553">
        <v>0.0</v>
      </c>
      <c r="N67" s="206">
        <v>0.0</v>
      </c>
      <c r="O67" s="553">
        <v>0.0</v>
      </c>
      <c r="P67" s="206">
        <v>0.0</v>
      </c>
      <c r="Q67" s="553">
        <v>0.0</v>
      </c>
      <c r="R67" s="206">
        <v>0.0</v>
      </c>
      <c r="S67" s="553">
        <v>0.0</v>
      </c>
      <c r="T67" s="206">
        <v>0.0</v>
      </c>
      <c r="U67" s="553">
        <v>0.0</v>
      </c>
    </row>
    <row r="68">
      <c r="A68" s="683"/>
      <c r="B68" s="1"/>
      <c r="G68" s="1"/>
      <c r="H68" s="1"/>
      <c r="I68" s="1"/>
      <c r="J68" s="1"/>
      <c r="K68" s="1"/>
      <c r="L68" s="1"/>
      <c r="M68" s="1"/>
      <c r="N68" s="1"/>
      <c r="O68" s="1"/>
    </row>
    <row r="71">
      <c r="A71" s="275" t="s">
        <v>3834</v>
      </c>
      <c r="B71" s="276"/>
      <c r="C71" s="276"/>
      <c r="D71" s="276"/>
      <c r="E71" s="276"/>
      <c r="F71" s="276"/>
      <c r="G71" s="276"/>
      <c r="H71" s="275" t="s">
        <v>765</v>
      </c>
      <c r="I71" s="276"/>
      <c r="J71" s="276"/>
      <c r="K71" s="276"/>
      <c r="L71" s="275" t="s">
        <v>767</v>
      </c>
      <c r="M71" s="277">
        <v>45469.0</v>
      </c>
      <c r="N71" s="275" t="s">
        <v>769</v>
      </c>
      <c r="O71" s="277">
        <v>45291.0</v>
      </c>
      <c r="P71" s="276"/>
    </row>
    <row r="72">
      <c r="B72" s="1" t="s">
        <v>3835</v>
      </c>
      <c r="C72" s="1" t="s">
        <v>3836</v>
      </c>
    </row>
    <row r="73">
      <c r="A73" s="204" t="s">
        <v>3798</v>
      </c>
      <c r="B73" s="206">
        <v>36.0</v>
      </c>
      <c r="C73" s="553">
        <v>0.663</v>
      </c>
    </row>
    <row r="74">
      <c r="A74" s="204" t="s">
        <v>3799</v>
      </c>
      <c r="B74" s="206">
        <v>3.0</v>
      </c>
      <c r="C74" s="553">
        <v>0.625</v>
      </c>
    </row>
    <row r="75">
      <c r="A75" s="204" t="s">
        <v>3800</v>
      </c>
      <c r="B75" s="206">
        <v>65.0</v>
      </c>
      <c r="C75" s="553">
        <v>0.521</v>
      </c>
    </row>
    <row r="76">
      <c r="A76" s="204" t="s">
        <v>3801</v>
      </c>
      <c r="B76" s="206">
        <v>3.0</v>
      </c>
      <c r="C76" s="553">
        <v>0.615</v>
      </c>
    </row>
    <row r="77">
      <c r="A77" s="204" t="s">
        <v>3802</v>
      </c>
      <c r="B77" s="206">
        <v>21.0</v>
      </c>
      <c r="C77" s="553">
        <v>0.608</v>
      </c>
    </row>
    <row r="78">
      <c r="A78" s="204" t="s">
        <v>3803</v>
      </c>
      <c r="B78" s="206">
        <v>19.0</v>
      </c>
      <c r="C78" s="553">
        <v>0.315</v>
      </c>
    </row>
    <row r="79">
      <c r="A79" s="204" t="s">
        <v>3804</v>
      </c>
      <c r="B79" s="206">
        <v>4.0</v>
      </c>
      <c r="C79" s="553">
        <v>0.269</v>
      </c>
    </row>
    <row r="80">
      <c r="A80" s="204" t="s">
        <v>3805</v>
      </c>
      <c r="B80" s="206">
        <v>12.0</v>
      </c>
      <c r="C80" s="553">
        <v>0.333</v>
      </c>
    </row>
    <row r="81">
      <c r="A81" s="204" t="s">
        <v>2544</v>
      </c>
      <c r="B81" s="206">
        <v>19.0</v>
      </c>
      <c r="C81" s="553">
        <v>0.455</v>
      </c>
    </row>
    <row r="82">
      <c r="A82" s="204" t="s">
        <v>3806</v>
      </c>
      <c r="B82" s="206">
        <v>8.0</v>
      </c>
      <c r="C82" s="553">
        <v>0.583</v>
      </c>
    </row>
    <row r="83">
      <c r="A83" s="204" t="s">
        <v>3807</v>
      </c>
      <c r="B83" s="206">
        <v>38.0</v>
      </c>
      <c r="C83" s="553">
        <v>0.585</v>
      </c>
    </row>
    <row r="84">
      <c r="A84" s="204" t="s">
        <v>2635</v>
      </c>
      <c r="B84" s="206">
        <v>32.0</v>
      </c>
      <c r="C84" s="553">
        <v>0.514</v>
      </c>
    </row>
    <row r="85">
      <c r="A85" s="204" t="s">
        <v>3808</v>
      </c>
      <c r="B85" s="206">
        <v>31.0</v>
      </c>
      <c r="C85" s="553">
        <v>0.519</v>
      </c>
    </row>
    <row r="86">
      <c r="A86" s="204" t="s">
        <v>3809</v>
      </c>
      <c r="B86" s="206">
        <v>165.0</v>
      </c>
      <c r="C86" s="553">
        <v>0.448</v>
      </c>
    </row>
    <row r="87">
      <c r="A87" s="204" t="s">
        <v>3027</v>
      </c>
      <c r="B87" s="206">
        <v>14.0</v>
      </c>
      <c r="C87" s="553">
        <v>0.417</v>
      </c>
    </row>
    <row r="88">
      <c r="A88" s="204" t="s">
        <v>820</v>
      </c>
      <c r="B88" s="206">
        <v>10.0</v>
      </c>
      <c r="C88" s="553">
        <v>0.558</v>
      </c>
    </row>
    <row r="89">
      <c r="A89" s="204" t="s">
        <v>2556</v>
      </c>
      <c r="B89" s="206">
        <v>9.0</v>
      </c>
      <c r="C89" s="1098">
        <v>0.8</v>
      </c>
    </row>
    <row r="90">
      <c r="A90" s="204" t="s">
        <v>3810</v>
      </c>
      <c r="B90" s="206" t="s">
        <v>63</v>
      </c>
      <c r="C90" s="206" t="s">
        <v>63</v>
      </c>
    </row>
    <row r="91">
      <c r="A91" s="204" t="s">
        <v>822</v>
      </c>
      <c r="B91" s="206">
        <v>12.0</v>
      </c>
      <c r="C91" s="553">
        <v>0.639</v>
      </c>
    </row>
    <row r="92">
      <c r="A92" s="204" t="s">
        <v>2559</v>
      </c>
      <c r="B92" s="206">
        <v>0.0</v>
      </c>
      <c r="C92" s="206" t="s">
        <v>63</v>
      </c>
    </row>
    <row r="93">
      <c r="A93" s="204" t="s">
        <v>3811</v>
      </c>
      <c r="B93" s="206">
        <v>11.0</v>
      </c>
      <c r="C93" s="553">
        <v>0.468</v>
      </c>
    </row>
    <row r="94">
      <c r="A94" s="204" t="s">
        <v>827</v>
      </c>
      <c r="B94" s="206">
        <v>47.0</v>
      </c>
      <c r="C94" s="1098">
        <v>0.5</v>
      </c>
    </row>
    <row r="95">
      <c r="A95" s="204" t="s">
        <v>3544</v>
      </c>
      <c r="B95" s="206">
        <v>2.0</v>
      </c>
      <c r="C95" s="553">
        <v>0.273</v>
      </c>
    </row>
    <row r="96">
      <c r="A96" s="204" t="s">
        <v>2571</v>
      </c>
      <c r="B96" s="206">
        <v>3.0</v>
      </c>
      <c r="C96" s="1098">
        <v>0.5</v>
      </c>
    </row>
    <row r="97">
      <c r="A97" s="204" t="s">
        <v>833</v>
      </c>
      <c r="B97" s="206">
        <v>8.0</v>
      </c>
      <c r="C97" s="553">
        <v>0.688</v>
      </c>
    </row>
    <row r="98">
      <c r="A98" s="204" t="s">
        <v>875</v>
      </c>
      <c r="B98" s="206">
        <v>87.0</v>
      </c>
      <c r="C98" s="553">
        <v>0.724</v>
      </c>
    </row>
    <row r="99">
      <c r="A99" s="204" t="s">
        <v>837</v>
      </c>
      <c r="B99" s="206">
        <v>15.0</v>
      </c>
      <c r="C99" s="553">
        <v>0.571</v>
      </c>
    </row>
    <row r="100">
      <c r="A100" s="204" t="s">
        <v>3812</v>
      </c>
      <c r="B100" s="206">
        <v>37.0</v>
      </c>
      <c r="C100" s="553">
        <v>0.707</v>
      </c>
    </row>
    <row r="101">
      <c r="A101" s="204" t="s">
        <v>3813</v>
      </c>
      <c r="B101" s="206">
        <v>63.0</v>
      </c>
      <c r="C101" s="553">
        <v>0.537</v>
      </c>
    </row>
    <row r="102">
      <c r="A102" s="204" t="s">
        <v>3796</v>
      </c>
      <c r="B102" s="206">
        <v>1637.0</v>
      </c>
      <c r="C102" s="553">
        <v>0.555</v>
      </c>
    </row>
    <row r="103">
      <c r="A103" s="204" t="s">
        <v>3814</v>
      </c>
      <c r="B103" s="206">
        <v>94.0</v>
      </c>
      <c r="C103" s="553">
        <v>0.727</v>
      </c>
    </row>
    <row r="104">
      <c r="A104" s="204" t="s">
        <v>3815</v>
      </c>
      <c r="B104" s="206">
        <v>80.0</v>
      </c>
      <c r="C104" s="553">
        <v>0.448</v>
      </c>
    </row>
    <row r="105">
      <c r="A105" s="204" t="s">
        <v>3816</v>
      </c>
      <c r="B105" s="206">
        <v>11.0</v>
      </c>
      <c r="C105" s="1098">
        <v>0.64</v>
      </c>
    </row>
    <row r="106">
      <c r="A106" s="204" t="s">
        <v>1955</v>
      </c>
      <c r="B106" s="206">
        <v>41.0</v>
      </c>
      <c r="C106" s="553">
        <v>0.646</v>
      </c>
    </row>
    <row r="107">
      <c r="A107" s="204" t="s">
        <v>2771</v>
      </c>
      <c r="B107" s="206">
        <v>5.0</v>
      </c>
      <c r="C107" s="1098">
        <v>0.25</v>
      </c>
    </row>
    <row r="108">
      <c r="A108" s="204" t="s">
        <v>3817</v>
      </c>
      <c r="B108" s="206">
        <v>27.0</v>
      </c>
      <c r="C108" s="553">
        <v>0.511</v>
      </c>
    </row>
    <row r="109">
      <c r="A109" s="204" t="s">
        <v>3818</v>
      </c>
      <c r="B109" s="206">
        <v>7.0</v>
      </c>
      <c r="C109" s="553">
        <v>0.714</v>
      </c>
    </row>
    <row r="110">
      <c r="A110" s="204" t="s">
        <v>3529</v>
      </c>
      <c r="B110" s="206">
        <v>1.0</v>
      </c>
      <c r="C110" s="553">
        <v>0.923</v>
      </c>
    </row>
    <row r="111">
      <c r="A111" s="204" t="s">
        <v>3819</v>
      </c>
      <c r="B111" s="206">
        <v>10.0</v>
      </c>
      <c r="C111" s="553">
        <v>0.634</v>
      </c>
    </row>
    <row r="112">
      <c r="A112" s="204" t="s">
        <v>3296</v>
      </c>
      <c r="B112" s="206">
        <v>26.0</v>
      </c>
      <c r="C112" s="553">
        <v>0.605</v>
      </c>
    </row>
    <row r="113">
      <c r="A113" s="204" t="s">
        <v>3820</v>
      </c>
      <c r="B113" s="206">
        <v>13.0</v>
      </c>
      <c r="C113" s="1098">
        <v>0.5</v>
      </c>
    </row>
    <row r="114">
      <c r="A114" s="204" t="s">
        <v>3821</v>
      </c>
      <c r="B114" s="206">
        <v>42.0</v>
      </c>
      <c r="C114" s="553">
        <v>0.643</v>
      </c>
    </row>
    <row r="115">
      <c r="A115" s="204" t="s">
        <v>3822</v>
      </c>
      <c r="B115" s="206">
        <v>14.0</v>
      </c>
      <c r="C115" s="553">
        <v>0.619</v>
      </c>
    </row>
    <row r="116">
      <c r="A116" s="204" t="s">
        <v>2589</v>
      </c>
      <c r="B116" s="206">
        <v>14.0</v>
      </c>
      <c r="C116" s="553">
        <v>0.462</v>
      </c>
    </row>
    <row r="117">
      <c r="A117" s="204" t="s">
        <v>3823</v>
      </c>
      <c r="B117" s="206">
        <v>4.0</v>
      </c>
      <c r="C117" s="553">
        <v>0.308</v>
      </c>
    </row>
    <row r="118">
      <c r="A118" s="204" t="s">
        <v>3824</v>
      </c>
      <c r="B118" s="206">
        <v>68.0</v>
      </c>
      <c r="C118" s="553">
        <v>0.307</v>
      </c>
    </row>
    <row r="119">
      <c r="A119" s="204" t="s">
        <v>3825</v>
      </c>
      <c r="B119" s="206" t="s">
        <v>63</v>
      </c>
      <c r="C119" s="206" t="s">
        <v>63</v>
      </c>
    </row>
    <row r="120">
      <c r="A120" s="204" t="s">
        <v>3826</v>
      </c>
      <c r="B120" s="206">
        <v>20.0</v>
      </c>
      <c r="C120" s="553">
        <v>0.426</v>
      </c>
    </row>
    <row r="121">
      <c r="A121" s="204" t="s">
        <v>3827</v>
      </c>
      <c r="B121" s="206">
        <v>170.0</v>
      </c>
      <c r="C121" s="553">
        <v>0.597</v>
      </c>
    </row>
    <row r="122">
      <c r="A122" s="204" t="s">
        <v>3532</v>
      </c>
      <c r="B122" s="206">
        <v>34.0</v>
      </c>
      <c r="C122" s="553">
        <v>0.431</v>
      </c>
    </row>
    <row r="123">
      <c r="A123" s="204" t="s">
        <v>3828</v>
      </c>
      <c r="B123" s="206">
        <v>3.0</v>
      </c>
      <c r="C123" s="1098">
        <v>0.5</v>
      </c>
    </row>
    <row r="124">
      <c r="A124" s="204" t="s">
        <v>3829</v>
      </c>
      <c r="B124" s="206">
        <v>16.0</v>
      </c>
      <c r="C124" s="553">
        <v>0.516</v>
      </c>
    </row>
    <row r="125">
      <c r="A125" s="204" t="s">
        <v>3830</v>
      </c>
      <c r="B125" s="206">
        <v>20.0</v>
      </c>
      <c r="C125" s="553">
        <v>0.551</v>
      </c>
    </row>
    <row r="126">
      <c r="A126" s="204" t="s">
        <v>2597</v>
      </c>
      <c r="B126" s="206">
        <v>2.0</v>
      </c>
      <c r="C126" s="553">
        <v>0.609</v>
      </c>
    </row>
    <row r="127">
      <c r="A127" s="204" t="s">
        <v>883</v>
      </c>
      <c r="B127" s="206">
        <v>11.0</v>
      </c>
      <c r="C127" s="553">
        <v>0.273</v>
      </c>
    </row>
    <row r="128">
      <c r="A128" s="204" t="s">
        <v>2598</v>
      </c>
      <c r="B128" s="206">
        <v>14.0</v>
      </c>
      <c r="C128" s="553">
        <v>0.875</v>
      </c>
    </row>
    <row r="129">
      <c r="A129" s="204" t="s">
        <v>3831</v>
      </c>
      <c r="B129" s="206">
        <v>49.0</v>
      </c>
      <c r="C129" s="553">
        <v>0.562</v>
      </c>
    </row>
    <row r="130">
      <c r="A130" s="204" t="s">
        <v>3832</v>
      </c>
      <c r="B130" s="206">
        <v>3.0</v>
      </c>
      <c r="C130" s="553">
        <v>0.571</v>
      </c>
    </row>
    <row r="131">
      <c r="A131" s="204" t="s">
        <v>3833</v>
      </c>
      <c r="B131" s="206">
        <v>10.0</v>
      </c>
      <c r="C131" s="553">
        <v>0.462</v>
      </c>
    </row>
    <row r="132">
      <c r="A132" s="202" t="s">
        <v>3633</v>
      </c>
      <c r="B132" s="208">
        <v>3231.0</v>
      </c>
      <c r="C132" s="553">
        <v>0.553</v>
      </c>
    </row>
    <row r="134">
      <c r="A134" s="275" t="s">
        <v>852</v>
      </c>
      <c r="B134" s="276"/>
      <c r="C134" s="276"/>
      <c r="D134" s="276"/>
      <c r="E134" s="276"/>
      <c r="F134" s="276"/>
      <c r="G134" s="276"/>
      <c r="H134" s="275" t="s">
        <v>765</v>
      </c>
      <c r="I134" s="276"/>
      <c r="J134" s="276"/>
      <c r="K134" s="276"/>
      <c r="L134" s="275" t="s">
        <v>767</v>
      </c>
      <c r="M134" s="277">
        <v>45469.0</v>
      </c>
      <c r="N134" s="275" t="s">
        <v>769</v>
      </c>
      <c r="O134" s="277">
        <v>45382.0</v>
      </c>
      <c r="P134" s="276"/>
    </row>
    <row r="135">
      <c r="B135" s="1" t="s">
        <v>3837</v>
      </c>
      <c r="C135" s="1" t="s">
        <v>3838</v>
      </c>
      <c r="F135" s="1" t="s">
        <v>3839</v>
      </c>
      <c r="G135" s="1" t="s">
        <v>3840</v>
      </c>
      <c r="H135" s="1" t="s">
        <v>3841</v>
      </c>
    </row>
    <row r="136">
      <c r="A136" s="1113" t="s">
        <v>1554</v>
      </c>
      <c r="B136" s="322">
        <f>F139</f>
        <v>154</v>
      </c>
      <c r="C136" s="1116">
        <f>H139</f>
        <v>1.87012987</v>
      </c>
      <c r="D136" s="1117" t="s">
        <v>3798</v>
      </c>
      <c r="E136" s="1117" t="s">
        <v>3842</v>
      </c>
      <c r="F136" s="414">
        <v>43.0</v>
      </c>
      <c r="G136" s="413">
        <v>67.0</v>
      </c>
      <c r="H136" s="1118">
        <f t="shared" ref="H136:H367" si="1">G136/F136</f>
        <v>1.558139535</v>
      </c>
    </row>
    <row r="137">
      <c r="A137" s="1113" t="s">
        <v>1197</v>
      </c>
      <c r="B137" s="322">
        <f>F143</f>
        <v>37</v>
      </c>
      <c r="C137" s="1116">
        <f>H143</f>
        <v>2</v>
      </c>
      <c r="D137" s="1117"/>
      <c r="E137" s="1117" t="s">
        <v>3843</v>
      </c>
      <c r="F137" s="414">
        <v>37.0</v>
      </c>
      <c r="G137" s="413">
        <v>73.0</v>
      </c>
      <c r="H137" s="1118">
        <f t="shared" si="1"/>
        <v>1.972972973</v>
      </c>
    </row>
    <row r="138">
      <c r="A138" s="1113" t="s">
        <v>1555</v>
      </c>
      <c r="B138" s="322">
        <f>F147</f>
        <v>177</v>
      </c>
      <c r="C138" s="1116">
        <f>H147</f>
        <v>2.073446328</v>
      </c>
      <c r="D138" s="1117"/>
      <c r="E138" s="1117" t="s">
        <v>3844</v>
      </c>
      <c r="F138" s="414">
        <v>74.0</v>
      </c>
      <c r="G138" s="413">
        <v>148.0</v>
      </c>
      <c r="H138" s="1118">
        <f t="shared" si="1"/>
        <v>2</v>
      </c>
    </row>
    <row r="139">
      <c r="A139" s="1113" t="s">
        <v>1556</v>
      </c>
      <c r="B139" s="322">
        <f>F151</f>
        <v>52</v>
      </c>
      <c r="C139" s="1116">
        <f>H151</f>
        <v>1.903846154</v>
      </c>
      <c r="D139" s="1117"/>
      <c r="E139" s="1117" t="s">
        <v>923</v>
      </c>
      <c r="F139" s="414">
        <v>154.0</v>
      </c>
      <c r="G139" s="413">
        <v>288.0</v>
      </c>
      <c r="H139" s="1118">
        <f t="shared" si="1"/>
        <v>1.87012987</v>
      </c>
    </row>
    <row r="140">
      <c r="A140" s="1113" t="s">
        <v>1557</v>
      </c>
      <c r="B140" s="322">
        <f>F155</f>
        <v>73</v>
      </c>
      <c r="C140" s="1116">
        <f>H155</f>
        <v>2.191780822</v>
      </c>
      <c r="D140" s="1117" t="s">
        <v>3799</v>
      </c>
      <c r="E140" s="1117" t="s">
        <v>3842</v>
      </c>
      <c r="F140" s="414">
        <v>11.0</v>
      </c>
      <c r="G140" s="413">
        <v>19.0</v>
      </c>
      <c r="H140" s="1118">
        <f t="shared" si="1"/>
        <v>1.727272727</v>
      </c>
    </row>
    <row r="141">
      <c r="A141" s="1113" t="s">
        <v>961</v>
      </c>
      <c r="B141" s="322">
        <f>F159</f>
        <v>75</v>
      </c>
      <c r="C141" s="1116">
        <f>H159</f>
        <v>1.786666667</v>
      </c>
      <c r="D141" s="1117"/>
      <c r="E141" s="1117" t="s">
        <v>3843</v>
      </c>
      <c r="F141" s="414">
        <v>3.0</v>
      </c>
      <c r="G141" s="413">
        <v>6.0</v>
      </c>
      <c r="H141" s="1118">
        <f t="shared" si="1"/>
        <v>2</v>
      </c>
    </row>
    <row r="142">
      <c r="A142" s="1113" t="s">
        <v>1558</v>
      </c>
      <c r="B142" s="322">
        <f>F163</f>
        <v>57</v>
      </c>
      <c r="C142" s="1116">
        <f>H163</f>
        <v>2.280701754</v>
      </c>
      <c r="D142" s="1117"/>
      <c r="E142" s="1117" t="s">
        <v>3844</v>
      </c>
      <c r="F142" s="414">
        <v>23.0</v>
      </c>
      <c r="G142" s="413">
        <v>49.0</v>
      </c>
      <c r="H142" s="1118">
        <f t="shared" si="1"/>
        <v>2.130434783</v>
      </c>
    </row>
    <row r="143">
      <c r="A143" s="1113" t="s">
        <v>1559</v>
      </c>
      <c r="B143" s="322">
        <f>F167</f>
        <v>63</v>
      </c>
      <c r="C143" s="1116">
        <f>H167</f>
        <v>2.079365079</v>
      </c>
      <c r="D143" s="1117"/>
      <c r="E143" s="1117" t="s">
        <v>923</v>
      </c>
      <c r="F143" s="414">
        <v>37.0</v>
      </c>
      <c r="G143" s="413">
        <v>74.0</v>
      </c>
      <c r="H143" s="1118">
        <f t="shared" si="1"/>
        <v>2</v>
      </c>
    </row>
    <row r="144">
      <c r="A144" s="1113" t="s">
        <v>711</v>
      </c>
      <c r="B144" s="322">
        <f>F171</f>
        <v>99</v>
      </c>
      <c r="C144" s="1116">
        <f>H171</f>
        <v>2.070707071</v>
      </c>
      <c r="D144" s="1117" t="s">
        <v>3800</v>
      </c>
      <c r="E144" s="1117" t="s">
        <v>3842</v>
      </c>
      <c r="F144" s="414">
        <v>29.0</v>
      </c>
      <c r="G144" s="413">
        <v>41.0</v>
      </c>
      <c r="H144" s="1118">
        <f t="shared" si="1"/>
        <v>1.413793103</v>
      </c>
    </row>
    <row r="145">
      <c r="A145" s="1113" t="s">
        <v>258</v>
      </c>
      <c r="B145" s="322">
        <f>F175</f>
        <v>21</v>
      </c>
      <c r="C145" s="1116">
        <f>H175</f>
        <v>2.095238095</v>
      </c>
      <c r="D145" s="1117"/>
      <c r="E145" s="1117" t="s">
        <v>3843</v>
      </c>
      <c r="F145" s="414">
        <v>16.0</v>
      </c>
      <c r="G145" s="413">
        <v>39.0</v>
      </c>
      <c r="H145" s="1118">
        <f t="shared" si="1"/>
        <v>2.4375</v>
      </c>
    </row>
    <row r="146">
      <c r="A146" s="1113" t="s">
        <v>1560</v>
      </c>
      <c r="B146" s="322">
        <f>F179</f>
        <v>45</v>
      </c>
      <c r="C146" s="1116">
        <f>H179</f>
        <v>1.977777778</v>
      </c>
      <c r="D146" s="1117"/>
      <c r="E146" s="1117" t="s">
        <v>3844</v>
      </c>
      <c r="F146" s="414">
        <v>132.0</v>
      </c>
      <c r="G146" s="413">
        <v>287.0</v>
      </c>
      <c r="H146" s="1118">
        <f t="shared" si="1"/>
        <v>2.174242424</v>
      </c>
    </row>
    <row r="147">
      <c r="A147" s="1113" t="s">
        <v>40</v>
      </c>
      <c r="B147" s="322">
        <f>F183</f>
        <v>67</v>
      </c>
      <c r="C147" s="1116">
        <f>H183</f>
        <v>1.835820896</v>
      </c>
      <c r="D147" s="1117"/>
      <c r="E147" s="1117" t="s">
        <v>923</v>
      </c>
      <c r="F147" s="414">
        <v>177.0</v>
      </c>
      <c r="G147" s="413">
        <v>367.0</v>
      </c>
      <c r="H147" s="1118">
        <f t="shared" si="1"/>
        <v>2.073446328</v>
      </c>
    </row>
    <row r="148">
      <c r="A148" s="1113" t="s">
        <v>1561</v>
      </c>
      <c r="B148" s="322">
        <f>F187</f>
        <v>156</v>
      </c>
      <c r="C148" s="1116">
        <f>H187</f>
        <v>1.83974359</v>
      </c>
      <c r="D148" s="1117" t="s">
        <v>3801</v>
      </c>
      <c r="E148" s="1117" t="s">
        <v>3842</v>
      </c>
      <c r="F148" s="414">
        <v>9.0</v>
      </c>
      <c r="G148" s="413">
        <v>16.0</v>
      </c>
      <c r="H148" s="1118">
        <f t="shared" si="1"/>
        <v>1.777777778</v>
      </c>
    </row>
    <row r="149">
      <c r="A149" s="1113" t="s">
        <v>464</v>
      </c>
      <c r="B149" s="322">
        <f>F191</f>
        <v>478</v>
      </c>
      <c r="C149" s="1116">
        <f>H191</f>
        <v>1.826359833</v>
      </c>
      <c r="D149" s="1117"/>
      <c r="E149" s="1117" t="s">
        <v>3843</v>
      </c>
      <c r="F149" s="414">
        <v>11.0</v>
      </c>
      <c r="G149" s="413">
        <v>20.0</v>
      </c>
      <c r="H149" s="1118">
        <f t="shared" si="1"/>
        <v>1.818181818</v>
      </c>
    </row>
    <row r="150">
      <c r="A150" s="1113" t="s">
        <v>516</v>
      </c>
      <c r="B150" s="322">
        <f>F195</f>
        <v>28</v>
      </c>
      <c r="C150" s="1116">
        <f>H195</f>
        <v>2</v>
      </c>
      <c r="D150" s="1117"/>
      <c r="E150" s="1117" t="s">
        <v>3844</v>
      </c>
      <c r="F150" s="414">
        <v>32.0</v>
      </c>
      <c r="G150" s="413">
        <v>63.0</v>
      </c>
      <c r="H150" s="1118">
        <f t="shared" si="1"/>
        <v>1.96875</v>
      </c>
    </row>
    <row r="151">
      <c r="A151" s="1113" t="s">
        <v>136</v>
      </c>
      <c r="B151" s="322">
        <f>F199</f>
        <v>87</v>
      </c>
      <c r="C151" s="1116">
        <f>H199</f>
        <v>2.471264368</v>
      </c>
      <c r="D151" s="1117"/>
      <c r="E151" s="1117" t="s">
        <v>923</v>
      </c>
      <c r="F151" s="414">
        <v>52.0</v>
      </c>
      <c r="G151" s="413">
        <v>99.0</v>
      </c>
      <c r="H151" s="1118">
        <f t="shared" si="1"/>
        <v>1.903846154</v>
      </c>
    </row>
    <row r="152">
      <c r="A152" s="1113" t="s">
        <v>275</v>
      </c>
      <c r="B152" s="322">
        <f>F203</f>
        <v>41</v>
      </c>
      <c r="C152" s="1116">
        <f>H203</f>
        <v>2.341463415</v>
      </c>
      <c r="D152" s="1117" t="s">
        <v>3802</v>
      </c>
      <c r="E152" s="1117" t="s">
        <v>3842</v>
      </c>
      <c r="F152" s="414">
        <v>25.0</v>
      </c>
      <c r="G152" s="413">
        <v>42.0</v>
      </c>
      <c r="H152" s="1118">
        <f t="shared" si="1"/>
        <v>1.68</v>
      </c>
    </row>
    <row r="153">
      <c r="A153" s="1113" t="s">
        <v>1248</v>
      </c>
      <c r="B153" s="322">
        <f>F207</f>
        <v>33</v>
      </c>
      <c r="C153" s="1116">
        <f>H207</f>
        <v>2.151515152</v>
      </c>
      <c r="D153" s="1117"/>
      <c r="E153" s="1117" t="s">
        <v>3843</v>
      </c>
      <c r="F153" s="414">
        <v>17.0</v>
      </c>
      <c r="G153" s="413">
        <v>38.0</v>
      </c>
      <c r="H153" s="1118">
        <f t="shared" si="1"/>
        <v>2.235294118</v>
      </c>
    </row>
    <row r="154">
      <c r="A154" s="1113" t="s">
        <v>138</v>
      </c>
      <c r="B154" s="322">
        <f>F211</f>
        <v>31</v>
      </c>
      <c r="C154" s="1116">
        <f>H211</f>
        <v>2.129032258</v>
      </c>
      <c r="D154" s="1117"/>
      <c r="E154" s="1117" t="s">
        <v>3844</v>
      </c>
      <c r="F154" s="414">
        <v>31.0</v>
      </c>
      <c r="G154" s="413">
        <v>80.0</v>
      </c>
      <c r="H154" s="1118">
        <f t="shared" si="1"/>
        <v>2.580645161</v>
      </c>
    </row>
    <row r="155">
      <c r="A155" s="1113" t="s">
        <v>497</v>
      </c>
      <c r="B155" s="322">
        <f>F215</f>
        <v>2</v>
      </c>
      <c r="C155" s="1116">
        <f>H215</f>
        <v>2</v>
      </c>
      <c r="D155" s="1117"/>
      <c r="E155" s="1117" t="s">
        <v>923</v>
      </c>
      <c r="F155" s="414">
        <v>73.0</v>
      </c>
      <c r="G155" s="413">
        <v>160.0</v>
      </c>
      <c r="H155" s="1118">
        <f t="shared" si="1"/>
        <v>2.191780822</v>
      </c>
    </row>
    <row r="156">
      <c r="A156" s="1113" t="s">
        <v>1562</v>
      </c>
      <c r="B156" s="322">
        <f>F219</f>
        <v>58</v>
      </c>
      <c r="C156" s="1116">
        <f>H219</f>
        <v>2.362068966</v>
      </c>
      <c r="D156" s="1117" t="s">
        <v>3803</v>
      </c>
      <c r="E156" s="1117" t="s">
        <v>3842</v>
      </c>
      <c r="F156" s="414">
        <v>18.0</v>
      </c>
      <c r="G156" s="413">
        <v>28.0</v>
      </c>
      <c r="H156" s="1118">
        <f t="shared" si="1"/>
        <v>1.555555556</v>
      </c>
    </row>
    <row r="157">
      <c r="A157" s="1113" t="s">
        <v>143</v>
      </c>
      <c r="B157" s="322">
        <f>F223</f>
        <v>74</v>
      </c>
      <c r="C157" s="1116">
        <f>H223</f>
        <v>2.364864865</v>
      </c>
      <c r="D157" s="1117"/>
      <c r="E157" s="1117" t="s">
        <v>3843</v>
      </c>
      <c r="F157" s="414">
        <v>8.0</v>
      </c>
      <c r="G157" s="413">
        <v>16.0</v>
      </c>
      <c r="H157" s="1118">
        <f t="shared" si="1"/>
        <v>2</v>
      </c>
    </row>
    <row r="158">
      <c r="A158" s="1113" t="s">
        <v>682</v>
      </c>
      <c r="B158" s="322">
        <f>F227</f>
        <v>33</v>
      </c>
      <c r="C158" s="1116">
        <f>H227</f>
        <v>2.181818182</v>
      </c>
      <c r="D158" s="1117"/>
      <c r="E158" s="1117" t="s">
        <v>3844</v>
      </c>
      <c r="F158" s="414">
        <v>49.0</v>
      </c>
      <c r="G158" s="413">
        <v>90.0</v>
      </c>
      <c r="H158" s="1118">
        <f t="shared" si="1"/>
        <v>1.836734694</v>
      </c>
    </row>
    <row r="159">
      <c r="A159" s="1113" t="s">
        <v>730</v>
      </c>
      <c r="B159" s="322">
        <f>F231</f>
        <v>18</v>
      </c>
      <c r="C159" s="1116">
        <f>H231</f>
        <v>2.277777778</v>
      </c>
      <c r="D159" s="1117"/>
      <c r="E159" s="1117" t="s">
        <v>923</v>
      </c>
      <c r="F159" s="414">
        <v>75.0</v>
      </c>
      <c r="G159" s="413">
        <v>134.0</v>
      </c>
      <c r="H159" s="1118">
        <f t="shared" si="1"/>
        <v>1.786666667</v>
      </c>
    </row>
    <row r="160">
      <c r="A160" s="1113" t="s">
        <v>151</v>
      </c>
      <c r="B160" s="322">
        <f>F235</f>
        <v>34</v>
      </c>
      <c r="C160" s="1116">
        <f>H235</f>
        <v>2.352941176</v>
      </c>
      <c r="D160" s="1117" t="s">
        <v>3804</v>
      </c>
      <c r="E160" s="1117" t="s">
        <v>3842</v>
      </c>
      <c r="F160" s="414">
        <v>11.0</v>
      </c>
      <c r="G160" s="413">
        <v>19.0</v>
      </c>
      <c r="H160" s="1118">
        <f t="shared" si="1"/>
        <v>1.727272727</v>
      </c>
    </row>
    <row r="161">
      <c r="A161" s="1113" t="s">
        <v>156</v>
      </c>
      <c r="B161" s="322">
        <f>F239</f>
        <v>301</v>
      </c>
      <c r="C161" s="1116">
        <f>H239</f>
        <v>2.03986711</v>
      </c>
      <c r="D161" s="1117"/>
      <c r="E161" s="1117" t="s">
        <v>3843</v>
      </c>
      <c r="F161" s="414">
        <v>3.0</v>
      </c>
      <c r="G161" s="413">
        <v>8.0</v>
      </c>
      <c r="H161" s="1118">
        <f t="shared" si="1"/>
        <v>2.666666667</v>
      </c>
    </row>
    <row r="162">
      <c r="A162" s="1113" t="s">
        <v>157</v>
      </c>
      <c r="B162" s="322">
        <f>F243</f>
        <v>29</v>
      </c>
      <c r="C162" s="1116">
        <f>H243</f>
        <v>2.551724138</v>
      </c>
      <c r="D162" s="1117"/>
      <c r="E162" s="1117" t="s">
        <v>3844</v>
      </c>
      <c r="F162" s="414">
        <v>43.0</v>
      </c>
      <c r="G162" s="413">
        <v>103.0</v>
      </c>
      <c r="H162" s="1118">
        <f t="shared" si="1"/>
        <v>2.395348837</v>
      </c>
    </row>
    <row r="163">
      <c r="A163" s="1113" t="s">
        <v>330</v>
      </c>
      <c r="B163" s="322">
        <f>F247</f>
        <v>213</v>
      </c>
      <c r="C163" s="1116">
        <f>H202</f>
        <v>2.764705882</v>
      </c>
      <c r="D163" s="1117"/>
      <c r="E163" s="1117" t="s">
        <v>923</v>
      </c>
      <c r="F163" s="414">
        <v>57.0</v>
      </c>
      <c r="G163" s="413">
        <v>130.0</v>
      </c>
      <c r="H163" s="1118">
        <f t="shared" si="1"/>
        <v>2.280701754</v>
      </c>
    </row>
    <row r="164">
      <c r="A164" s="1113" t="s">
        <v>1563</v>
      </c>
      <c r="B164" s="322">
        <f>F251</f>
        <v>126</v>
      </c>
      <c r="C164" s="1116">
        <f>H251</f>
        <v>2.174603175</v>
      </c>
      <c r="D164" s="1117" t="s">
        <v>3805</v>
      </c>
      <c r="E164" s="1117" t="s">
        <v>3842</v>
      </c>
      <c r="F164" s="414">
        <v>14.0</v>
      </c>
      <c r="G164" s="413">
        <v>19.0</v>
      </c>
      <c r="H164" s="1118">
        <f t="shared" si="1"/>
        <v>1.357142857</v>
      </c>
    </row>
    <row r="165">
      <c r="A165" s="1113" t="s">
        <v>685</v>
      </c>
      <c r="B165" s="322">
        <f>F255</f>
        <v>201</v>
      </c>
      <c r="C165" s="1116">
        <f>H255</f>
        <v>2.218905473</v>
      </c>
      <c r="D165" s="1117"/>
      <c r="E165" s="1117" t="s">
        <v>3843</v>
      </c>
      <c r="F165" s="414">
        <v>9.0</v>
      </c>
      <c r="G165" s="413">
        <v>24.0</v>
      </c>
      <c r="H165" s="1118">
        <f t="shared" si="1"/>
        <v>2.666666667</v>
      </c>
      <c r="I165" s="1045"/>
    </row>
    <row r="166">
      <c r="A166" s="1113" t="s">
        <v>1564</v>
      </c>
      <c r="B166" s="322">
        <f>F259</f>
        <v>314</v>
      </c>
      <c r="C166" s="1116">
        <f>H259</f>
        <v>2.076433121</v>
      </c>
      <c r="D166" s="1117"/>
      <c r="E166" s="1117" t="s">
        <v>3844</v>
      </c>
      <c r="F166" s="414">
        <v>40.0</v>
      </c>
      <c r="G166" s="413">
        <v>88.0</v>
      </c>
      <c r="H166" s="1118">
        <f t="shared" si="1"/>
        <v>2.2</v>
      </c>
      <c r="I166" s="1045"/>
    </row>
    <row r="167">
      <c r="A167" s="1113" t="s">
        <v>1565</v>
      </c>
      <c r="B167" s="322">
        <f>F263</f>
        <v>46</v>
      </c>
      <c r="C167" s="1116">
        <f>H263</f>
        <v>1.934782609</v>
      </c>
      <c r="D167" s="1117"/>
      <c r="E167" s="1117" t="s">
        <v>923</v>
      </c>
      <c r="F167" s="414">
        <v>63.0</v>
      </c>
      <c r="G167" s="413">
        <v>131.0</v>
      </c>
      <c r="H167" s="1118">
        <f t="shared" si="1"/>
        <v>2.079365079</v>
      </c>
      <c r="I167" s="1045"/>
    </row>
    <row r="168">
      <c r="A168" s="1113" t="s">
        <v>241</v>
      </c>
      <c r="B168" s="322">
        <f>F267</f>
        <v>255</v>
      </c>
      <c r="C168" s="1116">
        <f>H267</f>
        <v>2.007843137</v>
      </c>
      <c r="D168" s="1117" t="s">
        <v>2544</v>
      </c>
      <c r="E168" s="1117" t="s">
        <v>3842</v>
      </c>
      <c r="F168" s="414">
        <v>22.0</v>
      </c>
      <c r="G168" s="413">
        <v>37.0</v>
      </c>
      <c r="H168" s="1118">
        <f t="shared" si="1"/>
        <v>1.681818182</v>
      </c>
      <c r="I168" s="1045"/>
    </row>
    <row r="169">
      <c r="A169" s="204" t="s">
        <v>1163</v>
      </c>
      <c r="B169" s="322">
        <f>F271</f>
        <v>30</v>
      </c>
      <c r="C169" s="1116">
        <f>H271</f>
        <v>2.4</v>
      </c>
      <c r="D169" s="1117"/>
      <c r="E169" s="1117" t="s">
        <v>3843</v>
      </c>
      <c r="F169" s="414">
        <v>29.0</v>
      </c>
      <c r="G169" s="413">
        <v>65.0</v>
      </c>
      <c r="H169" s="1118">
        <f t="shared" si="1"/>
        <v>2.24137931</v>
      </c>
      <c r="I169" s="1045"/>
    </row>
    <row r="170">
      <c r="A170" s="1113" t="s">
        <v>1566</v>
      </c>
      <c r="B170" s="322">
        <f>F275</f>
        <v>131</v>
      </c>
      <c r="C170" s="1116">
        <f>H275</f>
        <v>2.221374046</v>
      </c>
      <c r="D170" s="1117"/>
      <c r="E170" s="1117" t="s">
        <v>3844</v>
      </c>
      <c r="F170" s="414">
        <v>48.0</v>
      </c>
      <c r="G170" s="413">
        <v>103.0</v>
      </c>
      <c r="H170" s="1118">
        <f t="shared" si="1"/>
        <v>2.145833333</v>
      </c>
      <c r="I170" s="1045"/>
    </row>
    <row r="171">
      <c r="A171" s="1113" t="s">
        <v>1286</v>
      </c>
      <c r="B171" s="322">
        <f>F279</f>
        <v>27</v>
      </c>
      <c r="C171" s="1116">
        <f>H279</f>
        <v>2.444444444</v>
      </c>
      <c r="D171" s="1117"/>
      <c r="E171" s="1117" t="s">
        <v>923</v>
      </c>
      <c r="F171" s="414">
        <v>99.0</v>
      </c>
      <c r="G171" s="413">
        <v>205.0</v>
      </c>
      <c r="H171" s="1118">
        <f t="shared" si="1"/>
        <v>2.070707071</v>
      </c>
      <c r="I171" s="1045"/>
    </row>
    <row r="172">
      <c r="A172" s="1113" t="s">
        <v>518</v>
      </c>
      <c r="B172" s="322">
        <f>F283</f>
        <v>24</v>
      </c>
      <c r="C172" s="1116">
        <f>H193</f>
        <v>2.166666667</v>
      </c>
      <c r="D172" s="1117" t="s">
        <v>3806</v>
      </c>
      <c r="E172" s="1117" t="s">
        <v>3842</v>
      </c>
      <c r="F172" s="414">
        <v>5.0</v>
      </c>
      <c r="G172" s="413">
        <v>6.0</v>
      </c>
      <c r="H172" s="1118">
        <f t="shared" si="1"/>
        <v>1.2</v>
      </c>
      <c r="I172" s="1045"/>
    </row>
    <row r="173">
      <c r="A173" s="1113" t="s">
        <v>1567</v>
      </c>
      <c r="B173" s="322">
        <f>F287</f>
        <v>74</v>
      </c>
      <c r="C173" s="1116">
        <f>H287</f>
        <v>2.391891892</v>
      </c>
      <c r="D173" s="1117"/>
      <c r="E173" s="1117" t="s">
        <v>3843</v>
      </c>
      <c r="F173" s="414">
        <v>2.0</v>
      </c>
      <c r="G173" s="413">
        <v>5.0</v>
      </c>
      <c r="H173" s="1118">
        <f t="shared" si="1"/>
        <v>2.5</v>
      </c>
      <c r="I173" s="1045"/>
    </row>
    <row r="174">
      <c r="A174" s="1113" t="s">
        <v>1568</v>
      </c>
      <c r="B174" s="322">
        <f>F291</f>
        <v>103</v>
      </c>
      <c r="C174" s="1116">
        <f>H291</f>
        <v>2.213592233</v>
      </c>
      <c r="D174" s="1117"/>
      <c r="E174" s="1117" t="s">
        <v>3844</v>
      </c>
      <c r="F174" s="414">
        <v>14.0</v>
      </c>
      <c r="G174" s="413">
        <v>33.0</v>
      </c>
      <c r="H174" s="1118">
        <f t="shared" si="1"/>
        <v>2.357142857</v>
      </c>
      <c r="I174" s="1045"/>
    </row>
    <row r="175">
      <c r="A175" s="1113" t="s">
        <v>1570</v>
      </c>
      <c r="B175" s="322">
        <f>F299</f>
        <v>79</v>
      </c>
      <c r="C175" s="1116">
        <f>H299</f>
        <v>2.405063291</v>
      </c>
      <c r="D175" s="1117"/>
      <c r="E175" s="1117" t="s">
        <v>923</v>
      </c>
      <c r="F175" s="414">
        <v>21.0</v>
      </c>
      <c r="G175" s="413">
        <v>44.0</v>
      </c>
      <c r="H175" s="1118">
        <f t="shared" si="1"/>
        <v>2.095238095</v>
      </c>
      <c r="I175" s="1045"/>
    </row>
    <row r="176">
      <c r="A176" s="1113" t="s">
        <v>1571</v>
      </c>
      <c r="B176" s="322">
        <f>F303</f>
        <v>97</v>
      </c>
      <c r="C176" s="1116">
        <f>H303</f>
        <v>2.412371134</v>
      </c>
      <c r="D176" s="1117" t="s">
        <v>3807</v>
      </c>
      <c r="E176" s="1117" t="s">
        <v>3842</v>
      </c>
      <c r="F176" s="414">
        <v>18.0</v>
      </c>
      <c r="G176" s="413">
        <v>34.0</v>
      </c>
      <c r="H176" s="1118">
        <f t="shared" si="1"/>
        <v>1.888888889</v>
      </c>
      <c r="I176" s="1045"/>
    </row>
    <row r="177">
      <c r="A177" s="1113" t="s">
        <v>1572</v>
      </c>
      <c r="B177" s="322">
        <f>F307</f>
        <v>32</v>
      </c>
      <c r="C177" s="1116">
        <f>H307</f>
        <v>2.46875</v>
      </c>
      <c r="D177" s="322"/>
      <c r="E177" s="1117" t="s">
        <v>3843</v>
      </c>
      <c r="F177" s="414">
        <v>1.0</v>
      </c>
      <c r="G177" s="413">
        <v>1.0</v>
      </c>
      <c r="H177" s="1118">
        <f t="shared" si="1"/>
        <v>1</v>
      </c>
      <c r="I177" s="1045"/>
    </row>
    <row r="178">
      <c r="A178" s="1113" t="s">
        <v>746</v>
      </c>
      <c r="B178" s="322">
        <f>F311</f>
        <v>13</v>
      </c>
      <c r="C178" s="1116">
        <f>H311</f>
        <v>1.923076923</v>
      </c>
      <c r="D178" s="322"/>
      <c r="E178" s="1117" t="s">
        <v>3844</v>
      </c>
      <c r="F178" s="414">
        <v>26.0</v>
      </c>
      <c r="G178" s="413">
        <v>54.0</v>
      </c>
      <c r="H178" s="1118">
        <f t="shared" si="1"/>
        <v>2.076923077</v>
      </c>
      <c r="I178" s="1045"/>
    </row>
    <row r="179">
      <c r="A179" s="1113" t="s">
        <v>1573</v>
      </c>
      <c r="B179" s="322">
        <f>F315</f>
        <v>18</v>
      </c>
      <c r="C179" s="1116">
        <f>H315</f>
        <v>2.777777778</v>
      </c>
      <c r="D179" s="322"/>
      <c r="E179" s="1117" t="s">
        <v>923</v>
      </c>
      <c r="F179" s="414">
        <v>45.0</v>
      </c>
      <c r="G179" s="413">
        <v>89.0</v>
      </c>
      <c r="H179" s="1118">
        <f t="shared" si="1"/>
        <v>1.977777778</v>
      </c>
    </row>
    <row r="180">
      <c r="A180" s="204" t="s">
        <v>3845</v>
      </c>
      <c r="B180" s="322">
        <f>F295</f>
        <v>171</v>
      </c>
      <c r="C180" s="1116">
        <f>H295</f>
        <v>2.362573099</v>
      </c>
      <c r="D180" s="320" t="s">
        <v>2635</v>
      </c>
      <c r="E180" s="1117" t="s">
        <v>3842</v>
      </c>
      <c r="F180" s="414">
        <v>28.0</v>
      </c>
      <c r="G180" s="413">
        <v>31.0</v>
      </c>
      <c r="H180" s="1118">
        <f t="shared" si="1"/>
        <v>1.107142857</v>
      </c>
    </row>
    <row r="181">
      <c r="A181" s="204" t="s">
        <v>3846</v>
      </c>
      <c r="B181" s="320" t="s">
        <v>63</v>
      </c>
      <c r="C181" s="1119" t="s">
        <v>63</v>
      </c>
      <c r="D181" s="320"/>
      <c r="E181" s="1117" t="s">
        <v>3843</v>
      </c>
      <c r="F181" s="414">
        <v>13.0</v>
      </c>
      <c r="G181" s="413">
        <v>40.0</v>
      </c>
      <c r="H181" s="1118">
        <f t="shared" si="1"/>
        <v>3.076923077</v>
      </c>
    </row>
    <row r="182">
      <c r="A182" s="1113" t="s">
        <v>859</v>
      </c>
      <c r="B182" s="322">
        <f>F319</f>
        <v>61</v>
      </c>
      <c r="C182" s="1116">
        <f>H319</f>
        <v>2.573770492</v>
      </c>
      <c r="D182" s="320"/>
      <c r="E182" s="1117" t="s">
        <v>3844</v>
      </c>
      <c r="F182" s="414">
        <v>26.0</v>
      </c>
      <c r="G182" s="413">
        <v>52.0</v>
      </c>
      <c r="H182" s="1118">
        <f t="shared" si="1"/>
        <v>2</v>
      </c>
    </row>
    <row r="183">
      <c r="A183" s="1113" t="s">
        <v>299</v>
      </c>
      <c r="B183" s="322">
        <f>F323</f>
        <v>451</v>
      </c>
      <c r="C183" s="1116">
        <f>H323</f>
        <v>1.953436807</v>
      </c>
      <c r="D183" s="320"/>
      <c r="E183" s="1117" t="s">
        <v>923</v>
      </c>
      <c r="F183" s="414">
        <v>67.0</v>
      </c>
      <c r="G183" s="413">
        <v>123.0</v>
      </c>
      <c r="H183" s="1118">
        <f t="shared" si="1"/>
        <v>1.835820896</v>
      </c>
    </row>
    <row r="184">
      <c r="A184" s="1113" t="s">
        <v>860</v>
      </c>
      <c r="B184" s="322">
        <f>F327</f>
        <v>81</v>
      </c>
      <c r="C184" s="1116">
        <f>H327</f>
        <v>2.358024691</v>
      </c>
      <c r="D184" s="320" t="s">
        <v>3808</v>
      </c>
      <c r="E184" s="1117" t="s">
        <v>3842</v>
      </c>
      <c r="F184" s="414">
        <v>44.0</v>
      </c>
      <c r="G184" s="413">
        <v>68.0</v>
      </c>
      <c r="H184" s="1118">
        <f t="shared" si="1"/>
        <v>1.545454545</v>
      </c>
    </row>
    <row r="185">
      <c r="A185" s="1113" t="s">
        <v>1574</v>
      </c>
      <c r="B185" s="322">
        <f>F331</f>
        <v>30</v>
      </c>
      <c r="C185" s="1116">
        <f>H331</f>
        <v>2.433333333</v>
      </c>
      <c r="D185" s="320"/>
      <c r="E185" s="1117" t="s">
        <v>3843</v>
      </c>
      <c r="F185" s="414">
        <v>14.0</v>
      </c>
      <c r="G185" s="413">
        <v>29.0</v>
      </c>
      <c r="H185" s="1118">
        <f t="shared" si="1"/>
        <v>2.071428571</v>
      </c>
    </row>
    <row r="186">
      <c r="A186" s="1113" t="s">
        <v>1575</v>
      </c>
      <c r="B186" s="322">
        <f>F335</f>
        <v>52</v>
      </c>
      <c r="C186" s="1116">
        <f>H335</f>
        <v>1.730769231</v>
      </c>
      <c r="D186" s="320"/>
      <c r="E186" s="1117" t="s">
        <v>3844</v>
      </c>
      <c r="F186" s="414">
        <v>98.0</v>
      </c>
      <c r="G186" s="413">
        <v>190.0</v>
      </c>
      <c r="H186" s="1118">
        <f t="shared" si="1"/>
        <v>1.93877551</v>
      </c>
    </row>
    <row r="187">
      <c r="A187" s="1113" t="s">
        <v>1576</v>
      </c>
      <c r="B187" s="322">
        <f>F339</f>
        <v>119</v>
      </c>
      <c r="C187" s="1116">
        <f>H339</f>
        <v>2.016806723</v>
      </c>
      <c r="D187" s="320"/>
      <c r="E187" s="1117" t="s">
        <v>923</v>
      </c>
      <c r="F187" s="414">
        <v>156.0</v>
      </c>
      <c r="G187" s="413">
        <v>287.0</v>
      </c>
      <c r="H187" s="1118">
        <f t="shared" si="1"/>
        <v>1.83974359</v>
      </c>
    </row>
    <row r="188">
      <c r="A188" s="1113" t="s">
        <v>647</v>
      </c>
      <c r="B188" s="322">
        <f>F343</f>
        <v>33</v>
      </c>
      <c r="C188" s="1116">
        <f>H343</f>
        <v>2.181818182</v>
      </c>
      <c r="D188" s="320" t="s">
        <v>3809</v>
      </c>
      <c r="E188" s="1117" t="s">
        <v>3842</v>
      </c>
      <c r="F188" s="414">
        <v>183.0</v>
      </c>
      <c r="G188" s="413">
        <v>282.0</v>
      </c>
      <c r="H188" s="1118">
        <f t="shared" si="1"/>
        <v>1.540983607</v>
      </c>
    </row>
    <row r="189">
      <c r="A189" s="1113" t="s">
        <v>119</v>
      </c>
      <c r="B189" s="322">
        <f>F347</f>
        <v>42</v>
      </c>
      <c r="C189" s="1116">
        <f>H347</f>
        <v>3.071428571</v>
      </c>
      <c r="D189" s="320"/>
      <c r="E189" s="1117" t="s">
        <v>3843</v>
      </c>
      <c r="F189" s="414">
        <v>56.0</v>
      </c>
      <c r="G189" s="413">
        <v>116.0</v>
      </c>
      <c r="H189" s="1118">
        <f t="shared" si="1"/>
        <v>2.071428571</v>
      </c>
    </row>
    <row r="190">
      <c r="A190" s="1113" t="s">
        <v>273</v>
      </c>
      <c r="B190" s="322">
        <f>F351</f>
        <v>49</v>
      </c>
      <c r="C190" s="1116">
        <f>H351</f>
        <v>2.673469388</v>
      </c>
      <c r="D190" s="320"/>
      <c r="E190" s="1117" t="s">
        <v>3844</v>
      </c>
      <c r="F190" s="414">
        <v>239.0</v>
      </c>
      <c r="G190" s="413">
        <v>475.0</v>
      </c>
      <c r="H190" s="1118">
        <f t="shared" si="1"/>
        <v>1.987447699</v>
      </c>
    </row>
    <row r="191">
      <c r="A191" s="1113" t="s">
        <v>426</v>
      </c>
      <c r="B191" s="322">
        <f>F355</f>
        <v>363</v>
      </c>
      <c r="C191" s="1116">
        <f>H355</f>
        <v>1.977961433</v>
      </c>
      <c r="D191" s="320"/>
      <c r="E191" s="1117" t="s">
        <v>923</v>
      </c>
      <c r="F191" s="414">
        <v>478.0</v>
      </c>
      <c r="G191" s="413">
        <v>873.0</v>
      </c>
      <c r="H191" s="1118">
        <f t="shared" si="1"/>
        <v>1.826359833</v>
      </c>
    </row>
    <row r="192">
      <c r="A192" s="1113" t="s">
        <v>123</v>
      </c>
      <c r="B192" s="322">
        <f>F359</f>
        <v>21</v>
      </c>
      <c r="C192" s="1116">
        <f>H359</f>
        <v>2.238095238</v>
      </c>
      <c r="D192" s="320" t="s">
        <v>3027</v>
      </c>
      <c r="E192" s="1117" t="s">
        <v>3842</v>
      </c>
      <c r="F192" s="414">
        <v>9.0</v>
      </c>
      <c r="G192" s="413">
        <v>12.0</v>
      </c>
      <c r="H192" s="1118">
        <f t="shared" si="1"/>
        <v>1.333333333</v>
      </c>
    </row>
    <row r="193">
      <c r="A193" s="1113" t="s">
        <v>1577</v>
      </c>
      <c r="B193" s="322">
        <f>F363</f>
        <v>20</v>
      </c>
      <c r="C193" s="1116">
        <f>H363</f>
        <v>2.55</v>
      </c>
      <c r="D193" s="320"/>
      <c r="E193" s="1117" t="s">
        <v>3843</v>
      </c>
      <c r="F193" s="414">
        <v>6.0</v>
      </c>
      <c r="G193" s="413">
        <v>13.0</v>
      </c>
      <c r="H193" s="1118">
        <f t="shared" si="1"/>
        <v>2.166666667</v>
      </c>
    </row>
    <row r="194">
      <c r="A194" s="204" t="s">
        <v>2</v>
      </c>
      <c r="B194" s="451">
        <f>F367</f>
        <v>10339</v>
      </c>
      <c r="C194" s="1116">
        <f>H367</f>
        <v>2.043524519</v>
      </c>
      <c r="D194" s="320"/>
      <c r="E194" s="1117" t="s">
        <v>3844</v>
      </c>
      <c r="F194" s="414">
        <v>13.0</v>
      </c>
      <c r="G194" s="413">
        <v>31.0</v>
      </c>
      <c r="H194" s="1118">
        <f t="shared" si="1"/>
        <v>2.384615385</v>
      </c>
    </row>
    <row r="195">
      <c r="D195" s="320"/>
      <c r="E195" s="1117" t="s">
        <v>923</v>
      </c>
      <c r="F195" s="414">
        <v>28.0</v>
      </c>
      <c r="G195" s="413">
        <v>56.0</v>
      </c>
      <c r="H195" s="1118">
        <f t="shared" si="1"/>
        <v>2</v>
      </c>
    </row>
    <row r="196">
      <c r="D196" s="320" t="s">
        <v>820</v>
      </c>
      <c r="E196" s="1117" t="s">
        <v>3842</v>
      </c>
      <c r="F196" s="414">
        <v>49.0</v>
      </c>
      <c r="G196" s="413">
        <v>92.0</v>
      </c>
      <c r="H196" s="1118">
        <f t="shared" si="1"/>
        <v>1.87755102</v>
      </c>
    </row>
    <row r="197">
      <c r="D197" s="320"/>
      <c r="E197" s="1117" t="s">
        <v>3843</v>
      </c>
      <c r="F197" s="414">
        <v>21.0</v>
      </c>
      <c r="G197" s="413">
        <v>70.0</v>
      </c>
      <c r="H197" s="1118">
        <f t="shared" si="1"/>
        <v>3.333333333</v>
      </c>
    </row>
    <row r="198">
      <c r="D198" s="320"/>
      <c r="E198" s="1117" t="s">
        <v>3844</v>
      </c>
      <c r="F198" s="414">
        <v>17.0</v>
      </c>
      <c r="G198" s="413">
        <v>53.0</v>
      </c>
      <c r="H198" s="1118">
        <f t="shared" si="1"/>
        <v>3.117647059</v>
      </c>
    </row>
    <row r="199">
      <c r="D199" s="320"/>
      <c r="E199" s="1117" t="s">
        <v>923</v>
      </c>
      <c r="F199" s="414">
        <v>87.0</v>
      </c>
      <c r="G199" s="413">
        <v>215.0</v>
      </c>
      <c r="H199" s="1118">
        <f t="shared" si="1"/>
        <v>2.471264368</v>
      </c>
    </row>
    <row r="200">
      <c r="D200" s="320" t="s">
        <v>2556</v>
      </c>
      <c r="E200" s="1117" t="s">
        <v>3842</v>
      </c>
      <c r="F200" s="414">
        <v>12.0</v>
      </c>
      <c r="G200" s="413">
        <v>18.0</v>
      </c>
      <c r="H200" s="1118">
        <f t="shared" si="1"/>
        <v>1.5</v>
      </c>
    </row>
    <row r="201">
      <c r="D201" s="320"/>
      <c r="E201" s="1117" t="s">
        <v>3843</v>
      </c>
      <c r="F201" s="414">
        <v>12.0</v>
      </c>
      <c r="G201" s="413">
        <v>31.0</v>
      </c>
      <c r="H201" s="1118">
        <f t="shared" si="1"/>
        <v>2.583333333</v>
      </c>
    </row>
    <row r="202">
      <c r="D202" s="320"/>
      <c r="E202" s="1117" t="s">
        <v>3844</v>
      </c>
      <c r="F202" s="414">
        <v>17.0</v>
      </c>
      <c r="G202" s="413">
        <v>47.0</v>
      </c>
      <c r="H202" s="1118">
        <f t="shared" si="1"/>
        <v>2.764705882</v>
      </c>
    </row>
    <row r="203">
      <c r="D203" s="320"/>
      <c r="E203" s="1117" t="s">
        <v>923</v>
      </c>
      <c r="F203" s="414">
        <v>41.0</v>
      </c>
      <c r="G203" s="413">
        <v>96.0</v>
      </c>
      <c r="H203" s="1118">
        <f t="shared" si="1"/>
        <v>2.341463415</v>
      </c>
    </row>
    <row r="204">
      <c r="D204" s="320" t="s">
        <v>3810</v>
      </c>
      <c r="E204" s="1117" t="s">
        <v>3842</v>
      </c>
      <c r="F204" s="414">
        <v>9.0</v>
      </c>
      <c r="G204" s="413">
        <v>14.0</v>
      </c>
      <c r="H204" s="1118">
        <f t="shared" si="1"/>
        <v>1.555555556</v>
      </c>
    </row>
    <row r="205">
      <c r="D205" s="320"/>
      <c r="E205" s="1117" t="s">
        <v>3843</v>
      </c>
      <c r="F205" s="414">
        <v>4.0</v>
      </c>
      <c r="G205" s="413">
        <v>12.0</v>
      </c>
      <c r="H205" s="1118">
        <f t="shared" si="1"/>
        <v>3</v>
      </c>
    </row>
    <row r="206">
      <c r="D206" s="320"/>
      <c r="E206" s="1117" t="s">
        <v>3844</v>
      </c>
      <c r="F206" s="414">
        <v>20.0</v>
      </c>
      <c r="G206" s="413">
        <v>45.0</v>
      </c>
      <c r="H206" s="1118">
        <f t="shared" si="1"/>
        <v>2.25</v>
      </c>
    </row>
    <row r="207">
      <c r="D207" s="320"/>
      <c r="E207" s="1117" t="s">
        <v>923</v>
      </c>
      <c r="F207" s="414">
        <v>33.0</v>
      </c>
      <c r="G207" s="413">
        <v>71.0</v>
      </c>
      <c r="H207" s="1118">
        <f t="shared" si="1"/>
        <v>2.151515152</v>
      </c>
    </row>
    <row r="208">
      <c r="D208" s="320" t="s">
        <v>822</v>
      </c>
      <c r="E208" s="1117" t="s">
        <v>3842</v>
      </c>
      <c r="F208" s="414">
        <v>13.0</v>
      </c>
      <c r="G208" s="413">
        <v>16.0</v>
      </c>
      <c r="H208" s="1118">
        <f t="shared" si="1"/>
        <v>1.230769231</v>
      </c>
    </row>
    <row r="209">
      <c r="D209" s="320"/>
      <c r="E209" s="1117" t="s">
        <v>3843</v>
      </c>
      <c r="F209" s="414">
        <v>9.0</v>
      </c>
      <c r="G209" s="413">
        <v>25.0</v>
      </c>
      <c r="H209" s="1118">
        <f t="shared" si="1"/>
        <v>2.777777778</v>
      </c>
    </row>
    <row r="210">
      <c r="D210" s="320"/>
      <c r="E210" s="1117" t="s">
        <v>3844</v>
      </c>
      <c r="F210" s="414">
        <v>9.0</v>
      </c>
      <c r="G210" s="413">
        <v>25.0</v>
      </c>
      <c r="H210" s="1118">
        <f t="shared" si="1"/>
        <v>2.777777778</v>
      </c>
    </row>
    <row r="211">
      <c r="D211" s="320"/>
      <c r="E211" s="1117" t="s">
        <v>923</v>
      </c>
      <c r="F211" s="414">
        <v>31.0</v>
      </c>
      <c r="G211" s="413">
        <v>66.0</v>
      </c>
      <c r="H211" s="1118">
        <f t="shared" si="1"/>
        <v>2.129032258</v>
      </c>
    </row>
    <row r="212">
      <c r="D212" s="320" t="s">
        <v>2559</v>
      </c>
      <c r="E212" s="1117" t="s">
        <v>3842</v>
      </c>
      <c r="F212" s="414">
        <v>1.0</v>
      </c>
      <c r="G212" s="413">
        <v>2.0</v>
      </c>
      <c r="H212" s="1118">
        <f t="shared" si="1"/>
        <v>2</v>
      </c>
    </row>
    <row r="213">
      <c r="D213" s="320"/>
      <c r="E213" s="1117" t="s">
        <v>3843</v>
      </c>
      <c r="F213" s="414">
        <v>0.0</v>
      </c>
      <c r="G213" s="413" t="s">
        <v>3847</v>
      </c>
      <c r="H213" s="1118" t="str">
        <f t="shared" si="1"/>
        <v>#VALUE!</v>
      </c>
    </row>
    <row r="214">
      <c r="D214" s="320"/>
      <c r="E214" s="1117" t="s">
        <v>3844</v>
      </c>
      <c r="F214" s="414">
        <v>1.0</v>
      </c>
      <c r="G214" s="413">
        <v>2.0</v>
      </c>
      <c r="H214" s="1118">
        <f t="shared" si="1"/>
        <v>2</v>
      </c>
    </row>
    <row r="215">
      <c r="D215" s="320"/>
      <c r="E215" s="1117" t="s">
        <v>923</v>
      </c>
      <c r="F215" s="414">
        <v>2.0</v>
      </c>
      <c r="G215" s="413">
        <v>4.0</v>
      </c>
      <c r="H215" s="1118">
        <f t="shared" si="1"/>
        <v>2</v>
      </c>
    </row>
    <row r="216">
      <c r="D216" s="320" t="s">
        <v>3811</v>
      </c>
      <c r="E216" s="1117" t="s">
        <v>3842</v>
      </c>
      <c r="F216" s="414">
        <v>21.0</v>
      </c>
      <c r="G216" s="413">
        <v>40.0</v>
      </c>
      <c r="H216" s="1118">
        <f t="shared" si="1"/>
        <v>1.904761905</v>
      </c>
    </row>
    <row r="217">
      <c r="D217" s="320"/>
      <c r="E217" s="1117" t="s">
        <v>3843</v>
      </c>
      <c r="F217" s="414">
        <v>25.0</v>
      </c>
      <c r="G217" s="413">
        <v>68.0</v>
      </c>
      <c r="H217" s="1118">
        <f t="shared" si="1"/>
        <v>2.72</v>
      </c>
    </row>
    <row r="218">
      <c r="D218" s="320"/>
      <c r="E218" s="1117" t="s">
        <v>3844</v>
      </c>
      <c r="F218" s="414">
        <v>12.0</v>
      </c>
      <c r="G218" s="413">
        <v>29.0</v>
      </c>
      <c r="H218" s="1118">
        <f t="shared" si="1"/>
        <v>2.416666667</v>
      </c>
    </row>
    <row r="219">
      <c r="D219" s="320"/>
      <c r="E219" s="1117" t="s">
        <v>923</v>
      </c>
      <c r="F219" s="414">
        <v>58.0</v>
      </c>
      <c r="G219" s="413">
        <v>137.0</v>
      </c>
      <c r="H219" s="1118">
        <f t="shared" si="1"/>
        <v>2.362068966</v>
      </c>
    </row>
    <row r="220">
      <c r="D220" s="320" t="s">
        <v>827</v>
      </c>
      <c r="E220" s="1117" t="s">
        <v>3842</v>
      </c>
      <c r="F220" s="414">
        <v>9.0</v>
      </c>
      <c r="G220" s="413">
        <v>17.0</v>
      </c>
      <c r="H220" s="1118">
        <f t="shared" si="1"/>
        <v>1.888888889</v>
      </c>
    </row>
    <row r="221">
      <c r="D221" s="320"/>
      <c r="E221" s="1117" t="s">
        <v>3843</v>
      </c>
      <c r="F221" s="414">
        <v>34.0</v>
      </c>
      <c r="G221" s="413">
        <v>84.0</v>
      </c>
      <c r="H221" s="1118">
        <f t="shared" si="1"/>
        <v>2.470588235</v>
      </c>
    </row>
    <row r="222">
      <c r="D222" s="320"/>
      <c r="E222" s="1117" t="s">
        <v>3844</v>
      </c>
      <c r="F222" s="414">
        <v>31.0</v>
      </c>
      <c r="G222" s="413">
        <v>74.0</v>
      </c>
      <c r="H222" s="1118">
        <f t="shared" si="1"/>
        <v>2.387096774</v>
      </c>
    </row>
    <row r="223">
      <c r="D223" s="320"/>
      <c r="E223" s="1117" t="s">
        <v>923</v>
      </c>
      <c r="F223" s="414">
        <v>74.0</v>
      </c>
      <c r="G223" s="413">
        <v>175.0</v>
      </c>
      <c r="H223" s="1118">
        <f t="shared" si="1"/>
        <v>2.364864865</v>
      </c>
    </row>
    <row r="224">
      <c r="D224" s="320" t="s">
        <v>3544</v>
      </c>
      <c r="E224" s="1117" t="s">
        <v>3842</v>
      </c>
      <c r="F224" s="414">
        <v>3.0</v>
      </c>
      <c r="G224" s="413">
        <v>3.0</v>
      </c>
      <c r="H224" s="1118">
        <f t="shared" si="1"/>
        <v>1</v>
      </c>
    </row>
    <row r="225">
      <c r="D225" s="320"/>
      <c r="E225" s="1117" t="s">
        <v>3843</v>
      </c>
      <c r="F225" s="414">
        <v>6.0</v>
      </c>
      <c r="G225" s="413">
        <v>16.0</v>
      </c>
      <c r="H225" s="1118">
        <f t="shared" si="1"/>
        <v>2.666666667</v>
      </c>
    </row>
    <row r="226">
      <c r="D226" s="320"/>
      <c r="E226" s="1117" t="s">
        <v>3844</v>
      </c>
      <c r="F226" s="414">
        <v>24.0</v>
      </c>
      <c r="G226" s="413">
        <v>53.0</v>
      </c>
      <c r="H226" s="1118">
        <f t="shared" si="1"/>
        <v>2.208333333</v>
      </c>
    </row>
    <row r="227">
      <c r="D227" s="320"/>
      <c r="E227" s="1117" t="s">
        <v>923</v>
      </c>
      <c r="F227" s="414">
        <v>33.0</v>
      </c>
      <c r="G227" s="413">
        <v>72.0</v>
      </c>
      <c r="H227" s="1118">
        <f t="shared" si="1"/>
        <v>2.181818182</v>
      </c>
    </row>
    <row r="228">
      <c r="D228" s="320" t="s">
        <v>2571</v>
      </c>
      <c r="E228" s="1117" t="s">
        <v>3842</v>
      </c>
      <c r="F228" s="414">
        <v>1.0</v>
      </c>
      <c r="G228" s="413">
        <v>2.0</v>
      </c>
      <c r="H228" s="1118">
        <f t="shared" si="1"/>
        <v>2</v>
      </c>
    </row>
    <row r="229">
      <c r="D229" s="322"/>
      <c r="E229" s="1117" t="s">
        <v>3843</v>
      </c>
      <c r="F229" s="414">
        <v>2.0</v>
      </c>
      <c r="G229" s="413">
        <v>9.0</v>
      </c>
      <c r="H229" s="1118">
        <f t="shared" si="1"/>
        <v>4.5</v>
      </c>
    </row>
    <row r="230">
      <c r="D230" s="322"/>
      <c r="E230" s="1117" t="s">
        <v>3844</v>
      </c>
      <c r="F230" s="414">
        <v>15.0</v>
      </c>
      <c r="G230" s="413">
        <v>30.0</v>
      </c>
      <c r="H230" s="1118">
        <f t="shared" si="1"/>
        <v>2</v>
      </c>
    </row>
    <row r="231">
      <c r="D231" s="322"/>
      <c r="E231" s="1117" t="s">
        <v>923</v>
      </c>
      <c r="F231" s="414">
        <v>18.0</v>
      </c>
      <c r="G231" s="413">
        <v>41.0</v>
      </c>
      <c r="H231" s="1118">
        <f t="shared" si="1"/>
        <v>2.277777778</v>
      </c>
    </row>
    <row r="232">
      <c r="D232" s="1117" t="s">
        <v>833</v>
      </c>
      <c r="E232" s="1117" t="s">
        <v>3842</v>
      </c>
      <c r="F232" s="414">
        <v>6.0</v>
      </c>
      <c r="G232" s="413">
        <v>6.0</v>
      </c>
      <c r="H232" s="1118">
        <f t="shared" si="1"/>
        <v>1</v>
      </c>
    </row>
    <row r="233">
      <c r="D233" s="1117"/>
      <c r="E233" s="1117" t="s">
        <v>3843</v>
      </c>
      <c r="F233" s="414">
        <v>4.0</v>
      </c>
      <c r="G233" s="408">
        <v>12.0</v>
      </c>
      <c r="H233" s="1118">
        <f t="shared" si="1"/>
        <v>3</v>
      </c>
    </row>
    <row r="234">
      <c r="D234" s="1117"/>
      <c r="E234" s="1117" t="s">
        <v>3844</v>
      </c>
      <c r="F234" s="414">
        <v>24.0</v>
      </c>
      <c r="G234" s="413">
        <v>62.0</v>
      </c>
      <c r="H234" s="1118">
        <f t="shared" si="1"/>
        <v>2.583333333</v>
      </c>
    </row>
    <row r="235">
      <c r="D235" s="1117"/>
      <c r="E235" s="1117" t="s">
        <v>923</v>
      </c>
      <c r="F235" s="414">
        <v>34.0</v>
      </c>
      <c r="G235" s="413">
        <v>80.0</v>
      </c>
      <c r="H235" s="1118">
        <f t="shared" si="1"/>
        <v>2.352941176</v>
      </c>
    </row>
    <row r="236">
      <c r="D236" s="1117" t="s">
        <v>875</v>
      </c>
      <c r="E236" s="1117" t="s">
        <v>3842</v>
      </c>
      <c r="F236" s="414">
        <v>44.0</v>
      </c>
      <c r="G236" s="413">
        <v>64.0</v>
      </c>
      <c r="H236" s="1118">
        <f t="shared" si="1"/>
        <v>1.454545455</v>
      </c>
    </row>
    <row r="237">
      <c r="D237" s="1117"/>
      <c r="E237" s="1117" t="s">
        <v>3843</v>
      </c>
      <c r="F237" s="414">
        <v>54.0</v>
      </c>
      <c r="G237" s="413">
        <v>137.0</v>
      </c>
      <c r="H237" s="1118">
        <f t="shared" si="1"/>
        <v>2.537037037</v>
      </c>
    </row>
    <row r="238">
      <c r="D238" s="1117"/>
      <c r="E238" s="1117" t="s">
        <v>3844</v>
      </c>
      <c r="F238" s="414">
        <v>203.0</v>
      </c>
      <c r="G238" s="413">
        <v>413.0</v>
      </c>
      <c r="H238" s="1118">
        <f t="shared" si="1"/>
        <v>2.034482759</v>
      </c>
    </row>
    <row r="239">
      <c r="D239" s="1117"/>
      <c r="E239" s="1117" t="s">
        <v>923</v>
      </c>
      <c r="F239" s="414">
        <v>301.0</v>
      </c>
      <c r="G239" s="413">
        <v>614.0</v>
      </c>
      <c r="H239" s="1118">
        <f t="shared" si="1"/>
        <v>2.03986711</v>
      </c>
    </row>
    <row r="240">
      <c r="D240" s="1117" t="s">
        <v>837</v>
      </c>
      <c r="E240" s="1117" t="s">
        <v>3842</v>
      </c>
      <c r="F240" s="414">
        <v>10.0</v>
      </c>
      <c r="G240" s="408">
        <v>16.0</v>
      </c>
      <c r="H240" s="1118">
        <f t="shared" si="1"/>
        <v>1.6</v>
      </c>
    </row>
    <row r="241">
      <c r="D241" s="1117"/>
      <c r="E241" s="1117" t="s">
        <v>3843</v>
      </c>
      <c r="F241" s="414">
        <v>4.0</v>
      </c>
      <c r="G241" s="408">
        <v>13.0</v>
      </c>
      <c r="H241" s="1118">
        <f t="shared" si="1"/>
        <v>3.25</v>
      </c>
    </row>
    <row r="242">
      <c r="D242" s="1117"/>
      <c r="E242" s="1117" t="s">
        <v>3844</v>
      </c>
      <c r="F242" s="414">
        <v>15.0</v>
      </c>
      <c r="G242" s="413">
        <v>45.0</v>
      </c>
      <c r="H242" s="1118">
        <f t="shared" si="1"/>
        <v>3</v>
      </c>
    </row>
    <row r="243">
      <c r="D243" s="1117"/>
      <c r="E243" s="1117" t="s">
        <v>923</v>
      </c>
      <c r="F243" s="414">
        <v>29.0</v>
      </c>
      <c r="G243" s="413">
        <v>74.0</v>
      </c>
      <c r="H243" s="1118">
        <f t="shared" si="1"/>
        <v>2.551724138</v>
      </c>
    </row>
    <row r="244">
      <c r="D244" s="1117" t="s">
        <v>3812</v>
      </c>
      <c r="E244" s="1117" t="s">
        <v>3842</v>
      </c>
      <c r="F244" s="414">
        <v>68.0</v>
      </c>
      <c r="G244" s="413">
        <v>120.0</v>
      </c>
      <c r="H244" s="1118">
        <f t="shared" si="1"/>
        <v>1.764705882</v>
      </c>
    </row>
    <row r="245">
      <c r="D245" s="1117"/>
      <c r="E245" s="1117" t="s">
        <v>3843</v>
      </c>
      <c r="F245" s="414">
        <v>33.0</v>
      </c>
      <c r="G245" s="413">
        <v>84.0</v>
      </c>
      <c r="H245" s="1118">
        <f t="shared" si="1"/>
        <v>2.545454545</v>
      </c>
    </row>
    <row r="246">
      <c r="D246" s="1117"/>
      <c r="E246" s="1117" t="s">
        <v>3844</v>
      </c>
      <c r="F246" s="414">
        <v>112.0</v>
      </c>
      <c r="G246" s="413">
        <v>264.0</v>
      </c>
      <c r="H246" s="1118">
        <f t="shared" si="1"/>
        <v>2.357142857</v>
      </c>
    </row>
    <row r="247">
      <c r="D247" s="1117"/>
      <c r="E247" s="1117" t="s">
        <v>923</v>
      </c>
      <c r="F247" s="414">
        <v>213.0</v>
      </c>
      <c r="G247" s="413">
        <v>468.0</v>
      </c>
      <c r="H247" s="1118">
        <f t="shared" si="1"/>
        <v>2.197183099</v>
      </c>
    </row>
    <row r="248">
      <c r="D248" s="1117" t="s">
        <v>3813</v>
      </c>
      <c r="E248" s="1117" t="s">
        <v>3842</v>
      </c>
      <c r="F248" s="414">
        <v>36.0</v>
      </c>
      <c r="G248" s="413">
        <v>61.0</v>
      </c>
      <c r="H248" s="1118">
        <f t="shared" si="1"/>
        <v>1.694444444</v>
      </c>
    </row>
    <row r="249">
      <c r="D249" s="1117"/>
      <c r="E249" s="1117" t="s">
        <v>3843</v>
      </c>
      <c r="F249" s="414">
        <v>8.0</v>
      </c>
      <c r="G249" s="413">
        <v>15.0</v>
      </c>
      <c r="H249" s="1118">
        <f t="shared" si="1"/>
        <v>1.875</v>
      </c>
    </row>
    <row r="250">
      <c r="D250" s="1117"/>
      <c r="E250" s="1117" t="s">
        <v>3844</v>
      </c>
      <c r="F250" s="414">
        <v>82.0</v>
      </c>
      <c r="G250" s="413">
        <v>198.0</v>
      </c>
      <c r="H250" s="1118">
        <f t="shared" si="1"/>
        <v>2.414634146</v>
      </c>
    </row>
    <row r="251">
      <c r="D251" s="1117"/>
      <c r="E251" s="1117" t="s">
        <v>923</v>
      </c>
      <c r="F251" s="414">
        <v>126.0</v>
      </c>
      <c r="G251" s="413">
        <v>274.0</v>
      </c>
      <c r="H251" s="1118">
        <f t="shared" si="1"/>
        <v>2.174603175</v>
      </c>
    </row>
    <row r="252">
      <c r="D252" s="1117" t="s">
        <v>3814</v>
      </c>
      <c r="E252" s="1117" t="s">
        <v>3842</v>
      </c>
      <c r="F252" s="414">
        <v>108.0</v>
      </c>
      <c r="G252" s="413">
        <v>203.0</v>
      </c>
      <c r="H252" s="1118">
        <f t="shared" si="1"/>
        <v>1.87962963</v>
      </c>
    </row>
    <row r="253">
      <c r="D253" s="1117"/>
      <c r="E253" s="1117" t="s">
        <v>3843</v>
      </c>
      <c r="F253" s="414">
        <v>71.0</v>
      </c>
      <c r="G253" s="413">
        <v>196.0</v>
      </c>
      <c r="H253" s="1118">
        <f t="shared" si="1"/>
        <v>2.76056338</v>
      </c>
    </row>
    <row r="254">
      <c r="D254" s="1117"/>
      <c r="E254" s="1117" t="s">
        <v>3844</v>
      </c>
      <c r="F254" s="414">
        <v>22.0</v>
      </c>
      <c r="G254" s="413">
        <v>47.0</v>
      </c>
      <c r="H254" s="1118">
        <f t="shared" si="1"/>
        <v>2.136363636</v>
      </c>
    </row>
    <row r="255">
      <c r="D255" s="1117"/>
      <c r="E255" s="1117" t="s">
        <v>923</v>
      </c>
      <c r="F255" s="414">
        <v>201.0</v>
      </c>
      <c r="G255" s="413">
        <v>446.0</v>
      </c>
      <c r="H255" s="1118">
        <f t="shared" si="1"/>
        <v>2.218905473</v>
      </c>
    </row>
    <row r="256">
      <c r="D256" s="1117" t="s">
        <v>3815</v>
      </c>
      <c r="E256" s="1117" t="s">
        <v>3842</v>
      </c>
      <c r="F256" s="414">
        <v>87.0</v>
      </c>
      <c r="G256" s="413">
        <v>155.0</v>
      </c>
      <c r="H256" s="1118">
        <f t="shared" si="1"/>
        <v>1.781609195</v>
      </c>
    </row>
    <row r="257">
      <c r="D257" s="1117"/>
      <c r="E257" s="1117" t="s">
        <v>3843</v>
      </c>
      <c r="F257" s="414">
        <v>33.0</v>
      </c>
      <c r="G257" s="413">
        <v>69.0</v>
      </c>
      <c r="H257" s="1118">
        <f t="shared" si="1"/>
        <v>2.090909091</v>
      </c>
    </row>
    <row r="258">
      <c r="D258" s="1117"/>
      <c r="E258" s="1117" t="s">
        <v>3844</v>
      </c>
      <c r="F258" s="414">
        <v>194.0</v>
      </c>
      <c r="G258" s="413">
        <v>428.0</v>
      </c>
      <c r="H258" s="1118">
        <f t="shared" si="1"/>
        <v>2.206185567</v>
      </c>
    </row>
    <row r="259">
      <c r="D259" s="1117"/>
      <c r="E259" s="1117" t="s">
        <v>923</v>
      </c>
      <c r="F259" s="414">
        <v>314.0</v>
      </c>
      <c r="G259" s="413">
        <v>652.0</v>
      </c>
      <c r="H259" s="1118">
        <f t="shared" si="1"/>
        <v>2.076433121</v>
      </c>
    </row>
    <row r="260">
      <c r="D260" s="1117" t="s">
        <v>3816</v>
      </c>
      <c r="E260" s="1117" t="s">
        <v>3842</v>
      </c>
      <c r="F260" s="414">
        <v>12.0</v>
      </c>
      <c r="G260" s="413">
        <v>16.0</v>
      </c>
      <c r="H260" s="1118">
        <f t="shared" si="1"/>
        <v>1.333333333</v>
      </c>
    </row>
    <row r="261">
      <c r="D261" s="1117"/>
      <c r="E261" s="1117" t="s">
        <v>3843</v>
      </c>
      <c r="F261" s="414">
        <v>4.0</v>
      </c>
      <c r="G261" s="408">
        <v>7.0</v>
      </c>
      <c r="H261" s="1118">
        <f t="shared" si="1"/>
        <v>1.75</v>
      </c>
    </row>
    <row r="262">
      <c r="D262" s="1117"/>
      <c r="E262" s="1117" t="s">
        <v>3844</v>
      </c>
      <c r="F262" s="414">
        <v>30.0</v>
      </c>
      <c r="G262" s="413">
        <v>66.0</v>
      </c>
      <c r="H262" s="1118">
        <f t="shared" si="1"/>
        <v>2.2</v>
      </c>
    </row>
    <row r="263">
      <c r="D263" s="1117"/>
      <c r="E263" s="1117" t="s">
        <v>923</v>
      </c>
      <c r="F263" s="414">
        <v>46.0</v>
      </c>
      <c r="G263" s="413">
        <v>89.0</v>
      </c>
      <c r="H263" s="1118">
        <f t="shared" si="1"/>
        <v>1.934782609</v>
      </c>
    </row>
    <row r="264">
      <c r="D264" s="1117" t="s">
        <v>1955</v>
      </c>
      <c r="E264" s="1117" t="s">
        <v>3842</v>
      </c>
      <c r="F264" s="414">
        <v>64.0</v>
      </c>
      <c r="G264" s="413">
        <v>98.0</v>
      </c>
      <c r="H264" s="1118">
        <f t="shared" si="1"/>
        <v>1.53125</v>
      </c>
    </row>
    <row r="265">
      <c r="D265" s="1117"/>
      <c r="E265" s="1117" t="s">
        <v>3843</v>
      </c>
      <c r="F265" s="414">
        <v>48.0</v>
      </c>
      <c r="G265" s="413">
        <v>108.0</v>
      </c>
      <c r="H265" s="1118">
        <f t="shared" si="1"/>
        <v>2.25</v>
      </c>
    </row>
    <row r="266">
      <c r="D266" s="1117"/>
      <c r="E266" s="1117" t="s">
        <v>3844</v>
      </c>
      <c r="F266" s="414">
        <v>143.0</v>
      </c>
      <c r="G266" s="413">
        <v>306.0</v>
      </c>
      <c r="H266" s="1118">
        <f t="shared" si="1"/>
        <v>2.13986014</v>
      </c>
    </row>
    <row r="267">
      <c r="D267" s="1117"/>
      <c r="E267" s="1117" t="s">
        <v>923</v>
      </c>
      <c r="F267" s="414">
        <v>255.0</v>
      </c>
      <c r="G267" s="413">
        <v>512.0</v>
      </c>
      <c r="H267" s="1118">
        <f t="shared" si="1"/>
        <v>2.007843137</v>
      </c>
    </row>
    <row r="268">
      <c r="D268" s="1117" t="s">
        <v>2771</v>
      </c>
      <c r="E268" s="1117" t="s">
        <v>3842</v>
      </c>
      <c r="F268" s="414">
        <v>1.0</v>
      </c>
      <c r="G268" s="408">
        <v>1.0</v>
      </c>
      <c r="H268" s="1118">
        <f t="shared" si="1"/>
        <v>1</v>
      </c>
    </row>
    <row r="269">
      <c r="D269" s="1117"/>
      <c r="E269" s="1117" t="s">
        <v>3843</v>
      </c>
      <c r="F269" s="414">
        <v>2.0</v>
      </c>
      <c r="G269" s="408">
        <v>4.0</v>
      </c>
      <c r="H269" s="1118">
        <f t="shared" si="1"/>
        <v>2</v>
      </c>
    </row>
    <row r="270">
      <c r="D270" s="1117"/>
      <c r="E270" s="1117" t="s">
        <v>3844</v>
      </c>
      <c r="F270" s="414">
        <v>27.0</v>
      </c>
      <c r="G270" s="413">
        <v>67.0</v>
      </c>
      <c r="H270" s="1118">
        <f t="shared" si="1"/>
        <v>2.481481481</v>
      </c>
    </row>
    <row r="271">
      <c r="D271" s="1117"/>
      <c r="E271" s="1117" t="s">
        <v>923</v>
      </c>
      <c r="F271" s="414">
        <v>30.0</v>
      </c>
      <c r="G271" s="413">
        <v>72.0</v>
      </c>
      <c r="H271" s="1118">
        <f t="shared" si="1"/>
        <v>2.4</v>
      </c>
    </row>
    <row r="272">
      <c r="D272" s="1117" t="s">
        <v>3817</v>
      </c>
      <c r="E272" s="1117" t="s">
        <v>3842</v>
      </c>
      <c r="F272" s="414">
        <v>51.0</v>
      </c>
      <c r="G272" s="413">
        <v>86.0</v>
      </c>
      <c r="H272" s="1118">
        <f t="shared" si="1"/>
        <v>1.68627451</v>
      </c>
    </row>
    <row r="273">
      <c r="D273" s="1117"/>
      <c r="E273" s="1117" t="s">
        <v>3843</v>
      </c>
      <c r="F273" s="414">
        <v>18.0</v>
      </c>
      <c r="G273" s="413">
        <v>40.0</v>
      </c>
      <c r="H273" s="1118">
        <f t="shared" si="1"/>
        <v>2.222222222</v>
      </c>
    </row>
    <row r="274">
      <c r="D274" s="1117"/>
      <c r="E274" s="1117" t="s">
        <v>3844</v>
      </c>
      <c r="F274" s="414">
        <v>62.0</v>
      </c>
      <c r="G274" s="413">
        <v>165.0</v>
      </c>
      <c r="H274" s="1118">
        <f t="shared" si="1"/>
        <v>2.661290323</v>
      </c>
    </row>
    <row r="275">
      <c r="D275" s="1117"/>
      <c r="E275" s="1117" t="s">
        <v>923</v>
      </c>
      <c r="F275" s="414">
        <v>131.0</v>
      </c>
      <c r="G275" s="413">
        <v>291.0</v>
      </c>
      <c r="H275" s="1118">
        <f t="shared" si="1"/>
        <v>2.221374046</v>
      </c>
    </row>
    <row r="276">
      <c r="D276" s="1117" t="s">
        <v>3818</v>
      </c>
      <c r="E276" s="1117" t="s">
        <v>3842</v>
      </c>
      <c r="F276" s="414">
        <v>2.0</v>
      </c>
      <c r="G276" s="408">
        <v>4.0</v>
      </c>
      <c r="H276" s="1118">
        <f t="shared" si="1"/>
        <v>2</v>
      </c>
    </row>
    <row r="277">
      <c r="D277" s="322"/>
      <c r="E277" s="1117" t="s">
        <v>3843</v>
      </c>
      <c r="F277" s="414">
        <v>8.0</v>
      </c>
      <c r="G277" s="413">
        <v>21.0</v>
      </c>
      <c r="H277" s="1118">
        <f t="shared" si="1"/>
        <v>2.625</v>
      </c>
    </row>
    <row r="278">
      <c r="D278" s="322"/>
      <c r="E278" s="1117" t="s">
        <v>3844</v>
      </c>
      <c r="F278" s="414">
        <v>17.0</v>
      </c>
      <c r="G278" s="413">
        <v>41.0</v>
      </c>
      <c r="H278" s="1118">
        <f t="shared" si="1"/>
        <v>2.411764706</v>
      </c>
    </row>
    <row r="279">
      <c r="D279" s="322"/>
      <c r="E279" s="1117" t="s">
        <v>923</v>
      </c>
      <c r="F279" s="414">
        <v>27.0</v>
      </c>
      <c r="G279" s="413">
        <v>66.0</v>
      </c>
      <c r="H279" s="1118">
        <f t="shared" si="1"/>
        <v>2.444444444</v>
      </c>
    </row>
    <row r="280">
      <c r="D280" s="320" t="s">
        <v>3529</v>
      </c>
      <c r="E280" s="1117" t="s">
        <v>3842</v>
      </c>
      <c r="F280" s="414">
        <v>4.0</v>
      </c>
      <c r="G280" s="408">
        <v>5.0</v>
      </c>
      <c r="H280" s="1118">
        <f t="shared" si="1"/>
        <v>1.25</v>
      </c>
    </row>
    <row r="281">
      <c r="D281" s="320"/>
      <c r="E281" s="1117" t="s">
        <v>3843</v>
      </c>
      <c r="F281" s="414">
        <v>2.0</v>
      </c>
      <c r="G281" s="408">
        <v>6.0</v>
      </c>
      <c r="H281" s="1118">
        <f t="shared" si="1"/>
        <v>3</v>
      </c>
    </row>
    <row r="282">
      <c r="D282" s="320"/>
      <c r="E282" s="1117" t="s">
        <v>3844</v>
      </c>
      <c r="F282" s="414">
        <v>18.0</v>
      </c>
      <c r="G282" s="413">
        <v>42.0</v>
      </c>
      <c r="H282" s="1118">
        <f t="shared" si="1"/>
        <v>2.333333333</v>
      </c>
    </row>
    <row r="283">
      <c r="D283" s="320"/>
      <c r="E283" s="1117" t="s">
        <v>923</v>
      </c>
      <c r="F283" s="414">
        <v>24.0</v>
      </c>
      <c r="G283" s="413">
        <v>53.0</v>
      </c>
      <c r="H283" s="1118">
        <f t="shared" si="1"/>
        <v>2.208333333</v>
      </c>
    </row>
    <row r="284">
      <c r="D284" s="320" t="s">
        <v>3819</v>
      </c>
      <c r="E284" s="1117" t="s">
        <v>3842</v>
      </c>
      <c r="F284" s="414">
        <v>15.0</v>
      </c>
      <c r="G284" s="413">
        <v>29.0</v>
      </c>
      <c r="H284" s="1118">
        <f t="shared" si="1"/>
        <v>1.933333333</v>
      </c>
    </row>
    <row r="285">
      <c r="D285" s="320"/>
      <c r="E285" s="1117" t="s">
        <v>3843</v>
      </c>
      <c r="F285" s="414">
        <v>12.0</v>
      </c>
      <c r="G285" s="413">
        <v>29.0</v>
      </c>
      <c r="H285" s="1118">
        <f t="shared" si="1"/>
        <v>2.416666667</v>
      </c>
    </row>
    <row r="286">
      <c r="D286" s="320"/>
      <c r="E286" s="1117" t="s">
        <v>3844</v>
      </c>
      <c r="F286" s="414">
        <v>47.0</v>
      </c>
      <c r="G286" s="413">
        <v>119.0</v>
      </c>
      <c r="H286" s="1118">
        <f t="shared" si="1"/>
        <v>2.531914894</v>
      </c>
    </row>
    <row r="287">
      <c r="D287" s="320"/>
      <c r="E287" s="1117" t="s">
        <v>923</v>
      </c>
      <c r="F287" s="414">
        <v>74.0</v>
      </c>
      <c r="G287" s="413">
        <v>177.0</v>
      </c>
      <c r="H287" s="1118">
        <f t="shared" si="1"/>
        <v>2.391891892</v>
      </c>
    </row>
    <row r="288">
      <c r="D288" s="320" t="s">
        <v>3296</v>
      </c>
      <c r="E288" s="1117" t="s">
        <v>3842</v>
      </c>
      <c r="F288" s="414">
        <v>27.0</v>
      </c>
      <c r="G288" s="413">
        <v>44.0</v>
      </c>
      <c r="H288" s="1118">
        <f t="shared" si="1"/>
        <v>1.62962963</v>
      </c>
    </row>
    <row r="289">
      <c r="D289" s="320"/>
      <c r="E289" s="1117" t="s">
        <v>3843</v>
      </c>
      <c r="F289" s="414">
        <v>9.0</v>
      </c>
      <c r="G289" s="413">
        <v>20.0</v>
      </c>
      <c r="H289" s="1118">
        <f t="shared" si="1"/>
        <v>2.222222222</v>
      </c>
    </row>
    <row r="290">
      <c r="D290" s="320"/>
      <c r="E290" s="1117" t="s">
        <v>3844</v>
      </c>
      <c r="F290" s="414">
        <v>67.0</v>
      </c>
      <c r="G290" s="413">
        <v>164.0</v>
      </c>
      <c r="H290" s="1118">
        <f t="shared" si="1"/>
        <v>2.447761194</v>
      </c>
    </row>
    <row r="291">
      <c r="D291" s="320"/>
      <c r="E291" s="1117" t="s">
        <v>923</v>
      </c>
      <c r="F291" s="414">
        <v>103.0</v>
      </c>
      <c r="G291" s="413">
        <v>228.0</v>
      </c>
      <c r="H291" s="1118">
        <f t="shared" si="1"/>
        <v>2.213592233</v>
      </c>
    </row>
    <row r="292">
      <c r="D292" s="320" t="s">
        <v>3824</v>
      </c>
      <c r="E292" s="1117" t="s">
        <v>3842</v>
      </c>
      <c r="F292" s="414">
        <v>60.0</v>
      </c>
      <c r="G292" s="413">
        <v>118.0</v>
      </c>
      <c r="H292" s="1118">
        <f t="shared" si="1"/>
        <v>1.966666667</v>
      </c>
    </row>
    <row r="293">
      <c r="D293" s="320"/>
      <c r="E293" s="1117" t="s">
        <v>3843</v>
      </c>
      <c r="F293" s="414">
        <v>60.0</v>
      </c>
      <c r="G293" s="413">
        <v>153.0</v>
      </c>
      <c r="H293" s="1118">
        <f t="shared" si="1"/>
        <v>2.55</v>
      </c>
    </row>
    <row r="294">
      <c r="D294" s="320"/>
      <c r="E294" s="1117" t="s">
        <v>3844</v>
      </c>
      <c r="F294" s="414">
        <v>51.0</v>
      </c>
      <c r="G294" s="413">
        <v>133.0</v>
      </c>
      <c r="H294" s="1118">
        <f t="shared" si="1"/>
        <v>2.607843137</v>
      </c>
    </row>
    <row r="295">
      <c r="D295" s="320"/>
      <c r="E295" s="1117" t="s">
        <v>923</v>
      </c>
      <c r="F295" s="414">
        <v>171.0</v>
      </c>
      <c r="G295" s="413">
        <v>404.0</v>
      </c>
      <c r="H295" s="1118">
        <f t="shared" si="1"/>
        <v>2.362573099</v>
      </c>
    </row>
    <row r="296">
      <c r="D296" s="320" t="s">
        <v>3820</v>
      </c>
      <c r="E296" s="1117" t="s">
        <v>3842</v>
      </c>
      <c r="F296" s="414">
        <v>9.0</v>
      </c>
      <c r="G296" s="413">
        <v>14.0</v>
      </c>
      <c r="H296" s="1118">
        <f t="shared" si="1"/>
        <v>1.555555556</v>
      </c>
    </row>
    <row r="297">
      <c r="D297" s="320"/>
      <c r="E297" s="1117" t="s">
        <v>3843</v>
      </c>
      <c r="F297" s="414">
        <v>24.0</v>
      </c>
      <c r="G297" s="413">
        <v>52.0</v>
      </c>
      <c r="H297" s="1118">
        <f t="shared" si="1"/>
        <v>2.166666667</v>
      </c>
    </row>
    <row r="298">
      <c r="D298" s="320"/>
      <c r="E298" s="1117" t="s">
        <v>3844</v>
      </c>
      <c r="F298" s="414">
        <v>46.0</v>
      </c>
      <c r="G298" s="413">
        <v>124.0</v>
      </c>
      <c r="H298" s="1118">
        <f t="shared" si="1"/>
        <v>2.695652174</v>
      </c>
    </row>
    <row r="299">
      <c r="D299" s="320"/>
      <c r="E299" s="1117" t="s">
        <v>923</v>
      </c>
      <c r="F299" s="414">
        <v>79.0</v>
      </c>
      <c r="G299" s="413">
        <v>190.0</v>
      </c>
      <c r="H299" s="1118">
        <f t="shared" si="1"/>
        <v>2.405063291</v>
      </c>
    </row>
    <row r="300">
      <c r="D300" s="320" t="s">
        <v>3821</v>
      </c>
      <c r="E300" s="1117" t="s">
        <v>3842</v>
      </c>
      <c r="F300" s="414">
        <v>30.0</v>
      </c>
      <c r="G300" s="413">
        <v>45.0</v>
      </c>
      <c r="H300" s="1118">
        <f t="shared" si="1"/>
        <v>1.5</v>
      </c>
    </row>
    <row r="301">
      <c r="D301" s="320"/>
      <c r="E301" s="1117" t="s">
        <v>3843</v>
      </c>
      <c r="F301" s="414">
        <v>14.0</v>
      </c>
      <c r="G301" s="408">
        <v>35.0</v>
      </c>
      <c r="H301" s="1118">
        <f t="shared" si="1"/>
        <v>2.5</v>
      </c>
    </row>
    <row r="302">
      <c r="D302" s="320"/>
      <c r="E302" s="1117" t="s">
        <v>3844</v>
      </c>
      <c r="F302" s="414">
        <v>53.0</v>
      </c>
      <c r="G302" s="413">
        <v>154.0</v>
      </c>
      <c r="H302" s="1118">
        <f t="shared" si="1"/>
        <v>2.905660377</v>
      </c>
    </row>
    <row r="303">
      <c r="D303" s="320"/>
      <c r="E303" s="1117" t="s">
        <v>923</v>
      </c>
      <c r="F303" s="414">
        <v>97.0</v>
      </c>
      <c r="G303" s="413">
        <v>234.0</v>
      </c>
      <c r="H303" s="1118">
        <f t="shared" si="1"/>
        <v>2.412371134</v>
      </c>
    </row>
    <row r="304">
      <c r="D304" s="320" t="s">
        <v>3822</v>
      </c>
      <c r="E304" s="1117" t="s">
        <v>3842</v>
      </c>
      <c r="F304" s="414">
        <v>8.0</v>
      </c>
      <c r="G304" s="408">
        <v>16.0</v>
      </c>
      <c r="H304" s="1118">
        <f t="shared" si="1"/>
        <v>2</v>
      </c>
    </row>
    <row r="305">
      <c r="D305" s="320"/>
      <c r="E305" s="1117" t="s">
        <v>3843</v>
      </c>
      <c r="F305" s="414">
        <v>9.0</v>
      </c>
      <c r="G305" s="408">
        <v>21.0</v>
      </c>
      <c r="H305" s="1118">
        <f t="shared" si="1"/>
        <v>2.333333333</v>
      </c>
    </row>
    <row r="306">
      <c r="D306" s="320"/>
      <c r="E306" s="1117" t="s">
        <v>3844</v>
      </c>
      <c r="F306" s="414">
        <v>15.0</v>
      </c>
      <c r="G306" s="413">
        <v>42.0</v>
      </c>
      <c r="H306" s="1118">
        <f t="shared" si="1"/>
        <v>2.8</v>
      </c>
    </row>
    <row r="307">
      <c r="D307" s="320"/>
      <c r="E307" s="1117" t="s">
        <v>923</v>
      </c>
      <c r="F307" s="414">
        <v>32.0</v>
      </c>
      <c r="G307" s="413">
        <v>79.0</v>
      </c>
      <c r="H307" s="1118">
        <f t="shared" si="1"/>
        <v>2.46875</v>
      </c>
    </row>
    <row r="308">
      <c r="D308" s="320" t="s">
        <v>2589</v>
      </c>
      <c r="E308" s="1117" t="s">
        <v>3842</v>
      </c>
      <c r="F308" s="414">
        <v>4.0</v>
      </c>
      <c r="G308" s="408">
        <v>7.0</v>
      </c>
      <c r="H308" s="1118">
        <f t="shared" si="1"/>
        <v>1.75</v>
      </c>
    </row>
    <row r="309">
      <c r="D309" s="320"/>
      <c r="E309" s="1117" t="s">
        <v>3843</v>
      </c>
      <c r="F309" s="414">
        <v>2.0</v>
      </c>
      <c r="G309" s="408">
        <v>3.0</v>
      </c>
      <c r="H309" s="1118">
        <f t="shared" si="1"/>
        <v>1.5</v>
      </c>
    </row>
    <row r="310">
      <c r="D310" s="320"/>
      <c r="E310" s="1117" t="s">
        <v>3844</v>
      </c>
      <c r="F310" s="414">
        <v>7.0</v>
      </c>
      <c r="G310" s="413">
        <v>15.0</v>
      </c>
      <c r="H310" s="1118">
        <f t="shared" si="1"/>
        <v>2.142857143</v>
      </c>
    </row>
    <row r="311">
      <c r="D311" s="320"/>
      <c r="E311" s="1117" t="s">
        <v>923</v>
      </c>
      <c r="F311" s="414">
        <v>13.0</v>
      </c>
      <c r="G311" s="413">
        <v>25.0</v>
      </c>
      <c r="H311" s="1118">
        <f t="shared" si="1"/>
        <v>1.923076923</v>
      </c>
    </row>
    <row r="312">
      <c r="D312" s="320" t="s">
        <v>3823</v>
      </c>
      <c r="E312" s="1117" t="s">
        <v>3842</v>
      </c>
      <c r="F312" s="414">
        <v>5.0</v>
      </c>
      <c r="G312" s="408">
        <v>11.0</v>
      </c>
      <c r="H312" s="1118">
        <f t="shared" si="1"/>
        <v>2.2</v>
      </c>
    </row>
    <row r="313">
      <c r="D313" s="320"/>
      <c r="E313" s="1117" t="s">
        <v>3843</v>
      </c>
      <c r="F313" s="414">
        <v>2.0</v>
      </c>
      <c r="G313" s="408">
        <v>8.0</v>
      </c>
      <c r="H313" s="1118">
        <f t="shared" si="1"/>
        <v>4</v>
      </c>
    </row>
    <row r="314">
      <c r="D314" s="320"/>
      <c r="E314" s="1117" t="s">
        <v>3844</v>
      </c>
      <c r="F314" s="414">
        <v>11.0</v>
      </c>
      <c r="G314" s="408">
        <v>31.0</v>
      </c>
      <c r="H314" s="1118">
        <f t="shared" si="1"/>
        <v>2.818181818</v>
      </c>
    </row>
    <row r="315">
      <c r="D315" s="320"/>
      <c r="E315" s="1117" t="s">
        <v>923</v>
      </c>
      <c r="F315" s="414">
        <v>18.0</v>
      </c>
      <c r="G315" s="413">
        <v>50.0</v>
      </c>
      <c r="H315" s="1118">
        <f t="shared" si="1"/>
        <v>2.777777778</v>
      </c>
    </row>
    <row r="316">
      <c r="D316" s="320" t="s">
        <v>3826</v>
      </c>
      <c r="E316" s="1117" t="s">
        <v>3842</v>
      </c>
      <c r="F316" s="414">
        <v>11.0</v>
      </c>
      <c r="G316" s="413">
        <v>29.0</v>
      </c>
      <c r="H316" s="1118">
        <f t="shared" si="1"/>
        <v>2.636363636</v>
      </c>
    </row>
    <row r="317">
      <c r="D317" s="320"/>
      <c r="E317" s="1117" t="s">
        <v>3843</v>
      </c>
      <c r="F317" s="414">
        <v>6.0</v>
      </c>
      <c r="G317" s="408">
        <v>20.0</v>
      </c>
      <c r="H317" s="1118">
        <f t="shared" si="1"/>
        <v>3.333333333</v>
      </c>
    </row>
    <row r="318">
      <c r="D318" s="320"/>
      <c r="E318" s="1117" t="s">
        <v>3844</v>
      </c>
      <c r="F318" s="414">
        <v>44.0</v>
      </c>
      <c r="G318" s="413">
        <v>108.0</v>
      </c>
      <c r="H318" s="1118">
        <f t="shared" si="1"/>
        <v>2.454545455</v>
      </c>
    </row>
    <row r="319">
      <c r="D319" s="320"/>
      <c r="E319" s="1117" t="s">
        <v>923</v>
      </c>
      <c r="F319" s="414">
        <v>61.0</v>
      </c>
      <c r="G319" s="413">
        <v>157.0</v>
      </c>
      <c r="H319" s="1118">
        <f t="shared" si="1"/>
        <v>2.573770492</v>
      </c>
    </row>
    <row r="320">
      <c r="D320" s="320" t="s">
        <v>3827</v>
      </c>
      <c r="E320" s="1117" t="s">
        <v>3842</v>
      </c>
      <c r="F320" s="414">
        <v>150.0</v>
      </c>
      <c r="G320" s="413">
        <v>251.0</v>
      </c>
      <c r="H320" s="1118">
        <f t="shared" si="1"/>
        <v>1.673333333</v>
      </c>
    </row>
    <row r="321">
      <c r="D321" s="322"/>
      <c r="E321" s="1117" t="s">
        <v>3843</v>
      </c>
      <c r="F321" s="414">
        <v>40.0</v>
      </c>
      <c r="G321" s="413">
        <v>86.0</v>
      </c>
      <c r="H321" s="1118">
        <f t="shared" si="1"/>
        <v>2.15</v>
      </c>
    </row>
    <row r="322">
      <c r="D322" s="322"/>
      <c r="E322" s="1117" t="s">
        <v>3844</v>
      </c>
      <c r="F322" s="414">
        <v>261.0</v>
      </c>
      <c r="G322" s="413">
        <v>544.0</v>
      </c>
      <c r="H322" s="1118">
        <f t="shared" si="1"/>
        <v>2.084291188</v>
      </c>
    </row>
    <row r="323">
      <c r="D323" s="322"/>
      <c r="E323" s="1117" t="s">
        <v>923</v>
      </c>
      <c r="F323" s="414">
        <v>451.0</v>
      </c>
      <c r="G323" s="413">
        <v>881.0</v>
      </c>
      <c r="H323" s="1118">
        <f t="shared" si="1"/>
        <v>1.953436807</v>
      </c>
    </row>
    <row r="324">
      <c r="D324" s="320" t="s">
        <v>3532</v>
      </c>
      <c r="E324" s="1117" t="s">
        <v>3842</v>
      </c>
      <c r="F324" s="414">
        <v>20.0</v>
      </c>
      <c r="G324" s="413">
        <v>32.0</v>
      </c>
      <c r="H324" s="1118">
        <f t="shared" si="1"/>
        <v>1.6</v>
      </c>
    </row>
    <row r="325">
      <c r="D325" s="320"/>
      <c r="E325" s="1117" t="s">
        <v>3843</v>
      </c>
      <c r="F325" s="414">
        <v>28.0</v>
      </c>
      <c r="G325" s="413">
        <v>79.0</v>
      </c>
      <c r="H325" s="1118">
        <f t="shared" si="1"/>
        <v>2.821428571</v>
      </c>
    </row>
    <row r="326">
      <c r="D326" s="320"/>
      <c r="E326" s="1117" t="s">
        <v>3844</v>
      </c>
      <c r="F326" s="414">
        <v>33.0</v>
      </c>
      <c r="G326" s="413">
        <v>80.0</v>
      </c>
      <c r="H326" s="1118">
        <f t="shared" si="1"/>
        <v>2.424242424</v>
      </c>
    </row>
    <row r="327">
      <c r="D327" s="320"/>
      <c r="E327" s="1117" t="s">
        <v>923</v>
      </c>
      <c r="F327" s="414">
        <v>81.0</v>
      </c>
      <c r="G327" s="413">
        <v>191.0</v>
      </c>
      <c r="H327" s="1118">
        <f t="shared" si="1"/>
        <v>2.358024691</v>
      </c>
    </row>
    <row r="328">
      <c r="D328" s="320" t="s">
        <v>3828</v>
      </c>
      <c r="E328" s="1117" t="s">
        <v>3842</v>
      </c>
      <c r="F328" s="414">
        <v>9.0</v>
      </c>
      <c r="G328" s="413">
        <v>18.0</v>
      </c>
      <c r="H328" s="1118">
        <f t="shared" si="1"/>
        <v>2</v>
      </c>
    </row>
    <row r="329">
      <c r="D329" s="320"/>
      <c r="E329" s="1117" t="s">
        <v>3843</v>
      </c>
      <c r="F329" s="414">
        <v>3.0</v>
      </c>
      <c r="G329" s="413">
        <v>9.0</v>
      </c>
      <c r="H329" s="1118">
        <f t="shared" si="1"/>
        <v>3</v>
      </c>
    </row>
    <row r="330">
      <c r="D330" s="320"/>
      <c r="E330" s="1117" t="s">
        <v>3844</v>
      </c>
      <c r="F330" s="414">
        <v>18.0</v>
      </c>
      <c r="G330" s="413">
        <v>46.0</v>
      </c>
      <c r="H330" s="1118">
        <f t="shared" si="1"/>
        <v>2.555555556</v>
      </c>
    </row>
    <row r="331">
      <c r="D331" s="320"/>
      <c r="E331" s="1117" t="s">
        <v>923</v>
      </c>
      <c r="F331" s="414">
        <v>30.0</v>
      </c>
      <c r="G331" s="413">
        <v>73.0</v>
      </c>
      <c r="H331" s="1118">
        <f t="shared" si="1"/>
        <v>2.433333333</v>
      </c>
    </row>
    <row r="332">
      <c r="D332" s="320" t="s">
        <v>3829</v>
      </c>
      <c r="E332" s="1117" t="s">
        <v>3842</v>
      </c>
      <c r="F332" s="414">
        <v>25.0</v>
      </c>
      <c r="G332" s="413">
        <v>36.0</v>
      </c>
      <c r="H332" s="1118">
        <f t="shared" si="1"/>
        <v>1.44</v>
      </c>
    </row>
    <row r="333">
      <c r="D333" s="320"/>
      <c r="E333" s="1117" t="s">
        <v>3843</v>
      </c>
      <c r="F333" s="414">
        <v>3.0</v>
      </c>
      <c r="G333" s="413">
        <v>5.0</v>
      </c>
      <c r="H333" s="1118">
        <f t="shared" si="1"/>
        <v>1.666666667</v>
      </c>
    </row>
    <row r="334">
      <c r="D334" s="320"/>
      <c r="E334" s="1117" t="s">
        <v>3844</v>
      </c>
      <c r="F334" s="414">
        <v>24.0</v>
      </c>
      <c r="G334" s="413">
        <v>49.0</v>
      </c>
      <c r="H334" s="1118">
        <f t="shared" si="1"/>
        <v>2.041666667</v>
      </c>
    </row>
    <row r="335">
      <c r="D335" s="320"/>
      <c r="E335" s="1117" t="s">
        <v>923</v>
      </c>
      <c r="F335" s="414">
        <v>52.0</v>
      </c>
      <c r="G335" s="413">
        <v>90.0</v>
      </c>
      <c r="H335" s="1118">
        <f t="shared" si="1"/>
        <v>1.730769231</v>
      </c>
    </row>
    <row r="336">
      <c r="D336" s="320" t="s">
        <v>3830</v>
      </c>
      <c r="E336" s="1117" t="s">
        <v>3842</v>
      </c>
      <c r="F336" s="414">
        <v>33.0</v>
      </c>
      <c r="G336" s="413">
        <v>49.0</v>
      </c>
      <c r="H336" s="1118">
        <f t="shared" si="1"/>
        <v>1.484848485</v>
      </c>
    </row>
    <row r="337">
      <c r="D337" s="320"/>
      <c r="E337" s="1117" t="s">
        <v>3843</v>
      </c>
      <c r="F337" s="414">
        <v>24.0</v>
      </c>
      <c r="G337" s="413">
        <v>53.0</v>
      </c>
      <c r="H337" s="1118">
        <f t="shared" si="1"/>
        <v>2.208333333</v>
      </c>
    </row>
    <row r="338">
      <c r="D338" s="320"/>
      <c r="E338" s="1117" t="s">
        <v>3844</v>
      </c>
      <c r="F338" s="414">
        <v>62.0</v>
      </c>
      <c r="G338" s="413">
        <v>138.0</v>
      </c>
      <c r="H338" s="1118">
        <f t="shared" si="1"/>
        <v>2.225806452</v>
      </c>
    </row>
    <row r="339">
      <c r="D339" s="320"/>
      <c r="E339" s="1117" t="s">
        <v>923</v>
      </c>
      <c r="F339" s="414">
        <v>119.0</v>
      </c>
      <c r="G339" s="413">
        <v>240.0</v>
      </c>
      <c r="H339" s="1118">
        <f t="shared" si="1"/>
        <v>2.016806723</v>
      </c>
    </row>
    <row r="340">
      <c r="D340" s="320" t="s">
        <v>2597</v>
      </c>
      <c r="E340" s="1117" t="s">
        <v>3842</v>
      </c>
      <c r="F340" s="414">
        <v>4.0</v>
      </c>
      <c r="G340" s="413">
        <v>7.0</v>
      </c>
      <c r="H340" s="1118">
        <f t="shared" si="1"/>
        <v>1.75</v>
      </c>
    </row>
    <row r="341">
      <c r="D341" s="320"/>
      <c r="E341" s="1117" t="s">
        <v>3843</v>
      </c>
      <c r="F341" s="414">
        <v>14.0</v>
      </c>
      <c r="G341" s="413">
        <v>34.0</v>
      </c>
      <c r="H341" s="1118">
        <f t="shared" si="1"/>
        <v>2.428571429</v>
      </c>
    </row>
    <row r="342">
      <c r="D342" s="320"/>
      <c r="E342" s="1117" t="s">
        <v>3844</v>
      </c>
      <c r="F342" s="414">
        <v>15.0</v>
      </c>
      <c r="G342" s="413">
        <v>31.0</v>
      </c>
      <c r="H342" s="1118">
        <f t="shared" si="1"/>
        <v>2.066666667</v>
      </c>
    </row>
    <row r="343">
      <c r="D343" s="320"/>
      <c r="E343" s="1117" t="s">
        <v>923</v>
      </c>
      <c r="F343" s="414">
        <v>33.0</v>
      </c>
      <c r="G343" s="413">
        <v>72.0</v>
      </c>
      <c r="H343" s="1118">
        <f t="shared" si="1"/>
        <v>2.181818182</v>
      </c>
    </row>
    <row r="344">
      <c r="D344" s="320" t="s">
        <v>883</v>
      </c>
      <c r="E344" s="1117" t="s">
        <v>3842</v>
      </c>
      <c r="F344" s="414">
        <v>5.0</v>
      </c>
      <c r="G344" s="413">
        <v>7.0</v>
      </c>
      <c r="H344" s="1118">
        <f t="shared" si="1"/>
        <v>1.4</v>
      </c>
    </row>
    <row r="345">
      <c r="D345" s="320"/>
      <c r="E345" s="1117" t="s">
        <v>3843</v>
      </c>
      <c r="F345" s="414">
        <v>10.0</v>
      </c>
      <c r="G345" s="413">
        <v>36.0</v>
      </c>
      <c r="H345" s="1118">
        <f t="shared" si="1"/>
        <v>3.6</v>
      </c>
    </row>
    <row r="346">
      <c r="D346" s="320"/>
      <c r="E346" s="1117" t="s">
        <v>3844</v>
      </c>
      <c r="F346" s="414">
        <v>27.0</v>
      </c>
      <c r="G346" s="413">
        <v>86.0</v>
      </c>
      <c r="H346" s="1118">
        <f t="shared" si="1"/>
        <v>3.185185185</v>
      </c>
    </row>
    <row r="347">
      <c r="D347" s="320"/>
      <c r="E347" s="1117" t="s">
        <v>923</v>
      </c>
      <c r="F347" s="414">
        <v>42.0</v>
      </c>
      <c r="G347" s="413">
        <v>129.0</v>
      </c>
      <c r="H347" s="1118">
        <f t="shared" si="1"/>
        <v>3.071428571</v>
      </c>
    </row>
    <row r="348">
      <c r="D348" s="320" t="s">
        <v>2598</v>
      </c>
      <c r="E348" s="1117" t="s">
        <v>3842</v>
      </c>
      <c r="F348" s="414">
        <v>3.0</v>
      </c>
      <c r="G348" s="413">
        <v>3.0</v>
      </c>
      <c r="H348" s="1118">
        <f t="shared" si="1"/>
        <v>1</v>
      </c>
    </row>
    <row r="349">
      <c r="D349" s="320"/>
      <c r="E349" s="1117" t="s">
        <v>3843</v>
      </c>
      <c r="F349" s="414">
        <v>16.0</v>
      </c>
      <c r="G349" s="413">
        <v>51.0</v>
      </c>
      <c r="H349" s="1118">
        <f t="shared" si="1"/>
        <v>3.1875</v>
      </c>
    </row>
    <row r="350">
      <c r="D350" s="320"/>
      <c r="E350" s="1117" t="s">
        <v>3844</v>
      </c>
      <c r="F350" s="414">
        <v>30.0</v>
      </c>
      <c r="G350" s="413">
        <v>77.0</v>
      </c>
      <c r="H350" s="1118">
        <f t="shared" si="1"/>
        <v>2.566666667</v>
      </c>
    </row>
    <row r="351">
      <c r="D351" s="320"/>
      <c r="E351" s="1117" t="s">
        <v>923</v>
      </c>
      <c r="F351" s="414">
        <v>49.0</v>
      </c>
      <c r="G351" s="413">
        <v>131.0</v>
      </c>
      <c r="H351" s="1118">
        <f t="shared" si="1"/>
        <v>2.673469388</v>
      </c>
    </row>
    <row r="352">
      <c r="D352" s="320" t="s">
        <v>3831</v>
      </c>
      <c r="E352" s="1117" t="s">
        <v>3842</v>
      </c>
      <c r="F352" s="414">
        <v>114.0</v>
      </c>
      <c r="G352" s="413">
        <v>162.0</v>
      </c>
      <c r="H352" s="1118">
        <f t="shared" si="1"/>
        <v>1.421052632</v>
      </c>
    </row>
    <row r="353">
      <c r="D353" s="320"/>
      <c r="E353" s="1117" t="s">
        <v>3843</v>
      </c>
      <c r="F353" s="414">
        <v>85.0</v>
      </c>
      <c r="G353" s="413">
        <v>219.0</v>
      </c>
      <c r="H353" s="1118">
        <f t="shared" si="1"/>
        <v>2.576470588</v>
      </c>
    </row>
    <row r="354">
      <c r="D354" s="320"/>
      <c r="E354" s="1117" t="s">
        <v>3844</v>
      </c>
      <c r="F354" s="414">
        <v>164.0</v>
      </c>
      <c r="G354" s="413">
        <v>337.0</v>
      </c>
      <c r="H354" s="1118">
        <f t="shared" si="1"/>
        <v>2.054878049</v>
      </c>
    </row>
    <row r="355">
      <c r="D355" s="320"/>
      <c r="E355" s="1117" t="s">
        <v>923</v>
      </c>
      <c r="F355" s="414">
        <v>363.0</v>
      </c>
      <c r="G355" s="413">
        <v>718.0</v>
      </c>
      <c r="H355" s="1118">
        <f t="shared" si="1"/>
        <v>1.977961433</v>
      </c>
    </row>
    <row r="356">
      <c r="D356" s="320" t="s">
        <v>3832</v>
      </c>
      <c r="E356" s="1117" t="s">
        <v>3842</v>
      </c>
      <c r="F356" s="414">
        <v>3.0</v>
      </c>
      <c r="G356" s="413">
        <v>3.0</v>
      </c>
      <c r="H356" s="1118">
        <f t="shared" si="1"/>
        <v>1</v>
      </c>
    </row>
    <row r="357">
      <c r="D357" s="320"/>
      <c r="E357" s="1117" t="s">
        <v>3843</v>
      </c>
      <c r="F357" s="414">
        <v>2.0</v>
      </c>
      <c r="G357" s="413">
        <v>5.0</v>
      </c>
      <c r="H357" s="1118">
        <f t="shared" si="1"/>
        <v>2.5</v>
      </c>
    </row>
    <row r="358">
      <c r="D358" s="320"/>
      <c r="E358" s="1117" t="s">
        <v>3844</v>
      </c>
      <c r="F358" s="414">
        <v>16.0</v>
      </c>
      <c r="G358" s="413">
        <v>39.0</v>
      </c>
      <c r="H358" s="1118">
        <f t="shared" si="1"/>
        <v>2.4375</v>
      </c>
    </row>
    <row r="359">
      <c r="D359" s="320"/>
      <c r="E359" s="1117" t="s">
        <v>923</v>
      </c>
      <c r="F359" s="414">
        <v>21.0</v>
      </c>
      <c r="G359" s="413">
        <v>47.0</v>
      </c>
      <c r="H359" s="1118">
        <f t="shared" si="1"/>
        <v>2.238095238</v>
      </c>
    </row>
    <row r="360">
      <c r="D360" s="320" t="s">
        <v>3833</v>
      </c>
      <c r="E360" s="1117" t="s">
        <v>3842</v>
      </c>
      <c r="F360" s="414">
        <v>5.0</v>
      </c>
      <c r="G360" s="413">
        <v>8.0</v>
      </c>
      <c r="H360" s="1118">
        <f t="shared" si="1"/>
        <v>1.6</v>
      </c>
    </row>
    <row r="361">
      <c r="D361" s="322"/>
      <c r="E361" s="1117" t="s">
        <v>3843</v>
      </c>
      <c r="F361" s="414">
        <v>2.0</v>
      </c>
      <c r="G361" s="413">
        <v>7.0</v>
      </c>
      <c r="H361" s="1118">
        <f t="shared" si="1"/>
        <v>3.5</v>
      </c>
    </row>
    <row r="362">
      <c r="D362" s="322"/>
      <c r="E362" s="1117" t="s">
        <v>3844</v>
      </c>
      <c r="F362" s="414">
        <v>13.0</v>
      </c>
      <c r="G362" s="413">
        <v>36.0</v>
      </c>
      <c r="H362" s="1118">
        <f t="shared" si="1"/>
        <v>2.769230769</v>
      </c>
    </row>
    <row r="363">
      <c r="D363" s="322"/>
      <c r="E363" s="1117" t="s">
        <v>923</v>
      </c>
      <c r="F363" s="414">
        <v>20.0</v>
      </c>
      <c r="G363" s="413">
        <v>51.0</v>
      </c>
      <c r="H363" s="1118">
        <f t="shared" si="1"/>
        <v>2.55</v>
      </c>
    </row>
    <row r="364">
      <c r="D364" s="320" t="s">
        <v>2</v>
      </c>
      <c r="E364" s="1117" t="s">
        <v>3842</v>
      </c>
      <c r="F364" s="417">
        <v>3636.0</v>
      </c>
      <c r="G364" s="416">
        <v>5717.0</v>
      </c>
      <c r="H364" s="1118">
        <f t="shared" si="1"/>
        <v>1.572332233</v>
      </c>
    </row>
    <row r="365">
      <c r="D365" s="322"/>
      <c r="E365" s="1117" t="s">
        <v>3843</v>
      </c>
      <c r="F365" s="417">
        <v>2061.0</v>
      </c>
      <c r="G365" s="416">
        <v>5312.0</v>
      </c>
      <c r="H365" s="1118">
        <f t="shared" si="1"/>
        <v>2.577389617</v>
      </c>
    </row>
    <row r="366">
      <c r="D366" s="322"/>
      <c r="E366" s="1117" t="s">
        <v>3844</v>
      </c>
      <c r="F366" s="417">
        <v>4642.0</v>
      </c>
      <c r="G366" s="416">
        <v>10099.0</v>
      </c>
      <c r="H366" s="1118">
        <f t="shared" si="1"/>
        <v>2.175570875</v>
      </c>
    </row>
    <row r="367">
      <c r="D367" s="322"/>
      <c r="E367" s="1117" t="s">
        <v>923</v>
      </c>
      <c r="F367" s="417">
        <v>10339.0</v>
      </c>
      <c r="G367" s="416">
        <v>21128.0</v>
      </c>
      <c r="H367" s="1118">
        <f t="shared" si="1"/>
        <v>2.043524519</v>
      </c>
    </row>
  </sheetData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3" max="13" width="14.13"/>
  </cols>
  <sheetData>
    <row r="1">
      <c r="A1" s="167"/>
      <c r="B1" s="168" t="s">
        <v>96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</row>
    <row r="2">
      <c r="A2" s="169" t="s">
        <v>172</v>
      </c>
      <c r="B2" s="170" t="s">
        <v>174</v>
      </c>
      <c r="C2" s="171" t="s">
        <v>693</v>
      </c>
      <c r="D2" s="608" t="s">
        <v>694</v>
      </c>
      <c r="E2" s="608" t="s">
        <v>695</v>
      </c>
      <c r="F2" s="608" t="s">
        <v>179</v>
      </c>
      <c r="G2" s="608" t="s">
        <v>696</v>
      </c>
      <c r="H2" s="173" t="s">
        <v>697</v>
      </c>
      <c r="I2" s="174" t="s">
        <v>84</v>
      </c>
      <c r="J2" s="170" t="s">
        <v>698</v>
      </c>
      <c r="K2" s="175" t="s">
        <v>699</v>
      </c>
      <c r="L2" s="173" t="s">
        <v>89</v>
      </c>
      <c r="M2" s="176" t="s">
        <v>700</v>
      </c>
      <c r="N2" s="177" t="s">
        <v>701</v>
      </c>
      <c r="O2" s="177" t="s">
        <v>702</v>
      </c>
      <c r="P2" s="178" t="s">
        <v>90</v>
      </c>
      <c r="Q2" s="325" t="s">
        <v>703</v>
      </c>
    </row>
    <row r="3">
      <c r="A3" s="609" t="s">
        <v>1578</v>
      </c>
      <c r="B3" s="610">
        <f t="array" ref="B3">VLOOKUP($A3,NC_DEMO,2,FALSE)</f>
        <v>171415</v>
      </c>
      <c r="C3" s="1120">
        <v>120.0</v>
      </c>
      <c r="D3" s="612" t="s">
        <v>63</v>
      </c>
      <c r="E3" s="1120">
        <v>57.0</v>
      </c>
      <c r="F3" s="1120">
        <v>18.0</v>
      </c>
      <c r="G3" s="612" t="s">
        <v>63</v>
      </c>
      <c r="H3" s="671" t="s">
        <v>63</v>
      </c>
      <c r="I3" s="614" t="s">
        <v>63</v>
      </c>
      <c r="J3" s="615" t="s">
        <v>63</v>
      </c>
      <c r="K3" s="1121">
        <v>0.0</v>
      </c>
      <c r="L3" s="671" t="s">
        <v>63</v>
      </c>
      <c r="M3" s="673" t="s">
        <v>63</v>
      </c>
      <c r="N3" s="612" t="s">
        <v>63</v>
      </c>
      <c r="O3" s="612" t="s">
        <v>63</v>
      </c>
      <c r="P3" s="620">
        <f>ifna(vlookup(A3,'Population &amp; Church Numbers'!$A$1893:$D$1992,4,FALSE),"NULL")</f>
        <v>200</v>
      </c>
      <c r="Q3" s="674" t="s">
        <v>63</v>
      </c>
    </row>
    <row r="4">
      <c r="A4" s="609" t="s">
        <v>704</v>
      </c>
      <c r="B4" s="610">
        <f t="array" ref="B4">VLOOKUP($A4,NC_DEMO,2,FALSE)</f>
        <v>36444</v>
      </c>
      <c r="C4" s="1120">
        <v>55.0</v>
      </c>
      <c r="D4" s="612" t="s">
        <v>63</v>
      </c>
      <c r="E4" s="1120">
        <v>14.0</v>
      </c>
      <c r="F4" s="1120">
        <v>17.0</v>
      </c>
      <c r="G4" s="612" t="s">
        <v>63</v>
      </c>
      <c r="H4" s="671" t="s">
        <v>63</v>
      </c>
      <c r="I4" s="614" t="s">
        <v>63</v>
      </c>
      <c r="J4" s="615" t="s">
        <v>63</v>
      </c>
      <c r="K4" s="1121">
        <v>0.5</v>
      </c>
      <c r="L4" s="671" t="s">
        <v>63</v>
      </c>
      <c r="M4" s="614" t="s">
        <v>63</v>
      </c>
      <c r="N4" s="612" t="s">
        <v>63</v>
      </c>
      <c r="O4" s="612" t="s">
        <v>63</v>
      </c>
      <c r="P4" s="620">
        <f>ifna(vlookup(A4,'Population &amp; Church Numbers'!$A$1893:$D$1992,4,FALSE),"NULL")</f>
        <v>62</v>
      </c>
      <c r="Q4" s="674" t="s">
        <v>63</v>
      </c>
    </row>
    <row r="5">
      <c r="A5" s="609" t="s">
        <v>1579</v>
      </c>
      <c r="B5" s="610">
        <f t="array" ref="B5">VLOOKUP($A5,NC_DEMO,2,FALSE)</f>
        <v>10888</v>
      </c>
      <c r="C5" s="1120">
        <v>45.0</v>
      </c>
      <c r="D5" s="612" t="s">
        <v>63</v>
      </c>
      <c r="E5" s="1120">
        <v>12.0</v>
      </c>
      <c r="F5" s="1120">
        <v>8.0</v>
      </c>
      <c r="G5" s="612" t="s">
        <v>63</v>
      </c>
      <c r="H5" s="671" t="s">
        <v>63</v>
      </c>
      <c r="I5" s="614" t="s">
        <v>63</v>
      </c>
      <c r="J5" s="615" t="s">
        <v>63</v>
      </c>
      <c r="K5" s="1121">
        <v>0.75</v>
      </c>
      <c r="L5" s="671" t="s">
        <v>63</v>
      </c>
      <c r="M5" s="614" t="s">
        <v>63</v>
      </c>
      <c r="N5" s="612" t="s">
        <v>63</v>
      </c>
      <c r="O5" s="612" t="s">
        <v>63</v>
      </c>
      <c r="P5" s="620">
        <f>ifna(vlookup(A5,'Population &amp; Church Numbers'!$A$1893:$D$1992,4,FALSE),"NULL")</f>
        <v>19</v>
      </c>
      <c r="Q5" s="674" t="s">
        <v>63</v>
      </c>
    </row>
    <row r="6">
      <c r="A6" s="609" t="s">
        <v>1580</v>
      </c>
      <c r="B6" s="610">
        <f t="array" ref="B6">VLOOKUP($A6,NC_DEMO,2,FALSE)</f>
        <v>22055</v>
      </c>
      <c r="C6" s="1120">
        <v>20.0</v>
      </c>
      <c r="D6" s="612" t="s">
        <v>63</v>
      </c>
      <c r="E6" s="1120">
        <v>5.0</v>
      </c>
      <c r="F6" s="1120">
        <v>4.0</v>
      </c>
      <c r="G6" s="612" t="s">
        <v>63</v>
      </c>
      <c r="H6" s="671" t="s">
        <v>63</v>
      </c>
      <c r="I6" s="614" t="s">
        <v>63</v>
      </c>
      <c r="J6" s="615" t="s">
        <v>63</v>
      </c>
      <c r="K6" s="1121">
        <v>0.5</v>
      </c>
      <c r="L6" s="671" t="s">
        <v>63</v>
      </c>
      <c r="M6" s="614" t="s">
        <v>63</v>
      </c>
      <c r="N6" s="612" t="s">
        <v>63</v>
      </c>
      <c r="O6" s="612" t="s">
        <v>63</v>
      </c>
      <c r="P6" s="620">
        <f>ifna(vlookup(A6,'Population &amp; Church Numbers'!$A$1893:$D$1992,4,FALSE),"NULL")</f>
        <v>80</v>
      </c>
      <c r="Q6" s="674" t="s">
        <v>63</v>
      </c>
    </row>
    <row r="7">
      <c r="A7" s="609" t="s">
        <v>1581</v>
      </c>
      <c r="B7" s="610">
        <f t="array" ref="B7">VLOOKUP($A7,NC_DEMO,2,FALSE)</f>
        <v>26577</v>
      </c>
      <c r="C7" s="1120">
        <v>27.0</v>
      </c>
      <c r="D7" s="612" t="s">
        <v>63</v>
      </c>
      <c r="E7" s="1120">
        <v>6.0</v>
      </c>
      <c r="F7" s="1120">
        <v>3.0</v>
      </c>
      <c r="G7" s="612" t="s">
        <v>63</v>
      </c>
      <c r="H7" s="671" t="s">
        <v>63</v>
      </c>
      <c r="I7" s="614" t="s">
        <v>63</v>
      </c>
      <c r="J7" s="615" t="s">
        <v>63</v>
      </c>
      <c r="K7" s="1121">
        <v>0.333</v>
      </c>
      <c r="L7" s="671" t="s">
        <v>63</v>
      </c>
      <c r="M7" s="614" t="s">
        <v>63</v>
      </c>
      <c r="N7" s="612" t="s">
        <v>63</v>
      </c>
      <c r="O7" s="612" t="s">
        <v>63</v>
      </c>
      <c r="P7" s="620">
        <f>ifna(vlookup(A7,'Population &amp; Church Numbers'!$A$1893:$D$1992,4,FALSE),"NULL")</f>
        <v>51</v>
      </c>
      <c r="Q7" s="674" t="s">
        <v>63</v>
      </c>
    </row>
    <row r="8">
      <c r="A8" s="609" t="s">
        <v>1582</v>
      </c>
      <c r="B8" s="610">
        <f t="array" ref="B8">VLOOKUP($A8,NC_DEMO,2,FALSE)</f>
        <v>17806</v>
      </c>
      <c r="C8" s="1120">
        <v>25.0</v>
      </c>
      <c r="D8" s="612" t="s">
        <v>63</v>
      </c>
      <c r="E8" s="1120">
        <v>9.0</v>
      </c>
      <c r="F8" s="1120">
        <v>3.0</v>
      </c>
      <c r="G8" s="612" t="s">
        <v>63</v>
      </c>
      <c r="H8" s="671" t="s">
        <v>63</v>
      </c>
      <c r="I8" s="614" t="s">
        <v>63</v>
      </c>
      <c r="J8" s="615" t="s">
        <v>63</v>
      </c>
      <c r="K8" s="1121">
        <v>0.0</v>
      </c>
      <c r="L8" s="671" t="s">
        <v>63</v>
      </c>
      <c r="M8" s="614" t="s">
        <v>63</v>
      </c>
      <c r="N8" s="612" t="s">
        <v>63</v>
      </c>
      <c r="O8" s="612" t="s">
        <v>63</v>
      </c>
      <c r="P8" s="620">
        <f>ifna(vlookup(A8,'Population &amp; Church Numbers'!$A$1893:$D$1992,4,FALSE),"NULL")</f>
        <v>32</v>
      </c>
      <c r="Q8" s="674" t="s">
        <v>63</v>
      </c>
    </row>
    <row r="9">
      <c r="A9" s="609" t="s">
        <v>1583</v>
      </c>
      <c r="B9" s="610">
        <f t="array" ref="B9">VLOOKUP($A9,NC_DEMO,2,FALSE)</f>
        <v>44652</v>
      </c>
      <c r="C9" s="1120">
        <v>134.0</v>
      </c>
      <c r="D9" s="612" t="s">
        <v>63</v>
      </c>
      <c r="E9" s="1120">
        <v>54.0</v>
      </c>
      <c r="F9" s="1120">
        <v>41.0</v>
      </c>
      <c r="G9" s="612" t="s">
        <v>63</v>
      </c>
      <c r="H9" s="671" t="s">
        <v>63</v>
      </c>
      <c r="I9" s="614" t="s">
        <v>63</v>
      </c>
      <c r="J9" s="615" t="s">
        <v>63</v>
      </c>
      <c r="K9" s="1121">
        <v>0.22</v>
      </c>
      <c r="L9" s="671" t="s">
        <v>63</v>
      </c>
      <c r="M9" s="614" t="s">
        <v>63</v>
      </c>
      <c r="N9" s="612" t="s">
        <v>63</v>
      </c>
      <c r="O9" s="612" t="s">
        <v>63</v>
      </c>
      <c r="P9" s="620">
        <f>ifna(vlookup(A9,'Population &amp; Church Numbers'!$A$1893:$D$1992,4,FALSE),"NULL")</f>
        <v>115</v>
      </c>
      <c r="Q9" s="674" t="s">
        <v>63</v>
      </c>
    </row>
    <row r="10">
      <c r="A10" s="609" t="s">
        <v>1584</v>
      </c>
      <c r="B10" s="610">
        <f t="array" ref="B10">VLOOKUP($A10,NC_DEMO,2,FALSE)</f>
        <v>17934</v>
      </c>
      <c r="C10" s="1120">
        <v>18.0</v>
      </c>
      <c r="D10" s="612" t="s">
        <v>63</v>
      </c>
      <c r="E10" s="1120">
        <v>6.0</v>
      </c>
      <c r="F10" s="1120">
        <v>7.0</v>
      </c>
      <c r="G10" s="612" t="s">
        <v>63</v>
      </c>
      <c r="H10" s="671" t="s">
        <v>63</v>
      </c>
      <c r="I10" s="614" t="s">
        <v>63</v>
      </c>
      <c r="J10" s="615" t="s">
        <v>63</v>
      </c>
      <c r="K10" s="1122" t="s">
        <v>63</v>
      </c>
      <c r="L10" s="671" t="s">
        <v>63</v>
      </c>
      <c r="M10" s="614" t="s">
        <v>63</v>
      </c>
      <c r="N10" s="612" t="s">
        <v>63</v>
      </c>
      <c r="O10" s="612" t="s">
        <v>63</v>
      </c>
      <c r="P10" s="620">
        <f>ifna(vlookup(A10,'Population &amp; Church Numbers'!$A$1893:$D$1992,4,FALSE),"NULL")</f>
        <v>53</v>
      </c>
      <c r="Q10" s="674" t="s">
        <v>63</v>
      </c>
    </row>
    <row r="11">
      <c r="A11" s="609" t="s">
        <v>1585</v>
      </c>
      <c r="B11" s="610">
        <f t="array" ref="B11">VLOOKUP($A11,NC_DEMO,2,FALSE)</f>
        <v>29606</v>
      </c>
      <c r="C11" s="1120">
        <v>40.0</v>
      </c>
      <c r="D11" s="612" t="s">
        <v>63</v>
      </c>
      <c r="E11" s="1120">
        <v>2.0</v>
      </c>
      <c r="F11" s="1120">
        <v>18.0</v>
      </c>
      <c r="G11" s="612" t="s">
        <v>63</v>
      </c>
      <c r="H11" s="671" t="s">
        <v>63</v>
      </c>
      <c r="I11" s="614" t="s">
        <v>63</v>
      </c>
      <c r="J11" s="615" t="s">
        <v>63</v>
      </c>
      <c r="K11" s="1121">
        <v>0.471</v>
      </c>
      <c r="L11" s="671" t="s">
        <v>63</v>
      </c>
      <c r="M11" s="614" t="s">
        <v>63</v>
      </c>
      <c r="N11" s="612" t="s">
        <v>63</v>
      </c>
      <c r="O11" s="612" t="s">
        <v>63</v>
      </c>
      <c r="P11" s="620">
        <f>ifna(vlookup(A11,'Population &amp; Church Numbers'!$A$1893:$D$1992,4,FALSE),"NULL")</f>
        <v>92</v>
      </c>
      <c r="Q11" s="674" t="s">
        <v>63</v>
      </c>
    </row>
    <row r="12">
      <c r="A12" s="609" t="s">
        <v>1586</v>
      </c>
      <c r="B12" s="610">
        <f t="array" ref="B12">VLOOKUP($A12,NC_DEMO,2,FALSE)</f>
        <v>136693</v>
      </c>
      <c r="C12" s="1120">
        <v>153.0</v>
      </c>
      <c r="D12" s="612" t="s">
        <v>63</v>
      </c>
      <c r="E12" s="1120">
        <v>49.0</v>
      </c>
      <c r="F12" s="1120">
        <v>52.0</v>
      </c>
      <c r="G12" s="612" t="s">
        <v>63</v>
      </c>
      <c r="H12" s="671" t="s">
        <v>63</v>
      </c>
      <c r="I12" s="614" t="s">
        <v>63</v>
      </c>
      <c r="J12" s="615" t="s">
        <v>63</v>
      </c>
      <c r="K12" s="1121">
        <v>0.478</v>
      </c>
      <c r="L12" s="671" t="s">
        <v>63</v>
      </c>
      <c r="M12" s="614" t="s">
        <v>63</v>
      </c>
      <c r="N12" s="612" t="s">
        <v>63</v>
      </c>
      <c r="O12" s="612" t="s">
        <v>63</v>
      </c>
      <c r="P12" s="620">
        <f>ifna(vlookup(A12,'Population &amp; Church Numbers'!$A$1893:$D$1992,4,FALSE),"NULL")</f>
        <v>135</v>
      </c>
      <c r="Q12" s="674" t="s">
        <v>63</v>
      </c>
    </row>
    <row r="13">
      <c r="A13" s="609" t="s">
        <v>1587</v>
      </c>
      <c r="B13" s="610">
        <f t="array" ref="B13">VLOOKUP($A13,NC_DEMO,2,FALSE)</f>
        <v>269452</v>
      </c>
      <c r="C13" s="1120">
        <v>357.0</v>
      </c>
      <c r="D13" s="612" t="s">
        <v>63</v>
      </c>
      <c r="E13" s="1120">
        <v>111.0</v>
      </c>
      <c r="F13" s="1120">
        <v>82.0</v>
      </c>
      <c r="G13" s="612" t="s">
        <v>63</v>
      </c>
      <c r="H13" s="671" t="s">
        <v>63</v>
      </c>
      <c r="I13" s="614" t="s">
        <v>63</v>
      </c>
      <c r="J13" s="615" t="s">
        <v>63</v>
      </c>
      <c r="K13" s="1121">
        <v>0.45</v>
      </c>
      <c r="L13" s="671" t="s">
        <v>63</v>
      </c>
      <c r="M13" s="614" t="s">
        <v>63</v>
      </c>
      <c r="N13" s="612" t="s">
        <v>63</v>
      </c>
      <c r="O13" s="612" t="s">
        <v>63</v>
      </c>
      <c r="P13" s="620">
        <f>ifna(vlookup(A13,'Population &amp; Church Numbers'!$A$1893:$D$1992,4,FALSE),"NULL")</f>
        <v>266</v>
      </c>
      <c r="Q13" s="674" t="s">
        <v>63</v>
      </c>
    </row>
    <row r="14">
      <c r="A14" s="609" t="s">
        <v>546</v>
      </c>
      <c r="B14" s="610">
        <f t="array" ref="B14">VLOOKUP($A14,NC_DEMO,2,FALSE)</f>
        <v>87570</v>
      </c>
      <c r="C14" s="1120">
        <v>204.0</v>
      </c>
      <c r="D14" s="612" t="s">
        <v>63</v>
      </c>
      <c r="E14" s="1120">
        <v>86.0</v>
      </c>
      <c r="F14" s="1120">
        <v>51.0</v>
      </c>
      <c r="G14" s="612" t="s">
        <v>63</v>
      </c>
      <c r="H14" s="671" t="s">
        <v>63</v>
      </c>
      <c r="I14" s="614" t="s">
        <v>63</v>
      </c>
      <c r="J14" s="615" t="s">
        <v>63</v>
      </c>
      <c r="K14" s="1121">
        <v>0.429</v>
      </c>
      <c r="L14" s="671" t="s">
        <v>63</v>
      </c>
      <c r="M14" s="614" t="s">
        <v>63</v>
      </c>
      <c r="N14" s="612" t="s">
        <v>63</v>
      </c>
      <c r="O14" s="612" t="s">
        <v>63</v>
      </c>
      <c r="P14" s="620">
        <f>ifna(vlookup(A14,'Population &amp; Church Numbers'!$A$1893:$D$1992,4,FALSE),"NULL")</f>
        <v>131</v>
      </c>
      <c r="Q14" s="674" t="s">
        <v>63</v>
      </c>
    </row>
    <row r="15">
      <c r="A15" s="609" t="s">
        <v>1588</v>
      </c>
      <c r="B15" s="610">
        <f t="array" ref="B15">VLOOKUP($A15,NC_DEMO,2,FALSE)</f>
        <v>225804</v>
      </c>
      <c r="C15" s="1120">
        <v>187.0</v>
      </c>
      <c r="D15" s="612" t="s">
        <v>63</v>
      </c>
      <c r="E15" s="1120">
        <v>73.0</v>
      </c>
      <c r="F15" s="1120">
        <v>41.0</v>
      </c>
      <c r="G15" s="612" t="s">
        <v>63</v>
      </c>
      <c r="H15" s="671" t="s">
        <v>63</v>
      </c>
      <c r="I15" s="614" t="s">
        <v>63</v>
      </c>
      <c r="J15" s="615" t="s">
        <v>63</v>
      </c>
      <c r="K15" s="1121">
        <v>0.273</v>
      </c>
      <c r="L15" s="671" t="s">
        <v>63</v>
      </c>
      <c r="M15" s="614" t="s">
        <v>63</v>
      </c>
      <c r="N15" s="612" t="s">
        <v>63</v>
      </c>
      <c r="O15" s="612" t="s">
        <v>63</v>
      </c>
      <c r="P15" s="620">
        <f>ifna(vlookup(A15,'Population &amp; Church Numbers'!$A$1893:$D$1992,4,FALSE),"NULL")</f>
        <v>211</v>
      </c>
      <c r="Q15" s="674" t="s">
        <v>63</v>
      </c>
    </row>
    <row r="16">
      <c r="A16" s="609" t="s">
        <v>1034</v>
      </c>
      <c r="B16" s="610">
        <f t="array" ref="B16">VLOOKUP($A16,NC_DEMO,2,FALSE)</f>
        <v>80652</v>
      </c>
      <c r="C16" s="1120">
        <v>166.0</v>
      </c>
      <c r="D16" s="612" t="s">
        <v>63</v>
      </c>
      <c r="E16" s="1120">
        <v>53.0</v>
      </c>
      <c r="F16" s="1120">
        <v>55.0</v>
      </c>
      <c r="G16" s="612" t="s">
        <v>63</v>
      </c>
      <c r="H16" s="671" t="s">
        <v>63</v>
      </c>
      <c r="I16" s="614" t="s">
        <v>63</v>
      </c>
      <c r="J16" s="615" t="s">
        <v>63</v>
      </c>
      <c r="K16" s="1121">
        <v>0.375</v>
      </c>
      <c r="L16" s="671" t="s">
        <v>63</v>
      </c>
      <c r="M16" s="614" t="s">
        <v>63</v>
      </c>
      <c r="N16" s="612" t="s">
        <v>63</v>
      </c>
      <c r="O16" s="612" t="s">
        <v>63</v>
      </c>
      <c r="P16" s="620">
        <f>ifna(vlookup(A16,'Population &amp; Church Numbers'!$A$1893:$D$1992,4,FALSE),"NULL")</f>
        <v>124</v>
      </c>
      <c r="Q16" s="674" t="s">
        <v>63</v>
      </c>
    </row>
    <row r="17">
      <c r="A17" s="609" t="s">
        <v>548</v>
      </c>
      <c r="B17" s="610">
        <f t="array" ref="B17">VLOOKUP($A17,NC_DEMO,2,FALSE)</f>
        <v>10355</v>
      </c>
      <c r="C17" s="1120">
        <v>3.0</v>
      </c>
      <c r="D17" s="612" t="s">
        <v>63</v>
      </c>
      <c r="E17" s="1120">
        <v>1.0</v>
      </c>
      <c r="F17" s="1120">
        <v>0.0</v>
      </c>
      <c r="G17" s="612" t="s">
        <v>63</v>
      </c>
      <c r="H17" s="671" t="s">
        <v>63</v>
      </c>
      <c r="I17" s="614" t="s">
        <v>63</v>
      </c>
      <c r="J17" s="615" t="s">
        <v>63</v>
      </c>
      <c r="K17" s="1122" t="s">
        <v>63</v>
      </c>
      <c r="L17" s="671" t="s">
        <v>63</v>
      </c>
      <c r="M17" s="614" t="s">
        <v>63</v>
      </c>
      <c r="N17" s="612" t="s">
        <v>63</v>
      </c>
      <c r="O17" s="612" t="s">
        <v>63</v>
      </c>
      <c r="P17" s="620">
        <f>ifna(vlookup(A17,'Population &amp; Church Numbers'!$A$1893:$D$1992,4,FALSE),"NULL")</f>
        <v>21</v>
      </c>
      <c r="Q17" s="674" t="s">
        <v>63</v>
      </c>
    </row>
    <row r="18">
      <c r="A18" s="609" t="s">
        <v>1589</v>
      </c>
      <c r="B18" s="610">
        <f t="array" ref="B18">VLOOKUP($A18,NC_DEMO,2,FALSE)</f>
        <v>67686</v>
      </c>
      <c r="C18" s="1120">
        <v>68.0</v>
      </c>
      <c r="D18" s="612" t="s">
        <v>63</v>
      </c>
      <c r="E18" s="1120">
        <v>17.0</v>
      </c>
      <c r="F18" s="1120">
        <v>15.0</v>
      </c>
      <c r="G18" s="612" t="s">
        <v>63</v>
      </c>
      <c r="H18" s="671" t="s">
        <v>63</v>
      </c>
      <c r="I18" s="614" t="s">
        <v>63</v>
      </c>
      <c r="J18" s="615" t="s">
        <v>63</v>
      </c>
      <c r="K18" s="1121">
        <v>0.286</v>
      </c>
      <c r="L18" s="671" t="s">
        <v>63</v>
      </c>
      <c r="M18" s="614" t="s">
        <v>63</v>
      </c>
      <c r="N18" s="612" t="s">
        <v>63</v>
      </c>
      <c r="O18" s="612" t="s">
        <v>63</v>
      </c>
      <c r="P18" s="620">
        <f>ifna(vlookup(A18,'Population &amp; Church Numbers'!$A$1893:$D$1992,4,FALSE),"NULL")</f>
        <v>83</v>
      </c>
      <c r="Q18" s="674" t="s">
        <v>63</v>
      </c>
    </row>
    <row r="19">
      <c r="A19" s="609" t="s">
        <v>1590</v>
      </c>
      <c r="B19" s="610">
        <f t="array" ref="B19">VLOOKUP($A19,NC_DEMO,2,FALSE)</f>
        <v>22736</v>
      </c>
      <c r="C19" s="1120">
        <v>24.0</v>
      </c>
      <c r="D19" s="612" t="s">
        <v>63</v>
      </c>
      <c r="E19" s="1120">
        <v>8.0</v>
      </c>
      <c r="F19" s="1120">
        <v>7.0</v>
      </c>
      <c r="G19" s="612" t="s">
        <v>63</v>
      </c>
      <c r="H19" s="671" t="s">
        <v>63</v>
      </c>
      <c r="I19" s="614" t="s">
        <v>63</v>
      </c>
      <c r="J19" s="615" t="s">
        <v>63</v>
      </c>
      <c r="K19" s="1121">
        <v>0.333</v>
      </c>
      <c r="L19" s="671" t="s">
        <v>63</v>
      </c>
      <c r="M19" s="614" t="s">
        <v>63</v>
      </c>
      <c r="N19" s="612" t="s">
        <v>63</v>
      </c>
      <c r="O19" s="612" t="s">
        <v>63</v>
      </c>
      <c r="P19" s="620">
        <f>ifna(vlookup(A19,'Population &amp; Church Numbers'!$A$1893:$D$1992,4,FALSE),"NULL")</f>
        <v>59</v>
      </c>
      <c r="Q19" s="674" t="s">
        <v>63</v>
      </c>
    </row>
    <row r="20">
      <c r="A20" s="609" t="s">
        <v>1591</v>
      </c>
      <c r="B20" s="610">
        <f t="array" ref="B20">VLOOKUP($A20,NC_DEMO,2,FALSE)</f>
        <v>160610</v>
      </c>
      <c r="C20" s="1120">
        <v>193.0</v>
      </c>
      <c r="D20" s="612" t="s">
        <v>63</v>
      </c>
      <c r="E20" s="1120">
        <v>53.0</v>
      </c>
      <c r="F20" s="1120">
        <v>45.0</v>
      </c>
      <c r="G20" s="612" t="s">
        <v>63</v>
      </c>
      <c r="H20" s="671" t="s">
        <v>63</v>
      </c>
      <c r="I20" s="614" t="s">
        <v>63</v>
      </c>
      <c r="J20" s="615" t="s">
        <v>63</v>
      </c>
      <c r="K20" s="1121">
        <v>0.222</v>
      </c>
      <c r="L20" s="671" t="s">
        <v>63</v>
      </c>
      <c r="M20" s="614" t="s">
        <v>63</v>
      </c>
      <c r="N20" s="612" t="s">
        <v>63</v>
      </c>
      <c r="O20" s="612" t="s">
        <v>63</v>
      </c>
      <c r="P20" s="620">
        <f>ifna(vlookup(A20,'Population &amp; Church Numbers'!$A$1893:$D$1992,4,FALSE),"NULL")</f>
        <v>224</v>
      </c>
      <c r="Q20" s="674" t="s">
        <v>63</v>
      </c>
    </row>
    <row r="21">
      <c r="A21" s="609" t="s">
        <v>552</v>
      </c>
      <c r="B21" s="610">
        <f t="array" ref="B21">VLOOKUP($A21,NC_DEMO,2,FALSE)</f>
        <v>76285</v>
      </c>
      <c r="C21" s="1120">
        <v>100.0</v>
      </c>
      <c r="D21" s="612" t="s">
        <v>63</v>
      </c>
      <c r="E21" s="1120">
        <v>52.0</v>
      </c>
      <c r="F21" s="1120">
        <v>22.0</v>
      </c>
      <c r="G21" s="612" t="s">
        <v>63</v>
      </c>
      <c r="H21" s="671" t="s">
        <v>63</v>
      </c>
      <c r="I21" s="614" t="s">
        <v>63</v>
      </c>
      <c r="J21" s="615" t="s">
        <v>63</v>
      </c>
      <c r="K21" s="1121">
        <v>0.3</v>
      </c>
      <c r="L21" s="671" t="s">
        <v>63</v>
      </c>
      <c r="M21" s="614" t="s">
        <v>63</v>
      </c>
      <c r="N21" s="612" t="s">
        <v>63</v>
      </c>
      <c r="O21" s="612" t="s">
        <v>63</v>
      </c>
      <c r="P21" s="620">
        <f>ifna(vlookup(A21,'Population &amp; Church Numbers'!$A$1893:$D$1992,4,FALSE),"NULL")</f>
        <v>114</v>
      </c>
      <c r="Q21" s="674" t="s">
        <v>63</v>
      </c>
    </row>
    <row r="22">
      <c r="A22" s="609" t="s">
        <v>101</v>
      </c>
      <c r="B22" s="610">
        <f t="array" ref="B22">VLOOKUP($A22,NC_DEMO,2,FALSE)</f>
        <v>28774</v>
      </c>
      <c r="C22" s="1120">
        <v>55.0</v>
      </c>
      <c r="D22" s="612" t="s">
        <v>63</v>
      </c>
      <c r="E22" s="1120">
        <v>13.0</v>
      </c>
      <c r="F22" s="1120">
        <v>9.0</v>
      </c>
      <c r="G22" s="612" t="s">
        <v>63</v>
      </c>
      <c r="H22" s="671" t="s">
        <v>63</v>
      </c>
      <c r="I22" s="614" t="s">
        <v>63</v>
      </c>
      <c r="J22" s="615" t="s">
        <v>63</v>
      </c>
      <c r="K22" s="1121">
        <v>0.6</v>
      </c>
      <c r="L22" s="671" t="s">
        <v>63</v>
      </c>
      <c r="M22" s="614" t="s">
        <v>63</v>
      </c>
      <c r="N22" s="612" t="s">
        <v>63</v>
      </c>
      <c r="O22" s="612" t="s">
        <v>63</v>
      </c>
      <c r="P22" s="620">
        <f>ifna(vlookup(A22,'Population &amp; Church Numbers'!$A$1893:$D$1992,4,FALSE),"NULL")</f>
        <v>55</v>
      </c>
      <c r="Q22" s="674" t="s">
        <v>63</v>
      </c>
    </row>
    <row r="23">
      <c r="A23" s="609" t="s">
        <v>1592</v>
      </c>
      <c r="B23" s="610">
        <f t="array" ref="B23">VLOOKUP($A23,NC_DEMO,2,FALSE)</f>
        <v>13708</v>
      </c>
      <c r="C23" s="1120">
        <v>15.0</v>
      </c>
      <c r="D23" s="612" t="s">
        <v>63</v>
      </c>
      <c r="E23" s="1120">
        <v>14.0</v>
      </c>
      <c r="F23" s="1120">
        <v>0.0</v>
      </c>
      <c r="G23" s="612" t="s">
        <v>63</v>
      </c>
      <c r="H23" s="671" t="s">
        <v>63</v>
      </c>
      <c r="I23" s="614" t="s">
        <v>63</v>
      </c>
      <c r="J23" s="615" t="s">
        <v>63</v>
      </c>
      <c r="K23" s="1121">
        <v>0.25</v>
      </c>
      <c r="L23" s="671" t="s">
        <v>63</v>
      </c>
      <c r="M23" s="614" t="s">
        <v>63</v>
      </c>
      <c r="N23" s="612" t="s">
        <v>63</v>
      </c>
      <c r="O23" s="612" t="s">
        <v>63</v>
      </c>
      <c r="P23" s="620">
        <f>ifna(vlookup(A23,'Population &amp; Church Numbers'!$A$1893:$D$1992,4,FALSE),"NULL")</f>
        <v>30</v>
      </c>
      <c r="Q23" s="674" t="s">
        <v>63</v>
      </c>
    </row>
    <row r="24">
      <c r="A24" s="609" t="s">
        <v>112</v>
      </c>
      <c r="B24" s="610">
        <f t="array" ref="B24">VLOOKUP($A24,NC_DEMO,2,FALSE)</f>
        <v>11089</v>
      </c>
      <c r="C24" s="1120">
        <v>22.0</v>
      </c>
      <c r="D24" s="612" t="s">
        <v>63</v>
      </c>
      <c r="E24" s="1120">
        <v>8.0</v>
      </c>
      <c r="F24" s="1120">
        <v>6.0</v>
      </c>
      <c r="G24" s="612" t="s">
        <v>63</v>
      </c>
      <c r="H24" s="671" t="s">
        <v>63</v>
      </c>
      <c r="I24" s="614" t="s">
        <v>63</v>
      </c>
      <c r="J24" s="615" t="s">
        <v>63</v>
      </c>
      <c r="K24" s="1121">
        <v>0.0</v>
      </c>
      <c r="L24" s="671" t="s">
        <v>63</v>
      </c>
      <c r="M24" s="614" t="s">
        <v>63</v>
      </c>
      <c r="N24" s="612" t="s">
        <v>63</v>
      </c>
      <c r="O24" s="612" t="s">
        <v>63</v>
      </c>
      <c r="P24" s="620">
        <f>ifna(vlookup(A24,'Population &amp; Church Numbers'!$A$1893:$D$1992,4,FALSE),"NULL")</f>
        <v>29</v>
      </c>
      <c r="Q24" s="674" t="s">
        <v>63</v>
      </c>
    </row>
    <row r="25">
      <c r="A25" s="609" t="s">
        <v>257</v>
      </c>
      <c r="B25" s="610">
        <f t="array" ref="B25">VLOOKUP($A25,NC_DEMO,2,FALSE)</f>
        <v>99519</v>
      </c>
      <c r="C25" s="1120">
        <v>223.0</v>
      </c>
      <c r="D25" s="612" t="s">
        <v>63</v>
      </c>
      <c r="E25" s="1120">
        <v>87.0</v>
      </c>
      <c r="F25" s="1120">
        <v>70.0</v>
      </c>
      <c r="G25" s="612" t="s">
        <v>63</v>
      </c>
      <c r="H25" s="671" t="s">
        <v>63</v>
      </c>
      <c r="I25" s="614" t="s">
        <v>63</v>
      </c>
      <c r="J25" s="615" t="s">
        <v>63</v>
      </c>
      <c r="K25" s="1121">
        <v>0.429</v>
      </c>
      <c r="L25" s="671" t="s">
        <v>63</v>
      </c>
      <c r="M25" s="614" t="s">
        <v>63</v>
      </c>
      <c r="N25" s="612" t="s">
        <v>63</v>
      </c>
      <c r="O25" s="612" t="s">
        <v>63</v>
      </c>
      <c r="P25" s="620">
        <f>ifna(vlookup(A25,'Population &amp; Church Numbers'!$A$1893:$D$1992,4,FALSE),"NULL")</f>
        <v>173</v>
      </c>
      <c r="Q25" s="674" t="s">
        <v>63</v>
      </c>
    </row>
    <row r="26">
      <c r="A26" s="609" t="s">
        <v>1593</v>
      </c>
      <c r="B26" s="610">
        <f t="array" ref="B26">VLOOKUP($A26,NC_DEMO,2,FALSE)</f>
        <v>50623</v>
      </c>
      <c r="C26" s="1120">
        <v>98.0</v>
      </c>
      <c r="D26" s="612" t="s">
        <v>63</v>
      </c>
      <c r="E26" s="1120">
        <v>27.0</v>
      </c>
      <c r="F26" s="1120">
        <v>34.0</v>
      </c>
      <c r="G26" s="612" t="s">
        <v>63</v>
      </c>
      <c r="H26" s="671" t="s">
        <v>63</v>
      </c>
      <c r="I26" s="614" t="s">
        <v>63</v>
      </c>
      <c r="J26" s="615" t="s">
        <v>63</v>
      </c>
      <c r="K26" s="1121">
        <v>0.75</v>
      </c>
      <c r="L26" s="671" t="s">
        <v>63</v>
      </c>
      <c r="M26" s="614" t="s">
        <v>63</v>
      </c>
      <c r="N26" s="612" t="s">
        <v>63</v>
      </c>
      <c r="O26" s="612" t="s">
        <v>63</v>
      </c>
      <c r="P26" s="620">
        <f>ifna(vlookup(A26,'Population &amp; Church Numbers'!$A$1893:$D$1992,4,FALSE),"NULL")</f>
        <v>121</v>
      </c>
      <c r="Q26" s="674" t="s">
        <v>63</v>
      </c>
    </row>
    <row r="27">
      <c r="A27" s="609" t="s">
        <v>1594</v>
      </c>
      <c r="B27" s="610">
        <f t="array" ref="B27">VLOOKUP($A27,NC_DEMO,2,FALSE)</f>
        <v>100720</v>
      </c>
      <c r="C27" s="1120">
        <v>125.0</v>
      </c>
      <c r="D27" s="612" t="s">
        <v>63</v>
      </c>
      <c r="E27" s="1120">
        <v>54.0</v>
      </c>
      <c r="F27" s="1120">
        <v>20.0</v>
      </c>
      <c r="G27" s="612" t="s">
        <v>63</v>
      </c>
      <c r="H27" s="671" t="s">
        <v>63</v>
      </c>
      <c r="I27" s="614" t="s">
        <v>63</v>
      </c>
      <c r="J27" s="615" t="s">
        <v>63</v>
      </c>
      <c r="K27" s="1121">
        <v>0.19</v>
      </c>
      <c r="L27" s="671" t="s">
        <v>63</v>
      </c>
      <c r="M27" s="614" t="s">
        <v>63</v>
      </c>
      <c r="N27" s="612" t="s">
        <v>63</v>
      </c>
      <c r="O27" s="612" t="s">
        <v>63</v>
      </c>
      <c r="P27" s="620">
        <f>ifna(vlookup(A27,'Population &amp; Church Numbers'!$A$1893:$D$1992,4,FALSE),"NULL")</f>
        <v>135</v>
      </c>
      <c r="Q27" s="674" t="s">
        <v>63</v>
      </c>
    </row>
    <row r="28">
      <c r="A28" s="609" t="s">
        <v>713</v>
      </c>
      <c r="B28" s="610">
        <f t="array" ref="B28">VLOOKUP($A28,NC_DEMO,2,FALSE)</f>
        <v>334728</v>
      </c>
      <c r="C28" s="1120">
        <v>484.0</v>
      </c>
      <c r="D28" s="612" t="s">
        <v>63</v>
      </c>
      <c r="E28" s="1120">
        <v>139.0</v>
      </c>
      <c r="F28" s="1120">
        <v>118.0</v>
      </c>
      <c r="G28" s="612" t="s">
        <v>63</v>
      </c>
      <c r="H28" s="671" t="s">
        <v>63</v>
      </c>
      <c r="I28" s="614" t="s">
        <v>63</v>
      </c>
      <c r="J28" s="615" t="s">
        <v>63</v>
      </c>
      <c r="K28" s="1121">
        <v>0.209</v>
      </c>
      <c r="L28" s="671" t="s">
        <v>63</v>
      </c>
      <c r="M28" s="614" t="s">
        <v>63</v>
      </c>
      <c r="N28" s="612" t="s">
        <v>63</v>
      </c>
      <c r="O28" s="612" t="s">
        <v>63</v>
      </c>
      <c r="P28" s="620">
        <f>ifna(vlookup(A28,'Population &amp; Church Numbers'!$A$1893:$D$1992,4,FALSE),"NULL")</f>
        <v>366</v>
      </c>
      <c r="Q28" s="674" t="s">
        <v>63</v>
      </c>
    </row>
    <row r="29">
      <c r="A29" s="609" t="s">
        <v>1595</v>
      </c>
      <c r="B29" s="610">
        <f t="array" ref="B29">VLOOKUP($A29,NC_DEMO,2,FALSE)</f>
        <v>28100</v>
      </c>
      <c r="C29" s="1120">
        <v>14.0</v>
      </c>
      <c r="D29" s="612" t="s">
        <v>63</v>
      </c>
      <c r="E29" s="1120">
        <v>5.0</v>
      </c>
      <c r="F29" s="1120">
        <v>5.0</v>
      </c>
      <c r="G29" s="612" t="s">
        <v>63</v>
      </c>
      <c r="H29" s="671" t="s">
        <v>63</v>
      </c>
      <c r="I29" s="614" t="s">
        <v>63</v>
      </c>
      <c r="J29" s="615" t="s">
        <v>63</v>
      </c>
      <c r="K29" s="1121">
        <v>0.714</v>
      </c>
      <c r="L29" s="671" t="s">
        <v>63</v>
      </c>
      <c r="M29" s="614" t="s">
        <v>63</v>
      </c>
      <c r="N29" s="612" t="s">
        <v>63</v>
      </c>
      <c r="O29" s="612" t="s">
        <v>63</v>
      </c>
      <c r="P29" s="620">
        <f>ifna(vlookup(A29,'Population &amp; Church Numbers'!$A$1893:$D$1992,4,FALSE),"NULL")</f>
        <v>27</v>
      </c>
      <c r="Q29" s="674" t="s">
        <v>63</v>
      </c>
    </row>
    <row r="30">
      <c r="A30" s="609" t="s">
        <v>1596</v>
      </c>
      <c r="B30" s="610">
        <f t="array" ref="B30">VLOOKUP($A30,NC_DEMO,2,FALSE)</f>
        <v>36915</v>
      </c>
      <c r="C30" s="1120">
        <v>35.0</v>
      </c>
      <c r="D30" s="612" t="s">
        <v>63</v>
      </c>
      <c r="E30" s="1120">
        <v>16.0</v>
      </c>
      <c r="F30" s="1120">
        <v>10.0</v>
      </c>
      <c r="G30" s="612" t="s">
        <v>63</v>
      </c>
      <c r="H30" s="671" t="s">
        <v>63</v>
      </c>
      <c r="I30" s="614" t="s">
        <v>63</v>
      </c>
      <c r="J30" s="615" t="s">
        <v>63</v>
      </c>
      <c r="K30" s="1121">
        <v>0.2</v>
      </c>
      <c r="L30" s="671" t="s">
        <v>63</v>
      </c>
      <c r="M30" s="614" t="s">
        <v>63</v>
      </c>
      <c r="N30" s="612" t="s">
        <v>63</v>
      </c>
      <c r="O30" s="612" t="s">
        <v>63</v>
      </c>
      <c r="P30" s="620">
        <f>ifna(vlookup(A30,'Population &amp; Church Numbers'!$A$1893:$D$1992,4,FALSE),"NULL")</f>
        <v>40</v>
      </c>
      <c r="Q30" s="674" t="s">
        <v>63</v>
      </c>
    </row>
    <row r="31">
      <c r="A31" s="609" t="s">
        <v>570</v>
      </c>
      <c r="B31" s="610">
        <f t="array" ref="B31">VLOOKUP($A31,NC_DEMO,2,FALSE)</f>
        <v>168930</v>
      </c>
      <c r="C31" s="1120">
        <v>164.0</v>
      </c>
      <c r="D31" s="612" t="s">
        <v>63</v>
      </c>
      <c r="E31" s="1120">
        <v>83.0</v>
      </c>
      <c r="F31" s="1120">
        <v>17.0</v>
      </c>
      <c r="G31" s="612" t="s">
        <v>63</v>
      </c>
      <c r="H31" s="671" t="s">
        <v>63</v>
      </c>
      <c r="I31" s="614" t="s">
        <v>63</v>
      </c>
      <c r="J31" s="615" t="s">
        <v>63</v>
      </c>
      <c r="K31" s="1121">
        <v>0.481</v>
      </c>
      <c r="L31" s="671" t="s">
        <v>63</v>
      </c>
      <c r="M31" s="614" t="s">
        <v>63</v>
      </c>
      <c r="N31" s="612" t="s">
        <v>63</v>
      </c>
      <c r="O31" s="612" t="s">
        <v>63</v>
      </c>
      <c r="P31" s="620">
        <f>ifna(vlookup(A31,'Population &amp; Church Numbers'!$A$1893:$D$1992,4,FALSE),"NULL")</f>
        <v>208</v>
      </c>
      <c r="Q31" s="674" t="s">
        <v>63</v>
      </c>
    </row>
    <row r="32">
      <c r="A32" s="609" t="s">
        <v>1597</v>
      </c>
      <c r="B32" s="610">
        <f t="array" ref="B32">VLOOKUP($A32,NC_DEMO,2,FALSE)</f>
        <v>42712</v>
      </c>
      <c r="C32" s="1120">
        <v>42.0</v>
      </c>
      <c r="D32" s="612" t="s">
        <v>63</v>
      </c>
      <c r="E32" s="1120">
        <v>22.0</v>
      </c>
      <c r="F32" s="1120">
        <v>7.0</v>
      </c>
      <c r="G32" s="612" t="s">
        <v>63</v>
      </c>
      <c r="H32" s="671" t="s">
        <v>63</v>
      </c>
      <c r="I32" s="614" t="s">
        <v>63</v>
      </c>
      <c r="J32" s="615" t="s">
        <v>63</v>
      </c>
      <c r="K32" s="1121">
        <v>0.667</v>
      </c>
      <c r="L32" s="671" t="s">
        <v>63</v>
      </c>
      <c r="M32" s="614" t="s">
        <v>63</v>
      </c>
      <c r="N32" s="612" t="s">
        <v>63</v>
      </c>
      <c r="O32" s="612" t="s">
        <v>63</v>
      </c>
      <c r="P32" s="620">
        <f>ifna(vlookup(A32,'Population &amp; Church Numbers'!$A$1893:$D$1992,4,FALSE),"NULL")</f>
        <v>78</v>
      </c>
      <c r="Q32" s="674" t="s">
        <v>63</v>
      </c>
    </row>
    <row r="33">
      <c r="A33" s="609" t="s">
        <v>1598</v>
      </c>
      <c r="B33" s="610">
        <f t="array" ref="B33">VLOOKUP($A33,NC_DEMO,2,FALSE)</f>
        <v>48715</v>
      </c>
      <c r="C33" s="1120">
        <v>21.0</v>
      </c>
      <c r="D33" s="612" t="s">
        <v>63</v>
      </c>
      <c r="E33" s="1120">
        <v>4.0</v>
      </c>
      <c r="F33" s="1120">
        <v>2.0</v>
      </c>
      <c r="G33" s="612" t="s">
        <v>63</v>
      </c>
      <c r="H33" s="671" t="s">
        <v>63</v>
      </c>
      <c r="I33" s="614" t="s">
        <v>63</v>
      </c>
      <c r="J33" s="615" t="s">
        <v>63</v>
      </c>
      <c r="K33" s="1121">
        <v>0.429</v>
      </c>
      <c r="L33" s="671" t="s">
        <v>63</v>
      </c>
      <c r="M33" s="614" t="s">
        <v>63</v>
      </c>
      <c r="N33" s="612" t="s">
        <v>63</v>
      </c>
      <c r="O33" s="612" t="s">
        <v>63</v>
      </c>
      <c r="P33" s="620">
        <f>ifna(vlookup(A33,'Population &amp; Church Numbers'!$A$1893:$D$1992,4,FALSE),"NULL")</f>
        <v>95</v>
      </c>
      <c r="Q33" s="674" t="s">
        <v>63</v>
      </c>
    </row>
    <row r="34">
      <c r="A34" s="609" t="s">
        <v>1599</v>
      </c>
      <c r="B34" s="610">
        <f t="array" ref="B34">VLOOKUP($A34,NC_DEMO,2,FALSE)</f>
        <v>324833</v>
      </c>
      <c r="C34" s="1120">
        <v>273.0</v>
      </c>
      <c r="D34" s="612" t="s">
        <v>63</v>
      </c>
      <c r="E34" s="1120">
        <v>79.0</v>
      </c>
      <c r="F34" s="1120">
        <v>82.0</v>
      </c>
      <c r="G34" s="612" t="s">
        <v>63</v>
      </c>
      <c r="H34" s="671" t="s">
        <v>63</v>
      </c>
      <c r="I34" s="614" t="s">
        <v>63</v>
      </c>
      <c r="J34" s="615" t="s">
        <v>63</v>
      </c>
      <c r="K34" s="1121">
        <v>0.5</v>
      </c>
      <c r="L34" s="671" t="s">
        <v>63</v>
      </c>
      <c r="M34" s="614" t="s">
        <v>63</v>
      </c>
      <c r="N34" s="612" t="s">
        <v>63</v>
      </c>
      <c r="O34" s="612" t="s">
        <v>63</v>
      </c>
      <c r="P34" s="620">
        <f>ifna(vlookup(A34,'Population &amp; Church Numbers'!$A$1893:$D$1992,4,FALSE),"NULL")</f>
        <v>251</v>
      </c>
      <c r="Q34" s="674" t="s">
        <v>63</v>
      </c>
    </row>
    <row r="35">
      <c r="A35" s="609" t="s">
        <v>1600</v>
      </c>
      <c r="B35" s="610">
        <f t="array" ref="B35">VLOOKUP($A35,NC_DEMO,2,FALSE)</f>
        <v>48900</v>
      </c>
      <c r="C35" s="1120">
        <v>48.0</v>
      </c>
      <c r="D35" s="612" t="s">
        <v>63</v>
      </c>
      <c r="E35" s="1120">
        <v>15.0</v>
      </c>
      <c r="F35" s="1120">
        <v>18.0</v>
      </c>
      <c r="G35" s="612" t="s">
        <v>63</v>
      </c>
      <c r="H35" s="671" t="s">
        <v>63</v>
      </c>
      <c r="I35" s="614" t="s">
        <v>63</v>
      </c>
      <c r="J35" s="615" t="s">
        <v>63</v>
      </c>
      <c r="K35" s="1121">
        <v>0.474</v>
      </c>
      <c r="L35" s="671" t="s">
        <v>63</v>
      </c>
      <c r="M35" s="614" t="s">
        <v>63</v>
      </c>
      <c r="N35" s="612" t="s">
        <v>63</v>
      </c>
      <c r="O35" s="612" t="s">
        <v>63</v>
      </c>
      <c r="P35" s="620">
        <f>ifna(vlookup(A35,'Population &amp; Church Numbers'!$A$1893:$D$1992,4,FALSE),"NULL")</f>
        <v>96</v>
      </c>
      <c r="Q35" s="674" t="s">
        <v>63</v>
      </c>
    </row>
    <row r="36">
      <c r="A36" s="609" t="s">
        <v>576</v>
      </c>
      <c r="B36" s="610">
        <f t="array" ref="B36">VLOOKUP($A36,NC_DEMO,2,FALSE)</f>
        <v>382590</v>
      </c>
      <c r="C36" s="1120">
        <v>239.0</v>
      </c>
      <c r="D36" s="612" t="s">
        <v>63</v>
      </c>
      <c r="E36" s="1120">
        <v>103.0</v>
      </c>
      <c r="F36" s="1120">
        <v>30.0</v>
      </c>
      <c r="G36" s="612" t="s">
        <v>63</v>
      </c>
      <c r="H36" s="671" t="s">
        <v>63</v>
      </c>
      <c r="I36" s="614" t="s">
        <v>63</v>
      </c>
      <c r="J36" s="615" t="s">
        <v>63</v>
      </c>
      <c r="K36" s="1121">
        <v>0.538</v>
      </c>
      <c r="L36" s="671" t="s">
        <v>63</v>
      </c>
      <c r="M36" s="614" t="s">
        <v>63</v>
      </c>
      <c r="N36" s="612" t="s">
        <v>63</v>
      </c>
      <c r="O36" s="612" t="s">
        <v>63</v>
      </c>
      <c r="P36" s="620">
        <f>ifna(vlookup(A36,'Population &amp; Church Numbers'!$A$1893:$D$1992,4,FALSE),"NULL")</f>
        <v>389</v>
      </c>
      <c r="Q36" s="674" t="s">
        <v>63</v>
      </c>
    </row>
    <row r="37">
      <c r="A37" s="609" t="s">
        <v>136</v>
      </c>
      <c r="B37" s="610">
        <f t="array" ref="B37">VLOOKUP($A37,NC_DEMO,2,FALSE)</f>
        <v>68573</v>
      </c>
      <c r="C37" s="1120">
        <v>51.0</v>
      </c>
      <c r="D37" s="612" t="s">
        <v>63</v>
      </c>
      <c r="E37" s="1120">
        <v>21.0</v>
      </c>
      <c r="F37" s="1120">
        <v>13.0</v>
      </c>
      <c r="G37" s="612" t="s">
        <v>63</v>
      </c>
      <c r="H37" s="671" t="s">
        <v>63</v>
      </c>
      <c r="I37" s="614" t="s">
        <v>63</v>
      </c>
      <c r="J37" s="615" t="s">
        <v>63</v>
      </c>
      <c r="K37" s="1121">
        <v>0.429</v>
      </c>
      <c r="L37" s="671" t="s">
        <v>63</v>
      </c>
      <c r="M37" s="614" t="s">
        <v>63</v>
      </c>
      <c r="N37" s="612" t="s">
        <v>63</v>
      </c>
      <c r="O37" s="612" t="s">
        <v>63</v>
      </c>
      <c r="P37" s="620">
        <f>ifna(vlookup(A37,'Population &amp; Church Numbers'!$A$1893:$D$1992,4,FALSE),"NULL")</f>
        <v>74</v>
      </c>
      <c r="Q37" s="674" t="s">
        <v>63</v>
      </c>
    </row>
    <row r="38">
      <c r="A38" s="609" t="s">
        <v>1601</v>
      </c>
      <c r="B38" s="610">
        <f t="array" ref="B38">VLOOKUP($A38,NC_DEMO,2,FALSE)</f>
        <v>227943</v>
      </c>
      <c r="C38" s="1120">
        <v>409.0</v>
      </c>
      <c r="D38" s="612" t="s">
        <v>63</v>
      </c>
      <c r="E38" s="1120">
        <v>193.0</v>
      </c>
      <c r="F38" s="1120">
        <v>48.0</v>
      </c>
      <c r="G38" s="612" t="s">
        <v>63</v>
      </c>
      <c r="H38" s="671" t="s">
        <v>63</v>
      </c>
      <c r="I38" s="614" t="s">
        <v>63</v>
      </c>
      <c r="J38" s="615" t="s">
        <v>63</v>
      </c>
      <c r="K38" s="1121">
        <v>0.5</v>
      </c>
      <c r="L38" s="671" t="s">
        <v>63</v>
      </c>
      <c r="M38" s="614" t="s">
        <v>63</v>
      </c>
      <c r="N38" s="612" t="s">
        <v>63</v>
      </c>
      <c r="O38" s="612" t="s">
        <v>63</v>
      </c>
      <c r="P38" s="620">
        <f>ifna(vlookup(A38,'Population &amp; Church Numbers'!$A$1893:$D$1992,4,FALSE),"NULL")</f>
        <v>304</v>
      </c>
      <c r="Q38" s="674" t="s">
        <v>63</v>
      </c>
    </row>
    <row r="39">
      <c r="A39" s="609" t="s">
        <v>1602</v>
      </c>
      <c r="B39" s="610">
        <f t="array" ref="B39">VLOOKUP($A39,NC_DEMO,2,FALSE)</f>
        <v>10478</v>
      </c>
      <c r="C39" s="1120">
        <v>3.0</v>
      </c>
      <c r="D39" s="612" t="s">
        <v>63</v>
      </c>
      <c r="E39" s="1120">
        <v>0.0</v>
      </c>
      <c r="F39" s="1120">
        <v>3.0</v>
      </c>
      <c r="G39" s="612" t="s">
        <v>63</v>
      </c>
      <c r="H39" s="671" t="s">
        <v>63</v>
      </c>
      <c r="I39" s="614" t="s">
        <v>63</v>
      </c>
      <c r="J39" s="615" t="s">
        <v>63</v>
      </c>
      <c r="K39" s="1122" t="s">
        <v>63</v>
      </c>
      <c r="L39" s="671" t="s">
        <v>63</v>
      </c>
      <c r="M39" s="614" t="s">
        <v>63</v>
      </c>
      <c r="N39" s="612" t="s">
        <v>63</v>
      </c>
      <c r="O39" s="612" t="s">
        <v>63</v>
      </c>
      <c r="P39" s="620">
        <f>ifna(vlookup(A39,'Population &amp; Church Numbers'!$A$1893:$D$1992,4,FALSE),"NULL")</f>
        <v>25</v>
      </c>
      <c r="Q39" s="674" t="s">
        <v>63</v>
      </c>
    </row>
    <row r="40">
      <c r="A40" s="609" t="s">
        <v>224</v>
      </c>
      <c r="B40" s="610">
        <f t="array" ref="B40">VLOOKUP($A40,NC_DEMO,2,FALSE)</f>
        <v>8030</v>
      </c>
      <c r="C40" s="1120">
        <v>30.0</v>
      </c>
      <c r="D40" s="612" t="s">
        <v>63</v>
      </c>
      <c r="E40" s="1120">
        <v>7.0</v>
      </c>
      <c r="F40" s="1120">
        <v>4.0</v>
      </c>
      <c r="G40" s="612" t="s">
        <v>63</v>
      </c>
      <c r="H40" s="671" t="s">
        <v>63</v>
      </c>
      <c r="I40" s="614" t="s">
        <v>63</v>
      </c>
      <c r="J40" s="615" t="s">
        <v>63</v>
      </c>
      <c r="K40" s="1121">
        <v>0.857</v>
      </c>
      <c r="L40" s="671" t="s">
        <v>63</v>
      </c>
      <c r="M40" s="614" t="s">
        <v>63</v>
      </c>
      <c r="N40" s="612" t="s">
        <v>63</v>
      </c>
      <c r="O40" s="612" t="s">
        <v>63</v>
      </c>
      <c r="P40" s="620">
        <f>ifna(vlookup(A40,'Population &amp; Church Numbers'!$A$1893:$D$1992,4,FALSE),"NULL")</f>
        <v>14</v>
      </c>
      <c r="Q40" s="674" t="s">
        <v>63</v>
      </c>
    </row>
    <row r="41">
      <c r="A41" s="609" t="s">
        <v>1603</v>
      </c>
      <c r="B41" s="610">
        <f t="array" ref="B41">VLOOKUP($A41,NC_DEMO,2,FALSE)</f>
        <v>60992</v>
      </c>
      <c r="C41" s="1120">
        <v>29.0</v>
      </c>
      <c r="D41" s="612" t="s">
        <v>63</v>
      </c>
      <c r="E41" s="1120">
        <v>10.0</v>
      </c>
      <c r="F41" s="1120">
        <v>4.0</v>
      </c>
      <c r="G41" s="612" t="s">
        <v>63</v>
      </c>
      <c r="H41" s="671" t="s">
        <v>63</v>
      </c>
      <c r="I41" s="614" t="s">
        <v>63</v>
      </c>
      <c r="J41" s="615" t="s">
        <v>63</v>
      </c>
      <c r="K41" s="1121">
        <v>0.714</v>
      </c>
      <c r="L41" s="671" t="s">
        <v>63</v>
      </c>
      <c r="M41" s="614" t="s">
        <v>63</v>
      </c>
      <c r="N41" s="612" t="s">
        <v>63</v>
      </c>
      <c r="O41" s="612" t="s">
        <v>63</v>
      </c>
      <c r="P41" s="620">
        <f>ifna(vlookup(A41,'Population &amp; Church Numbers'!$A$1893:$D$1992,4,FALSE),"NULL")</f>
        <v>95</v>
      </c>
      <c r="Q41" s="674" t="s">
        <v>63</v>
      </c>
    </row>
    <row r="42">
      <c r="A42" s="609" t="s">
        <v>138</v>
      </c>
      <c r="B42" s="610">
        <f t="array" ref="B42">VLOOKUP($A42,NC_DEMO,2,FALSE)</f>
        <v>20451</v>
      </c>
      <c r="C42" s="1120">
        <v>41.0</v>
      </c>
      <c r="D42" s="612" t="s">
        <v>63</v>
      </c>
      <c r="E42" s="1120">
        <v>11.0</v>
      </c>
      <c r="F42" s="1120">
        <v>20.0</v>
      </c>
      <c r="G42" s="612" t="s">
        <v>63</v>
      </c>
      <c r="H42" s="671" t="s">
        <v>63</v>
      </c>
      <c r="I42" s="614" t="s">
        <v>63</v>
      </c>
      <c r="J42" s="615" t="s">
        <v>63</v>
      </c>
      <c r="K42" s="1121">
        <v>0.2</v>
      </c>
      <c r="L42" s="671" t="s">
        <v>63</v>
      </c>
      <c r="M42" s="614" t="s">
        <v>63</v>
      </c>
      <c r="N42" s="612" t="s">
        <v>63</v>
      </c>
      <c r="O42" s="612" t="s">
        <v>63</v>
      </c>
      <c r="P42" s="620">
        <f>ifna(vlookup(A42,'Population &amp; Church Numbers'!$A$1893:$D$1992,4,FALSE),"NULL")</f>
        <v>31</v>
      </c>
      <c r="Q42" s="674" t="s">
        <v>63</v>
      </c>
    </row>
    <row r="43">
      <c r="A43" s="609" t="s">
        <v>1604</v>
      </c>
      <c r="B43" s="610">
        <f t="array" ref="B43">VLOOKUP($A43,NC_DEMO,2,FALSE)</f>
        <v>541299</v>
      </c>
      <c r="C43" s="1120">
        <v>604.0</v>
      </c>
      <c r="D43" s="612" t="s">
        <v>63</v>
      </c>
      <c r="E43" s="1120">
        <v>314.0</v>
      </c>
      <c r="F43" s="1120">
        <v>54.0</v>
      </c>
      <c r="G43" s="612" t="s">
        <v>63</v>
      </c>
      <c r="H43" s="671" t="s">
        <v>63</v>
      </c>
      <c r="I43" s="614" t="s">
        <v>63</v>
      </c>
      <c r="J43" s="615" t="s">
        <v>63</v>
      </c>
      <c r="K43" s="1121">
        <v>0.023</v>
      </c>
      <c r="L43" s="671" t="s">
        <v>63</v>
      </c>
      <c r="M43" s="614" t="s">
        <v>63</v>
      </c>
      <c r="N43" s="612" t="s">
        <v>63</v>
      </c>
      <c r="O43" s="612" t="s">
        <v>63</v>
      </c>
      <c r="P43" s="620">
        <f>ifna(vlookup(A43,'Population &amp; Church Numbers'!$A$1893:$D$1992,4,FALSE),"NULL")</f>
        <v>532</v>
      </c>
      <c r="Q43" s="674" t="s">
        <v>63</v>
      </c>
    </row>
    <row r="44">
      <c r="A44" s="609" t="s">
        <v>1605</v>
      </c>
      <c r="B44" s="610">
        <f t="array" ref="B44">VLOOKUP($A44,NC_DEMO,2,FALSE)</f>
        <v>48622</v>
      </c>
      <c r="C44" s="1120">
        <v>34.0</v>
      </c>
      <c r="D44" s="612" t="s">
        <v>63</v>
      </c>
      <c r="E44" s="1120">
        <v>14.0</v>
      </c>
      <c r="F44" s="1120">
        <v>2.0</v>
      </c>
      <c r="G44" s="612" t="s">
        <v>63</v>
      </c>
      <c r="H44" s="671" t="s">
        <v>63</v>
      </c>
      <c r="I44" s="614" t="s">
        <v>63</v>
      </c>
      <c r="J44" s="615" t="s">
        <v>63</v>
      </c>
      <c r="K44" s="1121">
        <v>0.312</v>
      </c>
      <c r="L44" s="671" t="s">
        <v>63</v>
      </c>
      <c r="M44" s="614" t="s">
        <v>63</v>
      </c>
      <c r="N44" s="612" t="s">
        <v>63</v>
      </c>
      <c r="O44" s="612" t="s">
        <v>63</v>
      </c>
      <c r="P44" s="620">
        <f>ifna(vlookup(A44,'Population &amp; Church Numbers'!$A$1893:$D$1992,4,FALSE),"NULL")</f>
        <v>135</v>
      </c>
      <c r="Q44" s="674" t="s">
        <v>63</v>
      </c>
    </row>
    <row r="45">
      <c r="A45" s="609" t="s">
        <v>1606</v>
      </c>
      <c r="B45" s="610">
        <f t="array" ref="B45">VLOOKUP($A45,NC_DEMO,2,FALSE)</f>
        <v>133568</v>
      </c>
      <c r="C45" s="1120">
        <v>225.0</v>
      </c>
      <c r="D45" s="612" t="s">
        <v>63</v>
      </c>
      <c r="E45" s="1120">
        <v>77.0</v>
      </c>
      <c r="F45" s="1120">
        <v>61.0</v>
      </c>
      <c r="G45" s="612" t="s">
        <v>63</v>
      </c>
      <c r="H45" s="671" t="s">
        <v>63</v>
      </c>
      <c r="I45" s="614" t="s">
        <v>63</v>
      </c>
      <c r="J45" s="615" t="s">
        <v>63</v>
      </c>
      <c r="K45" s="1121">
        <v>0.235</v>
      </c>
      <c r="L45" s="671" t="s">
        <v>63</v>
      </c>
      <c r="M45" s="614" t="s">
        <v>63</v>
      </c>
      <c r="N45" s="612" t="s">
        <v>63</v>
      </c>
      <c r="O45" s="612" t="s">
        <v>63</v>
      </c>
      <c r="P45" s="620">
        <f>ifna(vlookup(A45,'Population &amp; Church Numbers'!$A$1893:$D$1992,4,FALSE),"NULL")</f>
        <v>164</v>
      </c>
      <c r="Q45" s="674" t="s">
        <v>63</v>
      </c>
    </row>
    <row r="46">
      <c r="A46" s="609" t="s">
        <v>1607</v>
      </c>
      <c r="B46" s="610">
        <f t="array" ref="B46">VLOOKUP($A46,NC_DEMO,2,FALSE)</f>
        <v>62089</v>
      </c>
      <c r="C46" s="1120">
        <v>133.0</v>
      </c>
      <c r="D46" s="612" t="s">
        <v>63</v>
      </c>
      <c r="E46" s="1120">
        <v>39.0</v>
      </c>
      <c r="F46" s="1120">
        <v>16.0</v>
      </c>
      <c r="G46" s="612" t="s">
        <v>63</v>
      </c>
      <c r="H46" s="671" t="s">
        <v>63</v>
      </c>
      <c r="I46" s="614" t="s">
        <v>63</v>
      </c>
      <c r="J46" s="615" t="s">
        <v>63</v>
      </c>
      <c r="K46" s="1121">
        <v>0.087</v>
      </c>
      <c r="L46" s="671" t="s">
        <v>63</v>
      </c>
      <c r="M46" s="614" t="s">
        <v>63</v>
      </c>
      <c r="N46" s="612" t="s">
        <v>63</v>
      </c>
      <c r="O46" s="612" t="s">
        <v>63</v>
      </c>
      <c r="P46" s="620">
        <f>ifna(vlookup(A46,'Population &amp; Church Numbers'!$A$1893:$D$1992,4,FALSE),"NULL")</f>
        <v>85</v>
      </c>
      <c r="Q46" s="674" t="s">
        <v>63</v>
      </c>
    </row>
    <row r="47">
      <c r="A47" s="609" t="s">
        <v>722</v>
      </c>
      <c r="B47" s="610">
        <f t="array" ref="B47">VLOOKUP($A47,NC_DEMO,2,FALSE)</f>
        <v>116281</v>
      </c>
      <c r="C47" s="1120">
        <v>122.0</v>
      </c>
      <c r="D47" s="612" t="s">
        <v>63</v>
      </c>
      <c r="E47" s="1120">
        <v>43.0</v>
      </c>
      <c r="F47" s="1120">
        <v>25.0</v>
      </c>
      <c r="G47" s="612" t="s">
        <v>63</v>
      </c>
      <c r="H47" s="671" t="s">
        <v>63</v>
      </c>
      <c r="I47" s="614" t="s">
        <v>63</v>
      </c>
      <c r="J47" s="615" t="s">
        <v>63</v>
      </c>
      <c r="K47" s="1121">
        <v>0.467</v>
      </c>
      <c r="L47" s="671" t="s">
        <v>63</v>
      </c>
      <c r="M47" s="614" t="s">
        <v>63</v>
      </c>
      <c r="N47" s="612" t="s">
        <v>63</v>
      </c>
      <c r="O47" s="612" t="s">
        <v>63</v>
      </c>
      <c r="P47" s="620">
        <f>ifna(vlookup(A47,'Population &amp; Church Numbers'!$A$1893:$D$1992,4,FALSE),"NULL")</f>
        <v>106</v>
      </c>
      <c r="Q47" s="674" t="s">
        <v>63</v>
      </c>
    </row>
    <row r="48">
      <c r="A48" s="609" t="s">
        <v>1608</v>
      </c>
      <c r="B48" s="610">
        <f t="array" ref="B48">VLOOKUP($A48,NC_DEMO,2,FALSE)</f>
        <v>21552</v>
      </c>
      <c r="C48" s="1120">
        <v>5.0</v>
      </c>
      <c r="D48" s="612" t="s">
        <v>63</v>
      </c>
      <c r="E48" s="1120">
        <v>2.0</v>
      </c>
      <c r="F48" s="1120">
        <v>0.0</v>
      </c>
      <c r="G48" s="612" t="s">
        <v>63</v>
      </c>
      <c r="H48" s="671" t="s">
        <v>63</v>
      </c>
      <c r="I48" s="614" t="s">
        <v>63</v>
      </c>
      <c r="J48" s="615" t="s">
        <v>63</v>
      </c>
      <c r="K48" s="1122" t="s">
        <v>63</v>
      </c>
      <c r="L48" s="671" t="s">
        <v>63</v>
      </c>
      <c r="M48" s="614" t="s">
        <v>63</v>
      </c>
      <c r="N48" s="612" t="s">
        <v>63</v>
      </c>
      <c r="O48" s="612" t="s">
        <v>63</v>
      </c>
      <c r="P48" s="620">
        <f>ifna(vlookup(A48,'Population &amp; Church Numbers'!$A$1893:$D$1992,4,FALSE),"NULL")</f>
        <v>46</v>
      </c>
      <c r="Q48" s="674" t="s">
        <v>63</v>
      </c>
    </row>
    <row r="49">
      <c r="A49" s="609" t="s">
        <v>1609</v>
      </c>
      <c r="B49" s="610">
        <f t="array" ref="B49">VLOOKUP($A49,NC_DEMO,2,FALSE)</f>
        <v>52082</v>
      </c>
      <c r="C49" s="1120">
        <v>71.0</v>
      </c>
      <c r="D49" s="612" t="s">
        <v>63</v>
      </c>
      <c r="E49" s="1120">
        <v>8.0</v>
      </c>
      <c r="F49" s="1120">
        <v>36.0</v>
      </c>
      <c r="G49" s="612" t="s">
        <v>63</v>
      </c>
      <c r="H49" s="671" t="s">
        <v>63</v>
      </c>
      <c r="I49" s="614" t="s">
        <v>63</v>
      </c>
      <c r="J49" s="615" t="s">
        <v>63</v>
      </c>
      <c r="K49" s="1121">
        <v>0.444</v>
      </c>
      <c r="L49" s="671" t="s">
        <v>63</v>
      </c>
      <c r="M49" s="614" t="s">
        <v>63</v>
      </c>
      <c r="N49" s="612" t="s">
        <v>63</v>
      </c>
      <c r="O49" s="612" t="s">
        <v>63</v>
      </c>
      <c r="P49" s="620">
        <f>ifna(vlookup(A49,'Population &amp; Church Numbers'!$A$1893:$D$1992,4,FALSE),"NULL")</f>
        <v>61</v>
      </c>
      <c r="Q49" s="674" t="s">
        <v>63</v>
      </c>
    </row>
    <row r="50">
      <c r="A50" s="609" t="s">
        <v>1610</v>
      </c>
      <c r="B50" s="610">
        <f t="array" ref="B50">VLOOKUP($A50,NC_DEMO,2,FALSE)</f>
        <v>4589</v>
      </c>
      <c r="C50" s="1120">
        <v>6.0</v>
      </c>
      <c r="D50" s="612" t="s">
        <v>63</v>
      </c>
      <c r="E50" s="1120">
        <v>0.0</v>
      </c>
      <c r="F50" s="1120">
        <v>3.0</v>
      </c>
      <c r="G50" s="612" t="s">
        <v>63</v>
      </c>
      <c r="H50" s="671" t="s">
        <v>63</v>
      </c>
      <c r="I50" s="614" t="s">
        <v>63</v>
      </c>
      <c r="J50" s="615" t="s">
        <v>63</v>
      </c>
      <c r="K50" s="1122" t="s">
        <v>63</v>
      </c>
      <c r="L50" s="671" t="s">
        <v>63</v>
      </c>
      <c r="M50" s="614" t="s">
        <v>63</v>
      </c>
      <c r="N50" s="612" t="s">
        <v>63</v>
      </c>
      <c r="O50" s="612" t="s">
        <v>63</v>
      </c>
      <c r="P50" s="620">
        <f>ifna(vlookup(A50,'Population &amp; Church Numbers'!$A$1893:$D$1992,4,FALSE),"NULL")</f>
        <v>7</v>
      </c>
      <c r="Q50" s="674" t="s">
        <v>63</v>
      </c>
    </row>
    <row r="51">
      <c r="A51" s="609" t="s">
        <v>1611</v>
      </c>
      <c r="B51" s="610">
        <f t="array" ref="B51">VLOOKUP($A51,NC_DEMO,2,FALSE)</f>
        <v>186693</v>
      </c>
      <c r="C51" s="1120">
        <v>120.0</v>
      </c>
      <c r="D51" s="612" t="s">
        <v>63</v>
      </c>
      <c r="E51" s="1120">
        <v>56.0</v>
      </c>
      <c r="F51" s="1120">
        <v>32.0</v>
      </c>
      <c r="G51" s="612" t="s">
        <v>63</v>
      </c>
      <c r="H51" s="671" t="s">
        <v>63</v>
      </c>
      <c r="I51" s="614" t="s">
        <v>63</v>
      </c>
      <c r="J51" s="615" t="s">
        <v>63</v>
      </c>
      <c r="K51" s="1121">
        <v>0.41</v>
      </c>
      <c r="L51" s="671" t="s">
        <v>63</v>
      </c>
      <c r="M51" s="614" t="s">
        <v>63</v>
      </c>
      <c r="N51" s="612" t="s">
        <v>63</v>
      </c>
      <c r="O51" s="612" t="s">
        <v>63</v>
      </c>
      <c r="P51" s="620">
        <f>ifna(vlookup(A51,'Population &amp; Church Numbers'!$A$1893:$D$1992,4,FALSE),"NULL")</f>
        <v>213</v>
      </c>
      <c r="Q51" s="674" t="s">
        <v>63</v>
      </c>
    </row>
    <row r="52">
      <c r="A52" s="609" t="s">
        <v>142</v>
      </c>
      <c r="B52" s="610">
        <f t="array" ref="B52">VLOOKUP($A52,NC_DEMO,2,FALSE)</f>
        <v>43109</v>
      </c>
      <c r="C52" s="1120">
        <v>88.0</v>
      </c>
      <c r="D52" s="612" t="s">
        <v>63</v>
      </c>
      <c r="E52" s="1120">
        <v>19.0</v>
      </c>
      <c r="F52" s="1120">
        <v>14.0</v>
      </c>
      <c r="G52" s="612" t="s">
        <v>63</v>
      </c>
      <c r="H52" s="671" t="s">
        <v>63</v>
      </c>
      <c r="I52" s="614" t="s">
        <v>63</v>
      </c>
      <c r="J52" s="615" t="s">
        <v>63</v>
      </c>
      <c r="K52" s="1121">
        <v>1.0</v>
      </c>
      <c r="L52" s="671" t="s">
        <v>63</v>
      </c>
      <c r="M52" s="614" t="s">
        <v>63</v>
      </c>
      <c r="N52" s="612" t="s">
        <v>63</v>
      </c>
      <c r="O52" s="612" t="s">
        <v>63</v>
      </c>
      <c r="P52" s="620">
        <f>ifna(vlookup(A52,'Population &amp; Church Numbers'!$A$1893:$D$1992,4,FALSE),"NULL")</f>
        <v>51</v>
      </c>
      <c r="Q52" s="674" t="s">
        <v>63</v>
      </c>
    </row>
    <row r="53">
      <c r="A53" s="609" t="s">
        <v>1612</v>
      </c>
      <c r="B53" s="610">
        <f t="array" ref="B53">VLOOKUP($A53,NC_DEMO,2,FALSE)</f>
        <v>215999</v>
      </c>
      <c r="C53" s="1120">
        <v>310.0</v>
      </c>
      <c r="D53" s="612" t="s">
        <v>63</v>
      </c>
      <c r="E53" s="1120">
        <v>161.0</v>
      </c>
      <c r="F53" s="1120">
        <v>52.0</v>
      </c>
      <c r="G53" s="612" t="s">
        <v>63</v>
      </c>
      <c r="H53" s="671" t="s">
        <v>63</v>
      </c>
      <c r="I53" s="614" t="s">
        <v>63</v>
      </c>
      <c r="J53" s="615" t="s">
        <v>63</v>
      </c>
      <c r="K53" s="1121">
        <v>0.518</v>
      </c>
      <c r="L53" s="671" t="s">
        <v>63</v>
      </c>
      <c r="M53" s="614" t="s">
        <v>63</v>
      </c>
      <c r="N53" s="612" t="s">
        <v>63</v>
      </c>
      <c r="O53" s="612" t="s">
        <v>63</v>
      </c>
      <c r="P53" s="620">
        <f>ifna(vlookup(A53,'Population &amp; Church Numbers'!$A$1893:$D$1992,4,FALSE),"NULL")</f>
        <v>209</v>
      </c>
      <c r="Q53" s="674" t="s">
        <v>63</v>
      </c>
    </row>
    <row r="54">
      <c r="A54" s="609" t="s">
        <v>598</v>
      </c>
      <c r="B54" s="610">
        <f t="array" ref="B54">VLOOKUP($A54,NC_DEMO,2,FALSE)</f>
        <v>9172</v>
      </c>
      <c r="C54" s="1120">
        <v>13.0</v>
      </c>
      <c r="D54" s="612" t="s">
        <v>63</v>
      </c>
      <c r="E54" s="1120">
        <v>3.0</v>
      </c>
      <c r="F54" s="1120">
        <v>7.0</v>
      </c>
      <c r="G54" s="612" t="s">
        <v>63</v>
      </c>
      <c r="H54" s="671" t="s">
        <v>63</v>
      </c>
      <c r="I54" s="614" t="s">
        <v>63</v>
      </c>
      <c r="J54" s="615" t="s">
        <v>63</v>
      </c>
      <c r="K54" s="1121">
        <v>0.6</v>
      </c>
      <c r="L54" s="671" t="s">
        <v>63</v>
      </c>
      <c r="M54" s="614" t="s">
        <v>63</v>
      </c>
      <c r="N54" s="612" t="s">
        <v>63</v>
      </c>
      <c r="O54" s="612" t="s">
        <v>63</v>
      </c>
      <c r="P54" s="620">
        <f>ifna(vlookup(A54,'Population &amp; Church Numbers'!$A$1893:$D$1992,4,FALSE),"NULL")</f>
        <v>26</v>
      </c>
      <c r="Q54" s="674" t="s">
        <v>63</v>
      </c>
    </row>
    <row r="55">
      <c r="A55" s="609" t="s">
        <v>147</v>
      </c>
      <c r="B55" s="610">
        <f t="array" ref="B55">VLOOKUP($A55,NC_DEMO,2,FALSE)</f>
        <v>63285</v>
      </c>
      <c r="C55" s="1120">
        <v>26.0</v>
      </c>
      <c r="D55" s="612" t="s">
        <v>63</v>
      </c>
      <c r="E55" s="1120">
        <v>11.0</v>
      </c>
      <c r="F55" s="1120">
        <v>9.0</v>
      </c>
      <c r="G55" s="612" t="s">
        <v>63</v>
      </c>
      <c r="H55" s="671" t="s">
        <v>63</v>
      </c>
      <c r="I55" s="614" t="s">
        <v>63</v>
      </c>
      <c r="J55" s="615" t="s">
        <v>63</v>
      </c>
      <c r="K55" s="1121">
        <v>0.5</v>
      </c>
      <c r="L55" s="671" t="s">
        <v>63</v>
      </c>
      <c r="M55" s="614" t="s">
        <v>63</v>
      </c>
      <c r="N55" s="612" t="s">
        <v>63</v>
      </c>
      <c r="O55" s="612" t="s">
        <v>63</v>
      </c>
      <c r="P55" s="620">
        <f>ifna(vlookup(A55,'Population &amp; Church Numbers'!$A$1893:$D$1992,4,FALSE),"NULL")</f>
        <v>101</v>
      </c>
      <c r="Q55" s="674" t="s">
        <v>63</v>
      </c>
    </row>
    <row r="56">
      <c r="A56" s="609" t="s">
        <v>1613</v>
      </c>
      <c r="B56" s="610">
        <f t="array" ref="B56">VLOOKUP($A56,NC_DEMO,2,FALSE)</f>
        <v>55122</v>
      </c>
      <c r="C56" s="1120">
        <v>63.0</v>
      </c>
      <c r="D56" s="612" t="s">
        <v>63</v>
      </c>
      <c r="E56" s="1120">
        <v>24.0</v>
      </c>
      <c r="F56" s="1120">
        <v>21.0</v>
      </c>
      <c r="G56" s="612" t="s">
        <v>63</v>
      </c>
      <c r="H56" s="671" t="s">
        <v>63</v>
      </c>
      <c r="I56" s="614" t="s">
        <v>63</v>
      </c>
      <c r="J56" s="615" t="s">
        <v>63</v>
      </c>
      <c r="K56" s="1121">
        <v>0.75</v>
      </c>
      <c r="L56" s="671" t="s">
        <v>63</v>
      </c>
      <c r="M56" s="614" t="s">
        <v>63</v>
      </c>
      <c r="N56" s="612" t="s">
        <v>63</v>
      </c>
      <c r="O56" s="612" t="s">
        <v>63</v>
      </c>
      <c r="P56" s="620">
        <f>ifna(vlookup(A56,'Population &amp; Church Numbers'!$A$1893:$D$1992,4,FALSE),"NULL")</f>
        <v>120</v>
      </c>
      <c r="Q56" s="674" t="s">
        <v>63</v>
      </c>
    </row>
    <row r="57">
      <c r="A57" s="609" t="s">
        <v>290</v>
      </c>
      <c r="B57" s="610">
        <f t="array" ref="B57">VLOOKUP($A57,NC_DEMO,2,FALSE)</f>
        <v>86810</v>
      </c>
      <c r="C57" s="1120">
        <v>79.0</v>
      </c>
      <c r="D57" s="612" t="s">
        <v>63</v>
      </c>
      <c r="E57" s="1120">
        <v>35.0</v>
      </c>
      <c r="F57" s="1120">
        <v>4.0</v>
      </c>
      <c r="G57" s="612" t="s">
        <v>63</v>
      </c>
      <c r="H57" s="671" t="s">
        <v>63</v>
      </c>
      <c r="I57" s="614" t="s">
        <v>63</v>
      </c>
      <c r="J57" s="615" t="s">
        <v>63</v>
      </c>
      <c r="K57" s="1121">
        <v>0.889</v>
      </c>
      <c r="L57" s="671" t="s">
        <v>63</v>
      </c>
      <c r="M57" s="614" t="s">
        <v>63</v>
      </c>
      <c r="N57" s="612" t="s">
        <v>63</v>
      </c>
      <c r="O57" s="612" t="s">
        <v>63</v>
      </c>
      <c r="P57" s="620">
        <f>ifna(vlookup(A57,'Population &amp; Church Numbers'!$A$1893:$D$1992,4,FALSE),"NULL")</f>
        <v>109</v>
      </c>
      <c r="Q57" s="674" t="s">
        <v>63</v>
      </c>
    </row>
    <row r="58">
      <c r="A58" s="609" t="s">
        <v>1614</v>
      </c>
      <c r="B58" s="610">
        <f t="array" ref="B58">VLOOKUP($A58,NC_DEMO,2,FALSE)</f>
        <v>44578</v>
      </c>
      <c r="C58" s="1120">
        <v>67.0</v>
      </c>
      <c r="D58" s="612" t="s">
        <v>63</v>
      </c>
      <c r="E58" s="1120">
        <v>28.0</v>
      </c>
      <c r="F58" s="1120">
        <v>14.0</v>
      </c>
      <c r="G58" s="612" t="s">
        <v>63</v>
      </c>
      <c r="H58" s="671" t="s">
        <v>63</v>
      </c>
      <c r="I58" s="614" t="s">
        <v>63</v>
      </c>
      <c r="J58" s="615" t="s">
        <v>63</v>
      </c>
      <c r="K58" s="1121">
        <v>0.375</v>
      </c>
      <c r="L58" s="671" t="s">
        <v>63</v>
      </c>
      <c r="M58" s="614" t="s">
        <v>63</v>
      </c>
      <c r="N58" s="612" t="s">
        <v>63</v>
      </c>
      <c r="O58" s="612" t="s">
        <v>63</v>
      </c>
      <c r="P58" s="620">
        <f>ifna(vlookup(A58,'Population &amp; Church Numbers'!$A$1893:$D$1992,4,FALSE),"NULL")</f>
        <v>72</v>
      </c>
      <c r="Q58" s="674" t="s">
        <v>63</v>
      </c>
    </row>
    <row r="59">
      <c r="A59" s="609" t="s">
        <v>150</v>
      </c>
      <c r="B59" s="610">
        <f t="array" ref="B59">VLOOKUP($A59,NC_DEMO,2,FALSE)</f>
        <v>37014</v>
      </c>
      <c r="C59" s="1120">
        <v>20.0</v>
      </c>
      <c r="D59" s="612" t="s">
        <v>63</v>
      </c>
      <c r="E59" s="1120">
        <v>6.0</v>
      </c>
      <c r="F59" s="1120">
        <v>1.0</v>
      </c>
      <c r="G59" s="612" t="s">
        <v>63</v>
      </c>
      <c r="H59" s="671" t="s">
        <v>63</v>
      </c>
      <c r="I59" s="614" t="s">
        <v>63</v>
      </c>
      <c r="J59" s="615" t="s">
        <v>63</v>
      </c>
      <c r="K59" s="1121">
        <v>0.286</v>
      </c>
      <c r="L59" s="671" t="s">
        <v>63</v>
      </c>
      <c r="M59" s="614" t="s">
        <v>63</v>
      </c>
      <c r="N59" s="612" t="s">
        <v>63</v>
      </c>
      <c r="O59" s="612" t="s">
        <v>63</v>
      </c>
      <c r="P59" s="620">
        <f>ifna(vlookup(A59,'Population &amp; Church Numbers'!$A$1893:$D$1992,4,FALSE),"NULL")</f>
        <v>63</v>
      </c>
      <c r="Q59" s="674" t="s">
        <v>63</v>
      </c>
    </row>
    <row r="60">
      <c r="A60" s="609" t="s">
        <v>151</v>
      </c>
      <c r="B60" s="610">
        <f t="array" ref="B60">VLOOKUP($A60,NC_DEMO,2,FALSE)</f>
        <v>21193</v>
      </c>
      <c r="C60" s="1120">
        <v>31.0</v>
      </c>
      <c r="D60" s="612" t="s">
        <v>63</v>
      </c>
      <c r="E60" s="1120">
        <v>13.0</v>
      </c>
      <c r="F60" s="1120">
        <v>6.0</v>
      </c>
      <c r="G60" s="612" t="s">
        <v>63</v>
      </c>
      <c r="H60" s="671" t="s">
        <v>63</v>
      </c>
      <c r="I60" s="614" t="s">
        <v>63</v>
      </c>
      <c r="J60" s="615" t="s">
        <v>63</v>
      </c>
      <c r="K60" s="1122" t="s">
        <v>63</v>
      </c>
      <c r="L60" s="671" t="s">
        <v>63</v>
      </c>
      <c r="M60" s="614" t="s">
        <v>63</v>
      </c>
      <c r="N60" s="612" t="s">
        <v>63</v>
      </c>
      <c r="O60" s="612" t="s">
        <v>63</v>
      </c>
      <c r="P60" s="620">
        <f>ifna(vlookup(A60,'Population &amp; Church Numbers'!$A$1893:$D$1992,4,FALSE),"NULL")</f>
        <v>23</v>
      </c>
      <c r="Q60" s="674" t="s">
        <v>63</v>
      </c>
    </row>
    <row r="61">
      <c r="A61" s="609" t="s">
        <v>510</v>
      </c>
      <c r="B61" s="610">
        <f t="array" ref="B61">VLOOKUP($A61,NC_DEMO,2,FALSE)</f>
        <v>22031</v>
      </c>
      <c r="C61" s="1120">
        <v>104.0</v>
      </c>
      <c r="D61" s="612" t="s">
        <v>63</v>
      </c>
      <c r="E61" s="1120">
        <v>36.0</v>
      </c>
      <c r="F61" s="1120">
        <v>23.0</v>
      </c>
      <c r="G61" s="612" t="s">
        <v>63</v>
      </c>
      <c r="H61" s="671" t="s">
        <v>63</v>
      </c>
      <c r="I61" s="614" t="s">
        <v>63</v>
      </c>
      <c r="J61" s="615" t="s">
        <v>63</v>
      </c>
      <c r="K61" s="1122" t="s">
        <v>63</v>
      </c>
      <c r="L61" s="671" t="s">
        <v>63</v>
      </c>
      <c r="M61" s="614" t="s">
        <v>63</v>
      </c>
      <c r="N61" s="612" t="s">
        <v>63</v>
      </c>
      <c r="O61" s="612" t="s">
        <v>63</v>
      </c>
      <c r="P61" s="620">
        <f>ifna(vlookup(A61,'Population &amp; Church Numbers'!$A$1893:$D$1992,4,FALSE),"NULL")</f>
        <v>66</v>
      </c>
      <c r="Q61" s="674" t="s">
        <v>63</v>
      </c>
    </row>
    <row r="62">
      <c r="A62" s="609" t="s">
        <v>381</v>
      </c>
      <c r="B62" s="610">
        <f t="array" ref="B62">VLOOKUP($A62,NC_DEMO,2,FALSE)</f>
        <v>1115482</v>
      </c>
      <c r="C62" s="1120">
        <v>455.0</v>
      </c>
      <c r="D62" s="612" t="s">
        <v>63</v>
      </c>
      <c r="E62" s="1120">
        <v>162.0</v>
      </c>
      <c r="F62" s="1120">
        <v>97.0</v>
      </c>
      <c r="G62" s="612" t="s">
        <v>63</v>
      </c>
      <c r="H62" s="671" t="s">
        <v>63</v>
      </c>
      <c r="I62" s="614" t="s">
        <v>63</v>
      </c>
      <c r="J62" s="615" t="s">
        <v>63</v>
      </c>
      <c r="K62" s="1121">
        <v>0.327</v>
      </c>
      <c r="L62" s="671" t="s">
        <v>63</v>
      </c>
      <c r="M62" s="614" t="s">
        <v>63</v>
      </c>
      <c r="N62" s="612" t="s">
        <v>63</v>
      </c>
      <c r="O62" s="612" t="s">
        <v>63</v>
      </c>
      <c r="P62" s="620">
        <f>ifna(vlookup(A62,'Population &amp; Church Numbers'!$A$1893:$D$1992,4,FALSE),"NULL")</f>
        <v>583</v>
      </c>
      <c r="Q62" s="674" t="s">
        <v>63</v>
      </c>
    </row>
    <row r="63">
      <c r="A63" s="609" t="s">
        <v>610</v>
      </c>
      <c r="B63" s="610">
        <f t="array" ref="B63">VLOOKUP($A63,NC_DEMO,2,FALSE)</f>
        <v>14903</v>
      </c>
      <c r="C63" s="1120">
        <v>41.0</v>
      </c>
      <c r="D63" s="612" t="s">
        <v>63</v>
      </c>
      <c r="E63" s="1120">
        <v>15.0</v>
      </c>
      <c r="F63" s="1120">
        <v>9.0</v>
      </c>
      <c r="G63" s="612" t="s">
        <v>63</v>
      </c>
      <c r="H63" s="671" t="s">
        <v>63</v>
      </c>
      <c r="I63" s="614" t="s">
        <v>63</v>
      </c>
      <c r="J63" s="615" t="s">
        <v>63</v>
      </c>
      <c r="K63" s="1121">
        <v>0.667</v>
      </c>
      <c r="L63" s="671" t="s">
        <v>63</v>
      </c>
      <c r="M63" s="614" t="s">
        <v>63</v>
      </c>
      <c r="N63" s="612" t="s">
        <v>63</v>
      </c>
      <c r="O63" s="612" t="s">
        <v>63</v>
      </c>
      <c r="P63" s="620">
        <f>ifna(vlookup(A63,'Population &amp; Church Numbers'!$A$1893:$D$1992,4,FALSE),"NULL")</f>
        <v>32</v>
      </c>
      <c r="Q63" s="674" t="s">
        <v>63</v>
      </c>
    </row>
    <row r="64">
      <c r="A64" s="609" t="s">
        <v>157</v>
      </c>
      <c r="B64" s="610">
        <f t="array" ref="B64">VLOOKUP($A64,NC_DEMO,2,FALSE)</f>
        <v>25751</v>
      </c>
      <c r="C64" s="1120">
        <v>20.0</v>
      </c>
      <c r="D64" s="612" t="s">
        <v>63</v>
      </c>
      <c r="E64" s="1120">
        <v>10.0</v>
      </c>
      <c r="F64" s="1120">
        <v>3.0</v>
      </c>
      <c r="G64" s="612" t="s">
        <v>63</v>
      </c>
      <c r="H64" s="671" t="s">
        <v>63</v>
      </c>
      <c r="I64" s="614" t="s">
        <v>63</v>
      </c>
      <c r="J64" s="615" t="s">
        <v>63</v>
      </c>
      <c r="K64" s="1121">
        <v>0.0</v>
      </c>
      <c r="L64" s="671" t="s">
        <v>63</v>
      </c>
      <c r="M64" s="614" t="s">
        <v>63</v>
      </c>
      <c r="N64" s="612" t="s">
        <v>63</v>
      </c>
      <c r="O64" s="612" t="s">
        <v>63</v>
      </c>
      <c r="P64" s="620">
        <f>ifna(vlookup(A64,'Population &amp; Church Numbers'!$A$1893:$D$1992,4,FALSE),"NULL")</f>
        <v>59</v>
      </c>
      <c r="Q64" s="674" t="s">
        <v>63</v>
      </c>
    </row>
    <row r="65">
      <c r="A65" s="609" t="s">
        <v>1615</v>
      </c>
      <c r="B65" s="610">
        <f t="array" ref="B65">VLOOKUP($A65,NC_DEMO,2,FALSE)</f>
        <v>99727</v>
      </c>
      <c r="C65" s="1120">
        <v>55.0</v>
      </c>
      <c r="D65" s="612" t="s">
        <v>63</v>
      </c>
      <c r="E65" s="1120">
        <v>19.0</v>
      </c>
      <c r="F65" s="1120">
        <v>15.0</v>
      </c>
      <c r="G65" s="612" t="s">
        <v>63</v>
      </c>
      <c r="H65" s="671" t="s">
        <v>63</v>
      </c>
      <c r="I65" s="614" t="s">
        <v>63</v>
      </c>
      <c r="J65" s="615" t="s">
        <v>63</v>
      </c>
      <c r="K65" s="1121">
        <v>0.5</v>
      </c>
      <c r="L65" s="671" t="s">
        <v>63</v>
      </c>
      <c r="M65" s="614" t="s">
        <v>63</v>
      </c>
      <c r="N65" s="612" t="s">
        <v>63</v>
      </c>
      <c r="O65" s="612" t="s">
        <v>63</v>
      </c>
      <c r="P65" s="620">
        <f>ifna(vlookup(A65,'Population &amp; Church Numbers'!$A$1893:$D$1992,4,FALSE),"NULL")</f>
        <v>128</v>
      </c>
      <c r="Q65" s="674" t="s">
        <v>63</v>
      </c>
    </row>
    <row r="66">
      <c r="A66" s="609" t="s">
        <v>1616</v>
      </c>
      <c r="B66" s="610">
        <f t="array" ref="B66">VLOOKUP($A66,NC_DEMO,2,FALSE)</f>
        <v>94970</v>
      </c>
      <c r="C66" s="1120">
        <v>68.0</v>
      </c>
      <c r="D66" s="612" t="s">
        <v>63</v>
      </c>
      <c r="E66" s="1120">
        <v>23.0</v>
      </c>
      <c r="F66" s="1120">
        <v>14.0</v>
      </c>
      <c r="G66" s="612" t="s">
        <v>63</v>
      </c>
      <c r="H66" s="671" t="s">
        <v>63</v>
      </c>
      <c r="I66" s="614" t="s">
        <v>63</v>
      </c>
      <c r="J66" s="615" t="s">
        <v>63</v>
      </c>
      <c r="K66" s="1121">
        <v>0.561</v>
      </c>
      <c r="L66" s="671" t="s">
        <v>63</v>
      </c>
      <c r="M66" s="614" t="s">
        <v>63</v>
      </c>
      <c r="N66" s="612" t="s">
        <v>63</v>
      </c>
      <c r="O66" s="612" t="s">
        <v>63</v>
      </c>
      <c r="P66" s="620">
        <f>ifna(vlookup(A66,'Population &amp; Church Numbers'!$A$1893:$D$1992,4,FALSE),"NULL")</f>
        <v>168</v>
      </c>
      <c r="Q66" s="674" t="s">
        <v>63</v>
      </c>
    </row>
    <row r="67">
      <c r="A67" s="609" t="s">
        <v>1617</v>
      </c>
      <c r="B67" s="610">
        <f t="array" ref="B67">VLOOKUP($A67,NC_DEMO,2,FALSE)</f>
        <v>225702</v>
      </c>
      <c r="C67" s="1120">
        <v>301.0</v>
      </c>
      <c r="D67" s="612" t="s">
        <v>63</v>
      </c>
      <c r="E67" s="1120">
        <v>76.0</v>
      </c>
      <c r="F67" s="1120">
        <v>85.0</v>
      </c>
      <c r="G67" s="612" t="s">
        <v>63</v>
      </c>
      <c r="H67" s="671" t="s">
        <v>63</v>
      </c>
      <c r="I67" s="614" t="s">
        <v>63</v>
      </c>
      <c r="J67" s="615" t="s">
        <v>63</v>
      </c>
      <c r="K67" s="1121">
        <v>0.451</v>
      </c>
      <c r="L67" s="671" t="s">
        <v>63</v>
      </c>
      <c r="M67" s="614" t="s">
        <v>63</v>
      </c>
      <c r="N67" s="612" t="s">
        <v>63</v>
      </c>
      <c r="O67" s="612" t="s">
        <v>63</v>
      </c>
      <c r="P67" s="620">
        <f>ifna(vlookup(A67,'Population &amp; Church Numbers'!$A$1893:$D$1992,4,FALSE),"NULL")</f>
        <v>177</v>
      </c>
      <c r="Q67" s="674" t="s">
        <v>63</v>
      </c>
    </row>
    <row r="68">
      <c r="A68" s="609" t="s">
        <v>1618</v>
      </c>
      <c r="B68" s="610">
        <f t="array" ref="B68">VLOOKUP($A68,NC_DEMO,2,FALSE)</f>
        <v>17471</v>
      </c>
      <c r="C68" s="1120">
        <v>3.0</v>
      </c>
      <c r="D68" s="612" t="s">
        <v>63</v>
      </c>
      <c r="E68" s="1120">
        <v>1.0</v>
      </c>
      <c r="F68" s="1120">
        <v>1.0</v>
      </c>
      <c r="G68" s="612" t="s">
        <v>63</v>
      </c>
      <c r="H68" s="671" t="s">
        <v>63</v>
      </c>
      <c r="I68" s="614" t="s">
        <v>63</v>
      </c>
      <c r="J68" s="615" t="s">
        <v>63</v>
      </c>
      <c r="K68" s="1122" t="s">
        <v>63</v>
      </c>
      <c r="L68" s="671" t="s">
        <v>63</v>
      </c>
      <c r="M68" s="614" t="s">
        <v>63</v>
      </c>
      <c r="N68" s="612" t="s">
        <v>63</v>
      </c>
      <c r="O68" s="612" t="s">
        <v>63</v>
      </c>
      <c r="P68" s="620">
        <f>ifna(vlookup(A68,'Population &amp; Church Numbers'!$A$1893:$D$1992,4,FALSE),"NULL")</f>
        <v>39</v>
      </c>
      <c r="Q68" s="674" t="s">
        <v>63</v>
      </c>
    </row>
    <row r="69">
      <c r="A69" s="609" t="s">
        <v>1619</v>
      </c>
      <c r="B69" s="610">
        <f t="array" ref="B69">VLOOKUP($A69,NC_DEMO,2,FALSE)</f>
        <v>204576</v>
      </c>
      <c r="C69" s="1120">
        <v>128.0</v>
      </c>
      <c r="D69" s="612" t="s">
        <v>63</v>
      </c>
      <c r="E69" s="1120">
        <v>45.0</v>
      </c>
      <c r="F69" s="1120">
        <v>30.0</v>
      </c>
      <c r="G69" s="612" t="s">
        <v>63</v>
      </c>
      <c r="H69" s="671" t="s">
        <v>63</v>
      </c>
      <c r="I69" s="614" t="s">
        <v>63</v>
      </c>
      <c r="J69" s="615" t="s">
        <v>63</v>
      </c>
      <c r="K69" s="1121">
        <v>0.37</v>
      </c>
      <c r="L69" s="671" t="s">
        <v>63</v>
      </c>
      <c r="M69" s="614" t="s">
        <v>63</v>
      </c>
      <c r="N69" s="612" t="s">
        <v>63</v>
      </c>
      <c r="O69" s="612" t="s">
        <v>63</v>
      </c>
      <c r="P69" s="620">
        <f>ifna(vlookup(A69,'Population &amp; Church Numbers'!$A$1893:$D$1992,4,FALSE),"NULL")</f>
        <v>146</v>
      </c>
      <c r="Q69" s="674" t="s">
        <v>63</v>
      </c>
    </row>
    <row r="70">
      <c r="A70" s="609" t="s">
        <v>241</v>
      </c>
      <c r="B70" s="610">
        <f t="array" ref="B70">VLOOKUP($A70,NC_DEMO,2,FALSE)</f>
        <v>148696</v>
      </c>
      <c r="C70" s="1120">
        <v>94.0</v>
      </c>
      <c r="D70" s="612" t="s">
        <v>63</v>
      </c>
      <c r="E70" s="1120">
        <v>33.0</v>
      </c>
      <c r="F70" s="1120">
        <v>25.0</v>
      </c>
      <c r="G70" s="612" t="s">
        <v>63</v>
      </c>
      <c r="H70" s="671" t="s">
        <v>63</v>
      </c>
      <c r="I70" s="614" t="s">
        <v>63</v>
      </c>
      <c r="J70" s="615" t="s">
        <v>63</v>
      </c>
      <c r="K70" s="1121">
        <v>0.0</v>
      </c>
      <c r="L70" s="671" t="s">
        <v>63</v>
      </c>
      <c r="M70" s="614" t="s">
        <v>63</v>
      </c>
      <c r="N70" s="612" t="s">
        <v>63</v>
      </c>
      <c r="O70" s="612" t="s">
        <v>63</v>
      </c>
      <c r="P70" s="620">
        <f>ifna(vlookup(A70,'Population &amp; Church Numbers'!$A$1893:$D$1992,4,FALSE),"NULL")</f>
        <v>121</v>
      </c>
      <c r="Q70" s="674" t="s">
        <v>63</v>
      </c>
    </row>
    <row r="71">
      <c r="A71" s="609" t="s">
        <v>1620</v>
      </c>
      <c r="B71" s="610">
        <f t="array" ref="B71">VLOOKUP($A71,NC_DEMO,2,FALSE)</f>
        <v>12276</v>
      </c>
      <c r="C71" s="1120">
        <v>6.0</v>
      </c>
      <c r="D71" s="612" t="s">
        <v>63</v>
      </c>
      <c r="E71" s="1120">
        <v>1.0</v>
      </c>
      <c r="F71" s="1120">
        <v>2.0</v>
      </c>
      <c r="G71" s="612" t="s">
        <v>63</v>
      </c>
      <c r="H71" s="671" t="s">
        <v>63</v>
      </c>
      <c r="I71" s="614" t="s">
        <v>63</v>
      </c>
      <c r="J71" s="615" t="s">
        <v>63</v>
      </c>
      <c r="K71" s="1121">
        <v>0.0</v>
      </c>
      <c r="L71" s="671" t="s">
        <v>63</v>
      </c>
      <c r="M71" s="614" t="s">
        <v>63</v>
      </c>
      <c r="N71" s="612" t="s">
        <v>63</v>
      </c>
      <c r="O71" s="612" t="s">
        <v>63</v>
      </c>
      <c r="P71" s="620">
        <f>ifna(vlookup(A71,'Population &amp; Church Numbers'!$A$1893:$D$1992,4,FALSE),"NULL")</f>
        <v>25</v>
      </c>
      <c r="Q71" s="674" t="s">
        <v>63</v>
      </c>
    </row>
    <row r="72">
      <c r="A72" s="609" t="s">
        <v>1621</v>
      </c>
      <c r="B72" s="610">
        <f t="array" ref="B72">VLOOKUP($A72,NC_DEMO,2,FALSE)</f>
        <v>40568</v>
      </c>
      <c r="C72" s="1120">
        <v>24.0</v>
      </c>
      <c r="D72" s="612" t="s">
        <v>63</v>
      </c>
      <c r="E72" s="1120">
        <v>11.0</v>
      </c>
      <c r="F72" s="1120">
        <v>4.0</v>
      </c>
      <c r="G72" s="612" t="s">
        <v>63</v>
      </c>
      <c r="H72" s="671" t="s">
        <v>63</v>
      </c>
      <c r="I72" s="614" t="s">
        <v>63</v>
      </c>
      <c r="J72" s="615" t="s">
        <v>63</v>
      </c>
      <c r="K72" s="1121">
        <v>0.5</v>
      </c>
      <c r="L72" s="671" t="s">
        <v>63</v>
      </c>
      <c r="M72" s="614" t="s">
        <v>63</v>
      </c>
      <c r="N72" s="612" t="s">
        <v>63</v>
      </c>
      <c r="O72" s="612" t="s">
        <v>63</v>
      </c>
      <c r="P72" s="620">
        <f>ifna(vlookup(A72,'Population &amp; Church Numbers'!$A$1893:$D$1992,4,FALSE),"NULL")</f>
        <v>58</v>
      </c>
      <c r="Q72" s="674" t="s">
        <v>63</v>
      </c>
    </row>
    <row r="73">
      <c r="A73" s="609" t="s">
        <v>1622</v>
      </c>
      <c r="B73" s="610">
        <f t="array" ref="B73">VLOOKUP($A73,NC_DEMO,2,FALSE)</f>
        <v>60203</v>
      </c>
      <c r="C73" s="1120">
        <v>74.0</v>
      </c>
      <c r="D73" s="612" t="s">
        <v>63</v>
      </c>
      <c r="E73" s="1120">
        <v>30.0</v>
      </c>
      <c r="F73" s="1120">
        <v>27.0</v>
      </c>
      <c r="G73" s="612" t="s">
        <v>63</v>
      </c>
      <c r="H73" s="671" t="s">
        <v>63</v>
      </c>
      <c r="I73" s="614" t="s">
        <v>63</v>
      </c>
      <c r="J73" s="615" t="s">
        <v>63</v>
      </c>
      <c r="K73" s="1121">
        <v>0.444</v>
      </c>
      <c r="L73" s="671" t="s">
        <v>63</v>
      </c>
      <c r="M73" s="614" t="s">
        <v>63</v>
      </c>
      <c r="N73" s="612" t="s">
        <v>63</v>
      </c>
      <c r="O73" s="612" t="s">
        <v>63</v>
      </c>
      <c r="P73" s="620">
        <f>ifna(vlookup(A73,'Population &amp; Church Numbers'!$A$1893:$D$1992,4,FALSE),"NULL")</f>
        <v>63</v>
      </c>
      <c r="Q73" s="674" t="s">
        <v>63</v>
      </c>
    </row>
    <row r="74">
      <c r="A74" s="609" t="s">
        <v>1623</v>
      </c>
      <c r="B74" s="610">
        <f t="array" ref="B74">VLOOKUP($A74,NC_DEMO,2,FALSE)</f>
        <v>13005</v>
      </c>
      <c r="C74" s="1120">
        <v>14.0</v>
      </c>
      <c r="D74" s="612" t="s">
        <v>63</v>
      </c>
      <c r="E74" s="1120">
        <v>7.0</v>
      </c>
      <c r="F74" s="1120">
        <v>3.0</v>
      </c>
      <c r="G74" s="612" t="s">
        <v>63</v>
      </c>
      <c r="H74" s="671" t="s">
        <v>63</v>
      </c>
      <c r="I74" s="614" t="s">
        <v>63</v>
      </c>
      <c r="J74" s="615" t="s">
        <v>63</v>
      </c>
      <c r="K74" s="1121">
        <v>0.333</v>
      </c>
      <c r="L74" s="671" t="s">
        <v>63</v>
      </c>
      <c r="M74" s="614" t="s">
        <v>63</v>
      </c>
      <c r="N74" s="612" t="s">
        <v>63</v>
      </c>
      <c r="O74" s="612" t="s">
        <v>63</v>
      </c>
      <c r="P74" s="620">
        <f>ifna(vlookup(A74,'Population &amp; Church Numbers'!$A$1893:$D$1992,4,FALSE),"NULL")</f>
        <v>25</v>
      </c>
      <c r="Q74" s="674" t="s">
        <v>63</v>
      </c>
    </row>
    <row r="75">
      <c r="A75" s="609" t="s">
        <v>1624</v>
      </c>
      <c r="B75" s="610">
        <f t="array" ref="B75">VLOOKUP($A75,NC_DEMO,2,FALSE)</f>
        <v>39097</v>
      </c>
      <c r="C75" s="1120">
        <v>85.0</v>
      </c>
      <c r="D75" s="612" t="s">
        <v>63</v>
      </c>
      <c r="E75" s="1120">
        <v>34.0</v>
      </c>
      <c r="F75" s="1120">
        <v>11.0</v>
      </c>
      <c r="G75" s="612" t="s">
        <v>63</v>
      </c>
      <c r="H75" s="671" t="s">
        <v>63</v>
      </c>
      <c r="I75" s="614" t="s">
        <v>63</v>
      </c>
      <c r="J75" s="615" t="s">
        <v>63</v>
      </c>
      <c r="K75" s="1121">
        <v>0.545</v>
      </c>
      <c r="L75" s="671" t="s">
        <v>63</v>
      </c>
      <c r="M75" s="614" t="s">
        <v>63</v>
      </c>
      <c r="N75" s="612" t="s">
        <v>63</v>
      </c>
      <c r="O75" s="612" t="s">
        <v>63</v>
      </c>
      <c r="P75" s="620">
        <f>ifna(vlookup(A75,'Population &amp; Church Numbers'!$A$1893:$D$1992,4,FALSE),"NULL")</f>
        <v>82</v>
      </c>
      <c r="Q75" s="674" t="s">
        <v>63</v>
      </c>
    </row>
    <row r="76">
      <c r="A76" s="609" t="s">
        <v>1625</v>
      </c>
      <c r="B76" s="610">
        <f t="array" ref="B76">VLOOKUP($A76,NC_DEMO,2,FALSE)</f>
        <v>170243</v>
      </c>
      <c r="C76" s="1120">
        <v>203.0</v>
      </c>
      <c r="D76" s="612" t="s">
        <v>63</v>
      </c>
      <c r="E76" s="1120">
        <v>65.0</v>
      </c>
      <c r="F76" s="1120">
        <v>24.0</v>
      </c>
      <c r="G76" s="612" t="s">
        <v>63</v>
      </c>
      <c r="H76" s="671" t="s">
        <v>63</v>
      </c>
      <c r="I76" s="614" t="s">
        <v>63</v>
      </c>
      <c r="J76" s="615" t="s">
        <v>63</v>
      </c>
      <c r="K76" s="1121">
        <v>0.162</v>
      </c>
      <c r="L76" s="671" t="s">
        <v>63</v>
      </c>
      <c r="M76" s="614" t="s">
        <v>63</v>
      </c>
      <c r="N76" s="612" t="s">
        <v>63</v>
      </c>
      <c r="O76" s="612" t="s">
        <v>63</v>
      </c>
      <c r="P76" s="620">
        <f>ifna(vlookup(A76,'Population &amp; Church Numbers'!$A$1893:$D$1992,4,FALSE),"NULL")</f>
        <v>188</v>
      </c>
      <c r="Q76" s="674" t="s">
        <v>63</v>
      </c>
    </row>
    <row r="77">
      <c r="A77" s="609" t="s">
        <v>302</v>
      </c>
      <c r="B77" s="610">
        <f t="array" ref="B77">VLOOKUP($A77,NC_DEMO,2,FALSE)</f>
        <v>19328</v>
      </c>
      <c r="C77" s="1120">
        <v>51.0</v>
      </c>
      <c r="D77" s="612" t="s">
        <v>63</v>
      </c>
      <c r="E77" s="1120">
        <v>17.0</v>
      </c>
      <c r="F77" s="1120">
        <v>11.0</v>
      </c>
      <c r="G77" s="612" t="s">
        <v>63</v>
      </c>
      <c r="H77" s="671" t="s">
        <v>63</v>
      </c>
      <c r="I77" s="614" t="s">
        <v>63</v>
      </c>
      <c r="J77" s="615" t="s">
        <v>63</v>
      </c>
      <c r="K77" s="1121">
        <v>0.667</v>
      </c>
      <c r="L77" s="671" t="s">
        <v>63</v>
      </c>
      <c r="M77" s="614" t="s">
        <v>63</v>
      </c>
      <c r="N77" s="612" t="s">
        <v>63</v>
      </c>
      <c r="O77" s="612" t="s">
        <v>63</v>
      </c>
      <c r="P77" s="620">
        <f>ifna(vlookup(A77,'Population &amp; Church Numbers'!$A$1893:$D$1992,4,FALSE),"NULL")</f>
        <v>40</v>
      </c>
      <c r="Q77" s="674" t="s">
        <v>63</v>
      </c>
    </row>
    <row r="78">
      <c r="A78" s="609" t="s">
        <v>163</v>
      </c>
      <c r="B78" s="610">
        <f t="array" ref="B78">VLOOKUP($A78,NC_DEMO,2,FALSE)</f>
        <v>144171</v>
      </c>
      <c r="C78" s="1120">
        <v>185.0</v>
      </c>
      <c r="D78" s="612" t="s">
        <v>63</v>
      </c>
      <c r="E78" s="1120">
        <v>92.0</v>
      </c>
      <c r="F78" s="1120">
        <v>19.0</v>
      </c>
      <c r="G78" s="612" t="s">
        <v>63</v>
      </c>
      <c r="H78" s="671" t="s">
        <v>63</v>
      </c>
      <c r="I78" s="614" t="s">
        <v>63</v>
      </c>
      <c r="J78" s="615" t="s">
        <v>63</v>
      </c>
      <c r="K78" s="1121">
        <v>0.222</v>
      </c>
      <c r="L78" s="671" t="s">
        <v>63</v>
      </c>
      <c r="M78" s="614" t="s">
        <v>63</v>
      </c>
      <c r="N78" s="612" t="s">
        <v>63</v>
      </c>
      <c r="O78" s="612" t="s">
        <v>63</v>
      </c>
      <c r="P78" s="620">
        <f>ifna(vlookup(A78,'Population &amp; Church Numbers'!$A$1893:$D$1992,4,FALSE),"NULL")</f>
        <v>230</v>
      </c>
      <c r="Q78" s="674" t="s">
        <v>63</v>
      </c>
    </row>
    <row r="79">
      <c r="A79" s="609" t="s">
        <v>621</v>
      </c>
      <c r="B79" s="610">
        <f t="array" ref="B79">VLOOKUP($A79,NC_DEMO,2,FALSE)</f>
        <v>42946</v>
      </c>
      <c r="C79" s="1120">
        <v>99.0</v>
      </c>
      <c r="D79" s="612" t="s">
        <v>63</v>
      </c>
      <c r="E79" s="1120">
        <v>53.0</v>
      </c>
      <c r="F79" s="1120">
        <v>10.0</v>
      </c>
      <c r="G79" s="612" t="s">
        <v>63</v>
      </c>
      <c r="H79" s="671" t="s">
        <v>63</v>
      </c>
      <c r="I79" s="614" t="s">
        <v>63</v>
      </c>
      <c r="J79" s="615" t="s">
        <v>63</v>
      </c>
      <c r="K79" s="1121">
        <v>0.0</v>
      </c>
      <c r="L79" s="671" t="s">
        <v>63</v>
      </c>
      <c r="M79" s="614" t="s">
        <v>63</v>
      </c>
      <c r="N79" s="612" t="s">
        <v>63</v>
      </c>
      <c r="O79" s="612" t="s">
        <v>63</v>
      </c>
      <c r="P79" s="620">
        <f>ifna(vlookup(A79,'Population &amp; Church Numbers'!$A$1893:$D$1992,4,FALSE),"NULL")</f>
        <v>111</v>
      </c>
      <c r="Q79" s="674" t="s">
        <v>63</v>
      </c>
    </row>
    <row r="80">
      <c r="A80" s="609" t="s">
        <v>1626</v>
      </c>
      <c r="B80" s="610">
        <f t="array" ref="B80">VLOOKUP($A80,NC_DEMO,2,FALSE)</f>
        <v>116530</v>
      </c>
      <c r="C80" s="1120">
        <v>333.0</v>
      </c>
      <c r="D80" s="612" t="s">
        <v>63</v>
      </c>
      <c r="E80" s="1120">
        <v>86.0</v>
      </c>
      <c r="F80" s="1120">
        <v>141.0</v>
      </c>
      <c r="G80" s="612" t="s">
        <v>63</v>
      </c>
      <c r="H80" s="671" t="s">
        <v>63</v>
      </c>
      <c r="I80" s="614" t="s">
        <v>63</v>
      </c>
      <c r="J80" s="615" t="s">
        <v>63</v>
      </c>
      <c r="K80" s="1121">
        <v>0.442</v>
      </c>
      <c r="L80" s="671" t="s">
        <v>63</v>
      </c>
      <c r="M80" s="614" t="s">
        <v>63</v>
      </c>
      <c r="N80" s="612" t="s">
        <v>63</v>
      </c>
      <c r="O80" s="612" t="s">
        <v>63</v>
      </c>
      <c r="P80" s="620">
        <f>ifna(vlookup(A80,'Population &amp; Church Numbers'!$A$1893:$D$1992,4,FALSE),"NULL")</f>
        <v>248</v>
      </c>
      <c r="Q80" s="674" t="s">
        <v>63</v>
      </c>
    </row>
    <row r="81">
      <c r="A81" s="609" t="s">
        <v>1523</v>
      </c>
      <c r="B81" s="610">
        <f t="array" ref="B81">VLOOKUP($A81,NC_DEMO,2,FALSE)</f>
        <v>91096</v>
      </c>
      <c r="C81" s="1120">
        <v>163.0</v>
      </c>
      <c r="D81" s="612" t="s">
        <v>63</v>
      </c>
      <c r="E81" s="1120">
        <v>83.0</v>
      </c>
      <c r="F81" s="1120">
        <v>27.0</v>
      </c>
      <c r="G81" s="612" t="s">
        <v>63</v>
      </c>
      <c r="H81" s="671" t="s">
        <v>63</v>
      </c>
      <c r="I81" s="614" t="s">
        <v>63</v>
      </c>
      <c r="J81" s="615" t="s">
        <v>63</v>
      </c>
      <c r="K81" s="1121">
        <v>0.441</v>
      </c>
      <c r="L81" s="671" t="s">
        <v>63</v>
      </c>
      <c r="M81" s="614" t="s">
        <v>63</v>
      </c>
      <c r="N81" s="612" t="s">
        <v>63</v>
      </c>
      <c r="O81" s="612" t="s">
        <v>63</v>
      </c>
      <c r="P81" s="620">
        <f>ifna(vlookup(A81,'Population &amp; Church Numbers'!$A$1893:$D$1992,4,FALSE),"NULL")</f>
        <v>175</v>
      </c>
      <c r="Q81" s="674" t="s">
        <v>63</v>
      </c>
    </row>
    <row r="82">
      <c r="A82" s="609" t="s">
        <v>1133</v>
      </c>
      <c r="B82" s="610">
        <f t="array" ref="B82">VLOOKUP($A82,NC_DEMO,2,FALSE)</f>
        <v>146875</v>
      </c>
      <c r="C82" s="1120">
        <v>169.0</v>
      </c>
      <c r="D82" s="612" t="s">
        <v>63</v>
      </c>
      <c r="E82" s="1120">
        <v>67.0</v>
      </c>
      <c r="F82" s="1120">
        <v>37.0</v>
      </c>
      <c r="G82" s="612" t="s">
        <v>63</v>
      </c>
      <c r="H82" s="671" t="s">
        <v>63</v>
      </c>
      <c r="I82" s="614" t="s">
        <v>63</v>
      </c>
      <c r="J82" s="615" t="s">
        <v>63</v>
      </c>
      <c r="K82" s="1121">
        <v>0.3</v>
      </c>
      <c r="L82" s="671" t="s">
        <v>63</v>
      </c>
      <c r="M82" s="614" t="s">
        <v>63</v>
      </c>
      <c r="N82" s="612" t="s">
        <v>63</v>
      </c>
      <c r="O82" s="612" t="s">
        <v>63</v>
      </c>
      <c r="P82" s="620">
        <f>ifna(vlookup(A82,'Population &amp; Church Numbers'!$A$1893:$D$1992,4,FALSE),"NULL")</f>
        <v>253</v>
      </c>
      <c r="Q82" s="674" t="s">
        <v>63</v>
      </c>
    </row>
    <row r="83">
      <c r="A83" s="609" t="s">
        <v>1627</v>
      </c>
      <c r="B83" s="610">
        <f t="array" ref="B83">VLOOKUP($A83,NC_DEMO,2,FALSE)</f>
        <v>64444</v>
      </c>
      <c r="C83" s="1120">
        <v>174.0</v>
      </c>
      <c r="D83" s="612" t="s">
        <v>63</v>
      </c>
      <c r="E83" s="1120">
        <v>61.0</v>
      </c>
      <c r="F83" s="1120">
        <v>47.0</v>
      </c>
      <c r="G83" s="612" t="s">
        <v>63</v>
      </c>
      <c r="H83" s="671" t="s">
        <v>63</v>
      </c>
      <c r="I83" s="614" t="s">
        <v>63</v>
      </c>
      <c r="J83" s="615" t="s">
        <v>63</v>
      </c>
      <c r="K83" s="1121">
        <v>0.2</v>
      </c>
      <c r="L83" s="671" t="s">
        <v>63</v>
      </c>
      <c r="M83" s="614" t="s">
        <v>63</v>
      </c>
      <c r="N83" s="612" t="s">
        <v>63</v>
      </c>
      <c r="O83" s="612" t="s">
        <v>63</v>
      </c>
      <c r="P83" s="620">
        <f>ifna(vlookup(A83,'Population &amp; Church Numbers'!$A$1893:$D$1992,4,FALSE),"NULL")</f>
        <v>119</v>
      </c>
      <c r="Q83" s="674" t="s">
        <v>63</v>
      </c>
    </row>
    <row r="84">
      <c r="A84" s="609" t="s">
        <v>1628</v>
      </c>
      <c r="B84" s="610">
        <f t="array" ref="B84">VLOOKUP($A84,NC_DEMO,2,FALSE)</f>
        <v>59036</v>
      </c>
      <c r="C84" s="1120">
        <v>112.0</v>
      </c>
      <c r="D84" s="612" t="s">
        <v>63</v>
      </c>
      <c r="E84" s="1120">
        <v>47.0</v>
      </c>
      <c r="F84" s="1120">
        <v>7.0</v>
      </c>
      <c r="G84" s="612" t="s">
        <v>63</v>
      </c>
      <c r="H84" s="671" t="s">
        <v>63</v>
      </c>
      <c r="I84" s="614" t="s">
        <v>63</v>
      </c>
      <c r="J84" s="615" t="s">
        <v>63</v>
      </c>
      <c r="K84" s="1121">
        <v>0.368</v>
      </c>
      <c r="L84" s="671" t="s">
        <v>63</v>
      </c>
      <c r="M84" s="614" t="s">
        <v>63</v>
      </c>
      <c r="N84" s="612" t="s">
        <v>63</v>
      </c>
      <c r="O84" s="612" t="s">
        <v>63</v>
      </c>
      <c r="P84" s="620">
        <f>ifna(vlookup(A84,'Population &amp; Church Numbers'!$A$1893:$D$1992,4,FALSE),"NULL")</f>
        <v>182</v>
      </c>
      <c r="Q84" s="674" t="s">
        <v>63</v>
      </c>
    </row>
    <row r="85">
      <c r="A85" s="609" t="s">
        <v>1425</v>
      </c>
      <c r="B85" s="610">
        <f t="array" ref="B85">VLOOKUP($A85,NC_DEMO,2,FALSE)</f>
        <v>34174</v>
      </c>
      <c r="C85" s="1120">
        <v>76.0</v>
      </c>
      <c r="D85" s="612" t="s">
        <v>63</v>
      </c>
      <c r="E85" s="1120">
        <v>35.0</v>
      </c>
      <c r="F85" s="1120">
        <v>10.0</v>
      </c>
      <c r="G85" s="612" t="s">
        <v>63</v>
      </c>
      <c r="H85" s="671" t="s">
        <v>63</v>
      </c>
      <c r="I85" s="614" t="s">
        <v>63</v>
      </c>
      <c r="J85" s="615" t="s">
        <v>63</v>
      </c>
      <c r="K85" s="1121">
        <v>0.5</v>
      </c>
      <c r="L85" s="671" t="s">
        <v>63</v>
      </c>
      <c r="M85" s="614" t="s">
        <v>63</v>
      </c>
      <c r="N85" s="612" t="s">
        <v>63</v>
      </c>
      <c r="O85" s="612" t="s">
        <v>63</v>
      </c>
      <c r="P85" s="620">
        <f>ifna(vlookup(A85,'Population &amp; Church Numbers'!$A$1893:$D$1992,4,FALSE),"NULL")</f>
        <v>65</v>
      </c>
      <c r="Q85" s="674" t="s">
        <v>63</v>
      </c>
    </row>
    <row r="86">
      <c r="A86" s="609" t="s">
        <v>1629</v>
      </c>
      <c r="B86" s="610">
        <f t="array" ref="B86">VLOOKUP($A86,NC_DEMO,2,FALSE)</f>
        <v>62504</v>
      </c>
      <c r="C86" s="1120">
        <v>63.0</v>
      </c>
      <c r="D86" s="612" t="s">
        <v>63</v>
      </c>
      <c r="E86" s="1120">
        <v>29.0</v>
      </c>
      <c r="F86" s="1120">
        <v>14.0</v>
      </c>
      <c r="G86" s="612" t="s">
        <v>63</v>
      </c>
      <c r="H86" s="671" t="s">
        <v>63</v>
      </c>
      <c r="I86" s="614" t="s">
        <v>63</v>
      </c>
      <c r="J86" s="615" t="s">
        <v>63</v>
      </c>
      <c r="K86" s="1121">
        <v>1.0</v>
      </c>
      <c r="L86" s="671" t="s">
        <v>63</v>
      </c>
      <c r="M86" s="614" t="s">
        <v>63</v>
      </c>
      <c r="N86" s="612" t="s">
        <v>63</v>
      </c>
      <c r="O86" s="612" t="s">
        <v>63</v>
      </c>
      <c r="P86" s="620">
        <f>ifna(vlookup(A86,'Population &amp; Church Numbers'!$A$1893:$D$1992,4,FALSE),"NULL")</f>
        <v>130</v>
      </c>
      <c r="Q86" s="674" t="s">
        <v>63</v>
      </c>
    </row>
    <row r="87">
      <c r="A87" s="609" t="s">
        <v>1630</v>
      </c>
      <c r="B87" s="610">
        <f t="array" ref="B87">VLOOKUP($A87,NC_DEMO,2,FALSE)</f>
        <v>44520</v>
      </c>
      <c r="C87" s="1120">
        <v>90.0</v>
      </c>
      <c r="D87" s="612" t="s">
        <v>63</v>
      </c>
      <c r="E87" s="1120">
        <v>38.0</v>
      </c>
      <c r="F87" s="1120">
        <v>18.0</v>
      </c>
      <c r="G87" s="612" t="s">
        <v>63</v>
      </c>
      <c r="H87" s="671" t="s">
        <v>63</v>
      </c>
      <c r="I87" s="614" t="s">
        <v>63</v>
      </c>
      <c r="J87" s="615" t="s">
        <v>63</v>
      </c>
      <c r="K87" s="1121">
        <v>0.438</v>
      </c>
      <c r="L87" s="671" t="s">
        <v>63</v>
      </c>
      <c r="M87" s="614" t="s">
        <v>63</v>
      </c>
      <c r="N87" s="612" t="s">
        <v>63</v>
      </c>
      <c r="O87" s="612" t="s">
        <v>63</v>
      </c>
      <c r="P87" s="620">
        <f>ifna(vlookup(A87,'Population &amp; Church Numbers'!$A$1893:$D$1992,4,FALSE),"NULL")</f>
        <v>66</v>
      </c>
      <c r="Q87" s="674" t="s">
        <v>63</v>
      </c>
    </row>
    <row r="88">
      <c r="A88" s="609" t="s">
        <v>1631</v>
      </c>
      <c r="B88" s="610">
        <f t="array" ref="B88">VLOOKUP($A88,NC_DEMO,2,FALSE)</f>
        <v>71359</v>
      </c>
      <c r="C88" s="1120">
        <v>121.0</v>
      </c>
      <c r="D88" s="612" t="s">
        <v>63</v>
      </c>
      <c r="E88" s="1120">
        <v>41.0</v>
      </c>
      <c r="F88" s="1120">
        <v>20.0</v>
      </c>
      <c r="G88" s="612" t="s">
        <v>63</v>
      </c>
      <c r="H88" s="671" t="s">
        <v>63</v>
      </c>
      <c r="I88" s="614" t="s">
        <v>63</v>
      </c>
      <c r="J88" s="615" t="s">
        <v>63</v>
      </c>
      <c r="K88" s="1121">
        <v>0.0</v>
      </c>
      <c r="L88" s="671" t="s">
        <v>63</v>
      </c>
      <c r="M88" s="614" t="s">
        <v>63</v>
      </c>
      <c r="N88" s="612" t="s">
        <v>63</v>
      </c>
      <c r="O88" s="612" t="s">
        <v>63</v>
      </c>
      <c r="P88" s="620">
        <f>ifna(vlookup(A88,'Population &amp; Church Numbers'!$A$1893:$D$1992,4,FALSE),"NULL")</f>
        <v>129</v>
      </c>
      <c r="Q88" s="674" t="s">
        <v>63</v>
      </c>
    </row>
    <row r="89">
      <c r="A89" s="609" t="s">
        <v>1632</v>
      </c>
      <c r="B89" s="610">
        <f t="array" ref="B89">VLOOKUP($A89,NC_DEMO,2,FALSE)</f>
        <v>14117</v>
      </c>
      <c r="C89" s="1120">
        <v>47.0</v>
      </c>
      <c r="D89" s="612" t="s">
        <v>63</v>
      </c>
      <c r="E89" s="1120">
        <v>15.0</v>
      </c>
      <c r="F89" s="1120">
        <v>5.0</v>
      </c>
      <c r="G89" s="612" t="s">
        <v>63</v>
      </c>
      <c r="H89" s="671" t="s">
        <v>63</v>
      </c>
      <c r="I89" s="614" t="s">
        <v>63</v>
      </c>
      <c r="J89" s="615" t="s">
        <v>63</v>
      </c>
      <c r="K89" s="1121">
        <v>0.6</v>
      </c>
      <c r="L89" s="671" t="s">
        <v>63</v>
      </c>
      <c r="M89" s="614" t="s">
        <v>63</v>
      </c>
      <c r="N89" s="612" t="s">
        <v>63</v>
      </c>
      <c r="O89" s="612" t="s">
        <v>63</v>
      </c>
      <c r="P89" s="620">
        <f>ifna(vlookup(A89,'Population &amp; Church Numbers'!$A$1893:$D$1992,4,FALSE),"NULL")</f>
        <v>23</v>
      </c>
      <c r="Q89" s="674" t="s">
        <v>63</v>
      </c>
    </row>
    <row r="90">
      <c r="A90" s="609" t="s">
        <v>1633</v>
      </c>
      <c r="B90" s="610">
        <f t="array" ref="B90">VLOOKUP($A90,NC_DEMO,2,FALSE)</f>
        <v>32986</v>
      </c>
      <c r="C90" s="1120">
        <v>50.0</v>
      </c>
      <c r="D90" s="612" t="s">
        <v>63</v>
      </c>
      <c r="E90" s="1120">
        <v>25.0</v>
      </c>
      <c r="F90" s="1120">
        <v>9.0</v>
      </c>
      <c r="G90" s="612" t="s">
        <v>63</v>
      </c>
      <c r="H90" s="671" t="s">
        <v>63</v>
      </c>
      <c r="I90" s="614" t="s">
        <v>63</v>
      </c>
      <c r="J90" s="615" t="s">
        <v>63</v>
      </c>
      <c r="K90" s="1121">
        <v>0.0</v>
      </c>
      <c r="L90" s="671" t="s">
        <v>63</v>
      </c>
      <c r="M90" s="614" t="s">
        <v>63</v>
      </c>
      <c r="N90" s="612" t="s">
        <v>63</v>
      </c>
      <c r="O90" s="612" t="s">
        <v>63</v>
      </c>
      <c r="P90" s="620">
        <f>ifna(vlookup(A90,'Population &amp; Church Numbers'!$A$1893:$D$1992,4,FALSE),"NULL")</f>
        <v>53</v>
      </c>
      <c r="Q90" s="674" t="s">
        <v>63</v>
      </c>
    </row>
    <row r="91">
      <c r="A91" s="609" t="s">
        <v>1634</v>
      </c>
      <c r="B91" s="610">
        <f t="array" ref="B91">VLOOKUP($A91,NC_DEMO,2,FALSE)</f>
        <v>3245</v>
      </c>
      <c r="C91" s="1120">
        <v>3.0</v>
      </c>
      <c r="D91" s="612" t="s">
        <v>63</v>
      </c>
      <c r="E91" s="1120">
        <v>0.0</v>
      </c>
      <c r="F91" s="1120">
        <v>3.0</v>
      </c>
      <c r="G91" s="612" t="s">
        <v>63</v>
      </c>
      <c r="H91" s="671" t="s">
        <v>63</v>
      </c>
      <c r="I91" s="614" t="s">
        <v>63</v>
      </c>
      <c r="J91" s="615" t="s">
        <v>63</v>
      </c>
      <c r="K91" s="1121">
        <v>1.0</v>
      </c>
      <c r="L91" s="671" t="s">
        <v>63</v>
      </c>
      <c r="M91" s="614" t="s">
        <v>63</v>
      </c>
      <c r="N91" s="612" t="s">
        <v>63</v>
      </c>
      <c r="O91" s="612" t="s">
        <v>63</v>
      </c>
      <c r="P91" s="620">
        <f>ifna(vlookup(A91,'Population &amp; Church Numbers'!$A$1893:$D$1992,4,FALSE),"NULL")</f>
        <v>9</v>
      </c>
      <c r="Q91" s="674" t="s">
        <v>63</v>
      </c>
    </row>
    <row r="92">
      <c r="A92" s="609" t="s">
        <v>316</v>
      </c>
      <c r="B92" s="610">
        <f t="array" ref="B92">VLOOKUP($A92,NC_DEMO,2,FALSE)</f>
        <v>238267</v>
      </c>
      <c r="C92" s="1120">
        <v>148.0</v>
      </c>
      <c r="D92" s="612" t="s">
        <v>63</v>
      </c>
      <c r="E92" s="1120">
        <v>45.0</v>
      </c>
      <c r="F92" s="1120">
        <v>49.0</v>
      </c>
      <c r="G92" s="612" t="s">
        <v>63</v>
      </c>
      <c r="H92" s="671" t="s">
        <v>63</v>
      </c>
      <c r="I92" s="614" t="s">
        <v>63</v>
      </c>
      <c r="J92" s="615" t="s">
        <v>63</v>
      </c>
      <c r="K92" s="1121">
        <v>0.485</v>
      </c>
      <c r="L92" s="671" t="s">
        <v>63</v>
      </c>
      <c r="M92" s="614" t="s">
        <v>63</v>
      </c>
      <c r="N92" s="612" t="s">
        <v>63</v>
      </c>
      <c r="O92" s="612" t="s">
        <v>63</v>
      </c>
      <c r="P92" s="620">
        <f>ifna(vlookup(A92,'Population &amp; Church Numbers'!$A$1893:$D$1992,4,FALSE),"NULL")</f>
        <v>174</v>
      </c>
      <c r="Q92" s="674" t="s">
        <v>63</v>
      </c>
    </row>
    <row r="93">
      <c r="A93" s="609" t="s">
        <v>1635</v>
      </c>
      <c r="B93" s="610">
        <f t="array" ref="B93">VLOOKUP($A93,NC_DEMO,2,FALSE)</f>
        <v>42578</v>
      </c>
      <c r="C93" s="1120">
        <v>61.0</v>
      </c>
      <c r="D93" s="612" t="s">
        <v>63</v>
      </c>
      <c r="E93" s="1120">
        <v>23.0</v>
      </c>
      <c r="F93" s="1120">
        <v>13.0</v>
      </c>
      <c r="G93" s="612" t="s">
        <v>63</v>
      </c>
      <c r="H93" s="671" t="s">
        <v>63</v>
      </c>
      <c r="I93" s="614" t="s">
        <v>63</v>
      </c>
      <c r="J93" s="615" t="s">
        <v>63</v>
      </c>
      <c r="K93" s="1121">
        <v>0.0</v>
      </c>
      <c r="L93" s="671" t="s">
        <v>63</v>
      </c>
      <c r="M93" s="614" t="s">
        <v>63</v>
      </c>
      <c r="N93" s="612" t="s">
        <v>63</v>
      </c>
      <c r="O93" s="612" t="s">
        <v>63</v>
      </c>
      <c r="P93" s="620">
        <f>ifna(vlookup(A93,'Population &amp; Church Numbers'!$A$1893:$D$1992,4,FALSE),"NULL")</f>
        <v>89</v>
      </c>
      <c r="Q93" s="674" t="s">
        <v>63</v>
      </c>
    </row>
    <row r="94">
      <c r="A94" s="609" t="s">
        <v>385</v>
      </c>
      <c r="B94" s="610">
        <f t="array" ref="B94">VLOOKUP($A94,NC_DEMO,2,FALSE)</f>
        <v>1129410</v>
      </c>
      <c r="C94" s="1120">
        <v>452.0</v>
      </c>
      <c r="D94" s="612" t="s">
        <v>63</v>
      </c>
      <c r="E94" s="1120">
        <v>148.0</v>
      </c>
      <c r="F94" s="1120">
        <v>80.0</v>
      </c>
      <c r="G94" s="612" t="s">
        <v>63</v>
      </c>
      <c r="H94" s="671" t="s">
        <v>63</v>
      </c>
      <c r="I94" s="614" t="s">
        <v>63</v>
      </c>
      <c r="J94" s="615" t="s">
        <v>63</v>
      </c>
      <c r="K94" s="1121">
        <v>0.435</v>
      </c>
      <c r="L94" s="671" t="s">
        <v>63</v>
      </c>
      <c r="M94" s="614" t="s">
        <v>63</v>
      </c>
      <c r="N94" s="612" t="s">
        <v>63</v>
      </c>
      <c r="O94" s="612" t="s">
        <v>63</v>
      </c>
      <c r="P94" s="620">
        <f>ifna(vlookup(A94,'Population &amp; Church Numbers'!$A$1893:$D$1992,4,FALSE),"NULL")</f>
        <v>589</v>
      </c>
      <c r="Q94" s="674" t="s">
        <v>63</v>
      </c>
    </row>
    <row r="95">
      <c r="A95" s="609" t="s">
        <v>647</v>
      </c>
      <c r="B95" s="610">
        <f t="array" ref="B95">VLOOKUP($A95,NC_DEMO,2,FALSE)</f>
        <v>18642</v>
      </c>
      <c r="C95" s="1120">
        <v>4.0</v>
      </c>
      <c r="D95" s="612" t="s">
        <v>63</v>
      </c>
      <c r="E95" s="1120">
        <v>1.0</v>
      </c>
      <c r="F95" s="1120">
        <v>0.0</v>
      </c>
      <c r="G95" s="612" t="s">
        <v>63</v>
      </c>
      <c r="H95" s="671" t="s">
        <v>63</v>
      </c>
      <c r="I95" s="614" t="s">
        <v>63</v>
      </c>
      <c r="J95" s="615" t="s">
        <v>63</v>
      </c>
      <c r="K95" s="1121">
        <v>0.0</v>
      </c>
      <c r="L95" s="671" t="s">
        <v>63</v>
      </c>
      <c r="M95" s="614" t="s">
        <v>63</v>
      </c>
      <c r="N95" s="612" t="s">
        <v>63</v>
      </c>
      <c r="O95" s="612" t="s">
        <v>63</v>
      </c>
      <c r="P95" s="620">
        <f>ifna(vlookup(A95,'Population &amp; Church Numbers'!$A$1893:$D$1992,4,FALSE),"NULL")</f>
        <v>46</v>
      </c>
      <c r="Q95" s="674" t="s">
        <v>63</v>
      </c>
    </row>
    <row r="96">
      <c r="A96" s="609" t="s">
        <v>119</v>
      </c>
      <c r="B96" s="610">
        <f t="array" ref="B96">VLOOKUP($A96,NC_DEMO,2,FALSE)</f>
        <v>11003</v>
      </c>
      <c r="C96" s="1120">
        <v>28.0</v>
      </c>
      <c r="D96" s="612" t="s">
        <v>63</v>
      </c>
      <c r="E96" s="1120">
        <v>1.0</v>
      </c>
      <c r="F96" s="1120">
        <v>13.0</v>
      </c>
      <c r="G96" s="612" t="s">
        <v>63</v>
      </c>
      <c r="H96" s="671" t="s">
        <v>63</v>
      </c>
      <c r="I96" s="614" t="s">
        <v>63</v>
      </c>
      <c r="J96" s="615" t="s">
        <v>63</v>
      </c>
      <c r="K96" s="1121">
        <v>0.75</v>
      </c>
      <c r="L96" s="671" t="s">
        <v>63</v>
      </c>
      <c r="M96" s="614" t="s">
        <v>63</v>
      </c>
      <c r="N96" s="612" t="s">
        <v>63</v>
      </c>
      <c r="O96" s="612" t="s">
        <v>63</v>
      </c>
      <c r="P96" s="620">
        <f>ifna(vlookup(A96,'Population &amp; Church Numbers'!$A$1893:$D$1992,4,FALSE),"NULL")</f>
        <v>32</v>
      </c>
      <c r="Q96" s="674" t="s">
        <v>63</v>
      </c>
    </row>
    <row r="97">
      <c r="A97" s="609" t="s">
        <v>1636</v>
      </c>
      <c r="B97" s="610">
        <f t="array" ref="B97">VLOOKUP($A97,NC_DEMO,2,FALSE)</f>
        <v>54086</v>
      </c>
      <c r="C97" s="1120">
        <v>54.0</v>
      </c>
      <c r="D97" s="612" t="s">
        <v>63</v>
      </c>
      <c r="E97" s="1120">
        <v>20.0</v>
      </c>
      <c r="F97" s="1120">
        <v>14.0</v>
      </c>
      <c r="G97" s="612" t="s">
        <v>63</v>
      </c>
      <c r="H97" s="671" t="s">
        <v>63</v>
      </c>
      <c r="I97" s="614" t="s">
        <v>63</v>
      </c>
      <c r="J97" s="615" t="s">
        <v>63</v>
      </c>
      <c r="K97" s="1121">
        <v>0.8</v>
      </c>
      <c r="L97" s="671" t="s">
        <v>63</v>
      </c>
      <c r="M97" s="614" t="s">
        <v>63</v>
      </c>
      <c r="N97" s="612" t="s">
        <v>63</v>
      </c>
      <c r="O97" s="612" t="s">
        <v>63</v>
      </c>
      <c r="P97" s="620">
        <f>ifna(vlookup(A97,'Population &amp; Church Numbers'!$A$1893:$D$1992,4,FALSE),"NULL")</f>
        <v>62</v>
      </c>
      <c r="Q97" s="674" t="s">
        <v>63</v>
      </c>
    </row>
    <row r="98">
      <c r="A98" s="609" t="s">
        <v>273</v>
      </c>
      <c r="B98" s="610">
        <f t="array" ref="B98">VLOOKUP($A98,NC_DEMO,2,FALSE)</f>
        <v>117333</v>
      </c>
      <c r="C98" s="1120">
        <v>73.0</v>
      </c>
      <c r="D98" s="612" t="s">
        <v>63</v>
      </c>
      <c r="E98" s="1120">
        <v>21.0</v>
      </c>
      <c r="F98" s="1120">
        <v>25.0</v>
      </c>
      <c r="G98" s="612" t="s">
        <v>63</v>
      </c>
      <c r="H98" s="671" t="s">
        <v>63</v>
      </c>
      <c r="I98" s="614" t="s">
        <v>63</v>
      </c>
      <c r="J98" s="615" t="s">
        <v>63</v>
      </c>
      <c r="K98" s="1121">
        <v>0.6</v>
      </c>
      <c r="L98" s="671" t="s">
        <v>63</v>
      </c>
      <c r="M98" s="614" t="s">
        <v>63</v>
      </c>
      <c r="N98" s="612" t="s">
        <v>63</v>
      </c>
      <c r="O98" s="612" t="s">
        <v>63</v>
      </c>
      <c r="P98" s="620">
        <f>ifna(vlookup(A98,'Population &amp; Church Numbers'!$A$1893:$D$1992,4,FALSE),"NULL")</f>
        <v>217</v>
      </c>
      <c r="Q98" s="674" t="s">
        <v>63</v>
      </c>
    </row>
    <row r="99">
      <c r="A99" s="609" t="s">
        <v>653</v>
      </c>
      <c r="B99" s="610">
        <f t="array" ref="B99">VLOOKUP($A99,NC_DEMO,2,FALSE)</f>
        <v>65969</v>
      </c>
      <c r="C99" s="1120">
        <v>214.0</v>
      </c>
      <c r="D99" s="612" t="s">
        <v>63</v>
      </c>
      <c r="E99" s="1120">
        <v>56.0</v>
      </c>
      <c r="F99" s="1120">
        <v>41.0</v>
      </c>
      <c r="G99" s="612" t="s">
        <v>63</v>
      </c>
      <c r="H99" s="671" t="s">
        <v>63</v>
      </c>
      <c r="I99" s="614" t="s">
        <v>63</v>
      </c>
      <c r="J99" s="615" t="s">
        <v>63</v>
      </c>
      <c r="K99" s="1121">
        <v>0.571</v>
      </c>
      <c r="L99" s="671" t="s">
        <v>63</v>
      </c>
      <c r="M99" s="614" t="s">
        <v>63</v>
      </c>
      <c r="N99" s="612" t="s">
        <v>63</v>
      </c>
      <c r="O99" s="612" t="s">
        <v>63</v>
      </c>
      <c r="P99" s="620">
        <f>ifna(vlookup(A99,'Population &amp; Church Numbers'!$A$1893:$D$1992,4,FALSE),"NULL")</f>
        <v>126</v>
      </c>
      <c r="Q99" s="674" t="s">
        <v>63</v>
      </c>
    </row>
    <row r="100">
      <c r="A100" s="609" t="s">
        <v>1021</v>
      </c>
      <c r="B100" s="610">
        <f t="array" ref="B100">VLOOKUP($A100,NC_DEMO,2,FALSE)</f>
        <v>78784</v>
      </c>
      <c r="C100" s="1120">
        <v>42.0</v>
      </c>
      <c r="D100" s="612" t="s">
        <v>63</v>
      </c>
      <c r="E100" s="1120">
        <v>16.0</v>
      </c>
      <c r="F100" s="1120">
        <v>9.0</v>
      </c>
      <c r="G100" s="612" t="s">
        <v>63</v>
      </c>
      <c r="H100" s="671" t="s">
        <v>63</v>
      </c>
      <c r="I100" s="614" t="s">
        <v>63</v>
      </c>
      <c r="J100" s="615" t="s">
        <v>63</v>
      </c>
      <c r="K100" s="1121">
        <v>0.125</v>
      </c>
      <c r="L100" s="671" t="s">
        <v>63</v>
      </c>
      <c r="M100" s="614" t="s">
        <v>63</v>
      </c>
      <c r="N100" s="612" t="s">
        <v>63</v>
      </c>
      <c r="O100" s="612" t="s">
        <v>63</v>
      </c>
      <c r="P100" s="620">
        <f>ifna(vlookup(A100,'Population &amp; Church Numbers'!$A$1893:$D$1992,4,FALSE),"NULL")</f>
        <v>131</v>
      </c>
      <c r="Q100" s="674" t="s">
        <v>63</v>
      </c>
    </row>
    <row r="101">
      <c r="A101" s="609" t="s">
        <v>1637</v>
      </c>
      <c r="B101" s="610">
        <f t="array" ref="B101">VLOOKUP($A101,NC_DEMO,2,FALSE)</f>
        <v>37214</v>
      </c>
      <c r="C101" s="1120">
        <v>49.0</v>
      </c>
      <c r="D101" s="612" t="s">
        <v>63</v>
      </c>
      <c r="E101" s="1120">
        <v>16.0</v>
      </c>
      <c r="F101" s="1120">
        <v>11.0</v>
      </c>
      <c r="G101" s="612" t="s">
        <v>63</v>
      </c>
      <c r="H101" s="671" t="s">
        <v>63</v>
      </c>
      <c r="I101" s="614" t="s">
        <v>63</v>
      </c>
      <c r="J101" s="615" t="s">
        <v>63</v>
      </c>
      <c r="K101" s="1121">
        <v>0.375</v>
      </c>
      <c r="L101" s="671" t="s">
        <v>63</v>
      </c>
      <c r="M101" s="614" t="s">
        <v>63</v>
      </c>
      <c r="N101" s="612" t="s">
        <v>63</v>
      </c>
      <c r="O101" s="612" t="s">
        <v>63</v>
      </c>
      <c r="P101" s="620">
        <f>ifna(vlookup(A101,'Population &amp; Church Numbers'!$A$1893:$D$1992,4,FALSE),"NULL")</f>
        <v>75</v>
      </c>
      <c r="Q101" s="674" t="s">
        <v>63</v>
      </c>
    </row>
    <row r="102">
      <c r="A102" s="609" t="s">
        <v>1638</v>
      </c>
      <c r="B102" s="610">
        <f t="array" ref="B102">VLOOKUP($A102,NC_DEMO,2,FALSE)</f>
        <v>18470</v>
      </c>
      <c r="C102" s="1120">
        <v>35.0</v>
      </c>
      <c r="D102" s="612" t="s">
        <v>63</v>
      </c>
      <c r="E102" s="1120">
        <v>8.0</v>
      </c>
      <c r="F102" s="1120">
        <v>9.0</v>
      </c>
      <c r="G102" s="612" t="s">
        <v>63</v>
      </c>
      <c r="H102" s="671" t="s">
        <v>63</v>
      </c>
      <c r="I102" s="614" t="s">
        <v>63</v>
      </c>
      <c r="J102" s="615" t="s">
        <v>63</v>
      </c>
      <c r="K102" s="1121">
        <v>0.444</v>
      </c>
      <c r="L102" s="671" t="s">
        <v>63</v>
      </c>
      <c r="M102" s="614" t="s">
        <v>63</v>
      </c>
      <c r="N102" s="612" t="s">
        <v>63</v>
      </c>
      <c r="O102" s="612" t="s">
        <v>63</v>
      </c>
      <c r="P102" s="620">
        <f>ifna(vlookup(A102,'Population &amp; Church Numbers'!$A$1893:$D$1992,4,FALSE),"NULL")</f>
        <v>17</v>
      </c>
      <c r="Q102" s="674" t="s">
        <v>63</v>
      </c>
    </row>
    <row r="103">
      <c r="A103" s="217"/>
      <c r="B103" s="218"/>
      <c r="C103" s="219"/>
      <c r="D103" s="220"/>
      <c r="E103" s="220"/>
      <c r="F103" s="220"/>
      <c r="G103" s="220"/>
      <c r="H103" s="221"/>
      <c r="I103" s="222"/>
      <c r="J103" s="223"/>
      <c r="K103" s="1121"/>
      <c r="L103" s="224"/>
      <c r="M103" s="225"/>
      <c r="N103" s="226"/>
      <c r="O103" s="220"/>
      <c r="P103" s="221"/>
      <c r="Q103" s="227"/>
    </row>
    <row r="104">
      <c r="A104" s="228" t="s">
        <v>2</v>
      </c>
      <c r="B104" s="229"/>
      <c r="C104" s="236">
        <f>'NC Data'!B3</f>
        <v>10846</v>
      </c>
      <c r="D104" s="708" t="s">
        <v>63</v>
      </c>
      <c r="E104" s="236">
        <f>'NC Data'!D3</f>
        <v>3889</v>
      </c>
      <c r="F104" s="236">
        <f>'NC Data'!C3</f>
        <v>1985</v>
      </c>
      <c r="G104" s="708" t="s">
        <v>63</v>
      </c>
      <c r="H104" s="1134">
        <f>AFCARSCSC!D37</f>
        <v>5616</v>
      </c>
      <c r="I104" s="433">
        <f>AFCARSCSC!C37</f>
        <v>1154</v>
      </c>
      <c r="J104" s="305" t="s">
        <v>63</v>
      </c>
      <c r="K104" s="1121"/>
      <c r="L104" s="309" t="s">
        <v>63</v>
      </c>
      <c r="M104" s="360" t="s">
        <v>63</v>
      </c>
      <c r="N104" s="311" t="s">
        <v>63</v>
      </c>
      <c r="O104" s="311" t="s">
        <v>63</v>
      </c>
      <c r="P104" s="233">
        <f>sum(P3:P102)</f>
        <v>12182</v>
      </c>
      <c r="Q104" s="691" t="s">
        <v>63</v>
      </c>
    </row>
  </sheetData>
  <mergeCells count="1">
    <mergeCell ref="B1:Q1"/>
  </mergeCells>
  <drawing r:id="rId1"/>
  <tableParts count="1">
    <tablePart r:id="rId3"/>
  </tableParts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4.38"/>
    <col customWidth="1" min="11" max="11" width="16.63"/>
  </cols>
  <sheetData>
    <row r="1">
      <c r="A1" s="275" t="s">
        <v>1040</v>
      </c>
      <c r="B1" s="1123"/>
      <c r="C1" s="276"/>
      <c r="D1" s="276"/>
      <c r="E1" s="275" t="s">
        <v>765</v>
      </c>
      <c r="F1" s="275" t="s">
        <v>3848</v>
      </c>
      <c r="G1" s="276"/>
      <c r="H1" s="276"/>
      <c r="I1" s="275" t="s">
        <v>767</v>
      </c>
      <c r="J1" s="277">
        <v>45469.0</v>
      </c>
      <c r="K1" s="275" t="s">
        <v>769</v>
      </c>
      <c r="L1" s="1013">
        <v>45412.0</v>
      </c>
      <c r="M1" s="276"/>
    </row>
    <row r="2">
      <c r="B2" s="727" t="s">
        <v>3849</v>
      </c>
      <c r="C2" s="1" t="s">
        <v>3498</v>
      </c>
      <c r="D2" s="1" t="s">
        <v>3850</v>
      </c>
    </row>
    <row r="3">
      <c r="A3" s="1124" t="s">
        <v>96</v>
      </c>
      <c r="B3" s="1125">
        <v>10846.0</v>
      </c>
      <c r="C3" s="1126">
        <v>1985.0</v>
      </c>
      <c r="D3" s="1126">
        <v>3889.0</v>
      </c>
    </row>
    <row r="4">
      <c r="A4" s="1124" t="s">
        <v>1578</v>
      </c>
      <c r="B4" s="1125">
        <v>133.0</v>
      </c>
      <c r="C4" s="354">
        <v>21.0</v>
      </c>
      <c r="D4" s="354">
        <v>58.0</v>
      </c>
    </row>
    <row r="5">
      <c r="A5" s="1124" t="s">
        <v>704</v>
      </c>
      <c r="B5" s="1125">
        <v>54.0</v>
      </c>
      <c r="C5" s="354">
        <v>14.0</v>
      </c>
      <c r="D5" s="354">
        <v>12.0</v>
      </c>
    </row>
    <row r="6">
      <c r="A6" s="1124" t="s">
        <v>1579</v>
      </c>
      <c r="B6" s="1125">
        <v>44.0</v>
      </c>
      <c r="C6" s="354">
        <v>6.0</v>
      </c>
      <c r="D6" s="354">
        <v>14.0</v>
      </c>
    </row>
    <row r="7">
      <c r="A7" s="1124" t="s">
        <v>1580</v>
      </c>
      <c r="B7" s="1125">
        <v>20.0</v>
      </c>
      <c r="C7" s="354">
        <v>2.0</v>
      </c>
      <c r="D7" s="354">
        <v>5.0</v>
      </c>
    </row>
    <row r="8">
      <c r="A8" s="1124" t="s">
        <v>1581</v>
      </c>
      <c r="B8" s="1125">
        <v>24.0</v>
      </c>
      <c r="C8" s="354">
        <v>3.0</v>
      </c>
      <c r="D8" s="354">
        <v>7.0</v>
      </c>
    </row>
    <row r="9">
      <c r="A9" s="1124" t="s">
        <v>1582</v>
      </c>
      <c r="B9" s="1125">
        <v>26.0</v>
      </c>
      <c r="C9" s="354">
        <v>5.0</v>
      </c>
      <c r="D9" s="354">
        <v>8.0</v>
      </c>
    </row>
    <row r="10">
      <c r="A10" s="1124" t="s">
        <v>1583</v>
      </c>
      <c r="B10" s="1125">
        <v>129.0</v>
      </c>
      <c r="C10" s="354">
        <v>41.0</v>
      </c>
      <c r="D10" s="354">
        <v>50.0</v>
      </c>
    </row>
    <row r="11">
      <c r="A11" s="1124" t="s">
        <v>1584</v>
      </c>
      <c r="B11" s="1125">
        <v>15.0</v>
      </c>
      <c r="C11" s="354">
        <v>5.0</v>
      </c>
      <c r="D11" s="354">
        <v>2.0</v>
      </c>
    </row>
    <row r="12">
      <c r="A12" s="1124" t="s">
        <v>1585</v>
      </c>
      <c r="B12" s="1125">
        <v>66.0</v>
      </c>
      <c r="C12" s="354">
        <v>31.0</v>
      </c>
      <c r="D12" s="354">
        <v>1.0</v>
      </c>
    </row>
    <row r="13">
      <c r="A13" s="1124" t="s">
        <v>1586</v>
      </c>
      <c r="B13" s="1125">
        <v>156.0</v>
      </c>
      <c r="C13" s="354">
        <v>53.0</v>
      </c>
      <c r="D13" s="354">
        <v>50.0</v>
      </c>
    </row>
    <row r="14">
      <c r="A14" s="1124" t="s">
        <v>1587</v>
      </c>
      <c r="B14" s="1125">
        <v>368.0</v>
      </c>
      <c r="C14" s="354">
        <v>57.0</v>
      </c>
      <c r="D14" s="354">
        <v>87.0</v>
      </c>
    </row>
    <row r="15">
      <c r="A15" s="1124" t="s">
        <v>546</v>
      </c>
      <c r="B15" s="1125">
        <v>196.0</v>
      </c>
      <c r="C15" s="354">
        <v>48.0</v>
      </c>
      <c r="D15" s="354">
        <v>85.0</v>
      </c>
    </row>
    <row r="16">
      <c r="A16" s="1124" t="s">
        <v>1588</v>
      </c>
      <c r="B16" s="1125">
        <v>181.0</v>
      </c>
      <c r="C16" s="354">
        <v>34.0</v>
      </c>
      <c r="D16" s="354">
        <v>64.0</v>
      </c>
    </row>
    <row r="17">
      <c r="A17" s="1124" t="s">
        <v>1034</v>
      </c>
      <c r="B17" s="1125">
        <v>172.0</v>
      </c>
      <c r="C17" s="354">
        <v>46.0</v>
      </c>
      <c r="D17" s="354">
        <v>48.0</v>
      </c>
    </row>
    <row r="18">
      <c r="A18" s="1124" t="s">
        <v>548</v>
      </c>
      <c r="B18" s="1125">
        <v>2.0</v>
      </c>
      <c r="C18" s="354">
        <v>0.0</v>
      </c>
      <c r="D18" s="354">
        <v>0.0</v>
      </c>
    </row>
    <row r="19">
      <c r="A19" s="1124" t="s">
        <v>1589</v>
      </c>
      <c r="B19" s="1125">
        <v>70.0</v>
      </c>
      <c r="C19" s="354">
        <v>16.0</v>
      </c>
      <c r="D19" s="354">
        <v>15.0</v>
      </c>
    </row>
    <row r="20">
      <c r="A20" s="1124" t="s">
        <v>1590</v>
      </c>
      <c r="B20" s="1125">
        <v>21.0</v>
      </c>
      <c r="C20" s="354">
        <v>4.0</v>
      </c>
      <c r="D20" s="354">
        <v>1.0</v>
      </c>
    </row>
    <row r="21">
      <c r="A21" s="1124" t="s">
        <v>1591</v>
      </c>
      <c r="B21" s="1125">
        <v>193.0</v>
      </c>
      <c r="C21" s="354">
        <v>2.0</v>
      </c>
      <c r="D21" s="354">
        <v>59.0</v>
      </c>
    </row>
    <row r="22">
      <c r="A22" s="1124" t="s">
        <v>552</v>
      </c>
      <c r="B22" s="1125">
        <v>95.0</v>
      </c>
      <c r="C22" s="354">
        <v>3.0</v>
      </c>
      <c r="D22" s="354">
        <v>48.0</v>
      </c>
    </row>
    <row r="23">
      <c r="A23" s="1124" t="s">
        <v>101</v>
      </c>
      <c r="B23" s="1125">
        <v>45.0</v>
      </c>
      <c r="C23" s="354">
        <v>7.0</v>
      </c>
      <c r="D23" s="354">
        <v>14.0</v>
      </c>
    </row>
    <row r="24">
      <c r="A24" s="1124" t="s">
        <v>1592</v>
      </c>
      <c r="B24" s="1125">
        <v>15.0</v>
      </c>
      <c r="C24" s="354">
        <v>0.0</v>
      </c>
      <c r="D24" s="354">
        <v>14.0</v>
      </c>
    </row>
    <row r="25">
      <c r="A25" s="1124" t="s">
        <v>112</v>
      </c>
      <c r="B25" s="1125">
        <v>23.0</v>
      </c>
      <c r="C25" s="354">
        <v>5.0</v>
      </c>
      <c r="D25" s="354">
        <v>8.0</v>
      </c>
    </row>
    <row r="26">
      <c r="A26" s="1124" t="s">
        <v>257</v>
      </c>
      <c r="B26" s="1125">
        <v>242.0</v>
      </c>
      <c r="C26" s="354">
        <v>70.0</v>
      </c>
      <c r="D26" s="354">
        <v>91.0</v>
      </c>
    </row>
    <row r="27">
      <c r="A27" s="1124" t="s">
        <v>1593</v>
      </c>
      <c r="B27" s="1125">
        <v>103.0</v>
      </c>
      <c r="C27" s="354">
        <v>33.0</v>
      </c>
      <c r="D27" s="354">
        <v>26.0</v>
      </c>
    </row>
    <row r="28">
      <c r="A28" s="1124" t="s">
        <v>1594</v>
      </c>
      <c r="B28" s="1125">
        <v>127.0</v>
      </c>
      <c r="C28" s="354">
        <v>19.0</v>
      </c>
      <c r="D28" s="354">
        <v>50.0</v>
      </c>
    </row>
    <row r="29">
      <c r="A29" s="1124" t="s">
        <v>713</v>
      </c>
      <c r="B29" s="1125">
        <v>378.0</v>
      </c>
      <c r="C29" s="354">
        <v>82.0</v>
      </c>
      <c r="D29" s="354">
        <v>122.0</v>
      </c>
    </row>
    <row r="30">
      <c r="A30" s="1124" t="s">
        <v>1595</v>
      </c>
      <c r="B30" s="1125">
        <v>14.0</v>
      </c>
      <c r="C30" s="354">
        <v>3.0</v>
      </c>
      <c r="D30" s="354">
        <v>5.0</v>
      </c>
    </row>
    <row r="31">
      <c r="A31" s="1124" t="s">
        <v>1596</v>
      </c>
      <c r="B31" s="1125">
        <v>34.0</v>
      </c>
      <c r="C31" s="354">
        <v>7.0</v>
      </c>
      <c r="D31" s="354">
        <v>12.0</v>
      </c>
    </row>
    <row r="32">
      <c r="A32" s="1124" t="s">
        <v>570</v>
      </c>
      <c r="B32" s="1125">
        <v>160.0</v>
      </c>
      <c r="C32" s="354">
        <v>18.0</v>
      </c>
      <c r="D32" s="354">
        <v>76.0</v>
      </c>
    </row>
    <row r="33">
      <c r="A33" s="1124" t="s">
        <v>1597</v>
      </c>
      <c r="B33" s="1125">
        <v>43.0</v>
      </c>
      <c r="C33" s="354">
        <v>6.0</v>
      </c>
      <c r="D33" s="354">
        <v>22.0</v>
      </c>
    </row>
    <row r="34">
      <c r="A34" s="1124" t="s">
        <v>1598</v>
      </c>
      <c r="B34" s="1125">
        <v>20.0</v>
      </c>
      <c r="C34" s="354">
        <v>2.0</v>
      </c>
      <c r="D34" s="354">
        <v>3.0</v>
      </c>
    </row>
    <row r="35">
      <c r="A35" s="1124" t="s">
        <v>1599</v>
      </c>
      <c r="B35" s="1125">
        <v>248.0</v>
      </c>
      <c r="C35" s="354">
        <v>67.0</v>
      </c>
      <c r="D35" s="354">
        <v>70.0</v>
      </c>
    </row>
    <row r="36">
      <c r="A36" s="1124" t="s">
        <v>1600</v>
      </c>
      <c r="B36" s="1125">
        <v>54.0</v>
      </c>
      <c r="C36" s="354">
        <v>15.0</v>
      </c>
      <c r="D36" s="354">
        <v>13.0</v>
      </c>
    </row>
    <row r="37">
      <c r="A37" s="1124" t="s">
        <v>576</v>
      </c>
      <c r="B37" s="1125">
        <v>231.0</v>
      </c>
      <c r="C37" s="354">
        <v>21.0</v>
      </c>
      <c r="D37" s="354">
        <v>105.0</v>
      </c>
    </row>
    <row r="38">
      <c r="A38" s="1124" t="s">
        <v>136</v>
      </c>
      <c r="B38" s="1125">
        <v>54.0</v>
      </c>
      <c r="C38" s="354">
        <v>0.0</v>
      </c>
      <c r="D38" s="354">
        <v>23.0</v>
      </c>
    </row>
    <row r="39">
      <c r="A39" s="1124" t="s">
        <v>1601</v>
      </c>
      <c r="B39" s="1125">
        <v>404.0</v>
      </c>
      <c r="C39" s="354">
        <v>59.0</v>
      </c>
      <c r="D39" s="354">
        <v>188.0</v>
      </c>
    </row>
    <row r="40">
      <c r="A40" s="1124" t="s">
        <v>1602</v>
      </c>
      <c r="B40" s="1125">
        <v>3.0</v>
      </c>
      <c r="C40" s="354">
        <v>3.0</v>
      </c>
      <c r="D40" s="354">
        <v>0.0</v>
      </c>
    </row>
    <row r="41">
      <c r="A41" s="1124" t="s">
        <v>224</v>
      </c>
      <c r="B41" s="1125">
        <v>31.0</v>
      </c>
      <c r="C41" s="354">
        <v>4.0</v>
      </c>
      <c r="D41" s="354">
        <v>9.0</v>
      </c>
    </row>
    <row r="42">
      <c r="A42" s="1124" t="s">
        <v>1603</v>
      </c>
      <c r="B42" s="1125">
        <v>35.0</v>
      </c>
      <c r="C42" s="354">
        <v>2.0</v>
      </c>
      <c r="D42" s="354">
        <v>9.0</v>
      </c>
    </row>
    <row r="43">
      <c r="A43" s="1124" t="s">
        <v>138</v>
      </c>
      <c r="B43" s="1125">
        <v>38.0</v>
      </c>
      <c r="C43" s="354">
        <v>12.0</v>
      </c>
      <c r="D43" s="354">
        <v>15.0</v>
      </c>
    </row>
    <row r="44">
      <c r="A44" s="1124" t="s">
        <v>1604</v>
      </c>
      <c r="B44" s="1125">
        <v>624.0</v>
      </c>
      <c r="C44" s="354">
        <v>12.0</v>
      </c>
      <c r="D44" s="354">
        <v>317.0</v>
      </c>
    </row>
    <row r="45">
      <c r="A45" s="1124" t="s">
        <v>1605</v>
      </c>
      <c r="B45" s="1125">
        <v>36.0</v>
      </c>
      <c r="C45" s="354">
        <v>2.0</v>
      </c>
      <c r="D45" s="354">
        <v>13.0</v>
      </c>
    </row>
    <row r="46">
      <c r="A46" s="1124" t="s">
        <v>1606</v>
      </c>
      <c r="B46" s="1125">
        <v>234.0</v>
      </c>
      <c r="C46" s="354">
        <v>67.0</v>
      </c>
      <c r="D46" s="354">
        <v>83.0</v>
      </c>
    </row>
    <row r="47">
      <c r="A47" s="1124" t="s">
        <v>1607</v>
      </c>
      <c r="B47" s="1125">
        <v>139.0</v>
      </c>
      <c r="C47" s="354">
        <v>19.0</v>
      </c>
      <c r="D47" s="354">
        <v>44.0</v>
      </c>
    </row>
    <row r="48">
      <c r="A48" s="1124" t="s">
        <v>722</v>
      </c>
      <c r="B48" s="1125">
        <v>125.0</v>
      </c>
      <c r="C48" s="354">
        <v>21.0</v>
      </c>
      <c r="D48" s="354">
        <v>51.0</v>
      </c>
    </row>
    <row r="49">
      <c r="A49" s="1124" t="s">
        <v>1608</v>
      </c>
      <c r="B49" s="1125">
        <v>5.0</v>
      </c>
      <c r="C49" s="354">
        <v>0.0</v>
      </c>
      <c r="D49" s="354">
        <v>2.0</v>
      </c>
    </row>
    <row r="50">
      <c r="A50" s="1124" t="s">
        <v>1609</v>
      </c>
      <c r="B50" s="1125">
        <v>63.0</v>
      </c>
      <c r="C50" s="354">
        <v>22.0</v>
      </c>
      <c r="D50" s="354">
        <v>7.0</v>
      </c>
    </row>
    <row r="51">
      <c r="A51" s="1124" t="s">
        <v>1610</v>
      </c>
      <c r="B51" s="1125">
        <v>6.0</v>
      </c>
      <c r="C51" s="354">
        <v>3.0</v>
      </c>
      <c r="D51" s="354">
        <v>0.0</v>
      </c>
    </row>
    <row r="52">
      <c r="A52" s="1124" t="s">
        <v>1611</v>
      </c>
      <c r="B52" s="1125">
        <v>114.0</v>
      </c>
      <c r="C52" s="354">
        <v>34.0</v>
      </c>
      <c r="D52" s="354">
        <v>47.0</v>
      </c>
    </row>
    <row r="53">
      <c r="A53" s="1124" t="s">
        <v>142</v>
      </c>
      <c r="B53" s="1125">
        <v>87.0</v>
      </c>
      <c r="C53" s="354">
        <v>13.0</v>
      </c>
      <c r="D53" s="354">
        <v>26.0</v>
      </c>
    </row>
    <row r="54">
      <c r="A54" s="1124" t="s">
        <v>1612</v>
      </c>
      <c r="B54" s="1125">
        <v>318.0</v>
      </c>
      <c r="C54" s="354">
        <v>73.0</v>
      </c>
      <c r="D54" s="354">
        <v>152.0</v>
      </c>
    </row>
    <row r="55">
      <c r="A55" s="1124" t="s">
        <v>598</v>
      </c>
      <c r="B55" s="1125">
        <v>13.0</v>
      </c>
      <c r="C55" s="354">
        <v>7.0</v>
      </c>
      <c r="D55" s="354">
        <v>2.0</v>
      </c>
    </row>
    <row r="56">
      <c r="A56" s="1124" t="s">
        <v>147</v>
      </c>
      <c r="B56" s="1125">
        <v>27.0</v>
      </c>
      <c r="C56" s="354">
        <v>9.0</v>
      </c>
      <c r="D56" s="354">
        <v>6.0</v>
      </c>
    </row>
    <row r="57">
      <c r="A57" s="1124" t="s">
        <v>1613</v>
      </c>
      <c r="B57" s="1125">
        <v>59.0</v>
      </c>
      <c r="C57" s="354">
        <v>6.0</v>
      </c>
      <c r="D57" s="354">
        <v>36.0</v>
      </c>
    </row>
    <row r="58">
      <c r="A58" s="1124" t="s">
        <v>290</v>
      </c>
      <c r="B58" s="1125">
        <v>78.0</v>
      </c>
      <c r="C58" s="354">
        <v>4.0</v>
      </c>
      <c r="D58" s="354">
        <v>33.0</v>
      </c>
    </row>
    <row r="59">
      <c r="A59" s="1124" t="s">
        <v>150</v>
      </c>
      <c r="B59" s="1125">
        <v>71.0</v>
      </c>
      <c r="C59" s="354">
        <v>2.0</v>
      </c>
      <c r="D59" s="354">
        <v>34.0</v>
      </c>
    </row>
    <row r="60">
      <c r="A60" s="1124" t="s">
        <v>151</v>
      </c>
      <c r="B60" s="1125">
        <v>21.0</v>
      </c>
      <c r="C60" s="354">
        <v>1.0</v>
      </c>
      <c r="D60" s="354">
        <v>6.0</v>
      </c>
    </row>
    <row r="61">
      <c r="A61" s="1124" t="s">
        <v>510</v>
      </c>
      <c r="B61" s="1125">
        <v>33.0</v>
      </c>
      <c r="C61" s="354">
        <v>8.0</v>
      </c>
      <c r="D61" s="354">
        <v>13.0</v>
      </c>
    </row>
    <row r="62">
      <c r="A62" s="1124" t="s">
        <v>1614</v>
      </c>
      <c r="B62" s="1125">
        <v>97.0</v>
      </c>
      <c r="C62" s="354">
        <v>22.0</v>
      </c>
      <c r="D62" s="354">
        <v>32.0</v>
      </c>
    </row>
    <row r="63">
      <c r="A63" s="1124" t="s">
        <v>381</v>
      </c>
      <c r="B63" s="1125">
        <v>416.0</v>
      </c>
      <c r="C63" s="354">
        <v>72.0</v>
      </c>
      <c r="D63" s="354">
        <v>135.0</v>
      </c>
    </row>
    <row r="64">
      <c r="A64" s="1124" t="s">
        <v>610</v>
      </c>
      <c r="B64" s="1125">
        <v>38.0</v>
      </c>
      <c r="C64" s="354">
        <v>6.0</v>
      </c>
      <c r="D64" s="354">
        <v>13.0</v>
      </c>
    </row>
    <row r="65">
      <c r="A65" s="1124" t="s">
        <v>157</v>
      </c>
      <c r="B65" s="1125">
        <v>16.0</v>
      </c>
      <c r="C65" s="354">
        <v>1.0</v>
      </c>
      <c r="D65" s="354">
        <v>7.0</v>
      </c>
    </row>
    <row r="66">
      <c r="A66" s="1124" t="s">
        <v>1615</v>
      </c>
      <c r="B66" s="1125">
        <v>56.0</v>
      </c>
      <c r="C66" s="354">
        <v>13.0</v>
      </c>
      <c r="D66" s="354">
        <v>17.0</v>
      </c>
    </row>
    <row r="67">
      <c r="A67" s="1124" t="s">
        <v>1616</v>
      </c>
      <c r="B67" s="1125">
        <v>90.0</v>
      </c>
      <c r="C67" s="354">
        <v>19.0</v>
      </c>
      <c r="D67" s="354">
        <v>38.0</v>
      </c>
    </row>
    <row r="68">
      <c r="A68" s="1124" t="s">
        <v>1617</v>
      </c>
      <c r="B68" s="1125">
        <v>292.0</v>
      </c>
      <c r="C68" s="354">
        <v>77.0</v>
      </c>
      <c r="D68" s="354">
        <v>72.0</v>
      </c>
    </row>
    <row r="69">
      <c r="A69" s="1124" t="s">
        <v>1618</v>
      </c>
      <c r="B69" s="1125">
        <v>3.0</v>
      </c>
      <c r="C69" s="354">
        <v>0.0</v>
      </c>
      <c r="D69" s="354">
        <v>1.0</v>
      </c>
    </row>
    <row r="70">
      <c r="A70" s="1124" t="s">
        <v>1619</v>
      </c>
      <c r="B70" s="1125">
        <v>120.0</v>
      </c>
      <c r="C70" s="354">
        <v>21.0</v>
      </c>
      <c r="D70" s="354">
        <v>38.0</v>
      </c>
    </row>
    <row r="71">
      <c r="A71" s="1124" t="s">
        <v>241</v>
      </c>
      <c r="B71" s="1125">
        <v>89.0</v>
      </c>
      <c r="C71" s="354">
        <v>2.0</v>
      </c>
      <c r="D71" s="354">
        <v>29.0</v>
      </c>
    </row>
    <row r="72">
      <c r="A72" s="1124" t="s">
        <v>1620</v>
      </c>
      <c r="B72" s="1125">
        <v>9.0</v>
      </c>
      <c r="C72" s="354">
        <v>0.0</v>
      </c>
      <c r="D72" s="354">
        <v>1.0</v>
      </c>
    </row>
    <row r="73">
      <c r="A73" s="1124" t="s">
        <v>1621</v>
      </c>
      <c r="B73" s="1125">
        <v>31.0</v>
      </c>
      <c r="C73" s="354">
        <v>7.0</v>
      </c>
      <c r="D73" s="354">
        <v>12.0</v>
      </c>
    </row>
    <row r="74">
      <c r="A74" s="1124" t="s">
        <v>1622</v>
      </c>
      <c r="B74" s="1125">
        <v>79.0</v>
      </c>
      <c r="C74" s="354">
        <v>24.0</v>
      </c>
      <c r="D74" s="354">
        <v>28.0</v>
      </c>
    </row>
    <row r="75">
      <c r="A75" s="1124" t="s">
        <v>1623</v>
      </c>
      <c r="B75" s="1125">
        <v>15.0</v>
      </c>
      <c r="C75" s="354">
        <v>4.0</v>
      </c>
      <c r="D75" s="354">
        <v>7.0</v>
      </c>
    </row>
    <row r="76">
      <c r="A76" s="1124" t="s">
        <v>1624</v>
      </c>
      <c r="B76" s="1125">
        <v>82.0</v>
      </c>
      <c r="C76" s="354">
        <v>11.0</v>
      </c>
      <c r="D76" s="354">
        <v>31.0</v>
      </c>
    </row>
    <row r="77">
      <c r="A77" s="1124" t="s">
        <v>1625</v>
      </c>
      <c r="B77" s="1125">
        <v>200.0</v>
      </c>
      <c r="C77" s="354">
        <v>25.0</v>
      </c>
      <c r="D77" s="354">
        <v>49.0</v>
      </c>
    </row>
    <row r="78">
      <c r="A78" s="1124" t="s">
        <v>302</v>
      </c>
      <c r="B78" s="1125">
        <v>52.0</v>
      </c>
      <c r="C78" s="354">
        <v>10.0</v>
      </c>
      <c r="D78" s="354">
        <v>20.0</v>
      </c>
    </row>
    <row r="79">
      <c r="A79" s="1124" t="s">
        <v>163</v>
      </c>
      <c r="B79" s="1125">
        <v>179.0</v>
      </c>
      <c r="C79" s="354">
        <v>14.0</v>
      </c>
      <c r="D79" s="354">
        <v>87.0</v>
      </c>
    </row>
    <row r="80">
      <c r="A80" s="1124" t="s">
        <v>621</v>
      </c>
      <c r="B80" s="1125">
        <v>104.0</v>
      </c>
      <c r="C80" s="354">
        <v>5.0</v>
      </c>
      <c r="D80" s="354">
        <v>51.0</v>
      </c>
    </row>
    <row r="81">
      <c r="A81" s="1124" t="s">
        <v>1626</v>
      </c>
      <c r="B81" s="1125">
        <v>336.0</v>
      </c>
      <c r="C81" s="354">
        <v>138.0</v>
      </c>
      <c r="D81" s="354">
        <v>88.0</v>
      </c>
    </row>
    <row r="82">
      <c r="A82" s="1124" t="s">
        <v>1523</v>
      </c>
      <c r="B82" s="1125">
        <v>157.0</v>
      </c>
      <c r="C82" s="354">
        <v>9.0</v>
      </c>
      <c r="D82" s="354">
        <v>72.0</v>
      </c>
    </row>
    <row r="83">
      <c r="A83" s="1124" t="s">
        <v>1133</v>
      </c>
      <c r="B83" s="1125">
        <v>175.0</v>
      </c>
      <c r="C83" s="354">
        <v>5.0</v>
      </c>
      <c r="D83" s="354">
        <v>62.0</v>
      </c>
    </row>
    <row r="84">
      <c r="A84" s="1124" t="s">
        <v>1627</v>
      </c>
      <c r="B84" s="1125">
        <v>173.0</v>
      </c>
      <c r="C84" s="354">
        <v>37.0</v>
      </c>
      <c r="D84" s="354">
        <v>57.0</v>
      </c>
    </row>
    <row r="85">
      <c r="A85" s="1124" t="s">
        <v>1628</v>
      </c>
      <c r="B85" s="1125">
        <v>107.0</v>
      </c>
      <c r="C85" s="354">
        <v>3.0</v>
      </c>
      <c r="D85" s="354">
        <v>45.0</v>
      </c>
    </row>
    <row r="86">
      <c r="A86" s="1124" t="s">
        <v>1425</v>
      </c>
      <c r="B86" s="1125">
        <v>69.0</v>
      </c>
      <c r="C86" s="354">
        <v>7.0</v>
      </c>
      <c r="D86" s="354">
        <v>30.0</v>
      </c>
    </row>
    <row r="87">
      <c r="A87" s="1124" t="s">
        <v>1629</v>
      </c>
      <c r="B87" s="1125">
        <v>66.0</v>
      </c>
      <c r="C87" s="354">
        <v>16.0</v>
      </c>
      <c r="D87" s="354">
        <v>35.0</v>
      </c>
    </row>
    <row r="88">
      <c r="A88" s="1124" t="s">
        <v>1630</v>
      </c>
      <c r="B88" s="1125">
        <v>100.0</v>
      </c>
      <c r="C88" s="354">
        <v>13.0</v>
      </c>
      <c r="D88" s="354">
        <v>40.0</v>
      </c>
    </row>
    <row r="89">
      <c r="A89" s="1124" t="s">
        <v>1631</v>
      </c>
      <c r="B89" s="1125">
        <v>118.0</v>
      </c>
      <c r="C89" s="354">
        <v>23.0</v>
      </c>
      <c r="D89" s="354">
        <v>41.0</v>
      </c>
    </row>
    <row r="90">
      <c r="A90" s="1124" t="s">
        <v>1632</v>
      </c>
      <c r="B90" s="1125">
        <v>45.0</v>
      </c>
      <c r="C90" s="354">
        <v>6.0</v>
      </c>
      <c r="D90" s="354">
        <v>15.0</v>
      </c>
    </row>
    <row r="91">
      <c r="A91" s="1124" t="s">
        <v>1633</v>
      </c>
      <c r="B91" s="1125">
        <v>48.0</v>
      </c>
      <c r="C91" s="354">
        <v>7.0</v>
      </c>
      <c r="D91" s="354">
        <v>25.0</v>
      </c>
    </row>
    <row r="92">
      <c r="A92" s="1124" t="s">
        <v>1634</v>
      </c>
      <c r="B92" s="1125">
        <v>3.0</v>
      </c>
      <c r="C92" s="354">
        <v>3.0</v>
      </c>
      <c r="D92" s="354">
        <v>0.0</v>
      </c>
    </row>
    <row r="93">
      <c r="A93" s="1124" t="s">
        <v>316</v>
      </c>
      <c r="B93" s="1125">
        <v>149.0</v>
      </c>
      <c r="C93" s="354">
        <v>45.0</v>
      </c>
      <c r="D93" s="354">
        <v>43.0</v>
      </c>
    </row>
    <row r="94">
      <c r="A94" s="1124" t="s">
        <v>1635</v>
      </c>
      <c r="B94" s="1125">
        <v>70.0</v>
      </c>
      <c r="C94" s="354">
        <v>15.0</v>
      </c>
      <c r="D94" s="354">
        <v>29.0</v>
      </c>
    </row>
    <row r="95">
      <c r="A95" s="1124" t="s">
        <v>385</v>
      </c>
      <c r="B95" s="1125">
        <v>441.0</v>
      </c>
      <c r="C95" s="354">
        <v>80.0</v>
      </c>
      <c r="D95" s="354">
        <v>134.0</v>
      </c>
    </row>
    <row r="96">
      <c r="A96" s="1124" t="s">
        <v>647</v>
      </c>
      <c r="B96" s="1125">
        <v>5.0</v>
      </c>
      <c r="C96" s="354">
        <v>1.0</v>
      </c>
      <c r="D96" s="354">
        <v>1.0</v>
      </c>
    </row>
    <row r="97">
      <c r="A97" s="1124" t="s">
        <v>119</v>
      </c>
      <c r="B97" s="1125">
        <v>19.0</v>
      </c>
      <c r="C97" s="354">
        <v>13.0</v>
      </c>
      <c r="D97" s="354">
        <v>0.0</v>
      </c>
    </row>
    <row r="98">
      <c r="A98" s="1124" t="s">
        <v>1636</v>
      </c>
      <c r="B98" s="1125">
        <v>59.0</v>
      </c>
      <c r="C98" s="354">
        <v>14.0</v>
      </c>
      <c r="D98" s="354">
        <v>20.0</v>
      </c>
    </row>
    <row r="99">
      <c r="A99" s="1124" t="s">
        <v>273</v>
      </c>
      <c r="B99" s="1125">
        <v>66.0</v>
      </c>
      <c r="C99" s="354">
        <v>19.0</v>
      </c>
      <c r="D99" s="354">
        <v>26.0</v>
      </c>
    </row>
    <row r="100">
      <c r="A100" s="1124" t="s">
        <v>653</v>
      </c>
      <c r="B100" s="1125">
        <v>224.0</v>
      </c>
      <c r="C100" s="354">
        <v>46.0</v>
      </c>
      <c r="D100" s="354">
        <v>55.0</v>
      </c>
    </row>
    <row r="101">
      <c r="A101" s="1124" t="s">
        <v>1021</v>
      </c>
      <c r="B101" s="1125">
        <v>41.0</v>
      </c>
      <c r="C101" s="354">
        <v>9.0</v>
      </c>
      <c r="D101" s="354">
        <v>16.0</v>
      </c>
    </row>
    <row r="102">
      <c r="A102" s="1124" t="s">
        <v>1637</v>
      </c>
      <c r="B102" s="1125">
        <v>52.0</v>
      </c>
      <c r="C102" s="354">
        <v>7.0</v>
      </c>
      <c r="D102" s="354">
        <v>18.0</v>
      </c>
    </row>
    <row r="103">
      <c r="A103" s="1124" t="s">
        <v>1638</v>
      </c>
      <c r="B103" s="1125">
        <v>35.0</v>
      </c>
      <c r="C103" s="354">
        <v>7.0</v>
      </c>
      <c r="D103" s="354">
        <v>8.0</v>
      </c>
    </row>
    <row r="104">
      <c r="B104" s="137"/>
    </row>
    <row r="105">
      <c r="B105" s="137"/>
    </row>
    <row r="106">
      <c r="B106" s="137"/>
    </row>
    <row r="107">
      <c r="A107" s="368" t="s">
        <v>852</v>
      </c>
      <c r="B107" s="1127"/>
      <c r="C107" s="369"/>
      <c r="D107" s="369"/>
      <c r="E107" s="601" t="s">
        <v>765</v>
      </c>
      <c r="F107" s="601"/>
      <c r="G107" s="369"/>
      <c r="H107" s="369"/>
      <c r="I107" s="601" t="s">
        <v>767</v>
      </c>
      <c r="J107" s="602">
        <v>44477.0</v>
      </c>
      <c r="K107" s="601" t="s">
        <v>769</v>
      </c>
      <c r="L107" s="1128">
        <v>44460.0</v>
      </c>
      <c r="M107" s="373"/>
    </row>
    <row r="108">
      <c r="B108" s="137"/>
    </row>
    <row r="109">
      <c r="A109" s="202" t="s">
        <v>172</v>
      </c>
      <c r="B109" s="1129" t="s">
        <v>3718</v>
      </c>
    </row>
    <row r="110">
      <c r="A110" s="204" t="s">
        <v>1578</v>
      </c>
      <c r="B110" s="1130">
        <v>82.0</v>
      </c>
    </row>
    <row r="111">
      <c r="A111" s="204" t="s">
        <v>704</v>
      </c>
      <c r="B111" s="1130">
        <v>30.0</v>
      </c>
    </row>
    <row r="112">
      <c r="A112" s="204" t="s">
        <v>1579</v>
      </c>
      <c r="B112" s="1130">
        <v>3.0</v>
      </c>
    </row>
    <row r="113">
      <c r="A113" s="204" t="s">
        <v>1580</v>
      </c>
      <c r="B113" s="1130">
        <v>6.0</v>
      </c>
    </row>
    <row r="114">
      <c r="A114" s="204" t="s">
        <v>1581</v>
      </c>
      <c r="B114" s="1130">
        <v>24.0</v>
      </c>
    </row>
    <row r="115">
      <c r="A115" s="204" t="s">
        <v>1582</v>
      </c>
      <c r="B115" s="1130">
        <v>26.0</v>
      </c>
    </row>
    <row r="116">
      <c r="A116" s="204" t="s">
        <v>1583</v>
      </c>
      <c r="B116" s="1130">
        <v>37.0</v>
      </c>
    </row>
    <row r="117">
      <c r="A117" s="204" t="s">
        <v>1584</v>
      </c>
      <c r="B117" s="1130">
        <v>8.0</v>
      </c>
    </row>
    <row r="118">
      <c r="A118" s="204" t="s">
        <v>1585</v>
      </c>
      <c r="B118" s="1130">
        <v>45.0</v>
      </c>
    </row>
    <row r="119">
      <c r="A119" s="204" t="s">
        <v>1586</v>
      </c>
      <c r="B119" s="1130">
        <v>106.0</v>
      </c>
    </row>
    <row r="120">
      <c r="A120" s="204" t="s">
        <v>1587</v>
      </c>
      <c r="B120" s="1130">
        <v>256.0</v>
      </c>
    </row>
    <row r="121">
      <c r="A121" s="204" t="s">
        <v>546</v>
      </c>
      <c r="B121" s="1130">
        <v>104.0</v>
      </c>
    </row>
    <row r="122">
      <c r="A122" s="204" t="s">
        <v>1588</v>
      </c>
      <c r="B122" s="1130">
        <v>160.0</v>
      </c>
    </row>
    <row r="123">
      <c r="A123" s="204" t="s">
        <v>1034</v>
      </c>
      <c r="B123" s="1130">
        <v>71.0</v>
      </c>
    </row>
    <row r="124">
      <c r="A124" s="204" t="s">
        <v>548</v>
      </c>
      <c r="B124" s="1130">
        <v>6.0</v>
      </c>
    </row>
    <row r="125">
      <c r="A125" s="204" t="s">
        <v>1589</v>
      </c>
      <c r="B125" s="1130">
        <v>44.0</v>
      </c>
    </row>
    <row r="126">
      <c r="A126" s="204" t="s">
        <v>1590</v>
      </c>
      <c r="B126" s="1130">
        <v>19.0</v>
      </c>
    </row>
    <row r="127">
      <c r="A127" s="204" t="s">
        <v>1591</v>
      </c>
      <c r="B127" s="1130">
        <v>123.0</v>
      </c>
    </row>
    <row r="128">
      <c r="A128" s="204" t="s">
        <v>552</v>
      </c>
      <c r="B128" s="1130">
        <v>38.0</v>
      </c>
    </row>
    <row r="129">
      <c r="A129" s="204" t="s">
        <v>101</v>
      </c>
      <c r="B129" s="1130">
        <v>30.0</v>
      </c>
    </row>
    <row r="130">
      <c r="A130" s="204" t="s">
        <v>1592</v>
      </c>
      <c r="B130" s="1130">
        <v>12.0</v>
      </c>
    </row>
    <row r="131">
      <c r="A131" s="204" t="s">
        <v>112</v>
      </c>
      <c r="B131" s="1130">
        <v>5.0</v>
      </c>
    </row>
    <row r="132">
      <c r="A132" s="204" t="s">
        <v>257</v>
      </c>
      <c r="B132" s="1130">
        <v>135.0</v>
      </c>
    </row>
    <row r="133">
      <c r="A133" s="204" t="s">
        <v>1593</v>
      </c>
      <c r="B133" s="1130">
        <v>88.0</v>
      </c>
    </row>
    <row r="134">
      <c r="A134" s="204" t="s">
        <v>1594</v>
      </c>
      <c r="B134" s="1130">
        <v>133.0</v>
      </c>
    </row>
    <row r="135">
      <c r="A135" s="204" t="s">
        <v>713</v>
      </c>
      <c r="B135" s="1130">
        <v>457.0</v>
      </c>
    </row>
    <row r="136">
      <c r="A136" s="204" t="s">
        <v>1595</v>
      </c>
      <c r="B136" s="1130">
        <v>7.0</v>
      </c>
    </row>
    <row r="137">
      <c r="A137" s="204" t="s">
        <v>1596</v>
      </c>
      <c r="B137" s="1130">
        <v>21.0</v>
      </c>
    </row>
    <row r="138">
      <c r="A138" s="204" t="s">
        <v>570</v>
      </c>
      <c r="B138" s="1130">
        <v>118.0</v>
      </c>
    </row>
    <row r="139">
      <c r="A139" s="204" t="s">
        <v>1597</v>
      </c>
      <c r="B139" s="1130">
        <v>36.0</v>
      </c>
    </row>
    <row r="140">
      <c r="A140" s="204" t="s">
        <v>1598</v>
      </c>
      <c r="B140" s="1130">
        <v>68.0</v>
      </c>
    </row>
    <row r="141">
      <c r="A141" s="204" t="s">
        <v>1599</v>
      </c>
      <c r="B141" s="1130">
        <v>231.0</v>
      </c>
    </row>
    <row r="142">
      <c r="A142" s="204" t="s">
        <v>1600</v>
      </c>
      <c r="B142" s="1130">
        <v>24.0</v>
      </c>
    </row>
    <row r="143">
      <c r="A143" s="204" t="s">
        <v>576</v>
      </c>
      <c r="B143" s="1130">
        <v>256.0</v>
      </c>
    </row>
    <row r="144">
      <c r="A144" s="204" t="s">
        <v>136</v>
      </c>
      <c r="B144" s="1130">
        <v>52.0</v>
      </c>
    </row>
    <row r="145">
      <c r="A145" s="204" t="s">
        <v>1601</v>
      </c>
      <c r="B145" s="1130">
        <v>207.0</v>
      </c>
    </row>
    <row r="146">
      <c r="A146" s="204" t="s">
        <v>1602</v>
      </c>
      <c r="B146" s="1130">
        <v>7.0</v>
      </c>
    </row>
    <row r="147">
      <c r="A147" s="204" t="s">
        <v>224</v>
      </c>
      <c r="B147" s="1130">
        <v>40.0</v>
      </c>
    </row>
    <row r="148">
      <c r="A148" s="204" t="s">
        <v>1603</v>
      </c>
      <c r="B148" s="1130">
        <v>34.0</v>
      </c>
    </row>
    <row r="149">
      <c r="A149" s="204" t="s">
        <v>138</v>
      </c>
      <c r="B149" s="1130">
        <v>14.0</v>
      </c>
    </row>
    <row r="150">
      <c r="A150" s="204" t="s">
        <v>1604</v>
      </c>
      <c r="B150" s="1130">
        <v>346.0</v>
      </c>
    </row>
    <row r="151">
      <c r="A151" s="204" t="s">
        <v>1605</v>
      </c>
      <c r="B151" s="1130">
        <v>15.0</v>
      </c>
    </row>
    <row r="152">
      <c r="A152" s="204" t="s">
        <v>1606</v>
      </c>
      <c r="B152" s="1130">
        <v>96.0</v>
      </c>
    </row>
    <row r="153">
      <c r="A153" s="204" t="s">
        <v>1607</v>
      </c>
      <c r="B153" s="1130">
        <v>86.0</v>
      </c>
    </row>
    <row r="154">
      <c r="A154" s="204" t="s">
        <v>722</v>
      </c>
      <c r="B154" s="1130">
        <v>143.0</v>
      </c>
    </row>
    <row r="155">
      <c r="A155" s="204" t="s">
        <v>1608</v>
      </c>
      <c r="B155" s="1130">
        <v>7.0</v>
      </c>
    </row>
    <row r="156">
      <c r="A156" s="204" t="s">
        <v>1609</v>
      </c>
      <c r="B156" s="1130">
        <v>102.0</v>
      </c>
    </row>
    <row r="157">
      <c r="A157" s="204" t="s">
        <v>1610</v>
      </c>
      <c r="B157" s="1130">
        <v>0.0</v>
      </c>
    </row>
    <row r="158">
      <c r="A158" s="204" t="s">
        <v>1611</v>
      </c>
      <c r="B158" s="1130">
        <v>128.0</v>
      </c>
    </row>
    <row r="159">
      <c r="A159" s="204" t="s">
        <v>142</v>
      </c>
      <c r="B159" s="1130">
        <v>34.0</v>
      </c>
    </row>
    <row r="160">
      <c r="A160" s="204" t="s">
        <v>1612</v>
      </c>
      <c r="B160" s="1130">
        <v>158.0</v>
      </c>
    </row>
    <row r="161">
      <c r="A161" s="204" t="s">
        <v>598</v>
      </c>
      <c r="B161" s="1130">
        <v>12.0</v>
      </c>
    </row>
    <row r="162">
      <c r="A162" s="204" t="s">
        <v>147</v>
      </c>
      <c r="B162" s="1130">
        <v>33.0</v>
      </c>
    </row>
    <row r="163">
      <c r="A163" s="204" t="s">
        <v>1613</v>
      </c>
      <c r="B163" s="1130">
        <v>55.0</v>
      </c>
    </row>
    <row r="164">
      <c r="A164" s="204" t="s">
        <v>290</v>
      </c>
      <c r="B164" s="1130">
        <v>56.0</v>
      </c>
    </row>
    <row r="165">
      <c r="A165" s="204" t="s">
        <v>150</v>
      </c>
      <c r="B165" s="1130">
        <v>44.0</v>
      </c>
    </row>
    <row r="166">
      <c r="A166" s="204" t="s">
        <v>151</v>
      </c>
      <c r="B166" s="1130">
        <v>27.0</v>
      </c>
    </row>
    <row r="167">
      <c r="A167" s="204" t="s">
        <v>510</v>
      </c>
      <c r="B167" s="1130">
        <v>19.0</v>
      </c>
    </row>
    <row r="168">
      <c r="A168" s="204" t="s">
        <v>1614</v>
      </c>
      <c r="B168" s="1130">
        <v>87.0</v>
      </c>
    </row>
    <row r="169">
      <c r="A169" s="204" t="s">
        <v>381</v>
      </c>
      <c r="B169" s="1130">
        <v>717.0</v>
      </c>
    </row>
    <row r="170">
      <c r="A170" s="204" t="s">
        <v>610</v>
      </c>
      <c r="B170" s="1130">
        <v>23.0</v>
      </c>
    </row>
    <row r="171">
      <c r="A171" s="204" t="s">
        <v>157</v>
      </c>
      <c r="B171" s="1130">
        <v>14.0</v>
      </c>
    </row>
    <row r="172">
      <c r="A172" s="204" t="s">
        <v>1615</v>
      </c>
      <c r="B172" s="1130">
        <v>60.0</v>
      </c>
    </row>
    <row r="173">
      <c r="A173" s="204" t="s">
        <v>1616</v>
      </c>
      <c r="B173" s="1130">
        <v>41.0</v>
      </c>
    </row>
    <row r="174">
      <c r="A174" s="204" t="s">
        <v>1617</v>
      </c>
      <c r="B174" s="1130">
        <v>217.0</v>
      </c>
    </row>
    <row r="175">
      <c r="A175" s="204" t="s">
        <v>1618</v>
      </c>
      <c r="B175" s="1130">
        <v>8.0</v>
      </c>
    </row>
    <row r="176">
      <c r="A176" s="204" t="s">
        <v>1619</v>
      </c>
      <c r="B176" s="1130">
        <v>176.0</v>
      </c>
    </row>
    <row r="177">
      <c r="A177" s="204" t="s">
        <v>241</v>
      </c>
      <c r="B177" s="1130">
        <v>78.0</v>
      </c>
    </row>
    <row r="178">
      <c r="A178" s="204" t="s">
        <v>1620</v>
      </c>
      <c r="B178" s="1130">
        <v>21.0</v>
      </c>
    </row>
    <row r="179">
      <c r="A179" s="204" t="s">
        <v>1621</v>
      </c>
      <c r="B179" s="1130">
        <v>46.0</v>
      </c>
    </row>
    <row r="180">
      <c r="A180" s="204" t="s">
        <v>1622</v>
      </c>
      <c r="B180" s="1130">
        <v>103.0</v>
      </c>
    </row>
    <row r="181">
      <c r="A181" s="204" t="s">
        <v>1623</v>
      </c>
      <c r="B181" s="1130">
        <v>8.0</v>
      </c>
    </row>
    <row r="182">
      <c r="A182" s="204" t="s">
        <v>1624</v>
      </c>
      <c r="B182" s="1130">
        <v>40.0</v>
      </c>
    </row>
    <row r="183">
      <c r="A183" s="204" t="s">
        <v>1625</v>
      </c>
      <c r="B183" s="1130">
        <v>127.0</v>
      </c>
    </row>
    <row r="184">
      <c r="A184" s="204" t="s">
        <v>302</v>
      </c>
      <c r="B184" s="1130">
        <v>27.0</v>
      </c>
    </row>
    <row r="185">
      <c r="A185" s="204" t="s">
        <v>163</v>
      </c>
      <c r="B185" s="1130">
        <v>77.0</v>
      </c>
    </row>
    <row r="186">
      <c r="A186" s="204" t="s">
        <v>621</v>
      </c>
      <c r="B186" s="1130">
        <v>52.0</v>
      </c>
    </row>
    <row r="187">
      <c r="A187" s="204" t="s">
        <v>1626</v>
      </c>
      <c r="B187" s="1130">
        <v>95.0</v>
      </c>
    </row>
    <row r="188">
      <c r="A188" s="204" t="s">
        <v>1523</v>
      </c>
      <c r="B188" s="1130">
        <v>80.0</v>
      </c>
    </row>
    <row r="189">
      <c r="A189" s="204" t="s">
        <v>1133</v>
      </c>
      <c r="B189" s="1130">
        <v>85.0</v>
      </c>
    </row>
    <row r="190">
      <c r="A190" s="204" t="s">
        <v>1627</v>
      </c>
      <c r="B190" s="1130">
        <v>56.0</v>
      </c>
    </row>
    <row r="191">
      <c r="A191" s="204" t="s">
        <v>1628</v>
      </c>
      <c r="B191" s="1130">
        <v>55.0</v>
      </c>
    </row>
    <row r="192">
      <c r="A192" s="204" t="s">
        <v>1425</v>
      </c>
      <c r="B192" s="1130">
        <v>45.0</v>
      </c>
    </row>
    <row r="193">
      <c r="A193" s="204" t="s">
        <v>1629</v>
      </c>
      <c r="B193" s="1130">
        <v>33.0</v>
      </c>
    </row>
    <row r="194">
      <c r="A194" s="204" t="s">
        <v>1630</v>
      </c>
      <c r="B194" s="1130">
        <v>36.0</v>
      </c>
    </row>
    <row r="195">
      <c r="A195" s="204" t="s">
        <v>1631</v>
      </c>
      <c r="B195" s="1130">
        <v>38.0</v>
      </c>
    </row>
    <row r="196">
      <c r="A196" s="204" t="s">
        <v>1632</v>
      </c>
      <c r="B196" s="1130">
        <v>12.0</v>
      </c>
    </row>
    <row r="197">
      <c r="A197" s="204" t="s">
        <v>1633</v>
      </c>
      <c r="B197" s="1130">
        <v>23.0</v>
      </c>
    </row>
    <row r="198">
      <c r="A198" s="204" t="s">
        <v>1634</v>
      </c>
      <c r="B198" s="1130">
        <v>1.0</v>
      </c>
    </row>
    <row r="199">
      <c r="A199" s="204" t="s">
        <v>316</v>
      </c>
      <c r="B199" s="1130">
        <v>177.0</v>
      </c>
    </row>
    <row r="200">
      <c r="A200" s="204" t="s">
        <v>1635</v>
      </c>
      <c r="B200" s="1130">
        <v>17.0</v>
      </c>
    </row>
    <row r="201">
      <c r="A201" s="204" t="s">
        <v>385</v>
      </c>
      <c r="B201" s="1130">
        <v>600.0</v>
      </c>
    </row>
    <row r="202">
      <c r="A202" s="204" t="s">
        <v>647</v>
      </c>
      <c r="B202" s="1130">
        <v>11.0</v>
      </c>
    </row>
    <row r="203">
      <c r="A203" s="204" t="s">
        <v>119</v>
      </c>
      <c r="B203" s="1130">
        <v>4.0</v>
      </c>
    </row>
    <row r="204">
      <c r="A204" s="204" t="s">
        <v>1636</v>
      </c>
      <c r="B204" s="1130">
        <v>66.0</v>
      </c>
    </row>
    <row r="205">
      <c r="A205" s="204" t="s">
        <v>273</v>
      </c>
      <c r="B205" s="1130">
        <v>79.0</v>
      </c>
    </row>
    <row r="206">
      <c r="A206" s="204" t="s">
        <v>653</v>
      </c>
      <c r="B206" s="1130">
        <v>74.0</v>
      </c>
    </row>
    <row r="207">
      <c r="A207" s="204" t="s">
        <v>1021</v>
      </c>
      <c r="B207" s="1130">
        <v>58.0</v>
      </c>
    </row>
    <row r="208">
      <c r="A208" s="204" t="s">
        <v>1637</v>
      </c>
      <c r="B208" s="1130">
        <v>27.0</v>
      </c>
    </row>
    <row r="209">
      <c r="A209" s="204" t="s">
        <v>1638</v>
      </c>
      <c r="B209" s="1130">
        <v>33.0</v>
      </c>
    </row>
    <row r="210">
      <c r="A210" s="204" t="s">
        <v>923</v>
      </c>
      <c r="B210" s="1130">
        <v>8151.0</v>
      </c>
    </row>
    <row r="211">
      <c r="B211" s="137"/>
    </row>
    <row r="212">
      <c r="B212" s="137"/>
    </row>
    <row r="213">
      <c r="B213" s="137"/>
    </row>
    <row r="214">
      <c r="B214" s="137"/>
    </row>
    <row r="215">
      <c r="B215" s="137"/>
    </row>
    <row r="216">
      <c r="B216" s="137"/>
    </row>
    <row r="217">
      <c r="B217" s="137"/>
    </row>
    <row r="218">
      <c r="B218" s="137"/>
    </row>
    <row r="219">
      <c r="B219" s="137"/>
    </row>
    <row r="220">
      <c r="B220" s="137"/>
    </row>
    <row r="221">
      <c r="B221" s="137"/>
    </row>
    <row r="222">
      <c r="B222" s="137"/>
    </row>
    <row r="223">
      <c r="B223" s="137"/>
    </row>
    <row r="224">
      <c r="B224" s="137"/>
    </row>
    <row r="225">
      <c r="B225" s="137"/>
    </row>
    <row r="226">
      <c r="B226" s="137"/>
    </row>
    <row r="227">
      <c r="B227" s="137"/>
    </row>
    <row r="228">
      <c r="B228" s="137"/>
    </row>
    <row r="229">
      <c r="B229" s="137"/>
    </row>
    <row r="230">
      <c r="B230" s="137"/>
    </row>
    <row r="231">
      <c r="B231" s="137"/>
    </row>
    <row r="232">
      <c r="B232" s="137"/>
    </row>
    <row r="233">
      <c r="B233" s="137"/>
    </row>
    <row r="234">
      <c r="B234" s="137"/>
    </row>
    <row r="235">
      <c r="B235" s="137"/>
    </row>
    <row r="236">
      <c r="B236" s="137"/>
    </row>
    <row r="237">
      <c r="B237" s="137"/>
    </row>
    <row r="238">
      <c r="B238" s="137"/>
    </row>
    <row r="239">
      <c r="B239" s="137"/>
    </row>
    <row r="240">
      <c r="B240" s="137"/>
    </row>
    <row r="241">
      <c r="B241" s="137"/>
    </row>
    <row r="242">
      <c r="B242" s="137"/>
    </row>
    <row r="243">
      <c r="B243" s="137"/>
    </row>
    <row r="244">
      <c r="B244" s="137"/>
    </row>
    <row r="245">
      <c r="B245" s="137"/>
    </row>
    <row r="246">
      <c r="B246" s="137"/>
    </row>
    <row r="247">
      <c r="B247" s="137"/>
    </row>
    <row r="248">
      <c r="B248" s="137"/>
    </row>
    <row r="249">
      <c r="B249" s="137"/>
    </row>
    <row r="250">
      <c r="B250" s="137"/>
    </row>
    <row r="251">
      <c r="B251" s="137"/>
    </row>
    <row r="252">
      <c r="B252" s="137"/>
    </row>
    <row r="253">
      <c r="B253" s="137"/>
    </row>
    <row r="254">
      <c r="B254" s="137"/>
    </row>
    <row r="255">
      <c r="B255" s="137"/>
    </row>
    <row r="256">
      <c r="B256" s="137"/>
    </row>
    <row r="257">
      <c r="B257" s="137"/>
    </row>
    <row r="258">
      <c r="B258" s="137"/>
    </row>
    <row r="259">
      <c r="B259" s="137"/>
    </row>
    <row r="260">
      <c r="B260" s="137"/>
    </row>
    <row r="261">
      <c r="B261" s="137"/>
    </row>
    <row r="262">
      <c r="B262" s="137"/>
    </row>
    <row r="263">
      <c r="B263" s="137"/>
    </row>
    <row r="264">
      <c r="B264" s="137"/>
    </row>
    <row r="265">
      <c r="B265" s="137"/>
    </row>
    <row r="266">
      <c r="B266" s="137"/>
    </row>
    <row r="267">
      <c r="B267" s="137"/>
    </row>
    <row r="268">
      <c r="B268" s="137"/>
    </row>
    <row r="269">
      <c r="B269" s="137"/>
    </row>
    <row r="270">
      <c r="B270" s="137"/>
    </row>
    <row r="271">
      <c r="B271" s="137"/>
    </row>
    <row r="272">
      <c r="B272" s="137"/>
    </row>
    <row r="273">
      <c r="B273" s="137"/>
    </row>
    <row r="274">
      <c r="B274" s="137"/>
    </row>
    <row r="275">
      <c r="B275" s="137"/>
    </row>
    <row r="276">
      <c r="B276" s="137"/>
    </row>
    <row r="277">
      <c r="B277" s="137"/>
    </row>
    <row r="278">
      <c r="B278" s="137"/>
    </row>
    <row r="279">
      <c r="B279" s="137"/>
    </row>
    <row r="280">
      <c r="B280" s="137"/>
    </row>
    <row r="281">
      <c r="B281" s="137"/>
    </row>
    <row r="282">
      <c r="B282" s="137"/>
    </row>
    <row r="283">
      <c r="B283" s="137"/>
    </row>
    <row r="284">
      <c r="B284" s="137"/>
    </row>
    <row r="285">
      <c r="B285" s="137"/>
    </row>
    <row r="286">
      <c r="B286" s="137"/>
    </row>
    <row r="287">
      <c r="B287" s="137"/>
    </row>
    <row r="288">
      <c r="B288" s="137"/>
    </row>
    <row r="289">
      <c r="B289" s="137"/>
    </row>
    <row r="290">
      <c r="B290" s="137"/>
    </row>
    <row r="291">
      <c r="B291" s="137"/>
    </row>
    <row r="292">
      <c r="B292" s="137"/>
    </row>
    <row r="293">
      <c r="B293" s="137"/>
    </row>
    <row r="294">
      <c r="B294" s="137"/>
    </row>
    <row r="295">
      <c r="B295" s="137"/>
    </row>
    <row r="296">
      <c r="B296" s="137"/>
    </row>
    <row r="297">
      <c r="B297" s="137"/>
    </row>
    <row r="298">
      <c r="B298" s="137"/>
    </row>
    <row r="299">
      <c r="B299" s="137"/>
    </row>
    <row r="300">
      <c r="B300" s="137"/>
    </row>
    <row r="301">
      <c r="B301" s="137"/>
    </row>
    <row r="302">
      <c r="B302" s="137"/>
    </row>
    <row r="303">
      <c r="B303" s="137"/>
    </row>
    <row r="304">
      <c r="B304" s="137"/>
    </row>
    <row r="305">
      <c r="B305" s="137"/>
    </row>
    <row r="306">
      <c r="B306" s="137"/>
    </row>
    <row r="307">
      <c r="B307" s="137"/>
    </row>
    <row r="308">
      <c r="B308" s="137"/>
    </row>
    <row r="309">
      <c r="B309" s="137"/>
    </row>
    <row r="310">
      <c r="B310" s="137"/>
    </row>
    <row r="311">
      <c r="B311" s="137"/>
    </row>
    <row r="312">
      <c r="B312" s="137"/>
    </row>
    <row r="313">
      <c r="B313" s="137"/>
    </row>
    <row r="314">
      <c r="B314" s="137"/>
    </row>
    <row r="315">
      <c r="B315" s="137"/>
    </row>
    <row r="316">
      <c r="B316" s="137"/>
    </row>
    <row r="317">
      <c r="B317" s="137"/>
    </row>
    <row r="318">
      <c r="B318" s="137"/>
    </row>
    <row r="319">
      <c r="B319" s="137"/>
    </row>
    <row r="320">
      <c r="B320" s="137"/>
    </row>
    <row r="321">
      <c r="B321" s="137"/>
    </row>
    <row r="322">
      <c r="B322" s="137"/>
    </row>
    <row r="323">
      <c r="B323" s="137"/>
    </row>
    <row r="324">
      <c r="B324" s="137"/>
    </row>
    <row r="325">
      <c r="B325" s="137"/>
    </row>
    <row r="326">
      <c r="B326" s="137"/>
    </row>
    <row r="327">
      <c r="B327" s="137"/>
    </row>
    <row r="328">
      <c r="B328" s="137"/>
    </row>
    <row r="329">
      <c r="B329" s="137"/>
    </row>
    <row r="330">
      <c r="B330" s="137"/>
    </row>
    <row r="331">
      <c r="B331" s="137"/>
    </row>
    <row r="332">
      <c r="B332" s="137"/>
    </row>
    <row r="333">
      <c r="B333" s="137"/>
    </row>
    <row r="334">
      <c r="B334" s="137"/>
    </row>
    <row r="335">
      <c r="B335" s="137"/>
    </row>
    <row r="336">
      <c r="B336" s="137"/>
    </row>
    <row r="337">
      <c r="B337" s="137"/>
    </row>
    <row r="338">
      <c r="B338" s="137"/>
    </row>
    <row r="339">
      <c r="B339" s="137"/>
    </row>
    <row r="340">
      <c r="B340" s="137"/>
    </row>
    <row r="341">
      <c r="B341" s="137"/>
    </row>
    <row r="342">
      <c r="B342" s="137"/>
    </row>
    <row r="343">
      <c r="B343" s="137"/>
    </row>
    <row r="344">
      <c r="B344" s="137"/>
    </row>
    <row r="345">
      <c r="B345" s="137"/>
    </row>
    <row r="346">
      <c r="B346" s="137"/>
    </row>
    <row r="347">
      <c r="B347" s="137"/>
    </row>
    <row r="348">
      <c r="B348" s="137"/>
    </row>
    <row r="349">
      <c r="B349" s="137"/>
    </row>
    <row r="350">
      <c r="B350" s="137"/>
    </row>
    <row r="351">
      <c r="B351" s="137"/>
    </row>
    <row r="352">
      <c r="B352" s="137"/>
    </row>
    <row r="353">
      <c r="B353" s="137"/>
    </row>
    <row r="354">
      <c r="B354" s="137"/>
    </row>
    <row r="355">
      <c r="B355" s="137"/>
    </row>
    <row r="356">
      <c r="B356" s="137"/>
    </row>
    <row r="357">
      <c r="B357" s="137"/>
    </row>
    <row r="358">
      <c r="B358" s="137"/>
    </row>
    <row r="359">
      <c r="B359" s="137"/>
    </row>
    <row r="360">
      <c r="B360" s="137"/>
    </row>
    <row r="361">
      <c r="B361" s="137"/>
    </row>
    <row r="362">
      <c r="B362" s="137"/>
    </row>
    <row r="363">
      <c r="B363" s="137"/>
    </row>
    <row r="364">
      <c r="B364" s="137"/>
    </row>
    <row r="365">
      <c r="B365" s="137"/>
    </row>
    <row r="366">
      <c r="B366" s="137"/>
    </row>
    <row r="367">
      <c r="B367" s="137"/>
    </row>
    <row r="368">
      <c r="B368" s="137"/>
    </row>
    <row r="369">
      <c r="B369" s="137"/>
    </row>
    <row r="370">
      <c r="B370" s="137"/>
    </row>
    <row r="371">
      <c r="B371" s="137"/>
    </row>
    <row r="372">
      <c r="B372" s="137"/>
    </row>
    <row r="373">
      <c r="B373" s="137"/>
    </row>
    <row r="374">
      <c r="B374" s="137"/>
    </row>
    <row r="375">
      <c r="B375" s="137"/>
    </row>
    <row r="376">
      <c r="B376" s="137"/>
    </row>
    <row r="377">
      <c r="B377" s="137"/>
    </row>
    <row r="378">
      <c r="B378" s="137"/>
    </row>
    <row r="379">
      <c r="B379" s="137"/>
    </row>
    <row r="380">
      <c r="B380" s="137"/>
    </row>
    <row r="381">
      <c r="B381" s="137"/>
    </row>
    <row r="382">
      <c r="B382" s="137"/>
    </row>
    <row r="383">
      <c r="B383" s="137"/>
    </row>
    <row r="384">
      <c r="B384" s="137"/>
    </row>
    <row r="385">
      <c r="B385" s="137"/>
    </row>
    <row r="386">
      <c r="B386" s="137"/>
    </row>
    <row r="387">
      <c r="B387" s="137"/>
    </row>
    <row r="388">
      <c r="B388" s="137"/>
    </row>
    <row r="389">
      <c r="B389" s="137"/>
    </row>
    <row r="390">
      <c r="B390" s="137"/>
    </row>
    <row r="391">
      <c r="B391" s="137"/>
    </row>
    <row r="392">
      <c r="B392" s="137"/>
    </row>
    <row r="393">
      <c r="B393" s="137"/>
    </row>
    <row r="394">
      <c r="B394" s="137"/>
    </row>
    <row r="395">
      <c r="B395" s="137"/>
    </row>
    <row r="396">
      <c r="B396" s="137"/>
    </row>
    <row r="397">
      <c r="B397" s="137"/>
    </row>
    <row r="398">
      <c r="B398" s="137"/>
    </row>
    <row r="399">
      <c r="B399" s="137"/>
    </row>
    <row r="400">
      <c r="B400" s="137"/>
    </row>
    <row r="401">
      <c r="B401" s="137"/>
    </row>
    <row r="402">
      <c r="B402" s="137"/>
    </row>
    <row r="403">
      <c r="B403" s="137"/>
    </row>
    <row r="404">
      <c r="B404" s="137"/>
    </row>
    <row r="405">
      <c r="B405" s="137"/>
    </row>
    <row r="406">
      <c r="B406" s="137"/>
    </row>
    <row r="407">
      <c r="B407" s="137"/>
    </row>
    <row r="408">
      <c r="B408" s="137"/>
    </row>
    <row r="409">
      <c r="B409" s="137"/>
    </row>
    <row r="410">
      <c r="B410" s="137"/>
    </row>
    <row r="411">
      <c r="B411" s="137"/>
    </row>
    <row r="412">
      <c r="B412" s="137"/>
    </row>
    <row r="413">
      <c r="B413" s="137"/>
    </row>
    <row r="414">
      <c r="B414" s="137"/>
    </row>
    <row r="415">
      <c r="B415" s="137"/>
    </row>
    <row r="416">
      <c r="B416" s="137"/>
    </row>
    <row r="417">
      <c r="B417" s="137"/>
    </row>
    <row r="418">
      <c r="B418" s="137"/>
    </row>
    <row r="419">
      <c r="B419" s="137"/>
    </row>
    <row r="420">
      <c r="B420" s="137"/>
    </row>
    <row r="421">
      <c r="B421" s="137"/>
    </row>
    <row r="422">
      <c r="B422" s="137"/>
    </row>
    <row r="423">
      <c r="B423" s="137"/>
    </row>
    <row r="424">
      <c r="B424" s="137"/>
    </row>
    <row r="425">
      <c r="B425" s="137"/>
    </row>
    <row r="426">
      <c r="B426" s="137"/>
    </row>
    <row r="427">
      <c r="B427" s="137"/>
    </row>
    <row r="428">
      <c r="B428" s="137"/>
    </row>
    <row r="429">
      <c r="B429" s="137"/>
    </row>
    <row r="430">
      <c r="B430" s="137"/>
    </row>
    <row r="431">
      <c r="B431" s="137"/>
    </row>
    <row r="432">
      <c r="B432" s="137"/>
    </row>
    <row r="433">
      <c r="B433" s="137"/>
    </row>
    <row r="434">
      <c r="B434" s="137"/>
    </row>
    <row r="435">
      <c r="B435" s="137"/>
    </row>
    <row r="436">
      <c r="B436" s="137"/>
    </row>
    <row r="437">
      <c r="B437" s="137"/>
    </row>
    <row r="438">
      <c r="B438" s="137"/>
    </row>
    <row r="439">
      <c r="B439" s="137"/>
    </row>
    <row r="440">
      <c r="B440" s="137"/>
    </row>
    <row r="441">
      <c r="B441" s="137"/>
    </row>
    <row r="442">
      <c r="B442" s="137"/>
    </row>
    <row r="443">
      <c r="B443" s="137"/>
    </row>
    <row r="444">
      <c r="B444" s="137"/>
    </row>
    <row r="445">
      <c r="B445" s="137"/>
    </row>
    <row r="446">
      <c r="B446" s="137"/>
    </row>
    <row r="447">
      <c r="B447" s="137"/>
    </row>
    <row r="448">
      <c r="B448" s="137"/>
    </row>
    <row r="449">
      <c r="B449" s="137"/>
    </row>
    <row r="450">
      <c r="B450" s="137"/>
    </row>
    <row r="451">
      <c r="B451" s="137"/>
    </row>
    <row r="452">
      <c r="B452" s="137"/>
    </row>
    <row r="453">
      <c r="B453" s="137"/>
    </row>
    <row r="454">
      <c r="B454" s="137"/>
    </row>
    <row r="455">
      <c r="B455" s="137"/>
    </row>
    <row r="456">
      <c r="B456" s="137"/>
    </row>
    <row r="457">
      <c r="B457" s="137"/>
    </row>
    <row r="458">
      <c r="B458" s="137"/>
    </row>
    <row r="459">
      <c r="B459" s="137"/>
    </row>
    <row r="460">
      <c r="B460" s="137"/>
    </row>
    <row r="461">
      <c r="B461" s="137"/>
    </row>
    <row r="462">
      <c r="B462" s="137"/>
    </row>
    <row r="463">
      <c r="B463" s="137"/>
    </row>
    <row r="464">
      <c r="B464" s="137"/>
    </row>
    <row r="465">
      <c r="B465" s="137"/>
    </row>
    <row r="466">
      <c r="B466" s="137"/>
    </row>
    <row r="467">
      <c r="B467" s="137"/>
    </row>
    <row r="468">
      <c r="B468" s="137"/>
    </row>
    <row r="469">
      <c r="B469" s="137"/>
    </row>
    <row r="470">
      <c r="B470" s="137"/>
    </row>
    <row r="471">
      <c r="B471" s="137"/>
    </row>
    <row r="472">
      <c r="B472" s="137"/>
    </row>
    <row r="473">
      <c r="B473" s="137"/>
    </row>
    <row r="474">
      <c r="B474" s="137"/>
    </row>
    <row r="475">
      <c r="B475" s="137"/>
    </row>
    <row r="476">
      <c r="B476" s="137"/>
    </row>
    <row r="477">
      <c r="B477" s="137"/>
    </row>
    <row r="478">
      <c r="B478" s="137"/>
    </row>
    <row r="479">
      <c r="B479" s="137"/>
    </row>
    <row r="480">
      <c r="B480" s="137"/>
    </row>
    <row r="481">
      <c r="B481" s="137"/>
    </row>
    <row r="482">
      <c r="B482" s="137"/>
    </row>
    <row r="483">
      <c r="B483" s="137"/>
    </row>
    <row r="484">
      <c r="B484" s="137"/>
    </row>
    <row r="485">
      <c r="B485" s="137"/>
    </row>
    <row r="486">
      <c r="B486" s="137"/>
    </row>
    <row r="487">
      <c r="B487" s="137"/>
    </row>
    <row r="488">
      <c r="B488" s="137"/>
    </row>
    <row r="489">
      <c r="B489" s="137"/>
    </row>
    <row r="490">
      <c r="B490" s="137"/>
    </row>
    <row r="491">
      <c r="B491" s="137"/>
    </row>
    <row r="492">
      <c r="B492" s="137"/>
    </row>
    <row r="493">
      <c r="B493" s="137"/>
    </row>
    <row r="494">
      <c r="B494" s="137"/>
    </row>
    <row r="495">
      <c r="B495" s="137"/>
    </row>
    <row r="496">
      <c r="B496" s="137"/>
    </row>
    <row r="497">
      <c r="B497" s="137"/>
    </row>
    <row r="498">
      <c r="B498" s="137"/>
    </row>
    <row r="499">
      <c r="B499" s="137"/>
    </row>
    <row r="500">
      <c r="B500" s="137"/>
    </row>
    <row r="501">
      <c r="B501" s="137"/>
    </row>
    <row r="502">
      <c r="B502" s="137"/>
    </row>
    <row r="503">
      <c r="B503" s="137"/>
    </row>
    <row r="504">
      <c r="B504" s="137"/>
    </row>
    <row r="505">
      <c r="B505" s="137"/>
    </row>
    <row r="506">
      <c r="B506" s="137"/>
    </row>
    <row r="507">
      <c r="B507" s="137"/>
    </row>
    <row r="508">
      <c r="B508" s="137"/>
    </row>
    <row r="509">
      <c r="B509" s="137"/>
    </row>
    <row r="510">
      <c r="B510" s="137"/>
    </row>
    <row r="511">
      <c r="B511" s="137"/>
    </row>
    <row r="512">
      <c r="B512" s="137"/>
    </row>
    <row r="513">
      <c r="B513" s="137"/>
    </row>
    <row r="514">
      <c r="B514" s="137"/>
    </row>
    <row r="515">
      <c r="B515" s="137"/>
    </row>
    <row r="516">
      <c r="B516" s="137"/>
    </row>
    <row r="517">
      <c r="B517" s="137"/>
    </row>
    <row r="518">
      <c r="B518" s="137"/>
    </row>
    <row r="519">
      <c r="B519" s="137"/>
    </row>
    <row r="520">
      <c r="B520" s="137"/>
    </row>
    <row r="521">
      <c r="B521" s="137"/>
    </row>
    <row r="522">
      <c r="B522" s="137"/>
    </row>
    <row r="523">
      <c r="B523" s="137"/>
    </row>
    <row r="524">
      <c r="B524" s="137"/>
    </row>
    <row r="525">
      <c r="B525" s="137"/>
    </row>
    <row r="526">
      <c r="B526" s="137"/>
    </row>
    <row r="527">
      <c r="B527" s="137"/>
    </row>
    <row r="528">
      <c r="B528" s="137"/>
    </row>
    <row r="529">
      <c r="B529" s="137"/>
    </row>
    <row r="530">
      <c r="B530" s="137"/>
    </row>
    <row r="531">
      <c r="B531" s="137"/>
    </row>
    <row r="532">
      <c r="B532" s="137"/>
    </row>
    <row r="533">
      <c r="B533" s="137"/>
    </row>
    <row r="534">
      <c r="B534" s="137"/>
    </row>
    <row r="535">
      <c r="B535" s="137"/>
    </row>
    <row r="536">
      <c r="B536" s="137"/>
    </row>
    <row r="537">
      <c r="B537" s="137"/>
    </row>
    <row r="538">
      <c r="B538" s="137"/>
    </row>
    <row r="539">
      <c r="B539" s="137"/>
    </row>
    <row r="540">
      <c r="B540" s="137"/>
    </row>
    <row r="541">
      <c r="B541" s="137"/>
    </row>
    <row r="542">
      <c r="B542" s="137"/>
    </row>
    <row r="543">
      <c r="B543" s="137"/>
    </row>
    <row r="544">
      <c r="B544" s="137"/>
    </row>
    <row r="545">
      <c r="B545" s="137"/>
    </row>
    <row r="546">
      <c r="B546" s="137"/>
    </row>
    <row r="547">
      <c r="B547" s="137"/>
    </row>
    <row r="548">
      <c r="B548" s="137"/>
    </row>
    <row r="549">
      <c r="B549" s="137"/>
    </row>
    <row r="550">
      <c r="B550" s="137"/>
    </row>
    <row r="551">
      <c r="B551" s="137"/>
    </row>
    <row r="552">
      <c r="B552" s="137"/>
    </row>
    <row r="553">
      <c r="B553" s="137"/>
    </row>
    <row r="554">
      <c r="B554" s="137"/>
    </row>
    <row r="555">
      <c r="B555" s="137"/>
    </row>
    <row r="556">
      <c r="B556" s="137"/>
    </row>
    <row r="557">
      <c r="B557" s="137"/>
    </row>
    <row r="558">
      <c r="B558" s="137"/>
    </row>
    <row r="559">
      <c r="B559" s="137"/>
    </row>
    <row r="560">
      <c r="B560" s="137"/>
    </row>
    <row r="561">
      <c r="B561" s="137"/>
    </row>
    <row r="562">
      <c r="B562" s="137"/>
    </row>
    <row r="563">
      <c r="B563" s="137"/>
    </row>
    <row r="564">
      <c r="B564" s="137"/>
    </row>
    <row r="565">
      <c r="B565" s="137"/>
    </row>
    <row r="566">
      <c r="B566" s="137"/>
    </row>
    <row r="567">
      <c r="B567" s="137"/>
    </row>
    <row r="568">
      <c r="B568" s="137"/>
    </row>
    <row r="569">
      <c r="B569" s="137"/>
    </row>
    <row r="570">
      <c r="B570" s="137"/>
    </row>
    <row r="571">
      <c r="B571" s="137"/>
    </row>
    <row r="572">
      <c r="B572" s="137"/>
    </row>
    <row r="573">
      <c r="B573" s="137"/>
    </row>
    <row r="574">
      <c r="B574" s="137"/>
    </row>
    <row r="575">
      <c r="B575" s="137"/>
    </row>
    <row r="576">
      <c r="B576" s="137"/>
    </row>
    <row r="577">
      <c r="B577" s="137"/>
    </row>
    <row r="578">
      <c r="B578" s="137"/>
    </row>
    <row r="579">
      <c r="B579" s="137"/>
    </row>
    <row r="580">
      <c r="B580" s="137"/>
    </row>
    <row r="581">
      <c r="B581" s="137"/>
    </row>
    <row r="582">
      <c r="B582" s="137"/>
    </row>
    <row r="583">
      <c r="B583" s="137"/>
    </row>
    <row r="584">
      <c r="B584" s="137"/>
    </row>
    <row r="585">
      <c r="B585" s="137"/>
    </row>
    <row r="586">
      <c r="B586" s="137"/>
    </row>
    <row r="587">
      <c r="B587" s="137"/>
    </row>
    <row r="588">
      <c r="B588" s="137"/>
    </row>
    <row r="589">
      <c r="B589" s="137"/>
    </row>
    <row r="590">
      <c r="B590" s="137"/>
    </row>
    <row r="591">
      <c r="B591" s="137"/>
    </row>
    <row r="592">
      <c r="B592" s="137"/>
    </row>
    <row r="593">
      <c r="B593" s="137"/>
    </row>
    <row r="594">
      <c r="B594" s="137"/>
    </row>
    <row r="595">
      <c r="B595" s="137"/>
    </row>
    <row r="596">
      <c r="B596" s="137"/>
    </row>
    <row r="597">
      <c r="B597" s="137"/>
    </row>
    <row r="598">
      <c r="B598" s="137"/>
    </row>
    <row r="599">
      <c r="B599" s="137"/>
    </row>
    <row r="600">
      <c r="B600" s="137"/>
    </row>
    <row r="601">
      <c r="B601" s="137"/>
    </row>
    <row r="602">
      <c r="B602" s="137"/>
    </row>
    <row r="603">
      <c r="B603" s="137"/>
    </row>
    <row r="604">
      <c r="B604" s="137"/>
    </row>
    <row r="605">
      <c r="B605" s="137"/>
    </row>
    <row r="606">
      <c r="B606" s="137"/>
    </row>
    <row r="607">
      <c r="B607" s="137"/>
    </row>
    <row r="608">
      <c r="B608" s="137"/>
    </row>
    <row r="609">
      <c r="B609" s="137"/>
    </row>
    <row r="610">
      <c r="B610" s="137"/>
    </row>
    <row r="611">
      <c r="B611" s="137"/>
    </row>
    <row r="612">
      <c r="B612" s="137"/>
    </row>
    <row r="613">
      <c r="B613" s="137"/>
    </row>
    <row r="614">
      <c r="B614" s="137"/>
    </row>
    <row r="615">
      <c r="B615" s="137"/>
    </row>
    <row r="616">
      <c r="B616" s="137"/>
    </row>
    <row r="617">
      <c r="B617" s="137"/>
    </row>
    <row r="618">
      <c r="B618" s="137"/>
    </row>
    <row r="619">
      <c r="B619" s="137"/>
    </row>
    <row r="620">
      <c r="B620" s="137"/>
    </row>
    <row r="621">
      <c r="B621" s="137"/>
    </row>
    <row r="622">
      <c r="B622" s="137"/>
    </row>
    <row r="623">
      <c r="B623" s="137"/>
    </row>
    <row r="624">
      <c r="B624" s="137"/>
    </row>
    <row r="625">
      <c r="B625" s="137"/>
    </row>
    <row r="626">
      <c r="B626" s="137"/>
    </row>
    <row r="627">
      <c r="B627" s="137"/>
    </row>
    <row r="628">
      <c r="B628" s="137"/>
    </row>
    <row r="629">
      <c r="B629" s="137"/>
    </row>
    <row r="630">
      <c r="B630" s="137"/>
    </row>
    <row r="631">
      <c r="B631" s="137"/>
    </row>
    <row r="632">
      <c r="B632" s="137"/>
    </row>
    <row r="633">
      <c r="B633" s="137"/>
    </row>
    <row r="634">
      <c r="B634" s="137"/>
    </row>
    <row r="635">
      <c r="B635" s="137"/>
    </row>
    <row r="636">
      <c r="B636" s="137"/>
    </row>
    <row r="637">
      <c r="B637" s="137"/>
    </row>
    <row r="638">
      <c r="B638" s="137"/>
    </row>
    <row r="639">
      <c r="B639" s="137"/>
    </row>
    <row r="640">
      <c r="B640" s="137"/>
    </row>
    <row r="641">
      <c r="B641" s="137"/>
    </row>
    <row r="642">
      <c r="B642" s="137"/>
    </row>
    <row r="643">
      <c r="B643" s="137"/>
    </row>
    <row r="644">
      <c r="B644" s="137"/>
    </row>
    <row r="645">
      <c r="B645" s="137"/>
    </row>
    <row r="646">
      <c r="B646" s="137"/>
    </row>
    <row r="647">
      <c r="B647" s="137"/>
    </row>
    <row r="648">
      <c r="B648" s="137"/>
    </row>
    <row r="649">
      <c r="B649" s="137"/>
    </row>
    <row r="650">
      <c r="B650" s="137"/>
    </row>
    <row r="651">
      <c r="B651" s="137"/>
    </row>
    <row r="652">
      <c r="B652" s="137"/>
    </row>
    <row r="653">
      <c r="B653" s="137"/>
    </row>
    <row r="654">
      <c r="B654" s="137"/>
    </row>
    <row r="655">
      <c r="B655" s="137"/>
    </row>
    <row r="656">
      <c r="B656" s="137"/>
    </row>
    <row r="657">
      <c r="B657" s="137"/>
    </row>
    <row r="658">
      <c r="B658" s="137"/>
    </row>
    <row r="659">
      <c r="B659" s="137"/>
    </row>
    <row r="660">
      <c r="B660" s="137"/>
    </row>
    <row r="661">
      <c r="B661" s="137"/>
    </row>
    <row r="662">
      <c r="B662" s="137"/>
    </row>
    <row r="663">
      <c r="B663" s="137"/>
    </row>
    <row r="664">
      <c r="B664" s="137"/>
    </row>
    <row r="665">
      <c r="B665" s="137"/>
    </row>
    <row r="666">
      <c r="B666" s="137"/>
    </row>
    <row r="667">
      <c r="B667" s="137"/>
    </row>
    <row r="668">
      <c r="B668" s="137"/>
    </row>
    <row r="669">
      <c r="B669" s="137"/>
    </row>
    <row r="670">
      <c r="B670" s="137"/>
    </row>
    <row r="671">
      <c r="B671" s="137"/>
    </row>
    <row r="672">
      <c r="B672" s="137"/>
    </row>
    <row r="673">
      <c r="B673" s="137"/>
    </row>
    <row r="674">
      <c r="B674" s="137"/>
    </row>
    <row r="675">
      <c r="B675" s="137"/>
    </row>
    <row r="676">
      <c r="B676" s="137"/>
    </row>
    <row r="677">
      <c r="B677" s="137"/>
    </row>
    <row r="678">
      <c r="B678" s="137"/>
    </row>
    <row r="679">
      <c r="B679" s="137"/>
    </row>
    <row r="680">
      <c r="B680" s="137"/>
    </row>
    <row r="681">
      <c r="B681" s="137"/>
    </row>
    <row r="682">
      <c r="B682" s="137"/>
    </row>
    <row r="683">
      <c r="B683" s="137"/>
    </row>
    <row r="684">
      <c r="B684" s="137"/>
    </row>
    <row r="685">
      <c r="B685" s="137"/>
    </row>
    <row r="686">
      <c r="B686" s="137"/>
    </row>
    <row r="687">
      <c r="B687" s="137"/>
    </row>
    <row r="688">
      <c r="B688" s="137"/>
    </row>
    <row r="689">
      <c r="B689" s="137"/>
    </row>
    <row r="690">
      <c r="B690" s="137"/>
    </row>
    <row r="691">
      <c r="B691" s="137"/>
    </row>
    <row r="692">
      <c r="B692" s="137"/>
    </row>
    <row r="693">
      <c r="B693" s="137"/>
    </row>
    <row r="694">
      <c r="B694" s="137"/>
    </row>
    <row r="695">
      <c r="B695" s="137"/>
    </row>
    <row r="696">
      <c r="B696" s="137"/>
    </row>
    <row r="697">
      <c r="B697" s="137"/>
    </row>
    <row r="698">
      <c r="B698" s="137"/>
    </row>
    <row r="699">
      <c r="B699" s="137"/>
    </row>
    <row r="700">
      <c r="B700" s="137"/>
    </row>
    <row r="701">
      <c r="B701" s="137"/>
    </row>
    <row r="702">
      <c r="B702" s="137"/>
    </row>
    <row r="703">
      <c r="B703" s="137"/>
    </row>
    <row r="704">
      <c r="B704" s="137"/>
    </row>
    <row r="705">
      <c r="B705" s="137"/>
    </row>
    <row r="706">
      <c r="B706" s="137"/>
    </row>
    <row r="707">
      <c r="B707" s="137"/>
    </row>
    <row r="708">
      <c r="B708" s="137"/>
    </row>
    <row r="709">
      <c r="B709" s="137"/>
    </row>
    <row r="710">
      <c r="B710" s="137"/>
    </row>
    <row r="711">
      <c r="B711" s="137"/>
    </row>
    <row r="712">
      <c r="B712" s="137"/>
    </row>
    <row r="713">
      <c r="B713" s="137"/>
    </row>
    <row r="714">
      <c r="B714" s="137"/>
    </row>
    <row r="715">
      <c r="B715" s="137"/>
    </row>
    <row r="716">
      <c r="B716" s="137"/>
    </row>
    <row r="717">
      <c r="B717" s="137"/>
    </row>
    <row r="718">
      <c r="B718" s="137"/>
    </row>
    <row r="719">
      <c r="B719" s="137"/>
    </row>
    <row r="720">
      <c r="B720" s="137"/>
    </row>
    <row r="721">
      <c r="B721" s="137"/>
    </row>
    <row r="722">
      <c r="B722" s="137"/>
    </row>
    <row r="723">
      <c r="B723" s="137"/>
    </row>
    <row r="724">
      <c r="B724" s="137"/>
    </row>
    <row r="725">
      <c r="B725" s="137"/>
    </row>
    <row r="726">
      <c r="B726" s="137"/>
    </row>
    <row r="727">
      <c r="B727" s="137"/>
    </row>
    <row r="728">
      <c r="B728" s="137"/>
    </row>
    <row r="729">
      <c r="B729" s="137"/>
    </row>
    <row r="730">
      <c r="B730" s="137"/>
    </row>
    <row r="731">
      <c r="B731" s="137"/>
    </row>
    <row r="732">
      <c r="B732" s="137"/>
    </row>
    <row r="733">
      <c r="B733" s="137"/>
    </row>
    <row r="734">
      <c r="B734" s="137"/>
    </row>
    <row r="735">
      <c r="B735" s="137"/>
    </row>
    <row r="736">
      <c r="B736" s="137"/>
    </row>
    <row r="737">
      <c r="B737" s="137"/>
    </row>
    <row r="738">
      <c r="B738" s="137"/>
    </row>
    <row r="739">
      <c r="B739" s="137"/>
    </row>
    <row r="740">
      <c r="B740" s="137"/>
    </row>
    <row r="741">
      <c r="B741" s="137"/>
    </row>
    <row r="742">
      <c r="B742" s="137"/>
    </row>
    <row r="743">
      <c r="B743" s="137"/>
    </row>
    <row r="744">
      <c r="B744" s="137"/>
    </row>
    <row r="745">
      <c r="B745" s="137"/>
    </row>
    <row r="746">
      <c r="B746" s="137"/>
    </row>
    <row r="747">
      <c r="B747" s="137"/>
    </row>
    <row r="748">
      <c r="B748" s="137"/>
    </row>
    <row r="749">
      <c r="B749" s="137"/>
    </row>
    <row r="750">
      <c r="B750" s="137"/>
    </row>
    <row r="751">
      <c r="B751" s="137"/>
    </row>
    <row r="752">
      <c r="B752" s="137"/>
    </row>
    <row r="753">
      <c r="B753" s="137"/>
    </row>
    <row r="754">
      <c r="B754" s="137"/>
    </row>
    <row r="755">
      <c r="B755" s="137"/>
    </row>
    <row r="756">
      <c r="B756" s="137"/>
    </row>
    <row r="757">
      <c r="B757" s="137"/>
    </row>
    <row r="758">
      <c r="B758" s="137"/>
    </row>
    <row r="759">
      <c r="B759" s="137"/>
    </row>
    <row r="760">
      <c r="B760" s="137"/>
    </row>
    <row r="761">
      <c r="B761" s="137"/>
    </row>
    <row r="762">
      <c r="B762" s="137"/>
    </row>
    <row r="763">
      <c r="B763" s="137"/>
    </row>
    <row r="764">
      <c r="B764" s="137"/>
    </row>
    <row r="765">
      <c r="B765" s="137"/>
    </row>
    <row r="766">
      <c r="B766" s="137"/>
    </row>
    <row r="767">
      <c r="B767" s="137"/>
    </row>
    <row r="768">
      <c r="B768" s="137"/>
    </row>
    <row r="769">
      <c r="B769" s="137"/>
    </row>
    <row r="770">
      <c r="B770" s="137"/>
    </row>
    <row r="771">
      <c r="B771" s="137"/>
    </row>
    <row r="772">
      <c r="B772" s="137"/>
    </row>
    <row r="773">
      <c r="B773" s="137"/>
    </row>
    <row r="774">
      <c r="B774" s="137"/>
    </row>
    <row r="775">
      <c r="B775" s="137"/>
    </row>
    <row r="776">
      <c r="B776" s="137"/>
    </row>
    <row r="777">
      <c r="B777" s="137"/>
    </row>
    <row r="778">
      <c r="B778" s="137"/>
    </row>
    <row r="779">
      <c r="B779" s="137"/>
    </row>
    <row r="780">
      <c r="B780" s="137"/>
    </row>
    <row r="781">
      <c r="B781" s="137"/>
    </row>
    <row r="782">
      <c r="B782" s="137"/>
    </row>
    <row r="783">
      <c r="B783" s="137"/>
    </row>
    <row r="784">
      <c r="B784" s="137"/>
    </row>
    <row r="785">
      <c r="B785" s="137"/>
    </row>
    <row r="786">
      <c r="B786" s="137"/>
    </row>
    <row r="787">
      <c r="B787" s="137"/>
    </row>
    <row r="788">
      <c r="B788" s="137"/>
    </row>
    <row r="789">
      <c r="B789" s="137"/>
    </row>
    <row r="790">
      <c r="B790" s="137"/>
    </row>
    <row r="791">
      <c r="B791" s="137"/>
    </row>
    <row r="792">
      <c r="B792" s="137"/>
    </row>
    <row r="793">
      <c r="B793" s="137"/>
    </row>
    <row r="794">
      <c r="B794" s="137"/>
    </row>
    <row r="795">
      <c r="B795" s="137"/>
    </row>
    <row r="796">
      <c r="B796" s="137"/>
    </row>
    <row r="797">
      <c r="B797" s="137"/>
    </row>
    <row r="798">
      <c r="B798" s="137"/>
    </row>
    <row r="799">
      <c r="B799" s="137"/>
    </row>
    <row r="800">
      <c r="B800" s="137"/>
    </row>
    <row r="801">
      <c r="B801" s="137"/>
    </row>
    <row r="802">
      <c r="B802" s="137"/>
    </row>
    <row r="803">
      <c r="B803" s="137"/>
    </row>
    <row r="804">
      <c r="B804" s="137"/>
    </row>
    <row r="805">
      <c r="B805" s="137"/>
    </row>
    <row r="806">
      <c r="B806" s="137"/>
    </row>
    <row r="807">
      <c r="B807" s="137"/>
    </row>
    <row r="808">
      <c r="B808" s="137"/>
    </row>
    <row r="809">
      <c r="B809" s="137"/>
    </row>
    <row r="810">
      <c r="B810" s="137"/>
    </row>
    <row r="811">
      <c r="B811" s="137"/>
    </row>
    <row r="812">
      <c r="B812" s="137"/>
    </row>
    <row r="813">
      <c r="B813" s="137"/>
    </row>
    <row r="814">
      <c r="B814" s="137"/>
    </row>
    <row r="815">
      <c r="B815" s="137"/>
    </row>
    <row r="816">
      <c r="B816" s="137"/>
    </row>
    <row r="817">
      <c r="B817" s="137"/>
    </row>
    <row r="818">
      <c r="B818" s="137"/>
    </row>
    <row r="819">
      <c r="B819" s="137"/>
    </row>
    <row r="820">
      <c r="B820" s="137"/>
    </row>
    <row r="821">
      <c r="B821" s="137"/>
    </row>
    <row r="822">
      <c r="B822" s="137"/>
    </row>
    <row r="823">
      <c r="B823" s="137"/>
    </row>
    <row r="824">
      <c r="B824" s="137"/>
    </row>
    <row r="825">
      <c r="B825" s="137"/>
    </row>
    <row r="826">
      <c r="B826" s="137"/>
    </row>
    <row r="827">
      <c r="B827" s="137"/>
    </row>
    <row r="828">
      <c r="B828" s="137"/>
    </row>
    <row r="829">
      <c r="B829" s="137"/>
    </row>
    <row r="830">
      <c r="B830" s="137"/>
    </row>
    <row r="831">
      <c r="B831" s="137"/>
    </row>
    <row r="832">
      <c r="B832" s="137"/>
    </row>
    <row r="833">
      <c r="B833" s="137"/>
    </row>
    <row r="834">
      <c r="B834" s="137"/>
    </row>
    <row r="835">
      <c r="B835" s="137"/>
    </row>
    <row r="836">
      <c r="B836" s="137"/>
    </row>
    <row r="837">
      <c r="B837" s="137"/>
    </row>
    <row r="838">
      <c r="B838" s="137"/>
    </row>
    <row r="839">
      <c r="B839" s="137"/>
    </row>
    <row r="840">
      <c r="B840" s="137"/>
    </row>
    <row r="841">
      <c r="B841" s="137"/>
    </row>
    <row r="842">
      <c r="B842" s="137"/>
    </row>
    <row r="843">
      <c r="B843" s="137"/>
    </row>
    <row r="844">
      <c r="B844" s="137"/>
    </row>
    <row r="845">
      <c r="B845" s="137"/>
    </row>
    <row r="846">
      <c r="B846" s="137"/>
    </row>
    <row r="847">
      <c r="B847" s="137"/>
    </row>
    <row r="848">
      <c r="B848" s="137"/>
    </row>
    <row r="849">
      <c r="B849" s="137"/>
    </row>
    <row r="850">
      <c r="B850" s="137"/>
    </row>
    <row r="851">
      <c r="B851" s="137"/>
    </row>
    <row r="852">
      <c r="B852" s="137"/>
    </row>
    <row r="853">
      <c r="B853" s="137"/>
    </row>
    <row r="854">
      <c r="B854" s="137"/>
    </row>
    <row r="855">
      <c r="B855" s="137"/>
    </row>
    <row r="856">
      <c r="B856" s="137"/>
    </row>
    <row r="857">
      <c r="B857" s="137"/>
    </row>
    <row r="858">
      <c r="B858" s="137"/>
    </row>
    <row r="859">
      <c r="B859" s="137"/>
    </row>
    <row r="860">
      <c r="B860" s="137"/>
    </row>
    <row r="861">
      <c r="B861" s="137"/>
    </row>
    <row r="862">
      <c r="B862" s="137"/>
    </row>
    <row r="863">
      <c r="B863" s="137"/>
    </row>
    <row r="864">
      <c r="B864" s="137"/>
    </row>
    <row r="865">
      <c r="B865" s="137"/>
    </row>
    <row r="866">
      <c r="B866" s="137"/>
    </row>
    <row r="867">
      <c r="B867" s="137"/>
    </row>
    <row r="868">
      <c r="B868" s="137"/>
    </row>
    <row r="869">
      <c r="B869" s="137"/>
    </row>
    <row r="870">
      <c r="B870" s="137"/>
    </row>
    <row r="871">
      <c r="B871" s="137"/>
    </row>
    <row r="872">
      <c r="B872" s="137"/>
    </row>
    <row r="873">
      <c r="B873" s="137"/>
    </row>
    <row r="874">
      <c r="B874" s="137"/>
    </row>
    <row r="875">
      <c r="B875" s="137"/>
    </row>
    <row r="876">
      <c r="B876" s="137"/>
    </row>
    <row r="877">
      <c r="B877" s="137"/>
    </row>
    <row r="878">
      <c r="B878" s="137"/>
    </row>
    <row r="879">
      <c r="B879" s="137"/>
    </row>
    <row r="880">
      <c r="B880" s="137"/>
    </row>
    <row r="881">
      <c r="B881" s="137"/>
    </row>
    <row r="882">
      <c r="B882" s="137"/>
    </row>
    <row r="883">
      <c r="B883" s="137"/>
    </row>
    <row r="884">
      <c r="B884" s="137"/>
    </row>
    <row r="885">
      <c r="B885" s="137"/>
    </row>
    <row r="886">
      <c r="B886" s="137"/>
    </row>
    <row r="887">
      <c r="B887" s="137"/>
    </row>
    <row r="888">
      <c r="B888" s="137"/>
    </row>
    <row r="889">
      <c r="B889" s="137"/>
    </row>
    <row r="890">
      <c r="B890" s="137"/>
    </row>
    <row r="891">
      <c r="B891" s="137"/>
    </row>
    <row r="892">
      <c r="B892" s="137"/>
    </row>
    <row r="893">
      <c r="B893" s="137"/>
    </row>
    <row r="894">
      <c r="B894" s="137"/>
    </row>
    <row r="895">
      <c r="B895" s="137"/>
    </row>
    <row r="896">
      <c r="B896" s="137"/>
    </row>
    <row r="897">
      <c r="B897" s="137"/>
    </row>
    <row r="898">
      <c r="B898" s="137"/>
    </row>
    <row r="899">
      <c r="B899" s="137"/>
    </row>
    <row r="900">
      <c r="B900" s="137"/>
    </row>
    <row r="901">
      <c r="B901" s="137"/>
    </row>
    <row r="902">
      <c r="B902" s="137"/>
    </row>
    <row r="903">
      <c r="B903" s="137"/>
    </row>
    <row r="904">
      <c r="B904" s="137"/>
    </row>
    <row r="905">
      <c r="B905" s="137"/>
    </row>
    <row r="906">
      <c r="B906" s="137"/>
    </row>
    <row r="907">
      <c r="B907" s="137"/>
    </row>
    <row r="908">
      <c r="B908" s="137"/>
    </row>
    <row r="909">
      <c r="B909" s="137"/>
    </row>
    <row r="910">
      <c r="B910" s="137"/>
    </row>
    <row r="911">
      <c r="B911" s="137"/>
    </row>
    <row r="912">
      <c r="B912" s="137"/>
    </row>
    <row r="913">
      <c r="B913" s="137"/>
    </row>
    <row r="914">
      <c r="B914" s="137"/>
    </row>
    <row r="915">
      <c r="B915" s="137"/>
    </row>
    <row r="916">
      <c r="B916" s="137"/>
    </row>
    <row r="917">
      <c r="B917" s="137"/>
    </row>
    <row r="918">
      <c r="B918" s="137"/>
    </row>
    <row r="919">
      <c r="B919" s="137"/>
    </row>
    <row r="920">
      <c r="B920" s="137"/>
    </row>
    <row r="921">
      <c r="B921" s="137"/>
    </row>
    <row r="922">
      <c r="B922" s="137"/>
    </row>
    <row r="923">
      <c r="B923" s="137"/>
    </row>
    <row r="924">
      <c r="B924" s="137"/>
    </row>
    <row r="925">
      <c r="B925" s="137"/>
    </row>
    <row r="926">
      <c r="B926" s="137"/>
    </row>
    <row r="927">
      <c r="B927" s="137"/>
    </row>
    <row r="928">
      <c r="B928" s="137"/>
    </row>
    <row r="929">
      <c r="B929" s="137"/>
    </row>
    <row r="930">
      <c r="B930" s="137"/>
    </row>
    <row r="931">
      <c r="B931" s="137"/>
    </row>
    <row r="932">
      <c r="B932" s="137"/>
    </row>
    <row r="933">
      <c r="B933" s="137"/>
    </row>
    <row r="934">
      <c r="B934" s="137"/>
    </row>
    <row r="935">
      <c r="B935" s="137"/>
    </row>
    <row r="936">
      <c r="B936" s="137"/>
    </row>
    <row r="937">
      <c r="B937" s="137"/>
    </row>
    <row r="938">
      <c r="B938" s="137"/>
    </row>
    <row r="939">
      <c r="B939" s="137"/>
    </row>
    <row r="940">
      <c r="B940" s="137"/>
    </row>
    <row r="941">
      <c r="B941" s="137"/>
    </row>
    <row r="942">
      <c r="B942" s="137"/>
    </row>
    <row r="943">
      <c r="B943" s="137"/>
    </row>
    <row r="944">
      <c r="B944" s="137"/>
    </row>
    <row r="945">
      <c r="B945" s="137"/>
    </row>
    <row r="946">
      <c r="B946" s="137"/>
    </row>
    <row r="947">
      <c r="B947" s="137"/>
    </row>
    <row r="948">
      <c r="B948" s="137"/>
    </row>
    <row r="949">
      <c r="B949" s="137"/>
    </row>
    <row r="950">
      <c r="B950" s="137"/>
    </row>
    <row r="951">
      <c r="B951" s="137"/>
    </row>
    <row r="952">
      <c r="B952" s="137"/>
    </row>
    <row r="953">
      <c r="B953" s="137"/>
    </row>
    <row r="954">
      <c r="B954" s="137"/>
    </row>
    <row r="955">
      <c r="B955" s="137"/>
    </row>
    <row r="956">
      <c r="B956" s="137"/>
    </row>
    <row r="957">
      <c r="B957" s="137"/>
    </row>
    <row r="958">
      <c r="B958" s="137"/>
    </row>
    <row r="959">
      <c r="B959" s="137"/>
    </row>
    <row r="960">
      <c r="B960" s="137"/>
    </row>
    <row r="961">
      <c r="B961" s="137"/>
    </row>
    <row r="962">
      <c r="B962" s="137"/>
    </row>
    <row r="963">
      <c r="B963" s="137"/>
    </row>
    <row r="964">
      <c r="B964" s="137"/>
    </row>
    <row r="965">
      <c r="B965" s="137"/>
    </row>
    <row r="966">
      <c r="B966" s="137"/>
    </row>
    <row r="967">
      <c r="B967" s="137"/>
    </row>
    <row r="968">
      <c r="B968" s="137"/>
    </row>
    <row r="969">
      <c r="B969" s="137"/>
    </row>
    <row r="970">
      <c r="B970" s="137"/>
    </row>
    <row r="971">
      <c r="B971" s="137"/>
    </row>
    <row r="972">
      <c r="B972" s="137"/>
    </row>
    <row r="973">
      <c r="B973" s="137"/>
    </row>
    <row r="974">
      <c r="B974" s="137"/>
    </row>
    <row r="975">
      <c r="B975" s="137"/>
    </row>
    <row r="976">
      <c r="B976" s="137"/>
    </row>
    <row r="977">
      <c r="B977" s="137"/>
    </row>
    <row r="978">
      <c r="B978" s="137"/>
    </row>
    <row r="979">
      <c r="B979" s="137"/>
    </row>
    <row r="980">
      <c r="B980" s="137"/>
    </row>
    <row r="981">
      <c r="B981" s="137"/>
    </row>
    <row r="982">
      <c r="B982" s="137"/>
    </row>
    <row r="983">
      <c r="B983" s="137"/>
    </row>
    <row r="984">
      <c r="B984" s="137"/>
    </row>
    <row r="985">
      <c r="B985" s="137"/>
    </row>
    <row r="986">
      <c r="B986" s="137"/>
    </row>
    <row r="987">
      <c r="B987" s="137"/>
    </row>
    <row r="988">
      <c r="B988" s="137"/>
    </row>
    <row r="989">
      <c r="B989" s="137"/>
    </row>
    <row r="990">
      <c r="B990" s="137"/>
    </row>
    <row r="991">
      <c r="B991" s="137"/>
    </row>
    <row r="992">
      <c r="B992" s="137"/>
    </row>
    <row r="993">
      <c r="B993" s="137"/>
    </row>
    <row r="994">
      <c r="B994" s="137"/>
    </row>
    <row r="995">
      <c r="B995" s="137"/>
    </row>
    <row r="996">
      <c r="B996" s="137"/>
    </row>
    <row r="997">
      <c r="B997" s="137"/>
    </row>
    <row r="998">
      <c r="B998" s="137"/>
    </row>
    <row r="999">
      <c r="B999" s="137"/>
    </row>
    <row r="1000">
      <c r="B1000" s="137"/>
    </row>
  </sheetData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41" t="s">
        <v>3851</v>
      </c>
      <c r="B1" s="541" t="s">
        <v>3852</v>
      </c>
      <c r="C1" s="541" t="s">
        <v>3853</v>
      </c>
      <c r="D1" s="541" t="s">
        <v>3854</v>
      </c>
      <c r="E1" s="541" t="s">
        <v>3855</v>
      </c>
      <c r="F1" s="541" t="s">
        <v>944</v>
      </c>
      <c r="G1" s="541" t="s">
        <v>3856</v>
      </c>
      <c r="H1" s="541" t="s">
        <v>3857</v>
      </c>
      <c r="I1" s="541" t="s">
        <v>3858</v>
      </c>
      <c r="J1" s="541" t="s">
        <v>3859</v>
      </c>
      <c r="K1" s="541" t="s">
        <v>3860</v>
      </c>
      <c r="L1" s="541" t="s">
        <v>1764</v>
      </c>
      <c r="M1" s="541" t="s">
        <v>3861</v>
      </c>
      <c r="N1" s="541" t="s">
        <v>1715</v>
      </c>
      <c r="O1" s="541" t="s">
        <v>3862</v>
      </c>
      <c r="P1" s="541" t="s">
        <v>1724</v>
      </c>
      <c r="Q1" s="541" t="s">
        <v>781</v>
      </c>
      <c r="R1" s="485"/>
      <c r="S1" s="485"/>
    </row>
    <row r="2">
      <c r="A2" s="1131">
        <v>45292.0</v>
      </c>
      <c r="B2" s="485" t="s">
        <v>1578</v>
      </c>
      <c r="C2" s="1120">
        <v>120.0</v>
      </c>
      <c r="D2" s="1120">
        <v>1.0</v>
      </c>
      <c r="E2" s="1120">
        <v>0.0</v>
      </c>
      <c r="F2" s="1120">
        <v>57.0</v>
      </c>
      <c r="G2" s="1120">
        <v>3.0</v>
      </c>
      <c r="H2" s="1120">
        <v>14.0</v>
      </c>
      <c r="I2" s="1120">
        <v>16.0</v>
      </c>
      <c r="J2" s="1120">
        <v>0.0</v>
      </c>
      <c r="K2" s="1120">
        <v>0.0</v>
      </c>
      <c r="L2" s="1120">
        <v>0.0</v>
      </c>
      <c r="M2" s="1120">
        <v>3.0</v>
      </c>
      <c r="N2" s="1120">
        <v>6.0</v>
      </c>
      <c r="O2" s="1120">
        <v>1.0</v>
      </c>
      <c r="P2" s="1120">
        <v>18.0</v>
      </c>
      <c r="Q2" s="1120">
        <v>0.0</v>
      </c>
      <c r="R2" s="485"/>
      <c r="S2" s="485"/>
    </row>
    <row r="3">
      <c r="A3" s="1131">
        <v>45292.0</v>
      </c>
      <c r="B3" s="485" t="s">
        <v>704</v>
      </c>
      <c r="C3" s="1120">
        <v>55.0</v>
      </c>
      <c r="D3" s="1120">
        <v>0.0</v>
      </c>
      <c r="E3" s="1120">
        <v>0.0</v>
      </c>
      <c r="F3" s="1120">
        <v>14.0</v>
      </c>
      <c r="G3" s="1120">
        <v>13.0</v>
      </c>
      <c r="H3" s="1120">
        <v>1.0</v>
      </c>
      <c r="I3" s="1120">
        <v>3.0</v>
      </c>
      <c r="J3" s="1120">
        <v>0.0</v>
      </c>
      <c r="K3" s="1120">
        <v>0.0</v>
      </c>
      <c r="L3" s="1120">
        <v>0.0</v>
      </c>
      <c r="M3" s="1120">
        <v>4.0</v>
      </c>
      <c r="N3" s="1120">
        <v>3.0</v>
      </c>
      <c r="O3" s="1120">
        <v>0.0</v>
      </c>
      <c r="P3" s="1120">
        <v>17.0</v>
      </c>
      <c r="Q3" s="1120">
        <v>0.0</v>
      </c>
      <c r="R3" s="485"/>
      <c r="S3" s="485"/>
    </row>
    <row r="4">
      <c r="A4" s="1131">
        <v>45292.0</v>
      </c>
      <c r="B4" s="485" t="s">
        <v>1579</v>
      </c>
      <c r="C4" s="1120">
        <v>45.0</v>
      </c>
      <c r="D4" s="1120">
        <v>1.0</v>
      </c>
      <c r="E4" s="1120">
        <v>0.0</v>
      </c>
      <c r="F4" s="1120">
        <v>12.0</v>
      </c>
      <c r="G4" s="1120">
        <v>5.0</v>
      </c>
      <c r="H4" s="1120">
        <v>11.0</v>
      </c>
      <c r="I4" s="1120">
        <v>5.0</v>
      </c>
      <c r="J4" s="1120">
        <v>0.0</v>
      </c>
      <c r="K4" s="1120">
        <v>0.0</v>
      </c>
      <c r="L4" s="1120">
        <v>0.0</v>
      </c>
      <c r="M4" s="1120">
        <v>0.0</v>
      </c>
      <c r="N4" s="1120">
        <v>1.0</v>
      </c>
      <c r="O4" s="1120">
        <v>1.0</v>
      </c>
      <c r="P4" s="1120">
        <v>8.0</v>
      </c>
      <c r="Q4" s="1120">
        <v>0.0</v>
      </c>
      <c r="R4" s="485"/>
      <c r="S4" s="485"/>
    </row>
    <row r="5">
      <c r="A5" s="1131">
        <v>45292.0</v>
      </c>
      <c r="B5" s="485" t="s">
        <v>1580</v>
      </c>
      <c r="C5" s="1120">
        <v>20.0</v>
      </c>
      <c r="D5" s="1120">
        <v>0.0</v>
      </c>
      <c r="E5" s="1120">
        <v>0.0</v>
      </c>
      <c r="F5" s="1120">
        <v>5.0</v>
      </c>
      <c r="G5" s="1120">
        <v>5.0</v>
      </c>
      <c r="H5" s="1120">
        <v>3.0</v>
      </c>
      <c r="I5" s="1120">
        <v>2.0</v>
      </c>
      <c r="J5" s="1120">
        <v>0.0</v>
      </c>
      <c r="K5" s="1120">
        <v>0.0</v>
      </c>
      <c r="L5" s="1120">
        <v>0.0</v>
      </c>
      <c r="M5" s="1120">
        <v>0.0</v>
      </c>
      <c r="N5" s="1120">
        <v>0.0</v>
      </c>
      <c r="O5" s="1120">
        <v>0.0</v>
      </c>
      <c r="P5" s="1120">
        <v>4.0</v>
      </c>
      <c r="Q5" s="1120">
        <v>0.0</v>
      </c>
      <c r="R5" s="485"/>
      <c r="S5" s="485"/>
    </row>
    <row r="6">
      <c r="A6" s="1131">
        <v>45292.0</v>
      </c>
      <c r="B6" s="485" t="s">
        <v>1581</v>
      </c>
      <c r="C6" s="1120">
        <v>27.0</v>
      </c>
      <c r="D6" s="1120">
        <v>0.0</v>
      </c>
      <c r="E6" s="1120">
        <v>0.0</v>
      </c>
      <c r="F6" s="1120">
        <v>6.0</v>
      </c>
      <c r="G6" s="1120">
        <v>0.0</v>
      </c>
      <c r="H6" s="1120">
        <v>3.0</v>
      </c>
      <c r="I6" s="1120">
        <v>2.0</v>
      </c>
      <c r="J6" s="1120">
        <v>1.0</v>
      </c>
      <c r="K6" s="1120">
        <v>0.0</v>
      </c>
      <c r="L6" s="1120">
        <v>0.0</v>
      </c>
      <c r="M6" s="1120">
        <v>2.0</v>
      </c>
      <c r="N6" s="1120">
        <v>5.0</v>
      </c>
      <c r="O6" s="1120">
        <v>5.0</v>
      </c>
      <c r="P6" s="1120">
        <v>3.0</v>
      </c>
      <c r="Q6" s="1120">
        <v>0.0</v>
      </c>
      <c r="R6" s="485"/>
      <c r="S6" s="485"/>
    </row>
    <row r="7">
      <c r="A7" s="1131">
        <v>45292.0</v>
      </c>
      <c r="B7" s="485" t="s">
        <v>1582</v>
      </c>
      <c r="C7" s="1120">
        <v>25.0</v>
      </c>
      <c r="D7" s="1120">
        <v>0.0</v>
      </c>
      <c r="E7" s="1120">
        <v>0.0</v>
      </c>
      <c r="F7" s="1120">
        <v>9.0</v>
      </c>
      <c r="G7" s="1120">
        <v>2.0</v>
      </c>
      <c r="H7" s="1120">
        <v>0.0</v>
      </c>
      <c r="I7" s="1120">
        <v>3.0</v>
      </c>
      <c r="J7" s="1120">
        <v>0.0</v>
      </c>
      <c r="K7" s="1120">
        <v>0.0</v>
      </c>
      <c r="L7" s="1120">
        <v>0.0</v>
      </c>
      <c r="M7" s="1120">
        <v>3.0</v>
      </c>
      <c r="N7" s="1120">
        <v>4.0</v>
      </c>
      <c r="O7" s="1120">
        <v>0.0</v>
      </c>
      <c r="P7" s="1120">
        <v>3.0</v>
      </c>
      <c r="Q7" s="1120">
        <v>1.0</v>
      </c>
      <c r="R7" s="485"/>
      <c r="S7" s="485"/>
    </row>
    <row r="8">
      <c r="A8" s="1131">
        <v>45292.0</v>
      </c>
      <c r="B8" s="485" t="s">
        <v>1583</v>
      </c>
      <c r="C8" s="1120">
        <v>134.0</v>
      </c>
      <c r="D8" s="1120">
        <v>0.0</v>
      </c>
      <c r="E8" s="1120">
        <v>3.0</v>
      </c>
      <c r="F8" s="1120">
        <v>54.0</v>
      </c>
      <c r="G8" s="1120">
        <v>14.0</v>
      </c>
      <c r="H8" s="1120">
        <v>0.0</v>
      </c>
      <c r="I8" s="1120">
        <v>9.0</v>
      </c>
      <c r="J8" s="1120">
        <v>1.0</v>
      </c>
      <c r="K8" s="1120">
        <v>0.0</v>
      </c>
      <c r="L8" s="1120">
        <v>0.0</v>
      </c>
      <c r="M8" s="1120">
        <v>9.0</v>
      </c>
      <c r="N8" s="1120">
        <v>1.0</v>
      </c>
      <c r="O8" s="1120">
        <v>2.0</v>
      </c>
      <c r="P8" s="1120">
        <v>41.0</v>
      </c>
      <c r="Q8" s="1120">
        <v>0.0</v>
      </c>
      <c r="R8" s="485"/>
      <c r="S8" s="485"/>
    </row>
    <row r="9">
      <c r="A9" s="1131">
        <v>45292.0</v>
      </c>
      <c r="B9" s="485" t="s">
        <v>1584</v>
      </c>
      <c r="C9" s="1120">
        <v>18.0</v>
      </c>
      <c r="D9" s="1120">
        <v>1.0</v>
      </c>
      <c r="E9" s="1120">
        <v>1.0</v>
      </c>
      <c r="F9" s="1120">
        <v>6.0</v>
      </c>
      <c r="G9" s="1120">
        <v>1.0</v>
      </c>
      <c r="H9" s="1120">
        <v>0.0</v>
      </c>
      <c r="I9" s="1120">
        <v>0.0</v>
      </c>
      <c r="J9" s="1120">
        <v>0.0</v>
      </c>
      <c r="K9" s="1120">
        <v>0.0</v>
      </c>
      <c r="L9" s="1120">
        <v>0.0</v>
      </c>
      <c r="M9" s="1120">
        <v>0.0</v>
      </c>
      <c r="N9" s="1120">
        <v>2.0</v>
      </c>
      <c r="O9" s="1120">
        <v>0.0</v>
      </c>
      <c r="P9" s="1120">
        <v>7.0</v>
      </c>
      <c r="Q9" s="1120">
        <v>0.0</v>
      </c>
      <c r="R9" s="485"/>
      <c r="S9" s="485"/>
    </row>
    <row r="10">
      <c r="A10" s="1131">
        <v>45292.0</v>
      </c>
      <c r="B10" s="485" t="s">
        <v>1585</v>
      </c>
      <c r="C10" s="1120">
        <v>40.0</v>
      </c>
      <c r="D10" s="1120">
        <v>3.0</v>
      </c>
      <c r="E10" s="1120">
        <v>0.0</v>
      </c>
      <c r="F10" s="1120">
        <v>2.0</v>
      </c>
      <c r="G10" s="1120">
        <v>4.0</v>
      </c>
      <c r="H10" s="1120">
        <v>2.0</v>
      </c>
      <c r="I10" s="1120">
        <v>1.0</v>
      </c>
      <c r="J10" s="1120">
        <v>1.0</v>
      </c>
      <c r="K10" s="1120">
        <v>0.0</v>
      </c>
      <c r="L10" s="1120">
        <v>0.0</v>
      </c>
      <c r="M10" s="1120">
        <v>4.0</v>
      </c>
      <c r="N10" s="1120">
        <v>2.0</v>
      </c>
      <c r="O10" s="1120">
        <v>3.0</v>
      </c>
      <c r="P10" s="1120">
        <v>18.0</v>
      </c>
      <c r="Q10" s="1120">
        <v>0.0</v>
      </c>
      <c r="R10" s="485"/>
      <c r="S10" s="485"/>
    </row>
    <row r="11">
      <c r="A11" s="1131">
        <v>45292.0</v>
      </c>
      <c r="B11" s="485" t="s">
        <v>1586</v>
      </c>
      <c r="C11" s="1120">
        <v>153.0</v>
      </c>
      <c r="D11" s="1120">
        <v>0.0</v>
      </c>
      <c r="E11" s="1120">
        <v>1.0</v>
      </c>
      <c r="F11" s="1120">
        <v>49.0</v>
      </c>
      <c r="G11" s="1120">
        <v>17.0</v>
      </c>
      <c r="H11" s="1120">
        <v>3.0</v>
      </c>
      <c r="I11" s="1120">
        <v>4.0</v>
      </c>
      <c r="J11" s="1120">
        <v>0.0</v>
      </c>
      <c r="K11" s="1120">
        <v>1.0</v>
      </c>
      <c r="L11" s="1120">
        <v>0.0</v>
      </c>
      <c r="M11" s="1120">
        <v>14.0</v>
      </c>
      <c r="N11" s="1120">
        <v>5.0</v>
      </c>
      <c r="O11" s="1120">
        <v>6.0</v>
      </c>
      <c r="P11" s="1120">
        <v>52.0</v>
      </c>
      <c r="Q11" s="1120">
        <v>1.0</v>
      </c>
      <c r="R11" s="485"/>
      <c r="S11" s="485"/>
    </row>
    <row r="12">
      <c r="A12" s="1131">
        <v>45292.0</v>
      </c>
      <c r="B12" s="485" t="s">
        <v>1587</v>
      </c>
      <c r="C12" s="1120">
        <v>357.0</v>
      </c>
      <c r="D12" s="1120">
        <v>7.0</v>
      </c>
      <c r="E12" s="1120">
        <v>0.0</v>
      </c>
      <c r="F12" s="1120">
        <v>111.0</v>
      </c>
      <c r="G12" s="1120">
        <v>46.0</v>
      </c>
      <c r="H12" s="1120">
        <v>33.0</v>
      </c>
      <c r="I12" s="1120">
        <v>20.0</v>
      </c>
      <c r="J12" s="1120">
        <v>3.0</v>
      </c>
      <c r="K12" s="1120">
        <v>0.0</v>
      </c>
      <c r="L12" s="1120">
        <v>0.0</v>
      </c>
      <c r="M12" s="1120">
        <v>13.0</v>
      </c>
      <c r="N12" s="1120">
        <v>31.0</v>
      </c>
      <c r="O12" s="1120">
        <v>10.0</v>
      </c>
      <c r="P12" s="1120">
        <v>82.0</v>
      </c>
      <c r="Q12" s="1120">
        <v>1.0</v>
      </c>
      <c r="R12" s="485"/>
      <c r="S12" s="485"/>
    </row>
    <row r="13">
      <c r="A13" s="1131">
        <v>45292.0</v>
      </c>
      <c r="B13" s="485" t="s">
        <v>546</v>
      </c>
      <c r="C13" s="1120">
        <v>204.0</v>
      </c>
      <c r="D13" s="1120">
        <v>4.0</v>
      </c>
      <c r="E13" s="1120">
        <v>0.0</v>
      </c>
      <c r="F13" s="1120">
        <v>86.0</v>
      </c>
      <c r="G13" s="1120">
        <v>12.0</v>
      </c>
      <c r="H13" s="1120">
        <v>16.0</v>
      </c>
      <c r="I13" s="1120">
        <v>5.0</v>
      </c>
      <c r="J13" s="1120">
        <v>2.0</v>
      </c>
      <c r="K13" s="1120">
        <v>0.0</v>
      </c>
      <c r="L13" s="1120">
        <v>0.0</v>
      </c>
      <c r="M13" s="1120">
        <v>9.0</v>
      </c>
      <c r="N13" s="1120">
        <v>13.0</v>
      </c>
      <c r="O13" s="1120">
        <v>4.0</v>
      </c>
      <c r="P13" s="1120">
        <v>51.0</v>
      </c>
      <c r="Q13" s="1120">
        <v>1.0</v>
      </c>
      <c r="R13" s="485"/>
      <c r="S13" s="485"/>
    </row>
    <row r="14">
      <c r="A14" s="1131">
        <v>45292.0</v>
      </c>
      <c r="B14" s="485" t="s">
        <v>1588</v>
      </c>
      <c r="C14" s="1120">
        <v>187.0</v>
      </c>
      <c r="D14" s="1120">
        <v>2.0</v>
      </c>
      <c r="E14" s="1120">
        <v>0.0</v>
      </c>
      <c r="F14" s="1120">
        <v>73.0</v>
      </c>
      <c r="G14" s="1120">
        <v>25.0</v>
      </c>
      <c r="H14" s="1120">
        <v>12.0</v>
      </c>
      <c r="I14" s="1120">
        <v>10.0</v>
      </c>
      <c r="J14" s="1120">
        <v>3.0</v>
      </c>
      <c r="K14" s="1120">
        <v>1.0</v>
      </c>
      <c r="L14" s="1120">
        <v>0.0</v>
      </c>
      <c r="M14" s="1120">
        <v>6.0</v>
      </c>
      <c r="N14" s="1120">
        <v>4.0</v>
      </c>
      <c r="O14" s="1120">
        <v>8.0</v>
      </c>
      <c r="P14" s="1120">
        <v>41.0</v>
      </c>
      <c r="Q14" s="1120">
        <v>2.0</v>
      </c>
      <c r="R14" s="485"/>
      <c r="S14" s="485"/>
    </row>
    <row r="15">
      <c r="A15" s="1131">
        <v>45292.0</v>
      </c>
      <c r="B15" s="485" t="s">
        <v>1034</v>
      </c>
      <c r="C15" s="1120">
        <v>166.0</v>
      </c>
      <c r="D15" s="1120">
        <v>2.0</v>
      </c>
      <c r="E15" s="1120">
        <v>0.0</v>
      </c>
      <c r="F15" s="1120">
        <v>53.0</v>
      </c>
      <c r="G15" s="1120">
        <v>13.0</v>
      </c>
      <c r="H15" s="1120">
        <v>13.0</v>
      </c>
      <c r="I15" s="1120">
        <v>14.0</v>
      </c>
      <c r="J15" s="1120">
        <v>0.0</v>
      </c>
      <c r="K15" s="1120">
        <v>0.0</v>
      </c>
      <c r="L15" s="1120">
        <v>0.0</v>
      </c>
      <c r="M15" s="1120">
        <v>7.0</v>
      </c>
      <c r="N15" s="1120">
        <v>5.0</v>
      </c>
      <c r="O15" s="1120">
        <v>2.0</v>
      </c>
      <c r="P15" s="1120">
        <v>55.0</v>
      </c>
      <c r="Q15" s="1120">
        <v>1.0</v>
      </c>
      <c r="R15" s="485"/>
      <c r="S15" s="485"/>
    </row>
    <row r="16">
      <c r="A16" s="1131">
        <v>45292.0</v>
      </c>
      <c r="B16" s="485" t="s">
        <v>548</v>
      </c>
      <c r="C16" s="1120">
        <v>3.0</v>
      </c>
      <c r="D16" s="1120">
        <v>0.0</v>
      </c>
      <c r="E16" s="1120">
        <v>0.0</v>
      </c>
      <c r="F16" s="1120">
        <v>1.0</v>
      </c>
      <c r="G16" s="1120">
        <v>1.0</v>
      </c>
      <c r="H16" s="1120">
        <v>0.0</v>
      </c>
      <c r="I16" s="1120">
        <v>0.0</v>
      </c>
      <c r="J16" s="1120">
        <v>0.0</v>
      </c>
      <c r="K16" s="1120">
        <v>0.0</v>
      </c>
      <c r="L16" s="1120">
        <v>0.0</v>
      </c>
      <c r="M16" s="1120">
        <v>0.0</v>
      </c>
      <c r="N16" s="1120">
        <v>1.0</v>
      </c>
      <c r="O16" s="1120">
        <v>0.0</v>
      </c>
      <c r="P16" s="1120">
        <v>0.0</v>
      </c>
      <c r="Q16" s="1120">
        <v>0.0</v>
      </c>
      <c r="R16" s="485"/>
      <c r="S16" s="485"/>
    </row>
    <row r="17">
      <c r="A17" s="1131">
        <v>45292.0</v>
      </c>
      <c r="B17" s="485" t="s">
        <v>1589</v>
      </c>
      <c r="C17" s="1120">
        <v>68.0</v>
      </c>
      <c r="D17" s="1120">
        <v>0.0</v>
      </c>
      <c r="E17" s="1120">
        <v>0.0</v>
      </c>
      <c r="F17" s="1120">
        <v>17.0</v>
      </c>
      <c r="G17" s="1120">
        <v>12.0</v>
      </c>
      <c r="H17" s="1120">
        <v>0.0</v>
      </c>
      <c r="I17" s="1120">
        <v>4.0</v>
      </c>
      <c r="J17" s="1120">
        <v>0.0</v>
      </c>
      <c r="K17" s="1120">
        <v>0.0</v>
      </c>
      <c r="L17" s="1120">
        <v>0.0</v>
      </c>
      <c r="M17" s="1120">
        <v>9.0</v>
      </c>
      <c r="N17" s="1120">
        <v>9.0</v>
      </c>
      <c r="O17" s="1120">
        <v>2.0</v>
      </c>
      <c r="P17" s="1120">
        <v>15.0</v>
      </c>
      <c r="Q17" s="1120">
        <v>0.0</v>
      </c>
      <c r="R17" s="485"/>
      <c r="S17" s="485"/>
    </row>
    <row r="18">
      <c r="A18" s="1131">
        <v>45292.0</v>
      </c>
      <c r="B18" s="485" t="s">
        <v>1590</v>
      </c>
      <c r="C18" s="1120">
        <v>24.0</v>
      </c>
      <c r="D18" s="1120">
        <v>0.0</v>
      </c>
      <c r="E18" s="1120">
        <v>1.0</v>
      </c>
      <c r="F18" s="1120">
        <v>8.0</v>
      </c>
      <c r="G18" s="1120">
        <v>1.0</v>
      </c>
      <c r="H18" s="1120">
        <v>1.0</v>
      </c>
      <c r="I18" s="1120">
        <v>1.0</v>
      </c>
      <c r="J18" s="1120">
        <v>2.0</v>
      </c>
      <c r="K18" s="1120">
        <v>0.0</v>
      </c>
      <c r="L18" s="1120">
        <v>0.0</v>
      </c>
      <c r="M18" s="1120">
        <v>2.0</v>
      </c>
      <c r="N18" s="1120">
        <v>0.0</v>
      </c>
      <c r="O18" s="1120">
        <v>1.0</v>
      </c>
      <c r="P18" s="1120">
        <v>7.0</v>
      </c>
      <c r="Q18" s="1120">
        <v>0.0</v>
      </c>
      <c r="R18" s="485"/>
      <c r="S18" s="485"/>
    </row>
    <row r="19">
      <c r="A19" s="1131">
        <v>45292.0</v>
      </c>
      <c r="B19" s="485" t="s">
        <v>1591</v>
      </c>
      <c r="C19" s="1120">
        <v>193.0</v>
      </c>
      <c r="D19" s="1120">
        <v>8.0</v>
      </c>
      <c r="E19" s="1120">
        <v>0.0</v>
      </c>
      <c r="F19" s="1120">
        <v>53.0</v>
      </c>
      <c r="G19" s="1120">
        <v>12.0</v>
      </c>
      <c r="H19" s="1120">
        <v>16.0</v>
      </c>
      <c r="I19" s="1120">
        <v>3.0</v>
      </c>
      <c r="J19" s="1120">
        <v>5.0</v>
      </c>
      <c r="K19" s="1120">
        <v>1.0</v>
      </c>
      <c r="L19" s="1120">
        <v>0.0</v>
      </c>
      <c r="M19" s="1120">
        <v>20.0</v>
      </c>
      <c r="N19" s="1120">
        <v>14.0</v>
      </c>
      <c r="O19" s="1120">
        <v>6.0</v>
      </c>
      <c r="P19" s="1120">
        <v>45.0</v>
      </c>
      <c r="Q19" s="1120">
        <v>2.0</v>
      </c>
      <c r="R19" s="485"/>
      <c r="S19" s="485"/>
    </row>
    <row r="20">
      <c r="A20" s="1131">
        <v>45292.0</v>
      </c>
      <c r="B20" s="485" t="s">
        <v>552</v>
      </c>
      <c r="C20" s="1120">
        <v>100.0</v>
      </c>
      <c r="D20" s="1120">
        <v>0.0</v>
      </c>
      <c r="E20" s="1120">
        <v>0.0</v>
      </c>
      <c r="F20" s="1120">
        <v>52.0</v>
      </c>
      <c r="G20" s="1120">
        <v>7.0</v>
      </c>
      <c r="H20" s="1120">
        <v>0.0</v>
      </c>
      <c r="I20" s="1120">
        <v>1.0</v>
      </c>
      <c r="J20" s="1120">
        <v>4.0</v>
      </c>
      <c r="K20" s="1120">
        <v>0.0</v>
      </c>
      <c r="L20" s="1120">
        <v>0.0</v>
      </c>
      <c r="M20" s="1120">
        <v>9.0</v>
      </c>
      <c r="N20" s="1120">
        <v>4.0</v>
      </c>
      <c r="O20" s="1120">
        <v>0.0</v>
      </c>
      <c r="P20" s="1120">
        <v>22.0</v>
      </c>
      <c r="Q20" s="1120">
        <v>0.0</v>
      </c>
      <c r="R20" s="485"/>
      <c r="S20" s="485"/>
    </row>
    <row r="21">
      <c r="A21" s="1131">
        <v>45292.0</v>
      </c>
      <c r="B21" s="485" t="s">
        <v>101</v>
      </c>
      <c r="C21" s="1120">
        <v>55.0</v>
      </c>
      <c r="D21" s="1120">
        <v>0.0</v>
      </c>
      <c r="E21" s="1120">
        <v>0.0</v>
      </c>
      <c r="F21" s="1120">
        <v>13.0</v>
      </c>
      <c r="G21" s="1120">
        <v>7.0</v>
      </c>
      <c r="H21" s="1120">
        <v>7.0</v>
      </c>
      <c r="I21" s="1120">
        <v>2.0</v>
      </c>
      <c r="J21" s="1120">
        <v>2.0</v>
      </c>
      <c r="K21" s="1120">
        <v>0.0</v>
      </c>
      <c r="L21" s="1120">
        <v>0.0</v>
      </c>
      <c r="M21" s="1120">
        <v>4.0</v>
      </c>
      <c r="N21" s="1120">
        <v>6.0</v>
      </c>
      <c r="O21" s="1120">
        <v>3.0</v>
      </c>
      <c r="P21" s="1120">
        <v>9.0</v>
      </c>
      <c r="Q21" s="1120">
        <v>0.0</v>
      </c>
      <c r="R21" s="485"/>
      <c r="S21" s="485"/>
    </row>
    <row r="22">
      <c r="A22" s="1131">
        <v>45292.0</v>
      </c>
      <c r="B22" s="485" t="s">
        <v>1592</v>
      </c>
      <c r="C22" s="1120">
        <v>15.0</v>
      </c>
      <c r="D22" s="1120">
        <v>1.0</v>
      </c>
      <c r="E22" s="1120">
        <v>0.0</v>
      </c>
      <c r="F22" s="1120">
        <v>14.0</v>
      </c>
      <c r="G22" s="1120">
        <v>0.0</v>
      </c>
      <c r="H22" s="1120">
        <v>0.0</v>
      </c>
      <c r="I22" s="1120">
        <v>0.0</v>
      </c>
      <c r="J22" s="1120">
        <v>0.0</v>
      </c>
      <c r="K22" s="1120">
        <v>0.0</v>
      </c>
      <c r="L22" s="1120">
        <v>0.0</v>
      </c>
      <c r="M22" s="1120">
        <v>0.0</v>
      </c>
      <c r="N22" s="1120">
        <v>0.0</v>
      </c>
      <c r="O22" s="1120">
        <v>0.0</v>
      </c>
      <c r="P22" s="1120">
        <v>0.0</v>
      </c>
      <c r="Q22" s="1120">
        <v>0.0</v>
      </c>
      <c r="R22" s="485"/>
      <c r="S22" s="485"/>
    </row>
    <row r="23">
      <c r="A23" s="1131">
        <v>45292.0</v>
      </c>
      <c r="B23" s="485" t="s">
        <v>112</v>
      </c>
      <c r="C23" s="1120">
        <v>22.0</v>
      </c>
      <c r="D23" s="1120">
        <v>0.0</v>
      </c>
      <c r="E23" s="1120">
        <v>0.0</v>
      </c>
      <c r="F23" s="1120">
        <v>8.0</v>
      </c>
      <c r="G23" s="1120">
        <v>1.0</v>
      </c>
      <c r="H23" s="1120">
        <v>1.0</v>
      </c>
      <c r="I23" s="1120">
        <v>1.0</v>
      </c>
      <c r="J23" s="1120">
        <v>0.0</v>
      </c>
      <c r="K23" s="1120">
        <v>0.0</v>
      </c>
      <c r="L23" s="1120">
        <v>0.0</v>
      </c>
      <c r="M23" s="1120">
        <v>0.0</v>
      </c>
      <c r="N23" s="1120">
        <v>3.0</v>
      </c>
      <c r="O23" s="1120">
        <v>2.0</v>
      </c>
      <c r="P23" s="1120">
        <v>6.0</v>
      </c>
      <c r="Q23" s="1120">
        <v>0.0</v>
      </c>
      <c r="R23" s="485"/>
      <c r="S23" s="485"/>
    </row>
    <row r="24">
      <c r="A24" s="1131">
        <v>45292.0</v>
      </c>
      <c r="B24" s="485" t="s">
        <v>257</v>
      </c>
      <c r="C24" s="1120">
        <v>223.0</v>
      </c>
      <c r="D24" s="1120">
        <v>5.0</v>
      </c>
      <c r="E24" s="1120">
        <v>0.0</v>
      </c>
      <c r="F24" s="1120">
        <v>87.0</v>
      </c>
      <c r="G24" s="1120">
        <v>20.0</v>
      </c>
      <c r="H24" s="1120">
        <v>9.0</v>
      </c>
      <c r="I24" s="1120">
        <v>5.0</v>
      </c>
      <c r="J24" s="1120">
        <v>4.0</v>
      </c>
      <c r="K24" s="1120">
        <v>1.0</v>
      </c>
      <c r="L24" s="1120">
        <v>0.0</v>
      </c>
      <c r="M24" s="1120">
        <v>5.0</v>
      </c>
      <c r="N24" s="1120">
        <v>17.0</v>
      </c>
      <c r="O24" s="1120">
        <v>0.0</v>
      </c>
      <c r="P24" s="1120">
        <v>70.0</v>
      </c>
      <c r="Q24" s="1120">
        <v>0.0</v>
      </c>
      <c r="R24" s="485"/>
      <c r="S24" s="485"/>
    </row>
    <row r="25">
      <c r="A25" s="1131">
        <v>45292.0</v>
      </c>
      <c r="B25" s="485" t="s">
        <v>1593</v>
      </c>
      <c r="C25" s="1120">
        <v>98.0</v>
      </c>
      <c r="D25" s="1120">
        <v>2.0</v>
      </c>
      <c r="E25" s="1120">
        <v>0.0</v>
      </c>
      <c r="F25" s="1120">
        <v>27.0</v>
      </c>
      <c r="G25" s="1120">
        <v>4.0</v>
      </c>
      <c r="H25" s="1120">
        <v>5.0</v>
      </c>
      <c r="I25" s="1120">
        <v>6.0</v>
      </c>
      <c r="J25" s="1120">
        <v>0.0</v>
      </c>
      <c r="K25" s="1120">
        <v>0.0</v>
      </c>
      <c r="L25" s="1120">
        <v>0.0</v>
      </c>
      <c r="M25" s="1120">
        <v>13.0</v>
      </c>
      <c r="N25" s="1120">
        <v>1.0</v>
      </c>
      <c r="O25" s="1120">
        <v>2.0</v>
      </c>
      <c r="P25" s="1120">
        <v>34.0</v>
      </c>
      <c r="Q25" s="1120">
        <v>4.0</v>
      </c>
      <c r="R25" s="485"/>
      <c r="S25" s="485"/>
    </row>
    <row r="26">
      <c r="A26" s="1131">
        <v>45292.0</v>
      </c>
      <c r="B26" s="485" t="s">
        <v>1594</v>
      </c>
      <c r="C26" s="1120">
        <v>125.0</v>
      </c>
      <c r="D26" s="1120">
        <v>0.0</v>
      </c>
      <c r="E26" s="1120">
        <v>0.0</v>
      </c>
      <c r="F26" s="1120">
        <v>54.0</v>
      </c>
      <c r="G26" s="1120">
        <v>17.0</v>
      </c>
      <c r="H26" s="1120">
        <v>2.0</v>
      </c>
      <c r="I26" s="1120">
        <v>8.0</v>
      </c>
      <c r="J26" s="1120">
        <v>0.0</v>
      </c>
      <c r="K26" s="1120">
        <v>0.0</v>
      </c>
      <c r="L26" s="1120">
        <v>0.0</v>
      </c>
      <c r="M26" s="1120">
        <v>12.0</v>
      </c>
      <c r="N26" s="1120">
        <v>10.0</v>
      </c>
      <c r="O26" s="1120">
        <v>0.0</v>
      </c>
      <c r="P26" s="1120">
        <v>20.0</v>
      </c>
      <c r="Q26" s="1120">
        <v>2.0</v>
      </c>
      <c r="R26" s="485"/>
      <c r="S26" s="485"/>
    </row>
    <row r="27">
      <c r="A27" s="1131">
        <v>45292.0</v>
      </c>
      <c r="B27" s="485" t="s">
        <v>713</v>
      </c>
      <c r="C27" s="1120">
        <v>484.0</v>
      </c>
      <c r="D27" s="1120">
        <v>1.0</v>
      </c>
      <c r="E27" s="1120">
        <v>1.0</v>
      </c>
      <c r="F27" s="1120">
        <v>139.0</v>
      </c>
      <c r="G27" s="1120">
        <v>43.0</v>
      </c>
      <c r="H27" s="1120">
        <v>36.0</v>
      </c>
      <c r="I27" s="1120">
        <v>24.0</v>
      </c>
      <c r="J27" s="1120">
        <v>5.0</v>
      </c>
      <c r="K27" s="1120">
        <v>6.0</v>
      </c>
      <c r="L27" s="1120">
        <v>0.0</v>
      </c>
      <c r="M27" s="1120">
        <v>34.0</v>
      </c>
      <c r="N27" s="1120">
        <v>47.0</v>
      </c>
      <c r="O27" s="1120">
        <v>24.0</v>
      </c>
      <c r="P27" s="1120">
        <v>118.0</v>
      </c>
      <c r="Q27" s="1120">
        <v>3.0</v>
      </c>
      <c r="R27" s="485"/>
      <c r="S27" s="485"/>
    </row>
    <row r="28">
      <c r="A28" s="1131">
        <v>45292.0</v>
      </c>
      <c r="B28" s="485" t="s">
        <v>1595</v>
      </c>
      <c r="C28" s="1120">
        <v>14.0</v>
      </c>
      <c r="D28" s="1120">
        <v>1.0</v>
      </c>
      <c r="E28" s="1120">
        <v>0.0</v>
      </c>
      <c r="F28" s="1120">
        <v>5.0</v>
      </c>
      <c r="G28" s="1120">
        <v>0.0</v>
      </c>
      <c r="H28" s="1120">
        <v>0.0</v>
      </c>
      <c r="I28" s="1120">
        <v>0.0</v>
      </c>
      <c r="J28" s="1120">
        <v>0.0</v>
      </c>
      <c r="K28" s="1120">
        <v>0.0</v>
      </c>
      <c r="L28" s="1120">
        <v>0.0</v>
      </c>
      <c r="M28" s="1120">
        <v>1.0</v>
      </c>
      <c r="N28" s="1120">
        <v>2.0</v>
      </c>
      <c r="O28" s="1120">
        <v>0.0</v>
      </c>
      <c r="P28" s="1120">
        <v>5.0</v>
      </c>
      <c r="Q28" s="1120">
        <v>0.0</v>
      </c>
      <c r="R28" s="485"/>
      <c r="S28" s="485"/>
    </row>
    <row r="29">
      <c r="A29" s="1131">
        <v>45292.0</v>
      </c>
      <c r="B29" s="485" t="s">
        <v>1596</v>
      </c>
      <c r="C29" s="1120">
        <v>35.0</v>
      </c>
      <c r="D29" s="1120">
        <v>0.0</v>
      </c>
      <c r="E29" s="1120">
        <v>0.0</v>
      </c>
      <c r="F29" s="1120">
        <v>16.0</v>
      </c>
      <c r="G29" s="1120">
        <v>1.0</v>
      </c>
      <c r="H29" s="1120">
        <v>0.0</v>
      </c>
      <c r="I29" s="1120">
        <v>0.0</v>
      </c>
      <c r="J29" s="1120">
        <v>0.0</v>
      </c>
      <c r="K29" s="1120">
        <v>1.0</v>
      </c>
      <c r="L29" s="1120">
        <v>0.0</v>
      </c>
      <c r="M29" s="1120">
        <v>3.0</v>
      </c>
      <c r="N29" s="1120">
        <v>1.0</v>
      </c>
      <c r="O29" s="1120">
        <v>3.0</v>
      </c>
      <c r="P29" s="1120">
        <v>10.0</v>
      </c>
      <c r="Q29" s="1120">
        <v>0.0</v>
      </c>
      <c r="R29" s="485"/>
      <c r="S29" s="485"/>
    </row>
    <row r="30">
      <c r="A30" s="1131">
        <v>45292.0</v>
      </c>
      <c r="B30" s="485" t="s">
        <v>570</v>
      </c>
      <c r="C30" s="1120">
        <v>164.0</v>
      </c>
      <c r="D30" s="1120">
        <v>6.0</v>
      </c>
      <c r="E30" s="1120">
        <v>0.0</v>
      </c>
      <c r="F30" s="1120">
        <v>83.0</v>
      </c>
      <c r="G30" s="1120">
        <v>25.0</v>
      </c>
      <c r="H30" s="1120">
        <v>2.0</v>
      </c>
      <c r="I30" s="1120">
        <v>11.0</v>
      </c>
      <c r="J30" s="1120">
        <v>3.0</v>
      </c>
      <c r="K30" s="1120">
        <v>1.0</v>
      </c>
      <c r="L30" s="1120">
        <v>0.0</v>
      </c>
      <c r="M30" s="1120">
        <v>3.0</v>
      </c>
      <c r="N30" s="1120">
        <v>7.0</v>
      </c>
      <c r="O30" s="1120">
        <v>4.0</v>
      </c>
      <c r="P30" s="1120">
        <v>17.0</v>
      </c>
      <c r="Q30" s="1120">
        <v>2.0</v>
      </c>
      <c r="R30" s="485"/>
      <c r="S30" s="485"/>
    </row>
    <row r="31">
      <c r="A31" s="1131">
        <v>45292.0</v>
      </c>
      <c r="B31" s="485" t="s">
        <v>1597</v>
      </c>
      <c r="C31" s="1120">
        <v>42.0</v>
      </c>
      <c r="D31" s="1120">
        <v>0.0</v>
      </c>
      <c r="E31" s="1120">
        <v>0.0</v>
      </c>
      <c r="F31" s="1120">
        <v>22.0</v>
      </c>
      <c r="G31" s="1120">
        <v>2.0</v>
      </c>
      <c r="H31" s="1120">
        <v>2.0</v>
      </c>
      <c r="I31" s="1120">
        <v>2.0</v>
      </c>
      <c r="J31" s="1120">
        <v>0.0</v>
      </c>
      <c r="K31" s="1120">
        <v>0.0</v>
      </c>
      <c r="L31" s="1120">
        <v>0.0</v>
      </c>
      <c r="M31" s="1120">
        <v>3.0</v>
      </c>
      <c r="N31" s="1120">
        <v>2.0</v>
      </c>
      <c r="O31" s="1120">
        <v>2.0</v>
      </c>
      <c r="P31" s="1120">
        <v>7.0</v>
      </c>
      <c r="Q31" s="1120">
        <v>0.0</v>
      </c>
      <c r="R31" s="485"/>
      <c r="S31" s="485"/>
    </row>
    <row r="32">
      <c r="A32" s="1131">
        <v>45292.0</v>
      </c>
      <c r="B32" s="485" t="s">
        <v>1598</v>
      </c>
      <c r="C32" s="1120">
        <v>21.0</v>
      </c>
      <c r="D32" s="1120">
        <v>0.0</v>
      </c>
      <c r="E32" s="1120">
        <v>0.0</v>
      </c>
      <c r="F32" s="1120">
        <v>4.0</v>
      </c>
      <c r="G32" s="1120">
        <v>1.0</v>
      </c>
      <c r="H32" s="1120">
        <v>3.0</v>
      </c>
      <c r="I32" s="1120">
        <v>6.0</v>
      </c>
      <c r="J32" s="1120">
        <v>1.0</v>
      </c>
      <c r="K32" s="1120">
        <v>0.0</v>
      </c>
      <c r="L32" s="1120">
        <v>0.0</v>
      </c>
      <c r="M32" s="1120">
        <v>2.0</v>
      </c>
      <c r="N32" s="1120">
        <v>1.0</v>
      </c>
      <c r="O32" s="1120">
        <v>1.0</v>
      </c>
      <c r="P32" s="1120">
        <v>2.0</v>
      </c>
      <c r="Q32" s="1120">
        <v>0.0</v>
      </c>
      <c r="R32" s="485"/>
      <c r="S32" s="485"/>
    </row>
    <row r="33">
      <c r="A33" s="1131">
        <v>45292.0</v>
      </c>
      <c r="B33" s="485" t="s">
        <v>1599</v>
      </c>
      <c r="C33" s="1120">
        <v>273.0</v>
      </c>
      <c r="D33" s="1120">
        <v>8.0</v>
      </c>
      <c r="E33" s="1120">
        <v>8.0</v>
      </c>
      <c r="F33" s="1120">
        <v>79.0</v>
      </c>
      <c r="G33" s="1120">
        <v>37.0</v>
      </c>
      <c r="H33" s="1120">
        <v>8.0</v>
      </c>
      <c r="I33" s="1120">
        <v>6.0</v>
      </c>
      <c r="J33" s="1120">
        <v>6.0</v>
      </c>
      <c r="K33" s="1120">
        <v>4.0</v>
      </c>
      <c r="L33" s="1120">
        <v>0.0</v>
      </c>
      <c r="M33" s="1120">
        <v>1.0</v>
      </c>
      <c r="N33" s="1120">
        <v>23.0</v>
      </c>
      <c r="O33" s="1120">
        <v>4.0</v>
      </c>
      <c r="P33" s="1120">
        <v>82.0</v>
      </c>
      <c r="Q33" s="1120">
        <v>5.0</v>
      </c>
      <c r="R33" s="485"/>
      <c r="S33" s="485"/>
    </row>
    <row r="34">
      <c r="A34" s="1131">
        <v>45292.0</v>
      </c>
      <c r="B34" s="485" t="s">
        <v>1600</v>
      </c>
      <c r="C34" s="1120">
        <v>48.0</v>
      </c>
      <c r="D34" s="1120">
        <v>0.0</v>
      </c>
      <c r="E34" s="1120">
        <v>0.0</v>
      </c>
      <c r="F34" s="1120">
        <v>15.0</v>
      </c>
      <c r="G34" s="1120">
        <v>1.0</v>
      </c>
      <c r="H34" s="1120">
        <v>1.0</v>
      </c>
      <c r="I34" s="1120">
        <v>1.0</v>
      </c>
      <c r="J34" s="1120">
        <v>2.0</v>
      </c>
      <c r="K34" s="1120">
        <v>0.0</v>
      </c>
      <c r="L34" s="1120">
        <v>0.0</v>
      </c>
      <c r="M34" s="1120">
        <v>3.0</v>
      </c>
      <c r="N34" s="1120">
        <v>1.0</v>
      </c>
      <c r="O34" s="1120">
        <v>0.0</v>
      </c>
      <c r="P34" s="1120">
        <v>18.0</v>
      </c>
      <c r="Q34" s="1120">
        <v>0.0</v>
      </c>
      <c r="R34" s="485"/>
      <c r="S34" s="485"/>
    </row>
    <row r="35">
      <c r="A35" s="1131">
        <v>45292.0</v>
      </c>
      <c r="B35" s="485" t="s">
        <v>576</v>
      </c>
      <c r="C35" s="1120">
        <v>239.0</v>
      </c>
      <c r="D35" s="1120">
        <v>4.0</v>
      </c>
      <c r="E35" s="1120">
        <v>0.0</v>
      </c>
      <c r="F35" s="1120">
        <v>103.0</v>
      </c>
      <c r="G35" s="1120">
        <v>35.0</v>
      </c>
      <c r="H35" s="1120">
        <v>20.0</v>
      </c>
      <c r="I35" s="1120">
        <v>13.0</v>
      </c>
      <c r="J35" s="1120">
        <v>6.0</v>
      </c>
      <c r="K35" s="1120">
        <v>0.0</v>
      </c>
      <c r="L35" s="1120">
        <v>0.0</v>
      </c>
      <c r="M35" s="1120">
        <v>7.0</v>
      </c>
      <c r="N35" s="1120">
        <v>13.0</v>
      </c>
      <c r="O35" s="1120">
        <v>3.0</v>
      </c>
      <c r="P35" s="1120">
        <v>30.0</v>
      </c>
      <c r="Q35" s="1120">
        <v>0.0</v>
      </c>
      <c r="R35" s="485"/>
      <c r="S35" s="485"/>
    </row>
    <row r="36">
      <c r="A36" s="1131">
        <v>45292.0</v>
      </c>
      <c r="B36" s="485" t="s">
        <v>136</v>
      </c>
      <c r="C36" s="1120">
        <v>51.0</v>
      </c>
      <c r="D36" s="1120">
        <v>0.0</v>
      </c>
      <c r="E36" s="1120">
        <v>0.0</v>
      </c>
      <c r="F36" s="1120">
        <v>21.0</v>
      </c>
      <c r="G36" s="1120">
        <v>6.0</v>
      </c>
      <c r="H36" s="1120">
        <v>2.0</v>
      </c>
      <c r="I36" s="1120">
        <v>2.0</v>
      </c>
      <c r="J36" s="1120">
        <v>0.0</v>
      </c>
      <c r="K36" s="1120">
        <v>0.0</v>
      </c>
      <c r="L36" s="1120">
        <v>0.0</v>
      </c>
      <c r="M36" s="1120">
        <v>4.0</v>
      </c>
      <c r="N36" s="1120">
        <v>1.0</v>
      </c>
      <c r="O36" s="1120">
        <v>1.0</v>
      </c>
      <c r="P36" s="1120">
        <v>13.0</v>
      </c>
      <c r="Q36" s="1120">
        <v>0.0</v>
      </c>
      <c r="R36" s="485"/>
      <c r="S36" s="485"/>
    </row>
    <row r="37">
      <c r="A37" s="1131">
        <v>45292.0</v>
      </c>
      <c r="B37" s="485" t="s">
        <v>1601</v>
      </c>
      <c r="C37" s="1120">
        <v>409.0</v>
      </c>
      <c r="D37" s="1120">
        <v>0.0</v>
      </c>
      <c r="E37" s="1120">
        <v>0.0</v>
      </c>
      <c r="F37" s="1120">
        <v>193.0</v>
      </c>
      <c r="G37" s="1120">
        <v>66.0</v>
      </c>
      <c r="H37" s="1120">
        <v>16.0</v>
      </c>
      <c r="I37" s="1120">
        <v>26.0</v>
      </c>
      <c r="J37" s="1120">
        <v>5.0</v>
      </c>
      <c r="K37" s="1120">
        <v>1.0</v>
      </c>
      <c r="L37" s="1120">
        <v>0.0</v>
      </c>
      <c r="M37" s="1120">
        <v>7.0</v>
      </c>
      <c r="N37" s="1120">
        <v>27.0</v>
      </c>
      <c r="O37" s="1120">
        <v>13.0</v>
      </c>
      <c r="P37" s="1120">
        <v>48.0</v>
      </c>
      <c r="Q37" s="1120">
        <v>6.0</v>
      </c>
      <c r="R37" s="485"/>
      <c r="S37" s="485"/>
    </row>
    <row r="38">
      <c r="A38" s="1131">
        <v>45292.0</v>
      </c>
      <c r="B38" s="485" t="s">
        <v>1602</v>
      </c>
      <c r="C38" s="1120">
        <v>3.0</v>
      </c>
      <c r="D38" s="1120">
        <v>0.0</v>
      </c>
      <c r="E38" s="1120">
        <v>0.0</v>
      </c>
      <c r="F38" s="1120">
        <v>0.0</v>
      </c>
      <c r="G38" s="1120">
        <v>0.0</v>
      </c>
      <c r="H38" s="1120">
        <v>0.0</v>
      </c>
      <c r="I38" s="1120">
        <v>0.0</v>
      </c>
      <c r="J38" s="1120">
        <v>0.0</v>
      </c>
      <c r="K38" s="1120">
        <v>0.0</v>
      </c>
      <c r="L38" s="1120">
        <v>0.0</v>
      </c>
      <c r="M38" s="1120">
        <v>0.0</v>
      </c>
      <c r="N38" s="1120">
        <v>0.0</v>
      </c>
      <c r="O38" s="1120">
        <v>0.0</v>
      </c>
      <c r="P38" s="1120">
        <v>3.0</v>
      </c>
      <c r="Q38" s="1120">
        <v>0.0</v>
      </c>
      <c r="R38" s="485"/>
      <c r="S38" s="485"/>
    </row>
    <row r="39">
      <c r="A39" s="1131">
        <v>45292.0</v>
      </c>
      <c r="B39" s="485" t="s">
        <v>224</v>
      </c>
      <c r="C39" s="1120">
        <v>30.0</v>
      </c>
      <c r="D39" s="1120">
        <v>2.0</v>
      </c>
      <c r="E39" s="1120">
        <v>0.0</v>
      </c>
      <c r="F39" s="1120">
        <v>7.0</v>
      </c>
      <c r="G39" s="1120">
        <v>5.0</v>
      </c>
      <c r="H39" s="1120">
        <v>1.0</v>
      </c>
      <c r="I39" s="1120">
        <v>1.0</v>
      </c>
      <c r="J39" s="1120">
        <v>0.0</v>
      </c>
      <c r="K39" s="1120">
        <v>0.0</v>
      </c>
      <c r="L39" s="1120">
        <v>0.0</v>
      </c>
      <c r="M39" s="1120">
        <v>3.0</v>
      </c>
      <c r="N39" s="1120">
        <v>2.0</v>
      </c>
      <c r="O39" s="1120">
        <v>5.0</v>
      </c>
      <c r="P39" s="1120">
        <v>4.0</v>
      </c>
      <c r="Q39" s="1120">
        <v>0.0</v>
      </c>
      <c r="R39" s="485"/>
      <c r="S39" s="485"/>
    </row>
    <row r="40">
      <c r="A40" s="1131">
        <v>45292.0</v>
      </c>
      <c r="B40" s="485" t="s">
        <v>1603</v>
      </c>
      <c r="C40" s="1120">
        <v>29.0</v>
      </c>
      <c r="D40" s="1120">
        <v>0.0</v>
      </c>
      <c r="E40" s="1120">
        <v>0.0</v>
      </c>
      <c r="F40" s="1120">
        <v>10.0</v>
      </c>
      <c r="G40" s="1120">
        <v>1.0</v>
      </c>
      <c r="H40" s="1120">
        <v>6.0</v>
      </c>
      <c r="I40" s="1120">
        <v>4.0</v>
      </c>
      <c r="J40" s="1120">
        <v>1.0</v>
      </c>
      <c r="K40" s="1120">
        <v>1.0</v>
      </c>
      <c r="L40" s="1120">
        <v>0.0</v>
      </c>
      <c r="M40" s="1120">
        <v>0.0</v>
      </c>
      <c r="N40" s="1120">
        <v>0.0</v>
      </c>
      <c r="O40" s="1120">
        <v>0.0</v>
      </c>
      <c r="P40" s="1120">
        <v>4.0</v>
      </c>
      <c r="Q40" s="1120">
        <v>1.0</v>
      </c>
      <c r="R40" s="485"/>
      <c r="S40" s="485"/>
    </row>
    <row r="41">
      <c r="A41" s="1131">
        <v>45292.0</v>
      </c>
      <c r="B41" s="485" t="s">
        <v>138</v>
      </c>
      <c r="C41" s="1120">
        <v>41.0</v>
      </c>
      <c r="D41" s="1120">
        <v>1.0</v>
      </c>
      <c r="E41" s="1120">
        <v>0.0</v>
      </c>
      <c r="F41" s="1120">
        <v>11.0</v>
      </c>
      <c r="G41" s="1120">
        <v>4.0</v>
      </c>
      <c r="H41" s="1120">
        <v>1.0</v>
      </c>
      <c r="I41" s="1120">
        <v>0.0</v>
      </c>
      <c r="J41" s="1120">
        <v>0.0</v>
      </c>
      <c r="K41" s="1120">
        <v>0.0</v>
      </c>
      <c r="L41" s="1120">
        <v>0.0</v>
      </c>
      <c r="M41" s="1120">
        <v>0.0</v>
      </c>
      <c r="N41" s="1120">
        <v>3.0</v>
      </c>
      <c r="O41" s="1120">
        <v>0.0</v>
      </c>
      <c r="P41" s="1120">
        <v>20.0</v>
      </c>
      <c r="Q41" s="1120">
        <v>0.0</v>
      </c>
      <c r="R41" s="485"/>
      <c r="S41" s="485"/>
    </row>
    <row r="42">
      <c r="A42" s="1131">
        <v>45292.0</v>
      </c>
      <c r="B42" s="485" t="s">
        <v>1604</v>
      </c>
      <c r="C42" s="1120">
        <v>604.0</v>
      </c>
      <c r="D42" s="1120">
        <v>0.0</v>
      </c>
      <c r="E42" s="1120">
        <v>0.0</v>
      </c>
      <c r="F42" s="1120">
        <v>314.0</v>
      </c>
      <c r="G42" s="1120">
        <v>40.0</v>
      </c>
      <c r="H42" s="1120">
        <v>55.0</v>
      </c>
      <c r="I42" s="1120">
        <v>19.0</v>
      </c>
      <c r="J42" s="1120">
        <v>11.0</v>
      </c>
      <c r="K42" s="1120">
        <v>3.0</v>
      </c>
      <c r="L42" s="1120">
        <v>0.0</v>
      </c>
      <c r="M42" s="1120">
        <v>52.0</v>
      </c>
      <c r="N42" s="1120">
        <v>21.0</v>
      </c>
      <c r="O42" s="1120">
        <v>16.0</v>
      </c>
      <c r="P42" s="1120">
        <v>54.0</v>
      </c>
      <c r="Q42" s="1120">
        <v>6.0</v>
      </c>
      <c r="R42" s="485"/>
      <c r="S42" s="485"/>
    </row>
    <row r="43">
      <c r="A43" s="1131">
        <v>45292.0</v>
      </c>
      <c r="B43" s="485" t="s">
        <v>1605</v>
      </c>
      <c r="C43" s="1120">
        <v>34.0</v>
      </c>
      <c r="D43" s="1120">
        <v>0.0</v>
      </c>
      <c r="E43" s="1120">
        <v>0.0</v>
      </c>
      <c r="F43" s="1120">
        <v>14.0</v>
      </c>
      <c r="G43" s="1120">
        <v>0.0</v>
      </c>
      <c r="H43" s="1120">
        <v>2.0</v>
      </c>
      <c r="I43" s="1120">
        <v>1.0</v>
      </c>
      <c r="J43" s="1120">
        <v>0.0</v>
      </c>
      <c r="K43" s="1120">
        <v>0.0</v>
      </c>
      <c r="L43" s="1120">
        <v>0.0</v>
      </c>
      <c r="M43" s="1120">
        <v>9.0</v>
      </c>
      <c r="N43" s="1120">
        <v>6.0</v>
      </c>
      <c r="O43" s="1120">
        <v>0.0</v>
      </c>
      <c r="P43" s="1120">
        <v>2.0</v>
      </c>
      <c r="Q43" s="1120">
        <v>0.0</v>
      </c>
      <c r="R43" s="485"/>
      <c r="S43" s="485"/>
    </row>
    <row r="44">
      <c r="A44" s="1131">
        <v>45292.0</v>
      </c>
      <c r="B44" s="485" t="s">
        <v>1606</v>
      </c>
      <c r="C44" s="1120">
        <v>225.0</v>
      </c>
      <c r="D44" s="1120">
        <v>3.0</v>
      </c>
      <c r="E44" s="1120">
        <v>0.0</v>
      </c>
      <c r="F44" s="1120">
        <v>77.0</v>
      </c>
      <c r="G44" s="1120">
        <v>36.0</v>
      </c>
      <c r="H44" s="1120">
        <v>10.0</v>
      </c>
      <c r="I44" s="1120">
        <v>12.0</v>
      </c>
      <c r="J44" s="1120">
        <v>4.0</v>
      </c>
      <c r="K44" s="1120">
        <v>0.0</v>
      </c>
      <c r="L44" s="1120">
        <v>0.0</v>
      </c>
      <c r="M44" s="1120">
        <v>9.0</v>
      </c>
      <c r="N44" s="1120">
        <v>8.0</v>
      </c>
      <c r="O44" s="1120">
        <v>2.0</v>
      </c>
      <c r="P44" s="1120">
        <v>61.0</v>
      </c>
      <c r="Q44" s="1120">
        <v>1.0</v>
      </c>
      <c r="R44" s="485"/>
      <c r="S44" s="485"/>
    </row>
    <row r="45">
      <c r="A45" s="1131">
        <v>45292.0</v>
      </c>
      <c r="B45" s="485" t="s">
        <v>1607</v>
      </c>
      <c r="C45" s="1120">
        <v>133.0</v>
      </c>
      <c r="D45" s="1120">
        <v>0.0</v>
      </c>
      <c r="E45" s="1120">
        <v>0.0</v>
      </c>
      <c r="F45" s="1120">
        <v>39.0</v>
      </c>
      <c r="G45" s="1120">
        <v>22.0</v>
      </c>
      <c r="H45" s="1120">
        <v>17.0</v>
      </c>
      <c r="I45" s="1120">
        <v>21.0</v>
      </c>
      <c r="J45" s="1120">
        <v>0.0</v>
      </c>
      <c r="K45" s="1120">
        <v>0.0</v>
      </c>
      <c r="L45" s="1120">
        <v>0.0</v>
      </c>
      <c r="M45" s="1120">
        <v>5.0</v>
      </c>
      <c r="N45" s="1120">
        <v>8.0</v>
      </c>
      <c r="O45" s="1120">
        <v>5.0</v>
      </c>
      <c r="P45" s="1120">
        <v>16.0</v>
      </c>
      <c r="Q45" s="1120">
        <v>0.0</v>
      </c>
      <c r="R45" s="485"/>
      <c r="S45" s="485"/>
    </row>
    <row r="46">
      <c r="A46" s="1131">
        <v>45292.0</v>
      </c>
      <c r="B46" s="485" t="s">
        <v>722</v>
      </c>
      <c r="C46" s="1120">
        <v>122.0</v>
      </c>
      <c r="D46" s="1120">
        <v>5.0</v>
      </c>
      <c r="E46" s="1120">
        <v>0.0</v>
      </c>
      <c r="F46" s="1120">
        <v>43.0</v>
      </c>
      <c r="G46" s="1120">
        <v>15.0</v>
      </c>
      <c r="H46" s="1120">
        <v>1.0</v>
      </c>
      <c r="I46" s="1120">
        <v>8.0</v>
      </c>
      <c r="J46" s="1120">
        <v>2.0</v>
      </c>
      <c r="K46" s="1120">
        <v>0.0</v>
      </c>
      <c r="L46" s="1120">
        <v>0.0</v>
      </c>
      <c r="M46" s="1120">
        <v>9.0</v>
      </c>
      <c r="N46" s="1120">
        <v>12.0</v>
      </c>
      <c r="O46" s="1120">
        <v>1.0</v>
      </c>
      <c r="P46" s="1120">
        <v>25.0</v>
      </c>
      <c r="Q46" s="1120">
        <v>1.0</v>
      </c>
      <c r="R46" s="485"/>
      <c r="S46" s="485"/>
    </row>
    <row r="47">
      <c r="A47" s="1131">
        <v>45292.0</v>
      </c>
      <c r="B47" s="485" t="s">
        <v>1608</v>
      </c>
      <c r="C47" s="1120">
        <v>5.0</v>
      </c>
      <c r="D47" s="1120">
        <v>0.0</v>
      </c>
      <c r="E47" s="1120">
        <v>0.0</v>
      </c>
      <c r="F47" s="1120">
        <v>2.0</v>
      </c>
      <c r="G47" s="1120">
        <v>0.0</v>
      </c>
      <c r="H47" s="1120">
        <v>0.0</v>
      </c>
      <c r="I47" s="1120">
        <v>1.0</v>
      </c>
      <c r="J47" s="1120">
        <v>0.0</v>
      </c>
      <c r="K47" s="1120">
        <v>0.0</v>
      </c>
      <c r="L47" s="1120">
        <v>0.0</v>
      </c>
      <c r="M47" s="1120">
        <v>0.0</v>
      </c>
      <c r="N47" s="1120">
        <v>2.0</v>
      </c>
      <c r="O47" s="1120">
        <v>0.0</v>
      </c>
      <c r="P47" s="1120">
        <v>0.0</v>
      </c>
      <c r="Q47" s="1120">
        <v>0.0</v>
      </c>
      <c r="R47" s="485"/>
      <c r="S47" s="485"/>
    </row>
    <row r="48">
      <c r="A48" s="1131">
        <v>45292.0</v>
      </c>
      <c r="B48" s="485" t="s">
        <v>1609</v>
      </c>
      <c r="C48" s="1120">
        <v>71.0</v>
      </c>
      <c r="D48" s="1120">
        <v>0.0</v>
      </c>
      <c r="E48" s="1120">
        <v>0.0</v>
      </c>
      <c r="F48" s="1120">
        <v>8.0</v>
      </c>
      <c r="G48" s="1120">
        <v>7.0</v>
      </c>
      <c r="H48" s="1120">
        <v>3.0</v>
      </c>
      <c r="I48" s="1120">
        <v>3.0</v>
      </c>
      <c r="J48" s="1120">
        <v>2.0</v>
      </c>
      <c r="K48" s="1120">
        <v>0.0</v>
      </c>
      <c r="L48" s="1120">
        <v>0.0</v>
      </c>
      <c r="M48" s="1120">
        <v>3.0</v>
      </c>
      <c r="N48" s="1120">
        <v>2.0</v>
      </c>
      <c r="O48" s="1120">
        <v>7.0</v>
      </c>
      <c r="P48" s="1120">
        <v>36.0</v>
      </c>
      <c r="Q48" s="1120">
        <v>0.0</v>
      </c>
      <c r="R48" s="485"/>
      <c r="S48" s="485"/>
    </row>
    <row r="49">
      <c r="A49" s="1131">
        <v>45292.0</v>
      </c>
      <c r="B49" s="485" t="s">
        <v>1610</v>
      </c>
      <c r="C49" s="1120">
        <v>6.0</v>
      </c>
      <c r="D49" s="1120">
        <v>0.0</v>
      </c>
      <c r="E49" s="1120">
        <v>0.0</v>
      </c>
      <c r="F49" s="1120">
        <v>0.0</v>
      </c>
      <c r="G49" s="1120">
        <v>1.0</v>
      </c>
      <c r="H49" s="1120">
        <v>0.0</v>
      </c>
      <c r="I49" s="1120">
        <v>0.0</v>
      </c>
      <c r="J49" s="1120">
        <v>1.0</v>
      </c>
      <c r="K49" s="1120">
        <v>0.0</v>
      </c>
      <c r="L49" s="1120">
        <v>0.0</v>
      </c>
      <c r="M49" s="1120">
        <v>0.0</v>
      </c>
      <c r="N49" s="1120">
        <v>1.0</v>
      </c>
      <c r="O49" s="1120">
        <v>0.0</v>
      </c>
      <c r="P49" s="1120">
        <v>3.0</v>
      </c>
      <c r="Q49" s="1120">
        <v>0.0</v>
      </c>
      <c r="R49" s="485"/>
      <c r="S49" s="485"/>
    </row>
    <row r="50">
      <c r="A50" s="1131">
        <v>45292.0</v>
      </c>
      <c r="B50" s="485" t="s">
        <v>1611</v>
      </c>
      <c r="C50" s="1120">
        <v>120.0</v>
      </c>
      <c r="D50" s="1120">
        <v>5.0</v>
      </c>
      <c r="E50" s="1120">
        <v>0.0</v>
      </c>
      <c r="F50" s="1120">
        <v>56.0</v>
      </c>
      <c r="G50" s="1120">
        <v>10.0</v>
      </c>
      <c r="H50" s="1120">
        <v>1.0</v>
      </c>
      <c r="I50" s="1120">
        <v>4.0</v>
      </c>
      <c r="J50" s="1120">
        <v>0.0</v>
      </c>
      <c r="K50" s="1120">
        <v>0.0</v>
      </c>
      <c r="L50" s="1120">
        <v>0.0</v>
      </c>
      <c r="M50" s="1120">
        <v>7.0</v>
      </c>
      <c r="N50" s="1120">
        <v>2.0</v>
      </c>
      <c r="O50" s="1120">
        <v>2.0</v>
      </c>
      <c r="P50" s="1120">
        <v>32.0</v>
      </c>
      <c r="Q50" s="1120">
        <v>0.0</v>
      </c>
      <c r="R50" s="485"/>
      <c r="S50" s="485"/>
    </row>
    <row r="51">
      <c r="A51" s="1131">
        <v>45292.0</v>
      </c>
      <c r="B51" s="485" t="s">
        <v>142</v>
      </c>
      <c r="C51" s="1120">
        <v>88.0</v>
      </c>
      <c r="D51" s="1120">
        <v>4.0</v>
      </c>
      <c r="E51" s="1120">
        <v>0.0</v>
      </c>
      <c r="F51" s="1120">
        <v>19.0</v>
      </c>
      <c r="G51" s="1120">
        <v>13.0</v>
      </c>
      <c r="H51" s="1120">
        <v>3.0</v>
      </c>
      <c r="I51" s="1120">
        <v>4.0</v>
      </c>
      <c r="J51" s="1120">
        <v>0.0</v>
      </c>
      <c r="K51" s="1120">
        <v>0.0</v>
      </c>
      <c r="L51" s="1120">
        <v>0.0</v>
      </c>
      <c r="M51" s="1120">
        <v>12.0</v>
      </c>
      <c r="N51" s="1120">
        <v>10.0</v>
      </c>
      <c r="O51" s="1120">
        <v>9.0</v>
      </c>
      <c r="P51" s="1120">
        <v>14.0</v>
      </c>
      <c r="Q51" s="1120">
        <v>0.0</v>
      </c>
      <c r="R51" s="485"/>
      <c r="S51" s="485"/>
    </row>
    <row r="52">
      <c r="A52" s="1131">
        <v>45292.0</v>
      </c>
      <c r="B52" s="485" t="s">
        <v>1612</v>
      </c>
      <c r="C52" s="1120">
        <v>310.0</v>
      </c>
      <c r="D52" s="1120">
        <v>0.0</v>
      </c>
      <c r="E52" s="1120">
        <v>0.0</v>
      </c>
      <c r="F52" s="1120">
        <v>161.0</v>
      </c>
      <c r="G52" s="1120">
        <v>0.0</v>
      </c>
      <c r="H52" s="1120">
        <v>10.0</v>
      </c>
      <c r="I52" s="1120">
        <v>23.0</v>
      </c>
      <c r="J52" s="1120">
        <v>4.0</v>
      </c>
      <c r="K52" s="1120">
        <v>0.0</v>
      </c>
      <c r="L52" s="1120">
        <v>0.0</v>
      </c>
      <c r="M52" s="1120">
        <v>20.0</v>
      </c>
      <c r="N52" s="1120">
        <v>30.0</v>
      </c>
      <c r="O52" s="1120">
        <v>8.0</v>
      </c>
      <c r="P52" s="1120">
        <v>52.0</v>
      </c>
      <c r="Q52" s="1120">
        <v>0.0</v>
      </c>
      <c r="R52" s="485"/>
      <c r="S52" s="485"/>
    </row>
    <row r="53">
      <c r="A53" s="1131">
        <v>45292.0</v>
      </c>
      <c r="B53" s="485" t="s">
        <v>598</v>
      </c>
      <c r="C53" s="1120">
        <v>13.0</v>
      </c>
      <c r="D53" s="1120">
        <v>0.0</v>
      </c>
      <c r="E53" s="1120">
        <v>0.0</v>
      </c>
      <c r="F53" s="1120">
        <v>3.0</v>
      </c>
      <c r="G53" s="1120">
        <v>0.0</v>
      </c>
      <c r="H53" s="1120">
        <v>0.0</v>
      </c>
      <c r="I53" s="1120">
        <v>2.0</v>
      </c>
      <c r="J53" s="1120">
        <v>0.0</v>
      </c>
      <c r="K53" s="1120">
        <v>0.0</v>
      </c>
      <c r="L53" s="1120">
        <v>0.0</v>
      </c>
      <c r="M53" s="1120">
        <v>0.0</v>
      </c>
      <c r="N53" s="1120">
        <v>1.0</v>
      </c>
      <c r="O53" s="1120">
        <v>0.0</v>
      </c>
      <c r="P53" s="1120">
        <v>7.0</v>
      </c>
      <c r="Q53" s="1120">
        <v>0.0</v>
      </c>
      <c r="R53" s="485"/>
      <c r="S53" s="485"/>
    </row>
    <row r="54">
      <c r="A54" s="1131">
        <v>45292.0</v>
      </c>
      <c r="B54" s="485" t="s">
        <v>147</v>
      </c>
      <c r="C54" s="1120">
        <v>26.0</v>
      </c>
      <c r="D54" s="1120">
        <v>0.0</v>
      </c>
      <c r="E54" s="1120">
        <v>0.0</v>
      </c>
      <c r="F54" s="1120">
        <v>11.0</v>
      </c>
      <c r="G54" s="1120">
        <v>0.0</v>
      </c>
      <c r="H54" s="1120">
        <v>2.0</v>
      </c>
      <c r="I54" s="1120">
        <v>3.0</v>
      </c>
      <c r="J54" s="1120">
        <v>0.0</v>
      </c>
      <c r="K54" s="1120">
        <v>0.0</v>
      </c>
      <c r="L54" s="1120">
        <v>0.0</v>
      </c>
      <c r="M54" s="1120">
        <v>0.0</v>
      </c>
      <c r="N54" s="1120">
        <v>1.0</v>
      </c>
      <c r="O54" s="1120">
        <v>0.0</v>
      </c>
      <c r="P54" s="1120">
        <v>9.0</v>
      </c>
      <c r="Q54" s="1120">
        <v>0.0</v>
      </c>
      <c r="R54" s="485"/>
      <c r="S54" s="485"/>
    </row>
    <row r="55">
      <c r="A55" s="1131">
        <v>45292.0</v>
      </c>
      <c r="B55" s="485" t="s">
        <v>1613</v>
      </c>
      <c r="C55" s="1120">
        <v>63.0</v>
      </c>
      <c r="D55" s="1120">
        <v>0.0</v>
      </c>
      <c r="E55" s="1120">
        <v>0.0</v>
      </c>
      <c r="F55" s="1120">
        <v>24.0</v>
      </c>
      <c r="G55" s="1120">
        <v>7.0</v>
      </c>
      <c r="H55" s="1120">
        <v>1.0</v>
      </c>
      <c r="I55" s="1120">
        <v>5.0</v>
      </c>
      <c r="J55" s="1120">
        <v>0.0</v>
      </c>
      <c r="K55" s="1120">
        <v>1.0</v>
      </c>
      <c r="L55" s="1120">
        <v>0.0</v>
      </c>
      <c r="M55" s="1120">
        <v>0.0</v>
      </c>
      <c r="N55" s="1120">
        <v>3.0</v>
      </c>
      <c r="O55" s="1120">
        <v>0.0</v>
      </c>
      <c r="P55" s="1120">
        <v>21.0</v>
      </c>
      <c r="Q55" s="1120">
        <v>0.0</v>
      </c>
      <c r="R55" s="485"/>
      <c r="S55" s="485"/>
    </row>
    <row r="56">
      <c r="A56" s="1131">
        <v>45292.0</v>
      </c>
      <c r="B56" s="485" t="s">
        <v>290</v>
      </c>
      <c r="C56" s="1120">
        <v>79.0</v>
      </c>
      <c r="D56" s="1120">
        <v>1.0</v>
      </c>
      <c r="E56" s="1120">
        <v>0.0</v>
      </c>
      <c r="F56" s="1120">
        <v>35.0</v>
      </c>
      <c r="G56" s="1120">
        <v>16.0</v>
      </c>
      <c r="H56" s="1120">
        <v>0.0</v>
      </c>
      <c r="I56" s="1120">
        <v>8.0</v>
      </c>
      <c r="J56" s="1120">
        <v>1.0</v>
      </c>
      <c r="K56" s="1120">
        <v>0.0</v>
      </c>
      <c r="L56" s="1120">
        <v>0.0</v>
      </c>
      <c r="M56" s="1120">
        <v>2.0</v>
      </c>
      <c r="N56" s="1120">
        <v>7.0</v>
      </c>
      <c r="O56" s="1120">
        <v>2.0</v>
      </c>
      <c r="P56" s="1120">
        <v>4.0</v>
      </c>
      <c r="Q56" s="1120">
        <v>2.0</v>
      </c>
      <c r="R56" s="485"/>
      <c r="S56" s="485"/>
    </row>
    <row r="57">
      <c r="A57" s="1131">
        <v>45292.0</v>
      </c>
      <c r="B57" s="485" t="s">
        <v>150</v>
      </c>
      <c r="C57" s="1120">
        <v>67.0</v>
      </c>
      <c r="D57" s="1120">
        <v>0.0</v>
      </c>
      <c r="E57" s="1120">
        <v>0.0</v>
      </c>
      <c r="F57" s="1120">
        <v>28.0</v>
      </c>
      <c r="G57" s="1120">
        <v>4.0</v>
      </c>
      <c r="H57" s="1120">
        <v>0.0</v>
      </c>
      <c r="I57" s="1120">
        <v>2.0</v>
      </c>
      <c r="J57" s="1120">
        <v>0.0</v>
      </c>
      <c r="K57" s="1120">
        <v>1.0</v>
      </c>
      <c r="L57" s="1120">
        <v>0.0</v>
      </c>
      <c r="M57" s="1120">
        <v>8.0</v>
      </c>
      <c r="N57" s="1120">
        <v>0.0</v>
      </c>
      <c r="O57" s="1120">
        <v>3.0</v>
      </c>
      <c r="P57" s="1120">
        <v>14.0</v>
      </c>
      <c r="Q57" s="1120">
        <v>0.0</v>
      </c>
      <c r="R57" s="485"/>
      <c r="S57" s="485"/>
    </row>
    <row r="58">
      <c r="A58" s="1131">
        <v>45292.0</v>
      </c>
      <c r="B58" s="485" t="s">
        <v>151</v>
      </c>
      <c r="C58" s="1120">
        <v>20.0</v>
      </c>
      <c r="D58" s="1120">
        <v>1.0</v>
      </c>
      <c r="E58" s="1120">
        <v>0.0</v>
      </c>
      <c r="F58" s="1120">
        <v>6.0</v>
      </c>
      <c r="G58" s="1120">
        <v>3.0</v>
      </c>
      <c r="H58" s="1120">
        <v>1.0</v>
      </c>
      <c r="I58" s="1120">
        <v>2.0</v>
      </c>
      <c r="J58" s="1120">
        <v>0.0</v>
      </c>
      <c r="K58" s="1120">
        <v>1.0</v>
      </c>
      <c r="L58" s="1120">
        <v>0.0</v>
      </c>
      <c r="M58" s="1120">
        <v>3.0</v>
      </c>
      <c r="N58" s="1120">
        <v>2.0</v>
      </c>
      <c r="O58" s="1120">
        <v>0.0</v>
      </c>
      <c r="P58" s="1120">
        <v>1.0</v>
      </c>
      <c r="Q58" s="1120">
        <v>0.0</v>
      </c>
      <c r="R58" s="485"/>
      <c r="S58" s="485"/>
    </row>
    <row r="59">
      <c r="A59" s="1131">
        <v>45292.0</v>
      </c>
      <c r="B59" s="485" t="s">
        <v>510</v>
      </c>
      <c r="C59" s="1120">
        <v>31.0</v>
      </c>
      <c r="D59" s="1120">
        <v>2.0</v>
      </c>
      <c r="E59" s="1120">
        <v>0.0</v>
      </c>
      <c r="F59" s="1120">
        <v>13.0</v>
      </c>
      <c r="G59" s="1120">
        <v>2.0</v>
      </c>
      <c r="H59" s="1120">
        <v>3.0</v>
      </c>
      <c r="I59" s="1120">
        <v>1.0</v>
      </c>
      <c r="J59" s="1120">
        <v>0.0</v>
      </c>
      <c r="K59" s="1120">
        <v>0.0</v>
      </c>
      <c r="L59" s="1120">
        <v>0.0</v>
      </c>
      <c r="M59" s="1120">
        <v>2.0</v>
      </c>
      <c r="N59" s="1120">
        <v>1.0</v>
      </c>
      <c r="O59" s="1120">
        <v>0.0</v>
      </c>
      <c r="P59" s="1120">
        <v>6.0</v>
      </c>
      <c r="Q59" s="1120">
        <v>0.0</v>
      </c>
      <c r="R59" s="485"/>
      <c r="S59" s="485"/>
    </row>
    <row r="60">
      <c r="A60" s="1131">
        <v>45292.0</v>
      </c>
      <c r="B60" s="485" t="s">
        <v>1614</v>
      </c>
      <c r="C60" s="1120">
        <v>104.0</v>
      </c>
      <c r="D60" s="1120">
        <v>0.0</v>
      </c>
      <c r="E60" s="1120">
        <v>0.0</v>
      </c>
      <c r="F60" s="1120">
        <v>36.0</v>
      </c>
      <c r="G60" s="1120">
        <v>7.0</v>
      </c>
      <c r="H60" s="1120">
        <v>28.0</v>
      </c>
      <c r="I60" s="1120">
        <v>2.0</v>
      </c>
      <c r="J60" s="1120">
        <v>2.0</v>
      </c>
      <c r="K60" s="1120">
        <v>0.0</v>
      </c>
      <c r="L60" s="1120">
        <v>0.0</v>
      </c>
      <c r="M60" s="1120">
        <v>0.0</v>
      </c>
      <c r="N60" s="1120">
        <v>0.0</v>
      </c>
      <c r="O60" s="1120">
        <v>6.0</v>
      </c>
      <c r="P60" s="1120">
        <v>23.0</v>
      </c>
      <c r="Q60" s="1120">
        <v>0.0</v>
      </c>
      <c r="R60" s="485"/>
      <c r="S60" s="485"/>
    </row>
    <row r="61">
      <c r="A61" s="1131">
        <v>45292.0</v>
      </c>
      <c r="B61" s="485" t="s">
        <v>381</v>
      </c>
      <c r="C61" s="1120">
        <v>455.0</v>
      </c>
      <c r="D61" s="1120">
        <v>10.0</v>
      </c>
      <c r="E61" s="1120">
        <v>7.0</v>
      </c>
      <c r="F61" s="1120">
        <v>162.0</v>
      </c>
      <c r="G61" s="1120">
        <v>43.0</v>
      </c>
      <c r="H61" s="1120">
        <v>17.0</v>
      </c>
      <c r="I61" s="1120">
        <v>21.0</v>
      </c>
      <c r="J61" s="1120">
        <v>6.0</v>
      </c>
      <c r="K61" s="1120">
        <v>2.0</v>
      </c>
      <c r="L61" s="1120">
        <v>0.0</v>
      </c>
      <c r="M61" s="1120">
        <v>31.0</v>
      </c>
      <c r="N61" s="1120">
        <v>33.0</v>
      </c>
      <c r="O61" s="1120">
        <v>13.0</v>
      </c>
      <c r="P61" s="1120">
        <v>97.0</v>
      </c>
      <c r="Q61" s="1120">
        <v>5.0</v>
      </c>
      <c r="R61" s="485"/>
      <c r="S61" s="485"/>
    </row>
    <row r="62">
      <c r="A62" s="1131">
        <v>45292.0</v>
      </c>
      <c r="B62" s="485" t="s">
        <v>610</v>
      </c>
      <c r="C62" s="1120">
        <v>41.0</v>
      </c>
      <c r="D62" s="1120">
        <v>2.0</v>
      </c>
      <c r="E62" s="1120">
        <v>0.0</v>
      </c>
      <c r="F62" s="1120">
        <v>15.0</v>
      </c>
      <c r="G62" s="1120">
        <v>4.0</v>
      </c>
      <c r="H62" s="1120">
        <v>3.0</v>
      </c>
      <c r="I62" s="1120">
        <v>3.0</v>
      </c>
      <c r="J62" s="1120">
        <v>1.0</v>
      </c>
      <c r="K62" s="1120">
        <v>0.0</v>
      </c>
      <c r="L62" s="1120">
        <v>0.0</v>
      </c>
      <c r="M62" s="1120">
        <v>0.0</v>
      </c>
      <c r="N62" s="1120">
        <v>0.0</v>
      </c>
      <c r="O62" s="1120">
        <v>4.0</v>
      </c>
      <c r="P62" s="1120">
        <v>9.0</v>
      </c>
      <c r="Q62" s="1120">
        <v>0.0</v>
      </c>
      <c r="R62" s="485"/>
      <c r="S62" s="485"/>
    </row>
    <row r="63">
      <c r="A63" s="1131">
        <v>45292.0</v>
      </c>
      <c r="B63" s="485" t="s">
        <v>157</v>
      </c>
      <c r="C63" s="1120">
        <v>20.0</v>
      </c>
      <c r="D63" s="1120">
        <v>0.0</v>
      </c>
      <c r="E63" s="1120">
        <v>0.0</v>
      </c>
      <c r="F63" s="1120">
        <v>10.0</v>
      </c>
      <c r="G63" s="1120">
        <v>3.0</v>
      </c>
      <c r="H63" s="1120">
        <v>1.0</v>
      </c>
      <c r="I63" s="1120">
        <v>1.0</v>
      </c>
      <c r="J63" s="1120">
        <v>1.0</v>
      </c>
      <c r="K63" s="1120">
        <v>0.0</v>
      </c>
      <c r="L63" s="1120">
        <v>0.0</v>
      </c>
      <c r="M63" s="1120">
        <v>0.0</v>
      </c>
      <c r="N63" s="1120">
        <v>0.0</v>
      </c>
      <c r="O63" s="1120">
        <v>1.0</v>
      </c>
      <c r="P63" s="1120">
        <v>3.0</v>
      </c>
      <c r="Q63" s="1120">
        <v>0.0</v>
      </c>
      <c r="R63" s="485"/>
      <c r="S63" s="485"/>
    </row>
    <row r="64">
      <c r="A64" s="1131">
        <v>45292.0</v>
      </c>
      <c r="B64" s="485" t="s">
        <v>1615</v>
      </c>
      <c r="C64" s="1120">
        <v>55.0</v>
      </c>
      <c r="D64" s="1120">
        <v>0.0</v>
      </c>
      <c r="E64" s="1120">
        <v>0.0</v>
      </c>
      <c r="F64" s="1120">
        <v>19.0</v>
      </c>
      <c r="G64" s="1120">
        <v>4.0</v>
      </c>
      <c r="H64" s="1120">
        <v>0.0</v>
      </c>
      <c r="I64" s="1120">
        <v>3.0</v>
      </c>
      <c r="J64" s="1120">
        <v>0.0</v>
      </c>
      <c r="K64" s="1120">
        <v>0.0</v>
      </c>
      <c r="L64" s="1120">
        <v>0.0</v>
      </c>
      <c r="M64" s="1120">
        <v>2.0</v>
      </c>
      <c r="N64" s="1120">
        <v>3.0</v>
      </c>
      <c r="O64" s="1120">
        <v>8.0</v>
      </c>
      <c r="P64" s="1120">
        <v>15.0</v>
      </c>
      <c r="Q64" s="1120">
        <v>0.0</v>
      </c>
      <c r="R64" s="485"/>
      <c r="S64" s="485"/>
    </row>
    <row r="65">
      <c r="A65" s="1131">
        <v>45292.0</v>
      </c>
      <c r="B65" s="485" t="s">
        <v>1616</v>
      </c>
      <c r="C65" s="1120">
        <v>68.0</v>
      </c>
      <c r="D65" s="1120">
        <v>7.0</v>
      </c>
      <c r="E65" s="1120">
        <v>0.0</v>
      </c>
      <c r="F65" s="1120">
        <v>23.0</v>
      </c>
      <c r="G65" s="1120">
        <v>2.0</v>
      </c>
      <c r="H65" s="1120">
        <v>5.0</v>
      </c>
      <c r="I65" s="1120">
        <v>3.0</v>
      </c>
      <c r="J65" s="1120">
        <v>2.0</v>
      </c>
      <c r="K65" s="1120">
        <v>0.0</v>
      </c>
      <c r="L65" s="1120">
        <v>0.0</v>
      </c>
      <c r="M65" s="1120">
        <v>7.0</v>
      </c>
      <c r="N65" s="1120">
        <v>3.0</v>
      </c>
      <c r="O65" s="1120">
        <v>1.0</v>
      </c>
      <c r="P65" s="1120">
        <v>14.0</v>
      </c>
      <c r="Q65" s="1120">
        <v>1.0</v>
      </c>
      <c r="R65" s="485"/>
      <c r="S65" s="485"/>
    </row>
    <row r="66">
      <c r="A66" s="1131">
        <v>45292.0</v>
      </c>
      <c r="B66" s="485" t="s">
        <v>1617</v>
      </c>
      <c r="C66" s="1120">
        <v>301.0</v>
      </c>
      <c r="D66" s="1120">
        <v>1.0</v>
      </c>
      <c r="E66" s="1120">
        <v>1.0</v>
      </c>
      <c r="F66" s="1120">
        <v>76.0</v>
      </c>
      <c r="G66" s="1120">
        <v>45.0</v>
      </c>
      <c r="H66" s="1120">
        <v>10.0</v>
      </c>
      <c r="I66" s="1120">
        <v>4.0</v>
      </c>
      <c r="J66" s="1120">
        <v>0.0</v>
      </c>
      <c r="K66" s="1120">
        <v>0.0</v>
      </c>
      <c r="L66" s="1120">
        <v>0.0</v>
      </c>
      <c r="M66" s="1120">
        <v>15.0</v>
      </c>
      <c r="N66" s="1120">
        <v>25.0</v>
      </c>
      <c r="O66" s="1120">
        <v>24.0</v>
      </c>
      <c r="P66" s="1120">
        <v>85.0</v>
      </c>
      <c r="Q66" s="1120">
        <v>1.0</v>
      </c>
      <c r="R66" s="485"/>
      <c r="S66" s="485"/>
    </row>
    <row r="67">
      <c r="A67" s="1131">
        <v>45292.0</v>
      </c>
      <c r="B67" s="485" t="s">
        <v>1618</v>
      </c>
      <c r="C67" s="1120">
        <v>3.0</v>
      </c>
      <c r="D67" s="1120">
        <v>0.0</v>
      </c>
      <c r="E67" s="1120">
        <v>0.0</v>
      </c>
      <c r="F67" s="1120">
        <v>1.0</v>
      </c>
      <c r="G67" s="1120">
        <v>0.0</v>
      </c>
      <c r="H67" s="1120">
        <v>1.0</v>
      </c>
      <c r="I67" s="1120">
        <v>0.0</v>
      </c>
      <c r="J67" s="1120">
        <v>0.0</v>
      </c>
      <c r="K67" s="1120">
        <v>0.0</v>
      </c>
      <c r="L67" s="1120">
        <v>0.0</v>
      </c>
      <c r="M67" s="1120">
        <v>0.0</v>
      </c>
      <c r="N67" s="1120">
        <v>0.0</v>
      </c>
      <c r="O67" s="1120">
        <v>0.0</v>
      </c>
      <c r="P67" s="1120">
        <v>1.0</v>
      </c>
      <c r="Q67" s="1120">
        <v>0.0</v>
      </c>
      <c r="R67" s="485"/>
      <c r="S67" s="485"/>
    </row>
    <row r="68">
      <c r="A68" s="1131">
        <v>45292.0</v>
      </c>
      <c r="B68" s="485" t="s">
        <v>1619</v>
      </c>
      <c r="C68" s="1120">
        <v>128.0</v>
      </c>
      <c r="D68" s="1120">
        <v>5.0</v>
      </c>
      <c r="E68" s="1120">
        <v>0.0</v>
      </c>
      <c r="F68" s="1120">
        <v>45.0</v>
      </c>
      <c r="G68" s="1120">
        <v>2.0</v>
      </c>
      <c r="H68" s="1120">
        <v>3.0</v>
      </c>
      <c r="I68" s="1120">
        <v>3.0</v>
      </c>
      <c r="J68" s="1120">
        <v>0.0</v>
      </c>
      <c r="K68" s="1120">
        <v>1.0</v>
      </c>
      <c r="L68" s="1120">
        <v>0.0</v>
      </c>
      <c r="M68" s="1120">
        <v>19.0</v>
      </c>
      <c r="N68" s="1120">
        <v>15.0</v>
      </c>
      <c r="O68" s="1120">
        <v>3.0</v>
      </c>
      <c r="P68" s="1120">
        <v>30.0</v>
      </c>
      <c r="Q68" s="1120">
        <v>1.0</v>
      </c>
      <c r="R68" s="485"/>
      <c r="S68" s="485"/>
    </row>
    <row r="69">
      <c r="A69" s="1131">
        <v>45292.0</v>
      </c>
      <c r="B69" s="485" t="s">
        <v>241</v>
      </c>
      <c r="C69" s="1120">
        <v>94.0</v>
      </c>
      <c r="D69" s="1120">
        <v>0.0</v>
      </c>
      <c r="E69" s="1120">
        <v>0.0</v>
      </c>
      <c r="F69" s="1120">
        <v>33.0</v>
      </c>
      <c r="G69" s="1120">
        <v>3.0</v>
      </c>
      <c r="H69" s="1120">
        <v>0.0</v>
      </c>
      <c r="I69" s="1120">
        <v>1.0</v>
      </c>
      <c r="J69" s="1120">
        <v>3.0</v>
      </c>
      <c r="K69" s="1120">
        <v>1.0</v>
      </c>
      <c r="L69" s="1120">
        <v>0.0</v>
      </c>
      <c r="M69" s="1120">
        <v>10.0</v>
      </c>
      <c r="N69" s="1120">
        <v>5.0</v>
      </c>
      <c r="O69" s="1120">
        <v>6.0</v>
      </c>
      <c r="P69" s="1120">
        <v>25.0</v>
      </c>
      <c r="Q69" s="1120">
        <v>0.0</v>
      </c>
      <c r="R69" s="485"/>
      <c r="S69" s="485"/>
    </row>
    <row r="70">
      <c r="A70" s="1131">
        <v>45292.0</v>
      </c>
      <c r="B70" s="485" t="s">
        <v>1620</v>
      </c>
      <c r="C70" s="1120">
        <v>6.0</v>
      </c>
      <c r="D70" s="1120">
        <v>0.0</v>
      </c>
      <c r="E70" s="1120">
        <v>0.0</v>
      </c>
      <c r="F70" s="1120">
        <v>1.0</v>
      </c>
      <c r="G70" s="1120">
        <v>2.0</v>
      </c>
      <c r="H70" s="1120">
        <v>0.0</v>
      </c>
      <c r="I70" s="1120">
        <v>1.0</v>
      </c>
      <c r="J70" s="1120">
        <v>0.0</v>
      </c>
      <c r="K70" s="1120">
        <v>0.0</v>
      </c>
      <c r="L70" s="1120">
        <v>0.0</v>
      </c>
      <c r="M70" s="1120">
        <v>0.0</v>
      </c>
      <c r="N70" s="1120">
        <v>0.0</v>
      </c>
      <c r="O70" s="1120">
        <v>0.0</v>
      </c>
      <c r="P70" s="1120">
        <v>2.0</v>
      </c>
      <c r="Q70" s="1120">
        <v>0.0</v>
      </c>
      <c r="R70" s="485"/>
      <c r="S70" s="485"/>
    </row>
    <row r="71">
      <c r="A71" s="1131">
        <v>45292.0</v>
      </c>
      <c r="B71" s="485" t="s">
        <v>1621</v>
      </c>
      <c r="C71" s="1120">
        <v>24.0</v>
      </c>
      <c r="D71" s="1120">
        <v>0.0</v>
      </c>
      <c r="E71" s="1120">
        <v>0.0</v>
      </c>
      <c r="F71" s="1120">
        <v>11.0</v>
      </c>
      <c r="G71" s="1120">
        <v>1.0</v>
      </c>
      <c r="H71" s="1120">
        <v>1.0</v>
      </c>
      <c r="I71" s="1120">
        <v>2.0</v>
      </c>
      <c r="J71" s="1120">
        <v>0.0</v>
      </c>
      <c r="K71" s="1120">
        <v>0.0</v>
      </c>
      <c r="L71" s="1120">
        <v>0.0</v>
      </c>
      <c r="M71" s="1120">
        <v>1.0</v>
      </c>
      <c r="N71" s="1120">
        <v>3.0</v>
      </c>
      <c r="O71" s="1120">
        <v>0.0</v>
      </c>
      <c r="P71" s="1120">
        <v>4.0</v>
      </c>
      <c r="Q71" s="1120">
        <v>0.0</v>
      </c>
      <c r="R71" s="485"/>
      <c r="S71" s="485"/>
    </row>
    <row r="72">
      <c r="A72" s="1131">
        <v>45292.0</v>
      </c>
      <c r="B72" s="485" t="s">
        <v>1622</v>
      </c>
      <c r="C72" s="1120">
        <v>74.0</v>
      </c>
      <c r="D72" s="1120">
        <v>0.0</v>
      </c>
      <c r="E72" s="1120">
        <v>0.0</v>
      </c>
      <c r="F72" s="1120">
        <v>30.0</v>
      </c>
      <c r="G72" s="1120">
        <v>4.0</v>
      </c>
      <c r="H72" s="1120">
        <v>3.0</v>
      </c>
      <c r="I72" s="1120">
        <v>4.0</v>
      </c>
      <c r="J72" s="1120">
        <v>1.0</v>
      </c>
      <c r="K72" s="1120">
        <v>0.0</v>
      </c>
      <c r="L72" s="1120">
        <v>0.0</v>
      </c>
      <c r="M72" s="1120">
        <v>1.0</v>
      </c>
      <c r="N72" s="1120">
        <v>2.0</v>
      </c>
      <c r="O72" s="1120">
        <v>0.0</v>
      </c>
      <c r="P72" s="1120">
        <v>27.0</v>
      </c>
      <c r="Q72" s="1120">
        <v>1.0</v>
      </c>
      <c r="R72" s="485"/>
      <c r="S72" s="485"/>
    </row>
    <row r="73">
      <c r="A73" s="1131">
        <v>45292.0</v>
      </c>
      <c r="B73" s="485" t="s">
        <v>1623</v>
      </c>
      <c r="C73" s="1120">
        <v>14.0</v>
      </c>
      <c r="D73" s="1120">
        <v>0.0</v>
      </c>
      <c r="E73" s="1120">
        <v>0.0</v>
      </c>
      <c r="F73" s="1120">
        <v>7.0</v>
      </c>
      <c r="G73" s="1120">
        <v>1.0</v>
      </c>
      <c r="H73" s="1120">
        <v>0.0</v>
      </c>
      <c r="I73" s="1120">
        <v>1.0</v>
      </c>
      <c r="J73" s="1120">
        <v>0.0</v>
      </c>
      <c r="K73" s="1120">
        <v>0.0</v>
      </c>
      <c r="L73" s="1120">
        <v>0.0</v>
      </c>
      <c r="M73" s="1120">
        <v>1.0</v>
      </c>
      <c r="N73" s="1120">
        <v>1.0</v>
      </c>
      <c r="O73" s="1120">
        <v>0.0</v>
      </c>
      <c r="P73" s="1120">
        <v>3.0</v>
      </c>
      <c r="Q73" s="1120">
        <v>0.0</v>
      </c>
      <c r="R73" s="485"/>
      <c r="S73" s="485"/>
    </row>
    <row r="74">
      <c r="A74" s="1131">
        <v>45292.0</v>
      </c>
      <c r="B74" s="485" t="s">
        <v>1624</v>
      </c>
      <c r="C74" s="1120">
        <v>85.0</v>
      </c>
      <c r="D74" s="1120">
        <v>0.0</v>
      </c>
      <c r="E74" s="1120">
        <v>2.0</v>
      </c>
      <c r="F74" s="1120">
        <v>34.0</v>
      </c>
      <c r="G74" s="1120">
        <v>3.0</v>
      </c>
      <c r="H74" s="1120">
        <v>15.0</v>
      </c>
      <c r="I74" s="1120">
        <v>4.0</v>
      </c>
      <c r="J74" s="1120">
        <v>0.0</v>
      </c>
      <c r="K74" s="1120">
        <v>1.0</v>
      </c>
      <c r="L74" s="1120">
        <v>0.0</v>
      </c>
      <c r="M74" s="1120">
        <v>6.0</v>
      </c>
      <c r="N74" s="1120">
        <v>5.0</v>
      </c>
      <c r="O74" s="1120">
        <v>4.0</v>
      </c>
      <c r="P74" s="1120">
        <v>11.0</v>
      </c>
      <c r="Q74" s="1120">
        <v>0.0</v>
      </c>
      <c r="R74" s="485"/>
      <c r="S74" s="485"/>
    </row>
    <row r="75">
      <c r="A75" s="1131">
        <v>45292.0</v>
      </c>
      <c r="B75" s="485" t="s">
        <v>1625</v>
      </c>
      <c r="C75" s="1120">
        <v>203.0</v>
      </c>
      <c r="D75" s="1120">
        <v>1.0</v>
      </c>
      <c r="E75" s="1120">
        <v>0.0</v>
      </c>
      <c r="F75" s="1120">
        <v>65.0</v>
      </c>
      <c r="G75" s="1120">
        <v>15.0</v>
      </c>
      <c r="H75" s="1120">
        <v>19.0</v>
      </c>
      <c r="I75" s="1120">
        <v>6.0</v>
      </c>
      <c r="J75" s="1120">
        <v>3.0</v>
      </c>
      <c r="K75" s="1120">
        <v>2.0</v>
      </c>
      <c r="L75" s="1120">
        <v>0.0</v>
      </c>
      <c r="M75" s="1120">
        <v>17.0</v>
      </c>
      <c r="N75" s="1120">
        <v>38.0</v>
      </c>
      <c r="O75" s="1120">
        <v>8.0</v>
      </c>
      <c r="P75" s="1120">
        <v>24.0</v>
      </c>
      <c r="Q75" s="1120">
        <v>1.0</v>
      </c>
      <c r="R75" s="485"/>
      <c r="S75" s="485"/>
    </row>
    <row r="76">
      <c r="A76" s="1131">
        <v>45292.0</v>
      </c>
      <c r="B76" s="485" t="s">
        <v>302</v>
      </c>
      <c r="C76" s="1120">
        <v>51.0</v>
      </c>
      <c r="D76" s="1120">
        <v>0.0</v>
      </c>
      <c r="E76" s="1120">
        <v>0.0</v>
      </c>
      <c r="F76" s="1120">
        <v>17.0</v>
      </c>
      <c r="G76" s="1120">
        <v>0.0</v>
      </c>
      <c r="H76" s="1120">
        <v>6.0</v>
      </c>
      <c r="I76" s="1120">
        <v>5.0</v>
      </c>
      <c r="J76" s="1120">
        <v>1.0</v>
      </c>
      <c r="K76" s="1120">
        <v>0.0</v>
      </c>
      <c r="L76" s="1120">
        <v>0.0</v>
      </c>
      <c r="M76" s="1120">
        <v>6.0</v>
      </c>
      <c r="N76" s="1120">
        <v>1.0</v>
      </c>
      <c r="O76" s="1120">
        <v>4.0</v>
      </c>
      <c r="P76" s="1120">
        <v>11.0</v>
      </c>
      <c r="Q76" s="1120">
        <v>0.0</v>
      </c>
      <c r="R76" s="485"/>
      <c r="S76" s="485"/>
    </row>
    <row r="77">
      <c r="A77" s="1131">
        <v>45292.0</v>
      </c>
      <c r="B77" s="485" t="s">
        <v>163</v>
      </c>
      <c r="C77" s="1120">
        <v>185.0</v>
      </c>
      <c r="D77" s="1120">
        <v>5.0</v>
      </c>
      <c r="E77" s="1120">
        <v>0.0</v>
      </c>
      <c r="F77" s="1120">
        <v>92.0</v>
      </c>
      <c r="G77" s="1120">
        <v>13.0</v>
      </c>
      <c r="H77" s="1120">
        <v>5.0</v>
      </c>
      <c r="I77" s="1120">
        <v>15.0</v>
      </c>
      <c r="J77" s="1120">
        <v>4.0</v>
      </c>
      <c r="K77" s="1120">
        <v>0.0</v>
      </c>
      <c r="L77" s="1120">
        <v>0.0</v>
      </c>
      <c r="M77" s="1120">
        <v>2.0</v>
      </c>
      <c r="N77" s="1120">
        <v>16.0</v>
      </c>
      <c r="O77" s="1120">
        <v>7.0</v>
      </c>
      <c r="P77" s="1120">
        <v>19.0</v>
      </c>
      <c r="Q77" s="1120">
        <v>4.0</v>
      </c>
      <c r="R77" s="485"/>
      <c r="S77" s="485"/>
    </row>
    <row r="78">
      <c r="A78" s="1131">
        <v>45292.0</v>
      </c>
      <c r="B78" s="485" t="s">
        <v>621</v>
      </c>
      <c r="C78" s="1120">
        <v>99.0</v>
      </c>
      <c r="D78" s="1120">
        <v>0.0</v>
      </c>
      <c r="E78" s="1120">
        <v>0.0</v>
      </c>
      <c r="F78" s="1120">
        <v>53.0</v>
      </c>
      <c r="G78" s="1120">
        <v>13.0</v>
      </c>
      <c r="H78" s="1120">
        <v>2.0</v>
      </c>
      <c r="I78" s="1120">
        <v>2.0</v>
      </c>
      <c r="J78" s="1120">
        <v>3.0</v>
      </c>
      <c r="K78" s="1120">
        <v>0.0</v>
      </c>
      <c r="L78" s="1120">
        <v>0.0</v>
      </c>
      <c r="M78" s="1120">
        <v>13.0</v>
      </c>
      <c r="N78" s="1120">
        <v>0.0</v>
      </c>
      <c r="O78" s="1120">
        <v>0.0</v>
      </c>
      <c r="P78" s="1120">
        <v>10.0</v>
      </c>
      <c r="Q78" s="1120">
        <v>1.0</v>
      </c>
      <c r="R78" s="485"/>
      <c r="S78" s="485"/>
    </row>
    <row r="79">
      <c r="A79" s="1131">
        <v>45292.0</v>
      </c>
      <c r="B79" s="485" t="s">
        <v>1626</v>
      </c>
      <c r="C79" s="1120">
        <v>333.0</v>
      </c>
      <c r="D79" s="1120">
        <v>2.0</v>
      </c>
      <c r="E79" s="1120">
        <v>2.0</v>
      </c>
      <c r="F79" s="1120">
        <v>86.0</v>
      </c>
      <c r="G79" s="1120">
        <v>18.0</v>
      </c>
      <c r="H79" s="1120">
        <v>8.0</v>
      </c>
      <c r="I79" s="1120">
        <v>5.0</v>
      </c>
      <c r="J79" s="1120">
        <v>2.0</v>
      </c>
      <c r="K79" s="1120">
        <v>1.0</v>
      </c>
      <c r="L79" s="1120">
        <v>0.0</v>
      </c>
      <c r="M79" s="1120">
        <v>25.0</v>
      </c>
      <c r="N79" s="1120">
        <v>16.0</v>
      </c>
      <c r="O79" s="1120">
        <v>24.0</v>
      </c>
      <c r="P79" s="1120">
        <v>141.0</v>
      </c>
      <c r="Q79" s="1120">
        <v>1.0</v>
      </c>
      <c r="R79" s="485"/>
      <c r="S79" s="485"/>
    </row>
    <row r="80">
      <c r="A80" s="1131">
        <v>45292.0</v>
      </c>
      <c r="B80" s="485" t="s">
        <v>1523</v>
      </c>
      <c r="C80" s="1120">
        <v>163.0</v>
      </c>
      <c r="D80" s="1120">
        <v>2.0</v>
      </c>
      <c r="E80" s="1120">
        <v>0.0</v>
      </c>
      <c r="F80" s="1120">
        <v>83.0</v>
      </c>
      <c r="G80" s="1120">
        <v>10.0</v>
      </c>
      <c r="H80" s="1120">
        <v>6.0</v>
      </c>
      <c r="I80" s="1120">
        <v>7.0</v>
      </c>
      <c r="J80" s="1120">
        <v>2.0</v>
      </c>
      <c r="K80" s="1120">
        <v>1.0</v>
      </c>
      <c r="L80" s="1120">
        <v>0.0</v>
      </c>
      <c r="M80" s="1120">
        <v>15.0</v>
      </c>
      <c r="N80" s="1120">
        <v>4.0</v>
      </c>
      <c r="O80" s="1120">
        <v>2.0</v>
      </c>
      <c r="P80" s="1120">
        <v>27.0</v>
      </c>
      <c r="Q80" s="1120">
        <v>1.0</v>
      </c>
      <c r="R80" s="485"/>
      <c r="S80" s="485"/>
    </row>
    <row r="81">
      <c r="A81" s="1131">
        <v>45292.0</v>
      </c>
      <c r="B81" s="485" t="s">
        <v>1133</v>
      </c>
      <c r="C81" s="1120">
        <v>169.0</v>
      </c>
      <c r="D81" s="1120">
        <v>0.0</v>
      </c>
      <c r="E81" s="1120">
        <v>0.0</v>
      </c>
      <c r="F81" s="1120">
        <v>67.0</v>
      </c>
      <c r="G81" s="1120">
        <v>9.0</v>
      </c>
      <c r="H81" s="1120">
        <v>8.0</v>
      </c>
      <c r="I81" s="1120">
        <v>7.0</v>
      </c>
      <c r="J81" s="1120">
        <v>2.0</v>
      </c>
      <c r="K81" s="1120">
        <v>0.0</v>
      </c>
      <c r="L81" s="1120">
        <v>0.0</v>
      </c>
      <c r="M81" s="1120">
        <v>25.0</v>
      </c>
      <c r="N81" s="1120">
        <v>7.0</v>
      </c>
      <c r="O81" s="1120">
        <v>0.0</v>
      </c>
      <c r="P81" s="1120">
        <v>37.0</v>
      </c>
      <c r="Q81" s="1120">
        <v>0.0</v>
      </c>
      <c r="R81" s="485"/>
      <c r="S81" s="485"/>
    </row>
    <row r="82">
      <c r="A82" s="1131">
        <v>45292.0</v>
      </c>
      <c r="B82" s="485" t="s">
        <v>1627</v>
      </c>
      <c r="C82" s="1120">
        <v>174.0</v>
      </c>
      <c r="D82" s="1120">
        <v>2.0</v>
      </c>
      <c r="E82" s="1120">
        <v>1.0</v>
      </c>
      <c r="F82" s="1120">
        <v>61.0</v>
      </c>
      <c r="G82" s="1120">
        <v>22.0</v>
      </c>
      <c r="H82" s="1120">
        <v>15.0</v>
      </c>
      <c r="I82" s="1120">
        <v>3.0</v>
      </c>
      <c r="J82" s="1120">
        <v>1.0</v>
      </c>
      <c r="K82" s="1120">
        <v>0.0</v>
      </c>
      <c r="L82" s="1120">
        <v>0.0</v>
      </c>
      <c r="M82" s="1120">
        <v>6.0</v>
      </c>
      <c r="N82" s="1120">
        <v>13.0</v>
      </c>
      <c r="O82" s="1120">
        <v>3.0</v>
      </c>
      <c r="P82" s="1120">
        <v>47.0</v>
      </c>
      <c r="Q82" s="1120">
        <v>0.0</v>
      </c>
      <c r="R82" s="485"/>
      <c r="S82" s="485"/>
    </row>
    <row r="83">
      <c r="A83" s="1131">
        <v>45292.0</v>
      </c>
      <c r="B83" s="485" t="s">
        <v>1628</v>
      </c>
      <c r="C83" s="1120">
        <v>112.0</v>
      </c>
      <c r="D83" s="1120">
        <v>0.0</v>
      </c>
      <c r="E83" s="1120">
        <v>0.0</v>
      </c>
      <c r="F83" s="1120">
        <v>47.0</v>
      </c>
      <c r="G83" s="1120">
        <v>15.0</v>
      </c>
      <c r="H83" s="1120">
        <v>13.0</v>
      </c>
      <c r="I83" s="1120">
        <v>5.0</v>
      </c>
      <c r="J83" s="1120">
        <v>3.0</v>
      </c>
      <c r="K83" s="1120">
        <v>0.0</v>
      </c>
      <c r="L83" s="1120">
        <v>0.0</v>
      </c>
      <c r="M83" s="1120">
        <v>8.0</v>
      </c>
      <c r="N83" s="1120">
        <v>8.0</v>
      </c>
      <c r="O83" s="1120">
        <v>4.0</v>
      </c>
      <c r="P83" s="1120">
        <v>7.0</v>
      </c>
      <c r="Q83" s="1120">
        <v>1.0</v>
      </c>
      <c r="R83" s="485"/>
      <c r="S83" s="485"/>
    </row>
    <row r="84">
      <c r="A84" s="1131">
        <v>45292.0</v>
      </c>
      <c r="B84" s="485" t="s">
        <v>1425</v>
      </c>
      <c r="C84" s="1120">
        <v>76.0</v>
      </c>
      <c r="D84" s="1120">
        <v>0.0</v>
      </c>
      <c r="E84" s="1120">
        <v>0.0</v>
      </c>
      <c r="F84" s="1120">
        <v>35.0</v>
      </c>
      <c r="G84" s="1120">
        <v>11.0</v>
      </c>
      <c r="H84" s="1120">
        <v>7.0</v>
      </c>
      <c r="I84" s="1120">
        <v>4.0</v>
      </c>
      <c r="J84" s="1120">
        <v>0.0</v>
      </c>
      <c r="K84" s="1120">
        <v>0.0</v>
      </c>
      <c r="L84" s="1120">
        <v>0.0</v>
      </c>
      <c r="M84" s="1120">
        <v>1.0</v>
      </c>
      <c r="N84" s="1120">
        <v>8.0</v>
      </c>
      <c r="O84" s="1120">
        <v>0.0</v>
      </c>
      <c r="P84" s="1120">
        <v>10.0</v>
      </c>
      <c r="Q84" s="1120">
        <v>0.0</v>
      </c>
      <c r="R84" s="485"/>
      <c r="S84" s="485"/>
    </row>
    <row r="85">
      <c r="A85" s="1131">
        <v>45292.0</v>
      </c>
      <c r="B85" s="485" t="s">
        <v>1629</v>
      </c>
      <c r="C85" s="1120">
        <v>63.0</v>
      </c>
      <c r="D85" s="1120">
        <v>0.0</v>
      </c>
      <c r="E85" s="1120">
        <v>0.0</v>
      </c>
      <c r="F85" s="1120">
        <v>29.0</v>
      </c>
      <c r="G85" s="1120">
        <v>2.0</v>
      </c>
      <c r="H85" s="1120">
        <v>6.0</v>
      </c>
      <c r="I85" s="1120">
        <v>4.0</v>
      </c>
      <c r="J85" s="1120">
        <v>1.0</v>
      </c>
      <c r="K85" s="1120">
        <v>0.0</v>
      </c>
      <c r="L85" s="1120">
        <v>0.0</v>
      </c>
      <c r="M85" s="1120">
        <v>5.0</v>
      </c>
      <c r="N85" s="1120">
        <v>2.0</v>
      </c>
      <c r="O85" s="1120">
        <v>0.0</v>
      </c>
      <c r="P85" s="1120">
        <v>14.0</v>
      </c>
      <c r="Q85" s="1120">
        <v>0.0</v>
      </c>
      <c r="R85" s="485"/>
      <c r="S85" s="485"/>
    </row>
    <row r="86">
      <c r="A86" s="1131">
        <v>45292.0</v>
      </c>
      <c r="B86" s="485" t="s">
        <v>1630</v>
      </c>
      <c r="C86" s="1120">
        <v>90.0</v>
      </c>
      <c r="D86" s="1120">
        <v>0.0</v>
      </c>
      <c r="E86" s="1120">
        <v>2.0</v>
      </c>
      <c r="F86" s="1120">
        <v>38.0</v>
      </c>
      <c r="G86" s="1120">
        <v>3.0</v>
      </c>
      <c r="H86" s="1120">
        <v>8.0</v>
      </c>
      <c r="I86" s="1120">
        <v>8.0</v>
      </c>
      <c r="J86" s="1120">
        <v>4.0</v>
      </c>
      <c r="K86" s="1120">
        <v>0.0</v>
      </c>
      <c r="L86" s="1120">
        <v>0.0</v>
      </c>
      <c r="M86" s="1120">
        <v>0.0</v>
      </c>
      <c r="N86" s="1120">
        <v>7.0</v>
      </c>
      <c r="O86" s="1120">
        <v>1.0</v>
      </c>
      <c r="P86" s="1120">
        <v>18.0</v>
      </c>
      <c r="Q86" s="1120">
        <v>0.0</v>
      </c>
      <c r="R86" s="485"/>
      <c r="S86" s="485"/>
    </row>
    <row r="87">
      <c r="A87" s="1131">
        <v>45292.0</v>
      </c>
      <c r="B87" s="485" t="s">
        <v>1631</v>
      </c>
      <c r="C87" s="1120">
        <v>121.0</v>
      </c>
      <c r="D87" s="1120">
        <v>7.0</v>
      </c>
      <c r="E87" s="1120">
        <v>0.0</v>
      </c>
      <c r="F87" s="1120">
        <v>41.0</v>
      </c>
      <c r="G87" s="1120">
        <v>1.0</v>
      </c>
      <c r="H87" s="1120">
        <v>12.0</v>
      </c>
      <c r="I87" s="1120">
        <v>6.0</v>
      </c>
      <c r="J87" s="1120">
        <v>2.0</v>
      </c>
      <c r="K87" s="1120">
        <v>0.0</v>
      </c>
      <c r="L87" s="1120">
        <v>0.0</v>
      </c>
      <c r="M87" s="1120">
        <v>24.0</v>
      </c>
      <c r="N87" s="1120">
        <v>7.0</v>
      </c>
      <c r="O87" s="1120">
        <v>0.0</v>
      </c>
      <c r="P87" s="1120">
        <v>20.0</v>
      </c>
      <c r="Q87" s="1120">
        <v>0.0</v>
      </c>
      <c r="R87" s="485"/>
      <c r="S87" s="485"/>
    </row>
    <row r="88">
      <c r="A88" s="1131">
        <v>45292.0</v>
      </c>
      <c r="B88" s="485" t="s">
        <v>1632</v>
      </c>
      <c r="C88" s="1120">
        <v>47.0</v>
      </c>
      <c r="D88" s="1120">
        <v>2.0</v>
      </c>
      <c r="E88" s="1120">
        <v>0.0</v>
      </c>
      <c r="F88" s="1120">
        <v>15.0</v>
      </c>
      <c r="G88" s="1120">
        <v>3.0</v>
      </c>
      <c r="H88" s="1120">
        <v>2.0</v>
      </c>
      <c r="I88" s="1120">
        <v>1.0</v>
      </c>
      <c r="J88" s="1120">
        <v>3.0</v>
      </c>
      <c r="K88" s="1120">
        <v>0.0</v>
      </c>
      <c r="L88" s="1120">
        <v>0.0</v>
      </c>
      <c r="M88" s="1120">
        <v>8.0</v>
      </c>
      <c r="N88" s="1120">
        <v>7.0</v>
      </c>
      <c r="O88" s="1120">
        <v>0.0</v>
      </c>
      <c r="P88" s="1120">
        <v>5.0</v>
      </c>
      <c r="Q88" s="1120">
        <v>1.0</v>
      </c>
      <c r="R88" s="485"/>
      <c r="S88" s="485"/>
    </row>
    <row r="89">
      <c r="A89" s="1131">
        <v>45292.0</v>
      </c>
      <c r="B89" s="485" t="s">
        <v>1633</v>
      </c>
      <c r="C89" s="1120">
        <v>50.0</v>
      </c>
      <c r="D89" s="1120">
        <v>3.0</v>
      </c>
      <c r="E89" s="1120">
        <v>0.0</v>
      </c>
      <c r="F89" s="1120">
        <v>25.0</v>
      </c>
      <c r="G89" s="1120">
        <v>3.0</v>
      </c>
      <c r="H89" s="1120">
        <v>2.0</v>
      </c>
      <c r="I89" s="1120">
        <v>3.0</v>
      </c>
      <c r="J89" s="1120">
        <v>0.0</v>
      </c>
      <c r="K89" s="1120">
        <v>0.0</v>
      </c>
      <c r="L89" s="1120">
        <v>0.0</v>
      </c>
      <c r="M89" s="1120">
        <v>2.0</v>
      </c>
      <c r="N89" s="1120">
        <v>2.0</v>
      </c>
      <c r="O89" s="1120">
        <v>1.0</v>
      </c>
      <c r="P89" s="1120">
        <v>9.0</v>
      </c>
      <c r="Q89" s="1120">
        <v>0.0</v>
      </c>
      <c r="R89" s="485"/>
      <c r="S89" s="485"/>
    </row>
    <row r="90">
      <c r="A90" s="1131">
        <v>45292.0</v>
      </c>
      <c r="B90" s="485" t="s">
        <v>1634</v>
      </c>
      <c r="C90" s="1120">
        <v>3.0</v>
      </c>
      <c r="D90" s="1120">
        <v>0.0</v>
      </c>
      <c r="E90" s="1120">
        <v>0.0</v>
      </c>
      <c r="F90" s="1120">
        <v>0.0</v>
      </c>
      <c r="G90" s="1120">
        <v>0.0</v>
      </c>
      <c r="H90" s="1120">
        <v>0.0</v>
      </c>
      <c r="I90" s="1120">
        <v>0.0</v>
      </c>
      <c r="J90" s="1120">
        <v>0.0</v>
      </c>
      <c r="K90" s="1120">
        <v>0.0</v>
      </c>
      <c r="L90" s="1120">
        <v>0.0</v>
      </c>
      <c r="M90" s="1120">
        <v>0.0</v>
      </c>
      <c r="N90" s="1120">
        <v>0.0</v>
      </c>
      <c r="O90" s="1120">
        <v>0.0</v>
      </c>
      <c r="P90" s="1120">
        <v>3.0</v>
      </c>
      <c r="Q90" s="1120">
        <v>0.0</v>
      </c>
      <c r="R90" s="485"/>
      <c r="S90" s="485"/>
    </row>
    <row r="91">
      <c r="A91" s="1131">
        <v>45292.0</v>
      </c>
      <c r="B91" s="485" t="s">
        <v>316</v>
      </c>
      <c r="C91" s="1120">
        <v>148.0</v>
      </c>
      <c r="D91" s="1120">
        <v>0.0</v>
      </c>
      <c r="E91" s="1120">
        <v>1.0</v>
      </c>
      <c r="F91" s="1120">
        <v>45.0</v>
      </c>
      <c r="G91" s="1120">
        <v>6.0</v>
      </c>
      <c r="H91" s="1120">
        <v>1.0</v>
      </c>
      <c r="I91" s="1120">
        <v>2.0</v>
      </c>
      <c r="J91" s="1120">
        <v>3.0</v>
      </c>
      <c r="K91" s="1120">
        <v>0.0</v>
      </c>
      <c r="L91" s="1120">
        <v>0.0</v>
      </c>
      <c r="M91" s="1120">
        <v>14.0</v>
      </c>
      <c r="N91" s="1120">
        <v>14.0</v>
      </c>
      <c r="O91" s="1120">
        <v>11.0</v>
      </c>
      <c r="P91" s="1120">
        <v>49.0</v>
      </c>
      <c r="Q91" s="1120">
        <v>1.0</v>
      </c>
      <c r="R91" s="485"/>
      <c r="S91" s="485"/>
    </row>
    <row r="92">
      <c r="A92" s="1131">
        <v>45292.0</v>
      </c>
      <c r="B92" s="485" t="s">
        <v>1635</v>
      </c>
      <c r="C92" s="1120">
        <v>61.0</v>
      </c>
      <c r="D92" s="1120">
        <v>0.0</v>
      </c>
      <c r="E92" s="1120">
        <v>0.0</v>
      </c>
      <c r="F92" s="1120">
        <v>23.0</v>
      </c>
      <c r="G92" s="1120">
        <v>3.0</v>
      </c>
      <c r="H92" s="1120">
        <v>3.0</v>
      </c>
      <c r="I92" s="1120">
        <v>2.0</v>
      </c>
      <c r="J92" s="1120">
        <v>2.0</v>
      </c>
      <c r="K92" s="1120">
        <v>0.0</v>
      </c>
      <c r="L92" s="1120">
        <v>0.0</v>
      </c>
      <c r="M92" s="1120">
        <v>3.0</v>
      </c>
      <c r="N92" s="1120">
        <v>7.0</v>
      </c>
      <c r="O92" s="1120">
        <v>5.0</v>
      </c>
      <c r="P92" s="1120">
        <v>13.0</v>
      </c>
      <c r="Q92" s="1120">
        <v>0.0</v>
      </c>
      <c r="R92" s="485"/>
      <c r="S92" s="485"/>
    </row>
    <row r="93">
      <c r="A93" s="1131">
        <v>45292.0</v>
      </c>
      <c r="B93" s="485" t="s">
        <v>385</v>
      </c>
      <c r="C93" s="1120">
        <v>452.0</v>
      </c>
      <c r="D93" s="1120">
        <v>20.0</v>
      </c>
      <c r="E93" s="1120">
        <v>1.0</v>
      </c>
      <c r="F93" s="1120">
        <v>148.0</v>
      </c>
      <c r="G93" s="1120">
        <v>55.0</v>
      </c>
      <c r="H93" s="1120">
        <v>9.0</v>
      </c>
      <c r="I93" s="1120">
        <v>32.0</v>
      </c>
      <c r="J93" s="1120">
        <v>7.0</v>
      </c>
      <c r="K93" s="1120">
        <v>0.0</v>
      </c>
      <c r="L93" s="1120">
        <v>0.0</v>
      </c>
      <c r="M93" s="1120">
        <v>27.0</v>
      </c>
      <c r="N93" s="1120">
        <v>51.0</v>
      </c>
      <c r="O93" s="1120">
        <v>19.0</v>
      </c>
      <c r="P93" s="1120">
        <v>80.0</v>
      </c>
      <c r="Q93" s="1120">
        <v>1.0</v>
      </c>
      <c r="R93" s="485"/>
      <c r="S93" s="485"/>
    </row>
    <row r="94">
      <c r="A94" s="1131">
        <v>45292.0</v>
      </c>
      <c r="B94" s="485" t="s">
        <v>647</v>
      </c>
      <c r="C94" s="1120">
        <v>4.0</v>
      </c>
      <c r="D94" s="1120">
        <v>0.0</v>
      </c>
      <c r="E94" s="1120">
        <v>0.0</v>
      </c>
      <c r="F94" s="1120">
        <v>1.0</v>
      </c>
      <c r="G94" s="1120">
        <v>0.0</v>
      </c>
      <c r="H94" s="1120">
        <v>0.0</v>
      </c>
      <c r="I94" s="1120">
        <v>0.0</v>
      </c>
      <c r="J94" s="1120">
        <v>0.0</v>
      </c>
      <c r="K94" s="1120">
        <v>0.0</v>
      </c>
      <c r="L94" s="1120">
        <v>0.0</v>
      </c>
      <c r="M94" s="1120">
        <v>2.0</v>
      </c>
      <c r="N94" s="1120">
        <v>1.0</v>
      </c>
      <c r="O94" s="1120">
        <v>0.0</v>
      </c>
      <c r="P94" s="1120">
        <v>0.0</v>
      </c>
      <c r="Q94" s="1120">
        <v>0.0</v>
      </c>
      <c r="R94" s="485"/>
      <c r="S94" s="485"/>
    </row>
    <row r="95">
      <c r="A95" s="1131">
        <v>45292.0</v>
      </c>
      <c r="B95" s="485" t="s">
        <v>119</v>
      </c>
      <c r="C95" s="1120">
        <v>28.0</v>
      </c>
      <c r="D95" s="1120">
        <v>1.0</v>
      </c>
      <c r="E95" s="1120">
        <v>0.0</v>
      </c>
      <c r="F95" s="1120">
        <v>1.0</v>
      </c>
      <c r="G95" s="1120">
        <v>4.0</v>
      </c>
      <c r="H95" s="1120">
        <v>1.0</v>
      </c>
      <c r="I95" s="1120">
        <v>4.0</v>
      </c>
      <c r="J95" s="1120">
        <v>0.0</v>
      </c>
      <c r="K95" s="1120">
        <v>0.0</v>
      </c>
      <c r="L95" s="1120">
        <v>0.0</v>
      </c>
      <c r="M95" s="1120">
        <v>0.0</v>
      </c>
      <c r="N95" s="1120">
        <v>4.0</v>
      </c>
      <c r="O95" s="1120">
        <v>0.0</v>
      </c>
      <c r="P95" s="1120">
        <v>13.0</v>
      </c>
      <c r="Q95" s="1120">
        <v>0.0</v>
      </c>
      <c r="R95" s="485"/>
      <c r="S95" s="485"/>
    </row>
    <row r="96">
      <c r="A96" s="1131">
        <v>45292.0</v>
      </c>
      <c r="B96" s="485" t="s">
        <v>1636</v>
      </c>
      <c r="C96" s="1120">
        <v>54.0</v>
      </c>
      <c r="D96" s="1120">
        <v>0.0</v>
      </c>
      <c r="E96" s="1120">
        <v>0.0</v>
      </c>
      <c r="F96" s="1120">
        <v>20.0</v>
      </c>
      <c r="G96" s="1120">
        <v>3.0</v>
      </c>
      <c r="H96" s="1120">
        <v>6.0</v>
      </c>
      <c r="I96" s="1120">
        <v>3.0</v>
      </c>
      <c r="J96" s="1120">
        <v>0.0</v>
      </c>
      <c r="K96" s="1120">
        <v>0.0</v>
      </c>
      <c r="L96" s="1120">
        <v>0.0</v>
      </c>
      <c r="M96" s="1120">
        <v>2.0</v>
      </c>
      <c r="N96" s="1120">
        <v>3.0</v>
      </c>
      <c r="O96" s="1120">
        <v>0.0</v>
      </c>
      <c r="P96" s="1120">
        <v>14.0</v>
      </c>
      <c r="Q96" s="1120">
        <v>0.0</v>
      </c>
      <c r="R96" s="485"/>
      <c r="S96" s="485"/>
    </row>
    <row r="97">
      <c r="A97" s="1131">
        <v>45292.0</v>
      </c>
      <c r="B97" s="485" t="s">
        <v>273</v>
      </c>
      <c r="C97" s="1120">
        <v>73.0</v>
      </c>
      <c r="D97" s="1120">
        <v>1.0</v>
      </c>
      <c r="E97" s="1120">
        <v>0.0</v>
      </c>
      <c r="F97" s="1120">
        <v>21.0</v>
      </c>
      <c r="G97" s="1120">
        <v>4.0</v>
      </c>
      <c r="H97" s="1120">
        <v>5.0</v>
      </c>
      <c r="I97" s="1120">
        <v>2.0</v>
      </c>
      <c r="J97" s="1120">
        <v>1.0</v>
      </c>
      <c r="K97" s="1120">
        <v>0.0</v>
      </c>
      <c r="L97" s="1120">
        <v>0.0</v>
      </c>
      <c r="M97" s="1120">
        <v>2.0</v>
      </c>
      <c r="N97" s="1120">
        <v>1.0</v>
      </c>
      <c r="O97" s="1120">
        <v>6.0</v>
      </c>
      <c r="P97" s="1120">
        <v>25.0</v>
      </c>
      <c r="Q97" s="1120">
        <v>1.0</v>
      </c>
      <c r="R97" s="485"/>
      <c r="S97" s="485"/>
    </row>
    <row r="98">
      <c r="A98" s="1131">
        <v>45292.0</v>
      </c>
      <c r="B98" s="485" t="s">
        <v>653</v>
      </c>
      <c r="C98" s="1120">
        <v>214.0</v>
      </c>
      <c r="D98" s="1120">
        <v>0.0</v>
      </c>
      <c r="E98" s="1120">
        <v>2.0</v>
      </c>
      <c r="F98" s="1120">
        <v>56.0</v>
      </c>
      <c r="G98" s="1120">
        <v>23.0</v>
      </c>
      <c r="H98" s="1120">
        <v>26.0</v>
      </c>
      <c r="I98" s="1120">
        <v>15.0</v>
      </c>
      <c r="J98" s="1120">
        <v>5.0</v>
      </c>
      <c r="K98" s="1120">
        <v>3.0</v>
      </c>
      <c r="L98" s="1120">
        <v>0.0</v>
      </c>
      <c r="M98" s="1120">
        <v>17.0</v>
      </c>
      <c r="N98" s="1120">
        <v>20.0</v>
      </c>
      <c r="O98" s="1120">
        <v>2.0</v>
      </c>
      <c r="P98" s="1120">
        <v>41.0</v>
      </c>
      <c r="Q98" s="1120">
        <v>2.0</v>
      </c>
      <c r="R98" s="485"/>
      <c r="S98" s="485"/>
    </row>
    <row r="99">
      <c r="A99" s="1131">
        <v>45292.0</v>
      </c>
      <c r="B99" s="485" t="s">
        <v>1021</v>
      </c>
      <c r="C99" s="1120">
        <v>42.0</v>
      </c>
      <c r="D99" s="1120">
        <v>0.0</v>
      </c>
      <c r="E99" s="1120">
        <v>0.0</v>
      </c>
      <c r="F99" s="1120">
        <v>16.0</v>
      </c>
      <c r="G99" s="1120">
        <v>3.0</v>
      </c>
      <c r="H99" s="1120">
        <v>4.0</v>
      </c>
      <c r="I99" s="1120">
        <v>2.0</v>
      </c>
      <c r="J99" s="1120">
        <v>0.0</v>
      </c>
      <c r="K99" s="1120">
        <v>0.0</v>
      </c>
      <c r="L99" s="1120">
        <v>0.0</v>
      </c>
      <c r="M99" s="1120">
        <v>2.0</v>
      </c>
      <c r="N99" s="1120">
        <v>5.0</v>
      </c>
      <c r="O99" s="1120">
        <v>1.0</v>
      </c>
      <c r="P99" s="1120">
        <v>9.0</v>
      </c>
      <c r="Q99" s="1120">
        <v>0.0</v>
      </c>
      <c r="R99" s="485"/>
      <c r="S99" s="485"/>
    </row>
    <row r="100">
      <c r="A100" s="1131">
        <v>45292.0</v>
      </c>
      <c r="B100" s="485" t="s">
        <v>1637</v>
      </c>
      <c r="C100" s="1120">
        <v>49.0</v>
      </c>
      <c r="D100" s="1120">
        <v>1.0</v>
      </c>
      <c r="E100" s="1120">
        <v>0.0</v>
      </c>
      <c r="F100" s="1120">
        <v>16.0</v>
      </c>
      <c r="G100" s="1120">
        <v>5.0</v>
      </c>
      <c r="H100" s="1120">
        <v>4.0</v>
      </c>
      <c r="I100" s="1120">
        <v>5.0</v>
      </c>
      <c r="J100" s="1120">
        <v>1.0</v>
      </c>
      <c r="K100" s="1120">
        <v>0.0</v>
      </c>
      <c r="L100" s="1120">
        <v>0.0</v>
      </c>
      <c r="M100" s="1120">
        <v>4.0</v>
      </c>
      <c r="N100" s="1120">
        <v>2.0</v>
      </c>
      <c r="O100" s="1120">
        <v>0.0</v>
      </c>
      <c r="P100" s="1120">
        <v>11.0</v>
      </c>
      <c r="Q100" s="1120">
        <v>0.0</v>
      </c>
      <c r="R100" s="485"/>
      <c r="S100" s="485"/>
    </row>
    <row r="101">
      <c r="A101" s="1131">
        <v>45292.0</v>
      </c>
      <c r="B101" s="485" t="s">
        <v>1638</v>
      </c>
      <c r="C101" s="1120">
        <v>35.0</v>
      </c>
      <c r="D101" s="1120">
        <v>0.0</v>
      </c>
      <c r="E101" s="1120">
        <v>0.0</v>
      </c>
      <c r="F101" s="1120">
        <v>8.0</v>
      </c>
      <c r="G101" s="1120">
        <v>6.0</v>
      </c>
      <c r="H101" s="1120">
        <v>2.0</v>
      </c>
      <c r="I101" s="1120">
        <v>2.0</v>
      </c>
      <c r="J101" s="1120">
        <v>0.0</v>
      </c>
      <c r="K101" s="1120">
        <v>0.0</v>
      </c>
      <c r="L101" s="1120">
        <v>0.0</v>
      </c>
      <c r="M101" s="1120">
        <v>0.0</v>
      </c>
      <c r="N101" s="1120">
        <v>2.0</v>
      </c>
      <c r="O101" s="1120">
        <v>6.0</v>
      </c>
      <c r="P101" s="1120">
        <v>9.0</v>
      </c>
      <c r="Q101" s="1120">
        <v>0.0</v>
      </c>
      <c r="R101" s="485"/>
      <c r="S101" s="485"/>
    </row>
    <row r="107">
      <c r="A107" s="1132" t="s">
        <v>172</v>
      </c>
      <c r="B107" s="1132" t="s">
        <v>3863</v>
      </c>
    </row>
    <row r="108">
      <c r="A108" s="1132" t="s">
        <v>1591</v>
      </c>
      <c r="B108" s="1132">
        <v>4.0</v>
      </c>
    </row>
    <row r="109">
      <c r="A109" s="1132" t="s">
        <v>713</v>
      </c>
      <c r="B109" s="1132">
        <v>3.0</v>
      </c>
    </row>
    <row r="110">
      <c r="A110" s="1132" t="s">
        <v>1615</v>
      </c>
      <c r="B110" s="1132">
        <v>3.0</v>
      </c>
    </row>
    <row r="111">
      <c r="A111" s="1132" t="s">
        <v>1583</v>
      </c>
      <c r="B111" s="1132">
        <v>2.0</v>
      </c>
    </row>
    <row r="112">
      <c r="A112" s="1132" t="s">
        <v>704</v>
      </c>
      <c r="B112" s="1132">
        <v>1.0</v>
      </c>
    </row>
    <row r="113">
      <c r="A113" s="1132" t="s">
        <v>1582</v>
      </c>
      <c r="B113" s="1132">
        <v>1.0</v>
      </c>
    </row>
    <row r="114">
      <c r="A114" s="1132" t="s">
        <v>546</v>
      </c>
      <c r="B114" s="1132">
        <v>1.0</v>
      </c>
    </row>
    <row r="115">
      <c r="A115" s="1132" t="s">
        <v>552</v>
      </c>
      <c r="B115" s="1132">
        <v>1.0</v>
      </c>
    </row>
    <row r="116">
      <c r="A116" s="1132" t="s">
        <v>1592</v>
      </c>
      <c r="B116" s="1132">
        <v>1.0</v>
      </c>
    </row>
    <row r="117">
      <c r="A117" s="1132" t="s">
        <v>112</v>
      </c>
      <c r="B117" s="1132">
        <v>1.0</v>
      </c>
    </row>
    <row r="118">
      <c r="A118" s="1132" t="s">
        <v>570</v>
      </c>
      <c r="B118" s="1132">
        <v>1.0</v>
      </c>
    </row>
    <row r="119">
      <c r="A119" s="1132" t="s">
        <v>1606</v>
      </c>
      <c r="B119" s="1132">
        <v>1.0</v>
      </c>
    </row>
    <row r="120">
      <c r="A120" s="1132" t="s">
        <v>722</v>
      </c>
      <c r="B120" s="1132">
        <v>1.0</v>
      </c>
    </row>
    <row r="121">
      <c r="A121" s="1132" t="s">
        <v>1611</v>
      </c>
      <c r="B121" s="1132">
        <v>1.0</v>
      </c>
    </row>
    <row r="122">
      <c r="A122" s="1132" t="s">
        <v>381</v>
      </c>
      <c r="B122" s="1132">
        <v>1.0</v>
      </c>
    </row>
    <row r="123">
      <c r="A123" s="1132" t="s">
        <v>610</v>
      </c>
      <c r="B123" s="1132">
        <v>1.0</v>
      </c>
    </row>
    <row r="124">
      <c r="A124" s="1132" t="s">
        <v>1617</v>
      </c>
      <c r="B124" s="1132">
        <v>1.0</v>
      </c>
    </row>
    <row r="125">
      <c r="A125" s="1132" t="s">
        <v>163</v>
      </c>
      <c r="B125" s="1132">
        <v>1.0</v>
      </c>
    </row>
    <row r="126">
      <c r="A126" s="1132" t="s">
        <v>1523</v>
      </c>
      <c r="B126" s="1132">
        <v>1.0</v>
      </c>
    </row>
    <row r="127">
      <c r="A127" s="1132" t="s">
        <v>1133</v>
      </c>
      <c r="B127" s="1132">
        <v>1.0</v>
      </c>
    </row>
    <row r="128">
      <c r="A128" s="1132" t="s">
        <v>653</v>
      </c>
      <c r="B128" s="1132">
        <v>1.0</v>
      </c>
    </row>
    <row r="129">
      <c r="A129" s="485" t="s">
        <v>546</v>
      </c>
      <c r="B129" s="1121">
        <v>0.6</v>
      </c>
    </row>
    <row r="130">
      <c r="A130" s="485" t="s">
        <v>1588</v>
      </c>
      <c r="B130" s="1121">
        <v>0.5</v>
      </c>
    </row>
    <row r="131">
      <c r="A131" s="485" t="s">
        <v>1034</v>
      </c>
      <c r="B131" s="1121">
        <v>0.16666666666666666</v>
      </c>
    </row>
    <row r="132">
      <c r="A132" s="485" t="s">
        <v>1589</v>
      </c>
      <c r="B132" s="1121">
        <v>0.2857142857142857</v>
      </c>
    </row>
    <row r="133">
      <c r="A133" s="485" t="s">
        <v>1590</v>
      </c>
      <c r="B133" s="1121">
        <v>0.3333333333333333</v>
      </c>
    </row>
    <row r="134">
      <c r="A134" s="485" t="s">
        <v>1591</v>
      </c>
      <c r="B134" s="1121">
        <v>0.0</v>
      </c>
    </row>
    <row r="135">
      <c r="A135" s="485" t="s">
        <v>552</v>
      </c>
      <c r="B135" s="1121">
        <v>0.42857142857142855</v>
      </c>
    </row>
    <row r="136">
      <c r="A136" s="485" t="s">
        <v>101</v>
      </c>
      <c r="B136" s="1121">
        <v>0.6</v>
      </c>
    </row>
    <row r="137">
      <c r="A137" s="485" t="s">
        <v>1592</v>
      </c>
      <c r="B137" s="1121">
        <v>0.3333333333333333</v>
      </c>
    </row>
    <row r="138">
      <c r="A138" s="485" t="s">
        <v>257</v>
      </c>
      <c r="B138" s="1121">
        <v>0.4473684210526316</v>
      </c>
    </row>
    <row r="139">
      <c r="A139" s="485" t="s">
        <v>1593</v>
      </c>
      <c r="B139" s="1121">
        <v>0.9</v>
      </c>
    </row>
    <row r="140">
      <c r="A140" s="485" t="s">
        <v>1594</v>
      </c>
      <c r="B140" s="1121">
        <v>0.16666666666666666</v>
      </c>
    </row>
    <row r="141">
      <c r="A141" s="485" t="s">
        <v>713</v>
      </c>
      <c r="B141" s="1121">
        <v>0.21212121212121213</v>
      </c>
    </row>
    <row r="142">
      <c r="A142" s="485" t="s">
        <v>1595</v>
      </c>
      <c r="B142" s="1121">
        <v>0.7142857142857143</v>
      </c>
    </row>
    <row r="143">
      <c r="A143" s="485" t="s">
        <v>1596</v>
      </c>
      <c r="B143" s="1121">
        <v>0.4</v>
      </c>
    </row>
    <row r="144">
      <c r="A144" s="485" t="s">
        <v>570</v>
      </c>
      <c r="B144" s="1121">
        <v>0.5652173913043478</v>
      </c>
    </row>
    <row r="145">
      <c r="A145" s="485" t="s">
        <v>1597</v>
      </c>
      <c r="B145" s="1121">
        <v>0.5</v>
      </c>
    </row>
    <row r="146">
      <c r="A146" s="485" t="s">
        <v>1598</v>
      </c>
      <c r="B146" s="1121">
        <v>0.42857142857142855</v>
      </c>
    </row>
    <row r="147">
      <c r="A147" s="485" t="s">
        <v>1599</v>
      </c>
      <c r="B147" s="1121">
        <v>0.5</v>
      </c>
    </row>
    <row r="148">
      <c r="A148" s="485" t="s">
        <v>1600</v>
      </c>
      <c r="B148" s="1121">
        <v>0.5333333333333333</v>
      </c>
    </row>
    <row r="149">
      <c r="A149" s="485" t="s">
        <v>576</v>
      </c>
      <c r="B149" s="1121">
        <v>0.5384615384615384</v>
      </c>
    </row>
    <row r="150">
      <c r="A150" s="485" t="s">
        <v>136</v>
      </c>
      <c r="B150" s="1121">
        <v>0.42857142857142855</v>
      </c>
    </row>
    <row r="151">
      <c r="A151" s="485" t="s">
        <v>1601</v>
      </c>
      <c r="B151" s="1121">
        <v>0.4</v>
      </c>
    </row>
    <row r="152">
      <c r="A152" s="485" t="s">
        <v>224</v>
      </c>
      <c r="B152" s="1121">
        <v>0.8571428571428571</v>
      </c>
    </row>
    <row r="153">
      <c r="A153" s="485" t="s">
        <v>1603</v>
      </c>
      <c r="B153" s="1121">
        <v>0.8333333333333334</v>
      </c>
    </row>
    <row r="154">
      <c r="A154" s="485" t="s">
        <v>138</v>
      </c>
      <c r="B154" s="1121">
        <v>0.0</v>
      </c>
    </row>
    <row r="155">
      <c r="A155" s="485" t="s">
        <v>1604</v>
      </c>
      <c r="B155" s="1121">
        <v>0.03333333333333333</v>
      </c>
    </row>
    <row r="156">
      <c r="A156" s="485" t="s">
        <v>1605</v>
      </c>
      <c r="B156" s="1121">
        <v>0.3125</v>
      </c>
    </row>
    <row r="157">
      <c r="A157" s="485" t="s">
        <v>1606</v>
      </c>
      <c r="B157" s="1121">
        <v>0.36363636363636365</v>
      </c>
    </row>
    <row r="158">
      <c r="A158" s="485" t="s">
        <v>1607</v>
      </c>
      <c r="B158" s="1121">
        <v>0.07142857142857142</v>
      </c>
    </row>
    <row r="159">
      <c r="A159" s="485" t="s">
        <v>722</v>
      </c>
      <c r="B159" s="1121">
        <v>0.5384615384615384</v>
      </c>
    </row>
    <row r="160">
      <c r="A160" s="485" t="s">
        <v>1609</v>
      </c>
      <c r="B160" s="1121">
        <v>0.5333333333333333</v>
      </c>
    </row>
    <row r="161">
      <c r="A161" s="485" t="s">
        <v>1611</v>
      </c>
      <c r="B161" s="1121">
        <v>0.375</v>
      </c>
    </row>
    <row r="162">
      <c r="A162" s="485" t="s">
        <v>142</v>
      </c>
      <c r="B162" s="1133" t="e">
        <v>#DIV/0!</v>
      </c>
    </row>
    <row r="163">
      <c r="A163" s="485" t="s">
        <v>1612</v>
      </c>
      <c r="B163" s="1121">
        <v>0.6</v>
      </c>
    </row>
    <row r="164">
      <c r="A164" s="485" t="s">
        <v>598</v>
      </c>
      <c r="B164" s="1121">
        <v>0.0</v>
      </c>
    </row>
    <row r="165">
      <c r="A165" s="485" t="s">
        <v>1613</v>
      </c>
      <c r="B165" s="1121">
        <v>0.6</v>
      </c>
    </row>
    <row r="166">
      <c r="A166" s="485" t="s">
        <v>290</v>
      </c>
      <c r="B166" s="1121">
        <v>0.8888888888888888</v>
      </c>
    </row>
    <row r="167">
      <c r="A167" s="485" t="s">
        <v>150</v>
      </c>
      <c r="B167" s="1121">
        <v>0.3333333333333333</v>
      </c>
    </row>
    <row r="168">
      <c r="A168" s="485" t="s">
        <v>151</v>
      </c>
      <c r="B168" s="1133" t="e">
        <v>#DIV/0!</v>
      </c>
    </row>
    <row r="169">
      <c r="A169" s="485" t="s">
        <v>510</v>
      </c>
      <c r="B169" s="1133" t="e">
        <v>#DIV/0!</v>
      </c>
    </row>
    <row r="170">
      <c r="A170" s="485" t="s">
        <v>1614</v>
      </c>
      <c r="B170" s="1121">
        <v>0.06666666666666667</v>
      </c>
    </row>
    <row r="171">
      <c r="A171" s="485" t="s">
        <v>381</v>
      </c>
      <c r="B171" s="1121">
        <v>0.3409090909090909</v>
      </c>
    </row>
    <row r="172">
      <c r="A172" s="485" t="s">
        <v>610</v>
      </c>
      <c r="B172" s="1121">
        <v>1.0</v>
      </c>
    </row>
    <row r="173">
      <c r="A173" s="485" t="s">
        <v>157</v>
      </c>
      <c r="B173" s="1121">
        <v>0.0</v>
      </c>
    </row>
    <row r="174">
      <c r="A174" s="485" t="s">
        <v>1615</v>
      </c>
      <c r="B174" s="1121">
        <v>0.5454545454545454</v>
      </c>
    </row>
    <row r="175">
      <c r="A175" s="485" t="s">
        <v>1616</v>
      </c>
      <c r="B175" s="1121">
        <v>0.6216216216216216</v>
      </c>
    </row>
    <row r="176">
      <c r="A176" s="485" t="s">
        <v>1617</v>
      </c>
      <c r="B176" s="1121">
        <v>0.4262295081967213</v>
      </c>
    </row>
    <row r="177">
      <c r="A177" s="485" t="s">
        <v>1619</v>
      </c>
      <c r="B177" s="1121">
        <v>0.34</v>
      </c>
    </row>
    <row r="178">
      <c r="A178" s="485" t="s">
        <v>241</v>
      </c>
      <c r="B178" s="1121">
        <v>0.0</v>
      </c>
    </row>
    <row r="179">
      <c r="A179" s="485" t="s">
        <v>1620</v>
      </c>
      <c r="B179" s="1121">
        <v>0.0</v>
      </c>
    </row>
    <row r="180">
      <c r="A180" s="485" t="s">
        <v>1621</v>
      </c>
      <c r="B180" s="1121">
        <v>0.6</v>
      </c>
    </row>
    <row r="181">
      <c r="A181" s="485" t="s">
        <v>1622</v>
      </c>
      <c r="B181" s="1121">
        <v>0.6666666666666666</v>
      </c>
    </row>
    <row r="182">
      <c r="A182" s="485" t="s">
        <v>1623</v>
      </c>
      <c r="B182" s="1121">
        <v>0.3333333333333333</v>
      </c>
    </row>
    <row r="183">
      <c r="A183" s="485" t="s">
        <v>1624</v>
      </c>
      <c r="B183" s="1121">
        <v>0.16666666666666666</v>
      </c>
    </row>
    <row r="184">
      <c r="A184" s="485" t="s">
        <v>1625</v>
      </c>
      <c r="B184" s="1121">
        <v>0.13793103448275862</v>
      </c>
    </row>
    <row r="185">
      <c r="A185" s="485" t="s">
        <v>302</v>
      </c>
      <c r="B185" s="1121">
        <v>0.6666666666666666</v>
      </c>
    </row>
    <row r="186">
      <c r="A186" s="485" t="s">
        <v>163</v>
      </c>
      <c r="B186" s="1121">
        <v>0.3333333333333333</v>
      </c>
    </row>
    <row r="187">
      <c r="A187" s="485" t="s">
        <v>621</v>
      </c>
      <c r="B187" s="1121">
        <v>0.0</v>
      </c>
    </row>
    <row r="188">
      <c r="A188" s="485" t="s">
        <v>1626</v>
      </c>
      <c r="B188" s="1121">
        <v>0.5517241379310345</v>
      </c>
    </row>
    <row r="189">
      <c r="A189" s="485" t="s">
        <v>1523</v>
      </c>
      <c r="B189" s="1121">
        <v>0.4827586206896552</v>
      </c>
    </row>
    <row r="190">
      <c r="A190" s="485" t="s">
        <v>1133</v>
      </c>
      <c r="B190" s="1121">
        <v>0.2777777777777778</v>
      </c>
    </row>
    <row r="191">
      <c r="A191" s="485" t="s">
        <v>1627</v>
      </c>
      <c r="B191" s="1121">
        <v>0.3333333333333333</v>
      </c>
    </row>
    <row r="192">
      <c r="A192" s="485" t="s">
        <v>1628</v>
      </c>
      <c r="B192" s="1121">
        <v>0.09090909090909091</v>
      </c>
    </row>
    <row r="193">
      <c r="A193" s="485" t="s">
        <v>1425</v>
      </c>
      <c r="B193" s="1121">
        <v>0.5</v>
      </c>
    </row>
    <row r="194">
      <c r="A194" s="485" t="s">
        <v>1629</v>
      </c>
      <c r="B194" s="1121">
        <v>1.0</v>
      </c>
    </row>
    <row r="195">
      <c r="A195" s="485" t="s">
        <v>1630</v>
      </c>
      <c r="B195" s="1121">
        <v>0.35714285714285715</v>
      </c>
    </row>
    <row r="196">
      <c r="A196" s="485" t="s">
        <v>1631</v>
      </c>
      <c r="B196" s="1121">
        <v>0.0</v>
      </c>
    </row>
    <row r="197">
      <c r="A197" s="485" t="s">
        <v>1632</v>
      </c>
      <c r="B197" s="1121">
        <v>0.5</v>
      </c>
    </row>
    <row r="198">
      <c r="A198" s="485" t="s">
        <v>1633</v>
      </c>
      <c r="B198" s="1121">
        <v>0.0</v>
      </c>
    </row>
    <row r="199">
      <c r="A199" s="485" t="s">
        <v>1634</v>
      </c>
      <c r="B199" s="1121">
        <v>1.0</v>
      </c>
    </row>
    <row r="200">
      <c r="A200" s="485" t="s">
        <v>316</v>
      </c>
      <c r="B200" s="1121">
        <v>0.46153846153846156</v>
      </c>
    </row>
    <row r="201">
      <c r="A201" s="485" t="s">
        <v>1635</v>
      </c>
      <c r="B201" s="1121">
        <v>0.0</v>
      </c>
    </row>
    <row r="202">
      <c r="A202" s="485" t="s">
        <v>385</v>
      </c>
      <c r="B202" s="1121">
        <v>0.45454545454545453</v>
      </c>
    </row>
    <row r="203">
      <c r="A203" s="485" t="s">
        <v>647</v>
      </c>
      <c r="B203" s="1121">
        <v>0.0</v>
      </c>
    </row>
    <row r="204">
      <c r="A204" s="485" t="s">
        <v>119</v>
      </c>
      <c r="B204" s="1121">
        <v>1.0</v>
      </c>
    </row>
    <row r="205">
      <c r="A205" s="485" t="s">
        <v>1636</v>
      </c>
      <c r="B205" s="1121">
        <v>0.8</v>
      </c>
    </row>
    <row r="206">
      <c r="A206" s="485" t="s">
        <v>273</v>
      </c>
      <c r="B206" s="1121">
        <v>1.0</v>
      </c>
    </row>
    <row r="207">
      <c r="A207" s="485" t="s">
        <v>653</v>
      </c>
      <c r="B207" s="1121">
        <v>0.4782608695652174</v>
      </c>
    </row>
    <row r="208">
      <c r="A208" s="485" t="s">
        <v>1021</v>
      </c>
      <c r="B208" s="1121">
        <v>0.0</v>
      </c>
    </row>
    <row r="209">
      <c r="A209" s="485" t="s">
        <v>1637</v>
      </c>
      <c r="B209" s="1121">
        <v>0.6</v>
      </c>
    </row>
    <row r="210">
      <c r="A210" s="485" t="s">
        <v>1638</v>
      </c>
      <c r="B210" s="1121">
        <v>0.5</v>
      </c>
    </row>
    <row r="211">
      <c r="A211" s="485"/>
      <c r="B211" s="1121"/>
    </row>
    <row r="212">
      <c r="A212" s="485"/>
      <c r="B212" s="1121"/>
    </row>
    <row r="213">
      <c r="A213" s="485"/>
      <c r="B213" s="1121"/>
    </row>
    <row r="214">
      <c r="A214" s="485"/>
      <c r="B214" s="1133"/>
    </row>
    <row r="215">
      <c r="A215" s="485"/>
      <c r="B215" s="1121"/>
    </row>
    <row r="216">
      <c r="A216" s="485"/>
      <c r="B216" s="1121"/>
    </row>
    <row r="217">
      <c r="A217" s="485"/>
      <c r="B217" s="1121"/>
    </row>
    <row r="218">
      <c r="A218" s="485"/>
      <c r="B218" s="1121"/>
    </row>
    <row r="219">
      <c r="A219" s="485"/>
      <c r="B219" s="1121"/>
    </row>
    <row r="220">
      <c r="A220" s="485"/>
      <c r="B220" s="1121"/>
    </row>
    <row r="221">
      <c r="A221" s="485"/>
      <c r="B221" s="1121"/>
    </row>
    <row r="222">
      <c r="A222" s="485"/>
      <c r="B222" s="1121"/>
    </row>
    <row r="223">
      <c r="A223" s="485"/>
      <c r="B223" s="1121"/>
    </row>
    <row r="224">
      <c r="A224" s="485"/>
      <c r="B224" s="1133"/>
    </row>
    <row r="225">
      <c r="A225" s="485"/>
      <c r="B225" s="1133"/>
    </row>
    <row r="226">
      <c r="A226" s="485"/>
      <c r="B226" s="1121"/>
    </row>
    <row r="227">
      <c r="A227" s="485"/>
      <c r="B227" s="1121"/>
    </row>
    <row r="228">
      <c r="A228" s="485"/>
      <c r="B228" s="1133"/>
    </row>
    <row r="229">
      <c r="A229" s="485"/>
      <c r="B229" s="1121"/>
    </row>
    <row r="230">
      <c r="A230" s="485"/>
      <c r="B230" s="1121"/>
    </row>
    <row r="231">
      <c r="A231" s="485"/>
      <c r="B231" s="1121"/>
    </row>
    <row r="232">
      <c r="A232" s="485"/>
      <c r="B232" s="1121"/>
    </row>
    <row r="233">
      <c r="A233" s="485"/>
      <c r="B233" s="1121"/>
    </row>
    <row r="234">
      <c r="A234" s="485"/>
      <c r="B234" s="1121"/>
    </row>
    <row r="235">
      <c r="A235" s="485"/>
      <c r="B235" s="1121"/>
    </row>
    <row r="236">
      <c r="A236" s="485"/>
      <c r="B236" s="1121"/>
    </row>
    <row r="237">
      <c r="A237" s="485"/>
      <c r="B237" s="1121"/>
    </row>
    <row r="238">
      <c r="A238" s="485"/>
      <c r="B238" s="1133"/>
    </row>
    <row r="239">
      <c r="A239" s="485"/>
      <c r="B239" s="1121"/>
    </row>
    <row r="240">
      <c r="A240" s="485"/>
      <c r="B240" s="1121"/>
    </row>
    <row r="241">
      <c r="A241" s="485"/>
      <c r="B241" s="1133"/>
    </row>
    <row r="242">
      <c r="A242" s="485"/>
      <c r="B242" s="1133"/>
    </row>
    <row r="243">
      <c r="A243" s="485"/>
      <c r="B243" s="1121"/>
    </row>
    <row r="244">
      <c r="A244" s="485"/>
      <c r="B244" s="1133"/>
    </row>
    <row r="245">
      <c r="A245" s="485"/>
      <c r="B245" s="1133"/>
    </row>
    <row r="246">
      <c r="A246" s="485"/>
      <c r="B246" s="1121"/>
    </row>
    <row r="247">
      <c r="A247" s="485"/>
      <c r="B247" s="1121"/>
    </row>
    <row r="248">
      <c r="A248" s="485"/>
      <c r="B248" s="1121"/>
    </row>
    <row r="249">
      <c r="A249" s="485"/>
      <c r="B249" s="1133"/>
    </row>
    <row r="250">
      <c r="A250" s="485"/>
      <c r="B250" s="1121"/>
    </row>
    <row r="251">
      <c r="A251" s="485"/>
      <c r="B251" s="1121"/>
    </row>
    <row r="252">
      <c r="A252" s="485"/>
      <c r="B252" s="1121"/>
    </row>
    <row r="253">
      <c r="A253" s="485"/>
      <c r="B253" s="1121"/>
    </row>
    <row r="254">
      <c r="A254" s="485"/>
      <c r="B254" s="1121"/>
    </row>
    <row r="255">
      <c r="A255" s="485"/>
      <c r="B255" s="1121"/>
    </row>
    <row r="256">
      <c r="A256" s="485"/>
      <c r="B256" s="1121"/>
    </row>
    <row r="257">
      <c r="A257" s="485"/>
      <c r="B257" s="1121"/>
    </row>
    <row r="258">
      <c r="A258" s="485"/>
      <c r="B258" s="1121"/>
    </row>
    <row r="259">
      <c r="A259" s="485"/>
      <c r="B259" s="1121"/>
    </row>
    <row r="260">
      <c r="A260" s="485"/>
      <c r="B260" s="1133"/>
    </row>
    <row r="261">
      <c r="A261" s="485"/>
      <c r="B261" s="1121"/>
    </row>
    <row r="262">
      <c r="A262" s="485"/>
      <c r="B262" s="1133"/>
    </row>
    <row r="263">
      <c r="A263" s="485"/>
      <c r="B263" s="1133"/>
    </row>
    <row r="264">
      <c r="A264" s="485"/>
      <c r="B264" s="1121"/>
    </row>
    <row r="265">
      <c r="A265" s="485"/>
      <c r="B265" s="1121"/>
    </row>
    <row r="266">
      <c r="A266" s="485"/>
      <c r="B266" s="1121"/>
    </row>
    <row r="267">
      <c r="A267" s="485"/>
      <c r="B267" s="1133"/>
    </row>
    <row r="268">
      <c r="A268" s="485"/>
      <c r="B268" s="1121"/>
    </row>
    <row r="269">
      <c r="A269" s="485"/>
      <c r="B269" s="1121"/>
    </row>
    <row r="270">
      <c r="A270" s="485"/>
      <c r="B270" s="1121"/>
    </row>
    <row r="271">
      <c r="A271" s="485"/>
      <c r="B271" s="1121"/>
    </row>
    <row r="272">
      <c r="A272" s="485"/>
      <c r="B272" s="1121"/>
    </row>
    <row r="273">
      <c r="A273" s="485"/>
      <c r="B273" s="1133"/>
    </row>
    <row r="274">
      <c r="A274" s="485"/>
      <c r="B274" s="1121"/>
    </row>
    <row r="275">
      <c r="A275" s="485"/>
      <c r="B275" s="1121"/>
    </row>
    <row r="276">
      <c r="A276" s="485"/>
      <c r="B276" s="1133"/>
    </row>
    <row r="277">
      <c r="A277" s="485"/>
      <c r="B277" s="1121"/>
    </row>
    <row r="278">
      <c r="A278" s="485"/>
      <c r="B278" s="1121"/>
    </row>
    <row r="279">
      <c r="A279" s="485"/>
      <c r="B279" s="1133"/>
    </row>
    <row r="280">
      <c r="A280" s="485"/>
      <c r="B280" s="1121"/>
    </row>
    <row r="281">
      <c r="A281" s="485"/>
      <c r="B281" s="1133"/>
    </row>
    <row r="282">
      <c r="A282" s="485"/>
      <c r="B282" s="1121"/>
    </row>
    <row r="283">
      <c r="A283" s="485"/>
      <c r="B283" s="1121"/>
    </row>
    <row r="284">
      <c r="A284" s="485"/>
      <c r="B284" s="1121"/>
    </row>
    <row r="285">
      <c r="A285" s="485"/>
      <c r="B285" s="1121"/>
    </row>
    <row r="286">
      <c r="A286" s="485"/>
      <c r="B286" s="1121"/>
    </row>
    <row r="287">
      <c r="A287" s="485"/>
      <c r="B287" s="1133"/>
    </row>
    <row r="288">
      <c r="A288" s="485"/>
      <c r="B288" s="1121"/>
    </row>
    <row r="289">
      <c r="A289" s="485"/>
      <c r="B289" s="1121"/>
    </row>
    <row r="290">
      <c r="A290" s="485"/>
      <c r="B290" s="1121"/>
    </row>
    <row r="291">
      <c r="A291" s="485"/>
      <c r="B291" s="1121"/>
    </row>
    <row r="292">
      <c r="A292" s="485"/>
      <c r="B292" s="1121"/>
    </row>
    <row r="293">
      <c r="A293" s="485"/>
      <c r="B293" s="1121"/>
    </row>
    <row r="294">
      <c r="A294" s="485"/>
      <c r="B294" s="1121"/>
    </row>
    <row r="295">
      <c r="A295" s="485"/>
      <c r="B295" s="1121"/>
    </row>
    <row r="296">
      <c r="A296" s="485"/>
      <c r="B296" s="1133"/>
    </row>
    <row r="297">
      <c r="A297" s="485"/>
      <c r="B297" s="1121"/>
    </row>
    <row r="298">
      <c r="A298" s="485"/>
      <c r="B298" s="1133"/>
    </row>
    <row r="299">
      <c r="A299" s="485"/>
      <c r="B299" s="1121"/>
    </row>
    <row r="300">
      <c r="A300" s="485"/>
      <c r="B300" s="1121"/>
    </row>
    <row r="301">
      <c r="A301" s="485"/>
      <c r="B301" s="1121"/>
    </row>
    <row r="302">
      <c r="A302" s="485"/>
      <c r="B302" s="1121"/>
    </row>
    <row r="303">
      <c r="A303" s="485"/>
      <c r="B303" s="1121"/>
    </row>
  </sheetData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4.88"/>
    <col customWidth="1" min="12" max="12" width="13.75"/>
  </cols>
  <sheetData>
    <row r="1">
      <c r="A1" s="167"/>
      <c r="B1" s="168" t="s">
        <v>99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</row>
    <row r="2">
      <c r="A2" s="169" t="s">
        <v>172</v>
      </c>
      <c r="B2" s="170" t="s">
        <v>174</v>
      </c>
      <c r="C2" s="171" t="s">
        <v>693</v>
      </c>
      <c r="D2" s="172" t="s">
        <v>694</v>
      </c>
      <c r="E2" s="172" t="s">
        <v>695</v>
      </c>
      <c r="F2" s="172" t="s">
        <v>179</v>
      </c>
      <c r="G2" s="172" t="s">
        <v>696</v>
      </c>
      <c r="H2" s="173" t="s">
        <v>697</v>
      </c>
      <c r="I2" s="174" t="s">
        <v>84</v>
      </c>
      <c r="J2" s="170" t="s">
        <v>698</v>
      </c>
      <c r="K2" s="175" t="s">
        <v>699</v>
      </c>
      <c r="L2" s="173" t="s">
        <v>89</v>
      </c>
      <c r="M2" s="176" t="s">
        <v>700</v>
      </c>
      <c r="N2" s="177" t="s">
        <v>701</v>
      </c>
      <c r="O2" s="177" t="s">
        <v>702</v>
      </c>
      <c r="P2" s="178" t="s">
        <v>90</v>
      </c>
      <c r="Q2" s="325" t="s">
        <v>703</v>
      </c>
    </row>
    <row r="3">
      <c r="A3" s="326" t="s">
        <v>386</v>
      </c>
      <c r="B3" s="251">
        <f t="array" ref="B3">VLOOKUP($A3,ND_DEMO,2,FALSE)</f>
        <v>2200</v>
      </c>
      <c r="C3" s="252" t="str">
        <f>vlookup(A3,'ND Data'!$A$3:$B$64,2,FALSE)</f>
        <v>NULL</v>
      </c>
      <c r="D3" s="253" t="s">
        <v>63</v>
      </c>
      <c r="E3" s="253" t="s">
        <v>63</v>
      </c>
      <c r="F3" s="253" t="s">
        <v>63</v>
      </c>
      <c r="G3" s="253" t="s">
        <v>63</v>
      </c>
      <c r="H3" s="254" t="s">
        <v>63</v>
      </c>
      <c r="I3" s="255" t="s">
        <v>63</v>
      </c>
      <c r="J3" s="256" t="s">
        <v>63</v>
      </c>
      <c r="K3" s="274" t="s">
        <v>63</v>
      </c>
      <c r="L3" s="254" t="s">
        <v>63</v>
      </c>
      <c r="M3" s="258" t="s">
        <v>63</v>
      </c>
      <c r="N3" s="253" t="s">
        <v>63</v>
      </c>
      <c r="O3" s="253" t="s">
        <v>63</v>
      </c>
      <c r="P3" s="261">
        <f>ifna(vlookup(A3,'Population &amp; Church Numbers'!$A$1993:$D$2045,4,FALSE),"NULL")</f>
        <v>6</v>
      </c>
      <c r="Q3" s="262" t="s">
        <v>63</v>
      </c>
    </row>
    <row r="4">
      <c r="A4" s="188" t="s">
        <v>1640</v>
      </c>
      <c r="B4" s="189">
        <f t="array" ref="B4">VLOOKUP($A4,ND_DEMO,2,FALSE)</f>
        <v>10853</v>
      </c>
      <c r="C4" s="264">
        <f>vlookup(A4,'ND Data'!$A$3:$B$64,2,FALSE)</f>
        <v>28</v>
      </c>
      <c r="D4" s="265" t="s">
        <v>63</v>
      </c>
      <c r="E4" s="265" t="s">
        <v>63</v>
      </c>
      <c r="F4" s="265" t="s">
        <v>63</v>
      </c>
      <c r="G4" s="265" t="s">
        <v>63</v>
      </c>
      <c r="H4" s="266" t="s">
        <v>63</v>
      </c>
      <c r="I4" s="267" t="s">
        <v>63</v>
      </c>
      <c r="J4" s="268" t="s">
        <v>63</v>
      </c>
      <c r="K4" s="284" t="s">
        <v>63</v>
      </c>
      <c r="L4" s="266" t="s">
        <v>63</v>
      </c>
      <c r="M4" s="267" t="s">
        <v>63</v>
      </c>
      <c r="N4" s="265" t="s">
        <v>63</v>
      </c>
      <c r="O4" s="265" t="s">
        <v>63</v>
      </c>
      <c r="P4" s="272">
        <f>ifna(vlookup(A4,'Population &amp; Church Numbers'!$A$1993:$D$2045,4,FALSE),"NULL")</f>
        <v>26</v>
      </c>
      <c r="Q4" s="273" t="s">
        <v>63</v>
      </c>
    </row>
    <row r="5">
      <c r="A5" s="326" t="s">
        <v>1641</v>
      </c>
      <c r="B5" s="251">
        <f t="array" ref="B5">VLOOKUP($A5,ND_DEMO,2,FALSE)</f>
        <v>5964</v>
      </c>
      <c r="C5" s="252">
        <f>vlookup(A5,'ND Data'!$A$3:$B$64,2,FALSE)</f>
        <v>81</v>
      </c>
      <c r="D5" s="253" t="s">
        <v>63</v>
      </c>
      <c r="E5" s="253" t="s">
        <v>63</v>
      </c>
      <c r="F5" s="253" t="s">
        <v>63</v>
      </c>
      <c r="G5" s="253" t="s">
        <v>63</v>
      </c>
      <c r="H5" s="254" t="s">
        <v>63</v>
      </c>
      <c r="I5" s="255" t="s">
        <v>63</v>
      </c>
      <c r="J5" s="256" t="s">
        <v>63</v>
      </c>
      <c r="K5" s="274" t="s">
        <v>63</v>
      </c>
      <c r="L5" s="254" t="s">
        <v>63</v>
      </c>
      <c r="M5" s="255" t="s">
        <v>63</v>
      </c>
      <c r="N5" s="253" t="s">
        <v>63</v>
      </c>
      <c r="O5" s="253" t="s">
        <v>63</v>
      </c>
      <c r="P5" s="261">
        <f>ifna(vlookup(A5,'Population &amp; Church Numbers'!$A$1993:$D$2045,4,FALSE),"NULL")</f>
        <v>13</v>
      </c>
      <c r="Q5" s="262" t="s">
        <v>63</v>
      </c>
    </row>
    <row r="6">
      <c r="A6" s="188" t="s">
        <v>1642</v>
      </c>
      <c r="B6" s="189">
        <f t="array" ref="B6">VLOOKUP($A6,ND_DEMO,2,FALSE)</f>
        <v>945</v>
      </c>
      <c r="C6" s="264" t="str">
        <f>vlookup(A6,'ND Data'!$A$3:$B$64,2,FALSE)</f>
        <v>NULL</v>
      </c>
      <c r="D6" s="265" t="s">
        <v>63</v>
      </c>
      <c r="E6" s="265" t="s">
        <v>63</v>
      </c>
      <c r="F6" s="265" t="s">
        <v>63</v>
      </c>
      <c r="G6" s="265" t="s">
        <v>63</v>
      </c>
      <c r="H6" s="266" t="s">
        <v>63</v>
      </c>
      <c r="I6" s="267" t="s">
        <v>63</v>
      </c>
      <c r="J6" s="268" t="s">
        <v>63</v>
      </c>
      <c r="K6" s="284" t="s">
        <v>63</v>
      </c>
      <c r="L6" s="266" t="s">
        <v>63</v>
      </c>
      <c r="M6" s="267" t="s">
        <v>63</v>
      </c>
      <c r="N6" s="265" t="s">
        <v>63</v>
      </c>
      <c r="O6" s="265" t="s">
        <v>63</v>
      </c>
      <c r="P6" s="272">
        <f>ifna(vlookup(A6,'Population &amp; Church Numbers'!$A$1993:$D$2045,4,FALSE),"NULL")</f>
        <v>2</v>
      </c>
      <c r="Q6" s="273" t="s">
        <v>63</v>
      </c>
    </row>
    <row r="7">
      <c r="A7" s="326" t="s">
        <v>1643</v>
      </c>
      <c r="B7" s="251">
        <f t="array" ref="B7">VLOOKUP($A7,ND_DEMO,2,FALSE)</f>
        <v>6379</v>
      </c>
      <c r="C7" s="252" t="str">
        <f>vlookup(A7,'ND Data'!$A$3:$B$64,2,FALSE)</f>
        <v>NULL</v>
      </c>
      <c r="D7" s="253" t="s">
        <v>63</v>
      </c>
      <c r="E7" s="253" t="s">
        <v>63</v>
      </c>
      <c r="F7" s="253" t="s">
        <v>63</v>
      </c>
      <c r="G7" s="253" t="s">
        <v>63</v>
      </c>
      <c r="H7" s="254" t="s">
        <v>63</v>
      </c>
      <c r="I7" s="255" t="s">
        <v>63</v>
      </c>
      <c r="J7" s="256" t="s">
        <v>63</v>
      </c>
      <c r="K7" s="274" t="s">
        <v>63</v>
      </c>
      <c r="L7" s="254" t="s">
        <v>63</v>
      </c>
      <c r="M7" s="255" t="s">
        <v>63</v>
      </c>
      <c r="N7" s="253" t="s">
        <v>63</v>
      </c>
      <c r="O7" s="253" t="s">
        <v>63</v>
      </c>
      <c r="P7" s="261">
        <f>ifna(vlookup(A7,'Population &amp; Church Numbers'!$A$1993:$D$2045,4,FALSE),"NULL")</f>
        <v>16</v>
      </c>
      <c r="Q7" s="262" t="s">
        <v>63</v>
      </c>
    </row>
    <row r="8">
      <c r="A8" s="188" t="s">
        <v>1644</v>
      </c>
      <c r="B8" s="189">
        <f t="array" ref="B8">VLOOKUP($A8,ND_DEMO,2,FALSE)</f>
        <v>2993</v>
      </c>
      <c r="C8" s="264" t="str">
        <f>vlookup(A8,'ND Data'!$A$3:$B$64,2,FALSE)</f>
        <v>NULL</v>
      </c>
      <c r="D8" s="265" t="s">
        <v>63</v>
      </c>
      <c r="E8" s="265" t="s">
        <v>63</v>
      </c>
      <c r="F8" s="265" t="s">
        <v>63</v>
      </c>
      <c r="G8" s="265" t="s">
        <v>63</v>
      </c>
      <c r="H8" s="266" t="s">
        <v>63</v>
      </c>
      <c r="I8" s="267" t="s">
        <v>63</v>
      </c>
      <c r="J8" s="268" t="s">
        <v>63</v>
      </c>
      <c r="K8" s="284" t="s">
        <v>63</v>
      </c>
      <c r="L8" s="266" t="s">
        <v>63</v>
      </c>
      <c r="M8" s="267" t="s">
        <v>63</v>
      </c>
      <c r="N8" s="265" t="s">
        <v>63</v>
      </c>
      <c r="O8" s="265" t="s">
        <v>63</v>
      </c>
      <c r="P8" s="272">
        <f>ifna(vlookup(A8,'Population &amp; Church Numbers'!$A$1993:$D$2045,4,FALSE),"NULL")</f>
        <v>10</v>
      </c>
      <c r="Q8" s="273" t="s">
        <v>63</v>
      </c>
    </row>
    <row r="9">
      <c r="A9" s="326" t="s">
        <v>546</v>
      </c>
      <c r="B9" s="251">
        <f t="array" ref="B9">VLOOKUP($A9,ND_DEMO,2,FALSE)</f>
        <v>2201</v>
      </c>
      <c r="C9" s="252" t="str">
        <f>vlookup(A9,'ND Data'!$A$3:$B$64,2,FALSE)</f>
        <v>NULL</v>
      </c>
      <c r="D9" s="253" t="s">
        <v>63</v>
      </c>
      <c r="E9" s="253" t="s">
        <v>63</v>
      </c>
      <c r="F9" s="253" t="s">
        <v>63</v>
      </c>
      <c r="G9" s="253" t="s">
        <v>63</v>
      </c>
      <c r="H9" s="254" t="s">
        <v>63</v>
      </c>
      <c r="I9" s="255" t="s">
        <v>63</v>
      </c>
      <c r="J9" s="256" t="s">
        <v>63</v>
      </c>
      <c r="K9" s="274" t="s">
        <v>63</v>
      </c>
      <c r="L9" s="254" t="s">
        <v>63</v>
      </c>
      <c r="M9" s="255" t="s">
        <v>63</v>
      </c>
      <c r="N9" s="253" t="s">
        <v>63</v>
      </c>
      <c r="O9" s="253" t="s">
        <v>63</v>
      </c>
      <c r="P9" s="261">
        <f>ifna(vlookup(A9,'Population &amp; Church Numbers'!$A$1993:$D$2045,4,FALSE),"NULL")</f>
        <v>14</v>
      </c>
      <c r="Q9" s="262" t="s">
        <v>63</v>
      </c>
    </row>
    <row r="10">
      <c r="A10" s="188" t="s">
        <v>1645</v>
      </c>
      <c r="B10" s="189">
        <f t="array" ref="B10">VLOOKUP($A10,ND_DEMO,2,FALSE)</f>
        <v>98458</v>
      </c>
      <c r="C10" s="264">
        <f>vlookup(A10,'ND Data'!$A$3:$B$64,2,FALSE)</f>
        <v>207</v>
      </c>
      <c r="D10" s="265" t="s">
        <v>63</v>
      </c>
      <c r="E10" s="265" t="s">
        <v>63</v>
      </c>
      <c r="F10" s="265" t="s">
        <v>63</v>
      </c>
      <c r="G10" s="265" t="s">
        <v>63</v>
      </c>
      <c r="H10" s="266" t="s">
        <v>63</v>
      </c>
      <c r="I10" s="267" t="s">
        <v>63</v>
      </c>
      <c r="J10" s="268" t="s">
        <v>63</v>
      </c>
      <c r="K10" s="284" t="s">
        <v>63</v>
      </c>
      <c r="L10" s="266" t="s">
        <v>63</v>
      </c>
      <c r="M10" s="267" t="s">
        <v>63</v>
      </c>
      <c r="N10" s="265" t="s">
        <v>63</v>
      </c>
      <c r="O10" s="265" t="s">
        <v>63</v>
      </c>
      <c r="P10" s="272">
        <f>ifna(vlookup(A10,'Population &amp; Church Numbers'!$A$1993:$D$2045,4,FALSE),"NULL")</f>
        <v>58</v>
      </c>
      <c r="Q10" s="273" t="s">
        <v>63</v>
      </c>
    </row>
    <row r="11">
      <c r="A11" s="326" t="s">
        <v>708</v>
      </c>
      <c r="B11" s="251">
        <f t="array" ref="B11">VLOOKUP($A11,ND_DEMO,2,FALSE)</f>
        <v>184525</v>
      </c>
      <c r="C11" s="252">
        <f>vlookup(A11,'ND Data'!$A$3:$B$64,2,FALSE)</f>
        <v>340</v>
      </c>
      <c r="D11" s="253" t="s">
        <v>63</v>
      </c>
      <c r="E11" s="253" t="s">
        <v>63</v>
      </c>
      <c r="F11" s="253" t="s">
        <v>63</v>
      </c>
      <c r="G11" s="253" t="s">
        <v>63</v>
      </c>
      <c r="H11" s="254" t="s">
        <v>63</v>
      </c>
      <c r="I11" s="255" t="s">
        <v>63</v>
      </c>
      <c r="J11" s="256" t="s">
        <v>63</v>
      </c>
      <c r="K11" s="274" t="s">
        <v>63</v>
      </c>
      <c r="L11" s="254" t="s">
        <v>63</v>
      </c>
      <c r="M11" s="255" t="s">
        <v>63</v>
      </c>
      <c r="N11" s="253" t="s">
        <v>63</v>
      </c>
      <c r="O11" s="253" t="s">
        <v>63</v>
      </c>
      <c r="P11" s="261">
        <f>ifna(vlookup(A11,'Population &amp; Church Numbers'!$A$1993:$D$2045,4,FALSE),"NULL")</f>
        <v>103</v>
      </c>
      <c r="Q11" s="262" t="s">
        <v>63</v>
      </c>
    </row>
    <row r="12">
      <c r="A12" s="188" t="s">
        <v>1646</v>
      </c>
      <c r="B12" s="189">
        <f t="array" ref="B12">VLOOKUP($A12,ND_DEMO,2,FALSE)</f>
        <v>3704</v>
      </c>
      <c r="C12" s="264" t="str">
        <f>vlookup(A12,'ND Data'!$A$3:$B$64,2,FALSE)</f>
        <v>NULL</v>
      </c>
      <c r="D12" s="265" t="s">
        <v>63</v>
      </c>
      <c r="E12" s="265" t="s">
        <v>63</v>
      </c>
      <c r="F12" s="265" t="s">
        <v>63</v>
      </c>
      <c r="G12" s="265" t="s">
        <v>63</v>
      </c>
      <c r="H12" s="266" t="s">
        <v>63</v>
      </c>
      <c r="I12" s="267" t="s">
        <v>63</v>
      </c>
      <c r="J12" s="268" t="s">
        <v>63</v>
      </c>
      <c r="K12" s="284" t="s">
        <v>63</v>
      </c>
      <c r="L12" s="266" t="s">
        <v>63</v>
      </c>
      <c r="M12" s="267" t="s">
        <v>63</v>
      </c>
      <c r="N12" s="265" t="s">
        <v>63</v>
      </c>
      <c r="O12" s="265" t="s">
        <v>63</v>
      </c>
      <c r="P12" s="272">
        <f>ifna(vlookup(A12,'Population &amp; Church Numbers'!$A$1993:$D$2045,4,FALSE),"NULL")</f>
        <v>13</v>
      </c>
      <c r="Q12" s="273" t="s">
        <v>63</v>
      </c>
    </row>
    <row r="13">
      <c r="A13" s="326" t="s">
        <v>1647</v>
      </c>
      <c r="B13" s="251">
        <f t="array" ref="B13">VLOOKUP($A13,ND_DEMO,2,FALSE)</f>
        <v>4999</v>
      </c>
      <c r="C13" s="252">
        <f>vlookup(A13,'ND Data'!$A$3:$B$64,2,FALSE)</f>
        <v>15</v>
      </c>
      <c r="D13" s="253" t="s">
        <v>63</v>
      </c>
      <c r="E13" s="253" t="s">
        <v>63</v>
      </c>
      <c r="F13" s="253" t="s">
        <v>63</v>
      </c>
      <c r="G13" s="253" t="s">
        <v>63</v>
      </c>
      <c r="H13" s="254" t="s">
        <v>63</v>
      </c>
      <c r="I13" s="255" t="s">
        <v>63</v>
      </c>
      <c r="J13" s="256" t="s">
        <v>63</v>
      </c>
      <c r="K13" s="274" t="s">
        <v>63</v>
      </c>
      <c r="L13" s="254" t="s">
        <v>63</v>
      </c>
      <c r="M13" s="255" t="s">
        <v>63</v>
      </c>
      <c r="N13" s="253" t="s">
        <v>63</v>
      </c>
      <c r="O13" s="253" t="s">
        <v>63</v>
      </c>
      <c r="P13" s="261">
        <f>ifna(vlookup(A13,'Population &amp; Church Numbers'!$A$1993:$D$2045,4,FALSE),"NULL")</f>
        <v>18</v>
      </c>
      <c r="Q13" s="262" t="s">
        <v>63</v>
      </c>
    </row>
    <row r="14">
      <c r="A14" s="188" t="s">
        <v>1648</v>
      </c>
      <c r="B14" s="189">
        <f t="array" ref="B14">VLOOKUP($A14,ND_DEMO,2,FALSE)</f>
        <v>2195</v>
      </c>
      <c r="C14" s="264" t="str">
        <f>vlookup(A14,'ND Data'!$A$3:$B$64,2,FALSE)</f>
        <v>NULL</v>
      </c>
      <c r="D14" s="265" t="s">
        <v>63</v>
      </c>
      <c r="E14" s="265" t="s">
        <v>63</v>
      </c>
      <c r="F14" s="265" t="s">
        <v>63</v>
      </c>
      <c r="G14" s="265" t="s">
        <v>63</v>
      </c>
      <c r="H14" s="266" t="s">
        <v>63</v>
      </c>
      <c r="I14" s="267" t="s">
        <v>63</v>
      </c>
      <c r="J14" s="268" t="s">
        <v>63</v>
      </c>
      <c r="K14" s="284" t="s">
        <v>63</v>
      </c>
      <c r="L14" s="266" t="s">
        <v>63</v>
      </c>
      <c r="M14" s="267" t="s">
        <v>63</v>
      </c>
      <c r="N14" s="265" t="s">
        <v>63</v>
      </c>
      <c r="O14" s="265" t="s">
        <v>63</v>
      </c>
      <c r="P14" s="272">
        <f>ifna(vlookup(A14,'Population &amp; Church Numbers'!$A$1993:$D$2045,4,FALSE),"NULL")</f>
        <v>8</v>
      </c>
      <c r="Q14" s="273" t="s">
        <v>63</v>
      </c>
    </row>
    <row r="15">
      <c r="A15" s="326" t="s">
        <v>1649</v>
      </c>
      <c r="B15" s="251">
        <f t="array" ref="B15">VLOOKUP($A15,ND_DEMO,2,FALSE)</f>
        <v>4095</v>
      </c>
      <c r="C15" s="252" t="str">
        <f>vlookup(A15,'ND Data'!$A$3:$B$64,2,FALSE)</f>
        <v>NULL</v>
      </c>
      <c r="D15" s="253" t="s">
        <v>63</v>
      </c>
      <c r="E15" s="253" t="s">
        <v>63</v>
      </c>
      <c r="F15" s="253" t="s">
        <v>63</v>
      </c>
      <c r="G15" s="253" t="s">
        <v>63</v>
      </c>
      <c r="H15" s="254" t="s">
        <v>63</v>
      </c>
      <c r="I15" s="255" t="s">
        <v>63</v>
      </c>
      <c r="J15" s="256" t="s">
        <v>63</v>
      </c>
      <c r="K15" s="274" t="s">
        <v>63</v>
      </c>
      <c r="L15" s="254" t="s">
        <v>63</v>
      </c>
      <c r="M15" s="255" t="s">
        <v>63</v>
      </c>
      <c r="N15" s="253" t="s">
        <v>63</v>
      </c>
      <c r="O15" s="253" t="s">
        <v>63</v>
      </c>
      <c r="P15" s="261">
        <f>ifna(vlookup(A15,'Population &amp; Church Numbers'!$A$1993:$D$2045,4,FALSE),"NULL")</f>
        <v>7</v>
      </c>
      <c r="Q15" s="262" t="s">
        <v>63</v>
      </c>
    </row>
    <row r="16">
      <c r="A16" s="188" t="s">
        <v>1538</v>
      </c>
      <c r="B16" s="189">
        <f t="array" ref="B16">VLOOKUP($A16,ND_DEMO,2,FALSE)</f>
        <v>2347</v>
      </c>
      <c r="C16" s="264" t="str">
        <f>vlookup(A16,'ND Data'!$A$3:$B$64,2,FALSE)</f>
        <v>NULL</v>
      </c>
      <c r="D16" s="265" t="s">
        <v>63</v>
      </c>
      <c r="E16" s="265" t="s">
        <v>63</v>
      </c>
      <c r="F16" s="265" t="s">
        <v>63</v>
      </c>
      <c r="G16" s="265" t="s">
        <v>63</v>
      </c>
      <c r="H16" s="266" t="s">
        <v>63</v>
      </c>
      <c r="I16" s="267" t="s">
        <v>63</v>
      </c>
      <c r="J16" s="268" t="s">
        <v>63</v>
      </c>
      <c r="K16" s="284" t="s">
        <v>63</v>
      </c>
      <c r="L16" s="266" t="s">
        <v>63</v>
      </c>
      <c r="M16" s="267" t="s">
        <v>63</v>
      </c>
      <c r="N16" s="265" t="s">
        <v>63</v>
      </c>
      <c r="O16" s="265" t="s">
        <v>63</v>
      </c>
      <c r="P16" s="272">
        <f>ifna(vlookup(A16,'Population &amp; Church Numbers'!$A$1993:$D$2045,4,FALSE),"NULL")</f>
        <v>7</v>
      </c>
      <c r="Q16" s="273" t="s">
        <v>63</v>
      </c>
    </row>
    <row r="17">
      <c r="A17" s="326" t="s">
        <v>1650</v>
      </c>
      <c r="B17" s="251">
        <f t="array" ref="B17">VLOOKUP($A17,ND_DEMO,2,FALSE)</f>
        <v>3301</v>
      </c>
      <c r="C17" s="252" t="str">
        <f>vlookup(A17,'ND Data'!$A$3:$B$64,2,FALSE)</f>
        <v>NULL</v>
      </c>
      <c r="D17" s="253" t="s">
        <v>63</v>
      </c>
      <c r="E17" s="253" t="s">
        <v>63</v>
      </c>
      <c r="F17" s="253" t="s">
        <v>63</v>
      </c>
      <c r="G17" s="253" t="s">
        <v>63</v>
      </c>
      <c r="H17" s="254" t="s">
        <v>63</v>
      </c>
      <c r="I17" s="255" t="s">
        <v>63</v>
      </c>
      <c r="J17" s="256" t="s">
        <v>63</v>
      </c>
      <c r="K17" s="274" t="s">
        <v>63</v>
      </c>
      <c r="L17" s="254" t="s">
        <v>63</v>
      </c>
      <c r="M17" s="255" t="s">
        <v>63</v>
      </c>
      <c r="N17" s="253" t="s">
        <v>63</v>
      </c>
      <c r="O17" s="253" t="s">
        <v>63</v>
      </c>
      <c r="P17" s="261">
        <f>ifna(vlookup(A17,'Population &amp; Church Numbers'!$A$1993:$D$2045,4,FALSE),"NULL")</f>
        <v>11</v>
      </c>
      <c r="Q17" s="262" t="s">
        <v>63</v>
      </c>
    </row>
    <row r="18">
      <c r="A18" s="188" t="s">
        <v>1651</v>
      </c>
      <c r="B18" s="189">
        <f t="array" ref="B18">VLOOKUP($A18,ND_DEMO,2,FALSE)</f>
        <v>3397</v>
      </c>
      <c r="C18" s="264" t="str">
        <f>vlookup(A18,'ND Data'!$A$3:$B$64,2,FALSE)</f>
        <v>NULL</v>
      </c>
      <c r="D18" s="265" t="s">
        <v>63</v>
      </c>
      <c r="E18" s="265" t="s">
        <v>63</v>
      </c>
      <c r="F18" s="265" t="s">
        <v>63</v>
      </c>
      <c r="G18" s="265" t="s">
        <v>63</v>
      </c>
      <c r="H18" s="266" t="s">
        <v>63</v>
      </c>
      <c r="I18" s="267" t="s">
        <v>63</v>
      </c>
      <c r="J18" s="268" t="s">
        <v>63</v>
      </c>
      <c r="K18" s="284" t="s">
        <v>63</v>
      </c>
      <c r="L18" s="266" t="s">
        <v>63</v>
      </c>
      <c r="M18" s="267" t="s">
        <v>63</v>
      </c>
      <c r="N18" s="265" t="s">
        <v>63</v>
      </c>
      <c r="O18" s="265" t="s">
        <v>63</v>
      </c>
      <c r="P18" s="272">
        <f>ifna(vlookup(A18,'Population &amp; Church Numbers'!$A$1993:$D$2045,4,FALSE),"NULL")</f>
        <v>11</v>
      </c>
      <c r="Q18" s="273" t="s">
        <v>63</v>
      </c>
    </row>
    <row r="19">
      <c r="A19" s="326" t="s">
        <v>1443</v>
      </c>
      <c r="B19" s="251">
        <f t="array" ref="B19">VLOOKUP($A19,ND_DEMO,2,FALSE)</f>
        <v>1736</v>
      </c>
      <c r="C19" s="252" t="str">
        <f>vlookup(A19,'ND Data'!$A$3:$B$64,2,FALSE)</f>
        <v>NULL</v>
      </c>
      <c r="D19" s="253" t="s">
        <v>63</v>
      </c>
      <c r="E19" s="253" t="s">
        <v>63</v>
      </c>
      <c r="F19" s="253" t="s">
        <v>63</v>
      </c>
      <c r="G19" s="253" t="s">
        <v>63</v>
      </c>
      <c r="H19" s="254" t="s">
        <v>63</v>
      </c>
      <c r="I19" s="255" t="s">
        <v>63</v>
      </c>
      <c r="J19" s="256" t="s">
        <v>63</v>
      </c>
      <c r="K19" s="274" t="s">
        <v>63</v>
      </c>
      <c r="L19" s="254" t="s">
        <v>63</v>
      </c>
      <c r="M19" s="255" t="s">
        <v>63</v>
      </c>
      <c r="N19" s="253" t="s">
        <v>63</v>
      </c>
      <c r="O19" s="253" t="s">
        <v>63</v>
      </c>
      <c r="P19" s="261">
        <f>ifna(vlookup(A19,'Population &amp; Church Numbers'!$A$1993:$D$2045,4,FALSE),"NULL")</f>
        <v>7</v>
      </c>
      <c r="Q19" s="262" t="s">
        <v>63</v>
      </c>
    </row>
    <row r="20">
      <c r="A20" s="188" t="s">
        <v>1652</v>
      </c>
      <c r="B20" s="189">
        <f t="array" ref="B20">VLOOKUP($A20,ND_DEMO,2,FALSE)</f>
        <v>73170</v>
      </c>
      <c r="C20" s="264">
        <f>vlookup(A20,'ND Data'!$A$3:$B$64,2,FALSE)</f>
        <v>295</v>
      </c>
      <c r="D20" s="265" t="s">
        <v>63</v>
      </c>
      <c r="E20" s="265" t="s">
        <v>63</v>
      </c>
      <c r="F20" s="265" t="s">
        <v>63</v>
      </c>
      <c r="G20" s="265" t="s">
        <v>63</v>
      </c>
      <c r="H20" s="266" t="s">
        <v>63</v>
      </c>
      <c r="I20" s="267" t="s">
        <v>63</v>
      </c>
      <c r="J20" s="268" t="s">
        <v>63</v>
      </c>
      <c r="K20" s="284" t="s">
        <v>63</v>
      </c>
      <c r="L20" s="266" t="s">
        <v>63</v>
      </c>
      <c r="M20" s="267" t="s">
        <v>63</v>
      </c>
      <c r="N20" s="265" t="s">
        <v>63</v>
      </c>
      <c r="O20" s="265" t="s">
        <v>63</v>
      </c>
      <c r="P20" s="272">
        <f>ifna(vlookup(A20,'Population &amp; Church Numbers'!$A$1993:$D$2045,4,FALSE),"NULL")</f>
        <v>59</v>
      </c>
      <c r="Q20" s="273" t="s">
        <v>63</v>
      </c>
    </row>
    <row r="21">
      <c r="A21" s="326" t="s">
        <v>278</v>
      </c>
      <c r="B21" s="251">
        <f t="array" ref="B21">VLOOKUP($A21,ND_DEMO,2,FALSE)</f>
        <v>2301</v>
      </c>
      <c r="C21" s="252" t="str">
        <f>vlookup(A21,'ND Data'!$A$3:$B$64,2,FALSE)</f>
        <v>NULL</v>
      </c>
      <c r="D21" s="253" t="s">
        <v>63</v>
      </c>
      <c r="E21" s="253" t="s">
        <v>63</v>
      </c>
      <c r="F21" s="253" t="s">
        <v>63</v>
      </c>
      <c r="G21" s="253" t="s">
        <v>63</v>
      </c>
      <c r="H21" s="254" t="s">
        <v>63</v>
      </c>
      <c r="I21" s="255" t="s">
        <v>63</v>
      </c>
      <c r="J21" s="256" t="s">
        <v>63</v>
      </c>
      <c r="K21" s="274" t="s">
        <v>63</v>
      </c>
      <c r="L21" s="254" t="s">
        <v>63</v>
      </c>
      <c r="M21" s="255" t="s">
        <v>63</v>
      </c>
      <c r="N21" s="253" t="s">
        <v>63</v>
      </c>
      <c r="O21" s="253" t="s">
        <v>63</v>
      </c>
      <c r="P21" s="261">
        <f>ifna(vlookup(A21,'Population &amp; Church Numbers'!$A$1993:$D$2045,4,FALSE),"NULL")</f>
        <v>9</v>
      </c>
      <c r="Q21" s="262" t="s">
        <v>63</v>
      </c>
    </row>
    <row r="22">
      <c r="A22" s="188" t="s">
        <v>1653</v>
      </c>
      <c r="B22" s="189">
        <f t="array" ref="B22">VLOOKUP($A22,ND_DEMO,2,FALSE)</f>
        <v>2306</v>
      </c>
      <c r="C22" s="264" t="str">
        <f>vlookup(A22,'ND Data'!$A$3:$B$64,2,FALSE)</f>
        <v>NULL</v>
      </c>
      <c r="D22" s="265" t="s">
        <v>63</v>
      </c>
      <c r="E22" s="265" t="s">
        <v>63</v>
      </c>
      <c r="F22" s="265" t="s">
        <v>63</v>
      </c>
      <c r="G22" s="265" t="s">
        <v>63</v>
      </c>
      <c r="H22" s="266" t="s">
        <v>63</v>
      </c>
      <c r="I22" s="267" t="s">
        <v>63</v>
      </c>
      <c r="J22" s="268" t="s">
        <v>63</v>
      </c>
      <c r="K22" s="284" t="s">
        <v>63</v>
      </c>
      <c r="L22" s="266" t="s">
        <v>63</v>
      </c>
      <c r="M22" s="267" t="s">
        <v>63</v>
      </c>
      <c r="N22" s="265" t="s">
        <v>63</v>
      </c>
      <c r="O22" s="265" t="s">
        <v>63</v>
      </c>
      <c r="P22" s="272">
        <f>ifna(vlookup(A22,'Population &amp; Church Numbers'!$A$1993:$D$2045,4,FALSE),"NULL")</f>
        <v>10</v>
      </c>
      <c r="Q22" s="273" t="s">
        <v>63</v>
      </c>
    </row>
    <row r="23">
      <c r="A23" s="326" t="s">
        <v>1654</v>
      </c>
      <c r="B23" s="251">
        <f t="array" ref="B23">VLOOKUP($A23,ND_DEMO,2,FALSE)</f>
        <v>2489</v>
      </c>
      <c r="C23" s="252" t="str">
        <f>vlookup(A23,'ND Data'!$A$3:$B$64,2,FALSE)</f>
        <v>NULL</v>
      </c>
      <c r="D23" s="253" t="s">
        <v>63</v>
      </c>
      <c r="E23" s="253" t="s">
        <v>63</v>
      </c>
      <c r="F23" s="253" t="s">
        <v>63</v>
      </c>
      <c r="G23" s="253" t="s">
        <v>63</v>
      </c>
      <c r="H23" s="254" t="s">
        <v>63</v>
      </c>
      <c r="I23" s="255" t="s">
        <v>63</v>
      </c>
      <c r="J23" s="256" t="s">
        <v>63</v>
      </c>
      <c r="K23" s="274" t="s">
        <v>63</v>
      </c>
      <c r="L23" s="254" t="s">
        <v>63</v>
      </c>
      <c r="M23" s="255" t="s">
        <v>63</v>
      </c>
      <c r="N23" s="253" t="s">
        <v>63</v>
      </c>
      <c r="O23" s="253" t="s">
        <v>63</v>
      </c>
      <c r="P23" s="261">
        <f>ifna(vlookup(A23,'Population &amp; Church Numbers'!$A$1993:$D$2045,4,FALSE),"NULL")</f>
        <v>7</v>
      </c>
      <c r="Q23" s="262" t="s">
        <v>63</v>
      </c>
    </row>
    <row r="24">
      <c r="A24" s="188" t="s">
        <v>1655</v>
      </c>
      <c r="B24" s="189">
        <f t="array" ref="B24">VLOOKUP($A24,ND_DEMO,2,FALSE)</f>
        <v>2394</v>
      </c>
      <c r="C24" s="264" t="str">
        <f>vlookup(A24,'ND Data'!$A$3:$B$64,2,FALSE)</f>
        <v>NULL</v>
      </c>
      <c r="D24" s="265" t="s">
        <v>63</v>
      </c>
      <c r="E24" s="265" t="s">
        <v>63</v>
      </c>
      <c r="F24" s="265" t="s">
        <v>63</v>
      </c>
      <c r="G24" s="265" t="s">
        <v>63</v>
      </c>
      <c r="H24" s="266" t="s">
        <v>63</v>
      </c>
      <c r="I24" s="267" t="s">
        <v>63</v>
      </c>
      <c r="J24" s="268" t="s">
        <v>63</v>
      </c>
      <c r="K24" s="284" t="s">
        <v>63</v>
      </c>
      <c r="L24" s="266" t="s">
        <v>63</v>
      </c>
      <c r="M24" s="267" t="s">
        <v>63</v>
      </c>
      <c r="N24" s="265" t="s">
        <v>63</v>
      </c>
      <c r="O24" s="265" t="s">
        <v>63</v>
      </c>
      <c r="P24" s="272">
        <f>ifna(vlookup(A24,'Population &amp; Church Numbers'!$A$1993:$D$2045,4,FALSE),"NULL")</f>
        <v>9</v>
      </c>
      <c r="Q24" s="273" t="s">
        <v>63</v>
      </c>
    </row>
    <row r="25">
      <c r="A25" s="326" t="s">
        <v>3867</v>
      </c>
      <c r="B25" s="251">
        <f t="array" ref="B25">VLOOKUP($A25,ND_DEMO,2,FALSE)</f>
        <v>4093</v>
      </c>
      <c r="C25" s="252" t="str">
        <f>vlookup(A25,'ND Data'!$A$3:$B$64,2,FALSE)</f>
        <v>NULL</v>
      </c>
      <c r="D25" s="253" t="s">
        <v>63</v>
      </c>
      <c r="E25" s="253" t="s">
        <v>63</v>
      </c>
      <c r="F25" s="253" t="s">
        <v>63</v>
      </c>
      <c r="G25" s="253" t="s">
        <v>63</v>
      </c>
      <c r="H25" s="254" t="s">
        <v>63</v>
      </c>
      <c r="I25" s="255" t="s">
        <v>63</v>
      </c>
      <c r="J25" s="256" t="s">
        <v>63</v>
      </c>
      <c r="K25" s="274" t="s">
        <v>63</v>
      </c>
      <c r="L25" s="254" t="s">
        <v>63</v>
      </c>
      <c r="M25" s="255" t="s">
        <v>63</v>
      </c>
      <c r="N25" s="253" t="s">
        <v>63</v>
      </c>
      <c r="O25" s="253" t="s">
        <v>63</v>
      </c>
      <c r="P25" s="261">
        <f>ifna(vlookup(A25,'Population &amp; Church Numbers'!$A$1993:$D$2045,4,FALSE),"NULL")</f>
        <v>22</v>
      </c>
      <c r="Q25" s="262" t="s">
        <v>63</v>
      </c>
    </row>
    <row r="26">
      <c r="A26" s="188" t="s">
        <v>293</v>
      </c>
      <c r="B26" s="189">
        <f t="array" ref="B26">VLOOKUP($A26,ND_DEMO,2,FALSE)</f>
        <v>1876</v>
      </c>
      <c r="C26" s="264" t="str">
        <f>vlookup(A26,'ND Data'!$A$3:$B$64,2,FALSE)</f>
        <v>NULL</v>
      </c>
      <c r="D26" s="265" t="s">
        <v>63</v>
      </c>
      <c r="E26" s="265" t="s">
        <v>63</v>
      </c>
      <c r="F26" s="265" t="s">
        <v>63</v>
      </c>
      <c r="G26" s="265" t="s">
        <v>63</v>
      </c>
      <c r="H26" s="266" t="s">
        <v>63</v>
      </c>
      <c r="I26" s="267" t="s">
        <v>63</v>
      </c>
      <c r="J26" s="268" t="s">
        <v>63</v>
      </c>
      <c r="K26" s="284" t="s">
        <v>63</v>
      </c>
      <c r="L26" s="266" t="s">
        <v>63</v>
      </c>
      <c r="M26" s="267" t="s">
        <v>63</v>
      </c>
      <c r="N26" s="265" t="s">
        <v>63</v>
      </c>
      <c r="O26" s="265" t="s">
        <v>63</v>
      </c>
      <c r="P26" s="272">
        <f>ifna(vlookup(A26,'Population &amp; Church Numbers'!$A$1993:$D$2045,4,FALSE),"NULL")</f>
        <v>6</v>
      </c>
      <c r="Q26" s="273" t="s">
        <v>63</v>
      </c>
    </row>
    <row r="27">
      <c r="A27" s="326" t="s">
        <v>732</v>
      </c>
      <c r="B27" s="251">
        <f t="array" ref="B27">VLOOKUP($A27,ND_DEMO,2,FALSE)</f>
        <v>5345</v>
      </c>
      <c r="C27" s="252">
        <f>vlookup(A27,'ND Data'!$A$3:$B$64,2,FALSE)</f>
        <v>9</v>
      </c>
      <c r="D27" s="253" t="s">
        <v>63</v>
      </c>
      <c r="E27" s="253" t="s">
        <v>63</v>
      </c>
      <c r="F27" s="253" t="s">
        <v>63</v>
      </c>
      <c r="G27" s="253" t="s">
        <v>63</v>
      </c>
      <c r="H27" s="254" t="s">
        <v>63</v>
      </c>
      <c r="I27" s="255" t="s">
        <v>63</v>
      </c>
      <c r="J27" s="256" t="s">
        <v>63</v>
      </c>
      <c r="K27" s="274" t="s">
        <v>63</v>
      </c>
      <c r="L27" s="254" t="s">
        <v>63</v>
      </c>
      <c r="M27" s="255" t="s">
        <v>63</v>
      </c>
      <c r="N27" s="253" t="s">
        <v>63</v>
      </c>
      <c r="O27" s="253" t="s">
        <v>63</v>
      </c>
      <c r="P27" s="261">
        <f>ifna(vlookup(A27,'Population &amp; Church Numbers'!$A$1993:$D$2045,4,FALSE),"NULL")</f>
        <v>16</v>
      </c>
      <c r="Q27" s="262" t="s">
        <v>63</v>
      </c>
    </row>
    <row r="28">
      <c r="A28" s="188" t="s">
        <v>606</v>
      </c>
      <c r="B28" s="189">
        <f t="array" ref="B28">VLOOKUP($A28,ND_DEMO,2,FALSE)</f>
        <v>2530</v>
      </c>
      <c r="C28" s="264" t="str">
        <f>vlookup(A28,'ND Data'!$A$3:$B$64,2,FALSE)</f>
        <v>NULL</v>
      </c>
      <c r="D28" s="265" t="s">
        <v>63</v>
      </c>
      <c r="E28" s="265" t="s">
        <v>63</v>
      </c>
      <c r="F28" s="265" t="s">
        <v>63</v>
      </c>
      <c r="G28" s="265" t="s">
        <v>63</v>
      </c>
      <c r="H28" s="266" t="s">
        <v>63</v>
      </c>
      <c r="I28" s="267" t="s">
        <v>63</v>
      </c>
      <c r="J28" s="268" t="s">
        <v>63</v>
      </c>
      <c r="K28" s="284" t="s">
        <v>63</v>
      </c>
      <c r="L28" s="266" t="s">
        <v>63</v>
      </c>
      <c r="M28" s="267" t="s">
        <v>63</v>
      </c>
      <c r="N28" s="265" t="s">
        <v>63</v>
      </c>
      <c r="O28" s="265" t="s">
        <v>63</v>
      </c>
      <c r="P28" s="272">
        <f>ifna(vlookup(A28,'Population &amp; Church Numbers'!$A$1993:$D$2045,4,FALSE),"NULL")</f>
        <v>10</v>
      </c>
      <c r="Q28" s="273" t="s">
        <v>63</v>
      </c>
    </row>
    <row r="29">
      <c r="A29" s="326" t="s">
        <v>3868</v>
      </c>
      <c r="B29" s="251">
        <f t="array" ref="B29">VLOOKUP($A29,ND_DEMO,2,FALSE)</f>
        <v>14704</v>
      </c>
      <c r="C29" s="252" t="str">
        <f>vlookup(A29,'ND Data'!$A$3:$B$64,2,FALSE)</f>
        <v>NULL</v>
      </c>
      <c r="D29" s="253" t="s">
        <v>63</v>
      </c>
      <c r="E29" s="253" t="s">
        <v>63</v>
      </c>
      <c r="F29" s="253" t="s">
        <v>63</v>
      </c>
      <c r="G29" s="253" t="s">
        <v>63</v>
      </c>
      <c r="H29" s="254" t="s">
        <v>63</v>
      </c>
      <c r="I29" s="255" t="s">
        <v>63</v>
      </c>
      <c r="J29" s="256" t="s">
        <v>63</v>
      </c>
      <c r="K29" s="274" t="s">
        <v>63</v>
      </c>
      <c r="L29" s="254" t="s">
        <v>63</v>
      </c>
      <c r="M29" s="255" t="s">
        <v>63</v>
      </c>
      <c r="N29" s="253" t="s">
        <v>63</v>
      </c>
      <c r="O29" s="253" t="s">
        <v>63</v>
      </c>
      <c r="P29" s="261">
        <f>ifna(vlookup(A29,'Population &amp; Church Numbers'!$A$1993:$D$2045,4,FALSE),"NULL")</f>
        <v>10</v>
      </c>
      <c r="Q29" s="262" t="s">
        <v>63</v>
      </c>
    </row>
    <row r="30">
      <c r="A30" s="188" t="s">
        <v>2515</v>
      </c>
      <c r="B30" s="189">
        <f t="array" ref="B30">VLOOKUP($A30,ND_DEMO,2,FALSE)</f>
        <v>9771</v>
      </c>
      <c r="C30" s="264">
        <f>vlookup(A30,'ND Data'!$A$3:$B$64,2,FALSE)</f>
        <v>7</v>
      </c>
      <c r="D30" s="265" t="s">
        <v>63</v>
      </c>
      <c r="E30" s="265" t="s">
        <v>63</v>
      </c>
      <c r="F30" s="265" t="s">
        <v>63</v>
      </c>
      <c r="G30" s="265" t="s">
        <v>63</v>
      </c>
      <c r="H30" s="266" t="s">
        <v>63</v>
      </c>
      <c r="I30" s="267" t="s">
        <v>63</v>
      </c>
      <c r="J30" s="268" t="s">
        <v>63</v>
      </c>
      <c r="K30" s="284" t="s">
        <v>63</v>
      </c>
      <c r="L30" s="266" t="s">
        <v>63</v>
      </c>
      <c r="M30" s="267" t="s">
        <v>63</v>
      </c>
      <c r="N30" s="265" t="s">
        <v>63</v>
      </c>
      <c r="O30" s="265" t="s">
        <v>63</v>
      </c>
      <c r="P30" s="272">
        <f>ifna(vlookup(A30,'Population &amp; Church Numbers'!$A$1993:$D$2045,4,FALSE),"NULL")</f>
        <v>34</v>
      </c>
      <c r="Q30" s="273" t="s">
        <v>63</v>
      </c>
    </row>
    <row r="31">
      <c r="A31" s="326" t="s">
        <v>738</v>
      </c>
      <c r="B31" s="251">
        <f t="array" ref="B31">VLOOKUP($A31,ND_DEMO,2,FALSE)</f>
        <v>8350</v>
      </c>
      <c r="C31" s="252" t="str">
        <f>vlookup(A31,'ND Data'!$A$3:$B$64,2,FALSE)</f>
        <v>NULL</v>
      </c>
      <c r="D31" s="253" t="s">
        <v>63</v>
      </c>
      <c r="E31" s="253" t="s">
        <v>63</v>
      </c>
      <c r="F31" s="253" t="s">
        <v>63</v>
      </c>
      <c r="G31" s="253" t="s">
        <v>63</v>
      </c>
      <c r="H31" s="254" t="s">
        <v>63</v>
      </c>
      <c r="I31" s="255" t="s">
        <v>63</v>
      </c>
      <c r="J31" s="256" t="s">
        <v>63</v>
      </c>
      <c r="K31" s="274" t="s">
        <v>63</v>
      </c>
      <c r="L31" s="254" t="s">
        <v>63</v>
      </c>
      <c r="M31" s="255" t="s">
        <v>63</v>
      </c>
      <c r="N31" s="253" t="s">
        <v>63</v>
      </c>
      <c r="O31" s="253" t="s">
        <v>63</v>
      </c>
      <c r="P31" s="261">
        <f>ifna(vlookup(A31,'Population &amp; Church Numbers'!$A$1993:$D$2045,4,FALSE),"NULL")</f>
        <v>27</v>
      </c>
      <c r="Q31" s="262" t="s">
        <v>63</v>
      </c>
    </row>
    <row r="32">
      <c r="A32" s="188" t="s">
        <v>991</v>
      </c>
      <c r="B32" s="189">
        <f t="array" ref="B32">VLOOKUP($A32,ND_DEMO,2,FALSE)</f>
        <v>33291</v>
      </c>
      <c r="C32" s="264">
        <f>vlookup(A32,'ND Data'!$A$3:$B$64,2,FALSE)</f>
        <v>89</v>
      </c>
      <c r="D32" s="265" t="s">
        <v>63</v>
      </c>
      <c r="E32" s="265" t="s">
        <v>63</v>
      </c>
      <c r="F32" s="265" t="s">
        <v>63</v>
      </c>
      <c r="G32" s="265" t="s">
        <v>63</v>
      </c>
      <c r="H32" s="266" t="s">
        <v>63</v>
      </c>
      <c r="I32" s="267" t="s">
        <v>63</v>
      </c>
      <c r="J32" s="268" t="s">
        <v>63</v>
      </c>
      <c r="K32" s="284" t="s">
        <v>63</v>
      </c>
      <c r="L32" s="266" t="s">
        <v>63</v>
      </c>
      <c r="M32" s="267" t="s">
        <v>63</v>
      </c>
      <c r="N32" s="265" t="s">
        <v>63</v>
      </c>
      <c r="O32" s="265" t="s">
        <v>63</v>
      </c>
      <c r="P32" s="272">
        <f>ifna(vlookup(A32,'Population &amp; Church Numbers'!$A$1993:$D$2045,4,FALSE),"NULL")</f>
        <v>31</v>
      </c>
      <c r="Q32" s="273" t="s">
        <v>63</v>
      </c>
    </row>
    <row r="33">
      <c r="A33" s="326" t="s">
        <v>1658</v>
      </c>
      <c r="B33" s="251">
        <f t="array" ref="B33">VLOOKUP($A33,ND_DEMO,2,FALSE)</f>
        <v>9809</v>
      </c>
      <c r="C33" s="252">
        <f>vlookup(A33,'ND Data'!$A$3:$B$64,2,FALSE)</f>
        <v>25</v>
      </c>
      <c r="D33" s="253" t="s">
        <v>63</v>
      </c>
      <c r="E33" s="253" t="s">
        <v>63</v>
      </c>
      <c r="F33" s="253" t="s">
        <v>63</v>
      </c>
      <c r="G33" s="253" t="s">
        <v>63</v>
      </c>
      <c r="H33" s="254" t="s">
        <v>63</v>
      </c>
      <c r="I33" s="255" t="s">
        <v>63</v>
      </c>
      <c r="J33" s="256" t="s">
        <v>63</v>
      </c>
      <c r="K33" s="274" t="s">
        <v>63</v>
      </c>
      <c r="L33" s="254" t="s">
        <v>63</v>
      </c>
      <c r="M33" s="255" t="s">
        <v>63</v>
      </c>
      <c r="N33" s="253" t="s">
        <v>63</v>
      </c>
      <c r="O33" s="253" t="s">
        <v>63</v>
      </c>
      <c r="P33" s="261">
        <f>ifna(vlookup(A33,'Population &amp; Church Numbers'!$A$1993:$D$2045,4,FALSE),"NULL")</f>
        <v>16</v>
      </c>
      <c r="Q33" s="262" t="s">
        <v>63</v>
      </c>
    </row>
    <row r="34">
      <c r="A34" s="188" t="s">
        <v>1125</v>
      </c>
      <c r="B34" s="189">
        <f t="array" ref="B34">VLOOKUP($A34,ND_DEMO,2,FALSE)</f>
        <v>3015</v>
      </c>
      <c r="C34" s="264" t="str">
        <f>vlookup(A34,'ND Data'!$A$3:$B$64,2,FALSE)</f>
        <v>NULL</v>
      </c>
      <c r="D34" s="265" t="s">
        <v>63</v>
      </c>
      <c r="E34" s="265" t="s">
        <v>63</v>
      </c>
      <c r="F34" s="265" t="s">
        <v>63</v>
      </c>
      <c r="G34" s="265" t="s">
        <v>63</v>
      </c>
      <c r="H34" s="266" t="s">
        <v>63</v>
      </c>
      <c r="I34" s="267" t="s">
        <v>63</v>
      </c>
      <c r="J34" s="268" t="s">
        <v>63</v>
      </c>
      <c r="K34" s="284" t="s">
        <v>63</v>
      </c>
      <c r="L34" s="266" t="s">
        <v>63</v>
      </c>
      <c r="M34" s="267" t="s">
        <v>63</v>
      </c>
      <c r="N34" s="265" t="s">
        <v>63</v>
      </c>
      <c r="O34" s="265" t="s">
        <v>63</v>
      </c>
      <c r="P34" s="272">
        <f>ifna(vlookup(A34,'Population &amp; Church Numbers'!$A$1993:$D$2045,4,FALSE),"NULL")</f>
        <v>14</v>
      </c>
      <c r="Q34" s="273" t="s">
        <v>63</v>
      </c>
    </row>
    <row r="35">
      <c r="A35" s="326" t="s">
        <v>1659</v>
      </c>
      <c r="B35" s="251">
        <f t="array" ref="B35">VLOOKUP($A35,ND_DEMO,2,FALSE)</f>
        <v>1877</v>
      </c>
      <c r="C35" s="252" t="str">
        <f>vlookup(A35,'ND Data'!$A$3:$B$64,2,FALSE)</f>
        <v>NULL</v>
      </c>
      <c r="D35" s="253" t="s">
        <v>63</v>
      </c>
      <c r="E35" s="253" t="s">
        <v>63</v>
      </c>
      <c r="F35" s="253" t="s">
        <v>63</v>
      </c>
      <c r="G35" s="253" t="s">
        <v>63</v>
      </c>
      <c r="H35" s="254" t="s">
        <v>63</v>
      </c>
      <c r="I35" s="255" t="s">
        <v>63</v>
      </c>
      <c r="J35" s="256" t="s">
        <v>63</v>
      </c>
      <c r="K35" s="274" t="s">
        <v>63</v>
      </c>
      <c r="L35" s="254" t="s">
        <v>63</v>
      </c>
      <c r="M35" s="255" t="s">
        <v>63</v>
      </c>
      <c r="N35" s="253" t="s">
        <v>63</v>
      </c>
      <c r="O35" s="253" t="s">
        <v>63</v>
      </c>
      <c r="P35" s="261">
        <f>ifna(vlookup(A35,'Population &amp; Church Numbers'!$A$1993:$D$2045,4,FALSE),"NULL")</f>
        <v>4</v>
      </c>
      <c r="Q35" s="262" t="s">
        <v>63</v>
      </c>
    </row>
    <row r="36">
      <c r="A36" s="188" t="s">
        <v>1660</v>
      </c>
      <c r="B36" s="189">
        <f t="array" ref="B36">VLOOKUP($A36,ND_DEMO,2,FALSE)</f>
        <v>6844</v>
      </c>
      <c r="C36" s="264" t="str">
        <f>vlookup(A36,'ND Data'!$A$3:$B$64,2,FALSE)</f>
        <v>NULL</v>
      </c>
      <c r="D36" s="265" t="s">
        <v>63</v>
      </c>
      <c r="E36" s="265" t="s">
        <v>63</v>
      </c>
      <c r="F36" s="265" t="s">
        <v>63</v>
      </c>
      <c r="G36" s="265" t="s">
        <v>63</v>
      </c>
      <c r="H36" s="266" t="s">
        <v>63</v>
      </c>
      <c r="I36" s="267" t="s">
        <v>63</v>
      </c>
      <c r="J36" s="268" t="s">
        <v>63</v>
      </c>
      <c r="K36" s="284" t="s">
        <v>63</v>
      </c>
      <c r="L36" s="266" t="s">
        <v>63</v>
      </c>
      <c r="M36" s="267" t="s">
        <v>63</v>
      </c>
      <c r="N36" s="265" t="s">
        <v>63</v>
      </c>
      <c r="O36" s="265" t="s">
        <v>63</v>
      </c>
      <c r="P36" s="272">
        <f>ifna(vlookup(A36,'Population &amp; Church Numbers'!$A$1993:$D$2045,4,FALSE),"NULL")</f>
        <v>32</v>
      </c>
      <c r="Q36" s="273" t="s">
        <v>63</v>
      </c>
    </row>
    <row r="37">
      <c r="A37" s="326" t="s">
        <v>473</v>
      </c>
      <c r="B37" s="251">
        <f t="array" ref="B37">VLOOKUP($A37,ND_DEMO,2,FALSE)</f>
        <v>3990</v>
      </c>
      <c r="C37" s="252">
        <f>vlookup(A37,'ND Data'!$A$3:$B$64,2,FALSE)</f>
        <v>13</v>
      </c>
      <c r="D37" s="253" t="s">
        <v>63</v>
      </c>
      <c r="E37" s="253" t="s">
        <v>63</v>
      </c>
      <c r="F37" s="253" t="s">
        <v>63</v>
      </c>
      <c r="G37" s="253" t="s">
        <v>63</v>
      </c>
      <c r="H37" s="254" t="s">
        <v>63</v>
      </c>
      <c r="I37" s="255" t="s">
        <v>63</v>
      </c>
      <c r="J37" s="256" t="s">
        <v>63</v>
      </c>
      <c r="K37" s="274" t="s">
        <v>63</v>
      </c>
      <c r="L37" s="254" t="s">
        <v>63</v>
      </c>
      <c r="M37" s="255" t="s">
        <v>63</v>
      </c>
      <c r="N37" s="253" t="s">
        <v>63</v>
      </c>
      <c r="O37" s="253" t="s">
        <v>63</v>
      </c>
      <c r="P37" s="261">
        <f>ifna(vlookup(A37,'Population &amp; Church Numbers'!$A$1993:$D$2045,4,FALSE),"NULL")</f>
        <v>10</v>
      </c>
      <c r="Q37" s="262" t="s">
        <v>63</v>
      </c>
    </row>
    <row r="38">
      <c r="A38" s="188" t="s">
        <v>645</v>
      </c>
      <c r="B38" s="189">
        <f t="array" ref="B38">VLOOKUP($A38,ND_DEMO,2,FALSE)</f>
        <v>11605</v>
      </c>
      <c r="C38" s="264">
        <f>vlookup(A38,'ND Data'!$A$3:$B$64,2,FALSE)</f>
        <v>53</v>
      </c>
      <c r="D38" s="265" t="s">
        <v>63</v>
      </c>
      <c r="E38" s="265" t="s">
        <v>63</v>
      </c>
      <c r="F38" s="265" t="s">
        <v>63</v>
      </c>
      <c r="G38" s="265" t="s">
        <v>63</v>
      </c>
      <c r="H38" s="266" t="s">
        <v>63</v>
      </c>
      <c r="I38" s="267" t="s">
        <v>63</v>
      </c>
      <c r="J38" s="268" t="s">
        <v>63</v>
      </c>
      <c r="K38" s="284" t="s">
        <v>63</v>
      </c>
      <c r="L38" s="266" t="s">
        <v>63</v>
      </c>
      <c r="M38" s="267" t="s">
        <v>63</v>
      </c>
      <c r="N38" s="265" t="s">
        <v>63</v>
      </c>
      <c r="O38" s="265" t="s">
        <v>63</v>
      </c>
      <c r="P38" s="272">
        <f>ifna(vlookup(A38,'Population &amp; Church Numbers'!$A$1993:$D$2045,4,FALSE),"NULL")</f>
        <v>20</v>
      </c>
      <c r="Q38" s="273" t="s">
        <v>63</v>
      </c>
    </row>
    <row r="39">
      <c r="A39" s="326" t="s">
        <v>1661</v>
      </c>
      <c r="B39" s="251">
        <f t="array" ref="B39">VLOOKUP($A39,ND_DEMO,2,FALSE)</f>
        <v>5703</v>
      </c>
      <c r="C39" s="252" t="str">
        <f>vlookup(A39,'ND Data'!$A$3:$B$64,2,FALSE)</f>
        <v>NULL</v>
      </c>
      <c r="D39" s="253" t="s">
        <v>63</v>
      </c>
      <c r="E39" s="253" t="s">
        <v>63</v>
      </c>
      <c r="F39" s="253" t="s">
        <v>63</v>
      </c>
      <c r="G39" s="253" t="s">
        <v>63</v>
      </c>
      <c r="H39" s="254" t="s">
        <v>63</v>
      </c>
      <c r="I39" s="255" t="s">
        <v>63</v>
      </c>
      <c r="J39" s="256" t="s">
        <v>63</v>
      </c>
      <c r="K39" s="274" t="s">
        <v>63</v>
      </c>
      <c r="L39" s="254" t="s">
        <v>63</v>
      </c>
      <c r="M39" s="255" t="s">
        <v>63</v>
      </c>
      <c r="N39" s="253" t="s">
        <v>63</v>
      </c>
      <c r="O39" s="253" t="s">
        <v>63</v>
      </c>
      <c r="P39" s="261">
        <f>ifna(vlookup(A39,'Population &amp; Church Numbers'!$A$1993:$D$2045,4,FALSE),"NULL")</f>
        <v>14</v>
      </c>
      <c r="Q39" s="262" t="s">
        <v>63</v>
      </c>
    </row>
    <row r="40">
      <c r="A40" s="188" t="s">
        <v>1340</v>
      </c>
      <c r="B40" s="189">
        <f t="array" ref="B40">VLOOKUP($A40,ND_DEMO,2,FALSE)</f>
        <v>2282</v>
      </c>
      <c r="C40" s="264" t="str">
        <f>vlookup(A40,'ND Data'!$A$3:$B$64,2,FALSE)</f>
        <v>NULL</v>
      </c>
      <c r="D40" s="265" t="s">
        <v>63</v>
      </c>
      <c r="E40" s="265" t="s">
        <v>63</v>
      </c>
      <c r="F40" s="265" t="s">
        <v>63</v>
      </c>
      <c r="G40" s="265" t="s">
        <v>63</v>
      </c>
      <c r="H40" s="266" t="s">
        <v>63</v>
      </c>
      <c r="I40" s="267" t="s">
        <v>63</v>
      </c>
      <c r="J40" s="268" t="s">
        <v>63</v>
      </c>
      <c r="K40" s="284" t="s">
        <v>63</v>
      </c>
      <c r="L40" s="266" t="s">
        <v>63</v>
      </c>
      <c r="M40" s="267" t="s">
        <v>63</v>
      </c>
      <c r="N40" s="265" t="s">
        <v>63</v>
      </c>
      <c r="O40" s="265" t="s">
        <v>63</v>
      </c>
      <c r="P40" s="272">
        <f>ifna(vlookup(A40,'Population &amp; Church Numbers'!$A$1993:$D$2045,4,FALSE),"NULL")</f>
        <v>9</v>
      </c>
      <c r="Q40" s="273" t="s">
        <v>63</v>
      </c>
    </row>
    <row r="41">
      <c r="A41" s="326" t="s">
        <v>743</v>
      </c>
      <c r="B41" s="251">
        <f t="array" ref="B41">VLOOKUP($A41,ND_DEMO,2,FALSE)</f>
        <v>16529</v>
      </c>
      <c r="C41" s="252">
        <f>vlookup(A41,'ND Data'!$A$3:$B$64,2,FALSE)</f>
        <v>31</v>
      </c>
      <c r="D41" s="253" t="s">
        <v>63</v>
      </c>
      <c r="E41" s="253" t="s">
        <v>63</v>
      </c>
      <c r="F41" s="253" t="s">
        <v>63</v>
      </c>
      <c r="G41" s="253" t="s">
        <v>63</v>
      </c>
      <c r="H41" s="254" t="s">
        <v>63</v>
      </c>
      <c r="I41" s="255" t="s">
        <v>63</v>
      </c>
      <c r="J41" s="256" t="s">
        <v>63</v>
      </c>
      <c r="K41" s="274" t="s">
        <v>63</v>
      </c>
      <c r="L41" s="254" t="s">
        <v>63</v>
      </c>
      <c r="M41" s="255" t="s">
        <v>63</v>
      </c>
      <c r="N41" s="253" t="s">
        <v>63</v>
      </c>
      <c r="O41" s="253" t="s">
        <v>63</v>
      </c>
      <c r="P41" s="261">
        <f>ifna(vlookup(A41,'Population &amp; Church Numbers'!$A$1993:$D$2045,4,FALSE),"NULL")</f>
        <v>28</v>
      </c>
      <c r="Q41" s="262" t="s">
        <v>63</v>
      </c>
    </row>
    <row r="42">
      <c r="A42" s="188" t="s">
        <v>1662</v>
      </c>
      <c r="B42" s="189">
        <f t="array" ref="B42">VLOOKUP($A42,ND_DEMO,2,FALSE)</f>
        <v>12187</v>
      </c>
      <c r="C42" s="264">
        <f>vlookup(A42,'ND Data'!$A$3:$B$64,2,FALSE)</f>
        <v>268</v>
      </c>
      <c r="D42" s="265" t="s">
        <v>63</v>
      </c>
      <c r="E42" s="265" t="s">
        <v>63</v>
      </c>
      <c r="F42" s="265" t="s">
        <v>63</v>
      </c>
      <c r="G42" s="265" t="s">
        <v>63</v>
      </c>
      <c r="H42" s="266" t="s">
        <v>63</v>
      </c>
      <c r="I42" s="267" t="s">
        <v>63</v>
      </c>
      <c r="J42" s="268" t="s">
        <v>63</v>
      </c>
      <c r="K42" s="284" t="s">
        <v>63</v>
      </c>
      <c r="L42" s="266" t="s">
        <v>63</v>
      </c>
      <c r="M42" s="267" t="s">
        <v>63</v>
      </c>
      <c r="N42" s="265" t="s">
        <v>63</v>
      </c>
      <c r="O42" s="265" t="s">
        <v>63</v>
      </c>
      <c r="P42" s="272">
        <f>ifna(vlookup(A42,'Population &amp; Church Numbers'!$A$1993:$D$2045,4,FALSE),"NULL")</f>
        <v>20</v>
      </c>
      <c r="Q42" s="273" t="s">
        <v>63</v>
      </c>
    </row>
    <row r="43">
      <c r="A43" s="326" t="s">
        <v>1663</v>
      </c>
      <c r="B43" s="251">
        <f t="array" ref="B43">VLOOKUP($A43,ND_DEMO,2,FALSE)</f>
        <v>3862</v>
      </c>
      <c r="C43" s="252" t="str">
        <f>vlookup(A43,'ND Data'!$A$3:$B$64,2,FALSE)</f>
        <v>NULL</v>
      </c>
      <c r="D43" s="253" t="s">
        <v>63</v>
      </c>
      <c r="E43" s="253" t="s">
        <v>63</v>
      </c>
      <c r="F43" s="253" t="s">
        <v>63</v>
      </c>
      <c r="G43" s="253" t="s">
        <v>63</v>
      </c>
      <c r="H43" s="254" t="s">
        <v>63</v>
      </c>
      <c r="I43" s="255" t="s">
        <v>63</v>
      </c>
      <c r="J43" s="256" t="s">
        <v>63</v>
      </c>
      <c r="K43" s="274" t="s">
        <v>63</v>
      </c>
      <c r="L43" s="254" t="s">
        <v>63</v>
      </c>
      <c r="M43" s="255" t="s">
        <v>63</v>
      </c>
      <c r="N43" s="253" t="s">
        <v>63</v>
      </c>
      <c r="O43" s="253" t="s">
        <v>63</v>
      </c>
      <c r="P43" s="261">
        <f>ifna(vlookup(A43,'Population &amp; Church Numbers'!$A$1993:$D$2045,4,FALSE),"NULL")</f>
        <v>14</v>
      </c>
      <c r="Q43" s="262" t="s">
        <v>63</v>
      </c>
    </row>
    <row r="44">
      <c r="A44" s="188" t="s">
        <v>1010</v>
      </c>
      <c r="B44" s="189">
        <f t="array" ref="B44">VLOOKUP($A44,ND_DEMO,2,FALSE)</f>
        <v>1265</v>
      </c>
      <c r="C44" s="264" t="str">
        <f>vlookup(A44,'ND Data'!$A$3:$B$64,2,FALSE)</f>
        <v>NULL</v>
      </c>
      <c r="D44" s="265" t="s">
        <v>63</v>
      </c>
      <c r="E44" s="265" t="s">
        <v>63</v>
      </c>
      <c r="F44" s="265" t="s">
        <v>63</v>
      </c>
      <c r="G44" s="265" t="s">
        <v>63</v>
      </c>
      <c r="H44" s="266" t="s">
        <v>63</v>
      </c>
      <c r="I44" s="267" t="s">
        <v>63</v>
      </c>
      <c r="J44" s="268" t="s">
        <v>63</v>
      </c>
      <c r="K44" s="284" t="s">
        <v>63</v>
      </c>
      <c r="L44" s="266" t="s">
        <v>63</v>
      </c>
      <c r="M44" s="267" t="s">
        <v>63</v>
      </c>
      <c r="N44" s="265" t="s">
        <v>63</v>
      </c>
      <c r="O44" s="265" t="s">
        <v>63</v>
      </c>
      <c r="P44" s="272">
        <f>ifna(vlookup(A44,'Population &amp; Church Numbers'!$A$1993:$D$2045,4,FALSE),"NULL")</f>
        <v>7</v>
      </c>
      <c r="Q44" s="273" t="s">
        <v>63</v>
      </c>
    </row>
    <row r="45">
      <c r="A45" s="326" t="s">
        <v>937</v>
      </c>
      <c r="B45" s="251">
        <f t="array" ref="B45">VLOOKUP($A45,ND_DEMO,2,FALSE)</f>
        <v>3898</v>
      </c>
      <c r="C45" s="252">
        <f>vlookup(A45,'ND Data'!$A$3:$B$64,2,FALSE)</f>
        <v>72</v>
      </c>
      <c r="D45" s="253" t="s">
        <v>63</v>
      </c>
      <c r="E45" s="253" t="s">
        <v>63</v>
      </c>
      <c r="F45" s="253" t="s">
        <v>63</v>
      </c>
      <c r="G45" s="253" t="s">
        <v>63</v>
      </c>
      <c r="H45" s="254" t="s">
        <v>63</v>
      </c>
      <c r="I45" s="255" t="s">
        <v>63</v>
      </c>
      <c r="J45" s="256" t="s">
        <v>63</v>
      </c>
      <c r="K45" s="274" t="s">
        <v>63</v>
      </c>
      <c r="L45" s="254" t="s">
        <v>63</v>
      </c>
      <c r="M45" s="255" t="s">
        <v>63</v>
      </c>
      <c r="N45" s="253" t="s">
        <v>63</v>
      </c>
      <c r="O45" s="253" t="s">
        <v>63</v>
      </c>
      <c r="P45" s="261">
        <f>ifna(vlookup(A45,'Population &amp; Church Numbers'!$A$1993:$D$2045,4,FALSE),"NULL")</f>
        <v>4</v>
      </c>
      <c r="Q45" s="262" t="s">
        <v>63</v>
      </c>
    </row>
    <row r="46">
      <c r="A46" s="188" t="s">
        <v>1664</v>
      </c>
      <c r="B46" s="189">
        <f t="array" ref="B46">VLOOKUP($A46,ND_DEMO,2,FALSE)</f>
        <v>706</v>
      </c>
      <c r="C46" s="264" t="str">
        <f>vlookup(A46,'ND Data'!$A$3:$B$64,2,FALSE)</f>
        <v>NULL</v>
      </c>
      <c r="D46" s="265" t="s">
        <v>63</v>
      </c>
      <c r="E46" s="265" t="s">
        <v>63</v>
      </c>
      <c r="F46" s="265" t="s">
        <v>63</v>
      </c>
      <c r="G46" s="265" t="s">
        <v>63</v>
      </c>
      <c r="H46" s="266" t="s">
        <v>63</v>
      </c>
      <c r="I46" s="267" t="s">
        <v>63</v>
      </c>
      <c r="J46" s="268" t="s">
        <v>63</v>
      </c>
      <c r="K46" s="284" t="s">
        <v>63</v>
      </c>
      <c r="L46" s="266" t="s">
        <v>63</v>
      </c>
      <c r="M46" s="267" t="s">
        <v>63</v>
      </c>
      <c r="N46" s="265" t="s">
        <v>63</v>
      </c>
      <c r="O46" s="265" t="s">
        <v>63</v>
      </c>
      <c r="P46" s="272" t="str">
        <f>ifna(vlookup(A46,'Population &amp; Church Numbers'!$A$1993:$D$2045,4,FALSE),"NULL")</f>
        <v>NULL</v>
      </c>
      <c r="Q46" s="273" t="s">
        <v>63</v>
      </c>
    </row>
    <row r="47">
      <c r="A47" s="326" t="s">
        <v>747</v>
      </c>
      <c r="B47" s="251">
        <f t="array" ref="B47">VLOOKUP($A47,ND_DEMO,2,FALSE)</f>
        <v>33646</v>
      </c>
      <c r="C47" s="252">
        <f>vlookup(A47,'ND Data'!$A$3:$B$64,2,FALSE)</f>
        <v>54</v>
      </c>
      <c r="D47" s="253" t="s">
        <v>63</v>
      </c>
      <c r="E47" s="253" t="s">
        <v>63</v>
      </c>
      <c r="F47" s="253" t="s">
        <v>63</v>
      </c>
      <c r="G47" s="253" t="s">
        <v>63</v>
      </c>
      <c r="H47" s="254" t="s">
        <v>63</v>
      </c>
      <c r="I47" s="255" t="s">
        <v>63</v>
      </c>
      <c r="J47" s="256" t="s">
        <v>63</v>
      </c>
      <c r="K47" s="274" t="s">
        <v>63</v>
      </c>
      <c r="L47" s="254" t="s">
        <v>63</v>
      </c>
      <c r="M47" s="255" t="s">
        <v>63</v>
      </c>
      <c r="N47" s="253" t="s">
        <v>63</v>
      </c>
      <c r="O47" s="253" t="s">
        <v>63</v>
      </c>
      <c r="P47" s="261">
        <f>ifna(vlookup(A47,'Population &amp; Church Numbers'!$A$1993:$D$2045,4,FALSE),"NULL")</f>
        <v>34</v>
      </c>
      <c r="Q47" s="262" t="s">
        <v>63</v>
      </c>
    </row>
    <row r="48">
      <c r="A48" s="188" t="s">
        <v>1347</v>
      </c>
      <c r="B48" s="189">
        <f t="array" ref="B48">VLOOKUP($A48,ND_DEMO,2,FALSE)</f>
        <v>1798</v>
      </c>
      <c r="C48" s="264" t="str">
        <f>vlookup(A48,'ND Data'!$A$3:$B$64,2,FALSE)</f>
        <v>NULL</v>
      </c>
      <c r="D48" s="265" t="s">
        <v>63</v>
      </c>
      <c r="E48" s="265" t="s">
        <v>63</v>
      </c>
      <c r="F48" s="265" t="s">
        <v>63</v>
      </c>
      <c r="G48" s="265" t="s">
        <v>63</v>
      </c>
      <c r="H48" s="266" t="s">
        <v>63</v>
      </c>
      <c r="I48" s="267" t="s">
        <v>63</v>
      </c>
      <c r="J48" s="268" t="s">
        <v>63</v>
      </c>
      <c r="K48" s="284" t="s">
        <v>63</v>
      </c>
      <c r="L48" s="266" t="s">
        <v>63</v>
      </c>
      <c r="M48" s="267" t="s">
        <v>63</v>
      </c>
      <c r="N48" s="265" t="s">
        <v>63</v>
      </c>
      <c r="O48" s="265" t="s">
        <v>63</v>
      </c>
      <c r="P48" s="272">
        <f>ifna(vlookup(A48,'Population &amp; Church Numbers'!$A$1993:$D$2045,4,FALSE),"NULL")</f>
        <v>6</v>
      </c>
      <c r="Q48" s="273" t="s">
        <v>63</v>
      </c>
    </row>
    <row r="49">
      <c r="A49" s="326" t="s">
        <v>1665</v>
      </c>
      <c r="B49" s="251">
        <f t="array" ref="B49">VLOOKUP($A49,ND_DEMO,2,FALSE)</f>
        <v>21593</v>
      </c>
      <c r="C49" s="252">
        <f>vlookup(A49,'ND Data'!$A$3:$B$64,2,FALSE)</f>
        <v>34</v>
      </c>
      <c r="D49" s="253" t="s">
        <v>63</v>
      </c>
      <c r="E49" s="253" t="s">
        <v>63</v>
      </c>
      <c r="F49" s="253" t="s">
        <v>63</v>
      </c>
      <c r="G49" s="253" t="s">
        <v>63</v>
      </c>
      <c r="H49" s="254" t="s">
        <v>63</v>
      </c>
      <c r="I49" s="255" t="s">
        <v>63</v>
      </c>
      <c r="J49" s="256" t="s">
        <v>63</v>
      </c>
      <c r="K49" s="274" t="s">
        <v>63</v>
      </c>
      <c r="L49" s="254" t="s">
        <v>63</v>
      </c>
      <c r="M49" s="255" t="s">
        <v>63</v>
      </c>
      <c r="N49" s="253" t="s">
        <v>63</v>
      </c>
      <c r="O49" s="253" t="s">
        <v>63</v>
      </c>
      <c r="P49" s="261">
        <f>ifna(vlookup(A49,'Population &amp; Church Numbers'!$A$1993:$D$2045,4,FALSE),"NULL")</f>
        <v>31</v>
      </c>
      <c r="Q49" s="262" t="s">
        <v>63</v>
      </c>
    </row>
    <row r="50">
      <c r="A50" s="188" t="s">
        <v>1666</v>
      </c>
      <c r="B50" s="189">
        <f t="array" ref="B50">VLOOKUP($A50,ND_DEMO,2,FALSE)</f>
        <v>2162</v>
      </c>
      <c r="C50" s="264">
        <f>vlookup(A50,'ND Data'!$A$3:$B$64,2,FALSE)</f>
        <v>9</v>
      </c>
      <c r="D50" s="265" t="s">
        <v>63</v>
      </c>
      <c r="E50" s="265" t="s">
        <v>63</v>
      </c>
      <c r="F50" s="265" t="s">
        <v>63</v>
      </c>
      <c r="G50" s="265" t="s">
        <v>63</v>
      </c>
      <c r="H50" s="266" t="s">
        <v>63</v>
      </c>
      <c r="I50" s="267" t="s">
        <v>63</v>
      </c>
      <c r="J50" s="268" t="s">
        <v>63</v>
      </c>
      <c r="K50" s="284" t="s">
        <v>63</v>
      </c>
      <c r="L50" s="266" t="s">
        <v>63</v>
      </c>
      <c r="M50" s="267" t="s">
        <v>63</v>
      </c>
      <c r="N50" s="265" t="s">
        <v>63</v>
      </c>
      <c r="O50" s="265" t="s">
        <v>63</v>
      </c>
      <c r="P50" s="272">
        <f>ifna(vlookup(A50,'Population &amp; Church Numbers'!$A$1993:$D$2045,4,FALSE),"NULL")</f>
        <v>9</v>
      </c>
      <c r="Q50" s="273" t="s">
        <v>63</v>
      </c>
    </row>
    <row r="51">
      <c r="A51" s="326" t="s">
        <v>1667</v>
      </c>
      <c r="B51" s="251">
        <f t="array" ref="B51">VLOOKUP($A51,ND_DEMO,2,FALSE)</f>
        <v>7997</v>
      </c>
      <c r="C51" s="252">
        <f>vlookup(A51,'ND Data'!$A$3:$B$64,2,FALSE)</f>
        <v>25</v>
      </c>
      <c r="D51" s="253" t="s">
        <v>63</v>
      </c>
      <c r="E51" s="253" t="s">
        <v>63</v>
      </c>
      <c r="F51" s="253" t="s">
        <v>63</v>
      </c>
      <c r="G51" s="253" t="s">
        <v>63</v>
      </c>
      <c r="H51" s="254" t="s">
        <v>63</v>
      </c>
      <c r="I51" s="255" t="s">
        <v>63</v>
      </c>
      <c r="J51" s="256" t="s">
        <v>63</v>
      </c>
      <c r="K51" s="274" t="s">
        <v>63</v>
      </c>
      <c r="L51" s="254" t="s">
        <v>63</v>
      </c>
      <c r="M51" s="255" t="s">
        <v>63</v>
      </c>
      <c r="N51" s="253" t="s">
        <v>63</v>
      </c>
      <c r="O51" s="253" t="s">
        <v>63</v>
      </c>
      <c r="P51" s="261">
        <f>ifna(vlookup(A51,'Population &amp; Church Numbers'!$A$1993:$D$2045,4,FALSE),"NULL")</f>
        <v>14</v>
      </c>
      <c r="Q51" s="262" t="s">
        <v>63</v>
      </c>
    </row>
    <row r="52">
      <c r="A52" s="188" t="s">
        <v>1668</v>
      </c>
      <c r="B52" s="189">
        <f t="array" ref="B52">VLOOKUP($A52,ND_DEMO,2,FALSE)</f>
        <v>10563</v>
      </c>
      <c r="C52" s="264">
        <f>vlookup(A52,'ND Data'!$A$3:$B$64,2,FALSE)</f>
        <v>41</v>
      </c>
      <c r="D52" s="265" t="s">
        <v>63</v>
      </c>
      <c r="E52" s="265" t="s">
        <v>63</v>
      </c>
      <c r="F52" s="265" t="s">
        <v>63</v>
      </c>
      <c r="G52" s="265" t="s">
        <v>63</v>
      </c>
      <c r="H52" s="266" t="s">
        <v>63</v>
      </c>
      <c r="I52" s="267" t="s">
        <v>63</v>
      </c>
      <c r="J52" s="268" t="s">
        <v>63</v>
      </c>
      <c r="K52" s="284" t="s">
        <v>63</v>
      </c>
      <c r="L52" s="266" t="s">
        <v>63</v>
      </c>
      <c r="M52" s="267" t="s">
        <v>63</v>
      </c>
      <c r="N52" s="265" t="s">
        <v>63</v>
      </c>
      <c r="O52" s="265" t="s">
        <v>63</v>
      </c>
      <c r="P52" s="272">
        <f>ifna(vlookup(A52,'Population &amp; Church Numbers'!$A$1993:$D$2045,4,FALSE),"NULL")</f>
        <v>24</v>
      </c>
      <c r="Q52" s="273" t="s">
        <v>63</v>
      </c>
    </row>
    <row r="53">
      <c r="A53" s="326" t="s">
        <v>1669</v>
      </c>
      <c r="B53" s="251">
        <f t="array" ref="B53">VLOOKUP($A53,ND_DEMO,2,FALSE)</f>
        <v>69919</v>
      </c>
      <c r="C53" s="252">
        <f>vlookup(A53,'ND Data'!$A$3:$B$64,2,FALSE)</f>
        <v>190</v>
      </c>
      <c r="D53" s="253" t="s">
        <v>63</v>
      </c>
      <c r="E53" s="253" t="s">
        <v>63</v>
      </c>
      <c r="F53" s="253" t="s">
        <v>63</v>
      </c>
      <c r="G53" s="253" t="s">
        <v>63</v>
      </c>
      <c r="H53" s="254" t="s">
        <v>63</v>
      </c>
      <c r="I53" s="255" t="s">
        <v>63</v>
      </c>
      <c r="J53" s="256" t="s">
        <v>63</v>
      </c>
      <c r="K53" s="274" t="s">
        <v>63</v>
      </c>
      <c r="L53" s="254" t="s">
        <v>63</v>
      </c>
      <c r="M53" s="255" t="s">
        <v>63</v>
      </c>
      <c r="N53" s="253" t="s">
        <v>63</v>
      </c>
      <c r="O53" s="253" t="s">
        <v>63</v>
      </c>
      <c r="P53" s="261">
        <f>ifna(vlookup(A53,'Population &amp; Church Numbers'!$A$1993:$D$2045,4,FALSE),"NULL")</f>
        <v>61</v>
      </c>
      <c r="Q53" s="262" t="s">
        <v>63</v>
      </c>
    </row>
    <row r="54">
      <c r="A54" s="188" t="s">
        <v>876</v>
      </c>
      <c r="B54" s="189">
        <f t="array" ref="B54">VLOOKUP($A54,ND_DEMO,2,FALSE)</f>
        <v>3982</v>
      </c>
      <c r="C54" s="264" t="str">
        <f>vlookup(A54,'ND Data'!$A$3:$B$64,2,FALSE)</f>
        <v>NULL</v>
      </c>
      <c r="D54" s="265" t="s">
        <v>63</v>
      </c>
      <c r="E54" s="265" t="s">
        <v>63</v>
      </c>
      <c r="F54" s="265" t="s">
        <v>63</v>
      </c>
      <c r="G54" s="265" t="s">
        <v>63</v>
      </c>
      <c r="H54" s="266" t="s">
        <v>63</v>
      </c>
      <c r="I54" s="267" t="s">
        <v>63</v>
      </c>
      <c r="J54" s="268" t="s">
        <v>63</v>
      </c>
      <c r="K54" s="284" t="s">
        <v>63</v>
      </c>
      <c r="L54" s="266" t="s">
        <v>63</v>
      </c>
      <c r="M54" s="267" t="s">
        <v>63</v>
      </c>
      <c r="N54" s="265" t="s">
        <v>63</v>
      </c>
      <c r="O54" s="265" t="s">
        <v>63</v>
      </c>
      <c r="P54" s="272">
        <f>ifna(vlookup(A54,'Population &amp; Church Numbers'!$A$1993:$D$2045,4,FALSE),"NULL")</f>
        <v>16</v>
      </c>
      <c r="Q54" s="273" t="s">
        <v>63</v>
      </c>
    </row>
    <row r="55">
      <c r="A55" s="326" t="s">
        <v>1670</v>
      </c>
      <c r="B55" s="251">
        <f t="array" ref="B55">VLOOKUP($A55,ND_DEMO,2,FALSE)</f>
        <v>40950</v>
      </c>
      <c r="C55" s="252">
        <f>vlookup(A55,'ND Data'!$A$3:$B$64,2,FALSE)</f>
        <v>105</v>
      </c>
      <c r="D55" s="253" t="s">
        <v>63</v>
      </c>
      <c r="E55" s="253" t="s">
        <v>63</v>
      </c>
      <c r="F55" s="253" t="s">
        <v>63</v>
      </c>
      <c r="G55" s="253" t="s">
        <v>63</v>
      </c>
      <c r="H55" s="254" t="s">
        <v>63</v>
      </c>
      <c r="I55" s="255" t="s">
        <v>63</v>
      </c>
      <c r="J55" s="256" t="s">
        <v>63</v>
      </c>
      <c r="K55" s="274" t="s">
        <v>63</v>
      </c>
      <c r="L55" s="254" t="s">
        <v>63</v>
      </c>
      <c r="M55" s="255" t="s">
        <v>63</v>
      </c>
      <c r="N55" s="253" t="s">
        <v>63</v>
      </c>
      <c r="O55" s="253" t="s">
        <v>63</v>
      </c>
      <c r="P55" s="261">
        <f>ifna(vlookup(A55,'Population &amp; Church Numbers'!$A$1993:$D$2045,4,FALSE),"NULL")</f>
        <v>38</v>
      </c>
      <c r="Q55" s="262" t="s">
        <v>63</v>
      </c>
    </row>
    <row r="56">
      <c r="A56" s="217"/>
      <c r="B56" s="218"/>
      <c r="C56" s="219"/>
      <c r="D56" s="220"/>
      <c r="E56" s="220"/>
      <c r="F56" s="220"/>
      <c r="G56" s="220"/>
      <c r="H56" s="221"/>
      <c r="I56" s="222"/>
      <c r="J56" s="223"/>
      <c r="K56" s="219"/>
      <c r="L56" s="224"/>
      <c r="M56" s="225"/>
      <c r="N56" s="226"/>
      <c r="O56" s="220"/>
      <c r="P56" s="221"/>
      <c r="Q56" s="295"/>
    </row>
    <row r="57">
      <c r="A57" s="228" t="s">
        <v>2</v>
      </c>
      <c r="B57" s="229"/>
      <c r="C57" s="230">
        <f>'ND Data'!B3</f>
        <v>2091</v>
      </c>
      <c r="D57" s="311" t="s">
        <v>63</v>
      </c>
      <c r="E57" s="311" t="s">
        <v>63</v>
      </c>
      <c r="F57" s="311" t="s">
        <v>63</v>
      </c>
      <c r="G57" s="311" t="s">
        <v>63</v>
      </c>
      <c r="H57" s="977">
        <f>AFCARSCSC!D38</f>
        <v>974</v>
      </c>
      <c r="I57" s="360">
        <f>AFCARSCSC!C38</f>
        <v>343</v>
      </c>
      <c r="J57" s="305" t="s">
        <v>63</v>
      </c>
      <c r="K57" s="708" t="s">
        <v>63</v>
      </c>
      <c r="L57" s="309" t="s">
        <v>63</v>
      </c>
      <c r="M57" s="360" t="s">
        <v>63</v>
      </c>
      <c r="N57" s="311" t="s">
        <v>63</v>
      </c>
      <c r="O57" s="1091" t="s">
        <v>63</v>
      </c>
      <c r="P57" s="233">
        <f>SUM(P3:P55)</f>
        <v>1005</v>
      </c>
      <c r="Q57" s="1092" t="s">
        <v>63</v>
      </c>
    </row>
  </sheetData>
  <autoFilter ref="$A$2:$Q$55"/>
  <mergeCells count="1">
    <mergeCell ref="B1:Q1"/>
  </mergeCells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75" t="s">
        <v>1040</v>
      </c>
      <c r="B1" s="276"/>
      <c r="C1" s="276"/>
      <c r="D1" s="276"/>
      <c r="E1" s="275" t="s">
        <v>765</v>
      </c>
      <c r="F1" s="275" t="s">
        <v>3864</v>
      </c>
      <c r="G1" s="276"/>
      <c r="H1" s="276"/>
      <c r="I1" s="275" t="s">
        <v>767</v>
      </c>
      <c r="J1" s="277">
        <v>45049.0</v>
      </c>
      <c r="K1" s="275" t="s">
        <v>769</v>
      </c>
      <c r="L1" s="277">
        <v>44469.0</v>
      </c>
      <c r="M1" s="276"/>
    </row>
    <row r="2">
      <c r="A2" s="1"/>
    </row>
    <row r="3">
      <c r="A3" s="1135" t="s">
        <v>99</v>
      </c>
      <c r="B3" s="1136">
        <v>2091.0</v>
      </c>
      <c r="D3" s="570" t="s">
        <v>3865</v>
      </c>
    </row>
    <row r="4">
      <c r="A4" s="1135" t="s">
        <v>386</v>
      </c>
      <c r="B4" s="1137" t="s">
        <v>63</v>
      </c>
    </row>
    <row r="5">
      <c r="A5" s="1135" t="s">
        <v>1640</v>
      </c>
      <c r="B5" s="1137">
        <v>28.0</v>
      </c>
    </row>
    <row r="6">
      <c r="A6" s="1135" t="s">
        <v>1641</v>
      </c>
      <c r="B6" s="1137">
        <v>81.0</v>
      </c>
      <c r="D6" s="570"/>
      <c r="E6" s="570"/>
    </row>
    <row r="7">
      <c r="A7" s="1135" t="s">
        <v>1642</v>
      </c>
      <c r="B7" s="1137" t="s">
        <v>63</v>
      </c>
      <c r="D7" s="1" t="s">
        <v>3866</v>
      </c>
    </row>
    <row r="8">
      <c r="A8" s="1135" t="s">
        <v>1643</v>
      </c>
      <c r="B8" s="1137" t="s">
        <v>63</v>
      </c>
    </row>
    <row r="9">
      <c r="A9" s="1135" t="s">
        <v>1644</v>
      </c>
      <c r="B9" s="1137" t="s">
        <v>63</v>
      </c>
    </row>
    <row r="10">
      <c r="A10" s="1135" t="s">
        <v>546</v>
      </c>
      <c r="B10" s="1137" t="s">
        <v>63</v>
      </c>
    </row>
    <row r="11">
      <c r="A11" s="1135" t="s">
        <v>1645</v>
      </c>
      <c r="B11" s="1137">
        <v>207.0</v>
      </c>
    </row>
    <row r="12">
      <c r="A12" s="1135" t="s">
        <v>708</v>
      </c>
      <c r="B12" s="1137">
        <v>340.0</v>
      </c>
    </row>
    <row r="13">
      <c r="A13" s="1135" t="s">
        <v>1646</v>
      </c>
      <c r="B13" s="1137" t="s">
        <v>63</v>
      </c>
    </row>
    <row r="14">
      <c r="A14" s="1135" t="s">
        <v>1647</v>
      </c>
      <c r="B14" s="1137">
        <v>15.0</v>
      </c>
    </row>
    <row r="15">
      <c r="A15" s="1135" t="s">
        <v>1648</v>
      </c>
      <c r="B15" s="1137" t="s">
        <v>63</v>
      </c>
    </row>
    <row r="16">
      <c r="A16" s="1135" t="s">
        <v>1649</v>
      </c>
      <c r="B16" s="1137" t="s">
        <v>63</v>
      </c>
    </row>
    <row r="17">
      <c r="A17" s="1135" t="s">
        <v>1538</v>
      </c>
      <c r="B17" s="1137" t="s">
        <v>63</v>
      </c>
    </row>
    <row r="18">
      <c r="A18" s="1135" t="s">
        <v>1650</v>
      </c>
      <c r="B18" s="1137" t="s">
        <v>63</v>
      </c>
    </row>
    <row r="19">
      <c r="A19" s="1135" t="s">
        <v>1651</v>
      </c>
      <c r="B19" s="1137" t="s">
        <v>63</v>
      </c>
    </row>
    <row r="20">
      <c r="A20" s="1135" t="s">
        <v>1443</v>
      </c>
      <c r="B20" s="1137" t="s">
        <v>63</v>
      </c>
    </row>
    <row r="21">
      <c r="A21" s="1135" t="s">
        <v>1652</v>
      </c>
      <c r="B21" s="1137">
        <v>295.0</v>
      </c>
    </row>
    <row r="22">
      <c r="A22" s="1135" t="s">
        <v>278</v>
      </c>
      <c r="B22" s="1137" t="s">
        <v>63</v>
      </c>
    </row>
    <row r="23">
      <c r="A23" s="1135" t="s">
        <v>1653</v>
      </c>
      <c r="B23" s="1137" t="s">
        <v>63</v>
      </c>
    </row>
    <row r="24">
      <c r="A24" s="1135" t="s">
        <v>1654</v>
      </c>
      <c r="B24" s="1137" t="s">
        <v>63</v>
      </c>
    </row>
    <row r="25">
      <c r="A25" s="1135" t="s">
        <v>1655</v>
      </c>
      <c r="B25" s="1137" t="s">
        <v>63</v>
      </c>
    </row>
    <row r="26">
      <c r="A26" s="1135" t="s">
        <v>3867</v>
      </c>
      <c r="B26" s="1137" t="s">
        <v>63</v>
      </c>
    </row>
    <row r="27">
      <c r="A27" s="1135" t="s">
        <v>293</v>
      </c>
      <c r="B27" s="1137" t="s">
        <v>63</v>
      </c>
    </row>
    <row r="28">
      <c r="A28" s="1135" t="s">
        <v>732</v>
      </c>
      <c r="B28" s="1137">
        <v>9.0</v>
      </c>
    </row>
    <row r="29">
      <c r="A29" s="1135" t="s">
        <v>606</v>
      </c>
      <c r="B29" s="1137" t="s">
        <v>63</v>
      </c>
    </row>
    <row r="30">
      <c r="A30" s="1135" t="s">
        <v>3868</v>
      </c>
      <c r="B30" s="1137" t="s">
        <v>63</v>
      </c>
    </row>
    <row r="31">
      <c r="A31" s="1135" t="s">
        <v>2515</v>
      </c>
      <c r="B31" s="1137">
        <v>7.0</v>
      </c>
    </row>
    <row r="32">
      <c r="A32" s="1135" t="s">
        <v>738</v>
      </c>
      <c r="B32" s="1137" t="s">
        <v>63</v>
      </c>
    </row>
    <row r="33">
      <c r="A33" s="1135" t="s">
        <v>991</v>
      </c>
      <c r="B33" s="1137">
        <v>89.0</v>
      </c>
    </row>
    <row r="34">
      <c r="A34" s="1135" t="s">
        <v>1658</v>
      </c>
      <c r="B34" s="1137">
        <v>25.0</v>
      </c>
    </row>
    <row r="35">
      <c r="A35" s="1135" t="s">
        <v>1125</v>
      </c>
      <c r="B35" s="1137" t="s">
        <v>63</v>
      </c>
    </row>
    <row r="36">
      <c r="A36" s="1135" t="s">
        <v>1659</v>
      </c>
      <c r="B36" s="1137" t="s">
        <v>63</v>
      </c>
    </row>
    <row r="37">
      <c r="A37" s="1135" t="s">
        <v>1660</v>
      </c>
      <c r="B37" s="1137" t="s">
        <v>63</v>
      </c>
    </row>
    <row r="38">
      <c r="A38" s="1135" t="s">
        <v>473</v>
      </c>
      <c r="B38" s="1137">
        <v>13.0</v>
      </c>
    </row>
    <row r="39">
      <c r="A39" s="1135" t="s">
        <v>645</v>
      </c>
      <c r="B39" s="1137">
        <v>53.0</v>
      </c>
    </row>
    <row r="40">
      <c r="A40" s="1135" t="s">
        <v>1661</v>
      </c>
      <c r="B40" s="1137" t="s">
        <v>63</v>
      </c>
    </row>
    <row r="41">
      <c r="A41" s="1135" t="s">
        <v>1340</v>
      </c>
      <c r="B41" s="1137" t="s">
        <v>63</v>
      </c>
    </row>
    <row r="42">
      <c r="A42" s="1135" t="s">
        <v>743</v>
      </c>
      <c r="B42" s="1137">
        <v>31.0</v>
      </c>
    </row>
    <row r="43">
      <c r="A43" s="1135" t="s">
        <v>1662</v>
      </c>
      <c r="B43" s="1137">
        <v>268.0</v>
      </c>
    </row>
    <row r="44">
      <c r="A44" s="1135" t="s">
        <v>1663</v>
      </c>
      <c r="B44" s="1137" t="s">
        <v>63</v>
      </c>
    </row>
    <row r="45">
      <c r="A45" s="1135" t="s">
        <v>1010</v>
      </c>
      <c r="B45" s="1137" t="s">
        <v>63</v>
      </c>
    </row>
    <row r="46">
      <c r="A46" s="1135" t="s">
        <v>937</v>
      </c>
      <c r="B46" s="1137">
        <v>72.0</v>
      </c>
    </row>
    <row r="47">
      <c r="A47" s="1135" t="s">
        <v>1664</v>
      </c>
      <c r="B47" s="1137" t="s">
        <v>63</v>
      </c>
    </row>
    <row r="48">
      <c r="A48" s="1135" t="s">
        <v>747</v>
      </c>
      <c r="B48" s="1137">
        <v>54.0</v>
      </c>
    </row>
    <row r="49">
      <c r="A49" s="1135" t="s">
        <v>1347</v>
      </c>
      <c r="B49" s="1137" t="s">
        <v>63</v>
      </c>
    </row>
    <row r="50">
      <c r="A50" s="1135" t="s">
        <v>1665</v>
      </c>
      <c r="B50" s="1137">
        <v>34.0</v>
      </c>
    </row>
    <row r="51">
      <c r="A51" s="1135" t="s">
        <v>1666</v>
      </c>
      <c r="B51" s="1137">
        <v>9.0</v>
      </c>
    </row>
    <row r="52">
      <c r="A52" s="1135" t="s">
        <v>1667</v>
      </c>
      <c r="B52" s="1137">
        <v>25.0</v>
      </c>
    </row>
    <row r="53">
      <c r="A53" s="1135" t="s">
        <v>1668</v>
      </c>
      <c r="B53" s="1137">
        <v>41.0</v>
      </c>
    </row>
    <row r="54">
      <c r="A54" s="1135" t="s">
        <v>1669</v>
      </c>
      <c r="B54" s="1137">
        <v>190.0</v>
      </c>
    </row>
    <row r="55">
      <c r="A55" s="1135" t="s">
        <v>876</v>
      </c>
      <c r="B55" s="1137" t="s">
        <v>63</v>
      </c>
    </row>
    <row r="56">
      <c r="A56" s="1135" t="s">
        <v>1670</v>
      </c>
      <c r="B56" s="1137">
        <v>105.0</v>
      </c>
    </row>
    <row r="57">
      <c r="A57" s="1135" t="s">
        <v>3869</v>
      </c>
      <c r="B57" s="1138" t="s">
        <v>3870</v>
      </c>
    </row>
    <row r="58">
      <c r="A58" s="1135" t="s">
        <v>3871</v>
      </c>
      <c r="B58" s="1138" t="s">
        <v>3872</v>
      </c>
    </row>
    <row r="59">
      <c r="A59" s="1135" t="s">
        <v>3873</v>
      </c>
      <c r="B59" s="1138" t="s">
        <v>3874</v>
      </c>
    </row>
    <row r="60">
      <c r="A60" s="1135" t="s">
        <v>3875</v>
      </c>
      <c r="B60" s="1138" t="s">
        <v>3876</v>
      </c>
    </row>
    <row r="61">
      <c r="A61" s="1135" t="s">
        <v>3877</v>
      </c>
      <c r="B61" s="1138" t="s">
        <v>3878</v>
      </c>
    </row>
    <row r="62">
      <c r="A62" s="1135" t="s">
        <v>3879</v>
      </c>
      <c r="B62" s="1138" t="s">
        <v>3880</v>
      </c>
    </row>
    <row r="63">
      <c r="A63" s="1135" t="s">
        <v>3881</v>
      </c>
      <c r="B63" s="1138" t="s">
        <v>3882</v>
      </c>
    </row>
    <row r="64">
      <c r="A64" s="1135" t="s">
        <v>3883</v>
      </c>
      <c r="B64" s="1138" t="s">
        <v>3884</v>
      </c>
    </row>
    <row r="100">
      <c r="A100" s="275" t="s">
        <v>852</v>
      </c>
      <c r="B100" s="276"/>
      <c r="C100" s="276"/>
      <c r="D100" s="276"/>
      <c r="E100" s="275" t="s">
        <v>765</v>
      </c>
      <c r="F100" s="276"/>
      <c r="G100" s="276"/>
      <c r="H100" s="276"/>
      <c r="I100" s="275" t="s">
        <v>767</v>
      </c>
      <c r="J100" s="276"/>
      <c r="K100" s="275" t="s">
        <v>769</v>
      </c>
      <c r="L100" s="276"/>
      <c r="M100" s="276"/>
    </row>
  </sheetData>
  <mergeCells count="1">
    <mergeCell ref="D3:E5"/>
  </mergeCells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sheetData>
    <row r="1">
      <c r="A1" s="167"/>
      <c r="B1" s="168" t="s">
        <v>100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</row>
    <row r="2">
      <c r="A2" s="169" t="s">
        <v>172</v>
      </c>
      <c r="B2" s="170" t="s">
        <v>174</v>
      </c>
      <c r="C2" s="171" t="s">
        <v>693</v>
      </c>
      <c r="D2" s="608" t="s">
        <v>694</v>
      </c>
      <c r="E2" s="608" t="s">
        <v>695</v>
      </c>
      <c r="F2" s="608" t="s">
        <v>179</v>
      </c>
      <c r="G2" s="608" t="s">
        <v>696</v>
      </c>
      <c r="H2" s="173" t="s">
        <v>697</v>
      </c>
      <c r="I2" s="174" t="s">
        <v>84</v>
      </c>
      <c r="J2" s="170" t="s">
        <v>698</v>
      </c>
      <c r="K2" s="175" t="s">
        <v>699</v>
      </c>
      <c r="L2" s="173" t="s">
        <v>89</v>
      </c>
      <c r="M2" s="176" t="s">
        <v>700</v>
      </c>
      <c r="N2" s="177" t="s">
        <v>701</v>
      </c>
      <c r="O2" s="177" t="s">
        <v>702</v>
      </c>
      <c r="P2" s="178" t="s">
        <v>90</v>
      </c>
      <c r="Q2" s="325" t="s">
        <v>703</v>
      </c>
    </row>
    <row r="3">
      <c r="A3" s="609" t="s">
        <v>386</v>
      </c>
      <c r="B3" s="610">
        <f t="array" ref="B3">VLOOKUP($A3,OH_DEMO,2,FALSE)</f>
        <v>27477</v>
      </c>
      <c r="C3" s="704">
        <f>ifna(vlookup(A3,'OH Data'!$A$5:$B$93,2,FALSE),"NULL")</f>
        <v>173</v>
      </c>
      <c r="D3" s="612" t="s">
        <v>63</v>
      </c>
      <c r="E3" s="612">
        <f>ifna(vlookup(A3,'OH Data'!$D$5:$E$88,2,FALSE),"NULL")</f>
        <v>70</v>
      </c>
      <c r="F3" s="612">
        <f>ifna(vlookup(A3,'OH Data'!$G$5:$H$46,2,FALSE),"NULL")</f>
        <v>58</v>
      </c>
      <c r="G3" s="612" t="s">
        <v>63</v>
      </c>
      <c r="H3" s="615" t="s">
        <v>63</v>
      </c>
      <c r="I3" s="704">
        <f>ifna(vlookup(A3,'OH Data'!$J$5:$K$93,2,FALSE),"NULL")</f>
        <v>61</v>
      </c>
      <c r="J3" s="615" t="s">
        <v>63</v>
      </c>
      <c r="K3" s="1139">
        <f>ifna(vlookup(A3,'OH Data'!$S$5:$T$93,2,FALSE),"NULL")</f>
        <v>0.5053763441</v>
      </c>
      <c r="L3" s="671" t="s">
        <v>63</v>
      </c>
      <c r="M3" s="673" t="s">
        <v>63</v>
      </c>
      <c r="N3" s="612" t="s">
        <v>63</v>
      </c>
      <c r="O3" s="612" t="s">
        <v>63</v>
      </c>
      <c r="P3" s="620">
        <f>ifna(vlookup(A3,'Population &amp; Church Numbers'!$A$2046:$D$2133,4,FALSE),"NULL")</f>
        <v>26</v>
      </c>
      <c r="Q3" s="612" t="s">
        <v>63</v>
      </c>
    </row>
    <row r="4">
      <c r="A4" s="609" t="s">
        <v>755</v>
      </c>
      <c r="B4" s="610">
        <f t="array" ref="B4">VLOOKUP($A4,OH_DEMO,2,FALSE)</f>
        <v>102206</v>
      </c>
      <c r="C4" s="704">
        <f>ifna(vlookup(A4,'OH Data'!$A$5:$B$93,2,FALSE),"NULL")</f>
        <v>114</v>
      </c>
      <c r="D4" s="612" t="s">
        <v>63</v>
      </c>
      <c r="E4" s="612">
        <f>ifna(vlookup(A4,'OH Data'!$D$5:$E$88,2,FALSE),"NULL")</f>
        <v>64</v>
      </c>
      <c r="F4" s="612">
        <f>ifna(vlookup(A4,'OH Data'!$G$5:$H$46,2,FALSE),"NULL")</f>
        <v>36</v>
      </c>
      <c r="G4" s="612" t="s">
        <v>63</v>
      </c>
      <c r="H4" s="615" t="s">
        <v>63</v>
      </c>
      <c r="I4" s="704">
        <f>ifna(vlookup(A4,'OH Data'!$J$5:$K$93,2,FALSE),"NULL")</f>
        <v>28</v>
      </c>
      <c r="J4" s="615" t="s">
        <v>63</v>
      </c>
      <c r="K4" s="1139">
        <f>ifna(vlookup(A4,'OH Data'!$S$5:$T$93,2,FALSE),"NULL")</f>
        <v>0.2535211268</v>
      </c>
      <c r="L4" s="671" t="s">
        <v>63</v>
      </c>
      <c r="M4" s="614" t="s">
        <v>63</v>
      </c>
      <c r="N4" s="612" t="s">
        <v>63</v>
      </c>
      <c r="O4" s="612" t="s">
        <v>63</v>
      </c>
      <c r="P4" s="620">
        <f>ifna(vlookup(A4,'Population &amp; Church Numbers'!$A$2046:$D$2133,4,FALSE),"NULL")</f>
        <v>128</v>
      </c>
      <c r="Q4" s="612" t="s">
        <v>63</v>
      </c>
    </row>
    <row r="5">
      <c r="A5" s="609" t="s">
        <v>1671</v>
      </c>
      <c r="B5" s="610">
        <f t="array" ref="B5">VLOOKUP($A5,OH_DEMO,2,FALSE)</f>
        <v>52447</v>
      </c>
      <c r="C5" s="704">
        <f>ifna(vlookup(A5,'OH Data'!$A$5:$B$93,2,FALSE),"NULL")</f>
        <v>65</v>
      </c>
      <c r="D5" s="612" t="s">
        <v>63</v>
      </c>
      <c r="E5" s="612">
        <f>ifna(vlookup(A5,'OH Data'!$D$5:$E$88,2,FALSE),"NULL")</f>
        <v>38</v>
      </c>
      <c r="F5" s="612">
        <f>ifna(vlookup(A5,'OH Data'!$G$5:$H$46,2,FALSE),"NULL")</f>
        <v>15</v>
      </c>
      <c r="G5" s="612" t="s">
        <v>63</v>
      </c>
      <c r="H5" s="615" t="s">
        <v>63</v>
      </c>
      <c r="I5" s="704">
        <f>ifna(vlookup(A5,'OH Data'!$J$5:$K$93,2,FALSE),"NULL")</f>
        <v>26</v>
      </c>
      <c r="J5" s="615" t="s">
        <v>63</v>
      </c>
      <c r="K5" s="1139">
        <f>ifna(vlookup(A5,'OH Data'!$S$5:$T$93,2,FALSE),"NULL")</f>
        <v>0.5294117647</v>
      </c>
      <c r="L5" s="671" t="s">
        <v>63</v>
      </c>
      <c r="M5" s="614" t="s">
        <v>63</v>
      </c>
      <c r="N5" s="612" t="s">
        <v>63</v>
      </c>
      <c r="O5" s="612" t="s">
        <v>63</v>
      </c>
      <c r="P5" s="620">
        <f>ifna(vlookup(A5,'Population &amp; Church Numbers'!$A$2046:$D$2133,4,FALSE),"NULL")</f>
        <v>68</v>
      </c>
      <c r="Q5" s="612" t="s">
        <v>63</v>
      </c>
    </row>
    <row r="6">
      <c r="A6" s="609" t="s">
        <v>1672</v>
      </c>
      <c r="B6" s="610">
        <f t="array" ref="B6">VLOOKUP($A6,OH_DEMO,2,FALSE)</f>
        <v>97574</v>
      </c>
      <c r="C6" s="704">
        <f>ifna(vlookup(A6,'OH Data'!$A$5:$B$93,2,FALSE),"NULL")</f>
        <v>119</v>
      </c>
      <c r="D6" s="612" t="s">
        <v>63</v>
      </c>
      <c r="E6" s="612">
        <f>ifna(vlookup(A6,'OH Data'!$D$5:$E$88,2,FALSE),"NULL")</f>
        <v>46</v>
      </c>
      <c r="F6" s="612">
        <f>ifna(vlookup(A6,'OH Data'!$G$5:$H$46,2,FALSE),"NULL")</f>
        <v>42</v>
      </c>
      <c r="G6" s="612" t="s">
        <v>63</v>
      </c>
      <c r="H6" s="615" t="s">
        <v>63</v>
      </c>
      <c r="I6" s="704">
        <f>ifna(vlookup(A6,'OH Data'!$J$5:$K$93,2,FALSE),"NULL")</f>
        <v>14</v>
      </c>
      <c r="J6" s="615" t="s">
        <v>63</v>
      </c>
      <c r="K6" s="1139">
        <f>ifna(vlookup(A6,'OH Data'!$S$5:$T$93,2,FALSE),"NULL")</f>
        <v>0.4032258065</v>
      </c>
      <c r="L6" s="671" t="s">
        <v>63</v>
      </c>
      <c r="M6" s="614" t="s">
        <v>63</v>
      </c>
      <c r="N6" s="612" t="s">
        <v>63</v>
      </c>
      <c r="O6" s="612" t="s">
        <v>63</v>
      </c>
      <c r="P6" s="620">
        <f>ifna(vlookup(A6,'Population &amp; Church Numbers'!$A$2046:$D$2133,4,FALSE),"NULL")</f>
        <v>104</v>
      </c>
      <c r="Q6" s="612" t="s">
        <v>63</v>
      </c>
    </row>
    <row r="7">
      <c r="A7" s="609" t="s">
        <v>1673</v>
      </c>
      <c r="B7" s="610">
        <f t="array" ref="B7">VLOOKUP($A7,OH_DEMO,2,FALSE)</f>
        <v>62431</v>
      </c>
      <c r="C7" s="704">
        <f>ifna(vlookup(A7,'OH Data'!$A$5:$B$93,2,FALSE),"NULL")</f>
        <v>132</v>
      </c>
      <c r="D7" s="612" t="s">
        <v>63</v>
      </c>
      <c r="E7" s="612">
        <f>ifna(vlookup(A7,'OH Data'!$D$5:$E$88,2,FALSE),"NULL")</f>
        <v>102</v>
      </c>
      <c r="F7" s="612" t="str">
        <f>ifna(vlookup(A7,'OH Data'!$G$5:$H$46,2,FALSE),"NULL")</f>
        <v>NULL</v>
      </c>
      <c r="G7" s="612" t="s">
        <v>63</v>
      </c>
      <c r="H7" s="615" t="s">
        <v>63</v>
      </c>
      <c r="I7" s="704">
        <f>ifna(vlookup(A7,'OH Data'!$J$5:$K$93,2,FALSE),"NULL")</f>
        <v>49</v>
      </c>
      <c r="J7" s="615" t="s">
        <v>63</v>
      </c>
      <c r="K7" s="1139">
        <f>ifna(vlookup(A7,'OH Data'!$S$5:$T$93,2,FALSE),"NULL")</f>
        <v>0.5</v>
      </c>
      <c r="L7" s="671" t="s">
        <v>63</v>
      </c>
      <c r="M7" s="614" t="s">
        <v>63</v>
      </c>
      <c r="N7" s="612" t="s">
        <v>63</v>
      </c>
      <c r="O7" s="612" t="s">
        <v>63</v>
      </c>
      <c r="P7" s="620">
        <f>ifna(vlookup(A7,'Population &amp; Church Numbers'!$A$2046:$D$2133,4,FALSE),"NULL")</f>
        <v>64</v>
      </c>
      <c r="Q7" s="612" t="s">
        <v>63</v>
      </c>
    </row>
    <row r="8">
      <c r="A8" s="609" t="s">
        <v>1674</v>
      </c>
      <c r="B8" s="610">
        <f t="array" ref="B8">VLOOKUP($A8,OH_DEMO,2,FALSE)</f>
        <v>46422</v>
      </c>
      <c r="C8" s="704">
        <f>ifna(vlookup(A8,'OH Data'!$A$5:$B$93,2,FALSE),"NULL")</f>
        <v>21</v>
      </c>
      <c r="D8" s="612" t="s">
        <v>63</v>
      </c>
      <c r="E8" s="612">
        <f>ifna(vlookup(A8,'OH Data'!$D$5:$E$88,2,FALSE),"NULL")</f>
        <v>16</v>
      </c>
      <c r="F8" s="612" t="str">
        <f>ifna(vlookup(A8,'OH Data'!$G$5:$H$46,2,FALSE),"NULL")</f>
        <v>NULL</v>
      </c>
      <c r="G8" s="612" t="s">
        <v>63</v>
      </c>
      <c r="H8" s="615" t="s">
        <v>63</v>
      </c>
      <c r="I8" s="704" t="str">
        <f>ifna(vlookup(A8,'OH Data'!$J$5:$K$93,2,FALSE),"NULL")</f>
        <v>NULL</v>
      </c>
      <c r="J8" s="615" t="s">
        <v>63</v>
      </c>
      <c r="K8" s="1139">
        <f>ifna(vlookup(A8,'OH Data'!$S$5:$T$93,2,FALSE),"NULL")</f>
        <v>0.6666666667</v>
      </c>
      <c r="L8" s="671" t="s">
        <v>63</v>
      </c>
      <c r="M8" s="614" t="s">
        <v>63</v>
      </c>
      <c r="N8" s="612" t="s">
        <v>63</v>
      </c>
      <c r="O8" s="612" t="s">
        <v>63</v>
      </c>
      <c r="P8" s="620">
        <f>ifna(vlookup(A8,'Population &amp; Church Numbers'!$A$2046:$D$2133,4,FALSE),"NULL")</f>
        <v>42</v>
      </c>
      <c r="Q8" s="612" t="s">
        <v>63</v>
      </c>
    </row>
    <row r="9">
      <c r="A9" s="609" t="s">
        <v>1675</v>
      </c>
      <c r="B9" s="610">
        <f t="array" ref="B9">VLOOKUP($A9,OH_DEMO,2,FALSE)</f>
        <v>66497</v>
      </c>
      <c r="C9" s="704">
        <f>ifna(vlookup(A9,'OH Data'!$A$5:$B$93,2,FALSE),"NULL")</f>
        <v>49</v>
      </c>
      <c r="D9" s="612" t="s">
        <v>63</v>
      </c>
      <c r="E9" s="612">
        <f>ifna(vlookup(A9,'OH Data'!$D$5:$E$88,2,FALSE),"NULL")</f>
        <v>31</v>
      </c>
      <c r="F9" s="612">
        <f>ifna(vlookup(A9,'OH Data'!$G$5:$H$46,2,FALSE),"NULL")</f>
        <v>15</v>
      </c>
      <c r="G9" s="612" t="s">
        <v>63</v>
      </c>
      <c r="H9" s="615" t="s">
        <v>63</v>
      </c>
      <c r="I9" s="704">
        <f>ifna(vlookup(A9,'OH Data'!$J$5:$K$93,2,FALSE),"NULL")</f>
        <v>11</v>
      </c>
      <c r="J9" s="615" t="s">
        <v>63</v>
      </c>
      <c r="K9" s="1139">
        <f>ifna(vlookup(A9,'OH Data'!$S$5:$T$93,2,FALSE),"NULL")</f>
        <v>0.5555555556</v>
      </c>
      <c r="L9" s="671" t="s">
        <v>63</v>
      </c>
      <c r="M9" s="614" t="s">
        <v>63</v>
      </c>
      <c r="N9" s="612" t="s">
        <v>63</v>
      </c>
      <c r="O9" s="612" t="s">
        <v>63</v>
      </c>
      <c r="P9" s="620">
        <f>ifna(vlookup(A9,'Population &amp; Church Numbers'!$A$2046:$D$2133,4,FALSE),"NULL")</f>
        <v>84</v>
      </c>
      <c r="Q9" s="612" t="s">
        <v>63</v>
      </c>
    </row>
    <row r="10">
      <c r="A10" s="609" t="s">
        <v>706</v>
      </c>
      <c r="B10" s="610">
        <f t="array" ref="B10">VLOOKUP($A10,OH_DEMO,2,FALSE)</f>
        <v>43676</v>
      </c>
      <c r="C10" s="704">
        <f>ifna(vlookup(A10,'OH Data'!$A$5:$B$93,2,FALSE),"NULL")</f>
        <v>56</v>
      </c>
      <c r="D10" s="612" t="s">
        <v>63</v>
      </c>
      <c r="E10" s="612">
        <f>ifna(vlookup(A10,'OH Data'!$D$5:$E$88,2,FALSE),"NULL")</f>
        <v>33</v>
      </c>
      <c r="F10" s="612">
        <f>ifna(vlookup(A10,'OH Data'!$G$5:$H$46,2,FALSE),"NULL")</f>
        <v>12</v>
      </c>
      <c r="G10" s="612" t="s">
        <v>63</v>
      </c>
      <c r="H10" s="615" t="s">
        <v>63</v>
      </c>
      <c r="I10" s="704">
        <f>ifna(vlookup(A10,'OH Data'!$J$5:$K$93,2,FALSE),"NULL")</f>
        <v>11</v>
      </c>
      <c r="J10" s="615" t="s">
        <v>63</v>
      </c>
      <c r="K10" s="1139">
        <f>ifna(vlookup(A10,'OH Data'!$S$5:$T$93,2,FALSE),"NULL")</f>
        <v>0.3333333333</v>
      </c>
      <c r="L10" s="671" t="s">
        <v>63</v>
      </c>
      <c r="M10" s="614" t="s">
        <v>63</v>
      </c>
      <c r="N10" s="612" t="s">
        <v>63</v>
      </c>
      <c r="O10" s="612" t="s">
        <v>63</v>
      </c>
      <c r="P10" s="620">
        <f>ifna(vlookup(A10,'Population &amp; Church Numbers'!$A$2046:$D$2133,4,FALSE),"NULL")</f>
        <v>44</v>
      </c>
      <c r="Q10" s="612" t="s">
        <v>63</v>
      </c>
    </row>
    <row r="11">
      <c r="A11" s="609" t="s">
        <v>87</v>
      </c>
      <c r="B11" s="610">
        <f t="array" ref="B11">VLOOKUP($A11,OH_DEMO,2,FALSE)</f>
        <v>390357</v>
      </c>
      <c r="C11" s="704">
        <f>ifna(vlookup(A11,'OH Data'!$A$5:$B$93,2,FALSE),"NULL")</f>
        <v>256</v>
      </c>
      <c r="D11" s="612" t="s">
        <v>63</v>
      </c>
      <c r="E11" s="612">
        <f>ifna(vlookup(A11,'OH Data'!$D$5:$E$88,2,FALSE),"NULL")</f>
        <v>176</v>
      </c>
      <c r="F11" s="612">
        <f>ifna(vlookup(A11,'OH Data'!$G$5:$H$46,2,FALSE),"NULL")</f>
        <v>19</v>
      </c>
      <c r="G11" s="612" t="s">
        <v>63</v>
      </c>
      <c r="H11" s="615" t="s">
        <v>63</v>
      </c>
      <c r="I11" s="704">
        <f>ifna(vlookup(A11,'OH Data'!$J$5:$K$93,2,FALSE),"NULL")</f>
        <v>90</v>
      </c>
      <c r="J11" s="615" t="s">
        <v>63</v>
      </c>
      <c r="K11" s="1139">
        <f>ifna(vlookup(A11,'OH Data'!$S$5:$T$93,2,FALSE),"NULL")</f>
        <v>0.2215909091</v>
      </c>
      <c r="L11" s="671" t="s">
        <v>63</v>
      </c>
      <c r="M11" s="614" t="s">
        <v>63</v>
      </c>
      <c r="N11" s="612" t="s">
        <v>63</v>
      </c>
      <c r="O11" s="612" t="s">
        <v>63</v>
      </c>
      <c r="P11" s="620">
        <f>ifna(vlookup(A11,'Population &amp; Church Numbers'!$A$2046:$D$2133,4,FALSE),"NULL")</f>
        <v>273</v>
      </c>
      <c r="Q11" s="612" t="s">
        <v>63</v>
      </c>
    </row>
    <row r="12">
      <c r="A12" s="609" t="s">
        <v>248</v>
      </c>
      <c r="B12" s="610">
        <f t="array" ref="B12">VLOOKUP($A12,OH_DEMO,2,FALSE)</f>
        <v>26721</v>
      </c>
      <c r="C12" s="704">
        <f>ifna(vlookup(A12,'OH Data'!$A$5:$B$93,2,FALSE),"NULL")</f>
        <v>13</v>
      </c>
      <c r="D12" s="612" t="s">
        <v>63</v>
      </c>
      <c r="E12" s="612" t="str">
        <f>ifna(vlookup(A12,'OH Data'!$D$5:$E$88,2,FALSE),"NULL")</f>
        <v>NULL</v>
      </c>
      <c r="F12" s="612" t="str">
        <f>ifna(vlookup(A12,'OH Data'!$G$5:$H$46,2,FALSE),"NULL")</f>
        <v>NULL</v>
      </c>
      <c r="G12" s="612" t="s">
        <v>63</v>
      </c>
      <c r="H12" s="615" t="s">
        <v>63</v>
      </c>
      <c r="I12" s="704" t="str">
        <f>ifna(vlookup(A12,'OH Data'!$J$5:$K$93,2,FALSE),"NULL")</f>
        <v>NULL</v>
      </c>
      <c r="J12" s="615" t="s">
        <v>63</v>
      </c>
      <c r="K12" s="1139">
        <f>ifna(vlookup(A12,'OH Data'!$S$5:$T$93,2,FALSE),"NULL")</f>
        <v>0.2727272727</v>
      </c>
      <c r="L12" s="671" t="s">
        <v>63</v>
      </c>
      <c r="M12" s="614" t="s">
        <v>63</v>
      </c>
      <c r="N12" s="612" t="s">
        <v>63</v>
      </c>
      <c r="O12" s="612" t="s">
        <v>63</v>
      </c>
      <c r="P12" s="620">
        <f>ifna(vlookup(A12,'Population &amp; Church Numbers'!$A$2046:$D$2133,4,FALSE),"NULL")</f>
        <v>42</v>
      </c>
      <c r="Q12" s="612" t="s">
        <v>63</v>
      </c>
    </row>
    <row r="13">
      <c r="A13" s="609" t="s">
        <v>709</v>
      </c>
      <c r="B13" s="610">
        <f t="array" ref="B13">VLOOKUP($A13,OH_DEMO,2,FALSE)</f>
        <v>38714</v>
      </c>
      <c r="C13" s="704">
        <f>ifna(vlookup(A13,'OH Data'!$A$5:$B$93,2,FALSE),"NULL")</f>
        <v>14</v>
      </c>
      <c r="D13" s="612" t="s">
        <v>63</v>
      </c>
      <c r="E13" s="612" t="str">
        <f>ifna(vlookup(A13,'OH Data'!$D$5:$E$88,2,FALSE),"NULL")</f>
        <v>NULL</v>
      </c>
      <c r="F13" s="612" t="str">
        <f>ifna(vlookup(A13,'OH Data'!$G$5:$H$46,2,FALSE),"NULL")</f>
        <v>NULL</v>
      </c>
      <c r="G13" s="612" t="s">
        <v>63</v>
      </c>
      <c r="H13" s="615" t="s">
        <v>63</v>
      </c>
      <c r="I13" s="704" t="str">
        <f>ifna(vlookup(A13,'OH Data'!$J$5:$K$93,2,FALSE),"NULL")</f>
        <v>NULL</v>
      </c>
      <c r="J13" s="615" t="s">
        <v>63</v>
      </c>
      <c r="K13" s="1139" t="str">
        <f>ifna(vlookup(A13,'OH Data'!$S$5:$T$93,2,FALSE),"NULL")</f>
        <v>NULL</v>
      </c>
      <c r="L13" s="671" t="s">
        <v>63</v>
      </c>
      <c r="M13" s="614" t="s">
        <v>63</v>
      </c>
      <c r="N13" s="612" t="s">
        <v>63</v>
      </c>
      <c r="O13" s="612" t="s">
        <v>63</v>
      </c>
      <c r="P13" s="620">
        <f>ifna(vlookup(A13,'Population &amp; Church Numbers'!$A$2046:$D$2133,4,FALSE),"NULL")</f>
        <v>55</v>
      </c>
      <c r="Q13" s="612" t="s">
        <v>63</v>
      </c>
    </row>
    <row r="14">
      <c r="A14" s="609" t="s">
        <v>253</v>
      </c>
      <c r="B14" s="610">
        <f t="array" ref="B14">VLOOKUP($A14,OH_DEMO,2,FALSE)</f>
        <v>136001</v>
      </c>
      <c r="C14" s="704">
        <f>ifna(vlookup(A14,'OH Data'!$A$5:$B$93,2,FALSE),"NULL")</f>
        <v>133</v>
      </c>
      <c r="D14" s="612" t="s">
        <v>63</v>
      </c>
      <c r="E14" s="612">
        <f>ifna(vlookup(A14,'OH Data'!$D$5:$E$88,2,FALSE),"NULL")</f>
        <v>77</v>
      </c>
      <c r="F14" s="612">
        <f>ifna(vlookup(A14,'OH Data'!$G$5:$H$46,2,FALSE),"NULL")</f>
        <v>34</v>
      </c>
      <c r="G14" s="612" t="s">
        <v>63</v>
      </c>
      <c r="H14" s="615" t="s">
        <v>63</v>
      </c>
      <c r="I14" s="704">
        <f>ifna(vlookup(A14,'OH Data'!$J$5:$K$93,2,FALSE),"NULL")</f>
        <v>12</v>
      </c>
      <c r="J14" s="615" t="s">
        <v>63</v>
      </c>
      <c r="K14" s="1139">
        <f>ifna(vlookup(A14,'OH Data'!$S$5:$T$93,2,FALSE),"NULL")</f>
        <v>0.4117647059</v>
      </c>
      <c r="L14" s="671" t="s">
        <v>63</v>
      </c>
      <c r="M14" s="614" t="s">
        <v>63</v>
      </c>
      <c r="N14" s="612" t="s">
        <v>63</v>
      </c>
      <c r="O14" s="612" t="s">
        <v>63</v>
      </c>
      <c r="P14" s="620">
        <f>ifna(vlookup(A14,'Population &amp; Church Numbers'!$A$2046:$D$2133,4,FALSE),"NULL")</f>
        <v>141</v>
      </c>
      <c r="Q14" s="612" t="s">
        <v>63</v>
      </c>
    </row>
    <row r="15">
      <c r="A15" s="609" t="s">
        <v>1676</v>
      </c>
      <c r="B15" s="610">
        <f t="array" ref="B15">VLOOKUP($A15,OH_DEMO,2,FALSE)</f>
        <v>208601</v>
      </c>
      <c r="C15" s="704">
        <f>ifna(vlookup(A15,'OH Data'!$A$5:$B$93,2,FALSE),"NULL")</f>
        <v>198</v>
      </c>
      <c r="D15" s="612" t="s">
        <v>63</v>
      </c>
      <c r="E15" s="612">
        <f>ifna(vlookup(A15,'OH Data'!$D$5:$E$88,2,FALSE),"NULL")</f>
        <v>129</v>
      </c>
      <c r="F15" s="612">
        <f>ifna(vlookup(A15,'OH Data'!$G$5:$H$46,2,FALSE),"NULL")</f>
        <v>38</v>
      </c>
      <c r="G15" s="612" t="s">
        <v>63</v>
      </c>
      <c r="H15" s="615" t="s">
        <v>63</v>
      </c>
      <c r="I15" s="704">
        <f>ifna(vlookup(A15,'OH Data'!$J$5:$K$93,2,FALSE),"NULL")</f>
        <v>63</v>
      </c>
      <c r="J15" s="615" t="s">
        <v>63</v>
      </c>
      <c r="K15" s="1139">
        <f>ifna(vlookup(A15,'OH Data'!$S$5:$T$93,2,FALSE),"NULL")</f>
        <v>0.5</v>
      </c>
      <c r="L15" s="671" t="s">
        <v>63</v>
      </c>
      <c r="M15" s="614" t="s">
        <v>63</v>
      </c>
      <c r="N15" s="612" t="s">
        <v>63</v>
      </c>
      <c r="O15" s="612" t="s">
        <v>63</v>
      </c>
      <c r="P15" s="620">
        <f>ifna(vlookup(A15,'Population &amp; Church Numbers'!$A$2046:$D$2133,4,FALSE),"NULL")</f>
        <v>140</v>
      </c>
      <c r="Q15" s="612" t="s">
        <v>63</v>
      </c>
    </row>
    <row r="16">
      <c r="A16" s="609" t="s">
        <v>711</v>
      </c>
      <c r="B16" s="610">
        <f t="array" ref="B16">VLOOKUP($A16,OH_DEMO,2,FALSE)</f>
        <v>42018</v>
      </c>
      <c r="C16" s="704">
        <f>ifna(vlookup(A16,'OH Data'!$A$5:$B$93,2,FALSE),"NULL")</f>
        <v>98</v>
      </c>
      <c r="D16" s="612" t="s">
        <v>63</v>
      </c>
      <c r="E16" s="612">
        <f>ifna(vlookup(A16,'OH Data'!$D$5:$E$88,2,FALSE),"NULL")</f>
        <v>53</v>
      </c>
      <c r="F16" s="612">
        <f>ifna(vlookup(A16,'OH Data'!$G$5:$H$46,2,FALSE),"NULL")</f>
        <v>30</v>
      </c>
      <c r="G16" s="612" t="s">
        <v>63</v>
      </c>
      <c r="H16" s="615" t="s">
        <v>63</v>
      </c>
      <c r="I16" s="704">
        <f>ifna(vlookup(A16,'OH Data'!$J$5:$K$93,2,FALSE),"NULL")</f>
        <v>13</v>
      </c>
      <c r="J16" s="615" t="s">
        <v>63</v>
      </c>
      <c r="K16" s="1139">
        <f>ifna(vlookup(A16,'OH Data'!$S$5:$T$93,2,FALSE),"NULL")</f>
        <v>0.2714285714</v>
      </c>
      <c r="L16" s="671" t="s">
        <v>63</v>
      </c>
      <c r="M16" s="614" t="s">
        <v>63</v>
      </c>
      <c r="N16" s="612" t="s">
        <v>63</v>
      </c>
      <c r="O16" s="612" t="s">
        <v>63</v>
      </c>
      <c r="P16" s="620">
        <f>ifna(vlookup(A16,'Population &amp; Church Numbers'!$A$2046:$D$2133,4,FALSE),"NULL")</f>
        <v>43</v>
      </c>
      <c r="Q16" s="612" t="s">
        <v>63</v>
      </c>
    </row>
    <row r="17">
      <c r="A17" s="609" t="s">
        <v>1677</v>
      </c>
      <c r="B17" s="610">
        <f t="array" ref="B17">VLOOKUP($A17,OH_DEMO,2,FALSE)</f>
        <v>101877</v>
      </c>
      <c r="C17" s="704">
        <f>ifna(vlookup(A17,'OH Data'!$A$5:$B$93,2,FALSE),"NULL")</f>
        <v>87</v>
      </c>
      <c r="D17" s="612" t="s">
        <v>63</v>
      </c>
      <c r="E17" s="612">
        <f>ifna(vlookup(A17,'OH Data'!$D$5:$E$88,2,FALSE),"NULL")</f>
        <v>60</v>
      </c>
      <c r="F17" s="612" t="str">
        <f>ifna(vlookup(A17,'OH Data'!$G$5:$H$46,2,FALSE),"NULL")</f>
        <v>NULL</v>
      </c>
      <c r="G17" s="612" t="s">
        <v>63</v>
      </c>
      <c r="H17" s="615" t="s">
        <v>63</v>
      </c>
      <c r="I17" s="704">
        <f>ifna(vlookup(A17,'OH Data'!$J$5:$K$93,2,FALSE),"NULL")</f>
        <v>18</v>
      </c>
      <c r="J17" s="615" t="s">
        <v>63</v>
      </c>
      <c r="K17" s="1139">
        <f>ifna(vlookup(A17,'OH Data'!$S$5:$T$93,2,FALSE),"NULL")</f>
        <v>0.5084745763</v>
      </c>
      <c r="L17" s="671" t="s">
        <v>63</v>
      </c>
      <c r="M17" s="614" t="s">
        <v>63</v>
      </c>
      <c r="N17" s="612" t="s">
        <v>63</v>
      </c>
      <c r="O17" s="612" t="s">
        <v>63</v>
      </c>
      <c r="P17" s="620">
        <f>ifna(vlookup(A17,'Population &amp; Church Numbers'!$A$2046:$D$2133,4,FALSE),"NULL")</f>
        <v>127</v>
      </c>
      <c r="Q17" s="612" t="s">
        <v>63</v>
      </c>
    </row>
    <row r="18">
      <c r="A18" s="609" t="s">
        <v>1678</v>
      </c>
      <c r="B18" s="610">
        <f t="array" ref="B18">VLOOKUP($A18,OH_DEMO,2,FALSE)</f>
        <v>36612</v>
      </c>
      <c r="C18" s="704">
        <f>ifna(vlookup(A18,'OH Data'!$A$5:$B$93,2,FALSE),"NULL")</f>
        <v>44</v>
      </c>
      <c r="D18" s="612" t="s">
        <v>63</v>
      </c>
      <c r="E18" s="612">
        <f>ifna(vlookup(A18,'OH Data'!$D$5:$E$88,2,FALSE),"NULL")</f>
        <v>31</v>
      </c>
      <c r="F18" s="612" t="str">
        <f>ifna(vlookup(A18,'OH Data'!$G$5:$H$46,2,FALSE),"NULL")</f>
        <v>NULL</v>
      </c>
      <c r="G18" s="612" t="s">
        <v>63</v>
      </c>
      <c r="H18" s="615" t="s">
        <v>63</v>
      </c>
      <c r="I18" s="704" t="str">
        <f>ifna(vlookup(A18,'OH Data'!$J$5:$K$93,2,FALSE),"NULL")</f>
        <v>NULL</v>
      </c>
      <c r="J18" s="615" t="s">
        <v>63</v>
      </c>
      <c r="K18" s="1139">
        <f>ifna(vlookup(A18,'OH Data'!$S$5:$T$93,2,FALSE),"NULL")</f>
        <v>0.3333333333</v>
      </c>
      <c r="L18" s="671" t="s">
        <v>63</v>
      </c>
      <c r="M18" s="614" t="s">
        <v>63</v>
      </c>
      <c r="N18" s="612" t="s">
        <v>63</v>
      </c>
      <c r="O18" s="612" t="s">
        <v>63</v>
      </c>
      <c r="P18" s="620">
        <f>ifna(vlookup(A18,'Population &amp; Church Numbers'!$A$2046:$D$2133,4,FALSE),"NULL")</f>
        <v>52</v>
      </c>
      <c r="Q18" s="612" t="s">
        <v>63</v>
      </c>
    </row>
    <row r="19">
      <c r="A19" s="609" t="s">
        <v>263</v>
      </c>
      <c r="B19" s="610">
        <f t="array" ref="B19">VLOOKUP($A19,OH_DEMO,2,FALSE)</f>
        <v>42025</v>
      </c>
      <c r="C19" s="704">
        <f>ifna(vlookup(A19,'OH Data'!$A$5:$B$93,2,FALSE),"NULL")</f>
        <v>46</v>
      </c>
      <c r="D19" s="612" t="s">
        <v>63</v>
      </c>
      <c r="E19" s="612">
        <f>ifna(vlookup(A19,'OH Data'!$D$5:$E$88,2,FALSE),"NULL")</f>
        <v>34</v>
      </c>
      <c r="F19" s="612" t="str">
        <f>ifna(vlookup(A19,'OH Data'!$G$5:$H$46,2,FALSE),"NULL")</f>
        <v>NULL</v>
      </c>
      <c r="G19" s="612" t="s">
        <v>63</v>
      </c>
      <c r="H19" s="615" t="s">
        <v>63</v>
      </c>
      <c r="I19" s="704">
        <f>ifna(vlookup(A19,'OH Data'!$J$5:$K$93,2,FALSE),"NULL")</f>
        <v>18</v>
      </c>
      <c r="J19" s="615" t="s">
        <v>63</v>
      </c>
      <c r="K19" s="1139">
        <f>ifna(vlookup(A19,'OH Data'!$S$5:$T$93,2,FALSE),"NULL")</f>
        <v>0.3125</v>
      </c>
      <c r="L19" s="671" t="s">
        <v>63</v>
      </c>
      <c r="M19" s="614" t="s">
        <v>63</v>
      </c>
      <c r="N19" s="612" t="s">
        <v>63</v>
      </c>
      <c r="O19" s="612" t="s">
        <v>63</v>
      </c>
      <c r="P19" s="620">
        <f>ifna(vlookup(A19,'Population &amp; Church Numbers'!$A$2046:$D$2133,4,FALSE),"NULL")</f>
        <v>70</v>
      </c>
      <c r="Q19" s="612" t="s">
        <v>63</v>
      </c>
    </row>
    <row r="20">
      <c r="A20" s="609" t="s">
        <v>359</v>
      </c>
      <c r="B20" s="610">
        <f t="array" ref="B20">VLOOKUP($A20,OH_DEMO,2,FALSE)</f>
        <v>1264817</v>
      </c>
      <c r="C20" s="704">
        <f>ifna(vlookup(A20,'OH Data'!$A$5:$B$93,2,FALSE),"NULL")</f>
        <v>2174</v>
      </c>
      <c r="D20" s="612" t="s">
        <v>63</v>
      </c>
      <c r="E20" s="612">
        <f>ifna(vlookup(A20,'OH Data'!$D$5:$E$88,2,FALSE),"NULL")</f>
        <v>1135</v>
      </c>
      <c r="F20" s="612">
        <f>ifna(vlookup(A20,'OH Data'!$G$5:$H$46,2,FALSE),"NULL")</f>
        <v>649</v>
      </c>
      <c r="G20" s="612" t="s">
        <v>63</v>
      </c>
      <c r="H20" s="615" t="s">
        <v>63</v>
      </c>
      <c r="I20" s="704">
        <f>ifna(vlookup(A20,'OH Data'!$J$5:$K$93,2,FALSE),"NULL")</f>
        <v>798</v>
      </c>
      <c r="J20" s="615" t="s">
        <v>63</v>
      </c>
      <c r="K20" s="1139">
        <f>ifna(vlookup(A20,'OH Data'!$S$5:$T$93,2,FALSE),"NULL")</f>
        <v>0.3861003861</v>
      </c>
      <c r="L20" s="671" t="s">
        <v>63</v>
      </c>
      <c r="M20" s="614" t="s">
        <v>63</v>
      </c>
      <c r="N20" s="612" t="s">
        <v>63</v>
      </c>
      <c r="O20" s="612" t="s">
        <v>63</v>
      </c>
      <c r="P20" s="620">
        <f>ifna(vlookup(A20,'Population &amp; Church Numbers'!$A$2046:$D$2133,4,FALSE),"NULL")</f>
        <v>805</v>
      </c>
      <c r="Q20" s="612" t="s">
        <v>63</v>
      </c>
    </row>
    <row r="21">
      <c r="A21" s="609" t="s">
        <v>1679</v>
      </c>
      <c r="B21" s="610">
        <f t="array" ref="B21">VLOOKUP($A21,OH_DEMO,2,FALSE)</f>
        <v>51881</v>
      </c>
      <c r="C21" s="704">
        <f>ifna(vlookup(A21,'OH Data'!$A$5:$B$93,2,FALSE),"NULL")</f>
        <v>13</v>
      </c>
      <c r="D21" s="612" t="s">
        <v>63</v>
      </c>
      <c r="E21" s="612" t="str">
        <f>ifna(vlookup(A21,'OH Data'!$D$5:$E$88,2,FALSE),"NULL")</f>
        <v>NULL</v>
      </c>
      <c r="F21" s="612" t="str">
        <f>ifna(vlookup(A21,'OH Data'!$G$5:$H$46,2,FALSE),"NULL")</f>
        <v>NULL</v>
      </c>
      <c r="G21" s="612" t="s">
        <v>63</v>
      </c>
      <c r="H21" s="615" t="s">
        <v>63</v>
      </c>
      <c r="I21" s="704" t="str">
        <f>ifna(vlookup(A21,'OH Data'!$J$5:$K$93,2,FALSE),"NULL")</f>
        <v>NULL</v>
      </c>
      <c r="J21" s="615" t="s">
        <v>63</v>
      </c>
      <c r="K21" s="1139">
        <f>ifna(vlookup(A21,'OH Data'!$S$5:$T$93,2,FALSE),"NULL")</f>
        <v>0.3636363636</v>
      </c>
      <c r="L21" s="671" t="s">
        <v>63</v>
      </c>
      <c r="M21" s="614" t="s">
        <v>63</v>
      </c>
      <c r="N21" s="612" t="s">
        <v>63</v>
      </c>
      <c r="O21" s="612" t="s">
        <v>63</v>
      </c>
      <c r="P21" s="620">
        <f>ifna(vlookup(A21,'Population &amp; Church Numbers'!$A$2046:$D$2133,4,FALSE),"NULL")</f>
        <v>71</v>
      </c>
      <c r="Q21" s="612" t="s">
        <v>63</v>
      </c>
    </row>
    <row r="22">
      <c r="A22" s="609" t="s">
        <v>1680</v>
      </c>
      <c r="B22" s="610">
        <f t="array" ref="B22">VLOOKUP($A22,OH_DEMO,2,FALSE)</f>
        <v>38286</v>
      </c>
      <c r="C22" s="704">
        <f>ifna(vlookup(A22,'OH Data'!$A$5:$B$93,2,FALSE),"NULL")</f>
        <v>20</v>
      </c>
      <c r="D22" s="612" t="s">
        <v>63</v>
      </c>
      <c r="E22" s="612">
        <f>ifna(vlookup(A22,'OH Data'!$D$5:$E$88,2,FALSE),"NULL")</f>
        <v>15</v>
      </c>
      <c r="F22" s="612" t="str">
        <f>ifna(vlookup(A22,'OH Data'!$G$5:$H$46,2,FALSE),"NULL")</f>
        <v>NULL</v>
      </c>
      <c r="G22" s="612" t="s">
        <v>63</v>
      </c>
      <c r="H22" s="615" t="s">
        <v>63</v>
      </c>
      <c r="I22" s="704" t="str">
        <f>ifna(vlookup(A22,'OH Data'!$J$5:$K$93,2,FALSE),"NULL")</f>
        <v>NULL</v>
      </c>
      <c r="J22" s="615" t="s">
        <v>63</v>
      </c>
      <c r="K22" s="1139" t="str">
        <f>ifna(vlookup(A22,'OH Data'!$S$5:$T$93,2,FALSE),"NULL")</f>
        <v>NULL</v>
      </c>
      <c r="L22" s="671" t="s">
        <v>63</v>
      </c>
      <c r="M22" s="614" t="s">
        <v>63</v>
      </c>
      <c r="N22" s="612" t="s">
        <v>63</v>
      </c>
      <c r="O22" s="612" t="s">
        <v>63</v>
      </c>
      <c r="P22" s="620">
        <f>ifna(vlookup(A22,'Population &amp; Church Numbers'!$A$2046:$D$2133,4,FALSE),"NULL")</f>
        <v>54</v>
      </c>
      <c r="Q22" s="612" t="s">
        <v>63</v>
      </c>
    </row>
    <row r="23">
      <c r="A23" s="609" t="s">
        <v>40</v>
      </c>
      <c r="B23" s="610">
        <f t="array" ref="B23">VLOOKUP($A23,OH_DEMO,2,FALSE)</f>
        <v>214124</v>
      </c>
      <c r="C23" s="704">
        <f>ifna(vlookup(A23,'OH Data'!$A$5:$B$93,2,FALSE),"NULL")</f>
        <v>27</v>
      </c>
      <c r="D23" s="612" t="s">
        <v>63</v>
      </c>
      <c r="E23" s="612">
        <f>ifna(vlookup(A23,'OH Data'!$D$5:$E$88,2,FALSE),"NULL")</f>
        <v>22</v>
      </c>
      <c r="F23" s="612" t="str">
        <f>ifna(vlookup(A23,'OH Data'!$G$5:$H$46,2,FALSE),"NULL")</f>
        <v>NULL</v>
      </c>
      <c r="G23" s="612" t="s">
        <v>63</v>
      </c>
      <c r="H23" s="615" t="s">
        <v>63</v>
      </c>
      <c r="I23" s="704" t="str">
        <f>ifna(vlookup(A23,'OH Data'!$J$5:$K$93,2,FALSE),"NULL")</f>
        <v>NULL</v>
      </c>
      <c r="J23" s="615" t="s">
        <v>63</v>
      </c>
      <c r="K23" s="1139">
        <f>ifna(vlookup(A23,'OH Data'!$S$5:$T$93,2,FALSE),"NULL")</f>
        <v>0.25</v>
      </c>
      <c r="L23" s="671" t="s">
        <v>63</v>
      </c>
      <c r="M23" s="614" t="s">
        <v>63</v>
      </c>
      <c r="N23" s="612" t="s">
        <v>63</v>
      </c>
      <c r="O23" s="612" t="s">
        <v>63</v>
      </c>
      <c r="P23" s="620">
        <f>ifna(vlookup(A23,'Population &amp; Church Numbers'!$A$2046:$D$2133,4,FALSE),"NULL")</f>
        <v>96</v>
      </c>
      <c r="Q23" s="612" t="s">
        <v>63</v>
      </c>
    </row>
    <row r="24">
      <c r="A24" s="609" t="s">
        <v>464</v>
      </c>
      <c r="B24" s="610">
        <f t="array" ref="B24">VLOOKUP($A24,OH_DEMO,2,FALSE)</f>
        <v>75622</v>
      </c>
      <c r="C24" s="704">
        <f>ifna(vlookup(A24,'OH Data'!$A$5:$B$93,2,FALSE),"NULL")</f>
        <v>58</v>
      </c>
      <c r="D24" s="612" t="s">
        <v>63</v>
      </c>
      <c r="E24" s="612">
        <f>ifna(vlookup(A24,'OH Data'!$D$5:$E$88,2,FALSE),"NULL")</f>
        <v>41</v>
      </c>
      <c r="F24" s="612" t="str">
        <f>ifna(vlookup(A24,'OH Data'!$G$5:$H$46,2,FALSE),"NULL")</f>
        <v>NULL</v>
      </c>
      <c r="G24" s="612" t="s">
        <v>63</v>
      </c>
      <c r="H24" s="615" t="s">
        <v>63</v>
      </c>
      <c r="I24" s="704">
        <f>ifna(vlookup(A24,'OH Data'!$J$5:$K$93,2,FALSE),"NULL")</f>
        <v>11</v>
      </c>
      <c r="J24" s="615" t="s">
        <v>63</v>
      </c>
      <c r="K24" s="1139">
        <f>ifna(vlookup(A24,'OH Data'!$S$5:$T$93,2,FALSE),"NULL")</f>
        <v>0.612244898</v>
      </c>
      <c r="L24" s="671" t="s">
        <v>63</v>
      </c>
      <c r="M24" s="614" t="s">
        <v>63</v>
      </c>
      <c r="N24" s="612" t="s">
        <v>63</v>
      </c>
      <c r="O24" s="612" t="s">
        <v>63</v>
      </c>
      <c r="P24" s="620">
        <f>ifna(vlookup(A24,'Population &amp; Church Numbers'!$A$2046:$D$2133,4,FALSE),"NULL")</f>
        <v>70</v>
      </c>
      <c r="Q24" s="612" t="s">
        <v>63</v>
      </c>
    </row>
    <row r="25">
      <c r="A25" s="609" t="s">
        <v>442</v>
      </c>
      <c r="B25" s="610">
        <f t="array" ref="B25">VLOOKUP($A25,OH_DEMO,2,FALSE)</f>
        <v>158921</v>
      </c>
      <c r="C25" s="704">
        <f>ifna(vlookup(A25,'OH Data'!$A$5:$B$93,2,FALSE),"NULL")</f>
        <v>187</v>
      </c>
      <c r="D25" s="612" t="s">
        <v>63</v>
      </c>
      <c r="E25" s="612">
        <f>ifna(vlookup(A25,'OH Data'!$D$5:$E$88,2,FALSE),"NULL")</f>
        <v>58</v>
      </c>
      <c r="F25" s="612">
        <f>ifna(vlookup(A25,'OH Data'!$G$5:$H$46,2,FALSE),"NULL")</f>
        <v>66</v>
      </c>
      <c r="G25" s="612" t="s">
        <v>63</v>
      </c>
      <c r="H25" s="615" t="s">
        <v>63</v>
      </c>
      <c r="I25" s="704">
        <f>ifna(vlookup(A25,'OH Data'!$J$5:$K$93,2,FALSE),"NULL")</f>
        <v>34</v>
      </c>
      <c r="J25" s="615" t="s">
        <v>63</v>
      </c>
      <c r="K25" s="1139">
        <f>ifna(vlookup(A25,'OH Data'!$S$5:$T$93,2,FALSE),"NULL")</f>
        <v>0.6068376068</v>
      </c>
      <c r="L25" s="671" t="s">
        <v>63</v>
      </c>
      <c r="M25" s="614" t="s">
        <v>63</v>
      </c>
      <c r="N25" s="612" t="s">
        <v>63</v>
      </c>
      <c r="O25" s="612" t="s">
        <v>63</v>
      </c>
      <c r="P25" s="620">
        <f>ifna(vlookup(A25,'Population &amp; Church Numbers'!$A$2046:$D$2133,4,FALSE),"NULL")</f>
        <v>111</v>
      </c>
      <c r="Q25" s="612" t="s">
        <v>63</v>
      </c>
    </row>
    <row r="26">
      <c r="A26" s="609" t="s">
        <v>135</v>
      </c>
      <c r="B26" s="610">
        <f t="array" ref="B26">VLOOKUP($A26,OH_DEMO,2,FALSE)</f>
        <v>28951</v>
      </c>
      <c r="C26" s="704">
        <f>ifna(vlookup(A26,'OH Data'!$A$5:$B$93,2,FALSE),"NULL")</f>
        <v>44</v>
      </c>
      <c r="D26" s="612" t="s">
        <v>63</v>
      </c>
      <c r="E26" s="612">
        <f>ifna(vlookup(A26,'OH Data'!$D$5:$E$88,2,FALSE),"NULL")</f>
        <v>30</v>
      </c>
      <c r="F26" s="612" t="str">
        <f>ifna(vlookup(A26,'OH Data'!$G$5:$H$46,2,FALSE),"NULL")</f>
        <v>NULL</v>
      </c>
      <c r="G26" s="612" t="s">
        <v>63</v>
      </c>
      <c r="H26" s="615" t="s">
        <v>63</v>
      </c>
      <c r="I26" s="704">
        <f>ifna(vlookup(A26,'OH Data'!$J$5:$K$93,2,FALSE),"NULL")</f>
        <v>14</v>
      </c>
      <c r="J26" s="615" t="s">
        <v>63</v>
      </c>
      <c r="K26" s="1139">
        <f>ifna(vlookup(A26,'OH Data'!$S$5:$T$93,2,FALSE),"NULL")</f>
        <v>0.1944444444</v>
      </c>
      <c r="L26" s="671" t="s">
        <v>63</v>
      </c>
      <c r="M26" s="614" t="s">
        <v>63</v>
      </c>
      <c r="N26" s="612" t="s">
        <v>63</v>
      </c>
      <c r="O26" s="612" t="s">
        <v>63</v>
      </c>
      <c r="P26" s="620">
        <f>ifna(vlookup(A26,'Population &amp; Church Numbers'!$A$2046:$D$2133,4,FALSE),"NULL")</f>
        <v>30</v>
      </c>
      <c r="Q26" s="612" t="s">
        <v>63</v>
      </c>
    </row>
    <row r="27">
      <c r="A27" s="609" t="s">
        <v>136</v>
      </c>
      <c r="B27" s="610">
        <f t="array" ref="B27">VLOOKUP($A27,OH_DEMO,2,FALSE)</f>
        <v>1323807</v>
      </c>
      <c r="C27" s="704">
        <f>ifna(vlookup(A27,'OH Data'!$A$5:$B$93,2,FALSE),"NULL")</f>
        <v>1624</v>
      </c>
      <c r="D27" s="612" t="s">
        <v>63</v>
      </c>
      <c r="E27" s="612">
        <f>ifna(vlookup(A27,'OH Data'!$D$5:$E$88,2,FALSE),"NULL")</f>
        <v>819</v>
      </c>
      <c r="F27" s="612">
        <f>ifna(vlookup(A27,'OH Data'!$G$5:$H$46,2,FALSE),"NULL")</f>
        <v>453</v>
      </c>
      <c r="G27" s="612" t="s">
        <v>63</v>
      </c>
      <c r="H27" s="615" t="s">
        <v>63</v>
      </c>
      <c r="I27" s="704">
        <f>ifna(vlookup(A27,'OH Data'!$J$5:$K$93,2,FALSE),"NULL")</f>
        <v>218</v>
      </c>
      <c r="J27" s="615" t="s">
        <v>63</v>
      </c>
      <c r="K27" s="1139">
        <f>ifna(vlookup(A27,'OH Data'!$S$5:$T$93,2,FALSE),"NULL")</f>
        <v>0.4684975767</v>
      </c>
      <c r="L27" s="671" t="s">
        <v>63</v>
      </c>
      <c r="M27" s="614" t="s">
        <v>63</v>
      </c>
      <c r="N27" s="612" t="s">
        <v>63</v>
      </c>
      <c r="O27" s="612" t="s">
        <v>63</v>
      </c>
      <c r="P27" s="620">
        <f>ifna(vlookup(A27,'Population &amp; Church Numbers'!$A$2046:$D$2133,4,FALSE),"NULL")</f>
        <v>685</v>
      </c>
      <c r="Q27" s="612" t="s">
        <v>63</v>
      </c>
    </row>
    <row r="28">
      <c r="A28" s="609" t="s">
        <v>275</v>
      </c>
      <c r="B28" s="610">
        <f t="array" ref="B28">VLOOKUP($A28,OH_DEMO,2,FALSE)</f>
        <v>42713</v>
      </c>
      <c r="C28" s="704" t="str">
        <f>ifna(vlookup(A28,'OH Data'!$A$5:$B$93,2,FALSE),"NULL")</f>
        <v>NULL</v>
      </c>
      <c r="D28" s="612" t="s">
        <v>63</v>
      </c>
      <c r="E28" s="612" t="str">
        <f>ifna(vlookup(A28,'OH Data'!$D$5:$E$88,2,FALSE),"NULL")</f>
        <v>NULL</v>
      </c>
      <c r="F28" s="612" t="str">
        <f>ifna(vlookup(A28,'OH Data'!$G$5:$H$46,2,FALSE),"NULL")</f>
        <v>NULL</v>
      </c>
      <c r="G28" s="612" t="s">
        <v>63</v>
      </c>
      <c r="H28" s="615" t="s">
        <v>63</v>
      </c>
      <c r="I28" s="704" t="str">
        <f>ifna(vlookup(A28,'OH Data'!$J$5:$K$93,2,FALSE),"NULL")</f>
        <v>NULL</v>
      </c>
      <c r="J28" s="615" t="s">
        <v>63</v>
      </c>
      <c r="K28" s="1139" t="str">
        <f>ifna(vlookup(A28,'OH Data'!$S$5:$T$93,2,FALSE),"NULL")</f>
        <v>NULL</v>
      </c>
      <c r="L28" s="671" t="s">
        <v>63</v>
      </c>
      <c r="M28" s="614" t="s">
        <v>63</v>
      </c>
      <c r="N28" s="612" t="s">
        <v>63</v>
      </c>
      <c r="O28" s="612" t="s">
        <v>63</v>
      </c>
      <c r="P28" s="620">
        <f>ifna(vlookup(A28,'Population &amp; Church Numbers'!$A$2046:$D$2133,4,FALSE),"NULL")</f>
        <v>55</v>
      </c>
      <c r="Q28" s="612" t="s">
        <v>63</v>
      </c>
    </row>
    <row r="29">
      <c r="A29" s="609" t="s">
        <v>1681</v>
      </c>
      <c r="B29" s="610">
        <f t="array" ref="B29">VLOOKUP($A29,OH_DEMO,2,FALSE)</f>
        <v>29220</v>
      </c>
      <c r="C29" s="704">
        <f>ifna(vlookup(A29,'OH Data'!$A$5:$B$93,2,FALSE),"NULL")</f>
        <v>41</v>
      </c>
      <c r="D29" s="612" t="s">
        <v>63</v>
      </c>
      <c r="E29" s="612">
        <f>ifna(vlookup(A29,'OH Data'!$D$5:$E$88,2,FALSE),"NULL")</f>
        <v>19</v>
      </c>
      <c r="F29" s="612">
        <f>ifna(vlookup(A29,'OH Data'!$G$5:$H$46,2,FALSE),"NULL")</f>
        <v>20</v>
      </c>
      <c r="G29" s="612" t="s">
        <v>63</v>
      </c>
      <c r="H29" s="615" t="s">
        <v>63</v>
      </c>
      <c r="I29" s="704" t="str">
        <f>ifna(vlookup(A29,'OH Data'!$J$5:$K$93,2,FALSE),"NULL")</f>
        <v>NULL</v>
      </c>
      <c r="J29" s="615" t="s">
        <v>63</v>
      </c>
      <c r="K29" s="1139">
        <f>ifna(vlookup(A29,'OH Data'!$S$5:$T$93,2,FALSE),"NULL")</f>
        <v>0.6458333333</v>
      </c>
      <c r="L29" s="671" t="s">
        <v>63</v>
      </c>
      <c r="M29" s="614" t="s">
        <v>63</v>
      </c>
      <c r="N29" s="612" t="s">
        <v>63</v>
      </c>
      <c r="O29" s="612" t="s">
        <v>63</v>
      </c>
      <c r="P29" s="620">
        <f>ifna(vlookup(A29,'Population &amp; Church Numbers'!$A$2046:$D$2133,4,FALSE),"NULL")</f>
        <v>45</v>
      </c>
      <c r="Q29" s="612" t="s">
        <v>63</v>
      </c>
    </row>
    <row r="30">
      <c r="A30" s="609" t="s">
        <v>1682</v>
      </c>
      <c r="B30" s="610">
        <f t="array" ref="B30">VLOOKUP($A30,OH_DEMO,2,FALSE)</f>
        <v>95397</v>
      </c>
      <c r="C30" s="704">
        <f>ifna(vlookup(A30,'OH Data'!$A$5:$B$93,2,FALSE),"NULL")</f>
        <v>21</v>
      </c>
      <c r="D30" s="612" t="s">
        <v>63</v>
      </c>
      <c r="E30" s="612">
        <f>ifna(vlookup(A30,'OH Data'!$D$5:$E$88,2,FALSE),"NULL")</f>
        <v>10</v>
      </c>
      <c r="F30" s="612" t="str">
        <f>ifna(vlookup(A30,'OH Data'!$G$5:$H$46,2,FALSE),"NULL")</f>
        <v>NULL</v>
      </c>
      <c r="G30" s="612" t="s">
        <v>63</v>
      </c>
      <c r="H30" s="615" t="s">
        <v>63</v>
      </c>
      <c r="I30" s="704" t="str">
        <f>ifna(vlookup(A30,'OH Data'!$J$5:$K$93,2,FALSE),"NULL")</f>
        <v>NULL</v>
      </c>
      <c r="J30" s="615" t="s">
        <v>63</v>
      </c>
      <c r="K30" s="1139">
        <f>ifna(vlookup(A30,'OH Data'!$S$5:$T$93,2,FALSE),"NULL")</f>
        <v>0.1875</v>
      </c>
      <c r="L30" s="671" t="s">
        <v>63</v>
      </c>
      <c r="M30" s="614" t="s">
        <v>63</v>
      </c>
      <c r="N30" s="612" t="s">
        <v>63</v>
      </c>
      <c r="O30" s="612" t="s">
        <v>63</v>
      </c>
      <c r="P30" s="620">
        <f>ifna(vlookup(A30,'Population &amp; Church Numbers'!$A$2046:$D$2133,4,FALSE),"NULL")</f>
        <v>68</v>
      </c>
      <c r="Q30" s="612" t="s">
        <v>63</v>
      </c>
    </row>
    <row r="31">
      <c r="A31" s="609" t="s">
        <v>138</v>
      </c>
      <c r="B31" s="610">
        <f t="array" ref="B31">VLOOKUP($A31,OH_DEMO,2,FALSE)</f>
        <v>167966</v>
      </c>
      <c r="C31" s="704">
        <f>ifna(vlookup(A31,'OH Data'!$A$5:$B$93,2,FALSE),"NULL")</f>
        <v>65</v>
      </c>
      <c r="D31" s="612" t="s">
        <v>63</v>
      </c>
      <c r="E31" s="612">
        <f>ifna(vlookup(A31,'OH Data'!$D$5:$E$88,2,FALSE),"NULL")</f>
        <v>26</v>
      </c>
      <c r="F31" s="612" t="str">
        <f>ifna(vlookup(A31,'OH Data'!$G$5:$H$46,2,FALSE),"NULL")</f>
        <v>NULL</v>
      </c>
      <c r="G31" s="612" t="s">
        <v>63</v>
      </c>
      <c r="H31" s="615" t="s">
        <v>63</v>
      </c>
      <c r="I31" s="704">
        <f>ifna(vlookup(A31,'OH Data'!$J$5:$K$93,2,FALSE),"NULL")</f>
        <v>22</v>
      </c>
      <c r="J31" s="615" t="s">
        <v>63</v>
      </c>
      <c r="K31" s="1139">
        <f>ifna(vlookup(A31,'OH Data'!$S$5:$T$93,2,FALSE),"NULL")</f>
        <v>0.46</v>
      </c>
      <c r="L31" s="671" t="s">
        <v>63</v>
      </c>
      <c r="M31" s="614" t="s">
        <v>63</v>
      </c>
      <c r="N31" s="612" t="s">
        <v>63</v>
      </c>
      <c r="O31" s="612" t="s">
        <v>63</v>
      </c>
      <c r="P31" s="620">
        <f>ifna(vlookup(A31,'Population &amp; Church Numbers'!$A$2046:$D$2133,4,FALSE),"NULL")</f>
        <v>153</v>
      </c>
      <c r="Q31" s="612" t="s">
        <v>63</v>
      </c>
    </row>
    <row r="32">
      <c r="A32" s="609" t="s">
        <v>1683</v>
      </c>
      <c r="B32" s="610">
        <f t="array" ref="B32">VLOOKUP($A32,OH_DEMO,2,FALSE)</f>
        <v>38438</v>
      </c>
      <c r="C32" s="704">
        <f>ifna(vlookup(A32,'OH Data'!$A$5:$B$93,2,FALSE),"NULL")</f>
        <v>80</v>
      </c>
      <c r="D32" s="612" t="s">
        <v>63</v>
      </c>
      <c r="E32" s="612">
        <f>ifna(vlookup(A32,'OH Data'!$D$5:$E$88,2,FALSE),"NULL")</f>
        <v>58</v>
      </c>
      <c r="F32" s="612" t="str">
        <f>ifna(vlookup(A32,'OH Data'!$G$5:$H$46,2,FALSE),"NULL")</f>
        <v>NULL</v>
      </c>
      <c r="G32" s="612" t="s">
        <v>63</v>
      </c>
      <c r="H32" s="615" t="s">
        <v>63</v>
      </c>
      <c r="I32" s="704">
        <f>ifna(vlookup(A32,'OH Data'!$J$5:$K$93,2,FALSE),"NULL")</f>
        <v>34</v>
      </c>
      <c r="J32" s="615" t="s">
        <v>63</v>
      </c>
      <c r="K32" s="1139">
        <f>ifna(vlookup(A32,'OH Data'!$S$5:$T$93,2,FALSE),"NULL")</f>
        <v>0.625</v>
      </c>
      <c r="L32" s="671" t="s">
        <v>63</v>
      </c>
      <c r="M32" s="614" t="s">
        <v>63</v>
      </c>
      <c r="N32" s="612" t="s">
        <v>63</v>
      </c>
      <c r="O32" s="612" t="s">
        <v>63</v>
      </c>
      <c r="P32" s="620">
        <f>ifna(vlookup(A32,'Population &amp; Church Numbers'!$A$2046:$D$2133,4,FALSE),"NULL")</f>
        <v>56</v>
      </c>
      <c r="Q32" s="612" t="s">
        <v>63</v>
      </c>
    </row>
    <row r="33">
      <c r="A33" s="609" t="s">
        <v>497</v>
      </c>
      <c r="B33" s="610">
        <f t="array" ref="B33">VLOOKUP($A33,OH_DEMO,2,FALSE)</f>
        <v>830639</v>
      </c>
      <c r="C33" s="704">
        <f>ifna(vlookup(A33,'OH Data'!$A$5:$B$93,2,FALSE),"NULL")</f>
        <v>1936</v>
      </c>
      <c r="D33" s="612" t="s">
        <v>63</v>
      </c>
      <c r="E33" s="612">
        <f>ifna(vlookup(A33,'OH Data'!$D$5:$E$88,2,FALSE),"NULL")</f>
        <v>814</v>
      </c>
      <c r="F33" s="612">
        <f>ifna(vlookup(A33,'OH Data'!$G$5:$H$46,2,FALSE),"NULL")</f>
        <v>721</v>
      </c>
      <c r="G33" s="612" t="s">
        <v>63</v>
      </c>
      <c r="H33" s="615" t="s">
        <v>63</v>
      </c>
      <c r="I33" s="704">
        <f>ifna(vlookup(A33,'OH Data'!$J$5:$K$93,2,FALSE),"NULL")</f>
        <v>357</v>
      </c>
      <c r="J33" s="615" t="s">
        <v>63</v>
      </c>
      <c r="K33" s="1139">
        <f>ifna(vlookup(A33,'OH Data'!$S$5:$T$93,2,FALSE),"NULL")</f>
        <v>0.4964454976</v>
      </c>
      <c r="L33" s="671" t="s">
        <v>63</v>
      </c>
      <c r="M33" s="614" t="s">
        <v>63</v>
      </c>
      <c r="N33" s="612" t="s">
        <v>63</v>
      </c>
      <c r="O33" s="612" t="s">
        <v>63</v>
      </c>
      <c r="P33" s="620">
        <f>ifna(vlookup(A33,'Population &amp; Church Numbers'!$A$2046:$D$2133,4,FALSE),"NULL")</f>
        <v>660</v>
      </c>
      <c r="Q33" s="612" t="s">
        <v>63</v>
      </c>
    </row>
    <row r="34">
      <c r="A34" s="609" t="s">
        <v>587</v>
      </c>
      <c r="B34" s="610">
        <f t="array" ref="B34">VLOOKUP($A34,OH_DEMO,2,FALSE)</f>
        <v>74920</v>
      </c>
      <c r="C34" s="704">
        <f>ifna(vlookup(A34,'OH Data'!$A$5:$B$93,2,FALSE),"NULL")</f>
        <v>85</v>
      </c>
      <c r="D34" s="612" t="s">
        <v>63</v>
      </c>
      <c r="E34" s="612">
        <f>ifna(vlookup(A34,'OH Data'!$D$5:$E$88,2,FALSE),"NULL")</f>
        <v>44</v>
      </c>
      <c r="F34" s="612">
        <f>ifna(vlookup(A34,'OH Data'!$G$5:$H$46,2,FALSE),"NULL")</f>
        <v>22</v>
      </c>
      <c r="G34" s="612" t="s">
        <v>63</v>
      </c>
      <c r="H34" s="615" t="s">
        <v>63</v>
      </c>
      <c r="I34" s="704">
        <f>ifna(vlookup(A34,'OH Data'!$J$5:$K$93,2,FALSE),"NULL")</f>
        <v>19</v>
      </c>
      <c r="J34" s="615" t="s">
        <v>63</v>
      </c>
      <c r="K34" s="1139">
        <f>ifna(vlookup(A34,'OH Data'!$S$5:$T$93,2,FALSE),"NULL")</f>
        <v>0.2388059701</v>
      </c>
      <c r="L34" s="671" t="s">
        <v>63</v>
      </c>
      <c r="M34" s="614" t="s">
        <v>63</v>
      </c>
      <c r="N34" s="612" t="s">
        <v>63</v>
      </c>
      <c r="O34" s="612" t="s">
        <v>63</v>
      </c>
      <c r="P34" s="620">
        <f>ifna(vlookup(A34,'Population &amp; Church Numbers'!$A$2046:$D$2133,4,FALSE),"NULL")</f>
        <v>77</v>
      </c>
      <c r="Q34" s="612" t="s">
        <v>63</v>
      </c>
    </row>
    <row r="35">
      <c r="A35" s="609" t="s">
        <v>721</v>
      </c>
      <c r="B35" s="610">
        <f t="array" ref="B35">VLOOKUP($A35,OH_DEMO,2,FALSE)</f>
        <v>30696</v>
      </c>
      <c r="C35" s="704">
        <f>ifna(vlookup(A35,'OH Data'!$A$5:$B$93,2,FALSE),"NULL")</f>
        <v>23</v>
      </c>
      <c r="D35" s="612" t="s">
        <v>63</v>
      </c>
      <c r="E35" s="612">
        <f>ifna(vlookup(A35,'OH Data'!$D$5:$E$88,2,FALSE),"NULL")</f>
        <v>13</v>
      </c>
      <c r="F35" s="612" t="str">
        <f>ifna(vlookup(A35,'OH Data'!$G$5:$H$46,2,FALSE),"NULL")</f>
        <v>NULL</v>
      </c>
      <c r="G35" s="612" t="s">
        <v>63</v>
      </c>
      <c r="H35" s="615" t="s">
        <v>63</v>
      </c>
      <c r="I35" s="704" t="str">
        <f>ifna(vlookup(A35,'OH Data'!$J$5:$K$93,2,FALSE),"NULL")</f>
        <v>NULL</v>
      </c>
      <c r="J35" s="615" t="s">
        <v>63</v>
      </c>
      <c r="K35" s="1139" t="str">
        <f>ifna(vlookup(A35,'OH Data'!$S$5:$T$93,2,FALSE),"NULL")</f>
        <v>NULL</v>
      </c>
      <c r="L35" s="671" t="s">
        <v>63</v>
      </c>
      <c r="M35" s="614" t="s">
        <v>63</v>
      </c>
      <c r="N35" s="612" t="s">
        <v>63</v>
      </c>
      <c r="O35" s="612" t="s">
        <v>63</v>
      </c>
      <c r="P35" s="620">
        <f>ifna(vlookup(A35,'Population &amp; Church Numbers'!$A$2046:$D$2133,4,FALSE),"NULL")</f>
        <v>47</v>
      </c>
      <c r="Q35" s="612" t="s">
        <v>63</v>
      </c>
    </row>
    <row r="36">
      <c r="A36" s="609" t="s">
        <v>775</v>
      </c>
      <c r="B36" s="610">
        <f t="array" ref="B36">VLOOKUP($A36,OH_DEMO,2,FALSE)</f>
        <v>14483</v>
      </c>
      <c r="C36" s="704">
        <f>ifna(vlookup(A36,'OH Data'!$A$5:$B$93,2,FALSE),"NULL")</f>
        <v>25</v>
      </c>
      <c r="D36" s="612" t="s">
        <v>63</v>
      </c>
      <c r="E36" s="612" t="str">
        <f>ifna(vlookup(A36,'OH Data'!$D$5:$E$88,2,FALSE),"NULL")</f>
        <v>NULL</v>
      </c>
      <c r="F36" s="612">
        <f>ifna(vlookup(A36,'OH Data'!$G$5:$H$46,2,FALSE),"NULL")</f>
        <v>14</v>
      </c>
      <c r="G36" s="612" t="s">
        <v>63</v>
      </c>
      <c r="H36" s="615" t="s">
        <v>63</v>
      </c>
      <c r="I36" s="704" t="str">
        <f>ifna(vlookup(A36,'OH Data'!$J$5:$K$93,2,FALSE),"NULL")</f>
        <v>NULL</v>
      </c>
      <c r="J36" s="615" t="s">
        <v>63</v>
      </c>
      <c r="K36" s="1139">
        <f>ifna(vlookup(A36,'OH Data'!$S$5:$T$93,2,FALSE),"NULL")</f>
        <v>0.4782608696</v>
      </c>
      <c r="L36" s="671" t="s">
        <v>63</v>
      </c>
      <c r="M36" s="614" t="s">
        <v>63</v>
      </c>
      <c r="N36" s="612" t="s">
        <v>63</v>
      </c>
      <c r="O36" s="612" t="s">
        <v>63</v>
      </c>
      <c r="P36" s="620">
        <f>ifna(vlookup(A36,'Population &amp; Church Numbers'!$A$2046:$D$2133,4,FALSE),"NULL")</f>
        <v>25</v>
      </c>
      <c r="Q36" s="612" t="s">
        <v>63</v>
      </c>
    </row>
    <row r="37">
      <c r="A37" s="609" t="s">
        <v>140</v>
      </c>
      <c r="B37" s="610">
        <f t="array" ref="B37">VLOOKUP($A37,OH_DEMO,2,FALSE)</f>
        <v>27662</v>
      </c>
      <c r="C37" s="704">
        <f>ifna(vlookup(A37,'OH Data'!$A$5:$B$93,2,FALSE),"NULL")</f>
        <v>21</v>
      </c>
      <c r="D37" s="612" t="s">
        <v>63</v>
      </c>
      <c r="E37" s="612">
        <f>ifna(vlookup(A37,'OH Data'!$D$5:$E$88,2,FALSE),"NULL")</f>
        <v>11</v>
      </c>
      <c r="F37" s="612" t="str">
        <f>ifna(vlookup(A37,'OH Data'!$G$5:$H$46,2,FALSE),"NULL")</f>
        <v>NULL</v>
      </c>
      <c r="G37" s="612" t="s">
        <v>63</v>
      </c>
      <c r="H37" s="615" t="s">
        <v>63</v>
      </c>
      <c r="I37" s="704" t="str">
        <f>ifna(vlookup(A37,'OH Data'!$J$5:$K$93,2,FALSE),"NULL")</f>
        <v>NULL</v>
      </c>
      <c r="J37" s="615" t="s">
        <v>63</v>
      </c>
      <c r="K37" s="1139">
        <f>ifna(vlookup(A37,'OH Data'!$S$5:$T$93,2,FALSE),"NULL")</f>
        <v>0.375</v>
      </c>
      <c r="L37" s="671" t="s">
        <v>63</v>
      </c>
      <c r="M37" s="614" t="s">
        <v>63</v>
      </c>
      <c r="N37" s="612" t="s">
        <v>63</v>
      </c>
      <c r="O37" s="612" t="s">
        <v>63</v>
      </c>
      <c r="P37" s="620">
        <f>ifna(vlookup(A37,'Population &amp; Church Numbers'!$A$2046:$D$2133,4,FALSE),"NULL")</f>
        <v>41</v>
      </c>
      <c r="Q37" s="612" t="s">
        <v>63</v>
      </c>
    </row>
    <row r="38">
      <c r="A38" s="609" t="s">
        <v>1684</v>
      </c>
      <c r="B38" s="610">
        <f t="array" ref="B38">VLOOKUP($A38,OH_DEMO,2,FALSE)</f>
        <v>43317</v>
      </c>
      <c r="C38" s="704">
        <f>ifna(vlookup(A38,'OH Data'!$A$5:$B$93,2,FALSE),"NULL")</f>
        <v>177</v>
      </c>
      <c r="D38" s="612" t="s">
        <v>63</v>
      </c>
      <c r="E38" s="612">
        <f>ifna(vlookup(A38,'OH Data'!$D$5:$E$88,2,FALSE),"NULL")</f>
        <v>100</v>
      </c>
      <c r="F38" s="612">
        <f>ifna(vlookup(A38,'OH Data'!$G$5:$H$46,2,FALSE),"NULL")</f>
        <v>56</v>
      </c>
      <c r="G38" s="612" t="s">
        <v>63</v>
      </c>
      <c r="H38" s="615" t="s">
        <v>63</v>
      </c>
      <c r="I38" s="704">
        <f>ifna(vlookup(A38,'OH Data'!$J$5:$K$93,2,FALSE),"NULL")</f>
        <v>28</v>
      </c>
      <c r="J38" s="615" t="s">
        <v>63</v>
      </c>
      <c r="K38" s="1139">
        <f>ifna(vlookup(A38,'OH Data'!$S$5:$T$93,2,FALSE),"NULL")</f>
        <v>0.5492957746</v>
      </c>
      <c r="L38" s="671" t="s">
        <v>63</v>
      </c>
      <c r="M38" s="614" t="s">
        <v>63</v>
      </c>
      <c r="N38" s="612" t="s">
        <v>63</v>
      </c>
      <c r="O38" s="612" t="s">
        <v>63</v>
      </c>
      <c r="P38" s="620">
        <f>ifna(vlookup(A38,'Population &amp; Church Numbers'!$A$2046:$D$2133,4,FALSE),"NULL")</f>
        <v>53</v>
      </c>
      <c r="Q38" s="612" t="s">
        <v>63</v>
      </c>
    </row>
    <row r="39">
      <c r="A39" s="609" t="s">
        <v>1685</v>
      </c>
      <c r="B39" s="610">
        <f t="array" ref="B39">VLOOKUP($A39,OH_DEMO,2,FALSE)</f>
        <v>28050</v>
      </c>
      <c r="C39" s="704">
        <f>ifna(vlookup(A39,'OH Data'!$A$5:$B$93,2,FALSE),"NULL")</f>
        <v>42</v>
      </c>
      <c r="D39" s="612" t="s">
        <v>63</v>
      </c>
      <c r="E39" s="612">
        <f>ifna(vlookup(A39,'OH Data'!$D$5:$E$88,2,FALSE),"NULL")</f>
        <v>28</v>
      </c>
      <c r="F39" s="612" t="str">
        <f>ifna(vlookup(A39,'OH Data'!$G$5:$H$46,2,FALSE),"NULL")</f>
        <v>NULL</v>
      </c>
      <c r="G39" s="612" t="s">
        <v>63</v>
      </c>
      <c r="H39" s="615" t="s">
        <v>63</v>
      </c>
      <c r="I39" s="704">
        <f>ifna(vlookup(A39,'OH Data'!$J$5:$K$93,2,FALSE),"NULL")</f>
        <v>20</v>
      </c>
      <c r="J39" s="615" t="s">
        <v>63</v>
      </c>
      <c r="K39" s="1139">
        <f>ifna(vlookup(A39,'OH Data'!$S$5:$T$93,2,FALSE),"NULL")</f>
        <v>0.3225806452</v>
      </c>
      <c r="L39" s="671" t="s">
        <v>63</v>
      </c>
      <c r="M39" s="614" t="s">
        <v>63</v>
      </c>
      <c r="N39" s="612" t="s">
        <v>63</v>
      </c>
      <c r="O39" s="612" t="s">
        <v>63</v>
      </c>
      <c r="P39" s="620">
        <f>ifna(vlookup(A39,'Population &amp; Church Numbers'!$A$2046:$D$2133,4,FALSE),"NULL")</f>
        <v>36</v>
      </c>
      <c r="Q39" s="612" t="s">
        <v>63</v>
      </c>
    </row>
    <row r="40">
      <c r="A40" s="609" t="s">
        <v>502</v>
      </c>
      <c r="B40" s="610">
        <f t="array" ref="B40">VLOOKUP($A40,OH_DEMO,2,FALSE)</f>
        <v>44223</v>
      </c>
      <c r="C40" s="704">
        <f>ifna(vlookup(A40,'OH Data'!$A$5:$B$93,2,FALSE),"NULL")</f>
        <v>43</v>
      </c>
      <c r="D40" s="612" t="s">
        <v>63</v>
      </c>
      <c r="E40" s="612">
        <f>ifna(vlookup(A40,'OH Data'!$D$5:$E$88,2,FALSE),"NULL")</f>
        <v>19</v>
      </c>
      <c r="F40" s="612">
        <f>ifna(vlookup(A40,'OH Data'!$G$5:$H$46,2,FALSE),"NULL")</f>
        <v>17</v>
      </c>
      <c r="G40" s="612" t="s">
        <v>63</v>
      </c>
      <c r="H40" s="615" t="s">
        <v>63</v>
      </c>
      <c r="I40" s="704" t="str">
        <f>ifna(vlookup(A40,'OH Data'!$J$5:$K$93,2,FALSE),"NULL")</f>
        <v>NULL</v>
      </c>
      <c r="J40" s="615" t="s">
        <v>63</v>
      </c>
      <c r="K40" s="1139">
        <f>ifna(vlookup(A40,'OH Data'!$S$5:$T$93,2,FALSE),"NULL")</f>
        <v>0.4411764706</v>
      </c>
      <c r="L40" s="671" t="s">
        <v>63</v>
      </c>
      <c r="M40" s="614" t="s">
        <v>63</v>
      </c>
      <c r="N40" s="612" t="s">
        <v>63</v>
      </c>
      <c r="O40" s="612" t="s">
        <v>63</v>
      </c>
      <c r="P40" s="620">
        <f>ifna(vlookup(A40,'Population &amp; Church Numbers'!$A$2046:$D$2133,4,FALSE),"NULL")</f>
        <v>53</v>
      </c>
      <c r="Q40" s="612" t="s">
        <v>63</v>
      </c>
    </row>
    <row r="41">
      <c r="A41" s="609" t="s">
        <v>1255</v>
      </c>
      <c r="B41" s="610">
        <f t="array" ref="B41">VLOOKUP($A41,OH_DEMO,2,FALSE)</f>
        <v>58565</v>
      </c>
      <c r="C41" s="704">
        <f>ifna(vlookup(A41,'OH Data'!$A$5:$B$93,2,FALSE),"NULL")</f>
        <v>38</v>
      </c>
      <c r="D41" s="612" t="s">
        <v>63</v>
      </c>
      <c r="E41" s="612">
        <f>ifna(vlookup(A41,'OH Data'!$D$5:$E$88,2,FALSE),"NULL")</f>
        <v>29</v>
      </c>
      <c r="F41" s="612" t="str">
        <f>ifna(vlookup(A41,'OH Data'!$G$5:$H$46,2,FALSE),"NULL")</f>
        <v>NULL</v>
      </c>
      <c r="G41" s="612" t="s">
        <v>63</v>
      </c>
      <c r="H41" s="615" t="s">
        <v>63</v>
      </c>
      <c r="I41" s="704" t="str">
        <f>ifna(vlookup(A41,'OH Data'!$J$5:$K$93,2,FALSE),"NULL")</f>
        <v>NULL</v>
      </c>
      <c r="J41" s="615" t="s">
        <v>63</v>
      </c>
      <c r="K41" s="1139">
        <f>ifna(vlookup(A41,'OH Data'!$S$5:$T$93,2,FALSE),"NULL")</f>
        <v>0.3783783784</v>
      </c>
      <c r="L41" s="671" t="s">
        <v>63</v>
      </c>
      <c r="M41" s="614" t="s">
        <v>63</v>
      </c>
      <c r="N41" s="612" t="s">
        <v>63</v>
      </c>
      <c r="O41" s="612" t="s">
        <v>63</v>
      </c>
      <c r="P41" s="620">
        <f>ifna(vlookup(A41,'Population &amp; Church Numbers'!$A$2046:$D$2133,4,FALSE),"NULL")</f>
        <v>65</v>
      </c>
      <c r="Q41" s="612" t="s">
        <v>63</v>
      </c>
    </row>
    <row r="42">
      <c r="A42" s="609" t="s">
        <v>142</v>
      </c>
      <c r="B42" s="610">
        <f t="array" ref="B42">VLOOKUP($A42,OH_DEMO,2,FALSE)</f>
        <v>32653</v>
      </c>
      <c r="C42" s="704">
        <f>ifna(vlookup(A42,'OH Data'!$A$5:$B$93,2,FALSE),"NULL")</f>
        <v>86</v>
      </c>
      <c r="D42" s="612" t="s">
        <v>63</v>
      </c>
      <c r="E42" s="612">
        <f>ifna(vlookup(A42,'OH Data'!$D$5:$E$88,2,FALSE),"NULL")</f>
        <v>47</v>
      </c>
      <c r="F42" s="612">
        <f>ifna(vlookup(A42,'OH Data'!$G$5:$H$46,2,FALSE),"NULL")</f>
        <v>28</v>
      </c>
      <c r="G42" s="612" t="s">
        <v>63</v>
      </c>
      <c r="H42" s="615" t="s">
        <v>63</v>
      </c>
      <c r="I42" s="704">
        <f>ifna(vlookup(A42,'OH Data'!$J$5:$K$93,2,FALSE),"NULL")</f>
        <v>31</v>
      </c>
      <c r="J42" s="615" t="s">
        <v>63</v>
      </c>
      <c r="K42" s="1139">
        <f>ifna(vlookup(A42,'OH Data'!$S$5:$T$93,2,FALSE),"NULL")</f>
        <v>0.3725490196</v>
      </c>
      <c r="L42" s="671" t="s">
        <v>63</v>
      </c>
      <c r="M42" s="614" t="s">
        <v>63</v>
      </c>
      <c r="N42" s="612" t="s">
        <v>63</v>
      </c>
      <c r="O42" s="612" t="s">
        <v>63</v>
      </c>
      <c r="P42" s="620">
        <f>ifna(vlookup(A42,'Population &amp; Church Numbers'!$A$2046:$D$2133,4,FALSE),"NULL")</f>
        <v>50</v>
      </c>
      <c r="Q42" s="612" t="s">
        <v>63</v>
      </c>
    </row>
    <row r="43">
      <c r="A43" s="609" t="s">
        <v>143</v>
      </c>
      <c r="B43" s="610">
        <f t="array" ref="B43">VLOOKUP($A43,OH_DEMO,2,FALSE)</f>
        <v>65249</v>
      </c>
      <c r="C43" s="704">
        <f>ifna(vlookup(A43,'OH Data'!$A$5:$B$93,2,FALSE),"NULL")</f>
        <v>55</v>
      </c>
      <c r="D43" s="612" t="s">
        <v>63</v>
      </c>
      <c r="E43" s="612">
        <f>ifna(vlookup(A43,'OH Data'!$D$5:$E$88,2,FALSE),"NULL")</f>
        <v>19</v>
      </c>
      <c r="F43" s="612">
        <f>ifna(vlookup(A43,'OH Data'!$G$5:$H$46,2,FALSE),"NULL")</f>
        <v>14</v>
      </c>
      <c r="G43" s="612" t="s">
        <v>63</v>
      </c>
      <c r="H43" s="615" t="s">
        <v>63</v>
      </c>
      <c r="I43" s="704">
        <f>ifna(vlookup(A43,'OH Data'!$J$5:$K$93,2,FALSE),"NULL")</f>
        <v>12</v>
      </c>
      <c r="J43" s="615" t="s">
        <v>63</v>
      </c>
      <c r="K43" s="1139">
        <f>ifna(vlookup(A43,'OH Data'!$S$5:$T$93,2,FALSE),"NULL")</f>
        <v>0.3</v>
      </c>
      <c r="L43" s="671" t="s">
        <v>63</v>
      </c>
      <c r="M43" s="614" t="s">
        <v>63</v>
      </c>
      <c r="N43" s="612" t="s">
        <v>63</v>
      </c>
      <c r="O43" s="612" t="s">
        <v>63</v>
      </c>
      <c r="P43" s="620">
        <f>ifna(vlookup(A43,'Population &amp; Church Numbers'!$A$2046:$D$2133,4,FALSE),"NULL")</f>
        <v>104</v>
      </c>
      <c r="Q43" s="612" t="s">
        <v>63</v>
      </c>
    </row>
    <row r="44">
      <c r="A44" s="609" t="s">
        <v>728</v>
      </c>
      <c r="B44" s="610">
        <f t="array" ref="B44">VLOOKUP($A44,OH_DEMO,2,FALSE)</f>
        <v>62721</v>
      </c>
      <c r="C44" s="704">
        <f>ifna(vlookup(A44,'OH Data'!$A$5:$B$93,2,FALSE),"NULL")</f>
        <v>68</v>
      </c>
      <c r="D44" s="612" t="s">
        <v>63</v>
      </c>
      <c r="E44" s="612">
        <f>ifna(vlookup(A44,'OH Data'!$D$5:$E$88,2,FALSE),"NULL")</f>
        <v>36</v>
      </c>
      <c r="F44" s="612">
        <f>ifna(vlookup(A44,'OH Data'!$G$5:$H$46,2,FALSE),"NULL")</f>
        <v>15</v>
      </c>
      <c r="G44" s="612" t="s">
        <v>63</v>
      </c>
      <c r="H44" s="615" t="s">
        <v>63</v>
      </c>
      <c r="I44" s="704">
        <f>ifna(vlookup(A44,'OH Data'!$J$5:$K$93,2,FALSE),"NULL")</f>
        <v>19</v>
      </c>
      <c r="J44" s="615" t="s">
        <v>63</v>
      </c>
      <c r="K44" s="1139">
        <f>ifna(vlookup(A44,'OH Data'!$S$5:$T$93,2,FALSE),"NULL")</f>
        <v>0.6034482759</v>
      </c>
      <c r="L44" s="671" t="s">
        <v>63</v>
      </c>
      <c r="M44" s="614" t="s">
        <v>63</v>
      </c>
      <c r="N44" s="612" t="s">
        <v>63</v>
      </c>
      <c r="O44" s="612" t="s">
        <v>63</v>
      </c>
      <c r="P44" s="620">
        <f>ifna(vlookup(A44,'Population &amp; Church Numbers'!$A$2046:$D$2133,4,FALSE),"NULL")</f>
        <v>72</v>
      </c>
      <c r="Q44" s="612" t="s">
        <v>63</v>
      </c>
    </row>
    <row r="45">
      <c r="A45" s="609" t="s">
        <v>337</v>
      </c>
      <c r="B45" s="610">
        <f t="array" ref="B45">VLOOKUP($A45,OH_DEMO,2,FALSE)</f>
        <v>232603</v>
      </c>
      <c r="C45" s="704">
        <f>ifna(vlookup(A45,'OH Data'!$A$5:$B$93,2,FALSE),"NULL")</f>
        <v>70</v>
      </c>
      <c r="D45" s="612" t="s">
        <v>63</v>
      </c>
      <c r="E45" s="612">
        <f>ifna(vlookup(A45,'OH Data'!$D$5:$E$88,2,FALSE),"NULL")</f>
        <v>28</v>
      </c>
      <c r="F45" s="612" t="str">
        <f>ifna(vlookup(A45,'OH Data'!$G$5:$H$46,2,FALSE),"NULL")</f>
        <v>NULL</v>
      </c>
      <c r="G45" s="612" t="s">
        <v>63</v>
      </c>
      <c r="H45" s="615" t="s">
        <v>63</v>
      </c>
      <c r="I45" s="704" t="str">
        <f>ifna(vlookup(A45,'OH Data'!$J$5:$K$93,2,FALSE),"NULL")</f>
        <v>NULL</v>
      </c>
      <c r="J45" s="615" t="s">
        <v>63</v>
      </c>
      <c r="K45" s="1139">
        <f>ifna(vlookup(A45,'OH Data'!$S$5:$T$93,2,FALSE),"NULL")</f>
        <v>0.3673469388</v>
      </c>
      <c r="L45" s="671" t="s">
        <v>63</v>
      </c>
      <c r="M45" s="614" t="s">
        <v>63</v>
      </c>
      <c r="N45" s="612" t="s">
        <v>63</v>
      </c>
      <c r="O45" s="612" t="s">
        <v>63</v>
      </c>
      <c r="P45" s="620">
        <f>ifna(vlookup(A45,'Population &amp; Church Numbers'!$A$2046:$D$2133,4,FALSE),"NULL")</f>
        <v>133</v>
      </c>
      <c r="Q45" s="612" t="s">
        <v>63</v>
      </c>
    </row>
    <row r="46">
      <c r="A46" s="609" t="s">
        <v>146</v>
      </c>
      <c r="B46" s="610">
        <f t="array" ref="B46">VLOOKUP($A46,OH_DEMO,2,FALSE)</f>
        <v>58240</v>
      </c>
      <c r="C46" s="704">
        <f>ifna(vlookup(A46,'OH Data'!$A$5:$B$93,2,FALSE),"NULL")</f>
        <v>82</v>
      </c>
      <c r="D46" s="612" t="s">
        <v>63</v>
      </c>
      <c r="E46" s="612">
        <f>ifna(vlookup(A46,'OH Data'!$D$5:$E$88,2,FALSE),"NULL")</f>
        <v>57</v>
      </c>
      <c r="F46" s="612">
        <f>ifna(vlookup(A46,'OH Data'!$G$5:$H$46,2,FALSE),"NULL")</f>
        <v>14</v>
      </c>
      <c r="G46" s="612" t="s">
        <v>63</v>
      </c>
      <c r="H46" s="615" t="s">
        <v>63</v>
      </c>
      <c r="I46" s="704">
        <f>ifna(vlookup(A46,'OH Data'!$J$5:$K$93,2,FALSE),"NULL")</f>
        <v>27</v>
      </c>
      <c r="J46" s="615" t="s">
        <v>63</v>
      </c>
      <c r="K46" s="1139">
        <f>ifna(vlookup(A46,'OH Data'!$S$5:$T$93,2,FALSE),"NULL")</f>
        <v>0.4594594595</v>
      </c>
      <c r="L46" s="671" t="s">
        <v>63</v>
      </c>
      <c r="M46" s="614" t="s">
        <v>63</v>
      </c>
      <c r="N46" s="612" t="s">
        <v>63</v>
      </c>
      <c r="O46" s="612" t="s">
        <v>63</v>
      </c>
      <c r="P46" s="620">
        <f>ifna(vlookup(A46,'Population &amp; Church Numbers'!$A$2046:$D$2133,4,FALSE),"NULL")</f>
        <v>65</v>
      </c>
      <c r="Q46" s="612" t="s">
        <v>63</v>
      </c>
    </row>
    <row r="47">
      <c r="A47" s="609" t="s">
        <v>1686</v>
      </c>
      <c r="B47" s="610">
        <f t="array" ref="B47">VLOOKUP($A47,OH_DEMO,2,FALSE)</f>
        <v>178519</v>
      </c>
      <c r="C47" s="704">
        <f>ifna(vlookup(A47,'OH Data'!$A$5:$B$93,2,FALSE),"NULL")</f>
        <v>286</v>
      </c>
      <c r="D47" s="612" t="s">
        <v>63</v>
      </c>
      <c r="E47" s="612">
        <f>ifna(vlookup(A47,'OH Data'!$D$5:$E$88,2,FALSE),"NULL")</f>
        <v>174</v>
      </c>
      <c r="F47" s="612">
        <f>ifna(vlookup(A47,'OH Data'!$G$5:$H$46,2,FALSE),"NULL")</f>
        <v>70</v>
      </c>
      <c r="G47" s="612" t="s">
        <v>63</v>
      </c>
      <c r="H47" s="615" t="s">
        <v>63</v>
      </c>
      <c r="I47" s="704">
        <f>ifna(vlookup(A47,'OH Data'!$J$5:$K$93,2,FALSE),"NULL")</f>
        <v>60</v>
      </c>
      <c r="J47" s="615" t="s">
        <v>63</v>
      </c>
      <c r="K47" s="1139">
        <f>ifna(vlookup(A47,'OH Data'!$S$5:$T$93,2,FALSE),"NULL")</f>
        <v>0.3642384106</v>
      </c>
      <c r="L47" s="671" t="s">
        <v>63</v>
      </c>
      <c r="M47" s="614" t="s">
        <v>63</v>
      </c>
      <c r="N47" s="612" t="s">
        <v>63</v>
      </c>
      <c r="O47" s="612" t="s">
        <v>63</v>
      </c>
      <c r="P47" s="620">
        <f>ifna(vlookup(A47,'Population &amp; Church Numbers'!$A$2046:$D$2133,4,FALSE),"NULL")</f>
        <v>161</v>
      </c>
      <c r="Q47" s="612" t="s">
        <v>63</v>
      </c>
    </row>
    <row r="48">
      <c r="A48" s="609" t="s">
        <v>293</v>
      </c>
      <c r="B48" s="610">
        <f t="array" ref="B48">VLOOKUP($A48,OH_DEMO,2,FALSE)</f>
        <v>46150</v>
      </c>
      <c r="C48" s="704">
        <f>ifna(vlookup(A48,'OH Data'!$A$5:$B$93,2,FALSE),"NULL")</f>
        <v>63</v>
      </c>
      <c r="D48" s="612" t="s">
        <v>63</v>
      </c>
      <c r="E48" s="612">
        <f>ifna(vlookup(A48,'OH Data'!$D$5:$E$88,2,FALSE),"NULL")</f>
        <v>37</v>
      </c>
      <c r="F48" s="612">
        <f>ifna(vlookup(A48,'OH Data'!$G$5:$H$46,2,FALSE),"NULL")</f>
        <v>11</v>
      </c>
      <c r="G48" s="612" t="s">
        <v>63</v>
      </c>
      <c r="H48" s="615" t="s">
        <v>63</v>
      </c>
      <c r="I48" s="704">
        <f>ifna(vlookup(A48,'OH Data'!$J$5:$K$93,2,FALSE),"NULL")</f>
        <v>23</v>
      </c>
      <c r="J48" s="615" t="s">
        <v>63</v>
      </c>
      <c r="K48" s="1139">
        <f>ifna(vlookup(A48,'OH Data'!$S$5:$T$93,2,FALSE),"NULL")</f>
        <v>0.303030303</v>
      </c>
      <c r="L48" s="671" t="s">
        <v>63</v>
      </c>
      <c r="M48" s="614" t="s">
        <v>63</v>
      </c>
      <c r="N48" s="612" t="s">
        <v>63</v>
      </c>
      <c r="O48" s="612" t="s">
        <v>63</v>
      </c>
      <c r="P48" s="620">
        <f>ifna(vlookup(A48,'Population &amp; Church Numbers'!$A$2046:$D$2133,4,FALSE),"NULL")</f>
        <v>56</v>
      </c>
      <c r="Q48" s="612" t="s">
        <v>63</v>
      </c>
    </row>
    <row r="49">
      <c r="A49" s="609" t="s">
        <v>1687</v>
      </c>
      <c r="B49" s="610">
        <f t="array" ref="B49">VLOOKUP($A49,OH_DEMO,2,FALSE)</f>
        <v>312964</v>
      </c>
      <c r="C49" s="704">
        <f>ifna(vlookup(A49,'OH Data'!$A$5:$B$93,2,FALSE),"NULL")</f>
        <v>200</v>
      </c>
      <c r="D49" s="612" t="s">
        <v>63</v>
      </c>
      <c r="E49" s="612">
        <f>ifna(vlookup(A49,'OH Data'!$D$5:$E$88,2,FALSE),"NULL")</f>
        <v>114</v>
      </c>
      <c r="F49" s="612">
        <f>ifna(vlookup(A49,'OH Data'!$G$5:$H$46,2,FALSE),"NULL")</f>
        <v>53</v>
      </c>
      <c r="G49" s="612" t="s">
        <v>63</v>
      </c>
      <c r="H49" s="615" t="s">
        <v>63</v>
      </c>
      <c r="I49" s="704">
        <f>ifna(vlookup(A49,'OH Data'!$J$5:$K$93,2,FALSE),"NULL")</f>
        <v>27</v>
      </c>
      <c r="J49" s="615" t="s">
        <v>63</v>
      </c>
      <c r="K49" s="1139">
        <f>ifna(vlookup(A49,'OH Data'!$S$5:$T$93,2,FALSE),"NULL")</f>
        <v>0.3057324841</v>
      </c>
      <c r="L49" s="671" t="s">
        <v>63</v>
      </c>
      <c r="M49" s="614" t="s">
        <v>63</v>
      </c>
      <c r="N49" s="612" t="s">
        <v>63</v>
      </c>
      <c r="O49" s="612" t="s">
        <v>63</v>
      </c>
      <c r="P49" s="620">
        <f>ifna(vlookup(A49,'Population &amp; Church Numbers'!$A$2046:$D$2133,4,FALSE),"NULL")</f>
        <v>247</v>
      </c>
      <c r="Q49" s="612" t="s">
        <v>63</v>
      </c>
    </row>
    <row r="50">
      <c r="A50" s="609" t="s">
        <v>909</v>
      </c>
      <c r="B50" s="610">
        <f t="array" ref="B50">VLOOKUP($A50,OH_DEMO,2,FALSE)</f>
        <v>431279</v>
      </c>
      <c r="C50" s="704">
        <f>ifna(vlookup(A50,'OH Data'!$A$5:$B$93,2,FALSE),"NULL")</f>
        <v>831</v>
      </c>
      <c r="D50" s="612" t="s">
        <v>63</v>
      </c>
      <c r="E50" s="612">
        <f>ifna(vlookup(A50,'OH Data'!$D$5:$E$88,2,FALSE),"NULL")</f>
        <v>419</v>
      </c>
      <c r="F50" s="612">
        <f>ifna(vlookup(A50,'OH Data'!$G$5:$H$46,2,FALSE),"NULL")</f>
        <v>292</v>
      </c>
      <c r="G50" s="612" t="s">
        <v>63</v>
      </c>
      <c r="H50" s="615" t="s">
        <v>63</v>
      </c>
      <c r="I50" s="704">
        <f>ifna(vlookup(A50,'OH Data'!$J$5:$K$93,2,FALSE),"NULL")</f>
        <v>205</v>
      </c>
      <c r="J50" s="615" t="s">
        <v>63</v>
      </c>
      <c r="K50" s="1139">
        <f>ifna(vlookup(A50,'OH Data'!$S$5:$T$93,2,FALSE),"NULL")</f>
        <v>0.4315196998</v>
      </c>
      <c r="L50" s="671" t="s">
        <v>63</v>
      </c>
      <c r="M50" s="614" t="s">
        <v>63</v>
      </c>
      <c r="N50" s="612" t="s">
        <v>63</v>
      </c>
      <c r="O50" s="612" t="s">
        <v>63</v>
      </c>
      <c r="P50" s="620">
        <f>ifna(vlookup(A50,'Population &amp; Church Numbers'!$A$2046:$D$2133,4,FALSE),"NULL")</f>
        <v>308</v>
      </c>
      <c r="Q50" s="612" t="s">
        <v>63</v>
      </c>
    </row>
    <row r="51">
      <c r="A51" s="609" t="s">
        <v>151</v>
      </c>
      <c r="B51" s="610">
        <f t="array" ref="B51">VLOOKUP($A51,OH_DEMO,2,FALSE)</f>
        <v>43824</v>
      </c>
      <c r="C51" s="704">
        <f>ifna(vlookup(A51,'OH Data'!$A$5:$B$93,2,FALSE),"NULL")</f>
        <v>24</v>
      </c>
      <c r="D51" s="612" t="s">
        <v>63</v>
      </c>
      <c r="E51" s="612">
        <f>ifna(vlookup(A51,'OH Data'!$D$5:$E$88,2,FALSE),"NULL")</f>
        <v>16</v>
      </c>
      <c r="F51" s="612" t="str">
        <f>ifna(vlookup(A51,'OH Data'!$G$5:$H$46,2,FALSE),"NULL")</f>
        <v>NULL</v>
      </c>
      <c r="G51" s="612" t="s">
        <v>63</v>
      </c>
      <c r="H51" s="615" t="s">
        <v>63</v>
      </c>
      <c r="I51" s="704" t="str">
        <f>ifna(vlookup(A51,'OH Data'!$J$5:$K$93,2,FALSE),"NULL")</f>
        <v>NULL</v>
      </c>
      <c r="J51" s="615" t="s">
        <v>63</v>
      </c>
      <c r="K51" s="1139">
        <f>ifna(vlookup(A51,'OH Data'!$S$5:$T$93,2,FALSE),"NULL")</f>
        <v>0.5714285714</v>
      </c>
      <c r="L51" s="671" t="s">
        <v>63</v>
      </c>
      <c r="M51" s="614" t="s">
        <v>63</v>
      </c>
      <c r="N51" s="612" t="s">
        <v>63</v>
      </c>
      <c r="O51" s="612" t="s">
        <v>63</v>
      </c>
      <c r="P51" s="620">
        <f>ifna(vlookup(A51,'Population &amp; Church Numbers'!$A$2046:$D$2133,4,FALSE),"NULL")</f>
        <v>53</v>
      </c>
      <c r="Q51" s="612" t="s">
        <v>63</v>
      </c>
    </row>
    <row r="52">
      <c r="A52" s="609" t="s">
        <v>1688</v>
      </c>
      <c r="B52" s="610">
        <f t="array" ref="B52">VLOOKUP($A52,OH_DEMO,2,FALSE)</f>
        <v>228614</v>
      </c>
      <c r="C52" s="704">
        <f>ifna(vlookup(A52,'OH Data'!$A$5:$B$93,2,FALSE),"NULL")</f>
        <v>277</v>
      </c>
      <c r="D52" s="612" t="s">
        <v>63</v>
      </c>
      <c r="E52" s="612">
        <f>ifna(vlookup(A52,'OH Data'!$D$5:$E$88,2,FALSE),"NULL")</f>
        <v>179</v>
      </c>
      <c r="F52" s="612">
        <f>ifna(vlookup(A52,'OH Data'!$G$5:$H$46,2,FALSE),"NULL")</f>
        <v>64</v>
      </c>
      <c r="G52" s="612" t="s">
        <v>63</v>
      </c>
      <c r="H52" s="615" t="s">
        <v>63</v>
      </c>
      <c r="I52" s="704">
        <f>ifna(vlookup(A52,'OH Data'!$J$5:$K$93,2,FALSE),"NULL")</f>
        <v>36</v>
      </c>
      <c r="J52" s="615" t="s">
        <v>63</v>
      </c>
      <c r="K52" s="1139">
        <f>ifna(vlookup(A52,'OH Data'!$S$5:$T$93,2,FALSE),"NULL")</f>
        <v>0.5360824742</v>
      </c>
      <c r="L52" s="671" t="s">
        <v>63</v>
      </c>
      <c r="M52" s="614" t="s">
        <v>63</v>
      </c>
      <c r="N52" s="612" t="s">
        <v>63</v>
      </c>
      <c r="O52" s="612" t="s">
        <v>63</v>
      </c>
      <c r="P52" s="620">
        <f>ifna(vlookup(A52,'Population &amp; Church Numbers'!$A$2046:$D$2133,4,FALSE),"NULL")</f>
        <v>242</v>
      </c>
      <c r="Q52" s="612" t="s">
        <v>63</v>
      </c>
    </row>
    <row r="53">
      <c r="A53" s="609" t="s">
        <v>153</v>
      </c>
      <c r="B53" s="610">
        <f t="array" ref="B53">VLOOKUP($A53,OH_DEMO,2,FALSE)</f>
        <v>65359</v>
      </c>
      <c r="C53" s="704">
        <f>ifna(vlookup(A53,'OH Data'!$A$5:$B$93,2,FALSE),"NULL")</f>
        <v>52</v>
      </c>
      <c r="D53" s="612" t="s">
        <v>63</v>
      </c>
      <c r="E53" s="612">
        <f>ifna(vlookup(A53,'OH Data'!$D$5:$E$88,2,FALSE),"NULL")</f>
        <v>35</v>
      </c>
      <c r="F53" s="612" t="str">
        <f>ifna(vlookup(A53,'OH Data'!$G$5:$H$46,2,FALSE),"NULL")</f>
        <v>NULL</v>
      </c>
      <c r="G53" s="612" t="s">
        <v>63</v>
      </c>
      <c r="H53" s="615" t="s">
        <v>63</v>
      </c>
      <c r="I53" s="704">
        <f>ifna(vlookup(A53,'OH Data'!$J$5:$K$93,2,FALSE),"NULL")</f>
        <v>20</v>
      </c>
      <c r="J53" s="615" t="s">
        <v>63</v>
      </c>
      <c r="K53" s="1139">
        <f>ifna(vlookup(A53,'OH Data'!$S$5:$T$93,2,FALSE),"NULL")</f>
        <v>0.358974359</v>
      </c>
      <c r="L53" s="671" t="s">
        <v>63</v>
      </c>
      <c r="M53" s="614" t="s">
        <v>63</v>
      </c>
      <c r="N53" s="612" t="s">
        <v>63</v>
      </c>
      <c r="O53" s="612" t="s">
        <v>63</v>
      </c>
      <c r="P53" s="620">
        <f>ifna(vlookup(A53,'Population &amp; Church Numbers'!$A$2046:$D$2133,4,FALSE),"NULL")</f>
        <v>68</v>
      </c>
      <c r="Q53" s="612" t="s">
        <v>63</v>
      </c>
    </row>
    <row r="54">
      <c r="A54" s="609" t="s">
        <v>1689</v>
      </c>
      <c r="B54" s="610">
        <f t="array" ref="B54">VLOOKUP($A54,OH_DEMO,2,FALSE)</f>
        <v>182470</v>
      </c>
      <c r="C54" s="704">
        <f>ifna(vlookup(A54,'OH Data'!$A$5:$B$93,2,FALSE),"NULL")</f>
        <v>122</v>
      </c>
      <c r="D54" s="612" t="s">
        <v>63</v>
      </c>
      <c r="E54" s="612">
        <f>ifna(vlookup(A54,'OH Data'!$D$5:$E$88,2,FALSE),"NULL")</f>
        <v>58</v>
      </c>
      <c r="F54" s="612">
        <f>ifna(vlookup(A54,'OH Data'!$G$5:$H$46,2,FALSE),"NULL")</f>
        <v>37</v>
      </c>
      <c r="G54" s="612" t="s">
        <v>63</v>
      </c>
      <c r="H54" s="615" t="s">
        <v>63</v>
      </c>
      <c r="I54" s="704">
        <f>ifna(vlookup(A54,'OH Data'!$J$5:$K$93,2,FALSE),"NULL")</f>
        <v>23</v>
      </c>
      <c r="J54" s="615" t="s">
        <v>63</v>
      </c>
      <c r="K54" s="1139">
        <f>ifna(vlookup(A54,'OH Data'!$S$5:$T$93,2,FALSE),"NULL")</f>
        <v>0.5647058824</v>
      </c>
      <c r="L54" s="671" t="s">
        <v>63</v>
      </c>
      <c r="M54" s="614" t="s">
        <v>63</v>
      </c>
      <c r="N54" s="612" t="s">
        <v>63</v>
      </c>
      <c r="O54" s="612" t="s">
        <v>63</v>
      </c>
      <c r="P54" s="620">
        <f>ifna(vlookup(A54,'Population &amp; Church Numbers'!$A$2046:$D$2133,4,FALSE),"NULL")</f>
        <v>118</v>
      </c>
      <c r="Q54" s="612" t="s">
        <v>63</v>
      </c>
    </row>
    <row r="55">
      <c r="A55" s="609" t="s">
        <v>1690</v>
      </c>
      <c r="B55" s="610">
        <f t="array" ref="B55">VLOOKUP($A55,OH_DEMO,2,FALSE)</f>
        <v>22210</v>
      </c>
      <c r="C55" s="704" t="str">
        <f>ifna(vlookup(A55,'OH Data'!$A$5:$B$93,2,FALSE),"NULL")</f>
        <v>NULL</v>
      </c>
      <c r="D55" s="612" t="s">
        <v>63</v>
      </c>
      <c r="E55" s="612" t="str">
        <f>ifna(vlookup(A55,'OH Data'!$D$5:$E$88,2,FALSE),"NULL")</f>
        <v>NULL</v>
      </c>
      <c r="F55" s="612" t="str">
        <f>ifna(vlookup(A55,'OH Data'!$G$5:$H$46,2,FALSE),"NULL")</f>
        <v>NULL</v>
      </c>
      <c r="G55" s="612" t="s">
        <v>63</v>
      </c>
      <c r="H55" s="615" t="s">
        <v>63</v>
      </c>
      <c r="I55" s="704" t="str">
        <f>ifna(vlookup(A55,'OH Data'!$J$5:$K$93,2,FALSE),"NULL")</f>
        <v>NULL</v>
      </c>
      <c r="J55" s="615" t="s">
        <v>63</v>
      </c>
      <c r="K55" s="1139">
        <f>ifna(vlookup(A55,'OH Data'!$S$5:$T$93,2,FALSE),"NULL")</f>
        <v>0.3571428571</v>
      </c>
      <c r="L55" s="671" t="s">
        <v>63</v>
      </c>
      <c r="M55" s="614" t="s">
        <v>63</v>
      </c>
      <c r="N55" s="612" t="s">
        <v>63</v>
      </c>
      <c r="O55" s="612" t="s">
        <v>63</v>
      </c>
      <c r="P55" s="620">
        <f>ifna(vlookup(A55,'Population &amp; Church Numbers'!$A$2046:$D$2133,4,FALSE),"NULL")</f>
        <v>40</v>
      </c>
      <c r="Q55" s="612" t="s">
        <v>63</v>
      </c>
    </row>
    <row r="56">
      <c r="A56" s="609" t="s">
        <v>738</v>
      </c>
      <c r="B56" s="610">
        <f t="array" ref="B56">VLOOKUP($A56,OH_DEMO,2,FALSE)</f>
        <v>42528</v>
      </c>
      <c r="C56" s="704">
        <f>ifna(vlookup(A56,'OH Data'!$A$5:$B$93,2,FALSE),"NULL")</f>
        <v>21</v>
      </c>
      <c r="D56" s="612" t="s">
        <v>63</v>
      </c>
      <c r="E56" s="612">
        <f>ifna(vlookup(A56,'OH Data'!$D$5:$E$88,2,FALSE),"NULL")</f>
        <v>12</v>
      </c>
      <c r="F56" s="612" t="str">
        <f>ifna(vlookup(A56,'OH Data'!$G$5:$H$46,2,FALSE),"NULL")</f>
        <v>NULL</v>
      </c>
      <c r="G56" s="612" t="s">
        <v>63</v>
      </c>
      <c r="H56" s="615" t="s">
        <v>63</v>
      </c>
      <c r="I56" s="704" t="str">
        <f>ifna(vlookup(A56,'OH Data'!$J$5:$K$93,2,FALSE),"NULL")</f>
        <v>NULL</v>
      </c>
      <c r="J56" s="615" t="s">
        <v>63</v>
      </c>
      <c r="K56" s="1139">
        <f>ifna(vlookup(A56,'OH Data'!$S$5:$T$93,2,FALSE),"NULL")</f>
        <v>0.4285714286</v>
      </c>
      <c r="L56" s="671" t="s">
        <v>63</v>
      </c>
      <c r="M56" s="614" t="s">
        <v>63</v>
      </c>
      <c r="N56" s="612" t="s">
        <v>63</v>
      </c>
      <c r="O56" s="612" t="s">
        <v>63</v>
      </c>
      <c r="P56" s="620">
        <f>ifna(vlookup(A56,'Population &amp; Church Numbers'!$A$2046:$D$2133,4,FALSE),"NULL")</f>
        <v>50</v>
      </c>
      <c r="Q56" s="612" t="s">
        <v>63</v>
      </c>
    </row>
    <row r="57">
      <c r="A57" s="609" t="s">
        <v>791</v>
      </c>
      <c r="B57" s="610">
        <f t="array" ref="B57">VLOOKUP($A57,OH_DEMO,2,FALSE)</f>
        <v>108774</v>
      </c>
      <c r="C57" s="704">
        <f>ifna(vlookup(A57,'OH Data'!$A$5:$B$93,2,FALSE),"NULL")</f>
        <v>65</v>
      </c>
      <c r="D57" s="612" t="s">
        <v>63</v>
      </c>
      <c r="E57" s="612">
        <f>ifna(vlookup(A57,'OH Data'!$D$5:$E$88,2,FALSE),"NULL")</f>
        <v>29</v>
      </c>
      <c r="F57" s="612" t="str">
        <f>ifna(vlookup(A57,'OH Data'!$G$5:$H$46,2,FALSE),"NULL")</f>
        <v>NULL</v>
      </c>
      <c r="G57" s="612" t="s">
        <v>63</v>
      </c>
      <c r="H57" s="615" t="s">
        <v>63</v>
      </c>
      <c r="I57" s="704">
        <f>ifna(vlookup(A57,'OH Data'!$J$5:$K$93,2,FALSE),"NULL")</f>
        <v>12</v>
      </c>
      <c r="J57" s="615" t="s">
        <v>63</v>
      </c>
      <c r="K57" s="1139">
        <f>ifna(vlookup(A57,'OH Data'!$S$5:$T$93,2,FALSE),"NULL")</f>
        <v>0.3684210526</v>
      </c>
      <c r="L57" s="671" t="s">
        <v>63</v>
      </c>
      <c r="M57" s="614" t="s">
        <v>63</v>
      </c>
      <c r="N57" s="612" t="s">
        <v>63</v>
      </c>
      <c r="O57" s="612" t="s">
        <v>63</v>
      </c>
      <c r="P57" s="620">
        <f>ifna(vlookup(A57,'Population &amp; Church Numbers'!$A$2046:$D$2133,4,FALSE),"NULL")</f>
        <v>108</v>
      </c>
      <c r="Q57" s="612" t="s">
        <v>63</v>
      </c>
    </row>
    <row r="58">
      <c r="A58" s="609" t="s">
        <v>156</v>
      </c>
      <c r="B58" s="610">
        <f t="array" ref="B58">VLOOKUP($A58,OH_DEMO,2,FALSE)</f>
        <v>13385</v>
      </c>
      <c r="C58" s="704" t="str">
        <f>ifna(vlookup(A58,'OH Data'!$A$5:$B$93,2,FALSE),"NULL")</f>
        <v>NULL</v>
      </c>
      <c r="D58" s="612" t="s">
        <v>63</v>
      </c>
      <c r="E58" s="612" t="str">
        <f>ifna(vlookup(A58,'OH Data'!$D$5:$E$88,2,FALSE),"NULL")</f>
        <v>NULL</v>
      </c>
      <c r="F58" s="612" t="str">
        <f>ifna(vlookup(A58,'OH Data'!$G$5:$H$46,2,FALSE),"NULL")</f>
        <v>NULL</v>
      </c>
      <c r="G58" s="612" t="s">
        <v>63</v>
      </c>
      <c r="H58" s="615" t="s">
        <v>63</v>
      </c>
      <c r="I58" s="704" t="str">
        <f>ifna(vlookup(A58,'OH Data'!$J$5:$K$93,2,FALSE),"NULL")</f>
        <v>NULL</v>
      </c>
      <c r="J58" s="615" t="s">
        <v>63</v>
      </c>
      <c r="K58" s="1139" t="str">
        <f>ifna(vlookup(A58,'OH Data'!$S$5:$T$93,2,FALSE),"NULL")</f>
        <v/>
      </c>
      <c r="L58" s="671" t="s">
        <v>63</v>
      </c>
      <c r="M58" s="614" t="s">
        <v>63</v>
      </c>
      <c r="N58" s="612" t="s">
        <v>63</v>
      </c>
      <c r="O58" s="612" t="s">
        <v>63</v>
      </c>
      <c r="P58" s="620">
        <f>ifna(vlookup(A58,'Population &amp; Church Numbers'!$A$2046:$D$2133,4,FALSE),"NULL")</f>
        <v>34</v>
      </c>
      <c r="Q58" s="612" t="s">
        <v>63</v>
      </c>
    </row>
    <row r="59">
      <c r="A59" s="609" t="s">
        <v>157</v>
      </c>
      <c r="B59" s="610">
        <f t="array" ref="B59">VLOOKUP($A59,OH_DEMO,2,FALSE)</f>
        <v>537309</v>
      </c>
      <c r="C59" s="704">
        <f>ifna(vlookup(A59,'OH Data'!$A$5:$B$93,2,FALSE),"NULL")</f>
        <v>776</v>
      </c>
      <c r="D59" s="612" t="s">
        <v>63</v>
      </c>
      <c r="E59" s="612">
        <f>ifna(vlookup(A59,'OH Data'!$D$5:$E$88,2,FALSE),"NULL")</f>
        <v>476</v>
      </c>
      <c r="F59" s="612">
        <f>ifna(vlookup(A59,'OH Data'!$G$5:$H$46,2,FALSE),"NULL")</f>
        <v>88</v>
      </c>
      <c r="G59" s="612" t="s">
        <v>63</v>
      </c>
      <c r="H59" s="615" t="s">
        <v>63</v>
      </c>
      <c r="I59" s="704">
        <f>ifna(vlookup(A59,'OH Data'!$J$5:$K$93,2,FALSE),"NULL")</f>
        <v>211</v>
      </c>
      <c r="J59" s="615" t="s">
        <v>63</v>
      </c>
      <c r="K59" s="1139">
        <f>ifna(vlookup(A59,'OH Data'!$S$5:$T$93,2,FALSE),"NULL")</f>
        <v>0.4322820037</v>
      </c>
      <c r="L59" s="671" t="s">
        <v>63</v>
      </c>
      <c r="M59" s="614" t="s">
        <v>63</v>
      </c>
      <c r="N59" s="612" t="s">
        <v>63</v>
      </c>
      <c r="O59" s="612" t="s">
        <v>63</v>
      </c>
      <c r="P59" s="620">
        <f>ifna(vlookup(A59,'Population &amp; Church Numbers'!$A$2046:$D$2133,4,FALSE),"NULL")</f>
        <v>478</v>
      </c>
      <c r="Q59" s="612" t="s">
        <v>63</v>
      </c>
    </row>
    <row r="60">
      <c r="A60" s="609" t="s">
        <v>158</v>
      </c>
      <c r="B60" s="610">
        <f t="array" ref="B60">VLOOKUP($A60,OH_DEMO,2,FALSE)</f>
        <v>13802</v>
      </c>
      <c r="C60" s="704">
        <f>ifna(vlookup(A60,'OH Data'!$A$5:$B$93,2,FALSE),"NULL")</f>
        <v>25</v>
      </c>
      <c r="D60" s="612" t="s">
        <v>63</v>
      </c>
      <c r="E60" s="612">
        <f>ifna(vlookup(A60,'OH Data'!$D$5:$E$88,2,FALSE),"NULL")</f>
        <v>13</v>
      </c>
      <c r="F60" s="612" t="str">
        <f>ifna(vlookup(A60,'OH Data'!$G$5:$H$46,2,FALSE),"NULL")</f>
        <v>NULL</v>
      </c>
      <c r="G60" s="612" t="s">
        <v>63</v>
      </c>
      <c r="H60" s="615" t="s">
        <v>63</v>
      </c>
      <c r="I60" s="704" t="str">
        <f>ifna(vlookup(A60,'OH Data'!$J$5:$K$93,2,FALSE),"NULL")</f>
        <v>NULL</v>
      </c>
      <c r="J60" s="615" t="s">
        <v>63</v>
      </c>
      <c r="K60" s="1139">
        <f>ifna(vlookup(A60,'OH Data'!$S$5:$T$93,2,FALSE),"NULL")</f>
        <v>0.75</v>
      </c>
      <c r="L60" s="671" t="s">
        <v>63</v>
      </c>
      <c r="M60" s="614" t="s">
        <v>63</v>
      </c>
      <c r="N60" s="612" t="s">
        <v>63</v>
      </c>
      <c r="O60" s="612" t="s">
        <v>63</v>
      </c>
      <c r="P60" s="620">
        <f>ifna(vlookup(A60,'Population &amp; Church Numbers'!$A$2046:$D$2133,4,FALSE),"NULL")</f>
        <v>24</v>
      </c>
      <c r="Q60" s="612" t="s">
        <v>63</v>
      </c>
    </row>
    <row r="61">
      <c r="A61" s="609" t="s">
        <v>1691</v>
      </c>
      <c r="B61" s="610">
        <f t="array" ref="B61">VLOOKUP($A61,OH_DEMO,2,FALSE)</f>
        <v>34950</v>
      </c>
      <c r="C61" s="704">
        <f>ifna(vlookup(A61,'OH Data'!$A$5:$B$93,2,FALSE),"NULL")</f>
        <v>29</v>
      </c>
      <c r="D61" s="612" t="s">
        <v>63</v>
      </c>
      <c r="E61" s="612">
        <f>ifna(vlookup(A61,'OH Data'!$D$5:$E$88,2,FALSE),"NULL")</f>
        <v>17</v>
      </c>
      <c r="F61" s="612" t="str">
        <f>ifna(vlookup(A61,'OH Data'!$G$5:$H$46,2,FALSE),"NULL")</f>
        <v>NULL</v>
      </c>
      <c r="G61" s="612" t="s">
        <v>63</v>
      </c>
      <c r="H61" s="615" t="s">
        <v>63</v>
      </c>
      <c r="I61" s="704" t="str">
        <f>ifna(vlookup(A61,'OH Data'!$J$5:$K$93,2,FALSE),"NULL")</f>
        <v>NULL</v>
      </c>
      <c r="J61" s="615" t="s">
        <v>63</v>
      </c>
      <c r="K61" s="1139">
        <f>ifna(vlookup(A61,'OH Data'!$S$5:$T$93,2,FALSE),"NULL")</f>
        <v>0.3076923077</v>
      </c>
      <c r="L61" s="671" t="s">
        <v>63</v>
      </c>
      <c r="M61" s="614" t="s">
        <v>63</v>
      </c>
      <c r="N61" s="612" t="s">
        <v>63</v>
      </c>
      <c r="O61" s="612" t="s">
        <v>63</v>
      </c>
      <c r="P61" s="620">
        <f>ifna(vlookup(A61,'Population &amp; Church Numbers'!$A$2046:$D$2133,4,FALSE),"NULL")</f>
        <v>32</v>
      </c>
      <c r="Q61" s="612" t="s">
        <v>63</v>
      </c>
    </row>
    <row r="62">
      <c r="A62" s="609" t="s">
        <v>1692</v>
      </c>
      <c r="B62" s="610">
        <f t="array" ref="B62">VLOOKUP($A62,OH_DEMO,2,FALSE)</f>
        <v>86410</v>
      </c>
      <c r="C62" s="704">
        <f>ifna(vlookup(A62,'OH Data'!$A$5:$B$93,2,FALSE),"NULL")</f>
        <v>184</v>
      </c>
      <c r="D62" s="612" t="s">
        <v>63</v>
      </c>
      <c r="E62" s="612">
        <f>ifna(vlookup(A62,'OH Data'!$D$5:$E$88,2,FALSE),"NULL")</f>
        <v>79</v>
      </c>
      <c r="F62" s="612">
        <f>ifna(vlookup(A62,'OH Data'!$G$5:$H$46,2,FALSE),"NULL")</f>
        <v>64</v>
      </c>
      <c r="G62" s="612" t="s">
        <v>63</v>
      </c>
      <c r="H62" s="615" t="s">
        <v>63</v>
      </c>
      <c r="I62" s="704">
        <f>ifna(vlookup(A62,'OH Data'!$J$5:$K$93,2,FALSE),"NULL")</f>
        <v>12</v>
      </c>
      <c r="J62" s="615" t="s">
        <v>63</v>
      </c>
      <c r="K62" s="1139">
        <f>ifna(vlookup(A62,'OH Data'!$S$5:$T$93,2,FALSE),"NULL")</f>
        <v>0.375</v>
      </c>
      <c r="L62" s="671" t="s">
        <v>63</v>
      </c>
      <c r="M62" s="614" t="s">
        <v>63</v>
      </c>
      <c r="N62" s="612" t="s">
        <v>63</v>
      </c>
      <c r="O62" s="612" t="s">
        <v>63</v>
      </c>
      <c r="P62" s="620">
        <f>ifna(vlookup(A62,'Population &amp; Church Numbers'!$A$2046:$D$2133,4,FALSE),"NULL")</f>
        <v>102</v>
      </c>
      <c r="Q62" s="612" t="s">
        <v>63</v>
      </c>
    </row>
    <row r="63">
      <c r="A63" s="609" t="s">
        <v>793</v>
      </c>
      <c r="B63" s="610">
        <f t="array" ref="B63">VLOOKUP($A63,OH_DEMO,2,FALSE)</f>
        <v>14115</v>
      </c>
      <c r="C63" s="704" t="str">
        <f>ifna(vlookup(A63,'OH Data'!$A$5:$B$93,2,FALSE),"NULL")</f>
        <v>NULL</v>
      </c>
      <c r="D63" s="612" t="s">
        <v>63</v>
      </c>
      <c r="E63" s="612" t="str">
        <f>ifna(vlookup(A63,'OH Data'!$D$5:$E$88,2,FALSE),"NULL")</f>
        <v>NULL</v>
      </c>
      <c r="F63" s="612" t="str">
        <f>ifna(vlookup(A63,'OH Data'!$G$5:$H$46,2,FALSE),"NULL")</f>
        <v>NULL</v>
      </c>
      <c r="G63" s="612" t="s">
        <v>63</v>
      </c>
      <c r="H63" s="615" t="s">
        <v>63</v>
      </c>
      <c r="I63" s="704" t="str">
        <f>ifna(vlookup(A63,'OH Data'!$J$5:$K$93,2,FALSE),"NULL")</f>
        <v>NULL</v>
      </c>
      <c r="J63" s="615" t="s">
        <v>63</v>
      </c>
      <c r="K63" s="1139" t="str">
        <f>ifna(vlookup(A63,'OH Data'!$S$5:$T$93,2,FALSE),"NULL")</f>
        <v>NULL</v>
      </c>
      <c r="L63" s="671" t="s">
        <v>63</v>
      </c>
      <c r="M63" s="614" t="s">
        <v>63</v>
      </c>
      <c r="N63" s="612" t="s">
        <v>63</v>
      </c>
      <c r="O63" s="612" t="s">
        <v>63</v>
      </c>
      <c r="P63" s="620">
        <f>ifna(vlookup(A63,'Population &amp; Church Numbers'!$A$2046:$D$2133,4,FALSE),"NULL")</f>
        <v>19</v>
      </c>
      <c r="Q63" s="612" t="s">
        <v>63</v>
      </c>
    </row>
    <row r="64">
      <c r="A64" s="609" t="s">
        <v>998</v>
      </c>
      <c r="B64" s="610">
        <f t="array" ref="B64">VLOOKUP($A64,OH_DEMO,2,FALSE)</f>
        <v>40364</v>
      </c>
      <c r="C64" s="704">
        <f>ifna(vlookup(A64,'OH Data'!$A$5:$B$93,2,FALSE),"NULL")</f>
        <v>21</v>
      </c>
      <c r="D64" s="612" t="s">
        <v>63</v>
      </c>
      <c r="E64" s="612" t="str">
        <f>ifna(vlookup(A64,'OH Data'!$D$5:$E$88,2,FALSE),"NULL")</f>
        <v>NULL</v>
      </c>
      <c r="F64" s="612">
        <f>ifna(vlookup(A64,'OH Data'!$G$5:$H$46,2,FALSE),"NULL")</f>
        <v>10</v>
      </c>
      <c r="G64" s="612" t="s">
        <v>63</v>
      </c>
      <c r="H64" s="615" t="s">
        <v>63</v>
      </c>
      <c r="I64" s="704" t="str">
        <f>ifna(vlookup(A64,'OH Data'!$J$5:$K$93,2,FALSE),"NULL")</f>
        <v>NULL</v>
      </c>
      <c r="J64" s="615" t="s">
        <v>63</v>
      </c>
      <c r="K64" s="1139" t="str">
        <f>ifna(vlookup(A64,'OH Data'!$S$5:$T$93,2,FALSE),"NULL")</f>
        <v>NULL</v>
      </c>
      <c r="L64" s="671" t="s">
        <v>63</v>
      </c>
      <c r="M64" s="614" t="s">
        <v>63</v>
      </c>
      <c r="N64" s="612" t="s">
        <v>63</v>
      </c>
      <c r="O64" s="612" t="s">
        <v>63</v>
      </c>
      <c r="P64" s="620">
        <f>ifna(vlookup(A64,'Population &amp; Church Numbers'!$A$2046:$D$2133,4,FALSE),"NULL")</f>
        <v>51</v>
      </c>
      <c r="Q64" s="612" t="s">
        <v>63</v>
      </c>
    </row>
    <row r="65">
      <c r="A65" s="609" t="s">
        <v>616</v>
      </c>
      <c r="B65" s="610">
        <f t="array" ref="B65">VLOOKUP($A65,OH_DEMO,2,FALSE)</f>
        <v>18806</v>
      </c>
      <c r="C65" s="704">
        <f>ifna(vlookup(A65,'OH Data'!$A$5:$B$93,2,FALSE),"NULL")</f>
        <v>10</v>
      </c>
      <c r="D65" s="612" t="s">
        <v>63</v>
      </c>
      <c r="E65" s="612" t="str">
        <f>ifna(vlookup(A65,'OH Data'!$D$5:$E$88,2,FALSE),"NULL")</f>
        <v>NULL</v>
      </c>
      <c r="F65" s="612" t="str">
        <f>ifna(vlookup(A65,'OH Data'!$G$5:$H$46,2,FALSE),"NULL")</f>
        <v>NULL</v>
      </c>
      <c r="G65" s="612" t="s">
        <v>63</v>
      </c>
      <c r="H65" s="615" t="s">
        <v>63</v>
      </c>
      <c r="I65" s="704" t="str">
        <f>ifna(vlookup(A65,'OH Data'!$J$5:$K$93,2,FALSE),"NULL")</f>
        <v>NULL</v>
      </c>
      <c r="J65" s="615" t="s">
        <v>63</v>
      </c>
      <c r="K65" s="1139" t="str">
        <f>ifna(vlookup(A65,'OH Data'!$S$5:$T$93,2,FALSE),"NULL")</f>
        <v>NULL</v>
      </c>
      <c r="L65" s="671" t="s">
        <v>63</v>
      </c>
      <c r="M65" s="614" t="s">
        <v>63</v>
      </c>
      <c r="N65" s="612" t="s">
        <v>63</v>
      </c>
      <c r="O65" s="612" t="s">
        <v>63</v>
      </c>
      <c r="P65" s="620">
        <f>ifna(vlookup(A65,'Population &amp; Church Numbers'!$A$2046:$D$2133,4,FALSE),"NULL")</f>
        <v>27</v>
      </c>
      <c r="Q65" s="612" t="s">
        <v>63</v>
      </c>
    </row>
    <row r="66">
      <c r="A66" s="609" t="s">
        <v>159</v>
      </c>
      <c r="B66" s="610">
        <f t="array" ref="B66">VLOOKUP($A66,OH_DEMO,2,FALSE)</f>
        <v>35408</v>
      </c>
      <c r="C66" s="704">
        <f>ifna(vlookup(A66,'OH Data'!$A$5:$B$93,2,FALSE),"NULL")</f>
        <v>46</v>
      </c>
      <c r="D66" s="612" t="s">
        <v>63</v>
      </c>
      <c r="E66" s="612">
        <f>ifna(vlookup(A66,'OH Data'!$D$5:$E$88,2,FALSE),"NULL")</f>
        <v>23</v>
      </c>
      <c r="F66" s="612">
        <f>ifna(vlookup(A66,'OH Data'!$G$5:$H$46,2,FALSE),"NULL")</f>
        <v>12</v>
      </c>
      <c r="G66" s="612" t="s">
        <v>63</v>
      </c>
      <c r="H66" s="615" t="s">
        <v>63</v>
      </c>
      <c r="I66" s="704" t="str">
        <f>ifna(vlookup(A66,'OH Data'!$J$5:$K$93,2,FALSE),"NULL")</f>
        <v>NULL</v>
      </c>
      <c r="J66" s="615" t="s">
        <v>63</v>
      </c>
      <c r="K66" s="1139">
        <f>ifna(vlookup(A66,'OH Data'!$S$5:$T$93,2,FALSE),"NULL")</f>
        <v>0.4482758621</v>
      </c>
      <c r="L66" s="671" t="s">
        <v>63</v>
      </c>
      <c r="M66" s="614" t="s">
        <v>63</v>
      </c>
      <c r="N66" s="612" t="s">
        <v>63</v>
      </c>
      <c r="O66" s="612" t="s">
        <v>63</v>
      </c>
      <c r="P66" s="620">
        <f>ifna(vlookup(A66,'Population &amp; Church Numbers'!$A$2046:$D$2133,4,FALSE),"NULL")</f>
        <v>46</v>
      </c>
      <c r="Q66" s="612" t="s">
        <v>63</v>
      </c>
    </row>
    <row r="67">
      <c r="A67" s="609" t="s">
        <v>1693</v>
      </c>
      <c r="B67" s="610">
        <f t="array" ref="B67">VLOOKUP($A67,OH_DEMO,2,FALSE)</f>
        <v>58539</v>
      </c>
      <c r="C67" s="704">
        <f>ifna(vlookup(A67,'OH Data'!$A$5:$B$93,2,FALSE),"NULL")</f>
        <v>26</v>
      </c>
      <c r="D67" s="612" t="s">
        <v>63</v>
      </c>
      <c r="E67" s="612">
        <f>ifna(vlookup(A67,'OH Data'!$D$5:$E$88,2,FALSE),"NULL")</f>
        <v>18</v>
      </c>
      <c r="F67" s="612" t="str">
        <f>ifna(vlookup(A67,'OH Data'!$G$5:$H$46,2,FALSE),"NULL")</f>
        <v>NULL</v>
      </c>
      <c r="G67" s="612" t="s">
        <v>63</v>
      </c>
      <c r="H67" s="615" t="s">
        <v>63</v>
      </c>
      <c r="I67" s="704" t="str">
        <f>ifna(vlookup(A67,'OH Data'!$J$5:$K$93,2,FALSE),"NULL")</f>
        <v>NULL</v>
      </c>
      <c r="J67" s="615" t="s">
        <v>63</v>
      </c>
      <c r="K67" s="1139">
        <f>ifna(vlookup(A67,'OH Data'!$S$5:$T$93,2,FALSE),"NULL")</f>
        <v>0.5357142857</v>
      </c>
      <c r="L67" s="671" t="s">
        <v>63</v>
      </c>
      <c r="M67" s="614" t="s">
        <v>63</v>
      </c>
      <c r="N67" s="612" t="s">
        <v>63</v>
      </c>
      <c r="O67" s="612" t="s">
        <v>63</v>
      </c>
      <c r="P67" s="620">
        <f>ifna(vlookup(A67,'Population &amp; Church Numbers'!$A$2046:$D$2133,4,FALSE),"NULL")</f>
        <v>54</v>
      </c>
      <c r="Q67" s="612" t="s">
        <v>63</v>
      </c>
    </row>
    <row r="68">
      <c r="A68" s="609" t="s">
        <v>162</v>
      </c>
      <c r="B68" s="610">
        <f t="array" ref="B68">VLOOKUP($A68,OH_DEMO,2,FALSE)</f>
        <v>27088</v>
      </c>
      <c r="C68" s="704">
        <f>ifna(vlookup(A68,'OH Data'!$A$5:$B$93,2,FALSE),"NULL")</f>
        <v>27</v>
      </c>
      <c r="D68" s="612" t="s">
        <v>63</v>
      </c>
      <c r="E68" s="612">
        <f>ifna(vlookup(A68,'OH Data'!$D$5:$E$88,2,FALSE),"NULL")</f>
        <v>13</v>
      </c>
      <c r="F68" s="612" t="str">
        <f>ifna(vlookup(A68,'OH Data'!$G$5:$H$46,2,FALSE),"NULL")</f>
        <v>NULL</v>
      </c>
      <c r="G68" s="612" t="s">
        <v>63</v>
      </c>
      <c r="H68" s="615" t="s">
        <v>63</v>
      </c>
      <c r="I68" s="704" t="str">
        <f>ifna(vlookup(A68,'OH Data'!$J$5:$K$93,2,FALSE),"NULL")</f>
        <v>NULL</v>
      </c>
      <c r="J68" s="615" t="s">
        <v>63</v>
      </c>
      <c r="K68" s="1139">
        <f>ifna(vlookup(A68,'OH Data'!$S$5:$T$93,2,FALSE),"NULL")</f>
        <v>0.5517241379</v>
      </c>
      <c r="L68" s="671" t="s">
        <v>63</v>
      </c>
      <c r="M68" s="614" t="s">
        <v>63</v>
      </c>
      <c r="N68" s="612" t="s">
        <v>63</v>
      </c>
      <c r="O68" s="612" t="s">
        <v>63</v>
      </c>
      <c r="P68" s="620">
        <f>ifna(vlookup(A68,'Population &amp; Church Numbers'!$A$2046:$D$2133,4,FALSE),"NULL")</f>
        <v>32</v>
      </c>
      <c r="Q68" s="612" t="s">
        <v>63</v>
      </c>
    </row>
    <row r="69">
      <c r="A69" s="609" t="s">
        <v>1694</v>
      </c>
      <c r="B69" s="610">
        <f t="array" ref="B69">VLOOKUP($A69,OH_DEMO,2,FALSE)</f>
        <v>161791</v>
      </c>
      <c r="C69" s="704">
        <f>ifna(vlookup(A69,'OH Data'!$A$5:$B$93,2,FALSE),"NULL")</f>
        <v>165</v>
      </c>
      <c r="D69" s="612" t="s">
        <v>63</v>
      </c>
      <c r="E69" s="612">
        <f>ifna(vlookup(A69,'OH Data'!$D$5:$E$88,2,FALSE),"NULL")</f>
        <v>99</v>
      </c>
      <c r="F69" s="612">
        <f>ifna(vlookup(A69,'OH Data'!$G$5:$H$46,2,FALSE),"NULL")</f>
        <v>38</v>
      </c>
      <c r="G69" s="612" t="s">
        <v>63</v>
      </c>
      <c r="H69" s="615" t="s">
        <v>63</v>
      </c>
      <c r="I69" s="704">
        <f>ifna(vlookup(A69,'OH Data'!$J$5:$K$93,2,FALSE),"NULL")</f>
        <v>40</v>
      </c>
      <c r="J69" s="615" t="s">
        <v>63</v>
      </c>
      <c r="K69" s="1139">
        <f>ifna(vlookup(A69,'OH Data'!$S$5:$T$93,2,FALSE),"NULL")</f>
        <v>0.5890410959</v>
      </c>
      <c r="L69" s="671" t="s">
        <v>63</v>
      </c>
      <c r="M69" s="614" t="s">
        <v>63</v>
      </c>
      <c r="N69" s="612" t="s">
        <v>63</v>
      </c>
      <c r="O69" s="612" t="s">
        <v>63</v>
      </c>
      <c r="P69" s="620">
        <f>ifna(vlookup(A69,'Population &amp; Church Numbers'!$A$2046:$D$2133,4,FALSE),"NULL")</f>
        <v>109</v>
      </c>
      <c r="Q69" s="612" t="s">
        <v>63</v>
      </c>
    </row>
    <row r="70">
      <c r="A70" s="609" t="s">
        <v>1695</v>
      </c>
      <c r="B70" s="610">
        <f t="array" ref="B70">VLOOKUP($A70,OH_DEMO,2,FALSE)</f>
        <v>40999</v>
      </c>
      <c r="C70" s="704">
        <f>ifna(vlookup(A70,'OH Data'!$A$5:$B$93,2,FALSE),"NULL")</f>
        <v>55</v>
      </c>
      <c r="D70" s="612" t="s">
        <v>63</v>
      </c>
      <c r="E70" s="612">
        <f>ifna(vlookup(A70,'OH Data'!$D$5:$E$88,2,FALSE),"NULL")</f>
        <v>40</v>
      </c>
      <c r="F70" s="612" t="str">
        <f>ifna(vlookup(A70,'OH Data'!$G$5:$H$46,2,FALSE),"NULL")</f>
        <v>NULL</v>
      </c>
      <c r="G70" s="612" t="s">
        <v>63</v>
      </c>
      <c r="H70" s="615" t="s">
        <v>63</v>
      </c>
      <c r="I70" s="704">
        <f>ifna(vlookup(A70,'OH Data'!$J$5:$K$93,2,FALSE),"NULL")</f>
        <v>27</v>
      </c>
      <c r="J70" s="615" t="s">
        <v>63</v>
      </c>
      <c r="K70" s="1139">
        <f>ifna(vlookup(A70,'OH Data'!$S$5:$T$93,2,FALSE),"NULL")</f>
        <v>0.5744680851</v>
      </c>
      <c r="L70" s="671" t="s">
        <v>63</v>
      </c>
      <c r="M70" s="614" t="s">
        <v>63</v>
      </c>
      <c r="N70" s="612" t="s">
        <v>63</v>
      </c>
      <c r="O70" s="612" t="s">
        <v>63</v>
      </c>
      <c r="P70" s="620">
        <f>ifna(vlookup(A70,'Population &amp; Church Numbers'!$A$2046:$D$2133,4,FALSE),"NULL")</f>
        <v>46</v>
      </c>
      <c r="Q70" s="612" t="s">
        <v>63</v>
      </c>
    </row>
    <row r="71">
      <c r="A71" s="609" t="s">
        <v>518</v>
      </c>
      <c r="B71" s="610">
        <f t="array" ref="B71">VLOOKUP($A71,OH_DEMO,2,FALSE)</f>
        <v>34451</v>
      </c>
      <c r="C71" s="704">
        <f>ifna(vlookup(A71,'OH Data'!$A$5:$B$93,2,FALSE),"NULL")</f>
        <v>17</v>
      </c>
      <c r="D71" s="612" t="s">
        <v>63</v>
      </c>
      <c r="E71" s="612">
        <f>ifna(vlookup(A71,'OH Data'!$D$5:$E$88,2,FALSE),"NULL")</f>
        <v>11</v>
      </c>
      <c r="F71" s="612" t="str">
        <f>ifna(vlookup(A71,'OH Data'!$G$5:$H$46,2,FALSE),"NULL")</f>
        <v>NULL</v>
      </c>
      <c r="G71" s="612" t="s">
        <v>63</v>
      </c>
      <c r="H71" s="615" t="s">
        <v>63</v>
      </c>
      <c r="I71" s="704" t="str">
        <f>ifna(vlookup(A71,'OH Data'!$J$5:$K$93,2,FALSE),"NULL")</f>
        <v>NULL</v>
      </c>
      <c r="J71" s="615" t="s">
        <v>63</v>
      </c>
      <c r="K71" s="1139">
        <f>ifna(vlookup(A71,'OH Data'!$S$5:$T$93,2,FALSE),"NULL")</f>
        <v>0.7894736842</v>
      </c>
      <c r="L71" s="671" t="s">
        <v>63</v>
      </c>
      <c r="M71" s="614" t="s">
        <v>63</v>
      </c>
      <c r="N71" s="612" t="s">
        <v>63</v>
      </c>
      <c r="O71" s="612" t="s">
        <v>63</v>
      </c>
      <c r="P71" s="620">
        <f>ifna(vlookup(A71,'Population &amp; Church Numbers'!$A$2046:$D$2133,4,FALSE),"NULL")</f>
        <v>35</v>
      </c>
      <c r="Q71" s="612" t="s">
        <v>63</v>
      </c>
    </row>
    <row r="72">
      <c r="A72" s="609" t="s">
        <v>743</v>
      </c>
      <c r="B72" s="610">
        <f t="array" ref="B72">VLOOKUP($A72,OH_DEMO,2,FALSE)</f>
        <v>124936</v>
      </c>
      <c r="C72" s="704">
        <f>ifna(vlookup(A72,'OH Data'!$A$5:$B$93,2,FALSE),"NULL")</f>
        <v>129</v>
      </c>
      <c r="D72" s="612" t="s">
        <v>63</v>
      </c>
      <c r="E72" s="612">
        <f>ifna(vlookup(A72,'OH Data'!$D$5:$E$88,2,FALSE),"NULL")</f>
        <v>108</v>
      </c>
      <c r="F72" s="612" t="str">
        <f>ifna(vlookup(A72,'OH Data'!$G$5:$H$46,2,FALSE),"NULL")</f>
        <v>NULL</v>
      </c>
      <c r="G72" s="612" t="s">
        <v>63</v>
      </c>
      <c r="H72" s="615" t="s">
        <v>63</v>
      </c>
      <c r="I72" s="704">
        <f>ifna(vlookup(A72,'OH Data'!$J$5:$K$93,2,FALSE),"NULL")</f>
        <v>45</v>
      </c>
      <c r="J72" s="615" t="s">
        <v>63</v>
      </c>
      <c r="K72" s="1139">
        <f>ifna(vlookup(A72,'OH Data'!$S$5:$T$93,2,FALSE),"NULL")</f>
        <v>0.141025641</v>
      </c>
      <c r="L72" s="671" t="s">
        <v>63</v>
      </c>
      <c r="M72" s="614" t="s">
        <v>63</v>
      </c>
      <c r="N72" s="612" t="s">
        <v>63</v>
      </c>
      <c r="O72" s="612" t="s">
        <v>63</v>
      </c>
      <c r="P72" s="620">
        <f>ifna(vlookup(A72,'Population &amp; Church Numbers'!$A$2046:$D$2133,4,FALSE),"NULL")</f>
        <v>144</v>
      </c>
      <c r="Q72" s="612" t="s">
        <v>63</v>
      </c>
    </row>
    <row r="73">
      <c r="A73" s="609" t="s">
        <v>1696</v>
      </c>
      <c r="B73" s="610">
        <f t="array" ref="B73">VLOOKUP($A73,OH_DEMO,2,FALSE)</f>
        <v>77093</v>
      </c>
      <c r="C73" s="704">
        <f>ifna(vlookup(A73,'OH Data'!$A$5:$B$93,2,FALSE),"NULL")</f>
        <v>121</v>
      </c>
      <c r="D73" s="612" t="s">
        <v>63</v>
      </c>
      <c r="E73" s="612">
        <f>ifna(vlookup(A73,'OH Data'!$D$5:$E$88,2,FALSE),"NULL")</f>
        <v>90</v>
      </c>
      <c r="F73" s="612" t="str">
        <f>ifna(vlookup(A73,'OH Data'!$G$5:$H$46,2,FALSE),"NULL")</f>
        <v>NULL</v>
      </c>
      <c r="G73" s="612" t="s">
        <v>63</v>
      </c>
      <c r="H73" s="615" t="s">
        <v>63</v>
      </c>
      <c r="I73" s="704">
        <f>ifna(vlookup(A73,'OH Data'!$J$5:$K$93,2,FALSE),"NULL")</f>
        <v>35</v>
      </c>
      <c r="J73" s="615" t="s">
        <v>63</v>
      </c>
      <c r="K73" s="1139">
        <f>ifna(vlookup(A73,'OH Data'!$S$5:$T$93,2,FALSE),"NULL")</f>
        <v>0.3982300885</v>
      </c>
      <c r="L73" s="671" t="s">
        <v>63</v>
      </c>
      <c r="M73" s="614" t="s">
        <v>63</v>
      </c>
      <c r="N73" s="612" t="s">
        <v>63</v>
      </c>
      <c r="O73" s="612" t="s">
        <v>63</v>
      </c>
      <c r="P73" s="620">
        <f>ifna(vlookup(A73,'Population &amp; Church Numbers'!$A$2046:$D$2133,4,FALSE),"NULL")</f>
        <v>77</v>
      </c>
      <c r="Q73" s="612" t="s">
        <v>63</v>
      </c>
    </row>
    <row r="74">
      <c r="A74" s="609" t="s">
        <v>1697</v>
      </c>
      <c r="B74" s="610">
        <f t="array" ref="B74">VLOOKUP($A74,OH_DEMO,2,FALSE)</f>
        <v>58896</v>
      </c>
      <c r="C74" s="704">
        <f>ifna(vlookup(A74,'OH Data'!$A$5:$B$93,2,FALSE),"NULL")</f>
        <v>37</v>
      </c>
      <c r="D74" s="612" t="s">
        <v>63</v>
      </c>
      <c r="E74" s="612">
        <f>ifna(vlookup(A74,'OH Data'!$D$5:$E$88,2,FALSE),"NULL")</f>
        <v>23</v>
      </c>
      <c r="F74" s="612" t="str">
        <f>ifna(vlookup(A74,'OH Data'!$G$5:$H$46,2,FALSE),"NULL")</f>
        <v>NULL</v>
      </c>
      <c r="G74" s="612" t="s">
        <v>63</v>
      </c>
      <c r="H74" s="615" t="s">
        <v>63</v>
      </c>
      <c r="I74" s="704" t="str">
        <f>ifna(vlookup(A74,'OH Data'!$J$5:$K$93,2,FALSE),"NULL")</f>
        <v>NULL</v>
      </c>
      <c r="J74" s="615" t="s">
        <v>63</v>
      </c>
      <c r="K74" s="1139">
        <f>ifna(vlookup(A74,'OH Data'!$S$5:$T$93,2,FALSE),"NULL")</f>
        <v>0.5161290323</v>
      </c>
      <c r="L74" s="671" t="s">
        <v>63</v>
      </c>
      <c r="M74" s="614" t="s">
        <v>63</v>
      </c>
      <c r="N74" s="612" t="s">
        <v>63</v>
      </c>
      <c r="O74" s="612" t="s">
        <v>63</v>
      </c>
      <c r="P74" s="620">
        <f>ifna(vlookup(A74,'Population &amp; Church Numbers'!$A$2046:$D$2133,4,FALSE),"NULL")</f>
        <v>68</v>
      </c>
      <c r="Q74" s="612" t="s">
        <v>63</v>
      </c>
    </row>
    <row r="75">
      <c r="A75" s="609" t="s">
        <v>1698</v>
      </c>
      <c r="B75" s="610">
        <f t="array" ref="B75">VLOOKUP($A75,OH_DEMO,2,FALSE)</f>
        <v>74008</v>
      </c>
      <c r="C75" s="704">
        <f>ifna(vlookup(A75,'OH Data'!$A$5:$B$93,2,FALSE),"NULL")</f>
        <v>260</v>
      </c>
      <c r="D75" s="612" t="s">
        <v>63</v>
      </c>
      <c r="E75" s="612">
        <f>ifna(vlookup(A75,'OH Data'!$D$5:$E$88,2,FALSE),"NULL")</f>
        <v>131</v>
      </c>
      <c r="F75" s="612">
        <f>ifna(vlookup(A75,'OH Data'!$G$5:$H$46,2,FALSE),"NULL")</f>
        <v>70</v>
      </c>
      <c r="G75" s="612" t="s">
        <v>63</v>
      </c>
      <c r="H75" s="615" t="s">
        <v>63</v>
      </c>
      <c r="I75" s="704">
        <f>ifna(vlookup(A75,'OH Data'!$J$5:$K$93,2,FALSE),"NULL")</f>
        <v>54</v>
      </c>
      <c r="J75" s="615" t="s">
        <v>63</v>
      </c>
      <c r="K75" s="1139">
        <f>ifna(vlookup(A75,'OH Data'!$S$5:$T$93,2,FALSE),"NULL")</f>
        <v>0.3469387755</v>
      </c>
      <c r="L75" s="671" t="s">
        <v>63</v>
      </c>
      <c r="M75" s="614" t="s">
        <v>63</v>
      </c>
      <c r="N75" s="612" t="s">
        <v>63</v>
      </c>
      <c r="O75" s="612" t="s">
        <v>63</v>
      </c>
      <c r="P75" s="620">
        <f>ifna(vlookup(A75,'Population &amp; Church Numbers'!$A$2046:$D$2133,4,FALSE),"NULL")</f>
        <v>118</v>
      </c>
      <c r="Q75" s="612" t="s">
        <v>63</v>
      </c>
    </row>
    <row r="76">
      <c r="A76" s="609" t="s">
        <v>1573</v>
      </c>
      <c r="B76" s="610">
        <f t="array" ref="B76">VLOOKUP($A76,OH_DEMO,2,FALSE)</f>
        <v>55069</v>
      </c>
      <c r="C76" s="704">
        <f>ifna(vlookup(A76,'OH Data'!$A$5:$B$93,2,FALSE),"NULL")</f>
        <v>42</v>
      </c>
      <c r="D76" s="612" t="s">
        <v>63</v>
      </c>
      <c r="E76" s="612">
        <f>ifna(vlookup(A76,'OH Data'!$D$5:$E$88,2,FALSE),"NULL")</f>
        <v>29</v>
      </c>
      <c r="F76" s="612" t="str">
        <f>ifna(vlookup(A76,'OH Data'!$G$5:$H$46,2,FALSE),"NULL")</f>
        <v>NULL</v>
      </c>
      <c r="G76" s="612" t="s">
        <v>63</v>
      </c>
      <c r="H76" s="615" t="s">
        <v>63</v>
      </c>
      <c r="I76" s="704" t="str">
        <f>ifna(vlookup(A76,'OH Data'!$J$5:$K$93,2,FALSE),"NULL")</f>
        <v>NULL</v>
      </c>
      <c r="J76" s="615" t="s">
        <v>63</v>
      </c>
      <c r="K76" s="1139">
        <f>ifna(vlookup(A76,'OH Data'!$S$5:$T$93,2,FALSE),"NULL")</f>
        <v>0.3076923077</v>
      </c>
      <c r="L76" s="671" t="s">
        <v>63</v>
      </c>
      <c r="M76" s="614" t="s">
        <v>63</v>
      </c>
      <c r="N76" s="612" t="s">
        <v>63</v>
      </c>
      <c r="O76" s="612" t="s">
        <v>63</v>
      </c>
      <c r="P76" s="620">
        <f>ifna(vlookup(A76,'Population &amp; Church Numbers'!$A$2046:$D$2133,4,FALSE),"NULL")</f>
        <v>56</v>
      </c>
      <c r="Q76" s="612" t="s">
        <v>63</v>
      </c>
    </row>
    <row r="77">
      <c r="A77" s="609" t="s">
        <v>168</v>
      </c>
      <c r="B77" s="610">
        <f t="array" ref="B77">VLOOKUP($A77,OH_DEMO,2,FALSE)</f>
        <v>48230</v>
      </c>
      <c r="C77" s="704">
        <f>ifna(vlookup(A77,'OH Data'!$A$5:$B$93,2,FALSE),"NULL")</f>
        <v>20</v>
      </c>
      <c r="D77" s="612" t="s">
        <v>63</v>
      </c>
      <c r="E77" s="612">
        <f>ifna(vlookup(A77,'OH Data'!$D$5:$E$88,2,FALSE),"NULL")</f>
        <v>16</v>
      </c>
      <c r="F77" s="612" t="str">
        <f>ifna(vlookup(A77,'OH Data'!$G$5:$H$46,2,FALSE),"NULL")</f>
        <v>NULL</v>
      </c>
      <c r="G77" s="612" t="s">
        <v>63</v>
      </c>
      <c r="H77" s="615" t="s">
        <v>63</v>
      </c>
      <c r="I77" s="704" t="str">
        <f>ifna(vlookup(A77,'OH Data'!$J$5:$K$93,2,FALSE),"NULL")</f>
        <v>NULL</v>
      </c>
      <c r="J77" s="615" t="s">
        <v>63</v>
      </c>
      <c r="K77" s="1139">
        <f>ifna(vlookup(A77,'OH Data'!$S$5:$T$93,2,FALSE),"NULL")</f>
        <v>0.4285714286</v>
      </c>
      <c r="L77" s="671" t="s">
        <v>63</v>
      </c>
      <c r="M77" s="614" t="s">
        <v>63</v>
      </c>
      <c r="N77" s="612" t="s">
        <v>63</v>
      </c>
      <c r="O77" s="612" t="s">
        <v>63</v>
      </c>
      <c r="P77" s="620">
        <f>ifna(vlookup(A77,'Population &amp; Church Numbers'!$A$2046:$D$2133,4,FALSE),"NULL")</f>
        <v>50</v>
      </c>
      <c r="Q77" s="612" t="s">
        <v>63</v>
      </c>
    </row>
    <row r="78">
      <c r="A78" s="609" t="s">
        <v>747</v>
      </c>
      <c r="B78" s="610">
        <f t="array" ref="B78">VLOOKUP($A78,OH_DEMO,2,FALSE)</f>
        <v>374853</v>
      </c>
      <c r="C78" s="704">
        <f>ifna(vlookup(A78,'OH Data'!$A$5:$B$93,2,FALSE),"NULL")</f>
        <v>478</v>
      </c>
      <c r="D78" s="612" t="s">
        <v>63</v>
      </c>
      <c r="E78" s="612">
        <f>ifna(vlookup(A78,'OH Data'!$D$5:$E$88,2,FALSE),"NULL")</f>
        <v>276</v>
      </c>
      <c r="F78" s="612">
        <f>ifna(vlookup(A78,'OH Data'!$G$5:$H$46,2,FALSE),"NULL")</f>
        <v>150</v>
      </c>
      <c r="G78" s="612" t="s">
        <v>63</v>
      </c>
      <c r="H78" s="615" t="s">
        <v>63</v>
      </c>
      <c r="I78" s="704">
        <f>ifna(vlookup(A78,'OH Data'!$J$5:$K$93,2,FALSE),"NULL")</f>
        <v>95</v>
      </c>
      <c r="J78" s="615" t="s">
        <v>63</v>
      </c>
      <c r="K78" s="1139">
        <f>ifna(vlookup(A78,'OH Data'!$S$5:$T$93,2,FALSE),"NULL")</f>
        <v>0.375739645</v>
      </c>
      <c r="L78" s="671" t="s">
        <v>63</v>
      </c>
      <c r="M78" s="614" t="s">
        <v>63</v>
      </c>
      <c r="N78" s="612" t="s">
        <v>63</v>
      </c>
      <c r="O78" s="612" t="s">
        <v>63</v>
      </c>
      <c r="P78" s="620">
        <f>ifna(vlookup(A78,'Population &amp; Church Numbers'!$A$2046:$D$2133,4,FALSE),"NULL")</f>
        <v>391</v>
      </c>
      <c r="Q78" s="612" t="s">
        <v>63</v>
      </c>
    </row>
    <row r="79">
      <c r="A79" s="609" t="s">
        <v>461</v>
      </c>
      <c r="B79" s="610">
        <f t="array" ref="B79">VLOOKUP($A79,OH_DEMO,2,FALSE)</f>
        <v>540428</v>
      </c>
      <c r="C79" s="704">
        <f>ifna(vlookup(A79,'OH Data'!$A$5:$B$93,2,FALSE),"NULL")</f>
        <v>872</v>
      </c>
      <c r="D79" s="612" t="s">
        <v>63</v>
      </c>
      <c r="E79" s="612">
        <f>ifna(vlookup(A79,'OH Data'!$D$5:$E$88,2,FALSE),"NULL")</f>
        <v>399</v>
      </c>
      <c r="F79" s="612">
        <f>ifna(vlookup(A79,'OH Data'!$G$5:$H$46,2,FALSE),"NULL")</f>
        <v>361</v>
      </c>
      <c r="G79" s="612" t="s">
        <v>63</v>
      </c>
      <c r="H79" s="615" t="s">
        <v>63</v>
      </c>
      <c r="I79" s="704">
        <f>ifna(vlookup(A79,'OH Data'!$J$5:$K$93,2,FALSE),"NULL")</f>
        <v>174</v>
      </c>
      <c r="J79" s="615" t="s">
        <v>63</v>
      </c>
      <c r="K79" s="1139">
        <f>ifna(vlookup(A79,'OH Data'!$S$5:$T$93,2,FALSE),"NULL")</f>
        <v>0.575</v>
      </c>
      <c r="L79" s="671" t="s">
        <v>63</v>
      </c>
      <c r="M79" s="614" t="s">
        <v>63</v>
      </c>
      <c r="N79" s="612" t="s">
        <v>63</v>
      </c>
      <c r="O79" s="612" t="s">
        <v>63</v>
      </c>
      <c r="P79" s="620">
        <f>ifna(vlookup(A79,'Population &amp; Church Numbers'!$A$2046:$D$2133,4,FALSE),"NULL")</f>
        <v>420</v>
      </c>
      <c r="Q79" s="612" t="s">
        <v>63</v>
      </c>
    </row>
    <row r="80">
      <c r="A80" s="609" t="s">
        <v>1699</v>
      </c>
      <c r="B80" s="610">
        <f t="array" ref="B80">VLOOKUP($A80,OH_DEMO,2,FALSE)</f>
        <v>201977</v>
      </c>
      <c r="C80" s="704">
        <f>ifna(vlookup(A80,'OH Data'!$A$5:$B$93,2,FALSE),"NULL")</f>
        <v>136</v>
      </c>
      <c r="D80" s="612" t="s">
        <v>63</v>
      </c>
      <c r="E80" s="612">
        <f>ifna(vlookup(A80,'OH Data'!$D$5:$E$88,2,FALSE),"NULL")</f>
        <v>76</v>
      </c>
      <c r="F80" s="612" t="str">
        <f>ifna(vlookup(A80,'OH Data'!$G$5:$H$46,2,FALSE),"NULL")</f>
        <v>NULL</v>
      </c>
      <c r="G80" s="612" t="s">
        <v>63</v>
      </c>
      <c r="H80" s="615" t="s">
        <v>63</v>
      </c>
      <c r="I80" s="704">
        <f>ifna(vlookup(A80,'OH Data'!$J$5:$K$93,2,FALSE),"NULL")</f>
        <v>24</v>
      </c>
      <c r="J80" s="615" t="s">
        <v>63</v>
      </c>
      <c r="K80" s="1139">
        <f>ifna(vlookup(A80,'OH Data'!$S$5:$T$93,2,FALSE),"NULL")</f>
        <v>0.3854166667</v>
      </c>
      <c r="L80" s="671" t="s">
        <v>63</v>
      </c>
      <c r="M80" s="614" t="s">
        <v>63</v>
      </c>
      <c r="N80" s="612" t="s">
        <v>63</v>
      </c>
      <c r="O80" s="612" t="s">
        <v>63</v>
      </c>
      <c r="P80" s="620">
        <f>ifna(vlookup(A80,'Population &amp; Church Numbers'!$A$2046:$D$2133,4,FALSE),"NULL")</f>
        <v>217</v>
      </c>
      <c r="Q80" s="612" t="s">
        <v>63</v>
      </c>
    </row>
    <row r="81">
      <c r="A81" s="609" t="s">
        <v>1700</v>
      </c>
      <c r="B81" s="610">
        <f t="array" ref="B81">VLOOKUP($A81,OH_DEMO,2,FALSE)</f>
        <v>93263</v>
      </c>
      <c r="C81" s="704">
        <f>ifna(vlookup(A81,'OH Data'!$A$5:$B$93,2,FALSE),"NULL")</f>
        <v>117</v>
      </c>
      <c r="D81" s="612" t="s">
        <v>63</v>
      </c>
      <c r="E81" s="612">
        <f>ifna(vlookup(A81,'OH Data'!$D$5:$E$88,2,FALSE),"NULL")</f>
        <v>67</v>
      </c>
      <c r="F81" s="612">
        <f>ifna(vlookup(A81,'OH Data'!$G$5:$H$46,2,FALSE),"NULL")</f>
        <v>21</v>
      </c>
      <c r="G81" s="612" t="s">
        <v>63</v>
      </c>
      <c r="H81" s="615" t="s">
        <v>63</v>
      </c>
      <c r="I81" s="704">
        <f>ifna(vlookup(A81,'OH Data'!$J$5:$K$93,2,FALSE),"NULL")</f>
        <v>31</v>
      </c>
      <c r="J81" s="615" t="s">
        <v>63</v>
      </c>
      <c r="K81" s="1139">
        <f>ifna(vlookup(A81,'OH Data'!$S$5:$T$93,2,FALSE),"NULL")</f>
        <v>0.2875</v>
      </c>
      <c r="L81" s="671" t="s">
        <v>63</v>
      </c>
      <c r="M81" s="614" t="s">
        <v>63</v>
      </c>
      <c r="N81" s="612" t="s">
        <v>63</v>
      </c>
      <c r="O81" s="612" t="s">
        <v>63</v>
      </c>
      <c r="P81" s="620">
        <f>ifna(vlookup(A81,'Population &amp; Church Numbers'!$A$2046:$D$2133,4,FALSE),"NULL")</f>
        <v>128</v>
      </c>
      <c r="Q81" s="612" t="s">
        <v>63</v>
      </c>
    </row>
    <row r="82">
      <c r="A82" s="609" t="s">
        <v>316</v>
      </c>
      <c r="B82" s="610">
        <f t="array" ref="B82">VLOOKUP($A82,OH_DEMO,2,FALSE)</f>
        <v>62784</v>
      </c>
      <c r="C82" s="704">
        <f>ifna(vlookup(A82,'OH Data'!$A$5:$B$93,2,FALSE),"NULL")</f>
        <v>41</v>
      </c>
      <c r="D82" s="612" t="s">
        <v>63</v>
      </c>
      <c r="E82" s="612">
        <f>ifna(vlookup(A82,'OH Data'!$D$5:$E$88,2,FALSE),"NULL")</f>
        <v>24</v>
      </c>
      <c r="F82" s="612">
        <f>ifna(vlookup(A82,'OH Data'!$G$5:$H$46,2,FALSE),"NULL")</f>
        <v>11</v>
      </c>
      <c r="G82" s="612" t="s">
        <v>63</v>
      </c>
      <c r="H82" s="615" t="s">
        <v>63</v>
      </c>
      <c r="I82" s="704" t="str">
        <f>ifna(vlookup(A82,'OH Data'!$J$5:$K$93,2,FALSE),"NULL")</f>
        <v>NULL</v>
      </c>
      <c r="J82" s="615" t="s">
        <v>63</v>
      </c>
      <c r="K82" s="1139">
        <f>ifna(vlookup(A82,'OH Data'!$S$5:$T$93,2,FALSE),"NULL")</f>
        <v>0.6071428571</v>
      </c>
      <c r="L82" s="671" t="s">
        <v>63</v>
      </c>
      <c r="M82" s="614" t="s">
        <v>63</v>
      </c>
      <c r="N82" s="612" t="s">
        <v>63</v>
      </c>
      <c r="O82" s="612" t="s">
        <v>63</v>
      </c>
      <c r="P82" s="620">
        <f>ifna(vlookup(A82,'Population &amp; Church Numbers'!$A$2046:$D$2133,4,FALSE),"NULL")</f>
        <v>43</v>
      </c>
      <c r="Q82" s="612" t="s">
        <v>63</v>
      </c>
    </row>
    <row r="83">
      <c r="A83" s="609" t="s">
        <v>1701</v>
      </c>
      <c r="B83" s="610">
        <f t="array" ref="B83">VLOOKUP($A83,OH_DEMO,2,FALSE)</f>
        <v>28931</v>
      </c>
      <c r="C83" s="704" t="str">
        <f>ifna(vlookup(A83,'OH Data'!$A$5:$B$93,2,FALSE),"NULL")</f>
        <v>NULL</v>
      </c>
      <c r="D83" s="612" t="s">
        <v>63</v>
      </c>
      <c r="E83" s="612" t="str">
        <f>ifna(vlookup(A83,'OH Data'!$D$5:$E$88,2,FALSE),"NULL")</f>
        <v>NULL</v>
      </c>
      <c r="F83" s="612" t="str">
        <f>ifna(vlookup(A83,'OH Data'!$G$5:$H$46,2,FALSE),"NULL")</f>
        <v>NULL</v>
      </c>
      <c r="G83" s="612" t="s">
        <v>63</v>
      </c>
      <c r="H83" s="615" t="s">
        <v>63</v>
      </c>
      <c r="I83" s="704" t="str">
        <f>ifna(vlookup(A83,'OH Data'!$J$5:$K$93,2,FALSE),"NULL")</f>
        <v>NULL</v>
      </c>
      <c r="J83" s="615" t="s">
        <v>63</v>
      </c>
      <c r="K83" s="1139" t="str">
        <f>ifna(vlookup(A83,'OH Data'!$S$5:$T$93,2,FALSE),"NULL")</f>
        <v>NULL</v>
      </c>
      <c r="L83" s="671" t="s">
        <v>63</v>
      </c>
      <c r="M83" s="614" t="s">
        <v>63</v>
      </c>
      <c r="N83" s="612" t="s">
        <v>63</v>
      </c>
      <c r="O83" s="612" t="s">
        <v>63</v>
      </c>
      <c r="P83" s="620">
        <f>ifna(vlookup(A83,'Population &amp; Church Numbers'!$A$2046:$D$2133,4,FALSE),"NULL")</f>
        <v>38</v>
      </c>
      <c r="Q83" s="612" t="s">
        <v>63</v>
      </c>
    </row>
    <row r="84">
      <c r="A84" s="609" t="s">
        <v>1702</v>
      </c>
      <c r="B84" s="610">
        <f t="array" ref="B84">VLOOKUP($A84,OH_DEMO,2,FALSE)</f>
        <v>12800</v>
      </c>
      <c r="C84" s="704">
        <f>ifna(vlookup(A84,'OH Data'!$A$5:$B$93,2,FALSE),"NULL")</f>
        <v>22</v>
      </c>
      <c r="D84" s="612" t="s">
        <v>63</v>
      </c>
      <c r="E84" s="612">
        <f>ifna(vlookup(A84,'OH Data'!$D$5:$E$88,2,FALSE),"NULL")</f>
        <v>18</v>
      </c>
      <c r="F84" s="612" t="str">
        <f>ifna(vlookup(A84,'OH Data'!$G$5:$H$46,2,FALSE),"NULL")</f>
        <v>NULL</v>
      </c>
      <c r="G84" s="612" t="s">
        <v>63</v>
      </c>
      <c r="H84" s="615" t="s">
        <v>63</v>
      </c>
      <c r="I84" s="704" t="str">
        <f>ifna(vlookup(A84,'OH Data'!$J$5:$K$93,2,FALSE),"NULL")</f>
        <v>NULL</v>
      </c>
      <c r="J84" s="615" t="s">
        <v>63</v>
      </c>
      <c r="K84" s="1139" t="str">
        <f>ifna(vlookup(A84,'OH Data'!$S$5:$T$93,2,FALSE),"NULL")</f>
        <v>NULL</v>
      </c>
      <c r="L84" s="671" t="s">
        <v>63</v>
      </c>
      <c r="M84" s="614" t="s">
        <v>63</v>
      </c>
      <c r="N84" s="612" t="s">
        <v>63</v>
      </c>
      <c r="O84" s="612" t="s">
        <v>63</v>
      </c>
      <c r="P84" s="620">
        <f>ifna(vlookup(A84,'Population &amp; Church Numbers'!$A$2046:$D$2133,4,FALSE),"NULL")</f>
        <v>12</v>
      </c>
      <c r="Q84" s="612" t="s">
        <v>63</v>
      </c>
    </row>
    <row r="85">
      <c r="A85" s="609" t="s">
        <v>647</v>
      </c>
      <c r="B85" s="610">
        <f t="array" ref="B85">VLOOKUP($A85,OH_DEMO,2,FALSE)</f>
        <v>242337</v>
      </c>
      <c r="C85" s="704">
        <f>ifna(vlookup(A85,'OH Data'!$A$5:$B$93,2,FALSE),"NULL")</f>
        <v>114</v>
      </c>
      <c r="D85" s="612" t="s">
        <v>63</v>
      </c>
      <c r="E85" s="612">
        <f>ifna(vlookup(A85,'OH Data'!$D$5:$E$88,2,FALSE),"NULL")</f>
        <v>61</v>
      </c>
      <c r="F85" s="612">
        <f>ifna(vlookup(A85,'OH Data'!$G$5:$H$46,2,FALSE),"NULL")</f>
        <v>22</v>
      </c>
      <c r="G85" s="612" t="s">
        <v>63</v>
      </c>
      <c r="H85" s="615" t="s">
        <v>63</v>
      </c>
      <c r="I85" s="704">
        <f>ifna(vlookup(A85,'OH Data'!$J$5:$K$93,2,FALSE),"NULL")</f>
        <v>34</v>
      </c>
      <c r="J85" s="615" t="s">
        <v>63</v>
      </c>
      <c r="K85" s="1139">
        <f>ifna(vlookup(A85,'OH Data'!$S$5:$T$93,2,FALSE),"NULL")</f>
        <v>0.6125</v>
      </c>
      <c r="L85" s="671" t="s">
        <v>63</v>
      </c>
      <c r="M85" s="614" t="s">
        <v>63</v>
      </c>
      <c r="N85" s="612" t="s">
        <v>63</v>
      </c>
      <c r="O85" s="612" t="s">
        <v>63</v>
      </c>
      <c r="P85" s="620">
        <f>ifna(vlookup(A85,'Population &amp; Church Numbers'!$A$2046:$D$2133,4,FALSE),"NULL")</f>
        <v>155</v>
      </c>
      <c r="Q85" s="612" t="s">
        <v>63</v>
      </c>
    </row>
    <row r="86">
      <c r="A86" s="609" t="s">
        <v>119</v>
      </c>
      <c r="B86" s="610">
        <f t="array" ref="B86">VLOOKUP($A86,OH_DEMO,2,FALSE)</f>
        <v>59771</v>
      </c>
      <c r="C86" s="704">
        <f>ifna(vlookup(A86,'OH Data'!$A$5:$B$93,2,FALSE),"NULL")</f>
        <v>88</v>
      </c>
      <c r="D86" s="612" t="s">
        <v>63</v>
      </c>
      <c r="E86" s="612">
        <f>ifna(vlookup(A86,'OH Data'!$D$5:$E$88,2,FALSE),"NULL")</f>
        <v>59</v>
      </c>
      <c r="F86" s="612" t="str">
        <f>ifna(vlookup(A86,'OH Data'!$G$5:$H$46,2,FALSE),"NULL")</f>
        <v>NULL</v>
      </c>
      <c r="G86" s="612" t="s">
        <v>63</v>
      </c>
      <c r="H86" s="615" t="s">
        <v>63</v>
      </c>
      <c r="I86" s="704">
        <f>ifna(vlookup(A86,'OH Data'!$J$5:$K$93,2,FALSE),"NULL")</f>
        <v>29</v>
      </c>
      <c r="J86" s="615" t="s">
        <v>63</v>
      </c>
      <c r="K86" s="1139">
        <f>ifna(vlookup(A86,'OH Data'!$S$5:$T$93,2,FALSE),"NULL")</f>
        <v>0.4285714286</v>
      </c>
      <c r="L86" s="671" t="s">
        <v>63</v>
      </c>
      <c r="M86" s="614" t="s">
        <v>63</v>
      </c>
      <c r="N86" s="612" t="s">
        <v>63</v>
      </c>
      <c r="O86" s="612" t="s">
        <v>63</v>
      </c>
      <c r="P86" s="620">
        <f>ifna(vlookup(A86,'Population &amp; Church Numbers'!$A$2046:$D$2133,4,FALSE),"NULL")</f>
        <v>91</v>
      </c>
      <c r="Q86" s="612" t="s">
        <v>63</v>
      </c>
    </row>
    <row r="87">
      <c r="A87" s="609" t="s">
        <v>273</v>
      </c>
      <c r="B87" s="610">
        <f t="array" ref="B87">VLOOKUP($A87,OH_DEMO,2,FALSE)</f>
        <v>116894</v>
      </c>
      <c r="C87" s="704">
        <f>ifna(vlookup(A87,'OH Data'!$A$5:$B$93,2,FALSE),"NULL")</f>
        <v>118</v>
      </c>
      <c r="D87" s="612" t="s">
        <v>63</v>
      </c>
      <c r="E87" s="612">
        <f>ifna(vlookup(A87,'OH Data'!$D$5:$E$88,2,FALSE),"NULL")</f>
        <v>42</v>
      </c>
      <c r="F87" s="612">
        <f>ifna(vlookup(A87,'OH Data'!$G$5:$H$46,2,FALSE),"NULL")</f>
        <v>45</v>
      </c>
      <c r="G87" s="612" t="s">
        <v>63</v>
      </c>
      <c r="H87" s="615" t="s">
        <v>63</v>
      </c>
      <c r="I87" s="704">
        <f>ifna(vlookup(A87,'OH Data'!$J$5:$K$93,2,FALSE),"NULL")</f>
        <v>30</v>
      </c>
      <c r="J87" s="615" t="s">
        <v>63</v>
      </c>
      <c r="K87" s="1139">
        <f>ifna(vlookup(A87,'OH Data'!$S$5:$T$93,2,FALSE),"NULL")</f>
        <v>0.3728813559</v>
      </c>
      <c r="L87" s="671" t="s">
        <v>63</v>
      </c>
      <c r="M87" s="614" t="s">
        <v>63</v>
      </c>
      <c r="N87" s="612" t="s">
        <v>63</v>
      </c>
      <c r="O87" s="612" t="s">
        <v>63</v>
      </c>
      <c r="P87" s="620">
        <f>ifna(vlookup(A87,'Population &amp; Church Numbers'!$A$2046:$D$2133,4,FALSE),"NULL")</f>
        <v>131</v>
      </c>
      <c r="Q87" s="612" t="s">
        <v>63</v>
      </c>
    </row>
    <row r="88">
      <c r="A88" s="609" t="s">
        <v>1670</v>
      </c>
      <c r="B88" s="610">
        <f t="array" ref="B88">VLOOKUP($A88,OH_DEMO,2,FALSE)</f>
        <v>37102</v>
      </c>
      <c r="C88" s="704">
        <f>ifna(vlookup(A88,'OH Data'!$A$5:$B$93,2,FALSE),"NULL")</f>
        <v>30</v>
      </c>
      <c r="D88" s="612" t="s">
        <v>63</v>
      </c>
      <c r="E88" s="612">
        <f>ifna(vlookup(A88,'OH Data'!$D$5:$E$88,2,FALSE),"NULL")</f>
        <v>23</v>
      </c>
      <c r="F88" s="612" t="str">
        <f>ifna(vlookup(A88,'OH Data'!$G$5:$H$46,2,FALSE),"NULL")</f>
        <v>NULL</v>
      </c>
      <c r="G88" s="612" t="s">
        <v>63</v>
      </c>
      <c r="H88" s="615" t="s">
        <v>63</v>
      </c>
      <c r="I88" s="704" t="str">
        <f>ifna(vlookup(A88,'OH Data'!$J$5:$K$93,2,FALSE),"NULL")</f>
        <v>NULL</v>
      </c>
      <c r="J88" s="615" t="s">
        <v>63</v>
      </c>
      <c r="K88" s="1139">
        <f>ifna(vlookup(A88,'OH Data'!$S$5:$T$93,2,FALSE),"NULL")</f>
        <v>0.6956521739</v>
      </c>
      <c r="L88" s="671" t="s">
        <v>63</v>
      </c>
      <c r="M88" s="614" t="s">
        <v>63</v>
      </c>
      <c r="N88" s="612" t="s">
        <v>63</v>
      </c>
      <c r="O88" s="612" t="s">
        <v>63</v>
      </c>
      <c r="P88" s="620">
        <f>ifna(vlookup(A88,'Population &amp; Church Numbers'!$A$2046:$D$2133,4,FALSE),"NULL")</f>
        <v>53</v>
      </c>
      <c r="Q88" s="612" t="s">
        <v>63</v>
      </c>
    </row>
    <row r="89">
      <c r="A89" s="609" t="s">
        <v>1703</v>
      </c>
      <c r="B89" s="610">
        <f t="array" ref="B89">VLOOKUP($A89,OH_DEMO,2,FALSE)</f>
        <v>132248</v>
      </c>
      <c r="C89" s="704">
        <f>ifna(vlookup(A89,'OH Data'!$A$5:$B$93,2,FALSE),"NULL")</f>
        <v>46</v>
      </c>
      <c r="D89" s="612" t="s">
        <v>63</v>
      </c>
      <c r="E89" s="612">
        <f>ifna(vlookup(A89,'OH Data'!$D$5:$E$88,2,FALSE),"NULL")</f>
        <v>17</v>
      </c>
      <c r="F89" s="612" t="str">
        <f>ifna(vlookup(A89,'OH Data'!$G$5:$H$46,2,FALSE),"NULL")</f>
        <v>NULL</v>
      </c>
      <c r="G89" s="612" t="s">
        <v>63</v>
      </c>
      <c r="H89" s="615" t="s">
        <v>63</v>
      </c>
      <c r="I89" s="704" t="str">
        <f>ifna(vlookup(A89,'OH Data'!$J$5:$K$93,2,FALSE),"NULL")</f>
        <v>NULL</v>
      </c>
      <c r="J89" s="615" t="s">
        <v>63</v>
      </c>
      <c r="K89" s="1139">
        <f>ifna(vlookup(A89,'OH Data'!$S$5:$T$93,2,FALSE),"NULL")</f>
        <v>0.3076923077</v>
      </c>
      <c r="L89" s="671" t="s">
        <v>63</v>
      </c>
      <c r="M89" s="614" t="s">
        <v>63</v>
      </c>
      <c r="N89" s="612" t="s">
        <v>63</v>
      </c>
      <c r="O89" s="612" t="s">
        <v>63</v>
      </c>
      <c r="P89" s="620">
        <f>ifna(vlookup(A89,'Population &amp; Church Numbers'!$A$2046:$D$2133,4,FALSE),"NULL")</f>
        <v>94</v>
      </c>
      <c r="Q89" s="612" t="s">
        <v>63</v>
      </c>
    </row>
    <row r="90">
      <c r="A90" s="609" t="s">
        <v>1704</v>
      </c>
      <c r="B90" s="610">
        <f t="array" ref="B90">VLOOKUP($A90,OH_DEMO,2,FALSE)</f>
        <v>21900</v>
      </c>
      <c r="C90" s="704">
        <f>ifna(vlookup(A90,'OH Data'!$A$5:$B$93,2,FALSE),"NULL")</f>
        <v>14</v>
      </c>
      <c r="D90" s="612" t="s">
        <v>63</v>
      </c>
      <c r="E90" s="612" t="str">
        <f>ifna(vlookup(A90,'OH Data'!$D$5:$E$88,2,FALSE),"NULL")</f>
        <v>NULL</v>
      </c>
      <c r="F90" s="612" t="str">
        <f>ifna(vlookup(A90,'OH Data'!$G$5:$H$46,2,FALSE),"NULL")</f>
        <v>NULL</v>
      </c>
      <c r="G90" s="612" t="s">
        <v>63</v>
      </c>
      <c r="H90" s="615" t="s">
        <v>63</v>
      </c>
      <c r="I90" s="704" t="str">
        <f>ifna(vlookup(A90,'OH Data'!$J$5:$K$93,2,FALSE),"NULL")</f>
        <v>NULL</v>
      </c>
      <c r="J90" s="615" t="s">
        <v>63</v>
      </c>
      <c r="K90" s="1139" t="str">
        <f>ifna(vlookup(A90,'OH Data'!$S$5:$T$93,2,FALSE),"NULL")</f>
        <v>NULL</v>
      </c>
      <c r="L90" s="671" t="s">
        <v>63</v>
      </c>
      <c r="M90" s="614" t="s">
        <v>63</v>
      </c>
      <c r="N90" s="612" t="s">
        <v>63</v>
      </c>
      <c r="O90" s="612" t="s">
        <v>63</v>
      </c>
      <c r="P90" s="620">
        <f>ifna(vlookup(A90,'Population &amp; Church Numbers'!$A$2046:$D$2133,4,FALSE),"NULL")</f>
        <v>31</v>
      </c>
      <c r="Q90" s="612" t="s">
        <v>63</v>
      </c>
    </row>
    <row r="91">
      <c r="A91" s="217"/>
      <c r="B91" s="218"/>
      <c r="C91" s="219"/>
      <c r="D91" s="220"/>
      <c r="E91" s="220"/>
      <c r="F91" s="220"/>
      <c r="G91" s="220"/>
      <c r="H91" s="221"/>
      <c r="I91" s="222"/>
      <c r="J91" s="223"/>
      <c r="K91" s="1139" t="str">
        <f>ifna(vlookup(A91,'OH Data'!$S$5:$T$93,2,FALSE),"NULL")</f>
        <v>NULL</v>
      </c>
      <c r="L91" s="224"/>
      <c r="M91" s="225"/>
      <c r="N91" s="226"/>
      <c r="O91" s="220"/>
      <c r="P91" s="221"/>
      <c r="Q91" s="295"/>
    </row>
    <row r="92">
      <c r="A92" s="228" t="s">
        <v>2</v>
      </c>
      <c r="B92" s="229"/>
      <c r="C92" s="236">
        <f>'OH Data'!B5</f>
        <v>14730</v>
      </c>
      <c r="D92" s="311" t="s">
        <v>63</v>
      </c>
      <c r="E92" s="854">
        <f>'OH Data'!E5</f>
        <v>7823</v>
      </c>
      <c r="F92" s="231">
        <f>'OH Data'!H5</f>
        <v>3913</v>
      </c>
      <c r="G92" s="311" t="s">
        <v>63</v>
      </c>
      <c r="H92" s="977">
        <f>AFCARSCSC!D39</f>
        <v>7349</v>
      </c>
      <c r="I92" s="433">
        <f>'OH Data'!K5</f>
        <v>3469</v>
      </c>
      <c r="J92" s="305" t="s">
        <v>63</v>
      </c>
      <c r="K92" s="708" t="s">
        <v>63</v>
      </c>
      <c r="L92" s="309" t="s">
        <v>63</v>
      </c>
      <c r="M92" s="360" t="s">
        <v>63</v>
      </c>
      <c r="N92" s="311" t="s">
        <v>63</v>
      </c>
      <c r="O92" s="1091" t="s">
        <v>63</v>
      </c>
      <c r="P92" s="233">
        <f>SUM(P3:P90)</f>
        <v>10140</v>
      </c>
      <c r="Q92" s="1092" t="s">
        <v>63</v>
      </c>
    </row>
  </sheetData>
  <mergeCells count="1">
    <mergeCell ref="B1:Q1"/>
  </mergeCells>
  <drawing r:id="rId1"/>
  <tableParts count="1">
    <tablePart r:id="rId3"/>
  </tableParts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15.13"/>
    <col customWidth="1" min="14" max="14" width="16.25"/>
  </cols>
  <sheetData>
    <row r="1">
      <c r="A1" s="1141" t="s">
        <v>3885</v>
      </c>
      <c r="B1" s="1142"/>
      <c r="C1" s="1143"/>
      <c r="D1" s="1143"/>
      <c r="E1" s="1143"/>
      <c r="F1" s="1143"/>
      <c r="G1" s="1143"/>
      <c r="H1" s="601" t="s">
        <v>765</v>
      </c>
      <c r="I1" s="601" t="s">
        <v>3886</v>
      </c>
      <c r="J1" s="369"/>
      <c r="K1" s="369"/>
      <c r="L1" s="601"/>
      <c r="M1" s="602"/>
      <c r="N1" s="601"/>
      <c r="O1" s="1144"/>
      <c r="P1" s="373"/>
      <c r="Q1" s="1145"/>
      <c r="R1" s="567"/>
      <c r="S1" s="567"/>
      <c r="T1" s="567"/>
    </row>
    <row r="2">
      <c r="A2" s="1146" t="s">
        <v>3887</v>
      </c>
      <c r="B2" s="1146"/>
      <c r="C2" s="1147"/>
      <c r="D2" s="1147" t="s">
        <v>3888</v>
      </c>
      <c r="E2" s="1147"/>
      <c r="F2" s="1147"/>
      <c r="G2" s="1147" t="s">
        <v>3889</v>
      </c>
      <c r="J2" s="10" t="s">
        <v>2477</v>
      </c>
      <c r="M2" s="10" t="s">
        <v>2058</v>
      </c>
      <c r="P2" s="10" t="s">
        <v>3890</v>
      </c>
      <c r="S2" s="10" t="s">
        <v>3890</v>
      </c>
    </row>
    <row r="3">
      <c r="A3" s="1148" t="s">
        <v>3347</v>
      </c>
      <c r="B3" s="1149">
        <v>45392.0</v>
      </c>
      <c r="C3" s="213"/>
      <c r="D3" s="1148" t="s">
        <v>3347</v>
      </c>
      <c r="E3" s="1149">
        <v>45392.0</v>
      </c>
      <c r="F3" s="10"/>
      <c r="G3" s="1148" t="s">
        <v>3347</v>
      </c>
      <c r="H3" s="1149">
        <v>45392.0</v>
      </c>
      <c r="J3" s="1148" t="s">
        <v>3347</v>
      </c>
      <c r="K3" s="1150">
        <v>45440.0</v>
      </c>
      <c r="M3" s="1148" t="s">
        <v>3347</v>
      </c>
      <c r="N3" s="1150">
        <v>45728.0</v>
      </c>
      <c r="P3" s="1148" t="s">
        <v>3347</v>
      </c>
      <c r="Q3" s="1150">
        <v>45728.0</v>
      </c>
      <c r="R3" s="1151"/>
      <c r="S3" s="1148" t="s">
        <v>3347</v>
      </c>
      <c r="T3" s="1150">
        <v>45728.0</v>
      </c>
    </row>
    <row r="4">
      <c r="A4" s="1148" t="s">
        <v>3337</v>
      </c>
      <c r="B4" s="1149">
        <v>45383.0</v>
      </c>
      <c r="C4" s="213"/>
      <c r="D4" s="1148" t="s">
        <v>3337</v>
      </c>
      <c r="E4" s="1149">
        <v>45383.0</v>
      </c>
      <c r="F4" s="10"/>
      <c r="G4" s="1148" t="s">
        <v>3337</v>
      </c>
      <c r="H4" s="1149">
        <v>45383.0</v>
      </c>
      <c r="J4" s="1148" t="s">
        <v>3337</v>
      </c>
      <c r="K4" s="1150">
        <v>45383.0</v>
      </c>
      <c r="M4" s="1148" t="s">
        <v>3337</v>
      </c>
      <c r="N4" s="351" t="s">
        <v>3891</v>
      </c>
      <c r="P4" s="1148" t="s">
        <v>3337</v>
      </c>
      <c r="Q4" s="351" t="s">
        <v>3891</v>
      </c>
      <c r="R4" s="1"/>
      <c r="S4" s="1148" t="s">
        <v>3337</v>
      </c>
      <c r="T4" s="351" t="s">
        <v>3891</v>
      </c>
    </row>
    <row r="5">
      <c r="A5" s="975" t="s">
        <v>100</v>
      </c>
      <c r="B5" s="976">
        <f>SUM(B6:B88)</f>
        <v>14730</v>
      </c>
      <c r="C5" s="1152"/>
      <c r="D5" s="1153" t="s">
        <v>100</v>
      </c>
      <c r="E5" s="208">
        <v>7823.0</v>
      </c>
      <c r="F5" s="344"/>
      <c r="G5" s="204" t="s">
        <v>100</v>
      </c>
      <c r="H5" s="1130">
        <v>3913.0</v>
      </c>
      <c r="J5" s="975" t="s">
        <v>100</v>
      </c>
      <c r="K5" s="1154">
        <v>3469.0</v>
      </c>
      <c r="M5" s="975" t="s">
        <v>100</v>
      </c>
      <c r="N5" s="1154">
        <f>SUM(N6:N93)</f>
        <v>9419</v>
      </c>
      <c r="P5" s="975" t="s">
        <v>100</v>
      </c>
      <c r="Q5" s="1154">
        <f>SUM(Q6:Q93)</f>
        <v>4198</v>
      </c>
      <c r="R5" s="1155"/>
      <c r="S5" s="975" t="s">
        <v>100</v>
      </c>
      <c r="T5" s="1156">
        <f t="shared" ref="T5:T15" si="1">Q5/N5</f>
        <v>0.4456948721</v>
      </c>
    </row>
    <row r="6">
      <c r="A6" s="985" t="s">
        <v>386</v>
      </c>
      <c r="B6" s="976">
        <v>173.0</v>
      </c>
      <c r="C6" s="1152"/>
      <c r="D6" s="1153" t="s">
        <v>386</v>
      </c>
      <c r="E6" s="208">
        <v>70.0</v>
      </c>
      <c r="F6" s="344"/>
      <c r="G6" s="204" t="s">
        <v>386</v>
      </c>
      <c r="H6" s="206">
        <v>58.0</v>
      </c>
      <c r="J6" s="975" t="s">
        <v>386</v>
      </c>
      <c r="K6" s="1154">
        <v>61.0</v>
      </c>
      <c r="M6" s="975" t="s">
        <v>386</v>
      </c>
      <c r="N6" s="1154">
        <v>93.0</v>
      </c>
      <c r="P6" s="975" t="s">
        <v>386</v>
      </c>
      <c r="Q6" s="1154">
        <v>47.0</v>
      </c>
      <c r="R6" s="1155"/>
      <c r="S6" s="975" t="s">
        <v>386</v>
      </c>
      <c r="T6" s="1156">
        <f t="shared" si="1"/>
        <v>0.5053763441</v>
      </c>
    </row>
    <row r="7">
      <c r="A7" s="985" t="s">
        <v>755</v>
      </c>
      <c r="B7" s="976">
        <v>114.0</v>
      </c>
      <c r="C7" s="344"/>
      <c r="D7" s="204" t="s">
        <v>755</v>
      </c>
      <c r="E7" s="206">
        <v>64.0</v>
      </c>
      <c r="F7" s="344"/>
      <c r="G7" s="204" t="s">
        <v>755</v>
      </c>
      <c r="H7" s="206">
        <v>36.0</v>
      </c>
      <c r="J7" s="975" t="s">
        <v>755</v>
      </c>
      <c r="K7" s="1154">
        <v>28.0</v>
      </c>
      <c r="M7" s="975" t="s">
        <v>755</v>
      </c>
      <c r="N7" s="1154">
        <v>71.0</v>
      </c>
      <c r="P7" s="975" t="s">
        <v>755</v>
      </c>
      <c r="Q7" s="1154">
        <v>18.0</v>
      </c>
      <c r="R7" s="1155"/>
      <c r="S7" s="975" t="s">
        <v>755</v>
      </c>
      <c r="T7" s="1156">
        <f t="shared" si="1"/>
        <v>0.2535211268</v>
      </c>
    </row>
    <row r="8">
      <c r="A8" s="985" t="s">
        <v>1671</v>
      </c>
      <c r="B8" s="976">
        <v>65.0</v>
      </c>
      <c r="C8" s="344"/>
      <c r="D8" s="204" t="s">
        <v>1671</v>
      </c>
      <c r="E8" s="206">
        <v>38.0</v>
      </c>
      <c r="F8" s="344"/>
      <c r="G8" s="204" t="s">
        <v>1671</v>
      </c>
      <c r="H8" s="206">
        <v>15.0</v>
      </c>
      <c r="J8" s="975" t="s">
        <v>1671</v>
      </c>
      <c r="K8" s="1154">
        <v>26.0</v>
      </c>
      <c r="M8" s="975" t="s">
        <v>1671</v>
      </c>
      <c r="N8" s="1154">
        <v>34.0</v>
      </c>
      <c r="P8" s="975" t="s">
        <v>1671</v>
      </c>
      <c r="Q8" s="1154">
        <v>18.0</v>
      </c>
      <c r="R8" s="1155"/>
      <c r="S8" s="975" t="s">
        <v>1671</v>
      </c>
      <c r="T8" s="1156">
        <f t="shared" si="1"/>
        <v>0.5294117647</v>
      </c>
    </row>
    <row r="9">
      <c r="A9" s="985" t="s">
        <v>1672</v>
      </c>
      <c r="B9" s="976">
        <v>119.0</v>
      </c>
      <c r="C9" s="344"/>
      <c r="D9" s="204" t="s">
        <v>1672</v>
      </c>
      <c r="E9" s="206">
        <v>46.0</v>
      </c>
      <c r="F9" s="344"/>
      <c r="G9" s="204" t="s">
        <v>1672</v>
      </c>
      <c r="H9" s="206">
        <v>42.0</v>
      </c>
      <c r="J9" s="975" t="s">
        <v>1672</v>
      </c>
      <c r="K9" s="1154">
        <v>14.0</v>
      </c>
      <c r="M9" s="975" t="s">
        <v>1672</v>
      </c>
      <c r="N9" s="1154">
        <v>62.0</v>
      </c>
      <c r="P9" s="975" t="s">
        <v>1672</v>
      </c>
      <c r="Q9" s="1154">
        <v>25.0</v>
      </c>
      <c r="R9" s="1155"/>
      <c r="S9" s="975" t="s">
        <v>1672</v>
      </c>
      <c r="T9" s="1156">
        <f t="shared" si="1"/>
        <v>0.4032258065</v>
      </c>
    </row>
    <row r="10">
      <c r="A10" s="985" t="s">
        <v>1673</v>
      </c>
      <c r="B10" s="976">
        <v>132.0</v>
      </c>
      <c r="C10" s="344"/>
      <c r="D10" s="204" t="s">
        <v>1673</v>
      </c>
      <c r="E10" s="206">
        <v>102.0</v>
      </c>
      <c r="F10" s="344"/>
      <c r="G10" s="204" t="s">
        <v>1675</v>
      </c>
      <c r="H10" s="206">
        <v>15.0</v>
      </c>
      <c r="J10" s="975" t="s">
        <v>1673</v>
      </c>
      <c r="K10" s="1154">
        <v>49.0</v>
      </c>
      <c r="M10" s="975" t="s">
        <v>1673</v>
      </c>
      <c r="N10" s="1154">
        <v>56.0</v>
      </c>
      <c r="P10" s="975" t="s">
        <v>1673</v>
      </c>
      <c r="Q10" s="1154">
        <v>28.0</v>
      </c>
      <c r="R10" s="1155"/>
      <c r="S10" s="975" t="s">
        <v>1673</v>
      </c>
      <c r="T10" s="1156">
        <f t="shared" si="1"/>
        <v>0.5</v>
      </c>
    </row>
    <row r="11">
      <c r="A11" s="985" t="s">
        <v>1674</v>
      </c>
      <c r="B11" s="976">
        <v>21.0</v>
      </c>
      <c r="C11" s="344"/>
      <c r="D11" s="204" t="s">
        <v>1674</v>
      </c>
      <c r="E11" s="206">
        <v>16.0</v>
      </c>
      <c r="F11" s="344"/>
      <c r="G11" s="204" t="s">
        <v>706</v>
      </c>
      <c r="H11" s="206">
        <v>12.0</v>
      </c>
      <c r="J11" s="975" t="s">
        <v>1674</v>
      </c>
      <c r="K11" s="1154" t="s">
        <v>63</v>
      </c>
      <c r="M11" s="975" t="s">
        <v>1674</v>
      </c>
      <c r="N11" s="1154">
        <v>15.0</v>
      </c>
      <c r="P11" s="975" t="s">
        <v>1674</v>
      </c>
      <c r="Q11" s="1154">
        <v>10.0</v>
      </c>
      <c r="R11" s="1155"/>
      <c r="S11" s="975" t="s">
        <v>1674</v>
      </c>
      <c r="T11" s="1156">
        <f t="shared" si="1"/>
        <v>0.6666666667</v>
      </c>
    </row>
    <row r="12">
      <c r="A12" s="985" t="s">
        <v>1675</v>
      </c>
      <c r="B12" s="976">
        <v>49.0</v>
      </c>
      <c r="C12" s="344"/>
      <c r="D12" s="204" t="s">
        <v>1675</v>
      </c>
      <c r="E12" s="206">
        <v>31.0</v>
      </c>
      <c r="F12" s="344"/>
      <c r="G12" s="204" t="s">
        <v>87</v>
      </c>
      <c r="H12" s="206">
        <v>19.0</v>
      </c>
      <c r="J12" s="975" t="s">
        <v>1675</v>
      </c>
      <c r="K12" s="1154">
        <v>11.0</v>
      </c>
      <c r="M12" s="975" t="s">
        <v>1675</v>
      </c>
      <c r="N12" s="1154">
        <v>45.0</v>
      </c>
      <c r="P12" s="975" t="s">
        <v>1675</v>
      </c>
      <c r="Q12" s="1154">
        <v>25.0</v>
      </c>
      <c r="R12" s="1155"/>
      <c r="S12" s="975" t="s">
        <v>1675</v>
      </c>
      <c r="T12" s="1156">
        <f t="shared" si="1"/>
        <v>0.5555555556</v>
      </c>
    </row>
    <row r="13">
      <c r="A13" s="985" t="s">
        <v>706</v>
      </c>
      <c r="B13" s="976">
        <v>56.0</v>
      </c>
      <c r="C13" s="344"/>
      <c r="D13" s="204" t="s">
        <v>706</v>
      </c>
      <c r="E13" s="206">
        <v>33.0</v>
      </c>
      <c r="F13" s="344"/>
      <c r="G13" s="204" t="s">
        <v>253</v>
      </c>
      <c r="H13" s="206">
        <v>34.0</v>
      </c>
      <c r="J13" s="975" t="s">
        <v>706</v>
      </c>
      <c r="K13" s="1154">
        <v>11.0</v>
      </c>
      <c r="M13" s="975" t="s">
        <v>706</v>
      </c>
      <c r="N13" s="1154">
        <v>51.0</v>
      </c>
      <c r="P13" s="975" t="s">
        <v>706</v>
      </c>
      <c r="Q13" s="1154">
        <v>17.0</v>
      </c>
      <c r="R13" s="1155"/>
      <c r="S13" s="975" t="s">
        <v>706</v>
      </c>
      <c r="T13" s="1156">
        <f t="shared" si="1"/>
        <v>0.3333333333</v>
      </c>
    </row>
    <row r="14">
      <c r="A14" s="985" t="s">
        <v>87</v>
      </c>
      <c r="B14" s="976">
        <v>256.0</v>
      </c>
      <c r="C14" s="344"/>
      <c r="D14" s="204" t="s">
        <v>87</v>
      </c>
      <c r="E14" s="206">
        <v>176.0</v>
      </c>
      <c r="F14" s="344"/>
      <c r="G14" s="204" t="s">
        <v>1676</v>
      </c>
      <c r="H14" s="206">
        <v>38.0</v>
      </c>
      <c r="J14" s="975" t="s">
        <v>87</v>
      </c>
      <c r="K14" s="1154">
        <v>90.0</v>
      </c>
      <c r="M14" s="975" t="s">
        <v>87</v>
      </c>
      <c r="N14" s="1154">
        <v>176.0</v>
      </c>
      <c r="P14" s="975" t="s">
        <v>87</v>
      </c>
      <c r="Q14" s="1154">
        <v>39.0</v>
      </c>
      <c r="R14" s="1155"/>
      <c r="S14" s="975" t="s">
        <v>87</v>
      </c>
      <c r="T14" s="1156">
        <f t="shared" si="1"/>
        <v>0.2215909091</v>
      </c>
    </row>
    <row r="15">
      <c r="A15" s="985" t="s">
        <v>248</v>
      </c>
      <c r="B15" s="976">
        <v>13.0</v>
      </c>
      <c r="C15" s="344"/>
      <c r="D15" s="204" t="s">
        <v>253</v>
      </c>
      <c r="E15" s="206">
        <v>77.0</v>
      </c>
      <c r="F15" s="344"/>
      <c r="G15" s="204" t="s">
        <v>711</v>
      </c>
      <c r="H15" s="206">
        <v>30.0</v>
      </c>
      <c r="J15" s="975" t="s">
        <v>248</v>
      </c>
      <c r="K15" s="1154" t="s">
        <v>63</v>
      </c>
      <c r="M15" s="975" t="s">
        <v>248</v>
      </c>
      <c r="N15" s="1154">
        <v>11.0</v>
      </c>
      <c r="P15" s="975" t="s">
        <v>248</v>
      </c>
      <c r="Q15" s="1154">
        <v>3.0</v>
      </c>
      <c r="R15" s="1155"/>
      <c r="S15" s="975" t="s">
        <v>248</v>
      </c>
      <c r="T15" s="1156">
        <f t="shared" si="1"/>
        <v>0.2727272727</v>
      </c>
    </row>
    <row r="16">
      <c r="A16" s="985" t="s">
        <v>709</v>
      </c>
      <c r="B16" s="976">
        <v>14.0</v>
      </c>
      <c r="C16" s="344"/>
      <c r="D16" s="204" t="s">
        <v>1676</v>
      </c>
      <c r="E16" s="206">
        <v>129.0</v>
      </c>
      <c r="F16" s="344"/>
      <c r="G16" s="204" t="s">
        <v>359</v>
      </c>
      <c r="H16" s="206">
        <v>649.0</v>
      </c>
      <c r="J16" s="975" t="s">
        <v>709</v>
      </c>
      <c r="K16" s="1154" t="s">
        <v>63</v>
      </c>
      <c r="M16" s="975" t="s">
        <v>709</v>
      </c>
      <c r="N16" s="1154" t="s">
        <v>63</v>
      </c>
      <c r="P16" s="975" t="s">
        <v>709</v>
      </c>
      <c r="Q16" s="1154" t="s">
        <v>63</v>
      </c>
      <c r="R16" s="1155"/>
      <c r="S16" s="975" t="s">
        <v>709</v>
      </c>
      <c r="T16" s="1154" t="s">
        <v>63</v>
      </c>
    </row>
    <row r="17">
      <c r="A17" s="985" t="s">
        <v>253</v>
      </c>
      <c r="B17" s="976">
        <v>133.0</v>
      </c>
      <c r="C17" s="344"/>
      <c r="D17" s="204" t="s">
        <v>711</v>
      </c>
      <c r="E17" s="206">
        <v>53.0</v>
      </c>
      <c r="F17" s="344"/>
      <c r="G17" s="204" t="s">
        <v>442</v>
      </c>
      <c r="H17" s="206">
        <v>66.0</v>
      </c>
      <c r="J17" s="975" t="s">
        <v>253</v>
      </c>
      <c r="K17" s="1154">
        <v>12.0</v>
      </c>
      <c r="M17" s="975" t="s">
        <v>253</v>
      </c>
      <c r="N17" s="1154">
        <v>85.0</v>
      </c>
      <c r="P17" s="975" t="s">
        <v>253</v>
      </c>
      <c r="Q17" s="1154">
        <v>35.0</v>
      </c>
      <c r="R17" s="1155"/>
      <c r="S17" s="975" t="s">
        <v>253</v>
      </c>
      <c r="T17" s="1156">
        <f t="shared" ref="T17:T24" si="2">Q17/N17</f>
        <v>0.4117647059</v>
      </c>
    </row>
    <row r="18">
      <c r="A18" s="985" t="s">
        <v>1676</v>
      </c>
      <c r="B18" s="976">
        <v>198.0</v>
      </c>
      <c r="C18" s="344"/>
      <c r="D18" s="204" t="s">
        <v>1677</v>
      </c>
      <c r="E18" s="206">
        <v>60.0</v>
      </c>
      <c r="F18" s="344"/>
      <c r="G18" s="204" t="s">
        <v>136</v>
      </c>
      <c r="H18" s="206">
        <v>453.0</v>
      </c>
      <c r="J18" s="975" t="s">
        <v>1676</v>
      </c>
      <c r="K18" s="1154">
        <v>63.0</v>
      </c>
      <c r="M18" s="975" t="s">
        <v>1676</v>
      </c>
      <c r="N18" s="1154">
        <v>126.0</v>
      </c>
      <c r="P18" s="975" t="s">
        <v>1676</v>
      </c>
      <c r="Q18" s="1154">
        <v>63.0</v>
      </c>
      <c r="R18" s="1155"/>
      <c r="S18" s="975" t="s">
        <v>1676</v>
      </c>
      <c r="T18" s="1156">
        <f t="shared" si="2"/>
        <v>0.5</v>
      </c>
    </row>
    <row r="19">
      <c r="A19" s="985" t="s">
        <v>711</v>
      </c>
      <c r="B19" s="976">
        <v>98.0</v>
      </c>
      <c r="C19" s="344"/>
      <c r="D19" s="204" t="s">
        <v>1678</v>
      </c>
      <c r="E19" s="206">
        <v>31.0</v>
      </c>
      <c r="F19" s="344"/>
      <c r="G19" s="204" t="s">
        <v>1681</v>
      </c>
      <c r="H19" s="206">
        <v>20.0</v>
      </c>
      <c r="J19" s="975" t="s">
        <v>711</v>
      </c>
      <c r="K19" s="1154">
        <v>13.0</v>
      </c>
      <c r="M19" s="975" t="s">
        <v>711</v>
      </c>
      <c r="N19" s="1154">
        <v>70.0</v>
      </c>
      <c r="P19" s="975" t="s">
        <v>711</v>
      </c>
      <c r="Q19" s="1154">
        <v>19.0</v>
      </c>
      <c r="R19" s="1155"/>
      <c r="S19" s="975" t="s">
        <v>711</v>
      </c>
      <c r="T19" s="1156">
        <f t="shared" si="2"/>
        <v>0.2714285714</v>
      </c>
    </row>
    <row r="20">
      <c r="A20" s="985" t="s">
        <v>1677</v>
      </c>
      <c r="B20" s="976">
        <v>87.0</v>
      </c>
      <c r="C20" s="344"/>
      <c r="D20" s="204" t="s">
        <v>263</v>
      </c>
      <c r="E20" s="206">
        <v>34.0</v>
      </c>
      <c r="F20" s="344"/>
      <c r="G20" s="204" t="s">
        <v>497</v>
      </c>
      <c r="H20" s="206">
        <v>721.0</v>
      </c>
      <c r="J20" s="975" t="s">
        <v>1677</v>
      </c>
      <c r="K20" s="1154">
        <v>18.0</v>
      </c>
      <c r="M20" s="975" t="s">
        <v>1677</v>
      </c>
      <c r="N20" s="1154">
        <v>59.0</v>
      </c>
      <c r="P20" s="975" t="s">
        <v>1677</v>
      </c>
      <c r="Q20" s="1154">
        <v>30.0</v>
      </c>
      <c r="R20" s="1155"/>
      <c r="S20" s="975" t="s">
        <v>1677</v>
      </c>
      <c r="T20" s="1156">
        <f t="shared" si="2"/>
        <v>0.5084745763</v>
      </c>
    </row>
    <row r="21">
      <c r="A21" s="985" t="s">
        <v>1678</v>
      </c>
      <c r="B21" s="976">
        <v>44.0</v>
      </c>
      <c r="C21" s="344"/>
      <c r="D21" s="204" t="s">
        <v>359</v>
      </c>
      <c r="E21" s="208">
        <v>1135.0</v>
      </c>
      <c r="F21" s="344"/>
      <c r="G21" s="204" t="s">
        <v>587</v>
      </c>
      <c r="H21" s="206">
        <v>22.0</v>
      </c>
      <c r="J21" s="975" t="s">
        <v>1678</v>
      </c>
      <c r="K21" s="1154" t="s">
        <v>63</v>
      </c>
      <c r="M21" s="975" t="s">
        <v>1678</v>
      </c>
      <c r="N21" s="1154">
        <v>12.0</v>
      </c>
      <c r="P21" s="975" t="s">
        <v>1678</v>
      </c>
      <c r="Q21" s="1154">
        <v>4.0</v>
      </c>
      <c r="R21" s="1155"/>
      <c r="S21" s="975" t="s">
        <v>1678</v>
      </c>
      <c r="T21" s="1156">
        <f t="shared" si="2"/>
        <v>0.3333333333</v>
      </c>
    </row>
    <row r="22">
      <c r="A22" s="985" t="s">
        <v>263</v>
      </c>
      <c r="B22" s="976">
        <v>46.0</v>
      </c>
      <c r="C22" s="344"/>
      <c r="D22" s="204" t="s">
        <v>1680</v>
      </c>
      <c r="E22" s="206">
        <v>15.0</v>
      </c>
      <c r="F22" s="344"/>
      <c r="G22" s="204" t="s">
        <v>775</v>
      </c>
      <c r="H22" s="206">
        <v>14.0</v>
      </c>
      <c r="J22" s="975" t="s">
        <v>263</v>
      </c>
      <c r="K22" s="1154">
        <v>18.0</v>
      </c>
      <c r="M22" s="975" t="s">
        <v>263</v>
      </c>
      <c r="N22" s="1154">
        <v>32.0</v>
      </c>
      <c r="P22" s="975" t="s">
        <v>263</v>
      </c>
      <c r="Q22" s="1154">
        <v>10.0</v>
      </c>
      <c r="R22" s="1155"/>
      <c r="S22" s="975" t="s">
        <v>263</v>
      </c>
      <c r="T22" s="1156">
        <f t="shared" si="2"/>
        <v>0.3125</v>
      </c>
    </row>
    <row r="23">
      <c r="A23" s="985" t="s">
        <v>359</v>
      </c>
      <c r="B23" s="976">
        <v>2174.0</v>
      </c>
      <c r="C23" s="344"/>
      <c r="D23" s="204" t="s">
        <v>40</v>
      </c>
      <c r="E23" s="208">
        <v>22.0</v>
      </c>
      <c r="F23" s="344"/>
      <c r="G23" s="204" t="s">
        <v>1684</v>
      </c>
      <c r="H23" s="206">
        <v>56.0</v>
      </c>
      <c r="J23" s="975" t="s">
        <v>359</v>
      </c>
      <c r="K23" s="1154">
        <v>798.0</v>
      </c>
      <c r="M23" s="975" t="s">
        <v>359</v>
      </c>
      <c r="N23" s="1154">
        <v>1036.0</v>
      </c>
      <c r="P23" s="975" t="s">
        <v>359</v>
      </c>
      <c r="Q23" s="1154">
        <v>400.0</v>
      </c>
      <c r="R23" s="1155"/>
      <c r="S23" s="975" t="s">
        <v>359</v>
      </c>
      <c r="T23" s="1156">
        <f t="shared" si="2"/>
        <v>0.3861003861</v>
      </c>
    </row>
    <row r="24">
      <c r="A24" s="985" t="s">
        <v>1679</v>
      </c>
      <c r="B24" s="976">
        <v>13.0</v>
      </c>
      <c r="C24" s="1152"/>
      <c r="D24" s="1153" t="s">
        <v>464</v>
      </c>
      <c r="E24" s="208">
        <v>41.0</v>
      </c>
      <c r="F24" s="344"/>
      <c r="G24" s="204" t="s">
        <v>502</v>
      </c>
      <c r="H24" s="206">
        <v>17.0</v>
      </c>
      <c r="J24" s="975" t="s">
        <v>1679</v>
      </c>
      <c r="K24" s="1154" t="s">
        <v>63</v>
      </c>
      <c r="M24" s="975" t="s">
        <v>1679</v>
      </c>
      <c r="N24" s="1154">
        <v>11.0</v>
      </c>
      <c r="P24" s="975" t="s">
        <v>1679</v>
      </c>
      <c r="Q24" s="1154">
        <v>4.0</v>
      </c>
      <c r="R24" s="1155"/>
      <c r="S24" s="975" t="s">
        <v>1679</v>
      </c>
      <c r="T24" s="1156">
        <f t="shared" si="2"/>
        <v>0.3636363636</v>
      </c>
    </row>
    <row r="25">
      <c r="A25" s="985" t="s">
        <v>1680</v>
      </c>
      <c r="B25" s="976">
        <v>20.0</v>
      </c>
      <c r="C25" s="344"/>
      <c r="D25" s="204" t="s">
        <v>442</v>
      </c>
      <c r="E25" s="206">
        <v>58.0</v>
      </c>
      <c r="F25" s="344"/>
      <c r="G25" s="204" t="s">
        <v>142</v>
      </c>
      <c r="H25" s="206">
        <v>28.0</v>
      </c>
      <c r="J25" s="975" t="s">
        <v>1680</v>
      </c>
      <c r="K25" s="1154" t="s">
        <v>63</v>
      </c>
      <c r="M25" s="975" t="s">
        <v>1680</v>
      </c>
      <c r="N25" s="1154" t="s">
        <v>63</v>
      </c>
      <c r="P25" s="975" t="s">
        <v>1680</v>
      </c>
      <c r="Q25" s="1154" t="s">
        <v>63</v>
      </c>
      <c r="R25" s="1155"/>
      <c r="S25" s="975" t="s">
        <v>1680</v>
      </c>
      <c r="T25" s="1154" t="s">
        <v>63</v>
      </c>
    </row>
    <row r="26">
      <c r="A26" s="985" t="s">
        <v>40</v>
      </c>
      <c r="B26" s="976">
        <v>27.0</v>
      </c>
      <c r="C26" s="344"/>
      <c r="D26" s="204" t="s">
        <v>135</v>
      </c>
      <c r="E26" s="206">
        <v>30.0</v>
      </c>
      <c r="F26" s="344"/>
      <c r="G26" s="204" t="s">
        <v>143</v>
      </c>
      <c r="H26" s="206">
        <v>14.0</v>
      </c>
      <c r="J26" s="975" t="s">
        <v>40</v>
      </c>
      <c r="K26" s="1154" t="s">
        <v>63</v>
      </c>
      <c r="M26" s="975" t="s">
        <v>40</v>
      </c>
      <c r="N26" s="1154">
        <v>24.0</v>
      </c>
      <c r="P26" s="975" t="s">
        <v>40</v>
      </c>
      <c r="Q26" s="1154">
        <v>6.0</v>
      </c>
      <c r="R26" s="1155"/>
      <c r="S26" s="975" t="s">
        <v>40</v>
      </c>
      <c r="T26" s="1156">
        <f t="shared" ref="T26:T30" si="3">Q26/N26</f>
        <v>0.25</v>
      </c>
    </row>
    <row r="27">
      <c r="A27" s="985" t="s">
        <v>464</v>
      </c>
      <c r="B27" s="976">
        <v>58.0</v>
      </c>
      <c r="C27" s="344"/>
      <c r="D27" s="204" t="s">
        <v>136</v>
      </c>
      <c r="E27" s="206">
        <v>819.0</v>
      </c>
      <c r="F27" s="344"/>
      <c r="G27" s="204" t="s">
        <v>728</v>
      </c>
      <c r="H27" s="206">
        <v>15.0</v>
      </c>
      <c r="J27" s="975" t="s">
        <v>464</v>
      </c>
      <c r="K27" s="1154">
        <v>11.0</v>
      </c>
      <c r="M27" s="975" t="s">
        <v>464</v>
      </c>
      <c r="N27" s="1154">
        <v>49.0</v>
      </c>
      <c r="P27" s="975" t="s">
        <v>464</v>
      </c>
      <c r="Q27" s="1154">
        <v>30.0</v>
      </c>
      <c r="R27" s="1155"/>
      <c r="S27" s="975" t="s">
        <v>464</v>
      </c>
      <c r="T27" s="1156">
        <f t="shared" si="3"/>
        <v>0.612244898</v>
      </c>
    </row>
    <row r="28">
      <c r="A28" s="985" t="s">
        <v>442</v>
      </c>
      <c r="B28" s="976">
        <v>187.0</v>
      </c>
      <c r="C28" s="344"/>
      <c r="D28" s="204" t="s">
        <v>1681</v>
      </c>
      <c r="E28" s="206">
        <v>19.0</v>
      </c>
      <c r="F28" s="344"/>
      <c r="G28" s="204" t="s">
        <v>146</v>
      </c>
      <c r="H28" s="206">
        <v>14.0</v>
      </c>
      <c r="J28" s="975" t="s">
        <v>442</v>
      </c>
      <c r="K28" s="1154">
        <v>34.0</v>
      </c>
      <c r="M28" s="975" t="s">
        <v>442</v>
      </c>
      <c r="N28" s="1154">
        <v>117.0</v>
      </c>
      <c r="P28" s="975" t="s">
        <v>442</v>
      </c>
      <c r="Q28" s="1154">
        <v>71.0</v>
      </c>
      <c r="R28" s="1155"/>
      <c r="S28" s="975" t="s">
        <v>442</v>
      </c>
      <c r="T28" s="1156">
        <f t="shared" si="3"/>
        <v>0.6068376068</v>
      </c>
    </row>
    <row r="29">
      <c r="A29" s="985" t="s">
        <v>135</v>
      </c>
      <c r="B29" s="976">
        <v>44.0</v>
      </c>
      <c r="C29" s="344"/>
      <c r="D29" s="204" t="s">
        <v>1682</v>
      </c>
      <c r="E29" s="206">
        <v>10.0</v>
      </c>
      <c r="F29" s="344"/>
      <c r="G29" s="204" t="s">
        <v>1686</v>
      </c>
      <c r="H29" s="206">
        <v>70.0</v>
      </c>
      <c r="J29" s="975" t="s">
        <v>135</v>
      </c>
      <c r="K29" s="1154">
        <v>14.0</v>
      </c>
      <c r="M29" s="975" t="s">
        <v>135</v>
      </c>
      <c r="N29" s="1154">
        <v>36.0</v>
      </c>
      <c r="P29" s="975" t="s">
        <v>135</v>
      </c>
      <c r="Q29" s="1154">
        <v>7.0</v>
      </c>
      <c r="R29" s="1155"/>
      <c r="S29" s="975" t="s">
        <v>135</v>
      </c>
      <c r="T29" s="1156">
        <f t="shared" si="3"/>
        <v>0.1944444444</v>
      </c>
    </row>
    <row r="30">
      <c r="A30" s="985" t="s">
        <v>136</v>
      </c>
      <c r="B30" s="976">
        <v>1624.0</v>
      </c>
      <c r="C30" s="344"/>
      <c r="D30" s="204" t="s">
        <v>138</v>
      </c>
      <c r="E30" s="208">
        <v>26.0</v>
      </c>
      <c r="F30" s="344"/>
      <c r="G30" s="204" t="s">
        <v>293</v>
      </c>
      <c r="H30" s="206">
        <v>11.0</v>
      </c>
      <c r="J30" s="975" t="s">
        <v>136</v>
      </c>
      <c r="K30" s="1154">
        <v>218.0</v>
      </c>
      <c r="M30" s="975" t="s">
        <v>136</v>
      </c>
      <c r="N30" s="1154">
        <v>1238.0</v>
      </c>
      <c r="P30" s="975" t="s">
        <v>136</v>
      </c>
      <c r="Q30" s="1154">
        <v>580.0</v>
      </c>
      <c r="R30" s="1155"/>
      <c r="S30" s="975" t="s">
        <v>136</v>
      </c>
      <c r="T30" s="1156">
        <f t="shared" si="3"/>
        <v>0.4684975767</v>
      </c>
    </row>
    <row r="31">
      <c r="A31" s="985" t="s">
        <v>1681</v>
      </c>
      <c r="B31" s="976">
        <v>41.0</v>
      </c>
      <c r="C31" s="1152"/>
      <c r="D31" s="1153" t="s">
        <v>1683</v>
      </c>
      <c r="E31" s="208">
        <v>58.0</v>
      </c>
      <c r="F31" s="344"/>
      <c r="G31" s="204" t="s">
        <v>1687</v>
      </c>
      <c r="H31" s="206">
        <v>53.0</v>
      </c>
      <c r="J31" s="975" t="s">
        <v>275</v>
      </c>
      <c r="K31" s="1154" t="s">
        <v>63</v>
      </c>
      <c r="M31" s="975" t="s">
        <v>275</v>
      </c>
      <c r="N31" s="1154" t="s">
        <v>63</v>
      </c>
      <c r="P31" s="975" t="s">
        <v>275</v>
      </c>
      <c r="Q31" s="1154" t="s">
        <v>63</v>
      </c>
      <c r="R31" s="1155"/>
      <c r="S31" s="975" t="s">
        <v>275</v>
      </c>
      <c r="T31" s="1154" t="s">
        <v>63</v>
      </c>
    </row>
    <row r="32">
      <c r="A32" s="985" t="s">
        <v>1682</v>
      </c>
      <c r="B32" s="976">
        <v>21.0</v>
      </c>
      <c r="C32" s="344"/>
      <c r="D32" s="204" t="s">
        <v>497</v>
      </c>
      <c r="E32" s="206">
        <v>814.0</v>
      </c>
      <c r="F32" s="344"/>
      <c r="G32" s="204" t="s">
        <v>909</v>
      </c>
      <c r="H32" s="206">
        <v>292.0</v>
      </c>
      <c r="J32" s="975" t="s">
        <v>1681</v>
      </c>
      <c r="K32" s="1154" t="s">
        <v>63</v>
      </c>
      <c r="M32" s="975" t="s">
        <v>1681</v>
      </c>
      <c r="N32" s="1154">
        <v>48.0</v>
      </c>
      <c r="P32" s="975" t="s">
        <v>1681</v>
      </c>
      <c r="Q32" s="1154">
        <v>31.0</v>
      </c>
      <c r="R32" s="1155"/>
      <c r="S32" s="975" t="s">
        <v>1681</v>
      </c>
      <c r="T32" s="1156">
        <f t="shared" ref="T32:T37" si="4">Q32/N32</f>
        <v>0.6458333333</v>
      </c>
    </row>
    <row r="33">
      <c r="A33" s="985" t="s">
        <v>138</v>
      </c>
      <c r="B33" s="976">
        <v>65.0</v>
      </c>
      <c r="C33" s="344"/>
      <c r="D33" s="204" t="s">
        <v>587</v>
      </c>
      <c r="E33" s="206">
        <v>44.0</v>
      </c>
      <c r="F33" s="344"/>
      <c r="G33" s="204" t="s">
        <v>1688</v>
      </c>
      <c r="H33" s="206">
        <v>64.0</v>
      </c>
      <c r="J33" s="975" t="s">
        <v>1682</v>
      </c>
      <c r="K33" s="1154" t="s">
        <v>63</v>
      </c>
      <c r="M33" s="975" t="s">
        <v>1682</v>
      </c>
      <c r="N33" s="1154">
        <v>16.0</v>
      </c>
      <c r="P33" s="975" t="s">
        <v>1682</v>
      </c>
      <c r="Q33" s="1154">
        <v>3.0</v>
      </c>
      <c r="R33" s="1155"/>
      <c r="S33" s="975" t="s">
        <v>1682</v>
      </c>
      <c r="T33" s="1156">
        <f t="shared" si="4"/>
        <v>0.1875</v>
      </c>
    </row>
    <row r="34">
      <c r="A34" s="985" t="s">
        <v>1683</v>
      </c>
      <c r="B34" s="976">
        <v>80.0</v>
      </c>
      <c r="C34" s="344"/>
      <c r="D34" s="204" t="s">
        <v>721</v>
      </c>
      <c r="E34" s="206">
        <v>13.0</v>
      </c>
      <c r="F34" s="344"/>
      <c r="G34" s="204" t="s">
        <v>1689</v>
      </c>
      <c r="H34" s="206">
        <v>37.0</v>
      </c>
      <c r="J34" s="975" t="s">
        <v>138</v>
      </c>
      <c r="K34" s="1154">
        <v>22.0</v>
      </c>
      <c r="M34" s="975" t="s">
        <v>138</v>
      </c>
      <c r="N34" s="1154">
        <v>50.0</v>
      </c>
      <c r="P34" s="975" t="s">
        <v>138</v>
      </c>
      <c r="Q34" s="1154">
        <v>23.0</v>
      </c>
      <c r="R34" s="1155"/>
      <c r="S34" s="975" t="s">
        <v>138</v>
      </c>
      <c r="T34" s="1156">
        <f t="shared" si="4"/>
        <v>0.46</v>
      </c>
    </row>
    <row r="35">
      <c r="A35" s="985" t="s">
        <v>497</v>
      </c>
      <c r="B35" s="976">
        <v>1936.0</v>
      </c>
      <c r="C35" s="344"/>
      <c r="D35" s="204" t="s">
        <v>140</v>
      </c>
      <c r="E35" s="208">
        <v>11.0</v>
      </c>
      <c r="F35" s="344"/>
      <c r="G35" s="204" t="s">
        <v>157</v>
      </c>
      <c r="H35" s="206">
        <v>88.0</v>
      </c>
      <c r="J35" s="975" t="s">
        <v>1683</v>
      </c>
      <c r="K35" s="1154">
        <v>34.0</v>
      </c>
      <c r="M35" s="975" t="s">
        <v>1683</v>
      </c>
      <c r="N35" s="1154">
        <v>56.0</v>
      </c>
      <c r="P35" s="975" t="s">
        <v>1683</v>
      </c>
      <c r="Q35" s="1154">
        <v>35.0</v>
      </c>
      <c r="R35" s="1155"/>
      <c r="S35" s="975" t="s">
        <v>1683</v>
      </c>
      <c r="T35" s="1156">
        <f t="shared" si="4"/>
        <v>0.625</v>
      </c>
    </row>
    <row r="36">
      <c r="A36" s="985" t="s">
        <v>587</v>
      </c>
      <c r="B36" s="976">
        <v>85.0</v>
      </c>
      <c r="C36" s="344"/>
      <c r="D36" s="204" t="s">
        <v>1684</v>
      </c>
      <c r="E36" s="206">
        <v>100.0</v>
      </c>
      <c r="F36" s="344"/>
      <c r="G36" s="204" t="s">
        <v>1692</v>
      </c>
      <c r="H36" s="206">
        <v>64.0</v>
      </c>
      <c r="J36" s="975" t="s">
        <v>497</v>
      </c>
      <c r="K36" s="1154">
        <v>357.0</v>
      </c>
      <c r="M36" s="975" t="s">
        <v>497</v>
      </c>
      <c r="N36" s="1154">
        <v>844.0</v>
      </c>
      <c r="P36" s="975" t="s">
        <v>497</v>
      </c>
      <c r="Q36" s="1154">
        <v>419.0</v>
      </c>
      <c r="R36" s="1155"/>
      <c r="S36" s="975" t="s">
        <v>497</v>
      </c>
      <c r="T36" s="1156">
        <f t="shared" si="4"/>
        <v>0.4964454976</v>
      </c>
    </row>
    <row r="37">
      <c r="A37" s="985" t="s">
        <v>721</v>
      </c>
      <c r="B37" s="976">
        <v>23.0</v>
      </c>
      <c r="C37" s="1152"/>
      <c r="D37" s="1153" t="s">
        <v>1685</v>
      </c>
      <c r="E37" s="208">
        <v>28.0</v>
      </c>
      <c r="F37" s="344"/>
      <c r="G37" s="204" t="s">
        <v>998</v>
      </c>
      <c r="H37" s="206">
        <v>10.0</v>
      </c>
      <c r="J37" s="975" t="s">
        <v>587</v>
      </c>
      <c r="K37" s="1154">
        <v>19.0</v>
      </c>
      <c r="M37" s="975" t="s">
        <v>587</v>
      </c>
      <c r="N37" s="1154">
        <v>67.0</v>
      </c>
      <c r="P37" s="975" t="s">
        <v>587</v>
      </c>
      <c r="Q37" s="1154">
        <v>16.0</v>
      </c>
      <c r="R37" s="1155"/>
      <c r="S37" s="975" t="s">
        <v>587</v>
      </c>
      <c r="T37" s="1156">
        <f t="shared" si="4"/>
        <v>0.2388059701</v>
      </c>
    </row>
    <row r="38">
      <c r="A38" s="985" t="s">
        <v>775</v>
      </c>
      <c r="B38" s="976">
        <v>25.0</v>
      </c>
      <c r="C38" s="1152"/>
      <c r="D38" s="1153" t="s">
        <v>502</v>
      </c>
      <c r="E38" s="208">
        <v>19.0</v>
      </c>
      <c r="F38" s="344"/>
      <c r="G38" s="204" t="s">
        <v>159</v>
      </c>
      <c r="H38" s="206">
        <v>12.0</v>
      </c>
      <c r="J38" s="975" t="s">
        <v>721</v>
      </c>
      <c r="K38" s="1154" t="s">
        <v>63</v>
      </c>
      <c r="M38" s="975" t="s">
        <v>721</v>
      </c>
      <c r="N38" s="1154" t="s">
        <v>63</v>
      </c>
      <c r="P38" s="975" t="s">
        <v>721</v>
      </c>
      <c r="Q38" s="1154" t="s">
        <v>63</v>
      </c>
      <c r="R38" s="1155"/>
      <c r="S38" s="975" t="s">
        <v>721</v>
      </c>
      <c r="T38" s="1154" t="s">
        <v>63</v>
      </c>
    </row>
    <row r="39">
      <c r="A39" s="985" t="s">
        <v>140</v>
      </c>
      <c r="B39" s="976">
        <v>21.0</v>
      </c>
      <c r="C39" s="344"/>
      <c r="D39" s="204" t="s">
        <v>1255</v>
      </c>
      <c r="E39" s="206">
        <v>29.0</v>
      </c>
      <c r="F39" s="344"/>
      <c r="G39" s="204" t="s">
        <v>1694</v>
      </c>
      <c r="H39" s="206">
        <v>38.0</v>
      </c>
      <c r="J39" s="975" t="s">
        <v>775</v>
      </c>
      <c r="K39" s="1154" t="s">
        <v>63</v>
      </c>
      <c r="M39" s="975" t="s">
        <v>775</v>
      </c>
      <c r="N39" s="1154">
        <v>23.0</v>
      </c>
      <c r="P39" s="975" t="s">
        <v>775</v>
      </c>
      <c r="Q39" s="1154">
        <v>11.0</v>
      </c>
      <c r="R39" s="1155"/>
      <c r="S39" s="975" t="s">
        <v>775</v>
      </c>
      <c r="T39" s="1156">
        <f t="shared" ref="T39:T60" si="5">Q39/N39</f>
        <v>0.4782608696</v>
      </c>
    </row>
    <row r="40">
      <c r="A40" s="985" t="s">
        <v>1684</v>
      </c>
      <c r="B40" s="976">
        <v>177.0</v>
      </c>
      <c r="C40" s="344"/>
      <c r="D40" s="204" t="s">
        <v>142</v>
      </c>
      <c r="E40" s="206">
        <v>47.0</v>
      </c>
      <c r="F40" s="344"/>
      <c r="G40" s="204" t="s">
        <v>1698</v>
      </c>
      <c r="H40" s="206">
        <v>70.0</v>
      </c>
      <c r="J40" s="975" t="s">
        <v>140</v>
      </c>
      <c r="K40" s="1154" t="s">
        <v>63</v>
      </c>
      <c r="M40" s="975" t="s">
        <v>140</v>
      </c>
      <c r="N40" s="1154">
        <v>24.0</v>
      </c>
      <c r="P40" s="975" t="s">
        <v>140</v>
      </c>
      <c r="Q40" s="1154">
        <v>9.0</v>
      </c>
      <c r="R40" s="1155"/>
      <c r="S40" s="975" t="s">
        <v>140</v>
      </c>
      <c r="T40" s="1156">
        <f t="shared" si="5"/>
        <v>0.375</v>
      </c>
    </row>
    <row r="41">
      <c r="A41" s="985" t="s">
        <v>1685</v>
      </c>
      <c r="B41" s="976">
        <v>42.0</v>
      </c>
      <c r="C41" s="344"/>
      <c r="D41" s="204" t="s">
        <v>143</v>
      </c>
      <c r="E41" s="206">
        <v>19.0</v>
      </c>
      <c r="F41" s="344"/>
      <c r="G41" s="204" t="s">
        <v>747</v>
      </c>
      <c r="H41" s="206">
        <v>150.0</v>
      </c>
      <c r="J41" s="975" t="s">
        <v>1684</v>
      </c>
      <c r="K41" s="1154">
        <v>28.0</v>
      </c>
      <c r="M41" s="975" t="s">
        <v>1684</v>
      </c>
      <c r="N41" s="1154">
        <v>142.0</v>
      </c>
      <c r="P41" s="975" t="s">
        <v>1684</v>
      </c>
      <c r="Q41" s="1154">
        <v>78.0</v>
      </c>
      <c r="R41" s="1155"/>
      <c r="S41" s="975" t="s">
        <v>1684</v>
      </c>
      <c r="T41" s="1156">
        <f t="shared" si="5"/>
        <v>0.5492957746</v>
      </c>
    </row>
    <row r="42">
      <c r="A42" s="985" t="s">
        <v>502</v>
      </c>
      <c r="B42" s="976">
        <v>43.0</v>
      </c>
      <c r="C42" s="344"/>
      <c r="D42" s="204" t="s">
        <v>728</v>
      </c>
      <c r="E42" s="206">
        <v>36.0</v>
      </c>
      <c r="F42" s="344"/>
      <c r="G42" s="204" t="s">
        <v>461</v>
      </c>
      <c r="H42" s="206">
        <v>361.0</v>
      </c>
      <c r="J42" s="975" t="s">
        <v>1685</v>
      </c>
      <c r="K42" s="1154">
        <v>20.0</v>
      </c>
      <c r="M42" s="975" t="s">
        <v>1685</v>
      </c>
      <c r="N42" s="1154">
        <v>31.0</v>
      </c>
      <c r="P42" s="975" t="s">
        <v>1685</v>
      </c>
      <c r="Q42" s="1154">
        <v>10.0</v>
      </c>
      <c r="R42" s="1155"/>
      <c r="S42" s="975" t="s">
        <v>1685</v>
      </c>
      <c r="T42" s="1156">
        <f t="shared" si="5"/>
        <v>0.3225806452</v>
      </c>
    </row>
    <row r="43">
      <c r="A43" s="985" t="s">
        <v>1255</v>
      </c>
      <c r="B43" s="976">
        <v>38.0</v>
      </c>
      <c r="C43" s="344"/>
      <c r="D43" s="204" t="s">
        <v>337</v>
      </c>
      <c r="E43" s="206">
        <v>28.0</v>
      </c>
      <c r="F43" s="344"/>
      <c r="G43" s="204" t="s">
        <v>1700</v>
      </c>
      <c r="H43" s="206">
        <v>21.0</v>
      </c>
      <c r="J43" s="975" t="s">
        <v>502</v>
      </c>
      <c r="K43" s="1154" t="s">
        <v>63</v>
      </c>
      <c r="M43" s="975" t="s">
        <v>502</v>
      </c>
      <c r="N43" s="1154">
        <v>34.0</v>
      </c>
      <c r="P43" s="975" t="s">
        <v>502</v>
      </c>
      <c r="Q43" s="1154">
        <v>15.0</v>
      </c>
      <c r="R43" s="1155"/>
      <c r="S43" s="975" t="s">
        <v>502</v>
      </c>
      <c r="T43" s="1156">
        <f t="shared" si="5"/>
        <v>0.4411764706</v>
      </c>
    </row>
    <row r="44">
      <c r="A44" s="985" t="s">
        <v>142</v>
      </c>
      <c r="B44" s="976">
        <v>86.0</v>
      </c>
      <c r="C44" s="344"/>
      <c r="D44" s="204" t="s">
        <v>146</v>
      </c>
      <c r="E44" s="206">
        <v>57.0</v>
      </c>
      <c r="F44" s="344"/>
      <c r="G44" s="204" t="s">
        <v>316</v>
      </c>
      <c r="H44" s="206">
        <v>11.0</v>
      </c>
      <c r="J44" s="975" t="s">
        <v>1255</v>
      </c>
      <c r="K44" s="1154" t="s">
        <v>63</v>
      </c>
      <c r="M44" s="975" t="s">
        <v>1255</v>
      </c>
      <c r="N44" s="1154">
        <v>37.0</v>
      </c>
      <c r="P44" s="975" t="s">
        <v>1255</v>
      </c>
      <c r="Q44" s="1154">
        <v>14.0</v>
      </c>
      <c r="R44" s="1155"/>
      <c r="S44" s="975" t="s">
        <v>1255</v>
      </c>
      <c r="T44" s="1156">
        <f t="shared" si="5"/>
        <v>0.3783783784</v>
      </c>
    </row>
    <row r="45">
      <c r="A45" s="985" t="s">
        <v>143</v>
      </c>
      <c r="B45" s="976">
        <v>55.0</v>
      </c>
      <c r="C45" s="344"/>
      <c r="D45" s="204" t="s">
        <v>1686</v>
      </c>
      <c r="E45" s="206">
        <v>174.0</v>
      </c>
      <c r="F45" s="344"/>
      <c r="G45" s="204" t="s">
        <v>647</v>
      </c>
      <c r="H45" s="206">
        <v>22.0</v>
      </c>
      <c r="J45" s="975" t="s">
        <v>142</v>
      </c>
      <c r="K45" s="1154">
        <v>31.0</v>
      </c>
      <c r="M45" s="975" t="s">
        <v>142</v>
      </c>
      <c r="N45" s="1154">
        <v>51.0</v>
      </c>
      <c r="P45" s="975" t="s">
        <v>142</v>
      </c>
      <c r="Q45" s="1154">
        <v>19.0</v>
      </c>
      <c r="R45" s="1155"/>
      <c r="S45" s="975" t="s">
        <v>142</v>
      </c>
      <c r="T45" s="1156">
        <f t="shared" si="5"/>
        <v>0.3725490196</v>
      </c>
    </row>
    <row r="46">
      <c r="A46" s="985" t="s">
        <v>728</v>
      </c>
      <c r="B46" s="976">
        <v>68.0</v>
      </c>
      <c r="C46" s="344"/>
      <c r="D46" s="204" t="s">
        <v>293</v>
      </c>
      <c r="E46" s="206">
        <v>37.0</v>
      </c>
      <c r="F46" s="344"/>
      <c r="G46" s="204" t="s">
        <v>273</v>
      </c>
      <c r="H46" s="206">
        <v>45.0</v>
      </c>
      <c r="J46" s="975" t="s">
        <v>143</v>
      </c>
      <c r="K46" s="1154">
        <v>12.0</v>
      </c>
      <c r="M46" s="975" t="s">
        <v>143</v>
      </c>
      <c r="N46" s="1154">
        <v>40.0</v>
      </c>
      <c r="P46" s="975" t="s">
        <v>143</v>
      </c>
      <c r="Q46" s="1154">
        <v>12.0</v>
      </c>
      <c r="R46" s="1155"/>
      <c r="S46" s="975" t="s">
        <v>143</v>
      </c>
      <c r="T46" s="1156">
        <f t="shared" si="5"/>
        <v>0.3</v>
      </c>
    </row>
    <row r="47">
      <c r="A47" s="985" t="s">
        <v>337</v>
      </c>
      <c r="B47" s="976">
        <v>70.0</v>
      </c>
      <c r="C47" s="344"/>
      <c r="D47" s="204" t="s">
        <v>1687</v>
      </c>
      <c r="E47" s="206">
        <v>114.0</v>
      </c>
      <c r="J47" s="975" t="s">
        <v>728</v>
      </c>
      <c r="K47" s="1154">
        <v>19.0</v>
      </c>
      <c r="M47" s="975" t="s">
        <v>728</v>
      </c>
      <c r="N47" s="1154">
        <v>58.0</v>
      </c>
      <c r="P47" s="975" t="s">
        <v>728</v>
      </c>
      <c r="Q47" s="1154">
        <v>35.0</v>
      </c>
      <c r="R47" s="1155"/>
      <c r="S47" s="975" t="s">
        <v>728</v>
      </c>
      <c r="T47" s="1156">
        <f t="shared" si="5"/>
        <v>0.6034482759</v>
      </c>
    </row>
    <row r="48">
      <c r="A48" s="985" t="s">
        <v>146</v>
      </c>
      <c r="B48" s="976">
        <v>82.0</v>
      </c>
      <c r="C48" s="344"/>
      <c r="D48" s="204" t="s">
        <v>909</v>
      </c>
      <c r="E48" s="206">
        <v>419.0</v>
      </c>
      <c r="J48" s="975" t="s">
        <v>337</v>
      </c>
      <c r="K48" s="1154" t="s">
        <v>63</v>
      </c>
      <c r="M48" s="975" t="s">
        <v>337</v>
      </c>
      <c r="N48" s="1154">
        <v>49.0</v>
      </c>
      <c r="P48" s="975" t="s">
        <v>337</v>
      </c>
      <c r="Q48" s="1154">
        <v>18.0</v>
      </c>
      <c r="R48" s="1155"/>
      <c r="S48" s="975" t="s">
        <v>337</v>
      </c>
      <c r="T48" s="1156">
        <f t="shared" si="5"/>
        <v>0.3673469388</v>
      </c>
    </row>
    <row r="49">
      <c r="A49" s="985" t="s">
        <v>1686</v>
      </c>
      <c r="B49" s="976">
        <v>286.0</v>
      </c>
      <c r="C49" s="344"/>
      <c r="D49" s="204" t="s">
        <v>151</v>
      </c>
      <c r="E49" s="206">
        <v>16.0</v>
      </c>
      <c r="J49" s="975" t="s">
        <v>146</v>
      </c>
      <c r="K49" s="1154">
        <v>27.0</v>
      </c>
      <c r="M49" s="975" t="s">
        <v>146</v>
      </c>
      <c r="N49" s="1154">
        <v>37.0</v>
      </c>
      <c r="P49" s="975" t="s">
        <v>146</v>
      </c>
      <c r="Q49" s="1154">
        <v>17.0</v>
      </c>
      <c r="R49" s="1155"/>
      <c r="S49" s="975" t="s">
        <v>146</v>
      </c>
      <c r="T49" s="1156">
        <f t="shared" si="5"/>
        <v>0.4594594595</v>
      </c>
    </row>
    <row r="50">
      <c r="A50" s="985" t="s">
        <v>293</v>
      </c>
      <c r="B50" s="976">
        <v>63.0</v>
      </c>
      <c r="C50" s="344"/>
      <c r="D50" s="204" t="s">
        <v>1688</v>
      </c>
      <c r="E50" s="206">
        <v>179.0</v>
      </c>
      <c r="J50" s="975" t="s">
        <v>1686</v>
      </c>
      <c r="K50" s="1154">
        <v>60.0</v>
      </c>
      <c r="M50" s="975" t="s">
        <v>1686</v>
      </c>
      <c r="N50" s="1154">
        <v>151.0</v>
      </c>
      <c r="P50" s="975" t="s">
        <v>1686</v>
      </c>
      <c r="Q50" s="1154">
        <v>55.0</v>
      </c>
      <c r="R50" s="1155"/>
      <c r="S50" s="975" t="s">
        <v>1686</v>
      </c>
      <c r="T50" s="1156">
        <f t="shared" si="5"/>
        <v>0.3642384106</v>
      </c>
    </row>
    <row r="51">
      <c r="A51" s="985" t="s">
        <v>1687</v>
      </c>
      <c r="B51" s="976">
        <v>200.0</v>
      </c>
      <c r="C51" s="344"/>
      <c r="D51" s="204" t="s">
        <v>153</v>
      </c>
      <c r="E51" s="206">
        <v>35.0</v>
      </c>
      <c r="J51" s="975" t="s">
        <v>293</v>
      </c>
      <c r="K51" s="1154">
        <v>23.0</v>
      </c>
      <c r="M51" s="975" t="s">
        <v>293</v>
      </c>
      <c r="N51" s="1154">
        <v>33.0</v>
      </c>
      <c r="P51" s="975" t="s">
        <v>293</v>
      </c>
      <c r="Q51" s="1154">
        <v>10.0</v>
      </c>
      <c r="R51" s="1155"/>
      <c r="S51" s="975" t="s">
        <v>293</v>
      </c>
      <c r="T51" s="1156">
        <f t="shared" si="5"/>
        <v>0.303030303</v>
      </c>
    </row>
    <row r="52">
      <c r="A52" s="985" t="s">
        <v>909</v>
      </c>
      <c r="B52" s="976">
        <v>831.0</v>
      </c>
      <c r="C52" s="344"/>
      <c r="D52" s="204" t="s">
        <v>1689</v>
      </c>
      <c r="E52" s="206">
        <v>58.0</v>
      </c>
      <c r="J52" s="975" t="s">
        <v>1687</v>
      </c>
      <c r="K52" s="1154">
        <v>27.0</v>
      </c>
      <c r="M52" s="975" t="s">
        <v>1687</v>
      </c>
      <c r="N52" s="1154">
        <v>157.0</v>
      </c>
      <c r="P52" s="975" t="s">
        <v>1687</v>
      </c>
      <c r="Q52" s="1154">
        <v>48.0</v>
      </c>
      <c r="R52" s="1155"/>
      <c r="S52" s="975" t="s">
        <v>1687</v>
      </c>
      <c r="T52" s="1156">
        <f t="shared" si="5"/>
        <v>0.3057324841</v>
      </c>
    </row>
    <row r="53">
      <c r="A53" s="985" t="s">
        <v>151</v>
      </c>
      <c r="B53" s="976">
        <v>24.0</v>
      </c>
      <c r="C53" s="344"/>
      <c r="D53" s="204" t="s">
        <v>738</v>
      </c>
      <c r="E53" s="206">
        <v>12.0</v>
      </c>
      <c r="J53" s="975" t="s">
        <v>909</v>
      </c>
      <c r="K53" s="1154">
        <v>205.0</v>
      </c>
      <c r="M53" s="975" t="s">
        <v>909</v>
      </c>
      <c r="N53" s="1154">
        <v>533.0</v>
      </c>
      <c r="P53" s="975" t="s">
        <v>909</v>
      </c>
      <c r="Q53" s="1154">
        <v>230.0</v>
      </c>
      <c r="R53" s="1155"/>
      <c r="S53" s="975" t="s">
        <v>909</v>
      </c>
      <c r="T53" s="1156">
        <f t="shared" si="5"/>
        <v>0.4315196998</v>
      </c>
    </row>
    <row r="54">
      <c r="A54" s="985" t="s">
        <v>1688</v>
      </c>
      <c r="B54" s="976">
        <v>277.0</v>
      </c>
      <c r="C54" s="344"/>
      <c r="D54" s="204" t="s">
        <v>791</v>
      </c>
      <c r="E54" s="206">
        <v>29.0</v>
      </c>
      <c r="J54" s="975" t="s">
        <v>151</v>
      </c>
      <c r="K54" s="1154" t="s">
        <v>63</v>
      </c>
      <c r="M54" s="975" t="s">
        <v>151</v>
      </c>
      <c r="N54" s="1154">
        <v>35.0</v>
      </c>
      <c r="P54" s="975" t="s">
        <v>151</v>
      </c>
      <c r="Q54" s="1154">
        <v>20.0</v>
      </c>
      <c r="R54" s="1155"/>
      <c r="S54" s="975" t="s">
        <v>151</v>
      </c>
      <c r="T54" s="1156">
        <f t="shared" si="5"/>
        <v>0.5714285714</v>
      </c>
    </row>
    <row r="55">
      <c r="A55" s="985" t="s">
        <v>153</v>
      </c>
      <c r="B55" s="976">
        <v>52.0</v>
      </c>
      <c r="C55" s="344"/>
      <c r="D55" s="204" t="s">
        <v>157</v>
      </c>
      <c r="E55" s="206">
        <v>476.0</v>
      </c>
      <c r="J55" s="975" t="s">
        <v>1688</v>
      </c>
      <c r="K55" s="1154">
        <v>36.0</v>
      </c>
      <c r="M55" s="975" t="s">
        <v>1688</v>
      </c>
      <c r="N55" s="1154">
        <v>194.0</v>
      </c>
      <c r="P55" s="975" t="s">
        <v>1688</v>
      </c>
      <c r="Q55" s="1154">
        <v>104.0</v>
      </c>
      <c r="R55" s="1155"/>
      <c r="S55" s="975" t="s">
        <v>1688</v>
      </c>
      <c r="T55" s="1156">
        <f t="shared" si="5"/>
        <v>0.5360824742</v>
      </c>
    </row>
    <row r="56">
      <c r="A56" s="985" t="s">
        <v>1689</v>
      </c>
      <c r="B56" s="976">
        <v>122.0</v>
      </c>
      <c r="C56" s="344"/>
      <c r="D56" s="204" t="s">
        <v>158</v>
      </c>
      <c r="E56" s="206">
        <v>13.0</v>
      </c>
      <c r="J56" s="975" t="s">
        <v>153</v>
      </c>
      <c r="K56" s="1154">
        <v>20.0</v>
      </c>
      <c r="M56" s="975" t="s">
        <v>153</v>
      </c>
      <c r="N56" s="1154">
        <v>39.0</v>
      </c>
      <c r="P56" s="975" t="s">
        <v>153</v>
      </c>
      <c r="Q56" s="1154">
        <v>14.0</v>
      </c>
      <c r="R56" s="1155"/>
      <c r="S56" s="975" t="s">
        <v>153</v>
      </c>
      <c r="T56" s="1156">
        <f t="shared" si="5"/>
        <v>0.358974359</v>
      </c>
    </row>
    <row r="57">
      <c r="A57" s="985" t="s">
        <v>738</v>
      </c>
      <c r="B57" s="976">
        <v>21.0</v>
      </c>
      <c r="C57" s="344"/>
      <c r="D57" s="204" t="s">
        <v>1691</v>
      </c>
      <c r="E57" s="206">
        <v>17.0</v>
      </c>
      <c r="J57" s="975" t="s">
        <v>1689</v>
      </c>
      <c r="K57" s="1154">
        <v>23.0</v>
      </c>
      <c r="M57" s="975" t="s">
        <v>1689</v>
      </c>
      <c r="N57" s="1154">
        <v>85.0</v>
      </c>
      <c r="P57" s="975" t="s">
        <v>1689</v>
      </c>
      <c r="Q57" s="1154">
        <v>48.0</v>
      </c>
      <c r="R57" s="1155"/>
      <c r="S57" s="975" t="s">
        <v>1689</v>
      </c>
      <c r="T57" s="1156">
        <f t="shared" si="5"/>
        <v>0.5647058824</v>
      </c>
    </row>
    <row r="58">
      <c r="A58" s="985" t="s">
        <v>791</v>
      </c>
      <c r="B58" s="976">
        <v>65.0</v>
      </c>
      <c r="C58" s="344"/>
      <c r="D58" s="204" t="s">
        <v>1692</v>
      </c>
      <c r="E58" s="206">
        <v>79.0</v>
      </c>
      <c r="J58" s="975" t="s">
        <v>1690</v>
      </c>
      <c r="K58" s="1154" t="s">
        <v>63</v>
      </c>
      <c r="M58" s="975" t="s">
        <v>1690</v>
      </c>
      <c r="N58" s="1154">
        <v>14.0</v>
      </c>
      <c r="P58" s="975" t="s">
        <v>1690</v>
      </c>
      <c r="Q58" s="1154">
        <v>5.0</v>
      </c>
      <c r="R58" s="1155"/>
      <c r="S58" s="975" t="s">
        <v>1690</v>
      </c>
      <c r="T58" s="1156">
        <f t="shared" si="5"/>
        <v>0.3571428571</v>
      </c>
    </row>
    <row r="59">
      <c r="A59" s="985" t="s">
        <v>157</v>
      </c>
      <c r="B59" s="976">
        <v>776.0</v>
      </c>
      <c r="C59" s="344"/>
      <c r="D59" s="204" t="s">
        <v>159</v>
      </c>
      <c r="E59" s="206">
        <v>23.0</v>
      </c>
      <c r="J59" s="975" t="s">
        <v>738</v>
      </c>
      <c r="K59" s="1154" t="s">
        <v>63</v>
      </c>
      <c r="M59" s="975" t="s">
        <v>738</v>
      </c>
      <c r="N59" s="1154">
        <v>21.0</v>
      </c>
      <c r="P59" s="975" t="s">
        <v>738</v>
      </c>
      <c r="Q59" s="1154">
        <v>9.0</v>
      </c>
      <c r="R59" s="1155"/>
      <c r="S59" s="975" t="s">
        <v>738</v>
      </c>
      <c r="T59" s="1156">
        <f t="shared" si="5"/>
        <v>0.4285714286</v>
      </c>
    </row>
    <row r="60">
      <c r="A60" s="985" t="s">
        <v>158</v>
      </c>
      <c r="B60" s="976">
        <v>25.0</v>
      </c>
      <c r="C60" s="344"/>
      <c r="D60" s="204" t="s">
        <v>1693</v>
      </c>
      <c r="E60" s="206">
        <v>18.0</v>
      </c>
      <c r="J60" s="975" t="s">
        <v>791</v>
      </c>
      <c r="K60" s="1154">
        <v>12.0</v>
      </c>
      <c r="M60" s="975" t="s">
        <v>791</v>
      </c>
      <c r="N60" s="1154">
        <v>57.0</v>
      </c>
      <c r="P60" s="975" t="s">
        <v>791</v>
      </c>
      <c r="Q60" s="1154">
        <v>21.0</v>
      </c>
      <c r="R60" s="1155"/>
      <c r="S60" s="975" t="s">
        <v>791</v>
      </c>
      <c r="T60" s="1156">
        <f t="shared" si="5"/>
        <v>0.3684210526</v>
      </c>
    </row>
    <row r="61">
      <c r="A61" s="985" t="s">
        <v>1691</v>
      </c>
      <c r="B61" s="976">
        <v>29.0</v>
      </c>
      <c r="C61" s="344"/>
      <c r="D61" s="204" t="s">
        <v>162</v>
      </c>
      <c r="E61" s="206">
        <v>13.0</v>
      </c>
      <c r="J61" s="975" t="s">
        <v>156</v>
      </c>
      <c r="K61" s="1154" t="s">
        <v>63</v>
      </c>
      <c r="M61" s="975" t="s">
        <v>156</v>
      </c>
      <c r="N61" s="1154"/>
      <c r="P61" s="975" t="s">
        <v>156</v>
      </c>
      <c r="Q61" s="1154"/>
      <c r="R61" s="1155"/>
      <c r="S61" s="975" t="s">
        <v>156</v>
      </c>
      <c r="T61" s="1156"/>
    </row>
    <row r="62">
      <c r="A62" s="985" t="s">
        <v>1692</v>
      </c>
      <c r="B62" s="976">
        <v>184.0</v>
      </c>
      <c r="C62" s="344"/>
      <c r="D62" s="204" t="s">
        <v>1694</v>
      </c>
      <c r="E62" s="206">
        <v>99.0</v>
      </c>
      <c r="J62" s="975" t="s">
        <v>157</v>
      </c>
      <c r="K62" s="1154">
        <v>211.0</v>
      </c>
      <c r="M62" s="975" t="s">
        <v>157</v>
      </c>
      <c r="N62" s="1154">
        <v>539.0</v>
      </c>
      <c r="P62" s="975" t="s">
        <v>157</v>
      </c>
      <c r="Q62" s="1154">
        <v>233.0</v>
      </c>
      <c r="R62" s="1155"/>
      <c r="S62" s="975" t="s">
        <v>157</v>
      </c>
      <c r="T62" s="1156">
        <f t="shared" ref="T62:T65" si="6">Q62/N62</f>
        <v>0.4322820037</v>
      </c>
    </row>
    <row r="63">
      <c r="A63" s="985" t="s">
        <v>998</v>
      </c>
      <c r="B63" s="976">
        <v>21.0</v>
      </c>
      <c r="C63" s="344"/>
      <c r="D63" s="204" t="s">
        <v>1695</v>
      </c>
      <c r="E63" s="206">
        <v>40.0</v>
      </c>
      <c r="J63" s="975" t="s">
        <v>158</v>
      </c>
      <c r="K63" s="1154" t="s">
        <v>63</v>
      </c>
      <c r="M63" s="975" t="s">
        <v>158</v>
      </c>
      <c r="N63" s="1154">
        <v>16.0</v>
      </c>
      <c r="P63" s="975" t="s">
        <v>158</v>
      </c>
      <c r="Q63" s="1154">
        <v>12.0</v>
      </c>
      <c r="R63" s="1155"/>
      <c r="S63" s="975" t="s">
        <v>158</v>
      </c>
      <c r="T63" s="1156">
        <f t="shared" si="6"/>
        <v>0.75</v>
      </c>
    </row>
    <row r="64">
      <c r="A64" s="985" t="s">
        <v>616</v>
      </c>
      <c r="B64" s="976">
        <v>10.0</v>
      </c>
      <c r="C64" s="344"/>
      <c r="D64" s="204" t="s">
        <v>518</v>
      </c>
      <c r="E64" s="206">
        <v>11.0</v>
      </c>
      <c r="J64" s="975" t="s">
        <v>1691</v>
      </c>
      <c r="K64" s="1154" t="s">
        <v>63</v>
      </c>
      <c r="M64" s="975" t="s">
        <v>1691</v>
      </c>
      <c r="N64" s="1154">
        <v>26.0</v>
      </c>
      <c r="P64" s="975" t="s">
        <v>1691</v>
      </c>
      <c r="Q64" s="1154">
        <v>8.0</v>
      </c>
      <c r="R64" s="1155"/>
      <c r="S64" s="975" t="s">
        <v>1691</v>
      </c>
      <c r="T64" s="1156">
        <f t="shared" si="6"/>
        <v>0.3076923077</v>
      </c>
    </row>
    <row r="65">
      <c r="A65" s="985" t="s">
        <v>159</v>
      </c>
      <c r="B65" s="976">
        <v>46.0</v>
      </c>
      <c r="C65" s="1162"/>
      <c r="D65" s="1163" t="s">
        <v>743</v>
      </c>
      <c r="E65" s="1165">
        <v>108.0</v>
      </c>
      <c r="J65" s="975" t="s">
        <v>1692</v>
      </c>
      <c r="K65" s="1154">
        <v>12.0</v>
      </c>
      <c r="M65" s="975" t="s">
        <v>1692</v>
      </c>
      <c r="N65" s="1154">
        <v>128.0</v>
      </c>
      <c r="P65" s="975" t="s">
        <v>1692</v>
      </c>
      <c r="Q65" s="1154">
        <v>48.0</v>
      </c>
      <c r="R65" s="1155"/>
      <c r="S65" s="975" t="s">
        <v>1692</v>
      </c>
      <c r="T65" s="1156">
        <f t="shared" si="6"/>
        <v>0.375</v>
      </c>
    </row>
    <row r="66">
      <c r="A66" s="985" t="s">
        <v>1693</v>
      </c>
      <c r="B66" s="976">
        <v>26.0</v>
      </c>
      <c r="C66" s="1162"/>
      <c r="D66" s="1163" t="s">
        <v>1696</v>
      </c>
      <c r="E66" s="1165">
        <v>90.0</v>
      </c>
      <c r="J66" s="975" t="s">
        <v>793</v>
      </c>
      <c r="K66" s="1154" t="s">
        <v>63</v>
      </c>
      <c r="M66" s="975" t="s">
        <v>793</v>
      </c>
      <c r="N66" s="1154" t="s">
        <v>63</v>
      </c>
      <c r="P66" s="975" t="s">
        <v>793</v>
      </c>
      <c r="Q66" s="1154" t="s">
        <v>63</v>
      </c>
      <c r="R66" s="1155"/>
      <c r="S66" s="975" t="s">
        <v>793</v>
      </c>
      <c r="T66" s="1154" t="s">
        <v>63</v>
      </c>
    </row>
    <row r="67">
      <c r="A67" s="985" t="s">
        <v>162</v>
      </c>
      <c r="B67" s="976">
        <v>27.0</v>
      </c>
      <c r="C67" s="1162"/>
      <c r="D67" s="1163" t="s">
        <v>1697</v>
      </c>
      <c r="E67" s="1165">
        <v>23.0</v>
      </c>
      <c r="J67" s="975" t="s">
        <v>998</v>
      </c>
      <c r="K67" s="1154" t="s">
        <v>63</v>
      </c>
      <c r="M67" s="975" t="s">
        <v>998</v>
      </c>
      <c r="N67" s="1154" t="s">
        <v>63</v>
      </c>
      <c r="P67" s="975" t="s">
        <v>998</v>
      </c>
      <c r="Q67" s="1154" t="s">
        <v>63</v>
      </c>
      <c r="R67" s="1155"/>
      <c r="S67" s="975" t="s">
        <v>998</v>
      </c>
      <c r="T67" s="1154" t="s">
        <v>63</v>
      </c>
    </row>
    <row r="68">
      <c r="A68" s="985" t="s">
        <v>1694</v>
      </c>
      <c r="B68" s="976">
        <v>165.0</v>
      </c>
      <c r="C68" s="1162"/>
      <c r="D68" s="1163" t="s">
        <v>1698</v>
      </c>
      <c r="E68" s="1165">
        <v>131.0</v>
      </c>
      <c r="J68" s="975" t="s">
        <v>616</v>
      </c>
      <c r="K68" s="1154" t="s">
        <v>63</v>
      </c>
      <c r="M68" s="975" t="s">
        <v>616</v>
      </c>
      <c r="N68" s="1154" t="s">
        <v>63</v>
      </c>
      <c r="P68" s="975" t="s">
        <v>616</v>
      </c>
      <c r="Q68" s="1154" t="s">
        <v>63</v>
      </c>
      <c r="R68" s="1155"/>
      <c r="S68" s="975" t="s">
        <v>616</v>
      </c>
      <c r="T68" s="1154" t="s">
        <v>63</v>
      </c>
    </row>
    <row r="69">
      <c r="A69" s="985" t="s">
        <v>1695</v>
      </c>
      <c r="B69" s="976">
        <v>55.0</v>
      </c>
      <c r="C69" s="344"/>
      <c r="D69" s="204" t="s">
        <v>1573</v>
      </c>
      <c r="E69" s="206">
        <v>29.0</v>
      </c>
      <c r="J69" s="975" t="s">
        <v>159</v>
      </c>
      <c r="K69" s="1154" t="s">
        <v>63</v>
      </c>
      <c r="M69" s="975" t="s">
        <v>159</v>
      </c>
      <c r="N69" s="1154">
        <v>58.0</v>
      </c>
      <c r="P69" s="975" t="s">
        <v>159</v>
      </c>
      <c r="Q69" s="1154">
        <v>26.0</v>
      </c>
      <c r="R69" s="1155"/>
      <c r="S69" s="975" t="s">
        <v>159</v>
      </c>
      <c r="T69" s="1156">
        <f t="shared" ref="T69:T85" si="7">Q69/N69</f>
        <v>0.4482758621</v>
      </c>
    </row>
    <row r="70">
      <c r="A70" s="985" t="s">
        <v>518</v>
      </c>
      <c r="B70" s="976">
        <v>17.0</v>
      </c>
      <c r="C70" s="344"/>
      <c r="D70" s="204" t="s">
        <v>168</v>
      </c>
      <c r="E70" s="206">
        <v>16.0</v>
      </c>
      <c r="J70" s="975" t="s">
        <v>1693</v>
      </c>
      <c r="K70" s="1154" t="s">
        <v>63</v>
      </c>
      <c r="M70" s="975" t="s">
        <v>1693</v>
      </c>
      <c r="N70" s="1154">
        <v>28.0</v>
      </c>
      <c r="P70" s="975" t="s">
        <v>1693</v>
      </c>
      <c r="Q70" s="1154">
        <v>15.0</v>
      </c>
      <c r="R70" s="1155"/>
      <c r="S70" s="975" t="s">
        <v>1693</v>
      </c>
      <c r="T70" s="1156">
        <f t="shared" si="7"/>
        <v>0.5357142857</v>
      </c>
    </row>
    <row r="71">
      <c r="A71" s="985" t="s">
        <v>743</v>
      </c>
      <c r="B71" s="976">
        <v>129.0</v>
      </c>
      <c r="C71" s="344"/>
      <c r="D71" s="204" t="s">
        <v>747</v>
      </c>
      <c r="E71" s="206">
        <v>276.0</v>
      </c>
      <c r="J71" s="975" t="s">
        <v>162</v>
      </c>
      <c r="K71" s="1154" t="s">
        <v>63</v>
      </c>
      <c r="M71" s="975" t="s">
        <v>162</v>
      </c>
      <c r="N71" s="1154">
        <v>29.0</v>
      </c>
      <c r="P71" s="975" t="s">
        <v>162</v>
      </c>
      <c r="Q71" s="1154">
        <v>16.0</v>
      </c>
      <c r="R71" s="1155"/>
      <c r="S71" s="975" t="s">
        <v>162</v>
      </c>
      <c r="T71" s="1156">
        <f t="shared" si="7"/>
        <v>0.5517241379</v>
      </c>
    </row>
    <row r="72">
      <c r="A72" s="985" t="s">
        <v>1696</v>
      </c>
      <c r="B72" s="976">
        <v>121.0</v>
      </c>
      <c r="C72" s="344"/>
      <c r="D72" s="204" t="s">
        <v>461</v>
      </c>
      <c r="E72" s="206">
        <v>399.0</v>
      </c>
      <c r="J72" s="975" t="s">
        <v>1694</v>
      </c>
      <c r="K72" s="1154">
        <v>40.0</v>
      </c>
      <c r="M72" s="975" t="s">
        <v>1694</v>
      </c>
      <c r="N72" s="1154">
        <v>146.0</v>
      </c>
      <c r="P72" s="975" t="s">
        <v>1694</v>
      </c>
      <c r="Q72" s="1154">
        <v>86.0</v>
      </c>
      <c r="R72" s="1155"/>
      <c r="S72" s="975" t="s">
        <v>1694</v>
      </c>
      <c r="T72" s="1156">
        <f t="shared" si="7"/>
        <v>0.5890410959</v>
      </c>
    </row>
    <row r="73">
      <c r="A73" s="985" t="s">
        <v>1697</v>
      </c>
      <c r="B73" s="976">
        <v>37.0</v>
      </c>
      <c r="C73" s="344"/>
      <c r="D73" s="204" t="s">
        <v>1699</v>
      </c>
      <c r="E73" s="206">
        <v>76.0</v>
      </c>
      <c r="J73" s="975" t="s">
        <v>1695</v>
      </c>
      <c r="K73" s="1154">
        <v>27.0</v>
      </c>
      <c r="M73" s="975" t="s">
        <v>1695</v>
      </c>
      <c r="N73" s="1154">
        <v>47.0</v>
      </c>
      <c r="P73" s="975" t="s">
        <v>1695</v>
      </c>
      <c r="Q73" s="1154">
        <v>27.0</v>
      </c>
      <c r="R73" s="1155"/>
      <c r="S73" s="975" t="s">
        <v>1695</v>
      </c>
      <c r="T73" s="1156">
        <f t="shared" si="7"/>
        <v>0.5744680851</v>
      </c>
    </row>
    <row r="74">
      <c r="A74" s="985" t="s">
        <v>1698</v>
      </c>
      <c r="B74" s="976">
        <v>260.0</v>
      </c>
      <c r="C74" s="344"/>
      <c r="D74" s="204" t="s">
        <v>1700</v>
      </c>
      <c r="E74" s="206">
        <v>67.0</v>
      </c>
      <c r="J74" s="975" t="s">
        <v>518</v>
      </c>
      <c r="K74" s="1154" t="s">
        <v>63</v>
      </c>
      <c r="M74" s="975" t="s">
        <v>518</v>
      </c>
      <c r="N74" s="1154">
        <v>19.0</v>
      </c>
      <c r="P74" s="975" t="s">
        <v>518</v>
      </c>
      <c r="Q74" s="1154">
        <v>15.0</v>
      </c>
      <c r="R74" s="1155"/>
      <c r="S74" s="975" t="s">
        <v>518</v>
      </c>
      <c r="T74" s="1156">
        <f t="shared" si="7"/>
        <v>0.7894736842</v>
      </c>
    </row>
    <row r="75">
      <c r="A75" s="985" t="s">
        <v>1573</v>
      </c>
      <c r="B75" s="976">
        <v>42.0</v>
      </c>
      <c r="C75" s="344"/>
      <c r="D75" s="204" t="s">
        <v>316</v>
      </c>
      <c r="E75" s="206">
        <v>24.0</v>
      </c>
      <c r="J75" s="975" t="s">
        <v>743</v>
      </c>
      <c r="K75" s="1154">
        <v>45.0</v>
      </c>
      <c r="M75" s="975" t="s">
        <v>743</v>
      </c>
      <c r="N75" s="1154">
        <v>78.0</v>
      </c>
      <c r="P75" s="975" t="s">
        <v>743</v>
      </c>
      <c r="Q75" s="1154">
        <v>11.0</v>
      </c>
      <c r="R75" s="1155"/>
      <c r="S75" s="975" t="s">
        <v>743</v>
      </c>
      <c r="T75" s="1156">
        <f t="shared" si="7"/>
        <v>0.141025641</v>
      </c>
    </row>
    <row r="76">
      <c r="A76" s="985" t="s">
        <v>168</v>
      </c>
      <c r="B76" s="976">
        <v>20.0</v>
      </c>
      <c r="C76" s="344"/>
      <c r="D76" s="204" t="s">
        <v>1702</v>
      </c>
      <c r="E76" s="206">
        <v>18.0</v>
      </c>
      <c r="J76" s="975" t="s">
        <v>1696</v>
      </c>
      <c r="K76" s="1154">
        <v>35.0</v>
      </c>
      <c r="M76" s="975" t="s">
        <v>1696</v>
      </c>
      <c r="N76" s="1154">
        <v>113.0</v>
      </c>
      <c r="P76" s="975" t="s">
        <v>1696</v>
      </c>
      <c r="Q76" s="1154">
        <v>45.0</v>
      </c>
      <c r="R76" s="1155"/>
      <c r="S76" s="975" t="s">
        <v>1696</v>
      </c>
      <c r="T76" s="1156">
        <f t="shared" si="7"/>
        <v>0.3982300885</v>
      </c>
    </row>
    <row r="77">
      <c r="A77" s="985" t="s">
        <v>747</v>
      </c>
      <c r="B77" s="976">
        <v>478.0</v>
      </c>
      <c r="C77" s="344"/>
      <c r="D77" s="204" t="s">
        <v>647</v>
      </c>
      <c r="E77" s="206">
        <v>61.0</v>
      </c>
      <c r="J77" s="975" t="s">
        <v>1697</v>
      </c>
      <c r="K77" s="1154" t="s">
        <v>63</v>
      </c>
      <c r="M77" s="975" t="s">
        <v>1697</v>
      </c>
      <c r="N77" s="1154">
        <v>31.0</v>
      </c>
      <c r="P77" s="975" t="s">
        <v>1697</v>
      </c>
      <c r="Q77" s="1154">
        <v>16.0</v>
      </c>
      <c r="R77" s="1155"/>
      <c r="S77" s="975" t="s">
        <v>1697</v>
      </c>
      <c r="T77" s="1156">
        <f t="shared" si="7"/>
        <v>0.5161290323</v>
      </c>
    </row>
    <row r="78">
      <c r="A78" s="985" t="s">
        <v>461</v>
      </c>
      <c r="B78" s="976">
        <v>872.0</v>
      </c>
      <c r="C78" s="344"/>
      <c r="D78" s="204" t="s">
        <v>119</v>
      </c>
      <c r="E78" s="206">
        <v>59.0</v>
      </c>
      <c r="J78" s="975" t="s">
        <v>1698</v>
      </c>
      <c r="K78" s="1154">
        <v>54.0</v>
      </c>
      <c r="M78" s="975" t="s">
        <v>1698</v>
      </c>
      <c r="N78" s="1154">
        <v>147.0</v>
      </c>
      <c r="P78" s="975" t="s">
        <v>1698</v>
      </c>
      <c r="Q78" s="1154">
        <v>51.0</v>
      </c>
      <c r="R78" s="1155"/>
      <c r="S78" s="975" t="s">
        <v>1698</v>
      </c>
      <c r="T78" s="1156">
        <f t="shared" si="7"/>
        <v>0.3469387755</v>
      </c>
    </row>
    <row r="79">
      <c r="A79" s="985" t="s">
        <v>1699</v>
      </c>
      <c r="B79" s="976">
        <v>136.0</v>
      </c>
      <c r="C79" s="344"/>
      <c r="D79" s="204" t="s">
        <v>273</v>
      </c>
      <c r="E79" s="206">
        <v>42.0</v>
      </c>
      <c r="J79" s="975" t="s">
        <v>1573</v>
      </c>
      <c r="K79" s="1154" t="s">
        <v>63</v>
      </c>
      <c r="M79" s="975" t="s">
        <v>1573</v>
      </c>
      <c r="N79" s="1154">
        <v>26.0</v>
      </c>
      <c r="P79" s="975" t="s">
        <v>1573</v>
      </c>
      <c r="Q79" s="1154">
        <v>8.0</v>
      </c>
      <c r="R79" s="1155"/>
      <c r="S79" s="975" t="s">
        <v>1573</v>
      </c>
      <c r="T79" s="1156">
        <f t="shared" si="7"/>
        <v>0.3076923077</v>
      </c>
    </row>
    <row r="80">
      <c r="A80" s="985" t="s">
        <v>1700</v>
      </c>
      <c r="B80" s="976">
        <v>117.0</v>
      </c>
      <c r="C80" s="344"/>
      <c r="D80" s="204" t="s">
        <v>1670</v>
      </c>
      <c r="E80" s="206">
        <v>23.0</v>
      </c>
      <c r="J80" s="975" t="s">
        <v>168</v>
      </c>
      <c r="K80" s="1154" t="s">
        <v>63</v>
      </c>
      <c r="M80" s="975" t="s">
        <v>168</v>
      </c>
      <c r="N80" s="1154">
        <v>21.0</v>
      </c>
      <c r="P80" s="975" t="s">
        <v>168</v>
      </c>
      <c r="Q80" s="1154">
        <v>9.0</v>
      </c>
      <c r="R80" s="1155"/>
      <c r="S80" s="975" t="s">
        <v>168</v>
      </c>
      <c r="T80" s="1156">
        <f t="shared" si="7"/>
        <v>0.4285714286</v>
      </c>
    </row>
    <row r="81">
      <c r="A81" s="985" t="s">
        <v>316</v>
      </c>
      <c r="B81" s="976">
        <v>41.0</v>
      </c>
      <c r="C81" s="344"/>
      <c r="D81" s="204" t="s">
        <v>1703</v>
      </c>
      <c r="E81" s="206">
        <v>17.0</v>
      </c>
      <c r="J81" s="975" t="s">
        <v>747</v>
      </c>
      <c r="K81" s="1154">
        <v>95.0</v>
      </c>
      <c r="M81" s="975" t="s">
        <v>747</v>
      </c>
      <c r="N81" s="1154">
        <v>338.0</v>
      </c>
      <c r="P81" s="975" t="s">
        <v>747</v>
      </c>
      <c r="Q81" s="1154">
        <v>127.0</v>
      </c>
      <c r="R81" s="1155"/>
      <c r="S81" s="975" t="s">
        <v>747</v>
      </c>
      <c r="T81" s="1156">
        <f t="shared" si="7"/>
        <v>0.375739645</v>
      </c>
    </row>
    <row r="82">
      <c r="A82" s="985" t="s">
        <v>1702</v>
      </c>
      <c r="B82" s="976">
        <v>22.0</v>
      </c>
      <c r="C82" s="344"/>
      <c r="D82" s="204"/>
      <c r="E82" s="206"/>
      <c r="J82" s="975" t="s">
        <v>461</v>
      </c>
      <c r="K82" s="1154">
        <v>174.0</v>
      </c>
      <c r="M82" s="975" t="s">
        <v>461</v>
      </c>
      <c r="N82" s="1154">
        <v>760.0</v>
      </c>
      <c r="P82" s="975" t="s">
        <v>461</v>
      </c>
      <c r="Q82" s="1154">
        <v>437.0</v>
      </c>
      <c r="R82" s="1155"/>
      <c r="S82" s="975" t="s">
        <v>461</v>
      </c>
      <c r="T82" s="1156">
        <f t="shared" si="7"/>
        <v>0.575</v>
      </c>
    </row>
    <row r="83">
      <c r="A83" s="985" t="s">
        <v>647</v>
      </c>
      <c r="B83" s="976">
        <v>114.0</v>
      </c>
      <c r="C83" s="344"/>
      <c r="D83" s="204"/>
      <c r="E83" s="206"/>
      <c r="J83" s="975" t="s">
        <v>1699</v>
      </c>
      <c r="K83" s="1154">
        <v>24.0</v>
      </c>
      <c r="M83" s="975" t="s">
        <v>1699</v>
      </c>
      <c r="N83" s="1154">
        <v>96.0</v>
      </c>
      <c r="P83" s="975" t="s">
        <v>1699</v>
      </c>
      <c r="Q83" s="1154">
        <v>37.0</v>
      </c>
      <c r="R83" s="1155"/>
      <c r="S83" s="975" t="s">
        <v>1699</v>
      </c>
      <c r="T83" s="1156">
        <f t="shared" si="7"/>
        <v>0.3854166667</v>
      </c>
    </row>
    <row r="84">
      <c r="A84" s="985" t="s">
        <v>119</v>
      </c>
      <c r="B84" s="976">
        <v>88.0</v>
      </c>
      <c r="C84" s="344"/>
      <c r="D84" s="204"/>
      <c r="E84" s="206"/>
      <c r="J84" s="975" t="s">
        <v>1700</v>
      </c>
      <c r="K84" s="1154">
        <v>31.0</v>
      </c>
      <c r="M84" s="975" t="s">
        <v>1700</v>
      </c>
      <c r="N84" s="1154">
        <v>80.0</v>
      </c>
      <c r="P84" s="975" t="s">
        <v>1700</v>
      </c>
      <c r="Q84" s="1154">
        <v>23.0</v>
      </c>
      <c r="R84" s="1155"/>
      <c r="S84" s="975" t="s">
        <v>1700</v>
      </c>
      <c r="T84" s="1156">
        <f t="shared" si="7"/>
        <v>0.2875</v>
      </c>
    </row>
    <row r="85">
      <c r="A85" s="985" t="s">
        <v>273</v>
      </c>
      <c r="B85" s="976">
        <v>118.0</v>
      </c>
      <c r="C85" s="344"/>
      <c r="D85" s="204"/>
      <c r="E85" s="206"/>
      <c r="J85" s="975" t="s">
        <v>316</v>
      </c>
      <c r="K85" s="1154" t="s">
        <v>63</v>
      </c>
      <c r="M85" s="975" t="s">
        <v>316</v>
      </c>
      <c r="N85" s="1154">
        <v>28.0</v>
      </c>
      <c r="P85" s="975" t="s">
        <v>316</v>
      </c>
      <c r="Q85" s="1154">
        <v>17.0</v>
      </c>
      <c r="R85" s="1155"/>
      <c r="S85" s="975" t="s">
        <v>316</v>
      </c>
      <c r="T85" s="1156">
        <f t="shared" si="7"/>
        <v>0.6071428571</v>
      </c>
    </row>
    <row r="86">
      <c r="A86" s="985" t="s">
        <v>1670</v>
      </c>
      <c r="B86" s="976">
        <v>30.0</v>
      </c>
      <c r="C86" s="344"/>
      <c r="D86" s="204"/>
      <c r="E86" s="206"/>
      <c r="J86" s="975" t="s">
        <v>1701</v>
      </c>
      <c r="K86" s="1154" t="s">
        <v>63</v>
      </c>
      <c r="M86" s="975" t="s">
        <v>1701</v>
      </c>
      <c r="N86" s="1154" t="s">
        <v>63</v>
      </c>
      <c r="P86" s="975" t="s">
        <v>1701</v>
      </c>
      <c r="Q86" s="1154" t="s">
        <v>63</v>
      </c>
      <c r="R86" s="1155"/>
      <c r="S86" s="975" t="s">
        <v>1701</v>
      </c>
      <c r="T86" s="1154" t="s">
        <v>63</v>
      </c>
    </row>
    <row r="87">
      <c r="A87" s="985" t="s">
        <v>1703</v>
      </c>
      <c r="B87" s="976">
        <v>46.0</v>
      </c>
      <c r="C87" s="344"/>
      <c r="D87" s="204"/>
      <c r="E87" s="206"/>
      <c r="J87" s="975" t="s">
        <v>1702</v>
      </c>
      <c r="K87" s="1154" t="s">
        <v>63</v>
      </c>
      <c r="M87" s="975" t="s">
        <v>1702</v>
      </c>
      <c r="N87" s="1154" t="s">
        <v>63</v>
      </c>
      <c r="P87" s="975" t="s">
        <v>1702</v>
      </c>
      <c r="Q87" s="1154" t="s">
        <v>63</v>
      </c>
      <c r="R87" s="1155"/>
      <c r="S87" s="975" t="s">
        <v>1702</v>
      </c>
      <c r="T87" s="1154" t="s">
        <v>63</v>
      </c>
    </row>
    <row r="88">
      <c r="A88" s="1176" t="s">
        <v>1704</v>
      </c>
      <c r="B88" s="1178">
        <v>14.0</v>
      </c>
      <c r="C88" s="344"/>
      <c r="D88" s="204"/>
      <c r="E88" s="206"/>
      <c r="J88" s="975" t="s">
        <v>647</v>
      </c>
      <c r="K88" s="1154">
        <v>34.0</v>
      </c>
      <c r="M88" s="975" t="s">
        <v>647</v>
      </c>
      <c r="N88" s="1154">
        <v>80.0</v>
      </c>
      <c r="P88" s="975" t="s">
        <v>647</v>
      </c>
      <c r="Q88" s="1154">
        <v>49.0</v>
      </c>
      <c r="R88" s="1155"/>
      <c r="S88" s="975" t="s">
        <v>647</v>
      </c>
      <c r="T88" s="1156">
        <f t="shared" ref="T88:T92" si="8">Q88/N88</f>
        <v>0.6125</v>
      </c>
    </row>
    <row r="89">
      <c r="A89" s="1183"/>
      <c r="B89" s="1185"/>
      <c r="J89" s="975" t="s">
        <v>119</v>
      </c>
      <c r="K89" s="1154">
        <v>29.0</v>
      </c>
      <c r="M89" s="975" t="s">
        <v>119</v>
      </c>
      <c r="N89" s="1154">
        <v>42.0</v>
      </c>
      <c r="P89" s="975" t="s">
        <v>119</v>
      </c>
      <c r="Q89" s="1154">
        <v>18.0</v>
      </c>
      <c r="R89" s="1155"/>
      <c r="S89" s="975" t="s">
        <v>119</v>
      </c>
      <c r="T89" s="1156">
        <f t="shared" si="8"/>
        <v>0.4285714286</v>
      </c>
    </row>
    <row r="90">
      <c r="A90" s="1186"/>
      <c r="B90" s="1187"/>
      <c r="J90" s="975" t="s">
        <v>273</v>
      </c>
      <c r="K90" s="1154">
        <v>30.0</v>
      </c>
      <c r="M90" s="975" t="s">
        <v>273</v>
      </c>
      <c r="N90" s="1154">
        <v>59.0</v>
      </c>
      <c r="P90" s="975" t="s">
        <v>273</v>
      </c>
      <c r="Q90" s="1154">
        <v>22.0</v>
      </c>
      <c r="R90" s="1155"/>
      <c r="S90" s="975" t="s">
        <v>273</v>
      </c>
      <c r="T90" s="1156">
        <f t="shared" si="8"/>
        <v>0.3728813559</v>
      </c>
    </row>
    <row r="91">
      <c r="A91" s="1186"/>
      <c r="B91" s="1187"/>
      <c r="J91" s="975" t="s">
        <v>1670</v>
      </c>
      <c r="K91" s="1154" t="s">
        <v>63</v>
      </c>
      <c r="M91" s="975" t="s">
        <v>1670</v>
      </c>
      <c r="N91" s="1154">
        <v>23.0</v>
      </c>
      <c r="P91" s="975" t="s">
        <v>1670</v>
      </c>
      <c r="Q91" s="1154">
        <v>16.0</v>
      </c>
      <c r="R91" s="1155"/>
      <c r="S91" s="975" t="s">
        <v>1670</v>
      </c>
      <c r="T91" s="1156">
        <f t="shared" si="8"/>
        <v>0.6956521739</v>
      </c>
    </row>
    <row r="92">
      <c r="A92" s="1186"/>
      <c r="B92" s="1187"/>
      <c r="J92" s="975" t="s">
        <v>1703</v>
      </c>
      <c r="K92" s="1154" t="s">
        <v>63</v>
      </c>
      <c r="M92" s="975" t="s">
        <v>1703</v>
      </c>
      <c r="N92" s="1154">
        <v>26.0</v>
      </c>
      <c r="P92" s="975" t="s">
        <v>1703</v>
      </c>
      <c r="Q92" s="1154">
        <v>8.0</v>
      </c>
      <c r="R92" s="1155"/>
      <c r="S92" s="975" t="s">
        <v>1703</v>
      </c>
      <c r="T92" s="1156">
        <f t="shared" si="8"/>
        <v>0.3076923077</v>
      </c>
    </row>
    <row r="93">
      <c r="A93" s="1186"/>
      <c r="B93" s="1187"/>
      <c r="J93" s="975" t="s">
        <v>1704</v>
      </c>
      <c r="K93" s="1154" t="s">
        <v>63</v>
      </c>
      <c r="M93" s="975" t="s">
        <v>1704</v>
      </c>
      <c r="N93" s="1154" t="s">
        <v>63</v>
      </c>
      <c r="P93" s="975" t="s">
        <v>1704</v>
      </c>
      <c r="Q93" s="1154" t="s">
        <v>63</v>
      </c>
      <c r="R93" s="1155"/>
      <c r="S93" s="975" t="s">
        <v>1704</v>
      </c>
      <c r="T93" s="1154" t="s">
        <v>63</v>
      </c>
    </row>
    <row r="94">
      <c r="A94" s="703"/>
      <c r="B94" s="1194"/>
    </row>
    <row r="95">
      <c r="A95" s="703"/>
      <c r="B95" s="1194"/>
    </row>
    <row r="96">
      <c r="A96" s="703"/>
      <c r="B96" s="1194"/>
    </row>
    <row r="97">
      <c r="A97" s="703"/>
      <c r="B97" s="1194"/>
    </row>
    <row r="98">
      <c r="A98" s="703"/>
      <c r="B98" s="1194"/>
    </row>
    <row r="99">
      <c r="A99" s="703"/>
      <c r="B99" s="1194"/>
    </row>
    <row r="100">
      <c r="A100" s="703"/>
      <c r="B100" s="1194"/>
    </row>
  </sheetData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2" max="12" width="13.88"/>
  </cols>
  <sheetData>
    <row r="1">
      <c r="A1" s="167"/>
      <c r="B1" s="168" t="s">
        <v>102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</row>
    <row r="2">
      <c r="A2" s="169" t="s">
        <v>172</v>
      </c>
      <c r="B2" s="170" t="s">
        <v>174</v>
      </c>
      <c r="C2" s="171" t="s">
        <v>693</v>
      </c>
      <c r="D2" s="608" t="s">
        <v>694</v>
      </c>
      <c r="E2" s="608" t="s">
        <v>695</v>
      </c>
      <c r="F2" s="608" t="s">
        <v>179</v>
      </c>
      <c r="G2" s="608" t="s">
        <v>696</v>
      </c>
      <c r="H2" s="173" t="s">
        <v>697</v>
      </c>
      <c r="I2" s="174" t="s">
        <v>84</v>
      </c>
      <c r="J2" s="170" t="s">
        <v>698</v>
      </c>
      <c r="K2" s="175" t="s">
        <v>699</v>
      </c>
      <c r="L2" s="173" t="s">
        <v>89</v>
      </c>
      <c r="M2" s="176" t="s">
        <v>700</v>
      </c>
      <c r="N2" s="177" t="s">
        <v>701</v>
      </c>
      <c r="O2" s="177" t="s">
        <v>702</v>
      </c>
      <c r="P2" s="178" t="s">
        <v>90</v>
      </c>
      <c r="Q2" s="325" t="s">
        <v>703</v>
      </c>
    </row>
    <row r="3">
      <c r="A3" s="609" t="s">
        <v>882</v>
      </c>
      <c r="B3" s="610">
        <f t="array" ref="B3">VLOOKUP($A3,OK_DEMO,2,FALSE)</f>
        <v>19495</v>
      </c>
      <c r="C3" s="948">
        <f>VLOOKUP($A3,'OK Data'!$A$3:$R$88,2,FALSE)</f>
        <v>41</v>
      </c>
      <c r="D3" s="612" t="s">
        <v>63</v>
      </c>
      <c r="E3" s="612" t="s">
        <v>63</v>
      </c>
      <c r="F3" s="612" t="s">
        <v>63</v>
      </c>
      <c r="G3" s="612">
        <f>VLOOKUP($A3,'OK Data'!$A$3:$R$95,9,FALSE)</f>
        <v>13</v>
      </c>
      <c r="H3" s="1164">
        <f>VLOOKUP($A3,'OK Data'!$A$3:$R$88,18,FALSE)</f>
        <v>19</v>
      </c>
      <c r="I3" s="614">
        <f>VLOOKUP($A3,'OK Data'!$A$3:$R$88,4,FALSE)</f>
        <v>3</v>
      </c>
      <c r="J3" s="615" t="s">
        <v>63</v>
      </c>
      <c r="K3" s="672" t="s">
        <v>63</v>
      </c>
      <c r="L3" s="224">
        <f>VLOOKUP($A3,'OK Data'!$A$3:$R$88,13,FALSE)</f>
        <v>5</v>
      </c>
      <c r="M3" s="673" t="s">
        <v>63</v>
      </c>
      <c r="N3" s="673" t="s">
        <v>63</v>
      </c>
      <c r="O3" s="673" t="s">
        <v>63</v>
      </c>
      <c r="P3" s="620">
        <f>ifna(vlookup(A3,'Population &amp; Church Numbers'!$A$2134:$D$2210,4,FALSE),"NULL")</f>
        <v>21</v>
      </c>
      <c r="Q3" s="674" t="s">
        <v>63</v>
      </c>
    </row>
    <row r="4">
      <c r="A4" s="609" t="s">
        <v>1705</v>
      </c>
      <c r="B4" s="610">
        <f t="array" ref="B4">VLOOKUP($A4,OK_DEMO,2,FALSE)</f>
        <v>5699</v>
      </c>
      <c r="C4" s="948">
        <f>VLOOKUP($A4,'OK Data'!$A$3:$R$88,2,FALSE)</f>
        <v>0</v>
      </c>
      <c r="D4" s="612" t="s">
        <v>63</v>
      </c>
      <c r="E4" s="612" t="s">
        <v>63</v>
      </c>
      <c r="F4" s="612" t="s">
        <v>63</v>
      </c>
      <c r="G4" s="612">
        <f>VLOOKUP($A4,'OK Data'!$A$3:$R$95,9,FALSE)</f>
        <v>0</v>
      </c>
      <c r="H4" s="1164">
        <f>VLOOKUP($A4,'OK Data'!$A$3:$R$88,18,FALSE)</f>
        <v>10</v>
      </c>
      <c r="I4" s="614">
        <f>VLOOKUP($A4,'OK Data'!$A$3:$R$88,4,FALSE)</f>
        <v>0</v>
      </c>
      <c r="J4" s="615" t="s">
        <v>63</v>
      </c>
      <c r="K4" s="672" t="s">
        <v>63</v>
      </c>
      <c r="L4" s="224">
        <f>VLOOKUP($A4,'OK Data'!$A$3:$R$88,13,FALSE)</f>
        <v>0</v>
      </c>
      <c r="M4" s="614" t="s">
        <v>63</v>
      </c>
      <c r="N4" s="614" t="s">
        <v>63</v>
      </c>
      <c r="O4" s="614" t="s">
        <v>63</v>
      </c>
      <c r="P4" s="620">
        <f>ifna(vlookup(A4,'Population &amp; Church Numbers'!$A$2134:$D$2210,4,FALSE),"NULL")</f>
        <v>19</v>
      </c>
      <c r="Q4" s="674" t="s">
        <v>63</v>
      </c>
    </row>
    <row r="5">
      <c r="A5" s="609" t="s">
        <v>1708</v>
      </c>
      <c r="B5" s="610">
        <f t="array" ref="B5">VLOOKUP($A5,OK_DEMO,2,FALSE)</f>
        <v>14143</v>
      </c>
      <c r="C5" s="948">
        <f>VLOOKUP($A5,'OK Data'!$A$3:$R$88,2,FALSE)</f>
        <v>42</v>
      </c>
      <c r="D5" s="612" t="s">
        <v>63</v>
      </c>
      <c r="E5" s="612" t="s">
        <v>63</v>
      </c>
      <c r="F5" s="612" t="s">
        <v>63</v>
      </c>
      <c r="G5" s="612">
        <f>VLOOKUP($A5,'OK Data'!$A$3:$R$95,9,FALSE)</f>
        <v>14</v>
      </c>
      <c r="H5" s="1164">
        <f>VLOOKUP($A5,'OK Data'!$A$3:$R$88,18,FALSE)</f>
        <v>12</v>
      </c>
      <c r="I5" s="614">
        <f>VLOOKUP($A5,'OK Data'!$A$3:$R$88,4,FALSE)</f>
        <v>3</v>
      </c>
      <c r="J5" s="615" t="s">
        <v>63</v>
      </c>
      <c r="K5" s="672" t="s">
        <v>63</v>
      </c>
      <c r="L5" s="224">
        <f>VLOOKUP($A5,'OK Data'!$A$3:$R$88,13,FALSE)</f>
        <v>1</v>
      </c>
      <c r="M5" s="614" t="s">
        <v>63</v>
      </c>
      <c r="N5" s="614" t="s">
        <v>63</v>
      </c>
      <c r="O5" s="614" t="s">
        <v>63</v>
      </c>
      <c r="P5" s="620">
        <f>ifna(vlookup(A5,'Population &amp; Church Numbers'!$A$2134:$D$2210,4,FALSE),"NULL")</f>
        <v>17</v>
      </c>
      <c r="Q5" s="674" t="s">
        <v>63</v>
      </c>
    </row>
    <row r="6">
      <c r="A6" s="609" t="s">
        <v>1710</v>
      </c>
      <c r="B6" s="610">
        <f t="array" ref="B6">VLOOKUP($A6,OK_DEMO,2,FALSE)</f>
        <v>5049</v>
      </c>
      <c r="C6" s="948">
        <f>VLOOKUP($A6,'OK Data'!$A$3:$R$88,2,FALSE)</f>
        <v>0</v>
      </c>
      <c r="D6" s="612" t="s">
        <v>63</v>
      </c>
      <c r="E6" s="612" t="s">
        <v>63</v>
      </c>
      <c r="F6" s="612" t="s">
        <v>63</v>
      </c>
      <c r="G6" s="612">
        <f>VLOOKUP($A6,'OK Data'!$A$3:$R$95,9,FALSE)</f>
        <v>0</v>
      </c>
      <c r="H6" s="1164">
        <f>VLOOKUP($A6,'OK Data'!$A$3:$R$88,18,FALSE)</f>
        <v>0</v>
      </c>
      <c r="I6" s="614">
        <f>VLOOKUP($A6,'OK Data'!$A$3:$R$88,4,FALSE)</f>
        <v>0</v>
      </c>
      <c r="J6" s="615" t="s">
        <v>63</v>
      </c>
      <c r="K6" s="672" t="s">
        <v>63</v>
      </c>
      <c r="L6" s="224">
        <f>VLOOKUP($A6,'OK Data'!$A$3:$R$88,13,FALSE)</f>
        <v>0</v>
      </c>
      <c r="M6" s="614" t="s">
        <v>63</v>
      </c>
      <c r="N6" s="614" t="s">
        <v>63</v>
      </c>
      <c r="O6" s="614" t="s">
        <v>63</v>
      </c>
      <c r="P6" s="620">
        <f>ifna(vlookup(A6,'Population &amp; Church Numbers'!$A$2134:$D$2210,4,FALSE),"NULL")</f>
        <v>16</v>
      </c>
      <c r="Q6" s="674" t="s">
        <v>63</v>
      </c>
    </row>
    <row r="7">
      <c r="A7" s="609" t="s">
        <v>1711</v>
      </c>
      <c r="B7" s="610">
        <f t="array" ref="B7">VLOOKUP($A7,OK_DEMO,2,FALSE)</f>
        <v>22410</v>
      </c>
      <c r="C7" s="948">
        <f>VLOOKUP($A7,'OK Data'!$A$3:$R$88,2,FALSE)</f>
        <v>100</v>
      </c>
      <c r="D7" s="612" t="s">
        <v>63</v>
      </c>
      <c r="E7" s="612" t="s">
        <v>63</v>
      </c>
      <c r="F7" s="612" t="s">
        <v>63</v>
      </c>
      <c r="G7" s="612">
        <f>VLOOKUP($A7,'OK Data'!$A$3:$R$95,9,FALSE)</f>
        <v>36</v>
      </c>
      <c r="H7" s="1164">
        <f>VLOOKUP($A7,'OK Data'!$A$3:$R$88,18,FALSE)</f>
        <v>40</v>
      </c>
      <c r="I7" s="614">
        <f>VLOOKUP($A7,'OK Data'!$A$3:$R$88,4,FALSE)</f>
        <v>2</v>
      </c>
      <c r="J7" s="615" t="s">
        <v>63</v>
      </c>
      <c r="K7" s="672" t="s">
        <v>63</v>
      </c>
      <c r="L7" s="224">
        <f>VLOOKUP($A7,'OK Data'!$A$3:$R$88,13,FALSE)</f>
        <v>0</v>
      </c>
      <c r="M7" s="614" t="s">
        <v>63</v>
      </c>
      <c r="N7" s="614" t="s">
        <v>63</v>
      </c>
      <c r="O7" s="614" t="s">
        <v>63</v>
      </c>
      <c r="P7" s="620">
        <f>ifna(vlookup(A7,'Population &amp; Church Numbers'!$A$2134:$D$2210,4,FALSE),"NULL")</f>
        <v>37</v>
      </c>
      <c r="Q7" s="674" t="s">
        <v>63</v>
      </c>
    </row>
    <row r="8">
      <c r="A8" s="609" t="s">
        <v>666</v>
      </c>
      <c r="B8" s="610">
        <f t="array" ref="B8">VLOOKUP($A8,OK_DEMO,2,FALSE)</f>
        <v>8735</v>
      </c>
      <c r="C8" s="948">
        <f>VLOOKUP($A8,'OK Data'!$A$3:$R$88,2,FALSE)</f>
        <v>51</v>
      </c>
      <c r="D8" s="612" t="s">
        <v>63</v>
      </c>
      <c r="E8" s="612" t="s">
        <v>63</v>
      </c>
      <c r="F8" s="612" t="s">
        <v>63</v>
      </c>
      <c r="G8" s="612">
        <f>VLOOKUP($A8,'OK Data'!$A$3:$R$95,9,FALSE)</f>
        <v>9</v>
      </c>
      <c r="H8" s="1164">
        <f>VLOOKUP($A8,'OK Data'!$A$3:$R$88,18,FALSE)</f>
        <v>8</v>
      </c>
      <c r="I8" s="614">
        <f>VLOOKUP($A8,'OK Data'!$A$3:$R$88,4,FALSE)</f>
        <v>1</v>
      </c>
      <c r="J8" s="615" t="s">
        <v>63</v>
      </c>
      <c r="K8" s="672" t="s">
        <v>63</v>
      </c>
      <c r="L8" s="224">
        <f>VLOOKUP($A8,'OK Data'!$A$3:$R$88,13,FALSE)</f>
        <v>0</v>
      </c>
      <c r="M8" s="614" t="s">
        <v>63</v>
      </c>
      <c r="N8" s="614" t="s">
        <v>63</v>
      </c>
      <c r="O8" s="614" t="s">
        <v>63</v>
      </c>
      <c r="P8" s="620">
        <f>ifna(vlookup(A8,'Population &amp; Church Numbers'!$A$2134:$D$2210,4,FALSE),"NULL")</f>
        <v>34</v>
      </c>
      <c r="Q8" s="674" t="s">
        <v>63</v>
      </c>
    </row>
    <row r="9">
      <c r="A9" s="609" t="s">
        <v>544</v>
      </c>
      <c r="B9" s="610">
        <f t="array" ref="B9">VLOOKUP($A9,OK_DEMO,2,FALSE)</f>
        <v>46067</v>
      </c>
      <c r="C9" s="948">
        <f>VLOOKUP($A9,'OK Data'!$A$3:$R$88,2,FALSE)</f>
        <v>87</v>
      </c>
      <c r="D9" s="612" t="s">
        <v>63</v>
      </c>
      <c r="E9" s="612" t="s">
        <v>63</v>
      </c>
      <c r="F9" s="612" t="s">
        <v>63</v>
      </c>
      <c r="G9" s="612">
        <f>VLOOKUP($A9,'OK Data'!$A$3:$R$95,9,FALSE)</f>
        <v>30</v>
      </c>
      <c r="H9" s="1164">
        <f>VLOOKUP($A9,'OK Data'!$A$3:$R$88,18,FALSE)</f>
        <v>37</v>
      </c>
      <c r="I9" s="614">
        <f>VLOOKUP($A9,'OK Data'!$A$3:$R$88,4,FALSE)</f>
        <v>2</v>
      </c>
      <c r="J9" s="615" t="s">
        <v>63</v>
      </c>
      <c r="K9" s="672" t="s">
        <v>63</v>
      </c>
      <c r="L9" s="224">
        <f>VLOOKUP($A9,'OK Data'!$A$3:$R$88,13,FALSE)</f>
        <v>1</v>
      </c>
      <c r="M9" s="614" t="s">
        <v>63</v>
      </c>
      <c r="N9" s="614" t="s">
        <v>63</v>
      </c>
      <c r="O9" s="614" t="s">
        <v>63</v>
      </c>
      <c r="P9" s="620">
        <f>ifna(vlookup(A9,'Population &amp; Church Numbers'!$A$2134:$D$2210,4,FALSE),"NULL")</f>
        <v>51</v>
      </c>
      <c r="Q9" s="674" t="s">
        <v>63</v>
      </c>
    </row>
    <row r="10">
      <c r="A10" s="609" t="s">
        <v>1147</v>
      </c>
      <c r="B10" s="610">
        <f t="array" ref="B10">VLOOKUP($A10,OK_DEMO,2,FALSE)</f>
        <v>26945</v>
      </c>
      <c r="C10" s="948">
        <f>VLOOKUP($A10,'OK Data'!$A$3:$R$88,2,FALSE)</f>
        <v>43</v>
      </c>
      <c r="D10" s="612" t="s">
        <v>63</v>
      </c>
      <c r="E10" s="612" t="s">
        <v>63</v>
      </c>
      <c r="F10" s="612" t="s">
        <v>63</v>
      </c>
      <c r="G10" s="612">
        <f>VLOOKUP($A10,'OK Data'!$A$3:$R$95,9,FALSE)</f>
        <v>9</v>
      </c>
      <c r="H10" s="1164">
        <f>VLOOKUP($A10,'OK Data'!$A$3:$R$88,18,FALSE)</f>
        <v>19</v>
      </c>
      <c r="I10" s="614">
        <f>VLOOKUP($A10,'OK Data'!$A$3:$R$88,4,FALSE)</f>
        <v>8</v>
      </c>
      <c r="J10" s="615" t="s">
        <v>63</v>
      </c>
      <c r="K10" s="672" t="s">
        <v>63</v>
      </c>
      <c r="L10" s="224">
        <f>VLOOKUP($A10,'OK Data'!$A$3:$R$88,13,FALSE)</f>
        <v>2</v>
      </c>
      <c r="M10" s="614" t="s">
        <v>63</v>
      </c>
      <c r="N10" s="614" t="s">
        <v>63</v>
      </c>
      <c r="O10" s="614" t="s">
        <v>63</v>
      </c>
      <c r="P10" s="620">
        <f>ifna(vlookup(A10,'Population &amp; Church Numbers'!$A$2134:$D$2210,4,FALSE),"NULL")</f>
        <v>58</v>
      </c>
      <c r="Q10" s="674" t="s">
        <v>63</v>
      </c>
    </row>
    <row r="11">
      <c r="A11" s="609" t="s">
        <v>1716</v>
      </c>
      <c r="B11" s="610">
        <f t="array" ref="B11">VLOOKUP($A11,OK_DEMO,2,FALSE)</f>
        <v>154405</v>
      </c>
      <c r="C11" s="948">
        <f>VLOOKUP($A11,'OK Data'!$A$3:$R$88,2,FALSE)</f>
        <v>180</v>
      </c>
      <c r="D11" s="612" t="s">
        <v>63</v>
      </c>
      <c r="E11" s="612" t="s">
        <v>63</v>
      </c>
      <c r="F11" s="612" t="s">
        <v>63</v>
      </c>
      <c r="G11" s="612">
        <f>VLOOKUP($A11,'OK Data'!$A$3:$R$95,9,FALSE)</f>
        <v>32</v>
      </c>
      <c r="H11" s="1164">
        <f>VLOOKUP($A11,'OK Data'!$A$3:$R$88,18,FALSE)</f>
        <v>188</v>
      </c>
      <c r="I11" s="614">
        <f>VLOOKUP($A11,'OK Data'!$A$3:$R$88,4,FALSE)</f>
        <v>7</v>
      </c>
      <c r="J11" s="615" t="s">
        <v>63</v>
      </c>
      <c r="K11" s="672" t="s">
        <v>63</v>
      </c>
      <c r="L11" s="224">
        <f>VLOOKUP($A11,'OK Data'!$A$3:$R$88,13,FALSE)</f>
        <v>19</v>
      </c>
      <c r="M11" s="614" t="s">
        <v>63</v>
      </c>
      <c r="N11" s="614" t="s">
        <v>63</v>
      </c>
      <c r="O11" s="614" t="s">
        <v>63</v>
      </c>
      <c r="P11" s="620">
        <f>ifna(vlookup(A11,'Population &amp; Church Numbers'!$A$2134:$D$2210,4,FALSE),"NULL")</f>
        <v>100</v>
      </c>
      <c r="Q11" s="674" t="s">
        <v>63</v>
      </c>
    </row>
    <row r="12">
      <c r="A12" s="609" t="s">
        <v>1038</v>
      </c>
      <c r="B12" s="610">
        <f t="array" ref="B12">VLOOKUP($A12,OK_DEMO,2,FALSE)</f>
        <v>48003</v>
      </c>
      <c r="C12" s="948">
        <f>VLOOKUP($A12,'OK Data'!$A$3:$R$88,2,FALSE)</f>
        <v>171</v>
      </c>
      <c r="D12" s="612" t="s">
        <v>63</v>
      </c>
      <c r="E12" s="612" t="s">
        <v>63</v>
      </c>
      <c r="F12" s="612" t="s">
        <v>63</v>
      </c>
      <c r="G12" s="612">
        <f>VLOOKUP($A12,'OK Data'!$A$3:$R$95,9,FALSE)</f>
        <v>49</v>
      </c>
      <c r="H12" s="1164">
        <f>VLOOKUP($A12,'OK Data'!$A$3:$R$88,18,FALSE)</f>
        <v>56</v>
      </c>
      <c r="I12" s="614">
        <f>VLOOKUP($A12,'OK Data'!$A$3:$R$88,4,FALSE)</f>
        <v>20</v>
      </c>
      <c r="J12" s="615" t="s">
        <v>63</v>
      </c>
      <c r="K12" s="672" t="s">
        <v>63</v>
      </c>
      <c r="L12" s="224">
        <f>VLOOKUP($A12,'OK Data'!$A$3:$R$88,13,FALSE)</f>
        <v>10</v>
      </c>
      <c r="M12" s="614" t="s">
        <v>63</v>
      </c>
      <c r="N12" s="614" t="s">
        <v>63</v>
      </c>
      <c r="O12" s="614" t="s">
        <v>63</v>
      </c>
      <c r="P12" s="620">
        <f>ifna(vlookup(A12,'Population &amp; Church Numbers'!$A$2134:$D$2210,4,FALSE),"NULL")</f>
        <v>78</v>
      </c>
      <c r="Q12" s="674" t="s">
        <v>63</v>
      </c>
    </row>
    <row r="13">
      <c r="A13" s="609" t="s">
        <v>101</v>
      </c>
      <c r="B13" s="610">
        <f t="array" ref="B13">VLOOKUP($A13,OK_DEMO,2,FALSE)</f>
        <v>47078</v>
      </c>
      <c r="C13" s="948">
        <f>VLOOKUP($A13,'OK Data'!$A$3:$R$88,2,FALSE)</f>
        <v>66</v>
      </c>
      <c r="D13" s="612" t="s">
        <v>63</v>
      </c>
      <c r="E13" s="612" t="s">
        <v>63</v>
      </c>
      <c r="F13" s="612" t="s">
        <v>63</v>
      </c>
      <c r="G13" s="612">
        <f>VLOOKUP($A13,'OK Data'!$A$3:$R$95,9,FALSE)</f>
        <v>22</v>
      </c>
      <c r="H13" s="1164">
        <f>VLOOKUP($A13,'OK Data'!$A$3:$R$88,18,FALSE)</f>
        <v>34</v>
      </c>
      <c r="I13" s="614">
        <f>VLOOKUP($A13,'OK Data'!$A$3:$R$88,4,FALSE)</f>
        <v>3</v>
      </c>
      <c r="J13" s="615" t="s">
        <v>63</v>
      </c>
      <c r="K13" s="672" t="s">
        <v>63</v>
      </c>
      <c r="L13" s="224">
        <f>VLOOKUP($A13,'OK Data'!$A$3:$R$88,13,FALSE)</f>
        <v>0</v>
      </c>
      <c r="M13" s="614" t="s">
        <v>63</v>
      </c>
      <c r="N13" s="614" t="s">
        <v>63</v>
      </c>
      <c r="O13" s="614" t="s">
        <v>63</v>
      </c>
      <c r="P13" s="620">
        <f>ifna(vlookup(A13,'Population &amp; Church Numbers'!$A$2134:$D$2210,4,FALSE),"NULL")</f>
        <v>32</v>
      </c>
      <c r="Q13" s="674" t="s">
        <v>63</v>
      </c>
    </row>
    <row r="14">
      <c r="A14" s="609" t="s">
        <v>107</v>
      </c>
      <c r="B14" s="610">
        <f t="array" ref="B14">VLOOKUP($A14,OK_DEMO,2,FALSE)</f>
        <v>14204</v>
      </c>
      <c r="C14" s="948">
        <f>VLOOKUP($A14,'OK Data'!$A$3:$R$88,2,FALSE)</f>
        <v>34</v>
      </c>
      <c r="D14" s="612" t="s">
        <v>63</v>
      </c>
      <c r="E14" s="612" t="s">
        <v>63</v>
      </c>
      <c r="F14" s="612" t="s">
        <v>63</v>
      </c>
      <c r="G14" s="612">
        <f>VLOOKUP($A14,'OK Data'!$A$3:$R$95,9,FALSE)</f>
        <v>9</v>
      </c>
      <c r="H14" s="1164">
        <f>VLOOKUP($A14,'OK Data'!$A$3:$R$88,18,FALSE)</f>
        <v>7</v>
      </c>
      <c r="I14" s="614">
        <f>VLOOKUP($A14,'OK Data'!$A$3:$R$88,4,FALSE)</f>
        <v>1</v>
      </c>
      <c r="J14" s="615" t="s">
        <v>63</v>
      </c>
      <c r="K14" s="672" t="s">
        <v>63</v>
      </c>
      <c r="L14" s="224">
        <f>VLOOKUP($A14,'OK Data'!$A$3:$R$88,13,FALSE)</f>
        <v>3</v>
      </c>
      <c r="M14" s="614" t="s">
        <v>63</v>
      </c>
      <c r="N14" s="614" t="s">
        <v>63</v>
      </c>
      <c r="O14" s="614" t="s">
        <v>63</v>
      </c>
      <c r="P14" s="620">
        <f>ifna(vlookup(A14,'Population &amp; Church Numbers'!$A$2134:$D$2210,4,FALSE),"NULL")</f>
        <v>17</v>
      </c>
      <c r="Q14" s="674" t="s">
        <v>63</v>
      </c>
    </row>
    <row r="15">
      <c r="A15" s="609" t="s">
        <v>1717</v>
      </c>
      <c r="B15" s="610">
        <f t="array" ref="B15">VLOOKUP($A15,OK_DEMO,2,FALSE)</f>
        <v>2296</v>
      </c>
      <c r="C15" s="948">
        <f>VLOOKUP($A15,'OK Data'!$A$3:$R$88,2,FALSE)</f>
        <v>0</v>
      </c>
      <c r="D15" s="612" t="s">
        <v>63</v>
      </c>
      <c r="E15" s="612" t="s">
        <v>63</v>
      </c>
      <c r="F15" s="612" t="s">
        <v>63</v>
      </c>
      <c r="G15" s="612">
        <f>VLOOKUP($A15,'OK Data'!$A$3:$R$95,9,FALSE)</f>
        <v>0</v>
      </c>
      <c r="H15" s="1164">
        <f>VLOOKUP($A15,'OK Data'!$A$3:$R$88,18,FALSE)</f>
        <v>0</v>
      </c>
      <c r="I15" s="614">
        <f>VLOOKUP($A15,'OK Data'!$A$3:$R$88,4,FALSE)</f>
        <v>0</v>
      </c>
      <c r="J15" s="615" t="s">
        <v>63</v>
      </c>
      <c r="K15" s="672" t="s">
        <v>63</v>
      </c>
      <c r="L15" s="224">
        <f>VLOOKUP($A15,'OK Data'!$A$3:$R$88,13,FALSE)</f>
        <v>0</v>
      </c>
      <c r="M15" s="614" t="s">
        <v>63</v>
      </c>
      <c r="N15" s="614" t="s">
        <v>63</v>
      </c>
      <c r="O15" s="614" t="s">
        <v>63</v>
      </c>
      <c r="P15" s="620">
        <f>ifna(vlookup(A15,'Population &amp; Church Numbers'!$A$2134:$D$2210,4,FALSE),"NULL")</f>
        <v>10</v>
      </c>
      <c r="Q15" s="674" t="s">
        <v>63</v>
      </c>
    </row>
    <row r="16">
      <c r="A16" s="609" t="s">
        <v>257</v>
      </c>
      <c r="B16" s="610">
        <f t="array" ref="B16">VLOOKUP($A16,OK_DEMO,2,FALSE)</f>
        <v>295528</v>
      </c>
      <c r="C16" s="948">
        <f>VLOOKUP($A16,'OK Data'!$A$3:$R$88,2,FALSE)</f>
        <v>334</v>
      </c>
      <c r="D16" s="612" t="s">
        <v>63</v>
      </c>
      <c r="E16" s="612" t="s">
        <v>63</v>
      </c>
      <c r="F16" s="612" t="s">
        <v>63</v>
      </c>
      <c r="G16" s="612">
        <f>VLOOKUP($A16,'OK Data'!$A$3:$R$95,9,FALSE)</f>
        <v>80</v>
      </c>
      <c r="H16" s="1164">
        <f>VLOOKUP($A16,'OK Data'!$A$3:$R$88,18,FALSE)</f>
        <v>194</v>
      </c>
      <c r="I16" s="614">
        <f>VLOOKUP($A16,'OK Data'!$A$3:$R$88,4,FALSE)</f>
        <v>40</v>
      </c>
      <c r="J16" s="615" t="s">
        <v>63</v>
      </c>
      <c r="K16" s="672" t="s">
        <v>63</v>
      </c>
      <c r="L16" s="224">
        <f>VLOOKUP($A16,'OK Data'!$A$3:$R$88,13,FALSE)</f>
        <v>22</v>
      </c>
      <c r="M16" s="614" t="s">
        <v>63</v>
      </c>
      <c r="N16" s="614" t="s">
        <v>63</v>
      </c>
      <c r="O16" s="614" t="s">
        <v>63</v>
      </c>
      <c r="P16" s="620">
        <f>ifna(vlookup(A16,'Population &amp; Church Numbers'!$A$2134:$D$2210,4,FALSE),"NULL")</f>
        <v>180</v>
      </c>
      <c r="Q16" s="674" t="s">
        <v>63</v>
      </c>
    </row>
    <row r="17">
      <c r="A17" s="609" t="s">
        <v>1718</v>
      </c>
      <c r="B17" s="610">
        <f t="array" ref="B17">VLOOKUP($A17,OK_DEMO,2,FALSE)</f>
        <v>5266</v>
      </c>
      <c r="C17" s="948">
        <f>VLOOKUP($A17,'OK Data'!$A$3:$R$88,2,FALSE)</f>
        <v>13</v>
      </c>
      <c r="D17" s="612" t="s">
        <v>63</v>
      </c>
      <c r="E17" s="612" t="s">
        <v>63</v>
      </c>
      <c r="F17" s="612" t="s">
        <v>63</v>
      </c>
      <c r="G17" s="612">
        <f>VLOOKUP($A17,'OK Data'!$A$3:$R$95,9,FALSE)</f>
        <v>1</v>
      </c>
      <c r="H17" s="1164">
        <f>VLOOKUP($A17,'OK Data'!$A$3:$R$88,18,FALSE)</f>
        <v>8</v>
      </c>
      <c r="I17" s="614">
        <f>VLOOKUP($A17,'OK Data'!$A$3:$R$88,4,FALSE)</f>
        <v>3</v>
      </c>
      <c r="J17" s="615" t="s">
        <v>63</v>
      </c>
      <c r="K17" s="672" t="s">
        <v>63</v>
      </c>
      <c r="L17" s="224">
        <f>VLOOKUP($A17,'OK Data'!$A$3:$R$88,13,FALSE)</f>
        <v>1</v>
      </c>
      <c r="M17" s="614" t="s">
        <v>63</v>
      </c>
      <c r="N17" s="614" t="s">
        <v>63</v>
      </c>
      <c r="O17" s="614" t="s">
        <v>63</v>
      </c>
      <c r="P17" s="620">
        <f>ifna(vlookup(A17,'Population &amp; Church Numbers'!$A$2134:$D$2210,4,FALSE),"NULL")</f>
        <v>10</v>
      </c>
      <c r="Q17" s="674" t="s">
        <v>63</v>
      </c>
    </row>
    <row r="18">
      <c r="A18" s="609" t="s">
        <v>964</v>
      </c>
      <c r="B18" s="610">
        <f t="array" ref="B18">VLOOKUP($A18,OK_DEMO,2,FALSE)</f>
        <v>121125</v>
      </c>
      <c r="C18" s="948">
        <f>VLOOKUP($A18,'OK Data'!$A$3:$R$88,2,FALSE)</f>
        <v>267</v>
      </c>
      <c r="D18" s="612" t="s">
        <v>63</v>
      </c>
      <c r="E18" s="612" t="s">
        <v>63</v>
      </c>
      <c r="F18" s="612" t="s">
        <v>63</v>
      </c>
      <c r="G18" s="612">
        <f>VLOOKUP($A18,'OK Data'!$A$3:$R$95,9,FALSE)</f>
        <v>66</v>
      </c>
      <c r="H18" s="1164">
        <f>VLOOKUP($A18,'OK Data'!$A$3:$R$88,18,FALSE)</f>
        <v>113</v>
      </c>
      <c r="I18" s="614">
        <f>VLOOKUP($A18,'OK Data'!$A$3:$R$88,4,FALSE)</f>
        <v>17</v>
      </c>
      <c r="J18" s="615" t="s">
        <v>63</v>
      </c>
      <c r="K18" s="672" t="s">
        <v>63</v>
      </c>
      <c r="L18" s="224">
        <f>VLOOKUP($A18,'OK Data'!$A$3:$R$88,13,FALSE)</f>
        <v>3</v>
      </c>
      <c r="M18" s="614" t="s">
        <v>63</v>
      </c>
      <c r="N18" s="614" t="s">
        <v>63</v>
      </c>
      <c r="O18" s="614" t="s">
        <v>63</v>
      </c>
      <c r="P18" s="620">
        <f>ifna(vlookup(A18,'Population &amp; Church Numbers'!$A$2134:$D$2210,4,FALSE),"NULL")</f>
        <v>125</v>
      </c>
      <c r="Q18" s="674" t="s">
        <v>63</v>
      </c>
    </row>
    <row r="19">
      <c r="A19" s="609" t="s">
        <v>1720</v>
      </c>
      <c r="B19" s="610">
        <f t="array" ref="B19">VLOOKUP($A19,OK_DEMO,2,FALSE)</f>
        <v>5527</v>
      </c>
      <c r="C19" s="948">
        <f>VLOOKUP($A19,'OK Data'!$A$3:$R$88,2,FALSE)</f>
        <v>0</v>
      </c>
      <c r="D19" s="612" t="s">
        <v>63</v>
      </c>
      <c r="E19" s="612" t="s">
        <v>63</v>
      </c>
      <c r="F19" s="612" t="s">
        <v>63</v>
      </c>
      <c r="G19" s="612">
        <f>VLOOKUP($A19,'OK Data'!$A$3:$R$95,9,FALSE)</f>
        <v>0</v>
      </c>
      <c r="H19" s="1164">
        <f>VLOOKUP($A19,'OK Data'!$A$3:$R$88,18,FALSE)</f>
        <v>3</v>
      </c>
      <c r="I19" s="614">
        <f>VLOOKUP($A19,'OK Data'!$A$3:$R$88,4,FALSE)</f>
        <v>0</v>
      </c>
      <c r="J19" s="615" t="s">
        <v>63</v>
      </c>
      <c r="K19" s="672" t="s">
        <v>63</v>
      </c>
      <c r="L19" s="224">
        <f>VLOOKUP($A19,'OK Data'!$A$3:$R$88,13,FALSE)</f>
        <v>1</v>
      </c>
      <c r="M19" s="614" t="s">
        <v>63</v>
      </c>
      <c r="N19" s="614" t="s">
        <v>63</v>
      </c>
      <c r="O19" s="614" t="s">
        <v>63</v>
      </c>
      <c r="P19" s="620">
        <f>ifna(vlookup(A19,'Population &amp; Church Numbers'!$A$2134:$D$2210,4,FALSE),"NULL")</f>
        <v>12</v>
      </c>
      <c r="Q19" s="674" t="s">
        <v>63</v>
      </c>
    </row>
    <row r="20">
      <c r="A20" s="609" t="s">
        <v>1721</v>
      </c>
      <c r="B20" s="610">
        <f t="array" ref="B20">VLOOKUP($A20,OK_DEMO,2,FALSE)</f>
        <v>14107</v>
      </c>
      <c r="C20" s="948">
        <f>VLOOKUP($A20,'OK Data'!$A$3:$R$88,2,FALSE)</f>
        <v>102</v>
      </c>
      <c r="D20" s="612" t="s">
        <v>63</v>
      </c>
      <c r="E20" s="612" t="s">
        <v>63</v>
      </c>
      <c r="F20" s="612" t="s">
        <v>63</v>
      </c>
      <c r="G20" s="612">
        <f>VLOOKUP($A20,'OK Data'!$A$3:$R$95,9,FALSE)</f>
        <v>19</v>
      </c>
      <c r="H20" s="1164">
        <f>VLOOKUP($A20,'OK Data'!$A$3:$R$88,18,FALSE)</f>
        <v>80</v>
      </c>
      <c r="I20" s="614">
        <f>VLOOKUP($A20,'OK Data'!$A$3:$R$88,4,FALSE)</f>
        <v>4</v>
      </c>
      <c r="J20" s="615" t="s">
        <v>63</v>
      </c>
      <c r="K20" s="672" t="s">
        <v>63</v>
      </c>
      <c r="L20" s="224">
        <f>VLOOKUP($A20,'OK Data'!$A$3:$R$88,13,FALSE)</f>
        <v>4</v>
      </c>
      <c r="M20" s="614" t="s">
        <v>63</v>
      </c>
      <c r="N20" s="614" t="s">
        <v>63</v>
      </c>
      <c r="O20" s="614" t="s">
        <v>63</v>
      </c>
      <c r="P20" s="620">
        <f>ifna(vlookup(A20,'Population &amp; Church Numbers'!$A$2134:$D$2210,4,FALSE),"NULL")</f>
        <v>29</v>
      </c>
      <c r="Q20" s="674" t="s">
        <v>63</v>
      </c>
    </row>
    <row r="21">
      <c r="A21" s="609" t="s">
        <v>1722</v>
      </c>
      <c r="B21" s="610">
        <f t="array" ref="B21">VLOOKUP($A21,OK_DEMO,2,FALSE)</f>
        <v>71754</v>
      </c>
      <c r="C21" s="948">
        <f>VLOOKUP($A21,'OK Data'!$A$3:$R$88,2,FALSE)</f>
        <v>38</v>
      </c>
      <c r="D21" s="612" t="s">
        <v>63</v>
      </c>
      <c r="E21" s="612" t="s">
        <v>63</v>
      </c>
      <c r="F21" s="612" t="s">
        <v>63</v>
      </c>
      <c r="G21" s="612">
        <f>VLOOKUP($A21,'OK Data'!$A$3:$R$95,9,FALSE)</f>
        <v>12</v>
      </c>
      <c r="H21" s="1164">
        <f>VLOOKUP($A21,'OK Data'!$A$3:$R$88,18,FALSE)</f>
        <v>16</v>
      </c>
      <c r="I21" s="614">
        <f>VLOOKUP($A21,'OK Data'!$A$3:$R$88,4,FALSE)</f>
        <v>2</v>
      </c>
      <c r="J21" s="615" t="s">
        <v>63</v>
      </c>
      <c r="K21" s="672" t="s">
        <v>63</v>
      </c>
      <c r="L21" s="224">
        <f>VLOOKUP($A21,'OK Data'!$A$3:$R$88,13,FALSE)</f>
        <v>1</v>
      </c>
      <c r="M21" s="614" t="s">
        <v>63</v>
      </c>
      <c r="N21" s="614" t="s">
        <v>63</v>
      </c>
      <c r="O21" s="614" t="s">
        <v>63</v>
      </c>
      <c r="P21" s="620">
        <f>ifna(vlookup(A21,'Population &amp; Church Numbers'!$A$2134:$D$2210,4,FALSE),"NULL")</f>
        <v>96</v>
      </c>
      <c r="Q21" s="674" t="s">
        <v>63</v>
      </c>
    </row>
    <row r="22">
      <c r="A22" s="609" t="s">
        <v>406</v>
      </c>
      <c r="B22" s="610">
        <f t="array" ref="B22">VLOOKUP($A22,OK_DEMO,2,FALSE)</f>
        <v>28513</v>
      </c>
      <c r="C22" s="948">
        <f>VLOOKUP($A22,'OK Data'!$A$3:$R$88,2,FALSE)</f>
        <v>80</v>
      </c>
      <c r="D22" s="612" t="s">
        <v>63</v>
      </c>
      <c r="E22" s="612" t="s">
        <v>63</v>
      </c>
      <c r="F22" s="612" t="s">
        <v>63</v>
      </c>
      <c r="G22" s="612">
        <f>VLOOKUP($A22,'OK Data'!$A$3:$R$95,9,FALSE)</f>
        <v>25</v>
      </c>
      <c r="H22" s="1164">
        <f>VLOOKUP($A22,'OK Data'!$A$3:$R$88,18,FALSE)</f>
        <v>32</v>
      </c>
      <c r="I22" s="614">
        <f>VLOOKUP($A22,'OK Data'!$A$3:$R$88,4,FALSE)</f>
        <v>8</v>
      </c>
      <c r="J22" s="615" t="s">
        <v>63</v>
      </c>
      <c r="K22" s="672" t="s">
        <v>63</v>
      </c>
      <c r="L22" s="224">
        <f>VLOOKUP($A22,'OK Data'!$A$3:$R$88,13,FALSE)</f>
        <v>3</v>
      </c>
      <c r="M22" s="614" t="s">
        <v>63</v>
      </c>
      <c r="N22" s="614" t="s">
        <v>63</v>
      </c>
      <c r="O22" s="614" t="s">
        <v>63</v>
      </c>
      <c r="P22" s="620">
        <f>ifna(vlookup(A22,'Population &amp; Church Numbers'!$A$2134:$D$2210,4,FALSE),"NULL")</f>
        <v>44</v>
      </c>
      <c r="Q22" s="674" t="s">
        <v>63</v>
      </c>
    </row>
    <row r="23">
      <c r="A23" s="609" t="s">
        <v>40</v>
      </c>
      <c r="B23" s="610">
        <f t="array" ref="B23">VLOOKUP($A23,OK_DEMO,2,FALSE)</f>
        <v>40397</v>
      </c>
      <c r="C23" s="948">
        <f>VLOOKUP($A23,'OK Data'!$A$3:$R$88,2,FALSE)</f>
        <v>31</v>
      </c>
      <c r="D23" s="612" t="s">
        <v>63</v>
      </c>
      <c r="E23" s="612" t="s">
        <v>63</v>
      </c>
      <c r="F23" s="612" t="s">
        <v>63</v>
      </c>
      <c r="G23" s="612">
        <f>VLOOKUP($A23,'OK Data'!$A$3:$R$95,9,FALSE)</f>
        <v>7</v>
      </c>
      <c r="H23" s="1164">
        <f>VLOOKUP($A23,'OK Data'!$A$3:$R$88,18,FALSE)</f>
        <v>24</v>
      </c>
      <c r="I23" s="614">
        <f>VLOOKUP($A23,'OK Data'!$A$3:$R$88,4,FALSE)</f>
        <v>3</v>
      </c>
      <c r="J23" s="615" t="s">
        <v>63</v>
      </c>
      <c r="K23" s="672" t="s">
        <v>63</v>
      </c>
      <c r="L23" s="224">
        <f>VLOOKUP($A23,'OK Data'!$A$3:$R$88,13,FALSE)</f>
        <v>2</v>
      </c>
      <c r="M23" s="614" t="s">
        <v>63</v>
      </c>
      <c r="N23" s="614" t="s">
        <v>63</v>
      </c>
      <c r="O23" s="614" t="s">
        <v>63</v>
      </c>
      <c r="P23" s="620">
        <f>ifna(vlookup(A23,'Population &amp; Church Numbers'!$A$2134:$D$2210,4,FALSE),"NULL")</f>
        <v>54</v>
      </c>
      <c r="Q23" s="674" t="s">
        <v>63</v>
      </c>
    </row>
    <row r="24">
      <c r="A24" s="609" t="s">
        <v>1723</v>
      </c>
      <c r="B24" s="610">
        <f t="array" ref="B24">VLOOKUP($A24,OK_DEMO,2,FALSE)</f>
        <v>4484</v>
      </c>
      <c r="C24" s="948">
        <f>VLOOKUP($A24,'OK Data'!$A$3:$R$88,2,FALSE)</f>
        <v>0</v>
      </c>
      <c r="D24" s="612" t="s">
        <v>63</v>
      </c>
      <c r="E24" s="612" t="s">
        <v>63</v>
      </c>
      <c r="F24" s="612" t="s">
        <v>63</v>
      </c>
      <c r="G24" s="612">
        <f>VLOOKUP($A24,'OK Data'!$A$3:$R$95,9,FALSE)</f>
        <v>0</v>
      </c>
      <c r="H24" s="1164">
        <f>VLOOKUP($A24,'OK Data'!$A$3:$R$88,18,FALSE)</f>
        <v>7</v>
      </c>
      <c r="I24" s="614">
        <f>VLOOKUP($A24,'OK Data'!$A$3:$R$88,4,FALSE)</f>
        <v>0</v>
      </c>
      <c r="J24" s="615" t="s">
        <v>63</v>
      </c>
      <c r="K24" s="672" t="s">
        <v>63</v>
      </c>
      <c r="L24" s="224">
        <f>VLOOKUP($A24,'OK Data'!$A$3:$R$88,13,FALSE)</f>
        <v>0</v>
      </c>
      <c r="M24" s="614" t="s">
        <v>63</v>
      </c>
      <c r="N24" s="614" t="s">
        <v>63</v>
      </c>
      <c r="O24" s="614" t="s">
        <v>63</v>
      </c>
      <c r="P24" s="620">
        <f>ifna(vlookup(A24,'Population &amp; Church Numbers'!$A$2134:$D$2210,4,FALSE),"NULL")</f>
        <v>19</v>
      </c>
      <c r="Q24" s="674" t="s">
        <v>63</v>
      </c>
    </row>
    <row r="25">
      <c r="A25" s="609" t="s">
        <v>969</v>
      </c>
      <c r="B25" s="610">
        <f t="array" ref="B25">VLOOKUP($A25,OK_DEMO,2,FALSE)</f>
        <v>3749</v>
      </c>
      <c r="C25" s="948">
        <f>VLOOKUP($A25,'OK Data'!$A$3:$R$88,2,FALSE)</f>
        <v>0</v>
      </c>
      <c r="D25" s="612" t="s">
        <v>63</v>
      </c>
      <c r="E25" s="612" t="s">
        <v>63</v>
      </c>
      <c r="F25" s="612" t="s">
        <v>63</v>
      </c>
      <c r="G25" s="612">
        <f>VLOOKUP($A25,'OK Data'!$A$3:$R$95,9,FALSE)</f>
        <v>0</v>
      </c>
      <c r="H25" s="1164">
        <f>VLOOKUP($A25,'OK Data'!$A$3:$R$88,18,FALSE)</f>
        <v>1</v>
      </c>
      <c r="I25" s="614">
        <f>VLOOKUP($A25,'OK Data'!$A$3:$R$88,4,FALSE)</f>
        <v>0</v>
      </c>
      <c r="J25" s="615" t="s">
        <v>63</v>
      </c>
      <c r="K25" s="672" t="s">
        <v>63</v>
      </c>
      <c r="L25" s="224">
        <f>VLOOKUP($A25,'OK Data'!$A$3:$R$88,13,FALSE)</f>
        <v>0</v>
      </c>
      <c r="M25" s="614" t="s">
        <v>63</v>
      </c>
      <c r="N25" s="614" t="s">
        <v>63</v>
      </c>
      <c r="O25" s="614" t="s">
        <v>63</v>
      </c>
      <c r="P25" s="620">
        <f>ifna(vlookup(A25,'Population &amp; Church Numbers'!$A$2134:$D$2210,4,FALSE),"NULL")</f>
        <v>13</v>
      </c>
      <c r="Q25" s="674" t="s">
        <v>63</v>
      </c>
    </row>
    <row r="26">
      <c r="A26" s="609" t="s">
        <v>417</v>
      </c>
      <c r="B26" s="610">
        <f t="array" ref="B26">VLOOKUP($A26,OK_DEMO,2,FALSE)</f>
        <v>62846</v>
      </c>
      <c r="C26" s="948">
        <f>VLOOKUP($A26,'OK Data'!$A$3:$R$88,2,FALSE)</f>
        <v>83</v>
      </c>
      <c r="D26" s="612" t="s">
        <v>63</v>
      </c>
      <c r="E26" s="612" t="s">
        <v>63</v>
      </c>
      <c r="F26" s="612" t="s">
        <v>63</v>
      </c>
      <c r="G26" s="612">
        <f>VLOOKUP($A26,'OK Data'!$A$3:$R$95,9,FALSE)</f>
        <v>19</v>
      </c>
      <c r="H26" s="1164">
        <f>VLOOKUP($A26,'OK Data'!$A$3:$R$88,18,FALSE)</f>
        <v>61</v>
      </c>
      <c r="I26" s="614">
        <f>VLOOKUP($A26,'OK Data'!$A$3:$R$88,4,FALSE)</f>
        <v>14</v>
      </c>
      <c r="J26" s="615" t="s">
        <v>63</v>
      </c>
      <c r="K26" s="672" t="s">
        <v>63</v>
      </c>
      <c r="L26" s="224">
        <f>VLOOKUP($A26,'OK Data'!$A$3:$R$88,13,FALSE)</f>
        <v>12</v>
      </c>
      <c r="M26" s="614" t="s">
        <v>63</v>
      </c>
      <c r="N26" s="614" t="s">
        <v>63</v>
      </c>
      <c r="O26" s="614" t="s">
        <v>63</v>
      </c>
      <c r="P26" s="620">
        <f>ifna(vlookup(A26,'Population &amp; Church Numbers'!$A$2134:$D$2210,4,FALSE),"NULL")</f>
        <v>79</v>
      </c>
      <c r="Q26" s="674" t="s">
        <v>63</v>
      </c>
    </row>
    <row r="27">
      <c r="A27" s="609" t="s">
        <v>1726</v>
      </c>
      <c r="B27" s="610">
        <f t="array" ref="B27">VLOOKUP($A27,OK_DEMO,2,FALSE)</f>
        <v>25656</v>
      </c>
      <c r="C27" s="948">
        <f>VLOOKUP($A27,'OK Data'!$A$3:$R$88,2,FALSE)</f>
        <v>29</v>
      </c>
      <c r="D27" s="612" t="s">
        <v>63</v>
      </c>
      <c r="E27" s="612" t="s">
        <v>63</v>
      </c>
      <c r="F27" s="612" t="s">
        <v>63</v>
      </c>
      <c r="G27" s="612">
        <f>VLOOKUP($A27,'OK Data'!$A$3:$R$95,9,FALSE)</f>
        <v>13</v>
      </c>
      <c r="H27" s="1164">
        <f>VLOOKUP($A27,'OK Data'!$A$3:$R$88,18,FALSE)</f>
        <v>23</v>
      </c>
      <c r="I27" s="614">
        <f>VLOOKUP($A27,'OK Data'!$A$3:$R$88,4,FALSE)</f>
        <v>2</v>
      </c>
      <c r="J27" s="615" t="s">
        <v>63</v>
      </c>
      <c r="K27" s="672" t="s">
        <v>63</v>
      </c>
      <c r="L27" s="224">
        <f>VLOOKUP($A27,'OK Data'!$A$3:$R$88,13,FALSE)</f>
        <v>0</v>
      </c>
      <c r="M27" s="614" t="s">
        <v>63</v>
      </c>
      <c r="N27" s="614" t="s">
        <v>63</v>
      </c>
      <c r="O27" s="614" t="s">
        <v>63</v>
      </c>
      <c r="P27" s="620">
        <f>ifna(vlookup(A27,'Population &amp; Church Numbers'!$A$2134:$D$2210,4,FALSE),"NULL")</f>
        <v>56</v>
      </c>
      <c r="Q27" s="674" t="s">
        <v>63</v>
      </c>
    </row>
    <row r="28">
      <c r="A28" s="609" t="s">
        <v>584</v>
      </c>
      <c r="B28" s="610">
        <f t="array" ref="B28">VLOOKUP($A28,OK_DEMO,2,FALSE)</f>
        <v>54795</v>
      </c>
      <c r="C28" s="948">
        <f>VLOOKUP($A28,'OK Data'!$A$3:$R$88,2,FALSE)</f>
        <v>38</v>
      </c>
      <c r="D28" s="612" t="s">
        <v>63</v>
      </c>
      <c r="E28" s="612" t="s">
        <v>63</v>
      </c>
      <c r="F28" s="612" t="s">
        <v>63</v>
      </c>
      <c r="G28" s="612">
        <f>VLOOKUP($A28,'OK Data'!$A$3:$R$95,9,FALSE)</f>
        <v>20</v>
      </c>
      <c r="H28" s="1164">
        <f>VLOOKUP($A28,'OK Data'!$A$3:$R$88,18,FALSE)</f>
        <v>51</v>
      </c>
      <c r="I28" s="614">
        <f>VLOOKUP($A28,'OK Data'!$A$3:$R$88,4,FALSE)</f>
        <v>1</v>
      </c>
      <c r="J28" s="615" t="s">
        <v>63</v>
      </c>
      <c r="K28" s="672" t="s">
        <v>63</v>
      </c>
      <c r="L28" s="224">
        <f>VLOOKUP($A28,'OK Data'!$A$3:$R$88,13,FALSE)</f>
        <v>1</v>
      </c>
      <c r="M28" s="614" t="s">
        <v>63</v>
      </c>
      <c r="N28" s="614" t="s">
        <v>63</v>
      </c>
      <c r="O28" s="614" t="s">
        <v>63</v>
      </c>
      <c r="P28" s="620">
        <f>ifna(vlookup(A28,'Population &amp; Church Numbers'!$A$2134:$D$2210,4,FALSE),"NULL")</f>
        <v>78</v>
      </c>
      <c r="Q28" s="674" t="s">
        <v>63</v>
      </c>
    </row>
    <row r="29">
      <c r="A29" s="609" t="s">
        <v>278</v>
      </c>
      <c r="B29" s="610">
        <f t="array" ref="B29">VLOOKUP($A29,OK_DEMO,2,FALSE)</f>
        <v>4169</v>
      </c>
      <c r="C29" s="948">
        <f>VLOOKUP($A29,'OK Data'!$A$3:$R$88,2,FALSE)</f>
        <v>0</v>
      </c>
      <c r="D29" s="612" t="s">
        <v>63</v>
      </c>
      <c r="E29" s="612" t="s">
        <v>63</v>
      </c>
      <c r="F29" s="612" t="s">
        <v>63</v>
      </c>
      <c r="G29" s="612">
        <f>VLOOKUP($A29,'OK Data'!$A$3:$R$95,9,FALSE)</f>
        <v>0</v>
      </c>
      <c r="H29" s="1164">
        <f>VLOOKUP($A29,'OK Data'!$A$3:$R$88,18,FALSE)</f>
        <v>5</v>
      </c>
      <c r="I29" s="614">
        <f>VLOOKUP($A29,'OK Data'!$A$3:$R$88,4,FALSE)</f>
        <v>0</v>
      </c>
      <c r="J29" s="615" t="s">
        <v>63</v>
      </c>
      <c r="K29" s="672" t="s">
        <v>63</v>
      </c>
      <c r="L29" s="224">
        <f>VLOOKUP($A29,'OK Data'!$A$3:$R$88,13,FALSE)</f>
        <v>0</v>
      </c>
      <c r="M29" s="614" t="s">
        <v>63</v>
      </c>
      <c r="N29" s="614" t="s">
        <v>63</v>
      </c>
      <c r="O29" s="614" t="s">
        <v>63</v>
      </c>
      <c r="P29" s="620">
        <f>ifna(vlookup(A29,'Population &amp; Church Numbers'!$A$2134:$D$2210,4,FALSE),"NULL")</f>
        <v>20</v>
      </c>
      <c r="Q29" s="674" t="s">
        <v>63</v>
      </c>
    </row>
    <row r="30">
      <c r="A30" s="609" t="s">
        <v>1727</v>
      </c>
      <c r="B30" s="610">
        <f t="array" ref="B30">VLOOKUP($A30,OK_DEMO,2,FALSE)</f>
        <v>5491</v>
      </c>
      <c r="C30" s="948">
        <f>VLOOKUP($A30,'OK Data'!$A$3:$R$88,2,FALSE)</f>
        <v>0</v>
      </c>
      <c r="D30" s="612" t="s">
        <v>63</v>
      </c>
      <c r="E30" s="612" t="s">
        <v>63</v>
      </c>
      <c r="F30" s="612" t="s">
        <v>63</v>
      </c>
      <c r="G30" s="612">
        <f>VLOOKUP($A30,'OK Data'!$A$3:$R$95,9,FALSE)</f>
        <v>0</v>
      </c>
      <c r="H30" s="1164">
        <f>VLOOKUP($A30,'OK Data'!$A$3:$R$88,18,FALSE)</f>
        <v>9</v>
      </c>
      <c r="I30" s="614">
        <f>VLOOKUP($A30,'OK Data'!$A$3:$R$88,4,FALSE)</f>
        <v>0</v>
      </c>
      <c r="J30" s="615" t="s">
        <v>63</v>
      </c>
      <c r="K30" s="672" t="s">
        <v>63</v>
      </c>
      <c r="L30" s="224">
        <f>VLOOKUP($A30,'OK Data'!$A$3:$R$88,13,FALSE)</f>
        <v>1</v>
      </c>
      <c r="M30" s="614" t="s">
        <v>63</v>
      </c>
      <c r="N30" s="614" t="s">
        <v>63</v>
      </c>
      <c r="O30" s="614" t="s">
        <v>63</v>
      </c>
      <c r="P30" s="620">
        <f>ifna(vlookup(A30,'Population &amp; Church Numbers'!$A$2134:$D$2210,4,FALSE),"NULL")</f>
        <v>12</v>
      </c>
      <c r="Q30" s="674" t="s">
        <v>63</v>
      </c>
    </row>
    <row r="31">
      <c r="A31" s="609" t="s">
        <v>1729</v>
      </c>
      <c r="B31" s="610">
        <f t="array" ref="B31">VLOOKUP($A31,OK_DEMO,2,FALSE)</f>
        <v>2488</v>
      </c>
      <c r="C31" s="948">
        <f>VLOOKUP($A31,'OK Data'!$A$3:$R$88,2,FALSE)</f>
        <v>0</v>
      </c>
      <c r="D31" s="612" t="s">
        <v>63</v>
      </c>
      <c r="E31" s="612" t="s">
        <v>63</v>
      </c>
      <c r="F31" s="612" t="s">
        <v>63</v>
      </c>
      <c r="G31" s="612">
        <f>VLOOKUP($A31,'OK Data'!$A$3:$R$95,9,FALSE)</f>
        <v>0</v>
      </c>
      <c r="H31" s="1164">
        <f>VLOOKUP($A31,'OK Data'!$A$3:$R$88,18,FALSE)</f>
        <v>2</v>
      </c>
      <c r="I31" s="614">
        <f>VLOOKUP($A31,'OK Data'!$A$3:$R$88,4,FALSE)</f>
        <v>0</v>
      </c>
      <c r="J31" s="615" t="s">
        <v>63</v>
      </c>
      <c r="K31" s="672" t="s">
        <v>63</v>
      </c>
      <c r="L31" s="224">
        <f>VLOOKUP($A31,'OK Data'!$A$3:$R$88,13,FALSE)</f>
        <v>0</v>
      </c>
      <c r="M31" s="614" t="s">
        <v>63</v>
      </c>
      <c r="N31" s="614" t="s">
        <v>63</v>
      </c>
      <c r="O31" s="614" t="s">
        <v>63</v>
      </c>
      <c r="P31" s="620">
        <f>ifna(vlookup(A31,'Population &amp; Church Numbers'!$A$2134:$D$2210,4,FALSE),"NULL")</f>
        <v>7</v>
      </c>
      <c r="Q31" s="674" t="s">
        <v>63</v>
      </c>
    </row>
    <row r="32">
      <c r="A32" s="609" t="s">
        <v>978</v>
      </c>
      <c r="B32" s="610">
        <f t="array" ref="B32">VLOOKUP($A32,OK_DEMO,2,FALSE)</f>
        <v>3272</v>
      </c>
      <c r="C32" s="948">
        <f>VLOOKUP($A32,'OK Data'!$A$3:$R$88,2,FALSE)</f>
        <v>0</v>
      </c>
      <c r="D32" s="612" t="s">
        <v>63</v>
      </c>
      <c r="E32" s="612" t="s">
        <v>63</v>
      </c>
      <c r="F32" s="612" t="s">
        <v>63</v>
      </c>
      <c r="G32" s="612">
        <f>VLOOKUP($A32,'OK Data'!$A$3:$R$95,9,FALSE)</f>
        <v>0</v>
      </c>
      <c r="H32" s="1164">
        <f>VLOOKUP($A32,'OK Data'!$A$3:$R$88,18,FALSE)</f>
        <v>4</v>
      </c>
      <c r="I32" s="614">
        <f>VLOOKUP($A32,'OK Data'!$A$3:$R$88,4,FALSE)</f>
        <v>0</v>
      </c>
      <c r="J32" s="615" t="s">
        <v>63</v>
      </c>
      <c r="K32" s="672" t="s">
        <v>63</v>
      </c>
      <c r="L32" s="224">
        <f>VLOOKUP($A32,'OK Data'!$A$3:$R$88,13,FALSE)</f>
        <v>0</v>
      </c>
      <c r="M32" s="614" t="s">
        <v>63</v>
      </c>
      <c r="N32" s="614" t="s">
        <v>63</v>
      </c>
      <c r="O32" s="614" t="s">
        <v>63</v>
      </c>
      <c r="P32" s="620">
        <f>ifna(vlookup(A32,'Population &amp; Church Numbers'!$A$2134:$D$2210,4,FALSE),"NULL")</f>
        <v>9</v>
      </c>
      <c r="Q32" s="674" t="s">
        <v>63</v>
      </c>
    </row>
    <row r="33">
      <c r="A33" s="609" t="s">
        <v>980</v>
      </c>
      <c r="B33" s="610">
        <f t="array" ref="B33">VLOOKUP($A33,OK_DEMO,2,FALSE)</f>
        <v>11561</v>
      </c>
      <c r="C33" s="948">
        <f>VLOOKUP($A33,'OK Data'!$A$3:$R$88,2,FALSE)</f>
        <v>22</v>
      </c>
      <c r="D33" s="612" t="s">
        <v>63</v>
      </c>
      <c r="E33" s="612" t="s">
        <v>63</v>
      </c>
      <c r="F33" s="612" t="s">
        <v>63</v>
      </c>
      <c r="G33" s="612">
        <f>VLOOKUP($A33,'OK Data'!$A$3:$R$95,9,FALSE)</f>
        <v>3</v>
      </c>
      <c r="H33" s="1164">
        <f>VLOOKUP($A33,'OK Data'!$A$3:$R$88,18,FALSE)</f>
        <v>25</v>
      </c>
      <c r="I33" s="614">
        <f>VLOOKUP($A33,'OK Data'!$A$3:$R$88,4,FALSE)</f>
        <v>1</v>
      </c>
      <c r="J33" s="615" t="s">
        <v>63</v>
      </c>
      <c r="K33" s="672" t="s">
        <v>63</v>
      </c>
      <c r="L33" s="224">
        <f>VLOOKUP($A33,'OK Data'!$A$3:$R$88,13,FALSE)</f>
        <v>0</v>
      </c>
      <c r="M33" s="614" t="s">
        <v>63</v>
      </c>
      <c r="N33" s="614" t="s">
        <v>63</v>
      </c>
      <c r="O33" s="614" t="s">
        <v>63</v>
      </c>
      <c r="P33" s="620">
        <f>ifna(vlookup(A33,'Population &amp; Church Numbers'!$A$2134:$D$2210,4,FALSE),"NULL")</f>
        <v>18</v>
      </c>
      <c r="Q33" s="674" t="s">
        <v>63</v>
      </c>
    </row>
    <row r="34">
      <c r="A34" s="609" t="s">
        <v>1730</v>
      </c>
      <c r="B34" s="610">
        <f t="array" ref="B34">VLOOKUP($A34,OK_DEMO,2,FALSE)</f>
        <v>13367</v>
      </c>
      <c r="C34" s="948">
        <f>VLOOKUP($A34,'OK Data'!$A$3:$R$88,2,FALSE)</f>
        <v>0</v>
      </c>
      <c r="D34" s="612" t="s">
        <v>63</v>
      </c>
      <c r="E34" s="612" t="s">
        <v>63</v>
      </c>
      <c r="F34" s="612" t="s">
        <v>63</v>
      </c>
      <c r="G34" s="612">
        <f>VLOOKUP($A34,'OK Data'!$A$3:$R$95,9,FALSE)</f>
        <v>0</v>
      </c>
      <c r="H34" s="1164">
        <f>VLOOKUP($A34,'OK Data'!$A$3:$R$88,18,FALSE)</f>
        <v>12</v>
      </c>
      <c r="I34" s="614">
        <f>VLOOKUP($A34,'OK Data'!$A$3:$R$88,4,FALSE)</f>
        <v>0</v>
      </c>
      <c r="J34" s="615" t="s">
        <v>63</v>
      </c>
      <c r="K34" s="672" t="s">
        <v>63</v>
      </c>
      <c r="L34" s="224">
        <f>VLOOKUP($A34,'OK Data'!$A$3:$R$88,13,FALSE)</f>
        <v>0</v>
      </c>
      <c r="M34" s="614" t="s">
        <v>63</v>
      </c>
      <c r="N34" s="614" t="s">
        <v>63</v>
      </c>
      <c r="O34" s="614" t="s">
        <v>63</v>
      </c>
      <c r="P34" s="620">
        <f>ifna(vlookup(A34,'Population &amp; Church Numbers'!$A$2134:$D$2210,4,FALSE),"NULL")</f>
        <v>22</v>
      </c>
      <c r="Q34" s="674" t="s">
        <v>63</v>
      </c>
    </row>
    <row r="35">
      <c r="A35" s="609" t="s">
        <v>142</v>
      </c>
      <c r="B35" s="610">
        <f t="array" ref="B35">VLOOKUP($A35,OK_DEMO,2,FALSE)</f>
        <v>24785</v>
      </c>
      <c r="C35" s="948">
        <f>VLOOKUP($A35,'OK Data'!$A$3:$R$88,2,FALSE)</f>
        <v>89</v>
      </c>
      <c r="D35" s="612" t="s">
        <v>63</v>
      </c>
      <c r="E35" s="612" t="s">
        <v>63</v>
      </c>
      <c r="F35" s="612" t="s">
        <v>63</v>
      </c>
      <c r="G35" s="612">
        <f>VLOOKUP($A35,'OK Data'!$A$3:$R$95,9,FALSE)</f>
        <v>37</v>
      </c>
      <c r="H35" s="1164">
        <f>VLOOKUP($A35,'OK Data'!$A$3:$R$88,18,FALSE)</f>
        <v>16</v>
      </c>
      <c r="I35" s="614">
        <f>VLOOKUP($A35,'OK Data'!$A$3:$R$88,4,FALSE)</f>
        <v>8</v>
      </c>
      <c r="J35" s="615" t="s">
        <v>63</v>
      </c>
      <c r="K35" s="672" t="s">
        <v>63</v>
      </c>
      <c r="L35" s="224">
        <f>VLOOKUP($A35,'OK Data'!$A$3:$R$88,13,FALSE)</f>
        <v>3</v>
      </c>
      <c r="M35" s="614" t="s">
        <v>63</v>
      </c>
      <c r="N35" s="614" t="s">
        <v>63</v>
      </c>
      <c r="O35" s="614" t="s">
        <v>63</v>
      </c>
      <c r="P35" s="620">
        <f>ifna(vlookup(A35,'Population &amp; Church Numbers'!$A$2134:$D$2210,4,FALSE),"NULL")</f>
        <v>38</v>
      </c>
      <c r="Q35" s="674" t="s">
        <v>63</v>
      </c>
    </row>
    <row r="36">
      <c r="A36" s="609" t="s">
        <v>143</v>
      </c>
      <c r="B36" s="610">
        <f t="array" ref="B36">VLOOKUP($A36,OK_DEMO,2,FALSE)</f>
        <v>5337</v>
      </c>
      <c r="C36" s="948">
        <f>VLOOKUP($A36,'OK Data'!$A$3:$R$88,2,FALSE)</f>
        <v>0</v>
      </c>
      <c r="D36" s="612" t="s">
        <v>63</v>
      </c>
      <c r="E36" s="612" t="s">
        <v>63</v>
      </c>
      <c r="F36" s="612" t="s">
        <v>63</v>
      </c>
      <c r="G36" s="612">
        <f>VLOOKUP($A36,'OK Data'!$A$3:$R$95,9,FALSE)</f>
        <v>0</v>
      </c>
      <c r="H36" s="1164">
        <f>VLOOKUP($A36,'OK Data'!$A$3:$R$88,18,FALSE)</f>
        <v>3</v>
      </c>
      <c r="I36" s="614">
        <f>VLOOKUP($A36,'OK Data'!$A$3:$R$88,4,FALSE)</f>
        <v>0</v>
      </c>
      <c r="J36" s="615" t="s">
        <v>63</v>
      </c>
      <c r="K36" s="672" t="s">
        <v>63</v>
      </c>
      <c r="L36" s="224">
        <f>VLOOKUP($A36,'OK Data'!$A$3:$R$88,13,FALSE)</f>
        <v>0</v>
      </c>
      <c r="M36" s="614" t="s">
        <v>63</v>
      </c>
      <c r="N36" s="614" t="s">
        <v>63</v>
      </c>
      <c r="O36" s="614" t="s">
        <v>63</v>
      </c>
      <c r="P36" s="620">
        <f>ifna(vlookup(A36,'Population &amp; Church Numbers'!$A$2134:$D$2210,4,FALSE),"NULL")</f>
        <v>12</v>
      </c>
      <c r="Q36" s="674" t="s">
        <v>63</v>
      </c>
    </row>
    <row r="37">
      <c r="A37" s="609" t="s">
        <v>1612</v>
      </c>
      <c r="B37" s="610">
        <f t="array" ref="B37">VLOOKUP($A37,OK_DEMO,2,FALSE)</f>
        <v>10272</v>
      </c>
      <c r="C37" s="948">
        <f>VLOOKUP($A37,'OK Data'!$A$3:$R$88,2,FALSE)</f>
        <v>45</v>
      </c>
      <c r="D37" s="612" t="s">
        <v>63</v>
      </c>
      <c r="E37" s="612" t="s">
        <v>63</v>
      </c>
      <c r="F37" s="612" t="s">
        <v>63</v>
      </c>
      <c r="G37" s="612">
        <f>VLOOKUP($A37,'OK Data'!$A$3:$R$95,9,FALSE)</f>
        <v>7</v>
      </c>
      <c r="H37" s="1164">
        <f>VLOOKUP($A37,'OK Data'!$A$3:$R$88,18,FALSE)</f>
        <v>6</v>
      </c>
      <c r="I37" s="614">
        <f>VLOOKUP($A37,'OK Data'!$A$3:$R$88,4,FALSE)</f>
        <v>5</v>
      </c>
      <c r="J37" s="615" t="s">
        <v>63</v>
      </c>
      <c r="K37" s="672" t="s">
        <v>63</v>
      </c>
      <c r="L37" s="224">
        <f>VLOOKUP($A37,'OK Data'!$A$3:$R$88,13,FALSE)</f>
        <v>6</v>
      </c>
      <c r="M37" s="614" t="s">
        <v>63</v>
      </c>
      <c r="N37" s="614" t="s">
        <v>63</v>
      </c>
      <c r="O37" s="614" t="s">
        <v>63</v>
      </c>
      <c r="P37" s="620">
        <f>ifna(vlookup(A37,'Population &amp; Church Numbers'!$A$2134:$D$2210,4,FALSE),"NULL")</f>
        <v>17</v>
      </c>
      <c r="Q37" s="674" t="s">
        <v>63</v>
      </c>
    </row>
    <row r="38">
      <c r="A38" s="609" t="s">
        <v>1732</v>
      </c>
      <c r="B38" s="610">
        <f t="array" ref="B38">VLOOKUP($A38,OK_DEMO,2,FALSE)</f>
        <v>43700</v>
      </c>
      <c r="C38" s="948">
        <f>VLOOKUP($A38,'OK Data'!$A$3:$R$88,2,FALSE)</f>
        <v>91</v>
      </c>
      <c r="D38" s="612" t="s">
        <v>63</v>
      </c>
      <c r="E38" s="612" t="s">
        <v>63</v>
      </c>
      <c r="F38" s="612" t="s">
        <v>63</v>
      </c>
      <c r="G38" s="612">
        <f>VLOOKUP($A38,'OK Data'!$A$3:$R$95,9,FALSE)</f>
        <v>18</v>
      </c>
      <c r="H38" s="1164">
        <f>VLOOKUP($A38,'OK Data'!$A$3:$R$88,18,FALSE)</f>
        <v>48</v>
      </c>
      <c r="I38" s="614">
        <f>VLOOKUP($A38,'OK Data'!$A$3:$R$88,4,FALSE)</f>
        <v>12</v>
      </c>
      <c r="J38" s="615" t="s">
        <v>63</v>
      </c>
      <c r="K38" s="672" t="s">
        <v>63</v>
      </c>
      <c r="L38" s="224">
        <f>VLOOKUP($A38,'OK Data'!$A$3:$R$88,13,FALSE)</f>
        <v>10</v>
      </c>
      <c r="M38" s="614" t="s">
        <v>63</v>
      </c>
      <c r="N38" s="614" t="s">
        <v>63</v>
      </c>
      <c r="O38" s="614" t="s">
        <v>63</v>
      </c>
      <c r="P38" s="620">
        <f>ifna(vlookup(A38,'Population &amp; Church Numbers'!$A$2134:$D$2210,4,FALSE),"NULL")</f>
        <v>71</v>
      </c>
      <c r="Q38" s="674" t="s">
        <v>63</v>
      </c>
    </row>
    <row r="39">
      <c r="A39" s="609" t="s">
        <v>1733</v>
      </c>
      <c r="B39" s="610">
        <f t="array" ref="B39">VLOOKUP($A39,OK_DEMO,2,FALSE)</f>
        <v>15184</v>
      </c>
      <c r="C39" s="948">
        <f>VLOOKUP($A39,'OK Data'!$A$3:$R$88,2,FALSE)</f>
        <v>28</v>
      </c>
      <c r="D39" s="612" t="s">
        <v>63</v>
      </c>
      <c r="E39" s="612" t="s">
        <v>63</v>
      </c>
      <c r="F39" s="612" t="s">
        <v>63</v>
      </c>
      <c r="G39" s="612">
        <f>VLOOKUP($A39,'OK Data'!$A$3:$R$95,9,FALSE)</f>
        <v>7</v>
      </c>
      <c r="H39" s="1164">
        <f>VLOOKUP($A39,'OK Data'!$A$3:$R$88,18,FALSE)</f>
        <v>8</v>
      </c>
      <c r="I39" s="614">
        <f>VLOOKUP($A39,'OK Data'!$A$3:$R$88,4,FALSE)</f>
        <v>2</v>
      </c>
      <c r="J39" s="615" t="s">
        <v>63</v>
      </c>
      <c r="K39" s="672" t="s">
        <v>63</v>
      </c>
      <c r="L39" s="224">
        <f>VLOOKUP($A39,'OK Data'!$A$3:$R$88,13,FALSE)</f>
        <v>0</v>
      </c>
      <c r="M39" s="614" t="s">
        <v>63</v>
      </c>
      <c r="N39" s="614" t="s">
        <v>63</v>
      </c>
      <c r="O39" s="614" t="s">
        <v>63</v>
      </c>
      <c r="P39" s="620">
        <f>ifna(vlookup(A39,'Population &amp; Church Numbers'!$A$2134:$D$2210,4,FALSE),"NULL")</f>
        <v>33</v>
      </c>
      <c r="Q39" s="674" t="s">
        <v>63</v>
      </c>
    </row>
    <row r="40">
      <c r="A40" s="609" t="s">
        <v>427</v>
      </c>
      <c r="B40" s="610">
        <f t="array" ref="B40">VLOOKUP($A40,OK_DEMO,2,FALSE)</f>
        <v>8509</v>
      </c>
      <c r="C40" s="948">
        <f>VLOOKUP($A40,'OK Data'!$A$3:$R$88,2,FALSE)</f>
        <v>0</v>
      </c>
      <c r="D40" s="612" t="s">
        <v>63</v>
      </c>
      <c r="E40" s="612" t="s">
        <v>63</v>
      </c>
      <c r="F40" s="612" t="s">
        <v>63</v>
      </c>
      <c r="G40" s="612">
        <f>VLOOKUP($A40,'OK Data'!$A$3:$R$95,9,FALSE)</f>
        <v>0</v>
      </c>
      <c r="H40" s="1164">
        <f>VLOOKUP($A40,'OK Data'!$A$3:$R$88,18,FALSE)</f>
        <v>10</v>
      </c>
      <c r="I40" s="614">
        <f>VLOOKUP($A40,'OK Data'!$A$3:$R$88,4,FALSE)</f>
        <v>0</v>
      </c>
      <c r="J40" s="615" t="s">
        <v>63</v>
      </c>
      <c r="K40" s="672" t="s">
        <v>63</v>
      </c>
      <c r="L40" s="224">
        <f>VLOOKUP($A40,'OK Data'!$A$3:$R$88,13,FALSE)</f>
        <v>0</v>
      </c>
      <c r="M40" s="614" t="s">
        <v>63</v>
      </c>
      <c r="N40" s="614" t="s">
        <v>63</v>
      </c>
      <c r="O40" s="614" t="s">
        <v>63</v>
      </c>
      <c r="P40" s="620">
        <f>ifna(vlookup(A40,'Population &amp; Church Numbers'!$A$2134:$D$2210,4,FALSE),"NULL")</f>
        <v>20</v>
      </c>
      <c r="Q40" s="674" t="s">
        <v>63</v>
      </c>
    </row>
    <row r="41">
      <c r="A41" s="609" t="s">
        <v>1735</v>
      </c>
      <c r="B41" s="610">
        <f t="array" ref="B41">VLOOKUP($A41,OK_DEMO,2,FALSE)</f>
        <v>9444</v>
      </c>
      <c r="C41" s="948">
        <f>VLOOKUP($A41,'OK Data'!$A$3:$R$88,2,FALSE)</f>
        <v>55</v>
      </c>
      <c r="D41" s="612" t="s">
        <v>63</v>
      </c>
      <c r="E41" s="612" t="s">
        <v>63</v>
      </c>
      <c r="F41" s="612" t="s">
        <v>63</v>
      </c>
      <c r="G41" s="612">
        <f>VLOOKUP($A41,'OK Data'!$A$3:$R$95,9,FALSE)</f>
        <v>12</v>
      </c>
      <c r="H41" s="1164">
        <f>VLOOKUP($A41,'OK Data'!$A$3:$R$88,18,FALSE)</f>
        <v>42</v>
      </c>
      <c r="I41" s="614">
        <f>VLOOKUP($A41,'OK Data'!$A$3:$R$88,4,FALSE)</f>
        <v>3</v>
      </c>
      <c r="J41" s="615" t="s">
        <v>63</v>
      </c>
      <c r="K41" s="672" t="s">
        <v>63</v>
      </c>
      <c r="L41" s="224">
        <f>VLOOKUP($A41,'OK Data'!$A$3:$R$88,13,FALSE)</f>
        <v>8</v>
      </c>
      <c r="M41" s="614" t="s">
        <v>63</v>
      </c>
      <c r="N41" s="614" t="s">
        <v>63</v>
      </c>
      <c r="O41" s="614" t="s">
        <v>63</v>
      </c>
      <c r="P41" s="620">
        <f>ifna(vlookup(A41,'Population &amp; Church Numbers'!$A$2134:$D$2210,4,FALSE),"NULL")</f>
        <v>22</v>
      </c>
      <c r="Q41" s="674" t="s">
        <v>63</v>
      </c>
    </row>
    <row r="42">
      <c r="A42" s="609" t="s">
        <v>1736</v>
      </c>
      <c r="B42" s="610">
        <f t="array" ref="B42">VLOOKUP($A42,OK_DEMO,2,FALSE)</f>
        <v>48129</v>
      </c>
      <c r="C42" s="948">
        <f>VLOOKUP($A42,'OK Data'!$A$3:$R$88,2,FALSE)</f>
        <v>60</v>
      </c>
      <c r="D42" s="612" t="s">
        <v>63</v>
      </c>
      <c r="E42" s="612" t="s">
        <v>63</v>
      </c>
      <c r="F42" s="612" t="s">
        <v>63</v>
      </c>
      <c r="G42" s="612">
        <f>VLOOKUP($A42,'OK Data'!$A$3:$R$95,9,FALSE)</f>
        <v>21</v>
      </c>
      <c r="H42" s="1164">
        <f>VLOOKUP($A42,'OK Data'!$A$3:$R$88,18,FALSE)</f>
        <v>20</v>
      </c>
      <c r="I42" s="614">
        <f>VLOOKUP($A42,'OK Data'!$A$3:$R$88,4,FALSE)</f>
        <v>0</v>
      </c>
      <c r="J42" s="615" t="s">
        <v>63</v>
      </c>
      <c r="K42" s="672" t="s">
        <v>63</v>
      </c>
      <c r="L42" s="224">
        <f>VLOOKUP($A42,'OK Data'!$A$3:$R$88,13,FALSE)</f>
        <v>6</v>
      </c>
      <c r="M42" s="614" t="s">
        <v>63</v>
      </c>
      <c r="N42" s="614" t="s">
        <v>63</v>
      </c>
      <c r="O42" s="614" t="s">
        <v>63</v>
      </c>
      <c r="P42" s="620">
        <f>ifna(vlookup(A42,'Population &amp; Church Numbers'!$A$2134:$D$2210,4,FALSE),"NULL")</f>
        <v>67</v>
      </c>
      <c r="Q42" s="674" t="s">
        <v>63</v>
      </c>
    </row>
    <row r="43">
      <c r="A43" s="609" t="s">
        <v>290</v>
      </c>
      <c r="B43" s="610">
        <f t="array" ref="B43">VLOOKUP($A43,OK_DEMO,2,FALSE)</f>
        <v>33458</v>
      </c>
      <c r="C43" s="948">
        <f>VLOOKUP($A43,'OK Data'!$A$3:$R$88,2,FALSE)</f>
        <v>92</v>
      </c>
      <c r="D43" s="612" t="s">
        <v>63</v>
      </c>
      <c r="E43" s="612" t="s">
        <v>63</v>
      </c>
      <c r="F43" s="612" t="s">
        <v>63</v>
      </c>
      <c r="G43" s="612">
        <f>VLOOKUP($A43,'OK Data'!$A$3:$R$95,9,FALSE)</f>
        <v>28</v>
      </c>
      <c r="H43" s="1164">
        <f>VLOOKUP($A43,'OK Data'!$A$3:$R$88,18,FALSE)</f>
        <v>29</v>
      </c>
      <c r="I43" s="614">
        <f>VLOOKUP($A43,'OK Data'!$A$3:$R$88,4,FALSE)</f>
        <v>2</v>
      </c>
      <c r="J43" s="615" t="s">
        <v>63</v>
      </c>
      <c r="K43" s="672" t="s">
        <v>63</v>
      </c>
      <c r="L43" s="224">
        <f>VLOOKUP($A43,'OK Data'!$A$3:$R$88,13,FALSE)</f>
        <v>0</v>
      </c>
      <c r="M43" s="614" t="s">
        <v>63</v>
      </c>
      <c r="N43" s="614" t="s">
        <v>63</v>
      </c>
      <c r="O43" s="614" t="s">
        <v>63</v>
      </c>
      <c r="P43" s="620">
        <f>ifna(vlookup(A43,'Population &amp; Church Numbers'!$A$2134:$D$2210,4,FALSE),"NULL")</f>
        <v>55</v>
      </c>
      <c r="Q43" s="674" t="s">
        <v>63</v>
      </c>
    </row>
    <row r="44">
      <c r="A44" s="609" t="s">
        <v>293</v>
      </c>
      <c r="B44" s="610">
        <f t="array" ref="B44">VLOOKUP($A44,OK_DEMO,2,FALSE)</f>
        <v>49555</v>
      </c>
      <c r="C44" s="948">
        <f>VLOOKUP($A44,'OK Data'!$A$3:$R$88,2,FALSE)</f>
        <v>115</v>
      </c>
      <c r="D44" s="612" t="s">
        <v>63</v>
      </c>
      <c r="E44" s="612" t="s">
        <v>63</v>
      </c>
      <c r="F44" s="612" t="s">
        <v>63</v>
      </c>
      <c r="G44" s="612">
        <f>VLOOKUP($A44,'OK Data'!$A$3:$R$95,9,FALSE)</f>
        <v>27</v>
      </c>
      <c r="H44" s="1164">
        <f>VLOOKUP($A44,'OK Data'!$A$3:$R$88,18,FALSE)</f>
        <v>72</v>
      </c>
      <c r="I44" s="614">
        <f>VLOOKUP($A44,'OK Data'!$A$3:$R$88,4,FALSE)</f>
        <v>9</v>
      </c>
      <c r="J44" s="615" t="s">
        <v>63</v>
      </c>
      <c r="K44" s="672" t="s">
        <v>63</v>
      </c>
      <c r="L44" s="224">
        <f>VLOOKUP($A44,'OK Data'!$A$3:$R$88,13,FALSE)</f>
        <v>2</v>
      </c>
      <c r="M44" s="614" t="s">
        <v>63</v>
      </c>
      <c r="N44" s="614" t="s">
        <v>63</v>
      </c>
      <c r="O44" s="614" t="s">
        <v>63</v>
      </c>
      <c r="P44" s="620">
        <f>ifna(vlookup(A44,'Population &amp; Church Numbers'!$A$2134:$D$2210,4,FALSE),"NULL")</f>
        <v>46</v>
      </c>
      <c r="Q44" s="674" t="s">
        <v>63</v>
      </c>
    </row>
    <row r="45">
      <c r="A45" s="609" t="s">
        <v>1739</v>
      </c>
      <c r="B45" s="610">
        <f t="array" ref="B45">VLOOKUP($A45,OK_DEMO,2,FALSE)</f>
        <v>10146</v>
      </c>
      <c r="C45" s="948">
        <f>VLOOKUP($A45,'OK Data'!$A$3:$R$88,2,FALSE)</f>
        <v>0</v>
      </c>
      <c r="D45" s="612" t="s">
        <v>63</v>
      </c>
      <c r="E45" s="612" t="s">
        <v>63</v>
      </c>
      <c r="F45" s="612" t="s">
        <v>63</v>
      </c>
      <c r="G45" s="612">
        <f>VLOOKUP($A45,'OK Data'!$A$3:$R$95,9,FALSE)</f>
        <v>0</v>
      </c>
      <c r="H45" s="1164">
        <f>VLOOKUP($A45,'OK Data'!$A$3:$R$88,18,FALSE)</f>
        <v>5</v>
      </c>
      <c r="I45" s="614">
        <f>VLOOKUP($A45,'OK Data'!$A$3:$R$88,4,FALSE)</f>
        <v>0</v>
      </c>
      <c r="J45" s="615" t="s">
        <v>63</v>
      </c>
      <c r="K45" s="672" t="s">
        <v>63</v>
      </c>
      <c r="L45" s="224">
        <f>VLOOKUP($A45,'OK Data'!$A$3:$R$88,13,FALSE)</f>
        <v>0</v>
      </c>
      <c r="M45" s="614" t="s">
        <v>63</v>
      </c>
      <c r="N45" s="614" t="s">
        <v>63</v>
      </c>
      <c r="O45" s="614" t="s">
        <v>63</v>
      </c>
      <c r="P45" s="620">
        <f>ifna(vlookup(A45,'Population &amp; Church Numbers'!$A$2134:$D$2210,4,FALSE),"NULL")</f>
        <v>12</v>
      </c>
      <c r="Q45" s="674" t="s">
        <v>63</v>
      </c>
    </row>
    <row r="46">
      <c r="A46" s="609" t="s">
        <v>3977</v>
      </c>
      <c r="B46" s="610">
        <f t="array" ref="B46">VLOOKUP($A46,OK_DEMO,2,FALSE)</f>
        <v>41662</v>
      </c>
      <c r="C46" s="948">
        <f>VLOOKUP($A46,'OK Data'!$A$3:$R$88,2,FALSE)</f>
        <v>31</v>
      </c>
      <c r="D46" s="612" t="s">
        <v>63</v>
      </c>
      <c r="E46" s="612" t="s">
        <v>63</v>
      </c>
      <c r="F46" s="612" t="s">
        <v>63</v>
      </c>
      <c r="G46" s="612">
        <f>VLOOKUP($A46,'OK Data'!$A$3:$R$95,9,FALSE)</f>
        <v>7</v>
      </c>
      <c r="H46" s="1164">
        <f>VLOOKUP($A46,'OK Data'!$A$3:$R$88,18,FALSE)</f>
        <v>41</v>
      </c>
      <c r="I46" s="614">
        <f>VLOOKUP($A46,'OK Data'!$A$3:$R$88,4,FALSE)</f>
        <v>0</v>
      </c>
      <c r="J46" s="615" t="s">
        <v>63</v>
      </c>
      <c r="K46" s="672" t="s">
        <v>63</v>
      </c>
      <c r="L46" s="224">
        <f>VLOOKUP($A46,'OK Data'!$A$3:$R$88,13,FALSE)</f>
        <v>0</v>
      </c>
      <c r="M46" s="614" t="s">
        <v>63</v>
      </c>
      <c r="N46" s="614" t="s">
        <v>63</v>
      </c>
      <c r="O46" s="614" t="s">
        <v>63</v>
      </c>
      <c r="P46" s="620">
        <f>ifna(vlookup(A46,'Population &amp; Church Numbers'!$A$2134:$D$2210,4,FALSE),"NULL")</f>
        <v>54</v>
      </c>
      <c r="Q46" s="674" t="s">
        <v>63</v>
      </c>
    </row>
    <row r="47">
      <c r="A47" s="609" t="s">
        <v>1742</v>
      </c>
      <c r="B47" s="610">
        <f t="array" ref="B47">VLOOKUP($A47,OK_DEMO,2,FALSE)</f>
        <v>30814</v>
      </c>
      <c r="C47" s="948">
        <f>VLOOKUP($A47,'OK Data'!$A$3:$R$88,2,FALSE)</f>
        <v>57</v>
      </c>
      <c r="D47" s="612" t="s">
        <v>63</v>
      </c>
      <c r="E47" s="612" t="s">
        <v>63</v>
      </c>
      <c r="F47" s="612" t="s">
        <v>63</v>
      </c>
      <c r="G47" s="612">
        <f>VLOOKUP($A47,'OK Data'!$A$3:$R$95,9,FALSE)</f>
        <v>18</v>
      </c>
      <c r="H47" s="1164">
        <f>VLOOKUP($A47,'OK Data'!$A$3:$R$88,18,FALSE)</f>
        <v>14</v>
      </c>
      <c r="I47" s="614">
        <f>VLOOKUP($A47,'OK Data'!$A$3:$R$88,4,FALSE)</f>
        <v>0</v>
      </c>
      <c r="J47" s="615" t="s">
        <v>63</v>
      </c>
      <c r="K47" s="672" t="s">
        <v>63</v>
      </c>
      <c r="L47" s="224">
        <f>VLOOKUP($A47,'OK Data'!$A$3:$R$88,13,FALSE)</f>
        <v>2</v>
      </c>
      <c r="M47" s="614" t="s">
        <v>63</v>
      </c>
      <c r="N47" s="614" t="s">
        <v>63</v>
      </c>
      <c r="O47" s="614" t="s">
        <v>63</v>
      </c>
      <c r="P47" s="620">
        <f>ifna(vlookup(A47,'Population &amp; Church Numbers'!$A$2134:$D$2210,4,FALSE),"NULL")</f>
        <v>64</v>
      </c>
      <c r="Q47" s="674" t="s">
        <v>63</v>
      </c>
    </row>
    <row r="48">
      <c r="A48" s="609" t="s">
        <v>606</v>
      </c>
      <c r="B48" s="610">
        <f t="array" ref="B48">VLOOKUP($A48,OK_DEMO,2,FALSE)</f>
        <v>18941</v>
      </c>
      <c r="C48" s="948">
        <f>VLOOKUP($A48,'OK Data'!$A$3:$R$88,2,FALSE)</f>
        <v>178</v>
      </c>
      <c r="D48" s="612" t="s">
        <v>63</v>
      </c>
      <c r="E48" s="612" t="s">
        <v>63</v>
      </c>
      <c r="F48" s="612" t="s">
        <v>63</v>
      </c>
      <c r="G48" s="612">
        <f>VLOOKUP($A48,'OK Data'!$A$3:$R$95,9,FALSE)</f>
        <v>31</v>
      </c>
      <c r="H48" s="1164">
        <f>VLOOKUP($A48,'OK Data'!$A$3:$R$88,18,FALSE)</f>
        <v>50</v>
      </c>
      <c r="I48" s="614">
        <f>VLOOKUP($A48,'OK Data'!$A$3:$R$88,4,FALSE)</f>
        <v>12</v>
      </c>
      <c r="J48" s="615" t="s">
        <v>63</v>
      </c>
      <c r="K48" s="672" t="s">
        <v>63</v>
      </c>
      <c r="L48" s="224">
        <f>VLOOKUP($A48,'OK Data'!$A$3:$R$88,13,FALSE)</f>
        <v>3</v>
      </c>
      <c r="M48" s="614" t="s">
        <v>63</v>
      </c>
      <c r="N48" s="614" t="s">
        <v>63</v>
      </c>
      <c r="O48" s="614" t="s">
        <v>63</v>
      </c>
      <c r="P48" s="620">
        <f>ifna(vlookup(A48,'Population &amp; Church Numbers'!$A$2134:$D$2210,4,FALSE),"NULL")</f>
        <v>30</v>
      </c>
      <c r="Q48" s="674" t="s">
        <v>63</v>
      </c>
    </row>
    <row r="49">
      <c r="A49" s="609" t="s">
        <v>1744</v>
      </c>
      <c r="B49" s="610">
        <f t="array" ref="B49">VLOOKUP($A49,OK_DEMO,2,FALSE)</f>
        <v>7782</v>
      </c>
      <c r="C49" s="948">
        <f>VLOOKUP($A49,'OK Data'!$A$3:$R$88,2,FALSE)</f>
        <v>28</v>
      </c>
      <c r="D49" s="612" t="s">
        <v>63</v>
      </c>
      <c r="E49" s="612" t="s">
        <v>63</v>
      </c>
      <c r="F49" s="612" t="s">
        <v>63</v>
      </c>
      <c r="G49" s="612">
        <f>VLOOKUP($A49,'OK Data'!$A$3:$R$95,9,FALSE)</f>
        <v>0</v>
      </c>
      <c r="H49" s="1164">
        <f>VLOOKUP($A49,'OK Data'!$A$3:$R$88,18,FALSE)</f>
        <v>8</v>
      </c>
      <c r="I49" s="614">
        <f>VLOOKUP($A49,'OK Data'!$A$3:$R$88,4,FALSE)</f>
        <v>0</v>
      </c>
      <c r="J49" s="615" t="s">
        <v>63</v>
      </c>
      <c r="K49" s="672" t="s">
        <v>63</v>
      </c>
      <c r="L49" s="224">
        <f>VLOOKUP($A49,'OK Data'!$A$3:$R$88,13,FALSE)</f>
        <v>3</v>
      </c>
      <c r="M49" s="614" t="s">
        <v>63</v>
      </c>
      <c r="N49" s="614" t="s">
        <v>63</v>
      </c>
      <c r="O49" s="614" t="s">
        <v>63</v>
      </c>
      <c r="P49" s="620">
        <f>ifna(vlookup(A49,'Population &amp; Church Numbers'!$A$2134:$D$2210,4,FALSE),"NULL")</f>
        <v>24</v>
      </c>
      <c r="Q49" s="674" t="s">
        <v>63</v>
      </c>
    </row>
    <row r="50">
      <c r="A50" s="609" t="s">
        <v>154</v>
      </c>
      <c r="B50" s="610">
        <f t="array" ref="B50">VLOOKUP($A50,OK_DEMO,2,FALSE)</f>
        <v>15312</v>
      </c>
      <c r="C50" s="948">
        <f>VLOOKUP($A50,'OK Data'!$A$3:$R$88,2,FALSE)</f>
        <v>0</v>
      </c>
      <c r="D50" s="612" t="s">
        <v>63</v>
      </c>
      <c r="E50" s="612" t="s">
        <v>63</v>
      </c>
      <c r="F50" s="612" t="s">
        <v>63</v>
      </c>
      <c r="G50" s="612">
        <f>VLOOKUP($A50,'OK Data'!$A$3:$R$95,9,FALSE)</f>
        <v>0</v>
      </c>
      <c r="H50" s="1164">
        <f>VLOOKUP($A50,'OK Data'!$A$3:$R$88,18,FALSE)</f>
        <v>11</v>
      </c>
      <c r="I50" s="614">
        <f>VLOOKUP($A50,'OK Data'!$A$3:$R$88,4,FALSE)</f>
        <v>0</v>
      </c>
      <c r="J50" s="615" t="s">
        <v>63</v>
      </c>
      <c r="K50" s="672" t="s">
        <v>63</v>
      </c>
      <c r="L50" s="224">
        <f>VLOOKUP($A50,'OK Data'!$A$3:$R$88,13,FALSE)</f>
        <v>0</v>
      </c>
      <c r="M50" s="614" t="s">
        <v>63</v>
      </c>
      <c r="N50" s="614" t="s">
        <v>63</v>
      </c>
      <c r="O50" s="614" t="s">
        <v>63</v>
      </c>
      <c r="P50" s="620">
        <f>ifna(vlookup(A50,'Population &amp; Church Numbers'!$A$2134:$D$2210,4,FALSE),"NULL")</f>
        <v>17</v>
      </c>
      <c r="Q50" s="674" t="s">
        <v>63</v>
      </c>
    </row>
    <row r="51">
      <c r="A51" s="609" t="s">
        <v>1746</v>
      </c>
      <c r="B51" s="610">
        <f t="array" ref="B51">VLOOKUP($A51,OK_DEMO,2,FALSE)</f>
        <v>39046</v>
      </c>
      <c r="C51" s="948">
        <f>VLOOKUP($A51,'OK Data'!$A$3:$R$88,2,FALSE)</f>
        <v>56</v>
      </c>
      <c r="D51" s="612" t="s">
        <v>63</v>
      </c>
      <c r="E51" s="612" t="s">
        <v>63</v>
      </c>
      <c r="F51" s="612" t="s">
        <v>63</v>
      </c>
      <c r="G51" s="612">
        <f>VLOOKUP($A51,'OK Data'!$A$3:$R$95,9,FALSE)</f>
        <v>15</v>
      </c>
      <c r="H51" s="1164">
        <f>VLOOKUP($A51,'OK Data'!$A$3:$R$88,18,FALSE)</f>
        <v>37</v>
      </c>
      <c r="I51" s="614">
        <f>VLOOKUP($A51,'OK Data'!$A$3:$R$88,4,FALSE)</f>
        <v>4</v>
      </c>
      <c r="J51" s="615" t="s">
        <v>63</v>
      </c>
      <c r="K51" s="672" t="s">
        <v>63</v>
      </c>
      <c r="L51" s="224">
        <f>VLOOKUP($A51,'OK Data'!$A$3:$R$88,13,FALSE)</f>
        <v>0</v>
      </c>
      <c r="M51" s="614" t="s">
        <v>63</v>
      </c>
      <c r="N51" s="614" t="s">
        <v>63</v>
      </c>
      <c r="O51" s="614" t="s">
        <v>63</v>
      </c>
      <c r="P51" s="620">
        <f>ifna(vlookup(A51,'Population &amp; Church Numbers'!$A$2134:$D$2210,4,FALSE),"NULL")</f>
        <v>71</v>
      </c>
      <c r="Q51" s="674" t="s">
        <v>63</v>
      </c>
    </row>
    <row r="52">
      <c r="A52" s="609" t="s">
        <v>611</v>
      </c>
      <c r="B52" s="610">
        <f t="array" ref="B52">VLOOKUP($A52,OK_DEMO,2,FALSE)</f>
        <v>13904</v>
      </c>
      <c r="C52" s="948">
        <f>VLOOKUP($A52,'OK Data'!$A$3:$R$88,2,FALSE)</f>
        <v>51</v>
      </c>
      <c r="D52" s="612" t="s">
        <v>63</v>
      </c>
      <c r="E52" s="612" t="s">
        <v>63</v>
      </c>
      <c r="F52" s="612" t="s">
        <v>63</v>
      </c>
      <c r="G52" s="612">
        <f>VLOOKUP($A52,'OK Data'!$A$3:$R$95,9,FALSE)</f>
        <v>18</v>
      </c>
      <c r="H52" s="1164">
        <f>VLOOKUP($A52,'OK Data'!$A$3:$R$88,18,FALSE)</f>
        <v>12</v>
      </c>
      <c r="I52" s="614">
        <f>VLOOKUP($A52,'OK Data'!$A$3:$R$88,4,FALSE)</f>
        <v>5</v>
      </c>
      <c r="J52" s="615" t="s">
        <v>63</v>
      </c>
      <c r="K52" s="672" t="s">
        <v>63</v>
      </c>
      <c r="L52" s="224">
        <f>VLOOKUP($A52,'OK Data'!$A$3:$R$88,13,FALSE)</f>
        <v>0</v>
      </c>
      <c r="M52" s="614" t="s">
        <v>63</v>
      </c>
      <c r="N52" s="614" t="s">
        <v>63</v>
      </c>
      <c r="O52" s="614" t="s">
        <v>63</v>
      </c>
      <c r="P52" s="620">
        <f>ifna(vlookup(A52,'Population &amp; Church Numbers'!$A$2134:$D$2210,4,FALSE),"NULL")</f>
        <v>25</v>
      </c>
      <c r="Q52" s="674" t="s">
        <v>63</v>
      </c>
    </row>
    <row r="53">
      <c r="A53" s="609" t="s">
        <v>1747</v>
      </c>
      <c r="B53" s="610">
        <f t="array" ref="B53">VLOOKUP($A53,OK_DEMO,2,FALSE)</f>
        <v>66339</v>
      </c>
      <c r="C53" s="948">
        <f>VLOOKUP($A53,'OK Data'!$A$3:$R$88,2,FALSE)</f>
        <v>44</v>
      </c>
      <c r="D53" s="612" t="s">
        <v>63</v>
      </c>
      <c r="E53" s="612" t="s">
        <v>63</v>
      </c>
      <c r="F53" s="612" t="s">
        <v>63</v>
      </c>
      <c r="G53" s="612">
        <f>VLOOKUP($A53,'OK Data'!$A$3:$R$95,9,FALSE)</f>
        <v>15</v>
      </c>
      <c r="H53" s="1164">
        <f>VLOOKUP($A53,'OK Data'!$A$3:$R$88,18,FALSE)</f>
        <v>12</v>
      </c>
      <c r="I53" s="614">
        <f>VLOOKUP($A53,'OK Data'!$A$3:$R$88,4,FALSE)</f>
        <v>2</v>
      </c>
      <c r="J53" s="615" t="s">
        <v>63</v>
      </c>
      <c r="K53" s="672" t="s">
        <v>63</v>
      </c>
      <c r="L53" s="224">
        <f>VLOOKUP($A53,'OK Data'!$A$3:$R$88,13,FALSE)</f>
        <v>1</v>
      </c>
      <c r="M53" s="614" t="s">
        <v>63</v>
      </c>
      <c r="N53" s="614" t="s">
        <v>63</v>
      </c>
      <c r="O53" s="614" t="s">
        <v>63</v>
      </c>
      <c r="P53" s="620">
        <f>ifna(vlookup(A53,'Population &amp; Church Numbers'!$A$2134:$D$2210,4,FALSE),"NULL")</f>
        <v>92</v>
      </c>
      <c r="Q53" s="674" t="s">
        <v>63</v>
      </c>
    </row>
    <row r="54">
      <c r="A54" s="609" t="s">
        <v>793</v>
      </c>
      <c r="B54" s="610">
        <f t="array" ref="B54">VLOOKUP($A54,OK_DEMO,2,FALSE)</f>
        <v>10924</v>
      </c>
      <c r="C54" s="948">
        <f>VLOOKUP($A54,'OK Data'!$A$3:$R$88,2,FALSE)</f>
        <v>37</v>
      </c>
      <c r="D54" s="612" t="s">
        <v>63</v>
      </c>
      <c r="E54" s="612" t="s">
        <v>63</v>
      </c>
      <c r="F54" s="612" t="s">
        <v>63</v>
      </c>
      <c r="G54" s="612">
        <f>VLOOKUP($A54,'OK Data'!$A$3:$R$95,9,FALSE)</f>
        <v>4</v>
      </c>
      <c r="H54" s="1164">
        <f>VLOOKUP($A54,'OK Data'!$A$3:$R$88,18,FALSE)</f>
        <v>11</v>
      </c>
      <c r="I54" s="614">
        <f>VLOOKUP($A54,'OK Data'!$A$3:$R$88,4,FALSE)</f>
        <v>3</v>
      </c>
      <c r="J54" s="615" t="s">
        <v>63</v>
      </c>
      <c r="K54" s="672" t="s">
        <v>63</v>
      </c>
      <c r="L54" s="224">
        <f>VLOOKUP($A54,'OK Data'!$A$3:$R$88,13,FALSE)</f>
        <v>2</v>
      </c>
      <c r="M54" s="614" t="s">
        <v>63</v>
      </c>
      <c r="N54" s="614" t="s">
        <v>63</v>
      </c>
      <c r="O54" s="614" t="s">
        <v>63</v>
      </c>
      <c r="P54" s="620">
        <f>ifna(vlookup(A54,'Population &amp; Church Numbers'!$A$2134:$D$2210,4,FALSE),"NULL")</f>
        <v>17</v>
      </c>
      <c r="Q54" s="674" t="s">
        <v>63</v>
      </c>
    </row>
    <row r="55">
      <c r="A55" s="609" t="s">
        <v>1749</v>
      </c>
      <c r="B55" s="610">
        <f t="array" ref="B55">VLOOKUP($A55,OK_DEMO,2,FALSE)</f>
        <v>9320</v>
      </c>
      <c r="C55" s="948">
        <f>VLOOKUP($A55,'OK Data'!$A$3:$R$88,2,FALSE)</f>
        <v>15</v>
      </c>
      <c r="D55" s="612" t="s">
        <v>63</v>
      </c>
      <c r="E55" s="612" t="s">
        <v>63</v>
      </c>
      <c r="F55" s="612" t="s">
        <v>63</v>
      </c>
      <c r="G55" s="612">
        <f>VLOOKUP($A55,'OK Data'!$A$3:$R$95,9,FALSE)</f>
        <v>0</v>
      </c>
      <c r="H55" s="1164">
        <f>VLOOKUP($A55,'OK Data'!$A$3:$R$88,18,FALSE)</f>
        <v>15</v>
      </c>
      <c r="I55" s="614">
        <f>VLOOKUP($A55,'OK Data'!$A$3:$R$88,4,FALSE)</f>
        <v>0</v>
      </c>
      <c r="J55" s="615" t="s">
        <v>63</v>
      </c>
      <c r="K55" s="672" t="s">
        <v>63</v>
      </c>
      <c r="L55" s="224">
        <f>VLOOKUP($A55,'OK Data'!$A$3:$R$88,13,FALSE)</f>
        <v>0</v>
      </c>
      <c r="M55" s="614" t="s">
        <v>63</v>
      </c>
      <c r="N55" s="614" t="s">
        <v>63</v>
      </c>
      <c r="O55" s="614" t="s">
        <v>63</v>
      </c>
      <c r="P55" s="620">
        <f>ifna(vlookup(A55,'Population &amp; Church Numbers'!$A$2134:$D$2210,4,FALSE),"NULL")</f>
        <v>16</v>
      </c>
      <c r="Q55" s="674" t="s">
        <v>63</v>
      </c>
    </row>
    <row r="56">
      <c r="A56" s="609" t="s">
        <v>1750</v>
      </c>
      <c r="B56" s="610">
        <f t="array" ref="B56">VLOOKUP($A56,OK_DEMO,2,FALSE)</f>
        <v>11310</v>
      </c>
      <c r="C56" s="948">
        <f>VLOOKUP($A56,'OK Data'!$A$3:$R$88,2,FALSE)</f>
        <v>91</v>
      </c>
      <c r="D56" s="612" t="s">
        <v>63</v>
      </c>
      <c r="E56" s="612" t="s">
        <v>63</v>
      </c>
      <c r="F56" s="612" t="s">
        <v>63</v>
      </c>
      <c r="G56" s="612">
        <f>VLOOKUP($A56,'OK Data'!$A$3:$R$95,9,FALSE)</f>
        <v>26</v>
      </c>
      <c r="H56" s="1164">
        <f>VLOOKUP($A56,'OK Data'!$A$3:$R$88,18,FALSE)</f>
        <v>42</v>
      </c>
      <c r="I56" s="614">
        <f>VLOOKUP($A56,'OK Data'!$A$3:$R$88,4,FALSE)</f>
        <v>0</v>
      </c>
      <c r="J56" s="615" t="s">
        <v>63</v>
      </c>
      <c r="K56" s="672" t="s">
        <v>63</v>
      </c>
      <c r="L56" s="224">
        <f>VLOOKUP($A56,'OK Data'!$A$3:$R$88,13,FALSE)</f>
        <v>1</v>
      </c>
      <c r="M56" s="614" t="s">
        <v>63</v>
      </c>
      <c r="N56" s="614" t="s">
        <v>63</v>
      </c>
      <c r="O56" s="614" t="s">
        <v>63</v>
      </c>
      <c r="P56" s="620">
        <f>ifna(vlookup(A56,'Population &amp; Church Numbers'!$A$2134:$D$2210,4,FALSE),"NULL")</f>
        <v>18</v>
      </c>
      <c r="Q56" s="674" t="s">
        <v>63</v>
      </c>
    </row>
    <row r="57">
      <c r="A57" s="609" t="s">
        <v>102</v>
      </c>
      <c r="B57" s="610">
        <f t="array" ref="B57">VLOOKUP($A57,OK_DEMO,2,FALSE)</f>
        <v>796292</v>
      </c>
      <c r="C57" s="948">
        <f>VLOOKUP($A57,'OK Data'!$A$3:$R$88,2,FALSE)</f>
        <v>923</v>
      </c>
      <c r="D57" s="612" t="s">
        <v>63</v>
      </c>
      <c r="E57" s="612" t="s">
        <v>63</v>
      </c>
      <c r="F57" s="612" t="s">
        <v>63</v>
      </c>
      <c r="G57" s="612">
        <f>VLOOKUP($A57,'OK Data'!$A$3:$R$95,9,FALSE)</f>
        <v>183</v>
      </c>
      <c r="H57" s="1164">
        <f>VLOOKUP($A57,'OK Data'!$A$3:$R$88,18,FALSE)</f>
        <v>499</v>
      </c>
      <c r="I57" s="614">
        <f>VLOOKUP($A57,'OK Data'!$A$3:$R$88,4,FALSE)</f>
        <v>54</v>
      </c>
      <c r="J57" s="615" t="s">
        <v>63</v>
      </c>
      <c r="K57" s="672" t="s">
        <v>63</v>
      </c>
      <c r="L57" s="224">
        <f>VLOOKUP($A57,'OK Data'!$A$3:$R$88,13,FALSE)</f>
        <v>108</v>
      </c>
      <c r="M57" s="614" t="s">
        <v>63</v>
      </c>
      <c r="N57" s="614" t="s">
        <v>63</v>
      </c>
      <c r="O57" s="614" t="s">
        <v>63</v>
      </c>
      <c r="P57" s="620">
        <f>ifna(vlookup(A57,'Population &amp; Church Numbers'!$A$2134:$D$2210,4,FALSE),"NULL")</f>
        <v>643</v>
      </c>
      <c r="Q57" s="674" t="s">
        <v>63</v>
      </c>
    </row>
    <row r="58">
      <c r="A58" s="609" t="s">
        <v>1751</v>
      </c>
      <c r="B58" s="610">
        <f t="array" ref="B58">VLOOKUP($A58,OK_DEMO,2,FALSE)</f>
        <v>36706</v>
      </c>
      <c r="C58" s="948">
        <f>VLOOKUP($A58,'OK Data'!$A$3:$R$88,2,FALSE)</f>
        <v>51</v>
      </c>
      <c r="D58" s="612" t="s">
        <v>63</v>
      </c>
      <c r="E58" s="612" t="s">
        <v>63</v>
      </c>
      <c r="F58" s="612" t="s">
        <v>63</v>
      </c>
      <c r="G58" s="612">
        <f>VLOOKUP($A58,'OK Data'!$A$3:$R$95,9,FALSE)</f>
        <v>12</v>
      </c>
      <c r="H58" s="1164">
        <f>VLOOKUP($A58,'OK Data'!$A$3:$R$88,18,FALSE)</f>
        <v>23</v>
      </c>
      <c r="I58" s="614">
        <f>VLOOKUP($A58,'OK Data'!$A$3:$R$88,4,FALSE)</f>
        <v>8</v>
      </c>
      <c r="J58" s="615" t="s">
        <v>63</v>
      </c>
      <c r="K58" s="672" t="s">
        <v>63</v>
      </c>
      <c r="L58" s="224">
        <f>VLOOKUP($A58,'OK Data'!$A$3:$R$88,13,FALSE)</f>
        <v>1</v>
      </c>
      <c r="M58" s="614" t="s">
        <v>63</v>
      </c>
      <c r="N58" s="614" t="s">
        <v>63</v>
      </c>
      <c r="O58" s="614" t="s">
        <v>63</v>
      </c>
      <c r="P58" s="620">
        <f>ifna(vlookup(A58,'Population &amp; Church Numbers'!$A$2134:$D$2210,4,FALSE),"NULL")</f>
        <v>63</v>
      </c>
      <c r="Q58" s="674" t="s">
        <v>63</v>
      </c>
    </row>
    <row r="59">
      <c r="A59" s="609" t="s">
        <v>996</v>
      </c>
      <c r="B59" s="610">
        <f t="array" ref="B59">VLOOKUP($A59,OK_DEMO,2,FALSE)</f>
        <v>45818</v>
      </c>
      <c r="C59" s="948">
        <f>VLOOKUP($A59,'OK Data'!$A$3:$R$88,2,FALSE)</f>
        <v>50</v>
      </c>
      <c r="D59" s="612" t="s">
        <v>63</v>
      </c>
      <c r="E59" s="612" t="s">
        <v>63</v>
      </c>
      <c r="F59" s="612" t="s">
        <v>63</v>
      </c>
      <c r="G59" s="612">
        <f>VLOOKUP($A59,'OK Data'!$A$3:$R$95,9,FALSE)</f>
        <v>17</v>
      </c>
      <c r="H59" s="1164">
        <f>VLOOKUP($A59,'OK Data'!$A$3:$R$88,18,FALSE)</f>
        <v>40</v>
      </c>
      <c r="I59" s="614">
        <f>VLOOKUP($A59,'OK Data'!$A$3:$R$88,4,FALSE)</f>
        <v>2</v>
      </c>
      <c r="J59" s="615" t="s">
        <v>63</v>
      </c>
      <c r="K59" s="672" t="s">
        <v>63</v>
      </c>
      <c r="L59" s="224">
        <f>VLOOKUP($A59,'OK Data'!$A$3:$R$88,13,FALSE)</f>
        <v>1</v>
      </c>
      <c r="M59" s="614" t="s">
        <v>63</v>
      </c>
      <c r="N59" s="614" t="s">
        <v>63</v>
      </c>
      <c r="O59" s="614" t="s">
        <v>63</v>
      </c>
      <c r="P59" s="620">
        <f>ifna(vlookup(A59,'Population &amp; Church Numbers'!$A$2134:$D$2210,4,FALSE),"NULL")</f>
        <v>58</v>
      </c>
      <c r="Q59" s="674" t="s">
        <v>63</v>
      </c>
    </row>
    <row r="60">
      <c r="A60" s="609" t="s">
        <v>998</v>
      </c>
      <c r="B60" s="610">
        <f t="array" ref="B60">VLOOKUP($A60,OK_DEMO,2,FALSE)</f>
        <v>30285</v>
      </c>
      <c r="C60" s="948">
        <f>VLOOKUP($A60,'OK Data'!$A$3:$R$88,2,FALSE)</f>
        <v>31</v>
      </c>
      <c r="D60" s="612" t="s">
        <v>63</v>
      </c>
      <c r="E60" s="612" t="s">
        <v>63</v>
      </c>
      <c r="F60" s="612" t="s">
        <v>63</v>
      </c>
      <c r="G60" s="612">
        <f>VLOOKUP($A60,'OK Data'!$A$3:$R$95,9,FALSE)</f>
        <v>6</v>
      </c>
      <c r="H60" s="1164">
        <f>VLOOKUP($A60,'OK Data'!$A$3:$R$88,18,FALSE)</f>
        <v>23</v>
      </c>
      <c r="I60" s="614">
        <f>VLOOKUP($A60,'OK Data'!$A$3:$R$88,4,FALSE)</f>
        <v>1</v>
      </c>
      <c r="J60" s="615" t="s">
        <v>63</v>
      </c>
      <c r="K60" s="672" t="s">
        <v>63</v>
      </c>
      <c r="L60" s="224">
        <f>VLOOKUP($A60,'OK Data'!$A$3:$R$88,13,FALSE)</f>
        <v>2</v>
      </c>
      <c r="M60" s="614" t="s">
        <v>63</v>
      </c>
      <c r="N60" s="614" t="s">
        <v>63</v>
      </c>
      <c r="O60" s="614" t="s">
        <v>63</v>
      </c>
      <c r="P60" s="620">
        <f>ifna(vlookup(A60,'Population &amp; Church Numbers'!$A$2134:$D$2210,4,FALSE),"NULL")</f>
        <v>52</v>
      </c>
      <c r="Q60" s="674" t="s">
        <v>63</v>
      </c>
    </row>
    <row r="61">
      <c r="A61" s="609" t="s">
        <v>999</v>
      </c>
      <c r="B61" s="610">
        <f t="array" ref="B61">VLOOKUP($A61,OK_DEMO,2,FALSE)</f>
        <v>15553</v>
      </c>
      <c r="C61" s="948">
        <f>VLOOKUP($A61,'OK Data'!$A$3:$R$88,2,FALSE)</f>
        <v>21</v>
      </c>
      <c r="D61" s="612" t="s">
        <v>63</v>
      </c>
      <c r="E61" s="612" t="s">
        <v>63</v>
      </c>
      <c r="F61" s="612" t="s">
        <v>63</v>
      </c>
      <c r="G61" s="612">
        <f>VLOOKUP($A61,'OK Data'!$A$3:$R$95,9,FALSE)</f>
        <v>7</v>
      </c>
      <c r="H61" s="1164">
        <f>VLOOKUP($A61,'OK Data'!$A$3:$R$88,18,FALSE)</f>
        <v>21</v>
      </c>
      <c r="I61" s="614">
        <f>VLOOKUP($A61,'OK Data'!$A$3:$R$88,4,FALSE)</f>
        <v>2</v>
      </c>
      <c r="J61" s="615" t="s">
        <v>63</v>
      </c>
      <c r="K61" s="672" t="s">
        <v>63</v>
      </c>
      <c r="L61" s="224">
        <f>VLOOKUP($A61,'OK Data'!$A$3:$R$88,13,FALSE)</f>
        <v>1</v>
      </c>
      <c r="M61" s="614" t="s">
        <v>63</v>
      </c>
      <c r="N61" s="614" t="s">
        <v>63</v>
      </c>
      <c r="O61" s="614" t="s">
        <v>63</v>
      </c>
      <c r="P61" s="620">
        <f>ifna(vlookup(A61,'Population &amp; Church Numbers'!$A$2134:$D$2210,4,FALSE),"NULL")</f>
        <v>35</v>
      </c>
      <c r="Q61" s="674" t="s">
        <v>63</v>
      </c>
    </row>
    <row r="62">
      <c r="A62" s="609" t="s">
        <v>1752</v>
      </c>
      <c r="B62" s="610">
        <f t="array" ref="B62">VLOOKUP($A62,OK_DEMO,2,FALSE)</f>
        <v>81646</v>
      </c>
      <c r="C62" s="948">
        <f>VLOOKUP($A62,'OK Data'!$A$3:$R$88,2,FALSE)</f>
        <v>111</v>
      </c>
      <c r="D62" s="612" t="s">
        <v>63</v>
      </c>
      <c r="E62" s="612" t="s">
        <v>63</v>
      </c>
      <c r="F62" s="612" t="s">
        <v>63</v>
      </c>
      <c r="G62" s="612">
        <f>VLOOKUP($A62,'OK Data'!$A$3:$R$95,9,FALSE)</f>
        <v>19</v>
      </c>
      <c r="H62" s="1164">
        <f>VLOOKUP($A62,'OK Data'!$A$3:$R$88,18,FALSE)</f>
        <v>74</v>
      </c>
      <c r="I62" s="614">
        <f>VLOOKUP($A62,'OK Data'!$A$3:$R$88,4,FALSE)</f>
        <v>6</v>
      </c>
      <c r="J62" s="615" t="s">
        <v>63</v>
      </c>
      <c r="K62" s="672" t="s">
        <v>63</v>
      </c>
      <c r="L62" s="224">
        <f>VLOOKUP($A62,'OK Data'!$A$3:$R$88,13,FALSE)</f>
        <v>8</v>
      </c>
      <c r="M62" s="614" t="s">
        <v>63</v>
      </c>
      <c r="N62" s="614" t="s">
        <v>63</v>
      </c>
      <c r="O62" s="614" t="s">
        <v>63</v>
      </c>
      <c r="P62" s="620">
        <f>ifna(vlookup(A62,'Population &amp; Church Numbers'!$A$2134:$D$2210,4,FALSE),"NULL")</f>
        <v>82</v>
      </c>
      <c r="Q62" s="674" t="s">
        <v>63</v>
      </c>
    </row>
    <row r="63">
      <c r="A63" s="609" t="s">
        <v>1755</v>
      </c>
      <c r="B63" s="610">
        <f t="array" ref="B63">VLOOKUP($A63,OK_DEMO,2,FALSE)</f>
        <v>43773</v>
      </c>
      <c r="C63" s="948">
        <f>VLOOKUP($A63,'OK Data'!$A$3:$R$88,2,FALSE)</f>
        <v>61</v>
      </c>
      <c r="D63" s="612" t="s">
        <v>63</v>
      </c>
      <c r="E63" s="612" t="s">
        <v>63</v>
      </c>
      <c r="F63" s="612" t="s">
        <v>63</v>
      </c>
      <c r="G63" s="612">
        <f>VLOOKUP($A63,'OK Data'!$A$3:$R$95,9,FALSE)</f>
        <v>12</v>
      </c>
      <c r="H63" s="1164">
        <f>VLOOKUP($A63,'OK Data'!$A$3:$R$88,18,FALSE)</f>
        <v>42</v>
      </c>
      <c r="I63" s="614">
        <f>VLOOKUP($A63,'OK Data'!$A$3:$R$88,4,FALSE)</f>
        <v>1</v>
      </c>
      <c r="J63" s="615" t="s">
        <v>63</v>
      </c>
      <c r="K63" s="672" t="s">
        <v>63</v>
      </c>
      <c r="L63" s="224">
        <f>VLOOKUP($A63,'OK Data'!$A$3:$R$88,13,FALSE)</f>
        <v>0</v>
      </c>
      <c r="M63" s="614" t="s">
        <v>63</v>
      </c>
      <c r="N63" s="614" t="s">
        <v>63</v>
      </c>
      <c r="O63" s="614" t="s">
        <v>63</v>
      </c>
      <c r="P63" s="620">
        <f>ifna(vlookup(A63,'Population &amp; Church Numbers'!$A$2134:$D$2210,4,FALSE),"NULL")</f>
        <v>59</v>
      </c>
      <c r="Q63" s="674" t="s">
        <v>63</v>
      </c>
    </row>
    <row r="64">
      <c r="A64" s="609" t="s">
        <v>1379</v>
      </c>
      <c r="B64" s="610">
        <f t="array" ref="B64">VLOOKUP($A64,OK_DEMO,2,FALSE)</f>
        <v>38065</v>
      </c>
      <c r="C64" s="948">
        <f>VLOOKUP($A64,'OK Data'!$A$3:$R$88,2,FALSE)</f>
        <v>20</v>
      </c>
      <c r="D64" s="612" t="s">
        <v>63</v>
      </c>
      <c r="E64" s="612" t="s">
        <v>63</v>
      </c>
      <c r="F64" s="612" t="s">
        <v>63</v>
      </c>
      <c r="G64" s="612">
        <f>VLOOKUP($A64,'OK Data'!$A$3:$R$95,9,FALSE)</f>
        <v>6</v>
      </c>
      <c r="H64" s="1164">
        <f>VLOOKUP($A64,'OK Data'!$A$3:$R$88,18,FALSE)</f>
        <v>12</v>
      </c>
      <c r="I64" s="614">
        <f>VLOOKUP($A64,'OK Data'!$A$3:$R$88,4,FALSE)</f>
        <v>0</v>
      </c>
      <c r="J64" s="615" t="s">
        <v>63</v>
      </c>
      <c r="K64" s="672" t="s">
        <v>63</v>
      </c>
      <c r="L64" s="224">
        <f>VLOOKUP($A64,'OK Data'!$A$3:$R$88,13,FALSE)</f>
        <v>0</v>
      </c>
      <c r="M64" s="614" t="s">
        <v>63</v>
      </c>
      <c r="N64" s="614" t="s">
        <v>63</v>
      </c>
      <c r="O64" s="614" t="s">
        <v>63</v>
      </c>
      <c r="P64" s="620">
        <f>ifna(vlookup(A64,'Population &amp; Church Numbers'!$A$2134:$D$2210,4,FALSE),"NULL")</f>
        <v>47</v>
      </c>
      <c r="Q64" s="674" t="s">
        <v>63</v>
      </c>
    </row>
    <row r="65">
      <c r="A65" s="609" t="s">
        <v>1000</v>
      </c>
      <c r="B65" s="610">
        <f t="array" ref="B65">VLOOKUP($A65,OK_DEMO,2,FALSE)</f>
        <v>72454</v>
      </c>
      <c r="C65" s="948">
        <f>VLOOKUP($A65,'OK Data'!$A$3:$R$88,2,FALSE)</f>
        <v>105</v>
      </c>
      <c r="D65" s="612" t="s">
        <v>63</v>
      </c>
      <c r="E65" s="612" t="s">
        <v>63</v>
      </c>
      <c r="F65" s="612" t="s">
        <v>63</v>
      </c>
      <c r="G65" s="612">
        <f>VLOOKUP($A65,'OK Data'!$A$3:$R$95,9,FALSE)</f>
        <v>24</v>
      </c>
      <c r="H65" s="1164">
        <f>VLOOKUP($A65,'OK Data'!$A$3:$R$88,18,FALSE)</f>
        <v>71</v>
      </c>
      <c r="I65" s="614">
        <f>VLOOKUP($A65,'OK Data'!$A$3:$R$88,4,FALSE)</f>
        <v>7</v>
      </c>
      <c r="J65" s="615" t="s">
        <v>63</v>
      </c>
      <c r="K65" s="672" t="s">
        <v>63</v>
      </c>
      <c r="L65" s="224">
        <f>VLOOKUP($A65,'OK Data'!$A$3:$R$88,13,FALSE)</f>
        <v>8</v>
      </c>
      <c r="M65" s="614" t="s">
        <v>63</v>
      </c>
      <c r="N65" s="614" t="s">
        <v>63</v>
      </c>
      <c r="O65" s="614" t="s">
        <v>63</v>
      </c>
      <c r="P65" s="620">
        <f>ifna(vlookup(A65,'Population &amp; Church Numbers'!$A$2134:$D$2210,4,FALSE),"NULL")</f>
        <v>92</v>
      </c>
      <c r="Q65" s="674" t="s">
        <v>63</v>
      </c>
    </row>
    <row r="66">
      <c r="A66" s="609" t="s">
        <v>1757</v>
      </c>
      <c r="B66" s="610">
        <f t="array" ref="B66">VLOOKUP($A66,OK_DEMO,2,FALSE)</f>
        <v>10812</v>
      </c>
      <c r="C66" s="948">
        <f>VLOOKUP($A66,'OK Data'!$A$3:$R$88,2,FALSE)</f>
        <v>87</v>
      </c>
      <c r="D66" s="612" t="s">
        <v>63</v>
      </c>
      <c r="E66" s="612" t="s">
        <v>63</v>
      </c>
      <c r="F66" s="612" t="s">
        <v>63</v>
      </c>
      <c r="G66" s="612">
        <f>VLOOKUP($A66,'OK Data'!$A$3:$R$95,9,FALSE)</f>
        <v>24</v>
      </c>
      <c r="H66" s="1164">
        <f>VLOOKUP($A66,'OK Data'!$A$3:$R$88,18,FALSE)</f>
        <v>50</v>
      </c>
      <c r="I66" s="614">
        <f>VLOOKUP($A66,'OK Data'!$A$3:$R$88,4,FALSE)</f>
        <v>2</v>
      </c>
      <c r="J66" s="615" t="s">
        <v>63</v>
      </c>
      <c r="K66" s="672" t="s">
        <v>63</v>
      </c>
      <c r="L66" s="224">
        <f>VLOOKUP($A66,'OK Data'!$A$3:$R$88,13,FALSE)</f>
        <v>8</v>
      </c>
      <c r="M66" s="614" t="s">
        <v>63</v>
      </c>
      <c r="N66" s="614" t="s">
        <v>63</v>
      </c>
      <c r="O66" s="614" t="s">
        <v>63</v>
      </c>
      <c r="P66" s="620">
        <f>ifna(vlookup(A66,'Population &amp; Church Numbers'!$A$2134:$D$2210,4,FALSE),"NULL")</f>
        <v>17</v>
      </c>
      <c r="Q66" s="674" t="s">
        <v>63</v>
      </c>
    </row>
    <row r="67">
      <c r="A67" s="609" t="s">
        <v>1758</v>
      </c>
      <c r="B67" s="610">
        <f t="array" ref="B67">VLOOKUP($A67,OK_DEMO,2,FALSE)</f>
        <v>3442</v>
      </c>
      <c r="C67" s="948">
        <f>VLOOKUP($A67,'OK Data'!$A$3:$R$88,2,FALSE)</f>
        <v>0</v>
      </c>
      <c r="D67" s="612" t="s">
        <v>63</v>
      </c>
      <c r="E67" s="612" t="s">
        <v>63</v>
      </c>
      <c r="F67" s="612" t="s">
        <v>63</v>
      </c>
      <c r="G67" s="612">
        <f>VLOOKUP($A67,'OK Data'!$A$3:$R$95,9,FALSE)</f>
        <v>0</v>
      </c>
      <c r="H67" s="1164">
        <f>VLOOKUP($A67,'OK Data'!$A$3:$R$88,18,FALSE)</f>
        <v>5</v>
      </c>
      <c r="I67" s="614">
        <f>VLOOKUP($A67,'OK Data'!$A$3:$R$88,4,FALSE)</f>
        <v>0</v>
      </c>
      <c r="J67" s="615" t="s">
        <v>63</v>
      </c>
      <c r="K67" s="672" t="s">
        <v>63</v>
      </c>
      <c r="L67" s="224">
        <f>VLOOKUP($A67,'OK Data'!$A$3:$R$88,13,FALSE)</f>
        <v>0</v>
      </c>
      <c r="M67" s="614" t="s">
        <v>63</v>
      </c>
      <c r="N67" s="614" t="s">
        <v>63</v>
      </c>
      <c r="O67" s="614" t="s">
        <v>63</v>
      </c>
      <c r="P67" s="620">
        <f>ifna(vlookup(A67,'Population &amp; Church Numbers'!$A$2134:$D$2210,4,FALSE),"NULL")</f>
        <v>10</v>
      </c>
      <c r="Q67" s="674" t="s">
        <v>63</v>
      </c>
    </row>
    <row r="68">
      <c r="A68" s="609" t="s">
        <v>1759</v>
      </c>
      <c r="B68" s="610">
        <f t="array" ref="B68">VLOOKUP($A68,OK_DEMO,2,FALSE)</f>
        <v>95240</v>
      </c>
      <c r="C68" s="948">
        <f>VLOOKUP($A68,'OK Data'!$A$3:$R$88,2,FALSE)</f>
        <v>99</v>
      </c>
      <c r="D68" s="612" t="s">
        <v>63</v>
      </c>
      <c r="E68" s="612" t="s">
        <v>63</v>
      </c>
      <c r="F68" s="612" t="s">
        <v>63</v>
      </c>
      <c r="G68" s="612">
        <f>VLOOKUP($A68,'OK Data'!$A$3:$R$95,9,FALSE)</f>
        <v>28</v>
      </c>
      <c r="H68" s="1164">
        <f>VLOOKUP($A68,'OK Data'!$A$3:$R$88,18,FALSE)</f>
        <v>80</v>
      </c>
      <c r="I68" s="614">
        <f>VLOOKUP($A68,'OK Data'!$A$3:$R$88,4,FALSE)</f>
        <v>3</v>
      </c>
      <c r="J68" s="615" t="s">
        <v>63</v>
      </c>
      <c r="K68" s="672" t="s">
        <v>63</v>
      </c>
      <c r="L68" s="224">
        <f>VLOOKUP($A68,'OK Data'!$A$3:$R$88,13,FALSE)</f>
        <v>2</v>
      </c>
      <c r="M68" s="614" t="s">
        <v>63</v>
      </c>
      <c r="N68" s="614" t="s">
        <v>63</v>
      </c>
      <c r="O68" s="614" t="s">
        <v>63</v>
      </c>
      <c r="P68" s="620">
        <f>ifna(vlookup(A68,'Population &amp; Church Numbers'!$A$2134:$D$2210,4,FALSE),"NULL")</f>
        <v>83</v>
      </c>
      <c r="Q68" s="674" t="s">
        <v>63</v>
      </c>
    </row>
    <row r="69">
      <c r="A69" s="609" t="s">
        <v>524</v>
      </c>
      <c r="B69" s="610">
        <f t="array" ref="B69">VLOOKUP($A69,OK_DEMO,2,FALSE)</f>
        <v>23556</v>
      </c>
      <c r="C69" s="948">
        <f>VLOOKUP($A69,'OK Data'!$A$3:$R$88,2,FALSE)</f>
        <v>62</v>
      </c>
      <c r="D69" s="612" t="s">
        <v>63</v>
      </c>
      <c r="E69" s="612" t="s">
        <v>63</v>
      </c>
      <c r="F69" s="612" t="s">
        <v>63</v>
      </c>
      <c r="G69" s="612">
        <f>VLOOKUP($A69,'OK Data'!$A$3:$R$95,9,FALSE)</f>
        <v>15</v>
      </c>
      <c r="H69" s="1164">
        <f>VLOOKUP($A69,'OK Data'!$A$3:$R$88,18,FALSE)</f>
        <v>46</v>
      </c>
      <c r="I69" s="614">
        <f>VLOOKUP($A69,'OK Data'!$A$3:$R$88,4,FALSE)</f>
        <v>1</v>
      </c>
      <c r="J69" s="615" t="s">
        <v>63</v>
      </c>
      <c r="K69" s="672" t="s">
        <v>63</v>
      </c>
      <c r="L69" s="224">
        <f>VLOOKUP($A69,'OK Data'!$A$3:$R$88,13,FALSE)</f>
        <v>0</v>
      </c>
      <c r="M69" s="614" t="s">
        <v>63</v>
      </c>
      <c r="N69" s="614" t="s">
        <v>63</v>
      </c>
      <c r="O69" s="614" t="s">
        <v>63</v>
      </c>
      <c r="P69" s="620">
        <f>ifna(vlookup(A69,'Population &amp; Church Numbers'!$A$2134:$D$2210,4,FALSE),"NULL")</f>
        <v>39</v>
      </c>
      <c r="Q69" s="674" t="s">
        <v>63</v>
      </c>
    </row>
    <row r="70">
      <c r="A70" s="609" t="s">
        <v>1761</v>
      </c>
      <c r="B70" s="610">
        <f t="array" ref="B70">VLOOKUP($A70,OK_DEMO,2,FALSE)</f>
        <v>39281</v>
      </c>
      <c r="C70" s="948">
        <f>VLOOKUP($A70,'OK Data'!$A$3:$R$88,2,FALSE)</f>
        <v>66</v>
      </c>
      <c r="D70" s="612" t="s">
        <v>63</v>
      </c>
      <c r="E70" s="612" t="s">
        <v>63</v>
      </c>
      <c r="F70" s="612" t="s">
        <v>63</v>
      </c>
      <c r="G70" s="612">
        <f>VLOOKUP($A70,'OK Data'!$A$3:$R$95,9,FALSE)</f>
        <v>15</v>
      </c>
      <c r="H70" s="1164">
        <f>VLOOKUP($A70,'OK Data'!$A$3:$R$88,18,FALSE)</f>
        <v>78</v>
      </c>
      <c r="I70" s="614">
        <f>VLOOKUP($A70,'OK Data'!$A$3:$R$88,4,FALSE)</f>
        <v>4</v>
      </c>
      <c r="J70" s="615" t="s">
        <v>63</v>
      </c>
      <c r="K70" s="672" t="s">
        <v>63</v>
      </c>
      <c r="L70" s="224">
        <f>VLOOKUP($A70,'OK Data'!$A$3:$R$88,13,FALSE)</f>
        <v>11</v>
      </c>
      <c r="M70" s="614" t="s">
        <v>63</v>
      </c>
      <c r="N70" s="614" t="s">
        <v>63</v>
      </c>
      <c r="O70" s="614" t="s">
        <v>63</v>
      </c>
      <c r="P70" s="620">
        <f>ifna(vlookup(A70,'Population &amp; Church Numbers'!$A$2134:$D$2210,4,FALSE),"NULL")</f>
        <v>49</v>
      </c>
      <c r="Q70" s="674" t="s">
        <v>63</v>
      </c>
    </row>
    <row r="71">
      <c r="A71" s="609" t="s">
        <v>628</v>
      </c>
      <c r="B71" s="610">
        <f t="array" ref="B71">VLOOKUP($A71,OK_DEMO,2,FALSE)</f>
        <v>42848</v>
      </c>
      <c r="C71" s="948">
        <f>VLOOKUP($A71,'OK Data'!$A$3:$R$88,2,FALSE)</f>
        <v>88</v>
      </c>
      <c r="D71" s="612" t="s">
        <v>63</v>
      </c>
      <c r="E71" s="612" t="s">
        <v>63</v>
      </c>
      <c r="F71" s="612" t="s">
        <v>63</v>
      </c>
      <c r="G71" s="612">
        <f>VLOOKUP($A71,'OK Data'!$A$3:$R$95,9,FALSE)</f>
        <v>20</v>
      </c>
      <c r="H71" s="1164">
        <f>VLOOKUP($A71,'OK Data'!$A$3:$R$88,18,FALSE)</f>
        <v>27</v>
      </c>
      <c r="I71" s="614">
        <f>VLOOKUP($A71,'OK Data'!$A$3:$R$88,4,FALSE)</f>
        <v>1</v>
      </c>
      <c r="J71" s="615" t="s">
        <v>63</v>
      </c>
      <c r="K71" s="672" t="s">
        <v>63</v>
      </c>
      <c r="L71" s="224">
        <f>VLOOKUP($A71,'OK Data'!$A$3:$R$88,13,FALSE)</f>
        <v>7</v>
      </c>
      <c r="M71" s="614" t="s">
        <v>63</v>
      </c>
      <c r="N71" s="614" t="s">
        <v>63</v>
      </c>
      <c r="O71" s="614" t="s">
        <v>63</v>
      </c>
      <c r="P71" s="620">
        <f>ifna(vlookup(A71,'Population &amp; Church Numbers'!$A$2134:$D$2210,4,FALSE),"NULL")</f>
        <v>76</v>
      </c>
      <c r="Q71" s="674" t="s">
        <v>63</v>
      </c>
    </row>
    <row r="72">
      <c r="A72" s="609" t="s">
        <v>113</v>
      </c>
      <c r="B72" s="610">
        <f t="array" ref="B72">VLOOKUP($A72,OK_DEMO,2,FALSE)</f>
        <v>21384</v>
      </c>
      <c r="C72" s="948">
        <f>VLOOKUP($A72,'OK Data'!$A$3:$R$88,2,FALSE)</f>
        <v>30</v>
      </c>
      <c r="D72" s="612" t="s">
        <v>63</v>
      </c>
      <c r="E72" s="612" t="s">
        <v>63</v>
      </c>
      <c r="F72" s="612" t="s">
        <v>63</v>
      </c>
      <c r="G72" s="612">
        <f>VLOOKUP($A72,'OK Data'!$A$3:$R$95,9,FALSE)</f>
        <v>11</v>
      </c>
      <c r="H72" s="1164">
        <f>VLOOKUP($A72,'OK Data'!$A$3:$R$88,18,FALSE)</f>
        <v>8</v>
      </c>
      <c r="I72" s="614">
        <f>VLOOKUP($A72,'OK Data'!$A$3:$R$88,4,FALSE)</f>
        <v>4</v>
      </c>
      <c r="J72" s="615" t="s">
        <v>63</v>
      </c>
      <c r="K72" s="672" t="s">
        <v>63</v>
      </c>
      <c r="L72" s="224">
        <f>VLOOKUP($A72,'OK Data'!$A$3:$R$88,13,FALSE)</f>
        <v>0</v>
      </c>
      <c r="M72" s="614" t="s">
        <v>63</v>
      </c>
      <c r="N72" s="614" t="s">
        <v>63</v>
      </c>
      <c r="O72" s="614" t="s">
        <v>63</v>
      </c>
      <c r="P72" s="620">
        <f>ifna(vlookup(A72,'Population &amp; Church Numbers'!$A$2134:$D$2210,4,FALSE),"NULL")</f>
        <v>32</v>
      </c>
      <c r="Q72" s="674" t="s">
        <v>63</v>
      </c>
    </row>
    <row r="73">
      <c r="A73" s="609" t="s">
        <v>1762</v>
      </c>
      <c r="B73" s="610">
        <f t="array" ref="B73">VLOOKUP($A73,OK_DEMO,2,FALSE)</f>
        <v>6968</v>
      </c>
      <c r="C73" s="948">
        <f>VLOOKUP($A73,'OK Data'!$A$3:$R$88,2,FALSE)</f>
        <v>0</v>
      </c>
      <c r="D73" s="612" t="s">
        <v>63</v>
      </c>
      <c r="E73" s="612" t="s">
        <v>63</v>
      </c>
      <c r="F73" s="612" t="s">
        <v>63</v>
      </c>
      <c r="G73" s="612">
        <f>VLOOKUP($A73,'OK Data'!$A$3:$R$95,9,FALSE)</f>
        <v>0</v>
      </c>
      <c r="H73" s="1164">
        <f>VLOOKUP($A73,'OK Data'!$A$3:$R$88,18,FALSE)</f>
        <v>3</v>
      </c>
      <c r="I73" s="614">
        <f>VLOOKUP($A73,'OK Data'!$A$3:$R$88,4,FALSE)</f>
        <v>0</v>
      </c>
      <c r="J73" s="615" t="s">
        <v>63</v>
      </c>
      <c r="K73" s="672" t="s">
        <v>63</v>
      </c>
      <c r="L73" s="224">
        <f>VLOOKUP($A73,'OK Data'!$A$3:$R$88,13,FALSE)</f>
        <v>0</v>
      </c>
      <c r="M73" s="614" t="s">
        <v>63</v>
      </c>
      <c r="N73" s="614" t="s">
        <v>63</v>
      </c>
      <c r="O73" s="614" t="s">
        <v>63</v>
      </c>
      <c r="P73" s="620">
        <f>ifna(vlookup(A73,'Population &amp; Church Numbers'!$A$2134:$D$2210,4,FALSE),"NULL")</f>
        <v>25</v>
      </c>
      <c r="Q73" s="674" t="s">
        <v>63</v>
      </c>
    </row>
    <row r="74">
      <c r="A74" s="609" t="s">
        <v>592</v>
      </c>
      <c r="B74" s="610">
        <f t="array" ref="B74">VLOOKUP($A74,OK_DEMO,2,FALSE)</f>
        <v>669279</v>
      </c>
      <c r="C74" s="948">
        <f>VLOOKUP($A74,'OK Data'!$A$3:$R$88,2,FALSE)</f>
        <v>1006</v>
      </c>
      <c r="D74" s="612" t="s">
        <v>63</v>
      </c>
      <c r="E74" s="612" t="s">
        <v>63</v>
      </c>
      <c r="F74" s="612" t="s">
        <v>63</v>
      </c>
      <c r="G74" s="612">
        <f>VLOOKUP($A74,'OK Data'!$A$3:$R$95,9,FALSE)</f>
        <v>188</v>
      </c>
      <c r="H74" s="1164">
        <f>VLOOKUP($A74,'OK Data'!$A$3:$R$88,18,FALSE)</f>
        <v>492</v>
      </c>
      <c r="I74" s="614">
        <f>VLOOKUP($A74,'OK Data'!$A$3:$R$88,4,FALSE)</f>
        <v>68</v>
      </c>
      <c r="J74" s="615" t="s">
        <v>63</v>
      </c>
      <c r="K74" s="672" t="s">
        <v>63</v>
      </c>
      <c r="L74" s="224">
        <f>VLOOKUP($A74,'OK Data'!$A$3:$R$88,13,FALSE)</f>
        <v>126</v>
      </c>
      <c r="M74" s="614" t="s">
        <v>63</v>
      </c>
      <c r="N74" s="614" t="s">
        <v>63</v>
      </c>
      <c r="O74" s="614" t="s">
        <v>63</v>
      </c>
      <c r="P74" s="620">
        <f>ifna(vlookup(A74,'Population &amp; Church Numbers'!$A$2134:$D$2210,4,FALSE),"NULL")</f>
        <v>519</v>
      </c>
      <c r="Q74" s="674" t="s">
        <v>63</v>
      </c>
    </row>
    <row r="75">
      <c r="A75" s="609" t="s">
        <v>1763</v>
      </c>
      <c r="B75" s="610">
        <f t="array" ref="B75">VLOOKUP($A75,OK_DEMO,2,FALSE)</f>
        <v>80981</v>
      </c>
      <c r="C75" s="948">
        <f>VLOOKUP($A75,'OK Data'!$A$3:$R$88,2,FALSE)</f>
        <v>1498</v>
      </c>
      <c r="D75" s="612" t="s">
        <v>63</v>
      </c>
      <c r="E75" s="612" t="s">
        <v>63</v>
      </c>
      <c r="F75" s="612" t="s">
        <v>63</v>
      </c>
      <c r="G75" s="612">
        <f>VLOOKUP($A75,'OK Data'!$A$3:$R$95,9,FALSE)</f>
        <v>309</v>
      </c>
      <c r="H75" s="1164">
        <f>VLOOKUP($A75,'OK Data'!$A$3:$R$88,18,FALSE)</f>
        <v>882</v>
      </c>
      <c r="I75" s="614">
        <f>VLOOKUP($A75,'OK Data'!$A$3:$R$88,4,FALSE)</f>
        <v>88</v>
      </c>
      <c r="J75" s="615" t="s">
        <v>63</v>
      </c>
      <c r="K75" s="672" t="s">
        <v>63</v>
      </c>
      <c r="L75" s="224">
        <f>VLOOKUP($A75,'OK Data'!$A$3:$R$88,13,FALSE)</f>
        <v>158</v>
      </c>
      <c r="M75" s="614" t="s">
        <v>63</v>
      </c>
      <c r="N75" s="614" t="s">
        <v>63</v>
      </c>
      <c r="O75" s="614" t="s">
        <v>63</v>
      </c>
      <c r="P75" s="620">
        <f>ifna(vlookup(A75,'Population &amp; Church Numbers'!$A$2134:$D$2210,4,FALSE),"NULL")</f>
        <v>67</v>
      </c>
      <c r="Q75" s="674" t="s">
        <v>63</v>
      </c>
    </row>
    <row r="76">
      <c r="A76" s="609" t="s">
        <v>119</v>
      </c>
      <c r="B76" s="610">
        <f t="array" ref="B76">VLOOKUP($A76,OK_DEMO,2,FALSE)</f>
        <v>52455</v>
      </c>
      <c r="C76" s="948">
        <f>VLOOKUP($A76,'OK Data'!$A$3:$R$88,2,FALSE)</f>
        <v>67</v>
      </c>
      <c r="D76" s="612" t="s">
        <v>63</v>
      </c>
      <c r="E76" s="612" t="s">
        <v>63</v>
      </c>
      <c r="F76" s="612" t="s">
        <v>63</v>
      </c>
      <c r="G76" s="612">
        <f>VLOOKUP($A76,'OK Data'!$A$3:$R$95,9,FALSE)</f>
        <v>14</v>
      </c>
      <c r="H76" s="1164">
        <f>VLOOKUP($A76,'OK Data'!$A$3:$R$88,18,FALSE)</f>
        <v>63</v>
      </c>
      <c r="I76" s="614">
        <f>VLOOKUP($A76,'OK Data'!$A$3:$R$88,4,FALSE)</f>
        <v>1</v>
      </c>
      <c r="J76" s="615" t="s">
        <v>63</v>
      </c>
      <c r="K76" s="672" t="s">
        <v>63</v>
      </c>
      <c r="L76" s="224">
        <f>VLOOKUP($A76,'OK Data'!$A$3:$R$88,13,FALSE)</f>
        <v>18</v>
      </c>
      <c r="M76" s="614" t="s">
        <v>63</v>
      </c>
      <c r="N76" s="614" t="s">
        <v>63</v>
      </c>
      <c r="O76" s="614" t="s">
        <v>63</v>
      </c>
      <c r="P76" s="620">
        <f>ifna(vlookup(A76,'Population &amp; Church Numbers'!$A$2134:$D$2210,4,FALSE),"NULL")</f>
        <v>78</v>
      </c>
      <c r="Q76" s="674" t="s">
        <v>63</v>
      </c>
    </row>
    <row r="77">
      <c r="A77" s="609" t="s">
        <v>1765</v>
      </c>
      <c r="B77" s="610">
        <f t="array" ref="B77">VLOOKUP($A77,OK_DEMO,2,FALSE)</f>
        <v>10924</v>
      </c>
      <c r="C77" s="948">
        <f>VLOOKUP($A77,'OK Data'!$A$3:$R$88,2,FALSE)</f>
        <v>0</v>
      </c>
      <c r="D77" s="612" t="s">
        <v>63</v>
      </c>
      <c r="E77" s="612" t="s">
        <v>63</v>
      </c>
      <c r="F77" s="612" t="s">
        <v>63</v>
      </c>
      <c r="G77" s="612">
        <f>VLOOKUP($A77,'OK Data'!$A$3:$R$95,9,FALSE)</f>
        <v>0</v>
      </c>
      <c r="H77" s="1164">
        <f>VLOOKUP($A77,'OK Data'!$A$3:$R$88,18,FALSE)</f>
        <v>12</v>
      </c>
      <c r="I77" s="614">
        <f>VLOOKUP($A77,'OK Data'!$A$3:$R$88,4,FALSE)</f>
        <v>0</v>
      </c>
      <c r="J77" s="615" t="s">
        <v>63</v>
      </c>
      <c r="K77" s="672" t="s">
        <v>63</v>
      </c>
      <c r="L77" s="224">
        <f>VLOOKUP($A77,'OK Data'!$A$3:$R$88,13,FALSE)</f>
        <v>1</v>
      </c>
      <c r="M77" s="614" t="s">
        <v>63</v>
      </c>
      <c r="N77" s="614" t="s">
        <v>63</v>
      </c>
      <c r="O77" s="614" t="s">
        <v>63</v>
      </c>
      <c r="P77" s="620">
        <f>ifna(vlookup(A77,'Population &amp; Church Numbers'!$A$2134:$D$2210,4,FALSE),"NULL")</f>
        <v>20</v>
      </c>
      <c r="Q77" s="674" t="s">
        <v>63</v>
      </c>
    </row>
    <row r="78">
      <c r="A78" s="609" t="s">
        <v>1766</v>
      </c>
      <c r="B78" s="610">
        <f t="array" ref="B78">VLOOKUP($A78,OK_DEMO,2,FALSE)</f>
        <v>8624</v>
      </c>
      <c r="C78" s="948">
        <f>VLOOKUP($A78,'OK Data'!$A$3:$R$88,2,FALSE)</f>
        <v>20</v>
      </c>
      <c r="D78" s="612" t="s">
        <v>63</v>
      </c>
      <c r="E78" s="612" t="s">
        <v>63</v>
      </c>
      <c r="F78" s="612" t="s">
        <v>63</v>
      </c>
      <c r="G78" s="612">
        <f>VLOOKUP($A78,'OK Data'!$A$3:$R$95,9,FALSE)</f>
        <v>3</v>
      </c>
      <c r="H78" s="1164">
        <f>VLOOKUP($A78,'OK Data'!$A$3:$R$88,18,FALSE)</f>
        <v>9</v>
      </c>
      <c r="I78" s="614">
        <f>VLOOKUP($A78,'OK Data'!$A$3:$R$88,4,FALSE)</f>
        <v>4</v>
      </c>
      <c r="J78" s="615" t="s">
        <v>63</v>
      </c>
      <c r="K78" s="672" t="s">
        <v>63</v>
      </c>
      <c r="L78" s="224">
        <f>VLOOKUP($A78,'OK Data'!$A$3:$R$88,13,FALSE)</f>
        <v>1</v>
      </c>
      <c r="M78" s="614" t="s">
        <v>63</v>
      </c>
      <c r="N78" s="614" t="s">
        <v>63</v>
      </c>
      <c r="O78" s="614" t="s">
        <v>63</v>
      </c>
      <c r="P78" s="620">
        <f>ifna(vlookup(A78,'Population &amp; Church Numbers'!$A$2134:$D$2210,4,FALSE),"NULL")</f>
        <v>22</v>
      </c>
      <c r="Q78" s="674" t="s">
        <v>63</v>
      </c>
    </row>
    <row r="79">
      <c r="A79" s="609" t="s">
        <v>1767</v>
      </c>
      <c r="B79" s="610">
        <f t="array" ref="B79">VLOOKUP($A79,OK_DEMO,2,FALSE)</f>
        <v>20470</v>
      </c>
      <c r="C79" s="948">
        <f>VLOOKUP($A79,'OK Data'!$A$3:$R$88,2,FALSE)</f>
        <v>35</v>
      </c>
      <c r="D79" s="612" t="s">
        <v>63</v>
      </c>
      <c r="E79" s="612" t="s">
        <v>63</v>
      </c>
      <c r="F79" s="612" t="s">
        <v>63</v>
      </c>
      <c r="G79" s="612">
        <f>VLOOKUP($A79,'OK Data'!$A$3:$R$95,9,FALSE)</f>
        <v>8</v>
      </c>
      <c r="H79" s="1164">
        <f>VLOOKUP($A79,'OK Data'!$A$3:$R$88,18,FALSE)</f>
        <v>22</v>
      </c>
      <c r="I79" s="614">
        <f>VLOOKUP($A79,'OK Data'!$A$3:$R$88,4,FALSE)</f>
        <v>4</v>
      </c>
      <c r="J79" s="615" t="s">
        <v>63</v>
      </c>
      <c r="K79" s="672" t="s">
        <v>63</v>
      </c>
      <c r="L79" s="224">
        <f>VLOOKUP($A79,'OK Data'!$A$3:$R$88,13,FALSE)</f>
        <v>2</v>
      </c>
      <c r="M79" s="614" t="s">
        <v>63</v>
      </c>
      <c r="N79" s="614" t="s">
        <v>63</v>
      </c>
      <c r="O79" s="614" t="s">
        <v>63</v>
      </c>
      <c r="P79" s="620">
        <f>ifna(vlookup(A79,'Population &amp; Church Numbers'!$A$2134:$D$2210,4,FALSE),"NULL")</f>
        <v>35</v>
      </c>
      <c r="Q79" s="674" t="s">
        <v>63</v>
      </c>
    </row>
    <row r="80">
      <c r="A80" s="217"/>
      <c r="B80" s="218"/>
      <c r="C80" s="219"/>
      <c r="D80" s="220"/>
      <c r="E80" s="220"/>
      <c r="F80" s="220"/>
      <c r="G80" s="220"/>
      <c r="H80" s="221"/>
      <c r="I80" s="222"/>
      <c r="J80" s="223"/>
      <c r="K80" s="219"/>
      <c r="L80" s="224"/>
      <c r="M80" s="225"/>
      <c r="N80" s="226"/>
      <c r="O80" s="220"/>
      <c r="P80" s="221"/>
      <c r="Q80" s="295"/>
    </row>
    <row r="81">
      <c r="A81" s="228" t="s">
        <v>2</v>
      </c>
      <c r="B81" s="229"/>
      <c r="C81" s="230">
        <f>'OK Data'!B88</f>
        <v>5971</v>
      </c>
      <c r="D81" s="311" t="s">
        <v>63</v>
      </c>
      <c r="E81" s="311" t="s">
        <v>63</v>
      </c>
      <c r="F81" s="311" t="s">
        <v>63</v>
      </c>
      <c r="G81" s="465">
        <f>'OK Data'!I88</f>
        <v>1399</v>
      </c>
      <c r="H81" s="233">
        <f>'OK Data'!R88</f>
        <v>3319</v>
      </c>
      <c r="I81" s="433">
        <f>'OK Data'!D88</f>
        <v>386</v>
      </c>
      <c r="J81" s="235" t="s">
        <v>63</v>
      </c>
      <c r="K81" s="236" t="s">
        <v>63</v>
      </c>
      <c r="L81" s="233">
        <f>'OK Data'!M88</f>
        <v>450</v>
      </c>
      <c r="M81" s="360" t="s">
        <v>63</v>
      </c>
      <c r="N81" s="311" t="s">
        <v>63</v>
      </c>
      <c r="O81" s="311" t="s">
        <v>63</v>
      </c>
      <c r="P81" s="233">
        <f>SUM(P3:P79)</f>
        <v>4397</v>
      </c>
      <c r="Q81" s="691" t="s">
        <v>63</v>
      </c>
    </row>
  </sheetData>
  <mergeCells count="1">
    <mergeCell ref="B1:Q1"/>
  </mergeCells>
  <drawing r:id="rId1"/>
  <tableParts count="1">
    <tablePart r:id="rId3"/>
  </tableParts>
</worksheet>
</file>

<file path=xl/worksheets/sheet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9" max="9" width="13.75"/>
    <col customWidth="1" min="11" max="11" width="16.13"/>
  </cols>
  <sheetData>
    <row r="1">
      <c r="A1" s="398" t="s">
        <v>1040</v>
      </c>
      <c r="B1" s="399"/>
      <c r="C1" s="399"/>
      <c r="D1" s="399"/>
      <c r="E1" s="1166" t="s">
        <v>765</v>
      </c>
      <c r="F1" s="1167" t="s">
        <v>3892</v>
      </c>
      <c r="G1" s="298"/>
      <c r="H1" s="298"/>
      <c r="I1" s="400" t="s">
        <v>767</v>
      </c>
      <c r="J1" s="434">
        <v>45469.0</v>
      </c>
      <c r="K1" s="400" t="s">
        <v>769</v>
      </c>
      <c r="L1" s="401">
        <v>45444.0</v>
      </c>
      <c r="M1" s="402"/>
    </row>
    <row r="2">
      <c r="A2" s="1168"/>
      <c r="B2" s="1169"/>
      <c r="C2" s="1169"/>
      <c r="D2" s="1170"/>
    </row>
    <row r="3">
      <c r="A3" s="1171" t="s">
        <v>3893</v>
      </c>
      <c r="B3" s="1172" t="s">
        <v>3894</v>
      </c>
      <c r="C3" s="1173" t="s">
        <v>3895</v>
      </c>
      <c r="D3" s="1173" t="s">
        <v>3896</v>
      </c>
      <c r="E3" s="1173" t="s">
        <v>3897</v>
      </c>
      <c r="F3" s="1173" t="s">
        <v>3898</v>
      </c>
      <c r="G3" s="1173" t="s">
        <v>3899</v>
      </c>
      <c r="H3" s="1173" t="s">
        <v>3900</v>
      </c>
      <c r="I3" s="1173" t="s">
        <v>3901</v>
      </c>
      <c r="J3" s="1173" t="s">
        <v>3902</v>
      </c>
      <c r="K3" s="1173" t="s">
        <v>3903</v>
      </c>
      <c r="L3" s="1173" t="s">
        <v>3904</v>
      </c>
      <c r="M3" s="1173" t="s">
        <v>3905</v>
      </c>
      <c r="N3" s="1173" t="s">
        <v>3906</v>
      </c>
      <c r="O3" s="1173" t="s">
        <v>3907</v>
      </c>
      <c r="P3" s="1174" t="s">
        <v>3908</v>
      </c>
      <c r="Q3" s="1175"/>
      <c r="R3" s="1177" t="s">
        <v>3909</v>
      </c>
      <c r="S3" s="1175"/>
      <c r="T3" s="1175"/>
      <c r="U3" s="1175"/>
      <c r="V3" s="1175"/>
      <c r="W3" s="1175"/>
      <c r="X3" s="1175"/>
      <c r="Y3" s="1175"/>
      <c r="Z3" s="1175"/>
      <c r="AA3" s="1175"/>
      <c r="AB3" s="1175"/>
      <c r="AC3" s="1175"/>
      <c r="AD3" s="1175"/>
      <c r="AE3" s="1175"/>
      <c r="AF3" s="1175"/>
      <c r="AG3" s="1175"/>
      <c r="AH3" s="1175"/>
      <c r="AI3" s="1175"/>
    </row>
    <row r="4">
      <c r="A4" s="1179" t="s">
        <v>3910</v>
      </c>
      <c r="B4" s="1180">
        <v>989.0</v>
      </c>
      <c r="C4" s="1181">
        <v>376.0</v>
      </c>
      <c r="D4" s="1181">
        <v>76.0</v>
      </c>
      <c r="E4" s="1182">
        <v>0.077</v>
      </c>
      <c r="F4" s="1181">
        <v>36.0</v>
      </c>
      <c r="G4" s="1182">
        <v>0.036</v>
      </c>
      <c r="H4" s="1181">
        <v>306.0</v>
      </c>
      <c r="I4" s="1181">
        <v>218.0</v>
      </c>
      <c r="J4" s="1182">
        <v>0.712</v>
      </c>
      <c r="K4" s="1181">
        <v>16.0</v>
      </c>
      <c r="L4" s="1182">
        <v>0.016</v>
      </c>
      <c r="M4" s="1181">
        <v>63.0</v>
      </c>
      <c r="N4" s="1181">
        <v>113.0</v>
      </c>
      <c r="O4" s="1181">
        <v>306.0</v>
      </c>
      <c r="P4" s="1181">
        <v>327.0</v>
      </c>
      <c r="Q4" s="1184"/>
      <c r="R4" s="1188">
        <f t="shared" ref="R4:R86" si="1">SUM(O4+P4)</f>
        <v>633</v>
      </c>
      <c r="S4" s="1189"/>
      <c r="T4" s="1189"/>
      <c r="U4" s="1189"/>
      <c r="V4" s="1189"/>
      <c r="W4" s="1189"/>
      <c r="X4" s="1189"/>
      <c r="Y4" s="1189"/>
      <c r="Z4" s="1189"/>
      <c r="AA4" s="1189"/>
      <c r="AB4" s="1189"/>
      <c r="AC4" s="1189"/>
      <c r="AD4" s="1189"/>
      <c r="AE4" s="1189"/>
      <c r="AF4" s="1189"/>
      <c r="AG4" s="1189"/>
      <c r="AH4" s="1189"/>
      <c r="AI4" s="1189"/>
    </row>
    <row r="5">
      <c r="A5" s="1190" t="s">
        <v>3911</v>
      </c>
      <c r="B5" s="1191">
        <v>0.0</v>
      </c>
      <c r="C5" s="1192">
        <v>0.0</v>
      </c>
      <c r="D5" s="1192">
        <v>0.0</v>
      </c>
      <c r="E5" s="1193">
        <v>0.0</v>
      </c>
      <c r="F5" s="1192">
        <v>0.0</v>
      </c>
      <c r="G5" s="1193">
        <v>0.0</v>
      </c>
      <c r="H5" s="1192">
        <v>0.0</v>
      </c>
      <c r="I5" s="1192">
        <v>0.0</v>
      </c>
      <c r="J5" s="1193">
        <v>0.0</v>
      </c>
      <c r="K5" s="1192">
        <v>0.0</v>
      </c>
      <c r="L5" s="1193">
        <v>0.0</v>
      </c>
      <c r="M5" s="1192">
        <v>0.0</v>
      </c>
      <c r="N5" s="1192">
        <v>0.0</v>
      </c>
      <c r="O5" s="1192">
        <v>5.0</v>
      </c>
      <c r="P5" s="1192">
        <v>5.0</v>
      </c>
      <c r="Q5" s="1195"/>
      <c r="R5" s="1188">
        <f t="shared" si="1"/>
        <v>10</v>
      </c>
      <c r="S5" s="1189"/>
      <c r="T5" s="1189"/>
      <c r="U5" s="1189"/>
      <c r="V5" s="1189"/>
      <c r="W5" s="1189"/>
      <c r="X5" s="1189"/>
      <c r="Y5" s="1189"/>
      <c r="Z5" s="1189"/>
      <c r="AA5" s="1189"/>
      <c r="AB5" s="1189"/>
      <c r="AC5" s="1189"/>
      <c r="AD5" s="1189"/>
      <c r="AE5" s="1189"/>
      <c r="AF5" s="1189"/>
      <c r="AG5" s="1189"/>
      <c r="AH5" s="1189"/>
      <c r="AI5" s="1189"/>
    </row>
    <row r="6">
      <c r="A6" s="1190" t="s">
        <v>3912</v>
      </c>
      <c r="B6" s="1191">
        <v>0.0</v>
      </c>
      <c r="C6" s="1192">
        <v>0.0</v>
      </c>
      <c r="D6" s="1192">
        <v>0.0</v>
      </c>
      <c r="E6" s="1193">
        <v>0.0</v>
      </c>
      <c r="F6" s="1192">
        <v>0.0</v>
      </c>
      <c r="G6" s="1193">
        <v>0.0</v>
      </c>
      <c r="H6" s="1192">
        <v>0.0</v>
      </c>
      <c r="I6" s="1192">
        <v>0.0</v>
      </c>
      <c r="J6" s="1193">
        <v>0.0</v>
      </c>
      <c r="K6" s="1192">
        <v>0.0</v>
      </c>
      <c r="L6" s="1193">
        <v>0.0</v>
      </c>
      <c r="M6" s="1192">
        <v>0.0</v>
      </c>
      <c r="N6" s="1192">
        <v>0.0</v>
      </c>
      <c r="O6" s="1192">
        <v>0.0</v>
      </c>
      <c r="P6" s="1192">
        <v>0.0</v>
      </c>
      <c r="Q6" s="1195"/>
      <c r="R6" s="1188">
        <f t="shared" si="1"/>
        <v>0</v>
      </c>
      <c r="S6" s="1189"/>
      <c r="T6" s="1189"/>
      <c r="U6" s="1189"/>
      <c r="V6" s="1189"/>
      <c r="W6" s="1189"/>
      <c r="X6" s="1189"/>
      <c r="Y6" s="1189"/>
      <c r="Z6" s="1189"/>
      <c r="AA6" s="1189"/>
      <c r="AB6" s="1189"/>
      <c r="AC6" s="1189"/>
      <c r="AD6" s="1189"/>
      <c r="AE6" s="1189"/>
      <c r="AF6" s="1189"/>
      <c r="AG6" s="1189"/>
      <c r="AH6" s="1189"/>
      <c r="AI6" s="1189"/>
    </row>
    <row r="7">
      <c r="A7" s="1190" t="s">
        <v>3913</v>
      </c>
      <c r="B7" s="1191">
        <v>100.0</v>
      </c>
      <c r="C7" s="1192">
        <v>39.0</v>
      </c>
      <c r="D7" s="1192">
        <v>2.0</v>
      </c>
      <c r="E7" s="1193">
        <v>0.02</v>
      </c>
      <c r="F7" s="1192">
        <v>0.0</v>
      </c>
      <c r="G7" s="1193">
        <v>0.0</v>
      </c>
      <c r="H7" s="1192">
        <v>49.0</v>
      </c>
      <c r="I7" s="1192">
        <v>36.0</v>
      </c>
      <c r="J7" s="1193">
        <v>0.735</v>
      </c>
      <c r="K7" s="1192">
        <v>0.0</v>
      </c>
      <c r="L7" s="1193">
        <v>0.0</v>
      </c>
      <c r="M7" s="1192">
        <v>0.0</v>
      </c>
      <c r="N7" s="1192">
        <v>0.0</v>
      </c>
      <c r="O7" s="1192">
        <v>15.0</v>
      </c>
      <c r="P7" s="1192">
        <v>25.0</v>
      </c>
      <c r="Q7" s="1195"/>
      <c r="R7" s="1188">
        <f t="shared" si="1"/>
        <v>40</v>
      </c>
      <c r="S7" s="1189"/>
      <c r="T7" s="1189"/>
      <c r="U7" s="1189"/>
      <c r="V7" s="1189"/>
      <c r="W7" s="1189"/>
      <c r="X7" s="1189"/>
      <c r="Y7" s="1189"/>
      <c r="Z7" s="1189"/>
      <c r="AA7" s="1189"/>
      <c r="AB7" s="1189"/>
      <c r="AC7" s="1189"/>
      <c r="AD7" s="1189"/>
      <c r="AE7" s="1189"/>
      <c r="AF7" s="1189"/>
      <c r="AG7" s="1189"/>
      <c r="AH7" s="1189"/>
      <c r="AI7" s="1189"/>
    </row>
    <row r="8">
      <c r="A8" s="1190" t="s">
        <v>3914</v>
      </c>
      <c r="B8" s="1191">
        <v>51.0</v>
      </c>
      <c r="C8" s="1192">
        <v>12.0</v>
      </c>
      <c r="D8" s="1192">
        <v>1.0</v>
      </c>
      <c r="E8" s="1193">
        <v>0.02</v>
      </c>
      <c r="F8" s="1192">
        <v>2.0</v>
      </c>
      <c r="G8" s="1193">
        <v>0.039</v>
      </c>
      <c r="H8" s="1192">
        <v>10.0</v>
      </c>
      <c r="I8" s="1192">
        <v>9.0</v>
      </c>
      <c r="J8" s="1193">
        <v>0.9</v>
      </c>
      <c r="K8" s="1192">
        <v>1.0</v>
      </c>
      <c r="L8" s="1193">
        <v>0.02</v>
      </c>
      <c r="M8" s="1192">
        <v>0.0</v>
      </c>
      <c r="N8" s="1192">
        <v>0.0</v>
      </c>
      <c r="O8" s="1192">
        <v>2.0</v>
      </c>
      <c r="P8" s="1192">
        <v>6.0</v>
      </c>
      <c r="Q8" s="1195"/>
      <c r="R8" s="1188">
        <f t="shared" si="1"/>
        <v>8</v>
      </c>
      <c r="S8" s="1189"/>
      <c r="T8" s="1189"/>
      <c r="U8" s="1189"/>
      <c r="V8" s="1189"/>
      <c r="W8" s="1189"/>
      <c r="X8" s="1189"/>
      <c r="Y8" s="1189"/>
      <c r="Z8" s="1189"/>
      <c r="AA8" s="1189"/>
      <c r="AB8" s="1189"/>
      <c r="AC8" s="1189"/>
      <c r="AD8" s="1189"/>
      <c r="AE8" s="1189"/>
      <c r="AF8" s="1189"/>
      <c r="AG8" s="1189"/>
      <c r="AH8" s="1189"/>
      <c r="AI8" s="1189"/>
    </row>
    <row r="9">
      <c r="A9" s="1190" t="s">
        <v>3915</v>
      </c>
      <c r="B9" s="1191">
        <v>180.0</v>
      </c>
      <c r="C9" s="1192">
        <v>43.0</v>
      </c>
      <c r="D9" s="1192">
        <v>7.0</v>
      </c>
      <c r="E9" s="1193">
        <v>0.039</v>
      </c>
      <c r="F9" s="1192">
        <v>8.0</v>
      </c>
      <c r="G9" s="1193">
        <v>0.044</v>
      </c>
      <c r="H9" s="1192">
        <v>51.0</v>
      </c>
      <c r="I9" s="1192">
        <v>32.0</v>
      </c>
      <c r="J9" s="1193">
        <v>0.627</v>
      </c>
      <c r="K9" s="1192">
        <v>9.0</v>
      </c>
      <c r="L9" s="1193">
        <v>0.05</v>
      </c>
      <c r="M9" s="1192">
        <v>19.0</v>
      </c>
      <c r="N9" s="1192">
        <v>31.0</v>
      </c>
      <c r="O9" s="1192">
        <v>96.0</v>
      </c>
      <c r="P9" s="1192">
        <v>92.0</v>
      </c>
      <c r="Q9" s="1195"/>
      <c r="R9" s="1188">
        <f t="shared" si="1"/>
        <v>188</v>
      </c>
      <c r="S9" s="1189"/>
      <c r="T9" s="1189"/>
      <c r="U9" s="1189"/>
      <c r="V9" s="1189"/>
      <c r="W9" s="1189"/>
      <c r="X9" s="1189"/>
      <c r="Y9" s="1189"/>
      <c r="Z9" s="1189"/>
      <c r="AA9" s="1189"/>
      <c r="AB9" s="1189"/>
      <c r="AC9" s="1189"/>
      <c r="AD9" s="1189"/>
      <c r="AE9" s="1189"/>
      <c r="AF9" s="1189"/>
      <c r="AG9" s="1189"/>
      <c r="AH9" s="1189"/>
      <c r="AI9" s="1189"/>
    </row>
    <row r="10">
      <c r="A10" s="1196" t="s">
        <v>3916</v>
      </c>
      <c r="B10" s="1191">
        <v>0.0</v>
      </c>
      <c r="C10" s="1192">
        <v>0.0</v>
      </c>
      <c r="D10" s="1192">
        <v>0.0</v>
      </c>
      <c r="E10" s="1193">
        <v>0.0</v>
      </c>
      <c r="F10" s="1192">
        <v>0.0</v>
      </c>
      <c r="G10" s="1193">
        <v>0.0</v>
      </c>
      <c r="H10" s="1192">
        <v>0.0</v>
      </c>
      <c r="I10" s="1192">
        <v>0.0</v>
      </c>
      <c r="J10" s="1193">
        <v>0.0</v>
      </c>
      <c r="K10" s="1192">
        <v>0.0</v>
      </c>
      <c r="L10" s="1193">
        <v>0.0</v>
      </c>
      <c r="M10" s="1192">
        <v>0.0</v>
      </c>
      <c r="N10" s="1192">
        <v>0.0</v>
      </c>
      <c r="O10" s="1192">
        <v>0.0</v>
      </c>
      <c r="P10" s="1192">
        <v>0.0</v>
      </c>
      <c r="Q10" s="1195"/>
      <c r="R10" s="1188">
        <f t="shared" si="1"/>
        <v>0</v>
      </c>
      <c r="S10" s="1189"/>
      <c r="T10" s="1189"/>
      <c r="U10" s="1189"/>
      <c r="V10" s="1189"/>
      <c r="W10" s="1189"/>
      <c r="X10" s="1189"/>
      <c r="Y10" s="1189"/>
      <c r="Z10" s="1189"/>
      <c r="AA10" s="1189"/>
      <c r="AB10" s="1189"/>
      <c r="AC10" s="1189"/>
      <c r="AD10" s="1189"/>
      <c r="AE10" s="1189"/>
      <c r="AF10" s="1189"/>
      <c r="AG10" s="1189"/>
      <c r="AH10" s="1189"/>
      <c r="AI10" s="1189"/>
    </row>
    <row r="11">
      <c r="A11" s="1190" t="s">
        <v>3917</v>
      </c>
      <c r="B11" s="1191">
        <v>80.0</v>
      </c>
      <c r="C11" s="1192">
        <v>43.0</v>
      </c>
      <c r="D11" s="1192">
        <v>8.0</v>
      </c>
      <c r="E11" s="1193">
        <v>0.1</v>
      </c>
      <c r="F11" s="1192">
        <v>2.0</v>
      </c>
      <c r="G11" s="1193">
        <v>0.025</v>
      </c>
      <c r="H11" s="1192">
        <v>29.0</v>
      </c>
      <c r="I11" s="1192">
        <v>25.0</v>
      </c>
      <c r="J11" s="1193">
        <v>0.862</v>
      </c>
      <c r="K11" s="1192">
        <v>1.0</v>
      </c>
      <c r="L11" s="1193">
        <v>0.013</v>
      </c>
      <c r="M11" s="1192">
        <v>3.0</v>
      </c>
      <c r="N11" s="1192">
        <v>4.0</v>
      </c>
      <c r="O11" s="1192">
        <v>17.0</v>
      </c>
      <c r="P11" s="1192">
        <v>15.0</v>
      </c>
      <c r="Q11" s="1195"/>
      <c r="R11" s="1188">
        <f t="shared" si="1"/>
        <v>32</v>
      </c>
      <c r="S11" s="1189"/>
      <c r="T11" s="1189"/>
      <c r="U11" s="1189"/>
      <c r="V11" s="1189"/>
      <c r="W11" s="1189"/>
      <c r="X11" s="1189"/>
      <c r="Y11" s="1189"/>
      <c r="Z11" s="1189"/>
      <c r="AA11" s="1189"/>
      <c r="AB11" s="1189"/>
      <c r="AC11" s="1189"/>
      <c r="AD11" s="1189"/>
      <c r="AE11" s="1189"/>
      <c r="AF11" s="1189"/>
      <c r="AG11" s="1189"/>
      <c r="AH11" s="1189"/>
      <c r="AI11" s="1189"/>
    </row>
    <row r="12">
      <c r="A12" s="1190" t="s">
        <v>3918</v>
      </c>
      <c r="B12" s="1191">
        <v>0.0</v>
      </c>
      <c r="C12" s="1192">
        <v>0.0</v>
      </c>
      <c r="D12" s="1192">
        <v>0.0</v>
      </c>
      <c r="E12" s="1193">
        <v>0.0</v>
      </c>
      <c r="F12" s="1192">
        <v>0.0</v>
      </c>
      <c r="G12" s="1193">
        <v>0.0</v>
      </c>
      <c r="H12" s="1192">
        <v>0.0</v>
      </c>
      <c r="I12" s="1192">
        <v>0.0</v>
      </c>
      <c r="J12" s="1193">
        <v>0.0</v>
      </c>
      <c r="K12" s="1192">
        <v>0.0</v>
      </c>
      <c r="L12" s="1193">
        <v>0.0</v>
      </c>
      <c r="M12" s="1192">
        <v>0.0</v>
      </c>
      <c r="N12" s="1192">
        <v>0.0</v>
      </c>
      <c r="O12" s="1192">
        <v>5.0</v>
      </c>
      <c r="P12" s="1192">
        <v>2.0</v>
      </c>
      <c r="Q12" s="1195"/>
      <c r="R12" s="1188">
        <f t="shared" si="1"/>
        <v>7</v>
      </c>
      <c r="S12" s="1189"/>
      <c r="T12" s="1189"/>
      <c r="U12" s="1189"/>
      <c r="V12" s="1189"/>
      <c r="W12" s="1189"/>
      <c r="X12" s="1189"/>
      <c r="Y12" s="1189"/>
      <c r="Z12" s="1189"/>
      <c r="AA12" s="1189"/>
      <c r="AB12" s="1189"/>
      <c r="AC12" s="1189"/>
      <c r="AD12" s="1189"/>
      <c r="AE12" s="1189"/>
      <c r="AF12" s="1189"/>
      <c r="AG12" s="1189"/>
      <c r="AH12" s="1189"/>
      <c r="AI12" s="1189"/>
    </row>
    <row r="13">
      <c r="A13" s="1190" t="s">
        <v>3919</v>
      </c>
      <c r="B13" s="1191">
        <v>0.0</v>
      </c>
      <c r="C13" s="1192">
        <v>0.0</v>
      </c>
      <c r="D13" s="1192">
        <v>0.0</v>
      </c>
      <c r="E13" s="1193">
        <v>0.0</v>
      </c>
      <c r="F13" s="1192">
        <v>0.0</v>
      </c>
      <c r="G13" s="1193">
        <v>0.0</v>
      </c>
      <c r="H13" s="1192">
        <v>0.0</v>
      </c>
      <c r="I13" s="1192">
        <v>0.0</v>
      </c>
      <c r="J13" s="1193">
        <v>0.0</v>
      </c>
      <c r="K13" s="1192">
        <v>0.0</v>
      </c>
      <c r="L13" s="1193">
        <v>0.0</v>
      </c>
      <c r="M13" s="1192">
        <v>0.0</v>
      </c>
      <c r="N13" s="1192">
        <v>0.0</v>
      </c>
      <c r="O13" s="1192">
        <v>0.0</v>
      </c>
      <c r="P13" s="1192">
        <v>1.0</v>
      </c>
      <c r="Q13" s="1195"/>
      <c r="R13" s="1188">
        <f t="shared" si="1"/>
        <v>1</v>
      </c>
      <c r="S13" s="1189"/>
      <c r="T13" s="1189"/>
      <c r="U13" s="1189"/>
      <c r="V13" s="1189"/>
      <c r="W13" s="1189"/>
      <c r="X13" s="1189"/>
      <c r="Y13" s="1189"/>
      <c r="Z13" s="1189"/>
      <c r="AA13" s="1189"/>
      <c r="AB13" s="1189"/>
      <c r="AC13" s="1189"/>
      <c r="AD13" s="1189"/>
      <c r="AE13" s="1189"/>
      <c r="AF13" s="1189"/>
      <c r="AG13" s="1189"/>
      <c r="AH13" s="1189"/>
      <c r="AI13" s="1189"/>
    </row>
    <row r="14">
      <c r="A14" s="1190" t="s">
        <v>3920</v>
      </c>
      <c r="B14" s="1191">
        <v>83.0</v>
      </c>
      <c r="C14" s="1192">
        <v>35.0</v>
      </c>
      <c r="D14" s="1192">
        <v>14.0</v>
      </c>
      <c r="E14" s="1193">
        <v>0.169</v>
      </c>
      <c r="F14" s="1192">
        <v>0.0</v>
      </c>
      <c r="G14" s="1193">
        <v>0.0</v>
      </c>
      <c r="H14" s="1192">
        <v>25.0</v>
      </c>
      <c r="I14" s="1192">
        <v>19.0</v>
      </c>
      <c r="J14" s="1193">
        <v>0.76</v>
      </c>
      <c r="K14" s="1192">
        <v>1.0</v>
      </c>
      <c r="L14" s="1193">
        <v>0.012</v>
      </c>
      <c r="M14" s="1192">
        <v>12.0</v>
      </c>
      <c r="N14" s="1192">
        <v>19.0</v>
      </c>
      <c r="O14" s="1192">
        <v>26.0</v>
      </c>
      <c r="P14" s="1192">
        <v>35.0</v>
      </c>
      <c r="Q14" s="1195"/>
      <c r="R14" s="1188">
        <f t="shared" si="1"/>
        <v>61</v>
      </c>
      <c r="S14" s="1189"/>
      <c r="T14" s="1189"/>
      <c r="U14" s="1189"/>
      <c r="V14" s="1189"/>
      <c r="W14" s="1189"/>
      <c r="X14" s="1189"/>
      <c r="Y14" s="1189"/>
      <c r="Z14" s="1189"/>
      <c r="AA14" s="1189"/>
      <c r="AB14" s="1189"/>
      <c r="AC14" s="1189"/>
      <c r="AD14" s="1189"/>
      <c r="AE14" s="1189"/>
      <c r="AF14" s="1189"/>
      <c r="AG14" s="1189"/>
      <c r="AH14" s="1189"/>
      <c r="AI14" s="1189"/>
    </row>
    <row r="15">
      <c r="A15" s="1190" t="s">
        <v>2761</v>
      </c>
      <c r="B15" s="1191">
        <v>0.0</v>
      </c>
      <c r="C15" s="1192">
        <v>0.0</v>
      </c>
      <c r="D15" s="1192">
        <v>0.0</v>
      </c>
      <c r="E15" s="1193">
        <v>0.0</v>
      </c>
      <c r="F15" s="1192">
        <v>0.0</v>
      </c>
      <c r="G15" s="1193">
        <v>0.0</v>
      </c>
      <c r="H15" s="1192">
        <v>0.0</v>
      </c>
      <c r="I15" s="1192">
        <v>0.0</v>
      </c>
      <c r="J15" s="1193">
        <v>0.0</v>
      </c>
      <c r="K15" s="1192">
        <v>0.0</v>
      </c>
      <c r="L15" s="1193">
        <v>0.0</v>
      </c>
      <c r="M15" s="1192">
        <v>0.0</v>
      </c>
      <c r="N15" s="1192">
        <v>0.0</v>
      </c>
      <c r="O15" s="1192">
        <v>2.0</v>
      </c>
      <c r="P15" s="1192">
        <v>3.0</v>
      </c>
      <c r="Q15" s="1195"/>
      <c r="R15" s="1188">
        <f t="shared" si="1"/>
        <v>5</v>
      </c>
      <c r="S15" s="1189"/>
      <c r="T15" s="1189"/>
      <c r="U15" s="1189"/>
      <c r="V15" s="1189"/>
      <c r="W15" s="1189"/>
      <c r="X15" s="1189"/>
      <c r="Y15" s="1189"/>
      <c r="Z15" s="1189"/>
      <c r="AA15" s="1189"/>
      <c r="AB15" s="1189"/>
      <c r="AC15" s="1189"/>
      <c r="AD15" s="1189"/>
      <c r="AE15" s="1189"/>
      <c r="AF15" s="1189"/>
      <c r="AG15" s="1189"/>
      <c r="AH15" s="1189"/>
      <c r="AI15" s="1189"/>
    </row>
    <row r="16">
      <c r="A16" s="1190" t="s">
        <v>3921</v>
      </c>
      <c r="B16" s="1191">
        <v>0.0</v>
      </c>
      <c r="C16" s="1192">
        <v>0.0</v>
      </c>
      <c r="D16" s="1192">
        <v>0.0</v>
      </c>
      <c r="E16" s="1193">
        <v>0.0</v>
      </c>
      <c r="F16" s="1192">
        <v>0.0</v>
      </c>
      <c r="G16" s="1193">
        <v>0.0</v>
      </c>
      <c r="H16" s="1192">
        <v>0.0</v>
      </c>
      <c r="I16" s="1192">
        <v>0.0</v>
      </c>
      <c r="J16" s="1193">
        <v>0.0</v>
      </c>
      <c r="K16" s="1192">
        <v>0.0</v>
      </c>
      <c r="L16" s="1193">
        <v>0.0</v>
      </c>
      <c r="M16" s="1192">
        <v>0.0</v>
      </c>
      <c r="N16" s="1192">
        <v>0.0</v>
      </c>
      <c r="O16" s="1192">
        <v>2.0</v>
      </c>
      <c r="P16" s="1192">
        <v>2.0</v>
      </c>
      <c r="Q16" s="1195"/>
      <c r="R16" s="1188">
        <f t="shared" si="1"/>
        <v>4</v>
      </c>
      <c r="S16" s="1189"/>
      <c r="T16" s="1189"/>
      <c r="U16" s="1189"/>
      <c r="V16" s="1189"/>
      <c r="W16" s="1189"/>
      <c r="X16" s="1189"/>
      <c r="Y16" s="1189"/>
      <c r="Z16" s="1189"/>
      <c r="AA16" s="1189"/>
      <c r="AB16" s="1189"/>
      <c r="AC16" s="1189"/>
      <c r="AD16" s="1189"/>
      <c r="AE16" s="1189"/>
      <c r="AF16" s="1189"/>
      <c r="AG16" s="1189"/>
      <c r="AH16" s="1189"/>
      <c r="AI16" s="1189"/>
    </row>
    <row r="17">
      <c r="A17" s="1190" t="s">
        <v>3922</v>
      </c>
      <c r="B17" s="1191">
        <v>91.0</v>
      </c>
      <c r="C17" s="1192">
        <v>48.0</v>
      </c>
      <c r="D17" s="1192">
        <v>12.0</v>
      </c>
      <c r="E17" s="1193">
        <v>0.132</v>
      </c>
      <c r="F17" s="1192">
        <v>5.0</v>
      </c>
      <c r="G17" s="1193">
        <v>0.055</v>
      </c>
      <c r="H17" s="1192">
        <v>31.0</v>
      </c>
      <c r="I17" s="1192">
        <v>18.0</v>
      </c>
      <c r="J17" s="1193">
        <v>0.581</v>
      </c>
      <c r="K17" s="1192">
        <v>0.0</v>
      </c>
      <c r="L17" s="1193">
        <v>0.0</v>
      </c>
      <c r="M17" s="1192">
        <v>10.0</v>
      </c>
      <c r="N17" s="1192">
        <v>15.0</v>
      </c>
      <c r="O17" s="1192">
        <v>26.0</v>
      </c>
      <c r="P17" s="1192">
        <v>22.0</v>
      </c>
      <c r="Q17" s="1195"/>
      <c r="R17" s="1188">
        <f t="shared" si="1"/>
        <v>48</v>
      </c>
      <c r="S17" s="1189"/>
      <c r="T17" s="1189"/>
      <c r="U17" s="1189"/>
      <c r="V17" s="1189"/>
      <c r="W17" s="1189"/>
      <c r="X17" s="1189"/>
      <c r="Y17" s="1189"/>
      <c r="Z17" s="1189"/>
      <c r="AA17" s="1189"/>
      <c r="AB17" s="1189"/>
      <c r="AC17" s="1189"/>
      <c r="AD17" s="1189"/>
      <c r="AE17" s="1189"/>
      <c r="AF17" s="1189"/>
      <c r="AG17" s="1189"/>
      <c r="AH17" s="1189"/>
      <c r="AI17" s="1189"/>
    </row>
    <row r="18">
      <c r="A18" s="1190" t="s">
        <v>3923</v>
      </c>
      <c r="B18" s="1191">
        <v>28.0</v>
      </c>
      <c r="C18" s="1192">
        <v>8.0</v>
      </c>
      <c r="D18" s="1192">
        <v>2.0</v>
      </c>
      <c r="E18" s="1193">
        <v>0.071</v>
      </c>
      <c r="F18" s="1192">
        <v>5.0</v>
      </c>
      <c r="G18" s="1193">
        <v>0.179</v>
      </c>
      <c r="H18" s="1192">
        <v>8.0</v>
      </c>
      <c r="I18" s="1192">
        <v>7.0</v>
      </c>
      <c r="J18" s="1193">
        <v>0.875</v>
      </c>
      <c r="K18" s="1192">
        <v>0.0</v>
      </c>
      <c r="L18" s="1193">
        <v>0.0</v>
      </c>
      <c r="M18" s="1192">
        <v>0.0</v>
      </c>
      <c r="N18" s="1192">
        <v>0.0</v>
      </c>
      <c r="O18" s="1192">
        <v>4.0</v>
      </c>
      <c r="P18" s="1192">
        <v>4.0</v>
      </c>
      <c r="Q18" s="1195"/>
      <c r="R18" s="1188">
        <f t="shared" si="1"/>
        <v>8</v>
      </c>
      <c r="S18" s="1189"/>
      <c r="T18" s="1189"/>
      <c r="U18" s="1189"/>
      <c r="V18" s="1189"/>
      <c r="W18" s="1189"/>
      <c r="X18" s="1189"/>
      <c r="Y18" s="1189"/>
      <c r="Z18" s="1189"/>
      <c r="AA18" s="1189"/>
      <c r="AB18" s="1189"/>
      <c r="AC18" s="1189"/>
      <c r="AD18" s="1189"/>
      <c r="AE18" s="1189"/>
      <c r="AF18" s="1189"/>
      <c r="AG18" s="1189"/>
      <c r="AH18" s="1189"/>
      <c r="AI18" s="1189"/>
    </row>
    <row r="19">
      <c r="A19" s="1190" t="s">
        <v>2572</v>
      </c>
      <c r="B19" s="1191">
        <v>115.0</v>
      </c>
      <c r="C19" s="1192">
        <v>59.0</v>
      </c>
      <c r="D19" s="1192">
        <v>9.0</v>
      </c>
      <c r="E19" s="1193">
        <v>0.078</v>
      </c>
      <c r="F19" s="1192">
        <v>3.0</v>
      </c>
      <c r="G19" s="1193">
        <v>0.026</v>
      </c>
      <c r="H19" s="1192">
        <v>35.0</v>
      </c>
      <c r="I19" s="1192">
        <v>27.0</v>
      </c>
      <c r="J19" s="1193">
        <v>0.771</v>
      </c>
      <c r="K19" s="1192">
        <v>3.0</v>
      </c>
      <c r="L19" s="1193">
        <v>0.026</v>
      </c>
      <c r="M19" s="1192">
        <v>2.0</v>
      </c>
      <c r="N19" s="1192">
        <v>3.0</v>
      </c>
      <c r="O19" s="1192">
        <v>28.0</v>
      </c>
      <c r="P19" s="1192">
        <v>44.0</v>
      </c>
      <c r="Q19" s="1195"/>
      <c r="R19" s="1188">
        <f t="shared" si="1"/>
        <v>72</v>
      </c>
      <c r="S19" s="1189"/>
      <c r="T19" s="1189"/>
      <c r="U19" s="1189"/>
      <c r="V19" s="1189"/>
      <c r="W19" s="1189"/>
      <c r="X19" s="1189"/>
      <c r="Y19" s="1189"/>
      <c r="Z19" s="1189"/>
      <c r="AA19" s="1189"/>
      <c r="AB19" s="1189"/>
      <c r="AC19" s="1189"/>
      <c r="AD19" s="1189"/>
      <c r="AE19" s="1189"/>
      <c r="AF19" s="1189"/>
      <c r="AG19" s="1189"/>
      <c r="AH19" s="1189"/>
      <c r="AI19" s="1189"/>
    </row>
    <row r="20">
      <c r="A20" s="1190" t="s">
        <v>3924</v>
      </c>
      <c r="B20" s="1191">
        <v>28.0</v>
      </c>
      <c r="C20" s="1192">
        <v>4.0</v>
      </c>
      <c r="D20" s="1192">
        <v>0.0</v>
      </c>
      <c r="E20" s="1193">
        <v>0.0</v>
      </c>
      <c r="F20" s="1192">
        <v>3.0</v>
      </c>
      <c r="G20" s="1193">
        <v>0.107</v>
      </c>
      <c r="H20" s="1192">
        <v>0.0</v>
      </c>
      <c r="I20" s="1192">
        <v>0.0</v>
      </c>
      <c r="J20" s="1193">
        <v>0.0</v>
      </c>
      <c r="K20" s="1192">
        <v>0.0</v>
      </c>
      <c r="L20" s="1193">
        <v>0.0</v>
      </c>
      <c r="M20" s="1192">
        <v>3.0</v>
      </c>
      <c r="N20" s="1192">
        <v>6.0</v>
      </c>
      <c r="O20" s="1192">
        <v>3.0</v>
      </c>
      <c r="P20" s="1192">
        <v>5.0</v>
      </c>
      <c r="Q20" s="1195"/>
      <c r="R20" s="1188">
        <f t="shared" si="1"/>
        <v>8</v>
      </c>
      <c r="S20" s="1189"/>
      <c r="T20" s="1189"/>
      <c r="U20" s="1189"/>
      <c r="V20" s="1189"/>
      <c r="W20" s="1189"/>
      <c r="X20" s="1189"/>
      <c r="Y20" s="1189"/>
      <c r="Z20" s="1189"/>
      <c r="AA20" s="1189"/>
      <c r="AB20" s="1189"/>
      <c r="AC20" s="1189"/>
      <c r="AD20" s="1189"/>
      <c r="AE20" s="1189"/>
      <c r="AF20" s="1189"/>
      <c r="AG20" s="1189"/>
      <c r="AH20" s="1189"/>
      <c r="AI20" s="1189"/>
    </row>
    <row r="21">
      <c r="A21" s="1190" t="s">
        <v>3925</v>
      </c>
      <c r="B21" s="1191">
        <v>37.0</v>
      </c>
      <c r="C21" s="1192">
        <v>13.0</v>
      </c>
      <c r="D21" s="1192">
        <v>3.0</v>
      </c>
      <c r="E21" s="1193">
        <v>0.081</v>
      </c>
      <c r="F21" s="1192">
        <v>2.0</v>
      </c>
      <c r="G21" s="1193">
        <v>0.054</v>
      </c>
      <c r="H21" s="1192">
        <v>6.0</v>
      </c>
      <c r="I21" s="1192">
        <v>4.0</v>
      </c>
      <c r="J21" s="1193">
        <v>0.667</v>
      </c>
      <c r="K21" s="1192">
        <v>1.0</v>
      </c>
      <c r="L21" s="1193">
        <v>0.027</v>
      </c>
      <c r="M21" s="1192">
        <v>2.0</v>
      </c>
      <c r="N21" s="1192">
        <v>4.0</v>
      </c>
      <c r="O21" s="1192">
        <v>4.0</v>
      </c>
      <c r="P21" s="1192">
        <v>7.0</v>
      </c>
      <c r="Q21" s="1195"/>
      <c r="R21" s="1188">
        <f t="shared" si="1"/>
        <v>11</v>
      </c>
      <c r="S21" s="1189"/>
      <c r="T21" s="1189"/>
      <c r="U21" s="1189"/>
      <c r="V21" s="1189"/>
      <c r="W21" s="1189"/>
      <c r="X21" s="1189"/>
      <c r="Y21" s="1189"/>
      <c r="Z21" s="1189"/>
      <c r="AA21" s="1189"/>
      <c r="AB21" s="1189"/>
      <c r="AC21" s="1189"/>
      <c r="AD21" s="1189"/>
      <c r="AE21" s="1189"/>
      <c r="AF21" s="1189"/>
      <c r="AG21" s="1189"/>
      <c r="AH21" s="1189"/>
      <c r="AI21" s="1189"/>
    </row>
    <row r="22">
      <c r="A22" s="1190" t="s">
        <v>3926</v>
      </c>
      <c r="B22" s="1191">
        <v>111.0</v>
      </c>
      <c r="C22" s="1192">
        <v>43.0</v>
      </c>
      <c r="D22" s="1192">
        <v>6.0</v>
      </c>
      <c r="E22" s="1193">
        <v>0.054</v>
      </c>
      <c r="F22" s="1192">
        <v>2.0</v>
      </c>
      <c r="G22" s="1193">
        <v>0.018</v>
      </c>
      <c r="H22" s="1192">
        <v>37.0</v>
      </c>
      <c r="I22" s="1192">
        <v>19.0</v>
      </c>
      <c r="J22" s="1193">
        <v>0.514</v>
      </c>
      <c r="K22" s="1192">
        <v>0.0</v>
      </c>
      <c r="L22" s="1193">
        <v>0.0</v>
      </c>
      <c r="M22" s="1192">
        <v>8.0</v>
      </c>
      <c r="N22" s="1192">
        <v>18.0</v>
      </c>
      <c r="O22" s="1192">
        <v>46.0</v>
      </c>
      <c r="P22" s="1192">
        <v>28.0</v>
      </c>
      <c r="Q22" s="1195"/>
      <c r="R22" s="1188">
        <f t="shared" si="1"/>
        <v>74</v>
      </c>
      <c r="S22" s="1189"/>
      <c r="T22" s="1189"/>
      <c r="U22" s="1189"/>
      <c r="V22" s="1189"/>
      <c r="W22" s="1189"/>
      <c r="X22" s="1189"/>
      <c r="Y22" s="1189"/>
      <c r="Z22" s="1189"/>
      <c r="AA22" s="1189"/>
      <c r="AB22" s="1189"/>
      <c r="AC22" s="1189"/>
      <c r="AD22" s="1189"/>
      <c r="AE22" s="1189"/>
      <c r="AF22" s="1189"/>
      <c r="AG22" s="1189"/>
      <c r="AH22" s="1189"/>
      <c r="AI22" s="1189"/>
    </row>
    <row r="23">
      <c r="A23" s="1190" t="s">
        <v>3927</v>
      </c>
      <c r="B23" s="1191">
        <v>0.0</v>
      </c>
      <c r="C23" s="1192">
        <v>0.0</v>
      </c>
      <c r="D23" s="1192">
        <v>0.0</v>
      </c>
      <c r="E23" s="1193">
        <v>0.0</v>
      </c>
      <c r="F23" s="1192">
        <v>0.0</v>
      </c>
      <c r="G23" s="1193">
        <v>0.0</v>
      </c>
      <c r="H23" s="1192">
        <v>0.0</v>
      </c>
      <c r="I23" s="1192">
        <v>0.0</v>
      </c>
      <c r="J23" s="1193">
        <v>0.0</v>
      </c>
      <c r="K23" s="1192">
        <v>0.0</v>
      </c>
      <c r="L23" s="1193">
        <v>0.0</v>
      </c>
      <c r="M23" s="1192">
        <v>0.0</v>
      </c>
      <c r="N23" s="1192">
        <v>0.0</v>
      </c>
      <c r="O23" s="1192">
        <v>0.0</v>
      </c>
      <c r="P23" s="1192">
        <v>5.0</v>
      </c>
      <c r="Q23" s="1195"/>
      <c r="R23" s="1188">
        <f t="shared" si="1"/>
        <v>5</v>
      </c>
      <c r="S23" s="1189"/>
      <c r="T23" s="1189"/>
      <c r="U23" s="1189"/>
      <c r="V23" s="1189"/>
      <c r="W23" s="1189"/>
      <c r="X23" s="1189"/>
      <c r="Y23" s="1189"/>
      <c r="Z23" s="1189"/>
      <c r="AA23" s="1189"/>
      <c r="AB23" s="1189"/>
      <c r="AC23" s="1189"/>
      <c r="AD23" s="1189"/>
      <c r="AE23" s="1189"/>
      <c r="AF23" s="1189"/>
      <c r="AG23" s="1189"/>
      <c r="AH23" s="1189"/>
      <c r="AI23" s="1189"/>
    </row>
    <row r="24">
      <c r="A24" s="1190" t="s">
        <v>3594</v>
      </c>
      <c r="B24" s="1191">
        <v>30.0</v>
      </c>
      <c r="C24" s="1192">
        <v>13.0</v>
      </c>
      <c r="D24" s="1192">
        <v>4.0</v>
      </c>
      <c r="E24" s="1193">
        <v>0.133</v>
      </c>
      <c r="F24" s="1192">
        <v>0.0</v>
      </c>
      <c r="G24" s="1193">
        <v>0.0</v>
      </c>
      <c r="H24" s="1192">
        <v>13.0</v>
      </c>
      <c r="I24" s="1192">
        <v>11.0</v>
      </c>
      <c r="J24" s="1193">
        <v>0.846</v>
      </c>
      <c r="K24" s="1192">
        <v>0.0</v>
      </c>
      <c r="L24" s="1193">
        <v>0.0</v>
      </c>
      <c r="M24" s="1192">
        <v>0.0</v>
      </c>
      <c r="N24" s="1192">
        <v>0.0</v>
      </c>
      <c r="O24" s="1192">
        <v>3.0</v>
      </c>
      <c r="P24" s="1192">
        <v>5.0</v>
      </c>
      <c r="Q24" s="1195"/>
      <c r="R24" s="1188">
        <f t="shared" si="1"/>
        <v>8</v>
      </c>
      <c r="S24" s="1189"/>
      <c r="T24" s="1189"/>
      <c r="U24" s="1189"/>
      <c r="V24" s="1189"/>
      <c r="W24" s="1189"/>
      <c r="X24" s="1189"/>
      <c r="Y24" s="1189"/>
      <c r="Z24" s="1189"/>
      <c r="AA24" s="1189"/>
      <c r="AB24" s="1189"/>
      <c r="AC24" s="1189"/>
      <c r="AD24" s="1189"/>
      <c r="AE24" s="1189"/>
      <c r="AF24" s="1189"/>
      <c r="AG24" s="1189"/>
      <c r="AH24" s="1189"/>
      <c r="AI24" s="1189"/>
    </row>
    <row r="25">
      <c r="A25" s="1190" t="s">
        <v>3928</v>
      </c>
      <c r="B25" s="1191">
        <v>0.0</v>
      </c>
      <c r="C25" s="1192">
        <v>0.0</v>
      </c>
      <c r="D25" s="1192">
        <v>0.0</v>
      </c>
      <c r="E25" s="1193">
        <v>0.0</v>
      </c>
      <c r="F25" s="1192">
        <v>0.0</v>
      </c>
      <c r="G25" s="1193">
        <v>0.0</v>
      </c>
      <c r="H25" s="1192">
        <v>0.0</v>
      </c>
      <c r="I25" s="1192">
        <v>0.0</v>
      </c>
      <c r="J25" s="1193">
        <v>0.0</v>
      </c>
      <c r="K25" s="1192">
        <v>0.0</v>
      </c>
      <c r="L25" s="1193">
        <v>0.0</v>
      </c>
      <c r="M25" s="1192">
        <v>1.0</v>
      </c>
      <c r="N25" s="1192">
        <v>3.0</v>
      </c>
      <c r="O25" s="1192">
        <v>8.0</v>
      </c>
      <c r="P25" s="1192">
        <v>4.0</v>
      </c>
      <c r="Q25" s="1195"/>
      <c r="R25" s="1188">
        <f t="shared" si="1"/>
        <v>12</v>
      </c>
      <c r="S25" s="1189"/>
      <c r="T25" s="1189"/>
      <c r="U25" s="1189"/>
      <c r="V25" s="1189"/>
      <c r="W25" s="1189"/>
      <c r="X25" s="1189"/>
      <c r="Y25" s="1189"/>
      <c r="Z25" s="1189"/>
      <c r="AA25" s="1189"/>
      <c r="AB25" s="1189"/>
      <c r="AC25" s="1189"/>
      <c r="AD25" s="1189"/>
      <c r="AE25" s="1189"/>
      <c r="AF25" s="1189"/>
      <c r="AG25" s="1189"/>
      <c r="AH25" s="1189"/>
      <c r="AI25" s="1189"/>
    </row>
    <row r="26">
      <c r="A26" s="1190" t="s">
        <v>3929</v>
      </c>
      <c r="B26" s="1191">
        <v>20.0</v>
      </c>
      <c r="C26" s="1192">
        <v>5.0</v>
      </c>
      <c r="D26" s="1192">
        <v>4.0</v>
      </c>
      <c r="E26" s="1193">
        <v>0.2</v>
      </c>
      <c r="F26" s="1192">
        <v>2.0</v>
      </c>
      <c r="G26" s="1193">
        <v>0.1</v>
      </c>
      <c r="H26" s="1192">
        <v>3.0</v>
      </c>
      <c r="I26" s="1192">
        <v>3.0</v>
      </c>
      <c r="J26" s="1193">
        <v>1.0</v>
      </c>
      <c r="K26" s="1192">
        <v>0.0</v>
      </c>
      <c r="L26" s="1193">
        <v>0.0</v>
      </c>
      <c r="M26" s="1192">
        <v>1.0</v>
      </c>
      <c r="N26" s="1192">
        <v>3.0</v>
      </c>
      <c r="O26" s="1192">
        <v>6.0</v>
      </c>
      <c r="P26" s="1192">
        <v>3.0</v>
      </c>
      <c r="Q26" s="1195"/>
      <c r="R26" s="1188">
        <f t="shared" si="1"/>
        <v>9</v>
      </c>
      <c r="S26" s="1189"/>
      <c r="T26" s="1189"/>
      <c r="U26" s="1189"/>
      <c r="V26" s="1189"/>
      <c r="W26" s="1189"/>
      <c r="X26" s="1189"/>
      <c r="Y26" s="1189"/>
      <c r="Z26" s="1189"/>
      <c r="AA26" s="1189"/>
      <c r="AB26" s="1189"/>
      <c r="AC26" s="1189"/>
      <c r="AD26" s="1189"/>
      <c r="AE26" s="1189"/>
      <c r="AF26" s="1189"/>
      <c r="AG26" s="1189"/>
      <c r="AH26" s="1189"/>
      <c r="AI26" s="1189"/>
    </row>
    <row r="27">
      <c r="A27" s="1190" t="s">
        <v>3930</v>
      </c>
      <c r="B27" s="1191">
        <v>35.0</v>
      </c>
      <c r="C27" s="1192">
        <v>11.0</v>
      </c>
      <c r="D27" s="1192">
        <v>4.0</v>
      </c>
      <c r="E27" s="1193">
        <v>0.114</v>
      </c>
      <c r="F27" s="1192">
        <v>2.0</v>
      </c>
      <c r="G27" s="1193">
        <v>0.057</v>
      </c>
      <c r="H27" s="1192">
        <v>9.0</v>
      </c>
      <c r="I27" s="1192">
        <v>8.0</v>
      </c>
      <c r="J27" s="1193">
        <v>0.889</v>
      </c>
      <c r="K27" s="1192">
        <v>0.0</v>
      </c>
      <c r="L27" s="1193">
        <v>0.0</v>
      </c>
      <c r="M27" s="1192">
        <v>2.0</v>
      </c>
      <c r="N27" s="1192">
        <v>7.0</v>
      </c>
      <c r="O27" s="1192">
        <v>8.0</v>
      </c>
      <c r="P27" s="1192">
        <v>14.0</v>
      </c>
      <c r="Q27" s="1195"/>
      <c r="R27" s="1188">
        <f t="shared" si="1"/>
        <v>22</v>
      </c>
      <c r="S27" s="1189"/>
      <c r="T27" s="1189"/>
      <c r="U27" s="1189"/>
      <c r="V27" s="1189"/>
      <c r="W27" s="1189"/>
      <c r="X27" s="1189"/>
      <c r="Y27" s="1189"/>
      <c r="Z27" s="1189"/>
      <c r="AA27" s="1189"/>
      <c r="AB27" s="1189"/>
      <c r="AC27" s="1189"/>
      <c r="AD27" s="1189"/>
      <c r="AE27" s="1189"/>
      <c r="AF27" s="1189"/>
      <c r="AG27" s="1189"/>
      <c r="AH27" s="1189"/>
      <c r="AI27" s="1189"/>
    </row>
    <row r="28">
      <c r="A28" s="1190" t="s">
        <v>3931</v>
      </c>
      <c r="B28" s="1191">
        <v>1383.0</v>
      </c>
      <c r="C28" s="1192">
        <v>567.0</v>
      </c>
      <c r="D28" s="1192">
        <v>116.0</v>
      </c>
      <c r="E28" s="1193">
        <v>0.084</v>
      </c>
      <c r="F28" s="1192">
        <v>46.0</v>
      </c>
      <c r="G28" s="1193">
        <v>0.033</v>
      </c>
      <c r="H28" s="1192">
        <v>445.0</v>
      </c>
      <c r="I28" s="1192">
        <v>1366.0</v>
      </c>
      <c r="J28" s="1193">
        <v>3.07</v>
      </c>
      <c r="K28" s="1192">
        <v>21.0</v>
      </c>
      <c r="L28" s="1193">
        <v>0.015</v>
      </c>
      <c r="M28" s="1192">
        <v>64.0</v>
      </c>
      <c r="N28" s="1192">
        <v>108.0</v>
      </c>
      <c r="O28" s="1192">
        <v>319.0</v>
      </c>
      <c r="P28" s="1192">
        <v>385.0</v>
      </c>
      <c r="Q28" s="1195"/>
      <c r="R28" s="1188">
        <f t="shared" si="1"/>
        <v>704</v>
      </c>
      <c r="S28" s="1189"/>
      <c r="T28" s="1189"/>
      <c r="U28" s="1189"/>
      <c r="V28" s="1189"/>
      <c r="W28" s="1189"/>
      <c r="X28" s="1189"/>
      <c r="Y28" s="1189"/>
      <c r="Z28" s="1189"/>
      <c r="AA28" s="1189"/>
      <c r="AB28" s="1189"/>
      <c r="AC28" s="1189"/>
      <c r="AD28" s="1189"/>
      <c r="AE28" s="1189"/>
      <c r="AF28" s="1189"/>
      <c r="AG28" s="1189"/>
      <c r="AH28" s="1189"/>
      <c r="AI28" s="1189"/>
    </row>
    <row r="29">
      <c r="A29" s="1190" t="s">
        <v>2749</v>
      </c>
      <c r="B29" s="1191">
        <v>43.0</v>
      </c>
      <c r="C29" s="1192">
        <v>25.0</v>
      </c>
      <c r="D29" s="1192">
        <v>8.0</v>
      </c>
      <c r="E29" s="1193">
        <v>0.186</v>
      </c>
      <c r="F29" s="1192">
        <v>2.0</v>
      </c>
      <c r="G29" s="1193">
        <v>0.047</v>
      </c>
      <c r="H29" s="1192">
        <v>11.0</v>
      </c>
      <c r="I29" s="1192">
        <v>9.0</v>
      </c>
      <c r="J29" s="1193">
        <v>0.818</v>
      </c>
      <c r="K29" s="1192">
        <v>0.0</v>
      </c>
      <c r="L29" s="1193">
        <v>0.0</v>
      </c>
      <c r="M29" s="1192">
        <v>2.0</v>
      </c>
      <c r="N29" s="1192">
        <v>4.0</v>
      </c>
      <c r="O29" s="1192">
        <v>8.0</v>
      </c>
      <c r="P29" s="1192">
        <v>11.0</v>
      </c>
      <c r="Q29" s="1195"/>
      <c r="R29" s="1188">
        <f t="shared" si="1"/>
        <v>19</v>
      </c>
      <c r="S29" s="1189"/>
      <c r="T29" s="1189"/>
      <c r="U29" s="1189"/>
      <c r="V29" s="1189"/>
      <c r="W29" s="1189"/>
      <c r="X29" s="1189"/>
      <c r="Y29" s="1189"/>
      <c r="Z29" s="1189"/>
      <c r="AA29" s="1189"/>
      <c r="AB29" s="1189"/>
      <c r="AC29" s="1189"/>
      <c r="AD29" s="1189"/>
      <c r="AE29" s="1189"/>
      <c r="AF29" s="1189"/>
      <c r="AG29" s="1189"/>
      <c r="AH29" s="1189"/>
      <c r="AI29" s="1189"/>
    </row>
    <row r="30">
      <c r="A30" s="1190" t="s">
        <v>3562</v>
      </c>
      <c r="B30" s="1191">
        <v>171.0</v>
      </c>
      <c r="C30" s="1192">
        <v>70.0</v>
      </c>
      <c r="D30" s="1192">
        <v>20.0</v>
      </c>
      <c r="E30" s="1193">
        <v>0.117</v>
      </c>
      <c r="F30" s="1192">
        <v>6.0</v>
      </c>
      <c r="G30" s="1193">
        <v>0.035</v>
      </c>
      <c r="H30" s="1192">
        <v>54.0</v>
      </c>
      <c r="I30" s="1192">
        <v>49.0</v>
      </c>
      <c r="J30" s="1193">
        <v>0.907</v>
      </c>
      <c r="K30" s="1192">
        <v>4.0</v>
      </c>
      <c r="L30" s="1193">
        <v>0.023</v>
      </c>
      <c r="M30" s="1192">
        <v>10.0</v>
      </c>
      <c r="N30" s="1192">
        <v>20.0</v>
      </c>
      <c r="O30" s="1192">
        <v>15.0</v>
      </c>
      <c r="P30" s="1192">
        <v>41.0</v>
      </c>
      <c r="Q30" s="1195"/>
      <c r="R30" s="1188">
        <f t="shared" si="1"/>
        <v>56</v>
      </c>
      <c r="S30" s="1189"/>
      <c r="T30" s="1189"/>
      <c r="U30" s="1189"/>
      <c r="V30" s="1189"/>
      <c r="W30" s="1189"/>
      <c r="X30" s="1189"/>
      <c r="Y30" s="1189"/>
      <c r="Z30" s="1189"/>
      <c r="AA30" s="1189"/>
      <c r="AB30" s="1189"/>
      <c r="AC30" s="1189"/>
      <c r="AD30" s="1189"/>
      <c r="AE30" s="1189"/>
      <c r="AF30" s="1189"/>
      <c r="AG30" s="1189"/>
      <c r="AH30" s="1189"/>
      <c r="AI30" s="1189"/>
    </row>
    <row r="31">
      <c r="A31" s="1190" t="s">
        <v>3932</v>
      </c>
      <c r="B31" s="1191">
        <v>334.0</v>
      </c>
      <c r="C31" s="1192">
        <v>141.0</v>
      </c>
      <c r="D31" s="1192">
        <v>40.0</v>
      </c>
      <c r="E31" s="1193">
        <v>0.12</v>
      </c>
      <c r="F31" s="1192">
        <v>6.0</v>
      </c>
      <c r="G31" s="1193">
        <v>0.018</v>
      </c>
      <c r="H31" s="1192">
        <v>99.0</v>
      </c>
      <c r="I31" s="1192">
        <v>80.0</v>
      </c>
      <c r="J31" s="1193">
        <v>0.808</v>
      </c>
      <c r="K31" s="1192">
        <v>3.0</v>
      </c>
      <c r="L31" s="1193">
        <v>0.009</v>
      </c>
      <c r="M31" s="1192">
        <v>22.0</v>
      </c>
      <c r="N31" s="1192">
        <v>39.0</v>
      </c>
      <c r="O31" s="1192">
        <v>94.0</v>
      </c>
      <c r="P31" s="1192">
        <v>100.0</v>
      </c>
      <c r="Q31" s="1195"/>
      <c r="R31" s="1188">
        <f t="shared" si="1"/>
        <v>194</v>
      </c>
      <c r="S31" s="1189"/>
      <c r="T31" s="1189"/>
      <c r="U31" s="1189"/>
      <c r="V31" s="1189"/>
      <c r="W31" s="1189"/>
      <c r="X31" s="1189"/>
      <c r="Y31" s="1189"/>
      <c r="Z31" s="1189"/>
      <c r="AA31" s="1189"/>
      <c r="AB31" s="1189"/>
      <c r="AC31" s="1189"/>
      <c r="AD31" s="1189"/>
      <c r="AE31" s="1189"/>
      <c r="AF31" s="1189"/>
      <c r="AG31" s="1189"/>
      <c r="AH31" s="1189"/>
      <c r="AI31" s="1189"/>
    </row>
    <row r="32">
      <c r="A32" s="1190" t="s">
        <v>3933</v>
      </c>
      <c r="B32" s="1191">
        <v>267.0</v>
      </c>
      <c r="C32" s="1192">
        <v>118.0</v>
      </c>
      <c r="D32" s="1192">
        <v>17.0</v>
      </c>
      <c r="E32" s="1193">
        <v>0.064</v>
      </c>
      <c r="F32" s="1192">
        <v>5.0</v>
      </c>
      <c r="G32" s="1193">
        <v>0.019</v>
      </c>
      <c r="H32" s="1192">
        <v>87.0</v>
      </c>
      <c r="I32" s="1192">
        <v>66.0</v>
      </c>
      <c r="J32" s="1193">
        <v>0.759</v>
      </c>
      <c r="K32" s="1192">
        <v>2.0</v>
      </c>
      <c r="L32" s="1193">
        <v>0.007</v>
      </c>
      <c r="M32" s="1192">
        <v>3.0</v>
      </c>
      <c r="N32" s="1192">
        <v>3.0</v>
      </c>
      <c r="O32" s="1192">
        <v>48.0</v>
      </c>
      <c r="P32" s="1192">
        <v>65.0</v>
      </c>
      <c r="Q32" s="1195"/>
      <c r="R32" s="1188">
        <f t="shared" si="1"/>
        <v>113</v>
      </c>
      <c r="S32" s="1189"/>
      <c r="T32" s="1189"/>
      <c r="U32" s="1189"/>
      <c r="V32" s="1189"/>
      <c r="W32" s="1189"/>
      <c r="X32" s="1189"/>
      <c r="Y32" s="1189"/>
      <c r="Z32" s="1189"/>
      <c r="AA32" s="1189"/>
      <c r="AB32" s="1189"/>
      <c r="AC32" s="1189"/>
      <c r="AD32" s="1189"/>
      <c r="AE32" s="1189"/>
      <c r="AF32" s="1189"/>
      <c r="AG32" s="1189"/>
      <c r="AH32" s="1189"/>
      <c r="AI32" s="1189"/>
    </row>
    <row r="33">
      <c r="A33" s="1190" t="s">
        <v>3934</v>
      </c>
      <c r="B33" s="1191">
        <v>0.0</v>
      </c>
      <c r="C33" s="1192">
        <v>0.0</v>
      </c>
      <c r="D33" s="1192">
        <v>0.0</v>
      </c>
      <c r="E33" s="1193">
        <v>0.0</v>
      </c>
      <c r="F33" s="1192">
        <v>0.0</v>
      </c>
      <c r="G33" s="1193">
        <v>0.0</v>
      </c>
      <c r="H33" s="1192">
        <v>0.0</v>
      </c>
      <c r="I33" s="1192">
        <v>0.0</v>
      </c>
      <c r="J33" s="1193">
        <v>0.0</v>
      </c>
      <c r="K33" s="1192">
        <v>0.0</v>
      </c>
      <c r="L33" s="1193">
        <v>0.0</v>
      </c>
      <c r="M33" s="1192">
        <v>1.0</v>
      </c>
      <c r="N33" s="1192">
        <v>1.0</v>
      </c>
      <c r="O33" s="1192">
        <v>1.0</v>
      </c>
      <c r="P33" s="1192">
        <v>2.0</v>
      </c>
      <c r="Q33" s="1195"/>
      <c r="R33" s="1188">
        <f t="shared" si="1"/>
        <v>3</v>
      </c>
      <c r="S33" s="1189"/>
      <c r="T33" s="1189"/>
      <c r="U33" s="1189"/>
      <c r="V33" s="1189"/>
      <c r="W33" s="1189"/>
      <c r="X33" s="1189"/>
      <c r="Y33" s="1189"/>
      <c r="Z33" s="1189"/>
      <c r="AA33" s="1189"/>
      <c r="AB33" s="1189"/>
      <c r="AC33" s="1189"/>
      <c r="AD33" s="1189"/>
      <c r="AE33" s="1189"/>
      <c r="AF33" s="1189"/>
      <c r="AG33" s="1189"/>
      <c r="AH33" s="1189"/>
      <c r="AI33" s="1189"/>
    </row>
    <row r="34">
      <c r="A34" s="1190" t="s">
        <v>3935</v>
      </c>
      <c r="B34" s="1191">
        <v>29.0</v>
      </c>
      <c r="C34" s="1192">
        <v>8.0</v>
      </c>
      <c r="D34" s="1192">
        <v>2.0</v>
      </c>
      <c r="E34" s="1193">
        <v>0.069</v>
      </c>
      <c r="F34" s="1192">
        <v>2.0</v>
      </c>
      <c r="G34" s="1193">
        <v>0.069</v>
      </c>
      <c r="H34" s="1192">
        <v>13.0</v>
      </c>
      <c r="I34" s="1192">
        <v>13.0</v>
      </c>
      <c r="J34" s="1193">
        <v>1.0</v>
      </c>
      <c r="K34" s="1192">
        <v>1.0</v>
      </c>
      <c r="L34" s="1193">
        <v>0.034</v>
      </c>
      <c r="M34" s="1192">
        <v>0.0</v>
      </c>
      <c r="N34" s="1192">
        <v>0.0</v>
      </c>
      <c r="O34" s="1192">
        <v>9.0</v>
      </c>
      <c r="P34" s="1192">
        <v>14.0</v>
      </c>
      <c r="Q34" s="1195"/>
      <c r="R34" s="1188">
        <f t="shared" si="1"/>
        <v>23</v>
      </c>
      <c r="S34" s="1189"/>
      <c r="T34" s="1189"/>
      <c r="U34" s="1189"/>
      <c r="V34" s="1189"/>
      <c r="W34" s="1189"/>
      <c r="X34" s="1189"/>
      <c r="Y34" s="1189"/>
      <c r="Z34" s="1189"/>
      <c r="AA34" s="1189"/>
      <c r="AB34" s="1189"/>
      <c r="AC34" s="1189"/>
      <c r="AD34" s="1189"/>
      <c r="AE34" s="1189"/>
      <c r="AF34" s="1189"/>
      <c r="AG34" s="1189"/>
      <c r="AH34" s="1189"/>
      <c r="AI34" s="1189"/>
    </row>
    <row r="35">
      <c r="A35" s="1190" t="s">
        <v>3936</v>
      </c>
      <c r="B35" s="1191">
        <v>38.0</v>
      </c>
      <c r="C35" s="1192">
        <v>13.0</v>
      </c>
      <c r="D35" s="1192">
        <v>1.0</v>
      </c>
      <c r="E35" s="1193">
        <v>0.026</v>
      </c>
      <c r="F35" s="1192">
        <v>3.0</v>
      </c>
      <c r="G35" s="1193">
        <v>0.079</v>
      </c>
      <c r="H35" s="1192">
        <v>22.0</v>
      </c>
      <c r="I35" s="1192">
        <v>20.0</v>
      </c>
      <c r="J35" s="1193">
        <v>0.909</v>
      </c>
      <c r="K35" s="1192">
        <v>2.0</v>
      </c>
      <c r="L35" s="1193">
        <v>0.053</v>
      </c>
      <c r="M35" s="1192">
        <v>1.0</v>
      </c>
      <c r="N35" s="1192">
        <v>1.0</v>
      </c>
      <c r="O35" s="1192">
        <v>28.0</v>
      </c>
      <c r="P35" s="1192">
        <v>23.0</v>
      </c>
      <c r="Q35" s="1195"/>
      <c r="R35" s="1188">
        <f t="shared" si="1"/>
        <v>51</v>
      </c>
      <c r="S35" s="1189"/>
      <c r="T35" s="1189"/>
      <c r="U35" s="1189"/>
      <c r="V35" s="1189"/>
      <c r="W35" s="1189"/>
      <c r="X35" s="1189"/>
      <c r="Y35" s="1189"/>
      <c r="Z35" s="1189"/>
      <c r="AA35" s="1189"/>
      <c r="AB35" s="1189"/>
      <c r="AC35" s="1189"/>
      <c r="AD35" s="1189"/>
      <c r="AE35" s="1189"/>
      <c r="AF35" s="1189"/>
      <c r="AG35" s="1189"/>
      <c r="AH35" s="1189"/>
      <c r="AI35" s="1189"/>
    </row>
    <row r="36">
      <c r="A36" s="1190" t="s">
        <v>3937</v>
      </c>
      <c r="B36" s="1191">
        <v>0.0</v>
      </c>
      <c r="C36" s="1192">
        <v>0.0</v>
      </c>
      <c r="D36" s="1192">
        <v>0.0</v>
      </c>
      <c r="E36" s="1193">
        <v>0.0</v>
      </c>
      <c r="F36" s="1192">
        <v>0.0</v>
      </c>
      <c r="G36" s="1193">
        <v>0.0</v>
      </c>
      <c r="H36" s="1192">
        <v>0.0</v>
      </c>
      <c r="I36" s="1192">
        <v>0.0</v>
      </c>
      <c r="J36" s="1193">
        <v>0.0</v>
      </c>
      <c r="K36" s="1192">
        <v>0.0</v>
      </c>
      <c r="L36" s="1193">
        <v>0.0</v>
      </c>
      <c r="M36" s="1192">
        <v>1.0</v>
      </c>
      <c r="N36" s="1192">
        <v>1.0</v>
      </c>
      <c r="O36" s="1192">
        <v>5.0</v>
      </c>
      <c r="P36" s="1192">
        <v>4.0</v>
      </c>
      <c r="Q36" s="1195"/>
      <c r="R36" s="1188">
        <f t="shared" si="1"/>
        <v>9</v>
      </c>
      <c r="S36" s="1189"/>
      <c r="T36" s="1189"/>
      <c r="U36" s="1189"/>
      <c r="V36" s="1189"/>
      <c r="W36" s="1189"/>
      <c r="X36" s="1189"/>
      <c r="Y36" s="1189"/>
      <c r="Z36" s="1189"/>
      <c r="AA36" s="1189"/>
      <c r="AB36" s="1189"/>
      <c r="AC36" s="1189"/>
      <c r="AD36" s="1189"/>
      <c r="AE36" s="1189"/>
      <c r="AF36" s="1189"/>
      <c r="AG36" s="1189"/>
      <c r="AH36" s="1189"/>
      <c r="AI36" s="1189"/>
    </row>
    <row r="37">
      <c r="A37" s="1190" t="s">
        <v>3938</v>
      </c>
      <c r="B37" s="1191">
        <v>0.0</v>
      </c>
      <c r="C37" s="1192">
        <v>0.0</v>
      </c>
      <c r="D37" s="1192">
        <v>0.0</v>
      </c>
      <c r="E37" s="1193">
        <v>0.0</v>
      </c>
      <c r="F37" s="1192">
        <v>0.0</v>
      </c>
      <c r="G37" s="1193">
        <v>0.0</v>
      </c>
      <c r="H37" s="1192">
        <v>0.0</v>
      </c>
      <c r="I37" s="1192">
        <v>0.0</v>
      </c>
      <c r="J37" s="1193">
        <v>0.0</v>
      </c>
      <c r="K37" s="1192">
        <v>0.0</v>
      </c>
      <c r="L37" s="1193">
        <v>0.0</v>
      </c>
      <c r="M37" s="1192">
        <v>0.0</v>
      </c>
      <c r="N37" s="1192">
        <v>0.0</v>
      </c>
      <c r="O37" s="1192">
        <v>1.0</v>
      </c>
      <c r="P37" s="1192">
        <v>1.0</v>
      </c>
      <c r="Q37" s="1195"/>
      <c r="R37" s="1188">
        <f t="shared" si="1"/>
        <v>2</v>
      </c>
      <c r="S37" s="1189"/>
      <c r="T37" s="1189"/>
      <c r="U37" s="1189"/>
      <c r="V37" s="1189"/>
      <c r="W37" s="1189"/>
      <c r="X37" s="1189"/>
      <c r="Y37" s="1189"/>
      <c r="Z37" s="1189"/>
      <c r="AA37" s="1189"/>
      <c r="AB37" s="1189"/>
      <c r="AC37" s="1189"/>
      <c r="AD37" s="1189"/>
      <c r="AE37" s="1189"/>
      <c r="AF37" s="1189"/>
      <c r="AG37" s="1189"/>
      <c r="AH37" s="1189"/>
      <c r="AI37" s="1189"/>
    </row>
    <row r="38">
      <c r="A38" s="1190" t="s">
        <v>826</v>
      </c>
      <c r="B38" s="1191">
        <v>89.0</v>
      </c>
      <c r="C38" s="1192">
        <v>44.0</v>
      </c>
      <c r="D38" s="1192">
        <v>8.0</v>
      </c>
      <c r="E38" s="1193">
        <v>0.09</v>
      </c>
      <c r="F38" s="1192">
        <v>5.0</v>
      </c>
      <c r="G38" s="1193">
        <v>0.056</v>
      </c>
      <c r="H38" s="1192">
        <v>42.0</v>
      </c>
      <c r="I38" s="1192">
        <v>37.0</v>
      </c>
      <c r="J38" s="1193">
        <v>0.881</v>
      </c>
      <c r="K38" s="1192">
        <v>0.0</v>
      </c>
      <c r="L38" s="1193">
        <v>0.0</v>
      </c>
      <c r="M38" s="1192">
        <v>3.0</v>
      </c>
      <c r="N38" s="1192">
        <v>6.0</v>
      </c>
      <c r="O38" s="1192">
        <v>12.0</v>
      </c>
      <c r="P38" s="1192">
        <v>4.0</v>
      </c>
      <c r="Q38" s="1195"/>
      <c r="R38" s="1188">
        <f t="shared" si="1"/>
        <v>16</v>
      </c>
      <c r="S38" s="1189"/>
      <c r="T38" s="1189"/>
      <c r="U38" s="1189"/>
      <c r="V38" s="1189"/>
      <c r="W38" s="1189"/>
      <c r="X38" s="1189"/>
      <c r="Y38" s="1189"/>
      <c r="Z38" s="1189"/>
      <c r="AA38" s="1189"/>
      <c r="AB38" s="1189"/>
      <c r="AC38" s="1189"/>
      <c r="AD38" s="1189"/>
      <c r="AE38" s="1189"/>
      <c r="AF38" s="1189"/>
      <c r="AG38" s="1189"/>
      <c r="AH38" s="1189"/>
      <c r="AI38" s="1189"/>
    </row>
    <row r="39">
      <c r="A39" s="1190" t="s">
        <v>827</v>
      </c>
      <c r="B39" s="1191">
        <v>0.0</v>
      </c>
      <c r="C39" s="1192">
        <v>0.0</v>
      </c>
      <c r="D39" s="1192">
        <v>0.0</v>
      </c>
      <c r="E39" s="1193">
        <v>0.0</v>
      </c>
      <c r="F39" s="1192">
        <v>0.0</v>
      </c>
      <c r="G39" s="1193">
        <v>0.0</v>
      </c>
      <c r="H39" s="1192">
        <v>0.0</v>
      </c>
      <c r="I39" s="1192">
        <v>0.0</v>
      </c>
      <c r="J39" s="1193">
        <v>0.0</v>
      </c>
      <c r="K39" s="1192">
        <v>0.0</v>
      </c>
      <c r="L39" s="1193">
        <v>0.0</v>
      </c>
      <c r="M39" s="1192">
        <v>0.0</v>
      </c>
      <c r="N39" s="1192">
        <v>0.0</v>
      </c>
      <c r="O39" s="1192">
        <v>1.0</v>
      </c>
      <c r="P39" s="1192">
        <v>2.0</v>
      </c>
      <c r="Q39" s="1195"/>
      <c r="R39" s="1188">
        <f t="shared" si="1"/>
        <v>3</v>
      </c>
      <c r="S39" s="1189"/>
      <c r="T39" s="1189"/>
      <c r="U39" s="1189"/>
      <c r="V39" s="1189"/>
      <c r="W39" s="1189"/>
      <c r="X39" s="1189"/>
      <c r="Y39" s="1189"/>
      <c r="Z39" s="1189"/>
      <c r="AA39" s="1189"/>
      <c r="AB39" s="1189"/>
      <c r="AC39" s="1189"/>
      <c r="AD39" s="1189"/>
      <c r="AE39" s="1189"/>
      <c r="AF39" s="1189"/>
      <c r="AG39" s="1189"/>
      <c r="AH39" s="1189"/>
      <c r="AI39" s="1189"/>
    </row>
    <row r="40">
      <c r="A40" s="1190" t="s">
        <v>3939</v>
      </c>
      <c r="B40" s="1191">
        <v>45.0</v>
      </c>
      <c r="C40" s="1192">
        <v>21.0</v>
      </c>
      <c r="D40" s="1192">
        <v>5.0</v>
      </c>
      <c r="E40" s="1193">
        <v>0.111</v>
      </c>
      <c r="F40" s="1192">
        <v>1.0</v>
      </c>
      <c r="G40" s="1193">
        <v>0.022</v>
      </c>
      <c r="H40" s="1192">
        <v>9.0</v>
      </c>
      <c r="I40" s="1192">
        <v>7.0</v>
      </c>
      <c r="J40" s="1193">
        <v>0.778</v>
      </c>
      <c r="K40" s="1192">
        <v>0.0</v>
      </c>
      <c r="L40" s="1193">
        <v>0.0</v>
      </c>
      <c r="M40" s="1192">
        <v>6.0</v>
      </c>
      <c r="N40" s="1192">
        <v>10.0</v>
      </c>
      <c r="O40" s="1192">
        <v>2.0</v>
      </c>
      <c r="P40" s="1192">
        <v>4.0</v>
      </c>
      <c r="Q40" s="1195"/>
      <c r="R40" s="1188">
        <f t="shared" si="1"/>
        <v>6</v>
      </c>
      <c r="S40" s="1189"/>
      <c r="T40" s="1189"/>
      <c r="U40" s="1189"/>
      <c r="V40" s="1189"/>
      <c r="W40" s="1189"/>
      <c r="X40" s="1189"/>
      <c r="Y40" s="1189"/>
      <c r="Z40" s="1189"/>
      <c r="AA40" s="1189"/>
      <c r="AB40" s="1189"/>
      <c r="AC40" s="1189"/>
      <c r="AD40" s="1189"/>
      <c r="AE40" s="1189"/>
      <c r="AF40" s="1189"/>
      <c r="AG40" s="1189"/>
      <c r="AH40" s="1189"/>
      <c r="AI40" s="1189"/>
    </row>
    <row r="41">
      <c r="A41" s="1190" t="s">
        <v>3940</v>
      </c>
      <c r="B41" s="1191">
        <v>0.0</v>
      </c>
      <c r="C41" s="1192">
        <v>0.0</v>
      </c>
      <c r="D41" s="1192">
        <v>0.0</v>
      </c>
      <c r="E41" s="1193">
        <v>0.0</v>
      </c>
      <c r="F41" s="1192">
        <v>0.0</v>
      </c>
      <c r="G41" s="1193">
        <v>0.0</v>
      </c>
      <c r="H41" s="1192">
        <v>0.0</v>
      </c>
      <c r="I41" s="1192">
        <v>0.0</v>
      </c>
      <c r="J41" s="1193">
        <v>0.0</v>
      </c>
      <c r="K41" s="1192">
        <v>0.0</v>
      </c>
      <c r="L41" s="1193">
        <v>0.0</v>
      </c>
      <c r="M41" s="1192">
        <v>0.0</v>
      </c>
      <c r="N41" s="1192">
        <v>0.0</v>
      </c>
      <c r="O41" s="1192">
        <v>5.0</v>
      </c>
      <c r="P41" s="1192">
        <v>5.0</v>
      </c>
      <c r="Q41" s="1195"/>
      <c r="R41" s="1188">
        <f t="shared" si="1"/>
        <v>10</v>
      </c>
      <c r="S41" s="1189"/>
      <c r="T41" s="1189"/>
      <c r="U41" s="1189"/>
      <c r="V41" s="1189"/>
      <c r="W41" s="1189"/>
      <c r="X41" s="1189"/>
      <c r="Y41" s="1189"/>
      <c r="Z41" s="1189"/>
      <c r="AA41" s="1189"/>
      <c r="AB41" s="1189"/>
      <c r="AC41" s="1189"/>
      <c r="AD41" s="1189"/>
      <c r="AE41" s="1189"/>
      <c r="AF41" s="1189"/>
      <c r="AG41" s="1189"/>
      <c r="AH41" s="1189"/>
      <c r="AI41" s="1189"/>
    </row>
    <row r="42">
      <c r="A42" s="1190" t="s">
        <v>2768</v>
      </c>
      <c r="B42" s="1191">
        <v>92.0</v>
      </c>
      <c r="C42" s="1192">
        <v>27.0</v>
      </c>
      <c r="D42" s="1192">
        <v>2.0</v>
      </c>
      <c r="E42" s="1193">
        <v>0.022</v>
      </c>
      <c r="F42" s="1192">
        <v>1.0</v>
      </c>
      <c r="G42" s="1193">
        <v>0.011</v>
      </c>
      <c r="H42" s="1192">
        <v>31.0</v>
      </c>
      <c r="I42" s="1192">
        <v>28.0</v>
      </c>
      <c r="J42" s="1193">
        <v>0.903</v>
      </c>
      <c r="K42" s="1192">
        <v>1.0</v>
      </c>
      <c r="L42" s="1193">
        <v>0.011</v>
      </c>
      <c r="M42" s="1192">
        <v>0.0</v>
      </c>
      <c r="N42" s="1192">
        <v>0.0</v>
      </c>
      <c r="O42" s="1192">
        <v>9.0</v>
      </c>
      <c r="P42" s="1192">
        <v>20.0</v>
      </c>
      <c r="Q42" s="1195"/>
      <c r="R42" s="1188">
        <f t="shared" si="1"/>
        <v>29</v>
      </c>
      <c r="S42" s="1189"/>
      <c r="T42" s="1189"/>
      <c r="U42" s="1189"/>
      <c r="V42" s="1189"/>
      <c r="W42" s="1189"/>
      <c r="X42" s="1189"/>
      <c r="Y42" s="1189"/>
      <c r="Z42" s="1189"/>
      <c r="AA42" s="1189"/>
      <c r="AB42" s="1189"/>
      <c r="AC42" s="1189"/>
      <c r="AD42" s="1189"/>
      <c r="AE42" s="1189"/>
      <c r="AF42" s="1189"/>
      <c r="AG42" s="1189"/>
      <c r="AH42" s="1189"/>
      <c r="AI42" s="1189"/>
    </row>
    <row r="43">
      <c r="A43" s="1190" t="s">
        <v>3941</v>
      </c>
      <c r="B43" s="1191">
        <v>0.0</v>
      </c>
      <c r="C43" s="1192">
        <v>0.0</v>
      </c>
      <c r="D43" s="1192">
        <v>0.0</v>
      </c>
      <c r="E43" s="1193">
        <v>0.0</v>
      </c>
      <c r="F43" s="1192">
        <v>0.0</v>
      </c>
      <c r="G43" s="1193">
        <v>0.0</v>
      </c>
      <c r="H43" s="1192">
        <v>0.0</v>
      </c>
      <c r="I43" s="1192">
        <v>0.0</v>
      </c>
      <c r="J43" s="1193">
        <v>0.0</v>
      </c>
      <c r="K43" s="1192">
        <v>0.0</v>
      </c>
      <c r="L43" s="1193">
        <v>0.0</v>
      </c>
      <c r="M43" s="1192">
        <v>0.0</v>
      </c>
      <c r="N43" s="1192">
        <v>0.0</v>
      </c>
      <c r="O43" s="1192">
        <v>1.0</v>
      </c>
      <c r="P43" s="1192">
        <v>4.0</v>
      </c>
      <c r="Q43" s="1195"/>
      <c r="R43" s="1188">
        <f t="shared" si="1"/>
        <v>5</v>
      </c>
      <c r="S43" s="1189"/>
      <c r="T43" s="1189"/>
      <c r="U43" s="1189"/>
      <c r="V43" s="1189"/>
      <c r="W43" s="1189"/>
      <c r="X43" s="1189"/>
      <c r="Y43" s="1189"/>
      <c r="Z43" s="1189"/>
      <c r="AA43" s="1189"/>
      <c r="AB43" s="1189"/>
      <c r="AC43" s="1189"/>
      <c r="AD43" s="1189"/>
      <c r="AE43" s="1189"/>
      <c r="AF43" s="1189"/>
      <c r="AG43" s="1189"/>
      <c r="AH43" s="1189"/>
      <c r="AI43" s="1189"/>
    </row>
    <row r="44">
      <c r="A44" s="1190" t="s">
        <v>835</v>
      </c>
      <c r="B44" s="1191">
        <v>0.0</v>
      </c>
      <c r="C44" s="1192">
        <v>0.0</v>
      </c>
      <c r="D44" s="1192">
        <v>0.0</v>
      </c>
      <c r="E44" s="1193">
        <v>0.0</v>
      </c>
      <c r="F44" s="1192">
        <v>0.0</v>
      </c>
      <c r="G44" s="1193">
        <v>0.0</v>
      </c>
      <c r="H44" s="1192">
        <v>0.0</v>
      </c>
      <c r="I44" s="1192">
        <v>0.0</v>
      </c>
      <c r="J44" s="1193">
        <v>0.0</v>
      </c>
      <c r="K44" s="1192">
        <v>0.0</v>
      </c>
      <c r="L44" s="1193">
        <v>0.0</v>
      </c>
      <c r="M44" s="1192">
        <v>0.0</v>
      </c>
      <c r="N44" s="1192">
        <v>0.0</v>
      </c>
      <c r="O44" s="1192">
        <v>3.0</v>
      </c>
      <c r="P44" s="1192">
        <v>8.0</v>
      </c>
      <c r="Q44" s="1195"/>
      <c r="R44" s="1188">
        <f t="shared" si="1"/>
        <v>11</v>
      </c>
      <c r="S44" s="1189"/>
      <c r="T44" s="1189"/>
      <c r="U44" s="1189"/>
      <c r="V44" s="1189"/>
      <c r="W44" s="1189"/>
      <c r="X44" s="1189"/>
      <c r="Y44" s="1189"/>
      <c r="Z44" s="1189"/>
      <c r="AA44" s="1189"/>
      <c r="AB44" s="1189"/>
      <c r="AC44" s="1189"/>
      <c r="AD44" s="1189"/>
      <c r="AE44" s="1189"/>
      <c r="AF44" s="1189"/>
      <c r="AG44" s="1189"/>
      <c r="AH44" s="1189"/>
      <c r="AI44" s="1189"/>
    </row>
    <row r="45">
      <c r="A45" s="1190" t="s">
        <v>3942</v>
      </c>
      <c r="B45" s="1191">
        <v>31.0</v>
      </c>
      <c r="C45" s="1192">
        <v>9.0</v>
      </c>
      <c r="D45" s="1192">
        <v>0.0</v>
      </c>
      <c r="E45" s="1193">
        <v>0.0</v>
      </c>
      <c r="F45" s="1192">
        <v>1.0</v>
      </c>
      <c r="G45" s="1193">
        <v>0.032</v>
      </c>
      <c r="H45" s="1192">
        <v>7.0</v>
      </c>
      <c r="I45" s="1192">
        <v>7.0</v>
      </c>
      <c r="J45" s="1193">
        <v>1.0</v>
      </c>
      <c r="K45" s="1192">
        <v>0.0</v>
      </c>
      <c r="L45" s="1193">
        <v>0.0</v>
      </c>
      <c r="M45" s="1192">
        <v>0.0</v>
      </c>
      <c r="N45" s="1192">
        <v>0.0</v>
      </c>
      <c r="O45" s="1192">
        <v>28.0</v>
      </c>
      <c r="P45" s="1192">
        <v>13.0</v>
      </c>
      <c r="Q45" s="1195"/>
      <c r="R45" s="1188">
        <f t="shared" si="1"/>
        <v>41</v>
      </c>
      <c r="S45" s="1189"/>
      <c r="T45" s="1189"/>
      <c r="U45" s="1189"/>
      <c r="V45" s="1189"/>
      <c r="W45" s="1189"/>
      <c r="X45" s="1189"/>
      <c r="Y45" s="1189"/>
      <c r="Z45" s="1189"/>
      <c r="AA45" s="1189"/>
      <c r="AB45" s="1189"/>
      <c r="AC45" s="1189"/>
      <c r="AD45" s="1189"/>
      <c r="AE45" s="1189"/>
      <c r="AF45" s="1189"/>
      <c r="AG45" s="1189"/>
      <c r="AH45" s="1189"/>
      <c r="AI45" s="1189"/>
    </row>
    <row r="46">
      <c r="A46" s="1190" t="s">
        <v>3943</v>
      </c>
      <c r="B46" s="1191">
        <v>51.0</v>
      </c>
      <c r="C46" s="1192">
        <v>32.0</v>
      </c>
      <c r="D46" s="1192">
        <v>5.0</v>
      </c>
      <c r="E46" s="1193">
        <v>0.098</v>
      </c>
      <c r="F46" s="1192">
        <v>4.0</v>
      </c>
      <c r="G46" s="1193">
        <v>0.078</v>
      </c>
      <c r="H46" s="1192">
        <v>18.0</v>
      </c>
      <c r="I46" s="1192">
        <v>18.0</v>
      </c>
      <c r="J46" s="1193">
        <v>1.0</v>
      </c>
      <c r="K46" s="1192">
        <v>1.0</v>
      </c>
      <c r="L46" s="1193">
        <v>0.02</v>
      </c>
      <c r="M46" s="1192">
        <v>0.0</v>
      </c>
      <c r="N46" s="1192">
        <v>0.0</v>
      </c>
      <c r="O46" s="1192">
        <v>2.0</v>
      </c>
      <c r="P46" s="1192">
        <v>10.0</v>
      </c>
      <c r="Q46" s="1195"/>
      <c r="R46" s="1188">
        <f t="shared" si="1"/>
        <v>12</v>
      </c>
      <c r="S46" s="1189"/>
      <c r="T46" s="1189"/>
      <c r="U46" s="1189"/>
      <c r="V46" s="1189"/>
      <c r="W46" s="1189"/>
      <c r="X46" s="1189"/>
      <c r="Y46" s="1189"/>
      <c r="Z46" s="1189"/>
      <c r="AA46" s="1189"/>
      <c r="AB46" s="1189"/>
      <c r="AC46" s="1189"/>
      <c r="AD46" s="1189"/>
      <c r="AE46" s="1189"/>
      <c r="AF46" s="1189"/>
      <c r="AG46" s="1189"/>
      <c r="AH46" s="1189"/>
      <c r="AI46" s="1189"/>
    </row>
    <row r="47">
      <c r="A47" s="1190" t="s">
        <v>3944</v>
      </c>
      <c r="B47" s="1191">
        <v>105.0</v>
      </c>
      <c r="C47" s="1192">
        <v>26.0</v>
      </c>
      <c r="D47" s="1192">
        <v>7.0</v>
      </c>
      <c r="E47" s="1193">
        <v>0.067</v>
      </c>
      <c r="F47" s="1192">
        <v>3.0</v>
      </c>
      <c r="G47" s="1193">
        <v>0.029</v>
      </c>
      <c r="H47" s="1192">
        <v>27.0</v>
      </c>
      <c r="I47" s="1192">
        <v>24.0</v>
      </c>
      <c r="J47" s="1193">
        <v>0.889</v>
      </c>
      <c r="K47" s="1192">
        <v>5.0</v>
      </c>
      <c r="L47" s="1193">
        <v>0.048</v>
      </c>
      <c r="M47" s="1192">
        <v>8.0</v>
      </c>
      <c r="N47" s="1192">
        <v>12.0</v>
      </c>
      <c r="O47" s="1192">
        <v>33.0</v>
      </c>
      <c r="P47" s="1192">
        <v>38.0</v>
      </c>
      <c r="Q47" s="1195"/>
      <c r="R47" s="1188">
        <f t="shared" si="1"/>
        <v>71</v>
      </c>
      <c r="S47" s="1189"/>
      <c r="T47" s="1189"/>
      <c r="U47" s="1189"/>
      <c r="V47" s="1189"/>
      <c r="W47" s="1189"/>
      <c r="X47" s="1189"/>
      <c r="Y47" s="1189"/>
      <c r="Z47" s="1189"/>
      <c r="AA47" s="1189"/>
      <c r="AB47" s="1189"/>
      <c r="AC47" s="1189"/>
      <c r="AD47" s="1189"/>
      <c r="AE47" s="1189"/>
      <c r="AF47" s="1189"/>
      <c r="AG47" s="1189"/>
      <c r="AH47" s="1189"/>
      <c r="AI47" s="1189"/>
    </row>
    <row r="48">
      <c r="A48" s="1190" t="s">
        <v>3945</v>
      </c>
      <c r="B48" s="1191">
        <v>88.0</v>
      </c>
      <c r="C48" s="1192">
        <v>33.0</v>
      </c>
      <c r="D48" s="1192">
        <v>1.0</v>
      </c>
      <c r="E48" s="1193">
        <v>0.011</v>
      </c>
      <c r="F48" s="1192">
        <v>7.0</v>
      </c>
      <c r="G48" s="1193">
        <v>0.08</v>
      </c>
      <c r="H48" s="1192">
        <v>25.0</v>
      </c>
      <c r="I48" s="1192">
        <v>20.0</v>
      </c>
      <c r="J48" s="1193">
        <v>0.8</v>
      </c>
      <c r="K48" s="1192">
        <v>2.0</v>
      </c>
      <c r="L48" s="1193">
        <v>0.023</v>
      </c>
      <c r="M48" s="1192">
        <v>7.0</v>
      </c>
      <c r="N48" s="1192">
        <v>11.0</v>
      </c>
      <c r="O48" s="1192">
        <v>13.0</v>
      </c>
      <c r="P48" s="1192">
        <v>14.0</v>
      </c>
      <c r="Q48" s="1195"/>
      <c r="R48" s="1188">
        <f t="shared" si="1"/>
        <v>27</v>
      </c>
      <c r="S48" s="1189"/>
      <c r="T48" s="1189"/>
      <c r="U48" s="1189"/>
      <c r="V48" s="1189"/>
      <c r="W48" s="1189"/>
      <c r="X48" s="1189"/>
      <c r="Y48" s="1189"/>
      <c r="Z48" s="1189"/>
      <c r="AA48" s="1189"/>
      <c r="AB48" s="1189"/>
      <c r="AC48" s="1189"/>
      <c r="AD48" s="1189"/>
      <c r="AE48" s="1189"/>
      <c r="AF48" s="1189"/>
      <c r="AG48" s="1189"/>
      <c r="AH48" s="1189"/>
      <c r="AI48" s="1189"/>
    </row>
    <row r="49">
      <c r="A49" s="1190" t="s">
        <v>3946</v>
      </c>
      <c r="B49" s="1191">
        <v>0.0</v>
      </c>
      <c r="C49" s="1192">
        <v>0.0</v>
      </c>
      <c r="D49" s="1192">
        <v>0.0</v>
      </c>
      <c r="E49" s="1193">
        <v>0.0</v>
      </c>
      <c r="F49" s="1192">
        <v>0.0</v>
      </c>
      <c r="G49" s="1193">
        <v>0.0</v>
      </c>
      <c r="H49" s="1192">
        <v>0.0</v>
      </c>
      <c r="I49" s="1192">
        <v>0.0</v>
      </c>
      <c r="J49" s="1193">
        <v>0.0</v>
      </c>
      <c r="K49" s="1192">
        <v>0.0</v>
      </c>
      <c r="L49" s="1193">
        <v>0.0</v>
      </c>
      <c r="M49" s="1192">
        <v>0.0</v>
      </c>
      <c r="N49" s="1192">
        <v>0.0</v>
      </c>
      <c r="O49" s="1192">
        <v>1.0</v>
      </c>
      <c r="P49" s="1192">
        <v>2.0</v>
      </c>
      <c r="Q49" s="1195"/>
      <c r="R49" s="1188">
        <f t="shared" si="1"/>
        <v>3</v>
      </c>
      <c r="S49" s="1189"/>
      <c r="T49" s="1189"/>
      <c r="U49" s="1189"/>
      <c r="V49" s="1189"/>
      <c r="W49" s="1189"/>
      <c r="X49" s="1189"/>
      <c r="Y49" s="1189"/>
      <c r="Z49" s="1189"/>
      <c r="AA49" s="1189"/>
      <c r="AB49" s="1189"/>
      <c r="AC49" s="1189"/>
      <c r="AD49" s="1189"/>
      <c r="AE49" s="1189"/>
      <c r="AF49" s="1189"/>
      <c r="AG49" s="1189"/>
      <c r="AH49" s="1189"/>
      <c r="AI49" s="1189"/>
    </row>
    <row r="50">
      <c r="A50" s="1190" t="s">
        <v>3947</v>
      </c>
      <c r="B50" s="1191">
        <v>923.0</v>
      </c>
      <c r="C50" s="1192">
        <v>378.0</v>
      </c>
      <c r="D50" s="1192">
        <v>54.0</v>
      </c>
      <c r="E50" s="1193">
        <v>0.059</v>
      </c>
      <c r="F50" s="1192">
        <v>41.0</v>
      </c>
      <c r="G50" s="1193">
        <v>0.044</v>
      </c>
      <c r="H50" s="1192">
        <v>385.0</v>
      </c>
      <c r="I50" s="1192">
        <v>183.0</v>
      </c>
      <c r="J50" s="1193">
        <v>0.475</v>
      </c>
      <c r="K50" s="1192">
        <v>16.0</v>
      </c>
      <c r="L50" s="1193">
        <v>0.017</v>
      </c>
      <c r="M50" s="1192">
        <v>108.0</v>
      </c>
      <c r="N50" s="1192">
        <v>227.0</v>
      </c>
      <c r="O50" s="1192">
        <v>232.0</v>
      </c>
      <c r="P50" s="1192">
        <v>267.0</v>
      </c>
      <c r="Q50" s="1195"/>
      <c r="R50" s="1188">
        <f t="shared" si="1"/>
        <v>499</v>
      </c>
      <c r="S50" s="1189"/>
      <c r="T50" s="1189"/>
      <c r="U50" s="1189"/>
      <c r="V50" s="1189"/>
      <c r="W50" s="1189"/>
      <c r="X50" s="1189"/>
      <c r="Y50" s="1189"/>
      <c r="Z50" s="1189"/>
      <c r="AA50" s="1189"/>
      <c r="AB50" s="1189"/>
      <c r="AC50" s="1189"/>
      <c r="AD50" s="1189"/>
      <c r="AE50" s="1189"/>
      <c r="AF50" s="1189"/>
      <c r="AG50" s="1189"/>
      <c r="AH50" s="1189"/>
      <c r="AI50" s="1189"/>
    </row>
    <row r="51">
      <c r="A51" s="1190" t="s">
        <v>3948</v>
      </c>
      <c r="B51" s="1191">
        <v>923.0</v>
      </c>
      <c r="C51" s="1192">
        <v>378.0</v>
      </c>
      <c r="D51" s="1192">
        <v>54.0</v>
      </c>
      <c r="E51" s="1193">
        <v>0.059</v>
      </c>
      <c r="F51" s="1192">
        <v>41.0</v>
      </c>
      <c r="G51" s="1193">
        <v>0.044</v>
      </c>
      <c r="H51" s="1192">
        <v>385.0</v>
      </c>
      <c r="I51" s="1192">
        <v>183.0</v>
      </c>
      <c r="J51" s="1193">
        <v>0.475</v>
      </c>
      <c r="K51" s="1192">
        <v>16.0</v>
      </c>
      <c r="L51" s="1193">
        <v>0.017</v>
      </c>
      <c r="M51" s="1192">
        <v>108.0</v>
      </c>
      <c r="N51" s="1192">
        <v>227.0</v>
      </c>
      <c r="O51" s="1192">
        <v>232.0</v>
      </c>
      <c r="P51" s="1192">
        <v>267.0</v>
      </c>
      <c r="Q51" s="1195"/>
      <c r="R51" s="1188">
        <f t="shared" si="1"/>
        <v>499</v>
      </c>
      <c r="S51" s="1189"/>
      <c r="T51" s="1189"/>
      <c r="U51" s="1189"/>
      <c r="V51" s="1189"/>
      <c r="W51" s="1189"/>
      <c r="X51" s="1189"/>
      <c r="Y51" s="1189"/>
      <c r="Z51" s="1189"/>
      <c r="AA51" s="1189"/>
      <c r="AB51" s="1189"/>
      <c r="AC51" s="1189"/>
      <c r="AD51" s="1189"/>
      <c r="AE51" s="1189"/>
      <c r="AF51" s="1189"/>
      <c r="AG51" s="1189"/>
      <c r="AH51" s="1189"/>
      <c r="AI51" s="1189"/>
    </row>
    <row r="52">
      <c r="A52" s="1190" t="s">
        <v>3949</v>
      </c>
      <c r="B52" s="1191">
        <v>1175.0</v>
      </c>
      <c r="C52" s="1192">
        <v>481.0</v>
      </c>
      <c r="D52" s="1192">
        <v>51.0</v>
      </c>
      <c r="E52" s="1193">
        <v>0.043</v>
      </c>
      <c r="F52" s="1192">
        <v>42.0</v>
      </c>
      <c r="G52" s="1193">
        <v>0.036</v>
      </c>
      <c r="H52" s="1192">
        <v>386.0</v>
      </c>
      <c r="I52" s="1192">
        <v>311.0</v>
      </c>
      <c r="J52" s="1193">
        <v>0.806</v>
      </c>
      <c r="K52" s="1192">
        <v>14.0</v>
      </c>
      <c r="L52" s="1193">
        <v>0.012</v>
      </c>
      <c r="M52" s="1192">
        <v>53.0</v>
      </c>
      <c r="N52" s="1192">
        <v>94.0</v>
      </c>
      <c r="O52" s="1192">
        <v>246.0</v>
      </c>
      <c r="P52" s="1192">
        <v>355.0</v>
      </c>
      <c r="Q52" s="1195"/>
      <c r="R52" s="1188">
        <f t="shared" si="1"/>
        <v>601</v>
      </c>
      <c r="S52" s="1189"/>
      <c r="T52" s="1189"/>
      <c r="U52" s="1189"/>
      <c r="V52" s="1189"/>
      <c r="W52" s="1189"/>
      <c r="X52" s="1189"/>
      <c r="Y52" s="1189"/>
      <c r="Z52" s="1189"/>
      <c r="AA52" s="1189"/>
      <c r="AB52" s="1189"/>
      <c r="AC52" s="1189"/>
      <c r="AD52" s="1189"/>
      <c r="AE52" s="1189"/>
      <c r="AF52" s="1189"/>
      <c r="AG52" s="1189"/>
      <c r="AH52" s="1189"/>
      <c r="AI52" s="1189"/>
    </row>
    <row r="53">
      <c r="A53" s="1190" t="s">
        <v>2620</v>
      </c>
      <c r="B53" s="1191">
        <v>41.0</v>
      </c>
      <c r="C53" s="1192">
        <v>10.0</v>
      </c>
      <c r="D53" s="1192">
        <v>3.0</v>
      </c>
      <c r="E53" s="1193">
        <v>0.073</v>
      </c>
      <c r="F53" s="1192">
        <v>2.0</v>
      </c>
      <c r="G53" s="1193">
        <v>0.049</v>
      </c>
      <c r="H53" s="1192">
        <v>14.0</v>
      </c>
      <c r="I53" s="1192">
        <v>13.0</v>
      </c>
      <c r="J53" s="1193">
        <v>0.929</v>
      </c>
      <c r="K53" s="1192">
        <v>1.0</v>
      </c>
      <c r="L53" s="1193">
        <v>0.024</v>
      </c>
      <c r="M53" s="1192">
        <v>5.0</v>
      </c>
      <c r="N53" s="1192">
        <v>11.0</v>
      </c>
      <c r="O53" s="1192">
        <v>9.0</v>
      </c>
      <c r="P53" s="1192">
        <v>10.0</v>
      </c>
      <c r="Q53" s="1195"/>
      <c r="R53" s="1188">
        <f t="shared" si="1"/>
        <v>19</v>
      </c>
      <c r="S53" s="1189"/>
      <c r="T53" s="1189"/>
      <c r="U53" s="1189"/>
      <c r="V53" s="1189"/>
      <c r="W53" s="1189"/>
      <c r="X53" s="1189"/>
      <c r="Y53" s="1189"/>
      <c r="Z53" s="1189"/>
      <c r="AA53" s="1189"/>
      <c r="AB53" s="1189"/>
      <c r="AC53" s="1189"/>
      <c r="AD53" s="1189"/>
      <c r="AE53" s="1189"/>
      <c r="AF53" s="1189"/>
      <c r="AG53" s="1189"/>
      <c r="AH53" s="1189"/>
      <c r="AI53" s="1189"/>
    </row>
    <row r="54">
      <c r="A54" s="1190" t="s">
        <v>3950</v>
      </c>
      <c r="B54" s="1191">
        <v>42.0</v>
      </c>
      <c r="C54" s="1192">
        <v>12.0</v>
      </c>
      <c r="D54" s="1192">
        <v>3.0</v>
      </c>
      <c r="E54" s="1193">
        <v>0.071</v>
      </c>
      <c r="F54" s="1192">
        <v>1.0</v>
      </c>
      <c r="G54" s="1193">
        <v>0.024</v>
      </c>
      <c r="H54" s="1192">
        <v>15.0</v>
      </c>
      <c r="I54" s="1192">
        <v>14.0</v>
      </c>
      <c r="J54" s="1193">
        <v>0.933</v>
      </c>
      <c r="K54" s="1192">
        <v>0.0</v>
      </c>
      <c r="L54" s="1193">
        <v>0.0</v>
      </c>
      <c r="M54" s="1192">
        <v>1.0</v>
      </c>
      <c r="N54" s="1192">
        <v>1.0</v>
      </c>
      <c r="O54" s="1192">
        <v>4.0</v>
      </c>
      <c r="P54" s="1192">
        <v>8.0</v>
      </c>
      <c r="Q54" s="1195"/>
      <c r="R54" s="1188">
        <f t="shared" si="1"/>
        <v>12</v>
      </c>
      <c r="S54" s="1189"/>
      <c r="T54" s="1189"/>
      <c r="U54" s="1189"/>
      <c r="V54" s="1189"/>
      <c r="W54" s="1189"/>
      <c r="X54" s="1189"/>
      <c r="Y54" s="1189"/>
      <c r="Z54" s="1189"/>
      <c r="AA54" s="1189"/>
      <c r="AB54" s="1189"/>
      <c r="AC54" s="1189"/>
      <c r="AD54" s="1189"/>
      <c r="AE54" s="1189"/>
      <c r="AF54" s="1189"/>
      <c r="AG54" s="1189"/>
      <c r="AH54" s="1189"/>
      <c r="AI54" s="1189"/>
    </row>
    <row r="55">
      <c r="A55" s="1190" t="s">
        <v>3951</v>
      </c>
      <c r="B55" s="1191">
        <v>87.0</v>
      </c>
      <c r="C55" s="1192">
        <v>29.0</v>
      </c>
      <c r="D55" s="1192">
        <v>2.0</v>
      </c>
      <c r="E55" s="1193">
        <v>0.023</v>
      </c>
      <c r="F55" s="1192">
        <v>3.0</v>
      </c>
      <c r="G55" s="1193">
        <v>0.034</v>
      </c>
      <c r="H55" s="1192">
        <v>33.0</v>
      </c>
      <c r="I55" s="1192">
        <v>30.0</v>
      </c>
      <c r="J55" s="1193">
        <v>0.909</v>
      </c>
      <c r="K55" s="1192">
        <v>1.0</v>
      </c>
      <c r="L55" s="1193">
        <v>0.011</v>
      </c>
      <c r="M55" s="1192">
        <v>1.0</v>
      </c>
      <c r="N55" s="1192">
        <v>1.0</v>
      </c>
      <c r="O55" s="1192">
        <v>19.0</v>
      </c>
      <c r="P55" s="1192">
        <v>18.0</v>
      </c>
      <c r="Q55" s="1195"/>
      <c r="R55" s="1188">
        <f t="shared" si="1"/>
        <v>37</v>
      </c>
      <c r="S55" s="1189"/>
      <c r="T55" s="1189"/>
      <c r="U55" s="1189"/>
      <c r="V55" s="1189"/>
      <c r="W55" s="1189"/>
      <c r="X55" s="1189"/>
      <c r="Y55" s="1189"/>
      <c r="Z55" s="1189"/>
      <c r="AA55" s="1189"/>
      <c r="AB55" s="1189"/>
      <c r="AC55" s="1189"/>
      <c r="AD55" s="1189"/>
      <c r="AE55" s="1189"/>
      <c r="AF55" s="1189"/>
      <c r="AG55" s="1189"/>
      <c r="AH55" s="1189"/>
      <c r="AI55" s="1189"/>
    </row>
    <row r="56">
      <c r="A56" s="1190" t="s">
        <v>801</v>
      </c>
      <c r="B56" s="1191">
        <v>66.0</v>
      </c>
      <c r="C56" s="1192">
        <v>34.0</v>
      </c>
      <c r="D56" s="1192">
        <v>3.0</v>
      </c>
      <c r="E56" s="1193">
        <v>0.045</v>
      </c>
      <c r="F56" s="1192">
        <v>2.0</v>
      </c>
      <c r="G56" s="1193">
        <v>0.03</v>
      </c>
      <c r="H56" s="1192">
        <v>28.0</v>
      </c>
      <c r="I56" s="1192">
        <v>22.0</v>
      </c>
      <c r="J56" s="1193">
        <v>0.786</v>
      </c>
      <c r="K56" s="1192">
        <v>1.0</v>
      </c>
      <c r="L56" s="1193">
        <v>0.015</v>
      </c>
      <c r="M56" s="1192">
        <v>0.0</v>
      </c>
      <c r="N56" s="1192">
        <v>0.0</v>
      </c>
      <c r="O56" s="1192">
        <v>17.0</v>
      </c>
      <c r="P56" s="1192">
        <v>17.0</v>
      </c>
      <c r="Q56" s="1195"/>
      <c r="R56" s="1188">
        <f t="shared" si="1"/>
        <v>34</v>
      </c>
      <c r="S56" s="1189"/>
      <c r="T56" s="1189"/>
      <c r="U56" s="1189"/>
      <c r="V56" s="1189"/>
      <c r="W56" s="1189"/>
      <c r="X56" s="1189"/>
      <c r="Y56" s="1189"/>
      <c r="Z56" s="1189"/>
      <c r="AA56" s="1189"/>
      <c r="AB56" s="1189"/>
      <c r="AC56" s="1189"/>
      <c r="AD56" s="1189"/>
      <c r="AE56" s="1189"/>
      <c r="AF56" s="1189"/>
      <c r="AG56" s="1189"/>
      <c r="AH56" s="1189"/>
      <c r="AI56" s="1189"/>
    </row>
    <row r="57">
      <c r="A57" s="1190" t="s">
        <v>889</v>
      </c>
      <c r="B57" s="1191">
        <v>34.0</v>
      </c>
      <c r="C57" s="1192">
        <v>8.0</v>
      </c>
      <c r="D57" s="1192">
        <v>1.0</v>
      </c>
      <c r="E57" s="1193">
        <v>0.029</v>
      </c>
      <c r="F57" s="1192">
        <v>1.0</v>
      </c>
      <c r="G57" s="1193">
        <v>0.029</v>
      </c>
      <c r="H57" s="1192">
        <v>14.0</v>
      </c>
      <c r="I57" s="1192">
        <v>9.0</v>
      </c>
      <c r="J57" s="1193">
        <v>0.643</v>
      </c>
      <c r="K57" s="1192">
        <v>1.0</v>
      </c>
      <c r="L57" s="1193">
        <v>0.029</v>
      </c>
      <c r="M57" s="1192">
        <v>3.0</v>
      </c>
      <c r="N57" s="1192">
        <v>5.0</v>
      </c>
      <c r="O57" s="1192">
        <v>3.0</v>
      </c>
      <c r="P57" s="1192">
        <v>4.0</v>
      </c>
      <c r="Q57" s="1195"/>
      <c r="R57" s="1188">
        <f t="shared" si="1"/>
        <v>7</v>
      </c>
      <c r="S57" s="1189"/>
      <c r="T57" s="1189"/>
      <c r="U57" s="1189"/>
      <c r="V57" s="1189"/>
      <c r="W57" s="1189"/>
      <c r="X57" s="1189"/>
      <c r="Y57" s="1189"/>
      <c r="Z57" s="1189"/>
      <c r="AA57" s="1189"/>
      <c r="AB57" s="1189"/>
      <c r="AC57" s="1189"/>
      <c r="AD57" s="1189"/>
      <c r="AE57" s="1189"/>
      <c r="AF57" s="1189"/>
      <c r="AG57" s="1189"/>
      <c r="AH57" s="1189"/>
      <c r="AI57" s="1189"/>
    </row>
    <row r="58">
      <c r="A58" s="1190" t="s">
        <v>3952</v>
      </c>
      <c r="B58" s="1191">
        <v>13.0</v>
      </c>
      <c r="C58" s="1192">
        <v>3.0</v>
      </c>
      <c r="D58" s="1192">
        <v>3.0</v>
      </c>
      <c r="E58" s="1193">
        <v>0.231</v>
      </c>
      <c r="F58" s="1192">
        <v>1.0</v>
      </c>
      <c r="G58" s="1193">
        <v>0.077</v>
      </c>
      <c r="H58" s="1192">
        <v>1.0</v>
      </c>
      <c r="I58" s="1192">
        <v>1.0</v>
      </c>
      <c r="J58" s="1193">
        <v>1.0</v>
      </c>
      <c r="K58" s="1192">
        <v>0.0</v>
      </c>
      <c r="L58" s="1193">
        <v>0.0</v>
      </c>
      <c r="M58" s="1192">
        <v>1.0</v>
      </c>
      <c r="N58" s="1192">
        <v>2.0</v>
      </c>
      <c r="O58" s="1192">
        <v>1.0</v>
      </c>
      <c r="P58" s="1192">
        <v>7.0</v>
      </c>
      <c r="Q58" s="1195"/>
      <c r="R58" s="1188">
        <f t="shared" si="1"/>
        <v>8</v>
      </c>
      <c r="S58" s="1189"/>
      <c r="T58" s="1189"/>
      <c r="U58" s="1189"/>
      <c r="V58" s="1189"/>
      <c r="W58" s="1189"/>
      <c r="X58" s="1189"/>
      <c r="Y58" s="1189"/>
      <c r="Z58" s="1189"/>
      <c r="AA58" s="1189"/>
      <c r="AB58" s="1189"/>
      <c r="AC58" s="1189"/>
      <c r="AD58" s="1189"/>
      <c r="AE58" s="1189"/>
      <c r="AF58" s="1189"/>
      <c r="AG58" s="1189"/>
      <c r="AH58" s="1189"/>
      <c r="AI58" s="1189"/>
    </row>
    <row r="59">
      <c r="A59" s="1190" t="s">
        <v>3953</v>
      </c>
      <c r="B59" s="1191">
        <v>38.0</v>
      </c>
      <c r="C59" s="1192">
        <v>22.0</v>
      </c>
      <c r="D59" s="1192">
        <v>2.0</v>
      </c>
      <c r="E59" s="1193">
        <v>0.053</v>
      </c>
      <c r="F59" s="1192">
        <v>2.0</v>
      </c>
      <c r="G59" s="1193">
        <v>0.053</v>
      </c>
      <c r="H59" s="1192">
        <v>14.0</v>
      </c>
      <c r="I59" s="1192">
        <v>12.0</v>
      </c>
      <c r="J59" s="1193">
        <v>0.857</v>
      </c>
      <c r="K59" s="1192">
        <v>1.0</v>
      </c>
      <c r="L59" s="1193">
        <v>0.026</v>
      </c>
      <c r="M59" s="1192">
        <v>1.0</v>
      </c>
      <c r="N59" s="1192">
        <v>1.0</v>
      </c>
      <c r="O59" s="1192">
        <v>10.0</v>
      </c>
      <c r="P59" s="1192">
        <v>6.0</v>
      </c>
      <c r="Q59" s="1195"/>
      <c r="R59" s="1188">
        <f t="shared" si="1"/>
        <v>16</v>
      </c>
      <c r="S59" s="1189"/>
      <c r="T59" s="1189"/>
      <c r="U59" s="1189"/>
      <c r="V59" s="1189"/>
      <c r="W59" s="1189"/>
      <c r="X59" s="1189"/>
      <c r="Y59" s="1189"/>
      <c r="Z59" s="1189"/>
      <c r="AA59" s="1189"/>
      <c r="AB59" s="1189"/>
      <c r="AC59" s="1189"/>
      <c r="AD59" s="1189"/>
      <c r="AE59" s="1189"/>
      <c r="AF59" s="1189"/>
      <c r="AG59" s="1189"/>
      <c r="AH59" s="1189"/>
      <c r="AI59" s="1189"/>
    </row>
    <row r="60">
      <c r="A60" s="1190" t="s">
        <v>3954</v>
      </c>
      <c r="B60" s="1191">
        <v>22.0</v>
      </c>
      <c r="C60" s="1192">
        <v>12.0</v>
      </c>
      <c r="D60" s="1192">
        <v>1.0</v>
      </c>
      <c r="E60" s="1193">
        <v>0.045</v>
      </c>
      <c r="F60" s="1192">
        <v>1.0</v>
      </c>
      <c r="G60" s="1193">
        <v>0.045</v>
      </c>
      <c r="H60" s="1192">
        <v>4.0</v>
      </c>
      <c r="I60" s="1192">
        <v>3.0</v>
      </c>
      <c r="J60" s="1193">
        <v>0.75</v>
      </c>
      <c r="K60" s="1192">
        <v>0.0</v>
      </c>
      <c r="L60" s="1193">
        <v>0.0</v>
      </c>
      <c r="M60" s="1192">
        <v>0.0</v>
      </c>
      <c r="N60" s="1192">
        <v>0.0</v>
      </c>
      <c r="O60" s="1192">
        <v>9.0</v>
      </c>
      <c r="P60" s="1192">
        <v>16.0</v>
      </c>
      <c r="Q60" s="1195"/>
      <c r="R60" s="1188">
        <f t="shared" si="1"/>
        <v>25</v>
      </c>
      <c r="S60" s="1189"/>
      <c r="T60" s="1189"/>
      <c r="U60" s="1189"/>
      <c r="V60" s="1189"/>
      <c r="W60" s="1189"/>
      <c r="X60" s="1189"/>
      <c r="Y60" s="1189"/>
      <c r="Z60" s="1189"/>
      <c r="AA60" s="1189"/>
      <c r="AB60" s="1189"/>
      <c r="AC60" s="1189"/>
      <c r="AD60" s="1189"/>
      <c r="AE60" s="1189"/>
      <c r="AF60" s="1189"/>
      <c r="AG60" s="1189"/>
      <c r="AH60" s="1189"/>
      <c r="AI60" s="1189"/>
    </row>
    <row r="61">
      <c r="A61" s="1190" t="s">
        <v>3955</v>
      </c>
      <c r="B61" s="1191">
        <v>0.0</v>
      </c>
      <c r="C61" s="1192">
        <v>0.0</v>
      </c>
      <c r="D61" s="1192">
        <v>0.0</v>
      </c>
      <c r="E61" s="1193">
        <v>0.0</v>
      </c>
      <c r="F61" s="1192">
        <v>0.0</v>
      </c>
      <c r="G61" s="1193">
        <v>0.0</v>
      </c>
      <c r="H61" s="1192">
        <v>0.0</v>
      </c>
      <c r="I61" s="1192">
        <v>0.0</v>
      </c>
      <c r="J61" s="1193">
        <v>0.0</v>
      </c>
      <c r="K61" s="1192">
        <v>0.0</v>
      </c>
      <c r="L61" s="1193">
        <v>0.0</v>
      </c>
      <c r="M61" s="1192">
        <v>0.0</v>
      </c>
      <c r="N61" s="1192">
        <v>0.0</v>
      </c>
      <c r="O61" s="1192">
        <v>2.0</v>
      </c>
      <c r="P61" s="1192">
        <v>10.0</v>
      </c>
      <c r="Q61" s="1195"/>
      <c r="R61" s="1188">
        <f t="shared" si="1"/>
        <v>12</v>
      </c>
      <c r="S61" s="1189"/>
      <c r="T61" s="1189"/>
      <c r="U61" s="1189"/>
      <c r="V61" s="1189"/>
      <c r="W61" s="1189"/>
      <c r="X61" s="1189"/>
      <c r="Y61" s="1189"/>
      <c r="Z61" s="1189"/>
      <c r="AA61" s="1189"/>
      <c r="AB61" s="1189"/>
      <c r="AC61" s="1189"/>
      <c r="AD61" s="1189"/>
      <c r="AE61" s="1189"/>
      <c r="AF61" s="1189"/>
      <c r="AG61" s="1189"/>
      <c r="AH61" s="1189"/>
      <c r="AI61" s="1189"/>
    </row>
    <row r="62">
      <c r="A62" s="1190" t="s">
        <v>3956</v>
      </c>
      <c r="B62" s="1191">
        <v>55.0</v>
      </c>
      <c r="C62" s="1192">
        <v>27.0</v>
      </c>
      <c r="D62" s="1192">
        <v>3.0</v>
      </c>
      <c r="E62" s="1193">
        <v>0.055</v>
      </c>
      <c r="F62" s="1192">
        <v>3.0</v>
      </c>
      <c r="G62" s="1193">
        <v>0.055</v>
      </c>
      <c r="H62" s="1192">
        <v>19.0</v>
      </c>
      <c r="I62" s="1192">
        <v>12.0</v>
      </c>
      <c r="J62" s="1193">
        <v>0.632</v>
      </c>
      <c r="K62" s="1192">
        <v>0.0</v>
      </c>
      <c r="L62" s="1193">
        <v>0.0</v>
      </c>
      <c r="M62" s="1192">
        <v>8.0</v>
      </c>
      <c r="N62" s="1192">
        <v>13.0</v>
      </c>
      <c r="O62" s="1192">
        <v>16.0</v>
      </c>
      <c r="P62" s="1192">
        <v>26.0</v>
      </c>
      <c r="Q62" s="1195"/>
      <c r="R62" s="1188">
        <f t="shared" si="1"/>
        <v>42</v>
      </c>
      <c r="S62" s="1189"/>
      <c r="T62" s="1189"/>
      <c r="U62" s="1189"/>
      <c r="V62" s="1189"/>
      <c r="W62" s="1189"/>
      <c r="X62" s="1189"/>
      <c r="Y62" s="1189"/>
      <c r="Z62" s="1189"/>
      <c r="AA62" s="1189"/>
      <c r="AB62" s="1189"/>
      <c r="AC62" s="1189"/>
      <c r="AD62" s="1189"/>
      <c r="AE62" s="1189"/>
      <c r="AF62" s="1189"/>
      <c r="AG62" s="1189"/>
      <c r="AH62" s="1189"/>
      <c r="AI62" s="1189"/>
    </row>
    <row r="63">
      <c r="A63" s="1196" t="s">
        <v>3957</v>
      </c>
      <c r="B63" s="1191">
        <v>60.0</v>
      </c>
      <c r="C63" s="1192">
        <v>16.0</v>
      </c>
      <c r="D63" s="1192">
        <v>0.0</v>
      </c>
      <c r="E63" s="1193">
        <v>0.0</v>
      </c>
      <c r="F63" s="1192">
        <v>2.0</v>
      </c>
      <c r="G63" s="1193">
        <v>0.033</v>
      </c>
      <c r="H63" s="1192">
        <v>21.0</v>
      </c>
      <c r="I63" s="1192">
        <v>21.0</v>
      </c>
      <c r="J63" s="1193">
        <v>1.0</v>
      </c>
      <c r="K63" s="1192">
        <v>3.0</v>
      </c>
      <c r="L63" s="1193">
        <v>0.05</v>
      </c>
      <c r="M63" s="1192">
        <v>6.0</v>
      </c>
      <c r="N63" s="1192">
        <v>12.0</v>
      </c>
      <c r="O63" s="1192">
        <v>5.0</v>
      </c>
      <c r="P63" s="1192">
        <v>15.0</v>
      </c>
      <c r="Q63" s="1195"/>
      <c r="R63" s="1188">
        <f t="shared" si="1"/>
        <v>20</v>
      </c>
      <c r="S63" s="1189"/>
      <c r="T63" s="1189"/>
      <c r="U63" s="1189"/>
      <c r="V63" s="1189"/>
      <c r="W63" s="1189"/>
      <c r="X63" s="1189"/>
      <c r="Y63" s="1189"/>
      <c r="Z63" s="1189"/>
      <c r="AA63" s="1189"/>
      <c r="AB63" s="1189"/>
      <c r="AC63" s="1189"/>
      <c r="AD63" s="1189"/>
      <c r="AE63" s="1189"/>
      <c r="AF63" s="1189"/>
      <c r="AG63" s="1189"/>
      <c r="AH63" s="1189"/>
      <c r="AI63" s="1189"/>
    </row>
    <row r="64">
      <c r="A64" s="1190" t="s">
        <v>3958</v>
      </c>
      <c r="B64" s="1191">
        <v>57.0</v>
      </c>
      <c r="C64" s="1192">
        <v>28.0</v>
      </c>
      <c r="D64" s="1192">
        <v>0.0</v>
      </c>
      <c r="E64" s="1193">
        <v>0.0</v>
      </c>
      <c r="F64" s="1192">
        <v>1.0</v>
      </c>
      <c r="G64" s="1193">
        <v>0.018</v>
      </c>
      <c r="H64" s="1192">
        <v>23.0</v>
      </c>
      <c r="I64" s="1192">
        <v>18.0</v>
      </c>
      <c r="J64" s="1193">
        <v>0.783</v>
      </c>
      <c r="K64" s="1192">
        <v>0.0</v>
      </c>
      <c r="L64" s="1193">
        <v>0.0</v>
      </c>
      <c r="M64" s="1192">
        <v>2.0</v>
      </c>
      <c r="N64" s="1192">
        <v>2.0</v>
      </c>
      <c r="O64" s="1192">
        <v>5.0</v>
      </c>
      <c r="P64" s="1192">
        <v>9.0</v>
      </c>
      <c r="Q64" s="1195"/>
      <c r="R64" s="1188">
        <f t="shared" si="1"/>
        <v>14</v>
      </c>
      <c r="S64" s="1189"/>
      <c r="T64" s="1189"/>
      <c r="U64" s="1189"/>
      <c r="V64" s="1189"/>
      <c r="W64" s="1189"/>
      <c r="X64" s="1189"/>
      <c r="Y64" s="1189"/>
      <c r="Z64" s="1189"/>
      <c r="AA64" s="1189"/>
      <c r="AB64" s="1189"/>
      <c r="AC64" s="1189"/>
      <c r="AD64" s="1189"/>
      <c r="AE64" s="1189"/>
      <c r="AF64" s="1189"/>
      <c r="AG64" s="1189"/>
      <c r="AH64" s="1189"/>
      <c r="AI64" s="1189"/>
    </row>
    <row r="65">
      <c r="A65" s="1190" t="s">
        <v>3959</v>
      </c>
      <c r="B65" s="1191">
        <v>178.0</v>
      </c>
      <c r="C65" s="1192">
        <v>117.0</v>
      </c>
      <c r="D65" s="1192">
        <v>12.0</v>
      </c>
      <c r="E65" s="1193">
        <v>0.067</v>
      </c>
      <c r="F65" s="1192">
        <v>10.0</v>
      </c>
      <c r="G65" s="1193">
        <v>0.056</v>
      </c>
      <c r="H65" s="1192">
        <v>39.0</v>
      </c>
      <c r="I65" s="1192">
        <v>31.0</v>
      </c>
      <c r="J65" s="1193">
        <v>0.795</v>
      </c>
      <c r="K65" s="1192">
        <v>0.0</v>
      </c>
      <c r="L65" s="1193">
        <v>0.0</v>
      </c>
      <c r="M65" s="1192">
        <v>3.0</v>
      </c>
      <c r="N65" s="1192">
        <v>4.0</v>
      </c>
      <c r="O65" s="1192">
        <v>26.0</v>
      </c>
      <c r="P65" s="1192">
        <v>24.0</v>
      </c>
      <c r="Q65" s="1195"/>
      <c r="R65" s="1188">
        <f t="shared" si="1"/>
        <v>50</v>
      </c>
      <c r="S65" s="1189"/>
      <c r="T65" s="1189"/>
      <c r="U65" s="1189"/>
      <c r="V65" s="1189"/>
      <c r="W65" s="1189"/>
      <c r="X65" s="1189"/>
      <c r="Y65" s="1189"/>
      <c r="Z65" s="1189"/>
      <c r="AA65" s="1189"/>
      <c r="AB65" s="1189"/>
      <c r="AC65" s="1189"/>
      <c r="AD65" s="1189"/>
      <c r="AE65" s="1189"/>
      <c r="AF65" s="1189"/>
      <c r="AG65" s="1189"/>
      <c r="AH65" s="1189"/>
      <c r="AI65" s="1189"/>
    </row>
    <row r="66">
      <c r="A66" s="1190" t="s">
        <v>3960</v>
      </c>
      <c r="B66" s="1191">
        <v>44.0</v>
      </c>
      <c r="C66" s="1192">
        <v>14.0</v>
      </c>
      <c r="D66" s="1192">
        <v>2.0</v>
      </c>
      <c r="E66" s="1193">
        <v>0.045</v>
      </c>
      <c r="F66" s="1192">
        <v>1.0</v>
      </c>
      <c r="G66" s="1193">
        <v>0.023</v>
      </c>
      <c r="H66" s="1192">
        <v>19.0</v>
      </c>
      <c r="I66" s="1192">
        <v>15.0</v>
      </c>
      <c r="J66" s="1193">
        <v>0.789</v>
      </c>
      <c r="K66" s="1192">
        <v>0.0</v>
      </c>
      <c r="L66" s="1193">
        <v>0.0</v>
      </c>
      <c r="M66" s="1192">
        <v>1.0</v>
      </c>
      <c r="N66" s="1192">
        <v>1.0</v>
      </c>
      <c r="O66" s="1192">
        <v>5.0</v>
      </c>
      <c r="P66" s="1192">
        <v>7.0</v>
      </c>
      <c r="Q66" s="1195"/>
      <c r="R66" s="1188">
        <f t="shared" si="1"/>
        <v>12</v>
      </c>
      <c r="S66" s="1189"/>
      <c r="T66" s="1189"/>
      <c r="U66" s="1189"/>
      <c r="V66" s="1189"/>
      <c r="W66" s="1189"/>
      <c r="X66" s="1189"/>
      <c r="Y66" s="1189"/>
      <c r="Z66" s="1189"/>
      <c r="AA66" s="1189"/>
      <c r="AB66" s="1189"/>
      <c r="AC66" s="1189"/>
      <c r="AD66" s="1189"/>
      <c r="AE66" s="1189"/>
      <c r="AF66" s="1189"/>
      <c r="AG66" s="1189"/>
      <c r="AH66" s="1189"/>
      <c r="AI66" s="1189"/>
    </row>
    <row r="67">
      <c r="A67" s="1190" t="s">
        <v>3961</v>
      </c>
      <c r="B67" s="1191">
        <v>91.0</v>
      </c>
      <c r="C67" s="1192">
        <v>38.0</v>
      </c>
      <c r="D67" s="1192">
        <v>0.0</v>
      </c>
      <c r="E67" s="1193">
        <v>0.0</v>
      </c>
      <c r="F67" s="1192">
        <v>1.0</v>
      </c>
      <c r="G67" s="1193">
        <v>0.011</v>
      </c>
      <c r="H67" s="1192">
        <v>35.0</v>
      </c>
      <c r="I67" s="1192">
        <v>26.0</v>
      </c>
      <c r="J67" s="1193">
        <v>0.743</v>
      </c>
      <c r="K67" s="1192">
        <v>1.0</v>
      </c>
      <c r="L67" s="1193">
        <v>0.011</v>
      </c>
      <c r="M67" s="1192">
        <v>1.0</v>
      </c>
      <c r="N67" s="1192">
        <v>1.0</v>
      </c>
      <c r="O67" s="1192">
        <v>10.0</v>
      </c>
      <c r="P67" s="1192">
        <v>32.0</v>
      </c>
      <c r="Q67" s="1195"/>
      <c r="R67" s="1188">
        <f t="shared" si="1"/>
        <v>42</v>
      </c>
      <c r="S67" s="1189"/>
      <c r="T67" s="1189"/>
      <c r="U67" s="1189"/>
      <c r="V67" s="1189"/>
      <c r="W67" s="1189"/>
      <c r="X67" s="1189"/>
      <c r="Y67" s="1189"/>
      <c r="Z67" s="1189"/>
      <c r="AA67" s="1189"/>
      <c r="AB67" s="1189"/>
      <c r="AC67" s="1189"/>
      <c r="AD67" s="1189"/>
      <c r="AE67" s="1189"/>
      <c r="AF67" s="1189"/>
      <c r="AG67" s="1189"/>
      <c r="AH67" s="1189"/>
      <c r="AI67" s="1189"/>
    </row>
    <row r="68">
      <c r="A68" s="1190" t="s">
        <v>3962</v>
      </c>
      <c r="B68" s="1191">
        <v>51.0</v>
      </c>
      <c r="C68" s="1192">
        <v>27.0</v>
      </c>
      <c r="D68" s="1192">
        <v>8.0</v>
      </c>
      <c r="E68" s="1193">
        <v>0.157</v>
      </c>
      <c r="F68" s="1192">
        <v>1.0</v>
      </c>
      <c r="G68" s="1193">
        <v>0.02</v>
      </c>
      <c r="H68" s="1192">
        <v>15.0</v>
      </c>
      <c r="I68" s="1192">
        <v>12.0</v>
      </c>
      <c r="J68" s="1193">
        <v>0.8</v>
      </c>
      <c r="K68" s="1192">
        <v>0.0</v>
      </c>
      <c r="L68" s="1193">
        <v>0.0</v>
      </c>
      <c r="M68" s="1192">
        <v>1.0</v>
      </c>
      <c r="N68" s="1192">
        <v>1.0</v>
      </c>
      <c r="O68" s="1192">
        <v>10.0</v>
      </c>
      <c r="P68" s="1192">
        <v>13.0</v>
      </c>
      <c r="Q68" s="1195"/>
      <c r="R68" s="1188">
        <f t="shared" si="1"/>
        <v>23</v>
      </c>
      <c r="S68" s="1189"/>
      <c r="T68" s="1189"/>
      <c r="U68" s="1189"/>
      <c r="V68" s="1189"/>
      <c r="W68" s="1189"/>
      <c r="X68" s="1189"/>
      <c r="Y68" s="1189"/>
      <c r="Z68" s="1189"/>
      <c r="AA68" s="1189"/>
      <c r="AB68" s="1189"/>
      <c r="AC68" s="1189"/>
      <c r="AD68" s="1189"/>
      <c r="AE68" s="1189"/>
      <c r="AF68" s="1189"/>
      <c r="AG68" s="1189"/>
      <c r="AH68" s="1189"/>
      <c r="AI68" s="1189"/>
    </row>
    <row r="69">
      <c r="A69" s="1190" t="s">
        <v>3963</v>
      </c>
      <c r="B69" s="1191">
        <v>61.0</v>
      </c>
      <c r="C69" s="1192">
        <v>14.0</v>
      </c>
      <c r="D69" s="1192">
        <v>1.0</v>
      </c>
      <c r="E69" s="1193">
        <v>0.016</v>
      </c>
      <c r="F69" s="1192">
        <v>0.0</v>
      </c>
      <c r="G69" s="1193">
        <v>0.0</v>
      </c>
      <c r="H69" s="1192">
        <v>15.0</v>
      </c>
      <c r="I69" s="1192">
        <v>12.0</v>
      </c>
      <c r="J69" s="1193">
        <v>0.8</v>
      </c>
      <c r="K69" s="1192">
        <v>0.0</v>
      </c>
      <c r="L69" s="1193">
        <v>0.0</v>
      </c>
      <c r="M69" s="1192">
        <v>0.0</v>
      </c>
      <c r="N69" s="1192">
        <v>0.0</v>
      </c>
      <c r="O69" s="1192">
        <v>15.0</v>
      </c>
      <c r="P69" s="1192">
        <v>27.0</v>
      </c>
      <c r="Q69" s="1195"/>
      <c r="R69" s="1188">
        <f t="shared" si="1"/>
        <v>42</v>
      </c>
      <c r="S69" s="1189"/>
      <c r="T69" s="1189"/>
      <c r="U69" s="1189"/>
      <c r="V69" s="1189"/>
      <c r="W69" s="1189"/>
      <c r="X69" s="1189"/>
      <c r="Y69" s="1189"/>
      <c r="Z69" s="1189"/>
      <c r="AA69" s="1189"/>
      <c r="AB69" s="1189"/>
      <c r="AC69" s="1189"/>
      <c r="AD69" s="1189"/>
      <c r="AE69" s="1189"/>
      <c r="AF69" s="1189"/>
      <c r="AG69" s="1189"/>
      <c r="AH69" s="1189"/>
      <c r="AI69" s="1189"/>
    </row>
    <row r="70">
      <c r="A70" s="1190" t="s">
        <v>3964</v>
      </c>
      <c r="B70" s="1191">
        <v>20.0</v>
      </c>
      <c r="C70" s="1192">
        <v>15.0</v>
      </c>
      <c r="D70" s="1192">
        <v>0.0</v>
      </c>
      <c r="E70" s="1193">
        <v>0.0</v>
      </c>
      <c r="F70" s="1192">
        <v>0.0</v>
      </c>
      <c r="G70" s="1193">
        <v>0.0</v>
      </c>
      <c r="H70" s="1192">
        <v>6.0</v>
      </c>
      <c r="I70" s="1192">
        <v>6.0</v>
      </c>
      <c r="J70" s="1193">
        <v>1.0</v>
      </c>
      <c r="K70" s="1192">
        <v>0.0</v>
      </c>
      <c r="L70" s="1193">
        <v>0.0</v>
      </c>
      <c r="M70" s="1192">
        <v>0.0</v>
      </c>
      <c r="N70" s="1192">
        <v>0.0</v>
      </c>
      <c r="O70" s="1192">
        <v>6.0</v>
      </c>
      <c r="P70" s="1192">
        <v>6.0</v>
      </c>
      <c r="Q70" s="1195"/>
      <c r="R70" s="1188">
        <f t="shared" si="1"/>
        <v>12</v>
      </c>
      <c r="S70" s="1189"/>
      <c r="T70" s="1189"/>
      <c r="U70" s="1189"/>
      <c r="V70" s="1189"/>
      <c r="W70" s="1189"/>
      <c r="X70" s="1189"/>
      <c r="Y70" s="1189"/>
      <c r="Z70" s="1189"/>
      <c r="AA70" s="1189"/>
      <c r="AB70" s="1189"/>
      <c r="AC70" s="1189"/>
      <c r="AD70" s="1189"/>
      <c r="AE70" s="1189"/>
      <c r="AF70" s="1189"/>
      <c r="AG70" s="1189"/>
      <c r="AH70" s="1189"/>
      <c r="AI70" s="1189"/>
    </row>
    <row r="71">
      <c r="A71" s="1190" t="s">
        <v>3965</v>
      </c>
      <c r="B71" s="1191">
        <v>87.0</v>
      </c>
      <c r="C71" s="1192">
        <v>26.0</v>
      </c>
      <c r="D71" s="1192">
        <v>2.0</v>
      </c>
      <c r="E71" s="1193">
        <v>0.023</v>
      </c>
      <c r="F71" s="1192">
        <v>1.0</v>
      </c>
      <c r="G71" s="1193">
        <v>0.011</v>
      </c>
      <c r="H71" s="1192">
        <v>25.0</v>
      </c>
      <c r="I71" s="1192">
        <v>24.0</v>
      </c>
      <c r="J71" s="1193">
        <v>0.96</v>
      </c>
      <c r="K71" s="1192">
        <v>5.0</v>
      </c>
      <c r="L71" s="1193">
        <v>0.057</v>
      </c>
      <c r="M71" s="1192">
        <v>8.0</v>
      </c>
      <c r="N71" s="1192">
        <v>16.0</v>
      </c>
      <c r="O71" s="1192">
        <v>13.0</v>
      </c>
      <c r="P71" s="1192">
        <v>37.0</v>
      </c>
      <c r="Q71" s="1195"/>
      <c r="R71" s="1188">
        <f t="shared" si="1"/>
        <v>50</v>
      </c>
      <c r="S71" s="1189"/>
      <c r="T71" s="1189"/>
      <c r="U71" s="1189"/>
      <c r="V71" s="1189"/>
      <c r="W71" s="1189"/>
      <c r="X71" s="1189"/>
      <c r="Y71" s="1189"/>
      <c r="Z71" s="1189"/>
      <c r="AA71" s="1189"/>
      <c r="AB71" s="1189"/>
      <c r="AC71" s="1189"/>
      <c r="AD71" s="1189"/>
      <c r="AE71" s="1189"/>
      <c r="AF71" s="1189"/>
      <c r="AG71" s="1189"/>
      <c r="AH71" s="1189"/>
      <c r="AI71" s="1189"/>
    </row>
    <row r="72">
      <c r="A72" s="1190" t="s">
        <v>3966</v>
      </c>
      <c r="B72" s="1191">
        <v>62.0</v>
      </c>
      <c r="C72" s="1192">
        <v>8.0</v>
      </c>
      <c r="D72" s="1192">
        <v>1.0</v>
      </c>
      <c r="E72" s="1193">
        <v>0.016</v>
      </c>
      <c r="F72" s="1192">
        <v>5.0</v>
      </c>
      <c r="G72" s="1193">
        <v>0.081</v>
      </c>
      <c r="H72" s="1192">
        <v>26.0</v>
      </c>
      <c r="I72" s="1192">
        <v>15.0</v>
      </c>
      <c r="J72" s="1193">
        <v>0.577</v>
      </c>
      <c r="K72" s="1192">
        <v>0.0</v>
      </c>
      <c r="L72" s="1193">
        <v>0.0</v>
      </c>
      <c r="M72" s="1192">
        <v>0.0</v>
      </c>
      <c r="N72" s="1192">
        <v>0.0</v>
      </c>
      <c r="O72" s="1192">
        <v>23.0</v>
      </c>
      <c r="P72" s="1192">
        <v>23.0</v>
      </c>
      <c r="Q72" s="1195"/>
      <c r="R72" s="1188">
        <f t="shared" si="1"/>
        <v>46</v>
      </c>
      <c r="S72" s="1189"/>
      <c r="T72" s="1189"/>
      <c r="U72" s="1189"/>
      <c r="V72" s="1189"/>
      <c r="W72" s="1189"/>
      <c r="X72" s="1189"/>
      <c r="Y72" s="1189"/>
      <c r="Z72" s="1189"/>
      <c r="AA72" s="1189"/>
      <c r="AB72" s="1189"/>
      <c r="AC72" s="1189"/>
      <c r="AD72" s="1189"/>
      <c r="AE72" s="1189"/>
      <c r="AF72" s="1189"/>
      <c r="AG72" s="1189"/>
      <c r="AH72" s="1189"/>
      <c r="AI72" s="1189"/>
    </row>
    <row r="73">
      <c r="A73" s="1190" t="s">
        <v>3967</v>
      </c>
      <c r="B73" s="1191">
        <v>66.0</v>
      </c>
      <c r="C73" s="1192">
        <v>21.0</v>
      </c>
      <c r="D73" s="1192">
        <v>4.0</v>
      </c>
      <c r="E73" s="1193">
        <v>0.061</v>
      </c>
      <c r="F73" s="1192">
        <v>4.0</v>
      </c>
      <c r="G73" s="1193">
        <v>0.061</v>
      </c>
      <c r="H73" s="1192">
        <v>20.0</v>
      </c>
      <c r="I73" s="1192">
        <v>15.0</v>
      </c>
      <c r="J73" s="1193">
        <v>0.75</v>
      </c>
      <c r="K73" s="1192">
        <v>0.0</v>
      </c>
      <c r="L73" s="1193">
        <v>0.0</v>
      </c>
      <c r="M73" s="1192">
        <v>11.0</v>
      </c>
      <c r="N73" s="1192">
        <v>23.0</v>
      </c>
      <c r="O73" s="1192">
        <v>38.0</v>
      </c>
      <c r="P73" s="1192">
        <v>40.0</v>
      </c>
      <c r="Q73" s="1195"/>
      <c r="R73" s="1188">
        <f t="shared" si="1"/>
        <v>78</v>
      </c>
      <c r="S73" s="1189"/>
      <c r="T73" s="1189"/>
      <c r="U73" s="1189"/>
      <c r="V73" s="1189"/>
      <c r="W73" s="1189"/>
      <c r="X73" s="1189"/>
      <c r="Y73" s="1189"/>
      <c r="Z73" s="1189"/>
      <c r="AA73" s="1189"/>
      <c r="AB73" s="1189"/>
      <c r="AC73" s="1189"/>
      <c r="AD73" s="1189"/>
      <c r="AE73" s="1189"/>
      <c r="AF73" s="1189"/>
      <c r="AG73" s="1189"/>
      <c r="AH73" s="1189"/>
      <c r="AI73" s="1189"/>
    </row>
    <row r="74">
      <c r="A74" s="1190" t="s">
        <v>3968</v>
      </c>
      <c r="B74" s="1191">
        <v>1498.0</v>
      </c>
      <c r="C74" s="1192">
        <v>563.0</v>
      </c>
      <c r="D74" s="1192">
        <v>88.0</v>
      </c>
      <c r="E74" s="1193">
        <v>0.059</v>
      </c>
      <c r="F74" s="1192">
        <v>53.0</v>
      </c>
      <c r="G74" s="1193">
        <v>0.035</v>
      </c>
      <c r="H74" s="1192">
        <v>496.0</v>
      </c>
      <c r="I74" s="1192">
        <v>309.0</v>
      </c>
      <c r="J74" s="1193">
        <v>0.623</v>
      </c>
      <c r="K74" s="1192">
        <v>12.0</v>
      </c>
      <c r="L74" s="1193">
        <v>0.008</v>
      </c>
      <c r="M74" s="1192">
        <v>158.0</v>
      </c>
      <c r="N74" s="1192">
        <v>297.0</v>
      </c>
      <c r="O74" s="1192">
        <v>399.0</v>
      </c>
      <c r="P74" s="1192">
        <v>483.0</v>
      </c>
      <c r="Q74" s="1195"/>
      <c r="R74" s="1188">
        <f t="shared" si="1"/>
        <v>882</v>
      </c>
      <c r="S74" s="1189"/>
      <c r="T74" s="1189"/>
      <c r="U74" s="1189"/>
      <c r="V74" s="1189"/>
      <c r="W74" s="1189"/>
      <c r="X74" s="1189"/>
      <c r="Y74" s="1189"/>
      <c r="Z74" s="1189"/>
      <c r="AA74" s="1189"/>
      <c r="AB74" s="1189"/>
      <c r="AC74" s="1189"/>
      <c r="AD74" s="1189"/>
      <c r="AE74" s="1189"/>
      <c r="AF74" s="1189"/>
      <c r="AG74" s="1189"/>
      <c r="AH74" s="1189"/>
      <c r="AI74" s="1189"/>
    </row>
    <row r="75">
      <c r="A75" s="1190" t="s">
        <v>3969</v>
      </c>
      <c r="B75" s="1191">
        <v>20.0</v>
      </c>
      <c r="C75" s="1192">
        <v>6.0</v>
      </c>
      <c r="D75" s="1192">
        <v>0.0</v>
      </c>
      <c r="E75" s="1193">
        <v>0.0</v>
      </c>
      <c r="F75" s="1192">
        <v>0.0</v>
      </c>
      <c r="G75" s="1193">
        <v>0.0</v>
      </c>
      <c r="H75" s="1192">
        <v>8.0</v>
      </c>
      <c r="I75" s="1192">
        <v>8.0</v>
      </c>
      <c r="J75" s="1193">
        <v>1.0</v>
      </c>
      <c r="K75" s="1192">
        <v>0.0</v>
      </c>
      <c r="L75" s="1193">
        <v>0.0</v>
      </c>
      <c r="M75" s="1192">
        <v>2.0</v>
      </c>
      <c r="N75" s="1192">
        <v>6.0</v>
      </c>
      <c r="O75" s="1192">
        <v>1.0</v>
      </c>
      <c r="P75" s="1192">
        <v>6.0</v>
      </c>
      <c r="Q75" s="1195"/>
      <c r="R75" s="1188">
        <f t="shared" si="1"/>
        <v>7</v>
      </c>
      <c r="S75" s="1189"/>
      <c r="T75" s="1189"/>
      <c r="U75" s="1189"/>
      <c r="V75" s="1189"/>
      <c r="W75" s="1189"/>
      <c r="X75" s="1189"/>
      <c r="Y75" s="1189"/>
      <c r="Z75" s="1189"/>
      <c r="AA75" s="1189"/>
      <c r="AB75" s="1189"/>
      <c r="AC75" s="1189"/>
      <c r="AD75" s="1189"/>
      <c r="AE75" s="1189"/>
      <c r="AF75" s="1189"/>
      <c r="AG75" s="1189"/>
      <c r="AH75" s="1189"/>
      <c r="AI75" s="1189"/>
    </row>
    <row r="76">
      <c r="A76" s="1190" t="s">
        <v>3970</v>
      </c>
      <c r="B76" s="1191">
        <v>102.0</v>
      </c>
      <c r="C76" s="1192">
        <v>30.0</v>
      </c>
      <c r="D76" s="1192">
        <v>4.0</v>
      </c>
      <c r="E76" s="1193">
        <v>0.039</v>
      </c>
      <c r="F76" s="1192">
        <v>4.0</v>
      </c>
      <c r="G76" s="1193">
        <v>0.039</v>
      </c>
      <c r="H76" s="1192">
        <v>37.0</v>
      </c>
      <c r="I76" s="1192">
        <v>19.0</v>
      </c>
      <c r="J76" s="1193">
        <v>0.514</v>
      </c>
      <c r="K76" s="1192">
        <v>1.0</v>
      </c>
      <c r="L76" s="1193">
        <v>0.01</v>
      </c>
      <c r="M76" s="1192">
        <v>4.0</v>
      </c>
      <c r="N76" s="1192">
        <v>8.0</v>
      </c>
      <c r="O76" s="1192">
        <v>30.0</v>
      </c>
      <c r="P76" s="1192">
        <v>50.0</v>
      </c>
      <c r="Q76" s="1195"/>
      <c r="R76" s="1188">
        <f t="shared" si="1"/>
        <v>80</v>
      </c>
      <c r="S76" s="1189"/>
      <c r="T76" s="1189"/>
      <c r="U76" s="1189"/>
      <c r="V76" s="1189"/>
      <c r="W76" s="1189"/>
      <c r="X76" s="1189"/>
      <c r="Y76" s="1189"/>
      <c r="Z76" s="1189"/>
      <c r="AA76" s="1189"/>
      <c r="AB76" s="1189"/>
      <c r="AC76" s="1189"/>
      <c r="AD76" s="1189"/>
      <c r="AE76" s="1189"/>
      <c r="AF76" s="1189"/>
      <c r="AG76" s="1189"/>
      <c r="AH76" s="1189"/>
      <c r="AI76" s="1189"/>
    </row>
    <row r="77">
      <c r="A77" s="1190" t="s">
        <v>2635</v>
      </c>
      <c r="B77" s="1191">
        <v>31.0</v>
      </c>
      <c r="C77" s="1192">
        <v>13.0</v>
      </c>
      <c r="D77" s="1192">
        <v>3.0</v>
      </c>
      <c r="E77" s="1193">
        <v>0.097</v>
      </c>
      <c r="F77" s="1192">
        <v>2.0</v>
      </c>
      <c r="G77" s="1193">
        <v>0.065</v>
      </c>
      <c r="H77" s="1192">
        <v>9.0</v>
      </c>
      <c r="I77" s="1192">
        <v>7.0</v>
      </c>
      <c r="J77" s="1193">
        <v>0.778</v>
      </c>
      <c r="K77" s="1192">
        <v>0.0</v>
      </c>
      <c r="L77" s="1193">
        <v>0.0</v>
      </c>
      <c r="M77" s="1192">
        <v>2.0</v>
      </c>
      <c r="N77" s="1192">
        <v>3.0</v>
      </c>
      <c r="O77" s="1192">
        <v>8.0</v>
      </c>
      <c r="P77" s="1192">
        <v>16.0</v>
      </c>
      <c r="Q77" s="1195"/>
      <c r="R77" s="1188">
        <f t="shared" si="1"/>
        <v>24</v>
      </c>
      <c r="S77" s="1189"/>
      <c r="T77" s="1189"/>
      <c r="U77" s="1189"/>
      <c r="V77" s="1189"/>
      <c r="W77" s="1189"/>
      <c r="X77" s="1189"/>
      <c r="Y77" s="1189"/>
      <c r="Z77" s="1189"/>
      <c r="AA77" s="1189"/>
      <c r="AB77" s="1189"/>
      <c r="AC77" s="1189"/>
      <c r="AD77" s="1189"/>
      <c r="AE77" s="1189"/>
      <c r="AF77" s="1189"/>
      <c r="AG77" s="1189"/>
      <c r="AH77" s="1189"/>
      <c r="AI77" s="1189"/>
    </row>
    <row r="78">
      <c r="A78" s="1190" t="s">
        <v>3971</v>
      </c>
      <c r="B78" s="1191">
        <v>56.0</v>
      </c>
      <c r="C78" s="1192">
        <v>18.0</v>
      </c>
      <c r="D78" s="1192">
        <v>4.0</v>
      </c>
      <c r="E78" s="1193">
        <v>0.071</v>
      </c>
      <c r="F78" s="1192">
        <v>2.0</v>
      </c>
      <c r="G78" s="1193">
        <v>0.036</v>
      </c>
      <c r="H78" s="1192">
        <v>18.0</v>
      </c>
      <c r="I78" s="1192">
        <v>15.0</v>
      </c>
      <c r="J78" s="1193">
        <v>0.833</v>
      </c>
      <c r="K78" s="1192">
        <v>1.0</v>
      </c>
      <c r="L78" s="1193">
        <v>0.018</v>
      </c>
      <c r="M78" s="1192">
        <v>0.0</v>
      </c>
      <c r="N78" s="1192">
        <v>0.0</v>
      </c>
      <c r="O78" s="1192">
        <v>14.0</v>
      </c>
      <c r="P78" s="1192">
        <v>23.0</v>
      </c>
      <c r="Q78" s="1195"/>
      <c r="R78" s="1188">
        <f t="shared" si="1"/>
        <v>37</v>
      </c>
      <c r="S78" s="1189"/>
      <c r="T78" s="1189"/>
      <c r="U78" s="1189"/>
      <c r="V78" s="1189"/>
      <c r="W78" s="1189"/>
      <c r="X78" s="1189"/>
      <c r="Y78" s="1189"/>
      <c r="Z78" s="1189"/>
      <c r="AA78" s="1189"/>
      <c r="AB78" s="1189"/>
      <c r="AC78" s="1189"/>
      <c r="AD78" s="1189"/>
      <c r="AE78" s="1189"/>
      <c r="AF78" s="1189"/>
      <c r="AG78" s="1189"/>
      <c r="AH78" s="1189"/>
      <c r="AI78" s="1189"/>
    </row>
    <row r="79">
      <c r="A79" s="1190" t="s">
        <v>3972</v>
      </c>
      <c r="B79" s="1191">
        <v>15.0</v>
      </c>
      <c r="C79" s="1192">
        <v>1.0</v>
      </c>
      <c r="D79" s="1192">
        <v>0.0</v>
      </c>
      <c r="E79" s="1193">
        <v>0.0</v>
      </c>
      <c r="F79" s="1192">
        <v>0.0</v>
      </c>
      <c r="G79" s="1193">
        <v>0.0</v>
      </c>
      <c r="H79" s="1192">
        <v>0.0</v>
      </c>
      <c r="I79" s="1192">
        <v>0.0</v>
      </c>
      <c r="J79" s="1193">
        <v>0.0</v>
      </c>
      <c r="K79" s="1192">
        <v>0.0</v>
      </c>
      <c r="L79" s="1193">
        <v>0.0</v>
      </c>
      <c r="M79" s="1192">
        <v>0.0</v>
      </c>
      <c r="N79" s="1192">
        <v>0.0</v>
      </c>
      <c r="O79" s="1192">
        <v>6.0</v>
      </c>
      <c r="P79" s="1192">
        <v>9.0</v>
      </c>
      <c r="Q79" s="1195"/>
      <c r="R79" s="1188">
        <f t="shared" si="1"/>
        <v>15</v>
      </c>
      <c r="S79" s="1189"/>
      <c r="T79" s="1189"/>
      <c r="U79" s="1189"/>
      <c r="V79" s="1189"/>
      <c r="W79" s="1189"/>
      <c r="X79" s="1189"/>
      <c r="Y79" s="1189"/>
      <c r="Z79" s="1189"/>
      <c r="AA79" s="1189"/>
      <c r="AB79" s="1189"/>
      <c r="AC79" s="1189"/>
      <c r="AD79" s="1189"/>
      <c r="AE79" s="1189"/>
      <c r="AF79" s="1189"/>
      <c r="AG79" s="1189"/>
      <c r="AH79" s="1189"/>
      <c r="AI79" s="1189"/>
    </row>
    <row r="80">
      <c r="A80" s="1190" t="s">
        <v>3549</v>
      </c>
      <c r="B80" s="1191">
        <v>50.0</v>
      </c>
      <c r="C80" s="1192">
        <v>26.0</v>
      </c>
      <c r="D80" s="1192">
        <v>2.0</v>
      </c>
      <c r="E80" s="1193">
        <v>0.04</v>
      </c>
      <c r="F80" s="1192">
        <v>0.0</v>
      </c>
      <c r="G80" s="1193">
        <v>0.0</v>
      </c>
      <c r="H80" s="1192">
        <v>17.0</v>
      </c>
      <c r="I80" s="1192">
        <v>17.0</v>
      </c>
      <c r="J80" s="1193">
        <v>1.0</v>
      </c>
      <c r="K80" s="1192">
        <v>0.0</v>
      </c>
      <c r="L80" s="1193">
        <v>0.0</v>
      </c>
      <c r="M80" s="1192">
        <v>1.0</v>
      </c>
      <c r="N80" s="1192">
        <v>3.0</v>
      </c>
      <c r="O80" s="1192">
        <v>15.0</v>
      </c>
      <c r="P80" s="1192">
        <v>25.0</v>
      </c>
      <c r="Q80" s="1195"/>
      <c r="R80" s="1188">
        <f t="shared" si="1"/>
        <v>40</v>
      </c>
      <c r="S80" s="1189"/>
      <c r="T80" s="1189"/>
      <c r="U80" s="1189"/>
      <c r="V80" s="1189"/>
      <c r="W80" s="1189"/>
      <c r="X80" s="1189"/>
      <c r="Y80" s="1189"/>
      <c r="Z80" s="1189"/>
      <c r="AA80" s="1189"/>
      <c r="AB80" s="1189"/>
      <c r="AC80" s="1189"/>
      <c r="AD80" s="1189"/>
      <c r="AE80" s="1189"/>
      <c r="AF80" s="1189"/>
      <c r="AG80" s="1189"/>
      <c r="AH80" s="1189"/>
      <c r="AI80" s="1189"/>
    </row>
    <row r="81">
      <c r="A81" s="1190" t="s">
        <v>3973</v>
      </c>
      <c r="B81" s="1191">
        <v>31.0</v>
      </c>
      <c r="C81" s="1192">
        <v>5.0</v>
      </c>
      <c r="D81" s="1192">
        <v>1.0</v>
      </c>
      <c r="E81" s="1193">
        <v>0.032</v>
      </c>
      <c r="F81" s="1192">
        <v>2.0</v>
      </c>
      <c r="G81" s="1193">
        <v>0.065</v>
      </c>
      <c r="H81" s="1192">
        <v>11.0</v>
      </c>
      <c r="I81" s="1192">
        <v>6.0</v>
      </c>
      <c r="J81" s="1193">
        <v>0.545</v>
      </c>
      <c r="K81" s="1192">
        <v>0.0</v>
      </c>
      <c r="L81" s="1193">
        <v>0.0</v>
      </c>
      <c r="M81" s="1192">
        <v>2.0</v>
      </c>
      <c r="N81" s="1192">
        <v>3.0</v>
      </c>
      <c r="O81" s="1192">
        <v>14.0</v>
      </c>
      <c r="P81" s="1192">
        <v>9.0</v>
      </c>
      <c r="Q81" s="1195"/>
      <c r="R81" s="1188">
        <f t="shared" si="1"/>
        <v>23</v>
      </c>
      <c r="S81" s="1189"/>
      <c r="T81" s="1189"/>
      <c r="U81" s="1189"/>
      <c r="V81" s="1189"/>
      <c r="W81" s="1189"/>
      <c r="X81" s="1189"/>
      <c r="Y81" s="1189"/>
      <c r="Z81" s="1189"/>
      <c r="AA81" s="1189"/>
      <c r="AB81" s="1189"/>
      <c r="AC81" s="1189"/>
      <c r="AD81" s="1189"/>
      <c r="AE81" s="1189"/>
      <c r="AF81" s="1189"/>
      <c r="AG81" s="1189"/>
      <c r="AH81" s="1189"/>
      <c r="AI81" s="1189"/>
    </row>
    <row r="82">
      <c r="A82" s="1190" t="s">
        <v>3974</v>
      </c>
      <c r="B82" s="1191">
        <v>21.0</v>
      </c>
      <c r="C82" s="1192">
        <v>6.0</v>
      </c>
      <c r="D82" s="1192">
        <v>2.0</v>
      </c>
      <c r="E82" s="1193">
        <v>0.095</v>
      </c>
      <c r="F82" s="1192">
        <v>1.0</v>
      </c>
      <c r="G82" s="1193">
        <v>0.048</v>
      </c>
      <c r="H82" s="1192">
        <v>8.0</v>
      </c>
      <c r="I82" s="1192">
        <v>7.0</v>
      </c>
      <c r="J82" s="1193">
        <v>0.875</v>
      </c>
      <c r="K82" s="1192">
        <v>0.0</v>
      </c>
      <c r="L82" s="1193">
        <v>0.0</v>
      </c>
      <c r="M82" s="1192">
        <v>1.0</v>
      </c>
      <c r="N82" s="1192">
        <v>4.0</v>
      </c>
      <c r="O82" s="1192">
        <v>11.0</v>
      </c>
      <c r="P82" s="1192">
        <v>10.0</v>
      </c>
      <c r="Q82" s="1195"/>
      <c r="R82" s="1188">
        <f t="shared" si="1"/>
        <v>21</v>
      </c>
      <c r="S82" s="1189"/>
      <c r="T82" s="1189"/>
      <c r="U82" s="1189"/>
      <c r="V82" s="1189"/>
      <c r="W82" s="1189"/>
      <c r="X82" s="1189"/>
      <c r="Y82" s="1189"/>
      <c r="Z82" s="1189"/>
      <c r="AA82" s="1189"/>
      <c r="AB82" s="1189"/>
      <c r="AC82" s="1189"/>
      <c r="AD82" s="1189"/>
      <c r="AE82" s="1189"/>
      <c r="AF82" s="1189"/>
      <c r="AG82" s="1189"/>
      <c r="AH82" s="1189"/>
      <c r="AI82" s="1189"/>
    </row>
    <row r="83">
      <c r="A83" s="1190" t="s">
        <v>3975</v>
      </c>
      <c r="B83" s="1191">
        <v>99.0</v>
      </c>
      <c r="C83" s="1192">
        <v>26.0</v>
      </c>
      <c r="D83" s="1192">
        <v>3.0</v>
      </c>
      <c r="E83" s="1193">
        <v>0.03</v>
      </c>
      <c r="F83" s="1192">
        <v>4.0</v>
      </c>
      <c r="G83" s="1193">
        <v>0.04</v>
      </c>
      <c r="H83" s="1192">
        <v>29.0</v>
      </c>
      <c r="I83" s="1192">
        <v>28.0</v>
      </c>
      <c r="J83" s="1193">
        <v>0.966</v>
      </c>
      <c r="K83" s="1192">
        <v>0.0</v>
      </c>
      <c r="L83" s="1193">
        <v>0.0</v>
      </c>
      <c r="M83" s="1192">
        <v>2.0</v>
      </c>
      <c r="N83" s="1192">
        <v>2.0</v>
      </c>
      <c r="O83" s="1192">
        <v>36.0</v>
      </c>
      <c r="P83" s="1192">
        <v>44.0</v>
      </c>
      <c r="Q83" s="1195"/>
      <c r="R83" s="1188">
        <f t="shared" si="1"/>
        <v>80</v>
      </c>
      <c r="S83" s="1189"/>
      <c r="T83" s="1189"/>
      <c r="U83" s="1189"/>
      <c r="V83" s="1189"/>
      <c r="W83" s="1189"/>
      <c r="X83" s="1189"/>
      <c r="Y83" s="1189"/>
      <c r="Z83" s="1189"/>
      <c r="AA83" s="1189"/>
      <c r="AB83" s="1189"/>
      <c r="AC83" s="1189"/>
      <c r="AD83" s="1189"/>
      <c r="AE83" s="1189"/>
      <c r="AF83" s="1189"/>
      <c r="AG83" s="1189"/>
      <c r="AH83" s="1189"/>
      <c r="AI83" s="1189"/>
    </row>
    <row r="84">
      <c r="A84" s="1190" t="s">
        <v>3976</v>
      </c>
      <c r="B84" s="1191">
        <v>1006.0</v>
      </c>
      <c r="C84" s="1192">
        <v>408.0</v>
      </c>
      <c r="D84" s="1192">
        <v>68.0</v>
      </c>
      <c r="E84" s="1193">
        <v>0.068</v>
      </c>
      <c r="F84" s="1192">
        <v>36.0</v>
      </c>
      <c r="G84" s="1193">
        <v>0.036</v>
      </c>
      <c r="H84" s="1192">
        <v>342.0</v>
      </c>
      <c r="I84" s="1192">
        <v>188.0</v>
      </c>
      <c r="J84" s="1193">
        <v>0.55</v>
      </c>
      <c r="K84" s="1192">
        <v>10.0</v>
      </c>
      <c r="L84" s="1193">
        <v>0.01</v>
      </c>
      <c r="M84" s="1192">
        <v>126.0</v>
      </c>
      <c r="N84" s="1192">
        <v>232.0</v>
      </c>
      <c r="O84" s="1192">
        <v>238.0</v>
      </c>
      <c r="P84" s="1192">
        <v>254.0</v>
      </c>
      <c r="Q84" s="1195"/>
      <c r="R84" s="1188">
        <f t="shared" si="1"/>
        <v>492</v>
      </c>
      <c r="S84" s="1189"/>
      <c r="T84" s="1189"/>
      <c r="U84" s="1189"/>
      <c r="V84" s="1189"/>
      <c r="W84" s="1189"/>
      <c r="X84" s="1189"/>
      <c r="Y84" s="1189"/>
      <c r="Z84" s="1189"/>
      <c r="AA84" s="1189"/>
      <c r="AB84" s="1189"/>
      <c r="AC84" s="1189"/>
      <c r="AD84" s="1189"/>
      <c r="AE84" s="1189"/>
      <c r="AF84" s="1189"/>
      <c r="AG84" s="1189"/>
      <c r="AH84" s="1189"/>
      <c r="AI84" s="1189"/>
    </row>
    <row r="85">
      <c r="A85" s="1190" t="s">
        <v>883</v>
      </c>
      <c r="B85" s="1191">
        <v>67.0</v>
      </c>
      <c r="C85" s="1192">
        <v>24.0</v>
      </c>
      <c r="D85" s="1192">
        <v>1.0</v>
      </c>
      <c r="E85" s="1193">
        <v>0.015</v>
      </c>
      <c r="F85" s="1192">
        <v>2.0</v>
      </c>
      <c r="G85" s="1193">
        <v>0.03</v>
      </c>
      <c r="H85" s="1192">
        <v>17.0</v>
      </c>
      <c r="I85" s="1192">
        <v>14.0</v>
      </c>
      <c r="J85" s="1193">
        <v>0.824</v>
      </c>
      <c r="K85" s="1192">
        <v>0.0</v>
      </c>
      <c r="L85" s="1193">
        <v>0.0</v>
      </c>
      <c r="M85" s="1192">
        <v>18.0</v>
      </c>
      <c r="N85" s="1192">
        <v>36.0</v>
      </c>
      <c r="O85" s="1192">
        <v>26.0</v>
      </c>
      <c r="P85" s="1192">
        <v>37.0</v>
      </c>
      <c r="Q85" s="1195"/>
      <c r="R85" s="1188">
        <f t="shared" si="1"/>
        <v>63</v>
      </c>
      <c r="S85" s="1189"/>
      <c r="T85" s="1189"/>
      <c r="U85" s="1189"/>
      <c r="V85" s="1189"/>
      <c r="W85" s="1189"/>
      <c r="X85" s="1189"/>
      <c r="Y85" s="1189"/>
      <c r="Z85" s="1189"/>
      <c r="AA85" s="1189"/>
      <c r="AB85" s="1189"/>
      <c r="AC85" s="1189"/>
      <c r="AD85" s="1189"/>
      <c r="AE85" s="1189"/>
      <c r="AF85" s="1189"/>
      <c r="AG85" s="1189"/>
      <c r="AH85" s="1189"/>
      <c r="AI85" s="1189"/>
    </row>
    <row r="86">
      <c r="A86" s="1199" t="s">
        <v>2461</v>
      </c>
      <c r="B86" s="1200">
        <v>3.0</v>
      </c>
      <c r="C86" s="1097">
        <v>2.0</v>
      </c>
      <c r="D86" s="1097">
        <v>1.0</v>
      </c>
      <c r="E86" s="1201">
        <v>0.333</v>
      </c>
      <c r="F86" s="1097">
        <v>0.0</v>
      </c>
      <c r="G86" s="1201">
        <v>0.0</v>
      </c>
      <c r="H86" s="1097">
        <v>0.0</v>
      </c>
      <c r="I86" s="1097">
        <v>0.0</v>
      </c>
      <c r="J86" s="1201">
        <v>0.0</v>
      </c>
      <c r="K86" s="1097">
        <v>0.0</v>
      </c>
      <c r="L86" s="1201">
        <v>0.0</v>
      </c>
      <c r="M86" s="1097">
        <v>4.0</v>
      </c>
      <c r="N86" s="1097">
        <v>7.0</v>
      </c>
      <c r="O86" s="1097">
        <v>0.0</v>
      </c>
      <c r="P86" s="1097">
        <v>0.0</v>
      </c>
      <c r="Q86" s="1195"/>
      <c r="R86" s="1188">
        <f t="shared" si="1"/>
        <v>0</v>
      </c>
      <c r="S86" s="1189"/>
      <c r="T86" s="1189"/>
      <c r="U86" s="1189"/>
      <c r="V86" s="1189"/>
      <c r="W86" s="1189"/>
      <c r="X86" s="1189"/>
      <c r="Y86" s="1189"/>
      <c r="Z86" s="1189"/>
      <c r="AA86" s="1189"/>
      <c r="AB86" s="1189"/>
      <c r="AC86" s="1189"/>
      <c r="AD86" s="1189"/>
      <c r="AE86" s="1189"/>
      <c r="AF86" s="1189"/>
      <c r="AG86" s="1189"/>
      <c r="AH86" s="1189"/>
      <c r="AI86" s="1189"/>
    </row>
    <row r="87">
      <c r="A87" s="1202"/>
      <c r="B87" s="1203"/>
      <c r="C87" s="1189"/>
      <c r="D87" s="1189"/>
      <c r="E87" s="1189"/>
      <c r="F87" s="1189"/>
      <c r="G87" s="1189"/>
      <c r="H87" s="1189"/>
      <c r="I87" s="1189"/>
      <c r="J87" s="1189"/>
      <c r="K87" s="1189"/>
      <c r="L87" s="1189"/>
      <c r="M87" s="1189"/>
      <c r="N87" s="1189"/>
      <c r="O87" s="1189"/>
      <c r="P87" s="1189"/>
      <c r="Q87" s="1189"/>
      <c r="R87" s="1189"/>
      <c r="S87" s="1189"/>
      <c r="T87" s="1189"/>
      <c r="U87" s="1189"/>
      <c r="V87" s="1189"/>
      <c r="W87" s="1189"/>
      <c r="X87" s="1189"/>
      <c r="Y87" s="1189"/>
      <c r="Z87" s="1189"/>
      <c r="AA87" s="1189"/>
      <c r="AB87" s="1189"/>
      <c r="AC87" s="1189"/>
      <c r="AD87" s="1189"/>
      <c r="AE87" s="1189"/>
      <c r="AF87" s="1189"/>
      <c r="AG87" s="1189"/>
      <c r="AH87" s="1189"/>
      <c r="AI87" s="1189"/>
    </row>
    <row r="88">
      <c r="A88" s="1204" t="s">
        <v>2</v>
      </c>
      <c r="B88" s="1205">
        <v>5971.0</v>
      </c>
      <c r="C88" s="1206">
        <v>2367.0</v>
      </c>
      <c r="D88" s="1206">
        <v>386.0</v>
      </c>
      <c r="E88" s="1207">
        <v>0.065</v>
      </c>
      <c r="F88" s="1206">
        <v>218.0</v>
      </c>
      <c r="G88" s="1207">
        <v>0.037</v>
      </c>
      <c r="H88" s="1206">
        <v>2018.0</v>
      </c>
      <c r="I88" s="1206">
        <v>1399.0</v>
      </c>
      <c r="J88" s="1207">
        <v>0.693</v>
      </c>
      <c r="K88" s="1206">
        <v>79.0</v>
      </c>
      <c r="L88" s="1207">
        <v>0.013</v>
      </c>
      <c r="M88" s="1206">
        <v>450.0</v>
      </c>
      <c r="N88" s="1206">
        <v>846.0</v>
      </c>
      <c r="O88" s="1206">
        <v>1502.0</v>
      </c>
      <c r="P88" s="1206">
        <v>1817.0</v>
      </c>
      <c r="Q88" s="1195"/>
      <c r="R88" s="1208">
        <f>O88+P88</f>
        <v>3319</v>
      </c>
      <c r="S88" s="1189"/>
      <c r="T88" s="1189"/>
      <c r="U88" s="1189"/>
      <c r="V88" s="1189"/>
      <c r="W88" s="1189"/>
      <c r="X88" s="1189"/>
      <c r="Y88" s="1189"/>
      <c r="Z88" s="1189"/>
      <c r="AA88" s="1189"/>
      <c r="AB88" s="1189"/>
      <c r="AC88" s="1189"/>
      <c r="AD88" s="1189"/>
      <c r="AE88" s="1189"/>
      <c r="AF88" s="1189"/>
      <c r="AG88" s="1189"/>
      <c r="AH88" s="1189"/>
      <c r="AI88" s="1189"/>
    </row>
    <row r="89">
      <c r="A89" s="1202"/>
      <c r="B89" s="1203"/>
      <c r="C89" s="1189"/>
      <c r="D89" s="1189"/>
      <c r="E89" s="1189"/>
      <c r="F89" s="1189"/>
      <c r="G89" s="1189"/>
      <c r="H89" s="1189"/>
      <c r="I89" s="1189"/>
      <c r="J89" s="1189"/>
      <c r="K89" s="1189"/>
      <c r="L89" s="1189"/>
      <c r="M89" s="1189"/>
      <c r="N89" s="1189"/>
      <c r="O89" s="1189"/>
      <c r="P89" s="1189"/>
      <c r="Q89" s="1189"/>
      <c r="R89" s="1189"/>
      <c r="S89" s="1189"/>
      <c r="T89" s="1189"/>
      <c r="U89" s="1189"/>
      <c r="V89" s="1189"/>
      <c r="W89" s="1189"/>
      <c r="X89" s="1189"/>
      <c r="Y89" s="1189"/>
      <c r="Z89" s="1189"/>
      <c r="AA89" s="1189"/>
      <c r="AB89" s="1189"/>
      <c r="AC89" s="1189"/>
      <c r="AD89" s="1189"/>
      <c r="AE89" s="1189"/>
      <c r="AF89" s="1189"/>
      <c r="AG89" s="1189"/>
      <c r="AH89" s="1189"/>
      <c r="AI89" s="1189"/>
    </row>
    <row r="90">
      <c r="A90" s="1202"/>
      <c r="B90" s="1203"/>
      <c r="C90" s="1189"/>
      <c r="D90" s="1189"/>
      <c r="E90" s="1189"/>
      <c r="F90" s="1189"/>
      <c r="G90" s="1189"/>
      <c r="H90" s="1189"/>
      <c r="I90" s="1189"/>
      <c r="J90" s="1189"/>
      <c r="K90" s="1189"/>
      <c r="L90" s="1189"/>
      <c r="M90" s="1189"/>
      <c r="N90" s="1189"/>
      <c r="O90" s="1189"/>
      <c r="P90" s="1189"/>
      <c r="Q90" s="1189"/>
      <c r="R90" s="1189"/>
      <c r="S90" s="1189"/>
      <c r="T90" s="1189"/>
      <c r="U90" s="1189"/>
      <c r="V90" s="1189"/>
      <c r="W90" s="1189"/>
      <c r="X90" s="1189"/>
      <c r="Y90" s="1189"/>
      <c r="Z90" s="1189"/>
      <c r="AA90" s="1189"/>
      <c r="AB90" s="1189"/>
      <c r="AC90" s="1189"/>
      <c r="AD90" s="1189"/>
      <c r="AE90" s="1189"/>
      <c r="AF90" s="1189"/>
      <c r="AG90" s="1189"/>
      <c r="AH90" s="1189"/>
      <c r="AI90" s="1189"/>
    </row>
    <row r="91">
      <c r="A91" s="1202"/>
      <c r="B91" s="1209"/>
      <c r="C91" s="1189"/>
      <c r="D91" s="1189"/>
      <c r="E91" s="1189"/>
      <c r="F91" s="1189"/>
      <c r="G91" s="1189"/>
      <c r="H91" s="1189"/>
      <c r="I91" s="1189"/>
      <c r="J91" s="1189"/>
      <c r="K91" s="1189"/>
      <c r="L91" s="1189"/>
      <c r="M91" s="1189"/>
      <c r="N91" s="1189"/>
      <c r="O91" s="1189"/>
      <c r="P91" s="1189"/>
      <c r="Q91" s="1189"/>
      <c r="R91" s="1189"/>
      <c r="S91" s="1189"/>
      <c r="T91" s="1189"/>
      <c r="U91" s="1189"/>
      <c r="V91" s="1189"/>
      <c r="W91" s="1189"/>
      <c r="X91" s="1189"/>
      <c r="Y91" s="1189"/>
      <c r="Z91" s="1189"/>
      <c r="AA91" s="1189"/>
      <c r="AB91" s="1189"/>
      <c r="AC91" s="1189"/>
      <c r="AD91" s="1189"/>
      <c r="AE91" s="1189"/>
      <c r="AF91" s="1189"/>
      <c r="AG91" s="1189"/>
      <c r="AH91" s="1189"/>
      <c r="AI91" s="1189"/>
    </row>
    <row r="92">
      <c r="A92" s="1202"/>
      <c r="B92" s="1209"/>
      <c r="C92" s="1189"/>
      <c r="D92" s="1189"/>
      <c r="E92" s="1189"/>
      <c r="F92" s="1189"/>
      <c r="G92" s="1189"/>
      <c r="H92" s="1189"/>
      <c r="I92" s="1189"/>
      <c r="J92" s="1189"/>
      <c r="K92" s="1189"/>
      <c r="L92" s="1189"/>
      <c r="M92" s="1189"/>
      <c r="N92" s="1189"/>
      <c r="O92" s="1189"/>
      <c r="P92" s="1189"/>
      <c r="Q92" s="1189"/>
      <c r="R92" s="1189"/>
      <c r="S92" s="1189"/>
      <c r="T92" s="1189"/>
      <c r="U92" s="1189"/>
      <c r="V92" s="1189"/>
      <c r="W92" s="1189"/>
      <c r="X92" s="1189"/>
      <c r="Y92" s="1189"/>
      <c r="Z92" s="1189"/>
      <c r="AA92" s="1189"/>
      <c r="AB92" s="1189"/>
      <c r="AC92" s="1189"/>
      <c r="AD92" s="1189"/>
      <c r="AE92" s="1189"/>
      <c r="AF92" s="1189"/>
      <c r="AG92" s="1189"/>
      <c r="AH92" s="1189"/>
      <c r="AI92" s="1189"/>
    </row>
    <row r="93">
      <c r="A93" s="1202"/>
      <c r="B93" s="1209"/>
      <c r="C93" s="1189"/>
      <c r="D93" s="1189"/>
      <c r="E93" s="1189"/>
      <c r="F93" s="1189"/>
      <c r="G93" s="1189"/>
      <c r="H93" s="1189"/>
      <c r="I93" s="1189"/>
      <c r="J93" s="1189"/>
      <c r="K93" s="1189"/>
      <c r="L93" s="1189"/>
      <c r="M93" s="1189"/>
      <c r="N93" s="1189"/>
      <c r="O93" s="1189"/>
      <c r="P93" s="1189"/>
      <c r="Q93" s="1189"/>
      <c r="R93" s="1189"/>
      <c r="S93" s="1189"/>
      <c r="T93" s="1189"/>
      <c r="U93" s="1189"/>
      <c r="V93" s="1189"/>
      <c r="W93" s="1189"/>
      <c r="X93" s="1189"/>
      <c r="Y93" s="1189"/>
      <c r="Z93" s="1189"/>
      <c r="AA93" s="1189"/>
      <c r="AB93" s="1189"/>
      <c r="AC93" s="1189"/>
      <c r="AD93" s="1189"/>
      <c r="AE93" s="1189"/>
      <c r="AF93" s="1189"/>
      <c r="AG93" s="1189"/>
      <c r="AH93" s="1189"/>
      <c r="AI93" s="1189"/>
    </row>
    <row r="94">
      <c r="A94" s="1202"/>
      <c r="B94" s="1209"/>
      <c r="C94" s="1189"/>
      <c r="D94" s="1189"/>
      <c r="E94" s="1189"/>
      <c r="F94" s="1189"/>
      <c r="G94" s="1189"/>
      <c r="H94" s="1189"/>
      <c r="I94" s="1189"/>
      <c r="J94" s="1189"/>
      <c r="K94" s="1189"/>
      <c r="L94" s="1189"/>
      <c r="M94" s="1189"/>
      <c r="N94" s="1189"/>
      <c r="O94" s="1189"/>
      <c r="P94" s="1189"/>
      <c r="Q94" s="1189"/>
      <c r="R94" s="1189"/>
      <c r="S94" s="1189"/>
      <c r="T94" s="1189"/>
      <c r="U94" s="1189"/>
      <c r="V94" s="1189"/>
      <c r="W94" s="1189"/>
      <c r="X94" s="1189"/>
      <c r="Y94" s="1189"/>
      <c r="Z94" s="1189"/>
      <c r="AA94" s="1189"/>
      <c r="AB94" s="1189"/>
      <c r="AC94" s="1189"/>
      <c r="AD94" s="1189"/>
      <c r="AE94" s="1189"/>
      <c r="AF94" s="1189"/>
      <c r="AG94" s="1189"/>
      <c r="AH94" s="1189"/>
      <c r="AI94" s="1189"/>
    </row>
    <row r="95">
      <c r="A95" s="1202"/>
      <c r="B95" s="1209"/>
      <c r="C95" s="1189"/>
      <c r="D95" s="1189"/>
      <c r="E95" s="1189"/>
      <c r="F95" s="1189"/>
      <c r="G95" s="1189"/>
      <c r="H95" s="1189"/>
      <c r="I95" s="1189"/>
      <c r="J95" s="1189"/>
      <c r="K95" s="1189"/>
      <c r="L95" s="1189"/>
      <c r="M95" s="1189"/>
      <c r="N95" s="1189"/>
      <c r="O95" s="1189"/>
      <c r="P95" s="1189"/>
      <c r="Q95" s="1189"/>
      <c r="R95" s="1189"/>
      <c r="S95" s="1189"/>
      <c r="T95" s="1189"/>
      <c r="U95" s="1189"/>
      <c r="V95" s="1189"/>
      <c r="W95" s="1189"/>
      <c r="X95" s="1189"/>
      <c r="Y95" s="1189"/>
      <c r="Z95" s="1189"/>
      <c r="AA95" s="1189"/>
      <c r="AB95" s="1189"/>
      <c r="AC95" s="1189"/>
      <c r="AD95" s="1189"/>
      <c r="AE95" s="1189"/>
      <c r="AF95" s="1189"/>
      <c r="AG95" s="1189"/>
      <c r="AH95" s="1189"/>
      <c r="AI95" s="1189"/>
    </row>
    <row r="96">
      <c r="A96" s="1202"/>
      <c r="B96" s="1210"/>
      <c r="C96" s="1189"/>
      <c r="D96" s="1189"/>
      <c r="E96" s="1189"/>
      <c r="F96" s="1189"/>
      <c r="G96" s="1189"/>
      <c r="H96" s="1189"/>
      <c r="I96" s="1189"/>
      <c r="J96" s="1189"/>
      <c r="K96" s="1189"/>
      <c r="L96" s="1189"/>
      <c r="M96" s="1189"/>
      <c r="N96" s="1189"/>
      <c r="O96" s="1189"/>
      <c r="P96" s="1189"/>
      <c r="Q96" s="1189"/>
      <c r="R96" s="1189"/>
      <c r="S96" s="1189"/>
      <c r="T96" s="1189"/>
      <c r="U96" s="1189"/>
      <c r="V96" s="1189"/>
      <c r="W96" s="1189"/>
      <c r="X96" s="1189"/>
      <c r="Y96" s="1189"/>
      <c r="Z96" s="1189"/>
      <c r="AA96" s="1189"/>
      <c r="AB96" s="1189"/>
      <c r="AC96" s="1189"/>
      <c r="AD96" s="1189"/>
      <c r="AE96" s="1189"/>
      <c r="AF96" s="1189"/>
      <c r="AG96" s="1189"/>
      <c r="AH96" s="1189"/>
      <c r="AI96" s="1189"/>
    </row>
    <row r="97">
      <c r="A97" s="1202"/>
      <c r="B97" s="1203"/>
      <c r="C97" s="1189"/>
      <c r="D97" s="1189"/>
      <c r="E97" s="1189"/>
      <c r="F97" s="1189"/>
      <c r="G97" s="1189"/>
      <c r="H97" s="1189"/>
      <c r="I97" s="1189"/>
      <c r="J97" s="1189"/>
      <c r="K97" s="1189"/>
      <c r="L97" s="1189"/>
      <c r="M97" s="1189"/>
      <c r="N97" s="1189"/>
      <c r="O97" s="1189"/>
      <c r="P97" s="1189"/>
      <c r="Q97" s="1189"/>
      <c r="R97" s="1189"/>
      <c r="S97" s="1189"/>
      <c r="T97" s="1189"/>
      <c r="U97" s="1189"/>
      <c r="V97" s="1189"/>
      <c r="W97" s="1189"/>
      <c r="X97" s="1189"/>
      <c r="Y97" s="1189"/>
      <c r="Z97" s="1189"/>
      <c r="AA97" s="1189"/>
      <c r="AB97" s="1189"/>
      <c r="AC97" s="1189"/>
      <c r="AD97" s="1189"/>
      <c r="AE97" s="1189"/>
      <c r="AF97" s="1189"/>
      <c r="AG97" s="1189"/>
      <c r="AH97" s="1189"/>
      <c r="AI97" s="1189"/>
    </row>
    <row r="98">
      <c r="A98" s="1202"/>
      <c r="B98" s="1203"/>
      <c r="C98" s="1189"/>
      <c r="D98" s="1189"/>
      <c r="E98" s="1189"/>
      <c r="F98" s="1189"/>
      <c r="G98" s="1189"/>
      <c r="H98" s="1189"/>
      <c r="I98" s="1189"/>
      <c r="J98" s="1189"/>
      <c r="K98" s="1189"/>
      <c r="L98" s="1189"/>
      <c r="M98" s="1189"/>
      <c r="N98" s="1189"/>
      <c r="O98" s="1189"/>
      <c r="P98" s="1189"/>
      <c r="Q98" s="1189"/>
      <c r="R98" s="1189"/>
      <c r="S98" s="1189"/>
      <c r="T98" s="1189"/>
      <c r="U98" s="1189"/>
      <c r="V98" s="1189"/>
      <c r="W98" s="1189"/>
      <c r="X98" s="1189"/>
      <c r="Y98" s="1189"/>
      <c r="Z98" s="1189"/>
      <c r="AA98" s="1189"/>
      <c r="AB98" s="1189"/>
      <c r="AC98" s="1189"/>
      <c r="AD98" s="1189"/>
      <c r="AE98" s="1189"/>
      <c r="AF98" s="1189"/>
      <c r="AG98" s="1189"/>
      <c r="AH98" s="1189"/>
      <c r="AI98" s="1189"/>
    </row>
    <row r="99">
      <c r="A99" s="1202"/>
      <c r="B99" s="1203"/>
      <c r="C99" s="1189"/>
      <c r="D99" s="1189"/>
      <c r="E99" s="1189"/>
      <c r="F99" s="1189"/>
      <c r="G99" s="1189"/>
      <c r="H99" s="1189"/>
      <c r="I99" s="1189"/>
      <c r="J99" s="1189"/>
      <c r="K99" s="1189"/>
      <c r="L99" s="1189"/>
      <c r="M99" s="1189"/>
      <c r="N99" s="1189"/>
      <c r="O99" s="1189"/>
      <c r="P99" s="1189"/>
      <c r="Q99" s="1189"/>
      <c r="R99" s="1189"/>
      <c r="S99" s="1189"/>
      <c r="T99" s="1189"/>
      <c r="U99" s="1189"/>
      <c r="V99" s="1189"/>
      <c r="W99" s="1189"/>
      <c r="X99" s="1189"/>
      <c r="Y99" s="1189"/>
      <c r="Z99" s="1189"/>
      <c r="AA99" s="1189"/>
      <c r="AB99" s="1189"/>
      <c r="AC99" s="1189"/>
      <c r="AD99" s="1189"/>
      <c r="AE99" s="1189"/>
      <c r="AF99" s="1189"/>
      <c r="AG99" s="1189"/>
      <c r="AH99" s="1189"/>
      <c r="AI99" s="1189"/>
    </row>
    <row r="100">
      <c r="A100" s="1202"/>
      <c r="B100" s="1203"/>
      <c r="C100" s="1189"/>
      <c r="D100" s="1189"/>
      <c r="E100" s="1189"/>
      <c r="F100" s="1189"/>
      <c r="G100" s="1189"/>
      <c r="H100" s="1189"/>
      <c r="I100" s="1189"/>
      <c r="J100" s="1189"/>
      <c r="K100" s="1189"/>
      <c r="L100" s="1189"/>
      <c r="M100" s="1189"/>
      <c r="N100" s="1189"/>
      <c r="O100" s="1189"/>
      <c r="P100" s="1189"/>
      <c r="Q100" s="1189"/>
      <c r="R100" s="1189"/>
      <c r="S100" s="1189"/>
      <c r="T100" s="1189"/>
      <c r="U100" s="1189"/>
      <c r="V100" s="1189"/>
      <c r="W100" s="1189"/>
      <c r="X100" s="1189"/>
      <c r="Y100" s="1189"/>
      <c r="Z100" s="1189"/>
      <c r="AA100" s="1189"/>
      <c r="AB100" s="1189"/>
      <c r="AC100" s="1189"/>
      <c r="AD100" s="1189"/>
      <c r="AE100" s="1189"/>
      <c r="AF100" s="1189"/>
      <c r="AG100" s="1189"/>
      <c r="AH100" s="1189"/>
      <c r="AI100" s="1189"/>
    </row>
    <row r="101">
      <c r="A101" s="1202"/>
      <c r="B101" s="1203"/>
      <c r="C101" s="1189"/>
      <c r="D101" s="1189"/>
      <c r="E101" s="1189"/>
      <c r="F101" s="1189"/>
      <c r="G101" s="1189"/>
      <c r="H101" s="1189"/>
      <c r="I101" s="1189"/>
      <c r="J101" s="1189"/>
      <c r="K101" s="1189"/>
      <c r="L101" s="1189"/>
      <c r="M101" s="1189"/>
      <c r="N101" s="1189"/>
      <c r="O101" s="1189"/>
      <c r="P101" s="1189"/>
      <c r="Q101" s="1189"/>
      <c r="R101" s="1189"/>
      <c r="S101" s="1189"/>
      <c r="T101" s="1189"/>
      <c r="U101" s="1189"/>
      <c r="V101" s="1189"/>
      <c r="W101" s="1189"/>
      <c r="X101" s="1189"/>
      <c r="Y101" s="1189"/>
      <c r="Z101" s="1189"/>
      <c r="AA101" s="1189"/>
      <c r="AB101" s="1189"/>
      <c r="AC101" s="1189"/>
      <c r="AD101" s="1189"/>
      <c r="AE101" s="1189"/>
      <c r="AF101" s="1189"/>
      <c r="AG101" s="1189"/>
      <c r="AH101" s="1189"/>
      <c r="AI101" s="1189"/>
    </row>
    <row r="102">
      <c r="A102" s="1202"/>
      <c r="B102" s="1203"/>
      <c r="C102" s="1189"/>
      <c r="D102" s="1189"/>
      <c r="E102" s="1189"/>
      <c r="F102" s="1189"/>
      <c r="G102" s="1189"/>
      <c r="H102" s="1189"/>
      <c r="I102" s="1189"/>
      <c r="J102" s="1189"/>
      <c r="K102" s="1189"/>
      <c r="L102" s="1189"/>
      <c r="M102" s="1189"/>
      <c r="N102" s="1189"/>
      <c r="O102" s="1189"/>
      <c r="P102" s="1189"/>
      <c r="Q102" s="1189"/>
      <c r="R102" s="1189"/>
      <c r="S102" s="1189"/>
      <c r="T102" s="1189"/>
      <c r="U102" s="1189"/>
      <c r="V102" s="1189"/>
      <c r="W102" s="1189"/>
      <c r="X102" s="1189"/>
      <c r="Y102" s="1189"/>
      <c r="Z102" s="1189"/>
      <c r="AA102" s="1189"/>
      <c r="AB102" s="1189"/>
      <c r="AC102" s="1189"/>
      <c r="AD102" s="1189"/>
      <c r="AE102" s="1189"/>
      <c r="AF102" s="1189"/>
      <c r="AG102" s="1189"/>
      <c r="AH102" s="1189"/>
      <c r="AI102" s="1189"/>
    </row>
    <row r="103">
      <c r="A103" s="1202"/>
      <c r="B103" s="1203"/>
      <c r="C103" s="1189"/>
      <c r="D103" s="1189"/>
      <c r="E103" s="1189"/>
      <c r="F103" s="1189"/>
      <c r="G103" s="1189"/>
      <c r="H103" s="1189"/>
      <c r="I103" s="1189"/>
      <c r="J103" s="1189"/>
      <c r="K103" s="1189"/>
      <c r="L103" s="1189"/>
      <c r="M103" s="1189"/>
      <c r="N103" s="1189"/>
      <c r="O103" s="1189"/>
      <c r="P103" s="1189"/>
      <c r="Q103" s="1189"/>
      <c r="R103" s="1189"/>
      <c r="S103" s="1189"/>
      <c r="T103" s="1189"/>
      <c r="U103" s="1189"/>
      <c r="V103" s="1189"/>
      <c r="W103" s="1189"/>
      <c r="X103" s="1189"/>
      <c r="Y103" s="1189"/>
      <c r="Z103" s="1189"/>
      <c r="AA103" s="1189"/>
      <c r="AB103" s="1189"/>
      <c r="AC103" s="1189"/>
      <c r="AD103" s="1189"/>
      <c r="AE103" s="1189"/>
      <c r="AF103" s="1189"/>
      <c r="AG103" s="1189"/>
      <c r="AH103" s="1189"/>
      <c r="AI103" s="1189"/>
    </row>
    <row r="104">
      <c r="A104" s="1202"/>
      <c r="B104" s="1203"/>
      <c r="C104" s="1189"/>
      <c r="D104" s="1189"/>
      <c r="E104" s="1189"/>
      <c r="F104" s="1189"/>
      <c r="G104" s="1189"/>
      <c r="H104" s="1189"/>
      <c r="I104" s="1189"/>
      <c r="J104" s="1189"/>
      <c r="K104" s="1189"/>
      <c r="L104" s="1189"/>
      <c r="M104" s="1189"/>
      <c r="N104" s="1189"/>
      <c r="O104" s="1189"/>
      <c r="P104" s="1189"/>
      <c r="Q104" s="1189"/>
      <c r="R104" s="1189"/>
      <c r="S104" s="1189"/>
      <c r="T104" s="1189"/>
      <c r="U104" s="1189"/>
      <c r="V104" s="1189"/>
      <c r="W104" s="1189"/>
      <c r="X104" s="1189"/>
      <c r="Y104" s="1189"/>
      <c r="Z104" s="1189"/>
      <c r="AA104" s="1189"/>
      <c r="AB104" s="1189"/>
      <c r="AC104" s="1189"/>
      <c r="AD104" s="1189"/>
      <c r="AE104" s="1189"/>
      <c r="AF104" s="1189"/>
      <c r="AG104" s="1189"/>
      <c r="AH104" s="1189"/>
      <c r="AI104" s="1189"/>
    </row>
    <row r="105">
      <c r="A105" s="1202"/>
      <c r="B105" s="1203"/>
      <c r="C105" s="1189"/>
      <c r="D105" s="1189"/>
      <c r="E105" s="1189"/>
      <c r="F105" s="1189"/>
      <c r="G105" s="1189"/>
      <c r="H105" s="1189"/>
      <c r="I105" s="1189"/>
      <c r="J105" s="1189"/>
      <c r="K105" s="1189"/>
      <c r="L105" s="1189"/>
      <c r="M105" s="1189"/>
      <c r="N105" s="1189"/>
      <c r="O105" s="1189"/>
      <c r="P105" s="1189"/>
      <c r="Q105" s="1189"/>
      <c r="R105" s="1189"/>
      <c r="S105" s="1189"/>
      <c r="T105" s="1189"/>
      <c r="U105" s="1189"/>
      <c r="V105" s="1189"/>
      <c r="W105" s="1189"/>
      <c r="X105" s="1189"/>
      <c r="Y105" s="1189"/>
      <c r="Z105" s="1189"/>
      <c r="AA105" s="1189"/>
      <c r="AB105" s="1189"/>
      <c r="AC105" s="1189"/>
      <c r="AD105" s="1189"/>
      <c r="AE105" s="1189"/>
      <c r="AF105" s="1189"/>
      <c r="AG105" s="1189"/>
      <c r="AH105" s="1189"/>
      <c r="AI105" s="1189"/>
    </row>
    <row r="106">
      <c r="A106" s="1202"/>
      <c r="B106" s="1203"/>
      <c r="C106" s="1189"/>
      <c r="D106" s="1189"/>
      <c r="E106" s="1189"/>
      <c r="F106" s="1189"/>
      <c r="G106" s="1189"/>
      <c r="H106" s="1189"/>
      <c r="I106" s="1189"/>
      <c r="J106" s="1189"/>
      <c r="K106" s="1189"/>
      <c r="L106" s="1189"/>
      <c r="M106" s="1189"/>
      <c r="N106" s="1189"/>
      <c r="O106" s="1189"/>
      <c r="P106" s="1189"/>
      <c r="Q106" s="1189"/>
      <c r="R106" s="1189"/>
      <c r="S106" s="1189"/>
      <c r="T106" s="1189"/>
      <c r="U106" s="1189"/>
      <c r="V106" s="1189"/>
      <c r="W106" s="1189"/>
      <c r="X106" s="1189"/>
      <c r="Y106" s="1189"/>
      <c r="Z106" s="1189"/>
      <c r="AA106" s="1189"/>
      <c r="AB106" s="1189"/>
      <c r="AC106" s="1189"/>
      <c r="AD106" s="1189"/>
      <c r="AE106" s="1189"/>
      <c r="AF106" s="1189"/>
      <c r="AG106" s="1189"/>
      <c r="AH106" s="1189"/>
      <c r="AI106" s="1189"/>
    </row>
    <row r="107">
      <c r="A107" s="1202"/>
      <c r="B107" s="1203"/>
      <c r="C107" s="1189"/>
      <c r="D107" s="1189"/>
      <c r="E107" s="1189"/>
      <c r="F107" s="1189"/>
      <c r="G107" s="1189"/>
      <c r="H107" s="1189"/>
      <c r="I107" s="1189"/>
      <c r="J107" s="1189"/>
      <c r="K107" s="1189"/>
      <c r="L107" s="1189"/>
      <c r="M107" s="1189"/>
      <c r="N107" s="1189"/>
      <c r="O107" s="1189"/>
      <c r="P107" s="1189"/>
      <c r="Q107" s="1189"/>
      <c r="R107" s="1189"/>
      <c r="S107" s="1189"/>
      <c r="T107" s="1189"/>
      <c r="U107" s="1189"/>
      <c r="V107" s="1189"/>
      <c r="W107" s="1189"/>
      <c r="X107" s="1189"/>
      <c r="Y107" s="1189"/>
      <c r="Z107" s="1189"/>
      <c r="AA107" s="1189"/>
      <c r="AB107" s="1189"/>
      <c r="AC107" s="1189"/>
      <c r="AD107" s="1189"/>
      <c r="AE107" s="1189"/>
      <c r="AF107" s="1189"/>
      <c r="AG107" s="1189"/>
      <c r="AH107" s="1189"/>
      <c r="AI107" s="1189"/>
    </row>
    <row r="108">
      <c r="A108" s="1202"/>
      <c r="B108" s="1203"/>
      <c r="C108" s="1189"/>
      <c r="D108" s="1189"/>
      <c r="E108" s="1189"/>
      <c r="F108" s="1189"/>
      <c r="G108" s="1189"/>
      <c r="H108" s="1189"/>
      <c r="I108" s="1189"/>
      <c r="J108" s="1189"/>
      <c r="K108" s="1189"/>
      <c r="L108" s="1189"/>
      <c r="M108" s="1189"/>
      <c r="N108" s="1189"/>
      <c r="O108" s="1189"/>
      <c r="P108" s="1189"/>
      <c r="Q108" s="1189"/>
      <c r="R108" s="1189"/>
      <c r="S108" s="1189"/>
      <c r="T108" s="1189"/>
      <c r="U108" s="1189"/>
      <c r="V108" s="1189"/>
      <c r="W108" s="1189"/>
      <c r="X108" s="1189"/>
      <c r="Y108" s="1189"/>
      <c r="Z108" s="1189"/>
      <c r="AA108" s="1189"/>
      <c r="AB108" s="1189"/>
      <c r="AC108" s="1189"/>
      <c r="AD108" s="1189"/>
      <c r="AE108" s="1189"/>
      <c r="AF108" s="1189"/>
      <c r="AG108" s="1189"/>
      <c r="AH108" s="1189"/>
      <c r="AI108" s="1189"/>
    </row>
    <row r="109">
      <c r="A109" s="1202"/>
      <c r="B109" s="1203"/>
      <c r="C109" s="1189"/>
      <c r="D109" s="1189"/>
      <c r="E109" s="1189"/>
      <c r="F109" s="1189"/>
      <c r="G109" s="1189"/>
      <c r="H109" s="1189"/>
      <c r="I109" s="1189"/>
      <c r="J109" s="1189"/>
      <c r="K109" s="1189"/>
      <c r="L109" s="1189"/>
      <c r="M109" s="1189"/>
      <c r="N109" s="1189"/>
      <c r="O109" s="1189"/>
      <c r="P109" s="1189"/>
      <c r="Q109" s="1189"/>
      <c r="R109" s="1189"/>
      <c r="S109" s="1189"/>
      <c r="T109" s="1189"/>
      <c r="U109" s="1189"/>
      <c r="V109" s="1189"/>
      <c r="W109" s="1189"/>
      <c r="X109" s="1189"/>
      <c r="Y109" s="1189"/>
      <c r="Z109" s="1189"/>
      <c r="AA109" s="1189"/>
      <c r="AB109" s="1189"/>
      <c r="AC109" s="1189"/>
      <c r="AD109" s="1189"/>
      <c r="AE109" s="1189"/>
      <c r="AF109" s="1189"/>
      <c r="AG109" s="1189"/>
      <c r="AH109" s="1189"/>
      <c r="AI109" s="1189"/>
    </row>
    <row r="110">
      <c r="A110" s="1202"/>
      <c r="B110" s="1203"/>
      <c r="C110" s="1189"/>
      <c r="D110" s="1189"/>
      <c r="E110" s="1189"/>
      <c r="F110" s="1189"/>
      <c r="G110" s="1189"/>
      <c r="H110" s="1189"/>
      <c r="I110" s="1189"/>
      <c r="J110" s="1189"/>
      <c r="K110" s="1189"/>
      <c r="L110" s="1189"/>
      <c r="M110" s="1189"/>
      <c r="N110" s="1189"/>
      <c r="O110" s="1189"/>
      <c r="P110" s="1189"/>
      <c r="Q110" s="1189"/>
      <c r="R110" s="1189"/>
      <c r="S110" s="1189"/>
      <c r="T110" s="1189"/>
      <c r="U110" s="1189"/>
      <c r="V110" s="1189"/>
      <c r="W110" s="1189"/>
      <c r="X110" s="1189"/>
      <c r="Y110" s="1189"/>
      <c r="Z110" s="1189"/>
      <c r="AA110" s="1189"/>
      <c r="AB110" s="1189"/>
      <c r="AC110" s="1189"/>
      <c r="AD110" s="1189"/>
      <c r="AE110" s="1189"/>
      <c r="AF110" s="1189"/>
      <c r="AG110" s="1189"/>
      <c r="AH110" s="1189"/>
      <c r="AI110" s="1189"/>
    </row>
    <row r="111">
      <c r="A111" s="1202"/>
      <c r="B111" s="1203"/>
      <c r="C111" s="1189"/>
      <c r="D111" s="1189"/>
      <c r="E111" s="1189"/>
      <c r="F111" s="1189"/>
      <c r="G111" s="1189"/>
      <c r="H111" s="1189"/>
      <c r="I111" s="1189"/>
      <c r="J111" s="1189"/>
      <c r="K111" s="1189"/>
      <c r="L111" s="1189"/>
      <c r="M111" s="1189"/>
      <c r="N111" s="1189"/>
      <c r="O111" s="1189"/>
      <c r="P111" s="1189"/>
      <c r="Q111" s="1189"/>
      <c r="R111" s="1189"/>
      <c r="S111" s="1189"/>
      <c r="T111" s="1189"/>
      <c r="U111" s="1189"/>
      <c r="V111" s="1189"/>
      <c r="W111" s="1189"/>
      <c r="X111" s="1189"/>
      <c r="Y111" s="1189"/>
      <c r="Z111" s="1189"/>
      <c r="AA111" s="1189"/>
      <c r="AB111" s="1189"/>
      <c r="AC111" s="1189"/>
      <c r="AD111" s="1189"/>
      <c r="AE111" s="1189"/>
      <c r="AF111" s="1189"/>
      <c r="AG111" s="1189"/>
      <c r="AH111" s="1189"/>
      <c r="AI111" s="1189"/>
    </row>
    <row r="112">
      <c r="A112" s="1202"/>
      <c r="B112" s="1203"/>
      <c r="C112" s="1189"/>
      <c r="D112" s="1189"/>
      <c r="E112" s="1189"/>
      <c r="F112" s="1189"/>
      <c r="G112" s="1189"/>
      <c r="H112" s="1189"/>
      <c r="I112" s="1189"/>
      <c r="J112" s="1189"/>
      <c r="K112" s="1189"/>
      <c r="L112" s="1189"/>
      <c r="M112" s="1189"/>
      <c r="N112" s="1189"/>
      <c r="O112" s="1189"/>
      <c r="P112" s="1189"/>
      <c r="Q112" s="1189"/>
      <c r="R112" s="1189"/>
      <c r="S112" s="1189"/>
      <c r="T112" s="1189"/>
      <c r="U112" s="1189"/>
      <c r="V112" s="1189"/>
      <c r="W112" s="1189"/>
      <c r="X112" s="1189"/>
      <c r="Y112" s="1189"/>
      <c r="Z112" s="1189"/>
      <c r="AA112" s="1189"/>
      <c r="AB112" s="1189"/>
      <c r="AC112" s="1189"/>
      <c r="AD112" s="1189"/>
      <c r="AE112" s="1189"/>
      <c r="AF112" s="1189"/>
      <c r="AG112" s="1189"/>
      <c r="AH112" s="1189"/>
      <c r="AI112" s="1189"/>
    </row>
    <row r="113">
      <c r="A113" s="1202"/>
      <c r="B113" s="1203"/>
      <c r="C113" s="1189"/>
      <c r="D113" s="1189"/>
      <c r="E113" s="1189"/>
      <c r="F113" s="1189"/>
      <c r="G113" s="1189"/>
      <c r="H113" s="1189"/>
      <c r="I113" s="1189"/>
      <c r="J113" s="1189"/>
      <c r="K113" s="1189"/>
      <c r="L113" s="1189"/>
      <c r="M113" s="1189"/>
      <c r="N113" s="1189"/>
      <c r="O113" s="1189"/>
      <c r="P113" s="1189"/>
      <c r="Q113" s="1189"/>
      <c r="R113" s="1189"/>
      <c r="S113" s="1189"/>
      <c r="T113" s="1189"/>
      <c r="U113" s="1189"/>
      <c r="V113" s="1189"/>
      <c r="W113" s="1189"/>
      <c r="X113" s="1189"/>
      <c r="Y113" s="1189"/>
      <c r="Z113" s="1189"/>
      <c r="AA113" s="1189"/>
      <c r="AB113" s="1189"/>
      <c r="AC113" s="1189"/>
      <c r="AD113" s="1189"/>
      <c r="AE113" s="1189"/>
      <c r="AF113" s="1189"/>
      <c r="AG113" s="1189"/>
      <c r="AH113" s="1189"/>
      <c r="AI113" s="1189"/>
    </row>
    <row r="114">
      <c r="A114" s="1202"/>
      <c r="B114" s="1203"/>
      <c r="C114" s="1189"/>
      <c r="D114" s="1189"/>
      <c r="E114" s="1189"/>
      <c r="F114" s="1189"/>
      <c r="G114" s="1189"/>
      <c r="H114" s="1189"/>
      <c r="I114" s="1189"/>
      <c r="J114" s="1189"/>
      <c r="K114" s="1189"/>
      <c r="L114" s="1189"/>
      <c r="M114" s="1189"/>
      <c r="N114" s="1189"/>
      <c r="O114" s="1189"/>
      <c r="P114" s="1189"/>
      <c r="Q114" s="1189"/>
      <c r="R114" s="1189"/>
      <c r="S114" s="1189"/>
      <c r="T114" s="1189"/>
      <c r="U114" s="1189"/>
      <c r="V114" s="1189"/>
      <c r="W114" s="1189"/>
      <c r="X114" s="1189"/>
      <c r="Y114" s="1189"/>
      <c r="Z114" s="1189"/>
      <c r="AA114" s="1189"/>
      <c r="AB114" s="1189"/>
      <c r="AC114" s="1189"/>
      <c r="AD114" s="1189"/>
      <c r="AE114" s="1189"/>
      <c r="AF114" s="1189"/>
      <c r="AG114" s="1189"/>
      <c r="AH114" s="1189"/>
      <c r="AI114" s="1189"/>
    </row>
    <row r="115">
      <c r="A115" s="1202"/>
      <c r="B115" s="1203"/>
      <c r="C115" s="1189"/>
      <c r="D115" s="1189"/>
      <c r="E115" s="1189"/>
      <c r="F115" s="1189"/>
      <c r="G115" s="1189"/>
      <c r="H115" s="1189"/>
      <c r="I115" s="1189"/>
      <c r="J115" s="1189"/>
      <c r="K115" s="1189"/>
      <c r="L115" s="1189"/>
      <c r="M115" s="1189"/>
      <c r="N115" s="1189"/>
      <c r="O115" s="1189"/>
      <c r="P115" s="1189"/>
      <c r="Q115" s="1189"/>
      <c r="R115" s="1189"/>
      <c r="S115" s="1189"/>
      <c r="T115" s="1189"/>
      <c r="U115" s="1189"/>
      <c r="V115" s="1189"/>
      <c r="W115" s="1189"/>
      <c r="X115" s="1189"/>
      <c r="Y115" s="1189"/>
      <c r="Z115" s="1189"/>
      <c r="AA115" s="1189"/>
      <c r="AB115" s="1189"/>
      <c r="AC115" s="1189"/>
      <c r="AD115" s="1189"/>
      <c r="AE115" s="1189"/>
      <c r="AF115" s="1189"/>
      <c r="AG115" s="1189"/>
      <c r="AH115" s="1189"/>
      <c r="AI115" s="1189"/>
    </row>
    <row r="116">
      <c r="A116" s="1202"/>
      <c r="B116" s="1203"/>
      <c r="C116" s="1189"/>
      <c r="D116" s="1189"/>
      <c r="E116" s="1189"/>
      <c r="F116" s="1189"/>
      <c r="G116" s="1189"/>
      <c r="H116" s="1189"/>
      <c r="I116" s="1189"/>
      <c r="J116" s="1189"/>
      <c r="K116" s="1189"/>
      <c r="L116" s="1189"/>
      <c r="M116" s="1189"/>
      <c r="N116" s="1189"/>
      <c r="O116" s="1189"/>
      <c r="P116" s="1189"/>
      <c r="Q116" s="1189"/>
      <c r="R116" s="1189"/>
      <c r="S116" s="1189"/>
      <c r="T116" s="1189"/>
      <c r="U116" s="1189"/>
      <c r="V116" s="1189"/>
      <c r="W116" s="1189"/>
      <c r="X116" s="1189"/>
      <c r="Y116" s="1189"/>
      <c r="Z116" s="1189"/>
      <c r="AA116" s="1189"/>
      <c r="AB116" s="1189"/>
      <c r="AC116" s="1189"/>
      <c r="AD116" s="1189"/>
      <c r="AE116" s="1189"/>
      <c r="AF116" s="1189"/>
      <c r="AG116" s="1189"/>
      <c r="AH116" s="1189"/>
      <c r="AI116" s="1189"/>
    </row>
    <row r="117">
      <c r="A117" s="1202"/>
      <c r="B117" s="1203"/>
      <c r="C117" s="1189"/>
      <c r="D117" s="1189"/>
      <c r="E117" s="1189"/>
      <c r="F117" s="1189"/>
      <c r="G117" s="1189"/>
      <c r="H117" s="1189"/>
      <c r="I117" s="1189"/>
      <c r="J117" s="1189"/>
      <c r="K117" s="1189"/>
      <c r="L117" s="1189"/>
      <c r="M117" s="1189"/>
      <c r="N117" s="1189"/>
      <c r="O117" s="1189"/>
      <c r="P117" s="1189"/>
      <c r="Q117" s="1189"/>
      <c r="R117" s="1189"/>
      <c r="S117" s="1189"/>
      <c r="T117" s="1189"/>
      <c r="U117" s="1189"/>
      <c r="V117" s="1189"/>
      <c r="W117" s="1189"/>
      <c r="X117" s="1189"/>
      <c r="Y117" s="1189"/>
      <c r="Z117" s="1189"/>
      <c r="AA117" s="1189"/>
      <c r="AB117" s="1189"/>
      <c r="AC117" s="1189"/>
      <c r="AD117" s="1189"/>
      <c r="AE117" s="1189"/>
      <c r="AF117" s="1189"/>
      <c r="AG117" s="1189"/>
      <c r="AH117" s="1189"/>
      <c r="AI117" s="1189"/>
    </row>
    <row r="118">
      <c r="A118" s="1202"/>
      <c r="B118" s="1203"/>
      <c r="C118" s="1189"/>
      <c r="D118" s="1189"/>
      <c r="E118" s="1189"/>
      <c r="F118" s="1189"/>
      <c r="G118" s="1189"/>
      <c r="H118" s="1189"/>
      <c r="I118" s="1189"/>
      <c r="J118" s="1189"/>
      <c r="K118" s="1189"/>
      <c r="L118" s="1189"/>
      <c r="M118" s="1189"/>
      <c r="N118" s="1189"/>
      <c r="O118" s="1189"/>
      <c r="P118" s="1189"/>
      <c r="Q118" s="1189"/>
      <c r="R118" s="1189"/>
      <c r="S118" s="1189"/>
      <c r="T118" s="1189"/>
      <c r="U118" s="1189"/>
      <c r="V118" s="1189"/>
      <c r="W118" s="1189"/>
      <c r="X118" s="1189"/>
      <c r="Y118" s="1189"/>
      <c r="Z118" s="1189"/>
      <c r="AA118" s="1189"/>
      <c r="AB118" s="1189"/>
      <c r="AC118" s="1189"/>
      <c r="AD118" s="1189"/>
      <c r="AE118" s="1189"/>
      <c r="AF118" s="1189"/>
      <c r="AG118" s="1189"/>
      <c r="AH118" s="1189"/>
      <c r="AI118" s="1189"/>
    </row>
    <row r="119">
      <c r="A119" s="1202"/>
      <c r="B119" s="1203"/>
      <c r="C119" s="1189"/>
      <c r="D119" s="1189"/>
      <c r="E119" s="1189"/>
      <c r="F119" s="1189"/>
      <c r="G119" s="1189"/>
      <c r="H119" s="1189"/>
      <c r="I119" s="1189"/>
      <c r="J119" s="1189"/>
      <c r="K119" s="1189"/>
      <c r="L119" s="1189"/>
      <c r="M119" s="1189"/>
      <c r="N119" s="1189"/>
      <c r="O119" s="1189"/>
      <c r="P119" s="1189"/>
      <c r="Q119" s="1189"/>
      <c r="R119" s="1189"/>
      <c r="S119" s="1189"/>
      <c r="T119" s="1189"/>
      <c r="U119" s="1189"/>
      <c r="V119" s="1189"/>
      <c r="W119" s="1189"/>
      <c r="X119" s="1189"/>
      <c r="Y119" s="1189"/>
      <c r="Z119" s="1189"/>
      <c r="AA119" s="1189"/>
      <c r="AB119" s="1189"/>
      <c r="AC119" s="1189"/>
      <c r="AD119" s="1189"/>
      <c r="AE119" s="1189"/>
      <c r="AF119" s="1189"/>
      <c r="AG119" s="1189"/>
      <c r="AH119" s="1189"/>
      <c r="AI119" s="1189"/>
    </row>
    <row r="120">
      <c r="A120" s="1202"/>
      <c r="B120" s="1203"/>
      <c r="C120" s="1189"/>
      <c r="D120" s="1189"/>
      <c r="E120" s="1189"/>
      <c r="F120" s="1189"/>
      <c r="G120" s="1189"/>
      <c r="H120" s="1189"/>
      <c r="I120" s="1189"/>
      <c r="J120" s="1189"/>
      <c r="K120" s="1189"/>
      <c r="L120" s="1189"/>
      <c r="M120" s="1189"/>
      <c r="N120" s="1189"/>
      <c r="O120" s="1189"/>
      <c r="P120" s="1189"/>
      <c r="Q120" s="1189"/>
      <c r="R120" s="1189"/>
      <c r="S120" s="1189"/>
      <c r="T120" s="1189"/>
      <c r="U120" s="1189"/>
      <c r="V120" s="1189"/>
      <c r="W120" s="1189"/>
      <c r="X120" s="1189"/>
      <c r="Y120" s="1189"/>
      <c r="Z120" s="1189"/>
      <c r="AA120" s="1189"/>
      <c r="AB120" s="1189"/>
      <c r="AC120" s="1189"/>
      <c r="AD120" s="1189"/>
      <c r="AE120" s="1189"/>
      <c r="AF120" s="1189"/>
      <c r="AG120" s="1189"/>
      <c r="AH120" s="1189"/>
      <c r="AI120" s="1189"/>
    </row>
    <row r="121">
      <c r="A121" s="1202"/>
      <c r="B121" s="1203"/>
      <c r="C121" s="1189"/>
      <c r="D121" s="1189"/>
      <c r="E121" s="1189"/>
      <c r="F121" s="1189"/>
      <c r="G121" s="1189"/>
      <c r="H121" s="1189"/>
      <c r="I121" s="1189"/>
      <c r="J121" s="1189"/>
      <c r="K121" s="1189"/>
      <c r="L121" s="1189"/>
      <c r="M121" s="1189"/>
      <c r="N121" s="1189"/>
      <c r="O121" s="1189"/>
      <c r="P121" s="1189"/>
      <c r="Q121" s="1189"/>
      <c r="R121" s="1189"/>
      <c r="S121" s="1189"/>
      <c r="T121" s="1189"/>
      <c r="U121" s="1189"/>
      <c r="V121" s="1189"/>
      <c r="W121" s="1189"/>
      <c r="X121" s="1189"/>
      <c r="Y121" s="1189"/>
      <c r="Z121" s="1189"/>
      <c r="AA121" s="1189"/>
      <c r="AB121" s="1189"/>
      <c r="AC121" s="1189"/>
      <c r="AD121" s="1189"/>
      <c r="AE121" s="1189"/>
      <c r="AF121" s="1189"/>
      <c r="AG121" s="1189"/>
      <c r="AH121" s="1189"/>
      <c r="AI121" s="1189"/>
    </row>
    <row r="122">
      <c r="A122" s="1202"/>
      <c r="B122" s="1203"/>
      <c r="C122" s="1189"/>
      <c r="D122" s="1189"/>
      <c r="E122" s="1189"/>
      <c r="F122" s="1189"/>
      <c r="G122" s="1189"/>
      <c r="H122" s="1189"/>
      <c r="I122" s="1189"/>
      <c r="J122" s="1189"/>
      <c r="K122" s="1189"/>
      <c r="L122" s="1189"/>
      <c r="M122" s="1189"/>
      <c r="N122" s="1189"/>
      <c r="O122" s="1189"/>
      <c r="P122" s="1189"/>
      <c r="Q122" s="1189"/>
      <c r="R122" s="1189"/>
      <c r="S122" s="1189"/>
      <c r="T122" s="1189"/>
      <c r="U122" s="1189"/>
      <c r="V122" s="1189"/>
      <c r="W122" s="1189"/>
      <c r="X122" s="1189"/>
      <c r="Y122" s="1189"/>
      <c r="Z122" s="1189"/>
      <c r="AA122" s="1189"/>
      <c r="AB122" s="1189"/>
      <c r="AC122" s="1189"/>
      <c r="AD122" s="1189"/>
      <c r="AE122" s="1189"/>
      <c r="AF122" s="1189"/>
      <c r="AG122" s="1189"/>
      <c r="AH122" s="1189"/>
      <c r="AI122" s="1189"/>
    </row>
    <row r="123">
      <c r="A123" s="1202"/>
      <c r="B123" s="1203"/>
      <c r="C123" s="1189"/>
      <c r="D123" s="1189"/>
      <c r="E123" s="1189"/>
      <c r="F123" s="1189"/>
      <c r="G123" s="1189"/>
      <c r="H123" s="1189"/>
      <c r="I123" s="1189"/>
      <c r="J123" s="1189"/>
      <c r="K123" s="1189"/>
      <c r="L123" s="1189"/>
      <c r="M123" s="1189"/>
      <c r="N123" s="1189"/>
      <c r="O123" s="1189"/>
      <c r="P123" s="1189"/>
      <c r="Q123" s="1189"/>
      <c r="R123" s="1189"/>
      <c r="S123" s="1189"/>
      <c r="T123" s="1189"/>
      <c r="U123" s="1189"/>
      <c r="V123" s="1189"/>
      <c r="W123" s="1189"/>
      <c r="X123" s="1189"/>
      <c r="Y123" s="1189"/>
      <c r="Z123" s="1189"/>
      <c r="AA123" s="1189"/>
      <c r="AB123" s="1189"/>
      <c r="AC123" s="1189"/>
      <c r="AD123" s="1189"/>
      <c r="AE123" s="1189"/>
      <c r="AF123" s="1189"/>
      <c r="AG123" s="1189"/>
      <c r="AH123" s="1189"/>
      <c r="AI123" s="1189"/>
    </row>
    <row r="124">
      <c r="A124" s="1202"/>
      <c r="B124" s="1203"/>
      <c r="C124" s="1189"/>
      <c r="D124" s="1189"/>
      <c r="E124" s="1189"/>
      <c r="F124" s="1189"/>
      <c r="G124" s="1189"/>
      <c r="H124" s="1189"/>
      <c r="I124" s="1189"/>
      <c r="J124" s="1189"/>
      <c r="K124" s="1189"/>
      <c r="L124" s="1189"/>
      <c r="M124" s="1189"/>
      <c r="N124" s="1189"/>
      <c r="O124" s="1189"/>
      <c r="P124" s="1189"/>
      <c r="Q124" s="1189"/>
      <c r="R124" s="1189"/>
      <c r="S124" s="1189"/>
      <c r="T124" s="1189"/>
      <c r="U124" s="1189"/>
      <c r="V124" s="1189"/>
      <c r="W124" s="1189"/>
      <c r="X124" s="1189"/>
      <c r="Y124" s="1189"/>
      <c r="Z124" s="1189"/>
      <c r="AA124" s="1189"/>
      <c r="AB124" s="1189"/>
      <c r="AC124" s="1189"/>
      <c r="AD124" s="1189"/>
      <c r="AE124" s="1189"/>
      <c r="AF124" s="1189"/>
      <c r="AG124" s="1189"/>
      <c r="AH124" s="1189"/>
      <c r="AI124" s="1189"/>
    </row>
    <row r="125">
      <c r="A125" s="1202"/>
      <c r="B125" s="1203"/>
      <c r="C125" s="1189"/>
      <c r="D125" s="1189"/>
      <c r="E125" s="1189"/>
      <c r="F125" s="1189"/>
      <c r="G125" s="1189"/>
      <c r="H125" s="1189"/>
      <c r="I125" s="1189"/>
      <c r="J125" s="1189"/>
      <c r="K125" s="1189"/>
      <c r="L125" s="1189"/>
      <c r="M125" s="1189"/>
      <c r="N125" s="1189"/>
      <c r="O125" s="1189"/>
      <c r="P125" s="1189"/>
      <c r="Q125" s="1189"/>
      <c r="R125" s="1189"/>
      <c r="S125" s="1189"/>
      <c r="T125" s="1189"/>
      <c r="U125" s="1189"/>
      <c r="V125" s="1189"/>
      <c r="W125" s="1189"/>
      <c r="X125" s="1189"/>
      <c r="Y125" s="1189"/>
      <c r="Z125" s="1189"/>
      <c r="AA125" s="1189"/>
      <c r="AB125" s="1189"/>
      <c r="AC125" s="1189"/>
      <c r="AD125" s="1189"/>
      <c r="AE125" s="1189"/>
      <c r="AF125" s="1189"/>
      <c r="AG125" s="1189"/>
      <c r="AH125" s="1189"/>
      <c r="AI125" s="1189"/>
    </row>
    <row r="126">
      <c r="A126" s="1202"/>
      <c r="B126" s="1203"/>
      <c r="C126" s="1189"/>
      <c r="D126" s="1189"/>
      <c r="E126" s="1189"/>
      <c r="F126" s="1189"/>
      <c r="G126" s="1189"/>
      <c r="H126" s="1189"/>
      <c r="I126" s="1189"/>
      <c r="J126" s="1189"/>
      <c r="K126" s="1189"/>
      <c r="L126" s="1189"/>
      <c r="M126" s="1189"/>
      <c r="N126" s="1189"/>
      <c r="O126" s="1189"/>
      <c r="P126" s="1189"/>
      <c r="Q126" s="1189"/>
      <c r="R126" s="1189"/>
      <c r="S126" s="1189"/>
      <c r="T126" s="1189"/>
      <c r="U126" s="1189"/>
      <c r="V126" s="1189"/>
      <c r="W126" s="1189"/>
      <c r="X126" s="1189"/>
      <c r="Y126" s="1189"/>
      <c r="Z126" s="1189"/>
      <c r="AA126" s="1189"/>
      <c r="AB126" s="1189"/>
      <c r="AC126" s="1189"/>
      <c r="AD126" s="1189"/>
      <c r="AE126" s="1189"/>
      <c r="AF126" s="1189"/>
      <c r="AG126" s="1189"/>
      <c r="AH126" s="1189"/>
      <c r="AI126" s="1189"/>
    </row>
    <row r="127">
      <c r="A127" s="1202"/>
      <c r="B127" s="1203"/>
      <c r="C127" s="1189"/>
      <c r="D127" s="1189"/>
      <c r="E127" s="1189"/>
      <c r="F127" s="1189"/>
      <c r="G127" s="1189"/>
      <c r="H127" s="1189"/>
      <c r="I127" s="1189"/>
      <c r="J127" s="1189"/>
      <c r="K127" s="1189"/>
      <c r="L127" s="1189"/>
      <c r="M127" s="1189"/>
      <c r="N127" s="1189"/>
      <c r="O127" s="1189"/>
      <c r="P127" s="1189"/>
      <c r="Q127" s="1189"/>
      <c r="R127" s="1189"/>
      <c r="S127" s="1189"/>
      <c r="T127" s="1189"/>
      <c r="U127" s="1189"/>
      <c r="V127" s="1189"/>
      <c r="W127" s="1189"/>
      <c r="X127" s="1189"/>
      <c r="Y127" s="1189"/>
      <c r="Z127" s="1189"/>
      <c r="AA127" s="1189"/>
      <c r="AB127" s="1189"/>
      <c r="AC127" s="1189"/>
      <c r="AD127" s="1189"/>
      <c r="AE127" s="1189"/>
      <c r="AF127" s="1189"/>
      <c r="AG127" s="1189"/>
      <c r="AH127" s="1189"/>
      <c r="AI127" s="1189"/>
    </row>
    <row r="128">
      <c r="A128" s="1202"/>
      <c r="B128" s="1203"/>
      <c r="C128" s="1189"/>
      <c r="D128" s="1189"/>
      <c r="E128" s="1189"/>
      <c r="F128" s="1189"/>
      <c r="G128" s="1189"/>
      <c r="H128" s="1189"/>
      <c r="I128" s="1189"/>
      <c r="J128" s="1189"/>
      <c r="K128" s="1189"/>
      <c r="L128" s="1189"/>
      <c r="M128" s="1189"/>
      <c r="N128" s="1189"/>
      <c r="O128" s="1189"/>
      <c r="P128" s="1189"/>
      <c r="Q128" s="1189"/>
      <c r="R128" s="1189"/>
      <c r="S128" s="1189"/>
      <c r="T128" s="1189"/>
      <c r="U128" s="1189"/>
      <c r="V128" s="1189"/>
      <c r="W128" s="1189"/>
      <c r="X128" s="1189"/>
      <c r="Y128" s="1189"/>
      <c r="Z128" s="1189"/>
      <c r="AA128" s="1189"/>
      <c r="AB128" s="1189"/>
      <c r="AC128" s="1189"/>
      <c r="AD128" s="1189"/>
      <c r="AE128" s="1189"/>
      <c r="AF128" s="1189"/>
      <c r="AG128" s="1189"/>
      <c r="AH128" s="1189"/>
      <c r="AI128" s="1189"/>
    </row>
    <row r="129">
      <c r="A129" s="1202"/>
      <c r="B129" s="1203"/>
      <c r="C129" s="1189"/>
      <c r="D129" s="1189"/>
      <c r="E129" s="1189"/>
      <c r="F129" s="1189"/>
      <c r="G129" s="1189"/>
      <c r="H129" s="1189"/>
      <c r="I129" s="1189"/>
      <c r="J129" s="1189"/>
      <c r="K129" s="1189"/>
      <c r="L129" s="1189"/>
      <c r="M129" s="1189"/>
      <c r="N129" s="1189"/>
      <c r="O129" s="1189"/>
      <c r="P129" s="1189"/>
      <c r="Q129" s="1189"/>
      <c r="R129" s="1189"/>
      <c r="S129" s="1189"/>
      <c r="T129" s="1189"/>
      <c r="U129" s="1189"/>
      <c r="V129" s="1189"/>
      <c r="W129" s="1189"/>
      <c r="X129" s="1189"/>
      <c r="Y129" s="1189"/>
      <c r="Z129" s="1189"/>
      <c r="AA129" s="1189"/>
      <c r="AB129" s="1189"/>
      <c r="AC129" s="1189"/>
      <c r="AD129" s="1189"/>
      <c r="AE129" s="1189"/>
      <c r="AF129" s="1189"/>
      <c r="AG129" s="1189"/>
      <c r="AH129" s="1189"/>
      <c r="AI129" s="1189"/>
    </row>
    <row r="130">
      <c r="A130" s="1202"/>
      <c r="B130" s="1203"/>
      <c r="C130" s="1189"/>
      <c r="D130" s="1189"/>
      <c r="E130" s="1189"/>
      <c r="F130" s="1189"/>
      <c r="G130" s="1189"/>
      <c r="H130" s="1189"/>
      <c r="I130" s="1189"/>
      <c r="J130" s="1189"/>
      <c r="K130" s="1189"/>
      <c r="L130" s="1189"/>
      <c r="M130" s="1189"/>
      <c r="N130" s="1189"/>
      <c r="O130" s="1189"/>
      <c r="P130" s="1189"/>
      <c r="Q130" s="1189"/>
      <c r="R130" s="1189"/>
      <c r="S130" s="1189"/>
      <c r="T130" s="1189"/>
      <c r="U130" s="1189"/>
      <c r="V130" s="1189"/>
      <c r="W130" s="1189"/>
      <c r="X130" s="1189"/>
      <c r="Y130" s="1189"/>
      <c r="Z130" s="1189"/>
      <c r="AA130" s="1189"/>
      <c r="AB130" s="1189"/>
      <c r="AC130" s="1189"/>
      <c r="AD130" s="1189"/>
      <c r="AE130" s="1189"/>
      <c r="AF130" s="1189"/>
      <c r="AG130" s="1189"/>
      <c r="AH130" s="1189"/>
      <c r="AI130" s="1189"/>
    </row>
    <row r="131">
      <c r="A131" s="1202"/>
      <c r="B131" s="1203"/>
      <c r="C131" s="1189"/>
      <c r="D131" s="1189"/>
      <c r="E131" s="1189"/>
      <c r="F131" s="1189"/>
      <c r="G131" s="1189"/>
      <c r="H131" s="1189"/>
      <c r="I131" s="1189"/>
      <c r="J131" s="1189"/>
      <c r="K131" s="1189"/>
      <c r="L131" s="1189"/>
      <c r="M131" s="1189"/>
      <c r="N131" s="1189"/>
      <c r="O131" s="1189"/>
      <c r="P131" s="1189"/>
      <c r="Q131" s="1189"/>
      <c r="R131" s="1189"/>
      <c r="S131" s="1189"/>
      <c r="T131" s="1189"/>
      <c r="U131" s="1189"/>
      <c r="V131" s="1189"/>
      <c r="W131" s="1189"/>
      <c r="X131" s="1189"/>
      <c r="Y131" s="1189"/>
      <c r="Z131" s="1189"/>
      <c r="AA131" s="1189"/>
      <c r="AB131" s="1189"/>
      <c r="AC131" s="1189"/>
      <c r="AD131" s="1189"/>
      <c r="AE131" s="1189"/>
      <c r="AF131" s="1189"/>
      <c r="AG131" s="1189"/>
      <c r="AH131" s="1189"/>
      <c r="AI131" s="1189"/>
    </row>
    <row r="132">
      <c r="A132" s="1202"/>
      <c r="B132" s="1203"/>
      <c r="C132" s="1189"/>
      <c r="D132" s="1189"/>
      <c r="E132" s="1189"/>
      <c r="F132" s="1189"/>
      <c r="G132" s="1189"/>
      <c r="H132" s="1189"/>
      <c r="I132" s="1189"/>
      <c r="J132" s="1189"/>
      <c r="K132" s="1189"/>
      <c r="L132" s="1189"/>
      <c r="M132" s="1189"/>
      <c r="N132" s="1189"/>
      <c r="O132" s="1189"/>
      <c r="P132" s="1189"/>
      <c r="Q132" s="1189"/>
      <c r="R132" s="1189"/>
      <c r="S132" s="1189"/>
      <c r="T132" s="1189"/>
      <c r="U132" s="1189"/>
      <c r="V132" s="1189"/>
      <c r="W132" s="1189"/>
      <c r="X132" s="1189"/>
      <c r="Y132" s="1189"/>
      <c r="Z132" s="1189"/>
      <c r="AA132" s="1189"/>
      <c r="AB132" s="1189"/>
      <c r="AC132" s="1189"/>
      <c r="AD132" s="1189"/>
      <c r="AE132" s="1189"/>
      <c r="AF132" s="1189"/>
      <c r="AG132" s="1189"/>
      <c r="AH132" s="1189"/>
      <c r="AI132" s="1189"/>
    </row>
    <row r="133">
      <c r="A133" s="1202"/>
      <c r="B133" s="1203"/>
      <c r="C133" s="1189"/>
      <c r="D133" s="1189"/>
      <c r="E133" s="1189"/>
      <c r="F133" s="1189"/>
      <c r="G133" s="1189"/>
      <c r="H133" s="1189"/>
      <c r="I133" s="1189"/>
      <c r="J133" s="1189"/>
      <c r="K133" s="1189"/>
      <c r="L133" s="1189"/>
      <c r="M133" s="1189"/>
      <c r="N133" s="1189"/>
      <c r="O133" s="1189"/>
      <c r="P133" s="1189"/>
      <c r="Q133" s="1189"/>
      <c r="R133" s="1189"/>
      <c r="S133" s="1189"/>
      <c r="T133" s="1189"/>
      <c r="U133" s="1189"/>
      <c r="V133" s="1189"/>
      <c r="W133" s="1189"/>
      <c r="X133" s="1189"/>
      <c r="Y133" s="1189"/>
      <c r="Z133" s="1189"/>
      <c r="AA133" s="1189"/>
      <c r="AB133" s="1189"/>
      <c r="AC133" s="1189"/>
      <c r="AD133" s="1189"/>
      <c r="AE133" s="1189"/>
      <c r="AF133" s="1189"/>
      <c r="AG133" s="1189"/>
      <c r="AH133" s="1189"/>
      <c r="AI133" s="1189"/>
    </row>
    <row r="134">
      <c r="A134" s="1202"/>
      <c r="B134" s="1203"/>
      <c r="C134" s="1189"/>
      <c r="D134" s="1189"/>
      <c r="E134" s="1189"/>
      <c r="F134" s="1189"/>
      <c r="G134" s="1189"/>
      <c r="H134" s="1189"/>
      <c r="I134" s="1189"/>
      <c r="J134" s="1189"/>
      <c r="K134" s="1189"/>
      <c r="L134" s="1189"/>
      <c r="M134" s="1189"/>
      <c r="N134" s="1189"/>
      <c r="O134" s="1189"/>
      <c r="P134" s="1189"/>
      <c r="Q134" s="1189"/>
      <c r="R134" s="1189"/>
      <c r="S134" s="1189"/>
      <c r="T134" s="1189"/>
      <c r="U134" s="1189"/>
      <c r="V134" s="1189"/>
      <c r="W134" s="1189"/>
      <c r="X134" s="1189"/>
      <c r="Y134" s="1189"/>
      <c r="Z134" s="1189"/>
      <c r="AA134" s="1189"/>
      <c r="AB134" s="1189"/>
      <c r="AC134" s="1189"/>
      <c r="AD134" s="1189"/>
      <c r="AE134" s="1189"/>
      <c r="AF134" s="1189"/>
      <c r="AG134" s="1189"/>
      <c r="AH134" s="1189"/>
      <c r="AI134" s="1189"/>
    </row>
    <row r="135">
      <c r="A135" s="1202"/>
      <c r="B135" s="1203"/>
      <c r="C135" s="1189"/>
      <c r="D135" s="1189"/>
      <c r="E135" s="1189"/>
      <c r="F135" s="1189"/>
      <c r="G135" s="1189"/>
      <c r="H135" s="1189"/>
      <c r="I135" s="1189"/>
      <c r="J135" s="1189"/>
      <c r="K135" s="1189"/>
      <c r="L135" s="1189"/>
      <c r="M135" s="1189"/>
      <c r="N135" s="1189"/>
      <c r="O135" s="1189"/>
      <c r="P135" s="1189"/>
      <c r="Q135" s="1189"/>
      <c r="R135" s="1189"/>
      <c r="S135" s="1189"/>
      <c r="T135" s="1189"/>
      <c r="U135" s="1189"/>
      <c r="V135" s="1189"/>
      <c r="W135" s="1189"/>
      <c r="X135" s="1189"/>
      <c r="Y135" s="1189"/>
      <c r="Z135" s="1189"/>
      <c r="AA135" s="1189"/>
      <c r="AB135" s="1189"/>
      <c r="AC135" s="1189"/>
      <c r="AD135" s="1189"/>
      <c r="AE135" s="1189"/>
      <c r="AF135" s="1189"/>
      <c r="AG135" s="1189"/>
      <c r="AH135" s="1189"/>
      <c r="AI135" s="1189"/>
    </row>
    <row r="136">
      <c r="A136" s="1202"/>
      <c r="B136" s="1203"/>
      <c r="C136" s="1189"/>
      <c r="D136" s="1189"/>
      <c r="E136" s="1189"/>
      <c r="F136" s="1189"/>
      <c r="G136" s="1189"/>
      <c r="H136" s="1189"/>
      <c r="I136" s="1189"/>
      <c r="J136" s="1189"/>
      <c r="K136" s="1189"/>
      <c r="L136" s="1189"/>
      <c r="M136" s="1189"/>
      <c r="N136" s="1189"/>
      <c r="O136" s="1189"/>
      <c r="P136" s="1189"/>
      <c r="Q136" s="1189"/>
      <c r="R136" s="1189"/>
      <c r="S136" s="1189"/>
      <c r="T136" s="1189"/>
      <c r="U136" s="1189"/>
      <c r="V136" s="1189"/>
      <c r="W136" s="1189"/>
      <c r="X136" s="1189"/>
      <c r="Y136" s="1189"/>
      <c r="Z136" s="1189"/>
      <c r="AA136" s="1189"/>
      <c r="AB136" s="1189"/>
      <c r="AC136" s="1189"/>
      <c r="AD136" s="1189"/>
      <c r="AE136" s="1189"/>
      <c r="AF136" s="1189"/>
      <c r="AG136" s="1189"/>
      <c r="AH136" s="1189"/>
      <c r="AI136" s="1189"/>
    </row>
    <row r="137">
      <c r="A137" s="1202"/>
      <c r="B137" s="1203"/>
      <c r="C137" s="1189"/>
      <c r="D137" s="1189"/>
      <c r="E137" s="1189"/>
      <c r="F137" s="1189"/>
      <c r="G137" s="1189"/>
      <c r="H137" s="1189"/>
      <c r="I137" s="1189"/>
      <c r="J137" s="1189"/>
      <c r="K137" s="1189"/>
      <c r="L137" s="1189"/>
      <c r="M137" s="1189"/>
      <c r="N137" s="1189"/>
      <c r="O137" s="1189"/>
      <c r="P137" s="1189"/>
      <c r="Q137" s="1189"/>
      <c r="R137" s="1189"/>
      <c r="S137" s="1189"/>
      <c r="T137" s="1189"/>
      <c r="U137" s="1189"/>
      <c r="V137" s="1189"/>
      <c r="W137" s="1189"/>
      <c r="X137" s="1189"/>
      <c r="Y137" s="1189"/>
      <c r="Z137" s="1189"/>
      <c r="AA137" s="1189"/>
      <c r="AB137" s="1189"/>
      <c r="AC137" s="1189"/>
      <c r="AD137" s="1189"/>
      <c r="AE137" s="1189"/>
      <c r="AF137" s="1189"/>
      <c r="AG137" s="1189"/>
      <c r="AH137" s="1189"/>
      <c r="AI137" s="1189"/>
    </row>
    <row r="138">
      <c r="A138" s="1202"/>
      <c r="B138" s="1203"/>
      <c r="C138" s="1189"/>
      <c r="D138" s="1189"/>
      <c r="E138" s="1189"/>
      <c r="F138" s="1189"/>
      <c r="G138" s="1189"/>
      <c r="H138" s="1189"/>
      <c r="I138" s="1189"/>
      <c r="J138" s="1189"/>
      <c r="K138" s="1189"/>
      <c r="L138" s="1189"/>
      <c r="M138" s="1189"/>
      <c r="N138" s="1189"/>
      <c r="O138" s="1189"/>
      <c r="P138" s="1189"/>
      <c r="Q138" s="1189"/>
      <c r="R138" s="1189"/>
      <c r="S138" s="1189"/>
      <c r="T138" s="1189"/>
      <c r="U138" s="1189"/>
      <c r="V138" s="1189"/>
      <c r="W138" s="1189"/>
      <c r="X138" s="1189"/>
      <c r="Y138" s="1189"/>
      <c r="Z138" s="1189"/>
      <c r="AA138" s="1189"/>
      <c r="AB138" s="1189"/>
      <c r="AC138" s="1189"/>
      <c r="AD138" s="1189"/>
      <c r="AE138" s="1189"/>
      <c r="AF138" s="1189"/>
      <c r="AG138" s="1189"/>
      <c r="AH138" s="1189"/>
      <c r="AI138" s="1189"/>
    </row>
    <row r="139">
      <c r="A139" s="1202"/>
      <c r="B139" s="1203"/>
      <c r="C139" s="1189"/>
      <c r="D139" s="1189"/>
      <c r="E139" s="1189"/>
      <c r="F139" s="1189"/>
      <c r="G139" s="1189"/>
      <c r="H139" s="1189"/>
      <c r="I139" s="1189"/>
      <c r="J139" s="1189"/>
      <c r="K139" s="1189"/>
      <c r="L139" s="1189"/>
      <c r="M139" s="1189"/>
      <c r="N139" s="1189"/>
      <c r="O139" s="1189"/>
      <c r="P139" s="1189"/>
      <c r="Q139" s="1189"/>
      <c r="R139" s="1189"/>
      <c r="S139" s="1189"/>
      <c r="T139" s="1189"/>
      <c r="U139" s="1189"/>
      <c r="V139" s="1189"/>
      <c r="W139" s="1189"/>
      <c r="X139" s="1189"/>
      <c r="Y139" s="1189"/>
      <c r="Z139" s="1189"/>
      <c r="AA139" s="1189"/>
      <c r="AB139" s="1189"/>
      <c r="AC139" s="1189"/>
      <c r="AD139" s="1189"/>
      <c r="AE139" s="1189"/>
      <c r="AF139" s="1189"/>
      <c r="AG139" s="1189"/>
      <c r="AH139" s="1189"/>
      <c r="AI139" s="1189"/>
    </row>
    <row r="140">
      <c r="A140" s="1202"/>
      <c r="B140" s="1203"/>
      <c r="C140" s="1189"/>
      <c r="D140" s="1189"/>
      <c r="E140" s="1189"/>
      <c r="F140" s="1189"/>
      <c r="G140" s="1189"/>
      <c r="H140" s="1189"/>
      <c r="I140" s="1189"/>
      <c r="J140" s="1189"/>
      <c r="K140" s="1189"/>
      <c r="L140" s="1189"/>
      <c r="M140" s="1189"/>
      <c r="N140" s="1189"/>
      <c r="O140" s="1189"/>
      <c r="P140" s="1189"/>
      <c r="Q140" s="1189"/>
      <c r="R140" s="1189"/>
      <c r="S140" s="1189"/>
      <c r="T140" s="1189"/>
      <c r="U140" s="1189"/>
      <c r="V140" s="1189"/>
      <c r="W140" s="1189"/>
      <c r="X140" s="1189"/>
      <c r="Y140" s="1189"/>
      <c r="Z140" s="1189"/>
      <c r="AA140" s="1189"/>
      <c r="AB140" s="1189"/>
      <c r="AC140" s="1189"/>
      <c r="AD140" s="1189"/>
      <c r="AE140" s="1189"/>
      <c r="AF140" s="1189"/>
      <c r="AG140" s="1189"/>
      <c r="AH140" s="1189"/>
      <c r="AI140" s="1189"/>
    </row>
    <row r="141">
      <c r="A141" s="1202"/>
      <c r="B141" s="1203"/>
      <c r="C141" s="1189"/>
      <c r="D141" s="1189"/>
      <c r="E141" s="1189"/>
      <c r="F141" s="1189"/>
      <c r="G141" s="1189"/>
      <c r="H141" s="1189"/>
      <c r="I141" s="1189"/>
      <c r="J141" s="1189"/>
      <c r="K141" s="1189"/>
      <c r="L141" s="1189"/>
      <c r="M141" s="1189"/>
      <c r="N141" s="1189"/>
      <c r="O141" s="1189"/>
      <c r="P141" s="1189"/>
      <c r="Q141" s="1189"/>
      <c r="R141" s="1189"/>
      <c r="S141" s="1189"/>
      <c r="T141" s="1189"/>
      <c r="U141" s="1189"/>
      <c r="V141" s="1189"/>
      <c r="W141" s="1189"/>
      <c r="X141" s="1189"/>
      <c r="Y141" s="1189"/>
      <c r="Z141" s="1189"/>
      <c r="AA141" s="1189"/>
      <c r="AB141" s="1189"/>
      <c r="AC141" s="1189"/>
      <c r="AD141" s="1189"/>
      <c r="AE141" s="1189"/>
      <c r="AF141" s="1189"/>
      <c r="AG141" s="1189"/>
      <c r="AH141" s="1189"/>
      <c r="AI141" s="1189"/>
    </row>
    <row r="142">
      <c r="A142" s="1202"/>
      <c r="B142" s="1203"/>
      <c r="C142" s="1189"/>
      <c r="D142" s="1189"/>
      <c r="E142" s="1189"/>
      <c r="F142" s="1189"/>
      <c r="G142" s="1189"/>
      <c r="H142" s="1189"/>
      <c r="I142" s="1189"/>
      <c r="J142" s="1189"/>
      <c r="K142" s="1189"/>
      <c r="L142" s="1189"/>
      <c r="M142" s="1189"/>
      <c r="N142" s="1189"/>
      <c r="O142" s="1189"/>
      <c r="P142" s="1189"/>
      <c r="Q142" s="1189"/>
      <c r="R142" s="1189"/>
      <c r="S142" s="1189"/>
      <c r="T142" s="1189"/>
      <c r="U142" s="1189"/>
      <c r="V142" s="1189"/>
      <c r="W142" s="1189"/>
      <c r="X142" s="1189"/>
      <c r="Y142" s="1189"/>
      <c r="Z142" s="1189"/>
      <c r="AA142" s="1189"/>
      <c r="AB142" s="1189"/>
      <c r="AC142" s="1189"/>
      <c r="AD142" s="1189"/>
      <c r="AE142" s="1189"/>
      <c r="AF142" s="1189"/>
      <c r="AG142" s="1189"/>
      <c r="AH142" s="1189"/>
      <c r="AI142" s="1189"/>
    </row>
    <row r="143">
      <c r="A143" s="1202"/>
      <c r="B143" s="1203"/>
      <c r="C143" s="1189"/>
      <c r="D143" s="1189"/>
      <c r="E143" s="1189"/>
      <c r="F143" s="1189"/>
      <c r="G143" s="1189"/>
      <c r="H143" s="1189"/>
      <c r="I143" s="1189"/>
      <c r="J143" s="1189"/>
      <c r="K143" s="1189"/>
      <c r="L143" s="1189"/>
      <c r="M143" s="1189"/>
      <c r="N143" s="1189"/>
      <c r="O143" s="1189"/>
      <c r="P143" s="1189"/>
      <c r="Q143" s="1189"/>
      <c r="R143" s="1189"/>
      <c r="S143" s="1189"/>
      <c r="T143" s="1189"/>
      <c r="U143" s="1189"/>
      <c r="V143" s="1189"/>
      <c r="W143" s="1189"/>
      <c r="X143" s="1189"/>
      <c r="Y143" s="1189"/>
      <c r="Z143" s="1189"/>
      <c r="AA143" s="1189"/>
      <c r="AB143" s="1189"/>
      <c r="AC143" s="1189"/>
      <c r="AD143" s="1189"/>
      <c r="AE143" s="1189"/>
      <c r="AF143" s="1189"/>
      <c r="AG143" s="1189"/>
      <c r="AH143" s="1189"/>
      <c r="AI143" s="1189"/>
    </row>
    <row r="144">
      <c r="A144" s="1202"/>
      <c r="B144" s="1203"/>
      <c r="C144" s="1189"/>
      <c r="D144" s="1189"/>
      <c r="E144" s="1189"/>
      <c r="F144" s="1189"/>
      <c r="G144" s="1189"/>
      <c r="H144" s="1189"/>
      <c r="I144" s="1189"/>
      <c r="J144" s="1189"/>
      <c r="K144" s="1189"/>
      <c r="L144" s="1189"/>
      <c r="M144" s="1189"/>
      <c r="N144" s="1189"/>
      <c r="O144" s="1189"/>
      <c r="P144" s="1189"/>
      <c r="Q144" s="1189"/>
      <c r="R144" s="1189"/>
      <c r="S144" s="1189"/>
      <c r="T144" s="1189"/>
      <c r="U144" s="1189"/>
      <c r="V144" s="1189"/>
      <c r="W144" s="1189"/>
      <c r="X144" s="1189"/>
      <c r="Y144" s="1189"/>
      <c r="Z144" s="1189"/>
      <c r="AA144" s="1189"/>
      <c r="AB144" s="1189"/>
      <c r="AC144" s="1189"/>
      <c r="AD144" s="1189"/>
      <c r="AE144" s="1189"/>
      <c r="AF144" s="1189"/>
      <c r="AG144" s="1189"/>
      <c r="AH144" s="1189"/>
      <c r="AI144" s="1189"/>
    </row>
    <row r="145">
      <c r="A145" s="1202"/>
      <c r="B145" s="1203"/>
      <c r="C145" s="1189"/>
      <c r="D145" s="1189"/>
      <c r="E145" s="1189"/>
      <c r="F145" s="1189"/>
      <c r="G145" s="1189"/>
      <c r="H145" s="1189"/>
      <c r="I145" s="1189"/>
      <c r="J145" s="1189"/>
      <c r="K145" s="1189"/>
      <c r="L145" s="1189"/>
      <c r="M145" s="1189"/>
      <c r="N145" s="1189"/>
      <c r="O145" s="1189"/>
      <c r="P145" s="1189"/>
      <c r="Q145" s="1189"/>
      <c r="R145" s="1189"/>
      <c r="S145" s="1189"/>
      <c r="T145" s="1189"/>
      <c r="U145" s="1189"/>
      <c r="V145" s="1189"/>
      <c r="W145" s="1189"/>
      <c r="X145" s="1189"/>
      <c r="Y145" s="1189"/>
      <c r="Z145" s="1189"/>
      <c r="AA145" s="1189"/>
      <c r="AB145" s="1189"/>
      <c r="AC145" s="1189"/>
      <c r="AD145" s="1189"/>
      <c r="AE145" s="1189"/>
      <c r="AF145" s="1189"/>
      <c r="AG145" s="1189"/>
      <c r="AH145" s="1189"/>
      <c r="AI145" s="1189"/>
    </row>
    <row r="146">
      <c r="A146" s="1202"/>
      <c r="B146" s="1203"/>
      <c r="C146" s="1189"/>
      <c r="D146" s="1189"/>
      <c r="E146" s="1189"/>
      <c r="F146" s="1189"/>
      <c r="G146" s="1189"/>
      <c r="H146" s="1189"/>
      <c r="I146" s="1189"/>
      <c r="J146" s="1189"/>
      <c r="K146" s="1189"/>
      <c r="L146" s="1189"/>
      <c r="M146" s="1189"/>
      <c r="N146" s="1189"/>
      <c r="O146" s="1189"/>
      <c r="P146" s="1189"/>
      <c r="Q146" s="1189"/>
      <c r="R146" s="1189"/>
      <c r="S146" s="1189"/>
      <c r="T146" s="1189"/>
      <c r="U146" s="1189"/>
      <c r="V146" s="1189"/>
      <c r="W146" s="1189"/>
      <c r="X146" s="1189"/>
      <c r="Y146" s="1189"/>
      <c r="Z146" s="1189"/>
      <c r="AA146" s="1189"/>
      <c r="AB146" s="1189"/>
      <c r="AC146" s="1189"/>
      <c r="AD146" s="1189"/>
      <c r="AE146" s="1189"/>
      <c r="AF146" s="1189"/>
      <c r="AG146" s="1189"/>
      <c r="AH146" s="1189"/>
      <c r="AI146" s="1189"/>
    </row>
    <row r="147">
      <c r="A147" s="1202"/>
      <c r="B147" s="1203"/>
      <c r="C147" s="1189"/>
      <c r="D147" s="1189"/>
      <c r="E147" s="1189"/>
      <c r="F147" s="1189"/>
      <c r="G147" s="1189"/>
      <c r="H147" s="1189"/>
      <c r="I147" s="1189"/>
      <c r="J147" s="1189"/>
      <c r="K147" s="1189"/>
      <c r="L147" s="1189"/>
      <c r="M147" s="1189"/>
      <c r="N147" s="1189"/>
      <c r="O147" s="1189"/>
      <c r="P147" s="1189"/>
      <c r="Q147" s="1189"/>
      <c r="R147" s="1189"/>
      <c r="S147" s="1189"/>
      <c r="T147" s="1189"/>
      <c r="U147" s="1189"/>
      <c r="V147" s="1189"/>
      <c r="W147" s="1189"/>
      <c r="X147" s="1189"/>
      <c r="Y147" s="1189"/>
      <c r="Z147" s="1189"/>
      <c r="AA147" s="1189"/>
      <c r="AB147" s="1189"/>
      <c r="AC147" s="1189"/>
      <c r="AD147" s="1189"/>
      <c r="AE147" s="1189"/>
      <c r="AF147" s="1189"/>
      <c r="AG147" s="1189"/>
      <c r="AH147" s="1189"/>
      <c r="AI147" s="1189"/>
    </row>
    <row r="148">
      <c r="A148" s="1202"/>
      <c r="B148" s="1203"/>
      <c r="C148" s="1189"/>
      <c r="D148" s="1189"/>
      <c r="E148" s="1189"/>
      <c r="F148" s="1189"/>
      <c r="G148" s="1189"/>
      <c r="H148" s="1189"/>
      <c r="I148" s="1189"/>
      <c r="J148" s="1189"/>
      <c r="K148" s="1189"/>
      <c r="L148" s="1189"/>
      <c r="M148" s="1189"/>
      <c r="N148" s="1189"/>
      <c r="O148" s="1189"/>
      <c r="P148" s="1189"/>
      <c r="Q148" s="1189"/>
      <c r="R148" s="1189"/>
      <c r="S148" s="1189"/>
      <c r="T148" s="1189"/>
      <c r="U148" s="1189"/>
      <c r="V148" s="1189"/>
      <c r="W148" s="1189"/>
      <c r="X148" s="1189"/>
      <c r="Y148" s="1189"/>
      <c r="Z148" s="1189"/>
      <c r="AA148" s="1189"/>
      <c r="AB148" s="1189"/>
      <c r="AC148" s="1189"/>
      <c r="AD148" s="1189"/>
      <c r="AE148" s="1189"/>
      <c r="AF148" s="1189"/>
      <c r="AG148" s="1189"/>
      <c r="AH148" s="1189"/>
      <c r="AI148" s="1189"/>
    </row>
    <row r="149">
      <c r="A149" s="1202"/>
      <c r="B149" s="1203"/>
      <c r="C149" s="1189"/>
      <c r="D149" s="1189"/>
      <c r="E149" s="1189"/>
      <c r="F149" s="1189"/>
      <c r="G149" s="1189"/>
      <c r="H149" s="1189"/>
      <c r="I149" s="1189"/>
      <c r="J149" s="1189"/>
      <c r="K149" s="1189"/>
      <c r="L149" s="1189"/>
      <c r="M149" s="1189"/>
      <c r="N149" s="1189"/>
      <c r="O149" s="1189"/>
      <c r="P149" s="1189"/>
      <c r="Q149" s="1189"/>
      <c r="R149" s="1189"/>
      <c r="S149" s="1189"/>
      <c r="T149" s="1189"/>
      <c r="U149" s="1189"/>
      <c r="V149" s="1189"/>
      <c r="W149" s="1189"/>
      <c r="X149" s="1189"/>
      <c r="Y149" s="1189"/>
      <c r="Z149" s="1189"/>
      <c r="AA149" s="1189"/>
      <c r="AB149" s="1189"/>
      <c r="AC149" s="1189"/>
      <c r="AD149" s="1189"/>
      <c r="AE149" s="1189"/>
      <c r="AF149" s="1189"/>
      <c r="AG149" s="1189"/>
      <c r="AH149" s="1189"/>
      <c r="AI149" s="1189"/>
    </row>
    <row r="150">
      <c r="A150" s="1202"/>
      <c r="B150" s="1203"/>
      <c r="C150" s="1189"/>
      <c r="D150" s="1189"/>
      <c r="E150" s="1189"/>
      <c r="F150" s="1189"/>
      <c r="G150" s="1189"/>
      <c r="H150" s="1189"/>
      <c r="I150" s="1189"/>
      <c r="J150" s="1189"/>
      <c r="K150" s="1189"/>
      <c r="L150" s="1189"/>
      <c r="M150" s="1189"/>
      <c r="N150" s="1189"/>
      <c r="O150" s="1189"/>
      <c r="P150" s="1189"/>
      <c r="Q150" s="1189"/>
      <c r="R150" s="1189"/>
      <c r="S150" s="1189"/>
      <c r="T150" s="1189"/>
      <c r="U150" s="1189"/>
      <c r="V150" s="1189"/>
      <c r="W150" s="1189"/>
      <c r="X150" s="1189"/>
      <c r="Y150" s="1189"/>
      <c r="Z150" s="1189"/>
      <c r="AA150" s="1189"/>
      <c r="AB150" s="1189"/>
      <c r="AC150" s="1189"/>
      <c r="AD150" s="1189"/>
      <c r="AE150" s="1189"/>
      <c r="AF150" s="1189"/>
      <c r="AG150" s="1189"/>
      <c r="AH150" s="1189"/>
      <c r="AI150" s="1189"/>
    </row>
    <row r="151">
      <c r="A151" s="1202"/>
      <c r="B151" s="1203"/>
      <c r="C151" s="1189"/>
      <c r="D151" s="1189"/>
      <c r="E151" s="1189"/>
      <c r="F151" s="1189"/>
      <c r="G151" s="1189"/>
      <c r="H151" s="1189"/>
      <c r="I151" s="1189"/>
      <c r="J151" s="1189"/>
      <c r="K151" s="1189"/>
      <c r="L151" s="1189"/>
      <c r="M151" s="1189"/>
      <c r="N151" s="1189"/>
      <c r="O151" s="1189"/>
      <c r="P151" s="1189"/>
      <c r="Q151" s="1189"/>
      <c r="R151" s="1189"/>
      <c r="S151" s="1189"/>
      <c r="T151" s="1189"/>
      <c r="U151" s="1189"/>
      <c r="V151" s="1189"/>
      <c r="W151" s="1189"/>
      <c r="X151" s="1189"/>
      <c r="Y151" s="1189"/>
      <c r="Z151" s="1189"/>
      <c r="AA151" s="1189"/>
      <c r="AB151" s="1189"/>
      <c r="AC151" s="1189"/>
      <c r="AD151" s="1189"/>
      <c r="AE151" s="1189"/>
      <c r="AF151" s="1189"/>
      <c r="AG151" s="1189"/>
      <c r="AH151" s="1189"/>
      <c r="AI151" s="1189"/>
    </row>
    <row r="152">
      <c r="A152" s="1202"/>
      <c r="B152" s="1203"/>
      <c r="C152" s="1189"/>
      <c r="D152" s="1189"/>
      <c r="E152" s="1189"/>
      <c r="F152" s="1189"/>
      <c r="G152" s="1189"/>
      <c r="H152" s="1189"/>
      <c r="I152" s="1189"/>
      <c r="J152" s="1189"/>
      <c r="K152" s="1189"/>
      <c r="L152" s="1189"/>
      <c r="M152" s="1189"/>
      <c r="N152" s="1189"/>
      <c r="O152" s="1189"/>
      <c r="P152" s="1189"/>
      <c r="Q152" s="1189"/>
      <c r="R152" s="1189"/>
      <c r="S152" s="1189"/>
      <c r="T152" s="1189"/>
      <c r="U152" s="1189"/>
      <c r="V152" s="1189"/>
      <c r="W152" s="1189"/>
      <c r="X152" s="1189"/>
      <c r="Y152" s="1189"/>
      <c r="Z152" s="1189"/>
      <c r="AA152" s="1189"/>
      <c r="AB152" s="1189"/>
      <c r="AC152" s="1189"/>
      <c r="AD152" s="1189"/>
      <c r="AE152" s="1189"/>
      <c r="AF152" s="1189"/>
      <c r="AG152" s="1189"/>
      <c r="AH152" s="1189"/>
      <c r="AI152" s="1189"/>
    </row>
    <row r="153">
      <c r="A153" s="1202"/>
      <c r="B153" s="1203"/>
      <c r="C153" s="1189"/>
      <c r="D153" s="1189"/>
      <c r="E153" s="1189"/>
      <c r="F153" s="1189"/>
      <c r="G153" s="1189"/>
      <c r="H153" s="1189"/>
      <c r="I153" s="1189"/>
      <c r="J153" s="1189"/>
      <c r="K153" s="1189"/>
      <c r="L153" s="1189"/>
      <c r="M153" s="1189"/>
      <c r="N153" s="1189"/>
      <c r="O153" s="1189"/>
      <c r="P153" s="1189"/>
      <c r="Q153" s="1189"/>
      <c r="R153" s="1189"/>
      <c r="S153" s="1189"/>
      <c r="T153" s="1189"/>
      <c r="U153" s="1189"/>
      <c r="V153" s="1189"/>
      <c r="W153" s="1189"/>
      <c r="X153" s="1189"/>
      <c r="Y153" s="1189"/>
      <c r="Z153" s="1189"/>
      <c r="AA153" s="1189"/>
      <c r="AB153" s="1189"/>
      <c r="AC153" s="1189"/>
      <c r="AD153" s="1189"/>
      <c r="AE153" s="1189"/>
      <c r="AF153" s="1189"/>
      <c r="AG153" s="1189"/>
      <c r="AH153" s="1189"/>
      <c r="AI153" s="1189"/>
    </row>
    <row r="154">
      <c r="A154" s="1202"/>
      <c r="B154" s="1203"/>
      <c r="C154" s="1189"/>
      <c r="D154" s="1189"/>
      <c r="E154" s="1189"/>
      <c r="F154" s="1189"/>
      <c r="G154" s="1189"/>
      <c r="H154" s="1189"/>
      <c r="I154" s="1189"/>
      <c r="J154" s="1189"/>
      <c r="K154" s="1189"/>
      <c r="L154" s="1189"/>
      <c r="M154" s="1189"/>
      <c r="N154" s="1189"/>
      <c r="O154" s="1189"/>
      <c r="P154" s="1189"/>
      <c r="Q154" s="1189"/>
      <c r="R154" s="1189"/>
      <c r="S154" s="1189"/>
      <c r="T154" s="1189"/>
      <c r="U154" s="1189"/>
      <c r="V154" s="1189"/>
      <c r="W154" s="1189"/>
      <c r="X154" s="1189"/>
      <c r="Y154" s="1189"/>
      <c r="Z154" s="1189"/>
      <c r="AA154" s="1189"/>
      <c r="AB154" s="1189"/>
      <c r="AC154" s="1189"/>
      <c r="AD154" s="1189"/>
      <c r="AE154" s="1189"/>
      <c r="AF154" s="1189"/>
      <c r="AG154" s="1189"/>
      <c r="AH154" s="1189"/>
      <c r="AI154" s="1189"/>
    </row>
    <row r="155">
      <c r="A155" s="1202"/>
      <c r="B155" s="1203"/>
      <c r="C155" s="1189"/>
      <c r="D155" s="1189"/>
      <c r="E155" s="1189"/>
      <c r="F155" s="1189"/>
      <c r="G155" s="1189"/>
      <c r="H155" s="1189"/>
      <c r="I155" s="1189"/>
      <c r="J155" s="1189"/>
      <c r="K155" s="1189"/>
      <c r="L155" s="1189"/>
      <c r="M155" s="1189"/>
      <c r="N155" s="1189"/>
      <c r="O155" s="1189"/>
      <c r="P155" s="1189"/>
      <c r="Q155" s="1189"/>
      <c r="R155" s="1189"/>
      <c r="S155" s="1189"/>
      <c r="T155" s="1189"/>
      <c r="U155" s="1189"/>
      <c r="V155" s="1189"/>
      <c r="W155" s="1189"/>
      <c r="X155" s="1189"/>
      <c r="Y155" s="1189"/>
      <c r="Z155" s="1189"/>
      <c r="AA155" s="1189"/>
      <c r="AB155" s="1189"/>
      <c r="AC155" s="1189"/>
      <c r="AD155" s="1189"/>
      <c r="AE155" s="1189"/>
      <c r="AF155" s="1189"/>
      <c r="AG155" s="1189"/>
      <c r="AH155" s="1189"/>
      <c r="AI155" s="1189"/>
    </row>
    <row r="156">
      <c r="A156" s="1202"/>
      <c r="B156" s="1203"/>
      <c r="C156" s="1189"/>
      <c r="D156" s="1189"/>
      <c r="E156" s="1189"/>
      <c r="F156" s="1189"/>
      <c r="G156" s="1189"/>
      <c r="H156" s="1189"/>
      <c r="I156" s="1189"/>
      <c r="J156" s="1189"/>
      <c r="K156" s="1189"/>
      <c r="L156" s="1189"/>
      <c r="M156" s="1189"/>
      <c r="N156" s="1189"/>
      <c r="O156" s="1189"/>
      <c r="P156" s="1189"/>
      <c r="Q156" s="1189"/>
      <c r="R156" s="1189"/>
      <c r="S156" s="1189"/>
      <c r="T156" s="1189"/>
      <c r="U156" s="1189"/>
      <c r="V156" s="1189"/>
      <c r="W156" s="1189"/>
      <c r="X156" s="1189"/>
      <c r="Y156" s="1189"/>
      <c r="Z156" s="1189"/>
      <c r="AA156" s="1189"/>
      <c r="AB156" s="1189"/>
      <c r="AC156" s="1189"/>
      <c r="AD156" s="1189"/>
      <c r="AE156" s="1189"/>
      <c r="AF156" s="1189"/>
      <c r="AG156" s="1189"/>
      <c r="AH156" s="1189"/>
      <c r="AI156" s="1189"/>
    </row>
    <row r="157">
      <c r="A157" s="1202"/>
      <c r="B157" s="1203"/>
      <c r="C157" s="1189"/>
      <c r="D157" s="1189"/>
      <c r="E157" s="1189"/>
      <c r="F157" s="1189"/>
      <c r="G157" s="1189"/>
      <c r="H157" s="1189"/>
      <c r="I157" s="1189"/>
      <c r="J157" s="1189"/>
      <c r="K157" s="1189"/>
      <c r="L157" s="1189"/>
      <c r="M157" s="1189"/>
      <c r="N157" s="1189"/>
      <c r="O157" s="1189"/>
      <c r="P157" s="1189"/>
      <c r="Q157" s="1189"/>
      <c r="R157" s="1189"/>
      <c r="S157" s="1189"/>
      <c r="T157" s="1189"/>
      <c r="U157" s="1189"/>
      <c r="V157" s="1189"/>
      <c r="W157" s="1189"/>
      <c r="X157" s="1189"/>
      <c r="Y157" s="1189"/>
      <c r="Z157" s="1189"/>
      <c r="AA157" s="1189"/>
      <c r="AB157" s="1189"/>
      <c r="AC157" s="1189"/>
      <c r="AD157" s="1189"/>
      <c r="AE157" s="1189"/>
      <c r="AF157" s="1189"/>
      <c r="AG157" s="1189"/>
      <c r="AH157" s="1189"/>
      <c r="AI157" s="1189"/>
    </row>
    <row r="158">
      <c r="A158" s="1202"/>
      <c r="B158" s="1203"/>
      <c r="C158" s="1189"/>
      <c r="D158" s="1189"/>
      <c r="E158" s="1189"/>
      <c r="F158" s="1189"/>
      <c r="G158" s="1189"/>
      <c r="H158" s="1189"/>
      <c r="I158" s="1189"/>
      <c r="J158" s="1189"/>
      <c r="K158" s="1189"/>
      <c r="L158" s="1189"/>
      <c r="M158" s="1189"/>
      <c r="N158" s="1189"/>
      <c r="O158" s="1189"/>
      <c r="P158" s="1189"/>
      <c r="Q158" s="1189"/>
      <c r="R158" s="1189"/>
      <c r="S158" s="1189"/>
      <c r="T158" s="1189"/>
      <c r="U158" s="1189"/>
      <c r="V158" s="1189"/>
      <c r="W158" s="1189"/>
      <c r="X158" s="1189"/>
      <c r="Y158" s="1189"/>
      <c r="Z158" s="1189"/>
      <c r="AA158" s="1189"/>
      <c r="AB158" s="1189"/>
      <c r="AC158" s="1189"/>
      <c r="AD158" s="1189"/>
      <c r="AE158" s="1189"/>
      <c r="AF158" s="1189"/>
      <c r="AG158" s="1189"/>
      <c r="AH158" s="1189"/>
      <c r="AI158" s="1189"/>
    </row>
    <row r="159">
      <c r="A159" s="1202"/>
      <c r="B159" s="1203"/>
      <c r="C159" s="1189"/>
      <c r="D159" s="1189"/>
      <c r="E159" s="1189"/>
      <c r="F159" s="1189"/>
      <c r="G159" s="1189"/>
      <c r="H159" s="1189"/>
      <c r="I159" s="1189"/>
      <c r="J159" s="1189"/>
      <c r="K159" s="1189"/>
      <c r="L159" s="1189"/>
      <c r="M159" s="1189"/>
      <c r="N159" s="1189"/>
      <c r="O159" s="1189"/>
      <c r="P159" s="1189"/>
      <c r="Q159" s="1189"/>
      <c r="R159" s="1189"/>
      <c r="S159" s="1189"/>
      <c r="T159" s="1189"/>
      <c r="U159" s="1189"/>
      <c r="V159" s="1189"/>
      <c r="W159" s="1189"/>
      <c r="X159" s="1189"/>
      <c r="Y159" s="1189"/>
      <c r="Z159" s="1189"/>
      <c r="AA159" s="1189"/>
      <c r="AB159" s="1189"/>
      <c r="AC159" s="1189"/>
      <c r="AD159" s="1189"/>
      <c r="AE159" s="1189"/>
      <c r="AF159" s="1189"/>
      <c r="AG159" s="1189"/>
      <c r="AH159" s="1189"/>
      <c r="AI159" s="1189"/>
    </row>
    <row r="160">
      <c r="A160" s="1202"/>
      <c r="B160" s="1203"/>
      <c r="C160" s="1189"/>
      <c r="D160" s="1189"/>
      <c r="E160" s="1189"/>
      <c r="F160" s="1189"/>
      <c r="G160" s="1189"/>
      <c r="H160" s="1189"/>
      <c r="I160" s="1189"/>
      <c r="J160" s="1189"/>
      <c r="K160" s="1189"/>
      <c r="L160" s="1189"/>
      <c r="M160" s="1189"/>
      <c r="N160" s="1189"/>
      <c r="O160" s="1189"/>
      <c r="P160" s="1189"/>
      <c r="Q160" s="1189"/>
      <c r="R160" s="1189"/>
      <c r="S160" s="1189"/>
      <c r="T160" s="1189"/>
      <c r="U160" s="1189"/>
      <c r="V160" s="1189"/>
      <c r="W160" s="1189"/>
      <c r="X160" s="1189"/>
      <c r="Y160" s="1189"/>
      <c r="Z160" s="1189"/>
      <c r="AA160" s="1189"/>
      <c r="AB160" s="1189"/>
      <c r="AC160" s="1189"/>
      <c r="AD160" s="1189"/>
      <c r="AE160" s="1189"/>
      <c r="AF160" s="1189"/>
      <c r="AG160" s="1189"/>
      <c r="AH160" s="1189"/>
      <c r="AI160" s="1189"/>
    </row>
    <row r="161">
      <c r="A161" s="1202"/>
      <c r="B161" s="1203"/>
      <c r="C161" s="1189"/>
      <c r="D161" s="1189"/>
      <c r="E161" s="1189"/>
      <c r="F161" s="1189"/>
      <c r="G161" s="1189"/>
      <c r="H161" s="1189"/>
      <c r="I161" s="1189"/>
      <c r="J161" s="1189"/>
      <c r="K161" s="1189"/>
      <c r="L161" s="1189"/>
      <c r="M161" s="1189"/>
      <c r="N161" s="1189"/>
      <c r="O161" s="1189"/>
      <c r="P161" s="1189"/>
      <c r="Q161" s="1189"/>
      <c r="R161" s="1189"/>
      <c r="S161" s="1189"/>
      <c r="T161" s="1189"/>
      <c r="U161" s="1189"/>
      <c r="V161" s="1189"/>
      <c r="W161" s="1189"/>
      <c r="X161" s="1189"/>
      <c r="Y161" s="1189"/>
      <c r="Z161" s="1189"/>
      <c r="AA161" s="1189"/>
      <c r="AB161" s="1189"/>
      <c r="AC161" s="1189"/>
      <c r="AD161" s="1189"/>
      <c r="AE161" s="1189"/>
      <c r="AF161" s="1189"/>
      <c r="AG161" s="1189"/>
      <c r="AH161" s="1189"/>
      <c r="AI161" s="1189"/>
    </row>
    <row r="162">
      <c r="A162" s="1202"/>
      <c r="B162" s="1203"/>
      <c r="C162" s="1189"/>
      <c r="D162" s="1189"/>
      <c r="E162" s="1189"/>
      <c r="F162" s="1189"/>
      <c r="G162" s="1189"/>
      <c r="H162" s="1189"/>
      <c r="I162" s="1189"/>
      <c r="J162" s="1189"/>
      <c r="K162" s="1189"/>
      <c r="L162" s="1189"/>
      <c r="M162" s="1189"/>
      <c r="N162" s="1189"/>
      <c r="O162" s="1189"/>
      <c r="P162" s="1189"/>
      <c r="Q162" s="1189"/>
      <c r="R162" s="1189"/>
      <c r="S162" s="1189"/>
      <c r="T162" s="1189"/>
      <c r="U162" s="1189"/>
      <c r="V162" s="1189"/>
      <c r="W162" s="1189"/>
      <c r="X162" s="1189"/>
      <c r="Y162" s="1189"/>
      <c r="Z162" s="1189"/>
      <c r="AA162" s="1189"/>
      <c r="AB162" s="1189"/>
      <c r="AC162" s="1189"/>
      <c r="AD162" s="1189"/>
      <c r="AE162" s="1189"/>
      <c r="AF162" s="1189"/>
      <c r="AG162" s="1189"/>
      <c r="AH162" s="1189"/>
      <c r="AI162" s="1189"/>
    </row>
    <row r="163">
      <c r="A163" s="1202"/>
      <c r="B163" s="1203"/>
      <c r="C163" s="1189"/>
      <c r="D163" s="1189"/>
      <c r="E163" s="1189"/>
      <c r="F163" s="1189"/>
      <c r="G163" s="1189"/>
      <c r="H163" s="1189"/>
      <c r="I163" s="1189"/>
      <c r="J163" s="1189"/>
      <c r="K163" s="1189"/>
      <c r="L163" s="1189"/>
      <c r="M163" s="1189"/>
      <c r="N163" s="1189"/>
      <c r="O163" s="1189"/>
      <c r="P163" s="1189"/>
      <c r="Q163" s="1189"/>
      <c r="R163" s="1189"/>
      <c r="S163" s="1189"/>
      <c r="T163" s="1189"/>
      <c r="U163" s="1189"/>
      <c r="V163" s="1189"/>
      <c r="W163" s="1189"/>
      <c r="X163" s="1189"/>
      <c r="Y163" s="1189"/>
      <c r="Z163" s="1189"/>
      <c r="AA163" s="1189"/>
      <c r="AB163" s="1189"/>
      <c r="AC163" s="1189"/>
      <c r="AD163" s="1189"/>
      <c r="AE163" s="1189"/>
      <c r="AF163" s="1189"/>
      <c r="AG163" s="1189"/>
      <c r="AH163" s="1189"/>
      <c r="AI163" s="1189"/>
    </row>
    <row r="164">
      <c r="A164" s="1202"/>
      <c r="B164" s="1203"/>
      <c r="C164" s="1189"/>
      <c r="D164" s="1189"/>
      <c r="E164" s="1189"/>
      <c r="F164" s="1189"/>
      <c r="G164" s="1189"/>
      <c r="H164" s="1189"/>
      <c r="I164" s="1189"/>
      <c r="J164" s="1189"/>
      <c r="K164" s="1189"/>
      <c r="L164" s="1189"/>
      <c r="M164" s="1189"/>
      <c r="N164" s="1189"/>
      <c r="O164" s="1189"/>
      <c r="P164" s="1189"/>
      <c r="Q164" s="1189"/>
      <c r="R164" s="1189"/>
      <c r="S164" s="1189"/>
      <c r="T164" s="1189"/>
      <c r="U164" s="1189"/>
      <c r="V164" s="1189"/>
      <c r="W164" s="1189"/>
      <c r="X164" s="1189"/>
      <c r="Y164" s="1189"/>
      <c r="Z164" s="1189"/>
      <c r="AA164" s="1189"/>
      <c r="AB164" s="1189"/>
      <c r="AC164" s="1189"/>
      <c r="AD164" s="1189"/>
      <c r="AE164" s="1189"/>
      <c r="AF164" s="1189"/>
      <c r="AG164" s="1189"/>
      <c r="AH164" s="1189"/>
      <c r="AI164" s="1189"/>
    </row>
    <row r="165">
      <c r="A165" s="1202"/>
      <c r="B165" s="1203"/>
      <c r="C165" s="1189"/>
      <c r="D165" s="1189"/>
      <c r="E165" s="1189"/>
      <c r="F165" s="1189"/>
      <c r="G165" s="1189"/>
      <c r="H165" s="1189"/>
      <c r="I165" s="1189"/>
      <c r="J165" s="1189"/>
      <c r="K165" s="1189"/>
      <c r="L165" s="1189"/>
      <c r="M165" s="1189"/>
      <c r="N165" s="1189"/>
      <c r="O165" s="1189"/>
      <c r="P165" s="1189"/>
      <c r="Q165" s="1189"/>
      <c r="R165" s="1189"/>
      <c r="S165" s="1189"/>
      <c r="T165" s="1189"/>
      <c r="U165" s="1189"/>
      <c r="V165" s="1189"/>
      <c r="W165" s="1189"/>
      <c r="X165" s="1189"/>
      <c r="Y165" s="1189"/>
      <c r="Z165" s="1189"/>
      <c r="AA165" s="1189"/>
      <c r="AB165" s="1189"/>
      <c r="AC165" s="1189"/>
      <c r="AD165" s="1189"/>
      <c r="AE165" s="1189"/>
      <c r="AF165" s="1189"/>
      <c r="AG165" s="1189"/>
      <c r="AH165" s="1189"/>
      <c r="AI165" s="1189"/>
    </row>
    <row r="166">
      <c r="A166" s="1202"/>
      <c r="B166" s="1203"/>
      <c r="C166" s="1189"/>
      <c r="D166" s="1189"/>
      <c r="E166" s="1189"/>
      <c r="F166" s="1189"/>
      <c r="G166" s="1189"/>
      <c r="H166" s="1189"/>
      <c r="I166" s="1189"/>
      <c r="J166" s="1189"/>
      <c r="K166" s="1189"/>
      <c r="L166" s="1189"/>
      <c r="M166" s="1189"/>
      <c r="N166" s="1189"/>
      <c r="O166" s="1189"/>
      <c r="P166" s="1189"/>
      <c r="Q166" s="1189"/>
      <c r="R166" s="1189"/>
      <c r="S166" s="1189"/>
      <c r="T166" s="1189"/>
      <c r="U166" s="1189"/>
      <c r="V166" s="1189"/>
      <c r="W166" s="1189"/>
      <c r="X166" s="1189"/>
      <c r="Y166" s="1189"/>
      <c r="Z166" s="1189"/>
      <c r="AA166" s="1189"/>
      <c r="AB166" s="1189"/>
      <c r="AC166" s="1189"/>
      <c r="AD166" s="1189"/>
      <c r="AE166" s="1189"/>
      <c r="AF166" s="1189"/>
      <c r="AG166" s="1189"/>
      <c r="AH166" s="1189"/>
      <c r="AI166" s="1189"/>
    </row>
    <row r="167">
      <c r="A167" s="1202"/>
      <c r="B167" s="1203"/>
      <c r="C167" s="1189"/>
      <c r="D167" s="1189"/>
      <c r="E167" s="1189"/>
      <c r="F167" s="1189"/>
      <c r="G167" s="1189"/>
      <c r="H167" s="1189"/>
      <c r="I167" s="1189"/>
      <c r="J167" s="1189"/>
      <c r="K167" s="1189"/>
      <c r="L167" s="1189"/>
      <c r="M167" s="1189"/>
      <c r="N167" s="1189"/>
      <c r="O167" s="1189"/>
      <c r="P167" s="1189"/>
      <c r="Q167" s="1189"/>
      <c r="R167" s="1189"/>
      <c r="S167" s="1189"/>
      <c r="T167" s="1189"/>
      <c r="U167" s="1189"/>
      <c r="V167" s="1189"/>
      <c r="W167" s="1189"/>
      <c r="X167" s="1189"/>
      <c r="Y167" s="1189"/>
      <c r="Z167" s="1189"/>
      <c r="AA167" s="1189"/>
      <c r="AB167" s="1189"/>
      <c r="AC167" s="1189"/>
      <c r="AD167" s="1189"/>
      <c r="AE167" s="1189"/>
      <c r="AF167" s="1189"/>
      <c r="AG167" s="1189"/>
      <c r="AH167" s="1189"/>
      <c r="AI167" s="1189"/>
    </row>
    <row r="168">
      <c r="A168" s="1202"/>
      <c r="B168" s="1203"/>
      <c r="C168" s="1189"/>
      <c r="D168" s="1189"/>
      <c r="E168" s="1189"/>
      <c r="F168" s="1189"/>
      <c r="G168" s="1189"/>
      <c r="H168" s="1189"/>
      <c r="I168" s="1189"/>
      <c r="J168" s="1189"/>
      <c r="K168" s="1189"/>
      <c r="L168" s="1189"/>
      <c r="M168" s="1189"/>
      <c r="N168" s="1189"/>
      <c r="O168" s="1189"/>
      <c r="P168" s="1189"/>
      <c r="Q168" s="1189"/>
      <c r="R168" s="1189"/>
      <c r="S168" s="1189"/>
      <c r="T168" s="1189"/>
      <c r="U168" s="1189"/>
      <c r="V168" s="1189"/>
      <c r="W168" s="1189"/>
      <c r="X168" s="1189"/>
      <c r="Y168" s="1189"/>
      <c r="Z168" s="1189"/>
      <c r="AA168" s="1189"/>
      <c r="AB168" s="1189"/>
      <c r="AC168" s="1189"/>
      <c r="AD168" s="1189"/>
      <c r="AE168" s="1189"/>
      <c r="AF168" s="1189"/>
      <c r="AG168" s="1189"/>
      <c r="AH168" s="1189"/>
      <c r="AI168" s="1189"/>
    </row>
    <row r="169">
      <c r="A169" s="1202"/>
      <c r="B169" s="1203"/>
      <c r="C169" s="1189"/>
      <c r="D169" s="1189"/>
      <c r="E169" s="1189"/>
      <c r="F169" s="1189"/>
      <c r="G169" s="1189"/>
      <c r="H169" s="1189"/>
      <c r="I169" s="1189"/>
      <c r="J169" s="1189"/>
      <c r="K169" s="1189"/>
      <c r="L169" s="1189"/>
      <c r="M169" s="1189"/>
      <c r="N169" s="1189"/>
      <c r="O169" s="1189"/>
      <c r="P169" s="1189"/>
      <c r="Q169" s="1189"/>
      <c r="R169" s="1189"/>
      <c r="S169" s="1189"/>
      <c r="T169" s="1189"/>
      <c r="U169" s="1189"/>
      <c r="V169" s="1189"/>
      <c r="W169" s="1189"/>
      <c r="X169" s="1189"/>
      <c r="Y169" s="1189"/>
      <c r="Z169" s="1189"/>
      <c r="AA169" s="1189"/>
      <c r="AB169" s="1189"/>
      <c r="AC169" s="1189"/>
      <c r="AD169" s="1189"/>
      <c r="AE169" s="1189"/>
      <c r="AF169" s="1189"/>
      <c r="AG169" s="1189"/>
      <c r="AH169" s="1189"/>
      <c r="AI169" s="1189"/>
    </row>
    <row r="170">
      <c r="A170" s="1202"/>
      <c r="B170" s="1203"/>
      <c r="C170" s="1189"/>
      <c r="D170" s="1189"/>
      <c r="E170" s="1189"/>
      <c r="F170" s="1189"/>
      <c r="G170" s="1189"/>
      <c r="H170" s="1189"/>
      <c r="I170" s="1189"/>
      <c r="J170" s="1189"/>
      <c r="K170" s="1189"/>
      <c r="L170" s="1189"/>
      <c r="M170" s="1189"/>
      <c r="N170" s="1189"/>
      <c r="O170" s="1189"/>
      <c r="P170" s="1189"/>
      <c r="Q170" s="1189"/>
      <c r="R170" s="1189"/>
      <c r="S170" s="1189"/>
      <c r="T170" s="1189"/>
      <c r="U170" s="1189"/>
      <c r="V170" s="1189"/>
      <c r="W170" s="1189"/>
      <c r="X170" s="1189"/>
      <c r="Y170" s="1189"/>
      <c r="Z170" s="1189"/>
      <c r="AA170" s="1189"/>
      <c r="AB170" s="1189"/>
      <c r="AC170" s="1189"/>
      <c r="AD170" s="1189"/>
      <c r="AE170" s="1189"/>
      <c r="AF170" s="1189"/>
      <c r="AG170" s="1189"/>
      <c r="AH170" s="1189"/>
      <c r="AI170" s="1189"/>
    </row>
    <row r="171">
      <c r="A171" s="1202"/>
      <c r="B171" s="1203"/>
      <c r="C171" s="1189"/>
      <c r="D171" s="1189"/>
      <c r="E171" s="1189"/>
      <c r="F171" s="1189"/>
      <c r="G171" s="1189"/>
      <c r="H171" s="1189"/>
      <c r="I171" s="1189"/>
      <c r="J171" s="1189"/>
      <c r="K171" s="1189"/>
      <c r="L171" s="1189"/>
      <c r="M171" s="1189"/>
      <c r="N171" s="1189"/>
      <c r="O171" s="1189"/>
      <c r="P171" s="1189"/>
      <c r="Q171" s="1189"/>
      <c r="R171" s="1189"/>
      <c r="S171" s="1189"/>
      <c r="T171" s="1189"/>
      <c r="U171" s="1189"/>
      <c r="V171" s="1189"/>
      <c r="W171" s="1189"/>
      <c r="X171" s="1189"/>
      <c r="Y171" s="1189"/>
      <c r="Z171" s="1189"/>
      <c r="AA171" s="1189"/>
      <c r="AB171" s="1189"/>
      <c r="AC171" s="1189"/>
      <c r="AD171" s="1189"/>
      <c r="AE171" s="1189"/>
      <c r="AF171" s="1189"/>
      <c r="AG171" s="1189"/>
      <c r="AH171" s="1189"/>
      <c r="AI171" s="1189"/>
    </row>
    <row r="172">
      <c r="A172" s="1202"/>
      <c r="B172" s="1203"/>
      <c r="C172" s="1189"/>
      <c r="D172" s="1189"/>
      <c r="E172" s="1189"/>
      <c r="F172" s="1189"/>
      <c r="G172" s="1189"/>
      <c r="H172" s="1189"/>
      <c r="I172" s="1189"/>
      <c r="J172" s="1189"/>
      <c r="K172" s="1189"/>
      <c r="L172" s="1189"/>
      <c r="M172" s="1189"/>
      <c r="N172" s="1189"/>
      <c r="O172" s="1189"/>
      <c r="P172" s="1189"/>
      <c r="Q172" s="1189"/>
      <c r="R172" s="1189"/>
      <c r="S172" s="1189"/>
      <c r="T172" s="1189"/>
      <c r="U172" s="1189"/>
      <c r="V172" s="1189"/>
      <c r="W172" s="1189"/>
      <c r="X172" s="1189"/>
      <c r="Y172" s="1189"/>
      <c r="Z172" s="1189"/>
      <c r="AA172" s="1189"/>
      <c r="AB172" s="1189"/>
      <c r="AC172" s="1189"/>
      <c r="AD172" s="1189"/>
      <c r="AE172" s="1189"/>
      <c r="AF172" s="1189"/>
      <c r="AG172" s="1189"/>
      <c r="AH172" s="1189"/>
      <c r="AI172" s="1189"/>
    </row>
    <row r="173">
      <c r="A173" s="1202"/>
      <c r="B173" s="1203"/>
      <c r="C173" s="1189"/>
      <c r="D173" s="1189"/>
      <c r="E173" s="1189"/>
      <c r="F173" s="1189"/>
      <c r="G173" s="1189"/>
      <c r="H173" s="1189"/>
      <c r="I173" s="1189"/>
      <c r="J173" s="1189"/>
      <c r="K173" s="1189"/>
      <c r="L173" s="1189"/>
      <c r="M173" s="1189"/>
      <c r="N173" s="1189"/>
      <c r="O173" s="1189"/>
      <c r="P173" s="1189"/>
      <c r="Q173" s="1189"/>
      <c r="R173" s="1189"/>
      <c r="S173" s="1189"/>
      <c r="T173" s="1189"/>
      <c r="U173" s="1189"/>
      <c r="V173" s="1189"/>
      <c r="W173" s="1189"/>
      <c r="X173" s="1189"/>
      <c r="Y173" s="1189"/>
      <c r="Z173" s="1189"/>
      <c r="AA173" s="1189"/>
      <c r="AB173" s="1189"/>
      <c r="AC173" s="1189"/>
      <c r="AD173" s="1189"/>
      <c r="AE173" s="1189"/>
      <c r="AF173" s="1189"/>
      <c r="AG173" s="1189"/>
      <c r="AH173" s="1189"/>
      <c r="AI173" s="1189"/>
    </row>
    <row r="174">
      <c r="A174" s="1202"/>
      <c r="B174" s="1203"/>
      <c r="C174" s="1189"/>
      <c r="D174" s="1189"/>
      <c r="E174" s="1189"/>
      <c r="F174" s="1189"/>
      <c r="G174" s="1189"/>
      <c r="H174" s="1189"/>
      <c r="I174" s="1189"/>
      <c r="J174" s="1189"/>
      <c r="K174" s="1189"/>
      <c r="L174" s="1189"/>
      <c r="M174" s="1189"/>
      <c r="N174" s="1189"/>
      <c r="O174" s="1189"/>
      <c r="P174" s="1189"/>
      <c r="Q174" s="1189"/>
      <c r="R174" s="1189"/>
      <c r="S174" s="1189"/>
      <c r="T174" s="1189"/>
      <c r="U174" s="1189"/>
      <c r="V174" s="1189"/>
      <c r="W174" s="1189"/>
      <c r="X174" s="1189"/>
      <c r="Y174" s="1189"/>
      <c r="Z174" s="1189"/>
      <c r="AA174" s="1189"/>
      <c r="AB174" s="1189"/>
      <c r="AC174" s="1189"/>
      <c r="AD174" s="1189"/>
      <c r="AE174" s="1189"/>
      <c r="AF174" s="1189"/>
      <c r="AG174" s="1189"/>
      <c r="AH174" s="1189"/>
      <c r="AI174" s="1189"/>
    </row>
    <row r="175">
      <c r="A175" s="1202"/>
      <c r="B175" s="1203"/>
      <c r="C175" s="1189"/>
      <c r="D175" s="1189"/>
      <c r="E175" s="1189"/>
      <c r="F175" s="1189"/>
      <c r="G175" s="1189"/>
      <c r="H175" s="1189"/>
      <c r="I175" s="1189"/>
      <c r="J175" s="1189"/>
      <c r="K175" s="1189"/>
      <c r="L175" s="1189"/>
      <c r="M175" s="1189"/>
      <c r="N175" s="1189"/>
      <c r="O175" s="1189"/>
      <c r="P175" s="1189"/>
      <c r="Q175" s="1189"/>
      <c r="R175" s="1189"/>
      <c r="S175" s="1189"/>
      <c r="T175" s="1189"/>
      <c r="U175" s="1189"/>
      <c r="V175" s="1189"/>
      <c r="W175" s="1189"/>
      <c r="X175" s="1189"/>
      <c r="Y175" s="1189"/>
      <c r="Z175" s="1189"/>
      <c r="AA175" s="1189"/>
      <c r="AB175" s="1189"/>
      <c r="AC175" s="1189"/>
      <c r="AD175" s="1189"/>
      <c r="AE175" s="1189"/>
      <c r="AF175" s="1189"/>
      <c r="AG175" s="1189"/>
      <c r="AH175" s="1189"/>
      <c r="AI175" s="1189"/>
    </row>
    <row r="176">
      <c r="A176" s="1202"/>
      <c r="B176" s="1203"/>
      <c r="C176" s="1189"/>
      <c r="D176" s="1189"/>
      <c r="E176" s="1189"/>
      <c r="F176" s="1189"/>
      <c r="G176" s="1189"/>
      <c r="H176" s="1189"/>
      <c r="I176" s="1189"/>
      <c r="J176" s="1189"/>
      <c r="K176" s="1189"/>
      <c r="L176" s="1189"/>
      <c r="M176" s="1189"/>
      <c r="N176" s="1189"/>
      <c r="O176" s="1189"/>
      <c r="P176" s="1189"/>
      <c r="Q176" s="1189"/>
      <c r="R176" s="1189"/>
      <c r="S176" s="1189"/>
      <c r="T176" s="1189"/>
      <c r="U176" s="1189"/>
      <c r="V176" s="1189"/>
      <c r="W176" s="1189"/>
      <c r="X176" s="1189"/>
      <c r="Y176" s="1189"/>
      <c r="Z176" s="1189"/>
      <c r="AA176" s="1189"/>
      <c r="AB176" s="1189"/>
      <c r="AC176" s="1189"/>
      <c r="AD176" s="1189"/>
      <c r="AE176" s="1189"/>
      <c r="AF176" s="1189"/>
      <c r="AG176" s="1189"/>
      <c r="AH176" s="1189"/>
      <c r="AI176" s="1189"/>
    </row>
    <row r="177">
      <c r="A177" s="1202"/>
      <c r="B177" s="1203"/>
      <c r="C177" s="1189"/>
      <c r="D177" s="1189"/>
      <c r="E177" s="1189"/>
      <c r="F177" s="1189"/>
      <c r="G177" s="1189"/>
      <c r="H177" s="1189"/>
      <c r="I177" s="1189"/>
      <c r="J177" s="1189"/>
      <c r="K177" s="1189"/>
      <c r="L177" s="1189"/>
      <c r="M177" s="1189"/>
      <c r="N177" s="1189"/>
      <c r="O177" s="1189"/>
      <c r="P177" s="1189"/>
      <c r="Q177" s="1189"/>
      <c r="R177" s="1189"/>
      <c r="S177" s="1189"/>
      <c r="T177" s="1189"/>
      <c r="U177" s="1189"/>
      <c r="V177" s="1189"/>
      <c r="W177" s="1189"/>
      <c r="X177" s="1189"/>
      <c r="Y177" s="1189"/>
      <c r="Z177" s="1189"/>
      <c r="AA177" s="1189"/>
      <c r="AB177" s="1189"/>
      <c r="AC177" s="1189"/>
      <c r="AD177" s="1189"/>
      <c r="AE177" s="1189"/>
      <c r="AF177" s="1189"/>
      <c r="AG177" s="1189"/>
      <c r="AH177" s="1189"/>
      <c r="AI177" s="1189"/>
    </row>
    <row r="178">
      <c r="A178" s="1202"/>
      <c r="B178" s="1203"/>
      <c r="C178" s="1189"/>
      <c r="D178" s="1189"/>
      <c r="E178" s="1189"/>
      <c r="F178" s="1189"/>
      <c r="G178" s="1189"/>
      <c r="H178" s="1189"/>
      <c r="I178" s="1189"/>
      <c r="J178" s="1189"/>
      <c r="K178" s="1189"/>
      <c r="L178" s="1189"/>
      <c r="M178" s="1189"/>
      <c r="N178" s="1189"/>
      <c r="O178" s="1189"/>
      <c r="P178" s="1189"/>
      <c r="Q178" s="1189"/>
      <c r="R178" s="1189"/>
      <c r="S178" s="1189"/>
      <c r="T178" s="1189"/>
      <c r="U178" s="1189"/>
      <c r="V178" s="1189"/>
      <c r="W178" s="1189"/>
      <c r="X178" s="1189"/>
      <c r="Y178" s="1189"/>
      <c r="Z178" s="1189"/>
      <c r="AA178" s="1189"/>
      <c r="AB178" s="1189"/>
      <c r="AC178" s="1189"/>
      <c r="AD178" s="1189"/>
      <c r="AE178" s="1189"/>
      <c r="AF178" s="1189"/>
      <c r="AG178" s="1189"/>
      <c r="AH178" s="1189"/>
      <c r="AI178" s="1189"/>
    </row>
    <row r="179">
      <c r="A179" s="1202"/>
      <c r="B179" s="1203"/>
      <c r="C179" s="1189"/>
      <c r="D179" s="1189"/>
      <c r="E179" s="1189"/>
      <c r="F179" s="1189"/>
      <c r="G179" s="1189"/>
      <c r="H179" s="1189"/>
      <c r="I179" s="1189"/>
      <c r="J179" s="1189"/>
      <c r="K179" s="1189"/>
      <c r="L179" s="1189"/>
      <c r="M179" s="1189"/>
      <c r="N179" s="1189"/>
      <c r="O179" s="1189"/>
      <c r="P179" s="1189"/>
      <c r="Q179" s="1189"/>
      <c r="R179" s="1189"/>
      <c r="S179" s="1189"/>
      <c r="T179" s="1189"/>
      <c r="U179" s="1189"/>
      <c r="V179" s="1189"/>
      <c r="W179" s="1189"/>
      <c r="X179" s="1189"/>
      <c r="Y179" s="1189"/>
      <c r="Z179" s="1189"/>
      <c r="AA179" s="1189"/>
      <c r="AB179" s="1189"/>
      <c r="AC179" s="1189"/>
      <c r="AD179" s="1189"/>
      <c r="AE179" s="1189"/>
      <c r="AF179" s="1189"/>
      <c r="AG179" s="1189"/>
      <c r="AH179" s="1189"/>
      <c r="AI179" s="1189"/>
    </row>
    <row r="180">
      <c r="A180" s="1202"/>
      <c r="B180" s="1203"/>
      <c r="C180" s="1189"/>
      <c r="D180" s="1189"/>
      <c r="E180" s="1189"/>
      <c r="F180" s="1189"/>
      <c r="G180" s="1189"/>
      <c r="H180" s="1189"/>
      <c r="I180" s="1189"/>
      <c r="J180" s="1189"/>
      <c r="K180" s="1189"/>
      <c r="L180" s="1189"/>
      <c r="M180" s="1189"/>
      <c r="N180" s="1189"/>
      <c r="O180" s="1189"/>
      <c r="P180" s="1189"/>
      <c r="Q180" s="1189"/>
      <c r="R180" s="1189"/>
      <c r="S180" s="1189"/>
      <c r="T180" s="1189"/>
      <c r="U180" s="1189"/>
      <c r="V180" s="1189"/>
      <c r="W180" s="1189"/>
      <c r="X180" s="1189"/>
      <c r="Y180" s="1189"/>
      <c r="Z180" s="1189"/>
      <c r="AA180" s="1189"/>
      <c r="AB180" s="1189"/>
      <c r="AC180" s="1189"/>
      <c r="AD180" s="1189"/>
      <c r="AE180" s="1189"/>
      <c r="AF180" s="1189"/>
      <c r="AG180" s="1189"/>
      <c r="AH180" s="1189"/>
      <c r="AI180" s="1189"/>
    </row>
    <row r="181">
      <c r="A181" s="1202"/>
      <c r="B181" s="1203"/>
      <c r="C181" s="1189"/>
      <c r="D181" s="1189"/>
      <c r="E181" s="1189"/>
      <c r="F181" s="1189"/>
      <c r="G181" s="1189"/>
      <c r="H181" s="1189"/>
      <c r="I181" s="1189"/>
      <c r="J181" s="1189"/>
      <c r="K181" s="1189"/>
      <c r="L181" s="1189"/>
      <c r="M181" s="1189"/>
      <c r="N181" s="1189"/>
      <c r="O181" s="1189"/>
      <c r="P181" s="1189"/>
      <c r="Q181" s="1189"/>
      <c r="R181" s="1189"/>
      <c r="S181" s="1189"/>
      <c r="T181" s="1189"/>
      <c r="U181" s="1189"/>
      <c r="V181" s="1189"/>
      <c r="W181" s="1189"/>
      <c r="X181" s="1189"/>
      <c r="Y181" s="1189"/>
      <c r="Z181" s="1189"/>
      <c r="AA181" s="1189"/>
      <c r="AB181" s="1189"/>
      <c r="AC181" s="1189"/>
      <c r="AD181" s="1189"/>
      <c r="AE181" s="1189"/>
      <c r="AF181" s="1189"/>
      <c r="AG181" s="1189"/>
      <c r="AH181" s="1189"/>
      <c r="AI181" s="1189"/>
    </row>
    <row r="182">
      <c r="A182" s="1202"/>
      <c r="B182" s="1203"/>
      <c r="C182" s="1189"/>
      <c r="D182" s="1189"/>
      <c r="E182" s="1189"/>
      <c r="F182" s="1189"/>
      <c r="G182" s="1189"/>
      <c r="H182" s="1189"/>
      <c r="I182" s="1189"/>
      <c r="J182" s="1189"/>
      <c r="K182" s="1189"/>
      <c r="L182" s="1189"/>
      <c r="M182" s="1189"/>
      <c r="N182" s="1189"/>
      <c r="O182" s="1189"/>
      <c r="P182" s="1189"/>
      <c r="Q182" s="1189"/>
      <c r="R182" s="1189"/>
      <c r="S182" s="1189"/>
      <c r="T182" s="1189"/>
      <c r="U182" s="1189"/>
      <c r="V182" s="1189"/>
      <c r="W182" s="1189"/>
      <c r="X182" s="1189"/>
      <c r="Y182" s="1189"/>
      <c r="Z182" s="1189"/>
      <c r="AA182" s="1189"/>
      <c r="AB182" s="1189"/>
      <c r="AC182" s="1189"/>
      <c r="AD182" s="1189"/>
      <c r="AE182" s="1189"/>
      <c r="AF182" s="1189"/>
      <c r="AG182" s="1189"/>
      <c r="AH182" s="1189"/>
      <c r="AI182" s="1189"/>
    </row>
    <row r="183">
      <c r="A183" s="1202"/>
      <c r="B183" s="1203"/>
      <c r="C183" s="1189"/>
      <c r="D183" s="1189"/>
      <c r="E183" s="1189"/>
      <c r="F183" s="1189"/>
      <c r="G183" s="1189"/>
      <c r="H183" s="1189"/>
      <c r="I183" s="1189"/>
      <c r="J183" s="1189"/>
      <c r="K183" s="1189"/>
      <c r="L183" s="1189"/>
      <c r="M183" s="1189"/>
      <c r="N183" s="1189"/>
      <c r="O183" s="1189"/>
      <c r="P183" s="1189"/>
      <c r="Q183" s="1189"/>
      <c r="R183" s="1189"/>
      <c r="S183" s="1189"/>
      <c r="T183" s="1189"/>
      <c r="U183" s="1189"/>
      <c r="V183" s="1189"/>
      <c r="W183" s="1189"/>
      <c r="X183" s="1189"/>
      <c r="Y183" s="1189"/>
      <c r="Z183" s="1189"/>
      <c r="AA183" s="1189"/>
      <c r="AB183" s="1189"/>
      <c r="AC183" s="1189"/>
      <c r="AD183" s="1189"/>
      <c r="AE183" s="1189"/>
      <c r="AF183" s="1189"/>
      <c r="AG183" s="1189"/>
      <c r="AH183" s="1189"/>
      <c r="AI183" s="1189"/>
    </row>
    <row r="184">
      <c r="A184" s="1202"/>
      <c r="B184" s="1203"/>
      <c r="C184" s="1189"/>
      <c r="D184" s="1189"/>
      <c r="E184" s="1189"/>
      <c r="F184" s="1189"/>
      <c r="G184" s="1189"/>
      <c r="H184" s="1189"/>
      <c r="I184" s="1189"/>
      <c r="J184" s="1189"/>
      <c r="K184" s="1189"/>
      <c r="L184" s="1189"/>
      <c r="M184" s="1189"/>
      <c r="N184" s="1189"/>
      <c r="O184" s="1189"/>
      <c r="P184" s="1189"/>
      <c r="Q184" s="1189"/>
      <c r="R184" s="1189"/>
      <c r="S184" s="1189"/>
      <c r="T184" s="1189"/>
      <c r="U184" s="1189"/>
      <c r="V184" s="1189"/>
      <c r="W184" s="1189"/>
      <c r="X184" s="1189"/>
      <c r="Y184" s="1189"/>
      <c r="Z184" s="1189"/>
      <c r="AA184" s="1189"/>
      <c r="AB184" s="1189"/>
      <c r="AC184" s="1189"/>
      <c r="AD184" s="1189"/>
      <c r="AE184" s="1189"/>
      <c r="AF184" s="1189"/>
      <c r="AG184" s="1189"/>
      <c r="AH184" s="1189"/>
      <c r="AI184" s="1189"/>
    </row>
    <row r="185">
      <c r="A185" s="1202"/>
      <c r="B185" s="1203"/>
      <c r="C185" s="1189"/>
      <c r="D185" s="1189"/>
      <c r="E185" s="1189"/>
      <c r="F185" s="1189"/>
      <c r="G185" s="1189"/>
      <c r="H185" s="1189"/>
      <c r="I185" s="1189"/>
      <c r="J185" s="1189"/>
      <c r="K185" s="1189"/>
      <c r="L185" s="1189"/>
      <c r="M185" s="1189"/>
      <c r="N185" s="1189"/>
      <c r="O185" s="1189"/>
      <c r="P185" s="1189"/>
      <c r="Q185" s="1189"/>
      <c r="R185" s="1189"/>
      <c r="S185" s="1189"/>
      <c r="T185" s="1189"/>
      <c r="U185" s="1189"/>
      <c r="V185" s="1189"/>
      <c r="W185" s="1189"/>
      <c r="X185" s="1189"/>
      <c r="Y185" s="1189"/>
      <c r="Z185" s="1189"/>
      <c r="AA185" s="1189"/>
      <c r="AB185" s="1189"/>
      <c r="AC185" s="1189"/>
      <c r="AD185" s="1189"/>
      <c r="AE185" s="1189"/>
      <c r="AF185" s="1189"/>
      <c r="AG185" s="1189"/>
      <c r="AH185" s="1189"/>
      <c r="AI185" s="1189"/>
    </row>
    <row r="186">
      <c r="A186" s="1202"/>
      <c r="B186" s="1203"/>
      <c r="C186" s="1189"/>
      <c r="D186" s="1189"/>
      <c r="E186" s="1189"/>
      <c r="F186" s="1189"/>
      <c r="G186" s="1189"/>
      <c r="H186" s="1189"/>
      <c r="I186" s="1189"/>
      <c r="J186" s="1189"/>
      <c r="K186" s="1189"/>
      <c r="L186" s="1189"/>
      <c r="M186" s="1189"/>
      <c r="N186" s="1189"/>
      <c r="O186" s="1189"/>
      <c r="P186" s="1189"/>
      <c r="Q186" s="1189"/>
      <c r="R186" s="1189"/>
      <c r="S186" s="1189"/>
      <c r="T186" s="1189"/>
      <c r="U186" s="1189"/>
      <c r="V186" s="1189"/>
      <c r="W186" s="1189"/>
      <c r="X186" s="1189"/>
      <c r="Y186" s="1189"/>
      <c r="Z186" s="1189"/>
      <c r="AA186" s="1189"/>
      <c r="AB186" s="1189"/>
      <c r="AC186" s="1189"/>
      <c r="AD186" s="1189"/>
      <c r="AE186" s="1189"/>
      <c r="AF186" s="1189"/>
      <c r="AG186" s="1189"/>
      <c r="AH186" s="1189"/>
      <c r="AI186" s="1189"/>
    </row>
    <row r="187">
      <c r="A187" s="1202"/>
      <c r="B187" s="1203"/>
      <c r="C187" s="1189"/>
      <c r="D187" s="1189"/>
      <c r="E187" s="1189"/>
      <c r="F187" s="1189"/>
      <c r="G187" s="1189"/>
      <c r="H187" s="1189"/>
      <c r="I187" s="1189"/>
      <c r="J187" s="1189"/>
      <c r="K187" s="1189"/>
      <c r="L187" s="1189"/>
      <c r="M187" s="1189"/>
      <c r="N187" s="1189"/>
      <c r="O187" s="1189"/>
      <c r="P187" s="1189"/>
      <c r="Q187" s="1189"/>
      <c r="R187" s="1189"/>
      <c r="S187" s="1189"/>
      <c r="T187" s="1189"/>
      <c r="U187" s="1189"/>
      <c r="V187" s="1189"/>
      <c r="W187" s="1189"/>
      <c r="X187" s="1189"/>
      <c r="Y187" s="1189"/>
      <c r="Z187" s="1189"/>
      <c r="AA187" s="1189"/>
      <c r="AB187" s="1189"/>
      <c r="AC187" s="1189"/>
      <c r="AD187" s="1189"/>
      <c r="AE187" s="1189"/>
      <c r="AF187" s="1189"/>
      <c r="AG187" s="1189"/>
      <c r="AH187" s="1189"/>
      <c r="AI187" s="1189"/>
    </row>
    <row r="188">
      <c r="A188" s="1202"/>
      <c r="B188" s="1203"/>
      <c r="C188" s="1189"/>
      <c r="D188" s="1189"/>
      <c r="E188" s="1189"/>
      <c r="F188" s="1189"/>
      <c r="G188" s="1189"/>
      <c r="H188" s="1189"/>
      <c r="I188" s="1189"/>
      <c r="J188" s="1189"/>
      <c r="K188" s="1189"/>
      <c r="L188" s="1189"/>
      <c r="M188" s="1189"/>
      <c r="N188" s="1189"/>
      <c r="O188" s="1189"/>
      <c r="P188" s="1189"/>
      <c r="Q188" s="1189"/>
      <c r="R188" s="1189"/>
      <c r="S188" s="1189"/>
      <c r="T188" s="1189"/>
      <c r="U188" s="1189"/>
      <c r="V188" s="1189"/>
      <c r="W188" s="1189"/>
      <c r="X188" s="1189"/>
      <c r="Y188" s="1189"/>
      <c r="Z188" s="1189"/>
      <c r="AA188" s="1189"/>
      <c r="AB188" s="1189"/>
      <c r="AC188" s="1189"/>
      <c r="AD188" s="1189"/>
      <c r="AE188" s="1189"/>
      <c r="AF188" s="1189"/>
      <c r="AG188" s="1189"/>
      <c r="AH188" s="1189"/>
      <c r="AI188" s="1189"/>
    </row>
    <row r="189">
      <c r="A189" s="1202"/>
      <c r="B189" s="1203"/>
      <c r="C189" s="1189"/>
      <c r="D189" s="1189"/>
      <c r="E189" s="1189"/>
      <c r="F189" s="1189"/>
      <c r="G189" s="1189"/>
      <c r="H189" s="1189"/>
      <c r="I189" s="1189"/>
      <c r="J189" s="1189"/>
      <c r="K189" s="1189"/>
      <c r="L189" s="1189"/>
      <c r="M189" s="1189"/>
      <c r="N189" s="1189"/>
      <c r="O189" s="1189"/>
      <c r="P189" s="1189"/>
      <c r="Q189" s="1189"/>
      <c r="R189" s="1189"/>
      <c r="S189" s="1189"/>
      <c r="T189" s="1189"/>
      <c r="U189" s="1189"/>
      <c r="V189" s="1189"/>
      <c r="W189" s="1189"/>
      <c r="X189" s="1189"/>
      <c r="Y189" s="1189"/>
      <c r="Z189" s="1189"/>
      <c r="AA189" s="1189"/>
      <c r="AB189" s="1189"/>
      <c r="AC189" s="1189"/>
      <c r="AD189" s="1189"/>
      <c r="AE189" s="1189"/>
      <c r="AF189" s="1189"/>
      <c r="AG189" s="1189"/>
      <c r="AH189" s="1189"/>
      <c r="AI189" s="1189"/>
    </row>
    <row r="190">
      <c r="A190" s="1202"/>
      <c r="B190" s="1203"/>
      <c r="C190" s="1189"/>
      <c r="D190" s="1189"/>
      <c r="E190" s="1189"/>
      <c r="F190" s="1189"/>
      <c r="G190" s="1189"/>
      <c r="H190" s="1189"/>
      <c r="I190" s="1189"/>
      <c r="J190" s="1189"/>
      <c r="K190" s="1189"/>
      <c r="L190" s="1189"/>
      <c r="M190" s="1189"/>
      <c r="N190" s="1189"/>
      <c r="O190" s="1189"/>
      <c r="P190" s="1189"/>
      <c r="Q190" s="1189"/>
      <c r="R190" s="1189"/>
      <c r="S190" s="1189"/>
      <c r="T190" s="1189"/>
      <c r="U190" s="1189"/>
      <c r="V190" s="1189"/>
      <c r="W190" s="1189"/>
      <c r="X190" s="1189"/>
      <c r="Y190" s="1189"/>
      <c r="Z190" s="1189"/>
      <c r="AA190" s="1189"/>
      <c r="AB190" s="1189"/>
      <c r="AC190" s="1189"/>
      <c r="AD190" s="1189"/>
      <c r="AE190" s="1189"/>
      <c r="AF190" s="1189"/>
      <c r="AG190" s="1189"/>
      <c r="AH190" s="1189"/>
      <c r="AI190" s="1189"/>
    </row>
    <row r="191">
      <c r="A191" s="1202"/>
      <c r="B191" s="1203"/>
      <c r="C191" s="1189"/>
      <c r="D191" s="1189"/>
      <c r="E191" s="1189"/>
      <c r="F191" s="1189"/>
      <c r="G191" s="1189"/>
      <c r="H191" s="1189"/>
      <c r="I191" s="1189"/>
      <c r="J191" s="1189"/>
      <c r="K191" s="1189"/>
      <c r="L191" s="1189"/>
      <c r="M191" s="1189"/>
      <c r="N191" s="1189"/>
      <c r="O191" s="1189"/>
      <c r="P191" s="1189"/>
      <c r="Q191" s="1189"/>
      <c r="R191" s="1189"/>
      <c r="S191" s="1189"/>
      <c r="T191" s="1189"/>
      <c r="U191" s="1189"/>
      <c r="V191" s="1189"/>
      <c r="W191" s="1189"/>
      <c r="X191" s="1189"/>
      <c r="Y191" s="1189"/>
      <c r="Z191" s="1189"/>
      <c r="AA191" s="1189"/>
      <c r="AB191" s="1189"/>
      <c r="AC191" s="1189"/>
      <c r="AD191" s="1189"/>
      <c r="AE191" s="1189"/>
      <c r="AF191" s="1189"/>
      <c r="AG191" s="1189"/>
      <c r="AH191" s="1189"/>
      <c r="AI191" s="1189"/>
    </row>
    <row r="192">
      <c r="A192" s="1202"/>
      <c r="B192" s="1203"/>
      <c r="C192" s="1189"/>
      <c r="D192" s="1189"/>
      <c r="E192" s="1189"/>
      <c r="F192" s="1189"/>
      <c r="G192" s="1189"/>
      <c r="H192" s="1189"/>
      <c r="I192" s="1189"/>
      <c r="J192" s="1189"/>
      <c r="K192" s="1189"/>
      <c r="L192" s="1189"/>
      <c r="M192" s="1189"/>
      <c r="N192" s="1189"/>
      <c r="O192" s="1189"/>
      <c r="P192" s="1189"/>
      <c r="Q192" s="1189"/>
      <c r="R192" s="1189"/>
      <c r="S192" s="1189"/>
      <c r="T192" s="1189"/>
      <c r="U192" s="1189"/>
      <c r="V192" s="1189"/>
      <c r="W192" s="1189"/>
      <c r="X192" s="1189"/>
      <c r="Y192" s="1189"/>
      <c r="Z192" s="1189"/>
      <c r="AA192" s="1189"/>
      <c r="AB192" s="1189"/>
      <c r="AC192" s="1189"/>
      <c r="AD192" s="1189"/>
      <c r="AE192" s="1189"/>
      <c r="AF192" s="1189"/>
      <c r="AG192" s="1189"/>
      <c r="AH192" s="1189"/>
      <c r="AI192" s="1189"/>
    </row>
    <row r="193">
      <c r="A193" s="1202"/>
      <c r="B193" s="1203"/>
      <c r="C193" s="1189"/>
      <c r="D193" s="1189"/>
      <c r="E193" s="1189"/>
      <c r="F193" s="1189"/>
      <c r="G193" s="1189"/>
      <c r="H193" s="1189"/>
      <c r="I193" s="1189"/>
      <c r="J193" s="1189"/>
      <c r="K193" s="1189"/>
      <c r="L193" s="1189"/>
      <c r="M193" s="1189"/>
      <c r="N193" s="1189"/>
      <c r="O193" s="1189"/>
      <c r="P193" s="1189"/>
      <c r="Q193" s="1189"/>
      <c r="R193" s="1189"/>
      <c r="S193" s="1189"/>
      <c r="T193" s="1189"/>
      <c r="U193" s="1189"/>
      <c r="V193" s="1189"/>
      <c r="W193" s="1189"/>
      <c r="X193" s="1189"/>
      <c r="Y193" s="1189"/>
      <c r="Z193" s="1189"/>
      <c r="AA193" s="1189"/>
      <c r="AB193" s="1189"/>
      <c r="AC193" s="1189"/>
      <c r="AD193" s="1189"/>
      <c r="AE193" s="1189"/>
      <c r="AF193" s="1189"/>
      <c r="AG193" s="1189"/>
      <c r="AH193" s="1189"/>
      <c r="AI193" s="1189"/>
    </row>
    <row r="194">
      <c r="A194" s="1202"/>
      <c r="B194" s="1203"/>
      <c r="C194" s="1189"/>
      <c r="D194" s="1189"/>
      <c r="E194" s="1189"/>
      <c r="F194" s="1189"/>
      <c r="G194" s="1189"/>
      <c r="H194" s="1189"/>
      <c r="I194" s="1189"/>
      <c r="J194" s="1189"/>
      <c r="K194" s="1189"/>
      <c r="L194" s="1189"/>
      <c r="M194" s="1189"/>
      <c r="N194" s="1189"/>
      <c r="O194" s="1189"/>
      <c r="P194" s="1189"/>
      <c r="Q194" s="1189"/>
      <c r="R194" s="1189"/>
      <c r="S194" s="1189"/>
      <c r="T194" s="1189"/>
      <c r="U194" s="1189"/>
      <c r="V194" s="1189"/>
      <c r="W194" s="1189"/>
      <c r="X194" s="1189"/>
      <c r="Y194" s="1189"/>
      <c r="Z194" s="1189"/>
      <c r="AA194" s="1189"/>
      <c r="AB194" s="1189"/>
      <c r="AC194" s="1189"/>
      <c r="AD194" s="1189"/>
      <c r="AE194" s="1189"/>
      <c r="AF194" s="1189"/>
      <c r="AG194" s="1189"/>
      <c r="AH194" s="1189"/>
      <c r="AI194" s="1189"/>
    </row>
    <row r="195">
      <c r="A195" s="1202"/>
      <c r="B195" s="1203"/>
      <c r="C195" s="1189"/>
      <c r="D195" s="1189"/>
      <c r="E195" s="1189"/>
      <c r="F195" s="1189"/>
      <c r="G195" s="1189"/>
      <c r="H195" s="1189"/>
      <c r="I195" s="1189"/>
      <c r="J195" s="1189"/>
      <c r="K195" s="1189"/>
      <c r="L195" s="1189"/>
      <c r="M195" s="1189"/>
      <c r="N195" s="1189"/>
      <c r="O195" s="1189"/>
      <c r="P195" s="1189"/>
      <c r="Q195" s="1189"/>
      <c r="R195" s="1189"/>
      <c r="S195" s="1189"/>
      <c r="T195" s="1189"/>
      <c r="U195" s="1189"/>
      <c r="V195" s="1189"/>
      <c r="W195" s="1189"/>
      <c r="X195" s="1189"/>
      <c r="Y195" s="1189"/>
      <c r="Z195" s="1189"/>
      <c r="AA195" s="1189"/>
      <c r="AB195" s="1189"/>
      <c r="AC195" s="1189"/>
      <c r="AD195" s="1189"/>
      <c r="AE195" s="1189"/>
      <c r="AF195" s="1189"/>
      <c r="AG195" s="1189"/>
      <c r="AH195" s="1189"/>
      <c r="AI195" s="1189"/>
    </row>
    <row r="196">
      <c r="A196" s="1202"/>
      <c r="B196" s="1203"/>
      <c r="C196" s="1189"/>
      <c r="D196" s="1189"/>
      <c r="E196" s="1189"/>
      <c r="F196" s="1189"/>
      <c r="G196" s="1189"/>
      <c r="H196" s="1189"/>
      <c r="I196" s="1189"/>
      <c r="J196" s="1189"/>
      <c r="K196" s="1189"/>
      <c r="L196" s="1189"/>
      <c r="M196" s="1189"/>
      <c r="N196" s="1189"/>
      <c r="O196" s="1189"/>
      <c r="P196" s="1189"/>
      <c r="Q196" s="1189"/>
      <c r="R196" s="1189"/>
      <c r="S196" s="1189"/>
      <c r="T196" s="1189"/>
      <c r="U196" s="1189"/>
      <c r="V196" s="1189"/>
      <c r="W196" s="1189"/>
      <c r="X196" s="1189"/>
      <c r="Y196" s="1189"/>
      <c r="Z196" s="1189"/>
      <c r="AA196" s="1189"/>
      <c r="AB196" s="1189"/>
      <c r="AC196" s="1189"/>
      <c r="AD196" s="1189"/>
      <c r="AE196" s="1189"/>
      <c r="AF196" s="1189"/>
      <c r="AG196" s="1189"/>
      <c r="AH196" s="1189"/>
      <c r="AI196" s="1189"/>
    </row>
    <row r="197">
      <c r="A197" s="1202"/>
      <c r="B197" s="1203"/>
      <c r="C197" s="1189"/>
      <c r="D197" s="1189"/>
      <c r="E197" s="1189"/>
      <c r="F197" s="1189"/>
      <c r="G197" s="1189"/>
      <c r="H197" s="1189"/>
      <c r="I197" s="1189"/>
      <c r="J197" s="1189"/>
      <c r="K197" s="1189"/>
      <c r="L197" s="1189"/>
      <c r="M197" s="1189"/>
      <c r="N197" s="1189"/>
      <c r="O197" s="1189"/>
      <c r="P197" s="1189"/>
      <c r="Q197" s="1189"/>
      <c r="R197" s="1189"/>
      <c r="S197" s="1189"/>
      <c r="T197" s="1189"/>
      <c r="U197" s="1189"/>
      <c r="V197" s="1189"/>
      <c r="W197" s="1189"/>
      <c r="X197" s="1189"/>
      <c r="Y197" s="1189"/>
      <c r="Z197" s="1189"/>
      <c r="AA197" s="1189"/>
      <c r="AB197" s="1189"/>
      <c r="AC197" s="1189"/>
      <c r="AD197" s="1189"/>
      <c r="AE197" s="1189"/>
      <c r="AF197" s="1189"/>
      <c r="AG197" s="1189"/>
      <c r="AH197" s="1189"/>
      <c r="AI197" s="1189"/>
    </row>
    <row r="198">
      <c r="A198" s="1202"/>
      <c r="B198" s="1203"/>
      <c r="C198" s="1189"/>
      <c r="D198" s="1189"/>
      <c r="E198" s="1189"/>
      <c r="F198" s="1189"/>
      <c r="G198" s="1189"/>
      <c r="H198" s="1189"/>
      <c r="I198" s="1189"/>
      <c r="J198" s="1189"/>
      <c r="K198" s="1189"/>
      <c r="L198" s="1189"/>
      <c r="M198" s="1189"/>
      <c r="N198" s="1189"/>
      <c r="O198" s="1189"/>
      <c r="P198" s="1189"/>
      <c r="Q198" s="1189"/>
      <c r="R198" s="1189"/>
      <c r="S198" s="1189"/>
      <c r="T198" s="1189"/>
      <c r="U198" s="1189"/>
      <c r="V198" s="1189"/>
      <c r="W198" s="1189"/>
      <c r="X198" s="1189"/>
      <c r="Y198" s="1189"/>
      <c r="Z198" s="1189"/>
      <c r="AA198" s="1189"/>
      <c r="AB198" s="1189"/>
      <c r="AC198" s="1189"/>
      <c r="AD198" s="1189"/>
      <c r="AE198" s="1189"/>
      <c r="AF198" s="1189"/>
      <c r="AG198" s="1189"/>
      <c r="AH198" s="1189"/>
      <c r="AI198" s="1189"/>
    </row>
    <row r="199">
      <c r="A199" s="1202"/>
      <c r="B199" s="1203"/>
      <c r="C199" s="1189"/>
      <c r="D199" s="1189"/>
      <c r="E199" s="1189"/>
      <c r="F199" s="1189"/>
      <c r="G199" s="1189"/>
      <c r="H199" s="1189"/>
      <c r="I199" s="1189"/>
      <c r="J199" s="1189"/>
      <c r="K199" s="1189"/>
      <c r="L199" s="1189"/>
      <c r="M199" s="1189"/>
      <c r="N199" s="1189"/>
      <c r="O199" s="1189"/>
      <c r="P199" s="1189"/>
      <c r="Q199" s="1189"/>
      <c r="R199" s="1189"/>
      <c r="S199" s="1189"/>
      <c r="T199" s="1189"/>
      <c r="U199" s="1189"/>
      <c r="V199" s="1189"/>
      <c r="W199" s="1189"/>
      <c r="X199" s="1189"/>
      <c r="Y199" s="1189"/>
      <c r="Z199" s="1189"/>
      <c r="AA199" s="1189"/>
      <c r="AB199" s="1189"/>
      <c r="AC199" s="1189"/>
      <c r="AD199" s="1189"/>
      <c r="AE199" s="1189"/>
      <c r="AF199" s="1189"/>
      <c r="AG199" s="1189"/>
      <c r="AH199" s="1189"/>
      <c r="AI199" s="1189"/>
    </row>
    <row r="200">
      <c r="A200" s="1202"/>
      <c r="B200" s="1203"/>
      <c r="C200" s="1189"/>
      <c r="D200" s="1189"/>
      <c r="E200" s="1189"/>
      <c r="F200" s="1189"/>
      <c r="G200" s="1189"/>
      <c r="H200" s="1189"/>
      <c r="I200" s="1189"/>
      <c r="J200" s="1189"/>
      <c r="K200" s="1189"/>
      <c r="L200" s="1189"/>
      <c r="M200" s="1189"/>
      <c r="N200" s="1189"/>
      <c r="O200" s="1189"/>
      <c r="P200" s="1189"/>
      <c r="Q200" s="1189"/>
      <c r="R200" s="1189"/>
      <c r="S200" s="1189"/>
      <c r="T200" s="1189"/>
      <c r="U200" s="1189"/>
      <c r="V200" s="1189"/>
      <c r="W200" s="1189"/>
      <c r="X200" s="1189"/>
      <c r="Y200" s="1189"/>
      <c r="Z200" s="1189"/>
      <c r="AA200" s="1189"/>
      <c r="AB200" s="1189"/>
      <c r="AC200" s="1189"/>
      <c r="AD200" s="1189"/>
      <c r="AE200" s="1189"/>
      <c r="AF200" s="1189"/>
      <c r="AG200" s="1189"/>
      <c r="AH200" s="1189"/>
      <c r="AI200" s="1189"/>
    </row>
    <row r="201">
      <c r="A201" s="1202"/>
      <c r="B201" s="1203"/>
      <c r="C201" s="1189"/>
      <c r="D201" s="1189"/>
      <c r="E201" s="1189"/>
      <c r="F201" s="1189"/>
      <c r="G201" s="1189"/>
      <c r="H201" s="1189"/>
      <c r="I201" s="1189"/>
      <c r="J201" s="1189"/>
      <c r="K201" s="1189"/>
      <c r="L201" s="1189"/>
      <c r="M201" s="1189"/>
      <c r="N201" s="1189"/>
      <c r="O201" s="1189"/>
      <c r="P201" s="1189"/>
      <c r="Q201" s="1189"/>
      <c r="R201" s="1189"/>
      <c r="S201" s="1189"/>
      <c r="T201" s="1189"/>
      <c r="U201" s="1189"/>
      <c r="V201" s="1189"/>
      <c r="W201" s="1189"/>
      <c r="X201" s="1189"/>
      <c r="Y201" s="1189"/>
      <c r="Z201" s="1189"/>
      <c r="AA201" s="1189"/>
      <c r="AB201" s="1189"/>
      <c r="AC201" s="1189"/>
      <c r="AD201" s="1189"/>
      <c r="AE201" s="1189"/>
      <c r="AF201" s="1189"/>
      <c r="AG201" s="1189"/>
      <c r="AH201" s="1189"/>
      <c r="AI201" s="1189"/>
    </row>
    <row r="202">
      <c r="A202" s="1202"/>
      <c r="B202" s="1203"/>
      <c r="C202" s="1189"/>
      <c r="D202" s="1189"/>
      <c r="E202" s="1189"/>
      <c r="F202" s="1189"/>
      <c r="G202" s="1189"/>
      <c r="H202" s="1189"/>
      <c r="I202" s="1189"/>
      <c r="J202" s="1189"/>
      <c r="K202" s="1189"/>
      <c r="L202" s="1189"/>
      <c r="M202" s="1189"/>
      <c r="N202" s="1189"/>
      <c r="O202" s="1189"/>
      <c r="P202" s="1189"/>
      <c r="Q202" s="1189"/>
      <c r="R202" s="1189"/>
      <c r="S202" s="1189"/>
      <c r="T202" s="1189"/>
      <c r="U202" s="1189"/>
      <c r="V202" s="1189"/>
      <c r="W202" s="1189"/>
      <c r="X202" s="1189"/>
      <c r="Y202" s="1189"/>
      <c r="Z202" s="1189"/>
      <c r="AA202" s="1189"/>
      <c r="AB202" s="1189"/>
      <c r="AC202" s="1189"/>
      <c r="AD202" s="1189"/>
      <c r="AE202" s="1189"/>
      <c r="AF202" s="1189"/>
      <c r="AG202" s="1189"/>
      <c r="AH202" s="1189"/>
      <c r="AI202" s="1189"/>
    </row>
    <row r="203">
      <c r="A203" s="1202"/>
      <c r="B203" s="1203"/>
      <c r="C203" s="1189"/>
      <c r="D203" s="1189"/>
      <c r="E203" s="1189"/>
      <c r="F203" s="1189"/>
      <c r="G203" s="1189"/>
      <c r="H203" s="1189"/>
      <c r="I203" s="1189"/>
      <c r="J203" s="1189"/>
      <c r="K203" s="1189"/>
      <c r="L203" s="1189"/>
      <c r="M203" s="1189"/>
      <c r="N203" s="1189"/>
      <c r="O203" s="1189"/>
      <c r="P203" s="1189"/>
      <c r="Q203" s="1189"/>
      <c r="R203" s="1189"/>
      <c r="S203" s="1189"/>
      <c r="T203" s="1189"/>
      <c r="U203" s="1189"/>
      <c r="V203" s="1189"/>
      <c r="W203" s="1189"/>
      <c r="X203" s="1189"/>
      <c r="Y203" s="1189"/>
      <c r="Z203" s="1189"/>
      <c r="AA203" s="1189"/>
      <c r="AB203" s="1189"/>
      <c r="AC203" s="1189"/>
      <c r="AD203" s="1189"/>
      <c r="AE203" s="1189"/>
      <c r="AF203" s="1189"/>
      <c r="AG203" s="1189"/>
      <c r="AH203" s="1189"/>
      <c r="AI203" s="1189"/>
    </row>
    <row r="204">
      <c r="A204" s="1202"/>
      <c r="B204" s="1203"/>
      <c r="C204" s="1189"/>
      <c r="D204" s="1189"/>
      <c r="E204" s="1189"/>
      <c r="F204" s="1189"/>
      <c r="G204" s="1189"/>
      <c r="H204" s="1189"/>
      <c r="I204" s="1189"/>
      <c r="J204" s="1189"/>
      <c r="K204" s="1189"/>
      <c r="L204" s="1189"/>
      <c r="M204" s="1189"/>
      <c r="N204" s="1189"/>
      <c r="O204" s="1189"/>
      <c r="P204" s="1189"/>
      <c r="Q204" s="1189"/>
      <c r="R204" s="1189"/>
      <c r="S204" s="1189"/>
      <c r="T204" s="1189"/>
      <c r="U204" s="1189"/>
      <c r="V204" s="1189"/>
      <c r="W204" s="1189"/>
      <c r="X204" s="1189"/>
      <c r="Y204" s="1189"/>
      <c r="Z204" s="1189"/>
      <c r="AA204" s="1189"/>
      <c r="AB204" s="1189"/>
      <c r="AC204" s="1189"/>
      <c r="AD204" s="1189"/>
      <c r="AE204" s="1189"/>
      <c r="AF204" s="1189"/>
      <c r="AG204" s="1189"/>
      <c r="AH204" s="1189"/>
      <c r="AI204" s="1189"/>
    </row>
    <row r="205">
      <c r="A205" s="1202"/>
      <c r="B205" s="1203"/>
      <c r="C205" s="1189"/>
      <c r="D205" s="1189"/>
      <c r="E205" s="1189"/>
      <c r="F205" s="1189"/>
      <c r="G205" s="1189"/>
      <c r="H205" s="1189"/>
      <c r="I205" s="1189"/>
      <c r="J205" s="1189"/>
      <c r="K205" s="1189"/>
      <c r="L205" s="1189"/>
      <c r="M205" s="1189"/>
      <c r="N205" s="1189"/>
      <c r="O205" s="1189"/>
      <c r="P205" s="1189"/>
      <c r="Q205" s="1189"/>
      <c r="R205" s="1189"/>
      <c r="S205" s="1189"/>
      <c r="T205" s="1189"/>
      <c r="U205" s="1189"/>
      <c r="V205" s="1189"/>
      <c r="W205" s="1189"/>
      <c r="X205" s="1189"/>
      <c r="Y205" s="1189"/>
      <c r="Z205" s="1189"/>
      <c r="AA205" s="1189"/>
      <c r="AB205" s="1189"/>
      <c r="AC205" s="1189"/>
      <c r="AD205" s="1189"/>
      <c r="AE205" s="1189"/>
      <c r="AF205" s="1189"/>
      <c r="AG205" s="1189"/>
      <c r="AH205" s="1189"/>
      <c r="AI205" s="1189"/>
    </row>
    <row r="206">
      <c r="A206" s="1202"/>
      <c r="B206" s="1203"/>
      <c r="C206" s="1189"/>
      <c r="D206" s="1189"/>
      <c r="E206" s="1189"/>
      <c r="F206" s="1189"/>
      <c r="G206" s="1189"/>
      <c r="H206" s="1189"/>
      <c r="I206" s="1189"/>
      <c r="J206" s="1189"/>
      <c r="K206" s="1189"/>
      <c r="L206" s="1189"/>
      <c r="M206" s="1189"/>
      <c r="N206" s="1189"/>
      <c r="O206" s="1189"/>
      <c r="P206" s="1189"/>
      <c r="Q206" s="1189"/>
      <c r="R206" s="1189"/>
      <c r="S206" s="1189"/>
      <c r="T206" s="1189"/>
      <c r="U206" s="1189"/>
      <c r="V206" s="1189"/>
      <c r="W206" s="1189"/>
      <c r="X206" s="1189"/>
      <c r="Y206" s="1189"/>
      <c r="Z206" s="1189"/>
      <c r="AA206" s="1189"/>
      <c r="AB206" s="1189"/>
      <c r="AC206" s="1189"/>
      <c r="AD206" s="1189"/>
      <c r="AE206" s="1189"/>
      <c r="AF206" s="1189"/>
      <c r="AG206" s="1189"/>
      <c r="AH206" s="1189"/>
      <c r="AI206" s="1189"/>
    </row>
    <row r="207">
      <c r="A207" s="1202"/>
      <c r="B207" s="1203"/>
      <c r="C207" s="1189"/>
      <c r="D207" s="1189"/>
      <c r="E207" s="1189"/>
      <c r="F207" s="1189"/>
      <c r="G207" s="1189"/>
      <c r="H207" s="1189"/>
      <c r="I207" s="1189"/>
      <c r="J207" s="1189"/>
      <c r="K207" s="1189"/>
      <c r="L207" s="1189"/>
      <c r="M207" s="1189"/>
      <c r="N207" s="1189"/>
      <c r="O207" s="1189"/>
      <c r="P207" s="1189"/>
      <c r="Q207" s="1189"/>
      <c r="R207" s="1189"/>
      <c r="S207" s="1189"/>
      <c r="T207" s="1189"/>
      <c r="U207" s="1189"/>
      <c r="V207" s="1189"/>
      <c r="W207" s="1189"/>
      <c r="X207" s="1189"/>
      <c r="Y207" s="1189"/>
      <c r="Z207" s="1189"/>
      <c r="AA207" s="1189"/>
      <c r="AB207" s="1189"/>
      <c r="AC207" s="1189"/>
      <c r="AD207" s="1189"/>
      <c r="AE207" s="1189"/>
      <c r="AF207" s="1189"/>
      <c r="AG207" s="1189"/>
      <c r="AH207" s="1189"/>
      <c r="AI207" s="1189"/>
    </row>
    <row r="208">
      <c r="A208" s="1202"/>
      <c r="B208" s="1203"/>
      <c r="C208" s="1189"/>
      <c r="D208" s="1189"/>
      <c r="E208" s="1189"/>
      <c r="F208" s="1189"/>
      <c r="G208" s="1189"/>
      <c r="H208" s="1189"/>
      <c r="I208" s="1189"/>
      <c r="J208" s="1189"/>
      <c r="K208" s="1189"/>
      <c r="L208" s="1189"/>
      <c r="M208" s="1189"/>
      <c r="N208" s="1189"/>
      <c r="O208" s="1189"/>
      <c r="P208" s="1189"/>
      <c r="Q208" s="1189"/>
      <c r="R208" s="1189"/>
      <c r="S208" s="1189"/>
      <c r="T208" s="1189"/>
      <c r="U208" s="1189"/>
      <c r="V208" s="1189"/>
      <c r="W208" s="1189"/>
      <c r="X208" s="1189"/>
      <c r="Y208" s="1189"/>
      <c r="Z208" s="1189"/>
      <c r="AA208" s="1189"/>
      <c r="AB208" s="1189"/>
      <c r="AC208" s="1189"/>
      <c r="AD208" s="1189"/>
      <c r="AE208" s="1189"/>
      <c r="AF208" s="1189"/>
      <c r="AG208" s="1189"/>
      <c r="AH208" s="1189"/>
      <c r="AI208" s="1189"/>
    </row>
    <row r="209">
      <c r="A209" s="1202"/>
      <c r="B209" s="1203"/>
      <c r="C209" s="1189"/>
      <c r="D209" s="1189"/>
      <c r="E209" s="1189"/>
      <c r="F209" s="1189"/>
      <c r="G209" s="1189"/>
      <c r="H209" s="1189"/>
      <c r="I209" s="1189"/>
      <c r="J209" s="1189"/>
      <c r="K209" s="1189"/>
      <c r="L209" s="1189"/>
      <c r="M209" s="1189"/>
      <c r="N209" s="1189"/>
      <c r="O209" s="1189"/>
      <c r="P209" s="1189"/>
      <c r="Q209" s="1189"/>
      <c r="R209" s="1189"/>
      <c r="S209" s="1189"/>
      <c r="T209" s="1189"/>
      <c r="U209" s="1189"/>
      <c r="V209" s="1189"/>
      <c r="W209" s="1189"/>
      <c r="X209" s="1189"/>
      <c r="Y209" s="1189"/>
      <c r="Z209" s="1189"/>
      <c r="AA209" s="1189"/>
      <c r="AB209" s="1189"/>
      <c r="AC209" s="1189"/>
      <c r="AD209" s="1189"/>
      <c r="AE209" s="1189"/>
      <c r="AF209" s="1189"/>
      <c r="AG209" s="1189"/>
      <c r="AH209" s="1189"/>
      <c r="AI209" s="1189"/>
    </row>
    <row r="210">
      <c r="A210" s="1202"/>
      <c r="B210" s="1203"/>
      <c r="C210" s="1189"/>
      <c r="D210" s="1189"/>
      <c r="E210" s="1189"/>
      <c r="F210" s="1189"/>
      <c r="G210" s="1189"/>
      <c r="H210" s="1189"/>
      <c r="I210" s="1189"/>
      <c r="J210" s="1189"/>
      <c r="K210" s="1189"/>
      <c r="L210" s="1189"/>
      <c r="M210" s="1189"/>
      <c r="N210" s="1189"/>
      <c r="O210" s="1189"/>
      <c r="P210" s="1189"/>
      <c r="Q210" s="1189"/>
      <c r="R210" s="1189"/>
      <c r="S210" s="1189"/>
      <c r="T210" s="1189"/>
      <c r="U210" s="1189"/>
      <c r="V210" s="1189"/>
      <c r="W210" s="1189"/>
      <c r="X210" s="1189"/>
      <c r="Y210" s="1189"/>
      <c r="Z210" s="1189"/>
      <c r="AA210" s="1189"/>
      <c r="AB210" s="1189"/>
      <c r="AC210" s="1189"/>
      <c r="AD210" s="1189"/>
      <c r="AE210" s="1189"/>
      <c r="AF210" s="1189"/>
      <c r="AG210" s="1189"/>
      <c r="AH210" s="1189"/>
      <c r="AI210" s="1189"/>
    </row>
    <row r="211">
      <c r="A211" s="1202"/>
      <c r="B211" s="1203"/>
      <c r="C211" s="1189"/>
      <c r="D211" s="1189"/>
      <c r="E211" s="1189"/>
      <c r="F211" s="1189"/>
      <c r="G211" s="1189"/>
      <c r="H211" s="1189"/>
      <c r="I211" s="1189"/>
      <c r="J211" s="1189"/>
      <c r="K211" s="1189"/>
      <c r="L211" s="1189"/>
      <c r="M211" s="1189"/>
      <c r="N211" s="1189"/>
      <c r="O211" s="1189"/>
      <c r="P211" s="1189"/>
      <c r="Q211" s="1189"/>
      <c r="R211" s="1189"/>
      <c r="S211" s="1189"/>
      <c r="T211" s="1189"/>
      <c r="U211" s="1189"/>
      <c r="V211" s="1189"/>
      <c r="W211" s="1189"/>
      <c r="X211" s="1189"/>
      <c r="Y211" s="1189"/>
      <c r="Z211" s="1189"/>
      <c r="AA211" s="1189"/>
      <c r="AB211" s="1189"/>
      <c r="AC211" s="1189"/>
      <c r="AD211" s="1189"/>
      <c r="AE211" s="1189"/>
      <c r="AF211" s="1189"/>
      <c r="AG211" s="1189"/>
      <c r="AH211" s="1189"/>
      <c r="AI211" s="1189"/>
    </row>
    <row r="212">
      <c r="A212" s="1202"/>
      <c r="B212" s="1203"/>
      <c r="C212" s="1189"/>
      <c r="D212" s="1189"/>
      <c r="E212" s="1189"/>
      <c r="F212" s="1189"/>
      <c r="G212" s="1189"/>
      <c r="H212" s="1189"/>
      <c r="I212" s="1189"/>
      <c r="J212" s="1189"/>
      <c r="K212" s="1189"/>
      <c r="L212" s="1189"/>
      <c r="M212" s="1189"/>
      <c r="N212" s="1189"/>
      <c r="O212" s="1189"/>
      <c r="P212" s="1189"/>
      <c r="Q212" s="1189"/>
      <c r="R212" s="1189"/>
      <c r="S212" s="1189"/>
      <c r="T212" s="1189"/>
      <c r="U212" s="1189"/>
      <c r="V212" s="1189"/>
      <c r="W212" s="1189"/>
      <c r="X212" s="1189"/>
      <c r="Y212" s="1189"/>
      <c r="Z212" s="1189"/>
      <c r="AA212" s="1189"/>
      <c r="AB212" s="1189"/>
      <c r="AC212" s="1189"/>
      <c r="AD212" s="1189"/>
      <c r="AE212" s="1189"/>
      <c r="AF212" s="1189"/>
      <c r="AG212" s="1189"/>
      <c r="AH212" s="1189"/>
      <c r="AI212" s="1189"/>
    </row>
    <row r="213">
      <c r="A213" s="1202"/>
      <c r="B213" s="1203"/>
      <c r="C213" s="1189"/>
      <c r="D213" s="1189"/>
      <c r="E213" s="1189"/>
      <c r="F213" s="1189"/>
      <c r="G213" s="1189"/>
      <c r="H213" s="1189"/>
      <c r="I213" s="1189"/>
      <c r="J213" s="1189"/>
      <c r="K213" s="1189"/>
      <c r="L213" s="1189"/>
      <c r="M213" s="1189"/>
      <c r="N213" s="1189"/>
      <c r="O213" s="1189"/>
      <c r="P213" s="1189"/>
      <c r="Q213" s="1189"/>
      <c r="R213" s="1189"/>
      <c r="S213" s="1189"/>
      <c r="T213" s="1189"/>
      <c r="U213" s="1189"/>
      <c r="V213" s="1189"/>
      <c r="W213" s="1189"/>
      <c r="X213" s="1189"/>
      <c r="Y213" s="1189"/>
      <c r="Z213" s="1189"/>
      <c r="AA213" s="1189"/>
      <c r="AB213" s="1189"/>
      <c r="AC213" s="1189"/>
      <c r="AD213" s="1189"/>
      <c r="AE213" s="1189"/>
      <c r="AF213" s="1189"/>
      <c r="AG213" s="1189"/>
      <c r="AH213" s="1189"/>
      <c r="AI213" s="1189"/>
    </row>
    <row r="214">
      <c r="A214" s="1202"/>
      <c r="B214" s="1203"/>
      <c r="C214" s="1189"/>
      <c r="D214" s="1189"/>
      <c r="E214" s="1189"/>
      <c r="F214" s="1189"/>
      <c r="G214" s="1189"/>
      <c r="H214" s="1189"/>
      <c r="I214" s="1189"/>
      <c r="J214" s="1189"/>
      <c r="K214" s="1189"/>
      <c r="L214" s="1189"/>
      <c r="M214" s="1189"/>
      <c r="N214" s="1189"/>
      <c r="O214" s="1189"/>
      <c r="P214" s="1189"/>
      <c r="Q214" s="1189"/>
      <c r="R214" s="1189"/>
      <c r="S214" s="1189"/>
      <c r="T214" s="1189"/>
      <c r="U214" s="1189"/>
      <c r="V214" s="1189"/>
      <c r="W214" s="1189"/>
      <c r="X214" s="1189"/>
      <c r="Y214" s="1189"/>
      <c r="Z214" s="1189"/>
      <c r="AA214" s="1189"/>
      <c r="AB214" s="1189"/>
      <c r="AC214" s="1189"/>
      <c r="AD214" s="1189"/>
      <c r="AE214" s="1189"/>
      <c r="AF214" s="1189"/>
      <c r="AG214" s="1189"/>
      <c r="AH214" s="1189"/>
      <c r="AI214" s="1189"/>
    </row>
    <row r="215">
      <c r="A215" s="1202"/>
      <c r="B215" s="1203"/>
      <c r="C215" s="1189"/>
      <c r="D215" s="1189"/>
      <c r="E215" s="1189"/>
      <c r="F215" s="1189"/>
      <c r="G215" s="1189"/>
      <c r="H215" s="1189"/>
      <c r="I215" s="1189"/>
      <c r="J215" s="1189"/>
      <c r="K215" s="1189"/>
      <c r="L215" s="1189"/>
      <c r="M215" s="1189"/>
      <c r="N215" s="1189"/>
      <c r="O215" s="1189"/>
      <c r="P215" s="1189"/>
      <c r="Q215" s="1189"/>
      <c r="R215" s="1189"/>
      <c r="S215" s="1189"/>
      <c r="T215" s="1189"/>
      <c r="U215" s="1189"/>
      <c r="V215" s="1189"/>
      <c r="W215" s="1189"/>
      <c r="X215" s="1189"/>
      <c r="Y215" s="1189"/>
      <c r="Z215" s="1189"/>
      <c r="AA215" s="1189"/>
      <c r="AB215" s="1189"/>
      <c r="AC215" s="1189"/>
      <c r="AD215" s="1189"/>
      <c r="AE215" s="1189"/>
      <c r="AF215" s="1189"/>
      <c r="AG215" s="1189"/>
      <c r="AH215" s="1189"/>
      <c r="AI215" s="1189"/>
    </row>
    <row r="216">
      <c r="A216" s="1202"/>
      <c r="B216" s="1203"/>
      <c r="C216" s="1189"/>
      <c r="D216" s="1189"/>
      <c r="E216" s="1189"/>
      <c r="F216" s="1189"/>
      <c r="G216" s="1189"/>
      <c r="H216" s="1189"/>
      <c r="I216" s="1189"/>
      <c r="J216" s="1189"/>
      <c r="K216" s="1189"/>
      <c r="L216" s="1189"/>
      <c r="M216" s="1189"/>
      <c r="N216" s="1189"/>
      <c r="O216" s="1189"/>
      <c r="P216" s="1189"/>
      <c r="Q216" s="1189"/>
      <c r="R216" s="1189"/>
      <c r="S216" s="1189"/>
      <c r="T216" s="1189"/>
      <c r="U216" s="1189"/>
      <c r="V216" s="1189"/>
      <c r="W216" s="1189"/>
      <c r="X216" s="1189"/>
      <c r="Y216" s="1189"/>
      <c r="Z216" s="1189"/>
      <c r="AA216" s="1189"/>
      <c r="AB216" s="1189"/>
      <c r="AC216" s="1189"/>
      <c r="AD216" s="1189"/>
      <c r="AE216" s="1189"/>
      <c r="AF216" s="1189"/>
      <c r="AG216" s="1189"/>
      <c r="AH216" s="1189"/>
      <c r="AI216" s="1189"/>
    </row>
    <row r="217">
      <c r="A217" s="1202"/>
      <c r="B217" s="1203"/>
      <c r="C217" s="1189"/>
      <c r="D217" s="1189"/>
      <c r="E217" s="1189"/>
      <c r="F217" s="1189"/>
      <c r="G217" s="1189"/>
      <c r="H217" s="1189"/>
      <c r="I217" s="1189"/>
      <c r="J217" s="1189"/>
      <c r="K217" s="1189"/>
      <c r="L217" s="1189"/>
      <c r="M217" s="1189"/>
      <c r="N217" s="1189"/>
      <c r="O217" s="1189"/>
      <c r="P217" s="1189"/>
      <c r="Q217" s="1189"/>
      <c r="R217" s="1189"/>
      <c r="S217" s="1189"/>
      <c r="T217" s="1189"/>
      <c r="U217" s="1189"/>
      <c r="V217" s="1189"/>
      <c r="W217" s="1189"/>
      <c r="X217" s="1189"/>
      <c r="Y217" s="1189"/>
      <c r="Z217" s="1189"/>
      <c r="AA217" s="1189"/>
      <c r="AB217" s="1189"/>
      <c r="AC217" s="1189"/>
      <c r="AD217" s="1189"/>
      <c r="AE217" s="1189"/>
      <c r="AF217" s="1189"/>
      <c r="AG217" s="1189"/>
      <c r="AH217" s="1189"/>
      <c r="AI217" s="1189"/>
    </row>
    <row r="218">
      <c r="A218" s="1202"/>
      <c r="B218" s="1203"/>
      <c r="C218" s="1189"/>
      <c r="D218" s="1189"/>
      <c r="E218" s="1189"/>
      <c r="F218" s="1189"/>
      <c r="G218" s="1189"/>
      <c r="H218" s="1189"/>
      <c r="I218" s="1189"/>
      <c r="J218" s="1189"/>
      <c r="K218" s="1189"/>
      <c r="L218" s="1189"/>
      <c r="M218" s="1189"/>
      <c r="N218" s="1189"/>
      <c r="O218" s="1189"/>
      <c r="P218" s="1189"/>
      <c r="Q218" s="1189"/>
      <c r="R218" s="1189"/>
      <c r="S218" s="1189"/>
      <c r="T218" s="1189"/>
      <c r="U218" s="1189"/>
      <c r="V218" s="1189"/>
      <c r="W218" s="1189"/>
      <c r="X218" s="1189"/>
      <c r="Y218" s="1189"/>
      <c r="Z218" s="1189"/>
      <c r="AA218" s="1189"/>
      <c r="AB218" s="1189"/>
      <c r="AC218" s="1189"/>
      <c r="AD218" s="1189"/>
      <c r="AE218" s="1189"/>
      <c r="AF218" s="1189"/>
      <c r="AG218" s="1189"/>
      <c r="AH218" s="1189"/>
      <c r="AI218" s="1189"/>
    </row>
    <row r="219">
      <c r="A219" s="1202"/>
      <c r="B219" s="1203"/>
      <c r="C219" s="1189"/>
      <c r="D219" s="1189"/>
      <c r="E219" s="1189"/>
      <c r="F219" s="1189"/>
      <c r="G219" s="1189"/>
      <c r="H219" s="1189"/>
      <c r="I219" s="1189"/>
      <c r="J219" s="1189"/>
      <c r="K219" s="1189"/>
      <c r="L219" s="1189"/>
      <c r="M219" s="1189"/>
      <c r="N219" s="1189"/>
      <c r="O219" s="1189"/>
      <c r="P219" s="1189"/>
      <c r="Q219" s="1189"/>
      <c r="R219" s="1189"/>
      <c r="S219" s="1189"/>
      <c r="T219" s="1189"/>
      <c r="U219" s="1189"/>
      <c r="V219" s="1189"/>
      <c r="W219" s="1189"/>
      <c r="X219" s="1189"/>
      <c r="Y219" s="1189"/>
      <c r="Z219" s="1189"/>
      <c r="AA219" s="1189"/>
      <c r="AB219" s="1189"/>
      <c r="AC219" s="1189"/>
      <c r="AD219" s="1189"/>
      <c r="AE219" s="1189"/>
      <c r="AF219" s="1189"/>
      <c r="AG219" s="1189"/>
      <c r="AH219" s="1189"/>
      <c r="AI219" s="1189"/>
    </row>
    <row r="220">
      <c r="A220" s="1202"/>
      <c r="B220" s="1203"/>
      <c r="C220" s="1189"/>
      <c r="D220" s="1189"/>
      <c r="E220" s="1189"/>
      <c r="F220" s="1189"/>
      <c r="G220" s="1189"/>
      <c r="H220" s="1189"/>
      <c r="I220" s="1189"/>
      <c r="J220" s="1189"/>
      <c r="K220" s="1189"/>
      <c r="L220" s="1189"/>
      <c r="M220" s="1189"/>
      <c r="N220" s="1189"/>
      <c r="O220" s="1189"/>
      <c r="P220" s="1189"/>
      <c r="Q220" s="1189"/>
      <c r="R220" s="1189"/>
      <c r="S220" s="1189"/>
      <c r="T220" s="1189"/>
      <c r="U220" s="1189"/>
      <c r="V220" s="1189"/>
      <c r="W220" s="1189"/>
      <c r="X220" s="1189"/>
      <c r="Y220" s="1189"/>
      <c r="Z220" s="1189"/>
      <c r="AA220" s="1189"/>
      <c r="AB220" s="1189"/>
      <c r="AC220" s="1189"/>
      <c r="AD220" s="1189"/>
      <c r="AE220" s="1189"/>
      <c r="AF220" s="1189"/>
      <c r="AG220" s="1189"/>
      <c r="AH220" s="1189"/>
      <c r="AI220" s="1189"/>
    </row>
    <row r="221">
      <c r="A221" s="1202"/>
      <c r="B221" s="1203"/>
      <c r="C221" s="1189"/>
      <c r="D221" s="1189"/>
      <c r="E221" s="1189"/>
      <c r="F221" s="1189"/>
      <c r="G221" s="1189"/>
      <c r="H221" s="1189"/>
      <c r="I221" s="1189"/>
      <c r="J221" s="1189"/>
      <c r="K221" s="1189"/>
      <c r="L221" s="1189"/>
      <c r="M221" s="1189"/>
      <c r="N221" s="1189"/>
      <c r="O221" s="1189"/>
      <c r="P221" s="1189"/>
      <c r="Q221" s="1189"/>
      <c r="R221" s="1189"/>
      <c r="S221" s="1189"/>
      <c r="T221" s="1189"/>
      <c r="U221" s="1189"/>
      <c r="V221" s="1189"/>
      <c r="W221" s="1189"/>
      <c r="X221" s="1189"/>
      <c r="Y221" s="1189"/>
      <c r="Z221" s="1189"/>
      <c r="AA221" s="1189"/>
      <c r="AB221" s="1189"/>
      <c r="AC221" s="1189"/>
      <c r="AD221" s="1189"/>
      <c r="AE221" s="1189"/>
      <c r="AF221" s="1189"/>
      <c r="AG221" s="1189"/>
      <c r="AH221" s="1189"/>
      <c r="AI221" s="1189"/>
    </row>
    <row r="222">
      <c r="A222" s="1202"/>
      <c r="B222" s="1203"/>
      <c r="C222" s="1189"/>
      <c r="D222" s="1189"/>
      <c r="E222" s="1189"/>
      <c r="F222" s="1189"/>
      <c r="G222" s="1189"/>
      <c r="H222" s="1189"/>
      <c r="I222" s="1189"/>
      <c r="J222" s="1189"/>
      <c r="K222" s="1189"/>
      <c r="L222" s="1189"/>
      <c r="M222" s="1189"/>
      <c r="N222" s="1189"/>
      <c r="O222" s="1189"/>
      <c r="P222" s="1189"/>
      <c r="Q222" s="1189"/>
      <c r="R222" s="1189"/>
      <c r="S222" s="1189"/>
      <c r="T222" s="1189"/>
      <c r="U222" s="1189"/>
      <c r="V222" s="1189"/>
      <c r="W222" s="1189"/>
      <c r="X222" s="1189"/>
      <c r="Y222" s="1189"/>
      <c r="Z222" s="1189"/>
      <c r="AA222" s="1189"/>
      <c r="AB222" s="1189"/>
      <c r="AC222" s="1189"/>
      <c r="AD222" s="1189"/>
      <c r="AE222" s="1189"/>
      <c r="AF222" s="1189"/>
      <c r="AG222" s="1189"/>
      <c r="AH222" s="1189"/>
      <c r="AI222" s="1189"/>
    </row>
    <row r="223">
      <c r="A223" s="1202"/>
      <c r="B223" s="1203"/>
      <c r="C223" s="1189"/>
      <c r="D223" s="1189"/>
      <c r="E223" s="1189"/>
      <c r="F223" s="1189"/>
      <c r="G223" s="1189"/>
      <c r="H223" s="1189"/>
      <c r="I223" s="1189"/>
      <c r="J223" s="1189"/>
      <c r="K223" s="1189"/>
      <c r="L223" s="1189"/>
      <c r="M223" s="1189"/>
      <c r="N223" s="1189"/>
      <c r="O223" s="1189"/>
      <c r="P223" s="1189"/>
      <c r="Q223" s="1189"/>
      <c r="R223" s="1189"/>
      <c r="S223" s="1189"/>
      <c r="T223" s="1189"/>
      <c r="U223" s="1189"/>
      <c r="V223" s="1189"/>
      <c r="W223" s="1189"/>
      <c r="X223" s="1189"/>
      <c r="Y223" s="1189"/>
      <c r="Z223" s="1189"/>
      <c r="AA223" s="1189"/>
      <c r="AB223" s="1189"/>
      <c r="AC223" s="1189"/>
      <c r="AD223" s="1189"/>
      <c r="AE223" s="1189"/>
      <c r="AF223" s="1189"/>
      <c r="AG223" s="1189"/>
      <c r="AH223" s="1189"/>
      <c r="AI223" s="1189"/>
    </row>
    <row r="224">
      <c r="A224" s="1202"/>
      <c r="B224" s="1203"/>
      <c r="C224" s="1189"/>
      <c r="D224" s="1189"/>
      <c r="E224" s="1189"/>
      <c r="F224" s="1189"/>
      <c r="G224" s="1189"/>
      <c r="H224" s="1189"/>
      <c r="I224" s="1189"/>
      <c r="J224" s="1189"/>
      <c r="K224" s="1189"/>
      <c r="L224" s="1189"/>
      <c r="M224" s="1189"/>
      <c r="N224" s="1189"/>
      <c r="O224" s="1189"/>
      <c r="P224" s="1189"/>
      <c r="Q224" s="1189"/>
      <c r="R224" s="1189"/>
      <c r="S224" s="1189"/>
      <c r="T224" s="1189"/>
      <c r="U224" s="1189"/>
      <c r="V224" s="1189"/>
      <c r="W224" s="1189"/>
      <c r="X224" s="1189"/>
      <c r="Y224" s="1189"/>
      <c r="Z224" s="1189"/>
      <c r="AA224" s="1189"/>
      <c r="AB224" s="1189"/>
      <c r="AC224" s="1189"/>
      <c r="AD224" s="1189"/>
      <c r="AE224" s="1189"/>
      <c r="AF224" s="1189"/>
      <c r="AG224" s="1189"/>
      <c r="AH224" s="1189"/>
      <c r="AI224" s="1189"/>
    </row>
    <row r="225">
      <c r="A225" s="1202"/>
      <c r="B225" s="1203"/>
      <c r="C225" s="1189"/>
      <c r="D225" s="1189"/>
      <c r="E225" s="1189"/>
      <c r="F225" s="1189"/>
      <c r="G225" s="1189"/>
      <c r="H225" s="1189"/>
      <c r="I225" s="1189"/>
      <c r="J225" s="1189"/>
      <c r="K225" s="1189"/>
      <c r="L225" s="1189"/>
      <c r="M225" s="1189"/>
      <c r="N225" s="1189"/>
      <c r="O225" s="1189"/>
      <c r="P225" s="1189"/>
      <c r="Q225" s="1189"/>
      <c r="R225" s="1189"/>
      <c r="S225" s="1189"/>
      <c r="T225" s="1189"/>
      <c r="U225" s="1189"/>
      <c r="V225" s="1189"/>
      <c r="W225" s="1189"/>
      <c r="X225" s="1189"/>
      <c r="Y225" s="1189"/>
      <c r="Z225" s="1189"/>
      <c r="AA225" s="1189"/>
      <c r="AB225" s="1189"/>
      <c r="AC225" s="1189"/>
      <c r="AD225" s="1189"/>
      <c r="AE225" s="1189"/>
      <c r="AF225" s="1189"/>
      <c r="AG225" s="1189"/>
      <c r="AH225" s="1189"/>
      <c r="AI225" s="1189"/>
    </row>
    <row r="226">
      <c r="A226" s="1202"/>
      <c r="B226" s="1203"/>
      <c r="C226" s="1189"/>
      <c r="D226" s="1189"/>
      <c r="E226" s="1189"/>
      <c r="F226" s="1189"/>
      <c r="G226" s="1189"/>
      <c r="H226" s="1189"/>
      <c r="I226" s="1189"/>
      <c r="J226" s="1189"/>
      <c r="K226" s="1189"/>
      <c r="L226" s="1189"/>
      <c r="M226" s="1189"/>
      <c r="N226" s="1189"/>
      <c r="O226" s="1189"/>
      <c r="P226" s="1189"/>
      <c r="Q226" s="1189"/>
      <c r="R226" s="1189"/>
      <c r="S226" s="1189"/>
      <c r="T226" s="1189"/>
      <c r="U226" s="1189"/>
      <c r="V226" s="1189"/>
      <c r="W226" s="1189"/>
      <c r="X226" s="1189"/>
      <c r="Y226" s="1189"/>
      <c r="Z226" s="1189"/>
      <c r="AA226" s="1189"/>
      <c r="AB226" s="1189"/>
      <c r="AC226" s="1189"/>
      <c r="AD226" s="1189"/>
      <c r="AE226" s="1189"/>
      <c r="AF226" s="1189"/>
      <c r="AG226" s="1189"/>
      <c r="AH226" s="1189"/>
      <c r="AI226" s="1189"/>
    </row>
    <row r="227">
      <c r="A227" s="1202"/>
      <c r="B227" s="1203"/>
      <c r="C227" s="1189"/>
      <c r="D227" s="1189"/>
      <c r="E227" s="1189"/>
      <c r="F227" s="1189"/>
      <c r="G227" s="1189"/>
      <c r="H227" s="1189"/>
      <c r="I227" s="1189"/>
      <c r="J227" s="1189"/>
      <c r="K227" s="1189"/>
      <c r="L227" s="1189"/>
      <c r="M227" s="1189"/>
      <c r="N227" s="1189"/>
      <c r="O227" s="1189"/>
      <c r="P227" s="1189"/>
      <c r="Q227" s="1189"/>
      <c r="R227" s="1189"/>
      <c r="S227" s="1189"/>
      <c r="T227" s="1189"/>
      <c r="U227" s="1189"/>
      <c r="V227" s="1189"/>
      <c r="W227" s="1189"/>
      <c r="X227" s="1189"/>
      <c r="Y227" s="1189"/>
      <c r="Z227" s="1189"/>
      <c r="AA227" s="1189"/>
      <c r="AB227" s="1189"/>
      <c r="AC227" s="1189"/>
      <c r="AD227" s="1189"/>
      <c r="AE227" s="1189"/>
      <c r="AF227" s="1189"/>
      <c r="AG227" s="1189"/>
      <c r="AH227" s="1189"/>
      <c r="AI227" s="1189"/>
    </row>
    <row r="228">
      <c r="A228" s="1202"/>
      <c r="B228" s="1203"/>
      <c r="C228" s="1189"/>
      <c r="D228" s="1189"/>
      <c r="E228" s="1189"/>
      <c r="F228" s="1189"/>
      <c r="G228" s="1189"/>
      <c r="H228" s="1189"/>
      <c r="I228" s="1189"/>
      <c r="J228" s="1189"/>
      <c r="K228" s="1189"/>
      <c r="L228" s="1189"/>
      <c r="M228" s="1189"/>
      <c r="N228" s="1189"/>
      <c r="O228" s="1189"/>
      <c r="P228" s="1189"/>
      <c r="Q228" s="1189"/>
      <c r="R228" s="1189"/>
      <c r="S228" s="1189"/>
      <c r="T228" s="1189"/>
      <c r="U228" s="1189"/>
      <c r="V228" s="1189"/>
      <c r="W228" s="1189"/>
      <c r="X228" s="1189"/>
      <c r="Y228" s="1189"/>
      <c r="Z228" s="1189"/>
      <c r="AA228" s="1189"/>
      <c r="AB228" s="1189"/>
      <c r="AC228" s="1189"/>
      <c r="AD228" s="1189"/>
      <c r="AE228" s="1189"/>
      <c r="AF228" s="1189"/>
      <c r="AG228" s="1189"/>
      <c r="AH228" s="1189"/>
      <c r="AI228" s="1189"/>
    </row>
    <row r="229">
      <c r="A229" s="1202"/>
      <c r="B229" s="1203"/>
      <c r="C229" s="1189"/>
      <c r="D229" s="1189"/>
      <c r="E229" s="1189"/>
      <c r="F229" s="1189"/>
      <c r="G229" s="1189"/>
      <c r="H229" s="1189"/>
      <c r="I229" s="1189"/>
      <c r="J229" s="1189"/>
      <c r="K229" s="1189"/>
      <c r="L229" s="1189"/>
      <c r="M229" s="1189"/>
      <c r="N229" s="1189"/>
      <c r="O229" s="1189"/>
      <c r="P229" s="1189"/>
      <c r="Q229" s="1189"/>
      <c r="R229" s="1189"/>
      <c r="S229" s="1189"/>
      <c r="T229" s="1189"/>
      <c r="U229" s="1189"/>
      <c r="V229" s="1189"/>
      <c r="W229" s="1189"/>
      <c r="X229" s="1189"/>
      <c r="Y229" s="1189"/>
      <c r="Z229" s="1189"/>
      <c r="AA229" s="1189"/>
      <c r="AB229" s="1189"/>
      <c r="AC229" s="1189"/>
      <c r="AD229" s="1189"/>
      <c r="AE229" s="1189"/>
      <c r="AF229" s="1189"/>
      <c r="AG229" s="1189"/>
      <c r="AH229" s="1189"/>
      <c r="AI229" s="1189"/>
    </row>
    <row r="230">
      <c r="A230" s="1202"/>
      <c r="B230" s="1203"/>
      <c r="C230" s="1189"/>
      <c r="D230" s="1189"/>
      <c r="E230" s="1189"/>
      <c r="F230" s="1189"/>
      <c r="G230" s="1189"/>
      <c r="H230" s="1189"/>
      <c r="I230" s="1189"/>
      <c r="J230" s="1189"/>
      <c r="K230" s="1189"/>
      <c r="L230" s="1189"/>
      <c r="M230" s="1189"/>
      <c r="N230" s="1189"/>
      <c r="O230" s="1189"/>
      <c r="P230" s="1189"/>
      <c r="Q230" s="1189"/>
      <c r="R230" s="1189"/>
      <c r="S230" s="1189"/>
      <c r="T230" s="1189"/>
      <c r="U230" s="1189"/>
      <c r="V230" s="1189"/>
      <c r="W230" s="1189"/>
      <c r="X230" s="1189"/>
      <c r="Y230" s="1189"/>
      <c r="Z230" s="1189"/>
      <c r="AA230" s="1189"/>
      <c r="AB230" s="1189"/>
      <c r="AC230" s="1189"/>
      <c r="AD230" s="1189"/>
      <c r="AE230" s="1189"/>
      <c r="AF230" s="1189"/>
      <c r="AG230" s="1189"/>
      <c r="AH230" s="1189"/>
      <c r="AI230" s="1189"/>
    </row>
    <row r="231">
      <c r="A231" s="1202"/>
      <c r="B231" s="1203"/>
      <c r="C231" s="1189"/>
      <c r="D231" s="1189"/>
      <c r="E231" s="1189"/>
      <c r="F231" s="1189"/>
      <c r="G231" s="1189"/>
      <c r="H231" s="1189"/>
      <c r="I231" s="1189"/>
      <c r="J231" s="1189"/>
      <c r="K231" s="1189"/>
      <c r="L231" s="1189"/>
      <c r="M231" s="1189"/>
      <c r="N231" s="1189"/>
      <c r="O231" s="1189"/>
      <c r="P231" s="1189"/>
      <c r="Q231" s="1189"/>
      <c r="R231" s="1189"/>
      <c r="S231" s="1189"/>
      <c r="T231" s="1189"/>
      <c r="U231" s="1189"/>
      <c r="V231" s="1189"/>
      <c r="W231" s="1189"/>
      <c r="X231" s="1189"/>
      <c r="Y231" s="1189"/>
      <c r="Z231" s="1189"/>
      <c r="AA231" s="1189"/>
      <c r="AB231" s="1189"/>
      <c r="AC231" s="1189"/>
      <c r="AD231" s="1189"/>
      <c r="AE231" s="1189"/>
      <c r="AF231" s="1189"/>
      <c r="AG231" s="1189"/>
      <c r="AH231" s="1189"/>
      <c r="AI231" s="1189"/>
    </row>
    <row r="232">
      <c r="A232" s="1202"/>
      <c r="B232" s="1203"/>
      <c r="C232" s="1189"/>
      <c r="D232" s="1189"/>
      <c r="E232" s="1189"/>
      <c r="F232" s="1189"/>
      <c r="G232" s="1189"/>
      <c r="H232" s="1189"/>
      <c r="I232" s="1189"/>
      <c r="J232" s="1189"/>
      <c r="K232" s="1189"/>
      <c r="L232" s="1189"/>
      <c r="M232" s="1189"/>
      <c r="N232" s="1189"/>
      <c r="O232" s="1189"/>
      <c r="P232" s="1189"/>
      <c r="Q232" s="1189"/>
      <c r="R232" s="1189"/>
      <c r="S232" s="1189"/>
      <c r="T232" s="1189"/>
      <c r="U232" s="1189"/>
      <c r="V232" s="1189"/>
      <c r="W232" s="1189"/>
      <c r="X232" s="1189"/>
      <c r="Y232" s="1189"/>
      <c r="Z232" s="1189"/>
      <c r="AA232" s="1189"/>
      <c r="AB232" s="1189"/>
      <c r="AC232" s="1189"/>
      <c r="AD232" s="1189"/>
      <c r="AE232" s="1189"/>
      <c r="AF232" s="1189"/>
      <c r="AG232" s="1189"/>
      <c r="AH232" s="1189"/>
      <c r="AI232" s="1189"/>
    </row>
    <row r="233">
      <c r="A233" s="1202"/>
      <c r="B233" s="1203"/>
      <c r="C233" s="1189"/>
      <c r="D233" s="1189"/>
      <c r="E233" s="1189"/>
      <c r="F233" s="1189"/>
      <c r="G233" s="1189"/>
      <c r="H233" s="1189"/>
      <c r="I233" s="1189"/>
      <c r="J233" s="1189"/>
      <c r="K233" s="1189"/>
      <c r="L233" s="1189"/>
      <c r="M233" s="1189"/>
      <c r="N233" s="1189"/>
      <c r="O233" s="1189"/>
      <c r="P233" s="1189"/>
      <c r="Q233" s="1189"/>
      <c r="R233" s="1189"/>
      <c r="S233" s="1189"/>
      <c r="T233" s="1189"/>
      <c r="U233" s="1189"/>
      <c r="V233" s="1189"/>
      <c r="W233" s="1189"/>
      <c r="X233" s="1189"/>
      <c r="Y233" s="1189"/>
      <c r="Z233" s="1189"/>
      <c r="AA233" s="1189"/>
      <c r="AB233" s="1189"/>
      <c r="AC233" s="1189"/>
      <c r="AD233" s="1189"/>
      <c r="AE233" s="1189"/>
      <c r="AF233" s="1189"/>
      <c r="AG233" s="1189"/>
      <c r="AH233" s="1189"/>
      <c r="AI233" s="1189"/>
    </row>
    <row r="234">
      <c r="A234" s="1202"/>
      <c r="B234" s="1203"/>
      <c r="C234" s="1189"/>
      <c r="D234" s="1189"/>
      <c r="E234" s="1189"/>
      <c r="F234" s="1189"/>
      <c r="G234" s="1189"/>
      <c r="H234" s="1189"/>
      <c r="I234" s="1189"/>
      <c r="J234" s="1189"/>
      <c r="K234" s="1189"/>
      <c r="L234" s="1189"/>
      <c r="M234" s="1189"/>
      <c r="N234" s="1189"/>
      <c r="O234" s="1189"/>
      <c r="P234" s="1189"/>
      <c r="Q234" s="1189"/>
      <c r="R234" s="1189"/>
      <c r="S234" s="1189"/>
      <c r="T234" s="1189"/>
      <c r="U234" s="1189"/>
      <c r="V234" s="1189"/>
      <c r="W234" s="1189"/>
      <c r="X234" s="1189"/>
      <c r="Y234" s="1189"/>
      <c r="Z234" s="1189"/>
      <c r="AA234" s="1189"/>
      <c r="AB234" s="1189"/>
      <c r="AC234" s="1189"/>
      <c r="AD234" s="1189"/>
      <c r="AE234" s="1189"/>
      <c r="AF234" s="1189"/>
      <c r="AG234" s="1189"/>
      <c r="AH234" s="1189"/>
      <c r="AI234" s="1189"/>
    </row>
    <row r="235">
      <c r="A235" s="1202"/>
      <c r="B235" s="1203"/>
      <c r="C235" s="1189"/>
      <c r="D235" s="1189"/>
      <c r="E235" s="1189"/>
      <c r="F235" s="1189"/>
      <c r="G235" s="1189"/>
      <c r="H235" s="1189"/>
      <c r="I235" s="1189"/>
      <c r="J235" s="1189"/>
      <c r="K235" s="1189"/>
      <c r="L235" s="1189"/>
      <c r="M235" s="1189"/>
      <c r="N235" s="1189"/>
      <c r="O235" s="1189"/>
      <c r="P235" s="1189"/>
      <c r="Q235" s="1189"/>
      <c r="R235" s="1189"/>
      <c r="S235" s="1189"/>
      <c r="T235" s="1189"/>
      <c r="U235" s="1189"/>
      <c r="V235" s="1189"/>
      <c r="W235" s="1189"/>
      <c r="X235" s="1189"/>
      <c r="Y235" s="1189"/>
      <c r="Z235" s="1189"/>
      <c r="AA235" s="1189"/>
      <c r="AB235" s="1189"/>
      <c r="AC235" s="1189"/>
      <c r="AD235" s="1189"/>
      <c r="AE235" s="1189"/>
      <c r="AF235" s="1189"/>
      <c r="AG235" s="1189"/>
      <c r="AH235" s="1189"/>
      <c r="AI235" s="1189"/>
    </row>
    <row r="236">
      <c r="A236" s="1202"/>
      <c r="B236" s="1203"/>
      <c r="C236" s="1189"/>
      <c r="D236" s="1189"/>
      <c r="E236" s="1189"/>
      <c r="F236" s="1189"/>
      <c r="G236" s="1189"/>
      <c r="H236" s="1189"/>
      <c r="I236" s="1189"/>
      <c r="J236" s="1189"/>
      <c r="K236" s="1189"/>
      <c r="L236" s="1189"/>
      <c r="M236" s="1189"/>
      <c r="N236" s="1189"/>
      <c r="O236" s="1189"/>
      <c r="P236" s="1189"/>
      <c r="Q236" s="1189"/>
      <c r="R236" s="1189"/>
      <c r="S236" s="1189"/>
      <c r="T236" s="1189"/>
      <c r="U236" s="1189"/>
      <c r="V236" s="1189"/>
      <c r="W236" s="1189"/>
      <c r="X236" s="1189"/>
      <c r="Y236" s="1189"/>
      <c r="Z236" s="1189"/>
      <c r="AA236" s="1189"/>
      <c r="AB236" s="1189"/>
      <c r="AC236" s="1189"/>
      <c r="AD236" s="1189"/>
      <c r="AE236" s="1189"/>
      <c r="AF236" s="1189"/>
      <c r="AG236" s="1189"/>
      <c r="AH236" s="1189"/>
      <c r="AI236" s="1189"/>
    </row>
    <row r="237">
      <c r="A237" s="1202"/>
      <c r="B237" s="1203"/>
      <c r="C237" s="1189"/>
      <c r="D237" s="1189"/>
      <c r="E237" s="1189"/>
      <c r="F237" s="1189"/>
      <c r="G237" s="1189"/>
      <c r="H237" s="1189"/>
      <c r="I237" s="1189"/>
      <c r="J237" s="1189"/>
      <c r="K237" s="1189"/>
      <c r="L237" s="1189"/>
      <c r="M237" s="1189"/>
      <c r="N237" s="1189"/>
      <c r="O237" s="1189"/>
      <c r="P237" s="1189"/>
      <c r="Q237" s="1189"/>
      <c r="R237" s="1189"/>
      <c r="S237" s="1189"/>
      <c r="T237" s="1189"/>
      <c r="U237" s="1189"/>
      <c r="V237" s="1189"/>
      <c r="W237" s="1189"/>
      <c r="X237" s="1189"/>
      <c r="Y237" s="1189"/>
      <c r="Z237" s="1189"/>
      <c r="AA237" s="1189"/>
      <c r="AB237" s="1189"/>
      <c r="AC237" s="1189"/>
      <c r="AD237" s="1189"/>
      <c r="AE237" s="1189"/>
      <c r="AF237" s="1189"/>
      <c r="AG237" s="1189"/>
      <c r="AH237" s="1189"/>
      <c r="AI237" s="1189"/>
    </row>
    <row r="238">
      <c r="A238" s="1202"/>
      <c r="B238" s="1203"/>
      <c r="C238" s="1189"/>
      <c r="D238" s="1189"/>
      <c r="E238" s="1189"/>
      <c r="F238" s="1189"/>
      <c r="G238" s="1189"/>
      <c r="H238" s="1189"/>
      <c r="I238" s="1189"/>
      <c r="J238" s="1189"/>
      <c r="K238" s="1189"/>
      <c r="L238" s="1189"/>
      <c r="M238" s="1189"/>
      <c r="N238" s="1189"/>
      <c r="O238" s="1189"/>
      <c r="P238" s="1189"/>
      <c r="Q238" s="1189"/>
      <c r="R238" s="1189"/>
      <c r="S238" s="1189"/>
      <c r="T238" s="1189"/>
      <c r="U238" s="1189"/>
      <c r="V238" s="1189"/>
      <c r="W238" s="1189"/>
      <c r="X238" s="1189"/>
      <c r="Y238" s="1189"/>
      <c r="Z238" s="1189"/>
      <c r="AA238" s="1189"/>
      <c r="AB238" s="1189"/>
      <c r="AC238" s="1189"/>
      <c r="AD238" s="1189"/>
      <c r="AE238" s="1189"/>
      <c r="AF238" s="1189"/>
      <c r="AG238" s="1189"/>
      <c r="AH238" s="1189"/>
      <c r="AI238" s="1189"/>
    </row>
    <row r="239">
      <c r="A239" s="1202"/>
      <c r="B239" s="1203"/>
      <c r="C239" s="1189"/>
      <c r="D239" s="1189"/>
      <c r="E239" s="1189"/>
      <c r="F239" s="1189"/>
      <c r="G239" s="1189"/>
      <c r="H239" s="1189"/>
      <c r="I239" s="1189"/>
      <c r="J239" s="1189"/>
      <c r="K239" s="1189"/>
      <c r="L239" s="1189"/>
      <c r="M239" s="1189"/>
      <c r="N239" s="1189"/>
      <c r="O239" s="1189"/>
      <c r="P239" s="1189"/>
      <c r="Q239" s="1189"/>
      <c r="R239" s="1189"/>
      <c r="S239" s="1189"/>
      <c r="T239" s="1189"/>
      <c r="U239" s="1189"/>
      <c r="V239" s="1189"/>
      <c r="W239" s="1189"/>
      <c r="X239" s="1189"/>
      <c r="Y239" s="1189"/>
      <c r="Z239" s="1189"/>
      <c r="AA239" s="1189"/>
      <c r="AB239" s="1189"/>
      <c r="AC239" s="1189"/>
      <c r="AD239" s="1189"/>
      <c r="AE239" s="1189"/>
      <c r="AF239" s="1189"/>
      <c r="AG239" s="1189"/>
      <c r="AH239" s="1189"/>
      <c r="AI239" s="1189"/>
    </row>
    <row r="240">
      <c r="A240" s="1202"/>
      <c r="B240" s="1203"/>
      <c r="C240" s="1189"/>
      <c r="D240" s="1189"/>
      <c r="E240" s="1189"/>
      <c r="F240" s="1189"/>
      <c r="G240" s="1189"/>
      <c r="H240" s="1189"/>
      <c r="I240" s="1189"/>
      <c r="J240" s="1189"/>
      <c r="K240" s="1189"/>
      <c r="L240" s="1189"/>
      <c r="M240" s="1189"/>
      <c r="N240" s="1189"/>
      <c r="O240" s="1189"/>
      <c r="P240" s="1189"/>
      <c r="Q240" s="1189"/>
      <c r="R240" s="1189"/>
      <c r="S240" s="1189"/>
      <c r="T240" s="1189"/>
      <c r="U240" s="1189"/>
      <c r="V240" s="1189"/>
      <c r="W240" s="1189"/>
      <c r="X240" s="1189"/>
      <c r="Y240" s="1189"/>
      <c r="Z240" s="1189"/>
      <c r="AA240" s="1189"/>
      <c r="AB240" s="1189"/>
      <c r="AC240" s="1189"/>
      <c r="AD240" s="1189"/>
      <c r="AE240" s="1189"/>
      <c r="AF240" s="1189"/>
      <c r="AG240" s="1189"/>
      <c r="AH240" s="1189"/>
      <c r="AI240" s="1189"/>
    </row>
    <row r="241">
      <c r="A241" s="1202"/>
      <c r="B241" s="1203"/>
      <c r="C241" s="1189"/>
      <c r="D241" s="1189"/>
      <c r="E241" s="1189"/>
      <c r="F241" s="1189"/>
      <c r="G241" s="1189"/>
      <c r="H241" s="1189"/>
      <c r="I241" s="1189"/>
      <c r="J241" s="1189"/>
      <c r="K241" s="1189"/>
      <c r="L241" s="1189"/>
      <c r="M241" s="1189"/>
      <c r="N241" s="1189"/>
      <c r="O241" s="1189"/>
      <c r="P241" s="1189"/>
      <c r="Q241" s="1189"/>
      <c r="R241" s="1189"/>
      <c r="S241" s="1189"/>
      <c r="T241" s="1189"/>
      <c r="U241" s="1189"/>
      <c r="V241" s="1189"/>
      <c r="W241" s="1189"/>
      <c r="X241" s="1189"/>
      <c r="Y241" s="1189"/>
      <c r="Z241" s="1189"/>
      <c r="AA241" s="1189"/>
      <c r="AB241" s="1189"/>
      <c r="AC241" s="1189"/>
      <c r="AD241" s="1189"/>
      <c r="AE241" s="1189"/>
      <c r="AF241" s="1189"/>
      <c r="AG241" s="1189"/>
      <c r="AH241" s="1189"/>
      <c r="AI241" s="1189"/>
    </row>
    <row r="242">
      <c r="A242" s="1202"/>
      <c r="B242" s="1203"/>
      <c r="C242" s="1189"/>
      <c r="D242" s="1189"/>
      <c r="E242" s="1189"/>
      <c r="F242" s="1189"/>
      <c r="G242" s="1189"/>
      <c r="H242" s="1189"/>
      <c r="I242" s="1189"/>
      <c r="J242" s="1189"/>
      <c r="K242" s="1189"/>
      <c r="L242" s="1189"/>
      <c r="M242" s="1189"/>
      <c r="N242" s="1189"/>
      <c r="O242" s="1189"/>
      <c r="P242" s="1189"/>
      <c r="Q242" s="1189"/>
      <c r="R242" s="1189"/>
      <c r="S242" s="1189"/>
      <c r="T242" s="1189"/>
      <c r="U242" s="1189"/>
      <c r="V242" s="1189"/>
      <c r="W242" s="1189"/>
      <c r="X242" s="1189"/>
      <c r="Y242" s="1189"/>
      <c r="Z242" s="1189"/>
      <c r="AA242" s="1189"/>
      <c r="AB242" s="1189"/>
      <c r="AC242" s="1189"/>
      <c r="AD242" s="1189"/>
      <c r="AE242" s="1189"/>
      <c r="AF242" s="1189"/>
      <c r="AG242" s="1189"/>
      <c r="AH242" s="1189"/>
      <c r="AI242" s="1189"/>
    </row>
    <row r="243">
      <c r="A243" s="1202"/>
      <c r="B243" s="1203"/>
      <c r="C243" s="1189"/>
      <c r="D243" s="1189"/>
      <c r="E243" s="1189"/>
      <c r="F243" s="1189"/>
      <c r="G243" s="1189"/>
      <c r="H243" s="1189"/>
      <c r="I243" s="1189"/>
      <c r="J243" s="1189"/>
      <c r="K243" s="1189"/>
      <c r="L243" s="1189"/>
      <c r="M243" s="1189"/>
      <c r="N243" s="1189"/>
      <c r="O243" s="1189"/>
      <c r="P243" s="1189"/>
      <c r="Q243" s="1189"/>
      <c r="R243" s="1189"/>
      <c r="S243" s="1189"/>
      <c r="T243" s="1189"/>
      <c r="U243" s="1189"/>
      <c r="V243" s="1189"/>
      <c r="W243" s="1189"/>
      <c r="X243" s="1189"/>
      <c r="Y243" s="1189"/>
      <c r="Z243" s="1189"/>
      <c r="AA243" s="1189"/>
      <c r="AB243" s="1189"/>
      <c r="AC243" s="1189"/>
      <c r="AD243" s="1189"/>
      <c r="AE243" s="1189"/>
      <c r="AF243" s="1189"/>
      <c r="AG243" s="1189"/>
      <c r="AH243" s="1189"/>
      <c r="AI243" s="1189"/>
    </row>
    <row r="244">
      <c r="A244" s="1202"/>
      <c r="B244" s="1203"/>
      <c r="C244" s="1189"/>
      <c r="D244" s="1189"/>
      <c r="E244" s="1189"/>
      <c r="F244" s="1189"/>
      <c r="G244" s="1189"/>
      <c r="H244" s="1189"/>
      <c r="I244" s="1189"/>
      <c r="J244" s="1189"/>
      <c r="K244" s="1189"/>
      <c r="L244" s="1189"/>
      <c r="M244" s="1189"/>
      <c r="N244" s="1189"/>
      <c r="O244" s="1189"/>
      <c r="P244" s="1189"/>
      <c r="Q244" s="1189"/>
      <c r="R244" s="1189"/>
      <c r="S244" s="1189"/>
      <c r="T244" s="1189"/>
      <c r="U244" s="1189"/>
      <c r="V244" s="1189"/>
      <c r="W244" s="1189"/>
      <c r="X244" s="1189"/>
      <c r="Y244" s="1189"/>
      <c r="Z244" s="1189"/>
      <c r="AA244" s="1189"/>
      <c r="AB244" s="1189"/>
      <c r="AC244" s="1189"/>
      <c r="AD244" s="1189"/>
      <c r="AE244" s="1189"/>
      <c r="AF244" s="1189"/>
      <c r="AG244" s="1189"/>
      <c r="AH244" s="1189"/>
      <c r="AI244" s="1189"/>
    </row>
    <row r="245">
      <c r="A245" s="1202"/>
      <c r="B245" s="1203"/>
      <c r="C245" s="1189"/>
      <c r="D245" s="1189"/>
      <c r="E245" s="1189"/>
      <c r="F245" s="1189"/>
      <c r="G245" s="1189"/>
      <c r="H245" s="1189"/>
      <c r="I245" s="1189"/>
      <c r="J245" s="1189"/>
      <c r="K245" s="1189"/>
      <c r="L245" s="1189"/>
      <c r="M245" s="1189"/>
      <c r="N245" s="1189"/>
      <c r="O245" s="1189"/>
      <c r="P245" s="1189"/>
      <c r="Q245" s="1189"/>
      <c r="R245" s="1189"/>
      <c r="S245" s="1189"/>
      <c r="T245" s="1189"/>
      <c r="U245" s="1189"/>
      <c r="V245" s="1189"/>
      <c r="W245" s="1189"/>
      <c r="X245" s="1189"/>
      <c r="Y245" s="1189"/>
      <c r="Z245" s="1189"/>
      <c r="AA245" s="1189"/>
      <c r="AB245" s="1189"/>
      <c r="AC245" s="1189"/>
      <c r="AD245" s="1189"/>
      <c r="AE245" s="1189"/>
      <c r="AF245" s="1189"/>
      <c r="AG245" s="1189"/>
      <c r="AH245" s="1189"/>
      <c r="AI245" s="1189"/>
    </row>
    <row r="246">
      <c r="A246" s="1202"/>
      <c r="B246" s="1203"/>
      <c r="C246" s="1189"/>
      <c r="D246" s="1189"/>
      <c r="E246" s="1189"/>
      <c r="F246" s="1189"/>
      <c r="G246" s="1189"/>
      <c r="H246" s="1189"/>
      <c r="I246" s="1189"/>
      <c r="J246" s="1189"/>
      <c r="K246" s="1189"/>
      <c r="L246" s="1189"/>
      <c r="M246" s="1189"/>
      <c r="N246" s="1189"/>
      <c r="O246" s="1189"/>
      <c r="P246" s="1189"/>
      <c r="Q246" s="1189"/>
      <c r="R246" s="1189"/>
      <c r="S246" s="1189"/>
      <c r="T246" s="1189"/>
      <c r="U246" s="1189"/>
      <c r="V246" s="1189"/>
      <c r="W246" s="1189"/>
      <c r="X246" s="1189"/>
      <c r="Y246" s="1189"/>
      <c r="Z246" s="1189"/>
      <c r="AA246" s="1189"/>
      <c r="AB246" s="1189"/>
      <c r="AC246" s="1189"/>
      <c r="AD246" s="1189"/>
      <c r="AE246" s="1189"/>
      <c r="AF246" s="1189"/>
      <c r="AG246" s="1189"/>
      <c r="AH246" s="1189"/>
      <c r="AI246" s="1189"/>
    </row>
    <row r="247">
      <c r="A247" s="1202"/>
      <c r="B247" s="1203"/>
      <c r="C247" s="1189"/>
      <c r="D247" s="1189"/>
      <c r="E247" s="1189"/>
      <c r="F247" s="1189"/>
      <c r="G247" s="1189"/>
      <c r="H247" s="1189"/>
      <c r="I247" s="1189"/>
      <c r="J247" s="1189"/>
      <c r="K247" s="1189"/>
      <c r="L247" s="1189"/>
      <c r="M247" s="1189"/>
      <c r="N247" s="1189"/>
      <c r="O247" s="1189"/>
      <c r="P247" s="1189"/>
      <c r="Q247" s="1189"/>
      <c r="R247" s="1189"/>
      <c r="S247" s="1189"/>
      <c r="T247" s="1189"/>
      <c r="U247" s="1189"/>
      <c r="V247" s="1189"/>
      <c r="W247" s="1189"/>
      <c r="X247" s="1189"/>
      <c r="Y247" s="1189"/>
      <c r="Z247" s="1189"/>
      <c r="AA247" s="1189"/>
      <c r="AB247" s="1189"/>
      <c r="AC247" s="1189"/>
      <c r="AD247" s="1189"/>
      <c r="AE247" s="1189"/>
      <c r="AF247" s="1189"/>
      <c r="AG247" s="1189"/>
      <c r="AH247" s="1189"/>
      <c r="AI247" s="1189"/>
    </row>
    <row r="248">
      <c r="A248" s="1202"/>
      <c r="B248" s="1203"/>
      <c r="C248" s="1189"/>
      <c r="D248" s="1189"/>
      <c r="E248" s="1189"/>
      <c r="F248" s="1189"/>
      <c r="G248" s="1189"/>
      <c r="H248" s="1189"/>
      <c r="I248" s="1189"/>
      <c r="J248" s="1189"/>
      <c r="K248" s="1189"/>
      <c r="L248" s="1189"/>
      <c r="M248" s="1189"/>
      <c r="N248" s="1189"/>
      <c r="O248" s="1189"/>
      <c r="P248" s="1189"/>
      <c r="Q248" s="1189"/>
      <c r="R248" s="1189"/>
      <c r="S248" s="1189"/>
      <c r="T248" s="1189"/>
      <c r="U248" s="1189"/>
      <c r="V248" s="1189"/>
      <c r="W248" s="1189"/>
      <c r="X248" s="1189"/>
      <c r="Y248" s="1189"/>
      <c r="Z248" s="1189"/>
      <c r="AA248" s="1189"/>
      <c r="AB248" s="1189"/>
      <c r="AC248" s="1189"/>
      <c r="AD248" s="1189"/>
      <c r="AE248" s="1189"/>
      <c r="AF248" s="1189"/>
      <c r="AG248" s="1189"/>
      <c r="AH248" s="1189"/>
      <c r="AI248" s="1189"/>
    </row>
    <row r="249">
      <c r="A249" s="1202"/>
      <c r="B249" s="1203"/>
      <c r="C249" s="1189"/>
      <c r="D249" s="1189"/>
      <c r="E249" s="1189"/>
      <c r="F249" s="1189"/>
      <c r="G249" s="1189"/>
      <c r="H249" s="1189"/>
      <c r="I249" s="1189"/>
      <c r="J249" s="1189"/>
      <c r="K249" s="1189"/>
      <c r="L249" s="1189"/>
      <c r="M249" s="1189"/>
      <c r="N249" s="1189"/>
      <c r="O249" s="1189"/>
      <c r="P249" s="1189"/>
      <c r="Q249" s="1189"/>
      <c r="R249" s="1189"/>
      <c r="S249" s="1189"/>
      <c r="T249" s="1189"/>
      <c r="U249" s="1189"/>
      <c r="V249" s="1189"/>
      <c r="W249" s="1189"/>
      <c r="X249" s="1189"/>
      <c r="Y249" s="1189"/>
      <c r="Z249" s="1189"/>
      <c r="AA249" s="1189"/>
      <c r="AB249" s="1189"/>
      <c r="AC249" s="1189"/>
      <c r="AD249" s="1189"/>
      <c r="AE249" s="1189"/>
      <c r="AF249" s="1189"/>
      <c r="AG249" s="1189"/>
      <c r="AH249" s="1189"/>
      <c r="AI249" s="1189"/>
    </row>
    <row r="250">
      <c r="A250" s="1202"/>
      <c r="B250" s="1203"/>
      <c r="C250" s="1189"/>
      <c r="D250" s="1189"/>
      <c r="E250" s="1189"/>
      <c r="F250" s="1189"/>
      <c r="G250" s="1189"/>
      <c r="H250" s="1189"/>
      <c r="I250" s="1189"/>
      <c r="J250" s="1189"/>
      <c r="K250" s="1189"/>
      <c r="L250" s="1189"/>
      <c r="M250" s="1189"/>
      <c r="N250" s="1189"/>
      <c r="O250" s="1189"/>
      <c r="P250" s="1189"/>
      <c r="Q250" s="1189"/>
      <c r="R250" s="1189"/>
      <c r="S250" s="1189"/>
      <c r="T250" s="1189"/>
      <c r="U250" s="1189"/>
      <c r="V250" s="1189"/>
      <c r="W250" s="1189"/>
      <c r="X250" s="1189"/>
      <c r="Y250" s="1189"/>
      <c r="Z250" s="1189"/>
      <c r="AA250" s="1189"/>
      <c r="AB250" s="1189"/>
      <c r="AC250" s="1189"/>
      <c r="AD250" s="1189"/>
      <c r="AE250" s="1189"/>
      <c r="AF250" s="1189"/>
      <c r="AG250" s="1189"/>
      <c r="AH250" s="1189"/>
      <c r="AI250" s="1189"/>
    </row>
    <row r="251">
      <c r="A251" s="1202"/>
      <c r="B251" s="1203"/>
      <c r="C251" s="1189"/>
      <c r="D251" s="1189"/>
      <c r="E251" s="1189"/>
      <c r="F251" s="1189"/>
      <c r="G251" s="1189"/>
      <c r="H251" s="1189"/>
      <c r="I251" s="1189"/>
      <c r="J251" s="1189"/>
      <c r="K251" s="1189"/>
      <c r="L251" s="1189"/>
      <c r="M251" s="1189"/>
      <c r="N251" s="1189"/>
      <c r="O251" s="1189"/>
      <c r="P251" s="1189"/>
      <c r="Q251" s="1189"/>
      <c r="R251" s="1189"/>
      <c r="S251" s="1189"/>
      <c r="T251" s="1189"/>
      <c r="U251" s="1189"/>
      <c r="V251" s="1189"/>
      <c r="W251" s="1189"/>
      <c r="X251" s="1189"/>
      <c r="Y251" s="1189"/>
      <c r="Z251" s="1189"/>
      <c r="AA251" s="1189"/>
      <c r="AB251" s="1189"/>
      <c r="AC251" s="1189"/>
      <c r="AD251" s="1189"/>
      <c r="AE251" s="1189"/>
      <c r="AF251" s="1189"/>
      <c r="AG251" s="1189"/>
      <c r="AH251" s="1189"/>
      <c r="AI251" s="1189"/>
    </row>
    <row r="252">
      <c r="A252" s="1202"/>
      <c r="B252" s="1203"/>
      <c r="C252" s="1189"/>
      <c r="D252" s="1189"/>
      <c r="E252" s="1189"/>
      <c r="F252" s="1189"/>
      <c r="G252" s="1189"/>
      <c r="H252" s="1189"/>
      <c r="I252" s="1189"/>
      <c r="J252" s="1189"/>
      <c r="K252" s="1189"/>
      <c r="L252" s="1189"/>
      <c r="M252" s="1189"/>
      <c r="N252" s="1189"/>
      <c r="O252" s="1189"/>
      <c r="P252" s="1189"/>
      <c r="Q252" s="1189"/>
      <c r="R252" s="1189"/>
      <c r="S252" s="1189"/>
      <c r="T252" s="1189"/>
      <c r="U252" s="1189"/>
      <c r="V252" s="1189"/>
      <c r="W252" s="1189"/>
      <c r="X252" s="1189"/>
      <c r="Y252" s="1189"/>
      <c r="Z252" s="1189"/>
      <c r="AA252" s="1189"/>
      <c r="AB252" s="1189"/>
      <c r="AC252" s="1189"/>
      <c r="AD252" s="1189"/>
      <c r="AE252" s="1189"/>
      <c r="AF252" s="1189"/>
      <c r="AG252" s="1189"/>
      <c r="AH252" s="1189"/>
      <c r="AI252" s="1189"/>
    </row>
    <row r="253">
      <c r="A253" s="1202"/>
      <c r="B253" s="1203"/>
      <c r="C253" s="1189"/>
      <c r="D253" s="1189"/>
      <c r="E253" s="1189"/>
      <c r="F253" s="1189"/>
      <c r="G253" s="1189"/>
      <c r="H253" s="1189"/>
      <c r="I253" s="1189"/>
      <c r="J253" s="1189"/>
      <c r="K253" s="1189"/>
      <c r="L253" s="1189"/>
      <c r="M253" s="1189"/>
      <c r="N253" s="1189"/>
      <c r="O253" s="1189"/>
      <c r="P253" s="1189"/>
      <c r="Q253" s="1189"/>
      <c r="R253" s="1189"/>
      <c r="S253" s="1189"/>
      <c r="T253" s="1189"/>
      <c r="U253" s="1189"/>
      <c r="V253" s="1189"/>
      <c r="W253" s="1189"/>
      <c r="X253" s="1189"/>
      <c r="Y253" s="1189"/>
      <c r="Z253" s="1189"/>
      <c r="AA253" s="1189"/>
      <c r="AB253" s="1189"/>
      <c r="AC253" s="1189"/>
      <c r="AD253" s="1189"/>
      <c r="AE253" s="1189"/>
      <c r="AF253" s="1189"/>
      <c r="AG253" s="1189"/>
      <c r="AH253" s="1189"/>
      <c r="AI253" s="1189"/>
    </row>
    <row r="254">
      <c r="A254" s="1202"/>
      <c r="B254" s="1203"/>
      <c r="C254" s="1189"/>
      <c r="D254" s="1189"/>
      <c r="E254" s="1189"/>
      <c r="F254" s="1189"/>
      <c r="G254" s="1189"/>
      <c r="H254" s="1189"/>
      <c r="I254" s="1189"/>
      <c r="J254" s="1189"/>
      <c r="K254" s="1189"/>
      <c r="L254" s="1189"/>
      <c r="M254" s="1189"/>
      <c r="N254" s="1189"/>
      <c r="O254" s="1189"/>
      <c r="P254" s="1189"/>
      <c r="Q254" s="1189"/>
      <c r="R254" s="1189"/>
      <c r="S254" s="1189"/>
      <c r="T254" s="1189"/>
      <c r="U254" s="1189"/>
      <c r="V254" s="1189"/>
      <c r="W254" s="1189"/>
      <c r="X254" s="1189"/>
      <c r="Y254" s="1189"/>
      <c r="Z254" s="1189"/>
      <c r="AA254" s="1189"/>
      <c r="AB254" s="1189"/>
      <c r="AC254" s="1189"/>
      <c r="AD254" s="1189"/>
      <c r="AE254" s="1189"/>
      <c r="AF254" s="1189"/>
      <c r="AG254" s="1189"/>
      <c r="AH254" s="1189"/>
      <c r="AI254" s="1189"/>
    </row>
    <row r="255">
      <c r="A255" s="1202"/>
      <c r="B255" s="1203"/>
      <c r="C255" s="1189"/>
      <c r="D255" s="1189"/>
      <c r="E255" s="1189"/>
      <c r="F255" s="1189"/>
      <c r="G255" s="1189"/>
      <c r="H255" s="1189"/>
      <c r="I255" s="1189"/>
      <c r="J255" s="1189"/>
      <c r="K255" s="1189"/>
      <c r="L255" s="1189"/>
      <c r="M255" s="1189"/>
      <c r="N255" s="1189"/>
      <c r="O255" s="1189"/>
      <c r="P255" s="1189"/>
      <c r="Q255" s="1189"/>
      <c r="R255" s="1189"/>
      <c r="S255" s="1189"/>
      <c r="T255" s="1189"/>
      <c r="U255" s="1189"/>
      <c r="V255" s="1189"/>
      <c r="W255" s="1189"/>
      <c r="X255" s="1189"/>
      <c r="Y255" s="1189"/>
      <c r="Z255" s="1189"/>
      <c r="AA255" s="1189"/>
      <c r="AB255" s="1189"/>
      <c r="AC255" s="1189"/>
      <c r="AD255" s="1189"/>
      <c r="AE255" s="1189"/>
      <c r="AF255" s="1189"/>
      <c r="AG255" s="1189"/>
      <c r="AH255" s="1189"/>
      <c r="AI255" s="1189"/>
    </row>
    <row r="256">
      <c r="A256" s="1202"/>
      <c r="B256" s="1203"/>
      <c r="C256" s="1189"/>
      <c r="D256" s="1189"/>
      <c r="E256" s="1189"/>
      <c r="F256" s="1189"/>
      <c r="G256" s="1189"/>
      <c r="H256" s="1189"/>
      <c r="I256" s="1189"/>
      <c r="J256" s="1189"/>
      <c r="K256" s="1189"/>
      <c r="L256" s="1189"/>
      <c r="M256" s="1189"/>
      <c r="N256" s="1189"/>
      <c r="O256" s="1189"/>
      <c r="P256" s="1189"/>
      <c r="Q256" s="1189"/>
      <c r="R256" s="1189"/>
      <c r="S256" s="1189"/>
      <c r="T256" s="1189"/>
      <c r="U256" s="1189"/>
      <c r="V256" s="1189"/>
      <c r="W256" s="1189"/>
      <c r="X256" s="1189"/>
      <c r="Y256" s="1189"/>
      <c r="Z256" s="1189"/>
      <c r="AA256" s="1189"/>
      <c r="AB256" s="1189"/>
      <c r="AC256" s="1189"/>
      <c r="AD256" s="1189"/>
      <c r="AE256" s="1189"/>
      <c r="AF256" s="1189"/>
      <c r="AG256" s="1189"/>
      <c r="AH256" s="1189"/>
      <c r="AI256" s="1189"/>
    </row>
    <row r="257">
      <c r="A257" s="1202"/>
      <c r="B257" s="1203"/>
      <c r="C257" s="1189"/>
      <c r="D257" s="1189"/>
      <c r="E257" s="1189"/>
      <c r="F257" s="1189"/>
      <c r="G257" s="1189"/>
      <c r="H257" s="1189"/>
      <c r="I257" s="1189"/>
      <c r="J257" s="1189"/>
      <c r="K257" s="1189"/>
      <c r="L257" s="1189"/>
      <c r="M257" s="1189"/>
      <c r="N257" s="1189"/>
      <c r="O257" s="1189"/>
      <c r="P257" s="1189"/>
      <c r="Q257" s="1189"/>
      <c r="R257" s="1189"/>
      <c r="S257" s="1189"/>
      <c r="T257" s="1189"/>
      <c r="U257" s="1189"/>
      <c r="V257" s="1189"/>
      <c r="W257" s="1189"/>
      <c r="X257" s="1189"/>
      <c r="Y257" s="1189"/>
      <c r="Z257" s="1189"/>
      <c r="AA257" s="1189"/>
      <c r="AB257" s="1189"/>
      <c r="AC257" s="1189"/>
      <c r="AD257" s="1189"/>
      <c r="AE257" s="1189"/>
      <c r="AF257" s="1189"/>
      <c r="AG257" s="1189"/>
      <c r="AH257" s="1189"/>
      <c r="AI257" s="1189"/>
    </row>
    <row r="258">
      <c r="A258" s="1202"/>
      <c r="B258" s="1203"/>
      <c r="C258" s="1189"/>
      <c r="D258" s="1189"/>
      <c r="E258" s="1189"/>
      <c r="F258" s="1189"/>
      <c r="G258" s="1189"/>
      <c r="H258" s="1189"/>
      <c r="I258" s="1189"/>
      <c r="J258" s="1189"/>
      <c r="K258" s="1189"/>
      <c r="L258" s="1189"/>
      <c r="M258" s="1189"/>
      <c r="N258" s="1189"/>
      <c r="O258" s="1189"/>
      <c r="P258" s="1189"/>
      <c r="Q258" s="1189"/>
      <c r="R258" s="1189"/>
      <c r="S258" s="1189"/>
      <c r="T258" s="1189"/>
      <c r="U258" s="1189"/>
      <c r="V258" s="1189"/>
      <c r="W258" s="1189"/>
      <c r="X258" s="1189"/>
      <c r="Y258" s="1189"/>
      <c r="Z258" s="1189"/>
      <c r="AA258" s="1189"/>
      <c r="AB258" s="1189"/>
      <c r="AC258" s="1189"/>
      <c r="AD258" s="1189"/>
      <c r="AE258" s="1189"/>
      <c r="AF258" s="1189"/>
      <c r="AG258" s="1189"/>
      <c r="AH258" s="1189"/>
      <c r="AI258" s="1189"/>
    </row>
    <row r="259">
      <c r="A259" s="1202"/>
      <c r="B259" s="1203"/>
      <c r="C259" s="1189"/>
      <c r="D259" s="1189"/>
      <c r="E259" s="1189"/>
      <c r="F259" s="1189"/>
      <c r="G259" s="1189"/>
      <c r="H259" s="1189"/>
      <c r="I259" s="1189"/>
      <c r="J259" s="1189"/>
      <c r="K259" s="1189"/>
      <c r="L259" s="1189"/>
      <c r="M259" s="1189"/>
      <c r="N259" s="1189"/>
      <c r="O259" s="1189"/>
      <c r="P259" s="1189"/>
      <c r="Q259" s="1189"/>
      <c r="R259" s="1189"/>
      <c r="S259" s="1189"/>
      <c r="T259" s="1189"/>
      <c r="U259" s="1189"/>
      <c r="V259" s="1189"/>
      <c r="W259" s="1189"/>
      <c r="X259" s="1189"/>
      <c r="Y259" s="1189"/>
      <c r="Z259" s="1189"/>
      <c r="AA259" s="1189"/>
      <c r="AB259" s="1189"/>
      <c r="AC259" s="1189"/>
      <c r="AD259" s="1189"/>
      <c r="AE259" s="1189"/>
      <c r="AF259" s="1189"/>
      <c r="AG259" s="1189"/>
      <c r="AH259" s="1189"/>
      <c r="AI259" s="1189"/>
    </row>
    <row r="260">
      <c r="A260" s="1202"/>
      <c r="B260" s="1203"/>
      <c r="C260" s="1189"/>
      <c r="D260" s="1189"/>
      <c r="E260" s="1189"/>
      <c r="F260" s="1189"/>
      <c r="G260" s="1189"/>
      <c r="H260" s="1189"/>
      <c r="I260" s="1189"/>
      <c r="J260" s="1189"/>
      <c r="K260" s="1189"/>
      <c r="L260" s="1189"/>
      <c r="M260" s="1189"/>
      <c r="N260" s="1189"/>
      <c r="O260" s="1189"/>
      <c r="P260" s="1189"/>
      <c r="Q260" s="1189"/>
      <c r="R260" s="1189"/>
      <c r="S260" s="1189"/>
      <c r="T260" s="1189"/>
      <c r="U260" s="1189"/>
      <c r="V260" s="1189"/>
      <c r="W260" s="1189"/>
      <c r="X260" s="1189"/>
      <c r="Y260" s="1189"/>
      <c r="Z260" s="1189"/>
      <c r="AA260" s="1189"/>
      <c r="AB260" s="1189"/>
      <c r="AC260" s="1189"/>
      <c r="AD260" s="1189"/>
      <c r="AE260" s="1189"/>
      <c r="AF260" s="1189"/>
      <c r="AG260" s="1189"/>
      <c r="AH260" s="1189"/>
      <c r="AI260" s="1189"/>
    </row>
    <row r="261">
      <c r="A261" s="1202"/>
      <c r="B261" s="1203"/>
      <c r="C261" s="1189"/>
      <c r="D261" s="1189"/>
      <c r="E261" s="1189"/>
      <c r="F261" s="1189"/>
      <c r="G261" s="1189"/>
      <c r="H261" s="1189"/>
      <c r="I261" s="1189"/>
      <c r="J261" s="1189"/>
      <c r="K261" s="1189"/>
      <c r="L261" s="1189"/>
      <c r="M261" s="1189"/>
      <c r="N261" s="1189"/>
      <c r="O261" s="1189"/>
      <c r="P261" s="1189"/>
      <c r="Q261" s="1189"/>
      <c r="R261" s="1189"/>
      <c r="S261" s="1189"/>
      <c r="T261" s="1189"/>
      <c r="U261" s="1189"/>
      <c r="V261" s="1189"/>
      <c r="W261" s="1189"/>
      <c r="X261" s="1189"/>
      <c r="Y261" s="1189"/>
      <c r="Z261" s="1189"/>
      <c r="AA261" s="1189"/>
      <c r="AB261" s="1189"/>
      <c r="AC261" s="1189"/>
      <c r="AD261" s="1189"/>
      <c r="AE261" s="1189"/>
      <c r="AF261" s="1189"/>
      <c r="AG261" s="1189"/>
      <c r="AH261" s="1189"/>
      <c r="AI261" s="1189"/>
    </row>
    <row r="262">
      <c r="A262" s="1202"/>
      <c r="B262" s="1203"/>
      <c r="C262" s="1189"/>
      <c r="D262" s="1189"/>
      <c r="E262" s="1189"/>
      <c r="F262" s="1189"/>
      <c r="G262" s="1189"/>
      <c r="H262" s="1189"/>
      <c r="I262" s="1189"/>
      <c r="J262" s="1189"/>
      <c r="K262" s="1189"/>
      <c r="L262" s="1189"/>
      <c r="M262" s="1189"/>
      <c r="N262" s="1189"/>
      <c r="O262" s="1189"/>
      <c r="P262" s="1189"/>
      <c r="Q262" s="1189"/>
      <c r="R262" s="1189"/>
      <c r="S262" s="1189"/>
      <c r="T262" s="1189"/>
      <c r="U262" s="1189"/>
      <c r="V262" s="1189"/>
      <c r="W262" s="1189"/>
      <c r="X262" s="1189"/>
      <c r="Y262" s="1189"/>
      <c r="Z262" s="1189"/>
      <c r="AA262" s="1189"/>
      <c r="AB262" s="1189"/>
      <c r="AC262" s="1189"/>
      <c r="AD262" s="1189"/>
      <c r="AE262" s="1189"/>
      <c r="AF262" s="1189"/>
      <c r="AG262" s="1189"/>
      <c r="AH262" s="1189"/>
      <c r="AI262" s="1189"/>
    </row>
    <row r="263">
      <c r="A263" s="1202"/>
      <c r="B263" s="1203"/>
      <c r="C263" s="1189"/>
      <c r="D263" s="1189"/>
      <c r="E263" s="1189"/>
      <c r="F263" s="1189"/>
      <c r="G263" s="1189"/>
      <c r="H263" s="1189"/>
      <c r="I263" s="1189"/>
      <c r="J263" s="1189"/>
      <c r="K263" s="1189"/>
      <c r="L263" s="1189"/>
      <c r="M263" s="1189"/>
      <c r="N263" s="1189"/>
      <c r="O263" s="1189"/>
      <c r="P263" s="1189"/>
      <c r="Q263" s="1189"/>
      <c r="R263" s="1189"/>
      <c r="S263" s="1189"/>
      <c r="T263" s="1189"/>
      <c r="U263" s="1189"/>
      <c r="V263" s="1189"/>
      <c r="W263" s="1189"/>
      <c r="X263" s="1189"/>
      <c r="Y263" s="1189"/>
      <c r="Z263" s="1189"/>
      <c r="AA263" s="1189"/>
      <c r="AB263" s="1189"/>
      <c r="AC263" s="1189"/>
      <c r="AD263" s="1189"/>
      <c r="AE263" s="1189"/>
      <c r="AF263" s="1189"/>
      <c r="AG263" s="1189"/>
      <c r="AH263" s="1189"/>
      <c r="AI263" s="1189"/>
    </row>
    <row r="264">
      <c r="A264" s="1202"/>
      <c r="B264" s="1203"/>
      <c r="C264" s="1189"/>
      <c r="D264" s="1189"/>
      <c r="E264" s="1189"/>
      <c r="F264" s="1189"/>
      <c r="G264" s="1189"/>
      <c r="H264" s="1189"/>
      <c r="I264" s="1189"/>
      <c r="J264" s="1189"/>
      <c r="K264" s="1189"/>
      <c r="L264" s="1189"/>
      <c r="M264" s="1189"/>
      <c r="N264" s="1189"/>
      <c r="O264" s="1189"/>
      <c r="P264" s="1189"/>
      <c r="Q264" s="1189"/>
      <c r="R264" s="1189"/>
      <c r="S264" s="1189"/>
      <c r="T264" s="1189"/>
      <c r="U264" s="1189"/>
      <c r="V264" s="1189"/>
      <c r="W264" s="1189"/>
      <c r="X264" s="1189"/>
      <c r="Y264" s="1189"/>
      <c r="Z264" s="1189"/>
      <c r="AA264" s="1189"/>
      <c r="AB264" s="1189"/>
      <c r="AC264" s="1189"/>
      <c r="AD264" s="1189"/>
      <c r="AE264" s="1189"/>
      <c r="AF264" s="1189"/>
      <c r="AG264" s="1189"/>
      <c r="AH264" s="1189"/>
      <c r="AI264" s="1189"/>
    </row>
    <row r="265">
      <c r="A265" s="1202"/>
      <c r="B265" s="1203"/>
      <c r="C265" s="1189"/>
      <c r="D265" s="1189"/>
      <c r="E265" s="1189"/>
      <c r="F265" s="1189"/>
      <c r="G265" s="1189"/>
      <c r="H265" s="1189"/>
      <c r="I265" s="1189"/>
      <c r="J265" s="1189"/>
      <c r="K265" s="1189"/>
      <c r="L265" s="1189"/>
      <c r="M265" s="1189"/>
      <c r="N265" s="1189"/>
      <c r="O265" s="1189"/>
      <c r="P265" s="1189"/>
      <c r="Q265" s="1189"/>
      <c r="R265" s="1189"/>
      <c r="S265" s="1189"/>
      <c r="T265" s="1189"/>
      <c r="U265" s="1189"/>
      <c r="V265" s="1189"/>
      <c r="W265" s="1189"/>
      <c r="X265" s="1189"/>
      <c r="Y265" s="1189"/>
      <c r="Z265" s="1189"/>
      <c r="AA265" s="1189"/>
      <c r="AB265" s="1189"/>
      <c r="AC265" s="1189"/>
      <c r="AD265" s="1189"/>
      <c r="AE265" s="1189"/>
      <c r="AF265" s="1189"/>
      <c r="AG265" s="1189"/>
      <c r="AH265" s="1189"/>
      <c r="AI265" s="1189"/>
    </row>
    <row r="266">
      <c r="A266" s="1202"/>
      <c r="B266" s="1203"/>
      <c r="C266" s="1189"/>
      <c r="D266" s="1189"/>
      <c r="E266" s="1189"/>
      <c r="F266" s="1189"/>
      <c r="G266" s="1189"/>
      <c r="H266" s="1189"/>
      <c r="I266" s="1189"/>
      <c r="J266" s="1189"/>
      <c r="K266" s="1189"/>
      <c r="L266" s="1189"/>
      <c r="M266" s="1189"/>
      <c r="N266" s="1189"/>
      <c r="O266" s="1189"/>
      <c r="P266" s="1189"/>
      <c r="Q266" s="1189"/>
      <c r="R266" s="1189"/>
      <c r="S266" s="1189"/>
      <c r="T266" s="1189"/>
      <c r="U266" s="1189"/>
      <c r="V266" s="1189"/>
      <c r="W266" s="1189"/>
      <c r="X266" s="1189"/>
      <c r="Y266" s="1189"/>
      <c r="Z266" s="1189"/>
      <c r="AA266" s="1189"/>
      <c r="AB266" s="1189"/>
      <c r="AC266" s="1189"/>
      <c r="AD266" s="1189"/>
      <c r="AE266" s="1189"/>
      <c r="AF266" s="1189"/>
      <c r="AG266" s="1189"/>
      <c r="AH266" s="1189"/>
      <c r="AI266" s="1189"/>
    </row>
    <row r="267">
      <c r="A267" s="1202"/>
      <c r="B267" s="1203"/>
      <c r="C267" s="1189"/>
      <c r="D267" s="1189"/>
      <c r="E267" s="1189"/>
      <c r="F267" s="1189"/>
      <c r="G267" s="1189"/>
      <c r="H267" s="1189"/>
      <c r="I267" s="1189"/>
      <c r="J267" s="1189"/>
      <c r="K267" s="1189"/>
      <c r="L267" s="1189"/>
      <c r="M267" s="1189"/>
      <c r="N267" s="1189"/>
      <c r="O267" s="1189"/>
      <c r="P267" s="1189"/>
      <c r="Q267" s="1189"/>
      <c r="R267" s="1189"/>
      <c r="S267" s="1189"/>
      <c r="T267" s="1189"/>
      <c r="U267" s="1189"/>
      <c r="V267" s="1189"/>
      <c r="W267" s="1189"/>
      <c r="X267" s="1189"/>
      <c r="Y267" s="1189"/>
      <c r="Z267" s="1189"/>
      <c r="AA267" s="1189"/>
      <c r="AB267" s="1189"/>
      <c r="AC267" s="1189"/>
      <c r="AD267" s="1189"/>
      <c r="AE267" s="1189"/>
      <c r="AF267" s="1189"/>
      <c r="AG267" s="1189"/>
      <c r="AH267" s="1189"/>
      <c r="AI267" s="1189"/>
    </row>
    <row r="268">
      <c r="A268" s="1202"/>
      <c r="B268" s="1203"/>
      <c r="C268" s="1189"/>
      <c r="D268" s="1189"/>
      <c r="E268" s="1189"/>
      <c r="F268" s="1189"/>
      <c r="G268" s="1189"/>
      <c r="H268" s="1189"/>
      <c r="I268" s="1189"/>
      <c r="J268" s="1189"/>
      <c r="K268" s="1189"/>
      <c r="L268" s="1189"/>
      <c r="M268" s="1189"/>
      <c r="N268" s="1189"/>
      <c r="O268" s="1189"/>
      <c r="P268" s="1189"/>
      <c r="Q268" s="1189"/>
      <c r="R268" s="1189"/>
      <c r="S268" s="1189"/>
      <c r="T268" s="1189"/>
      <c r="U268" s="1189"/>
      <c r="V268" s="1189"/>
      <c r="W268" s="1189"/>
      <c r="X268" s="1189"/>
      <c r="Y268" s="1189"/>
      <c r="Z268" s="1189"/>
      <c r="AA268" s="1189"/>
      <c r="AB268" s="1189"/>
      <c r="AC268" s="1189"/>
      <c r="AD268" s="1189"/>
      <c r="AE268" s="1189"/>
      <c r="AF268" s="1189"/>
      <c r="AG268" s="1189"/>
      <c r="AH268" s="1189"/>
      <c r="AI268" s="1189"/>
    </row>
    <row r="269">
      <c r="A269" s="1202"/>
      <c r="B269" s="1203"/>
      <c r="C269" s="1189"/>
      <c r="D269" s="1189"/>
      <c r="E269" s="1189"/>
      <c r="F269" s="1189"/>
      <c r="G269" s="1189"/>
      <c r="H269" s="1189"/>
      <c r="I269" s="1189"/>
      <c r="J269" s="1189"/>
      <c r="K269" s="1189"/>
      <c r="L269" s="1189"/>
      <c r="M269" s="1189"/>
      <c r="N269" s="1189"/>
      <c r="O269" s="1189"/>
      <c r="P269" s="1189"/>
      <c r="Q269" s="1189"/>
      <c r="R269" s="1189"/>
      <c r="S269" s="1189"/>
      <c r="T269" s="1189"/>
      <c r="U269" s="1189"/>
      <c r="V269" s="1189"/>
      <c r="W269" s="1189"/>
      <c r="X269" s="1189"/>
      <c r="Y269" s="1189"/>
      <c r="Z269" s="1189"/>
      <c r="AA269" s="1189"/>
      <c r="AB269" s="1189"/>
      <c r="AC269" s="1189"/>
      <c r="AD269" s="1189"/>
      <c r="AE269" s="1189"/>
      <c r="AF269" s="1189"/>
      <c r="AG269" s="1189"/>
      <c r="AH269" s="1189"/>
      <c r="AI269" s="1189"/>
    </row>
    <row r="270">
      <c r="A270" s="1202"/>
      <c r="B270" s="1203"/>
      <c r="C270" s="1189"/>
      <c r="D270" s="1189"/>
      <c r="E270" s="1189"/>
      <c r="F270" s="1189"/>
      <c r="G270" s="1189"/>
      <c r="H270" s="1189"/>
      <c r="I270" s="1189"/>
      <c r="J270" s="1189"/>
      <c r="K270" s="1189"/>
      <c r="L270" s="1189"/>
      <c r="M270" s="1189"/>
      <c r="N270" s="1189"/>
      <c r="O270" s="1189"/>
      <c r="P270" s="1189"/>
      <c r="Q270" s="1189"/>
      <c r="R270" s="1189"/>
      <c r="S270" s="1189"/>
      <c r="T270" s="1189"/>
      <c r="U270" s="1189"/>
      <c r="V270" s="1189"/>
      <c r="W270" s="1189"/>
      <c r="X270" s="1189"/>
      <c r="Y270" s="1189"/>
      <c r="Z270" s="1189"/>
      <c r="AA270" s="1189"/>
      <c r="AB270" s="1189"/>
      <c r="AC270" s="1189"/>
      <c r="AD270" s="1189"/>
      <c r="AE270" s="1189"/>
      <c r="AF270" s="1189"/>
      <c r="AG270" s="1189"/>
      <c r="AH270" s="1189"/>
      <c r="AI270" s="1189"/>
    </row>
    <row r="271">
      <c r="A271" s="1202"/>
      <c r="B271" s="1203"/>
      <c r="C271" s="1189"/>
      <c r="D271" s="1189"/>
      <c r="E271" s="1189"/>
      <c r="F271" s="1189"/>
      <c r="G271" s="1189"/>
      <c r="H271" s="1189"/>
      <c r="I271" s="1189"/>
      <c r="J271" s="1189"/>
      <c r="K271" s="1189"/>
      <c r="L271" s="1189"/>
      <c r="M271" s="1189"/>
      <c r="N271" s="1189"/>
      <c r="O271" s="1189"/>
      <c r="P271" s="1189"/>
      <c r="Q271" s="1189"/>
      <c r="R271" s="1189"/>
      <c r="S271" s="1189"/>
      <c r="T271" s="1189"/>
      <c r="U271" s="1189"/>
      <c r="V271" s="1189"/>
      <c r="W271" s="1189"/>
      <c r="X271" s="1189"/>
      <c r="Y271" s="1189"/>
      <c r="Z271" s="1189"/>
      <c r="AA271" s="1189"/>
      <c r="AB271" s="1189"/>
      <c r="AC271" s="1189"/>
      <c r="AD271" s="1189"/>
      <c r="AE271" s="1189"/>
      <c r="AF271" s="1189"/>
      <c r="AG271" s="1189"/>
      <c r="AH271" s="1189"/>
      <c r="AI271" s="1189"/>
    </row>
    <row r="272">
      <c r="A272" s="1202"/>
      <c r="B272" s="1203"/>
      <c r="C272" s="1189"/>
      <c r="D272" s="1189"/>
      <c r="E272" s="1189"/>
      <c r="F272" s="1189"/>
      <c r="G272" s="1189"/>
      <c r="H272" s="1189"/>
      <c r="I272" s="1189"/>
      <c r="J272" s="1189"/>
      <c r="K272" s="1189"/>
      <c r="L272" s="1189"/>
      <c r="M272" s="1189"/>
      <c r="N272" s="1189"/>
      <c r="O272" s="1189"/>
      <c r="P272" s="1189"/>
      <c r="Q272" s="1189"/>
      <c r="R272" s="1189"/>
      <c r="S272" s="1189"/>
      <c r="T272" s="1189"/>
      <c r="U272" s="1189"/>
      <c r="V272" s="1189"/>
      <c r="W272" s="1189"/>
      <c r="X272" s="1189"/>
      <c r="Y272" s="1189"/>
      <c r="Z272" s="1189"/>
      <c r="AA272" s="1189"/>
      <c r="AB272" s="1189"/>
      <c r="AC272" s="1189"/>
      <c r="AD272" s="1189"/>
      <c r="AE272" s="1189"/>
      <c r="AF272" s="1189"/>
      <c r="AG272" s="1189"/>
      <c r="AH272" s="1189"/>
      <c r="AI272" s="1189"/>
    </row>
    <row r="273">
      <c r="A273" s="1202"/>
      <c r="B273" s="1203"/>
      <c r="C273" s="1189"/>
      <c r="D273" s="1189"/>
      <c r="E273" s="1189"/>
      <c r="F273" s="1189"/>
      <c r="G273" s="1189"/>
      <c r="H273" s="1189"/>
      <c r="I273" s="1189"/>
      <c r="J273" s="1189"/>
      <c r="K273" s="1189"/>
      <c r="L273" s="1189"/>
      <c r="M273" s="1189"/>
      <c r="N273" s="1189"/>
      <c r="O273" s="1189"/>
      <c r="P273" s="1189"/>
      <c r="Q273" s="1189"/>
      <c r="R273" s="1189"/>
      <c r="S273" s="1189"/>
      <c r="T273" s="1189"/>
      <c r="U273" s="1189"/>
      <c r="V273" s="1189"/>
      <c r="W273" s="1189"/>
      <c r="X273" s="1189"/>
      <c r="Y273" s="1189"/>
      <c r="Z273" s="1189"/>
      <c r="AA273" s="1189"/>
      <c r="AB273" s="1189"/>
      <c r="AC273" s="1189"/>
      <c r="AD273" s="1189"/>
      <c r="AE273" s="1189"/>
      <c r="AF273" s="1189"/>
      <c r="AG273" s="1189"/>
      <c r="AH273" s="1189"/>
      <c r="AI273" s="1189"/>
    </row>
    <row r="274">
      <c r="A274" s="1202"/>
      <c r="B274" s="1203"/>
      <c r="C274" s="1189"/>
      <c r="D274" s="1189"/>
      <c r="E274" s="1189"/>
      <c r="F274" s="1189"/>
      <c r="G274" s="1189"/>
      <c r="H274" s="1189"/>
      <c r="I274" s="1189"/>
      <c r="J274" s="1189"/>
      <c r="K274" s="1189"/>
      <c r="L274" s="1189"/>
      <c r="M274" s="1189"/>
      <c r="N274" s="1189"/>
      <c r="O274" s="1189"/>
      <c r="P274" s="1189"/>
      <c r="Q274" s="1189"/>
      <c r="R274" s="1189"/>
      <c r="S274" s="1189"/>
      <c r="T274" s="1189"/>
      <c r="U274" s="1189"/>
      <c r="V274" s="1189"/>
      <c r="W274" s="1189"/>
      <c r="X274" s="1189"/>
      <c r="Y274" s="1189"/>
      <c r="Z274" s="1189"/>
      <c r="AA274" s="1189"/>
      <c r="AB274" s="1189"/>
      <c r="AC274" s="1189"/>
      <c r="AD274" s="1189"/>
      <c r="AE274" s="1189"/>
      <c r="AF274" s="1189"/>
      <c r="AG274" s="1189"/>
      <c r="AH274" s="1189"/>
      <c r="AI274" s="1189"/>
    </row>
    <row r="275">
      <c r="A275" s="1202"/>
      <c r="B275" s="1203"/>
      <c r="C275" s="1189"/>
      <c r="D275" s="1189"/>
      <c r="E275" s="1189"/>
      <c r="F275" s="1189"/>
      <c r="G275" s="1189"/>
      <c r="H275" s="1189"/>
      <c r="I275" s="1189"/>
      <c r="J275" s="1189"/>
      <c r="K275" s="1189"/>
      <c r="L275" s="1189"/>
      <c r="M275" s="1189"/>
      <c r="N275" s="1189"/>
      <c r="O275" s="1189"/>
      <c r="P275" s="1189"/>
      <c r="Q275" s="1189"/>
      <c r="R275" s="1189"/>
      <c r="S275" s="1189"/>
      <c r="T275" s="1189"/>
      <c r="U275" s="1189"/>
      <c r="V275" s="1189"/>
      <c r="W275" s="1189"/>
      <c r="X275" s="1189"/>
      <c r="Y275" s="1189"/>
      <c r="Z275" s="1189"/>
      <c r="AA275" s="1189"/>
      <c r="AB275" s="1189"/>
      <c r="AC275" s="1189"/>
      <c r="AD275" s="1189"/>
      <c r="AE275" s="1189"/>
      <c r="AF275" s="1189"/>
      <c r="AG275" s="1189"/>
      <c r="AH275" s="1189"/>
      <c r="AI275" s="1189"/>
    </row>
    <row r="276">
      <c r="A276" s="1202"/>
      <c r="B276" s="1203"/>
      <c r="C276" s="1189"/>
      <c r="D276" s="1189"/>
      <c r="E276" s="1189"/>
      <c r="F276" s="1189"/>
      <c r="G276" s="1189"/>
      <c r="H276" s="1189"/>
      <c r="I276" s="1189"/>
      <c r="J276" s="1189"/>
      <c r="K276" s="1189"/>
      <c r="L276" s="1189"/>
      <c r="M276" s="1189"/>
      <c r="N276" s="1189"/>
      <c r="O276" s="1189"/>
      <c r="P276" s="1189"/>
      <c r="Q276" s="1189"/>
      <c r="R276" s="1189"/>
      <c r="S276" s="1189"/>
      <c r="T276" s="1189"/>
      <c r="U276" s="1189"/>
      <c r="V276" s="1189"/>
      <c r="W276" s="1189"/>
      <c r="X276" s="1189"/>
      <c r="Y276" s="1189"/>
      <c r="Z276" s="1189"/>
      <c r="AA276" s="1189"/>
      <c r="AB276" s="1189"/>
      <c r="AC276" s="1189"/>
      <c r="AD276" s="1189"/>
      <c r="AE276" s="1189"/>
      <c r="AF276" s="1189"/>
      <c r="AG276" s="1189"/>
      <c r="AH276" s="1189"/>
      <c r="AI276" s="1189"/>
    </row>
    <row r="277">
      <c r="A277" s="1202"/>
      <c r="B277" s="1203"/>
      <c r="C277" s="1189"/>
      <c r="D277" s="1189"/>
      <c r="E277" s="1189"/>
      <c r="F277" s="1189"/>
      <c r="G277" s="1189"/>
      <c r="H277" s="1189"/>
      <c r="I277" s="1189"/>
      <c r="J277" s="1189"/>
      <c r="K277" s="1189"/>
      <c r="L277" s="1189"/>
      <c r="M277" s="1189"/>
      <c r="N277" s="1189"/>
      <c r="O277" s="1189"/>
      <c r="P277" s="1189"/>
      <c r="Q277" s="1189"/>
      <c r="R277" s="1189"/>
      <c r="S277" s="1189"/>
      <c r="T277" s="1189"/>
      <c r="U277" s="1189"/>
      <c r="V277" s="1189"/>
      <c r="W277" s="1189"/>
      <c r="X277" s="1189"/>
      <c r="Y277" s="1189"/>
      <c r="Z277" s="1189"/>
      <c r="AA277" s="1189"/>
      <c r="AB277" s="1189"/>
      <c r="AC277" s="1189"/>
      <c r="AD277" s="1189"/>
      <c r="AE277" s="1189"/>
      <c r="AF277" s="1189"/>
      <c r="AG277" s="1189"/>
      <c r="AH277" s="1189"/>
      <c r="AI277" s="1189"/>
    </row>
    <row r="278">
      <c r="A278" s="1202"/>
      <c r="B278" s="1203"/>
      <c r="C278" s="1189"/>
      <c r="D278" s="1189"/>
      <c r="E278" s="1189"/>
      <c r="F278" s="1189"/>
      <c r="G278" s="1189"/>
      <c r="H278" s="1189"/>
      <c r="I278" s="1189"/>
      <c r="J278" s="1189"/>
      <c r="K278" s="1189"/>
      <c r="L278" s="1189"/>
      <c r="M278" s="1189"/>
      <c r="N278" s="1189"/>
      <c r="O278" s="1189"/>
      <c r="P278" s="1189"/>
      <c r="Q278" s="1189"/>
      <c r="R278" s="1189"/>
      <c r="S278" s="1189"/>
      <c r="T278" s="1189"/>
      <c r="U278" s="1189"/>
      <c r="V278" s="1189"/>
      <c r="W278" s="1189"/>
      <c r="X278" s="1189"/>
      <c r="Y278" s="1189"/>
      <c r="Z278" s="1189"/>
      <c r="AA278" s="1189"/>
      <c r="AB278" s="1189"/>
      <c r="AC278" s="1189"/>
      <c r="AD278" s="1189"/>
      <c r="AE278" s="1189"/>
      <c r="AF278" s="1189"/>
      <c r="AG278" s="1189"/>
      <c r="AH278" s="1189"/>
      <c r="AI278" s="1189"/>
    </row>
    <row r="279">
      <c r="A279" s="1202"/>
      <c r="B279" s="1203"/>
      <c r="C279" s="1189"/>
      <c r="D279" s="1189"/>
      <c r="E279" s="1189"/>
      <c r="F279" s="1189"/>
      <c r="G279" s="1189"/>
      <c r="H279" s="1189"/>
      <c r="I279" s="1189"/>
      <c r="J279" s="1189"/>
      <c r="K279" s="1189"/>
      <c r="L279" s="1189"/>
      <c r="M279" s="1189"/>
      <c r="N279" s="1189"/>
      <c r="O279" s="1189"/>
      <c r="P279" s="1189"/>
      <c r="Q279" s="1189"/>
      <c r="R279" s="1189"/>
      <c r="S279" s="1189"/>
      <c r="T279" s="1189"/>
      <c r="U279" s="1189"/>
      <c r="V279" s="1189"/>
      <c r="W279" s="1189"/>
      <c r="X279" s="1189"/>
      <c r="Y279" s="1189"/>
      <c r="Z279" s="1189"/>
      <c r="AA279" s="1189"/>
      <c r="AB279" s="1189"/>
      <c r="AC279" s="1189"/>
      <c r="AD279" s="1189"/>
      <c r="AE279" s="1189"/>
      <c r="AF279" s="1189"/>
      <c r="AG279" s="1189"/>
      <c r="AH279" s="1189"/>
      <c r="AI279" s="1189"/>
    </row>
    <row r="280">
      <c r="A280" s="1202"/>
      <c r="B280" s="1203"/>
      <c r="C280" s="1189"/>
      <c r="D280" s="1189"/>
      <c r="E280" s="1189"/>
      <c r="F280" s="1189"/>
      <c r="G280" s="1189"/>
      <c r="H280" s="1189"/>
      <c r="I280" s="1189"/>
      <c r="J280" s="1189"/>
      <c r="K280" s="1189"/>
      <c r="L280" s="1189"/>
      <c r="M280" s="1189"/>
      <c r="N280" s="1189"/>
      <c r="O280" s="1189"/>
      <c r="P280" s="1189"/>
      <c r="Q280" s="1189"/>
      <c r="R280" s="1189"/>
      <c r="S280" s="1189"/>
      <c r="T280" s="1189"/>
      <c r="U280" s="1189"/>
      <c r="V280" s="1189"/>
      <c r="W280" s="1189"/>
      <c r="X280" s="1189"/>
      <c r="Y280" s="1189"/>
      <c r="Z280" s="1189"/>
      <c r="AA280" s="1189"/>
      <c r="AB280" s="1189"/>
      <c r="AC280" s="1189"/>
      <c r="AD280" s="1189"/>
      <c r="AE280" s="1189"/>
      <c r="AF280" s="1189"/>
      <c r="AG280" s="1189"/>
      <c r="AH280" s="1189"/>
      <c r="AI280" s="1189"/>
    </row>
    <row r="281">
      <c r="A281" s="1202"/>
      <c r="B281" s="1203"/>
      <c r="C281" s="1189"/>
      <c r="D281" s="1189"/>
      <c r="E281" s="1189"/>
      <c r="F281" s="1189"/>
      <c r="G281" s="1189"/>
      <c r="H281" s="1189"/>
      <c r="I281" s="1189"/>
      <c r="J281" s="1189"/>
      <c r="K281" s="1189"/>
      <c r="L281" s="1189"/>
      <c r="M281" s="1189"/>
      <c r="N281" s="1189"/>
      <c r="O281" s="1189"/>
      <c r="P281" s="1189"/>
      <c r="Q281" s="1189"/>
      <c r="R281" s="1189"/>
      <c r="S281" s="1189"/>
      <c r="T281" s="1189"/>
      <c r="U281" s="1189"/>
      <c r="V281" s="1189"/>
      <c r="W281" s="1189"/>
      <c r="X281" s="1189"/>
      <c r="Y281" s="1189"/>
      <c r="Z281" s="1189"/>
      <c r="AA281" s="1189"/>
      <c r="AB281" s="1189"/>
      <c r="AC281" s="1189"/>
      <c r="AD281" s="1189"/>
      <c r="AE281" s="1189"/>
      <c r="AF281" s="1189"/>
      <c r="AG281" s="1189"/>
      <c r="AH281" s="1189"/>
      <c r="AI281" s="1189"/>
    </row>
    <row r="282">
      <c r="A282" s="1202"/>
      <c r="B282" s="1203"/>
      <c r="C282" s="1189"/>
      <c r="D282" s="1189"/>
      <c r="E282" s="1189"/>
      <c r="F282" s="1189"/>
      <c r="G282" s="1189"/>
      <c r="H282" s="1189"/>
      <c r="I282" s="1189"/>
      <c r="J282" s="1189"/>
      <c r="K282" s="1189"/>
      <c r="L282" s="1189"/>
      <c r="M282" s="1189"/>
      <c r="N282" s="1189"/>
      <c r="O282" s="1189"/>
      <c r="P282" s="1189"/>
      <c r="Q282" s="1189"/>
      <c r="R282" s="1189"/>
      <c r="S282" s="1189"/>
      <c r="T282" s="1189"/>
      <c r="U282" s="1189"/>
      <c r="V282" s="1189"/>
      <c r="W282" s="1189"/>
      <c r="X282" s="1189"/>
      <c r="Y282" s="1189"/>
      <c r="Z282" s="1189"/>
      <c r="AA282" s="1189"/>
      <c r="AB282" s="1189"/>
      <c r="AC282" s="1189"/>
      <c r="AD282" s="1189"/>
      <c r="AE282" s="1189"/>
      <c r="AF282" s="1189"/>
      <c r="AG282" s="1189"/>
      <c r="AH282" s="1189"/>
      <c r="AI282" s="1189"/>
    </row>
    <row r="283">
      <c r="A283" s="1202"/>
      <c r="B283" s="1203"/>
      <c r="C283" s="1189"/>
      <c r="D283" s="1189"/>
      <c r="E283" s="1189"/>
      <c r="F283" s="1189"/>
      <c r="G283" s="1189"/>
      <c r="H283" s="1189"/>
      <c r="I283" s="1189"/>
      <c r="J283" s="1189"/>
      <c r="K283" s="1189"/>
      <c r="L283" s="1189"/>
      <c r="M283" s="1189"/>
      <c r="N283" s="1189"/>
      <c r="O283" s="1189"/>
      <c r="P283" s="1189"/>
      <c r="Q283" s="1189"/>
      <c r="R283" s="1189"/>
      <c r="S283" s="1189"/>
      <c r="T283" s="1189"/>
      <c r="U283" s="1189"/>
      <c r="V283" s="1189"/>
      <c r="W283" s="1189"/>
      <c r="X283" s="1189"/>
      <c r="Y283" s="1189"/>
      <c r="Z283" s="1189"/>
      <c r="AA283" s="1189"/>
      <c r="AB283" s="1189"/>
      <c r="AC283" s="1189"/>
      <c r="AD283" s="1189"/>
      <c r="AE283" s="1189"/>
      <c r="AF283" s="1189"/>
      <c r="AG283" s="1189"/>
      <c r="AH283" s="1189"/>
      <c r="AI283" s="1189"/>
    </row>
    <row r="284">
      <c r="A284" s="1202"/>
      <c r="B284" s="1203"/>
      <c r="C284" s="1189"/>
      <c r="D284" s="1189"/>
      <c r="E284" s="1189"/>
      <c r="F284" s="1189"/>
      <c r="G284" s="1189"/>
      <c r="H284" s="1189"/>
      <c r="I284" s="1189"/>
      <c r="J284" s="1189"/>
      <c r="K284" s="1189"/>
      <c r="L284" s="1189"/>
      <c r="M284" s="1189"/>
      <c r="N284" s="1189"/>
      <c r="O284" s="1189"/>
      <c r="P284" s="1189"/>
      <c r="Q284" s="1189"/>
      <c r="R284" s="1189"/>
      <c r="S284" s="1189"/>
      <c r="T284" s="1189"/>
      <c r="U284" s="1189"/>
      <c r="V284" s="1189"/>
      <c r="W284" s="1189"/>
      <c r="X284" s="1189"/>
      <c r="Y284" s="1189"/>
      <c r="Z284" s="1189"/>
      <c r="AA284" s="1189"/>
      <c r="AB284" s="1189"/>
      <c r="AC284" s="1189"/>
      <c r="AD284" s="1189"/>
      <c r="AE284" s="1189"/>
      <c r="AF284" s="1189"/>
      <c r="AG284" s="1189"/>
      <c r="AH284" s="1189"/>
      <c r="AI284" s="1189"/>
    </row>
    <row r="285">
      <c r="A285" s="1202"/>
      <c r="B285" s="1203"/>
      <c r="C285" s="1189"/>
      <c r="D285" s="1189"/>
      <c r="E285" s="1189"/>
      <c r="F285" s="1189"/>
      <c r="G285" s="1189"/>
      <c r="H285" s="1189"/>
      <c r="I285" s="1189"/>
      <c r="J285" s="1189"/>
      <c r="K285" s="1189"/>
      <c r="L285" s="1189"/>
      <c r="M285" s="1189"/>
      <c r="N285" s="1189"/>
      <c r="O285" s="1189"/>
      <c r="P285" s="1189"/>
      <c r="Q285" s="1189"/>
      <c r="R285" s="1189"/>
      <c r="S285" s="1189"/>
      <c r="T285" s="1189"/>
      <c r="U285" s="1189"/>
      <c r="V285" s="1189"/>
      <c r="W285" s="1189"/>
      <c r="X285" s="1189"/>
      <c r="Y285" s="1189"/>
      <c r="Z285" s="1189"/>
      <c r="AA285" s="1189"/>
      <c r="AB285" s="1189"/>
      <c r="AC285" s="1189"/>
      <c r="AD285" s="1189"/>
      <c r="AE285" s="1189"/>
      <c r="AF285" s="1189"/>
      <c r="AG285" s="1189"/>
      <c r="AH285" s="1189"/>
      <c r="AI285" s="1189"/>
    </row>
    <row r="286">
      <c r="A286" s="1202"/>
      <c r="B286" s="1203"/>
      <c r="C286" s="1189"/>
      <c r="D286" s="1189"/>
      <c r="E286" s="1189"/>
      <c r="F286" s="1189"/>
      <c r="G286" s="1189"/>
      <c r="H286" s="1189"/>
      <c r="I286" s="1189"/>
      <c r="J286" s="1189"/>
      <c r="K286" s="1189"/>
      <c r="L286" s="1189"/>
      <c r="M286" s="1189"/>
      <c r="N286" s="1189"/>
      <c r="O286" s="1189"/>
      <c r="P286" s="1189"/>
      <c r="Q286" s="1189"/>
      <c r="R286" s="1189"/>
      <c r="S286" s="1189"/>
      <c r="T286" s="1189"/>
      <c r="U286" s="1189"/>
      <c r="V286" s="1189"/>
      <c r="W286" s="1189"/>
      <c r="X286" s="1189"/>
      <c r="Y286" s="1189"/>
      <c r="Z286" s="1189"/>
      <c r="AA286" s="1189"/>
      <c r="AB286" s="1189"/>
      <c r="AC286" s="1189"/>
      <c r="AD286" s="1189"/>
      <c r="AE286" s="1189"/>
      <c r="AF286" s="1189"/>
      <c r="AG286" s="1189"/>
      <c r="AH286" s="1189"/>
      <c r="AI286" s="1189"/>
    </row>
    <row r="287">
      <c r="A287" s="1202"/>
      <c r="B287" s="1203"/>
      <c r="C287" s="1189"/>
      <c r="D287" s="1189"/>
      <c r="E287" s="1189"/>
      <c r="F287" s="1189"/>
      <c r="G287" s="1189"/>
      <c r="H287" s="1189"/>
      <c r="I287" s="1189"/>
      <c r="J287" s="1189"/>
      <c r="K287" s="1189"/>
      <c r="L287" s="1189"/>
      <c r="M287" s="1189"/>
      <c r="N287" s="1189"/>
      <c r="O287" s="1189"/>
      <c r="P287" s="1189"/>
      <c r="Q287" s="1189"/>
      <c r="R287" s="1189"/>
      <c r="S287" s="1189"/>
      <c r="T287" s="1189"/>
      <c r="U287" s="1189"/>
      <c r="V287" s="1189"/>
      <c r="W287" s="1189"/>
      <c r="X287" s="1189"/>
      <c r="Y287" s="1189"/>
      <c r="Z287" s="1189"/>
      <c r="AA287" s="1189"/>
      <c r="AB287" s="1189"/>
      <c r="AC287" s="1189"/>
      <c r="AD287" s="1189"/>
      <c r="AE287" s="1189"/>
      <c r="AF287" s="1189"/>
      <c r="AG287" s="1189"/>
      <c r="AH287" s="1189"/>
      <c r="AI287" s="1189"/>
    </row>
    <row r="288">
      <c r="A288" s="1202"/>
      <c r="B288" s="1203"/>
      <c r="C288" s="1189"/>
      <c r="D288" s="1189"/>
      <c r="E288" s="1189"/>
      <c r="F288" s="1189"/>
      <c r="G288" s="1189"/>
      <c r="H288" s="1189"/>
      <c r="I288" s="1189"/>
      <c r="J288" s="1189"/>
      <c r="K288" s="1189"/>
      <c r="L288" s="1189"/>
      <c r="M288" s="1189"/>
      <c r="N288" s="1189"/>
      <c r="O288" s="1189"/>
      <c r="P288" s="1189"/>
      <c r="Q288" s="1189"/>
      <c r="R288" s="1189"/>
      <c r="S288" s="1189"/>
      <c r="T288" s="1189"/>
      <c r="U288" s="1189"/>
      <c r="V288" s="1189"/>
      <c r="W288" s="1189"/>
      <c r="X288" s="1189"/>
      <c r="Y288" s="1189"/>
      <c r="Z288" s="1189"/>
      <c r="AA288" s="1189"/>
      <c r="AB288" s="1189"/>
      <c r="AC288" s="1189"/>
      <c r="AD288" s="1189"/>
      <c r="AE288" s="1189"/>
      <c r="AF288" s="1189"/>
      <c r="AG288" s="1189"/>
      <c r="AH288" s="1189"/>
      <c r="AI288" s="1189"/>
    </row>
    <row r="289">
      <c r="A289" s="1202"/>
      <c r="B289" s="1203"/>
      <c r="C289" s="1189"/>
      <c r="D289" s="1189"/>
      <c r="E289" s="1189"/>
      <c r="F289" s="1189"/>
      <c r="G289" s="1189"/>
      <c r="H289" s="1189"/>
      <c r="I289" s="1189"/>
      <c r="J289" s="1189"/>
      <c r="K289" s="1189"/>
      <c r="L289" s="1189"/>
      <c r="M289" s="1189"/>
      <c r="N289" s="1189"/>
      <c r="O289" s="1189"/>
      <c r="P289" s="1189"/>
      <c r="Q289" s="1189"/>
      <c r="R289" s="1189"/>
      <c r="S289" s="1189"/>
      <c r="T289" s="1189"/>
      <c r="U289" s="1189"/>
      <c r="V289" s="1189"/>
      <c r="W289" s="1189"/>
      <c r="X289" s="1189"/>
      <c r="Y289" s="1189"/>
      <c r="Z289" s="1189"/>
      <c r="AA289" s="1189"/>
      <c r="AB289" s="1189"/>
      <c r="AC289" s="1189"/>
      <c r="AD289" s="1189"/>
      <c r="AE289" s="1189"/>
      <c r="AF289" s="1189"/>
      <c r="AG289" s="1189"/>
      <c r="AH289" s="1189"/>
      <c r="AI289" s="1189"/>
    </row>
    <row r="290">
      <c r="A290" s="1202"/>
      <c r="B290" s="1203"/>
      <c r="C290" s="1189"/>
      <c r="D290" s="1189"/>
      <c r="E290" s="1189"/>
      <c r="F290" s="1189"/>
      <c r="G290" s="1189"/>
      <c r="H290" s="1189"/>
      <c r="I290" s="1189"/>
      <c r="J290" s="1189"/>
      <c r="K290" s="1189"/>
      <c r="L290" s="1189"/>
      <c r="M290" s="1189"/>
      <c r="N290" s="1189"/>
      <c r="O290" s="1189"/>
      <c r="P290" s="1189"/>
      <c r="Q290" s="1189"/>
      <c r="R290" s="1189"/>
      <c r="S290" s="1189"/>
      <c r="T290" s="1189"/>
      <c r="U290" s="1189"/>
      <c r="V290" s="1189"/>
      <c r="W290" s="1189"/>
      <c r="X290" s="1189"/>
      <c r="Y290" s="1189"/>
      <c r="Z290" s="1189"/>
      <c r="AA290" s="1189"/>
      <c r="AB290" s="1189"/>
      <c r="AC290" s="1189"/>
      <c r="AD290" s="1189"/>
      <c r="AE290" s="1189"/>
      <c r="AF290" s="1189"/>
      <c r="AG290" s="1189"/>
      <c r="AH290" s="1189"/>
      <c r="AI290" s="1189"/>
    </row>
    <row r="291">
      <c r="A291" s="1202"/>
      <c r="B291" s="1203"/>
      <c r="C291" s="1189"/>
      <c r="D291" s="1189"/>
      <c r="E291" s="1189"/>
      <c r="F291" s="1189"/>
      <c r="G291" s="1189"/>
      <c r="H291" s="1189"/>
      <c r="I291" s="1189"/>
      <c r="J291" s="1189"/>
      <c r="K291" s="1189"/>
      <c r="L291" s="1189"/>
      <c r="M291" s="1189"/>
      <c r="N291" s="1189"/>
      <c r="O291" s="1189"/>
      <c r="P291" s="1189"/>
      <c r="Q291" s="1189"/>
      <c r="R291" s="1189"/>
      <c r="S291" s="1189"/>
      <c r="T291" s="1189"/>
      <c r="U291" s="1189"/>
      <c r="V291" s="1189"/>
      <c r="W291" s="1189"/>
      <c r="X291" s="1189"/>
      <c r="Y291" s="1189"/>
      <c r="Z291" s="1189"/>
      <c r="AA291" s="1189"/>
      <c r="AB291" s="1189"/>
      <c r="AC291" s="1189"/>
      <c r="AD291" s="1189"/>
      <c r="AE291" s="1189"/>
      <c r="AF291" s="1189"/>
      <c r="AG291" s="1189"/>
      <c r="AH291" s="1189"/>
      <c r="AI291" s="1189"/>
    </row>
    <row r="292">
      <c r="A292" s="1202"/>
      <c r="B292" s="1203"/>
      <c r="C292" s="1189"/>
      <c r="D292" s="1189"/>
      <c r="E292" s="1189"/>
      <c r="F292" s="1189"/>
      <c r="G292" s="1189"/>
      <c r="H292" s="1189"/>
      <c r="I292" s="1189"/>
      <c r="J292" s="1189"/>
      <c r="K292" s="1189"/>
      <c r="L292" s="1189"/>
      <c r="M292" s="1189"/>
      <c r="N292" s="1189"/>
      <c r="O292" s="1189"/>
      <c r="P292" s="1189"/>
      <c r="Q292" s="1189"/>
      <c r="R292" s="1189"/>
      <c r="S292" s="1189"/>
      <c r="T292" s="1189"/>
      <c r="U292" s="1189"/>
      <c r="V292" s="1189"/>
      <c r="W292" s="1189"/>
      <c r="X292" s="1189"/>
      <c r="Y292" s="1189"/>
      <c r="Z292" s="1189"/>
      <c r="AA292" s="1189"/>
      <c r="AB292" s="1189"/>
      <c r="AC292" s="1189"/>
      <c r="AD292" s="1189"/>
      <c r="AE292" s="1189"/>
      <c r="AF292" s="1189"/>
      <c r="AG292" s="1189"/>
      <c r="AH292" s="1189"/>
      <c r="AI292" s="1189"/>
    </row>
    <row r="293">
      <c r="A293" s="1202"/>
      <c r="B293" s="1203"/>
      <c r="C293" s="1189"/>
      <c r="D293" s="1189"/>
      <c r="E293" s="1189"/>
      <c r="F293" s="1189"/>
      <c r="G293" s="1189"/>
      <c r="H293" s="1189"/>
      <c r="I293" s="1189"/>
      <c r="J293" s="1189"/>
      <c r="K293" s="1189"/>
      <c r="L293" s="1189"/>
      <c r="M293" s="1189"/>
      <c r="N293" s="1189"/>
      <c r="O293" s="1189"/>
      <c r="P293" s="1189"/>
      <c r="Q293" s="1189"/>
      <c r="R293" s="1189"/>
      <c r="S293" s="1189"/>
      <c r="T293" s="1189"/>
      <c r="U293" s="1189"/>
      <c r="V293" s="1189"/>
      <c r="W293" s="1189"/>
      <c r="X293" s="1189"/>
      <c r="Y293" s="1189"/>
      <c r="Z293" s="1189"/>
      <c r="AA293" s="1189"/>
      <c r="AB293" s="1189"/>
      <c r="AC293" s="1189"/>
      <c r="AD293" s="1189"/>
      <c r="AE293" s="1189"/>
      <c r="AF293" s="1189"/>
      <c r="AG293" s="1189"/>
      <c r="AH293" s="1189"/>
      <c r="AI293" s="1189"/>
    </row>
    <row r="294">
      <c r="A294" s="1202"/>
      <c r="B294" s="1203"/>
      <c r="C294" s="1189"/>
      <c r="D294" s="1189"/>
      <c r="E294" s="1189"/>
      <c r="F294" s="1189"/>
      <c r="G294" s="1189"/>
      <c r="H294" s="1189"/>
      <c r="I294" s="1189"/>
      <c r="J294" s="1189"/>
      <c r="K294" s="1189"/>
      <c r="L294" s="1189"/>
      <c r="M294" s="1189"/>
      <c r="N294" s="1189"/>
      <c r="O294" s="1189"/>
      <c r="P294" s="1189"/>
      <c r="Q294" s="1189"/>
      <c r="R294" s="1189"/>
      <c r="S294" s="1189"/>
      <c r="T294" s="1189"/>
      <c r="U294" s="1189"/>
      <c r="V294" s="1189"/>
      <c r="W294" s="1189"/>
      <c r="X294" s="1189"/>
      <c r="Y294" s="1189"/>
      <c r="Z294" s="1189"/>
      <c r="AA294" s="1189"/>
      <c r="AB294" s="1189"/>
      <c r="AC294" s="1189"/>
      <c r="AD294" s="1189"/>
      <c r="AE294" s="1189"/>
      <c r="AF294" s="1189"/>
      <c r="AG294" s="1189"/>
      <c r="AH294" s="1189"/>
      <c r="AI294" s="1189"/>
    </row>
    <row r="295">
      <c r="A295" s="1202"/>
      <c r="B295" s="1203"/>
      <c r="C295" s="1189"/>
      <c r="D295" s="1189"/>
      <c r="E295" s="1189"/>
      <c r="F295" s="1189"/>
      <c r="G295" s="1189"/>
      <c r="H295" s="1189"/>
      <c r="I295" s="1189"/>
      <c r="J295" s="1189"/>
      <c r="K295" s="1189"/>
      <c r="L295" s="1189"/>
      <c r="M295" s="1189"/>
      <c r="N295" s="1189"/>
      <c r="O295" s="1189"/>
      <c r="P295" s="1189"/>
      <c r="Q295" s="1189"/>
      <c r="R295" s="1189"/>
      <c r="S295" s="1189"/>
      <c r="T295" s="1189"/>
      <c r="U295" s="1189"/>
      <c r="V295" s="1189"/>
      <c r="W295" s="1189"/>
      <c r="X295" s="1189"/>
      <c r="Y295" s="1189"/>
      <c r="Z295" s="1189"/>
      <c r="AA295" s="1189"/>
      <c r="AB295" s="1189"/>
      <c r="AC295" s="1189"/>
      <c r="AD295" s="1189"/>
      <c r="AE295" s="1189"/>
      <c r="AF295" s="1189"/>
      <c r="AG295" s="1189"/>
      <c r="AH295" s="1189"/>
      <c r="AI295" s="1189"/>
    </row>
    <row r="296">
      <c r="A296" s="1202"/>
      <c r="B296" s="1203"/>
      <c r="C296" s="1189"/>
      <c r="D296" s="1189"/>
      <c r="E296" s="1189"/>
      <c r="F296" s="1189"/>
      <c r="G296" s="1189"/>
      <c r="H296" s="1189"/>
      <c r="I296" s="1189"/>
      <c r="J296" s="1189"/>
      <c r="K296" s="1189"/>
      <c r="L296" s="1189"/>
      <c r="M296" s="1189"/>
      <c r="N296" s="1189"/>
      <c r="O296" s="1189"/>
      <c r="P296" s="1189"/>
      <c r="Q296" s="1189"/>
      <c r="R296" s="1189"/>
      <c r="S296" s="1189"/>
      <c r="T296" s="1189"/>
      <c r="U296" s="1189"/>
      <c r="V296" s="1189"/>
      <c r="W296" s="1189"/>
      <c r="X296" s="1189"/>
      <c r="Y296" s="1189"/>
      <c r="Z296" s="1189"/>
      <c r="AA296" s="1189"/>
      <c r="AB296" s="1189"/>
      <c r="AC296" s="1189"/>
      <c r="AD296" s="1189"/>
      <c r="AE296" s="1189"/>
      <c r="AF296" s="1189"/>
      <c r="AG296" s="1189"/>
      <c r="AH296" s="1189"/>
      <c r="AI296" s="1189"/>
    </row>
    <row r="297">
      <c r="A297" s="1202"/>
      <c r="B297" s="1203"/>
      <c r="C297" s="1189"/>
      <c r="D297" s="1189"/>
      <c r="E297" s="1189"/>
      <c r="F297" s="1189"/>
      <c r="G297" s="1189"/>
      <c r="H297" s="1189"/>
      <c r="I297" s="1189"/>
      <c r="J297" s="1189"/>
      <c r="K297" s="1189"/>
      <c r="L297" s="1189"/>
      <c r="M297" s="1189"/>
      <c r="N297" s="1189"/>
      <c r="O297" s="1189"/>
      <c r="P297" s="1189"/>
      <c r="Q297" s="1189"/>
      <c r="R297" s="1189"/>
      <c r="S297" s="1189"/>
      <c r="T297" s="1189"/>
      <c r="U297" s="1189"/>
      <c r="V297" s="1189"/>
      <c r="W297" s="1189"/>
      <c r="X297" s="1189"/>
      <c r="Y297" s="1189"/>
      <c r="Z297" s="1189"/>
      <c r="AA297" s="1189"/>
      <c r="AB297" s="1189"/>
      <c r="AC297" s="1189"/>
      <c r="AD297" s="1189"/>
      <c r="AE297" s="1189"/>
      <c r="AF297" s="1189"/>
      <c r="AG297" s="1189"/>
      <c r="AH297" s="1189"/>
      <c r="AI297" s="1189"/>
    </row>
    <row r="298">
      <c r="A298" s="1202"/>
      <c r="B298" s="1203"/>
      <c r="C298" s="1189"/>
      <c r="D298" s="1189"/>
      <c r="E298" s="1189"/>
      <c r="F298" s="1189"/>
      <c r="G298" s="1189"/>
      <c r="H298" s="1189"/>
      <c r="I298" s="1189"/>
      <c r="J298" s="1189"/>
      <c r="K298" s="1189"/>
      <c r="L298" s="1189"/>
      <c r="M298" s="1189"/>
      <c r="N298" s="1189"/>
      <c r="O298" s="1189"/>
      <c r="P298" s="1189"/>
      <c r="Q298" s="1189"/>
      <c r="R298" s="1189"/>
      <c r="S298" s="1189"/>
      <c r="T298" s="1189"/>
      <c r="U298" s="1189"/>
      <c r="V298" s="1189"/>
      <c r="W298" s="1189"/>
      <c r="X298" s="1189"/>
      <c r="Y298" s="1189"/>
      <c r="Z298" s="1189"/>
      <c r="AA298" s="1189"/>
      <c r="AB298" s="1189"/>
      <c r="AC298" s="1189"/>
      <c r="AD298" s="1189"/>
      <c r="AE298" s="1189"/>
      <c r="AF298" s="1189"/>
      <c r="AG298" s="1189"/>
      <c r="AH298" s="1189"/>
      <c r="AI298" s="1189"/>
    </row>
    <row r="299">
      <c r="A299" s="1202"/>
      <c r="B299" s="1203"/>
      <c r="C299" s="1189"/>
      <c r="D299" s="1189"/>
      <c r="E299" s="1189"/>
      <c r="F299" s="1189"/>
      <c r="G299" s="1189"/>
      <c r="H299" s="1189"/>
      <c r="I299" s="1189"/>
      <c r="J299" s="1189"/>
      <c r="K299" s="1189"/>
      <c r="L299" s="1189"/>
      <c r="M299" s="1189"/>
      <c r="N299" s="1189"/>
      <c r="O299" s="1189"/>
      <c r="P299" s="1189"/>
      <c r="Q299" s="1189"/>
      <c r="R299" s="1189"/>
      <c r="S299" s="1189"/>
      <c r="T299" s="1189"/>
      <c r="U299" s="1189"/>
      <c r="V299" s="1189"/>
      <c r="W299" s="1189"/>
      <c r="X299" s="1189"/>
      <c r="Y299" s="1189"/>
      <c r="Z299" s="1189"/>
      <c r="AA299" s="1189"/>
      <c r="AB299" s="1189"/>
      <c r="AC299" s="1189"/>
      <c r="AD299" s="1189"/>
      <c r="AE299" s="1189"/>
      <c r="AF299" s="1189"/>
      <c r="AG299" s="1189"/>
      <c r="AH299" s="1189"/>
      <c r="AI299" s="1189"/>
    </row>
    <row r="300">
      <c r="A300" s="1202"/>
      <c r="B300" s="1203"/>
      <c r="C300" s="1189"/>
      <c r="D300" s="1189"/>
      <c r="E300" s="1189"/>
      <c r="F300" s="1189"/>
      <c r="G300" s="1189"/>
      <c r="H300" s="1189"/>
      <c r="I300" s="1189"/>
      <c r="J300" s="1189"/>
      <c r="K300" s="1189"/>
      <c r="L300" s="1189"/>
      <c r="M300" s="1189"/>
      <c r="N300" s="1189"/>
      <c r="O300" s="1189"/>
      <c r="P300" s="1189"/>
      <c r="Q300" s="1189"/>
      <c r="R300" s="1189"/>
      <c r="S300" s="1189"/>
      <c r="T300" s="1189"/>
      <c r="U300" s="1189"/>
      <c r="V300" s="1189"/>
      <c r="W300" s="1189"/>
      <c r="X300" s="1189"/>
      <c r="Y300" s="1189"/>
      <c r="Z300" s="1189"/>
      <c r="AA300" s="1189"/>
      <c r="AB300" s="1189"/>
      <c r="AC300" s="1189"/>
      <c r="AD300" s="1189"/>
      <c r="AE300" s="1189"/>
      <c r="AF300" s="1189"/>
      <c r="AG300" s="1189"/>
      <c r="AH300" s="1189"/>
      <c r="AI300" s="1189"/>
    </row>
    <row r="301">
      <c r="A301" s="1202"/>
      <c r="B301" s="1203"/>
      <c r="C301" s="1189"/>
      <c r="D301" s="1189"/>
      <c r="E301" s="1189"/>
      <c r="F301" s="1189"/>
      <c r="G301" s="1189"/>
      <c r="H301" s="1189"/>
      <c r="I301" s="1189"/>
      <c r="J301" s="1189"/>
      <c r="K301" s="1189"/>
      <c r="L301" s="1189"/>
      <c r="M301" s="1189"/>
      <c r="N301" s="1189"/>
      <c r="O301" s="1189"/>
      <c r="P301" s="1189"/>
      <c r="Q301" s="1189"/>
      <c r="R301" s="1189"/>
      <c r="S301" s="1189"/>
      <c r="T301" s="1189"/>
      <c r="U301" s="1189"/>
      <c r="V301" s="1189"/>
      <c r="W301" s="1189"/>
      <c r="X301" s="1189"/>
      <c r="Y301" s="1189"/>
      <c r="Z301" s="1189"/>
      <c r="AA301" s="1189"/>
      <c r="AB301" s="1189"/>
      <c r="AC301" s="1189"/>
      <c r="AD301" s="1189"/>
      <c r="AE301" s="1189"/>
      <c r="AF301" s="1189"/>
      <c r="AG301" s="1189"/>
      <c r="AH301" s="1189"/>
      <c r="AI301" s="1189"/>
    </row>
    <row r="302">
      <c r="A302" s="1202"/>
      <c r="B302" s="1203"/>
      <c r="C302" s="1189"/>
      <c r="D302" s="1189"/>
      <c r="E302" s="1189"/>
      <c r="F302" s="1189"/>
      <c r="G302" s="1189"/>
      <c r="H302" s="1189"/>
      <c r="I302" s="1189"/>
      <c r="J302" s="1189"/>
      <c r="K302" s="1189"/>
      <c r="L302" s="1189"/>
      <c r="M302" s="1189"/>
      <c r="N302" s="1189"/>
      <c r="O302" s="1189"/>
      <c r="P302" s="1189"/>
      <c r="Q302" s="1189"/>
      <c r="R302" s="1189"/>
      <c r="S302" s="1189"/>
      <c r="T302" s="1189"/>
      <c r="U302" s="1189"/>
      <c r="V302" s="1189"/>
      <c r="W302" s="1189"/>
      <c r="X302" s="1189"/>
      <c r="Y302" s="1189"/>
      <c r="Z302" s="1189"/>
      <c r="AA302" s="1189"/>
      <c r="AB302" s="1189"/>
      <c r="AC302" s="1189"/>
      <c r="AD302" s="1189"/>
      <c r="AE302" s="1189"/>
      <c r="AF302" s="1189"/>
      <c r="AG302" s="1189"/>
      <c r="AH302" s="1189"/>
      <c r="AI302" s="1189"/>
    </row>
    <row r="303">
      <c r="A303" s="1202"/>
      <c r="B303" s="1203"/>
      <c r="C303" s="1189"/>
      <c r="D303" s="1189"/>
      <c r="E303" s="1189"/>
      <c r="F303" s="1189"/>
      <c r="G303" s="1189"/>
      <c r="H303" s="1189"/>
      <c r="I303" s="1189"/>
      <c r="J303" s="1189"/>
      <c r="K303" s="1189"/>
      <c r="L303" s="1189"/>
      <c r="M303" s="1189"/>
      <c r="N303" s="1189"/>
      <c r="O303" s="1189"/>
      <c r="P303" s="1189"/>
      <c r="Q303" s="1189"/>
      <c r="R303" s="1189"/>
      <c r="S303" s="1189"/>
      <c r="T303" s="1189"/>
      <c r="U303" s="1189"/>
      <c r="V303" s="1189"/>
      <c r="W303" s="1189"/>
      <c r="X303" s="1189"/>
      <c r="Y303" s="1189"/>
      <c r="Z303" s="1189"/>
      <c r="AA303" s="1189"/>
      <c r="AB303" s="1189"/>
      <c r="AC303" s="1189"/>
      <c r="AD303" s="1189"/>
      <c r="AE303" s="1189"/>
      <c r="AF303" s="1189"/>
      <c r="AG303" s="1189"/>
      <c r="AH303" s="1189"/>
      <c r="AI303" s="1189"/>
    </row>
    <row r="304">
      <c r="A304" s="1202"/>
      <c r="B304" s="1203"/>
      <c r="C304" s="1189"/>
      <c r="D304" s="1189"/>
      <c r="E304" s="1189"/>
      <c r="F304" s="1189"/>
      <c r="G304" s="1189"/>
      <c r="H304" s="1189"/>
      <c r="I304" s="1189"/>
      <c r="J304" s="1189"/>
      <c r="K304" s="1189"/>
      <c r="L304" s="1189"/>
      <c r="M304" s="1189"/>
      <c r="N304" s="1189"/>
      <c r="O304" s="1189"/>
      <c r="P304" s="1189"/>
      <c r="Q304" s="1189"/>
      <c r="R304" s="1189"/>
      <c r="S304" s="1189"/>
      <c r="T304" s="1189"/>
      <c r="U304" s="1189"/>
      <c r="V304" s="1189"/>
      <c r="W304" s="1189"/>
      <c r="X304" s="1189"/>
      <c r="Y304" s="1189"/>
      <c r="Z304" s="1189"/>
      <c r="AA304" s="1189"/>
      <c r="AB304" s="1189"/>
      <c r="AC304" s="1189"/>
      <c r="AD304" s="1189"/>
      <c r="AE304" s="1189"/>
      <c r="AF304" s="1189"/>
      <c r="AG304" s="1189"/>
      <c r="AH304" s="1189"/>
      <c r="AI304" s="1189"/>
    </row>
    <row r="305">
      <c r="A305" s="1202"/>
      <c r="B305" s="1203"/>
      <c r="C305" s="1189"/>
      <c r="D305" s="1189"/>
      <c r="E305" s="1189"/>
      <c r="F305" s="1189"/>
      <c r="G305" s="1189"/>
      <c r="H305" s="1189"/>
      <c r="I305" s="1189"/>
      <c r="J305" s="1189"/>
      <c r="K305" s="1189"/>
      <c r="L305" s="1189"/>
      <c r="M305" s="1189"/>
      <c r="N305" s="1189"/>
      <c r="O305" s="1189"/>
      <c r="P305" s="1189"/>
      <c r="Q305" s="1189"/>
      <c r="R305" s="1189"/>
      <c r="S305" s="1189"/>
      <c r="T305" s="1189"/>
      <c r="U305" s="1189"/>
      <c r="V305" s="1189"/>
      <c r="W305" s="1189"/>
      <c r="X305" s="1189"/>
      <c r="Y305" s="1189"/>
      <c r="Z305" s="1189"/>
      <c r="AA305" s="1189"/>
      <c r="AB305" s="1189"/>
      <c r="AC305" s="1189"/>
      <c r="AD305" s="1189"/>
      <c r="AE305" s="1189"/>
      <c r="AF305" s="1189"/>
      <c r="AG305" s="1189"/>
      <c r="AH305" s="1189"/>
      <c r="AI305" s="1189"/>
    </row>
    <row r="306">
      <c r="A306" s="1202"/>
      <c r="B306" s="1203"/>
      <c r="C306" s="1189"/>
      <c r="D306" s="1189"/>
      <c r="E306" s="1189"/>
      <c r="F306" s="1189"/>
      <c r="G306" s="1189"/>
      <c r="H306" s="1189"/>
      <c r="I306" s="1189"/>
      <c r="J306" s="1189"/>
      <c r="K306" s="1189"/>
      <c r="L306" s="1189"/>
      <c r="M306" s="1189"/>
      <c r="N306" s="1189"/>
      <c r="O306" s="1189"/>
      <c r="P306" s="1189"/>
      <c r="Q306" s="1189"/>
      <c r="R306" s="1189"/>
      <c r="S306" s="1189"/>
      <c r="T306" s="1189"/>
      <c r="U306" s="1189"/>
      <c r="V306" s="1189"/>
      <c r="W306" s="1189"/>
      <c r="X306" s="1189"/>
      <c r="Y306" s="1189"/>
      <c r="Z306" s="1189"/>
      <c r="AA306" s="1189"/>
      <c r="AB306" s="1189"/>
      <c r="AC306" s="1189"/>
      <c r="AD306" s="1189"/>
      <c r="AE306" s="1189"/>
      <c r="AF306" s="1189"/>
      <c r="AG306" s="1189"/>
      <c r="AH306" s="1189"/>
      <c r="AI306" s="1189"/>
    </row>
    <row r="307">
      <c r="A307" s="1202"/>
      <c r="B307" s="1203"/>
      <c r="C307" s="1189"/>
      <c r="D307" s="1189"/>
      <c r="E307" s="1189"/>
      <c r="F307" s="1189"/>
      <c r="G307" s="1189"/>
      <c r="H307" s="1189"/>
      <c r="I307" s="1189"/>
      <c r="J307" s="1189"/>
      <c r="K307" s="1189"/>
      <c r="L307" s="1189"/>
      <c r="M307" s="1189"/>
      <c r="N307" s="1189"/>
      <c r="O307" s="1189"/>
      <c r="P307" s="1189"/>
      <c r="Q307" s="1189"/>
      <c r="R307" s="1189"/>
      <c r="S307" s="1189"/>
      <c r="T307" s="1189"/>
      <c r="U307" s="1189"/>
      <c r="V307" s="1189"/>
      <c r="W307" s="1189"/>
      <c r="X307" s="1189"/>
      <c r="Y307" s="1189"/>
      <c r="Z307" s="1189"/>
      <c r="AA307" s="1189"/>
      <c r="AB307" s="1189"/>
      <c r="AC307" s="1189"/>
      <c r="AD307" s="1189"/>
      <c r="AE307" s="1189"/>
      <c r="AF307" s="1189"/>
      <c r="AG307" s="1189"/>
      <c r="AH307" s="1189"/>
      <c r="AI307" s="1189"/>
    </row>
    <row r="308">
      <c r="A308" s="1202"/>
      <c r="B308" s="1203"/>
      <c r="C308" s="1189"/>
      <c r="D308" s="1189"/>
      <c r="E308" s="1189"/>
      <c r="F308" s="1189"/>
      <c r="G308" s="1189"/>
      <c r="H308" s="1189"/>
      <c r="I308" s="1189"/>
      <c r="J308" s="1189"/>
      <c r="K308" s="1189"/>
      <c r="L308" s="1189"/>
      <c r="M308" s="1189"/>
      <c r="N308" s="1189"/>
      <c r="O308" s="1189"/>
      <c r="P308" s="1189"/>
      <c r="Q308" s="1189"/>
      <c r="R308" s="1189"/>
      <c r="S308" s="1189"/>
      <c r="T308" s="1189"/>
      <c r="U308" s="1189"/>
      <c r="V308" s="1189"/>
      <c r="W308" s="1189"/>
      <c r="X308" s="1189"/>
      <c r="Y308" s="1189"/>
      <c r="Z308" s="1189"/>
      <c r="AA308" s="1189"/>
      <c r="AB308" s="1189"/>
      <c r="AC308" s="1189"/>
      <c r="AD308" s="1189"/>
      <c r="AE308" s="1189"/>
      <c r="AF308" s="1189"/>
      <c r="AG308" s="1189"/>
      <c r="AH308" s="1189"/>
      <c r="AI308" s="1189"/>
    </row>
    <row r="309">
      <c r="A309" s="1202"/>
      <c r="B309" s="1203"/>
      <c r="C309" s="1189"/>
      <c r="D309" s="1189"/>
      <c r="E309" s="1189"/>
      <c r="F309" s="1189"/>
      <c r="G309" s="1189"/>
      <c r="H309" s="1189"/>
      <c r="I309" s="1189"/>
      <c r="J309" s="1189"/>
      <c r="K309" s="1189"/>
      <c r="L309" s="1189"/>
      <c r="M309" s="1189"/>
      <c r="N309" s="1189"/>
      <c r="O309" s="1189"/>
      <c r="P309" s="1189"/>
      <c r="Q309" s="1189"/>
      <c r="R309" s="1189"/>
      <c r="S309" s="1189"/>
      <c r="T309" s="1189"/>
      <c r="U309" s="1189"/>
      <c r="V309" s="1189"/>
      <c r="W309" s="1189"/>
      <c r="X309" s="1189"/>
      <c r="Y309" s="1189"/>
      <c r="Z309" s="1189"/>
      <c r="AA309" s="1189"/>
      <c r="AB309" s="1189"/>
      <c r="AC309" s="1189"/>
      <c r="AD309" s="1189"/>
      <c r="AE309" s="1189"/>
      <c r="AF309" s="1189"/>
      <c r="AG309" s="1189"/>
      <c r="AH309" s="1189"/>
      <c r="AI309" s="1189"/>
    </row>
    <row r="310">
      <c r="A310" s="1202"/>
      <c r="B310" s="1203"/>
      <c r="C310" s="1189"/>
      <c r="D310" s="1189"/>
      <c r="E310" s="1189"/>
      <c r="F310" s="1189"/>
      <c r="G310" s="1189"/>
      <c r="H310" s="1189"/>
      <c r="I310" s="1189"/>
      <c r="J310" s="1189"/>
      <c r="K310" s="1189"/>
      <c r="L310" s="1189"/>
      <c r="M310" s="1189"/>
      <c r="N310" s="1189"/>
      <c r="O310" s="1189"/>
      <c r="P310" s="1189"/>
      <c r="Q310" s="1189"/>
      <c r="R310" s="1189"/>
      <c r="S310" s="1189"/>
      <c r="T310" s="1189"/>
      <c r="U310" s="1189"/>
      <c r="V310" s="1189"/>
      <c r="W310" s="1189"/>
      <c r="X310" s="1189"/>
      <c r="Y310" s="1189"/>
      <c r="Z310" s="1189"/>
      <c r="AA310" s="1189"/>
      <c r="AB310" s="1189"/>
      <c r="AC310" s="1189"/>
      <c r="AD310" s="1189"/>
      <c r="AE310" s="1189"/>
      <c r="AF310" s="1189"/>
      <c r="AG310" s="1189"/>
      <c r="AH310" s="1189"/>
      <c r="AI310" s="1189"/>
    </row>
    <row r="311">
      <c r="A311" s="1202"/>
      <c r="B311" s="1203"/>
      <c r="C311" s="1189"/>
      <c r="D311" s="1189"/>
      <c r="E311" s="1189"/>
      <c r="F311" s="1189"/>
      <c r="G311" s="1189"/>
      <c r="H311" s="1189"/>
      <c r="I311" s="1189"/>
      <c r="J311" s="1189"/>
      <c r="K311" s="1189"/>
      <c r="L311" s="1189"/>
      <c r="M311" s="1189"/>
      <c r="N311" s="1189"/>
      <c r="O311" s="1189"/>
      <c r="P311" s="1189"/>
      <c r="Q311" s="1189"/>
      <c r="R311" s="1189"/>
      <c r="S311" s="1189"/>
      <c r="T311" s="1189"/>
      <c r="U311" s="1189"/>
      <c r="V311" s="1189"/>
      <c r="W311" s="1189"/>
      <c r="X311" s="1189"/>
      <c r="Y311" s="1189"/>
      <c r="Z311" s="1189"/>
      <c r="AA311" s="1189"/>
      <c r="AB311" s="1189"/>
      <c r="AC311" s="1189"/>
      <c r="AD311" s="1189"/>
      <c r="AE311" s="1189"/>
      <c r="AF311" s="1189"/>
      <c r="AG311" s="1189"/>
      <c r="AH311" s="1189"/>
      <c r="AI311" s="1189"/>
    </row>
    <row r="312">
      <c r="A312" s="1202"/>
      <c r="B312" s="1203"/>
      <c r="C312" s="1189"/>
      <c r="D312" s="1189"/>
      <c r="E312" s="1189"/>
      <c r="F312" s="1189"/>
      <c r="G312" s="1189"/>
      <c r="H312" s="1189"/>
      <c r="I312" s="1189"/>
      <c r="J312" s="1189"/>
      <c r="K312" s="1189"/>
      <c r="L312" s="1189"/>
      <c r="M312" s="1189"/>
      <c r="N312" s="1189"/>
      <c r="O312" s="1189"/>
      <c r="P312" s="1189"/>
      <c r="Q312" s="1189"/>
      <c r="R312" s="1189"/>
      <c r="S312" s="1189"/>
      <c r="T312" s="1189"/>
      <c r="U312" s="1189"/>
      <c r="V312" s="1189"/>
      <c r="W312" s="1189"/>
      <c r="X312" s="1189"/>
      <c r="Y312" s="1189"/>
      <c r="Z312" s="1189"/>
      <c r="AA312" s="1189"/>
      <c r="AB312" s="1189"/>
      <c r="AC312" s="1189"/>
      <c r="AD312" s="1189"/>
      <c r="AE312" s="1189"/>
      <c r="AF312" s="1189"/>
      <c r="AG312" s="1189"/>
      <c r="AH312" s="1189"/>
      <c r="AI312" s="1189"/>
    </row>
    <row r="313">
      <c r="A313" s="1202"/>
      <c r="B313" s="1203"/>
      <c r="C313" s="1189"/>
      <c r="D313" s="1189"/>
      <c r="E313" s="1189"/>
      <c r="F313" s="1189"/>
      <c r="G313" s="1189"/>
      <c r="H313" s="1189"/>
      <c r="I313" s="1189"/>
      <c r="J313" s="1189"/>
      <c r="K313" s="1189"/>
      <c r="L313" s="1189"/>
      <c r="M313" s="1189"/>
      <c r="N313" s="1189"/>
      <c r="O313" s="1189"/>
      <c r="P313" s="1189"/>
      <c r="Q313" s="1189"/>
      <c r="R313" s="1189"/>
      <c r="S313" s="1189"/>
      <c r="T313" s="1189"/>
      <c r="U313" s="1189"/>
      <c r="V313" s="1189"/>
      <c r="W313" s="1189"/>
      <c r="X313" s="1189"/>
      <c r="Y313" s="1189"/>
      <c r="Z313" s="1189"/>
      <c r="AA313" s="1189"/>
      <c r="AB313" s="1189"/>
      <c r="AC313" s="1189"/>
      <c r="AD313" s="1189"/>
      <c r="AE313" s="1189"/>
      <c r="AF313" s="1189"/>
      <c r="AG313" s="1189"/>
      <c r="AH313" s="1189"/>
      <c r="AI313" s="1189"/>
    </row>
    <row r="314">
      <c r="A314" s="1202"/>
      <c r="B314" s="1203"/>
      <c r="C314" s="1189"/>
      <c r="D314" s="1189"/>
      <c r="E314" s="1189"/>
      <c r="F314" s="1189"/>
      <c r="G314" s="1189"/>
      <c r="H314" s="1189"/>
      <c r="I314" s="1189"/>
      <c r="J314" s="1189"/>
      <c r="K314" s="1189"/>
      <c r="L314" s="1189"/>
      <c r="M314" s="1189"/>
      <c r="N314" s="1189"/>
      <c r="O314" s="1189"/>
      <c r="P314" s="1189"/>
      <c r="Q314" s="1189"/>
      <c r="R314" s="1189"/>
      <c r="S314" s="1189"/>
      <c r="T314" s="1189"/>
      <c r="U314" s="1189"/>
      <c r="V314" s="1189"/>
      <c r="W314" s="1189"/>
      <c r="X314" s="1189"/>
      <c r="Y314" s="1189"/>
      <c r="Z314" s="1189"/>
      <c r="AA314" s="1189"/>
      <c r="AB314" s="1189"/>
      <c r="AC314" s="1189"/>
      <c r="AD314" s="1189"/>
      <c r="AE314" s="1189"/>
      <c r="AF314" s="1189"/>
      <c r="AG314" s="1189"/>
      <c r="AH314" s="1189"/>
      <c r="AI314" s="1189"/>
    </row>
    <row r="315">
      <c r="A315" s="1202"/>
      <c r="B315" s="1203"/>
      <c r="C315" s="1189"/>
      <c r="D315" s="1189"/>
      <c r="E315" s="1189"/>
      <c r="F315" s="1189"/>
      <c r="G315" s="1189"/>
      <c r="H315" s="1189"/>
      <c r="I315" s="1189"/>
      <c r="J315" s="1189"/>
      <c r="K315" s="1189"/>
      <c r="L315" s="1189"/>
      <c r="M315" s="1189"/>
      <c r="N315" s="1189"/>
      <c r="O315" s="1189"/>
      <c r="P315" s="1189"/>
      <c r="Q315" s="1189"/>
      <c r="R315" s="1189"/>
      <c r="S315" s="1189"/>
      <c r="T315" s="1189"/>
      <c r="U315" s="1189"/>
      <c r="V315" s="1189"/>
      <c r="W315" s="1189"/>
      <c r="X315" s="1189"/>
      <c r="Y315" s="1189"/>
      <c r="Z315" s="1189"/>
      <c r="AA315" s="1189"/>
      <c r="AB315" s="1189"/>
      <c r="AC315" s="1189"/>
      <c r="AD315" s="1189"/>
      <c r="AE315" s="1189"/>
      <c r="AF315" s="1189"/>
      <c r="AG315" s="1189"/>
      <c r="AH315" s="1189"/>
      <c r="AI315" s="1189"/>
    </row>
    <row r="316">
      <c r="A316" s="1202"/>
      <c r="B316" s="1203"/>
      <c r="C316" s="1189"/>
      <c r="D316" s="1189"/>
      <c r="E316" s="1189"/>
      <c r="F316" s="1189"/>
      <c r="G316" s="1189"/>
      <c r="H316" s="1189"/>
      <c r="I316" s="1189"/>
      <c r="J316" s="1189"/>
      <c r="K316" s="1189"/>
      <c r="L316" s="1189"/>
      <c r="M316" s="1189"/>
      <c r="N316" s="1189"/>
      <c r="O316" s="1189"/>
      <c r="P316" s="1189"/>
      <c r="Q316" s="1189"/>
      <c r="R316" s="1189"/>
      <c r="S316" s="1189"/>
      <c r="T316" s="1189"/>
      <c r="U316" s="1189"/>
      <c r="V316" s="1189"/>
      <c r="W316" s="1189"/>
      <c r="X316" s="1189"/>
      <c r="Y316" s="1189"/>
      <c r="Z316" s="1189"/>
      <c r="AA316" s="1189"/>
      <c r="AB316" s="1189"/>
      <c r="AC316" s="1189"/>
      <c r="AD316" s="1189"/>
      <c r="AE316" s="1189"/>
      <c r="AF316" s="1189"/>
      <c r="AG316" s="1189"/>
      <c r="AH316" s="1189"/>
      <c r="AI316" s="1189"/>
    </row>
    <row r="317">
      <c r="A317" s="1202"/>
      <c r="B317" s="1203"/>
      <c r="C317" s="1189"/>
      <c r="D317" s="1189"/>
      <c r="E317" s="1189"/>
      <c r="F317" s="1189"/>
      <c r="G317" s="1189"/>
      <c r="H317" s="1189"/>
      <c r="I317" s="1189"/>
      <c r="J317" s="1189"/>
      <c r="K317" s="1189"/>
      <c r="L317" s="1189"/>
      <c r="M317" s="1189"/>
      <c r="N317" s="1189"/>
      <c r="O317" s="1189"/>
      <c r="P317" s="1189"/>
      <c r="Q317" s="1189"/>
      <c r="R317" s="1189"/>
      <c r="S317" s="1189"/>
      <c r="T317" s="1189"/>
      <c r="U317" s="1189"/>
      <c r="V317" s="1189"/>
      <c r="W317" s="1189"/>
      <c r="X317" s="1189"/>
      <c r="Y317" s="1189"/>
      <c r="Z317" s="1189"/>
      <c r="AA317" s="1189"/>
      <c r="AB317" s="1189"/>
      <c r="AC317" s="1189"/>
      <c r="AD317" s="1189"/>
      <c r="AE317" s="1189"/>
      <c r="AF317" s="1189"/>
      <c r="AG317" s="1189"/>
      <c r="AH317" s="1189"/>
      <c r="AI317" s="1189"/>
    </row>
    <row r="318">
      <c r="A318" s="1202"/>
      <c r="B318" s="1203"/>
      <c r="C318" s="1189"/>
      <c r="D318" s="1189"/>
      <c r="E318" s="1189"/>
      <c r="F318" s="1189"/>
      <c r="G318" s="1189"/>
      <c r="H318" s="1189"/>
      <c r="I318" s="1189"/>
      <c r="J318" s="1189"/>
      <c r="K318" s="1189"/>
      <c r="L318" s="1189"/>
      <c r="M318" s="1189"/>
      <c r="N318" s="1189"/>
      <c r="O318" s="1189"/>
      <c r="P318" s="1189"/>
      <c r="Q318" s="1189"/>
      <c r="R318" s="1189"/>
      <c r="S318" s="1189"/>
      <c r="T318" s="1189"/>
      <c r="U318" s="1189"/>
      <c r="V318" s="1189"/>
      <c r="W318" s="1189"/>
      <c r="X318" s="1189"/>
      <c r="Y318" s="1189"/>
      <c r="Z318" s="1189"/>
      <c r="AA318" s="1189"/>
      <c r="AB318" s="1189"/>
      <c r="AC318" s="1189"/>
      <c r="AD318" s="1189"/>
      <c r="AE318" s="1189"/>
      <c r="AF318" s="1189"/>
      <c r="AG318" s="1189"/>
      <c r="AH318" s="1189"/>
      <c r="AI318" s="1189"/>
    </row>
    <row r="319">
      <c r="A319" s="1202"/>
      <c r="B319" s="1203"/>
      <c r="C319" s="1189"/>
      <c r="D319" s="1189"/>
      <c r="E319" s="1189"/>
      <c r="F319" s="1189"/>
      <c r="G319" s="1189"/>
      <c r="H319" s="1189"/>
      <c r="I319" s="1189"/>
      <c r="J319" s="1189"/>
      <c r="K319" s="1189"/>
      <c r="L319" s="1189"/>
      <c r="M319" s="1189"/>
      <c r="N319" s="1189"/>
      <c r="O319" s="1189"/>
      <c r="P319" s="1189"/>
      <c r="Q319" s="1189"/>
      <c r="R319" s="1189"/>
      <c r="S319" s="1189"/>
      <c r="T319" s="1189"/>
      <c r="U319" s="1189"/>
      <c r="V319" s="1189"/>
      <c r="W319" s="1189"/>
      <c r="X319" s="1189"/>
      <c r="Y319" s="1189"/>
      <c r="Z319" s="1189"/>
      <c r="AA319" s="1189"/>
      <c r="AB319" s="1189"/>
      <c r="AC319" s="1189"/>
      <c r="AD319" s="1189"/>
      <c r="AE319" s="1189"/>
      <c r="AF319" s="1189"/>
      <c r="AG319" s="1189"/>
      <c r="AH319" s="1189"/>
      <c r="AI319" s="1189"/>
    </row>
    <row r="320">
      <c r="A320" s="1202"/>
      <c r="B320" s="1203"/>
      <c r="C320" s="1189"/>
      <c r="D320" s="1189"/>
      <c r="E320" s="1189"/>
      <c r="F320" s="1189"/>
      <c r="G320" s="1189"/>
      <c r="H320" s="1189"/>
      <c r="I320" s="1189"/>
      <c r="J320" s="1189"/>
      <c r="K320" s="1189"/>
      <c r="L320" s="1189"/>
      <c r="M320" s="1189"/>
      <c r="N320" s="1189"/>
      <c r="O320" s="1189"/>
      <c r="P320" s="1189"/>
      <c r="Q320" s="1189"/>
      <c r="R320" s="1189"/>
      <c r="S320" s="1189"/>
      <c r="T320" s="1189"/>
      <c r="U320" s="1189"/>
      <c r="V320" s="1189"/>
      <c r="W320" s="1189"/>
      <c r="X320" s="1189"/>
      <c r="Y320" s="1189"/>
      <c r="Z320" s="1189"/>
      <c r="AA320" s="1189"/>
      <c r="AB320" s="1189"/>
      <c r="AC320" s="1189"/>
      <c r="AD320" s="1189"/>
      <c r="AE320" s="1189"/>
      <c r="AF320" s="1189"/>
      <c r="AG320" s="1189"/>
      <c r="AH320" s="1189"/>
      <c r="AI320" s="1189"/>
    </row>
    <row r="321">
      <c r="A321" s="1202"/>
      <c r="B321" s="1203"/>
      <c r="C321" s="1189"/>
      <c r="D321" s="1189"/>
      <c r="E321" s="1189"/>
      <c r="F321" s="1189"/>
      <c r="G321" s="1189"/>
      <c r="H321" s="1189"/>
      <c r="I321" s="1189"/>
      <c r="J321" s="1189"/>
      <c r="K321" s="1189"/>
      <c r="L321" s="1189"/>
      <c r="M321" s="1189"/>
      <c r="N321" s="1189"/>
      <c r="O321" s="1189"/>
      <c r="P321" s="1189"/>
      <c r="Q321" s="1189"/>
      <c r="R321" s="1189"/>
      <c r="S321" s="1189"/>
      <c r="T321" s="1189"/>
      <c r="U321" s="1189"/>
      <c r="V321" s="1189"/>
      <c r="W321" s="1189"/>
      <c r="X321" s="1189"/>
      <c r="Y321" s="1189"/>
      <c r="Z321" s="1189"/>
      <c r="AA321" s="1189"/>
      <c r="AB321" s="1189"/>
      <c r="AC321" s="1189"/>
      <c r="AD321" s="1189"/>
      <c r="AE321" s="1189"/>
      <c r="AF321" s="1189"/>
      <c r="AG321" s="1189"/>
      <c r="AH321" s="1189"/>
      <c r="AI321" s="1189"/>
    </row>
    <row r="322">
      <c r="A322" s="1202"/>
      <c r="B322" s="1203"/>
      <c r="C322" s="1189"/>
      <c r="D322" s="1189"/>
      <c r="E322" s="1189"/>
      <c r="F322" s="1189"/>
      <c r="G322" s="1189"/>
      <c r="H322" s="1189"/>
      <c r="I322" s="1189"/>
      <c r="J322" s="1189"/>
      <c r="K322" s="1189"/>
      <c r="L322" s="1189"/>
      <c r="M322" s="1189"/>
      <c r="N322" s="1189"/>
      <c r="O322" s="1189"/>
      <c r="P322" s="1189"/>
      <c r="Q322" s="1189"/>
      <c r="R322" s="1189"/>
      <c r="S322" s="1189"/>
      <c r="T322" s="1189"/>
      <c r="U322" s="1189"/>
      <c r="V322" s="1189"/>
      <c r="W322" s="1189"/>
      <c r="X322" s="1189"/>
      <c r="Y322" s="1189"/>
      <c r="Z322" s="1189"/>
      <c r="AA322" s="1189"/>
      <c r="AB322" s="1189"/>
      <c r="AC322" s="1189"/>
      <c r="AD322" s="1189"/>
      <c r="AE322" s="1189"/>
      <c r="AF322" s="1189"/>
      <c r="AG322" s="1189"/>
      <c r="AH322" s="1189"/>
      <c r="AI322" s="1189"/>
    </row>
    <row r="323">
      <c r="A323" s="1202"/>
      <c r="B323" s="1203"/>
      <c r="C323" s="1189"/>
      <c r="D323" s="1189"/>
      <c r="E323" s="1189"/>
      <c r="F323" s="1189"/>
      <c r="G323" s="1189"/>
      <c r="H323" s="1189"/>
      <c r="I323" s="1189"/>
      <c r="J323" s="1189"/>
      <c r="K323" s="1189"/>
      <c r="L323" s="1189"/>
      <c r="M323" s="1189"/>
      <c r="N323" s="1189"/>
      <c r="O323" s="1189"/>
      <c r="P323" s="1189"/>
      <c r="Q323" s="1189"/>
      <c r="R323" s="1189"/>
      <c r="S323" s="1189"/>
      <c r="T323" s="1189"/>
      <c r="U323" s="1189"/>
      <c r="V323" s="1189"/>
      <c r="W323" s="1189"/>
      <c r="X323" s="1189"/>
      <c r="Y323" s="1189"/>
      <c r="Z323" s="1189"/>
      <c r="AA323" s="1189"/>
      <c r="AB323" s="1189"/>
      <c r="AC323" s="1189"/>
      <c r="AD323" s="1189"/>
      <c r="AE323" s="1189"/>
      <c r="AF323" s="1189"/>
      <c r="AG323" s="1189"/>
      <c r="AH323" s="1189"/>
      <c r="AI323" s="1189"/>
    </row>
    <row r="324">
      <c r="A324" s="1202"/>
      <c r="B324" s="1203"/>
      <c r="C324" s="1189"/>
      <c r="D324" s="1189"/>
      <c r="E324" s="1189"/>
      <c r="F324" s="1189"/>
      <c r="G324" s="1189"/>
      <c r="H324" s="1189"/>
      <c r="I324" s="1189"/>
      <c r="J324" s="1189"/>
      <c r="K324" s="1189"/>
      <c r="L324" s="1189"/>
      <c r="M324" s="1189"/>
      <c r="N324" s="1189"/>
      <c r="O324" s="1189"/>
      <c r="P324" s="1189"/>
      <c r="Q324" s="1189"/>
      <c r="R324" s="1189"/>
      <c r="S324" s="1189"/>
      <c r="T324" s="1189"/>
      <c r="U324" s="1189"/>
      <c r="V324" s="1189"/>
      <c r="W324" s="1189"/>
      <c r="X324" s="1189"/>
      <c r="Y324" s="1189"/>
      <c r="Z324" s="1189"/>
      <c r="AA324" s="1189"/>
      <c r="AB324" s="1189"/>
      <c r="AC324" s="1189"/>
      <c r="AD324" s="1189"/>
      <c r="AE324" s="1189"/>
      <c r="AF324" s="1189"/>
      <c r="AG324" s="1189"/>
      <c r="AH324" s="1189"/>
      <c r="AI324" s="1189"/>
    </row>
    <row r="325">
      <c r="A325" s="1202"/>
      <c r="B325" s="1203"/>
      <c r="C325" s="1189"/>
      <c r="D325" s="1189"/>
      <c r="E325" s="1189"/>
      <c r="F325" s="1189"/>
      <c r="G325" s="1189"/>
      <c r="H325" s="1189"/>
      <c r="I325" s="1189"/>
      <c r="J325" s="1189"/>
      <c r="K325" s="1189"/>
      <c r="L325" s="1189"/>
      <c r="M325" s="1189"/>
      <c r="N325" s="1189"/>
      <c r="O325" s="1189"/>
      <c r="P325" s="1189"/>
      <c r="Q325" s="1189"/>
      <c r="R325" s="1189"/>
      <c r="S325" s="1189"/>
      <c r="T325" s="1189"/>
      <c r="U325" s="1189"/>
      <c r="V325" s="1189"/>
      <c r="W325" s="1189"/>
      <c r="X325" s="1189"/>
      <c r="Y325" s="1189"/>
      <c r="Z325" s="1189"/>
      <c r="AA325" s="1189"/>
      <c r="AB325" s="1189"/>
      <c r="AC325" s="1189"/>
      <c r="AD325" s="1189"/>
      <c r="AE325" s="1189"/>
      <c r="AF325" s="1189"/>
      <c r="AG325" s="1189"/>
      <c r="AH325" s="1189"/>
      <c r="AI325" s="1189"/>
    </row>
    <row r="326">
      <c r="A326" s="1202"/>
      <c r="B326" s="1203"/>
      <c r="C326" s="1189"/>
      <c r="D326" s="1189"/>
      <c r="E326" s="1189"/>
      <c r="F326" s="1189"/>
      <c r="G326" s="1189"/>
      <c r="H326" s="1189"/>
      <c r="I326" s="1189"/>
      <c r="J326" s="1189"/>
      <c r="K326" s="1189"/>
      <c r="L326" s="1189"/>
      <c r="M326" s="1189"/>
      <c r="N326" s="1189"/>
      <c r="O326" s="1189"/>
      <c r="P326" s="1189"/>
      <c r="Q326" s="1189"/>
      <c r="R326" s="1189"/>
      <c r="S326" s="1189"/>
      <c r="T326" s="1189"/>
      <c r="U326" s="1189"/>
      <c r="V326" s="1189"/>
      <c r="W326" s="1189"/>
      <c r="X326" s="1189"/>
      <c r="Y326" s="1189"/>
      <c r="Z326" s="1189"/>
      <c r="AA326" s="1189"/>
      <c r="AB326" s="1189"/>
      <c r="AC326" s="1189"/>
      <c r="AD326" s="1189"/>
      <c r="AE326" s="1189"/>
      <c r="AF326" s="1189"/>
      <c r="AG326" s="1189"/>
      <c r="AH326" s="1189"/>
      <c r="AI326" s="1189"/>
    </row>
    <row r="327">
      <c r="A327" s="1202"/>
      <c r="B327" s="1203"/>
      <c r="C327" s="1189"/>
      <c r="D327" s="1189"/>
      <c r="E327" s="1189"/>
      <c r="F327" s="1189"/>
      <c r="G327" s="1189"/>
      <c r="H327" s="1189"/>
      <c r="I327" s="1189"/>
      <c r="J327" s="1189"/>
      <c r="K327" s="1189"/>
      <c r="L327" s="1189"/>
      <c r="M327" s="1189"/>
      <c r="N327" s="1189"/>
      <c r="O327" s="1189"/>
      <c r="P327" s="1189"/>
      <c r="Q327" s="1189"/>
      <c r="R327" s="1189"/>
      <c r="S327" s="1189"/>
      <c r="T327" s="1189"/>
      <c r="U327" s="1189"/>
      <c r="V327" s="1189"/>
      <c r="W327" s="1189"/>
      <c r="X327" s="1189"/>
      <c r="Y327" s="1189"/>
      <c r="Z327" s="1189"/>
      <c r="AA327" s="1189"/>
      <c r="AB327" s="1189"/>
      <c r="AC327" s="1189"/>
      <c r="AD327" s="1189"/>
      <c r="AE327" s="1189"/>
      <c r="AF327" s="1189"/>
      <c r="AG327" s="1189"/>
      <c r="AH327" s="1189"/>
      <c r="AI327" s="1189"/>
    </row>
    <row r="328">
      <c r="A328" s="1202"/>
      <c r="B328" s="1203"/>
      <c r="C328" s="1189"/>
      <c r="D328" s="1189"/>
      <c r="E328" s="1189"/>
      <c r="F328" s="1189"/>
      <c r="G328" s="1189"/>
      <c r="H328" s="1189"/>
      <c r="I328" s="1189"/>
      <c r="J328" s="1189"/>
      <c r="K328" s="1189"/>
      <c r="L328" s="1189"/>
      <c r="M328" s="1189"/>
      <c r="N328" s="1189"/>
      <c r="O328" s="1189"/>
      <c r="P328" s="1189"/>
      <c r="Q328" s="1189"/>
      <c r="R328" s="1189"/>
      <c r="S328" s="1189"/>
      <c r="T328" s="1189"/>
      <c r="U328" s="1189"/>
      <c r="V328" s="1189"/>
      <c r="W328" s="1189"/>
      <c r="X328" s="1189"/>
      <c r="Y328" s="1189"/>
      <c r="Z328" s="1189"/>
      <c r="AA328" s="1189"/>
      <c r="AB328" s="1189"/>
      <c r="AC328" s="1189"/>
      <c r="AD328" s="1189"/>
      <c r="AE328" s="1189"/>
      <c r="AF328" s="1189"/>
      <c r="AG328" s="1189"/>
      <c r="AH328" s="1189"/>
      <c r="AI328" s="1189"/>
    </row>
    <row r="329">
      <c r="A329" s="1202"/>
      <c r="B329" s="1203"/>
      <c r="C329" s="1189"/>
      <c r="D329" s="1189"/>
      <c r="E329" s="1189"/>
      <c r="F329" s="1189"/>
      <c r="G329" s="1189"/>
      <c r="H329" s="1189"/>
      <c r="I329" s="1189"/>
      <c r="J329" s="1189"/>
      <c r="K329" s="1189"/>
      <c r="L329" s="1189"/>
      <c r="M329" s="1189"/>
      <c r="N329" s="1189"/>
      <c r="O329" s="1189"/>
      <c r="P329" s="1189"/>
      <c r="Q329" s="1189"/>
      <c r="R329" s="1189"/>
      <c r="S329" s="1189"/>
      <c r="T329" s="1189"/>
      <c r="U329" s="1189"/>
      <c r="V329" s="1189"/>
      <c r="W329" s="1189"/>
      <c r="X329" s="1189"/>
      <c r="Y329" s="1189"/>
      <c r="Z329" s="1189"/>
      <c r="AA329" s="1189"/>
      <c r="AB329" s="1189"/>
      <c r="AC329" s="1189"/>
      <c r="AD329" s="1189"/>
      <c r="AE329" s="1189"/>
      <c r="AF329" s="1189"/>
      <c r="AG329" s="1189"/>
      <c r="AH329" s="1189"/>
      <c r="AI329" s="1189"/>
    </row>
    <row r="330">
      <c r="A330" s="1202"/>
      <c r="B330" s="1203"/>
      <c r="C330" s="1189"/>
      <c r="D330" s="1189"/>
      <c r="E330" s="1189"/>
      <c r="F330" s="1189"/>
      <c r="G330" s="1189"/>
      <c r="H330" s="1189"/>
      <c r="I330" s="1189"/>
      <c r="J330" s="1189"/>
      <c r="K330" s="1189"/>
      <c r="L330" s="1189"/>
      <c r="M330" s="1189"/>
      <c r="N330" s="1189"/>
      <c r="O330" s="1189"/>
      <c r="P330" s="1189"/>
      <c r="Q330" s="1189"/>
      <c r="R330" s="1189"/>
      <c r="S330" s="1189"/>
      <c r="T330" s="1189"/>
      <c r="U330" s="1189"/>
      <c r="V330" s="1189"/>
      <c r="W330" s="1189"/>
      <c r="X330" s="1189"/>
      <c r="Y330" s="1189"/>
      <c r="Z330" s="1189"/>
      <c r="AA330" s="1189"/>
      <c r="AB330" s="1189"/>
      <c r="AC330" s="1189"/>
      <c r="AD330" s="1189"/>
      <c r="AE330" s="1189"/>
      <c r="AF330" s="1189"/>
      <c r="AG330" s="1189"/>
      <c r="AH330" s="1189"/>
      <c r="AI330" s="1189"/>
    </row>
    <row r="331">
      <c r="A331" s="1202"/>
      <c r="B331" s="1203"/>
      <c r="C331" s="1189"/>
      <c r="D331" s="1189"/>
      <c r="E331" s="1189"/>
      <c r="F331" s="1189"/>
      <c r="G331" s="1189"/>
      <c r="H331" s="1189"/>
      <c r="I331" s="1189"/>
      <c r="J331" s="1189"/>
      <c r="K331" s="1189"/>
      <c r="L331" s="1189"/>
      <c r="M331" s="1189"/>
      <c r="N331" s="1189"/>
      <c r="O331" s="1189"/>
      <c r="P331" s="1189"/>
      <c r="Q331" s="1189"/>
      <c r="R331" s="1189"/>
      <c r="S331" s="1189"/>
      <c r="T331" s="1189"/>
      <c r="U331" s="1189"/>
      <c r="V331" s="1189"/>
      <c r="W331" s="1189"/>
      <c r="X331" s="1189"/>
      <c r="Y331" s="1189"/>
      <c r="Z331" s="1189"/>
      <c r="AA331" s="1189"/>
      <c r="AB331" s="1189"/>
      <c r="AC331" s="1189"/>
      <c r="AD331" s="1189"/>
      <c r="AE331" s="1189"/>
      <c r="AF331" s="1189"/>
      <c r="AG331" s="1189"/>
      <c r="AH331" s="1189"/>
      <c r="AI331" s="1189"/>
    </row>
    <row r="332">
      <c r="A332" s="1202"/>
      <c r="B332" s="1203"/>
      <c r="C332" s="1189"/>
      <c r="D332" s="1189"/>
      <c r="E332" s="1189"/>
      <c r="F332" s="1189"/>
      <c r="G332" s="1189"/>
      <c r="H332" s="1189"/>
      <c r="I332" s="1189"/>
      <c r="J332" s="1189"/>
      <c r="K332" s="1189"/>
      <c r="L332" s="1189"/>
      <c r="M332" s="1189"/>
      <c r="N332" s="1189"/>
      <c r="O332" s="1189"/>
      <c r="P332" s="1189"/>
      <c r="Q332" s="1189"/>
      <c r="R332" s="1189"/>
      <c r="S332" s="1189"/>
      <c r="T332" s="1189"/>
      <c r="U332" s="1189"/>
      <c r="V332" s="1189"/>
      <c r="W332" s="1189"/>
      <c r="X332" s="1189"/>
      <c r="Y332" s="1189"/>
      <c r="Z332" s="1189"/>
      <c r="AA332" s="1189"/>
      <c r="AB332" s="1189"/>
      <c r="AC332" s="1189"/>
      <c r="AD332" s="1189"/>
      <c r="AE332" s="1189"/>
      <c r="AF332" s="1189"/>
      <c r="AG332" s="1189"/>
      <c r="AH332" s="1189"/>
      <c r="AI332" s="1189"/>
    </row>
    <row r="333">
      <c r="A333" s="1202"/>
      <c r="B333" s="1203"/>
      <c r="C333" s="1189"/>
      <c r="D333" s="1189"/>
      <c r="E333" s="1189"/>
      <c r="F333" s="1189"/>
      <c r="G333" s="1189"/>
      <c r="H333" s="1189"/>
      <c r="I333" s="1189"/>
      <c r="J333" s="1189"/>
      <c r="K333" s="1189"/>
      <c r="L333" s="1189"/>
      <c r="M333" s="1189"/>
      <c r="N333" s="1189"/>
      <c r="O333" s="1189"/>
      <c r="P333" s="1189"/>
      <c r="Q333" s="1189"/>
      <c r="R333" s="1189"/>
      <c r="S333" s="1189"/>
      <c r="T333" s="1189"/>
      <c r="U333" s="1189"/>
      <c r="V333" s="1189"/>
      <c r="W333" s="1189"/>
      <c r="X333" s="1189"/>
      <c r="Y333" s="1189"/>
      <c r="Z333" s="1189"/>
      <c r="AA333" s="1189"/>
      <c r="AB333" s="1189"/>
      <c r="AC333" s="1189"/>
      <c r="AD333" s="1189"/>
      <c r="AE333" s="1189"/>
      <c r="AF333" s="1189"/>
      <c r="AG333" s="1189"/>
      <c r="AH333" s="1189"/>
      <c r="AI333" s="1189"/>
    </row>
    <row r="334">
      <c r="A334" s="1202"/>
      <c r="B334" s="1203"/>
      <c r="C334" s="1189"/>
      <c r="D334" s="1189"/>
      <c r="E334" s="1189"/>
      <c r="F334" s="1189"/>
      <c r="G334" s="1189"/>
      <c r="H334" s="1189"/>
      <c r="I334" s="1189"/>
      <c r="J334" s="1189"/>
      <c r="K334" s="1189"/>
      <c r="L334" s="1189"/>
      <c r="M334" s="1189"/>
      <c r="N334" s="1189"/>
      <c r="O334" s="1189"/>
      <c r="P334" s="1189"/>
      <c r="Q334" s="1189"/>
      <c r="R334" s="1189"/>
      <c r="S334" s="1189"/>
      <c r="T334" s="1189"/>
      <c r="U334" s="1189"/>
      <c r="V334" s="1189"/>
      <c r="W334" s="1189"/>
      <c r="X334" s="1189"/>
      <c r="Y334" s="1189"/>
      <c r="Z334" s="1189"/>
      <c r="AA334" s="1189"/>
      <c r="AB334" s="1189"/>
      <c r="AC334" s="1189"/>
      <c r="AD334" s="1189"/>
      <c r="AE334" s="1189"/>
      <c r="AF334" s="1189"/>
      <c r="AG334" s="1189"/>
      <c r="AH334" s="1189"/>
      <c r="AI334" s="1189"/>
    </row>
    <row r="335">
      <c r="A335" s="1202"/>
      <c r="B335" s="1203"/>
      <c r="C335" s="1189"/>
      <c r="D335" s="1189"/>
      <c r="E335" s="1189"/>
      <c r="F335" s="1189"/>
      <c r="G335" s="1189"/>
      <c r="H335" s="1189"/>
      <c r="I335" s="1189"/>
      <c r="J335" s="1189"/>
      <c r="K335" s="1189"/>
      <c r="L335" s="1189"/>
      <c r="M335" s="1189"/>
      <c r="N335" s="1189"/>
      <c r="O335" s="1189"/>
      <c r="P335" s="1189"/>
      <c r="Q335" s="1189"/>
      <c r="R335" s="1189"/>
      <c r="S335" s="1189"/>
      <c r="T335" s="1189"/>
      <c r="U335" s="1189"/>
      <c r="V335" s="1189"/>
      <c r="W335" s="1189"/>
      <c r="X335" s="1189"/>
      <c r="Y335" s="1189"/>
      <c r="Z335" s="1189"/>
      <c r="AA335" s="1189"/>
      <c r="AB335" s="1189"/>
      <c r="AC335" s="1189"/>
      <c r="AD335" s="1189"/>
      <c r="AE335" s="1189"/>
      <c r="AF335" s="1189"/>
      <c r="AG335" s="1189"/>
      <c r="AH335" s="1189"/>
      <c r="AI335" s="1189"/>
    </row>
    <row r="336">
      <c r="A336" s="1202"/>
      <c r="B336" s="1203"/>
      <c r="C336" s="1189"/>
      <c r="D336" s="1189"/>
      <c r="E336" s="1189"/>
      <c r="F336" s="1189"/>
      <c r="G336" s="1189"/>
      <c r="H336" s="1189"/>
      <c r="I336" s="1189"/>
      <c r="J336" s="1189"/>
      <c r="K336" s="1189"/>
      <c r="L336" s="1189"/>
      <c r="M336" s="1189"/>
      <c r="N336" s="1189"/>
      <c r="O336" s="1189"/>
      <c r="P336" s="1189"/>
      <c r="Q336" s="1189"/>
      <c r="R336" s="1189"/>
      <c r="S336" s="1189"/>
      <c r="T336" s="1189"/>
      <c r="U336" s="1189"/>
      <c r="V336" s="1189"/>
      <c r="W336" s="1189"/>
      <c r="X336" s="1189"/>
      <c r="Y336" s="1189"/>
      <c r="Z336" s="1189"/>
      <c r="AA336" s="1189"/>
      <c r="AB336" s="1189"/>
      <c r="AC336" s="1189"/>
      <c r="AD336" s="1189"/>
      <c r="AE336" s="1189"/>
      <c r="AF336" s="1189"/>
      <c r="AG336" s="1189"/>
      <c r="AH336" s="1189"/>
      <c r="AI336" s="1189"/>
    </row>
    <row r="337">
      <c r="A337" s="1202"/>
      <c r="B337" s="1203"/>
      <c r="C337" s="1189"/>
      <c r="D337" s="1189"/>
      <c r="E337" s="1189"/>
      <c r="F337" s="1189"/>
      <c r="G337" s="1189"/>
      <c r="H337" s="1189"/>
      <c r="I337" s="1189"/>
      <c r="J337" s="1189"/>
      <c r="K337" s="1189"/>
      <c r="L337" s="1189"/>
      <c r="M337" s="1189"/>
      <c r="N337" s="1189"/>
      <c r="O337" s="1189"/>
      <c r="P337" s="1189"/>
      <c r="Q337" s="1189"/>
      <c r="R337" s="1189"/>
      <c r="S337" s="1189"/>
      <c r="T337" s="1189"/>
      <c r="U337" s="1189"/>
      <c r="V337" s="1189"/>
      <c r="W337" s="1189"/>
      <c r="X337" s="1189"/>
      <c r="Y337" s="1189"/>
      <c r="Z337" s="1189"/>
      <c r="AA337" s="1189"/>
      <c r="AB337" s="1189"/>
      <c r="AC337" s="1189"/>
      <c r="AD337" s="1189"/>
      <c r="AE337" s="1189"/>
      <c r="AF337" s="1189"/>
      <c r="AG337" s="1189"/>
      <c r="AH337" s="1189"/>
      <c r="AI337" s="1189"/>
    </row>
    <row r="338">
      <c r="A338" s="1202"/>
      <c r="B338" s="1203"/>
      <c r="C338" s="1189"/>
      <c r="D338" s="1189"/>
      <c r="E338" s="1189"/>
      <c r="F338" s="1189"/>
      <c r="G338" s="1189"/>
      <c r="H338" s="1189"/>
      <c r="I338" s="1189"/>
      <c r="J338" s="1189"/>
      <c r="K338" s="1189"/>
      <c r="L338" s="1189"/>
      <c r="M338" s="1189"/>
      <c r="N338" s="1189"/>
      <c r="O338" s="1189"/>
      <c r="P338" s="1189"/>
      <c r="Q338" s="1189"/>
      <c r="R338" s="1189"/>
      <c r="S338" s="1189"/>
      <c r="T338" s="1189"/>
      <c r="U338" s="1189"/>
      <c r="V338" s="1189"/>
      <c r="W338" s="1189"/>
      <c r="X338" s="1189"/>
      <c r="Y338" s="1189"/>
      <c r="Z338" s="1189"/>
      <c r="AA338" s="1189"/>
      <c r="AB338" s="1189"/>
      <c r="AC338" s="1189"/>
      <c r="AD338" s="1189"/>
      <c r="AE338" s="1189"/>
      <c r="AF338" s="1189"/>
      <c r="AG338" s="1189"/>
      <c r="AH338" s="1189"/>
      <c r="AI338" s="1189"/>
    </row>
    <row r="339">
      <c r="A339" s="1202"/>
      <c r="B339" s="1203"/>
      <c r="C339" s="1189"/>
      <c r="D339" s="1189"/>
      <c r="E339" s="1189"/>
      <c r="F339" s="1189"/>
      <c r="G339" s="1189"/>
      <c r="H339" s="1189"/>
      <c r="I339" s="1189"/>
      <c r="J339" s="1189"/>
      <c r="K339" s="1189"/>
      <c r="L339" s="1189"/>
      <c r="M339" s="1189"/>
      <c r="N339" s="1189"/>
      <c r="O339" s="1189"/>
      <c r="P339" s="1189"/>
      <c r="Q339" s="1189"/>
      <c r="R339" s="1189"/>
      <c r="S339" s="1189"/>
      <c r="T339" s="1189"/>
      <c r="U339" s="1189"/>
      <c r="V339" s="1189"/>
      <c r="W339" s="1189"/>
      <c r="X339" s="1189"/>
      <c r="Y339" s="1189"/>
      <c r="Z339" s="1189"/>
      <c r="AA339" s="1189"/>
      <c r="AB339" s="1189"/>
      <c r="AC339" s="1189"/>
      <c r="AD339" s="1189"/>
      <c r="AE339" s="1189"/>
      <c r="AF339" s="1189"/>
      <c r="AG339" s="1189"/>
      <c r="AH339" s="1189"/>
      <c r="AI339" s="1189"/>
    </row>
    <row r="340">
      <c r="A340" s="1202"/>
      <c r="B340" s="1203"/>
      <c r="C340" s="1189"/>
      <c r="D340" s="1189"/>
      <c r="E340" s="1189"/>
      <c r="F340" s="1189"/>
      <c r="G340" s="1189"/>
      <c r="H340" s="1189"/>
      <c r="I340" s="1189"/>
      <c r="J340" s="1189"/>
      <c r="K340" s="1189"/>
      <c r="L340" s="1189"/>
      <c r="M340" s="1189"/>
      <c r="N340" s="1189"/>
      <c r="O340" s="1189"/>
      <c r="P340" s="1189"/>
      <c r="Q340" s="1189"/>
      <c r="R340" s="1189"/>
      <c r="S340" s="1189"/>
      <c r="T340" s="1189"/>
      <c r="U340" s="1189"/>
      <c r="V340" s="1189"/>
      <c r="W340" s="1189"/>
      <c r="X340" s="1189"/>
      <c r="Y340" s="1189"/>
      <c r="Z340" s="1189"/>
      <c r="AA340" s="1189"/>
      <c r="AB340" s="1189"/>
      <c r="AC340" s="1189"/>
      <c r="AD340" s="1189"/>
      <c r="AE340" s="1189"/>
      <c r="AF340" s="1189"/>
      <c r="AG340" s="1189"/>
      <c r="AH340" s="1189"/>
      <c r="AI340" s="1189"/>
    </row>
    <row r="341">
      <c r="A341" s="1202"/>
      <c r="B341" s="1203"/>
      <c r="C341" s="1189"/>
      <c r="D341" s="1189"/>
      <c r="E341" s="1189"/>
      <c r="F341" s="1189"/>
      <c r="G341" s="1189"/>
      <c r="H341" s="1189"/>
      <c r="I341" s="1189"/>
      <c r="J341" s="1189"/>
      <c r="K341" s="1189"/>
      <c r="L341" s="1189"/>
      <c r="M341" s="1189"/>
      <c r="N341" s="1189"/>
      <c r="O341" s="1189"/>
      <c r="P341" s="1189"/>
      <c r="Q341" s="1189"/>
      <c r="R341" s="1189"/>
      <c r="S341" s="1189"/>
      <c r="T341" s="1189"/>
      <c r="U341" s="1189"/>
      <c r="V341" s="1189"/>
      <c r="W341" s="1189"/>
      <c r="X341" s="1189"/>
      <c r="Y341" s="1189"/>
      <c r="Z341" s="1189"/>
      <c r="AA341" s="1189"/>
      <c r="AB341" s="1189"/>
      <c r="AC341" s="1189"/>
      <c r="AD341" s="1189"/>
      <c r="AE341" s="1189"/>
      <c r="AF341" s="1189"/>
      <c r="AG341" s="1189"/>
      <c r="AH341" s="1189"/>
      <c r="AI341" s="1189"/>
    </row>
    <row r="342">
      <c r="A342" s="1202"/>
      <c r="B342" s="1203"/>
      <c r="C342" s="1189"/>
      <c r="D342" s="1189"/>
      <c r="E342" s="1189"/>
      <c r="F342" s="1189"/>
      <c r="G342" s="1189"/>
      <c r="H342" s="1189"/>
      <c r="I342" s="1189"/>
      <c r="J342" s="1189"/>
      <c r="K342" s="1189"/>
      <c r="L342" s="1189"/>
      <c r="M342" s="1189"/>
      <c r="N342" s="1189"/>
      <c r="O342" s="1189"/>
      <c r="P342" s="1189"/>
      <c r="Q342" s="1189"/>
      <c r="R342" s="1189"/>
      <c r="S342" s="1189"/>
      <c r="T342" s="1189"/>
      <c r="U342" s="1189"/>
      <c r="V342" s="1189"/>
      <c r="W342" s="1189"/>
      <c r="X342" s="1189"/>
      <c r="Y342" s="1189"/>
      <c r="Z342" s="1189"/>
      <c r="AA342" s="1189"/>
      <c r="AB342" s="1189"/>
      <c r="AC342" s="1189"/>
      <c r="AD342" s="1189"/>
      <c r="AE342" s="1189"/>
      <c r="AF342" s="1189"/>
      <c r="AG342" s="1189"/>
      <c r="AH342" s="1189"/>
      <c r="AI342" s="1189"/>
    </row>
    <row r="343">
      <c r="A343" s="1202"/>
      <c r="B343" s="1203"/>
      <c r="C343" s="1189"/>
      <c r="D343" s="1189"/>
      <c r="E343" s="1189"/>
      <c r="F343" s="1189"/>
      <c r="G343" s="1189"/>
      <c r="H343" s="1189"/>
      <c r="I343" s="1189"/>
      <c r="J343" s="1189"/>
      <c r="K343" s="1189"/>
      <c r="L343" s="1189"/>
      <c r="M343" s="1189"/>
      <c r="N343" s="1189"/>
      <c r="O343" s="1189"/>
      <c r="P343" s="1189"/>
      <c r="Q343" s="1189"/>
      <c r="R343" s="1189"/>
      <c r="S343" s="1189"/>
      <c r="T343" s="1189"/>
      <c r="U343" s="1189"/>
      <c r="V343" s="1189"/>
      <c r="W343" s="1189"/>
      <c r="X343" s="1189"/>
      <c r="Y343" s="1189"/>
      <c r="Z343" s="1189"/>
      <c r="AA343" s="1189"/>
      <c r="AB343" s="1189"/>
      <c r="AC343" s="1189"/>
      <c r="AD343" s="1189"/>
      <c r="AE343" s="1189"/>
      <c r="AF343" s="1189"/>
      <c r="AG343" s="1189"/>
      <c r="AH343" s="1189"/>
      <c r="AI343" s="1189"/>
    </row>
    <row r="344">
      <c r="A344" s="1202"/>
      <c r="B344" s="1203"/>
      <c r="C344" s="1189"/>
      <c r="D344" s="1189"/>
      <c r="E344" s="1189"/>
      <c r="F344" s="1189"/>
      <c r="G344" s="1189"/>
      <c r="H344" s="1189"/>
      <c r="I344" s="1189"/>
      <c r="J344" s="1189"/>
      <c r="K344" s="1189"/>
      <c r="L344" s="1189"/>
      <c r="M344" s="1189"/>
      <c r="N344" s="1189"/>
      <c r="O344" s="1189"/>
      <c r="P344" s="1189"/>
      <c r="Q344" s="1189"/>
      <c r="R344" s="1189"/>
      <c r="S344" s="1189"/>
      <c r="T344" s="1189"/>
      <c r="U344" s="1189"/>
      <c r="V344" s="1189"/>
      <c r="W344" s="1189"/>
      <c r="X344" s="1189"/>
      <c r="Y344" s="1189"/>
      <c r="Z344" s="1189"/>
      <c r="AA344" s="1189"/>
      <c r="AB344" s="1189"/>
      <c r="AC344" s="1189"/>
      <c r="AD344" s="1189"/>
      <c r="AE344" s="1189"/>
      <c r="AF344" s="1189"/>
      <c r="AG344" s="1189"/>
      <c r="AH344" s="1189"/>
      <c r="AI344" s="1189"/>
    </row>
    <row r="345">
      <c r="A345" s="1202"/>
      <c r="B345" s="1203"/>
      <c r="C345" s="1189"/>
      <c r="D345" s="1189"/>
      <c r="E345" s="1189"/>
      <c r="F345" s="1189"/>
      <c r="G345" s="1189"/>
      <c r="H345" s="1189"/>
      <c r="I345" s="1189"/>
      <c r="J345" s="1189"/>
      <c r="K345" s="1189"/>
      <c r="L345" s="1189"/>
      <c r="M345" s="1189"/>
      <c r="N345" s="1189"/>
      <c r="O345" s="1189"/>
      <c r="P345" s="1189"/>
      <c r="Q345" s="1189"/>
      <c r="R345" s="1189"/>
      <c r="S345" s="1189"/>
      <c r="T345" s="1189"/>
      <c r="U345" s="1189"/>
      <c r="V345" s="1189"/>
      <c r="W345" s="1189"/>
      <c r="X345" s="1189"/>
      <c r="Y345" s="1189"/>
      <c r="Z345" s="1189"/>
      <c r="AA345" s="1189"/>
      <c r="AB345" s="1189"/>
      <c r="AC345" s="1189"/>
      <c r="AD345" s="1189"/>
      <c r="AE345" s="1189"/>
      <c r="AF345" s="1189"/>
      <c r="AG345" s="1189"/>
      <c r="AH345" s="1189"/>
      <c r="AI345" s="1189"/>
    </row>
    <row r="346">
      <c r="A346" s="1202"/>
      <c r="B346" s="1203"/>
      <c r="C346" s="1189"/>
      <c r="D346" s="1189"/>
      <c r="E346" s="1189"/>
      <c r="F346" s="1189"/>
      <c r="G346" s="1189"/>
      <c r="H346" s="1189"/>
      <c r="I346" s="1189"/>
      <c r="J346" s="1189"/>
      <c r="K346" s="1189"/>
      <c r="L346" s="1189"/>
      <c r="M346" s="1189"/>
      <c r="N346" s="1189"/>
      <c r="O346" s="1189"/>
      <c r="P346" s="1189"/>
      <c r="Q346" s="1189"/>
      <c r="R346" s="1189"/>
      <c r="S346" s="1189"/>
      <c r="T346" s="1189"/>
      <c r="U346" s="1189"/>
      <c r="V346" s="1189"/>
      <c r="W346" s="1189"/>
      <c r="X346" s="1189"/>
      <c r="Y346" s="1189"/>
      <c r="Z346" s="1189"/>
      <c r="AA346" s="1189"/>
      <c r="AB346" s="1189"/>
      <c r="AC346" s="1189"/>
      <c r="AD346" s="1189"/>
      <c r="AE346" s="1189"/>
      <c r="AF346" s="1189"/>
      <c r="AG346" s="1189"/>
      <c r="AH346" s="1189"/>
      <c r="AI346" s="1189"/>
    </row>
    <row r="347">
      <c r="A347" s="1202"/>
      <c r="B347" s="1203"/>
      <c r="C347" s="1189"/>
      <c r="D347" s="1189"/>
      <c r="E347" s="1189"/>
      <c r="F347" s="1189"/>
      <c r="G347" s="1189"/>
      <c r="H347" s="1189"/>
      <c r="I347" s="1189"/>
      <c r="J347" s="1189"/>
      <c r="K347" s="1189"/>
      <c r="L347" s="1189"/>
      <c r="M347" s="1189"/>
      <c r="N347" s="1189"/>
      <c r="O347" s="1189"/>
      <c r="P347" s="1189"/>
      <c r="Q347" s="1189"/>
      <c r="R347" s="1189"/>
      <c r="S347" s="1189"/>
      <c r="T347" s="1189"/>
      <c r="U347" s="1189"/>
      <c r="V347" s="1189"/>
      <c r="W347" s="1189"/>
      <c r="X347" s="1189"/>
      <c r="Y347" s="1189"/>
      <c r="Z347" s="1189"/>
      <c r="AA347" s="1189"/>
      <c r="AB347" s="1189"/>
      <c r="AC347" s="1189"/>
      <c r="AD347" s="1189"/>
      <c r="AE347" s="1189"/>
      <c r="AF347" s="1189"/>
      <c r="AG347" s="1189"/>
      <c r="AH347" s="1189"/>
      <c r="AI347" s="1189"/>
    </row>
    <row r="348">
      <c r="A348" s="1202"/>
      <c r="B348" s="1203"/>
      <c r="C348" s="1189"/>
      <c r="D348" s="1189"/>
      <c r="E348" s="1189"/>
      <c r="F348" s="1189"/>
      <c r="G348" s="1189"/>
      <c r="H348" s="1189"/>
      <c r="I348" s="1189"/>
      <c r="J348" s="1189"/>
      <c r="K348" s="1189"/>
      <c r="L348" s="1189"/>
      <c r="M348" s="1189"/>
      <c r="N348" s="1189"/>
      <c r="O348" s="1189"/>
      <c r="P348" s="1189"/>
      <c r="Q348" s="1189"/>
      <c r="R348" s="1189"/>
      <c r="S348" s="1189"/>
      <c r="T348" s="1189"/>
      <c r="U348" s="1189"/>
      <c r="V348" s="1189"/>
      <c r="W348" s="1189"/>
      <c r="X348" s="1189"/>
      <c r="Y348" s="1189"/>
      <c r="Z348" s="1189"/>
      <c r="AA348" s="1189"/>
      <c r="AB348" s="1189"/>
      <c r="AC348" s="1189"/>
      <c r="AD348" s="1189"/>
      <c r="AE348" s="1189"/>
      <c r="AF348" s="1189"/>
      <c r="AG348" s="1189"/>
      <c r="AH348" s="1189"/>
      <c r="AI348" s="1189"/>
    </row>
    <row r="349">
      <c r="A349" s="1202"/>
      <c r="B349" s="1203"/>
      <c r="C349" s="1189"/>
      <c r="D349" s="1189"/>
      <c r="E349" s="1189"/>
      <c r="F349" s="1189"/>
      <c r="G349" s="1189"/>
      <c r="H349" s="1189"/>
      <c r="I349" s="1189"/>
      <c r="J349" s="1189"/>
      <c r="K349" s="1189"/>
      <c r="L349" s="1189"/>
      <c r="M349" s="1189"/>
      <c r="N349" s="1189"/>
      <c r="O349" s="1189"/>
      <c r="P349" s="1189"/>
      <c r="Q349" s="1189"/>
      <c r="R349" s="1189"/>
      <c r="S349" s="1189"/>
      <c r="T349" s="1189"/>
      <c r="U349" s="1189"/>
      <c r="V349" s="1189"/>
      <c r="W349" s="1189"/>
      <c r="X349" s="1189"/>
      <c r="Y349" s="1189"/>
      <c r="Z349" s="1189"/>
      <c r="AA349" s="1189"/>
      <c r="AB349" s="1189"/>
      <c r="AC349" s="1189"/>
      <c r="AD349" s="1189"/>
      <c r="AE349" s="1189"/>
      <c r="AF349" s="1189"/>
      <c r="AG349" s="1189"/>
      <c r="AH349" s="1189"/>
      <c r="AI349" s="1189"/>
    </row>
    <row r="350">
      <c r="A350" s="1202"/>
      <c r="B350" s="1203"/>
      <c r="C350" s="1189"/>
      <c r="D350" s="1189"/>
      <c r="E350" s="1189"/>
      <c r="F350" s="1189"/>
      <c r="G350" s="1189"/>
      <c r="H350" s="1189"/>
      <c r="I350" s="1189"/>
      <c r="J350" s="1189"/>
      <c r="K350" s="1189"/>
      <c r="L350" s="1189"/>
      <c r="M350" s="1189"/>
      <c r="N350" s="1189"/>
      <c r="O350" s="1189"/>
      <c r="P350" s="1189"/>
      <c r="Q350" s="1189"/>
      <c r="R350" s="1189"/>
      <c r="S350" s="1189"/>
      <c r="T350" s="1189"/>
      <c r="U350" s="1189"/>
      <c r="V350" s="1189"/>
      <c r="W350" s="1189"/>
      <c r="X350" s="1189"/>
      <c r="Y350" s="1189"/>
      <c r="Z350" s="1189"/>
      <c r="AA350" s="1189"/>
      <c r="AB350" s="1189"/>
      <c r="AC350" s="1189"/>
      <c r="AD350" s="1189"/>
      <c r="AE350" s="1189"/>
      <c r="AF350" s="1189"/>
      <c r="AG350" s="1189"/>
      <c r="AH350" s="1189"/>
      <c r="AI350" s="1189"/>
    </row>
    <row r="351">
      <c r="A351" s="1202"/>
      <c r="B351" s="1203"/>
      <c r="C351" s="1189"/>
      <c r="D351" s="1189"/>
      <c r="E351" s="1189"/>
      <c r="F351" s="1189"/>
      <c r="G351" s="1189"/>
      <c r="H351" s="1189"/>
      <c r="I351" s="1189"/>
      <c r="J351" s="1189"/>
      <c r="K351" s="1189"/>
      <c r="L351" s="1189"/>
      <c r="M351" s="1189"/>
      <c r="N351" s="1189"/>
      <c r="O351" s="1189"/>
      <c r="P351" s="1189"/>
      <c r="Q351" s="1189"/>
      <c r="R351" s="1189"/>
      <c r="S351" s="1189"/>
      <c r="T351" s="1189"/>
      <c r="U351" s="1189"/>
      <c r="V351" s="1189"/>
      <c r="W351" s="1189"/>
      <c r="X351" s="1189"/>
      <c r="Y351" s="1189"/>
      <c r="Z351" s="1189"/>
      <c r="AA351" s="1189"/>
      <c r="AB351" s="1189"/>
      <c r="AC351" s="1189"/>
      <c r="AD351" s="1189"/>
      <c r="AE351" s="1189"/>
      <c r="AF351" s="1189"/>
      <c r="AG351" s="1189"/>
      <c r="AH351" s="1189"/>
      <c r="AI351" s="1189"/>
    </row>
    <row r="352">
      <c r="A352" s="1202"/>
      <c r="B352" s="1203"/>
      <c r="C352" s="1189"/>
      <c r="D352" s="1189"/>
      <c r="E352" s="1189"/>
      <c r="F352" s="1189"/>
      <c r="G352" s="1189"/>
      <c r="H352" s="1189"/>
      <c r="I352" s="1189"/>
      <c r="J352" s="1189"/>
      <c r="K352" s="1189"/>
      <c r="L352" s="1189"/>
      <c r="M352" s="1189"/>
      <c r="N352" s="1189"/>
      <c r="O352" s="1189"/>
      <c r="P352" s="1189"/>
      <c r="Q352" s="1189"/>
      <c r="R352" s="1189"/>
      <c r="S352" s="1189"/>
      <c r="T352" s="1189"/>
      <c r="U352" s="1189"/>
      <c r="V352" s="1189"/>
      <c r="W352" s="1189"/>
      <c r="X352" s="1189"/>
      <c r="Y352" s="1189"/>
      <c r="Z352" s="1189"/>
      <c r="AA352" s="1189"/>
      <c r="AB352" s="1189"/>
      <c r="AC352" s="1189"/>
      <c r="AD352" s="1189"/>
      <c r="AE352" s="1189"/>
      <c r="AF352" s="1189"/>
      <c r="AG352" s="1189"/>
      <c r="AH352" s="1189"/>
      <c r="AI352" s="1189"/>
    </row>
    <row r="353">
      <c r="A353" s="1202"/>
      <c r="B353" s="1203"/>
      <c r="C353" s="1189"/>
      <c r="D353" s="1189"/>
      <c r="E353" s="1189"/>
      <c r="F353" s="1189"/>
      <c r="G353" s="1189"/>
      <c r="H353" s="1189"/>
      <c r="I353" s="1189"/>
      <c r="J353" s="1189"/>
      <c r="K353" s="1189"/>
      <c r="L353" s="1189"/>
      <c r="M353" s="1189"/>
      <c r="N353" s="1189"/>
      <c r="O353" s="1189"/>
      <c r="P353" s="1189"/>
      <c r="Q353" s="1189"/>
      <c r="R353" s="1189"/>
      <c r="S353" s="1189"/>
      <c r="T353" s="1189"/>
      <c r="U353" s="1189"/>
      <c r="V353" s="1189"/>
      <c r="W353" s="1189"/>
      <c r="X353" s="1189"/>
      <c r="Y353" s="1189"/>
      <c r="Z353" s="1189"/>
      <c r="AA353" s="1189"/>
      <c r="AB353" s="1189"/>
      <c r="AC353" s="1189"/>
      <c r="AD353" s="1189"/>
      <c r="AE353" s="1189"/>
      <c r="AF353" s="1189"/>
      <c r="AG353" s="1189"/>
      <c r="AH353" s="1189"/>
      <c r="AI353" s="1189"/>
    </row>
    <row r="354">
      <c r="A354" s="1202"/>
      <c r="B354" s="1203"/>
      <c r="C354" s="1189"/>
      <c r="D354" s="1189"/>
      <c r="E354" s="1189"/>
      <c r="F354" s="1189"/>
      <c r="G354" s="1189"/>
      <c r="H354" s="1189"/>
      <c r="I354" s="1189"/>
      <c r="J354" s="1189"/>
      <c r="K354" s="1189"/>
      <c r="L354" s="1189"/>
      <c r="M354" s="1189"/>
      <c r="N354" s="1189"/>
      <c r="O354" s="1189"/>
      <c r="P354" s="1189"/>
      <c r="Q354" s="1189"/>
      <c r="R354" s="1189"/>
      <c r="S354" s="1189"/>
      <c r="T354" s="1189"/>
      <c r="U354" s="1189"/>
      <c r="V354" s="1189"/>
      <c r="W354" s="1189"/>
      <c r="X354" s="1189"/>
      <c r="Y354" s="1189"/>
      <c r="Z354" s="1189"/>
      <c r="AA354" s="1189"/>
      <c r="AB354" s="1189"/>
      <c r="AC354" s="1189"/>
      <c r="AD354" s="1189"/>
      <c r="AE354" s="1189"/>
      <c r="AF354" s="1189"/>
      <c r="AG354" s="1189"/>
      <c r="AH354" s="1189"/>
      <c r="AI354" s="1189"/>
    </row>
    <row r="355">
      <c r="A355" s="1202"/>
      <c r="B355" s="1203"/>
      <c r="C355" s="1189"/>
      <c r="D355" s="1189"/>
      <c r="E355" s="1189"/>
      <c r="F355" s="1189"/>
      <c r="G355" s="1189"/>
      <c r="H355" s="1189"/>
      <c r="I355" s="1189"/>
      <c r="J355" s="1189"/>
      <c r="K355" s="1189"/>
      <c r="L355" s="1189"/>
      <c r="M355" s="1189"/>
      <c r="N355" s="1189"/>
      <c r="O355" s="1189"/>
      <c r="P355" s="1189"/>
      <c r="Q355" s="1189"/>
      <c r="R355" s="1189"/>
      <c r="S355" s="1189"/>
      <c r="T355" s="1189"/>
      <c r="U355" s="1189"/>
      <c r="V355" s="1189"/>
      <c r="W355" s="1189"/>
      <c r="X355" s="1189"/>
      <c r="Y355" s="1189"/>
      <c r="Z355" s="1189"/>
      <c r="AA355" s="1189"/>
      <c r="AB355" s="1189"/>
      <c r="AC355" s="1189"/>
      <c r="AD355" s="1189"/>
      <c r="AE355" s="1189"/>
      <c r="AF355" s="1189"/>
      <c r="AG355" s="1189"/>
      <c r="AH355" s="1189"/>
      <c r="AI355" s="1189"/>
    </row>
    <row r="356">
      <c r="A356" s="1202"/>
      <c r="B356" s="1203"/>
      <c r="C356" s="1189"/>
      <c r="D356" s="1189"/>
      <c r="E356" s="1189"/>
      <c r="F356" s="1189"/>
      <c r="G356" s="1189"/>
      <c r="H356" s="1189"/>
      <c r="I356" s="1189"/>
      <c r="J356" s="1189"/>
      <c r="K356" s="1189"/>
      <c r="L356" s="1189"/>
      <c r="M356" s="1189"/>
      <c r="N356" s="1189"/>
      <c r="O356" s="1189"/>
      <c r="P356" s="1189"/>
      <c r="Q356" s="1189"/>
      <c r="R356" s="1189"/>
      <c r="S356" s="1189"/>
      <c r="T356" s="1189"/>
      <c r="U356" s="1189"/>
      <c r="V356" s="1189"/>
      <c r="W356" s="1189"/>
      <c r="X356" s="1189"/>
      <c r="Y356" s="1189"/>
      <c r="Z356" s="1189"/>
      <c r="AA356" s="1189"/>
      <c r="AB356" s="1189"/>
      <c r="AC356" s="1189"/>
      <c r="AD356" s="1189"/>
      <c r="AE356" s="1189"/>
      <c r="AF356" s="1189"/>
      <c r="AG356" s="1189"/>
      <c r="AH356" s="1189"/>
      <c r="AI356" s="1189"/>
    </row>
    <row r="357">
      <c r="A357" s="1202"/>
      <c r="B357" s="1203"/>
      <c r="C357" s="1189"/>
      <c r="D357" s="1189"/>
      <c r="E357" s="1189"/>
      <c r="F357" s="1189"/>
      <c r="G357" s="1189"/>
      <c r="H357" s="1189"/>
      <c r="I357" s="1189"/>
      <c r="J357" s="1189"/>
      <c r="K357" s="1189"/>
      <c r="L357" s="1189"/>
      <c r="M357" s="1189"/>
      <c r="N357" s="1189"/>
      <c r="O357" s="1189"/>
      <c r="P357" s="1189"/>
      <c r="Q357" s="1189"/>
      <c r="R357" s="1189"/>
      <c r="S357" s="1189"/>
      <c r="T357" s="1189"/>
      <c r="U357" s="1189"/>
      <c r="V357" s="1189"/>
      <c r="W357" s="1189"/>
      <c r="X357" s="1189"/>
      <c r="Y357" s="1189"/>
      <c r="Z357" s="1189"/>
      <c r="AA357" s="1189"/>
      <c r="AB357" s="1189"/>
      <c r="AC357" s="1189"/>
      <c r="AD357" s="1189"/>
      <c r="AE357" s="1189"/>
      <c r="AF357" s="1189"/>
      <c r="AG357" s="1189"/>
      <c r="AH357" s="1189"/>
      <c r="AI357" s="1189"/>
    </row>
    <row r="358">
      <c r="A358" s="1202"/>
      <c r="B358" s="1203"/>
      <c r="C358" s="1189"/>
      <c r="D358" s="1189"/>
      <c r="E358" s="1189"/>
      <c r="F358" s="1189"/>
      <c r="G358" s="1189"/>
      <c r="H358" s="1189"/>
      <c r="I358" s="1189"/>
      <c r="J358" s="1189"/>
      <c r="K358" s="1189"/>
      <c r="L358" s="1189"/>
      <c r="M358" s="1189"/>
      <c r="N358" s="1189"/>
      <c r="O358" s="1189"/>
      <c r="P358" s="1189"/>
      <c r="Q358" s="1189"/>
      <c r="R358" s="1189"/>
      <c r="S358" s="1189"/>
      <c r="T358" s="1189"/>
      <c r="U358" s="1189"/>
      <c r="V358" s="1189"/>
      <c r="W358" s="1189"/>
      <c r="X358" s="1189"/>
      <c r="Y358" s="1189"/>
      <c r="Z358" s="1189"/>
      <c r="AA358" s="1189"/>
      <c r="AB358" s="1189"/>
      <c r="AC358" s="1189"/>
      <c r="AD358" s="1189"/>
      <c r="AE358" s="1189"/>
      <c r="AF358" s="1189"/>
      <c r="AG358" s="1189"/>
      <c r="AH358" s="1189"/>
      <c r="AI358" s="1189"/>
    </row>
    <row r="359">
      <c r="A359" s="1202"/>
      <c r="B359" s="1203"/>
      <c r="C359" s="1189"/>
      <c r="D359" s="1189"/>
      <c r="E359" s="1189"/>
      <c r="F359" s="1189"/>
      <c r="G359" s="1189"/>
      <c r="H359" s="1189"/>
      <c r="I359" s="1189"/>
      <c r="J359" s="1189"/>
      <c r="K359" s="1189"/>
      <c r="L359" s="1189"/>
      <c r="M359" s="1189"/>
      <c r="N359" s="1189"/>
      <c r="O359" s="1189"/>
      <c r="P359" s="1189"/>
      <c r="Q359" s="1189"/>
      <c r="R359" s="1189"/>
      <c r="S359" s="1189"/>
      <c r="T359" s="1189"/>
      <c r="U359" s="1189"/>
      <c r="V359" s="1189"/>
      <c r="W359" s="1189"/>
      <c r="X359" s="1189"/>
      <c r="Y359" s="1189"/>
      <c r="Z359" s="1189"/>
      <c r="AA359" s="1189"/>
      <c r="AB359" s="1189"/>
      <c r="AC359" s="1189"/>
      <c r="AD359" s="1189"/>
      <c r="AE359" s="1189"/>
      <c r="AF359" s="1189"/>
      <c r="AG359" s="1189"/>
      <c r="AH359" s="1189"/>
      <c r="AI359" s="1189"/>
    </row>
    <row r="360">
      <c r="A360" s="1202"/>
      <c r="B360" s="1203"/>
      <c r="C360" s="1189"/>
      <c r="D360" s="1189"/>
      <c r="E360" s="1189"/>
      <c r="F360" s="1189"/>
      <c r="G360" s="1189"/>
      <c r="H360" s="1189"/>
      <c r="I360" s="1189"/>
      <c r="J360" s="1189"/>
      <c r="K360" s="1189"/>
      <c r="L360" s="1189"/>
      <c r="M360" s="1189"/>
      <c r="N360" s="1189"/>
      <c r="O360" s="1189"/>
      <c r="P360" s="1189"/>
      <c r="Q360" s="1189"/>
      <c r="R360" s="1189"/>
      <c r="S360" s="1189"/>
      <c r="T360" s="1189"/>
      <c r="U360" s="1189"/>
      <c r="V360" s="1189"/>
      <c r="W360" s="1189"/>
      <c r="X360" s="1189"/>
      <c r="Y360" s="1189"/>
      <c r="Z360" s="1189"/>
      <c r="AA360" s="1189"/>
      <c r="AB360" s="1189"/>
      <c r="AC360" s="1189"/>
      <c r="AD360" s="1189"/>
      <c r="AE360" s="1189"/>
      <c r="AF360" s="1189"/>
      <c r="AG360" s="1189"/>
      <c r="AH360" s="1189"/>
      <c r="AI360" s="1189"/>
    </row>
    <row r="361">
      <c r="A361" s="1202"/>
      <c r="B361" s="1203"/>
      <c r="C361" s="1189"/>
      <c r="D361" s="1189"/>
      <c r="E361" s="1189"/>
      <c r="F361" s="1189"/>
      <c r="G361" s="1189"/>
      <c r="H361" s="1189"/>
      <c r="I361" s="1189"/>
      <c r="J361" s="1189"/>
      <c r="K361" s="1189"/>
      <c r="L361" s="1189"/>
      <c r="M361" s="1189"/>
      <c r="N361" s="1189"/>
      <c r="O361" s="1189"/>
      <c r="P361" s="1189"/>
      <c r="Q361" s="1189"/>
      <c r="R361" s="1189"/>
      <c r="S361" s="1189"/>
      <c r="T361" s="1189"/>
      <c r="U361" s="1189"/>
      <c r="V361" s="1189"/>
      <c r="W361" s="1189"/>
      <c r="X361" s="1189"/>
      <c r="Y361" s="1189"/>
      <c r="Z361" s="1189"/>
      <c r="AA361" s="1189"/>
      <c r="AB361" s="1189"/>
      <c r="AC361" s="1189"/>
      <c r="AD361" s="1189"/>
      <c r="AE361" s="1189"/>
      <c r="AF361" s="1189"/>
      <c r="AG361" s="1189"/>
      <c r="AH361" s="1189"/>
      <c r="AI361" s="1189"/>
    </row>
    <row r="362">
      <c r="A362" s="1202"/>
      <c r="B362" s="1203"/>
      <c r="C362" s="1189"/>
      <c r="D362" s="1189"/>
      <c r="E362" s="1189"/>
      <c r="F362" s="1189"/>
      <c r="G362" s="1189"/>
      <c r="H362" s="1189"/>
      <c r="I362" s="1189"/>
      <c r="J362" s="1189"/>
      <c r="K362" s="1189"/>
      <c r="L362" s="1189"/>
      <c r="M362" s="1189"/>
      <c r="N362" s="1189"/>
      <c r="O362" s="1189"/>
      <c r="P362" s="1189"/>
      <c r="Q362" s="1189"/>
      <c r="R362" s="1189"/>
      <c r="S362" s="1189"/>
      <c r="T362" s="1189"/>
      <c r="U362" s="1189"/>
      <c r="V362" s="1189"/>
      <c r="W362" s="1189"/>
      <c r="X362" s="1189"/>
      <c r="Y362" s="1189"/>
      <c r="Z362" s="1189"/>
      <c r="AA362" s="1189"/>
      <c r="AB362" s="1189"/>
      <c r="AC362" s="1189"/>
      <c r="AD362" s="1189"/>
      <c r="AE362" s="1189"/>
      <c r="AF362" s="1189"/>
      <c r="AG362" s="1189"/>
      <c r="AH362" s="1189"/>
      <c r="AI362" s="1189"/>
    </row>
    <row r="363">
      <c r="A363" s="1202"/>
      <c r="B363" s="1203"/>
      <c r="C363" s="1189"/>
      <c r="D363" s="1189"/>
      <c r="E363" s="1189"/>
      <c r="F363" s="1189"/>
      <c r="G363" s="1189"/>
      <c r="H363" s="1189"/>
      <c r="I363" s="1189"/>
      <c r="J363" s="1189"/>
      <c r="K363" s="1189"/>
      <c r="L363" s="1189"/>
      <c r="M363" s="1189"/>
      <c r="N363" s="1189"/>
      <c r="O363" s="1189"/>
      <c r="P363" s="1189"/>
      <c r="Q363" s="1189"/>
      <c r="R363" s="1189"/>
      <c r="S363" s="1189"/>
      <c r="T363" s="1189"/>
      <c r="U363" s="1189"/>
      <c r="V363" s="1189"/>
      <c r="W363" s="1189"/>
      <c r="X363" s="1189"/>
      <c r="Y363" s="1189"/>
      <c r="Z363" s="1189"/>
      <c r="AA363" s="1189"/>
      <c r="AB363" s="1189"/>
      <c r="AC363" s="1189"/>
      <c r="AD363" s="1189"/>
      <c r="AE363" s="1189"/>
      <c r="AF363" s="1189"/>
      <c r="AG363" s="1189"/>
      <c r="AH363" s="1189"/>
      <c r="AI363" s="1189"/>
    </row>
    <row r="364">
      <c r="A364" s="1202"/>
      <c r="B364" s="1203"/>
      <c r="C364" s="1189"/>
      <c r="D364" s="1189"/>
      <c r="E364" s="1189"/>
      <c r="F364" s="1189"/>
      <c r="G364" s="1189"/>
      <c r="H364" s="1189"/>
      <c r="I364" s="1189"/>
      <c r="J364" s="1189"/>
      <c r="K364" s="1189"/>
      <c r="L364" s="1189"/>
      <c r="M364" s="1189"/>
      <c r="N364" s="1189"/>
      <c r="O364" s="1189"/>
      <c r="P364" s="1189"/>
      <c r="Q364" s="1189"/>
      <c r="R364" s="1189"/>
      <c r="S364" s="1189"/>
      <c r="T364" s="1189"/>
      <c r="U364" s="1189"/>
      <c r="V364" s="1189"/>
      <c r="W364" s="1189"/>
      <c r="X364" s="1189"/>
      <c r="Y364" s="1189"/>
      <c r="Z364" s="1189"/>
      <c r="AA364" s="1189"/>
      <c r="AB364" s="1189"/>
      <c r="AC364" s="1189"/>
      <c r="AD364" s="1189"/>
      <c r="AE364" s="1189"/>
      <c r="AF364" s="1189"/>
      <c r="AG364" s="1189"/>
      <c r="AH364" s="1189"/>
      <c r="AI364" s="1189"/>
    </row>
    <row r="365">
      <c r="A365" s="1202"/>
      <c r="B365" s="1203"/>
      <c r="C365" s="1189"/>
      <c r="D365" s="1189"/>
      <c r="E365" s="1189"/>
      <c r="F365" s="1189"/>
      <c r="G365" s="1189"/>
      <c r="H365" s="1189"/>
      <c r="I365" s="1189"/>
      <c r="J365" s="1189"/>
      <c r="K365" s="1189"/>
      <c r="L365" s="1189"/>
      <c r="M365" s="1189"/>
      <c r="N365" s="1189"/>
      <c r="O365" s="1189"/>
      <c r="P365" s="1189"/>
      <c r="Q365" s="1189"/>
      <c r="R365" s="1189"/>
      <c r="S365" s="1189"/>
      <c r="T365" s="1189"/>
      <c r="U365" s="1189"/>
      <c r="V365" s="1189"/>
      <c r="W365" s="1189"/>
      <c r="X365" s="1189"/>
      <c r="Y365" s="1189"/>
      <c r="Z365" s="1189"/>
      <c r="AA365" s="1189"/>
      <c r="AB365" s="1189"/>
      <c r="AC365" s="1189"/>
      <c r="AD365" s="1189"/>
      <c r="AE365" s="1189"/>
      <c r="AF365" s="1189"/>
      <c r="AG365" s="1189"/>
      <c r="AH365" s="1189"/>
      <c r="AI365" s="1189"/>
    </row>
    <row r="366">
      <c r="A366" s="1202"/>
      <c r="B366" s="1203"/>
      <c r="C366" s="1189"/>
      <c r="D366" s="1189"/>
      <c r="E366" s="1189"/>
      <c r="F366" s="1189"/>
      <c r="G366" s="1189"/>
      <c r="H366" s="1189"/>
      <c r="I366" s="1189"/>
      <c r="J366" s="1189"/>
      <c r="K366" s="1189"/>
      <c r="L366" s="1189"/>
      <c r="M366" s="1189"/>
      <c r="N366" s="1189"/>
      <c r="O366" s="1189"/>
      <c r="P366" s="1189"/>
      <c r="Q366" s="1189"/>
      <c r="R366" s="1189"/>
      <c r="S366" s="1189"/>
      <c r="T366" s="1189"/>
      <c r="U366" s="1189"/>
      <c r="V366" s="1189"/>
      <c r="W366" s="1189"/>
      <c r="X366" s="1189"/>
      <c r="Y366" s="1189"/>
      <c r="Z366" s="1189"/>
      <c r="AA366" s="1189"/>
      <c r="AB366" s="1189"/>
      <c r="AC366" s="1189"/>
      <c r="AD366" s="1189"/>
      <c r="AE366" s="1189"/>
      <c r="AF366" s="1189"/>
      <c r="AG366" s="1189"/>
      <c r="AH366" s="1189"/>
      <c r="AI366" s="1189"/>
    </row>
    <row r="367">
      <c r="A367" s="1202"/>
      <c r="B367" s="1203"/>
      <c r="C367" s="1189"/>
      <c r="D367" s="1189"/>
      <c r="E367" s="1189"/>
      <c r="F367" s="1189"/>
      <c r="G367" s="1189"/>
      <c r="H367" s="1189"/>
      <c r="I367" s="1189"/>
      <c r="J367" s="1189"/>
      <c r="K367" s="1189"/>
      <c r="L367" s="1189"/>
      <c r="M367" s="1189"/>
      <c r="N367" s="1189"/>
      <c r="O367" s="1189"/>
      <c r="P367" s="1189"/>
      <c r="Q367" s="1189"/>
      <c r="R367" s="1189"/>
      <c r="S367" s="1189"/>
      <c r="T367" s="1189"/>
      <c r="U367" s="1189"/>
      <c r="V367" s="1189"/>
      <c r="W367" s="1189"/>
      <c r="X367" s="1189"/>
      <c r="Y367" s="1189"/>
      <c r="Z367" s="1189"/>
      <c r="AA367" s="1189"/>
      <c r="AB367" s="1189"/>
      <c r="AC367" s="1189"/>
      <c r="AD367" s="1189"/>
      <c r="AE367" s="1189"/>
      <c r="AF367" s="1189"/>
      <c r="AG367" s="1189"/>
      <c r="AH367" s="1189"/>
      <c r="AI367" s="1189"/>
    </row>
    <row r="368">
      <c r="A368" s="1202"/>
      <c r="B368" s="1203"/>
      <c r="C368" s="1189"/>
      <c r="D368" s="1189"/>
      <c r="E368" s="1189"/>
      <c r="F368" s="1189"/>
      <c r="G368" s="1189"/>
      <c r="H368" s="1189"/>
      <c r="I368" s="1189"/>
      <c r="J368" s="1189"/>
      <c r="K368" s="1189"/>
      <c r="L368" s="1189"/>
      <c r="M368" s="1189"/>
      <c r="N368" s="1189"/>
      <c r="O368" s="1189"/>
      <c r="P368" s="1189"/>
      <c r="Q368" s="1189"/>
      <c r="R368" s="1189"/>
      <c r="S368" s="1189"/>
      <c r="T368" s="1189"/>
      <c r="U368" s="1189"/>
      <c r="V368" s="1189"/>
      <c r="W368" s="1189"/>
      <c r="X368" s="1189"/>
      <c r="Y368" s="1189"/>
      <c r="Z368" s="1189"/>
      <c r="AA368" s="1189"/>
      <c r="AB368" s="1189"/>
      <c r="AC368" s="1189"/>
      <c r="AD368" s="1189"/>
      <c r="AE368" s="1189"/>
      <c r="AF368" s="1189"/>
      <c r="AG368" s="1189"/>
      <c r="AH368" s="1189"/>
      <c r="AI368" s="1189"/>
    </row>
    <row r="369">
      <c r="A369" s="1202"/>
      <c r="B369" s="1203"/>
      <c r="C369" s="1189"/>
      <c r="D369" s="1189"/>
      <c r="E369" s="1189"/>
      <c r="F369" s="1189"/>
      <c r="G369" s="1189"/>
      <c r="H369" s="1189"/>
      <c r="I369" s="1189"/>
      <c r="J369" s="1189"/>
      <c r="K369" s="1189"/>
      <c r="L369" s="1189"/>
      <c r="M369" s="1189"/>
      <c r="N369" s="1189"/>
      <c r="O369" s="1189"/>
      <c r="P369" s="1189"/>
      <c r="Q369" s="1189"/>
      <c r="R369" s="1189"/>
      <c r="S369" s="1189"/>
      <c r="T369" s="1189"/>
      <c r="U369" s="1189"/>
      <c r="V369" s="1189"/>
      <c r="W369" s="1189"/>
      <c r="X369" s="1189"/>
      <c r="Y369" s="1189"/>
      <c r="Z369" s="1189"/>
      <c r="AA369" s="1189"/>
      <c r="AB369" s="1189"/>
      <c r="AC369" s="1189"/>
      <c r="AD369" s="1189"/>
      <c r="AE369" s="1189"/>
      <c r="AF369" s="1189"/>
      <c r="AG369" s="1189"/>
      <c r="AH369" s="1189"/>
      <c r="AI369" s="1189"/>
    </row>
    <row r="370">
      <c r="A370" s="1202"/>
      <c r="B370" s="1203"/>
      <c r="C370" s="1189"/>
      <c r="D370" s="1189"/>
      <c r="E370" s="1189"/>
      <c r="F370" s="1189"/>
      <c r="G370" s="1189"/>
      <c r="H370" s="1189"/>
      <c r="I370" s="1189"/>
      <c r="J370" s="1189"/>
      <c r="K370" s="1189"/>
      <c r="L370" s="1189"/>
      <c r="M370" s="1189"/>
      <c r="N370" s="1189"/>
      <c r="O370" s="1189"/>
      <c r="P370" s="1189"/>
      <c r="Q370" s="1189"/>
      <c r="R370" s="1189"/>
      <c r="S370" s="1189"/>
      <c r="T370" s="1189"/>
      <c r="U370" s="1189"/>
      <c r="V370" s="1189"/>
      <c r="W370" s="1189"/>
      <c r="X370" s="1189"/>
      <c r="Y370" s="1189"/>
      <c r="Z370" s="1189"/>
      <c r="AA370" s="1189"/>
      <c r="AB370" s="1189"/>
      <c r="AC370" s="1189"/>
      <c r="AD370" s="1189"/>
      <c r="AE370" s="1189"/>
      <c r="AF370" s="1189"/>
      <c r="AG370" s="1189"/>
      <c r="AH370" s="1189"/>
      <c r="AI370" s="1189"/>
    </row>
    <row r="371">
      <c r="A371" s="1202"/>
      <c r="B371" s="1203"/>
      <c r="C371" s="1189"/>
      <c r="D371" s="1189"/>
      <c r="E371" s="1189"/>
      <c r="F371" s="1189"/>
      <c r="G371" s="1189"/>
      <c r="H371" s="1189"/>
      <c r="I371" s="1189"/>
      <c r="J371" s="1189"/>
      <c r="K371" s="1189"/>
      <c r="L371" s="1189"/>
      <c r="M371" s="1189"/>
      <c r="N371" s="1189"/>
      <c r="O371" s="1189"/>
      <c r="P371" s="1189"/>
      <c r="Q371" s="1189"/>
      <c r="R371" s="1189"/>
      <c r="S371" s="1189"/>
      <c r="T371" s="1189"/>
      <c r="U371" s="1189"/>
      <c r="V371" s="1189"/>
      <c r="W371" s="1189"/>
      <c r="X371" s="1189"/>
      <c r="Y371" s="1189"/>
      <c r="Z371" s="1189"/>
      <c r="AA371" s="1189"/>
      <c r="AB371" s="1189"/>
      <c r="AC371" s="1189"/>
      <c r="AD371" s="1189"/>
      <c r="AE371" s="1189"/>
      <c r="AF371" s="1189"/>
      <c r="AG371" s="1189"/>
      <c r="AH371" s="1189"/>
      <c r="AI371" s="1189"/>
    </row>
    <row r="372">
      <c r="A372" s="1202"/>
      <c r="B372" s="1203"/>
      <c r="C372" s="1189"/>
      <c r="D372" s="1189"/>
      <c r="E372" s="1189"/>
      <c r="F372" s="1189"/>
      <c r="G372" s="1189"/>
      <c r="H372" s="1189"/>
      <c r="I372" s="1189"/>
      <c r="J372" s="1189"/>
      <c r="K372" s="1189"/>
      <c r="L372" s="1189"/>
      <c r="M372" s="1189"/>
      <c r="N372" s="1189"/>
      <c r="O372" s="1189"/>
      <c r="P372" s="1189"/>
      <c r="Q372" s="1189"/>
      <c r="R372" s="1189"/>
      <c r="S372" s="1189"/>
      <c r="T372" s="1189"/>
      <c r="U372" s="1189"/>
      <c r="V372" s="1189"/>
      <c r="W372" s="1189"/>
      <c r="X372" s="1189"/>
      <c r="Y372" s="1189"/>
      <c r="Z372" s="1189"/>
      <c r="AA372" s="1189"/>
      <c r="AB372" s="1189"/>
      <c r="AC372" s="1189"/>
      <c r="AD372" s="1189"/>
      <c r="AE372" s="1189"/>
      <c r="AF372" s="1189"/>
      <c r="AG372" s="1189"/>
      <c r="AH372" s="1189"/>
      <c r="AI372" s="1189"/>
    </row>
    <row r="373">
      <c r="A373" s="1202"/>
      <c r="B373" s="1203"/>
      <c r="C373" s="1189"/>
      <c r="D373" s="1189"/>
      <c r="E373" s="1189"/>
      <c r="F373" s="1189"/>
      <c r="G373" s="1189"/>
      <c r="H373" s="1189"/>
      <c r="I373" s="1189"/>
      <c r="J373" s="1189"/>
      <c r="K373" s="1189"/>
      <c r="L373" s="1189"/>
      <c r="M373" s="1189"/>
      <c r="N373" s="1189"/>
      <c r="O373" s="1189"/>
      <c r="P373" s="1189"/>
      <c r="Q373" s="1189"/>
      <c r="R373" s="1189"/>
      <c r="S373" s="1189"/>
      <c r="T373" s="1189"/>
      <c r="U373" s="1189"/>
      <c r="V373" s="1189"/>
      <c r="W373" s="1189"/>
      <c r="X373" s="1189"/>
      <c r="Y373" s="1189"/>
      <c r="Z373" s="1189"/>
      <c r="AA373" s="1189"/>
      <c r="AB373" s="1189"/>
      <c r="AC373" s="1189"/>
      <c r="AD373" s="1189"/>
      <c r="AE373" s="1189"/>
      <c r="AF373" s="1189"/>
      <c r="AG373" s="1189"/>
      <c r="AH373" s="1189"/>
      <c r="AI373" s="1189"/>
    </row>
    <row r="374">
      <c r="A374" s="1202"/>
      <c r="B374" s="1203"/>
      <c r="C374" s="1189"/>
      <c r="D374" s="1189"/>
      <c r="E374" s="1189"/>
      <c r="F374" s="1189"/>
      <c r="G374" s="1189"/>
      <c r="H374" s="1189"/>
      <c r="I374" s="1189"/>
      <c r="J374" s="1189"/>
      <c r="K374" s="1189"/>
      <c r="L374" s="1189"/>
      <c r="M374" s="1189"/>
      <c r="N374" s="1189"/>
      <c r="O374" s="1189"/>
      <c r="P374" s="1189"/>
      <c r="Q374" s="1189"/>
      <c r="R374" s="1189"/>
      <c r="S374" s="1189"/>
      <c r="T374" s="1189"/>
      <c r="U374" s="1189"/>
      <c r="V374" s="1189"/>
      <c r="W374" s="1189"/>
      <c r="X374" s="1189"/>
      <c r="Y374" s="1189"/>
      <c r="Z374" s="1189"/>
      <c r="AA374" s="1189"/>
      <c r="AB374" s="1189"/>
      <c r="AC374" s="1189"/>
      <c r="AD374" s="1189"/>
      <c r="AE374" s="1189"/>
      <c r="AF374" s="1189"/>
      <c r="AG374" s="1189"/>
      <c r="AH374" s="1189"/>
      <c r="AI374" s="1189"/>
    </row>
    <row r="375">
      <c r="A375" s="1202"/>
      <c r="B375" s="1203"/>
      <c r="C375" s="1189"/>
      <c r="D375" s="1189"/>
      <c r="E375" s="1189"/>
      <c r="F375" s="1189"/>
      <c r="G375" s="1189"/>
      <c r="H375" s="1189"/>
      <c r="I375" s="1189"/>
      <c r="J375" s="1189"/>
      <c r="K375" s="1189"/>
      <c r="L375" s="1189"/>
      <c r="M375" s="1189"/>
      <c r="N375" s="1189"/>
      <c r="O375" s="1189"/>
      <c r="P375" s="1189"/>
      <c r="Q375" s="1189"/>
      <c r="R375" s="1189"/>
      <c r="S375" s="1189"/>
      <c r="T375" s="1189"/>
      <c r="U375" s="1189"/>
      <c r="V375" s="1189"/>
      <c r="W375" s="1189"/>
      <c r="X375" s="1189"/>
      <c r="Y375" s="1189"/>
      <c r="Z375" s="1189"/>
      <c r="AA375" s="1189"/>
      <c r="AB375" s="1189"/>
      <c r="AC375" s="1189"/>
      <c r="AD375" s="1189"/>
      <c r="AE375" s="1189"/>
      <c r="AF375" s="1189"/>
      <c r="AG375" s="1189"/>
      <c r="AH375" s="1189"/>
      <c r="AI375" s="1189"/>
    </row>
    <row r="376">
      <c r="A376" s="1202"/>
      <c r="B376" s="1203"/>
      <c r="C376" s="1189"/>
      <c r="D376" s="1189"/>
      <c r="E376" s="1189"/>
      <c r="F376" s="1189"/>
      <c r="G376" s="1189"/>
      <c r="H376" s="1189"/>
      <c r="I376" s="1189"/>
      <c r="J376" s="1189"/>
      <c r="K376" s="1189"/>
      <c r="L376" s="1189"/>
      <c r="M376" s="1189"/>
      <c r="N376" s="1189"/>
      <c r="O376" s="1189"/>
      <c r="P376" s="1189"/>
      <c r="Q376" s="1189"/>
      <c r="R376" s="1189"/>
      <c r="S376" s="1189"/>
      <c r="T376" s="1189"/>
      <c r="U376" s="1189"/>
      <c r="V376" s="1189"/>
      <c r="W376" s="1189"/>
      <c r="X376" s="1189"/>
      <c r="Y376" s="1189"/>
      <c r="Z376" s="1189"/>
      <c r="AA376" s="1189"/>
      <c r="AB376" s="1189"/>
      <c r="AC376" s="1189"/>
      <c r="AD376" s="1189"/>
      <c r="AE376" s="1189"/>
      <c r="AF376" s="1189"/>
      <c r="AG376" s="1189"/>
      <c r="AH376" s="1189"/>
      <c r="AI376" s="1189"/>
    </row>
    <row r="377">
      <c r="A377" s="1202"/>
      <c r="B377" s="1203"/>
      <c r="C377" s="1189"/>
      <c r="D377" s="1189"/>
      <c r="E377" s="1189"/>
      <c r="F377" s="1189"/>
      <c r="G377" s="1189"/>
      <c r="H377" s="1189"/>
      <c r="I377" s="1189"/>
      <c r="J377" s="1189"/>
      <c r="K377" s="1189"/>
      <c r="L377" s="1189"/>
      <c r="M377" s="1189"/>
      <c r="N377" s="1189"/>
      <c r="O377" s="1189"/>
      <c r="P377" s="1189"/>
      <c r="Q377" s="1189"/>
      <c r="R377" s="1189"/>
      <c r="S377" s="1189"/>
      <c r="T377" s="1189"/>
      <c r="U377" s="1189"/>
      <c r="V377" s="1189"/>
      <c r="W377" s="1189"/>
      <c r="X377" s="1189"/>
      <c r="Y377" s="1189"/>
      <c r="Z377" s="1189"/>
      <c r="AA377" s="1189"/>
      <c r="AB377" s="1189"/>
      <c r="AC377" s="1189"/>
      <c r="AD377" s="1189"/>
      <c r="AE377" s="1189"/>
      <c r="AF377" s="1189"/>
      <c r="AG377" s="1189"/>
      <c r="AH377" s="1189"/>
      <c r="AI377" s="1189"/>
    </row>
    <row r="378">
      <c r="A378" s="1202"/>
      <c r="B378" s="1203"/>
      <c r="C378" s="1189"/>
      <c r="D378" s="1189"/>
      <c r="E378" s="1189"/>
      <c r="F378" s="1189"/>
      <c r="G378" s="1189"/>
      <c r="H378" s="1189"/>
      <c r="I378" s="1189"/>
      <c r="J378" s="1189"/>
      <c r="K378" s="1189"/>
      <c r="L378" s="1189"/>
      <c r="M378" s="1189"/>
      <c r="N378" s="1189"/>
      <c r="O378" s="1189"/>
      <c r="P378" s="1189"/>
      <c r="Q378" s="1189"/>
      <c r="R378" s="1189"/>
      <c r="S378" s="1189"/>
      <c r="T378" s="1189"/>
      <c r="U378" s="1189"/>
      <c r="V378" s="1189"/>
      <c r="W378" s="1189"/>
      <c r="X378" s="1189"/>
      <c r="Y378" s="1189"/>
      <c r="Z378" s="1189"/>
      <c r="AA378" s="1189"/>
      <c r="AB378" s="1189"/>
      <c r="AC378" s="1189"/>
      <c r="AD378" s="1189"/>
      <c r="AE378" s="1189"/>
      <c r="AF378" s="1189"/>
      <c r="AG378" s="1189"/>
      <c r="AH378" s="1189"/>
      <c r="AI378" s="1189"/>
    </row>
    <row r="379">
      <c r="A379" s="1202"/>
      <c r="B379" s="1203"/>
      <c r="C379" s="1189"/>
      <c r="D379" s="1189"/>
      <c r="E379" s="1189"/>
      <c r="F379" s="1189"/>
      <c r="G379" s="1189"/>
      <c r="H379" s="1189"/>
      <c r="I379" s="1189"/>
      <c r="J379" s="1189"/>
      <c r="K379" s="1189"/>
      <c r="L379" s="1189"/>
      <c r="M379" s="1189"/>
      <c r="N379" s="1189"/>
      <c r="O379" s="1189"/>
      <c r="P379" s="1189"/>
      <c r="Q379" s="1189"/>
      <c r="R379" s="1189"/>
      <c r="S379" s="1189"/>
      <c r="T379" s="1189"/>
      <c r="U379" s="1189"/>
      <c r="V379" s="1189"/>
      <c r="W379" s="1189"/>
      <c r="X379" s="1189"/>
      <c r="Y379" s="1189"/>
      <c r="Z379" s="1189"/>
      <c r="AA379" s="1189"/>
      <c r="AB379" s="1189"/>
      <c r="AC379" s="1189"/>
      <c r="AD379" s="1189"/>
      <c r="AE379" s="1189"/>
      <c r="AF379" s="1189"/>
      <c r="AG379" s="1189"/>
      <c r="AH379" s="1189"/>
      <c r="AI379" s="1189"/>
    </row>
    <row r="380">
      <c r="A380" s="1202"/>
      <c r="B380" s="1203"/>
      <c r="C380" s="1189"/>
      <c r="D380" s="1189"/>
      <c r="E380" s="1189"/>
      <c r="F380" s="1189"/>
      <c r="G380" s="1189"/>
      <c r="H380" s="1189"/>
      <c r="I380" s="1189"/>
      <c r="J380" s="1189"/>
      <c r="K380" s="1189"/>
      <c r="L380" s="1189"/>
      <c r="M380" s="1189"/>
      <c r="N380" s="1189"/>
      <c r="O380" s="1189"/>
      <c r="P380" s="1189"/>
      <c r="Q380" s="1189"/>
      <c r="R380" s="1189"/>
      <c r="S380" s="1189"/>
      <c r="T380" s="1189"/>
      <c r="U380" s="1189"/>
      <c r="V380" s="1189"/>
      <c r="W380" s="1189"/>
      <c r="X380" s="1189"/>
      <c r="Y380" s="1189"/>
      <c r="Z380" s="1189"/>
      <c r="AA380" s="1189"/>
      <c r="AB380" s="1189"/>
      <c r="AC380" s="1189"/>
      <c r="AD380" s="1189"/>
      <c r="AE380" s="1189"/>
      <c r="AF380" s="1189"/>
      <c r="AG380" s="1189"/>
      <c r="AH380" s="1189"/>
      <c r="AI380" s="1189"/>
    </row>
    <row r="381">
      <c r="A381" s="1202"/>
      <c r="B381" s="1203"/>
      <c r="C381" s="1189"/>
      <c r="D381" s="1189"/>
      <c r="E381" s="1189"/>
      <c r="F381" s="1189"/>
      <c r="G381" s="1189"/>
      <c r="H381" s="1189"/>
      <c r="I381" s="1189"/>
      <c r="J381" s="1189"/>
      <c r="K381" s="1189"/>
      <c r="L381" s="1189"/>
      <c r="M381" s="1189"/>
      <c r="N381" s="1189"/>
      <c r="O381" s="1189"/>
      <c r="P381" s="1189"/>
      <c r="Q381" s="1189"/>
      <c r="R381" s="1189"/>
      <c r="S381" s="1189"/>
      <c r="T381" s="1189"/>
      <c r="U381" s="1189"/>
      <c r="V381" s="1189"/>
      <c r="W381" s="1189"/>
      <c r="X381" s="1189"/>
      <c r="Y381" s="1189"/>
      <c r="Z381" s="1189"/>
      <c r="AA381" s="1189"/>
      <c r="AB381" s="1189"/>
      <c r="AC381" s="1189"/>
      <c r="AD381" s="1189"/>
      <c r="AE381" s="1189"/>
      <c r="AF381" s="1189"/>
      <c r="AG381" s="1189"/>
      <c r="AH381" s="1189"/>
      <c r="AI381" s="1189"/>
    </row>
    <row r="382">
      <c r="A382" s="1202"/>
      <c r="B382" s="1203"/>
      <c r="C382" s="1189"/>
      <c r="D382" s="1189"/>
      <c r="E382" s="1189"/>
      <c r="F382" s="1189"/>
      <c r="G382" s="1189"/>
      <c r="H382" s="1189"/>
      <c r="I382" s="1189"/>
      <c r="J382" s="1189"/>
      <c r="K382" s="1189"/>
      <c r="L382" s="1189"/>
      <c r="M382" s="1189"/>
      <c r="N382" s="1189"/>
      <c r="O382" s="1189"/>
      <c r="P382" s="1189"/>
      <c r="Q382" s="1189"/>
      <c r="R382" s="1189"/>
      <c r="S382" s="1189"/>
      <c r="T382" s="1189"/>
      <c r="U382" s="1189"/>
      <c r="V382" s="1189"/>
      <c r="W382" s="1189"/>
      <c r="X382" s="1189"/>
      <c r="Y382" s="1189"/>
      <c r="Z382" s="1189"/>
      <c r="AA382" s="1189"/>
      <c r="AB382" s="1189"/>
      <c r="AC382" s="1189"/>
      <c r="AD382" s="1189"/>
      <c r="AE382" s="1189"/>
      <c r="AF382" s="1189"/>
      <c r="AG382" s="1189"/>
      <c r="AH382" s="1189"/>
      <c r="AI382" s="1189"/>
    </row>
    <row r="383">
      <c r="A383" s="1202"/>
      <c r="B383" s="1203"/>
      <c r="C383" s="1189"/>
      <c r="D383" s="1189"/>
      <c r="E383" s="1189"/>
      <c r="F383" s="1189"/>
      <c r="G383" s="1189"/>
      <c r="H383" s="1189"/>
      <c r="I383" s="1189"/>
      <c r="J383" s="1189"/>
      <c r="K383" s="1189"/>
      <c r="L383" s="1189"/>
      <c r="M383" s="1189"/>
      <c r="N383" s="1189"/>
      <c r="O383" s="1189"/>
      <c r="P383" s="1189"/>
      <c r="Q383" s="1189"/>
      <c r="R383" s="1189"/>
      <c r="S383" s="1189"/>
      <c r="T383" s="1189"/>
      <c r="U383" s="1189"/>
      <c r="V383" s="1189"/>
      <c r="W383" s="1189"/>
      <c r="X383" s="1189"/>
      <c r="Y383" s="1189"/>
      <c r="Z383" s="1189"/>
      <c r="AA383" s="1189"/>
      <c r="AB383" s="1189"/>
      <c r="AC383" s="1189"/>
      <c r="AD383" s="1189"/>
      <c r="AE383" s="1189"/>
      <c r="AF383" s="1189"/>
      <c r="AG383" s="1189"/>
      <c r="AH383" s="1189"/>
      <c r="AI383" s="1189"/>
    </row>
    <row r="384">
      <c r="A384" s="1202"/>
      <c r="B384" s="1203"/>
      <c r="C384" s="1189"/>
      <c r="D384" s="1189"/>
      <c r="E384" s="1189"/>
      <c r="F384" s="1189"/>
      <c r="G384" s="1189"/>
      <c r="H384" s="1189"/>
      <c r="I384" s="1189"/>
      <c r="J384" s="1189"/>
      <c r="K384" s="1189"/>
      <c r="L384" s="1189"/>
      <c r="M384" s="1189"/>
      <c r="N384" s="1189"/>
      <c r="O384" s="1189"/>
      <c r="P384" s="1189"/>
      <c r="Q384" s="1189"/>
      <c r="R384" s="1189"/>
      <c r="S384" s="1189"/>
      <c r="T384" s="1189"/>
      <c r="U384" s="1189"/>
      <c r="V384" s="1189"/>
      <c r="W384" s="1189"/>
      <c r="X384" s="1189"/>
      <c r="Y384" s="1189"/>
      <c r="Z384" s="1189"/>
      <c r="AA384" s="1189"/>
      <c r="AB384" s="1189"/>
      <c r="AC384" s="1189"/>
      <c r="AD384" s="1189"/>
      <c r="AE384" s="1189"/>
      <c r="AF384" s="1189"/>
      <c r="AG384" s="1189"/>
      <c r="AH384" s="1189"/>
      <c r="AI384" s="1189"/>
    </row>
    <row r="385">
      <c r="A385" s="1202"/>
      <c r="B385" s="1203"/>
      <c r="C385" s="1189"/>
      <c r="D385" s="1189"/>
      <c r="E385" s="1189"/>
      <c r="F385" s="1189"/>
      <c r="G385" s="1189"/>
      <c r="H385" s="1189"/>
      <c r="I385" s="1189"/>
      <c r="J385" s="1189"/>
      <c r="K385" s="1189"/>
      <c r="L385" s="1189"/>
      <c r="M385" s="1189"/>
      <c r="N385" s="1189"/>
      <c r="O385" s="1189"/>
      <c r="P385" s="1189"/>
      <c r="Q385" s="1189"/>
      <c r="R385" s="1189"/>
      <c r="S385" s="1189"/>
      <c r="T385" s="1189"/>
      <c r="U385" s="1189"/>
      <c r="V385" s="1189"/>
      <c r="W385" s="1189"/>
      <c r="X385" s="1189"/>
      <c r="Y385" s="1189"/>
      <c r="Z385" s="1189"/>
      <c r="AA385" s="1189"/>
      <c r="AB385" s="1189"/>
      <c r="AC385" s="1189"/>
      <c r="AD385" s="1189"/>
      <c r="AE385" s="1189"/>
      <c r="AF385" s="1189"/>
      <c r="AG385" s="1189"/>
      <c r="AH385" s="1189"/>
      <c r="AI385" s="1189"/>
    </row>
    <row r="386">
      <c r="A386" s="1202"/>
      <c r="B386" s="1203"/>
      <c r="C386" s="1189"/>
      <c r="D386" s="1189"/>
      <c r="E386" s="1189"/>
      <c r="F386" s="1189"/>
      <c r="G386" s="1189"/>
      <c r="H386" s="1189"/>
      <c r="I386" s="1189"/>
      <c r="J386" s="1189"/>
      <c r="K386" s="1189"/>
      <c r="L386" s="1189"/>
      <c r="M386" s="1189"/>
      <c r="N386" s="1189"/>
      <c r="O386" s="1189"/>
      <c r="P386" s="1189"/>
      <c r="Q386" s="1189"/>
      <c r="R386" s="1189"/>
      <c r="S386" s="1189"/>
      <c r="T386" s="1189"/>
      <c r="U386" s="1189"/>
      <c r="V386" s="1189"/>
      <c r="W386" s="1189"/>
      <c r="X386" s="1189"/>
      <c r="Y386" s="1189"/>
      <c r="Z386" s="1189"/>
      <c r="AA386" s="1189"/>
      <c r="AB386" s="1189"/>
      <c r="AC386" s="1189"/>
      <c r="AD386" s="1189"/>
      <c r="AE386" s="1189"/>
      <c r="AF386" s="1189"/>
      <c r="AG386" s="1189"/>
      <c r="AH386" s="1189"/>
      <c r="AI386" s="1189"/>
    </row>
    <row r="387">
      <c r="A387" s="1202"/>
      <c r="B387" s="1203"/>
      <c r="C387" s="1189"/>
      <c r="D387" s="1189"/>
      <c r="E387" s="1189"/>
      <c r="F387" s="1189"/>
      <c r="G387" s="1189"/>
      <c r="H387" s="1189"/>
      <c r="I387" s="1189"/>
      <c r="J387" s="1189"/>
      <c r="K387" s="1189"/>
      <c r="L387" s="1189"/>
      <c r="M387" s="1189"/>
      <c r="N387" s="1189"/>
      <c r="O387" s="1189"/>
      <c r="P387" s="1189"/>
      <c r="Q387" s="1189"/>
      <c r="R387" s="1189"/>
      <c r="S387" s="1189"/>
      <c r="T387" s="1189"/>
      <c r="U387" s="1189"/>
      <c r="V387" s="1189"/>
      <c r="W387" s="1189"/>
      <c r="X387" s="1189"/>
      <c r="Y387" s="1189"/>
      <c r="Z387" s="1189"/>
      <c r="AA387" s="1189"/>
      <c r="AB387" s="1189"/>
      <c r="AC387" s="1189"/>
      <c r="AD387" s="1189"/>
      <c r="AE387" s="1189"/>
      <c r="AF387" s="1189"/>
      <c r="AG387" s="1189"/>
      <c r="AH387" s="1189"/>
      <c r="AI387" s="1189"/>
    </row>
    <row r="388">
      <c r="A388" s="1202"/>
      <c r="B388" s="1203"/>
      <c r="C388" s="1189"/>
      <c r="D388" s="1189"/>
      <c r="E388" s="1189"/>
      <c r="F388" s="1189"/>
      <c r="G388" s="1189"/>
      <c r="H388" s="1189"/>
      <c r="I388" s="1189"/>
      <c r="J388" s="1189"/>
      <c r="K388" s="1189"/>
      <c r="L388" s="1189"/>
      <c r="M388" s="1189"/>
      <c r="N388" s="1189"/>
      <c r="O388" s="1189"/>
      <c r="P388" s="1189"/>
      <c r="Q388" s="1189"/>
      <c r="R388" s="1189"/>
      <c r="S388" s="1189"/>
      <c r="T388" s="1189"/>
      <c r="U388" s="1189"/>
      <c r="V388" s="1189"/>
      <c r="W388" s="1189"/>
      <c r="X388" s="1189"/>
      <c r="Y388" s="1189"/>
      <c r="Z388" s="1189"/>
      <c r="AA388" s="1189"/>
      <c r="AB388" s="1189"/>
      <c r="AC388" s="1189"/>
      <c r="AD388" s="1189"/>
      <c r="AE388" s="1189"/>
      <c r="AF388" s="1189"/>
      <c r="AG388" s="1189"/>
      <c r="AH388" s="1189"/>
      <c r="AI388" s="1189"/>
    </row>
    <row r="389">
      <c r="A389" s="1202"/>
      <c r="B389" s="1203"/>
      <c r="C389" s="1189"/>
      <c r="D389" s="1189"/>
      <c r="E389" s="1189"/>
      <c r="F389" s="1189"/>
      <c r="G389" s="1189"/>
      <c r="H389" s="1189"/>
      <c r="I389" s="1189"/>
      <c r="J389" s="1189"/>
      <c r="K389" s="1189"/>
      <c r="L389" s="1189"/>
      <c r="M389" s="1189"/>
      <c r="N389" s="1189"/>
      <c r="O389" s="1189"/>
      <c r="P389" s="1189"/>
      <c r="Q389" s="1189"/>
      <c r="R389" s="1189"/>
      <c r="S389" s="1189"/>
      <c r="T389" s="1189"/>
      <c r="U389" s="1189"/>
      <c r="V389" s="1189"/>
      <c r="W389" s="1189"/>
      <c r="X389" s="1189"/>
      <c r="Y389" s="1189"/>
      <c r="Z389" s="1189"/>
      <c r="AA389" s="1189"/>
      <c r="AB389" s="1189"/>
      <c r="AC389" s="1189"/>
      <c r="AD389" s="1189"/>
      <c r="AE389" s="1189"/>
      <c r="AF389" s="1189"/>
      <c r="AG389" s="1189"/>
      <c r="AH389" s="1189"/>
      <c r="AI389" s="1189"/>
    </row>
    <row r="390">
      <c r="A390" s="1202"/>
      <c r="B390" s="1203"/>
      <c r="C390" s="1189"/>
      <c r="D390" s="1189"/>
      <c r="E390" s="1189"/>
      <c r="F390" s="1189"/>
      <c r="G390" s="1189"/>
      <c r="H390" s="1189"/>
      <c r="I390" s="1189"/>
      <c r="J390" s="1189"/>
      <c r="K390" s="1189"/>
      <c r="L390" s="1189"/>
      <c r="M390" s="1189"/>
      <c r="N390" s="1189"/>
      <c r="O390" s="1189"/>
      <c r="P390" s="1189"/>
      <c r="Q390" s="1189"/>
      <c r="R390" s="1189"/>
      <c r="S390" s="1189"/>
      <c r="T390" s="1189"/>
      <c r="U390" s="1189"/>
      <c r="V390" s="1189"/>
      <c r="W390" s="1189"/>
      <c r="X390" s="1189"/>
      <c r="Y390" s="1189"/>
      <c r="Z390" s="1189"/>
      <c r="AA390" s="1189"/>
      <c r="AB390" s="1189"/>
      <c r="AC390" s="1189"/>
      <c r="AD390" s="1189"/>
      <c r="AE390" s="1189"/>
      <c r="AF390" s="1189"/>
      <c r="AG390" s="1189"/>
      <c r="AH390" s="1189"/>
      <c r="AI390" s="1189"/>
    </row>
    <row r="391">
      <c r="A391" s="1202"/>
      <c r="B391" s="1203"/>
      <c r="C391" s="1189"/>
      <c r="D391" s="1189"/>
      <c r="E391" s="1189"/>
      <c r="F391" s="1189"/>
      <c r="G391" s="1189"/>
      <c r="H391" s="1189"/>
      <c r="I391" s="1189"/>
      <c r="J391" s="1189"/>
      <c r="K391" s="1189"/>
      <c r="L391" s="1189"/>
      <c r="M391" s="1189"/>
      <c r="N391" s="1189"/>
      <c r="O391" s="1189"/>
      <c r="P391" s="1189"/>
      <c r="Q391" s="1189"/>
      <c r="R391" s="1189"/>
      <c r="S391" s="1189"/>
      <c r="T391" s="1189"/>
      <c r="U391" s="1189"/>
      <c r="V391" s="1189"/>
      <c r="W391" s="1189"/>
      <c r="X391" s="1189"/>
      <c r="Y391" s="1189"/>
      <c r="Z391" s="1189"/>
      <c r="AA391" s="1189"/>
      <c r="AB391" s="1189"/>
      <c r="AC391" s="1189"/>
      <c r="AD391" s="1189"/>
      <c r="AE391" s="1189"/>
      <c r="AF391" s="1189"/>
      <c r="AG391" s="1189"/>
      <c r="AH391" s="1189"/>
      <c r="AI391" s="1189"/>
    </row>
    <row r="392">
      <c r="A392" s="1202"/>
      <c r="B392" s="1203"/>
      <c r="C392" s="1189"/>
      <c r="D392" s="1189"/>
      <c r="E392" s="1189"/>
      <c r="F392" s="1189"/>
      <c r="G392" s="1189"/>
      <c r="H392" s="1189"/>
      <c r="I392" s="1189"/>
      <c r="J392" s="1189"/>
      <c r="K392" s="1189"/>
      <c r="L392" s="1189"/>
      <c r="M392" s="1189"/>
      <c r="N392" s="1189"/>
      <c r="O392" s="1189"/>
      <c r="P392" s="1189"/>
      <c r="Q392" s="1189"/>
      <c r="R392" s="1189"/>
      <c r="S392" s="1189"/>
      <c r="T392" s="1189"/>
      <c r="U392" s="1189"/>
      <c r="V392" s="1189"/>
      <c r="W392" s="1189"/>
      <c r="X392" s="1189"/>
      <c r="Y392" s="1189"/>
      <c r="Z392" s="1189"/>
      <c r="AA392" s="1189"/>
      <c r="AB392" s="1189"/>
      <c r="AC392" s="1189"/>
      <c r="AD392" s="1189"/>
      <c r="AE392" s="1189"/>
      <c r="AF392" s="1189"/>
      <c r="AG392" s="1189"/>
      <c r="AH392" s="1189"/>
      <c r="AI392" s="1189"/>
    </row>
    <row r="393">
      <c r="A393" s="1202"/>
      <c r="B393" s="1203"/>
      <c r="C393" s="1189"/>
      <c r="D393" s="1189"/>
      <c r="E393" s="1189"/>
      <c r="F393" s="1189"/>
      <c r="G393" s="1189"/>
      <c r="H393" s="1189"/>
      <c r="I393" s="1189"/>
      <c r="J393" s="1189"/>
      <c r="K393" s="1189"/>
      <c r="L393" s="1189"/>
      <c r="M393" s="1189"/>
      <c r="N393" s="1189"/>
      <c r="O393" s="1189"/>
      <c r="P393" s="1189"/>
      <c r="Q393" s="1189"/>
      <c r="R393" s="1189"/>
      <c r="S393" s="1189"/>
      <c r="T393" s="1189"/>
      <c r="U393" s="1189"/>
      <c r="V393" s="1189"/>
      <c r="W393" s="1189"/>
      <c r="X393" s="1189"/>
      <c r="Y393" s="1189"/>
      <c r="Z393" s="1189"/>
      <c r="AA393" s="1189"/>
      <c r="AB393" s="1189"/>
      <c r="AC393" s="1189"/>
      <c r="AD393" s="1189"/>
      <c r="AE393" s="1189"/>
      <c r="AF393" s="1189"/>
      <c r="AG393" s="1189"/>
      <c r="AH393" s="1189"/>
      <c r="AI393" s="1189"/>
    </row>
    <row r="394">
      <c r="A394" s="1202"/>
      <c r="B394" s="1203"/>
      <c r="C394" s="1189"/>
      <c r="D394" s="1189"/>
      <c r="E394" s="1189"/>
      <c r="F394" s="1189"/>
      <c r="G394" s="1189"/>
      <c r="H394" s="1189"/>
      <c r="I394" s="1189"/>
      <c r="J394" s="1189"/>
      <c r="K394" s="1189"/>
      <c r="L394" s="1189"/>
      <c r="M394" s="1189"/>
      <c r="N394" s="1189"/>
      <c r="O394" s="1189"/>
      <c r="P394" s="1189"/>
      <c r="Q394" s="1189"/>
      <c r="R394" s="1189"/>
      <c r="S394" s="1189"/>
      <c r="T394" s="1189"/>
      <c r="U394" s="1189"/>
      <c r="V394" s="1189"/>
      <c r="W394" s="1189"/>
      <c r="X394" s="1189"/>
      <c r="Y394" s="1189"/>
      <c r="Z394" s="1189"/>
      <c r="AA394" s="1189"/>
      <c r="AB394" s="1189"/>
      <c r="AC394" s="1189"/>
      <c r="AD394" s="1189"/>
      <c r="AE394" s="1189"/>
      <c r="AF394" s="1189"/>
      <c r="AG394" s="1189"/>
      <c r="AH394" s="1189"/>
      <c r="AI394" s="1189"/>
    </row>
    <row r="395">
      <c r="A395" s="1202"/>
      <c r="B395" s="1203"/>
      <c r="C395" s="1189"/>
      <c r="D395" s="1189"/>
      <c r="E395" s="1189"/>
      <c r="F395" s="1189"/>
      <c r="G395" s="1189"/>
      <c r="H395" s="1189"/>
      <c r="I395" s="1189"/>
      <c r="J395" s="1189"/>
      <c r="K395" s="1189"/>
      <c r="L395" s="1189"/>
      <c r="M395" s="1189"/>
      <c r="N395" s="1189"/>
      <c r="O395" s="1189"/>
      <c r="P395" s="1189"/>
      <c r="Q395" s="1189"/>
      <c r="R395" s="1189"/>
      <c r="S395" s="1189"/>
      <c r="T395" s="1189"/>
      <c r="U395" s="1189"/>
      <c r="V395" s="1189"/>
      <c r="W395" s="1189"/>
      <c r="X395" s="1189"/>
      <c r="Y395" s="1189"/>
      <c r="Z395" s="1189"/>
      <c r="AA395" s="1189"/>
      <c r="AB395" s="1189"/>
      <c r="AC395" s="1189"/>
      <c r="AD395" s="1189"/>
      <c r="AE395" s="1189"/>
      <c r="AF395" s="1189"/>
      <c r="AG395" s="1189"/>
      <c r="AH395" s="1189"/>
      <c r="AI395" s="1189"/>
    </row>
    <row r="396">
      <c r="A396" s="1202"/>
      <c r="B396" s="1203"/>
      <c r="C396" s="1189"/>
      <c r="D396" s="1189"/>
      <c r="E396" s="1189"/>
      <c r="F396" s="1189"/>
      <c r="G396" s="1189"/>
      <c r="H396" s="1189"/>
      <c r="I396" s="1189"/>
      <c r="J396" s="1189"/>
      <c r="K396" s="1189"/>
      <c r="L396" s="1189"/>
      <c r="M396" s="1189"/>
      <c r="N396" s="1189"/>
      <c r="O396" s="1189"/>
      <c r="P396" s="1189"/>
      <c r="Q396" s="1189"/>
      <c r="R396" s="1189"/>
      <c r="S396" s="1189"/>
      <c r="T396" s="1189"/>
      <c r="U396" s="1189"/>
      <c r="V396" s="1189"/>
      <c r="W396" s="1189"/>
      <c r="X396" s="1189"/>
      <c r="Y396" s="1189"/>
      <c r="Z396" s="1189"/>
      <c r="AA396" s="1189"/>
      <c r="AB396" s="1189"/>
      <c r="AC396" s="1189"/>
      <c r="AD396" s="1189"/>
      <c r="AE396" s="1189"/>
      <c r="AF396" s="1189"/>
      <c r="AG396" s="1189"/>
      <c r="AH396" s="1189"/>
      <c r="AI396" s="1189"/>
    </row>
    <row r="397">
      <c r="A397" s="1202"/>
      <c r="B397" s="1203"/>
      <c r="C397" s="1189"/>
      <c r="D397" s="1189"/>
      <c r="E397" s="1189"/>
      <c r="F397" s="1189"/>
      <c r="G397" s="1189"/>
      <c r="H397" s="1189"/>
      <c r="I397" s="1189"/>
      <c r="J397" s="1189"/>
      <c r="K397" s="1189"/>
      <c r="L397" s="1189"/>
      <c r="M397" s="1189"/>
      <c r="N397" s="1189"/>
      <c r="O397" s="1189"/>
      <c r="P397" s="1189"/>
      <c r="Q397" s="1189"/>
      <c r="R397" s="1189"/>
      <c r="S397" s="1189"/>
      <c r="T397" s="1189"/>
      <c r="U397" s="1189"/>
      <c r="V397" s="1189"/>
      <c r="W397" s="1189"/>
      <c r="X397" s="1189"/>
      <c r="Y397" s="1189"/>
      <c r="Z397" s="1189"/>
      <c r="AA397" s="1189"/>
      <c r="AB397" s="1189"/>
      <c r="AC397" s="1189"/>
      <c r="AD397" s="1189"/>
      <c r="AE397" s="1189"/>
      <c r="AF397" s="1189"/>
      <c r="AG397" s="1189"/>
      <c r="AH397" s="1189"/>
      <c r="AI397" s="1189"/>
    </row>
    <row r="398">
      <c r="A398" s="1202"/>
      <c r="B398" s="1203"/>
      <c r="C398" s="1189"/>
      <c r="D398" s="1189"/>
      <c r="E398" s="1189"/>
      <c r="F398" s="1189"/>
      <c r="G398" s="1189"/>
      <c r="H398" s="1189"/>
      <c r="I398" s="1189"/>
      <c r="J398" s="1189"/>
      <c r="K398" s="1189"/>
      <c r="L398" s="1189"/>
      <c r="M398" s="1189"/>
      <c r="N398" s="1189"/>
      <c r="O398" s="1189"/>
      <c r="P398" s="1189"/>
      <c r="Q398" s="1189"/>
      <c r="R398" s="1189"/>
      <c r="S398" s="1189"/>
      <c r="T398" s="1189"/>
      <c r="U398" s="1189"/>
      <c r="V398" s="1189"/>
      <c r="W398" s="1189"/>
      <c r="X398" s="1189"/>
      <c r="Y398" s="1189"/>
      <c r="Z398" s="1189"/>
      <c r="AA398" s="1189"/>
      <c r="AB398" s="1189"/>
      <c r="AC398" s="1189"/>
      <c r="AD398" s="1189"/>
      <c r="AE398" s="1189"/>
      <c r="AF398" s="1189"/>
      <c r="AG398" s="1189"/>
      <c r="AH398" s="1189"/>
      <c r="AI398" s="1189"/>
    </row>
    <row r="399">
      <c r="A399" s="1202"/>
      <c r="B399" s="1203"/>
      <c r="C399" s="1189"/>
      <c r="D399" s="1189"/>
      <c r="E399" s="1189"/>
      <c r="F399" s="1189"/>
      <c r="G399" s="1189"/>
      <c r="H399" s="1189"/>
      <c r="I399" s="1189"/>
      <c r="J399" s="1189"/>
      <c r="K399" s="1189"/>
      <c r="L399" s="1189"/>
      <c r="M399" s="1189"/>
      <c r="N399" s="1189"/>
      <c r="O399" s="1189"/>
      <c r="P399" s="1189"/>
      <c r="Q399" s="1189"/>
      <c r="R399" s="1189"/>
      <c r="S399" s="1189"/>
      <c r="T399" s="1189"/>
      <c r="U399" s="1189"/>
      <c r="V399" s="1189"/>
      <c r="W399" s="1189"/>
      <c r="X399" s="1189"/>
      <c r="Y399" s="1189"/>
      <c r="Z399" s="1189"/>
      <c r="AA399" s="1189"/>
      <c r="AB399" s="1189"/>
      <c r="AC399" s="1189"/>
      <c r="AD399" s="1189"/>
      <c r="AE399" s="1189"/>
      <c r="AF399" s="1189"/>
      <c r="AG399" s="1189"/>
      <c r="AH399" s="1189"/>
      <c r="AI399" s="1189"/>
    </row>
    <row r="400">
      <c r="A400" s="1202"/>
      <c r="B400" s="1203"/>
      <c r="C400" s="1189"/>
      <c r="D400" s="1189"/>
      <c r="E400" s="1189"/>
      <c r="F400" s="1189"/>
      <c r="G400" s="1189"/>
      <c r="H400" s="1189"/>
      <c r="I400" s="1189"/>
      <c r="J400" s="1189"/>
      <c r="K400" s="1189"/>
      <c r="L400" s="1189"/>
      <c r="M400" s="1189"/>
      <c r="N400" s="1189"/>
      <c r="O400" s="1189"/>
      <c r="P400" s="1189"/>
      <c r="Q400" s="1189"/>
      <c r="R400" s="1189"/>
      <c r="S400" s="1189"/>
      <c r="T400" s="1189"/>
      <c r="U400" s="1189"/>
      <c r="V400" s="1189"/>
      <c r="W400" s="1189"/>
      <c r="X400" s="1189"/>
      <c r="Y400" s="1189"/>
      <c r="Z400" s="1189"/>
      <c r="AA400" s="1189"/>
      <c r="AB400" s="1189"/>
      <c r="AC400" s="1189"/>
      <c r="AD400" s="1189"/>
      <c r="AE400" s="1189"/>
      <c r="AF400" s="1189"/>
      <c r="AG400" s="1189"/>
      <c r="AH400" s="1189"/>
      <c r="AI400" s="1189"/>
    </row>
    <row r="401">
      <c r="A401" s="1202"/>
      <c r="B401" s="1203"/>
      <c r="C401" s="1189"/>
      <c r="D401" s="1189"/>
      <c r="E401" s="1189"/>
      <c r="F401" s="1189"/>
      <c r="G401" s="1189"/>
      <c r="H401" s="1189"/>
      <c r="I401" s="1189"/>
      <c r="J401" s="1189"/>
      <c r="K401" s="1189"/>
      <c r="L401" s="1189"/>
      <c r="M401" s="1189"/>
      <c r="N401" s="1189"/>
      <c r="O401" s="1189"/>
      <c r="P401" s="1189"/>
      <c r="Q401" s="1189"/>
      <c r="R401" s="1189"/>
      <c r="S401" s="1189"/>
      <c r="T401" s="1189"/>
      <c r="U401" s="1189"/>
      <c r="V401" s="1189"/>
      <c r="W401" s="1189"/>
      <c r="X401" s="1189"/>
      <c r="Y401" s="1189"/>
      <c r="Z401" s="1189"/>
      <c r="AA401" s="1189"/>
      <c r="AB401" s="1189"/>
      <c r="AC401" s="1189"/>
      <c r="AD401" s="1189"/>
      <c r="AE401" s="1189"/>
      <c r="AF401" s="1189"/>
      <c r="AG401" s="1189"/>
      <c r="AH401" s="1189"/>
      <c r="AI401" s="1189"/>
    </row>
    <row r="402">
      <c r="A402" s="1202"/>
      <c r="B402" s="1203"/>
      <c r="C402" s="1189"/>
      <c r="D402" s="1189"/>
      <c r="E402" s="1189"/>
      <c r="F402" s="1189"/>
      <c r="G402" s="1189"/>
      <c r="H402" s="1189"/>
      <c r="I402" s="1189"/>
      <c r="J402" s="1189"/>
      <c r="K402" s="1189"/>
      <c r="L402" s="1189"/>
      <c r="M402" s="1189"/>
      <c r="N402" s="1189"/>
      <c r="O402" s="1189"/>
      <c r="P402" s="1189"/>
      <c r="Q402" s="1189"/>
      <c r="R402" s="1189"/>
      <c r="S402" s="1189"/>
      <c r="T402" s="1189"/>
      <c r="U402" s="1189"/>
      <c r="V402" s="1189"/>
      <c r="W402" s="1189"/>
      <c r="X402" s="1189"/>
      <c r="Y402" s="1189"/>
      <c r="Z402" s="1189"/>
      <c r="AA402" s="1189"/>
      <c r="AB402" s="1189"/>
      <c r="AC402" s="1189"/>
      <c r="AD402" s="1189"/>
      <c r="AE402" s="1189"/>
      <c r="AF402" s="1189"/>
      <c r="AG402" s="1189"/>
      <c r="AH402" s="1189"/>
      <c r="AI402" s="1189"/>
    </row>
    <row r="403">
      <c r="A403" s="1202"/>
      <c r="B403" s="1203"/>
      <c r="C403" s="1189"/>
      <c r="D403" s="1189"/>
      <c r="E403" s="1189"/>
      <c r="F403" s="1189"/>
      <c r="G403" s="1189"/>
      <c r="H403" s="1189"/>
      <c r="I403" s="1189"/>
      <c r="J403" s="1189"/>
      <c r="K403" s="1189"/>
      <c r="L403" s="1189"/>
      <c r="M403" s="1189"/>
      <c r="N403" s="1189"/>
      <c r="O403" s="1189"/>
      <c r="P403" s="1189"/>
      <c r="Q403" s="1189"/>
      <c r="R403" s="1189"/>
      <c r="S403" s="1189"/>
      <c r="T403" s="1189"/>
      <c r="U403" s="1189"/>
      <c r="V403" s="1189"/>
      <c r="W403" s="1189"/>
      <c r="X403" s="1189"/>
      <c r="Y403" s="1189"/>
      <c r="Z403" s="1189"/>
      <c r="AA403" s="1189"/>
      <c r="AB403" s="1189"/>
      <c r="AC403" s="1189"/>
      <c r="AD403" s="1189"/>
      <c r="AE403" s="1189"/>
      <c r="AF403" s="1189"/>
      <c r="AG403" s="1189"/>
      <c r="AH403" s="1189"/>
      <c r="AI403" s="1189"/>
    </row>
    <row r="404">
      <c r="A404" s="1202"/>
      <c r="B404" s="1203"/>
      <c r="C404" s="1189"/>
      <c r="D404" s="1189"/>
      <c r="E404" s="1189"/>
      <c r="F404" s="1189"/>
      <c r="G404" s="1189"/>
      <c r="H404" s="1189"/>
      <c r="I404" s="1189"/>
      <c r="J404" s="1189"/>
      <c r="K404" s="1189"/>
      <c r="L404" s="1189"/>
      <c r="M404" s="1189"/>
      <c r="N404" s="1189"/>
      <c r="O404" s="1189"/>
      <c r="P404" s="1189"/>
      <c r="Q404" s="1189"/>
      <c r="R404" s="1189"/>
      <c r="S404" s="1189"/>
      <c r="T404" s="1189"/>
      <c r="U404" s="1189"/>
      <c r="V404" s="1189"/>
      <c r="W404" s="1189"/>
      <c r="X404" s="1189"/>
      <c r="Y404" s="1189"/>
      <c r="Z404" s="1189"/>
      <c r="AA404" s="1189"/>
      <c r="AB404" s="1189"/>
      <c r="AC404" s="1189"/>
      <c r="AD404" s="1189"/>
      <c r="AE404" s="1189"/>
      <c r="AF404" s="1189"/>
      <c r="AG404" s="1189"/>
      <c r="AH404" s="1189"/>
      <c r="AI404" s="1189"/>
    </row>
    <row r="405">
      <c r="A405" s="1202"/>
      <c r="B405" s="1203"/>
      <c r="C405" s="1189"/>
      <c r="D405" s="1189"/>
      <c r="E405" s="1189"/>
      <c r="F405" s="1189"/>
      <c r="G405" s="1189"/>
      <c r="H405" s="1189"/>
      <c r="I405" s="1189"/>
      <c r="J405" s="1189"/>
      <c r="K405" s="1189"/>
      <c r="L405" s="1189"/>
      <c r="M405" s="1189"/>
      <c r="N405" s="1189"/>
      <c r="O405" s="1189"/>
      <c r="P405" s="1189"/>
      <c r="Q405" s="1189"/>
      <c r="R405" s="1189"/>
      <c r="S405" s="1189"/>
      <c r="T405" s="1189"/>
      <c r="U405" s="1189"/>
      <c r="V405" s="1189"/>
      <c r="W405" s="1189"/>
      <c r="X405" s="1189"/>
      <c r="Y405" s="1189"/>
      <c r="Z405" s="1189"/>
      <c r="AA405" s="1189"/>
      <c r="AB405" s="1189"/>
      <c r="AC405" s="1189"/>
      <c r="AD405" s="1189"/>
      <c r="AE405" s="1189"/>
      <c r="AF405" s="1189"/>
      <c r="AG405" s="1189"/>
      <c r="AH405" s="1189"/>
      <c r="AI405" s="1189"/>
    </row>
    <row r="406">
      <c r="A406" s="1202"/>
      <c r="B406" s="1203"/>
      <c r="C406" s="1189"/>
      <c r="D406" s="1189"/>
      <c r="E406" s="1189"/>
      <c r="F406" s="1189"/>
      <c r="G406" s="1189"/>
      <c r="H406" s="1189"/>
      <c r="I406" s="1189"/>
      <c r="J406" s="1189"/>
      <c r="K406" s="1189"/>
      <c r="L406" s="1189"/>
      <c r="M406" s="1189"/>
      <c r="N406" s="1189"/>
      <c r="O406" s="1189"/>
      <c r="P406" s="1189"/>
      <c r="Q406" s="1189"/>
      <c r="R406" s="1189"/>
      <c r="S406" s="1189"/>
      <c r="T406" s="1189"/>
      <c r="U406" s="1189"/>
      <c r="V406" s="1189"/>
      <c r="W406" s="1189"/>
      <c r="X406" s="1189"/>
      <c r="Y406" s="1189"/>
      <c r="Z406" s="1189"/>
      <c r="AA406" s="1189"/>
      <c r="AB406" s="1189"/>
      <c r="AC406" s="1189"/>
      <c r="AD406" s="1189"/>
      <c r="AE406" s="1189"/>
      <c r="AF406" s="1189"/>
      <c r="AG406" s="1189"/>
      <c r="AH406" s="1189"/>
      <c r="AI406" s="1189"/>
    </row>
    <row r="407">
      <c r="A407" s="1202"/>
      <c r="B407" s="1203"/>
      <c r="C407" s="1189"/>
      <c r="D407" s="1189"/>
      <c r="E407" s="1189"/>
      <c r="F407" s="1189"/>
      <c r="G407" s="1189"/>
      <c r="H407" s="1189"/>
      <c r="I407" s="1189"/>
      <c r="J407" s="1189"/>
      <c r="K407" s="1189"/>
      <c r="L407" s="1189"/>
      <c r="M407" s="1189"/>
      <c r="N407" s="1189"/>
      <c r="O407" s="1189"/>
      <c r="P407" s="1189"/>
      <c r="Q407" s="1189"/>
      <c r="R407" s="1189"/>
      <c r="S407" s="1189"/>
      <c r="T407" s="1189"/>
      <c r="U407" s="1189"/>
      <c r="V407" s="1189"/>
      <c r="W407" s="1189"/>
      <c r="X407" s="1189"/>
      <c r="Y407" s="1189"/>
      <c r="Z407" s="1189"/>
      <c r="AA407" s="1189"/>
      <c r="AB407" s="1189"/>
      <c r="AC407" s="1189"/>
      <c r="AD407" s="1189"/>
      <c r="AE407" s="1189"/>
      <c r="AF407" s="1189"/>
      <c r="AG407" s="1189"/>
      <c r="AH407" s="1189"/>
      <c r="AI407" s="1189"/>
    </row>
    <row r="408">
      <c r="A408" s="1202"/>
      <c r="B408" s="1203"/>
      <c r="C408" s="1189"/>
      <c r="D408" s="1189"/>
      <c r="E408" s="1189"/>
      <c r="F408" s="1189"/>
      <c r="G408" s="1189"/>
      <c r="H408" s="1189"/>
      <c r="I408" s="1189"/>
      <c r="J408" s="1189"/>
      <c r="K408" s="1189"/>
      <c r="L408" s="1189"/>
      <c r="M408" s="1189"/>
      <c r="N408" s="1189"/>
      <c r="O408" s="1189"/>
      <c r="P408" s="1189"/>
      <c r="Q408" s="1189"/>
      <c r="R408" s="1189"/>
      <c r="S408" s="1189"/>
      <c r="T408" s="1189"/>
      <c r="U408" s="1189"/>
      <c r="V408" s="1189"/>
      <c r="W408" s="1189"/>
      <c r="X408" s="1189"/>
      <c r="Y408" s="1189"/>
      <c r="Z408" s="1189"/>
      <c r="AA408" s="1189"/>
      <c r="AB408" s="1189"/>
      <c r="AC408" s="1189"/>
      <c r="AD408" s="1189"/>
      <c r="AE408" s="1189"/>
      <c r="AF408" s="1189"/>
      <c r="AG408" s="1189"/>
      <c r="AH408" s="1189"/>
      <c r="AI408" s="1189"/>
    </row>
    <row r="409">
      <c r="A409" s="1202"/>
      <c r="B409" s="1203"/>
      <c r="C409" s="1189"/>
      <c r="D409" s="1189"/>
      <c r="E409" s="1189"/>
      <c r="F409" s="1189"/>
      <c r="G409" s="1189"/>
      <c r="H409" s="1189"/>
      <c r="I409" s="1189"/>
      <c r="J409" s="1189"/>
      <c r="K409" s="1189"/>
      <c r="L409" s="1189"/>
      <c r="M409" s="1189"/>
      <c r="N409" s="1189"/>
      <c r="O409" s="1189"/>
      <c r="P409" s="1189"/>
      <c r="Q409" s="1189"/>
      <c r="R409" s="1189"/>
      <c r="S409" s="1189"/>
      <c r="T409" s="1189"/>
      <c r="U409" s="1189"/>
      <c r="V409" s="1189"/>
      <c r="W409" s="1189"/>
      <c r="X409" s="1189"/>
      <c r="Y409" s="1189"/>
      <c r="Z409" s="1189"/>
      <c r="AA409" s="1189"/>
      <c r="AB409" s="1189"/>
      <c r="AC409" s="1189"/>
      <c r="AD409" s="1189"/>
      <c r="AE409" s="1189"/>
      <c r="AF409" s="1189"/>
      <c r="AG409" s="1189"/>
      <c r="AH409" s="1189"/>
      <c r="AI409" s="1189"/>
    </row>
    <row r="410">
      <c r="A410" s="1202"/>
      <c r="B410" s="1203"/>
      <c r="C410" s="1189"/>
      <c r="D410" s="1189"/>
      <c r="E410" s="1189"/>
      <c r="F410" s="1189"/>
      <c r="G410" s="1189"/>
      <c r="H410" s="1189"/>
      <c r="I410" s="1189"/>
      <c r="J410" s="1189"/>
      <c r="K410" s="1189"/>
      <c r="L410" s="1189"/>
      <c r="M410" s="1189"/>
      <c r="N410" s="1189"/>
      <c r="O410" s="1189"/>
      <c r="P410" s="1189"/>
      <c r="Q410" s="1189"/>
      <c r="R410" s="1189"/>
      <c r="S410" s="1189"/>
      <c r="T410" s="1189"/>
      <c r="U410" s="1189"/>
      <c r="V410" s="1189"/>
      <c r="W410" s="1189"/>
      <c r="X410" s="1189"/>
      <c r="Y410" s="1189"/>
      <c r="Z410" s="1189"/>
      <c r="AA410" s="1189"/>
      <c r="AB410" s="1189"/>
      <c r="AC410" s="1189"/>
      <c r="AD410" s="1189"/>
      <c r="AE410" s="1189"/>
      <c r="AF410" s="1189"/>
      <c r="AG410" s="1189"/>
      <c r="AH410" s="1189"/>
      <c r="AI410" s="1189"/>
    </row>
    <row r="411">
      <c r="A411" s="1202"/>
      <c r="B411" s="1203"/>
      <c r="C411" s="1189"/>
      <c r="D411" s="1189"/>
      <c r="E411" s="1189"/>
      <c r="F411" s="1189"/>
      <c r="G411" s="1189"/>
      <c r="H411" s="1189"/>
      <c r="I411" s="1189"/>
      <c r="J411" s="1189"/>
      <c r="K411" s="1189"/>
      <c r="L411" s="1189"/>
      <c r="M411" s="1189"/>
      <c r="N411" s="1189"/>
      <c r="O411" s="1189"/>
      <c r="P411" s="1189"/>
      <c r="Q411" s="1189"/>
      <c r="R411" s="1189"/>
      <c r="S411" s="1189"/>
      <c r="T411" s="1189"/>
      <c r="U411" s="1189"/>
      <c r="V411" s="1189"/>
      <c r="W411" s="1189"/>
      <c r="X411" s="1189"/>
      <c r="Y411" s="1189"/>
      <c r="Z411" s="1189"/>
      <c r="AA411" s="1189"/>
      <c r="AB411" s="1189"/>
      <c r="AC411" s="1189"/>
      <c r="AD411" s="1189"/>
      <c r="AE411" s="1189"/>
      <c r="AF411" s="1189"/>
      <c r="AG411" s="1189"/>
      <c r="AH411" s="1189"/>
      <c r="AI411" s="1189"/>
    </row>
    <row r="412">
      <c r="A412" s="1202"/>
      <c r="B412" s="1203"/>
      <c r="C412" s="1189"/>
      <c r="D412" s="1189"/>
      <c r="E412" s="1189"/>
      <c r="F412" s="1189"/>
      <c r="G412" s="1189"/>
      <c r="H412" s="1189"/>
      <c r="I412" s="1189"/>
      <c r="J412" s="1189"/>
      <c r="K412" s="1189"/>
      <c r="L412" s="1189"/>
      <c r="M412" s="1189"/>
      <c r="N412" s="1189"/>
      <c r="O412" s="1189"/>
      <c r="P412" s="1189"/>
      <c r="Q412" s="1189"/>
      <c r="R412" s="1189"/>
      <c r="S412" s="1189"/>
      <c r="T412" s="1189"/>
      <c r="U412" s="1189"/>
      <c r="V412" s="1189"/>
      <c r="W412" s="1189"/>
      <c r="X412" s="1189"/>
      <c r="Y412" s="1189"/>
      <c r="Z412" s="1189"/>
      <c r="AA412" s="1189"/>
      <c r="AB412" s="1189"/>
      <c r="AC412" s="1189"/>
      <c r="AD412" s="1189"/>
      <c r="AE412" s="1189"/>
      <c r="AF412" s="1189"/>
      <c r="AG412" s="1189"/>
      <c r="AH412" s="1189"/>
      <c r="AI412" s="1189"/>
    </row>
    <row r="413">
      <c r="A413" s="1202"/>
      <c r="B413" s="1203"/>
      <c r="C413" s="1189"/>
      <c r="D413" s="1189"/>
      <c r="E413" s="1189"/>
      <c r="F413" s="1189"/>
      <c r="G413" s="1189"/>
      <c r="H413" s="1189"/>
      <c r="I413" s="1189"/>
      <c r="J413" s="1189"/>
      <c r="K413" s="1189"/>
      <c r="L413" s="1189"/>
      <c r="M413" s="1189"/>
      <c r="N413" s="1189"/>
      <c r="O413" s="1189"/>
      <c r="P413" s="1189"/>
      <c r="Q413" s="1189"/>
      <c r="R413" s="1189"/>
      <c r="S413" s="1189"/>
      <c r="T413" s="1189"/>
      <c r="U413" s="1189"/>
      <c r="V413" s="1189"/>
      <c r="W413" s="1189"/>
      <c r="X413" s="1189"/>
      <c r="Y413" s="1189"/>
      <c r="Z413" s="1189"/>
      <c r="AA413" s="1189"/>
      <c r="AB413" s="1189"/>
      <c r="AC413" s="1189"/>
      <c r="AD413" s="1189"/>
      <c r="AE413" s="1189"/>
      <c r="AF413" s="1189"/>
      <c r="AG413" s="1189"/>
      <c r="AH413" s="1189"/>
      <c r="AI413" s="1189"/>
    </row>
    <row r="414">
      <c r="A414" s="1202"/>
      <c r="B414" s="1203"/>
      <c r="C414" s="1189"/>
      <c r="D414" s="1189"/>
      <c r="E414" s="1189"/>
      <c r="F414" s="1189"/>
      <c r="G414" s="1189"/>
      <c r="H414" s="1189"/>
      <c r="I414" s="1189"/>
      <c r="J414" s="1189"/>
      <c r="K414" s="1189"/>
      <c r="L414" s="1189"/>
      <c r="M414" s="1189"/>
      <c r="N414" s="1189"/>
      <c r="O414" s="1189"/>
      <c r="P414" s="1189"/>
      <c r="Q414" s="1189"/>
      <c r="R414" s="1189"/>
      <c r="S414" s="1189"/>
      <c r="T414" s="1189"/>
      <c r="U414" s="1189"/>
      <c r="V414" s="1189"/>
      <c r="W414" s="1189"/>
      <c r="X414" s="1189"/>
      <c r="Y414" s="1189"/>
      <c r="Z414" s="1189"/>
      <c r="AA414" s="1189"/>
      <c r="AB414" s="1189"/>
      <c r="AC414" s="1189"/>
      <c r="AD414" s="1189"/>
      <c r="AE414" s="1189"/>
      <c r="AF414" s="1189"/>
      <c r="AG414" s="1189"/>
      <c r="AH414" s="1189"/>
      <c r="AI414" s="1189"/>
    </row>
    <row r="415">
      <c r="A415" s="1202"/>
      <c r="B415" s="1203"/>
      <c r="C415" s="1189"/>
      <c r="D415" s="1189"/>
      <c r="E415" s="1189"/>
      <c r="F415" s="1189"/>
      <c r="G415" s="1189"/>
      <c r="H415" s="1189"/>
      <c r="I415" s="1189"/>
      <c r="J415" s="1189"/>
      <c r="K415" s="1189"/>
      <c r="L415" s="1189"/>
      <c r="M415" s="1189"/>
      <c r="N415" s="1189"/>
      <c r="O415" s="1189"/>
      <c r="P415" s="1189"/>
      <c r="Q415" s="1189"/>
      <c r="R415" s="1189"/>
      <c r="S415" s="1189"/>
      <c r="T415" s="1189"/>
      <c r="U415" s="1189"/>
      <c r="V415" s="1189"/>
      <c r="W415" s="1189"/>
      <c r="X415" s="1189"/>
      <c r="Y415" s="1189"/>
      <c r="Z415" s="1189"/>
      <c r="AA415" s="1189"/>
      <c r="AB415" s="1189"/>
      <c r="AC415" s="1189"/>
      <c r="AD415" s="1189"/>
      <c r="AE415" s="1189"/>
      <c r="AF415" s="1189"/>
      <c r="AG415" s="1189"/>
      <c r="AH415" s="1189"/>
      <c r="AI415" s="1189"/>
    </row>
    <row r="416">
      <c r="A416" s="1202"/>
      <c r="B416" s="1203"/>
      <c r="C416" s="1189"/>
      <c r="D416" s="1189"/>
      <c r="E416" s="1189"/>
      <c r="F416" s="1189"/>
      <c r="G416" s="1189"/>
      <c r="H416" s="1189"/>
      <c r="I416" s="1189"/>
      <c r="J416" s="1189"/>
      <c r="K416" s="1189"/>
      <c r="L416" s="1189"/>
      <c r="M416" s="1189"/>
      <c r="N416" s="1189"/>
      <c r="O416" s="1189"/>
      <c r="P416" s="1189"/>
      <c r="Q416" s="1189"/>
      <c r="R416" s="1189"/>
      <c r="S416" s="1189"/>
      <c r="T416" s="1189"/>
      <c r="U416" s="1189"/>
      <c r="V416" s="1189"/>
      <c r="W416" s="1189"/>
      <c r="X416" s="1189"/>
      <c r="Y416" s="1189"/>
      <c r="Z416" s="1189"/>
      <c r="AA416" s="1189"/>
      <c r="AB416" s="1189"/>
      <c r="AC416" s="1189"/>
      <c r="AD416" s="1189"/>
      <c r="AE416" s="1189"/>
      <c r="AF416" s="1189"/>
      <c r="AG416" s="1189"/>
      <c r="AH416" s="1189"/>
      <c r="AI416" s="1189"/>
    </row>
    <row r="417">
      <c r="A417" s="1202"/>
      <c r="B417" s="1203"/>
      <c r="C417" s="1189"/>
      <c r="D417" s="1189"/>
      <c r="E417" s="1189"/>
      <c r="F417" s="1189"/>
      <c r="G417" s="1189"/>
      <c r="H417" s="1189"/>
      <c r="I417" s="1189"/>
      <c r="J417" s="1189"/>
      <c r="K417" s="1189"/>
      <c r="L417" s="1189"/>
      <c r="M417" s="1189"/>
      <c r="N417" s="1189"/>
      <c r="O417" s="1189"/>
      <c r="P417" s="1189"/>
      <c r="Q417" s="1189"/>
      <c r="R417" s="1189"/>
      <c r="S417" s="1189"/>
      <c r="T417" s="1189"/>
      <c r="U417" s="1189"/>
      <c r="V417" s="1189"/>
      <c r="W417" s="1189"/>
      <c r="X417" s="1189"/>
      <c r="Y417" s="1189"/>
      <c r="Z417" s="1189"/>
      <c r="AA417" s="1189"/>
      <c r="AB417" s="1189"/>
      <c r="AC417" s="1189"/>
      <c r="AD417" s="1189"/>
      <c r="AE417" s="1189"/>
      <c r="AF417" s="1189"/>
      <c r="AG417" s="1189"/>
      <c r="AH417" s="1189"/>
      <c r="AI417" s="1189"/>
    </row>
    <row r="418">
      <c r="A418" s="1202"/>
      <c r="B418" s="1203"/>
      <c r="C418" s="1189"/>
      <c r="D418" s="1189"/>
      <c r="E418" s="1189"/>
      <c r="F418" s="1189"/>
      <c r="G418" s="1189"/>
      <c r="H418" s="1189"/>
      <c r="I418" s="1189"/>
      <c r="J418" s="1189"/>
      <c r="K418" s="1189"/>
      <c r="L418" s="1189"/>
      <c r="M418" s="1189"/>
      <c r="N418" s="1189"/>
      <c r="O418" s="1189"/>
      <c r="P418" s="1189"/>
      <c r="Q418" s="1189"/>
      <c r="R418" s="1189"/>
      <c r="S418" s="1189"/>
      <c r="T418" s="1189"/>
      <c r="U418" s="1189"/>
      <c r="V418" s="1189"/>
      <c r="W418" s="1189"/>
      <c r="X418" s="1189"/>
      <c r="Y418" s="1189"/>
      <c r="Z418" s="1189"/>
      <c r="AA418" s="1189"/>
      <c r="AB418" s="1189"/>
      <c r="AC418" s="1189"/>
      <c r="AD418" s="1189"/>
      <c r="AE418" s="1189"/>
      <c r="AF418" s="1189"/>
      <c r="AG418" s="1189"/>
      <c r="AH418" s="1189"/>
      <c r="AI418" s="1189"/>
    </row>
    <row r="419">
      <c r="A419" s="1202"/>
      <c r="B419" s="1203"/>
      <c r="C419" s="1189"/>
      <c r="D419" s="1189"/>
      <c r="E419" s="1189"/>
      <c r="F419" s="1189"/>
      <c r="G419" s="1189"/>
      <c r="H419" s="1189"/>
      <c r="I419" s="1189"/>
      <c r="J419" s="1189"/>
      <c r="K419" s="1189"/>
      <c r="L419" s="1189"/>
      <c r="M419" s="1189"/>
      <c r="N419" s="1189"/>
      <c r="O419" s="1189"/>
      <c r="P419" s="1189"/>
      <c r="Q419" s="1189"/>
      <c r="R419" s="1189"/>
      <c r="S419" s="1189"/>
      <c r="T419" s="1189"/>
      <c r="U419" s="1189"/>
      <c r="V419" s="1189"/>
      <c r="W419" s="1189"/>
      <c r="X419" s="1189"/>
      <c r="Y419" s="1189"/>
      <c r="Z419" s="1189"/>
      <c r="AA419" s="1189"/>
      <c r="AB419" s="1189"/>
      <c r="AC419" s="1189"/>
      <c r="AD419" s="1189"/>
      <c r="AE419" s="1189"/>
      <c r="AF419" s="1189"/>
      <c r="AG419" s="1189"/>
      <c r="AH419" s="1189"/>
      <c r="AI419" s="1189"/>
    </row>
    <row r="420">
      <c r="A420" s="1202"/>
      <c r="B420" s="1203"/>
      <c r="C420" s="1189"/>
      <c r="D420" s="1189"/>
      <c r="E420" s="1189"/>
      <c r="F420" s="1189"/>
      <c r="G420" s="1189"/>
      <c r="H420" s="1189"/>
      <c r="I420" s="1189"/>
      <c r="J420" s="1189"/>
      <c r="K420" s="1189"/>
      <c r="L420" s="1189"/>
      <c r="M420" s="1189"/>
      <c r="N420" s="1189"/>
      <c r="O420" s="1189"/>
      <c r="P420" s="1189"/>
      <c r="Q420" s="1189"/>
      <c r="R420" s="1189"/>
      <c r="S420" s="1189"/>
      <c r="T420" s="1189"/>
      <c r="U420" s="1189"/>
      <c r="V420" s="1189"/>
      <c r="W420" s="1189"/>
      <c r="X420" s="1189"/>
      <c r="Y420" s="1189"/>
      <c r="Z420" s="1189"/>
      <c r="AA420" s="1189"/>
      <c r="AB420" s="1189"/>
      <c r="AC420" s="1189"/>
      <c r="AD420" s="1189"/>
      <c r="AE420" s="1189"/>
      <c r="AF420" s="1189"/>
      <c r="AG420" s="1189"/>
      <c r="AH420" s="1189"/>
      <c r="AI420" s="1189"/>
    </row>
    <row r="421">
      <c r="A421" s="1202"/>
      <c r="B421" s="1203"/>
      <c r="C421" s="1189"/>
      <c r="D421" s="1189"/>
      <c r="E421" s="1189"/>
      <c r="F421" s="1189"/>
      <c r="G421" s="1189"/>
      <c r="H421" s="1189"/>
      <c r="I421" s="1189"/>
      <c r="J421" s="1189"/>
      <c r="K421" s="1189"/>
      <c r="L421" s="1189"/>
      <c r="M421" s="1189"/>
      <c r="N421" s="1189"/>
      <c r="O421" s="1189"/>
      <c r="P421" s="1189"/>
      <c r="Q421" s="1189"/>
      <c r="R421" s="1189"/>
      <c r="S421" s="1189"/>
      <c r="T421" s="1189"/>
      <c r="U421" s="1189"/>
      <c r="V421" s="1189"/>
      <c r="W421" s="1189"/>
      <c r="X421" s="1189"/>
      <c r="Y421" s="1189"/>
      <c r="Z421" s="1189"/>
      <c r="AA421" s="1189"/>
      <c r="AB421" s="1189"/>
      <c r="AC421" s="1189"/>
      <c r="AD421" s="1189"/>
      <c r="AE421" s="1189"/>
      <c r="AF421" s="1189"/>
      <c r="AG421" s="1189"/>
      <c r="AH421" s="1189"/>
      <c r="AI421" s="1189"/>
    </row>
    <row r="422">
      <c r="A422" s="1202"/>
      <c r="B422" s="1203"/>
      <c r="C422" s="1189"/>
      <c r="D422" s="1189"/>
      <c r="E422" s="1189"/>
      <c r="F422" s="1189"/>
      <c r="G422" s="1189"/>
      <c r="H422" s="1189"/>
      <c r="I422" s="1189"/>
      <c r="J422" s="1189"/>
      <c r="K422" s="1189"/>
      <c r="L422" s="1189"/>
      <c r="M422" s="1189"/>
      <c r="N422" s="1189"/>
      <c r="O422" s="1189"/>
      <c r="P422" s="1189"/>
      <c r="Q422" s="1189"/>
      <c r="R422" s="1189"/>
      <c r="S422" s="1189"/>
      <c r="T422" s="1189"/>
      <c r="U422" s="1189"/>
      <c r="V422" s="1189"/>
      <c r="W422" s="1189"/>
      <c r="X422" s="1189"/>
      <c r="Y422" s="1189"/>
      <c r="Z422" s="1189"/>
      <c r="AA422" s="1189"/>
      <c r="AB422" s="1189"/>
      <c r="AC422" s="1189"/>
      <c r="AD422" s="1189"/>
      <c r="AE422" s="1189"/>
      <c r="AF422" s="1189"/>
      <c r="AG422" s="1189"/>
      <c r="AH422" s="1189"/>
      <c r="AI422" s="1189"/>
    </row>
    <row r="423">
      <c r="A423" s="1202"/>
      <c r="B423" s="1203"/>
      <c r="C423" s="1189"/>
      <c r="D423" s="1189"/>
      <c r="E423" s="1189"/>
      <c r="F423" s="1189"/>
      <c r="G423" s="1189"/>
      <c r="H423" s="1189"/>
      <c r="I423" s="1189"/>
      <c r="J423" s="1189"/>
      <c r="K423" s="1189"/>
      <c r="L423" s="1189"/>
      <c r="M423" s="1189"/>
      <c r="N423" s="1189"/>
      <c r="O423" s="1189"/>
      <c r="P423" s="1189"/>
      <c r="Q423" s="1189"/>
      <c r="R423" s="1189"/>
      <c r="S423" s="1189"/>
      <c r="T423" s="1189"/>
      <c r="U423" s="1189"/>
      <c r="V423" s="1189"/>
      <c r="W423" s="1189"/>
      <c r="X423" s="1189"/>
      <c r="Y423" s="1189"/>
      <c r="Z423" s="1189"/>
      <c r="AA423" s="1189"/>
      <c r="AB423" s="1189"/>
      <c r="AC423" s="1189"/>
      <c r="AD423" s="1189"/>
      <c r="AE423" s="1189"/>
      <c r="AF423" s="1189"/>
      <c r="AG423" s="1189"/>
      <c r="AH423" s="1189"/>
      <c r="AI423" s="1189"/>
    </row>
    <row r="424">
      <c r="A424" s="1202"/>
      <c r="B424" s="1203"/>
      <c r="C424" s="1189"/>
      <c r="D424" s="1189"/>
      <c r="E424" s="1189"/>
      <c r="F424" s="1189"/>
      <c r="G424" s="1189"/>
      <c r="H424" s="1189"/>
      <c r="I424" s="1189"/>
      <c r="J424" s="1189"/>
      <c r="K424" s="1189"/>
      <c r="L424" s="1189"/>
      <c r="M424" s="1189"/>
      <c r="N424" s="1189"/>
      <c r="O424" s="1189"/>
      <c r="P424" s="1189"/>
      <c r="Q424" s="1189"/>
      <c r="R424" s="1189"/>
      <c r="S424" s="1189"/>
      <c r="T424" s="1189"/>
      <c r="U424" s="1189"/>
      <c r="V424" s="1189"/>
      <c r="W424" s="1189"/>
      <c r="X424" s="1189"/>
      <c r="Y424" s="1189"/>
      <c r="Z424" s="1189"/>
      <c r="AA424" s="1189"/>
      <c r="AB424" s="1189"/>
      <c r="AC424" s="1189"/>
      <c r="AD424" s="1189"/>
      <c r="AE424" s="1189"/>
      <c r="AF424" s="1189"/>
      <c r="AG424" s="1189"/>
      <c r="AH424" s="1189"/>
      <c r="AI424" s="1189"/>
    </row>
    <row r="425">
      <c r="A425" s="1202"/>
      <c r="B425" s="1203"/>
      <c r="C425" s="1189"/>
      <c r="D425" s="1189"/>
      <c r="E425" s="1189"/>
      <c r="F425" s="1189"/>
      <c r="G425" s="1189"/>
      <c r="H425" s="1189"/>
      <c r="I425" s="1189"/>
      <c r="J425" s="1189"/>
      <c r="K425" s="1189"/>
      <c r="L425" s="1189"/>
      <c r="M425" s="1189"/>
      <c r="N425" s="1189"/>
      <c r="O425" s="1189"/>
      <c r="P425" s="1189"/>
      <c r="Q425" s="1189"/>
      <c r="R425" s="1189"/>
      <c r="S425" s="1189"/>
      <c r="T425" s="1189"/>
      <c r="U425" s="1189"/>
      <c r="V425" s="1189"/>
      <c r="W425" s="1189"/>
      <c r="X425" s="1189"/>
      <c r="Y425" s="1189"/>
      <c r="Z425" s="1189"/>
      <c r="AA425" s="1189"/>
      <c r="AB425" s="1189"/>
      <c r="AC425" s="1189"/>
      <c r="AD425" s="1189"/>
      <c r="AE425" s="1189"/>
      <c r="AF425" s="1189"/>
      <c r="AG425" s="1189"/>
      <c r="AH425" s="1189"/>
      <c r="AI425" s="1189"/>
    </row>
    <row r="426">
      <c r="A426" s="1202"/>
      <c r="B426" s="1203"/>
      <c r="C426" s="1189"/>
      <c r="D426" s="1189"/>
      <c r="E426" s="1189"/>
      <c r="F426" s="1189"/>
      <c r="G426" s="1189"/>
      <c r="H426" s="1189"/>
      <c r="I426" s="1189"/>
      <c r="J426" s="1189"/>
      <c r="K426" s="1189"/>
      <c r="L426" s="1189"/>
      <c r="M426" s="1189"/>
      <c r="N426" s="1189"/>
      <c r="O426" s="1189"/>
      <c r="P426" s="1189"/>
      <c r="Q426" s="1189"/>
      <c r="R426" s="1189"/>
      <c r="S426" s="1189"/>
      <c r="T426" s="1189"/>
      <c r="U426" s="1189"/>
      <c r="V426" s="1189"/>
      <c r="W426" s="1189"/>
      <c r="X426" s="1189"/>
      <c r="Y426" s="1189"/>
      <c r="Z426" s="1189"/>
      <c r="AA426" s="1189"/>
      <c r="AB426" s="1189"/>
      <c r="AC426" s="1189"/>
      <c r="AD426" s="1189"/>
      <c r="AE426" s="1189"/>
      <c r="AF426" s="1189"/>
      <c r="AG426" s="1189"/>
      <c r="AH426" s="1189"/>
      <c r="AI426" s="1189"/>
    </row>
    <row r="427">
      <c r="A427" s="1202"/>
      <c r="B427" s="1203"/>
      <c r="C427" s="1189"/>
      <c r="D427" s="1189"/>
      <c r="E427" s="1189"/>
      <c r="F427" s="1189"/>
      <c r="G427" s="1189"/>
      <c r="H427" s="1189"/>
      <c r="I427" s="1189"/>
      <c r="J427" s="1189"/>
      <c r="K427" s="1189"/>
      <c r="L427" s="1189"/>
      <c r="M427" s="1189"/>
      <c r="N427" s="1189"/>
      <c r="O427" s="1189"/>
      <c r="P427" s="1189"/>
      <c r="Q427" s="1189"/>
      <c r="R427" s="1189"/>
      <c r="S427" s="1189"/>
      <c r="T427" s="1189"/>
      <c r="U427" s="1189"/>
      <c r="V427" s="1189"/>
      <c r="W427" s="1189"/>
      <c r="X427" s="1189"/>
      <c r="Y427" s="1189"/>
      <c r="Z427" s="1189"/>
      <c r="AA427" s="1189"/>
      <c r="AB427" s="1189"/>
      <c r="AC427" s="1189"/>
      <c r="AD427" s="1189"/>
      <c r="AE427" s="1189"/>
      <c r="AF427" s="1189"/>
      <c r="AG427" s="1189"/>
      <c r="AH427" s="1189"/>
      <c r="AI427" s="1189"/>
    </row>
    <row r="428">
      <c r="A428" s="1202"/>
      <c r="B428" s="1203"/>
      <c r="C428" s="1189"/>
      <c r="D428" s="1189"/>
      <c r="E428" s="1189"/>
      <c r="F428" s="1189"/>
      <c r="G428" s="1189"/>
      <c r="H428" s="1189"/>
      <c r="I428" s="1189"/>
      <c r="J428" s="1189"/>
      <c r="K428" s="1189"/>
      <c r="L428" s="1189"/>
      <c r="M428" s="1189"/>
      <c r="N428" s="1189"/>
      <c r="O428" s="1189"/>
      <c r="P428" s="1189"/>
      <c r="Q428" s="1189"/>
      <c r="R428" s="1189"/>
      <c r="S428" s="1189"/>
      <c r="T428" s="1189"/>
      <c r="U428" s="1189"/>
      <c r="V428" s="1189"/>
      <c r="W428" s="1189"/>
      <c r="X428" s="1189"/>
      <c r="Y428" s="1189"/>
      <c r="Z428" s="1189"/>
      <c r="AA428" s="1189"/>
      <c r="AB428" s="1189"/>
      <c r="AC428" s="1189"/>
      <c r="AD428" s="1189"/>
      <c r="AE428" s="1189"/>
      <c r="AF428" s="1189"/>
      <c r="AG428" s="1189"/>
      <c r="AH428" s="1189"/>
      <c r="AI428" s="1189"/>
    </row>
    <row r="429">
      <c r="A429" s="1202"/>
      <c r="B429" s="1203"/>
      <c r="C429" s="1189"/>
      <c r="D429" s="1189"/>
      <c r="E429" s="1189"/>
      <c r="F429" s="1189"/>
      <c r="G429" s="1189"/>
      <c r="H429" s="1189"/>
      <c r="I429" s="1189"/>
      <c r="J429" s="1189"/>
      <c r="K429" s="1189"/>
      <c r="L429" s="1189"/>
      <c r="M429" s="1189"/>
      <c r="N429" s="1189"/>
      <c r="O429" s="1189"/>
      <c r="P429" s="1189"/>
      <c r="Q429" s="1189"/>
      <c r="R429" s="1189"/>
      <c r="S429" s="1189"/>
      <c r="T429" s="1189"/>
      <c r="U429" s="1189"/>
      <c r="V429" s="1189"/>
      <c r="W429" s="1189"/>
      <c r="X429" s="1189"/>
      <c r="Y429" s="1189"/>
      <c r="Z429" s="1189"/>
      <c r="AA429" s="1189"/>
      <c r="AB429" s="1189"/>
      <c r="AC429" s="1189"/>
      <c r="AD429" s="1189"/>
      <c r="AE429" s="1189"/>
      <c r="AF429" s="1189"/>
      <c r="AG429" s="1189"/>
      <c r="AH429" s="1189"/>
      <c r="AI429" s="1189"/>
    </row>
    <row r="430">
      <c r="A430" s="1202"/>
      <c r="B430" s="1203"/>
      <c r="C430" s="1189"/>
      <c r="D430" s="1189"/>
      <c r="E430" s="1189"/>
      <c r="F430" s="1189"/>
      <c r="G430" s="1189"/>
      <c r="H430" s="1189"/>
      <c r="I430" s="1189"/>
      <c r="J430" s="1189"/>
      <c r="K430" s="1189"/>
      <c r="L430" s="1189"/>
      <c r="M430" s="1189"/>
      <c r="N430" s="1189"/>
      <c r="O430" s="1189"/>
      <c r="P430" s="1189"/>
      <c r="Q430" s="1189"/>
      <c r="R430" s="1189"/>
      <c r="S430" s="1189"/>
      <c r="T430" s="1189"/>
      <c r="U430" s="1189"/>
      <c r="V430" s="1189"/>
      <c r="W430" s="1189"/>
      <c r="X430" s="1189"/>
      <c r="Y430" s="1189"/>
      <c r="Z430" s="1189"/>
      <c r="AA430" s="1189"/>
      <c r="AB430" s="1189"/>
      <c r="AC430" s="1189"/>
      <c r="AD430" s="1189"/>
      <c r="AE430" s="1189"/>
      <c r="AF430" s="1189"/>
      <c r="AG430" s="1189"/>
      <c r="AH430" s="1189"/>
      <c r="AI430" s="1189"/>
    </row>
    <row r="431">
      <c r="A431" s="1202"/>
      <c r="B431" s="1203"/>
      <c r="C431" s="1189"/>
      <c r="D431" s="1189"/>
      <c r="E431" s="1189"/>
      <c r="F431" s="1189"/>
      <c r="G431" s="1189"/>
      <c r="H431" s="1189"/>
      <c r="I431" s="1189"/>
      <c r="J431" s="1189"/>
      <c r="K431" s="1189"/>
      <c r="L431" s="1189"/>
      <c r="M431" s="1189"/>
      <c r="N431" s="1189"/>
      <c r="O431" s="1189"/>
      <c r="P431" s="1189"/>
      <c r="Q431" s="1189"/>
      <c r="R431" s="1189"/>
      <c r="S431" s="1189"/>
      <c r="T431" s="1189"/>
      <c r="U431" s="1189"/>
      <c r="V431" s="1189"/>
      <c r="W431" s="1189"/>
      <c r="X431" s="1189"/>
      <c r="Y431" s="1189"/>
      <c r="Z431" s="1189"/>
      <c r="AA431" s="1189"/>
      <c r="AB431" s="1189"/>
      <c r="AC431" s="1189"/>
      <c r="AD431" s="1189"/>
      <c r="AE431" s="1189"/>
      <c r="AF431" s="1189"/>
      <c r="AG431" s="1189"/>
      <c r="AH431" s="1189"/>
      <c r="AI431" s="1189"/>
    </row>
    <row r="432">
      <c r="A432" s="1202"/>
      <c r="B432" s="1203"/>
      <c r="C432" s="1189"/>
      <c r="D432" s="1189"/>
      <c r="E432" s="1189"/>
      <c r="F432" s="1189"/>
      <c r="G432" s="1189"/>
      <c r="H432" s="1189"/>
      <c r="I432" s="1189"/>
      <c r="J432" s="1189"/>
      <c r="K432" s="1189"/>
      <c r="L432" s="1189"/>
      <c r="M432" s="1189"/>
      <c r="N432" s="1189"/>
      <c r="O432" s="1189"/>
      <c r="P432" s="1189"/>
      <c r="Q432" s="1189"/>
      <c r="R432" s="1189"/>
      <c r="S432" s="1189"/>
      <c r="T432" s="1189"/>
      <c r="U432" s="1189"/>
      <c r="V432" s="1189"/>
      <c r="W432" s="1189"/>
      <c r="X432" s="1189"/>
      <c r="Y432" s="1189"/>
      <c r="Z432" s="1189"/>
      <c r="AA432" s="1189"/>
      <c r="AB432" s="1189"/>
      <c r="AC432" s="1189"/>
      <c r="AD432" s="1189"/>
      <c r="AE432" s="1189"/>
      <c r="AF432" s="1189"/>
      <c r="AG432" s="1189"/>
      <c r="AH432" s="1189"/>
      <c r="AI432" s="1189"/>
    </row>
    <row r="433">
      <c r="A433" s="1202"/>
      <c r="B433" s="1203"/>
      <c r="C433" s="1189"/>
      <c r="D433" s="1189"/>
      <c r="E433" s="1189"/>
      <c r="F433" s="1189"/>
      <c r="G433" s="1189"/>
      <c r="H433" s="1189"/>
      <c r="I433" s="1189"/>
      <c r="J433" s="1189"/>
      <c r="K433" s="1189"/>
      <c r="L433" s="1189"/>
      <c r="M433" s="1189"/>
      <c r="N433" s="1189"/>
      <c r="O433" s="1189"/>
      <c r="P433" s="1189"/>
      <c r="Q433" s="1189"/>
      <c r="R433" s="1189"/>
      <c r="S433" s="1189"/>
      <c r="T433" s="1189"/>
      <c r="U433" s="1189"/>
      <c r="V433" s="1189"/>
      <c r="W433" s="1189"/>
      <c r="X433" s="1189"/>
      <c r="Y433" s="1189"/>
      <c r="Z433" s="1189"/>
      <c r="AA433" s="1189"/>
      <c r="AB433" s="1189"/>
      <c r="AC433" s="1189"/>
      <c r="AD433" s="1189"/>
      <c r="AE433" s="1189"/>
      <c r="AF433" s="1189"/>
      <c r="AG433" s="1189"/>
      <c r="AH433" s="1189"/>
      <c r="AI433" s="1189"/>
    </row>
    <row r="434">
      <c r="A434" s="1202"/>
      <c r="B434" s="1203"/>
      <c r="C434" s="1189"/>
      <c r="D434" s="1189"/>
      <c r="E434" s="1189"/>
      <c r="F434" s="1189"/>
      <c r="G434" s="1189"/>
      <c r="H434" s="1189"/>
      <c r="I434" s="1189"/>
      <c r="J434" s="1189"/>
      <c r="K434" s="1189"/>
      <c r="L434" s="1189"/>
      <c r="M434" s="1189"/>
      <c r="N434" s="1189"/>
      <c r="O434" s="1189"/>
      <c r="P434" s="1189"/>
      <c r="Q434" s="1189"/>
      <c r="R434" s="1189"/>
      <c r="S434" s="1189"/>
      <c r="T434" s="1189"/>
      <c r="U434" s="1189"/>
      <c r="V434" s="1189"/>
      <c r="W434" s="1189"/>
      <c r="X434" s="1189"/>
      <c r="Y434" s="1189"/>
      <c r="Z434" s="1189"/>
      <c r="AA434" s="1189"/>
      <c r="AB434" s="1189"/>
      <c r="AC434" s="1189"/>
      <c r="AD434" s="1189"/>
      <c r="AE434" s="1189"/>
      <c r="AF434" s="1189"/>
      <c r="AG434" s="1189"/>
      <c r="AH434" s="1189"/>
      <c r="AI434" s="1189"/>
    </row>
    <row r="435">
      <c r="A435" s="1202"/>
      <c r="B435" s="1203"/>
      <c r="C435" s="1189"/>
      <c r="D435" s="1189"/>
      <c r="E435" s="1189"/>
      <c r="F435" s="1189"/>
      <c r="G435" s="1189"/>
      <c r="H435" s="1189"/>
      <c r="I435" s="1189"/>
      <c r="J435" s="1189"/>
      <c r="K435" s="1189"/>
      <c r="L435" s="1189"/>
      <c r="M435" s="1189"/>
      <c r="N435" s="1189"/>
      <c r="O435" s="1189"/>
      <c r="P435" s="1189"/>
      <c r="Q435" s="1189"/>
      <c r="R435" s="1189"/>
      <c r="S435" s="1189"/>
      <c r="T435" s="1189"/>
      <c r="U435" s="1189"/>
      <c r="V435" s="1189"/>
      <c r="W435" s="1189"/>
      <c r="X435" s="1189"/>
      <c r="Y435" s="1189"/>
      <c r="Z435" s="1189"/>
      <c r="AA435" s="1189"/>
      <c r="AB435" s="1189"/>
      <c r="AC435" s="1189"/>
      <c r="AD435" s="1189"/>
      <c r="AE435" s="1189"/>
      <c r="AF435" s="1189"/>
      <c r="AG435" s="1189"/>
      <c r="AH435" s="1189"/>
      <c r="AI435" s="1189"/>
    </row>
    <row r="436">
      <c r="A436" s="1202"/>
      <c r="B436" s="1203"/>
      <c r="C436" s="1189"/>
      <c r="D436" s="1189"/>
      <c r="E436" s="1189"/>
      <c r="F436" s="1189"/>
      <c r="G436" s="1189"/>
      <c r="H436" s="1189"/>
      <c r="I436" s="1189"/>
      <c r="J436" s="1189"/>
      <c r="K436" s="1189"/>
      <c r="L436" s="1189"/>
      <c r="M436" s="1189"/>
      <c r="N436" s="1189"/>
      <c r="O436" s="1189"/>
      <c r="P436" s="1189"/>
      <c r="Q436" s="1189"/>
      <c r="R436" s="1189"/>
      <c r="S436" s="1189"/>
      <c r="T436" s="1189"/>
      <c r="U436" s="1189"/>
      <c r="V436" s="1189"/>
      <c r="W436" s="1189"/>
      <c r="X436" s="1189"/>
      <c r="Y436" s="1189"/>
      <c r="Z436" s="1189"/>
      <c r="AA436" s="1189"/>
      <c r="AB436" s="1189"/>
      <c r="AC436" s="1189"/>
      <c r="AD436" s="1189"/>
      <c r="AE436" s="1189"/>
      <c r="AF436" s="1189"/>
      <c r="AG436" s="1189"/>
      <c r="AH436" s="1189"/>
      <c r="AI436" s="1189"/>
    </row>
    <row r="437">
      <c r="A437" s="1202"/>
      <c r="B437" s="1203"/>
      <c r="C437" s="1189"/>
      <c r="D437" s="1189"/>
      <c r="E437" s="1189"/>
      <c r="F437" s="1189"/>
      <c r="G437" s="1189"/>
      <c r="H437" s="1189"/>
      <c r="I437" s="1189"/>
      <c r="J437" s="1189"/>
      <c r="K437" s="1189"/>
      <c r="L437" s="1189"/>
      <c r="M437" s="1189"/>
      <c r="N437" s="1189"/>
      <c r="O437" s="1189"/>
      <c r="P437" s="1189"/>
      <c r="Q437" s="1189"/>
      <c r="R437" s="1189"/>
      <c r="S437" s="1189"/>
      <c r="T437" s="1189"/>
      <c r="U437" s="1189"/>
      <c r="V437" s="1189"/>
      <c r="W437" s="1189"/>
      <c r="X437" s="1189"/>
      <c r="Y437" s="1189"/>
      <c r="Z437" s="1189"/>
      <c r="AA437" s="1189"/>
      <c r="AB437" s="1189"/>
      <c r="AC437" s="1189"/>
      <c r="AD437" s="1189"/>
      <c r="AE437" s="1189"/>
      <c r="AF437" s="1189"/>
      <c r="AG437" s="1189"/>
      <c r="AH437" s="1189"/>
      <c r="AI437" s="1189"/>
    </row>
    <row r="438">
      <c r="A438" s="1202"/>
      <c r="B438" s="1203"/>
      <c r="C438" s="1189"/>
      <c r="D438" s="1189"/>
      <c r="E438" s="1189"/>
      <c r="F438" s="1189"/>
      <c r="G438" s="1189"/>
      <c r="H438" s="1189"/>
      <c r="I438" s="1189"/>
      <c r="J438" s="1189"/>
      <c r="K438" s="1189"/>
      <c r="L438" s="1189"/>
      <c r="M438" s="1189"/>
      <c r="N438" s="1189"/>
      <c r="O438" s="1189"/>
      <c r="P438" s="1189"/>
      <c r="Q438" s="1189"/>
      <c r="R438" s="1189"/>
      <c r="S438" s="1189"/>
      <c r="T438" s="1189"/>
      <c r="U438" s="1189"/>
      <c r="V438" s="1189"/>
      <c r="W438" s="1189"/>
      <c r="X438" s="1189"/>
      <c r="Y438" s="1189"/>
      <c r="Z438" s="1189"/>
      <c r="AA438" s="1189"/>
      <c r="AB438" s="1189"/>
      <c r="AC438" s="1189"/>
      <c r="AD438" s="1189"/>
      <c r="AE438" s="1189"/>
      <c r="AF438" s="1189"/>
      <c r="AG438" s="1189"/>
      <c r="AH438" s="1189"/>
      <c r="AI438" s="1189"/>
    </row>
    <row r="439">
      <c r="A439" s="1202"/>
      <c r="B439" s="1203"/>
      <c r="C439" s="1189"/>
      <c r="D439" s="1189"/>
      <c r="E439" s="1189"/>
      <c r="F439" s="1189"/>
      <c r="G439" s="1189"/>
      <c r="H439" s="1189"/>
      <c r="I439" s="1189"/>
      <c r="J439" s="1189"/>
      <c r="K439" s="1189"/>
      <c r="L439" s="1189"/>
      <c r="M439" s="1189"/>
      <c r="N439" s="1189"/>
      <c r="O439" s="1189"/>
      <c r="P439" s="1189"/>
      <c r="Q439" s="1189"/>
      <c r="R439" s="1189"/>
      <c r="S439" s="1189"/>
      <c r="T439" s="1189"/>
      <c r="U439" s="1189"/>
      <c r="V439" s="1189"/>
      <c r="W439" s="1189"/>
      <c r="X439" s="1189"/>
      <c r="Y439" s="1189"/>
      <c r="Z439" s="1189"/>
      <c r="AA439" s="1189"/>
      <c r="AB439" s="1189"/>
      <c r="AC439" s="1189"/>
      <c r="AD439" s="1189"/>
      <c r="AE439" s="1189"/>
      <c r="AF439" s="1189"/>
      <c r="AG439" s="1189"/>
      <c r="AH439" s="1189"/>
      <c r="AI439" s="1189"/>
    </row>
    <row r="440">
      <c r="A440" s="1202"/>
      <c r="B440" s="1203"/>
      <c r="C440" s="1189"/>
      <c r="D440" s="1189"/>
      <c r="E440" s="1189"/>
      <c r="F440" s="1189"/>
      <c r="G440" s="1189"/>
      <c r="H440" s="1189"/>
      <c r="I440" s="1189"/>
      <c r="J440" s="1189"/>
      <c r="K440" s="1189"/>
      <c r="L440" s="1189"/>
      <c r="M440" s="1189"/>
      <c r="N440" s="1189"/>
      <c r="O440" s="1189"/>
      <c r="P440" s="1189"/>
      <c r="Q440" s="1189"/>
      <c r="R440" s="1189"/>
      <c r="S440" s="1189"/>
      <c r="T440" s="1189"/>
      <c r="U440" s="1189"/>
      <c r="V440" s="1189"/>
      <c r="W440" s="1189"/>
      <c r="X440" s="1189"/>
      <c r="Y440" s="1189"/>
      <c r="Z440" s="1189"/>
      <c r="AA440" s="1189"/>
      <c r="AB440" s="1189"/>
      <c r="AC440" s="1189"/>
      <c r="AD440" s="1189"/>
      <c r="AE440" s="1189"/>
      <c r="AF440" s="1189"/>
      <c r="AG440" s="1189"/>
      <c r="AH440" s="1189"/>
      <c r="AI440" s="1189"/>
    </row>
    <row r="441">
      <c r="A441" s="1202"/>
      <c r="B441" s="1203"/>
      <c r="C441" s="1189"/>
      <c r="D441" s="1189"/>
      <c r="E441" s="1189"/>
      <c r="F441" s="1189"/>
      <c r="G441" s="1189"/>
      <c r="H441" s="1189"/>
      <c r="I441" s="1189"/>
      <c r="J441" s="1189"/>
      <c r="K441" s="1189"/>
      <c r="L441" s="1189"/>
      <c r="M441" s="1189"/>
      <c r="N441" s="1189"/>
      <c r="O441" s="1189"/>
      <c r="P441" s="1189"/>
      <c r="Q441" s="1189"/>
      <c r="R441" s="1189"/>
      <c r="S441" s="1189"/>
      <c r="T441" s="1189"/>
      <c r="U441" s="1189"/>
      <c r="V441" s="1189"/>
      <c r="W441" s="1189"/>
      <c r="X441" s="1189"/>
      <c r="Y441" s="1189"/>
      <c r="Z441" s="1189"/>
      <c r="AA441" s="1189"/>
      <c r="AB441" s="1189"/>
      <c r="AC441" s="1189"/>
      <c r="AD441" s="1189"/>
      <c r="AE441" s="1189"/>
      <c r="AF441" s="1189"/>
      <c r="AG441" s="1189"/>
      <c r="AH441" s="1189"/>
      <c r="AI441" s="1189"/>
    </row>
    <row r="442">
      <c r="A442" s="1202"/>
      <c r="B442" s="1203"/>
      <c r="C442" s="1189"/>
      <c r="D442" s="1189"/>
      <c r="E442" s="1189"/>
      <c r="F442" s="1189"/>
      <c r="G442" s="1189"/>
      <c r="H442" s="1189"/>
      <c r="I442" s="1189"/>
      <c r="J442" s="1189"/>
      <c r="K442" s="1189"/>
      <c r="L442" s="1189"/>
      <c r="M442" s="1189"/>
      <c r="N442" s="1189"/>
      <c r="O442" s="1189"/>
      <c r="P442" s="1189"/>
      <c r="Q442" s="1189"/>
      <c r="R442" s="1189"/>
      <c r="S442" s="1189"/>
      <c r="T442" s="1189"/>
      <c r="U442" s="1189"/>
      <c r="V442" s="1189"/>
      <c r="W442" s="1189"/>
      <c r="X442" s="1189"/>
      <c r="Y442" s="1189"/>
      <c r="Z442" s="1189"/>
      <c r="AA442" s="1189"/>
      <c r="AB442" s="1189"/>
      <c r="AC442" s="1189"/>
      <c r="AD442" s="1189"/>
      <c r="AE442" s="1189"/>
      <c r="AF442" s="1189"/>
      <c r="AG442" s="1189"/>
      <c r="AH442" s="1189"/>
      <c r="AI442" s="1189"/>
    </row>
    <row r="443">
      <c r="A443" s="1202"/>
      <c r="B443" s="1203"/>
      <c r="C443" s="1189"/>
      <c r="D443" s="1189"/>
      <c r="E443" s="1189"/>
      <c r="F443" s="1189"/>
      <c r="G443" s="1189"/>
      <c r="H443" s="1189"/>
      <c r="I443" s="1189"/>
      <c r="J443" s="1189"/>
      <c r="K443" s="1189"/>
      <c r="L443" s="1189"/>
      <c r="M443" s="1189"/>
      <c r="N443" s="1189"/>
      <c r="O443" s="1189"/>
      <c r="P443" s="1189"/>
      <c r="Q443" s="1189"/>
      <c r="R443" s="1189"/>
      <c r="S443" s="1189"/>
      <c r="T443" s="1189"/>
      <c r="U443" s="1189"/>
      <c r="V443" s="1189"/>
      <c r="W443" s="1189"/>
      <c r="X443" s="1189"/>
      <c r="Y443" s="1189"/>
      <c r="Z443" s="1189"/>
      <c r="AA443" s="1189"/>
      <c r="AB443" s="1189"/>
      <c r="AC443" s="1189"/>
      <c r="AD443" s="1189"/>
      <c r="AE443" s="1189"/>
      <c r="AF443" s="1189"/>
      <c r="AG443" s="1189"/>
      <c r="AH443" s="1189"/>
      <c r="AI443" s="1189"/>
    </row>
    <row r="444">
      <c r="A444" s="1202"/>
      <c r="B444" s="1203"/>
      <c r="C444" s="1189"/>
      <c r="D444" s="1189"/>
      <c r="E444" s="1189"/>
      <c r="F444" s="1189"/>
      <c r="G444" s="1189"/>
      <c r="H444" s="1189"/>
      <c r="I444" s="1189"/>
      <c r="J444" s="1189"/>
      <c r="K444" s="1189"/>
      <c r="L444" s="1189"/>
      <c r="M444" s="1189"/>
      <c r="N444" s="1189"/>
      <c r="O444" s="1189"/>
      <c r="P444" s="1189"/>
      <c r="Q444" s="1189"/>
      <c r="R444" s="1189"/>
      <c r="S444" s="1189"/>
      <c r="T444" s="1189"/>
      <c r="U444" s="1189"/>
      <c r="V444" s="1189"/>
      <c r="W444" s="1189"/>
      <c r="X444" s="1189"/>
      <c r="Y444" s="1189"/>
      <c r="Z444" s="1189"/>
      <c r="AA444" s="1189"/>
      <c r="AB444" s="1189"/>
      <c r="AC444" s="1189"/>
      <c r="AD444" s="1189"/>
      <c r="AE444" s="1189"/>
      <c r="AF444" s="1189"/>
      <c r="AG444" s="1189"/>
      <c r="AH444" s="1189"/>
      <c r="AI444" s="1189"/>
    </row>
    <row r="445">
      <c r="A445" s="1202"/>
      <c r="B445" s="1203"/>
      <c r="C445" s="1189"/>
      <c r="D445" s="1189"/>
      <c r="E445" s="1189"/>
      <c r="F445" s="1189"/>
      <c r="G445" s="1189"/>
      <c r="H445" s="1189"/>
      <c r="I445" s="1189"/>
      <c r="J445" s="1189"/>
      <c r="K445" s="1189"/>
      <c r="L445" s="1189"/>
      <c r="M445" s="1189"/>
      <c r="N445" s="1189"/>
      <c r="O445" s="1189"/>
      <c r="P445" s="1189"/>
      <c r="Q445" s="1189"/>
      <c r="R445" s="1189"/>
      <c r="S445" s="1189"/>
      <c r="T445" s="1189"/>
      <c r="U445" s="1189"/>
      <c r="V445" s="1189"/>
      <c r="W445" s="1189"/>
      <c r="X445" s="1189"/>
      <c r="Y445" s="1189"/>
      <c r="Z445" s="1189"/>
      <c r="AA445" s="1189"/>
      <c r="AB445" s="1189"/>
      <c r="AC445" s="1189"/>
      <c r="AD445" s="1189"/>
      <c r="AE445" s="1189"/>
      <c r="AF445" s="1189"/>
      <c r="AG445" s="1189"/>
      <c r="AH445" s="1189"/>
      <c r="AI445" s="1189"/>
    </row>
    <row r="446">
      <c r="A446" s="1202"/>
      <c r="B446" s="1203"/>
      <c r="C446" s="1189"/>
      <c r="D446" s="1189"/>
      <c r="E446" s="1189"/>
      <c r="F446" s="1189"/>
      <c r="G446" s="1189"/>
      <c r="H446" s="1189"/>
      <c r="I446" s="1189"/>
      <c r="J446" s="1189"/>
      <c r="K446" s="1189"/>
      <c r="L446" s="1189"/>
      <c r="M446" s="1189"/>
      <c r="N446" s="1189"/>
      <c r="O446" s="1189"/>
      <c r="P446" s="1189"/>
      <c r="Q446" s="1189"/>
      <c r="R446" s="1189"/>
      <c r="S446" s="1189"/>
      <c r="T446" s="1189"/>
      <c r="U446" s="1189"/>
      <c r="V446" s="1189"/>
      <c r="W446" s="1189"/>
      <c r="X446" s="1189"/>
      <c r="Y446" s="1189"/>
      <c r="Z446" s="1189"/>
      <c r="AA446" s="1189"/>
      <c r="AB446" s="1189"/>
      <c r="AC446" s="1189"/>
      <c r="AD446" s="1189"/>
      <c r="AE446" s="1189"/>
      <c r="AF446" s="1189"/>
      <c r="AG446" s="1189"/>
      <c r="AH446" s="1189"/>
      <c r="AI446" s="1189"/>
    </row>
    <row r="447">
      <c r="A447" s="1202"/>
      <c r="B447" s="1203"/>
      <c r="C447" s="1189"/>
      <c r="D447" s="1189"/>
      <c r="E447" s="1189"/>
      <c r="F447" s="1189"/>
      <c r="G447" s="1189"/>
      <c r="H447" s="1189"/>
      <c r="I447" s="1189"/>
      <c r="J447" s="1189"/>
      <c r="K447" s="1189"/>
      <c r="L447" s="1189"/>
      <c r="M447" s="1189"/>
      <c r="N447" s="1189"/>
      <c r="O447" s="1189"/>
      <c r="P447" s="1189"/>
      <c r="Q447" s="1189"/>
      <c r="R447" s="1189"/>
      <c r="S447" s="1189"/>
      <c r="T447" s="1189"/>
      <c r="U447" s="1189"/>
      <c r="V447" s="1189"/>
      <c r="W447" s="1189"/>
      <c r="X447" s="1189"/>
      <c r="Y447" s="1189"/>
      <c r="Z447" s="1189"/>
      <c r="AA447" s="1189"/>
      <c r="AB447" s="1189"/>
      <c r="AC447" s="1189"/>
      <c r="AD447" s="1189"/>
      <c r="AE447" s="1189"/>
      <c r="AF447" s="1189"/>
      <c r="AG447" s="1189"/>
      <c r="AH447" s="1189"/>
      <c r="AI447" s="1189"/>
    </row>
    <row r="448">
      <c r="A448" s="1202"/>
      <c r="B448" s="1203"/>
      <c r="C448" s="1189"/>
      <c r="D448" s="1189"/>
      <c r="E448" s="1189"/>
      <c r="F448" s="1189"/>
      <c r="G448" s="1189"/>
      <c r="H448" s="1189"/>
      <c r="I448" s="1189"/>
      <c r="J448" s="1189"/>
      <c r="K448" s="1189"/>
      <c r="L448" s="1189"/>
      <c r="M448" s="1189"/>
      <c r="N448" s="1189"/>
      <c r="O448" s="1189"/>
      <c r="P448" s="1189"/>
      <c r="Q448" s="1189"/>
      <c r="R448" s="1189"/>
      <c r="S448" s="1189"/>
      <c r="T448" s="1189"/>
      <c r="U448" s="1189"/>
      <c r="V448" s="1189"/>
      <c r="W448" s="1189"/>
      <c r="X448" s="1189"/>
      <c r="Y448" s="1189"/>
      <c r="Z448" s="1189"/>
      <c r="AA448" s="1189"/>
      <c r="AB448" s="1189"/>
      <c r="AC448" s="1189"/>
      <c r="AD448" s="1189"/>
      <c r="AE448" s="1189"/>
      <c r="AF448" s="1189"/>
      <c r="AG448" s="1189"/>
      <c r="AH448" s="1189"/>
      <c r="AI448" s="1189"/>
    </row>
    <row r="449">
      <c r="A449" s="1202"/>
      <c r="B449" s="1203"/>
      <c r="C449" s="1189"/>
      <c r="D449" s="1189"/>
      <c r="E449" s="1189"/>
      <c r="F449" s="1189"/>
      <c r="G449" s="1189"/>
      <c r="H449" s="1189"/>
      <c r="I449" s="1189"/>
      <c r="J449" s="1189"/>
      <c r="K449" s="1189"/>
      <c r="L449" s="1189"/>
      <c r="M449" s="1189"/>
      <c r="N449" s="1189"/>
      <c r="O449" s="1189"/>
      <c r="P449" s="1189"/>
      <c r="Q449" s="1189"/>
      <c r="R449" s="1189"/>
      <c r="S449" s="1189"/>
      <c r="T449" s="1189"/>
      <c r="U449" s="1189"/>
      <c r="V449" s="1189"/>
      <c r="W449" s="1189"/>
      <c r="X449" s="1189"/>
      <c r="Y449" s="1189"/>
      <c r="Z449" s="1189"/>
      <c r="AA449" s="1189"/>
      <c r="AB449" s="1189"/>
      <c r="AC449" s="1189"/>
      <c r="AD449" s="1189"/>
      <c r="AE449" s="1189"/>
      <c r="AF449" s="1189"/>
      <c r="AG449" s="1189"/>
      <c r="AH449" s="1189"/>
      <c r="AI449" s="1189"/>
    </row>
    <row r="450">
      <c r="A450" s="1202"/>
      <c r="B450" s="1203"/>
      <c r="C450" s="1189"/>
      <c r="D450" s="1189"/>
      <c r="E450" s="1189"/>
      <c r="F450" s="1189"/>
      <c r="G450" s="1189"/>
      <c r="H450" s="1189"/>
      <c r="I450" s="1189"/>
      <c r="J450" s="1189"/>
      <c r="K450" s="1189"/>
      <c r="L450" s="1189"/>
      <c r="M450" s="1189"/>
      <c r="N450" s="1189"/>
      <c r="O450" s="1189"/>
      <c r="P450" s="1189"/>
      <c r="Q450" s="1189"/>
      <c r="R450" s="1189"/>
      <c r="S450" s="1189"/>
      <c r="T450" s="1189"/>
      <c r="U450" s="1189"/>
      <c r="V450" s="1189"/>
      <c r="W450" s="1189"/>
      <c r="X450" s="1189"/>
      <c r="Y450" s="1189"/>
      <c r="Z450" s="1189"/>
      <c r="AA450" s="1189"/>
      <c r="AB450" s="1189"/>
      <c r="AC450" s="1189"/>
      <c r="AD450" s="1189"/>
      <c r="AE450" s="1189"/>
      <c r="AF450" s="1189"/>
      <c r="AG450" s="1189"/>
      <c r="AH450" s="1189"/>
      <c r="AI450" s="1189"/>
    </row>
    <row r="451">
      <c r="A451" s="1202"/>
      <c r="B451" s="1203"/>
      <c r="C451" s="1189"/>
      <c r="D451" s="1189"/>
      <c r="E451" s="1189"/>
      <c r="F451" s="1189"/>
      <c r="G451" s="1189"/>
      <c r="H451" s="1189"/>
      <c r="I451" s="1189"/>
      <c r="J451" s="1189"/>
      <c r="K451" s="1189"/>
      <c r="L451" s="1189"/>
      <c r="M451" s="1189"/>
      <c r="N451" s="1189"/>
      <c r="O451" s="1189"/>
      <c r="P451" s="1189"/>
      <c r="Q451" s="1189"/>
      <c r="R451" s="1189"/>
      <c r="S451" s="1189"/>
      <c r="T451" s="1189"/>
      <c r="U451" s="1189"/>
      <c r="V451" s="1189"/>
      <c r="W451" s="1189"/>
      <c r="X451" s="1189"/>
      <c r="Y451" s="1189"/>
      <c r="Z451" s="1189"/>
      <c r="AA451" s="1189"/>
      <c r="AB451" s="1189"/>
      <c r="AC451" s="1189"/>
      <c r="AD451" s="1189"/>
      <c r="AE451" s="1189"/>
      <c r="AF451" s="1189"/>
      <c r="AG451" s="1189"/>
      <c r="AH451" s="1189"/>
      <c r="AI451" s="1189"/>
    </row>
    <row r="452">
      <c r="A452" s="1202"/>
      <c r="B452" s="1203"/>
      <c r="C452" s="1189"/>
      <c r="D452" s="1189"/>
      <c r="E452" s="1189"/>
      <c r="F452" s="1189"/>
      <c r="G452" s="1189"/>
      <c r="H452" s="1189"/>
      <c r="I452" s="1189"/>
      <c r="J452" s="1189"/>
      <c r="K452" s="1189"/>
      <c r="L452" s="1189"/>
      <c r="M452" s="1189"/>
      <c r="N452" s="1189"/>
      <c r="O452" s="1189"/>
      <c r="P452" s="1189"/>
      <c r="Q452" s="1189"/>
      <c r="R452" s="1189"/>
      <c r="S452" s="1189"/>
      <c r="T452" s="1189"/>
      <c r="U452" s="1189"/>
      <c r="V452" s="1189"/>
      <c r="W452" s="1189"/>
      <c r="X452" s="1189"/>
      <c r="Y452" s="1189"/>
      <c r="Z452" s="1189"/>
      <c r="AA452" s="1189"/>
      <c r="AB452" s="1189"/>
      <c r="AC452" s="1189"/>
      <c r="AD452" s="1189"/>
      <c r="AE452" s="1189"/>
      <c r="AF452" s="1189"/>
      <c r="AG452" s="1189"/>
      <c r="AH452" s="1189"/>
      <c r="AI452" s="1189"/>
    </row>
    <row r="453">
      <c r="A453" s="1202"/>
      <c r="B453" s="1203"/>
      <c r="C453" s="1189"/>
      <c r="D453" s="1189"/>
      <c r="E453" s="1189"/>
      <c r="F453" s="1189"/>
      <c r="G453" s="1189"/>
      <c r="H453" s="1189"/>
      <c r="I453" s="1189"/>
      <c r="J453" s="1189"/>
      <c r="K453" s="1189"/>
      <c r="L453" s="1189"/>
      <c r="M453" s="1189"/>
      <c r="N453" s="1189"/>
      <c r="O453" s="1189"/>
      <c r="P453" s="1189"/>
      <c r="Q453" s="1189"/>
      <c r="R453" s="1189"/>
      <c r="S453" s="1189"/>
      <c r="T453" s="1189"/>
      <c r="U453" s="1189"/>
      <c r="V453" s="1189"/>
      <c r="W453" s="1189"/>
      <c r="X453" s="1189"/>
      <c r="Y453" s="1189"/>
      <c r="Z453" s="1189"/>
      <c r="AA453" s="1189"/>
      <c r="AB453" s="1189"/>
      <c r="AC453" s="1189"/>
      <c r="AD453" s="1189"/>
      <c r="AE453" s="1189"/>
      <c r="AF453" s="1189"/>
      <c r="AG453" s="1189"/>
      <c r="AH453" s="1189"/>
      <c r="AI453" s="1189"/>
    </row>
    <row r="454">
      <c r="A454" s="1202"/>
      <c r="B454" s="1203"/>
      <c r="C454" s="1189"/>
      <c r="D454" s="1189"/>
      <c r="E454" s="1189"/>
      <c r="F454" s="1189"/>
      <c r="G454" s="1189"/>
      <c r="H454" s="1189"/>
      <c r="I454" s="1189"/>
      <c r="J454" s="1189"/>
      <c r="K454" s="1189"/>
      <c r="L454" s="1189"/>
      <c r="M454" s="1189"/>
      <c r="N454" s="1189"/>
      <c r="O454" s="1189"/>
      <c r="P454" s="1189"/>
      <c r="Q454" s="1189"/>
      <c r="R454" s="1189"/>
      <c r="S454" s="1189"/>
      <c r="T454" s="1189"/>
      <c r="U454" s="1189"/>
      <c r="V454" s="1189"/>
      <c r="W454" s="1189"/>
      <c r="X454" s="1189"/>
      <c r="Y454" s="1189"/>
      <c r="Z454" s="1189"/>
      <c r="AA454" s="1189"/>
      <c r="AB454" s="1189"/>
      <c r="AC454" s="1189"/>
      <c r="AD454" s="1189"/>
      <c r="AE454" s="1189"/>
      <c r="AF454" s="1189"/>
      <c r="AG454" s="1189"/>
      <c r="AH454" s="1189"/>
      <c r="AI454" s="1189"/>
    </row>
    <row r="455">
      <c r="A455" s="1202"/>
      <c r="B455" s="1203"/>
      <c r="C455" s="1189"/>
      <c r="D455" s="1189"/>
      <c r="E455" s="1189"/>
      <c r="F455" s="1189"/>
      <c r="G455" s="1189"/>
      <c r="H455" s="1189"/>
      <c r="I455" s="1189"/>
      <c r="J455" s="1189"/>
      <c r="K455" s="1189"/>
      <c r="L455" s="1189"/>
      <c r="M455" s="1189"/>
      <c r="N455" s="1189"/>
      <c r="O455" s="1189"/>
      <c r="P455" s="1189"/>
      <c r="Q455" s="1189"/>
      <c r="R455" s="1189"/>
      <c r="S455" s="1189"/>
      <c r="T455" s="1189"/>
      <c r="U455" s="1189"/>
      <c r="V455" s="1189"/>
      <c r="W455" s="1189"/>
      <c r="X455" s="1189"/>
      <c r="Y455" s="1189"/>
      <c r="Z455" s="1189"/>
      <c r="AA455" s="1189"/>
      <c r="AB455" s="1189"/>
      <c r="AC455" s="1189"/>
      <c r="AD455" s="1189"/>
      <c r="AE455" s="1189"/>
      <c r="AF455" s="1189"/>
      <c r="AG455" s="1189"/>
      <c r="AH455" s="1189"/>
      <c r="AI455" s="1189"/>
    </row>
    <row r="456">
      <c r="A456" s="1202"/>
      <c r="B456" s="1203"/>
      <c r="C456" s="1189"/>
      <c r="D456" s="1189"/>
      <c r="E456" s="1189"/>
      <c r="F456" s="1189"/>
      <c r="G456" s="1189"/>
      <c r="H456" s="1189"/>
      <c r="I456" s="1189"/>
      <c r="J456" s="1189"/>
      <c r="K456" s="1189"/>
      <c r="L456" s="1189"/>
      <c r="M456" s="1189"/>
      <c r="N456" s="1189"/>
      <c r="O456" s="1189"/>
      <c r="P456" s="1189"/>
      <c r="Q456" s="1189"/>
      <c r="R456" s="1189"/>
      <c r="S456" s="1189"/>
      <c r="T456" s="1189"/>
      <c r="U456" s="1189"/>
      <c r="V456" s="1189"/>
      <c r="W456" s="1189"/>
      <c r="X456" s="1189"/>
      <c r="Y456" s="1189"/>
      <c r="Z456" s="1189"/>
      <c r="AA456" s="1189"/>
      <c r="AB456" s="1189"/>
      <c r="AC456" s="1189"/>
      <c r="AD456" s="1189"/>
      <c r="AE456" s="1189"/>
      <c r="AF456" s="1189"/>
      <c r="AG456" s="1189"/>
      <c r="AH456" s="1189"/>
      <c r="AI456" s="1189"/>
    </row>
    <row r="457">
      <c r="A457" s="1202"/>
      <c r="B457" s="1203"/>
      <c r="C457" s="1189"/>
      <c r="D457" s="1189"/>
      <c r="E457" s="1189"/>
      <c r="F457" s="1189"/>
      <c r="G457" s="1189"/>
      <c r="H457" s="1189"/>
      <c r="I457" s="1189"/>
      <c r="J457" s="1189"/>
      <c r="K457" s="1189"/>
      <c r="L457" s="1189"/>
      <c r="M457" s="1189"/>
      <c r="N457" s="1189"/>
      <c r="O457" s="1189"/>
      <c r="P457" s="1189"/>
      <c r="Q457" s="1189"/>
      <c r="R457" s="1189"/>
      <c r="S457" s="1189"/>
      <c r="T457" s="1189"/>
      <c r="U457" s="1189"/>
      <c r="V457" s="1189"/>
      <c r="W457" s="1189"/>
      <c r="X457" s="1189"/>
      <c r="Y457" s="1189"/>
      <c r="Z457" s="1189"/>
      <c r="AA457" s="1189"/>
      <c r="AB457" s="1189"/>
      <c r="AC457" s="1189"/>
      <c r="AD457" s="1189"/>
      <c r="AE457" s="1189"/>
      <c r="AF457" s="1189"/>
      <c r="AG457" s="1189"/>
      <c r="AH457" s="1189"/>
      <c r="AI457" s="1189"/>
    </row>
    <row r="458">
      <c r="A458" s="1202"/>
      <c r="B458" s="1203"/>
      <c r="C458" s="1189"/>
      <c r="D458" s="1189"/>
      <c r="E458" s="1189"/>
      <c r="F458" s="1189"/>
      <c r="G458" s="1189"/>
      <c r="H458" s="1189"/>
      <c r="I458" s="1189"/>
      <c r="J458" s="1189"/>
      <c r="K458" s="1189"/>
      <c r="L458" s="1189"/>
      <c r="M458" s="1189"/>
      <c r="N458" s="1189"/>
      <c r="O458" s="1189"/>
      <c r="P458" s="1189"/>
      <c r="Q458" s="1189"/>
      <c r="R458" s="1189"/>
      <c r="S458" s="1189"/>
      <c r="T458" s="1189"/>
      <c r="U458" s="1189"/>
      <c r="V458" s="1189"/>
      <c r="W458" s="1189"/>
      <c r="X458" s="1189"/>
      <c r="Y458" s="1189"/>
      <c r="Z458" s="1189"/>
      <c r="AA458" s="1189"/>
      <c r="AB458" s="1189"/>
      <c r="AC458" s="1189"/>
      <c r="AD458" s="1189"/>
      <c r="AE458" s="1189"/>
      <c r="AF458" s="1189"/>
      <c r="AG458" s="1189"/>
      <c r="AH458" s="1189"/>
      <c r="AI458" s="1189"/>
    </row>
    <row r="459">
      <c r="A459" s="1202"/>
      <c r="B459" s="1203"/>
      <c r="C459" s="1189"/>
      <c r="D459" s="1189"/>
      <c r="E459" s="1189"/>
      <c r="F459" s="1189"/>
      <c r="G459" s="1189"/>
      <c r="H459" s="1189"/>
      <c r="I459" s="1189"/>
      <c r="J459" s="1189"/>
      <c r="K459" s="1189"/>
      <c r="L459" s="1189"/>
      <c r="M459" s="1189"/>
      <c r="N459" s="1189"/>
      <c r="O459" s="1189"/>
      <c r="P459" s="1189"/>
      <c r="Q459" s="1189"/>
      <c r="R459" s="1189"/>
      <c r="S459" s="1189"/>
      <c r="T459" s="1189"/>
      <c r="U459" s="1189"/>
      <c r="V459" s="1189"/>
      <c r="W459" s="1189"/>
      <c r="X459" s="1189"/>
      <c r="Y459" s="1189"/>
      <c r="Z459" s="1189"/>
      <c r="AA459" s="1189"/>
      <c r="AB459" s="1189"/>
      <c r="AC459" s="1189"/>
      <c r="AD459" s="1189"/>
      <c r="AE459" s="1189"/>
      <c r="AF459" s="1189"/>
      <c r="AG459" s="1189"/>
      <c r="AH459" s="1189"/>
      <c r="AI459" s="1189"/>
    </row>
    <row r="460">
      <c r="A460" s="1202"/>
      <c r="B460" s="1203"/>
      <c r="C460" s="1189"/>
      <c r="D460" s="1189"/>
      <c r="E460" s="1189"/>
      <c r="F460" s="1189"/>
      <c r="G460" s="1189"/>
      <c r="H460" s="1189"/>
      <c r="I460" s="1189"/>
      <c r="J460" s="1189"/>
      <c r="K460" s="1189"/>
      <c r="L460" s="1189"/>
      <c r="M460" s="1189"/>
      <c r="N460" s="1189"/>
      <c r="O460" s="1189"/>
      <c r="P460" s="1189"/>
      <c r="Q460" s="1189"/>
      <c r="R460" s="1189"/>
      <c r="S460" s="1189"/>
      <c r="T460" s="1189"/>
      <c r="U460" s="1189"/>
      <c r="V460" s="1189"/>
      <c r="W460" s="1189"/>
      <c r="X460" s="1189"/>
      <c r="Y460" s="1189"/>
      <c r="Z460" s="1189"/>
      <c r="AA460" s="1189"/>
      <c r="AB460" s="1189"/>
      <c r="AC460" s="1189"/>
      <c r="AD460" s="1189"/>
      <c r="AE460" s="1189"/>
      <c r="AF460" s="1189"/>
      <c r="AG460" s="1189"/>
      <c r="AH460" s="1189"/>
      <c r="AI460" s="1189"/>
    </row>
    <row r="461">
      <c r="A461" s="1202"/>
      <c r="B461" s="1203"/>
      <c r="C461" s="1189"/>
      <c r="D461" s="1189"/>
      <c r="E461" s="1189"/>
      <c r="F461" s="1189"/>
      <c r="G461" s="1189"/>
      <c r="H461" s="1189"/>
      <c r="I461" s="1189"/>
      <c r="J461" s="1189"/>
      <c r="K461" s="1189"/>
      <c r="L461" s="1189"/>
      <c r="M461" s="1189"/>
      <c r="N461" s="1189"/>
      <c r="O461" s="1189"/>
      <c r="P461" s="1189"/>
      <c r="Q461" s="1189"/>
      <c r="R461" s="1189"/>
      <c r="S461" s="1189"/>
      <c r="T461" s="1189"/>
      <c r="U461" s="1189"/>
      <c r="V461" s="1189"/>
      <c r="W461" s="1189"/>
      <c r="X461" s="1189"/>
      <c r="Y461" s="1189"/>
      <c r="Z461" s="1189"/>
      <c r="AA461" s="1189"/>
      <c r="AB461" s="1189"/>
      <c r="AC461" s="1189"/>
      <c r="AD461" s="1189"/>
      <c r="AE461" s="1189"/>
      <c r="AF461" s="1189"/>
      <c r="AG461" s="1189"/>
      <c r="AH461" s="1189"/>
      <c r="AI461" s="1189"/>
    </row>
    <row r="462">
      <c r="A462" s="1202"/>
      <c r="B462" s="1203"/>
      <c r="C462" s="1189"/>
      <c r="D462" s="1189"/>
      <c r="E462" s="1189"/>
      <c r="F462" s="1189"/>
      <c r="G462" s="1189"/>
      <c r="H462" s="1189"/>
      <c r="I462" s="1189"/>
      <c r="J462" s="1189"/>
      <c r="K462" s="1189"/>
      <c r="L462" s="1189"/>
      <c r="M462" s="1189"/>
      <c r="N462" s="1189"/>
      <c r="O462" s="1189"/>
      <c r="P462" s="1189"/>
      <c r="Q462" s="1189"/>
      <c r="R462" s="1189"/>
      <c r="S462" s="1189"/>
      <c r="T462" s="1189"/>
      <c r="U462" s="1189"/>
      <c r="V462" s="1189"/>
      <c r="W462" s="1189"/>
      <c r="X462" s="1189"/>
      <c r="Y462" s="1189"/>
      <c r="Z462" s="1189"/>
      <c r="AA462" s="1189"/>
      <c r="AB462" s="1189"/>
      <c r="AC462" s="1189"/>
      <c r="AD462" s="1189"/>
      <c r="AE462" s="1189"/>
      <c r="AF462" s="1189"/>
      <c r="AG462" s="1189"/>
      <c r="AH462" s="1189"/>
      <c r="AI462" s="1189"/>
    </row>
    <row r="463">
      <c r="A463" s="1202"/>
      <c r="B463" s="1203"/>
      <c r="C463" s="1189"/>
      <c r="D463" s="1189"/>
      <c r="E463" s="1189"/>
      <c r="F463" s="1189"/>
      <c r="G463" s="1189"/>
      <c r="H463" s="1189"/>
      <c r="I463" s="1189"/>
      <c r="J463" s="1189"/>
      <c r="K463" s="1189"/>
      <c r="L463" s="1189"/>
      <c r="M463" s="1189"/>
      <c r="N463" s="1189"/>
      <c r="O463" s="1189"/>
      <c r="P463" s="1189"/>
      <c r="Q463" s="1189"/>
      <c r="R463" s="1189"/>
      <c r="S463" s="1189"/>
      <c r="T463" s="1189"/>
      <c r="U463" s="1189"/>
      <c r="V463" s="1189"/>
      <c r="W463" s="1189"/>
      <c r="X463" s="1189"/>
      <c r="Y463" s="1189"/>
      <c r="Z463" s="1189"/>
      <c r="AA463" s="1189"/>
      <c r="AB463" s="1189"/>
      <c r="AC463" s="1189"/>
      <c r="AD463" s="1189"/>
      <c r="AE463" s="1189"/>
      <c r="AF463" s="1189"/>
      <c r="AG463" s="1189"/>
      <c r="AH463" s="1189"/>
      <c r="AI463" s="1189"/>
    </row>
    <row r="464">
      <c r="A464" s="1202"/>
      <c r="B464" s="1203"/>
      <c r="C464" s="1189"/>
      <c r="D464" s="1189"/>
      <c r="E464" s="1189"/>
      <c r="F464" s="1189"/>
      <c r="G464" s="1189"/>
      <c r="H464" s="1189"/>
      <c r="I464" s="1189"/>
      <c r="J464" s="1189"/>
      <c r="K464" s="1189"/>
      <c r="L464" s="1189"/>
      <c r="M464" s="1189"/>
      <c r="N464" s="1189"/>
      <c r="O464" s="1189"/>
      <c r="P464" s="1189"/>
      <c r="Q464" s="1189"/>
      <c r="R464" s="1189"/>
      <c r="S464" s="1189"/>
      <c r="T464" s="1189"/>
      <c r="U464" s="1189"/>
      <c r="V464" s="1189"/>
      <c r="W464" s="1189"/>
      <c r="X464" s="1189"/>
      <c r="Y464" s="1189"/>
      <c r="Z464" s="1189"/>
      <c r="AA464" s="1189"/>
      <c r="AB464" s="1189"/>
      <c r="AC464" s="1189"/>
      <c r="AD464" s="1189"/>
      <c r="AE464" s="1189"/>
      <c r="AF464" s="1189"/>
      <c r="AG464" s="1189"/>
      <c r="AH464" s="1189"/>
      <c r="AI464" s="1189"/>
    </row>
    <row r="465">
      <c r="A465" s="1202"/>
      <c r="B465" s="1203"/>
      <c r="C465" s="1189"/>
      <c r="D465" s="1189"/>
      <c r="E465" s="1189"/>
      <c r="F465" s="1189"/>
      <c r="G465" s="1189"/>
      <c r="H465" s="1189"/>
      <c r="I465" s="1189"/>
      <c r="J465" s="1189"/>
      <c r="K465" s="1189"/>
      <c r="L465" s="1189"/>
      <c r="M465" s="1189"/>
      <c r="N465" s="1189"/>
      <c r="O465" s="1189"/>
      <c r="P465" s="1189"/>
      <c r="Q465" s="1189"/>
      <c r="R465" s="1189"/>
      <c r="S465" s="1189"/>
      <c r="T465" s="1189"/>
      <c r="U465" s="1189"/>
      <c r="V465" s="1189"/>
      <c r="W465" s="1189"/>
      <c r="X465" s="1189"/>
      <c r="Y465" s="1189"/>
      <c r="Z465" s="1189"/>
      <c r="AA465" s="1189"/>
      <c r="AB465" s="1189"/>
      <c r="AC465" s="1189"/>
      <c r="AD465" s="1189"/>
      <c r="AE465" s="1189"/>
      <c r="AF465" s="1189"/>
      <c r="AG465" s="1189"/>
      <c r="AH465" s="1189"/>
      <c r="AI465" s="1189"/>
    </row>
    <row r="466">
      <c r="A466" s="1202"/>
      <c r="B466" s="1203"/>
      <c r="C466" s="1189"/>
      <c r="D466" s="1189"/>
      <c r="E466" s="1189"/>
      <c r="F466" s="1189"/>
      <c r="G466" s="1189"/>
      <c r="H466" s="1189"/>
      <c r="I466" s="1189"/>
      <c r="J466" s="1189"/>
      <c r="K466" s="1189"/>
      <c r="L466" s="1189"/>
      <c r="M466" s="1189"/>
      <c r="N466" s="1189"/>
      <c r="O466" s="1189"/>
      <c r="P466" s="1189"/>
      <c r="Q466" s="1189"/>
      <c r="R466" s="1189"/>
      <c r="S466" s="1189"/>
      <c r="T466" s="1189"/>
      <c r="U466" s="1189"/>
      <c r="V466" s="1189"/>
      <c r="W466" s="1189"/>
      <c r="X466" s="1189"/>
      <c r="Y466" s="1189"/>
      <c r="Z466" s="1189"/>
      <c r="AA466" s="1189"/>
      <c r="AB466" s="1189"/>
      <c r="AC466" s="1189"/>
      <c r="AD466" s="1189"/>
      <c r="AE466" s="1189"/>
      <c r="AF466" s="1189"/>
      <c r="AG466" s="1189"/>
      <c r="AH466" s="1189"/>
      <c r="AI466" s="1189"/>
    </row>
    <row r="467">
      <c r="A467" s="1202"/>
      <c r="B467" s="1203"/>
      <c r="C467" s="1189"/>
      <c r="D467" s="1189"/>
      <c r="E467" s="1189"/>
      <c r="F467" s="1189"/>
      <c r="G467" s="1189"/>
      <c r="H467" s="1189"/>
      <c r="I467" s="1189"/>
      <c r="J467" s="1189"/>
      <c r="K467" s="1189"/>
      <c r="L467" s="1189"/>
      <c r="M467" s="1189"/>
      <c r="N467" s="1189"/>
      <c r="O467" s="1189"/>
      <c r="P467" s="1189"/>
      <c r="Q467" s="1189"/>
      <c r="R467" s="1189"/>
      <c r="S467" s="1189"/>
      <c r="T467" s="1189"/>
      <c r="U467" s="1189"/>
      <c r="V467" s="1189"/>
      <c r="W467" s="1189"/>
      <c r="X467" s="1189"/>
      <c r="Y467" s="1189"/>
      <c r="Z467" s="1189"/>
      <c r="AA467" s="1189"/>
      <c r="AB467" s="1189"/>
      <c r="AC467" s="1189"/>
      <c r="AD467" s="1189"/>
      <c r="AE467" s="1189"/>
      <c r="AF467" s="1189"/>
      <c r="AG467" s="1189"/>
      <c r="AH467" s="1189"/>
      <c r="AI467" s="1189"/>
    </row>
    <row r="468">
      <c r="A468" s="1202"/>
      <c r="B468" s="1203"/>
      <c r="C468" s="1189"/>
      <c r="D468" s="1189"/>
      <c r="E468" s="1189"/>
      <c r="F468" s="1189"/>
      <c r="G468" s="1189"/>
      <c r="H468" s="1189"/>
      <c r="I468" s="1189"/>
      <c r="J468" s="1189"/>
      <c r="K468" s="1189"/>
      <c r="L468" s="1189"/>
      <c r="M468" s="1189"/>
      <c r="N468" s="1189"/>
      <c r="O468" s="1189"/>
      <c r="P468" s="1189"/>
      <c r="Q468" s="1189"/>
      <c r="R468" s="1189"/>
      <c r="S468" s="1189"/>
      <c r="T468" s="1189"/>
      <c r="U468" s="1189"/>
      <c r="V468" s="1189"/>
      <c r="W468" s="1189"/>
      <c r="X468" s="1189"/>
      <c r="Y468" s="1189"/>
      <c r="Z468" s="1189"/>
      <c r="AA468" s="1189"/>
      <c r="AB468" s="1189"/>
      <c r="AC468" s="1189"/>
      <c r="AD468" s="1189"/>
      <c r="AE468" s="1189"/>
      <c r="AF468" s="1189"/>
      <c r="AG468" s="1189"/>
      <c r="AH468" s="1189"/>
      <c r="AI468" s="1189"/>
    </row>
    <row r="469">
      <c r="A469" s="1202"/>
      <c r="B469" s="1203"/>
      <c r="C469" s="1189"/>
      <c r="D469" s="1189"/>
      <c r="E469" s="1189"/>
      <c r="F469" s="1189"/>
      <c r="G469" s="1189"/>
      <c r="H469" s="1189"/>
      <c r="I469" s="1189"/>
      <c r="J469" s="1189"/>
      <c r="K469" s="1189"/>
      <c r="L469" s="1189"/>
      <c r="M469" s="1189"/>
      <c r="N469" s="1189"/>
      <c r="O469" s="1189"/>
      <c r="P469" s="1189"/>
      <c r="Q469" s="1189"/>
      <c r="R469" s="1189"/>
      <c r="S469" s="1189"/>
      <c r="T469" s="1189"/>
      <c r="U469" s="1189"/>
      <c r="V469" s="1189"/>
      <c r="W469" s="1189"/>
      <c r="X469" s="1189"/>
      <c r="Y469" s="1189"/>
      <c r="Z469" s="1189"/>
      <c r="AA469" s="1189"/>
      <c r="AB469" s="1189"/>
      <c r="AC469" s="1189"/>
      <c r="AD469" s="1189"/>
      <c r="AE469" s="1189"/>
      <c r="AF469" s="1189"/>
      <c r="AG469" s="1189"/>
      <c r="AH469" s="1189"/>
      <c r="AI469" s="1189"/>
    </row>
    <row r="470">
      <c r="A470" s="1202"/>
      <c r="B470" s="1203"/>
      <c r="C470" s="1189"/>
      <c r="D470" s="1189"/>
      <c r="E470" s="1189"/>
      <c r="F470" s="1189"/>
      <c r="G470" s="1189"/>
      <c r="H470" s="1189"/>
      <c r="I470" s="1189"/>
      <c r="J470" s="1189"/>
      <c r="K470" s="1189"/>
      <c r="L470" s="1189"/>
      <c r="M470" s="1189"/>
      <c r="N470" s="1189"/>
      <c r="O470" s="1189"/>
      <c r="P470" s="1189"/>
      <c r="Q470" s="1189"/>
      <c r="R470" s="1189"/>
      <c r="S470" s="1189"/>
      <c r="T470" s="1189"/>
      <c r="U470" s="1189"/>
      <c r="V470" s="1189"/>
      <c r="W470" s="1189"/>
      <c r="X470" s="1189"/>
      <c r="Y470" s="1189"/>
      <c r="Z470" s="1189"/>
      <c r="AA470" s="1189"/>
      <c r="AB470" s="1189"/>
      <c r="AC470" s="1189"/>
      <c r="AD470" s="1189"/>
      <c r="AE470" s="1189"/>
      <c r="AF470" s="1189"/>
      <c r="AG470" s="1189"/>
      <c r="AH470" s="1189"/>
      <c r="AI470" s="1189"/>
    </row>
    <row r="471">
      <c r="A471" s="1202"/>
      <c r="B471" s="1203"/>
      <c r="C471" s="1189"/>
      <c r="D471" s="1189"/>
      <c r="E471" s="1189"/>
      <c r="F471" s="1189"/>
      <c r="G471" s="1189"/>
      <c r="H471" s="1189"/>
      <c r="I471" s="1189"/>
      <c r="J471" s="1189"/>
      <c r="K471" s="1189"/>
      <c r="L471" s="1189"/>
      <c r="M471" s="1189"/>
      <c r="N471" s="1189"/>
      <c r="O471" s="1189"/>
      <c r="P471" s="1189"/>
      <c r="Q471" s="1189"/>
      <c r="R471" s="1189"/>
      <c r="S471" s="1189"/>
      <c r="T471" s="1189"/>
      <c r="U471" s="1189"/>
      <c r="V471" s="1189"/>
      <c r="W471" s="1189"/>
      <c r="X471" s="1189"/>
      <c r="Y471" s="1189"/>
      <c r="Z471" s="1189"/>
      <c r="AA471" s="1189"/>
      <c r="AB471" s="1189"/>
      <c r="AC471" s="1189"/>
      <c r="AD471" s="1189"/>
      <c r="AE471" s="1189"/>
      <c r="AF471" s="1189"/>
      <c r="AG471" s="1189"/>
      <c r="AH471" s="1189"/>
      <c r="AI471" s="1189"/>
    </row>
    <row r="472">
      <c r="A472" s="1202"/>
      <c r="B472" s="1203"/>
      <c r="C472" s="1189"/>
      <c r="D472" s="1189"/>
      <c r="E472" s="1189"/>
      <c r="F472" s="1189"/>
      <c r="G472" s="1189"/>
      <c r="H472" s="1189"/>
      <c r="I472" s="1189"/>
      <c r="J472" s="1189"/>
      <c r="K472" s="1189"/>
      <c r="L472" s="1189"/>
      <c r="M472" s="1189"/>
      <c r="N472" s="1189"/>
      <c r="O472" s="1189"/>
      <c r="P472" s="1189"/>
      <c r="Q472" s="1189"/>
      <c r="R472" s="1189"/>
      <c r="S472" s="1189"/>
      <c r="T472" s="1189"/>
      <c r="U472" s="1189"/>
      <c r="V472" s="1189"/>
      <c r="W472" s="1189"/>
      <c r="X472" s="1189"/>
      <c r="Y472" s="1189"/>
      <c r="Z472" s="1189"/>
      <c r="AA472" s="1189"/>
      <c r="AB472" s="1189"/>
      <c r="AC472" s="1189"/>
      <c r="AD472" s="1189"/>
      <c r="AE472" s="1189"/>
      <c r="AF472" s="1189"/>
      <c r="AG472" s="1189"/>
      <c r="AH472" s="1189"/>
      <c r="AI472" s="1189"/>
    </row>
    <row r="473">
      <c r="A473" s="1202"/>
      <c r="B473" s="1203"/>
      <c r="C473" s="1189"/>
      <c r="D473" s="1189"/>
      <c r="E473" s="1189"/>
      <c r="F473" s="1189"/>
      <c r="G473" s="1189"/>
      <c r="H473" s="1189"/>
      <c r="I473" s="1189"/>
      <c r="J473" s="1189"/>
      <c r="K473" s="1189"/>
      <c r="L473" s="1189"/>
      <c r="M473" s="1189"/>
      <c r="N473" s="1189"/>
      <c r="O473" s="1189"/>
      <c r="P473" s="1189"/>
      <c r="Q473" s="1189"/>
      <c r="R473" s="1189"/>
      <c r="S473" s="1189"/>
      <c r="T473" s="1189"/>
      <c r="U473" s="1189"/>
      <c r="V473" s="1189"/>
      <c r="W473" s="1189"/>
      <c r="X473" s="1189"/>
      <c r="Y473" s="1189"/>
      <c r="Z473" s="1189"/>
      <c r="AA473" s="1189"/>
      <c r="AB473" s="1189"/>
      <c r="AC473" s="1189"/>
      <c r="AD473" s="1189"/>
      <c r="AE473" s="1189"/>
      <c r="AF473" s="1189"/>
      <c r="AG473" s="1189"/>
      <c r="AH473" s="1189"/>
      <c r="AI473" s="1189"/>
    </row>
    <row r="474">
      <c r="A474" s="1202"/>
      <c r="B474" s="1203"/>
      <c r="C474" s="1189"/>
      <c r="D474" s="1189"/>
      <c r="E474" s="1189"/>
      <c r="F474" s="1189"/>
      <c r="G474" s="1189"/>
      <c r="H474" s="1189"/>
      <c r="I474" s="1189"/>
      <c r="J474" s="1189"/>
      <c r="K474" s="1189"/>
      <c r="L474" s="1189"/>
      <c r="M474" s="1189"/>
      <c r="N474" s="1189"/>
      <c r="O474" s="1189"/>
      <c r="P474" s="1189"/>
      <c r="Q474" s="1189"/>
      <c r="R474" s="1189"/>
      <c r="S474" s="1189"/>
      <c r="T474" s="1189"/>
      <c r="U474" s="1189"/>
      <c r="V474" s="1189"/>
      <c r="W474" s="1189"/>
      <c r="X474" s="1189"/>
      <c r="Y474" s="1189"/>
      <c r="Z474" s="1189"/>
      <c r="AA474" s="1189"/>
      <c r="AB474" s="1189"/>
      <c r="AC474" s="1189"/>
      <c r="AD474" s="1189"/>
      <c r="AE474" s="1189"/>
      <c r="AF474" s="1189"/>
      <c r="AG474" s="1189"/>
      <c r="AH474" s="1189"/>
      <c r="AI474" s="1189"/>
    </row>
    <row r="475">
      <c r="A475" s="1202"/>
      <c r="B475" s="1203"/>
      <c r="C475" s="1189"/>
      <c r="D475" s="1189"/>
      <c r="E475" s="1189"/>
      <c r="F475" s="1189"/>
      <c r="G475" s="1189"/>
      <c r="H475" s="1189"/>
      <c r="I475" s="1189"/>
      <c r="J475" s="1189"/>
      <c r="K475" s="1189"/>
      <c r="L475" s="1189"/>
      <c r="M475" s="1189"/>
      <c r="N475" s="1189"/>
      <c r="O475" s="1189"/>
      <c r="P475" s="1189"/>
      <c r="Q475" s="1189"/>
      <c r="R475" s="1189"/>
      <c r="S475" s="1189"/>
      <c r="T475" s="1189"/>
      <c r="U475" s="1189"/>
      <c r="V475" s="1189"/>
      <c r="W475" s="1189"/>
      <c r="X475" s="1189"/>
      <c r="Y475" s="1189"/>
      <c r="Z475" s="1189"/>
      <c r="AA475" s="1189"/>
      <c r="AB475" s="1189"/>
      <c r="AC475" s="1189"/>
      <c r="AD475" s="1189"/>
      <c r="AE475" s="1189"/>
      <c r="AF475" s="1189"/>
      <c r="AG475" s="1189"/>
      <c r="AH475" s="1189"/>
      <c r="AI475" s="1189"/>
    </row>
    <row r="476">
      <c r="A476" s="1202"/>
      <c r="B476" s="1203"/>
      <c r="C476" s="1189"/>
      <c r="D476" s="1189"/>
      <c r="E476" s="1189"/>
      <c r="F476" s="1189"/>
      <c r="G476" s="1189"/>
      <c r="H476" s="1189"/>
      <c r="I476" s="1189"/>
      <c r="J476" s="1189"/>
      <c r="K476" s="1189"/>
      <c r="L476" s="1189"/>
      <c r="M476" s="1189"/>
      <c r="N476" s="1189"/>
      <c r="O476" s="1189"/>
      <c r="P476" s="1189"/>
      <c r="Q476" s="1189"/>
      <c r="R476" s="1189"/>
      <c r="S476" s="1189"/>
      <c r="T476" s="1189"/>
      <c r="U476" s="1189"/>
      <c r="V476" s="1189"/>
      <c r="W476" s="1189"/>
      <c r="X476" s="1189"/>
      <c r="Y476" s="1189"/>
      <c r="Z476" s="1189"/>
      <c r="AA476" s="1189"/>
      <c r="AB476" s="1189"/>
      <c r="AC476" s="1189"/>
      <c r="AD476" s="1189"/>
      <c r="AE476" s="1189"/>
      <c r="AF476" s="1189"/>
      <c r="AG476" s="1189"/>
      <c r="AH476" s="1189"/>
      <c r="AI476" s="1189"/>
    </row>
    <row r="477">
      <c r="A477" s="1202"/>
      <c r="B477" s="1203"/>
      <c r="C477" s="1189"/>
      <c r="D477" s="1189"/>
      <c r="E477" s="1189"/>
      <c r="F477" s="1189"/>
      <c r="G477" s="1189"/>
      <c r="H477" s="1189"/>
      <c r="I477" s="1189"/>
      <c r="J477" s="1189"/>
      <c r="K477" s="1189"/>
      <c r="L477" s="1189"/>
      <c r="M477" s="1189"/>
      <c r="N477" s="1189"/>
      <c r="O477" s="1189"/>
      <c r="P477" s="1189"/>
      <c r="Q477" s="1189"/>
      <c r="R477" s="1189"/>
      <c r="S477" s="1189"/>
      <c r="T477" s="1189"/>
      <c r="U477" s="1189"/>
      <c r="V477" s="1189"/>
      <c r="W477" s="1189"/>
      <c r="X477" s="1189"/>
      <c r="Y477" s="1189"/>
      <c r="Z477" s="1189"/>
      <c r="AA477" s="1189"/>
      <c r="AB477" s="1189"/>
      <c r="AC477" s="1189"/>
      <c r="AD477" s="1189"/>
      <c r="AE477" s="1189"/>
      <c r="AF477" s="1189"/>
      <c r="AG477" s="1189"/>
      <c r="AH477" s="1189"/>
      <c r="AI477" s="1189"/>
    </row>
    <row r="478">
      <c r="A478" s="1202"/>
      <c r="B478" s="1203"/>
      <c r="C478" s="1189"/>
      <c r="D478" s="1189"/>
      <c r="E478" s="1189"/>
      <c r="F478" s="1189"/>
      <c r="G478" s="1189"/>
      <c r="H478" s="1189"/>
      <c r="I478" s="1189"/>
      <c r="J478" s="1189"/>
      <c r="K478" s="1189"/>
      <c r="L478" s="1189"/>
      <c r="M478" s="1189"/>
      <c r="N478" s="1189"/>
      <c r="O478" s="1189"/>
      <c r="P478" s="1189"/>
      <c r="Q478" s="1189"/>
      <c r="R478" s="1189"/>
      <c r="S478" s="1189"/>
      <c r="T478" s="1189"/>
      <c r="U478" s="1189"/>
      <c r="V478" s="1189"/>
      <c r="W478" s="1189"/>
      <c r="X478" s="1189"/>
      <c r="Y478" s="1189"/>
      <c r="Z478" s="1189"/>
      <c r="AA478" s="1189"/>
      <c r="AB478" s="1189"/>
      <c r="AC478" s="1189"/>
      <c r="AD478" s="1189"/>
      <c r="AE478" s="1189"/>
      <c r="AF478" s="1189"/>
      <c r="AG478" s="1189"/>
      <c r="AH478" s="1189"/>
      <c r="AI478" s="1189"/>
    </row>
    <row r="479">
      <c r="A479" s="1202"/>
      <c r="B479" s="1203"/>
      <c r="C479" s="1189"/>
      <c r="D479" s="1189"/>
      <c r="E479" s="1189"/>
      <c r="F479" s="1189"/>
      <c r="G479" s="1189"/>
      <c r="H479" s="1189"/>
      <c r="I479" s="1189"/>
      <c r="J479" s="1189"/>
      <c r="K479" s="1189"/>
      <c r="L479" s="1189"/>
      <c r="M479" s="1189"/>
      <c r="N479" s="1189"/>
      <c r="O479" s="1189"/>
      <c r="P479" s="1189"/>
      <c r="Q479" s="1189"/>
      <c r="R479" s="1189"/>
      <c r="S479" s="1189"/>
      <c r="T479" s="1189"/>
      <c r="U479" s="1189"/>
      <c r="V479" s="1189"/>
      <c r="W479" s="1189"/>
      <c r="X479" s="1189"/>
      <c r="Y479" s="1189"/>
      <c r="Z479" s="1189"/>
      <c r="AA479" s="1189"/>
      <c r="AB479" s="1189"/>
      <c r="AC479" s="1189"/>
      <c r="AD479" s="1189"/>
      <c r="AE479" s="1189"/>
      <c r="AF479" s="1189"/>
      <c r="AG479" s="1189"/>
      <c r="AH479" s="1189"/>
      <c r="AI479" s="1189"/>
    </row>
    <row r="480">
      <c r="A480" s="1202"/>
      <c r="B480" s="1203"/>
      <c r="C480" s="1189"/>
      <c r="D480" s="1189"/>
      <c r="E480" s="1189"/>
      <c r="F480" s="1189"/>
      <c r="G480" s="1189"/>
      <c r="H480" s="1189"/>
      <c r="I480" s="1189"/>
      <c r="J480" s="1189"/>
      <c r="K480" s="1189"/>
      <c r="L480" s="1189"/>
      <c r="M480" s="1189"/>
      <c r="N480" s="1189"/>
      <c r="O480" s="1189"/>
      <c r="P480" s="1189"/>
      <c r="Q480" s="1189"/>
      <c r="R480" s="1189"/>
      <c r="S480" s="1189"/>
      <c r="T480" s="1189"/>
      <c r="U480" s="1189"/>
      <c r="V480" s="1189"/>
      <c r="W480" s="1189"/>
      <c r="X480" s="1189"/>
      <c r="Y480" s="1189"/>
      <c r="Z480" s="1189"/>
      <c r="AA480" s="1189"/>
      <c r="AB480" s="1189"/>
      <c r="AC480" s="1189"/>
      <c r="AD480" s="1189"/>
      <c r="AE480" s="1189"/>
      <c r="AF480" s="1189"/>
      <c r="AG480" s="1189"/>
      <c r="AH480" s="1189"/>
      <c r="AI480" s="1189"/>
    </row>
    <row r="481">
      <c r="A481" s="1202"/>
      <c r="B481" s="1203"/>
      <c r="C481" s="1189"/>
      <c r="D481" s="1189"/>
      <c r="E481" s="1189"/>
      <c r="F481" s="1189"/>
      <c r="G481" s="1189"/>
      <c r="H481" s="1189"/>
      <c r="I481" s="1189"/>
      <c r="J481" s="1189"/>
      <c r="K481" s="1189"/>
      <c r="L481" s="1189"/>
      <c r="M481" s="1189"/>
      <c r="N481" s="1189"/>
      <c r="O481" s="1189"/>
      <c r="P481" s="1189"/>
      <c r="Q481" s="1189"/>
      <c r="R481" s="1189"/>
      <c r="S481" s="1189"/>
      <c r="T481" s="1189"/>
      <c r="U481" s="1189"/>
      <c r="V481" s="1189"/>
      <c r="W481" s="1189"/>
      <c r="X481" s="1189"/>
      <c r="Y481" s="1189"/>
      <c r="Z481" s="1189"/>
      <c r="AA481" s="1189"/>
      <c r="AB481" s="1189"/>
      <c r="AC481" s="1189"/>
      <c r="AD481" s="1189"/>
      <c r="AE481" s="1189"/>
      <c r="AF481" s="1189"/>
      <c r="AG481" s="1189"/>
      <c r="AH481" s="1189"/>
      <c r="AI481" s="1189"/>
    </row>
    <row r="482">
      <c r="A482" s="1202"/>
      <c r="B482" s="1203"/>
      <c r="C482" s="1189"/>
      <c r="D482" s="1189"/>
      <c r="E482" s="1189"/>
      <c r="F482" s="1189"/>
      <c r="G482" s="1189"/>
      <c r="H482" s="1189"/>
      <c r="I482" s="1189"/>
      <c r="J482" s="1189"/>
      <c r="K482" s="1189"/>
      <c r="L482" s="1189"/>
      <c r="M482" s="1189"/>
      <c r="N482" s="1189"/>
      <c r="O482" s="1189"/>
      <c r="P482" s="1189"/>
      <c r="Q482" s="1189"/>
      <c r="R482" s="1189"/>
      <c r="S482" s="1189"/>
      <c r="T482" s="1189"/>
      <c r="U482" s="1189"/>
      <c r="V482" s="1189"/>
      <c r="W482" s="1189"/>
      <c r="X482" s="1189"/>
      <c r="Y482" s="1189"/>
      <c r="Z482" s="1189"/>
      <c r="AA482" s="1189"/>
      <c r="AB482" s="1189"/>
      <c r="AC482" s="1189"/>
      <c r="AD482" s="1189"/>
      <c r="AE482" s="1189"/>
      <c r="AF482" s="1189"/>
      <c r="AG482" s="1189"/>
      <c r="AH482" s="1189"/>
      <c r="AI482" s="1189"/>
    </row>
    <row r="483">
      <c r="A483" s="1202"/>
      <c r="B483" s="1203"/>
      <c r="C483" s="1189"/>
      <c r="D483" s="1189"/>
      <c r="E483" s="1189"/>
      <c r="F483" s="1189"/>
      <c r="G483" s="1189"/>
      <c r="H483" s="1189"/>
      <c r="I483" s="1189"/>
      <c r="J483" s="1189"/>
      <c r="K483" s="1189"/>
      <c r="L483" s="1189"/>
      <c r="M483" s="1189"/>
      <c r="N483" s="1189"/>
      <c r="O483" s="1189"/>
      <c r="P483" s="1189"/>
      <c r="Q483" s="1189"/>
      <c r="R483" s="1189"/>
      <c r="S483" s="1189"/>
      <c r="T483" s="1189"/>
      <c r="U483" s="1189"/>
      <c r="V483" s="1189"/>
      <c r="W483" s="1189"/>
      <c r="X483" s="1189"/>
      <c r="Y483" s="1189"/>
      <c r="Z483" s="1189"/>
      <c r="AA483" s="1189"/>
      <c r="AB483" s="1189"/>
      <c r="AC483" s="1189"/>
      <c r="AD483" s="1189"/>
      <c r="AE483" s="1189"/>
      <c r="AF483" s="1189"/>
      <c r="AG483" s="1189"/>
      <c r="AH483" s="1189"/>
      <c r="AI483" s="1189"/>
    </row>
    <row r="484">
      <c r="A484" s="1202"/>
      <c r="B484" s="1203"/>
      <c r="C484" s="1189"/>
      <c r="D484" s="1189"/>
      <c r="E484" s="1189"/>
      <c r="F484" s="1189"/>
      <c r="G484" s="1189"/>
      <c r="H484" s="1189"/>
      <c r="I484" s="1189"/>
      <c r="J484" s="1189"/>
      <c r="K484" s="1189"/>
      <c r="L484" s="1189"/>
      <c r="M484" s="1189"/>
      <c r="N484" s="1189"/>
      <c r="O484" s="1189"/>
      <c r="P484" s="1189"/>
      <c r="Q484" s="1189"/>
      <c r="R484" s="1189"/>
      <c r="S484" s="1189"/>
      <c r="T484" s="1189"/>
      <c r="U484" s="1189"/>
      <c r="V484" s="1189"/>
      <c r="W484" s="1189"/>
      <c r="X484" s="1189"/>
      <c r="Y484" s="1189"/>
      <c r="Z484" s="1189"/>
      <c r="AA484" s="1189"/>
      <c r="AB484" s="1189"/>
      <c r="AC484" s="1189"/>
      <c r="AD484" s="1189"/>
      <c r="AE484" s="1189"/>
      <c r="AF484" s="1189"/>
      <c r="AG484" s="1189"/>
      <c r="AH484" s="1189"/>
      <c r="AI484" s="1189"/>
    </row>
    <row r="485">
      <c r="A485" s="1202"/>
      <c r="B485" s="1203"/>
      <c r="C485" s="1189"/>
      <c r="D485" s="1189"/>
      <c r="E485" s="1189"/>
      <c r="F485" s="1189"/>
      <c r="G485" s="1189"/>
      <c r="H485" s="1189"/>
      <c r="I485" s="1189"/>
      <c r="J485" s="1189"/>
      <c r="K485" s="1189"/>
      <c r="L485" s="1189"/>
      <c r="M485" s="1189"/>
      <c r="N485" s="1189"/>
      <c r="O485" s="1189"/>
      <c r="P485" s="1189"/>
      <c r="Q485" s="1189"/>
      <c r="R485" s="1189"/>
      <c r="S485" s="1189"/>
      <c r="T485" s="1189"/>
      <c r="U485" s="1189"/>
      <c r="V485" s="1189"/>
      <c r="W485" s="1189"/>
      <c r="X485" s="1189"/>
      <c r="Y485" s="1189"/>
      <c r="Z485" s="1189"/>
      <c r="AA485" s="1189"/>
      <c r="AB485" s="1189"/>
      <c r="AC485" s="1189"/>
      <c r="AD485" s="1189"/>
      <c r="AE485" s="1189"/>
      <c r="AF485" s="1189"/>
      <c r="AG485" s="1189"/>
      <c r="AH485" s="1189"/>
      <c r="AI485" s="1189"/>
    </row>
    <row r="486">
      <c r="A486" s="1202"/>
      <c r="B486" s="1203"/>
      <c r="C486" s="1189"/>
      <c r="D486" s="1189"/>
      <c r="E486" s="1189"/>
      <c r="F486" s="1189"/>
      <c r="G486" s="1189"/>
      <c r="H486" s="1189"/>
      <c r="I486" s="1189"/>
      <c r="J486" s="1189"/>
      <c r="K486" s="1189"/>
      <c r="L486" s="1189"/>
      <c r="M486" s="1189"/>
      <c r="N486" s="1189"/>
      <c r="O486" s="1189"/>
      <c r="P486" s="1189"/>
      <c r="Q486" s="1189"/>
      <c r="R486" s="1189"/>
      <c r="S486" s="1189"/>
      <c r="T486" s="1189"/>
      <c r="U486" s="1189"/>
      <c r="V486" s="1189"/>
      <c r="W486" s="1189"/>
      <c r="X486" s="1189"/>
      <c r="Y486" s="1189"/>
      <c r="Z486" s="1189"/>
      <c r="AA486" s="1189"/>
      <c r="AB486" s="1189"/>
      <c r="AC486" s="1189"/>
      <c r="AD486" s="1189"/>
      <c r="AE486" s="1189"/>
      <c r="AF486" s="1189"/>
      <c r="AG486" s="1189"/>
      <c r="AH486" s="1189"/>
      <c r="AI486" s="1189"/>
    </row>
    <row r="487">
      <c r="A487" s="1202"/>
      <c r="B487" s="1203"/>
      <c r="C487" s="1189"/>
      <c r="D487" s="1189"/>
      <c r="E487" s="1189"/>
      <c r="F487" s="1189"/>
      <c r="G487" s="1189"/>
      <c r="H487" s="1189"/>
      <c r="I487" s="1189"/>
      <c r="J487" s="1189"/>
      <c r="K487" s="1189"/>
      <c r="L487" s="1189"/>
      <c r="M487" s="1189"/>
      <c r="N487" s="1189"/>
      <c r="O487" s="1189"/>
      <c r="P487" s="1189"/>
      <c r="Q487" s="1189"/>
      <c r="R487" s="1189"/>
      <c r="S487" s="1189"/>
      <c r="T487" s="1189"/>
      <c r="U487" s="1189"/>
      <c r="V487" s="1189"/>
      <c r="W487" s="1189"/>
      <c r="X487" s="1189"/>
      <c r="Y487" s="1189"/>
      <c r="Z487" s="1189"/>
      <c r="AA487" s="1189"/>
      <c r="AB487" s="1189"/>
      <c r="AC487" s="1189"/>
      <c r="AD487" s="1189"/>
      <c r="AE487" s="1189"/>
      <c r="AF487" s="1189"/>
      <c r="AG487" s="1189"/>
      <c r="AH487" s="1189"/>
      <c r="AI487" s="1189"/>
    </row>
    <row r="488">
      <c r="A488" s="1202"/>
      <c r="B488" s="1203"/>
      <c r="C488" s="1189"/>
      <c r="D488" s="1189"/>
      <c r="E488" s="1189"/>
      <c r="F488" s="1189"/>
      <c r="G488" s="1189"/>
      <c r="H488" s="1189"/>
      <c r="I488" s="1189"/>
      <c r="J488" s="1189"/>
      <c r="K488" s="1189"/>
      <c r="L488" s="1189"/>
      <c r="M488" s="1189"/>
      <c r="N488" s="1189"/>
      <c r="O488" s="1189"/>
      <c r="P488" s="1189"/>
      <c r="Q488" s="1189"/>
      <c r="R488" s="1189"/>
      <c r="S488" s="1189"/>
      <c r="T488" s="1189"/>
      <c r="U488" s="1189"/>
      <c r="V488" s="1189"/>
      <c r="W488" s="1189"/>
      <c r="X488" s="1189"/>
      <c r="Y488" s="1189"/>
      <c r="Z488" s="1189"/>
      <c r="AA488" s="1189"/>
      <c r="AB488" s="1189"/>
      <c r="AC488" s="1189"/>
      <c r="AD488" s="1189"/>
      <c r="AE488" s="1189"/>
      <c r="AF488" s="1189"/>
      <c r="AG488" s="1189"/>
      <c r="AH488" s="1189"/>
      <c r="AI488" s="1189"/>
    </row>
    <row r="489">
      <c r="A489" s="1202"/>
      <c r="B489" s="1203"/>
      <c r="C489" s="1189"/>
      <c r="D489" s="1189"/>
      <c r="E489" s="1189"/>
      <c r="F489" s="1189"/>
      <c r="G489" s="1189"/>
      <c r="H489" s="1189"/>
      <c r="I489" s="1189"/>
      <c r="J489" s="1189"/>
      <c r="K489" s="1189"/>
      <c r="L489" s="1189"/>
      <c r="M489" s="1189"/>
      <c r="N489" s="1189"/>
      <c r="O489" s="1189"/>
      <c r="P489" s="1189"/>
      <c r="Q489" s="1189"/>
      <c r="R489" s="1189"/>
      <c r="S489" s="1189"/>
      <c r="T489" s="1189"/>
      <c r="U489" s="1189"/>
      <c r="V489" s="1189"/>
      <c r="W489" s="1189"/>
      <c r="X489" s="1189"/>
      <c r="Y489" s="1189"/>
      <c r="Z489" s="1189"/>
      <c r="AA489" s="1189"/>
      <c r="AB489" s="1189"/>
      <c r="AC489" s="1189"/>
      <c r="AD489" s="1189"/>
      <c r="AE489" s="1189"/>
      <c r="AF489" s="1189"/>
      <c r="AG489" s="1189"/>
      <c r="AH489" s="1189"/>
      <c r="AI489" s="1189"/>
    </row>
    <row r="490">
      <c r="A490" s="1202"/>
      <c r="B490" s="1203"/>
      <c r="C490" s="1189"/>
      <c r="D490" s="1189"/>
      <c r="E490" s="1189"/>
      <c r="F490" s="1189"/>
      <c r="G490" s="1189"/>
      <c r="H490" s="1189"/>
      <c r="I490" s="1189"/>
      <c r="J490" s="1189"/>
      <c r="K490" s="1189"/>
      <c r="L490" s="1189"/>
      <c r="M490" s="1189"/>
      <c r="N490" s="1189"/>
      <c r="O490" s="1189"/>
      <c r="P490" s="1189"/>
      <c r="Q490" s="1189"/>
      <c r="R490" s="1189"/>
      <c r="S490" s="1189"/>
      <c r="T490" s="1189"/>
      <c r="U490" s="1189"/>
      <c r="V490" s="1189"/>
      <c r="W490" s="1189"/>
      <c r="X490" s="1189"/>
      <c r="Y490" s="1189"/>
      <c r="Z490" s="1189"/>
      <c r="AA490" s="1189"/>
      <c r="AB490" s="1189"/>
      <c r="AC490" s="1189"/>
      <c r="AD490" s="1189"/>
      <c r="AE490" s="1189"/>
      <c r="AF490" s="1189"/>
      <c r="AG490" s="1189"/>
      <c r="AH490" s="1189"/>
      <c r="AI490" s="1189"/>
    </row>
    <row r="491">
      <c r="A491" s="1202"/>
      <c r="B491" s="1203"/>
      <c r="C491" s="1189"/>
      <c r="D491" s="1189"/>
      <c r="E491" s="1189"/>
      <c r="F491" s="1189"/>
      <c r="G491" s="1189"/>
      <c r="H491" s="1189"/>
      <c r="I491" s="1189"/>
      <c r="J491" s="1189"/>
      <c r="K491" s="1189"/>
      <c r="L491" s="1189"/>
      <c r="M491" s="1189"/>
      <c r="N491" s="1189"/>
      <c r="O491" s="1189"/>
      <c r="P491" s="1189"/>
      <c r="Q491" s="1189"/>
      <c r="R491" s="1189"/>
      <c r="S491" s="1189"/>
      <c r="T491" s="1189"/>
      <c r="U491" s="1189"/>
      <c r="V491" s="1189"/>
      <c r="W491" s="1189"/>
      <c r="X491" s="1189"/>
      <c r="Y491" s="1189"/>
      <c r="Z491" s="1189"/>
      <c r="AA491" s="1189"/>
      <c r="AB491" s="1189"/>
      <c r="AC491" s="1189"/>
      <c r="AD491" s="1189"/>
      <c r="AE491" s="1189"/>
      <c r="AF491" s="1189"/>
      <c r="AG491" s="1189"/>
      <c r="AH491" s="1189"/>
      <c r="AI491" s="1189"/>
    </row>
    <row r="492">
      <c r="A492" s="1202"/>
      <c r="B492" s="1203"/>
      <c r="C492" s="1189"/>
      <c r="D492" s="1189"/>
      <c r="E492" s="1189"/>
      <c r="F492" s="1189"/>
      <c r="G492" s="1189"/>
      <c r="H492" s="1189"/>
      <c r="I492" s="1189"/>
      <c r="J492" s="1189"/>
      <c r="K492" s="1189"/>
      <c r="L492" s="1189"/>
      <c r="M492" s="1189"/>
      <c r="N492" s="1189"/>
      <c r="O492" s="1189"/>
      <c r="P492" s="1189"/>
      <c r="Q492" s="1189"/>
      <c r="R492" s="1189"/>
      <c r="S492" s="1189"/>
      <c r="T492" s="1189"/>
      <c r="U492" s="1189"/>
      <c r="V492" s="1189"/>
      <c r="W492" s="1189"/>
      <c r="X492" s="1189"/>
      <c r="Y492" s="1189"/>
      <c r="Z492" s="1189"/>
      <c r="AA492" s="1189"/>
      <c r="AB492" s="1189"/>
      <c r="AC492" s="1189"/>
      <c r="AD492" s="1189"/>
      <c r="AE492" s="1189"/>
      <c r="AF492" s="1189"/>
      <c r="AG492" s="1189"/>
      <c r="AH492" s="1189"/>
      <c r="AI492" s="1189"/>
    </row>
    <row r="493">
      <c r="A493" s="1202"/>
      <c r="B493" s="1203"/>
      <c r="C493" s="1189"/>
      <c r="D493" s="1189"/>
      <c r="E493" s="1189"/>
      <c r="F493" s="1189"/>
      <c r="G493" s="1189"/>
      <c r="H493" s="1189"/>
      <c r="I493" s="1189"/>
      <c r="J493" s="1189"/>
      <c r="K493" s="1189"/>
      <c r="L493" s="1189"/>
      <c r="M493" s="1189"/>
      <c r="N493" s="1189"/>
      <c r="O493" s="1189"/>
      <c r="P493" s="1189"/>
      <c r="Q493" s="1189"/>
      <c r="R493" s="1189"/>
      <c r="S493" s="1189"/>
      <c r="T493" s="1189"/>
      <c r="U493" s="1189"/>
      <c r="V493" s="1189"/>
      <c r="W493" s="1189"/>
      <c r="X493" s="1189"/>
      <c r="Y493" s="1189"/>
      <c r="Z493" s="1189"/>
      <c r="AA493" s="1189"/>
      <c r="AB493" s="1189"/>
      <c r="AC493" s="1189"/>
      <c r="AD493" s="1189"/>
      <c r="AE493" s="1189"/>
      <c r="AF493" s="1189"/>
      <c r="AG493" s="1189"/>
      <c r="AH493" s="1189"/>
      <c r="AI493" s="1189"/>
    </row>
    <row r="494">
      <c r="A494" s="1202"/>
      <c r="B494" s="1203"/>
      <c r="C494" s="1189"/>
      <c r="D494" s="1189"/>
      <c r="E494" s="1189"/>
      <c r="F494" s="1189"/>
      <c r="G494" s="1189"/>
      <c r="H494" s="1189"/>
      <c r="I494" s="1189"/>
      <c r="J494" s="1189"/>
      <c r="K494" s="1189"/>
      <c r="L494" s="1189"/>
      <c r="M494" s="1189"/>
      <c r="N494" s="1189"/>
      <c r="O494" s="1189"/>
      <c r="P494" s="1189"/>
      <c r="Q494" s="1189"/>
      <c r="R494" s="1189"/>
      <c r="S494" s="1189"/>
      <c r="T494" s="1189"/>
      <c r="U494" s="1189"/>
      <c r="V494" s="1189"/>
      <c r="W494" s="1189"/>
      <c r="X494" s="1189"/>
      <c r="Y494" s="1189"/>
      <c r="Z494" s="1189"/>
      <c r="AA494" s="1189"/>
      <c r="AB494" s="1189"/>
      <c r="AC494" s="1189"/>
      <c r="AD494" s="1189"/>
      <c r="AE494" s="1189"/>
      <c r="AF494" s="1189"/>
      <c r="AG494" s="1189"/>
      <c r="AH494" s="1189"/>
      <c r="AI494" s="1189"/>
    </row>
    <row r="495">
      <c r="A495" s="1202"/>
      <c r="B495" s="1203"/>
      <c r="C495" s="1189"/>
      <c r="D495" s="1189"/>
      <c r="E495" s="1189"/>
      <c r="F495" s="1189"/>
      <c r="G495" s="1189"/>
      <c r="H495" s="1189"/>
      <c r="I495" s="1189"/>
      <c r="J495" s="1189"/>
      <c r="K495" s="1189"/>
      <c r="L495" s="1189"/>
      <c r="M495" s="1189"/>
      <c r="N495" s="1189"/>
      <c r="O495" s="1189"/>
      <c r="P495" s="1189"/>
      <c r="Q495" s="1189"/>
      <c r="R495" s="1189"/>
      <c r="S495" s="1189"/>
      <c r="T495" s="1189"/>
      <c r="U495" s="1189"/>
      <c r="V495" s="1189"/>
      <c r="W495" s="1189"/>
      <c r="X495" s="1189"/>
      <c r="Y495" s="1189"/>
      <c r="Z495" s="1189"/>
      <c r="AA495" s="1189"/>
      <c r="AB495" s="1189"/>
      <c r="AC495" s="1189"/>
      <c r="AD495" s="1189"/>
      <c r="AE495" s="1189"/>
      <c r="AF495" s="1189"/>
      <c r="AG495" s="1189"/>
      <c r="AH495" s="1189"/>
      <c r="AI495" s="1189"/>
    </row>
    <row r="496">
      <c r="A496" s="1202"/>
      <c r="B496" s="1203"/>
      <c r="C496" s="1189"/>
      <c r="D496" s="1189"/>
      <c r="E496" s="1189"/>
      <c r="F496" s="1189"/>
      <c r="G496" s="1189"/>
      <c r="H496" s="1189"/>
      <c r="I496" s="1189"/>
      <c r="J496" s="1189"/>
      <c r="K496" s="1189"/>
      <c r="L496" s="1189"/>
      <c r="M496" s="1189"/>
      <c r="N496" s="1189"/>
      <c r="O496" s="1189"/>
      <c r="P496" s="1189"/>
      <c r="Q496" s="1189"/>
      <c r="R496" s="1189"/>
      <c r="S496" s="1189"/>
      <c r="T496" s="1189"/>
      <c r="U496" s="1189"/>
      <c r="V496" s="1189"/>
      <c r="W496" s="1189"/>
      <c r="X496" s="1189"/>
      <c r="Y496" s="1189"/>
      <c r="Z496" s="1189"/>
      <c r="AA496" s="1189"/>
      <c r="AB496" s="1189"/>
      <c r="AC496" s="1189"/>
      <c r="AD496" s="1189"/>
      <c r="AE496" s="1189"/>
      <c r="AF496" s="1189"/>
      <c r="AG496" s="1189"/>
      <c r="AH496" s="1189"/>
      <c r="AI496" s="1189"/>
    </row>
    <row r="497">
      <c r="A497" s="1202"/>
      <c r="B497" s="1203"/>
      <c r="C497" s="1189"/>
      <c r="D497" s="1189"/>
      <c r="E497" s="1189"/>
      <c r="F497" s="1189"/>
      <c r="G497" s="1189"/>
      <c r="H497" s="1189"/>
      <c r="I497" s="1189"/>
      <c r="J497" s="1189"/>
      <c r="K497" s="1189"/>
      <c r="L497" s="1189"/>
      <c r="M497" s="1189"/>
      <c r="N497" s="1189"/>
      <c r="O497" s="1189"/>
      <c r="P497" s="1189"/>
      <c r="Q497" s="1189"/>
      <c r="R497" s="1189"/>
      <c r="S497" s="1189"/>
      <c r="T497" s="1189"/>
      <c r="U497" s="1189"/>
      <c r="V497" s="1189"/>
      <c r="W497" s="1189"/>
      <c r="X497" s="1189"/>
      <c r="Y497" s="1189"/>
      <c r="Z497" s="1189"/>
      <c r="AA497" s="1189"/>
      <c r="AB497" s="1189"/>
      <c r="AC497" s="1189"/>
      <c r="AD497" s="1189"/>
      <c r="AE497" s="1189"/>
      <c r="AF497" s="1189"/>
      <c r="AG497" s="1189"/>
      <c r="AH497" s="1189"/>
      <c r="AI497" s="1189"/>
    </row>
    <row r="498">
      <c r="A498" s="1202"/>
      <c r="B498" s="1203"/>
      <c r="C498" s="1189"/>
      <c r="D498" s="1189"/>
      <c r="E498" s="1189"/>
      <c r="F498" s="1189"/>
      <c r="G498" s="1189"/>
      <c r="H498" s="1189"/>
      <c r="I498" s="1189"/>
      <c r="J498" s="1189"/>
      <c r="K498" s="1189"/>
      <c r="L498" s="1189"/>
      <c r="M498" s="1189"/>
      <c r="N498" s="1189"/>
      <c r="O498" s="1189"/>
      <c r="P498" s="1189"/>
      <c r="Q498" s="1189"/>
      <c r="R498" s="1189"/>
      <c r="S498" s="1189"/>
      <c r="T498" s="1189"/>
      <c r="U498" s="1189"/>
      <c r="V498" s="1189"/>
      <c r="W498" s="1189"/>
      <c r="X498" s="1189"/>
      <c r="Y498" s="1189"/>
      <c r="Z498" s="1189"/>
      <c r="AA498" s="1189"/>
      <c r="AB498" s="1189"/>
      <c r="AC498" s="1189"/>
      <c r="AD498" s="1189"/>
      <c r="AE498" s="1189"/>
      <c r="AF498" s="1189"/>
      <c r="AG498" s="1189"/>
      <c r="AH498" s="1189"/>
      <c r="AI498" s="1189"/>
    </row>
    <row r="499">
      <c r="A499" s="1202"/>
      <c r="B499" s="1203"/>
      <c r="C499" s="1189"/>
      <c r="D499" s="1189"/>
      <c r="E499" s="1189"/>
      <c r="F499" s="1189"/>
      <c r="G499" s="1189"/>
      <c r="H499" s="1189"/>
      <c r="I499" s="1189"/>
      <c r="J499" s="1189"/>
      <c r="K499" s="1189"/>
      <c r="L499" s="1189"/>
      <c r="M499" s="1189"/>
      <c r="N499" s="1189"/>
      <c r="O499" s="1189"/>
      <c r="P499" s="1189"/>
      <c r="Q499" s="1189"/>
      <c r="R499" s="1189"/>
      <c r="S499" s="1189"/>
      <c r="T499" s="1189"/>
      <c r="U499" s="1189"/>
      <c r="V499" s="1189"/>
      <c r="W499" s="1189"/>
      <c r="X499" s="1189"/>
      <c r="Y499" s="1189"/>
      <c r="Z499" s="1189"/>
      <c r="AA499" s="1189"/>
      <c r="AB499" s="1189"/>
      <c r="AC499" s="1189"/>
      <c r="AD499" s="1189"/>
      <c r="AE499" s="1189"/>
      <c r="AF499" s="1189"/>
      <c r="AG499" s="1189"/>
      <c r="AH499" s="1189"/>
      <c r="AI499" s="1189"/>
    </row>
    <row r="500">
      <c r="A500" s="1202"/>
      <c r="B500" s="1203"/>
      <c r="C500" s="1189"/>
      <c r="D500" s="1189"/>
      <c r="E500" s="1189"/>
      <c r="F500" s="1189"/>
      <c r="G500" s="1189"/>
      <c r="H500" s="1189"/>
      <c r="I500" s="1189"/>
      <c r="J500" s="1189"/>
      <c r="K500" s="1189"/>
      <c r="L500" s="1189"/>
      <c r="M500" s="1189"/>
      <c r="N500" s="1189"/>
      <c r="O500" s="1189"/>
      <c r="P500" s="1189"/>
      <c r="Q500" s="1189"/>
      <c r="R500" s="1189"/>
      <c r="S500" s="1189"/>
      <c r="T500" s="1189"/>
      <c r="U500" s="1189"/>
      <c r="V500" s="1189"/>
      <c r="W500" s="1189"/>
      <c r="X500" s="1189"/>
      <c r="Y500" s="1189"/>
      <c r="Z500" s="1189"/>
      <c r="AA500" s="1189"/>
      <c r="AB500" s="1189"/>
      <c r="AC500" s="1189"/>
      <c r="AD500" s="1189"/>
      <c r="AE500" s="1189"/>
      <c r="AF500" s="1189"/>
      <c r="AG500" s="1189"/>
      <c r="AH500" s="1189"/>
      <c r="AI500" s="1189"/>
    </row>
    <row r="501">
      <c r="A501" s="1202"/>
      <c r="B501" s="1203"/>
      <c r="C501" s="1189"/>
      <c r="D501" s="1189"/>
      <c r="E501" s="1189"/>
      <c r="F501" s="1189"/>
      <c r="G501" s="1189"/>
      <c r="H501" s="1189"/>
      <c r="I501" s="1189"/>
      <c r="J501" s="1189"/>
      <c r="K501" s="1189"/>
      <c r="L501" s="1189"/>
      <c r="M501" s="1189"/>
      <c r="N501" s="1189"/>
      <c r="O501" s="1189"/>
      <c r="P501" s="1189"/>
      <c r="Q501" s="1189"/>
      <c r="R501" s="1189"/>
      <c r="S501" s="1189"/>
      <c r="T501" s="1189"/>
      <c r="U501" s="1189"/>
      <c r="V501" s="1189"/>
      <c r="W501" s="1189"/>
      <c r="X501" s="1189"/>
      <c r="Y501" s="1189"/>
      <c r="Z501" s="1189"/>
      <c r="AA501" s="1189"/>
      <c r="AB501" s="1189"/>
      <c r="AC501" s="1189"/>
      <c r="AD501" s="1189"/>
      <c r="AE501" s="1189"/>
      <c r="AF501" s="1189"/>
      <c r="AG501" s="1189"/>
      <c r="AH501" s="1189"/>
      <c r="AI501" s="1189"/>
    </row>
    <row r="502">
      <c r="A502" s="1202"/>
      <c r="B502" s="1203"/>
      <c r="C502" s="1189"/>
      <c r="D502" s="1189"/>
      <c r="E502" s="1189"/>
      <c r="F502" s="1189"/>
      <c r="G502" s="1189"/>
      <c r="H502" s="1189"/>
      <c r="I502" s="1189"/>
      <c r="J502" s="1189"/>
      <c r="K502" s="1189"/>
      <c r="L502" s="1189"/>
      <c r="M502" s="1189"/>
      <c r="N502" s="1189"/>
      <c r="O502" s="1189"/>
      <c r="P502" s="1189"/>
      <c r="Q502" s="1189"/>
      <c r="R502" s="1189"/>
      <c r="S502" s="1189"/>
      <c r="T502" s="1189"/>
      <c r="U502" s="1189"/>
      <c r="V502" s="1189"/>
      <c r="W502" s="1189"/>
      <c r="X502" s="1189"/>
      <c r="Y502" s="1189"/>
      <c r="Z502" s="1189"/>
      <c r="AA502" s="1189"/>
      <c r="AB502" s="1189"/>
      <c r="AC502" s="1189"/>
      <c r="AD502" s="1189"/>
      <c r="AE502" s="1189"/>
      <c r="AF502" s="1189"/>
      <c r="AG502" s="1189"/>
      <c r="AH502" s="1189"/>
      <c r="AI502" s="1189"/>
    </row>
    <row r="503">
      <c r="A503" s="1202"/>
      <c r="B503" s="1203"/>
      <c r="C503" s="1189"/>
      <c r="D503" s="1189"/>
      <c r="E503" s="1189"/>
      <c r="F503" s="1189"/>
      <c r="G503" s="1189"/>
      <c r="H503" s="1189"/>
      <c r="I503" s="1189"/>
      <c r="J503" s="1189"/>
      <c r="K503" s="1189"/>
      <c r="L503" s="1189"/>
      <c r="M503" s="1189"/>
      <c r="N503" s="1189"/>
      <c r="O503" s="1189"/>
      <c r="P503" s="1189"/>
      <c r="Q503" s="1189"/>
      <c r="R503" s="1189"/>
      <c r="S503" s="1189"/>
      <c r="T503" s="1189"/>
      <c r="U503" s="1189"/>
      <c r="V503" s="1189"/>
      <c r="W503" s="1189"/>
      <c r="X503" s="1189"/>
      <c r="Y503" s="1189"/>
      <c r="Z503" s="1189"/>
      <c r="AA503" s="1189"/>
      <c r="AB503" s="1189"/>
      <c r="AC503" s="1189"/>
      <c r="AD503" s="1189"/>
      <c r="AE503" s="1189"/>
      <c r="AF503" s="1189"/>
      <c r="AG503" s="1189"/>
      <c r="AH503" s="1189"/>
      <c r="AI503" s="1189"/>
    </row>
    <row r="504">
      <c r="A504" s="1202"/>
      <c r="B504" s="1203"/>
      <c r="C504" s="1189"/>
      <c r="D504" s="1189"/>
      <c r="E504" s="1189"/>
      <c r="F504" s="1189"/>
      <c r="G504" s="1189"/>
      <c r="H504" s="1189"/>
      <c r="I504" s="1189"/>
      <c r="J504" s="1189"/>
      <c r="K504" s="1189"/>
      <c r="L504" s="1189"/>
      <c r="M504" s="1189"/>
      <c r="N504" s="1189"/>
      <c r="O504" s="1189"/>
      <c r="P504" s="1189"/>
      <c r="Q504" s="1189"/>
      <c r="R504" s="1189"/>
      <c r="S504" s="1189"/>
      <c r="T504" s="1189"/>
      <c r="U504" s="1189"/>
      <c r="V504" s="1189"/>
      <c r="W504" s="1189"/>
      <c r="X504" s="1189"/>
      <c r="Y504" s="1189"/>
      <c r="Z504" s="1189"/>
      <c r="AA504" s="1189"/>
      <c r="AB504" s="1189"/>
      <c r="AC504" s="1189"/>
      <c r="AD504" s="1189"/>
      <c r="AE504" s="1189"/>
      <c r="AF504" s="1189"/>
      <c r="AG504" s="1189"/>
      <c r="AH504" s="1189"/>
      <c r="AI504" s="1189"/>
    </row>
    <row r="505">
      <c r="A505" s="1202"/>
      <c r="B505" s="1203"/>
      <c r="C505" s="1189"/>
      <c r="D505" s="1189"/>
      <c r="E505" s="1189"/>
      <c r="F505" s="1189"/>
      <c r="G505" s="1189"/>
      <c r="H505" s="1189"/>
      <c r="I505" s="1189"/>
      <c r="J505" s="1189"/>
      <c r="K505" s="1189"/>
      <c r="L505" s="1189"/>
      <c r="M505" s="1189"/>
      <c r="N505" s="1189"/>
      <c r="O505" s="1189"/>
      <c r="P505" s="1189"/>
      <c r="Q505" s="1189"/>
      <c r="R505" s="1189"/>
      <c r="S505" s="1189"/>
      <c r="T505" s="1189"/>
      <c r="U505" s="1189"/>
      <c r="V505" s="1189"/>
      <c r="W505" s="1189"/>
      <c r="X505" s="1189"/>
      <c r="Y505" s="1189"/>
      <c r="Z505" s="1189"/>
      <c r="AA505" s="1189"/>
      <c r="AB505" s="1189"/>
      <c r="AC505" s="1189"/>
      <c r="AD505" s="1189"/>
      <c r="AE505" s="1189"/>
      <c r="AF505" s="1189"/>
      <c r="AG505" s="1189"/>
      <c r="AH505" s="1189"/>
      <c r="AI505" s="1189"/>
    </row>
    <row r="506">
      <c r="A506" s="1202"/>
      <c r="B506" s="1203"/>
      <c r="C506" s="1189"/>
      <c r="D506" s="1189"/>
      <c r="E506" s="1189"/>
      <c r="F506" s="1189"/>
      <c r="G506" s="1189"/>
      <c r="H506" s="1189"/>
      <c r="I506" s="1189"/>
      <c r="J506" s="1189"/>
      <c r="K506" s="1189"/>
      <c r="L506" s="1189"/>
      <c r="M506" s="1189"/>
      <c r="N506" s="1189"/>
      <c r="O506" s="1189"/>
      <c r="P506" s="1189"/>
      <c r="Q506" s="1189"/>
      <c r="R506" s="1189"/>
      <c r="S506" s="1189"/>
      <c r="T506" s="1189"/>
      <c r="U506" s="1189"/>
      <c r="V506" s="1189"/>
      <c r="W506" s="1189"/>
      <c r="X506" s="1189"/>
      <c r="Y506" s="1189"/>
      <c r="Z506" s="1189"/>
      <c r="AA506" s="1189"/>
      <c r="AB506" s="1189"/>
      <c r="AC506" s="1189"/>
      <c r="AD506" s="1189"/>
      <c r="AE506" s="1189"/>
      <c r="AF506" s="1189"/>
      <c r="AG506" s="1189"/>
      <c r="AH506" s="1189"/>
      <c r="AI506" s="1189"/>
    </row>
    <row r="507">
      <c r="A507" s="1202"/>
      <c r="B507" s="1203"/>
      <c r="C507" s="1189"/>
      <c r="D507" s="1189"/>
      <c r="E507" s="1189"/>
      <c r="F507" s="1189"/>
      <c r="G507" s="1189"/>
      <c r="H507" s="1189"/>
      <c r="I507" s="1189"/>
      <c r="J507" s="1189"/>
      <c r="K507" s="1189"/>
      <c r="L507" s="1189"/>
      <c r="M507" s="1189"/>
      <c r="N507" s="1189"/>
      <c r="O507" s="1189"/>
      <c r="P507" s="1189"/>
      <c r="Q507" s="1189"/>
      <c r="R507" s="1189"/>
      <c r="S507" s="1189"/>
      <c r="T507" s="1189"/>
      <c r="U507" s="1189"/>
      <c r="V507" s="1189"/>
      <c r="W507" s="1189"/>
      <c r="X507" s="1189"/>
      <c r="Y507" s="1189"/>
      <c r="Z507" s="1189"/>
      <c r="AA507" s="1189"/>
      <c r="AB507" s="1189"/>
      <c r="AC507" s="1189"/>
      <c r="AD507" s="1189"/>
      <c r="AE507" s="1189"/>
      <c r="AF507" s="1189"/>
      <c r="AG507" s="1189"/>
      <c r="AH507" s="1189"/>
      <c r="AI507" s="1189"/>
    </row>
    <row r="508">
      <c r="A508" s="1202"/>
      <c r="B508" s="1203"/>
      <c r="C508" s="1189"/>
      <c r="D508" s="1189"/>
      <c r="E508" s="1189"/>
      <c r="F508" s="1189"/>
      <c r="G508" s="1189"/>
      <c r="H508" s="1189"/>
      <c r="I508" s="1189"/>
      <c r="J508" s="1189"/>
      <c r="K508" s="1189"/>
      <c r="L508" s="1189"/>
      <c r="M508" s="1189"/>
      <c r="N508" s="1189"/>
      <c r="O508" s="1189"/>
      <c r="P508" s="1189"/>
      <c r="Q508" s="1189"/>
      <c r="R508" s="1189"/>
      <c r="S508" s="1189"/>
      <c r="T508" s="1189"/>
      <c r="U508" s="1189"/>
      <c r="V508" s="1189"/>
      <c r="W508" s="1189"/>
      <c r="X508" s="1189"/>
      <c r="Y508" s="1189"/>
      <c r="Z508" s="1189"/>
      <c r="AA508" s="1189"/>
      <c r="AB508" s="1189"/>
      <c r="AC508" s="1189"/>
      <c r="AD508" s="1189"/>
      <c r="AE508" s="1189"/>
      <c r="AF508" s="1189"/>
      <c r="AG508" s="1189"/>
      <c r="AH508" s="1189"/>
      <c r="AI508" s="1189"/>
    </row>
    <row r="509">
      <c r="A509" s="1202"/>
      <c r="B509" s="1203"/>
      <c r="C509" s="1189"/>
      <c r="D509" s="1189"/>
      <c r="E509" s="1189"/>
      <c r="F509" s="1189"/>
      <c r="G509" s="1189"/>
      <c r="H509" s="1189"/>
      <c r="I509" s="1189"/>
      <c r="J509" s="1189"/>
      <c r="K509" s="1189"/>
      <c r="L509" s="1189"/>
      <c r="M509" s="1189"/>
      <c r="N509" s="1189"/>
      <c r="O509" s="1189"/>
      <c r="P509" s="1189"/>
      <c r="Q509" s="1189"/>
      <c r="R509" s="1189"/>
      <c r="S509" s="1189"/>
      <c r="T509" s="1189"/>
      <c r="U509" s="1189"/>
      <c r="V509" s="1189"/>
      <c r="W509" s="1189"/>
      <c r="X509" s="1189"/>
      <c r="Y509" s="1189"/>
      <c r="Z509" s="1189"/>
      <c r="AA509" s="1189"/>
      <c r="AB509" s="1189"/>
      <c r="AC509" s="1189"/>
      <c r="AD509" s="1189"/>
      <c r="AE509" s="1189"/>
      <c r="AF509" s="1189"/>
      <c r="AG509" s="1189"/>
      <c r="AH509" s="1189"/>
      <c r="AI509" s="1189"/>
    </row>
    <row r="510">
      <c r="A510" s="1202"/>
      <c r="B510" s="1203"/>
      <c r="C510" s="1189"/>
      <c r="D510" s="1189"/>
      <c r="E510" s="1189"/>
      <c r="F510" s="1189"/>
      <c r="G510" s="1189"/>
      <c r="H510" s="1189"/>
      <c r="I510" s="1189"/>
      <c r="J510" s="1189"/>
      <c r="K510" s="1189"/>
      <c r="L510" s="1189"/>
      <c r="M510" s="1189"/>
      <c r="N510" s="1189"/>
      <c r="O510" s="1189"/>
      <c r="P510" s="1189"/>
      <c r="Q510" s="1189"/>
      <c r="R510" s="1189"/>
      <c r="S510" s="1189"/>
      <c r="T510" s="1189"/>
      <c r="U510" s="1189"/>
      <c r="V510" s="1189"/>
      <c r="W510" s="1189"/>
      <c r="X510" s="1189"/>
      <c r="Y510" s="1189"/>
      <c r="Z510" s="1189"/>
      <c r="AA510" s="1189"/>
      <c r="AB510" s="1189"/>
      <c r="AC510" s="1189"/>
      <c r="AD510" s="1189"/>
      <c r="AE510" s="1189"/>
      <c r="AF510" s="1189"/>
      <c r="AG510" s="1189"/>
      <c r="AH510" s="1189"/>
      <c r="AI510" s="1189"/>
    </row>
    <row r="511">
      <c r="A511" s="1202"/>
      <c r="B511" s="1203"/>
      <c r="C511" s="1189"/>
      <c r="D511" s="1189"/>
      <c r="E511" s="1189"/>
      <c r="F511" s="1189"/>
      <c r="G511" s="1189"/>
      <c r="H511" s="1189"/>
      <c r="I511" s="1189"/>
      <c r="J511" s="1189"/>
      <c r="K511" s="1189"/>
      <c r="L511" s="1189"/>
      <c r="M511" s="1189"/>
      <c r="N511" s="1189"/>
      <c r="O511" s="1189"/>
      <c r="P511" s="1189"/>
      <c r="Q511" s="1189"/>
      <c r="R511" s="1189"/>
      <c r="S511" s="1189"/>
      <c r="T511" s="1189"/>
      <c r="U511" s="1189"/>
      <c r="V511" s="1189"/>
      <c r="W511" s="1189"/>
      <c r="X511" s="1189"/>
      <c r="Y511" s="1189"/>
      <c r="Z511" s="1189"/>
      <c r="AA511" s="1189"/>
      <c r="AB511" s="1189"/>
      <c r="AC511" s="1189"/>
      <c r="AD511" s="1189"/>
      <c r="AE511" s="1189"/>
      <c r="AF511" s="1189"/>
      <c r="AG511" s="1189"/>
      <c r="AH511" s="1189"/>
      <c r="AI511" s="1189"/>
    </row>
    <row r="512">
      <c r="A512" s="1202"/>
      <c r="B512" s="1203"/>
      <c r="C512" s="1189"/>
      <c r="D512" s="1189"/>
      <c r="E512" s="1189"/>
      <c r="F512" s="1189"/>
      <c r="G512" s="1189"/>
      <c r="H512" s="1189"/>
      <c r="I512" s="1189"/>
      <c r="J512" s="1189"/>
      <c r="K512" s="1189"/>
      <c r="L512" s="1189"/>
      <c r="M512" s="1189"/>
      <c r="N512" s="1189"/>
      <c r="O512" s="1189"/>
      <c r="P512" s="1189"/>
      <c r="Q512" s="1189"/>
      <c r="R512" s="1189"/>
      <c r="S512" s="1189"/>
      <c r="T512" s="1189"/>
      <c r="U512" s="1189"/>
      <c r="V512" s="1189"/>
      <c r="W512" s="1189"/>
      <c r="X512" s="1189"/>
      <c r="Y512" s="1189"/>
      <c r="Z512" s="1189"/>
      <c r="AA512" s="1189"/>
      <c r="AB512" s="1189"/>
      <c r="AC512" s="1189"/>
      <c r="AD512" s="1189"/>
      <c r="AE512" s="1189"/>
      <c r="AF512" s="1189"/>
      <c r="AG512" s="1189"/>
      <c r="AH512" s="1189"/>
      <c r="AI512" s="1189"/>
    </row>
    <row r="513">
      <c r="A513" s="1202"/>
      <c r="B513" s="1203"/>
      <c r="C513" s="1189"/>
      <c r="D513" s="1189"/>
      <c r="E513" s="1189"/>
      <c r="F513" s="1189"/>
      <c r="G513" s="1189"/>
      <c r="H513" s="1189"/>
      <c r="I513" s="1189"/>
      <c r="J513" s="1189"/>
      <c r="K513" s="1189"/>
      <c r="L513" s="1189"/>
      <c r="M513" s="1189"/>
      <c r="N513" s="1189"/>
      <c r="O513" s="1189"/>
      <c r="P513" s="1189"/>
      <c r="Q513" s="1189"/>
      <c r="R513" s="1189"/>
      <c r="S513" s="1189"/>
      <c r="T513" s="1189"/>
      <c r="U513" s="1189"/>
      <c r="V513" s="1189"/>
      <c r="W513" s="1189"/>
      <c r="X513" s="1189"/>
      <c r="Y513" s="1189"/>
      <c r="Z513" s="1189"/>
      <c r="AA513" s="1189"/>
      <c r="AB513" s="1189"/>
      <c r="AC513" s="1189"/>
      <c r="AD513" s="1189"/>
      <c r="AE513" s="1189"/>
      <c r="AF513" s="1189"/>
      <c r="AG513" s="1189"/>
      <c r="AH513" s="1189"/>
      <c r="AI513" s="1189"/>
    </row>
    <row r="514">
      <c r="A514" s="1202"/>
      <c r="B514" s="1203"/>
      <c r="C514" s="1189"/>
      <c r="D514" s="1189"/>
      <c r="E514" s="1189"/>
      <c r="F514" s="1189"/>
      <c r="G514" s="1189"/>
      <c r="H514" s="1189"/>
      <c r="I514" s="1189"/>
      <c r="J514" s="1189"/>
      <c r="K514" s="1189"/>
      <c r="L514" s="1189"/>
      <c r="M514" s="1189"/>
      <c r="N514" s="1189"/>
      <c r="O514" s="1189"/>
      <c r="P514" s="1189"/>
      <c r="Q514" s="1189"/>
      <c r="R514" s="1189"/>
      <c r="S514" s="1189"/>
      <c r="T514" s="1189"/>
      <c r="U514" s="1189"/>
      <c r="V514" s="1189"/>
      <c r="W514" s="1189"/>
      <c r="X514" s="1189"/>
      <c r="Y514" s="1189"/>
      <c r="Z514" s="1189"/>
      <c r="AA514" s="1189"/>
      <c r="AB514" s="1189"/>
      <c r="AC514" s="1189"/>
      <c r="AD514" s="1189"/>
      <c r="AE514" s="1189"/>
      <c r="AF514" s="1189"/>
      <c r="AG514" s="1189"/>
      <c r="AH514" s="1189"/>
      <c r="AI514" s="1189"/>
    </row>
    <row r="515">
      <c r="A515" s="1202"/>
      <c r="B515" s="1203"/>
      <c r="C515" s="1189"/>
      <c r="D515" s="1189"/>
      <c r="E515" s="1189"/>
      <c r="F515" s="1189"/>
      <c r="G515" s="1189"/>
      <c r="H515" s="1189"/>
      <c r="I515" s="1189"/>
      <c r="J515" s="1189"/>
      <c r="K515" s="1189"/>
      <c r="L515" s="1189"/>
      <c r="M515" s="1189"/>
      <c r="N515" s="1189"/>
      <c r="O515" s="1189"/>
      <c r="P515" s="1189"/>
      <c r="Q515" s="1189"/>
      <c r="R515" s="1189"/>
      <c r="S515" s="1189"/>
      <c r="T515" s="1189"/>
      <c r="U515" s="1189"/>
      <c r="V515" s="1189"/>
      <c r="W515" s="1189"/>
      <c r="X515" s="1189"/>
      <c r="Y515" s="1189"/>
      <c r="Z515" s="1189"/>
      <c r="AA515" s="1189"/>
      <c r="AB515" s="1189"/>
      <c r="AC515" s="1189"/>
      <c r="AD515" s="1189"/>
      <c r="AE515" s="1189"/>
      <c r="AF515" s="1189"/>
      <c r="AG515" s="1189"/>
      <c r="AH515" s="1189"/>
      <c r="AI515" s="1189"/>
    </row>
    <row r="516">
      <c r="A516" s="1202"/>
      <c r="B516" s="1203"/>
      <c r="C516" s="1189"/>
      <c r="D516" s="1189"/>
      <c r="E516" s="1189"/>
      <c r="F516" s="1189"/>
      <c r="G516" s="1189"/>
      <c r="H516" s="1189"/>
      <c r="I516" s="1189"/>
      <c r="J516" s="1189"/>
      <c r="K516" s="1189"/>
      <c r="L516" s="1189"/>
      <c r="M516" s="1189"/>
      <c r="N516" s="1189"/>
      <c r="O516" s="1189"/>
      <c r="P516" s="1189"/>
      <c r="Q516" s="1189"/>
      <c r="R516" s="1189"/>
      <c r="S516" s="1189"/>
      <c r="T516" s="1189"/>
      <c r="U516" s="1189"/>
      <c r="V516" s="1189"/>
      <c r="W516" s="1189"/>
      <c r="X516" s="1189"/>
      <c r="Y516" s="1189"/>
      <c r="Z516" s="1189"/>
      <c r="AA516" s="1189"/>
      <c r="AB516" s="1189"/>
      <c r="AC516" s="1189"/>
      <c r="AD516" s="1189"/>
      <c r="AE516" s="1189"/>
      <c r="AF516" s="1189"/>
      <c r="AG516" s="1189"/>
      <c r="AH516" s="1189"/>
      <c r="AI516" s="1189"/>
    </row>
    <row r="517">
      <c r="A517" s="1202"/>
      <c r="B517" s="1203"/>
      <c r="C517" s="1189"/>
      <c r="D517" s="1189"/>
      <c r="E517" s="1189"/>
      <c r="F517" s="1189"/>
      <c r="G517" s="1189"/>
      <c r="H517" s="1189"/>
      <c r="I517" s="1189"/>
      <c r="J517" s="1189"/>
      <c r="K517" s="1189"/>
      <c r="L517" s="1189"/>
      <c r="M517" s="1189"/>
      <c r="N517" s="1189"/>
      <c r="O517" s="1189"/>
      <c r="P517" s="1189"/>
      <c r="Q517" s="1189"/>
      <c r="R517" s="1189"/>
      <c r="S517" s="1189"/>
      <c r="T517" s="1189"/>
      <c r="U517" s="1189"/>
      <c r="V517" s="1189"/>
      <c r="W517" s="1189"/>
      <c r="X517" s="1189"/>
      <c r="Y517" s="1189"/>
      <c r="Z517" s="1189"/>
      <c r="AA517" s="1189"/>
      <c r="AB517" s="1189"/>
      <c r="AC517" s="1189"/>
      <c r="AD517" s="1189"/>
      <c r="AE517" s="1189"/>
      <c r="AF517" s="1189"/>
      <c r="AG517" s="1189"/>
      <c r="AH517" s="1189"/>
      <c r="AI517" s="1189"/>
    </row>
    <row r="518">
      <c r="A518" s="1202"/>
      <c r="B518" s="1203"/>
      <c r="C518" s="1189"/>
      <c r="D518" s="1189"/>
      <c r="E518" s="1189"/>
      <c r="F518" s="1189"/>
      <c r="G518" s="1189"/>
      <c r="H518" s="1189"/>
      <c r="I518" s="1189"/>
      <c r="J518" s="1189"/>
      <c r="K518" s="1189"/>
      <c r="L518" s="1189"/>
      <c r="M518" s="1189"/>
      <c r="N518" s="1189"/>
      <c r="O518" s="1189"/>
      <c r="P518" s="1189"/>
      <c r="Q518" s="1189"/>
      <c r="R518" s="1189"/>
      <c r="S518" s="1189"/>
      <c r="T518" s="1189"/>
      <c r="U518" s="1189"/>
      <c r="V518" s="1189"/>
      <c r="W518" s="1189"/>
      <c r="X518" s="1189"/>
      <c r="Y518" s="1189"/>
      <c r="Z518" s="1189"/>
      <c r="AA518" s="1189"/>
      <c r="AB518" s="1189"/>
      <c r="AC518" s="1189"/>
      <c r="AD518" s="1189"/>
      <c r="AE518" s="1189"/>
      <c r="AF518" s="1189"/>
      <c r="AG518" s="1189"/>
      <c r="AH518" s="1189"/>
      <c r="AI518" s="1189"/>
    </row>
    <row r="519">
      <c r="A519" s="1202"/>
      <c r="B519" s="1203"/>
      <c r="C519" s="1189"/>
      <c r="D519" s="1189"/>
      <c r="E519" s="1189"/>
      <c r="F519" s="1189"/>
      <c r="G519" s="1189"/>
      <c r="H519" s="1189"/>
      <c r="I519" s="1189"/>
      <c r="J519" s="1189"/>
      <c r="K519" s="1189"/>
      <c r="L519" s="1189"/>
      <c r="M519" s="1189"/>
      <c r="N519" s="1189"/>
      <c r="O519" s="1189"/>
      <c r="P519" s="1189"/>
      <c r="Q519" s="1189"/>
      <c r="R519" s="1189"/>
      <c r="S519" s="1189"/>
      <c r="T519" s="1189"/>
      <c r="U519" s="1189"/>
      <c r="V519" s="1189"/>
      <c r="W519" s="1189"/>
      <c r="X519" s="1189"/>
      <c r="Y519" s="1189"/>
      <c r="Z519" s="1189"/>
      <c r="AA519" s="1189"/>
      <c r="AB519" s="1189"/>
      <c r="AC519" s="1189"/>
      <c r="AD519" s="1189"/>
      <c r="AE519" s="1189"/>
      <c r="AF519" s="1189"/>
      <c r="AG519" s="1189"/>
      <c r="AH519" s="1189"/>
      <c r="AI519" s="1189"/>
    </row>
    <row r="520">
      <c r="A520" s="1202"/>
      <c r="B520" s="1203"/>
      <c r="C520" s="1189"/>
      <c r="D520" s="1189"/>
      <c r="E520" s="1189"/>
      <c r="F520" s="1189"/>
      <c r="G520" s="1189"/>
      <c r="H520" s="1189"/>
      <c r="I520" s="1189"/>
      <c r="J520" s="1189"/>
      <c r="K520" s="1189"/>
      <c r="L520" s="1189"/>
      <c r="M520" s="1189"/>
      <c r="N520" s="1189"/>
      <c r="O520" s="1189"/>
      <c r="P520" s="1189"/>
      <c r="Q520" s="1189"/>
      <c r="R520" s="1189"/>
      <c r="S520" s="1189"/>
      <c r="T520" s="1189"/>
      <c r="U520" s="1189"/>
      <c r="V520" s="1189"/>
      <c r="W520" s="1189"/>
      <c r="X520" s="1189"/>
      <c r="Y520" s="1189"/>
      <c r="Z520" s="1189"/>
      <c r="AA520" s="1189"/>
      <c r="AB520" s="1189"/>
      <c r="AC520" s="1189"/>
      <c r="AD520" s="1189"/>
      <c r="AE520" s="1189"/>
      <c r="AF520" s="1189"/>
      <c r="AG520" s="1189"/>
      <c r="AH520" s="1189"/>
      <c r="AI520" s="1189"/>
    </row>
    <row r="521">
      <c r="A521" s="1202"/>
      <c r="B521" s="1203"/>
      <c r="C521" s="1189"/>
      <c r="D521" s="1189"/>
      <c r="E521" s="1189"/>
      <c r="F521" s="1189"/>
      <c r="G521" s="1189"/>
      <c r="H521" s="1189"/>
      <c r="I521" s="1189"/>
      <c r="J521" s="1189"/>
      <c r="K521" s="1189"/>
      <c r="L521" s="1189"/>
      <c r="M521" s="1189"/>
      <c r="N521" s="1189"/>
      <c r="O521" s="1189"/>
      <c r="P521" s="1189"/>
      <c r="Q521" s="1189"/>
      <c r="R521" s="1189"/>
      <c r="S521" s="1189"/>
      <c r="T521" s="1189"/>
      <c r="U521" s="1189"/>
      <c r="V521" s="1189"/>
      <c r="W521" s="1189"/>
      <c r="X521" s="1189"/>
      <c r="Y521" s="1189"/>
      <c r="Z521" s="1189"/>
      <c r="AA521" s="1189"/>
      <c r="AB521" s="1189"/>
      <c r="AC521" s="1189"/>
      <c r="AD521" s="1189"/>
      <c r="AE521" s="1189"/>
      <c r="AF521" s="1189"/>
      <c r="AG521" s="1189"/>
      <c r="AH521" s="1189"/>
      <c r="AI521" s="1189"/>
    </row>
    <row r="522">
      <c r="A522" s="1202"/>
      <c r="B522" s="1203"/>
      <c r="C522" s="1189"/>
      <c r="D522" s="1189"/>
      <c r="E522" s="1189"/>
      <c r="F522" s="1189"/>
      <c r="G522" s="1189"/>
      <c r="H522" s="1189"/>
      <c r="I522" s="1189"/>
      <c r="J522" s="1189"/>
      <c r="K522" s="1189"/>
      <c r="L522" s="1189"/>
      <c r="M522" s="1189"/>
      <c r="N522" s="1189"/>
      <c r="O522" s="1189"/>
      <c r="P522" s="1189"/>
      <c r="Q522" s="1189"/>
      <c r="R522" s="1189"/>
      <c r="S522" s="1189"/>
      <c r="T522" s="1189"/>
      <c r="U522" s="1189"/>
      <c r="V522" s="1189"/>
      <c r="W522" s="1189"/>
      <c r="X522" s="1189"/>
      <c r="Y522" s="1189"/>
      <c r="Z522" s="1189"/>
      <c r="AA522" s="1189"/>
      <c r="AB522" s="1189"/>
      <c r="AC522" s="1189"/>
      <c r="AD522" s="1189"/>
      <c r="AE522" s="1189"/>
      <c r="AF522" s="1189"/>
      <c r="AG522" s="1189"/>
      <c r="AH522" s="1189"/>
      <c r="AI522" s="1189"/>
    </row>
    <row r="523">
      <c r="A523" s="1202"/>
      <c r="B523" s="1203"/>
      <c r="C523" s="1189"/>
      <c r="D523" s="1189"/>
      <c r="E523" s="1189"/>
      <c r="F523" s="1189"/>
      <c r="G523" s="1189"/>
      <c r="H523" s="1189"/>
      <c r="I523" s="1189"/>
      <c r="J523" s="1189"/>
      <c r="K523" s="1189"/>
      <c r="L523" s="1189"/>
      <c r="M523" s="1189"/>
      <c r="N523" s="1189"/>
      <c r="O523" s="1189"/>
      <c r="P523" s="1189"/>
      <c r="Q523" s="1189"/>
      <c r="R523" s="1189"/>
      <c r="S523" s="1189"/>
      <c r="T523" s="1189"/>
      <c r="U523" s="1189"/>
      <c r="V523" s="1189"/>
      <c r="W523" s="1189"/>
      <c r="X523" s="1189"/>
      <c r="Y523" s="1189"/>
      <c r="Z523" s="1189"/>
      <c r="AA523" s="1189"/>
      <c r="AB523" s="1189"/>
      <c r="AC523" s="1189"/>
      <c r="AD523" s="1189"/>
      <c r="AE523" s="1189"/>
      <c r="AF523" s="1189"/>
      <c r="AG523" s="1189"/>
      <c r="AH523" s="1189"/>
      <c r="AI523" s="1189"/>
    </row>
    <row r="524">
      <c r="A524" s="1202"/>
      <c r="B524" s="1203"/>
      <c r="C524" s="1189"/>
      <c r="D524" s="1189"/>
      <c r="E524" s="1189"/>
      <c r="F524" s="1189"/>
      <c r="G524" s="1189"/>
      <c r="H524" s="1189"/>
      <c r="I524" s="1189"/>
      <c r="J524" s="1189"/>
      <c r="K524" s="1189"/>
      <c r="L524" s="1189"/>
      <c r="M524" s="1189"/>
      <c r="N524" s="1189"/>
      <c r="O524" s="1189"/>
      <c r="P524" s="1189"/>
      <c r="Q524" s="1189"/>
      <c r="R524" s="1189"/>
      <c r="S524" s="1189"/>
      <c r="T524" s="1189"/>
      <c r="U524" s="1189"/>
      <c r="V524" s="1189"/>
      <c r="W524" s="1189"/>
      <c r="X524" s="1189"/>
      <c r="Y524" s="1189"/>
      <c r="Z524" s="1189"/>
      <c r="AA524" s="1189"/>
      <c r="AB524" s="1189"/>
      <c r="AC524" s="1189"/>
      <c r="AD524" s="1189"/>
      <c r="AE524" s="1189"/>
      <c r="AF524" s="1189"/>
      <c r="AG524" s="1189"/>
      <c r="AH524" s="1189"/>
      <c r="AI524" s="1189"/>
    </row>
    <row r="525">
      <c r="A525" s="1202"/>
      <c r="B525" s="1203"/>
      <c r="C525" s="1189"/>
      <c r="D525" s="1189"/>
      <c r="E525" s="1189"/>
      <c r="F525" s="1189"/>
      <c r="G525" s="1189"/>
      <c r="H525" s="1189"/>
      <c r="I525" s="1189"/>
      <c r="J525" s="1189"/>
      <c r="K525" s="1189"/>
      <c r="L525" s="1189"/>
      <c r="M525" s="1189"/>
      <c r="N525" s="1189"/>
      <c r="O525" s="1189"/>
      <c r="P525" s="1189"/>
      <c r="Q525" s="1189"/>
      <c r="R525" s="1189"/>
      <c r="S525" s="1189"/>
      <c r="T525" s="1189"/>
      <c r="U525" s="1189"/>
      <c r="V525" s="1189"/>
      <c r="W525" s="1189"/>
      <c r="X525" s="1189"/>
      <c r="Y525" s="1189"/>
      <c r="Z525" s="1189"/>
      <c r="AA525" s="1189"/>
      <c r="AB525" s="1189"/>
      <c r="AC525" s="1189"/>
      <c r="AD525" s="1189"/>
      <c r="AE525" s="1189"/>
      <c r="AF525" s="1189"/>
      <c r="AG525" s="1189"/>
      <c r="AH525" s="1189"/>
      <c r="AI525" s="1189"/>
    </row>
    <row r="526">
      <c r="A526" s="1202"/>
      <c r="B526" s="1203"/>
      <c r="C526" s="1189"/>
      <c r="D526" s="1189"/>
      <c r="E526" s="1189"/>
      <c r="F526" s="1189"/>
      <c r="G526" s="1189"/>
      <c r="H526" s="1189"/>
      <c r="I526" s="1189"/>
      <c r="J526" s="1189"/>
      <c r="K526" s="1189"/>
      <c r="L526" s="1189"/>
      <c r="M526" s="1189"/>
      <c r="N526" s="1189"/>
      <c r="O526" s="1189"/>
      <c r="P526" s="1189"/>
      <c r="Q526" s="1189"/>
      <c r="R526" s="1189"/>
      <c r="S526" s="1189"/>
      <c r="T526" s="1189"/>
      <c r="U526" s="1189"/>
      <c r="V526" s="1189"/>
      <c r="W526" s="1189"/>
      <c r="X526" s="1189"/>
      <c r="Y526" s="1189"/>
      <c r="Z526" s="1189"/>
      <c r="AA526" s="1189"/>
      <c r="AB526" s="1189"/>
      <c r="AC526" s="1189"/>
      <c r="AD526" s="1189"/>
      <c r="AE526" s="1189"/>
      <c r="AF526" s="1189"/>
      <c r="AG526" s="1189"/>
      <c r="AH526" s="1189"/>
      <c r="AI526" s="1189"/>
    </row>
    <row r="527">
      <c r="A527" s="1202"/>
      <c r="B527" s="1203"/>
      <c r="C527" s="1189"/>
      <c r="D527" s="1189"/>
      <c r="E527" s="1189"/>
      <c r="F527" s="1189"/>
      <c r="G527" s="1189"/>
      <c r="H527" s="1189"/>
      <c r="I527" s="1189"/>
      <c r="J527" s="1189"/>
      <c r="K527" s="1189"/>
      <c r="L527" s="1189"/>
      <c r="M527" s="1189"/>
      <c r="N527" s="1189"/>
      <c r="O527" s="1189"/>
      <c r="P527" s="1189"/>
      <c r="Q527" s="1189"/>
      <c r="R527" s="1189"/>
      <c r="S527" s="1189"/>
      <c r="T527" s="1189"/>
      <c r="U527" s="1189"/>
      <c r="V527" s="1189"/>
      <c r="W527" s="1189"/>
      <c r="X527" s="1189"/>
      <c r="Y527" s="1189"/>
      <c r="Z527" s="1189"/>
      <c r="AA527" s="1189"/>
      <c r="AB527" s="1189"/>
      <c r="AC527" s="1189"/>
      <c r="AD527" s="1189"/>
      <c r="AE527" s="1189"/>
      <c r="AF527" s="1189"/>
      <c r="AG527" s="1189"/>
      <c r="AH527" s="1189"/>
      <c r="AI527" s="1189"/>
    </row>
    <row r="528">
      <c r="A528" s="1202"/>
      <c r="B528" s="1203"/>
      <c r="C528" s="1189"/>
      <c r="D528" s="1189"/>
      <c r="E528" s="1189"/>
      <c r="F528" s="1189"/>
      <c r="G528" s="1189"/>
      <c r="H528" s="1189"/>
      <c r="I528" s="1189"/>
      <c r="J528" s="1189"/>
      <c r="K528" s="1189"/>
      <c r="L528" s="1189"/>
      <c r="M528" s="1189"/>
      <c r="N528" s="1189"/>
      <c r="O528" s="1189"/>
      <c r="P528" s="1189"/>
      <c r="Q528" s="1189"/>
      <c r="R528" s="1189"/>
      <c r="S528" s="1189"/>
      <c r="T528" s="1189"/>
      <c r="U528" s="1189"/>
      <c r="V528" s="1189"/>
      <c r="W528" s="1189"/>
      <c r="X528" s="1189"/>
      <c r="Y528" s="1189"/>
      <c r="Z528" s="1189"/>
      <c r="AA528" s="1189"/>
      <c r="AB528" s="1189"/>
      <c r="AC528" s="1189"/>
      <c r="AD528" s="1189"/>
      <c r="AE528" s="1189"/>
      <c r="AF528" s="1189"/>
      <c r="AG528" s="1189"/>
      <c r="AH528" s="1189"/>
      <c r="AI528" s="1189"/>
    </row>
    <row r="529">
      <c r="A529" s="1202"/>
      <c r="B529" s="1203"/>
      <c r="C529" s="1189"/>
      <c r="D529" s="1189"/>
      <c r="E529" s="1189"/>
      <c r="F529" s="1189"/>
      <c r="G529" s="1189"/>
      <c r="H529" s="1189"/>
      <c r="I529" s="1189"/>
      <c r="J529" s="1189"/>
      <c r="K529" s="1189"/>
      <c r="L529" s="1189"/>
      <c r="M529" s="1189"/>
      <c r="N529" s="1189"/>
      <c r="O529" s="1189"/>
      <c r="P529" s="1189"/>
      <c r="Q529" s="1189"/>
      <c r="R529" s="1189"/>
      <c r="S529" s="1189"/>
      <c r="T529" s="1189"/>
      <c r="U529" s="1189"/>
      <c r="V529" s="1189"/>
      <c r="W529" s="1189"/>
      <c r="X529" s="1189"/>
      <c r="Y529" s="1189"/>
      <c r="Z529" s="1189"/>
      <c r="AA529" s="1189"/>
      <c r="AB529" s="1189"/>
      <c r="AC529" s="1189"/>
      <c r="AD529" s="1189"/>
      <c r="AE529" s="1189"/>
      <c r="AF529" s="1189"/>
      <c r="AG529" s="1189"/>
      <c r="AH529" s="1189"/>
      <c r="AI529" s="1189"/>
    </row>
    <row r="530">
      <c r="A530" s="1202"/>
      <c r="B530" s="1203"/>
      <c r="C530" s="1189"/>
      <c r="D530" s="1189"/>
      <c r="E530" s="1189"/>
      <c r="F530" s="1189"/>
      <c r="G530" s="1189"/>
      <c r="H530" s="1189"/>
      <c r="I530" s="1189"/>
      <c r="J530" s="1189"/>
      <c r="K530" s="1189"/>
      <c r="L530" s="1189"/>
      <c r="M530" s="1189"/>
      <c r="N530" s="1189"/>
      <c r="O530" s="1189"/>
      <c r="P530" s="1189"/>
      <c r="Q530" s="1189"/>
      <c r="R530" s="1189"/>
      <c r="S530" s="1189"/>
      <c r="T530" s="1189"/>
      <c r="U530" s="1189"/>
      <c r="V530" s="1189"/>
      <c r="W530" s="1189"/>
      <c r="X530" s="1189"/>
      <c r="Y530" s="1189"/>
      <c r="Z530" s="1189"/>
      <c r="AA530" s="1189"/>
      <c r="AB530" s="1189"/>
      <c r="AC530" s="1189"/>
      <c r="AD530" s="1189"/>
      <c r="AE530" s="1189"/>
      <c r="AF530" s="1189"/>
      <c r="AG530" s="1189"/>
      <c r="AH530" s="1189"/>
      <c r="AI530" s="1189"/>
    </row>
    <row r="531">
      <c r="A531" s="1202"/>
      <c r="B531" s="1203"/>
      <c r="C531" s="1189"/>
      <c r="D531" s="1189"/>
      <c r="E531" s="1189"/>
      <c r="F531" s="1189"/>
      <c r="G531" s="1189"/>
      <c r="H531" s="1189"/>
      <c r="I531" s="1189"/>
      <c r="J531" s="1189"/>
      <c r="K531" s="1189"/>
      <c r="L531" s="1189"/>
      <c r="M531" s="1189"/>
      <c r="N531" s="1189"/>
      <c r="O531" s="1189"/>
      <c r="P531" s="1189"/>
      <c r="Q531" s="1189"/>
      <c r="R531" s="1189"/>
      <c r="S531" s="1189"/>
      <c r="T531" s="1189"/>
      <c r="U531" s="1189"/>
      <c r="V531" s="1189"/>
      <c r="W531" s="1189"/>
      <c r="X531" s="1189"/>
      <c r="Y531" s="1189"/>
      <c r="Z531" s="1189"/>
      <c r="AA531" s="1189"/>
      <c r="AB531" s="1189"/>
      <c r="AC531" s="1189"/>
      <c r="AD531" s="1189"/>
      <c r="AE531" s="1189"/>
      <c r="AF531" s="1189"/>
      <c r="AG531" s="1189"/>
      <c r="AH531" s="1189"/>
      <c r="AI531" s="1189"/>
    </row>
    <row r="532">
      <c r="A532" s="1202"/>
      <c r="B532" s="1203"/>
      <c r="C532" s="1189"/>
      <c r="D532" s="1189"/>
      <c r="E532" s="1189"/>
      <c r="F532" s="1189"/>
      <c r="G532" s="1189"/>
      <c r="H532" s="1189"/>
      <c r="I532" s="1189"/>
      <c r="J532" s="1189"/>
      <c r="K532" s="1189"/>
      <c r="L532" s="1189"/>
      <c r="M532" s="1189"/>
      <c r="N532" s="1189"/>
      <c r="O532" s="1189"/>
      <c r="P532" s="1189"/>
      <c r="Q532" s="1189"/>
      <c r="R532" s="1189"/>
      <c r="S532" s="1189"/>
      <c r="T532" s="1189"/>
      <c r="U532" s="1189"/>
      <c r="V532" s="1189"/>
      <c r="W532" s="1189"/>
      <c r="X532" s="1189"/>
      <c r="Y532" s="1189"/>
      <c r="Z532" s="1189"/>
      <c r="AA532" s="1189"/>
      <c r="AB532" s="1189"/>
      <c r="AC532" s="1189"/>
      <c r="AD532" s="1189"/>
      <c r="AE532" s="1189"/>
      <c r="AF532" s="1189"/>
      <c r="AG532" s="1189"/>
      <c r="AH532" s="1189"/>
      <c r="AI532" s="1189"/>
    </row>
    <row r="533">
      <c r="A533" s="1202"/>
      <c r="B533" s="1203"/>
      <c r="C533" s="1189"/>
      <c r="D533" s="1189"/>
      <c r="E533" s="1189"/>
      <c r="F533" s="1189"/>
      <c r="G533" s="1189"/>
      <c r="H533" s="1189"/>
      <c r="I533" s="1189"/>
      <c r="J533" s="1189"/>
      <c r="K533" s="1189"/>
      <c r="L533" s="1189"/>
      <c r="M533" s="1189"/>
      <c r="N533" s="1189"/>
      <c r="O533" s="1189"/>
      <c r="P533" s="1189"/>
      <c r="Q533" s="1189"/>
      <c r="R533" s="1189"/>
      <c r="S533" s="1189"/>
      <c r="T533" s="1189"/>
      <c r="U533" s="1189"/>
      <c r="V533" s="1189"/>
      <c r="W533" s="1189"/>
      <c r="X533" s="1189"/>
      <c r="Y533" s="1189"/>
      <c r="Z533" s="1189"/>
      <c r="AA533" s="1189"/>
      <c r="AB533" s="1189"/>
      <c r="AC533" s="1189"/>
      <c r="AD533" s="1189"/>
      <c r="AE533" s="1189"/>
      <c r="AF533" s="1189"/>
      <c r="AG533" s="1189"/>
      <c r="AH533" s="1189"/>
      <c r="AI533" s="1189"/>
    </row>
    <row r="534">
      <c r="A534" s="1202"/>
      <c r="B534" s="1203"/>
      <c r="C534" s="1189"/>
      <c r="D534" s="1189"/>
      <c r="E534" s="1189"/>
      <c r="F534" s="1189"/>
      <c r="G534" s="1189"/>
      <c r="H534" s="1189"/>
      <c r="I534" s="1189"/>
      <c r="J534" s="1189"/>
      <c r="K534" s="1189"/>
      <c r="L534" s="1189"/>
      <c r="M534" s="1189"/>
      <c r="N534" s="1189"/>
      <c r="O534" s="1189"/>
      <c r="P534" s="1189"/>
      <c r="Q534" s="1189"/>
      <c r="R534" s="1189"/>
      <c r="S534" s="1189"/>
      <c r="T534" s="1189"/>
      <c r="U534" s="1189"/>
      <c r="V534" s="1189"/>
      <c r="W534" s="1189"/>
      <c r="X534" s="1189"/>
      <c r="Y534" s="1189"/>
      <c r="Z534" s="1189"/>
      <c r="AA534" s="1189"/>
      <c r="AB534" s="1189"/>
      <c r="AC534" s="1189"/>
      <c r="AD534" s="1189"/>
      <c r="AE534" s="1189"/>
      <c r="AF534" s="1189"/>
      <c r="AG534" s="1189"/>
      <c r="AH534" s="1189"/>
      <c r="AI534" s="1189"/>
    </row>
    <row r="535">
      <c r="A535" s="1202"/>
      <c r="B535" s="1203"/>
      <c r="C535" s="1189"/>
      <c r="D535" s="1189"/>
      <c r="E535" s="1189"/>
      <c r="F535" s="1189"/>
      <c r="G535" s="1189"/>
      <c r="H535" s="1189"/>
      <c r="I535" s="1189"/>
      <c r="J535" s="1189"/>
      <c r="K535" s="1189"/>
      <c r="L535" s="1189"/>
      <c r="M535" s="1189"/>
      <c r="N535" s="1189"/>
      <c r="O535" s="1189"/>
      <c r="P535" s="1189"/>
      <c r="Q535" s="1189"/>
      <c r="R535" s="1189"/>
      <c r="S535" s="1189"/>
      <c r="T535" s="1189"/>
      <c r="U535" s="1189"/>
      <c r="V535" s="1189"/>
      <c r="W535" s="1189"/>
      <c r="X535" s="1189"/>
      <c r="Y535" s="1189"/>
      <c r="Z535" s="1189"/>
      <c r="AA535" s="1189"/>
      <c r="AB535" s="1189"/>
      <c r="AC535" s="1189"/>
      <c r="AD535" s="1189"/>
      <c r="AE535" s="1189"/>
      <c r="AF535" s="1189"/>
      <c r="AG535" s="1189"/>
      <c r="AH535" s="1189"/>
      <c r="AI535" s="1189"/>
    </row>
    <row r="536">
      <c r="A536" s="1202"/>
      <c r="B536" s="1203"/>
      <c r="C536" s="1189"/>
      <c r="D536" s="1189"/>
      <c r="E536" s="1189"/>
      <c r="F536" s="1189"/>
      <c r="G536" s="1189"/>
      <c r="H536" s="1189"/>
      <c r="I536" s="1189"/>
      <c r="J536" s="1189"/>
      <c r="K536" s="1189"/>
      <c r="L536" s="1189"/>
      <c r="M536" s="1189"/>
      <c r="N536" s="1189"/>
      <c r="O536" s="1189"/>
      <c r="P536" s="1189"/>
      <c r="Q536" s="1189"/>
      <c r="R536" s="1189"/>
      <c r="S536" s="1189"/>
      <c r="T536" s="1189"/>
      <c r="U536" s="1189"/>
      <c r="V536" s="1189"/>
      <c r="W536" s="1189"/>
      <c r="X536" s="1189"/>
      <c r="Y536" s="1189"/>
      <c r="Z536" s="1189"/>
      <c r="AA536" s="1189"/>
      <c r="AB536" s="1189"/>
      <c r="AC536" s="1189"/>
      <c r="AD536" s="1189"/>
      <c r="AE536" s="1189"/>
      <c r="AF536" s="1189"/>
      <c r="AG536" s="1189"/>
      <c r="AH536" s="1189"/>
      <c r="AI536" s="1189"/>
    </row>
    <row r="537">
      <c r="A537" s="1202"/>
      <c r="B537" s="1203"/>
      <c r="C537" s="1189"/>
      <c r="D537" s="1189"/>
      <c r="E537" s="1189"/>
      <c r="F537" s="1189"/>
      <c r="G537" s="1189"/>
      <c r="H537" s="1189"/>
      <c r="I537" s="1189"/>
      <c r="J537" s="1189"/>
      <c r="K537" s="1189"/>
      <c r="L537" s="1189"/>
      <c r="M537" s="1189"/>
      <c r="N537" s="1189"/>
      <c r="O537" s="1189"/>
      <c r="P537" s="1189"/>
      <c r="Q537" s="1189"/>
      <c r="R537" s="1189"/>
      <c r="S537" s="1189"/>
      <c r="T537" s="1189"/>
      <c r="U537" s="1189"/>
      <c r="V537" s="1189"/>
      <c r="W537" s="1189"/>
      <c r="X537" s="1189"/>
      <c r="Y537" s="1189"/>
      <c r="Z537" s="1189"/>
      <c r="AA537" s="1189"/>
      <c r="AB537" s="1189"/>
      <c r="AC537" s="1189"/>
      <c r="AD537" s="1189"/>
      <c r="AE537" s="1189"/>
      <c r="AF537" s="1189"/>
      <c r="AG537" s="1189"/>
      <c r="AH537" s="1189"/>
      <c r="AI537" s="1189"/>
    </row>
    <row r="538">
      <c r="A538" s="1202"/>
      <c r="B538" s="1203"/>
      <c r="C538" s="1189"/>
      <c r="D538" s="1189"/>
      <c r="E538" s="1189"/>
      <c r="F538" s="1189"/>
      <c r="G538" s="1189"/>
      <c r="H538" s="1189"/>
      <c r="I538" s="1189"/>
      <c r="J538" s="1189"/>
      <c r="K538" s="1189"/>
      <c r="L538" s="1189"/>
      <c r="M538" s="1189"/>
      <c r="N538" s="1189"/>
      <c r="O538" s="1189"/>
      <c r="P538" s="1189"/>
      <c r="Q538" s="1189"/>
      <c r="R538" s="1189"/>
      <c r="S538" s="1189"/>
      <c r="T538" s="1189"/>
      <c r="U538" s="1189"/>
      <c r="V538" s="1189"/>
      <c r="W538" s="1189"/>
      <c r="X538" s="1189"/>
      <c r="Y538" s="1189"/>
      <c r="Z538" s="1189"/>
      <c r="AA538" s="1189"/>
      <c r="AB538" s="1189"/>
      <c r="AC538" s="1189"/>
      <c r="AD538" s="1189"/>
      <c r="AE538" s="1189"/>
      <c r="AF538" s="1189"/>
      <c r="AG538" s="1189"/>
      <c r="AH538" s="1189"/>
      <c r="AI538" s="1189"/>
    </row>
    <row r="539">
      <c r="A539" s="1202"/>
      <c r="B539" s="1203"/>
      <c r="C539" s="1189"/>
      <c r="D539" s="1189"/>
      <c r="E539" s="1189"/>
      <c r="F539" s="1189"/>
      <c r="G539" s="1189"/>
      <c r="H539" s="1189"/>
      <c r="I539" s="1189"/>
      <c r="J539" s="1189"/>
      <c r="K539" s="1189"/>
      <c r="L539" s="1189"/>
      <c r="M539" s="1189"/>
      <c r="N539" s="1189"/>
      <c r="O539" s="1189"/>
      <c r="P539" s="1189"/>
      <c r="Q539" s="1189"/>
      <c r="R539" s="1189"/>
      <c r="S539" s="1189"/>
      <c r="T539" s="1189"/>
      <c r="U539" s="1189"/>
      <c r="V539" s="1189"/>
      <c r="W539" s="1189"/>
      <c r="X539" s="1189"/>
      <c r="Y539" s="1189"/>
      <c r="Z539" s="1189"/>
      <c r="AA539" s="1189"/>
      <c r="AB539" s="1189"/>
      <c r="AC539" s="1189"/>
      <c r="AD539" s="1189"/>
      <c r="AE539" s="1189"/>
      <c r="AF539" s="1189"/>
      <c r="AG539" s="1189"/>
      <c r="AH539" s="1189"/>
      <c r="AI539" s="1189"/>
    </row>
    <row r="540">
      <c r="A540" s="1202"/>
      <c r="B540" s="1203"/>
      <c r="C540" s="1189"/>
      <c r="D540" s="1189"/>
      <c r="E540" s="1189"/>
      <c r="F540" s="1189"/>
      <c r="G540" s="1189"/>
      <c r="H540" s="1189"/>
      <c r="I540" s="1189"/>
      <c r="J540" s="1189"/>
      <c r="K540" s="1189"/>
      <c r="L540" s="1189"/>
      <c r="M540" s="1189"/>
      <c r="N540" s="1189"/>
      <c r="O540" s="1189"/>
      <c r="P540" s="1189"/>
      <c r="Q540" s="1189"/>
      <c r="R540" s="1189"/>
      <c r="S540" s="1189"/>
      <c r="T540" s="1189"/>
      <c r="U540" s="1189"/>
      <c r="V540" s="1189"/>
      <c r="W540" s="1189"/>
      <c r="X540" s="1189"/>
      <c r="Y540" s="1189"/>
      <c r="Z540" s="1189"/>
      <c r="AA540" s="1189"/>
      <c r="AB540" s="1189"/>
      <c r="AC540" s="1189"/>
      <c r="AD540" s="1189"/>
      <c r="AE540" s="1189"/>
      <c r="AF540" s="1189"/>
      <c r="AG540" s="1189"/>
      <c r="AH540" s="1189"/>
      <c r="AI540" s="1189"/>
    </row>
    <row r="541">
      <c r="A541" s="1202"/>
      <c r="B541" s="1203"/>
      <c r="C541" s="1189"/>
      <c r="D541" s="1189"/>
      <c r="E541" s="1189"/>
      <c r="F541" s="1189"/>
      <c r="G541" s="1189"/>
      <c r="H541" s="1189"/>
      <c r="I541" s="1189"/>
      <c r="J541" s="1189"/>
      <c r="K541" s="1189"/>
      <c r="L541" s="1189"/>
      <c r="M541" s="1189"/>
      <c r="N541" s="1189"/>
      <c r="O541" s="1189"/>
      <c r="P541" s="1189"/>
      <c r="Q541" s="1189"/>
      <c r="R541" s="1189"/>
      <c r="S541" s="1189"/>
      <c r="T541" s="1189"/>
      <c r="U541" s="1189"/>
      <c r="V541" s="1189"/>
      <c r="W541" s="1189"/>
      <c r="X541" s="1189"/>
      <c r="Y541" s="1189"/>
      <c r="Z541" s="1189"/>
      <c r="AA541" s="1189"/>
      <c r="AB541" s="1189"/>
      <c r="AC541" s="1189"/>
      <c r="AD541" s="1189"/>
      <c r="AE541" s="1189"/>
      <c r="AF541" s="1189"/>
      <c r="AG541" s="1189"/>
      <c r="AH541" s="1189"/>
      <c r="AI541" s="1189"/>
    </row>
    <row r="542">
      <c r="A542" s="1202"/>
      <c r="B542" s="1203"/>
      <c r="C542" s="1189"/>
      <c r="D542" s="1189"/>
      <c r="E542" s="1189"/>
      <c r="F542" s="1189"/>
      <c r="G542" s="1189"/>
      <c r="H542" s="1189"/>
      <c r="I542" s="1189"/>
      <c r="J542" s="1189"/>
      <c r="K542" s="1189"/>
      <c r="L542" s="1189"/>
      <c r="M542" s="1189"/>
      <c r="N542" s="1189"/>
      <c r="O542" s="1189"/>
      <c r="P542" s="1189"/>
      <c r="Q542" s="1189"/>
      <c r="R542" s="1189"/>
      <c r="S542" s="1189"/>
      <c r="T542" s="1189"/>
      <c r="U542" s="1189"/>
      <c r="V542" s="1189"/>
      <c r="W542" s="1189"/>
      <c r="X542" s="1189"/>
      <c r="Y542" s="1189"/>
      <c r="Z542" s="1189"/>
      <c r="AA542" s="1189"/>
      <c r="AB542" s="1189"/>
      <c r="AC542" s="1189"/>
      <c r="AD542" s="1189"/>
      <c r="AE542" s="1189"/>
      <c r="AF542" s="1189"/>
      <c r="AG542" s="1189"/>
      <c r="AH542" s="1189"/>
      <c r="AI542" s="1189"/>
    </row>
    <row r="543">
      <c r="A543" s="1202"/>
      <c r="B543" s="1203"/>
      <c r="C543" s="1189"/>
      <c r="D543" s="1189"/>
      <c r="E543" s="1189"/>
      <c r="F543" s="1189"/>
      <c r="G543" s="1189"/>
      <c r="H543" s="1189"/>
      <c r="I543" s="1189"/>
      <c r="J543" s="1189"/>
      <c r="K543" s="1189"/>
      <c r="L543" s="1189"/>
      <c r="M543" s="1189"/>
      <c r="N543" s="1189"/>
      <c r="O543" s="1189"/>
      <c r="P543" s="1189"/>
      <c r="Q543" s="1189"/>
      <c r="R543" s="1189"/>
      <c r="S543" s="1189"/>
      <c r="T543" s="1189"/>
      <c r="U543" s="1189"/>
      <c r="V543" s="1189"/>
      <c r="W543" s="1189"/>
      <c r="X543" s="1189"/>
      <c r="Y543" s="1189"/>
      <c r="Z543" s="1189"/>
      <c r="AA543" s="1189"/>
      <c r="AB543" s="1189"/>
      <c r="AC543" s="1189"/>
      <c r="AD543" s="1189"/>
      <c r="AE543" s="1189"/>
      <c r="AF543" s="1189"/>
      <c r="AG543" s="1189"/>
      <c r="AH543" s="1189"/>
      <c r="AI543" s="1189"/>
    </row>
    <row r="544">
      <c r="A544" s="1202"/>
      <c r="B544" s="1203"/>
      <c r="C544" s="1189"/>
      <c r="D544" s="1189"/>
      <c r="E544" s="1189"/>
      <c r="F544" s="1189"/>
      <c r="G544" s="1189"/>
      <c r="H544" s="1189"/>
      <c r="I544" s="1189"/>
      <c r="J544" s="1189"/>
      <c r="K544" s="1189"/>
      <c r="L544" s="1189"/>
      <c r="M544" s="1189"/>
      <c r="N544" s="1189"/>
      <c r="O544" s="1189"/>
      <c r="P544" s="1189"/>
      <c r="Q544" s="1189"/>
      <c r="R544" s="1189"/>
      <c r="S544" s="1189"/>
      <c r="T544" s="1189"/>
      <c r="U544" s="1189"/>
      <c r="V544" s="1189"/>
      <c r="W544" s="1189"/>
      <c r="X544" s="1189"/>
      <c r="Y544" s="1189"/>
      <c r="Z544" s="1189"/>
      <c r="AA544" s="1189"/>
      <c r="AB544" s="1189"/>
      <c r="AC544" s="1189"/>
      <c r="AD544" s="1189"/>
      <c r="AE544" s="1189"/>
      <c r="AF544" s="1189"/>
      <c r="AG544" s="1189"/>
      <c r="AH544" s="1189"/>
      <c r="AI544" s="1189"/>
    </row>
    <row r="545">
      <c r="A545" s="1202"/>
      <c r="B545" s="1203"/>
      <c r="C545" s="1189"/>
      <c r="D545" s="1189"/>
      <c r="E545" s="1189"/>
      <c r="F545" s="1189"/>
      <c r="G545" s="1189"/>
      <c r="H545" s="1189"/>
      <c r="I545" s="1189"/>
      <c r="J545" s="1189"/>
      <c r="K545" s="1189"/>
      <c r="L545" s="1189"/>
      <c r="M545" s="1189"/>
      <c r="N545" s="1189"/>
      <c r="O545" s="1189"/>
      <c r="P545" s="1189"/>
      <c r="Q545" s="1189"/>
      <c r="R545" s="1189"/>
      <c r="S545" s="1189"/>
      <c r="T545" s="1189"/>
      <c r="U545" s="1189"/>
      <c r="V545" s="1189"/>
      <c r="W545" s="1189"/>
      <c r="X545" s="1189"/>
      <c r="Y545" s="1189"/>
      <c r="Z545" s="1189"/>
      <c r="AA545" s="1189"/>
      <c r="AB545" s="1189"/>
      <c r="AC545" s="1189"/>
      <c r="AD545" s="1189"/>
      <c r="AE545" s="1189"/>
      <c r="AF545" s="1189"/>
      <c r="AG545" s="1189"/>
      <c r="AH545" s="1189"/>
      <c r="AI545" s="1189"/>
    </row>
    <row r="546">
      <c r="A546" s="1202"/>
      <c r="B546" s="1203"/>
      <c r="C546" s="1189"/>
      <c r="D546" s="1189"/>
      <c r="E546" s="1189"/>
      <c r="F546" s="1189"/>
      <c r="G546" s="1189"/>
      <c r="H546" s="1189"/>
      <c r="I546" s="1189"/>
      <c r="J546" s="1189"/>
      <c r="K546" s="1189"/>
      <c r="L546" s="1189"/>
      <c r="M546" s="1189"/>
      <c r="N546" s="1189"/>
      <c r="O546" s="1189"/>
      <c r="P546" s="1189"/>
      <c r="Q546" s="1189"/>
      <c r="R546" s="1189"/>
      <c r="S546" s="1189"/>
      <c r="T546" s="1189"/>
      <c r="U546" s="1189"/>
      <c r="V546" s="1189"/>
      <c r="W546" s="1189"/>
      <c r="X546" s="1189"/>
      <c r="Y546" s="1189"/>
      <c r="Z546" s="1189"/>
      <c r="AA546" s="1189"/>
      <c r="AB546" s="1189"/>
      <c r="AC546" s="1189"/>
      <c r="AD546" s="1189"/>
      <c r="AE546" s="1189"/>
      <c r="AF546" s="1189"/>
      <c r="AG546" s="1189"/>
      <c r="AH546" s="1189"/>
      <c r="AI546" s="1189"/>
    </row>
    <row r="547">
      <c r="A547" s="1202"/>
      <c r="B547" s="1203"/>
      <c r="C547" s="1189"/>
      <c r="D547" s="1189"/>
      <c r="E547" s="1189"/>
      <c r="F547" s="1189"/>
      <c r="G547" s="1189"/>
      <c r="H547" s="1189"/>
      <c r="I547" s="1189"/>
      <c r="J547" s="1189"/>
      <c r="K547" s="1189"/>
      <c r="L547" s="1189"/>
      <c r="M547" s="1189"/>
      <c r="N547" s="1189"/>
      <c r="O547" s="1189"/>
      <c r="P547" s="1189"/>
      <c r="Q547" s="1189"/>
      <c r="R547" s="1189"/>
      <c r="S547" s="1189"/>
      <c r="T547" s="1189"/>
      <c r="U547" s="1189"/>
      <c r="V547" s="1189"/>
      <c r="W547" s="1189"/>
      <c r="X547" s="1189"/>
      <c r="Y547" s="1189"/>
      <c r="Z547" s="1189"/>
      <c r="AA547" s="1189"/>
      <c r="AB547" s="1189"/>
      <c r="AC547" s="1189"/>
      <c r="AD547" s="1189"/>
      <c r="AE547" s="1189"/>
      <c r="AF547" s="1189"/>
      <c r="AG547" s="1189"/>
      <c r="AH547" s="1189"/>
      <c r="AI547" s="1189"/>
    </row>
    <row r="548">
      <c r="A548" s="1202"/>
      <c r="B548" s="1203"/>
      <c r="C548" s="1189"/>
      <c r="D548" s="1189"/>
      <c r="E548" s="1189"/>
      <c r="F548" s="1189"/>
      <c r="G548" s="1189"/>
      <c r="H548" s="1189"/>
      <c r="I548" s="1189"/>
      <c r="J548" s="1189"/>
      <c r="K548" s="1189"/>
      <c r="L548" s="1189"/>
      <c r="M548" s="1189"/>
      <c r="N548" s="1189"/>
      <c r="O548" s="1189"/>
      <c r="P548" s="1189"/>
      <c r="Q548" s="1189"/>
      <c r="R548" s="1189"/>
      <c r="S548" s="1189"/>
      <c r="T548" s="1189"/>
      <c r="U548" s="1189"/>
      <c r="V548" s="1189"/>
      <c r="W548" s="1189"/>
      <c r="X548" s="1189"/>
      <c r="Y548" s="1189"/>
      <c r="Z548" s="1189"/>
      <c r="AA548" s="1189"/>
      <c r="AB548" s="1189"/>
      <c r="AC548" s="1189"/>
      <c r="AD548" s="1189"/>
      <c r="AE548" s="1189"/>
      <c r="AF548" s="1189"/>
      <c r="AG548" s="1189"/>
      <c r="AH548" s="1189"/>
      <c r="AI548" s="1189"/>
    </row>
    <row r="549">
      <c r="A549" s="1202"/>
      <c r="B549" s="1203"/>
      <c r="C549" s="1189"/>
      <c r="D549" s="1189"/>
      <c r="E549" s="1189"/>
      <c r="F549" s="1189"/>
      <c r="G549" s="1189"/>
      <c r="H549" s="1189"/>
      <c r="I549" s="1189"/>
      <c r="J549" s="1189"/>
      <c r="K549" s="1189"/>
      <c r="L549" s="1189"/>
      <c r="M549" s="1189"/>
      <c r="N549" s="1189"/>
      <c r="O549" s="1189"/>
      <c r="P549" s="1189"/>
      <c r="Q549" s="1189"/>
      <c r="R549" s="1189"/>
      <c r="S549" s="1189"/>
      <c r="T549" s="1189"/>
      <c r="U549" s="1189"/>
      <c r="V549" s="1189"/>
      <c r="W549" s="1189"/>
      <c r="X549" s="1189"/>
      <c r="Y549" s="1189"/>
      <c r="Z549" s="1189"/>
      <c r="AA549" s="1189"/>
      <c r="AB549" s="1189"/>
      <c r="AC549" s="1189"/>
      <c r="AD549" s="1189"/>
      <c r="AE549" s="1189"/>
      <c r="AF549" s="1189"/>
      <c r="AG549" s="1189"/>
      <c r="AH549" s="1189"/>
      <c r="AI549" s="1189"/>
    </row>
    <row r="550">
      <c r="A550" s="1202"/>
      <c r="B550" s="1203"/>
      <c r="C550" s="1189"/>
      <c r="D550" s="1189"/>
      <c r="E550" s="1189"/>
      <c r="F550" s="1189"/>
      <c r="G550" s="1189"/>
      <c r="H550" s="1189"/>
      <c r="I550" s="1189"/>
      <c r="J550" s="1189"/>
      <c r="K550" s="1189"/>
      <c r="L550" s="1189"/>
      <c r="M550" s="1189"/>
      <c r="N550" s="1189"/>
      <c r="O550" s="1189"/>
      <c r="P550" s="1189"/>
      <c r="Q550" s="1189"/>
      <c r="R550" s="1189"/>
      <c r="S550" s="1189"/>
      <c r="T550" s="1189"/>
      <c r="U550" s="1189"/>
      <c r="V550" s="1189"/>
      <c r="W550" s="1189"/>
      <c r="X550" s="1189"/>
      <c r="Y550" s="1189"/>
      <c r="Z550" s="1189"/>
      <c r="AA550" s="1189"/>
      <c r="AB550" s="1189"/>
      <c r="AC550" s="1189"/>
      <c r="AD550" s="1189"/>
      <c r="AE550" s="1189"/>
      <c r="AF550" s="1189"/>
      <c r="AG550" s="1189"/>
      <c r="AH550" s="1189"/>
      <c r="AI550" s="1189"/>
    </row>
    <row r="551">
      <c r="A551" s="1202"/>
      <c r="B551" s="1203"/>
      <c r="C551" s="1189"/>
      <c r="D551" s="1189"/>
      <c r="E551" s="1189"/>
      <c r="F551" s="1189"/>
      <c r="G551" s="1189"/>
      <c r="H551" s="1189"/>
      <c r="I551" s="1189"/>
      <c r="J551" s="1189"/>
      <c r="K551" s="1189"/>
      <c r="L551" s="1189"/>
      <c r="M551" s="1189"/>
      <c r="N551" s="1189"/>
      <c r="O551" s="1189"/>
      <c r="P551" s="1189"/>
      <c r="Q551" s="1189"/>
      <c r="R551" s="1189"/>
      <c r="S551" s="1189"/>
      <c r="T551" s="1189"/>
      <c r="U551" s="1189"/>
      <c r="V551" s="1189"/>
      <c r="W551" s="1189"/>
      <c r="X551" s="1189"/>
      <c r="Y551" s="1189"/>
      <c r="Z551" s="1189"/>
      <c r="AA551" s="1189"/>
      <c r="AB551" s="1189"/>
      <c r="AC551" s="1189"/>
      <c r="AD551" s="1189"/>
      <c r="AE551" s="1189"/>
      <c r="AF551" s="1189"/>
      <c r="AG551" s="1189"/>
      <c r="AH551" s="1189"/>
      <c r="AI551" s="1189"/>
    </row>
    <row r="552">
      <c r="A552" s="1202"/>
      <c r="B552" s="1203"/>
      <c r="C552" s="1189"/>
      <c r="D552" s="1189"/>
      <c r="E552" s="1189"/>
      <c r="F552" s="1189"/>
      <c r="G552" s="1189"/>
      <c r="H552" s="1189"/>
      <c r="I552" s="1189"/>
      <c r="J552" s="1189"/>
      <c r="K552" s="1189"/>
      <c r="L552" s="1189"/>
      <c r="M552" s="1189"/>
      <c r="N552" s="1189"/>
      <c r="O552" s="1189"/>
      <c r="P552" s="1189"/>
      <c r="Q552" s="1189"/>
      <c r="R552" s="1189"/>
      <c r="S552" s="1189"/>
      <c r="T552" s="1189"/>
      <c r="U552" s="1189"/>
      <c r="V552" s="1189"/>
      <c r="W552" s="1189"/>
      <c r="X552" s="1189"/>
      <c r="Y552" s="1189"/>
      <c r="Z552" s="1189"/>
      <c r="AA552" s="1189"/>
      <c r="AB552" s="1189"/>
      <c r="AC552" s="1189"/>
      <c r="AD552" s="1189"/>
      <c r="AE552" s="1189"/>
      <c r="AF552" s="1189"/>
      <c r="AG552" s="1189"/>
      <c r="AH552" s="1189"/>
      <c r="AI552" s="1189"/>
    </row>
    <row r="553">
      <c r="A553" s="1202"/>
      <c r="B553" s="1203"/>
      <c r="C553" s="1189"/>
      <c r="D553" s="1189"/>
      <c r="E553" s="1189"/>
      <c r="F553" s="1189"/>
      <c r="G553" s="1189"/>
      <c r="H553" s="1189"/>
      <c r="I553" s="1189"/>
      <c r="J553" s="1189"/>
      <c r="K553" s="1189"/>
      <c r="L553" s="1189"/>
      <c r="M553" s="1189"/>
      <c r="N553" s="1189"/>
      <c r="O553" s="1189"/>
      <c r="P553" s="1189"/>
      <c r="Q553" s="1189"/>
      <c r="R553" s="1189"/>
      <c r="S553" s="1189"/>
      <c r="T553" s="1189"/>
      <c r="U553" s="1189"/>
      <c r="V553" s="1189"/>
      <c r="W553" s="1189"/>
      <c r="X553" s="1189"/>
      <c r="Y553" s="1189"/>
      <c r="Z553" s="1189"/>
      <c r="AA553" s="1189"/>
      <c r="AB553" s="1189"/>
      <c r="AC553" s="1189"/>
      <c r="AD553" s="1189"/>
      <c r="AE553" s="1189"/>
      <c r="AF553" s="1189"/>
      <c r="AG553" s="1189"/>
      <c r="AH553" s="1189"/>
      <c r="AI553" s="1189"/>
    </row>
    <row r="554">
      <c r="A554" s="1202"/>
      <c r="B554" s="1203"/>
      <c r="C554" s="1189"/>
      <c r="D554" s="1189"/>
      <c r="E554" s="1189"/>
      <c r="F554" s="1189"/>
      <c r="G554" s="1189"/>
      <c r="H554" s="1189"/>
      <c r="I554" s="1189"/>
      <c r="J554" s="1189"/>
      <c r="K554" s="1189"/>
      <c r="L554" s="1189"/>
      <c r="M554" s="1189"/>
      <c r="N554" s="1189"/>
      <c r="O554" s="1189"/>
      <c r="P554" s="1189"/>
      <c r="Q554" s="1189"/>
      <c r="R554" s="1189"/>
      <c r="S554" s="1189"/>
      <c r="T554" s="1189"/>
      <c r="U554" s="1189"/>
      <c r="V554" s="1189"/>
      <c r="W554" s="1189"/>
      <c r="X554" s="1189"/>
      <c r="Y554" s="1189"/>
      <c r="Z554" s="1189"/>
      <c r="AA554" s="1189"/>
      <c r="AB554" s="1189"/>
      <c r="AC554" s="1189"/>
      <c r="AD554" s="1189"/>
      <c r="AE554" s="1189"/>
      <c r="AF554" s="1189"/>
      <c r="AG554" s="1189"/>
      <c r="AH554" s="1189"/>
      <c r="AI554" s="1189"/>
    </row>
    <row r="555">
      <c r="A555" s="1202"/>
      <c r="B555" s="1203"/>
      <c r="C555" s="1189"/>
      <c r="D555" s="1189"/>
      <c r="E555" s="1189"/>
      <c r="F555" s="1189"/>
      <c r="G555" s="1189"/>
      <c r="H555" s="1189"/>
      <c r="I555" s="1189"/>
      <c r="J555" s="1189"/>
      <c r="K555" s="1189"/>
      <c r="L555" s="1189"/>
      <c r="M555" s="1189"/>
      <c r="N555" s="1189"/>
      <c r="O555" s="1189"/>
      <c r="P555" s="1189"/>
      <c r="Q555" s="1189"/>
      <c r="R555" s="1189"/>
      <c r="S555" s="1189"/>
      <c r="T555" s="1189"/>
      <c r="U555" s="1189"/>
      <c r="V555" s="1189"/>
      <c r="W555" s="1189"/>
      <c r="X555" s="1189"/>
      <c r="Y555" s="1189"/>
      <c r="Z555" s="1189"/>
      <c r="AA555" s="1189"/>
      <c r="AB555" s="1189"/>
      <c r="AC555" s="1189"/>
      <c r="AD555" s="1189"/>
      <c r="AE555" s="1189"/>
      <c r="AF555" s="1189"/>
      <c r="AG555" s="1189"/>
      <c r="AH555" s="1189"/>
      <c r="AI555" s="1189"/>
    </row>
    <row r="556">
      <c r="A556" s="1202"/>
      <c r="B556" s="1203"/>
      <c r="C556" s="1189"/>
      <c r="D556" s="1189"/>
      <c r="E556" s="1189"/>
      <c r="F556" s="1189"/>
      <c r="G556" s="1189"/>
      <c r="H556" s="1189"/>
      <c r="I556" s="1189"/>
      <c r="J556" s="1189"/>
      <c r="K556" s="1189"/>
      <c r="L556" s="1189"/>
      <c r="M556" s="1189"/>
      <c r="N556" s="1189"/>
      <c r="O556" s="1189"/>
      <c r="P556" s="1189"/>
      <c r="Q556" s="1189"/>
      <c r="R556" s="1189"/>
      <c r="S556" s="1189"/>
      <c r="T556" s="1189"/>
      <c r="U556" s="1189"/>
      <c r="V556" s="1189"/>
      <c r="W556" s="1189"/>
      <c r="X556" s="1189"/>
      <c r="Y556" s="1189"/>
      <c r="Z556" s="1189"/>
      <c r="AA556" s="1189"/>
      <c r="AB556" s="1189"/>
      <c r="AC556" s="1189"/>
      <c r="AD556" s="1189"/>
      <c r="AE556" s="1189"/>
      <c r="AF556" s="1189"/>
      <c r="AG556" s="1189"/>
      <c r="AH556" s="1189"/>
      <c r="AI556" s="1189"/>
    </row>
    <row r="557">
      <c r="A557" s="1202"/>
      <c r="B557" s="1203"/>
      <c r="C557" s="1189"/>
      <c r="D557" s="1189"/>
      <c r="E557" s="1189"/>
      <c r="F557" s="1189"/>
      <c r="G557" s="1189"/>
      <c r="H557" s="1189"/>
      <c r="I557" s="1189"/>
      <c r="J557" s="1189"/>
      <c r="K557" s="1189"/>
      <c r="L557" s="1189"/>
      <c r="M557" s="1189"/>
      <c r="N557" s="1189"/>
      <c r="O557" s="1189"/>
      <c r="P557" s="1189"/>
      <c r="Q557" s="1189"/>
      <c r="R557" s="1189"/>
      <c r="S557" s="1189"/>
      <c r="T557" s="1189"/>
      <c r="U557" s="1189"/>
      <c r="V557" s="1189"/>
      <c r="W557" s="1189"/>
      <c r="X557" s="1189"/>
      <c r="Y557" s="1189"/>
      <c r="Z557" s="1189"/>
      <c r="AA557" s="1189"/>
      <c r="AB557" s="1189"/>
      <c r="AC557" s="1189"/>
      <c r="AD557" s="1189"/>
      <c r="AE557" s="1189"/>
      <c r="AF557" s="1189"/>
      <c r="AG557" s="1189"/>
      <c r="AH557" s="1189"/>
      <c r="AI557" s="1189"/>
    </row>
    <row r="558">
      <c r="A558" s="1202"/>
      <c r="B558" s="1203"/>
      <c r="C558" s="1189"/>
      <c r="D558" s="1189"/>
      <c r="E558" s="1189"/>
      <c r="F558" s="1189"/>
      <c r="G558" s="1189"/>
      <c r="H558" s="1189"/>
      <c r="I558" s="1189"/>
      <c r="J558" s="1189"/>
      <c r="K558" s="1189"/>
      <c r="L558" s="1189"/>
      <c r="M558" s="1189"/>
      <c r="N558" s="1189"/>
      <c r="O558" s="1189"/>
      <c r="P558" s="1189"/>
      <c r="Q558" s="1189"/>
      <c r="R558" s="1189"/>
      <c r="S558" s="1189"/>
      <c r="T558" s="1189"/>
      <c r="U558" s="1189"/>
      <c r="V558" s="1189"/>
      <c r="W558" s="1189"/>
      <c r="X558" s="1189"/>
      <c r="Y558" s="1189"/>
      <c r="Z558" s="1189"/>
      <c r="AA558" s="1189"/>
      <c r="AB558" s="1189"/>
      <c r="AC558" s="1189"/>
      <c r="AD558" s="1189"/>
      <c r="AE558" s="1189"/>
      <c r="AF558" s="1189"/>
      <c r="AG558" s="1189"/>
      <c r="AH558" s="1189"/>
      <c r="AI558" s="1189"/>
    </row>
    <row r="559">
      <c r="A559" s="1202"/>
      <c r="B559" s="1203"/>
      <c r="C559" s="1189"/>
      <c r="D559" s="1189"/>
      <c r="E559" s="1189"/>
      <c r="F559" s="1189"/>
      <c r="G559" s="1189"/>
      <c r="H559" s="1189"/>
      <c r="I559" s="1189"/>
      <c r="J559" s="1189"/>
      <c r="K559" s="1189"/>
      <c r="L559" s="1189"/>
      <c r="M559" s="1189"/>
      <c r="N559" s="1189"/>
      <c r="O559" s="1189"/>
      <c r="P559" s="1189"/>
      <c r="Q559" s="1189"/>
      <c r="R559" s="1189"/>
      <c r="S559" s="1189"/>
      <c r="T559" s="1189"/>
      <c r="U559" s="1189"/>
      <c r="V559" s="1189"/>
      <c r="W559" s="1189"/>
      <c r="X559" s="1189"/>
      <c r="Y559" s="1189"/>
      <c r="Z559" s="1189"/>
      <c r="AA559" s="1189"/>
      <c r="AB559" s="1189"/>
      <c r="AC559" s="1189"/>
      <c r="AD559" s="1189"/>
      <c r="AE559" s="1189"/>
      <c r="AF559" s="1189"/>
      <c r="AG559" s="1189"/>
      <c r="AH559" s="1189"/>
      <c r="AI559" s="1189"/>
    </row>
    <row r="560">
      <c r="A560" s="1202"/>
      <c r="B560" s="1203"/>
      <c r="C560" s="1189"/>
      <c r="D560" s="1189"/>
      <c r="E560" s="1189"/>
      <c r="F560" s="1189"/>
      <c r="G560" s="1189"/>
      <c r="H560" s="1189"/>
      <c r="I560" s="1189"/>
      <c r="J560" s="1189"/>
      <c r="K560" s="1189"/>
      <c r="L560" s="1189"/>
      <c r="M560" s="1189"/>
      <c r="N560" s="1189"/>
      <c r="O560" s="1189"/>
      <c r="P560" s="1189"/>
      <c r="Q560" s="1189"/>
      <c r="R560" s="1189"/>
      <c r="S560" s="1189"/>
      <c r="T560" s="1189"/>
      <c r="U560" s="1189"/>
      <c r="V560" s="1189"/>
      <c r="W560" s="1189"/>
      <c r="X560" s="1189"/>
      <c r="Y560" s="1189"/>
      <c r="Z560" s="1189"/>
      <c r="AA560" s="1189"/>
      <c r="AB560" s="1189"/>
      <c r="AC560" s="1189"/>
      <c r="AD560" s="1189"/>
      <c r="AE560" s="1189"/>
      <c r="AF560" s="1189"/>
      <c r="AG560" s="1189"/>
      <c r="AH560" s="1189"/>
      <c r="AI560" s="1189"/>
    </row>
    <row r="561">
      <c r="A561" s="1202"/>
      <c r="B561" s="1203"/>
      <c r="C561" s="1189"/>
      <c r="D561" s="1189"/>
      <c r="E561" s="1189"/>
      <c r="F561" s="1189"/>
      <c r="G561" s="1189"/>
      <c r="H561" s="1189"/>
      <c r="I561" s="1189"/>
      <c r="J561" s="1189"/>
      <c r="K561" s="1189"/>
      <c r="L561" s="1189"/>
      <c r="M561" s="1189"/>
      <c r="N561" s="1189"/>
      <c r="O561" s="1189"/>
      <c r="P561" s="1189"/>
      <c r="Q561" s="1189"/>
      <c r="R561" s="1189"/>
      <c r="S561" s="1189"/>
      <c r="T561" s="1189"/>
      <c r="U561" s="1189"/>
      <c r="V561" s="1189"/>
      <c r="W561" s="1189"/>
      <c r="X561" s="1189"/>
      <c r="Y561" s="1189"/>
      <c r="Z561" s="1189"/>
      <c r="AA561" s="1189"/>
      <c r="AB561" s="1189"/>
      <c r="AC561" s="1189"/>
      <c r="AD561" s="1189"/>
      <c r="AE561" s="1189"/>
      <c r="AF561" s="1189"/>
      <c r="AG561" s="1189"/>
      <c r="AH561" s="1189"/>
      <c r="AI561" s="1189"/>
    </row>
    <row r="562">
      <c r="A562" s="1202"/>
      <c r="B562" s="1203"/>
      <c r="C562" s="1189"/>
      <c r="D562" s="1189"/>
      <c r="E562" s="1189"/>
      <c r="F562" s="1189"/>
      <c r="G562" s="1189"/>
      <c r="H562" s="1189"/>
      <c r="I562" s="1189"/>
      <c r="J562" s="1189"/>
      <c r="K562" s="1189"/>
      <c r="L562" s="1189"/>
      <c r="M562" s="1189"/>
      <c r="N562" s="1189"/>
      <c r="O562" s="1189"/>
      <c r="P562" s="1189"/>
      <c r="Q562" s="1189"/>
      <c r="R562" s="1189"/>
      <c r="S562" s="1189"/>
      <c r="T562" s="1189"/>
      <c r="U562" s="1189"/>
      <c r="V562" s="1189"/>
      <c r="W562" s="1189"/>
      <c r="X562" s="1189"/>
      <c r="Y562" s="1189"/>
      <c r="Z562" s="1189"/>
      <c r="AA562" s="1189"/>
      <c r="AB562" s="1189"/>
      <c r="AC562" s="1189"/>
      <c r="AD562" s="1189"/>
      <c r="AE562" s="1189"/>
      <c r="AF562" s="1189"/>
      <c r="AG562" s="1189"/>
      <c r="AH562" s="1189"/>
      <c r="AI562" s="1189"/>
    </row>
    <row r="563">
      <c r="A563" s="1202"/>
      <c r="B563" s="1203"/>
      <c r="C563" s="1189"/>
      <c r="D563" s="1189"/>
      <c r="E563" s="1189"/>
      <c r="F563" s="1189"/>
      <c r="G563" s="1189"/>
      <c r="H563" s="1189"/>
      <c r="I563" s="1189"/>
      <c r="J563" s="1189"/>
      <c r="K563" s="1189"/>
      <c r="L563" s="1189"/>
      <c r="M563" s="1189"/>
      <c r="N563" s="1189"/>
      <c r="O563" s="1189"/>
      <c r="P563" s="1189"/>
      <c r="Q563" s="1189"/>
      <c r="R563" s="1189"/>
      <c r="S563" s="1189"/>
      <c r="T563" s="1189"/>
      <c r="U563" s="1189"/>
      <c r="V563" s="1189"/>
      <c r="W563" s="1189"/>
      <c r="X563" s="1189"/>
      <c r="Y563" s="1189"/>
      <c r="Z563" s="1189"/>
      <c r="AA563" s="1189"/>
      <c r="AB563" s="1189"/>
      <c r="AC563" s="1189"/>
      <c r="AD563" s="1189"/>
      <c r="AE563" s="1189"/>
      <c r="AF563" s="1189"/>
      <c r="AG563" s="1189"/>
      <c r="AH563" s="1189"/>
      <c r="AI563" s="1189"/>
    </row>
    <row r="564">
      <c r="A564" s="1202"/>
      <c r="B564" s="1203"/>
      <c r="C564" s="1189"/>
      <c r="D564" s="1189"/>
      <c r="E564" s="1189"/>
      <c r="F564" s="1189"/>
      <c r="G564" s="1189"/>
      <c r="H564" s="1189"/>
      <c r="I564" s="1189"/>
      <c r="J564" s="1189"/>
      <c r="K564" s="1189"/>
      <c r="L564" s="1189"/>
      <c r="M564" s="1189"/>
      <c r="N564" s="1189"/>
      <c r="O564" s="1189"/>
      <c r="P564" s="1189"/>
      <c r="Q564" s="1189"/>
      <c r="R564" s="1189"/>
      <c r="S564" s="1189"/>
      <c r="T564" s="1189"/>
      <c r="U564" s="1189"/>
      <c r="V564" s="1189"/>
      <c r="W564" s="1189"/>
      <c r="X564" s="1189"/>
      <c r="Y564" s="1189"/>
      <c r="Z564" s="1189"/>
      <c r="AA564" s="1189"/>
      <c r="AB564" s="1189"/>
      <c r="AC564" s="1189"/>
      <c r="AD564" s="1189"/>
      <c r="AE564" s="1189"/>
      <c r="AF564" s="1189"/>
      <c r="AG564" s="1189"/>
      <c r="AH564" s="1189"/>
      <c r="AI564" s="1189"/>
    </row>
    <row r="565">
      <c r="A565" s="1202"/>
      <c r="B565" s="1203"/>
      <c r="C565" s="1189"/>
      <c r="D565" s="1189"/>
      <c r="E565" s="1189"/>
      <c r="F565" s="1189"/>
      <c r="G565" s="1189"/>
      <c r="H565" s="1189"/>
      <c r="I565" s="1189"/>
      <c r="J565" s="1189"/>
      <c r="K565" s="1189"/>
      <c r="L565" s="1189"/>
      <c r="M565" s="1189"/>
      <c r="N565" s="1189"/>
      <c r="O565" s="1189"/>
      <c r="P565" s="1189"/>
      <c r="Q565" s="1189"/>
      <c r="R565" s="1189"/>
      <c r="S565" s="1189"/>
      <c r="T565" s="1189"/>
      <c r="U565" s="1189"/>
      <c r="V565" s="1189"/>
      <c r="W565" s="1189"/>
      <c r="X565" s="1189"/>
      <c r="Y565" s="1189"/>
      <c r="Z565" s="1189"/>
      <c r="AA565" s="1189"/>
      <c r="AB565" s="1189"/>
      <c r="AC565" s="1189"/>
      <c r="AD565" s="1189"/>
      <c r="AE565" s="1189"/>
      <c r="AF565" s="1189"/>
      <c r="AG565" s="1189"/>
      <c r="AH565" s="1189"/>
      <c r="AI565" s="1189"/>
    </row>
    <row r="566">
      <c r="A566" s="1202"/>
      <c r="B566" s="1203"/>
      <c r="C566" s="1189"/>
      <c r="D566" s="1189"/>
      <c r="E566" s="1189"/>
      <c r="F566" s="1189"/>
      <c r="G566" s="1189"/>
      <c r="H566" s="1189"/>
      <c r="I566" s="1189"/>
      <c r="J566" s="1189"/>
      <c r="K566" s="1189"/>
      <c r="L566" s="1189"/>
      <c r="M566" s="1189"/>
      <c r="N566" s="1189"/>
      <c r="O566" s="1189"/>
      <c r="P566" s="1189"/>
      <c r="Q566" s="1189"/>
      <c r="R566" s="1189"/>
      <c r="S566" s="1189"/>
      <c r="T566" s="1189"/>
      <c r="U566" s="1189"/>
      <c r="V566" s="1189"/>
      <c r="W566" s="1189"/>
      <c r="X566" s="1189"/>
      <c r="Y566" s="1189"/>
      <c r="Z566" s="1189"/>
      <c r="AA566" s="1189"/>
      <c r="AB566" s="1189"/>
      <c r="AC566" s="1189"/>
      <c r="AD566" s="1189"/>
      <c r="AE566" s="1189"/>
      <c r="AF566" s="1189"/>
      <c r="AG566" s="1189"/>
      <c r="AH566" s="1189"/>
      <c r="AI566" s="1189"/>
    </row>
    <row r="567">
      <c r="A567" s="1202"/>
      <c r="B567" s="1203"/>
      <c r="C567" s="1189"/>
      <c r="D567" s="1189"/>
      <c r="E567" s="1189"/>
      <c r="F567" s="1189"/>
      <c r="G567" s="1189"/>
      <c r="H567" s="1189"/>
      <c r="I567" s="1189"/>
      <c r="J567" s="1189"/>
      <c r="K567" s="1189"/>
      <c r="L567" s="1189"/>
      <c r="M567" s="1189"/>
      <c r="N567" s="1189"/>
      <c r="O567" s="1189"/>
      <c r="P567" s="1189"/>
      <c r="Q567" s="1189"/>
      <c r="R567" s="1189"/>
      <c r="S567" s="1189"/>
      <c r="T567" s="1189"/>
      <c r="U567" s="1189"/>
      <c r="V567" s="1189"/>
      <c r="W567" s="1189"/>
      <c r="X567" s="1189"/>
      <c r="Y567" s="1189"/>
      <c r="Z567" s="1189"/>
      <c r="AA567" s="1189"/>
      <c r="AB567" s="1189"/>
      <c r="AC567" s="1189"/>
      <c r="AD567" s="1189"/>
      <c r="AE567" s="1189"/>
      <c r="AF567" s="1189"/>
      <c r="AG567" s="1189"/>
      <c r="AH567" s="1189"/>
      <c r="AI567" s="1189"/>
    </row>
    <row r="568">
      <c r="A568" s="1202"/>
      <c r="B568" s="1203"/>
      <c r="C568" s="1189"/>
      <c r="D568" s="1189"/>
      <c r="E568" s="1189"/>
      <c r="F568" s="1189"/>
      <c r="G568" s="1189"/>
      <c r="H568" s="1189"/>
      <c r="I568" s="1189"/>
      <c r="J568" s="1189"/>
      <c r="K568" s="1189"/>
      <c r="L568" s="1189"/>
      <c r="M568" s="1189"/>
      <c r="N568" s="1189"/>
      <c r="O568" s="1189"/>
      <c r="P568" s="1189"/>
      <c r="Q568" s="1189"/>
      <c r="R568" s="1189"/>
      <c r="S568" s="1189"/>
      <c r="T568" s="1189"/>
      <c r="U568" s="1189"/>
      <c r="V568" s="1189"/>
      <c r="W568" s="1189"/>
      <c r="X568" s="1189"/>
      <c r="Y568" s="1189"/>
      <c r="Z568" s="1189"/>
      <c r="AA568" s="1189"/>
      <c r="AB568" s="1189"/>
      <c r="AC568" s="1189"/>
      <c r="AD568" s="1189"/>
      <c r="AE568" s="1189"/>
      <c r="AF568" s="1189"/>
      <c r="AG568" s="1189"/>
      <c r="AH568" s="1189"/>
      <c r="AI568" s="1189"/>
    </row>
    <row r="569">
      <c r="A569" s="1202"/>
      <c r="B569" s="1203"/>
      <c r="C569" s="1189"/>
      <c r="D569" s="1189"/>
      <c r="E569" s="1189"/>
      <c r="F569" s="1189"/>
      <c r="G569" s="1189"/>
      <c r="H569" s="1189"/>
      <c r="I569" s="1189"/>
      <c r="J569" s="1189"/>
      <c r="K569" s="1189"/>
      <c r="L569" s="1189"/>
      <c r="M569" s="1189"/>
      <c r="N569" s="1189"/>
      <c r="O569" s="1189"/>
      <c r="P569" s="1189"/>
      <c r="Q569" s="1189"/>
      <c r="R569" s="1189"/>
      <c r="S569" s="1189"/>
      <c r="T569" s="1189"/>
      <c r="U569" s="1189"/>
      <c r="V569" s="1189"/>
      <c r="W569" s="1189"/>
      <c r="X569" s="1189"/>
      <c r="Y569" s="1189"/>
      <c r="Z569" s="1189"/>
      <c r="AA569" s="1189"/>
      <c r="AB569" s="1189"/>
      <c r="AC569" s="1189"/>
      <c r="AD569" s="1189"/>
      <c r="AE569" s="1189"/>
      <c r="AF569" s="1189"/>
      <c r="AG569" s="1189"/>
      <c r="AH569" s="1189"/>
      <c r="AI569" s="1189"/>
    </row>
    <row r="570">
      <c r="A570" s="1202"/>
      <c r="B570" s="1203"/>
      <c r="C570" s="1189"/>
      <c r="D570" s="1189"/>
      <c r="E570" s="1189"/>
      <c r="F570" s="1189"/>
      <c r="G570" s="1189"/>
      <c r="H570" s="1189"/>
      <c r="I570" s="1189"/>
      <c r="J570" s="1189"/>
      <c r="K570" s="1189"/>
      <c r="L570" s="1189"/>
      <c r="M570" s="1189"/>
      <c r="N570" s="1189"/>
      <c r="O570" s="1189"/>
      <c r="P570" s="1189"/>
      <c r="Q570" s="1189"/>
      <c r="R570" s="1189"/>
      <c r="S570" s="1189"/>
      <c r="T570" s="1189"/>
      <c r="U570" s="1189"/>
      <c r="V570" s="1189"/>
      <c r="W570" s="1189"/>
      <c r="X570" s="1189"/>
      <c r="Y570" s="1189"/>
      <c r="Z570" s="1189"/>
      <c r="AA570" s="1189"/>
      <c r="AB570" s="1189"/>
      <c r="AC570" s="1189"/>
      <c r="AD570" s="1189"/>
      <c r="AE570" s="1189"/>
      <c r="AF570" s="1189"/>
      <c r="AG570" s="1189"/>
      <c r="AH570" s="1189"/>
      <c r="AI570" s="1189"/>
    </row>
    <row r="571">
      <c r="A571" s="1202"/>
      <c r="B571" s="1203"/>
      <c r="C571" s="1189"/>
      <c r="D571" s="1189"/>
      <c r="E571" s="1189"/>
      <c r="F571" s="1189"/>
      <c r="G571" s="1189"/>
      <c r="H571" s="1189"/>
      <c r="I571" s="1189"/>
      <c r="J571" s="1189"/>
      <c r="K571" s="1189"/>
      <c r="L571" s="1189"/>
      <c r="M571" s="1189"/>
      <c r="N571" s="1189"/>
      <c r="O571" s="1189"/>
      <c r="P571" s="1189"/>
      <c r="Q571" s="1189"/>
      <c r="R571" s="1189"/>
      <c r="S571" s="1189"/>
      <c r="T571" s="1189"/>
      <c r="U571" s="1189"/>
      <c r="V571" s="1189"/>
      <c r="W571" s="1189"/>
      <c r="X571" s="1189"/>
      <c r="Y571" s="1189"/>
      <c r="Z571" s="1189"/>
      <c r="AA571" s="1189"/>
      <c r="AB571" s="1189"/>
      <c r="AC571" s="1189"/>
      <c r="AD571" s="1189"/>
      <c r="AE571" s="1189"/>
      <c r="AF571" s="1189"/>
      <c r="AG571" s="1189"/>
      <c r="AH571" s="1189"/>
      <c r="AI571" s="1189"/>
    </row>
    <row r="572">
      <c r="A572" s="1202"/>
      <c r="B572" s="1203"/>
      <c r="C572" s="1189"/>
      <c r="D572" s="1189"/>
      <c r="E572" s="1189"/>
      <c r="F572" s="1189"/>
      <c r="G572" s="1189"/>
      <c r="H572" s="1189"/>
      <c r="I572" s="1189"/>
      <c r="J572" s="1189"/>
      <c r="K572" s="1189"/>
      <c r="L572" s="1189"/>
      <c r="M572" s="1189"/>
      <c r="N572" s="1189"/>
      <c r="O572" s="1189"/>
      <c r="P572" s="1189"/>
      <c r="Q572" s="1189"/>
      <c r="R572" s="1189"/>
      <c r="S572" s="1189"/>
      <c r="T572" s="1189"/>
      <c r="U572" s="1189"/>
      <c r="V572" s="1189"/>
      <c r="W572" s="1189"/>
      <c r="X572" s="1189"/>
      <c r="Y572" s="1189"/>
      <c r="Z572" s="1189"/>
      <c r="AA572" s="1189"/>
      <c r="AB572" s="1189"/>
      <c r="AC572" s="1189"/>
      <c r="AD572" s="1189"/>
      <c r="AE572" s="1189"/>
      <c r="AF572" s="1189"/>
      <c r="AG572" s="1189"/>
      <c r="AH572" s="1189"/>
      <c r="AI572" s="1189"/>
    </row>
    <row r="573">
      <c r="A573" s="1202"/>
      <c r="B573" s="1203"/>
      <c r="C573" s="1189"/>
      <c r="D573" s="1189"/>
      <c r="E573" s="1189"/>
      <c r="F573" s="1189"/>
      <c r="G573" s="1189"/>
      <c r="H573" s="1189"/>
      <c r="I573" s="1189"/>
      <c r="J573" s="1189"/>
      <c r="K573" s="1189"/>
      <c r="L573" s="1189"/>
      <c r="M573" s="1189"/>
      <c r="N573" s="1189"/>
      <c r="O573" s="1189"/>
      <c r="P573" s="1189"/>
      <c r="Q573" s="1189"/>
      <c r="R573" s="1189"/>
      <c r="S573" s="1189"/>
      <c r="T573" s="1189"/>
      <c r="U573" s="1189"/>
      <c r="V573" s="1189"/>
      <c r="W573" s="1189"/>
      <c r="X573" s="1189"/>
      <c r="Y573" s="1189"/>
      <c r="Z573" s="1189"/>
      <c r="AA573" s="1189"/>
      <c r="AB573" s="1189"/>
      <c r="AC573" s="1189"/>
      <c r="AD573" s="1189"/>
      <c r="AE573" s="1189"/>
      <c r="AF573" s="1189"/>
      <c r="AG573" s="1189"/>
      <c r="AH573" s="1189"/>
      <c r="AI573" s="1189"/>
    </row>
    <row r="574">
      <c r="A574" s="1202"/>
      <c r="B574" s="1203"/>
      <c r="C574" s="1189"/>
      <c r="D574" s="1189"/>
      <c r="E574" s="1189"/>
      <c r="F574" s="1189"/>
      <c r="G574" s="1189"/>
      <c r="H574" s="1189"/>
      <c r="I574" s="1189"/>
      <c r="J574" s="1189"/>
      <c r="K574" s="1189"/>
      <c r="L574" s="1189"/>
      <c r="M574" s="1189"/>
      <c r="N574" s="1189"/>
      <c r="O574" s="1189"/>
      <c r="P574" s="1189"/>
      <c r="Q574" s="1189"/>
      <c r="R574" s="1189"/>
      <c r="S574" s="1189"/>
      <c r="T574" s="1189"/>
      <c r="U574" s="1189"/>
      <c r="V574" s="1189"/>
      <c r="W574" s="1189"/>
      <c r="X574" s="1189"/>
      <c r="Y574" s="1189"/>
      <c r="Z574" s="1189"/>
      <c r="AA574" s="1189"/>
      <c r="AB574" s="1189"/>
      <c r="AC574" s="1189"/>
      <c r="AD574" s="1189"/>
      <c r="AE574" s="1189"/>
      <c r="AF574" s="1189"/>
      <c r="AG574" s="1189"/>
      <c r="AH574" s="1189"/>
      <c r="AI574" s="1189"/>
    </row>
    <row r="575">
      <c r="A575" s="1202"/>
      <c r="B575" s="1203"/>
      <c r="C575" s="1189"/>
      <c r="D575" s="1189"/>
      <c r="E575" s="1189"/>
      <c r="F575" s="1189"/>
      <c r="G575" s="1189"/>
      <c r="H575" s="1189"/>
      <c r="I575" s="1189"/>
      <c r="J575" s="1189"/>
      <c r="K575" s="1189"/>
      <c r="L575" s="1189"/>
      <c r="M575" s="1189"/>
      <c r="N575" s="1189"/>
      <c r="O575" s="1189"/>
      <c r="P575" s="1189"/>
      <c r="Q575" s="1189"/>
      <c r="R575" s="1189"/>
      <c r="S575" s="1189"/>
      <c r="T575" s="1189"/>
      <c r="U575" s="1189"/>
      <c r="V575" s="1189"/>
      <c r="W575" s="1189"/>
      <c r="X575" s="1189"/>
      <c r="Y575" s="1189"/>
      <c r="Z575" s="1189"/>
      <c r="AA575" s="1189"/>
      <c r="AB575" s="1189"/>
      <c r="AC575" s="1189"/>
      <c r="AD575" s="1189"/>
      <c r="AE575" s="1189"/>
      <c r="AF575" s="1189"/>
      <c r="AG575" s="1189"/>
      <c r="AH575" s="1189"/>
      <c r="AI575" s="1189"/>
    </row>
    <row r="576">
      <c r="A576" s="1202"/>
      <c r="B576" s="1203"/>
      <c r="C576" s="1189"/>
      <c r="D576" s="1189"/>
      <c r="E576" s="1189"/>
      <c r="F576" s="1189"/>
      <c r="G576" s="1189"/>
      <c r="H576" s="1189"/>
      <c r="I576" s="1189"/>
      <c r="J576" s="1189"/>
      <c r="K576" s="1189"/>
      <c r="L576" s="1189"/>
      <c r="M576" s="1189"/>
      <c r="N576" s="1189"/>
      <c r="O576" s="1189"/>
      <c r="P576" s="1189"/>
      <c r="Q576" s="1189"/>
      <c r="R576" s="1189"/>
      <c r="S576" s="1189"/>
      <c r="T576" s="1189"/>
      <c r="U576" s="1189"/>
      <c r="V576" s="1189"/>
      <c r="W576" s="1189"/>
      <c r="X576" s="1189"/>
      <c r="Y576" s="1189"/>
      <c r="Z576" s="1189"/>
      <c r="AA576" s="1189"/>
      <c r="AB576" s="1189"/>
      <c r="AC576" s="1189"/>
      <c r="AD576" s="1189"/>
      <c r="AE576" s="1189"/>
      <c r="AF576" s="1189"/>
      <c r="AG576" s="1189"/>
      <c r="AH576" s="1189"/>
      <c r="AI576" s="1189"/>
    </row>
    <row r="577">
      <c r="A577" s="1202"/>
      <c r="B577" s="1203"/>
      <c r="C577" s="1189"/>
      <c r="D577" s="1189"/>
      <c r="E577" s="1189"/>
      <c r="F577" s="1189"/>
      <c r="G577" s="1189"/>
      <c r="H577" s="1189"/>
      <c r="I577" s="1189"/>
      <c r="J577" s="1189"/>
      <c r="K577" s="1189"/>
      <c r="L577" s="1189"/>
      <c r="M577" s="1189"/>
      <c r="N577" s="1189"/>
      <c r="O577" s="1189"/>
      <c r="P577" s="1189"/>
      <c r="Q577" s="1189"/>
      <c r="R577" s="1189"/>
      <c r="S577" s="1189"/>
      <c r="T577" s="1189"/>
      <c r="U577" s="1189"/>
      <c r="V577" s="1189"/>
      <c r="W577" s="1189"/>
      <c r="X577" s="1189"/>
      <c r="Y577" s="1189"/>
      <c r="Z577" s="1189"/>
      <c r="AA577" s="1189"/>
      <c r="AB577" s="1189"/>
      <c r="AC577" s="1189"/>
      <c r="AD577" s="1189"/>
      <c r="AE577" s="1189"/>
      <c r="AF577" s="1189"/>
      <c r="AG577" s="1189"/>
      <c r="AH577" s="1189"/>
      <c r="AI577" s="1189"/>
    </row>
    <row r="578">
      <c r="A578" s="1202"/>
      <c r="B578" s="1203"/>
      <c r="C578" s="1189"/>
      <c r="D578" s="1189"/>
      <c r="E578" s="1189"/>
      <c r="F578" s="1189"/>
      <c r="G578" s="1189"/>
      <c r="H578" s="1189"/>
      <c r="I578" s="1189"/>
      <c r="J578" s="1189"/>
      <c r="K578" s="1189"/>
      <c r="L578" s="1189"/>
      <c r="M578" s="1189"/>
      <c r="N578" s="1189"/>
      <c r="O578" s="1189"/>
      <c r="P578" s="1189"/>
      <c r="Q578" s="1189"/>
      <c r="R578" s="1189"/>
      <c r="S578" s="1189"/>
      <c r="T578" s="1189"/>
      <c r="U578" s="1189"/>
      <c r="V578" s="1189"/>
      <c r="W578" s="1189"/>
      <c r="X578" s="1189"/>
      <c r="Y578" s="1189"/>
      <c r="Z578" s="1189"/>
      <c r="AA578" s="1189"/>
      <c r="AB578" s="1189"/>
      <c r="AC578" s="1189"/>
      <c r="AD578" s="1189"/>
      <c r="AE578" s="1189"/>
      <c r="AF578" s="1189"/>
      <c r="AG578" s="1189"/>
      <c r="AH578" s="1189"/>
      <c r="AI578" s="1189"/>
    </row>
    <row r="579">
      <c r="A579" s="1202"/>
      <c r="B579" s="1203"/>
      <c r="C579" s="1189"/>
      <c r="D579" s="1189"/>
      <c r="E579" s="1189"/>
      <c r="F579" s="1189"/>
      <c r="G579" s="1189"/>
      <c r="H579" s="1189"/>
      <c r="I579" s="1189"/>
      <c r="J579" s="1189"/>
      <c r="K579" s="1189"/>
      <c r="L579" s="1189"/>
      <c r="M579" s="1189"/>
      <c r="N579" s="1189"/>
      <c r="O579" s="1189"/>
      <c r="P579" s="1189"/>
      <c r="Q579" s="1189"/>
      <c r="R579" s="1189"/>
      <c r="S579" s="1189"/>
      <c r="T579" s="1189"/>
      <c r="U579" s="1189"/>
      <c r="V579" s="1189"/>
      <c r="W579" s="1189"/>
      <c r="X579" s="1189"/>
      <c r="Y579" s="1189"/>
      <c r="Z579" s="1189"/>
      <c r="AA579" s="1189"/>
      <c r="AB579" s="1189"/>
      <c r="AC579" s="1189"/>
      <c r="AD579" s="1189"/>
      <c r="AE579" s="1189"/>
      <c r="AF579" s="1189"/>
      <c r="AG579" s="1189"/>
      <c r="AH579" s="1189"/>
      <c r="AI579" s="1189"/>
    </row>
    <row r="580">
      <c r="A580" s="1202"/>
      <c r="B580" s="1203"/>
      <c r="C580" s="1189"/>
      <c r="D580" s="1189"/>
      <c r="E580" s="1189"/>
      <c r="F580" s="1189"/>
      <c r="G580" s="1189"/>
      <c r="H580" s="1189"/>
      <c r="I580" s="1189"/>
      <c r="J580" s="1189"/>
      <c r="K580" s="1189"/>
      <c r="L580" s="1189"/>
      <c r="M580" s="1189"/>
      <c r="N580" s="1189"/>
      <c r="O580" s="1189"/>
      <c r="P580" s="1189"/>
      <c r="Q580" s="1189"/>
      <c r="R580" s="1189"/>
      <c r="S580" s="1189"/>
      <c r="T580" s="1189"/>
      <c r="U580" s="1189"/>
      <c r="V580" s="1189"/>
      <c r="W580" s="1189"/>
      <c r="X580" s="1189"/>
      <c r="Y580" s="1189"/>
      <c r="Z580" s="1189"/>
      <c r="AA580" s="1189"/>
      <c r="AB580" s="1189"/>
      <c r="AC580" s="1189"/>
      <c r="AD580" s="1189"/>
      <c r="AE580" s="1189"/>
      <c r="AF580" s="1189"/>
      <c r="AG580" s="1189"/>
      <c r="AH580" s="1189"/>
      <c r="AI580" s="1189"/>
    </row>
    <row r="581">
      <c r="A581" s="1202"/>
      <c r="B581" s="1203"/>
      <c r="C581" s="1189"/>
      <c r="D581" s="1189"/>
      <c r="E581" s="1189"/>
      <c r="F581" s="1189"/>
      <c r="G581" s="1189"/>
      <c r="H581" s="1189"/>
      <c r="I581" s="1189"/>
      <c r="J581" s="1189"/>
      <c r="K581" s="1189"/>
      <c r="L581" s="1189"/>
      <c r="M581" s="1189"/>
      <c r="N581" s="1189"/>
      <c r="O581" s="1189"/>
      <c r="P581" s="1189"/>
      <c r="Q581" s="1189"/>
      <c r="R581" s="1189"/>
      <c r="S581" s="1189"/>
      <c r="T581" s="1189"/>
      <c r="U581" s="1189"/>
      <c r="V581" s="1189"/>
      <c r="W581" s="1189"/>
      <c r="X581" s="1189"/>
      <c r="Y581" s="1189"/>
      <c r="Z581" s="1189"/>
      <c r="AA581" s="1189"/>
      <c r="AB581" s="1189"/>
      <c r="AC581" s="1189"/>
      <c r="AD581" s="1189"/>
      <c r="AE581" s="1189"/>
      <c r="AF581" s="1189"/>
      <c r="AG581" s="1189"/>
      <c r="AH581" s="1189"/>
      <c r="AI581" s="1189"/>
    </row>
    <row r="582">
      <c r="A582" s="1202"/>
      <c r="B582" s="1203"/>
      <c r="C582" s="1189"/>
      <c r="D582" s="1189"/>
      <c r="E582" s="1189"/>
      <c r="F582" s="1189"/>
      <c r="G582" s="1189"/>
      <c r="H582" s="1189"/>
      <c r="I582" s="1189"/>
      <c r="J582" s="1189"/>
      <c r="K582" s="1189"/>
      <c r="L582" s="1189"/>
      <c r="M582" s="1189"/>
      <c r="N582" s="1189"/>
      <c r="O582" s="1189"/>
      <c r="P582" s="1189"/>
      <c r="Q582" s="1189"/>
      <c r="R582" s="1189"/>
      <c r="S582" s="1189"/>
      <c r="T582" s="1189"/>
      <c r="U582" s="1189"/>
      <c r="V582" s="1189"/>
      <c r="W582" s="1189"/>
      <c r="X582" s="1189"/>
      <c r="Y582" s="1189"/>
      <c r="Z582" s="1189"/>
      <c r="AA582" s="1189"/>
      <c r="AB582" s="1189"/>
      <c r="AC582" s="1189"/>
      <c r="AD582" s="1189"/>
      <c r="AE582" s="1189"/>
      <c r="AF582" s="1189"/>
      <c r="AG582" s="1189"/>
      <c r="AH582" s="1189"/>
      <c r="AI582" s="1189"/>
    </row>
    <row r="583">
      <c r="A583" s="1202"/>
      <c r="B583" s="1203"/>
      <c r="C583" s="1189"/>
      <c r="D583" s="1189"/>
      <c r="E583" s="1189"/>
      <c r="F583" s="1189"/>
      <c r="G583" s="1189"/>
      <c r="H583" s="1189"/>
      <c r="I583" s="1189"/>
      <c r="J583" s="1189"/>
      <c r="K583" s="1189"/>
      <c r="L583" s="1189"/>
      <c r="M583" s="1189"/>
      <c r="N583" s="1189"/>
      <c r="O583" s="1189"/>
      <c r="P583" s="1189"/>
      <c r="Q583" s="1189"/>
      <c r="R583" s="1189"/>
      <c r="S583" s="1189"/>
      <c r="T583" s="1189"/>
      <c r="U583" s="1189"/>
      <c r="V583" s="1189"/>
      <c r="W583" s="1189"/>
      <c r="X583" s="1189"/>
      <c r="Y583" s="1189"/>
      <c r="Z583" s="1189"/>
      <c r="AA583" s="1189"/>
      <c r="AB583" s="1189"/>
      <c r="AC583" s="1189"/>
      <c r="AD583" s="1189"/>
      <c r="AE583" s="1189"/>
      <c r="AF583" s="1189"/>
      <c r="AG583" s="1189"/>
      <c r="AH583" s="1189"/>
      <c r="AI583" s="1189"/>
    </row>
    <row r="584">
      <c r="A584" s="1202"/>
      <c r="B584" s="1203"/>
      <c r="C584" s="1189"/>
      <c r="D584" s="1189"/>
      <c r="E584" s="1189"/>
      <c r="F584" s="1189"/>
      <c r="G584" s="1189"/>
      <c r="H584" s="1189"/>
      <c r="I584" s="1189"/>
      <c r="J584" s="1189"/>
      <c r="K584" s="1189"/>
      <c r="L584" s="1189"/>
      <c r="M584" s="1189"/>
      <c r="N584" s="1189"/>
      <c r="O584" s="1189"/>
      <c r="P584" s="1189"/>
      <c r="Q584" s="1189"/>
      <c r="R584" s="1189"/>
      <c r="S584" s="1189"/>
      <c r="T584" s="1189"/>
      <c r="U584" s="1189"/>
      <c r="V584" s="1189"/>
      <c r="W584" s="1189"/>
      <c r="X584" s="1189"/>
      <c r="Y584" s="1189"/>
      <c r="Z584" s="1189"/>
      <c r="AA584" s="1189"/>
      <c r="AB584" s="1189"/>
      <c r="AC584" s="1189"/>
      <c r="AD584" s="1189"/>
      <c r="AE584" s="1189"/>
      <c r="AF584" s="1189"/>
      <c r="AG584" s="1189"/>
      <c r="AH584" s="1189"/>
      <c r="AI584" s="1189"/>
    </row>
    <row r="585">
      <c r="A585" s="1202"/>
      <c r="B585" s="1203"/>
      <c r="C585" s="1189"/>
      <c r="D585" s="1189"/>
      <c r="E585" s="1189"/>
      <c r="F585" s="1189"/>
      <c r="G585" s="1189"/>
      <c r="H585" s="1189"/>
      <c r="I585" s="1189"/>
      <c r="J585" s="1189"/>
      <c r="K585" s="1189"/>
      <c r="L585" s="1189"/>
      <c r="M585" s="1189"/>
      <c r="N585" s="1189"/>
      <c r="O585" s="1189"/>
      <c r="P585" s="1189"/>
      <c r="Q585" s="1189"/>
      <c r="R585" s="1189"/>
      <c r="S585" s="1189"/>
      <c r="T585" s="1189"/>
      <c r="U585" s="1189"/>
      <c r="V585" s="1189"/>
      <c r="W585" s="1189"/>
      <c r="X585" s="1189"/>
      <c r="Y585" s="1189"/>
      <c r="Z585" s="1189"/>
      <c r="AA585" s="1189"/>
      <c r="AB585" s="1189"/>
      <c r="AC585" s="1189"/>
      <c r="AD585" s="1189"/>
      <c r="AE585" s="1189"/>
      <c r="AF585" s="1189"/>
      <c r="AG585" s="1189"/>
      <c r="AH585" s="1189"/>
      <c r="AI585" s="1189"/>
    </row>
    <row r="586">
      <c r="A586" s="1202"/>
      <c r="B586" s="1203"/>
      <c r="C586" s="1189"/>
      <c r="D586" s="1189"/>
      <c r="E586" s="1189"/>
      <c r="F586" s="1189"/>
      <c r="G586" s="1189"/>
      <c r="H586" s="1189"/>
      <c r="I586" s="1189"/>
      <c r="J586" s="1189"/>
      <c r="K586" s="1189"/>
      <c r="L586" s="1189"/>
      <c r="M586" s="1189"/>
      <c r="N586" s="1189"/>
      <c r="O586" s="1189"/>
      <c r="P586" s="1189"/>
      <c r="Q586" s="1189"/>
      <c r="R586" s="1189"/>
      <c r="S586" s="1189"/>
      <c r="T586" s="1189"/>
      <c r="U586" s="1189"/>
      <c r="V586" s="1189"/>
      <c r="W586" s="1189"/>
      <c r="X586" s="1189"/>
      <c r="Y586" s="1189"/>
      <c r="Z586" s="1189"/>
      <c r="AA586" s="1189"/>
      <c r="AB586" s="1189"/>
      <c r="AC586" s="1189"/>
      <c r="AD586" s="1189"/>
      <c r="AE586" s="1189"/>
      <c r="AF586" s="1189"/>
      <c r="AG586" s="1189"/>
      <c r="AH586" s="1189"/>
      <c r="AI586" s="1189"/>
    </row>
    <row r="587">
      <c r="A587" s="1202"/>
      <c r="B587" s="1203"/>
      <c r="C587" s="1189"/>
      <c r="D587" s="1189"/>
      <c r="E587" s="1189"/>
      <c r="F587" s="1189"/>
      <c r="G587" s="1189"/>
      <c r="H587" s="1189"/>
      <c r="I587" s="1189"/>
      <c r="J587" s="1189"/>
      <c r="K587" s="1189"/>
      <c r="L587" s="1189"/>
      <c r="M587" s="1189"/>
      <c r="N587" s="1189"/>
      <c r="O587" s="1189"/>
      <c r="P587" s="1189"/>
      <c r="Q587" s="1189"/>
      <c r="R587" s="1189"/>
      <c r="S587" s="1189"/>
      <c r="T587" s="1189"/>
      <c r="U587" s="1189"/>
      <c r="V587" s="1189"/>
      <c r="W587" s="1189"/>
      <c r="X587" s="1189"/>
      <c r="Y587" s="1189"/>
      <c r="Z587" s="1189"/>
      <c r="AA587" s="1189"/>
      <c r="AB587" s="1189"/>
      <c r="AC587" s="1189"/>
      <c r="AD587" s="1189"/>
      <c r="AE587" s="1189"/>
      <c r="AF587" s="1189"/>
      <c r="AG587" s="1189"/>
      <c r="AH587" s="1189"/>
      <c r="AI587" s="1189"/>
    </row>
    <row r="588">
      <c r="A588" s="1202"/>
      <c r="B588" s="1203"/>
      <c r="C588" s="1189"/>
      <c r="D588" s="1189"/>
      <c r="E588" s="1189"/>
      <c r="F588" s="1189"/>
      <c r="G588" s="1189"/>
      <c r="H588" s="1189"/>
      <c r="I588" s="1189"/>
      <c r="J588" s="1189"/>
      <c r="K588" s="1189"/>
      <c r="L588" s="1189"/>
      <c r="M588" s="1189"/>
      <c r="N588" s="1189"/>
      <c r="O588" s="1189"/>
      <c r="P588" s="1189"/>
      <c r="Q588" s="1189"/>
      <c r="R588" s="1189"/>
      <c r="S588" s="1189"/>
      <c r="T588" s="1189"/>
      <c r="U588" s="1189"/>
      <c r="V588" s="1189"/>
      <c r="W588" s="1189"/>
      <c r="X588" s="1189"/>
      <c r="Y588" s="1189"/>
      <c r="Z588" s="1189"/>
      <c r="AA588" s="1189"/>
      <c r="AB588" s="1189"/>
      <c r="AC588" s="1189"/>
      <c r="AD588" s="1189"/>
      <c r="AE588" s="1189"/>
      <c r="AF588" s="1189"/>
      <c r="AG588" s="1189"/>
      <c r="AH588" s="1189"/>
      <c r="AI588" s="1189"/>
    </row>
    <row r="589">
      <c r="A589" s="1202"/>
      <c r="B589" s="1203"/>
      <c r="C589" s="1189"/>
      <c r="D589" s="1189"/>
      <c r="E589" s="1189"/>
      <c r="F589" s="1189"/>
      <c r="G589" s="1189"/>
      <c r="H589" s="1189"/>
      <c r="I589" s="1189"/>
      <c r="J589" s="1189"/>
      <c r="K589" s="1189"/>
      <c r="L589" s="1189"/>
      <c r="M589" s="1189"/>
      <c r="N589" s="1189"/>
      <c r="O589" s="1189"/>
      <c r="P589" s="1189"/>
      <c r="Q589" s="1189"/>
      <c r="R589" s="1189"/>
      <c r="S589" s="1189"/>
      <c r="T589" s="1189"/>
      <c r="U589" s="1189"/>
      <c r="V589" s="1189"/>
      <c r="W589" s="1189"/>
      <c r="X589" s="1189"/>
      <c r="Y589" s="1189"/>
      <c r="Z589" s="1189"/>
      <c r="AA589" s="1189"/>
      <c r="AB589" s="1189"/>
      <c r="AC589" s="1189"/>
      <c r="AD589" s="1189"/>
      <c r="AE589" s="1189"/>
      <c r="AF589" s="1189"/>
      <c r="AG589" s="1189"/>
      <c r="AH589" s="1189"/>
      <c r="AI589" s="1189"/>
    </row>
    <row r="590">
      <c r="A590" s="1202"/>
      <c r="B590" s="1203"/>
      <c r="C590" s="1189"/>
      <c r="D590" s="1189"/>
      <c r="E590" s="1189"/>
      <c r="F590" s="1189"/>
      <c r="G590" s="1189"/>
      <c r="H590" s="1189"/>
      <c r="I590" s="1189"/>
      <c r="J590" s="1189"/>
      <c r="K590" s="1189"/>
      <c r="L590" s="1189"/>
      <c r="M590" s="1189"/>
      <c r="N590" s="1189"/>
      <c r="O590" s="1189"/>
      <c r="P590" s="1189"/>
      <c r="Q590" s="1189"/>
      <c r="R590" s="1189"/>
      <c r="S590" s="1189"/>
      <c r="T590" s="1189"/>
      <c r="U590" s="1189"/>
      <c r="V590" s="1189"/>
      <c r="W590" s="1189"/>
      <c r="X590" s="1189"/>
      <c r="Y590" s="1189"/>
      <c r="Z590" s="1189"/>
      <c r="AA590" s="1189"/>
      <c r="AB590" s="1189"/>
      <c r="AC590" s="1189"/>
      <c r="AD590" s="1189"/>
      <c r="AE590" s="1189"/>
      <c r="AF590" s="1189"/>
      <c r="AG590" s="1189"/>
      <c r="AH590" s="1189"/>
      <c r="AI590" s="1189"/>
    </row>
    <row r="591">
      <c r="A591" s="1202"/>
      <c r="B591" s="1203"/>
      <c r="C591" s="1189"/>
      <c r="D591" s="1189"/>
      <c r="E591" s="1189"/>
      <c r="F591" s="1189"/>
      <c r="G591" s="1189"/>
      <c r="H591" s="1189"/>
      <c r="I591" s="1189"/>
      <c r="J591" s="1189"/>
      <c r="K591" s="1189"/>
      <c r="L591" s="1189"/>
      <c r="M591" s="1189"/>
      <c r="N591" s="1189"/>
      <c r="O591" s="1189"/>
      <c r="P591" s="1189"/>
      <c r="Q591" s="1189"/>
      <c r="R591" s="1189"/>
      <c r="S591" s="1189"/>
      <c r="T591" s="1189"/>
      <c r="U591" s="1189"/>
      <c r="V591" s="1189"/>
      <c r="W591" s="1189"/>
      <c r="X591" s="1189"/>
      <c r="Y591" s="1189"/>
      <c r="Z591" s="1189"/>
      <c r="AA591" s="1189"/>
      <c r="AB591" s="1189"/>
      <c r="AC591" s="1189"/>
      <c r="AD591" s="1189"/>
      <c r="AE591" s="1189"/>
      <c r="AF591" s="1189"/>
      <c r="AG591" s="1189"/>
      <c r="AH591" s="1189"/>
      <c r="AI591" s="1189"/>
    </row>
    <row r="592">
      <c r="A592" s="1202"/>
      <c r="B592" s="1203"/>
      <c r="C592" s="1189"/>
      <c r="D592" s="1189"/>
      <c r="E592" s="1189"/>
      <c r="F592" s="1189"/>
      <c r="G592" s="1189"/>
      <c r="H592" s="1189"/>
      <c r="I592" s="1189"/>
      <c r="J592" s="1189"/>
      <c r="K592" s="1189"/>
      <c r="L592" s="1189"/>
      <c r="M592" s="1189"/>
      <c r="N592" s="1189"/>
      <c r="O592" s="1189"/>
      <c r="P592" s="1189"/>
      <c r="Q592" s="1189"/>
      <c r="R592" s="1189"/>
      <c r="S592" s="1189"/>
      <c r="T592" s="1189"/>
      <c r="U592" s="1189"/>
      <c r="V592" s="1189"/>
      <c r="W592" s="1189"/>
      <c r="X592" s="1189"/>
      <c r="Y592" s="1189"/>
      <c r="Z592" s="1189"/>
      <c r="AA592" s="1189"/>
      <c r="AB592" s="1189"/>
      <c r="AC592" s="1189"/>
      <c r="AD592" s="1189"/>
      <c r="AE592" s="1189"/>
      <c r="AF592" s="1189"/>
      <c r="AG592" s="1189"/>
      <c r="AH592" s="1189"/>
      <c r="AI592" s="1189"/>
    </row>
    <row r="593">
      <c r="A593" s="1202"/>
      <c r="B593" s="1203"/>
      <c r="C593" s="1189"/>
      <c r="D593" s="1189"/>
      <c r="E593" s="1189"/>
      <c r="F593" s="1189"/>
      <c r="G593" s="1189"/>
      <c r="H593" s="1189"/>
      <c r="I593" s="1189"/>
      <c r="J593" s="1189"/>
      <c r="K593" s="1189"/>
      <c r="L593" s="1189"/>
      <c r="M593" s="1189"/>
      <c r="N593" s="1189"/>
      <c r="O593" s="1189"/>
      <c r="P593" s="1189"/>
      <c r="Q593" s="1189"/>
      <c r="R593" s="1189"/>
      <c r="S593" s="1189"/>
      <c r="T593" s="1189"/>
      <c r="U593" s="1189"/>
      <c r="V593" s="1189"/>
      <c r="W593" s="1189"/>
      <c r="X593" s="1189"/>
      <c r="Y593" s="1189"/>
      <c r="Z593" s="1189"/>
      <c r="AA593" s="1189"/>
      <c r="AB593" s="1189"/>
      <c r="AC593" s="1189"/>
      <c r="AD593" s="1189"/>
      <c r="AE593" s="1189"/>
      <c r="AF593" s="1189"/>
      <c r="AG593" s="1189"/>
      <c r="AH593" s="1189"/>
      <c r="AI593" s="1189"/>
    </row>
    <row r="594">
      <c r="A594" s="1202"/>
      <c r="B594" s="1203"/>
      <c r="C594" s="1189"/>
      <c r="D594" s="1189"/>
      <c r="E594" s="1189"/>
      <c r="F594" s="1189"/>
      <c r="G594" s="1189"/>
      <c r="H594" s="1189"/>
      <c r="I594" s="1189"/>
      <c r="J594" s="1189"/>
      <c r="K594" s="1189"/>
      <c r="L594" s="1189"/>
      <c r="M594" s="1189"/>
      <c r="N594" s="1189"/>
      <c r="O594" s="1189"/>
      <c r="P594" s="1189"/>
      <c r="Q594" s="1189"/>
      <c r="R594" s="1189"/>
      <c r="S594" s="1189"/>
      <c r="T594" s="1189"/>
      <c r="U594" s="1189"/>
      <c r="V594" s="1189"/>
      <c r="W594" s="1189"/>
      <c r="X594" s="1189"/>
      <c r="Y594" s="1189"/>
      <c r="Z594" s="1189"/>
      <c r="AA594" s="1189"/>
      <c r="AB594" s="1189"/>
      <c r="AC594" s="1189"/>
      <c r="AD594" s="1189"/>
      <c r="AE594" s="1189"/>
      <c r="AF594" s="1189"/>
      <c r="AG594" s="1189"/>
      <c r="AH594" s="1189"/>
      <c r="AI594" s="1189"/>
    </row>
    <row r="595">
      <c r="A595" s="1202"/>
      <c r="B595" s="1203"/>
      <c r="C595" s="1189"/>
      <c r="D595" s="1189"/>
      <c r="E595" s="1189"/>
      <c r="F595" s="1189"/>
      <c r="G595" s="1189"/>
      <c r="H595" s="1189"/>
      <c r="I595" s="1189"/>
      <c r="J595" s="1189"/>
      <c r="K595" s="1189"/>
      <c r="L595" s="1189"/>
      <c r="M595" s="1189"/>
      <c r="N595" s="1189"/>
      <c r="O595" s="1189"/>
      <c r="P595" s="1189"/>
      <c r="Q595" s="1189"/>
      <c r="R595" s="1189"/>
      <c r="S595" s="1189"/>
      <c r="T595" s="1189"/>
      <c r="U595" s="1189"/>
      <c r="V595" s="1189"/>
      <c r="W595" s="1189"/>
      <c r="X595" s="1189"/>
      <c r="Y595" s="1189"/>
      <c r="Z595" s="1189"/>
      <c r="AA595" s="1189"/>
      <c r="AB595" s="1189"/>
      <c r="AC595" s="1189"/>
      <c r="AD595" s="1189"/>
      <c r="AE595" s="1189"/>
      <c r="AF595" s="1189"/>
      <c r="AG595" s="1189"/>
      <c r="AH595" s="1189"/>
      <c r="AI595" s="1189"/>
    </row>
    <row r="596">
      <c r="A596" s="1202"/>
      <c r="B596" s="1203"/>
      <c r="C596" s="1189"/>
      <c r="D596" s="1189"/>
      <c r="E596" s="1189"/>
      <c r="F596" s="1189"/>
      <c r="G596" s="1189"/>
      <c r="H596" s="1189"/>
      <c r="I596" s="1189"/>
      <c r="J596" s="1189"/>
      <c r="K596" s="1189"/>
      <c r="L596" s="1189"/>
      <c r="M596" s="1189"/>
      <c r="N596" s="1189"/>
      <c r="O596" s="1189"/>
      <c r="P596" s="1189"/>
      <c r="Q596" s="1189"/>
      <c r="R596" s="1189"/>
      <c r="S596" s="1189"/>
      <c r="T596" s="1189"/>
      <c r="U596" s="1189"/>
      <c r="V596" s="1189"/>
      <c r="W596" s="1189"/>
      <c r="X596" s="1189"/>
      <c r="Y596" s="1189"/>
      <c r="Z596" s="1189"/>
      <c r="AA596" s="1189"/>
      <c r="AB596" s="1189"/>
      <c r="AC596" s="1189"/>
      <c r="AD596" s="1189"/>
      <c r="AE596" s="1189"/>
      <c r="AF596" s="1189"/>
      <c r="AG596" s="1189"/>
      <c r="AH596" s="1189"/>
      <c r="AI596" s="1189"/>
    </row>
    <row r="597">
      <c r="A597" s="1202"/>
      <c r="B597" s="1203"/>
      <c r="C597" s="1189"/>
      <c r="D597" s="1189"/>
      <c r="E597" s="1189"/>
      <c r="F597" s="1189"/>
      <c r="G597" s="1189"/>
      <c r="H597" s="1189"/>
      <c r="I597" s="1189"/>
      <c r="J597" s="1189"/>
      <c r="K597" s="1189"/>
      <c r="L597" s="1189"/>
      <c r="M597" s="1189"/>
      <c r="N597" s="1189"/>
      <c r="O597" s="1189"/>
      <c r="P597" s="1189"/>
      <c r="Q597" s="1189"/>
      <c r="R597" s="1189"/>
      <c r="S597" s="1189"/>
      <c r="T597" s="1189"/>
      <c r="U597" s="1189"/>
      <c r="V597" s="1189"/>
      <c r="W597" s="1189"/>
      <c r="X597" s="1189"/>
      <c r="Y597" s="1189"/>
      <c r="Z597" s="1189"/>
      <c r="AA597" s="1189"/>
      <c r="AB597" s="1189"/>
      <c r="AC597" s="1189"/>
      <c r="AD597" s="1189"/>
      <c r="AE597" s="1189"/>
      <c r="AF597" s="1189"/>
      <c r="AG597" s="1189"/>
      <c r="AH597" s="1189"/>
      <c r="AI597" s="1189"/>
    </row>
    <row r="598">
      <c r="A598" s="1202"/>
      <c r="B598" s="1203"/>
      <c r="C598" s="1189"/>
      <c r="D598" s="1189"/>
      <c r="E598" s="1189"/>
      <c r="F598" s="1189"/>
      <c r="G598" s="1189"/>
      <c r="H598" s="1189"/>
      <c r="I598" s="1189"/>
      <c r="J598" s="1189"/>
      <c r="K598" s="1189"/>
      <c r="L598" s="1189"/>
      <c r="M598" s="1189"/>
      <c r="N598" s="1189"/>
      <c r="O598" s="1189"/>
      <c r="P598" s="1189"/>
      <c r="Q598" s="1189"/>
      <c r="R598" s="1189"/>
      <c r="S598" s="1189"/>
      <c r="T598" s="1189"/>
      <c r="U598" s="1189"/>
      <c r="V598" s="1189"/>
      <c r="W598" s="1189"/>
      <c r="X598" s="1189"/>
      <c r="Y598" s="1189"/>
      <c r="Z598" s="1189"/>
      <c r="AA598" s="1189"/>
      <c r="AB598" s="1189"/>
      <c r="AC598" s="1189"/>
      <c r="AD598" s="1189"/>
      <c r="AE598" s="1189"/>
      <c r="AF598" s="1189"/>
      <c r="AG598" s="1189"/>
      <c r="AH598" s="1189"/>
      <c r="AI598" s="1189"/>
    </row>
    <row r="599">
      <c r="A599" s="1202"/>
      <c r="B599" s="1203"/>
      <c r="C599" s="1189"/>
      <c r="D599" s="1189"/>
      <c r="E599" s="1189"/>
      <c r="F599" s="1189"/>
      <c r="G599" s="1189"/>
      <c r="H599" s="1189"/>
      <c r="I599" s="1189"/>
      <c r="J599" s="1189"/>
      <c r="K599" s="1189"/>
      <c r="L599" s="1189"/>
      <c r="M599" s="1189"/>
      <c r="N599" s="1189"/>
      <c r="O599" s="1189"/>
      <c r="P599" s="1189"/>
      <c r="Q599" s="1189"/>
      <c r="R599" s="1189"/>
      <c r="S599" s="1189"/>
      <c r="T599" s="1189"/>
      <c r="U599" s="1189"/>
      <c r="V599" s="1189"/>
      <c r="W599" s="1189"/>
      <c r="X599" s="1189"/>
      <c r="Y599" s="1189"/>
      <c r="Z599" s="1189"/>
      <c r="AA599" s="1189"/>
      <c r="AB599" s="1189"/>
      <c r="AC599" s="1189"/>
      <c r="AD599" s="1189"/>
      <c r="AE599" s="1189"/>
      <c r="AF599" s="1189"/>
      <c r="AG599" s="1189"/>
      <c r="AH599" s="1189"/>
      <c r="AI599" s="1189"/>
    </row>
    <row r="600">
      <c r="A600" s="1202"/>
      <c r="B600" s="1203"/>
      <c r="C600" s="1189"/>
      <c r="D600" s="1189"/>
      <c r="E600" s="1189"/>
      <c r="F600" s="1189"/>
      <c r="G600" s="1189"/>
      <c r="H600" s="1189"/>
      <c r="I600" s="1189"/>
      <c r="J600" s="1189"/>
      <c r="K600" s="1189"/>
      <c r="L600" s="1189"/>
      <c r="M600" s="1189"/>
      <c r="N600" s="1189"/>
      <c r="O600" s="1189"/>
      <c r="P600" s="1189"/>
      <c r="Q600" s="1189"/>
      <c r="R600" s="1189"/>
      <c r="S600" s="1189"/>
      <c r="T600" s="1189"/>
      <c r="U600" s="1189"/>
      <c r="V600" s="1189"/>
      <c r="W600" s="1189"/>
      <c r="X600" s="1189"/>
      <c r="Y600" s="1189"/>
      <c r="Z600" s="1189"/>
      <c r="AA600" s="1189"/>
      <c r="AB600" s="1189"/>
      <c r="AC600" s="1189"/>
      <c r="AD600" s="1189"/>
      <c r="AE600" s="1189"/>
      <c r="AF600" s="1189"/>
      <c r="AG600" s="1189"/>
      <c r="AH600" s="1189"/>
      <c r="AI600" s="1189"/>
    </row>
    <row r="601">
      <c r="A601" s="1202"/>
      <c r="B601" s="1203"/>
      <c r="C601" s="1189"/>
      <c r="D601" s="1189"/>
      <c r="E601" s="1189"/>
      <c r="F601" s="1189"/>
      <c r="G601" s="1189"/>
      <c r="H601" s="1189"/>
      <c r="I601" s="1189"/>
      <c r="J601" s="1189"/>
      <c r="K601" s="1189"/>
      <c r="L601" s="1189"/>
      <c r="M601" s="1189"/>
      <c r="N601" s="1189"/>
      <c r="O601" s="1189"/>
      <c r="P601" s="1189"/>
      <c r="Q601" s="1189"/>
      <c r="R601" s="1189"/>
      <c r="S601" s="1189"/>
      <c r="T601" s="1189"/>
      <c r="U601" s="1189"/>
      <c r="V601" s="1189"/>
      <c r="W601" s="1189"/>
      <c r="X601" s="1189"/>
      <c r="Y601" s="1189"/>
      <c r="Z601" s="1189"/>
      <c r="AA601" s="1189"/>
      <c r="AB601" s="1189"/>
      <c r="AC601" s="1189"/>
      <c r="AD601" s="1189"/>
      <c r="AE601" s="1189"/>
      <c r="AF601" s="1189"/>
      <c r="AG601" s="1189"/>
      <c r="AH601" s="1189"/>
      <c r="AI601" s="1189"/>
    </row>
    <row r="602">
      <c r="A602" s="1202"/>
      <c r="B602" s="1203"/>
      <c r="C602" s="1189"/>
      <c r="D602" s="1189"/>
      <c r="E602" s="1189"/>
      <c r="F602" s="1189"/>
      <c r="G602" s="1189"/>
      <c r="H602" s="1189"/>
      <c r="I602" s="1189"/>
      <c r="J602" s="1189"/>
      <c r="K602" s="1189"/>
      <c r="L602" s="1189"/>
      <c r="M602" s="1189"/>
      <c r="N602" s="1189"/>
      <c r="O602" s="1189"/>
      <c r="P602" s="1189"/>
      <c r="Q602" s="1189"/>
      <c r="R602" s="1189"/>
      <c r="S602" s="1189"/>
      <c r="T602" s="1189"/>
      <c r="U602" s="1189"/>
      <c r="V602" s="1189"/>
      <c r="W602" s="1189"/>
      <c r="X602" s="1189"/>
      <c r="Y602" s="1189"/>
      <c r="Z602" s="1189"/>
      <c r="AA602" s="1189"/>
      <c r="AB602" s="1189"/>
      <c r="AC602" s="1189"/>
      <c r="AD602" s="1189"/>
      <c r="AE602" s="1189"/>
      <c r="AF602" s="1189"/>
      <c r="AG602" s="1189"/>
      <c r="AH602" s="1189"/>
      <c r="AI602" s="1189"/>
    </row>
    <row r="603">
      <c r="A603" s="1202"/>
      <c r="B603" s="1203"/>
      <c r="C603" s="1189"/>
      <c r="D603" s="1189"/>
      <c r="E603" s="1189"/>
      <c r="F603" s="1189"/>
      <c r="G603" s="1189"/>
      <c r="H603" s="1189"/>
      <c r="I603" s="1189"/>
      <c r="J603" s="1189"/>
      <c r="K603" s="1189"/>
      <c r="L603" s="1189"/>
      <c r="M603" s="1189"/>
      <c r="N603" s="1189"/>
      <c r="O603" s="1189"/>
      <c r="P603" s="1189"/>
      <c r="Q603" s="1189"/>
      <c r="R603" s="1189"/>
      <c r="S603" s="1189"/>
      <c r="T603" s="1189"/>
      <c r="U603" s="1189"/>
      <c r="V603" s="1189"/>
      <c r="W603" s="1189"/>
      <c r="X603" s="1189"/>
      <c r="Y603" s="1189"/>
      <c r="Z603" s="1189"/>
      <c r="AA603" s="1189"/>
      <c r="AB603" s="1189"/>
      <c r="AC603" s="1189"/>
      <c r="AD603" s="1189"/>
      <c r="AE603" s="1189"/>
      <c r="AF603" s="1189"/>
      <c r="AG603" s="1189"/>
      <c r="AH603" s="1189"/>
      <c r="AI603" s="1189"/>
    </row>
    <row r="604">
      <c r="A604" s="1202"/>
      <c r="B604" s="1203"/>
      <c r="C604" s="1189"/>
      <c r="D604" s="1189"/>
      <c r="E604" s="1189"/>
      <c r="F604" s="1189"/>
      <c r="G604" s="1189"/>
      <c r="H604" s="1189"/>
      <c r="I604" s="1189"/>
      <c r="J604" s="1189"/>
      <c r="K604" s="1189"/>
      <c r="L604" s="1189"/>
      <c r="M604" s="1189"/>
      <c r="N604" s="1189"/>
      <c r="O604" s="1189"/>
      <c r="P604" s="1189"/>
      <c r="Q604" s="1189"/>
      <c r="R604" s="1189"/>
      <c r="S604" s="1189"/>
      <c r="T604" s="1189"/>
      <c r="U604" s="1189"/>
      <c r="V604" s="1189"/>
      <c r="W604" s="1189"/>
      <c r="X604" s="1189"/>
      <c r="Y604" s="1189"/>
      <c r="Z604" s="1189"/>
      <c r="AA604" s="1189"/>
      <c r="AB604" s="1189"/>
      <c r="AC604" s="1189"/>
      <c r="AD604" s="1189"/>
      <c r="AE604" s="1189"/>
      <c r="AF604" s="1189"/>
      <c r="AG604" s="1189"/>
      <c r="AH604" s="1189"/>
      <c r="AI604" s="1189"/>
    </row>
    <row r="605">
      <c r="A605" s="1202"/>
      <c r="B605" s="1203"/>
      <c r="C605" s="1189"/>
      <c r="D605" s="1189"/>
      <c r="E605" s="1189"/>
      <c r="F605" s="1189"/>
      <c r="G605" s="1189"/>
      <c r="H605" s="1189"/>
      <c r="I605" s="1189"/>
      <c r="J605" s="1189"/>
      <c r="K605" s="1189"/>
      <c r="L605" s="1189"/>
      <c r="M605" s="1189"/>
      <c r="N605" s="1189"/>
      <c r="O605" s="1189"/>
      <c r="P605" s="1189"/>
      <c r="Q605" s="1189"/>
      <c r="R605" s="1189"/>
      <c r="S605" s="1189"/>
      <c r="T605" s="1189"/>
      <c r="U605" s="1189"/>
      <c r="V605" s="1189"/>
      <c r="W605" s="1189"/>
      <c r="X605" s="1189"/>
      <c r="Y605" s="1189"/>
      <c r="Z605" s="1189"/>
      <c r="AA605" s="1189"/>
      <c r="AB605" s="1189"/>
      <c r="AC605" s="1189"/>
      <c r="AD605" s="1189"/>
      <c r="AE605" s="1189"/>
      <c r="AF605" s="1189"/>
      <c r="AG605" s="1189"/>
      <c r="AH605" s="1189"/>
      <c r="AI605" s="1189"/>
    </row>
    <row r="606">
      <c r="A606" s="1202"/>
      <c r="B606" s="1203"/>
      <c r="C606" s="1189"/>
      <c r="D606" s="1189"/>
      <c r="E606" s="1189"/>
      <c r="F606" s="1189"/>
      <c r="G606" s="1189"/>
      <c r="H606" s="1189"/>
      <c r="I606" s="1189"/>
      <c r="J606" s="1189"/>
      <c r="K606" s="1189"/>
      <c r="L606" s="1189"/>
      <c r="M606" s="1189"/>
      <c r="N606" s="1189"/>
      <c r="O606" s="1189"/>
      <c r="P606" s="1189"/>
      <c r="Q606" s="1189"/>
      <c r="R606" s="1189"/>
      <c r="S606" s="1189"/>
      <c r="T606" s="1189"/>
      <c r="U606" s="1189"/>
      <c r="V606" s="1189"/>
      <c r="W606" s="1189"/>
      <c r="X606" s="1189"/>
      <c r="Y606" s="1189"/>
      <c r="Z606" s="1189"/>
      <c r="AA606" s="1189"/>
      <c r="AB606" s="1189"/>
      <c r="AC606" s="1189"/>
      <c r="AD606" s="1189"/>
      <c r="AE606" s="1189"/>
      <c r="AF606" s="1189"/>
      <c r="AG606" s="1189"/>
      <c r="AH606" s="1189"/>
      <c r="AI606" s="1189"/>
    </row>
    <row r="607">
      <c r="A607" s="1202"/>
      <c r="B607" s="1203"/>
      <c r="C607" s="1189"/>
      <c r="D607" s="1189"/>
      <c r="E607" s="1189"/>
      <c r="F607" s="1189"/>
      <c r="G607" s="1189"/>
      <c r="H607" s="1189"/>
      <c r="I607" s="1189"/>
      <c r="J607" s="1189"/>
      <c r="K607" s="1189"/>
      <c r="L607" s="1189"/>
      <c r="M607" s="1189"/>
      <c r="N607" s="1189"/>
      <c r="O607" s="1189"/>
      <c r="P607" s="1189"/>
      <c r="Q607" s="1189"/>
      <c r="R607" s="1189"/>
      <c r="S607" s="1189"/>
      <c r="T607" s="1189"/>
      <c r="U607" s="1189"/>
      <c r="V607" s="1189"/>
      <c r="W607" s="1189"/>
      <c r="X607" s="1189"/>
      <c r="Y607" s="1189"/>
      <c r="Z607" s="1189"/>
      <c r="AA607" s="1189"/>
      <c r="AB607" s="1189"/>
      <c r="AC607" s="1189"/>
      <c r="AD607" s="1189"/>
      <c r="AE607" s="1189"/>
      <c r="AF607" s="1189"/>
      <c r="AG607" s="1189"/>
      <c r="AH607" s="1189"/>
      <c r="AI607" s="1189"/>
    </row>
    <row r="608">
      <c r="A608" s="1202"/>
      <c r="B608" s="1203"/>
      <c r="C608" s="1189"/>
      <c r="D608" s="1189"/>
      <c r="E608" s="1189"/>
      <c r="F608" s="1189"/>
      <c r="G608" s="1189"/>
      <c r="H608" s="1189"/>
      <c r="I608" s="1189"/>
      <c r="J608" s="1189"/>
      <c r="K608" s="1189"/>
      <c r="L608" s="1189"/>
      <c r="M608" s="1189"/>
      <c r="N608" s="1189"/>
      <c r="O608" s="1189"/>
      <c r="P608" s="1189"/>
      <c r="Q608" s="1189"/>
      <c r="R608" s="1189"/>
      <c r="S608" s="1189"/>
      <c r="T608" s="1189"/>
      <c r="U608" s="1189"/>
      <c r="V608" s="1189"/>
      <c r="W608" s="1189"/>
      <c r="X608" s="1189"/>
      <c r="Y608" s="1189"/>
      <c r="Z608" s="1189"/>
      <c r="AA608" s="1189"/>
      <c r="AB608" s="1189"/>
      <c r="AC608" s="1189"/>
      <c r="AD608" s="1189"/>
      <c r="AE608" s="1189"/>
      <c r="AF608" s="1189"/>
      <c r="AG608" s="1189"/>
      <c r="AH608" s="1189"/>
      <c r="AI608" s="1189"/>
    </row>
    <row r="609">
      <c r="A609" s="1202"/>
      <c r="B609" s="1203"/>
      <c r="C609" s="1189"/>
      <c r="D609" s="1189"/>
      <c r="E609" s="1189"/>
      <c r="F609" s="1189"/>
      <c r="G609" s="1189"/>
      <c r="H609" s="1189"/>
      <c r="I609" s="1189"/>
      <c r="J609" s="1189"/>
      <c r="K609" s="1189"/>
      <c r="L609" s="1189"/>
      <c r="M609" s="1189"/>
      <c r="N609" s="1189"/>
      <c r="O609" s="1189"/>
      <c r="P609" s="1189"/>
      <c r="Q609" s="1189"/>
      <c r="R609" s="1189"/>
      <c r="S609" s="1189"/>
      <c r="T609" s="1189"/>
      <c r="U609" s="1189"/>
      <c r="V609" s="1189"/>
      <c r="W609" s="1189"/>
      <c r="X609" s="1189"/>
      <c r="Y609" s="1189"/>
      <c r="Z609" s="1189"/>
      <c r="AA609" s="1189"/>
      <c r="AB609" s="1189"/>
      <c r="AC609" s="1189"/>
      <c r="AD609" s="1189"/>
      <c r="AE609" s="1189"/>
      <c r="AF609" s="1189"/>
      <c r="AG609" s="1189"/>
      <c r="AH609" s="1189"/>
      <c r="AI609" s="1189"/>
    </row>
    <row r="610">
      <c r="A610" s="1202"/>
      <c r="B610" s="1203"/>
      <c r="C610" s="1189"/>
      <c r="D610" s="1189"/>
      <c r="E610" s="1189"/>
      <c r="F610" s="1189"/>
      <c r="G610" s="1189"/>
      <c r="H610" s="1189"/>
      <c r="I610" s="1189"/>
      <c r="J610" s="1189"/>
      <c r="K610" s="1189"/>
      <c r="L610" s="1189"/>
      <c r="M610" s="1189"/>
      <c r="N610" s="1189"/>
      <c r="O610" s="1189"/>
      <c r="P610" s="1189"/>
      <c r="Q610" s="1189"/>
      <c r="R610" s="1189"/>
      <c r="S610" s="1189"/>
      <c r="T610" s="1189"/>
      <c r="U610" s="1189"/>
      <c r="V610" s="1189"/>
      <c r="W610" s="1189"/>
      <c r="X610" s="1189"/>
      <c r="Y610" s="1189"/>
      <c r="Z610" s="1189"/>
      <c r="AA610" s="1189"/>
      <c r="AB610" s="1189"/>
      <c r="AC610" s="1189"/>
      <c r="AD610" s="1189"/>
      <c r="AE610" s="1189"/>
      <c r="AF610" s="1189"/>
      <c r="AG610" s="1189"/>
      <c r="AH610" s="1189"/>
      <c r="AI610" s="1189"/>
    </row>
    <row r="611">
      <c r="A611" s="1202"/>
      <c r="B611" s="1203"/>
      <c r="C611" s="1189"/>
      <c r="D611" s="1189"/>
      <c r="E611" s="1189"/>
      <c r="F611" s="1189"/>
      <c r="G611" s="1189"/>
      <c r="H611" s="1189"/>
      <c r="I611" s="1189"/>
      <c r="J611" s="1189"/>
      <c r="K611" s="1189"/>
      <c r="L611" s="1189"/>
      <c r="M611" s="1189"/>
      <c r="N611" s="1189"/>
      <c r="O611" s="1189"/>
      <c r="P611" s="1189"/>
      <c r="Q611" s="1189"/>
      <c r="R611" s="1189"/>
      <c r="S611" s="1189"/>
      <c r="T611" s="1189"/>
      <c r="U611" s="1189"/>
      <c r="V611" s="1189"/>
      <c r="W611" s="1189"/>
      <c r="X611" s="1189"/>
      <c r="Y611" s="1189"/>
      <c r="Z611" s="1189"/>
      <c r="AA611" s="1189"/>
      <c r="AB611" s="1189"/>
      <c r="AC611" s="1189"/>
      <c r="AD611" s="1189"/>
      <c r="AE611" s="1189"/>
      <c r="AF611" s="1189"/>
      <c r="AG611" s="1189"/>
      <c r="AH611" s="1189"/>
      <c r="AI611" s="1189"/>
    </row>
    <row r="612">
      <c r="A612" s="1202"/>
      <c r="B612" s="1203"/>
      <c r="C612" s="1189"/>
      <c r="D612" s="1189"/>
      <c r="E612" s="1189"/>
      <c r="F612" s="1189"/>
      <c r="G612" s="1189"/>
      <c r="H612" s="1189"/>
      <c r="I612" s="1189"/>
      <c r="J612" s="1189"/>
      <c r="K612" s="1189"/>
      <c r="L612" s="1189"/>
      <c r="M612" s="1189"/>
      <c r="N612" s="1189"/>
      <c r="O612" s="1189"/>
      <c r="P612" s="1189"/>
      <c r="Q612" s="1189"/>
      <c r="R612" s="1189"/>
      <c r="S612" s="1189"/>
      <c r="T612" s="1189"/>
      <c r="U612" s="1189"/>
      <c r="V612" s="1189"/>
      <c r="W612" s="1189"/>
      <c r="X612" s="1189"/>
      <c r="Y612" s="1189"/>
      <c r="Z612" s="1189"/>
      <c r="AA612" s="1189"/>
      <c r="AB612" s="1189"/>
      <c r="AC612" s="1189"/>
      <c r="AD612" s="1189"/>
      <c r="AE612" s="1189"/>
      <c r="AF612" s="1189"/>
      <c r="AG612" s="1189"/>
      <c r="AH612" s="1189"/>
      <c r="AI612" s="1189"/>
    </row>
    <row r="613">
      <c r="A613" s="1202"/>
      <c r="B613" s="1203"/>
      <c r="C613" s="1189"/>
      <c r="D613" s="1189"/>
      <c r="E613" s="1189"/>
      <c r="F613" s="1189"/>
      <c r="G613" s="1189"/>
      <c r="H613" s="1189"/>
      <c r="I613" s="1189"/>
      <c r="J613" s="1189"/>
      <c r="K613" s="1189"/>
      <c r="L613" s="1189"/>
      <c r="M613" s="1189"/>
      <c r="N613" s="1189"/>
      <c r="O613" s="1189"/>
      <c r="P613" s="1189"/>
      <c r="Q613" s="1189"/>
      <c r="R613" s="1189"/>
      <c r="S613" s="1189"/>
      <c r="T613" s="1189"/>
      <c r="U613" s="1189"/>
      <c r="V613" s="1189"/>
      <c r="W613" s="1189"/>
      <c r="X613" s="1189"/>
      <c r="Y613" s="1189"/>
      <c r="Z613" s="1189"/>
      <c r="AA613" s="1189"/>
      <c r="AB613" s="1189"/>
      <c r="AC613" s="1189"/>
      <c r="AD613" s="1189"/>
      <c r="AE613" s="1189"/>
      <c r="AF613" s="1189"/>
      <c r="AG613" s="1189"/>
      <c r="AH613" s="1189"/>
      <c r="AI613" s="1189"/>
    </row>
    <row r="614">
      <c r="A614" s="1202"/>
      <c r="B614" s="1203"/>
      <c r="C614" s="1189"/>
      <c r="D614" s="1189"/>
      <c r="E614" s="1189"/>
      <c r="F614" s="1189"/>
      <c r="G614" s="1189"/>
      <c r="H614" s="1189"/>
      <c r="I614" s="1189"/>
      <c r="J614" s="1189"/>
      <c r="K614" s="1189"/>
      <c r="L614" s="1189"/>
      <c r="M614" s="1189"/>
      <c r="N614" s="1189"/>
      <c r="O614" s="1189"/>
      <c r="P614" s="1189"/>
      <c r="Q614" s="1189"/>
      <c r="R614" s="1189"/>
      <c r="S614" s="1189"/>
      <c r="T614" s="1189"/>
      <c r="U614" s="1189"/>
      <c r="V614" s="1189"/>
      <c r="W614" s="1189"/>
      <c r="X614" s="1189"/>
      <c r="Y614" s="1189"/>
      <c r="Z614" s="1189"/>
      <c r="AA614" s="1189"/>
      <c r="AB614" s="1189"/>
      <c r="AC614" s="1189"/>
      <c r="AD614" s="1189"/>
      <c r="AE614" s="1189"/>
      <c r="AF614" s="1189"/>
      <c r="AG614" s="1189"/>
      <c r="AH614" s="1189"/>
      <c r="AI614" s="1189"/>
    </row>
    <row r="615">
      <c r="A615" s="1202"/>
      <c r="B615" s="1203"/>
      <c r="C615" s="1189"/>
      <c r="D615" s="1189"/>
      <c r="E615" s="1189"/>
      <c r="F615" s="1189"/>
      <c r="G615" s="1189"/>
      <c r="H615" s="1189"/>
      <c r="I615" s="1189"/>
      <c r="J615" s="1189"/>
      <c r="K615" s="1189"/>
      <c r="L615" s="1189"/>
      <c r="M615" s="1189"/>
      <c r="N615" s="1189"/>
      <c r="O615" s="1189"/>
      <c r="P615" s="1189"/>
      <c r="Q615" s="1189"/>
      <c r="R615" s="1189"/>
      <c r="S615" s="1189"/>
      <c r="T615" s="1189"/>
      <c r="U615" s="1189"/>
      <c r="V615" s="1189"/>
      <c r="W615" s="1189"/>
      <c r="X615" s="1189"/>
      <c r="Y615" s="1189"/>
      <c r="Z615" s="1189"/>
      <c r="AA615" s="1189"/>
      <c r="AB615" s="1189"/>
      <c r="AC615" s="1189"/>
      <c r="AD615" s="1189"/>
      <c r="AE615" s="1189"/>
      <c r="AF615" s="1189"/>
      <c r="AG615" s="1189"/>
      <c r="AH615" s="1189"/>
      <c r="AI615" s="1189"/>
    </row>
    <row r="616">
      <c r="A616" s="1202"/>
      <c r="B616" s="1203"/>
      <c r="C616" s="1189"/>
      <c r="D616" s="1189"/>
      <c r="E616" s="1189"/>
      <c r="F616" s="1189"/>
      <c r="G616" s="1189"/>
      <c r="H616" s="1189"/>
      <c r="I616" s="1189"/>
      <c r="J616" s="1189"/>
      <c r="K616" s="1189"/>
      <c r="L616" s="1189"/>
      <c r="M616" s="1189"/>
      <c r="N616" s="1189"/>
      <c r="O616" s="1189"/>
      <c r="P616" s="1189"/>
      <c r="Q616" s="1189"/>
      <c r="R616" s="1189"/>
      <c r="S616" s="1189"/>
      <c r="T616" s="1189"/>
      <c r="U616" s="1189"/>
      <c r="V616" s="1189"/>
      <c r="W616" s="1189"/>
      <c r="X616" s="1189"/>
      <c r="Y616" s="1189"/>
      <c r="Z616" s="1189"/>
      <c r="AA616" s="1189"/>
      <c r="AB616" s="1189"/>
      <c r="AC616" s="1189"/>
      <c r="AD616" s="1189"/>
      <c r="AE616" s="1189"/>
      <c r="AF616" s="1189"/>
      <c r="AG616" s="1189"/>
      <c r="AH616" s="1189"/>
      <c r="AI616" s="1189"/>
    </row>
    <row r="617">
      <c r="A617" s="1202"/>
      <c r="B617" s="1203"/>
      <c r="C617" s="1189"/>
      <c r="D617" s="1189"/>
      <c r="E617" s="1189"/>
      <c r="F617" s="1189"/>
      <c r="G617" s="1189"/>
      <c r="H617" s="1189"/>
      <c r="I617" s="1189"/>
      <c r="J617" s="1189"/>
      <c r="K617" s="1189"/>
      <c r="L617" s="1189"/>
      <c r="M617" s="1189"/>
      <c r="N617" s="1189"/>
      <c r="O617" s="1189"/>
      <c r="P617" s="1189"/>
      <c r="Q617" s="1189"/>
      <c r="R617" s="1189"/>
      <c r="S617" s="1189"/>
      <c r="T617" s="1189"/>
      <c r="U617" s="1189"/>
      <c r="V617" s="1189"/>
      <c r="W617" s="1189"/>
      <c r="X617" s="1189"/>
      <c r="Y617" s="1189"/>
      <c r="Z617" s="1189"/>
      <c r="AA617" s="1189"/>
      <c r="AB617" s="1189"/>
      <c r="AC617" s="1189"/>
      <c r="AD617" s="1189"/>
      <c r="AE617" s="1189"/>
      <c r="AF617" s="1189"/>
      <c r="AG617" s="1189"/>
      <c r="AH617" s="1189"/>
      <c r="AI617" s="1189"/>
    </row>
    <row r="618">
      <c r="A618" s="1202"/>
      <c r="B618" s="1203"/>
      <c r="C618" s="1189"/>
      <c r="D618" s="1189"/>
      <c r="E618" s="1189"/>
      <c r="F618" s="1189"/>
      <c r="G618" s="1189"/>
      <c r="H618" s="1189"/>
      <c r="I618" s="1189"/>
      <c r="J618" s="1189"/>
      <c r="K618" s="1189"/>
      <c r="L618" s="1189"/>
      <c r="M618" s="1189"/>
      <c r="N618" s="1189"/>
      <c r="O618" s="1189"/>
      <c r="P618" s="1189"/>
      <c r="Q618" s="1189"/>
      <c r="R618" s="1189"/>
      <c r="S618" s="1189"/>
      <c r="T618" s="1189"/>
      <c r="U618" s="1189"/>
      <c r="V618" s="1189"/>
      <c r="W618" s="1189"/>
      <c r="X618" s="1189"/>
      <c r="Y618" s="1189"/>
      <c r="Z618" s="1189"/>
      <c r="AA618" s="1189"/>
      <c r="AB618" s="1189"/>
      <c r="AC618" s="1189"/>
      <c r="AD618" s="1189"/>
      <c r="AE618" s="1189"/>
      <c r="AF618" s="1189"/>
      <c r="AG618" s="1189"/>
      <c r="AH618" s="1189"/>
      <c r="AI618" s="1189"/>
    </row>
    <row r="619">
      <c r="A619" s="1202"/>
      <c r="B619" s="1203"/>
      <c r="C619" s="1189"/>
      <c r="D619" s="1189"/>
      <c r="E619" s="1189"/>
      <c r="F619" s="1189"/>
      <c r="G619" s="1189"/>
      <c r="H619" s="1189"/>
      <c r="I619" s="1189"/>
      <c r="J619" s="1189"/>
      <c r="K619" s="1189"/>
      <c r="L619" s="1189"/>
      <c r="M619" s="1189"/>
      <c r="N619" s="1189"/>
      <c r="O619" s="1189"/>
      <c r="P619" s="1189"/>
      <c r="Q619" s="1189"/>
      <c r="R619" s="1189"/>
      <c r="S619" s="1189"/>
      <c r="T619" s="1189"/>
      <c r="U619" s="1189"/>
      <c r="V619" s="1189"/>
      <c r="W619" s="1189"/>
      <c r="X619" s="1189"/>
      <c r="Y619" s="1189"/>
      <c r="Z619" s="1189"/>
      <c r="AA619" s="1189"/>
      <c r="AB619" s="1189"/>
      <c r="AC619" s="1189"/>
      <c r="AD619" s="1189"/>
      <c r="AE619" s="1189"/>
      <c r="AF619" s="1189"/>
      <c r="AG619" s="1189"/>
      <c r="AH619" s="1189"/>
      <c r="AI619" s="1189"/>
    </row>
    <row r="620">
      <c r="A620" s="1202"/>
      <c r="B620" s="1203"/>
      <c r="C620" s="1189"/>
      <c r="D620" s="1189"/>
      <c r="E620" s="1189"/>
      <c r="F620" s="1189"/>
      <c r="G620" s="1189"/>
      <c r="H620" s="1189"/>
      <c r="I620" s="1189"/>
      <c r="J620" s="1189"/>
      <c r="K620" s="1189"/>
      <c r="L620" s="1189"/>
      <c r="M620" s="1189"/>
      <c r="N620" s="1189"/>
      <c r="O620" s="1189"/>
      <c r="P620" s="1189"/>
      <c r="Q620" s="1189"/>
      <c r="R620" s="1189"/>
      <c r="S620" s="1189"/>
      <c r="T620" s="1189"/>
      <c r="U620" s="1189"/>
      <c r="V620" s="1189"/>
      <c r="W620" s="1189"/>
      <c r="X620" s="1189"/>
      <c r="Y620" s="1189"/>
      <c r="Z620" s="1189"/>
      <c r="AA620" s="1189"/>
      <c r="AB620" s="1189"/>
      <c r="AC620" s="1189"/>
      <c r="AD620" s="1189"/>
      <c r="AE620" s="1189"/>
      <c r="AF620" s="1189"/>
      <c r="AG620" s="1189"/>
      <c r="AH620" s="1189"/>
      <c r="AI620" s="1189"/>
    </row>
    <row r="621">
      <c r="A621" s="1202"/>
      <c r="B621" s="1203"/>
      <c r="C621" s="1189"/>
      <c r="D621" s="1189"/>
      <c r="E621" s="1189"/>
      <c r="F621" s="1189"/>
      <c r="G621" s="1189"/>
      <c r="H621" s="1189"/>
      <c r="I621" s="1189"/>
      <c r="J621" s="1189"/>
      <c r="K621" s="1189"/>
      <c r="L621" s="1189"/>
      <c r="M621" s="1189"/>
      <c r="N621" s="1189"/>
      <c r="O621" s="1189"/>
      <c r="P621" s="1189"/>
      <c r="Q621" s="1189"/>
      <c r="R621" s="1189"/>
      <c r="S621" s="1189"/>
      <c r="T621" s="1189"/>
      <c r="U621" s="1189"/>
      <c r="V621" s="1189"/>
      <c r="W621" s="1189"/>
      <c r="X621" s="1189"/>
      <c r="Y621" s="1189"/>
      <c r="Z621" s="1189"/>
      <c r="AA621" s="1189"/>
      <c r="AB621" s="1189"/>
      <c r="AC621" s="1189"/>
      <c r="AD621" s="1189"/>
      <c r="AE621" s="1189"/>
      <c r="AF621" s="1189"/>
      <c r="AG621" s="1189"/>
      <c r="AH621" s="1189"/>
      <c r="AI621" s="1189"/>
    </row>
    <row r="622">
      <c r="A622" s="1202"/>
      <c r="B622" s="1203"/>
      <c r="C622" s="1189"/>
      <c r="D622" s="1189"/>
      <c r="E622" s="1189"/>
      <c r="F622" s="1189"/>
      <c r="G622" s="1189"/>
      <c r="H622" s="1189"/>
      <c r="I622" s="1189"/>
      <c r="J622" s="1189"/>
      <c r="K622" s="1189"/>
      <c r="L622" s="1189"/>
      <c r="M622" s="1189"/>
      <c r="N622" s="1189"/>
      <c r="O622" s="1189"/>
      <c r="P622" s="1189"/>
      <c r="Q622" s="1189"/>
      <c r="R622" s="1189"/>
      <c r="S622" s="1189"/>
      <c r="T622" s="1189"/>
      <c r="U622" s="1189"/>
      <c r="V622" s="1189"/>
      <c r="W622" s="1189"/>
      <c r="X622" s="1189"/>
      <c r="Y622" s="1189"/>
      <c r="Z622" s="1189"/>
      <c r="AA622" s="1189"/>
      <c r="AB622" s="1189"/>
      <c r="AC622" s="1189"/>
      <c r="AD622" s="1189"/>
      <c r="AE622" s="1189"/>
      <c r="AF622" s="1189"/>
      <c r="AG622" s="1189"/>
      <c r="AH622" s="1189"/>
      <c r="AI622" s="1189"/>
    </row>
    <row r="623">
      <c r="A623" s="1202"/>
      <c r="B623" s="1203"/>
      <c r="C623" s="1189"/>
      <c r="D623" s="1189"/>
      <c r="E623" s="1189"/>
      <c r="F623" s="1189"/>
      <c r="G623" s="1189"/>
      <c r="H623" s="1189"/>
      <c r="I623" s="1189"/>
      <c r="J623" s="1189"/>
      <c r="K623" s="1189"/>
      <c r="L623" s="1189"/>
      <c r="M623" s="1189"/>
      <c r="N623" s="1189"/>
      <c r="O623" s="1189"/>
      <c r="P623" s="1189"/>
      <c r="Q623" s="1189"/>
      <c r="R623" s="1189"/>
      <c r="S623" s="1189"/>
      <c r="T623" s="1189"/>
      <c r="U623" s="1189"/>
      <c r="V623" s="1189"/>
      <c r="W623" s="1189"/>
      <c r="X623" s="1189"/>
      <c r="Y623" s="1189"/>
      <c r="Z623" s="1189"/>
      <c r="AA623" s="1189"/>
      <c r="AB623" s="1189"/>
      <c r="AC623" s="1189"/>
      <c r="AD623" s="1189"/>
      <c r="AE623" s="1189"/>
      <c r="AF623" s="1189"/>
      <c r="AG623" s="1189"/>
      <c r="AH623" s="1189"/>
      <c r="AI623" s="1189"/>
    </row>
    <row r="624">
      <c r="A624" s="1202"/>
      <c r="B624" s="1203"/>
      <c r="C624" s="1189"/>
      <c r="D624" s="1189"/>
      <c r="E624" s="1189"/>
      <c r="F624" s="1189"/>
      <c r="G624" s="1189"/>
      <c r="H624" s="1189"/>
      <c r="I624" s="1189"/>
      <c r="J624" s="1189"/>
      <c r="K624" s="1189"/>
      <c r="L624" s="1189"/>
      <c r="M624" s="1189"/>
      <c r="N624" s="1189"/>
      <c r="O624" s="1189"/>
      <c r="P624" s="1189"/>
      <c r="Q624" s="1189"/>
      <c r="R624" s="1189"/>
      <c r="S624" s="1189"/>
      <c r="T624" s="1189"/>
      <c r="U624" s="1189"/>
      <c r="V624" s="1189"/>
      <c r="W624" s="1189"/>
      <c r="X624" s="1189"/>
      <c r="Y624" s="1189"/>
      <c r="Z624" s="1189"/>
      <c r="AA624" s="1189"/>
      <c r="AB624" s="1189"/>
      <c r="AC624" s="1189"/>
      <c r="AD624" s="1189"/>
      <c r="AE624" s="1189"/>
      <c r="AF624" s="1189"/>
      <c r="AG624" s="1189"/>
      <c r="AH624" s="1189"/>
      <c r="AI624" s="1189"/>
    </row>
    <row r="625">
      <c r="A625" s="1202"/>
      <c r="B625" s="1203"/>
      <c r="C625" s="1189"/>
      <c r="D625" s="1189"/>
      <c r="E625" s="1189"/>
      <c r="F625" s="1189"/>
      <c r="G625" s="1189"/>
      <c r="H625" s="1189"/>
      <c r="I625" s="1189"/>
      <c r="J625" s="1189"/>
      <c r="K625" s="1189"/>
      <c r="L625" s="1189"/>
      <c r="M625" s="1189"/>
      <c r="N625" s="1189"/>
      <c r="O625" s="1189"/>
      <c r="P625" s="1189"/>
      <c r="Q625" s="1189"/>
      <c r="R625" s="1189"/>
      <c r="S625" s="1189"/>
      <c r="T625" s="1189"/>
      <c r="U625" s="1189"/>
      <c r="V625" s="1189"/>
      <c r="W625" s="1189"/>
      <c r="X625" s="1189"/>
      <c r="Y625" s="1189"/>
      <c r="Z625" s="1189"/>
      <c r="AA625" s="1189"/>
      <c r="AB625" s="1189"/>
      <c r="AC625" s="1189"/>
      <c r="AD625" s="1189"/>
      <c r="AE625" s="1189"/>
      <c r="AF625" s="1189"/>
      <c r="AG625" s="1189"/>
      <c r="AH625" s="1189"/>
      <c r="AI625" s="1189"/>
    </row>
    <row r="626">
      <c r="A626" s="1202"/>
      <c r="B626" s="1203"/>
      <c r="C626" s="1189"/>
      <c r="D626" s="1189"/>
      <c r="E626" s="1189"/>
      <c r="F626" s="1189"/>
      <c r="G626" s="1189"/>
      <c r="H626" s="1189"/>
      <c r="I626" s="1189"/>
      <c r="J626" s="1189"/>
      <c r="K626" s="1189"/>
      <c r="L626" s="1189"/>
      <c r="M626" s="1189"/>
      <c r="N626" s="1189"/>
      <c r="O626" s="1189"/>
      <c r="P626" s="1189"/>
      <c r="Q626" s="1189"/>
      <c r="R626" s="1189"/>
      <c r="S626" s="1189"/>
      <c r="T626" s="1189"/>
      <c r="U626" s="1189"/>
      <c r="V626" s="1189"/>
      <c r="W626" s="1189"/>
      <c r="X626" s="1189"/>
      <c r="Y626" s="1189"/>
      <c r="Z626" s="1189"/>
      <c r="AA626" s="1189"/>
      <c r="AB626" s="1189"/>
      <c r="AC626" s="1189"/>
      <c r="AD626" s="1189"/>
      <c r="AE626" s="1189"/>
      <c r="AF626" s="1189"/>
      <c r="AG626" s="1189"/>
      <c r="AH626" s="1189"/>
      <c r="AI626" s="1189"/>
    </row>
    <row r="627">
      <c r="A627" s="1202"/>
      <c r="B627" s="1203"/>
      <c r="C627" s="1189"/>
      <c r="D627" s="1189"/>
      <c r="E627" s="1189"/>
      <c r="F627" s="1189"/>
      <c r="G627" s="1189"/>
      <c r="H627" s="1189"/>
      <c r="I627" s="1189"/>
      <c r="J627" s="1189"/>
      <c r="K627" s="1189"/>
      <c r="L627" s="1189"/>
      <c r="M627" s="1189"/>
      <c r="N627" s="1189"/>
      <c r="O627" s="1189"/>
      <c r="P627" s="1189"/>
      <c r="Q627" s="1189"/>
      <c r="R627" s="1189"/>
      <c r="S627" s="1189"/>
      <c r="T627" s="1189"/>
      <c r="U627" s="1189"/>
      <c r="V627" s="1189"/>
      <c r="W627" s="1189"/>
      <c r="X627" s="1189"/>
      <c r="Y627" s="1189"/>
      <c r="Z627" s="1189"/>
      <c r="AA627" s="1189"/>
      <c r="AB627" s="1189"/>
      <c r="AC627" s="1189"/>
      <c r="AD627" s="1189"/>
      <c r="AE627" s="1189"/>
      <c r="AF627" s="1189"/>
      <c r="AG627" s="1189"/>
      <c r="AH627" s="1189"/>
      <c r="AI627" s="1189"/>
    </row>
    <row r="628">
      <c r="A628" s="1202"/>
      <c r="B628" s="1203"/>
      <c r="C628" s="1189"/>
      <c r="D628" s="1189"/>
      <c r="E628" s="1189"/>
      <c r="F628" s="1189"/>
      <c r="G628" s="1189"/>
      <c r="H628" s="1189"/>
      <c r="I628" s="1189"/>
      <c r="J628" s="1189"/>
      <c r="K628" s="1189"/>
      <c r="L628" s="1189"/>
      <c r="M628" s="1189"/>
      <c r="N628" s="1189"/>
      <c r="O628" s="1189"/>
      <c r="P628" s="1189"/>
      <c r="Q628" s="1189"/>
      <c r="R628" s="1189"/>
      <c r="S628" s="1189"/>
      <c r="T628" s="1189"/>
      <c r="U628" s="1189"/>
      <c r="V628" s="1189"/>
      <c r="W628" s="1189"/>
      <c r="X628" s="1189"/>
      <c r="Y628" s="1189"/>
      <c r="Z628" s="1189"/>
      <c r="AA628" s="1189"/>
      <c r="AB628" s="1189"/>
      <c r="AC628" s="1189"/>
      <c r="AD628" s="1189"/>
      <c r="AE628" s="1189"/>
      <c r="AF628" s="1189"/>
      <c r="AG628" s="1189"/>
      <c r="AH628" s="1189"/>
      <c r="AI628" s="1189"/>
    </row>
    <row r="629">
      <c r="A629" s="1202"/>
      <c r="B629" s="1203"/>
      <c r="C629" s="1189"/>
      <c r="D629" s="1189"/>
      <c r="E629" s="1189"/>
      <c r="F629" s="1189"/>
      <c r="G629" s="1189"/>
      <c r="H629" s="1189"/>
      <c r="I629" s="1189"/>
      <c r="J629" s="1189"/>
      <c r="K629" s="1189"/>
      <c r="L629" s="1189"/>
      <c r="M629" s="1189"/>
      <c r="N629" s="1189"/>
      <c r="O629" s="1189"/>
      <c r="P629" s="1189"/>
      <c r="Q629" s="1189"/>
      <c r="R629" s="1189"/>
      <c r="S629" s="1189"/>
      <c r="T629" s="1189"/>
      <c r="U629" s="1189"/>
      <c r="V629" s="1189"/>
      <c r="W629" s="1189"/>
      <c r="X629" s="1189"/>
      <c r="Y629" s="1189"/>
      <c r="Z629" s="1189"/>
      <c r="AA629" s="1189"/>
      <c r="AB629" s="1189"/>
      <c r="AC629" s="1189"/>
      <c r="AD629" s="1189"/>
      <c r="AE629" s="1189"/>
      <c r="AF629" s="1189"/>
      <c r="AG629" s="1189"/>
      <c r="AH629" s="1189"/>
      <c r="AI629" s="1189"/>
    </row>
    <row r="630">
      <c r="A630" s="1202"/>
      <c r="B630" s="1203"/>
      <c r="C630" s="1189"/>
      <c r="D630" s="1189"/>
      <c r="E630" s="1189"/>
      <c r="F630" s="1189"/>
      <c r="G630" s="1189"/>
      <c r="H630" s="1189"/>
      <c r="I630" s="1189"/>
      <c r="J630" s="1189"/>
      <c r="K630" s="1189"/>
      <c r="L630" s="1189"/>
      <c r="M630" s="1189"/>
      <c r="N630" s="1189"/>
      <c r="O630" s="1189"/>
      <c r="P630" s="1189"/>
      <c r="Q630" s="1189"/>
      <c r="R630" s="1189"/>
      <c r="S630" s="1189"/>
      <c r="T630" s="1189"/>
      <c r="U630" s="1189"/>
      <c r="V630" s="1189"/>
      <c r="W630" s="1189"/>
      <c r="X630" s="1189"/>
      <c r="Y630" s="1189"/>
      <c r="Z630" s="1189"/>
      <c r="AA630" s="1189"/>
      <c r="AB630" s="1189"/>
      <c r="AC630" s="1189"/>
      <c r="AD630" s="1189"/>
      <c r="AE630" s="1189"/>
      <c r="AF630" s="1189"/>
      <c r="AG630" s="1189"/>
      <c r="AH630" s="1189"/>
      <c r="AI630" s="1189"/>
    </row>
    <row r="631">
      <c r="A631" s="1202"/>
      <c r="B631" s="1203"/>
      <c r="C631" s="1189"/>
      <c r="D631" s="1189"/>
      <c r="E631" s="1189"/>
      <c r="F631" s="1189"/>
      <c r="G631" s="1189"/>
      <c r="H631" s="1189"/>
      <c r="I631" s="1189"/>
      <c r="J631" s="1189"/>
      <c r="K631" s="1189"/>
      <c r="L631" s="1189"/>
      <c r="M631" s="1189"/>
      <c r="N631" s="1189"/>
      <c r="O631" s="1189"/>
      <c r="P631" s="1189"/>
      <c r="Q631" s="1189"/>
      <c r="R631" s="1189"/>
      <c r="S631" s="1189"/>
      <c r="T631" s="1189"/>
      <c r="U631" s="1189"/>
      <c r="V631" s="1189"/>
      <c r="W631" s="1189"/>
      <c r="X631" s="1189"/>
      <c r="Y631" s="1189"/>
      <c r="Z631" s="1189"/>
      <c r="AA631" s="1189"/>
      <c r="AB631" s="1189"/>
      <c r="AC631" s="1189"/>
      <c r="AD631" s="1189"/>
      <c r="AE631" s="1189"/>
      <c r="AF631" s="1189"/>
      <c r="AG631" s="1189"/>
      <c r="AH631" s="1189"/>
      <c r="AI631" s="1189"/>
    </row>
    <row r="632">
      <c r="A632" s="1202"/>
      <c r="B632" s="1203"/>
      <c r="C632" s="1189"/>
      <c r="D632" s="1189"/>
      <c r="E632" s="1189"/>
      <c r="F632" s="1189"/>
      <c r="G632" s="1189"/>
      <c r="H632" s="1189"/>
      <c r="I632" s="1189"/>
      <c r="J632" s="1189"/>
      <c r="K632" s="1189"/>
      <c r="L632" s="1189"/>
      <c r="M632" s="1189"/>
      <c r="N632" s="1189"/>
      <c r="O632" s="1189"/>
      <c r="P632" s="1189"/>
      <c r="Q632" s="1189"/>
      <c r="R632" s="1189"/>
      <c r="S632" s="1189"/>
      <c r="T632" s="1189"/>
      <c r="U632" s="1189"/>
      <c r="V632" s="1189"/>
      <c r="W632" s="1189"/>
      <c r="X632" s="1189"/>
      <c r="Y632" s="1189"/>
      <c r="Z632" s="1189"/>
      <c r="AA632" s="1189"/>
      <c r="AB632" s="1189"/>
      <c r="AC632" s="1189"/>
      <c r="AD632" s="1189"/>
      <c r="AE632" s="1189"/>
      <c r="AF632" s="1189"/>
      <c r="AG632" s="1189"/>
      <c r="AH632" s="1189"/>
      <c r="AI632" s="1189"/>
    </row>
    <row r="633">
      <c r="A633" s="1202"/>
      <c r="B633" s="1203"/>
      <c r="C633" s="1189"/>
      <c r="D633" s="1189"/>
      <c r="E633" s="1189"/>
      <c r="F633" s="1189"/>
      <c r="G633" s="1189"/>
      <c r="H633" s="1189"/>
      <c r="I633" s="1189"/>
      <c r="J633" s="1189"/>
      <c r="K633" s="1189"/>
      <c r="L633" s="1189"/>
      <c r="M633" s="1189"/>
      <c r="N633" s="1189"/>
      <c r="O633" s="1189"/>
      <c r="P633" s="1189"/>
      <c r="Q633" s="1189"/>
      <c r="R633" s="1189"/>
      <c r="S633" s="1189"/>
      <c r="T633" s="1189"/>
      <c r="U633" s="1189"/>
      <c r="V633" s="1189"/>
      <c r="W633" s="1189"/>
      <c r="X633" s="1189"/>
      <c r="Y633" s="1189"/>
      <c r="Z633" s="1189"/>
      <c r="AA633" s="1189"/>
      <c r="AB633" s="1189"/>
      <c r="AC633" s="1189"/>
      <c r="AD633" s="1189"/>
      <c r="AE633" s="1189"/>
      <c r="AF633" s="1189"/>
      <c r="AG633" s="1189"/>
      <c r="AH633" s="1189"/>
      <c r="AI633" s="1189"/>
    </row>
    <row r="634">
      <c r="A634" s="1202"/>
      <c r="B634" s="1203"/>
      <c r="C634" s="1189"/>
      <c r="D634" s="1189"/>
      <c r="E634" s="1189"/>
      <c r="F634" s="1189"/>
      <c r="G634" s="1189"/>
      <c r="H634" s="1189"/>
      <c r="I634" s="1189"/>
      <c r="J634" s="1189"/>
      <c r="K634" s="1189"/>
      <c r="L634" s="1189"/>
      <c r="M634" s="1189"/>
      <c r="N634" s="1189"/>
      <c r="O634" s="1189"/>
      <c r="P634" s="1189"/>
      <c r="Q634" s="1189"/>
      <c r="R634" s="1189"/>
      <c r="S634" s="1189"/>
      <c r="T634" s="1189"/>
      <c r="U634" s="1189"/>
      <c r="V634" s="1189"/>
      <c r="W634" s="1189"/>
      <c r="X634" s="1189"/>
      <c r="Y634" s="1189"/>
      <c r="Z634" s="1189"/>
      <c r="AA634" s="1189"/>
      <c r="AB634" s="1189"/>
      <c r="AC634" s="1189"/>
      <c r="AD634" s="1189"/>
      <c r="AE634" s="1189"/>
      <c r="AF634" s="1189"/>
      <c r="AG634" s="1189"/>
      <c r="AH634" s="1189"/>
      <c r="AI634" s="1189"/>
    </row>
    <row r="635">
      <c r="A635" s="1202"/>
      <c r="B635" s="1203"/>
      <c r="C635" s="1189"/>
      <c r="D635" s="1189"/>
      <c r="E635" s="1189"/>
      <c r="F635" s="1189"/>
      <c r="G635" s="1189"/>
      <c r="H635" s="1189"/>
      <c r="I635" s="1189"/>
      <c r="J635" s="1189"/>
      <c r="K635" s="1189"/>
      <c r="L635" s="1189"/>
      <c r="M635" s="1189"/>
      <c r="N635" s="1189"/>
      <c r="O635" s="1189"/>
      <c r="P635" s="1189"/>
      <c r="Q635" s="1189"/>
      <c r="R635" s="1189"/>
      <c r="S635" s="1189"/>
      <c r="T635" s="1189"/>
      <c r="U635" s="1189"/>
      <c r="V635" s="1189"/>
      <c r="W635" s="1189"/>
      <c r="X635" s="1189"/>
      <c r="Y635" s="1189"/>
      <c r="Z635" s="1189"/>
      <c r="AA635" s="1189"/>
      <c r="AB635" s="1189"/>
      <c r="AC635" s="1189"/>
      <c r="AD635" s="1189"/>
      <c r="AE635" s="1189"/>
      <c r="AF635" s="1189"/>
      <c r="AG635" s="1189"/>
      <c r="AH635" s="1189"/>
      <c r="AI635" s="1189"/>
    </row>
    <row r="636">
      <c r="A636" s="1202"/>
      <c r="B636" s="1203"/>
      <c r="C636" s="1189"/>
      <c r="D636" s="1189"/>
      <c r="E636" s="1189"/>
      <c r="F636" s="1189"/>
      <c r="G636" s="1189"/>
      <c r="H636" s="1189"/>
      <c r="I636" s="1189"/>
      <c r="J636" s="1189"/>
      <c r="K636" s="1189"/>
      <c r="L636" s="1189"/>
      <c r="M636" s="1189"/>
      <c r="N636" s="1189"/>
      <c r="O636" s="1189"/>
      <c r="P636" s="1189"/>
      <c r="Q636" s="1189"/>
      <c r="R636" s="1189"/>
      <c r="S636" s="1189"/>
      <c r="T636" s="1189"/>
      <c r="U636" s="1189"/>
      <c r="V636" s="1189"/>
      <c r="W636" s="1189"/>
      <c r="X636" s="1189"/>
      <c r="Y636" s="1189"/>
      <c r="Z636" s="1189"/>
      <c r="AA636" s="1189"/>
      <c r="AB636" s="1189"/>
      <c r="AC636" s="1189"/>
      <c r="AD636" s="1189"/>
      <c r="AE636" s="1189"/>
      <c r="AF636" s="1189"/>
      <c r="AG636" s="1189"/>
      <c r="AH636" s="1189"/>
      <c r="AI636" s="1189"/>
    </row>
    <row r="637">
      <c r="A637" s="1202"/>
      <c r="B637" s="1203"/>
      <c r="C637" s="1189"/>
      <c r="D637" s="1189"/>
      <c r="E637" s="1189"/>
      <c r="F637" s="1189"/>
      <c r="G637" s="1189"/>
      <c r="H637" s="1189"/>
      <c r="I637" s="1189"/>
      <c r="J637" s="1189"/>
      <c r="K637" s="1189"/>
      <c r="L637" s="1189"/>
      <c r="M637" s="1189"/>
      <c r="N637" s="1189"/>
      <c r="O637" s="1189"/>
      <c r="P637" s="1189"/>
      <c r="Q637" s="1189"/>
      <c r="R637" s="1189"/>
      <c r="S637" s="1189"/>
      <c r="T637" s="1189"/>
      <c r="U637" s="1189"/>
      <c r="V637" s="1189"/>
      <c r="W637" s="1189"/>
      <c r="X637" s="1189"/>
      <c r="Y637" s="1189"/>
      <c r="Z637" s="1189"/>
      <c r="AA637" s="1189"/>
      <c r="AB637" s="1189"/>
      <c r="AC637" s="1189"/>
      <c r="AD637" s="1189"/>
      <c r="AE637" s="1189"/>
      <c r="AF637" s="1189"/>
      <c r="AG637" s="1189"/>
      <c r="AH637" s="1189"/>
      <c r="AI637" s="1189"/>
    </row>
    <row r="638">
      <c r="A638" s="1202"/>
      <c r="B638" s="1203"/>
      <c r="C638" s="1189"/>
      <c r="D638" s="1189"/>
      <c r="E638" s="1189"/>
      <c r="F638" s="1189"/>
      <c r="G638" s="1189"/>
      <c r="H638" s="1189"/>
      <c r="I638" s="1189"/>
      <c r="J638" s="1189"/>
      <c r="K638" s="1189"/>
      <c r="L638" s="1189"/>
      <c r="M638" s="1189"/>
      <c r="N638" s="1189"/>
      <c r="O638" s="1189"/>
      <c r="P638" s="1189"/>
      <c r="Q638" s="1189"/>
      <c r="R638" s="1189"/>
      <c r="S638" s="1189"/>
      <c r="T638" s="1189"/>
      <c r="U638" s="1189"/>
      <c r="V638" s="1189"/>
      <c r="W638" s="1189"/>
      <c r="X638" s="1189"/>
      <c r="Y638" s="1189"/>
      <c r="Z638" s="1189"/>
      <c r="AA638" s="1189"/>
      <c r="AB638" s="1189"/>
      <c r="AC638" s="1189"/>
      <c r="AD638" s="1189"/>
      <c r="AE638" s="1189"/>
      <c r="AF638" s="1189"/>
      <c r="AG638" s="1189"/>
      <c r="AH638" s="1189"/>
      <c r="AI638" s="1189"/>
    </row>
    <row r="639">
      <c r="A639" s="1202"/>
      <c r="B639" s="1203"/>
      <c r="C639" s="1189"/>
      <c r="D639" s="1189"/>
      <c r="E639" s="1189"/>
      <c r="F639" s="1189"/>
      <c r="G639" s="1189"/>
      <c r="H639" s="1189"/>
      <c r="I639" s="1189"/>
      <c r="J639" s="1189"/>
      <c r="K639" s="1189"/>
      <c r="L639" s="1189"/>
      <c r="M639" s="1189"/>
      <c r="N639" s="1189"/>
      <c r="O639" s="1189"/>
      <c r="P639" s="1189"/>
      <c r="Q639" s="1189"/>
      <c r="R639" s="1189"/>
      <c r="S639" s="1189"/>
      <c r="T639" s="1189"/>
      <c r="U639" s="1189"/>
      <c r="V639" s="1189"/>
      <c r="W639" s="1189"/>
      <c r="X639" s="1189"/>
      <c r="Y639" s="1189"/>
      <c r="Z639" s="1189"/>
      <c r="AA639" s="1189"/>
      <c r="AB639" s="1189"/>
      <c r="AC639" s="1189"/>
      <c r="AD639" s="1189"/>
      <c r="AE639" s="1189"/>
      <c r="AF639" s="1189"/>
      <c r="AG639" s="1189"/>
      <c r="AH639" s="1189"/>
      <c r="AI639" s="1189"/>
    </row>
    <row r="640">
      <c r="A640" s="1202"/>
      <c r="B640" s="1203"/>
      <c r="C640" s="1189"/>
      <c r="D640" s="1189"/>
      <c r="E640" s="1189"/>
      <c r="F640" s="1189"/>
      <c r="G640" s="1189"/>
      <c r="H640" s="1189"/>
      <c r="I640" s="1189"/>
      <c r="J640" s="1189"/>
      <c r="K640" s="1189"/>
      <c r="L640" s="1189"/>
      <c r="M640" s="1189"/>
      <c r="N640" s="1189"/>
      <c r="O640" s="1189"/>
      <c r="P640" s="1189"/>
      <c r="Q640" s="1189"/>
      <c r="R640" s="1189"/>
      <c r="S640" s="1189"/>
      <c r="T640" s="1189"/>
      <c r="U640" s="1189"/>
      <c r="V640" s="1189"/>
      <c r="W640" s="1189"/>
      <c r="X640" s="1189"/>
      <c r="Y640" s="1189"/>
      <c r="Z640" s="1189"/>
      <c r="AA640" s="1189"/>
      <c r="AB640" s="1189"/>
      <c r="AC640" s="1189"/>
      <c r="AD640" s="1189"/>
      <c r="AE640" s="1189"/>
      <c r="AF640" s="1189"/>
      <c r="AG640" s="1189"/>
      <c r="AH640" s="1189"/>
      <c r="AI640" s="1189"/>
    </row>
    <row r="641">
      <c r="A641" s="1202"/>
      <c r="B641" s="1203"/>
      <c r="C641" s="1189"/>
      <c r="D641" s="1189"/>
      <c r="E641" s="1189"/>
      <c r="F641" s="1189"/>
      <c r="G641" s="1189"/>
      <c r="H641" s="1189"/>
      <c r="I641" s="1189"/>
      <c r="J641" s="1189"/>
      <c r="K641" s="1189"/>
      <c r="L641" s="1189"/>
      <c r="M641" s="1189"/>
      <c r="N641" s="1189"/>
      <c r="O641" s="1189"/>
      <c r="P641" s="1189"/>
      <c r="Q641" s="1189"/>
      <c r="R641" s="1189"/>
      <c r="S641" s="1189"/>
      <c r="T641" s="1189"/>
      <c r="U641" s="1189"/>
      <c r="V641" s="1189"/>
      <c r="W641" s="1189"/>
      <c r="X641" s="1189"/>
      <c r="Y641" s="1189"/>
      <c r="Z641" s="1189"/>
      <c r="AA641" s="1189"/>
      <c r="AB641" s="1189"/>
      <c r="AC641" s="1189"/>
      <c r="AD641" s="1189"/>
      <c r="AE641" s="1189"/>
      <c r="AF641" s="1189"/>
      <c r="AG641" s="1189"/>
      <c r="AH641" s="1189"/>
      <c r="AI641" s="1189"/>
    </row>
    <row r="642">
      <c r="A642" s="1202"/>
      <c r="B642" s="1203"/>
      <c r="C642" s="1189"/>
      <c r="D642" s="1189"/>
      <c r="E642" s="1189"/>
      <c r="F642" s="1189"/>
      <c r="G642" s="1189"/>
      <c r="H642" s="1189"/>
      <c r="I642" s="1189"/>
      <c r="J642" s="1189"/>
      <c r="K642" s="1189"/>
      <c r="L642" s="1189"/>
      <c r="M642" s="1189"/>
      <c r="N642" s="1189"/>
      <c r="O642" s="1189"/>
      <c r="P642" s="1189"/>
      <c r="Q642" s="1189"/>
      <c r="R642" s="1189"/>
      <c r="S642" s="1189"/>
      <c r="T642" s="1189"/>
      <c r="U642" s="1189"/>
      <c r="V642" s="1189"/>
      <c r="W642" s="1189"/>
      <c r="X642" s="1189"/>
      <c r="Y642" s="1189"/>
      <c r="Z642" s="1189"/>
      <c r="AA642" s="1189"/>
      <c r="AB642" s="1189"/>
      <c r="AC642" s="1189"/>
      <c r="AD642" s="1189"/>
      <c r="AE642" s="1189"/>
      <c r="AF642" s="1189"/>
      <c r="AG642" s="1189"/>
      <c r="AH642" s="1189"/>
      <c r="AI642" s="1189"/>
    </row>
    <row r="643">
      <c r="A643" s="1202"/>
      <c r="B643" s="1203"/>
      <c r="C643" s="1189"/>
      <c r="D643" s="1189"/>
      <c r="E643" s="1189"/>
      <c r="F643" s="1189"/>
      <c r="G643" s="1189"/>
      <c r="H643" s="1189"/>
      <c r="I643" s="1189"/>
      <c r="J643" s="1189"/>
      <c r="K643" s="1189"/>
      <c r="L643" s="1189"/>
      <c r="M643" s="1189"/>
      <c r="N643" s="1189"/>
      <c r="O643" s="1189"/>
      <c r="P643" s="1189"/>
      <c r="Q643" s="1189"/>
      <c r="R643" s="1189"/>
      <c r="S643" s="1189"/>
      <c r="T643" s="1189"/>
      <c r="U643" s="1189"/>
      <c r="V643" s="1189"/>
      <c r="W643" s="1189"/>
      <c r="X643" s="1189"/>
      <c r="Y643" s="1189"/>
      <c r="Z643" s="1189"/>
      <c r="AA643" s="1189"/>
      <c r="AB643" s="1189"/>
      <c r="AC643" s="1189"/>
      <c r="AD643" s="1189"/>
      <c r="AE643" s="1189"/>
      <c r="AF643" s="1189"/>
      <c r="AG643" s="1189"/>
      <c r="AH643" s="1189"/>
      <c r="AI643" s="1189"/>
    </row>
    <row r="644">
      <c r="A644" s="1202"/>
      <c r="B644" s="1203"/>
      <c r="C644" s="1189"/>
      <c r="D644" s="1189"/>
      <c r="E644" s="1189"/>
      <c r="F644" s="1189"/>
      <c r="G644" s="1189"/>
      <c r="H644" s="1189"/>
      <c r="I644" s="1189"/>
      <c r="J644" s="1189"/>
      <c r="K644" s="1189"/>
      <c r="L644" s="1189"/>
      <c r="M644" s="1189"/>
      <c r="N644" s="1189"/>
      <c r="O644" s="1189"/>
      <c r="P644" s="1189"/>
      <c r="Q644" s="1189"/>
      <c r="R644" s="1189"/>
      <c r="S644" s="1189"/>
      <c r="T644" s="1189"/>
      <c r="U644" s="1189"/>
      <c r="V644" s="1189"/>
      <c r="W644" s="1189"/>
      <c r="X644" s="1189"/>
      <c r="Y644" s="1189"/>
      <c r="Z644" s="1189"/>
      <c r="AA644" s="1189"/>
      <c r="AB644" s="1189"/>
      <c r="AC644" s="1189"/>
      <c r="AD644" s="1189"/>
      <c r="AE644" s="1189"/>
      <c r="AF644" s="1189"/>
      <c r="AG644" s="1189"/>
      <c r="AH644" s="1189"/>
      <c r="AI644" s="1189"/>
    </row>
    <row r="645">
      <c r="A645" s="1202"/>
      <c r="B645" s="1203"/>
      <c r="C645" s="1189"/>
      <c r="D645" s="1189"/>
      <c r="E645" s="1189"/>
      <c r="F645" s="1189"/>
      <c r="G645" s="1189"/>
      <c r="H645" s="1189"/>
      <c r="I645" s="1189"/>
      <c r="J645" s="1189"/>
      <c r="K645" s="1189"/>
      <c r="L645" s="1189"/>
      <c r="M645" s="1189"/>
      <c r="N645" s="1189"/>
      <c r="O645" s="1189"/>
      <c r="P645" s="1189"/>
      <c r="Q645" s="1189"/>
      <c r="R645" s="1189"/>
      <c r="S645" s="1189"/>
      <c r="T645" s="1189"/>
      <c r="U645" s="1189"/>
      <c r="V645" s="1189"/>
      <c r="W645" s="1189"/>
      <c r="X645" s="1189"/>
      <c r="Y645" s="1189"/>
      <c r="Z645" s="1189"/>
      <c r="AA645" s="1189"/>
      <c r="AB645" s="1189"/>
      <c r="AC645" s="1189"/>
      <c r="AD645" s="1189"/>
      <c r="AE645" s="1189"/>
      <c r="AF645" s="1189"/>
      <c r="AG645" s="1189"/>
      <c r="AH645" s="1189"/>
      <c r="AI645" s="1189"/>
    </row>
    <row r="646">
      <c r="A646" s="1202"/>
      <c r="B646" s="1203"/>
      <c r="C646" s="1189"/>
      <c r="D646" s="1189"/>
      <c r="E646" s="1189"/>
      <c r="F646" s="1189"/>
      <c r="G646" s="1189"/>
      <c r="H646" s="1189"/>
      <c r="I646" s="1189"/>
      <c r="J646" s="1189"/>
      <c r="K646" s="1189"/>
      <c r="L646" s="1189"/>
      <c r="M646" s="1189"/>
      <c r="N646" s="1189"/>
      <c r="O646" s="1189"/>
      <c r="P646" s="1189"/>
      <c r="Q646" s="1189"/>
      <c r="R646" s="1189"/>
      <c r="S646" s="1189"/>
      <c r="T646" s="1189"/>
      <c r="U646" s="1189"/>
      <c r="V646" s="1189"/>
      <c r="W646" s="1189"/>
      <c r="X646" s="1189"/>
      <c r="Y646" s="1189"/>
      <c r="Z646" s="1189"/>
      <c r="AA646" s="1189"/>
      <c r="AB646" s="1189"/>
      <c r="AC646" s="1189"/>
      <c r="AD646" s="1189"/>
      <c r="AE646" s="1189"/>
      <c r="AF646" s="1189"/>
      <c r="AG646" s="1189"/>
      <c r="AH646" s="1189"/>
      <c r="AI646" s="1189"/>
    </row>
    <row r="647">
      <c r="A647" s="1202"/>
      <c r="B647" s="1203"/>
      <c r="C647" s="1189"/>
      <c r="D647" s="1189"/>
      <c r="E647" s="1189"/>
      <c r="F647" s="1189"/>
      <c r="G647" s="1189"/>
      <c r="H647" s="1189"/>
      <c r="I647" s="1189"/>
      <c r="J647" s="1189"/>
      <c r="K647" s="1189"/>
      <c r="L647" s="1189"/>
      <c r="M647" s="1189"/>
      <c r="N647" s="1189"/>
      <c r="O647" s="1189"/>
      <c r="P647" s="1189"/>
      <c r="Q647" s="1189"/>
      <c r="R647" s="1189"/>
      <c r="S647" s="1189"/>
      <c r="T647" s="1189"/>
      <c r="U647" s="1189"/>
      <c r="V647" s="1189"/>
      <c r="W647" s="1189"/>
      <c r="X647" s="1189"/>
      <c r="Y647" s="1189"/>
      <c r="Z647" s="1189"/>
      <c r="AA647" s="1189"/>
      <c r="AB647" s="1189"/>
      <c r="AC647" s="1189"/>
      <c r="AD647" s="1189"/>
      <c r="AE647" s="1189"/>
      <c r="AF647" s="1189"/>
      <c r="AG647" s="1189"/>
      <c r="AH647" s="1189"/>
      <c r="AI647" s="1189"/>
    </row>
    <row r="648">
      <c r="A648" s="1202"/>
      <c r="B648" s="1203"/>
      <c r="C648" s="1189"/>
      <c r="D648" s="1189"/>
      <c r="E648" s="1189"/>
      <c r="F648" s="1189"/>
      <c r="G648" s="1189"/>
      <c r="H648" s="1189"/>
      <c r="I648" s="1189"/>
      <c r="J648" s="1189"/>
      <c r="K648" s="1189"/>
      <c r="L648" s="1189"/>
      <c r="M648" s="1189"/>
      <c r="N648" s="1189"/>
      <c r="O648" s="1189"/>
      <c r="P648" s="1189"/>
      <c r="Q648" s="1189"/>
      <c r="R648" s="1189"/>
      <c r="S648" s="1189"/>
      <c r="T648" s="1189"/>
      <c r="U648" s="1189"/>
      <c r="V648" s="1189"/>
      <c r="W648" s="1189"/>
      <c r="X648" s="1189"/>
      <c r="Y648" s="1189"/>
      <c r="Z648" s="1189"/>
      <c r="AA648" s="1189"/>
      <c r="AB648" s="1189"/>
      <c r="AC648" s="1189"/>
      <c r="AD648" s="1189"/>
      <c r="AE648" s="1189"/>
      <c r="AF648" s="1189"/>
      <c r="AG648" s="1189"/>
      <c r="AH648" s="1189"/>
      <c r="AI648" s="1189"/>
    </row>
    <row r="649">
      <c r="A649" s="1202"/>
      <c r="B649" s="1203"/>
      <c r="C649" s="1189"/>
      <c r="D649" s="1189"/>
      <c r="E649" s="1189"/>
      <c r="F649" s="1189"/>
      <c r="G649" s="1189"/>
      <c r="H649" s="1189"/>
      <c r="I649" s="1189"/>
      <c r="J649" s="1189"/>
      <c r="K649" s="1189"/>
      <c r="L649" s="1189"/>
      <c r="M649" s="1189"/>
      <c r="N649" s="1189"/>
      <c r="O649" s="1189"/>
      <c r="P649" s="1189"/>
      <c r="Q649" s="1189"/>
      <c r="R649" s="1189"/>
      <c r="S649" s="1189"/>
      <c r="T649" s="1189"/>
      <c r="U649" s="1189"/>
      <c r="V649" s="1189"/>
      <c r="W649" s="1189"/>
      <c r="X649" s="1189"/>
      <c r="Y649" s="1189"/>
      <c r="Z649" s="1189"/>
      <c r="AA649" s="1189"/>
      <c r="AB649" s="1189"/>
      <c r="AC649" s="1189"/>
      <c r="AD649" s="1189"/>
      <c r="AE649" s="1189"/>
      <c r="AF649" s="1189"/>
      <c r="AG649" s="1189"/>
      <c r="AH649" s="1189"/>
      <c r="AI649" s="1189"/>
    </row>
    <row r="650">
      <c r="A650" s="1202"/>
      <c r="B650" s="1203"/>
      <c r="C650" s="1189"/>
      <c r="D650" s="1189"/>
      <c r="E650" s="1189"/>
      <c r="F650" s="1189"/>
      <c r="G650" s="1189"/>
      <c r="H650" s="1189"/>
      <c r="I650" s="1189"/>
      <c r="J650" s="1189"/>
      <c r="K650" s="1189"/>
      <c r="L650" s="1189"/>
      <c r="M650" s="1189"/>
      <c r="N650" s="1189"/>
      <c r="O650" s="1189"/>
      <c r="P650" s="1189"/>
      <c r="Q650" s="1189"/>
      <c r="R650" s="1189"/>
      <c r="S650" s="1189"/>
      <c r="T650" s="1189"/>
      <c r="U650" s="1189"/>
      <c r="V650" s="1189"/>
      <c r="W650" s="1189"/>
      <c r="X650" s="1189"/>
      <c r="Y650" s="1189"/>
      <c r="Z650" s="1189"/>
      <c r="AA650" s="1189"/>
      <c r="AB650" s="1189"/>
      <c r="AC650" s="1189"/>
      <c r="AD650" s="1189"/>
      <c r="AE650" s="1189"/>
      <c r="AF650" s="1189"/>
      <c r="AG650" s="1189"/>
      <c r="AH650" s="1189"/>
      <c r="AI650" s="1189"/>
    </row>
    <row r="651">
      <c r="A651" s="1202"/>
      <c r="B651" s="1203"/>
      <c r="C651" s="1189"/>
      <c r="D651" s="1189"/>
      <c r="E651" s="1189"/>
      <c r="F651" s="1189"/>
      <c r="G651" s="1189"/>
      <c r="H651" s="1189"/>
      <c r="I651" s="1189"/>
      <c r="J651" s="1189"/>
      <c r="K651" s="1189"/>
      <c r="L651" s="1189"/>
      <c r="M651" s="1189"/>
      <c r="N651" s="1189"/>
      <c r="O651" s="1189"/>
      <c r="P651" s="1189"/>
      <c r="Q651" s="1189"/>
      <c r="R651" s="1189"/>
      <c r="S651" s="1189"/>
      <c r="T651" s="1189"/>
      <c r="U651" s="1189"/>
      <c r="V651" s="1189"/>
      <c r="W651" s="1189"/>
      <c r="X651" s="1189"/>
      <c r="Y651" s="1189"/>
      <c r="Z651" s="1189"/>
      <c r="AA651" s="1189"/>
      <c r="AB651" s="1189"/>
      <c r="AC651" s="1189"/>
      <c r="AD651" s="1189"/>
      <c r="AE651" s="1189"/>
      <c r="AF651" s="1189"/>
      <c r="AG651" s="1189"/>
      <c r="AH651" s="1189"/>
      <c r="AI651" s="1189"/>
    </row>
    <row r="652">
      <c r="A652" s="1202"/>
      <c r="B652" s="1203"/>
      <c r="C652" s="1189"/>
      <c r="D652" s="1189"/>
      <c r="E652" s="1189"/>
      <c r="F652" s="1189"/>
      <c r="G652" s="1189"/>
      <c r="H652" s="1189"/>
      <c r="I652" s="1189"/>
      <c r="J652" s="1189"/>
      <c r="K652" s="1189"/>
      <c r="L652" s="1189"/>
      <c r="M652" s="1189"/>
      <c r="N652" s="1189"/>
      <c r="O652" s="1189"/>
      <c r="P652" s="1189"/>
      <c r="Q652" s="1189"/>
      <c r="R652" s="1189"/>
      <c r="S652" s="1189"/>
      <c r="T652" s="1189"/>
      <c r="U652" s="1189"/>
      <c r="V652" s="1189"/>
      <c r="W652" s="1189"/>
      <c r="X652" s="1189"/>
      <c r="Y652" s="1189"/>
      <c r="Z652" s="1189"/>
      <c r="AA652" s="1189"/>
      <c r="AB652" s="1189"/>
      <c r="AC652" s="1189"/>
      <c r="AD652" s="1189"/>
      <c r="AE652" s="1189"/>
      <c r="AF652" s="1189"/>
      <c r="AG652" s="1189"/>
      <c r="AH652" s="1189"/>
      <c r="AI652" s="1189"/>
    </row>
    <row r="653">
      <c r="A653" s="1202"/>
      <c r="B653" s="1203"/>
      <c r="C653" s="1189"/>
      <c r="D653" s="1189"/>
      <c r="E653" s="1189"/>
      <c r="F653" s="1189"/>
      <c r="G653" s="1189"/>
      <c r="H653" s="1189"/>
      <c r="I653" s="1189"/>
      <c r="J653" s="1189"/>
      <c r="K653" s="1189"/>
      <c r="L653" s="1189"/>
      <c r="M653" s="1189"/>
      <c r="N653" s="1189"/>
      <c r="O653" s="1189"/>
      <c r="P653" s="1189"/>
      <c r="Q653" s="1189"/>
      <c r="R653" s="1189"/>
      <c r="S653" s="1189"/>
      <c r="T653" s="1189"/>
      <c r="U653" s="1189"/>
      <c r="V653" s="1189"/>
      <c r="W653" s="1189"/>
      <c r="X653" s="1189"/>
      <c r="Y653" s="1189"/>
      <c r="Z653" s="1189"/>
      <c r="AA653" s="1189"/>
      <c r="AB653" s="1189"/>
      <c r="AC653" s="1189"/>
      <c r="AD653" s="1189"/>
      <c r="AE653" s="1189"/>
      <c r="AF653" s="1189"/>
      <c r="AG653" s="1189"/>
      <c r="AH653" s="1189"/>
      <c r="AI653" s="1189"/>
    </row>
    <row r="654">
      <c r="A654" s="1202"/>
      <c r="B654" s="1203"/>
      <c r="C654" s="1189"/>
      <c r="D654" s="1189"/>
      <c r="E654" s="1189"/>
      <c r="F654" s="1189"/>
      <c r="G654" s="1189"/>
      <c r="H654" s="1189"/>
      <c r="I654" s="1189"/>
      <c r="J654" s="1189"/>
      <c r="K654" s="1189"/>
      <c r="L654" s="1189"/>
      <c r="M654" s="1189"/>
      <c r="N654" s="1189"/>
      <c r="O654" s="1189"/>
      <c r="P654" s="1189"/>
      <c r="Q654" s="1189"/>
      <c r="R654" s="1189"/>
      <c r="S654" s="1189"/>
      <c r="T654" s="1189"/>
      <c r="U654" s="1189"/>
      <c r="V654" s="1189"/>
      <c r="W654" s="1189"/>
      <c r="X654" s="1189"/>
      <c r="Y654" s="1189"/>
      <c r="Z654" s="1189"/>
      <c r="AA654" s="1189"/>
      <c r="AB654" s="1189"/>
      <c r="AC654" s="1189"/>
      <c r="AD654" s="1189"/>
      <c r="AE654" s="1189"/>
      <c r="AF654" s="1189"/>
      <c r="AG654" s="1189"/>
      <c r="AH654" s="1189"/>
      <c r="AI654" s="1189"/>
    </row>
    <row r="655">
      <c r="A655" s="1202"/>
      <c r="B655" s="1203"/>
      <c r="C655" s="1189"/>
      <c r="D655" s="1189"/>
      <c r="E655" s="1189"/>
      <c r="F655" s="1189"/>
      <c r="G655" s="1189"/>
      <c r="H655" s="1189"/>
      <c r="I655" s="1189"/>
      <c r="J655" s="1189"/>
      <c r="K655" s="1189"/>
      <c r="L655" s="1189"/>
      <c r="M655" s="1189"/>
      <c r="N655" s="1189"/>
      <c r="O655" s="1189"/>
      <c r="P655" s="1189"/>
      <c r="Q655" s="1189"/>
      <c r="R655" s="1189"/>
      <c r="S655" s="1189"/>
      <c r="T655" s="1189"/>
      <c r="U655" s="1189"/>
      <c r="V655" s="1189"/>
      <c r="W655" s="1189"/>
      <c r="X655" s="1189"/>
      <c r="Y655" s="1189"/>
      <c r="Z655" s="1189"/>
      <c r="AA655" s="1189"/>
      <c r="AB655" s="1189"/>
      <c r="AC655" s="1189"/>
      <c r="AD655" s="1189"/>
      <c r="AE655" s="1189"/>
      <c r="AF655" s="1189"/>
      <c r="AG655" s="1189"/>
      <c r="AH655" s="1189"/>
      <c r="AI655" s="1189"/>
    </row>
    <row r="656">
      <c r="A656" s="1202"/>
      <c r="B656" s="1203"/>
      <c r="C656" s="1189"/>
      <c r="D656" s="1189"/>
      <c r="E656" s="1189"/>
      <c r="F656" s="1189"/>
      <c r="G656" s="1189"/>
      <c r="H656" s="1189"/>
      <c r="I656" s="1189"/>
      <c r="J656" s="1189"/>
      <c r="K656" s="1189"/>
      <c r="L656" s="1189"/>
      <c r="M656" s="1189"/>
      <c r="N656" s="1189"/>
      <c r="O656" s="1189"/>
      <c r="P656" s="1189"/>
      <c r="Q656" s="1189"/>
      <c r="R656" s="1189"/>
      <c r="S656" s="1189"/>
      <c r="T656" s="1189"/>
      <c r="U656" s="1189"/>
      <c r="V656" s="1189"/>
      <c r="W656" s="1189"/>
      <c r="X656" s="1189"/>
      <c r="Y656" s="1189"/>
      <c r="Z656" s="1189"/>
      <c r="AA656" s="1189"/>
      <c r="AB656" s="1189"/>
      <c r="AC656" s="1189"/>
      <c r="AD656" s="1189"/>
      <c r="AE656" s="1189"/>
      <c r="AF656" s="1189"/>
      <c r="AG656" s="1189"/>
      <c r="AH656" s="1189"/>
      <c r="AI656" s="1189"/>
    </row>
    <row r="657">
      <c r="A657" s="1202"/>
      <c r="B657" s="1203"/>
      <c r="C657" s="1189"/>
      <c r="D657" s="1189"/>
      <c r="E657" s="1189"/>
      <c r="F657" s="1189"/>
      <c r="G657" s="1189"/>
      <c r="H657" s="1189"/>
      <c r="I657" s="1189"/>
      <c r="J657" s="1189"/>
      <c r="K657" s="1189"/>
      <c r="L657" s="1189"/>
      <c r="M657" s="1189"/>
      <c r="N657" s="1189"/>
      <c r="O657" s="1189"/>
      <c r="P657" s="1189"/>
      <c r="Q657" s="1189"/>
      <c r="R657" s="1189"/>
      <c r="S657" s="1189"/>
      <c r="T657" s="1189"/>
      <c r="U657" s="1189"/>
      <c r="V657" s="1189"/>
      <c r="W657" s="1189"/>
      <c r="X657" s="1189"/>
      <c r="Y657" s="1189"/>
      <c r="Z657" s="1189"/>
      <c r="AA657" s="1189"/>
      <c r="AB657" s="1189"/>
      <c r="AC657" s="1189"/>
      <c r="AD657" s="1189"/>
      <c r="AE657" s="1189"/>
      <c r="AF657" s="1189"/>
      <c r="AG657" s="1189"/>
      <c r="AH657" s="1189"/>
      <c r="AI657" s="1189"/>
    </row>
    <row r="658">
      <c r="A658" s="1202"/>
      <c r="B658" s="1203"/>
      <c r="C658" s="1189"/>
      <c r="D658" s="1189"/>
      <c r="E658" s="1189"/>
      <c r="F658" s="1189"/>
      <c r="G658" s="1189"/>
      <c r="H658" s="1189"/>
      <c r="I658" s="1189"/>
      <c r="J658" s="1189"/>
      <c r="K658" s="1189"/>
      <c r="L658" s="1189"/>
      <c r="M658" s="1189"/>
      <c r="N658" s="1189"/>
      <c r="O658" s="1189"/>
      <c r="P658" s="1189"/>
      <c r="Q658" s="1189"/>
      <c r="R658" s="1189"/>
      <c r="S658" s="1189"/>
      <c r="T658" s="1189"/>
      <c r="U658" s="1189"/>
      <c r="V658" s="1189"/>
      <c r="W658" s="1189"/>
      <c r="X658" s="1189"/>
      <c r="Y658" s="1189"/>
      <c r="Z658" s="1189"/>
      <c r="AA658" s="1189"/>
      <c r="AB658" s="1189"/>
      <c r="AC658" s="1189"/>
      <c r="AD658" s="1189"/>
      <c r="AE658" s="1189"/>
      <c r="AF658" s="1189"/>
      <c r="AG658" s="1189"/>
      <c r="AH658" s="1189"/>
      <c r="AI658" s="1189"/>
    </row>
    <row r="659">
      <c r="A659" s="1202"/>
      <c r="B659" s="1203"/>
      <c r="C659" s="1189"/>
      <c r="D659" s="1189"/>
      <c r="E659" s="1189"/>
      <c r="F659" s="1189"/>
      <c r="G659" s="1189"/>
      <c r="H659" s="1189"/>
      <c r="I659" s="1189"/>
      <c r="J659" s="1189"/>
      <c r="K659" s="1189"/>
      <c r="L659" s="1189"/>
      <c r="M659" s="1189"/>
      <c r="N659" s="1189"/>
      <c r="O659" s="1189"/>
      <c r="P659" s="1189"/>
      <c r="Q659" s="1189"/>
      <c r="R659" s="1189"/>
      <c r="S659" s="1189"/>
      <c r="T659" s="1189"/>
      <c r="U659" s="1189"/>
      <c r="V659" s="1189"/>
      <c r="W659" s="1189"/>
      <c r="X659" s="1189"/>
      <c r="Y659" s="1189"/>
      <c r="Z659" s="1189"/>
      <c r="AA659" s="1189"/>
      <c r="AB659" s="1189"/>
      <c r="AC659" s="1189"/>
      <c r="AD659" s="1189"/>
      <c r="AE659" s="1189"/>
      <c r="AF659" s="1189"/>
      <c r="AG659" s="1189"/>
      <c r="AH659" s="1189"/>
      <c r="AI659" s="1189"/>
    </row>
    <row r="660">
      <c r="A660" s="1202"/>
      <c r="B660" s="1203"/>
      <c r="C660" s="1189"/>
      <c r="D660" s="1189"/>
      <c r="E660" s="1189"/>
      <c r="F660" s="1189"/>
      <c r="G660" s="1189"/>
      <c r="H660" s="1189"/>
      <c r="I660" s="1189"/>
      <c r="J660" s="1189"/>
      <c r="K660" s="1189"/>
      <c r="L660" s="1189"/>
      <c r="M660" s="1189"/>
      <c r="N660" s="1189"/>
      <c r="O660" s="1189"/>
      <c r="P660" s="1189"/>
      <c r="Q660" s="1189"/>
      <c r="R660" s="1189"/>
      <c r="S660" s="1189"/>
      <c r="T660" s="1189"/>
      <c r="U660" s="1189"/>
      <c r="V660" s="1189"/>
      <c r="W660" s="1189"/>
      <c r="X660" s="1189"/>
      <c r="Y660" s="1189"/>
      <c r="Z660" s="1189"/>
      <c r="AA660" s="1189"/>
      <c r="AB660" s="1189"/>
      <c r="AC660" s="1189"/>
      <c r="AD660" s="1189"/>
      <c r="AE660" s="1189"/>
      <c r="AF660" s="1189"/>
      <c r="AG660" s="1189"/>
      <c r="AH660" s="1189"/>
      <c r="AI660" s="1189"/>
    </row>
    <row r="661">
      <c r="A661" s="1202"/>
      <c r="B661" s="1203"/>
      <c r="C661" s="1189"/>
      <c r="D661" s="1189"/>
      <c r="E661" s="1189"/>
      <c r="F661" s="1189"/>
      <c r="G661" s="1189"/>
      <c r="H661" s="1189"/>
      <c r="I661" s="1189"/>
      <c r="J661" s="1189"/>
      <c r="K661" s="1189"/>
      <c r="L661" s="1189"/>
      <c r="M661" s="1189"/>
      <c r="N661" s="1189"/>
      <c r="O661" s="1189"/>
      <c r="P661" s="1189"/>
      <c r="Q661" s="1189"/>
      <c r="R661" s="1189"/>
      <c r="S661" s="1189"/>
      <c r="T661" s="1189"/>
      <c r="U661" s="1189"/>
      <c r="V661" s="1189"/>
      <c r="W661" s="1189"/>
      <c r="X661" s="1189"/>
      <c r="Y661" s="1189"/>
      <c r="Z661" s="1189"/>
      <c r="AA661" s="1189"/>
      <c r="AB661" s="1189"/>
      <c r="AC661" s="1189"/>
      <c r="AD661" s="1189"/>
      <c r="AE661" s="1189"/>
      <c r="AF661" s="1189"/>
      <c r="AG661" s="1189"/>
      <c r="AH661" s="1189"/>
      <c r="AI661" s="1189"/>
    </row>
    <row r="662">
      <c r="A662" s="1202"/>
      <c r="B662" s="1203"/>
      <c r="C662" s="1189"/>
      <c r="D662" s="1189"/>
      <c r="E662" s="1189"/>
      <c r="F662" s="1189"/>
      <c r="G662" s="1189"/>
      <c r="H662" s="1189"/>
      <c r="I662" s="1189"/>
      <c r="J662" s="1189"/>
      <c r="K662" s="1189"/>
      <c r="L662" s="1189"/>
      <c r="M662" s="1189"/>
      <c r="N662" s="1189"/>
      <c r="O662" s="1189"/>
      <c r="P662" s="1189"/>
      <c r="Q662" s="1189"/>
      <c r="R662" s="1189"/>
      <c r="S662" s="1189"/>
      <c r="T662" s="1189"/>
      <c r="U662" s="1189"/>
      <c r="V662" s="1189"/>
      <c r="W662" s="1189"/>
      <c r="X662" s="1189"/>
      <c r="Y662" s="1189"/>
      <c r="Z662" s="1189"/>
      <c r="AA662" s="1189"/>
      <c r="AB662" s="1189"/>
      <c r="AC662" s="1189"/>
      <c r="AD662" s="1189"/>
      <c r="AE662" s="1189"/>
      <c r="AF662" s="1189"/>
      <c r="AG662" s="1189"/>
      <c r="AH662" s="1189"/>
      <c r="AI662" s="1189"/>
    </row>
    <row r="663">
      <c r="A663" s="1202"/>
      <c r="B663" s="1203"/>
      <c r="C663" s="1189"/>
      <c r="D663" s="1189"/>
      <c r="E663" s="1189"/>
      <c r="F663" s="1189"/>
      <c r="G663" s="1189"/>
      <c r="H663" s="1189"/>
      <c r="I663" s="1189"/>
      <c r="J663" s="1189"/>
      <c r="K663" s="1189"/>
      <c r="L663" s="1189"/>
      <c r="M663" s="1189"/>
      <c r="N663" s="1189"/>
      <c r="O663" s="1189"/>
      <c r="P663" s="1189"/>
      <c r="Q663" s="1189"/>
      <c r="R663" s="1189"/>
      <c r="S663" s="1189"/>
      <c r="T663" s="1189"/>
      <c r="U663" s="1189"/>
      <c r="V663" s="1189"/>
      <c r="W663" s="1189"/>
      <c r="X663" s="1189"/>
      <c r="Y663" s="1189"/>
      <c r="Z663" s="1189"/>
      <c r="AA663" s="1189"/>
      <c r="AB663" s="1189"/>
      <c r="AC663" s="1189"/>
      <c r="AD663" s="1189"/>
      <c r="AE663" s="1189"/>
      <c r="AF663" s="1189"/>
      <c r="AG663" s="1189"/>
      <c r="AH663" s="1189"/>
      <c r="AI663" s="1189"/>
    </row>
    <row r="664">
      <c r="A664" s="1202"/>
      <c r="B664" s="1203"/>
      <c r="C664" s="1189"/>
      <c r="D664" s="1189"/>
      <c r="E664" s="1189"/>
      <c r="F664" s="1189"/>
      <c r="G664" s="1189"/>
      <c r="H664" s="1189"/>
      <c r="I664" s="1189"/>
      <c r="J664" s="1189"/>
      <c r="K664" s="1189"/>
      <c r="L664" s="1189"/>
      <c r="M664" s="1189"/>
      <c r="N664" s="1189"/>
      <c r="O664" s="1189"/>
      <c r="P664" s="1189"/>
      <c r="Q664" s="1189"/>
      <c r="R664" s="1189"/>
      <c r="S664" s="1189"/>
      <c r="T664" s="1189"/>
      <c r="U664" s="1189"/>
      <c r="V664" s="1189"/>
      <c r="W664" s="1189"/>
      <c r="X664" s="1189"/>
      <c r="Y664" s="1189"/>
      <c r="Z664" s="1189"/>
      <c r="AA664" s="1189"/>
      <c r="AB664" s="1189"/>
      <c r="AC664" s="1189"/>
      <c r="AD664" s="1189"/>
      <c r="AE664" s="1189"/>
      <c r="AF664" s="1189"/>
      <c r="AG664" s="1189"/>
      <c r="AH664" s="1189"/>
      <c r="AI664" s="1189"/>
    </row>
    <row r="665">
      <c r="A665" s="1202"/>
      <c r="B665" s="1203"/>
      <c r="C665" s="1189"/>
      <c r="D665" s="1189"/>
      <c r="E665" s="1189"/>
      <c r="F665" s="1189"/>
      <c r="G665" s="1189"/>
      <c r="H665" s="1189"/>
      <c r="I665" s="1189"/>
      <c r="J665" s="1189"/>
      <c r="K665" s="1189"/>
      <c r="L665" s="1189"/>
      <c r="M665" s="1189"/>
      <c r="N665" s="1189"/>
      <c r="O665" s="1189"/>
      <c r="P665" s="1189"/>
      <c r="Q665" s="1189"/>
      <c r="R665" s="1189"/>
      <c r="S665" s="1189"/>
      <c r="T665" s="1189"/>
      <c r="U665" s="1189"/>
      <c r="V665" s="1189"/>
      <c r="W665" s="1189"/>
      <c r="X665" s="1189"/>
      <c r="Y665" s="1189"/>
      <c r="Z665" s="1189"/>
      <c r="AA665" s="1189"/>
      <c r="AB665" s="1189"/>
      <c r="AC665" s="1189"/>
      <c r="AD665" s="1189"/>
      <c r="AE665" s="1189"/>
      <c r="AF665" s="1189"/>
      <c r="AG665" s="1189"/>
      <c r="AH665" s="1189"/>
      <c r="AI665" s="1189"/>
    </row>
    <row r="666">
      <c r="A666" s="1202"/>
      <c r="B666" s="1203"/>
      <c r="C666" s="1189"/>
      <c r="D666" s="1189"/>
      <c r="E666" s="1189"/>
      <c r="F666" s="1189"/>
      <c r="G666" s="1189"/>
      <c r="H666" s="1189"/>
      <c r="I666" s="1189"/>
      <c r="J666" s="1189"/>
      <c r="K666" s="1189"/>
      <c r="L666" s="1189"/>
      <c r="M666" s="1189"/>
      <c r="N666" s="1189"/>
      <c r="O666" s="1189"/>
      <c r="P666" s="1189"/>
      <c r="Q666" s="1189"/>
      <c r="R666" s="1189"/>
      <c r="S666" s="1189"/>
      <c r="T666" s="1189"/>
      <c r="U666" s="1189"/>
      <c r="V666" s="1189"/>
      <c r="W666" s="1189"/>
      <c r="X666" s="1189"/>
      <c r="Y666" s="1189"/>
      <c r="Z666" s="1189"/>
      <c r="AA666" s="1189"/>
      <c r="AB666" s="1189"/>
      <c r="AC666" s="1189"/>
      <c r="AD666" s="1189"/>
      <c r="AE666" s="1189"/>
      <c r="AF666" s="1189"/>
      <c r="AG666" s="1189"/>
      <c r="AH666" s="1189"/>
      <c r="AI666" s="1189"/>
    </row>
    <row r="667">
      <c r="A667" s="1202"/>
      <c r="B667" s="1203"/>
      <c r="C667" s="1189"/>
      <c r="D667" s="1189"/>
      <c r="E667" s="1189"/>
      <c r="F667" s="1189"/>
      <c r="G667" s="1189"/>
      <c r="H667" s="1189"/>
      <c r="I667" s="1189"/>
      <c r="J667" s="1189"/>
      <c r="K667" s="1189"/>
      <c r="L667" s="1189"/>
      <c r="M667" s="1189"/>
      <c r="N667" s="1189"/>
      <c r="O667" s="1189"/>
      <c r="P667" s="1189"/>
      <c r="Q667" s="1189"/>
      <c r="R667" s="1189"/>
      <c r="S667" s="1189"/>
      <c r="T667" s="1189"/>
      <c r="U667" s="1189"/>
      <c r="V667" s="1189"/>
      <c r="W667" s="1189"/>
      <c r="X667" s="1189"/>
      <c r="Y667" s="1189"/>
      <c r="Z667" s="1189"/>
      <c r="AA667" s="1189"/>
      <c r="AB667" s="1189"/>
      <c r="AC667" s="1189"/>
      <c r="AD667" s="1189"/>
      <c r="AE667" s="1189"/>
      <c r="AF667" s="1189"/>
      <c r="AG667" s="1189"/>
      <c r="AH667" s="1189"/>
      <c r="AI667" s="1189"/>
    </row>
    <row r="668">
      <c r="A668" s="1202"/>
      <c r="B668" s="1203"/>
      <c r="C668" s="1189"/>
      <c r="D668" s="1189"/>
      <c r="E668" s="1189"/>
      <c r="F668" s="1189"/>
      <c r="G668" s="1189"/>
      <c r="H668" s="1189"/>
      <c r="I668" s="1189"/>
      <c r="J668" s="1189"/>
      <c r="K668" s="1189"/>
      <c r="L668" s="1189"/>
      <c r="M668" s="1189"/>
      <c r="N668" s="1189"/>
      <c r="O668" s="1189"/>
      <c r="P668" s="1189"/>
      <c r="Q668" s="1189"/>
      <c r="R668" s="1189"/>
      <c r="S668" s="1189"/>
      <c r="T668" s="1189"/>
      <c r="U668" s="1189"/>
      <c r="V668" s="1189"/>
      <c r="W668" s="1189"/>
      <c r="X668" s="1189"/>
      <c r="Y668" s="1189"/>
      <c r="Z668" s="1189"/>
      <c r="AA668" s="1189"/>
      <c r="AB668" s="1189"/>
      <c r="AC668" s="1189"/>
      <c r="AD668" s="1189"/>
      <c r="AE668" s="1189"/>
      <c r="AF668" s="1189"/>
      <c r="AG668" s="1189"/>
      <c r="AH668" s="1189"/>
      <c r="AI668" s="1189"/>
    </row>
    <row r="669">
      <c r="A669" s="1202"/>
      <c r="B669" s="1203"/>
      <c r="C669" s="1189"/>
      <c r="D669" s="1189"/>
      <c r="E669" s="1189"/>
      <c r="F669" s="1189"/>
      <c r="G669" s="1189"/>
      <c r="H669" s="1189"/>
      <c r="I669" s="1189"/>
      <c r="J669" s="1189"/>
      <c r="K669" s="1189"/>
      <c r="L669" s="1189"/>
      <c r="M669" s="1189"/>
      <c r="N669" s="1189"/>
      <c r="O669" s="1189"/>
      <c r="P669" s="1189"/>
      <c r="Q669" s="1189"/>
      <c r="R669" s="1189"/>
      <c r="S669" s="1189"/>
      <c r="T669" s="1189"/>
      <c r="U669" s="1189"/>
      <c r="V669" s="1189"/>
      <c r="W669" s="1189"/>
      <c r="X669" s="1189"/>
      <c r="Y669" s="1189"/>
      <c r="Z669" s="1189"/>
      <c r="AA669" s="1189"/>
      <c r="AB669" s="1189"/>
      <c r="AC669" s="1189"/>
      <c r="AD669" s="1189"/>
      <c r="AE669" s="1189"/>
      <c r="AF669" s="1189"/>
      <c r="AG669" s="1189"/>
      <c r="AH669" s="1189"/>
      <c r="AI669" s="1189"/>
    </row>
    <row r="670">
      <c r="A670" s="1202"/>
      <c r="B670" s="1203"/>
      <c r="C670" s="1189"/>
      <c r="D670" s="1189"/>
      <c r="E670" s="1189"/>
      <c r="F670" s="1189"/>
      <c r="G670" s="1189"/>
      <c r="H670" s="1189"/>
      <c r="I670" s="1189"/>
      <c r="J670" s="1189"/>
      <c r="K670" s="1189"/>
      <c r="L670" s="1189"/>
      <c r="M670" s="1189"/>
      <c r="N670" s="1189"/>
      <c r="O670" s="1189"/>
      <c r="P670" s="1189"/>
      <c r="Q670" s="1189"/>
      <c r="R670" s="1189"/>
      <c r="S670" s="1189"/>
      <c r="T670" s="1189"/>
      <c r="U670" s="1189"/>
      <c r="V670" s="1189"/>
      <c r="W670" s="1189"/>
      <c r="X670" s="1189"/>
      <c r="Y670" s="1189"/>
      <c r="Z670" s="1189"/>
      <c r="AA670" s="1189"/>
      <c r="AB670" s="1189"/>
      <c r="AC670" s="1189"/>
      <c r="AD670" s="1189"/>
      <c r="AE670" s="1189"/>
      <c r="AF670" s="1189"/>
      <c r="AG670" s="1189"/>
      <c r="AH670" s="1189"/>
      <c r="AI670" s="1189"/>
    </row>
    <row r="671">
      <c r="A671" s="1202"/>
      <c r="B671" s="1203"/>
      <c r="C671" s="1189"/>
      <c r="D671" s="1189"/>
      <c r="E671" s="1189"/>
      <c r="F671" s="1189"/>
      <c r="G671" s="1189"/>
      <c r="H671" s="1189"/>
      <c r="I671" s="1189"/>
      <c r="J671" s="1189"/>
      <c r="K671" s="1189"/>
      <c r="L671" s="1189"/>
      <c r="M671" s="1189"/>
      <c r="N671" s="1189"/>
      <c r="O671" s="1189"/>
      <c r="P671" s="1189"/>
      <c r="Q671" s="1189"/>
      <c r="R671" s="1189"/>
      <c r="S671" s="1189"/>
      <c r="T671" s="1189"/>
      <c r="U671" s="1189"/>
      <c r="V671" s="1189"/>
      <c r="W671" s="1189"/>
      <c r="X671" s="1189"/>
      <c r="Y671" s="1189"/>
      <c r="Z671" s="1189"/>
      <c r="AA671" s="1189"/>
      <c r="AB671" s="1189"/>
      <c r="AC671" s="1189"/>
      <c r="AD671" s="1189"/>
      <c r="AE671" s="1189"/>
      <c r="AF671" s="1189"/>
      <c r="AG671" s="1189"/>
      <c r="AH671" s="1189"/>
      <c r="AI671" s="1189"/>
    </row>
    <row r="672">
      <c r="A672" s="1202"/>
      <c r="B672" s="1203"/>
      <c r="C672" s="1189"/>
      <c r="D672" s="1189"/>
      <c r="E672" s="1189"/>
      <c r="F672" s="1189"/>
      <c r="G672" s="1189"/>
      <c r="H672" s="1189"/>
      <c r="I672" s="1189"/>
      <c r="J672" s="1189"/>
      <c r="K672" s="1189"/>
      <c r="L672" s="1189"/>
      <c r="M672" s="1189"/>
      <c r="N672" s="1189"/>
      <c r="O672" s="1189"/>
      <c r="P672" s="1189"/>
      <c r="Q672" s="1189"/>
      <c r="R672" s="1189"/>
      <c r="S672" s="1189"/>
      <c r="T672" s="1189"/>
      <c r="U672" s="1189"/>
      <c r="V672" s="1189"/>
      <c r="W672" s="1189"/>
      <c r="X672" s="1189"/>
      <c r="Y672" s="1189"/>
      <c r="Z672" s="1189"/>
      <c r="AA672" s="1189"/>
      <c r="AB672" s="1189"/>
      <c r="AC672" s="1189"/>
      <c r="AD672" s="1189"/>
      <c r="AE672" s="1189"/>
      <c r="AF672" s="1189"/>
      <c r="AG672" s="1189"/>
      <c r="AH672" s="1189"/>
      <c r="AI672" s="1189"/>
    </row>
    <row r="673">
      <c r="A673" s="1202"/>
      <c r="B673" s="1203"/>
      <c r="C673" s="1189"/>
      <c r="D673" s="1189"/>
      <c r="E673" s="1189"/>
      <c r="F673" s="1189"/>
      <c r="G673" s="1189"/>
      <c r="H673" s="1189"/>
      <c r="I673" s="1189"/>
      <c r="J673" s="1189"/>
      <c r="K673" s="1189"/>
      <c r="L673" s="1189"/>
      <c r="M673" s="1189"/>
      <c r="N673" s="1189"/>
      <c r="O673" s="1189"/>
      <c r="P673" s="1189"/>
      <c r="Q673" s="1189"/>
      <c r="R673" s="1189"/>
      <c r="S673" s="1189"/>
      <c r="T673" s="1189"/>
      <c r="U673" s="1189"/>
      <c r="V673" s="1189"/>
      <c r="W673" s="1189"/>
      <c r="X673" s="1189"/>
      <c r="Y673" s="1189"/>
      <c r="Z673" s="1189"/>
      <c r="AA673" s="1189"/>
      <c r="AB673" s="1189"/>
      <c r="AC673" s="1189"/>
      <c r="AD673" s="1189"/>
      <c r="AE673" s="1189"/>
      <c r="AF673" s="1189"/>
      <c r="AG673" s="1189"/>
      <c r="AH673" s="1189"/>
      <c r="AI673" s="1189"/>
    </row>
    <row r="674">
      <c r="A674" s="1202"/>
      <c r="B674" s="1203"/>
      <c r="C674" s="1189"/>
      <c r="D674" s="1189"/>
      <c r="E674" s="1189"/>
      <c r="F674" s="1189"/>
      <c r="G674" s="1189"/>
      <c r="H674" s="1189"/>
      <c r="I674" s="1189"/>
      <c r="J674" s="1189"/>
      <c r="K674" s="1189"/>
      <c r="L674" s="1189"/>
      <c r="M674" s="1189"/>
      <c r="N674" s="1189"/>
      <c r="O674" s="1189"/>
      <c r="P674" s="1189"/>
      <c r="Q674" s="1189"/>
      <c r="R674" s="1189"/>
      <c r="S674" s="1189"/>
      <c r="T674" s="1189"/>
      <c r="U674" s="1189"/>
      <c r="V674" s="1189"/>
      <c r="W674" s="1189"/>
      <c r="X674" s="1189"/>
      <c r="Y674" s="1189"/>
      <c r="Z674" s="1189"/>
      <c r="AA674" s="1189"/>
      <c r="AB674" s="1189"/>
      <c r="AC674" s="1189"/>
      <c r="AD674" s="1189"/>
      <c r="AE674" s="1189"/>
      <c r="AF674" s="1189"/>
      <c r="AG674" s="1189"/>
      <c r="AH674" s="1189"/>
      <c r="AI674" s="1189"/>
    </row>
    <row r="675">
      <c r="A675" s="1202"/>
      <c r="B675" s="1203"/>
      <c r="C675" s="1189"/>
      <c r="D675" s="1189"/>
      <c r="E675" s="1189"/>
      <c r="F675" s="1189"/>
      <c r="G675" s="1189"/>
      <c r="H675" s="1189"/>
      <c r="I675" s="1189"/>
      <c r="J675" s="1189"/>
      <c r="K675" s="1189"/>
      <c r="L675" s="1189"/>
      <c r="M675" s="1189"/>
      <c r="N675" s="1189"/>
      <c r="O675" s="1189"/>
      <c r="P675" s="1189"/>
      <c r="Q675" s="1189"/>
      <c r="R675" s="1189"/>
      <c r="S675" s="1189"/>
      <c r="T675" s="1189"/>
      <c r="U675" s="1189"/>
      <c r="V675" s="1189"/>
      <c r="W675" s="1189"/>
      <c r="X675" s="1189"/>
      <c r="Y675" s="1189"/>
      <c r="Z675" s="1189"/>
      <c r="AA675" s="1189"/>
      <c r="AB675" s="1189"/>
      <c r="AC675" s="1189"/>
      <c r="AD675" s="1189"/>
      <c r="AE675" s="1189"/>
      <c r="AF675" s="1189"/>
      <c r="AG675" s="1189"/>
      <c r="AH675" s="1189"/>
      <c r="AI675" s="1189"/>
    </row>
    <row r="676">
      <c r="A676" s="1202"/>
      <c r="B676" s="1203"/>
      <c r="C676" s="1189"/>
      <c r="D676" s="1189"/>
      <c r="E676" s="1189"/>
      <c r="F676" s="1189"/>
      <c r="G676" s="1189"/>
      <c r="H676" s="1189"/>
      <c r="I676" s="1189"/>
      <c r="J676" s="1189"/>
      <c r="K676" s="1189"/>
      <c r="L676" s="1189"/>
      <c r="M676" s="1189"/>
      <c r="N676" s="1189"/>
      <c r="O676" s="1189"/>
      <c r="P676" s="1189"/>
      <c r="Q676" s="1189"/>
      <c r="R676" s="1189"/>
      <c r="S676" s="1189"/>
      <c r="T676" s="1189"/>
      <c r="U676" s="1189"/>
      <c r="V676" s="1189"/>
      <c r="W676" s="1189"/>
      <c r="X676" s="1189"/>
      <c r="Y676" s="1189"/>
      <c r="Z676" s="1189"/>
      <c r="AA676" s="1189"/>
      <c r="AB676" s="1189"/>
      <c r="AC676" s="1189"/>
      <c r="AD676" s="1189"/>
      <c r="AE676" s="1189"/>
      <c r="AF676" s="1189"/>
      <c r="AG676" s="1189"/>
      <c r="AH676" s="1189"/>
      <c r="AI676" s="1189"/>
    </row>
    <row r="677">
      <c r="A677" s="1202"/>
      <c r="B677" s="1203"/>
      <c r="C677" s="1189"/>
      <c r="D677" s="1189"/>
      <c r="E677" s="1189"/>
      <c r="F677" s="1189"/>
      <c r="G677" s="1189"/>
      <c r="H677" s="1189"/>
      <c r="I677" s="1189"/>
      <c r="J677" s="1189"/>
      <c r="K677" s="1189"/>
      <c r="L677" s="1189"/>
      <c r="M677" s="1189"/>
      <c r="N677" s="1189"/>
      <c r="O677" s="1189"/>
      <c r="P677" s="1189"/>
      <c r="Q677" s="1189"/>
      <c r="R677" s="1189"/>
      <c r="S677" s="1189"/>
      <c r="T677" s="1189"/>
      <c r="U677" s="1189"/>
      <c r="V677" s="1189"/>
      <c r="W677" s="1189"/>
      <c r="X677" s="1189"/>
      <c r="Y677" s="1189"/>
      <c r="Z677" s="1189"/>
      <c r="AA677" s="1189"/>
      <c r="AB677" s="1189"/>
      <c r="AC677" s="1189"/>
      <c r="AD677" s="1189"/>
      <c r="AE677" s="1189"/>
      <c r="AF677" s="1189"/>
      <c r="AG677" s="1189"/>
      <c r="AH677" s="1189"/>
      <c r="AI677" s="1189"/>
    </row>
    <row r="678">
      <c r="A678" s="1202"/>
      <c r="B678" s="1203"/>
      <c r="C678" s="1189"/>
      <c r="D678" s="1189"/>
      <c r="E678" s="1189"/>
      <c r="F678" s="1189"/>
      <c r="G678" s="1189"/>
      <c r="H678" s="1189"/>
      <c r="I678" s="1189"/>
      <c r="J678" s="1189"/>
      <c r="K678" s="1189"/>
      <c r="L678" s="1189"/>
      <c r="M678" s="1189"/>
      <c r="N678" s="1189"/>
      <c r="O678" s="1189"/>
      <c r="P678" s="1189"/>
      <c r="Q678" s="1189"/>
      <c r="R678" s="1189"/>
      <c r="S678" s="1189"/>
      <c r="T678" s="1189"/>
      <c r="U678" s="1189"/>
      <c r="V678" s="1189"/>
      <c r="W678" s="1189"/>
      <c r="X678" s="1189"/>
      <c r="Y678" s="1189"/>
      <c r="Z678" s="1189"/>
      <c r="AA678" s="1189"/>
      <c r="AB678" s="1189"/>
      <c r="AC678" s="1189"/>
      <c r="AD678" s="1189"/>
      <c r="AE678" s="1189"/>
      <c r="AF678" s="1189"/>
      <c r="AG678" s="1189"/>
      <c r="AH678" s="1189"/>
      <c r="AI678" s="1189"/>
    </row>
    <row r="679">
      <c r="A679" s="1202"/>
      <c r="B679" s="1203"/>
      <c r="C679" s="1189"/>
      <c r="D679" s="1189"/>
      <c r="E679" s="1189"/>
      <c r="F679" s="1189"/>
      <c r="G679" s="1189"/>
      <c r="H679" s="1189"/>
      <c r="I679" s="1189"/>
      <c r="J679" s="1189"/>
      <c r="K679" s="1189"/>
      <c r="L679" s="1189"/>
      <c r="M679" s="1189"/>
      <c r="N679" s="1189"/>
      <c r="O679" s="1189"/>
      <c r="P679" s="1189"/>
      <c r="Q679" s="1189"/>
      <c r="R679" s="1189"/>
      <c r="S679" s="1189"/>
      <c r="T679" s="1189"/>
      <c r="U679" s="1189"/>
      <c r="V679" s="1189"/>
      <c r="W679" s="1189"/>
      <c r="X679" s="1189"/>
      <c r="Y679" s="1189"/>
      <c r="Z679" s="1189"/>
      <c r="AA679" s="1189"/>
      <c r="AB679" s="1189"/>
      <c r="AC679" s="1189"/>
      <c r="AD679" s="1189"/>
      <c r="AE679" s="1189"/>
      <c r="AF679" s="1189"/>
      <c r="AG679" s="1189"/>
      <c r="AH679" s="1189"/>
      <c r="AI679" s="1189"/>
    </row>
    <row r="680">
      <c r="A680" s="1202"/>
      <c r="B680" s="1203"/>
      <c r="C680" s="1189"/>
      <c r="D680" s="1189"/>
      <c r="E680" s="1189"/>
      <c r="F680" s="1189"/>
      <c r="G680" s="1189"/>
      <c r="H680" s="1189"/>
      <c r="I680" s="1189"/>
      <c r="J680" s="1189"/>
      <c r="K680" s="1189"/>
      <c r="L680" s="1189"/>
      <c r="M680" s="1189"/>
      <c r="N680" s="1189"/>
      <c r="O680" s="1189"/>
      <c r="P680" s="1189"/>
      <c r="Q680" s="1189"/>
      <c r="R680" s="1189"/>
      <c r="S680" s="1189"/>
      <c r="T680" s="1189"/>
      <c r="U680" s="1189"/>
      <c r="V680" s="1189"/>
      <c r="W680" s="1189"/>
      <c r="X680" s="1189"/>
      <c r="Y680" s="1189"/>
      <c r="Z680" s="1189"/>
      <c r="AA680" s="1189"/>
      <c r="AB680" s="1189"/>
      <c r="AC680" s="1189"/>
      <c r="AD680" s="1189"/>
      <c r="AE680" s="1189"/>
      <c r="AF680" s="1189"/>
      <c r="AG680" s="1189"/>
      <c r="AH680" s="1189"/>
      <c r="AI680" s="1189"/>
    </row>
    <row r="681">
      <c r="A681" s="1202"/>
      <c r="B681" s="1203"/>
      <c r="C681" s="1189"/>
      <c r="D681" s="1189"/>
      <c r="E681" s="1189"/>
      <c r="F681" s="1189"/>
      <c r="G681" s="1189"/>
      <c r="H681" s="1189"/>
      <c r="I681" s="1189"/>
      <c r="J681" s="1189"/>
      <c r="K681" s="1189"/>
      <c r="L681" s="1189"/>
      <c r="M681" s="1189"/>
      <c r="N681" s="1189"/>
      <c r="O681" s="1189"/>
      <c r="P681" s="1189"/>
      <c r="Q681" s="1189"/>
      <c r="R681" s="1189"/>
      <c r="S681" s="1189"/>
      <c r="T681" s="1189"/>
      <c r="U681" s="1189"/>
      <c r="V681" s="1189"/>
      <c r="W681" s="1189"/>
      <c r="X681" s="1189"/>
      <c r="Y681" s="1189"/>
      <c r="Z681" s="1189"/>
      <c r="AA681" s="1189"/>
      <c r="AB681" s="1189"/>
      <c r="AC681" s="1189"/>
      <c r="AD681" s="1189"/>
      <c r="AE681" s="1189"/>
      <c r="AF681" s="1189"/>
      <c r="AG681" s="1189"/>
      <c r="AH681" s="1189"/>
      <c r="AI681" s="1189"/>
    </row>
    <row r="682">
      <c r="A682" s="1202"/>
      <c r="B682" s="1203"/>
      <c r="C682" s="1189"/>
      <c r="D682" s="1189"/>
      <c r="E682" s="1189"/>
      <c r="F682" s="1189"/>
      <c r="G682" s="1189"/>
      <c r="H682" s="1189"/>
      <c r="I682" s="1189"/>
      <c r="J682" s="1189"/>
      <c r="K682" s="1189"/>
      <c r="L682" s="1189"/>
      <c r="M682" s="1189"/>
      <c r="N682" s="1189"/>
      <c r="O682" s="1189"/>
      <c r="P682" s="1189"/>
      <c r="Q682" s="1189"/>
      <c r="R682" s="1189"/>
      <c r="S682" s="1189"/>
      <c r="T682" s="1189"/>
      <c r="U682" s="1189"/>
      <c r="V682" s="1189"/>
      <c r="W682" s="1189"/>
      <c r="X682" s="1189"/>
      <c r="Y682" s="1189"/>
      <c r="Z682" s="1189"/>
      <c r="AA682" s="1189"/>
      <c r="AB682" s="1189"/>
      <c r="AC682" s="1189"/>
      <c r="AD682" s="1189"/>
      <c r="AE682" s="1189"/>
      <c r="AF682" s="1189"/>
      <c r="AG682" s="1189"/>
      <c r="AH682" s="1189"/>
      <c r="AI682" s="1189"/>
    </row>
    <row r="683">
      <c r="A683" s="1202"/>
      <c r="B683" s="1203"/>
      <c r="C683" s="1189"/>
      <c r="D683" s="1189"/>
      <c r="E683" s="1189"/>
      <c r="F683" s="1189"/>
      <c r="G683" s="1189"/>
      <c r="H683" s="1189"/>
      <c r="I683" s="1189"/>
      <c r="J683" s="1189"/>
      <c r="K683" s="1189"/>
      <c r="L683" s="1189"/>
      <c r="M683" s="1189"/>
      <c r="N683" s="1189"/>
      <c r="O683" s="1189"/>
      <c r="P683" s="1189"/>
      <c r="Q683" s="1189"/>
      <c r="R683" s="1189"/>
      <c r="S683" s="1189"/>
      <c r="T683" s="1189"/>
      <c r="U683" s="1189"/>
      <c r="V683" s="1189"/>
      <c r="W683" s="1189"/>
      <c r="X683" s="1189"/>
      <c r="Y683" s="1189"/>
      <c r="Z683" s="1189"/>
      <c r="AA683" s="1189"/>
      <c r="AB683" s="1189"/>
      <c r="AC683" s="1189"/>
      <c r="AD683" s="1189"/>
      <c r="AE683" s="1189"/>
      <c r="AF683" s="1189"/>
      <c r="AG683" s="1189"/>
      <c r="AH683" s="1189"/>
      <c r="AI683" s="1189"/>
    </row>
    <row r="684">
      <c r="A684" s="1202"/>
      <c r="B684" s="1203"/>
      <c r="C684" s="1189"/>
      <c r="D684" s="1189"/>
      <c r="E684" s="1189"/>
      <c r="F684" s="1189"/>
      <c r="G684" s="1189"/>
      <c r="H684" s="1189"/>
      <c r="I684" s="1189"/>
      <c r="J684" s="1189"/>
      <c r="K684" s="1189"/>
      <c r="L684" s="1189"/>
      <c r="M684" s="1189"/>
      <c r="N684" s="1189"/>
      <c r="O684" s="1189"/>
      <c r="P684" s="1189"/>
      <c r="Q684" s="1189"/>
      <c r="R684" s="1189"/>
      <c r="S684" s="1189"/>
      <c r="T684" s="1189"/>
      <c r="U684" s="1189"/>
      <c r="V684" s="1189"/>
      <c r="W684" s="1189"/>
      <c r="X684" s="1189"/>
      <c r="Y684" s="1189"/>
      <c r="Z684" s="1189"/>
      <c r="AA684" s="1189"/>
      <c r="AB684" s="1189"/>
      <c r="AC684" s="1189"/>
      <c r="AD684" s="1189"/>
      <c r="AE684" s="1189"/>
      <c r="AF684" s="1189"/>
      <c r="AG684" s="1189"/>
      <c r="AH684" s="1189"/>
      <c r="AI684" s="1189"/>
    </row>
    <row r="685">
      <c r="A685" s="1202"/>
      <c r="B685" s="1203"/>
      <c r="C685" s="1189"/>
      <c r="D685" s="1189"/>
      <c r="E685" s="1189"/>
      <c r="F685" s="1189"/>
      <c r="G685" s="1189"/>
      <c r="H685" s="1189"/>
      <c r="I685" s="1189"/>
      <c r="J685" s="1189"/>
      <c r="K685" s="1189"/>
      <c r="L685" s="1189"/>
      <c r="M685" s="1189"/>
      <c r="N685" s="1189"/>
      <c r="O685" s="1189"/>
      <c r="P685" s="1189"/>
      <c r="Q685" s="1189"/>
      <c r="R685" s="1189"/>
      <c r="S685" s="1189"/>
      <c r="T685" s="1189"/>
      <c r="U685" s="1189"/>
      <c r="V685" s="1189"/>
      <c r="W685" s="1189"/>
      <c r="X685" s="1189"/>
      <c r="Y685" s="1189"/>
      <c r="Z685" s="1189"/>
      <c r="AA685" s="1189"/>
      <c r="AB685" s="1189"/>
      <c r="AC685" s="1189"/>
      <c r="AD685" s="1189"/>
      <c r="AE685" s="1189"/>
      <c r="AF685" s="1189"/>
      <c r="AG685" s="1189"/>
      <c r="AH685" s="1189"/>
      <c r="AI685" s="1189"/>
    </row>
    <row r="686">
      <c r="A686" s="1202"/>
      <c r="B686" s="1203"/>
      <c r="C686" s="1189"/>
      <c r="D686" s="1189"/>
      <c r="E686" s="1189"/>
      <c r="F686" s="1189"/>
      <c r="G686" s="1189"/>
      <c r="H686" s="1189"/>
      <c r="I686" s="1189"/>
      <c r="J686" s="1189"/>
      <c r="K686" s="1189"/>
      <c r="L686" s="1189"/>
      <c r="M686" s="1189"/>
      <c r="N686" s="1189"/>
      <c r="O686" s="1189"/>
      <c r="P686" s="1189"/>
      <c r="Q686" s="1189"/>
      <c r="R686" s="1189"/>
      <c r="S686" s="1189"/>
      <c r="T686" s="1189"/>
      <c r="U686" s="1189"/>
      <c r="V686" s="1189"/>
      <c r="W686" s="1189"/>
      <c r="X686" s="1189"/>
      <c r="Y686" s="1189"/>
      <c r="Z686" s="1189"/>
      <c r="AA686" s="1189"/>
      <c r="AB686" s="1189"/>
      <c r="AC686" s="1189"/>
      <c r="AD686" s="1189"/>
      <c r="AE686" s="1189"/>
      <c r="AF686" s="1189"/>
      <c r="AG686" s="1189"/>
      <c r="AH686" s="1189"/>
      <c r="AI686" s="1189"/>
    </row>
    <row r="687">
      <c r="A687" s="1202"/>
      <c r="B687" s="1203"/>
      <c r="C687" s="1189"/>
      <c r="D687" s="1189"/>
      <c r="E687" s="1189"/>
      <c r="F687" s="1189"/>
      <c r="G687" s="1189"/>
      <c r="H687" s="1189"/>
      <c r="I687" s="1189"/>
      <c r="J687" s="1189"/>
      <c r="K687" s="1189"/>
      <c r="L687" s="1189"/>
      <c r="M687" s="1189"/>
      <c r="N687" s="1189"/>
      <c r="O687" s="1189"/>
      <c r="P687" s="1189"/>
      <c r="Q687" s="1189"/>
      <c r="R687" s="1189"/>
      <c r="S687" s="1189"/>
      <c r="T687" s="1189"/>
      <c r="U687" s="1189"/>
      <c r="V687" s="1189"/>
      <c r="W687" s="1189"/>
      <c r="X687" s="1189"/>
      <c r="Y687" s="1189"/>
      <c r="Z687" s="1189"/>
      <c r="AA687" s="1189"/>
      <c r="AB687" s="1189"/>
      <c r="AC687" s="1189"/>
      <c r="AD687" s="1189"/>
      <c r="AE687" s="1189"/>
      <c r="AF687" s="1189"/>
      <c r="AG687" s="1189"/>
      <c r="AH687" s="1189"/>
      <c r="AI687" s="1189"/>
    </row>
    <row r="688">
      <c r="A688" s="1202"/>
      <c r="B688" s="1203"/>
      <c r="C688" s="1189"/>
      <c r="D688" s="1189"/>
      <c r="E688" s="1189"/>
      <c r="F688" s="1189"/>
      <c r="G688" s="1189"/>
      <c r="H688" s="1189"/>
      <c r="I688" s="1189"/>
      <c r="J688" s="1189"/>
      <c r="K688" s="1189"/>
      <c r="L688" s="1189"/>
      <c r="M688" s="1189"/>
      <c r="N688" s="1189"/>
      <c r="O688" s="1189"/>
      <c r="P688" s="1189"/>
      <c r="Q688" s="1189"/>
      <c r="R688" s="1189"/>
      <c r="S688" s="1189"/>
      <c r="T688" s="1189"/>
      <c r="U688" s="1189"/>
      <c r="V688" s="1189"/>
      <c r="W688" s="1189"/>
      <c r="X688" s="1189"/>
      <c r="Y688" s="1189"/>
      <c r="Z688" s="1189"/>
      <c r="AA688" s="1189"/>
      <c r="AB688" s="1189"/>
      <c r="AC688" s="1189"/>
      <c r="AD688" s="1189"/>
      <c r="AE688" s="1189"/>
      <c r="AF688" s="1189"/>
      <c r="AG688" s="1189"/>
      <c r="AH688" s="1189"/>
      <c r="AI688" s="1189"/>
    </row>
    <row r="689">
      <c r="A689" s="1202"/>
      <c r="B689" s="1203"/>
      <c r="C689" s="1189"/>
      <c r="D689" s="1189"/>
      <c r="E689" s="1189"/>
      <c r="F689" s="1189"/>
      <c r="G689" s="1189"/>
      <c r="H689" s="1189"/>
      <c r="I689" s="1189"/>
      <c r="J689" s="1189"/>
      <c r="K689" s="1189"/>
      <c r="L689" s="1189"/>
      <c r="M689" s="1189"/>
      <c r="N689" s="1189"/>
      <c r="O689" s="1189"/>
      <c r="P689" s="1189"/>
      <c r="Q689" s="1189"/>
      <c r="R689" s="1189"/>
      <c r="S689" s="1189"/>
      <c r="T689" s="1189"/>
      <c r="U689" s="1189"/>
      <c r="V689" s="1189"/>
      <c r="W689" s="1189"/>
      <c r="X689" s="1189"/>
      <c r="Y689" s="1189"/>
      <c r="Z689" s="1189"/>
      <c r="AA689" s="1189"/>
      <c r="AB689" s="1189"/>
      <c r="AC689" s="1189"/>
      <c r="AD689" s="1189"/>
      <c r="AE689" s="1189"/>
      <c r="AF689" s="1189"/>
      <c r="AG689" s="1189"/>
      <c r="AH689" s="1189"/>
      <c r="AI689" s="1189"/>
    </row>
    <row r="690">
      <c r="A690" s="1202"/>
      <c r="B690" s="1203"/>
      <c r="C690" s="1189"/>
      <c r="D690" s="1189"/>
      <c r="E690" s="1189"/>
      <c r="F690" s="1189"/>
      <c r="G690" s="1189"/>
      <c r="H690" s="1189"/>
      <c r="I690" s="1189"/>
      <c r="J690" s="1189"/>
      <c r="K690" s="1189"/>
      <c r="L690" s="1189"/>
      <c r="M690" s="1189"/>
      <c r="N690" s="1189"/>
      <c r="O690" s="1189"/>
      <c r="P690" s="1189"/>
      <c r="Q690" s="1189"/>
      <c r="R690" s="1189"/>
      <c r="S690" s="1189"/>
      <c r="T690" s="1189"/>
      <c r="U690" s="1189"/>
      <c r="V690" s="1189"/>
      <c r="W690" s="1189"/>
      <c r="X690" s="1189"/>
      <c r="Y690" s="1189"/>
      <c r="Z690" s="1189"/>
      <c r="AA690" s="1189"/>
      <c r="AB690" s="1189"/>
      <c r="AC690" s="1189"/>
      <c r="AD690" s="1189"/>
      <c r="AE690" s="1189"/>
      <c r="AF690" s="1189"/>
      <c r="AG690" s="1189"/>
      <c r="AH690" s="1189"/>
      <c r="AI690" s="1189"/>
    </row>
    <row r="691">
      <c r="A691" s="1202"/>
      <c r="B691" s="1203"/>
      <c r="C691" s="1189"/>
      <c r="D691" s="1189"/>
      <c r="E691" s="1189"/>
      <c r="F691" s="1189"/>
      <c r="G691" s="1189"/>
      <c r="H691" s="1189"/>
      <c r="I691" s="1189"/>
      <c r="J691" s="1189"/>
      <c r="K691" s="1189"/>
      <c r="L691" s="1189"/>
      <c r="M691" s="1189"/>
      <c r="N691" s="1189"/>
      <c r="O691" s="1189"/>
      <c r="P691" s="1189"/>
      <c r="Q691" s="1189"/>
      <c r="R691" s="1189"/>
      <c r="S691" s="1189"/>
      <c r="T691" s="1189"/>
      <c r="U691" s="1189"/>
      <c r="V691" s="1189"/>
      <c r="W691" s="1189"/>
      <c r="X691" s="1189"/>
      <c r="Y691" s="1189"/>
      <c r="Z691" s="1189"/>
      <c r="AA691" s="1189"/>
      <c r="AB691" s="1189"/>
      <c r="AC691" s="1189"/>
      <c r="AD691" s="1189"/>
      <c r="AE691" s="1189"/>
      <c r="AF691" s="1189"/>
      <c r="AG691" s="1189"/>
      <c r="AH691" s="1189"/>
      <c r="AI691" s="1189"/>
    </row>
    <row r="692">
      <c r="A692" s="1202"/>
      <c r="B692" s="1203"/>
      <c r="C692" s="1189"/>
      <c r="D692" s="1189"/>
      <c r="E692" s="1189"/>
      <c r="F692" s="1189"/>
      <c r="G692" s="1189"/>
      <c r="H692" s="1189"/>
      <c r="I692" s="1189"/>
      <c r="J692" s="1189"/>
      <c r="K692" s="1189"/>
      <c r="L692" s="1189"/>
      <c r="M692" s="1189"/>
      <c r="N692" s="1189"/>
      <c r="O692" s="1189"/>
      <c r="P692" s="1189"/>
      <c r="Q692" s="1189"/>
      <c r="R692" s="1189"/>
      <c r="S692" s="1189"/>
      <c r="T692" s="1189"/>
      <c r="U692" s="1189"/>
      <c r="V692" s="1189"/>
      <c r="W692" s="1189"/>
      <c r="X692" s="1189"/>
      <c r="Y692" s="1189"/>
      <c r="Z692" s="1189"/>
      <c r="AA692" s="1189"/>
      <c r="AB692" s="1189"/>
      <c r="AC692" s="1189"/>
      <c r="AD692" s="1189"/>
      <c r="AE692" s="1189"/>
      <c r="AF692" s="1189"/>
      <c r="AG692" s="1189"/>
      <c r="AH692" s="1189"/>
      <c r="AI692" s="1189"/>
    </row>
    <row r="693">
      <c r="A693" s="1202"/>
      <c r="B693" s="1203"/>
      <c r="C693" s="1189"/>
      <c r="D693" s="1189"/>
      <c r="E693" s="1189"/>
      <c r="F693" s="1189"/>
      <c r="G693" s="1189"/>
      <c r="H693" s="1189"/>
      <c r="I693" s="1189"/>
      <c r="J693" s="1189"/>
      <c r="K693" s="1189"/>
      <c r="L693" s="1189"/>
      <c r="M693" s="1189"/>
      <c r="N693" s="1189"/>
      <c r="O693" s="1189"/>
      <c r="P693" s="1189"/>
      <c r="Q693" s="1189"/>
      <c r="R693" s="1189"/>
      <c r="S693" s="1189"/>
      <c r="T693" s="1189"/>
      <c r="U693" s="1189"/>
      <c r="V693" s="1189"/>
      <c r="W693" s="1189"/>
      <c r="X693" s="1189"/>
      <c r="Y693" s="1189"/>
      <c r="Z693" s="1189"/>
      <c r="AA693" s="1189"/>
      <c r="AB693" s="1189"/>
      <c r="AC693" s="1189"/>
      <c r="AD693" s="1189"/>
      <c r="AE693" s="1189"/>
      <c r="AF693" s="1189"/>
      <c r="AG693" s="1189"/>
      <c r="AH693" s="1189"/>
      <c r="AI693" s="1189"/>
    </row>
    <row r="694">
      <c r="A694" s="1202"/>
      <c r="B694" s="1203"/>
      <c r="C694" s="1189"/>
      <c r="D694" s="1189"/>
      <c r="E694" s="1189"/>
      <c r="F694" s="1189"/>
      <c r="G694" s="1189"/>
      <c r="H694" s="1189"/>
      <c r="I694" s="1189"/>
      <c r="J694" s="1189"/>
      <c r="K694" s="1189"/>
      <c r="L694" s="1189"/>
      <c r="M694" s="1189"/>
      <c r="N694" s="1189"/>
      <c r="O694" s="1189"/>
      <c r="P694" s="1189"/>
      <c r="Q694" s="1189"/>
      <c r="R694" s="1189"/>
      <c r="S694" s="1189"/>
      <c r="T694" s="1189"/>
      <c r="U694" s="1189"/>
      <c r="V694" s="1189"/>
      <c r="W694" s="1189"/>
      <c r="X694" s="1189"/>
      <c r="Y694" s="1189"/>
      <c r="Z694" s="1189"/>
      <c r="AA694" s="1189"/>
      <c r="AB694" s="1189"/>
      <c r="AC694" s="1189"/>
      <c r="AD694" s="1189"/>
      <c r="AE694" s="1189"/>
      <c r="AF694" s="1189"/>
      <c r="AG694" s="1189"/>
      <c r="AH694" s="1189"/>
      <c r="AI694" s="1189"/>
    </row>
    <row r="695">
      <c r="A695" s="1202"/>
      <c r="B695" s="1203"/>
      <c r="C695" s="1189"/>
      <c r="D695" s="1189"/>
      <c r="E695" s="1189"/>
      <c r="F695" s="1189"/>
      <c r="G695" s="1189"/>
      <c r="H695" s="1189"/>
      <c r="I695" s="1189"/>
      <c r="J695" s="1189"/>
      <c r="K695" s="1189"/>
      <c r="L695" s="1189"/>
      <c r="M695" s="1189"/>
      <c r="N695" s="1189"/>
      <c r="O695" s="1189"/>
      <c r="P695" s="1189"/>
      <c r="Q695" s="1189"/>
      <c r="R695" s="1189"/>
      <c r="S695" s="1189"/>
      <c r="T695" s="1189"/>
      <c r="U695" s="1189"/>
      <c r="V695" s="1189"/>
      <c r="W695" s="1189"/>
      <c r="X695" s="1189"/>
      <c r="Y695" s="1189"/>
      <c r="Z695" s="1189"/>
      <c r="AA695" s="1189"/>
      <c r="AB695" s="1189"/>
      <c r="AC695" s="1189"/>
      <c r="AD695" s="1189"/>
      <c r="AE695" s="1189"/>
      <c r="AF695" s="1189"/>
      <c r="AG695" s="1189"/>
      <c r="AH695" s="1189"/>
      <c r="AI695" s="1189"/>
    </row>
    <row r="696">
      <c r="A696" s="1202"/>
      <c r="B696" s="1203"/>
      <c r="C696" s="1189"/>
      <c r="D696" s="1189"/>
      <c r="E696" s="1189"/>
      <c r="F696" s="1189"/>
      <c r="G696" s="1189"/>
      <c r="H696" s="1189"/>
      <c r="I696" s="1189"/>
      <c r="J696" s="1189"/>
      <c r="K696" s="1189"/>
      <c r="L696" s="1189"/>
      <c r="M696" s="1189"/>
      <c r="N696" s="1189"/>
      <c r="O696" s="1189"/>
      <c r="P696" s="1189"/>
      <c r="Q696" s="1189"/>
      <c r="R696" s="1189"/>
      <c r="S696" s="1189"/>
      <c r="T696" s="1189"/>
      <c r="U696" s="1189"/>
      <c r="V696" s="1189"/>
      <c r="W696" s="1189"/>
      <c r="X696" s="1189"/>
      <c r="Y696" s="1189"/>
      <c r="Z696" s="1189"/>
      <c r="AA696" s="1189"/>
      <c r="AB696" s="1189"/>
      <c r="AC696" s="1189"/>
      <c r="AD696" s="1189"/>
      <c r="AE696" s="1189"/>
      <c r="AF696" s="1189"/>
      <c r="AG696" s="1189"/>
      <c r="AH696" s="1189"/>
      <c r="AI696" s="1189"/>
    </row>
    <row r="697">
      <c r="A697" s="1202"/>
      <c r="B697" s="1203"/>
      <c r="C697" s="1189"/>
      <c r="D697" s="1189"/>
      <c r="E697" s="1189"/>
      <c r="F697" s="1189"/>
      <c r="G697" s="1189"/>
      <c r="H697" s="1189"/>
      <c r="I697" s="1189"/>
      <c r="J697" s="1189"/>
      <c r="K697" s="1189"/>
      <c r="L697" s="1189"/>
      <c r="M697" s="1189"/>
      <c r="N697" s="1189"/>
      <c r="O697" s="1189"/>
      <c r="P697" s="1189"/>
      <c r="Q697" s="1189"/>
      <c r="R697" s="1189"/>
      <c r="S697" s="1189"/>
      <c r="T697" s="1189"/>
      <c r="U697" s="1189"/>
      <c r="V697" s="1189"/>
      <c r="W697" s="1189"/>
      <c r="X697" s="1189"/>
      <c r="Y697" s="1189"/>
      <c r="Z697" s="1189"/>
      <c r="AA697" s="1189"/>
      <c r="AB697" s="1189"/>
      <c r="AC697" s="1189"/>
      <c r="AD697" s="1189"/>
      <c r="AE697" s="1189"/>
      <c r="AF697" s="1189"/>
      <c r="AG697" s="1189"/>
      <c r="AH697" s="1189"/>
      <c r="AI697" s="1189"/>
    </row>
    <row r="698">
      <c r="A698" s="1202"/>
      <c r="B698" s="1203"/>
      <c r="C698" s="1189"/>
      <c r="D698" s="1189"/>
      <c r="E698" s="1189"/>
      <c r="F698" s="1189"/>
      <c r="G698" s="1189"/>
      <c r="H698" s="1189"/>
      <c r="I698" s="1189"/>
      <c r="J698" s="1189"/>
      <c r="K698" s="1189"/>
      <c r="L698" s="1189"/>
      <c r="M698" s="1189"/>
      <c r="N698" s="1189"/>
      <c r="O698" s="1189"/>
      <c r="P698" s="1189"/>
      <c r="Q698" s="1189"/>
      <c r="R698" s="1189"/>
      <c r="S698" s="1189"/>
      <c r="T698" s="1189"/>
      <c r="U698" s="1189"/>
      <c r="V698" s="1189"/>
      <c r="W698" s="1189"/>
      <c r="X698" s="1189"/>
      <c r="Y698" s="1189"/>
      <c r="Z698" s="1189"/>
      <c r="AA698" s="1189"/>
      <c r="AB698" s="1189"/>
      <c r="AC698" s="1189"/>
      <c r="AD698" s="1189"/>
      <c r="AE698" s="1189"/>
      <c r="AF698" s="1189"/>
      <c r="AG698" s="1189"/>
      <c r="AH698" s="1189"/>
      <c r="AI698" s="1189"/>
    </row>
    <row r="699">
      <c r="A699" s="1202"/>
      <c r="B699" s="1203"/>
      <c r="C699" s="1189"/>
      <c r="D699" s="1189"/>
      <c r="E699" s="1189"/>
      <c r="F699" s="1189"/>
      <c r="G699" s="1189"/>
      <c r="H699" s="1189"/>
      <c r="I699" s="1189"/>
      <c r="J699" s="1189"/>
      <c r="K699" s="1189"/>
      <c r="L699" s="1189"/>
      <c r="M699" s="1189"/>
      <c r="N699" s="1189"/>
      <c r="O699" s="1189"/>
      <c r="P699" s="1189"/>
      <c r="Q699" s="1189"/>
      <c r="R699" s="1189"/>
      <c r="S699" s="1189"/>
      <c r="T699" s="1189"/>
      <c r="U699" s="1189"/>
      <c r="V699" s="1189"/>
      <c r="W699" s="1189"/>
      <c r="X699" s="1189"/>
      <c r="Y699" s="1189"/>
      <c r="Z699" s="1189"/>
      <c r="AA699" s="1189"/>
      <c r="AB699" s="1189"/>
      <c r="AC699" s="1189"/>
      <c r="AD699" s="1189"/>
      <c r="AE699" s="1189"/>
      <c r="AF699" s="1189"/>
      <c r="AG699" s="1189"/>
      <c r="AH699" s="1189"/>
      <c r="AI699" s="1189"/>
    </row>
    <row r="700">
      <c r="A700" s="1202"/>
      <c r="B700" s="1203"/>
      <c r="C700" s="1189"/>
      <c r="D700" s="1189"/>
      <c r="E700" s="1189"/>
      <c r="F700" s="1189"/>
      <c r="G700" s="1189"/>
      <c r="H700" s="1189"/>
      <c r="I700" s="1189"/>
      <c r="J700" s="1189"/>
      <c r="K700" s="1189"/>
      <c r="L700" s="1189"/>
      <c r="M700" s="1189"/>
      <c r="N700" s="1189"/>
      <c r="O700" s="1189"/>
      <c r="P700" s="1189"/>
      <c r="Q700" s="1189"/>
      <c r="R700" s="1189"/>
      <c r="S700" s="1189"/>
      <c r="T700" s="1189"/>
      <c r="U700" s="1189"/>
      <c r="V700" s="1189"/>
      <c r="W700" s="1189"/>
      <c r="X700" s="1189"/>
      <c r="Y700" s="1189"/>
      <c r="Z700" s="1189"/>
      <c r="AA700" s="1189"/>
      <c r="AB700" s="1189"/>
      <c r="AC700" s="1189"/>
      <c r="AD700" s="1189"/>
      <c r="AE700" s="1189"/>
      <c r="AF700" s="1189"/>
      <c r="AG700" s="1189"/>
      <c r="AH700" s="1189"/>
      <c r="AI700" s="1189"/>
    </row>
    <row r="701">
      <c r="A701" s="1202"/>
      <c r="B701" s="1203"/>
      <c r="C701" s="1189"/>
      <c r="D701" s="1189"/>
      <c r="E701" s="1189"/>
      <c r="F701" s="1189"/>
      <c r="G701" s="1189"/>
      <c r="H701" s="1189"/>
      <c r="I701" s="1189"/>
      <c r="J701" s="1189"/>
      <c r="K701" s="1189"/>
      <c r="L701" s="1189"/>
      <c r="M701" s="1189"/>
      <c r="N701" s="1189"/>
      <c r="O701" s="1189"/>
      <c r="P701" s="1189"/>
      <c r="Q701" s="1189"/>
      <c r="R701" s="1189"/>
      <c r="S701" s="1189"/>
      <c r="T701" s="1189"/>
      <c r="U701" s="1189"/>
      <c r="V701" s="1189"/>
      <c r="W701" s="1189"/>
      <c r="X701" s="1189"/>
      <c r="Y701" s="1189"/>
      <c r="Z701" s="1189"/>
      <c r="AA701" s="1189"/>
      <c r="AB701" s="1189"/>
      <c r="AC701" s="1189"/>
      <c r="AD701" s="1189"/>
      <c r="AE701" s="1189"/>
      <c r="AF701" s="1189"/>
      <c r="AG701" s="1189"/>
      <c r="AH701" s="1189"/>
      <c r="AI701" s="1189"/>
    </row>
    <row r="702">
      <c r="A702" s="1202"/>
      <c r="B702" s="1203"/>
      <c r="C702" s="1189"/>
      <c r="D702" s="1189"/>
      <c r="E702" s="1189"/>
      <c r="F702" s="1189"/>
      <c r="G702" s="1189"/>
      <c r="H702" s="1189"/>
      <c r="I702" s="1189"/>
      <c r="J702" s="1189"/>
      <c r="K702" s="1189"/>
      <c r="L702" s="1189"/>
      <c r="M702" s="1189"/>
      <c r="N702" s="1189"/>
      <c r="O702" s="1189"/>
      <c r="P702" s="1189"/>
      <c r="Q702" s="1189"/>
      <c r="R702" s="1189"/>
      <c r="S702" s="1189"/>
      <c r="T702" s="1189"/>
      <c r="U702" s="1189"/>
      <c r="V702" s="1189"/>
      <c r="W702" s="1189"/>
      <c r="X702" s="1189"/>
      <c r="Y702" s="1189"/>
      <c r="Z702" s="1189"/>
      <c r="AA702" s="1189"/>
      <c r="AB702" s="1189"/>
      <c r="AC702" s="1189"/>
      <c r="AD702" s="1189"/>
      <c r="AE702" s="1189"/>
      <c r="AF702" s="1189"/>
      <c r="AG702" s="1189"/>
      <c r="AH702" s="1189"/>
      <c r="AI702" s="1189"/>
    </row>
    <row r="703">
      <c r="A703" s="1202"/>
      <c r="B703" s="1203"/>
      <c r="C703" s="1189"/>
      <c r="D703" s="1189"/>
      <c r="E703" s="1189"/>
      <c r="F703" s="1189"/>
      <c r="G703" s="1189"/>
      <c r="H703" s="1189"/>
      <c r="I703" s="1189"/>
      <c r="J703" s="1189"/>
      <c r="K703" s="1189"/>
      <c r="L703" s="1189"/>
      <c r="M703" s="1189"/>
      <c r="N703" s="1189"/>
      <c r="O703" s="1189"/>
      <c r="P703" s="1189"/>
      <c r="Q703" s="1189"/>
      <c r="R703" s="1189"/>
      <c r="S703" s="1189"/>
      <c r="T703" s="1189"/>
      <c r="U703" s="1189"/>
      <c r="V703" s="1189"/>
      <c r="W703" s="1189"/>
      <c r="X703" s="1189"/>
      <c r="Y703" s="1189"/>
      <c r="Z703" s="1189"/>
      <c r="AA703" s="1189"/>
      <c r="AB703" s="1189"/>
      <c r="AC703" s="1189"/>
      <c r="AD703" s="1189"/>
      <c r="AE703" s="1189"/>
      <c r="AF703" s="1189"/>
      <c r="AG703" s="1189"/>
      <c r="AH703" s="1189"/>
      <c r="AI703" s="1189"/>
    </row>
    <row r="704">
      <c r="A704" s="1202"/>
      <c r="B704" s="1203"/>
      <c r="C704" s="1189"/>
      <c r="D704" s="1189"/>
      <c r="E704" s="1189"/>
      <c r="F704" s="1189"/>
      <c r="G704" s="1189"/>
      <c r="H704" s="1189"/>
      <c r="I704" s="1189"/>
      <c r="J704" s="1189"/>
      <c r="K704" s="1189"/>
      <c r="L704" s="1189"/>
      <c r="M704" s="1189"/>
      <c r="N704" s="1189"/>
      <c r="O704" s="1189"/>
      <c r="P704" s="1189"/>
      <c r="Q704" s="1189"/>
      <c r="R704" s="1189"/>
      <c r="S704" s="1189"/>
      <c r="T704" s="1189"/>
      <c r="U704" s="1189"/>
      <c r="V704" s="1189"/>
      <c r="W704" s="1189"/>
      <c r="X704" s="1189"/>
      <c r="Y704" s="1189"/>
      <c r="Z704" s="1189"/>
      <c r="AA704" s="1189"/>
      <c r="AB704" s="1189"/>
      <c r="AC704" s="1189"/>
      <c r="AD704" s="1189"/>
      <c r="AE704" s="1189"/>
      <c r="AF704" s="1189"/>
      <c r="AG704" s="1189"/>
      <c r="AH704" s="1189"/>
      <c r="AI704" s="1189"/>
    </row>
    <row r="705">
      <c r="A705" s="1202"/>
      <c r="B705" s="1203"/>
      <c r="C705" s="1189"/>
      <c r="D705" s="1189"/>
      <c r="E705" s="1189"/>
      <c r="F705" s="1189"/>
      <c r="G705" s="1189"/>
      <c r="H705" s="1189"/>
      <c r="I705" s="1189"/>
      <c r="J705" s="1189"/>
      <c r="K705" s="1189"/>
      <c r="L705" s="1189"/>
      <c r="M705" s="1189"/>
      <c r="N705" s="1189"/>
      <c r="O705" s="1189"/>
      <c r="P705" s="1189"/>
      <c r="Q705" s="1189"/>
      <c r="R705" s="1189"/>
      <c r="S705" s="1189"/>
      <c r="T705" s="1189"/>
      <c r="U705" s="1189"/>
      <c r="V705" s="1189"/>
      <c r="W705" s="1189"/>
      <c r="X705" s="1189"/>
      <c r="Y705" s="1189"/>
      <c r="Z705" s="1189"/>
      <c r="AA705" s="1189"/>
      <c r="AB705" s="1189"/>
      <c r="AC705" s="1189"/>
      <c r="AD705" s="1189"/>
      <c r="AE705" s="1189"/>
      <c r="AF705" s="1189"/>
      <c r="AG705" s="1189"/>
      <c r="AH705" s="1189"/>
      <c r="AI705" s="1189"/>
    </row>
    <row r="706">
      <c r="A706" s="1202"/>
      <c r="B706" s="1203"/>
      <c r="C706" s="1189"/>
      <c r="D706" s="1189"/>
      <c r="E706" s="1189"/>
      <c r="F706" s="1189"/>
      <c r="G706" s="1189"/>
      <c r="H706" s="1189"/>
      <c r="I706" s="1189"/>
      <c r="J706" s="1189"/>
      <c r="K706" s="1189"/>
      <c r="L706" s="1189"/>
      <c r="M706" s="1189"/>
      <c r="N706" s="1189"/>
      <c r="O706" s="1189"/>
      <c r="P706" s="1189"/>
      <c r="Q706" s="1189"/>
      <c r="R706" s="1189"/>
      <c r="S706" s="1189"/>
      <c r="T706" s="1189"/>
      <c r="U706" s="1189"/>
      <c r="V706" s="1189"/>
      <c r="W706" s="1189"/>
      <c r="X706" s="1189"/>
      <c r="Y706" s="1189"/>
      <c r="Z706" s="1189"/>
      <c r="AA706" s="1189"/>
      <c r="AB706" s="1189"/>
      <c r="AC706" s="1189"/>
      <c r="AD706" s="1189"/>
      <c r="AE706" s="1189"/>
      <c r="AF706" s="1189"/>
      <c r="AG706" s="1189"/>
      <c r="AH706" s="1189"/>
      <c r="AI706" s="1189"/>
    </row>
    <row r="707">
      <c r="A707" s="1202"/>
      <c r="B707" s="1203"/>
      <c r="C707" s="1189"/>
      <c r="D707" s="1189"/>
      <c r="E707" s="1189"/>
      <c r="F707" s="1189"/>
      <c r="G707" s="1189"/>
      <c r="H707" s="1189"/>
      <c r="I707" s="1189"/>
      <c r="J707" s="1189"/>
      <c r="K707" s="1189"/>
      <c r="L707" s="1189"/>
      <c r="M707" s="1189"/>
      <c r="N707" s="1189"/>
      <c r="O707" s="1189"/>
      <c r="P707" s="1189"/>
      <c r="Q707" s="1189"/>
      <c r="R707" s="1189"/>
      <c r="S707" s="1189"/>
      <c r="T707" s="1189"/>
      <c r="U707" s="1189"/>
      <c r="V707" s="1189"/>
      <c r="W707" s="1189"/>
      <c r="X707" s="1189"/>
      <c r="Y707" s="1189"/>
      <c r="Z707" s="1189"/>
      <c r="AA707" s="1189"/>
      <c r="AB707" s="1189"/>
      <c r="AC707" s="1189"/>
      <c r="AD707" s="1189"/>
      <c r="AE707" s="1189"/>
      <c r="AF707" s="1189"/>
      <c r="AG707" s="1189"/>
      <c r="AH707" s="1189"/>
      <c r="AI707" s="1189"/>
    </row>
    <row r="708">
      <c r="A708" s="1202"/>
      <c r="B708" s="1203"/>
      <c r="C708" s="1189"/>
      <c r="D708" s="1189"/>
      <c r="E708" s="1189"/>
      <c r="F708" s="1189"/>
      <c r="G708" s="1189"/>
      <c r="H708" s="1189"/>
      <c r="I708" s="1189"/>
      <c r="J708" s="1189"/>
      <c r="K708" s="1189"/>
      <c r="L708" s="1189"/>
      <c r="M708" s="1189"/>
      <c r="N708" s="1189"/>
      <c r="O708" s="1189"/>
      <c r="P708" s="1189"/>
      <c r="Q708" s="1189"/>
      <c r="R708" s="1189"/>
      <c r="S708" s="1189"/>
      <c r="T708" s="1189"/>
      <c r="U708" s="1189"/>
      <c r="V708" s="1189"/>
      <c r="W708" s="1189"/>
      <c r="X708" s="1189"/>
      <c r="Y708" s="1189"/>
      <c r="Z708" s="1189"/>
      <c r="AA708" s="1189"/>
      <c r="AB708" s="1189"/>
      <c r="AC708" s="1189"/>
      <c r="AD708" s="1189"/>
      <c r="AE708" s="1189"/>
      <c r="AF708" s="1189"/>
      <c r="AG708" s="1189"/>
      <c r="AH708" s="1189"/>
      <c r="AI708" s="1189"/>
    </row>
    <row r="709">
      <c r="A709" s="1202"/>
      <c r="B709" s="1203"/>
      <c r="C709" s="1189"/>
      <c r="D709" s="1189"/>
      <c r="E709" s="1189"/>
      <c r="F709" s="1189"/>
      <c r="G709" s="1189"/>
      <c r="H709" s="1189"/>
      <c r="I709" s="1189"/>
      <c r="J709" s="1189"/>
      <c r="K709" s="1189"/>
      <c r="L709" s="1189"/>
      <c r="M709" s="1189"/>
      <c r="N709" s="1189"/>
      <c r="O709" s="1189"/>
      <c r="P709" s="1189"/>
      <c r="Q709" s="1189"/>
      <c r="R709" s="1189"/>
      <c r="S709" s="1189"/>
      <c r="T709" s="1189"/>
      <c r="U709" s="1189"/>
      <c r="V709" s="1189"/>
      <c r="W709" s="1189"/>
      <c r="X709" s="1189"/>
      <c r="Y709" s="1189"/>
      <c r="Z709" s="1189"/>
      <c r="AA709" s="1189"/>
      <c r="AB709" s="1189"/>
      <c r="AC709" s="1189"/>
      <c r="AD709" s="1189"/>
      <c r="AE709" s="1189"/>
      <c r="AF709" s="1189"/>
      <c r="AG709" s="1189"/>
      <c r="AH709" s="1189"/>
      <c r="AI709" s="1189"/>
    </row>
    <row r="710">
      <c r="A710" s="1202"/>
      <c r="B710" s="1203"/>
      <c r="C710" s="1189"/>
      <c r="D710" s="1189"/>
      <c r="E710" s="1189"/>
      <c r="F710" s="1189"/>
      <c r="G710" s="1189"/>
      <c r="H710" s="1189"/>
      <c r="I710" s="1189"/>
      <c r="J710" s="1189"/>
      <c r="K710" s="1189"/>
      <c r="L710" s="1189"/>
      <c r="M710" s="1189"/>
      <c r="N710" s="1189"/>
      <c r="O710" s="1189"/>
      <c r="P710" s="1189"/>
      <c r="Q710" s="1189"/>
      <c r="R710" s="1189"/>
      <c r="S710" s="1189"/>
      <c r="T710" s="1189"/>
      <c r="U710" s="1189"/>
      <c r="V710" s="1189"/>
      <c r="W710" s="1189"/>
      <c r="X710" s="1189"/>
      <c r="Y710" s="1189"/>
      <c r="Z710" s="1189"/>
      <c r="AA710" s="1189"/>
      <c r="AB710" s="1189"/>
      <c r="AC710" s="1189"/>
      <c r="AD710" s="1189"/>
      <c r="AE710" s="1189"/>
      <c r="AF710" s="1189"/>
      <c r="AG710" s="1189"/>
      <c r="AH710" s="1189"/>
      <c r="AI710" s="1189"/>
    </row>
    <row r="711">
      <c r="A711" s="1202"/>
      <c r="B711" s="1203"/>
      <c r="C711" s="1189"/>
      <c r="D711" s="1189"/>
      <c r="E711" s="1189"/>
      <c r="F711" s="1189"/>
      <c r="G711" s="1189"/>
      <c r="H711" s="1189"/>
      <c r="I711" s="1189"/>
      <c r="J711" s="1189"/>
      <c r="K711" s="1189"/>
      <c r="L711" s="1189"/>
      <c r="M711" s="1189"/>
      <c r="N711" s="1189"/>
      <c r="O711" s="1189"/>
      <c r="P711" s="1189"/>
      <c r="Q711" s="1189"/>
      <c r="R711" s="1189"/>
      <c r="S711" s="1189"/>
      <c r="T711" s="1189"/>
      <c r="U711" s="1189"/>
      <c r="V711" s="1189"/>
      <c r="W711" s="1189"/>
      <c r="X711" s="1189"/>
      <c r="Y711" s="1189"/>
      <c r="Z711" s="1189"/>
      <c r="AA711" s="1189"/>
      <c r="AB711" s="1189"/>
      <c r="AC711" s="1189"/>
      <c r="AD711" s="1189"/>
      <c r="AE711" s="1189"/>
      <c r="AF711" s="1189"/>
      <c r="AG711" s="1189"/>
      <c r="AH711" s="1189"/>
      <c r="AI711" s="1189"/>
    </row>
    <row r="712">
      <c r="A712" s="1202"/>
      <c r="B712" s="1203"/>
      <c r="C712" s="1189"/>
      <c r="D712" s="1189"/>
      <c r="E712" s="1189"/>
      <c r="F712" s="1189"/>
      <c r="G712" s="1189"/>
      <c r="H712" s="1189"/>
      <c r="I712" s="1189"/>
      <c r="J712" s="1189"/>
      <c r="K712" s="1189"/>
      <c r="L712" s="1189"/>
      <c r="M712" s="1189"/>
      <c r="N712" s="1189"/>
      <c r="O712" s="1189"/>
      <c r="P712" s="1189"/>
      <c r="Q712" s="1189"/>
      <c r="R712" s="1189"/>
      <c r="S712" s="1189"/>
      <c r="T712" s="1189"/>
      <c r="U712" s="1189"/>
      <c r="V712" s="1189"/>
      <c r="W712" s="1189"/>
      <c r="X712" s="1189"/>
      <c r="Y712" s="1189"/>
      <c r="Z712" s="1189"/>
      <c r="AA712" s="1189"/>
      <c r="AB712" s="1189"/>
      <c r="AC712" s="1189"/>
      <c r="AD712" s="1189"/>
      <c r="AE712" s="1189"/>
      <c r="AF712" s="1189"/>
      <c r="AG712" s="1189"/>
      <c r="AH712" s="1189"/>
      <c r="AI712" s="1189"/>
    </row>
    <row r="713">
      <c r="A713" s="1202"/>
      <c r="B713" s="1203"/>
      <c r="C713" s="1189"/>
      <c r="D713" s="1189"/>
      <c r="E713" s="1189"/>
      <c r="F713" s="1189"/>
      <c r="G713" s="1189"/>
      <c r="H713" s="1189"/>
      <c r="I713" s="1189"/>
      <c r="J713" s="1189"/>
      <c r="K713" s="1189"/>
      <c r="L713" s="1189"/>
      <c r="M713" s="1189"/>
      <c r="N713" s="1189"/>
      <c r="O713" s="1189"/>
      <c r="P713" s="1189"/>
      <c r="Q713" s="1189"/>
      <c r="R713" s="1189"/>
      <c r="S713" s="1189"/>
      <c r="T713" s="1189"/>
      <c r="U713" s="1189"/>
      <c r="V713" s="1189"/>
      <c r="W713" s="1189"/>
      <c r="X713" s="1189"/>
      <c r="Y713" s="1189"/>
      <c r="Z713" s="1189"/>
      <c r="AA713" s="1189"/>
      <c r="AB713" s="1189"/>
      <c r="AC713" s="1189"/>
      <c r="AD713" s="1189"/>
      <c r="AE713" s="1189"/>
      <c r="AF713" s="1189"/>
      <c r="AG713" s="1189"/>
      <c r="AH713" s="1189"/>
      <c r="AI713" s="1189"/>
    </row>
    <row r="714">
      <c r="A714" s="1202"/>
      <c r="B714" s="1203"/>
      <c r="C714" s="1189"/>
      <c r="D714" s="1189"/>
      <c r="E714" s="1189"/>
      <c r="F714" s="1189"/>
      <c r="G714" s="1189"/>
      <c r="H714" s="1189"/>
      <c r="I714" s="1189"/>
      <c r="J714" s="1189"/>
      <c r="K714" s="1189"/>
      <c r="L714" s="1189"/>
      <c r="M714" s="1189"/>
      <c r="N714" s="1189"/>
      <c r="O714" s="1189"/>
      <c r="P714" s="1189"/>
      <c r="Q714" s="1189"/>
      <c r="R714" s="1189"/>
      <c r="S714" s="1189"/>
      <c r="T714" s="1189"/>
      <c r="U714" s="1189"/>
      <c r="V714" s="1189"/>
      <c r="W714" s="1189"/>
      <c r="X714" s="1189"/>
      <c r="Y714" s="1189"/>
      <c r="Z714" s="1189"/>
      <c r="AA714" s="1189"/>
      <c r="AB714" s="1189"/>
      <c r="AC714" s="1189"/>
      <c r="AD714" s="1189"/>
      <c r="AE714" s="1189"/>
      <c r="AF714" s="1189"/>
      <c r="AG714" s="1189"/>
      <c r="AH714" s="1189"/>
      <c r="AI714" s="1189"/>
    </row>
    <row r="715">
      <c r="A715" s="1202"/>
      <c r="B715" s="1203"/>
      <c r="C715" s="1189"/>
      <c r="D715" s="1189"/>
      <c r="E715" s="1189"/>
      <c r="F715" s="1189"/>
      <c r="G715" s="1189"/>
      <c r="H715" s="1189"/>
      <c r="I715" s="1189"/>
      <c r="J715" s="1189"/>
      <c r="K715" s="1189"/>
      <c r="L715" s="1189"/>
      <c r="M715" s="1189"/>
      <c r="N715" s="1189"/>
      <c r="O715" s="1189"/>
      <c r="P715" s="1189"/>
      <c r="Q715" s="1189"/>
      <c r="R715" s="1189"/>
      <c r="S715" s="1189"/>
      <c r="T715" s="1189"/>
      <c r="U715" s="1189"/>
      <c r="V715" s="1189"/>
      <c r="W715" s="1189"/>
      <c r="X715" s="1189"/>
      <c r="Y715" s="1189"/>
      <c r="Z715" s="1189"/>
      <c r="AA715" s="1189"/>
      <c r="AB715" s="1189"/>
      <c r="AC715" s="1189"/>
      <c r="AD715" s="1189"/>
      <c r="AE715" s="1189"/>
      <c r="AF715" s="1189"/>
      <c r="AG715" s="1189"/>
      <c r="AH715" s="1189"/>
      <c r="AI715" s="1189"/>
    </row>
    <row r="716">
      <c r="A716" s="1202"/>
      <c r="B716" s="1203"/>
      <c r="C716" s="1189"/>
      <c r="D716" s="1189"/>
      <c r="E716" s="1189"/>
      <c r="F716" s="1189"/>
      <c r="G716" s="1189"/>
      <c r="H716" s="1189"/>
      <c r="I716" s="1189"/>
      <c r="J716" s="1189"/>
      <c r="K716" s="1189"/>
      <c r="L716" s="1189"/>
      <c r="M716" s="1189"/>
      <c r="N716" s="1189"/>
      <c r="O716" s="1189"/>
      <c r="P716" s="1189"/>
      <c r="Q716" s="1189"/>
      <c r="R716" s="1189"/>
      <c r="S716" s="1189"/>
      <c r="T716" s="1189"/>
      <c r="U716" s="1189"/>
      <c r="V716" s="1189"/>
      <c r="W716" s="1189"/>
      <c r="X716" s="1189"/>
      <c r="Y716" s="1189"/>
      <c r="Z716" s="1189"/>
      <c r="AA716" s="1189"/>
      <c r="AB716" s="1189"/>
      <c r="AC716" s="1189"/>
      <c r="AD716" s="1189"/>
      <c r="AE716" s="1189"/>
      <c r="AF716" s="1189"/>
      <c r="AG716" s="1189"/>
      <c r="AH716" s="1189"/>
      <c r="AI716" s="1189"/>
    </row>
    <row r="717">
      <c r="A717" s="1202"/>
      <c r="B717" s="1203"/>
      <c r="C717" s="1189"/>
      <c r="D717" s="1189"/>
      <c r="E717" s="1189"/>
      <c r="F717" s="1189"/>
      <c r="G717" s="1189"/>
      <c r="H717" s="1189"/>
      <c r="I717" s="1189"/>
      <c r="J717" s="1189"/>
      <c r="K717" s="1189"/>
      <c r="L717" s="1189"/>
      <c r="M717" s="1189"/>
      <c r="N717" s="1189"/>
      <c r="O717" s="1189"/>
      <c r="P717" s="1189"/>
      <c r="Q717" s="1189"/>
      <c r="R717" s="1189"/>
      <c r="S717" s="1189"/>
      <c r="T717" s="1189"/>
      <c r="U717" s="1189"/>
      <c r="V717" s="1189"/>
      <c r="W717" s="1189"/>
      <c r="X717" s="1189"/>
      <c r="Y717" s="1189"/>
      <c r="Z717" s="1189"/>
      <c r="AA717" s="1189"/>
      <c r="AB717" s="1189"/>
      <c r="AC717" s="1189"/>
      <c r="AD717" s="1189"/>
      <c r="AE717" s="1189"/>
      <c r="AF717" s="1189"/>
      <c r="AG717" s="1189"/>
      <c r="AH717" s="1189"/>
      <c r="AI717" s="1189"/>
    </row>
    <row r="718">
      <c r="A718" s="1202"/>
      <c r="B718" s="1203"/>
      <c r="C718" s="1189"/>
      <c r="D718" s="1189"/>
      <c r="E718" s="1189"/>
      <c r="F718" s="1189"/>
      <c r="G718" s="1189"/>
      <c r="H718" s="1189"/>
      <c r="I718" s="1189"/>
      <c r="J718" s="1189"/>
      <c r="K718" s="1189"/>
      <c r="L718" s="1189"/>
      <c r="M718" s="1189"/>
      <c r="N718" s="1189"/>
      <c r="O718" s="1189"/>
      <c r="P718" s="1189"/>
      <c r="Q718" s="1189"/>
      <c r="R718" s="1189"/>
      <c r="S718" s="1189"/>
      <c r="T718" s="1189"/>
      <c r="U718" s="1189"/>
      <c r="V718" s="1189"/>
      <c r="W718" s="1189"/>
      <c r="X718" s="1189"/>
      <c r="Y718" s="1189"/>
      <c r="Z718" s="1189"/>
      <c r="AA718" s="1189"/>
      <c r="AB718" s="1189"/>
      <c r="AC718" s="1189"/>
      <c r="AD718" s="1189"/>
      <c r="AE718" s="1189"/>
      <c r="AF718" s="1189"/>
      <c r="AG718" s="1189"/>
      <c r="AH718" s="1189"/>
      <c r="AI718" s="1189"/>
    </row>
    <row r="719">
      <c r="A719" s="1202"/>
      <c r="B719" s="1203"/>
      <c r="C719" s="1189"/>
      <c r="D719" s="1189"/>
      <c r="E719" s="1189"/>
      <c r="F719" s="1189"/>
      <c r="G719" s="1189"/>
      <c r="H719" s="1189"/>
      <c r="I719" s="1189"/>
      <c r="J719" s="1189"/>
      <c r="K719" s="1189"/>
      <c r="L719" s="1189"/>
      <c r="M719" s="1189"/>
      <c r="N719" s="1189"/>
      <c r="O719" s="1189"/>
      <c r="P719" s="1189"/>
      <c r="Q719" s="1189"/>
      <c r="R719" s="1189"/>
      <c r="S719" s="1189"/>
      <c r="T719" s="1189"/>
      <c r="U719" s="1189"/>
      <c r="V719" s="1189"/>
      <c r="W719" s="1189"/>
      <c r="X719" s="1189"/>
      <c r="Y719" s="1189"/>
      <c r="Z719" s="1189"/>
      <c r="AA719" s="1189"/>
      <c r="AB719" s="1189"/>
      <c r="AC719" s="1189"/>
      <c r="AD719" s="1189"/>
      <c r="AE719" s="1189"/>
      <c r="AF719" s="1189"/>
      <c r="AG719" s="1189"/>
      <c r="AH719" s="1189"/>
      <c r="AI719" s="1189"/>
    </row>
    <row r="720">
      <c r="A720" s="1202"/>
      <c r="B720" s="1203"/>
      <c r="C720" s="1189"/>
      <c r="D720" s="1189"/>
      <c r="E720" s="1189"/>
      <c r="F720" s="1189"/>
      <c r="G720" s="1189"/>
      <c r="H720" s="1189"/>
      <c r="I720" s="1189"/>
      <c r="J720" s="1189"/>
      <c r="K720" s="1189"/>
      <c r="L720" s="1189"/>
      <c r="M720" s="1189"/>
      <c r="N720" s="1189"/>
      <c r="O720" s="1189"/>
      <c r="P720" s="1189"/>
      <c r="Q720" s="1189"/>
      <c r="R720" s="1189"/>
      <c r="S720" s="1189"/>
      <c r="T720" s="1189"/>
      <c r="U720" s="1189"/>
      <c r="V720" s="1189"/>
      <c r="W720" s="1189"/>
      <c r="X720" s="1189"/>
      <c r="Y720" s="1189"/>
      <c r="Z720" s="1189"/>
      <c r="AA720" s="1189"/>
      <c r="AB720" s="1189"/>
      <c r="AC720" s="1189"/>
      <c r="AD720" s="1189"/>
      <c r="AE720" s="1189"/>
      <c r="AF720" s="1189"/>
      <c r="AG720" s="1189"/>
      <c r="AH720" s="1189"/>
      <c r="AI720" s="1189"/>
    </row>
    <row r="721">
      <c r="A721" s="1202"/>
      <c r="B721" s="1203"/>
      <c r="C721" s="1189"/>
      <c r="D721" s="1189"/>
      <c r="E721" s="1189"/>
      <c r="F721" s="1189"/>
      <c r="G721" s="1189"/>
      <c r="H721" s="1189"/>
      <c r="I721" s="1189"/>
      <c r="J721" s="1189"/>
      <c r="K721" s="1189"/>
      <c r="L721" s="1189"/>
      <c r="M721" s="1189"/>
      <c r="N721" s="1189"/>
      <c r="O721" s="1189"/>
      <c r="P721" s="1189"/>
      <c r="Q721" s="1189"/>
      <c r="R721" s="1189"/>
      <c r="S721" s="1189"/>
      <c r="T721" s="1189"/>
      <c r="U721" s="1189"/>
      <c r="V721" s="1189"/>
      <c r="W721" s="1189"/>
      <c r="X721" s="1189"/>
      <c r="Y721" s="1189"/>
      <c r="Z721" s="1189"/>
      <c r="AA721" s="1189"/>
      <c r="AB721" s="1189"/>
      <c r="AC721" s="1189"/>
      <c r="AD721" s="1189"/>
      <c r="AE721" s="1189"/>
      <c r="AF721" s="1189"/>
      <c r="AG721" s="1189"/>
      <c r="AH721" s="1189"/>
      <c r="AI721" s="1189"/>
    </row>
    <row r="722">
      <c r="A722" s="1202"/>
      <c r="B722" s="1203"/>
      <c r="C722" s="1189"/>
      <c r="D722" s="1189"/>
      <c r="E722" s="1189"/>
      <c r="F722" s="1189"/>
      <c r="G722" s="1189"/>
      <c r="H722" s="1189"/>
      <c r="I722" s="1189"/>
      <c r="J722" s="1189"/>
      <c r="K722" s="1189"/>
      <c r="L722" s="1189"/>
      <c r="M722" s="1189"/>
      <c r="N722" s="1189"/>
      <c r="O722" s="1189"/>
      <c r="P722" s="1189"/>
      <c r="Q722" s="1189"/>
      <c r="R722" s="1189"/>
      <c r="S722" s="1189"/>
      <c r="T722" s="1189"/>
      <c r="U722" s="1189"/>
      <c r="V722" s="1189"/>
      <c r="W722" s="1189"/>
      <c r="X722" s="1189"/>
      <c r="Y722" s="1189"/>
      <c r="Z722" s="1189"/>
      <c r="AA722" s="1189"/>
      <c r="AB722" s="1189"/>
      <c r="AC722" s="1189"/>
      <c r="AD722" s="1189"/>
      <c r="AE722" s="1189"/>
      <c r="AF722" s="1189"/>
      <c r="AG722" s="1189"/>
      <c r="AH722" s="1189"/>
      <c r="AI722" s="1189"/>
    </row>
    <row r="723">
      <c r="A723" s="1202"/>
      <c r="B723" s="1203"/>
      <c r="C723" s="1189"/>
      <c r="D723" s="1189"/>
      <c r="E723" s="1189"/>
      <c r="F723" s="1189"/>
      <c r="G723" s="1189"/>
      <c r="H723" s="1189"/>
      <c r="I723" s="1189"/>
      <c r="J723" s="1189"/>
      <c r="K723" s="1189"/>
      <c r="L723" s="1189"/>
      <c r="M723" s="1189"/>
      <c r="N723" s="1189"/>
      <c r="O723" s="1189"/>
      <c r="P723" s="1189"/>
      <c r="Q723" s="1189"/>
      <c r="R723" s="1189"/>
      <c r="S723" s="1189"/>
      <c r="T723" s="1189"/>
      <c r="U723" s="1189"/>
      <c r="V723" s="1189"/>
      <c r="W723" s="1189"/>
      <c r="X723" s="1189"/>
      <c r="Y723" s="1189"/>
      <c r="Z723" s="1189"/>
      <c r="AA723" s="1189"/>
      <c r="AB723" s="1189"/>
      <c r="AC723" s="1189"/>
      <c r="AD723" s="1189"/>
      <c r="AE723" s="1189"/>
      <c r="AF723" s="1189"/>
      <c r="AG723" s="1189"/>
      <c r="AH723" s="1189"/>
      <c r="AI723" s="1189"/>
    </row>
    <row r="724">
      <c r="A724" s="1202"/>
      <c r="B724" s="1203"/>
      <c r="C724" s="1189"/>
      <c r="D724" s="1189"/>
      <c r="E724" s="1189"/>
      <c r="F724" s="1189"/>
      <c r="G724" s="1189"/>
      <c r="H724" s="1189"/>
      <c r="I724" s="1189"/>
      <c r="J724" s="1189"/>
      <c r="K724" s="1189"/>
      <c r="L724" s="1189"/>
      <c r="M724" s="1189"/>
      <c r="N724" s="1189"/>
      <c r="O724" s="1189"/>
      <c r="P724" s="1189"/>
      <c r="Q724" s="1189"/>
      <c r="R724" s="1189"/>
      <c r="S724" s="1189"/>
      <c r="T724" s="1189"/>
      <c r="U724" s="1189"/>
      <c r="V724" s="1189"/>
      <c r="W724" s="1189"/>
      <c r="X724" s="1189"/>
      <c r="Y724" s="1189"/>
      <c r="Z724" s="1189"/>
      <c r="AA724" s="1189"/>
      <c r="AB724" s="1189"/>
      <c r="AC724" s="1189"/>
      <c r="AD724" s="1189"/>
      <c r="AE724" s="1189"/>
      <c r="AF724" s="1189"/>
      <c r="AG724" s="1189"/>
      <c r="AH724" s="1189"/>
      <c r="AI724" s="1189"/>
    </row>
    <row r="725">
      <c r="A725" s="1202"/>
      <c r="B725" s="1203"/>
      <c r="C725" s="1189"/>
      <c r="D725" s="1189"/>
      <c r="E725" s="1189"/>
      <c r="F725" s="1189"/>
      <c r="G725" s="1189"/>
      <c r="H725" s="1189"/>
      <c r="I725" s="1189"/>
      <c r="J725" s="1189"/>
      <c r="K725" s="1189"/>
      <c r="L725" s="1189"/>
      <c r="M725" s="1189"/>
      <c r="N725" s="1189"/>
      <c r="O725" s="1189"/>
      <c r="P725" s="1189"/>
      <c r="Q725" s="1189"/>
      <c r="R725" s="1189"/>
      <c r="S725" s="1189"/>
      <c r="T725" s="1189"/>
      <c r="U725" s="1189"/>
      <c r="V725" s="1189"/>
      <c r="W725" s="1189"/>
      <c r="X725" s="1189"/>
      <c r="Y725" s="1189"/>
      <c r="Z725" s="1189"/>
      <c r="AA725" s="1189"/>
      <c r="AB725" s="1189"/>
      <c r="AC725" s="1189"/>
      <c r="AD725" s="1189"/>
      <c r="AE725" s="1189"/>
      <c r="AF725" s="1189"/>
      <c r="AG725" s="1189"/>
      <c r="AH725" s="1189"/>
      <c r="AI725" s="1189"/>
    </row>
    <row r="726">
      <c r="A726" s="1202"/>
      <c r="B726" s="1203"/>
      <c r="C726" s="1189"/>
      <c r="D726" s="1189"/>
      <c r="E726" s="1189"/>
      <c r="F726" s="1189"/>
      <c r="G726" s="1189"/>
      <c r="H726" s="1189"/>
      <c r="I726" s="1189"/>
      <c r="J726" s="1189"/>
      <c r="K726" s="1189"/>
      <c r="L726" s="1189"/>
      <c r="M726" s="1189"/>
      <c r="N726" s="1189"/>
      <c r="O726" s="1189"/>
      <c r="P726" s="1189"/>
      <c r="Q726" s="1189"/>
      <c r="R726" s="1189"/>
      <c r="S726" s="1189"/>
      <c r="T726" s="1189"/>
      <c r="U726" s="1189"/>
      <c r="V726" s="1189"/>
      <c r="W726" s="1189"/>
      <c r="X726" s="1189"/>
      <c r="Y726" s="1189"/>
      <c r="Z726" s="1189"/>
      <c r="AA726" s="1189"/>
      <c r="AB726" s="1189"/>
      <c r="AC726" s="1189"/>
      <c r="AD726" s="1189"/>
      <c r="AE726" s="1189"/>
      <c r="AF726" s="1189"/>
      <c r="AG726" s="1189"/>
      <c r="AH726" s="1189"/>
      <c r="AI726" s="1189"/>
    </row>
    <row r="727">
      <c r="A727" s="1202"/>
      <c r="B727" s="1203"/>
      <c r="C727" s="1189"/>
      <c r="D727" s="1189"/>
      <c r="E727" s="1189"/>
      <c r="F727" s="1189"/>
      <c r="G727" s="1189"/>
      <c r="H727" s="1189"/>
      <c r="I727" s="1189"/>
      <c r="J727" s="1189"/>
      <c r="K727" s="1189"/>
      <c r="L727" s="1189"/>
      <c r="M727" s="1189"/>
      <c r="N727" s="1189"/>
      <c r="O727" s="1189"/>
      <c r="P727" s="1189"/>
      <c r="Q727" s="1189"/>
      <c r="R727" s="1189"/>
      <c r="S727" s="1189"/>
      <c r="T727" s="1189"/>
      <c r="U727" s="1189"/>
      <c r="V727" s="1189"/>
      <c r="W727" s="1189"/>
      <c r="X727" s="1189"/>
      <c r="Y727" s="1189"/>
      <c r="Z727" s="1189"/>
      <c r="AA727" s="1189"/>
      <c r="AB727" s="1189"/>
      <c r="AC727" s="1189"/>
      <c r="AD727" s="1189"/>
      <c r="AE727" s="1189"/>
      <c r="AF727" s="1189"/>
      <c r="AG727" s="1189"/>
      <c r="AH727" s="1189"/>
      <c r="AI727" s="1189"/>
    </row>
    <row r="728">
      <c r="A728" s="1202"/>
      <c r="B728" s="1203"/>
      <c r="C728" s="1189"/>
      <c r="D728" s="1189"/>
      <c r="E728" s="1189"/>
      <c r="F728" s="1189"/>
      <c r="G728" s="1189"/>
      <c r="H728" s="1189"/>
      <c r="I728" s="1189"/>
      <c r="J728" s="1189"/>
      <c r="K728" s="1189"/>
      <c r="L728" s="1189"/>
      <c r="M728" s="1189"/>
      <c r="N728" s="1189"/>
      <c r="O728" s="1189"/>
      <c r="P728" s="1189"/>
      <c r="Q728" s="1189"/>
      <c r="R728" s="1189"/>
      <c r="S728" s="1189"/>
      <c r="T728" s="1189"/>
      <c r="U728" s="1189"/>
      <c r="V728" s="1189"/>
      <c r="W728" s="1189"/>
      <c r="X728" s="1189"/>
      <c r="Y728" s="1189"/>
      <c r="Z728" s="1189"/>
      <c r="AA728" s="1189"/>
      <c r="AB728" s="1189"/>
      <c r="AC728" s="1189"/>
      <c r="AD728" s="1189"/>
      <c r="AE728" s="1189"/>
      <c r="AF728" s="1189"/>
      <c r="AG728" s="1189"/>
      <c r="AH728" s="1189"/>
      <c r="AI728" s="1189"/>
    </row>
    <row r="729">
      <c r="A729" s="1202"/>
      <c r="B729" s="1203"/>
      <c r="C729" s="1189"/>
      <c r="D729" s="1189"/>
      <c r="E729" s="1189"/>
      <c r="F729" s="1189"/>
      <c r="G729" s="1189"/>
      <c r="H729" s="1189"/>
      <c r="I729" s="1189"/>
      <c r="J729" s="1189"/>
      <c r="K729" s="1189"/>
      <c r="L729" s="1189"/>
      <c r="M729" s="1189"/>
      <c r="N729" s="1189"/>
      <c r="O729" s="1189"/>
      <c r="P729" s="1189"/>
      <c r="Q729" s="1189"/>
      <c r="R729" s="1189"/>
      <c r="S729" s="1189"/>
      <c r="T729" s="1189"/>
      <c r="U729" s="1189"/>
      <c r="V729" s="1189"/>
      <c r="W729" s="1189"/>
      <c r="X729" s="1189"/>
      <c r="Y729" s="1189"/>
      <c r="Z729" s="1189"/>
      <c r="AA729" s="1189"/>
      <c r="AB729" s="1189"/>
      <c r="AC729" s="1189"/>
      <c r="AD729" s="1189"/>
      <c r="AE729" s="1189"/>
      <c r="AF729" s="1189"/>
      <c r="AG729" s="1189"/>
      <c r="AH729" s="1189"/>
      <c r="AI729" s="1189"/>
    </row>
    <row r="730">
      <c r="A730" s="1202"/>
      <c r="B730" s="1203"/>
      <c r="C730" s="1189"/>
      <c r="D730" s="1189"/>
      <c r="E730" s="1189"/>
      <c r="F730" s="1189"/>
      <c r="G730" s="1189"/>
      <c r="H730" s="1189"/>
      <c r="I730" s="1189"/>
      <c r="J730" s="1189"/>
      <c r="K730" s="1189"/>
      <c r="L730" s="1189"/>
      <c r="M730" s="1189"/>
      <c r="N730" s="1189"/>
      <c r="O730" s="1189"/>
      <c r="P730" s="1189"/>
      <c r="Q730" s="1189"/>
      <c r="R730" s="1189"/>
      <c r="S730" s="1189"/>
      <c r="T730" s="1189"/>
      <c r="U730" s="1189"/>
      <c r="V730" s="1189"/>
      <c r="W730" s="1189"/>
      <c r="X730" s="1189"/>
      <c r="Y730" s="1189"/>
      <c r="Z730" s="1189"/>
      <c r="AA730" s="1189"/>
      <c r="AB730" s="1189"/>
      <c r="AC730" s="1189"/>
      <c r="AD730" s="1189"/>
      <c r="AE730" s="1189"/>
      <c r="AF730" s="1189"/>
      <c r="AG730" s="1189"/>
      <c r="AH730" s="1189"/>
      <c r="AI730" s="1189"/>
    </row>
    <row r="731">
      <c r="A731" s="1202"/>
      <c r="B731" s="1203"/>
      <c r="C731" s="1189"/>
      <c r="D731" s="1189"/>
      <c r="E731" s="1189"/>
      <c r="F731" s="1189"/>
      <c r="G731" s="1189"/>
      <c r="H731" s="1189"/>
      <c r="I731" s="1189"/>
      <c r="J731" s="1189"/>
      <c r="K731" s="1189"/>
      <c r="L731" s="1189"/>
      <c r="M731" s="1189"/>
      <c r="N731" s="1189"/>
      <c r="O731" s="1189"/>
      <c r="P731" s="1189"/>
      <c r="Q731" s="1189"/>
      <c r="R731" s="1189"/>
      <c r="S731" s="1189"/>
      <c r="T731" s="1189"/>
      <c r="U731" s="1189"/>
      <c r="V731" s="1189"/>
      <c r="W731" s="1189"/>
      <c r="X731" s="1189"/>
      <c r="Y731" s="1189"/>
      <c r="Z731" s="1189"/>
      <c r="AA731" s="1189"/>
      <c r="AB731" s="1189"/>
      <c r="AC731" s="1189"/>
      <c r="AD731" s="1189"/>
      <c r="AE731" s="1189"/>
      <c r="AF731" s="1189"/>
      <c r="AG731" s="1189"/>
      <c r="AH731" s="1189"/>
      <c r="AI731" s="1189"/>
    </row>
    <row r="732">
      <c r="A732" s="1202"/>
      <c r="B732" s="1203"/>
      <c r="C732" s="1189"/>
      <c r="D732" s="1189"/>
      <c r="E732" s="1189"/>
      <c r="F732" s="1189"/>
      <c r="G732" s="1189"/>
      <c r="H732" s="1189"/>
      <c r="I732" s="1189"/>
      <c r="J732" s="1189"/>
      <c r="K732" s="1189"/>
      <c r="L732" s="1189"/>
      <c r="M732" s="1189"/>
      <c r="N732" s="1189"/>
      <c r="O732" s="1189"/>
      <c r="P732" s="1189"/>
      <c r="Q732" s="1189"/>
      <c r="R732" s="1189"/>
      <c r="S732" s="1189"/>
      <c r="T732" s="1189"/>
      <c r="U732" s="1189"/>
      <c r="V732" s="1189"/>
      <c r="W732" s="1189"/>
      <c r="X732" s="1189"/>
      <c r="Y732" s="1189"/>
      <c r="Z732" s="1189"/>
      <c r="AA732" s="1189"/>
      <c r="AB732" s="1189"/>
      <c r="AC732" s="1189"/>
      <c r="AD732" s="1189"/>
      <c r="AE732" s="1189"/>
      <c r="AF732" s="1189"/>
      <c r="AG732" s="1189"/>
      <c r="AH732" s="1189"/>
      <c r="AI732" s="1189"/>
    </row>
    <row r="733">
      <c r="A733" s="1202"/>
      <c r="B733" s="1203"/>
      <c r="C733" s="1189"/>
      <c r="D733" s="1189"/>
      <c r="E733" s="1189"/>
      <c r="F733" s="1189"/>
      <c r="G733" s="1189"/>
      <c r="H733" s="1189"/>
      <c r="I733" s="1189"/>
      <c r="J733" s="1189"/>
      <c r="K733" s="1189"/>
      <c r="L733" s="1189"/>
      <c r="M733" s="1189"/>
      <c r="N733" s="1189"/>
      <c r="O733" s="1189"/>
      <c r="P733" s="1189"/>
      <c r="Q733" s="1189"/>
      <c r="R733" s="1189"/>
      <c r="S733" s="1189"/>
      <c r="T733" s="1189"/>
      <c r="U733" s="1189"/>
      <c r="V733" s="1189"/>
      <c r="W733" s="1189"/>
      <c r="X733" s="1189"/>
      <c r="Y733" s="1189"/>
      <c r="Z733" s="1189"/>
      <c r="AA733" s="1189"/>
      <c r="AB733" s="1189"/>
      <c r="AC733" s="1189"/>
      <c r="AD733" s="1189"/>
      <c r="AE733" s="1189"/>
      <c r="AF733" s="1189"/>
      <c r="AG733" s="1189"/>
      <c r="AH733" s="1189"/>
      <c r="AI733" s="1189"/>
    </row>
    <row r="734">
      <c r="A734" s="1202"/>
      <c r="B734" s="1203"/>
      <c r="C734" s="1189"/>
      <c r="D734" s="1189"/>
      <c r="E734" s="1189"/>
      <c r="F734" s="1189"/>
      <c r="G734" s="1189"/>
      <c r="H734" s="1189"/>
      <c r="I734" s="1189"/>
      <c r="J734" s="1189"/>
      <c r="K734" s="1189"/>
      <c r="L734" s="1189"/>
      <c r="M734" s="1189"/>
      <c r="N734" s="1189"/>
      <c r="O734" s="1189"/>
      <c r="P734" s="1189"/>
      <c r="Q734" s="1189"/>
      <c r="R734" s="1189"/>
      <c r="S734" s="1189"/>
      <c r="T734" s="1189"/>
      <c r="U734" s="1189"/>
      <c r="V734" s="1189"/>
      <c r="W734" s="1189"/>
      <c r="X734" s="1189"/>
      <c r="Y734" s="1189"/>
      <c r="Z734" s="1189"/>
      <c r="AA734" s="1189"/>
      <c r="AB734" s="1189"/>
      <c r="AC734" s="1189"/>
      <c r="AD734" s="1189"/>
      <c r="AE734" s="1189"/>
      <c r="AF734" s="1189"/>
      <c r="AG734" s="1189"/>
      <c r="AH734" s="1189"/>
      <c r="AI734" s="1189"/>
    </row>
    <row r="735">
      <c r="A735" s="1202"/>
      <c r="B735" s="1203"/>
      <c r="C735" s="1189"/>
      <c r="D735" s="1189"/>
      <c r="E735" s="1189"/>
      <c r="F735" s="1189"/>
      <c r="G735" s="1189"/>
      <c r="H735" s="1189"/>
      <c r="I735" s="1189"/>
      <c r="J735" s="1189"/>
      <c r="K735" s="1189"/>
      <c r="L735" s="1189"/>
      <c r="M735" s="1189"/>
      <c r="N735" s="1189"/>
      <c r="O735" s="1189"/>
      <c r="P735" s="1189"/>
      <c r="Q735" s="1189"/>
      <c r="R735" s="1189"/>
      <c r="S735" s="1189"/>
      <c r="T735" s="1189"/>
      <c r="U735" s="1189"/>
      <c r="V735" s="1189"/>
      <c r="W735" s="1189"/>
      <c r="X735" s="1189"/>
      <c r="Y735" s="1189"/>
      <c r="Z735" s="1189"/>
      <c r="AA735" s="1189"/>
      <c r="AB735" s="1189"/>
      <c r="AC735" s="1189"/>
      <c r="AD735" s="1189"/>
      <c r="AE735" s="1189"/>
      <c r="AF735" s="1189"/>
      <c r="AG735" s="1189"/>
      <c r="AH735" s="1189"/>
      <c r="AI735" s="1189"/>
    </row>
    <row r="736">
      <c r="A736" s="1202"/>
      <c r="B736" s="1203"/>
      <c r="C736" s="1189"/>
      <c r="D736" s="1189"/>
      <c r="E736" s="1189"/>
      <c r="F736" s="1189"/>
      <c r="G736" s="1189"/>
      <c r="H736" s="1189"/>
      <c r="I736" s="1189"/>
      <c r="J736" s="1189"/>
      <c r="K736" s="1189"/>
      <c r="L736" s="1189"/>
      <c r="M736" s="1189"/>
      <c r="N736" s="1189"/>
      <c r="O736" s="1189"/>
      <c r="P736" s="1189"/>
      <c r="Q736" s="1189"/>
      <c r="R736" s="1189"/>
      <c r="S736" s="1189"/>
      <c r="T736" s="1189"/>
      <c r="U736" s="1189"/>
      <c r="V736" s="1189"/>
      <c r="W736" s="1189"/>
      <c r="X736" s="1189"/>
      <c r="Y736" s="1189"/>
      <c r="Z736" s="1189"/>
      <c r="AA736" s="1189"/>
      <c r="AB736" s="1189"/>
      <c r="AC736" s="1189"/>
      <c r="AD736" s="1189"/>
      <c r="AE736" s="1189"/>
      <c r="AF736" s="1189"/>
      <c r="AG736" s="1189"/>
      <c r="AH736" s="1189"/>
      <c r="AI736" s="1189"/>
    </row>
    <row r="737">
      <c r="A737" s="1202"/>
      <c r="B737" s="1203"/>
      <c r="C737" s="1189"/>
      <c r="D737" s="1189"/>
      <c r="E737" s="1189"/>
      <c r="F737" s="1189"/>
      <c r="G737" s="1189"/>
      <c r="H737" s="1189"/>
      <c r="I737" s="1189"/>
      <c r="J737" s="1189"/>
      <c r="K737" s="1189"/>
      <c r="L737" s="1189"/>
      <c r="M737" s="1189"/>
      <c r="N737" s="1189"/>
      <c r="O737" s="1189"/>
      <c r="P737" s="1189"/>
      <c r="Q737" s="1189"/>
      <c r="R737" s="1189"/>
      <c r="S737" s="1189"/>
      <c r="T737" s="1189"/>
      <c r="U737" s="1189"/>
      <c r="V737" s="1189"/>
      <c r="W737" s="1189"/>
      <c r="X737" s="1189"/>
      <c r="Y737" s="1189"/>
      <c r="Z737" s="1189"/>
      <c r="AA737" s="1189"/>
      <c r="AB737" s="1189"/>
      <c r="AC737" s="1189"/>
      <c r="AD737" s="1189"/>
      <c r="AE737" s="1189"/>
      <c r="AF737" s="1189"/>
      <c r="AG737" s="1189"/>
      <c r="AH737" s="1189"/>
      <c r="AI737" s="1189"/>
    </row>
    <row r="738">
      <c r="A738" s="1202"/>
      <c r="B738" s="1203"/>
      <c r="C738" s="1189"/>
      <c r="D738" s="1189"/>
      <c r="E738" s="1189"/>
      <c r="F738" s="1189"/>
      <c r="G738" s="1189"/>
      <c r="H738" s="1189"/>
      <c r="I738" s="1189"/>
      <c r="J738" s="1189"/>
      <c r="K738" s="1189"/>
      <c r="L738" s="1189"/>
      <c r="M738" s="1189"/>
      <c r="N738" s="1189"/>
      <c r="O738" s="1189"/>
      <c r="P738" s="1189"/>
      <c r="Q738" s="1189"/>
      <c r="R738" s="1189"/>
      <c r="S738" s="1189"/>
      <c r="T738" s="1189"/>
      <c r="U738" s="1189"/>
      <c r="V738" s="1189"/>
      <c r="W738" s="1189"/>
      <c r="X738" s="1189"/>
      <c r="Y738" s="1189"/>
      <c r="Z738" s="1189"/>
      <c r="AA738" s="1189"/>
      <c r="AB738" s="1189"/>
      <c r="AC738" s="1189"/>
      <c r="AD738" s="1189"/>
      <c r="AE738" s="1189"/>
      <c r="AF738" s="1189"/>
      <c r="AG738" s="1189"/>
      <c r="AH738" s="1189"/>
      <c r="AI738" s="1189"/>
    </row>
    <row r="739">
      <c r="A739" s="1202"/>
      <c r="B739" s="1203"/>
      <c r="C739" s="1189"/>
      <c r="D739" s="1189"/>
      <c r="E739" s="1189"/>
      <c r="F739" s="1189"/>
      <c r="G739" s="1189"/>
      <c r="H739" s="1189"/>
      <c r="I739" s="1189"/>
      <c r="J739" s="1189"/>
      <c r="K739" s="1189"/>
      <c r="L739" s="1189"/>
      <c r="M739" s="1189"/>
      <c r="N739" s="1189"/>
      <c r="O739" s="1189"/>
      <c r="P739" s="1189"/>
      <c r="Q739" s="1189"/>
      <c r="R739" s="1189"/>
      <c r="S739" s="1189"/>
      <c r="T739" s="1189"/>
      <c r="U739" s="1189"/>
      <c r="V739" s="1189"/>
      <c r="W739" s="1189"/>
      <c r="X739" s="1189"/>
      <c r="Y739" s="1189"/>
      <c r="Z739" s="1189"/>
      <c r="AA739" s="1189"/>
      <c r="AB739" s="1189"/>
      <c r="AC739" s="1189"/>
      <c r="AD739" s="1189"/>
      <c r="AE739" s="1189"/>
      <c r="AF739" s="1189"/>
      <c r="AG739" s="1189"/>
      <c r="AH739" s="1189"/>
      <c r="AI739" s="1189"/>
    </row>
    <row r="740">
      <c r="A740" s="1202"/>
      <c r="B740" s="1203"/>
      <c r="C740" s="1189"/>
      <c r="D740" s="1189"/>
      <c r="E740" s="1189"/>
      <c r="F740" s="1189"/>
      <c r="G740" s="1189"/>
      <c r="H740" s="1189"/>
      <c r="I740" s="1189"/>
      <c r="J740" s="1189"/>
      <c r="K740" s="1189"/>
      <c r="L740" s="1189"/>
      <c r="M740" s="1189"/>
      <c r="N740" s="1189"/>
      <c r="O740" s="1189"/>
      <c r="P740" s="1189"/>
      <c r="Q740" s="1189"/>
      <c r="R740" s="1189"/>
      <c r="S740" s="1189"/>
      <c r="T740" s="1189"/>
      <c r="U740" s="1189"/>
      <c r="V740" s="1189"/>
      <c r="W740" s="1189"/>
      <c r="X740" s="1189"/>
      <c r="Y740" s="1189"/>
      <c r="Z740" s="1189"/>
      <c r="AA740" s="1189"/>
      <c r="AB740" s="1189"/>
      <c r="AC740" s="1189"/>
      <c r="AD740" s="1189"/>
      <c r="AE740" s="1189"/>
      <c r="AF740" s="1189"/>
      <c r="AG740" s="1189"/>
      <c r="AH740" s="1189"/>
      <c r="AI740" s="1189"/>
    </row>
    <row r="741">
      <c r="A741" s="1202"/>
      <c r="B741" s="1203"/>
      <c r="C741" s="1189"/>
      <c r="D741" s="1189"/>
      <c r="E741" s="1189"/>
      <c r="F741" s="1189"/>
      <c r="G741" s="1189"/>
      <c r="H741" s="1189"/>
      <c r="I741" s="1189"/>
      <c r="J741" s="1189"/>
      <c r="K741" s="1189"/>
      <c r="L741" s="1189"/>
      <c r="M741" s="1189"/>
      <c r="N741" s="1189"/>
      <c r="O741" s="1189"/>
      <c r="P741" s="1189"/>
      <c r="Q741" s="1189"/>
      <c r="R741" s="1189"/>
      <c r="S741" s="1189"/>
      <c r="T741" s="1189"/>
      <c r="U741" s="1189"/>
      <c r="V741" s="1189"/>
      <c r="W741" s="1189"/>
      <c r="X741" s="1189"/>
      <c r="Y741" s="1189"/>
      <c r="Z741" s="1189"/>
      <c r="AA741" s="1189"/>
      <c r="AB741" s="1189"/>
      <c r="AC741" s="1189"/>
      <c r="AD741" s="1189"/>
      <c r="AE741" s="1189"/>
      <c r="AF741" s="1189"/>
      <c r="AG741" s="1189"/>
      <c r="AH741" s="1189"/>
      <c r="AI741" s="1189"/>
    </row>
    <row r="742">
      <c r="A742" s="1202"/>
      <c r="B742" s="1203"/>
      <c r="C742" s="1189"/>
      <c r="D742" s="1189"/>
      <c r="E742" s="1189"/>
      <c r="F742" s="1189"/>
      <c r="G742" s="1189"/>
      <c r="H742" s="1189"/>
      <c r="I742" s="1189"/>
      <c r="J742" s="1189"/>
      <c r="K742" s="1189"/>
      <c r="L742" s="1189"/>
      <c r="M742" s="1189"/>
      <c r="N742" s="1189"/>
      <c r="O742" s="1189"/>
      <c r="P742" s="1189"/>
      <c r="Q742" s="1189"/>
      <c r="R742" s="1189"/>
      <c r="S742" s="1189"/>
      <c r="T742" s="1189"/>
      <c r="U742" s="1189"/>
      <c r="V742" s="1189"/>
      <c r="W742" s="1189"/>
      <c r="X742" s="1189"/>
      <c r="Y742" s="1189"/>
      <c r="Z742" s="1189"/>
      <c r="AA742" s="1189"/>
      <c r="AB742" s="1189"/>
      <c r="AC742" s="1189"/>
      <c r="AD742" s="1189"/>
      <c r="AE742" s="1189"/>
      <c r="AF742" s="1189"/>
      <c r="AG742" s="1189"/>
      <c r="AH742" s="1189"/>
      <c r="AI742" s="1189"/>
    </row>
    <row r="743">
      <c r="A743" s="1202"/>
      <c r="B743" s="1203"/>
      <c r="C743" s="1189"/>
      <c r="D743" s="1189"/>
      <c r="E743" s="1189"/>
      <c r="F743" s="1189"/>
      <c r="G743" s="1189"/>
      <c r="H743" s="1189"/>
      <c r="I743" s="1189"/>
      <c r="J743" s="1189"/>
      <c r="K743" s="1189"/>
      <c r="L743" s="1189"/>
      <c r="M743" s="1189"/>
      <c r="N743" s="1189"/>
      <c r="O743" s="1189"/>
      <c r="P743" s="1189"/>
      <c r="Q743" s="1189"/>
      <c r="R743" s="1189"/>
      <c r="S743" s="1189"/>
      <c r="T743" s="1189"/>
      <c r="U743" s="1189"/>
      <c r="V743" s="1189"/>
      <c r="W743" s="1189"/>
      <c r="X743" s="1189"/>
      <c r="Y743" s="1189"/>
      <c r="Z743" s="1189"/>
      <c r="AA743" s="1189"/>
      <c r="AB743" s="1189"/>
      <c r="AC743" s="1189"/>
      <c r="AD743" s="1189"/>
      <c r="AE743" s="1189"/>
      <c r="AF743" s="1189"/>
      <c r="AG743" s="1189"/>
      <c r="AH743" s="1189"/>
      <c r="AI743" s="1189"/>
    </row>
    <row r="744">
      <c r="A744" s="1202"/>
      <c r="B744" s="1203"/>
      <c r="C744" s="1189"/>
      <c r="D744" s="1189"/>
      <c r="E744" s="1189"/>
      <c r="F744" s="1189"/>
      <c r="G744" s="1189"/>
      <c r="H744" s="1189"/>
      <c r="I744" s="1189"/>
      <c r="J744" s="1189"/>
      <c r="K744" s="1189"/>
      <c r="L744" s="1189"/>
      <c r="M744" s="1189"/>
      <c r="N744" s="1189"/>
      <c r="O744" s="1189"/>
      <c r="P744" s="1189"/>
      <c r="Q744" s="1189"/>
      <c r="R744" s="1189"/>
      <c r="S744" s="1189"/>
      <c r="T744" s="1189"/>
      <c r="U744" s="1189"/>
      <c r="V744" s="1189"/>
      <c r="W744" s="1189"/>
      <c r="X744" s="1189"/>
      <c r="Y744" s="1189"/>
      <c r="Z744" s="1189"/>
      <c r="AA744" s="1189"/>
      <c r="AB744" s="1189"/>
      <c r="AC744" s="1189"/>
      <c r="AD744" s="1189"/>
      <c r="AE744" s="1189"/>
      <c r="AF744" s="1189"/>
      <c r="AG744" s="1189"/>
      <c r="AH744" s="1189"/>
      <c r="AI744" s="1189"/>
    </row>
    <row r="745">
      <c r="A745" s="1202"/>
      <c r="B745" s="1203"/>
      <c r="C745" s="1189"/>
      <c r="D745" s="1189"/>
      <c r="E745" s="1189"/>
      <c r="F745" s="1189"/>
      <c r="G745" s="1189"/>
      <c r="H745" s="1189"/>
      <c r="I745" s="1189"/>
      <c r="J745" s="1189"/>
      <c r="K745" s="1189"/>
      <c r="L745" s="1189"/>
      <c r="M745" s="1189"/>
      <c r="N745" s="1189"/>
      <c r="O745" s="1189"/>
      <c r="P745" s="1189"/>
      <c r="Q745" s="1189"/>
      <c r="R745" s="1189"/>
      <c r="S745" s="1189"/>
      <c r="T745" s="1189"/>
      <c r="U745" s="1189"/>
      <c r="V745" s="1189"/>
      <c r="W745" s="1189"/>
      <c r="X745" s="1189"/>
      <c r="Y745" s="1189"/>
      <c r="Z745" s="1189"/>
      <c r="AA745" s="1189"/>
      <c r="AB745" s="1189"/>
      <c r="AC745" s="1189"/>
      <c r="AD745" s="1189"/>
      <c r="AE745" s="1189"/>
      <c r="AF745" s="1189"/>
      <c r="AG745" s="1189"/>
      <c r="AH745" s="1189"/>
      <c r="AI745" s="1189"/>
    </row>
    <row r="746">
      <c r="A746" s="1202"/>
      <c r="B746" s="1203"/>
      <c r="C746" s="1189"/>
      <c r="D746" s="1189"/>
      <c r="E746" s="1189"/>
      <c r="F746" s="1189"/>
      <c r="G746" s="1189"/>
      <c r="H746" s="1189"/>
      <c r="I746" s="1189"/>
      <c r="J746" s="1189"/>
      <c r="K746" s="1189"/>
      <c r="L746" s="1189"/>
      <c r="M746" s="1189"/>
      <c r="N746" s="1189"/>
      <c r="O746" s="1189"/>
      <c r="P746" s="1189"/>
      <c r="Q746" s="1189"/>
      <c r="R746" s="1189"/>
      <c r="S746" s="1189"/>
      <c r="T746" s="1189"/>
      <c r="U746" s="1189"/>
      <c r="V746" s="1189"/>
      <c r="W746" s="1189"/>
      <c r="X746" s="1189"/>
      <c r="Y746" s="1189"/>
      <c r="Z746" s="1189"/>
      <c r="AA746" s="1189"/>
      <c r="AB746" s="1189"/>
      <c r="AC746" s="1189"/>
      <c r="AD746" s="1189"/>
      <c r="AE746" s="1189"/>
      <c r="AF746" s="1189"/>
      <c r="AG746" s="1189"/>
      <c r="AH746" s="1189"/>
      <c r="AI746" s="1189"/>
    </row>
    <row r="747">
      <c r="A747" s="1202"/>
      <c r="B747" s="1203"/>
      <c r="C747" s="1189"/>
      <c r="D747" s="1189"/>
      <c r="E747" s="1189"/>
      <c r="F747" s="1189"/>
      <c r="G747" s="1189"/>
      <c r="H747" s="1189"/>
      <c r="I747" s="1189"/>
      <c r="J747" s="1189"/>
      <c r="K747" s="1189"/>
      <c r="L747" s="1189"/>
      <c r="M747" s="1189"/>
      <c r="N747" s="1189"/>
      <c r="O747" s="1189"/>
      <c r="P747" s="1189"/>
      <c r="Q747" s="1189"/>
      <c r="R747" s="1189"/>
      <c r="S747" s="1189"/>
      <c r="T747" s="1189"/>
      <c r="U747" s="1189"/>
      <c r="V747" s="1189"/>
      <c r="W747" s="1189"/>
      <c r="X747" s="1189"/>
      <c r="Y747" s="1189"/>
      <c r="Z747" s="1189"/>
      <c r="AA747" s="1189"/>
      <c r="AB747" s="1189"/>
      <c r="AC747" s="1189"/>
      <c r="AD747" s="1189"/>
      <c r="AE747" s="1189"/>
      <c r="AF747" s="1189"/>
      <c r="AG747" s="1189"/>
      <c r="AH747" s="1189"/>
      <c r="AI747" s="1189"/>
    </row>
    <row r="748">
      <c r="A748" s="1202"/>
      <c r="B748" s="1203"/>
      <c r="C748" s="1189"/>
      <c r="D748" s="1189"/>
      <c r="E748" s="1189"/>
      <c r="F748" s="1189"/>
      <c r="G748" s="1189"/>
      <c r="H748" s="1189"/>
      <c r="I748" s="1189"/>
      <c r="J748" s="1189"/>
      <c r="K748" s="1189"/>
      <c r="L748" s="1189"/>
      <c r="M748" s="1189"/>
      <c r="N748" s="1189"/>
      <c r="O748" s="1189"/>
      <c r="P748" s="1189"/>
      <c r="Q748" s="1189"/>
      <c r="R748" s="1189"/>
      <c r="S748" s="1189"/>
      <c r="T748" s="1189"/>
      <c r="U748" s="1189"/>
      <c r="V748" s="1189"/>
      <c r="W748" s="1189"/>
      <c r="X748" s="1189"/>
      <c r="Y748" s="1189"/>
      <c r="Z748" s="1189"/>
      <c r="AA748" s="1189"/>
      <c r="AB748" s="1189"/>
      <c r="AC748" s="1189"/>
      <c r="AD748" s="1189"/>
      <c r="AE748" s="1189"/>
      <c r="AF748" s="1189"/>
      <c r="AG748" s="1189"/>
      <c r="AH748" s="1189"/>
      <c r="AI748" s="1189"/>
    </row>
    <row r="749">
      <c r="A749" s="1202"/>
      <c r="B749" s="1203"/>
      <c r="C749" s="1189"/>
      <c r="D749" s="1189"/>
      <c r="E749" s="1189"/>
      <c r="F749" s="1189"/>
      <c r="G749" s="1189"/>
      <c r="H749" s="1189"/>
      <c r="I749" s="1189"/>
      <c r="J749" s="1189"/>
      <c r="K749" s="1189"/>
      <c r="L749" s="1189"/>
      <c r="M749" s="1189"/>
      <c r="N749" s="1189"/>
      <c r="O749" s="1189"/>
      <c r="P749" s="1189"/>
      <c r="Q749" s="1189"/>
      <c r="R749" s="1189"/>
      <c r="S749" s="1189"/>
      <c r="T749" s="1189"/>
      <c r="U749" s="1189"/>
      <c r="V749" s="1189"/>
      <c r="W749" s="1189"/>
      <c r="X749" s="1189"/>
      <c r="Y749" s="1189"/>
      <c r="Z749" s="1189"/>
      <c r="AA749" s="1189"/>
      <c r="AB749" s="1189"/>
      <c r="AC749" s="1189"/>
      <c r="AD749" s="1189"/>
      <c r="AE749" s="1189"/>
      <c r="AF749" s="1189"/>
      <c r="AG749" s="1189"/>
      <c r="AH749" s="1189"/>
      <c r="AI749" s="1189"/>
    </row>
    <row r="750">
      <c r="A750" s="1202"/>
      <c r="B750" s="1203"/>
      <c r="C750" s="1189"/>
      <c r="D750" s="1189"/>
      <c r="E750" s="1189"/>
      <c r="F750" s="1189"/>
      <c r="G750" s="1189"/>
      <c r="H750" s="1189"/>
      <c r="I750" s="1189"/>
      <c r="J750" s="1189"/>
      <c r="K750" s="1189"/>
      <c r="L750" s="1189"/>
      <c r="M750" s="1189"/>
      <c r="N750" s="1189"/>
      <c r="O750" s="1189"/>
      <c r="P750" s="1189"/>
      <c r="Q750" s="1189"/>
      <c r="R750" s="1189"/>
      <c r="S750" s="1189"/>
      <c r="T750" s="1189"/>
      <c r="U750" s="1189"/>
      <c r="V750" s="1189"/>
      <c r="W750" s="1189"/>
      <c r="X750" s="1189"/>
      <c r="Y750" s="1189"/>
      <c r="Z750" s="1189"/>
      <c r="AA750" s="1189"/>
      <c r="AB750" s="1189"/>
      <c r="AC750" s="1189"/>
      <c r="AD750" s="1189"/>
      <c r="AE750" s="1189"/>
      <c r="AF750" s="1189"/>
      <c r="AG750" s="1189"/>
      <c r="AH750" s="1189"/>
      <c r="AI750" s="1189"/>
    </row>
    <row r="751">
      <c r="A751" s="1202"/>
      <c r="B751" s="1203"/>
      <c r="C751" s="1189"/>
      <c r="D751" s="1189"/>
      <c r="E751" s="1189"/>
      <c r="F751" s="1189"/>
      <c r="G751" s="1189"/>
      <c r="H751" s="1189"/>
      <c r="I751" s="1189"/>
      <c r="J751" s="1189"/>
      <c r="K751" s="1189"/>
      <c r="L751" s="1189"/>
      <c r="M751" s="1189"/>
      <c r="N751" s="1189"/>
      <c r="O751" s="1189"/>
      <c r="P751" s="1189"/>
      <c r="Q751" s="1189"/>
      <c r="R751" s="1189"/>
      <c r="S751" s="1189"/>
      <c r="T751" s="1189"/>
      <c r="U751" s="1189"/>
      <c r="V751" s="1189"/>
      <c r="W751" s="1189"/>
      <c r="X751" s="1189"/>
      <c r="Y751" s="1189"/>
      <c r="Z751" s="1189"/>
      <c r="AA751" s="1189"/>
      <c r="AB751" s="1189"/>
      <c r="AC751" s="1189"/>
      <c r="AD751" s="1189"/>
      <c r="AE751" s="1189"/>
      <c r="AF751" s="1189"/>
      <c r="AG751" s="1189"/>
      <c r="AH751" s="1189"/>
      <c r="AI751" s="1189"/>
    </row>
    <row r="752">
      <c r="A752" s="1202"/>
      <c r="B752" s="1203"/>
      <c r="C752" s="1189"/>
      <c r="D752" s="1189"/>
      <c r="E752" s="1189"/>
      <c r="F752" s="1189"/>
      <c r="G752" s="1189"/>
      <c r="H752" s="1189"/>
      <c r="I752" s="1189"/>
      <c r="J752" s="1189"/>
      <c r="K752" s="1189"/>
      <c r="L752" s="1189"/>
      <c r="M752" s="1189"/>
      <c r="N752" s="1189"/>
      <c r="O752" s="1189"/>
      <c r="P752" s="1189"/>
      <c r="Q752" s="1189"/>
      <c r="R752" s="1189"/>
      <c r="S752" s="1189"/>
      <c r="T752" s="1189"/>
      <c r="U752" s="1189"/>
      <c r="V752" s="1189"/>
      <c r="W752" s="1189"/>
      <c r="X752" s="1189"/>
      <c r="Y752" s="1189"/>
      <c r="Z752" s="1189"/>
      <c r="AA752" s="1189"/>
      <c r="AB752" s="1189"/>
      <c r="AC752" s="1189"/>
      <c r="AD752" s="1189"/>
      <c r="AE752" s="1189"/>
      <c r="AF752" s="1189"/>
      <c r="AG752" s="1189"/>
      <c r="AH752" s="1189"/>
      <c r="AI752" s="1189"/>
    </row>
    <row r="753">
      <c r="A753" s="1202"/>
      <c r="B753" s="1203"/>
      <c r="C753" s="1189"/>
      <c r="D753" s="1189"/>
      <c r="E753" s="1189"/>
      <c r="F753" s="1189"/>
      <c r="G753" s="1189"/>
      <c r="H753" s="1189"/>
      <c r="I753" s="1189"/>
      <c r="J753" s="1189"/>
      <c r="K753" s="1189"/>
      <c r="L753" s="1189"/>
      <c r="M753" s="1189"/>
      <c r="N753" s="1189"/>
      <c r="O753" s="1189"/>
      <c r="P753" s="1189"/>
      <c r="Q753" s="1189"/>
      <c r="R753" s="1189"/>
      <c r="S753" s="1189"/>
      <c r="T753" s="1189"/>
      <c r="U753" s="1189"/>
      <c r="V753" s="1189"/>
      <c r="W753" s="1189"/>
      <c r="X753" s="1189"/>
      <c r="Y753" s="1189"/>
      <c r="Z753" s="1189"/>
      <c r="AA753" s="1189"/>
      <c r="AB753" s="1189"/>
      <c r="AC753" s="1189"/>
      <c r="AD753" s="1189"/>
      <c r="AE753" s="1189"/>
      <c r="AF753" s="1189"/>
      <c r="AG753" s="1189"/>
      <c r="AH753" s="1189"/>
      <c r="AI753" s="1189"/>
    </row>
    <row r="754">
      <c r="A754" s="1202"/>
      <c r="B754" s="1203"/>
      <c r="C754" s="1189"/>
      <c r="D754" s="1189"/>
      <c r="E754" s="1189"/>
      <c r="F754" s="1189"/>
      <c r="G754" s="1189"/>
      <c r="H754" s="1189"/>
      <c r="I754" s="1189"/>
      <c r="J754" s="1189"/>
      <c r="K754" s="1189"/>
      <c r="L754" s="1189"/>
      <c r="M754" s="1189"/>
      <c r="N754" s="1189"/>
      <c r="O754" s="1189"/>
      <c r="P754" s="1189"/>
      <c r="Q754" s="1189"/>
      <c r="R754" s="1189"/>
      <c r="S754" s="1189"/>
      <c r="T754" s="1189"/>
      <c r="U754" s="1189"/>
      <c r="V754" s="1189"/>
      <c r="W754" s="1189"/>
      <c r="X754" s="1189"/>
      <c r="Y754" s="1189"/>
      <c r="Z754" s="1189"/>
      <c r="AA754" s="1189"/>
      <c r="AB754" s="1189"/>
      <c r="AC754" s="1189"/>
      <c r="AD754" s="1189"/>
      <c r="AE754" s="1189"/>
      <c r="AF754" s="1189"/>
      <c r="AG754" s="1189"/>
      <c r="AH754" s="1189"/>
      <c r="AI754" s="1189"/>
    </row>
    <row r="755">
      <c r="A755" s="1202"/>
      <c r="B755" s="1203"/>
      <c r="C755" s="1189"/>
      <c r="D755" s="1189"/>
      <c r="E755" s="1189"/>
      <c r="F755" s="1189"/>
      <c r="G755" s="1189"/>
      <c r="H755" s="1189"/>
      <c r="I755" s="1189"/>
      <c r="J755" s="1189"/>
      <c r="K755" s="1189"/>
      <c r="L755" s="1189"/>
      <c r="M755" s="1189"/>
      <c r="N755" s="1189"/>
      <c r="O755" s="1189"/>
      <c r="P755" s="1189"/>
      <c r="Q755" s="1189"/>
      <c r="R755" s="1189"/>
      <c r="S755" s="1189"/>
      <c r="T755" s="1189"/>
      <c r="U755" s="1189"/>
      <c r="V755" s="1189"/>
      <c r="W755" s="1189"/>
      <c r="X755" s="1189"/>
      <c r="Y755" s="1189"/>
      <c r="Z755" s="1189"/>
      <c r="AA755" s="1189"/>
      <c r="AB755" s="1189"/>
      <c r="AC755" s="1189"/>
      <c r="AD755" s="1189"/>
      <c r="AE755" s="1189"/>
      <c r="AF755" s="1189"/>
      <c r="AG755" s="1189"/>
      <c r="AH755" s="1189"/>
      <c r="AI755" s="1189"/>
    </row>
    <row r="756">
      <c r="A756" s="1202"/>
      <c r="B756" s="1203"/>
      <c r="C756" s="1189"/>
      <c r="D756" s="1189"/>
      <c r="E756" s="1189"/>
      <c r="F756" s="1189"/>
      <c r="G756" s="1189"/>
      <c r="H756" s="1189"/>
      <c r="I756" s="1189"/>
      <c r="J756" s="1189"/>
      <c r="K756" s="1189"/>
      <c r="L756" s="1189"/>
      <c r="M756" s="1189"/>
      <c r="N756" s="1189"/>
      <c r="O756" s="1189"/>
      <c r="P756" s="1189"/>
      <c r="Q756" s="1189"/>
      <c r="R756" s="1189"/>
      <c r="S756" s="1189"/>
      <c r="T756" s="1189"/>
      <c r="U756" s="1189"/>
      <c r="V756" s="1189"/>
      <c r="W756" s="1189"/>
      <c r="X756" s="1189"/>
      <c r="Y756" s="1189"/>
      <c r="Z756" s="1189"/>
      <c r="AA756" s="1189"/>
      <c r="AB756" s="1189"/>
      <c r="AC756" s="1189"/>
      <c r="AD756" s="1189"/>
      <c r="AE756" s="1189"/>
      <c r="AF756" s="1189"/>
      <c r="AG756" s="1189"/>
      <c r="AH756" s="1189"/>
      <c r="AI756" s="1189"/>
    </row>
    <row r="757">
      <c r="A757" s="1202"/>
      <c r="B757" s="1203"/>
      <c r="C757" s="1189"/>
      <c r="D757" s="1189"/>
      <c r="E757" s="1189"/>
      <c r="F757" s="1189"/>
      <c r="G757" s="1189"/>
      <c r="H757" s="1189"/>
      <c r="I757" s="1189"/>
      <c r="J757" s="1189"/>
      <c r="K757" s="1189"/>
      <c r="L757" s="1189"/>
      <c r="M757" s="1189"/>
      <c r="N757" s="1189"/>
      <c r="O757" s="1189"/>
      <c r="P757" s="1189"/>
      <c r="Q757" s="1189"/>
      <c r="R757" s="1189"/>
      <c r="S757" s="1189"/>
      <c r="T757" s="1189"/>
      <c r="U757" s="1189"/>
      <c r="V757" s="1189"/>
      <c r="W757" s="1189"/>
      <c r="X757" s="1189"/>
      <c r="Y757" s="1189"/>
      <c r="Z757" s="1189"/>
      <c r="AA757" s="1189"/>
      <c r="AB757" s="1189"/>
      <c r="AC757" s="1189"/>
      <c r="AD757" s="1189"/>
      <c r="AE757" s="1189"/>
      <c r="AF757" s="1189"/>
      <c r="AG757" s="1189"/>
      <c r="AH757" s="1189"/>
      <c r="AI757" s="1189"/>
    </row>
    <row r="758">
      <c r="A758" s="1202"/>
      <c r="B758" s="1203"/>
      <c r="C758" s="1189"/>
      <c r="D758" s="1189"/>
      <c r="E758" s="1189"/>
      <c r="F758" s="1189"/>
      <c r="G758" s="1189"/>
      <c r="H758" s="1189"/>
      <c r="I758" s="1189"/>
      <c r="J758" s="1189"/>
      <c r="K758" s="1189"/>
      <c r="L758" s="1189"/>
      <c r="M758" s="1189"/>
      <c r="N758" s="1189"/>
      <c r="O758" s="1189"/>
      <c r="P758" s="1189"/>
      <c r="Q758" s="1189"/>
      <c r="R758" s="1189"/>
      <c r="S758" s="1189"/>
      <c r="T758" s="1189"/>
      <c r="U758" s="1189"/>
      <c r="V758" s="1189"/>
      <c r="W758" s="1189"/>
      <c r="X758" s="1189"/>
      <c r="Y758" s="1189"/>
      <c r="Z758" s="1189"/>
      <c r="AA758" s="1189"/>
      <c r="AB758" s="1189"/>
      <c r="AC758" s="1189"/>
      <c r="AD758" s="1189"/>
      <c r="AE758" s="1189"/>
      <c r="AF758" s="1189"/>
      <c r="AG758" s="1189"/>
      <c r="AH758" s="1189"/>
      <c r="AI758" s="1189"/>
    </row>
    <row r="759">
      <c r="A759" s="1202"/>
      <c r="B759" s="1203"/>
      <c r="C759" s="1189"/>
      <c r="D759" s="1189"/>
      <c r="E759" s="1189"/>
      <c r="F759" s="1189"/>
      <c r="G759" s="1189"/>
      <c r="H759" s="1189"/>
      <c r="I759" s="1189"/>
      <c r="J759" s="1189"/>
      <c r="K759" s="1189"/>
      <c r="L759" s="1189"/>
      <c r="M759" s="1189"/>
      <c r="N759" s="1189"/>
      <c r="O759" s="1189"/>
      <c r="P759" s="1189"/>
      <c r="Q759" s="1189"/>
      <c r="R759" s="1189"/>
      <c r="S759" s="1189"/>
      <c r="T759" s="1189"/>
      <c r="U759" s="1189"/>
      <c r="V759" s="1189"/>
      <c r="W759" s="1189"/>
      <c r="X759" s="1189"/>
      <c r="Y759" s="1189"/>
      <c r="Z759" s="1189"/>
      <c r="AA759" s="1189"/>
      <c r="AB759" s="1189"/>
      <c r="AC759" s="1189"/>
      <c r="AD759" s="1189"/>
      <c r="AE759" s="1189"/>
      <c r="AF759" s="1189"/>
      <c r="AG759" s="1189"/>
      <c r="AH759" s="1189"/>
      <c r="AI759" s="1189"/>
    </row>
    <row r="760">
      <c r="A760" s="1202"/>
      <c r="B760" s="1203"/>
      <c r="C760" s="1189"/>
      <c r="D760" s="1189"/>
      <c r="E760" s="1189"/>
      <c r="F760" s="1189"/>
      <c r="G760" s="1189"/>
      <c r="H760" s="1189"/>
      <c r="I760" s="1189"/>
      <c r="J760" s="1189"/>
      <c r="K760" s="1189"/>
      <c r="L760" s="1189"/>
      <c r="M760" s="1189"/>
      <c r="N760" s="1189"/>
      <c r="O760" s="1189"/>
      <c r="P760" s="1189"/>
      <c r="Q760" s="1189"/>
      <c r="R760" s="1189"/>
      <c r="S760" s="1189"/>
      <c r="T760" s="1189"/>
      <c r="U760" s="1189"/>
      <c r="V760" s="1189"/>
      <c r="W760" s="1189"/>
      <c r="X760" s="1189"/>
      <c r="Y760" s="1189"/>
      <c r="Z760" s="1189"/>
      <c r="AA760" s="1189"/>
      <c r="AB760" s="1189"/>
      <c r="AC760" s="1189"/>
      <c r="AD760" s="1189"/>
      <c r="AE760" s="1189"/>
      <c r="AF760" s="1189"/>
      <c r="AG760" s="1189"/>
      <c r="AH760" s="1189"/>
      <c r="AI760" s="1189"/>
    </row>
    <row r="761">
      <c r="A761" s="1202"/>
      <c r="B761" s="1203"/>
      <c r="C761" s="1189"/>
      <c r="D761" s="1189"/>
      <c r="E761" s="1189"/>
      <c r="F761" s="1189"/>
      <c r="G761" s="1189"/>
      <c r="H761" s="1189"/>
      <c r="I761" s="1189"/>
      <c r="J761" s="1189"/>
      <c r="K761" s="1189"/>
      <c r="L761" s="1189"/>
      <c r="M761" s="1189"/>
      <c r="N761" s="1189"/>
      <c r="O761" s="1189"/>
      <c r="P761" s="1189"/>
      <c r="Q761" s="1189"/>
      <c r="R761" s="1189"/>
      <c r="S761" s="1189"/>
      <c r="T761" s="1189"/>
      <c r="U761" s="1189"/>
      <c r="V761" s="1189"/>
      <c r="W761" s="1189"/>
      <c r="X761" s="1189"/>
      <c r="Y761" s="1189"/>
      <c r="Z761" s="1189"/>
      <c r="AA761" s="1189"/>
      <c r="AB761" s="1189"/>
      <c r="AC761" s="1189"/>
      <c r="AD761" s="1189"/>
      <c r="AE761" s="1189"/>
      <c r="AF761" s="1189"/>
      <c r="AG761" s="1189"/>
      <c r="AH761" s="1189"/>
      <c r="AI761" s="1189"/>
    </row>
    <row r="762">
      <c r="A762" s="1202"/>
      <c r="B762" s="1203"/>
      <c r="C762" s="1189"/>
      <c r="D762" s="1189"/>
      <c r="E762" s="1189"/>
      <c r="F762" s="1189"/>
      <c r="G762" s="1189"/>
      <c r="H762" s="1189"/>
      <c r="I762" s="1189"/>
      <c r="J762" s="1189"/>
      <c r="K762" s="1189"/>
      <c r="L762" s="1189"/>
      <c r="M762" s="1189"/>
      <c r="N762" s="1189"/>
      <c r="O762" s="1189"/>
      <c r="P762" s="1189"/>
      <c r="Q762" s="1189"/>
      <c r="R762" s="1189"/>
      <c r="S762" s="1189"/>
      <c r="T762" s="1189"/>
      <c r="U762" s="1189"/>
      <c r="V762" s="1189"/>
      <c r="W762" s="1189"/>
      <c r="X762" s="1189"/>
      <c r="Y762" s="1189"/>
      <c r="Z762" s="1189"/>
      <c r="AA762" s="1189"/>
      <c r="AB762" s="1189"/>
      <c r="AC762" s="1189"/>
      <c r="AD762" s="1189"/>
      <c r="AE762" s="1189"/>
      <c r="AF762" s="1189"/>
      <c r="AG762" s="1189"/>
      <c r="AH762" s="1189"/>
      <c r="AI762" s="1189"/>
    </row>
    <row r="763">
      <c r="A763" s="1202"/>
      <c r="B763" s="1203"/>
      <c r="C763" s="1189"/>
      <c r="D763" s="1189"/>
      <c r="E763" s="1189"/>
      <c r="F763" s="1189"/>
      <c r="G763" s="1189"/>
      <c r="H763" s="1189"/>
      <c r="I763" s="1189"/>
      <c r="J763" s="1189"/>
      <c r="K763" s="1189"/>
      <c r="L763" s="1189"/>
      <c r="M763" s="1189"/>
      <c r="N763" s="1189"/>
      <c r="O763" s="1189"/>
      <c r="P763" s="1189"/>
      <c r="Q763" s="1189"/>
      <c r="R763" s="1189"/>
      <c r="S763" s="1189"/>
      <c r="T763" s="1189"/>
      <c r="U763" s="1189"/>
      <c r="V763" s="1189"/>
      <c r="W763" s="1189"/>
      <c r="X763" s="1189"/>
      <c r="Y763" s="1189"/>
      <c r="Z763" s="1189"/>
      <c r="AA763" s="1189"/>
      <c r="AB763" s="1189"/>
      <c r="AC763" s="1189"/>
      <c r="AD763" s="1189"/>
      <c r="AE763" s="1189"/>
      <c r="AF763" s="1189"/>
      <c r="AG763" s="1189"/>
      <c r="AH763" s="1189"/>
      <c r="AI763" s="1189"/>
    </row>
    <row r="764">
      <c r="A764" s="1202"/>
      <c r="B764" s="1203"/>
      <c r="C764" s="1189"/>
      <c r="D764" s="1189"/>
      <c r="E764" s="1189"/>
      <c r="F764" s="1189"/>
      <c r="G764" s="1189"/>
      <c r="H764" s="1189"/>
      <c r="I764" s="1189"/>
      <c r="J764" s="1189"/>
      <c r="K764" s="1189"/>
      <c r="L764" s="1189"/>
      <c r="M764" s="1189"/>
      <c r="N764" s="1189"/>
      <c r="O764" s="1189"/>
      <c r="P764" s="1189"/>
      <c r="Q764" s="1189"/>
      <c r="R764" s="1189"/>
      <c r="S764" s="1189"/>
      <c r="T764" s="1189"/>
      <c r="U764" s="1189"/>
      <c r="V764" s="1189"/>
      <c r="W764" s="1189"/>
      <c r="X764" s="1189"/>
      <c r="Y764" s="1189"/>
      <c r="Z764" s="1189"/>
      <c r="AA764" s="1189"/>
      <c r="AB764" s="1189"/>
      <c r="AC764" s="1189"/>
      <c r="AD764" s="1189"/>
      <c r="AE764" s="1189"/>
      <c r="AF764" s="1189"/>
      <c r="AG764" s="1189"/>
      <c r="AH764" s="1189"/>
      <c r="AI764" s="1189"/>
    </row>
    <row r="765">
      <c r="A765" s="1202"/>
      <c r="B765" s="1203"/>
      <c r="C765" s="1189"/>
      <c r="D765" s="1189"/>
      <c r="E765" s="1189"/>
      <c r="F765" s="1189"/>
      <c r="G765" s="1189"/>
      <c r="H765" s="1189"/>
      <c r="I765" s="1189"/>
      <c r="J765" s="1189"/>
      <c r="K765" s="1189"/>
      <c r="L765" s="1189"/>
      <c r="M765" s="1189"/>
      <c r="N765" s="1189"/>
      <c r="O765" s="1189"/>
      <c r="P765" s="1189"/>
      <c r="Q765" s="1189"/>
      <c r="R765" s="1189"/>
      <c r="S765" s="1189"/>
      <c r="T765" s="1189"/>
      <c r="U765" s="1189"/>
      <c r="V765" s="1189"/>
      <c r="W765" s="1189"/>
      <c r="X765" s="1189"/>
      <c r="Y765" s="1189"/>
      <c r="Z765" s="1189"/>
      <c r="AA765" s="1189"/>
      <c r="AB765" s="1189"/>
      <c r="AC765" s="1189"/>
      <c r="AD765" s="1189"/>
      <c r="AE765" s="1189"/>
      <c r="AF765" s="1189"/>
      <c r="AG765" s="1189"/>
      <c r="AH765" s="1189"/>
      <c r="AI765" s="1189"/>
    </row>
    <row r="766">
      <c r="A766" s="1202"/>
      <c r="B766" s="1203"/>
      <c r="C766" s="1189"/>
      <c r="D766" s="1189"/>
      <c r="E766" s="1189"/>
      <c r="F766" s="1189"/>
      <c r="G766" s="1189"/>
      <c r="H766" s="1189"/>
      <c r="I766" s="1189"/>
      <c r="J766" s="1189"/>
      <c r="K766" s="1189"/>
      <c r="L766" s="1189"/>
      <c r="M766" s="1189"/>
      <c r="N766" s="1189"/>
      <c r="O766" s="1189"/>
      <c r="P766" s="1189"/>
      <c r="Q766" s="1189"/>
      <c r="R766" s="1189"/>
      <c r="S766" s="1189"/>
      <c r="T766" s="1189"/>
      <c r="U766" s="1189"/>
      <c r="V766" s="1189"/>
      <c r="W766" s="1189"/>
      <c r="X766" s="1189"/>
      <c r="Y766" s="1189"/>
      <c r="Z766" s="1189"/>
      <c r="AA766" s="1189"/>
      <c r="AB766" s="1189"/>
      <c r="AC766" s="1189"/>
      <c r="AD766" s="1189"/>
      <c r="AE766" s="1189"/>
      <c r="AF766" s="1189"/>
      <c r="AG766" s="1189"/>
      <c r="AH766" s="1189"/>
      <c r="AI766" s="1189"/>
    </row>
    <row r="767">
      <c r="A767" s="1202"/>
      <c r="B767" s="1203"/>
      <c r="C767" s="1189"/>
      <c r="D767" s="1189"/>
      <c r="E767" s="1189"/>
      <c r="F767" s="1189"/>
      <c r="G767" s="1189"/>
      <c r="H767" s="1189"/>
      <c r="I767" s="1189"/>
      <c r="J767" s="1189"/>
      <c r="K767" s="1189"/>
      <c r="L767" s="1189"/>
      <c r="M767" s="1189"/>
      <c r="N767" s="1189"/>
      <c r="O767" s="1189"/>
      <c r="P767" s="1189"/>
      <c r="Q767" s="1189"/>
      <c r="R767" s="1189"/>
      <c r="S767" s="1189"/>
      <c r="T767" s="1189"/>
      <c r="U767" s="1189"/>
      <c r="V767" s="1189"/>
      <c r="W767" s="1189"/>
      <c r="X767" s="1189"/>
      <c r="Y767" s="1189"/>
      <c r="Z767" s="1189"/>
      <c r="AA767" s="1189"/>
      <c r="AB767" s="1189"/>
      <c r="AC767" s="1189"/>
      <c r="AD767" s="1189"/>
      <c r="AE767" s="1189"/>
      <c r="AF767" s="1189"/>
      <c r="AG767" s="1189"/>
      <c r="AH767" s="1189"/>
      <c r="AI767" s="1189"/>
    </row>
    <row r="768">
      <c r="A768" s="1202"/>
      <c r="B768" s="1203"/>
      <c r="C768" s="1189"/>
      <c r="D768" s="1189"/>
      <c r="E768" s="1189"/>
      <c r="F768" s="1189"/>
      <c r="G768" s="1189"/>
      <c r="H768" s="1189"/>
      <c r="I768" s="1189"/>
      <c r="J768" s="1189"/>
      <c r="K768" s="1189"/>
      <c r="L768" s="1189"/>
      <c r="M768" s="1189"/>
      <c r="N768" s="1189"/>
      <c r="O768" s="1189"/>
      <c r="P768" s="1189"/>
      <c r="Q768" s="1189"/>
      <c r="R768" s="1189"/>
      <c r="S768" s="1189"/>
      <c r="T768" s="1189"/>
      <c r="U768" s="1189"/>
      <c r="V768" s="1189"/>
      <c r="W768" s="1189"/>
      <c r="X768" s="1189"/>
      <c r="Y768" s="1189"/>
      <c r="Z768" s="1189"/>
      <c r="AA768" s="1189"/>
      <c r="AB768" s="1189"/>
      <c r="AC768" s="1189"/>
      <c r="AD768" s="1189"/>
      <c r="AE768" s="1189"/>
      <c r="AF768" s="1189"/>
      <c r="AG768" s="1189"/>
      <c r="AH768" s="1189"/>
      <c r="AI768" s="1189"/>
    </row>
    <row r="769">
      <c r="A769" s="1202"/>
      <c r="B769" s="1203"/>
      <c r="C769" s="1189"/>
      <c r="D769" s="1189"/>
      <c r="E769" s="1189"/>
      <c r="F769" s="1189"/>
      <c r="G769" s="1189"/>
      <c r="H769" s="1189"/>
      <c r="I769" s="1189"/>
      <c r="J769" s="1189"/>
      <c r="K769" s="1189"/>
      <c r="L769" s="1189"/>
      <c r="M769" s="1189"/>
      <c r="N769" s="1189"/>
      <c r="O769" s="1189"/>
      <c r="P769" s="1189"/>
      <c r="Q769" s="1189"/>
      <c r="R769" s="1189"/>
      <c r="S769" s="1189"/>
      <c r="T769" s="1189"/>
      <c r="U769" s="1189"/>
      <c r="V769" s="1189"/>
      <c r="W769" s="1189"/>
      <c r="X769" s="1189"/>
      <c r="Y769" s="1189"/>
      <c r="Z769" s="1189"/>
      <c r="AA769" s="1189"/>
      <c r="AB769" s="1189"/>
      <c r="AC769" s="1189"/>
      <c r="AD769" s="1189"/>
      <c r="AE769" s="1189"/>
      <c r="AF769" s="1189"/>
      <c r="AG769" s="1189"/>
      <c r="AH769" s="1189"/>
      <c r="AI769" s="1189"/>
    </row>
    <row r="770">
      <c r="A770" s="1202"/>
      <c r="B770" s="1203"/>
      <c r="C770" s="1189"/>
      <c r="D770" s="1189"/>
      <c r="E770" s="1189"/>
      <c r="F770" s="1189"/>
      <c r="G770" s="1189"/>
      <c r="H770" s="1189"/>
      <c r="I770" s="1189"/>
      <c r="J770" s="1189"/>
      <c r="K770" s="1189"/>
      <c r="L770" s="1189"/>
      <c r="M770" s="1189"/>
      <c r="N770" s="1189"/>
      <c r="O770" s="1189"/>
      <c r="P770" s="1189"/>
      <c r="Q770" s="1189"/>
      <c r="R770" s="1189"/>
      <c r="S770" s="1189"/>
      <c r="T770" s="1189"/>
      <c r="U770" s="1189"/>
      <c r="V770" s="1189"/>
      <c r="W770" s="1189"/>
      <c r="X770" s="1189"/>
      <c r="Y770" s="1189"/>
      <c r="Z770" s="1189"/>
      <c r="AA770" s="1189"/>
      <c r="AB770" s="1189"/>
      <c r="AC770" s="1189"/>
      <c r="AD770" s="1189"/>
      <c r="AE770" s="1189"/>
      <c r="AF770" s="1189"/>
      <c r="AG770" s="1189"/>
      <c r="AH770" s="1189"/>
      <c r="AI770" s="1189"/>
    </row>
    <row r="771">
      <c r="A771" s="1202"/>
      <c r="B771" s="1203"/>
      <c r="C771" s="1189"/>
      <c r="D771" s="1189"/>
      <c r="E771" s="1189"/>
      <c r="F771" s="1189"/>
      <c r="G771" s="1189"/>
      <c r="H771" s="1189"/>
      <c r="I771" s="1189"/>
      <c r="J771" s="1189"/>
      <c r="K771" s="1189"/>
      <c r="L771" s="1189"/>
      <c r="M771" s="1189"/>
      <c r="N771" s="1189"/>
      <c r="O771" s="1189"/>
      <c r="P771" s="1189"/>
      <c r="Q771" s="1189"/>
      <c r="R771" s="1189"/>
      <c r="S771" s="1189"/>
      <c r="T771" s="1189"/>
      <c r="U771" s="1189"/>
      <c r="V771" s="1189"/>
      <c r="W771" s="1189"/>
      <c r="X771" s="1189"/>
      <c r="Y771" s="1189"/>
      <c r="Z771" s="1189"/>
      <c r="AA771" s="1189"/>
      <c r="AB771" s="1189"/>
      <c r="AC771" s="1189"/>
      <c r="AD771" s="1189"/>
      <c r="AE771" s="1189"/>
      <c r="AF771" s="1189"/>
      <c r="AG771" s="1189"/>
      <c r="AH771" s="1189"/>
      <c r="AI771" s="1189"/>
    </row>
    <row r="772">
      <c r="A772" s="1202"/>
      <c r="B772" s="1203"/>
      <c r="C772" s="1189"/>
      <c r="D772" s="1189"/>
      <c r="E772" s="1189"/>
      <c r="F772" s="1189"/>
      <c r="G772" s="1189"/>
      <c r="H772" s="1189"/>
      <c r="I772" s="1189"/>
      <c r="J772" s="1189"/>
      <c r="K772" s="1189"/>
      <c r="L772" s="1189"/>
      <c r="M772" s="1189"/>
      <c r="N772" s="1189"/>
      <c r="O772" s="1189"/>
      <c r="P772" s="1189"/>
      <c r="Q772" s="1189"/>
      <c r="R772" s="1189"/>
      <c r="S772" s="1189"/>
      <c r="T772" s="1189"/>
      <c r="U772" s="1189"/>
      <c r="V772" s="1189"/>
      <c r="W772" s="1189"/>
      <c r="X772" s="1189"/>
      <c r="Y772" s="1189"/>
      <c r="Z772" s="1189"/>
      <c r="AA772" s="1189"/>
      <c r="AB772" s="1189"/>
      <c r="AC772" s="1189"/>
      <c r="AD772" s="1189"/>
      <c r="AE772" s="1189"/>
      <c r="AF772" s="1189"/>
      <c r="AG772" s="1189"/>
      <c r="AH772" s="1189"/>
      <c r="AI772" s="1189"/>
    </row>
    <row r="773">
      <c r="A773" s="1202"/>
      <c r="B773" s="1203"/>
      <c r="C773" s="1189"/>
      <c r="D773" s="1189"/>
      <c r="E773" s="1189"/>
      <c r="F773" s="1189"/>
      <c r="G773" s="1189"/>
      <c r="H773" s="1189"/>
      <c r="I773" s="1189"/>
      <c r="J773" s="1189"/>
      <c r="K773" s="1189"/>
      <c r="L773" s="1189"/>
      <c r="M773" s="1189"/>
      <c r="N773" s="1189"/>
      <c r="O773" s="1189"/>
      <c r="P773" s="1189"/>
      <c r="Q773" s="1189"/>
      <c r="R773" s="1189"/>
      <c r="S773" s="1189"/>
      <c r="T773" s="1189"/>
      <c r="U773" s="1189"/>
      <c r="V773" s="1189"/>
      <c r="W773" s="1189"/>
      <c r="X773" s="1189"/>
      <c r="Y773" s="1189"/>
      <c r="Z773" s="1189"/>
      <c r="AA773" s="1189"/>
      <c r="AB773" s="1189"/>
      <c r="AC773" s="1189"/>
      <c r="AD773" s="1189"/>
      <c r="AE773" s="1189"/>
      <c r="AF773" s="1189"/>
      <c r="AG773" s="1189"/>
      <c r="AH773" s="1189"/>
      <c r="AI773" s="1189"/>
    </row>
    <row r="774">
      <c r="A774" s="1202"/>
      <c r="B774" s="1203"/>
      <c r="C774" s="1189"/>
      <c r="D774" s="1189"/>
      <c r="E774" s="1189"/>
      <c r="F774" s="1189"/>
      <c r="G774" s="1189"/>
      <c r="H774" s="1189"/>
      <c r="I774" s="1189"/>
      <c r="J774" s="1189"/>
      <c r="K774" s="1189"/>
      <c r="L774" s="1189"/>
      <c r="M774" s="1189"/>
      <c r="N774" s="1189"/>
      <c r="O774" s="1189"/>
      <c r="P774" s="1189"/>
      <c r="Q774" s="1189"/>
      <c r="R774" s="1189"/>
      <c r="S774" s="1189"/>
      <c r="T774" s="1189"/>
      <c r="U774" s="1189"/>
      <c r="V774" s="1189"/>
      <c r="W774" s="1189"/>
      <c r="X774" s="1189"/>
      <c r="Y774" s="1189"/>
      <c r="Z774" s="1189"/>
      <c r="AA774" s="1189"/>
      <c r="AB774" s="1189"/>
      <c r="AC774" s="1189"/>
      <c r="AD774" s="1189"/>
      <c r="AE774" s="1189"/>
      <c r="AF774" s="1189"/>
      <c r="AG774" s="1189"/>
      <c r="AH774" s="1189"/>
      <c r="AI774" s="1189"/>
    </row>
    <row r="775">
      <c r="A775" s="1202"/>
      <c r="B775" s="1203"/>
      <c r="C775" s="1189"/>
      <c r="D775" s="1189"/>
      <c r="E775" s="1189"/>
      <c r="F775" s="1189"/>
      <c r="G775" s="1189"/>
      <c r="H775" s="1189"/>
      <c r="I775" s="1189"/>
      <c r="J775" s="1189"/>
      <c r="K775" s="1189"/>
      <c r="L775" s="1189"/>
      <c r="M775" s="1189"/>
      <c r="N775" s="1189"/>
      <c r="O775" s="1189"/>
      <c r="P775" s="1189"/>
      <c r="Q775" s="1189"/>
      <c r="R775" s="1189"/>
      <c r="S775" s="1189"/>
      <c r="T775" s="1189"/>
      <c r="U775" s="1189"/>
      <c r="V775" s="1189"/>
      <c r="W775" s="1189"/>
      <c r="X775" s="1189"/>
      <c r="Y775" s="1189"/>
      <c r="Z775" s="1189"/>
      <c r="AA775" s="1189"/>
      <c r="AB775" s="1189"/>
      <c r="AC775" s="1189"/>
      <c r="AD775" s="1189"/>
      <c r="AE775" s="1189"/>
      <c r="AF775" s="1189"/>
      <c r="AG775" s="1189"/>
      <c r="AH775" s="1189"/>
      <c r="AI775" s="1189"/>
    </row>
    <row r="776">
      <c r="A776" s="1202"/>
      <c r="B776" s="1203"/>
      <c r="C776" s="1189"/>
      <c r="D776" s="1189"/>
      <c r="E776" s="1189"/>
      <c r="F776" s="1189"/>
      <c r="G776" s="1189"/>
      <c r="H776" s="1189"/>
      <c r="I776" s="1189"/>
      <c r="J776" s="1189"/>
      <c r="K776" s="1189"/>
      <c r="L776" s="1189"/>
      <c r="M776" s="1189"/>
      <c r="N776" s="1189"/>
      <c r="O776" s="1189"/>
      <c r="P776" s="1189"/>
      <c r="Q776" s="1189"/>
      <c r="R776" s="1189"/>
      <c r="S776" s="1189"/>
      <c r="T776" s="1189"/>
      <c r="U776" s="1189"/>
      <c r="V776" s="1189"/>
      <c r="W776" s="1189"/>
      <c r="X776" s="1189"/>
      <c r="Y776" s="1189"/>
      <c r="Z776" s="1189"/>
      <c r="AA776" s="1189"/>
      <c r="AB776" s="1189"/>
      <c r="AC776" s="1189"/>
      <c r="AD776" s="1189"/>
      <c r="AE776" s="1189"/>
      <c r="AF776" s="1189"/>
      <c r="AG776" s="1189"/>
      <c r="AH776" s="1189"/>
      <c r="AI776" s="1189"/>
    </row>
    <row r="777">
      <c r="A777" s="1202"/>
      <c r="B777" s="1203"/>
      <c r="C777" s="1189"/>
      <c r="D777" s="1189"/>
      <c r="E777" s="1189"/>
      <c r="F777" s="1189"/>
      <c r="G777" s="1189"/>
      <c r="H777" s="1189"/>
      <c r="I777" s="1189"/>
      <c r="J777" s="1189"/>
      <c r="K777" s="1189"/>
      <c r="L777" s="1189"/>
      <c r="M777" s="1189"/>
      <c r="N777" s="1189"/>
      <c r="O777" s="1189"/>
      <c r="P777" s="1189"/>
      <c r="Q777" s="1189"/>
      <c r="R777" s="1189"/>
      <c r="S777" s="1189"/>
      <c r="T777" s="1189"/>
      <c r="U777" s="1189"/>
      <c r="V777" s="1189"/>
      <c r="W777" s="1189"/>
      <c r="X777" s="1189"/>
      <c r="Y777" s="1189"/>
      <c r="Z777" s="1189"/>
      <c r="AA777" s="1189"/>
      <c r="AB777" s="1189"/>
      <c r="AC777" s="1189"/>
      <c r="AD777" s="1189"/>
      <c r="AE777" s="1189"/>
      <c r="AF777" s="1189"/>
      <c r="AG777" s="1189"/>
      <c r="AH777" s="1189"/>
      <c r="AI777" s="1189"/>
    </row>
    <row r="778">
      <c r="A778" s="1202"/>
      <c r="B778" s="1203"/>
      <c r="C778" s="1189"/>
      <c r="D778" s="1189"/>
      <c r="E778" s="1189"/>
      <c r="F778" s="1189"/>
      <c r="G778" s="1189"/>
      <c r="H778" s="1189"/>
      <c r="I778" s="1189"/>
      <c r="J778" s="1189"/>
      <c r="K778" s="1189"/>
      <c r="L778" s="1189"/>
      <c r="M778" s="1189"/>
      <c r="N778" s="1189"/>
      <c r="O778" s="1189"/>
      <c r="P778" s="1189"/>
      <c r="Q778" s="1189"/>
      <c r="R778" s="1189"/>
      <c r="S778" s="1189"/>
      <c r="T778" s="1189"/>
      <c r="U778" s="1189"/>
      <c r="V778" s="1189"/>
      <c r="W778" s="1189"/>
      <c r="X778" s="1189"/>
      <c r="Y778" s="1189"/>
      <c r="Z778" s="1189"/>
      <c r="AA778" s="1189"/>
      <c r="AB778" s="1189"/>
      <c r="AC778" s="1189"/>
      <c r="AD778" s="1189"/>
      <c r="AE778" s="1189"/>
      <c r="AF778" s="1189"/>
      <c r="AG778" s="1189"/>
      <c r="AH778" s="1189"/>
      <c r="AI778" s="1189"/>
    </row>
    <row r="779">
      <c r="A779" s="1202"/>
      <c r="B779" s="1203"/>
      <c r="C779" s="1189"/>
      <c r="D779" s="1189"/>
      <c r="E779" s="1189"/>
      <c r="F779" s="1189"/>
      <c r="G779" s="1189"/>
      <c r="H779" s="1189"/>
      <c r="I779" s="1189"/>
      <c r="J779" s="1189"/>
      <c r="K779" s="1189"/>
      <c r="L779" s="1189"/>
      <c r="M779" s="1189"/>
      <c r="N779" s="1189"/>
      <c r="O779" s="1189"/>
      <c r="P779" s="1189"/>
      <c r="Q779" s="1189"/>
      <c r="R779" s="1189"/>
      <c r="S779" s="1189"/>
      <c r="T779" s="1189"/>
      <c r="U779" s="1189"/>
      <c r="V779" s="1189"/>
      <c r="W779" s="1189"/>
      <c r="X779" s="1189"/>
      <c r="Y779" s="1189"/>
      <c r="Z779" s="1189"/>
      <c r="AA779" s="1189"/>
      <c r="AB779" s="1189"/>
      <c r="AC779" s="1189"/>
      <c r="AD779" s="1189"/>
      <c r="AE779" s="1189"/>
      <c r="AF779" s="1189"/>
      <c r="AG779" s="1189"/>
      <c r="AH779" s="1189"/>
      <c r="AI779" s="1189"/>
    </row>
    <row r="780">
      <c r="A780" s="1202"/>
      <c r="B780" s="1203"/>
      <c r="C780" s="1189"/>
      <c r="D780" s="1189"/>
      <c r="E780" s="1189"/>
      <c r="F780" s="1189"/>
      <c r="G780" s="1189"/>
      <c r="H780" s="1189"/>
      <c r="I780" s="1189"/>
      <c r="J780" s="1189"/>
      <c r="K780" s="1189"/>
      <c r="L780" s="1189"/>
      <c r="M780" s="1189"/>
      <c r="N780" s="1189"/>
      <c r="O780" s="1189"/>
      <c r="P780" s="1189"/>
      <c r="Q780" s="1189"/>
      <c r="R780" s="1189"/>
      <c r="S780" s="1189"/>
      <c r="T780" s="1189"/>
      <c r="U780" s="1189"/>
      <c r="V780" s="1189"/>
      <c r="W780" s="1189"/>
      <c r="X780" s="1189"/>
      <c r="Y780" s="1189"/>
      <c r="Z780" s="1189"/>
      <c r="AA780" s="1189"/>
      <c r="AB780" s="1189"/>
      <c r="AC780" s="1189"/>
      <c r="AD780" s="1189"/>
      <c r="AE780" s="1189"/>
      <c r="AF780" s="1189"/>
      <c r="AG780" s="1189"/>
      <c r="AH780" s="1189"/>
      <c r="AI780" s="1189"/>
    </row>
    <row r="781">
      <c r="A781" s="1202"/>
      <c r="B781" s="1203"/>
      <c r="C781" s="1189"/>
      <c r="D781" s="1189"/>
      <c r="E781" s="1189"/>
      <c r="F781" s="1189"/>
      <c r="G781" s="1189"/>
      <c r="H781" s="1189"/>
      <c r="I781" s="1189"/>
      <c r="J781" s="1189"/>
      <c r="K781" s="1189"/>
      <c r="L781" s="1189"/>
      <c r="M781" s="1189"/>
      <c r="N781" s="1189"/>
      <c r="O781" s="1189"/>
      <c r="P781" s="1189"/>
      <c r="Q781" s="1189"/>
      <c r="R781" s="1189"/>
      <c r="S781" s="1189"/>
      <c r="T781" s="1189"/>
      <c r="U781" s="1189"/>
      <c r="V781" s="1189"/>
      <c r="W781" s="1189"/>
      <c r="X781" s="1189"/>
      <c r="Y781" s="1189"/>
      <c r="Z781" s="1189"/>
      <c r="AA781" s="1189"/>
      <c r="AB781" s="1189"/>
      <c r="AC781" s="1189"/>
      <c r="AD781" s="1189"/>
      <c r="AE781" s="1189"/>
      <c r="AF781" s="1189"/>
      <c r="AG781" s="1189"/>
      <c r="AH781" s="1189"/>
      <c r="AI781" s="1189"/>
    </row>
    <row r="782">
      <c r="A782" s="1202"/>
      <c r="B782" s="1203"/>
      <c r="C782" s="1189"/>
      <c r="D782" s="1189"/>
      <c r="E782" s="1189"/>
      <c r="F782" s="1189"/>
      <c r="G782" s="1189"/>
      <c r="H782" s="1189"/>
      <c r="I782" s="1189"/>
      <c r="J782" s="1189"/>
      <c r="K782" s="1189"/>
      <c r="L782" s="1189"/>
      <c r="M782" s="1189"/>
      <c r="N782" s="1189"/>
      <c r="O782" s="1189"/>
      <c r="P782" s="1189"/>
      <c r="Q782" s="1189"/>
      <c r="R782" s="1189"/>
      <c r="S782" s="1189"/>
      <c r="T782" s="1189"/>
      <c r="U782" s="1189"/>
      <c r="V782" s="1189"/>
      <c r="W782" s="1189"/>
      <c r="X782" s="1189"/>
      <c r="Y782" s="1189"/>
      <c r="Z782" s="1189"/>
      <c r="AA782" s="1189"/>
      <c r="AB782" s="1189"/>
      <c r="AC782" s="1189"/>
      <c r="AD782" s="1189"/>
      <c r="AE782" s="1189"/>
      <c r="AF782" s="1189"/>
      <c r="AG782" s="1189"/>
      <c r="AH782" s="1189"/>
      <c r="AI782" s="1189"/>
    </row>
    <row r="783">
      <c r="A783" s="1202"/>
      <c r="B783" s="1203"/>
      <c r="C783" s="1189"/>
      <c r="D783" s="1189"/>
      <c r="E783" s="1189"/>
      <c r="F783" s="1189"/>
      <c r="G783" s="1189"/>
      <c r="H783" s="1189"/>
      <c r="I783" s="1189"/>
      <c r="J783" s="1189"/>
      <c r="K783" s="1189"/>
      <c r="L783" s="1189"/>
      <c r="M783" s="1189"/>
      <c r="N783" s="1189"/>
      <c r="O783" s="1189"/>
      <c r="P783" s="1189"/>
      <c r="Q783" s="1189"/>
      <c r="R783" s="1189"/>
      <c r="S783" s="1189"/>
      <c r="T783" s="1189"/>
      <c r="U783" s="1189"/>
      <c r="V783" s="1189"/>
      <c r="W783" s="1189"/>
      <c r="X783" s="1189"/>
      <c r="Y783" s="1189"/>
      <c r="Z783" s="1189"/>
      <c r="AA783" s="1189"/>
      <c r="AB783" s="1189"/>
      <c r="AC783" s="1189"/>
      <c r="AD783" s="1189"/>
      <c r="AE783" s="1189"/>
      <c r="AF783" s="1189"/>
      <c r="AG783" s="1189"/>
      <c r="AH783" s="1189"/>
      <c r="AI783" s="1189"/>
    </row>
    <row r="784">
      <c r="A784" s="1202"/>
      <c r="B784" s="1203"/>
      <c r="C784" s="1189"/>
      <c r="D784" s="1189"/>
      <c r="E784" s="1189"/>
      <c r="F784" s="1189"/>
      <c r="G784" s="1189"/>
      <c r="H784" s="1189"/>
      <c r="I784" s="1189"/>
      <c r="J784" s="1189"/>
      <c r="K784" s="1189"/>
      <c r="L784" s="1189"/>
      <c r="M784" s="1189"/>
      <c r="N784" s="1189"/>
      <c r="O784" s="1189"/>
      <c r="P784" s="1189"/>
      <c r="Q784" s="1189"/>
      <c r="R784" s="1189"/>
      <c r="S784" s="1189"/>
      <c r="T784" s="1189"/>
      <c r="U784" s="1189"/>
      <c r="V784" s="1189"/>
      <c r="W784" s="1189"/>
      <c r="X784" s="1189"/>
      <c r="Y784" s="1189"/>
      <c r="Z784" s="1189"/>
      <c r="AA784" s="1189"/>
      <c r="AB784" s="1189"/>
      <c r="AC784" s="1189"/>
      <c r="AD784" s="1189"/>
      <c r="AE784" s="1189"/>
      <c r="AF784" s="1189"/>
      <c r="AG784" s="1189"/>
      <c r="AH784" s="1189"/>
      <c r="AI784" s="1189"/>
    </row>
    <row r="785">
      <c r="A785" s="1202"/>
      <c r="B785" s="1203"/>
      <c r="C785" s="1189"/>
      <c r="D785" s="1189"/>
      <c r="E785" s="1189"/>
      <c r="F785" s="1189"/>
      <c r="G785" s="1189"/>
      <c r="H785" s="1189"/>
      <c r="I785" s="1189"/>
      <c r="J785" s="1189"/>
      <c r="K785" s="1189"/>
      <c r="L785" s="1189"/>
      <c r="M785" s="1189"/>
      <c r="N785" s="1189"/>
      <c r="O785" s="1189"/>
      <c r="P785" s="1189"/>
      <c r="Q785" s="1189"/>
      <c r="R785" s="1189"/>
      <c r="S785" s="1189"/>
      <c r="T785" s="1189"/>
      <c r="U785" s="1189"/>
      <c r="V785" s="1189"/>
      <c r="W785" s="1189"/>
      <c r="X785" s="1189"/>
      <c r="Y785" s="1189"/>
      <c r="Z785" s="1189"/>
      <c r="AA785" s="1189"/>
      <c r="AB785" s="1189"/>
      <c r="AC785" s="1189"/>
      <c r="AD785" s="1189"/>
      <c r="AE785" s="1189"/>
      <c r="AF785" s="1189"/>
      <c r="AG785" s="1189"/>
      <c r="AH785" s="1189"/>
      <c r="AI785" s="1189"/>
    </row>
    <row r="786">
      <c r="A786" s="1202"/>
      <c r="B786" s="1203"/>
      <c r="C786" s="1189"/>
      <c r="D786" s="1189"/>
      <c r="E786" s="1189"/>
      <c r="F786" s="1189"/>
      <c r="G786" s="1189"/>
      <c r="H786" s="1189"/>
      <c r="I786" s="1189"/>
      <c r="J786" s="1189"/>
      <c r="K786" s="1189"/>
      <c r="L786" s="1189"/>
      <c r="M786" s="1189"/>
      <c r="N786" s="1189"/>
      <c r="O786" s="1189"/>
      <c r="P786" s="1189"/>
      <c r="Q786" s="1189"/>
      <c r="R786" s="1189"/>
      <c r="S786" s="1189"/>
      <c r="T786" s="1189"/>
      <c r="U786" s="1189"/>
      <c r="V786" s="1189"/>
      <c r="W786" s="1189"/>
      <c r="X786" s="1189"/>
      <c r="Y786" s="1189"/>
      <c r="Z786" s="1189"/>
      <c r="AA786" s="1189"/>
      <c r="AB786" s="1189"/>
      <c r="AC786" s="1189"/>
      <c r="AD786" s="1189"/>
      <c r="AE786" s="1189"/>
      <c r="AF786" s="1189"/>
      <c r="AG786" s="1189"/>
      <c r="AH786" s="1189"/>
      <c r="AI786" s="1189"/>
    </row>
    <row r="787">
      <c r="A787" s="1202"/>
      <c r="B787" s="1203"/>
      <c r="C787" s="1189"/>
      <c r="D787" s="1189"/>
      <c r="E787" s="1189"/>
      <c r="F787" s="1189"/>
      <c r="G787" s="1189"/>
      <c r="H787" s="1189"/>
      <c r="I787" s="1189"/>
      <c r="J787" s="1189"/>
      <c r="K787" s="1189"/>
      <c r="L787" s="1189"/>
      <c r="M787" s="1189"/>
      <c r="N787" s="1189"/>
      <c r="O787" s="1189"/>
      <c r="P787" s="1189"/>
      <c r="Q787" s="1189"/>
      <c r="R787" s="1189"/>
      <c r="S787" s="1189"/>
      <c r="T787" s="1189"/>
      <c r="U787" s="1189"/>
      <c r="V787" s="1189"/>
      <c r="W787" s="1189"/>
      <c r="X787" s="1189"/>
      <c r="Y787" s="1189"/>
      <c r="Z787" s="1189"/>
      <c r="AA787" s="1189"/>
      <c r="AB787" s="1189"/>
      <c r="AC787" s="1189"/>
      <c r="AD787" s="1189"/>
      <c r="AE787" s="1189"/>
      <c r="AF787" s="1189"/>
      <c r="AG787" s="1189"/>
      <c r="AH787" s="1189"/>
      <c r="AI787" s="1189"/>
    </row>
    <row r="788">
      <c r="A788" s="1202"/>
      <c r="B788" s="1203"/>
      <c r="C788" s="1189"/>
      <c r="D788" s="1189"/>
      <c r="E788" s="1189"/>
      <c r="F788" s="1189"/>
      <c r="G788" s="1189"/>
      <c r="H788" s="1189"/>
      <c r="I788" s="1189"/>
      <c r="J788" s="1189"/>
      <c r="K788" s="1189"/>
      <c r="L788" s="1189"/>
      <c r="M788" s="1189"/>
      <c r="N788" s="1189"/>
      <c r="O788" s="1189"/>
      <c r="P788" s="1189"/>
      <c r="Q788" s="1189"/>
      <c r="R788" s="1189"/>
      <c r="S788" s="1189"/>
      <c r="T788" s="1189"/>
      <c r="U788" s="1189"/>
      <c r="V788" s="1189"/>
      <c r="W788" s="1189"/>
      <c r="X788" s="1189"/>
      <c r="Y788" s="1189"/>
      <c r="Z788" s="1189"/>
      <c r="AA788" s="1189"/>
      <c r="AB788" s="1189"/>
      <c r="AC788" s="1189"/>
      <c r="AD788" s="1189"/>
      <c r="AE788" s="1189"/>
      <c r="AF788" s="1189"/>
      <c r="AG788" s="1189"/>
      <c r="AH788" s="1189"/>
      <c r="AI788" s="1189"/>
    </row>
    <row r="789">
      <c r="A789" s="1202"/>
      <c r="B789" s="1203"/>
      <c r="C789" s="1189"/>
      <c r="D789" s="1189"/>
      <c r="E789" s="1189"/>
      <c r="F789" s="1189"/>
      <c r="G789" s="1189"/>
      <c r="H789" s="1189"/>
      <c r="I789" s="1189"/>
      <c r="J789" s="1189"/>
      <c r="K789" s="1189"/>
      <c r="L789" s="1189"/>
      <c r="M789" s="1189"/>
      <c r="N789" s="1189"/>
      <c r="O789" s="1189"/>
      <c r="P789" s="1189"/>
      <c r="Q789" s="1189"/>
      <c r="R789" s="1189"/>
      <c r="S789" s="1189"/>
      <c r="T789" s="1189"/>
      <c r="U789" s="1189"/>
      <c r="V789" s="1189"/>
      <c r="W789" s="1189"/>
      <c r="X789" s="1189"/>
      <c r="Y789" s="1189"/>
      <c r="Z789" s="1189"/>
      <c r="AA789" s="1189"/>
      <c r="AB789" s="1189"/>
      <c r="AC789" s="1189"/>
      <c r="AD789" s="1189"/>
      <c r="AE789" s="1189"/>
      <c r="AF789" s="1189"/>
      <c r="AG789" s="1189"/>
      <c r="AH789" s="1189"/>
      <c r="AI789" s="1189"/>
    </row>
    <row r="790">
      <c r="A790" s="1202"/>
      <c r="B790" s="1203"/>
      <c r="C790" s="1189"/>
      <c r="D790" s="1189"/>
      <c r="E790" s="1189"/>
      <c r="F790" s="1189"/>
      <c r="G790" s="1189"/>
      <c r="H790" s="1189"/>
      <c r="I790" s="1189"/>
      <c r="J790" s="1189"/>
      <c r="K790" s="1189"/>
      <c r="L790" s="1189"/>
      <c r="M790" s="1189"/>
      <c r="N790" s="1189"/>
      <c r="O790" s="1189"/>
      <c r="P790" s="1189"/>
      <c r="Q790" s="1189"/>
      <c r="R790" s="1189"/>
      <c r="S790" s="1189"/>
      <c r="T790" s="1189"/>
      <c r="U790" s="1189"/>
      <c r="V790" s="1189"/>
      <c r="W790" s="1189"/>
      <c r="X790" s="1189"/>
      <c r="Y790" s="1189"/>
      <c r="Z790" s="1189"/>
      <c r="AA790" s="1189"/>
      <c r="AB790" s="1189"/>
      <c r="AC790" s="1189"/>
      <c r="AD790" s="1189"/>
      <c r="AE790" s="1189"/>
      <c r="AF790" s="1189"/>
      <c r="AG790" s="1189"/>
      <c r="AH790" s="1189"/>
      <c r="AI790" s="1189"/>
    </row>
    <row r="791">
      <c r="A791" s="1202"/>
      <c r="B791" s="1203"/>
      <c r="C791" s="1189"/>
      <c r="D791" s="1189"/>
      <c r="E791" s="1189"/>
      <c r="F791" s="1189"/>
      <c r="G791" s="1189"/>
      <c r="H791" s="1189"/>
      <c r="I791" s="1189"/>
      <c r="J791" s="1189"/>
      <c r="K791" s="1189"/>
      <c r="L791" s="1189"/>
      <c r="M791" s="1189"/>
      <c r="N791" s="1189"/>
      <c r="O791" s="1189"/>
      <c r="P791" s="1189"/>
      <c r="Q791" s="1189"/>
      <c r="R791" s="1189"/>
      <c r="S791" s="1189"/>
      <c r="T791" s="1189"/>
      <c r="U791" s="1189"/>
      <c r="V791" s="1189"/>
      <c r="W791" s="1189"/>
      <c r="X791" s="1189"/>
      <c r="Y791" s="1189"/>
      <c r="Z791" s="1189"/>
      <c r="AA791" s="1189"/>
      <c r="AB791" s="1189"/>
      <c r="AC791" s="1189"/>
      <c r="AD791" s="1189"/>
      <c r="AE791" s="1189"/>
      <c r="AF791" s="1189"/>
      <c r="AG791" s="1189"/>
      <c r="AH791" s="1189"/>
      <c r="AI791" s="1189"/>
    </row>
    <row r="792">
      <c r="A792" s="1202"/>
      <c r="B792" s="1203"/>
      <c r="C792" s="1189"/>
      <c r="D792" s="1189"/>
      <c r="E792" s="1189"/>
      <c r="F792" s="1189"/>
      <c r="G792" s="1189"/>
      <c r="H792" s="1189"/>
      <c r="I792" s="1189"/>
      <c r="J792" s="1189"/>
      <c r="K792" s="1189"/>
      <c r="L792" s="1189"/>
      <c r="M792" s="1189"/>
      <c r="N792" s="1189"/>
      <c r="O792" s="1189"/>
      <c r="P792" s="1189"/>
      <c r="Q792" s="1189"/>
      <c r="R792" s="1189"/>
      <c r="S792" s="1189"/>
      <c r="T792" s="1189"/>
      <c r="U792" s="1189"/>
      <c r="V792" s="1189"/>
      <c r="W792" s="1189"/>
      <c r="X792" s="1189"/>
      <c r="Y792" s="1189"/>
      <c r="Z792" s="1189"/>
      <c r="AA792" s="1189"/>
      <c r="AB792" s="1189"/>
      <c r="AC792" s="1189"/>
      <c r="AD792" s="1189"/>
      <c r="AE792" s="1189"/>
      <c r="AF792" s="1189"/>
      <c r="AG792" s="1189"/>
      <c r="AH792" s="1189"/>
      <c r="AI792" s="1189"/>
    </row>
    <row r="793">
      <c r="A793" s="1202"/>
      <c r="B793" s="1203"/>
      <c r="C793" s="1189"/>
      <c r="D793" s="1189"/>
      <c r="E793" s="1189"/>
      <c r="F793" s="1189"/>
      <c r="G793" s="1189"/>
      <c r="H793" s="1189"/>
      <c r="I793" s="1189"/>
      <c r="J793" s="1189"/>
      <c r="K793" s="1189"/>
      <c r="L793" s="1189"/>
      <c r="M793" s="1189"/>
      <c r="N793" s="1189"/>
      <c r="O793" s="1189"/>
      <c r="P793" s="1189"/>
      <c r="Q793" s="1189"/>
      <c r="R793" s="1189"/>
      <c r="S793" s="1189"/>
      <c r="T793" s="1189"/>
      <c r="U793" s="1189"/>
      <c r="V793" s="1189"/>
      <c r="W793" s="1189"/>
      <c r="X793" s="1189"/>
      <c r="Y793" s="1189"/>
      <c r="Z793" s="1189"/>
      <c r="AA793" s="1189"/>
      <c r="AB793" s="1189"/>
      <c r="AC793" s="1189"/>
      <c r="AD793" s="1189"/>
      <c r="AE793" s="1189"/>
      <c r="AF793" s="1189"/>
      <c r="AG793" s="1189"/>
      <c r="AH793" s="1189"/>
      <c r="AI793" s="1189"/>
    </row>
    <row r="794">
      <c r="A794" s="1202"/>
      <c r="B794" s="1203"/>
      <c r="C794" s="1189"/>
      <c r="D794" s="1189"/>
      <c r="E794" s="1189"/>
      <c r="F794" s="1189"/>
      <c r="G794" s="1189"/>
      <c r="H794" s="1189"/>
      <c r="I794" s="1189"/>
      <c r="J794" s="1189"/>
      <c r="K794" s="1189"/>
      <c r="L794" s="1189"/>
      <c r="M794" s="1189"/>
      <c r="N794" s="1189"/>
      <c r="O794" s="1189"/>
      <c r="P794" s="1189"/>
      <c r="Q794" s="1189"/>
      <c r="R794" s="1189"/>
      <c r="S794" s="1189"/>
      <c r="T794" s="1189"/>
      <c r="U794" s="1189"/>
      <c r="V794" s="1189"/>
      <c r="W794" s="1189"/>
      <c r="X794" s="1189"/>
      <c r="Y794" s="1189"/>
      <c r="Z794" s="1189"/>
      <c r="AA794" s="1189"/>
      <c r="AB794" s="1189"/>
      <c r="AC794" s="1189"/>
      <c r="AD794" s="1189"/>
      <c r="AE794" s="1189"/>
      <c r="AF794" s="1189"/>
      <c r="AG794" s="1189"/>
      <c r="AH794" s="1189"/>
      <c r="AI794" s="1189"/>
    </row>
    <row r="795">
      <c r="A795" s="1202"/>
      <c r="B795" s="1203"/>
      <c r="C795" s="1189"/>
      <c r="D795" s="1189"/>
      <c r="E795" s="1189"/>
      <c r="F795" s="1189"/>
      <c r="G795" s="1189"/>
      <c r="H795" s="1189"/>
      <c r="I795" s="1189"/>
      <c r="J795" s="1189"/>
      <c r="K795" s="1189"/>
      <c r="L795" s="1189"/>
      <c r="M795" s="1189"/>
      <c r="N795" s="1189"/>
      <c r="O795" s="1189"/>
      <c r="P795" s="1189"/>
      <c r="Q795" s="1189"/>
      <c r="R795" s="1189"/>
      <c r="S795" s="1189"/>
      <c r="T795" s="1189"/>
      <c r="U795" s="1189"/>
      <c r="V795" s="1189"/>
      <c r="W795" s="1189"/>
      <c r="X795" s="1189"/>
      <c r="Y795" s="1189"/>
      <c r="Z795" s="1189"/>
      <c r="AA795" s="1189"/>
      <c r="AB795" s="1189"/>
      <c r="AC795" s="1189"/>
      <c r="AD795" s="1189"/>
      <c r="AE795" s="1189"/>
      <c r="AF795" s="1189"/>
      <c r="AG795" s="1189"/>
      <c r="AH795" s="1189"/>
      <c r="AI795" s="1189"/>
    </row>
    <row r="796">
      <c r="A796" s="1202"/>
      <c r="B796" s="1203"/>
      <c r="C796" s="1189"/>
      <c r="D796" s="1189"/>
      <c r="E796" s="1189"/>
      <c r="F796" s="1189"/>
      <c r="G796" s="1189"/>
      <c r="H796" s="1189"/>
      <c r="I796" s="1189"/>
      <c r="J796" s="1189"/>
      <c r="K796" s="1189"/>
      <c r="L796" s="1189"/>
      <c r="M796" s="1189"/>
      <c r="N796" s="1189"/>
      <c r="O796" s="1189"/>
      <c r="P796" s="1189"/>
      <c r="Q796" s="1189"/>
      <c r="R796" s="1189"/>
      <c r="S796" s="1189"/>
      <c r="T796" s="1189"/>
      <c r="U796" s="1189"/>
      <c r="V796" s="1189"/>
      <c r="W796" s="1189"/>
      <c r="X796" s="1189"/>
      <c r="Y796" s="1189"/>
      <c r="Z796" s="1189"/>
      <c r="AA796" s="1189"/>
      <c r="AB796" s="1189"/>
      <c r="AC796" s="1189"/>
      <c r="AD796" s="1189"/>
      <c r="AE796" s="1189"/>
      <c r="AF796" s="1189"/>
      <c r="AG796" s="1189"/>
      <c r="AH796" s="1189"/>
      <c r="AI796" s="1189"/>
    </row>
    <row r="797">
      <c r="A797" s="1202"/>
      <c r="B797" s="1203"/>
      <c r="C797" s="1189"/>
      <c r="D797" s="1189"/>
      <c r="E797" s="1189"/>
      <c r="F797" s="1189"/>
      <c r="G797" s="1189"/>
      <c r="H797" s="1189"/>
      <c r="I797" s="1189"/>
      <c r="J797" s="1189"/>
      <c r="K797" s="1189"/>
      <c r="L797" s="1189"/>
      <c r="M797" s="1189"/>
      <c r="N797" s="1189"/>
      <c r="O797" s="1189"/>
      <c r="P797" s="1189"/>
      <c r="Q797" s="1189"/>
      <c r="R797" s="1189"/>
      <c r="S797" s="1189"/>
      <c r="T797" s="1189"/>
      <c r="U797" s="1189"/>
      <c r="V797" s="1189"/>
      <c r="W797" s="1189"/>
      <c r="X797" s="1189"/>
      <c r="Y797" s="1189"/>
      <c r="Z797" s="1189"/>
      <c r="AA797" s="1189"/>
      <c r="AB797" s="1189"/>
      <c r="AC797" s="1189"/>
      <c r="AD797" s="1189"/>
      <c r="AE797" s="1189"/>
      <c r="AF797" s="1189"/>
      <c r="AG797" s="1189"/>
      <c r="AH797" s="1189"/>
      <c r="AI797" s="1189"/>
    </row>
    <row r="798">
      <c r="A798" s="1202"/>
      <c r="B798" s="1203"/>
      <c r="C798" s="1189"/>
      <c r="D798" s="1189"/>
      <c r="E798" s="1189"/>
      <c r="F798" s="1189"/>
      <c r="G798" s="1189"/>
      <c r="H798" s="1189"/>
      <c r="I798" s="1189"/>
      <c r="J798" s="1189"/>
      <c r="K798" s="1189"/>
      <c r="L798" s="1189"/>
      <c r="M798" s="1189"/>
      <c r="N798" s="1189"/>
      <c r="O798" s="1189"/>
      <c r="P798" s="1189"/>
      <c r="Q798" s="1189"/>
      <c r="R798" s="1189"/>
      <c r="S798" s="1189"/>
      <c r="T798" s="1189"/>
      <c r="U798" s="1189"/>
      <c r="V798" s="1189"/>
      <c r="W798" s="1189"/>
      <c r="X798" s="1189"/>
      <c r="Y798" s="1189"/>
      <c r="Z798" s="1189"/>
      <c r="AA798" s="1189"/>
      <c r="AB798" s="1189"/>
      <c r="AC798" s="1189"/>
      <c r="AD798" s="1189"/>
      <c r="AE798" s="1189"/>
      <c r="AF798" s="1189"/>
      <c r="AG798" s="1189"/>
      <c r="AH798" s="1189"/>
      <c r="AI798" s="1189"/>
    </row>
    <row r="799">
      <c r="A799" s="1202"/>
      <c r="B799" s="1203"/>
      <c r="C799" s="1189"/>
      <c r="D799" s="1189"/>
      <c r="E799" s="1189"/>
      <c r="F799" s="1189"/>
      <c r="G799" s="1189"/>
      <c r="H799" s="1189"/>
      <c r="I799" s="1189"/>
      <c r="J799" s="1189"/>
      <c r="K799" s="1189"/>
      <c r="L799" s="1189"/>
      <c r="M799" s="1189"/>
      <c r="N799" s="1189"/>
      <c r="O799" s="1189"/>
      <c r="P799" s="1189"/>
      <c r="Q799" s="1189"/>
      <c r="R799" s="1189"/>
      <c r="S799" s="1189"/>
      <c r="T799" s="1189"/>
      <c r="U799" s="1189"/>
      <c r="V799" s="1189"/>
      <c r="W799" s="1189"/>
      <c r="X799" s="1189"/>
      <c r="Y799" s="1189"/>
      <c r="Z799" s="1189"/>
      <c r="AA799" s="1189"/>
      <c r="AB799" s="1189"/>
      <c r="AC799" s="1189"/>
      <c r="AD799" s="1189"/>
      <c r="AE799" s="1189"/>
      <c r="AF799" s="1189"/>
      <c r="AG799" s="1189"/>
      <c r="AH799" s="1189"/>
      <c r="AI799" s="1189"/>
    </row>
    <row r="800">
      <c r="A800" s="1202"/>
      <c r="B800" s="1203"/>
      <c r="C800" s="1189"/>
      <c r="D800" s="1189"/>
      <c r="E800" s="1189"/>
      <c r="F800" s="1189"/>
      <c r="G800" s="1189"/>
      <c r="H800" s="1189"/>
      <c r="I800" s="1189"/>
      <c r="J800" s="1189"/>
      <c r="K800" s="1189"/>
      <c r="L800" s="1189"/>
      <c r="M800" s="1189"/>
      <c r="N800" s="1189"/>
      <c r="O800" s="1189"/>
      <c r="P800" s="1189"/>
      <c r="Q800" s="1189"/>
      <c r="R800" s="1189"/>
      <c r="S800" s="1189"/>
      <c r="T800" s="1189"/>
      <c r="U800" s="1189"/>
      <c r="V800" s="1189"/>
      <c r="W800" s="1189"/>
      <c r="X800" s="1189"/>
      <c r="Y800" s="1189"/>
      <c r="Z800" s="1189"/>
      <c r="AA800" s="1189"/>
      <c r="AB800" s="1189"/>
      <c r="AC800" s="1189"/>
      <c r="AD800" s="1189"/>
      <c r="AE800" s="1189"/>
      <c r="AF800" s="1189"/>
      <c r="AG800" s="1189"/>
      <c r="AH800" s="1189"/>
      <c r="AI800" s="1189"/>
    </row>
    <row r="801">
      <c r="A801" s="1202"/>
      <c r="B801" s="1203"/>
      <c r="C801" s="1189"/>
      <c r="D801" s="1189"/>
      <c r="E801" s="1189"/>
      <c r="F801" s="1189"/>
      <c r="G801" s="1189"/>
      <c r="H801" s="1189"/>
      <c r="I801" s="1189"/>
      <c r="J801" s="1189"/>
      <c r="K801" s="1189"/>
      <c r="L801" s="1189"/>
      <c r="M801" s="1189"/>
      <c r="N801" s="1189"/>
      <c r="O801" s="1189"/>
      <c r="P801" s="1189"/>
      <c r="Q801" s="1189"/>
      <c r="R801" s="1189"/>
      <c r="S801" s="1189"/>
      <c r="T801" s="1189"/>
      <c r="U801" s="1189"/>
      <c r="V801" s="1189"/>
      <c r="W801" s="1189"/>
      <c r="X801" s="1189"/>
      <c r="Y801" s="1189"/>
      <c r="Z801" s="1189"/>
      <c r="AA801" s="1189"/>
      <c r="AB801" s="1189"/>
      <c r="AC801" s="1189"/>
      <c r="AD801" s="1189"/>
      <c r="AE801" s="1189"/>
      <c r="AF801" s="1189"/>
      <c r="AG801" s="1189"/>
      <c r="AH801" s="1189"/>
      <c r="AI801" s="1189"/>
    </row>
    <row r="802">
      <c r="A802" s="1202"/>
      <c r="B802" s="1203"/>
      <c r="C802" s="1189"/>
      <c r="D802" s="1189"/>
      <c r="E802" s="1189"/>
      <c r="F802" s="1189"/>
      <c r="G802" s="1189"/>
      <c r="H802" s="1189"/>
      <c r="I802" s="1189"/>
      <c r="J802" s="1189"/>
      <c r="K802" s="1189"/>
      <c r="L802" s="1189"/>
      <c r="M802" s="1189"/>
      <c r="N802" s="1189"/>
      <c r="O802" s="1189"/>
      <c r="P802" s="1189"/>
      <c r="Q802" s="1189"/>
      <c r="R802" s="1189"/>
      <c r="S802" s="1189"/>
      <c r="T802" s="1189"/>
      <c r="U802" s="1189"/>
      <c r="V802" s="1189"/>
      <c r="W802" s="1189"/>
      <c r="X802" s="1189"/>
      <c r="Y802" s="1189"/>
      <c r="Z802" s="1189"/>
      <c r="AA802" s="1189"/>
      <c r="AB802" s="1189"/>
      <c r="AC802" s="1189"/>
      <c r="AD802" s="1189"/>
      <c r="AE802" s="1189"/>
      <c r="AF802" s="1189"/>
      <c r="AG802" s="1189"/>
      <c r="AH802" s="1189"/>
      <c r="AI802" s="1189"/>
    </row>
    <row r="803">
      <c r="A803" s="1202"/>
      <c r="B803" s="1203"/>
      <c r="C803" s="1189"/>
      <c r="D803" s="1189"/>
      <c r="E803" s="1189"/>
      <c r="F803" s="1189"/>
      <c r="G803" s="1189"/>
      <c r="H803" s="1189"/>
      <c r="I803" s="1189"/>
      <c r="J803" s="1189"/>
      <c r="K803" s="1189"/>
      <c r="L803" s="1189"/>
      <c r="M803" s="1189"/>
      <c r="N803" s="1189"/>
      <c r="O803" s="1189"/>
      <c r="P803" s="1189"/>
      <c r="Q803" s="1189"/>
      <c r="R803" s="1189"/>
      <c r="S803" s="1189"/>
      <c r="T803" s="1189"/>
      <c r="U803" s="1189"/>
      <c r="V803" s="1189"/>
      <c r="W803" s="1189"/>
      <c r="X803" s="1189"/>
      <c r="Y803" s="1189"/>
      <c r="Z803" s="1189"/>
      <c r="AA803" s="1189"/>
      <c r="AB803" s="1189"/>
      <c r="AC803" s="1189"/>
      <c r="AD803" s="1189"/>
      <c r="AE803" s="1189"/>
      <c r="AF803" s="1189"/>
      <c r="AG803" s="1189"/>
      <c r="AH803" s="1189"/>
      <c r="AI803" s="1189"/>
    </row>
    <row r="804">
      <c r="A804" s="1202"/>
      <c r="B804" s="1203"/>
      <c r="C804" s="1189"/>
      <c r="D804" s="1189"/>
      <c r="E804" s="1189"/>
      <c r="F804" s="1189"/>
      <c r="G804" s="1189"/>
      <c r="H804" s="1189"/>
      <c r="I804" s="1189"/>
      <c r="J804" s="1189"/>
      <c r="K804" s="1189"/>
      <c r="L804" s="1189"/>
      <c r="M804" s="1189"/>
      <c r="N804" s="1189"/>
      <c r="O804" s="1189"/>
      <c r="P804" s="1189"/>
      <c r="Q804" s="1189"/>
      <c r="R804" s="1189"/>
      <c r="S804" s="1189"/>
      <c r="T804" s="1189"/>
      <c r="U804" s="1189"/>
      <c r="V804" s="1189"/>
      <c r="W804" s="1189"/>
      <c r="X804" s="1189"/>
      <c r="Y804" s="1189"/>
      <c r="Z804" s="1189"/>
      <c r="AA804" s="1189"/>
      <c r="AB804" s="1189"/>
      <c r="AC804" s="1189"/>
      <c r="AD804" s="1189"/>
      <c r="AE804" s="1189"/>
      <c r="AF804" s="1189"/>
      <c r="AG804" s="1189"/>
      <c r="AH804" s="1189"/>
      <c r="AI804" s="1189"/>
    </row>
    <row r="805">
      <c r="A805" s="1202"/>
      <c r="B805" s="1203"/>
      <c r="C805" s="1189"/>
      <c r="D805" s="1189"/>
      <c r="E805" s="1189"/>
      <c r="F805" s="1189"/>
      <c r="G805" s="1189"/>
      <c r="H805" s="1189"/>
      <c r="I805" s="1189"/>
      <c r="J805" s="1189"/>
      <c r="K805" s="1189"/>
      <c r="L805" s="1189"/>
      <c r="M805" s="1189"/>
      <c r="N805" s="1189"/>
      <c r="O805" s="1189"/>
      <c r="P805" s="1189"/>
      <c r="Q805" s="1189"/>
      <c r="R805" s="1189"/>
      <c r="S805" s="1189"/>
      <c r="T805" s="1189"/>
      <c r="U805" s="1189"/>
      <c r="V805" s="1189"/>
      <c r="W805" s="1189"/>
      <c r="X805" s="1189"/>
      <c r="Y805" s="1189"/>
      <c r="Z805" s="1189"/>
      <c r="AA805" s="1189"/>
      <c r="AB805" s="1189"/>
      <c r="AC805" s="1189"/>
      <c r="AD805" s="1189"/>
      <c r="AE805" s="1189"/>
      <c r="AF805" s="1189"/>
      <c r="AG805" s="1189"/>
      <c r="AH805" s="1189"/>
      <c r="AI805" s="1189"/>
    </row>
    <row r="806">
      <c r="A806" s="1202"/>
      <c r="B806" s="1203"/>
      <c r="C806" s="1189"/>
      <c r="D806" s="1189"/>
      <c r="E806" s="1189"/>
      <c r="F806" s="1189"/>
      <c r="G806" s="1189"/>
      <c r="H806" s="1189"/>
      <c r="I806" s="1189"/>
      <c r="J806" s="1189"/>
      <c r="K806" s="1189"/>
      <c r="L806" s="1189"/>
      <c r="M806" s="1189"/>
      <c r="N806" s="1189"/>
      <c r="O806" s="1189"/>
      <c r="P806" s="1189"/>
      <c r="Q806" s="1189"/>
      <c r="R806" s="1189"/>
      <c r="S806" s="1189"/>
      <c r="T806" s="1189"/>
      <c r="U806" s="1189"/>
      <c r="V806" s="1189"/>
      <c r="W806" s="1189"/>
      <c r="X806" s="1189"/>
      <c r="Y806" s="1189"/>
      <c r="Z806" s="1189"/>
      <c r="AA806" s="1189"/>
      <c r="AB806" s="1189"/>
      <c r="AC806" s="1189"/>
      <c r="AD806" s="1189"/>
      <c r="AE806" s="1189"/>
      <c r="AF806" s="1189"/>
      <c r="AG806" s="1189"/>
      <c r="AH806" s="1189"/>
      <c r="AI806" s="1189"/>
    </row>
    <row r="807">
      <c r="A807" s="1202"/>
      <c r="B807" s="1203"/>
      <c r="C807" s="1189"/>
      <c r="D807" s="1189"/>
      <c r="E807" s="1189"/>
      <c r="F807" s="1189"/>
      <c r="G807" s="1189"/>
      <c r="H807" s="1189"/>
      <c r="I807" s="1189"/>
      <c r="J807" s="1189"/>
      <c r="K807" s="1189"/>
      <c r="L807" s="1189"/>
      <c r="M807" s="1189"/>
      <c r="N807" s="1189"/>
      <c r="O807" s="1189"/>
      <c r="P807" s="1189"/>
      <c r="Q807" s="1189"/>
      <c r="R807" s="1189"/>
      <c r="S807" s="1189"/>
      <c r="T807" s="1189"/>
      <c r="U807" s="1189"/>
      <c r="V807" s="1189"/>
      <c r="W807" s="1189"/>
      <c r="X807" s="1189"/>
      <c r="Y807" s="1189"/>
      <c r="Z807" s="1189"/>
      <c r="AA807" s="1189"/>
      <c r="AB807" s="1189"/>
      <c r="AC807" s="1189"/>
      <c r="AD807" s="1189"/>
      <c r="AE807" s="1189"/>
      <c r="AF807" s="1189"/>
      <c r="AG807" s="1189"/>
      <c r="AH807" s="1189"/>
      <c r="AI807" s="1189"/>
    </row>
    <row r="808">
      <c r="A808" s="1202"/>
      <c r="B808" s="1203"/>
      <c r="C808" s="1189"/>
      <c r="D808" s="1189"/>
      <c r="E808" s="1189"/>
      <c r="F808" s="1189"/>
      <c r="G808" s="1189"/>
      <c r="H808" s="1189"/>
      <c r="I808" s="1189"/>
      <c r="J808" s="1189"/>
      <c r="K808" s="1189"/>
      <c r="L808" s="1189"/>
      <c r="M808" s="1189"/>
      <c r="N808" s="1189"/>
      <c r="O808" s="1189"/>
      <c r="P808" s="1189"/>
      <c r="Q808" s="1189"/>
      <c r="R808" s="1189"/>
      <c r="S808" s="1189"/>
      <c r="T808" s="1189"/>
      <c r="U808" s="1189"/>
      <c r="V808" s="1189"/>
      <c r="W808" s="1189"/>
      <c r="X808" s="1189"/>
      <c r="Y808" s="1189"/>
      <c r="Z808" s="1189"/>
      <c r="AA808" s="1189"/>
      <c r="AB808" s="1189"/>
      <c r="AC808" s="1189"/>
      <c r="AD808" s="1189"/>
      <c r="AE808" s="1189"/>
      <c r="AF808" s="1189"/>
      <c r="AG808" s="1189"/>
      <c r="AH808" s="1189"/>
      <c r="AI808" s="1189"/>
    </row>
    <row r="809">
      <c r="A809" s="1202"/>
      <c r="B809" s="1203"/>
      <c r="C809" s="1189"/>
      <c r="D809" s="1189"/>
      <c r="E809" s="1189"/>
      <c r="F809" s="1189"/>
      <c r="G809" s="1189"/>
      <c r="H809" s="1189"/>
      <c r="I809" s="1189"/>
      <c r="J809" s="1189"/>
      <c r="K809" s="1189"/>
      <c r="L809" s="1189"/>
      <c r="M809" s="1189"/>
      <c r="N809" s="1189"/>
      <c r="O809" s="1189"/>
      <c r="P809" s="1189"/>
      <c r="Q809" s="1189"/>
      <c r="R809" s="1189"/>
      <c r="S809" s="1189"/>
      <c r="T809" s="1189"/>
      <c r="U809" s="1189"/>
      <c r="V809" s="1189"/>
      <c r="W809" s="1189"/>
      <c r="X809" s="1189"/>
      <c r="Y809" s="1189"/>
      <c r="Z809" s="1189"/>
      <c r="AA809" s="1189"/>
      <c r="AB809" s="1189"/>
      <c r="AC809" s="1189"/>
      <c r="AD809" s="1189"/>
      <c r="AE809" s="1189"/>
      <c r="AF809" s="1189"/>
      <c r="AG809" s="1189"/>
      <c r="AH809" s="1189"/>
      <c r="AI809" s="1189"/>
    </row>
    <row r="810">
      <c r="A810" s="1202"/>
      <c r="B810" s="1203"/>
      <c r="C810" s="1189"/>
      <c r="D810" s="1189"/>
      <c r="E810" s="1189"/>
      <c r="F810" s="1189"/>
      <c r="G810" s="1189"/>
      <c r="H810" s="1189"/>
      <c r="I810" s="1189"/>
      <c r="J810" s="1189"/>
      <c r="K810" s="1189"/>
      <c r="L810" s="1189"/>
      <c r="M810" s="1189"/>
      <c r="N810" s="1189"/>
      <c r="O810" s="1189"/>
      <c r="P810" s="1189"/>
      <c r="Q810" s="1189"/>
      <c r="R810" s="1189"/>
      <c r="S810" s="1189"/>
      <c r="T810" s="1189"/>
      <c r="U810" s="1189"/>
      <c r="V810" s="1189"/>
      <c r="W810" s="1189"/>
      <c r="X810" s="1189"/>
      <c r="Y810" s="1189"/>
      <c r="Z810" s="1189"/>
      <c r="AA810" s="1189"/>
      <c r="AB810" s="1189"/>
      <c r="AC810" s="1189"/>
      <c r="AD810" s="1189"/>
      <c r="AE810" s="1189"/>
      <c r="AF810" s="1189"/>
      <c r="AG810" s="1189"/>
      <c r="AH810" s="1189"/>
      <c r="AI810" s="1189"/>
    </row>
    <row r="811">
      <c r="A811" s="1202"/>
      <c r="B811" s="1203"/>
      <c r="C811" s="1189"/>
      <c r="D811" s="1189"/>
      <c r="E811" s="1189"/>
      <c r="F811" s="1189"/>
      <c r="G811" s="1189"/>
      <c r="H811" s="1189"/>
      <c r="I811" s="1189"/>
      <c r="J811" s="1189"/>
      <c r="K811" s="1189"/>
      <c r="L811" s="1189"/>
      <c r="M811" s="1189"/>
      <c r="N811" s="1189"/>
      <c r="O811" s="1189"/>
      <c r="P811" s="1189"/>
      <c r="Q811" s="1189"/>
      <c r="R811" s="1189"/>
      <c r="S811" s="1189"/>
      <c r="T811" s="1189"/>
      <c r="U811" s="1189"/>
      <c r="V811" s="1189"/>
      <c r="W811" s="1189"/>
      <c r="X811" s="1189"/>
      <c r="Y811" s="1189"/>
      <c r="Z811" s="1189"/>
      <c r="AA811" s="1189"/>
      <c r="AB811" s="1189"/>
      <c r="AC811" s="1189"/>
      <c r="AD811" s="1189"/>
      <c r="AE811" s="1189"/>
      <c r="AF811" s="1189"/>
      <c r="AG811" s="1189"/>
      <c r="AH811" s="1189"/>
      <c r="AI811" s="1189"/>
    </row>
    <row r="812">
      <c r="A812" s="1202"/>
      <c r="B812" s="1203"/>
      <c r="C812" s="1189"/>
      <c r="D812" s="1189"/>
      <c r="E812" s="1189"/>
      <c r="F812" s="1189"/>
      <c r="G812" s="1189"/>
      <c r="H812" s="1189"/>
      <c r="I812" s="1189"/>
      <c r="J812" s="1189"/>
      <c r="K812" s="1189"/>
      <c r="L812" s="1189"/>
      <c r="M812" s="1189"/>
      <c r="N812" s="1189"/>
      <c r="O812" s="1189"/>
      <c r="P812" s="1189"/>
      <c r="Q812" s="1189"/>
      <c r="R812" s="1189"/>
      <c r="S812" s="1189"/>
      <c r="T812" s="1189"/>
      <c r="U812" s="1189"/>
      <c r="V812" s="1189"/>
      <c r="W812" s="1189"/>
      <c r="X812" s="1189"/>
      <c r="Y812" s="1189"/>
      <c r="Z812" s="1189"/>
      <c r="AA812" s="1189"/>
      <c r="AB812" s="1189"/>
      <c r="AC812" s="1189"/>
      <c r="AD812" s="1189"/>
      <c r="AE812" s="1189"/>
      <c r="AF812" s="1189"/>
      <c r="AG812" s="1189"/>
      <c r="AH812" s="1189"/>
      <c r="AI812" s="1189"/>
    </row>
    <row r="813">
      <c r="A813" s="1202"/>
      <c r="B813" s="1203"/>
      <c r="C813" s="1189"/>
      <c r="D813" s="1189"/>
      <c r="E813" s="1189"/>
      <c r="F813" s="1189"/>
      <c r="G813" s="1189"/>
      <c r="H813" s="1189"/>
      <c r="I813" s="1189"/>
      <c r="J813" s="1189"/>
      <c r="K813" s="1189"/>
      <c r="L813" s="1189"/>
      <c r="M813" s="1189"/>
      <c r="N813" s="1189"/>
      <c r="O813" s="1189"/>
      <c r="P813" s="1189"/>
      <c r="Q813" s="1189"/>
      <c r="R813" s="1189"/>
      <c r="S813" s="1189"/>
      <c r="T813" s="1189"/>
      <c r="U813" s="1189"/>
      <c r="V813" s="1189"/>
      <c r="W813" s="1189"/>
      <c r="X813" s="1189"/>
      <c r="Y813" s="1189"/>
      <c r="Z813" s="1189"/>
      <c r="AA813" s="1189"/>
      <c r="AB813" s="1189"/>
      <c r="AC813" s="1189"/>
      <c r="AD813" s="1189"/>
      <c r="AE813" s="1189"/>
      <c r="AF813" s="1189"/>
      <c r="AG813" s="1189"/>
      <c r="AH813" s="1189"/>
      <c r="AI813" s="1189"/>
    </row>
    <row r="814">
      <c r="A814" s="1202"/>
      <c r="B814" s="1203"/>
      <c r="C814" s="1189"/>
      <c r="D814" s="1189"/>
      <c r="E814" s="1189"/>
      <c r="F814" s="1189"/>
      <c r="G814" s="1189"/>
      <c r="H814" s="1189"/>
      <c r="I814" s="1189"/>
      <c r="J814" s="1189"/>
      <c r="K814" s="1189"/>
      <c r="L814" s="1189"/>
      <c r="M814" s="1189"/>
      <c r="N814" s="1189"/>
      <c r="O814" s="1189"/>
      <c r="P814" s="1189"/>
      <c r="Q814" s="1189"/>
      <c r="R814" s="1189"/>
      <c r="S814" s="1189"/>
      <c r="T814" s="1189"/>
      <c r="U814" s="1189"/>
      <c r="V814" s="1189"/>
      <c r="W814" s="1189"/>
      <c r="X814" s="1189"/>
      <c r="Y814" s="1189"/>
      <c r="Z814" s="1189"/>
      <c r="AA814" s="1189"/>
      <c r="AB814" s="1189"/>
      <c r="AC814" s="1189"/>
      <c r="AD814" s="1189"/>
      <c r="AE814" s="1189"/>
      <c r="AF814" s="1189"/>
      <c r="AG814" s="1189"/>
      <c r="AH814" s="1189"/>
      <c r="AI814" s="1189"/>
    </row>
    <row r="815">
      <c r="A815" s="1202"/>
      <c r="B815" s="1203"/>
      <c r="C815" s="1189"/>
      <c r="D815" s="1189"/>
      <c r="E815" s="1189"/>
      <c r="F815" s="1189"/>
      <c r="G815" s="1189"/>
      <c r="H815" s="1189"/>
      <c r="I815" s="1189"/>
      <c r="J815" s="1189"/>
      <c r="K815" s="1189"/>
      <c r="L815" s="1189"/>
      <c r="M815" s="1189"/>
      <c r="N815" s="1189"/>
      <c r="O815" s="1189"/>
      <c r="P815" s="1189"/>
      <c r="Q815" s="1189"/>
      <c r="R815" s="1189"/>
      <c r="S815" s="1189"/>
      <c r="T815" s="1189"/>
      <c r="U815" s="1189"/>
      <c r="V815" s="1189"/>
      <c r="W815" s="1189"/>
      <c r="X815" s="1189"/>
      <c r="Y815" s="1189"/>
      <c r="Z815" s="1189"/>
      <c r="AA815" s="1189"/>
      <c r="AB815" s="1189"/>
      <c r="AC815" s="1189"/>
      <c r="AD815" s="1189"/>
      <c r="AE815" s="1189"/>
      <c r="AF815" s="1189"/>
      <c r="AG815" s="1189"/>
      <c r="AH815" s="1189"/>
      <c r="AI815" s="1189"/>
    </row>
    <row r="816">
      <c r="A816" s="1202"/>
      <c r="B816" s="1203"/>
      <c r="C816" s="1189"/>
      <c r="D816" s="1189"/>
      <c r="E816" s="1189"/>
      <c r="F816" s="1189"/>
      <c r="G816" s="1189"/>
      <c r="H816" s="1189"/>
      <c r="I816" s="1189"/>
      <c r="J816" s="1189"/>
      <c r="K816" s="1189"/>
      <c r="L816" s="1189"/>
      <c r="M816" s="1189"/>
      <c r="N816" s="1189"/>
      <c r="O816" s="1189"/>
      <c r="P816" s="1189"/>
      <c r="Q816" s="1189"/>
      <c r="R816" s="1189"/>
      <c r="S816" s="1189"/>
      <c r="T816" s="1189"/>
      <c r="U816" s="1189"/>
      <c r="V816" s="1189"/>
      <c r="W816" s="1189"/>
      <c r="X816" s="1189"/>
      <c r="Y816" s="1189"/>
      <c r="Z816" s="1189"/>
      <c r="AA816" s="1189"/>
      <c r="AB816" s="1189"/>
      <c r="AC816" s="1189"/>
      <c r="AD816" s="1189"/>
      <c r="AE816" s="1189"/>
      <c r="AF816" s="1189"/>
      <c r="AG816" s="1189"/>
      <c r="AH816" s="1189"/>
      <c r="AI816" s="1189"/>
    </row>
    <row r="817">
      <c r="A817" s="1202"/>
      <c r="B817" s="1203"/>
      <c r="C817" s="1189"/>
      <c r="D817" s="1189"/>
      <c r="E817" s="1189"/>
      <c r="F817" s="1189"/>
      <c r="G817" s="1189"/>
      <c r="H817" s="1189"/>
      <c r="I817" s="1189"/>
      <c r="J817" s="1189"/>
      <c r="K817" s="1189"/>
      <c r="L817" s="1189"/>
      <c r="M817" s="1189"/>
      <c r="N817" s="1189"/>
      <c r="O817" s="1189"/>
      <c r="P817" s="1189"/>
      <c r="Q817" s="1189"/>
      <c r="R817" s="1189"/>
      <c r="S817" s="1189"/>
      <c r="T817" s="1189"/>
      <c r="U817" s="1189"/>
      <c r="V817" s="1189"/>
      <c r="W817" s="1189"/>
      <c r="X817" s="1189"/>
      <c r="Y817" s="1189"/>
      <c r="Z817" s="1189"/>
      <c r="AA817" s="1189"/>
      <c r="AB817" s="1189"/>
      <c r="AC817" s="1189"/>
      <c r="AD817" s="1189"/>
      <c r="AE817" s="1189"/>
      <c r="AF817" s="1189"/>
      <c r="AG817" s="1189"/>
      <c r="AH817" s="1189"/>
      <c r="AI817" s="1189"/>
    </row>
    <row r="818">
      <c r="A818" s="1202"/>
      <c r="B818" s="1203"/>
      <c r="C818" s="1189"/>
      <c r="D818" s="1189"/>
      <c r="E818" s="1189"/>
      <c r="F818" s="1189"/>
      <c r="G818" s="1189"/>
      <c r="H818" s="1189"/>
      <c r="I818" s="1189"/>
      <c r="J818" s="1189"/>
      <c r="K818" s="1189"/>
      <c r="L818" s="1189"/>
      <c r="M818" s="1189"/>
      <c r="N818" s="1189"/>
      <c r="O818" s="1189"/>
      <c r="P818" s="1189"/>
      <c r="Q818" s="1189"/>
      <c r="R818" s="1189"/>
      <c r="S818" s="1189"/>
      <c r="T818" s="1189"/>
      <c r="U818" s="1189"/>
      <c r="V818" s="1189"/>
      <c r="W818" s="1189"/>
      <c r="X818" s="1189"/>
      <c r="Y818" s="1189"/>
      <c r="Z818" s="1189"/>
      <c r="AA818" s="1189"/>
      <c r="AB818" s="1189"/>
      <c r="AC818" s="1189"/>
      <c r="AD818" s="1189"/>
      <c r="AE818" s="1189"/>
      <c r="AF818" s="1189"/>
      <c r="AG818" s="1189"/>
      <c r="AH818" s="1189"/>
      <c r="AI818" s="1189"/>
    </row>
    <row r="819">
      <c r="A819" s="1202"/>
      <c r="B819" s="1203"/>
      <c r="C819" s="1189"/>
      <c r="D819" s="1189"/>
      <c r="E819" s="1189"/>
      <c r="F819" s="1189"/>
      <c r="G819" s="1189"/>
      <c r="H819" s="1189"/>
      <c r="I819" s="1189"/>
      <c r="J819" s="1189"/>
      <c r="K819" s="1189"/>
      <c r="L819" s="1189"/>
      <c r="M819" s="1189"/>
      <c r="N819" s="1189"/>
      <c r="O819" s="1189"/>
      <c r="P819" s="1189"/>
      <c r="Q819" s="1189"/>
      <c r="R819" s="1189"/>
      <c r="S819" s="1189"/>
      <c r="T819" s="1189"/>
      <c r="U819" s="1189"/>
      <c r="V819" s="1189"/>
      <c r="W819" s="1189"/>
      <c r="X819" s="1189"/>
      <c r="Y819" s="1189"/>
      <c r="Z819" s="1189"/>
      <c r="AA819" s="1189"/>
      <c r="AB819" s="1189"/>
      <c r="AC819" s="1189"/>
      <c r="AD819" s="1189"/>
      <c r="AE819" s="1189"/>
      <c r="AF819" s="1189"/>
      <c r="AG819" s="1189"/>
      <c r="AH819" s="1189"/>
      <c r="AI819" s="1189"/>
    </row>
    <row r="820">
      <c r="A820" s="1202"/>
      <c r="B820" s="1203"/>
      <c r="C820" s="1189"/>
      <c r="D820" s="1189"/>
      <c r="E820" s="1189"/>
      <c r="F820" s="1189"/>
      <c r="G820" s="1189"/>
      <c r="H820" s="1189"/>
      <c r="I820" s="1189"/>
      <c r="J820" s="1189"/>
      <c r="K820" s="1189"/>
      <c r="L820" s="1189"/>
      <c r="M820" s="1189"/>
      <c r="N820" s="1189"/>
      <c r="O820" s="1189"/>
      <c r="P820" s="1189"/>
      <c r="Q820" s="1189"/>
      <c r="R820" s="1189"/>
      <c r="S820" s="1189"/>
      <c r="T820" s="1189"/>
      <c r="U820" s="1189"/>
      <c r="V820" s="1189"/>
      <c r="W820" s="1189"/>
      <c r="X820" s="1189"/>
      <c r="Y820" s="1189"/>
      <c r="Z820" s="1189"/>
      <c r="AA820" s="1189"/>
      <c r="AB820" s="1189"/>
      <c r="AC820" s="1189"/>
      <c r="AD820" s="1189"/>
      <c r="AE820" s="1189"/>
      <c r="AF820" s="1189"/>
      <c r="AG820" s="1189"/>
      <c r="AH820" s="1189"/>
      <c r="AI820" s="1189"/>
    </row>
    <row r="821">
      <c r="A821" s="1202"/>
      <c r="B821" s="1203"/>
      <c r="C821" s="1189"/>
      <c r="D821" s="1189"/>
      <c r="E821" s="1189"/>
      <c r="F821" s="1189"/>
      <c r="G821" s="1189"/>
      <c r="H821" s="1189"/>
      <c r="I821" s="1189"/>
      <c r="J821" s="1189"/>
      <c r="K821" s="1189"/>
      <c r="L821" s="1189"/>
      <c r="M821" s="1189"/>
      <c r="N821" s="1189"/>
      <c r="O821" s="1189"/>
      <c r="P821" s="1189"/>
      <c r="Q821" s="1189"/>
      <c r="R821" s="1189"/>
      <c r="S821" s="1189"/>
      <c r="T821" s="1189"/>
      <c r="U821" s="1189"/>
      <c r="V821" s="1189"/>
      <c r="W821" s="1189"/>
      <c r="X821" s="1189"/>
      <c r="Y821" s="1189"/>
      <c r="Z821" s="1189"/>
      <c r="AA821" s="1189"/>
      <c r="AB821" s="1189"/>
      <c r="AC821" s="1189"/>
      <c r="AD821" s="1189"/>
      <c r="AE821" s="1189"/>
      <c r="AF821" s="1189"/>
      <c r="AG821" s="1189"/>
      <c r="AH821" s="1189"/>
      <c r="AI821" s="1189"/>
    </row>
    <row r="822">
      <c r="A822" s="1202"/>
      <c r="B822" s="1203"/>
      <c r="C822" s="1189"/>
      <c r="D822" s="1189"/>
      <c r="E822" s="1189"/>
      <c r="F822" s="1189"/>
      <c r="G822" s="1189"/>
      <c r="H822" s="1189"/>
      <c r="I822" s="1189"/>
      <c r="J822" s="1189"/>
      <c r="K822" s="1189"/>
      <c r="L822" s="1189"/>
      <c r="M822" s="1189"/>
      <c r="N822" s="1189"/>
      <c r="O822" s="1189"/>
      <c r="P822" s="1189"/>
      <c r="Q822" s="1189"/>
      <c r="R822" s="1189"/>
      <c r="S822" s="1189"/>
      <c r="T822" s="1189"/>
      <c r="U822" s="1189"/>
      <c r="V822" s="1189"/>
      <c r="W822" s="1189"/>
      <c r="X822" s="1189"/>
      <c r="Y822" s="1189"/>
      <c r="Z822" s="1189"/>
      <c r="AA822" s="1189"/>
      <c r="AB822" s="1189"/>
      <c r="AC822" s="1189"/>
      <c r="AD822" s="1189"/>
      <c r="AE822" s="1189"/>
      <c r="AF822" s="1189"/>
      <c r="AG822" s="1189"/>
      <c r="AH822" s="1189"/>
      <c r="AI822" s="1189"/>
    </row>
    <row r="823">
      <c r="A823" s="1202"/>
      <c r="B823" s="1203"/>
      <c r="C823" s="1189"/>
      <c r="D823" s="1189"/>
      <c r="E823" s="1189"/>
      <c r="F823" s="1189"/>
      <c r="G823" s="1189"/>
      <c r="H823" s="1189"/>
      <c r="I823" s="1189"/>
      <c r="J823" s="1189"/>
      <c r="K823" s="1189"/>
      <c r="L823" s="1189"/>
      <c r="M823" s="1189"/>
      <c r="N823" s="1189"/>
      <c r="O823" s="1189"/>
      <c r="P823" s="1189"/>
      <c r="Q823" s="1189"/>
      <c r="R823" s="1189"/>
      <c r="S823" s="1189"/>
      <c r="T823" s="1189"/>
      <c r="U823" s="1189"/>
      <c r="V823" s="1189"/>
      <c r="W823" s="1189"/>
      <c r="X823" s="1189"/>
      <c r="Y823" s="1189"/>
      <c r="Z823" s="1189"/>
      <c r="AA823" s="1189"/>
      <c r="AB823" s="1189"/>
      <c r="AC823" s="1189"/>
      <c r="AD823" s="1189"/>
      <c r="AE823" s="1189"/>
      <c r="AF823" s="1189"/>
      <c r="AG823" s="1189"/>
      <c r="AH823" s="1189"/>
      <c r="AI823" s="1189"/>
    </row>
    <row r="824">
      <c r="A824" s="1202"/>
      <c r="B824" s="1203"/>
      <c r="C824" s="1189"/>
      <c r="D824" s="1189"/>
      <c r="E824" s="1189"/>
      <c r="F824" s="1189"/>
      <c r="G824" s="1189"/>
      <c r="H824" s="1189"/>
      <c r="I824" s="1189"/>
      <c r="J824" s="1189"/>
      <c r="K824" s="1189"/>
      <c r="L824" s="1189"/>
      <c r="M824" s="1189"/>
      <c r="N824" s="1189"/>
      <c r="O824" s="1189"/>
      <c r="P824" s="1189"/>
      <c r="Q824" s="1189"/>
      <c r="R824" s="1189"/>
      <c r="S824" s="1189"/>
      <c r="T824" s="1189"/>
      <c r="U824" s="1189"/>
      <c r="V824" s="1189"/>
      <c r="W824" s="1189"/>
      <c r="X824" s="1189"/>
      <c r="Y824" s="1189"/>
      <c r="Z824" s="1189"/>
      <c r="AA824" s="1189"/>
      <c r="AB824" s="1189"/>
      <c r="AC824" s="1189"/>
      <c r="AD824" s="1189"/>
      <c r="AE824" s="1189"/>
      <c r="AF824" s="1189"/>
      <c r="AG824" s="1189"/>
      <c r="AH824" s="1189"/>
      <c r="AI824" s="1189"/>
    </row>
    <row r="825">
      <c r="A825" s="1202"/>
      <c r="B825" s="1203"/>
      <c r="C825" s="1189"/>
      <c r="D825" s="1189"/>
      <c r="E825" s="1189"/>
      <c r="F825" s="1189"/>
      <c r="G825" s="1189"/>
      <c r="H825" s="1189"/>
      <c r="I825" s="1189"/>
      <c r="J825" s="1189"/>
      <c r="K825" s="1189"/>
      <c r="L825" s="1189"/>
      <c r="M825" s="1189"/>
      <c r="N825" s="1189"/>
      <c r="O825" s="1189"/>
      <c r="P825" s="1189"/>
      <c r="Q825" s="1189"/>
      <c r="R825" s="1189"/>
      <c r="S825" s="1189"/>
      <c r="T825" s="1189"/>
      <c r="U825" s="1189"/>
      <c r="V825" s="1189"/>
      <c r="W825" s="1189"/>
      <c r="X825" s="1189"/>
      <c r="Y825" s="1189"/>
      <c r="Z825" s="1189"/>
      <c r="AA825" s="1189"/>
      <c r="AB825" s="1189"/>
      <c r="AC825" s="1189"/>
      <c r="AD825" s="1189"/>
      <c r="AE825" s="1189"/>
      <c r="AF825" s="1189"/>
      <c r="AG825" s="1189"/>
      <c r="AH825" s="1189"/>
      <c r="AI825" s="1189"/>
    </row>
    <row r="826">
      <c r="A826" s="1202"/>
      <c r="B826" s="1203"/>
      <c r="C826" s="1189"/>
      <c r="D826" s="1189"/>
      <c r="E826" s="1189"/>
      <c r="F826" s="1189"/>
      <c r="G826" s="1189"/>
      <c r="H826" s="1189"/>
      <c r="I826" s="1189"/>
      <c r="J826" s="1189"/>
      <c r="K826" s="1189"/>
      <c r="L826" s="1189"/>
      <c r="M826" s="1189"/>
      <c r="N826" s="1189"/>
      <c r="O826" s="1189"/>
      <c r="P826" s="1189"/>
      <c r="Q826" s="1189"/>
      <c r="R826" s="1189"/>
      <c r="S826" s="1189"/>
      <c r="T826" s="1189"/>
      <c r="U826" s="1189"/>
      <c r="V826" s="1189"/>
      <c r="W826" s="1189"/>
      <c r="X826" s="1189"/>
      <c r="Y826" s="1189"/>
      <c r="Z826" s="1189"/>
      <c r="AA826" s="1189"/>
      <c r="AB826" s="1189"/>
      <c r="AC826" s="1189"/>
      <c r="AD826" s="1189"/>
      <c r="AE826" s="1189"/>
      <c r="AF826" s="1189"/>
      <c r="AG826" s="1189"/>
      <c r="AH826" s="1189"/>
      <c r="AI826" s="1189"/>
    </row>
    <row r="827">
      <c r="A827" s="1202"/>
      <c r="B827" s="1203"/>
      <c r="C827" s="1189"/>
      <c r="D827" s="1189"/>
      <c r="E827" s="1189"/>
      <c r="F827" s="1189"/>
      <c r="G827" s="1189"/>
      <c r="H827" s="1189"/>
      <c r="I827" s="1189"/>
      <c r="J827" s="1189"/>
      <c r="K827" s="1189"/>
      <c r="L827" s="1189"/>
      <c r="M827" s="1189"/>
      <c r="N827" s="1189"/>
      <c r="O827" s="1189"/>
      <c r="P827" s="1189"/>
      <c r="Q827" s="1189"/>
      <c r="R827" s="1189"/>
      <c r="S827" s="1189"/>
      <c r="T827" s="1189"/>
      <c r="U827" s="1189"/>
      <c r="V827" s="1189"/>
      <c r="W827" s="1189"/>
      <c r="X827" s="1189"/>
      <c r="Y827" s="1189"/>
      <c r="Z827" s="1189"/>
      <c r="AA827" s="1189"/>
      <c r="AB827" s="1189"/>
      <c r="AC827" s="1189"/>
      <c r="AD827" s="1189"/>
      <c r="AE827" s="1189"/>
      <c r="AF827" s="1189"/>
      <c r="AG827" s="1189"/>
      <c r="AH827" s="1189"/>
      <c r="AI827" s="1189"/>
    </row>
    <row r="828">
      <c r="A828" s="1202"/>
      <c r="B828" s="1203"/>
      <c r="C828" s="1189"/>
      <c r="D828" s="1189"/>
      <c r="E828" s="1189"/>
      <c r="F828" s="1189"/>
      <c r="G828" s="1189"/>
      <c r="H828" s="1189"/>
      <c r="I828" s="1189"/>
      <c r="J828" s="1189"/>
      <c r="K828" s="1189"/>
      <c r="L828" s="1189"/>
      <c r="M828" s="1189"/>
      <c r="N828" s="1189"/>
      <c r="O828" s="1189"/>
      <c r="P828" s="1189"/>
      <c r="Q828" s="1189"/>
      <c r="R828" s="1189"/>
      <c r="S828" s="1189"/>
      <c r="T828" s="1189"/>
      <c r="U828" s="1189"/>
      <c r="V828" s="1189"/>
      <c r="W828" s="1189"/>
      <c r="X828" s="1189"/>
      <c r="Y828" s="1189"/>
      <c r="Z828" s="1189"/>
      <c r="AA828" s="1189"/>
      <c r="AB828" s="1189"/>
      <c r="AC828" s="1189"/>
      <c r="AD828" s="1189"/>
      <c r="AE828" s="1189"/>
      <c r="AF828" s="1189"/>
      <c r="AG828" s="1189"/>
      <c r="AH828" s="1189"/>
      <c r="AI828" s="1189"/>
    </row>
    <row r="829">
      <c r="A829" s="1202"/>
      <c r="B829" s="1203"/>
      <c r="C829" s="1189"/>
      <c r="D829" s="1189"/>
      <c r="E829" s="1189"/>
      <c r="F829" s="1189"/>
      <c r="G829" s="1189"/>
      <c r="H829" s="1189"/>
      <c r="I829" s="1189"/>
      <c r="J829" s="1189"/>
      <c r="K829" s="1189"/>
      <c r="L829" s="1189"/>
      <c r="M829" s="1189"/>
      <c r="N829" s="1189"/>
      <c r="O829" s="1189"/>
      <c r="P829" s="1189"/>
      <c r="Q829" s="1189"/>
      <c r="R829" s="1189"/>
      <c r="S829" s="1189"/>
      <c r="T829" s="1189"/>
      <c r="U829" s="1189"/>
      <c r="V829" s="1189"/>
      <c r="W829" s="1189"/>
      <c r="X829" s="1189"/>
      <c r="Y829" s="1189"/>
      <c r="Z829" s="1189"/>
      <c r="AA829" s="1189"/>
      <c r="AB829" s="1189"/>
      <c r="AC829" s="1189"/>
      <c r="AD829" s="1189"/>
      <c r="AE829" s="1189"/>
      <c r="AF829" s="1189"/>
      <c r="AG829" s="1189"/>
      <c r="AH829" s="1189"/>
      <c r="AI829" s="1189"/>
    </row>
    <row r="830">
      <c r="A830" s="1202"/>
      <c r="B830" s="1203"/>
      <c r="C830" s="1189"/>
      <c r="D830" s="1189"/>
      <c r="E830" s="1189"/>
      <c r="F830" s="1189"/>
      <c r="G830" s="1189"/>
      <c r="H830" s="1189"/>
      <c r="I830" s="1189"/>
      <c r="J830" s="1189"/>
      <c r="K830" s="1189"/>
      <c r="L830" s="1189"/>
      <c r="M830" s="1189"/>
      <c r="N830" s="1189"/>
      <c r="O830" s="1189"/>
      <c r="P830" s="1189"/>
      <c r="Q830" s="1189"/>
      <c r="R830" s="1189"/>
      <c r="S830" s="1189"/>
      <c r="T830" s="1189"/>
      <c r="U830" s="1189"/>
      <c r="V830" s="1189"/>
      <c r="W830" s="1189"/>
      <c r="X830" s="1189"/>
      <c r="Y830" s="1189"/>
      <c r="Z830" s="1189"/>
      <c r="AA830" s="1189"/>
      <c r="AB830" s="1189"/>
      <c r="AC830" s="1189"/>
      <c r="AD830" s="1189"/>
      <c r="AE830" s="1189"/>
      <c r="AF830" s="1189"/>
      <c r="AG830" s="1189"/>
      <c r="AH830" s="1189"/>
      <c r="AI830" s="1189"/>
    </row>
    <row r="831">
      <c r="A831" s="1202"/>
      <c r="B831" s="1203"/>
      <c r="C831" s="1189"/>
      <c r="D831" s="1189"/>
      <c r="E831" s="1189"/>
      <c r="F831" s="1189"/>
      <c r="G831" s="1189"/>
      <c r="H831" s="1189"/>
      <c r="I831" s="1189"/>
      <c r="J831" s="1189"/>
      <c r="K831" s="1189"/>
      <c r="L831" s="1189"/>
      <c r="M831" s="1189"/>
      <c r="N831" s="1189"/>
      <c r="O831" s="1189"/>
      <c r="P831" s="1189"/>
      <c r="Q831" s="1189"/>
      <c r="R831" s="1189"/>
      <c r="S831" s="1189"/>
      <c r="T831" s="1189"/>
      <c r="U831" s="1189"/>
      <c r="V831" s="1189"/>
      <c r="W831" s="1189"/>
      <c r="X831" s="1189"/>
      <c r="Y831" s="1189"/>
      <c r="Z831" s="1189"/>
      <c r="AA831" s="1189"/>
      <c r="AB831" s="1189"/>
      <c r="AC831" s="1189"/>
      <c r="AD831" s="1189"/>
      <c r="AE831" s="1189"/>
      <c r="AF831" s="1189"/>
      <c r="AG831" s="1189"/>
      <c r="AH831" s="1189"/>
      <c r="AI831" s="1189"/>
    </row>
    <row r="832">
      <c r="A832" s="1202"/>
      <c r="B832" s="1203"/>
      <c r="C832" s="1189"/>
      <c r="D832" s="1189"/>
      <c r="E832" s="1189"/>
      <c r="F832" s="1189"/>
      <c r="G832" s="1189"/>
      <c r="H832" s="1189"/>
      <c r="I832" s="1189"/>
      <c r="J832" s="1189"/>
      <c r="K832" s="1189"/>
      <c r="L832" s="1189"/>
      <c r="M832" s="1189"/>
      <c r="N832" s="1189"/>
      <c r="O832" s="1189"/>
      <c r="P832" s="1189"/>
      <c r="Q832" s="1189"/>
      <c r="R832" s="1189"/>
      <c r="S832" s="1189"/>
      <c r="T832" s="1189"/>
      <c r="U832" s="1189"/>
      <c r="V832" s="1189"/>
      <c r="W832" s="1189"/>
      <c r="X832" s="1189"/>
      <c r="Y832" s="1189"/>
      <c r="Z832" s="1189"/>
      <c r="AA832" s="1189"/>
      <c r="AB832" s="1189"/>
      <c r="AC832" s="1189"/>
      <c r="AD832" s="1189"/>
      <c r="AE832" s="1189"/>
      <c r="AF832" s="1189"/>
      <c r="AG832" s="1189"/>
      <c r="AH832" s="1189"/>
      <c r="AI832" s="1189"/>
    </row>
    <row r="833">
      <c r="A833" s="1202"/>
      <c r="B833" s="1203"/>
      <c r="C833" s="1189"/>
      <c r="D833" s="1189"/>
      <c r="E833" s="1189"/>
      <c r="F833" s="1189"/>
      <c r="G833" s="1189"/>
      <c r="H833" s="1189"/>
      <c r="I833" s="1189"/>
      <c r="J833" s="1189"/>
      <c r="K833" s="1189"/>
      <c r="L833" s="1189"/>
      <c r="M833" s="1189"/>
      <c r="N833" s="1189"/>
      <c r="O833" s="1189"/>
      <c r="P833" s="1189"/>
      <c r="Q833" s="1189"/>
      <c r="R833" s="1189"/>
      <c r="S833" s="1189"/>
      <c r="T833" s="1189"/>
      <c r="U833" s="1189"/>
      <c r="V833" s="1189"/>
      <c r="W833" s="1189"/>
      <c r="X833" s="1189"/>
      <c r="Y833" s="1189"/>
      <c r="Z833" s="1189"/>
      <c r="AA833" s="1189"/>
      <c r="AB833" s="1189"/>
      <c r="AC833" s="1189"/>
      <c r="AD833" s="1189"/>
      <c r="AE833" s="1189"/>
      <c r="AF833" s="1189"/>
      <c r="AG833" s="1189"/>
      <c r="AH833" s="1189"/>
      <c r="AI833" s="1189"/>
    </row>
    <row r="834">
      <c r="A834" s="1202"/>
      <c r="B834" s="1203"/>
      <c r="C834" s="1189"/>
      <c r="D834" s="1189"/>
      <c r="E834" s="1189"/>
      <c r="F834" s="1189"/>
      <c r="G834" s="1189"/>
      <c r="H834" s="1189"/>
      <c r="I834" s="1189"/>
      <c r="J834" s="1189"/>
      <c r="K834" s="1189"/>
      <c r="L834" s="1189"/>
      <c r="M834" s="1189"/>
      <c r="N834" s="1189"/>
      <c r="O834" s="1189"/>
      <c r="P834" s="1189"/>
      <c r="Q834" s="1189"/>
      <c r="R834" s="1189"/>
      <c r="S834" s="1189"/>
      <c r="T834" s="1189"/>
      <c r="U834" s="1189"/>
      <c r="V834" s="1189"/>
      <c r="W834" s="1189"/>
      <c r="X834" s="1189"/>
      <c r="Y834" s="1189"/>
      <c r="Z834" s="1189"/>
      <c r="AA834" s="1189"/>
      <c r="AB834" s="1189"/>
      <c r="AC834" s="1189"/>
      <c r="AD834" s="1189"/>
      <c r="AE834" s="1189"/>
      <c r="AF834" s="1189"/>
      <c r="AG834" s="1189"/>
      <c r="AH834" s="1189"/>
      <c r="AI834" s="1189"/>
    </row>
    <row r="835">
      <c r="A835" s="1202"/>
      <c r="B835" s="1203"/>
      <c r="C835" s="1189"/>
      <c r="D835" s="1189"/>
      <c r="E835" s="1189"/>
      <c r="F835" s="1189"/>
      <c r="G835" s="1189"/>
      <c r="H835" s="1189"/>
      <c r="I835" s="1189"/>
      <c r="J835" s="1189"/>
      <c r="K835" s="1189"/>
      <c r="L835" s="1189"/>
      <c r="M835" s="1189"/>
      <c r="N835" s="1189"/>
      <c r="O835" s="1189"/>
      <c r="P835" s="1189"/>
      <c r="Q835" s="1189"/>
      <c r="R835" s="1189"/>
      <c r="S835" s="1189"/>
      <c r="T835" s="1189"/>
      <c r="U835" s="1189"/>
      <c r="V835" s="1189"/>
      <c r="W835" s="1189"/>
      <c r="X835" s="1189"/>
      <c r="Y835" s="1189"/>
      <c r="Z835" s="1189"/>
      <c r="AA835" s="1189"/>
      <c r="AB835" s="1189"/>
      <c r="AC835" s="1189"/>
      <c r="AD835" s="1189"/>
      <c r="AE835" s="1189"/>
      <c r="AF835" s="1189"/>
      <c r="AG835" s="1189"/>
      <c r="AH835" s="1189"/>
      <c r="AI835" s="1189"/>
    </row>
    <row r="836">
      <c r="A836" s="1202"/>
      <c r="B836" s="1203"/>
      <c r="C836" s="1189"/>
      <c r="D836" s="1189"/>
      <c r="E836" s="1189"/>
      <c r="F836" s="1189"/>
      <c r="G836" s="1189"/>
      <c r="H836" s="1189"/>
      <c r="I836" s="1189"/>
      <c r="J836" s="1189"/>
      <c r="K836" s="1189"/>
      <c r="L836" s="1189"/>
      <c r="M836" s="1189"/>
      <c r="N836" s="1189"/>
      <c r="O836" s="1189"/>
      <c r="P836" s="1189"/>
      <c r="Q836" s="1189"/>
      <c r="R836" s="1189"/>
      <c r="S836" s="1189"/>
      <c r="T836" s="1189"/>
      <c r="U836" s="1189"/>
      <c r="V836" s="1189"/>
      <c r="W836" s="1189"/>
      <c r="X836" s="1189"/>
      <c r="Y836" s="1189"/>
      <c r="Z836" s="1189"/>
      <c r="AA836" s="1189"/>
      <c r="AB836" s="1189"/>
      <c r="AC836" s="1189"/>
      <c r="AD836" s="1189"/>
      <c r="AE836" s="1189"/>
      <c r="AF836" s="1189"/>
      <c r="AG836" s="1189"/>
      <c r="AH836" s="1189"/>
      <c r="AI836" s="1189"/>
    </row>
    <row r="837">
      <c r="A837" s="1202"/>
      <c r="B837" s="1203"/>
      <c r="C837" s="1189"/>
      <c r="D837" s="1189"/>
      <c r="E837" s="1189"/>
      <c r="F837" s="1189"/>
      <c r="G837" s="1189"/>
      <c r="H837" s="1189"/>
      <c r="I837" s="1189"/>
      <c r="J837" s="1189"/>
      <c r="K837" s="1189"/>
      <c r="L837" s="1189"/>
      <c r="M837" s="1189"/>
      <c r="N837" s="1189"/>
      <c r="O837" s="1189"/>
      <c r="P837" s="1189"/>
      <c r="Q837" s="1189"/>
      <c r="R837" s="1189"/>
      <c r="S837" s="1189"/>
      <c r="T837" s="1189"/>
      <c r="U837" s="1189"/>
      <c r="V837" s="1189"/>
      <c r="W837" s="1189"/>
      <c r="X837" s="1189"/>
      <c r="Y837" s="1189"/>
      <c r="Z837" s="1189"/>
      <c r="AA837" s="1189"/>
      <c r="AB837" s="1189"/>
      <c r="AC837" s="1189"/>
      <c r="AD837" s="1189"/>
      <c r="AE837" s="1189"/>
      <c r="AF837" s="1189"/>
      <c r="AG837" s="1189"/>
      <c r="AH837" s="1189"/>
      <c r="AI837" s="1189"/>
    </row>
    <row r="838">
      <c r="A838" s="1202"/>
      <c r="B838" s="1203"/>
      <c r="C838" s="1189"/>
      <c r="D838" s="1189"/>
      <c r="E838" s="1189"/>
      <c r="F838" s="1189"/>
      <c r="G838" s="1189"/>
      <c r="H838" s="1189"/>
      <c r="I838" s="1189"/>
      <c r="J838" s="1189"/>
      <c r="K838" s="1189"/>
      <c r="L838" s="1189"/>
      <c r="M838" s="1189"/>
      <c r="N838" s="1189"/>
      <c r="O838" s="1189"/>
      <c r="P838" s="1189"/>
      <c r="Q838" s="1189"/>
      <c r="R838" s="1189"/>
      <c r="S838" s="1189"/>
      <c r="T838" s="1189"/>
      <c r="U838" s="1189"/>
      <c r="V838" s="1189"/>
      <c r="W838" s="1189"/>
      <c r="X838" s="1189"/>
      <c r="Y838" s="1189"/>
      <c r="Z838" s="1189"/>
      <c r="AA838" s="1189"/>
      <c r="AB838" s="1189"/>
      <c r="AC838" s="1189"/>
      <c r="AD838" s="1189"/>
      <c r="AE838" s="1189"/>
      <c r="AF838" s="1189"/>
      <c r="AG838" s="1189"/>
      <c r="AH838" s="1189"/>
      <c r="AI838" s="1189"/>
    </row>
    <row r="839">
      <c r="A839" s="1202"/>
      <c r="B839" s="1203"/>
      <c r="C839" s="1189"/>
      <c r="D839" s="1189"/>
      <c r="E839" s="1189"/>
      <c r="F839" s="1189"/>
      <c r="G839" s="1189"/>
      <c r="H839" s="1189"/>
      <c r="I839" s="1189"/>
      <c r="J839" s="1189"/>
      <c r="K839" s="1189"/>
      <c r="L839" s="1189"/>
      <c r="M839" s="1189"/>
      <c r="N839" s="1189"/>
      <c r="O839" s="1189"/>
      <c r="P839" s="1189"/>
      <c r="Q839" s="1189"/>
      <c r="R839" s="1189"/>
      <c r="S839" s="1189"/>
      <c r="T839" s="1189"/>
      <c r="U839" s="1189"/>
      <c r="V839" s="1189"/>
      <c r="W839" s="1189"/>
      <c r="X839" s="1189"/>
      <c r="Y839" s="1189"/>
      <c r="Z839" s="1189"/>
      <c r="AA839" s="1189"/>
      <c r="AB839" s="1189"/>
      <c r="AC839" s="1189"/>
      <c r="AD839" s="1189"/>
      <c r="AE839" s="1189"/>
      <c r="AF839" s="1189"/>
      <c r="AG839" s="1189"/>
      <c r="AH839" s="1189"/>
      <c r="AI839" s="1189"/>
    </row>
    <row r="840">
      <c r="A840" s="1202"/>
      <c r="B840" s="1203"/>
      <c r="C840" s="1189"/>
      <c r="D840" s="1189"/>
      <c r="E840" s="1189"/>
      <c r="F840" s="1189"/>
      <c r="G840" s="1189"/>
      <c r="H840" s="1189"/>
      <c r="I840" s="1189"/>
      <c r="J840" s="1189"/>
      <c r="K840" s="1189"/>
      <c r="L840" s="1189"/>
      <c r="M840" s="1189"/>
      <c r="N840" s="1189"/>
      <c r="O840" s="1189"/>
      <c r="P840" s="1189"/>
      <c r="Q840" s="1189"/>
      <c r="R840" s="1189"/>
      <c r="S840" s="1189"/>
      <c r="T840" s="1189"/>
      <c r="U840" s="1189"/>
      <c r="V840" s="1189"/>
      <c r="W840" s="1189"/>
      <c r="X840" s="1189"/>
      <c r="Y840" s="1189"/>
      <c r="Z840" s="1189"/>
      <c r="AA840" s="1189"/>
      <c r="AB840" s="1189"/>
      <c r="AC840" s="1189"/>
      <c r="AD840" s="1189"/>
      <c r="AE840" s="1189"/>
      <c r="AF840" s="1189"/>
      <c r="AG840" s="1189"/>
      <c r="AH840" s="1189"/>
      <c r="AI840" s="1189"/>
    </row>
    <row r="841">
      <c r="A841" s="1202"/>
      <c r="B841" s="1203"/>
      <c r="C841" s="1189"/>
      <c r="D841" s="1189"/>
      <c r="E841" s="1189"/>
      <c r="F841" s="1189"/>
      <c r="G841" s="1189"/>
      <c r="H841" s="1189"/>
      <c r="I841" s="1189"/>
      <c r="J841" s="1189"/>
      <c r="K841" s="1189"/>
      <c r="L841" s="1189"/>
      <c r="M841" s="1189"/>
      <c r="N841" s="1189"/>
      <c r="O841" s="1189"/>
      <c r="P841" s="1189"/>
      <c r="Q841" s="1189"/>
      <c r="R841" s="1189"/>
      <c r="S841" s="1189"/>
      <c r="T841" s="1189"/>
      <c r="U841" s="1189"/>
      <c r="V841" s="1189"/>
      <c r="W841" s="1189"/>
      <c r="X841" s="1189"/>
      <c r="Y841" s="1189"/>
      <c r="Z841" s="1189"/>
      <c r="AA841" s="1189"/>
      <c r="AB841" s="1189"/>
      <c r="AC841" s="1189"/>
      <c r="AD841" s="1189"/>
      <c r="AE841" s="1189"/>
      <c r="AF841" s="1189"/>
      <c r="AG841" s="1189"/>
      <c r="AH841" s="1189"/>
      <c r="AI841" s="1189"/>
    </row>
    <row r="842">
      <c r="A842" s="1202"/>
      <c r="B842" s="1203"/>
      <c r="C842" s="1189"/>
      <c r="D842" s="1189"/>
      <c r="E842" s="1189"/>
      <c r="F842" s="1189"/>
      <c r="G842" s="1189"/>
      <c r="H842" s="1189"/>
      <c r="I842" s="1189"/>
      <c r="J842" s="1189"/>
      <c r="K842" s="1189"/>
      <c r="L842" s="1189"/>
      <c r="M842" s="1189"/>
      <c r="N842" s="1189"/>
      <c r="O842" s="1189"/>
      <c r="P842" s="1189"/>
      <c r="Q842" s="1189"/>
      <c r="R842" s="1189"/>
      <c r="S842" s="1189"/>
      <c r="T842" s="1189"/>
      <c r="U842" s="1189"/>
      <c r="V842" s="1189"/>
      <c r="W842" s="1189"/>
      <c r="X842" s="1189"/>
      <c r="Y842" s="1189"/>
      <c r="Z842" s="1189"/>
      <c r="AA842" s="1189"/>
      <c r="AB842" s="1189"/>
      <c r="AC842" s="1189"/>
      <c r="AD842" s="1189"/>
      <c r="AE842" s="1189"/>
      <c r="AF842" s="1189"/>
      <c r="AG842" s="1189"/>
      <c r="AH842" s="1189"/>
      <c r="AI842" s="1189"/>
    </row>
    <row r="843">
      <c r="A843" s="1202"/>
      <c r="B843" s="1203"/>
      <c r="C843" s="1189"/>
      <c r="D843" s="1189"/>
      <c r="E843" s="1189"/>
      <c r="F843" s="1189"/>
      <c r="G843" s="1189"/>
      <c r="H843" s="1189"/>
      <c r="I843" s="1189"/>
      <c r="J843" s="1189"/>
      <c r="K843" s="1189"/>
      <c r="L843" s="1189"/>
      <c r="M843" s="1189"/>
      <c r="N843" s="1189"/>
      <c r="O843" s="1189"/>
      <c r="P843" s="1189"/>
      <c r="Q843" s="1189"/>
      <c r="R843" s="1189"/>
      <c r="S843" s="1189"/>
      <c r="T843" s="1189"/>
      <c r="U843" s="1189"/>
      <c r="V843" s="1189"/>
      <c r="W843" s="1189"/>
      <c r="X843" s="1189"/>
      <c r="Y843" s="1189"/>
      <c r="Z843" s="1189"/>
      <c r="AA843" s="1189"/>
      <c r="AB843" s="1189"/>
      <c r="AC843" s="1189"/>
      <c r="AD843" s="1189"/>
      <c r="AE843" s="1189"/>
      <c r="AF843" s="1189"/>
      <c r="AG843" s="1189"/>
      <c r="AH843" s="1189"/>
      <c r="AI843" s="1189"/>
    </row>
    <row r="844">
      <c r="A844" s="1202"/>
      <c r="B844" s="1203"/>
      <c r="C844" s="1189"/>
      <c r="D844" s="1189"/>
      <c r="E844" s="1189"/>
      <c r="F844" s="1189"/>
      <c r="G844" s="1189"/>
      <c r="H844" s="1189"/>
      <c r="I844" s="1189"/>
      <c r="J844" s="1189"/>
      <c r="K844" s="1189"/>
      <c r="L844" s="1189"/>
      <c r="M844" s="1189"/>
      <c r="N844" s="1189"/>
      <c r="O844" s="1189"/>
      <c r="P844" s="1189"/>
      <c r="Q844" s="1189"/>
      <c r="R844" s="1189"/>
      <c r="S844" s="1189"/>
      <c r="T844" s="1189"/>
      <c r="U844" s="1189"/>
      <c r="V844" s="1189"/>
      <c r="W844" s="1189"/>
      <c r="X844" s="1189"/>
      <c r="Y844" s="1189"/>
      <c r="Z844" s="1189"/>
      <c r="AA844" s="1189"/>
      <c r="AB844" s="1189"/>
      <c r="AC844" s="1189"/>
      <c r="AD844" s="1189"/>
      <c r="AE844" s="1189"/>
      <c r="AF844" s="1189"/>
      <c r="AG844" s="1189"/>
      <c r="AH844" s="1189"/>
      <c r="AI844" s="1189"/>
    </row>
    <row r="845">
      <c r="A845" s="1202"/>
      <c r="B845" s="1203"/>
      <c r="C845" s="1189"/>
      <c r="D845" s="1189"/>
      <c r="E845" s="1189"/>
      <c r="F845" s="1189"/>
      <c r="G845" s="1189"/>
      <c r="H845" s="1189"/>
      <c r="I845" s="1189"/>
      <c r="J845" s="1189"/>
      <c r="K845" s="1189"/>
      <c r="L845" s="1189"/>
      <c r="M845" s="1189"/>
      <c r="N845" s="1189"/>
      <c r="O845" s="1189"/>
      <c r="P845" s="1189"/>
      <c r="Q845" s="1189"/>
      <c r="R845" s="1189"/>
      <c r="S845" s="1189"/>
      <c r="T845" s="1189"/>
      <c r="U845" s="1189"/>
      <c r="V845" s="1189"/>
      <c r="W845" s="1189"/>
      <c r="X845" s="1189"/>
      <c r="Y845" s="1189"/>
      <c r="Z845" s="1189"/>
      <c r="AA845" s="1189"/>
      <c r="AB845" s="1189"/>
      <c r="AC845" s="1189"/>
      <c r="AD845" s="1189"/>
      <c r="AE845" s="1189"/>
      <c r="AF845" s="1189"/>
      <c r="AG845" s="1189"/>
      <c r="AH845" s="1189"/>
      <c r="AI845" s="1189"/>
    </row>
    <row r="846">
      <c r="A846" s="1202"/>
      <c r="B846" s="1203"/>
      <c r="C846" s="1189"/>
      <c r="D846" s="1189"/>
      <c r="E846" s="1189"/>
      <c r="F846" s="1189"/>
      <c r="G846" s="1189"/>
      <c r="H846" s="1189"/>
      <c r="I846" s="1189"/>
      <c r="J846" s="1189"/>
      <c r="K846" s="1189"/>
      <c r="L846" s="1189"/>
      <c r="M846" s="1189"/>
      <c r="N846" s="1189"/>
      <c r="O846" s="1189"/>
      <c r="P846" s="1189"/>
      <c r="Q846" s="1189"/>
      <c r="R846" s="1189"/>
      <c r="S846" s="1189"/>
      <c r="T846" s="1189"/>
      <c r="U846" s="1189"/>
      <c r="V846" s="1189"/>
      <c r="W846" s="1189"/>
      <c r="X846" s="1189"/>
      <c r="Y846" s="1189"/>
      <c r="Z846" s="1189"/>
      <c r="AA846" s="1189"/>
      <c r="AB846" s="1189"/>
      <c r="AC846" s="1189"/>
      <c r="AD846" s="1189"/>
      <c r="AE846" s="1189"/>
      <c r="AF846" s="1189"/>
      <c r="AG846" s="1189"/>
      <c r="AH846" s="1189"/>
      <c r="AI846" s="1189"/>
    </row>
    <row r="847">
      <c r="A847" s="1202"/>
      <c r="B847" s="1203"/>
      <c r="C847" s="1189"/>
      <c r="D847" s="1189"/>
      <c r="E847" s="1189"/>
      <c r="F847" s="1189"/>
      <c r="G847" s="1189"/>
      <c r="H847" s="1189"/>
      <c r="I847" s="1189"/>
      <c r="J847" s="1189"/>
      <c r="K847" s="1189"/>
      <c r="L847" s="1189"/>
      <c r="M847" s="1189"/>
      <c r="N847" s="1189"/>
      <c r="O847" s="1189"/>
      <c r="P847" s="1189"/>
      <c r="Q847" s="1189"/>
      <c r="R847" s="1189"/>
      <c r="S847" s="1189"/>
      <c r="T847" s="1189"/>
      <c r="U847" s="1189"/>
      <c r="V847" s="1189"/>
      <c r="W847" s="1189"/>
      <c r="X847" s="1189"/>
      <c r="Y847" s="1189"/>
      <c r="Z847" s="1189"/>
      <c r="AA847" s="1189"/>
      <c r="AB847" s="1189"/>
      <c r="AC847" s="1189"/>
      <c r="AD847" s="1189"/>
      <c r="AE847" s="1189"/>
      <c r="AF847" s="1189"/>
      <c r="AG847" s="1189"/>
      <c r="AH847" s="1189"/>
      <c r="AI847" s="1189"/>
    </row>
    <row r="848">
      <c r="A848" s="1202"/>
      <c r="B848" s="1203"/>
      <c r="C848" s="1189"/>
      <c r="D848" s="1189"/>
      <c r="E848" s="1189"/>
      <c r="F848" s="1189"/>
      <c r="G848" s="1189"/>
      <c r="H848" s="1189"/>
      <c r="I848" s="1189"/>
      <c r="J848" s="1189"/>
      <c r="K848" s="1189"/>
      <c r="L848" s="1189"/>
      <c r="M848" s="1189"/>
      <c r="N848" s="1189"/>
      <c r="O848" s="1189"/>
      <c r="P848" s="1189"/>
      <c r="Q848" s="1189"/>
      <c r="R848" s="1189"/>
      <c r="S848" s="1189"/>
      <c r="T848" s="1189"/>
      <c r="U848" s="1189"/>
      <c r="V848" s="1189"/>
      <c r="W848" s="1189"/>
      <c r="X848" s="1189"/>
      <c r="Y848" s="1189"/>
      <c r="Z848" s="1189"/>
      <c r="AA848" s="1189"/>
      <c r="AB848" s="1189"/>
      <c r="AC848" s="1189"/>
      <c r="AD848" s="1189"/>
      <c r="AE848" s="1189"/>
      <c r="AF848" s="1189"/>
      <c r="AG848" s="1189"/>
      <c r="AH848" s="1189"/>
      <c r="AI848" s="1189"/>
    </row>
    <row r="849">
      <c r="A849" s="1202"/>
      <c r="B849" s="1203"/>
      <c r="C849" s="1189"/>
      <c r="D849" s="1189"/>
      <c r="E849" s="1189"/>
      <c r="F849" s="1189"/>
      <c r="G849" s="1189"/>
      <c r="H849" s="1189"/>
      <c r="I849" s="1189"/>
      <c r="J849" s="1189"/>
      <c r="K849" s="1189"/>
      <c r="L849" s="1189"/>
      <c r="M849" s="1189"/>
      <c r="N849" s="1189"/>
      <c r="O849" s="1189"/>
      <c r="P849" s="1189"/>
      <c r="Q849" s="1189"/>
      <c r="R849" s="1189"/>
      <c r="S849" s="1189"/>
      <c r="T849" s="1189"/>
      <c r="U849" s="1189"/>
      <c r="V849" s="1189"/>
      <c r="W849" s="1189"/>
      <c r="X849" s="1189"/>
      <c r="Y849" s="1189"/>
      <c r="Z849" s="1189"/>
      <c r="AA849" s="1189"/>
      <c r="AB849" s="1189"/>
      <c r="AC849" s="1189"/>
      <c r="AD849" s="1189"/>
      <c r="AE849" s="1189"/>
      <c r="AF849" s="1189"/>
      <c r="AG849" s="1189"/>
      <c r="AH849" s="1189"/>
      <c r="AI849" s="1189"/>
    </row>
    <row r="850">
      <c r="A850" s="1202"/>
      <c r="B850" s="1203"/>
      <c r="C850" s="1189"/>
      <c r="D850" s="1189"/>
      <c r="E850" s="1189"/>
      <c r="F850" s="1189"/>
      <c r="G850" s="1189"/>
      <c r="H850" s="1189"/>
      <c r="I850" s="1189"/>
      <c r="J850" s="1189"/>
      <c r="K850" s="1189"/>
      <c r="L850" s="1189"/>
      <c r="M850" s="1189"/>
      <c r="N850" s="1189"/>
      <c r="O850" s="1189"/>
      <c r="P850" s="1189"/>
      <c r="Q850" s="1189"/>
      <c r="R850" s="1189"/>
      <c r="S850" s="1189"/>
      <c r="T850" s="1189"/>
      <c r="U850" s="1189"/>
      <c r="V850" s="1189"/>
      <c r="W850" s="1189"/>
      <c r="X850" s="1189"/>
      <c r="Y850" s="1189"/>
      <c r="Z850" s="1189"/>
      <c r="AA850" s="1189"/>
      <c r="AB850" s="1189"/>
      <c r="AC850" s="1189"/>
      <c r="AD850" s="1189"/>
      <c r="AE850" s="1189"/>
      <c r="AF850" s="1189"/>
      <c r="AG850" s="1189"/>
      <c r="AH850" s="1189"/>
      <c r="AI850" s="1189"/>
    </row>
    <row r="851">
      <c r="A851" s="1202"/>
      <c r="B851" s="1203"/>
      <c r="C851" s="1189"/>
      <c r="D851" s="1189"/>
      <c r="E851" s="1189"/>
      <c r="F851" s="1189"/>
      <c r="G851" s="1189"/>
      <c r="H851" s="1189"/>
      <c r="I851" s="1189"/>
      <c r="J851" s="1189"/>
      <c r="K851" s="1189"/>
      <c r="L851" s="1189"/>
      <c r="M851" s="1189"/>
      <c r="N851" s="1189"/>
      <c r="O851" s="1189"/>
      <c r="P851" s="1189"/>
      <c r="Q851" s="1189"/>
      <c r="R851" s="1189"/>
      <c r="S851" s="1189"/>
      <c r="T851" s="1189"/>
      <c r="U851" s="1189"/>
      <c r="V851" s="1189"/>
      <c r="W851" s="1189"/>
      <c r="X851" s="1189"/>
      <c r="Y851" s="1189"/>
      <c r="Z851" s="1189"/>
      <c r="AA851" s="1189"/>
      <c r="AB851" s="1189"/>
      <c r="AC851" s="1189"/>
      <c r="AD851" s="1189"/>
      <c r="AE851" s="1189"/>
      <c r="AF851" s="1189"/>
      <c r="AG851" s="1189"/>
      <c r="AH851" s="1189"/>
      <c r="AI851" s="1189"/>
    </row>
    <row r="852">
      <c r="A852" s="1202"/>
      <c r="B852" s="1203"/>
      <c r="C852" s="1189"/>
      <c r="D852" s="1189"/>
      <c r="E852" s="1189"/>
      <c r="F852" s="1189"/>
      <c r="G852" s="1189"/>
      <c r="H852" s="1189"/>
      <c r="I852" s="1189"/>
      <c r="J852" s="1189"/>
      <c r="K852" s="1189"/>
      <c r="L852" s="1189"/>
      <c r="M852" s="1189"/>
      <c r="N852" s="1189"/>
      <c r="O852" s="1189"/>
      <c r="P852" s="1189"/>
      <c r="Q852" s="1189"/>
      <c r="R852" s="1189"/>
      <c r="S852" s="1189"/>
      <c r="T852" s="1189"/>
      <c r="U852" s="1189"/>
      <c r="V852" s="1189"/>
      <c r="W852" s="1189"/>
      <c r="X852" s="1189"/>
      <c r="Y852" s="1189"/>
      <c r="Z852" s="1189"/>
      <c r="AA852" s="1189"/>
      <c r="AB852" s="1189"/>
      <c r="AC852" s="1189"/>
      <c r="AD852" s="1189"/>
      <c r="AE852" s="1189"/>
      <c r="AF852" s="1189"/>
      <c r="AG852" s="1189"/>
      <c r="AH852" s="1189"/>
      <c r="AI852" s="1189"/>
    </row>
    <row r="853">
      <c r="A853" s="1202"/>
      <c r="B853" s="1203"/>
      <c r="C853" s="1189"/>
      <c r="D853" s="1189"/>
      <c r="E853" s="1189"/>
      <c r="F853" s="1189"/>
      <c r="G853" s="1189"/>
      <c r="H853" s="1189"/>
      <c r="I853" s="1189"/>
      <c r="J853" s="1189"/>
      <c r="K853" s="1189"/>
      <c r="L853" s="1189"/>
      <c r="M853" s="1189"/>
      <c r="N853" s="1189"/>
      <c r="O853" s="1189"/>
      <c r="P853" s="1189"/>
      <c r="Q853" s="1189"/>
      <c r="R853" s="1189"/>
      <c r="S853" s="1189"/>
      <c r="T853" s="1189"/>
      <c r="U853" s="1189"/>
      <c r="V853" s="1189"/>
      <c r="W853" s="1189"/>
      <c r="X853" s="1189"/>
      <c r="Y853" s="1189"/>
      <c r="Z853" s="1189"/>
      <c r="AA853" s="1189"/>
      <c r="AB853" s="1189"/>
      <c r="AC853" s="1189"/>
      <c r="AD853" s="1189"/>
      <c r="AE853" s="1189"/>
      <c r="AF853" s="1189"/>
      <c r="AG853" s="1189"/>
      <c r="AH853" s="1189"/>
      <c r="AI853" s="1189"/>
    </row>
    <row r="854">
      <c r="A854" s="1202"/>
      <c r="B854" s="1203"/>
      <c r="C854" s="1189"/>
      <c r="D854" s="1189"/>
      <c r="E854" s="1189"/>
      <c r="F854" s="1189"/>
      <c r="G854" s="1189"/>
      <c r="H854" s="1189"/>
      <c r="I854" s="1189"/>
      <c r="J854" s="1189"/>
      <c r="K854" s="1189"/>
      <c r="L854" s="1189"/>
      <c r="M854" s="1189"/>
      <c r="N854" s="1189"/>
      <c r="O854" s="1189"/>
      <c r="P854" s="1189"/>
      <c r="Q854" s="1189"/>
      <c r="R854" s="1189"/>
      <c r="S854" s="1189"/>
      <c r="T854" s="1189"/>
      <c r="U854" s="1189"/>
      <c r="V854" s="1189"/>
      <c r="W854" s="1189"/>
      <c r="X854" s="1189"/>
      <c r="Y854" s="1189"/>
      <c r="Z854" s="1189"/>
      <c r="AA854" s="1189"/>
      <c r="AB854" s="1189"/>
      <c r="AC854" s="1189"/>
      <c r="AD854" s="1189"/>
      <c r="AE854" s="1189"/>
      <c r="AF854" s="1189"/>
      <c r="AG854" s="1189"/>
      <c r="AH854" s="1189"/>
      <c r="AI854" s="1189"/>
    </row>
    <row r="855">
      <c r="A855" s="1202"/>
      <c r="B855" s="1203"/>
      <c r="C855" s="1189"/>
      <c r="D855" s="1189"/>
      <c r="E855" s="1189"/>
      <c r="F855" s="1189"/>
      <c r="G855" s="1189"/>
      <c r="H855" s="1189"/>
      <c r="I855" s="1189"/>
      <c r="J855" s="1189"/>
      <c r="K855" s="1189"/>
      <c r="L855" s="1189"/>
      <c r="M855" s="1189"/>
      <c r="N855" s="1189"/>
      <c r="O855" s="1189"/>
      <c r="P855" s="1189"/>
      <c r="Q855" s="1189"/>
      <c r="R855" s="1189"/>
      <c r="S855" s="1189"/>
      <c r="T855" s="1189"/>
      <c r="U855" s="1189"/>
      <c r="V855" s="1189"/>
      <c r="W855" s="1189"/>
      <c r="X855" s="1189"/>
      <c r="Y855" s="1189"/>
      <c r="Z855" s="1189"/>
      <c r="AA855" s="1189"/>
      <c r="AB855" s="1189"/>
      <c r="AC855" s="1189"/>
      <c r="AD855" s="1189"/>
      <c r="AE855" s="1189"/>
      <c r="AF855" s="1189"/>
      <c r="AG855" s="1189"/>
      <c r="AH855" s="1189"/>
      <c r="AI855" s="1189"/>
    </row>
    <row r="856">
      <c r="A856" s="1202"/>
      <c r="B856" s="1203"/>
      <c r="C856" s="1189"/>
      <c r="D856" s="1189"/>
      <c r="E856" s="1189"/>
      <c r="F856" s="1189"/>
      <c r="G856" s="1189"/>
      <c r="H856" s="1189"/>
      <c r="I856" s="1189"/>
      <c r="J856" s="1189"/>
      <c r="K856" s="1189"/>
      <c r="L856" s="1189"/>
      <c r="M856" s="1189"/>
      <c r="N856" s="1189"/>
      <c r="O856" s="1189"/>
      <c r="P856" s="1189"/>
      <c r="Q856" s="1189"/>
      <c r="R856" s="1189"/>
      <c r="S856" s="1189"/>
      <c r="T856" s="1189"/>
      <c r="U856" s="1189"/>
      <c r="V856" s="1189"/>
      <c r="W856" s="1189"/>
      <c r="X856" s="1189"/>
      <c r="Y856" s="1189"/>
      <c r="Z856" s="1189"/>
      <c r="AA856" s="1189"/>
      <c r="AB856" s="1189"/>
      <c r="AC856" s="1189"/>
      <c r="AD856" s="1189"/>
      <c r="AE856" s="1189"/>
      <c r="AF856" s="1189"/>
      <c r="AG856" s="1189"/>
      <c r="AH856" s="1189"/>
      <c r="AI856" s="1189"/>
    </row>
    <row r="857">
      <c r="A857" s="1202"/>
      <c r="B857" s="1203"/>
      <c r="C857" s="1189"/>
      <c r="D857" s="1189"/>
      <c r="E857" s="1189"/>
      <c r="F857" s="1189"/>
      <c r="G857" s="1189"/>
      <c r="H857" s="1189"/>
      <c r="I857" s="1189"/>
      <c r="J857" s="1189"/>
      <c r="K857" s="1189"/>
      <c r="L857" s="1189"/>
      <c r="M857" s="1189"/>
      <c r="N857" s="1189"/>
      <c r="O857" s="1189"/>
      <c r="P857" s="1189"/>
      <c r="Q857" s="1189"/>
      <c r="R857" s="1189"/>
      <c r="S857" s="1189"/>
      <c r="T857" s="1189"/>
      <c r="U857" s="1189"/>
      <c r="V857" s="1189"/>
      <c r="W857" s="1189"/>
      <c r="X857" s="1189"/>
      <c r="Y857" s="1189"/>
      <c r="Z857" s="1189"/>
      <c r="AA857" s="1189"/>
      <c r="AB857" s="1189"/>
      <c r="AC857" s="1189"/>
      <c r="AD857" s="1189"/>
      <c r="AE857" s="1189"/>
      <c r="AF857" s="1189"/>
      <c r="AG857" s="1189"/>
      <c r="AH857" s="1189"/>
      <c r="AI857" s="1189"/>
    </row>
    <row r="858">
      <c r="A858" s="1202"/>
      <c r="B858" s="1203"/>
      <c r="C858" s="1189"/>
      <c r="D858" s="1189"/>
      <c r="E858" s="1189"/>
      <c r="F858" s="1189"/>
      <c r="G858" s="1189"/>
      <c r="H858" s="1189"/>
      <c r="I858" s="1189"/>
      <c r="J858" s="1189"/>
      <c r="K858" s="1189"/>
      <c r="L858" s="1189"/>
      <c r="M858" s="1189"/>
      <c r="N858" s="1189"/>
      <c r="O858" s="1189"/>
      <c r="P858" s="1189"/>
      <c r="Q858" s="1189"/>
      <c r="R858" s="1189"/>
      <c r="S858" s="1189"/>
      <c r="T858" s="1189"/>
      <c r="U858" s="1189"/>
      <c r="V858" s="1189"/>
      <c r="W858" s="1189"/>
      <c r="X858" s="1189"/>
      <c r="Y858" s="1189"/>
      <c r="Z858" s="1189"/>
      <c r="AA858" s="1189"/>
      <c r="AB858" s="1189"/>
      <c r="AC858" s="1189"/>
      <c r="AD858" s="1189"/>
      <c r="AE858" s="1189"/>
      <c r="AF858" s="1189"/>
      <c r="AG858" s="1189"/>
      <c r="AH858" s="1189"/>
      <c r="AI858" s="1189"/>
    </row>
    <row r="859">
      <c r="A859" s="1202"/>
      <c r="B859" s="1203"/>
      <c r="C859" s="1189"/>
      <c r="D859" s="1189"/>
      <c r="E859" s="1189"/>
      <c r="F859" s="1189"/>
      <c r="G859" s="1189"/>
      <c r="H859" s="1189"/>
      <c r="I859" s="1189"/>
      <c r="J859" s="1189"/>
      <c r="K859" s="1189"/>
      <c r="L859" s="1189"/>
      <c r="M859" s="1189"/>
      <c r="N859" s="1189"/>
      <c r="O859" s="1189"/>
      <c r="P859" s="1189"/>
      <c r="Q859" s="1189"/>
      <c r="R859" s="1189"/>
      <c r="S859" s="1189"/>
      <c r="T859" s="1189"/>
      <c r="U859" s="1189"/>
      <c r="V859" s="1189"/>
      <c r="W859" s="1189"/>
      <c r="X859" s="1189"/>
      <c r="Y859" s="1189"/>
      <c r="Z859" s="1189"/>
      <c r="AA859" s="1189"/>
      <c r="AB859" s="1189"/>
      <c r="AC859" s="1189"/>
      <c r="AD859" s="1189"/>
      <c r="AE859" s="1189"/>
      <c r="AF859" s="1189"/>
      <c r="AG859" s="1189"/>
      <c r="AH859" s="1189"/>
      <c r="AI859" s="1189"/>
    </row>
    <row r="860">
      <c r="A860" s="1202"/>
      <c r="B860" s="1203"/>
      <c r="C860" s="1189"/>
      <c r="D860" s="1189"/>
      <c r="E860" s="1189"/>
      <c r="F860" s="1189"/>
      <c r="G860" s="1189"/>
      <c r="H860" s="1189"/>
      <c r="I860" s="1189"/>
      <c r="J860" s="1189"/>
      <c r="K860" s="1189"/>
      <c r="L860" s="1189"/>
      <c r="M860" s="1189"/>
      <c r="N860" s="1189"/>
      <c r="O860" s="1189"/>
      <c r="P860" s="1189"/>
      <c r="Q860" s="1189"/>
      <c r="R860" s="1189"/>
      <c r="S860" s="1189"/>
      <c r="T860" s="1189"/>
      <c r="U860" s="1189"/>
      <c r="V860" s="1189"/>
      <c r="W860" s="1189"/>
      <c r="X860" s="1189"/>
      <c r="Y860" s="1189"/>
      <c r="Z860" s="1189"/>
      <c r="AA860" s="1189"/>
      <c r="AB860" s="1189"/>
      <c r="AC860" s="1189"/>
      <c r="AD860" s="1189"/>
      <c r="AE860" s="1189"/>
      <c r="AF860" s="1189"/>
      <c r="AG860" s="1189"/>
      <c r="AH860" s="1189"/>
      <c r="AI860" s="1189"/>
    </row>
    <row r="861">
      <c r="A861" s="1202"/>
      <c r="B861" s="1203"/>
      <c r="C861" s="1189"/>
      <c r="D861" s="1189"/>
      <c r="E861" s="1189"/>
      <c r="F861" s="1189"/>
      <c r="G861" s="1189"/>
      <c r="H861" s="1189"/>
      <c r="I861" s="1189"/>
      <c r="J861" s="1189"/>
      <c r="K861" s="1189"/>
      <c r="L861" s="1189"/>
      <c r="M861" s="1189"/>
      <c r="N861" s="1189"/>
      <c r="O861" s="1189"/>
      <c r="P861" s="1189"/>
      <c r="Q861" s="1189"/>
      <c r="R861" s="1189"/>
      <c r="S861" s="1189"/>
      <c r="T861" s="1189"/>
      <c r="U861" s="1189"/>
      <c r="V861" s="1189"/>
      <c r="W861" s="1189"/>
      <c r="X861" s="1189"/>
      <c r="Y861" s="1189"/>
      <c r="Z861" s="1189"/>
      <c r="AA861" s="1189"/>
      <c r="AB861" s="1189"/>
      <c r="AC861" s="1189"/>
      <c r="AD861" s="1189"/>
      <c r="AE861" s="1189"/>
      <c r="AF861" s="1189"/>
      <c r="AG861" s="1189"/>
      <c r="AH861" s="1189"/>
      <c r="AI861" s="1189"/>
    </row>
    <row r="862">
      <c r="A862" s="1202"/>
      <c r="B862" s="1203"/>
      <c r="C862" s="1189"/>
      <c r="D862" s="1189"/>
      <c r="E862" s="1189"/>
      <c r="F862" s="1189"/>
      <c r="G862" s="1189"/>
      <c r="H862" s="1189"/>
      <c r="I862" s="1189"/>
      <c r="J862" s="1189"/>
      <c r="K862" s="1189"/>
      <c r="L862" s="1189"/>
      <c r="M862" s="1189"/>
      <c r="N862" s="1189"/>
      <c r="O862" s="1189"/>
      <c r="P862" s="1189"/>
      <c r="Q862" s="1189"/>
      <c r="R862" s="1189"/>
      <c r="S862" s="1189"/>
      <c r="T862" s="1189"/>
      <c r="U862" s="1189"/>
      <c r="V862" s="1189"/>
      <c r="W862" s="1189"/>
      <c r="X862" s="1189"/>
      <c r="Y862" s="1189"/>
      <c r="Z862" s="1189"/>
      <c r="AA862" s="1189"/>
      <c r="AB862" s="1189"/>
      <c r="AC862" s="1189"/>
      <c r="AD862" s="1189"/>
      <c r="AE862" s="1189"/>
      <c r="AF862" s="1189"/>
      <c r="AG862" s="1189"/>
      <c r="AH862" s="1189"/>
      <c r="AI862" s="1189"/>
    </row>
    <row r="863">
      <c r="A863" s="1202"/>
      <c r="B863" s="1203"/>
      <c r="C863" s="1189"/>
      <c r="D863" s="1189"/>
      <c r="E863" s="1189"/>
      <c r="F863" s="1189"/>
      <c r="G863" s="1189"/>
      <c r="H863" s="1189"/>
      <c r="I863" s="1189"/>
      <c r="J863" s="1189"/>
      <c r="K863" s="1189"/>
      <c r="L863" s="1189"/>
      <c r="M863" s="1189"/>
      <c r="N863" s="1189"/>
      <c r="O863" s="1189"/>
      <c r="P863" s="1189"/>
      <c r="Q863" s="1189"/>
      <c r="R863" s="1189"/>
      <c r="S863" s="1189"/>
      <c r="T863" s="1189"/>
      <c r="U863" s="1189"/>
      <c r="V863" s="1189"/>
      <c r="W863" s="1189"/>
      <c r="X863" s="1189"/>
      <c r="Y863" s="1189"/>
      <c r="Z863" s="1189"/>
      <c r="AA863" s="1189"/>
      <c r="AB863" s="1189"/>
      <c r="AC863" s="1189"/>
      <c r="AD863" s="1189"/>
      <c r="AE863" s="1189"/>
      <c r="AF863" s="1189"/>
      <c r="AG863" s="1189"/>
      <c r="AH863" s="1189"/>
      <c r="AI863" s="1189"/>
    </row>
    <row r="864">
      <c r="A864" s="1202"/>
      <c r="B864" s="1203"/>
      <c r="C864" s="1189"/>
      <c r="D864" s="1189"/>
      <c r="E864" s="1189"/>
      <c r="F864" s="1189"/>
      <c r="G864" s="1189"/>
      <c r="H864" s="1189"/>
      <c r="I864" s="1189"/>
      <c r="J864" s="1189"/>
      <c r="K864" s="1189"/>
      <c r="L864" s="1189"/>
      <c r="M864" s="1189"/>
      <c r="N864" s="1189"/>
      <c r="O864" s="1189"/>
      <c r="P864" s="1189"/>
      <c r="Q864" s="1189"/>
      <c r="R864" s="1189"/>
      <c r="S864" s="1189"/>
      <c r="T864" s="1189"/>
      <c r="U864" s="1189"/>
      <c r="V864" s="1189"/>
      <c r="W864" s="1189"/>
      <c r="X864" s="1189"/>
      <c r="Y864" s="1189"/>
      <c r="Z864" s="1189"/>
      <c r="AA864" s="1189"/>
      <c r="AB864" s="1189"/>
      <c r="AC864" s="1189"/>
      <c r="AD864" s="1189"/>
      <c r="AE864" s="1189"/>
      <c r="AF864" s="1189"/>
      <c r="AG864" s="1189"/>
      <c r="AH864" s="1189"/>
      <c r="AI864" s="1189"/>
    </row>
    <row r="865">
      <c r="A865" s="1202"/>
      <c r="B865" s="1203"/>
      <c r="C865" s="1189"/>
      <c r="D865" s="1189"/>
      <c r="E865" s="1189"/>
      <c r="F865" s="1189"/>
      <c r="G865" s="1189"/>
      <c r="H865" s="1189"/>
      <c r="I865" s="1189"/>
      <c r="J865" s="1189"/>
      <c r="K865" s="1189"/>
      <c r="L865" s="1189"/>
      <c r="M865" s="1189"/>
      <c r="N865" s="1189"/>
      <c r="O865" s="1189"/>
      <c r="P865" s="1189"/>
      <c r="Q865" s="1189"/>
      <c r="R865" s="1189"/>
      <c r="S865" s="1189"/>
      <c r="T865" s="1189"/>
      <c r="U865" s="1189"/>
      <c r="V865" s="1189"/>
      <c r="W865" s="1189"/>
      <c r="X865" s="1189"/>
      <c r="Y865" s="1189"/>
      <c r="Z865" s="1189"/>
      <c r="AA865" s="1189"/>
      <c r="AB865" s="1189"/>
      <c r="AC865" s="1189"/>
      <c r="AD865" s="1189"/>
      <c r="AE865" s="1189"/>
      <c r="AF865" s="1189"/>
      <c r="AG865" s="1189"/>
      <c r="AH865" s="1189"/>
      <c r="AI865" s="1189"/>
    </row>
    <row r="866">
      <c r="A866" s="1202"/>
      <c r="B866" s="1203"/>
      <c r="C866" s="1189"/>
      <c r="D866" s="1189"/>
      <c r="E866" s="1189"/>
      <c r="F866" s="1189"/>
      <c r="G866" s="1189"/>
      <c r="H866" s="1189"/>
      <c r="I866" s="1189"/>
      <c r="J866" s="1189"/>
      <c r="K866" s="1189"/>
      <c r="L866" s="1189"/>
      <c r="M866" s="1189"/>
      <c r="N866" s="1189"/>
      <c r="O866" s="1189"/>
      <c r="P866" s="1189"/>
      <c r="Q866" s="1189"/>
      <c r="R866" s="1189"/>
      <c r="S866" s="1189"/>
      <c r="T866" s="1189"/>
      <c r="U866" s="1189"/>
      <c r="V866" s="1189"/>
      <c r="W866" s="1189"/>
      <c r="X866" s="1189"/>
      <c r="Y866" s="1189"/>
      <c r="Z866" s="1189"/>
      <c r="AA866" s="1189"/>
      <c r="AB866" s="1189"/>
      <c r="AC866" s="1189"/>
      <c r="AD866" s="1189"/>
      <c r="AE866" s="1189"/>
      <c r="AF866" s="1189"/>
      <c r="AG866" s="1189"/>
      <c r="AH866" s="1189"/>
      <c r="AI866" s="1189"/>
    </row>
    <row r="867">
      <c r="A867" s="1202"/>
      <c r="B867" s="1203"/>
      <c r="C867" s="1189"/>
      <c r="D867" s="1189"/>
      <c r="E867" s="1189"/>
      <c r="F867" s="1189"/>
      <c r="G867" s="1189"/>
      <c r="H867" s="1189"/>
      <c r="I867" s="1189"/>
      <c r="J867" s="1189"/>
      <c r="K867" s="1189"/>
      <c r="L867" s="1189"/>
      <c r="M867" s="1189"/>
      <c r="N867" s="1189"/>
      <c r="O867" s="1189"/>
      <c r="P867" s="1189"/>
      <c r="Q867" s="1189"/>
      <c r="R867" s="1189"/>
      <c r="S867" s="1189"/>
      <c r="T867" s="1189"/>
      <c r="U867" s="1189"/>
      <c r="V867" s="1189"/>
      <c r="W867" s="1189"/>
      <c r="X867" s="1189"/>
      <c r="Y867" s="1189"/>
      <c r="Z867" s="1189"/>
      <c r="AA867" s="1189"/>
      <c r="AB867" s="1189"/>
      <c r="AC867" s="1189"/>
      <c r="AD867" s="1189"/>
      <c r="AE867" s="1189"/>
      <c r="AF867" s="1189"/>
      <c r="AG867" s="1189"/>
      <c r="AH867" s="1189"/>
      <c r="AI867" s="1189"/>
    </row>
    <row r="868">
      <c r="A868" s="1202"/>
      <c r="B868" s="1203"/>
      <c r="C868" s="1189"/>
      <c r="D868" s="1189"/>
      <c r="E868" s="1189"/>
      <c r="F868" s="1189"/>
      <c r="G868" s="1189"/>
      <c r="H868" s="1189"/>
      <c r="I868" s="1189"/>
      <c r="J868" s="1189"/>
      <c r="K868" s="1189"/>
      <c r="L868" s="1189"/>
      <c r="M868" s="1189"/>
      <c r="N868" s="1189"/>
      <c r="O868" s="1189"/>
      <c r="P868" s="1189"/>
      <c r="Q868" s="1189"/>
      <c r="R868" s="1189"/>
      <c r="S868" s="1189"/>
      <c r="T868" s="1189"/>
      <c r="U868" s="1189"/>
      <c r="V868" s="1189"/>
      <c r="W868" s="1189"/>
      <c r="X868" s="1189"/>
      <c r="Y868" s="1189"/>
      <c r="Z868" s="1189"/>
      <c r="AA868" s="1189"/>
      <c r="AB868" s="1189"/>
      <c r="AC868" s="1189"/>
      <c r="AD868" s="1189"/>
      <c r="AE868" s="1189"/>
      <c r="AF868" s="1189"/>
      <c r="AG868" s="1189"/>
      <c r="AH868" s="1189"/>
      <c r="AI868" s="1189"/>
    </row>
    <row r="869">
      <c r="A869" s="1202"/>
      <c r="B869" s="1203"/>
      <c r="C869" s="1189"/>
      <c r="D869" s="1189"/>
      <c r="E869" s="1189"/>
      <c r="F869" s="1189"/>
      <c r="G869" s="1189"/>
      <c r="H869" s="1189"/>
      <c r="I869" s="1189"/>
      <c r="J869" s="1189"/>
      <c r="K869" s="1189"/>
      <c r="L869" s="1189"/>
      <c r="M869" s="1189"/>
      <c r="N869" s="1189"/>
      <c r="O869" s="1189"/>
      <c r="P869" s="1189"/>
      <c r="Q869" s="1189"/>
      <c r="R869" s="1189"/>
      <c r="S869" s="1189"/>
      <c r="T869" s="1189"/>
      <c r="U869" s="1189"/>
      <c r="V869" s="1189"/>
      <c r="W869" s="1189"/>
      <c r="X869" s="1189"/>
      <c r="Y869" s="1189"/>
      <c r="Z869" s="1189"/>
      <c r="AA869" s="1189"/>
      <c r="AB869" s="1189"/>
      <c r="AC869" s="1189"/>
      <c r="AD869" s="1189"/>
      <c r="AE869" s="1189"/>
      <c r="AF869" s="1189"/>
      <c r="AG869" s="1189"/>
      <c r="AH869" s="1189"/>
      <c r="AI869" s="1189"/>
    </row>
    <row r="870">
      <c r="A870" s="1202"/>
      <c r="B870" s="1203"/>
      <c r="C870" s="1189"/>
      <c r="D870" s="1189"/>
      <c r="E870" s="1189"/>
      <c r="F870" s="1189"/>
      <c r="G870" s="1189"/>
      <c r="H870" s="1189"/>
      <c r="I870" s="1189"/>
      <c r="J870" s="1189"/>
      <c r="K870" s="1189"/>
      <c r="L870" s="1189"/>
      <c r="M870" s="1189"/>
      <c r="N870" s="1189"/>
      <c r="O870" s="1189"/>
      <c r="P870" s="1189"/>
      <c r="Q870" s="1189"/>
      <c r="R870" s="1189"/>
      <c r="S870" s="1189"/>
      <c r="T870" s="1189"/>
      <c r="U870" s="1189"/>
      <c r="V870" s="1189"/>
      <c r="W870" s="1189"/>
      <c r="X870" s="1189"/>
      <c r="Y870" s="1189"/>
      <c r="Z870" s="1189"/>
      <c r="AA870" s="1189"/>
      <c r="AB870" s="1189"/>
      <c r="AC870" s="1189"/>
      <c r="AD870" s="1189"/>
      <c r="AE870" s="1189"/>
      <c r="AF870" s="1189"/>
      <c r="AG870" s="1189"/>
      <c r="AH870" s="1189"/>
      <c r="AI870" s="1189"/>
    </row>
    <row r="871">
      <c r="A871" s="1202"/>
      <c r="B871" s="1203"/>
      <c r="C871" s="1189"/>
      <c r="D871" s="1189"/>
      <c r="E871" s="1189"/>
      <c r="F871" s="1189"/>
      <c r="G871" s="1189"/>
      <c r="H871" s="1189"/>
      <c r="I871" s="1189"/>
      <c r="J871" s="1189"/>
      <c r="K871" s="1189"/>
      <c r="L871" s="1189"/>
      <c r="M871" s="1189"/>
      <c r="N871" s="1189"/>
      <c r="O871" s="1189"/>
      <c r="P871" s="1189"/>
      <c r="Q871" s="1189"/>
      <c r="R871" s="1189"/>
      <c r="S871" s="1189"/>
      <c r="T871" s="1189"/>
      <c r="U871" s="1189"/>
      <c r="V871" s="1189"/>
      <c r="W871" s="1189"/>
      <c r="X871" s="1189"/>
      <c r="Y871" s="1189"/>
      <c r="Z871" s="1189"/>
      <c r="AA871" s="1189"/>
      <c r="AB871" s="1189"/>
      <c r="AC871" s="1189"/>
      <c r="AD871" s="1189"/>
      <c r="AE871" s="1189"/>
      <c r="AF871" s="1189"/>
      <c r="AG871" s="1189"/>
      <c r="AH871" s="1189"/>
      <c r="AI871" s="1189"/>
    </row>
    <row r="872">
      <c r="A872" s="1202"/>
      <c r="B872" s="1203"/>
      <c r="C872" s="1189"/>
      <c r="D872" s="1189"/>
      <c r="E872" s="1189"/>
      <c r="F872" s="1189"/>
      <c r="G872" s="1189"/>
      <c r="H872" s="1189"/>
      <c r="I872" s="1189"/>
      <c r="J872" s="1189"/>
      <c r="K872" s="1189"/>
      <c r="L872" s="1189"/>
      <c r="M872" s="1189"/>
      <c r="N872" s="1189"/>
      <c r="O872" s="1189"/>
      <c r="P872" s="1189"/>
      <c r="Q872" s="1189"/>
      <c r="R872" s="1189"/>
      <c r="S872" s="1189"/>
      <c r="T872" s="1189"/>
      <c r="U872" s="1189"/>
      <c r="V872" s="1189"/>
      <c r="W872" s="1189"/>
      <c r="X872" s="1189"/>
      <c r="Y872" s="1189"/>
      <c r="Z872" s="1189"/>
      <c r="AA872" s="1189"/>
      <c r="AB872" s="1189"/>
      <c r="AC872" s="1189"/>
      <c r="AD872" s="1189"/>
      <c r="AE872" s="1189"/>
      <c r="AF872" s="1189"/>
      <c r="AG872" s="1189"/>
      <c r="AH872" s="1189"/>
      <c r="AI872" s="1189"/>
    </row>
    <row r="873">
      <c r="A873" s="1202"/>
      <c r="B873" s="1203"/>
      <c r="C873" s="1189"/>
      <c r="D873" s="1189"/>
      <c r="E873" s="1189"/>
      <c r="F873" s="1189"/>
      <c r="G873" s="1189"/>
      <c r="H873" s="1189"/>
      <c r="I873" s="1189"/>
      <c r="J873" s="1189"/>
      <c r="K873" s="1189"/>
      <c r="L873" s="1189"/>
      <c r="M873" s="1189"/>
      <c r="N873" s="1189"/>
      <c r="O873" s="1189"/>
      <c r="P873" s="1189"/>
      <c r="Q873" s="1189"/>
      <c r="R873" s="1189"/>
      <c r="S873" s="1189"/>
      <c r="T873" s="1189"/>
      <c r="U873" s="1189"/>
      <c r="V873" s="1189"/>
      <c r="W873" s="1189"/>
      <c r="X873" s="1189"/>
      <c r="Y873" s="1189"/>
      <c r="Z873" s="1189"/>
      <c r="AA873" s="1189"/>
      <c r="AB873" s="1189"/>
      <c r="AC873" s="1189"/>
      <c r="AD873" s="1189"/>
      <c r="AE873" s="1189"/>
      <c r="AF873" s="1189"/>
      <c r="AG873" s="1189"/>
      <c r="AH873" s="1189"/>
      <c r="AI873" s="1189"/>
    </row>
    <row r="874">
      <c r="A874" s="1202"/>
      <c r="B874" s="1203"/>
      <c r="C874" s="1189"/>
      <c r="D874" s="1189"/>
      <c r="E874" s="1189"/>
      <c r="F874" s="1189"/>
      <c r="G874" s="1189"/>
      <c r="H874" s="1189"/>
      <c r="I874" s="1189"/>
      <c r="J874" s="1189"/>
      <c r="K874" s="1189"/>
      <c r="L874" s="1189"/>
      <c r="M874" s="1189"/>
      <c r="N874" s="1189"/>
      <c r="O874" s="1189"/>
      <c r="P874" s="1189"/>
      <c r="Q874" s="1189"/>
      <c r="R874" s="1189"/>
      <c r="S874" s="1189"/>
      <c r="T874" s="1189"/>
      <c r="U874" s="1189"/>
      <c r="V874" s="1189"/>
      <c r="W874" s="1189"/>
      <c r="X874" s="1189"/>
      <c r="Y874" s="1189"/>
      <c r="Z874" s="1189"/>
      <c r="AA874" s="1189"/>
      <c r="AB874" s="1189"/>
      <c r="AC874" s="1189"/>
      <c r="AD874" s="1189"/>
      <c r="AE874" s="1189"/>
      <c r="AF874" s="1189"/>
      <c r="AG874" s="1189"/>
      <c r="AH874" s="1189"/>
      <c r="AI874" s="1189"/>
    </row>
    <row r="875">
      <c r="A875" s="1202"/>
      <c r="B875" s="1203"/>
      <c r="C875" s="1189"/>
      <c r="D875" s="1189"/>
      <c r="E875" s="1189"/>
      <c r="F875" s="1189"/>
      <c r="G875" s="1189"/>
      <c r="H875" s="1189"/>
      <c r="I875" s="1189"/>
      <c r="J875" s="1189"/>
      <c r="K875" s="1189"/>
      <c r="L875" s="1189"/>
      <c r="M875" s="1189"/>
      <c r="N875" s="1189"/>
      <c r="O875" s="1189"/>
      <c r="P875" s="1189"/>
      <c r="Q875" s="1189"/>
      <c r="R875" s="1189"/>
      <c r="S875" s="1189"/>
      <c r="T875" s="1189"/>
      <c r="U875" s="1189"/>
      <c r="V875" s="1189"/>
      <c r="W875" s="1189"/>
      <c r="X875" s="1189"/>
      <c r="Y875" s="1189"/>
      <c r="Z875" s="1189"/>
      <c r="AA875" s="1189"/>
      <c r="AB875" s="1189"/>
      <c r="AC875" s="1189"/>
      <c r="AD875" s="1189"/>
      <c r="AE875" s="1189"/>
      <c r="AF875" s="1189"/>
      <c r="AG875" s="1189"/>
      <c r="AH875" s="1189"/>
      <c r="AI875" s="1189"/>
    </row>
    <row r="876">
      <c r="A876" s="1202"/>
      <c r="B876" s="1203"/>
      <c r="C876" s="1189"/>
      <c r="D876" s="1189"/>
      <c r="E876" s="1189"/>
      <c r="F876" s="1189"/>
      <c r="G876" s="1189"/>
      <c r="H876" s="1189"/>
      <c r="I876" s="1189"/>
      <c r="J876" s="1189"/>
      <c r="K876" s="1189"/>
      <c r="L876" s="1189"/>
      <c r="M876" s="1189"/>
      <c r="N876" s="1189"/>
      <c r="O876" s="1189"/>
      <c r="P876" s="1189"/>
      <c r="Q876" s="1189"/>
      <c r="R876" s="1189"/>
      <c r="S876" s="1189"/>
      <c r="T876" s="1189"/>
      <c r="U876" s="1189"/>
      <c r="V876" s="1189"/>
      <c r="W876" s="1189"/>
      <c r="X876" s="1189"/>
      <c r="Y876" s="1189"/>
      <c r="Z876" s="1189"/>
      <c r="AA876" s="1189"/>
      <c r="AB876" s="1189"/>
      <c r="AC876" s="1189"/>
      <c r="AD876" s="1189"/>
      <c r="AE876" s="1189"/>
      <c r="AF876" s="1189"/>
      <c r="AG876" s="1189"/>
      <c r="AH876" s="1189"/>
      <c r="AI876" s="1189"/>
    </row>
    <row r="877">
      <c r="A877" s="1202"/>
      <c r="B877" s="1203"/>
      <c r="C877" s="1189"/>
      <c r="D877" s="1189"/>
      <c r="E877" s="1189"/>
      <c r="F877" s="1189"/>
      <c r="G877" s="1189"/>
      <c r="H877" s="1189"/>
      <c r="I877" s="1189"/>
      <c r="J877" s="1189"/>
      <c r="K877" s="1189"/>
      <c r="L877" s="1189"/>
      <c r="M877" s="1189"/>
      <c r="N877" s="1189"/>
      <c r="O877" s="1189"/>
      <c r="P877" s="1189"/>
      <c r="Q877" s="1189"/>
      <c r="R877" s="1189"/>
      <c r="S877" s="1189"/>
      <c r="T877" s="1189"/>
      <c r="U877" s="1189"/>
      <c r="V877" s="1189"/>
      <c r="W877" s="1189"/>
      <c r="X877" s="1189"/>
      <c r="Y877" s="1189"/>
      <c r="Z877" s="1189"/>
      <c r="AA877" s="1189"/>
      <c r="AB877" s="1189"/>
      <c r="AC877" s="1189"/>
      <c r="AD877" s="1189"/>
      <c r="AE877" s="1189"/>
      <c r="AF877" s="1189"/>
      <c r="AG877" s="1189"/>
      <c r="AH877" s="1189"/>
      <c r="AI877" s="1189"/>
    </row>
    <row r="878">
      <c r="A878" s="1202"/>
      <c r="B878" s="1203"/>
      <c r="C878" s="1189"/>
      <c r="D878" s="1189"/>
      <c r="E878" s="1189"/>
      <c r="F878" s="1189"/>
      <c r="G878" s="1189"/>
      <c r="H878" s="1189"/>
      <c r="I878" s="1189"/>
      <c r="J878" s="1189"/>
      <c r="K878" s="1189"/>
      <c r="L878" s="1189"/>
      <c r="M878" s="1189"/>
      <c r="N878" s="1189"/>
      <c r="O878" s="1189"/>
      <c r="P878" s="1189"/>
      <c r="Q878" s="1189"/>
      <c r="R878" s="1189"/>
      <c r="S878" s="1189"/>
      <c r="T878" s="1189"/>
      <c r="U878" s="1189"/>
      <c r="V878" s="1189"/>
      <c r="W878" s="1189"/>
      <c r="X878" s="1189"/>
      <c r="Y878" s="1189"/>
      <c r="Z878" s="1189"/>
      <c r="AA878" s="1189"/>
      <c r="AB878" s="1189"/>
      <c r="AC878" s="1189"/>
      <c r="AD878" s="1189"/>
      <c r="AE878" s="1189"/>
      <c r="AF878" s="1189"/>
      <c r="AG878" s="1189"/>
      <c r="AH878" s="1189"/>
      <c r="AI878" s="1189"/>
    </row>
    <row r="879">
      <c r="A879" s="1202"/>
      <c r="B879" s="1203"/>
      <c r="C879" s="1189"/>
      <c r="D879" s="1189"/>
      <c r="E879" s="1189"/>
      <c r="F879" s="1189"/>
      <c r="G879" s="1189"/>
      <c r="H879" s="1189"/>
      <c r="I879" s="1189"/>
      <c r="J879" s="1189"/>
      <c r="K879" s="1189"/>
      <c r="L879" s="1189"/>
      <c r="M879" s="1189"/>
      <c r="N879" s="1189"/>
      <c r="O879" s="1189"/>
      <c r="P879" s="1189"/>
      <c r="Q879" s="1189"/>
      <c r="R879" s="1189"/>
      <c r="S879" s="1189"/>
      <c r="T879" s="1189"/>
      <c r="U879" s="1189"/>
      <c r="V879" s="1189"/>
      <c r="W879" s="1189"/>
      <c r="X879" s="1189"/>
      <c r="Y879" s="1189"/>
      <c r="Z879" s="1189"/>
      <c r="AA879" s="1189"/>
      <c r="AB879" s="1189"/>
      <c r="AC879" s="1189"/>
      <c r="AD879" s="1189"/>
      <c r="AE879" s="1189"/>
      <c r="AF879" s="1189"/>
      <c r="AG879" s="1189"/>
      <c r="AH879" s="1189"/>
      <c r="AI879" s="1189"/>
    </row>
    <row r="880">
      <c r="A880" s="1202"/>
      <c r="B880" s="1203"/>
      <c r="C880" s="1189"/>
      <c r="D880" s="1189"/>
      <c r="E880" s="1189"/>
      <c r="F880" s="1189"/>
      <c r="G880" s="1189"/>
      <c r="H880" s="1189"/>
      <c r="I880" s="1189"/>
      <c r="J880" s="1189"/>
      <c r="K880" s="1189"/>
      <c r="L880" s="1189"/>
      <c r="M880" s="1189"/>
      <c r="N880" s="1189"/>
      <c r="O880" s="1189"/>
      <c r="P880" s="1189"/>
      <c r="Q880" s="1189"/>
      <c r="R880" s="1189"/>
      <c r="S880" s="1189"/>
      <c r="T880" s="1189"/>
      <c r="U880" s="1189"/>
      <c r="V880" s="1189"/>
      <c r="W880" s="1189"/>
      <c r="X880" s="1189"/>
      <c r="Y880" s="1189"/>
      <c r="Z880" s="1189"/>
      <c r="AA880" s="1189"/>
      <c r="AB880" s="1189"/>
      <c r="AC880" s="1189"/>
      <c r="AD880" s="1189"/>
      <c r="AE880" s="1189"/>
      <c r="AF880" s="1189"/>
      <c r="AG880" s="1189"/>
      <c r="AH880" s="1189"/>
      <c r="AI880" s="1189"/>
    </row>
    <row r="881">
      <c r="A881" s="1202"/>
      <c r="B881" s="1203"/>
      <c r="C881" s="1189"/>
      <c r="D881" s="1189"/>
      <c r="E881" s="1189"/>
      <c r="F881" s="1189"/>
      <c r="G881" s="1189"/>
      <c r="H881" s="1189"/>
      <c r="I881" s="1189"/>
      <c r="J881" s="1189"/>
      <c r="K881" s="1189"/>
      <c r="L881" s="1189"/>
      <c r="M881" s="1189"/>
      <c r="N881" s="1189"/>
      <c r="O881" s="1189"/>
      <c r="P881" s="1189"/>
      <c r="Q881" s="1189"/>
      <c r="R881" s="1189"/>
      <c r="S881" s="1189"/>
      <c r="T881" s="1189"/>
      <c r="U881" s="1189"/>
      <c r="V881" s="1189"/>
      <c r="W881" s="1189"/>
      <c r="X881" s="1189"/>
      <c r="Y881" s="1189"/>
      <c r="Z881" s="1189"/>
      <c r="AA881" s="1189"/>
      <c r="AB881" s="1189"/>
      <c r="AC881" s="1189"/>
      <c r="AD881" s="1189"/>
      <c r="AE881" s="1189"/>
      <c r="AF881" s="1189"/>
      <c r="AG881" s="1189"/>
      <c r="AH881" s="1189"/>
      <c r="AI881" s="1189"/>
    </row>
    <row r="882">
      <c r="A882" s="1202"/>
      <c r="B882" s="1203"/>
      <c r="C882" s="1189"/>
      <c r="D882" s="1189"/>
      <c r="E882" s="1189"/>
      <c r="F882" s="1189"/>
      <c r="G882" s="1189"/>
      <c r="H882" s="1189"/>
      <c r="I882" s="1189"/>
      <c r="J882" s="1189"/>
      <c r="K882" s="1189"/>
      <c r="L882" s="1189"/>
      <c r="M882" s="1189"/>
      <c r="N882" s="1189"/>
      <c r="O882" s="1189"/>
      <c r="P882" s="1189"/>
      <c r="Q882" s="1189"/>
      <c r="R882" s="1189"/>
      <c r="S882" s="1189"/>
      <c r="T882" s="1189"/>
      <c r="U882" s="1189"/>
      <c r="V882" s="1189"/>
      <c r="W882" s="1189"/>
      <c r="X882" s="1189"/>
      <c r="Y882" s="1189"/>
      <c r="Z882" s="1189"/>
      <c r="AA882" s="1189"/>
      <c r="AB882" s="1189"/>
      <c r="AC882" s="1189"/>
      <c r="AD882" s="1189"/>
      <c r="AE882" s="1189"/>
      <c r="AF882" s="1189"/>
      <c r="AG882" s="1189"/>
      <c r="AH882" s="1189"/>
      <c r="AI882" s="1189"/>
    </row>
    <row r="883">
      <c r="A883" s="1202"/>
      <c r="B883" s="1203"/>
      <c r="C883" s="1189"/>
      <c r="D883" s="1189"/>
      <c r="E883" s="1189"/>
      <c r="F883" s="1189"/>
      <c r="G883" s="1189"/>
      <c r="H883" s="1189"/>
      <c r="I883" s="1189"/>
      <c r="J883" s="1189"/>
      <c r="K883" s="1189"/>
      <c r="L883" s="1189"/>
      <c r="M883" s="1189"/>
      <c r="N883" s="1189"/>
      <c r="O883" s="1189"/>
      <c r="P883" s="1189"/>
      <c r="Q883" s="1189"/>
      <c r="R883" s="1189"/>
      <c r="S883" s="1189"/>
      <c r="T883" s="1189"/>
      <c r="U883" s="1189"/>
      <c r="V883" s="1189"/>
      <c r="W883" s="1189"/>
      <c r="X883" s="1189"/>
      <c r="Y883" s="1189"/>
      <c r="Z883" s="1189"/>
      <c r="AA883" s="1189"/>
      <c r="AB883" s="1189"/>
      <c r="AC883" s="1189"/>
      <c r="AD883" s="1189"/>
      <c r="AE883" s="1189"/>
      <c r="AF883" s="1189"/>
      <c r="AG883" s="1189"/>
      <c r="AH883" s="1189"/>
      <c r="AI883" s="1189"/>
    </row>
    <row r="884">
      <c r="A884" s="1202"/>
      <c r="B884" s="1203"/>
      <c r="C884" s="1189"/>
      <c r="D884" s="1189"/>
      <c r="E884" s="1189"/>
      <c r="F884" s="1189"/>
      <c r="G884" s="1189"/>
      <c r="H884" s="1189"/>
      <c r="I884" s="1189"/>
      <c r="J884" s="1189"/>
      <c r="K884" s="1189"/>
      <c r="L884" s="1189"/>
      <c r="M884" s="1189"/>
      <c r="N884" s="1189"/>
      <c r="O884" s="1189"/>
      <c r="P884" s="1189"/>
      <c r="Q884" s="1189"/>
      <c r="R884" s="1189"/>
      <c r="S884" s="1189"/>
      <c r="T884" s="1189"/>
      <c r="U884" s="1189"/>
      <c r="V884" s="1189"/>
      <c r="W884" s="1189"/>
      <c r="X884" s="1189"/>
      <c r="Y884" s="1189"/>
      <c r="Z884" s="1189"/>
      <c r="AA884" s="1189"/>
      <c r="AB884" s="1189"/>
      <c r="AC884" s="1189"/>
      <c r="AD884" s="1189"/>
      <c r="AE884" s="1189"/>
      <c r="AF884" s="1189"/>
      <c r="AG884" s="1189"/>
      <c r="AH884" s="1189"/>
      <c r="AI884" s="1189"/>
    </row>
    <row r="885">
      <c r="A885" s="1202"/>
      <c r="B885" s="1203"/>
      <c r="C885" s="1189"/>
      <c r="D885" s="1189"/>
      <c r="E885" s="1189"/>
      <c r="F885" s="1189"/>
      <c r="G885" s="1189"/>
      <c r="H885" s="1189"/>
      <c r="I885" s="1189"/>
      <c r="J885" s="1189"/>
      <c r="K885" s="1189"/>
      <c r="L885" s="1189"/>
      <c r="M885" s="1189"/>
      <c r="N885" s="1189"/>
      <c r="O885" s="1189"/>
      <c r="P885" s="1189"/>
      <c r="Q885" s="1189"/>
      <c r="R885" s="1189"/>
      <c r="S885" s="1189"/>
      <c r="T885" s="1189"/>
      <c r="U885" s="1189"/>
      <c r="V885" s="1189"/>
      <c r="W885" s="1189"/>
      <c r="X885" s="1189"/>
      <c r="Y885" s="1189"/>
      <c r="Z885" s="1189"/>
      <c r="AA885" s="1189"/>
      <c r="AB885" s="1189"/>
      <c r="AC885" s="1189"/>
      <c r="AD885" s="1189"/>
      <c r="AE885" s="1189"/>
      <c r="AF885" s="1189"/>
      <c r="AG885" s="1189"/>
      <c r="AH885" s="1189"/>
      <c r="AI885" s="1189"/>
    </row>
    <row r="886">
      <c r="A886" s="1202"/>
      <c r="B886" s="1203"/>
      <c r="C886" s="1189"/>
      <c r="D886" s="1189"/>
      <c r="E886" s="1189"/>
      <c r="F886" s="1189"/>
      <c r="G886" s="1189"/>
      <c r="H886" s="1189"/>
      <c r="I886" s="1189"/>
      <c r="J886" s="1189"/>
      <c r="K886" s="1189"/>
      <c r="L886" s="1189"/>
      <c r="M886" s="1189"/>
      <c r="N886" s="1189"/>
      <c r="O886" s="1189"/>
      <c r="P886" s="1189"/>
      <c r="Q886" s="1189"/>
      <c r="R886" s="1189"/>
      <c r="S886" s="1189"/>
      <c r="T886" s="1189"/>
      <c r="U886" s="1189"/>
      <c r="V886" s="1189"/>
      <c r="W886" s="1189"/>
      <c r="X886" s="1189"/>
      <c r="Y886" s="1189"/>
      <c r="Z886" s="1189"/>
      <c r="AA886" s="1189"/>
      <c r="AB886" s="1189"/>
      <c r="AC886" s="1189"/>
      <c r="AD886" s="1189"/>
      <c r="AE886" s="1189"/>
      <c r="AF886" s="1189"/>
      <c r="AG886" s="1189"/>
      <c r="AH886" s="1189"/>
      <c r="AI886" s="1189"/>
    </row>
    <row r="887">
      <c r="A887" s="1202"/>
      <c r="B887" s="1203"/>
      <c r="C887" s="1189"/>
      <c r="D887" s="1189"/>
      <c r="E887" s="1189"/>
      <c r="F887" s="1189"/>
      <c r="G887" s="1189"/>
      <c r="H887" s="1189"/>
      <c r="I887" s="1189"/>
      <c r="J887" s="1189"/>
      <c r="K887" s="1189"/>
      <c r="L887" s="1189"/>
      <c r="M887" s="1189"/>
      <c r="N887" s="1189"/>
      <c r="O887" s="1189"/>
      <c r="P887" s="1189"/>
      <c r="Q887" s="1189"/>
      <c r="R887" s="1189"/>
      <c r="S887" s="1189"/>
      <c r="T887" s="1189"/>
      <c r="U887" s="1189"/>
      <c r="V887" s="1189"/>
      <c r="W887" s="1189"/>
      <c r="X887" s="1189"/>
      <c r="Y887" s="1189"/>
      <c r="Z887" s="1189"/>
      <c r="AA887" s="1189"/>
      <c r="AB887" s="1189"/>
      <c r="AC887" s="1189"/>
      <c r="AD887" s="1189"/>
      <c r="AE887" s="1189"/>
      <c r="AF887" s="1189"/>
      <c r="AG887" s="1189"/>
      <c r="AH887" s="1189"/>
      <c r="AI887" s="1189"/>
    </row>
    <row r="888">
      <c r="A888" s="1202"/>
      <c r="B888" s="1203"/>
      <c r="C888" s="1189"/>
      <c r="D888" s="1189"/>
      <c r="E888" s="1189"/>
      <c r="F888" s="1189"/>
      <c r="G888" s="1189"/>
      <c r="H888" s="1189"/>
      <c r="I888" s="1189"/>
      <c r="J888" s="1189"/>
      <c r="K888" s="1189"/>
      <c r="L888" s="1189"/>
      <c r="M888" s="1189"/>
      <c r="N888" s="1189"/>
      <c r="O888" s="1189"/>
      <c r="P888" s="1189"/>
      <c r="Q888" s="1189"/>
      <c r="R888" s="1189"/>
      <c r="S888" s="1189"/>
      <c r="T888" s="1189"/>
      <c r="U888" s="1189"/>
      <c r="V888" s="1189"/>
      <c r="W888" s="1189"/>
      <c r="X888" s="1189"/>
      <c r="Y888" s="1189"/>
      <c r="Z888" s="1189"/>
      <c r="AA888" s="1189"/>
      <c r="AB888" s="1189"/>
      <c r="AC888" s="1189"/>
      <c r="AD888" s="1189"/>
      <c r="AE888" s="1189"/>
      <c r="AF888" s="1189"/>
      <c r="AG888" s="1189"/>
      <c r="AH888" s="1189"/>
      <c r="AI888" s="1189"/>
    </row>
    <row r="889">
      <c r="A889" s="1202"/>
      <c r="B889" s="1203"/>
      <c r="C889" s="1189"/>
      <c r="D889" s="1189"/>
      <c r="E889" s="1189"/>
      <c r="F889" s="1189"/>
      <c r="G889" s="1189"/>
      <c r="H889" s="1189"/>
      <c r="I889" s="1189"/>
      <c r="J889" s="1189"/>
      <c r="K889" s="1189"/>
      <c r="L889" s="1189"/>
      <c r="M889" s="1189"/>
      <c r="N889" s="1189"/>
      <c r="O889" s="1189"/>
      <c r="P889" s="1189"/>
      <c r="Q889" s="1189"/>
      <c r="R889" s="1189"/>
      <c r="S889" s="1189"/>
      <c r="T889" s="1189"/>
      <c r="U889" s="1189"/>
      <c r="V889" s="1189"/>
      <c r="W889" s="1189"/>
      <c r="X889" s="1189"/>
      <c r="Y889" s="1189"/>
      <c r="Z889" s="1189"/>
      <c r="AA889" s="1189"/>
      <c r="AB889" s="1189"/>
      <c r="AC889" s="1189"/>
      <c r="AD889" s="1189"/>
      <c r="AE889" s="1189"/>
      <c r="AF889" s="1189"/>
      <c r="AG889" s="1189"/>
      <c r="AH889" s="1189"/>
      <c r="AI889" s="1189"/>
    </row>
    <row r="890">
      <c r="A890" s="1202"/>
      <c r="B890" s="1203"/>
      <c r="C890" s="1189"/>
      <c r="D890" s="1189"/>
      <c r="E890" s="1189"/>
      <c r="F890" s="1189"/>
      <c r="G890" s="1189"/>
      <c r="H890" s="1189"/>
      <c r="I890" s="1189"/>
      <c r="J890" s="1189"/>
      <c r="K890" s="1189"/>
      <c r="L890" s="1189"/>
      <c r="M890" s="1189"/>
      <c r="N890" s="1189"/>
      <c r="O890" s="1189"/>
      <c r="P890" s="1189"/>
      <c r="Q890" s="1189"/>
      <c r="R890" s="1189"/>
      <c r="S890" s="1189"/>
      <c r="T890" s="1189"/>
      <c r="U890" s="1189"/>
      <c r="V890" s="1189"/>
      <c r="W890" s="1189"/>
      <c r="X890" s="1189"/>
      <c r="Y890" s="1189"/>
      <c r="Z890" s="1189"/>
      <c r="AA890" s="1189"/>
      <c r="AB890" s="1189"/>
      <c r="AC890" s="1189"/>
      <c r="AD890" s="1189"/>
      <c r="AE890" s="1189"/>
      <c r="AF890" s="1189"/>
      <c r="AG890" s="1189"/>
      <c r="AH890" s="1189"/>
      <c r="AI890" s="1189"/>
    </row>
    <row r="891">
      <c r="A891" s="1202"/>
      <c r="B891" s="1203"/>
      <c r="C891" s="1189"/>
      <c r="D891" s="1189"/>
      <c r="E891" s="1189"/>
      <c r="F891" s="1189"/>
      <c r="G891" s="1189"/>
      <c r="H891" s="1189"/>
      <c r="I891" s="1189"/>
      <c r="J891" s="1189"/>
      <c r="K891" s="1189"/>
      <c r="L891" s="1189"/>
      <c r="M891" s="1189"/>
      <c r="N891" s="1189"/>
      <c r="O891" s="1189"/>
      <c r="P891" s="1189"/>
      <c r="Q891" s="1189"/>
      <c r="R891" s="1189"/>
      <c r="S891" s="1189"/>
      <c r="T891" s="1189"/>
      <c r="U891" s="1189"/>
      <c r="V891" s="1189"/>
      <c r="W891" s="1189"/>
      <c r="X891" s="1189"/>
      <c r="Y891" s="1189"/>
      <c r="Z891" s="1189"/>
      <c r="AA891" s="1189"/>
      <c r="AB891" s="1189"/>
      <c r="AC891" s="1189"/>
      <c r="AD891" s="1189"/>
      <c r="AE891" s="1189"/>
      <c r="AF891" s="1189"/>
      <c r="AG891" s="1189"/>
      <c r="AH891" s="1189"/>
      <c r="AI891" s="1189"/>
    </row>
    <row r="892">
      <c r="A892" s="1202"/>
      <c r="B892" s="1203"/>
      <c r="C892" s="1189"/>
      <c r="D892" s="1189"/>
      <c r="E892" s="1189"/>
      <c r="F892" s="1189"/>
      <c r="G892" s="1189"/>
      <c r="H892" s="1189"/>
      <c r="I892" s="1189"/>
      <c r="J892" s="1189"/>
      <c r="K892" s="1189"/>
      <c r="L892" s="1189"/>
      <c r="M892" s="1189"/>
      <c r="N892" s="1189"/>
      <c r="O892" s="1189"/>
      <c r="P892" s="1189"/>
      <c r="Q892" s="1189"/>
      <c r="R892" s="1189"/>
      <c r="S892" s="1189"/>
      <c r="T892" s="1189"/>
      <c r="U892" s="1189"/>
      <c r="V892" s="1189"/>
      <c r="W892" s="1189"/>
      <c r="X892" s="1189"/>
      <c r="Y892" s="1189"/>
      <c r="Z892" s="1189"/>
      <c r="AA892" s="1189"/>
      <c r="AB892" s="1189"/>
      <c r="AC892" s="1189"/>
      <c r="AD892" s="1189"/>
      <c r="AE892" s="1189"/>
      <c r="AF892" s="1189"/>
      <c r="AG892" s="1189"/>
      <c r="AH892" s="1189"/>
      <c r="AI892" s="1189"/>
    </row>
    <row r="893">
      <c r="A893" s="1202"/>
      <c r="B893" s="1203"/>
      <c r="C893" s="1189"/>
      <c r="D893" s="1189"/>
      <c r="E893" s="1189"/>
      <c r="F893" s="1189"/>
      <c r="G893" s="1189"/>
      <c r="H893" s="1189"/>
      <c r="I893" s="1189"/>
      <c r="J893" s="1189"/>
      <c r="K893" s="1189"/>
      <c r="L893" s="1189"/>
      <c r="M893" s="1189"/>
      <c r="N893" s="1189"/>
      <c r="O893" s="1189"/>
      <c r="P893" s="1189"/>
      <c r="Q893" s="1189"/>
      <c r="R893" s="1189"/>
      <c r="S893" s="1189"/>
      <c r="T893" s="1189"/>
      <c r="U893" s="1189"/>
      <c r="V893" s="1189"/>
      <c r="W893" s="1189"/>
      <c r="X893" s="1189"/>
      <c r="Y893" s="1189"/>
      <c r="Z893" s="1189"/>
      <c r="AA893" s="1189"/>
      <c r="AB893" s="1189"/>
      <c r="AC893" s="1189"/>
      <c r="AD893" s="1189"/>
      <c r="AE893" s="1189"/>
      <c r="AF893" s="1189"/>
      <c r="AG893" s="1189"/>
      <c r="AH893" s="1189"/>
      <c r="AI893" s="1189"/>
    </row>
    <row r="894">
      <c r="A894" s="1202"/>
      <c r="B894" s="1203"/>
      <c r="C894" s="1189"/>
      <c r="D894" s="1189"/>
      <c r="E894" s="1189"/>
      <c r="F894" s="1189"/>
      <c r="G894" s="1189"/>
      <c r="H894" s="1189"/>
      <c r="I894" s="1189"/>
      <c r="J894" s="1189"/>
      <c r="K894" s="1189"/>
      <c r="L894" s="1189"/>
      <c r="M894" s="1189"/>
      <c r="N894" s="1189"/>
      <c r="O894" s="1189"/>
      <c r="P894" s="1189"/>
      <c r="Q894" s="1189"/>
      <c r="R894" s="1189"/>
      <c r="S894" s="1189"/>
      <c r="T894" s="1189"/>
      <c r="U894" s="1189"/>
      <c r="V894" s="1189"/>
      <c r="W894" s="1189"/>
      <c r="X894" s="1189"/>
      <c r="Y894" s="1189"/>
      <c r="Z894" s="1189"/>
      <c r="AA894" s="1189"/>
      <c r="AB894" s="1189"/>
      <c r="AC894" s="1189"/>
      <c r="AD894" s="1189"/>
      <c r="AE894" s="1189"/>
      <c r="AF894" s="1189"/>
      <c r="AG894" s="1189"/>
      <c r="AH894" s="1189"/>
      <c r="AI894" s="1189"/>
    </row>
    <row r="895">
      <c r="A895" s="1202"/>
      <c r="B895" s="1203"/>
      <c r="C895" s="1189"/>
      <c r="D895" s="1189"/>
      <c r="E895" s="1189"/>
      <c r="F895" s="1189"/>
      <c r="G895" s="1189"/>
      <c r="H895" s="1189"/>
      <c r="I895" s="1189"/>
      <c r="J895" s="1189"/>
      <c r="K895" s="1189"/>
      <c r="L895" s="1189"/>
      <c r="M895" s="1189"/>
      <c r="N895" s="1189"/>
      <c r="O895" s="1189"/>
      <c r="P895" s="1189"/>
      <c r="Q895" s="1189"/>
      <c r="R895" s="1189"/>
      <c r="S895" s="1189"/>
      <c r="T895" s="1189"/>
      <c r="U895" s="1189"/>
      <c r="V895" s="1189"/>
      <c r="W895" s="1189"/>
      <c r="X895" s="1189"/>
      <c r="Y895" s="1189"/>
      <c r="Z895" s="1189"/>
      <c r="AA895" s="1189"/>
      <c r="AB895" s="1189"/>
      <c r="AC895" s="1189"/>
      <c r="AD895" s="1189"/>
      <c r="AE895" s="1189"/>
      <c r="AF895" s="1189"/>
      <c r="AG895" s="1189"/>
      <c r="AH895" s="1189"/>
      <c r="AI895" s="1189"/>
    </row>
    <row r="896">
      <c r="A896" s="1202"/>
      <c r="B896" s="1203"/>
      <c r="C896" s="1189"/>
      <c r="D896" s="1189"/>
      <c r="E896" s="1189"/>
      <c r="F896" s="1189"/>
      <c r="G896" s="1189"/>
      <c r="H896" s="1189"/>
      <c r="I896" s="1189"/>
      <c r="J896" s="1189"/>
      <c r="K896" s="1189"/>
      <c r="L896" s="1189"/>
      <c r="M896" s="1189"/>
      <c r="N896" s="1189"/>
      <c r="O896" s="1189"/>
      <c r="P896" s="1189"/>
      <c r="Q896" s="1189"/>
      <c r="R896" s="1189"/>
      <c r="S896" s="1189"/>
      <c r="T896" s="1189"/>
      <c r="U896" s="1189"/>
      <c r="V896" s="1189"/>
      <c r="W896" s="1189"/>
      <c r="X896" s="1189"/>
      <c r="Y896" s="1189"/>
      <c r="Z896" s="1189"/>
      <c r="AA896" s="1189"/>
      <c r="AB896" s="1189"/>
      <c r="AC896" s="1189"/>
      <c r="AD896" s="1189"/>
      <c r="AE896" s="1189"/>
      <c r="AF896" s="1189"/>
      <c r="AG896" s="1189"/>
      <c r="AH896" s="1189"/>
      <c r="AI896" s="1189"/>
    </row>
    <row r="897">
      <c r="A897" s="1202"/>
      <c r="B897" s="1203"/>
      <c r="C897" s="1189"/>
      <c r="D897" s="1189"/>
      <c r="E897" s="1189"/>
      <c r="F897" s="1189"/>
      <c r="G897" s="1189"/>
      <c r="H897" s="1189"/>
      <c r="I897" s="1189"/>
      <c r="J897" s="1189"/>
      <c r="K897" s="1189"/>
      <c r="L897" s="1189"/>
      <c r="M897" s="1189"/>
      <c r="N897" s="1189"/>
      <c r="O897" s="1189"/>
      <c r="P897" s="1189"/>
      <c r="Q897" s="1189"/>
      <c r="R897" s="1189"/>
      <c r="S897" s="1189"/>
      <c r="T897" s="1189"/>
      <c r="U897" s="1189"/>
      <c r="V897" s="1189"/>
      <c r="W897" s="1189"/>
      <c r="X897" s="1189"/>
      <c r="Y897" s="1189"/>
      <c r="Z897" s="1189"/>
      <c r="AA897" s="1189"/>
      <c r="AB897" s="1189"/>
      <c r="AC897" s="1189"/>
      <c r="AD897" s="1189"/>
      <c r="AE897" s="1189"/>
      <c r="AF897" s="1189"/>
      <c r="AG897" s="1189"/>
      <c r="AH897" s="1189"/>
      <c r="AI897" s="1189"/>
    </row>
    <row r="898">
      <c r="A898" s="1202"/>
      <c r="B898" s="1203"/>
      <c r="C898" s="1189"/>
      <c r="D898" s="1189"/>
      <c r="E898" s="1189"/>
      <c r="F898" s="1189"/>
      <c r="G898" s="1189"/>
      <c r="H898" s="1189"/>
      <c r="I898" s="1189"/>
      <c r="J898" s="1189"/>
      <c r="K898" s="1189"/>
      <c r="L898" s="1189"/>
      <c r="M898" s="1189"/>
      <c r="N898" s="1189"/>
      <c r="O898" s="1189"/>
      <c r="P898" s="1189"/>
      <c r="Q898" s="1189"/>
      <c r="R898" s="1189"/>
      <c r="S898" s="1189"/>
      <c r="T898" s="1189"/>
      <c r="U898" s="1189"/>
      <c r="V898" s="1189"/>
      <c r="W898" s="1189"/>
      <c r="X898" s="1189"/>
      <c r="Y898" s="1189"/>
      <c r="Z898" s="1189"/>
      <c r="AA898" s="1189"/>
      <c r="AB898" s="1189"/>
      <c r="AC898" s="1189"/>
      <c r="AD898" s="1189"/>
      <c r="AE898" s="1189"/>
      <c r="AF898" s="1189"/>
      <c r="AG898" s="1189"/>
      <c r="AH898" s="1189"/>
      <c r="AI898" s="1189"/>
    </row>
    <row r="899">
      <c r="A899" s="1202"/>
      <c r="B899" s="1203"/>
      <c r="C899" s="1189"/>
      <c r="D899" s="1189"/>
      <c r="E899" s="1189"/>
      <c r="F899" s="1189"/>
      <c r="G899" s="1189"/>
      <c r="H899" s="1189"/>
      <c r="I899" s="1189"/>
      <c r="J899" s="1189"/>
      <c r="K899" s="1189"/>
      <c r="L899" s="1189"/>
      <c r="M899" s="1189"/>
      <c r="N899" s="1189"/>
      <c r="O899" s="1189"/>
      <c r="P899" s="1189"/>
      <c r="Q899" s="1189"/>
      <c r="R899" s="1189"/>
      <c r="S899" s="1189"/>
      <c r="T899" s="1189"/>
      <c r="U899" s="1189"/>
      <c r="V899" s="1189"/>
      <c r="W899" s="1189"/>
      <c r="X899" s="1189"/>
      <c r="Y899" s="1189"/>
      <c r="Z899" s="1189"/>
      <c r="AA899" s="1189"/>
      <c r="AB899" s="1189"/>
      <c r="AC899" s="1189"/>
      <c r="AD899" s="1189"/>
      <c r="AE899" s="1189"/>
      <c r="AF899" s="1189"/>
      <c r="AG899" s="1189"/>
      <c r="AH899" s="1189"/>
      <c r="AI899" s="1189"/>
    </row>
    <row r="900">
      <c r="A900" s="1202"/>
      <c r="B900" s="1203"/>
      <c r="C900" s="1189"/>
      <c r="D900" s="1189"/>
      <c r="E900" s="1189"/>
      <c r="F900" s="1189"/>
      <c r="G900" s="1189"/>
      <c r="H900" s="1189"/>
      <c r="I900" s="1189"/>
      <c r="J900" s="1189"/>
      <c r="K900" s="1189"/>
      <c r="L900" s="1189"/>
      <c r="M900" s="1189"/>
      <c r="N900" s="1189"/>
      <c r="O900" s="1189"/>
      <c r="P900" s="1189"/>
      <c r="Q900" s="1189"/>
      <c r="R900" s="1189"/>
      <c r="S900" s="1189"/>
      <c r="T900" s="1189"/>
      <c r="U900" s="1189"/>
      <c r="V900" s="1189"/>
      <c r="W900" s="1189"/>
      <c r="X900" s="1189"/>
      <c r="Y900" s="1189"/>
      <c r="Z900" s="1189"/>
      <c r="AA900" s="1189"/>
      <c r="AB900" s="1189"/>
      <c r="AC900" s="1189"/>
      <c r="AD900" s="1189"/>
      <c r="AE900" s="1189"/>
      <c r="AF900" s="1189"/>
      <c r="AG900" s="1189"/>
      <c r="AH900" s="1189"/>
      <c r="AI900" s="1189"/>
    </row>
    <row r="901">
      <c r="A901" s="1202"/>
      <c r="B901" s="1203"/>
      <c r="C901" s="1189"/>
      <c r="D901" s="1189"/>
      <c r="E901" s="1189"/>
      <c r="F901" s="1189"/>
      <c r="G901" s="1189"/>
      <c r="H901" s="1189"/>
      <c r="I901" s="1189"/>
      <c r="J901" s="1189"/>
      <c r="K901" s="1189"/>
      <c r="L901" s="1189"/>
      <c r="M901" s="1189"/>
      <c r="N901" s="1189"/>
      <c r="O901" s="1189"/>
      <c r="P901" s="1189"/>
      <c r="Q901" s="1189"/>
      <c r="R901" s="1189"/>
      <c r="S901" s="1189"/>
      <c r="T901" s="1189"/>
      <c r="U901" s="1189"/>
      <c r="V901" s="1189"/>
      <c r="W901" s="1189"/>
      <c r="X901" s="1189"/>
      <c r="Y901" s="1189"/>
      <c r="Z901" s="1189"/>
      <c r="AA901" s="1189"/>
      <c r="AB901" s="1189"/>
      <c r="AC901" s="1189"/>
      <c r="AD901" s="1189"/>
      <c r="AE901" s="1189"/>
      <c r="AF901" s="1189"/>
      <c r="AG901" s="1189"/>
      <c r="AH901" s="1189"/>
      <c r="AI901" s="1189"/>
    </row>
    <row r="902">
      <c r="A902" s="1202"/>
      <c r="B902" s="1203"/>
      <c r="C902" s="1189"/>
      <c r="D902" s="1189"/>
      <c r="E902" s="1189"/>
      <c r="F902" s="1189"/>
      <c r="G902" s="1189"/>
      <c r="H902" s="1189"/>
      <c r="I902" s="1189"/>
      <c r="J902" s="1189"/>
      <c r="K902" s="1189"/>
      <c r="L902" s="1189"/>
      <c r="M902" s="1189"/>
      <c r="N902" s="1189"/>
      <c r="O902" s="1189"/>
      <c r="P902" s="1189"/>
      <c r="Q902" s="1189"/>
      <c r="R902" s="1189"/>
      <c r="S902" s="1189"/>
      <c r="T902" s="1189"/>
      <c r="U902" s="1189"/>
      <c r="V902" s="1189"/>
      <c r="W902" s="1189"/>
      <c r="X902" s="1189"/>
      <c r="Y902" s="1189"/>
      <c r="Z902" s="1189"/>
      <c r="AA902" s="1189"/>
      <c r="AB902" s="1189"/>
      <c r="AC902" s="1189"/>
      <c r="AD902" s="1189"/>
      <c r="AE902" s="1189"/>
      <c r="AF902" s="1189"/>
      <c r="AG902" s="1189"/>
      <c r="AH902" s="1189"/>
      <c r="AI902" s="1189"/>
    </row>
    <row r="903">
      <c r="A903" s="1202"/>
      <c r="B903" s="1203"/>
      <c r="C903" s="1189"/>
      <c r="D903" s="1189"/>
      <c r="E903" s="1189"/>
      <c r="F903" s="1189"/>
      <c r="G903" s="1189"/>
      <c r="H903" s="1189"/>
      <c r="I903" s="1189"/>
      <c r="J903" s="1189"/>
      <c r="K903" s="1189"/>
      <c r="L903" s="1189"/>
      <c r="M903" s="1189"/>
      <c r="N903" s="1189"/>
      <c r="O903" s="1189"/>
      <c r="P903" s="1189"/>
      <c r="Q903" s="1189"/>
      <c r="R903" s="1189"/>
      <c r="S903" s="1189"/>
      <c r="T903" s="1189"/>
      <c r="U903" s="1189"/>
      <c r="V903" s="1189"/>
      <c r="W903" s="1189"/>
      <c r="X903" s="1189"/>
      <c r="Y903" s="1189"/>
      <c r="Z903" s="1189"/>
      <c r="AA903" s="1189"/>
      <c r="AB903" s="1189"/>
      <c r="AC903" s="1189"/>
      <c r="AD903" s="1189"/>
      <c r="AE903" s="1189"/>
      <c r="AF903" s="1189"/>
      <c r="AG903" s="1189"/>
      <c r="AH903" s="1189"/>
      <c r="AI903" s="1189"/>
    </row>
    <row r="904">
      <c r="A904" s="1202"/>
      <c r="B904" s="1203"/>
      <c r="C904" s="1189"/>
      <c r="D904" s="1189"/>
      <c r="E904" s="1189"/>
      <c r="F904" s="1189"/>
      <c r="G904" s="1189"/>
      <c r="H904" s="1189"/>
      <c r="I904" s="1189"/>
      <c r="J904" s="1189"/>
      <c r="K904" s="1189"/>
      <c r="L904" s="1189"/>
      <c r="M904" s="1189"/>
      <c r="N904" s="1189"/>
      <c r="O904" s="1189"/>
      <c r="P904" s="1189"/>
      <c r="Q904" s="1189"/>
      <c r="R904" s="1189"/>
      <c r="S904" s="1189"/>
      <c r="T904" s="1189"/>
      <c r="U904" s="1189"/>
      <c r="V904" s="1189"/>
      <c r="W904" s="1189"/>
      <c r="X904" s="1189"/>
      <c r="Y904" s="1189"/>
      <c r="Z904" s="1189"/>
      <c r="AA904" s="1189"/>
      <c r="AB904" s="1189"/>
      <c r="AC904" s="1189"/>
      <c r="AD904" s="1189"/>
      <c r="AE904" s="1189"/>
      <c r="AF904" s="1189"/>
      <c r="AG904" s="1189"/>
      <c r="AH904" s="1189"/>
      <c r="AI904" s="1189"/>
    </row>
    <row r="905">
      <c r="A905" s="1202"/>
      <c r="B905" s="1203"/>
      <c r="C905" s="1189"/>
      <c r="D905" s="1189"/>
      <c r="E905" s="1189"/>
      <c r="F905" s="1189"/>
      <c r="G905" s="1189"/>
      <c r="H905" s="1189"/>
      <c r="I905" s="1189"/>
      <c r="J905" s="1189"/>
      <c r="K905" s="1189"/>
      <c r="L905" s="1189"/>
      <c r="M905" s="1189"/>
      <c r="N905" s="1189"/>
      <c r="O905" s="1189"/>
      <c r="P905" s="1189"/>
      <c r="Q905" s="1189"/>
      <c r="R905" s="1189"/>
      <c r="S905" s="1189"/>
      <c r="T905" s="1189"/>
      <c r="U905" s="1189"/>
      <c r="V905" s="1189"/>
      <c r="W905" s="1189"/>
      <c r="X905" s="1189"/>
      <c r="Y905" s="1189"/>
      <c r="Z905" s="1189"/>
      <c r="AA905" s="1189"/>
      <c r="AB905" s="1189"/>
      <c r="AC905" s="1189"/>
      <c r="AD905" s="1189"/>
      <c r="AE905" s="1189"/>
      <c r="AF905" s="1189"/>
      <c r="AG905" s="1189"/>
      <c r="AH905" s="1189"/>
      <c r="AI905" s="1189"/>
    </row>
    <row r="906">
      <c r="A906" s="1202"/>
      <c r="B906" s="1203"/>
      <c r="C906" s="1189"/>
      <c r="D906" s="1189"/>
      <c r="E906" s="1189"/>
      <c r="F906" s="1189"/>
      <c r="G906" s="1189"/>
      <c r="H906" s="1189"/>
      <c r="I906" s="1189"/>
      <c r="J906" s="1189"/>
      <c r="K906" s="1189"/>
      <c r="L906" s="1189"/>
      <c r="M906" s="1189"/>
      <c r="N906" s="1189"/>
      <c r="O906" s="1189"/>
      <c r="P906" s="1189"/>
      <c r="Q906" s="1189"/>
      <c r="R906" s="1189"/>
      <c r="S906" s="1189"/>
      <c r="T906" s="1189"/>
      <c r="U906" s="1189"/>
      <c r="V906" s="1189"/>
      <c r="W906" s="1189"/>
      <c r="X906" s="1189"/>
      <c r="Y906" s="1189"/>
      <c r="Z906" s="1189"/>
      <c r="AA906" s="1189"/>
      <c r="AB906" s="1189"/>
      <c r="AC906" s="1189"/>
      <c r="AD906" s="1189"/>
      <c r="AE906" s="1189"/>
      <c r="AF906" s="1189"/>
      <c r="AG906" s="1189"/>
      <c r="AH906" s="1189"/>
      <c r="AI906" s="1189"/>
    </row>
    <row r="907">
      <c r="A907" s="1202"/>
      <c r="B907" s="1203"/>
      <c r="C907" s="1189"/>
      <c r="D907" s="1189"/>
      <c r="E907" s="1189"/>
      <c r="F907" s="1189"/>
      <c r="G907" s="1189"/>
      <c r="H907" s="1189"/>
      <c r="I907" s="1189"/>
      <c r="J907" s="1189"/>
      <c r="K907" s="1189"/>
      <c r="L907" s="1189"/>
      <c r="M907" s="1189"/>
      <c r="N907" s="1189"/>
      <c r="O907" s="1189"/>
      <c r="P907" s="1189"/>
      <c r="Q907" s="1189"/>
      <c r="R907" s="1189"/>
      <c r="S907" s="1189"/>
      <c r="T907" s="1189"/>
      <c r="U907" s="1189"/>
      <c r="V907" s="1189"/>
      <c r="W907" s="1189"/>
      <c r="X907" s="1189"/>
      <c r="Y907" s="1189"/>
      <c r="Z907" s="1189"/>
      <c r="AA907" s="1189"/>
      <c r="AB907" s="1189"/>
      <c r="AC907" s="1189"/>
      <c r="AD907" s="1189"/>
      <c r="AE907" s="1189"/>
      <c r="AF907" s="1189"/>
      <c r="AG907" s="1189"/>
      <c r="AH907" s="1189"/>
      <c r="AI907" s="1189"/>
    </row>
    <row r="908">
      <c r="A908" s="1202"/>
      <c r="B908" s="1203"/>
      <c r="C908" s="1189"/>
      <c r="D908" s="1189"/>
      <c r="E908" s="1189"/>
      <c r="F908" s="1189"/>
      <c r="G908" s="1189"/>
      <c r="H908" s="1189"/>
      <c r="I908" s="1189"/>
      <c r="J908" s="1189"/>
      <c r="K908" s="1189"/>
      <c r="L908" s="1189"/>
      <c r="M908" s="1189"/>
      <c r="N908" s="1189"/>
      <c r="O908" s="1189"/>
      <c r="P908" s="1189"/>
      <c r="Q908" s="1189"/>
      <c r="R908" s="1189"/>
      <c r="S908" s="1189"/>
      <c r="T908" s="1189"/>
      <c r="U908" s="1189"/>
      <c r="V908" s="1189"/>
      <c r="W908" s="1189"/>
      <c r="X908" s="1189"/>
      <c r="Y908" s="1189"/>
      <c r="Z908" s="1189"/>
      <c r="AA908" s="1189"/>
      <c r="AB908" s="1189"/>
      <c r="AC908" s="1189"/>
      <c r="AD908" s="1189"/>
      <c r="AE908" s="1189"/>
      <c r="AF908" s="1189"/>
      <c r="AG908" s="1189"/>
      <c r="AH908" s="1189"/>
      <c r="AI908" s="1189"/>
    </row>
    <row r="909">
      <c r="A909" s="1202"/>
      <c r="B909" s="1203"/>
      <c r="C909" s="1189"/>
      <c r="D909" s="1189"/>
      <c r="E909" s="1189"/>
      <c r="F909" s="1189"/>
      <c r="G909" s="1189"/>
      <c r="H909" s="1189"/>
      <c r="I909" s="1189"/>
      <c r="J909" s="1189"/>
      <c r="K909" s="1189"/>
      <c r="L909" s="1189"/>
      <c r="M909" s="1189"/>
      <c r="N909" s="1189"/>
      <c r="O909" s="1189"/>
      <c r="P909" s="1189"/>
      <c r="Q909" s="1189"/>
      <c r="R909" s="1189"/>
      <c r="S909" s="1189"/>
      <c r="T909" s="1189"/>
      <c r="U909" s="1189"/>
      <c r="V909" s="1189"/>
      <c r="W909" s="1189"/>
      <c r="X909" s="1189"/>
      <c r="Y909" s="1189"/>
      <c r="Z909" s="1189"/>
      <c r="AA909" s="1189"/>
      <c r="AB909" s="1189"/>
      <c r="AC909" s="1189"/>
      <c r="AD909" s="1189"/>
      <c r="AE909" s="1189"/>
      <c r="AF909" s="1189"/>
      <c r="AG909" s="1189"/>
      <c r="AH909" s="1189"/>
      <c r="AI909" s="1189"/>
    </row>
    <row r="910">
      <c r="A910" s="1202"/>
      <c r="B910" s="1203"/>
      <c r="C910" s="1189"/>
      <c r="D910" s="1189"/>
      <c r="E910" s="1189"/>
      <c r="F910" s="1189"/>
      <c r="G910" s="1189"/>
      <c r="H910" s="1189"/>
      <c r="I910" s="1189"/>
      <c r="J910" s="1189"/>
      <c r="K910" s="1189"/>
      <c r="L910" s="1189"/>
      <c r="M910" s="1189"/>
      <c r="N910" s="1189"/>
      <c r="O910" s="1189"/>
      <c r="P910" s="1189"/>
      <c r="Q910" s="1189"/>
      <c r="R910" s="1189"/>
      <c r="S910" s="1189"/>
      <c r="T910" s="1189"/>
      <c r="U910" s="1189"/>
      <c r="V910" s="1189"/>
      <c r="W910" s="1189"/>
      <c r="X910" s="1189"/>
      <c r="Y910" s="1189"/>
      <c r="Z910" s="1189"/>
      <c r="AA910" s="1189"/>
      <c r="AB910" s="1189"/>
      <c r="AC910" s="1189"/>
      <c r="AD910" s="1189"/>
      <c r="AE910" s="1189"/>
      <c r="AF910" s="1189"/>
      <c r="AG910" s="1189"/>
      <c r="AH910" s="1189"/>
      <c r="AI910" s="1189"/>
    </row>
    <row r="911">
      <c r="A911" s="1202"/>
      <c r="B911" s="1203"/>
      <c r="C911" s="1189"/>
      <c r="D911" s="1189"/>
      <c r="E911" s="1189"/>
      <c r="F911" s="1189"/>
      <c r="G911" s="1189"/>
      <c r="H911" s="1189"/>
      <c r="I911" s="1189"/>
      <c r="J911" s="1189"/>
      <c r="K911" s="1189"/>
      <c r="L911" s="1189"/>
      <c r="M911" s="1189"/>
      <c r="N911" s="1189"/>
      <c r="O911" s="1189"/>
      <c r="P911" s="1189"/>
      <c r="Q911" s="1189"/>
      <c r="R911" s="1189"/>
      <c r="S911" s="1189"/>
      <c r="T911" s="1189"/>
      <c r="U911" s="1189"/>
      <c r="V911" s="1189"/>
      <c r="W911" s="1189"/>
      <c r="X911" s="1189"/>
      <c r="Y911" s="1189"/>
      <c r="Z911" s="1189"/>
      <c r="AA911" s="1189"/>
      <c r="AB911" s="1189"/>
      <c r="AC911" s="1189"/>
      <c r="AD911" s="1189"/>
      <c r="AE911" s="1189"/>
      <c r="AF911" s="1189"/>
      <c r="AG911" s="1189"/>
      <c r="AH911" s="1189"/>
      <c r="AI911" s="1189"/>
    </row>
    <row r="912">
      <c r="A912" s="1202"/>
      <c r="B912" s="1203"/>
      <c r="C912" s="1189"/>
      <c r="D912" s="1189"/>
      <c r="E912" s="1189"/>
      <c r="F912" s="1189"/>
      <c r="G912" s="1189"/>
      <c r="H912" s="1189"/>
      <c r="I912" s="1189"/>
      <c r="J912" s="1189"/>
      <c r="K912" s="1189"/>
      <c r="L912" s="1189"/>
      <c r="M912" s="1189"/>
      <c r="N912" s="1189"/>
      <c r="O912" s="1189"/>
      <c r="P912" s="1189"/>
      <c r="Q912" s="1189"/>
      <c r="R912" s="1189"/>
      <c r="S912" s="1189"/>
      <c r="T912" s="1189"/>
      <c r="U912" s="1189"/>
      <c r="V912" s="1189"/>
      <c r="W912" s="1189"/>
      <c r="X912" s="1189"/>
      <c r="Y912" s="1189"/>
      <c r="Z912" s="1189"/>
      <c r="AA912" s="1189"/>
      <c r="AB912" s="1189"/>
      <c r="AC912" s="1189"/>
      <c r="AD912" s="1189"/>
      <c r="AE912" s="1189"/>
      <c r="AF912" s="1189"/>
      <c r="AG912" s="1189"/>
      <c r="AH912" s="1189"/>
      <c r="AI912" s="1189"/>
    </row>
    <row r="913">
      <c r="A913" s="1202"/>
      <c r="B913" s="1203"/>
      <c r="C913" s="1189"/>
      <c r="D913" s="1189"/>
      <c r="E913" s="1189"/>
      <c r="F913" s="1189"/>
      <c r="G913" s="1189"/>
      <c r="H913" s="1189"/>
      <c r="I913" s="1189"/>
      <c r="J913" s="1189"/>
      <c r="K913" s="1189"/>
      <c r="L913" s="1189"/>
      <c r="M913" s="1189"/>
      <c r="N913" s="1189"/>
      <c r="O913" s="1189"/>
      <c r="P913" s="1189"/>
      <c r="Q913" s="1189"/>
      <c r="R913" s="1189"/>
      <c r="S913" s="1189"/>
      <c r="T913" s="1189"/>
      <c r="U913" s="1189"/>
      <c r="V913" s="1189"/>
      <c r="W913" s="1189"/>
      <c r="X913" s="1189"/>
      <c r="Y913" s="1189"/>
      <c r="Z913" s="1189"/>
      <c r="AA913" s="1189"/>
      <c r="AB913" s="1189"/>
      <c r="AC913" s="1189"/>
      <c r="AD913" s="1189"/>
      <c r="AE913" s="1189"/>
      <c r="AF913" s="1189"/>
      <c r="AG913" s="1189"/>
      <c r="AH913" s="1189"/>
      <c r="AI913" s="1189"/>
    </row>
    <row r="914">
      <c r="A914" s="1202"/>
      <c r="B914" s="1203"/>
      <c r="C914" s="1189"/>
      <c r="D914" s="1189"/>
      <c r="E914" s="1189"/>
      <c r="F914" s="1189"/>
      <c r="G914" s="1189"/>
      <c r="H914" s="1189"/>
      <c r="I914" s="1189"/>
      <c r="J914" s="1189"/>
      <c r="K914" s="1189"/>
      <c r="L914" s="1189"/>
      <c r="M914" s="1189"/>
      <c r="N914" s="1189"/>
      <c r="O914" s="1189"/>
      <c r="P914" s="1189"/>
      <c r="Q914" s="1189"/>
      <c r="R914" s="1189"/>
      <c r="S914" s="1189"/>
      <c r="T914" s="1189"/>
      <c r="U914" s="1189"/>
      <c r="V914" s="1189"/>
      <c r="W914" s="1189"/>
      <c r="X914" s="1189"/>
      <c r="Y914" s="1189"/>
      <c r="Z914" s="1189"/>
      <c r="AA914" s="1189"/>
      <c r="AB914" s="1189"/>
      <c r="AC914" s="1189"/>
      <c r="AD914" s="1189"/>
      <c r="AE914" s="1189"/>
      <c r="AF914" s="1189"/>
      <c r="AG914" s="1189"/>
      <c r="AH914" s="1189"/>
      <c r="AI914" s="1189"/>
    </row>
    <row r="915">
      <c r="A915" s="1202"/>
      <c r="B915" s="1203"/>
      <c r="C915" s="1189"/>
      <c r="D915" s="1189"/>
      <c r="E915" s="1189"/>
      <c r="F915" s="1189"/>
      <c r="G915" s="1189"/>
      <c r="H915" s="1189"/>
      <c r="I915" s="1189"/>
      <c r="J915" s="1189"/>
      <c r="K915" s="1189"/>
      <c r="L915" s="1189"/>
      <c r="M915" s="1189"/>
      <c r="N915" s="1189"/>
      <c r="O915" s="1189"/>
      <c r="P915" s="1189"/>
      <c r="Q915" s="1189"/>
      <c r="R915" s="1189"/>
      <c r="S915" s="1189"/>
      <c r="T915" s="1189"/>
      <c r="U915" s="1189"/>
      <c r="V915" s="1189"/>
      <c r="W915" s="1189"/>
      <c r="X915" s="1189"/>
      <c r="Y915" s="1189"/>
      <c r="Z915" s="1189"/>
      <c r="AA915" s="1189"/>
      <c r="AB915" s="1189"/>
      <c r="AC915" s="1189"/>
      <c r="AD915" s="1189"/>
      <c r="AE915" s="1189"/>
      <c r="AF915" s="1189"/>
      <c r="AG915" s="1189"/>
      <c r="AH915" s="1189"/>
      <c r="AI915" s="1189"/>
    </row>
    <row r="916">
      <c r="A916" s="1202"/>
      <c r="B916" s="1203"/>
      <c r="C916" s="1189"/>
      <c r="D916" s="1189"/>
      <c r="E916" s="1189"/>
      <c r="F916" s="1189"/>
      <c r="G916" s="1189"/>
      <c r="H916" s="1189"/>
      <c r="I916" s="1189"/>
      <c r="J916" s="1189"/>
      <c r="K916" s="1189"/>
      <c r="L916" s="1189"/>
      <c r="M916" s="1189"/>
      <c r="N916" s="1189"/>
      <c r="O916" s="1189"/>
      <c r="P916" s="1189"/>
      <c r="Q916" s="1189"/>
      <c r="R916" s="1189"/>
      <c r="S916" s="1189"/>
      <c r="T916" s="1189"/>
      <c r="U916" s="1189"/>
      <c r="V916" s="1189"/>
      <c r="W916" s="1189"/>
      <c r="X916" s="1189"/>
      <c r="Y916" s="1189"/>
      <c r="Z916" s="1189"/>
      <c r="AA916" s="1189"/>
      <c r="AB916" s="1189"/>
      <c r="AC916" s="1189"/>
      <c r="AD916" s="1189"/>
      <c r="AE916" s="1189"/>
      <c r="AF916" s="1189"/>
      <c r="AG916" s="1189"/>
      <c r="AH916" s="1189"/>
      <c r="AI916" s="1189"/>
    </row>
    <row r="917">
      <c r="A917" s="1202"/>
      <c r="B917" s="1203"/>
      <c r="C917" s="1189"/>
      <c r="D917" s="1189"/>
      <c r="E917" s="1189"/>
      <c r="F917" s="1189"/>
      <c r="G917" s="1189"/>
      <c r="H917" s="1189"/>
      <c r="I917" s="1189"/>
      <c r="J917" s="1189"/>
      <c r="K917" s="1189"/>
      <c r="L917" s="1189"/>
      <c r="M917" s="1189"/>
      <c r="N917" s="1189"/>
      <c r="O917" s="1189"/>
      <c r="P917" s="1189"/>
      <c r="Q917" s="1189"/>
      <c r="R917" s="1189"/>
      <c r="S917" s="1189"/>
      <c r="T917" s="1189"/>
      <c r="U917" s="1189"/>
      <c r="V917" s="1189"/>
      <c r="W917" s="1189"/>
      <c r="X917" s="1189"/>
      <c r="Y917" s="1189"/>
      <c r="Z917" s="1189"/>
      <c r="AA917" s="1189"/>
      <c r="AB917" s="1189"/>
      <c r="AC917" s="1189"/>
      <c r="AD917" s="1189"/>
      <c r="AE917" s="1189"/>
      <c r="AF917" s="1189"/>
      <c r="AG917" s="1189"/>
      <c r="AH917" s="1189"/>
      <c r="AI917" s="1189"/>
    </row>
    <row r="918">
      <c r="A918" s="1202"/>
      <c r="B918" s="1203"/>
      <c r="C918" s="1189"/>
      <c r="D918" s="1189"/>
      <c r="E918" s="1189"/>
      <c r="F918" s="1189"/>
      <c r="G918" s="1189"/>
      <c r="H918" s="1189"/>
      <c r="I918" s="1189"/>
      <c r="J918" s="1189"/>
      <c r="K918" s="1189"/>
      <c r="L918" s="1189"/>
      <c r="M918" s="1189"/>
      <c r="N918" s="1189"/>
      <c r="O918" s="1189"/>
      <c r="P918" s="1189"/>
      <c r="Q918" s="1189"/>
      <c r="R918" s="1189"/>
      <c r="S918" s="1189"/>
      <c r="T918" s="1189"/>
      <c r="U918" s="1189"/>
      <c r="V918" s="1189"/>
      <c r="W918" s="1189"/>
      <c r="X918" s="1189"/>
      <c r="Y918" s="1189"/>
      <c r="Z918" s="1189"/>
      <c r="AA918" s="1189"/>
      <c r="AB918" s="1189"/>
      <c r="AC918" s="1189"/>
      <c r="AD918" s="1189"/>
      <c r="AE918" s="1189"/>
      <c r="AF918" s="1189"/>
      <c r="AG918" s="1189"/>
      <c r="AH918" s="1189"/>
      <c r="AI918" s="1189"/>
    </row>
    <row r="919">
      <c r="A919" s="1202"/>
      <c r="B919" s="1203"/>
      <c r="C919" s="1189"/>
      <c r="D919" s="1189"/>
      <c r="E919" s="1189"/>
      <c r="F919" s="1189"/>
      <c r="G919" s="1189"/>
      <c r="H919" s="1189"/>
      <c r="I919" s="1189"/>
      <c r="J919" s="1189"/>
      <c r="K919" s="1189"/>
      <c r="L919" s="1189"/>
      <c r="M919" s="1189"/>
      <c r="N919" s="1189"/>
      <c r="O919" s="1189"/>
      <c r="P919" s="1189"/>
      <c r="Q919" s="1189"/>
      <c r="R919" s="1189"/>
      <c r="S919" s="1189"/>
      <c r="T919" s="1189"/>
      <c r="U919" s="1189"/>
      <c r="V919" s="1189"/>
      <c r="W919" s="1189"/>
      <c r="X919" s="1189"/>
      <c r="Y919" s="1189"/>
      <c r="Z919" s="1189"/>
      <c r="AA919" s="1189"/>
      <c r="AB919" s="1189"/>
      <c r="AC919" s="1189"/>
      <c r="AD919" s="1189"/>
      <c r="AE919" s="1189"/>
      <c r="AF919" s="1189"/>
      <c r="AG919" s="1189"/>
      <c r="AH919" s="1189"/>
      <c r="AI919" s="1189"/>
    </row>
    <row r="920">
      <c r="A920" s="1202"/>
      <c r="B920" s="1203"/>
      <c r="C920" s="1189"/>
      <c r="D920" s="1189"/>
      <c r="E920" s="1189"/>
      <c r="F920" s="1189"/>
      <c r="G920" s="1189"/>
      <c r="H920" s="1189"/>
      <c r="I920" s="1189"/>
      <c r="J920" s="1189"/>
      <c r="K920" s="1189"/>
      <c r="L920" s="1189"/>
      <c r="M920" s="1189"/>
      <c r="N920" s="1189"/>
      <c r="O920" s="1189"/>
      <c r="P920" s="1189"/>
      <c r="Q920" s="1189"/>
      <c r="R920" s="1189"/>
      <c r="S920" s="1189"/>
      <c r="T920" s="1189"/>
      <c r="U920" s="1189"/>
      <c r="V920" s="1189"/>
      <c r="W920" s="1189"/>
      <c r="X920" s="1189"/>
      <c r="Y920" s="1189"/>
      <c r="Z920" s="1189"/>
      <c r="AA920" s="1189"/>
      <c r="AB920" s="1189"/>
      <c r="AC920" s="1189"/>
      <c r="AD920" s="1189"/>
      <c r="AE920" s="1189"/>
      <c r="AF920" s="1189"/>
      <c r="AG920" s="1189"/>
      <c r="AH920" s="1189"/>
      <c r="AI920" s="1189"/>
    </row>
    <row r="921">
      <c r="A921" s="1202"/>
      <c r="B921" s="1203"/>
      <c r="C921" s="1189"/>
      <c r="D921" s="1189"/>
      <c r="E921" s="1189"/>
      <c r="F921" s="1189"/>
      <c r="G921" s="1189"/>
      <c r="H921" s="1189"/>
      <c r="I921" s="1189"/>
      <c r="J921" s="1189"/>
      <c r="K921" s="1189"/>
      <c r="L921" s="1189"/>
      <c r="M921" s="1189"/>
      <c r="N921" s="1189"/>
      <c r="O921" s="1189"/>
      <c r="P921" s="1189"/>
      <c r="Q921" s="1189"/>
      <c r="R921" s="1189"/>
      <c r="S921" s="1189"/>
      <c r="T921" s="1189"/>
      <c r="U921" s="1189"/>
      <c r="V921" s="1189"/>
      <c r="W921" s="1189"/>
      <c r="X921" s="1189"/>
      <c r="Y921" s="1189"/>
      <c r="Z921" s="1189"/>
      <c r="AA921" s="1189"/>
      <c r="AB921" s="1189"/>
      <c r="AC921" s="1189"/>
      <c r="AD921" s="1189"/>
      <c r="AE921" s="1189"/>
      <c r="AF921" s="1189"/>
      <c r="AG921" s="1189"/>
      <c r="AH921" s="1189"/>
      <c r="AI921" s="1189"/>
    </row>
    <row r="922">
      <c r="A922" s="1202"/>
      <c r="B922" s="1203"/>
      <c r="C922" s="1189"/>
      <c r="D922" s="1189"/>
      <c r="E922" s="1189"/>
      <c r="F922" s="1189"/>
      <c r="G922" s="1189"/>
      <c r="H922" s="1189"/>
      <c r="I922" s="1189"/>
      <c r="J922" s="1189"/>
      <c r="K922" s="1189"/>
      <c r="L922" s="1189"/>
      <c r="M922" s="1189"/>
      <c r="N922" s="1189"/>
      <c r="O922" s="1189"/>
      <c r="P922" s="1189"/>
      <c r="Q922" s="1189"/>
      <c r="R922" s="1189"/>
      <c r="S922" s="1189"/>
      <c r="T922" s="1189"/>
      <c r="U922" s="1189"/>
      <c r="V922" s="1189"/>
      <c r="W922" s="1189"/>
      <c r="X922" s="1189"/>
      <c r="Y922" s="1189"/>
      <c r="Z922" s="1189"/>
      <c r="AA922" s="1189"/>
      <c r="AB922" s="1189"/>
      <c r="AC922" s="1189"/>
      <c r="AD922" s="1189"/>
      <c r="AE922" s="1189"/>
      <c r="AF922" s="1189"/>
      <c r="AG922" s="1189"/>
      <c r="AH922" s="1189"/>
      <c r="AI922" s="1189"/>
    </row>
    <row r="923">
      <c r="A923" s="1202"/>
      <c r="B923" s="1203"/>
      <c r="C923" s="1189"/>
      <c r="D923" s="1189"/>
      <c r="E923" s="1189"/>
      <c r="F923" s="1189"/>
      <c r="G923" s="1189"/>
      <c r="H923" s="1189"/>
      <c r="I923" s="1189"/>
      <c r="J923" s="1189"/>
      <c r="K923" s="1189"/>
      <c r="L923" s="1189"/>
      <c r="M923" s="1189"/>
      <c r="N923" s="1189"/>
      <c r="O923" s="1189"/>
      <c r="P923" s="1189"/>
      <c r="Q923" s="1189"/>
      <c r="R923" s="1189"/>
      <c r="S923" s="1189"/>
      <c r="T923" s="1189"/>
      <c r="U923" s="1189"/>
      <c r="V923" s="1189"/>
      <c r="W923" s="1189"/>
      <c r="X923" s="1189"/>
      <c r="Y923" s="1189"/>
      <c r="Z923" s="1189"/>
      <c r="AA923" s="1189"/>
      <c r="AB923" s="1189"/>
      <c r="AC923" s="1189"/>
      <c r="AD923" s="1189"/>
      <c r="AE923" s="1189"/>
      <c r="AF923" s="1189"/>
      <c r="AG923" s="1189"/>
      <c r="AH923" s="1189"/>
      <c r="AI923" s="1189"/>
    </row>
    <row r="924">
      <c r="A924" s="1202"/>
      <c r="B924" s="1203"/>
      <c r="C924" s="1189"/>
      <c r="D924" s="1189"/>
      <c r="E924" s="1189"/>
      <c r="F924" s="1189"/>
      <c r="G924" s="1189"/>
      <c r="H924" s="1189"/>
      <c r="I924" s="1189"/>
      <c r="J924" s="1189"/>
      <c r="K924" s="1189"/>
      <c r="L924" s="1189"/>
      <c r="M924" s="1189"/>
      <c r="N924" s="1189"/>
      <c r="O924" s="1189"/>
      <c r="P924" s="1189"/>
      <c r="Q924" s="1189"/>
      <c r="R924" s="1189"/>
      <c r="S924" s="1189"/>
      <c r="T924" s="1189"/>
      <c r="U924" s="1189"/>
      <c r="V924" s="1189"/>
      <c r="W924" s="1189"/>
      <c r="X924" s="1189"/>
      <c r="Y924" s="1189"/>
      <c r="Z924" s="1189"/>
      <c r="AA924" s="1189"/>
      <c r="AB924" s="1189"/>
      <c r="AC924" s="1189"/>
      <c r="AD924" s="1189"/>
      <c r="AE924" s="1189"/>
      <c r="AF924" s="1189"/>
      <c r="AG924" s="1189"/>
      <c r="AH924" s="1189"/>
      <c r="AI924" s="1189"/>
    </row>
    <row r="925">
      <c r="A925" s="1202"/>
      <c r="B925" s="1203"/>
      <c r="C925" s="1189"/>
      <c r="D925" s="1189"/>
      <c r="E925" s="1189"/>
      <c r="F925" s="1189"/>
      <c r="G925" s="1189"/>
      <c r="H925" s="1189"/>
      <c r="I925" s="1189"/>
      <c r="J925" s="1189"/>
      <c r="K925" s="1189"/>
      <c r="L925" s="1189"/>
      <c r="M925" s="1189"/>
      <c r="N925" s="1189"/>
      <c r="O925" s="1189"/>
      <c r="P925" s="1189"/>
      <c r="Q925" s="1189"/>
      <c r="R925" s="1189"/>
      <c r="S925" s="1189"/>
      <c r="T925" s="1189"/>
      <c r="U925" s="1189"/>
      <c r="V925" s="1189"/>
      <c r="W925" s="1189"/>
      <c r="X925" s="1189"/>
      <c r="Y925" s="1189"/>
      <c r="Z925" s="1189"/>
      <c r="AA925" s="1189"/>
      <c r="AB925" s="1189"/>
      <c r="AC925" s="1189"/>
      <c r="AD925" s="1189"/>
      <c r="AE925" s="1189"/>
      <c r="AF925" s="1189"/>
      <c r="AG925" s="1189"/>
      <c r="AH925" s="1189"/>
      <c r="AI925" s="1189"/>
    </row>
    <row r="926">
      <c r="A926" s="1202"/>
      <c r="B926" s="1203"/>
      <c r="C926" s="1189"/>
      <c r="D926" s="1189"/>
      <c r="E926" s="1189"/>
      <c r="F926" s="1189"/>
      <c r="G926" s="1189"/>
      <c r="H926" s="1189"/>
      <c r="I926" s="1189"/>
      <c r="J926" s="1189"/>
      <c r="K926" s="1189"/>
      <c r="L926" s="1189"/>
      <c r="M926" s="1189"/>
      <c r="N926" s="1189"/>
      <c r="O926" s="1189"/>
      <c r="P926" s="1189"/>
      <c r="Q926" s="1189"/>
      <c r="R926" s="1189"/>
      <c r="S926" s="1189"/>
      <c r="T926" s="1189"/>
      <c r="U926" s="1189"/>
      <c r="V926" s="1189"/>
      <c r="W926" s="1189"/>
      <c r="X926" s="1189"/>
      <c r="Y926" s="1189"/>
      <c r="Z926" s="1189"/>
      <c r="AA926" s="1189"/>
      <c r="AB926" s="1189"/>
      <c r="AC926" s="1189"/>
      <c r="AD926" s="1189"/>
      <c r="AE926" s="1189"/>
      <c r="AF926" s="1189"/>
      <c r="AG926" s="1189"/>
      <c r="AH926" s="1189"/>
      <c r="AI926" s="1189"/>
    </row>
    <row r="927">
      <c r="A927" s="1202"/>
      <c r="B927" s="1203"/>
      <c r="C927" s="1189"/>
      <c r="D927" s="1189"/>
      <c r="E927" s="1189"/>
      <c r="F927" s="1189"/>
      <c r="G927" s="1189"/>
      <c r="H927" s="1189"/>
      <c r="I927" s="1189"/>
      <c r="J927" s="1189"/>
      <c r="K927" s="1189"/>
      <c r="L927" s="1189"/>
      <c r="M927" s="1189"/>
      <c r="N927" s="1189"/>
      <c r="O927" s="1189"/>
      <c r="P927" s="1189"/>
      <c r="Q927" s="1189"/>
      <c r="R927" s="1189"/>
      <c r="S927" s="1189"/>
      <c r="T927" s="1189"/>
      <c r="U927" s="1189"/>
      <c r="V927" s="1189"/>
      <c r="W927" s="1189"/>
      <c r="X927" s="1189"/>
      <c r="Y927" s="1189"/>
      <c r="Z927" s="1189"/>
      <c r="AA927" s="1189"/>
      <c r="AB927" s="1189"/>
      <c r="AC927" s="1189"/>
      <c r="AD927" s="1189"/>
      <c r="AE927" s="1189"/>
      <c r="AF927" s="1189"/>
      <c r="AG927" s="1189"/>
      <c r="AH927" s="1189"/>
      <c r="AI927" s="1189"/>
    </row>
    <row r="928">
      <c r="A928" s="1202"/>
      <c r="B928" s="1203"/>
      <c r="C928" s="1189"/>
      <c r="D928" s="1189"/>
      <c r="E928" s="1189"/>
      <c r="F928" s="1189"/>
      <c r="G928" s="1189"/>
      <c r="H928" s="1189"/>
      <c r="I928" s="1189"/>
      <c r="J928" s="1189"/>
      <c r="K928" s="1189"/>
      <c r="L928" s="1189"/>
      <c r="M928" s="1189"/>
      <c r="N928" s="1189"/>
      <c r="O928" s="1189"/>
      <c r="P928" s="1189"/>
      <c r="Q928" s="1189"/>
      <c r="R928" s="1189"/>
      <c r="S928" s="1189"/>
      <c r="T928" s="1189"/>
      <c r="U928" s="1189"/>
      <c r="V928" s="1189"/>
      <c r="W928" s="1189"/>
      <c r="X928" s="1189"/>
      <c r="Y928" s="1189"/>
      <c r="Z928" s="1189"/>
      <c r="AA928" s="1189"/>
      <c r="AB928" s="1189"/>
      <c r="AC928" s="1189"/>
      <c r="AD928" s="1189"/>
      <c r="AE928" s="1189"/>
      <c r="AF928" s="1189"/>
      <c r="AG928" s="1189"/>
      <c r="AH928" s="1189"/>
      <c r="AI928" s="1189"/>
    </row>
    <row r="929">
      <c r="A929" s="1202"/>
      <c r="B929" s="1203"/>
      <c r="C929" s="1189"/>
      <c r="D929" s="1189"/>
      <c r="E929" s="1189"/>
      <c r="F929" s="1189"/>
      <c r="G929" s="1189"/>
      <c r="H929" s="1189"/>
      <c r="I929" s="1189"/>
      <c r="J929" s="1189"/>
      <c r="K929" s="1189"/>
      <c r="L929" s="1189"/>
      <c r="M929" s="1189"/>
      <c r="N929" s="1189"/>
      <c r="O929" s="1189"/>
      <c r="P929" s="1189"/>
      <c r="Q929" s="1189"/>
      <c r="R929" s="1189"/>
      <c r="S929" s="1189"/>
      <c r="T929" s="1189"/>
      <c r="U929" s="1189"/>
      <c r="V929" s="1189"/>
      <c r="W929" s="1189"/>
      <c r="X929" s="1189"/>
      <c r="Y929" s="1189"/>
      <c r="Z929" s="1189"/>
      <c r="AA929" s="1189"/>
      <c r="AB929" s="1189"/>
      <c r="AC929" s="1189"/>
      <c r="AD929" s="1189"/>
      <c r="AE929" s="1189"/>
      <c r="AF929" s="1189"/>
      <c r="AG929" s="1189"/>
      <c r="AH929" s="1189"/>
      <c r="AI929" s="1189"/>
    </row>
    <row r="930">
      <c r="A930" s="1202"/>
      <c r="B930" s="1203"/>
      <c r="C930" s="1189"/>
      <c r="D930" s="1189"/>
      <c r="E930" s="1189"/>
      <c r="F930" s="1189"/>
      <c r="G930" s="1189"/>
      <c r="H930" s="1189"/>
      <c r="I930" s="1189"/>
      <c r="J930" s="1189"/>
      <c r="K930" s="1189"/>
      <c r="L930" s="1189"/>
      <c r="M930" s="1189"/>
      <c r="N930" s="1189"/>
      <c r="O930" s="1189"/>
      <c r="P930" s="1189"/>
      <c r="Q930" s="1189"/>
      <c r="R930" s="1189"/>
      <c r="S930" s="1189"/>
      <c r="T930" s="1189"/>
      <c r="U930" s="1189"/>
      <c r="V930" s="1189"/>
      <c r="W930" s="1189"/>
      <c r="X930" s="1189"/>
      <c r="Y930" s="1189"/>
      <c r="Z930" s="1189"/>
      <c r="AA930" s="1189"/>
      <c r="AB930" s="1189"/>
      <c r="AC930" s="1189"/>
      <c r="AD930" s="1189"/>
      <c r="AE930" s="1189"/>
      <c r="AF930" s="1189"/>
      <c r="AG930" s="1189"/>
      <c r="AH930" s="1189"/>
      <c r="AI930" s="1189"/>
    </row>
    <row r="931">
      <c r="A931" s="1202"/>
      <c r="B931" s="1203"/>
      <c r="C931" s="1189"/>
      <c r="D931" s="1189"/>
      <c r="E931" s="1189"/>
      <c r="F931" s="1189"/>
      <c r="G931" s="1189"/>
      <c r="H931" s="1189"/>
      <c r="I931" s="1189"/>
      <c r="J931" s="1189"/>
      <c r="K931" s="1189"/>
      <c r="L931" s="1189"/>
      <c r="M931" s="1189"/>
      <c r="N931" s="1189"/>
      <c r="O931" s="1189"/>
      <c r="P931" s="1189"/>
      <c r="Q931" s="1189"/>
      <c r="R931" s="1189"/>
      <c r="S931" s="1189"/>
      <c r="T931" s="1189"/>
      <c r="U931" s="1189"/>
      <c r="V931" s="1189"/>
      <c r="W931" s="1189"/>
      <c r="X931" s="1189"/>
      <c r="Y931" s="1189"/>
      <c r="Z931" s="1189"/>
      <c r="AA931" s="1189"/>
      <c r="AB931" s="1189"/>
      <c r="AC931" s="1189"/>
      <c r="AD931" s="1189"/>
      <c r="AE931" s="1189"/>
      <c r="AF931" s="1189"/>
      <c r="AG931" s="1189"/>
      <c r="AH931" s="1189"/>
      <c r="AI931" s="1189"/>
    </row>
    <row r="932">
      <c r="A932" s="1202"/>
      <c r="B932" s="1203"/>
      <c r="C932" s="1189"/>
      <c r="D932" s="1189"/>
      <c r="E932" s="1189"/>
      <c r="F932" s="1189"/>
      <c r="G932" s="1189"/>
      <c r="H932" s="1189"/>
      <c r="I932" s="1189"/>
      <c r="J932" s="1189"/>
      <c r="K932" s="1189"/>
      <c r="L932" s="1189"/>
      <c r="M932" s="1189"/>
      <c r="N932" s="1189"/>
      <c r="O932" s="1189"/>
      <c r="P932" s="1189"/>
      <c r="Q932" s="1189"/>
      <c r="R932" s="1189"/>
      <c r="S932" s="1189"/>
      <c r="T932" s="1189"/>
      <c r="U932" s="1189"/>
      <c r="V932" s="1189"/>
      <c r="W932" s="1189"/>
      <c r="X932" s="1189"/>
      <c r="Y932" s="1189"/>
      <c r="Z932" s="1189"/>
      <c r="AA932" s="1189"/>
      <c r="AB932" s="1189"/>
      <c r="AC932" s="1189"/>
      <c r="AD932" s="1189"/>
      <c r="AE932" s="1189"/>
      <c r="AF932" s="1189"/>
      <c r="AG932" s="1189"/>
      <c r="AH932" s="1189"/>
      <c r="AI932" s="1189"/>
    </row>
    <row r="933">
      <c r="A933" s="1202"/>
      <c r="B933" s="1203"/>
      <c r="C933" s="1189"/>
      <c r="D933" s="1189"/>
      <c r="E933" s="1189"/>
      <c r="F933" s="1189"/>
      <c r="G933" s="1189"/>
      <c r="H933" s="1189"/>
      <c r="I933" s="1189"/>
      <c r="J933" s="1189"/>
      <c r="K933" s="1189"/>
      <c r="L933" s="1189"/>
      <c r="M933" s="1189"/>
      <c r="N933" s="1189"/>
      <c r="O933" s="1189"/>
      <c r="P933" s="1189"/>
      <c r="Q933" s="1189"/>
      <c r="R933" s="1189"/>
      <c r="S933" s="1189"/>
      <c r="T933" s="1189"/>
      <c r="U933" s="1189"/>
      <c r="V933" s="1189"/>
      <c r="W933" s="1189"/>
      <c r="X933" s="1189"/>
      <c r="Y933" s="1189"/>
      <c r="Z933" s="1189"/>
      <c r="AA933" s="1189"/>
      <c r="AB933" s="1189"/>
      <c r="AC933" s="1189"/>
      <c r="AD933" s="1189"/>
      <c r="AE933" s="1189"/>
      <c r="AF933" s="1189"/>
      <c r="AG933" s="1189"/>
      <c r="AH933" s="1189"/>
      <c r="AI933" s="1189"/>
    </row>
    <row r="934">
      <c r="A934" s="1202"/>
      <c r="B934" s="1203"/>
      <c r="C934" s="1189"/>
      <c r="D934" s="1189"/>
      <c r="E934" s="1189"/>
      <c r="F934" s="1189"/>
      <c r="G934" s="1189"/>
      <c r="H934" s="1189"/>
      <c r="I934" s="1189"/>
      <c r="J934" s="1189"/>
      <c r="K934" s="1189"/>
      <c r="L934" s="1189"/>
      <c r="M934" s="1189"/>
      <c r="N934" s="1189"/>
      <c r="O934" s="1189"/>
      <c r="P934" s="1189"/>
      <c r="Q934" s="1189"/>
      <c r="R934" s="1189"/>
      <c r="S934" s="1189"/>
      <c r="T934" s="1189"/>
      <c r="U934" s="1189"/>
      <c r="V934" s="1189"/>
      <c r="W934" s="1189"/>
      <c r="X934" s="1189"/>
      <c r="Y934" s="1189"/>
      <c r="Z934" s="1189"/>
      <c r="AA934" s="1189"/>
      <c r="AB934" s="1189"/>
      <c r="AC934" s="1189"/>
      <c r="AD934" s="1189"/>
      <c r="AE934" s="1189"/>
      <c r="AF934" s="1189"/>
      <c r="AG934" s="1189"/>
      <c r="AH934" s="1189"/>
      <c r="AI934" s="1189"/>
    </row>
    <row r="935">
      <c r="A935" s="1202"/>
      <c r="B935" s="1203"/>
      <c r="C935" s="1189"/>
      <c r="D935" s="1189"/>
      <c r="E935" s="1189"/>
      <c r="F935" s="1189"/>
      <c r="G935" s="1189"/>
      <c r="H935" s="1189"/>
      <c r="I935" s="1189"/>
      <c r="J935" s="1189"/>
      <c r="K935" s="1189"/>
      <c r="L935" s="1189"/>
      <c r="M935" s="1189"/>
      <c r="N935" s="1189"/>
      <c r="O935" s="1189"/>
      <c r="P935" s="1189"/>
      <c r="Q935" s="1189"/>
      <c r="R935" s="1189"/>
      <c r="S935" s="1189"/>
      <c r="T935" s="1189"/>
      <c r="U935" s="1189"/>
      <c r="V935" s="1189"/>
      <c r="W935" s="1189"/>
      <c r="X935" s="1189"/>
      <c r="Y935" s="1189"/>
      <c r="Z935" s="1189"/>
      <c r="AA935" s="1189"/>
      <c r="AB935" s="1189"/>
      <c r="AC935" s="1189"/>
      <c r="AD935" s="1189"/>
      <c r="AE935" s="1189"/>
      <c r="AF935" s="1189"/>
      <c r="AG935" s="1189"/>
      <c r="AH935" s="1189"/>
      <c r="AI935" s="1189"/>
    </row>
    <row r="936">
      <c r="A936" s="1202"/>
      <c r="B936" s="1203"/>
      <c r="C936" s="1189"/>
      <c r="D936" s="1189"/>
      <c r="E936" s="1189"/>
      <c r="F936" s="1189"/>
      <c r="G936" s="1189"/>
      <c r="H936" s="1189"/>
      <c r="I936" s="1189"/>
      <c r="J936" s="1189"/>
      <c r="K936" s="1189"/>
      <c r="L936" s="1189"/>
      <c r="M936" s="1189"/>
      <c r="N936" s="1189"/>
      <c r="O936" s="1189"/>
      <c r="P936" s="1189"/>
      <c r="Q936" s="1189"/>
      <c r="R936" s="1189"/>
      <c r="S936" s="1189"/>
      <c r="T936" s="1189"/>
      <c r="U936" s="1189"/>
      <c r="V936" s="1189"/>
      <c r="W936" s="1189"/>
      <c r="X936" s="1189"/>
      <c r="Y936" s="1189"/>
      <c r="Z936" s="1189"/>
      <c r="AA936" s="1189"/>
      <c r="AB936" s="1189"/>
      <c r="AC936" s="1189"/>
      <c r="AD936" s="1189"/>
      <c r="AE936" s="1189"/>
      <c r="AF936" s="1189"/>
      <c r="AG936" s="1189"/>
      <c r="AH936" s="1189"/>
      <c r="AI936" s="1189"/>
    </row>
    <row r="937">
      <c r="A937" s="1202"/>
      <c r="B937" s="1203"/>
      <c r="C937" s="1189"/>
      <c r="D937" s="1189"/>
      <c r="E937" s="1189"/>
      <c r="F937" s="1189"/>
      <c r="G937" s="1189"/>
      <c r="H937" s="1189"/>
      <c r="I937" s="1189"/>
      <c r="J937" s="1189"/>
      <c r="K937" s="1189"/>
      <c r="L937" s="1189"/>
      <c r="M937" s="1189"/>
      <c r="N937" s="1189"/>
      <c r="O937" s="1189"/>
      <c r="P937" s="1189"/>
      <c r="Q937" s="1189"/>
      <c r="R937" s="1189"/>
      <c r="S937" s="1189"/>
      <c r="T937" s="1189"/>
      <c r="U937" s="1189"/>
      <c r="V937" s="1189"/>
      <c r="W937" s="1189"/>
      <c r="X937" s="1189"/>
      <c r="Y937" s="1189"/>
      <c r="Z937" s="1189"/>
      <c r="AA937" s="1189"/>
      <c r="AB937" s="1189"/>
      <c r="AC937" s="1189"/>
      <c r="AD937" s="1189"/>
      <c r="AE937" s="1189"/>
      <c r="AF937" s="1189"/>
      <c r="AG937" s="1189"/>
      <c r="AH937" s="1189"/>
      <c r="AI937" s="1189"/>
    </row>
    <row r="938">
      <c r="A938" s="1202"/>
      <c r="B938" s="1203"/>
      <c r="C938" s="1189"/>
      <c r="D938" s="1189"/>
      <c r="E938" s="1189"/>
      <c r="F938" s="1189"/>
      <c r="G938" s="1189"/>
      <c r="H938" s="1189"/>
      <c r="I938" s="1189"/>
      <c r="J938" s="1189"/>
      <c r="K938" s="1189"/>
      <c r="L938" s="1189"/>
      <c r="M938" s="1189"/>
      <c r="N938" s="1189"/>
      <c r="O938" s="1189"/>
      <c r="P938" s="1189"/>
      <c r="Q938" s="1189"/>
      <c r="R938" s="1189"/>
      <c r="S938" s="1189"/>
      <c r="T938" s="1189"/>
      <c r="U938" s="1189"/>
      <c r="V938" s="1189"/>
      <c r="W938" s="1189"/>
      <c r="X938" s="1189"/>
      <c r="Y938" s="1189"/>
      <c r="Z938" s="1189"/>
      <c r="AA938" s="1189"/>
      <c r="AB938" s="1189"/>
      <c r="AC938" s="1189"/>
      <c r="AD938" s="1189"/>
      <c r="AE938" s="1189"/>
      <c r="AF938" s="1189"/>
      <c r="AG938" s="1189"/>
      <c r="AH938" s="1189"/>
      <c r="AI938" s="1189"/>
    </row>
    <row r="939">
      <c r="A939" s="1202"/>
      <c r="B939" s="1203"/>
      <c r="C939" s="1189"/>
      <c r="D939" s="1189"/>
      <c r="E939" s="1189"/>
      <c r="F939" s="1189"/>
      <c r="G939" s="1189"/>
      <c r="H939" s="1189"/>
      <c r="I939" s="1189"/>
      <c r="J939" s="1189"/>
      <c r="K939" s="1189"/>
      <c r="L939" s="1189"/>
      <c r="M939" s="1189"/>
      <c r="N939" s="1189"/>
      <c r="O939" s="1189"/>
      <c r="P939" s="1189"/>
      <c r="Q939" s="1189"/>
      <c r="R939" s="1189"/>
      <c r="S939" s="1189"/>
      <c r="T939" s="1189"/>
      <c r="U939" s="1189"/>
      <c r="V939" s="1189"/>
      <c r="W939" s="1189"/>
      <c r="X939" s="1189"/>
      <c r="Y939" s="1189"/>
      <c r="Z939" s="1189"/>
      <c r="AA939" s="1189"/>
      <c r="AB939" s="1189"/>
      <c r="AC939" s="1189"/>
      <c r="AD939" s="1189"/>
      <c r="AE939" s="1189"/>
      <c r="AF939" s="1189"/>
      <c r="AG939" s="1189"/>
      <c r="AH939" s="1189"/>
      <c r="AI939" s="1189"/>
    </row>
    <row r="940">
      <c r="A940" s="1202"/>
      <c r="B940" s="1203"/>
      <c r="C940" s="1189"/>
      <c r="D940" s="1189"/>
      <c r="E940" s="1189"/>
      <c r="F940" s="1189"/>
      <c r="G940" s="1189"/>
      <c r="H940" s="1189"/>
      <c r="I940" s="1189"/>
      <c r="J940" s="1189"/>
      <c r="K940" s="1189"/>
      <c r="L940" s="1189"/>
      <c r="M940" s="1189"/>
      <c r="N940" s="1189"/>
      <c r="O940" s="1189"/>
      <c r="P940" s="1189"/>
      <c r="Q940" s="1189"/>
      <c r="R940" s="1189"/>
      <c r="S940" s="1189"/>
      <c r="T940" s="1189"/>
      <c r="U940" s="1189"/>
      <c r="V940" s="1189"/>
      <c r="W940" s="1189"/>
      <c r="X940" s="1189"/>
      <c r="Y940" s="1189"/>
      <c r="Z940" s="1189"/>
      <c r="AA940" s="1189"/>
      <c r="AB940" s="1189"/>
      <c r="AC940" s="1189"/>
      <c r="AD940" s="1189"/>
      <c r="AE940" s="1189"/>
      <c r="AF940" s="1189"/>
      <c r="AG940" s="1189"/>
      <c r="AH940" s="1189"/>
      <c r="AI940" s="1189"/>
    </row>
    <row r="941">
      <c r="A941" s="1202"/>
      <c r="B941" s="1203"/>
      <c r="C941" s="1189"/>
      <c r="D941" s="1189"/>
      <c r="E941" s="1189"/>
      <c r="F941" s="1189"/>
      <c r="G941" s="1189"/>
      <c r="H941" s="1189"/>
      <c r="I941" s="1189"/>
      <c r="J941" s="1189"/>
      <c r="K941" s="1189"/>
      <c r="L941" s="1189"/>
      <c r="M941" s="1189"/>
      <c r="N941" s="1189"/>
      <c r="O941" s="1189"/>
      <c r="P941" s="1189"/>
      <c r="Q941" s="1189"/>
      <c r="R941" s="1189"/>
      <c r="S941" s="1189"/>
      <c r="T941" s="1189"/>
      <c r="U941" s="1189"/>
      <c r="V941" s="1189"/>
      <c r="W941" s="1189"/>
      <c r="X941" s="1189"/>
      <c r="Y941" s="1189"/>
      <c r="Z941" s="1189"/>
      <c r="AA941" s="1189"/>
      <c r="AB941" s="1189"/>
      <c r="AC941" s="1189"/>
      <c r="AD941" s="1189"/>
      <c r="AE941" s="1189"/>
      <c r="AF941" s="1189"/>
      <c r="AG941" s="1189"/>
      <c r="AH941" s="1189"/>
      <c r="AI941" s="1189"/>
    </row>
    <row r="942">
      <c r="A942" s="1202"/>
      <c r="B942" s="1203"/>
      <c r="C942" s="1189"/>
      <c r="D942" s="1189"/>
      <c r="E942" s="1189"/>
      <c r="F942" s="1189"/>
      <c r="G942" s="1189"/>
      <c r="H942" s="1189"/>
      <c r="I942" s="1189"/>
      <c r="J942" s="1189"/>
      <c r="K942" s="1189"/>
      <c r="L942" s="1189"/>
      <c r="M942" s="1189"/>
      <c r="N942" s="1189"/>
      <c r="O942" s="1189"/>
      <c r="P942" s="1189"/>
      <c r="Q942" s="1189"/>
      <c r="R942" s="1189"/>
      <c r="S942" s="1189"/>
      <c r="T942" s="1189"/>
      <c r="U942" s="1189"/>
      <c r="V942" s="1189"/>
      <c r="W942" s="1189"/>
      <c r="X942" s="1189"/>
      <c r="Y942" s="1189"/>
      <c r="Z942" s="1189"/>
      <c r="AA942" s="1189"/>
      <c r="AB942" s="1189"/>
      <c r="AC942" s="1189"/>
      <c r="AD942" s="1189"/>
      <c r="AE942" s="1189"/>
      <c r="AF942" s="1189"/>
      <c r="AG942" s="1189"/>
      <c r="AH942" s="1189"/>
      <c r="AI942" s="1189"/>
    </row>
    <row r="943">
      <c r="A943" s="1202"/>
      <c r="B943" s="1203"/>
      <c r="C943" s="1189"/>
      <c r="D943" s="1189"/>
      <c r="E943" s="1189"/>
      <c r="F943" s="1189"/>
      <c r="G943" s="1189"/>
      <c r="H943" s="1189"/>
      <c r="I943" s="1189"/>
      <c r="J943" s="1189"/>
      <c r="K943" s="1189"/>
      <c r="L943" s="1189"/>
      <c r="M943" s="1189"/>
      <c r="N943" s="1189"/>
      <c r="O943" s="1189"/>
      <c r="P943" s="1189"/>
      <c r="Q943" s="1189"/>
      <c r="R943" s="1189"/>
      <c r="S943" s="1189"/>
      <c r="T943" s="1189"/>
      <c r="U943" s="1189"/>
      <c r="V943" s="1189"/>
      <c r="W943" s="1189"/>
      <c r="X943" s="1189"/>
      <c r="Y943" s="1189"/>
      <c r="Z943" s="1189"/>
      <c r="AA943" s="1189"/>
      <c r="AB943" s="1189"/>
      <c r="AC943" s="1189"/>
      <c r="AD943" s="1189"/>
      <c r="AE943" s="1189"/>
      <c r="AF943" s="1189"/>
      <c r="AG943" s="1189"/>
      <c r="AH943" s="1189"/>
      <c r="AI943" s="1189"/>
    </row>
    <row r="944">
      <c r="A944" s="1202"/>
      <c r="B944" s="1203"/>
      <c r="C944" s="1189"/>
      <c r="D944" s="1189"/>
      <c r="E944" s="1189"/>
      <c r="F944" s="1189"/>
      <c r="G944" s="1189"/>
      <c r="H944" s="1189"/>
      <c r="I944" s="1189"/>
      <c r="J944" s="1189"/>
      <c r="K944" s="1189"/>
      <c r="L944" s="1189"/>
      <c r="M944" s="1189"/>
      <c r="N944" s="1189"/>
      <c r="O944" s="1189"/>
      <c r="P944" s="1189"/>
      <c r="Q944" s="1189"/>
      <c r="R944" s="1189"/>
      <c r="S944" s="1189"/>
      <c r="T944" s="1189"/>
      <c r="U944" s="1189"/>
      <c r="V944" s="1189"/>
      <c r="W944" s="1189"/>
      <c r="X944" s="1189"/>
      <c r="Y944" s="1189"/>
      <c r="Z944" s="1189"/>
      <c r="AA944" s="1189"/>
      <c r="AB944" s="1189"/>
      <c r="AC944" s="1189"/>
      <c r="AD944" s="1189"/>
      <c r="AE944" s="1189"/>
      <c r="AF944" s="1189"/>
      <c r="AG944" s="1189"/>
      <c r="AH944" s="1189"/>
      <c r="AI944" s="1189"/>
    </row>
    <row r="945">
      <c r="A945" s="1202"/>
      <c r="B945" s="1203"/>
      <c r="C945" s="1189"/>
      <c r="D945" s="1189"/>
      <c r="E945" s="1189"/>
      <c r="F945" s="1189"/>
      <c r="G945" s="1189"/>
      <c r="H945" s="1189"/>
      <c r="I945" s="1189"/>
      <c r="J945" s="1189"/>
      <c r="K945" s="1189"/>
      <c r="L945" s="1189"/>
      <c r="M945" s="1189"/>
      <c r="N945" s="1189"/>
      <c r="O945" s="1189"/>
      <c r="P945" s="1189"/>
      <c r="Q945" s="1189"/>
      <c r="R945" s="1189"/>
      <c r="S945" s="1189"/>
      <c r="T945" s="1189"/>
      <c r="U945" s="1189"/>
      <c r="V945" s="1189"/>
      <c r="W945" s="1189"/>
      <c r="X945" s="1189"/>
      <c r="Y945" s="1189"/>
      <c r="Z945" s="1189"/>
      <c r="AA945" s="1189"/>
      <c r="AB945" s="1189"/>
      <c r="AC945" s="1189"/>
      <c r="AD945" s="1189"/>
      <c r="AE945" s="1189"/>
      <c r="AF945" s="1189"/>
      <c r="AG945" s="1189"/>
      <c r="AH945" s="1189"/>
      <c r="AI945" s="1189"/>
    </row>
    <row r="946">
      <c r="A946" s="1202"/>
      <c r="B946" s="1203"/>
      <c r="C946" s="1189"/>
      <c r="D946" s="1189"/>
      <c r="E946" s="1189"/>
      <c r="F946" s="1189"/>
      <c r="G946" s="1189"/>
      <c r="H946" s="1189"/>
      <c r="I946" s="1189"/>
      <c r="J946" s="1189"/>
      <c r="K946" s="1189"/>
      <c r="L946" s="1189"/>
      <c r="M946" s="1189"/>
      <c r="N946" s="1189"/>
      <c r="O946" s="1189"/>
      <c r="P946" s="1189"/>
      <c r="Q946" s="1189"/>
      <c r="R946" s="1189"/>
      <c r="S946" s="1189"/>
      <c r="T946" s="1189"/>
      <c r="U946" s="1189"/>
      <c r="V946" s="1189"/>
      <c r="W946" s="1189"/>
      <c r="X946" s="1189"/>
      <c r="Y946" s="1189"/>
      <c r="Z946" s="1189"/>
      <c r="AA946" s="1189"/>
      <c r="AB946" s="1189"/>
      <c r="AC946" s="1189"/>
      <c r="AD946" s="1189"/>
      <c r="AE946" s="1189"/>
      <c r="AF946" s="1189"/>
      <c r="AG946" s="1189"/>
      <c r="AH946" s="1189"/>
      <c r="AI946" s="1189"/>
    </row>
    <row r="947">
      <c r="A947" s="1202"/>
      <c r="B947" s="1203"/>
      <c r="C947" s="1189"/>
      <c r="D947" s="1189"/>
      <c r="E947" s="1189"/>
      <c r="F947" s="1189"/>
      <c r="G947" s="1189"/>
      <c r="H947" s="1189"/>
      <c r="I947" s="1189"/>
      <c r="J947" s="1189"/>
      <c r="K947" s="1189"/>
      <c r="L947" s="1189"/>
      <c r="M947" s="1189"/>
      <c r="N947" s="1189"/>
      <c r="O947" s="1189"/>
      <c r="P947" s="1189"/>
      <c r="Q947" s="1189"/>
      <c r="R947" s="1189"/>
      <c r="S947" s="1189"/>
      <c r="T947" s="1189"/>
      <c r="U947" s="1189"/>
      <c r="V947" s="1189"/>
      <c r="W947" s="1189"/>
      <c r="X947" s="1189"/>
      <c r="Y947" s="1189"/>
      <c r="Z947" s="1189"/>
      <c r="AA947" s="1189"/>
      <c r="AB947" s="1189"/>
      <c r="AC947" s="1189"/>
      <c r="AD947" s="1189"/>
      <c r="AE947" s="1189"/>
      <c r="AF947" s="1189"/>
      <c r="AG947" s="1189"/>
      <c r="AH947" s="1189"/>
      <c r="AI947" s="1189"/>
    </row>
    <row r="948">
      <c r="A948" s="1202"/>
      <c r="B948" s="1203"/>
      <c r="C948" s="1189"/>
      <c r="D948" s="1189"/>
      <c r="E948" s="1189"/>
      <c r="F948" s="1189"/>
      <c r="G948" s="1189"/>
      <c r="H948" s="1189"/>
      <c r="I948" s="1189"/>
      <c r="J948" s="1189"/>
      <c r="K948" s="1189"/>
      <c r="L948" s="1189"/>
      <c r="M948" s="1189"/>
      <c r="N948" s="1189"/>
      <c r="O948" s="1189"/>
      <c r="P948" s="1189"/>
      <c r="Q948" s="1189"/>
      <c r="R948" s="1189"/>
      <c r="S948" s="1189"/>
      <c r="T948" s="1189"/>
      <c r="U948" s="1189"/>
      <c r="V948" s="1189"/>
      <c r="W948" s="1189"/>
      <c r="X948" s="1189"/>
      <c r="Y948" s="1189"/>
      <c r="Z948" s="1189"/>
      <c r="AA948" s="1189"/>
      <c r="AB948" s="1189"/>
      <c r="AC948" s="1189"/>
      <c r="AD948" s="1189"/>
      <c r="AE948" s="1189"/>
      <c r="AF948" s="1189"/>
      <c r="AG948" s="1189"/>
      <c r="AH948" s="1189"/>
      <c r="AI948" s="1189"/>
    </row>
    <row r="949">
      <c r="A949" s="1202"/>
      <c r="B949" s="1203"/>
      <c r="C949" s="1189"/>
      <c r="D949" s="1189"/>
      <c r="E949" s="1189"/>
      <c r="F949" s="1189"/>
      <c r="G949" s="1189"/>
      <c r="H949" s="1189"/>
      <c r="I949" s="1189"/>
      <c r="J949" s="1189"/>
      <c r="K949" s="1189"/>
      <c r="L949" s="1189"/>
      <c r="M949" s="1189"/>
      <c r="N949" s="1189"/>
      <c r="O949" s="1189"/>
      <c r="P949" s="1189"/>
      <c r="Q949" s="1189"/>
      <c r="R949" s="1189"/>
      <c r="S949" s="1189"/>
      <c r="T949" s="1189"/>
      <c r="U949" s="1189"/>
      <c r="V949" s="1189"/>
      <c r="W949" s="1189"/>
      <c r="X949" s="1189"/>
      <c r="Y949" s="1189"/>
      <c r="Z949" s="1189"/>
      <c r="AA949" s="1189"/>
      <c r="AB949" s="1189"/>
      <c r="AC949" s="1189"/>
      <c r="AD949" s="1189"/>
      <c r="AE949" s="1189"/>
      <c r="AF949" s="1189"/>
      <c r="AG949" s="1189"/>
      <c r="AH949" s="1189"/>
      <c r="AI949" s="1189"/>
    </row>
    <row r="950">
      <c r="A950" s="1202"/>
      <c r="B950" s="1203"/>
      <c r="C950" s="1189"/>
      <c r="D950" s="1189"/>
      <c r="E950" s="1189"/>
      <c r="F950" s="1189"/>
      <c r="G950" s="1189"/>
      <c r="H950" s="1189"/>
      <c r="I950" s="1189"/>
      <c r="J950" s="1189"/>
      <c r="K950" s="1189"/>
      <c r="L950" s="1189"/>
      <c r="M950" s="1189"/>
      <c r="N950" s="1189"/>
      <c r="O950" s="1189"/>
      <c r="P950" s="1189"/>
      <c r="Q950" s="1189"/>
      <c r="R950" s="1189"/>
      <c r="S950" s="1189"/>
      <c r="T950" s="1189"/>
      <c r="U950" s="1189"/>
      <c r="V950" s="1189"/>
      <c r="W950" s="1189"/>
      <c r="X950" s="1189"/>
      <c r="Y950" s="1189"/>
      <c r="Z950" s="1189"/>
      <c r="AA950" s="1189"/>
      <c r="AB950" s="1189"/>
      <c r="AC950" s="1189"/>
      <c r="AD950" s="1189"/>
      <c r="AE950" s="1189"/>
      <c r="AF950" s="1189"/>
      <c r="AG950" s="1189"/>
      <c r="AH950" s="1189"/>
      <c r="AI950" s="1189"/>
    </row>
    <row r="951">
      <c r="A951" s="1202"/>
      <c r="B951" s="1203"/>
      <c r="C951" s="1189"/>
      <c r="D951" s="1189"/>
      <c r="E951" s="1189"/>
      <c r="F951" s="1189"/>
      <c r="G951" s="1189"/>
      <c r="H951" s="1189"/>
      <c r="I951" s="1189"/>
      <c r="J951" s="1189"/>
      <c r="K951" s="1189"/>
      <c r="L951" s="1189"/>
      <c r="M951" s="1189"/>
      <c r="N951" s="1189"/>
      <c r="O951" s="1189"/>
      <c r="P951" s="1189"/>
      <c r="Q951" s="1189"/>
      <c r="R951" s="1189"/>
      <c r="S951" s="1189"/>
      <c r="T951" s="1189"/>
      <c r="U951" s="1189"/>
      <c r="V951" s="1189"/>
      <c r="W951" s="1189"/>
      <c r="X951" s="1189"/>
      <c r="Y951" s="1189"/>
      <c r="Z951" s="1189"/>
      <c r="AA951" s="1189"/>
      <c r="AB951" s="1189"/>
      <c r="AC951" s="1189"/>
      <c r="AD951" s="1189"/>
      <c r="AE951" s="1189"/>
      <c r="AF951" s="1189"/>
      <c r="AG951" s="1189"/>
      <c r="AH951" s="1189"/>
      <c r="AI951" s="1189"/>
    </row>
    <row r="952">
      <c r="A952" s="1202"/>
      <c r="B952" s="1203"/>
      <c r="C952" s="1189"/>
      <c r="D952" s="1189"/>
      <c r="E952" s="1189"/>
      <c r="F952" s="1189"/>
      <c r="G952" s="1189"/>
      <c r="H952" s="1189"/>
      <c r="I952" s="1189"/>
      <c r="J952" s="1189"/>
      <c r="K952" s="1189"/>
      <c r="L952" s="1189"/>
      <c r="M952" s="1189"/>
      <c r="N952" s="1189"/>
      <c r="O952" s="1189"/>
      <c r="P952" s="1189"/>
      <c r="Q952" s="1189"/>
      <c r="R952" s="1189"/>
      <c r="S952" s="1189"/>
      <c r="T952" s="1189"/>
      <c r="U952" s="1189"/>
      <c r="V952" s="1189"/>
      <c r="W952" s="1189"/>
      <c r="X952" s="1189"/>
      <c r="Y952" s="1189"/>
      <c r="Z952" s="1189"/>
      <c r="AA952" s="1189"/>
      <c r="AB952" s="1189"/>
      <c r="AC952" s="1189"/>
      <c r="AD952" s="1189"/>
      <c r="AE952" s="1189"/>
      <c r="AF952" s="1189"/>
      <c r="AG952" s="1189"/>
      <c r="AH952" s="1189"/>
      <c r="AI952" s="1189"/>
    </row>
    <row r="953">
      <c r="A953" s="1202"/>
      <c r="B953" s="1203"/>
      <c r="C953" s="1189"/>
      <c r="D953" s="1189"/>
      <c r="E953" s="1189"/>
      <c r="F953" s="1189"/>
      <c r="G953" s="1189"/>
      <c r="H953" s="1189"/>
      <c r="I953" s="1189"/>
      <c r="J953" s="1189"/>
      <c r="K953" s="1189"/>
      <c r="L953" s="1189"/>
      <c r="M953" s="1189"/>
      <c r="N953" s="1189"/>
      <c r="O953" s="1189"/>
      <c r="P953" s="1189"/>
      <c r="Q953" s="1189"/>
      <c r="R953" s="1189"/>
      <c r="S953" s="1189"/>
      <c r="T953" s="1189"/>
      <c r="U953" s="1189"/>
      <c r="V953" s="1189"/>
      <c r="W953" s="1189"/>
      <c r="X953" s="1189"/>
      <c r="Y953" s="1189"/>
      <c r="Z953" s="1189"/>
      <c r="AA953" s="1189"/>
      <c r="AB953" s="1189"/>
      <c r="AC953" s="1189"/>
      <c r="AD953" s="1189"/>
      <c r="AE953" s="1189"/>
      <c r="AF953" s="1189"/>
      <c r="AG953" s="1189"/>
      <c r="AH953" s="1189"/>
      <c r="AI953" s="1189"/>
    </row>
    <row r="954">
      <c r="A954" s="1202"/>
      <c r="B954" s="1203"/>
      <c r="C954" s="1189"/>
      <c r="D954" s="1189"/>
      <c r="E954" s="1189"/>
      <c r="F954" s="1189"/>
      <c r="G954" s="1189"/>
      <c r="H954" s="1189"/>
      <c r="I954" s="1189"/>
      <c r="J954" s="1189"/>
      <c r="K954" s="1189"/>
      <c r="L954" s="1189"/>
      <c r="M954" s="1189"/>
      <c r="N954" s="1189"/>
      <c r="O954" s="1189"/>
      <c r="P954" s="1189"/>
      <c r="Q954" s="1189"/>
      <c r="R954" s="1189"/>
      <c r="S954" s="1189"/>
      <c r="T954" s="1189"/>
      <c r="U954" s="1189"/>
      <c r="V954" s="1189"/>
      <c r="W954" s="1189"/>
      <c r="X954" s="1189"/>
      <c r="Y954" s="1189"/>
      <c r="Z954" s="1189"/>
      <c r="AA954" s="1189"/>
      <c r="AB954" s="1189"/>
      <c r="AC954" s="1189"/>
      <c r="AD954" s="1189"/>
      <c r="AE954" s="1189"/>
      <c r="AF954" s="1189"/>
      <c r="AG954" s="1189"/>
      <c r="AH954" s="1189"/>
      <c r="AI954" s="1189"/>
    </row>
    <row r="955">
      <c r="A955" s="1202"/>
      <c r="B955" s="1203"/>
      <c r="C955" s="1189"/>
      <c r="D955" s="1189"/>
      <c r="E955" s="1189"/>
      <c r="F955" s="1189"/>
      <c r="G955" s="1189"/>
      <c r="H955" s="1189"/>
      <c r="I955" s="1189"/>
      <c r="J955" s="1189"/>
      <c r="K955" s="1189"/>
      <c r="L955" s="1189"/>
      <c r="M955" s="1189"/>
      <c r="N955" s="1189"/>
      <c r="O955" s="1189"/>
      <c r="P955" s="1189"/>
      <c r="Q955" s="1189"/>
      <c r="R955" s="1189"/>
      <c r="S955" s="1189"/>
      <c r="T955" s="1189"/>
      <c r="U955" s="1189"/>
      <c r="V955" s="1189"/>
      <c r="W955" s="1189"/>
      <c r="X955" s="1189"/>
      <c r="Y955" s="1189"/>
      <c r="Z955" s="1189"/>
      <c r="AA955" s="1189"/>
      <c r="AB955" s="1189"/>
      <c r="AC955" s="1189"/>
      <c r="AD955" s="1189"/>
      <c r="AE955" s="1189"/>
      <c r="AF955" s="1189"/>
      <c r="AG955" s="1189"/>
      <c r="AH955" s="1189"/>
      <c r="AI955" s="1189"/>
    </row>
    <row r="956">
      <c r="A956" s="1202"/>
      <c r="B956" s="1203"/>
      <c r="C956" s="1189"/>
      <c r="D956" s="1189"/>
      <c r="E956" s="1189"/>
      <c r="F956" s="1189"/>
      <c r="G956" s="1189"/>
      <c r="H956" s="1189"/>
      <c r="I956" s="1189"/>
      <c r="J956" s="1189"/>
      <c r="K956" s="1189"/>
      <c r="L956" s="1189"/>
      <c r="M956" s="1189"/>
      <c r="N956" s="1189"/>
      <c r="O956" s="1189"/>
      <c r="P956" s="1189"/>
      <c r="Q956" s="1189"/>
      <c r="R956" s="1189"/>
      <c r="S956" s="1189"/>
      <c r="T956" s="1189"/>
      <c r="U956" s="1189"/>
      <c r="V956" s="1189"/>
      <c r="W956" s="1189"/>
      <c r="X956" s="1189"/>
      <c r="Y956" s="1189"/>
      <c r="Z956" s="1189"/>
      <c r="AA956" s="1189"/>
      <c r="AB956" s="1189"/>
      <c r="AC956" s="1189"/>
      <c r="AD956" s="1189"/>
      <c r="AE956" s="1189"/>
      <c r="AF956" s="1189"/>
      <c r="AG956" s="1189"/>
      <c r="AH956" s="1189"/>
      <c r="AI956" s="1189"/>
    </row>
    <row r="957">
      <c r="A957" s="1202"/>
      <c r="B957" s="1203"/>
      <c r="C957" s="1189"/>
      <c r="D957" s="1189"/>
      <c r="E957" s="1189"/>
      <c r="F957" s="1189"/>
      <c r="G957" s="1189"/>
      <c r="H957" s="1189"/>
      <c r="I957" s="1189"/>
      <c r="J957" s="1189"/>
      <c r="K957" s="1189"/>
      <c r="L957" s="1189"/>
      <c r="M957" s="1189"/>
      <c r="N957" s="1189"/>
      <c r="O957" s="1189"/>
      <c r="P957" s="1189"/>
      <c r="Q957" s="1189"/>
      <c r="R957" s="1189"/>
      <c r="S957" s="1189"/>
      <c r="T957" s="1189"/>
      <c r="U957" s="1189"/>
      <c r="V957" s="1189"/>
      <c r="W957" s="1189"/>
      <c r="X957" s="1189"/>
      <c r="Y957" s="1189"/>
      <c r="Z957" s="1189"/>
      <c r="AA957" s="1189"/>
      <c r="AB957" s="1189"/>
      <c r="AC957" s="1189"/>
      <c r="AD957" s="1189"/>
      <c r="AE957" s="1189"/>
      <c r="AF957" s="1189"/>
      <c r="AG957" s="1189"/>
      <c r="AH957" s="1189"/>
      <c r="AI957" s="1189"/>
    </row>
    <row r="958">
      <c r="A958" s="1202"/>
      <c r="B958" s="1203"/>
      <c r="C958" s="1189"/>
      <c r="D958" s="1189"/>
      <c r="E958" s="1189"/>
      <c r="F958" s="1189"/>
      <c r="G958" s="1189"/>
      <c r="H958" s="1189"/>
      <c r="I958" s="1189"/>
      <c r="J958" s="1189"/>
      <c r="K958" s="1189"/>
      <c r="L958" s="1189"/>
      <c r="M958" s="1189"/>
      <c r="N958" s="1189"/>
      <c r="O958" s="1189"/>
      <c r="P958" s="1189"/>
      <c r="Q958" s="1189"/>
      <c r="R958" s="1189"/>
      <c r="S958" s="1189"/>
      <c r="T958" s="1189"/>
      <c r="U958" s="1189"/>
      <c r="V958" s="1189"/>
      <c r="W958" s="1189"/>
      <c r="X958" s="1189"/>
      <c r="Y958" s="1189"/>
      <c r="Z958" s="1189"/>
      <c r="AA958" s="1189"/>
      <c r="AB958" s="1189"/>
      <c r="AC958" s="1189"/>
      <c r="AD958" s="1189"/>
      <c r="AE958" s="1189"/>
      <c r="AF958" s="1189"/>
      <c r="AG958" s="1189"/>
      <c r="AH958" s="1189"/>
      <c r="AI958" s="1189"/>
    </row>
    <row r="959">
      <c r="A959" s="1202"/>
      <c r="B959" s="1203"/>
      <c r="C959" s="1189"/>
      <c r="D959" s="1189"/>
      <c r="E959" s="1189"/>
      <c r="F959" s="1189"/>
      <c r="G959" s="1189"/>
      <c r="H959" s="1189"/>
      <c r="I959" s="1189"/>
      <c r="J959" s="1189"/>
      <c r="K959" s="1189"/>
      <c r="L959" s="1189"/>
      <c r="M959" s="1189"/>
      <c r="N959" s="1189"/>
      <c r="O959" s="1189"/>
      <c r="P959" s="1189"/>
      <c r="Q959" s="1189"/>
      <c r="R959" s="1189"/>
      <c r="S959" s="1189"/>
      <c r="T959" s="1189"/>
      <c r="U959" s="1189"/>
      <c r="V959" s="1189"/>
      <c r="W959" s="1189"/>
      <c r="X959" s="1189"/>
      <c r="Y959" s="1189"/>
      <c r="Z959" s="1189"/>
      <c r="AA959" s="1189"/>
      <c r="AB959" s="1189"/>
      <c r="AC959" s="1189"/>
      <c r="AD959" s="1189"/>
      <c r="AE959" s="1189"/>
      <c r="AF959" s="1189"/>
      <c r="AG959" s="1189"/>
      <c r="AH959" s="1189"/>
      <c r="AI959" s="1189"/>
    </row>
    <row r="960">
      <c r="A960" s="1202"/>
      <c r="B960" s="1203"/>
      <c r="C960" s="1189"/>
      <c r="D960" s="1189"/>
      <c r="E960" s="1189"/>
      <c r="F960" s="1189"/>
      <c r="G960" s="1189"/>
      <c r="H960" s="1189"/>
      <c r="I960" s="1189"/>
      <c r="J960" s="1189"/>
      <c r="K960" s="1189"/>
      <c r="L960" s="1189"/>
      <c r="M960" s="1189"/>
      <c r="N960" s="1189"/>
      <c r="O960" s="1189"/>
      <c r="P960" s="1189"/>
      <c r="Q960" s="1189"/>
      <c r="R960" s="1189"/>
      <c r="S960" s="1189"/>
      <c r="T960" s="1189"/>
      <c r="U960" s="1189"/>
      <c r="V960" s="1189"/>
      <c r="W960" s="1189"/>
      <c r="X960" s="1189"/>
      <c r="Y960" s="1189"/>
      <c r="Z960" s="1189"/>
      <c r="AA960" s="1189"/>
      <c r="AB960" s="1189"/>
      <c r="AC960" s="1189"/>
      <c r="AD960" s="1189"/>
      <c r="AE960" s="1189"/>
      <c r="AF960" s="1189"/>
      <c r="AG960" s="1189"/>
      <c r="AH960" s="1189"/>
      <c r="AI960" s="1189"/>
    </row>
    <row r="961">
      <c r="A961" s="1202"/>
      <c r="B961" s="1203"/>
      <c r="C961" s="1189"/>
      <c r="D961" s="1189"/>
      <c r="E961" s="1189"/>
      <c r="F961" s="1189"/>
      <c r="G961" s="1189"/>
      <c r="H961" s="1189"/>
      <c r="I961" s="1189"/>
      <c r="J961" s="1189"/>
      <c r="K961" s="1189"/>
      <c r="L961" s="1189"/>
      <c r="M961" s="1189"/>
      <c r="N961" s="1189"/>
      <c r="O961" s="1189"/>
      <c r="P961" s="1189"/>
      <c r="Q961" s="1189"/>
      <c r="R961" s="1189"/>
      <c r="S961" s="1189"/>
      <c r="T961" s="1189"/>
      <c r="U961" s="1189"/>
      <c r="V961" s="1189"/>
      <c r="W961" s="1189"/>
      <c r="X961" s="1189"/>
      <c r="Y961" s="1189"/>
      <c r="Z961" s="1189"/>
      <c r="AA961" s="1189"/>
      <c r="AB961" s="1189"/>
      <c r="AC961" s="1189"/>
      <c r="AD961" s="1189"/>
      <c r="AE961" s="1189"/>
      <c r="AF961" s="1189"/>
      <c r="AG961" s="1189"/>
      <c r="AH961" s="1189"/>
      <c r="AI961" s="1189"/>
    </row>
    <row r="962">
      <c r="A962" s="1202"/>
      <c r="B962" s="1203"/>
      <c r="C962" s="1189"/>
      <c r="D962" s="1189"/>
      <c r="E962" s="1189"/>
      <c r="F962" s="1189"/>
      <c r="G962" s="1189"/>
      <c r="H962" s="1189"/>
      <c r="I962" s="1189"/>
      <c r="J962" s="1189"/>
      <c r="K962" s="1189"/>
      <c r="L962" s="1189"/>
      <c r="M962" s="1189"/>
      <c r="N962" s="1189"/>
      <c r="O962" s="1189"/>
      <c r="P962" s="1189"/>
      <c r="Q962" s="1189"/>
      <c r="R962" s="1189"/>
      <c r="S962" s="1189"/>
      <c r="T962" s="1189"/>
      <c r="U962" s="1189"/>
      <c r="V962" s="1189"/>
      <c r="W962" s="1189"/>
      <c r="X962" s="1189"/>
      <c r="Y962" s="1189"/>
      <c r="Z962" s="1189"/>
      <c r="AA962" s="1189"/>
      <c r="AB962" s="1189"/>
      <c r="AC962" s="1189"/>
      <c r="AD962" s="1189"/>
      <c r="AE962" s="1189"/>
      <c r="AF962" s="1189"/>
      <c r="AG962" s="1189"/>
      <c r="AH962" s="1189"/>
      <c r="AI962" s="1189"/>
    </row>
    <row r="963">
      <c r="A963" s="1202"/>
      <c r="B963" s="1203"/>
      <c r="C963" s="1189"/>
      <c r="D963" s="1189"/>
      <c r="E963" s="1189"/>
      <c r="F963" s="1189"/>
      <c r="G963" s="1189"/>
      <c r="H963" s="1189"/>
      <c r="I963" s="1189"/>
      <c r="J963" s="1189"/>
      <c r="K963" s="1189"/>
      <c r="L963" s="1189"/>
      <c r="M963" s="1189"/>
      <c r="N963" s="1189"/>
      <c r="O963" s="1189"/>
      <c r="P963" s="1189"/>
      <c r="Q963" s="1189"/>
      <c r="R963" s="1189"/>
      <c r="S963" s="1189"/>
      <c r="T963" s="1189"/>
      <c r="U963" s="1189"/>
      <c r="V963" s="1189"/>
      <c r="W963" s="1189"/>
      <c r="X963" s="1189"/>
      <c r="Y963" s="1189"/>
      <c r="Z963" s="1189"/>
      <c r="AA963" s="1189"/>
      <c r="AB963" s="1189"/>
      <c r="AC963" s="1189"/>
      <c r="AD963" s="1189"/>
      <c r="AE963" s="1189"/>
      <c r="AF963" s="1189"/>
      <c r="AG963" s="1189"/>
      <c r="AH963" s="1189"/>
      <c r="AI963" s="1189"/>
    </row>
    <row r="964">
      <c r="A964" s="1202"/>
      <c r="B964" s="1203"/>
      <c r="C964" s="1189"/>
      <c r="D964" s="1189"/>
      <c r="E964" s="1189"/>
      <c r="F964" s="1189"/>
      <c r="G964" s="1189"/>
      <c r="H964" s="1189"/>
      <c r="I964" s="1189"/>
      <c r="J964" s="1189"/>
      <c r="K964" s="1189"/>
      <c r="L964" s="1189"/>
      <c r="M964" s="1189"/>
      <c r="N964" s="1189"/>
      <c r="O964" s="1189"/>
      <c r="P964" s="1189"/>
      <c r="Q964" s="1189"/>
      <c r="R964" s="1189"/>
      <c r="S964" s="1189"/>
      <c r="T964" s="1189"/>
      <c r="U964" s="1189"/>
      <c r="V964" s="1189"/>
      <c r="W964" s="1189"/>
      <c r="X964" s="1189"/>
      <c r="Y964" s="1189"/>
      <c r="Z964" s="1189"/>
      <c r="AA964" s="1189"/>
      <c r="AB964" s="1189"/>
      <c r="AC964" s="1189"/>
      <c r="AD964" s="1189"/>
      <c r="AE964" s="1189"/>
      <c r="AF964" s="1189"/>
      <c r="AG964" s="1189"/>
      <c r="AH964" s="1189"/>
      <c r="AI964" s="1189"/>
    </row>
    <row r="965">
      <c r="A965" s="1202"/>
      <c r="B965" s="1203"/>
      <c r="C965" s="1189"/>
      <c r="D965" s="1189"/>
      <c r="E965" s="1189"/>
      <c r="F965" s="1189"/>
      <c r="G965" s="1189"/>
      <c r="H965" s="1189"/>
      <c r="I965" s="1189"/>
      <c r="J965" s="1189"/>
      <c r="K965" s="1189"/>
      <c r="L965" s="1189"/>
      <c r="M965" s="1189"/>
      <c r="N965" s="1189"/>
      <c r="O965" s="1189"/>
      <c r="P965" s="1189"/>
      <c r="Q965" s="1189"/>
      <c r="R965" s="1189"/>
      <c r="S965" s="1189"/>
      <c r="T965" s="1189"/>
      <c r="U965" s="1189"/>
      <c r="V965" s="1189"/>
      <c r="W965" s="1189"/>
      <c r="X965" s="1189"/>
      <c r="Y965" s="1189"/>
      <c r="Z965" s="1189"/>
      <c r="AA965" s="1189"/>
      <c r="AB965" s="1189"/>
      <c r="AC965" s="1189"/>
      <c r="AD965" s="1189"/>
      <c r="AE965" s="1189"/>
      <c r="AF965" s="1189"/>
      <c r="AG965" s="1189"/>
      <c r="AH965" s="1189"/>
      <c r="AI965" s="1189"/>
    </row>
    <row r="966">
      <c r="A966" s="1202"/>
      <c r="B966" s="1203"/>
      <c r="C966" s="1189"/>
      <c r="D966" s="1189"/>
      <c r="E966" s="1189"/>
      <c r="F966" s="1189"/>
      <c r="G966" s="1189"/>
      <c r="H966" s="1189"/>
      <c r="I966" s="1189"/>
      <c r="J966" s="1189"/>
      <c r="K966" s="1189"/>
      <c r="L966" s="1189"/>
      <c r="M966" s="1189"/>
      <c r="N966" s="1189"/>
      <c r="O966" s="1189"/>
      <c r="P966" s="1189"/>
      <c r="Q966" s="1189"/>
      <c r="R966" s="1189"/>
      <c r="S966" s="1189"/>
      <c r="T966" s="1189"/>
      <c r="U966" s="1189"/>
      <c r="V966" s="1189"/>
      <c r="W966" s="1189"/>
      <c r="X966" s="1189"/>
      <c r="Y966" s="1189"/>
      <c r="Z966" s="1189"/>
      <c r="AA966" s="1189"/>
      <c r="AB966" s="1189"/>
      <c r="AC966" s="1189"/>
      <c r="AD966" s="1189"/>
      <c r="AE966" s="1189"/>
      <c r="AF966" s="1189"/>
      <c r="AG966" s="1189"/>
      <c r="AH966" s="1189"/>
      <c r="AI966" s="1189"/>
    </row>
    <row r="967">
      <c r="A967" s="1202"/>
      <c r="B967" s="1203"/>
      <c r="C967" s="1189"/>
      <c r="D967" s="1189"/>
      <c r="E967" s="1189"/>
      <c r="F967" s="1189"/>
      <c r="G967" s="1189"/>
      <c r="H967" s="1189"/>
      <c r="I967" s="1189"/>
      <c r="J967" s="1189"/>
      <c r="K967" s="1189"/>
      <c r="L967" s="1189"/>
      <c r="M967" s="1189"/>
      <c r="N967" s="1189"/>
      <c r="O967" s="1189"/>
      <c r="P967" s="1189"/>
      <c r="Q967" s="1189"/>
      <c r="R967" s="1189"/>
      <c r="S967" s="1189"/>
      <c r="T967" s="1189"/>
      <c r="U967" s="1189"/>
      <c r="V967" s="1189"/>
      <c r="W967" s="1189"/>
      <c r="X967" s="1189"/>
      <c r="Y967" s="1189"/>
      <c r="Z967" s="1189"/>
      <c r="AA967" s="1189"/>
      <c r="AB967" s="1189"/>
      <c r="AC967" s="1189"/>
      <c r="AD967" s="1189"/>
      <c r="AE967" s="1189"/>
      <c r="AF967" s="1189"/>
      <c r="AG967" s="1189"/>
      <c r="AH967" s="1189"/>
      <c r="AI967" s="1189"/>
    </row>
    <row r="968">
      <c r="A968" s="1202"/>
      <c r="B968" s="1203"/>
      <c r="C968" s="1189"/>
      <c r="D968" s="1189"/>
      <c r="E968" s="1189"/>
      <c r="F968" s="1189"/>
      <c r="G968" s="1189"/>
      <c r="H968" s="1189"/>
      <c r="I968" s="1189"/>
      <c r="J968" s="1189"/>
      <c r="K968" s="1189"/>
      <c r="L968" s="1189"/>
      <c r="M968" s="1189"/>
      <c r="N968" s="1189"/>
      <c r="O968" s="1189"/>
      <c r="P968" s="1189"/>
      <c r="Q968" s="1189"/>
      <c r="R968" s="1189"/>
      <c r="S968" s="1189"/>
      <c r="T968" s="1189"/>
      <c r="U968" s="1189"/>
      <c r="V968" s="1189"/>
      <c r="W968" s="1189"/>
      <c r="X968" s="1189"/>
      <c r="Y968" s="1189"/>
      <c r="Z968" s="1189"/>
      <c r="AA968" s="1189"/>
      <c r="AB968" s="1189"/>
      <c r="AC968" s="1189"/>
      <c r="AD968" s="1189"/>
      <c r="AE968" s="1189"/>
      <c r="AF968" s="1189"/>
      <c r="AG968" s="1189"/>
      <c r="AH968" s="1189"/>
      <c r="AI968" s="1189"/>
    </row>
    <row r="969">
      <c r="A969" s="1202"/>
      <c r="B969" s="1203"/>
      <c r="C969" s="1189"/>
      <c r="D969" s="1189"/>
      <c r="E969" s="1189"/>
      <c r="F969" s="1189"/>
      <c r="G969" s="1189"/>
      <c r="H969" s="1189"/>
      <c r="I969" s="1189"/>
      <c r="J969" s="1189"/>
      <c r="K969" s="1189"/>
      <c r="L969" s="1189"/>
      <c r="M969" s="1189"/>
      <c r="N969" s="1189"/>
      <c r="O969" s="1189"/>
      <c r="P969" s="1189"/>
      <c r="Q969" s="1189"/>
      <c r="R969" s="1189"/>
      <c r="S969" s="1189"/>
      <c r="T969" s="1189"/>
      <c r="U969" s="1189"/>
      <c r="V969" s="1189"/>
      <c r="W969" s="1189"/>
      <c r="X969" s="1189"/>
      <c r="Y969" s="1189"/>
      <c r="Z969" s="1189"/>
      <c r="AA969" s="1189"/>
      <c r="AB969" s="1189"/>
      <c r="AC969" s="1189"/>
      <c r="AD969" s="1189"/>
      <c r="AE969" s="1189"/>
      <c r="AF969" s="1189"/>
      <c r="AG969" s="1189"/>
      <c r="AH969" s="1189"/>
      <c r="AI969" s="1189"/>
    </row>
    <row r="970">
      <c r="A970" s="1202"/>
      <c r="B970" s="1203"/>
      <c r="C970" s="1189"/>
      <c r="D970" s="1189"/>
      <c r="E970" s="1189"/>
      <c r="F970" s="1189"/>
      <c r="G970" s="1189"/>
      <c r="H970" s="1189"/>
      <c r="I970" s="1189"/>
      <c r="J970" s="1189"/>
      <c r="K970" s="1189"/>
      <c r="L970" s="1189"/>
      <c r="M970" s="1189"/>
      <c r="N970" s="1189"/>
      <c r="O970" s="1189"/>
      <c r="P970" s="1189"/>
      <c r="Q970" s="1189"/>
      <c r="R970" s="1189"/>
      <c r="S970" s="1189"/>
      <c r="T970" s="1189"/>
      <c r="U970" s="1189"/>
      <c r="V970" s="1189"/>
      <c r="W970" s="1189"/>
      <c r="X970" s="1189"/>
      <c r="Y970" s="1189"/>
      <c r="Z970" s="1189"/>
      <c r="AA970" s="1189"/>
      <c r="AB970" s="1189"/>
      <c r="AC970" s="1189"/>
      <c r="AD970" s="1189"/>
      <c r="AE970" s="1189"/>
      <c r="AF970" s="1189"/>
      <c r="AG970" s="1189"/>
      <c r="AH970" s="1189"/>
      <c r="AI970" s="1189"/>
    </row>
    <row r="971">
      <c r="A971" s="1202"/>
      <c r="B971" s="1203"/>
      <c r="C971" s="1189"/>
      <c r="D971" s="1189"/>
      <c r="E971" s="1189"/>
      <c r="F971" s="1189"/>
      <c r="G971" s="1189"/>
      <c r="H971" s="1189"/>
      <c r="I971" s="1189"/>
      <c r="J971" s="1189"/>
      <c r="K971" s="1189"/>
      <c r="L971" s="1189"/>
      <c r="M971" s="1189"/>
      <c r="N971" s="1189"/>
      <c r="O971" s="1189"/>
      <c r="P971" s="1189"/>
      <c r="Q971" s="1189"/>
      <c r="R971" s="1189"/>
      <c r="S971" s="1189"/>
      <c r="T971" s="1189"/>
      <c r="U971" s="1189"/>
      <c r="V971" s="1189"/>
      <c r="W971" s="1189"/>
      <c r="X971" s="1189"/>
      <c r="Y971" s="1189"/>
      <c r="Z971" s="1189"/>
      <c r="AA971" s="1189"/>
      <c r="AB971" s="1189"/>
      <c r="AC971" s="1189"/>
      <c r="AD971" s="1189"/>
      <c r="AE971" s="1189"/>
      <c r="AF971" s="1189"/>
      <c r="AG971" s="1189"/>
      <c r="AH971" s="1189"/>
      <c r="AI971" s="1189"/>
    </row>
    <row r="972">
      <c r="A972" s="1202"/>
      <c r="B972" s="1203"/>
      <c r="C972" s="1189"/>
      <c r="D972" s="1189"/>
      <c r="E972" s="1189"/>
      <c r="F972" s="1189"/>
      <c r="G972" s="1189"/>
      <c r="H972" s="1189"/>
      <c r="I972" s="1189"/>
      <c r="J972" s="1189"/>
      <c r="K972" s="1189"/>
      <c r="L972" s="1189"/>
      <c r="M972" s="1189"/>
      <c r="N972" s="1189"/>
      <c r="O972" s="1189"/>
      <c r="P972" s="1189"/>
      <c r="Q972" s="1189"/>
      <c r="R972" s="1189"/>
      <c r="S972" s="1189"/>
      <c r="T972" s="1189"/>
      <c r="U972" s="1189"/>
      <c r="V972" s="1189"/>
      <c r="W972" s="1189"/>
      <c r="X972" s="1189"/>
      <c r="Y972" s="1189"/>
      <c r="Z972" s="1189"/>
      <c r="AA972" s="1189"/>
      <c r="AB972" s="1189"/>
      <c r="AC972" s="1189"/>
      <c r="AD972" s="1189"/>
      <c r="AE972" s="1189"/>
      <c r="AF972" s="1189"/>
      <c r="AG972" s="1189"/>
      <c r="AH972" s="1189"/>
      <c r="AI972" s="1189"/>
    </row>
    <row r="973">
      <c r="A973" s="1202"/>
      <c r="B973" s="1203"/>
      <c r="C973" s="1189"/>
      <c r="D973" s="1189"/>
      <c r="E973" s="1189"/>
      <c r="F973" s="1189"/>
      <c r="G973" s="1189"/>
      <c r="H973" s="1189"/>
      <c r="I973" s="1189"/>
      <c r="J973" s="1189"/>
      <c r="K973" s="1189"/>
      <c r="L973" s="1189"/>
      <c r="M973" s="1189"/>
      <c r="N973" s="1189"/>
      <c r="O973" s="1189"/>
      <c r="P973" s="1189"/>
      <c r="Q973" s="1189"/>
      <c r="R973" s="1189"/>
      <c r="S973" s="1189"/>
      <c r="T973" s="1189"/>
      <c r="U973" s="1189"/>
      <c r="V973" s="1189"/>
      <c r="W973" s="1189"/>
      <c r="X973" s="1189"/>
      <c r="Y973" s="1189"/>
      <c r="Z973" s="1189"/>
      <c r="AA973" s="1189"/>
      <c r="AB973" s="1189"/>
      <c r="AC973" s="1189"/>
      <c r="AD973" s="1189"/>
      <c r="AE973" s="1189"/>
      <c r="AF973" s="1189"/>
      <c r="AG973" s="1189"/>
      <c r="AH973" s="1189"/>
      <c r="AI973" s="1189"/>
    </row>
    <row r="974">
      <c r="A974" s="1202"/>
      <c r="B974" s="1203"/>
      <c r="C974" s="1189"/>
      <c r="D974" s="1189"/>
      <c r="E974" s="1189"/>
      <c r="F974" s="1189"/>
      <c r="G974" s="1189"/>
      <c r="H974" s="1189"/>
      <c r="I974" s="1189"/>
      <c r="J974" s="1189"/>
      <c r="K974" s="1189"/>
      <c r="L974" s="1189"/>
      <c r="M974" s="1189"/>
      <c r="N974" s="1189"/>
      <c r="O974" s="1189"/>
      <c r="P974" s="1189"/>
      <c r="Q974" s="1189"/>
      <c r="R974" s="1189"/>
      <c r="S974" s="1189"/>
      <c r="T974" s="1189"/>
      <c r="U974" s="1189"/>
      <c r="V974" s="1189"/>
      <c r="W974" s="1189"/>
      <c r="X974" s="1189"/>
      <c r="Y974" s="1189"/>
      <c r="Z974" s="1189"/>
      <c r="AA974" s="1189"/>
      <c r="AB974" s="1189"/>
      <c r="AC974" s="1189"/>
      <c r="AD974" s="1189"/>
      <c r="AE974" s="1189"/>
      <c r="AF974" s="1189"/>
      <c r="AG974" s="1189"/>
      <c r="AH974" s="1189"/>
      <c r="AI974" s="1189"/>
    </row>
    <row r="975">
      <c r="A975" s="1202"/>
      <c r="B975" s="1203"/>
      <c r="C975" s="1189"/>
      <c r="D975" s="1189"/>
      <c r="E975" s="1189"/>
      <c r="F975" s="1189"/>
      <c r="G975" s="1189"/>
      <c r="H975" s="1189"/>
      <c r="I975" s="1189"/>
      <c r="J975" s="1189"/>
      <c r="K975" s="1189"/>
      <c r="L975" s="1189"/>
      <c r="M975" s="1189"/>
      <c r="N975" s="1189"/>
      <c r="O975" s="1189"/>
      <c r="P975" s="1189"/>
      <c r="Q975" s="1189"/>
      <c r="R975" s="1189"/>
      <c r="S975" s="1189"/>
      <c r="T975" s="1189"/>
      <c r="U975" s="1189"/>
      <c r="V975" s="1189"/>
      <c r="W975" s="1189"/>
      <c r="X975" s="1189"/>
      <c r="Y975" s="1189"/>
      <c r="Z975" s="1189"/>
      <c r="AA975" s="1189"/>
      <c r="AB975" s="1189"/>
      <c r="AC975" s="1189"/>
      <c r="AD975" s="1189"/>
      <c r="AE975" s="1189"/>
      <c r="AF975" s="1189"/>
      <c r="AG975" s="1189"/>
      <c r="AH975" s="1189"/>
      <c r="AI975" s="1189"/>
    </row>
    <row r="976">
      <c r="A976" s="1202"/>
      <c r="B976" s="1203"/>
      <c r="C976" s="1189"/>
      <c r="D976" s="1189"/>
      <c r="E976" s="1189"/>
      <c r="F976" s="1189"/>
      <c r="G976" s="1189"/>
      <c r="H976" s="1189"/>
      <c r="I976" s="1189"/>
      <c r="J976" s="1189"/>
      <c r="K976" s="1189"/>
      <c r="L976" s="1189"/>
      <c r="M976" s="1189"/>
      <c r="N976" s="1189"/>
      <c r="O976" s="1189"/>
      <c r="P976" s="1189"/>
      <c r="Q976" s="1189"/>
      <c r="R976" s="1189"/>
      <c r="S976" s="1189"/>
      <c r="T976" s="1189"/>
      <c r="U976" s="1189"/>
      <c r="V976" s="1189"/>
      <c r="W976" s="1189"/>
      <c r="X976" s="1189"/>
      <c r="Y976" s="1189"/>
      <c r="Z976" s="1189"/>
      <c r="AA976" s="1189"/>
      <c r="AB976" s="1189"/>
      <c r="AC976" s="1189"/>
      <c r="AD976" s="1189"/>
      <c r="AE976" s="1189"/>
      <c r="AF976" s="1189"/>
      <c r="AG976" s="1189"/>
      <c r="AH976" s="1189"/>
      <c r="AI976" s="1189"/>
    </row>
    <row r="977">
      <c r="A977" s="1202"/>
      <c r="B977" s="1203"/>
      <c r="C977" s="1189"/>
      <c r="D977" s="1189"/>
      <c r="E977" s="1189"/>
      <c r="F977" s="1189"/>
      <c r="G977" s="1189"/>
      <c r="H977" s="1189"/>
      <c r="I977" s="1189"/>
      <c r="J977" s="1189"/>
      <c r="K977" s="1189"/>
      <c r="L977" s="1189"/>
      <c r="M977" s="1189"/>
      <c r="N977" s="1189"/>
      <c r="O977" s="1189"/>
      <c r="P977" s="1189"/>
      <c r="Q977" s="1189"/>
      <c r="R977" s="1189"/>
      <c r="S977" s="1189"/>
      <c r="T977" s="1189"/>
      <c r="U977" s="1189"/>
      <c r="V977" s="1189"/>
      <c r="W977" s="1189"/>
      <c r="X977" s="1189"/>
      <c r="Y977" s="1189"/>
      <c r="Z977" s="1189"/>
      <c r="AA977" s="1189"/>
      <c r="AB977" s="1189"/>
      <c r="AC977" s="1189"/>
      <c r="AD977" s="1189"/>
      <c r="AE977" s="1189"/>
      <c r="AF977" s="1189"/>
      <c r="AG977" s="1189"/>
      <c r="AH977" s="1189"/>
      <c r="AI977" s="1189"/>
    </row>
    <row r="978">
      <c r="A978" s="1202"/>
      <c r="B978" s="1203"/>
      <c r="C978" s="1189"/>
      <c r="D978" s="1189"/>
      <c r="E978" s="1189"/>
      <c r="F978" s="1189"/>
      <c r="G978" s="1189"/>
      <c r="H978" s="1189"/>
      <c r="I978" s="1189"/>
      <c r="J978" s="1189"/>
      <c r="K978" s="1189"/>
      <c r="L978" s="1189"/>
      <c r="M978" s="1189"/>
      <c r="N978" s="1189"/>
      <c r="O978" s="1189"/>
      <c r="P978" s="1189"/>
      <c r="Q978" s="1189"/>
      <c r="R978" s="1189"/>
      <c r="S978" s="1189"/>
      <c r="T978" s="1189"/>
      <c r="U978" s="1189"/>
      <c r="V978" s="1189"/>
      <c r="W978" s="1189"/>
      <c r="X978" s="1189"/>
      <c r="Y978" s="1189"/>
      <c r="Z978" s="1189"/>
      <c r="AA978" s="1189"/>
      <c r="AB978" s="1189"/>
      <c r="AC978" s="1189"/>
      <c r="AD978" s="1189"/>
      <c r="AE978" s="1189"/>
      <c r="AF978" s="1189"/>
      <c r="AG978" s="1189"/>
      <c r="AH978" s="1189"/>
      <c r="AI978" s="1189"/>
    </row>
    <row r="979">
      <c r="A979" s="1202"/>
      <c r="B979" s="1203"/>
      <c r="C979" s="1189"/>
      <c r="D979" s="1189"/>
      <c r="E979" s="1189"/>
      <c r="F979" s="1189"/>
      <c r="G979" s="1189"/>
      <c r="H979" s="1189"/>
      <c r="I979" s="1189"/>
      <c r="J979" s="1189"/>
      <c r="K979" s="1189"/>
      <c r="L979" s="1189"/>
      <c r="M979" s="1189"/>
      <c r="N979" s="1189"/>
      <c r="O979" s="1189"/>
      <c r="P979" s="1189"/>
      <c r="Q979" s="1189"/>
      <c r="R979" s="1189"/>
      <c r="S979" s="1189"/>
      <c r="T979" s="1189"/>
      <c r="U979" s="1189"/>
      <c r="V979" s="1189"/>
      <c r="W979" s="1189"/>
      <c r="X979" s="1189"/>
      <c r="Y979" s="1189"/>
      <c r="Z979" s="1189"/>
      <c r="AA979" s="1189"/>
      <c r="AB979" s="1189"/>
      <c r="AC979" s="1189"/>
      <c r="AD979" s="1189"/>
      <c r="AE979" s="1189"/>
      <c r="AF979" s="1189"/>
      <c r="AG979" s="1189"/>
      <c r="AH979" s="1189"/>
      <c r="AI979" s="1189"/>
    </row>
    <row r="980">
      <c r="A980" s="1202"/>
      <c r="B980" s="1203"/>
      <c r="C980" s="1189"/>
      <c r="D980" s="1189"/>
      <c r="E980" s="1189"/>
      <c r="F980" s="1189"/>
      <c r="G980" s="1189"/>
      <c r="H980" s="1189"/>
      <c r="I980" s="1189"/>
      <c r="J980" s="1189"/>
      <c r="K980" s="1189"/>
      <c r="L980" s="1189"/>
      <c r="M980" s="1189"/>
      <c r="N980" s="1189"/>
      <c r="O980" s="1189"/>
      <c r="P980" s="1189"/>
      <c r="Q980" s="1189"/>
      <c r="R980" s="1189"/>
      <c r="S980" s="1189"/>
      <c r="T980" s="1189"/>
      <c r="U980" s="1189"/>
      <c r="V980" s="1189"/>
      <c r="W980" s="1189"/>
      <c r="X980" s="1189"/>
      <c r="Y980" s="1189"/>
      <c r="Z980" s="1189"/>
      <c r="AA980" s="1189"/>
      <c r="AB980" s="1189"/>
      <c r="AC980" s="1189"/>
      <c r="AD980" s="1189"/>
      <c r="AE980" s="1189"/>
      <c r="AF980" s="1189"/>
      <c r="AG980" s="1189"/>
      <c r="AH980" s="1189"/>
      <c r="AI980" s="1189"/>
    </row>
    <row r="981">
      <c r="A981" s="1202"/>
      <c r="B981" s="1203"/>
      <c r="C981" s="1189"/>
      <c r="D981" s="1189"/>
      <c r="E981" s="1189"/>
      <c r="F981" s="1189"/>
      <c r="G981" s="1189"/>
      <c r="H981" s="1189"/>
      <c r="I981" s="1189"/>
      <c r="J981" s="1189"/>
      <c r="K981" s="1189"/>
      <c r="L981" s="1189"/>
      <c r="M981" s="1189"/>
      <c r="N981" s="1189"/>
      <c r="O981" s="1189"/>
      <c r="P981" s="1189"/>
      <c r="Q981" s="1189"/>
      <c r="R981" s="1189"/>
      <c r="S981" s="1189"/>
      <c r="T981" s="1189"/>
      <c r="U981" s="1189"/>
      <c r="V981" s="1189"/>
      <c r="W981" s="1189"/>
      <c r="X981" s="1189"/>
      <c r="Y981" s="1189"/>
      <c r="Z981" s="1189"/>
      <c r="AA981" s="1189"/>
      <c r="AB981" s="1189"/>
      <c r="AC981" s="1189"/>
      <c r="AD981" s="1189"/>
      <c r="AE981" s="1189"/>
      <c r="AF981" s="1189"/>
      <c r="AG981" s="1189"/>
      <c r="AH981" s="1189"/>
      <c r="AI981" s="1189"/>
    </row>
    <row r="982">
      <c r="A982" s="1202"/>
      <c r="B982" s="1203"/>
      <c r="C982" s="1189"/>
      <c r="D982" s="1189"/>
      <c r="E982" s="1189"/>
      <c r="F982" s="1189"/>
      <c r="G982" s="1189"/>
      <c r="H982" s="1189"/>
      <c r="I982" s="1189"/>
      <c r="J982" s="1189"/>
      <c r="K982" s="1189"/>
      <c r="L982" s="1189"/>
      <c r="M982" s="1189"/>
      <c r="N982" s="1189"/>
      <c r="O982" s="1189"/>
      <c r="P982" s="1189"/>
      <c r="Q982" s="1189"/>
      <c r="R982" s="1189"/>
      <c r="S982" s="1189"/>
      <c r="T982" s="1189"/>
      <c r="U982" s="1189"/>
      <c r="V982" s="1189"/>
      <c r="W982" s="1189"/>
      <c r="X982" s="1189"/>
      <c r="Y982" s="1189"/>
      <c r="Z982" s="1189"/>
      <c r="AA982" s="1189"/>
      <c r="AB982" s="1189"/>
      <c r="AC982" s="1189"/>
      <c r="AD982" s="1189"/>
      <c r="AE982" s="1189"/>
      <c r="AF982" s="1189"/>
      <c r="AG982" s="1189"/>
      <c r="AH982" s="1189"/>
      <c r="AI982" s="1189"/>
    </row>
    <row r="983">
      <c r="A983" s="1202"/>
      <c r="B983" s="1203"/>
      <c r="C983" s="1189"/>
      <c r="D983" s="1189"/>
      <c r="E983" s="1189"/>
      <c r="F983" s="1189"/>
      <c r="G983" s="1189"/>
      <c r="H983" s="1189"/>
      <c r="I983" s="1189"/>
      <c r="J983" s="1189"/>
      <c r="K983" s="1189"/>
      <c r="L983" s="1189"/>
      <c r="M983" s="1189"/>
      <c r="N983" s="1189"/>
      <c r="O983" s="1189"/>
      <c r="P983" s="1189"/>
      <c r="Q983" s="1189"/>
      <c r="R983" s="1189"/>
      <c r="S983" s="1189"/>
      <c r="T983" s="1189"/>
      <c r="U983" s="1189"/>
      <c r="V983" s="1189"/>
      <c r="W983" s="1189"/>
      <c r="X983" s="1189"/>
      <c r="Y983" s="1189"/>
      <c r="Z983" s="1189"/>
      <c r="AA983" s="1189"/>
      <c r="AB983" s="1189"/>
      <c r="AC983" s="1189"/>
      <c r="AD983" s="1189"/>
      <c r="AE983" s="1189"/>
      <c r="AF983" s="1189"/>
      <c r="AG983" s="1189"/>
      <c r="AH983" s="1189"/>
      <c r="AI983" s="1189"/>
    </row>
    <row r="984">
      <c r="A984" s="1202"/>
      <c r="B984" s="1203"/>
      <c r="C984" s="1189"/>
      <c r="D984" s="1189"/>
      <c r="E984" s="1189"/>
      <c r="F984" s="1189"/>
      <c r="G984" s="1189"/>
      <c r="H984" s="1189"/>
      <c r="I984" s="1189"/>
      <c r="J984" s="1189"/>
      <c r="K984" s="1189"/>
      <c r="L984" s="1189"/>
      <c r="M984" s="1189"/>
      <c r="N984" s="1189"/>
      <c r="O984" s="1189"/>
      <c r="P984" s="1189"/>
      <c r="Q984" s="1189"/>
      <c r="R984" s="1189"/>
      <c r="S984" s="1189"/>
      <c r="T984" s="1189"/>
      <c r="U984" s="1189"/>
      <c r="V984" s="1189"/>
      <c r="W984" s="1189"/>
      <c r="X984" s="1189"/>
      <c r="Y984" s="1189"/>
      <c r="Z984" s="1189"/>
      <c r="AA984" s="1189"/>
      <c r="AB984" s="1189"/>
      <c r="AC984" s="1189"/>
      <c r="AD984" s="1189"/>
      <c r="AE984" s="1189"/>
      <c r="AF984" s="1189"/>
      <c r="AG984" s="1189"/>
      <c r="AH984" s="1189"/>
      <c r="AI984" s="1189"/>
    </row>
    <row r="985">
      <c r="A985" s="1202"/>
      <c r="B985" s="1203"/>
      <c r="C985" s="1189"/>
      <c r="D985" s="1189"/>
      <c r="E985" s="1189"/>
      <c r="F985" s="1189"/>
      <c r="G985" s="1189"/>
      <c r="H985" s="1189"/>
      <c r="I985" s="1189"/>
      <c r="J985" s="1189"/>
      <c r="K985" s="1189"/>
      <c r="L985" s="1189"/>
      <c r="M985" s="1189"/>
      <c r="N985" s="1189"/>
      <c r="O985" s="1189"/>
      <c r="P985" s="1189"/>
      <c r="Q985" s="1189"/>
      <c r="R985" s="1189"/>
      <c r="S985" s="1189"/>
      <c r="T985" s="1189"/>
      <c r="U985" s="1189"/>
      <c r="V985" s="1189"/>
      <c r="W985" s="1189"/>
      <c r="X985" s="1189"/>
      <c r="Y985" s="1189"/>
      <c r="Z985" s="1189"/>
      <c r="AA985" s="1189"/>
      <c r="AB985" s="1189"/>
      <c r="AC985" s="1189"/>
      <c r="AD985" s="1189"/>
      <c r="AE985" s="1189"/>
      <c r="AF985" s="1189"/>
      <c r="AG985" s="1189"/>
      <c r="AH985" s="1189"/>
      <c r="AI985" s="1189"/>
    </row>
    <row r="986">
      <c r="A986" s="1202"/>
      <c r="B986" s="1203"/>
      <c r="C986" s="1189"/>
      <c r="D986" s="1189"/>
      <c r="E986" s="1189"/>
      <c r="F986" s="1189"/>
      <c r="G986" s="1189"/>
      <c r="H986" s="1189"/>
      <c r="I986" s="1189"/>
      <c r="J986" s="1189"/>
      <c r="K986" s="1189"/>
      <c r="L986" s="1189"/>
      <c r="M986" s="1189"/>
      <c r="N986" s="1189"/>
      <c r="O986" s="1189"/>
      <c r="P986" s="1189"/>
      <c r="Q986" s="1189"/>
      <c r="R986" s="1189"/>
      <c r="S986" s="1189"/>
      <c r="T986" s="1189"/>
      <c r="U986" s="1189"/>
      <c r="V986" s="1189"/>
      <c r="W986" s="1189"/>
      <c r="X986" s="1189"/>
      <c r="Y986" s="1189"/>
      <c r="Z986" s="1189"/>
      <c r="AA986" s="1189"/>
      <c r="AB986" s="1189"/>
      <c r="AC986" s="1189"/>
      <c r="AD986" s="1189"/>
      <c r="AE986" s="1189"/>
      <c r="AF986" s="1189"/>
      <c r="AG986" s="1189"/>
      <c r="AH986" s="1189"/>
      <c r="AI986" s="1189"/>
    </row>
    <row r="987">
      <c r="A987" s="1202"/>
      <c r="B987" s="1203"/>
      <c r="C987" s="1189"/>
      <c r="D987" s="1189"/>
      <c r="E987" s="1189"/>
      <c r="F987" s="1189"/>
      <c r="G987" s="1189"/>
      <c r="H987" s="1189"/>
      <c r="I987" s="1189"/>
      <c r="J987" s="1189"/>
      <c r="K987" s="1189"/>
      <c r="L987" s="1189"/>
      <c r="M987" s="1189"/>
      <c r="N987" s="1189"/>
      <c r="O987" s="1189"/>
      <c r="P987" s="1189"/>
      <c r="Q987" s="1189"/>
      <c r="R987" s="1189"/>
      <c r="S987" s="1189"/>
      <c r="T987" s="1189"/>
      <c r="U987" s="1189"/>
      <c r="V987" s="1189"/>
      <c r="W987" s="1189"/>
      <c r="X987" s="1189"/>
      <c r="Y987" s="1189"/>
      <c r="Z987" s="1189"/>
      <c r="AA987" s="1189"/>
      <c r="AB987" s="1189"/>
      <c r="AC987" s="1189"/>
      <c r="AD987" s="1189"/>
      <c r="AE987" s="1189"/>
      <c r="AF987" s="1189"/>
      <c r="AG987" s="1189"/>
      <c r="AH987" s="1189"/>
      <c r="AI987" s="1189"/>
    </row>
    <row r="988">
      <c r="A988" s="1202"/>
      <c r="B988" s="1203"/>
      <c r="C988" s="1189"/>
      <c r="D988" s="1189"/>
      <c r="E988" s="1189"/>
      <c r="F988" s="1189"/>
      <c r="G988" s="1189"/>
      <c r="H988" s="1189"/>
      <c r="I988" s="1189"/>
      <c r="J988" s="1189"/>
      <c r="K988" s="1189"/>
      <c r="L988" s="1189"/>
      <c r="M988" s="1189"/>
      <c r="N988" s="1189"/>
      <c r="O988" s="1189"/>
      <c r="P988" s="1189"/>
      <c r="Q988" s="1189"/>
      <c r="R988" s="1189"/>
      <c r="S988" s="1189"/>
      <c r="T988" s="1189"/>
      <c r="U988" s="1189"/>
      <c r="V988" s="1189"/>
      <c r="W988" s="1189"/>
      <c r="X988" s="1189"/>
      <c r="Y988" s="1189"/>
      <c r="Z988" s="1189"/>
      <c r="AA988" s="1189"/>
      <c r="AB988" s="1189"/>
      <c r="AC988" s="1189"/>
      <c r="AD988" s="1189"/>
      <c r="AE988" s="1189"/>
      <c r="AF988" s="1189"/>
      <c r="AG988" s="1189"/>
      <c r="AH988" s="1189"/>
      <c r="AI988" s="1189"/>
    </row>
    <row r="989">
      <c r="A989" s="1202"/>
      <c r="B989" s="1203"/>
      <c r="C989" s="1189"/>
      <c r="D989" s="1189"/>
      <c r="E989" s="1189"/>
      <c r="F989" s="1189"/>
      <c r="G989" s="1189"/>
      <c r="H989" s="1189"/>
      <c r="I989" s="1189"/>
      <c r="J989" s="1189"/>
      <c r="K989" s="1189"/>
      <c r="L989" s="1189"/>
      <c r="M989" s="1189"/>
      <c r="N989" s="1189"/>
      <c r="O989" s="1189"/>
      <c r="P989" s="1189"/>
      <c r="Q989" s="1189"/>
      <c r="R989" s="1189"/>
      <c r="S989" s="1189"/>
      <c r="T989" s="1189"/>
      <c r="U989" s="1189"/>
      <c r="V989" s="1189"/>
      <c r="W989" s="1189"/>
      <c r="X989" s="1189"/>
      <c r="Y989" s="1189"/>
      <c r="Z989" s="1189"/>
      <c r="AA989" s="1189"/>
      <c r="AB989" s="1189"/>
      <c r="AC989" s="1189"/>
      <c r="AD989" s="1189"/>
      <c r="AE989" s="1189"/>
      <c r="AF989" s="1189"/>
      <c r="AG989" s="1189"/>
      <c r="AH989" s="1189"/>
      <c r="AI989" s="1189"/>
    </row>
    <row r="990">
      <c r="A990" s="1202"/>
      <c r="B990" s="1203"/>
      <c r="C990" s="1189"/>
      <c r="D990" s="1189"/>
      <c r="E990" s="1189"/>
      <c r="F990" s="1189"/>
      <c r="G990" s="1189"/>
      <c r="H990" s="1189"/>
      <c r="I990" s="1189"/>
      <c r="J990" s="1189"/>
      <c r="K990" s="1189"/>
      <c r="L990" s="1189"/>
      <c r="M990" s="1189"/>
      <c r="N990" s="1189"/>
      <c r="O990" s="1189"/>
      <c r="P990" s="1189"/>
      <c r="Q990" s="1189"/>
      <c r="R990" s="1189"/>
      <c r="S990" s="1189"/>
      <c r="T990" s="1189"/>
      <c r="U990" s="1189"/>
      <c r="V990" s="1189"/>
      <c r="W990" s="1189"/>
      <c r="X990" s="1189"/>
      <c r="Y990" s="1189"/>
      <c r="Z990" s="1189"/>
      <c r="AA990" s="1189"/>
      <c r="AB990" s="1189"/>
      <c r="AC990" s="1189"/>
      <c r="AD990" s="1189"/>
      <c r="AE990" s="1189"/>
      <c r="AF990" s="1189"/>
      <c r="AG990" s="1189"/>
      <c r="AH990" s="1189"/>
      <c r="AI990" s="1189"/>
    </row>
    <row r="991">
      <c r="A991" s="1202"/>
      <c r="B991" s="1203"/>
      <c r="C991" s="1189"/>
      <c r="D991" s="1189"/>
      <c r="E991" s="1189"/>
      <c r="F991" s="1189"/>
      <c r="G991" s="1189"/>
      <c r="H991" s="1189"/>
      <c r="I991" s="1189"/>
      <c r="J991" s="1189"/>
      <c r="K991" s="1189"/>
      <c r="L991" s="1189"/>
      <c r="M991" s="1189"/>
      <c r="N991" s="1189"/>
      <c r="O991" s="1189"/>
      <c r="P991" s="1189"/>
      <c r="Q991" s="1189"/>
      <c r="R991" s="1189"/>
      <c r="S991" s="1189"/>
      <c r="T991" s="1189"/>
      <c r="U991" s="1189"/>
      <c r="V991" s="1189"/>
      <c r="W991" s="1189"/>
      <c r="X991" s="1189"/>
      <c r="Y991" s="1189"/>
      <c r="Z991" s="1189"/>
      <c r="AA991" s="1189"/>
      <c r="AB991" s="1189"/>
      <c r="AC991" s="1189"/>
      <c r="AD991" s="1189"/>
      <c r="AE991" s="1189"/>
      <c r="AF991" s="1189"/>
      <c r="AG991" s="1189"/>
      <c r="AH991" s="1189"/>
      <c r="AI991" s="1189"/>
    </row>
    <row r="992">
      <c r="A992" s="1202"/>
      <c r="B992" s="1203"/>
      <c r="C992" s="1189"/>
      <c r="D992" s="1189"/>
      <c r="E992" s="1189"/>
      <c r="F992" s="1189"/>
      <c r="G992" s="1189"/>
      <c r="H992" s="1189"/>
      <c r="I992" s="1189"/>
      <c r="J992" s="1189"/>
      <c r="K992" s="1189"/>
      <c r="L992" s="1189"/>
      <c r="M992" s="1189"/>
      <c r="N992" s="1189"/>
      <c r="O992" s="1189"/>
      <c r="P992" s="1189"/>
      <c r="Q992" s="1189"/>
      <c r="R992" s="1189"/>
      <c r="S992" s="1189"/>
      <c r="T992" s="1189"/>
      <c r="U992" s="1189"/>
      <c r="V992" s="1189"/>
      <c r="W992" s="1189"/>
      <c r="X992" s="1189"/>
      <c r="Y992" s="1189"/>
      <c r="Z992" s="1189"/>
      <c r="AA992" s="1189"/>
      <c r="AB992" s="1189"/>
      <c r="AC992" s="1189"/>
      <c r="AD992" s="1189"/>
      <c r="AE992" s="1189"/>
      <c r="AF992" s="1189"/>
      <c r="AG992" s="1189"/>
      <c r="AH992" s="1189"/>
      <c r="AI992" s="1189"/>
    </row>
    <row r="993">
      <c r="A993" s="1202"/>
      <c r="B993" s="1203"/>
      <c r="C993" s="1189"/>
      <c r="D993" s="1189"/>
      <c r="E993" s="1189"/>
      <c r="F993" s="1189"/>
      <c r="G993" s="1189"/>
      <c r="H993" s="1189"/>
      <c r="I993" s="1189"/>
      <c r="J993" s="1189"/>
      <c r="K993" s="1189"/>
      <c r="L993" s="1189"/>
      <c r="M993" s="1189"/>
      <c r="N993" s="1189"/>
      <c r="O993" s="1189"/>
      <c r="P993" s="1189"/>
      <c r="Q993" s="1189"/>
      <c r="R993" s="1189"/>
      <c r="S993" s="1189"/>
      <c r="T993" s="1189"/>
      <c r="U993" s="1189"/>
      <c r="V993" s="1189"/>
      <c r="W993" s="1189"/>
      <c r="X993" s="1189"/>
      <c r="Y993" s="1189"/>
      <c r="Z993" s="1189"/>
      <c r="AA993" s="1189"/>
      <c r="AB993" s="1189"/>
      <c r="AC993" s="1189"/>
      <c r="AD993" s="1189"/>
      <c r="AE993" s="1189"/>
      <c r="AF993" s="1189"/>
      <c r="AG993" s="1189"/>
      <c r="AH993" s="1189"/>
      <c r="AI993" s="1189"/>
    </row>
    <row r="994">
      <c r="A994" s="1202"/>
      <c r="B994" s="1203"/>
      <c r="C994" s="1189"/>
      <c r="D994" s="1189"/>
      <c r="E994" s="1189"/>
      <c r="F994" s="1189"/>
      <c r="G994" s="1189"/>
      <c r="H994" s="1189"/>
      <c r="I994" s="1189"/>
      <c r="J994" s="1189"/>
      <c r="K994" s="1189"/>
      <c r="L994" s="1189"/>
      <c r="M994" s="1189"/>
      <c r="N994" s="1189"/>
      <c r="O994" s="1189"/>
      <c r="P994" s="1189"/>
      <c r="Q994" s="1189"/>
      <c r="R994" s="1189"/>
      <c r="S994" s="1189"/>
      <c r="T994" s="1189"/>
      <c r="U994" s="1189"/>
      <c r="V994" s="1189"/>
      <c r="W994" s="1189"/>
      <c r="X994" s="1189"/>
      <c r="Y994" s="1189"/>
      <c r="Z994" s="1189"/>
      <c r="AA994" s="1189"/>
      <c r="AB994" s="1189"/>
      <c r="AC994" s="1189"/>
      <c r="AD994" s="1189"/>
      <c r="AE994" s="1189"/>
      <c r="AF994" s="1189"/>
      <c r="AG994" s="1189"/>
      <c r="AH994" s="1189"/>
      <c r="AI994" s="1189"/>
    </row>
    <row r="995">
      <c r="A995" s="1202"/>
      <c r="B995" s="1203"/>
      <c r="C995" s="1189"/>
      <c r="D995" s="1189"/>
      <c r="E995" s="1189"/>
      <c r="F995" s="1189"/>
      <c r="G995" s="1189"/>
      <c r="H995" s="1189"/>
      <c r="I995" s="1189"/>
      <c r="J995" s="1189"/>
      <c r="K995" s="1189"/>
      <c r="L995" s="1189"/>
      <c r="M995" s="1189"/>
      <c r="N995" s="1189"/>
      <c r="O995" s="1189"/>
      <c r="P995" s="1189"/>
      <c r="Q995" s="1189"/>
      <c r="R995" s="1189"/>
      <c r="S995" s="1189"/>
      <c r="T995" s="1189"/>
      <c r="U995" s="1189"/>
      <c r="V995" s="1189"/>
      <c r="W995" s="1189"/>
      <c r="X995" s="1189"/>
      <c r="Y995" s="1189"/>
      <c r="Z995" s="1189"/>
      <c r="AA995" s="1189"/>
      <c r="AB995" s="1189"/>
      <c r="AC995" s="1189"/>
      <c r="AD995" s="1189"/>
      <c r="AE995" s="1189"/>
      <c r="AF995" s="1189"/>
      <c r="AG995" s="1189"/>
      <c r="AH995" s="1189"/>
      <c r="AI995" s="1189"/>
    </row>
    <row r="996">
      <c r="A996" s="1202"/>
      <c r="B996" s="1203"/>
      <c r="C996" s="1189"/>
      <c r="D996" s="1189"/>
      <c r="E996" s="1189"/>
      <c r="F996" s="1189"/>
      <c r="G996" s="1189"/>
      <c r="H996" s="1189"/>
      <c r="I996" s="1189"/>
      <c r="J996" s="1189"/>
      <c r="K996" s="1189"/>
      <c r="L996" s="1189"/>
      <c r="M996" s="1189"/>
      <c r="N996" s="1189"/>
      <c r="O996" s="1189"/>
      <c r="P996" s="1189"/>
      <c r="Q996" s="1189"/>
      <c r="R996" s="1189"/>
      <c r="S996" s="1189"/>
      <c r="T996" s="1189"/>
      <c r="U996" s="1189"/>
      <c r="V996" s="1189"/>
      <c r="W996" s="1189"/>
      <c r="X996" s="1189"/>
      <c r="Y996" s="1189"/>
      <c r="Z996" s="1189"/>
      <c r="AA996" s="1189"/>
      <c r="AB996" s="1189"/>
      <c r="AC996" s="1189"/>
      <c r="AD996" s="1189"/>
      <c r="AE996" s="1189"/>
      <c r="AF996" s="1189"/>
      <c r="AG996" s="1189"/>
      <c r="AH996" s="1189"/>
      <c r="AI996" s="1189"/>
    </row>
    <row r="997">
      <c r="A997" s="1202"/>
      <c r="B997" s="1203"/>
      <c r="C997" s="1189"/>
      <c r="D997" s="1189"/>
      <c r="E997" s="1189"/>
      <c r="F997" s="1189"/>
      <c r="G997" s="1189"/>
      <c r="H997" s="1189"/>
      <c r="I997" s="1189"/>
      <c r="J997" s="1189"/>
      <c r="K997" s="1189"/>
      <c r="L997" s="1189"/>
      <c r="M997" s="1189"/>
      <c r="N997" s="1189"/>
      <c r="O997" s="1189"/>
      <c r="P997" s="1189"/>
      <c r="Q997" s="1189"/>
      <c r="R997" s="1189"/>
      <c r="S997" s="1189"/>
      <c r="T997" s="1189"/>
      <c r="U997" s="1189"/>
      <c r="V997" s="1189"/>
      <c r="W997" s="1189"/>
      <c r="X997" s="1189"/>
      <c r="Y997" s="1189"/>
      <c r="Z997" s="1189"/>
      <c r="AA997" s="1189"/>
      <c r="AB997" s="1189"/>
      <c r="AC997" s="1189"/>
      <c r="AD997" s="1189"/>
      <c r="AE997" s="1189"/>
      <c r="AF997" s="1189"/>
      <c r="AG997" s="1189"/>
      <c r="AH997" s="1189"/>
      <c r="AI997" s="1189"/>
    </row>
    <row r="998">
      <c r="A998" s="1202"/>
      <c r="B998" s="1203"/>
      <c r="C998" s="1189"/>
      <c r="D998" s="1189"/>
      <c r="E998" s="1189"/>
      <c r="F998" s="1189"/>
      <c r="G998" s="1189"/>
      <c r="H998" s="1189"/>
      <c r="I998" s="1189"/>
      <c r="J998" s="1189"/>
      <c r="K998" s="1189"/>
      <c r="L998" s="1189"/>
      <c r="M998" s="1189"/>
      <c r="N998" s="1189"/>
      <c r="O998" s="1189"/>
      <c r="P998" s="1189"/>
      <c r="Q998" s="1189"/>
      <c r="R998" s="1189"/>
      <c r="S998" s="1189"/>
      <c r="T998" s="1189"/>
      <c r="U998" s="1189"/>
      <c r="V998" s="1189"/>
      <c r="W998" s="1189"/>
      <c r="X998" s="1189"/>
      <c r="Y998" s="1189"/>
      <c r="Z998" s="1189"/>
      <c r="AA998" s="1189"/>
      <c r="AB998" s="1189"/>
      <c r="AC998" s="1189"/>
      <c r="AD998" s="1189"/>
      <c r="AE998" s="1189"/>
      <c r="AF998" s="1189"/>
      <c r="AG998" s="1189"/>
      <c r="AH998" s="1189"/>
      <c r="AI998" s="1189"/>
    </row>
    <row r="999">
      <c r="A999" s="1202"/>
      <c r="B999" s="1203"/>
      <c r="C999" s="1189"/>
      <c r="D999" s="1189"/>
      <c r="E999" s="1189"/>
      <c r="F999" s="1189"/>
      <c r="G999" s="1189"/>
      <c r="H999" s="1189"/>
      <c r="I999" s="1189"/>
      <c r="J999" s="1189"/>
      <c r="K999" s="1189"/>
      <c r="L999" s="1189"/>
      <c r="M999" s="1189"/>
      <c r="N999" s="1189"/>
      <c r="O999" s="1189"/>
      <c r="P999" s="1189"/>
      <c r="Q999" s="1189"/>
      <c r="R999" s="1189"/>
      <c r="S999" s="1189"/>
      <c r="T999" s="1189"/>
      <c r="U999" s="1189"/>
      <c r="V999" s="1189"/>
      <c r="W999" s="1189"/>
      <c r="X999" s="1189"/>
      <c r="Y999" s="1189"/>
      <c r="Z999" s="1189"/>
      <c r="AA999" s="1189"/>
      <c r="AB999" s="1189"/>
      <c r="AC999" s="1189"/>
      <c r="AD999" s="1189"/>
      <c r="AE999" s="1189"/>
      <c r="AF999" s="1189"/>
      <c r="AG999" s="1189"/>
      <c r="AH999" s="1189"/>
      <c r="AI999" s="1189"/>
    </row>
    <row r="1000">
      <c r="A1000" s="1202"/>
      <c r="B1000" s="1203"/>
      <c r="C1000" s="1189"/>
      <c r="D1000" s="1189"/>
      <c r="E1000" s="1189"/>
      <c r="F1000" s="1189"/>
      <c r="G1000" s="1189"/>
      <c r="H1000" s="1189"/>
      <c r="I1000" s="1189"/>
      <c r="J1000" s="1189"/>
      <c r="K1000" s="1189"/>
      <c r="L1000" s="1189"/>
      <c r="M1000" s="1189"/>
      <c r="N1000" s="1189"/>
      <c r="O1000" s="1189"/>
      <c r="P1000" s="1189"/>
      <c r="Q1000" s="1189"/>
      <c r="R1000" s="1189"/>
      <c r="S1000" s="1189"/>
      <c r="T1000" s="1189"/>
      <c r="U1000" s="1189"/>
      <c r="V1000" s="1189"/>
      <c r="W1000" s="1189"/>
      <c r="X1000" s="1189"/>
      <c r="Y1000" s="1189"/>
      <c r="Z1000" s="1189"/>
      <c r="AA1000" s="1189"/>
      <c r="AB1000" s="1189"/>
      <c r="AC1000" s="1189"/>
      <c r="AD1000" s="1189"/>
      <c r="AE1000" s="1189"/>
      <c r="AF1000" s="1189"/>
      <c r="AG1000" s="1189"/>
      <c r="AH1000" s="1189"/>
      <c r="AI1000" s="1189"/>
    </row>
    <row r="1001">
      <c r="A1001" s="1202"/>
      <c r="B1001" s="1203"/>
      <c r="C1001" s="1189"/>
      <c r="D1001" s="1189"/>
      <c r="E1001" s="1189"/>
      <c r="F1001" s="1189"/>
      <c r="G1001" s="1189"/>
      <c r="H1001" s="1189"/>
      <c r="I1001" s="1189"/>
      <c r="J1001" s="1189"/>
      <c r="K1001" s="1189"/>
      <c r="L1001" s="1189"/>
      <c r="M1001" s="1189"/>
      <c r="N1001" s="1189"/>
      <c r="O1001" s="1189"/>
      <c r="P1001" s="1189"/>
      <c r="Q1001" s="1189"/>
      <c r="R1001" s="1189"/>
      <c r="S1001" s="1189"/>
      <c r="T1001" s="1189"/>
      <c r="U1001" s="1189"/>
      <c r="V1001" s="1189"/>
      <c r="W1001" s="1189"/>
      <c r="X1001" s="1189"/>
      <c r="Y1001" s="1189"/>
      <c r="Z1001" s="1189"/>
      <c r="AA1001" s="1189"/>
      <c r="AB1001" s="1189"/>
      <c r="AC1001" s="1189"/>
      <c r="AD1001" s="1189"/>
      <c r="AE1001" s="1189"/>
      <c r="AF1001" s="1189"/>
      <c r="AG1001" s="1189"/>
      <c r="AH1001" s="1189"/>
      <c r="AI1001" s="1189"/>
    </row>
    <row r="1002">
      <c r="A1002" s="1202"/>
      <c r="B1002" s="1203"/>
      <c r="C1002" s="1189"/>
      <c r="D1002" s="1189"/>
      <c r="E1002" s="1189"/>
      <c r="F1002" s="1189"/>
      <c r="G1002" s="1189"/>
      <c r="H1002" s="1189"/>
      <c r="I1002" s="1189"/>
      <c r="J1002" s="1189"/>
      <c r="K1002" s="1189"/>
      <c r="L1002" s="1189"/>
      <c r="M1002" s="1189"/>
      <c r="N1002" s="1189"/>
      <c r="O1002" s="1189"/>
      <c r="P1002" s="1189"/>
      <c r="Q1002" s="1189"/>
      <c r="R1002" s="1189"/>
      <c r="S1002" s="1189"/>
      <c r="T1002" s="1189"/>
      <c r="U1002" s="1189"/>
      <c r="V1002" s="1189"/>
      <c r="W1002" s="1189"/>
      <c r="X1002" s="1189"/>
      <c r="Y1002" s="1189"/>
      <c r="Z1002" s="1189"/>
      <c r="AA1002" s="1189"/>
      <c r="AB1002" s="1189"/>
      <c r="AC1002" s="1189"/>
      <c r="AD1002" s="1189"/>
      <c r="AE1002" s="1189"/>
      <c r="AF1002" s="1189"/>
      <c r="AG1002" s="1189"/>
      <c r="AH1002" s="1189"/>
      <c r="AI1002" s="1189"/>
    </row>
    <row r="1003">
      <c r="A1003" s="1202"/>
      <c r="B1003" s="1203"/>
      <c r="C1003" s="1189"/>
      <c r="D1003" s="1189"/>
      <c r="E1003" s="1189"/>
      <c r="F1003" s="1189"/>
      <c r="G1003" s="1189"/>
      <c r="H1003" s="1189"/>
      <c r="I1003" s="1189"/>
      <c r="J1003" s="1189"/>
      <c r="K1003" s="1189"/>
      <c r="L1003" s="1189"/>
      <c r="M1003" s="1189"/>
      <c r="N1003" s="1189"/>
      <c r="O1003" s="1189"/>
      <c r="P1003" s="1189"/>
      <c r="Q1003" s="1189"/>
      <c r="R1003" s="1189"/>
      <c r="S1003" s="1189"/>
      <c r="T1003" s="1189"/>
      <c r="U1003" s="1189"/>
      <c r="V1003" s="1189"/>
      <c r="W1003" s="1189"/>
      <c r="X1003" s="1189"/>
      <c r="Y1003" s="1189"/>
      <c r="Z1003" s="1189"/>
      <c r="AA1003" s="1189"/>
      <c r="AB1003" s="1189"/>
      <c r="AC1003" s="1189"/>
      <c r="AD1003" s="1189"/>
      <c r="AE1003" s="1189"/>
      <c r="AF1003" s="1189"/>
      <c r="AG1003" s="1189"/>
      <c r="AH1003" s="1189"/>
      <c r="AI1003" s="1189"/>
    </row>
  </sheetData>
  <mergeCells count="1">
    <mergeCell ref="F1:H1"/>
  </mergeCells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2" max="12" width="14.0"/>
  </cols>
  <sheetData>
    <row r="1">
      <c r="A1" s="167"/>
      <c r="B1" s="168" t="s">
        <v>103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</row>
    <row r="2">
      <c r="A2" s="169" t="s">
        <v>172</v>
      </c>
      <c r="B2" s="170" t="s">
        <v>174</v>
      </c>
      <c r="C2" s="171" t="s">
        <v>693</v>
      </c>
      <c r="D2" s="172" t="s">
        <v>694</v>
      </c>
      <c r="E2" s="172" t="s">
        <v>695</v>
      </c>
      <c r="F2" s="172" t="s">
        <v>179</v>
      </c>
      <c r="G2" s="172" t="s">
        <v>696</v>
      </c>
      <c r="H2" s="173" t="s">
        <v>697</v>
      </c>
      <c r="I2" s="174" t="s">
        <v>84</v>
      </c>
      <c r="J2" s="170" t="s">
        <v>698</v>
      </c>
      <c r="K2" s="175" t="s">
        <v>699</v>
      </c>
      <c r="L2" s="173" t="s">
        <v>89</v>
      </c>
      <c r="M2" s="176" t="s">
        <v>700</v>
      </c>
      <c r="N2" s="177" t="s">
        <v>701</v>
      </c>
      <c r="O2" s="177" t="s">
        <v>702</v>
      </c>
      <c r="P2" s="178" t="s">
        <v>90</v>
      </c>
      <c r="Q2" s="325" t="s">
        <v>703</v>
      </c>
    </row>
    <row r="3">
      <c r="A3" s="326" t="s">
        <v>481</v>
      </c>
      <c r="B3" s="251">
        <f t="array" ref="B3">VLOOKUP($A3,OR_DEMO,2,FALSE)</f>
        <v>16668</v>
      </c>
      <c r="C3" s="252">
        <v>32.0</v>
      </c>
      <c r="D3" s="253" t="s">
        <v>63</v>
      </c>
      <c r="E3" s="253">
        <v>18.0</v>
      </c>
      <c r="F3" s="253">
        <v>6.0</v>
      </c>
      <c r="G3" s="253" t="s">
        <v>63</v>
      </c>
      <c r="H3" s="254">
        <f>vlookup(A3,'OR Data'!$A$105:$D$142,4,FALSE)</f>
        <v>18</v>
      </c>
      <c r="I3" s="255" t="s">
        <v>63</v>
      </c>
      <c r="J3" s="256" t="s">
        <v>63</v>
      </c>
      <c r="K3" s="274" t="s">
        <v>63</v>
      </c>
      <c r="L3" s="254" t="str">
        <f>IF(ISBLANK(vlookup(A3,'OR Data'!$A$4:$G$40,7,FALSE)),"NULL",vlookup(A3,'OR Data'!$A$4:$G$40,7,FALSE))</f>
        <v>NULL</v>
      </c>
      <c r="M3" s="258" t="s">
        <v>63</v>
      </c>
      <c r="N3" s="253" t="s">
        <v>63</v>
      </c>
      <c r="O3" s="253" t="s">
        <v>63</v>
      </c>
      <c r="P3" s="261">
        <f>ifna(vlookup(A3,'Population &amp; Church Numbers'!$A$2211:$D$2246,4,FALSE),"NULL")</f>
        <v>17</v>
      </c>
      <c r="Q3" s="262" t="s">
        <v>63</v>
      </c>
    </row>
    <row r="4">
      <c r="A4" s="188" t="s">
        <v>243</v>
      </c>
      <c r="B4" s="189">
        <f t="array" ref="B4">VLOOKUP($A4,OR_DEMO,2,FALSE)</f>
        <v>95184</v>
      </c>
      <c r="C4" s="264">
        <v>58.0</v>
      </c>
      <c r="D4" s="265" t="s">
        <v>63</v>
      </c>
      <c r="E4" s="265">
        <v>38.0</v>
      </c>
      <c r="F4" s="265">
        <v>12.0</v>
      </c>
      <c r="G4" s="265" t="s">
        <v>63</v>
      </c>
      <c r="H4" s="266">
        <f>vlookup(A4,'OR Data'!$A$105:$D$142,4,FALSE)</f>
        <v>34</v>
      </c>
      <c r="I4" s="267" t="s">
        <v>63</v>
      </c>
      <c r="J4" s="268" t="s">
        <v>63</v>
      </c>
      <c r="K4" s="284" t="s">
        <v>63</v>
      </c>
      <c r="L4" s="1197" t="str">
        <f>IF(ISBLANK(vlookup(A4,'OR Data'!$A$4:$G$40,7,FALSE)),"NULL",vlookup(A4,'OR Data'!$A$4:$G$40,7,FALSE))</f>
        <v>10</v>
      </c>
      <c r="M4" s="267" t="s">
        <v>63</v>
      </c>
      <c r="N4" s="265" t="s">
        <v>63</v>
      </c>
      <c r="O4" s="265" t="s">
        <v>63</v>
      </c>
      <c r="P4" s="272">
        <f>ifna(vlookup(A4,'Population &amp; Church Numbers'!$A$2211:$D$2246,4,FALSE),"NULL")</f>
        <v>58</v>
      </c>
      <c r="Q4" s="273" t="s">
        <v>63</v>
      </c>
    </row>
    <row r="5">
      <c r="A5" s="326" t="s">
        <v>1768</v>
      </c>
      <c r="B5" s="251">
        <f t="array" ref="B5">VLOOKUP($A5,OR_DEMO,2,FALSE)</f>
        <v>421401</v>
      </c>
      <c r="C5" s="252">
        <v>265.0</v>
      </c>
      <c r="D5" s="253" t="s">
        <v>63</v>
      </c>
      <c r="E5" s="253">
        <v>83.0</v>
      </c>
      <c r="F5" s="253">
        <v>98.0</v>
      </c>
      <c r="G5" s="253" t="s">
        <v>63</v>
      </c>
      <c r="H5" s="254">
        <f>vlookup(A5,'OR Data'!$A$105:$D$142,4,FALSE)</f>
        <v>240</v>
      </c>
      <c r="I5" s="255" t="s">
        <v>63</v>
      </c>
      <c r="J5" s="256" t="s">
        <v>63</v>
      </c>
      <c r="K5" s="274" t="s">
        <v>63</v>
      </c>
      <c r="L5" s="1198" t="str">
        <f>IF(ISBLANK(vlookup(A5,'OR Data'!$A$4:$G$40,7,FALSE)),"NULL",vlookup(A5,'OR Data'!$A$4:$G$40,7,FALSE))</f>
        <v>42</v>
      </c>
      <c r="M5" s="255" t="s">
        <v>63</v>
      </c>
      <c r="N5" s="253" t="s">
        <v>63</v>
      </c>
      <c r="O5" s="253" t="s">
        <v>63</v>
      </c>
      <c r="P5" s="261">
        <f>ifna(vlookup(A5,'Population &amp; Church Numbers'!$A$2211:$D$2246,4,FALSE),"NULL")</f>
        <v>203</v>
      </c>
      <c r="Q5" s="262" t="s">
        <v>63</v>
      </c>
    </row>
    <row r="6">
      <c r="A6" s="188" t="s">
        <v>1769</v>
      </c>
      <c r="B6" s="189">
        <f t="array" ref="B6">VLOOKUP($A6,OR_DEMO,2,FALSE)</f>
        <v>41072</v>
      </c>
      <c r="C6" s="264">
        <v>47.0</v>
      </c>
      <c r="D6" s="265" t="s">
        <v>63</v>
      </c>
      <c r="E6" s="265">
        <v>17.0</v>
      </c>
      <c r="F6" s="265">
        <v>25.0</v>
      </c>
      <c r="G6" s="265" t="s">
        <v>63</v>
      </c>
      <c r="H6" s="266">
        <f>vlookup(A6,'OR Data'!$A$105:$D$142,4,FALSE)</f>
        <v>28</v>
      </c>
      <c r="I6" s="267" t="s">
        <v>63</v>
      </c>
      <c r="J6" s="268" t="s">
        <v>63</v>
      </c>
      <c r="K6" s="284" t="s">
        <v>63</v>
      </c>
      <c r="L6" s="266" t="str">
        <f>IF(ISBLANK(vlookup(A6,'OR Data'!$A$4:$G$40,7,FALSE)),"NULL",vlookup(A6,'OR Data'!$A$4:$G$40,7,FALSE))</f>
        <v>NULL</v>
      </c>
      <c r="M6" s="267" t="s">
        <v>63</v>
      </c>
      <c r="N6" s="265" t="s">
        <v>63</v>
      </c>
      <c r="O6" s="265" t="s">
        <v>63</v>
      </c>
      <c r="P6" s="272">
        <f>ifna(vlookup(A6,'Population &amp; Church Numbers'!$A$2211:$D$2246,4,FALSE),"NULL")</f>
        <v>39</v>
      </c>
      <c r="Q6" s="273" t="s">
        <v>63</v>
      </c>
    </row>
    <row r="7">
      <c r="A7" s="326" t="s">
        <v>258</v>
      </c>
      <c r="B7" s="251">
        <f t="array" ref="B7">VLOOKUP($A7,OR_DEMO,2,FALSE)</f>
        <v>52589</v>
      </c>
      <c r="C7" s="252">
        <v>66.0</v>
      </c>
      <c r="D7" s="253" t="s">
        <v>63</v>
      </c>
      <c r="E7" s="253">
        <v>25.0</v>
      </c>
      <c r="F7" s="253">
        <v>23.0</v>
      </c>
      <c r="G7" s="253" t="s">
        <v>63</v>
      </c>
      <c r="H7" s="254">
        <f>vlookup(A7,'OR Data'!$A$105:$D$142,4,FALSE)</f>
        <v>69</v>
      </c>
      <c r="I7" s="255" t="s">
        <v>63</v>
      </c>
      <c r="J7" s="256" t="s">
        <v>63</v>
      </c>
      <c r="K7" s="274" t="s">
        <v>63</v>
      </c>
      <c r="L7" s="1198" t="str">
        <f>IF(ISBLANK(vlookup(A7,'OR Data'!$A$4:$G$40,7,FALSE)),"NULL",vlookup(A7,'OR Data'!$A$4:$G$40,7,FALSE))</f>
        <v>7</v>
      </c>
      <c r="M7" s="255" t="s">
        <v>63</v>
      </c>
      <c r="N7" s="253" t="s">
        <v>63</v>
      </c>
      <c r="O7" s="253" t="s">
        <v>63</v>
      </c>
      <c r="P7" s="261">
        <f>ifna(vlookup(A7,'Population &amp; Church Numbers'!$A$2211:$D$2246,4,FALSE),"NULL")</f>
        <v>47</v>
      </c>
      <c r="Q7" s="262" t="s">
        <v>63</v>
      </c>
    </row>
    <row r="8">
      <c r="A8" s="188" t="s">
        <v>1520</v>
      </c>
      <c r="B8" s="189">
        <f t="array" ref="B8">VLOOKUP($A8,OR_DEMO,2,FALSE)</f>
        <v>64929</v>
      </c>
      <c r="C8" s="264">
        <v>94.0</v>
      </c>
      <c r="D8" s="265" t="s">
        <v>63</v>
      </c>
      <c r="E8" s="265">
        <v>30.0</v>
      </c>
      <c r="F8" s="265">
        <v>34.0</v>
      </c>
      <c r="G8" s="265" t="s">
        <v>63</v>
      </c>
      <c r="H8" s="266">
        <f>vlookup(A8,'OR Data'!$A$105:$D$142,4,FALSE)</f>
        <v>64</v>
      </c>
      <c r="I8" s="267" t="s">
        <v>63</v>
      </c>
      <c r="J8" s="268" t="s">
        <v>63</v>
      </c>
      <c r="K8" s="284" t="s">
        <v>63</v>
      </c>
      <c r="L8" s="1197" t="str">
        <f>IF(ISBLANK(vlookup(A8,'OR Data'!$A$4:$G$40,7,FALSE)),"NULL",vlookup(A8,'OR Data'!$A$4:$G$40,7,FALSE))</f>
        <v>22</v>
      </c>
      <c r="M8" s="267" t="s">
        <v>63</v>
      </c>
      <c r="N8" s="265" t="s">
        <v>63</v>
      </c>
      <c r="O8" s="265" t="s">
        <v>63</v>
      </c>
      <c r="P8" s="272">
        <f>ifna(vlookup(A8,'Population &amp; Church Numbers'!$A$2211:$D$2246,4,FALSE),"NULL")</f>
        <v>68</v>
      </c>
      <c r="Q8" s="273" t="s">
        <v>63</v>
      </c>
    </row>
    <row r="9">
      <c r="A9" s="326" t="s">
        <v>1770</v>
      </c>
      <c r="B9" s="251">
        <f t="array" ref="B9">VLOOKUP($A9,OR_DEMO,2,FALSE)</f>
        <v>24738</v>
      </c>
      <c r="C9" s="252">
        <v>35.0</v>
      </c>
      <c r="D9" s="253" t="s">
        <v>63</v>
      </c>
      <c r="E9" s="253">
        <v>11.0</v>
      </c>
      <c r="F9" s="253">
        <v>15.0</v>
      </c>
      <c r="G9" s="253" t="s">
        <v>63</v>
      </c>
      <c r="H9" s="254">
        <f>vlookup(A9,'OR Data'!$A$105:$D$142,4,FALSE)</f>
        <v>21</v>
      </c>
      <c r="I9" s="255" t="s">
        <v>63</v>
      </c>
      <c r="J9" s="256" t="s">
        <v>63</v>
      </c>
      <c r="K9" s="274" t="s">
        <v>63</v>
      </c>
      <c r="L9" s="254" t="str">
        <f>IF(ISBLANK(vlookup(A9,'OR Data'!$A$4:$G$40,7,FALSE)),"NULL",vlookup(A9,'OR Data'!$A$4:$G$40,7,FALSE))</f>
        <v>NULL</v>
      </c>
      <c r="M9" s="255" t="s">
        <v>63</v>
      </c>
      <c r="N9" s="253" t="s">
        <v>63</v>
      </c>
      <c r="O9" s="253" t="s">
        <v>63</v>
      </c>
      <c r="P9" s="261">
        <f>ifna(vlookup(A9,'Population &amp; Church Numbers'!$A$2211:$D$2246,4,FALSE),"NULL")</f>
        <v>21</v>
      </c>
      <c r="Q9" s="262" t="s">
        <v>63</v>
      </c>
    </row>
    <row r="10">
      <c r="A10" s="188" t="s">
        <v>1535</v>
      </c>
      <c r="B10" s="189">
        <f t="array" ref="B10">VLOOKUP($A10,OR_DEMO,2,FALSE)</f>
        <v>23446</v>
      </c>
      <c r="C10" s="264">
        <v>15.0</v>
      </c>
      <c r="D10" s="265" t="s">
        <v>63</v>
      </c>
      <c r="E10" s="265">
        <v>65.0</v>
      </c>
      <c r="F10" s="265">
        <v>73.0</v>
      </c>
      <c r="G10" s="265" t="s">
        <v>63</v>
      </c>
      <c r="H10" s="266">
        <f>vlookup(A10,'OR Data'!$A$105:$D$142,4,FALSE)</f>
        <v>10</v>
      </c>
      <c r="I10" s="267" t="s">
        <v>63</v>
      </c>
      <c r="J10" s="268" t="s">
        <v>63</v>
      </c>
      <c r="K10" s="284" t="s">
        <v>63</v>
      </c>
      <c r="L10" s="266" t="str">
        <f>IF(ISBLANK(vlookup(A10,'OR Data'!$A$4:$G$40,7,FALSE)),"NULL",vlookup(A10,'OR Data'!$A$4:$G$40,7,FALSE))</f>
        <v>NULL</v>
      </c>
      <c r="M10" s="267" t="s">
        <v>63</v>
      </c>
      <c r="N10" s="265" t="s">
        <v>63</v>
      </c>
      <c r="O10" s="265" t="s">
        <v>63</v>
      </c>
      <c r="P10" s="272">
        <f>ifna(vlookup(A10,'Population &amp; Church Numbers'!$A$2211:$D$2246,4,FALSE),"NULL")</f>
        <v>29</v>
      </c>
      <c r="Q10" s="273" t="s">
        <v>63</v>
      </c>
    </row>
    <row r="11">
      <c r="A11" s="326" t="s">
        <v>1771</v>
      </c>
      <c r="B11" s="251">
        <f t="array" ref="B11">VLOOKUP($A11,OR_DEMO,2,FALSE)</f>
        <v>198253</v>
      </c>
      <c r="C11" s="252">
        <v>197.0</v>
      </c>
      <c r="D11" s="253" t="s">
        <v>63</v>
      </c>
      <c r="E11" s="253" t="s">
        <v>2493</v>
      </c>
      <c r="F11" s="253">
        <f>IF(ISBLANK(vlookup(A11,'OR Data'!$A$4:$D$40,4,FALSE)),"NULL",vlookup(A11,'OR Data'!$A$4:$D$40,4,FALSE))</f>
        <v>94</v>
      </c>
      <c r="G11" s="253" t="s">
        <v>63</v>
      </c>
      <c r="H11" s="254">
        <f>vlookup(A11,'OR Data'!$A$105:$D$142,4,FALSE)</f>
        <v>117</v>
      </c>
      <c r="I11" s="255" t="s">
        <v>63</v>
      </c>
      <c r="J11" s="256" t="s">
        <v>63</v>
      </c>
      <c r="K11" s="274" t="s">
        <v>63</v>
      </c>
      <c r="L11" s="1198" t="str">
        <f>IF(ISBLANK(vlookup(A11,'OR Data'!$A$4:$G$40,7,FALSE)),"NULL",vlookup(A11,'OR Data'!$A$4:$G$40,7,FALSE))</f>
        <v>39</v>
      </c>
      <c r="M11" s="255" t="s">
        <v>63</v>
      </c>
      <c r="N11" s="253" t="s">
        <v>63</v>
      </c>
      <c r="O11" s="253" t="s">
        <v>63</v>
      </c>
      <c r="P11" s="261">
        <f>ifna(vlookup(A11,'Population &amp; Church Numbers'!$A$2211:$D$2246,4,FALSE),"NULL")</f>
        <v>94</v>
      </c>
      <c r="Q11" s="262" t="s">
        <v>63</v>
      </c>
    </row>
    <row r="12">
      <c r="A12" s="188" t="s">
        <v>412</v>
      </c>
      <c r="B12" s="189">
        <f t="array" ref="B12">VLOOKUP($A12,OR_DEMO,2,FALSE)</f>
        <v>111201</v>
      </c>
      <c r="C12" s="1211">
        <f>IF(ISBLANK(vlookup(A12,'OR Data'!$A$4:$B$40,2,FALSE)),"NULL",vlookup(A12,'OR Data'!$A$4:$B$40,2,FALSE))</f>
        <v>124</v>
      </c>
      <c r="D12" s="265" t="s">
        <v>63</v>
      </c>
      <c r="E12" s="391">
        <f>IF(ISBLANK(vlookup(A12,'OR Data'!$A$4:$D$40,3,FALSE)),"NULL",vlookup(A12,'OR Data'!$A$4:$D$40,3,FALSE))</f>
        <v>71</v>
      </c>
      <c r="F12" s="265">
        <f>IF(ISBLANK(vlookup(A12,'OR Data'!$A$4:$D$40,4,FALSE)),"NULL",vlookup(A12,'OR Data'!$A$4:$D$40,4,FALSE))</f>
        <v>53</v>
      </c>
      <c r="G12" s="265" t="s">
        <v>63</v>
      </c>
      <c r="H12" s="266">
        <f>vlookup(A12,'OR Data'!$A$105:$D$142,4,FALSE)</f>
        <v>132</v>
      </c>
      <c r="I12" s="267" t="s">
        <v>63</v>
      </c>
      <c r="J12" s="268" t="s">
        <v>63</v>
      </c>
      <c r="K12" s="284" t="s">
        <v>63</v>
      </c>
      <c r="L12" s="1197" t="str">
        <f>IF(ISBLANK(vlookup(A12,'OR Data'!$A$4:$G$40,7,FALSE)),"NULL",vlookup(A12,'OR Data'!$A$4:$G$40,7,FALSE))</f>
        <v>62</v>
      </c>
      <c r="M12" s="267" t="s">
        <v>63</v>
      </c>
      <c r="N12" s="265" t="s">
        <v>63</v>
      </c>
      <c r="O12" s="265" t="s">
        <v>63</v>
      </c>
      <c r="P12" s="272">
        <f>ifna(vlookup(A12,'Population &amp; Church Numbers'!$A$2211:$D$2246,4,FALSE),"NULL")</f>
        <v>110</v>
      </c>
      <c r="Q12" s="273" t="s">
        <v>63</v>
      </c>
    </row>
    <row r="13">
      <c r="A13" s="326" t="s">
        <v>1772</v>
      </c>
      <c r="B13" s="251">
        <f t="array" ref="B13">VLOOKUP($A13,OR_DEMO,2,FALSE)</f>
        <v>1995</v>
      </c>
      <c r="C13" s="253" t="s">
        <v>2493</v>
      </c>
      <c r="D13" s="253" t="s">
        <v>63</v>
      </c>
      <c r="E13" s="253" t="s">
        <v>2493</v>
      </c>
      <c r="F13" s="253" t="s">
        <v>2493</v>
      </c>
      <c r="G13" s="253" t="s">
        <v>63</v>
      </c>
      <c r="H13" s="254">
        <f>vlookup(A13,'OR Data'!$A$105:$D$142,4,FALSE)</f>
        <v>0</v>
      </c>
      <c r="I13" s="255" t="s">
        <v>63</v>
      </c>
      <c r="J13" s="256" t="s">
        <v>63</v>
      </c>
      <c r="K13" s="274" t="s">
        <v>63</v>
      </c>
      <c r="L13" s="254" t="str">
        <f>IF(ISBLANK(vlookup(A13,'OR Data'!$A$4:$G$40,7,FALSE)),"NULL",vlookup(A13,'OR Data'!$A$4:$G$40,7,FALSE))</f>
        <v>NULL</v>
      </c>
      <c r="M13" s="255" t="s">
        <v>63</v>
      </c>
      <c r="N13" s="253" t="s">
        <v>63</v>
      </c>
      <c r="O13" s="253" t="s">
        <v>63</v>
      </c>
      <c r="P13" s="261">
        <f>ifna(vlookup(A13,'Population &amp; Church Numbers'!$A$2211:$D$2246,4,FALSE),"NULL")</f>
        <v>4</v>
      </c>
      <c r="Q13" s="262" t="s">
        <v>63</v>
      </c>
    </row>
    <row r="14">
      <c r="A14" s="188" t="s">
        <v>278</v>
      </c>
      <c r="B14" s="189">
        <f t="array" ref="B14">VLOOKUP($A14,OR_DEMO,2,FALSE)</f>
        <v>7233</v>
      </c>
      <c r="C14" s="264">
        <v>13.0</v>
      </c>
      <c r="D14" s="265" t="s">
        <v>63</v>
      </c>
      <c r="E14" s="265">
        <v>6.0</v>
      </c>
      <c r="F14" s="265" t="s">
        <v>2493</v>
      </c>
      <c r="G14" s="265" t="s">
        <v>63</v>
      </c>
      <c r="H14" s="266">
        <f>vlookup(A14,'OR Data'!$A$105:$D$142,4,FALSE)</f>
        <v>11</v>
      </c>
      <c r="I14" s="267" t="s">
        <v>63</v>
      </c>
      <c r="J14" s="268" t="s">
        <v>63</v>
      </c>
      <c r="K14" s="284" t="s">
        <v>63</v>
      </c>
      <c r="L14" s="266" t="str">
        <f>IF(ISBLANK(vlookup(A14,'OR Data'!$A$4:$G$40,7,FALSE)),"NULL",vlookup(A14,'OR Data'!$A$4:$G$40,7,FALSE))</f>
        <v>NULL</v>
      </c>
      <c r="M14" s="267" t="s">
        <v>63</v>
      </c>
      <c r="N14" s="265" t="s">
        <v>63</v>
      </c>
      <c r="O14" s="265" t="s">
        <v>63</v>
      </c>
      <c r="P14" s="272">
        <f>ifna(vlookup(A14,'Population &amp; Church Numbers'!$A$2211:$D$2246,4,FALSE),"NULL")</f>
        <v>12</v>
      </c>
      <c r="Q14" s="273" t="s">
        <v>63</v>
      </c>
    </row>
    <row r="15">
      <c r="A15" s="326" t="s">
        <v>1773</v>
      </c>
      <c r="B15" s="251">
        <f t="array" ref="B15">VLOOKUP($A15,OR_DEMO,2,FALSE)</f>
        <v>7495</v>
      </c>
      <c r="C15" s="252">
        <v>11.0</v>
      </c>
      <c r="D15" s="253" t="s">
        <v>63</v>
      </c>
      <c r="E15" s="253" t="s">
        <v>2493</v>
      </c>
      <c r="F15" s="253">
        <v>7.0</v>
      </c>
      <c r="G15" s="253" t="s">
        <v>63</v>
      </c>
      <c r="H15" s="254">
        <f>vlookup(A15,'OR Data'!$A$105:$D$142,4,FALSE)</f>
        <v>23</v>
      </c>
      <c r="I15" s="255" t="s">
        <v>63</v>
      </c>
      <c r="J15" s="256" t="s">
        <v>63</v>
      </c>
      <c r="K15" s="274" t="s">
        <v>63</v>
      </c>
      <c r="L15" s="254" t="str">
        <f>IF(ISBLANK(vlookup(A15,'OR Data'!$A$4:$G$40,7,FALSE)),"NULL",vlookup(A15,'OR Data'!$A$4:$G$40,7,FALSE))</f>
        <v>NULL</v>
      </c>
      <c r="M15" s="255" t="s">
        <v>63</v>
      </c>
      <c r="N15" s="253" t="s">
        <v>63</v>
      </c>
      <c r="O15" s="253" t="s">
        <v>63</v>
      </c>
      <c r="P15" s="261">
        <f>ifna(vlookup(A15,'Population &amp; Church Numbers'!$A$2211:$D$2246,4,FALSE),"NULL")</f>
        <v>12</v>
      </c>
      <c r="Q15" s="262" t="s">
        <v>63</v>
      </c>
    </row>
    <row r="16">
      <c r="A16" s="188" t="s">
        <v>1774</v>
      </c>
      <c r="B16" s="189">
        <f t="array" ref="B16">VLOOKUP($A16,OR_DEMO,2,FALSE)</f>
        <v>23977</v>
      </c>
      <c r="C16" s="264">
        <v>25.0</v>
      </c>
      <c r="D16" s="265" t="s">
        <v>63</v>
      </c>
      <c r="E16" s="265">
        <v>15.0</v>
      </c>
      <c r="F16" s="265" t="s">
        <v>2493</v>
      </c>
      <c r="G16" s="265" t="s">
        <v>63</v>
      </c>
      <c r="H16" s="266">
        <f>vlookup(A16,'OR Data'!$A$105:$D$142,4,FALSE)</f>
        <v>9</v>
      </c>
      <c r="I16" s="267" t="s">
        <v>63</v>
      </c>
      <c r="J16" s="268" t="s">
        <v>63</v>
      </c>
      <c r="K16" s="284" t="s">
        <v>63</v>
      </c>
      <c r="L16" s="266" t="str">
        <f>IF(ISBLANK(vlookup(A16,'OR Data'!$A$4:$G$40,7,FALSE)),"NULL",vlookup(A16,'OR Data'!$A$4:$G$40,7,FALSE))</f>
        <v>NULL</v>
      </c>
      <c r="M16" s="267" t="s">
        <v>63</v>
      </c>
      <c r="N16" s="265" t="s">
        <v>63</v>
      </c>
      <c r="O16" s="265" t="s">
        <v>63</v>
      </c>
      <c r="P16" s="272">
        <f>ifna(vlookup(A16,'Population &amp; Church Numbers'!$A$2211:$D$2246,4,FALSE),"NULL")</f>
        <v>27</v>
      </c>
      <c r="Q16" s="273" t="s">
        <v>63</v>
      </c>
    </row>
    <row r="17">
      <c r="A17" s="326" t="s">
        <v>142</v>
      </c>
      <c r="B17" s="251">
        <f t="array" ref="B17">VLOOKUP($A17,OR_DEMO,2,FALSE)</f>
        <v>223259</v>
      </c>
      <c r="C17" s="252">
        <v>287.0</v>
      </c>
      <c r="D17" s="253" t="s">
        <v>63</v>
      </c>
      <c r="E17" s="253">
        <v>80.0</v>
      </c>
      <c r="F17" s="253">
        <v>161.0</v>
      </c>
      <c r="G17" s="253" t="s">
        <v>63</v>
      </c>
      <c r="H17" s="254">
        <f>vlookup(A17,'OR Data'!$A$105:$D$142,4,FALSE)</f>
        <v>182</v>
      </c>
      <c r="I17" s="255" t="s">
        <v>63</v>
      </c>
      <c r="J17" s="256" t="s">
        <v>63</v>
      </c>
      <c r="K17" s="274" t="s">
        <v>63</v>
      </c>
      <c r="L17" s="1198" t="str">
        <f>IF(ISBLANK(vlookup(A17,'OR Data'!$A$4:$G$40,7,FALSE)),"NULL",vlookup(A17,'OR Data'!$A$4:$G$40,7,FALSE))</f>
        <v>100</v>
      </c>
      <c r="M17" s="255" t="s">
        <v>63</v>
      </c>
      <c r="N17" s="253" t="s">
        <v>63</v>
      </c>
      <c r="O17" s="253" t="s">
        <v>63</v>
      </c>
      <c r="P17" s="261">
        <f>ifna(vlookup(A17,'Population &amp; Church Numbers'!$A$2211:$D$2246,4,FALSE),"NULL")</f>
        <v>112</v>
      </c>
      <c r="Q17" s="262" t="s">
        <v>63</v>
      </c>
    </row>
    <row r="18">
      <c r="A18" s="188" t="s">
        <v>143</v>
      </c>
      <c r="B18" s="189">
        <f t="array" ref="B18">VLOOKUP($A18,OR_DEMO,2,FALSE)</f>
        <v>24502</v>
      </c>
      <c r="C18" s="264">
        <v>50.0</v>
      </c>
      <c r="D18" s="265" t="s">
        <v>63</v>
      </c>
      <c r="E18" s="265">
        <v>10.0</v>
      </c>
      <c r="F18" s="265">
        <v>26.0</v>
      </c>
      <c r="G18" s="265" t="s">
        <v>63</v>
      </c>
      <c r="H18" s="266">
        <f>vlookup(A18,'OR Data'!$A$105:$D$142,4,FALSE)</f>
        <v>24</v>
      </c>
      <c r="I18" s="267" t="s">
        <v>63</v>
      </c>
      <c r="J18" s="268" t="s">
        <v>63</v>
      </c>
      <c r="K18" s="284" t="s">
        <v>63</v>
      </c>
      <c r="L18" s="1197" t="str">
        <f>IF(ISBLANK(vlookup(A18,'OR Data'!$A$4:$G$40,7,FALSE)),"NULL",vlookup(A18,'OR Data'!$A$4:$G$40,7,FALSE))</f>
        <v>9</v>
      </c>
      <c r="M18" s="267" t="s">
        <v>63</v>
      </c>
      <c r="N18" s="265" t="s">
        <v>63</v>
      </c>
      <c r="O18" s="265" t="s">
        <v>63</v>
      </c>
      <c r="P18" s="272">
        <f>ifna(vlookup(A18,'Population &amp; Church Numbers'!$A$2211:$D$2246,4,FALSE),"NULL")</f>
        <v>15</v>
      </c>
      <c r="Q18" s="273" t="s">
        <v>63</v>
      </c>
    </row>
    <row r="19">
      <c r="A19" s="326" t="s">
        <v>1775</v>
      </c>
      <c r="B19" s="251">
        <f t="array" ref="B19">VLOOKUP($A19,OR_DEMO,2,FALSE)</f>
        <v>88090</v>
      </c>
      <c r="C19" s="252">
        <v>90.0</v>
      </c>
      <c r="D19" s="253" t="s">
        <v>63</v>
      </c>
      <c r="E19" s="253">
        <v>40.0</v>
      </c>
      <c r="F19" s="253">
        <v>26.0</v>
      </c>
      <c r="G19" s="253" t="s">
        <v>63</v>
      </c>
      <c r="H19" s="254">
        <f>vlookup(A19,'OR Data'!$A$105:$D$142,4,FALSE)</f>
        <v>94</v>
      </c>
      <c r="I19" s="255" t="s">
        <v>63</v>
      </c>
      <c r="J19" s="256" t="s">
        <v>63</v>
      </c>
      <c r="K19" s="274" t="s">
        <v>63</v>
      </c>
      <c r="L19" s="1198" t="str">
        <f>IF(ISBLANK(vlookup(A19,'OR Data'!$A$4:$G$40,7,FALSE)),"NULL",vlookup(A19,'OR Data'!$A$4:$G$40,7,FALSE))</f>
        <v>25</v>
      </c>
      <c r="M19" s="255" t="s">
        <v>63</v>
      </c>
      <c r="N19" s="253" t="s">
        <v>63</v>
      </c>
      <c r="O19" s="253" t="s">
        <v>63</v>
      </c>
      <c r="P19" s="261">
        <f>ifna(vlookup(A19,'Population &amp; Church Numbers'!$A$2211:$D$2246,4,FALSE),"NULL")</f>
        <v>49</v>
      </c>
      <c r="Q19" s="262" t="s">
        <v>63</v>
      </c>
    </row>
    <row r="20">
      <c r="A20" s="188" t="s">
        <v>1776</v>
      </c>
      <c r="B20" s="189">
        <f t="array" ref="B20">VLOOKUP($A20,OR_DEMO,2,FALSE)</f>
        <v>69413</v>
      </c>
      <c r="C20" s="264">
        <v>138.0</v>
      </c>
      <c r="D20" s="265" t="s">
        <v>63</v>
      </c>
      <c r="E20" s="265">
        <v>41.0</v>
      </c>
      <c r="F20" s="265">
        <v>62.0</v>
      </c>
      <c r="G20" s="265" t="s">
        <v>63</v>
      </c>
      <c r="H20" s="266">
        <f>vlookup(A20,'OR Data'!$A$105:$D$142,4,FALSE)</f>
        <v>53</v>
      </c>
      <c r="I20" s="267" t="s">
        <v>63</v>
      </c>
      <c r="J20" s="268" t="s">
        <v>63</v>
      </c>
      <c r="K20" s="284" t="s">
        <v>63</v>
      </c>
      <c r="L20" s="1197" t="str">
        <f>IF(ISBLANK(vlookup(A20,'OR Data'!$A$4:$G$40,7,FALSE)),"NULL",vlookup(A20,'OR Data'!$A$4:$G$40,7,FALSE))</f>
        <v>44</v>
      </c>
      <c r="M20" s="267" t="s">
        <v>63</v>
      </c>
      <c r="N20" s="265" t="s">
        <v>63</v>
      </c>
      <c r="O20" s="265" t="s">
        <v>63</v>
      </c>
      <c r="P20" s="272">
        <f>ifna(vlookup(A20,'Population &amp; Church Numbers'!$A$2211:$D$2246,4,FALSE),"NULL")</f>
        <v>62</v>
      </c>
      <c r="Q20" s="273" t="s">
        <v>63</v>
      </c>
    </row>
    <row r="21">
      <c r="A21" s="326" t="s">
        <v>337</v>
      </c>
      <c r="B21" s="251">
        <f t="array" ref="B21">VLOOKUP($A21,OR_DEMO,2,FALSE)</f>
        <v>8160</v>
      </c>
      <c r="C21" s="252">
        <v>11.0</v>
      </c>
      <c r="D21" s="253" t="s">
        <v>63</v>
      </c>
      <c r="E21" s="253" t="s">
        <v>2493</v>
      </c>
      <c r="F21" s="253">
        <v>6.0</v>
      </c>
      <c r="G21" s="253" t="s">
        <v>63</v>
      </c>
      <c r="H21" s="254">
        <f>vlookup(A21,'OR Data'!$A$105:$D$142,4,FALSE)</f>
        <v>7</v>
      </c>
      <c r="I21" s="255" t="s">
        <v>63</v>
      </c>
      <c r="J21" s="256" t="s">
        <v>63</v>
      </c>
      <c r="K21" s="274" t="s">
        <v>63</v>
      </c>
      <c r="L21" s="254" t="str">
        <f>IF(ISBLANK(vlookup(A21,'OR Data'!$A$4:$G$40,7,FALSE)),"NULL",vlookup(A21,'OR Data'!$A$4:$G$40,7,FALSE))</f>
        <v>NULL</v>
      </c>
      <c r="M21" s="255" t="s">
        <v>63</v>
      </c>
      <c r="N21" s="253" t="s">
        <v>63</v>
      </c>
      <c r="O21" s="253" t="s">
        <v>63</v>
      </c>
      <c r="P21" s="261">
        <f>ifna(vlookup(A21,'Population &amp; Church Numbers'!$A$2211:$D$2246,4,FALSE),"NULL")</f>
        <v>14</v>
      </c>
      <c r="Q21" s="262" t="s">
        <v>63</v>
      </c>
    </row>
    <row r="22">
      <c r="A22" s="188" t="s">
        <v>986</v>
      </c>
      <c r="B22" s="189">
        <f t="array" ref="B22">VLOOKUP($A22,OR_DEMO,2,FALSE)</f>
        <v>382971</v>
      </c>
      <c r="C22" s="264">
        <v>640.0</v>
      </c>
      <c r="D22" s="265" t="s">
        <v>63</v>
      </c>
      <c r="E22" s="265">
        <v>182.0</v>
      </c>
      <c r="F22" s="265">
        <v>300.0</v>
      </c>
      <c r="G22" s="265" t="s">
        <v>63</v>
      </c>
      <c r="H22" s="266">
        <f>vlookup(A22,'OR Data'!$A$105:$D$142,4,FALSE)</f>
        <v>249</v>
      </c>
      <c r="I22" s="267" t="s">
        <v>63</v>
      </c>
      <c r="J22" s="268" t="s">
        <v>63</v>
      </c>
      <c r="K22" s="284" t="s">
        <v>63</v>
      </c>
      <c r="L22" s="1197" t="str">
        <f>IF(ISBLANK(vlookup(A22,'OR Data'!$A$4:$G$40,7,FALSE)),"NULL",vlookup(A22,'OR Data'!$A$4:$G$40,7,FALSE))</f>
        <v>216</v>
      </c>
      <c r="M22" s="267" t="s">
        <v>63</v>
      </c>
      <c r="N22" s="265" t="s">
        <v>63</v>
      </c>
      <c r="O22" s="265" t="s">
        <v>63</v>
      </c>
      <c r="P22" s="272">
        <f>ifna(vlookup(A22,'Population &amp; Church Numbers'!$A$2211:$D$2246,4,FALSE),"NULL")</f>
        <v>222</v>
      </c>
      <c r="Q22" s="273" t="s">
        <v>63</v>
      </c>
    </row>
    <row r="23">
      <c r="A23" s="326" t="s">
        <v>290</v>
      </c>
      <c r="B23" s="251">
        <f t="array" ref="B23">VLOOKUP($A23,OR_DEMO,2,FALSE)</f>
        <v>50395</v>
      </c>
      <c r="C23" s="252">
        <v>91.0</v>
      </c>
      <c r="D23" s="253" t="s">
        <v>63</v>
      </c>
      <c r="E23" s="253">
        <v>25.0</v>
      </c>
      <c r="F23" s="253">
        <v>32.0</v>
      </c>
      <c r="G23" s="253" t="s">
        <v>63</v>
      </c>
      <c r="H23" s="254">
        <f>vlookup(A23,'OR Data'!$A$105:$D$142,4,FALSE)</f>
        <v>33</v>
      </c>
      <c r="I23" s="255" t="s">
        <v>63</v>
      </c>
      <c r="J23" s="256" t="s">
        <v>63</v>
      </c>
      <c r="K23" s="274" t="s">
        <v>63</v>
      </c>
      <c r="L23" s="1198" t="str">
        <f>IF(ISBLANK(vlookup(A23,'OR Data'!$A$4:$G$40,7,FALSE)),"NULL",vlookup(A23,'OR Data'!$A$4:$G$40,7,FALSE))</f>
        <v>23</v>
      </c>
      <c r="M23" s="255" t="s">
        <v>63</v>
      </c>
      <c r="N23" s="253" t="s">
        <v>63</v>
      </c>
      <c r="O23" s="253" t="s">
        <v>63</v>
      </c>
      <c r="P23" s="261">
        <f>ifna(vlookup(A23,'Population &amp; Church Numbers'!$A$2211:$D$2246,4,FALSE),"NULL")</f>
        <v>57</v>
      </c>
      <c r="Q23" s="262" t="s">
        <v>63</v>
      </c>
    </row>
    <row r="24">
      <c r="A24" s="188" t="s">
        <v>907</v>
      </c>
      <c r="B24" s="189">
        <f t="array" ref="B24">VLOOKUP($A24,OR_DEMO,2,FALSE)</f>
        <v>128610</v>
      </c>
      <c r="C24" s="264">
        <v>170.0</v>
      </c>
      <c r="D24" s="265" t="s">
        <v>63</v>
      </c>
      <c r="E24" s="265">
        <v>68.0</v>
      </c>
      <c r="F24" s="265">
        <v>59.0</v>
      </c>
      <c r="G24" s="265" t="s">
        <v>63</v>
      </c>
      <c r="H24" s="266">
        <f>vlookup(A24,'OR Data'!$A$105:$D$142,4,FALSE)</f>
        <v>141</v>
      </c>
      <c r="I24" s="267" t="s">
        <v>63</v>
      </c>
      <c r="J24" s="268" t="s">
        <v>63</v>
      </c>
      <c r="K24" s="284" t="s">
        <v>63</v>
      </c>
      <c r="L24" s="1197" t="str">
        <f>IF(ISBLANK(vlookup(A24,'OR Data'!$A$4:$G$40,7,FALSE)),"NULL",vlookup(A24,'OR Data'!$A$4:$G$40,7,FALSE))</f>
        <v>54</v>
      </c>
      <c r="M24" s="267" t="s">
        <v>63</v>
      </c>
      <c r="N24" s="265" t="s">
        <v>63</v>
      </c>
      <c r="O24" s="265" t="s">
        <v>63</v>
      </c>
      <c r="P24" s="272">
        <f>ifna(vlookup(A24,'Population &amp; Church Numbers'!$A$2211:$D$2246,4,FALSE),"NULL")</f>
        <v>109</v>
      </c>
      <c r="Q24" s="273" t="s">
        <v>63</v>
      </c>
    </row>
    <row r="25">
      <c r="A25" s="326" t="s">
        <v>1777</v>
      </c>
      <c r="B25" s="251">
        <f t="array" ref="B25">VLOOKUP($A25,OR_DEMO,2,FALSE)</f>
        <v>31571</v>
      </c>
      <c r="C25" s="252">
        <v>144.0</v>
      </c>
      <c r="D25" s="253" t="s">
        <v>63</v>
      </c>
      <c r="E25" s="253">
        <v>50.0</v>
      </c>
      <c r="F25" s="253">
        <v>65.0</v>
      </c>
      <c r="G25" s="253" t="s">
        <v>63</v>
      </c>
      <c r="H25" s="254">
        <f>vlookup(A25,'OR Data'!$A$105:$D$142,4,FALSE)</f>
        <v>59</v>
      </c>
      <c r="I25" s="255" t="s">
        <v>63</v>
      </c>
      <c r="J25" s="256" t="s">
        <v>63</v>
      </c>
      <c r="K25" s="274" t="s">
        <v>63</v>
      </c>
      <c r="L25" s="254" t="str">
        <f>IF(ISBLANK(vlookup(A25,'OR Data'!$A$4:$G$40,7,FALSE)),"NULL",vlookup(A25,'OR Data'!$A$4:$G$40,7,FALSE))</f>
        <v>NULL</v>
      </c>
      <c r="M25" s="255" t="s">
        <v>63</v>
      </c>
      <c r="N25" s="253" t="s">
        <v>63</v>
      </c>
      <c r="O25" s="253" t="s">
        <v>63</v>
      </c>
      <c r="P25" s="261">
        <f>ifna(vlookup(A25,'Population &amp; Church Numbers'!$A$2211:$D$2246,4,FALSE),"NULL")</f>
        <v>38</v>
      </c>
      <c r="Q25" s="262" t="s">
        <v>63</v>
      </c>
    </row>
    <row r="26">
      <c r="A26" s="188" t="s">
        <v>153</v>
      </c>
      <c r="B26" s="189">
        <f t="array" ref="B26">VLOOKUP($A26,OR_DEMO,2,FALSE)</f>
        <v>345920</v>
      </c>
      <c r="C26" s="264">
        <v>274.0</v>
      </c>
      <c r="D26" s="265" t="s">
        <v>63</v>
      </c>
      <c r="E26" s="265">
        <v>86.0</v>
      </c>
      <c r="F26" s="265">
        <v>99.0</v>
      </c>
      <c r="G26" s="265" t="s">
        <v>63</v>
      </c>
      <c r="H26" s="266">
        <f>vlookup(A26,'OR Data'!$A$105:$D$142,4,FALSE)</f>
        <v>150</v>
      </c>
      <c r="I26" s="267" t="s">
        <v>63</v>
      </c>
      <c r="J26" s="268" t="s">
        <v>63</v>
      </c>
      <c r="K26" s="284" t="s">
        <v>63</v>
      </c>
      <c r="L26" s="1197" t="str">
        <f>IF(ISBLANK(vlookup(A26,'OR Data'!$A$4:$G$40,7,FALSE)),"NULL",vlookup(A26,'OR Data'!$A$4:$G$40,7,FALSE))</f>
        <v>76</v>
      </c>
      <c r="M26" s="267" t="s">
        <v>63</v>
      </c>
      <c r="N26" s="265" t="s">
        <v>63</v>
      </c>
      <c r="O26" s="265" t="s">
        <v>63</v>
      </c>
      <c r="P26" s="272">
        <f>ifna(vlookup(A26,'Population &amp; Church Numbers'!$A$2211:$D$2246,4,FALSE),"NULL")</f>
        <v>194</v>
      </c>
      <c r="Q26" s="273" t="s">
        <v>63</v>
      </c>
    </row>
    <row r="27">
      <c r="A27" s="326" t="s">
        <v>1691</v>
      </c>
      <c r="B27" s="251">
        <f t="array" ref="B27">VLOOKUP($A27,OR_DEMO,2,FALSE)</f>
        <v>12186</v>
      </c>
      <c r="C27" s="252" t="s">
        <v>2493</v>
      </c>
      <c r="D27" s="253" t="s">
        <v>63</v>
      </c>
      <c r="E27" s="253" t="s">
        <v>2493</v>
      </c>
      <c r="F27" s="253" t="s">
        <v>2493</v>
      </c>
      <c r="G27" s="253" t="s">
        <v>63</v>
      </c>
      <c r="H27" s="254">
        <f>vlookup(A27,'OR Data'!$A$105:$D$142,4,FALSE)</f>
        <v>10</v>
      </c>
      <c r="I27" s="255" t="s">
        <v>63</v>
      </c>
      <c r="J27" s="256" t="s">
        <v>63</v>
      </c>
      <c r="K27" s="274" t="s">
        <v>63</v>
      </c>
      <c r="L27" s="254" t="str">
        <f>IF(ISBLANK(vlookup(A27,'OR Data'!$A$4:$G$40,7,FALSE)),"NULL",vlookup(A27,'OR Data'!$A$4:$G$40,7,FALSE))</f>
        <v>NULL</v>
      </c>
      <c r="M27" s="255" t="s">
        <v>63</v>
      </c>
      <c r="N27" s="253" t="s">
        <v>63</v>
      </c>
      <c r="O27" s="253" t="s">
        <v>63</v>
      </c>
      <c r="P27" s="261">
        <f>ifna(vlookup(A27,'Population &amp; Church Numbers'!$A$2211:$D$2246,4,FALSE),"NULL")</f>
        <v>12</v>
      </c>
      <c r="Q27" s="262" t="s">
        <v>63</v>
      </c>
    </row>
    <row r="28">
      <c r="A28" s="188" t="s">
        <v>511</v>
      </c>
      <c r="B28" s="189">
        <f t="array" ref="B28">VLOOKUP($A28,OR_DEMO,2,FALSE)</f>
        <v>815428</v>
      </c>
      <c r="C28" s="264">
        <v>762.0</v>
      </c>
      <c r="D28" s="265" t="s">
        <v>63</v>
      </c>
      <c r="E28" s="265">
        <v>324.0</v>
      </c>
      <c r="F28" s="265">
        <v>263.0</v>
      </c>
      <c r="G28" s="265" t="s">
        <v>63</v>
      </c>
      <c r="H28" s="266">
        <f>vlookup(A28,'OR Data'!$A$105:$D$142,4,FALSE)</f>
        <v>435</v>
      </c>
      <c r="I28" s="267" t="s">
        <v>63</v>
      </c>
      <c r="J28" s="268" t="s">
        <v>63</v>
      </c>
      <c r="K28" s="284" t="s">
        <v>63</v>
      </c>
      <c r="L28" s="1197" t="str">
        <f>IF(ISBLANK(vlookup(A28,'OR Data'!$A$4:$G$40,7,FALSE)),"NULL",vlookup(A28,'OR Data'!$A$4:$G$40,7,FALSE))</f>
        <v>225</v>
      </c>
      <c r="M28" s="267" t="s">
        <v>63</v>
      </c>
      <c r="N28" s="265" t="s">
        <v>63</v>
      </c>
      <c r="O28" s="265" t="s">
        <v>63</v>
      </c>
      <c r="P28" s="272">
        <f>ifna(vlookup(A28,'Population &amp; Church Numbers'!$A$2211:$D$2246,4,FALSE),"NULL")</f>
        <v>366</v>
      </c>
      <c r="Q28" s="273" t="s">
        <v>63</v>
      </c>
    </row>
    <row r="29">
      <c r="A29" s="326" t="s">
        <v>302</v>
      </c>
      <c r="B29" s="251">
        <f t="array" ref="B29">VLOOKUP($A29,OR_DEMO,2,FALSE)</f>
        <v>87433</v>
      </c>
      <c r="C29" s="252">
        <v>114.0</v>
      </c>
      <c r="D29" s="253" t="s">
        <v>63</v>
      </c>
      <c r="E29" s="253">
        <v>40.0</v>
      </c>
      <c r="F29" s="253">
        <v>34.0</v>
      </c>
      <c r="G29" s="253" t="s">
        <v>63</v>
      </c>
      <c r="H29" s="254">
        <f>vlookup(A29,'OR Data'!$A$105:$D$142,4,FALSE)</f>
        <v>90</v>
      </c>
      <c r="I29" s="255" t="s">
        <v>63</v>
      </c>
      <c r="J29" s="256" t="s">
        <v>63</v>
      </c>
      <c r="K29" s="274" t="s">
        <v>63</v>
      </c>
      <c r="L29" s="1198" t="str">
        <f>IF(ISBLANK(vlookup(A29,'OR Data'!$A$4:$G$40,7,FALSE)),"NULL",vlookup(A29,'OR Data'!$A$4:$G$40,7,FALSE))</f>
        <v>27</v>
      </c>
      <c r="M29" s="255" t="s">
        <v>63</v>
      </c>
      <c r="N29" s="253" t="s">
        <v>63</v>
      </c>
      <c r="O29" s="253" t="s">
        <v>63</v>
      </c>
      <c r="P29" s="261">
        <f>ifna(vlookup(A29,'Population &amp; Church Numbers'!$A$2211:$D$2246,4,FALSE),"NULL")</f>
        <v>53</v>
      </c>
      <c r="Q29" s="262" t="s">
        <v>63</v>
      </c>
    </row>
    <row r="30">
      <c r="A30" s="188" t="s">
        <v>1011</v>
      </c>
      <c r="B30" s="189">
        <f t="array" ref="B30">VLOOKUP($A30,OR_DEMO,2,FALSE)</f>
        <v>1870</v>
      </c>
      <c r="C30" s="264" t="s">
        <v>2493</v>
      </c>
      <c r="D30" s="265" t="s">
        <v>63</v>
      </c>
      <c r="E30" s="265" t="s">
        <v>2493</v>
      </c>
      <c r="F30" s="265" t="s">
        <v>2493</v>
      </c>
      <c r="G30" s="265" t="s">
        <v>63</v>
      </c>
      <c r="H30" s="266" t="str">
        <f>vlookup(A30,'OR Data'!$A$105:$D$142,4,FALSE)</f>
        <v>NULL</v>
      </c>
      <c r="I30" s="267" t="s">
        <v>63</v>
      </c>
      <c r="J30" s="268" t="s">
        <v>63</v>
      </c>
      <c r="K30" s="284" t="s">
        <v>63</v>
      </c>
      <c r="L30" s="266" t="str">
        <f>IF(ISBLANK(vlookup(A30,'OR Data'!$A$4:$G$40,7,FALSE)),"NULL",vlookup(A30,'OR Data'!$A$4:$G$40,7,FALSE))</f>
        <v>NULL</v>
      </c>
      <c r="M30" s="267" t="s">
        <v>63</v>
      </c>
      <c r="N30" s="265" t="s">
        <v>63</v>
      </c>
      <c r="O30" s="265" t="s">
        <v>63</v>
      </c>
      <c r="P30" s="272">
        <f>ifna(vlookup(A30,'Population &amp; Church Numbers'!$A$2211:$D$2246,4,FALSE),"NULL")</f>
        <v>5</v>
      </c>
      <c r="Q30" s="273" t="s">
        <v>63</v>
      </c>
    </row>
    <row r="31">
      <c r="A31" s="326" t="s">
        <v>1778</v>
      </c>
      <c r="B31" s="251">
        <f t="array" ref="B31">VLOOKUP($A31,OR_DEMO,2,FALSE)</f>
        <v>27390</v>
      </c>
      <c r="C31" s="252">
        <v>17.0</v>
      </c>
      <c r="D31" s="253" t="s">
        <v>63</v>
      </c>
      <c r="E31" s="253">
        <v>11.0</v>
      </c>
      <c r="F31" s="253" t="s">
        <v>2493</v>
      </c>
      <c r="G31" s="253" t="s">
        <v>63</v>
      </c>
      <c r="H31" s="254">
        <f>vlookup(A31,'OR Data'!$A$105:$D$142,4,FALSE)</f>
        <v>15</v>
      </c>
      <c r="I31" s="255" t="s">
        <v>63</v>
      </c>
      <c r="J31" s="256" t="s">
        <v>63</v>
      </c>
      <c r="K31" s="274" t="s">
        <v>63</v>
      </c>
      <c r="L31" s="254" t="str">
        <f>IF(ISBLANK(vlookup(A31,'OR Data'!$A$4:$G$40,7,FALSE)),"NULL",vlookup(A31,'OR Data'!$A$4:$G$40,7,FALSE))</f>
        <v>NULL</v>
      </c>
      <c r="M31" s="255" t="s">
        <v>63</v>
      </c>
      <c r="N31" s="253" t="s">
        <v>63</v>
      </c>
      <c r="O31" s="253" t="s">
        <v>63</v>
      </c>
      <c r="P31" s="261">
        <f>ifna(vlookup(A31,'Population &amp; Church Numbers'!$A$2211:$D$2246,4,FALSE),"NULL")</f>
        <v>34</v>
      </c>
      <c r="Q31" s="262" t="s">
        <v>63</v>
      </c>
    </row>
    <row r="32">
      <c r="A32" s="188" t="s">
        <v>1779</v>
      </c>
      <c r="B32" s="189">
        <f t="array" ref="B32">VLOOKUP($A32,OR_DEMO,2,FALSE)</f>
        <v>80075</v>
      </c>
      <c r="C32" s="264">
        <v>160.0</v>
      </c>
      <c r="D32" s="265" t="s">
        <v>63</v>
      </c>
      <c r="E32" s="265">
        <v>61.0</v>
      </c>
      <c r="F32" s="265">
        <v>68.0</v>
      </c>
      <c r="G32" s="265" t="s">
        <v>63</v>
      </c>
      <c r="H32" s="266">
        <f>vlookup(A32,'OR Data'!$A$105:$D$142,4,FALSE)</f>
        <v>99</v>
      </c>
      <c r="I32" s="267" t="s">
        <v>63</v>
      </c>
      <c r="J32" s="268" t="s">
        <v>63</v>
      </c>
      <c r="K32" s="284" t="s">
        <v>63</v>
      </c>
      <c r="L32" s="1197" t="str">
        <f>IF(ISBLANK(vlookup(A32,'OR Data'!$A$4:$G$40,7,FALSE)),"NULL",vlookup(A32,'OR Data'!$A$4:$G$40,7,FALSE))</f>
        <v>50</v>
      </c>
      <c r="M32" s="267" t="s">
        <v>63</v>
      </c>
      <c r="N32" s="265" t="s">
        <v>63</v>
      </c>
      <c r="O32" s="265" t="s">
        <v>63</v>
      </c>
      <c r="P32" s="272">
        <f>ifna(vlookup(A32,'Population &amp; Church Numbers'!$A$2211:$D$2246,4,FALSE),"NULL")</f>
        <v>71</v>
      </c>
      <c r="Q32" s="273" t="s">
        <v>63</v>
      </c>
    </row>
    <row r="33">
      <c r="A33" s="326" t="s">
        <v>316</v>
      </c>
      <c r="B33" s="251">
        <f t="array" ref="B33">VLOOKUP($A33,OR_DEMO,2,FALSE)</f>
        <v>26196</v>
      </c>
      <c r="C33" s="252">
        <v>42.0</v>
      </c>
      <c r="D33" s="253" t="s">
        <v>63</v>
      </c>
      <c r="E33" s="253">
        <v>9.0</v>
      </c>
      <c r="F33" s="253">
        <v>17.0</v>
      </c>
      <c r="G33" s="253" t="s">
        <v>63</v>
      </c>
      <c r="H33" s="254">
        <f>vlookup(A33,'OR Data'!$A$105:$D$142,4,FALSE)</f>
        <v>18</v>
      </c>
      <c r="I33" s="255" t="s">
        <v>63</v>
      </c>
      <c r="J33" s="256" t="s">
        <v>63</v>
      </c>
      <c r="K33" s="274" t="s">
        <v>63</v>
      </c>
      <c r="L33" s="254" t="str">
        <f>IF(ISBLANK(vlookup(A33,'OR Data'!$A$4:$G$40,7,FALSE)),"NULL",vlookup(A33,'OR Data'!$A$4:$G$40,7,FALSE))</f>
        <v>NULL</v>
      </c>
      <c r="M33" s="255" t="s">
        <v>63</v>
      </c>
      <c r="N33" s="253" t="s">
        <v>63</v>
      </c>
      <c r="O33" s="253" t="s">
        <v>63</v>
      </c>
      <c r="P33" s="261">
        <f>ifna(vlookup(A33,'Population &amp; Church Numbers'!$A$2211:$D$2246,4,FALSE),"NULL")</f>
        <v>38</v>
      </c>
      <c r="Q33" s="262" t="s">
        <v>63</v>
      </c>
    </row>
    <row r="34">
      <c r="A34" s="188" t="s">
        <v>1780</v>
      </c>
      <c r="B34" s="189">
        <f t="array" ref="B34">VLOOKUP($A34,OR_DEMO,2,FALSE)</f>
        <v>7391</v>
      </c>
      <c r="C34" s="264" t="s">
        <v>2493</v>
      </c>
      <c r="D34" s="265" t="s">
        <v>63</v>
      </c>
      <c r="E34" s="265" t="s">
        <v>2493</v>
      </c>
      <c r="F34" s="265" t="s">
        <v>2493</v>
      </c>
      <c r="G34" s="265" t="s">
        <v>63</v>
      </c>
      <c r="H34" s="266" t="str">
        <f>vlookup(A34,'OR Data'!$A$105:$D$142,4,FALSE)</f>
        <v>NULL</v>
      </c>
      <c r="I34" s="267" t="s">
        <v>63</v>
      </c>
      <c r="J34" s="268" t="s">
        <v>63</v>
      </c>
      <c r="K34" s="284" t="s">
        <v>63</v>
      </c>
      <c r="L34" s="266" t="str">
        <f>IF(ISBLANK(vlookup(A34,'OR Data'!$A$4:$G$40,7,FALSE)),"NULL",vlookup(A34,'OR Data'!$A$4:$G$40,7,FALSE))</f>
        <v>NULL</v>
      </c>
      <c r="M34" s="267" t="s">
        <v>63</v>
      </c>
      <c r="N34" s="265" t="s">
        <v>63</v>
      </c>
      <c r="O34" s="265" t="s">
        <v>63</v>
      </c>
      <c r="P34" s="272">
        <f>ifna(vlookup(A34,'Population &amp; Church Numbers'!$A$2211:$D$2246,4,FALSE),"NULL")</f>
        <v>11</v>
      </c>
      <c r="Q34" s="273" t="s">
        <v>63</v>
      </c>
    </row>
    <row r="35">
      <c r="A35" s="326" t="s">
        <v>1781</v>
      </c>
      <c r="B35" s="251">
        <f t="array" ref="B35">VLOOKUP($A35,OR_DEMO,2,FALSE)</f>
        <v>26670</v>
      </c>
      <c r="C35" s="252">
        <v>56.0</v>
      </c>
      <c r="D35" s="253" t="s">
        <v>63</v>
      </c>
      <c r="E35" s="253">
        <v>17.0</v>
      </c>
      <c r="F35" s="253">
        <v>25.0</v>
      </c>
      <c r="G35" s="253" t="s">
        <v>63</v>
      </c>
      <c r="H35" s="254">
        <f>vlookup(A35,'OR Data'!$A$105:$D$142,4,FALSE)</f>
        <v>27</v>
      </c>
      <c r="I35" s="255" t="s">
        <v>63</v>
      </c>
      <c r="J35" s="256" t="s">
        <v>63</v>
      </c>
      <c r="K35" s="274" t="s">
        <v>63</v>
      </c>
      <c r="L35" s="254" t="str">
        <f>IF(ISBLANK(vlookup(A35,'OR Data'!$A$4:$G$40,7,FALSE)),"NULL",vlookup(A35,'OR Data'!$A$4:$G$40,7,FALSE))</f>
        <v>NULL</v>
      </c>
      <c r="M35" s="255" t="s">
        <v>63</v>
      </c>
      <c r="N35" s="253" t="s">
        <v>63</v>
      </c>
      <c r="O35" s="253" t="s">
        <v>63</v>
      </c>
      <c r="P35" s="261">
        <f>ifna(vlookup(A35,'Population &amp; Church Numbers'!$A$2211:$D$2246,4,FALSE),"NULL")</f>
        <v>29</v>
      </c>
      <c r="Q35" s="262" t="s">
        <v>63</v>
      </c>
    </row>
    <row r="36">
      <c r="A36" s="188" t="s">
        <v>119</v>
      </c>
      <c r="B36" s="189">
        <f t="array" ref="B36">VLOOKUP($A36,OR_DEMO,2,FALSE)</f>
        <v>600372</v>
      </c>
      <c r="C36" s="264">
        <v>274.0</v>
      </c>
      <c r="D36" s="265" t="s">
        <v>63</v>
      </c>
      <c r="E36" s="265">
        <v>87.0</v>
      </c>
      <c r="F36" s="265">
        <v>121.0</v>
      </c>
      <c r="G36" s="265" t="s">
        <v>63</v>
      </c>
      <c r="H36" s="266">
        <f>vlookup(A36,'OR Data'!$A$105:$D$142,4,FALSE)</f>
        <v>230</v>
      </c>
      <c r="I36" s="267" t="s">
        <v>63</v>
      </c>
      <c r="J36" s="268" t="s">
        <v>63</v>
      </c>
      <c r="K36" s="284" t="s">
        <v>63</v>
      </c>
      <c r="L36" s="1197" t="str">
        <f>IF(ISBLANK(vlookup(A36,'OR Data'!$A$4:$G$40,7,FALSE)),"NULL",vlookup(A36,'OR Data'!$A$4:$G$40,7,FALSE))</f>
        <v>64</v>
      </c>
      <c r="M36" s="267" t="s">
        <v>63</v>
      </c>
      <c r="N36" s="265" t="s">
        <v>63</v>
      </c>
      <c r="O36" s="265" t="s">
        <v>63</v>
      </c>
      <c r="P36" s="272">
        <f>ifna(vlookup(A36,'Population &amp; Church Numbers'!$A$2211:$D$2246,4,FALSE),"NULL")</f>
        <v>220</v>
      </c>
      <c r="Q36" s="273" t="s">
        <v>63</v>
      </c>
    </row>
    <row r="37">
      <c r="A37" s="326" t="s">
        <v>649</v>
      </c>
      <c r="B37" s="251">
        <f t="array" ref="B37">VLOOKUP($A37,OR_DEMO,2,FALSE)</f>
        <v>1451</v>
      </c>
      <c r="C37" s="253" t="s">
        <v>63</v>
      </c>
      <c r="D37" s="253" t="s">
        <v>63</v>
      </c>
      <c r="E37" s="253" t="s">
        <v>63</v>
      </c>
      <c r="F37" s="253" t="s">
        <v>63</v>
      </c>
      <c r="G37" s="253" t="s">
        <v>63</v>
      </c>
      <c r="H37" s="254" t="str">
        <f>vlookup(A37,'OR Data'!$A$105:$D$142,4,FALSE)</f>
        <v>NULL</v>
      </c>
      <c r="I37" s="255" t="s">
        <v>63</v>
      </c>
      <c r="J37" s="256" t="s">
        <v>63</v>
      </c>
      <c r="K37" s="274" t="s">
        <v>63</v>
      </c>
      <c r="L37" s="254" t="str">
        <f>IF(ISBLANK(vlookup(A37,'OR Data'!$A$4:$G$40,7,FALSE)),"NULL",vlookup(A37,'OR Data'!$A$4:$G$40,7,FALSE))</f>
        <v>NULL</v>
      </c>
      <c r="M37" s="255" t="s">
        <v>63</v>
      </c>
      <c r="N37" s="253" t="s">
        <v>63</v>
      </c>
      <c r="O37" s="253" t="s">
        <v>63</v>
      </c>
      <c r="P37" s="261">
        <f>ifna(vlookup(A37,'Population &amp; Church Numbers'!$A$2211:$D$2246,4,FALSE),"NULL")</f>
        <v>6</v>
      </c>
      <c r="Q37" s="262" t="s">
        <v>63</v>
      </c>
    </row>
    <row r="38">
      <c r="A38" s="188" t="s">
        <v>1782</v>
      </c>
      <c r="B38" s="189">
        <f t="array" ref="B38">VLOOKUP($A38,OR_DEMO,2,FALSE)</f>
        <v>107722</v>
      </c>
      <c r="C38" s="264">
        <v>75.0</v>
      </c>
      <c r="D38" s="265" t="s">
        <v>63</v>
      </c>
      <c r="E38" s="265">
        <v>22.0</v>
      </c>
      <c r="F38" s="265">
        <v>23.0</v>
      </c>
      <c r="G38" s="265" t="s">
        <v>63</v>
      </c>
      <c r="H38" s="266">
        <f>vlookup(A38,'OR Data'!$A$105:$D$142,4,FALSE)</f>
        <v>71</v>
      </c>
      <c r="I38" s="267" t="s">
        <v>63</v>
      </c>
      <c r="J38" s="268" t="s">
        <v>63</v>
      </c>
      <c r="K38" s="284" t="s">
        <v>63</v>
      </c>
      <c r="L38" s="1197" t="str">
        <f>IF(ISBLANK(vlookup(A38,'OR Data'!$A$4:$G$40,7,FALSE)),"NULL",vlookup(A38,'OR Data'!$A$4:$G$40,7,FALSE))</f>
        <v>40</v>
      </c>
      <c r="M38" s="267" t="s">
        <v>63</v>
      </c>
      <c r="N38" s="265" t="s">
        <v>63</v>
      </c>
      <c r="O38" s="265" t="s">
        <v>63</v>
      </c>
      <c r="P38" s="272">
        <f>ifna(vlookup(A38,'Population &amp; Church Numbers'!$A$2211:$D$2246,4,FALSE),"NULL")</f>
        <v>75</v>
      </c>
      <c r="Q38" s="273" t="s">
        <v>63</v>
      </c>
    </row>
    <row r="39">
      <c r="A39" s="217"/>
      <c r="B39" s="218"/>
      <c r="C39" s="219"/>
      <c r="D39" s="220"/>
      <c r="E39" s="220"/>
      <c r="F39" s="220"/>
      <c r="G39" s="220"/>
      <c r="H39" s="221"/>
      <c r="I39" s="222"/>
      <c r="J39" s="223"/>
      <c r="K39" s="219"/>
      <c r="L39" s="224"/>
      <c r="M39" s="225"/>
      <c r="N39" s="226"/>
      <c r="O39" s="220"/>
      <c r="P39" s="221"/>
      <c r="Q39" s="295"/>
    </row>
    <row r="40">
      <c r="A40" s="228" t="s">
        <v>2</v>
      </c>
      <c r="B40" s="229"/>
      <c r="C40" s="1134">
        <f>'OR Data'!B40</f>
        <v>3755</v>
      </c>
      <c r="D40" s="311" t="s">
        <v>63</v>
      </c>
      <c r="E40" s="854">
        <f>'OR Data'!C40</f>
        <v>1697</v>
      </c>
      <c r="F40" s="231">
        <f>'OR Data'!D40</f>
        <v>1960</v>
      </c>
      <c r="G40" s="311" t="s">
        <v>63</v>
      </c>
      <c r="H40" s="977">
        <f>'OR Data'!D142</f>
        <v>2770</v>
      </c>
      <c r="I40" s="237">
        <f>AFCARSCSC!C41</f>
        <v>700</v>
      </c>
      <c r="J40" s="305" t="s">
        <v>63</v>
      </c>
      <c r="K40" s="708" t="s">
        <v>63</v>
      </c>
      <c r="L40" s="359">
        <f>'OR Data'!G40</f>
        <v>1250</v>
      </c>
      <c r="M40" s="360" t="s">
        <v>63</v>
      </c>
      <c r="N40" s="311" t="s">
        <v>63</v>
      </c>
      <c r="O40" s="311" t="s">
        <v>63</v>
      </c>
      <c r="P40" s="233">
        <f>SUM(P3:P38)</f>
        <v>2533</v>
      </c>
      <c r="Q40" s="1092" t="s">
        <v>63</v>
      </c>
    </row>
  </sheetData>
  <autoFilter ref="$A$2:$Q$38"/>
  <mergeCells count="1">
    <mergeCell ref="B1:Q1"/>
  </mergeCells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8.0"/>
    <col customWidth="1" min="9" max="9" width="15.13"/>
    <col customWidth="1" min="11" max="11" width="16.0"/>
  </cols>
  <sheetData>
    <row r="1">
      <c r="A1" s="368" t="s">
        <v>1040</v>
      </c>
      <c r="B1" s="369"/>
      <c r="C1" s="369"/>
      <c r="D1" s="369"/>
      <c r="E1" s="601" t="s">
        <v>765</v>
      </c>
      <c r="F1" s="1212" t="s">
        <v>3978</v>
      </c>
      <c r="G1" s="36"/>
      <c r="H1" s="36"/>
      <c r="I1" s="601" t="s">
        <v>767</v>
      </c>
      <c r="J1" s="1144">
        <v>45448.0</v>
      </c>
      <c r="K1" s="601" t="s">
        <v>769</v>
      </c>
      <c r="L1" s="602">
        <v>45323.0</v>
      </c>
      <c r="M1" s="373"/>
    </row>
    <row r="2">
      <c r="B2" s="1213"/>
      <c r="C2" s="1213"/>
      <c r="D2" s="1213"/>
      <c r="E2" s="1213"/>
      <c r="F2" s="1213"/>
    </row>
    <row r="3">
      <c r="B3" s="784" t="s">
        <v>3979</v>
      </c>
      <c r="C3" s="1214" t="s">
        <v>3497</v>
      </c>
      <c r="D3" s="784" t="s">
        <v>3980</v>
      </c>
      <c r="E3" s="784" t="s">
        <v>3981</v>
      </c>
      <c r="F3" s="784" t="s">
        <v>3504</v>
      </c>
      <c r="G3" s="1215" t="s">
        <v>3982</v>
      </c>
      <c r="H3" s="10"/>
      <c r="I3" s="10"/>
      <c r="J3" s="567"/>
      <c r="K3" s="10"/>
      <c r="L3" s="567"/>
      <c r="M3" s="10"/>
      <c r="N3" s="567"/>
      <c r="O3" s="10"/>
      <c r="P3" s="567"/>
      <c r="Q3" s="10"/>
      <c r="R3" s="567"/>
      <c r="S3" s="10"/>
      <c r="T3" s="567"/>
      <c r="U3" s="10"/>
      <c r="V3" s="567"/>
      <c r="W3" s="10"/>
      <c r="X3" s="567"/>
    </row>
    <row r="4">
      <c r="A4" s="1035" t="s">
        <v>481</v>
      </c>
      <c r="B4" s="1216"/>
      <c r="C4" s="1217"/>
      <c r="D4" s="358"/>
      <c r="E4" s="358"/>
      <c r="F4" s="358"/>
      <c r="G4" s="1218"/>
      <c r="H4" s="567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</row>
    <row r="5">
      <c r="A5" s="1035" t="s">
        <v>243</v>
      </c>
      <c r="B5" s="1033">
        <f t="shared" ref="B5:B6" si="1">sum(C5:F5)</f>
        <v>57</v>
      </c>
      <c r="C5" s="1034">
        <v>42.0</v>
      </c>
      <c r="D5" s="1021">
        <v>15.0</v>
      </c>
      <c r="E5" s="1219"/>
      <c r="F5" s="1021"/>
      <c r="G5" s="1220" t="s">
        <v>2489</v>
      </c>
      <c r="H5" s="1221"/>
      <c r="I5" s="1222"/>
      <c r="J5" s="1223"/>
      <c r="K5" s="1222"/>
      <c r="L5" s="1222"/>
      <c r="M5" s="1222"/>
      <c r="N5" s="1223"/>
      <c r="O5" s="1223"/>
      <c r="P5" s="1222"/>
      <c r="Q5" s="1222"/>
      <c r="R5" s="1222"/>
      <c r="S5" s="1222"/>
      <c r="T5" s="1223"/>
      <c r="U5" s="1223"/>
      <c r="V5" s="1223"/>
      <c r="W5" s="1222"/>
      <c r="X5" s="1222"/>
      <c r="Y5" s="1222"/>
      <c r="Z5" s="1224"/>
      <c r="AA5" s="1223"/>
      <c r="AB5" s="1225"/>
      <c r="AC5" s="1226"/>
      <c r="AD5" s="1227"/>
      <c r="AE5" s="1228"/>
      <c r="AF5" s="1227"/>
      <c r="AG5" s="1229"/>
      <c r="AH5" s="1227"/>
      <c r="AI5" s="1228"/>
      <c r="AJ5" s="1227"/>
      <c r="AK5" s="1228"/>
      <c r="AL5" s="1227"/>
      <c r="AM5" s="1228"/>
      <c r="AN5" s="1227"/>
      <c r="AO5" s="1228"/>
      <c r="AP5" s="1227"/>
      <c r="AQ5" s="1228"/>
      <c r="AR5" s="1227"/>
      <c r="AS5" s="1"/>
      <c r="AT5" s="574"/>
      <c r="AU5" s="1"/>
      <c r="AV5" s="574"/>
      <c r="AW5" s="1"/>
      <c r="AX5" s="574"/>
      <c r="AY5" s="1"/>
      <c r="AZ5" s="574"/>
      <c r="BA5" s="1"/>
      <c r="BB5" s="574"/>
      <c r="BC5" s="1"/>
      <c r="BD5" s="574"/>
      <c r="BE5" s="1"/>
      <c r="BF5" s="574"/>
      <c r="BG5" s="1"/>
      <c r="BH5" s="1"/>
      <c r="BI5" s="1"/>
      <c r="BJ5" s="574"/>
      <c r="BK5" s="1"/>
      <c r="BL5" s="574"/>
      <c r="BM5" s="1"/>
      <c r="BN5" s="574"/>
      <c r="BO5" s="303"/>
      <c r="BP5" s="574"/>
      <c r="BQ5" s="1"/>
      <c r="BR5" s="574"/>
    </row>
    <row r="6">
      <c r="A6" s="1035" t="s">
        <v>1768</v>
      </c>
      <c r="B6" s="208">
        <f t="shared" si="1"/>
        <v>184</v>
      </c>
      <c r="C6" s="208">
        <v>92.0</v>
      </c>
      <c r="D6" s="206">
        <v>85.0</v>
      </c>
      <c r="E6" s="358"/>
      <c r="F6" s="206">
        <v>7.0</v>
      </c>
      <c r="G6" s="1230" t="s">
        <v>2490</v>
      </c>
      <c r="H6" s="572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>
      <c r="A7" s="1035" t="s">
        <v>1769</v>
      </c>
      <c r="B7" s="206"/>
      <c r="C7" s="1217"/>
      <c r="D7" s="358"/>
      <c r="E7" s="358"/>
      <c r="F7" s="358"/>
      <c r="G7" s="1218"/>
      <c r="H7" s="572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>
      <c r="A8" s="1035" t="s">
        <v>258</v>
      </c>
      <c r="B8" s="208">
        <f t="shared" ref="B8:B9" si="2">sum(C8:F8)</f>
        <v>41</v>
      </c>
      <c r="C8" s="208">
        <v>26.0</v>
      </c>
      <c r="D8" s="206">
        <v>15.0</v>
      </c>
      <c r="E8" s="358"/>
      <c r="F8" s="358"/>
      <c r="G8" s="1230" t="s">
        <v>2491</v>
      </c>
      <c r="H8" s="572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>
      <c r="A9" s="1231" t="s">
        <v>1520</v>
      </c>
      <c r="B9" s="208">
        <f t="shared" si="2"/>
        <v>75</v>
      </c>
      <c r="C9" s="208">
        <v>31.0</v>
      </c>
      <c r="D9" s="206">
        <v>44.0</v>
      </c>
      <c r="E9" s="358"/>
      <c r="F9" s="358"/>
      <c r="G9" s="1230" t="s">
        <v>2492</v>
      </c>
      <c r="H9" s="572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>
      <c r="A10" s="1035" t="s">
        <v>1770</v>
      </c>
      <c r="B10" s="206"/>
      <c r="C10" s="1217"/>
      <c r="D10" s="358"/>
      <c r="E10" s="358"/>
      <c r="F10" s="358"/>
      <c r="G10" s="1218"/>
      <c r="H10" s="572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>
      <c r="A11" s="1035" t="s">
        <v>1535</v>
      </c>
      <c r="B11" s="206"/>
      <c r="C11" s="1217"/>
      <c r="D11" s="358"/>
      <c r="E11" s="358"/>
      <c r="F11" s="358"/>
      <c r="G11" s="1218"/>
      <c r="H11" s="572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>
      <c r="A12" s="1035" t="s">
        <v>1771</v>
      </c>
      <c r="B12" s="208">
        <f t="shared" ref="B12:B13" si="3">sum(C12:F12)</f>
        <v>176</v>
      </c>
      <c r="C12" s="208">
        <v>82.0</v>
      </c>
      <c r="D12" s="206">
        <v>94.0</v>
      </c>
      <c r="E12" s="358"/>
      <c r="F12" s="358"/>
      <c r="G12" s="1230" t="s">
        <v>2494</v>
      </c>
    </row>
    <row r="13">
      <c r="A13" s="1035" t="s">
        <v>412</v>
      </c>
      <c r="B13" s="208">
        <f t="shared" si="3"/>
        <v>124</v>
      </c>
      <c r="C13" s="208">
        <v>71.0</v>
      </c>
      <c r="D13" s="206">
        <v>53.0</v>
      </c>
      <c r="E13" s="358"/>
      <c r="F13" s="358"/>
      <c r="G13" s="1230" t="s">
        <v>2495</v>
      </c>
      <c r="H13" s="572"/>
      <c r="I13" s="572"/>
      <c r="J13" s="569"/>
      <c r="K13" s="572"/>
      <c r="L13" s="569"/>
      <c r="M13" s="572"/>
      <c r="N13" s="569"/>
      <c r="O13" s="572"/>
      <c r="P13" s="569"/>
      <c r="Q13" s="572"/>
      <c r="R13" s="569"/>
      <c r="S13" s="572"/>
      <c r="T13" s="569"/>
      <c r="U13" s="572"/>
      <c r="V13" s="569"/>
      <c r="W13" s="572"/>
      <c r="X13" s="569"/>
      <c r="Z13" s="572"/>
      <c r="AA13" s="569"/>
    </row>
    <row r="14">
      <c r="A14" s="1035" t="s">
        <v>1772</v>
      </c>
      <c r="B14" s="206"/>
      <c r="C14" s="1217"/>
      <c r="D14" s="358"/>
      <c r="E14" s="358"/>
      <c r="F14" s="358"/>
      <c r="G14" s="1218"/>
      <c r="H14" s="569"/>
      <c r="I14" s="572"/>
      <c r="J14" s="572"/>
      <c r="K14" s="572"/>
      <c r="L14" s="572"/>
      <c r="M14" s="572"/>
      <c r="N14" s="572"/>
      <c r="O14" s="572"/>
      <c r="P14" s="572"/>
      <c r="Q14" s="572"/>
      <c r="R14" s="572"/>
      <c r="S14" s="572"/>
      <c r="T14" s="572"/>
      <c r="U14" s="572"/>
      <c r="V14" s="572"/>
      <c r="W14" s="572"/>
      <c r="X14" s="572"/>
      <c r="Z14" s="572"/>
      <c r="AA14" s="572"/>
    </row>
    <row r="15">
      <c r="A15" s="1035" t="s">
        <v>278</v>
      </c>
      <c r="B15" s="206"/>
      <c r="C15" s="1217"/>
      <c r="D15" s="358"/>
      <c r="E15" s="358"/>
      <c r="F15" s="358"/>
      <c r="G15" s="1218"/>
      <c r="H15" s="572"/>
      <c r="I15" s="570"/>
      <c r="J15" s="570"/>
      <c r="K15" s="570"/>
      <c r="L15" s="570"/>
      <c r="M15" s="570"/>
      <c r="N15" s="570"/>
      <c r="O15" s="570"/>
      <c r="P15" s="570"/>
      <c r="Q15" s="570"/>
      <c r="R15" s="570"/>
      <c r="S15" s="570"/>
      <c r="T15" s="570"/>
      <c r="U15" s="570"/>
      <c r="V15" s="570"/>
      <c r="W15" s="570"/>
      <c r="X15" s="570"/>
      <c r="Z15" s="570"/>
      <c r="AA15" s="570"/>
    </row>
    <row r="16">
      <c r="A16" s="1035" t="s">
        <v>1773</v>
      </c>
      <c r="B16" s="206"/>
      <c r="C16" s="1217"/>
      <c r="D16" s="358"/>
      <c r="E16" s="358"/>
      <c r="F16" s="358"/>
      <c r="G16" s="1218"/>
      <c r="H16" s="572"/>
      <c r="I16" s="570"/>
      <c r="J16" s="570"/>
      <c r="K16" s="570"/>
      <c r="L16" s="570"/>
      <c r="M16" s="570"/>
      <c r="N16" s="570"/>
      <c r="O16" s="570"/>
      <c r="P16" s="570"/>
      <c r="Q16" s="570"/>
      <c r="R16" s="570"/>
      <c r="S16" s="570"/>
      <c r="T16" s="570"/>
      <c r="U16" s="570"/>
      <c r="V16" s="570"/>
      <c r="W16" s="570"/>
      <c r="X16" s="570"/>
      <c r="Z16" s="570"/>
      <c r="AA16" s="570"/>
    </row>
    <row r="17">
      <c r="A17" s="1035" t="s">
        <v>1774</v>
      </c>
      <c r="B17" s="206"/>
      <c r="C17" s="1217"/>
      <c r="D17" s="358"/>
      <c r="E17" s="358"/>
      <c r="F17" s="358"/>
      <c r="G17" s="1218"/>
      <c r="H17" s="572"/>
      <c r="I17" s="570"/>
      <c r="J17" s="570"/>
      <c r="K17" s="570"/>
      <c r="L17" s="570"/>
      <c r="M17" s="570"/>
      <c r="N17" s="570"/>
      <c r="O17" s="570"/>
      <c r="P17" s="570"/>
      <c r="Q17" s="570"/>
      <c r="R17" s="570"/>
      <c r="S17" s="570"/>
      <c r="T17" s="570"/>
      <c r="U17" s="570"/>
      <c r="V17" s="570"/>
      <c r="W17" s="570"/>
      <c r="X17" s="570"/>
      <c r="Z17" s="570"/>
      <c r="AA17" s="570"/>
    </row>
    <row r="18">
      <c r="A18" s="1035" t="s">
        <v>142</v>
      </c>
      <c r="B18" s="208">
        <f t="shared" ref="B18:B21" si="4">sum(C18:F18)</f>
        <v>294</v>
      </c>
      <c r="C18" s="208">
        <v>89.0</v>
      </c>
      <c r="D18" s="206">
        <v>198.0</v>
      </c>
      <c r="E18" s="206"/>
      <c r="F18" s="206">
        <v>7.0</v>
      </c>
      <c r="G18" s="1230" t="s">
        <v>2496</v>
      </c>
      <c r="H18" s="572"/>
      <c r="I18" s="570"/>
      <c r="J18" s="570"/>
      <c r="K18" s="570"/>
      <c r="L18" s="570"/>
      <c r="M18" s="570"/>
      <c r="N18" s="570"/>
      <c r="O18" s="570"/>
      <c r="P18" s="570"/>
      <c r="Q18" s="570"/>
      <c r="R18" s="570"/>
      <c r="S18" s="570"/>
      <c r="T18" s="570"/>
      <c r="U18" s="570"/>
      <c r="V18" s="570"/>
      <c r="W18" s="570"/>
      <c r="X18" s="570"/>
      <c r="Z18" s="570"/>
      <c r="AA18" s="570"/>
    </row>
    <row r="19">
      <c r="A19" s="1035" t="s">
        <v>143</v>
      </c>
      <c r="B19" s="208">
        <f t="shared" si="4"/>
        <v>35</v>
      </c>
      <c r="C19" s="208">
        <v>13.0</v>
      </c>
      <c r="D19" s="206">
        <v>22.0</v>
      </c>
      <c r="E19" s="358"/>
      <c r="F19" s="358"/>
      <c r="G19" s="1230" t="s">
        <v>2497</v>
      </c>
      <c r="H19" s="572"/>
      <c r="I19" s="570"/>
      <c r="J19" s="570"/>
      <c r="K19" s="570"/>
      <c r="L19" s="570"/>
      <c r="M19" s="570"/>
      <c r="N19" s="570"/>
      <c r="O19" s="570"/>
      <c r="P19" s="570"/>
      <c r="Q19" s="570"/>
      <c r="R19" s="570"/>
      <c r="S19" s="570"/>
      <c r="T19" s="570"/>
      <c r="U19" s="570"/>
      <c r="V19" s="570"/>
      <c r="W19" s="570"/>
      <c r="X19" s="570"/>
      <c r="Z19" s="570"/>
      <c r="AA19" s="570"/>
    </row>
    <row r="20">
      <c r="A20" s="1035" t="s">
        <v>1775</v>
      </c>
      <c r="B20" s="208">
        <f t="shared" si="4"/>
        <v>73</v>
      </c>
      <c r="C20" s="208">
        <v>43.0</v>
      </c>
      <c r="D20" s="206">
        <v>30.0</v>
      </c>
      <c r="E20" s="358"/>
      <c r="F20" s="358"/>
      <c r="G20" s="1230" t="s">
        <v>2498</v>
      </c>
      <c r="H20" s="572"/>
      <c r="I20" s="570"/>
      <c r="J20" s="570"/>
      <c r="K20" s="570"/>
      <c r="L20" s="570"/>
      <c r="M20" s="570"/>
      <c r="N20" s="570"/>
      <c r="O20" s="570"/>
      <c r="P20" s="570"/>
      <c r="Q20" s="570"/>
      <c r="R20" s="570"/>
      <c r="S20" s="570"/>
      <c r="T20" s="570"/>
      <c r="U20" s="570"/>
      <c r="V20" s="570"/>
      <c r="W20" s="570"/>
      <c r="X20" s="570"/>
      <c r="Z20" s="570"/>
      <c r="AA20" s="570"/>
    </row>
    <row r="21">
      <c r="A21" s="1035" t="s">
        <v>1776</v>
      </c>
      <c r="B21" s="208">
        <f t="shared" si="4"/>
        <v>126</v>
      </c>
      <c r="C21" s="208">
        <v>70.0</v>
      </c>
      <c r="D21" s="206">
        <v>56.0</v>
      </c>
      <c r="E21" s="358"/>
      <c r="F21" s="358"/>
      <c r="G21" s="1230" t="s">
        <v>2499</v>
      </c>
      <c r="H21" s="572"/>
      <c r="I21" s="570"/>
      <c r="J21" s="570"/>
      <c r="K21" s="570"/>
      <c r="L21" s="570"/>
      <c r="M21" s="570"/>
      <c r="N21" s="570"/>
      <c r="O21" s="570"/>
      <c r="P21" s="570"/>
      <c r="Q21" s="570"/>
      <c r="R21" s="570"/>
      <c r="S21" s="570"/>
      <c r="T21" s="570"/>
      <c r="U21" s="570"/>
      <c r="V21" s="570"/>
      <c r="W21" s="570"/>
      <c r="X21" s="570"/>
      <c r="Z21" s="570"/>
      <c r="AA21" s="570"/>
    </row>
    <row r="22">
      <c r="A22" s="1231" t="s">
        <v>337</v>
      </c>
      <c r="B22" s="206"/>
      <c r="C22" s="208"/>
      <c r="D22" s="206"/>
      <c r="E22" s="358"/>
      <c r="F22" s="206"/>
      <c r="G22" s="1218"/>
    </row>
    <row r="23">
      <c r="A23" s="1035" t="s">
        <v>986</v>
      </c>
      <c r="B23" s="208">
        <f t="shared" ref="B23:B25" si="5">sum(C23:F23)</f>
        <v>557</v>
      </c>
      <c r="C23" s="208">
        <v>214.0</v>
      </c>
      <c r="D23" s="206">
        <v>316.0</v>
      </c>
      <c r="E23" s="358"/>
      <c r="F23" s="206">
        <v>27.0</v>
      </c>
      <c r="G23" s="1230" t="s">
        <v>2500</v>
      </c>
      <c r="H23" s="572"/>
      <c r="I23" s="572"/>
      <c r="J23" s="569"/>
      <c r="K23" s="572"/>
      <c r="L23" s="569"/>
      <c r="M23" s="572"/>
      <c r="N23" s="569"/>
      <c r="O23" s="572"/>
      <c r="P23" s="569"/>
      <c r="Q23" s="572"/>
      <c r="R23" s="569"/>
      <c r="S23" s="572"/>
      <c r="T23" s="569"/>
      <c r="U23" s="572"/>
      <c r="V23" s="569"/>
      <c r="W23" s="572"/>
      <c r="X23" s="569"/>
      <c r="Y23" s="571"/>
      <c r="Z23" s="571"/>
      <c r="AA23" s="571"/>
      <c r="AB23" s="571"/>
      <c r="AC23" s="571"/>
      <c r="AD23" s="571"/>
    </row>
    <row r="24">
      <c r="A24" s="1035" t="s">
        <v>290</v>
      </c>
      <c r="B24" s="208">
        <f t="shared" si="5"/>
        <v>58</v>
      </c>
      <c r="C24" s="208">
        <v>29.0</v>
      </c>
      <c r="D24" s="206">
        <v>29.0</v>
      </c>
      <c r="E24" s="358"/>
      <c r="F24" s="358"/>
      <c r="G24" s="1230" t="s">
        <v>2501</v>
      </c>
      <c r="H24" s="569"/>
      <c r="I24" s="572"/>
      <c r="J24" s="572"/>
      <c r="K24" s="572"/>
      <c r="L24" s="572"/>
      <c r="M24" s="572"/>
      <c r="N24" s="572"/>
      <c r="O24" s="572"/>
      <c r="P24" s="572"/>
      <c r="Q24" s="572"/>
      <c r="R24" s="572"/>
      <c r="S24" s="572"/>
      <c r="T24" s="572"/>
      <c r="U24" s="572"/>
      <c r="V24" s="572"/>
      <c r="W24" s="572"/>
      <c r="X24" s="572"/>
      <c r="Y24" s="571"/>
      <c r="Z24" s="571"/>
      <c r="AA24" s="571"/>
      <c r="AB24" s="571"/>
      <c r="AC24" s="571"/>
      <c r="AD24" s="571"/>
    </row>
    <row r="25">
      <c r="A25" s="1035" t="s">
        <v>907</v>
      </c>
      <c r="B25" s="208">
        <f t="shared" si="5"/>
        <v>149</v>
      </c>
      <c r="C25" s="208">
        <v>88.0</v>
      </c>
      <c r="D25" s="206">
        <v>61.0</v>
      </c>
      <c r="E25" s="358"/>
      <c r="F25" s="358"/>
      <c r="G25" s="1230" t="s">
        <v>2502</v>
      </c>
      <c r="H25" s="572"/>
      <c r="I25" s="570"/>
      <c r="J25" s="570"/>
      <c r="K25" s="570"/>
      <c r="L25" s="570"/>
      <c r="M25" s="570"/>
      <c r="N25" s="570"/>
      <c r="O25" s="570"/>
      <c r="P25" s="570"/>
      <c r="Q25" s="570"/>
      <c r="R25" s="570"/>
      <c r="S25" s="570"/>
      <c r="T25" s="570"/>
      <c r="U25" s="570"/>
      <c r="V25" s="570"/>
      <c r="W25" s="570"/>
      <c r="X25" s="570"/>
      <c r="Y25" s="571"/>
      <c r="Z25" s="571"/>
      <c r="AA25" s="571"/>
      <c r="AB25" s="571"/>
      <c r="AC25" s="571"/>
      <c r="AD25" s="571"/>
    </row>
    <row r="26">
      <c r="A26" s="1035" t="s">
        <v>1777</v>
      </c>
      <c r="B26" s="206"/>
      <c r="C26" s="1217"/>
      <c r="D26" s="358"/>
      <c r="E26" s="358"/>
      <c r="F26" s="358"/>
      <c r="G26" s="1218"/>
      <c r="H26" s="572"/>
      <c r="I26" s="570"/>
      <c r="J26" s="570"/>
      <c r="K26" s="570"/>
      <c r="L26" s="570"/>
      <c r="M26" s="570"/>
      <c r="N26" s="570"/>
      <c r="O26" s="570"/>
      <c r="P26" s="570"/>
      <c r="Q26" s="570"/>
      <c r="R26" s="570"/>
      <c r="S26" s="570"/>
      <c r="T26" s="570"/>
      <c r="U26" s="570"/>
      <c r="V26" s="570"/>
      <c r="W26" s="570"/>
      <c r="X26" s="570"/>
      <c r="Y26" s="571"/>
      <c r="Z26" s="571"/>
      <c r="AA26" s="571"/>
      <c r="AB26" s="571"/>
      <c r="AC26" s="571"/>
      <c r="AD26" s="571"/>
    </row>
    <row r="27">
      <c r="A27" s="1035" t="s">
        <v>153</v>
      </c>
      <c r="B27" s="208">
        <f>sum(C27:F27)</f>
        <v>233</v>
      </c>
      <c r="C27" s="208">
        <v>112.0</v>
      </c>
      <c r="D27" s="206">
        <v>107.0</v>
      </c>
      <c r="E27" s="358"/>
      <c r="F27" s="206">
        <v>14.0</v>
      </c>
      <c r="G27" s="1230" t="s">
        <v>2503</v>
      </c>
      <c r="H27" s="572"/>
      <c r="I27" s="570"/>
      <c r="J27" s="570"/>
      <c r="K27" s="570"/>
      <c r="L27" s="570"/>
      <c r="M27" s="570"/>
      <c r="N27" s="570"/>
      <c r="O27" s="570"/>
      <c r="P27" s="570"/>
      <c r="Q27" s="570"/>
      <c r="R27" s="570"/>
      <c r="S27" s="570"/>
      <c r="T27" s="570"/>
      <c r="U27" s="570"/>
      <c r="V27" s="570"/>
      <c r="W27" s="570"/>
      <c r="X27" s="570"/>
      <c r="Y27" s="571"/>
      <c r="Z27" s="571"/>
      <c r="AA27" s="571"/>
      <c r="AB27" s="571"/>
      <c r="AC27" s="571"/>
      <c r="AD27" s="571"/>
    </row>
    <row r="28">
      <c r="A28" s="1035" t="s">
        <v>1691</v>
      </c>
      <c r="B28" s="206"/>
      <c r="C28" s="1217"/>
      <c r="D28" s="358"/>
      <c r="E28" s="358"/>
      <c r="F28" s="358"/>
      <c r="G28" s="1218"/>
      <c r="H28" s="572"/>
      <c r="I28" s="570"/>
      <c r="J28" s="570"/>
      <c r="K28" s="570"/>
      <c r="L28" s="570"/>
      <c r="M28" s="570"/>
      <c r="N28" s="570"/>
      <c r="O28" s="570"/>
      <c r="P28" s="570"/>
      <c r="Q28" s="570"/>
      <c r="R28" s="570"/>
      <c r="S28" s="570"/>
      <c r="T28" s="570"/>
      <c r="U28" s="570"/>
      <c r="V28" s="570"/>
      <c r="W28" s="570"/>
      <c r="X28" s="570"/>
      <c r="Y28" s="571"/>
      <c r="Z28" s="571"/>
      <c r="AA28" s="571"/>
      <c r="AB28" s="571"/>
      <c r="AC28" s="571"/>
      <c r="AD28" s="571"/>
    </row>
    <row r="29">
      <c r="A29" s="1035" t="s">
        <v>511</v>
      </c>
      <c r="B29" s="208">
        <f t="shared" ref="B29:B30" si="6">sum(C29:F29)</f>
        <v>652</v>
      </c>
      <c r="C29" s="208">
        <v>302.0</v>
      </c>
      <c r="D29" s="206">
        <v>338.0</v>
      </c>
      <c r="E29" s="358"/>
      <c r="F29" s="206">
        <v>12.0</v>
      </c>
      <c r="G29" s="1230" t="s">
        <v>2504</v>
      </c>
      <c r="H29" s="572"/>
      <c r="I29" s="570"/>
      <c r="J29" s="570"/>
      <c r="K29" s="570"/>
      <c r="L29" s="570"/>
      <c r="M29" s="570"/>
      <c r="N29" s="570"/>
      <c r="O29" s="570"/>
      <c r="P29" s="570"/>
      <c r="Q29" s="570"/>
      <c r="R29" s="570"/>
      <c r="S29" s="570"/>
      <c r="T29" s="570"/>
      <c r="U29" s="570"/>
      <c r="V29" s="570"/>
      <c r="W29" s="570"/>
      <c r="X29" s="570"/>
      <c r="Y29" s="571"/>
      <c r="Z29" s="571"/>
      <c r="AA29" s="571"/>
      <c r="AB29" s="571"/>
      <c r="AC29" s="571"/>
      <c r="AD29" s="571"/>
    </row>
    <row r="30">
      <c r="A30" s="1231" t="s">
        <v>302</v>
      </c>
      <c r="B30" s="208">
        <f t="shared" si="6"/>
        <v>74</v>
      </c>
      <c r="C30" s="208">
        <v>24.0</v>
      </c>
      <c r="D30" s="206">
        <v>50.0</v>
      </c>
      <c r="E30" s="358"/>
      <c r="F30" s="358"/>
      <c r="G30" s="1230" t="s">
        <v>2505</v>
      </c>
      <c r="H30" s="572"/>
      <c r="I30" s="570"/>
      <c r="J30" s="570"/>
      <c r="K30" s="570"/>
      <c r="L30" s="570"/>
      <c r="M30" s="570"/>
      <c r="N30" s="570"/>
      <c r="O30" s="570"/>
      <c r="P30" s="570"/>
      <c r="Q30" s="570"/>
      <c r="R30" s="570"/>
      <c r="S30" s="570"/>
      <c r="T30" s="570"/>
      <c r="U30" s="570"/>
      <c r="V30" s="570"/>
      <c r="W30" s="570"/>
      <c r="X30" s="570"/>
      <c r="Y30" s="571"/>
      <c r="Z30" s="571"/>
      <c r="AA30" s="571"/>
      <c r="AB30" s="571"/>
      <c r="AC30" s="571"/>
      <c r="AD30" s="571"/>
    </row>
    <row r="31">
      <c r="A31" s="1035" t="s">
        <v>1011</v>
      </c>
      <c r="B31" s="206"/>
      <c r="C31" s="1217"/>
      <c r="D31" s="358"/>
      <c r="E31" s="358"/>
      <c r="F31" s="358"/>
      <c r="G31" s="1218"/>
      <c r="H31" s="572"/>
      <c r="I31" s="570"/>
      <c r="J31" s="570"/>
      <c r="K31" s="570"/>
      <c r="L31" s="570"/>
      <c r="M31" s="570"/>
      <c r="N31" s="570"/>
      <c r="O31" s="570"/>
      <c r="P31" s="570"/>
      <c r="Q31" s="570"/>
      <c r="R31" s="570"/>
      <c r="S31" s="570"/>
      <c r="T31" s="570"/>
      <c r="U31" s="570"/>
      <c r="V31" s="570"/>
      <c r="W31" s="570"/>
      <c r="X31" s="570"/>
      <c r="Y31" s="571"/>
      <c r="Z31" s="571"/>
      <c r="AA31" s="571"/>
      <c r="AB31" s="571"/>
      <c r="AC31" s="571"/>
      <c r="AD31" s="571"/>
    </row>
    <row r="32">
      <c r="A32" s="1231" t="s">
        <v>1778</v>
      </c>
      <c r="B32" s="206"/>
      <c r="C32" s="1217"/>
      <c r="D32" s="358"/>
      <c r="E32" s="358"/>
      <c r="F32" s="358"/>
      <c r="G32" s="1218"/>
      <c r="H32" s="571"/>
      <c r="I32" s="571"/>
      <c r="J32" s="571"/>
      <c r="K32" s="571"/>
      <c r="L32" s="571"/>
      <c r="M32" s="571"/>
      <c r="N32" s="571"/>
      <c r="O32" s="571"/>
      <c r="P32" s="571"/>
      <c r="Q32" s="1232"/>
      <c r="R32" s="1232"/>
      <c r="S32" s="1232"/>
      <c r="T32" s="1232"/>
      <c r="U32" s="571"/>
      <c r="V32" s="571"/>
      <c r="W32" s="571"/>
      <c r="X32" s="571"/>
      <c r="Y32" s="571"/>
      <c r="Z32" s="571"/>
      <c r="AA32" s="571"/>
      <c r="AB32" s="571"/>
      <c r="AC32" s="571"/>
      <c r="AD32" s="571"/>
    </row>
    <row r="33">
      <c r="A33" s="1035" t="s">
        <v>1779</v>
      </c>
      <c r="B33" s="208">
        <f>sum(C33:F33)</f>
        <v>130</v>
      </c>
      <c r="C33" s="208">
        <v>56.0</v>
      </c>
      <c r="D33" s="206">
        <v>74.0</v>
      </c>
      <c r="E33" s="358"/>
      <c r="F33" s="358"/>
      <c r="G33" s="1230" t="s">
        <v>2506</v>
      </c>
      <c r="H33" s="572"/>
      <c r="I33" s="572"/>
      <c r="J33" s="569"/>
      <c r="K33" s="572"/>
      <c r="L33" s="569"/>
      <c r="M33" s="572"/>
      <c r="N33" s="569"/>
      <c r="O33" s="572"/>
      <c r="P33" s="569"/>
      <c r="Q33" s="572"/>
      <c r="R33" s="569"/>
      <c r="S33" s="572"/>
      <c r="T33" s="569"/>
      <c r="U33" s="572"/>
      <c r="V33" s="569"/>
      <c r="W33" s="572"/>
      <c r="X33" s="569"/>
      <c r="Y33" s="571"/>
      <c r="Z33" s="571"/>
      <c r="AA33" s="571"/>
      <c r="AB33" s="571"/>
      <c r="AC33" s="571"/>
      <c r="AD33" s="571"/>
    </row>
    <row r="34">
      <c r="A34" s="1035" t="s">
        <v>316</v>
      </c>
      <c r="B34" s="206"/>
      <c r="C34" s="1217"/>
      <c r="D34" s="358"/>
      <c r="E34" s="358"/>
      <c r="F34" s="358"/>
      <c r="G34" s="1218"/>
      <c r="H34" s="569"/>
      <c r="I34" s="572"/>
      <c r="J34" s="572"/>
      <c r="K34" s="572"/>
      <c r="L34" s="572"/>
      <c r="M34" s="572"/>
      <c r="N34" s="572"/>
      <c r="O34" s="572"/>
      <c r="P34" s="572"/>
      <c r="Q34" s="572"/>
      <c r="R34" s="572"/>
      <c r="S34" s="572"/>
      <c r="T34" s="572"/>
      <c r="U34" s="572"/>
      <c r="V34" s="572"/>
      <c r="W34" s="572"/>
      <c r="X34" s="572"/>
      <c r="Y34" s="571"/>
      <c r="Z34" s="571"/>
      <c r="AA34" s="571"/>
      <c r="AB34" s="571"/>
      <c r="AC34" s="571"/>
      <c r="AD34" s="571"/>
    </row>
    <row r="35">
      <c r="A35" s="1035" t="s">
        <v>1780</v>
      </c>
      <c r="B35" s="206"/>
      <c r="C35" s="1217"/>
      <c r="D35" s="358"/>
      <c r="E35" s="358"/>
      <c r="F35" s="358"/>
      <c r="G35" s="1218"/>
      <c r="H35" s="572"/>
      <c r="I35" s="570"/>
      <c r="J35" s="570"/>
      <c r="K35" s="570"/>
      <c r="L35" s="570"/>
      <c r="M35" s="570"/>
      <c r="N35" s="570"/>
      <c r="O35" s="570"/>
      <c r="P35" s="570"/>
      <c r="Q35" s="570"/>
      <c r="R35" s="570"/>
      <c r="S35" s="570"/>
      <c r="T35" s="570"/>
      <c r="U35" s="570"/>
      <c r="V35" s="570"/>
      <c r="W35" s="570"/>
      <c r="X35" s="570"/>
      <c r="Y35" s="570"/>
      <c r="Z35" s="570"/>
      <c r="AA35" s="571"/>
      <c r="AB35" s="571"/>
      <c r="AC35" s="571"/>
      <c r="AD35" s="571"/>
    </row>
    <row r="36">
      <c r="A36" s="1035" t="s">
        <v>1781</v>
      </c>
      <c r="B36" s="206"/>
      <c r="C36" s="1217"/>
      <c r="D36" s="358"/>
      <c r="E36" s="358"/>
      <c r="F36" s="358"/>
      <c r="G36" s="1218"/>
      <c r="H36" s="572"/>
      <c r="I36" s="570"/>
      <c r="J36" s="570"/>
      <c r="K36" s="570"/>
      <c r="L36" s="570"/>
      <c r="M36" s="570"/>
      <c r="N36" s="570"/>
      <c r="O36" s="570"/>
      <c r="P36" s="570"/>
      <c r="Q36" s="570"/>
      <c r="R36" s="570"/>
      <c r="S36" s="570"/>
      <c r="T36" s="570"/>
      <c r="U36" s="570"/>
      <c r="V36" s="570"/>
      <c r="W36" s="570"/>
      <c r="X36" s="570"/>
      <c r="Y36" s="570"/>
      <c r="Z36" s="570"/>
      <c r="AA36" s="571"/>
      <c r="AB36" s="571"/>
      <c r="AC36" s="571"/>
      <c r="AD36" s="571"/>
    </row>
    <row r="37">
      <c r="A37" s="1035" t="s">
        <v>119</v>
      </c>
      <c r="B37" s="208">
        <f>sum(C37:F37)</f>
        <v>225</v>
      </c>
      <c r="C37" s="208">
        <v>95.0</v>
      </c>
      <c r="D37" s="206">
        <v>130.0</v>
      </c>
      <c r="E37" s="358"/>
      <c r="F37" s="358"/>
      <c r="G37" s="1230" t="s">
        <v>2507</v>
      </c>
      <c r="H37" s="572"/>
      <c r="I37" s="570"/>
      <c r="J37" s="570"/>
      <c r="K37" s="570"/>
      <c r="L37" s="570"/>
      <c r="M37" s="570"/>
      <c r="N37" s="570"/>
      <c r="O37" s="570"/>
      <c r="P37" s="570"/>
      <c r="Q37" s="570"/>
      <c r="R37" s="570"/>
      <c r="S37" s="570"/>
      <c r="T37" s="570"/>
      <c r="U37" s="570"/>
      <c r="V37" s="570"/>
      <c r="W37" s="570"/>
      <c r="X37" s="570"/>
      <c r="Y37" s="570"/>
      <c r="Z37" s="570"/>
      <c r="AA37" s="571"/>
      <c r="AB37" s="571"/>
      <c r="AC37" s="571"/>
      <c r="AD37" s="571"/>
    </row>
    <row r="38">
      <c r="A38" s="1035" t="s">
        <v>649</v>
      </c>
      <c r="B38" s="206"/>
      <c r="C38" s="1217"/>
      <c r="D38" s="358"/>
      <c r="E38" s="358"/>
      <c r="F38" s="358"/>
      <c r="G38" s="1218"/>
      <c r="H38" s="572"/>
      <c r="I38" s="570"/>
      <c r="J38" s="570"/>
      <c r="K38" s="570"/>
      <c r="L38" s="570"/>
      <c r="M38" s="570"/>
      <c r="N38" s="570"/>
      <c r="O38" s="570"/>
      <c r="P38" s="570"/>
      <c r="Q38" s="570"/>
      <c r="R38" s="570"/>
      <c r="S38" s="570"/>
      <c r="T38" s="570"/>
      <c r="U38" s="570"/>
      <c r="V38" s="570"/>
      <c r="W38" s="570"/>
      <c r="X38" s="570"/>
      <c r="Y38" s="570"/>
      <c r="Z38" s="570"/>
      <c r="AA38" s="571"/>
      <c r="AB38" s="571"/>
      <c r="AC38" s="571"/>
      <c r="AD38" s="571"/>
    </row>
    <row r="39">
      <c r="A39" s="1035" t="s">
        <v>1782</v>
      </c>
      <c r="B39" s="208">
        <f t="shared" ref="B39:B40" si="7">sum(C39:F39)</f>
        <v>63</v>
      </c>
      <c r="C39" s="208">
        <v>29.0</v>
      </c>
      <c r="D39" s="206">
        <v>34.0</v>
      </c>
      <c r="E39" s="358"/>
      <c r="F39" s="358"/>
      <c r="G39" s="1230" t="s">
        <v>2508</v>
      </c>
      <c r="H39" s="572"/>
      <c r="I39" s="570"/>
      <c r="J39" s="570"/>
      <c r="K39" s="570"/>
      <c r="L39" s="570"/>
      <c r="M39" s="570"/>
      <c r="N39" s="570"/>
      <c r="O39" s="570"/>
      <c r="P39" s="570"/>
      <c r="Q39" s="570"/>
      <c r="R39" s="570"/>
      <c r="S39" s="570"/>
      <c r="T39" s="570"/>
      <c r="U39" s="570"/>
      <c r="V39" s="570"/>
      <c r="W39" s="570"/>
      <c r="X39" s="570"/>
      <c r="Y39" s="570"/>
      <c r="Z39" s="570"/>
      <c r="AA39" s="571"/>
      <c r="AB39" s="571"/>
      <c r="AC39" s="571"/>
      <c r="AD39" s="571"/>
    </row>
    <row r="40">
      <c r="A40" s="784" t="s">
        <v>1870</v>
      </c>
      <c r="B40" s="208">
        <f t="shared" si="7"/>
        <v>3755</v>
      </c>
      <c r="C40" s="208">
        <v>1697.0</v>
      </c>
      <c r="D40" s="1130">
        <v>1960.0</v>
      </c>
      <c r="E40" s="358"/>
      <c r="F40" s="358">
        <f>79+19</f>
        <v>98</v>
      </c>
      <c r="G40" s="1130">
        <v>1250.0</v>
      </c>
      <c r="H40" s="572"/>
      <c r="I40" s="570"/>
      <c r="J40" s="570"/>
      <c r="K40" s="570"/>
      <c r="L40" s="570"/>
      <c r="M40" s="570"/>
      <c r="N40" s="570"/>
      <c r="O40" s="570"/>
      <c r="P40" s="570"/>
      <c r="Q40" s="570"/>
      <c r="R40" s="570"/>
      <c r="S40" s="570"/>
      <c r="T40" s="570"/>
      <c r="U40" s="570"/>
      <c r="V40" s="570"/>
      <c r="W40" s="570"/>
      <c r="X40" s="570"/>
      <c r="Y40" s="570"/>
      <c r="Z40" s="570"/>
      <c r="AA40" s="571"/>
      <c r="AB40" s="571"/>
      <c r="AC40" s="571"/>
      <c r="AD40" s="571"/>
    </row>
    <row r="41">
      <c r="C41" s="418"/>
      <c r="H41" s="572"/>
      <c r="I41" s="570"/>
      <c r="J41" s="570"/>
      <c r="K41" s="570"/>
      <c r="L41" s="570"/>
      <c r="M41" s="570"/>
      <c r="N41" s="570"/>
      <c r="O41" s="570"/>
      <c r="P41" s="570"/>
      <c r="Q41" s="570"/>
      <c r="R41" s="570"/>
      <c r="S41" s="570"/>
      <c r="T41" s="570"/>
      <c r="U41" s="570"/>
      <c r="V41" s="570"/>
      <c r="W41" s="570"/>
      <c r="X41" s="570"/>
      <c r="Y41" s="570"/>
      <c r="Z41" s="570"/>
      <c r="AA41" s="571"/>
      <c r="AB41" s="571"/>
      <c r="AC41" s="571"/>
      <c r="AD41" s="571"/>
    </row>
    <row r="42">
      <c r="C42" s="418"/>
      <c r="H42" s="571"/>
      <c r="I42" s="571"/>
      <c r="J42" s="571"/>
      <c r="K42" s="571"/>
      <c r="L42" s="571"/>
      <c r="M42" s="571"/>
      <c r="N42" s="571"/>
      <c r="O42" s="571"/>
      <c r="P42" s="571"/>
      <c r="Q42" s="571"/>
      <c r="R42" s="571"/>
      <c r="S42" s="571"/>
      <c r="T42" s="571"/>
      <c r="U42" s="571"/>
      <c r="V42" s="571"/>
      <c r="W42" s="571"/>
      <c r="X42" s="571"/>
      <c r="Y42" s="571"/>
      <c r="Z42" s="571"/>
      <c r="AA42" s="571"/>
      <c r="AB42" s="571"/>
      <c r="AC42" s="571"/>
      <c r="AD42" s="571"/>
    </row>
    <row r="43">
      <c r="C43" s="418"/>
      <c r="H43" s="572"/>
      <c r="I43" s="572"/>
      <c r="J43" s="569"/>
      <c r="K43" s="572"/>
      <c r="L43" s="569"/>
      <c r="M43" s="572"/>
      <c r="N43" s="569"/>
      <c r="O43" s="572"/>
      <c r="P43" s="569"/>
    </row>
    <row r="44">
      <c r="C44" s="418"/>
      <c r="H44" s="569"/>
      <c r="I44" s="572"/>
      <c r="J44" s="572"/>
      <c r="K44" s="572"/>
      <c r="L44" s="572"/>
      <c r="M44" s="572"/>
      <c r="N44" s="572"/>
      <c r="O44" s="572"/>
      <c r="P44" s="572"/>
    </row>
    <row r="45">
      <c r="C45" s="418"/>
      <c r="H45" s="572"/>
      <c r="I45" s="570"/>
      <c r="J45" s="570"/>
      <c r="K45" s="570"/>
      <c r="L45" s="570"/>
      <c r="M45" s="570"/>
      <c r="N45" s="570"/>
      <c r="O45" s="1233"/>
      <c r="P45" s="570"/>
    </row>
    <row r="46">
      <c r="C46" s="418"/>
      <c r="H46" s="572"/>
      <c r="I46" s="570"/>
      <c r="J46" s="570"/>
      <c r="K46" s="570"/>
      <c r="L46" s="570"/>
      <c r="M46" s="570"/>
      <c r="N46" s="570"/>
      <c r="O46" s="570"/>
      <c r="P46" s="570"/>
    </row>
    <row r="47">
      <c r="C47" s="418"/>
      <c r="H47" s="572"/>
      <c r="I47" s="570"/>
      <c r="J47" s="570"/>
      <c r="K47" s="570"/>
      <c r="L47" s="570"/>
      <c r="M47" s="570"/>
      <c r="N47" s="570"/>
      <c r="O47" s="570"/>
      <c r="P47" s="570"/>
    </row>
    <row r="48">
      <c r="C48" s="418"/>
      <c r="H48" s="572"/>
      <c r="I48" s="570"/>
      <c r="J48" s="570"/>
      <c r="K48" s="570"/>
      <c r="L48" s="570"/>
      <c r="M48" s="570"/>
      <c r="N48" s="570"/>
      <c r="O48" s="570"/>
      <c r="P48" s="570"/>
    </row>
    <row r="49">
      <c r="C49" s="418"/>
      <c r="H49" s="572"/>
      <c r="I49" s="570"/>
      <c r="J49" s="570"/>
      <c r="K49" s="570"/>
      <c r="L49" s="570"/>
      <c r="M49" s="570"/>
      <c r="N49" s="570"/>
      <c r="O49" s="570"/>
      <c r="P49" s="570"/>
    </row>
    <row r="50">
      <c r="C50" s="418"/>
      <c r="H50" s="572"/>
      <c r="I50" s="570"/>
      <c r="J50" s="570"/>
      <c r="K50" s="570"/>
      <c r="L50" s="570"/>
      <c r="M50" s="570"/>
      <c r="N50" s="570"/>
      <c r="O50" s="570"/>
      <c r="P50" s="570"/>
    </row>
    <row r="51">
      <c r="C51" s="418"/>
      <c r="H51" s="572"/>
      <c r="I51" s="570"/>
      <c r="J51" s="570"/>
      <c r="K51" s="570"/>
      <c r="L51" s="570"/>
      <c r="M51" s="570"/>
      <c r="N51" s="570"/>
      <c r="O51" s="570"/>
      <c r="P51" s="570"/>
    </row>
    <row r="52">
      <c r="C52" s="418"/>
    </row>
    <row r="53">
      <c r="C53" s="1234"/>
    </row>
    <row r="54">
      <c r="C54" s="1234"/>
    </row>
    <row r="55">
      <c r="C55" s="1234"/>
    </row>
    <row r="56">
      <c r="C56" s="1234"/>
    </row>
    <row r="57">
      <c r="C57" s="1234"/>
    </row>
    <row r="58">
      <c r="C58" s="1234"/>
    </row>
    <row r="59">
      <c r="C59" s="1234"/>
    </row>
    <row r="60">
      <c r="C60" s="1234"/>
    </row>
    <row r="101">
      <c r="A101" s="368" t="s">
        <v>852</v>
      </c>
      <c r="B101" s="369"/>
      <c r="C101" s="369"/>
      <c r="D101" s="369"/>
      <c r="E101" s="601" t="s">
        <v>765</v>
      </c>
      <c r="F101" s="1212" t="s">
        <v>3978</v>
      </c>
      <c r="G101" s="36"/>
      <c r="H101" s="36"/>
      <c r="I101" s="601" t="s">
        <v>767</v>
      </c>
      <c r="J101" s="1144">
        <v>45448.0</v>
      </c>
      <c r="K101" s="601" t="s">
        <v>769</v>
      </c>
      <c r="L101" s="1144">
        <v>44834.0</v>
      </c>
      <c r="M101" s="373"/>
    </row>
    <row r="102">
      <c r="A102" s="1" t="s">
        <v>3983</v>
      </c>
    </row>
    <row r="103">
      <c r="A103" s="1" t="s">
        <v>3984</v>
      </c>
    </row>
    <row r="104">
      <c r="A104" s="1235"/>
      <c r="B104" s="1236" t="s">
        <v>3985</v>
      </c>
      <c r="C104" s="1237" t="s">
        <v>3986</v>
      </c>
      <c r="D104" s="1238"/>
    </row>
    <row r="105">
      <c r="A105" s="1239" t="s">
        <v>172</v>
      </c>
      <c r="B105" s="1239" t="s">
        <v>3987</v>
      </c>
      <c r="C105" s="1240" t="s">
        <v>3987</v>
      </c>
      <c r="D105" s="1241" t="s">
        <v>3988</v>
      </c>
    </row>
    <row r="106">
      <c r="A106" s="784" t="s">
        <v>481</v>
      </c>
      <c r="B106" s="206"/>
      <c r="C106" s="206"/>
      <c r="D106" s="206">
        <v>18.0</v>
      </c>
    </row>
    <row r="107">
      <c r="A107" s="784" t="s">
        <v>243</v>
      </c>
      <c r="B107" s="206"/>
      <c r="C107" s="206"/>
      <c r="D107" s="206">
        <v>34.0</v>
      </c>
    </row>
    <row r="108">
      <c r="A108" s="784" t="s">
        <v>1768</v>
      </c>
      <c r="B108" s="206"/>
      <c r="C108" s="206"/>
      <c r="D108" s="206">
        <v>240.0</v>
      </c>
    </row>
    <row r="109">
      <c r="A109" s="784" t="s">
        <v>1769</v>
      </c>
      <c r="B109" s="206"/>
      <c r="C109" s="206"/>
      <c r="D109" s="206">
        <v>28.0</v>
      </c>
    </row>
    <row r="110">
      <c r="A110" s="784" t="s">
        <v>258</v>
      </c>
      <c r="B110" s="206"/>
      <c r="C110" s="206"/>
      <c r="D110" s="206">
        <v>69.0</v>
      </c>
    </row>
    <row r="111">
      <c r="A111" s="784" t="s">
        <v>1520</v>
      </c>
      <c r="B111" s="206"/>
      <c r="C111" s="206"/>
      <c r="D111" s="206">
        <v>64.0</v>
      </c>
    </row>
    <row r="112">
      <c r="A112" s="784" t="s">
        <v>1770</v>
      </c>
      <c r="B112" s="206"/>
      <c r="C112" s="206"/>
      <c r="D112" s="206">
        <v>21.0</v>
      </c>
    </row>
    <row r="113">
      <c r="A113" s="784" t="s">
        <v>1535</v>
      </c>
      <c r="B113" s="206"/>
      <c r="C113" s="206"/>
      <c r="D113" s="206">
        <v>10.0</v>
      </c>
    </row>
    <row r="114">
      <c r="A114" s="784" t="s">
        <v>1771</v>
      </c>
      <c r="B114" s="206"/>
      <c r="C114" s="206"/>
      <c r="D114" s="206">
        <v>117.0</v>
      </c>
    </row>
    <row r="115">
      <c r="A115" s="784" t="s">
        <v>412</v>
      </c>
      <c r="B115" s="206"/>
      <c r="C115" s="206"/>
      <c r="D115" s="206">
        <v>132.0</v>
      </c>
    </row>
    <row r="116">
      <c r="A116" s="784" t="s">
        <v>1772</v>
      </c>
      <c r="B116" s="206"/>
      <c r="C116" s="206"/>
      <c r="D116" s="206">
        <v>0.0</v>
      </c>
    </row>
    <row r="117">
      <c r="A117" s="784" t="s">
        <v>278</v>
      </c>
      <c r="B117" s="206"/>
      <c r="C117" s="206"/>
      <c r="D117" s="206">
        <v>11.0</v>
      </c>
    </row>
    <row r="118">
      <c r="A118" s="784" t="s">
        <v>1773</v>
      </c>
      <c r="B118" s="206"/>
      <c r="C118" s="206"/>
      <c r="D118" s="206">
        <v>23.0</v>
      </c>
    </row>
    <row r="119">
      <c r="A119" s="784" t="s">
        <v>1774</v>
      </c>
      <c r="B119" s="206"/>
      <c r="C119" s="206"/>
      <c r="D119" s="206">
        <v>9.0</v>
      </c>
    </row>
    <row r="120">
      <c r="A120" s="784" t="s">
        <v>142</v>
      </c>
      <c r="B120" s="206"/>
      <c r="C120" s="206"/>
      <c r="D120" s="206">
        <v>182.0</v>
      </c>
    </row>
    <row r="121">
      <c r="A121" s="784" t="s">
        <v>143</v>
      </c>
      <c r="B121" s="206"/>
      <c r="C121" s="206"/>
      <c r="D121" s="206">
        <v>24.0</v>
      </c>
    </row>
    <row r="122">
      <c r="A122" s="784" t="s">
        <v>1775</v>
      </c>
      <c r="B122" s="206"/>
      <c r="C122" s="206"/>
      <c r="D122" s="206">
        <v>94.0</v>
      </c>
    </row>
    <row r="123">
      <c r="A123" s="784" t="s">
        <v>1776</v>
      </c>
      <c r="B123" s="206"/>
      <c r="C123" s="206"/>
      <c r="D123" s="206">
        <v>53.0</v>
      </c>
    </row>
    <row r="124">
      <c r="A124" s="784" t="s">
        <v>337</v>
      </c>
      <c r="B124" s="206"/>
      <c r="C124" s="206"/>
      <c r="D124" s="206">
        <v>7.0</v>
      </c>
    </row>
    <row r="125">
      <c r="A125" s="784" t="s">
        <v>986</v>
      </c>
      <c r="B125" s="206"/>
      <c r="C125" s="206"/>
      <c r="D125" s="206">
        <v>249.0</v>
      </c>
    </row>
    <row r="126">
      <c r="A126" s="784" t="s">
        <v>290</v>
      </c>
      <c r="B126" s="206"/>
      <c r="C126" s="206"/>
      <c r="D126" s="206">
        <v>33.0</v>
      </c>
    </row>
    <row r="127">
      <c r="A127" s="784" t="s">
        <v>907</v>
      </c>
      <c r="B127" s="206"/>
      <c r="C127" s="206"/>
      <c r="D127" s="206">
        <v>141.0</v>
      </c>
    </row>
    <row r="128">
      <c r="A128" s="784" t="s">
        <v>1777</v>
      </c>
      <c r="B128" s="206"/>
      <c r="C128" s="206"/>
      <c r="D128" s="206">
        <v>59.0</v>
      </c>
    </row>
    <row r="129">
      <c r="A129" s="784" t="s">
        <v>153</v>
      </c>
      <c r="B129" s="206"/>
      <c r="C129" s="206"/>
      <c r="D129" s="206">
        <v>150.0</v>
      </c>
    </row>
    <row r="130">
      <c r="A130" s="784" t="s">
        <v>1691</v>
      </c>
      <c r="B130" s="206"/>
      <c r="C130" s="206"/>
      <c r="D130" s="206">
        <v>10.0</v>
      </c>
    </row>
    <row r="131">
      <c r="A131" s="784" t="s">
        <v>511</v>
      </c>
      <c r="B131" s="206"/>
      <c r="C131" s="206"/>
      <c r="D131" s="206">
        <v>435.0</v>
      </c>
    </row>
    <row r="132">
      <c r="A132" s="784" t="s">
        <v>302</v>
      </c>
      <c r="B132" s="206"/>
      <c r="C132" s="206"/>
      <c r="D132" s="206">
        <v>90.0</v>
      </c>
    </row>
    <row r="133">
      <c r="A133" s="784" t="s">
        <v>1011</v>
      </c>
      <c r="B133" s="206"/>
      <c r="C133" s="206"/>
      <c r="D133" s="206" t="s">
        <v>63</v>
      </c>
    </row>
    <row r="134">
      <c r="A134" s="784" t="s">
        <v>1778</v>
      </c>
      <c r="B134" s="206"/>
      <c r="C134" s="206"/>
      <c r="D134" s="206">
        <v>15.0</v>
      </c>
    </row>
    <row r="135">
      <c r="A135" s="784" t="s">
        <v>1779</v>
      </c>
      <c r="B135" s="206"/>
      <c r="C135" s="206"/>
      <c r="D135" s="206">
        <v>99.0</v>
      </c>
    </row>
    <row r="136">
      <c r="A136" s="784" t="s">
        <v>316</v>
      </c>
      <c r="B136" s="206"/>
      <c r="C136" s="206"/>
      <c r="D136" s="206">
        <v>18.0</v>
      </c>
    </row>
    <row r="137">
      <c r="A137" s="784" t="s">
        <v>1780</v>
      </c>
      <c r="B137" s="206"/>
      <c r="C137" s="206"/>
      <c r="D137" s="206" t="s">
        <v>63</v>
      </c>
    </row>
    <row r="138">
      <c r="A138" s="784" t="s">
        <v>1781</v>
      </c>
      <c r="B138" s="206"/>
      <c r="C138" s="206"/>
      <c r="D138" s="206">
        <v>27.0</v>
      </c>
    </row>
    <row r="139">
      <c r="A139" s="784" t="s">
        <v>119</v>
      </c>
      <c r="B139" s="206"/>
      <c r="C139" s="206"/>
      <c r="D139" s="206">
        <v>230.0</v>
      </c>
    </row>
    <row r="140">
      <c r="A140" s="784" t="s">
        <v>649</v>
      </c>
      <c r="B140" s="206"/>
      <c r="C140" s="206"/>
      <c r="D140" s="206" t="s">
        <v>63</v>
      </c>
    </row>
    <row r="141">
      <c r="A141" s="784" t="s">
        <v>1782</v>
      </c>
      <c r="B141" s="206"/>
      <c r="C141" s="206"/>
      <c r="D141" s="206">
        <v>71.0</v>
      </c>
    </row>
    <row r="142">
      <c r="A142" s="784" t="s">
        <v>1870</v>
      </c>
      <c r="B142" s="206"/>
      <c r="C142" s="206"/>
      <c r="D142" s="208">
        <v>2770.0</v>
      </c>
    </row>
    <row r="143">
      <c r="A143" s="1" t="s">
        <v>3989</v>
      </c>
      <c r="B143" s="208"/>
      <c r="C143" s="206"/>
      <c r="D143" s="206"/>
    </row>
    <row r="144">
      <c r="A144" s="1" t="s">
        <v>3990</v>
      </c>
    </row>
    <row r="145">
      <c r="A145" s="1" t="s">
        <v>3991</v>
      </c>
    </row>
    <row r="146">
      <c r="A146" s="1" t="s">
        <v>3992</v>
      </c>
    </row>
    <row r="147">
      <c r="A147" s="1" t="s">
        <v>3993</v>
      </c>
    </row>
  </sheetData>
  <mergeCells count="2">
    <mergeCell ref="F1:H1"/>
    <mergeCell ref="F101:H101"/>
  </mergeCells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6.75"/>
    <col customWidth="1" min="12" max="12" width="13.25"/>
  </cols>
  <sheetData>
    <row r="1">
      <c r="A1" s="167"/>
      <c r="B1" s="168" t="s">
        <v>105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</row>
    <row r="2">
      <c r="A2" s="169" t="s">
        <v>172</v>
      </c>
      <c r="B2" s="170" t="s">
        <v>174</v>
      </c>
      <c r="C2" s="171" t="s">
        <v>693</v>
      </c>
      <c r="D2" s="172" t="s">
        <v>694</v>
      </c>
      <c r="E2" s="172" t="s">
        <v>695</v>
      </c>
      <c r="F2" s="172" t="s">
        <v>179</v>
      </c>
      <c r="G2" s="172" t="s">
        <v>696</v>
      </c>
      <c r="H2" s="173" t="s">
        <v>697</v>
      </c>
      <c r="I2" s="174" t="s">
        <v>84</v>
      </c>
      <c r="J2" s="170" t="s">
        <v>698</v>
      </c>
      <c r="K2" s="175" t="s">
        <v>699</v>
      </c>
      <c r="L2" s="173" t="s">
        <v>89</v>
      </c>
      <c r="M2" s="176" t="s">
        <v>700</v>
      </c>
      <c r="N2" s="177" t="s">
        <v>701</v>
      </c>
      <c r="O2" s="177" t="s">
        <v>702</v>
      </c>
      <c r="P2" s="178" t="s">
        <v>90</v>
      </c>
      <c r="Q2" s="325" t="s">
        <v>703</v>
      </c>
    </row>
    <row r="3">
      <c r="A3" s="326" t="s">
        <v>386</v>
      </c>
      <c r="B3" s="251">
        <f t="array" ref="B3">VLOOKUP($A3,PA_DEMO,2,FALSE)</f>
        <v>103852</v>
      </c>
      <c r="C3" s="253">
        <f>VLOOKUP($A3,'PA Data'!$A$2:$B$88,2,FALSE)</f>
        <v>40</v>
      </c>
      <c r="D3" s="253" t="s">
        <v>63</v>
      </c>
      <c r="E3" s="253">
        <f>VLOOKUP($A3,'PA Data'!$A$2:$C$88,3,FALSE)</f>
        <v>18</v>
      </c>
      <c r="F3" s="253">
        <f>VLOOKUP($A3,'PA Data'!$A$2:$D$88,4,FALSE)</f>
        <v>18</v>
      </c>
      <c r="G3" s="253" t="s">
        <v>63</v>
      </c>
      <c r="H3" s="253" t="s">
        <v>63</v>
      </c>
      <c r="I3" s="253" t="s">
        <v>63</v>
      </c>
      <c r="J3" s="253" t="s">
        <v>63</v>
      </c>
      <c r="K3" s="274" t="s">
        <v>63</v>
      </c>
      <c r="L3" s="254" t="s">
        <v>63</v>
      </c>
      <c r="M3" s="258" t="s">
        <v>63</v>
      </c>
      <c r="N3" s="253" t="s">
        <v>63</v>
      </c>
      <c r="O3" s="253" t="s">
        <v>63</v>
      </c>
      <c r="P3" s="261">
        <f>ifna(vlookup(A3,'Population &amp; Church Numbers'!$A$2247:$D$2313,4,FALSE),"NULL")</f>
        <v>90</v>
      </c>
      <c r="Q3" s="262" t="s">
        <v>63</v>
      </c>
    </row>
    <row r="4">
      <c r="A4" s="188" t="s">
        <v>363</v>
      </c>
      <c r="B4" s="189">
        <f t="array" ref="B4">VLOOKUP($A4,PA_DEMO,2,FALSE)</f>
        <v>1250578</v>
      </c>
      <c r="C4" s="265">
        <f>VLOOKUP($A4,'PA Data'!$A$2:$B$88,2,FALSE)</f>
        <v>1607</v>
      </c>
      <c r="D4" s="265" t="s">
        <v>63</v>
      </c>
      <c r="E4" s="265">
        <f>VLOOKUP($A4,'PA Data'!$A$2:$C$88,3,FALSE)</f>
        <v>379</v>
      </c>
      <c r="F4" s="265">
        <f>VLOOKUP($A4,'PA Data'!$A$2:$D$88,4,FALSE)</f>
        <v>973</v>
      </c>
      <c r="G4" s="265" t="s">
        <v>63</v>
      </c>
      <c r="H4" s="265" t="s">
        <v>63</v>
      </c>
      <c r="I4" s="265" t="s">
        <v>63</v>
      </c>
      <c r="J4" s="265" t="s">
        <v>63</v>
      </c>
      <c r="K4" s="284" t="s">
        <v>63</v>
      </c>
      <c r="L4" s="266" t="s">
        <v>63</v>
      </c>
      <c r="M4" s="267" t="s">
        <v>63</v>
      </c>
      <c r="N4" s="265" t="s">
        <v>63</v>
      </c>
      <c r="O4" s="265" t="s">
        <v>63</v>
      </c>
      <c r="P4" s="272">
        <f>ifna(vlookup(A4,'Population &amp; Church Numbers'!$A$2247:$D$2313,4,FALSE),"NULL")</f>
        <v>837</v>
      </c>
      <c r="Q4" s="273" t="s">
        <v>63</v>
      </c>
    </row>
    <row r="5">
      <c r="A5" s="326" t="s">
        <v>1783</v>
      </c>
      <c r="B5" s="251">
        <f t="array" ref="B5">VLOOKUP($A5,PA_DEMO,2,FALSE)</f>
        <v>65558</v>
      </c>
      <c r="C5" s="253">
        <f>VLOOKUP($A5,'PA Data'!$A$2:$B$88,2,FALSE)</f>
        <v>21</v>
      </c>
      <c r="D5" s="253" t="s">
        <v>63</v>
      </c>
      <c r="E5" s="253" t="str">
        <f>VLOOKUP($A5,'PA Data'!$A$2:$C$88,3,FALSE)</f>
        <v>S</v>
      </c>
      <c r="F5" s="253" t="str">
        <f>VLOOKUP($A5,'PA Data'!$A$2:$D$88,4,FALSE)</f>
        <v>S</v>
      </c>
      <c r="G5" s="253" t="s">
        <v>63</v>
      </c>
      <c r="H5" s="253" t="s">
        <v>63</v>
      </c>
      <c r="I5" s="253" t="s">
        <v>63</v>
      </c>
      <c r="J5" s="253" t="s">
        <v>63</v>
      </c>
      <c r="K5" s="274" t="s">
        <v>63</v>
      </c>
      <c r="L5" s="254" t="s">
        <v>63</v>
      </c>
      <c r="M5" s="255" t="s">
        <v>63</v>
      </c>
      <c r="N5" s="253" t="s">
        <v>63</v>
      </c>
      <c r="O5" s="253" t="s">
        <v>63</v>
      </c>
      <c r="P5" s="261">
        <f>ifna(vlookup(A5,'Population &amp; Church Numbers'!$A$2247:$D$2313,4,FALSE),"NULL")</f>
        <v>108</v>
      </c>
      <c r="Q5" s="262" t="s">
        <v>63</v>
      </c>
    </row>
    <row r="6">
      <c r="A6" s="188" t="s">
        <v>1710</v>
      </c>
      <c r="B6" s="189">
        <f t="array" ref="B6">VLOOKUP($A6,PA_DEMO,2,FALSE)</f>
        <v>168215</v>
      </c>
      <c r="C6" s="265">
        <f>VLOOKUP($A6,'PA Data'!$A$2:$B$88,2,FALSE)</f>
        <v>27</v>
      </c>
      <c r="D6" s="265" t="s">
        <v>63</v>
      </c>
      <c r="E6" s="265">
        <f>VLOOKUP($A6,'PA Data'!$A$2:$C$88,3,FALSE)</f>
        <v>12</v>
      </c>
      <c r="F6" s="265">
        <f>VLOOKUP($A6,'PA Data'!$A$2:$D$88,4,FALSE)</f>
        <v>12</v>
      </c>
      <c r="G6" s="265" t="s">
        <v>63</v>
      </c>
      <c r="H6" s="265" t="s">
        <v>63</v>
      </c>
      <c r="I6" s="265" t="s">
        <v>63</v>
      </c>
      <c r="J6" s="265" t="s">
        <v>63</v>
      </c>
      <c r="K6" s="284" t="s">
        <v>63</v>
      </c>
      <c r="L6" s="266" t="s">
        <v>63</v>
      </c>
      <c r="M6" s="267" t="s">
        <v>63</v>
      </c>
      <c r="N6" s="265" t="s">
        <v>63</v>
      </c>
      <c r="O6" s="265" t="s">
        <v>63</v>
      </c>
      <c r="P6" s="272">
        <f>ifna(vlookup(A6,'Population &amp; Church Numbers'!$A$2247:$D$2313,4,FALSE),"NULL")</f>
        <v>181</v>
      </c>
      <c r="Q6" s="273" t="s">
        <v>63</v>
      </c>
    </row>
    <row r="7">
      <c r="A7" s="326" t="s">
        <v>1784</v>
      </c>
      <c r="B7" s="251">
        <f t="array" ref="B7">VLOOKUP($A7,PA_DEMO,2,FALSE)</f>
        <v>47577</v>
      </c>
      <c r="C7" s="253">
        <f>VLOOKUP($A7,'PA Data'!$A$2:$B$88,2,FALSE)</f>
        <v>36</v>
      </c>
      <c r="D7" s="253" t="s">
        <v>63</v>
      </c>
      <c r="E7" s="253">
        <f>VLOOKUP($A7,'PA Data'!$A$2:$C$88,3,FALSE)</f>
        <v>20</v>
      </c>
      <c r="F7" s="253">
        <f>VLOOKUP($A7,'PA Data'!$A$2:$D$88,4,FALSE)</f>
        <v>12</v>
      </c>
      <c r="G7" s="253" t="s">
        <v>63</v>
      </c>
      <c r="H7" s="253" t="s">
        <v>63</v>
      </c>
      <c r="I7" s="253" t="s">
        <v>63</v>
      </c>
      <c r="J7" s="253" t="s">
        <v>63</v>
      </c>
      <c r="K7" s="274" t="s">
        <v>63</v>
      </c>
      <c r="L7" s="254" t="s">
        <v>63</v>
      </c>
      <c r="M7" s="255" t="s">
        <v>63</v>
      </c>
      <c r="N7" s="253" t="s">
        <v>63</v>
      </c>
      <c r="O7" s="253" t="s">
        <v>63</v>
      </c>
      <c r="P7" s="261">
        <f>ifna(vlookup(A7,'Population &amp; Church Numbers'!$A$2247:$D$2313,4,FALSE),"NULL")</f>
        <v>113</v>
      </c>
      <c r="Q7" s="262" t="s">
        <v>63</v>
      </c>
    </row>
    <row r="8">
      <c r="A8" s="188" t="s">
        <v>1785</v>
      </c>
      <c r="B8" s="189">
        <f t="array" ref="B8">VLOOKUP($A8,PA_DEMO,2,FALSE)</f>
        <v>428849</v>
      </c>
      <c r="C8" s="265">
        <f>VLOOKUP($A8,'PA Data'!$A$2:$B$88,2,FALSE)</f>
        <v>312</v>
      </c>
      <c r="D8" s="265" t="s">
        <v>63</v>
      </c>
      <c r="E8" s="265">
        <f>VLOOKUP($A8,'PA Data'!$A$2:$C$88,3,FALSE)</f>
        <v>184</v>
      </c>
      <c r="F8" s="265">
        <f>VLOOKUP($A8,'PA Data'!$A$2:$D$88,4,FALSE)</f>
        <v>74</v>
      </c>
      <c r="G8" s="265" t="s">
        <v>63</v>
      </c>
      <c r="H8" s="265" t="s">
        <v>63</v>
      </c>
      <c r="I8" s="265" t="s">
        <v>63</v>
      </c>
      <c r="J8" s="265" t="s">
        <v>63</v>
      </c>
      <c r="K8" s="284" t="s">
        <v>63</v>
      </c>
      <c r="L8" s="266" t="s">
        <v>63</v>
      </c>
      <c r="M8" s="267" t="s">
        <v>63</v>
      </c>
      <c r="N8" s="265" t="s">
        <v>63</v>
      </c>
      <c r="O8" s="265" t="s">
        <v>63</v>
      </c>
      <c r="P8" s="272">
        <f>ifna(vlookup(A8,'Population &amp; Church Numbers'!$A$2247:$D$2313,4,FALSE),"NULL")</f>
        <v>314</v>
      </c>
      <c r="Q8" s="273" t="s">
        <v>63</v>
      </c>
    </row>
    <row r="9">
      <c r="A9" s="326" t="s">
        <v>1786</v>
      </c>
      <c r="B9" s="251">
        <f t="array" ref="B9">VLOOKUP($A9,PA_DEMO,2,FALSE)</f>
        <v>122822</v>
      </c>
      <c r="C9" s="253">
        <f>VLOOKUP($A9,'PA Data'!$A$2:$B$88,2,FALSE)</f>
        <v>84</v>
      </c>
      <c r="D9" s="253" t="s">
        <v>63</v>
      </c>
      <c r="E9" s="253">
        <f>VLOOKUP($A9,'PA Data'!$A$2:$C$88,3,FALSE)</f>
        <v>38</v>
      </c>
      <c r="F9" s="253">
        <f>VLOOKUP($A9,'PA Data'!$A$2:$D$88,4,FALSE)</f>
        <v>32</v>
      </c>
      <c r="G9" s="253" t="s">
        <v>63</v>
      </c>
      <c r="H9" s="253" t="s">
        <v>63</v>
      </c>
      <c r="I9" s="253" t="s">
        <v>63</v>
      </c>
      <c r="J9" s="253" t="s">
        <v>63</v>
      </c>
      <c r="K9" s="274" t="s">
        <v>63</v>
      </c>
      <c r="L9" s="254" t="s">
        <v>63</v>
      </c>
      <c r="M9" s="255" t="s">
        <v>63</v>
      </c>
      <c r="N9" s="253" t="s">
        <v>63</v>
      </c>
      <c r="O9" s="253" t="s">
        <v>63</v>
      </c>
      <c r="P9" s="261">
        <f>ifna(vlookup(A9,'Population &amp; Church Numbers'!$A$2247:$D$2313,4,FALSE),"NULL")</f>
        <v>164</v>
      </c>
      <c r="Q9" s="262" t="s">
        <v>63</v>
      </c>
    </row>
    <row r="10">
      <c r="A10" s="188" t="s">
        <v>483</v>
      </c>
      <c r="B10" s="189">
        <f t="array" ref="B10">VLOOKUP($A10,PA_DEMO,2,FALSE)</f>
        <v>59967</v>
      </c>
      <c r="C10" s="265">
        <f>VLOOKUP($A10,'PA Data'!$A$2:$B$88,2,FALSE)</f>
        <v>90</v>
      </c>
      <c r="D10" s="265" t="s">
        <v>63</v>
      </c>
      <c r="E10" s="265">
        <f>VLOOKUP($A10,'PA Data'!$A$2:$C$88,3,FALSE)</f>
        <v>39</v>
      </c>
      <c r="F10" s="265">
        <f>VLOOKUP($A10,'PA Data'!$A$2:$D$88,4,FALSE)</f>
        <v>18</v>
      </c>
      <c r="G10" s="265" t="s">
        <v>63</v>
      </c>
      <c r="H10" s="265" t="s">
        <v>63</v>
      </c>
      <c r="I10" s="265" t="s">
        <v>63</v>
      </c>
      <c r="J10" s="265" t="s">
        <v>63</v>
      </c>
      <c r="K10" s="284" t="s">
        <v>63</v>
      </c>
      <c r="L10" s="266" t="s">
        <v>63</v>
      </c>
      <c r="M10" s="267" t="s">
        <v>63</v>
      </c>
      <c r="N10" s="265" t="s">
        <v>63</v>
      </c>
      <c r="O10" s="265" t="s">
        <v>63</v>
      </c>
      <c r="P10" s="272">
        <f>ifna(vlookup(A10,'Population &amp; Church Numbers'!$A$2247:$D$2313,4,FALSE),"NULL")</f>
        <v>84</v>
      </c>
      <c r="Q10" s="273" t="s">
        <v>63</v>
      </c>
    </row>
    <row r="11">
      <c r="A11" s="326" t="s">
        <v>599</v>
      </c>
      <c r="B11" s="251">
        <f t="array" ref="B11">VLOOKUP($A11,PA_DEMO,2,FALSE)</f>
        <v>646538</v>
      </c>
      <c r="C11" s="253">
        <f>VLOOKUP($A11,'PA Data'!$A$2:$B$88,2,FALSE)</f>
        <v>201</v>
      </c>
      <c r="D11" s="253" t="s">
        <v>63</v>
      </c>
      <c r="E11" s="253">
        <f>VLOOKUP($A11,'PA Data'!$A$2:$C$88,3,FALSE)</f>
        <v>70</v>
      </c>
      <c r="F11" s="253">
        <f>VLOOKUP($A11,'PA Data'!$A$2:$D$88,4,FALSE)</f>
        <v>99</v>
      </c>
      <c r="G11" s="253" t="s">
        <v>63</v>
      </c>
      <c r="H11" s="253" t="s">
        <v>63</v>
      </c>
      <c r="I11" s="253" t="s">
        <v>63</v>
      </c>
      <c r="J11" s="253" t="s">
        <v>63</v>
      </c>
      <c r="K11" s="274" t="s">
        <v>63</v>
      </c>
      <c r="L11" s="254" t="s">
        <v>63</v>
      </c>
      <c r="M11" s="255" t="s">
        <v>63</v>
      </c>
      <c r="N11" s="253" t="s">
        <v>63</v>
      </c>
      <c r="O11" s="253" t="s">
        <v>63</v>
      </c>
      <c r="P11" s="261">
        <f>ifna(vlookup(A11,'Population &amp; Church Numbers'!$A$2247:$D$2313,4,FALSE),"NULL")</f>
        <v>318</v>
      </c>
      <c r="Q11" s="262" t="s">
        <v>63</v>
      </c>
    </row>
    <row r="12">
      <c r="A12" s="188" t="s">
        <v>87</v>
      </c>
      <c r="B12" s="189">
        <f t="array" ref="B12">VLOOKUP($A12,PA_DEMO,2,FALSE)</f>
        <v>193763</v>
      </c>
      <c r="C12" s="265">
        <f>VLOOKUP($A12,'PA Data'!$A$2:$B$88,2,FALSE)</f>
        <v>86</v>
      </c>
      <c r="D12" s="265" t="s">
        <v>63</v>
      </c>
      <c r="E12" s="265">
        <f>VLOOKUP($A12,'PA Data'!$A$2:$C$88,3,FALSE)</f>
        <v>28</v>
      </c>
      <c r="F12" s="265">
        <f>VLOOKUP($A12,'PA Data'!$A$2:$D$88,4,FALSE)</f>
        <v>48</v>
      </c>
      <c r="G12" s="265" t="s">
        <v>63</v>
      </c>
      <c r="H12" s="265" t="s">
        <v>63</v>
      </c>
      <c r="I12" s="265" t="s">
        <v>63</v>
      </c>
      <c r="J12" s="265" t="s">
        <v>63</v>
      </c>
      <c r="K12" s="284" t="s">
        <v>63</v>
      </c>
      <c r="L12" s="266" t="s">
        <v>63</v>
      </c>
      <c r="M12" s="267" t="s">
        <v>63</v>
      </c>
      <c r="N12" s="265" t="s">
        <v>63</v>
      </c>
      <c r="O12" s="265" t="s">
        <v>63</v>
      </c>
      <c r="P12" s="272">
        <f>ifna(vlookup(A12,'Population &amp; Church Numbers'!$A$2247:$D$2313,4,FALSE),"NULL")</f>
        <v>200</v>
      </c>
      <c r="Q12" s="273" t="s">
        <v>63</v>
      </c>
    </row>
    <row r="13">
      <c r="A13" s="326" t="s">
        <v>1787</v>
      </c>
      <c r="B13" s="251">
        <f t="array" ref="B13">VLOOKUP($A13,PA_DEMO,2,FALSE)</f>
        <v>133472</v>
      </c>
      <c r="C13" s="253">
        <f>VLOOKUP($A13,'PA Data'!$A$2:$B$88,2,FALSE)</f>
        <v>81</v>
      </c>
      <c r="D13" s="253" t="s">
        <v>63</v>
      </c>
      <c r="E13" s="253">
        <f>VLOOKUP($A13,'PA Data'!$A$2:$C$88,3,FALSE)</f>
        <v>54</v>
      </c>
      <c r="F13" s="253">
        <f>VLOOKUP($A13,'PA Data'!$A$2:$D$88,4,FALSE)</f>
        <v>18</v>
      </c>
      <c r="G13" s="253" t="s">
        <v>63</v>
      </c>
      <c r="H13" s="253" t="s">
        <v>63</v>
      </c>
      <c r="I13" s="253" t="s">
        <v>63</v>
      </c>
      <c r="J13" s="253" t="s">
        <v>63</v>
      </c>
      <c r="K13" s="274" t="s">
        <v>63</v>
      </c>
      <c r="L13" s="254" t="s">
        <v>63</v>
      </c>
      <c r="M13" s="255" t="s">
        <v>63</v>
      </c>
      <c r="N13" s="253" t="s">
        <v>63</v>
      </c>
      <c r="O13" s="253" t="s">
        <v>63</v>
      </c>
      <c r="P13" s="261">
        <f>ifna(vlookup(A13,'Population &amp; Church Numbers'!$A$2247:$D$2313,4,FALSE),"NULL")</f>
        <v>180</v>
      </c>
      <c r="Q13" s="262" t="s">
        <v>63</v>
      </c>
    </row>
    <row r="14">
      <c r="A14" s="188" t="s">
        <v>1149</v>
      </c>
      <c r="B14" s="189">
        <f t="array" ref="B14">VLOOKUP($A14,PA_DEMO,2,FALSE)</f>
        <v>4547</v>
      </c>
      <c r="C14" s="265">
        <f>VLOOKUP($A14,'PA Data'!$A$2:$B$88,2,FALSE)</f>
        <v>13</v>
      </c>
      <c r="D14" s="265" t="s">
        <v>63</v>
      </c>
      <c r="E14" s="265" t="str">
        <f>VLOOKUP($A14,'PA Data'!$A$2:$C$88,3,FALSE)</f>
        <v>S</v>
      </c>
      <c r="F14" s="265" t="str">
        <f>VLOOKUP($A14,'PA Data'!$A$2:$D$88,4,FALSE)</f>
        <v>S</v>
      </c>
      <c r="G14" s="265" t="s">
        <v>63</v>
      </c>
      <c r="H14" s="265" t="s">
        <v>63</v>
      </c>
      <c r="I14" s="265" t="s">
        <v>63</v>
      </c>
      <c r="J14" s="265" t="s">
        <v>63</v>
      </c>
      <c r="K14" s="284" t="s">
        <v>63</v>
      </c>
      <c r="L14" s="266" t="s">
        <v>63</v>
      </c>
      <c r="M14" s="267" t="s">
        <v>63</v>
      </c>
      <c r="N14" s="265" t="s">
        <v>63</v>
      </c>
      <c r="O14" s="265" t="s">
        <v>63</v>
      </c>
      <c r="P14" s="272">
        <f>ifna(vlookup(A14,'Population &amp; Church Numbers'!$A$2247:$D$2313,4,FALSE),"NULL")</f>
        <v>8</v>
      </c>
      <c r="Q14" s="273" t="s">
        <v>63</v>
      </c>
    </row>
    <row r="15">
      <c r="A15" s="326" t="s">
        <v>1434</v>
      </c>
      <c r="B15" s="251">
        <f t="array" ref="B15">VLOOKUP($A15,PA_DEMO,2,FALSE)</f>
        <v>64749</v>
      </c>
      <c r="C15" s="253">
        <f>VLOOKUP($A15,'PA Data'!$A$2:$B$88,2,FALSE)</f>
        <v>125</v>
      </c>
      <c r="D15" s="253" t="s">
        <v>63</v>
      </c>
      <c r="E15" s="253">
        <f>VLOOKUP($A15,'PA Data'!$A$2:$C$88,3,FALSE)</f>
        <v>49</v>
      </c>
      <c r="F15" s="253">
        <f>VLOOKUP($A15,'PA Data'!$A$2:$D$88,4,FALSE)</f>
        <v>59</v>
      </c>
      <c r="G15" s="253" t="s">
        <v>63</v>
      </c>
      <c r="H15" s="253" t="s">
        <v>63</v>
      </c>
      <c r="I15" s="253" t="s">
        <v>63</v>
      </c>
      <c r="J15" s="253" t="s">
        <v>63</v>
      </c>
      <c r="K15" s="274" t="s">
        <v>63</v>
      </c>
      <c r="L15" s="254" t="s">
        <v>63</v>
      </c>
      <c r="M15" s="255" t="s">
        <v>63</v>
      </c>
      <c r="N15" s="253" t="s">
        <v>63</v>
      </c>
      <c r="O15" s="253" t="s">
        <v>63</v>
      </c>
      <c r="P15" s="261">
        <f>ifna(vlookup(A15,'Population &amp; Church Numbers'!$A$2247:$D$2313,4,FALSE),"NULL")</f>
        <v>65</v>
      </c>
      <c r="Q15" s="262" t="s">
        <v>63</v>
      </c>
    </row>
    <row r="16">
      <c r="A16" s="188" t="s">
        <v>1788</v>
      </c>
      <c r="B16" s="189">
        <f t="array" ref="B16">VLOOKUP($A16,PA_DEMO,2,FALSE)</f>
        <v>158172</v>
      </c>
      <c r="C16" s="265">
        <f>VLOOKUP($A16,'PA Data'!$A$2:$B$88,2,FALSE)</f>
        <v>66</v>
      </c>
      <c r="D16" s="265" t="s">
        <v>63</v>
      </c>
      <c r="E16" s="265">
        <f>VLOOKUP($A16,'PA Data'!$A$2:$C$88,3,FALSE)</f>
        <v>33</v>
      </c>
      <c r="F16" s="265">
        <f>VLOOKUP($A16,'PA Data'!$A$2:$D$88,4,FALSE)</f>
        <v>16</v>
      </c>
      <c r="G16" s="265" t="s">
        <v>63</v>
      </c>
      <c r="H16" s="265" t="s">
        <v>63</v>
      </c>
      <c r="I16" s="265" t="s">
        <v>63</v>
      </c>
      <c r="J16" s="265" t="s">
        <v>63</v>
      </c>
      <c r="K16" s="284" t="s">
        <v>63</v>
      </c>
      <c r="L16" s="266" t="s">
        <v>63</v>
      </c>
      <c r="M16" s="267" t="s">
        <v>63</v>
      </c>
      <c r="N16" s="265" t="s">
        <v>63</v>
      </c>
      <c r="O16" s="265" t="s">
        <v>63</v>
      </c>
      <c r="P16" s="272">
        <f>ifna(vlookup(A16,'Population &amp; Church Numbers'!$A$2247:$D$2313,4,FALSE),"NULL")</f>
        <v>123</v>
      </c>
      <c r="Q16" s="273" t="s">
        <v>63</v>
      </c>
    </row>
    <row r="17">
      <c r="A17" s="326" t="s">
        <v>1789</v>
      </c>
      <c r="B17" s="251">
        <f t="array" ref="B17">VLOOKUP($A17,PA_DEMO,2,FALSE)</f>
        <v>534413</v>
      </c>
      <c r="C17" s="253">
        <f>VLOOKUP($A17,'PA Data'!$A$2:$B$88,2,FALSE)</f>
        <v>49</v>
      </c>
      <c r="D17" s="253" t="s">
        <v>63</v>
      </c>
      <c r="E17" s="253">
        <f>VLOOKUP($A17,'PA Data'!$A$2:$C$88,3,FALSE)</f>
        <v>32</v>
      </c>
      <c r="F17" s="253" t="str">
        <f>VLOOKUP($A17,'PA Data'!$A$2:$D$88,4,FALSE)</f>
        <v>S</v>
      </c>
      <c r="G17" s="253" t="s">
        <v>63</v>
      </c>
      <c r="H17" s="253" t="s">
        <v>63</v>
      </c>
      <c r="I17" s="253" t="s">
        <v>63</v>
      </c>
      <c r="J17" s="253" t="s">
        <v>63</v>
      </c>
      <c r="K17" s="274" t="s">
        <v>63</v>
      </c>
      <c r="L17" s="254" t="s">
        <v>63</v>
      </c>
      <c r="M17" s="255" t="s">
        <v>63</v>
      </c>
      <c r="N17" s="253" t="s">
        <v>63</v>
      </c>
      <c r="O17" s="253" t="s">
        <v>63</v>
      </c>
      <c r="P17" s="261">
        <f>ifna(vlookup(A17,'Population &amp; Church Numbers'!$A$2247:$D$2313,4,FALSE),"NULL")</f>
        <v>338</v>
      </c>
      <c r="Q17" s="262" t="s">
        <v>63</v>
      </c>
    </row>
    <row r="18">
      <c r="A18" s="188" t="s">
        <v>1790</v>
      </c>
      <c r="B18" s="189">
        <f t="array" ref="B18">VLOOKUP($A18,PA_DEMO,2,FALSE)</f>
        <v>37241</v>
      </c>
      <c r="C18" s="265">
        <f>VLOOKUP($A18,'PA Data'!$A$2:$B$88,2,FALSE)</f>
        <v>36</v>
      </c>
      <c r="D18" s="265" t="s">
        <v>63</v>
      </c>
      <c r="E18" s="265">
        <f>VLOOKUP($A18,'PA Data'!$A$2:$C$88,3,FALSE)</f>
        <v>21</v>
      </c>
      <c r="F18" s="265" t="str">
        <f>VLOOKUP($A18,'PA Data'!$A$2:$D$88,4,FALSE)</f>
        <v>S</v>
      </c>
      <c r="G18" s="265" t="s">
        <v>63</v>
      </c>
      <c r="H18" s="265" t="s">
        <v>63</v>
      </c>
      <c r="I18" s="265" t="s">
        <v>63</v>
      </c>
      <c r="J18" s="265" t="s">
        <v>63</v>
      </c>
      <c r="K18" s="284" t="s">
        <v>63</v>
      </c>
      <c r="L18" s="266" t="s">
        <v>63</v>
      </c>
      <c r="M18" s="267" t="s">
        <v>63</v>
      </c>
      <c r="N18" s="265" t="s">
        <v>63</v>
      </c>
      <c r="O18" s="265" t="s">
        <v>63</v>
      </c>
      <c r="P18" s="272">
        <f>ifna(vlookup(A18,'Population &amp; Church Numbers'!$A$2247:$D$2313,4,FALSE),"NULL")</f>
        <v>72</v>
      </c>
      <c r="Q18" s="273" t="s">
        <v>63</v>
      </c>
    </row>
    <row r="19">
      <c r="A19" s="326" t="s">
        <v>1791</v>
      </c>
      <c r="B19" s="251">
        <f t="array" ref="B19">VLOOKUP($A19,PA_DEMO,2,FALSE)</f>
        <v>80562</v>
      </c>
      <c r="C19" s="253">
        <f>VLOOKUP($A19,'PA Data'!$A$2:$B$88,2,FALSE)</f>
        <v>85</v>
      </c>
      <c r="D19" s="253" t="s">
        <v>63</v>
      </c>
      <c r="E19" s="253">
        <f>VLOOKUP($A19,'PA Data'!$A$2:$C$88,3,FALSE)</f>
        <v>53</v>
      </c>
      <c r="F19" s="253">
        <f>VLOOKUP($A19,'PA Data'!$A$2:$D$88,4,FALSE)</f>
        <v>22</v>
      </c>
      <c r="G19" s="253" t="s">
        <v>63</v>
      </c>
      <c r="H19" s="253" t="s">
        <v>63</v>
      </c>
      <c r="I19" s="253" t="s">
        <v>63</v>
      </c>
      <c r="J19" s="253" t="s">
        <v>63</v>
      </c>
      <c r="K19" s="274" t="s">
        <v>63</v>
      </c>
      <c r="L19" s="254" t="s">
        <v>63</v>
      </c>
      <c r="M19" s="255" t="s">
        <v>63</v>
      </c>
      <c r="N19" s="253" t="s">
        <v>63</v>
      </c>
      <c r="O19" s="253" t="s">
        <v>63</v>
      </c>
      <c r="P19" s="261">
        <f>ifna(vlookup(A19,'Population &amp; Church Numbers'!$A$2247:$D$2313,4,FALSE),"NULL")</f>
        <v>121</v>
      </c>
      <c r="Q19" s="262" t="s">
        <v>63</v>
      </c>
    </row>
    <row r="20">
      <c r="A20" s="188" t="s">
        <v>711</v>
      </c>
      <c r="B20" s="189">
        <f t="array" ref="B20">VLOOKUP($A20,PA_DEMO,2,FALSE)</f>
        <v>37450</v>
      </c>
      <c r="C20" s="265">
        <f>VLOOKUP($A20,'PA Data'!$A$2:$B$88,2,FALSE)</f>
        <v>19</v>
      </c>
      <c r="D20" s="265" t="s">
        <v>63</v>
      </c>
      <c r="E20" s="265">
        <f>VLOOKUP($A20,'PA Data'!$A$2:$C$88,3,FALSE)</f>
        <v>12</v>
      </c>
      <c r="F20" s="265" t="str">
        <f>VLOOKUP($A20,'PA Data'!$A$2:$D$88,4,FALSE)</f>
        <v>S</v>
      </c>
      <c r="G20" s="265" t="s">
        <v>63</v>
      </c>
      <c r="H20" s="265" t="s">
        <v>63</v>
      </c>
      <c r="I20" s="265" t="s">
        <v>63</v>
      </c>
      <c r="J20" s="265" t="s">
        <v>63</v>
      </c>
      <c r="K20" s="284" t="s">
        <v>63</v>
      </c>
      <c r="L20" s="266" t="s">
        <v>63</v>
      </c>
      <c r="M20" s="267" t="s">
        <v>63</v>
      </c>
      <c r="N20" s="265" t="s">
        <v>63</v>
      </c>
      <c r="O20" s="265" t="s">
        <v>63</v>
      </c>
      <c r="P20" s="272">
        <f>ifna(vlookup(A20,'Population &amp; Church Numbers'!$A$2247:$D$2313,4,FALSE),"NULL")</f>
        <v>48</v>
      </c>
      <c r="Q20" s="273" t="s">
        <v>63</v>
      </c>
    </row>
    <row r="21">
      <c r="A21" s="326" t="s">
        <v>258</v>
      </c>
      <c r="B21" s="251">
        <f t="array" ref="B21">VLOOKUP($A21,PA_DEMO,2,FALSE)</f>
        <v>64727</v>
      </c>
      <c r="C21" s="253">
        <f>VLOOKUP($A21,'PA Data'!$A$2:$B$88,2,FALSE)</f>
        <v>93</v>
      </c>
      <c r="D21" s="253" t="s">
        <v>63</v>
      </c>
      <c r="E21" s="253">
        <f>VLOOKUP($A21,'PA Data'!$A$2:$C$88,3,FALSE)</f>
        <v>70</v>
      </c>
      <c r="F21" s="253">
        <f>VLOOKUP($A21,'PA Data'!$A$2:$D$88,4,FALSE)</f>
        <v>13</v>
      </c>
      <c r="G21" s="253" t="s">
        <v>63</v>
      </c>
      <c r="H21" s="253" t="s">
        <v>63</v>
      </c>
      <c r="I21" s="253" t="s">
        <v>63</v>
      </c>
      <c r="J21" s="253" t="s">
        <v>63</v>
      </c>
      <c r="K21" s="274" t="s">
        <v>63</v>
      </c>
      <c r="L21" s="254" t="s">
        <v>63</v>
      </c>
      <c r="M21" s="255" t="s">
        <v>63</v>
      </c>
      <c r="N21" s="253" t="s">
        <v>63</v>
      </c>
      <c r="O21" s="253" t="s">
        <v>63</v>
      </c>
      <c r="P21" s="261">
        <f>ifna(vlookup(A21,'Population &amp; Church Numbers'!$A$2247:$D$2313,4,FALSE),"NULL")</f>
        <v>81</v>
      </c>
      <c r="Q21" s="262" t="s">
        <v>63</v>
      </c>
    </row>
    <row r="22">
      <c r="A22" s="188" t="s">
        <v>263</v>
      </c>
      <c r="B22" s="189">
        <f t="array" ref="B22">VLOOKUP($A22,PA_DEMO,2,FALSE)</f>
        <v>83938</v>
      </c>
      <c r="C22" s="265">
        <f>VLOOKUP($A22,'PA Data'!$A$2:$B$88,2,FALSE)</f>
        <v>56</v>
      </c>
      <c r="D22" s="265" t="s">
        <v>63</v>
      </c>
      <c r="E22" s="265">
        <f>VLOOKUP($A22,'PA Data'!$A$2:$C$88,3,FALSE)</f>
        <v>23</v>
      </c>
      <c r="F22" s="265">
        <f>VLOOKUP($A22,'PA Data'!$A$2:$D$88,4,FALSE)</f>
        <v>24</v>
      </c>
      <c r="G22" s="265" t="s">
        <v>63</v>
      </c>
      <c r="H22" s="265" t="s">
        <v>63</v>
      </c>
      <c r="I22" s="265" t="s">
        <v>63</v>
      </c>
      <c r="J22" s="265" t="s">
        <v>63</v>
      </c>
      <c r="K22" s="284" t="s">
        <v>63</v>
      </c>
      <c r="L22" s="266" t="s">
        <v>63</v>
      </c>
      <c r="M22" s="267" t="s">
        <v>63</v>
      </c>
      <c r="N22" s="265" t="s">
        <v>63</v>
      </c>
      <c r="O22" s="265" t="s">
        <v>63</v>
      </c>
      <c r="P22" s="272">
        <f>ifna(vlookup(A22,'Population &amp; Church Numbers'!$A$2247:$D$2313,4,FALSE),"NULL")</f>
        <v>118</v>
      </c>
      <c r="Q22" s="273" t="s">
        <v>63</v>
      </c>
    </row>
    <row r="23">
      <c r="A23" s="326" t="s">
        <v>713</v>
      </c>
      <c r="B23" s="251">
        <f t="array" ref="B23">VLOOKUP($A23,PA_DEMO,2,FALSE)</f>
        <v>259469</v>
      </c>
      <c r="C23" s="253">
        <f>VLOOKUP($A23,'PA Data'!$A$2:$B$88,2,FALSE)</f>
        <v>179</v>
      </c>
      <c r="D23" s="253" t="s">
        <v>63</v>
      </c>
      <c r="E23" s="253">
        <f>VLOOKUP($A23,'PA Data'!$A$2:$C$88,3,FALSE)</f>
        <v>85</v>
      </c>
      <c r="F23" s="253">
        <f>VLOOKUP($A23,'PA Data'!$A$2:$D$88,4,FALSE)</f>
        <v>65</v>
      </c>
      <c r="G23" s="253" t="s">
        <v>63</v>
      </c>
      <c r="H23" s="253" t="s">
        <v>63</v>
      </c>
      <c r="I23" s="253" t="s">
        <v>63</v>
      </c>
      <c r="J23" s="253" t="s">
        <v>63</v>
      </c>
      <c r="K23" s="274" t="s">
        <v>63</v>
      </c>
      <c r="L23" s="254" t="s">
        <v>63</v>
      </c>
      <c r="M23" s="255" t="s">
        <v>63</v>
      </c>
      <c r="N23" s="253" t="s">
        <v>63</v>
      </c>
      <c r="O23" s="253" t="s">
        <v>63</v>
      </c>
      <c r="P23" s="261">
        <f>ifna(vlookup(A23,'Population &amp; Church Numbers'!$A$2247:$D$2313,4,FALSE),"NULL")</f>
        <v>214</v>
      </c>
      <c r="Q23" s="262" t="s">
        <v>63</v>
      </c>
    </row>
    <row r="24">
      <c r="A24" s="188" t="s">
        <v>1792</v>
      </c>
      <c r="B24" s="189">
        <f t="array" ref="B24">VLOOKUP($A24,PA_DEMO,2,FALSE)</f>
        <v>286401</v>
      </c>
      <c r="C24" s="265">
        <f>VLOOKUP($A24,'PA Data'!$A$2:$B$88,2,FALSE)</f>
        <v>267</v>
      </c>
      <c r="D24" s="265" t="s">
        <v>63</v>
      </c>
      <c r="E24" s="265">
        <f>VLOOKUP($A24,'PA Data'!$A$2:$C$88,3,FALSE)</f>
        <v>139</v>
      </c>
      <c r="F24" s="265">
        <f>VLOOKUP($A24,'PA Data'!$A$2:$D$88,4,FALSE)</f>
        <v>84</v>
      </c>
      <c r="G24" s="265" t="s">
        <v>63</v>
      </c>
      <c r="H24" s="265" t="s">
        <v>63</v>
      </c>
      <c r="I24" s="265" t="s">
        <v>63</v>
      </c>
      <c r="J24" s="265" t="s">
        <v>63</v>
      </c>
      <c r="K24" s="284" t="s">
        <v>63</v>
      </c>
      <c r="L24" s="266" t="s">
        <v>63</v>
      </c>
      <c r="M24" s="267" t="s">
        <v>63</v>
      </c>
      <c r="N24" s="265" t="s">
        <v>63</v>
      </c>
      <c r="O24" s="265" t="s">
        <v>63</v>
      </c>
      <c r="P24" s="272">
        <f>ifna(vlookup(A24,'Population &amp; Church Numbers'!$A$2247:$D$2313,4,FALSE),"NULL")</f>
        <v>278</v>
      </c>
      <c r="Q24" s="273" t="s">
        <v>63</v>
      </c>
    </row>
    <row r="25">
      <c r="A25" s="326" t="s">
        <v>40</v>
      </c>
      <c r="B25" s="251">
        <f t="array" ref="B25">VLOOKUP($A25,PA_DEMO,2,FALSE)</f>
        <v>576830</v>
      </c>
      <c r="C25" s="253">
        <f>VLOOKUP($A25,'PA Data'!$A$2:$B$88,2,FALSE)</f>
        <v>283</v>
      </c>
      <c r="D25" s="253" t="s">
        <v>63</v>
      </c>
      <c r="E25" s="253">
        <f>VLOOKUP($A25,'PA Data'!$A$2:$C$88,3,FALSE)</f>
        <v>173</v>
      </c>
      <c r="F25" s="253">
        <f>VLOOKUP($A25,'PA Data'!$A$2:$D$88,4,FALSE)</f>
        <v>68</v>
      </c>
      <c r="G25" s="253" t="s">
        <v>63</v>
      </c>
      <c r="H25" s="253" t="s">
        <v>63</v>
      </c>
      <c r="I25" s="253" t="s">
        <v>63</v>
      </c>
      <c r="J25" s="253" t="s">
        <v>63</v>
      </c>
      <c r="K25" s="274" t="s">
        <v>63</v>
      </c>
      <c r="L25" s="254" t="s">
        <v>63</v>
      </c>
      <c r="M25" s="255" t="s">
        <v>63</v>
      </c>
      <c r="N25" s="253" t="s">
        <v>63</v>
      </c>
      <c r="O25" s="253" t="s">
        <v>63</v>
      </c>
      <c r="P25" s="261">
        <f>ifna(vlookup(A25,'Population &amp; Church Numbers'!$A$2247:$D$2313,4,FALSE),"NULL")</f>
        <v>315</v>
      </c>
      <c r="Q25" s="262" t="s">
        <v>63</v>
      </c>
    </row>
    <row r="26">
      <c r="A26" s="188" t="s">
        <v>968</v>
      </c>
      <c r="B26" s="189">
        <f t="array" ref="B26">VLOOKUP($A26,PA_DEMO,2,FALSE)</f>
        <v>30990</v>
      </c>
      <c r="C26" s="265">
        <f>VLOOKUP($A26,'PA Data'!$A$2:$B$88,2,FALSE)</f>
        <v>24</v>
      </c>
      <c r="D26" s="265" t="s">
        <v>63</v>
      </c>
      <c r="E26" s="265">
        <f>VLOOKUP($A26,'PA Data'!$A$2:$C$88,3,FALSE)</f>
        <v>11</v>
      </c>
      <c r="F26" s="265" t="str">
        <f>VLOOKUP($A26,'PA Data'!$A$2:$D$88,4,FALSE)</f>
        <v>S</v>
      </c>
      <c r="G26" s="265" t="s">
        <v>63</v>
      </c>
      <c r="H26" s="265" t="s">
        <v>63</v>
      </c>
      <c r="I26" s="265" t="s">
        <v>63</v>
      </c>
      <c r="J26" s="265" t="s">
        <v>63</v>
      </c>
      <c r="K26" s="284" t="s">
        <v>63</v>
      </c>
      <c r="L26" s="266" t="s">
        <v>63</v>
      </c>
      <c r="M26" s="267" t="s">
        <v>63</v>
      </c>
      <c r="N26" s="265" t="s">
        <v>63</v>
      </c>
      <c r="O26" s="265" t="s">
        <v>63</v>
      </c>
      <c r="P26" s="272">
        <f>ifna(vlookup(A26,'Population &amp; Church Numbers'!$A$2247:$D$2313,4,FALSE),"NULL")</f>
        <v>35</v>
      </c>
      <c r="Q26" s="273" t="s">
        <v>63</v>
      </c>
    </row>
    <row r="27">
      <c r="A27" s="326" t="s">
        <v>464</v>
      </c>
      <c r="B27" s="251">
        <f t="array" ref="B27">VLOOKUP($A27,PA_DEMO,2,FALSE)</f>
        <v>270876</v>
      </c>
      <c r="C27" s="253">
        <f>VLOOKUP($A27,'PA Data'!$A$2:$B$88,2,FALSE)</f>
        <v>393</v>
      </c>
      <c r="D27" s="253" t="s">
        <v>63</v>
      </c>
      <c r="E27" s="253">
        <f>VLOOKUP($A27,'PA Data'!$A$2:$C$88,3,FALSE)</f>
        <v>219</v>
      </c>
      <c r="F27" s="253">
        <f>VLOOKUP($A27,'PA Data'!$A$2:$D$88,4,FALSE)</f>
        <v>90</v>
      </c>
      <c r="G27" s="253" t="s">
        <v>63</v>
      </c>
      <c r="H27" s="253" t="s">
        <v>63</v>
      </c>
      <c r="I27" s="253" t="s">
        <v>63</v>
      </c>
      <c r="J27" s="253" t="s">
        <v>63</v>
      </c>
      <c r="K27" s="274" t="s">
        <v>63</v>
      </c>
      <c r="L27" s="254" t="s">
        <v>63</v>
      </c>
      <c r="M27" s="255" t="s">
        <v>63</v>
      </c>
      <c r="N27" s="253" t="s">
        <v>63</v>
      </c>
      <c r="O27" s="253" t="s">
        <v>63</v>
      </c>
      <c r="P27" s="261">
        <f>ifna(vlookup(A27,'Population &amp; Church Numbers'!$A$2247:$D$2313,4,FALSE),"NULL")</f>
        <v>230</v>
      </c>
      <c r="Q27" s="262" t="s">
        <v>63</v>
      </c>
    </row>
    <row r="28">
      <c r="A28" s="188" t="s">
        <v>135</v>
      </c>
      <c r="B28" s="189">
        <f t="array" ref="B28">VLOOKUP($A28,PA_DEMO,2,FALSE)</f>
        <v>128804</v>
      </c>
      <c r="C28" s="265">
        <f>VLOOKUP($A28,'PA Data'!$A$2:$B$88,2,FALSE)</f>
        <v>173</v>
      </c>
      <c r="D28" s="265" t="s">
        <v>63</v>
      </c>
      <c r="E28" s="265">
        <f>VLOOKUP($A28,'PA Data'!$A$2:$C$88,3,FALSE)</f>
        <v>62</v>
      </c>
      <c r="F28" s="265">
        <f>VLOOKUP($A28,'PA Data'!$A$2:$D$88,4,FALSE)</f>
        <v>99</v>
      </c>
      <c r="G28" s="265" t="s">
        <v>63</v>
      </c>
      <c r="H28" s="265" t="s">
        <v>63</v>
      </c>
      <c r="I28" s="265" t="s">
        <v>63</v>
      </c>
      <c r="J28" s="265" t="s">
        <v>63</v>
      </c>
      <c r="K28" s="284" t="s">
        <v>63</v>
      </c>
      <c r="L28" s="266" t="s">
        <v>63</v>
      </c>
      <c r="M28" s="267" t="s">
        <v>63</v>
      </c>
      <c r="N28" s="265" t="s">
        <v>63</v>
      </c>
      <c r="O28" s="265" t="s">
        <v>63</v>
      </c>
      <c r="P28" s="272">
        <f>ifna(vlookup(A28,'Population &amp; Church Numbers'!$A$2247:$D$2313,4,FALSE),"NULL")</f>
        <v>171</v>
      </c>
      <c r="Q28" s="273" t="s">
        <v>63</v>
      </c>
    </row>
    <row r="29">
      <c r="A29" s="326" t="s">
        <v>1793</v>
      </c>
      <c r="B29" s="251">
        <f t="array" ref="B29">VLOOKUP($A29,PA_DEMO,2,FALSE)</f>
        <v>6973</v>
      </c>
      <c r="C29" s="253">
        <f>VLOOKUP($A29,'PA Data'!$A$2:$B$88,2,FALSE)</f>
        <v>0</v>
      </c>
      <c r="D29" s="253" t="s">
        <v>63</v>
      </c>
      <c r="E29" s="253">
        <f>VLOOKUP($A29,'PA Data'!$A$2:$C$88,3,FALSE)</f>
        <v>0</v>
      </c>
      <c r="F29" s="253">
        <f>VLOOKUP($A29,'PA Data'!$A$2:$D$88,4,FALSE)</f>
        <v>0</v>
      </c>
      <c r="G29" s="253" t="s">
        <v>63</v>
      </c>
      <c r="H29" s="253" t="s">
        <v>63</v>
      </c>
      <c r="I29" s="253" t="s">
        <v>63</v>
      </c>
      <c r="J29" s="253" t="s">
        <v>63</v>
      </c>
      <c r="K29" s="274" t="s">
        <v>63</v>
      </c>
      <c r="L29" s="254" t="s">
        <v>63</v>
      </c>
      <c r="M29" s="255" t="s">
        <v>63</v>
      </c>
      <c r="N29" s="253" t="s">
        <v>63</v>
      </c>
      <c r="O29" s="253" t="s">
        <v>63</v>
      </c>
      <c r="P29" s="261">
        <f>ifna(vlookup(A29,'Population &amp; Church Numbers'!$A$2247:$D$2313,4,FALSE),"NULL")</f>
        <v>12</v>
      </c>
      <c r="Q29" s="262" t="s">
        <v>63</v>
      </c>
    </row>
    <row r="30">
      <c r="A30" s="188" t="s">
        <v>136</v>
      </c>
      <c r="B30" s="189">
        <f t="array" ref="B30">VLOOKUP($A30,PA_DEMO,2,FALSE)</f>
        <v>155932</v>
      </c>
      <c r="C30" s="265">
        <f>VLOOKUP($A30,'PA Data'!$A$2:$B$88,2,FALSE)</f>
        <v>92</v>
      </c>
      <c r="D30" s="265" t="s">
        <v>63</v>
      </c>
      <c r="E30" s="265">
        <f>VLOOKUP($A30,'PA Data'!$A$2:$C$88,3,FALSE)</f>
        <v>53</v>
      </c>
      <c r="F30" s="265">
        <f>VLOOKUP($A30,'PA Data'!$A$2:$D$88,4,FALSE)</f>
        <v>16</v>
      </c>
      <c r="G30" s="265" t="s">
        <v>63</v>
      </c>
      <c r="H30" s="265" t="s">
        <v>63</v>
      </c>
      <c r="I30" s="265" t="s">
        <v>63</v>
      </c>
      <c r="J30" s="265" t="s">
        <v>63</v>
      </c>
      <c r="K30" s="284" t="s">
        <v>63</v>
      </c>
      <c r="L30" s="266" t="s">
        <v>63</v>
      </c>
      <c r="M30" s="267" t="s">
        <v>63</v>
      </c>
      <c r="N30" s="265" t="s">
        <v>63</v>
      </c>
      <c r="O30" s="265" t="s">
        <v>63</v>
      </c>
      <c r="P30" s="272">
        <f>ifna(vlookup(A30,'Population &amp; Church Numbers'!$A$2247:$D$2313,4,FALSE),"NULL")</f>
        <v>187</v>
      </c>
      <c r="Q30" s="273" t="s">
        <v>63</v>
      </c>
    </row>
    <row r="31">
      <c r="A31" s="326" t="s">
        <v>275</v>
      </c>
      <c r="B31" s="251">
        <f t="array" ref="B31">VLOOKUP($A31,PA_DEMO,2,FALSE)</f>
        <v>14556</v>
      </c>
      <c r="C31" s="253" t="str">
        <f>VLOOKUP($A31,'PA Data'!$A$2:$B$88,2,FALSE)</f>
        <v>S</v>
      </c>
      <c r="D31" s="253" t="s">
        <v>63</v>
      </c>
      <c r="E31" s="253" t="str">
        <f>VLOOKUP($A31,'PA Data'!$A$2:$C$88,3,FALSE)</f>
        <v>S</v>
      </c>
      <c r="F31" s="253">
        <f>VLOOKUP($A31,'PA Data'!$A$2:$D$88,4,FALSE)</f>
        <v>0</v>
      </c>
      <c r="G31" s="253" t="s">
        <v>63</v>
      </c>
      <c r="H31" s="253" t="s">
        <v>63</v>
      </c>
      <c r="I31" s="253" t="s">
        <v>63</v>
      </c>
      <c r="J31" s="253" t="s">
        <v>63</v>
      </c>
      <c r="K31" s="274" t="s">
        <v>63</v>
      </c>
      <c r="L31" s="254" t="s">
        <v>63</v>
      </c>
      <c r="M31" s="255" t="s">
        <v>63</v>
      </c>
      <c r="N31" s="253" t="s">
        <v>63</v>
      </c>
      <c r="O31" s="253" t="s">
        <v>63</v>
      </c>
      <c r="P31" s="261">
        <f>ifna(vlookup(A31,'Population &amp; Church Numbers'!$A$2247:$D$2313,4,FALSE),"NULL")</f>
        <v>23</v>
      </c>
      <c r="Q31" s="262" t="s">
        <v>63</v>
      </c>
    </row>
    <row r="32">
      <c r="A32" s="188" t="s">
        <v>138</v>
      </c>
      <c r="B32" s="189">
        <f t="array" ref="B32">VLOOKUP($A32,PA_DEMO,2,FALSE)</f>
        <v>35954</v>
      </c>
      <c r="C32" s="265">
        <f>VLOOKUP($A32,'PA Data'!$A$2:$B$88,2,FALSE)</f>
        <v>57</v>
      </c>
      <c r="D32" s="265" t="s">
        <v>63</v>
      </c>
      <c r="E32" s="265">
        <f>VLOOKUP($A32,'PA Data'!$A$2:$C$88,3,FALSE)</f>
        <v>19</v>
      </c>
      <c r="F32" s="265">
        <f>VLOOKUP($A32,'PA Data'!$A$2:$D$88,4,FALSE)</f>
        <v>30</v>
      </c>
      <c r="G32" s="265" t="s">
        <v>63</v>
      </c>
      <c r="H32" s="265" t="s">
        <v>63</v>
      </c>
      <c r="I32" s="265" t="s">
        <v>63</v>
      </c>
      <c r="J32" s="265" t="s">
        <v>63</v>
      </c>
      <c r="K32" s="284" t="s">
        <v>63</v>
      </c>
      <c r="L32" s="266" t="s">
        <v>63</v>
      </c>
      <c r="M32" s="267" t="s">
        <v>63</v>
      </c>
      <c r="N32" s="265" t="s">
        <v>63</v>
      </c>
      <c r="O32" s="265" t="s">
        <v>63</v>
      </c>
      <c r="P32" s="272">
        <f>ifna(vlookup(A32,'Population &amp; Church Numbers'!$A$2247:$D$2313,4,FALSE),"NULL")</f>
        <v>52</v>
      </c>
      <c r="Q32" s="273" t="s">
        <v>63</v>
      </c>
    </row>
    <row r="33">
      <c r="A33" s="326" t="s">
        <v>1794</v>
      </c>
      <c r="B33" s="251">
        <f t="array" ref="B33">VLOOKUP($A33,PA_DEMO,2,FALSE)</f>
        <v>44092</v>
      </c>
      <c r="C33" s="253">
        <f>VLOOKUP($A33,'PA Data'!$A$2:$B$88,2,FALSE)</f>
        <v>58</v>
      </c>
      <c r="D33" s="253" t="s">
        <v>63</v>
      </c>
      <c r="E33" s="253">
        <f>VLOOKUP($A33,'PA Data'!$A$2:$C$88,3,FALSE)</f>
        <v>28</v>
      </c>
      <c r="F33" s="253">
        <f>VLOOKUP($A33,'PA Data'!$A$2:$D$88,4,FALSE)</f>
        <v>24</v>
      </c>
      <c r="G33" s="253" t="s">
        <v>63</v>
      </c>
      <c r="H33" s="253" t="s">
        <v>63</v>
      </c>
      <c r="I33" s="253" t="s">
        <v>63</v>
      </c>
      <c r="J33" s="253" t="s">
        <v>63</v>
      </c>
      <c r="K33" s="274" t="s">
        <v>63</v>
      </c>
      <c r="L33" s="254" t="s">
        <v>63</v>
      </c>
      <c r="M33" s="255" t="s">
        <v>63</v>
      </c>
      <c r="N33" s="253" t="s">
        <v>63</v>
      </c>
      <c r="O33" s="253" t="s">
        <v>63</v>
      </c>
      <c r="P33" s="261">
        <f>ifna(vlookup(A33,'Population &amp; Church Numbers'!$A$2247:$D$2313,4,FALSE),"NULL")</f>
        <v>93</v>
      </c>
      <c r="Q33" s="262" t="s">
        <v>63</v>
      </c>
    </row>
    <row r="34">
      <c r="A34" s="188" t="s">
        <v>49</v>
      </c>
      <c r="B34" s="189">
        <f t="array" ref="B34">VLOOKUP($A34,PA_DEMO,2,FALSE)</f>
        <v>83246</v>
      </c>
      <c r="C34" s="265">
        <f>VLOOKUP($A34,'PA Data'!$A$2:$B$88,2,FALSE)</f>
        <v>73</v>
      </c>
      <c r="D34" s="265" t="s">
        <v>63</v>
      </c>
      <c r="E34" s="265">
        <f>VLOOKUP($A34,'PA Data'!$A$2:$C$88,3,FALSE)</f>
        <v>47</v>
      </c>
      <c r="F34" s="265" t="str">
        <f>VLOOKUP($A34,'PA Data'!$A$2:$D$88,4,FALSE)</f>
        <v>S</v>
      </c>
      <c r="G34" s="265" t="s">
        <v>63</v>
      </c>
      <c r="H34" s="265" t="s">
        <v>63</v>
      </c>
      <c r="I34" s="265" t="s">
        <v>63</v>
      </c>
      <c r="J34" s="265" t="s">
        <v>63</v>
      </c>
      <c r="K34" s="284" t="s">
        <v>63</v>
      </c>
      <c r="L34" s="266" t="s">
        <v>63</v>
      </c>
      <c r="M34" s="267" t="s">
        <v>63</v>
      </c>
      <c r="N34" s="265" t="s">
        <v>63</v>
      </c>
      <c r="O34" s="265" t="s">
        <v>63</v>
      </c>
      <c r="P34" s="272">
        <f>ifna(vlookup(A34,'Population &amp; Church Numbers'!$A$2247:$D$2313,4,FALSE),"NULL")</f>
        <v>112</v>
      </c>
      <c r="Q34" s="273" t="s">
        <v>63</v>
      </c>
    </row>
    <row r="35">
      <c r="A35" s="326" t="s">
        <v>143</v>
      </c>
      <c r="B35" s="251">
        <f t="array" ref="B35">VLOOKUP($A35,PA_DEMO,2,FALSE)</f>
        <v>44492</v>
      </c>
      <c r="C35" s="253">
        <f>VLOOKUP($A35,'PA Data'!$A$2:$B$88,2,FALSE)</f>
        <v>82</v>
      </c>
      <c r="D35" s="253" t="s">
        <v>63</v>
      </c>
      <c r="E35" s="253">
        <f>VLOOKUP($A35,'PA Data'!$A$2:$C$88,3,FALSE)</f>
        <v>35</v>
      </c>
      <c r="F35" s="253">
        <f>VLOOKUP($A35,'PA Data'!$A$2:$D$88,4,FALSE)</f>
        <v>29</v>
      </c>
      <c r="G35" s="253" t="s">
        <v>63</v>
      </c>
      <c r="H35" s="253" t="s">
        <v>63</v>
      </c>
      <c r="I35" s="253" t="s">
        <v>63</v>
      </c>
      <c r="J35" s="253" t="s">
        <v>63</v>
      </c>
      <c r="K35" s="274" t="s">
        <v>63</v>
      </c>
      <c r="L35" s="254" t="s">
        <v>63</v>
      </c>
      <c r="M35" s="255" t="s">
        <v>63</v>
      </c>
      <c r="N35" s="253" t="s">
        <v>63</v>
      </c>
      <c r="O35" s="253" t="s">
        <v>63</v>
      </c>
      <c r="P35" s="261">
        <f>ifna(vlookup(A35,'Population &amp; Church Numbers'!$A$2247:$D$2313,4,FALSE),"NULL")</f>
        <v>74</v>
      </c>
      <c r="Q35" s="262" t="s">
        <v>63</v>
      </c>
    </row>
    <row r="36">
      <c r="A36" s="188" t="s">
        <v>1795</v>
      </c>
      <c r="B36" s="189">
        <f t="array" ref="B36">VLOOKUP($A36,PA_DEMO,2,FALSE)</f>
        <v>23509</v>
      </c>
      <c r="C36" s="265">
        <f>VLOOKUP($A36,'PA Data'!$A$2:$B$88,2,FALSE)</f>
        <v>21</v>
      </c>
      <c r="D36" s="265" t="s">
        <v>63</v>
      </c>
      <c r="E36" s="265">
        <f>VLOOKUP($A36,'PA Data'!$A$2:$C$88,3,FALSE)</f>
        <v>13</v>
      </c>
      <c r="F36" s="265" t="str">
        <f>VLOOKUP($A36,'PA Data'!$A$2:$D$88,4,FALSE)</f>
        <v>S</v>
      </c>
      <c r="G36" s="265" t="s">
        <v>63</v>
      </c>
      <c r="H36" s="265" t="s">
        <v>63</v>
      </c>
      <c r="I36" s="265" t="s">
        <v>63</v>
      </c>
      <c r="J36" s="265" t="s">
        <v>63</v>
      </c>
      <c r="K36" s="284" t="s">
        <v>63</v>
      </c>
      <c r="L36" s="266" t="s">
        <v>63</v>
      </c>
      <c r="M36" s="267" t="s">
        <v>63</v>
      </c>
      <c r="N36" s="265" t="s">
        <v>63</v>
      </c>
      <c r="O36" s="265" t="s">
        <v>63</v>
      </c>
      <c r="P36" s="272">
        <f>ifna(vlookup(A36,'Population &amp; Church Numbers'!$A$2247:$D$2313,4,FALSE),"NULL")</f>
        <v>43</v>
      </c>
      <c r="Q36" s="273" t="s">
        <v>63</v>
      </c>
    </row>
    <row r="37">
      <c r="A37" s="326" t="s">
        <v>1796</v>
      </c>
      <c r="B37" s="251">
        <f t="array" ref="B37">VLOOKUP($A37,PA_DEMO,2,FALSE)</f>
        <v>215896</v>
      </c>
      <c r="C37" s="253">
        <f>VLOOKUP($A37,'PA Data'!$A$2:$B$88,2,FALSE)</f>
        <v>171</v>
      </c>
      <c r="D37" s="253" t="s">
        <v>63</v>
      </c>
      <c r="E37" s="253">
        <f>VLOOKUP($A37,'PA Data'!$A$2:$C$88,3,FALSE)</f>
        <v>73</v>
      </c>
      <c r="F37" s="253">
        <f>VLOOKUP($A37,'PA Data'!$A$2:$D$88,4,FALSE)</f>
        <v>71</v>
      </c>
      <c r="G37" s="253" t="s">
        <v>63</v>
      </c>
      <c r="H37" s="253" t="s">
        <v>63</v>
      </c>
      <c r="I37" s="253" t="s">
        <v>63</v>
      </c>
      <c r="J37" s="253" t="s">
        <v>63</v>
      </c>
      <c r="K37" s="274" t="s">
        <v>63</v>
      </c>
      <c r="L37" s="254" t="s">
        <v>63</v>
      </c>
      <c r="M37" s="255" t="s">
        <v>63</v>
      </c>
      <c r="N37" s="253" t="s">
        <v>63</v>
      </c>
      <c r="O37" s="253" t="s">
        <v>63</v>
      </c>
      <c r="P37" s="261">
        <f>ifna(vlookup(A37,'Population &amp; Church Numbers'!$A$2247:$D$2313,4,FALSE),"NULL")</f>
        <v>170</v>
      </c>
      <c r="Q37" s="262" t="s">
        <v>63</v>
      </c>
    </row>
    <row r="38">
      <c r="A38" s="188" t="s">
        <v>650</v>
      </c>
      <c r="B38" s="189">
        <f t="array" ref="B38">VLOOKUP($A38,PA_DEMO,2,FALSE)</f>
        <v>552984</v>
      </c>
      <c r="C38" s="265">
        <f>VLOOKUP($A38,'PA Data'!$A$2:$B$88,2,FALSE)</f>
        <v>342</v>
      </c>
      <c r="D38" s="265" t="s">
        <v>63</v>
      </c>
      <c r="E38" s="265">
        <f>VLOOKUP($A38,'PA Data'!$A$2:$C$88,3,FALSE)</f>
        <v>152</v>
      </c>
      <c r="F38" s="265">
        <f>VLOOKUP($A38,'PA Data'!$A$2:$D$88,4,FALSE)</f>
        <v>121</v>
      </c>
      <c r="G38" s="265" t="s">
        <v>63</v>
      </c>
      <c r="H38" s="265" t="s">
        <v>63</v>
      </c>
      <c r="I38" s="265" t="s">
        <v>63</v>
      </c>
      <c r="J38" s="265" t="s">
        <v>63</v>
      </c>
      <c r="K38" s="284" t="s">
        <v>63</v>
      </c>
      <c r="L38" s="266" t="s">
        <v>63</v>
      </c>
      <c r="M38" s="267" t="s">
        <v>63</v>
      </c>
      <c r="N38" s="265" t="s">
        <v>63</v>
      </c>
      <c r="O38" s="265" t="s">
        <v>63</v>
      </c>
      <c r="P38" s="272">
        <f>ifna(vlookup(A38,'Population &amp; Church Numbers'!$A$2247:$D$2313,4,FALSE),"NULL")</f>
        <v>542</v>
      </c>
      <c r="Q38" s="273" t="s">
        <v>63</v>
      </c>
    </row>
    <row r="39">
      <c r="A39" s="326" t="s">
        <v>146</v>
      </c>
      <c r="B39" s="251">
        <f t="array" ref="B39">VLOOKUP($A39,PA_DEMO,2,FALSE)</f>
        <v>86070</v>
      </c>
      <c r="C39" s="253">
        <f>VLOOKUP($A39,'PA Data'!$A$2:$B$88,2,FALSE)</f>
        <v>232</v>
      </c>
      <c r="D39" s="253" t="s">
        <v>63</v>
      </c>
      <c r="E39" s="253">
        <f>VLOOKUP($A39,'PA Data'!$A$2:$C$88,3,FALSE)</f>
        <v>104</v>
      </c>
      <c r="F39" s="253">
        <f>VLOOKUP($A39,'PA Data'!$A$2:$D$88,4,FALSE)</f>
        <v>97</v>
      </c>
      <c r="G39" s="253" t="s">
        <v>63</v>
      </c>
      <c r="H39" s="253" t="s">
        <v>63</v>
      </c>
      <c r="I39" s="253" t="s">
        <v>63</v>
      </c>
      <c r="J39" s="253" t="s">
        <v>63</v>
      </c>
      <c r="K39" s="274" t="s">
        <v>63</v>
      </c>
      <c r="L39" s="254" t="s">
        <v>63</v>
      </c>
      <c r="M39" s="255" t="s">
        <v>63</v>
      </c>
      <c r="N39" s="253" t="s">
        <v>63</v>
      </c>
      <c r="O39" s="253" t="s">
        <v>63</v>
      </c>
      <c r="P39" s="261">
        <f>ifna(vlookup(A39,'Population &amp; Church Numbers'!$A$2247:$D$2313,4,FALSE),"NULL")</f>
        <v>118</v>
      </c>
      <c r="Q39" s="262" t="s">
        <v>63</v>
      </c>
    </row>
    <row r="40">
      <c r="A40" s="188" t="s">
        <v>1797</v>
      </c>
      <c r="B40" s="189">
        <f t="array" ref="B40">VLOOKUP($A40,PA_DEMO,2,FALSE)</f>
        <v>143257</v>
      </c>
      <c r="C40" s="265">
        <f>VLOOKUP($A40,'PA Data'!$A$2:$B$88,2,FALSE)</f>
        <v>136</v>
      </c>
      <c r="D40" s="265" t="s">
        <v>63</v>
      </c>
      <c r="E40" s="265">
        <f>VLOOKUP($A40,'PA Data'!$A$2:$C$88,3,FALSE)</f>
        <v>77</v>
      </c>
      <c r="F40" s="265">
        <f>VLOOKUP($A40,'PA Data'!$A$2:$D$88,4,FALSE)</f>
        <v>29</v>
      </c>
      <c r="G40" s="265" t="s">
        <v>63</v>
      </c>
      <c r="H40" s="265" t="s">
        <v>63</v>
      </c>
      <c r="I40" s="265" t="s">
        <v>63</v>
      </c>
      <c r="J40" s="265" t="s">
        <v>63</v>
      </c>
      <c r="K40" s="284" t="s">
        <v>63</v>
      </c>
      <c r="L40" s="266" t="s">
        <v>63</v>
      </c>
      <c r="M40" s="267" t="s">
        <v>63</v>
      </c>
      <c r="N40" s="265" t="s">
        <v>63</v>
      </c>
      <c r="O40" s="265" t="s">
        <v>63</v>
      </c>
      <c r="P40" s="272">
        <f>ifna(vlookup(A40,'Population &amp; Church Numbers'!$A$2247:$D$2313,4,FALSE),"NULL")</f>
        <v>144</v>
      </c>
      <c r="Q40" s="273" t="s">
        <v>63</v>
      </c>
    </row>
    <row r="41">
      <c r="A41" s="326" t="s">
        <v>1798</v>
      </c>
      <c r="B41" s="251">
        <f t="array" ref="B41">VLOOKUP($A41,PA_DEMO,2,FALSE)</f>
        <v>374557</v>
      </c>
      <c r="C41" s="253">
        <f>VLOOKUP($A41,'PA Data'!$A$2:$B$88,2,FALSE)</f>
        <v>282</v>
      </c>
      <c r="D41" s="253" t="s">
        <v>63</v>
      </c>
      <c r="E41" s="253">
        <f>VLOOKUP($A41,'PA Data'!$A$2:$C$88,3,FALSE)</f>
        <v>126</v>
      </c>
      <c r="F41" s="253">
        <f>VLOOKUP($A41,'PA Data'!$A$2:$D$88,4,FALSE)</f>
        <v>121</v>
      </c>
      <c r="G41" s="253" t="s">
        <v>63</v>
      </c>
      <c r="H41" s="253" t="s">
        <v>63</v>
      </c>
      <c r="I41" s="253" t="s">
        <v>63</v>
      </c>
      <c r="J41" s="253" t="s">
        <v>63</v>
      </c>
      <c r="K41" s="274" t="s">
        <v>63</v>
      </c>
      <c r="L41" s="254" t="s">
        <v>63</v>
      </c>
      <c r="M41" s="255" t="s">
        <v>63</v>
      </c>
      <c r="N41" s="253" t="s">
        <v>63</v>
      </c>
      <c r="O41" s="253" t="s">
        <v>63</v>
      </c>
      <c r="P41" s="261">
        <f>ifna(vlookup(A41,'Population &amp; Church Numbers'!$A$2247:$D$2313,4,FALSE),"NULL")</f>
        <v>235</v>
      </c>
      <c r="Q41" s="262" t="s">
        <v>63</v>
      </c>
    </row>
    <row r="42">
      <c r="A42" s="188" t="s">
        <v>1799</v>
      </c>
      <c r="B42" s="189">
        <f t="array" ref="B42">VLOOKUP($A42,PA_DEMO,2,FALSE)</f>
        <v>325594</v>
      </c>
      <c r="C42" s="265">
        <f>VLOOKUP($A42,'PA Data'!$A$2:$B$88,2,FALSE)</f>
        <v>524</v>
      </c>
      <c r="D42" s="265" t="s">
        <v>63</v>
      </c>
      <c r="E42" s="265">
        <f>VLOOKUP($A42,'PA Data'!$A$2:$C$88,3,FALSE)</f>
        <v>254</v>
      </c>
      <c r="F42" s="265">
        <f>VLOOKUP($A42,'PA Data'!$A$2:$D$88,4,FALSE)</f>
        <v>242</v>
      </c>
      <c r="G42" s="265" t="s">
        <v>63</v>
      </c>
      <c r="H42" s="265" t="s">
        <v>63</v>
      </c>
      <c r="I42" s="265" t="s">
        <v>63</v>
      </c>
      <c r="J42" s="265" t="s">
        <v>63</v>
      </c>
      <c r="K42" s="284" t="s">
        <v>63</v>
      </c>
      <c r="L42" s="266" t="s">
        <v>63</v>
      </c>
      <c r="M42" s="267" t="s">
        <v>63</v>
      </c>
      <c r="N42" s="265" t="s">
        <v>63</v>
      </c>
      <c r="O42" s="265" t="s">
        <v>63</v>
      </c>
      <c r="P42" s="272">
        <f>ifna(vlookup(A42,'Population &amp; Church Numbers'!$A$2247:$D$2313,4,FALSE),"NULL")</f>
        <v>271</v>
      </c>
      <c r="Q42" s="273" t="s">
        <v>63</v>
      </c>
    </row>
    <row r="43">
      <c r="A43" s="326" t="s">
        <v>1800</v>
      </c>
      <c r="B43" s="251">
        <f t="array" ref="B43">VLOOKUP($A43,PA_DEMO,2,FALSE)</f>
        <v>114188</v>
      </c>
      <c r="C43" s="253">
        <f>VLOOKUP($A43,'PA Data'!$A$2:$B$88,2,FALSE)</f>
        <v>44</v>
      </c>
      <c r="D43" s="253" t="s">
        <v>63</v>
      </c>
      <c r="E43" s="253">
        <f>VLOOKUP($A43,'PA Data'!$A$2:$C$88,3,FALSE)</f>
        <v>25</v>
      </c>
      <c r="F43" s="253">
        <f>VLOOKUP($A43,'PA Data'!$A$2:$D$88,4,FALSE)</f>
        <v>17</v>
      </c>
      <c r="G43" s="253" t="s">
        <v>63</v>
      </c>
      <c r="H43" s="253" t="s">
        <v>63</v>
      </c>
      <c r="I43" s="253" t="s">
        <v>63</v>
      </c>
      <c r="J43" s="253" t="s">
        <v>63</v>
      </c>
      <c r="K43" s="274" t="s">
        <v>63</v>
      </c>
      <c r="L43" s="254" t="s">
        <v>63</v>
      </c>
      <c r="M43" s="255" t="s">
        <v>63</v>
      </c>
      <c r="N43" s="253" t="s">
        <v>63</v>
      </c>
      <c r="O43" s="253" t="s">
        <v>63</v>
      </c>
      <c r="P43" s="261">
        <f>ifna(vlookup(A43,'Population &amp; Church Numbers'!$A$2247:$D$2313,4,FALSE),"NULL")</f>
        <v>145</v>
      </c>
      <c r="Q43" s="262" t="s">
        <v>63</v>
      </c>
    </row>
    <row r="44">
      <c r="A44" s="188" t="s">
        <v>1801</v>
      </c>
      <c r="B44" s="189">
        <f t="array" ref="B44">VLOOKUP($A44,PA_DEMO,2,FALSE)</f>
        <v>40432</v>
      </c>
      <c r="C44" s="265">
        <f>VLOOKUP($A44,'PA Data'!$A$2:$B$88,2,FALSE)</f>
        <v>87</v>
      </c>
      <c r="D44" s="265" t="s">
        <v>63</v>
      </c>
      <c r="E44" s="265">
        <f>VLOOKUP($A44,'PA Data'!$A$2:$C$88,3,FALSE)</f>
        <v>45</v>
      </c>
      <c r="F44" s="265">
        <f>VLOOKUP($A44,'PA Data'!$A$2:$D$88,4,FALSE)</f>
        <v>20</v>
      </c>
      <c r="G44" s="265" t="s">
        <v>63</v>
      </c>
      <c r="H44" s="265" t="s">
        <v>63</v>
      </c>
      <c r="I44" s="265" t="s">
        <v>63</v>
      </c>
      <c r="J44" s="265" t="s">
        <v>63</v>
      </c>
      <c r="K44" s="284" t="s">
        <v>63</v>
      </c>
      <c r="L44" s="266" t="s">
        <v>63</v>
      </c>
      <c r="M44" s="267" t="s">
        <v>63</v>
      </c>
      <c r="N44" s="265" t="s">
        <v>63</v>
      </c>
      <c r="O44" s="265" t="s">
        <v>63</v>
      </c>
      <c r="P44" s="272">
        <f>ifna(vlookup(A44,'Population &amp; Church Numbers'!$A$2247:$D$2313,4,FALSE),"NULL")</f>
        <v>60</v>
      </c>
      <c r="Q44" s="273" t="s">
        <v>63</v>
      </c>
    </row>
    <row r="45">
      <c r="A45" s="326" t="s">
        <v>738</v>
      </c>
      <c r="B45" s="251">
        <f t="array" ref="B45">VLOOKUP($A45,PA_DEMO,2,FALSE)</f>
        <v>110652</v>
      </c>
      <c r="C45" s="253">
        <f>VLOOKUP($A45,'PA Data'!$A$2:$B$88,2,FALSE)</f>
        <v>46</v>
      </c>
      <c r="D45" s="253" t="s">
        <v>63</v>
      </c>
      <c r="E45" s="253">
        <f>VLOOKUP($A45,'PA Data'!$A$2:$C$88,3,FALSE)</f>
        <v>17</v>
      </c>
      <c r="F45" s="253">
        <f>VLOOKUP($A45,'PA Data'!$A$2:$D$88,4,FALSE)</f>
        <v>27</v>
      </c>
      <c r="G45" s="253" t="s">
        <v>63</v>
      </c>
      <c r="H45" s="253" t="s">
        <v>63</v>
      </c>
      <c r="I45" s="253" t="s">
        <v>63</v>
      </c>
      <c r="J45" s="253" t="s">
        <v>63</v>
      </c>
      <c r="K45" s="274" t="s">
        <v>63</v>
      </c>
      <c r="L45" s="254" t="s">
        <v>63</v>
      </c>
      <c r="M45" s="255" t="s">
        <v>63</v>
      </c>
      <c r="N45" s="253" t="s">
        <v>63</v>
      </c>
      <c r="O45" s="253" t="s">
        <v>63</v>
      </c>
      <c r="P45" s="261">
        <f>ifna(vlookup(A45,'Population &amp; Church Numbers'!$A$2247:$D$2313,4,FALSE),"NULL")</f>
        <v>159</v>
      </c>
      <c r="Q45" s="262" t="s">
        <v>63</v>
      </c>
    </row>
    <row r="46">
      <c r="A46" s="188" t="s">
        <v>1802</v>
      </c>
      <c r="B46" s="189">
        <f t="array" ref="B46">VLOOKUP($A46,PA_DEMO,2,FALSE)</f>
        <v>46143</v>
      </c>
      <c r="C46" s="265">
        <f>VLOOKUP($A46,'PA Data'!$A$2:$B$88,2,FALSE)</f>
        <v>36</v>
      </c>
      <c r="D46" s="265" t="s">
        <v>63</v>
      </c>
      <c r="E46" s="265">
        <f>VLOOKUP($A46,'PA Data'!$A$2:$C$88,3,FALSE)</f>
        <v>18</v>
      </c>
      <c r="F46" s="265">
        <f>VLOOKUP($A46,'PA Data'!$A$2:$D$88,4,FALSE)</f>
        <v>11</v>
      </c>
      <c r="G46" s="265" t="s">
        <v>63</v>
      </c>
      <c r="H46" s="265" t="s">
        <v>63</v>
      </c>
      <c r="I46" s="265" t="s">
        <v>63</v>
      </c>
      <c r="J46" s="265" t="s">
        <v>63</v>
      </c>
      <c r="K46" s="284" t="s">
        <v>63</v>
      </c>
      <c r="L46" s="266" t="s">
        <v>63</v>
      </c>
      <c r="M46" s="267" t="s">
        <v>63</v>
      </c>
      <c r="N46" s="265" t="s">
        <v>63</v>
      </c>
      <c r="O46" s="265" t="s">
        <v>63</v>
      </c>
      <c r="P46" s="272">
        <f>ifna(vlookup(A46,'Population &amp; Church Numbers'!$A$2247:$D$2313,4,FALSE),"NULL")</f>
        <v>71</v>
      </c>
      <c r="Q46" s="273" t="s">
        <v>63</v>
      </c>
    </row>
    <row r="47">
      <c r="A47" s="326" t="s">
        <v>156</v>
      </c>
      <c r="B47" s="251">
        <f t="array" ref="B47">VLOOKUP($A47,PA_DEMO,2,FALSE)</f>
        <v>168327</v>
      </c>
      <c r="C47" s="253">
        <f>VLOOKUP($A47,'PA Data'!$A$2:$B$88,2,FALSE)</f>
        <v>157</v>
      </c>
      <c r="D47" s="253" t="s">
        <v>63</v>
      </c>
      <c r="E47" s="253">
        <f>VLOOKUP($A47,'PA Data'!$A$2:$C$88,3,FALSE)</f>
        <v>72</v>
      </c>
      <c r="F47" s="253">
        <f>VLOOKUP($A47,'PA Data'!$A$2:$D$88,4,FALSE)</f>
        <v>49</v>
      </c>
      <c r="G47" s="253" t="s">
        <v>63</v>
      </c>
      <c r="H47" s="253" t="s">
        <v>63</v>
      </c>
      <c r="I47" s="253" t="s">
        <v>63</v>
      </c>
      <c r="J47" s="253" t="s">
        <v>63</v>
      </c>
      <c r="K47" s="274" t="s">
        <v>63</v>
      </c>
      <c r="L47" s="254" t="s">
        <v>63</v>
      </c>
      <c r="M47" s="255" t="s">
        <v>63</v>
      </c>
      <c r="N47" s="253" t="s">
        <v>63</v>
      </c>
      <c r="O47" s="253" t="s">
        <v>63</v>
      </c>
      <c r="P47" s="261">
        <f>ifna(vlookup(A47,'Population &amp; Church Numbers'!$A$2247:$D$2313,4,FALSE),"NULL")</f>
        <v>91</v>
      </c>
      <c r="Q47" s="262" t="s">
        <v>63</v>
      </c>
    </row>
    <row r="48">
      <c r="A48" s="188" t="s">
        <v>157</v>
      </c>
      <c r="B48" s="189">
        <f t="array" ref="B48">VLOOKUP($A48,PA_DEMO,2,FALSE)</f>
        <v>856553</v>
      </c>
      <c r="C48" s="265">
        <f>VLOOKUP($A48,'PA Data'!$A$2:$B$88,2,FALSE)</f>
        <v>265</v>
      </c>
      <c r="D48" s="265" t="s">
        <v>63</v>
      </c>
      <c r="E48" s="265">
        <f>VLOOKUP($A48,'PA Data'!$A$2:$C$88,3,FALSE)</f>
        <v>130</v>
      </c>
      <c r="F48" s="265">
        <f>VLOOKUP($A48,'PA Data'!$A$2:$D$88,4,FALSE)</f>
        <v>84</v>
      </c>
      <c r="G48" s="265" t="s">
        <v>63</v>
      </c>
      <c r="H48" s="265" t="s">
        <v>63</v>
      </c>
      <c r="I48" s="265" t="s">
        <v>63</v>
      </c>
      <c r="J48" s="265" t="s">
        <v>63</v>
      </c>
      <c r="K48" s="284" t="s">
        <v>63</v>
      </c>
      <c r="L48" s="266" t="s">
        <v>63</v>
      </c>
      <c r="M48" s="267" t="s">
        <v>63</v>
      </c>
      <c r="N48" s="265" t="s">
        <v>63</v>
      </c>
      <c r="O48" s="265" t="s">
        <v>63</v>
      </c>
      <c r="P48" s="272">
        <f>ifna(vlookup(A48,'Population &amp; Church Numbers'!$A$2247:$D$2313,4,FALSE),"NULL")</f>
        <v>479</v>
      </c>
      <c r="Q48" s="273" t="s">
        <v>63</v>
      </c>
    </row>
    <row r="49">
      <c r="A49" s="326" t="s">
        <v>1803</v>
      </c>
      <c r="B49" s="251">
        <f t="array" ref="B49">VLOOKUP($A49,PA_DEMO,2,FALSE)</f>
        <v>18136</v>
      </c>
      <c r="C49" s="253" t="str">
        <f>VLOOKUP($A49,'PA Data'!$A$2:$B$88,2,FALSE)</f>
        <v>S</v>
      </c>
      <c r="D49" s="253" t="s">
        <v>63</v>
      </c>
      <c r="E49" s="253" t="str">
        <f>VLOOKUP($A49,'PA Data'!$A$2:$C$88,3,FALSE)</f>
        <v>S</v>
      </c>
      <c r="F49" s="253">
        <f>VLOOKUP($A49,'PA Data'!$A$2:$D$88,4,FALSE)</f>
        <v>0</v>
      </c>
      <c r="G49" s="253" t="s">
        <v>63</v>
      </c>
      <c r="H49" s="253" t="s">
        <v>63</v>
      </c>
      <c r="I49" s="253" t="s">
        <v>63</v>
      </c>
      <c r="J49" s="253" t="s">
        <v>63</v>
      </c>
      <c r="K49" s="274" t="s">
        <v>63</v>
      </c>
      <c r="L49" s="254" t="s">
        <v>63</v>
      </c>
      <c r="M49" s="255" t="s">
        <v>63</v>
      </c>
      <c r="N49" s="253" t="s">
        <v>63</v>
      </c>
      <c r="O49" s="253" t="s">
        <v>63</v>
      </c>
      <c r="P49" s="261">
        <f>ifna(vlookup(A49,'Population &amp; Church Numbers'!$A$2247:$D$2313,4,FALSE),"NULL")</f>
        <v>20</v>
      </c>
      <c r="Q49" s="262" t="s">
        <v>63</v>
      </c>
    </row>
    <row r="50">
      <c r="A50" s="188" t="s">
        <v>1618</v>
      </c>
      <c r="B50" s="189">
        <f t="array" ref="B50">VLOOKUP($A50,PA_DEMO,2,FALSE)</f>
        <v>312951</v>
      </c>
      <c r="C50" s="265">
        <f>VLOOKUP($A50,'PA Data'!$A$2:$B$88,2,FALSE)</f>
        <v>288</v>
      </c>
      <c r="D50" s="265" t="s">
        <v>63</v>
      </c>
      <c r="E50" s="265">
        <f>VLOOKUP($A50,'PA Data'!$A$2:$C$88,3,FALSE)</f>
        <v>99</v>
      </c>
      <c r="F50" s="265">
        <f>VLOOKUP($A50,'PA Data'!$A$2:$D$88,4,FALSE)</f>
        <v>147</v>
      </c>
      <c r="G50" s="265" t="s">
        <v>63</v>
      </c>
      <c r="H50" s="265" t="s">
        <v>63</v>
      </c>
      <c r="I50" s="265" t="s">
        <v>63</v>
      </c>
      <c r="J50" s="265" t="s">
        <v>63</v>
      </c>
      <c r="K50" s="284" t="s">
        <v>63</v>
      </c>
      <c r="L50" s="266" t="s">
        <v>63</v>
      </c>
      <c r="M50" s="267" t="s">
        <v>63</v>
      </c>
      <c r="N50" s="265" t="s">
        <v>63</v>
      </c>
      <c r="O50" s="265" t="s">
        <v>63</v>
      </c>
      <c r="P50" s="272">
        <f>ifna(vlookup(A50,'Population &amp; Church Numbers'!$A$2247:$D$2313,4,FALSE),"NULL")</f>
        <v>196</v>
      </c>
      <c r="Q50" s="273" t="s">
        <v>63</v>
      </c>
    </row>
    <row r="51">
      <c r="A51" s="326" t="s">
        <v>1804</v>
      </c>
      <c r="B51" s="251">
        <f t="array" ref="B51">VLOOKUP($A51,PA_DEMO,2,FALSE)</f>
        <v>91647</v>
      </c>
      <c r="C51" s="253">
        <f>VLOOKUP($A51,'PA Data'!$A$2:$B$88,2,FALSE)</f>
        <v>83</v>
      </c>
      <c r="D51" s="253" t="s">
        <v>63</v>
      </c>
      <c r="E51" s="253">
        <f>VLOOKUP($A51,'PA Data'!$A$2:$C$88,3,FALSE)</f>
        <v>40</v>
      </c>
      <c r="F51" s="253">
        <f>VLOOKUP($A51,'PA Data'!$A$2:$D$88,4,FALSE)</f>
        <v>31</v>
      </c>
      <c r="G51" s="253" t="s">
        <v>63</v>
      </c>
      <c r="H51" s="253" t="s">
        <v>63</v>
      </c>
      <c r="I51" s="253" t="s">
        <v>63</v>
      </c>
      <c r="J51" s="253" t="s">
        <v>63</v>
      </c>
      <c r="K51" s="274" t="s">
        <v>63</v>
      </c>
      <c r="L51" s="254" t="s">
        <v>63</v>
      </c>
      <c r="M51" s="255" t="s">
        <v>63</v>
      </c>
      <c r="N51" s="253" t="s">
        <v>63</v>
      </c>
      <c r="O51" s="253" t="s">
        <v>63</v>
      </c>
      <c r="P51" s="261">
        <f>ifna(vlookup(A51,'Population &amp; Church Numbers'!$A$2247:$D$2313,4,FALSE),"NULL")</f>
        <v>132</v>
      </c>
      <c r="Q51" s="262" t="s">
        <v>63</v>
      </c>
    </row>
    <row r="52">
      <c r="A52" s="188" t="s">
        <v>159</v>
      </c>
      <c r="B52" s="189">
        <f t="array" ref="B52">VLOOKUP($A52,PA_DEMO,2,FALSE)</f>
        <v>45842</v>
      </c>
      <c r="C52" s="265">
        <f>VLOOKUP($A52,'PA Data'!$A$2:$B$88,2,FALSE)</f>
        <v>23</v>
      </c>
      <c r="D52" s="265" t="s">
        <v>63</v>
      </c>
      <c r="E52" s="265">
        <f>VLOOKUP($A52,'PA Data'!$A$2:$C$88,3,FALSE)</f>
        <v>12</v>
      </c>
      <c r="F52" s="265" t="str">
        <f>VLOOKUP($A52,'PA Data'!$A$2:$D$88,4,FALSE)</f>
        <v>S</v>
      </c>
      <c r="G52" s="265" t="s">
        <v>63</v>
      </c>
      <c r="H52" s="265" t="s">
        <v>63</v>
      </c>
      <c r="I52" s="265" t="s">
        <v>63</v>
      </c>
      <c r="J52" s="265" t="s">
        <v>63</v>
      </c>
      <c r="K52" s="284" t="s">
        <v>63</v>
      </c>
      <c r="L52" s="266" t="s">
        <v>63</v>
      </c>
      <c r="M52" s="267" t="s">
        <v>63</v>
      </c>
      <c r="N52" s="265" t="s">
        <v>63</v>
      </c>
      <c r="O52" s="265" t="s">
        <v>63</v>
      </c>
      <c r="P52" s="272">
        <f>ifna(vlookup(A52,'Population &amp; Church Numbers'!$A$2247:$D$2313,4,FALSE),"NULL")</f>
        <v>63</v>
      </c>
      <c r="Q52" s="273" t="s">
        <v>63</v>
      </c>
    </row>
    <row r="53">
      <c r="A53" s="326" t="s">
        <v>286</v>
      </c>
      <c r="B53" s="251">
        <f t="array" ref="B53">VLOOKUP($A53,PA_DEMO,2,FALSE)</f>
        <v>1603797</v>
      </c>
      <c r="C53" s="253">
        <f>VLOOKUP($A53,'PA Data'!$A$2:$B$88,2,FALSE)</f>
        <v>3753</v>
      </c>
      <c r="D53" s="253" t="s">
        <v>63</v>
      </c>
      <c r="E53" s="253">
        <f>VLOOKUP($A53,'PA Data'!$A$2:$C$88,3,FALSE)</f>
        <v>1452</v>
      </c>
      <c r="F53" s="253">
        <f>VLOOKUP($A53,'PA Data'!$A$2:$D$88,4,FALSE)</f>
        <v>1850</v>
      </c>
      <c r="G53" s="253" t="s">
        <v>63</v>
      </c>
      <c r="H53" s="253" t="s">
        <v>63</v>
      </c>
      <c r="I53" s="253" t="s">
        <v>63</v>
      </c>
      <c r="J53" s="253" t="s">
        <v>63</v>
      </c>
      <c r="K53" s="274" t="s">
        <v>63</v>
      </c>
      <c r="L53" s="254" t="s">
        <v>63</v>
      </c>
      <c r="M53" s="255" t="s">
        <v>63</v>
      </c>
      <c r="N53" s="253" t="s">
        <v>63</v>
      </c>
      <c r="O53" s="253" t="s">
        <v>63</v>
      </c>
      <c r="P53" s="261">
        <f>ifna(vlookup(A53,'Population &amp; Church Numbers'!$A$2247:$D$2313,4,FALSE),"NULL")</f>
        <v>1010</v>
      </c>
      <c r="Q53" s="262" t="s">
        <v>63</v>
      </c>
    </row>
    <row r="54">
      <c r="A54" s="188" t="s">
        <v>162</v>
      </c>
      <c r="B54" s="189">
        <f t="array" ref="B54">VLOOKUP($A54,PA_DEMO,2,FALSE)</f>
        <v>58535</v>
      </c>
      <c r="C54" s="265">
        <f>VLOOKUP($A54,'PA Data'!$A$2:$B$88,2,FALSE)</f>
        <v>34</v>
      </c>
      <c r="D54" s="265" t="s">
        <v>63</v>
      </c>
      <c r="E54" s="265">
        <f>VLOOKUP($A54,'PA Data'!$A$2:$C$88,3,FALSE)</f>
        <v>20</v>
      </c>
      <c r="F54" s="265" t="str">
        <f>VLOOKUP($A54,'PA Data'!$A$2:$D$88,4,FALSE)</f>
        <v>S</v>
      </c>
      <c r="G54" s="265" t="s">
        <v>63</v>
      </c>
      <c r="H54" s="265" t="s">
        <v>63</v>
      </c>
      <c r="I54" s="265" t="s">
        <v>63</v>
      </c>
      <c r="J54" s="265" t="s">
        <v>63</v>
      </c>
      <c r="K54" s="284" t="s">
        <v>63</v>
      </c>
      <c r="L54" s="266" t="s">
        <v>63</v>
      </c>
      <c r="M54" s="267" t="s">
        <v>63</v>
      </c>
      <c r="N54" s="265" t="s">
        <v>63</v>
      </c>
      <c r="O54" s="265" t="s">
        <v>63</v>
      </c>
      <c r="P54" s="272">
        <f>ifna(vlookup(A54,'Population &amp; Church Numbers'!$A$2247:$D$2313,4,FALSE),"NULL")</f>
        <v>28</v>
      </c>
      <c r="Q54" s="273" t="s">
        <v>63</v>
      </c>
    </row>
    <row r="55">
      <c r="A55" s="326" t="s">
        <v>1805</v>
      </c>
      <c r="B55" s="251">
        <f t="array" ref="B55">VLOOKUP($A55,PA_DEMO,2,FALSE)</f>
        <v>16396</v>
      </c>
      <c r="C55" s="253" t="str">
        <f>VLOOKUP($A55,'PA Data'!$A$2:$B$88,2,FALSE)</f>
        <v>S</v>
      </c>
      <c r="D55" s="253" t="s">
        <v>63</v>
      </c>
      <c r="E55" s="253" t="str">
        <f>VLOOKUP($A55,'PA Data'!$A$2:$C$88,3,FALSE)</f>
        <v>S</v>
      </c>
      <c r="F55" s="253" t="str">
        <f>VLOOKUP($A55,'PA Data'!$A$2:$D$88,4,FALSE)</f>
        <v>S</v>
      </c>
      <c r="G55" s="253" t="s">
        <v>63</v>
      </c>
      <c r="H55" s="253" t="s">
        <v>63</v>
      </c>
      <c r="I55" s="253" t="s">
        <v>63</v>
      </c>
      <c r="J55" s="253" t="s">
        <v>63</v>
      </c>
      <c r="K55" s="274" t="s">
        <v>63</v>
      </c>
      <c r="L55" s="254" t="s">
        <v>63</v>
      </c>
      <c r="M55" s="255" t="s">
        <v>63</v>
      </c>
      <c r="N55" s="253" t="s">
        <v>63</v>
      </c>
      <c r="O55" s="253" t="s">
        <v>63</v>
      </c>
      <c r="P55" s="261">
        <f>ifna(vlookup(A55,'Population &amp; Church Numbers'!$A$2247:$D$2313,4,FALSE),"NULL")</f>
        <v>36</v>
      </c>
      <c r="Q55" s="262" t="s">
        <v>63</v>
      </c>
    </row>
    <row r="56">
      <c r="A56" s="188" t="s">
        <v>1806</v>
      </c>
      <c r="B56" s="189">
        <f t="array" ref="B56">VLOOKUP($A56,PA_DEMO,2,FALSE)</f>
        <v>143049</v>
      </c>
      <c r="C56" s="265">
        <f>VLOOKUP($A56,'PA Data'!$A$2:$B$88,2,FALSE)</f>
        <v>306</v>
      </c>
      <c r="D56" s="265" t="s">
        <v>63</v>
      </c>
      <c r="E56" s="265">
        <f>VLOOKUP($A56,'PA Data'!$A$2:$C$88,3,FALSE)</f>
        <v>218</v>
      </c>
      <c r="F56" s="265">
        <f>VLOOKUP($A56,'PA Data'!$A$2:$D$88,4,FALSE)</f>
        <v>61</v>
      </c>
      <c r="G56" s="265" t="s">
        <v>63</v>
      </c>
      <c r="H56" s="265" t="s">
        <v>63</v>
      </c>
      <c r="I56" s="265" t="s">
        <v>63</v>
      </c>
      <c r="J56" s="265" t="s">
        <v>63</v>
      </c>
      <c r="K56" s="284" t="s">
        <v>63</v>
      </c>
      <c r="L56" s="266" t="s">
        <v>63</v>
      </c>
      <c r="M56" s="267" t="s">
        <v>63</v>
      </c>
      <c r="N56" s="265" t="s">
        <v>63</v>
      </c>
      <c r="O56" s="265" t="s">
        <v>63</v>
      </c>
      <c r="P56" s="272">
        <f>ifna(vlookup(A56,'Population &amp; Church Numbers'!$A$2247:$D$2313,4,FALSE),"NULL")</f>
        <v>167</v>
      </c>
      <c r="Q56" s="273" t="s">
        <v>63</v>
      </c>
    </row>
    <row r="57">
      <c r="A57" s="326" t="s">
        <v>1807</v>
      </c>
      <c r="B57" s="251">
        <f t="array" ref="B57">VLOOKUP($A57,PA_DEMO,2,FALSE)</f>
        <v>39736</v>
      </c>
      <c r="C57" s="253">
        <f>VLOOKUP($A57,'PA Data'!$A$2:$B$88,2,FALSE)</f>
        <v>0</v>
      </c>
      <c r="D57" s="253" t="s">
        <v>63</v>
      </c>
      <c r="E57" s="253">
        <f>VLOOKUP($A57,'PA Data'!$A$2:$C$88,3,FALSE)</f>
        <v>0</v>
      </c>
      <c r="F57" s="253">
        <f>VLOOKUP($A57,'PA Data'!$A$2:$D$88,4,FALSE)</f>
        <v>0</v>
      </c>
      <c r="G57" s="253" t="s">
        <v>63</v>
      </c>
      <c r="H57" s="253" t="s">
        <v>63</v>
      </c>
      <c r="I57" s="253" t="s">
        <v>63</v>
      </c>
      <c r="J57" s="253" t="s">
        <v>63</v>
      </c>
      <c r="K57" s="274" t="s">
        <v>63</v>
      </c>
      <c r="L57" s="254" t="s">
        <v>63</v>
      </c>
      <c r="M57" s="255" t="s">
        <v>63</v>
      </c>
      <c r="N57" s="253" t="s">
        <v>63</v>
      </c>
      <c r="O57" s="253" t="s">
        <v>63</v>
      </c>
      <c r="P57" s="261">
        <f>ifna(vlookup(A57,'Population &amp; Church Numbers'!$A$2247:$D$2313,4,FALSE),"NULL")</f>
        <v>59</v>
      </c>
      <c r="Q57" s="262" t="s">
        <v>63</v>
      </c>
    </row>
    <row r="58">
      <c r="A58" s="188" t="s">
        <v>1194</v>
      </c>
      <c r="B58" s="189">
        <f t="array" ref="B58">VLOOKUP($A58,PA_DEMO,2,FALSE)</f>
        <v>74129</v>
      </c>
      <c r="C58" s="265">
        <f>VLOOKUP($A58,'PA Data'!$A$2:$B$88,2,FALSE)</f>
        <v>133</v>
      </c>
      <c r="D58" s="265" t="s">
        <v>63</v>
      </c>
      <c r="E58" s="265">
        <f>VLOOKUP($A58,'PA Data'!$A$2:$C$88,3,FALSE)</f>
        <v>50</v>
      </c>
      <c r="F58" s="265">
        <f>VLOOKUP($A58,'PA Data'!$A$2:$D$88,4,FALSE)</f>
        <v>66</v>
      </c>
      <c r="G58" s="265" t="s">
        <v>63</v>
      </c>
      <c r="H58" s="265" t="s">
        <v>63</v>
      </c>
      <c r="I58" s="265" t="s">
        <v>63</v>
      </c>
      <c r="J58" s="265" t="s">
        <v>63</v>
      </c>
      <c r="K58" s="284" t="s">
        <v>63</v>
      </c>
      <c r="L58" s="266" t="s">
        <v>63</v>
      </c>
      <c r="M58" s="267" t="s">
        <v>63</v>
      </c>
      <c r="N58" s="265" t="s">
        <v>63</v>
      </c>
      <c r="O58" s="265" t="s">
        <v>63</v>
      </c>
      <c r="P58" s="272">
        <f>ifna(vlookup(A58,'Population &amp; Church Numbers'!$A$2247:$D$2313,4,FALSE),"NULL")</f>
        <v>140</v>
      </c>
      <c r="Q58" s="273" t="s">
        <v>63</v>
      </c>
    </row>
    <row r="59">
      <c r="A59" s="326" t="s">
        <v>860</v>
      </c>
      <c r="B59" s="251">
        <f t="array" ref="B59">VLOOKUP($A59,PA_DEMO,2,FALSE)</f>
        <v>5840</v>
      </c>
      <c r="C59" s="253">
        <f>VLOOKUP($A59,'PA Data'!$A$2:$B$88,2,FALSE)</f>
        <v>0</v>
      </c>
      <c r="D59" s="253" t="s">
        <v>63</v>
      </c>
      <c r="E59" s="253">
        <f>VLOOKUP($A59,'PA Data'!$A$2:$C$88,3,FALSE)</f>
        <v>0</v>
      </c>
      <c r="F59" s="253">
        <f>VLOOKUP($A59,'PA Data'!$A$2:$D$88,4,FALSE)</f>
        <v>0</v>
      </c>
      <c r="G59" s="253" t="s">
        <v>63</v>
      </c>
      <c r="H59" s="253" t="s">
        <v>63</v>
      </c>
      <c r="I59" s="253" t="s">
        <v>63</v>
      </c>
      <c r="J59" s="253" t="s">
        <v>63</v>
      </c>
      <c r="K59" s="274" t="s">
        <v>63</v>
      </c>
      <c r="L59" s="254" t="s">
        <v>63</v>
      </c>
      <c r="M59" s="255" t="s">
        <v>63</v>
      </c>
      <c r="N59" s="253" t="s">
        <v>63</v>
      </c>
      <c r="O59" s="253" t="s">
        <v>63</v>
      </c>
      <c r="P59" s="261">
        <f>ifna(vlookup(A59,'Population &amp; Church Numbers'!$A$2247:$D$2313,4,FALSE),"NULL")</f>
        <v>14</v>
      </c>
      <c r="Q59" s="262" t="s">
        <v>63</v>
      </c>
    </row>
    <row r="60">
      <c r="A60" s="188" t="s">
        <v>1808</v>
      </c>
      <c r="B60" s="189">
        <f t="array" ref="B60">VLOOKUP($A60,PA_DEMO,2,FALSE)</f>
        <v>38434</v>
      </c>
      <c r="C60" s="265">
        <f>VLOOKUP($A60,'PA Data'!$A$2:$B$88,2,FALSE)</f>
        <v>41</v>
      </c>
      <c r="D60" s="265" t="s">
        <v>63</v>
      </c>
      <c r="E60" s="265">
        <f>VLOOKUP($A60,'PA Data'!$A$2:$C$88,3,FALSE)</f>
        <v>26</v>
      </c>
      <c r="F60" s="265">
        <f>VLOOKUP($A60,'PA Data'!$A$2:$D$88,4,FALSE)</f>
        <v>14</v>
      </c>
      <c r="G60" s="265" t="s">
        <v>63</v>
      </c>
      <c r="H60" s="265" t="s">
        <v>63</v>
      </c>
      <c r="I60" s="265" t="s">
        <v>63</v>
      </c>
      <c r="J60" s="265" t="s">
        <v>63</v>
      </c>
      <c r="K60" s="284" t="s">
        <v>63</v>
      </c>
      <c r="L60" s="266" t="s">
        <v>63</v>
      </c>
      <c r="M60" s="267" t="s">
        <v>63</v>
      </c>
      <c r="N60" s="265" t="s">
        <v>63</v>
      </c>
      <c r="O60" s="265" t="s">
        <v>63</v>
      </c>
      <c r="P60" s="272">
        <f>ifna(vlookup(A60,'Population &amp; Church Numbers'!$A$2247:$D$2313,4,FALSE),"NULL")</f>
        <v>67</v>
      </c>
      <c r="Q60" s="273" t="s">
        <v>63</v>
      </c>
    </row>
    <row r="61">
      <c r="A61" s="326" t="s">
        <v>1574</v>
      </c>
      <c r="B61" s="251">
        <f t="array" ref="B61">VLOOKUP($A61,PA_DEMO,2,FALSE)</f>
        <v>41045</v>
      </c>
      <c r="C61" s="253">
        <f>VLOOKUP($A61,'PA Data'!$A$2:$B$88,2,FALSE)</f>
        <v>88</v>
      </c>
      <c r="D61" s="253" t="s">
        <v>63</v>
      </c>
      <c r="E61" s="253">
        <f>VLOOKUP($A61,'PA Data'!$A$2:$C$88,3,FALSE)</f>
        <v>27</v>
      </c>
      <c r="F61" s="253">
        <f>VLOOKUP($A61,'PA Data'!$A$2:$D$88,4,FALSE)</f>
        <v>48</v>
      </c>
      <c r="G61" s="253" t="s">
        <v>63</v>
      </c>
      <c r="H61" s="253" t="s">
        <v>63</v>
      </c>
      <c r="I61" s="253" t="s">
        <v>63</v>
      </c>
      <c r="J61" s="253" t="s">
        <v>63</v>
      </c>
      <c r="K61" s="274" t="s">
        <v>63</v>
      </c>
      <c r="L61" s="254" t="s">
        <v>63</v>
      </c>
      <c r="M61" s="255" t="s">
        <v>63</v>
      </c>
      <c r="N61" s="253" t="s">
        <v>63</v>
      </c>
      <c r="O61" s="253" t="s">
        <v>63</v>
      </c>
      <c r="P61" s="261">
        <f>ifna(vlookup(A61,'Population &amp; Church Numbers'!$A$2247:$D$2313,4,FALSE),"NULL")</f>
        <v>88</v>
      </c>
      <c r="Q61" s="262" t="s">
        <v>63</v>
      </c>
    </row>
    <row r="62">
      <c r="A62" s="188" t="s">
        <v>316</v>
      </c>
      <c r="B62" s="189">
        <f t="array" ref="B62">VLOOKUP($A62,PA_DEMO,2,FALSE)</f>
        <v>42681</v>
      </c>
      <c r="C62" s="265" t="str">
        <f>VLOOKUP($A62,'PA Data'!$A$2:$B$88,2,FALSE)</f>
        <v>S</v>
      </c>
      <c r="D62" s="265" t="s">
        <v>63</v>
      </c>
      <c r="E62" s="265">
        <f>VLOOKUP($A62,'PA Data'!$A$2:$C$88,3,FALSE)</f>
        <v>0</v>
      </c>
      <c r="F62" s="265" t="str">
        <f>VLOOKUP($A62,'PA Data'!$A$2:$D$88,4,FALSE)</f>
        <v>S</v>
      </c>
      <c r="G62" s="265" t="s">
        <v>63</v>
      </c>
      <c r="H62" s="265" t="s">
        <v>63</v>
      </c>
      <c r="I62" s="265" t="s">
        <v>63</v>
      </c>
      <c r="J62" s="265" t="s">
        <v>63</v>
      </c>
      <c r="K62" s="284" t="s">
        <v>63</v>
      </c>
      <c r="L62" s="266" t="s">
        <v>63</v>
      </c>
      <c r="M62" s="267" t="s">
        <v>63</v>
      </c>
      <c r="N62" s="265" t="s">
        <v>63</v>
      </c>
      <c r="O62" s="265" t="s">
        <v>63</v>
      </c>
      <c r="P62" s="272">
        <f>ifna(vlookup(A62,'Population &amp; Church Numbers'!$A$2247:$D$2313,4,FALSE),"NULL")</f>
        <v>55</v>
      </c>
      <c r="Q62" s="273" t="s">
        <v>63</v>
      </c>
    </row>
    <row r="63">
      <c r="A63" s="326" t="s">
        <v>1809</v>
      </c>
      <c r="B63" s="251">
        <f t="array" ref="B63">VLOOKUP($A63,PA_DEMO,2,FALSE)</f>
        <v>50454</v>
      </c>
      <c r="C63" s="253">
        <f>VLOOKUP($A63,'PA Data'!$A$2:$B$88,2,FALSE)</f>
        <v>116</v>
      </c>
      <c r="D63" s="253" t="s">
        <v>63</v>
      </c>
      <c r="E63" s="253">
        <f>VLOOKUP($A63,'PA Data'!$A$2:$C$88,3,FALSE)</f>
        <v>38</v>
      </c>
      <c r="F63" s="253">
        <f>VLOOKUP($A63,'PA Data'!$A$2:$D$88,4,FALSE)</f>
        <v>65</v>
      </c>
      <c r="G63" s="253" t="s">
        <v>63</v>
      </c>
      <c r="H63" s="253" t="s">
        <v>63</v>
      </c>
      <c r="I63" s="253" t="s">
        <v>63</v>
      </c>
      <c r="J63" s="253" t="s">
        <v>63</v>
      </c>
      <c r="K63" s="274" t="s">
        <v>63</v>
      </c>
      <c r="L63" s="254" t="s">
        <v>63</v>
      </c>
      <c r="M63" s="255" t="s">
        <v>63</v>
      </c>
      <c r="N63" s="253" t="s">
        <v>63</v>
      </c>
      <c r="O63" s="253" t="s">
        <v>63</v>
      </c>
      <c r="P63" s="261">
        <f>ifna(vlookup(A63,'Population &amp; Church Numbers'!$A$2247:$D$2313,4,FALSE),"NULL")</f>
        <v>92</v>
      </c>
      <c r="Q63" s="262" t="s">
        <v>63</v>
      </c>
    </row>
    <row r="64">
      <c r="A64" s="188" t="s">
        <v>647</v>
      </c>
      <c r="B64" s="189">
        <f t="array" ref="B64">VLOOKUP($A64,PA_DEMO,2,FALSE)</f>
        <v>38587</v>
      </c>
      <c r="C64" s="265">
        <f>VLOOKUP($A64,'PA Data'!$A$2:$B$88,2,FALSE)</f>
        <v>35</v>
      </c>
      <c r="D64" s="265" t="s">
        <v>63</v>
      </c>
      <c r="E64" s="265">
        <f>VLOOKUP($A64,'PA Data'!$A$2:$C$88,3,FALSE)</f>
        <v>19</v>
      </c>
      <c r="F64" s="265" t="str">
        <f>VLOOKUP($A64,'PA Data'!$A$2:$D$88,4,FALSE)</f>
        <v>S</v>
      </c>
      <c r="G64" s="265" t="s">
        <v>63</v>
      </c>
      <c r="H64" s="265" t="s">
        <v>63</v>
      </c>
      <c r="I64" s="265" t="s">
        <v>63</v>
      </c>
      <c r="J64" s="265" t="s">
        <v>63</v>
      </c>
      <c r="K64" s="284" t="s">
        <v>63</v>
      </c>
      <c r="L64" s="266" t="s">
        <v>63</v>
      </c>
      <c r="M64" s="267" t="s">
        <v>63</v>
      </c>
      <c r="N64" s="265" t="s">
        <v>63</v>
      </c>
      <c r="O64" s="265" t="s">
        <v>63</v>
      </c>
      <c r="P64" s="272">
        <f>ifna(vlookup(A64,'Population &amp; Church Numbers'!$A$2247:$D$2313,4,FALSE),"NULL")</f>
        <v>55</v>
      </c>
      <c r="Q64" s="273" t="s">
        <v>63</v>
      </c>
    </row>
    <row r="65">
      <c r="A65" s="326" t="s">
        <v>119</v>
      </c>
      <c r="B65" s="251">
        <f t="array" ref="B65">VLOOKUP($A65,PA_DEMO,2,FALSE)</f>
        <v>209349</v>
      </c>
      <c r="C65" s="253">
        <f>VLOOKUP($A65,'PA Data'!$A$2:$B$88,2,FALSE)</f>
        <v>227</v>
      </c>
      <c r="D65" s="253" t="s">
        <v>63</v>
      </c>
      <c r="E65" s="253">
        <f>VLOOKUP($A65,'PA Data'!$A$2:$C$88,3,FALSE)</f>
        <v>80</v>
      </c>
      <c r="F65" s="253">
        <f>VLOOKUP($A65,'PA Data'!$A$2:$D$88,4,FALSE)</f>
        <v>131</v>
      </c>
      <c r="G65" s="253" t="s">
        <v>63</v>
      </c>
      <c r="H65" s="253" t="s">
        <v>63</v>
      </c>
      <c r="I65" s="253" t="s">
        <v>63</v>
      </c>
      <c r="J65" s="253" t="s">
        <v>63</v>
      </c>
      <c r="K65" s="274" t="s">
        <v>63</v>
      </c>
      <c r="L65" s="254" t="s">
        <v>63</v>
      </c>
      <c r="M65" s="255" t="s">
        <v>63</v>
      </c>
      <c r="N65" s="253" t="s">
        <v>63</v>
      </c>
      <c r="O65" s="253" t="s">
        <v>63</v>
      </c>
      <c r="P65" s="261">
        <f>ifna(vlookup(A65,'Population &amp; Church Numbers'!$A$2247:$D$2313,4,FALSE),"NULL")</f>
        <v>202</v>
      </c>
      <c r="Q65" s="262" t="s">
        <v>63</v>
      </c>
    </row>
    <row r="66">
      <c r="A66" s="188" t="s">
        <v>273</v>
      </c>
      <c r="B66" s="189">
        <f t="array" ref="B66">VLOOKUP($A66,PA_DEMO,2,FALSE)</f>
        <v>51155</v>
      </c>
      <c r="C66" s="265">
        <f>VLOOKUP($A66,'PA Data'!$A$2:$B$88,2,FALSE)</f>
        <v>52</v>
      </c>
      <c r="D66" s="265" t="s">
        <v>63</v>
      </c>
      <c r="E66" s="265">
        <f>VLOOKUP($A66,'PA Data'!$A$2:$C$88,3,FALSE)</f>
        <v>25</v>
      </c>
      <c r="F66" s="265">
        <f>VLOOKUP($A66,'PA Data'!$A$2:$D$88,4,FALSE)</f>
        <v>13</v>
      </c>
      <c r="G66" s="265" t="s">
        <v>63</v>
      </c>
      <c r="H66" s="265" t="s">
        <v>63</v>
      </c>
      <c r="I66" s="265" t="s">
        <v>63</v>
      </c>
      <c r="J66" s="265" t="s">
        <v>63</v>
      </c>
      <c r="K66" s="284" t="s">
        <v>63</v>
      </c>
      <c r="L66" s="266" t="s">
        <v>63</v>
      </c>
      <c r="M66" s="267" t="s">
        <v>63</v>
      </c>
      <c r="N66" s="265" t="s">
        <v>63</v>
      </c>
      <c r="O66" s="265" t="s">
        <v>63</v>
      </c>
      <c r="P66" s="272">
        <f>ifna(vlookup(A66,'Population &amp; Church Numbers'!$A$2247:$D$2313,4,FALSE),"NULL")</f>
        <v>56</v>
      </c>
      <c r="Q66" s="273" t="s">
        <v>63</v>
      </c>
    </row>
    <row r="67">
      <c r="A67" s="326" t="s">
        <v>1810</v>
      </c>
      <c r="B67" s="251">
        <f t="array" ref="B67">VLOOKUP($A67,PA_DEMO,2,FALSE)</f>
        <v>354663</v>
      </c>
      <c r="C67" s="253">
        <f>VLOOKUP($A67,'PA Data'!$A$2:$B$88,2,FALSE)</f>
        <v>243</v>
      </c>
      <c r="D67" s="253" t="s">
        <v>63</v>
      </c>
      <c r="E67" s="253">
        <f>VLOOKUP($A67,'PA Data'!$A$2:$C$88,3,FALSE)</f>
        <v>104</v>
      </c>
      <c r="F67" s="253">
        <f>VLOOKUP($A67,'PA Data'!$A$2:$D$88,4,FALSE)</f>
        <v>94</v>
      </c>
      <c r="G67" s="253" t="s">
        <v>63</v>
      </c>
      <c r="H67" s="253" t="s">
        <v>63</v>
      </c>
      <c r="I67" s="253" t="s">
        <v>63</v>
      </c>
      <c r="J67" s="253" t="s">
        <v>63</v>
      </c>
      <c r="K67" s="274" t="s">
        <v>63</v>
      </c>
      <c r="L67" s="254" t="s">
        <v>63</v>
      </c>
      <c r="M67" s="255" t="s">
        <v>63</v>
      </c>
      <c r="N67" s="253" t="s">
        <v>63</v>
      </c>
      <c r="O67" s="253" t="s">
        <v>63</v>
      </c>
      <c r="P67" s="261">
        <f>ifna(vlookup(A67,'Population &amp; Church Numbers'!$A$2247:$D$2313,4,FALSE),"NULL")</f>
        <v>380</v>
      </c>
      <c r="Q67" s="262" t="s">
        <v>63</v>
      </c>
    </row>
    <row r="68">
      <c r="A68" s="188" t="s">
        <v>123</v>
      </c>
      <c r="B68" s="189">
        <f t="array" ref="B68">VLOOKUP($A68,PA_DEMO,2,FALSE)</f>
        <v>26069</v>
      </c>
      <c r="C68" s="265">
        <f>VLOOKUP($A68,'PA Data'!$A$2:$B$88,2,FALSE)</f>
        <v>42</v>
      </c>
      <c r="D68" s="265" t="s">
        <v>63</v>
      </c>
      <c r="E68" s="265">
        <f>VLOOKUP($A68,'PA Data'!$A$2:$C$88,3,FALSE)</f>
        <v>23</v>
      </c>
      <c r="F68" s="265">
        <f>VLOOKUP($A68,'PA Data'!$A$2:$D$88,4,FALSE)</f>
        <v>11</v>
      </c>
      <c r="G68" s="265" t="s">
        <v>63</v>
      </c>
      <c r="H68" s="265" t="s">
        <v>63</v>
      </c>
      <c r="I68" s="265" t="s">
        <v>63</v>
      </c>
      <c r="J68" s="265" t="s">
        <v>63</v>
      </c>
      <c r="K68" s="284" t="s">
        <v>63</v>
      </c>
      <c r="L68" s="266" t="s">
        <v>63</v>
      </c>
      <c r="M68" s="267" t="s">
        <v>63</v>
      </c>
      <c r="N68" s="265" t="s">
        <v>63</v>
      </c>
      <c r="O68" s="265" t="s">
        <v>63</v>
      </c>
      <c r="P68" s="272">
        <f>ifna(vlookup(A68,'Population &amp; Church Numbers'!$A$2247:$D$2313,4,FALSE),"NULL")</f>
        <v>45</v>
      </c>
      <c r="Q68" s="273" t="s">
        <v>63</v>
      </c>
    </row>
    <row r="69">
      <c r="A69" s="326" t="s">
        <v>1196</v>
      </c>
      <c r="B69" s="251">
        <f t="array" ref="B69">VLOOKUP($A69,PA_DEMO,2,FALSE)</f>
        <v>456438</v>
      </c>
      <c r="C69" s="253">
        <f>VLOOKUP($A69,'PA Data'!$A$2:$B$88,2,FALSE)</f>
        <v>402</v>
      </c>
      <c r="D69" s="253" t="s">
        <v>63</v>
      </c>
      <c r="E69" s="253">
        <f>VLOOKUP($A69,'PA Data'!$A$2:$C$88,3,FALSE)</f>
        <v>162</v>
      </c>
      <c r="F69" s="253">
        <f>VLOOKUP($A69,'PA Data'!$A$2:$D$88,4,FALSE)</f>
        <v>166</v>
      </c>
      <c r="G69" s="253" t="s">
        <v>63</v>
      </c>
      <c r="H69" s="253" t="s">
        <v>63</v>
      </c>
      <c r="I69" s="253" t="s">
        <v>63</v>
      </c>
      <c r="J69" s="253" t="s">
        <v>63</v>
      </c>
      <c r="K69" s="274" t="s">
        <v>63</v>
      </c>
      <c r="L69" s="254" t="s">
        <v>63</v>
      </c>
      <c r="M69" s="255" t="s">
        <v>63</v>
      </c>
      <c r="N69" s="253" t="s">
        <v>63</v>
      </c>
      <c r="O69" s="253" t="s">
        <v>63</v>
      </c>
      <c r="P69" s="261">
        <f>ifna(vlookup(A69,'Population &amp; Church Numbers'!$A$2247:$D$2313,4,FALSE),"NULL")</f>
        <v>399</v>
      </c>
      <c r="Q69" s="262" t="s">
        <v>63</v>
      </c>
    </row>
    <row r="70">
      <c r="A70" s="217"/>
      <c r="B70" s="218"/>
      <c r="C70" s="219"/>
      <c r="D70" s="220"/>
      <c r="E70" s="220"/>
      <c r="F70" s="220"/>
      <c r="G70" s="220"/>
      <c r="H70" s="221"/>
      <c r="I70" s="222"/>
      <c r="J70" s="223"/>
      <c r="K70" s="219"/>
      <c r="L70" s="224"/>
      <c r="M70" s="225"/>
      <c r="N70" s="226"/>
      <c r="O70" s="220"/>
      <c r="P70" s="221"/>
      <c r="Q70" s="295"/>
    </row>
    <row r="71">
      <c r="A71" s="228" t="s">
        <v>2</v>
      </c>
      <c r="B71" s="229"/>
      <c r="C71" s="1134">
        <f>AFCARSCSC!B42</f>
        <v>12465</v>
      </c>
      <c r="D71" s="708" t="s">
        <v>63</v>
      </c>
      <c r="E71" s="708" t="s">
        <v>63</v>
      </c>
      <c r="F71" s="708" t="s">
        <v>63</v>
      </c>
      <c r="G71" s="708" t="s">
        <v>63</v>
      </c>
      <c r="H71" s="1134">
        <f>AFCARSCSC!D42</f>
        <v>12616</v>
      </c>
      <c r="I71" s="237">
        <f>AFCARSCSC!C42</f>
        <v>1794</v>
      </c>
      <c r="J71" s="360" t="s">
        <v>63</v>
      </c>
      <c r="K71" s="708" t="s">
        <v>63</v>
      </c>
      <c r="L71" s="708" t="s">
        <v>63</v>
      </c>
      <c r="M71" s="708" t="s">
        <v>63</v>
      </c>
      <c r="N71" s="708" t="s">
        <v>63</v>
      </c>
      <c r="O71" s="708" t="s">
        <v>63</v>
      </c>
      <c r="P71" s="233">
        <f>SUM(P3:P69)</f>
        <v>11191</v>
      </c>
      <c r="Q71" s="1092" t="s">
        <v>63</v>
      </c>
    </row>
  </sheetData>
  <autoFilter ref="$A$2:$Q$69"/>
  <mergeCells count="1">
    <mergeCell ref="B1:Q1"/>
  </mergeCells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0"/>
    <col customWidth="1" min="2" max="2" width="9.0"/>
  </cols>
  <sheetData>
    <row r="1">
      <c r="A1" s="1242" t="s">
        <v>3893</v>
      </c>
      <c r="B1" s="1242" t="s">
        <v>3994</v>
      </c>
      <c r="C1" s="1242" t="s">
        <v>3995</v>
      </c>
      <c r="D1" s="1242" t="s">
        <v>3996</v>
      </c>
      <c r="E1" s="1242" t="s">
        <v>777</v>
      </c>
      <c r="F1" s="485" t="s">
        <v>779</v>
      </c>
      <c r="G1" s="485" t="s">
        <v>780</v>
      </c>
      <c r="H1" s="485" t="s">
        <v>781</v>
      </c>
      <c r="I1" s="485" t="s">
        <v>782</v>
      </c>
    </row>
    <row r="2">
      <c r="A2" s="1242" t="s">
        <v>386</v>
      </c>
      <c r="B2" s="1243">
        <v>40.0</v>
      </c>
      <c r="C2" s="1243">
        <v>18.0</v>
      </c>
      <c r="D2" s="1243">
        <v>18.0</v>
      </c>
      <c r="E2" s="1242" t="s">
        <v>2509</v>
      </c>
      <c r="F2" s="1120">
        <v>0.0</v>
      </c>
      <c r="G2" s="1120">
        <v>0.0</v>
      </c>
      <c r="H2" s="1120">
        <v>0.0</v>
      </c>
      <c r="I2" s="1120">
        <v>0.0</v>
      </c>
    </row>
    <row r="3">
      <c r="A3" s="1242" t="s">
        <v>363</v>
      </c>
      <c r="B3" s="1243">
        <v>1607.0</v>
      </c>
      <c r="C3" s="1243">
        <v>379.0</v>
      </c>
      <c r="D3" s="1243">
        <v>973.0</v>
      </c>
      <c r="E3" s="1243">
        <v>66.0</v>
      </c>
      <c r="F3" s="1120">
        <v>60.0</v>
      </c>
      <c r="G3" s="1120">
        <v>92.0</v>
      </c>
      <c r="H3" s="1120">
        <v>20.0</v>
      </c>
      <c r="I3" s="1120">
        <v>17.0</v>
      </c>
    </row>
    <row r="4">
      <c r="A4" s="1242" t="s">
        <v>1783</v>
      </c>
      <c r="B4" s="1243">
        <v>21.0</v>
      </c>
      <c r="C4" s="1242" t="s">
        <v>2509</v>
      </c>
      <c r="D4" s="1242" t="s">
        <v>2509</v>
      </c>
      <c r="E4" s="1242" t="s">
        <v>2509</v>
      </c>
      <c r="F4" s="1120">
        <v>0.0</v>
      </c>
      <c r="G4" s="485" t="s">
        <v>2509</v>
      </c>
      <c r="H4" s="1120">
        <v>0.0</v>
      </c>
      <c r="I4" s="485" t="s">
        <v>2509</v>
      </c>
    </row>
    <row r="5">
      <c r="A5" s="1242" t="s">
        <v>1710</v>
      </c>
      <c r="B5" s="1243">
        <v>27.0</v>
      </c>
      <c r="C5" s="1243">
        <v>12.0</v>
      </c>
      <c r="D5" s="1243">
        <v>12.0</v>
      </c>
      <c r="E5" s="1242" t="s">
        <v>2509</v>
      </c>
      <c r="F5" s="485" t="s">
        <v>2509</v>
      </c>
      <c r="G5" s="1120">
        <v>0.0</v>
      </c>
      <c r="H5" s="1120">
        <v>0.0</v>
      </c>
      <c r="I5" s="1120">
        <v>0.0</v>
      </c>
    </row>
    <row r="6">
      <c r="A6" s="1242" t="s">
        <v>1784</v>
      </c>
      <c r="B6" s="1243">
        <v>36.0</v>
      </c>
      <c r="C6" s="1243">
        <v>20.0</v>
      </c>
      <c r="D6" s="1243">
        <v>12.0</v>
      </c>
      <c r="E6" s="1242" t="s">
        <v>2509</v>
      </c>
      <c r="F6" s="1120">
        <v>0.0</v>
      </c>
      <c r="G6" s="1120">
        <v>0.0</v>
      </c>
      <c r="H6" s="1120">
        <v>0.0</v>
      </c>
      <c r="I6" s="1120">
        <v>0.0</v>
      </c>
    </row>
    <row r="7">
      <c r="A7" s="1242" t="s">
        <v>1785</v>
      </c>
      <c r="B7" s="1243">
        <v>312.0</v>
      </c>
      <c r="C7" s="1243">
        <v>184.0</v>
      </c>
      <c r="D7" s="1243">
        <v>74.0</v>
      </c>
      <c r="E7" s="1243">
        <v>25.0</v>
      </c>
      <c r="F7" s="1120">
        <v>22.0</v>
      </c>
      <c r="G7" s="485" t="s">
        <v>2509</v>
      </c>
      <c r="H7" s="485" t="s">
        <v>2509</v>
      </c>
      <c r="I7" s="485" t="s">
        <v>2509</v>
      </c>
    </row>
    <row r="8">
      <c r="A8" s="1242" t="s">
        <v>1786</v>
      </c>
      <c r="B8" s="1243">
        <v>84.0</v>
      </c>
      <c r="C8" s="1243">
        <v>38.0</v>
      </c>
      <c r="D8" s="1243">
        <v>32.0</v>
      </c>
      <c r="E8" s="1242" t="s">
        <v>2509</v>
      </c>
      <c r="F8" s="485" t="s">
        <v>2509</v>
      </c>
      <c r="G8" s="485" t="s">
        <v>2509</v>
      </c>
      <c r="H8" s="485" t="s">
        <v>2509</v>
      </c>
      <c r="I8" s="1120">
        <v>0.0</v>
      </c>
    </row>
    <row r="9">
      <c r="A9" s="1242" t="s">
        <v>483</v>
      </c>
      <c r="B9" s="1243">
        <v>90.0</v>
      </c>
      <c r="C9" s="1243">
        <v>39.0</v>
      </c>
      <c r="D9" s="1243">
        <v>18.0</v>
      </c>
      <c r="E9" s="1242" t="s">
        <v>2509</v>
      </c>
      <c r="F9" s="485" t="s">
        <v>2509</v>
      </c>
      <c r="G9" s="1120">
        <v>0.0</v>
      </c>
      <c r="H9" s="1120">
        <v>0.0</v>
      </c>
      <c r="I9" s="1120">
        <v>0.0</v>
      </c>
    </row>
    <row r="10">
      <c r="A10" s="1242" t="s">
        <v>599</v>
      </c>
      <c r="B10" s="1243">
        <v>201.0</v>
      </c>
      <c r="C10" s="1243">
        <v>70.0</v>
      </c>
      <c r="D10" s="1243">
        <v>99.0</v>
      </c>
      <c r="E10" s="1242" t="s">
        <v>2509</v>
      </c>
      <c r="F10" s="485" t="s">
        <v>2509</v>
      </c>
      <c r="G10" s="1120">
        <v>0.0</v>
      </c>
      <c r="H10" s="485" t="s">
        <v>2509</v>
      </c>
      <c r="I10" s="1120">
        <v>11.0</v>
      </c>
    </row>
    <row r="11">
      <c r="A11" s="1242" t="s">
        <v>87</v>
      </c>
      <c r="B11" s="1243">
        <v>86.0</v>
      </c>
      <c r="C11" s="1243">
        <v>28.0</v>
      </c>
      <c r="D11" s="1243">
        <v>48.0</v>
      </c>
      <c r="E11" s="1242" t="s">
        <v>2509</v>
      </c>
      <c r="F11" s="485" t="s">
        <v>2509</v>
      </c>
      <c r="G11" s="1120">
        <v>0.0</v>
      </c>
      <c r="H11" s="1120">
        <v>0.0</v>
      </c>
      <c r="I11" s="1120">
        <v>0.0</v>
      </c>
    </row>
    <row r="12">
      <c r="A12" s="1242" t="s">
        <v>1787</v>
      </c>
      <c r="B12" s="1243">
        <v>81.0</v>
      </c>
      <c r="C12" s="1243">
        <v>54.0</v>
      </c>
      <c r="D12" s="1243">
        <v>18.0</v>
      </c>
      <c r="E12" s="1242" t="s">
        <v>2509</v>
      </c>
      <c r="F12" s="485" t="s">
        <v>2509</v>
      </c>
      <c r="G12" s="485" t="s">
        <v>2509</v>
      </c>
      <c r="H12" s="1120">
        <v>0.0</v>
      </c>
      <c r="I12" s="1120">
        <v>0.0</v>
      </c>
    </row>
    <row r="13">
      <c r="A13" s="1242" t="s">
        <v>1149</v>
      </c>
      <c r="B13" s="1243">
        <v>13.0</v>
      </c>
      <c r="C13" s="1242" t="s">
        <v>2509</v>
      </c>
      <c r="D13" s="1242" t="s">
        <v>2509</v>
      </c>
      <c r="E13" s="1243">
        <v>0.0</v>
      </c>
      <c r="F13" s="485" t="s">
        <v>2509</v>
      </c>
      <c r="G13" s="1120">
        <v>0.0</v>
      </c>
      <c r="H13" s="1120">
        <v>0.0</v>
      </c>
      <c r="I13" s="1120">
        <v>0.0</v>
      </c>
    </row>
    <row r="14">
      <c r="A14" s="1242" t="s">
        <v>1434</v>
      </c>
      <c r="B14" s="1243">
        <v>125.0</v>
      </c>
      <c r="C14" s="1243">
        <v>49.0</v>
      </c>
      <c r="D14" s="1243">
        <v>59.0</v>
      </c>
      <c r="E14" s="1243">
        <v>11.0</v>
      </c>
      <c r="F14" s="485" t="s">
        <v>2509</v>
      </c>
      <c r="G14" s="1120">
        <v>0.0</v>
      </c>
      <c r="H14" s="1120">
        <v>0.0</v>
      </c>
      <c r="I14" s="1120">
        <v>0.0</v>
      </c>
    </row>
    <row r="15">
      <c r="A15" s="1242" t="s">
        <v>1788</v>
      </c>
      <c r="B15" s="1243">
        <v>66.0</v>
      </c>
      <c r="C15" s="1243">
        <v>33.0</v>
      </c>
      <c r="D15" s="1243">
        <v>16.0</v>
      </c>
      <c r="E15" s="1242" t="s">
        <v>2509</v>
      </c>
      <c r="F15" s="485" t="s">
        <v>2509</v>
      </c>
      <c r="G15" s="485" t="s">
        <v>2509</v>
      </c>
      <c r="H15" s="1120">
        <v>0.0</v>
      </c>
      <c r="I15" s="485" t="s">
        <v>2509</v>
      </c>
    </row>
    <row r="16">
      <c r="A16" s="1242" t="s">
        <v>1789</v>
      </c>
      <c r="B16" s="1243">
        <v>49.0</v>
      </c>
      <c r="C16" s="1243">
        <v>32.0</v>
      </c>
      <c r="D16" s="1242" t="s">
        <v>2509</v>
      </c>
      <c r="E16" s="1242" t="s">
        <v>2509</v>
      </c>
      <c r="F16" s="485" t="s">
        <v>2509</v>
      </c>
      <c r="G16" s="1120">
        <v>0.0</v>
      </c>
      <c r="H16" s="1120">
        <v>0.0</v>
      </c>
      <c r="I16" s="485" t="s">
        <v>2509</v>
      </c>
    </row>
    <row r="17">
      <c r="A17" s="1242" t="s">
        <v>1790</v>
      </c>
      <c r="B17" s="1243">
        <v>36.0</v>
      </c>
      <c r="C17" s="1243">
        <v>21.0</v>
      </c>
      <c r="D17" s="1242" t="s">
        <v>2509</v>
      </c>
      <c r="E17" s="1242" t="s">
        <v>2509</v>
      </c>
      <c r="F17" s="485" t="s">
        <v>2509</v>
      </c>
      <c r="G17" s="485" t="s">
        <v>2509</v>
      </c>
      <c r="H17" s="1120">
        <v>0.0</v>
      </c>
      <c r="I17" s="1120">
        <v>0.0</v>
      </c>
    </row>
    <row r="18">
      <c r="A18" s="1242" t="s">
        <v>1791</v>
      </c>
      <c r="B18" s="1243">
        <v>85.0</v>
      </c>
      <c r="C18" s="1243">
        <v>53.0</v>
      </c>
      <c r="D18" s="1243">
        <v>22.0</v>
      </c>
      <c r="E18" s="1242" t="s">
        <v>2509</v>
      </c>
      <c r="F18" s="485" t="s">
        <v>2509</v>
      </c>
      <c r="G18" s="1120">
        <v>0.0</v>
      </c>
      <c r="H18" s="1120">
        <v>0.0</v>
      </c>
      <c r="I18" s="1120">
        <v>0.0</v>
      </c>
    </row>
    <row r="19">
      <c r="A19" s="1242" t="s">
        <v>711</v>
      </c>
      <c r="B19" s="1243">
        <v>19.0</v>
      </c>
      <c r="C19" s="1243">
        <v>12.0</v>
      </c>
      <c r="D19" s="1242" t="s">
        <v>2509</v>
      </c>
      <c r="E19" s="1242" t="s">
        <v>2509</v>
      </c>
      <c r="F19" s="1120">
        <v>0.0</v>
      </c>
      <c r="G19" s="485" t="s">
        <v>2509</v>
      </c>
      <c r="H19" s="1120">
        <v>0.0</v>
      </c>
      <c r="I19" s="1120">
        <v>0.0</v>
      </c>
    </row>
    <row r="20">
      <c r="A20" s="1242" t="s">
        <v>258</v>
      </c>
      <c r="B20" s="1243">
        <v>93.0</v>
      </c>
      <c r="C20" s="1243">
        <v>70.0</v>
      </c>
      <c r="D20" s="1243">
        <v>13.0</v>
      </c>
      <c r="E20" s="1242" t="s">
        <v>2509</v>
      </c>
      <c r="F20" s="485" t="s">
        <v>2509</v>
      </c>
      <c r="G20" s="1120">
        <v>0.0</v>
      </c>
      <c r="H20" s="1120">
        <v>0.0</v>
      </c>
      <c r="I20" s="1120">
        <v>0.0</v>
      </c>
    </row>
    <row r="21">
      <c r="A21" s="1242" t="s">
        <v>263</v>
      </c>
      <c r="B21" s="1243">
        <v>56.0</v>
      </c>
      <c r="C21" s="1243">
        <v>23.0</v>
      </c>
      <c r="D21" s="1243">
        <v>24.0</v>
      </c>
      <c r="E21" s="1242" t="s">
        <v>2509</v>
      </c>
      <c r="F21" s="485" t="s">
        <v>2509</v>
      </c>
      <c r="G21" s="485" t="s">
        <v>2509</v>
      </c>
      <c r="H21" s="1120">
        <v>0.0</v>
      </c>
      <c r="I21" s="1120">
        <v>0.0</v>
      </c>
    </row>
    <row r="22">
      <c r="A22" s="1242" t="s">
        <v>713</v>
      </c>
      <c r="B22" s="1243">
        <v>179.0</v>
      </c>
      <c r="C22" s="1243">
        <v>85.0</v>
      </c>
      <c r="D22" s="1243">
        <v>65.0</v>
      </c>
      <c r="E22" s="1243">
        <v>19.0</v>
      </c>
      <c r="F22" s="485" t="s">
        <v>2509</v>
      </c>
      <c r="G22" s="1120">
        <v>0.0</v>
      </c>
      <c r="H22" s="1120">
        <v>0.0</v>
      </c>
      <c r="I22" s="485" t="s">
        <v>2509</v>
      </c>
    </row>
    <row r="23">
      <c r="A23" s="1242" t="s">
        <v>1792</v>
      </c>
      <c r="B23" s="1243">
        <v>267.0</v>
      </c>
      <c r="C23" s="1243">
        <v>139.0</v>
      </c>
      <c r="D23" s="1243">
        <v>84.0</v>
      </c>
      <c r="E23" s="1243">
        <v>30.0</v>
      </c>
      <c r="F23" s="485" t="s">
        <v>2509</v>
      </c>
      <c r="G23" s="485" t="s">
        <v>2509</v>
      </c>
      <c r="H23" s="1120">
        <v>0.0</v>
      </c>
      <c r="I23" s="485" t="s">
        <v>2509</v>
      </c>
    </row>
    <row r="24">
      <c r="A24" s="1242" t="s">
        <v>40</v>
      </c>
      <c r="B24" s="1243">
        <v>283.0</v>
      </c>
      <c r="C24" s="1243">
        <v>173.0</v>
      </c>
      <c r="D24" s="1243">
        <v>68.0</v>
      </c>
      <c r="E24" s="1243">
        <v>19.0</v>
      </c>
      <c r="F24" s="1120">
        <v>17.0</v>
      </c>
      <c r="G24" s="1120">
        <v>0.0</v>
      </c>
      <c r="H24" s="1120">
        <v>0.0</v>
      </c>
      <c r="I24" s="485" t="s">
        <v>2509</v>
      </c>
    </row>
    <row r="25">
      <c r="A25" s="1242" t="s">
        <v>968</v>
      </c>
      <c r="B25" s="1243">
        <v>24.0</v>
      </c>
      <c r="C25" s="1243">
        <v>11.0</v>
      </c>
      <c r="D25" s="1242" t="s">
        <v>2509</v>
      </c>
      <c r="E25" s="1242" t="s">
        <v>2509</v>
      </c>
      <c r="F25" s="485" t="s">
        <v>2509</v>
      </c>
      <c r="G25" s="1120">
        <v>0.0</v>
      </c>
      <c r="H25" s="1120">
        <v>0.0</v>
      </c>
      <c r="I25" s="1120">
        <v>0.0</v>
      </c>
    </row>
    <row r="26">
      <c r="A26" s="1242" t="s">
        <v>464</v>
      </c>
      <c r="B26" s="1243">
        <v>393.0</v>
      </c>
      <c r="C26" s="1243">
        <v>219.0</v>
      </c>
      <c r="D26" s="1243">
        <v>90.0</v>
      </c>
      <c r="E26" s="1243">
        <v>47.0</v>
      </c>
      <c r="F26" s="1120">
        <v>18.0</v>
      </c>
      <c r="G26" s="1120">
        <v>0.0</v>
      </c>
      <c r="H26" s="1120">
        <v>0.0</v>
      </c>
      <c r="I26" s="1120">
        <v>19.0</v>
      </c>
    </row>
    <row r="27">
      <c r="A27" s="1242" t="s">
        <v>135</v>
      </c>
      <c r="B27" s="1243">
        <v>173.0</v>
      </c>
      <c r="C27" s="1243">
        <v>62.0</v>
      </c>
      <c r="D27" s="1243">
        <v>99.0</v>
      </c>
      <c r="E27" s="1242" t="s">
        <v>2509</v>
      </c>
      <c r="F27" s="485" t="s">
        <v>2509</v>
      </c>
      <c r="G27" s="1120">
        <v>0.0</v>
      </c>
      <c r="H27" s="1120">
        <v>0.0</v>
      </c>
      <c r="I27" s="1120">
        <v>0.0</v>
      </c>
    </row>
    <row r="28">
      <c r="A28" s="1242" t="s">
        <v>1793</v>
      </c>
      <c r="B28" s="1243">
        <v>0.0</v>
      </c>
      <c r="C28" s="1243">
        <v>0.0</v>
      </c>
      <c r="D28" s="1243">
        <v>0.0</v>
      </c>
      <c r="E28" s="1243">
        <v>0.0</v>
      </c>
      <c r="F28" s="1120">
        <v>0.0</v>
      </c>
      <c r="G28" s="1120">
        <v>0.0</v>
      </c>
      <c r="H28" s="1120">
        <v>0.0</v>
      </c>
      <c r="I28" s="1120">
        <v>0.0</v>
      </c>
    </row>
    <row r="29">
      <c r="A29" s="1242" t="s">
        <v>136</v>
      </c>
      <c r="B29" s="1243">
        <v>92.0</v>
      </c>
      <c r="C29" s="1243">
        <v>53.0</v>
      </c>
      <c r="D29" s="1243">
        <v>16.0</v>
      </c>
      <c r="E29" s="1243">
        <v>20.0</v>
      </c>
      <c r="F29" s="485" t="s">
        <v>2509</v>
      </c>
      <c r="G29" s="1120">
        <v>0.0</v>
      </c>
      <c r="H29" s="1120">
        <v>0.0</v>
      </c>
      <c r="I29" s="1120">
        <v>0.0</v>
      </c>
    </row>
    <row r="30">
      <c r="A30" s="1242" t="s">
        <v>275</v>
      </c>
      <c r="B30" s="1242" t="s">
        <v>2509</v>
      </c>
      <c r="C30" s="1242" t="s">
        <v>2509</v>
      </c>
      <c r="D30" s="1243">
        <v>0.0</v>
      </c>
      <c r="E30" s="1243">
        <v>0.0</v>
      </c>
      <c r="F30" s="485" t="s">
        <v>2509</v>
      </c>
      <c r="G30" s="1120">
        <v>0.0</v>
      </c>
      <c r="H30" s="1120">
        <v>0.0</v>
      </c>
      <c r="I30" s="1120">
        <v>0.0</v>
      </c>
    </row>
    <row r="31">
      <c r="A31" s="1242" t="s">
        <v>138</v>
      </c>
      <c r="B31" s="1243">
        <v>57.0</v>
      </c>
      <c r="C31" s="1243">
        <v>19.0</v>
      </c>
      <c r="D31" s="1243">
        <v>30.0</v>
      </c>
      <c r="E31" s="1242" t="s">
        <v>2509</v>
      </c>
      <c r="F31" s="485" t="s">
        <v>2509</v>
      </c>
      <c r="G31" s="1120">
        <v>0.0</v>
      </c>
      <c r="H31" s="1120">
        <v>0.0</v>
      </c>
      <c r="I31" s="1120">
        <v>0.0</v>
      </c>
    </row>
    <row r="32">
      <c r="A32" s="1242" t="s">
        <v>1794</v>
      </c>
      <c r="B32" s="1243">
        <v>58.0</v>
      </c>
      <c r="C32" s="1243">
        <v>28.0</v>
      </c>
      <c r="D32" s="1243">
        <v>24.0</v>
      </c>
      <c r="E32" s="1242" t="s">
        <v>2509</v>
      </c>
      <c r="F32" s="485" t="s">
        <v>2509</v>
      </c>
      <c r="G32" s="1120">
        <v>0.0</v>
      </c>
      <c r="H32" s="1120">
        <v>0.0</v>
      </c>
      <c r="I32" s="1120">
        <v>0.0</v>
      </c>
    </row>
    <row r="33">
      <c r="A33" s="1242" t="s">
        <v>49</v>
      </c>
      <c r="B33" s="1243">
        <v>73.0</v>
      </c>
      <c r="C33" s="1243">
        <v>47.0</v>
      </c>
      <c r="D33" s="1242" t="s">
        <v>2509</v>
      </c>
      <c r="E33" s="1243">
        <v>16.0</v>
      </c>
      <c r="F33" s="485" t="s">
        <v>2509</v>
      </c>
      <c r="G33" s="1120">
        <v>0.0</v>
      </c>
      <c r="H33" s="1120">
        <v>0.0</v>
      </c>
      <c r="I33" s="1120">
        <v>0.0</v>
      </c>
    </row>
    <row r="34">
      <c r="A34" s="1242" t="s">
        <v>143</v>
      </c>
      <c r="B34" s="1243">
        <v>82.0</v>
      </c>
      <c r="C34" s="1243">
        <v>35.0</v>
      </c>
      <c r="D34" s="1243">
        <v>29.0</v>
      </c>
      <c r="E34" s="1243">
        <v>16.0</v>
      </c>
      <c r="F34" s="485" t="s">
        <v>2509</v>
      </c>
      <c r="G34" s="485" t="s">
        <v>2509</v>
      </c>
      <c r="H34" s="1120">
        <v>0.0</v>
      </c>
      <c r="I34" s="1120">
        <v>0.0</v>
      </c>
    </row>
    <row r="35">
      <c r="A35" s="1242" t="s">
        <v>1795</v>
      </c>
      <c r="B35" s="1243">
        <v>21.0</v>
      </c>
      <c r="C35" s="1243">
        <v>13.0</v>
      </c>
      <c r="D35" s="1242" t="s">
        <v>2509</v>
      </c>
      <c r="E35" s="1242" t="s">
        <v>2509</v>
      </c>
      <c r="F35" s="1120">
        <v>0.0</v>
      </c>
      <c r="G35" s="485" t="s">
        <v>2509</v>
      </c>
      <c r="H35" s="1120">
        <v>0.0</v>
      </c>
      <c r="I35" s="1120">
        <v>0.0</v>
      </c>
    </row>
    <row r="36">
      <c r="A36" s="1242" t="s">
        <v>1796</v>
      </c>
      <c r="B36" s="1243">
        <v>171.0</v>
      </c>
      <c r="C36" s="1243">
        <v>73.0</v>
      </c>
      <c r="D36" s="1243">
        <v>71.0</v>
      </c>
      <c r="E36" s="1243">
        <v>0.0</v>
      </c>
      <c r="F36" s="485" t="s">
        <v>2509</v>
      </c>
      <c r="G36" s="1120">
        <v>0.0</v>
      </c>
      <c r="H36" s="485" t="s">
        <v>2509</v>
      </c>
      <c r="I36" s="485" t="s">
        <v>2509</v>
      </c>
    </row>
    <row r="37">
      <c r="A37" s="1242" t="s">
        <v>650</v>
      </c>
      <c r="B37" s="1243">
        <v>342.0</v>
      </c>
      <c r="C37" s="1243">
        <v>152.0</v>
      </c>
      <c r="D37" s="1243">
        <v>121.0</v>
      </c>
      <c r="E37" s="1243">
        <v>31.0</v>
      </c>
      <c r="F37" s="1120">
        <v>29.0</v>
      </c>
      <c r="G37" s="1120">
        <v>0.0</v>
      </c>
      <c r="H37" s="1120">
        <v>0.0</v>
      </c>
      <c r="I37" s="485" t="s">
        <v>2509</v>
      </c>
    </row>
    <row r="38">
      <c r="A38" s="1242" t="s">
        <v>146</v>
      </c>
      <c r="B38" s="1243">
        <v>232.0</v>
      </c>
      <c r="C38" s="1243">
        <v>104.0</v>
      </c>
      <c r="D38" s="1243">
        <v>97.0</v>
      </c>
      <c r="E38" s="1243">
        <v>17.0</v>
      </c>
      <c r="F38" s="485" t="s">
        <v>2509</v>
      </c>
      <c r="G38" s="1120">
        <v>0.0</v>
      </c>
      <c r="H38" s="1120">
        <v>0.0</v>
      </c>
      <c r="I38" s="1120">
        <v>0.0</v>
      </c>
    </row>
    <row r="39">
      <c r="A39" s="1242" t="s">
        <v>1797</v>
      </c>
      <c r="B39" s="1243">
        <v>136.0</v>
      </c>
      <c r="C39" s="1243">
        <v>77.0</v>
      </c>
      <c r="D39" s="1243">
        <v>29.0</v>
      </c>
      <c r="E39" s="1243">
        <v>17.0</v>
      </c>
      <c r="F39" s="485" t="s">
        <v>2509</v>
      </c>
      <c r="G39" s="1120">
        <v>0.0</v>
      </c>
      <c r="H39" s="485" t="s">
        <v>2509</v>
      </c>
      <c r="I39" s="485" t="s">
        <v>2509</v>
      </c>
    </row>
    <row r="40">
      <c r="A40" s="1242" t="s">
        <v>1798</v>
      </c>
      <c r="B40" s="1243">
        <v>282.0</v>
      </c>
      <c r="C40" s="1243">
        <v>126.0</v>
      </c>
      <c r="D40" s="1243">
        <v>121.0</v>
      </c>
      <c r="E40" s="1243">
        <v>15.0</v>
      </c>
      <c r="F40" s="1120">
        <v>14.0</v>
      </c>
      <c r="G40" s="1120">
        <v>0.0</v>
      </c>
      <c r="H40" s="485" t="s">
        <v>2509</v>
      </c>
      <c r="I40" s="485" t="s">
        <v>2509</v>
      </c>
    </row>
    <row r="41">
      <c r="A41" s="1242" t="s">
        <v>1799</v>
      </c>
      <c r="B41" s="1243">
        <v>524.0</v>
      </c>
      <c r="C41" s="1243">
        <v>254.0</v>
      </c>
      <c r="D41" s="1243">
        <v>242.0</v>
      </c>
      <c r="E41" s="1243">
        <v>13.0</v>
      </c>
      <c r="F41" s="485" t="s">
        <v>2509</v>
      </c>
      <c r="G41" s="1120">
        <v>0.0</v>
      </c>
      <c r="H41" s="1120">
        <v>0.0</v>
      </c>
      <c r="I41" s="485" t="s">
        <v>2509</v>
      </c>
    </row>
    <row r="42">
      <c r="A42" s="1242" t="s">
        <v>1800</v>
      </c>
      <c r="B42" s="1243">
        <v>44.0</v>
      </c>
      <c r="C42" s="1243">
        <v>25.0</v>
      </c>
      <c r="D42" s="1243">
        <v>17.0</v>
      </c>
      <c r="E42" s="1242" t="s">
        <v>2509</v>
      </c>
      <c r="F42" s="485" t="s">
        <v>2509</v>
      </c>
      <c r="G42" s="1120">
        <v>0.0</v>
      </c>
      <c r="H42" s="1120">
        <v>0.0</v>
      </c>
      <c r="I42" s="1120">
        <v>0.0</v>
      </c>
    </row>
    <row r="43">
      <c r="A43" s="1242" t="s">
        <v>1801</v>
      </c>
      <c r="B43" s="1243">
        <v>87.0</v>
      </c>
      <c r="C43" s="1243">
        <v>45.0</v>
      </c>
      <c r="D43" s="1243">
        <v>20.0</v>
      </c>
      <c r="E43" s="1243">
        <v>21.0</v>
      </c>
      <c r="F43" s="485" t="s">
        <v>2509</v>
      </c>
      <c r="G43" s="1120">
        <v>0.0</v>
      </c>
      <c r="H43" s="1120">
        <v>0.0</v>
      </c>
      <c r="I43" s="1120">
        <v>0.0</v>
      </c>
    </row>
    <row r="44">
      <c r="A44" s="1242" t="s">
        <v>738</v>
      </c>
      <c r="B44" s="1243">
        <v>46.0</v>
      </c>
      <c r="C44" s="1243">
        <v>17.0</v>
      </c>
      <c r="D44" s="1243">
        <v>27.0</v>
      </c>
      <c r="E44" s="1242" t="s">
        <v>2509</v>
      </c>
      <c r="F44" s="1120">
        <v>0.0</v>
      </c>
      <c r="G44" s="1120">
        <v>0.0</v>
      </c>
      <c r="H44" s="1120">
        <v>0.0</v>
      </c>
      <c r="I44" s="1120">
        <v>0.0</v>
      </c>
    </row>
    <row r="45">
      <c r="A45" s="1242" t="s">
        <v>1802</v>
      </c>
      <c r="B45" s="1243">
        <v>36.0</v>
      </c>
      <c r="C45" s="1243">
        <v>18.0</v>
      </c>
      <c r="D45" s="1243">
        <v>11.0</v>
      </c>
      <c r="E45" s="1242" t="s">
        <v>2509</v>
      </c>
      <c r="F45" s="485" t="s">
        <v>2509</v>
      </c>
      <c r="G45" s="1120">
        <v>0.0</v>
      </c>
      <c r="H45" s="1120">
        <v>0.0</v>
      </c>
      <c r="I45" s="1120">
        <v>0.0</v>
      </c>
    </row>
    <row r="46">
      <c r="A46" s="1242" t="s">
        <v>156</v>
      </c>
      <c r="B46" s="1243">
        <v>157.0</v>
      </c>
      <c r="C46" s="1243">
        <v>72.0</v>
      </c>
      <c r="D46" s="1243">
        <v>49.0</v>
      </c>
      <c r="E46" s="1242" t="s">
        <v>2509</v>
      </c>
      <c r="F46" s="485" t="s">
        <v>2509</v>
      </c>
      <c r="G46" s="1120">
        <v>0.0</v>
      </c>
      <c r="H46" s="485" t="s">
        <v>2509</v>
      </c>
      <c r="I46" s="1120">
        <v>0.0</v>
      </c>
    </row>
    <row r="47">
      <c r="A47" s="1242" t="s">
        <v>157</v>
      </c>
      <c r="B47" s="1243">
        <v>265.0</v>
      </c>
      <c r="C47" s="1243">
        <v>130.0</v>
      </c>
      <c r="D47" s="1243">
        <v>84.0</v>
      </c>
      <c r="E47" s="1243">
        <v>17.0</v>
      </c>
      <c r="F47" s="1120">
        <v>20.0</v>
      </c>
      <c r="G47" s="485" t="s">
        <v>2509</v>
      </c>
      <c r="H47" s="485" t="s">
        <v>2509</v>
      </c>
      <c r="I47" s="485" t="s">
        <v>2509</v>
      </c>
    </row>
    <row r="48">
      <c r="A48" s="1242" t="s">
        <v>1803</v>
      </c>
      <c r="B48" s="1242" t="s">
        <v>2509</v>
      </c>
      <c r="C48" s="1242" t="s">
        <v>2509</v>
      </c>
      <c r="D48" s="1243">
        <v>0.0</v>
      </c>
      <c r="E48" s="1242" t="s">
        <v>2509</v>
      </c>
      <c r="F48" s="1120">
        <v>0.0</v>
      </c>
      <c r="G48" s="1120">
        <v>0.0</v>
      </c>
      <c r="H48" s="1120">
        <v>0.0</v>
      </c>
      <c r="I48" s="1120">
        <v>0.0</v>
      </c>
    </row>
    <row r="49">
      <c r="A49" s="1242" t="s">
        <v>1618</v>
      </c>
      <c r="B49" s="1243">
        <v>288.0</v>
      </c>
      <c r="C49" s="1243">
        <v>99.0</v>
      </c>
      <c r="D49" s="1243">
        <v>147.0</v>
      </c>
      <c r="E49" s="1243">
        <v>15.0</v>
      </c>
      <c r="F49" s="1120">
        <v>18.0</v>
      </c>
      <c r="G49" s="485" t="s">
        <v>2509</v>
      </c>
      <c r="H49" s="1120">
        <v>0.0</v>
      </c>
      <c r="I49" s="485" t="s">
        <v>2509</v>
      </c>
    </row>
    <row r="50">
      <c r="A50" s="1242" t="s">
        <v>1804</v>
      </c>
      <c r="B50" s="1243">
        <v>83.0</v>
      </c>
      <c r="C50" s="1243">
        <v>40.0</v>
      </c>
      <c r="D50" s="1243">
        <v>31.0</v>
      </c>
      <c r="E50" s="1242" t="s">
        <v>2509</v>
      </c>
      <c r="F50" s="485" t="s">
        <v>2509</v>
      </c>
      <c r="G50" s="1120">
        <v>0.0</v>
      </c>
      <c r="H50" s="485" t="s">
        <v>2509</v>
      </c>
      <c r="I50" s="1120">
        <v>0.0</v>
      </c>
    </row>
    <row r="51">
      <c r="A51" s="1242" t="s">
        <v>159</v>
      </c>
      <c r="B51" s="1243">
        <v>23.0</v>
      </c>
      <c r="C51" s="1243">
        <v>12.0</v>
      </c>
      <c r="D51" s="1242" t="s">
        <v>2509</v>
      </c>
      <c r="E51" s="1242" t="s">
        <v>2509</v>
      </c>
      <c r="F51" s="485" t="s">
        <v>2509</v>
      </c>
      <c r="G51" s="485" t="s">
        <v>2509</v>
      </c>
      <c r="H51" s="1120">
        <v>0.0</v>
      </c>
      <c r="I51" s="1120">
        <v>0.0</v>
      </c>
    </row>
    <row r="52">
      <c r="A52" s="1242" t="s">
        <v>286</v>
      </c>
      <c r="B52" s="1243">
        <v>3753.0</v>
      </c>
      <c r="C52" s="1243">
        <v>1452.0</v>
      </c>
      <c r="D52" s="1243">
        <v>1850.0</v>
      </c>
      <c r="E52" s="1243">
        <v>157.0</v>
      </c>
      <c r="F52" s="1120">
        <v>129.0</v>
      </c>
      <c r="G52" s="1120">
        <v>26.0</v>
      </c>
      <c r="H52" s="1120">
        <v>101.0</v>
      </c>
      <c r="I52" s="1120">
        <v>38.0</v>
      </c>
    </row>
    <row r="53">
      <c r="A53" s="1242" t="s">
        <v>162</v>
      </c>
      <c r="B53" s="1243">
        <v>34.0</v>
      </c>
      <c r="C53" s="1243">
        <v>20.0</v>
      </c>
      <c r="D53" s="1242" t="s">
        <v>2509</v>
      </c>
      <c r="E53" s="1242" t="s">
        <v>2509</v>
      </c>
      <c r="F53" s="485" t="s">
        <v>2509</v>
      </c>
      <c r="G53" s="1120">
        <v>0.0</v>
      </c>
      <c r="H53" s="1120">
        <v>0.0</v>
      </c>
      <c r="I53" s="1120">
        <v>0.0</v>
      </c>
    </row>
    <row r="54">
      <c r="A54" s="1242" t="s">
        <v>1805</v>
      </c>
      <c r="B54" s="1242" t="s">
        <v>2509</v>
      </c>
      <c r="C54" s="1242" t="s">
        <v>2509</v>
      </c>
      <c r="D54" s="1242" t="s">
        <v>2509</v>
      </c>
      <c r="E54" s="1243">
        <v>0.0</v>
      </c>
      <c r="F54" s="1120">
        <v>0.0</v>
      </c>
      <c r="G54" s="1120">
        <v>0.0</v>
      </c>
      <c r="H54" s="1120">
        <v>0.0</v>
      </c>
      <c r="I54" s="1120">
        <v>0.0</v>
      </c>
    </row>
    <row r="55">
      <c r="A55" s="1242" t="s">
        <v>1806</v>
      </c>
      <c r="B55" s="1243">
        <v>306.0</v>
      </c>
      <c r="C55" s="1243">
        <v>218.0</v>
      </c>
      <c r="D55" s="1243">
        <v>61.0</v>
      </c>
      <c r="E55" s="1243">
        <v>18.0</v>
      </c>
      <c r="F55" s="485" t="s">
        <v>2509</v>
      </c>
      <c r="G55" s="1120">
        <v>0.0</v>
      </c>
      <c r="H55" s="485" t="s">
        <v>2509</v>
      </c>
      <c r="I55" s="1120">
        <v>0.0</v>
      </c>
    </row>
    <row r="56">
      <c r="A56" s="1242" t="s">
        <v>1807</v>
      </c>
      <c r="B56" s="1243">
        <v>0.0</v>
      </c>
      <c r="C56" s="1243">
        <v>0.0</v>
      </c>
      <c r="D56" s="1243">
        <v>0.0</v>
      </c>
      <c r="E56" s="1243">
        <v>0.0</v>
      </c>
      <c r="F56" s="1120">
        <v>0.0</v>
      </c>
      <c r="G56" s="1120">
        <v>0.0</v>
      </c>
      <c r="H56" s="1120">
        <v>0.0</v>
      </c>
      <c r="I56" s="1120">
        <v>0.0</v>
      </c>
    </row>
    <row r="57">
      <c r="A57" s="1242" t="s">
        <v>1194</v>
      </c>
      <c r="B57" s="1243">
        <v>133.0</v>
      </c>
      <c r="C57" s="1243">
        <v>50.0</v>
      </c>
      <c r="D57" s="1243">
        <v>66.0</v>
      </c>
      <c r="E57" s="1242" t="s">
        <v>2509</v>
      </c>
      <c r="F57" s="485" t="s">
        <v>2509</v>
      </c>
      <c r="G57" s="485" t="s">
        <v>2509</v>
      </c>
      <c r="H57" s="1120">
        <v>0.0</v>
      </c>
      <c r="I57" s="485" t="s">
        <v>2509</v>
      </c>
    </row>
    <row r="58">
      <c r="A58" s="1242" t="s">
        <v>860</v>
      </c>
      <c r="B58" s="1243">
        <v>0.0</v>
      </c>
      <c r="C58" s="1243">
        <v>0.0</v>
      </c>
      <c r="D58" s="1243">
        <v>0.0</v>
      </c>
      <c r="E58" s="1243">
        <v>0.0</v>
      </c>
      <c r="F58" s="1120">
        <v>0.0</v>
      </c>
      <c r="G58" s="1120">
        <v>0.0</v>
      </c>
      <c r="H58" s="1120">
        <v>0.0</v>
      </c>
      <c r="I58" s="1120">
        <v>0.0</v>
      </c>
    </row>
    <row r="59">
      <c r="A59" s="1242" t="s">
        <v>1808</v>
      </c>
      <c r="B59" s="1243">
        <v>41.0</v>
      </c>
      <c r="C59" s="1243">
        <v>26.0</v>
      </c>
      <c r="D59" s="1243">
        <v>14.0</v>
      </c>
      <c r="E59" s="1243">
        <v>0.0</v>
      </c>
      <c r="F59" s="1120">
        <v>0.0</v>
      </c>
      <c r="G59" s="485" t="s">
        <v>2509</v>
      </c>
      <c r="H59" s="1120">
        <v>0.0</v>
      </c>
      <c r="I59" s="1120">
        <v>0.0</v>
      </c>
    </row>
    <row r="60">
      <c r="A60" s="1242" t="s">
        <v>1574</v>
      </c>
      <c r="B60" s="1243">
        <v>88.0</v>
      </c>
      <c r="C60" s="1243">
        <v>27.0</v>
      </c>
      <c r="D60" s="1243">
        <v>48.0</v>
      </c>
      <c r="E60" s="1242" t="s">
        <v>2509</v>
      </c>
      <c r="F60" s="485" t="s">
        <v>2509</v>
      </c>
      <c r="G60" s="485" t="s">
        <v>2509</v>
      </c>
      <c r="H60" s="1120">
        <v>0.0</v>
      </c>
      <c r="I60" s="1120">
        <v>0.0</v>
      </c>
    </row>
    <row r="61">
      <c r="A61" s="1242" t="s">
        <v>316</v>
      </c>
      <c r="B61" s="1242" t="s">
        <v>2509</v>
      </c>
      <c r="C61" s="1243">
        <v>0.0</v>
      </c>
      <c r="D61" s="1242" t="s">
        <v>2509</v>
      </c>
      <c r="E61" s="1243">
        <v>0.0</v>
      </c>
      <c r="F61" s="1120">
        <v>0.0</v>
      </c>
      <c r="G61" s="1120">
        <v>0.0</v>
      </c>
      <c r="H61" s="1120">
        <v>0.0</v>
      </c>
      <c r="I61" s="1120">
        <v>0.0</v>
      </c>
    </row>
    <row r="62">
      <c r="A62" s="1242" t="s">
        <v>1809</v>
      </c>
      <c r="B62" s="1243">
        <v>116.0</v>
      </c>
      <c r="C62" s="1243">
        <v>38.0</v>
      </c>
      <c r="D62" s="1243">
        <v>65.0</v>
      </c>
      <c r="E62" s="1243">
        <v>12.0</v>
      </c>
      <c r="F62" s="485" t="s">
        <v>2509</v>
      </c>
      <c r="G62" s="1120">
        <v>0.0</v>
      </c>
      <c r="H62" s="1120">
        <v>0.0</v>
      </c>
      <c r="I62" s="1120">
        <v>0.0</v>
      </c>
    </row>
    <row r="63">
      <c r="A63" s="1242" t="s">
        <v>647</v>
      </c>
      <c r="B63" s="1243">
        <v>35.0</v>
      </c>
      <c r="C63" s="1243">
        <v>19.0</v>
      </c>
      <c r="D63" s="1242" t="s">
        <v>2509</v>
      </c>
      <c r="E63" s="1242" t="s">
        <v>2509</v>
      </c>
      <c r="F63" s="485" t="s">
        <v>2509</v>
      </c>
      <c r="G63" s="1120">
        <v>0.0</v>
      </c>
      <c r="H63" s="1120">
        <v>0.0</v>
      </c>
      <c r="I63" s="485" t="s">
        <v>2509</v>
      </c>
    </row>
    <row r="64">
      <c r="A64" s="1242" t="s">
        <v>119</v>
      </c>
      <c r="B64" s="1243">
        <v>227.0</v>
      </c>
      <c r="C64" s="1243">
        <v>80.0</v>
      </c>
      <c r="D64" s="1243">
        <v>131.0</v>
      </c>
      <c r="E64" s="1242" t="s">
        <v>2509</v>
      </c>
      <c r="F64" s="485" t="s">
        <v>2509</v>
      </c>
      <c r="G64" s="1120">
        <v>0.0</v>
      </c>
      <c r="H64" s="1120">
        <v>0.0</v>
      </c>
      <c r="I64" s="485" t="s">
        <v>2509</v>
      </c>
    </row>
    <row r="65">
      <c r="A65" s="1242" t="s">
        <v>273</v>
      </c>
      <c r="B65" s="1243">
        <v>52.0</v>
      </c>
      <c r="C65" s="1243">
        <v>25.0</v>
      </c>
      <c r="D65" s="1243">
        <v>13.0</v>
      </c>
      <c r="E65" s="1242" t="s">
        <v>2509</v>
      </c>
      <c r="F65" s="485" t="s">
        <v>2509</v>
      </c>
      <c r="G65" s="1120">
        <v>0.0</v>
      </c>
      <c r="H65" s="1120">
        <v>0.0</v>
      </c>
      <c r="I65" s="485" t="s">
        <v>2509</v>
      </c>
    </row>
    <row r="66">
      <c r="A66" s="1242" t="s">
        <v>1810</v>
      </c>
      <c r="B66" s="1243">
        <v>243.0</v>
      </c>
      <c r="C66" s="1243">
        <v>104.0</v>
      </c>
      <c r="D66" s="1243">
        <v>94.0</v>
      </c>
      <c r="E66" s="1243">
        <v>22.0</v>
      </c>
      <c r="F66" s="485" t="s">
        <v>2509</v>
      </c>
      <c r="G66" s="1120">
        <v>0.0</v>
      </c>
      <c r="H66" s="1120">
        <v>0.0</v>
      </c>
      <c r="I66" s="1120">
        <v>11.0</v>
      </c>
    </row>
    <row r="67">
      <c r="A67" s="1242" t="s">
        <v>123</v>
      </c>
      <c r="B67" s="1243">
        <v>42.0</v>
      </c>
      <c r="C67" s="1243">
        <v>23.0</v>
      </c>
      <c r="D67" s="1243">
        <v>11.0</v>
      </c>
      <c r="E67" s="1243">
        <v>0.0</v>
      </c>
      <c r="F67" s="485" t="s">
        <v>2509</v>
      </c>
      <c r="G67" s="485" t="s">
        <v>2509</v>
      </c>
      <c r="H67" s="1120">
        <v>0.0</v>
      </c>
      <c r="I67" s="485" t="s">
        <v>2509</v>
      </c>
    </row>
    <row r="68">
      <c r="A68" s="1242" t="s">
        <v>1196</v>
      </c>
      <c r="B68" s="1243">
        <v>402.0</v>
      </c>
      <c r="C68" s="1243">
        <v>162.0</v>
      </c>
      <c r="D68" s="1243">
        <v>166.0</v>
      </c>
      <c r="E68" s="1243">
        <v>40.0</v>
      </c>
      <c r="F68" s="1120">
        <v>24.0</v>
      </c>
      <c r="G68" s="485" t="s">
        <v>2509</v>
      </c>
      <c r="H68" s="485" t="s">
        <v>2509</v>
      </c>
      <c r="I68" s="485" t="s">
        <v>2509</v>
      </c>
    </row>
    <row r="69">
      <c r="A69" s="1"/>
      <c r="B69" s="1"/>
      <c r="C69" s="1"/>
      <c r="D69" s="1"/>
      <c r="E69" s="1"/>
    </row>
    <row r="70">
      <c r="A70" s="1"/>
      <c r="B70" s="1"/>
      <c r="C70" s="1"/>
      <c r="D70" s="1"/>
      <c r="E70" s="1"/>
    </row>
    <row r="71">
      <c r="A71" s="1"/>
      <c r="B71" s="1"/>
      <c r="C71" s="1"/>
      <c r="D71" s="1"/>
      <c r="E71" s="1"/>
    </row>
    <row r="72">
      <c r="A72" s="1"/>
      <c r="B72" s="1"/>
      <c r="C72" s="1"/>
      <c r="D72" s="1"/>
      <c r="E72" s="1"/>
    </row>
    <row r="73">
      <c r="A73" s="1"/>
      <c r="B73" s="1"/>
      <c r="C73" s="1"/>
      <c r="D73" s="1"/>
      <c r="E73" s="1"/>
    </row>
    <row r="74">
      <c r="A74" s="1"/>
      <c r="B74" s="1"/>
      <c r="C74" s="1"/>
      <c r="D74" s="1"/>
      <c r="E74" s="1"/>
    </row>
    <row r="75">
      <c r="A75" s="1"/>
      <c r="B75" s="1"/>
      <c r="C75" s="1"/>
      <c r="D75" s="1"/>
      <c r="E75" s="1"/>
    </row>
    <row r="76">
      <c r="A76" s="1"/>
      <c r="B76" s="1"/>
      <c r="C76" s="1"/>
      <c r="D76" s="1"/>
      <c r="E76" s="1"/>
    </row>
    <row r="77">
      <c r="A77" s="1"/>
      <c r="B77" s="1"/>
      <c r="C77" s="1"/>
      <c r="D77" s="1"/>
      <c r="E77" s="1"/>
    </row>
    <row r="78">
      <c r="A78" s="1"/>
      <c r="B78" s="1"/>
      <c r="C78" s="1"/>
      <c r="D78" s="1"/>
      <c r="E78" s="1"/>
    </row>
    <row r="79">
      <c r="A79" s="1"/>
      <c r="B79" s="1"/>
      <c r="C79" s="1"/>
      <c r="D79" s="1"/>
      <c r="E79" s="1"/>
    </row>
    <row r="80">
      <c r="A80" s="1"/>
      <c r="B80" s="1"/>
      <c r="C80" s="1"/>
      <c r="D80" s="1"/>
      <c r="E80" s="1"/>
    </row>
    <row r="81">
      <c r="A81" s="1"/>
      <c r="B81" s="1"/>
      <c r="C81" s="1"/>
      <c r="D81" s="1"/>
      <c r="E81" s="1"/>
    </row>
    <row r="82">
      <c r="A82" s="1"/>
      <c r="B82" s="1"/>
      <c r="C82" s="1"/>
      <c r="D82" s="1"/>
      <c r="E82" s="1"/>
    </row>
    <row r="83">
      <c r="A83" s="1"/>
      <c r="B83" s="1"/>
      <c r="C83" s="1"/>
      <c r="D83" s="1"/>
      <c r="E83" s="1"/>
    </row>
    <row r="84">
      <c r="A84" s="1"/>
      <c r="B84" s="1"/>
      <c r="C84" s="1"/>
      <c r="D84" s="1"/>
      <c r="E84" s="1"/>
    </row>
    <row r="85">
      <c r="A85" s="1"/>
      <c r="B85" s="1"/>
      <c r="C85" s="1"/>
      <c r="D85" s="1"/>
      <c r="E85" s="1"/>
    </row>
    <row r="86">
      <c r="A86" s="1"/>
      <c r="B86" s="1"/>
      <c r="C86" s="1"/>
      <c r="D86" s="1"/>
      <c r="E86" s="1"/>
    </row>
    <row r="87">
      <c r="A87" s="1"/>
      <c r="B87" s="1"/>
      <c r="C87" s="1"/>
      <c r="D87" s="1"/>
      <c r="E87" s="1"/>
    </row>
    <row r="88">
      <c r="A88" s="1"/>
      <c r="B88" s="1"/>
      <c r="C88" s="1"/>
      <c r="D88" s="1"/>
      <c r="E88" s="1"/>
    </row>
    <row r="89">
      <c r="A89" s="1"/>
      <c r="B89" s="1"/>
      <c r="C89" s="1"/>
      <c r="D89" s="1"/>
      <c r="E89" s="1"/>
    </row>
    <row r="90">
      <c r="A90" s="1"/>
      <c r="B90" s="1"/>
      <c r="C90" s="1"/>
      <c r="D90" s="1"/>
      <c r="E90" s="1"/>
    </row>
    <row r="91">
      <c r="A91" s="1"/>
      <c r="B91" s="1"/>
      <c r="C91" s="1"/>
      <c r="D91" s="1"/>
      <c r="E91" s="1"/>
    </row>
    <row r="92">
      <c r="A92" s="1"/>
      <c r="B92" s="1"/>
      <c r="C92" s="1"/>
      <c r="D92" s="1"/>
      <c r="E92" s="1"/>
    </row>
    <row r="93">
      <c r="A93" s="1"/>
      <c r="B93" s="1"/>
      <c r="C93" s="1"/>
      <c r="D93" s="1"/>
      <c r="E93" s="1"/>
    </row>
    <row r="94">
      <c r="A94" s="1"/>
      <c r="B94" s="1"/>
      <c r="C94" s="1"/>
      <c r="D94" s="1"/>
      <c r="E94" s="1"/>
    </row>
    <row r="95">
      <c r="A95" s="1"/>
      <c r="B95" s="1"/>
      <c r="C95" s="1"/>
      <c r="D95" s="1"/>
      <c r="E95" s="1"/>
    </row>
    <row r="96">
      <c r="A96" s="1"/>
      <c r="B96" s="1"/>
      <c r="C96" s="1"/>
      <c r="D96" s="1"/>
      <c r="E96" s="1"/>
    </row>
    <row r="97">
      <c r="A97" s="1"/>
      <c r="B97" s="1"/>
      <c r="C97" s="1"/>
      <c r="D97" s="1"/>
      <c r="E97" s="1"/>
    </row>
    <row r="98">
      <c r="A98" s="1"/>
      <c r="B98" s="1"/>
      <c r="C98" s="1"/>
      <c r="D98" s="1"/>
      <c r="E98" s="1"/>
    </row>
    <row r="99">
      <c r="A99" s="1"/>
      <c r="B99" s="1"/>
      <c r="C99" s="1"/>
      <c r="D99" s="1"/>
      <c r="E99" s="1"/>
    </row>
    <row r="100">
      <c r="A100" s="1"/>
      <c r="B100" s="1"/>
      <c r="C100" s="1"/>
      <c r="D100" s="1"/>
      <c r="E100" s="1"/>
    </row>
    <row r="101">
      <c r="A101" s="1"/>
      <c r="B101" s="1"/>
      <c r="C101" s="1"/>
      <c r="D101" s="1"/>
      <c r="E101" s="1"/>
    </row>
    <row r="102">
      <c r="A102" s="1"/>
      <c r="B102" s="1"/>
      <c r="C102" s="1"/>
      <c r="D102" s="1"/>
      <c r="E102" s="1"/>
    </row>
    <row r="103">
      <c r="A103" s="1"/>
      <c r="B103" s="1"/>
      <c r="C103" s="1"/>
      <c r="D103" s="1"/>
      <c r="E103" s="1"/>
    </row>
    <row r="104">
      <c r="A104" s="1"/>
      <c r="B104" s="1"/>
      <c r="C104" s="1"/>
      <c r="D104" s="1"/>
      <c r="E104" s="1"/>
    </row>
    <row r="105">
      <c r="A105" s="1"/>
      <c r="B105" s="1"/>
      <c r="C105" s="1"/>
      <c r="D105" s="1"/>
      <c r="E105" s="1"/>
    </row>
    <row r="106">
      <c r="A106" s="1"/>
      <c r="B106" s="1"/>
      <c r="C106" s="1"/>
      <c r="D106" s="1"/>
      <c r="E106" s="1"/>
    </row>
    <row r="107">
      <c r="A107" s="1"/>
      <c r="B107" s="1"/>
      <c r="C107" s="1"/>
      <c r="D107" s="1"/>
      <c r="E107" s="1"/>
    </row>
    <row r="108">
      <c r="A108" s="1"/>
      <c r="B108" s="1"/>
      <c r="C108" s="1"/>
      <c r="D108" s="1"/>
      <c r="E108" s="1"/>
    </row>
    <row r="109">
      <c r="A109" s="1"/>
      <c r="B109" s="1"/>
      <c r="C109" s="1"/>
      <c r="D109" s="1"/>
      <c r="E109" s="1"/>
    </row>
    <row r="110">
      <c r="A110" s="1"/>
      <c r="B110" s="1"/>
      <c r="C110" s="1"/>
      <c r="D110" s="1"/>
      <c r="E110" s="1"/>
    </row>
    <row r="111">
      <c r="A111" s="1"/>
      <c r="B111" s="1"/>
      <c r="C111" s="1"/>
      <c r="D111" s="1"/>
      <c r="E111" s="1"/>
    </row>
    <row r="112">
      <c r="A112" s="1"/>
      <c r="B112" s="1"/>
      <c r="C112" s="1"/>
      <c r="D112" s="1"/>
      <c r="E112" s="1"/>
    </row>
    <row r="113">
      <c r="A113" s="1"/>
      <c r="B113" s="1"/>
      <c r="C113" s="1"/>
      <c r="D113" s="1"/>
      <c r="E113" s="1"/>
    </row>
    <row r="114">
      <c r="A114" s="1"/>
      <c r="B114" s="1"/>
      <c r="C114" s="1"/>
      <c r="D114" s="1"/>
      <c r="E114" s="1"/>
    </row>
    <row r="115">
      <c r="A115" s="1"/>
      <c r="B115" s="1"/>
      <c r="C115" s="1"/>
      <c r="D115" s="1"/>
      <c r="E115" s="1"/>
    </row>
    <row r="116">
      <c r="A116" s="1"/>
      <c r="B116" s="1"/>
      <c r="C116" s="1"/>
      <c r="D116" s="1"/>
      <c r="E116" s="1"/>
    </row>
    <row r="117">
      <c r="A117" s="1"/>
      <c r="B117" s="1"/>
      <c r="C117" s="1"/>
      <c r="D117" s="1"/>
      <c r="E117" s="1"/>
    </row>
    <row r="118">
      <c r="A118" s="1"/>
      <c r="B118" s="1"/>
      <c r="C118" s="1"/>
      <c r="D118" s="1"/>
      <c r="E118" s="1"/>
    </row>
    <row r="119">
      <c r="A119" s="1"/>
      <c r="B119" s="1"/>
      <c r="C119" s="1"/>
      <c r="D119" s="1"/>
      <c r="E119" s="1"/>
    </row>
    <row r="120">
      <c r="A120" s="1"/>
      <c r="B120" s="1"/>
      <c r="C120" s="1"/>
      <c r="D120" s="1"/>
      <c r="E120" s="1"/>
    </row>
    <row r="121">
      <c r="A121" s="1"/>
      <c r="B121" s="1"/>
      <c r="C121" s="1"/>
      <c r="D121" s="1"/>
      <c r="E121" s="1"/>
    </row>
    <row r="122">
      <c r="A122" s="1"/>
      <c r="B122" s="1"/>
      <c r="C122" s="1"/>
      <c r="D122" s="1"/>
      <c r="E122" s="1"/>
    </row>
    <row r="123">
      <c r="A123" s="1"/>
      <c r="B123" s="1"/>
      <c r="C123" s="1"/>
      <c r="D123" s="1"/>
      <c r="E123" s="1"/>
    </row>
    <row r="124">
      <c r="A124" s="1"/>
      <c r="B124" s="1"/>
      <c r="C124" s="1"/>
      <c r="D124" s="1"/>
      <c r="E124" s="1"/>
    </row>
    <row r="125">
      <c r="A125" s="1"/>
      <c r="B125" s="1"/>
      <c r="C125" s="1"/>
      <c r="D125" s="1"/>
      <c r="E125" s="1"/>
    </row>
    <row r="126">
      <c r="A126" s="1"/>
      <c r="B126" s="1"/>
      <c r="C126" s="1"/>
      <c r="D126" s="1"/>
      <c r="E126" s="1"/>
    </row>
    <row r="127">
      <c r="A127" s="1"/>
      <c r="B127" s="1"/>
      <c r="C127" s="1"/>
      <c r="D127" s="1"/>
      <c r="E127" s="1"/>
    </row>
    <row r="128">
      <c r="A128" s="1"/>
      <c r="B128" s="1"/>
      <c r="C128" s="1"/>
      <c r="D128" s="1"/>
      <c r="E128" s="1"/>
    </row>
    <row r="129">
      <c r="A129" s="1"/>
      <c r="B129" s="1"/>
      <c r="C129" s="1"/>
      <c r="D129" s="1"/>
      <c r="E129" s="1"/>
    </row>
    <row r="130">
      <c r="A130" s="1"/>
      <c r="B130" s="1"/>
      <c r="C130" s="1"/>
      <c r="D130" s="1"/>
      <c r="E130" s="1"/>
    </row>
    <row r="131">
      <c r="A131" s="1"/>
      <c r="B131" s="1"/>
      <c r="C131" s="1"/>
      <c r="D131" s="1"/>
      <c r="E131" s="1"/>
    </row>
    <row r="132">
      <c r="A132" s="1"/>
      <c r="B132" s="1"/>
      <c r="C132" s="1"/>
      <c r="D132" s="1"/>
      <c r="E132" s="1"/>
    </row>
    <row r="133">
      <c r="A133" s="1"/>
      <c r="B133" s="1"/>
      <c r="C133" s="1"/>
      <c r="D133" s="1"/>
      <c r="E133" s="1"/>
    </row>
    <row r="134">
      <c r="A134" s="1"/>
      <c r="B134" s="1"/>
      <c r="C134" s="1"/>
      <c r="D134" s="1"/>
      <c r="E134" s="1"/>
    </row>
    <row r="135">
      <c r="A135" s="1"/>
      <c r="B135" s="1"/>
      <c r="C135" s="1"/>
      <c r="D135" s="1"/>
      <c r="E135" s="1"/>
    </row>
    <row r="136">
      <c r="A136" s="1"/>
      <c r="B136" s="1"/>
      <c r="C136" s="1"/>
      <c r="D136" s="1"/>
      <c r="E136" s="1"/>
    </row>
    <row r="137">
      <c r="A137" s="1"/>
      <c r="B137" s="1"/>
      <c r="C137" s="1"/>
      <c r="D137" s="1"/>
      <c r="E137" s="1"/>
    </row>
    <row r="138">
      <c r="A138" s="1"/>
      <c r="B138" s="1"/>
      <c r="C138" s="1"/>
      <c r="D138" s="1"/>
      <c r="E138" s="1"/>
    </row>
    <row r="139">
      <c r="A139" s="1"/>
      <c r="B139" s="1"/>
      <c r="C139" s="1"/>
      <c r="D139" s="1"/>
      <c r="E139" s="1"/>
    </row>
    <row r="140">
      <c r="A140" s="1"/>
      <c r="B140" s="1"/>
      <c r="C140" s="1"/>
      <c r="D140" s="1"/>
      <c r="E140" s="1"/>
    </row>
    <row r="141">
      <c r="A141" s="1"/>
      <c r="B141" s="1"/>
      <c r="C141" s="1"/>
      <c r="D141" s="1"/>
      <c r="E141" s="1"/>
    </row>
    <row r="142">
      <c r="A142" s="1"/>
      <c r="B142" s="1"/>
      <c r="C142" s="1"/>
      <c r="D142" s="1"/>
      <c r="E142" s="1"/>
    </row>
    <row r="143">
      <c r="A143" s="1"/>
      <c r="B143" s="1"/>
      <c r="C143" s="1"/>
      <c r="D143" s="1"/>
      <c r="E143" s="1"/>
    </row>
    <row r="144">
      <c r="A144" s="1"/>
      <c r="B144" s="1"/>
      <c r="C144" s="1"/>
      <c r="D144" s="1"/>
      <c r="E144" s="1"/>
    </row>
    <row r="145">
      <c r="A145" s="1"/>
      <c r="B145" s="1"/>
      <c r="C145" s="1"/>
      <c r="D145" s="1"/>
      <c r="E145" s="1"/>
    </row>
    <row r="146">
      <c r="A146" s="1"/>
      <c r="B146" s="1"/>
      <c r="C146" s="1"/>
      <c r="D146" s="1"/>
      <c r="E146" s="1"/>
    </row>
    <row r="147">
      <c r="A147" s="1"/>
      <c r="B147" s="1"/>
      <c r="C147" s="1"/>
      <c r="D147" s="1"/>
      <c r="E147" s="1"/>
    </row>
    <row r="148">
      <c r="A148" s="1"/>
      <c r="B148" s="1"/>
      <c r="C148" s="1"/>
      <c r="D148" s="1"/>
      <c r="E148" s="1"/>
    </row>
    <row r="149">
      <c r="A149" s="1"/>
      <c r="B149" s="1"/>
      <c r="C149" s="1"/>
      <c r="D149" s="1"/>
      <c r="E149" s="1"/>
    </row>
    <row r="150">
      <c r="A150" s="1"/>
      <c r="B150" s="1"/>
      <c r="C150" s="1"/>
      <c r="D150" s="1"/>
      <c r="E150" s="1"/>
    </row>
    <row r="151">
      <c r="A151" s="1"/>
      <c r="B151" s="1"/>
      <c r="C151" s="1"/>
      <c r="D151" s="1"/>
      <c r="E151" s="1"/>
    </row>
    <row r="152">
      <c r="A152" s="1"/>
      <c r="B152" s="1"/>
      <c r="C152" s="1"/>
      <c r="D152" s="1"/>
      <c r="E152" s="1"/>
    </row>
    <row r="153">
      <c r="A153" s="1"/>
      <c r="B153" s="1"/>
      <c r="C153" s="1"/>
      <c r="D153" s="1"/>
      <c r="E153" s="1"/>
    </row>
    <row r="154">
      <c r="A154" s="1"/>
      <c r="B154" s="1"/>
      <c r="C154" s="1"/>
      <c r="D154" s="1"/>
      <c r="E154" s="1"/>
    </row>
    <row r="155">
      <c r="A155" s="1"/>
      <c r="B155" s="1"/>
      <c r="C155" s="1"/>
      <c r="D155" s="1"/>
      <c r="E155" s="1"/>
    </row>
    <row r="156">
      <c r="A156" s="1"/>
      <c r="B156" s="1"/>
      <c r="C156" s="1"/>
      <c r="D156" s="1"/>
      <c r="E156" s="1"/>
    </row>
    <row r="157">
      <c r="A157" s="1"/>
      <c r="B157" s="1"/>
      <c r="C157" s="1"/>
      <c r="D157" s="1"/>
      <c r="E157" s="1"/>
    </row>
    <row r="158">
      <c r="A158" s="1"/>
      <c r="B158" s="1"/>
      <c r="C158" s="1"/>
      <c r="D158" s="1"/>
      <c r="E158" s="1"/>
    </row>
    <row r="159">
      <c r="A159" s="1"/>
      <c r="B159" s="1"/>
      <c r="C159" s="1"/>
      <c r="D159" s="1"/>
      <c r="E159" s="1"/>
    </row>
    <row r="160">
      <c r="A160" s="1"/>
      <c r="B160" s="1"/>
      <c r="C160" s="1"/>
      <c r="D160" s="1"/>
      <c r="E160" s="1"/>
    </row>
    <row r="161">
      <c r="A161" s="1"/>
      <c r="B161" s="1"/>
      <c r="C161" s="1"/>
      <c r="D161" s="1"/>
      <c r="E161" s="1"/>
    </row>
    <row r="162">
      <c r="A162" s="1"/>
      <c r="B162" s="1"/>
      <c r="C162" s="1"/>
      <c r="D162" s="1"/>
      <c r="E162" s="1"/>
    </row>
    <row r="163">
      <c r="A163" s="1"/>
      <c r="B163" s="1"/>
      <c r="C163" s="1"/>
      <c r="D163" s="1"/>
      <c r="E163" s="1"/>
    </row>
    <row r="164">
      <c r="A164" s="1"/>
      <c r="B164" s="1"/>
      <c r="C164" s="1"/>
      <c r="D164" s="1"/>
      <c r="E164" s="1"/>
    </row>
    <row r="165">
      <c r="A165" s="1"/>
      <c r="B165" s="1"/>
      <c r="C165" s="1"/>
      <c r="D165" s="1"/>
      <c r="E165" s="1"/>
    </row>
    <row r="166">
      <c r="A166" s="1"/>
      <c r="B166" s="1"/>
      <c r="C166" s="1"/>
      <c r="D166" s="1"/>
      <c r="E166" s="1"/>
    </row>
    <row r="167">
      <c r="A167" s="1"/>
      <c r="B167" s="1"/>
      <c r="C167" s="1"/>
      <c r="D167" s="1"/>
      <c r="E167" s="1"/>
    </row>
    <row r="168">
      <c r="A168" s="1"/>
      <c r="B168" s="1"/>
      <c r="C168" s="1"/>
      <c r="D168" s="1"/>
      <c r="E168" s="1"/>
    </row>
    <row r="169">
      <c r="A169" s="1"/>
      <c r="B169" s="1"/>
      <c r="C169" s="1"/>
      <c r="D169" s="1"/>
      <c r="E169" s="1"/>
    </row>
    <row r="170">
      <c r="A170" s="1"/>
      <c r="B170" s="1"/>
      <c r="C170" s="1"/>
      <c r="D170" s="1"/>
      <c r="E170" s="1"/>
    </row>
    <row r="171">
      <c r="A171" s="1"/>
      <c r="B171" s="1"/>
      <c r="C171" s="1"/>
      <c r="D171" s="1"/>
      <c r="E171" s="1"/>
    </row>
    <row r="172">
      <c r="A172" s="1"/>
      <c r="B172" s="1"/>
      <c r="C172" s="1"/>
      <c r="D172" s="1"/>
      <c r="E172" s="1"/>
    </row>
    <row r="173">
      <c r="A173" s="1"/>
      <c r="B173" s="1"/>
      <c r="C173" s="1"/>
      <c r="D173" s="1"/>
      <c r="E173" s="1"/>
    </row>
    <row r="174">
      <c r="A174" s="1"/>
      <c r="B174" s="1"/>
      <c r="C174" s="1"/>
      <c r="D174" s="1"/>
      <c r="E174" s="1"/>
    </row>
    <row r="175">
      <c r="A175" s="1"/>
      <c r="B175" s="1"/>
      <c r="C175" s="1"/>
      <c r="D175" s="1"/>
      <c r="E175" s="1"/>
    </row>
    <row r="176">
      <c r="A176" s="1"/>
      <c r="B176" s="1"/>
      <c r="C176" s="1"/>
      <c r="D176" s="1"/>
      <c r="E176" s="1"/>
    </row>
    <row r="177">
      <c r="A177" s="1"/>
      <c r="B177" s="1"/>
      <c r="C177" s="1"/>
      <c r="D177" s="1"/>
      <c r="E177" s="1"/>
    </row>
    <row r="178">
      <c r="A178" s="1"/>
      <c r="B178" s="1"/>
      <c r="C178" s="1"/>
      <c r="D178" s="1"/>
      <c r="E178" s="1"/>
    </row>
    <row r="179">
      <c r="A179" s="1"/>
      <c r="B179" s="1"/>
      <c r="C179" s="1"/>
      <c r="D179" s="1"/>
      <c r="E179" s="1"/>
    </row>
    <row r="180">
      <c r="A180" s="1"/>
      <c r="B180" s="1"/>
      <c r="C180" s="1"/>
      <c r="D180" s="1"/>
      <c r="E180" s="1"/>
    </row>
    <row r="181">
      <c r="A181" s="1"/>
      <c r="B181" s="1"/>
      <c r="C181" s="1"/>
      <c r="D181" s="1"/>
      <c r="E181" s="1"/>
    </row>
    <row r="182">
      <c r="A182" s="1"/>
      <c r="B182" s="1"/>
      <c r="C182" s="1"/>
      <c r="D182" s="1"/>
      <c r="E182" s="1"/>
    </row>
    <row r="183">
      <c r="A183" s="1"/>
      <c r="B183" s="1"/>
      <c r="C183" s="1"/>
      <c r="D183" s="1"/>
      <c r="E183" s="1"/>
    </row>
    <row r="184">
      <c r="A184" s="1"/>
      <c r="B184" s="1"/>
      <c r="C184" s="1"/>
      <c r="D184" s="1"/>
      <c r="E184" s="1"/>
    </row>
    <row r="185">
      <c r="A185" s="1"/>
      <c r="B185" s="1"/>
      <c r="C185" s="1"/>
      <c r="D185" s="1"/>
      <c r="E185" s="1"/>
    </row>
    <row r="186">
      <c r="A186" s="1"/>
      <c r="B186" s="1"/>
      <c r="C186" s="1"/>
      <c r="D186" s="1"/>
      <c r="E186" s="1"/>
    </row>
    <row r="187">
      <c r="A187" s="1"/>
      <c r="B187" s="1"/>
      <c r="C187" s="1"/>
      <c r="D187" s="1"/>
      <c r="E187" s="1"/>
    </row>
    <row r="188">
      <c r="A188" s="1"/>
      <c r="B188" s="1"/>
      <c r="C188" s="1"/>
      <c r="D188" s="1"/>
      <c r="E188" s="1"/>
    </row>
    <row r="189">
      <c r="A189" s="1"/>
      <c r="B189" s="1"/>
      <c r="C189" s="1"/>
      <c r="D189" s="1"/>
      <c r="E189" s="1"/>
    </row>
    <row r="190">
      <c r="A190" s="1"/>
      <c r="B190" s="1"/>
      <c r="C190" s="1"/>
      <c r="D190" s="1"/>
      <c r="E190" s="1"/>
    </row>
    <row r="191">
      <c r="A191" s="1"/>
      <c r="B191" s="1"/>
      <c r="C191" s="1"/>
      <c r="D191" s="1"/>
      <c r="E191" s="1"/>
    </row>
    <row r="192">
      <c r="A192" s="1"/>
      <c r="B192" s="1"/>
      <c r="C192" s="1"/>
      <c r="D192" s="1"/>
      <c r="E192" s="1"/>
    </row>
    <row r="193">
      <c r="A193" s="1"/>
      <c r="B193" s="1"/>
      <c r="C193" s="1"/>
      <c r="D193" s="1"/>
      <c r="E193" s="1"/>
    </row>
    <row r="194">
      <c r="A194" s="1"/>
      <c r="B194" s="1"/>
      <c r="C194" s="1"/>
      <c r="D194" s="1"/>
      <c r="E194" s="1"/>
    </row>
    <row r="195">
      <c r="A195" s="1"/>
      <c r="B195" s="1"/>
      <c r="C195" s="1"/>
      <c r="D195" s="1"/>
      <c r="E195" s="1"/>
    </row>
    <row r="196">
      <c r="A196" s="1"/>
      <c r="B196" s="1"/>
      <c r="C196" s="1"/>
      <c r="D196" s="1"/>
      <c r="E196" s="1"/>
    </row>
    <row r="197">
      <c r="A197" s="1"/>
      <c r="B197" s="1"/>
      <c r="C197" s="1"/>
      <c r="D197" s="1"/>
      <c r="E197" s="1"/>
    </row>
    <row r="198">
      <c r="A198" s="1"/>
      <c r="B198" s="1"/>
      <c r="C198" s="1"/>
      <c r="D198" s="1"/>
      <c r="E198" s="1"/>
    </row>
    <row r="199">
      <c r="A199" s="1"/>
      <c r="B199" s="1"/>
      <c r="C199" s="1"/>
      <c r="D199" s="1"/>
      <c r="E199" s="1"/>
    </row>
    <row r="200">
      <c r="A200" s="1"/>
      <c r="B200" s="1"/>
      <c r="C200" s="1"/>
      <c r="D200" s="1"/>
      <c r="E200" s="1"/>
    </row>
    <row r="201">
      <c r="A201" s="1"/>
      <c r="B201" s="1"/>
      <c r="C201" s="1"/>
      <c r="D201" s="1"/>
      <c r="E201" s="1"/>
    </row>
    <row r="202">
      <c r="A202" s="1"/>
      <c r="B202" s="1"/>
      <c r="C202" s="1"/>
      <c r="D202" s="1"/>
      <c r="E202" s="1"/>
    </row>
    <row r="203">
      <c r="A203" s="1"/>
      <c r="B203" s="1"/>
      <c r="C203" s="1"/>
      <c r="D203" s="1"/>
      <c r="E203" s="1"/>
    </row>
    <row r="204">
      <c r="A204" s="1"/>
      <c r="B204" s="1"/>
      <c r="C204" s="1"/>
      <c r="D204" s="1"/>
      <c r="E204" s="1"/>
    </row>
    <row r="205">
      <c r="A205" s="1"/>
      <c r="B205" s="1"/>
      <c r="C205" s="1"/>
      <c r="D205" s="1"/>
      <c r="E205" s="1"/>
    </row>
    <row r="206">
      <c r="A206" s="1"/>
      <c r="B206" s="1"/>
      <c r="C206" s="1"/>
      <c r="D206" s="1"/>
      <c r="E206" s="1"/>
    </row>
    <row r="207">
      <c r="A207" s="1"/>
      <c r="B207" s="1"/>
      <c r="C207" s="1"/>
      <c r="D207" s="1"/>
      <c r="E207" s="1"/>
    </row>
    <row r="208">
      <c r="A208" s="1"/>
      <c r="B208" s="1"/>
      <c r="C208" s="1"/>
      <c r="D208" s="1"/>
      <c r="E208" s="1"/>
    </row>
    <row r="209">
      <c r="A209" s="1"/>
      <c r="B209" s="1"/>
      <c r="C209" s="1"/>
      <c r="D209" s="1"/>
      <c r="E209" s="1"/>
    </row>
    <row r="210">
      <c r="A210" s="1"/>
      <c r="B210" s="1"/>
      <c r="C210" s="1"/>
      <c r="D210" s="1"/>
      <c r="E210" s="1"/>
    </row>
    <row r="211">
      <c r="A211" s="1"/>
      <c r="B211" s="1"/>
      <c r="C211" s="1"/>
      <c r="D211" s="1"/>
      <c r="E211" s="1"/>
    </row>
    <row r="212">
      <c r="A212" s="1"/>
      <c r="B212" s="1"/>
      <c r="C212" s="1"/>
      <c r="D212" s="1"/>
      <c r="E212" s="1"/>
    </row>
    <row r="213">
      <c r="A213" s="1"/>
      <c r="B213" s="1"/>
      <c r="C213" s="1"/>
      <c r="D213" s="1"/>
      <c r="E213" s="1"/>
    </row>
    <row r="214">
      <c r="A214" s="1"/>
      <c r="B214" s="1"/>
      <c r="C214" s="1"/>
      <c r="D214" s="1"/>
      <c r="E214" s="1"/>
    </row>
    <row r="215">
      <c r="A215" s="1"/>
      <c r="B215" s="1"/>
      <c r="C215" s="1"/>
      <c r="D215" s="1"/>
      <c r="E215" s="1"/>
    </row>
    <row r="216">
      <c r="A216" s="1"/>
      <c r="B216" s="1"/>
      <c r="C216" s="1"/>
      <c r="D216" s="1"/>
      <c r="E216" s="1"/>
    </row>
    <row r="217">
      <c r="A217" s="1"/>
      <c r="B217" s="1"/>
      <c r="C217" s="1"/>
      <c r="D217" s="1"/>
      <c r="E217" s="1"/>
    </row>
    <row r="218">
      <c r="A218" s="1"/>
      <c r="B218" s="1"/>
      <c r="C218" s="1"/>
      <c r="D218" s="1"/>
      <c r="E218" s="1"/>
    </row>
    <row r="219">
      <c r="A219" s="1"/>
      <c r="B219" s="1"/>
      <c r="C219" s="1"/>
      <c r="D219" s="1"/>
      <c r="E219" s="1"/>
    </row>
    <row r="220">
      <c r="A220" s="1"/>
      <c r="B220" s="1"/>
      <c r="C220" s="1"/>
      <c r="D220" s="1"/>
      <c r="E220" s="1"/>
    </row>
    <row r="221">
      <c r="A221" s="1"/>
      <c r="B221" s="1"/>
      <c r="C221" s="1"/>
      <c r="D221" s="1"/>
      <c r="E221" s="1"/>
    </row>
    <row r="222">
      <c r="A222" s="1"/>
      <c r="B222" s="1"/>
      <c r="C222" s="1"/>
      <c r="D222" s="1"/>
      <c r="E222" s="1"/>
    </row>
    <row r="223">
      <c r="A223" s="1"/>
      <c r="B223" s="1"/>
      <c r="C223" s="1"/>
      <c r="D223" s="1"/>
      <c r="E223" s="1"/>
    </row>
    <row r="224">
      <c r="A224" s="1"/>
      <c r="B224" s="1"/>
      <c r="C224" s="1"/>
      <c r="D224" s="1"/>
      <c r="E224" s="1"/>
    </row>
    <row r="225">
      <c r="A225" s="1"/>
      <c r="B225" s="1"/>
      <c r="C225" s="1"/>
      <c r="D225" s="1"/>
      <c r="E225" s="1"/>
    </row>
    <row r="226">
      <c r="A226" s="1"/>
      <c r="B226" s="1"/>
      <c r="C226" s="1"/>
      <c r="D226" s="1"/>
      <c r="E226" s="1"/>
    </row>
    <row r="227">
      <c r="A227" s="1"/>
      <c r="B227" s="1"/>
      <c r="C227" s="1"/>
      <c r="D227" s="1"/>
      <c r="E227" s="1"/>
    </row>
    <row r="228">
      <c r="A228" s="1"/>
      <c r="B228" s="1"/>
      <c r="C228" s="1"/>
      <c r="D228" s="1"/>
      <c r="E228" s="1"/>
    </row>
    <row r="229">
      <c r="A229" s="1"/>
      <c r="B229" s="1"/>
      <c r="C229" s="1"/>
      <c r="D229" s="1"/>
      <c r="E229" s="1"/>
    </row>
    <row r="230">
      <c r="A230" s="1"/>
      <c r="B230" s="1"/>
      <c r="C230" s="1"/>
      <c r="D230" s="1"/>
      <c r="E230" s="1"/>
    </row>
    <row r="231">
      <c r="A231" s="1"/>
      <c r="B231" s="1"/>
      <c r="C231" s="1"/>
      <c r="D231" s="1"/>
      <c r="E231" s="1"/>
    </row>
    <row r="232">
      <c r="A232" s="1"/>
      <c r="B232" s="1"/>
      <c r="C232" s="1"/>
      <c r="D232" s="1"/>
      <c r="E232" s="1"/>
    </row>
    <row r="233">
      <c r="A233" s="1"/>
      <c r="B233" s="1"/>
      <c r="C233" s="1"/>
      <c r="D233" s="1"/>
      <c r="E233" s="1"/>
    </row>
    <row r="234">
      <c r="A234" s="1"/>
      <c r="B234" s="1"/>
      <c r="C234" s="1"/>
      <c r="D234" s="1"/>
      <c r="E234" s="1"/>
    </row>
    <row r="235">
      <c r="A235" s="1"/>
      <c r="B235" s="1"/>
      <c r="C235" s="1"/>
      <c r="D235" s="1"/>
      <c r="E235" s="1"/>
    </row>
    <row r="236">
      <c r="A236" s="1"/>
      <c r="B236" s="1"/>
      <c r="C236" s="1"/>
      <c r="D236" s="1"/>
      <c r="E236" s="1"/>
    </row>
    <row r="237">
      <c r="A237" s="1"/>
      <c r="B237" s="1"/>
      <c r="C237" s="1"/>
      <c r="D237" s="1"/>
      <c r="E237" s="1"/>
    </row>
    <row r="238">
      <c r="A238" s="1"/>
      <c r="B238" s="1"/>
      <c r="C238" s="1"/>
      <c r="D238" s="1"/>
      <c r="E238" s="1"/>
    </row>
    <row r="239">
      <c r="A239" s="1"/>
      <c r="B239" s="1"/>
      <c r="C239" s="1"/>
      <c r="D239" s="1"/>
      <c r="E239" s="1"/>
    </row>
    <row r="240">
      <c r="A240" s="1"/>
      <c r="B240" s="1"/>
      <c r="C240" s="1"/>
      <c r="D240" s="1"/>
      <c r="E240" s="1"/>
    </row>
    <row r="241">
      <c r="A241" s="1"/>
      <c r="B241" s="1"/>
      <c r="C241" s="1"/>
      <c r="D241" s="1"/>
      <c r="E241" s="1"/>
    </row>
    <row r="242">
      <c r="A242" s="1"/>
      <c r="B242" s="1"/>
      <c r="C242" s="1"/>
      <c r="D242" s="1"/>
      <c r="E242" s="1"/>
    </row>
    <row r="243">
      <c r="A243" s="1"/>
      <c r="B243" s="1"/>
      <c r="C243" s="1"/>
      <c r="D243" s="1"/>
      <c r="E243" s="1"/>
    </row>
    <row r="244">
      <c r="A244" s="1"/>
      <c r="B244" s="1"/>
      <c r="C244" s="1"/>
      <c r="D244" s="1"/>
      <c r="E244" s="1"/>
    </row>
    <row r="245">
      <c r="A245" s="1"/>
      <c r="B245" s="1"/>
      <c r="C245" s="1"/>
      <c r="D245" s="1"/>
      <c r="E245" s="1"/>
    </row>
    <row r="246">
      <c r="A246" s="1"/>
      <c r="B246" s="1"/>
      <c r="C246" s="1"/>
      <c r="D246" s="1"/>
      <c r="E246" s="1"/>
    </row>
    <row r="247">
      <c r="A247" s="1"/>
      <c r="B247" s="1"/>
      <c r="C247" s="1"/>
      <c r="D247" s="1"/>
      <c r="E247" s="1"/>
    </row>
    <row r="248">
      <c r="A248" s="1"/>
      <c r="B248" s="1"/>
      <c r="C248" s="1"/>
      <c r="D248" s="1"/>
      <c r="E248" s="1"/>
    </row>
    <row r="249">
      <c r="A249" s="1"/>
      <c r="B249" s="1"/>
      <c r="C249" s="1"/>
      <c r="D249" s="1"/>
      <c r="E249" s="1"/>
    </row>
    <row r="250">
      <c r="A250" s="1"/>
      <c r="B250" s="1"/>
      <c r="C250" s="1"/>
      <c r="D250" s="1"/>
      <c r="E250" s="1"/>
    </row>
    <row r="251">
      <c r="A251" s="1"/>
      <c r="B251" s="1"/>
      <c r="C251" s="1"/>
      <c r="D251" s="1"/>
      <c r="E251" s="1"/>
    </row>
    <row r="252">
      <c r="A252" s="1"/>
      <c r="B252" s="1"/>
      <c r="C252" s="1"/>
      <c r="D252" s="1"/>
      <c r="E252" s="1"/>
    </row>
    <row r="253">
      <c r="A253" s="1"/>
      <c r="B253" s="1"/>
      <c r="C253" s="1"/>
      <c r="D253" s="1"/>
      <c r="E253" s="1"/>
    </row>
    <row r="254">
      <c r="A254" s="1"/>
      <c r="B254" s="1"/>
      <c r="C254" s="1"/>
      <c r="D254" s="1"/>
      <c r="E254" s="1"/>
    </row>
    <row r="255">
      <c r="A255" s="1"/>
      <c r="B255" s="1"/>
      <c r="C255" s="1"/>
      <c r="D255" s="1"/>
      <c r="E255" s="1"/>
    </row>
    <row r="256">
      <c r="A256" s="1"/>
      <c r="B256" s="1"/>
      <c r="C256" s="1"/>
      <c r="D256" s="1"/>
      <c r="E256" s="1"/>
    </row>
    <row r="257">
      <c r="A257" s="1"/>
      <c r="B257" s="1"/>
      <c r="C257" s="1"/>
      <c r="D257" s="1"/>
      <c r="E257" s="1"/>
    </row>
    <row r="258">
      <c r="A258" s="1"/>
      <c r="B258" s="1"/>
      <c r="C258" s="1"/>
      <c r="D258" s="1"/>
      <c r="E258" s="1"/>
    </row>
    <row r="259">
      <c r="A259" s="1"/>
      <c r="B259" s="1"/>
      <c r="C259" s="1"/>
      <c r="D259" s="1"/>
      <c r="E259" s="1"/>
    </row>
    <row r="260">
      <c r="A260" s="1"/>
      <c r="B260" s="1"/>
      <c r="C260" s="1"/>
      <c r="D260" s="1"/>
      <c r="E260" s="1"/>
    </row>
    <row r="261">
      <c r="A261" s="1"/>
      <c r="B261" s="1"/>
      <c r="C261" s="1"/>
      <c r="D261" s="1"/>
      <c r="E261" s="1"/>
    </row>
    <row r="262">
      <c r="A262" s="1"/>
      <c r="B262" s="1"/>
      <c r="C262" s="1"/>
      <c r="D262" s="1"/>
      <c r="E262" s="1"/>
    </row>
    <row r="263">
      <c r="A263" s="1"/>
      <c r="B263" s="1"/>
      <c r="C263" s="1"/>
      <c r="D263" s="1"/>
      <c r="E263" s="1"/>
    </row>
    <row r="264">
      <c r="A264" s="1"/>
      <c r="B264" s="1"/>
      <c r="C264" s="1"/>
      <c r="D264" s="1"/>
      <c r="E264" s="1"/>
    </row>
    <row r="265">
      <c r="A265" s="1"/>
      <c r="B265" s="1"/>
      <c r="C265" s="1"/>
      <c r="D265" s="1"/>
      <c r="E265" s="1"/>
    </row>
    <row r="266">
      <c r="A266" s="1"/>
      <c r="B266" s="1"/>
      <c r="C266" s="1"/>
      <c r="D266" s="1"/>
      <c r="E266" s="1"/>
    </row>
    <row r="267">
      <c r="A267" s="1"/>
      <c r="B267" s="1"/>
      <c r="C267" s="1"/>
      <c r="D267" s="1"/>
      <c r="E267" s="1"/>
    </row>
    <row r="268">
      <c r="A268" s="1"/>
      <c r="B268" s="1"/>
      <c r="C268" s="1"/>
      <c r="D268" s="1"/>
      <c r="E268" s="1"/>
    </row>
    <row r="269">
      <c r="A269" s="1"/>
      <c r="B269" s="1"/>
      <c r="C269" s="1"/>
      <c r="D269" s="1"/>
      <c r="E269" s="1"/>
    </row>
    <row r="270">
      <c r="A270" s="1"/>
      <c r="B270" s="1"/>
      <c r="C270" s="1"/>
      <c r="D270" s="1"/>
      <c r="E270" s="1"/>
    </row>
    <row r="271">
      <c r="A271" s="1"/>
      <c r="B271" s="1"/>
      <c r="C271" s="1"/>
      <c r="D271" s="1"/>
      <c r="E271" s="1"/>
    </row>
    <row r="272">
      <c r="A272" s="1"/>
      <c r="B272" s="1"/>
      <c r="C272" s="1"/>
      <c r="D272" s="1"/>
      <c r="E272" s="1"/>
    </row>
    <row r="273">
      <c r="A273" s="1"/>
      <c r="B273" s="1"/>
      <c r="C273" s="1"/>
      <c r="D273" s="1"/>
      <c r="E273" s="1"/>
    </row>
    <row r="274">
      <c r="A274" s="1"/>
      <c r="B274" s="1"/>
      <c r="C274" s="1"/>
      <c r="D274" s="1"/>
      <c r="E274" s="1"/>
    </row>
    <row r="275">
      <c r="A275" s="1"/>
      <c r="B275" s="1"/>
      <c r="C275" s="1"/>
      <c r="D275" s="1"/>
      <c r="E275" s="1"/>
    </row>
    <row r="276">
      <c r="A276" s="1"/>
      <c r="B276" s="1"/>
      <c r="C276" s="1"/>
      <c r="D276" s="1"/>
      <c r="E276" s="1"/>
    </row>
    <row r="277">
      <c r="A277" s="1"/>
      <c r="B277" s="1"/>
      <c r="C277" s="1"/>
      <c r="D277" s="1"/>
      <c r="E277" s="1"/>
    </row>
    <row r="278">
      <c r="A278" s="1"/>
      <c r="B278" s="1"/>
      <c r="C278" s="1"/>
      <c r="D278" s="1"/>
      <c r="E278" s="1"/>
    </row>
    <row r="279">
      <c r="A279" s="1"/>
      <c r="B279" s="1"/>
      <c r="C279" s="1"/>
      <c r="D279" s="1"/>
      <c r="E279" s="1"/>
    </row>
    <row r="280">
      <c r="A280" s="1"/>
      <c r="B280" s="1"/>
      <c r="C280" s="1"/>
      <c r="D280" s="1"/>
      <c r="E280" s="1"/>
    </row>
    <row r="281">
      <c r="A281" s="1"/>
      <c r="B281" s="1"/>
      <c r="C281" s="1"/>
      <c r="D281" s="1"/>
      <c r="E281" s="1"/>
    </row>
    <row r="282">
      <c r="A282" s="1"/>
      <c r="B282" s="1"/>
      <c r="C282" s="1"/>
      <c r="D282" s="1"/>
      <c r="E282" s="1"/>
    </row>
    <row r="283">
      <c r="A283" s="1"/>
      <c r="B283" s="1"/>
      <c r="C283" s="1"/>
      <c r="D283" s="1"/>
      <c r="E283" s="1"/>
    </row>
    <row r="284">
      <c r="A284" s="1"/>
      <c r="B284" s="1"/>
      <c r="C284" s="1"/>
      <c r="D284" s="1"/>
      <c r="E284" s="1"/>
    </row>
    <row r="285">
      <c r="A285" s="1"/>
      <c r="B285" s="1"/>
      <c r="C285" s="1"/>
      <c r="D285" s="1"/>
      <c r="E285" s="1"/>
    </row>
    <row r="286">
      <c r="A286" s="1"/>
      <c r="B286" s="1"/>
      <c r="C286" s="1"/>
      <c r="D286" s="1"/>
      <c r="E286" s="1"/>
    </row>
    <row r="287">
      <c r="A287" s="1"/>
      <c r="B287" s="1"/>
      <c r="C287" s="1"/>
      <c r="D287" s="1"/>
      <c r="E287" s="1"/>
    </row>
    <row r="288">
      <c r="A288" s="1"/>
      <c r="B288" s="1"/>
      <c r="C288" s="1"/>
      <c r="D288" s="1"/>
      <c r="E288" s="1"/>
    </row>
    <row r="289">
      <c r="A289" s="1"/>
      <c r="B289" s="1"/>
      <c r="C289" s="1"/>
      <c r="D289" s="1"/>
      <c r="E289" s="1"/>
    </row>
    <row r="290">
      <c r="A290" s="1"/>
      <c r="B290" s="1"/>
      <c r="C290" s="1"/>
      <c r="D290" s="1"/>
      <c r="E290" s="1"/>
    </row>
    <row r="291">
      <c r="A291" s="1"/>
      <c r="B291" s="1"/>
      <c r="C291" s="1"/>
      <c r="D291" s="1"/>
      <c r="E291" s="1"/>
    </row>
    <row r="292">
      <c r="A292" s="1"/>
      <c r="B292" s="1"/>
      <c r="C292" s="1"/>
      <c r="D292" s="1"/>
      <c r="E292" s="1"/>
    </row>
    <row r="293">
      <c r="A293" s="1"/>
      <c r="B293" s="1"/>
      <c r="C293" s="1"/>
      <c r="D293" s="1"/>
      <c r="E293" s="1"/>
    </row>
    <row r="294">
      <c r="A294" s="1"/>
      <c r="B294" s="1"/>
      <c r="C294" s="1"/>
      <c r="D294" s="1"/>
      <c r="E294" s="1"/>
    </row>
    <row r="295">
      <c r="A295" s="1"/>
      <c r="B295" s="1"/>
      <c r="C295" s="1"/>
      <c r="D295" s="1"/>
      <c r="E295" s="1"/>
    </row>
    <row r="296">
      <c r="A296" s="1"/>
      <c r="B296" s="1"/>
      <c r="C296" s="1"/>
      <c r="D296" s="1"/>
      <c r="E296" s="1"/>
    </row>
    <row r="297">
      <c r="A297" s="1"/>
      <c r="B297" s="1"/>
      <c r="C297" s="1"/>
      <c r="D297" s="1"/>
      <c r="E297" s="1"/>
    </row>
    <row r="298">
      <c r="A298" s="1"/>
      <c r="B298" s="1"/>
      <c r="C298" s="1"/>
      <c r="D298" s="1"/>
      <c r="E298" s="1"/>
    </row>
    <row r="299">
      <c r="A299" s="1"/>
      <c r="B299" s="1"/>
      <c r="C299" s="1"/>
      <c r="D299" s="1"/>
      <c r="E299" s="1"/>
    </row>
    <row r="300">
      <c r="A300" s="1"/>
      <c r="B300" s="1"/>
      <c r="C300" s="1"/>
      <c r="D300" s="1"/>
      <c r="E300" s="1"/>
    </row>
    <row r="301">
      <c r="A301" s="1"/>
      <c r="B301" s="1"/>
      <c r="C301" s="1"/>
      <c r="D301" s="1"/>
      <c r="E301" s="1"/>
    </row>
    <row r="302">
      <c r="A302" s="1"/>
      <c r="B302" s="1"/>
      <c r="C302" s="1"/>
      <c r="D302" s="1"/>
      <c r="E302" s="1"/>
    </row>
    <row r="303">
      <c r="A303" s="1"/>
      <c r="B303" s="1"/>
      <c r="C303" s="1"/>
      <c r="D303" s="1"/>
      <c r="E303" s="1"/>
    </row>
    <row r="304">
      <c r="A304" s="1"/>
      <c r="B304" s="1"/>
      <c r="C304" s="1"/>
      <c r="D304" s="1"/>
      <c r="E304" s="1"/>
    </row>
    <row r="305">
      <c r="A305" s="1"/>
      <c r="B305" s="1"/>
      <c r="C305" s="1"/>
      <c r="D305" s="1"/>
      <c r="E305" s="1"/>
    </row>
    <row r="306">
      <c r="A306" s="1"/>
      <c r="B306" s="1"/>
      <c r="C306" s="1"/>
      <c r="D306" s="1"/>
      <c r="E306" s="1"/>
    </row>
    <row r="307">
      <c r="A307" s="1"/>
      <c r="B307" s="1"/>
      <c r="C307" s="1"/>
      <c r="D307" s="1"/>
      <c r="E307" s="1"/>
    </row>
    <row r="308">
      <c r="A308" s="1"/>
      <c r="B308" s="1"/>
      <c r="C308" s="1"/>
      <c r="D308" s="1"/>
      <c r="E308" s="1"/>
    </row>
    <row r="309">
      <c r="A309" s="1"/>
      <c r="B309" s="1"/>
      <c r="C309" s="1"/>
      <c r="D309" s="1"/>
      <c r="E309" s="1"/>
    </row>
    <row r="310">
      <c r="A310" s="1"/>
      <c r="B310" s="1"/>
      <c r="C310" s="1"/>
      <c r="D310" s="1"/>
      <c r="E310" s="1"/>
    </row>
    <row r="311">
      <c r="A311" s="1"/>
      <c r="B311" s="1"/>
      <c r="C311" s="1"/>
      <c r="D311" s="1"/>
      <c r="E311" s="1"/>
    </row>
    <row r="312">
      <c r="A312" s="1"/>
      <c r="B312" s="1"/>
      <c r="C312" s="1"/>
      <c r="D312" s="1"/>
      <c r="E312" s="1"/>
    </row>
    <row r="313">
      <c r="A313" s="1"/>
      <c r="B313" s="1"/>
      <c r="C313" s="1"/>
      <c r="D313" s="1"/>
      <c r="E313" s="1"/>
    </row>
    <row r="314">
      <c r="A314" s="1"/>
      <c r="B314" s="1"/>
      <c r="C314" s="1"/>
      <c r="D314" s="1"/>
      <c r="E314" s="1"/>
    </row>
    <row r="315">
      <c r="A315" s="1"/>
      <c r="B315" s="1"/>
      <c r="C315" s="1"/>
      <c r="D315" s="1"/>
      <c r="E315" s="1"/>
    </row>
    <row r="316">
      <c r="A316" s="1"/>
      <c r="B316" s="1"/>
      <c r="C316" s="1"/>
      <c r="D316" s="1"/>
      <c r="E316" s="1"/>
    </row>
    <row r="317">
      <c r="A317" s="1"/>
      <c r="B317" s="1"/>
      <c r="C317" s="1"/>
      <c r="D317" s="1"/>
      <c r="E317" s="1"/>
    </row>
    <row r="318">
      <c r="A318" s="1"/>
      <c r="B318" s="1"/>
      <c r="C318" s="1"/>
      <c r="D318" s="1"/>
      <c r="E318" s="1"/>
    </row>
    <row r="319">
      <c r="A319" s="1"/>
      <c r="B319" s="1"/>
      <c r="C319" s="1"/>
      <c r="D319" s="1"/>
      <c r="E319" s="1"/>
    </row>
    <row r="320">
      <c r="A320" s="1"/>
      <c r="B320" s="1"/>
      <c r="C320" s="1"/>
      <c r="D320" s="1"/>
      <c r="E320" s="1"/>
    </row>
    <row r="321">
      <c r="A321" s="1"/>
      <c r="B321" s="1"/>
      <c r="C321" s="1"/>
      <c r="D321" s="1"/>
      <c r="E321" s="1"/>
    </row>
    <row r="322">
      <c r="A322" s="1"/>
      <c r="B322" s="1"/>
      <c r="C322" s="1"/>
      <c r="D322" s="1"/>
      <c r="E322" s="1"/>
    </row>
    <row r="323">
      <c r="A323" s="1"/>
      <c r="B323" s="1"/>
      <c r="C323" s="1"/>
      <c r="D323" s="1"/>
      <c r="E323" s="1"/>
    </row>
    <row r="324">
      <c r="A324" s="1"/>
      <c r="B324" s="1"/>
      <c r="C324" s="1"/>
      <c r="D324" s="1"/>
      <c r="E324" s="1"/>
    </row>
    <row r="325">
      <c r="A325" s="1"/>
      <c r="B325" s="1"/>
      <c r="C325" s="1"/>
      <c r="D325" s="1"/>
      <c r="E325" s="1"/>
    </row>
    <row r="326">
      <c r="A326" s="1"/>
      <c r="B326" s="1"/>
      <c r="C326" s="1"/>
      <c r="D326" s="1"/>
      <c r="E326" s="1"/>
    </row>
    <row r="327">
      <c r="A327" s="1"/>
      <c r="B327" s="1"/>
      <c r="C327" s="1"/>
      <c r="D327" s="1"/>
      <c r="E327" s="1"/>
    </row>
    <row r="328">
      <c r="A328" s="1"/>
      <c r="B328" s="1"/>
      <c r="C328" s="1"/>
      <c r="D328" s="1"/>
      <c r="E328" s="1"/>
    </row>
    <row r="329">
      <c r="A329" s="1"/>
      <c r="B329" s="1"/>
      <c r="C329" s="1"/>
      <c r="D329" s="1"/>
      <c r="E329" s="1"/>
    </row>
    <row r="330">
      <c r="A330" s="1"/>
      <c r="B330" s="1"/>
      <c r="C330" s="1"/>
      <c r="D330" s="1"/>
      <c r="E330" s="1"/>
    </row>
    <row r="331">
      <c r="A331" s="1"/>
      <c r="B331" s="1"/>
      <c r="C331" s="1"/>
      <c r="D331" s="1"/>
      <c r="E331" s="1"/>
    </row>
    <row r="332">
      <c r="A332" s="1"/>
      <c r="B332" s="1"/>
      <c r="C332" s="1"/>
      <c r="D332" s="1"/>
      <c r="E332" s="1"/>
    </row>
    <row r="333">
      <c r="A333" s="1"/>
      <c r="B333" s="1"/>
      <c r="C333" s="1"/>
      <c r="D333" s="1"/>
      <c r="E333" s="1"/>
    </row>
    <row r="334">
      <c r="A334" s="1"/>
      <c r="B334" s="1"/>
      <c r="C334" s="1"/>
      <c r="D334" s="1"/>
      <c r="E334" s="1"/>
    </row>
    <row r="335">
      <c r="A335" s="1"/>
      <c r="B335" s="1"/>
      <c r="C335" s="1"/>
      <c r="D335" s="1"/>
      <c r="E335" s="1"/>
    </row>
    <row r="336">
      <c r="A336" s="1"/>
      <c r="B336" s="1"/>
      <c r="C336" s="1"/>
      <c r="D336" s="1"/>
      <c r="E336" s="1"/>
    </row>
    <row r="337">
      <c r="A337" s="1"/>
      <c r="B337" s="1"/>
      <c r="C337" s="1"/>
      <c r="D337" s="1"/>
      <c r="E337" s="1"/>
    </row>
    <row r="338">
      <c r="A338" s="1"/>
      <c r="B338" s="1"/>
      <c r="C338" s="1"/>
      <c r="D338" s="1"/>
      <c r="E338" s="1"/>
    </row>
    <row r="339">
      <c r="A339" s="1"/>
      <c r="B339" s="1"/>
      <c r="C339" s="1"/>
      <c r="D339" s="1"/>
      <c r="E339" s="1"/>
    </row>
    <row r="340">
      <c r="A340" s="1"/>
      <c r="B340" s="1"/>
      <c r="C340" s="1"/>
      <c r="D340" s="1"/>
      <c r="E340" s="1"/>
    </row>
    <row r="341">
      <c r="A341" s="1"/>
      <c r="B341" s="1"/>
      <c r="C341" s="1"/>
      <c r="D341" s="1"/>
      <c r="E341" s="1"/>
    </row>
    <row r="342">
      <c r="A342" s="1"/>
      <c r="B342" s="1"/>
      <c r="C342" s="1"/>
      <c r="D342" s="1"/>
      <c r="E342" s="1"/>
    </row>
    <row r="343">
      <c r="A343" s="1"/>
      <c r="B343" s="1"/>
      <c r="C343" s="1"/>
      <c r="D343" s="1"/>
      <c r="E343" s="1"/>
    </row>
    <row r="344">
      <c r="A344" s="1"/>
      <c r="B344" s="1"/>
      <c r="C344" s="1"/>
      <c r="D344" s="1"/>
      <c r="E344" s="1"/>
    </row>
    <row r="345">
      <c r="A345" s="1"/>
      <c r="B345" s="1"/>
      <c r="C345" s="1"/>
      <c r="D345" s="1"/>
      <c r="E345" s="1"/>
    </row>
    <row r="346">
      <c r="A346" s="1"/>
      <c r="B346" s="1"/>
      <c r="C346" s="1"/>
      <c r="D346" s="1"/>
      <c r="E346" s="1"/>
    </row>
    <row r="347">
      <c r="A347" s="1"/>
      <c r="B347" s="1"/>
      <c r="C347" s="1"/>
      <c r="D347" s="1"/>
      <c r="E347" s="1"/>
    </row>
    <row r="348">
      <c r="A348" s="1"/>
      <c r="B348" s="1"/>
      <c r="C348" s="1"/>
      <c r="D348" s="1"/>
      <c r="E348" s="1"/>
    </row>
    <row r="349">
      <c r="A349" s="1"/>
      <c r="B349" s="1"/>
      <c r="C349" s="1"/>
      <c r="D349" s="1"/>
      <c r="E349" s="1"/>
    </row>
    <row r="350">
      <c r="A350" s="1"/>
      <c r="B350" s="1"/>
      <c r="C350" s="1"/>
      <c r="D350" s="1"/>
      <c r="E350" s="1"/>
    </row>
    <row r="351">
      <c r="A351" s="1"/>
      <c r="B351" s="1"/>
      <c r="C351" s="1"/>
      <c r="D351" s="1"/>
      <c r="E351" s="1"/>
    </row>
    <row r="352">
      <c r="A352" s="1"/>
      <c r="B352" s="1"/>
      <c r="C352" s="1"/>
      <c r="D352" s="1"/>
      <c r="E352" s="1"/>
    </row>
    <row r="353">
      <c r="A353" s="1"/>
      <c r="B353" s="1"/>
      <c r="C353" s="1"/>
      <c r="D353" s="1"/>
      <c r="E353" s="1"/>
    </row>
    <row r="354">
      <c r="A354" s="1"/>
      <c r="B354" s="1"/>
      <c r="C354" s="1"/>
      <c r="D354" s="1"/>
      <c r="E354" s="1"/>
    </row>
    <row r="355">
      <c r="A355" s="1"/>
      <c r="B355" s="1"/>
      <c r="C355" s="1"/>
      <c r="D355" s="1"/>
      <c r="E355" s="1"/>
    </row>
    <row r="356">
      <c r="A356" s="1"/>
      <c r="B356" s="1"/>
      <c r="C356" s="1"/>
      <c r="D356" s="1"/>
      <c r="E356" s="1"/>
    </row>
    <row r="357">
      <c r="A357" s="1"/>
      <c r="B357" s="1"/>
      <c r="C357" s="1"/>
      <c r="D357" s="1"/>
      <c r="E357" s="1"/>
    </row>
    <row r="358">
      <c r="A358" s="1"/>
      <c r="B358" s="1"/>
      <c r="C358" s="1"/>
      <c r="D358" s="1"/>
      <c r="E358" s="1"/>
    </row>
    <row r="359">
      <c r="A359" s="1"/>
      <c r="B359" s="1"/>
      <c r="C359" s="1"/>
      <c r="D359" s="1"/>
      <c r="E359" s="1"/>
    </row>
    <row r="360">
      <c r="A360" s="1"/>
      <c r="B360" s="1"/>
      <c r="C360" s="1"/>
      <c r="D360" s="1"/>
      <c r="E360" s="1"/>
    </row>
    <row r="361">
      <c r="A361" s="1"/>
      <c r="B361" s="1"/>
      <c r="C361" s="1"/>
      <c r="D361" s="1"/>
      <c r="E361" s="1"/>
    </row>
    <row r="362">
      <c r="A362" s="1"/>
      <c r="B362" s="1"/>
      <c r="C362" s="1"/>
      <c r="D362" s="1"/>
      <c r="E362" s="1"/>
    </row>
    <row r="363">
      <c r="A363" s="1"/>
      <c r="B363" s="1"/>
      <c r="C363" s="1"/>
      <c r="D363" s="1"/>
      <c r="E363" s="1"/>
    </row>
    <row r="364">
      <c r="A364" s="1"/>
      <c r="B364" s="1"/>
      <c r="C364" s="1"/>
      <c r="D364" s="1"/>
      <c r="E364" s="1"/>
    </row>
    <row r="365">
      <c r="A365" s="1"/>
      <c r="B365" s="1"/>
      <c r="C365" s="1"/>
      <c r="D365" s="1"/>
      <c r="E365" s="1"/>
    </row>
    <row r="366">
      <c r="A366" s="1"/>
      <c r="B366" s="1"/>
      <c r="C366" s="1"/>
      <c r="D366" s="1"/>
      <c r="E366" s="1"/>
    </row>
    <row r="367">
      <c r="A367" s="1"/>
      <c r="B367" s="1"/>
      <c r="C367" s="1"/>
      <c r="D367" s="1"/>
      <c r="E367" s="1"/>
    </row>
    <row r="368">
      <c r="A368" s="1"/>
      <c r="B368" s="1"/>
      <c r="C368" s="1"/>
      <c r="D368" s="1"/>
      <c r="E368" s="1"/>
    </row>
    <row r="369">
      <c r="A369" s="1"/>
      <c r="B369" s="1"/>
      <c r="C369" s="1"/>
      <c r="D369" s="1"/>
      <c r="E369" s="1"/>
    </row>
    <row r="370">
      <c r="A370" s="1"/>
      <c r="B370" s="1"/>
      <c r="C370" s="1"/>
      <c r="D370" s="1"/>
      <c r="E370" s="1"/>
    </row>
    <row r="371">
      <c r="A371" s="1"/>
      <c r="B371" s="1"/>
      <c r="C371" s="1"/>
      <c r="D371" s="1"/>
      <c r="E371" s="1"/>
    </row>
    <row r="372">
      <c r="A372" s="1"/>
      <c r="B372" s="1"/>
      <c r="C372" s="1"/>
      <c r="D372" s="1"/>
      <c r="E372" s="1"/>
    </row>
    <row r="373">
      <c r="A373" s="1"/>
      <c r="B373" s="1"/>
      <c r="C373" s="1"/>
      <c r="D373" s="1"/>
      <c r="E373" s="1"/>
    </row>
    <row r="374">
      <c r="A374" s="1"/>
      <c r="B374" s="1"/>
      <c r="C374" s="1"/>
      <c r="D374" s="1"/>
      <c r="E374" s="1"/>
    </row>
    <row r="375">
      <c r="A375" s="1"/>
      <c r="B375" s="1"/>
      <c r="C375" s="1"/>
      <c r="D375" s="1"/>
      <c r="E375" s="1"/>
    </row>
    <row r="376">
      <c r="A376" s="1"/>
      <c r="B376" s="1"/>
      <c r="C376" s="1"/>
      <c r="D376" s="1"/>
      <c r="E376" s="1"/>
    </row>
    <row r="377">
      <c r="A377" s="1"/>
      <c r="B377" s="1"/>
      <c r="C377" s="1"/>
      <c r="D377" s="1"/>
      <c r="E377" s="1"/>
    </row>
    <row r="378">
      <c r="A378" s="1"/>
      <c r="B378" s="1"/>
      <c r="C378" s="1"/>
      <c r="D378" s="1"/>
      <c r="E378" s="1"/>
    </row>
    <row r="379">
      <c r="A379" s="1"/>
      <c r="B379" s="1"/>
      <c r="C379" s="1"/>
      <c r="D379" s="1"/>
      <c r="E379" s="1"/>
    </row>
    <row r="380">
      <c r="A380" s="1"/>
      <c r="B380" s="1"/>
      <c r="C380" s="1"/>
      <c r="D380" s="1"/>
      <c r="E380" s="1"/>
    </row>
    <row r="381">
      <c r="A381" s="1"/>
      <c r="B381" s="1"/>
      <c r="C381" s="1"/>
      <c r="D381" s="1"/>
      <c r="E381" s="1"/>
    </row>
    <row r="382">
      <c r="A382" s="1"/>
      <c r="B382" s="1"/>
      <c r="C382" s="1"/>
      <c r="D382" s="1"/>
      <c r="E382" s="1"/>
    </row>
    <row r="383">
      <c r="A383" s="1"/>
      <c r="B383" s="1"/>
      <c r="C383" s="1"/>
      <c r="D383" s="1"/>
      <c r="E383" s="1"/>
    </row>
    <row r="384">
      <c r="A384" s="1"/>
      <c r="B384" s="1"/>
      <c r="C384" s="1"/>
      <c r="D384" s="1"/>
      <c r="E384" s="1"/>
    </row>
    <row r="385">
      <c r="A385" s="1"/>
      <c r="B385" s="1"/>
      <c r="C385" s="1"/>
      <c r="D385" s="1"/>
      <c r="E385" s="1"/>
    </row>
    <row r="386">
      <c r="A386" s="1"/>
      <c r="B386" s="1"/>
      <c r="C386" s="1"/>
      <c r="D386" s="1"/>
      <c r="E386" s="1"/>
    </row>
    <row r="387">
      <c r="A387" s="1"/>
      <c r="B387" s="1"/>
      <c r="C387" s="1"/>
      <c r="D387" s="1"/>
      <c r="E387" s="1"/>
    </row>
    <row r="388">
      <c r="A388" s="1"/>
      <c r="B388" s="1"/>
      <c r="C388" s="1"/>
      <c r="D388" s="1"/>
      <c r="E388" s="1"/>
    </row>
    <row r="389">
      <c r="A389" s="1"/>
      <c r="B389" s="1"/>
      <c r="C389" s="1"/>
      <c r="D389" s="1"/>
      <c r="E389" s="1"/>
    </row>
    <row r="390">
      <c r="A390" s="1"/>
      <c r="B390" s="1"/>
      <c r="C390" s="1"/>
      <c r="D390" s="1"/>
      <c r="E390" s="1"/>
    </row>
    <row r="391">
      <c r="A391" s="1"/>
      <c r="B391" s="1"/>
      <c r="C391" s="1"/>
      <c r="D391" s="1"/>
      <c r="E391" s="1"/>
    </row>
    <row r="392">
      <c r="A392" s="1"/>
      <c r="B392" s="1"/>
      <c r="C392" s="1"/>
      <c r="D392" s="1"/>
      <c r="E392" s="1"/>
    </row>
    <row r="393">
      <c r="A393" s="1"/>
      <c r="B393" s="1"/>
      <c r="C393" s="1"/>
      <c r="D393" s="1"/>
      <c r="E393" s="1"/>
    </row>
    <row r="394">
      <c r="A394" s="1"/>
      <c r="B394" s="1"/>
      <c r="C394" s="1"/>
      <c r="D394" s="1"/>
      <c r="E394" s="1"/>
    </row>
    <row r="395">
      <c r="A395" s="1"/>
      <c r="B395" s="1"/>
      <c r="C395" s="1"/>
      <c r="D395" s="1"/>
      <c r="E395" s="1"/>
    </row>
    <row r="396">
      <c r="A396" s="1"/>
      <c r="B396" s="1"/>
      <c r="C396" s="1"/>
      <c r="D396" s="1"/>
      <c r="E396" s="1"/>
    </row>
    <row r="397">
      <c r="A397" s="1"/>
      <c r="B397" s="1"/>
      <c r="C397" s="1"/>
      <c r="D397" s="1"/>
      <c r="E397" s="1"/>
    </row>
    <row r="398">
      <c r="A398" s="1"/>
      <c r="B398" s="1"/>
      <c r="C398" s="1"/>
      <c r="D398" s="1"/>
      <c r="E398" s="1"/>
    </row>
    <row r="399">
      <c r="A399" s="1"/>
      <c r="B399" s="1"/>
      <c r="C399" s="1"/>
      <c r="D399" s="1"/>
      <c r="E399" s="1"/>
    </row>
    <row r="400">
      <c r="A400" s="1"/>
      <c r="B400" s="1"/>
      <c r="C400" s="1"/>
      <c r="D400" s="1"/>
      <c r="E400" s="1"/>
    </row>
    <row r="401">
      <c r="A401" s="1"/>
      <c r="B401" s="1"/>
      <c r="C401" s="1"/>
      <c r="D401" s="1"/>
      <c r="E401" s="1"/>
    </row>
    <row r="402">
      <c r="A402" s="1"/>
      <c r="B402" s="1"/>
      <c r="C402" s="1"/>
      <c r="D402" s="1"/>
      <c r="E402" s="1"/>
    </row>
    <row r="403">
      <c r="A403" s="1"/>
      <c r="B403" s="1"/>
      <c r="C403" s="1"/>
      <c r="D403" s="1"/>
      <c r="E403" s="1"/>
    </row>
    <row r="404">
      <c r="A404" s="1"/>
      <c r="B404" s="1"/>
      <c r="C404" s="1"/>
      <c r="D404" s="1"/>
      <c r="E404" s="1"/>
    </row>
    <row r="405">
      <c r="A405" s="1"/>
      <c r="B405" s="1"/>
      <c r="C405" s="1"/>
      <c r="D405" s="1"/>
      <c r="E405" s="1"/>
    </row>
    <row r="406">
      <c r="A406" s="1"/>
      <c r="B406" s="1"/>
      <c r="C406" s="1"/>
      <c r="D406" s="1"/>
      <c r="E406" s="1"/>
    </row>
    <row r="407">
      <c r="A407" s="1"/>
      <c r="B407" s="1"/>
      <c r="C407" s="1"/>
      <c r="D407" s="1"/>
      <c r="E407" s="1"/>
    </row>
    <row r="408">
      <c r="A408" s="1"/>
      <c r="B408" s="1"/>
      <c r="C408" s="1"/>
      <c r="D408" s="1"/>
      <c r="E408" s="1"/>
    </row>
    <row r="409">
      <c r="A409" s="1"/>
      <c r="B409" s="1"/>
      <c r="C409" s="1"/>
      <c r="D409" s="1"/>
      <c r="E409" s="1"/>
    </row>
    <row r="410">
      <c r="A410" s="1"/>
      <c r="B410" s="1"/>
      <c r="C410" s="1"/>
      <c r="D410" s="1"/>
      <c r="E410" s="1"/>
    </row>
    <row r="411">
      <c r="A411" s="1"/>
      <c r="B411" s="1"/>
      <c r="C411" s="1"/>
      <c r="D411" s="1"/>
      <c r="E411" s="1"/>
    </row>
    <row r="412">
      <c r="A412" s="1"/>
      <c r="B412" s="1"/>
      <c r="C412" s="1"/>
      <c r="D412" s="1"/>
      <c r="E412" s="1"/>
    </row>
    <row r="413">
      <c r="A413" s="1"/>
      <c r="B413" s="1"/>
      <c r="C413" s="1"/>
      <c r="D413" s="1"/>
      <c r="E413" s="1"/>
    </row>
    <row r="414">
      <c r="A414" s="1"/>
      <c r="B414" s="1"/>
      <c r="C414" s="1"/>
      <c r="D414" s="1"/>
      <c r="E414" s="1"/>
    </row>
    <row r="415">
      <c r="A415" s="1"/>
      <c r="B415" s="1"/>
      <c r="C415" s="1"/>
      <c r="D415" s="1"/>
      <c r="E415" s="1"/>
    </row>
    <row r="416">
      <c r="A416" s="1"/>
      <c r="B416" s="1"/>
      <c r="C416" s="1"/>
      <c r="D416" s="1"/>
      <c r="E416" s="1"/>
    </row>
    <row r="417">
      <c r="A417" s="1"/>
      <c r="B417" s="1"/>
      <c r="C417" s="1"/>
      <c r="D417" s="1"/>
      <c r="E417" s="1"/>
    </row>
    <row r="418">
      <c r="A418" s="1"/>
      <c r="B418" s="1"/>
      <c r="C418" s="1"/>
      <c r="D418" s="1"/>
      <c r="E418" s="1"/>
    </row>
    <row r="419">
      <c r="A419" s="1"/>
      <c r="B419" s="1"/>
      <c r="C419" s="1"/>
      <c r="D419" s="1"/>
      <c r="E419" s="1"/>
    </row>
    <row r="420">
      <c r="A420" s="1"/>
      <c r="B420" s="1"/>
      <c r="C420" s="1"/>
      <c r="D420" s="1"/>
      <c r="E420" s="1"/>
    </row>
    <row r="421">
      <c r="A421" s="1"/>
      <c r="B421" s="1"/>
      <c r="C421" s="1"/>
      <c r="D421" s="1"/>
      <c r="E421" s="1"/>
    </row>
    <row r="422">
      <c r="A422" s="1"/>
      <c r="B422" s="1"/>
      <c r="C422" s="1"/>
      <c r="D422" s="1"/>
      <c r="E422" s="1"/>
    </row>
    <row r="423">
      <c r="A423" s="1"/>
      <c r="B423" s="1"/>
      <c r="C423" s="1"/>
      <c r="D423" s="1"/>
      <c r="E423" s="1"/>
    </row>
    <row r="424">
      <c r="A424" s="1"/>
      <c r="B424" s="1"/>
      <c r="C424" s="1"/>
      <c r="D424" s="1"/>
      <c r="E424" s="1"/>
    </row>
    <row r="425">
      <c r="A425" s="1"/>
      <c r="B425" s="1"/>
      <c r="C425" s="1"/>
      <c r="D425" s="1"/>
      <c r="E425" s="1"/>
    </row>
    <row r="426">
      <c r="A426" s="1"/>
      <c r="B426" s="1"/>
      <c r="C426" s="1"/>
      <c r="D426" s="1"/>
      <c r="E426" s="1"/>
    </row>
    <row r="427">
      <c r="A427" s="1"/>
      <c r="B427" s="1"/>
      <c r="C427" s="1"/>
      <c r="D427" s="1"/>
      <c r="E427" s="1"/>
    </row>
    <row r="428">
      <c r="A428" s="1"/>
      <c r="B428" s="1"/>
      <c r="C428" s="1"/>
      <c r="D428" s="1"/>
      <c r="E428" s="1"/>
    </row>
    <row r="429">
      <c r="A429" s="1"/>
      <c r="B429" s="1"/>
      <c r="C429" s="1"/>
      <c r="D429" s="1"/>
      <c r="E429" s="1"/>
    </row>
    <row r="430">
      <c r="A430" s="1"/>
      <c r="B430" s="1"/>
      <c r="C430" s="1"/>
      <c r="D430" s="1"/>
      <c r="E430" s="1"/>
    </row>
    <row r="431">
      <c r="A431" s="1"/>
      <c r="B431" s="1"/>
      <c r="C431" s="1"/>
      <c r="D431" s="1"/>
      <c r="E431" s="1"/>
    </row>
    <row r="432">
      <c r="A432" s="1"/>
      <c r="B432" s="1"/>
      <c r="C432" s="1"/>
      <c r="D432" s="1"/>
      <c r="E432" s="1"/>
    </row>
    <row r="433">
      <c r="A433" s="1"/>
      <c r="B433" s="1"/>
      <c r="C433" s="1"/>
      <c r="D433" s="1"/>
      <c r="E433" s="1"/>
    </row>
    <row r="434">
      <c r="A434" s="1"/>
      <c r="B434" s="1"/>
      <c r="C434" s="1"/>
      <c r="D434" s="1"/>
      <c r="E434" s="1"/>
    </row>
    <row r="435">
      <c r="A435" s="1"/>
      <c r="B435" s="1"/>
      <c r="C435" s="1"/>
      <c r="D435" s="1"/>
      <c r="E435" s="1"/>
    </row>
    <row r="436">
      <c r="A436" s="1"/>
      <c r="B436" s="1"/>
      <c r="C436" s="1"/>
      <c r="D436" s="1"/>
      <c r="E436" s="1"/>
    </row>
    <row r="437">
      <c r="A437" s="1"/>
      <c r="B437" s="1"/>
      <c r="C437" s="1"/>
      <c r="D437" s="1"/>
      <c r="E437" s="1"/>
    </row>
    <row r="438">
      <c r="A438" s="1"/>
      <c r="B438" s="1"/>
      <c r="C438" s="1"/>
      <c r="D438" s="1"/>
      <c r="E438" s="1"/>
    </row>
    <row r="439">
      <c r="A439" s="1"/>
      <c r="B439" s="1"/>
      <c r="C439" s="1"/>
      <c r="D439" s="1"/>
      <c r="E439" s="1"/>
    </row>
    <row r="440">
      <c r="A440" s="1"/>
      <c r="B440" s="1"/>
      <c r="C440" s="1"/>
      <c r="D440" s="1"/>
      <c r="E440" s="1"/>
    </row>
    <row r="441">
      <c r="A441" s="1"/>
      <c r="B441" s="1"/>
      <c r="C441" s="1"/>
      <c r="D441" s="1"/>
      <c r="E441" s="1"/>
    </row>
    <row r="442">
      <c r="A442" s="1"/>
      <c r="B442" s="1"/>
      <c r="C442" s="1"/>
      <c r="D442" s="1"/>
      <c r="E442" s="1"/>
    </row>
    <row r="443">
      <c r="A443" s="1"/>
      <c r="B443" s="1"/>
      <c r="C443" s="1"/>
      <c r="D443" s="1"/>
      <c r="E443" s="1"/>
    </row>
    <row r="444">
      <c r="A444" s="1"/>
      <c r="B444" s="1"/>
      <c r="C444" s="1"/>
      <c r="D444" s="1"/>
      <c r="E444" s="1"/>
    </row>
    <row r="445">
      <c r="A445" s="1"/>
      <c r="B445" s="1"/>
      <c r="C445" s="1"/>
      <c r="D445" s="1"/>
      <c r="E445" s="1"/>
    </row>
    <row r="446">
      <c r="A446" s="1"/>
      <c r="B446" s="1"/>
      <c r="C446" s="1"/>
      <c r="D446" s="1"/>
      <c r="E446" s="1"/>
    </row>
    <row r="447">
      <c r="A447" s="1"/>
      <c r="B447" s="1"/>
      <c r="C447" s="1"/>
      <c r="D447" s="1"/>
      <c r="E447" s="1"/>
    </row>
    <row r="448">
      <c r="A448" s="1"/>
      <c r="B448" s="1"/>
      <c r="C448" s="1"/>
      <c r="D448" s="1"/>
      <c r="E448" s="1"/>
    </row>
    <row r="449">
      <c r="A449" s="1"/>
      <c r="B449" s="1"/>
      <c r="C449" s="1"/>
      <c r="D449" s="1"/>
      <c r="E449" s="1"/>
    </row>
    <row r="450">
      <c r="A450" s="1"/>
      <c r="B450" s="1"/>
      <c r="C450" s="1"/>
      <c r="D450" s="1"/>
      <c r="E450" s="1"/>
    </row>
    <row r="451">
      <c r="A451" s="1"/>
      <c r="B451" s="1"/>
      <c r="C451" s="1"/>
      <c r="D451" s="1"/>
      <c r="E451" s="1"/>
    </row>
    <row r="452">
      <c r="A452" s="1"/>
      <c r="B452" s="1"/>
      <c r="C452" s="1"/>
      <c r="D452" s="1"/>
      <c r="E452" s="1"/>
    </row>
    <row r="453">
      <c r="A453" s="1"/>
      <c r="B453" s="1"/>
      <c r="C453" s="1"/>
      <c r="D453" s="1"/>
      <c r="E453" s="1"/>
    </row>
    <row r="454">
      <c r="A454" s="1"/>
      <c r="B454" s="1"/>
      <c r="C454" s="1"/>
      <c r="D454" s="1"/>
      <c r="E454" s="1"/>
    </row>
    <row r="455">
      <c r="A455" s="1"/>
      <c r="B455" s="1"/>
      <c r="C455" s="1"/>
      <c r="D455" s="1"/>
      <c r="E455" s="1"/>
    </row>
    <row r="456">
      <c r="A456" s="1"/>
      <c r="B456" s="1"/>
      <c r="C456" s="1"/>
      <c r="D456" s="1"/>
      <c r="E456" s="1"/>
    </row>
    <row r="457">
      <c r="A457" s="1"/>
      <c r="B457" s="1"/>
      <c r="C457" s="1"/>
      <c r="D457" s="1"/>
      <c r="E457" s="1"/>
    </row>
    <row r="458">
      <c r="A458" s="1"/>
      <c r="B458" s="1"/>
      <c r="C458" s="1"/>
      <c r="D458" s="1"/>
      <c r="E458" s="1"/>
    </row>
    <row r="459">
      <c r="A459" s="1"/>
      <c r="B459" s="1"/>
      <c r="C459" s="1"/>
      <c r="D459" s="1"/>
      <c r="E459" s="1"/>
    </row>
    <row r="460">
      <c r="A460" s="1"/>
      <c r="B460" s="1"/>
      <c r="C460" s="1"/>
      <c r="D460" s="1"/>
      <c r="E460" s="1"/>
    </row>
    <row r="461">
      <c r="A461" s="1"/>
      <c r="B461" s="1"/>
      <c r="C461" s="1"/>
      <c r="D461" s="1"/>
      <c r="E461" s="1"/>
    </row>
    <row r="462">
      <c r="A462" s="1"/>
      <c r="B462" s="1"/>
      <c r="C462" s="1"/>
      <c r="D462" s="1"/>
      <c r="E462" s="1"/>
    </row>
    <row r="463">
      <c r="A463" s="1"/>
      <c r="B463" s="1"/>
      <c r="C463" s="1"/>
      <c r="D463" s="1"/>
      <c r="E463" s="1"/>
    </row>
    <row r="464">
      <c r="A464" s="1"/>
      <c r="B464" s="1"/>
      <c r="C464" s="1"/>
      <c r="D464" s="1"/>
      <c r="E464" s="1"/>
    </row>
    <row r="465">
      <c r="A465" s="1"/>
      <c r="B465" s="1"/>
      <c r="C465" s="1"/>
      <c r="D465" s="1"/>
      <c r="E465" s="1"/>
    </row>
    <row r="466">
      <c r="A466" s="1"/>
      <c r="B466" s="1"/>
      <c r="C466" s="1"/>
      <c r="D466" s="1"/>
      <c r="E466" s="1"/>
    </row>
    <row r="467">
      <c r="A467" s="1"/>
      <c r="B467" s="1"/>
      <c r="C467" s="1"/>
      <c r="D467" s="1"/>
      <c r="E467" s="1"/>
    </row>
    <row r="468">
      <c r="A468" s="1"/>
      <c r="B468" s="1"/>
      <c r="C468" s="1"/>
      <c r="D468" s="1"/>
      <c r="E468" s="1"/>
    </row>
    <row r="469">
      <c r="A469" s="1"/>
      <c r="B469" s="1"/>
      <c r="C469" s="1"/>
      <c r="D469" s="1"/>
      <c r="E469" s="1"/>
    </row>
    <row r="470">
      <c r="A470" s="1"/>
      <c r="B470" s="1"/>
      <c r="C470" s="1"/>
      <c r="D470" s="1"/>
      <c r="E470" s="1"/>
    </row>
    <row r="471">
      <c r="A471" s="1"/>
      <c r="B471" s="1"/>
      <c r="C471" s="1"/>
      <c r="D471" s="1"/>
      <c r="E471" s="1"/>
    </row>
    <row r="472">
      <c r="A472" s="1"/>
      <c r="B472" s="1"/>
      <c r="C472" s="1"/>
      <c r="D472" s="1"/>
      <c r="E472" s="1"/>
    </row>
    <row r="473">
      <c r="A473" s="1"/>
      <c r="B473" s="1"/>
      <c r="C473" s="1"/>
      <c r="D473" s="1"/>
      <c r="E473" s="1"/>
    </row>
    <row r="474">
      <c r="A474" s="1"/>
      <c r="B474" s="1"/>
      <c r="C474" s="1"/>
      <c r="D474" s="1"/>
      <c r="E474" s="1"/>
    </row>
    <row r="475">
      <c r="A475" s="1"/>
      <c r="B475" s="1"/>
      <c r="C475" s="1"/>
      <c r="D475" s="1"/>
      <c r="E475" s="1"/>
    </row>
    <row r="476">
      <c r="A476" s="1"/>
      <c r="B476" s="1"/>
      <c r="C476" s="1"/>
      <c r="D476" s="1"/>
      <c r="E476" s="1"/>
    </row>
    <row r="477">
      <c r="A477" s="1"/>
      <c r="B477" s="1"/>
      <c r="C477" s="1"/>
      <c r="D477" s="1"/>
      <c r="E477" s="1"/>
    </row>
    <row r="478">
      <c r="A478" s="1"/>
      <c r="B478" s="1"/>
      <c r="C478" s="1"/>
      <c r="D478" s="1"/>
      <c r="E478" s="1"/>
    </row>
    <row r="479">
      <c r="A479" s="1"/>
      <c r="B479" s="1"/>
      <c r="C479" s="1"/>
      <c r="D479" s="1"/>
      <c r="E479" s="1"/>
    </row>
    <row r="480">
      <c r="A480" s="1"/>
      <c r="B480" s="1"/>
      <c r="C480" s="1"/>
      <c r="D480" s="1"/>
      <c r="E480" s="1"/>
    </row>
    <row r="481">
      <c r="A481" s="1"/>
      <c r="B481" s="1"/>
      <c r="C481" s="1"/>
      <c r="D481" s="1"/>
      <c r="E481" s="1"/>
    </row>
    <row r="482">
      <c r="A482" s="1"/>
      <c r="B482" s="1"/>
      <c r="C482" s="1"/>
      <c r="D482" s="1"/>
      <c r="E482" s="1"/>
    </row>
    <row r="483">
      <c r="A483" s="1"/>
      <c r="B483" s="1"/>
      <c r="C483" s="1"/>
      <c r="D483" s="1"/>
      <c r="E483" s="1"/>
    </row>
    <row r="484">
      <c r="A484" s="1"/>
      <c r="B484" s="1"/>
      <c r="C484" s="1"/>
      <c r="D484" s="1"/>
      <c r="E484" s="1"/>
    </row>
    <row r="485">
      <c r="A485" s="1"/>
      <c r="B485" s="1"/>
      <c r="C485" s="1"/>
      <c r="D485" s="1"/>
      <c r="E485" s="1"/>
    </row>
    <row r="486">
      <c r="A486" s="1"/>
      <c r="B486" s="1"/>
      <c r="C486" s="1"/>
      <c r="D486" s="1"/>
      <c r="E486" s="1"/>
    </row>
    <row r="487">
      <c r="A487" s="1"/>
      <c r="B487" s="1"/>
      <c r="C487" s="1"/>
      <c r="D487" s="1"/>
      <c r="E487" s="1"/>
    </row>
    <row r="488">
      <c r="A488" s="1"/>
      <c r="B488" s="1"/>
      <c r="C488" s="1"/>
      <c r="D488" s="1"/>
      <c r="E488" s="1"/>
    </row>
    <row r="489">
      <c r="A489" s="1"/>
      <c r="B489" s="1"/>
      <c r="C489" s="1"/>
      <c r="D489" s="1"/>
      <c r="E489" s="1"/>
    </row>
    <row r="490">
      <c r="A490" s="1"/>
      <c r="B490" s="1"/>
      <c r="C490" s="1"/>
      <c r="D490" s="1"/>
      <c r="E490" s="1"/>
    </row>
    <row r="491">
      <c r="A491" s="1"/>
      <c r="B491" s="1"/>
      <c r="C491" s="1"/>
      <c r="D491" s="1"/>
      <c r="E491" s="1"/>
    </row>
    <row r="492">
      <c r="A492" s="1"/>
      <c r="B492" s="1"/>
      <c r="C492" s="1"/>
      <c r="D492" s="1"/>
      <c r="E492" s="1"/>
    </row>
    <row r="493">
      <c r="A493" s="1"/>
      <c r="B493" s="1"/>
      <c r="C493" s="1"/>
      <c r="D493" s="1"/>
      <c r="E493" s="1"/>
    </row>
    <row r="494">
      <c r="A494" s="1"/>
      <c r="B494" s="1"/>
      <c r="C494" s="1"/>
      <c r="D494" s="1"/>
      <c r="E494" s="1"/>
    </row>
    <row r="495">
      <c r="A495" s="1"/>
      <c r="B495" s="1"/>
      <c r="C495" s="1"/>
      <c r="D495" s="1"/>
      <c r="E495" s="1"/>
    </row>
    <row r="496">
      <c r="A496" s="1"/>
      <c r="B496" s="1"/>
      <c r="C496" s="1"/>
      <c r="D496" s="1"/>
      <c r="E496" s="1"/>
    </row>
    <row r="497">
      <c r="A497" s="1"/>
      <c r="B497" s="1"/>
      <c r="C497" s="1"/>
      <c r="D497" s="1"/>
      <c r="E497" s="1"/>
    </row>
    <row r="498">
      <c r="A498" s="1"/>
      <c r="B498" s="1"/>
      <c r="C498" s="1"/>
      <c r="D498" s="1"/>
      <c r="E498" s="1"/>
    </row>
    <row r="499">
      <c r="A499" s="1"/>
      <c r="B499" s="1"/>
      <c r="C499" s="1"/>
      <c r="D499" s="1"/>
      <c r="E499" s="1"/>
    </row>
    <row r="500">
      <c r="A500" s="1"/>
      <c r="B500" s="1"/>
      <c r="C500" s="1"/>
      <c r="D500" s="1"/>
      <c r="E500" s="1"/>
    </row>
    <row r="501">
      <c r="A501" s="1"/>
      <c r="B501" s="1"/>
      <c r="C501" s="1"/>
      <c r="D501" s="1"/>
      <c r="E501" s="1"/>
    </row>
    <row r="502">
      <c r="A502" s="1"/>
      <c r="B502" s="1"/>
      <c r="C502" s="1"/>
      <c r="D502" s="1"/>
      <c r="E502" s="1"/>
    </row>
    <row r="503">
      <c r="A503" s="1"/>
      <c r="B503" s="1"/>
      <c r="C503" s="1"/>
      <c r="D503" s="1"/>
      <c r="E503" s="1"/>
    </row>
    <row r="504">
      <c r="A504" s="1"/>
      <c r="B504" s="1"/>
      <c r="C504" s="1"/>
      <c r="D504" s="1"/>
      <c r="E504" s="1"/>
    </row>
    <row r="505">
      <c r="A505" s="1"/>
      <c r="B505" s="1"/>
      <c r="C505" s="1"/>
      <c r="D505" s="1"/>
      <c r="E505" s="1"/>
    </row>
    <row r="506">
      <c r="A506" s="1"/>
      <c r="B506" s="1"/>
      <c r="C506" s="1"/>
      <c r="D506" s="1"/>
      <c r="E506" s="1"/>
    </row>
    <row r="507">
      <c r="A507" s="1"/>
      <c r="B507" s="1"/>
      <c r="C507" s="1"/>
      <c r="D507" s="1"/>
      <c r="E507" s="1"/>
    </row>
    <row r="508">
      <c r="A508" s="1"/>
      <c r="B508" s="1"/>
      <c r="C508" s="1"/>
      <c r="D508" s="1"/>
      <c r="E508" s="1"/>
    </row>
    <row r="509">
      <c r="A509" s="1"/>
      <c r="B509" s="1"/>
      <c r="C509" s="1"/>
      <c r="D509" s="1"/>
      <c r="E509" s="1"/>
    </row>
    <row r="510">
      <c r="A510" s="1"/>
      <c r="B510" s="1"/>
      <c r="C510" s="1"/>
      <c r="D510" s="1"/>
      <c r="E510" s="1"/>
    </row>
    <row r="511">
      <c r="A511" s="1"/>
      <c r="B511" s="1"/>
      <c r="C511" s="1"/>
      <c r="D511" s="1"/>
      <c r="E511" s="1"/>
    </row>
    <row r="512">
      <c r="A512" s="1"/>
      <c r="B512" s="1"/>
      <c r="C512" s="1"/>
      <c r="D512" s="1"/>
      <c r="E512" s="1"/>
    </row>
    <row r="513">
      <c r="A513" s="1"/>
      <c r="B513" s="1"/>
      <c r="C513" s="1"/>
      <c r="D513" s="1"/>
      <c r="E513" s="1"/>
    </row>
    <row r="514">
      <c r="A514" s="1"/>
      <c r="B514" s="1"/>
      <c r="C514" s="1"/>
      <c r="D514" s="1"/>
      <c r="E514" s="1"/>
    </row>
    <row r="515">
      <c r="A515" s="1"/>
      <c r="B515" s="1"/>
      <c r="C515" s="1"/>
      <c r="D515" s="1"/>
      <c r="E515" s="1"/>
    </row>
    <row r="516">
      <c r="A516" s="1"/>
      <c r="B516" s="1"/>
      <c r="C516" s="1"/>
      <c r="D516" s="1"/>
      <c r="E516" s="1"/>
    </row>
    <row r="517">
      <c r="A517" s="1"/>
      <c r="B517" s="1"/>
      <c r="C517" s="1"/>
      <c r="D517" s="1"/>
      <c r="E517" s="1"/>
    </row>
    <row r="518">
      <c r="A518" s="1"/>
      <c r="B518" s="1"/>
      <c r="C518" s="1"/>
      <c r="D518" s="1"/>
      <c r="E518" s="1"/>
    </row>
    <row r="519">
      <c r="A519" s="1"/>
      <c r="B519" s="1"/>
      <c r="C519" s="1"/>
      <c r="D519" s="1"/>
      <c r="E519" s="1"/>
    </row>
    <row r="520">
      <c r="A520" s="1"/>
      <c r="B520" s="1"/>
      <c r="C520" s="1"/>
      <c r="D520" s="1"/>
      <c r="E520" s="1"/>
    </row>
    <row r="521">
      <c r="A521" s="1"/>
      <c r="B521" s="1"/>
      <c r="C521" s="1"/>
      <c r="D521" s="1"/>
      <c r="E521" s="1"/>
    </row>
    <row r="522">
      <c r="A522" s="1"/>
      <c r="B522" s="1"/>
      <c r="C522" s="1"/>
      <c r="D522" s="1"/>
      <c r="E522" s="1"/>
    </row>
    <row r="523">
      <c r="A523" s="1"/>
      <c r="B523" s="1"/>
      <c r="C523" s="1"/>
      <c r="D523" s="1"/>
      <c r="E523" s="1"/>
    </row>
    <row r="524">
      <c r="A524" s="1"/>
      <c r="B524" s="1"/>
      <c r="C524" s="1"/>
      <c r="D524" s="1"/>
      <c r="E524" s="1"/>
    </row>
    <row r="525">
      <c r="A525" s="1"/>
      <c r="B525" s="1"/>
      <c r="C525" s="1"/>
      <c r="D525" s="1"/>
      <c r="E525" s="1"/>
    </row>
    <row r="526">
      <c r="A526" s="1"/>
      <c r="B526" s="1"/>
      <c r="C526" s="1"/>
      <c r="D526" s="1"/>
      <c r="E526" s="1"/>
    </row>
    <row r="527">
      <c r="A527" s="1"/>
      <c r="B527" s="1"/>
      <c r="C527" s="1"/>
      <c r="D527" s="1"/>
      <c r="E527" s="1"/>
    </row>
    <row r="528">
      <c r="A528" s="1"/>
      <c r="B528" s="1"/>
      <c r="C528" s="1"/>
      <c r="D528" s="1"/>
      <c r="E528" s="1"/>
    </row>
    <row r="529">
      <c r="A529" s="1"/>
      <c r="B529" s="1"/>
      <c r="C529" s="1"/>
      <c r="D529" s="1"/>
      <c r="E529" s="1"/>
    </row>
    <row r="530">
      <c r="A530" s="1"/>
      <c r="B530" s="1"/>
      <c r="C530" s="1"/>
      <c r="D530" s="1"/>
      <c r="E530" s="1"/>
    </row>
    <row r="531">
      <c r="A531" s="1"/>
      <c r="B531" s="1"/>
      <c r="C531" s="1"/>
      <c r="D531" s="1"/>
      <c r="E531" s="1"/>
    </row>
    <row r="532">
      <c r="A532" s="1"/>
      <c r="B532" s="1"/>
      <c r="C532" s="1"/>
      <c r="D532" s="1"/>
      <c r="E532" s="1"/>
    </row>
    <row r="533">
      <c r="A533" s="1"/>
      <c r="B533" s="1"/>
      <c r="C533" s="1"/>
      <c r="D533" s="1"/>
      <c r="E533" s="1"/>
    </row>
    <row r="534">
      <c r="A534" s="1"/>
      <c r="B534" s="1"/>
      <c r="C534" s="1"/>
      <c r="D534" s="1"/>
      <c r="E534" s="1"/>
    </row>
    <row r="535">
      <c r="A535" s="1"/>
      <c r="B535" s="1"/>
      <c r="C535" s="1"/>
      <c r="D535" s="1"/>
      <c r="E535" s="1"/>
    </row>
    <row r="536">
      <c r="A536" s="1"/>
      <c r="B536" s="1"/>
      <c r="C536" s="1"/>
      <c r="D536" s="1"/>
      <c r="E536" s="1"/>
    </row>
    <row r="537">
      <c r="A537" s="1"/>
      <c r="B537" s="1"/>
      <c r="C537" s="1"/>
      <c r="D537" s="1"/>
      <c r="E537" s="1"/>
    </row>
    <row r="538">
      <c r="A538" s="1"/>
      <c r="B538" s="1"/>
      <c r="C538" s="1"/>
      <c r="D538" s="1"/>
      <c r="E538" s="1"/>
    </row>
    <row r="539">
      <c r="A539" s="1"/>
      <c r="B539" s="1"/>
      <c r="C539" s="1"/>
      <c r="D539" s="1"/>
      <c r="E539" s="1"/>
    </row>
    <row r="540">
      <c r="A540" s="1"/>
      <c r="B540" s="1"/>
      <c r="C540" s="1"/>
      <c r="D540" s="1"/>
      <c r="E540" s="1"/>
    </row>
    <row r="541">
      <c r="A541" s="1"/>
      <c r="B541" s="1"/>
      <c r="C541" s="1"/>
      <c r="D541" s="1"/>
      <c r="E541" s="1"/>
    </row>
    <row r="542">
      <c r="A542" s="1"/>
      <c r="B542" s="1"/>
      <c r="C542" s="1"/>
      <c r="D542" s="1"/>
      <c r="E542" s="1"/>
    </row>
    <row r="543">
      <c r="A543" s="1"/>
      <c r="B543" s="1"/>
      <c r="C543" s="1"/>
      <c r="D543" s="1"/>
      <c r="E543" s="1"/>
    </row>
    <row r="544">
      <c r="A544" s="1"/>
      <c r="B544" s="1"/>
      <c r="C544" s="1"/>
      <c r="D544" s="1"/>
      <c r="E544" s="1"/>
    </row>
    <row r="545">
      <c r="A545" s="1"/>
      <c r="B545" s="1"/>
      <c r="C545" s="1"/>
      <c r="D545" s="1"/>
      <c r="E545" s="1"/>
    </row>
    <row r="546">
      <c r="A546" s="1"/>
      <c r="B546" s="1"/>
      <c r="C546" s="1"/>
      <c r="D546" s="1"/>
      <c r="E546" s="1"/>
    </row>
    <row r="547">
      <c r="A547" s="1"/>
      <c r="B547" s="1"/>
      <c r="C547" s="1"/>
      <c r="D547" s="1"/>
      <c r="E547" s="1"/>
    </row>
    <row r="548">
      <c r="A548" s="1"/>
      <c r="B548" s="1"/>
      <c r="C548" s="1"/>
      <c r="D548" s="1"/>
      <c r="E548" s="1"/>
    </row>
    <row r="549">
      <c r="A549" s="1"/>
      <c r="B549" s="1"/>
      <c r="C549" s="1"/>
      <c r="D549" s="1"/>
      <c r="E549" s="1"/>
    </row>
    <row r="550">
      <c r="A550" s="1"/>
      <c r="B550" s="1"/>
      <c r="C550" s="1"/>
      <c r="D550" s="1"/>
      <c r="E550" s="1"/>
    </row>
    <row r="551">
      <c r="A551" s="1"/>
      <c r="B551" s="1"/>
      <c r="C551" s="1"/>
      <c r="D551" s="1"/>
      <c r="E551" s="1"/>
    </row>
    <row r="552">
      <c r="A552" s="1"/>
      <c r="B552" s="1"/>
      <c r="C552" s="1"/>
      <c r="D552" s="1"/>
      <c r="E552" s="1"/>
    </row>
    <row r="553">
      <c r="A553" s="1"/>
      <c r="B553" s="1"/>
      <c r="C553" s="1"/>
      <c r="D553" s="1"/>
      <c r="E553" s="1"/>
    </row>
    <row r="554">
      <c r="A554" s="1"/>
      <c r="B554" s="1"/>
      <c r="C554" s="1"/>
      <c r="D554" s="1"/>
      <c r="E554" s="1"/>
    </row>
    <row r="555">
      <c r="A555" s="1"/>
      <c r="B555" s="1"/>
      <c r="C555" s="1"/>
      <c r="D555" s="1"/>
      <c r="E555" s="1"/>
    </row>
    <row r="556">
      <c r="A556" s="1"/>
      <c r="B556" s="1"/>
      <c r="C556" s="1"/>
      <c r="D556" s="1"/>
      <c r="E556" s="1"/>
    </row>
    <row r="557">
      <c r="A557" s="1"/>
      <c r="B557" s="1"/>
      <c r="C557" s="1"/>
      <c r="D557" s="1"/>
      <c r="E557" s="1"/>
    </row>
    <row r="558">
      <c r="A558" s="1"/>
      <c r="B558" s="1"/>
      <c r="C558" s="1"/>
      <c r="D558" s="1"/>
      <c r="E558" s="1"/>
    </row>
    <row r="559">
      <c r="A559" s="1"/>
      <c r="B559" s="1"/>
      <c r="C559" s="1"/>
      <c r="D559" s="1"/>
      <c r="E559" s="1"/>
    </row>
    <row r="560">
      <c r="A560" s="1"/>
      <c r="B560" s="1"/>
      <c r="C560" s="1"/>
      <c r="D560" s="1"/>
      <c r="E560" s="1"/>
    </row>
    <row r="561">
      <c r="A561" s="1"/>
      <c r="B561" s="1"/>
      <c r="C561" s="1"/>
      <c r="D561" s="1"/>
      <c r="E561" s="1"/>
    </row>
    <row r="562">
      <c r="A562" s="1"/>
      <c r="B562" s="1"/>
      <c r="C562" s="1"/>
      <c r="D562" s="1"/>
      <c r="E562" s="1"/>
    </row>
    <row r="563">
      <c r="A563" s="1"/>
      <c r="B563" s="1"/>
      <c r="C563" s="1"/>
      <c r="D563" s="1"/>
      <c r="E563" s="1"/>
    </row>
    <row r="564">
      <c r="A564" s="1"/>
      <c r="B564" s="1"/>
      <c r="C564" s="1"/>
      <c r="D564" s="1"/>
      <c r="E564" s="1"/>
    </row>
    <row r="565">
      <c r="A565" s="1"/>
      <c r="B565" s="1"/>
      <c r="C565" s="1"/>
      <c r="D565" s="1"/>
      <c r="E565" s="1"/>
    </row>
    <row r="566">
      <c r="A566" s="1"/>
      <c r="B566" s="1"/>
      <c r="C566" s="1"/>
      <c r="D566" s="1"/>
      <c r="E566" s="1"/>
    </row>
    <row r="567">
      <c r="A567" s="1"/>
      <c r="B567" s="1"/>
      <c r="C567" s="1"/>
      <c r="D567" s="1"/>
      <c r="E567" s="1"/>
    </row>
    <row r="568">
      <c r="A568" s="1"/>
      <c r="B568" s="1"/>
      <c r="C568" s="1"/>
      <c r="D568" s="1"/>
      <c r="E568" s="1"/>
    </row>
    <row r="569">
      <c r="A569" s="1"/>
      <c r="B569" s="1"/>
      <c r="C569" s="1"/>
      <c r="D569" s="1"/>
      <c r="E569" s="1"/>
    </row>
    <row r="570">
      <c r="A570" s="1"/>
      <c r="B570" s="1"/>
      <c r="C570" s="1"/>
      <c r="D570" s="1"/>
      <c r="E570" s="1"/>
    </row>
    <row r="571">
      <c r="A571" s="1"/>
      <c r="B571" s="1"/>
      <c r="C571" s="1"/>
      <c r="D571" s="1"/>
      <c r="E571" s="1"/>
    </row>
    <row r="572">
      <c r="A572" s="1256"/>
      <c r="B572" s="1256"/>
      <c r="C572" s="1256"/>
      <c r="D572" s="1256"/>
      <c r="E572" s="1256"/>
    </row>
    <row r="573">
      <c r="A573" s="1257"/>
      <c r="B573" s="1257"/>
      <c r="C573" s="1257"/>
      <c r="D573" s="1257"/>
      <c r="E573" s="1257"/>
    </row>
    <row r="574">
      <c r="A574" s="1257"/>
      <c r="B574" s="1257"/>
      <c r="C574" s="1257"/>
      <c r="D574" s="1257"/>
      <c r="E574" s="1257"/>
    </row>
    <row r="575">
      <c r="A575" s="1257"/>
      <c r="B575" s="1257"/>
      <c r="C575" s="1257"/>
      <c r="D575" s="1257"/>
      <c r="E575" s="1257"/>
    </row>
    <row r="576">
      <c r="A576" s="1257"/>
      <c r="B576" s="1257"/>
      <c r="C576" s="1257"/>
      <c r="D576" s="1257"/>
      <c r="E576" s="1257"/>
    </row>
    <row r="577">
      <c r="A577" s="1257"/>
      <c r="B577" s="1257"/>
      <c r="C577" s="1257"/>
      <c r="D577" s="1257"/>
      <c r="E577" s="1257"/>
    </row>
    <row r="578">
      <c r="A578" s="1257"/>
      <c r="B578" s="1257"/>
      <c r="C578" s="1257"/>
      <c r="D578" s="1257"/>
      <c r="E578" s="1257"/>
    </row>
    <row r="579">
      <c r="A579" s="1257"/>
      <c r="B579" s="1257"/>
      <c r="C579" s="1257"/>
      <c r="D579" s="1257"/>
      <c r="E579" s="1257"/>
    </row>
    <row r="580">
      <c r="A580" s="1257"/>
      <c r="B580" s="1257"/>
      <c r="C580" s="1257"/>
      <c r="D580" s="1257"/>
      <c r="E580" s="1257"/>
    </row>
    <row r="581">
      <c r="A581" s="1257"/>
      <c r="B581" s="1257"/>
      <c r="C581" s="1257"/>
      <c r="D581" s="1257"/>
      <c r="E581" s="1257"/>
    </row>
    <row r="582">
      <c r="A582" s="1257"/>
      <c r="B582" s="1257"/>
      <c r="C582" s="1257"/>
      <c r="D582" s="1257"/>
      <c r="E582" s="1257"/>
    </row>
    <row r="583">
      <c r="A583" s="1257"/>
      <c r="B583" s="1257"/>
      <c r="C583" s="1257"/>
      <c r="D583" s="1257"/>
      <c r="E583" s="1257"/>
    </row>
    <row r="584">
      <c r="A584" s="1257"/>
      <c r="B584" s="1257"/>
      <c r="C584" s="1257"/>
      <c r="D584" s="1257"/>
      <c r="E584" s="1257"/>
    </row>
    <row r="585">
      <c r="A585" s="1257"/>
      <c r="B585" s="1257"/>
      <c r="C585" s="1257"/>
      <c r="D585" s="1257"/>
      <c r="E585" s="1257"/>
    </row>
    <row r="586">
      <c r="A586" s="1257"/>
      <c r="B586" s="1257"/>
      <c r="C586" s="1257"/>
      <c r="D586" s="1257"/>
      <c r="E586" s="1257"/>
    </row>
    <row r="587">
      <c r="A587" s="1257"/>
      <c r="B587" s="1257"/>
      <c r="C587" s="1257"/>
      <c r="D587" s="1257"/>
      <c r="E587" s="1257"/>
    </row>
    <row r="588">
      <c r="A588" s="1257"/>
      <c r="B588" s="1257"/>
      <c r="C588" s="1257"/>
      <c r="D588" s="1257"/>
      <c r="E588" s="1257"/>
    </row>
    <row r="589">
      <c r="A589" s="1257"/>
      <c r="B589" s="1257"/>
      <c r="C589" s="1257"/>
      <c r="D589" s="1257"/>
      <c r="E589" s="1257"/>
    </row>
    <row r="590">
      <c r="A590" s="1257"/>
      <c r="B590" s="1257"/>
      <c r="C590" s="1257"/>
      <c r="D590" s="1257"/>
      <c r="E590" s="1257"/>
    </row>
    <row r="591">
      <c r="A591" s="1257"/>
      <c r="B591" s="1257"/>
      <c r="C591" s="1257"/>
      <c r="D591" s="1257"/>
      <c r="E591" s="1257"/>
    </row>
    <row r="592">
      <c r="A592" s="1257"/>
      <c r="B592" s="1257"/>
      <c r="C592" s="1257"/>
      <c r="D592" s="1257"/>
      <c r="E592" s="1257"/>
    </row>
    <row r="593">
      <c r="A593" s="1257"/>
      <c r="B593" s="1257"/>
      <c r="C593" s="1257"/>
      <c r="D593" s="1257"/>
      <c r="E593" s="1257"/>
    </row>
    <row r="594">
      <c r="A594" s="1257"/>
      <c r="B594" s="1257"/>
      <c r="C594" s="1257"/>
      <c r="D594" s="1257"/>
      <c r="E594" s="1257"/>
    </row>
    <row r="595">
      <c r="A595" s="1257"/>
      <c r="B595" s="1257"/>
      <c r="C595" s="1257"/>
      <c r="D595" s="1257"/>
      <c r="E595" s="1257"/>
    </row>
    <row r="596">
      <c r="A596" s="1257"/>
      <c r="B596" s="1257"/>
      <c r="C596" s="1257"/>
      <c r="D596" s="1257"/>
      <c r="E596" s="1257"/>
    </row>
    <row r="597">
      <c r="A597" s="1257"/>
      <c r="B597" s="1257"/>
      <c r="C597" s="1257"/>
      <c r="D597" s="1257"/>
      <c r="E597" s="1257"/>
    </row>
    <row r="598">
      <c r="A598" s="1257"/>
      <c r="B598" s="1257"/>
      <c r="C598" s="1257"/>
      <c r="D598" s="1257"/>
      <c r="E598" s="1257"/>
    </row>
    <row r="599">
      <c r="A599" s="1257"/>
      <c r="B599" s="1257"/>
      <c r="C599" s="1257"/>
      <c r="D599" s="1257"/>
      <c r="E599" s="1257"/>
    </row>
    <row r="600">
      <c r="A600" s="1257"/>
      <c r="B600" s="1257"/>
      <c r="C600" s="1257"/>
      <c r="D600" s="1257"/>
      <c r="E600" s="1257"/>
    </row>
    <row r="601">
      <c r="A601" s="1257"/>
      <c r="B601" s="1257"/>
      <c r="C601" s="1257"/>
      <c r="D601" s="1257"/>
      <c r="E601" s="1257"/>
    </row>
    <row r="602">
      <c r="A602" s="1257"/>
      <c r="B602" s="1257"/>
      <c r="C602" s="1257"/>
      <c r="D602" s="1257"/>
      <c r="E602" s="1257"/>
    </row>
    <row r="603">
      <c r="A603" s="1257"/>
      <c r="B603" s="1257"/>
      <c r="C603" s="1257"/>
      <c r="D603" s="1257"/>
      <c r="E603" s="1257"/>
    </row>
    <row r="604">
      <c r="A604" s="1257"/>
      <c r="B604" s="1257"/>
      <c r="C604" s="1257"/>
      <c r="D604" s="1257"/>
      <c r="E604" s="1257"/>
    </row>
    <row r="605">
      <c r="A605" s="1257"/>
      <c r="B605" s="1257"/>
      <c r="C605" s="1257"/>
      <c r="D605" s="1257"/>
      <c r="E605" s="1257"/>
    </row>
    <row r="606">
      <c r="A606" s="1257"/>
      <c r="B606" s="1257"/>
      <c r="C606" s="1257"/>
      <c r="D606" s="1257"/>
      <c r="E606" s="1257"/>
    </row>
    <row r="607">
      <c r="A607" s="1257"/>
      <c r="B607" s="1257"/>
      <c r="C607" s="1257"/>
      <c r="D607" s="1257"/>
      <c r="E607" s="1257"/>
    </row>
    <row r="608">
      <c r="A608" s="1257"/>
      <c r="B608" s="1257"/>
      <c r="C608" s="1257"/>
      <c r="D608" s="1257"/>
      <c r="E608" s="1257"/>
    </row>
    <row r="609">
      <c r="A609" s="1257"/>
      <c r="B609" s="1257"/>
      <c r="C609" s="1257"/>
      <c r="D609" s="1257"/>
      <c r="E609" s="1257"/>
    </row>
    <row r="610">
      <c r="A610" s="1257"/>
      <c r="B610" s="1257"/>
      <c r="C610" s="1257"/>
      <c r="D610" s="1257"/>
      <c r="E610" s="1257"/>
    </row>
    <row r="611">
      <c r="A611" s="1257"/>
      <c r="B611" s="1257"/>
      <c r="C611" s="1257"/>
      <c r="D611" s="1257"/>
      <c r="E611" s="1257"/>
    </row>
    <row r="612">
      <c r="A612" s="1257"/>
      <c r="B612" s="1257"/>
      <c r="C612" s="1257"/>
      <c r="D612" s="1257"/>
      <c r="E612" s="1257"/>
    </row>
    <row r="613">
      <c r="A613" s="1257"/>
      <c r="B613" s="1257"/>
      <c r="C613" s="1257"/>
      <c r="D613" s="1257"/>
      <c r="E613" s="1257"/>
    </row>
    <row r="614">
      <c r="A614" s="1257"/>
      <c r="B614" s="1257"/>
      <c r="C614" s="1257"/>
      <c r="D614" s="1257"/>
      <c r="E614" s="1257"/>
    </row>
    <row r="615">
      <c r="A615" s="1257"/>
      <c r="B615" s="1257"/>
      <c r="C615" s="1257"/>
      <c r="D615" s="1257"/>
      <c r="E615" s="1257"/>
    </row>
    <row r="616">
      <c r="A616" s="1257"/>
      <c r="B616" s="1257"/>
      <c r="C616" s="1257"/>
      <c r="D616" s="1257"/>
      <c r="E616" s="1257"/>
    </row>
    <row r="617">
      <c r="A617" s="1257"/>
      <c r="B617" s="1257"/>
      <c r="C617" s="1257"/>
      <c r="D617" s="1257"/>
      <c r="E617" s="1257"/>
    </row>
    <row r="618">
      <c r="A618" s="1257"/>
      <c r="B618" s="1257"/>
      <c r="C618" s="1257"/>
      <c r="D618" s="1257"/>
      <c r="E618" s="1257"/>
    </row>
    <row r="619">
      <c r="A619" s="1257"/>
      <c r="B619" s="1257"/>
      <c r="C619" s="1257"/>
      <c r="D619" s="1257"/>
      <c r="E619" s="1257"/>
    </row>
    <row r="620">
      <c r="A620" s="1257"/>
      <c r="B620" s="1257"/>
      <c r="C620" s="1257"/>
      <c r="D620" s="1257"/>
      <c r="E620" s="1257"/>
    </row>
    <row r="621">
      <c r="A621" s="1257"/>
      <c r="B621" s="1257"/>
      <c r="C621" s="1257"/>
      <c r="D621" s="1257"/>
      <c r="E621" s="1257"/>
    </row>
    <row r="622">
      <c r="A622" s="1257"/>
      <c r="B622" s="1257"/>
      <c r="C622" s="1257"/>
      <c r="D622" s="1257"/>
      <c r="E622" s="1257"/>
    </row>
    <row r="623">
      <c r="A623" s="1257"/>
      <c r="B623" s="1257"/>
      <c r="C623" s="1257"/>
      <c r="D623" s="1257"/>
      <c r="E623" s="1257"/>
    </row>
    <row r="624">
      <c r="A624" s="1257"/>
      <c r="B624" s="1257"/>
      <c r="C624" s="1257"/>
      <c r="D624" s="1257"/>
      <c r="E624" s="1257"/>
    </row>
    <row r="625">
      <c r="A625" s="1257"/>
      <c r="B625" s="1257"/>
      <c r="C625" s="1257"/>
      <c r="D625" s="1257"/>
      <c r="E625" s="1257"/>
    </row>
    <row r="626">
      <c r="A626" s="1257"/>
      <c r="B626" s="1257"/>
      <c r="C626" s="1257"/>
      <c r="D626" s="1257"/>
      <c r="E626" s="1257"/>
    </row>
    <row r="627">
      <c r="A627" s="1257"/>
      <c r="B627" s="1257"/>
      <c r="C627" s="1257"/>
      <c r="D627" s="1257"/>
      <c r="E627" s="1257"/>
    </row>
    <row r="628">
      <c r="A628" s="1257"/>
      <c r="B628" s="1257"/>
      <c r="C628" s="1257"/>
      <c r="D628" s="1257"/>
      <c r="E628" s="1257"/>
    </row>
    <row r="629">
      <c r="A629" s="1257"/>
      <c r="B629" s="1257"/>
      <c r="C629" s="1257"/>
      <c r="D629" s="1257"/>
      <c r="E629" s="1257"/>
    </row>
    <row r="630">
      <c r="A630" s="1257"/>
      <c r="B630" s="1257"/>
      <c r="C630" s="1257"/>
      <c r="D630" s="1257"/>
      <c r="E630" s="1257"/>
    </row>
    <row r="631">
      <c r="A631" s="1257"/>
      <c r="B631" s="1257"/>
      <c r="C631" s="1257"/>
      <c r="D631" s="1257"/>
      <c r="E631" s="1257"/>
    </row>
    <row r="632">
      <c r="A632" s="1257"/>
      <c r="B632" s="1257"/>
      <c r="C632" s="1257"/>
      <c r="D632" s="1257"/>
      <c r="E632" s="1257"/>
    </row>
    <row r="633">
      <c r="A633" s="1257"/>
      <c r="B633" s="1257"/>
      <c r="C633" s="1257"/>
      <c r="D633" s="1257"/>
      <c r="E633" s="1257"/>
    </row>
    <row r="634">
      <c r="A634" s="1257"/>
      <c r="B634" s="1257"/>
      <c r="C634" s="1257"/>
      <c r="D634" s="1257"/>
      <c r="E634" s="1257"/>
    </row>
    <row r="635">
      <c r="A635" s="1257"/>
      <c r="B635" s="1257"/>
      <c r="C635" s="1257"/>
      <c r="D635" s="1257"/>
      <c r="E635" s="1257"/>
    </row>
    <row r="636">
      <c r="A636" s="1257"/>
      <c r="B636" s="1257"/>
      <c r="C636" s="1257"/>
      <c r="D636" s="1257"/>
      <c r="E636" s="1257"/>
    </row>
    <row r="637">
      <c r="A637" s="1257"/>
      <c r="B637" s="1257"/>
      <c r="C637" s="1257"/>
      <c r="D637" s="1257"/>
      <c r="E637" s="1257"/>
    </row>
    <row r="638">
      <c r="A638" s="1257"/>
      <c r="B638" s="1257"/>
      <c r="C638" s="1257"/>
      <c r="D638" s="1257"/>
      <c r="E638" s="1257"/>
    </row>
    <row r="639">
      <c r="A639" s="1257"/>
      <c r="B639" s="1257"/>
      <c r="C639" s="1257"/>
      <c r="D639" s="1257"/>
      <c r="E639" s="1257"/>
    </row>
    <row r="640">
      <c r="A640" s="1257"/>
      <c r="B640" s="1257"/>
      <c r="C640" s="1257"/>
      <c r="D640" s="1257"/>
      <c r="E640" s="1257"/>
    </row>
    <row r="641">
      <c r="A641" s="1257"/>
      <c r="B641" s="1257"/>
      <c r="C641" s="1257"/>
      <c r="D641" s="1257"/>
      <c r="E641" s="1257"/>
    </row>
    <row r="642">
      <c r="A642" s="1257"/>
      <c r="B642" s="1257"/>
      <c r="C642" s="1257"/>
      <c r="D642" s="1257"/>
      <c r="E642" s="1257"/>
    </row>
    <row r="643">
      <c r="A643" s="1257"/>
      <c r="B643" s="1257"/>
      <c r="C643" s="1257"/>
      <c r="D643" s="1257"/>
      <c r="E643" s="1257"/>
    </row>
    <row r="644">
      <c r="A644" s="1257"/>
      <c r="B644" s="1257"/>
      <c r="C644" s="1257"/>
      <c r="D644" s="1257"/>
      <c r="E644" s="1257"/>
    </row>
    <row r="645">
      <c r="A645" s="1257"/>
      <c r="B645" s="1257"/>
      <c r="C645" s="1257"/>
      <c r="D645" s="1257"/>
      <c r="E645" s="1257"/>
    </row>
    <row r="646">
      <c r="A646" s="1257"/>
      <c r="B646" s="1257"/>
      <c r="C646" s="1257"/>
      <c r="D646" s="1257"/>
      <c r="E646" s="1257"/>
    </row>
    <row r="647">
      <c r="A647" s="1257"/>
      <c r="B647" s="1257"/>
      <c r="C647" s="1257"/>
      <c r="D647" s="1257"/>
      <c r="E647" s="1257"/>
    </row>
    <row r="648">
      <c r="A648" s="1257"/>
      <c r="B648" s="1257"/>
      <c r="C648" s="1257"/>
      <c r="D648" s="1257"/>
      <c r="E648" s="1257"/>
    </row>
    <row r="649">
      <c r="A649" s="1257"/>
      <c r="B649" s="1257"/>
      <c r="C649" s="1257"/>
      <c r="D649" s="1257"/>
      <c r="E649" s="1257"/>
    </row>
    <row r="650">
      <c r="A650" s="1257"/>
      <c r="B650" s="1257"/>
      <c r="C650" s="1257"/>
      <c r="D650" s="1257"/>
      <c r="E650" s="1257"/>
    </row>
    <row r="651">
      <c r="A651" s="1257"/>
      <c r="B651" s="1257"/>
      <c r="C651" s="1257"/>
      <c r="D651" s="1257"/>
      <c r="E651" s="1257"/>
    </row>
    <row r="652">
      <c r="A652" s="1257"/>
      <c r="B652" s="1257"/>
      <c r="C652" s="1257"/>
      <c r="D652" s="1257"/>
      <c r="E652" s="1257"/>
    </row>
    <row r="653">
      <c r="A653" s="1257"/>
      <c r="B653" s="1257"/>
      <c r="C653" s="1257"/>
      <c r="D653" s="1257"/>
      <c r="E653" s="1257"/>
    </row>
    <row r="654">
      <c r="A654" s="1257"/>
      <c r="B654" s="1257"/>
      <c r="C654" s="1257"/>
      <c r="D654" s="1257"/>
      <c r="E654" s="1257"/>
    </row>
    <row r="655">
      <c r="A655" s="1257"/>
      <c r="B655" s="1257"/>
      <c r="C655" s="1257"/>
      <c r="D655" s="1257"/>
      <c r="E655" s="1257"/>
    </row>
    <row r="656">
      <c r="A656" s="1257"/>
      <c r="B656" s="1257"/>
      <c r="C656" s="1257"/>
      <c r="D656" s="1257"/>
      <c r="E656" s="1257"/>
    </row>
    <row r="657">
      <c r="A657" s="1257"/>
      <c r="B657" s="1257"/>
      <c r="C657" s="1257"/>
      <c r="D657" s="1257"/>
      <c r="E657" s="1257"/>
    </row>
    <row r="658">
      <c r="A658" s="1257"/>
      <c r="B658" s="1257"/>
      <c r="C658" s="1257"/>
      <c r="D658" s="1257"/>
      <c r="E658" s="1257"/>
    </row>
    <row r="659">
      <c r="A659" s="1257"/>
      <c r="B659" s="1257"/>
      <c r="C659" s="1257"/>
      <c r="D659" s="1257"/>
      <c r="E659" s="1257"/>
    </row>
    <row r="660">
      <c r="A660" s="1257"/>
      <c r="B660" s="1257"/>
      <c r="C660" s="1257"/>
      <c r="D660" s="1257"/>
      <c r="E660" s="1257"/>
    </row>
    <row r="661">
      <c r="A661" s="1257"/>
      <c r="B661" s="1257"/>
      <c r="C661" s="1257"/>
      <c r="D661" s="1257"/>
      <c r="E661" s="1257"/>
    </row>
    <row r="662">
      <c r="A662" s="1257"/>
      <c r="B662" s="1257"/>
      <c r="C662" s="1257"/>
      <c r="D662" s="1257"/>
      <c r="E662" s="1257"/>
    </row>
    <row r="663">
      <c r="A663" s="1257"/>
      <c r="B663" s="1257"/>
      <c r="C663" s="1257"/>
      <c r="D663" s="1257"/>
      <c r="E663" s="1257"/>
    </row>
    <row r="664">
      <c r="A664" s="1257"/>
      <c r="B664" s="1257"/>
      <c r="C664" s="1257"/>
      <c r="D664" s="1257"/>
      <c r="E664" s="1257"/>
    </row>
    <row r="665">
      <c r="A665" s="1257"/>
      <c r="B665" s="1257"/>
      <c r="C665" s="1257"/>
      <c r="D665" s="1257"/>
      <c r="E665" s="1257"/>
    </row>
    <row r="666">
      <c r="A666" s="1257"/>
      <c r="B666" s="1257"/>
      <c r="C666" s="1257"/>
      <c r="D666" s="1257"/>
      <c r="E666" s="1257"/>
    </row>
    <row r="667">
      <c r="A667" s="1257"/>
      <c r="B667" s="1257"/>
      <c r="C667" s="1257"/>
      <c r="D667" s="1257"/>
      <c r="E667" s="1257"/>
    </row>
    <row r="668">
      <c r="A668" s="1257"/>
      <c r="B668" s="1257"/>
      <c r="C668" s="1257"/>
      <c r="D668" s="1257"/>
      <c r="E668" s="1257"/>
    </row>
    <row r="669">
      <c r="A669" s="1257"/>
      <c r="B669" s="1257"/>
      <c r="C669" s="1257"/>
      <c r="D669" s="1257"/>
      <c r="E669" s="1257"/>
    </row>
    <row r="670">
      <c r="A670" s="1257"/>
      <c r="B670" s="1257"/>
      <c r="C670" s="1257"/>
      <c r="D670" s="1257"/>
      <c r="E670" s="1257"/>
    </row>
    <row r="671">
      <c r="A671" s="1257"/>
      <c r="B671" s="1257"/>
      <c r="C671" s="1257"/>
      <c r="D671" s="1257"/>
      <c r="E671" s="1257"/>
    </row>
    <row r="672">
      <c r="A672" s="1257"/>
      <c r="B672" s="1257"/>
      <c r="C672" s="1257"/>
      <c r="D672" s="1257"/>
      <c r="E672" s="1257"/>
    </row>
    <row r="673">
      <c r="A673" s="1257"/>
      <c r="B673" s="1257"/>
      <c r="C673" s="1257"/>
      <c r="D673" s="1257"/>
      <c r="E673" s="1257"/>
    </row>
    <row r="674">
      <c r="A674" s="1257"/>
      <c r="B674" s="1257"/>
      <c r="C674" s="1257"/>
      <c r="D674" s="1257"/>
      <c r="E674" s="1257"/>
    </row>
    <row r="675">
      <c r="A675" s="1257"/>
      <c r="B675" s="1257"/>
      <c r="C675" s="1257"/>
      <c r="D675" s="1257"/>
      <c r="E675" s="1257"/>
    </row>
    <row r="676">
      <c r="A676" s="1257"/>
      <c r="B676" s="1257"/>
      <c r="C676" s="1257"/>
      <c r="D676" s="1257"/>
      <c r="E676" s="1257"/>
    </row>
    <row r="677">
      <c r="A677" s="1257"/>
      <c r="B677" s="1257"/>
      <c r="C677" s="1257"/>
      <c r="D677" s="1257"/>
      <c r="E677" s="1257"/>
    </row>
    <row r="678">
      <c r="A678" s="1257"/>
      <c r="B678" s="1257"/>
      <c r="C678" s="1257"/>
      <c r="D678" s="1257"/>
      <c r="E678" s="1257"/>
    </row>
    <row r="679">
      <c r="A679" s="1257"/>
      <c r="B679" s="1257"/>
      <c r="C679" s="1257"/>
      <c r="D679" s="1257"/>
      <c r="E679" s="1257"/>
    </row>
    <row r="680">
      <c r="A680" s="1257"/>
      <c r="B680" s="1257"/>
      <c r="C680" s="1257"/>
      <c r="D680" s="1257"/>
      <c r="E680" s="1257"/>
    </row>
    <row r="681">
      <c r="A681" s="1257"/>
      <c r="B681" s="1257"/>
      <c r="C681" s="1257"/>
      <c r="D681" s="1257"/>
      <c r="E681" s="1257"/>
    </row>
    <row r="682">
      <c r="A682" s="1257"/>
      <c r="B682" s="1257"/>
      <c r="C682" s="1257"/>
      <c r="D682" s="1257"/>
      <c r="E682" s="1257"/>
    </row>
    <row r="683">
      <c r="A683" s="1257"/>
      <c r="B683" s="1257"/>
      <c r="C683" s="1257"/>
      <c r="D683" s="1257"/>
      <c r="E683" s="1257"/>
    </row>
    <row r="684">
      <c r="A684" s="1257"/>
      <c r="B684" s="1257"/>
      <c r="C684" s="1257"/>
      <c r="D684" s="1257"/>
      <c r="E684" s="1257"/>
    </row>
    <row r="685">
      <c r="A685" s="1257"/>
      <c r="B685" s="1257"/>
      <c r="C685" s="1257"/>
      <c r="D685" s="1257"/>
      <c r="E685" s="1257"/>
    </row>
    <row r="686">
      <c r="A686" s="1257"/>
      <c r="B686" s="1257"/>
      <c r="C686" s="1257"/>
      <c r="D686" s="1257"/>
      <c r="E686" s="1257"/>
    </row>
    <row r="687">
      <c r="A687" s="1257"/>
      <c r="B687" s="1257"/>
      <c r="C687" s="1257"/>
      <c r="D687" s="1257"/>
      <c r="E687" s="1257"/>
    </row>
    <row r="688">
      <c r="A688" s="1257"/>
      <c r="B688" s="1257"/>
      <c r="C688" s="1257"/>
      <c r="D688" s="1257"/>
      <c r="E688" s="1257"/>
    </row>
    <row r="689">
      <c r="A689" s="1257"/>
      <c r="B689" s="1257"/>
      <c r="C689" s="1257"/>
      <c r="D689" s="1257"/>
      <c r="E689" s="1257"/>
    </row>
    <row r="690">
      <c r="A690" s="1257"/>
      <c r="B690" s="1257"/>
      <c r="C690" s="1257"/>
      <c r="D690" s="1257"/>
      <c r="E690" s="1257"/>
    </row>
    <row r="691">
      <c r="A691" s="1257"/>
      <c r="B691" s="1257"/>
      <c r="C691" s="1257"/>
      <c r="D691" s="1257"/>
      <c r="E691" s="1257"/>
    </row>
    <row r="692">
      <c r="A692" s="1257"/>
      <c r="B692" s="1257"/>
      <c r="C692" s="1257"/>
      <c r="D692" s="1257"/>
      <c r="E692" s="1257"/>
    </row>
    <row r="693">
      <c r="A693" s="1257"/>
      <c r="B693" s="1257"/>
      <c r="C693" s="1257"/>
      <c r="D693" s="1257"/>
      <c r="E693" s="1257"/>
    </row>
    <row r="694">
      <c r="A694" s="1257"/>
      <c r="B694" s="1257"/>
      <c r="C694" s="1257"/>
      <c r="D694" s="1257"/>
      <c r="E694" s="1257"/>
    </row>
    <row r="695">
      <c r="A695" s="1257"/>
      <c r="B695" s="1257"/>
      <c r="C695" s="1257"/>
      <c r="D695" s="1257"/>
      <c r="E695" s="1257"/>
    </row>
    <row r="696">
      <c r="A696" s="1257"/>
      <c r="B696" s="1257"/>
      <c r="C696" s="1257"/>
      <c r="D696" s="1257"/>
      <c r="E696" s="1257"/>
    </row>
    <row r="697">
      <c r="A697" s="1257"/>
      <c r="B697" s="1257"/>
      <c r="C697" s="1257"/>
      <c r="D697" s="1257"/>
      <c r="E697" s="1257"/>
    </row>
    <row r="698">
      <c r="A698" s="1257"/>
      <c r="B698" s="1257"/>
      <c r="C698" s="1257"/>
      <c r="D698" s="1257"/>
      <c r="E698" s="1257"/>
    </row>
    <row r="699">
      <c r="A699" s="1257"/>
      <c r="B699" s="1257"/>
      <c r="C699" s="1257"/>
      <c r="D699" s="1257"/>
      <c r="E699" s="1257"/>
    </row>
    <row r="700">
      <c r="A700" s="1257"/>
      <c r="B700" s="1257"/>
      <c r="C700" s="1257"/>
      <c r="D700" s="1257"/>
      <c r="E700" s="1257"/>
    </row>
    <row r="701">
      <c r="A701" s="1257"/>
      <c r="B701" s="1257"/>
      <c r="C701" s="1257"/>
      <c r="D701" s="1257"/>
      <c r="E701" s="1257"/>
    </row>
    <row r="702">
      <c r="A702" s="1257"/>
      <c r="B702" s="1257"/>
      <c r="C702" s="1257"/>
      <c r="D702" s="1257"/>
      <c r="E702" s="1257"/>
    </row>
    <row r="703">
      <c r="A703" s="1257"/>
      <c r="B703" s="1257"/>
      <c r="C703" s="1257"/>
      <c r="D703" s="1257"/>
      <c r="E703" s="1257"/>
    </row>
    <row r="704">
      <c r="A704" s="1257"/>
      <c r="B704" s="1257"/>
      <c r="C704" s="1257"/>
      <c r="D704" s="1257"/>
      <c r="E704" s="1257"/>
    </row>
    <row r="705">
      <c r="A705" s="1257"/>
      <c r="B705" s="1257"/>
      <c r="C705" s="1257"/>
      <c r="D705" s="1257"/>
      <c r="E705" s="1257"/>
    </row>
    <row r="706">
      <c r="A706" s="1257"/>
      <c r="B706" s="1257"/>
      <c r="C706" s="1257"/>
      <c r="D706" s="1257"/>
      <c r="E706" s="1257"/>
    </row>
    <row r="707">
      <c r="A707" s="1257"/>
      <c r="B707" s="1257"/>
      <c r="C707" s="1257"/>
      <c r="D707" s="1257"/>
      <c r="E707" s="1257"/>
    </row>
    <row r="708">
      <c r="A708" s="1257"/>
      <c r="B708" s="1257"/>
      <c r="C708" s="1257"/>
      <c r="D708" s="1257"/>
      <c r="E708" s="1257"/>
    </row>
    <row r="709">
      <c r="A709" s="1257"/>
      <c r="B709" s="1257"/>
      <c r="C709" s="1257"/>
      <c r="D709" s="1257"/>
      <c r="E709" s="1257"/>
    </row>
    <row r="710">
      <c r="A710" s="1257"/>
      <c r="B710" s="1257"/>
      <c r="C710" s="1257"/>
      <c r="D710" s="1257"/>
      <c r="E710" s="1257"/>
    </row>
    <row r="711">
      <c r="A711" s="1257"/>
      <c r="B711" s="1257"/>
      <c r="C711" s="1257"/>
      <c r="D711" s="1257"/>
      <c r="E711" s="1257"/>
    </row>
    <row r="712">
      <c r="A712" s="1257"/>
      <c r="B712" s="1257"/>
      <c r="C712" s="1257"/>
      <c r="D712" s="1257"/>
      <c r="E712" s="1257"/>
    </row>
    <row r="713">
      <c r="A713" s="1257"/>
      <c r="B713" s="1257"/>
      <c r="C713" s="1257"/>
      <c r="D713" s="1257"/>
      <c r="E713" s="1257"/>
    </row>
    <row r="714">
      <c r="A714" s="1257"/>
      <c r="B714" s="1257"/>
      <c r="C714" s="1257"/>
      <c r="D714" s="1257"/>
      <c r="E714" s="1257"/>
    </row>
    <row r="715">
      <c r="A715" s="1257"/>
      <c r="B715" s="1257"/>
      <c r="C715" s="1257"/>
      <c r="D715" s="1257"/>
      <c r="E715" s="1257"/>
    </row>
    <row r="716">
      <c r="A716" s="1257"/>
      <c r="B716" s="1257"/>
      <c r="C716" s="1257"/>
      <c r="D716" s="1257"/>
      <c r="E716" s="1257"/>
    </row>
    <row r="717">
      <c r="A717" s="1257"/>
      <c r="B717" s="1257"/>
      <c r="C717" s="1257"/>
      <c r="D717" s="1257"/>
      <c r="E717" s="1257"/>
    </row>
    <row r="718">
      <c r="A718" s="1257"/>
      <c r="B718" s="1257"/>
      <c r="C718" s="1257"/>
      <c r="D718" s="1257"/>
      <c r="E718" s="1257"/>
    </row>
    <row r="719">
      <c r="A719" s="1257"/>
      <c r="B719" s="1257"/>
      <c r="C719" s="1257"/>
      <c r="D719" s="1257"/>
      <c r="E719" s="1257"/>
    </row>
    <row r="720">
      <c r="A720" s="1257"/>
      <c r="B720" s="1257"/>
      <c r="C720" s="1257"/>
      <c r="D720" s="1257"/>
      <c r="E720" s="1257"/>
    </row>
    <row r="721">
      <c r="A721" s="1257"/>
      <c r="B721" s="1257"/>
      <c r="C721" s="1257"/>
      <c r="D721" s="1257"/>
      <c r="E721" s="1257"/>
    </row>
    <row r="722">
      <c r="A722" s="1257"/>
      <c r="B722" s="1257"/>
      <c r="C722" s="1257"/>
      <c r="D722" s="1257"/>
      <c r="E722" s="1257"/>
    </row>
    <row r="723">
      <c r="A723" s="1257"/>
      <c r="B723" s="1257"/>
      <c r="C723" s="1257"/>
      <c r="D723" s="1257"/>
      <c r="E723" s="1257"/>
    </row>
    <row r="724">
      <c r="A724" s="1257"/>
      <c r="B724" s="1257"/>
      <c r="C724" s="1257"/>
      <c r="D724" s="1257"/>
      <c r="E724" s="1257"/>
    </row>
    <row r="725">
      <c r="A725" s="1257"/>
      <c r="B725" s="1257"/>
      <c r="C725" s="1257"/>
      <c r="D725" s="1257"/>
      <c r="E725" s="1257"/>
    </row>
    <row r="726">
      <c r="A726" s="1257"/>
      <c r="B726" s="1257"/>
      <c r="C726" s="1257"/>
      <c r="D726" s="1257"/>
      <c r="E726" s="1257"/>
    </row>
    <row r="727">
      <c r="A727" s="1257"/>
      <c r="B727" s="1257"/>
      <c r="C727" s="1257"/>
      <c r="D727" s="1257"/>
      <c r="E727" s="1257"/>
    </row>
    <row r="728">
      <c r="A728" s="1257"/>
      <c r="B728" s="1257"/>
      <c r="C728" s="1257"/>
      <c r="D728" s="1257"/>
      <c r="E728" s="1257"/>
    </row>
    <row r="729">
      <c r="A729" s="1257"/>
      <c r="B729" s="1257"/>
      <c r="C729" s="1257"/>
      <c r="D729" s="1257"/>
      <c r="E729" s="1257"/>
    </row>
    <row r="730">
      <c r="A730" s="1257"/>
      <c r="B730" s="1257"/>
      <c r="C730" s="1257"/>
      <c r="D730" s="1257"/>
      <c r="E730" s="1257"/>
    </row>
    <row r="731">
      <c r="A731" s="1257"/>
      <c r="B731" s="1257"/>
      <c r="C731" s="1257"/>
      <c r="D731" s="1257"/>
      <c r="E731" s="1257"/>
    </row>
    <row r="732">
      <c r="A732" s="1257"/>
      <c r="B732" s="1257"/>
      <c r="C732" s="1257"/>
      <c r="D732" s="1257"/>
      <c r="E732" s="1257"/>
    </row>
    <row r="733">
      <c r="A733" s="1257"/>
      <c r="B733" s="1257"/>
      <c r="C733" s="1257"/>
      <c r="D733" s="1257"/>
      <c r="E733" s="1257"/>
    </row>
    <row r="734">
      <c r="A734" s="1257"/>
      <c r="B734" s="1257"/>
      <c r="C734" s="1257"/>
      <c r="D734" s="1257"/>
      <c r="E734" s="1257"/>
    </row>
    <row r="735">
      <c r="A735" s="1257"/>
      <c r="B735" s="1257"/>
      <c r="C735" s="1257"/>
      <c r="D735" s="1257"/>
      <c r="E735" s="1257"/>
    </row>
    <row r="736">
      <c r="A736" s="1257"/>
      <c r="B736" s="1257"/>
      <c r="C736" s="1257"/>
      <c r="D736" s="1257"/>
      <c r="E736" s="1257"/>
    </row>
    <row r="737">
      <c r="A737" s="1257"/>
      <c r="B737" s="1257"/>
      <c r="C737" s="1257"/>
      <c r="D737" s="1257"/>
      <c r="E737" s="1257"/>
    </row>
    <row r="738">
      <c r="A738" s="1257"/>
      <c r="B738" s="1257"/>
      <c r="C738" s="1257"/>
      <c r="D738" s="1257"/>
      <c r="E738" s="1257"/>
    </row>
    <row r="739">
      <c r="A739" s="1257"/>
      <c r="B739" s="1257"/>
      <c r="C739" s="1257"/>
      <c r="D739" s="1257"/>
      <c r="E739" s="1257"/>
    </row>
    <row r="740">
      <c r="A740" s="1257"/>
      <c r="B740" s="1257"/>
      <c r="C740" s="1257"/>
      <c r="D740" s="1257"/>
      <c r="E740" s="1257"/>
    </row>
    <row r="741">
      <c r="A741" s="1257"/>
      <c r="B741" s="1257"/>
      <c r="C741" s="1257"/>
      <c r="D741" s="1257"/>
      <c r="E741" s="1257"/>
    </row>
    <row r="742">
      <c r="A742" s="1257"/>
      <c r="B742" s="1257"/>
      <c r="C742" s="1257"/>
      <c r="D742" s="1257"/>
      <c r="E742" s="1257"/>
    </row>
    <row r="743">
      <c r="A743" s="1257"/>
      <c r="B743" s="1257"/>
      <c r="C743" s="1257"/>
      <c r="D743" s="1257"/>
      <c r="E743" s="1257"/>
    </row>
    <row r="744">
      <c r="A744" s="1257"/>
      <c r="B744" s="1257"/>
      <c r="C744" s="1257"/>
      <c r="D744" s="1257"/>
      <c r="E744" s="1257"/>
    </row>
    <row r="745">
      <c r="A745" s="1257"/>
      <c r="B745" s="1257"/>
      <c r="C745" s="1257"/>
      <c r="D745" s="1257"/>
      <c r="E745" s="1257"/>
    </row>
    <row r="746">
      <c r="A746" s="1257"/>
      <c r="B746" s="1257"/>
      <c r="C746" s="1257"/>
      <c r="D746" s="1257"/>
      <c r="E746" s="1257"/>
    </row>
    <row r="747">
      <c r="A747" s="1257"/>
      <c r="B747" s="1257"/>
      <c r="C747" s="1257"/>
      <c r="D747" s="1257"/>
      <c r="E747" s="1257"/>
    </row>
    <row r="748">
      <c r="A748" s="1257"/>
      <c r="B748" s="1257"/>
      <c r="C748" s="1257"/>
      <c r="D748" s="1257"/>
      <c r="E748" s="1257"/>
    </row>
    <row r="749">
      <c r="A749" s="1257"/>
      <c r="B749" s="1257"/>
      <c r="C749" s="1257"/>
      <c r="D749" s="1257"/>
      <c r="E749" s="1257"/>
    </row>
    <row r="750">
      <c r="A750" s="1257"/>
      <c r="B750" s="1257"/>
      <c r="C750" s="1257"/>
      <c r="D750" s="1257"/>
      <c r="E750" s="1257"/>
    </row>
    <row r="751">
      <c r="A751" s="1257"/>
      <c r="B751" s="1257"/>
      <c r="C751" s="1257"/>
      <c r="D751" s="1257"/>
      <c r="E751" s="1257"/>
    </row>
    <row r="752">
      <c r="A752" s="1257"/>
      <c r="B752" s="1257"/>
      <c r="C752" s="1257"/>
      <c r="D752" s="1257"/>
      <c r="E752" s="1257"/>
    </row>
    <row r="753">
      <c r="A753" s="1257"/>
      <c r="B753" s="1257"/>
      <c r="C753" s="1257"/>
      <c r="D753" s="1257"/>
      <c r="E753" s="1257"/>
    </row>
    <row r="754">
      <c r="A754" s="1257"/>
      <c r="B754" s="1257"/>
      <c r="C754" s="1257"/>
      <c r="D754" s="1257"/>
      <c r="E754" s="1257"/>
    </row>
    <row r="755">
      <c r="A755" s="1257"/>
      <c r="B755" s="1257"/>
      <c r="C755" s="1257"/>
      <c r="D755" s="1257"/>
      <c r="E755" s="1257"/>
    </row>
    <row r="756">
      <c r="A756" s="1257"/>
      <c r="B756" s="1257"/>
      <c r="C756" s="1257"/>
      <c r="D756" s="1257"/>
      <c r="E756" s="1257"/>
    </row>
    <row r="757">
      <c r="A757" s="1257"/>
      <c r="B757" s="1257"/>
      <c r="C757" s="1257"/>
      <c r="D757" s="1257"/>
      <c r="E757" s="1257"/>
    </row>
    <row r="758">
      <c r="A758" s="1257"/>
      <c r="B758" s="1257"/>
      <c r="C758" s="1257"/>
      <c r="D758" s="1257"/>
      <c r="E758" s="1257"/>
    </row>
    <row r="759">
      <c r="A759" s="1257"/>
      <c r="B759" s="1257"/>
      <c r="C759" s="1257"/>
      <c r="D759" s="1257"/>
      <c r="E759" s="1257"/>
    </row>
    <row r="760">
      <c r="A760" s="1257"/>
      <c r="B760" s="1257"/>
      <c r="C760" s="1257"/>
      <c r="D760" s="1257"/>
      <c r="E760" s="1257"/>
    </row>
    <row r="761">
      <c r="A761" s="1257"/>
      <c r="B761" s="1257"/>
      <c r="C761" s="1257"/>
      <c r="D761" s="1257"/>
      <c r="E761" s="1257"/>
    </row>
    <row r="762">
      <c r="A762" s="1257"/>
      <c r="B762" s="1257"/>
      <c r="C762" s="1257"/>
      <c r="D762" s="1257"/>
      <c r="E762" s="1257"/>
    </row>
    <row r="763">
      <c r="A763" s="1257"/>
      <c r="B763" s="1257"/>
      <c r="C763" s="1257"/>
      <c r="D763" s="1257"/>
      <c r="E763" s="1257"/>
    </row>
    <row r="764">
      <c r="A764" s="1257"/>
      <c r="B764" s="1257"/>
      <c r="C764" s="1257"/>
      <c r="D764" s="1257"/>
      <c r="E764" s="1257"/>
    </row>
    <row r="765">
      <c r="A765" s="1257"/>
      <c r="B765" s="1257"/>
      <c r="C765" s="1257"/>
      <c r="D765" s="1257"/>
      <c r="E765" s="1257"/>
    </row>
    <row r="766">
      <c r="A766" s="1257"/>
      <c r="B766" s="1257"/>
      <c r="C766" s="1257"/>
      <c r="D766" s="1257"/>
      <c r="E766" s="1257"/>
    </row>
    <row r="767">
      <c r="A767" s="1257"/>
      <c r="B767" s="1257"/>
      <c r="C767" s="1257"/>
      <c r="D767" s="1257"/>
      <c r="E767" s="1257"/>
    </row>
    <row r="768">
      <c r="A768" s="1257"/>
      <c r="B768" s="1257"/>
      <c r="C768" s="1257"/>
      <c r="D768" s="1257"/>
      <c r="E768" s="1257"/>
    </row>
    <row r="769">
      <c r="A769" s="1257"/>
      <c r="B769" s="1257"/>
      <c r="C769" s="1257"/>
      <c r="D769" s="1257"/>
      <c r="E769" s="1257"/>
    </row>
    <row r="770">
      <c r="A770" s="1257"/>
      <c r="B770" s="1257"/>
      <c r="C770" s="1257"/>
      <c r="D770" s="1257"/>
      <c r="E770" s="1257"/>
    </row>
    <row r="771">
      <c r="A771" s="1257"/>
      <c r="B771" s="1257"/>
      <c r="C771" s="1257"/>
      <c r="D771" s="1257"/>
      <c r="E771" s="1257"/>
    </row>
    <row r="772">
      <c r="A772" s="1257"/>
      <c r="B772" s="1257"/>
      <c r="C772" s="1257"/>
      <c r="D772" s="1257"/>
      <c r="E772" s="1257"/>
    </row>
    <row r="773">
      <c r="A773" s="1257"/>
      <c r="B773" s="1257"/>
      <c r="C773" s="1257"/>
      <c r="D773" s="1257"/>
      <c r="E773" s="1257"/>
    </row>
    <row r="774">
      <c r="A774" s="1257"/>
      <c r="B774" s="1257"/>
      <c r="C774" s="1257"/>
      <c r="D774" s="1257"/>
      <c r="E774" s="1257"/>
    </row>
    <row r="775">
      <c r="A775" s="1257"/>
      <c r="B775" s="1257"/>
      <c r="C775" s="1257"/>
      <c r="D775" s="1257"/>
      <c r="E775" s="1257"/>
    </row>
    <row r="776">
      <c r="A776" s="1257"/>
      <c r="B776" s="1257"/>
      <c r="C776" s="1257"/>
      <c r="D776" s="1257"/>
      <c r="E776" s="1257"/>
    </row>
    <row r="777">
      <c r="A777" s="1257"/>
      <c r="B777" s="1257"/>
      <c r="C777" s="1257"/>
      <c r="D777" s="1257"/>
      <c r="E777" s="1257"/>
    </row>
    <row r="778">
      <c r="A778" s="1257"/>
      <c r="B778" s="1257"/>
      <c r="C778" s="1257"/>
      <c r="D778" s="1257"/>
      <c r="E778" s="1257"/>
    </row>
    <row r="779">
      <c r="A779" s="1257"/>
      <c r="B779" s="1257"/>
      <c r="C779" s="1257"/>
      <c r="D779" s="1257"/>
      <c r="E779" s="1257"/>
    </row>
    <row r="780">
      <c r="A780" s="1257"/>
      <c r="B780" s="1257"/>
      <c r="C780" s="1257"/>
      <c r="D780" s="1257"/>
      <c r="E780" s="1257"/>
    </row>
    <row r="781">
      <c r="A781" s="1257"/>
      <c r="B781" s="1257"/>
      <c r="C781" s="1257"/>
      <c r="D781" s="1257"/>
      <c r="E781" s="1257"/>
    </row>
    <row r="782">
      <c r="A782" s="1257"/>
      <c r="B782" s="1257"/>
      <c r="C782" s="1257"/>
      <c r="D782" s="1257"/>
      <c r="E782" s="1257"/>
    </row>
    <row r="783">
      <c r="A783" s="1257"/>
      <c r="B783" s="1257"/>
      <c r="C783" s="1257"/>
      <c r="D783" s="1257"/>
      <c r="E783" s="1257"/>
    </row>
    <row r="784">
      <c r="A784" s="1257"/>
      <c r="B784" s="1257"/>
      <c r="C784" s="1257"/>
      <c r="D784" s="1257"/>
      <c r="E784" s="1257"/>
    </row>
    <row r="785">
      <c r="A785" s="1257"/>
      <c r="B785" s="1257"/>
      <c r="C785" s="1257"/>
      <c r="D785" s="1257"/>
      <c r="E785" s="1257"/>
    </row>
    <row r="786">
      <c r="A786" s="1257"/>
      <c r="B786" s="1257"/>
      <c r="C786" s="1257"/>
      <c r="D786" s="1257"/>
      <c r="E786" s="1257"/>
    </row>
    <row r="787">
      <c r="A787" s="1257"/>
      <c r="B787" s="1257"/>
      <c r="C787" s="1257"/>
      <c r="D787" s="1257"/>
      <c r="E787" s="1257"/>
    </row>
    <row r="788">
      <c r="A788" s="1257"/>
      <c r="B788" s="1257"/>
      <c r="C788" s="1257"/>
      <c r="D788" s="1257"/>
      <c r="E788" s="1257"/>
    </row>
    <row r="789">
      <c r="A789" s="1257"/>
      <c r="B789" s="1257"/>
      <c r="C789" s="1257"/>
      <c r="D789" s="1257"/>
      <c r="E789" s="1257"/>
    </row>
    <row r="790">
      <c r="A790" s="1257"/>
      <c r="B790" s="1257"/>
      <c r="C790" s="1257"/>
      <c r="D790" s="1257"/>
      <c r="E790" s="1257"/>
    </row>
    <row r="791">
      <c r="A791" s="1257"/>
      <c r="B791" s="1257"/>
      <c r="C791" s="1257"/>
      <c r="D791" s="1257"/>
      <c r="E791" s="1257"/>
    </row>
    <row r="792">
      <c r="A792" s="1257"/>
      <c r="B792" s="1257"/>
      <c r="C792" s="1257"/>
      <c r="D792" s="1257"/>
      <c r="E792" s="1257"/>
    </row>
    <row r="793">
      <c r="A793" s="1257"/>
      <c r="B793" s="1257"/>
      <c r="C793" s="1257"/>
      <c r="D793" s="1257"/>
      <c r="E793" s="1257"/>
    </row>
    <row r="794">
      <c r="A794" s="1257"/>
      <c r="B794" s="1257"/>
      <c r="C794" s="1257"/>
      <c r="D794" s="1257"/>
      <c r="E794" s="1257"/>
    </row>
    <row r="795">
      <c r="A795" s="1257"/>
      <c r="B795" s="1257"/>
      <c r="C795" s="1257"/>
      <c r="D795" s="1257"/>
      <c r="E795" s="1257"/>
    </row>
    <row r="796">
      <c r="A796" s="1257"/>
      <c r="B796" s="1257"/>
      <c r="C796" s="1257"/>
      <c r="D796" s="1257"/>
      <c r="E796" s="1257"/>
    </row>
    <row r="797">
      <c r="A797" s="1257"/>
      <c r="B797" s="1257"/>
      <c r="C797" s="1257"/>
      <c r="D797" s="1257"/>
      <c r="E797" s="1257"/>
    </row>
    <row r="798">
      <c r="A798" s="1257"/>
      <c r="B798" s="1257"/>
      <c r="C798" s="1257"/>
      <c r="D798" s="1257"/>
      <c r="E798" s="1257"/>
    </row>
    <row r="799">
      <c r="A799" s="1257"/>
      <c r="B799" s="1257"/>
      <c r="C799" s="1257"/>
      <c r="D799" s="1257"/>
      <c r="E799" s="1257"/>
    </row>
    <row r="800">
      <c r="A800" s="1257"/>
      <c r="B800" s="1257"/>
      <c r="C800" s="1257"/>
      <c r="D800" s="1257"/>
      <c r="E800" s="1257"/>
    </row>
    <row r="801">
      <c r="A801" s="1257"/>
      <c r="B801" s="1257"/>
      <c r="C801" s="1257"/>
      <c r="D801" s="1257"/>
      <c r="E801" s="1257"/>
    </row>
    <row r="802">
      <c r="A802" s="1257"/>
      <c r="B802" s="1257"/>
      <c r="C802" s="1257"/>
      <c r="D802" s="1257"/>
      <c r="E802" s="1257"/>
    </row>
    <row r="803">
      <c r="A803" s="1257"/>
      <c r="B803" s="1257"/>
      <c r="C803" s="1257"/>
      <c r="D803" s="1257"/>
      <c r="E803" s="1257"/>
    </row>
    <row r="804">
      <c r="A804" s="1257"/>
      <c r="B804" s="1257"/>
      <c r="C804" s="1257"/>
      <c r="D804" s="1257"/>
      <c r="E804" s="1257"/>
    </row>
    <row r="805">
      <c r="A805" s="1257"/>
      <c r="B805" s="1257"/>
      <c r="C805" s="1257"/>
      <c r="D805" s="1257"/>
      <c r="E805" s="1257"/>
    </row>
    <row r="806">
      <c r="A806" s="1257"/>
      <c r="B806" s="1257"/>
      <c r="C806" s="1257"/>
      <c r="D806" s="1257"/>
      <c r="E806" s="1257"/>
    </row>
    <row r="807">
      <c r="A807" s="1257"/>
      <c r="B807" s="1257"/>
      <c r="C807" s="1257"/>
      <c r="D807" s="1257"/>
      <c r="E807" s="1257"/>
    </row>
    <row r="808">
      <c r="A808" s="1257"/>
      <c r="B808" s="1257"/>
      <c r="C808" s="1257"/>
      <c r="D808" s="1257"/>
      <c r="E808" s="1257"/>
    </row>
    <row r="809">
      <c r="A809" s="1257"/>
      <c r="B809" s="1257"/>
      <c r="C809" s="1257"/>
      <c r="D809" s="1257"/>
      <c r="E809" s="1257"/>
    </row>
    <row r="810">
      <c r="A810" s="1257"/>
      <c r="B810" s="1257"/>
      <c r="C810" s="1257"/>
      <c r="D810" s="1257"/>
      <c r="E810" s="1257"/>
    </row>
    <row r="811">
      <c r="A811" s="1257"/>
      <c r="B811" s="1257"/>
      <c r="C811" s="1257"/>
      <c r="D811" s="1257"/>
      <c r="E811" s="1257"/>
    </row>
    <row r="812">
      <c r="A812" s="1257"/>
      <c r="B812" s="1257"/>
      <c r="C812" s="1257"/>
      <c r="D812" s="1257"/>
      <c r="E812" s="1257"/>
    </row>
    <row r="813">
      <c r="A813" s="1257"/>
      <c r="B813" s="1257"/>
      <c r="C813" s="1257"/>
      <c r="D813" s="1257"/>
      <c r="E813" s="1257"/>
    </row>
    <row r="814">
      <c r="A814" s="1257"/>
      <c r="B814" s="1257"/>
      <c r="C814" s="1257"/>
      <c r="D814" s="1257"/>
      <c r="E814" s="1257"/>
    </row>
    <row r="815">
      <c r="A815" s="1257"/>
      <c r="B815" s="1257"/>
      <c r="C815" s="1257"/>
      <c r="D815" s="1257"/>
      <c r="E815" s="1257"/>
    </row>
    <row r="816">
      <c r="A816" s="1257"/>
      <c r="B816" s="1257"/>
      <c r="C816" s="1257"/>
      <c r="D816" s="1257"/>
      <c r="E816" s="1257"/>
    </row>
    <row r="817">
      <c r="A817" s="1257"/>
      <c r="B817" s="1257"/>
      <c r="C817" s="1257"/>
      <c r="D817" s="1257"/>
      <c r="E817" s="1257"/>
    </row>
    <row r="818">
      <c r="A818" s="1257"/>
      <c r="B818" s="1257"/>
      <c r="C818" s="1257"/>
      <c r="D818" s="1257"/>
      <c r="E818" s="1257"/>
    </row>
    <row r="819">
      <c r="A819" s="1257"/>
      <c r="B819" s="1257"/>
      <c r="C819" s="1257"/>
      <c r="D819" s="1257"/>
      <c r="E819" s="1257"/>
    </row>
    <row r="820">
      <c r="A820" s="1257"/>
      <c r="B820" s="1257"/>
      <c r="C820" s="1257"/>
      <c r="D820" s="1257"/>
      <c r="E820" s="1257"/>
    </row>
    <row r="821">
      <c r="A821" s="1257"/>
      <c r="B821" s="1257"/>
      <c r="C821" s="1257"/>
      <c r="D821" s="1257"/>
      <c r="E821" s="1257"/>
    </row>
    <row r="822">
      <c r="A822" s="1257"/>
      <c r="B822" s="1257"/>
      <c r="C822" s="1257"/>
      <c r="D822" s="1257"/>
      <c r="E822" s="1257"/>
    </row>
    <row r="823">
      <c r="A823" s="1257"/>
      <c r="B823" s="1257"/>
      <c r="C823" s="1257"/>
      <c r="D823" s="1257"/>
      <c r="E823" s="1257"/>
    </row>
    <row r="824">
      <c r="A824" s="1257"/>
      <c r="B824" s="1257"/>
      <c r="C824" s="1257"/>
      <c r="D824" s="1257"/>
      <c r="E824" s="1257"/>
    </row>
    <row r="825">
      <c r="A825" s="1257"/>
      <c r="B825" s="1257"/>
      <c r="C825" s="1257"/>
      <c r="D825" s="1257"/>
      <c r="E825" s="1257"/>
    </row>
    <row r="826">
      <c r="A826" s="1257"/>
      <c r="B826" s="1257"/>
      <c r="C826" s="1257"/>
      <c r="D826" s="1257"/>
      <c r="E826" s="1257"/>
    </row>
    <row r="827">
      <c r="A827" s="1257"/>
      <c r="B827" s="1257"/>
      <c r="C827" s="1257"/>
      <c r="D827" s="1257"/>
      <c r="E827" s="1257"/>
    </row>
    <row r="828">
      <c r="A828" s="1257"/>
      <c r="B828" s="1257"/>
      <c r="C828" s="1257"/>
      <c r="D828" s="1257"/>
      <c r="E828" s="1257"/>
    </row>
    <row r="829">
      <c r="A829" s="1257"/>
      <c r="B829" s="1257"/>
      <c r="C829" s="1257"/>
      <c r="D829" s="1257"/>
      <c r="E829" s="1257"/>
    </row>
    <row r="830">
      <c r="A830" s="1257"/>
      <c r="B830" s="1257"/>
      <c r="C830" s="1257"/>
      <c r="D830" s="1257"/>
      <c r="E830" s="1257"/>
    </row>
    <row r="831">
      <c r="A831" s="1257"/>
      <c r="B831" s="1257"/>
      <c r="C831" s="1257"/>
      <c r="D831" s="1257"/>
      <c r="E831" s="1257"/>
    </row>
    <row r="832">
      <c r="A832" s="1257"/>
      <c r="B832" s="1257"/>
      <c r="C832" s="1257"/>
      <c r="D832" s="1257"/>
      <c r="E832" s="1257"/>
    </row>
    <row r="833">
      <c r="A833" s="1257"/>
      <c r="B833" s="1257"/>
      <c r="C833" s="1257"/>
      <c r="D833" s="1257"/>
      <c r="E833" s="1257"/>
    </row>
    <row r="834">
      <c r="A834" s="1257"/>
      <c r="B834" s="1257"/>
      <c r="C834" s="1257"/>
      <c r="D834" s="1257"/>
      <c r="E834" s="1257"/>
    </row>
    <row r="835">
      <c r="A835" s="1257"/>
      <c r="B835" s="1257"/>
      <c r="C835" s="1257"/>
      <c r="D835" s="1257"/>
      <c r="E835" s="1257"/>
    </row>
    <row r="836">
      <c r="A836" s="1257"/>
      <c r="B836" s="1257"/>
      <c r="C836" s="1257"/>
      <c r="D836" s="1257"/>
      <c r="E836" s="1257"/>
    </row>
    <row r="837">
      <c r="A837" s="1257"/>
      <c r="B837" s="1257"/>
      <c r="C837" s="1257"/>
      <c r="D837" s="1257"/>
      <c r="E837" s="1257"/>
    </row>
    <row r="838">
      <c r="A838" s="1257"/>
      <c r="B838" s="1257"/>
      <c r="C838" s="1257"/>
      <c r="D838" s="1257"/>
      <c r="E838" s="1257"/>
    </row>
    <row r="839">
      <c r="A839" s="1257"/>
      <c r="B839" s="1257"/>
      <c r="C839" s="1257"/>
      <c r="D839" s="1257"/>
      <c r="E839" s="1257"/>
    </row>
    <row r="840">
      <c r="A840" s="1257"/>
      <c r="B840" s="1257"/>
      <c r="C840" s="1257"/>
      <c r="D840" s="1257"/>
      <c r="E840" s="1257"/>
    </row>
    <row r="841">
      <c r="A841" s="1257"/>
      <c r="B841" s="1257"/>
      <c r="C841" s="1257"/>
      <c r="D841" s="1257"/>
      <c r="E841" s="1257"/>
    </row>
    <row r="842">
      <c r="A842" s="1257"/>
      <c r="B842" s="1257"/>
      <c r="C842" s="1257"/>
      <c r="D842" s="1257"/>
      <c r="E842" s="1257"/>
    </row>
    <row r="843">
      <c r="A843" s="1257"/>
      <c r="B843" s="1257"/>
      <c r="C843" s="1257"/>
      <c r="D843" s="1257"/>
      <c r="E843" s="1257"/>
    </row>
    <row r="844">
      <c r="A844" s="1257"/>
      <c r="B844" s="1257"/>
      <c r="C844" s="1257"/>
      <c r="D844" s="1257"/>
      <c r="E844" s="1257"/>
    </row>
    <row r="845">
      <c r="A845" s="1257"/>
      <c r="B845" s="1257"/>
      <c r="C845" s="1257"/>
      <c r="D845" s="1257"/>
      <c r="E845" s="1257"/>
    </row>
    <row r="846">
      <c r="A846" s="1257"/>
      <c r="B846" s="1257"/>
      <c r="C846" s="1257"/>
      <c r="D846" s="1257"/>
      <c r="E846" s="1257"/>
    </row>
    <row r="847">
      <c r="A847" s="1257"/>
      <c r="B847" s="1257"/>
      <c r="C847" s="1257"/>
      <c r="D847" s="1257"/>
      <c r="E847" s="1257"/>
    </row>
    <row r="848">
      <c r="A848" s="1257"/>
      <c r="B848" s="1257"/>
      <c r="C848" s="1257"/>
      <c r="D848" s="1257"/>
      <c r="E848" s="1257"/>
    </row>
    <row r="849">
      <c r="A849" s="1257"/>
      <c r="B849" s="1257"/>
      <c r="C849" s="1257"/>
      <c r="D849" s="1257"/>
      <c r="E849" s="1257"/>
    </row>
    <row r="850">
      <c r="A850" s="1257"/>
      <c r="B850" s="1257"/>
      <c r="C850" s="1257"/>
      <c r="D850" s="1257"/>
      <c r="E850" s="1257"/>
    </row>
    <row r="851">
      <c r="A851" s="1257"/>
      <c r="B851" s="1257"/>
      <c r="C851" s="1257"/>
      <c r="D851" s="1257"/>
      <c r="E851" s="1257"/>
    </row>
    <row r="852">
      <c r="A852" s="1257"/>
      <c r="B852" s="1257"/>
      <c r="C852" s="1257"/>
      <c r="D852" s="1257"/>
      <c r="E852" s="1257"/>
    </row>
    <row r="853">
      <c r="A853" s="1257"/>
      <c r="B853" s="1257"/>
      <c r="C853" s="1257"/>
      <c r="D853" s="1257"/>
      <c r="E853" s="1257"/>
    </row>
    <row r="854">
      <c r="A854" s="1257"/>
      <c r="B854" s="1257"/>
      <c r="C854" s="1257"/>
      <c r="D854" s="1257"/>
      <c r="E854" s="1257"/>
    </row>
    <row r="855">
      <c r="A855" s="1257"/>
      <c r="B855" s="1257"/>
      <c r="C855" s="1257"/>
      <c r="D855" s="1257"/>
      <c r="E855" s="1257"/>
    </row>
    <row r="856">
      <c r="A856" s="1257"/>
      <c r="B856" s="1257"/>
      <c r="C856" s="1257"/>
      <c r="D856" s="1257"/>
      <c r="E856" s="1257"/>
    </row>
    <row r="857">
      <c r="A857" s="1257"/>
      <c r="B857" s="1257"/>
      <c r="C857" s="1257"/>
      <c r="D857" s="1257"/>
      <c r="E857" s="1257"/>
    </row>
    <row r="858">
      <c r="A858" s="1257"/>
      <c r="B858" s="1257"/>
      <c r="C858" s="1257"/>
      <c r="D858" s="1257"/>
      <c r="E858" s="1257"/>
    </row>
    <row r="859">
      <c r="A859" s="1257"/>
      <c r="B859" s="1257"/>
      <c r="C859" s="1257"/>
      <c r="D859" s="1257"/>
      <c r="E859" s="1257"/>
    </row>
    <row r="860">
      <c r="A860" s="1257"/>
      <c r="B860" s="1257"/>
      <c r="C860" s="1257"/>
      <c r="D860" s="1257"/>
      <c r="E860" s="1257"/>
    </row>
    <row r="861">
      <c r="A861" s="1257"/>
      <c r="B861" s="1257"/>
      <c r="C861" s="1257"/>
      <c r="D861" s="1257"/>
      <c r="E861" s="1257"/>
    </row>
    <row r="862">
      <c r="A862" s="1257"/>
      <c r="B862" s="1257"/>
      <c r="C862" s="1257"/>
      <c r="D862" s="1257"/>
      <c r="E862" s="1257"/>
    </row>
    <row r="863">
      <c r="A863" s="1257"/>
      <c r="B863" s="1257"/>
      <c r="C863" s="1257"/>
      <c r="D863" s="1257"/>
      <c r="E863" s="1257"/>
    </row>
    <row r="864">
      <c r="A864" s="1257"/>
      <c r="B864" s="1257"/>
      <c r="C864" s="1257"/>
      <c r="D864" s="1257"/>
      <c r="E864" s="1257"/>
    </row>
    <row r="865">
      <c r="A865" s="1257"/>
      <c r="B865" s="1257"/>
      <c r="C865" s="1257"/>
      <c r="D865" s="1257"/>
      <c r="E865" s="1257"/>
    </row>
    <row r="866">
      <c r="A866" s="1257"/>
      <c r="B866" s="1257"/>
      <c r="C866" s="1257"/>
      <c r="D866" s="1257"/>
      <c r="E866" s="1257"/>
    </row>
    <row r="867">
      <c r="A867" s="1257"/>
      <c r="B867" s="1257"/>
      <c r="C867" s="1257"/>
      <c r="D867" s="1257"/>
      <c r="E867" s="1257"/>
    </row>
    <row r="868">
      <c r="A868" s="1257"/>
      <c r="B868" s="1257"/>
      <c r="C868" s="1257"/>
      <c r="D868" s="1257"/>
      <c r="E868" s="1257"/>
    </row>
    <row r="869">
      <c r="A869" s="1257"/>
      <c r="B869" s="1257"/>
      <c r="C869" s="1257"/>
      <c r="D869" s="1257"/>
      <c r="E869" s="1257"/>
    </row>
    <row r="870">
      <c r="A870" s="1257"/>
      <c r="B870" s="1257"/>
      <c r="C870" s="1257"/>
      <c r="D870" s="1257"/>
      <c r="E870" s="1257"/>
    </row>
    <row r="871">
      <c r="A871" s="1257"/>
      <c r="B871" s="1257"/>
      <c r="C871" s="1257"/>
      <c r="D871" s="1257"/>
      <c r="E871" s="1257"/>
    </row>
    <row r="872">
      <c r="A872" s="1257"/>
      <c r="B872" s="1257"/>
      <c r="C872" s="1257"/>
      <c r="D872" s="1257"/>
      <c r="E872" s="1257"/>
    </row>
    <row r="873">
      <c r="A873" s="1257"/>
      <c r="B873" s="1257"/>
      <c r="C873" s="1257"/>
      <c r="D873" s="1257"/>
      <c r="E873" s="1257"/>
    </row>
    <row r="874">
      <c r="A874" s="1257"/>
      <c r="B874" s="1257"/>
      <c r="C874" s="1257"/>
      <c r="D874" s="1257"/>
      <c r="E874" s="1257"/>
    </row>
    <row r="875">
      <c r="A875" s="1257"/>
      <c r="B875" s="1257"/>
      <c r="C875" s="1257"/>
      <c r="D875" s="1257"/>
      <c r="E875" s="1257"/>
    </row>
    <row r="876">
      <c r="A876" s="1257"/>
      <c r="B876" s="1257"/>
      <c r="C876" s="1257"/>
      <c r="D876" s="1257"/>
      <c r="E876" s="1257"/>
    </row>
    <row r="877">
      <c r="A877" s="1257"/>
      <c r="B877" s="1257"/>
      <c r="C877" s="1257"/>
      <c r="D877" s="1257"/>
      <c r="E877" s="1257"/>
    </row>
    <row r="878">
      <c r="A878" s="1257"/>
      <c r="B878" s="1257"/>
      <c r="C878" s="1257"/>
      <c r="D878" s="1257"/>
      <c r="E878" s="1257"/>
    </row>
    <row r="879">
      <c r="A879" s="1257"/>
      <c r="B879" s="1257"/>
      <c r="C879" s="1257"/>
      <c r="D879" s="1257"/>
      <c r="E879" s="1257"/>
    </row>
    <row r="880">
      <c r="A880" s="1257"/>
      <c r="B880" s="1257"/>
      <c r="C880" s="1257"/>
      <c r="D880" s="1257"/>
      <c r="E880" s="1257"/>
    </row>
    <row r="881">
      <c r="A881" s="1257"/>
      <c r="B881" s="1257"/>
      <c r="C881" s="1257"/>
      <c r="D881" s="1257"/>
      <c r="E881" s="1257"/>
    </row>
    <row r="882">
      <c r="A882" s="1257"/>
      <c r="B882" s="1257"/>
      <c r="C882" s="1257"/>
      <c r="D882" s="1257"/>
      <c r="E882" s="1257"/>
    </row>
    <row r="883">
      <c r="A883" s="1257"/>
      <c r="B883" s="1257"/>
      <c r="C883" s="1257"/>
      <c r="D883" s="1257"/>
      <c r="E883" s="1257"/>
    </row>
    <row r="884">
      <c r="A884" s="1257"/>
      <c r="B884" s="1257"/>
      <c r="C884" s="1257"/>
      <c r="D884" s="1257"/>
      <c r="E884" s="1257"/>
    </row>
    <row r="885">
      <c r="A885" s="1257"/>
      <c r="B885" s="1257"/>
      <c r="C885" s="1257"/>
      <c r="D885" s="1257"/>
      <c r="E885" s="1257"/>
    </row>
    <row r="886">
      <c r="A886" s="1257"/>
      <c r="B886" s="1257"/>
      <c r="C886" s="1257"/>
      <c r="D886" s="1257"/>
      <c r="E886" s="1257"/>
    </row>
    <row r="887">
      <c r="A887" s="1257"/>
      <c r="B887" s="1257"/>
      <c r="C887" s="1257"/>
      <c r="D887" s="1257"/>
      <c r="E887" s="1257"/>
    </row>
    <row r="888">
      <c r="A888" s="1257"/>
      <c r="B888" s="1257"/>
      <c r="C888" s="1257"/>
      <c r="D888" s="1257"/>
      <c r="E888" s="1257"/>
    </row>
    <row r="889">
      <c r="A889" s="1257"/>
      <c r="B889" s="1257"/>
      <c r="C889" s="1257"/>
      <c r="D889" s="1257"/>
      <c r="E889" s="1257"/>
    </row>
    <row r="890">
      <c r="A890" s="1257"/>
      <c r="B890" s="1257"/>
      <c r="C890" s="1257"/>
      <c r="D890" s="1257"/>
      <c r="E890" s="1257"/>
    </row>
    <row r="891">
      <c r="A891" s="1257"/>
      <c r="B891" s="1257"/>
      <c r="C891" s="1257"/>
      <c r="D891" s="1257"/>
      <c r="E891" s="1257"/>
    </row>
    <row r="892">
      <c r="A892" s="1257"/>
      <c r="B892" s="1257"/>
      <c r="C892" s="1257"/>
      <c r="D892" s="1257"/>
      <c r="E892" s="1257"/>
    </row>
    <row r="893">
      <c r="A893" s="1257"/>
      <c r="B893" s="1257"/>
      <c r="C893" s="1257"/>
      <c r="D893" s="1257"/>
      <c r="E893" s="1257"/>
    </row>
    <row r="894">
      <c r="A894" s="1257"/>
      <c r="B894" s="1257"/>
      <c r="C894" s="1257"/>
      <c r="D894" s="1257"/>
      <c r="E894" s="1257"/>
    </row>
    <row r="895">
      <c r="A895" s="1257"/>
      <c r="B895" s="1257"/>
      <c r="C895" s="1257"/>
      <c r="D895" s="1257"/>
      <c r="E895" s="1257"/>
    </row>
    <row r="896">
      <c r="A896" s="1257"/>
      <c r="B896" s="1257"/>
      <c r="C896" s="1257"/>
      <c r="D896" s="1257"/>
      <c r="E896" s="1257"/>
    </row>
    <row r="897">
      <c r="A897" s="1257"/>
      <c r="B897" s="1257"/>
      <c r="C897" s="1257"/>
      <c r="D897" s="1257"/>
      <c r="E897" s="1257"/>
    </row>
    <row r="898">
      <c r="A898" s="1257"/>
      <c r="B898" s="1257"/>
      <c r="C898" s="1257"/>
      <c r="D898" s="1257"/>
      <c r="E898" s="1257"/>
    </row>
    <row r="899">
      <c r="A899" s="1257"/>
      <c r="B899" s="1257"/>
      <c r="C899" s="1257"/>
      <c r="D899" s="1257"/>
      <c r="E899" s="1257"/>
    </row>
    <row r="900">
      <c r="A900" s="1257"/>
      <c r="B900" s="1257"/>
      <c r="C900" s="1257"/>
      <c r="D900" s="1257"/>
      <c r="E900" s="1257"/>
    </row>
    <row r="901">
      <c r="A901" s="1257"/>
      <c r="B901" s="1257"/>
      <c r="C901" s="1257"/>
      <c r="D901" s="1257"/>
      <c r="E901" s="1257"/>
    </row>
    <row r="902">
      <c r="A902" s="1257"/>
      <c r="B902" s="1257"/>
      <c r="C902" s="1257"/>
      <c r="D902" s="1257"/>
      <c r="E902" s="1257"/>
    </row>
    <row r="903">
      <c r="A903" s="1257"/>
      <c r="B903" s="1257"/>
      <c r="C903" s="1257"/>
      <c r="D903" s="1257"/>
      <c r="E903" s="1257"/>
    </row>
    <row r="904">
      <c r="A904" s="1257"/>
      <c r="B904" s="1257"/>
      <c r="C904" s="1257"/>
      <c r="D904" s="1257"/>
      <c r="E904" s="1257"/>
    </row>
    <row r="905">
      <c r="A905" s="1257"/>
      <c r="B905" s="1257"/>
      <c r="C905" s="1257"/>
      <c r="D905" s="1257"/>
      <c r="E905" s="1257"/>
    </row>
    <row r="906">
      <c r="A906" s="1257"/>
      <c r="B906" s="1257"/>
      <c r="C906" s="1257"/>
      <c r="D906" s="1257"/>
      <c r="E906" s="1257"/>
    </row>
    <row r="907">
      <c r="A907" s="1257"/>
      <c r="B907" s="1257"/>
      <c r="C907" s="1257"/>
      <c r="D907" s="1257"/>
      <c r="E907" s="1257"/>
    </row>
    <row r="908">
      <c r="A908" s="1257"/>
      <c r="B908" s="1257"/>
      <c r="C908" s="1257"/>
      <c r="D908" s="1257"/>
      <c r="E908" s="1257"/>
    </row>
    <row r="909">
      <c r="A909" s="1257"/>
      <c r="B909" s="1257"/>
      <c r="C909" s="1257"/>
      <c r="D909" s="1257"/>
      <c r="E909" s="1257"/>
    </row>
    <row r="910">
      <c r="A910" s="1257"/>
      <c r="B910" s="1257"/>
      <c r="C910" s="1257"/>
      <c r="D910" s="1257"/>
      <c r="E910" s="1257"/>
    </row>
    <row r="911">
      <c r="A911" s="1257"/>
      <c r="B911" s="1257"/>
      <c r="C911" s="1257"/>
      <c r="D911" s="1257"/>
      <c r="E911" s="1257"/>
    </row>
    <row r="912">
      <c r="A912" s="1257"/>
      <c r="B912" s="1257"/>
      <c r="C912" s="1257"/>
      <c r="D912" s="1257"/>
      <c r="E912" s="1257"/>
    </row>
    <row r="913">
      <c r="A913" s="1257"/>
      <c r="B913" s="1257"/>
      <c r="C913" s="1257"/>
      <c r="D913" s="1257"/>
      <c r="E913" s="1257"/>
    </row>
    <row r="914">
      <c r="A914" s="1257"/>
      <c r="B914" s="1257"/>
      <c r="C914" s="1257"/>
      <c r="D914" s="1257"/>
      <c r="E914" s="1257"/>
    </row>
    <row r="915">
      <c r="A915" s="1257"/>
      <c r="B915" s="1257"/>
      <c r="C915" s="1257"/>
      <c r="D915" s="1257"/>
      <c r="E915" s="1257"/>
    </row>
    <row r="916">
      <c r="A916" s="1257"/>
      <c r="B916" s="1257"/>
      <c r="C916" s="1257"/>
      <c r="D916" s="1257"/>
      <c r="E916" s="1257"/>
    </row>
    <row r="917">
      <c r="A917" s="1257"/>
      <c r="B917" s="1257"/>
      <c r="C917" s="1257"/>
      <c r="D917" s="1257"/>
      <c r="E917" s="1257"/>
    </row>
    <row r="918">
      <c r="A918" s="1257"/>
      <c r="B918" s="1257"/>
      <c r="C918" s="1257"/>
      <c r="D918" s="1257"/>
      <c r="E918" s="1257"/>
    </row>
    <row r="919">
      <c r="A919" s="1257"/>
      <c r="B919" s="1257"/>
      <c r="C919" s="1257"/>
      <c r="D919" s="1257"/>
      <c r="E919" s="1257"/>
    </row>
    <row r="920">
      <c r="A920" s="1257"/>
      <c r="B920" s="1257"/>
      <c r="C920" s="1257"/>
      <c r="D920" s="1257"/>
      <c r="E920" s="1257"/>
    </row>
    <row r="921">
      <c r="A921" s="1257"/>
      <c r="B921" s="1257"/>
      <c r="C921" s="1257"/>
      <c r="D921" s="1257"/>
      <c r="E921" s="1257"/>
    </row>
    <row r="922">
      <c r="A922" s="1257"/>
      <c r="B922" s="1257"/>
      <c r="C922" s="1257"/>
      <c r="D922" s="1257"/>
      <c r="E922" s="1257"/>
    </row>
    <row r="923">
      <c r="A923" s="1257"/>
      <c r="B923" s="1257"/>
      <c r="C923" s="1257"/>
      <c r="D923" s="1257"/>
      <c r="E923" s="1257"/>
    </row>
    <row r="924">
      <c r="A924" s="1257"/>
      <c r="B924" s="1257"/>
      <c r="C924" s="1257"/>
      <c r="D924" s="1257"/>
      <c r="E924" s="1257"/>
    </row>
    <row r="925">
      <c r="A925" s="1257"/>
      <c r="B925" s="1257"/>
      <c r="C925" s="1257"/>
      <c r="D925" s="1257"/>
      <c r="E925" s="1257"/>
    </row>
    <row r="926">
      <c r="A926" s="1257"/>
      <c r="B926" s="1257"/>
      <c r="C926" s="1257"/>
      <c r="D926" s="1257"/>
      <c r="E926" s="1257"/>
    </row>
    <row r="927">
      <c r="A927" s="1257"/>
      <c r="B927" s="1257"/>
      <c r="C927" s="1257"/>
      <c r="D927" s="1257"/>
      <c r="E927" s="1257"/>
    </row>
    <row r="928">
      <c r="A928" s="1257"/>
      <c r="B928" s="1257"/>
      <c r="C928" s="1257"/>
      <c r="D928" s="1257"/>
      <c r="E928" s="1257"/>
    </row>
    <row r="929">
      <c r="A929" s="1257"/>
      <c r="B929" s="1257"/>
      <c r="C929" s="1257"/>
      <c r="D929" s="1257"/>
      <c r="E929" s="1257"/>
    </row>
    <row r="930">
      <c r="A930" s="1257"/>
      <c r="B930" s="1257"/>
      <c r="C930" s="1257"/>
      <c r="D930" s="1257"/>
      <c r="E930" s="1257"/>
    </row>
    <row r="931">
      <c r="A931" s="1257"/>
      <c r="B931" s="1257"/>
      <c r="C931" s="1257"/>
      <c r="D931" s="1257"/>
      <c r="E931" s="1257"/>
    </row>
    <row r="932">
      <c r="A932" s="1257"/>
      <c r="B932" s="1257"/>
      <c r="C932" s="1257"/>
      <c r="D932" s="1257"/>
      <c r="E932" s="1257"/>
    </row>
    <row r="933">
      <c r="A933" s="1257"/>
      <c r="B933" s="1257"/>
      <c r="C933" s="1257"/>
      <c r="D933" s="1257"/>
      <c r="E933" s="1257"/>
    </row>
    <row r="934">
      <c r="A934" s="1257"/>
      <c r="B934" s="1257"/>
      <c r="C934" s="1257"/>
      <c r="D934" s="1257"/>
      <c r="E934" s="1257"/>
    </row>
    <row r="935">
      <c r="A935" s="1257"/>
      <c r="B935" s="1257"/>
      <c r="C935" s="1257"/>
      <c r="D935" s="1257"/>
      <c r="E935" s="1257"/>
    </row>
    <row r="936">
      <c r="A936" s="1257"/>
      <c r="B936" s="1257"/>
      <c r="C936" s="1257"/>
      <c r="D936" s="1257"/>
      <c r="E936" s="1257"/>
    </row>
    <row r="937">
      <c r="A937" s="1257"/>
      <c r="B937" s="1257"/>
      <c r="C937" s="1257"/>
      <c r="D937" s="1257"/>
      <c r="E937" s="1257"/>
    </row>
    <row r="938">
      <c r="A938" s="1257"/>
      <c r="B938" s="1257"/>
      <c r="C938" s="1257"/>
      <c r="D938" s="1257"/>
      <c r="E938" s="1257"/>
    </row>
    <row r="939">
      <c r="A939" s="1257"/>
      <c r="B939" s="1257"/>
      <c r="C939" s="1257"/>
      <c r="D939" s="1257"/>
      <c r="E939" s="1257"/>
    </row>
    <row r="940">
      <c r="A940" s="1257"/>
      <c r="B940" s="1257"/>
      <c r="C940" s="1257"/>
      <c r="D940" s="1257"/>
      <c r="E940" s="1257"/>
    </row>
    <row r="941">
      <c r="A941" s="1257"/>
      <c r="B941" s="1257"/>
      <c r="C941" s="1257"/>
      <c r="D941" s="1257"/>
      <c r="E941" s="1257"/>
    </row>
    <row r="942">
      <c r="A942" s="1257"/>
      <c r="B942" s="1257"/>
      <c r="C942" s="1257"/>
      <c r="D942" s="1257"/>
      <c r="E942" s="1257"/>
    </row>
    <row r="943">
      <c r="A943" s="1257"/>
      <c r="B943" s="1257"/>
      <c r="C943" s="1257"/>
      <c r="D943" s="1257"/>
      <c r="E943" s="1257"/>
    </row>
    <row r="944">
      <c r="A944" s="1257"/>
      <c r="B944" s="1257"/>
      <c r="C944" s="1257"/>
      <c r="D944" s="1257"/>
      <c r="E944" s="1257"/>
    </row>
    <row r="945">
      <c r="A945" s="1257"/>
      <c r="B945" s="1257"/>
      <c r="C945" s="1257"/>
      <c r="D945" s="1257"/>
      <c r="E945" s="1257"/>
    </row>
    <row r="946">
      <c r="A946" s="1257"/>
      <c r="B946" s="1257"/>
      <c r="C946" s="1257"/>
      <c r="D946" s="1257"/>
      <c r="E946" s="1257"/>
    </row>
    <row r="947">
      <c r="A947" s="1257"/>
      <c r="B947" s="1257"/>
      <c r="C947" s="1257"/>
      <c r="D947" s="1257"/>
      <c r="E947" s="1257"/>
    </row>
    <row r="948">
      <c r="A948" s="1257"/>
      <c r="B948" s="1257"/>
      <c r="C948" s="1257"/>
      <c r="D948" s="1257"/>
      <c r="E948" s="1257"/>
    </row>
    <row r="949">
      <c r="A949" s="1257"/>
      <c r="B949" s="1257"/>
      <c r="C949" s="1257"/>
      <c r="D949" s="1257"/>
      <c r="E949" s="1257"/>
    </row>
    <row r="950">
      <c r="A950" s="1257"/>
      <c r="B950" s="1257"/>
      <c r="C950" s="1257"/>
      <c r="D950" s="1257"/>
      <c r="E950" s="1257"/>
    </row>
    <row r="951">
      <c r="A951" s="1257"/>
      <c r="B951" s="1257"/>
      <c r="C951" s="1257"/>
      <c r="D951" s="1257"/>
      <c r="E951" s="1257"/>
    </row>
    <row r="952">
      <c r="A952" s="1257"/>
      <c r="B952" s="1257"/>
      <c r="C952" s="1257"/>
      <c r="D952" s="1257"/>
      <c r="E952" s="1257"/>
    </row>
    <row r="953">
      <c r="A953" s="1257"/>
      <c r="B953" s="1257"/>
      <c r="C953" s="1257"/>
      <c r="D953" s="1257"/>
      <c r="E953" s="1257"/>
    </row>
    <row r="954">
      <c r="A954" s="1257"/>
      <c r="B954" s="1257"/>
      <c r="C954" s="1257"/>
      <c r="D954" s="1257"/>
      <c r="E954" s="1257"/>
    </row>
    <row r="955">
      <c r="A955" s="1257"/>
      <c r="B955" s="1257"/>
      <c r="C955" s="1257"/>
      <c r="D955" s="1257"/>
      <c r="E955" s="1257"/>
    </row>
    <row r="956">
      <c r="A956" s="1257"/>
      <c r="B956" s="1257"/>
      <c r="C956" s="1257"/>
      <c r="D956" s="1257"/>
      <c r="E956" s="1257"/>
    </row>
    <row r="957">
      <c r="A957" s="1257"/>
      <c r="B957" s="1257"/>
      <c r="C957" s="1257"/>
      <c r="D957" s="1257"/>
      <c r="E957" s="1257"/>
    </row>
    <row r="958">
      <c r="A958" s="1257"/>
      <c r="B958" s="1257"/>
      <c r="C958" s="1257"/>
      <c r="D958" s="1257"/>
      <c r="E958" s="1257"/>
    </row>
    <row r="959">
      <c r="A959" s="1257"/>
      <c r="B959" s="1257"/>
      <c r="C959" s="1257"/>
      <c r="D959" s="1257"/>
      <c r="E959" s="1257"/>
    </row>
    <row r="960">
      <c r="A960" s="1257"/>
      <c r="B960" s="1257"/>
      <c r="C960" s="1257"/>
      <c r="D960" s="1257"/>
      <c r="E960" s="1257"/>
    </row>
    <row r="961">
      <c r="A961" s="1257"/>
      <c r="B961" s="1257"/>
      <c r="C961" s="1257"/>
      <c r="D961" s="1257"/>
      <c r="E961" s="1257"/>
    </row>
    <row r="962">
      <c r="A962" s="1257"/>
      <c r="B962" s="1257"/>
      <c r="C962" s="1257"/>
      <c r="D962" s="1257"/>
      <c r="E962" s="1257"/>
    </row>
    <row r="963">
      <c r="A963" s="1257"/>
      <c r="B963" s="1257"/>
      <c r="C963" s="1257"/>
      <c r="D963" s="1257"/>
      <c r="E963" s="1257"/>
    </row>
    <row r="964">
      <c r="A964" s="1257"/>
      <c r="B964" s="1257"/>
      <c r="C964" s="1257"/>
      <c r="D964" s="1257"/>
      <c r="E964" s="1257"/>
    </row>
    <row r="965">
      <c r="A965" s="1257"/>
      <c r="B965" s="1257"/>
      <c r="C965" s="1257"/>
      <c r="D965" s="1257"/>
      <c r="E965" s="1257"/>
    </row>
    <row r="966">
      <c r="A966" s="1257"/>
      <c r="B966" s="1257"/>
      <c r="C966" s="1257"/>
      <c r="D966" s="1257"/>
      <c r="E966" s="1257"/>
    </row>
    <row r="967">
      <c r="A967" s="1257"/>
      <c r="B967" s="1257"/>
      <c r="C967" s="1257"/>
      <c r="D967" s="1257"/>
      <c r="E967" s="1257"/>
    </row>
    <row r="968">
      <c r="A968" s="1257"/>
      <c r="B968" s="1257"/>
      <c r="C968" s="1257"/>
      <c r="D968" s="1257"/>
      <c r="E968" s="1257"/>
    </row>
    <row r="969">
      <c r="A969" s="1257"/>
      <c r="B969" s="1257"/>
      <c r="C969" s="1257"/>
      <c r="D969" s="1257"/>
      <c r="E969" s="1257"/>
    </row>
    <row r="970">
      <c r="A970" s="1257"/>
      <c r="B970" s="1257"/>
      <c r="C970" s="1257"/>
      <c r="D970" s="1257"/>
      <c r="E970" s="1257"/>
    </row>
    <row r="971">
      <c r="A971" s="1257"/>
      <c r="B971" s="1257"/>
      <c r="C971" s="1257"/>
      <c r="D971" s="1257"/>
      <c r="E971" s="1257"/>
    </row>
    <row r="972">
      <c r="A972" s="1257"/>
      <c r="B972" s="1257"/>
      <c r="C972" s="1257"/>
      <c r="D972" s="1257"/>
      <c r="E972" s="1257"/>
    </row>
    <row r="973">
      <c r="A973" s="1257"/>
      <c r="B973" s="1257"/>
      <c r="C973" s="1257"/>
      <c r="D973" s="1257"/>
      <c r="E973" s="1257"/>
    </row>
    <row r="974">
      <c r="A974" s="1257"/>
      <c r="B974" s="1257"/>
      <c r="C974" s="1257"/>
      <c r="D974" s="1257"/>
      <c r="E974" s="1257"/>
    </row>
    <row r="975">
      <c r="A975" s="1257"/>
      <c r="B975" s="1257"/>
      <c r="C975" s="1257"/>
      <c r="D975" s="1257"/>
      <c r="E975" s="1257"/>
    </row>
    <row r="976">
      <c r="A976" s="1257"/>
      <c r="B976" s="1257"/>
      <c r="C976" s="1257"/>
      <c r="D976" s="1257"/>
      <c r="E976" s="1257"/>
    </row>
    <row r="977">
      <c r="A977" s="1257"/>
      <c r="B977" s="1257"/>
      <c r="C977" s="1257"/>
      <c r="D977" s="1257"/>
      <c r="E977" s="1257"/>
    </row>
    <row r="978">
      <c r="A978" s="1257"/>
      <c r="B978" s="1257"/>
      <c r="C978" s="1257"/>
      <c r="D978" s="1257"/>
      <c r="E978" s="1257"/>
    </row>
    <row r="979">
      <c r="A979" s="1257"/>
      <c r="B979" s="1257"/>
      <c r="C979" s="1257"/>
      <c r="D979" s="1257"/>
      <c r="E979" s="1257"/>
    </row>
    <row r="980">
      <c r="A980" s="1257"/>
      <c r="B980" s="1257"/>
      <c r="C980" s="1257"/>
      <c r="D980" s="1257"/>
      <c r="E980" s="1257"/>
    </row>
    <row r="981">
      <c r="A981" s="1257"/>
      <c r="B981" s="1257"/>
      <c r="C981" s="1257"/>
      <c r="D981" s="1257"/>
      <c r="E981" s="1257"/>
    </row>
    <row r="982">
      <c r="A982" s="1257"/>
      <c r="B982" s="1257"/>
      <c r="C982" s="1257"/>
      <c r="D982" s="1257"/>
      <c r="E982" s="1257"/>
    </row>
    <row r="983">
      <c r="A983" s="1257"/>
      <c r="B983" s="1257"/>
      <c r="C983" s="1257"/>
      <c r="D983" s="1257"/>
      <c r="E983" s="1257"/>
    </row>
    <row r="984">
      <c r="A984" s="1257"/>
      <c r="B984" s="1257"/>
      <c r="C984" s="1257"/>
      <c r="D984" s="1257"/>
      <c r="E984" s="1257"/>
    </row>
    <row r="985">
      <c r="A985" s="1257"/>
      <c r="B985" s="1257"/>
      <c r="C985" s="1257"/>
      <c r="D985" s="1257"/>
      <c r="E985" s="1257"/>
    </row>
    <row r="986">
      <c r="A986" s="1257"/>
      <c r="B986" s="1257"/>
      <c r="C986" s="1257"/>
      <c r="D986" s="1257"/>
      <c r="E986" s="1257"/>
    </row>
    <row r="987">
      <c r="A987" s="1257"/>
      <c r="B987" s="1257"/>
      <c r="C987" s="1257"/>
      <c r="D987" s="1257"/>
      <c r="E987" s="1257"/>
    </row>
    <row r="988">
      <c r="A988" s="1257"/>
      <c r="B988" s="1257"/>
      <c r="C988" s="1257"/>
      <c r="D988" s="1257"/>
      <c r="E988" s="1257"/>
    </row>
    <row r="989">
      <c r="A989" s="1257"/>
      <c r="B989" s="1257"/>
      <c r="C989" s="1257"/>
      <c r="D989" s="1257"/>
      <c r="E989" s="1257"/>
    </row>
    <row r="990">
      <c r="A990" s="1257"/>
      <c r="B990" s="1257"/>
      <c r="C990" s="1257"/>
      <c r="D990" s="1257"/>
      <c r="E990" s="1257"/>
    </row>
    <row r="991">
      <c r="A991" s="1257"/>
      <c r="B991" s="1257"/>
      <c r="C991" s="1257"/>
      <c r="D991" s="1257"/>
      <c r="E991" s="1257"/>
    </row>
    <row r="992">
      <c r="A992" s="1257"/>
      <c r="B992" s="1257"/>
      <c r="C992" s="1257"/>
      <c r="D992" s="1257"/>
      <c r="E992" s="1257"/>
    </row>
    <row r="993">
      <c r="A993" s="1257"/>
      <c r="B993" s="1257"/>
      <c r="C993" s="1257"/>
      <c r="D993" s="1257"/>
      <c r="E993" s="1257"/>
    </row>
    <row r="994">
      <c r="A994" s="1257"/>
      <c r="B994" s="1257"/>
      <c r="C994" s="1257"/>
      <c r="D994" s="1257"/>
      <c r="E994" s="1257"/>
    </row>
    <row r="995">
      <c r="A995" s="1257"/>
      <c r="B995" s="1257"/>
      <c r="C995" s="1257"/>
      <c r="D995" s="1257"/>
      <c r="E995" s="1257"/>
    </row>
    <row r="996">
      <c r="A996" s="1257"/>
      <c r="B996" s="1257"/>
      <c r="C996" s="1257"/>
      <c r="D996" s="1257"/>
      <c r="E996" s="1257"/>
    </row>
    <row r="997">
      <c r="A997" s="1257"/>
      <c r="B997" s="1257"/>
      <c r="C997" s="1257"/>
      <c r="D997" s="1257"/>
      <c r="E997" s="1257"/>
    </row>
    <row r="998">
      <c r="A998" s="1257"/>
      <c r="B998" s="1257"/>
      <c r="C998" s="1257"/>
      <c r="D998" s="1257"/>
      <c r="E998" s="1257"/>
    </row>
    <row r="999">
      <c r="A999" s="1257"/>
      <c r="B999" s="1257"/>
      <c r="C999" s="1257"/>
      <c r="D999" s="1257"/>
      <c r="E999" s="1257"/>
    </row>
    <row r="1000">
      <c r="A1000" s="1257"/>
      <c r="B1000" s="1257"/>
      <c r="C1000" s="1257"/>
      <c r="D1000" s="1257"/>
      <c r="E1000" s="1257"/>
    </row>
    <row r="1001">
      <c r="A1001" s="1257"/>
      <c r="B1001" s="1257"/>
      <c r="C1001" s="1257"/>
      <c r="D1001" s="1257"/>
      <c r="E1001" s="1257"/>
    </row>
    <row r="1002">
      <c r="A1002" s="1257"/>
      <c r="B1002" s="1257"/>
      <c r="C1002" s="1257"/>
      <c r="D1002" s="1257"/>
      <c r="E1002" s="1257"/>
    </row>
    <row r="1003">
      <c r="A1003" s="1257"/>
      <c r="B1003" s="1257"/>
      <c r="C1003" s="1257"/>
      <c r="D1003" s="1257"/>
      <c r="E1003" s="1257"/>
    </row>
    <row r="1004">
      <c r="A1004" s="1257"/>
      <c r="B1004" s="1257"/>
      <c r="C1004" s="1257"/>
      <c r="D1004" s="1257"/>
      <c r="E1004" s="1257"/>
    </row>
    <row r="1005">
      <c r="A1005" s="1257"/>
      <c r="B1005" s="1257"/>
      <c r="C1005" s="1257"/>
      <c r="D1005" s="1257"/>
      <c r="E1005" s="1257"/>
    </row>
    <row r="1006">
      <c r="A1006" s="1257"/>
      <c r="B1006" s="1257"/>
      <c r="C1006" s="1257"/>
      <c r="D1006" s="1257"/>
      <c r="E1006" s="1257"/>
    </row>
    <row r="1007">
      <c r="A1007" s="1257"/>
      <c r="B1007" s="1257"/>
      <c r="C1007" s="1257"/>
      <c r="D1007" s="1257"/>
      <c r="E1007" s="1257"/>
    </row>
    <row r="1008">
      <c r="A1008" s="1257"/>
      <c r="B1008" s="1257"/>
      <c r="C1008" s="1257"/>
      <c r="D1008" s="1257"/>
      <c r="E1008" s="1257"/>
    </row>
    <row r="1009">
      <c r="A1009" s="1257"/>
      <c r="B1009" s="1257"/>
      <c r="C1009" s="1257"/>
      <c r="D1009" s="1257"/>
      <c r="E1009" s="1257"/>
    </row>
    <row r="1010">
      <c r="A1010" s="1257"/>
      <c r="B1010" s="1257"/>
      <c r="C1010" s="1257"/>
      <c r="D1010" s="1257"/>
      <c r="E1010" s="1257"/>
    </row>
    <row r="1011">
      <c r="A1011" s="1257"/>
      <c r="B1011" s="1257"/>
      <c r="C1011" s="1257"/>
      <c r="D1011" s="1257"/>
      <c r="E1011" s="1257"/>
    </row>
    <row r="1012">
      <c r="A1012" s="1257"/>
      <c r="B1012" s="1257"/>
      <c r="C1012" s="1257"/>
      <c r="D1012" s="1257"/>
      <c r="E1012" s="1257"/>
    </row>
    <row r="1013">
      <c r="A1013" s="1257"/>
      <c r="B1013" s="1257"/>
      <c r="C1013" s="1257"/>
      <c r="D1013" s="1257"/>
      <c r="E1013" s="1257"/>
    </row>
    <row r="1014">
      <c r="A1014" s="1257"/>
      <c r="B1014" s="1257"/>
      <c r="C1014" s="1257"/>
      <c r="D1014" s="1257"/>
      <c r="E1014" s="1257"/>
    </row>
    <row r="1015">
      <c r="A1015" s="1257"/>
      <c r="B1015" s="1257"/>
      <c r="C1015" s="1257"/>
      <c r="D1015" s="1257"/>
      <c r="E1015" s="1257"/>
    </row>
    <row r="1016">
      <c r="A1016" s="1257"/>
      <c r="B1016" s="1257"/>
      <c r="C1016" s="1257"/>
      <c r="D1016" s="1257"/>
      <c r="E1016" s="1257"/>
    </row>
    <row r="1017">
      <c r="A1017" s="1257"/>
      <c r="B1017" s="1257"/>
      <c r="C1017" s="1257"/>
      <c r="D1017" s="1257"/>
      <c r="E1017" s="1257"/>
    </row>
    <row r="1018">
      <c r="A1018" s="1257"/>
      <c r="B1018" s="1257"/>
      <c r="C1018" s="1257"/>
      <c r="D1018" s="1257"/>
      <c r="E1018" s="1257"/>
    </row>
    <row r="1019">
      <c r="A1019" s="1257"/>
      <c r="B1019" s="1257"/>
      <c r="C1019" s="1257"/>
      <c r="D1019" s="1257"/>
      <c r="E1019" s="1257"/>
    </row>
    <row r="1020">
      <c r="A1020" s="1257"/>
      <c r="B1020" s="1257"/>
      <c r="C1020" s="1257"/>
      <c r="D1020" s="1257"/>
      <c r="E1020" s="1257"/>
    </row>
    <row r="1021">
      <c r="A1021" s="1257"/>
      <c r="B1021" s="1257"/>
      <c r="C1021" s="1257"/>
      <c r="D1021" s="1257"/>
      <c r="E1021" s="1257"/>
    </row>
    <row r="1022">
      <c r="A1022" s="1257"/>
      <c r="B1022" s="1257"/>
      <c r="C1022" s="1257"/>
      <c r="D1022" s="1257"/>
      <c r="E1022" s="1257"/>
    </row>
    <row r="1023">
      <c r="A1023" s="1257"/>
      <c r="B1023" s="1257"/>
      <c r="C1023" s="1257"/>
      <c r="D1023" s="1257"/>
      <c r="E1023" s="1257"/>
    </row>
    <row r="1024">
      <c r="A1024" s="1257"/>
      <c r="B1024" s="1257"/>
      <c r="C1024" s="1257"/>
      <c r="D1024" s="1257"/>
      <c r="E1024" s="1257"/>
    </row>
    <row r="1025">
      <c r="A1025" s="1257"/>
      <c r="B1025" s="1257"/>
      <c r="C1025" s="1257"/>
      <c r="D1025" s="1257"/>
      <c r="E1025" s="1257"/>
    </row>
    <row r="1026">
      <c r="A1026" s="1257"/>
      <c r="B1026" s="1257"/>
      <c r="C1026" s="1257"/>
      <c r="D1026" s="1257"/>
      <c r="E1026" s="1257"/>
    </row>
    <row r="1027">
      <c r="A1027" s="1257"/>
      <c r="B1027" s="1257"/>
      <c r="C1027" s="1257"/>
      <c r="D1027" s="1257"/>
      <c r="E1027" s="1257"/>
    </row>
    <row r="1028">
      <c r="A1028" s="1257"/>
      <c r="B1028" s="1257"/>
      <c r="C1028" s="1257"/>
      <c r="D1028" s="1257"/>
      <c r="E1028" s="1257"/>
    </row>
    <row r="1029">
      <c r="A1029" s="1257"/>
      <c r="B1029" s="1257"/>
      <c r="C1029" s="1257"/>
      <c r="D1029" s="1257"/>
      <c r="E1029" s="1257"/>
    </row>
    <row r="1030">
      <c r="A1030" s="1257"/>
      <c r="B1030" s="1257"/>
      <c r="C1030" s="1257"/>
      <c r="D1030" s="1257"/>
      <c r="E1030" s="1257"/>
    </row>
    <row r="1031">
      <c r="A1031" s="1257"/>
      <c r="B1031" s="1257"/>
      <c r="C1031" s="1257"/>
      <c r="D1031" s="1257"/>
      <c r="E1031" s="1257"/>
    </row>
    <row r="1032">
      <c r="A1032" s="1257"/>
      <c r="B1032" s="1257"/>
      <c r="C1032" s="1257"/>
      <c r="D1032" s="1257"/>
      <c r="E1032" s="1257"/>
    </row>
    <row r="1033">
      <c r="A1033" s="1257"/>
      <c r="B1033" s="1257"/>
      <c r="C1033" s="1257"/>
      <c r="D1033" s="1257"/>
      <c r="E1033" s="1257"/>
    </row>
    <row r="1034">
      <c r="A1034" s="1257"/>
      <c r="B1034" s="1257"/>
      <c r="C1034" s="1257"/>
      <c r="D1034" s="1257"/>
      <c r="E1034" s="1257"/>
    </row>
    <row r="1035">
      <c r="A1035" s="1257"/>
      <c r="B1035" s="1257"/>
      <c r="C1035" s="1257"/>
      <c r="D1035" s="1257"/>
      <c r="E1035" s="1257"/>
    </row>
    <row r="1036">
      <c r="A1036" s="1257"/>
      <c r="B1036" s="1257"/>
      <c r="C1036" s="1257"/>
      <c r="D1036" s="1257"/>
      <c r="E1036" s="1257"/>
    </row>
    <row r="1037">
      <c r="A1037" s="1257"/>
      <c r="B1037" s="1257"/>
      <c r="C1037" s="1257"/>
      <c r="D1037" s="1257"/>
      <c r="E1037" s="1257"/>
    </row>
    <row r="1038">
      <c r="A1038" s="1257"/>
      <c r="B1038" s="1257"/>
      <c r="C1038" s="1257"/>
      <c r="D1038" s="1257"/>
      <c r="E1038" s="1257"/>
    </row>
    <row r="1039">
      <c r="A1039" s="1257"/>
      <c r="B1039" s="1257"/>
      <c r="C1039" s="1257"/>
      <c r="D1039" s="1257"/>
      <c r="E1039" s="1257"/>
    </row>
    <row r="1040">
      <c r="A1040" s="1257"/>
      <c r="B1040" s="1257"/>
      <c r="C1040" s="1257"/>
      <c r="D1040" s="1257"/>
      <c r="E1040" s="1257"/>
    </row>
    <row r="1041">
      <c r="A1041" s="1257"/>
      <c r="B1041" s="1257"/>
      <c r="C1041" s="1257"/>
      <c r="D1041" s="1257"/>
      <c r="E1041" s="1257"/>
    </row>
    <row r="1042">
      <c r="A1042" s="1257"/>
      <c r="B1042" s="1257"/>
      <c r="C1042" s="1257"/>
      <c r="D1042" s="1257"/>
      <c r="E1042" s="1257"/>
    </row>
    <row r="1043">
      <c r="A1043" s="1257"/>
      <c r="B1043" s="1257"/>
      <c r="C1043" s="1257"/>
      <c r="D1043" s="1257"/>
      <c r="E1043" s="1257"/>
    </row>
    <row r="1044">
      <c r="A1044" s="1257"/>
      <c r="B1044" s="1257"/>
      <c r="C1044" s="1257"/>
      <c r="D1044" s="1257"/>
      <c r="E1044" s="1257"/>
    </row>
    <row r="1045">
      <c r="A1045" s="1257"/>
      <c r="B1045" s="1257"/>
      <c r="C1045" s="1257"/>
      <c r="D1045" s="1257"/>
      <c r="E1045" s="1257"/>
    </row>
    <row r="1046">
      <c r="A1046" s="1257"/>
      <c r="B1046" s="1257"/>
      <c r="C1046" s="1257"/>
      <c r="D1046" s="1257"/>
      <c r="E1046" s="1257"/>
    </row>
    <row r="1047">
      <c r="A1047" s="1257"/>
      <c r="B1047" s="1257"/>
      <c r="C1047" s="1257"/>
      <c r="D1047" s="1257"/>
      <c r="E1047" s="1257"/>
    </row>
    <row r="1048">
      <c r="A1048" s="1257"/>
      <c r="B1048" s="1257"/>
      <c r="C1048" s="1257"/>
      <c r="D1048" s="1257"/>
      <c r="E1048" s="1257"/>
    </row>
    <row r="1049">
      <c r="A1049" s="1257"/>
      <c r="B1049" s="1257"/>
      <c r="C1049" s="1257"/>
      <c r="D1049" s="1257"/>
      <c r="E1049" s="1257"/>
    </row>
    <row r="1050">
      <c r="A1050" s="1257"/>
      <c r="B1050" s="1257"/>
      <c r="C1050" s="1257"/>
      <c r="D1050" s="1257"/>
      <c r="E1050" s="1257"/>
    </row>
    <row r="1051">
      <c r="A1051" s="1257"/>
      <c r="B1051" s="1257"/>
      <c r="C1051" s="1257"/>
      <c r="D1051" s="1257"/>
      <c r="E1051" s="1257"/>
    </row>
    <row r="1052">
      <c r="A1052" s="1257"/>
      <c r="B1052" s="1257"/>
      <c r="C1052" s="1257"/>
      <c r="D1052" s="1257"/>
      <c r="E1052" s="1257"/>
    </row>
    <row r="1053">
      <c r="A1053" s="1257"/>
      <c r="B1053" s="1257"/>
      <c r="C1053" s="1257"/>
      <c r="D1053" s="1257"/>
      <c r="E1053" s="1257"/>
    </row>
    <row r="1054">
      <c r="A1054" s="1257"/>
      <c r="B1054" s="1257"/>
      <c r="C1054" s="1257"/>
      <c r="D1054" s="1257"/>
      <c r="E1054" s="1257"/>
    </row>
    <row r="1055">
      <c r="A1055" s="1257"/>
      <c r="B1055" s="1257"/>
      <c r="C1055" s="1257"/>
      <c r="D1055" s="1257"/>
      <c r="E1055" s="1257"/>
    </row>
    <row r="1056">
      <c r="A1056" s="1257"/>
      <c r="B1056" s="1257"/>
      <c r="C1056" s="1257"/>
      <c r="D1056" s="1257"/>
      <c r="E1056" s="1257"/>
    </row>
    <row r="1057">
      <c r="A1057" s="1257"/>
      <c r="B1057" s="1257"/>
      <c r="C1057" s="1257"/>
      <c r="D1057" s="1257"/>
      <c r="E1057" s="1257"/>
    </row>
    <row r="1058">
      <c r="A1058" s="1257"/>
      <c r="B1058" s="1257"/>
      <c r="C1058" s="1257"/>
      <c r="D1058" s="1257"/>
      <c r="E1058" s="1257"/>
    </row>
    <row r="1059">
      <c r="A1059" s="1257"/>
      <c r="B1059" s="1257"/>
      <c r="C1059" s="1257"/>
      <c r="D1059" s="1257"/>
      <c r="E1059" s="1257"/>
    </row>
    <row r="1060">
      <c r="A1060" s="1257"/>
      <c r="B1060" s="1257"/>
      <c r="C1060" s="1257"/>
      <c r="D1060" s="1257"/>
      <c r="E1060" s="1257"/>
    </row>
    <row r="1061">
      <c r="A1061" s="1257"/>
      <c r="B1061" s="1257"/>
      <c r="C1061" s="1257"/>
      <c r="D1061" s="1257"/>
      <c r="E1061" s="1257"/>
    </row>
    <row r="1062">
      <c r="A1062" s="1257"/>
      <c r="B1062" s="1257"/>
      <c r="C1062" s="1257"/>
      <c r="D1062" s="1257"/>
      <c r="E1062" s="1257"/>
    </row>
    <row r="1063">
      <c r="A1063" s="1257"/>
      <c r="B1063" s="1257"/>
      <c r="C1063" s="1257"/>
      <c r="D1063" s="1257"/>
      <c r="E1063" s="1257"/>
    </row>
    <row r="1064">
      <c r="A1064" s="1257"/>
      <c r="B1064" s="1257"/>
      <c r="C1064" s="1257"/>
      <c r="D1064" s="1257"/>
      <c r="E1064" s="1257"/>
    </row>
    <row r="1065">
      <c r="A1065" s="1257"/>
      <c r="B1065" s="1257"/>
      <c r="C1065" s="1257"/>
      <c r="D1065" s="1257"/>
      <c r="E1065" s="1257"/>
    </row>
    <row r="1066">
      <c r="A1066" s="1257"/>
      <c r="B1066" s="1257"/>
      <c r="C1066" s="1257"/>
      <c r="D1066" s="1257"/>
      <c r="E1066" s="1257"/>
    </row>
    <row r="1067">
      <c r="A1067" s="1257"/>
      <c r="B1067" s="1257"/>
      <c r="C1067" s="1257"/>
      <c r="D1067" s="1257"/>
      <c r="E1067" s="1257"/>
    </row>
    <row r="1068">
      <c r="A1068" s="1257"/>
      <c r="B1068" s="1257"/>
      <c r="C1068" s="1257"/>
      <c r="D1068" s="1257"/>
      <c r="E1068" s="1257"/>
    </row>
    <row r="1069">
      <c r="A1069" s="1257"/>
      <c r="B1069" s="1257"/>
      <c r="C1069" s="1257"/>
      <c r="D1069" s="1257"/>
      <c r="E1069" s="1257"/>
    </row>
    <row r="1070">
      <c r="A1070" s="1257"/>
      <c r="B1070" s="1257"/>
      <c r="C1070" s="1257"/>
      <c r="D1070" s="1257"/>
      <c r="E1070" s="1257"/>
    </row>
    <row r="1071">
      <c r="A1071" s="1257"/>
      <c r="B1071" s="1257"/>
      <c r="C1071" s="1257"/>
      <c r="D1071" s="1257"/>
      <c r="E1071" s="1257"/>
    </row>
    <row r="1072">
      <c r="A1072" s="1257"/>
      <c r="B1072" s="1257"/>
      <c r="C1072" s="1257"/>
      <c r="D1072" s="1257"/>
      <c r="E1072" s="1257"/>
    </row>
    <row r="1073">
      <c r="A1073" s="1257"/>
      <c r="B1073" s="1257"/>
      <c r="C1073" s="1257"/>
      <c r="D1073" s="1257"/>
      <c r="E1073" s="1257"/>
    </row>
    <row r="1074">
      <c r="A1074" s="1257"/>
      <c r="B1074" s="1257"/>
      <c r="C1074" s="1257"/>
      <c r="D1074" s="1257"/>
      <c r="E1074" s="1257"/>
    </row>
    <row r="1075">
      <c r="A1075" s="1257"/>
      <c r="B1075" s="1257"/>
      <c r="C1075" s="1257"/>
      <c r="D1075" s="1257"/>
      <c r="E1075" s="1257"/>
    </row>
    <row r="1076">
      <c r="A1076" s="1257"/>
      <c r="B1076" s="1257"/>
      <c r="C1076" s="1257"/>
      <c r="D1076" s="1257"/>
      <c r="E1076" s="1257"/>
    </row>
    <row r="1077">
      <c r="A1077" s="1257"/>
      <c r="B1077" s="1257"/>
      <c r="C1077" s="1257"/>
      <c r="D1077" s="1257"/>
      <c r="E1077" s="1257"/>
    </row>
    <row r="1078">
      <c r="A1078" s="1257"/>
      <c r="B1078" s="1257"/>
      <c r="C1078" s="1257"/>
      <c r="D1078" s="1257"/>
      <c r="E1078" s="1257"/>
    </row>
    <row r="1079">
      <c r="A1079" s="1257"/>
      <c r="B1079" s="1257"/>
      <c r="C1079" s="1257"/>
      <c r="D1079" s="1257"/>
      <c r="E1079" s="1257"/>
    </row>
    <row r="1080">
      <c r="A1080" s="1257"/>
      <c r="B1080" s="1257"/>
      <c r="C1080" s="1257"/>
      <c r="D1080" s="1257"/>
      <c r="E1080" s="1257"/>
    </row>
    <row r="1081">
      <c r="A1081" s="1257"/>
      <c r="B1081" s="1257"/>
      <c r="C1081" s="1257"/>
      <c r="D1081" s="1257"/>
      <c r="E1081" s="1257"/>
    </row>
    <row r="1082">
      <c r="A1082" s="1257"/>
      <c r="B1082" s="1257"/>
      <c r="C1082" s="1257"/>
      <c r="D1082" s="1257"/>
      <c r="E1082" s="1257"/>
    </row>
    <row r="1083">
      <c r="A1083" s="1257"/>
      <c r="B1083" s="1257"/>
      <c r="C1083" s="1257"/>
      <c r="D1083" s="1257"/>
      <c r="E1083" s="1257"/>
    </row>
    <row r="1084">
      <c r="A1084" s="1257"/>
      <c r="B1084" s="1257"/>
      <c r="C1084" s="1257"/>
      <c r="D1084" s="1257"/>
      <c r="E1084" s="1257"/>
    </row>
    <row r="1085">
      <c r="A1085" s="1257"/>
      <c r="B1085" s="1257"/>
      <c r="C1085" s="1257"/>
      <c r="D1085" s="1257"/>
      <c r="E1085" s="1257"/>
    </row>
    <row r="1086">
      <c r="A1086" s="1257"/>
      <c r="B1086" s="1257"/>
      <c r="C1086" s="1257"/>
      <c r="D1086" s="1257"/>
      <c r="E1086" s="1257"/>
    </row>
    <row r="1087">
      <c r="A1087" s="1257"/>
      <c r="B1087" s="1257"/>
      <c r="C1087" s="1257"/>
      <c r="D1087" s="1257"/>
      <c r="E1087" s="1257"/>
    </row>
    <row r="1088">
      <c r="A1088" s="1257"/>
      <c r="B1088" s="1257"/>
      <c r="C1088" s="1257"/>
      <c r="D1088" s="1257"/>
      <c r="E1088" s="1257"/>
    </row>
    <row r="1089">
      <c r="A1089" s="1257"/>
      <c r="B1089" s="1257"/>
      <c r="C1089" s="1257"/>
      <c r="D1089" s="1257"/>
      <c r="E1089" s="1257"/>
    </row>
    <row r="1090">
      <c r="A1090" s="1257"/>
      <c r="B1090" s="1257"/>
      <c r="C1090" s="1257"/>
      <c r="D1090" s="1257"/>
      <c r="E1090" s="1257"/>
    </row>
    <row r="1091">
      <c r="A1091" s="1257"/>
      <c r="B1091" s="1257"/>
      <c r="C1091" s="1257"/>
      <c r="D1091" s="1257"/>
      <c r="E1091" s="1257"/>
    </row>
    <row r="1092">
      <c r="A1092" s="1257"/>
      <c r="B1092" s="1257"/>
      <c r="C1092" s="1257"/>
      <c r="D1092" s="1257"/>
      <c r="E1092" s="1257"/>
    </row>
    <row r="1093">
      <c r="A1093" s="1257"/>
      <c r="B1093" s="1257"/>
      <c r="C1093" s="1257"/>
      <c r="D1093" s="1257"/>
      <c r="E1093" s="1257"/>
    </row>
    <row r="1094">
      <c r="A1094" s="1257"/>
      <c r="B1094" s="1257"/>
      <c r="C1094" s="1257"/>
      <c r="D1094" s="1257"/>
      <c r="E1094" s="1257"/>
    </row>
    <row r="1095">
      <c r="A1095" s="1257"/>
      <c r="B1095" s="1257"/>
      <c r="C1095" s="1257"/>
      <c r="D1095" s="1257"/>
      <c r="E1095" s="1257"/>
    </row>
    <row r="1096">
      <c r="A1096" s="1257"/>
      <c r="B1096" s="1257"/>
      <c r="C1096" s="1257"/>
      <c r="D1096" s="1257"/>
      <c r="E1096" s="1257"/>
    </row>
    <row r="1097">
      <c r="A1097" s="1257"/>
      <c r="B1097" s="1257"/>
      <c r="C1097" s="1257"/>
      <c r="D1097" s="1257"/>
      <c r="E1097" s="1257"/>
    </row>
    <row r="1098">
      <c r="A1098" s="1257"/>
      <c r="B1098" s="1257"/>
      <c r="C1098" s="1257"/>
      <c r="D1098" s="1257"/>
      <c r="E1098" s="1257"/>
    </row>
    <row r="1099">
      <c r="A1099" s="1257"/>
      <c r="B1099" s="1257"/>
      <c r="C1099" s="1257"/>
      <c r="D1099" s="1257"/>
      <c r="E1099" s="1257"/>
    </row>
    <row r="1100">
      <c r="A1100" s="1257"/>
      <c r="B1100" s="1257"/>
      <c r="C1100" s="1257"/>
      <c r="D1100" s="1257"/>
      <c r="E1100" s="1257"/>
    </row>
    <row r="1101">
      <c r="A1101" s="1257"/>
      <c r="B1101" s="1257"/>
      <c r="C1101" s="1257"/>
      <c r="D1101" s="1257"/>
      <c r="E1101" s="1257"/>
    </row>
    <row r="1102">
      <c r="A1102" s="1257"/>
      <c r="B1102" s="1257"/>
      <c r="C1102" s="1257"/>
      <c r="D1102" s="1257"/>
      <c r="E1102" s="1257"/>
    </row>
    <row r="1103">
      <c r="A1103" s="1257"/>
      <c r="B1103" s="1257"/>
      <c r="C1103" s="1257"/>
      <c r="D1103" s="1257"/>
      <c r="E1103" s="1257"/>
    </row>
    <row r="1104">
      <c r="A1104" s="1257"/>
      <c r="B1104" s="1257"/>
      <c r="C1104" s="1257"/>
      <c r="D1104" s="1257"/>
      <c r="E1104" s="1257"/>
    </row>
    <row r="1105">
      <c r="A1105" s="1257"/>
      <c r="B1105" s="1257"/>
      <c r="C1105" s="1257"/>
      <c r="D1105" s="1257"/>
      <c r="E1105" s="1257"/>
    </row>
    <row r="1106">
      <c r="A1106" s="1257"/>
      <c r="B1106" s="1257"/>
      <c r="C1106" s="1257"/>
      <c r="D1106" s="1257"/>
      <c r="E1106" s="1257"/>
    </row>
    <row r="1107">
      <c r="A1107" s="1257"/>
      <c r="B1107" s="1257"/>
      <c r="C1107" s="1257"/>
      <c r="D1107" s="1257"/>
      <c r="E1107" s="1257"/>
    </row>
    <row r="1108">
      <c r="A1108" s="1257"/>
      <c r="B1108" s="1257"/>
      <c r="C1108" s="1257"/>
      <c r="D1108" s="1257"/>
      <c r="E1108" s="1257"/>
    </row>
    <row r="1109">
      <c r="A1109" s="1257"/>
      <c r="B1109" s="1257"/>
      <c r="C1109" s="1257"/>
      <c r="D1109" s="1257"/>
      <c r="E1109" s="1257"/>
    </row>
    <row r="1110">
      <c r="A1110" s="1257"/>
      <c r="B1110" s="1257"/>
      <c r="C1110" s="1257"/>
      <c r="D1110" s="1257"/>
      <c r="E1110" s="1257"/>
    </row>
    <row r="1111">
      <c r="A1111" s="1257"/>
      <c r="B1111" s="1257"/>
      <c r="C1111" s="1257"/>
      <c r="D1111" s="1257"/>
      <c r="E1111" s="1257"/>
    </row>
  </sheetData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2" max="12" width="13.25"/>
  </cols>
  <sheetData>
    <row r="1">
      <c r="A1" s="167"/>
      <c r="B1" s="168" t="s">
        <v>106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</row>
    <row r="2">
      <c r="A2" s="169" t="s">
        <v>172</v>
      </c>
      <c r="B2" s="170" t="s">
        <v>174</v>
      </c>
      <c r="C2" s="171" t="s">
        <v>693</v>
      </c>
      <c r="D2" s="172" t="s">
        <v>694</v>
      </c>
      <c r="E2" s="172" t="s">
        <v>695</v>
      </c>
      <c r="F2" s="172" t="s">
        <v>179</v>
      </c>
      <c r="G2" s="172" t="s">
        <v>696</v>
      </c>
      <c r="H2" s="173" t="s">
        <v>697</v>
      </c>
      <c r="I2" s="174" t="s">
        <v>84</v>
      </c>
      <c r="J2" s="170" t="s">
        <v>698</v>
      </c>
      <c r="K2" s="175" t="s">
        <v>699</v>
      </c>
      <c r="L2" s="173" t="s">
        <v>89</v>
      </c>
      <c r="M2" s="176" t="s">
        <v>700</v>
      </c>
      <c r="N2" s="177" t="s">
        <v>701</v>
      </c>
      <c r="O2" s="177" t="s">
        <v>702</v>
      </c>
      <c r="P2" s="178" t="s">
        <v>90</v>
      </c>
      <c r="Q2" s="325" t="s">
        <v>703</v>
      </c>
    </row>
    <row r="3">
      <c r="A3" s="326" t="s">
        <v>634</v>
      </c>
      <c r="B3" s="251">
        <f t="array" ref="B3">VLOOKUP($A3,RI_DEMO,2,FALSE)</f>
        <v>50793</v>
      </c>
      <c r="C3" s="252" t="s">
        <v>63</v>
      </c>
      <c r="D3" s="253" t="s">
        <v>63</v>
      </c>
      <c r="E3" s="253" t="s">
        <v>63</v>
      </c>
      <c r="F3" s="253" t="s">
        <v>63</v>
      </c>
      <c r="G3" s="253" t="s">
        <v>63</v>
      </c>
      <c r="H3" s="254" t="s">
        <v>63</v>
      </c>
      <c r="I3" s="255" t="s">
        <v>63</v>
      </c>
      <c r="J3" s="256" t="s">
        <v>63</v>
      </c>
      <c r="K3" s="274" t="s">
        <v>63</v>
      </c>
      <c r="L3" s="254" t="s">
        <v>63</v>
      </c>
      <c r="M3" s="258" t="s">
        <v>63</v>
      </c>
      <c r="N3" s="253" t="s">
        <v>63</v>
      </c>
      <c r="O3" s="253" t="s">
        <v>63</v>
      </c>
      <c r="P3" s="261">
        <f>ifna(vlookup(A3,'Population &amp; Church Numbers'!$A$2314:$D$2318,4,FALSE),"NULL")</f>
        <v>22</v>
      </c>
      <c r="Q3" s="262" t="s">
        <v>63</v>
      </c>
    </row>
    <row r="4">
      <c r="A4" s="188" t="s">
        <v>474</v>
      </c>
      <c r="B4" s="189">
        <f t="array" ref="B4">VLOOKUP($A4,RI_DEMO,2,FALSE)</f>
        <v>170363</v>
      </c>
      <c r="C4" s="264" t="s">
        <v>63</v>
      </c>
      <c r="D4" s="265" t="s">
        <v>63</v>
      </c>
      <c r="E4" s="265" t="s">
        <v>63</v>
      </c>
      <c r="F4" s="265" t="s">
        <v>63</v>
      </c>
      <c r="G4" s="265" t="s">
        <v>63</v>
      </c>
      <c r="H4" s="266" t="s">
        <v>63</v>
      </c>
      <c r="I4" s="267" t="s">
        <v>63</v>
      </c>
      <c r="J4" s="268" t="s">
        <v>63</v>
      </c>
      <c r="K4" s="284" t="s">
        <v>63</v>
      </c>
      <c r="L4" s="266" t="s">
        <v>63</v>
      </c>
      <c r="M4" s="267" t="s">
        <v>63</v>
      </c>
      <c r="N4" s="265" t="s">
        <v>63</v>
      </c>
      <c r="O4" s="265" t="s">
        <v>63</v>
      </c>
      <c r="P4" s="272">
        <f>ifna(vlookup(A4,'Population &amp; Church Numbers'!$A$2314:$D$2318,4,FALSE),"NULL")</f>
        <v>67</v>
      </c>
      <c r="Q4" s="273" t="s">
        <v>63</v>
      </c>
    </row>
    <row r="5">
      <c r="A5" s="326" t="s">
        <v>1811</v>
      </c>
      <c r="B5" s="251">
        <f t="array" ref="B5">VLOOKUP($A5,RI_DEMO,2,FALSE)</f>
        <v>85643</v>
      </c>
      <c r="C5" s="252" t="s">
        <v>63</v>
      </c>
      <c r="D5" s="253" t="s">
        <v>63</v>
      </c>
      <c r="E5" s="253" t="s">
        <v>63</v>
      </c>
      <c r="F5" s="253" t="s">
        <v>63</v>
      </c>
      <c r="G5" s="253" t="s">
        <v>63</v>
      </c>
      <c r="H5" s="254" t="s">
        <v>63</v>
      </c>
      <c r="I5" s="255" t="s">
        <v>63</v>
      </c>
      <c r="J5" s="256" t="s">
        <v>63</v>
      </c>
      <c r="K5" s="274" t="s">
        <v>63</v>
      </c>
      <c r="L5" s="254" t="s">
        <v>63</v>
      </c>
      <c r="M5" s="255" t="s">
        <v>63</v>
      </c>
      <c r="N5" s="253" t="s">
        <v>63</v>
      </c>
      <c r="O5" s="253" t="s">
        <v>63</v>
      </c>
      <c r="P5" s="261">
        <f>ifna(vlookup(A5,'Population &amp; Church Numbers'!$A$2314:$D$2318,4,FALSE),"NULL")</f>
        <v>58</v>
      </c>
      <c r="Q5" s="262" t="s">
        <v>63</v>
      </c>
    </row>
    <row r="6">
      <c r="A6" s="188" t="s">
        <v>595</v>
      </c>
      <c r="B6" s="189">
        <f t="array" ref="B6">VLOOKUP($A6,RI_DEMO,2,FALSE)</f>
        <v>660741</v>
      </c>
      <c r="C6" s="264" t="s">
        <v>63</v>
      </c>
      <c r="D6" s="265" t="s">
        <v>63</v>
      </c>
      <c r="E6" s="265" t="s">
        <v>63</v>
      </c>
      <c r="F6" s="265" t="s">
        <v>63</v>
      </c>
      <c r="G6" s="265" t="s">
        <v>63</v>
      </c>
      <c r="H6" s="266" t="s">
        <v>63</v>
      </c>
      <c r="I6" s="267" t="s">
        <v>63</v>
      </c>
      <c r="J6" s="268" t="s">
        <v>63</v>
      </c>
      <c r="K6" s="284" t="s">
        <v>63</v>
      </c>
      <c r="L6" s="266" t="s">
        <v>63</v>
      </c>
      <c r="M6" s="267" t="s">
        <v>63</v>
      </c>
      <c r="N6" s="265" t="s">
        <v>63</v>
      </c>
      <c r="O6" s="265" t="s">
        <v>63</v>
      </c>
      <c r="P6" s="272">
        <f>ifna(vlookup(A6,'Population &amp; Church Numbers'!$A$2314:$D$2318,4,FALSE),"NULL")</f>
        <v>323</v>
      </c>
      <c r="Q6" s="273" t="s">
        <v>63</v>
      </c>
    </row>
    <row r="7">
      <c r="A7" s="326" t="s">
        <v>119</v>
      </c>
      <c r="B7" s="251">
        <f t="array" ref="B7">VLOOKUP($A7,RI_DEMO,2,FALSE)</f>
        <v>129839</v>
      </c>
      <c r="C7" s="252" t="s">
        <v>63</v>
      </c>
      <c r="D7" s="253" t="s">
        <v>63</v>
      </c>
      <c r="E7" s="253" t="s">
        <v>63</v>
      </c>
      <c r="F7" s="253" t="s">
        <v>63</v>
      </c>
      <c r="G7" s="253" t="s">
        <v>63</v>
      </c>
      <c r="H7" s="254" t="s">
        <v>63</v>
      </c>
      <c r="I7" s="255" t="s">
        <v>63</v>
      </c>
      <c r="J7" s="256" t="s">
        <v>63</v>
      </c>
      <c r="K7" s="274" t="s">
        <v>63</v>
      </c>
      <c r="L7" s="254" t="s">
        <v>63</v>
      </c>
      <c r="M7" s="255" t="s">
        <v>63</v>
      </c>
      <c r="N7" s="253" t="s">
        <v>63</v>
      </c>
      <c r="O7" s="253" t="s">
        <v>63</v>
      </c>
      <c r="P7" s="261">
        <f>ifna(vlookup(A7,'Population &amp; Church Numbers'!$A$2314:$D$2318,4,FALSE),"NULL")</f>
        <v>80</v>
      </c>
      <c r="Q7" s="262" t="s">
        <v>63</v>
      </c>
    </row>
    <row r="8">
      <c r="A8" s="217"/>
      <c r="B8" s="218"/>
      <c r="C8" s="219"/>
      <c r="D8" s="220"/>
      <c r="E8" s="220"/>
      <c r="F8" s="220"/>
      <c r="G8" s="220"/>
      <c r="H8" s="221"/>
      <c r="I8" s="222"/>
      <c r="J8" s="223"/>
      <c r="K8" s="219"/>
      <c r="L8" s="224"/>
      <c r="M8" s="225"/>
      <c r="N8" s="226"/>
      <c r="O8" s="220"/>
      <c r="P8" s="221"/>
      <c r="Q8" s="295"/>
    </row>
    <row r="9">
      <c r="A9" s="228" t="s">
        <v>2</v>
      </c>
      <c r="B9" s="229"/>
      <c r="C9" s="708">
        <v>1567.0</v>
      </c>
      <c r="D9" s="311" t="s">
        <v>63</v>
      </c>
      <c r="E9" s="311">
        <v>287.0</v>
      </c>
      <c r="F9" s="311">
        <v>666.0</v>
      </c>
      <c r="G9" s="311">
        <v>80.0</v>
      </c>
      <c r="H9" s="309">
        <v>767.0</v>
      </c>
      <c r="I9" s="360">
        <v>33.0</v>
      </c>
      <c r="J9" s="305" t="s">
        <v>63</v>
      </c>
      <c r="K9" s="1244">
        <v>0.723</v>
      </c>
      <c r="L9" s="309" t="s">
        <v>63</v>
      </c>
      <c r="M9" s="360" t="s">
        <v>63</v>
      </c>
      <c r="N9" s="311" t="s">
        <v>63</v>
      </c>
      <c r="O9" s="1091" t="s">
        <v>63</v>
      </c>
      <c r="P9" s="233">
        <f>SUM(P3:P7)</f>
        <v>550</v>
      </c>
      <c r="Q9" s="1092" t="s">
        <v>63</v>
      </c>
    </row>
  </sheetData>
  <autoFilter ref="$A$2:$Q$7"/>
  <mergeCells count="1">
    <mergeCell ref="B1:Q1"/>
  </mergeCells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75" t="s">
        <v>1040</v>
      </c>
      <c r="B1" s="276"/>
      <c r="C1" s="276"/>
      <c r="D1" s="276"/>
      <c r="E1" s="275" t="s">
        <v>765</v>
      </c>
      <c r="F1" s="276"/>
      <c r="G1" s="276"/>
      <c r="H1" s="276"/>
      <c r="I1" s="275" t="s">
        <v>767</v>
      </c>
      <c r="J1" s="276"/>
      <c r="K1" s="275" t="s">
        <v>769</v>
      </c>
      <c r="L1" s="276"/>
      <c r="M1" s="276"/>
    </row>
    <row r="50">
      <c r="A50" s="275" t="s">
        <v>792</v>
      </c>
      <c r="B50" s="276"/>
      <c r="C50" s="276"/>
      <c r="D50" s="276"/>
      <c r="E50" s="275" t="s">
        <v>765</v>
      </c>
      <c r="F50" s="276"/>
      <c r="G50" s="276"/>
      <c r="H50" s="276"/>
      <c r="I50" s="275" t="s">
        <v>767</v>
      </c>
      <c r="J50" s="276"/>
      <c r="K50" s="275" t="s">
        <v>769</v>
      </c>
      <c r="L50" s="276"/>
      <c r="M50" s="276"/>
    </row>
    <row r="100">
      <c r="A100" s="275" t="s">
        <v>852</v>
      </c>
      <c r="B100" s="276"/>
      <c r="C100" s="276"/>
      <c r="D100" s="276"/>
      <c r="E100" s="275" t="s">
        <v>765</v>
      </c>
      <c r="F100" s="276"/>
      <c r="G100" s="276"/>
      <c r="H100" s="276"/>
      <c r="I100" s="275" t="s">
        <v>767</v>
      </c>
      <c r="J100" s="276"/>
      <c r="K100" s="275" t="s">
        <v>769</v>
      </c>
      <c r="L100" s="276"/>
      <c r="M100" s="276"/>
    </row>
  </sheetData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4.13"/>
    <col customWidth="1" min="12" max="12" width="14.0"/>
  </cols>
  <sheetData>
    <row r="1">
      <c r="A1" s="167"/>
      <c r="B1" s="168" t="s">
        <v>108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</row>
    <row r="2">
      <c r="A2" s="169" t="s">
        <v>172</v>
      </c>
      <c r="B2" s="170" t="s">
        <v>174</v>
      </c>
      <c r="C2" s="171" t="s">
        <v>693</v>
      </c>
      <c r="D2" s="172" t="s">
        <v>694</v>
      </c>
      <c r="E2" s="172" t="s">
        <v>695</v>
      </c>
      <c r="F2" s="172" t="s">
        <v>179</v>
      </c>
      <c r="G2" s="172" t="s">
        <v>696</v>
      </c>
      <c r="H2" s="173" t="s">
        <v>697</v>
      </c>
      <c r="I2" s="174" t="s">
        <v>84</v>
      </c>
      <c r="J2" s="170" t="s">
        <v>698</v>
      </c>
      <c r="K2" s="175" t="s">
        <v>699</v>
      </c>
      <c r="L2" s="173" t="s">
        <v>89</v>
      </c>
      <c r="M2" s="176" t="s">
        <v>700</v>
      </c>
      <c r="N2" s="177" t="s">
        <v>701</v>
      </c>
      <c r="O2" s="177" t="s">
        <v>702</v>
      </c>
      <c r="P2" s="178" t="s">
        <v>90</v>
      </c>
      <c r="Q2" s="325" t="s">
        <v>703</v>
      </c>
    </row>
    <row r="3">
      <c r="A3" s="326" t="s">
        <v>1813</v>
      </c>
      <c r="B3" s="251">
        <f t="array" ref="B3">VLOOKUP($A3,SC_DEMO,2,FALSE)</f>
        <v>24295</v>
      </c>
      <c r="C3" s="252">
        <f>vlookup(A3,'SC Data'!$C$4:$P$62,4,FALSE)</f>
        <v>18</v>
      </c>
      <c r="D3" s="253" t="s">
        <v>63</v>
      </c>
      <c r="E3" s="253">
        <f>vlookup(A3,'SC Data'!$C$4:$P$62,7,FALSE)+vlookup(A3,'SC Data'!$C$4:$P$62,9,FALSE)</f>
        <v>9</v>
      </c>
      <c r="F3" s="253">
        <f>vlookup(A3,'SC Data'!$C$4:$P$62,5,FALSE)</f>
        <v>7</v>
      </c>
      <c r="G3" s="253" t="s">
        <v>2510</v>
      </c>
      <c r="H3" s="254">
        <f>vlookup(A3,'SC Data'!$A$122:$D$175,4,FALSE)</f>
        <v>10</v>
      </c>
      <c r="I3" s="255">
        <f>iferror(vlookup(A3,'SC Data'!$B$180:$F$235,5,FALSE),"NULL")</f>
        <v>5</v>
      </c>
      <c r="J3" s="256" t="s">
        <v>63</v>
      </c>
      <c r="K3" s="776">
        <f>vlookup(A3,'SC Data'!$A$299:$D$350,4,FALSE)</f>
        <v>0.857</v>
      </c>
      <c r="L3" s="254">
        <f>vlookup(A3,'SC Data'!$A$66:$B$117,2,FALSE)</f>
        <v>12</v>
      </c>
      <c r="M3" s="258" t="s">
        <v>63</v>
      </c>
      <c r="N3" s="253" t="s">
        <v>63</v>
      </c>
      <c r="O3" s="253" t="s">
        <v>63</v>
      </c>
      <c r="P3" s="261">
        <f>ifna(vlookup(A3,'Population &amp; Church Numbers'!$A$2319:$D$2364,4,FALSE),"NULL")</f>
        <v>77</v>
      </c>
      <c r="Q3" s="262" t="s">
        <v>63</v>
      </c>
    </row>
    <row r="4">
      <c r="A4" s="188" t="s">
        <v>1814</v>
      </c>
      <c r="B4" s="189">
        <f t="array" ref="B4">VLOOKUP($A4,SC_DEMO,2,FALSE)</f>
        <v>168808</v>
      </c>
      <c r="C4" s="264">
        <f>vlookup(A4,'SC Data'!$C$4:$P$62,4,FALSE)</f>
        <v>96</v>
      </c>
      <c r="D4" s="265" t="s">
        <v>63</v>
      </c>
      <c r="E4" s="265">
        <f>vlookup(A4,'SC Data'!$C$4:$P$62,7,FALSE)+vlookup(A4,'SC Data'!$C$4:$P$62,9,FALSE)</f>
        <v>40</v>
      </c>
      <c r="F4" s="265">
        <f>vlookup(A4,'SC Data'!$C$4:$P$62,5,FALSE)</f>
        <v>42</v>
      </c>
      <c r="G4" s="265">
        <f>iferror(vlookup(A4,'SC Data'!$B$240:$F$290,5,FALSE),"NULL")</f>
        <v>40</v>
      </c>
      <c r="H4" s="266">
        <f>vlookup(A4,'SC Data'!$A$122:$D$175,4,FALSE)</f>
        <v>59</v>
      </c>
      <c r="I4" s="267">
        <f>iferror(vlookup(A4,'SC Data'!$B$180:$F$235,5,FALSE),"NULL")</f>
        <v>24</v>
      </c>
      <c r="J4" s="268" t="s">
        <v>63</v>
      </c>
      <c r="K4" s="269">
        <f>vlookup(A4,'SC Data'!$A$299:$D$350,4,FALSE)</f>
        <v>0.625</v>
      </c>
      <c r="L4" s="266">
        <f>vlookup(A4,'SC Data'!$A$66:$B$117,2,FALSE)</f>
        <v>60</v>
      </c>
      <c r="M4" s="267" t="s">
        <v>63</v>
      </c>
      <c r="N4" s="265" t="s">
        <v>63</v>
      </c>
      <c r="O4" s="265" t="s">
        <v>63</v>
      </c>
      <c r="P4" s="272">
        <f>ifna(vlookup(A4,'Population &amp; Church Numbers'!$A$2319:$D$2364,4,FALSE),"NULL")</f>
        <v>219</v>
      </c>
      <c r="Q4" s="273" t="s">
        <v>63</v>
      </c>
    </row>
    <row r="5">
      <c r="A5" s="326" t="s">
        <v>1815</v>
      </c>
      <c r="B5" s="251">
        <f t="array" ref="B5">VLOOKUP($A5,SC_DEMO,2,FALSE)</f>
        <v>8039</v>
      </c>
      <c r="C5" s="252">
        <f>vlookup(A5,'SC Data'!$C$4:$P$62,4,FALSE)</f>
        <v>1</v>
      </c>
      <c r="D5" s="253" t="s">
        <v>63</v>
      </c>
      <c r="E5" s="253">
        <f>vlookup(A5,'SC Data'!$C$4:$P$62,7,FALSE)+vlookup(A5,'SC Data'!$C$4:$P$62,9,FALSE)</f>
        <v>0</v>
      </c>
      <c r="F5" s="253">
        <f>vlookup(A5,'SC Data'!$C$4:$P$62,5,FALSE)</f>
        <v>1</v>
      </c>
      <c r="G5" s="253" t="str">
        <f>iferror(vlookup(A5,'SC Data'!$B$240:$F$290,5,FALSE),"NULL")</f>
        <v>NULL</v>
      </c>
      <c r="H5" s="254">
        <f>vlookup(A5,'SC Data'!$A$122:$D$175,4,FALSE)</f>
        <v>1</v>
      </c>
      <c r="I5" s="255" t="str">
        <f>iferror(vlookup(A5,'SC Data'!$B$180:$F$235,5,FALSE),"NULL")</f>
        <v>NULL</v>
      </c>
      <c r="J5" s="256" t="s">
        <v>63</v>
      </c>
      <c r="K5" s="776">
        <f>vlookup(A5,'SC Data'!$A$299:$D$350,4,FALSE)</f>
        <v>0.8</v>
      </c>
      <c r="L5" s="254">
        <f>vlookup(A5,'SC Data'!$A$66:$B$117,2,FALSE)</f>
        <v>3</v>
      </c>
      <c r="M5" s="255" t="s">
        <v>63</v>
      </c>
      <c r="N5" s="253" t="s">
        <v>63</v>
      </c>
      <c r="O5" s="253" t="s">
        <v>63</v>
      </c>
      <c r="P5" s="261">
        <f>ifna(vlookup(A5,'Population &amp; Church Numbers'!$A$2319:$D$2364,4,FALSE),"NULL")</f>
        <v>29</v>
      </c>
      <c r="Q5" s="262" t="s">
        <v>63</v>
      </c>
    </row>
    <row r="6">
      <c r="A6" s="188" t="s">
        <v>954</v>
      </c>
      <c r="B6" s="189">
        <f t="array" ref="B6">VLOOKUP($A6,SC_DEMO,2,FALSE)</f>
        <v>203718</v>
      </c>
      <c r="C6" s="264">
        <f>vlookup(A6,'SC Data'!$C$4:$P$62,4,FALSE)</f>
        <v>105</v>
      </c>
      <c r="D6" s="265" t="s">
        <v>63</v>
      </c>
      <c r="E6" s="391">
        <f>vlookup(A6,'SC Data'!$C$4:$P$62,7,FALSE)+vlookup(A6,'SC Data'!$C$4:$P$62,9,FALSE)</f>
        <v>75</v>
      </c>
      <c r="F6" s="265">
        <f>vlookup(A6,'SC Data'!$C$4:$P$62,5,FALSE)</f>
        <v>17</v>
      </c>
      <c r="G6" s="265" t="s">
        <v>2511</v>
      </c>
      <c r="H6" s="266">
        <f>vlookup(A6,'SC Data'!$A$122:$D$175,4,FALSE)</f>
        <v>86</v>
      </c>
      <c r="I6" s="267">
        <f>iferror(vlookup(A6,'SC Data'!$B$180:$F$235,5,FALSE),"NULL")</f>
        <v>21</v>
      </c>
      <c r="J6" s="268" t="s">
        <v>63</v>
      </c>
      <c r="K6" s="269">
        <f>vlookup(A6,'SC Data'!$A$299:$D$350,4,FALSE)</f>
        <v>0.518</v>
      </c>
      <c r="L6" s="266">
        <f>vlookup(A6,'SC Data'!$A$66:$B$117,2,FALSE)</f>
        <v>217</v>
      </c>
      <c r="M6" s="267" t="s">
        <v>63</v>
      </c>
      <c r="N6" s="265" t="s">
        <v>63</v>
      </c>
      <c r="O6" s="265" t="s">
        <v>63</v>
      </c>
      <c r="P6" s="272">
        <f>ifna(vlookup(A6,'Population &amp; Church Numbers'!$A$2319:$D$2364,4,FALSE),"NULL")</f>
        <v>256</v>
      </c>
      <c r="Q6" s="273" t="s">
        <v>63</v>
      </c>
    </row>
    <row r="7">
      <c r="A7" s="326" t="s">
        <v>1816</v>
      </c>
      <c r="B7" s="251">
        <f t="array" ref="B7">VLOOKUP($A7,SC_DEMO,2,FALSE)</f>
        <v>13311</v>
      </c>
      <c r="C7" s="252">
        <f>vlookup(A7,'SC Data'!$C$4:$P$62,4,FALSE)</f>
        <v>7</v>
      </c>
      <c r="D7" s="253" t="s">
        <v>63</v>
      </c>
      <c r="E7" s="253">
        <f>vlookup(A7,'SC Data'!$C$4:$P$62,7,FALSE)+vlookup(A7,'SC Data'!$C$4:$P$62,9,FALSE)</f>
        <v>3</v>
      </c>
      <c r="F7" s="253">
        <f>vlookup(A7,'SC Data'!$C$4:$P$62,5,FALSE)</f>
        <v>2</v>
      </c>
      <c r="G7" s="253">
        <f>iferror(vlookup(A7,'SC Data'!$B$240:$F$290,5,FALSE),"NULL")</f>
        <v>5</v>
      </c>
      <c r="H7" s="254">
        <f>vlookup(A7,'SC Data'!$A$122:$D$175,4,FALSE)</f>
        <v>8</v>
      </c>
      <c r="I7" s="255" t="str">
        <f>iferror(vlookup(A7,'SC Data'!$B$180:$F$235,5,FALSE),"NULL")</f>
        <v>NULL</v>
      </c>
      <c r="J7" s="256" t="s">
        <v>63</v>
      </c>
      <c r="K7" s="776">
        <f>vlookup(A7,'SC Data'!$A$299:$D$350,4,FALSE)</f>
        <v>0.222</v>
      </c>
      <c r="L7" s="254">
        <f>vlookup(A7,'SC Data'!$A$66:$B$117,2,FALSE)</f>
        <v>3</v>
      </c>
      <c r="M7" s="255" t="s">
        <v>63</v>
      </c>
      <c r="N7" s="253" t="s">
        <v>63</v>
      </c>
      <c r="O7" s="253" t="s">
        <v>63</v>
      </c>
      <c r="P7" s="261">
        <f>ifna(vlookup(A7,'Population &amp; Church Numbers'!$A$2319:$D$2364,4,FALSE),"NULL")</f>
        <v>35</v>
      </c>
      <c r="Q7" s="262" t="s">
        <v>63</v>
      </c>
    </row>
    <row r="8">
      <c r="A8" s="188" t="s">
        <v>1817</v>
      </c>
      <c r="B8" s="189">
        <f t="array" ref="B8">VLOOKUP($A8,SC_DEMO,2,FALSE)</f>
        <v>20589</v>
      </c>
      <c r="C8" s="264">
        <f>vlookup(A8,'SC Data'!$C$4:$P$62,4,FALSE)</f>
        <v>7</v>
      </c>
      <c r="D8" s="265" t="s">
        <v>63</v>
      </c>
      <c r="E8" s="265">
        <f>vlookup(A8,'SC Data'!$C$4:$P$62,7,FALSE)+vlookup(A8,'SC Data'!$C$4:$P$62,9,FALSE)</f>
        <v>4</v>
      </c>
      <c r="F8" s="265">
        <f>vlookup(A8,'SC Data'!$C$4:$P$62,5,FALSE)</f>
        <v>3</v>
      </c>
      <c r="G8" s="265">
        <f>iferror(vlookup(A8,'SC Data'!$B$240:$F$290,5,FALSE),"NULL")</f>
        <v>4</v>
      </c>
      <c r="H8" s="266">
        <f>vlookup(A8,'SC Data'!$A$122:$D$175,4,FALSE)</f>
        <v>2</v>
      </c>
      <c r="I8" s="267">
        <f>iferror(vlookup(A8,'SC Data'!$B$180:$F$235,5,FALSE),"NULL")</f>
        <v>1</v>
      </c>
      <c r="J8" s="268" t="s">
        <v>63</v>
      </c>
      <c r="K8" s="269">
        <f>vlookup(A8,'SC Data'!$A$299:$D$350,4,FALSE)</f>
        <v>0.667</v>
      </c>
      <c r="L8" s="266">
        <f>vlookup(A8,'SC Data'!$A$66:$B$117,2,FALSE)</f>
        <v>16</v>
      </c>
      <c r="M8" s="267" t="s">
        <v>63</v>
      </c>
      <c r="N8" s="265" t="s">
        <v>63</v>
      </c>
      <c r="O8" s="265" t="s">
        <v>63</v>
      </c>
      <c r="P8" s="272">
        <f>ifna(vlookup(A8,'Population &amp; Church Numbers'!$A$2319:$D$2364,4,FALSE),"NULL")</f>
        <v>55</v>
      </c>
      <c r="Q8" s="273" t="s">
        <v>63</v>
      </c>
    </row>
    <row r="9">
      <c r="A9" s="326" t="s">
        <v>1583</v>
      </c>
      <c r="B9" s="251">
        <f t="array" ref="B9">VLOOKUP($A9,SC_DEMO,2,FALSE)</f>
        <v>187117</v>
      </c>
      <c r="C9" s="252">
        <f>vlookup(A9,'SC Data'!$C$4:$P$62,4,FALSE)</f>
        <v>48</v>
      </c>
      <c r="D9" s="253" t="s">
        <v>63</v>
      </c>
      <c r="E9" s="253">
        <f>vlookup(A9,'SC Data'!$C$4:$P$62,7,FALSE)+vlookup(A9,'SC Data'!$C$4:$P$62,9,FALSE)</f>
        <v>32</v>
      </c>
      <c r="F9" s="253">
        <f>vlookup(A9,'SC Data'!$C$4:$P$62,5,FALSE)</f>
        <v>6</v>
      </c>
      <c r="G9" s="253">
        <f>iferror(vlookup(A9,'SC Data'!$B$240:$F$290,5,FALSE),"NULL")</f>
        <v>31</v>
      </c>
      <c r="H9" s="254">
        <f>vlookup(A9,'SC Data'!$A$122:$D$175,4,FALSE)</f>
        <v>44</v>
      </c>
      <c r="I9" s="255">
        <f>iferror(vlookup(A9,'SC Data'!$B$180:$F$235,5,FALSE),"NULL")</f>
        <v>5</v>
      </c>
      <c r="J9" s="256" t="s">
        <v>63</v>
      </c>
      <c r="K9" s="776">
        <f>vlookup(A9,'SC Data'!$A$299:$D$350,4,FALSE)</f>
        <v>0.92</v>
      </c>
      <c r="L9" s="254">
        <f>vlookup(A9,'SC Data'!$A$66:$B$117,2,FALSE)</f>
        <v>75</v>
      </c>
      <c r="M9" s="255" t="s">
        <v>63</v>
      </c>
      <c r="N9" s="253" t="s">
        <v>63</v>
      </c>
      <c r="O9" s="253" t="s">
        <v>63</v>
      </c>
      <c r="P9" s="261">
        <f>ifna(vlookup(A9,'Population &amp; Church Numbers'!$A$2319:$D$2364,4,FALSE),"NULL")</f>
        <v>137</v>
      </c>
      <c r="Q9" s="262" t="s">
        <v>63</v>
      </c>
    </row>
    <row r="10">
      <c r="A10" s="188" t="s">
        <v>1818</v>
      </c>
      <c r="B10" s="189">
        <f t="array" ref="B10">VLOOKUP($A10,SC_DEMO,2,FALSE)</f>
        <v>229861</v>
      </c>
      <c r="C10" s="264">
        <f>vlookup(A10,'SC Data'!$C$4:$P$62,4,FALSE)</f>
        <v>145</v>
      </c>
      <c r="D10" s="265" t="s">
        <v>63</v>
      </c>
      <c r="E10" s="265">
        <f>vlookup(A10,'SC Data'!$C$4:$P$62,7,FALSE)+vlookup(A10,'SC Data'!$C$4:$P$62,9,FALSE)</f>
        <v>80</v>
      </c>
      <c r="F10" s="265">
        <f>vlookup(A10,'SC Data'!$C$4:$P$62,5,FALSE)</f>
        <v>44</v>
      </c>
      <c r="G10" s="265">
        <f>iferror(vlookup(A10,'SC Data'!$B$240:$F$290,5,FALSE),"NULL")</f>
        <v>79</v>
      </c>
      <c r="H10" s="266">
        <f>vlookup(A10,'SC Data'!$A$122:$D$175,4,FALSE)</f>
        <v>92</v>
      </c>
      <c r="I10" s="267">
        <f>iferror(vlookup(A10,'SC Data'!$B$180:$F$235,5,FALSE),"NULL")</f>
        <v>27</v>
      </c>
      <c r="J10" s="268" t="s">
        <v>63</v>
      </c>
      <c r="K10" s="269">
        <f>vlookup(A10,'SC Data'!$A$299:$D$350,4,FALSE)</f>
        <v>0.82</v>
      </c>
      <c r="L10" s="266">
        <f>vlookup(A10,'SC Data'!$A$66:$B$117,2,FALSE)</f>
        <v>220</v>
      </c>
      <c r="M10" s="267" t="s">
        <v>63</v>
      </c>
      <c r="N10" s="265" t="s">
        <v>63</v>
      </c>
      <c r="O10" s="265" t="s">
        <v>63</v>
      </c>
      <c r="P10" s="272">
        <f>ifna(vlookup(A10,'Population &amp; Church Numbers'!$A$2319:$D$2364,4,FALSE),"NULL")</f>
        <v>198</v>
      </c>
      <c r="Q10" s="273" t="s">
        <v>63</v>
      </c>
    </row>
    <row r="11">
      <c r="A11" s="326" t="s">
        <v>93</v>
      </c>
      <c r="B11" s="251">
        <f t="array" ref="B11">VLOOKUP($A11,SC_DEMO,2,FALSE)</f>
        <v>14119</v>
      </c>
      <c r="C11" s="252">
        <f>vlookup(A11,'SC Data'!$C$4:$P$62,4,FALSE)</f>
        <v>1</v>
      </c>
      <c r="D11" s="253" t="s">
        <v>63</v>
      </c>
      <c r="E11" s="253">
        <f>vlookup(A11,'SC Data'!$C$4:$P$62,7,FALSE)+vlookup(A11,'SC Data'!$C$4:$P$62,9,FALSE)</f>
        <v>1</v>
      </c>
      <c r="F11" s="253" t="s">
        <v>63</v>
      </c>
      <c r="G11" s="253">
        <f>iferror(vlookup(A11,'SC Data'!$B$240:$F$290,5,FALSE),"NULL")</f>
        <v>1</v>
      </c>
      <c r="H11" s="254">
        <f>vlookup(A11,'SC Data'!$A$122:$D$175,4,FALSE)</f>
        <v>5</v>
      </c>
      <c r="I11" s="255" t="str">
        <f>iferror(vlookup(A11,'SC Data'!$B$180:$F$235,5,FALSE),"NULL")</f>
        <v>NULL</v>
      </c>
      <c r="J11" s="256" t="s">
        <v>63</v>
      </c>
      <c r="K11" s="274" t="s">
        <v>63</v>
      </c>
      <c r="L11" s="254">
        <f>vlookup(A11,'SC Data'!$A$66:$B$117,2,FALSE)</f>
        <v>5</v>
      </c>
      <c r="M11" s="255" t="s">
        <v>63</v>
      </c>
      <c r="N11" s="253" t="s">
        <v>63</v>
      </c>
      <c r="O11" s="253" t="s">
        <v>63</v>
      </c>
      <c r="P11" s="261">
        <f>ifna(vlookup(A11,'Population &amp; Church Numbers'!$A$2319:$D$2364,4,FALSE),"NULL")</f>
        <v>42</v>
      </c>
      <c r="Q11" s="262" t="s">
        <v>63</v>
      </c>
    </row>
    <row r="12">
      <c r="A12" s="188" t="s">
        <v>1819</v>
      </c>
      <c r="B12" s="189">
        <f t="array" ref="B12">VLOOKUP($A12,SC_DEMO,2,FALSE)</f>
        <v>408235</v>
      </c>
      <c r="C12" s="264">
        <f>vlookup(A12,'SC Data'!$C$4:$P$62,4,FALSE)</f>
        <v>186</v>
      </c>
      <c r="D12" s="265" t="s">
        <v>63</v>
      </c>
      <c r="E12" s="265">
        <f>vlookup(A12,'SC Data'!$C$4:$P$62,7,FALSE)+vlookup(A12,'SC Data'!$C$4:$P$62,9,FALSE)</f>
        <v>99</v>
      </c>
      <c r="F12" s="265">
        <f>vlookup(A12,'SC Data'!$C$4:$P$62,5,FALSE)</f>
        <v>45</v>
      </c>
      <c r="G12" s="265">
        <f>iferror(vlookup(A12,'SC Data'!$B$240:$F$290,5,FALSE),"NULL")</f>
        <v>108</v>
      </c>
      <c r="H12" s="266">
        <f>vlookup(A12,'SC Data'!$A$122:$D$175,4,FALSE)</f>
        <v>93</v>
      </c>
      <c r="I12" s="267">
        <f>iferror(vlookup(A12,'SC Data'!$B$180:$F$235,5,FALSE),"NULL")</f>
        <v>41</v>
      </c>
      <c r="J12" s="268" t="s">
        <v>63</v>
      </c>
      <c r="K12" s="269">
        <f>vlookup(A12,'SC Data'!$A$299:$D$350,4,FALSE)</f>
        <v>0.875</v>
      </c>
      <c r="L12" s="266">
        <f>vlookup(A12,'SC Data'!$A$66:$B$117,2,FALSE)</f>
        <v>334</v>
      </c>
      <c r="M12" s="267" t="s">
        <v>63</v>
      </c>
      <c r="N12" s="265" t="s">
        <v>63</v>
      </c>
      <c r="O12" s="265" t="s">
        <v>63</v>
      </c>
      <c r="P12" s="272">
        <f>ifna(vlookup(A12,'Population &amp; Church Numbers'!$A$2319:$D$2364,4,FALSE),"NULL")</f>
        <v>394</v>
      </c>
      <c r="Q12" s="273" t="s">
        <v>63</v>
      </c>
    </row>
    <row r="13">
      <c r="A13" s="326" t="s">
        <v>101</v>
      </c>
      <c r="B13" s="251">
        <f t="array" ref="B13">VLOOKUP($A13,SC_DEMO,2,FALSE)</f>
        <v>56216</v>
      </c>
      <c r="C13" s="252">
        <f>vlookup(A13,'SC Data'!$C$4:$P$62,4,FALSE)</f>
        <v>37</v>
      </c>
      <c r="D13" s="253" t="s">
        <v>63</v>
      </c>
      <c r="E13" s="253">
        <f>vlookup(A13,'SC Data'!$C$4:$P$62,7,FALSE)+vlookup(A13,'SC Data'!$C$4:$P$62,9,FALSE)</f>
        <v>24</v>
      </c>
      <c r="F13" s="253">
        <f>vlookup(A13,'SC Data'!$C$4:$P$62,5,FALSE)</f>
        <v>7</v>
      </c>
      <c r="G13" s="253">
        <f>iferror(vlookup(A13,'SC Data'!$B$240:$F$290,5,FALSE),"NULL")</f>
        <v>26</v>
      </c>
      <c r="H13" s="254">
        <f>vlookup(A13,'SC Data'!$A$122:$D$175,4,FALSE)</f>
        <v>11</v>
      </c>
      <c r="I13" s="255">
        <f>iferror(vlookup(A13,'SC Data'!$B$180:$F$235,5,FALSE),"NULL")</f>
        <v>7</v>
      </c>
      <c r="J13" s="256" t="s">
        <v>63</v>
      </c>
      <c r="K13" s="776">
        <f>vlookup(A13,'SC Data'!$A$299:$D$350,4,FALSE)</f>
        <v>0.813</v>
      </c>
      <c r="L13" s="254">
        <f>vlookup(A13,'SC Data'!$A$66:$B$117,2,FALSE)</f>
        <v>93</v>
      </c>
      <c r="M13" s="255" t="s">
        <v>63</v>
      </c>
      <c r="N13" s="253" t="s">
        <v>63</v>
      </c>
      <c r="O13" s="253" t="s">
        <v>63</v>
      </c>
      <c r="P13" s="261">
        <f>ifna(vlookup(A13,'Population &amp; Church Numbers'!$A$2319:$D$2364,4,FALSE),"NULL")</f>
        <v>86</v>
      </c>
      <c r="Q13" s="262" t="s">
        <v>63</v>
      </c>
    </row>
    <row r="14">
      <c r="A14" s="188" t="s">
        <v>1789</v>
      </c>
      <c r="B14" s="189">
        <f t="array" ref="B14">VLOOKUP($A14,SC_DEMO,2,FALSE)</f>
        <v>32294</v>
      </c>
      <c r="C14" s="264">
        <f>vlookup(A14,'SC Data'!$C$4:$P$62,4,FALSE)</f>
        <v>37</v>
      </c>
      <c r="D14" s="265" t="s">
        <v>63</v>
      </c>
      <c r="E14" s="265">
        <f>vlookup(A14,'SC Data'!$C$4:$P$62,7,FALSE)+vlookup(A14,'SC Data'!$C$4:$P$62,9,FALSE)</f>
        <v>14</v>
      </c>
      <c r="F14" s="265">
        <f>vlookup(A14,'SC Data'!$C$4:$P$62,5,FALSE)</f>
        <v>18</v>
      </c>
      <c r="G14" s="265">
        <f>iferror(vlookup(A14,'SC Data'!$B$240:$F$290,5,FALSE),"NULL")</f>
        <v>18</v>
      </c>
      <c r="H14" s="266">
        <f>vlookup(A14,'SC Data'!$A$122:$D$175,4,FALSE)</f>
        <v>11</v>
      </c>
      <c r="I14" s="267">
        <f>iferror(vlookup(A14,'SC Data'!$B$180:$F$235,5,FALSE),"NULL")</f>
        <v>2</v>
      </c>
      <c r="J14" s="268" t="s">
        <v>63</v>
      </c>
      <c r="K14" s="269">
        <f>vlookup(A14,'SC Data'!$A$299:$D$350,4,FALSE)</f>
        <v>0.882</v>
      </c>
      <c r="L14" s="266">
        <f>vlookup(A14,'SC Data'!$A$66:$B$117,2,FALSE)</f>
        <v>56</v>
      </c>
      <c r="M14" s="267" t="s">
        <v>63</v>
      </c>
      <c r="N14" s="265" t="s">
        <v>63</v>
      </c>
      <c r="O14" s="265" t="s">
        <v>63</v>
      </c>
      <c r="P14" s="272">
        <f>ifna(vlookup(A14,'Population &amp; Church Numbers'!$A$2319:$D$2364,4,FALSE),"NULL")</f>
        <v>114</v>
      </c>
      <c r="Q14" s="273" t="s">
        <v>63</v>
      </c>
    </row>
    <row r="15">
      <c r="A15" s="326" t="s">
        <v>1820</v>
      </c>
      <c r="B15" s="251">
        <f t="array" ref="B15">VLOOKUP($A15,SC_DEMO,2,FALSE)</f>
        <v>43273</v>
      </c>
      <c r="C15" s="252">
        <f>vlookup(A15,'SC Data'!$C$4:$P$62,4,FALSE)</f>
        <v>12</v>
      </c>
      <c r="D15" s="253" t="s">
        <v>63</v>
      </c>
      <c r="E15" s="253">
        <f>vlookup(A15,'SC Data'!$C$4:$P$62,7,FALSE)+vlookup(A15,'SC Data'!$C$4:$P$62,9,FALSE)</f>
        <v>5</v>
      </c>
      <c r="F15" s="253">
        <f>vlookup(A15,'SC Data'!$C$4:$P$62,5,FALSE)</f>
        <v>4</v>
      </c>
      <c r="G15" s="253">
        <f>iferror(vlookup(A15,'SC Data'!$B$240:$F$290,5,FALSE),"NULL")</f>
        <v>6</v>
      </c>
      <c r="H15" s="254">
        <f>vlookup(A15,'SC Data'!$A$122:$D$175,4,FALSE)</f>
        <v>17</v>
      </c>
      <c r="I15" s="255">
        <f>iferror(vlookup(A15,'SC Data'!$B$180:$F$235,5,FALSE),"NULL")</f>
        <v>1</v>
      </c>
      <c r="J15" s="256" t="s">
        <v>63</v>
      </c>
      <c r="K15" s="776">
        <f>vlookup(A15,'SC Data'!$A$299:$D$350,4,FALSE)</f>
        <v>0.769</v>
      </c>
      <c r="L15" s="254">
        <f>vlookup(A15,'SC Data'!$A$66:$B$117,2,FALSE)</f>
        <v>16</v>
      </c>
      <c r="M15" s="255" t="s">
        <v>63</v>
      </c>
      <c r="N15" s="253" t="s">
        <v>63</v>
      </c>
      <c r="O15" s="253" t="s">
        <v>63</v>
      </c>
      <c r="P15" s="261">
        <f>ifna(vlookup(A15,'Population &amp; Church Numbers'!$A$2319:$D$2364,4,FALSE),"NULL")</f>
        <v>110</v>
      </c>
      <c r="Q15" s="262" t="s">
        <v>63</v>
      </c>
    </row>
    <row r="16">
      <c r="A16" s="188" t="s">
        <v>1821</v>
      </c>
      <c r="B16" s="189">
        <f t="array" ref="B16">VLOOKUP($A16,SC_DEMO,2,FALSE)</f>
        <v>31144</v>
      </c>
      <c r="C16" s="264">
        <f>vlookup(A16,'SC Data'!$C$4:$P$62,4,FALSE)</f>
        <v>24</v>
      </c>
      <c r="D16" s="265" t="s">
        <v>63</v>
      </c>
      <c r="E16" s="265">
        <f>vlookup(A16,'SC Data'!$C$4:$P$62,7,FALSE)+vlookup(A16,'SC Data'!$C$4:$P$62,9,FALSE)</f>
        <v>9</v>
      </c>
      <c r="F16" s="265">
        <f>vlookup(A16,'SC Data'!$C$4:$P$62,5,FALSE)</f>
        <v>12</v>
      </c>
      <c r="G16" s="265">
        <f>iferror(vlookup(A16,'SC Data'!$B$240:$F$290,5,FALSE),"NULL")</f>
        <v>12</v>
      </c>
      <c r="H16" s="266">
        <f>vlookup(A16,'SC Data'!$A$122:$D$175,4,FALSE)</f>
        <v>18</v>
      </c>
      <c r="I16" s="267">
        <f>iferror(vlookup(A16,'SC Data'!$B$180:$F$235,5,FALSE),"NULL")</f>
        <v>6</v>
      </c>
      <c r="J16" s="268" t="s">
        <v>63</v>
      </c>
      <c r="K16" s="269">
        <f>vlookup(A16,'SC Data'!$A$299:$D$350,4,FALSE)</f>
        <v>0.727</v>
      </c>
      <c r="L16" s="266">
        <f>vlookup(A16,'SC Data'!$A$66:$B$117,2,FALSE)</f>
        <v>10</v>
      </c>
      <c r="M16" s="267" t="s">
        <v>63</v>
      </c>
      <c r="N16" s="265" t="s">
        <v>63</v>
      </c>
      <c r="O16" s="265" t="s">
        <v>63</v>
      </c>
      <c r="P16" s="272">
        <f>ifna(vlookup(A16,'Population &amp; Church Numbers'!$A$2319:$D$2364,4,FALSE),"NULL")</f>
        <v>110</v>
      </c>
      <c r="Q16" s="273" t="s">
        <v>63</v>
      </c>
    </row>
    <row r="17">
      <c r="A17" s="326" t="s">
        <v>1822</v>
      </c>
      <c r="B17" s="251">
        <f t="array" ref="B17">VLOOKUP($A17,SC_DEMO,2,FALSE)</f>
        <v>38604</v>
      </c>
      <c r="C17" s="252">
        <f>vlookup(A17,'SC Data'!$C$4:$P$62,4,FALSE)</f>
        <v>41</v>
      </c>
      <c r="D17" s="253" t="s">
        <v>63</v>
      </c>
      <c r="E17" s="253">
        <f>vlookup(A17,'SC Data'!$C$4:$P$62,7,FALSE)+vlookup(A17,'SC Data'!$C$4:$P$62,9,FALSE)</f>
        <v>26</v>
      </c>
      <c r="F17" s="253">
        <f>vlookup(A17,'SC Data'!$C$4:$P$62,5,FALSE)</f>
        <v>12</v>
      </c>
      <c r="G17" s="253">
        <f>iferror(vlookup(A17,'SC Data'!$B$240:$F$290,5,FALSE),"NULL")</f>
        <v>26</v>
      </c>
      <c r="H17" s="254">
        <f>vlookup(A17,'SC Data'!$A$122:$D$175,4,FALSE)</f>
        <v>9</v>
      </c>
      <c r="I17" s="255">
        <f>iferror(vlookup(A17,'SC Data'!$B$180:$F$235,5,FALSE),"NULL")</f>
        <v>7</v>
      </c>
      <c r="J17" s="256" t="s">
        <v>63</v>
      </c>
      <c r="K17" s="776">
        <f>vlookup(A17,'SC Data'!$A$299:$D$350,4,FALSE)</f>
        <v>0.412</v>
      </c>
      <c r="L17" s="254">
        <f>vlookup(A17,'SC Data'!$A$66:$B$117,2,FALSE)</f>
        <v>29</v>
      </c>
      <c r="M17" s="255" t="s">
        <v>63</v>
      </c>
      <c r="N17" s="253" t="s">
        <v>63</v>
      </c>
      <c r="O17" s="253" t="s">
        <v>63</v>
      </c>
      <c r="P17" s="261">
        <f>ifna(vlookup(A17,'Population &amp; Church Numbers'!$A$2319:$D$2364,4,FALSE),"NULL")</f>
        <v>114</v>
      </c>
      <c r="Q17" s="262" t="s">
        <v>63</v>
      </c>
    </row>
    <row r="18">
      <c r="A18" s="188" t="s">
        <v>1823</v>
      </c>
      <c r="B18" s="189">
        <f t="array" ref="B18">VLOOKUP($A18,SC_DEMO,2,FALSE)</f>
        <v>62905</v>
      </c>
      <c r="C18" s="264">
        <f>vlookup(A18,'SC Data'!$C$4:$P$62,4,FALSE)</f>
        <v>61</v>
      </c>
      <c r="D18" s="265" t="s">
        <v>63</v>
      </c>
      <c r="E18" s="265">
        <f>vlookup(A18,'SC Data'!$C$4:$P$62,7,FALSE)+vlookup(A18,'SC Data'!$C$4:$P$62,9,FALSE)</f>
        <v>33</v>
      </c>
      <c r="F18" s="265">
        <f>vlookup(A18,'SC Data'!$C$4:$P$62,5,FALSE)</f>
        <v>21</v>
      </c>
      <c r="G18" s="265">
        <f>iferror(vlookup(A18,'SC Data'!$B$240:$F$290,5,FALSE),"NULL")</f>
        <v>37</v>
      </c>
      <c r="H18" s="266">
        <f>vlookup(A18,'SC Data'!$A$122:$D$175,4,FALSE)</f>
        <v>21</v>
      </c>
      <c r="I18" s="267">
        <f>iferror(vlookup(A18,'SC Data'!$B$180:$F$235,5,FALSE),"NULL")</f>
        <v>13</v>
      </c>
      <c r="J18" s="268" t="s">
        <v>63</v>
      </c>
      <c r="K18" s="269">
        <f>vlookup(A18,'SC Data'!$A$299:$D$350,4,FALSE)</f>
        <v>0.804</v>
      </c>
      <c r="L18" s="266">
        <f>vlookup(A18,'SC Data'!$A$66:$B$117,2,FALSE)</f>
        <v>114</v>
      </c>
      <c r="M18" s="267" t="s">
        <v>63</v>
      </c>
      <c r="N18" s="265" t="s">
        <v>63</v>
      </c>
      <c r="O18" s="265" t="s">
        <v>63</v>
      </c>
      <c r="P18" s="272">
        <f>ifna(vlookup(A18,'Population &amp; Church Numbers'!$A$2319:$D$2364,4,FALSE),"NULL")</f>
        <v>129</v>
      </c>
      <c r="Q18" s="273" t="s">
        <v>63</v>
      </c>
    </row>
    <row r="19">
      <c r="A19" s="326" t="s">
        <v>1824</v>
      </c>
      <c r="B19" s="251">
        <f t="array" ref="B19">VLOOKUP($A19,SC_DEMO,2,FALSE)</f>
        <v>28292</v>
      </c>
      <c r="C19" s="252">
        <f>vlookup(A19,'SC Data'!$C$4:$P$62,4,FALSE)</f>
        <v>31</v>
      </c>
      <c r="D19" s="253" t="s">
        <v>63</v>
      </c>
      <c r="E19" s="253">
        <f>vlookup(A19,'SC Data'!$C$4:$P$62,7,FALSE)+vlookup(A19,'SC Data'!$C$4:$P$62,9,FALSE)</f>
        <v>21</v>
      </c>
      <c r="F19" s="253">
        <f>vlookup(A19,'SC Data'!$C$4:$P$62,5,FALSE)</f>
        <v>9</v>
      </c>
      <c r="G19" s="253">
        <f>iferror(vlookup(A19,'SC Data'!$B$240:$F$290,5,FALSE),"NULL")</f>
        <v>21</v>
      </c>
      <c r="H19" s="254">
        <f>vlookup(A19,'SC Data'!$A$122:$D$175,4,FALSE)</f>
        <v>13</v>
      </c>
      <c r="I19" s="255">
        <f>iferror(vlookup(A19,'SC Data'!$B$180:$F$235,5,FALSE),"NULL")</f>
        <v>0</v>
      </c>
      <c r="J19" s="256" t="s">
        <v>63</v>
      </c>
      <c r="K19" s="776">
        <f>vlookup(A19,'SC Data'!$A$299:$D$350,4,FALSE)</f>
        <v>1</v>
      </c>
      <c r="L19" s="254">
        <f>vlookup(A19,'SC Data'!$A$66:$B$117,2,FALSE)</f>
        <v>46</v>
      </c>
      <c r="M19" s="255" t="s">
        <v>63</v>
      </c>
      <c r="N19" s="253" t="s">
        <v>63</v>
      </c>
      <c r="O19" s="253" t="s">
        <v>63</v>
      </c>
      <c r="P19" s="261">
        <f>ifna(vlookup(A19,'Population &amp; Church Numbers'!$A$2319:$D$2364,4,FALSE),"NULL")</f>
        <v>68</v>
      </c>
      <c r="Q19" s="262" t="s">
        <v>63</v>
      </c>
    </row>
    <row r="20">
      <c r="A20" s="188" t="s">
        <v>1204</v>
      </c>
      <c r="B20" s="189">
        <f t="array" ref="B20">VLOOKUP($A20,SC_DEMO,2,FALSE)</f>
        <v>161540</v>
      </c>
      <c r="C20" s="264">
        <f>vlookup(A20,'SC Data'!$C$4:$P$62,4,FALSE)</f>
        <v>63</v>
      </c>
      <c r="D20" s="265" t="s">
        <v>63</v>
      </c>
      <c r="E20" s="265">
        <f>vlookup(A20,'SC Data'!$C$4:$P$62,7,FALSE)+vlookup(A20,'SC Data'!$C$4:$P$62,9,FALSE)</f>
        <v>37</v>
      </c>
      <c r="F20" s="265">
        <f>vlookup(A20,'SC Data'!$C$4:$P$62,5,FALSE)</f>
        <v>11</v>
      </c>
      <c r="G20" s="265">
        <f>iferror(vlookup(A20,'SC Data'!$B$240:$F$290,5,FALSE),"NULL")</f>
        <v>40</v>
      </c>
      <c r="H20" s="266">
        <f>vlookup(A20,'SC Data'!$A$122:$D$175,4,FALSE)</f>
        <v>63</v>
      </c>
      <c r="I20" s="267">
        <f>iferror(vlookup(A20,'SC Data'!$B$180:$F$235,5,FALSE),"NULL")</f>
        <v>5</v>
      </c>
      <c r="J20" s="268" t="s">
        <v>63</v>
      </c>
      <c r="K20" s="269">
        <f>vlookup(A20,'SC Data'!$A$299:$D$350,4,FALSE)</f>
        <v>0.64</v>
      </c>
      <c r="L20" s="266">
        <f>vlookup(A20,'SC Data'!$A$66:$B$117,2,FALSE)</f>
        <v>138</v>
      </c>
      <c r="M20" s="267" t="s">
        <v>63</v>
      </c>
      <c r="N20" s="265" t="s">
        <v>63</v>
      </c>
      <c r="O20" s="265" t="s">
        <v>63</v>
      </c>
      <c r="P20" s="272">
        <f>ifna(vlookup(A20,'Population &amp; Church Numbers'!$A$2319:$D$2364,4,FALSE),"NULL")</f>
        <v>126</v>
      </c>
      <c r="Q20" s="273" t="s">
        <v>63</v>
      </c>
    </row>
    <row r="21">
      <c r="A21" s="326" t="s">
        <v>1825</v>
      </c>
      <c r="B21" s="251">
        <f t="array" ref="B21">VLOOKUP($A21,SC_DEMO,2,FALSE)</f>
        <v>25657</v>
      </c>
      <c r="C21" s="252">
        <f>vlookup(A21,'SC Data'!$C$4:$P$62,4,FALSE)</f>
        <v>8</v>
      </c>
      <c r="D21" s="253" t="s">
        <v>63</v>
      </c>
      <c r="E21" s="253">
        <f>vlookup(A21,'SC Data'!$C$4:$P$62,7,FALSE)+vlookup(A21,'SC Data'!$C$4:$P$62,9,FALSE)</f>
        <v>6</v>
      </c>
      <c r="F21" s="253">
        <f>vlookup(A21,'SC Data'!$C$4:$P$62,5,FALSE)</f>
        <v>1</v>
      </c>
      <c r="G21" s="253">
        <f>iferror(vlookup(A21,'SC Data'!$B$240:$F$290,5,FALSE),"NULL")</f>
        <v>7</v>
      </c>
      <c r="H21" s="254">
        <f>vlookup(A21,'SC Data'!$A$122:$D$175,4,FALSE)</f>
        <v>4</v>
      </c>
      <c r="I21" s="255">
        <f>iferror(vlookup(A21,'SC Data'!$B$180:$F$235,5,FALSE),"NULL")</f>
        <v>4</v>
      </c>
      <c r="J21" s="256" t="s">
        <v>63</v>
      </c>
      <c r="K21" s="776">
        <f>vlookup(A21,'SC Data'!$A$299:$D$350,4,FALSE)</f>
        <v>1</v>
      </c>
      <c r="L21" s="254">
        <f>vlookup(A21,'SC Data'!$A$66:$B$117,2,FALSE)</f>
        <v>16</v>
      </c>
      <c r="M21" s="255" t="s">
        <v>63</v>
      </c>
      <c r="N21" s="253" t="s">
        <v>63</v>
      </c>
      <c r="O21" s="253" t="s">
        <v>63</v>
      </c>
      <c r="P21" s="261">
        <f>ifna(vlookup(A21,'Population &amp; Church Numbers'!$A$2319:$D$2364,4,FALSE),"NULL")</f>
        <v>40</v>
      </c>
      <c r="Q21" s="262" t="s">
        <v>63</v>
      </c>
    </row>
    <row r="22">
      <c r="A22" s="188" t="s">
        <v>442</v>
      </c>
      <c r="B22" s="189">
        <f t="array" ref="B22">VLOOKUP($A22,SC_DEMO,2,FALSE)</f>
        <v>20948</v>
      </c>
      <c r="C22" s="264">
        <f>vlookup(A22,'SC Data'!$C$4:$P$62,4,FALSE)</f>
        <v>16</v>
      </c>
      <c r="D22" s="265" t="s">
        <v>63</v>
      </c>
      <c r="E22" s="265">
        <f>vlookup(A22,'SC Data'!$C$4:$P$62,7,FALSE)+vlookup(A22,'SC Data'!$C$4:$P$62,9,FALSE)</f>
        <v>7</v>
      </c>
      <c r="F22" s="265">
        <f>vlookup(A22,'SC Data'!$C$4:$P$62,5,FALSE)</f>
        <v>9</v>
      </c>
      <c r="G22" s="265">
        <f>iferror(vlookup(A22,'SC Data'!$B$240:$F$290,5,FALSE),"NULL")</f>
        <v>7</v>
      </c>
      <c r="H22" s="266">
        <f>vlookup(A22,'SC Data'!$A$122:$D$175,4,FALSE)</f>
        <v>6</v>
      </c>
      <c r="I22" s="267">
        <f>iferror(vlookup(A22,'SC Data'!$B$180:$F$235,5,FALSE),"NULL")</f>
        <v>2</v>
      </c>
      <c r="J22" s="268" t="s">
        <v>63</v>
      </c>
      <c r="K22" s="269">
        <f>vlookup(A22,'SC Data'!$A$299:$D$350,4,FALSE)</f>
        <v>0.778</v>
      </c>
      <c r="L22" s="266">
        <f>vlookup(A22,'SC Data'!$A$66:$B$117,2,FALSE)</f>
        <v>11</v>
      </c>
      <c r="M22" s="267" t="s">
        <v>63</v>
      </c>
      <c r="N22" s="265" t="s">
        <v>63</v>
      </c>
      <c r="O22" s="265" t="s">
        <v>63</v>
      </c>
      <c r="P22" s="272">
        <f>ifna(vlookup(A22,'Population &amp; Church Numbers'!$A$2319:$D$2364,4,FALSE),"NULL")</f>
        <v>75</v>
      </c>
      <c r="Q22" s="273" t="s">
        <v>63</v>
      </c>
    </row>
    <row r="23">
      <c r="A23" s="326" t="s">
        <v>1826</v>
      </c>
      <c r="B23" s="251">
        <f t="array" ref="B23">VLOOKUP($A23,SC_DEMO,2,FALSE)</f>
        <v>137059</v>
      </c>
      <c r="C23" s="252">
        <f>vlookup(A23,'SC Data'!$C$4:$P$62,4,FALSE)</f>
        <v>68</v>
      </c>
      <c r="D23" s="253" t="s">
        <v>63</v>
      </c>
      <c r="E23" s="253">
        <f>vlookup(A23,'SC Data'!$C$4:$P$62,7,FALSE)+vlookup(A23,'SC Data'!$C$4:$P$62,9,FALSE)</f>
        <v>23</v>
      </c>
      <c r="F23" s="253">
        <f>vlookup(A23,'SC Data'!$C$4:$P$62,5,FALSE)</f>
        <v>32</v>
      </c>
      <c r="G23" s="253">
        <f>iferror(vlookup(A23,'SC Data'!$B$240:$F$290,5,FALSE),"NULL")</f>
        <v>26</v>
      </c>
      <c r="H23" s="254">
        <f>vlookup(A23,'SC Data'!$A$122:$D$175,4,FALSE)</f>
        <v>119</v>
      </c>
      <c r="I23" s="255">
        <f>iferror(vlookup(A23,'SC Data'!$B$180:$F$235,5,FALSE),"NULL")</f>
        <v>2</v>
      </c>
      <c r="J23" s="256" t="s">
        <v>63</v>
      </c>
      <c r="K23" s="776">
        <f>vlookup(A23,'SC Data'!$A$299:$D$350,4,FALSE)</f>
        <v>0.718</v>
      </c>
      <c r="L23" s="254">
        <f>vlookup(A23,'SC Data'!$A$66:$B$117,2,FALSE)</f>
        <v>107</v>
      </c>
      <c r="M23" s="255" t="s">
        <v>63</v>
      </c>
      <c r="N23" s="253" t="s">
        <v>63</v>
      </c>
      <c r="O23" s="253" t="s">
        <v>63</v>
      </c>
      <c r="P23" s="261">
        <f>ifna(vlookup(A23,'Population &amp; Church Numbers'!$A$2319:$D$2364,4,FALSE),"NULL")</f>
        <v>218</v>
      </c>
      <c r="Q23" s="262" t="s">
        <v>63</v>
      </c>
    </row>
    <row r="24">
      <c r="A24" s="188" t="s">
        <v>1827</v>
      </c>
      <c r="B24" s="189">
        <f t="array" ref="B24">VLOOKUP($A24,SC_DEMO,2,FALSE)</f>
        <v>63404</v>
      </c>
      <c r="C24" s="264">
        <f>vlookup(A24,'SC Data'!$C$4:$P$62,4,FALSE)</f>
        <v>20</v>
      </c>
      <c r="D24" s="265" t="s">
        <v>63</v>
      </c>
      <c r="E24" s="265">
        <f>vlookup(A24,'SC Data'!$C$4:$P$62,7,FALSE)+vlookup(A24,'SC Data'!$C$4:$P$62,9,FALSE)</f>
        <v>4</v>
      </c>
      <c r="F24" s="265">
        <f>vlookup(A24,'SC Data'!$C$4:$P$62,5,FALSE)</f>
        <v>14</v>
      </c>
      <c r="G24" s="265">
        <f>iferror(vlookup(A24,'SC Data'!$B$240:$F$290,5,FALSE),"NULL")</f>
        <v>6</v>
      </c>
      <c r="H24" s="266">
        <f>vlookup(A24,'SC Data'!$A$122:$D$175,4,FALSE)</f>
        <v>38</v>
      </c>
      <c r="I24" s="267">
        <f>iferror(vlookup(A24,'SC Data'!$B$180:$F$235,5,FALSE),"NULL")</f>
        <v>1</v>
      </c>
      <c r="J24" s="268" t="s">
        <v>63</v>
      </c>
      <c r="K24" s="269">
        <f>vlookup(A24,'SC Data'!$A$299:$D$350,4,FALSE)</f>
        <v>0.9</v>
      </c>
      <c r="L24" s="266">
        <f>vlookup(A24,'SC Data'!$A$66:$B$117,2,FALSE)</f>
        <v>30</v>
      </c>
      <c r="M24" s="267" t="s">
        <v>63</v>
      </c>
      <c r="N24" s="265" t="s">
        <v>63</v>
      </c>
      <c r="O24" s="265" t="s">
        <v>63</v>
      </c>
      <c r="P24" s="272">
        <f>ifna(vlookup(A24,'Population &amp; Church Numbers'!$A$2319:$D$2364,4,FALSE),"NULL")</f>
        <v>112</v>
      </c>
      <c r="Q24" s="273" t="s">
        <v>63</v>
      </c>
    </row>
    <row r="25">
      <c r="A25" s="326" t="s">
        <v>1828</v>
      </c>
      <c r="B25" s="251">
        <f t="array" ref="B25">VLOOKUP($A25,SC_DEMO,2,FALSE)</f>
        <v>525534</v>
      </c>
      <c r="C25" s="252">
        <f>vlookup(A25,'SC Data'!$C$4:$P$62,4,FALSE)</f>
        <v>191</v>
      </c>
      <c r="D25" s="253" t="s">
        <v>63</v>
      </c>
      <c r="E25" s="253">
        <f>vlookup(A25,'SC Data'!$C$4:$P$62,7,FALSE)+vlookup(A25,'SC Data'!$C$4:$P$62,9,FALSE)</f>
        <v>119</v>
      </c>
      <c r="F25" s="253">
        <f>vlookup(A25,'SC Data'!$C$4:$P$62,5,FALSE)</f>
        <v>45</v>
      </c>
      <c r="G25" s="253">
        <f>iferror(vlookup(A25,'SC Data'!$B$240:$F$290,5,FALSE),"NULL")</f>
        <v>111</v>
      </c>
      <c r="H25" s="254">
        <f>vlookup(A25,'SC Data'!$A$122:$D$175,4,FALSE)</f>
        <v>263</v>
      </c>
      <c r="I25" s="255">
        <f>iferror(vlookup(A25,'SC Data'!$B$180:$F$235,5,FALSE),"NULL")</f>
        <v>19</v>
      </c>
      <c r="J25" s="256" t="s">
        <v>63</v>
      </c>
      <c r="K25" s="776">
        <f>vlookup(A25,'SC Data'!$A$299:$D$350,4,FALSE)</f>
        <v>0.848</v>
      </c>
      <c r="L25" s="254">
        <f>vlookup(A25,'SC Data'!$A$66:$B$117,2,FALSE)</f>
        <v>470</v>
      </c>
      <c r="M25" s="255" t="s">
        <v>63</v>
      </c>
      <c r="N25" s="253" t="s">
        <v>63</v>
      </c>
      <c r="O25" s="253" t="s">
        <v>63</v>
      </c>
      <c r="P25" s="261">
        <f>ifna(vlookup(A25,'Population &amp; Church Numbers'!$A$2319:$D$2364,4,FALSE),"NULL")</f>
        <v>478</v>
      </c>
      <c r="Q25" s="262" t="s">
        <v>63</v>
      </c>
    </row>
    <row r="26">
      <c r="A26" s="188" t="s">
        <v>977</v>
      </c>
      <c r="B26" s="189">
        <f t="array" ref="B26">VLOOKUP($A26,SC_DEMO,2,FALSE)</f>
        <v>69351</v>
      </c>
      <c r="C26" s="264">
        <f>vlookup(A26,'SC Data'!$C$4:$P$62,4,FALSE)</f>
        <v>61</v>
      </c>
      <c r="D26" s="265" t="s">
        <v>63</v>
      </c>
      <c r="E26" s="265">
        <f>vlookup(A26,'SC Data'!$C$4:$P$62,7,FALSE)+vlookup(A26,'SC Data'!$C$4:$P$62,9,FALSE)</f>
        <v>36</v>
      </c>
      <c r="F26" s="265">
        <f>vlookup(A26,'SC Data'!$C$4:$P$62,5,FALSE)</f>
        <v>17</v>
      </c>
      <c r="G26" s="265">
        <f>iferror(vlookup(A26,'SC Data'!$B$240:$F$290,5,FALSE),"NULL")</f>
        <v>40</v>
      </c>
      <c r="H26" s="266">
        <f>vlookup(A26,'SC Data'!$A$122:$D$175,4,FALSE)</f>
        <v>19</v>
      </c>
      <c r="I26" s="267">
        <f>iferror(vlookup(A26,'SC Data'!$B$180:$F$235,5,FALSE),"NULL")</f>
        <v>10</v>
      </c>
      <c r="J26" s="268" t="s">
        <v>63</v>
      </c>
      <c r="K26" s="269">
        <f>vlookup(A26,'SC Data'!$A$299:$D$350,4,FALSE)</f>
        <v>0.88</v>
      </c>
      <c r="L26" s="266">
        <f>vlookup(A26,'SC Data'!$A$66:$B$117,2,FALSE)</f>
        <v>59</v>
      </c>
      <c r="M26" s="267" t="s">
        <v>63</v>
      </c>
      <c r="N26" s="265" t="s">
        <v>63</v>
      </c>
      <c r="O26" s="265" t="s">
        <v>63</v>
      </c>
      <c r="P26" s="272">
        <f>ifna(vlookup(A26,'Population &amp; Church Numbers'!$A$2319:$D$2364,4,FALSE),"NULL")</f>
        <v>133</v>
      </c>
      <c r="Q26" s="273" t="s">
        <v>63</v>
      </c>
    </row>
    <row r="27">
      <c r="A27" s="326" t="s">
        <v>1829</v>
      </c>
      <c r="B27" s="251">
        <f t="array" ref="B27">VLOOKUP($A27,SC_DEMO,2,FALSE)</f>
        <v>18561</v>
      </c>
      <c r="C27" s="252">
        <f>vlookup(A27,'SC Data'!$C$4:$P$62,4,FALSE)</f>
        <v>13</v>
      </c>
      <c r="D27" s="253" t="s">
        <v>63</v>
      </c>
      <c r="E27" s="253">
        <f>vlookup(A27,'SC Data'!$C$4:$P$62,7,FALSE)+vlookup(A27,'SC Data'!$C$4:$P$62,9,FALSE)</f>
        <v>7</v>
      </c>
      <c r="F27" s="253">
        <f>vlookup(A27,'SC Data'!$C$4:$P$62,5,FALSE)</f>
        <v>3</v>
      </c>
      <c r="G27" s="253">
        <f>iferror(vlookup(A27,'SC Data'!$B$240:$F$290,5,FALSE),"NULL")</f>
        <v>8</v>
      </c>
      <c r="H27" s="254">
        <f>vlookup(A27,'SC Data'!$A$122:$D$175,4,FALSE)</f>
        <v>8</v>
      </c>
      <c r="I27" s="255">
        <f>iferror(vlookup(A27,'SC Data'!$B$180:$F$235,5,FALSE),"NULL")</f>
        <v>0</v>
      </c>
      <c r="J27" s="256" t="s">
        <v>63</v>
      </c>
      <c r="K27" s="776">
        <f>vlookup(A27,'SC Data'!$A$299:$D$350,4,FALSE)</f>
        <v>0.909</v>
      </c>
      <c r="L27" s="254">
        <f>vlookup(A27,'SC Data'!$A$66:$B$117,2,FALSE)</f>
        <v>35</v>
      </c>
      <c r="M27" s="255" t="s">
        <v>63</v>
      </c>
      <c r="N27" s="253" t="s">
        <v>63</v>
      </c>
      <c r="O27" s="253" t="s">
        <v>63</v>
      </c>
      <c r="P27" s="261">
        <f>ifna(vlookup(A27,'Population &amp; Church Numbers'!$A$2319:$D$2364,4,FALSE),"NULL")</f>
        <v>70</v>
      </c>
      <c r="Q27" s="262" t="s">
        <v>63</v>
      </c>
    </row>
    <row r="28">
      <c r="A28" s="188" t="s">
        <v>1830</v>
      </c>
      <c r="B28" s="189">
        <f t="array" ref="B28">VLOOKUP($A28,SC_DEMO,2,FALSE)</f>
        <v>351029</v>
      </c>
      <c r="C28" s="264">
        <f>vlookup(A28,'SC Data'!$C$4:$P$62,4,FALSE)</f>
        <v>164</v>
      </c>
      <c r="D28" s="265" t="s">
        <v>63</v>
      </c>
      <c r="E28" s="265">
        <f>vlookup(A28,'SC Data'!$C$4:$P$62,7,FALSE)+vlookup(A28,'SC Data'!$C$4:$P$62,9,FALSE)</f>
        <v>95</v>
      </c>
      <c r="F28" s="265">
        <f>vlookup(A28,'SC Data'!$C$4:$P$62,5,FALSE)</f>
        <v>49</v>
      </c>
      <c r="G28" s="265">
        <f>iferror(vlookup(A28,'SC Data'!$B$240:$F$290,5,FALSE),"NULL")</f>
        <v>58</v>
      </c>
      <c r="H28" s="266">
        <f>vlookup(A28,'SC Data'!$A$122:$D$175,4,FALSE)</f>
        <v>125</v>
      </c>
      <c r="I28" s="267">
        <f>iferror(vlookup(A28,'SC Data'!$B$180:$F$235,5,FALSE),"NULL")</f>
        <v>25</v>
      </c>
      <c r="J28" s="268" t="s">
        <v>63</v>
      </c>
      <c r="K28" s="269">
        <f>vlookup(A28,'SC Data'!$A$299:$D$350,4,FALSE)</f>
        <v>0.731</v>
      </c>
      <c r="L28" s="266">
        <f>vlookup(A28,'SC Data'!$A$66:$B$117,2,FALSE)</f>
        <v>235</v>
      </c>
      <c r="M28" s="267" t="s">
        <v>63</v>
      </c>
      <c r="N28" s="265" t="s">
        <v>63</v>
      </c>
      <c r="O28" s="265" t="s">
        <v>63</v>
      </c>
      <c r="P28" s="272">
        <f>ifna(vlookup(A28,'Population &amp; Church Numbers'!$A$2319:$D$2364,4,FALSE),"NULL")</f>
        <v>316</v>
      </c>
      <c r="Q28" s="273" t="s">
        <v>63</v>
      </c>
    </row>
    <row r="29">
      <c r="A29" s="326" t="s">
        <v>593</v>
      </c>
      <c r="B29" s="251">
        <f t="array" ref="B29">VLOOKUP($A29,SC_DEMO,2,FALSE)</f>
        <v>28791</v>
      </c>
      <c r="C29" s="252">
        <f>vlookup(A29,'SC Data'!$C$4:$P$62,4,FALSE)</f>
        <v>31</v>
      </c>
      <c r="D29" s="253" t="s">
        <v>63</v>
      </c>
      <c r="E29" s="253">
        <f>vlookup(A29,'SC Data'!$C$4:$P$62,7,FALSE)+vlookup(A29,'SC Data'!$C$4:$P$62,9,FALSE)</f>
        <v>23</v>
      </c>
      <c r="F29" s="253">
        <f>vlookup(A29,'SC Data'!$C$4:$P$62,5,FALSE)</f>
        <v>5</v>
      </c>
      <c r="G29" s="253">
        <f>iferror(vlookup(A29,'SC Data'!$B$240:$F$290,5,FALSE),"NULL")</f>
        <v>25</v>
      </c>
      <c r="H29" s="254">
        <f>vlookup(A29,'SC Data'!$A$122:$D$175,4,FALSE)</f>
        <v>8</v>
      </c>
      <c r="I29" s="255">
        <f>iferror(vlookup(A29,'SC Data'!$B$180:$F$235,5,FALSE),"NULL")</f>
        <v>2</v>
      </c>
      <c r="J29" s="256" t="s">
        <v>63</v>
      </c>
      <c r="K29" s="776">
        <f>vlookup(A29,'SC Data'!$A$299:$D$350,4,FALSE)</f>
        <v>0.5</v>
      </c>
      <c r="L29" s="254">
        <f>vlookup(A29,'SC Data'!$A$66:$B$117,2,FALSE)</f>
        <v>38</v>
      </c>
      <c r="M29" s="255" t="s">
        <v>63</v>
      </c>
      <c r="N29" s="253" t="s">
        <v>63</v>
      </c>
      <c r="O29" s="253" t="s">
        <v>63</v>
      </c>
      <c r="P29" s="261">
        <f>ifna(vlookup(A29,'Population &amp; Church Numbers'!$A$2319:$D$2364,4,FALSE),"NULL")</f>
        <v>55</v>
      </c>
      <c r="Q29" s="262" t="s">
        <v>63</v>
      </c>
    </row>
    <row r="30">
      <c r="A30" s="188" t="s">
        <v>1831</v>
      </c>
      <c r="B30" s="189">
        <f t="array" ref="B30">VLOOKUP($A30,SC_DEMO,2,FALSE)</f>
        <v>65403</v>
      </c>
      <c r="C30" s="264">
        <f>vlookup(A30,'SC Data'!$C$4:$P$62,4,FALSE)</f>
        <v>87</v>
      </c>
      <c r="D30" s="265" t="s">
        <v>63</v>
      </c>
      <c r="E30" s="265">
        <f>vlookup(A30,'SC Data'!$C$4:$P$62,7,FALSE)+vlookup(A30,'SC Data'!$C$4:$P$62,9,FALSE)</f>
        <v>45</v>
      </c>
      <c r="F30" s="265">
        <f>vlookup(A30,'SC Data'!$C$4:$P$62,5,FALSE)</f>
        <v>34</v>
      </c>
      <c r="G30" s="265">
        <f>iferror(vlookup(A30,'SC Data'!$B$240:$F$290,5,FALSE),"NULL")</f>
        <v>45</v>
      </c>
      <c r="H30" s="266">
        <f>vlookup(A30,'SC Data'!$A$122:$D$175,4,FALSE)</f>
        <v>49</v>
      </c>
      <c r="I30" s="267">
        <f>iferror(vlookup(A30,'SC Data'!$B$180:$F$235,5,FALSE),"NULL")</f>
        <v>15</v>
      </c>
      <c r="J30" s="268" t="s">
        <v>63</v>
      </c>
      <c r="K30" s="269">
        <f>vlookup(A30,'SC Data'!$A$299:$D$350,4,FALSE)</f>
        <v>0.686</v>
      </c>
      <c r="L30" s="266">
        <f>vlookup(A30,'SC Data'!$A$66:$B$117,2,FALSE)</f>
        <v>76</v>
      </c>
      <c r="M30" s="267" t="s">
        <v>63</v>
      </c>
      <c r="N30" s="265" t="s">
        <v>63</v>
      </c>
      <c r="O30" s="265" t="s">
        <v>63</v>
      </c>
      <c r="P30" s="272">
        <f>ifna(vlookup(A30,'Population &amp; Church Numbers'!$A$2319:$D$2364,4,FALSE),"NULL")</f>
        <v>108</v>
      </c>
      <c r="Q30" s="273" t="s">
        <v>63</v>
      </c>
    </row>
    <row r="31">
      <c r="A31" s="326" t="s">
        <v>650</v>
      </c>
      <c r="B31" s="251">
        <f t="array" ref="B31">VLOOKUP($A31,SC_DEMO,2,FALSE)</f>
        <v>96016</v>
      </c>
      <c r="C31" s="252">
        <f>vlookup(A31,'SC Data'!$C$4:$P$62,4,FALSE)</f>
        <v>47</v>
      </c>
      <c r="D31" s="253" t="s">
        <v>63</v>
      </c>
      <c r="E31" s="253">
        <f>vlookup(A31,'SC Data'!$C$4:$P$62,7,FALSE)+vlookup(A31,'SC Data'!$C$4:$P$62,9,FALSE)</f>
        <v>36</v>
      </c>
      <c r="F31" s="253">
        <f>vlookup(A31,'SC Data'!$C$4:$P$62,5,FALSE)</f>
        <v>8</v>
      </c>
      <c r="G31" s="253">
        <f>iferror(vlookup(A31,'SC Data'!$B$240:$F$290,5,FALSE),"NULL")</f>
        <v>32</v>
      </c>
      <c r="H31" s="254">
        <f>vlookup(A31,'SC Data'!$A$122:$D$175,4,FALSE)</f>
        <v>32</v>
      </c>
      <c r="I31" s="255">
        <f>iferror(vlookup(A31,'SC Data'!$B$180:$F$235,5,FALSE),"NULL")</f>
        <v>12</v>
      </c>
      <c r="J31" s="256" t="s">
        <v>63</v>
      </c>
      <c r="K31" s="776">
        <f>vlookup(A31,'SC Data'!$A$299:$D$350,4,FALSE)</f>
        <v>0.75</v>
      </c>
      <c r="L31" s="254">
        <f>vlookup(A31,'SC Data'!$A$66:$B$117,2,FALSE)</f>
        <v>72</v>
      </c>
      <c r="M31" s="255" t="s">
        <v>63</v>
      </c>
      <c r="N31" s="253" t="s">
        <v>63</v>
      </c>
      <c r="O31" s="253" t="s">
        <v>63</v>
      </c>
      <c r="P31" s="261">
        <f>ifna(vlookup(A31,'Population &amp; Church Numbers'!$A$2319:$D$2364,4,FALSE),"NULL")</f>
        <v>140</v>
      </c>
      <c r="Q31" s="262" t="s">
        <v>63</v>
      </c>
    </row>
    <row r="32">
      <c r="A32" s="188" t="s">
        <v>601</v>
      </c>
      <c r="B32" s="189">
        <f t="array" ref="B32">VLOOKUP($A32,SC_DEMO,2,FALSE)</f>
        <v>67539</v>
      </c>
      <c r="C32" s="264">
        <f>vlookup(A32,'SC Data'!$C$4:$P$62,4,FALSE)</f>
        <v>108</v>
      </c>
      <c r="D32" s="265" t="s">
        <v>63</v>
      </c>
      <c r="E32" s="265">
        <f>vlookup(A32,'SC Data'!$C$4:$P$62,7,FALSE)+vlookup(A32,'SC Data'!$C$4:$P$62,9,FALSE)</f>
        <v>72</v>
      </c>
      <c r="F32" s="265">
        <f>vlookup(A32,'SC Data'!$C$4:$P$62,5,FALSE)</f>
        <v>21</v>
      </c>
      <c r="G32" s="265">
        <f>iferror(vlookup(A32,'SC Data'!$B$240:$F$290,5,FALSE),"NULL")</f>
        <v>82</v>
      </c>
      <c r="H32" s="266">
        <f>vlookup(A32,'SC Data'!$A$122:$D$175,4,FALSE)</f>
        <v>27</v>
      </c>
      <c r="I32" s="267">
        <f>iferror(vlookup(A32,'SC Data'!$B$180:$F$235,5,FALSE),"NULL")</f>
        <v>25</v>
      </c>
      <c r="J32" s="268" t="s">
        <v>63</v>
      </c>
      <c r="K32" s="269">
        <f>vlookup(A32,'SC Data'!$A$299:$D$350,4,FALSE)</f>
        <v>0.681</v>
      </c>
      <c r="L32" s="266">
        <f>vlookup(A32,'SC Data'!$A$66:$B$117,2,FALSE)</f>
        <v>83</v>
      </c>
      <c r="M32" s="267" t="s">
        <v>63</v>
      </c>
      <c r="N32" s="265" t="s">
        <v>63</v>
      </c>
      <c r="O32" s="265" t="s">
        <v>63</v>
      </c>
      <c r="P32" s="272">
        <f>ifna(vlookup(A32,'Population &amp; Church Numbers'!$A$2319:$D$2364,4,FALSE),"NULL")</f>
        <v>129</v>
      </c>
      <c r="Q32" s="273" t="s">
        <v>63</v>
      </c>
    </row>
    <row r="33">
      <c r="A33" s="326" t="s">
        <v>147</v>
      </c>
      <c r="B33" s="251">
        <f t="array" ref="B33">VLOOKUP($A33,SC_DEMO,2,FALSE)</f>
        <v>16531</v>
      </c>
      <c r="C33" s="252">
        <f>vlookup(A33,'SC Data'!$C$4:$P$62,4,FALSE)</f>
        <v>16</v>
      </c>
      <c r="D33" s="253" t="s">
        <v>63</v>
      </c>
      <c r="E33" s="253">
        <f>vlookup(A33,'SC Data'!$C$4:$P$62,7,FALSE)+vlookup(A33,'SC Data'!$C$4:$P$62,9,FALSE)</f>
        <v>9</v>
      </c>
      <c r="F33" s="253">
        <f>vlookup(A33,'SC Data'!$C$4:$P$62,5,FALSE)</f>
        <v>6</v>
      </c>
      <c r="G33" s="253">
        <f>iferror(vlookup(A33,'SC Data'!$B$240:$F$290,5,FALSE),"NULL")</f>
        <v>10</v>
      </c>
      <c r="H33" s="254">
        <f>vlookup(A33,'SC Data'!$A$122:$D$175,4,FALSE)</f>
        <v>5</v>
      </c>
      <c r="I33" s="255">
        <f>iferror(vlookup(A33,'SC Data'!$B$180:$F$235,5,FALSE),"NULL")</f>
        <v>1</v>
      </c>
      <c r="J33" s="256" t="s">
        <v>63</v>
      </c>
      <c r="K33" s="274" t="s">
        <v>63</v>
      </c>
      <c r="L33" s="254">
        <f>vlookup(A33,'SC Data'!$A$66:$B$117,2,FALSE)</f>
        <v>24</v>
      </c>
      <c r="M33" s="255" t="s">
        <v>63</v>
      </c>
      <c r="N33" s="253" t="s">
        <v>63</v>
      </c>
      <c r="O33" s="253" t="s">
        <v>63</v>
      </c>
      <c r="P33" s="261">
        <f>ifna(vlookup(A33,'Population &amp; Church Numbers'!$A$2319:$D$2364,4,FALSE),"NULL")</f>
        <v>58</v>
      </c>
      <c r="Q33" s="262" t="s">
        <v>63</v>
      </c>
    </row>
    <row r="34">
      <c r="A34" s="188" t="s">
        <v>1832</v>
      </c>
      <c r="B34" s="189">
        <f t="array" ref="B34">VLOOKUP($A34,SC_DEMO,2,FALSE)</f>
        <v>293991</v>
      </c>
      <c r="C34" s="264">
        <f>vlookup(A34,'SC Data'!$C$4:$P$62,4,FALSE)</f>
        <v>124</v>
      </c>
      <c r="D34" s="265" t="s">
        <v>63</v>
      </c>
      <c r="E34" s="265">
        <f>vlookup(A34,'SC Data'!$C$4:$P$62,7,FALSE)+vlookup(A34,'SC Data'!$C$4:$P$62,9,FALSE)</f>
        <v>79</v>
      </c>
      <c r="F34" s="265">
        <f>vlookup(A34,'SC Data'!$C$4:$P$62,5,FALSE)</f>
        <v>31</v>
      </c>
      <c r="G34" s="265">
        <f>iferror(vlookup(A34,'SC Data'!$B$240:$F$290,5,FALSE),"NULL")</f>
        <v>74</v>
      </c>
      <c r="H34" s="266">
        <f>vlookup(A34,'SC Data'!$A$122:$D$175,4,FALSE)</f>
        <v>129</v>
      </c>
      <c r="I34" s="267">
        <f>iferror(vlookup(A34,'SC Data'!$B$180:$F$235,5,FALSE),"NULL")</f>
        <v>23</v>
      </c>
      <c r="J34" s="268" t="s">
        <v>63</v>
      </c>
      <c r="K34" s="269">
        <f>vlookup(A34,'SC Data'!$A$299:$D$350,4,FALSE)</f>
        <v>0.627</v>
      </c>
      <c r="L34" s="266">
        <f>vlookup(A34,'SC Data'!$A$66:$B$117,2,FALSE)</f>
        <v>114</v>
      </c>
      <c r="M34" s="267" t="s">
        <v>63</v>
      </c>
      <c r="N34" s="265" t="s">
        <v>63</v>
      </c>
      <c r="O34" s="265" t="s">
        <v>63</v>
      </c>
      <c r="P34" s="272">
        <f>ifna(vlookup(A34,'Population &amp; Church Numbers'!$A$2319:$D$2364,4,FALSE),"NULL")</f>
        <v>254</v>
      </c>
      <c r="Q34" s="273" t="s">
        <v>63</v>
      </c>
    </row>
    <row r="35">
      <c r="A35" s="326" t="s">
        <v>1833</v>
      </c>
      <c r="B35" s="251">
        <f t="array" ref="B35">VLOOKUP($A35,SC_DEMO,2,FALSE)</f>
        <v>9526</v>
      </c>
      <c r="C35" s="252">
        <f>vlookup(A35,'SC Data'!$C$4:$P$62,4,FALSE)</f>
        <v>1</v>
      </c>
      <c r="D35" s="253" t="s">
        <v>63</v>
      </c>
      <c r="E35" s="253">
        <f>vlookup(A35,'SC Data'!$C$4:$P$62,7,FALSE)+vlookup(A35,'SC Data'!$C$4:$P$62,9,FALSE)</f>
        <v>1</v>
      </c>
      <c r="F35" s="253" t="s">
        <v>63</v>
      </c>
      <c r="G35" s="253">
        <f>iferror(vlookup(A35,'SC Data'!$B$240:$F$290,5,FALSE),"NULL")</f>
        <v>1</v>
      </c>
      <c r="H35" s="254">
        <f>vlookup(A35,'SC Data'!$A$122:$D$175,4,FALSE)</f>
        <v>2</v>
      </c>
      <c r="I35" s="255" t="str">
        <f>iferror(vlookup(A35,'SC Data'!$B$180:$F$235,5,FALSE),"NULL")</f>
        <v>NULL</v>
      </c>
      <c r="J35" s="256" t="s">
        <v>63</v>
      </c>
      <c r="K35" s="776">
        <f>vlookup(A35,'SC Data'!$A$299:$D$350,4,FALSE)</f>
        <v>1</v>
      </c>
      <c r="L35" s="254">
        <f>vlookup(A35,'SC Data'!$A$66:$B$117,2,FALSE)</f>
        <v>8</v>
      </c>
      <c r="M35" s="255" t="s">
        <v>63</v>
      </c>
      <c r="N35" s="253" t="s">
        <v>63</v>
      </c>
      <c r="O35" s="253" t="s">
        <v>63</v>
      </c>
      <c r="P35" s="261">
        <f>ifna(vlookup(A35,'Population &amp; Church Numbers'!$A$2319:$D$2364,4,FALSE),"NULL")</f>
        <v>32</v>
      </c>
      <c r="Q35" s="262" t="s">
        <v>63</v>
      </c>
    </row>
    <row r="36">
      <c r="A36" s="188" t="s">
        <v>153</v>
      </c>
      <c r="B36" s="189">
        <f t="array" ref="B36">VLOOKUP($A36,SC_DEMO,2,FALSE)</f>
        <v>29183</v>
      </c>
      <c r="C36" s="264">
        <f>vlookup(A36,'SC Data'!$C$4:$P$62,4,FALSE)</f>
        <v>29</v>
      </c>
      <c r="D36" s="265" t="s">
        <v>63</v>
      </c>
      <c r="E36" s="265">
        <f>vlookup(A36,'SC Data'!$C$4:$P$62,7,FALSE)+vlookup(A36,'SC Data'!$C$4:$P$62,9,FALSE)</f>
        <v>13</v>
      </c>
      <c r="F36" s="265">
        <f>vlookup(A36,'SC Data'!$C$4:$P$62,5,FALSE)</f>
        <v>12</v>
      </c>
      <c r="G36" s="265">
        <f>iferror(vlookup(A36,'SC Data'!$B$240:$F$290,5,FALSE),"NULL")</f>
        <v>14</v>
      </c>
      <c r="H36" s="266">
        <f>vlookup(A36,'SC Data'!$A$122:$D$175,4,FALSE)</f>
        <v>19</v>
      </c>
      <c r="I36" s="267">
        <f>iferror(vlookup(A36,'SC Data'!$B$180:$F$235,5,FALSE),"NULL")</f>
        <v>3</v>
      </c>
      <c r="J36" s="268" t="s">
        <v>63</v>
      </c>
      <c r="K36" s="269">
        <f>vlookup(A36,'SC Data'!$A$299:$D$350,4,FALSE)</f>
        <v>0.75</v>
      </c>
      <c r="L36" s="266">
        <f>vlookup(A36,'SC Data'!$A$66:$B$117,2,FALSE)</f>
        <v>35</v>
      </c>
      <c r="M36" s="267" t="s">
        <v>63</v>
      </c>
      <c r="N36" s="265" t="s">
        <v>63</v>
      </c>
      <c r="O36" s="265" t="s">
        <v>63</v>
      </c>
      <c r="P36" s="272">
        <f>ifna(vlookup(A36,'Population &amp; Church Numbers'!$A$2319:$D$2364,4,FALSE),"NULL")</f>
        <v>63</v>
      </c>
      <c r="Q36" s="273" t="s">
        <v>63</v>
      </c>
    </row>
    <row r="37">
      <c r="A37" s="326" t="s">
        <v>1834</v>
      </c>
      <c r="B37" s="251">
        <f t="array" ref="B37">VLOOKUP($A37,SC_DEMO,2,FALSE)</f>
        <v>26667</v>
      </c>
      <c r="C37" s="252">
        <f>vlookup(A37,'SC Data'!$C$4:$P$62,4,FALSE)</f>
        <v>11</v>
      </c>
      <c r="D37" s="253" t="s">
        <v>63</v>
      </c>
      <c r="E37" s="253">
        <f>vlookup(A37,'SC Data'!$C$4:$P$62,7,FALSE)+vlookup(A37,'SC Data'!$C$4:$P$62,9,FALSE)</f>
        <v>9</v>
      </c>
      <c r="F37" s="253">
        <f>vlookup(A37,'SC Data'!$C$4:$P$62,5,FALSE)</f>
        <v>2</v>
      </c>
      <c r="G37" s="253">
        <f>iferror(vlookup(A37,'SC Data'!$B$240:$F$290,5,FALSE),"NULL")</f>
        <v>9</v>
      </c>
      <c r="H37" s="254">
        <f>vlookup(A37,'SC Data'!$A$122:$D$175,4,FALSE)</f>
        <v>7</v>
      </c>
      <c r="I37" s="255">
        <f>iferror(vlookup(A37,'SC Data'!$B$180:$F$235,5,FALSE),"NULL")</f>
        <v>2</v>
      </c>
      <c r="J37" s="256" t="s">
        <v>63</v>
      </c>
      <c r="K37" s="776">
        <f>vlookup(A37,'SC Data'!$A$299:$D$350,4,FALSE)</f>
        <v>0.923</v>
      </c>
      <c r="L37" s="254">
        <f>vlookup(A37,'SC Data'!$A$66:$B$117,2,FALSE)</f>
        <v>27</v>
      </c>
      <c r="M37" s="255" t="s">
        <v>63</v>
      </c>
      <c r="N37" s="253" t="s">
        <v>63</v>
      </c>
      <c r="O37" s="253" t="s">
        <v>63</v>
      </c>
      <c r="P37" s="261">
        <f>ifna(vlookup(A37,'Population &amp; Church Numbers'!$A$2319:$D$2364,4,FALSE),"NULL")</f>
        <v>48</v>
      </c>
      <c r="Q37" s="262" t="s">
        <v>63</v>
      </c>
    </row>
    <row r="38">
      <c r="A38" s="188" t="s">
        <v>1835</v>
      </c>
      <c r="B38" s="189">
        <f t="array" ref="B38">VLOOKUP($A38,SC_DEMO,2,FALSE)</f>
        <v>37719</v>
      </c>
      <c r="C38" s="264">
        <f>vlookup(A38,'SC Data'!$C$4:$P$62,4,FALSE)</f>
        <v>11</v>
      </c>
      <c r="D38" s="265" t="s">
        <v>63</v>
      </c>
      <c r="E38" s="265">
        <f>vlookup(A38,'SC Data'!$C$4:$P$62,7,FALSE)+vlookup(A38,'SC Data'!$C$4:$P$62,9,FALSE)</f>
        <v>9</v>
      </c>
      <c r="F38" s="265">
        <f>vlookup(A38,'SC Data'!$C$4:$P$62,5,FALSE)</f>
        <v>2</v>
      </c>
      <c r="G38" s="265">
        <f>iferror(vlookup(A38,'SC Data'!$B$240:$F$290,5,FALSE),"NULL")</f>
        <v>9</v>
      </c>
      <c r="H38" s="266">
        <f>vlookup(A38,'SC Data'!$A$122:$D$175,4,FALSE)</f>
        <v>11</v>
      </c>
      <c r="I38" s="267">
        <f>iferror(vlookup(A38,'SC Data'!$B$180:$F$235,5,FALSE),"NULL")</f>
        <v>0</v>
      </c>
      <c r="J38" s="268" t="s">
        <v>63</v>
      </c>
      <c r="K38" s="269">
        <f>vlookup(A38,'SC Data'!$A$299:$D$350,4,FALSE)</f>
        <v>0.643</v>
      </c>
      <c r="L38" s="266">
        <f>vlookup(A38,'SC Data'!$A$66:$B$117,2,FALSE)</f>
        <v>29</v>
      </c>
      <c r="M38" s="267" t="s">
        <v>63</v>
      </c>
      <c r="N38" s="265" t="s">
        <v>63</v>
      </c>
      <c r="O38" s="265" t="s">
        <v>63</v>
      </c>
      <c r="P38" s="272">
        <f>ifna(vlookup(A38,'Population &amp; Church Numbers'!$A$2319:$D$2364,4,FALSE),"NULL")</f>
        <v>65</v>
      </c>
      <c r="Q38" s="273" t="s">
        <v>63</v>
      </c>
    </row>
    <row r="39">
      <c r="A39" s="326" t="s">
        <v>614</v>
      </c>
      <c r="B39" s="251">
        <f t="array" ref="B39">VLOOKUP($A39,SC_DEMO,2,FALSE)</f>
        <v>78607</v>
      </c>
      <c r="C39" s="252">
        <f>vlookup(A39,'SC Data'!$C$4:$P$62,4,FALSE)</f>
        <v>45</v>
      </c>
      <c r="D39" s="253" t="s">
        <v>63</v>
      </c>
      <c r="E39" s="253">
        <f>vlookup(A39,'SC Data'!$C$4:$P$62,7,FALSE)+vlookup(A39,'SC Data'!$C$4:$P$62,9,FALSE)</f>
        <v>29</v>
      </c>
      <c r="F39" s="253">
        <f>vlookup(A39,'SC Data'!$C$4:$P$62,5,FALSE)</f>
        <v>12</v>
      </c>
      <c r="G39" s="253">
        <f>iferror(vlookup(A39,'SC Data'!$B$240:$F$290,5,FALSE),"NULL")</f>
        <v>21</v>
      </c>
      <c r="H39" s="254">
        <f>vlookup(A39,'SC Data'!$A$122:$D$175,4,FALSE)</f>
        <v>23</v>
      </c>
      <c r="I39" s="255">
        <f>iferror(vlookup(A39,'SC Data'!$B$180:$F$235,5,FALSE),"NULL")</f>
        <v>9</v>
      </c>
      <c r="J39" s="256" t="s">
        <v>63</v>
      </c>
      <c r="K39" s="776">
        <f>vlookup(A39,'SC Data'!$A$299:$D$350,4,FALSE)</f>
        <v>0.783</v>
      </c>
      <c r="L39" s="254">
        <f>vlookup(A39,'SC Data'!$A$66:$B$117,2,FALSE)</f>
        <v>70</v>
      </c>
      <c r="M39" s="255" t="s">
        <v>63</v>
      </c>
      <c r="N39" s="253" t="s">
        <v>63</v>
      </c>
      <c r="O39" s="253" t="s">
        <v>63</v>
      </c>
      <c r="P39" s="261">
        <f>ifna(vlookup(A39,'Population &amp; Church Numbers'!$A$2319:$D$2364,4,FALSE),"NULL")</f>
        <v>88</v>
      </c>
      <c r="Q39" s="262" t="s">
        <v>63</v>
      </c>
    </row>
    <row r="40">
      <c r="A40" s="188" t="s">
        <v>1836</v>
      </c>
      <c r="B40" s="189">
        <f t="array" ref="B40">VLOOKUP($A40,SC_DEMO,2,FALSE)</f>
        <v>84223</v>
      </c>
      <c r="C40" s="264">
        <f>vlookup(A40,'SC Data'!$C$4:$P$62,4,FALSE)</f>
        <v>90</v>
      </c>
      <c r="D40" s="265" t="s">
        <v>63</v>
      </c>
      <c r="E40" s="265">
        <f>vlookup(A40,'SC Data'!$C$4:$P$62,7,FALSE)+vlookup(A40,'SC Data'!$C$4:$P$62,9,FALSE)</f>
        <v>49</v>
      </c>
      <c r="F40" s="265">
        <f>vlookup(A40,'SC Data'!$C$4:$P$62,5,FALSE)</f>
        <v>33</v>
      </c>
      <c r="G40" s="265">
        <f>iferror(vlookup(A40,'SC Data'!$B$240:$F$290,5,FALSE),"NULL")</f>
        <v>44</v>
      </c>
      <c r="H40" s="266">
        <f>vlookup(A40,'SC Data'!$A$122:$D$175,4,FALSE)</f>
        <v>46</v>
      </c>
      <c r="I40" s="267">
        <f>iferror(vlookup(A40,'SC Data'!$B$180:$F$235,5,FALSE),"NULL")</f>
        <v>6</v>
      </c>
      <c r="J40" s="268" t="s">
        <v>63</v>
      </c>
      <c r="K40" s="269">
        <f>vlookup(A40,'SC Data'!$A$299:$D$350,4,FALSE)</f>
        <v>0.744</v>
      </c>
      <c r="L40" s="266">
        <f>vlookup(A40,'SC Data'!$A$66:$B$117,2,FALSE)</f>
        <v>90</v>
      </c>
      <c r="M40" s="267" t="s">
        <v>63</v>
      </c>
      <c r="N40" s="265" t="s">
        <v>63</v>
      </c>
      <c r="O40" s="265" t="s">
        <v>63</v>
      </c>
      <c r="P40" s="272">
        <f>ifna(vlookup(A40,'Population &amp; Church Numbers'!$A$2319:$D$2364,4,FALSE),"NULL")</f>
        <v>185</v>
      </c>
      <c r="Q40" s="273" t="s">
        <v>63</v>
      </c>
    </row>
    <row r="41">
      <c r="A41" s="326" t="s">
        <v>160</v>
      </c>
      <c r="B41" s="251">
        <f t="array" ref="B41">VLOOKUP($A41,SC_DEMO,2,FALSE)</f>
        <v>131404</v>
      </c>
      <c r="C41" s="252">
        <f>vlookup(A41,'SC Data'!$C$4:$P$62,4,FALSE)</f>
        <v>35</v>
      </c>
      <c r="D41" s="253" t="s">
        <v>63</v>
      </c>
      <c r="E41" s="253">
        <f>vlookup(A41,'SC Data'!$C$4:$P$62,7,FALSE)+vlookup(A41,'SC Data'!$C$4:$P$62,9,FALSE)</f>
        <v>19</v>
      </c>
      <c r="F41" s="253">
        <f>vlookup(A41,'SC Data'!$C$4:$P$62,5,FALSE)</f>
        <v>7</v>
      </c>
      <c r="G41" s="253">
        <f>iferror(vlookup(A41,'SC Data'!$B$240:$F$290,5,FALSE),"NULL")</f>
        <v>21</v>
      </c>
      <c r="H41" s="254">
        <f>vlookup(A41,'SC Data'!$A$122:$D$175,4,FALSE)</f>
        <v>52</v>
      </c>
      <c r="I41" s="255">
        <f>iferror(vlookup(A41,'SC Data'!$B$180:$F$235,5,FALSE),"NULL")</f>
        <v>1</v>
      </c>
      <c r="J41" s="256" t="s">
        <v>63</v>
      </c>
      <c r="K41" s="776">
        <f>vlookup(A41,'SC Data'!$A$299:$D$350,4,FALSE)</f>
        <v>0.933</v>
      </c>
      <c r="L41" s="254">
        <f>vlookup(A41,'SC Data'!$A$66:$B$117,2,FALSE)</f>
        <v>78</v>
      </c>
      <c r="M41" s="255" t="s">
        <v>63</v>
      </c>
      <c r="N41" s="253" t="s">
        <v>63</v>
      </c>
      <c r="O41" s="253" t="s">
        <v>63</v>
      </c>
      <c r="P41" s="261">
        <f>ifna(vlookup(A41,'Population &amp; Church Numbers'!$A$2319:$D$2364,4,FALSE),"NULL")</f>
        <v>145</v>
      </c>
      <c r="Q41" s="262" t="s">
        <v>63</v>
      </c>
    </row>
    <row r="42">
      <c r="A42" s="188" t="s">
        <v>743</v>
      </c>
      <c r="B42" s="189">
        <f t="array" ref="B42">VLOOKUP($A42,SC_DEMO,2,FALSE)</f>
        <v>416147</v>
      </c>
      <c r="C42" s="264">
        <f>vlookup(A42,'SC Data'!$C$4:$P$62,4,FALSE)</f>
        <v>444</v>
      </c>
      <c r="D42" s="265" t="s">
        <v>63</v>
      </c>
      <c r="E42" s="265">
        <f>vlookup(A42,'SC Data'!$C$4:$P$62,7,FALSE)+vlookup(A42,'SC Data'!$C$4:$P$62,9,FALSE)</f>
        <v>234</v>
      </c>
      <c r="F42" s="265">
        <f>vlookup(A42,'SC Data'!$C$4:$P$62,5,FALSE)</f>
        <v>169</v>
      </c>
      <c r="G42" s="265">
        <f>iferror(vlookup(A42,'SC Data'!$B$240:$F$290,5,FALSE),"NULL")</f>
        <v>180</v>
      </c>
      <c r="H42" s="266">
        <f>vlookup(A42,'SC Data'!$A$122:$D$175,4,FALSE)</f>
        <v>279</v>
      </c>
      <c r="I42" s="267">
        <f>iferror(vlookup(A42,'SC Data'!$B$180:$F$235,5,FALSE),"NULL")</f>
        <v>55</v>
      </c>
      <c r="J42" s="268" t="s">
        <v>63</v>
      </c>
      <c r="K42" s="269">
        <f>vlookup(A42,'SC Data'!$A$299:$D$350,4,FALSE)</f>
        <v>0.688</v>
      </c>
      <c r="L42" s="266">
        <f>vlookup(A42,'SC Data'!$A$66:$B$117,2,FALSE)</f>
        <v>444</v>
      </c>
      <c r="M42" s="267" t="s">
        <v>63</v>
      </c>
      <c r="N42" s="265" t="s">
        <v>63</v>
      </c>
      <c r="O42" s="265" t="s">
        <v>63</v>
      </c>
      <c r="P42" s="272">
        <f>ifna(vlookup(A42,'Population &amp; Church Numbers'!$A$2319:$D$2364,4,FALSE),"NULL")</f>
        <v>375</v>
      </c>
      <c r="Q42" s="273" t="s">
        <v>63</v>
      </c>
    </row>
    <row r="43">
      <c r="A43" s="326" t="s">
        <v>1837</v>
      </c>
      <c r="B43" s="251">
        <f t="array" ref="B43">VLOOKUP($A43,SC_DEMO,2,FALSE)</f>
        <v>18862</v>
      </c>
      <c r="C43" s="252">
        <f>vlookup(A43,'SC Data'!$C$4:$P$62,4,FALSE)</f>
        <v>8</v>
      </c>
      <c r="D43" s="253" t="s">
        <v>63</v>
      </c>
      <c r="E43" s="253">
        <f>vlookup(A43,'SC Data'!$C$4:$P$62,7,FALSE)+vlookup(A43,'SC Data'!$C$4:$P$62,9,FALSE)</f>
        <v>6</v>
      </c>
      <c r="F43" s="253" t="s">
        <v>63</v>
      </c>
      <c r="G43" s="253">
        <f>iferror(vlookup(A43,'SC Data'!$B$240:$F$290,5,FALSE),"NULL")</f>
        <v>8</v>
      </c>
      <c r="H43" s="254">
        <f>vlookup(A43,'SC Data'!$A$122:$D$175,4,FALSE)</f>
        <v>2</v>
      </c>
      <c r="I43" s="255">
        <f>iferror(vlookup(A43,'SC Data'!$B$180:$F$235,5,FALSE),"NULL")</f>
        <v>0</v>
      </c>
      <c r="J43" s="256" t="s">
        <v>63</v>
      </c>
      <c r="K43" s="776">
        <f>vlookup(A43,'SC Data'!$A$299:$D$350,4,FALSE)</f>
        <v>0.778</v>
      </c>
      <c r="L43" s="254">
        <f>vlookup(A43,'SC Data'!$A$66:$B$117,2,FALSE)</f>
        <v>14</v>
      </c>
      <c r="M43" s="255" t="s">
        <v>63</v>
      </c>
      <c r="N43" s="253" t="s">
        <v>63</v>
      </c>
      <c r="O43" s="253" t="s">
        <v>63</v>
      </c>
      <c r="P43" s="261">
        <f>ifna(vlookup(A43,'Population &amp; Church Numbers'!$A$2319:$D$2364,4,FALSE),"NULL")</f>
        <v>41</v>
      </c>
      <c r="Q43" s="262" t="s">
        <v>63</v>
      </c>
    </row>
    <row r="44">
      <c r="A44" s="188" t="s">
        <v>1838</v>
      </c>
      <c r="B44" s="189">
        <f t="array" ref="B44">VLOOKUP($A44,SC_DEMO,2,FALSE)</f>
        <v>327997</v>
      </c>
      <c r="C44" s="264">
        <f>vlookup(A44,'SC Data'!$C$4:$P$62,4,FALSE)</f>
        <v>200</v>
      </c>
      <c r="D44" s="265" t="s">
        <v>63</v>
      </c>
      <c r="E44" s="265">
        <f>vlookup(A44,'SC Data'!$C$4:$P$62,7,FALSE)+vlookup(A44,'SC Data'!$C$4:$P$62,9,FALSE)</f>
        <v>103</v>
      </c>
      <c r="F44" s="265">
        <f>vlookup(A44,'SC Data'!$C$4:$P$62,5,FALSE)</f>
        <v>55</v>
      </c>
      <c r="G44" s="265">
        <f>iferror(vlookup(A44,'SC Data'!$B$240:$F$290,5,FALSE),"NULL")</f>
        <v>90</v>
      </c>
      <c r="H44" s="266">
        <f>vlookup(A44,'SC Data'!$A$122:$D$175,4,FALSE)</f>
        <v>194</v>
      </c>
      <c r="I44" s="267">
        <f>iferror(vlookup(A44,'SC Data'!$B$180:$F$235,5,FALSE),"NULL")</f>
        <v>37</v>
      </c>
      <c r="J44" s="268" t="s">
        <v>63</v>
      </c>
      <c r="K44" s="269">
        <f>vlookup(A44,'SC Data'!$A$299:$D$350,4,FALSE)</f>
        <v>0.698</v>
      </c>
      <c r="L44" s="266">
        <f>vlookup(A44,'SC Data'!$A$66:$B$117,2,FALSE)</f>
        <v>217</v>
      </c>
      <c r="M44" s="267" t="s">
        <v>63</v>
      </c>
      <c r="N44" s="265" t="s">
        <v>63</v>
      </c>
      <c r="O44" s="265" t="s">
        <v>63</v>
      </c>
      <c r="P44" s="272">
        <f>ifna(vlookup(A44,'Population &amp; Church Numbers'!$A$2319:$D$2364,4,FALSE),"NULL")</f>
        <v>365</v>
      </c>
      <c r="Q44" s="273" t="s">
        <v>63</v>
      </c>
    </row>
    <row r="45">
      <c r="A45" s="326" t="s">
        <v>169</v>
      </c>
      <c r="B45" s="251">
        <f t="array" ref="B45">VLOOKUP($A45,SC_DEMO,2,FALSE)</f>
        <v>105556</v>
      </c>
      <c r="C45" s="252">
        <f>vlookup(A45,'SC Data'!$C$4:$P$62,4,FALSE)</f>
        <v>40</v>
      </c>
      <c r="D45" s="253" t="s">
        <v>63</v>
      </c>
      <c r="E45" s="253">
        <f>vlookup(A45,'SC Data'!$C$4:$P$62,7,FALSE)+vlookup(A45,'SC Data'!$C$4:$P$62,9,FALSE)</f>
        <v>19</v>
      </c>
      <c r="F45" s="253">
        <f>vlookup(A45,'SC Data'!$C$4:$P$62,5,FALSE)</f>
        <v>10</v>
      </c>
      <c r="G45" s="253">
        <f>iferror(vlookup(A45,'SC Data'!$B$240:$F$290,5,FALSE),"NULL")</f>
        <v>17</v>
      </c>
      <c r="H45" s="254">
        <f>vlookup(A45,'SC Data'!$A$122:$D$175,4,FALSE)</f>
        <v>63</v>
      </c>
      <c r="I45" s="255">
        <f>iferror(vlookup(A45,'SC Data'!$B$180:$F$235,5,FALSE),"NULL")</f>
        <v>5</v>
      </c>
      <c r="J45" s="256" t="s">
        <v>63</v>
      </c>
      <c r="K45" s="776">
        <f>vlookup(A45,'SC Data'!$A$299:$D$350,4,FALSE)</f>
        <v>0.7</v>
      </c>
      <c r="L45" s="254">
        <f>vlookup(A45,'SC Data'!$A$66:$B$117,2,FALSE)</f>
        <v>57</v>
      </c>
      <c r="M45" s="255" t="s">
        <v>63</v>
      </c>
      <c r="N45" s="253" t="s">
        <v>63</v>
      </c>
      <c r="O45" s="253" t="s">
        <v>63</v>
      </c>
      <c r="P45" s="261">
        <f>ifna(vlookup(A45,'Population &amp; Church Numbers'!$A$2319:$D$2364,4,FALSE),"NULL")</f>
        <v>177</v>
      </c>
      <c r="Q45" s="262" t="s">
        <v>63</v>
      </c>
    </row>
    <row r="46">
      <c r="A46" s="188" t="s">
        <v>316</v>
      </c>
      <c r="B46" s="189">
        <f t="array" ref="B46">VLOOKUP($A46,SC_DEMO,2,FALSE)</f>
        <v>27244</v>
      </c>
      <c r="C46" s="264">
        <f>vlookup(A46,'SC Data'!$C$4:$P$62,4,FALSE)</f>
        <v>16</v>
      </c>
      <c r="D46" s="265" t="s">
        <v>63</v>
      </c>
      <c r="E46" s="265">
        <f>vlookup(A46,'SC Data'!$C$4:$P$62,7,FALSE)+vlookup(A46,'SC Data'!$C$4:$P$62,9,FALSE)</f>
        <v>8</v>
      </c>
      <c r="F46" s="265">
        <f>vlookup(A46,'SC Data'!$C$4:$P$62,5,FALSE)</f>
        <v>8</v>
      </c>
      <c r="G46" s="265">
        <f>iferror(vlookup(A46,'SC Data'!$B$240:$F$290,5,FALSE),"NULL")</f>
        <v>8</v>
      </c>
      <c r="H46" s="266">
        <f>vlookup(A46,'SC Data'!$A$122:$D$175,4,FALSE)</f>
        <v>1</v>
      </c>
      <c r="I46" s="267">
        <f>iferror(vlookup(A46,'SC Data'!$B$180:$F$235,5,FALSE),"NULL")</f>
        <v>3</v>
      </c>
      <c r="J46" s="268" t="s">
        <v>63</v>
      </c>
      <c r="K46" s="269">
        <f>vlookup(A46,'SC Data'!$A$299:$D$350,4,FALSE)</f>
        <v>1</v>
      </c>
      <c r="L46" s="266">
        <f>vlookup(A46,'SC Data'!$A$66:$B$117,2,FALSE)</f>
        <v>36</v>
      </c>
      <c r="M46" s="267" t="s">
        <v>63</v>
      </c>
      <c r="N46" s="265" t="s">
        <v>63</v>
      </c>
      <c r="O46" s="265" t="s">
        <v>63</v>
      </c>
      <c r="P46" s="272">
        <f>ifna(vlookup(A46,'Population &amp; Church Numbers'!$A$2319:$D$2364,4,FALSE),"NULL")</f>
        <v>63</v>
      </c>
      <c r="Q46" s="273" t="s">
        <v>63</v>
      </c>
    </row>
    <row r="47">
      <c r="A47" s="326" t="s">
        <v>1839</v>
      </c>
      <c r="B47" s="251">
        <f t="array" ref="B47">VLOOKUP($A47,SC_DEMO,2,FALSE)</f>
        <v>31026</v>
      </c>
      <c r="C47" s="252">
        <f>vlookup(A47,'SC Data'!$C$4:$P$62,4,FALSE)</f>
        <v>11</v>
      </c>
      <c r="D47" s="253" t="s">
        <v>63</v>
      </c>
      <c r="E47" s="253">
        <f>vlookup(A47,'SC Data'!$C$4:$P$62,7,FALSE)+vlookup(A47,'SC Data'!$C$4:$P$62,9,FALSE)</f>
        <v>4</v>
      </c>
      <c r="F47" s="253">
        <f>vlookup(A47,'SC Data'!$C$4:$P$62,5,FALSE)</f>
        <v>4</v>
      </c>
      <c r="G47" s="253">
        <f>iferror(vlookup(A47,'SC Data'!$B$240:$F$290,5,FALSE),"NULL")</f>
        <v>5</v>
      </c>
      <c r="H47" s="254">
        <f>vlookup(A47,'SC Data'!$A$122:$D$175,4,FALSE)</f>
        <v>55</v>
      </c>
      <c r="I47" s="255">
        <f>iferror(vlookup(A47,'SC Data'!$B$180:$F$235,5,FALSE),"NULL")</f>
        <v>2</v>
      </c>
      <c r="J47" s="256" t="s">
        <v>63</v>
      </c>
      <c r="K47" s="776">
        <f>vlookup(A47,'SC Data'!$A$299:$D$350,4,FALSE)</f>
        <v>0.7</v>
      </c>
      <c r="L47" s="254">
        <f>vlookup(A47,'SC Data'!$A$66:$B$117,2,FALSE)</f>
        <v>21</v>
      </c>
      <c r="M47" s="255" t="s">
        <v>63</v>
      </c>
      <c r="N47" s="253" t="s">
        <v>63</v>
      </c>
      <c r="O47" s="253" t="s">
        <v>63</v>
      </c>
      <c r="P47" s="261">
        <f>ifna(vlookup(A47,'Population &amp; Church Numbers'!$A$2319:$D$2364,4,FALSE),"NULL")</f>
        <v>112</v>
      </c>
      <c r="Q47" s="262" t="s">
        <v>63</v>
      </c>
    </row>
    <row r="48">
      <c r="A48" s="188" t="s">
        <v>1196</v>
      </c>
      <c r="B48" s="189">
        <f t="array" ref="B48">VLOOKUP($A48,SC_DEMO,2,FALSE)</f>
        <v>282090</v>
      </c>
      <c r="C48" s="264">
        <f>vlookup(A48,'SC Data'!$C$4:$P$62,4,FALSE)</f>
        <v>116</v>
      </c>
      <c r="D48" s="265" t="s">
        <v>63</v>
      </c>
      <c r="E48" s="265">
        <f>vlookup(A48,'SC Data'!$C$4:$P$62,7,FALSE)+vlookup(A48,'SC Data'!$C$4:$P$62,9,FALSE)</f>
        <v>76</v>
      </c>
      <c r="F48" s="265">
        <f>vlookup(A48,'SC Data'!$C$4:$P$62,5,FALSE)</f>
        <v>30</v>
      </c>
      <c r="G48" s="265">
        <f>iferror(vlookup(A48,'SC Data'!$B$240:$F$290,5,FALSE),"NULL")</f>
        <v>50</v>
      </c>
      <c r="H48" s="266">
        <f>vlookup(A48,'SC Data'!$A$122:$D$175,4,FALSE)</f>
        <v>98</v>
      </c>
      <c r="I48" s="267">
        <f>iferror(vlookup(A48,'SC Data'!$B$180:$F$235,5,FALSE),"NULL")</f>
        <v>28</v>
      </c>
      <c r="J48" s="268" t="s">
        <v>63</v>
      </c>
      <c r="K48" s="269">
        <f>vlookup(A48,'SC Data'!$A$299:$D$350,4,FALSE)</f>
        <v>0.641</v>
      </c>
      <c r="L48" s="266">
        <f>vlookup(A48,'SC Data'!$A$66:$B$117,2,FALSE)</f>
        <v>208</v>
      </c>
      <c r="M48" s="267" t="s">
        <v>63</v>
      </c>
      <c r="N48" s="265" t="s">
        <v>63</v>
      </c>
      <c r="O48" s="265" t="s">
        <v>63</v>
      </c>
      <c r="P48" s="272">
        <f>ifna(vlookup(A48,'Population &amp; Church Numbers'!$A$2319:$D$2364,4,FALSE),"NULL")</f>
        <v>270</v>
      </c>
      <c r="Q48" s="273" t="s">
        <v>63</v>
      </c>
    </row>
    <row r="49">
      <c r="A49" s="217"/>
      <c r="B49" s="218"/>
      <c r="C49" s="219"/>
      <c r="D49" s="220"/>
      <c r="E49" s="220"/>
      <c r="F49" s="220"/>
      <c r="G49" s="220"/>
      <c r="H49" s="221"/>
      <c r="I49" s="222"/>
      <c r="J49" s="223"/>
      <c r="K49" s="219"/>
      <c r="L49" s="224"/>
      <c r="M49" s="225"/>
      <c r="N49" s="226"/>
      <c r="O49" s="220"/>
      <c r="P49" s="221"/>
      <c r="Q49" s="295"/>
    </row>
    <row r="50">
      <c r="A50" s="228" t="s">
        <v>2</v>
      </c>
      <c r="B50" s="229"/>
      <c r="C50" s="236">
        <f>'SC Data'!F62</f>
        <v>3456</v>
      </c>
      <c r="D50" s="708">
        <v>2.0</v>
      </c>
      <c r="E50" s="236">
        <f>'SC Data'!I62+'SC Data'!K62</f>
        <v>2022</v>
      </c>
      <c r="F50" s="708">
        <f>'SC Data'!G62</f>
        <v>975</v>
      </c>
      <c r="G50" s="236">
        <f>'SC Data'!F290</f>
        <v>1538</v>
      </c>
      <c r="H50" s="236">
        <f>'SC Data'!D175</f>
        <v>2250</v>
      </c>
      <c r="I50" s="360">
        <f>'SC Data'!F235</f>
        <v>935</v>
      </c>
      <c r="J50" s="360" t="s">
        <v>63</v>
      </c>
      <c r="K50" s="308">
        <f>'SC Data'!D302</f>
        <v>0.736</v>
      </c>
      <c r="L50" s="236">
        <f>'SC Data'!B117</f>
        <v>4149</v>
      </c>
      <c r="M50" s="360" t="s">
        <v>63</v>
      </c>
      <c r="N50" s="360" t="s">
        <v>63</v>
      </c>
      <c r="O50" s="360" t="s">
        <v>63</v>
      </c>
      <c r="P50" s="233">
        <f>SUM(P3:P48)</f>
        <v>6514</v>
      </c>
      <c r="Q50" s="1092" t="s">
        <v>63</v>
      </c>
    </row>
  </sheetData>
  <autoFilter ref="$A$2:$Q$48"/>
  <mergeCells count="1">
    <mergeCell ref="B1:Q1"/>
  </mergeCells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2.0"/>
    <col customWidth="1" min="2" max="2" width="24.63"/>
    <col customWidth="1" min="3" max="3" width="12.88"/>
    <col customWidth="1" min="10" max="10" width="13.5"/>
  </cols>
  <sheetData>
    <row r="1">
      <c r="A1" s="1245" t="s">
        <v>764</v>
      </c>
      <c r="B1" s="1246"/>
      <c r="C1" s="1246"/>
      <c r="D1" s="1247" t="s">
        <v>765</v>
      </c>
      <c r="E1" s="1247" t="s">
        <v>3997</v>
      </c>
      <c r="F1" s="1246"/>
      <c r="G1" s="1246"/>
      <c r="H1" s="1247" t="s">
        <v>767</v>
      </c>
      <c r="I1" s="1248">
        <v>45455.0</v>
      </c>
      <c r="J1" s="1247" t="s">
        <v>769</v>
      </c>
      <c r="K1" s="1248">
        <v>45383.0</v>
      </c>
      <c r="L1" s="1249"/>
    </row>
    <row r="2">
      <c r="A2" s="10"/>
      <c r="C2" s="1"/>
      <c r="D2" s="1"/>
      <c r="F2" s="1"/>
      <c r="H2" s="1"/>
      <c r="J2" s="1"/>
      <c r="L2" s="1"/>
    </row>
    <row r="3">
      <c r="A3" s="344"/>
      <c r="B3" s="548"/>
      <c r="C3" s="351"/>
      <c r="D3" s="351"/>
      <c r="E3" s="351"/>
      <c r="F3" s="351" t="s">
        <v>3998</v>
      </c>
      <c r="G3" s="351" t="s">
        <v>3999</v>
      </c>
      <c r="H3" s="548"/>
      <c r="I3" s="351" t="s">
        <v>4000</v>
      </c>
      <c r="J3" s="548"/>
      <c r="K3" s="351" t="s">
        <v>4001</v>
      </c>
      <c r="L3" s="548"/>
      <c r="M3" s="351" t="s">
        <v>1714</v>
      </c>
      <c r="N3" s="548"/>
      <c r="O3" s="351" t="s">
        <v>1715</v>
      </c>
      <c r="P3" s="548"/>
    </row>
    <row r="4">
      <c r="A4" s="1250" t="s">
        <v>4002</v>
      </c>
      <c r="B4" s="1251" t="s">
        <v>4003</v>
      </c>
      <c r="C4" s="1251"/>
      <c r="D4" s="1251"/>
      <c r="E4" s="1251"/>
      <c r="F4" s="1251" t="s">
        <v>4004</v>
      </c>
      <c r="G4" s="1251" t="s">
        <v>4005</v>
      </c>
      <c r="H4" s="1251" t="s">
        <v>4006</v>
      </c>
      <c r="I4" s="1252" t="s">
        <v>4007</v>
      </c>
      <c r="J4" s="836" t="s">
        <v>4008</v>
      </c>
      <c r="K4" s="836" t="s">
        <v>4009</v>
      </c>
      <c r="L4" s="836" t="s">
        <v>4010</v>
      </c>
      <c r="M4" s="836" t="s">
        <v>4011</v>
      </c>
      <c r="N4" s="836" t="s">
        <v>4012</v>
      </c>
      <c r="O4" s="836" t="s">
        <v>4013</v>
      </c>
      <c r="P4" s="836" t="s">
        <v>4014</v>
      </c>
      <c r="Q4" s="571"/>
      <c r="R4" s="571"/>
      <c r="S4" s="571"/>
      <c r="T4" s="571"/>
      <c r="U4" s="571"/>
      <c r="V4" s="571"/>
      <c r="W4" s="571"/>
      <c r="X4" s="571"/>
      <c r="Y4" s="571"/>
      <c r="Z4" s="571"/>
      <c r="AA4" s="571"/>
      <c r="AB4" s="571"/>
    </row>
    <row r="5">
      <c r="A5" s="1226" t="s">
        <v>4015</v>
      </c>
      <c r="B5" s="1253" t="s">
        <v>4016</v>
      </c>
      <c r="C5" s="1253"/>
      <c r="D5" s="1253"/>
      <c r="E5" s="1253"/>
      <c r="F5" s="1253">
        <v>27.0</v>
      </c>
      <c r="G5" s="1253">
        <v>2.0</v>
      </c>
      <c r="H5" s="1254">
        <v>0.07</v>
      </c>
      <c r="I5" s="344">
        <v>11.0</v>
      </c>
      <c r="J5" s="850">
        <v>0.41</v>
      </c>
      <c r="K5" s="351">
        <v>11.0</v>
      </c>
      <c r="L5" s="850">
        <v>0.41</v>
      </c>
      <c r="M5" s="351">
        <v>3.0</v>
      </c>
      <c r="N5" s="850">
        <v>0.11</v>
      </c>
      <c r="O5" s="548"/>
      <c r="P5" s="548"/>
    </row>
    <row r="6">
      <c r="A6" s="1255" t="s">
        <v>1815</v>
      </c>
      <c r="B6" s="1253" t="s">
        <v>4017</v>
      </c>
      <c r="C6" s="1253" t="str">
        <f>IFERROR(__xludf.DUMMYFUNCTION("SPLIT(B6,"" "")"),"ALLENDALE")</f>
        <v>ALLENDALE</v>
      </c>
      <c r="D6" s="1253" t="str">
        <f>IFERROR(__xludf.DUMMYFUNCTION("""COMPUTED_VALUE"""),"COUNTY")</f>
        <v>COUNTY</v>
      </c>
      <c r="E6" s="1253" t="str">
        <f>IFERROR(__xludf.DUMMYFUNCTION("""COMPUTED_VALUE"""),"DSS")</f>
        <v>DSS</v>
      </c>
      <c r="F6" s="1253">
        <v>1.0</v>
      </c>
      <c r="G6" s="1253">
        <v>1.0</v>
      </c>
      <c r="H6" s="1254">
        <v>1.0</v>
      </c>
      <c r="I6" s="344"/>
      <c r="J6" s="548"/>
      <c r="K6" s="548"/>
      <c r="L6" s="548"/>
      <c r="M6" s="548"/>
      <c r="N6" s="548"/>
      <c r="O6" s="548"/>
      <c r="P6" s="548"/>
    </row>
    <row r="7">
      <c r="A7" s="1226" t="s">
        <v>1583</v>
      </c>
      <c r="B7" s="1253" t="s">
        <v>4018</v>
      </c>
      <c r="C7" s="1253" t="str">
        <f>IFERROR(__xludf.DUMMYFUNCTION("SPLIT(B7,"" "")"),"BEAUFORT")</f>
        <v>BEAUFORT</v>
      </c>
      <c r="D7" s="1253" t="str">
        <f>IFERROR(__xludf.DUMMYFUNCTION("""COMPUTED_VALUE"""),"COUNTY")</f>
        <v>COUNTY</v>
      </c>
      <c r="E7" s="1253" t="str">
        <f>IFERROR(__xludf.DUMMYFUNCTION("""COMPUTED_VALUE"""),"DSS")</f>
        <v>DSS</v>
      </c>
      <c r="F7" s="1253">
        <v>48.0</v>
      </c>
      <c r="G7" s="1253">
        <v>6.0</v>
      </c>
      <c r="H7" s="1254">
        <v>0.12</v>
      </c>
      <c r="I7" s="344">
        <v>23.0</v>
      </c>
      <c r="J7" s="850">
        <v>0.48</v>
      </c>
      <c r="K7" s="351">
        <v>9.0</v>
      </c>
      <c r="L7" s="850">
        <v>0.19</v>
      </c>
      <c r="M7" s="351">
        <v>10.0</v>
      </c>
      <c r="N7" s="850">
        <v>0.21</v>
      </c>
      <c r="O7" s="548"/>
      <c r="P7" s="548"/>
    </row>
    <row r="8">
      <c r="A8" s="1226" t="s">
        <v>1818</v>
      </c>
      <c r="B8" s="1253" t="s">
        <v>4019</v>
      </c>
      <c r="C8" s="1253" t="str">
        <f>IFERROR(__xludf.DUMMYFUNCTION("SPLIT(B8,"" "")"),"BERKELEY")</f>
        <v>BERKELEY</v>
      </c>
      <c r="D8" s="1253" t="str">
        <f>IFERROR(__xludf.DUMMYFUNCTION("""COMPUTED_VALUE"""),"COUNTY")</f>
        <v>COUNTY</v>
      </c>
      <c r="E8" s="1253" t="str">
        <f>IFERROR(__xludf.DUMMYFUNCTION("""COMPUTED_VALUE"""),"DSS")</f>
        <v>DSS</v>
      </c>
      <c r="F8" s="1253">
        <v>145.0</v>
      </c>
      <c r="G8" s="1253">
        <v>44.0</v>
      </c>
      <c r="H8" s="1254">
        <v>0.3</v>
      </c>
      <c r="I8" s="344">
        <v>37.0</v>
      </c>
      <c r="J8" s="850">
        <v>0.26</v>
      </c>
      <c r="K8" s="351">
        <v>43.0</v>
      </c>
      <c r="L8" s="850">
        <v>0.3</v>
      </c>
      <c r="M8" s="351">
        <v>20.0</v>
      </c>
      <c r="N8" s="850">
        <v>0.14</v>
      </c>
      <c r="O8" s="351">
        <v>1.0</v>
      </c>
      <c r="P8" s="850">
        <v>0.01</v>
      </c>
    </row>
    <row r="9">
      <c r="A9" s="1226" t="s">
        <v>93</v>
      </c>
      <c r="B9" s="1253" t="s">
        <v>4020</v>
      </c>
      <c r="C9" s="1253" t="str">
        <f>IFERROR(__xludf.DUMMYFUNCTION("SPLIT(B9,"" "")"),"CALHOUN")</f>
        <v>CALHOUN</v>
      </c>
      <c r="D9" s="1253" t="str">
        <f>IFERROR(__xludf.DUMMYFUNCTION("""COMPUTED_VALUE"""),"COUNTY")</f>
        <v>COUNTY</v>
      </c>
      <c r="E9" s="1253" t="str">
        <f>IFERROR(__xludf.DUMMYFUNCTION("""COMPUTED_VALUE"""),"DSS")</f>
        <v>DSS</v>
      </c>
      <c r="F9" s="1253">
        <v>1.0</v>
      </c>
      <c r="G9" s="1253"/>
      <c r="H9" s="1253"/>
      <c r="I9" s="344"/>
      <c r="J9" s="548"/>
      <c r="K9" s="351">
        <v>1.0</v>
      </c>
      <c r="L9" s="850">
        <v>1.0</v>
      </c>
      <c r="M9" s="548"/>
      <c r="N9" s="548"/>
      <c r="O9" s="548"/>
      <c r="P9" s="548"/>
    </row>
    <row r="10">
      <c r="A10" s="1226" t="s">
        <v>1819</v>
      </c>
      <c r="B10" s="1253" t="s">
        <v>4021</v>
      </c>
      <c r="C10" s="1253" t="str">
        <f>IFERROR(__xludf.DUMMYFUNCTION("SPLIT(B10,"" "")"),"CHARLESTON")</f>
        <v>CHARLESTON</v>
      </c>
      <c r="D10" s="1253" t="str">
        <f>IFERROR(__xludf.DUMMYFUNCTION("""COMPUTED_VALUE"""),"COUNTY")</f>
        <v>COUNTY</v>
      </c>
      <c r="E10" s="1253" t="str">
        <f>IFERROR(__xludf.DUMMYFUNCTION("""COMPUTED_VALUE"""),"DSS")</f>
        <v>DSS</v>
      </c>
      <c r="F10" s="1253">
        <v>186.0</v>
      </c>
      <c r="G10" s="1253">
        <v>45.0</v>
      </c>
      <c r="H10" s="1254">
        <v>0.24</v>
      </c>
      <c r="I10" s="344">
        <v>42.0</v>
      </c>
      <c r="J10" s="850">
        <v>0.23</v>
      </c>
      <c r="K10" s="351">
        <v>57.0</v>
      </c>
      <c r="L10" s="850">
        <v>0.31</v>
      </c>
      <c r="M10" s="351">
        <v>38.0</v>
      </c>
      <c r="N10" s="850">
        <v>0.2</v>
      </c>
      <c r="O10" s="351">
        <v>4.0</v>
      </c>
      <c r="P10" s="850">
        <v>0.02</v>
      </c>
    </row>
    <row r="11">
      <c r="A11" s="1226" t="s">
        <v>1822</v>
      </c>
      <c r="B11" s="1253" t="s">
        <v>4022</v>
      </c>
      <c r="C11" s="1253" t="str">
        <f>IFERROR(__xludf.DUMMYFUNCTION("SPLIT(B11,"" "")"),"COLLETON")</f>
        <v>COLLETON</v>
      </c>
      <c r="D11" s="1253" t="str">
        <f>IFERROR(__xludf.DUMMYFUNCTION("""COMPUTED_VALUE"""),"COUNTY")</f>
        <v>COUNTY</v>
      </c>
      <c r="E11" s="1253" t="str">
        <f>IFERROR(__xludf.DUMMYFUNCTION("""COMPUTED_VALUE"""),"DSS")</f>
        <v>DSS</v>
      </c>
      <c r="F11" s="1253">
        <v>41.0</v>
      </c>
      <c r="G11" s="1253">
        <v>12.0</v>
      </c>
      <c r="H11" s="1254">
        <v>0.29</v>
      </c>
      <c r="I11" s="344">
        <v>15.0</v>
      </c>
      <c r="J11" s="850">
        <v>0.37</v>
      </c>
      <c r="K11" s="351">
        <v>11.0</v>
      </c>
      <c r="L11" s="850">
        <v>0.27</v>
      </c>
      <c r="M11" s="351">
        <v>3.0</v>
      </c>
      <c r="N11" s="850">
        <v>0.07</v>
      </c>
      <c r="O11" s="548"/>
      <c r="P11" s="548"/>
    </row>
    <row r="12">
      <c r="A12" s="1226" t="s">
        <v>1204</v>
      </c>
      <c r="B12" s="1253" t="s">
        <v>4023</v>
      </c>
      <c r="C12" s="1253" t="str">
        <f>IFERROR(__xludf.DUMMYFUNCTION("SPLIT(B12,"" "")"),"DORCHESTER")</f>
        <v>DORCHESTER</v>
      </c>
      <c r="D12" s="1253" t="str">
        <f>IFERROR(__xludf.DUMMYFUNCTION("""COMPUTED_VALUE"""),"COUNTY")</f>
        <v>COUNTY</v>
      </c>
      <c r="E12" s="1253" t="str">
        <f>IFERROR(__xludf.DUMMYFUNCTION("""COMPUTED_VALUE"""),"DSS")</f>
        <v>DSS</v>
      </c>
      <c r="F12" s="1253">
        <v>63.0</v>
      </c>
      <c r="G12" s="1253">
        <v>11.0</v>
      </c>
      <c r="H12" s="1254">
        <v>0.17</v>
      </c>
      <c r="I12" s="344">
        <v>24.0</v>
      </c>
      <c r="J12" s="850">
        <v>0.38</v>
      </c>
      <c r="K12" s="351">
        <v>13.0</v>
      </c>
      <c r="L12" s="850">
        <v>0.21</v>
      </c>
      <c r="M12" s="351">
        <v>15.0</v>
      </c>
      <c r="N12" s="850">
        <v>0.24</v>
      </c>
      <c r="O12" s="548"/>
      <c r="P12" s="548"/>
    </row>
    <row r="13">
      <c r="A13" s="1226" t="s">
        <v>1829</v>
      </c>
      <c r="B13" s="1253" t="s">
        <v>4024</v>
      </c>
      <c r="C13" s="1253" t="str">
        <f>IFERROR(__xludf.DUMMYFUNCTION("SPLIT(B13,"" "")"),"HAMPTON")</f>
        <v>HAMPTON</v>
      </c>
      <c r="D13" s="1253" t="str">
        <f>IFERROR(__xludf.DUMMYFUNCTION("""COMPUTED_VALUE"""),"COUNTY")</f>
        <v>COUNTY</v>
      </c>
      <c r="E13" s="1253" t="str">
        <f>IFERROR(__xludf.DUMMYFUNCTION("""COMPUTED_VALUE"""),"DSS")</f>
        <v>DSS</v>
      </c>
      <c r="F13" s="1253">
        <v>13.0</v>
      </c>
      <c r="G13" s="1253">
        <v>3.0</v>
      </c>
      <c r="H13" s="1254">
        <v>0.23</v>
      </c>
      <c r="I13" s="344">
        <v>3.0</v>
      </c>
      <c r="J13" s="850">
        <v>0.23</v>
      </c>
      <c r="K13" s="351">
        <v>4.0</v>
      </c>
      <c r="L13" s="850">
        <v>0.31</v>
      </c>
      <c r="M13" s="351">
        <v>3.0</v>
      </c>
      <c r="N13" s="850">
        <v>0.23</v>
      </c>
      <c r="O13" s="548"/>
      <c r="P13" s="548"/>
    </row>
    <row r="14">
      <c r="A14" s="1226" t="s">
        <v>593</v>
      </c>
      <c r="B14" s="1253" t="s">
        <v>4025</v>
      </c>
      <c r="C14" s="1253" t="str">
        <f>IFERROR(__xludf.DUMMYFUNCTION("SPLIT(B14,"" "")"),"JASPER")</f>
        <v>JASPER</v>
      </c>
      <c r="D14" s="1253" t="str">
        <f>IFERROR(__xludf.DUMMYFUNCTION("""COMPUTED_VALUE"""),"COUNTY")</f>
        <v>COUNTY</v>
      </c>
      <c r="E14" s="1253" t="str">
        <f>IFERROR(__xludf.DUMMYFUNCTION("""COMPUTED_VALUE"""),"DSS")</f>
        <v>DSS</v>
      </c>
      <c r="F14" s="1253">
        <v>31.0</v>
      </c>
      <c r="G14" s="1253">
        <v>5.0</v>
      </c>
      <c r="H14" s="1254">
        <v>0.16</v>
      </c>
      <c r="I14" s="344">
        <v>15.0</v>
      </c>
      <c r="J14" s="850">
        <v>0.48</v>
      </c>
      <c r="K14" s="351">
        <v>8.0</v>
      </c>
      <c r="L14" s="850">
        <v>0.26</v>
      </c>
      <c r="M14" s="351">
        <v>3.0</v>
      </c>
      <c r="N14" s="850">
        <v>0.1</v>
      </c>
      <c r="O14" s="548"/>
      <c r="P14" s="548"/>
    </row>
    <row r="15">
      <c r="A15" s="1226" t="s">
        <v>1836</v>
      </c>
      <c r="B15" s="1253" t="s">
        <v>4026</v>
      </c>
      <c r="C15" s="1253" t="str">
        <f>IFERROR(__xludf.DUMMYFUNCTION("SPLIT(B15,"" "")"),"ORANGEBURG")</f>
        <v>ORANGEBURG</v>
      </c>
      <c r="D15" s="1253" t="str">
        <f>IFERROR(__xludf.DUMMYFUNCTION("""COMPUTED_VALUE"""),"COUNTY")</f>
        <v>COUNTY</v>
      </c>
      <c r="E15" s="1253" t="str">
        <f>IFERROR(__xludf.DUMMYFUNCTION("""COMPUTED_VALUE"""),"DSS")</f>
        <v>DSS</v>
      </c>
      <c r="F15" s="1253">
        <v>90.0</v>
      </c>
      <c r="G15" s="1253">
        <v>33.0</v>
      </c>
      <c r="H15" s="1254">
        <v>0.37</v>
      </c>
      <c r="I15" s="344">
        <v>27.0</v>
      </c>
      <c r="J15" s="850">
        <v>0.3</v>
      </c>
      <c r="K15" s="351">
        <v>22.0</v>
      </c>
      <c r="L15" s="850">
        <v>0.24</v>
      </c>
      <c r="M15" s="351">
        <v>7.0</v>
      </c>
      <c r="N15" s="850">
        <v>0.08</v>
      </c>
      <c r="O15" s="351">
        <v>1.0</v>
      </c>
      <c r="P15" s="850">
        <v>0.01</v>
      </c>
    </row>
    <row r="16">
      <c r="A16" s="1226"/>
      <c r="B16" s="1253"/>
      <c r="C16" s="1253" t="str">
        <f>IFERROR(__xludf.DUMMYFUNCTION("SPLIT(B16,"" "")"),"#VALUE!")</f>
        <v>#VALUE!</v>
      </c>
      <c r="D16" s="1253"/>
      <c r="E16" s="1253"/>
      <c r="F16" s="1253">
        <v>646.0</v>
      </c>
      <c r="G16" s="1253">
        <v>162.0</v>
      </c>
      <c r="H16" s="1254">
        <v>0.25</v>
      </c>
      <c r="I16" s="344">
        <v>197.0</v>
      </c>
      <c r="J16" s="850">
        <v>0.3</v>
      </c>
      <c r="K16" s="351">
        <v>179.0</v>
      </c>
      <c r="L16" s="850">
        <v>0.28</v>
      </c>
      <c r="M16" s="351">
        <v>102.0</v>
      </c>
      <c r="N16" s="850">
        <v>0.16</v>
      </c>
      <c r="O16" s="351">
        <v>6.0</v>
      </c>
      <c r="P16" s="850">
        <v>0.01</v>
      </c>
    </row>
    <row r="17">
      <c r="A17" s="1226" t="s">
        <v>4027</v>
      </c>
      <c r="B17" s="1253" t="s">
        <v>4028</v>
      </c>
      <c r="C17" s="1253" t="str">
        <f>IFERROR(__xludf.DUMMYFUNCTION("SPLIT(B17,"" "")"),"#REF!")</f>
        <v>#REF!</v>
      </c>
      <c r="D17" s="1253"/>
      <c r="E17" s="1253"/>
      <c r="F17" s="1253">
        <v>77.0</v>
      </c>
      <c r="G17" s="1253">
        <v>13.0</v>
      </c>
      <c r="H17" s="1254">
        <v>0.17</v>
      </c>
      <c r="I17" s="344">
        <v>39.0</v>
      </c>
      <c r="J17" s="850">
        <v>0.51</v>
      </c>
      <c r="K17" s="351">
        <v>21.0</v>
      </c>
      <c r="L17" s="850">
        <v>0.27</v>
      </c>
      <c r="M17" s="351">
        <v>4.0</v>
      </c>
      <c r="N17" s="850">
        <v>0.05</v>
      </c>
      <c r="O17" s="548"/>
      <c r="P17" s="548"/>
    </row>
    <row r="18">
      <c r="A18" s="1226" t="s">
        <v>4029</v>
      </c>
      <c r="B18" s="1253" t="s">
        <v>4030</v>
      </c>
      <c r="C18" s="1253" t="str">
        <f>IFERROR(__xludf.DUMMYFUNCTION("SPLIT(B18,"" "")"),"#REF!")</f>
        <v>#REF!</v>
      </c>
      <c r="D18" s="1253"/>
      <c r="E18" s="1253"/>
      <c r="F18" s="1253">
        <v>28.0</v>
      </c>
      <c r="G18" s="1253">
        <v>4.0</v>
      </c>
      <c r="H18" s="1254">
        <v>0.14</v>
      </c>
      <c r="I18" s="344">
        <v>11.0</v>
      </c>
      <c r="J18" s="850">
        <v>0.39</v>
      </c>
      <c r="K18" s="351">
        <v>11.0</v>
      </c>
      <c r="L18" s="850">
        <v>0.39</v>
      </c>
      <c r="M18" s="351">
        <v>2.0</v>
      </c>
      <c r="N18" s="850">
        <v>0.07</v>
      </c>
      <c r="O18" s="548"/>
      <c r="P18" s="548"/>
    </row>
    <row r="19">
      <c r="A19" s="1226" t="s">
        <v>4031</v>
      </c>
      <c r="B19" s="1253" t="s">
        <v>4032</v>
      </c>
      <c r="C19" s="1253" t="str">
        <f>IFERROR(__xludf.DUMMYFUNCTION("SPLIT(B19,"" "")"),"#REF!")</f>
        <v>#REF!</v>
      </c>
      <c r="D19" s="1253"/>
      <c r="E19" s="1253"/>
      <c r="F19" s="1253">
        <v>87.0</v>
      </c>
      <c r="G19" s="1253">
        <v>13.0</v>
      </c>
      <c r="H19" s="1254">
        <v>0.15</v>
      </c>
      <c r="I19" s="344">
        <v>32.0</v>
      </c>
      <c r="J19" s="850">
        <v>0.37</v>
      </c>
      <c r="K19" s="351">
        <v>37.0</v>
      </c>
      <c r="L19" s="850">
        <v>0.43</v>
      </c>
      <c r="M19" s="351">
        <v>5.0</v>
      </c>
      <c r="N19" s="850">
        <v>0.06</v>
      </c>
      <c r="O19" s="548"/>
      <c r="P19" s="548"/>
    </row>
    <row r="20">
      <c r="A20" s="1226" t="s">
        <v>1814</v>
      </c>
      <c r="B20" s="1253" t="s">
        <v>4033</v>
      </c>
      <c r="C20" s="1253" t="str">
        <f>IFERROR(__xludf.DUMMYFUNCTION("SPLIT(B20,"" "")"),"AIKEN")</f>
        <v>AIKEN</v>
      </c>
      <c r="D20" s="1253" t="str">
        <f>IFERROR(__xludf.DUMMYFUNCTION("""COMPUTED_VALUE"""),"COUNTY")</f>
        <v>COUNTY</v>
      </c>
      <c r="E20" s="1253" t="str">
        <f>IFERROR(__xludf.DUMMYFUNCTION("""COMPUTED_VALUE"""),"DSS")</f>
        <v>DSS</v>
      </c>
      <c r="F20" s="1253">
        <v>96.0</v>
      </c>
      <c r="G20" s="1253">
        <v>42.0</v>
      </c>
      <c r="H20" s="1254">
        <v>0.44</v>
      </c>
      <c r="I20" s="344">
        <v>18.0</v>
      </c>
      <c r="J20" s="850">
        <v>0.19</v>
      </c>
      <c r="K20" s="351">
        <v>22.0</v>
      </c>
      <c r="L20" s="850">
        <v>0.23</v>
      </c>
      <c r="M20" s="351">
        <v>13.0</v>
      </c>
      <c r="N20" s="850">
        <v>0.14</v>
      </c>
      <c r="O20" s="351">
        <v>1.0</v>
      </c>
      <c r="P20" s="850">
        <v>0.01</v>
      </c>
    </row>
    <row r="21">
      <c r="A21" s="1226" t="s">
        <v>1816</v>
      </c>
      <c r="B21" s="1253" t="s">
        <v>4034</v>
      </c>
      <c r="C21" s="1253" t="str">
        <f>IFERROR(__xludf.DUMMYFUNCTION("SPLIT(B21,"" "")"),"BAMBERG")</f>
        <v>BAMBERG</v>
      </c>
      <c r="D21" s="1253" t="str">
        <f>IFERROR(__xludf.DUMMYFUNCTION("""COMPUTED_VALUE"""),"COUNTY")</f>
        <v>COUNTY</v>
      </c>
      <c r="E21" s="1253" t="str">
        <f>IFERROR(__xludf.DUMMYFUNCTION("""COMPUTED_VALUE"""),"DSS")</f>
        <v>DSS</v>
      </c>
      <c r="F21" s="1253">
        <v>7.0</v>
      </c>
      <c r="G21" s="1253">
        <v>2.0</v>
      </c>
      <c r="H21" s="1254">
        <v>0.29</v>
      </c>
      <c r="I21" s="344">
        <v>2.0</v>
      </c>
      <c r="J21" s="850">
        <v>0.29</v>
      </c>
      <c r="K21" s="351">
        <v>1.0</v>
      </c>
      <c r="L21" s="850">
        <v>0.14</v>
      </c>
      <c r="M21" s="351">
        <v>2.0</v>
      </c>
      <c r="N21" s="850">
        <v>0.29</v>
      </c>
      <c r="O21" s="548"/>
      <c r="P21" s="548"/>
    </row>
    <row r="22">
      <c r="A22" s="1226" t="s">
        <v>1817</v>
      </c>
      <c r="B22" s="1253" t="s">
        <v>4035</v>
      </c>
      <c r="C22" s="1253" t="str">
        <f>IFERROR(__xludf.DUMMYFUNCTION("SPLIT(B22,"" "")"),"BARNWELL")</f>
        <v>BARNWELL</v>
      </c>
      <c r="D22" s="1253" t="str">
        <f>IFERROR(__xludf.DUMMYFUNCTION("""COMPUTED_VALUE"""),"COUNTY")</f>
        <v>COUNTY</v>
      </c>
      <c r="E22" s="1253" t="str">
        <f>IFERROR(__xludf.DUMMYFUNCTION("""COMPUTED_VALUE"""),"DSS")</f>
        <v>DSS</v>
      </c>
      <c r="F22" s="1253">
        <v>7.0</v>
      </c>
      <c r="G22" s="1253">
        <v>3.0</v>
      </c>
      <c r="H22" s="1254">
        <v>0.43</v>
      </c>
      <c r="I22" s="344">
        <v>2.0</v>
      </c>
      <c r="J22" s="850">
        <v>0.29</v>
      </c>
      <c r="K22" s="351">
        <v>2.0</v>
      </c>
      <c r="L22" s="850">
        <v>0.29</v>
      </c>
      <c r="M22" s="548"/>
      <c r="N22" s="548"/>
      <c r="O22" s="548"/>
      <c r="P22" s="548"/>
    </row>
    <row r="23">
      <c r="A23" s="1226" t="s">
        <v>1789</v>
      </c>
      <c r="B23" s="1253" t="s">
        <v>4036</v>
      </c>
      <c r="C23" s="1253" t="str">
        <f>IFERROR(__xludf.DUMMYFUNCTION("SPLIT(B23,"" "")"),"CHESTER")</f>
        <v>CHESTER</v>
      </c>
      <c r="D23" s="1253" t="str">
        <f>IFERROR(__xludf.DUMMYFUNCTION("""COMPUTED_VALUE"""),"COUNTY")</f>
        <v>COUNTY</v>
      </c>
      <c r="E23" s="1253" t="str">
        <f>IFERROR(__xludf.DUMMYFUNCTION("""COMPUTED_VALUE"""),"DSS")</f>
        <v>DSS</v>
      </c>
      <c r="F23" s="1253">
        <v>37.0</v>
      </c>
      <c r="G23" s="1253">
        <v>18.0</v>
      </c>
      <c r="H23" s="1254">
        <v>0.49</v>
      </c>
      <c r="I23" s="344">
        <v>4.0</v>
      </c>
      <c r="J23" s="850">
        <v>0.11</v>
      </c>
      <c r="K23" s="351">
        <v>10.0</v>
      </c>
      <c r="L23" s="850">
        <v>0.27</v>
      </c>
      <c r="M23" s="351">
        <v>5.0</v>
      </c>
      <c r="N23" s="850">
        <v>0.14</v>
      </c>
      <c r="O23" s="548"/>
      <c r="P23" s="548"/>
    </row>
    <row r="24">
      <c r="A24" s="1226" t="s">
        <v>1825</v>
      </c>
      <c r="B24" s="1253" t="s">
        <v>4037</v>
      </c>
      <c r="C24" s="1253" t="str">
        <f>IFERROR(__xludf.DUMMYFUNCTION("SPLIT(B24,"" "")"),"EDGEFIELD")</f>
        <v>EDGEFIELD</v>
      </c>
      <c r="D24" s="1253" t="str">
        <f>IFERROR(__xludf.DUMMYFUNCTION("""COMPUTED_VALUE"""),"COUNTY")</f>
        <v>COUNTY</v>
      </c>
      <c r="E24" s="1253" t="str">
        <f>IFERROR(__xludf.DUMMYFUNCTION("""COMPUTED_VALUE"""),"DSS")</f>
        <v>DSS</v>
      </c>
      <c r="F24" s="1253">
        <v>8.0</v>
      </c>
      <c r="G24" s="1253">
        <v>1.0</v>
      </c>
      <c r="H24" s="1254">
        <v>0.12</v>
      </c>
      <c r="I24" s="344">
        <v>2.0</v>
      </c>
      <c r="J24" s="850">
        <v>0.25</v>
      </c>
      <c r="K24" s="351">
        <v>4.0</v>
      </c>
      <c r="L24" s="850">
        <v>0.5</v>
      </c>
      <c r="M24" s="351">
        <v>1.0</v>
      </c>
      <c r="N24" s="850">
        <v>0.12</v>
      </c>
      <c r="O24" s="548"/>
      <c r="P24" s="548"/>
    </row>
    <row r="25">
      <c r="A25" s="1226" t="s">
        <v>442</v>
      </c>
      <c r="B25" s="1253" t="s">
        <v>4038</v>
      </c>
      <c r="C25" s="1253" t="str">
        <f>IFERROR(__xludf.DUMMYFUNCTION("SPLIT(B25,"" "")"),"FAIRFIELD")</f>
        <v>FAIRFIELD</v>
      </c>
      <c r="D25" s="1253" t="str">
        <f>IFERROR(__xludf.DUMMYFUNCTION("""COMPUTED_VALUE"""),"COUNTY")</f>
        <v>COUNTY</v>
      </c>
      <c r="E25" s="1253" t="str">
        <f>IFERROR(__xludf.DUMMYFUNCTION("""COMPUTED_VALUE"""),"DSS")</f>
        <v>DSS</v>
      </c>
      <c r="F25" s="1253">
        <v>16.0</v>
      </c>
      <c r="G25" s="1253">
        <v>9.0</v>
      </c>
      <c r="H25" s="1254">
        <v>0.56</v>
      </c>
      <c r="I25" s="344">
        <v>4.0</v>
      </c>
      <c r="J25" s="850">
        <v>0.25</v>
      </c>
      <c r="K25" s="351">
        <v>3.0</v>
      </c>
      <c r="L25" s="850">
        <v>0.19</v>
      </c>
      <c r="M25" s="548"/>
      <c r="N25" s="548"/>
      <c r="O25" s="548"/>
      <c r="P25" s="548"/>
    </row>
    <row r="26">
      <c r="A26" s="1226" t="s">
        <v>1831</v>
      </c>
      <c r="B26" s="1253" t="s">
        <v>4039</v>
      </c>
      <c r="C26" s="1253" t="str">
        <f>IFERROR(__xludf.DUMMYFUNCTION("SPLIT(B26,"" "")"),"KERSHAW")</f>
        <v>KERSHAW</v>
      </c>
      <c r="D26" s="1253" t="str">
        <f>IFERROR(__xludf.DUMMYFUNCTION("""COMPUTED_VALUE"""),"COUNTY")</f>
        <v>COUNTY</v>
      </c>
      <c r="E26" s="1253" t="str">
        <f>IFERROR(__xludf.DUMMYFUNCTION("""COMPUTED_VALUE"""),"DSS")</f>
        <v>DSS</v>
      </c>
      <c r="F26" s="1253">
        <v>87.0</v>
      </c>
      <c r="G26" s="1253">
        <v>34.0</v>
      </c>
      <c r="H26" s="1254">
        <v>0.39</v>
      </c>
      <c r="I26" s="344">
        <v>31.0</v>
      </c>
      <c r="J26" s="850">
        <v>0.36</v>
      </c>
      <c r="K26" s="351">
        <v>14.0</v>
      </c>
      <c r="L26" s="850">
        <v>0.16</v>
      </c>
      <c r="M26" s="351">
        <v>7.0</v>
      </c>
      <c r="N26" s="850">
        <v>0.08</v>
      </c>
      <c r="O26" s="351">
        <v>1.0</v>
      </c>
      <c r="P26" s="850">
        <v>0.01</v>
      </c>
    </row>
    <row r="27">
      <c r="A27" s="1226" t="s">
        <v>650</v>
      </c>
      <c r="B27" s="1253" t="s">
        <v>4040</v>
      </c>
      <c r="C27" s="1253" t="str">
        <f>IFERROR(__xludf.DUMMYFUNCTION("SPLIT(B27,"" "")"),"LANCASTER")</f>
        <v>LANCASTER</v>
      </c>
      <c r="D27" s="1253" t="str">
        <f>IFERROR(__xludf.DUMMYFUNCTION("""COMPUTED_VALUE"""),"COUNTY")</f>
        <v>COUNTY</v>
      </c>
      <c r="E27" s="1253" t="str">
        <f>IFERROR(__xludf.DUMMYFUNCTION("""COMPUTED_VALUE"""),"DSS")</f>
        <v>DSS</v>
      </c>
      <c r="F27" s="1253">
        <v>47.0</v>
      </c>
      <c r="G27" s="1253">
        <v>8.0</v>
      </c>
      <c r="H27" s="1254">
        <v>0.17</v>
      </c>
      <c r="I27" s="344">
        <v>14.0</v>
      </c>
      <c r="J27" s="850">
        <v>0.3</v>
      </c>
      <c r="K27" s="351">
        <v>22.0</v>
      </c>
      <c r="L27" s="850">
        <v>0.47</v>
      </c>
      <c r="M27" s="351">
        <v>3.0</v>
      </c>
      <c r="N27" s="850">
        <v>0.06</v>
      </c>
      <c r="O27" s="548"/>
      <c r="P27" s="548"/>
    </row>
    <row r="28">
      <c r="A28" s="1226" t="s">
        <v>1832</v>
      </c>
      <c r="B28" s="1253" t="s">
        <v>4041</v>
      </c>
      <c r="C28" s="1253" t="str">
        <f>IFERROR(__xludf.DUMMYFUNCTION("SPLIT(B28,"" "")"),"LEXINGTON")</f>
        <v>LEXINGTON</v>
      </c>
      <c r="D28" s="1253" t="str">
        <f>IFERROR(__xludf.DUMMYFUNCTION("""COMPUTED_VALUE"""),"COUNTY")</f>
        <v>COUNTY</v>
      </c>
      <c r="E28" s="1253" t="str">
        <f>IFERROR(__xludf.DUMMYFUNCTION("""COMPUTED_VALUE"""),"DSS")</f>
        <v>DSS</v>
      </c>
      <c r="F28" s="1253">
        <v>124.0</v>
      </c>
      <c r="G28" s="1253">
        <v>31.0</v>
      </c>
      <c r="H28" s="1254">
        <v>0.25</v>
      </c>
      <c r="I28" s="344">
        <v>41.0</v>
      </c>
      <c r="J28" s="850">
        <v>0.33</v>
      </c>
      <c r="K28" s="351">
        <v>38.0</v>
      </c>
      <c r="L28" s="850">
        <v>0.31</v>
      </c>
      <c r="M28" s="351">
        <v>13.0</v>
      </c>
      <c r="N28" s="850">
        <v>0.1</v>
      </c>
      <c r="O28" s="351">
        <v>1.0</v>
      </c>
      <c r="P28" s="850">
        <v>0.01</v>
      </c>
    </row>
    <row r="29">
      <c r="A29" s="1226" t="s">
        <v>1833</v>
      </c>
      <c r="B29" s="1253" t="s">
        <v>4042</v>
      </c>
      <c r="C29" s="1253" t="str">
        <f>IFERROR(__xludf.DUMMYFUNCTION("SPLIT(B29,"" "")"),"MCCORMICK")</f>
        <v>MCCORMICK</v>
      </c>
      <c r="D29" s="1253" t="str">
        <f>IFERROR(__xludf.DUMMYFUNCTION("""COMPUTED_VALUE"""),"COUNTY")</f>
        <v>COUNTY</v>
      </c>
      <c r="E29" s="1253" t="str">
        <f>IFERROR(__xludf.DUMMYFUNCTION("""COMPUTED_VALUE"""),"DSS")</f>
        <v>DSS</v>
      </c>
      <c r="F29" s="1253">
        <v>1.0</v>
      </c>
      <c r="G29" s="1253"/>
      <c r="H29" s="1253"/>
      <c r="I29" s="344"/>
      <c r="J29" s="548"/>
      <c r="K29" s="351">
        <v>1.0</v>
      </c>
      <c r="L29" s="850">
        <v>1.0</v>
      </c>
      <c r="M29" s="548"/>
      <c r="N29" s="548"/>
      <c r="O29" s="548"/>
      <c r="P29" s="548"/>
    </row>
    <row r="30">
      <c r="A30" s="1226" t="s">
        <v>743</v>
      </c>
      <c r="B30" s="1253" t="s">
        <v>4043</v>
      </c>
      <c r="C30" s="1253" t="str">
        <f>IFERROR(__xludf.DUMMYFUNCTION("SPLIT(B30,"" "")"),"RICHLAND")</f>
        <v>RICHLAND</v>
      </c>
      <c r="D30" s="1253" t="str">
        <f>IFERROR(__xludf.DUMMYFUNCTION("""COMPUTED_VALUE"""),"COUNTY")</f>
        <v>COUNTY</v>
      </c>
      <c r="E30" s="1253" t="str">
        <f>IFERROR(__xludf.DUMMYFUNCTION("""COMPUTED_VALUE"""),"DSS")</f>
        <v>DSS</v>
      </c>
      <c r="F30" s="1253">
        <v>444.0</v>
      </c>
      <c r="G30" s="1253">
        <v>169.0</v>
      </c>
      <c r="H30" s="1254">
        <v>0.38</v>
      </c>
      <c r="I30" s="344">
        <v>115.0</v>
      </c>
      <c r="J30" s="850">
        <v>0.26</v>
      </c>
      <c r="K30" s="351">
        <v>119.0</v>
      </c>
      <c r="L30" s="850">
        <v>0.27</v>
      </c>
      <c r="M30" s="351">
        <v>36.0</v>
      </c>
      <c r="N30" s="850">
        <v>0.08</v>
      </c>
      <c r="O30" s="351">
        <v>5.0</v>
      </c>
      <c r="P30" s="850">
        <v>0.01</v>
      </c>
    </row>
    <row r="31">
      <c r="A31" s="1226" t="s">
        <v>1837</v>
      </c>
      <c r="B31" s="1253" t="s">
        <v>4044</v>
      </c>
      <c r="C31" s="1253" t="str">
        <f>IFERROR(__xludf.DUMMYFUNCTION("SPLIT(B31,"" "")"),"SALUDA")</f>
        <v>SALUDA</v>
      </c>
      <c r="D31" s="1253" t="str">
        <f>IFERROR(__xludf.DUMMYFUNCTION("""COMPUTED_VALUE"""),"COUNTY")</f>
        <v>COUNTY</v>
      </c>
      <c r="E31" s="1253" t="str">
        <f>IFERROR(__xludf.DUMMYFUNCTION("""COMPUTED_VALUE"""),"DSS")</f>
        <v>DSS</v>
      </c>
      <c r="F31" s="1253">
        <v>8.0</v>
      </c>
      <c r="G31" s="1253"/>
      <c r="H31" s="1253"/>
      <c r="I31" s="344">
        <v>4.0</v>
      </c>
      <c r="J31" s="850">
        <v>0.5</v>
      </c>
      <c r="K31" s="351">
        <v>2.0</v>
      </c>
      <c r="L31" s="850">
        <v>0.25</v>
      </c>
      <c r="M31" s="351">
        <v>2.0</v>
      </c>
      <c r="N31" s="850">
        <v>0.25</v>
      </c>
      <c r="O31" s="548"/>
      <c r="P31" s="548"/>
    </row>
    <row r="32">
      <c r="A32" s="1226" t="s">
        <v>1196</v>
      </c>
      <c r="B32" s="1253" t="s">
        <v>4045</v>
      </c>
      <c r="C32" s="1253" t="str">
        <f>IFERROR(__xludf.DUMMYFUNCTION("SPLIT(B32,"" "")"),"YORK")</f>
        <v>YORK</v>
      </c>
      <c r="D32" s="1253" t="str">
        <f>IFERROR(__xludf.DUMMYFUNCTION("""COMPUTED_VALUE"""),"COUNTY")</f>
        <v>COUNTY</v>
      </c>
      <c r="E32" s="1253" t="str">
        <f>IFERROR(__xludf.DUMMYFUNCTION("""COMPUTED_VALUE"""),"DSS")</f>
        <v>DSS</v>
      </c>
      <c r="F32" s="1253">
        <v>116.0</v>
      </c>
      <c r="G32" s="1253">
        <v>30.0</v>
      </c>
      <c r="H32" s="1254">
        <v>0.26</v>
      </c>
      <c r="I32" s="344">
        <v>42.0</v>
      </c>
      <c r="J32" s="850">
        <v>0.36</v>
      </c>
      <c r="K32" s="351">
        <v>34.0</v>
      </c>
      <c r="L32" s="850">
        <v>0.29</v>
      </c>
      <c r="M32" s="351">
        <v>10.0</v>
      </c>
      <c r="N32" s="850">
        <v>0.09</v>
      </c>
      <c r="O32" s="548"/>
      <c r="P32" s="548"/>
    </row>
    <row r="33">
      <c r="A33" s="1226"/>
      <c r="B33" s="1253"/>
      <c r="C33" s="1253" t="str">
        <f>IFERROR(__xludf.DUMMYFUNCTION("SPLIT(B33,"" "")"),"#VALUE!")</f>
        <v>#VALUE!</v>
      </c>
      <c r="D33" s="1253"/>
      <c r="E33" s="1253"/>
      <c r="F33" s="1253">
        <v>1190.0</v>
      </c>
      <c r="G33" s="1253">
        <v>377.0</v>
      </c>
      <c r="H33" s="1254">
        <v>0.32</v>
      </c>
      <c r="I33" s="344">
        <v>361.0</v>
      </c>
      <c r="J33" s="850">
        <v>0.3</v>
      </c>
      <c r="K33" s="351">
        <v>341.0</v>
      </c>
      <c r="L33" s="850">
        <v>0.29</v>
      </c>
      <c r="M33" s="351">
        <v>103.0</v>
      </c>
      <c r="N33" s="850">
        <v>0.09</v>
      </c>
      <c r="O33" s="351">
        <v>8.0</v>
      </c>
      <c r="P33" s="850">
        <v>0.01</v>
      </c>
    </row>
    <row r="34">
      <c r="A34" s="1226" t="s">
        <v>4046</v>
      </c>
      <c r="B34" s="1253" t="s">
        <v>4047</v>
      </c>
      <c r="C34" s="1253" t="str">
        <f>IFERROR(__xludf.DUMMYFUNCTION("SPLIT(B34,"" "")"),"#REF!")</f>
        <v>#REF!</v>
      </c>
      <c r="D34" s="1253"/>
      <c r="E34" s="1253"/>
      <c r="F34" s="1253">
        <v>123.0</v>
      </c>
      <c r="G34" s="1253">
        <v>31.0</v>
      </c>
      <c r="H34" s="1254">
        <v>0.25</v>
      </c>
      <c r="I34" s="344">
        <v>49.0</v>
      </c>
      <c r="J34" s="850">
        <v>0.4</v>
      </c>
      <c r="K34" s="351">
        <v>32.0</v>
      </c>
      <c r="L34" s="850">
        <v>0.26</v>
      </c>
      <c r="M34" s="351">
        <v>11.0</v>
      </c>
      <c r="N34" s="850">
        <v>0.09</v>
      </c>
      <c r="O34" s="548"/>
      <c r="P34" s="548"/>
    </row>
    <row r="35">
      <c r="A35" s="1226" t="s">
        <v>1820</v>
      </c>
      <c r="B35" s="1253" t="s">
        <v>4048</v>
      </c>
      <c r="C35" s="1253" t="str">
        <f>IFERROR(__xludf.DUMMYFUNCTION("SPLIT(B35,"" "")"),"CHESTERFIELD")</f>
        <v>CHESTERFIELD</v>
      </c>
      <c r="D35" s="1253" t="str">
        <f>IFERROR(__xludf.DUMMYFUNCTION("""COMPUTED_VALUE"""),"COUNTY")</f>
        <v>COUNTY</v>
      </c>
      <c r="E35" s="1253" t="str">
        <f>IFERROR(__xludf.DUMMYFUNCTION("""COMPUTED_VALUE"""),"DSS")</f>
        <v>DSS</v>
      </c>
      <c r="F35" s="1253">
        <v>12.0</v>
      </c>
      <c r="G35" s="1253">
        <v>4.0</v>
      </c>
      <c r="H35" s="1254">
        <v>0.33</v>
      </c>
      <c r="I35" s="344">
        <v>4.0</v>
      </c>
      <c r="J35" s="850">
        <v>0.33</v>
      </c>
      <c r="K35" s="351">
        <v>1.0</v>
      </c>
      <c r="L35" s="850">
        <v>0.08</v>
      </c>
      <c r="M35" s="351">
        <v>2.0</v>
      </c>
      <c r="N35" s="850">
        <v>0.17</v>
      </c>
      <c r="O35" s="351">
        <v>1.0</v>
      </c>
      <c r="P35" s="850">
        <v>0.08</v>
      </c>
    </row>
    <row r="36">
      <c r="A36" s="1226" t="s">
        <v>1821</v>
      </c>
      <c r="B36" s="1253" t="s">
        <v>4049</v>
      </c>
      <c r="C36" s="1253" t="str">
        <f>IFERROR(__xludf.DUMMYFUNCTION("SPLIT(B36,"" "")"),"CLARENDON")</f>
        <v>CLARENDON</v>
      </c>
      <c r="D36" s="1253" t="str">
        <f>IFERROR(__xludf.DUMMYFUNCTION("""COMPUTED_VALUE"""),"COUNTY")</f>
        <v>COUNTY</v>
      </c>
      <c r="E36" s="1253" t="str">
        <f>IFERROR(__xludf.DUMMYFUNCTION("""COMPUTED_VALUE"""),"DSS")</f>
        <v>DSS</v>
      </c>
      <c r="F36" s="1253">
        <v>24.0</v>
      </c>
      <c r="G36" s="1253">
        <v>12.0</v>
      </c>
      <c r="H36" s="1254">
        <v>0.5</v>
      </c>
      <c r="I36" s="344">
        <v>6.0</v>
      </c>
      <c r="J36" s="850">
        <v>0.25</v>
      </c>
      <c r="K36" s="351">
        <v>3.0</v>
      </c>
      <c r="L36" s="850">
        <v>0.12</v>
      </c>
      <c r="M36" s="351">
        <v>3.0</v>
      </c>
      <c r="N36" s="850">
        <v>0.12</v>
      </c>
      <c r="O36" s="548"/>
      <c r="P36" s="548"/>
    </row>
    <row r="37">
      <c r="A37" s="1226" t="s">
        <v>1823</v>
      </c>
      <c r="B37" s="1253" t="s">
        <v>4050</v>
      </c>
      <c r="C37" s="1253" t="str">
        <f>IFERROR(__xludf.DUMMYFUNCTION("SPLIT(B37,"" "")"),"DARLINGTON")</f>
        <v>DARLINGTON</v>
      </c>
      <c r="D37" s="1253" t="str">
        <f>IFERROR(__xludf.DUMMYFUNCTION("""COMPUTED_VALUE"""),"COUNTY")</f>
        <v>COUNTY</v>
      </c>
      <c r="E37" s="1253" t="str">
        <f>IFERROR(__xludf.DUMMYFUNCTION("""COMPUTED_VALUE"""),"DSS")</f>
        <v>DSS</v>
      </c>
      <c r="F37" s="1253">
        <v>61.0</v>
      </c>
      <c r="G37" s="1253">
        <v>21.0</v>
      </c>
      <c r="H37" s="1254">
        <v>0.34</v>
      </c>
      <c r="I37" s="344">
        <v>25.0</v>
      </c>
      <c r="J37" s="850">
        <v>0.41</v>
      </c>
      <c r="K37" s="351">
        <v>8.0</v>
      </c>
      <c r="L37" s="850">
        <v>0.13</v>
      </c>
      <c r="M37" s="351">
        <v>5.0</v>
      </c>
      <c r="N37" s="850">
        <v>0.08</v>
      </c>
      <c r="O37" s="351">
        <v>2.0</v>
      </c>
      <c r="P37" s="850">
        <v>0.03</v>
      </c>
    </row>
    <row r="38">
      <c r="A38" s="1226" t="s">
        <v>1824</v>
      </c>
      <c r="B38" s="1253" t="s">
        <v>4051</v>
      </c>
      <c r="C38" s="1253" t="str">
        <f>IFERROR(__xludf.DUMMYFUNCTION("SPLIT(B38,"" "")"),"DILLON")</f>
        <v>DILLON</v>
      </c>
      <c r="D38" s="1253" t="str">
        <f>IFERROR(__xludf.DUMMYFUNCTION("""COMPUTED_VALUE"""),"COUNTY")</f>
        <v>COUNTY</v>
      </c>
      <c r="E38" s="1253" t="str">
        <f>IFERROR(__xludf.DUMMYFUNCTION("""COMPUTED_VALUE"""),"DSS")</f>
        <v>DSS</v>
      </c>
      <c r="F38" s="1253">
        <v>31.0</v>
      </c>
      <c r="G38" s="1253">
        <v>9.0</v>
      </c>
      <c r="H38" s="1254">
        <v>0.29</v>
      </c>
      <c r="I38" s="344">
        <v>12.0</v>
      </c>
      <c r="J38" s="850">
        <v>0.39</v>
      </c>
      <c r="K38" s="351">
        <v>9.0</v>
      </c>
      <c r="L38" s="850">
        <v>0.29</v>
      </c>
      <c r="M38" s="351">
        <v>1.0</v>
      </c>
      <c r="N38" s="850">
        <v>0.03</v>
      </c>
      <c r="O38" s="548"/>
      <c r="P38" s="548"/>
    </row>
    <row r="39">
      <c r="A39" s="1226" t="s">
        <v>1826</v>
      </c>
      <c r="B39" s="1253" t="s">
        <v>4052</v>
      </c>
      <c r="C39" s="1253" t="str">
        <f>IFERROR(__xludf.DUMMYFUNCTION("SPLIT(B39,"" "")"),"FLORENCE")</f>
        <v>FLORENCE</v>
      </c>
      <c r="D39" s="1253" t="str">
        <f>IFERROR(__xludf.DUMMYFUNCTION("""COMPUTED_VALUE"""),"COUNTY")</f>
        <v>COUNTY</v>
      </c>
      <c r="E39" s="1253" t="str">
        <f>IFERROR(__xludf.DUMMYFUNCTION("""COMPUTED_VALUE"""),"DSS")</f>
        <v>DSS</v>
      </c>
      <c r="F39" s="1253">
        <v>68.0</v>
      </c>
      <c r="G39" s="1253">
        <v>32.0</v>
      </c>
      <c r="H39" s="1254">
        <v>0.47</v>
      </c>
      <c r="I39" s="344">
        <v>20.0</v>
      </c>
      <c r="J39" s="850">
        <v>0.29</v>
      </c>
      <c r="K39" s="351">
        <v>3.0</v>
      </c>
      <c r="L39" s="850">
        <v>0.04</v>
      </c>
      <c r="M39" s="351">
        <v>11.0</v>
      </c>
      <c r="N39" s="850">
        <v>0.16</v>
      </c>
      <c r="O39" s="351">
        <v>2.0</v>
      </c>
      <c r="P39" s="850">
        <v>0.03</v>
      </c>
    </row>
    <row r="40">
      <c r="A40" s="1226" t="s">
        <v>1827</v>
      </c>
      <c r="B40" s="1253" t="s">
        <v>4053</v>
      </c>
      <c r="C40" s="1253" t="str">
        <f>IFERROR(__xludf.DUMMYFUNCTION("SPLIT(B40,"" "")"),"GEORGETOWN")</f>
        <v>GEORGETOWN</v>
      </c>
      <c r="D40" s="1253" t="str">
        <f>IFERROR(__xludf.DUMMYFUNCTION("""COMPUTED_VALUE"""),"COUNTY")</f>
        <v>COUNTY</v>
      </c>
      <c r="E40" s="1253" t="str">
        <f>IFERROR(__xludf.DUMMYFUNCTION("""COMPUTED_VALUE"""),"DSS")</f>
        <v>DSS</v>
      </c>
      <c r="F40" s="1253">
        <v>20.0</v>
      </c>
      <c r="G40" s="1253">
        <v>14.0</v>
      </c>
      <c r="H40" s="1254">
        <v>0.7</v>
      </c>
      <c r="I40" s="344">
        <v>3.0</v>
      </c>
      <c r="J40" s="850">
        <v>0.15</v>
      </c>
      <c r="K40" s="351">
        <v>1.0</v>
      </c>
      <c r="L40" s="850">
        <v>0.05</v>
      </c>
      <c r="M40" s="351">
        <v>2.0</v>
      </c>
      <c r="N40" s="850">
        <v>0.1</v>
      </c>
      <c r="O40" s="548"/>
      <c r="P40" s="548"/>
    </row>
    <row r="41">
      <c r="A41" s="1226" t="s">
        <v>1830</v>
      </c>
      <c r="B41" s="1253" t="s">
        <v>4054</v>
      </c>
      <c r="C41" s="1253" t="str">
        <f>IFERROR(__xludf.DUMMYFUNCTION("SPLIT(B41,"" "")"),"HORRY")</f>
        <v>HORRY</v>
      </c>
      <c r="D41" s="1253" t="str">
        <f>IFERROR(__xludf.DUMMYFUNCTION("""COMPUTED_VALUE"""),"COUNTY")</f>
        <v>COUNTY</v>
      </c>
      <c r="E41" s="1253" t="str">
        <f>IFERROR(__xludf.DUMMYFUNCTION("""COMPUTED_VALUE"""),"DSS")</f>
        <v>DSS</v>
      </c>
      <c r="F41" s="1253">
        <v>164.0</v>
      </c>
      <c r="G41" s="1253">
        <v>49.0</v>
      </c>
      <c r="H41" s="1254">
        <v>0.3</v>
      </c>
      <c r="I41" s="344">
        <v>71.0</v>
      </c>
      <c r="J41" s="850">
        <v>0.43</v>
      </c>
      <c r="K41" s="351">
        <v>24.0</v>
      </c>
      <c r="L41" s="850">
        <v>0.15</v>
      </c>
      <c r="M41" s="351">
        <v>18.0</v>
      </c>
      <c r="N41" s="850">
        <v>0.11</v>
      </c>
      <c r="O41" s="351">
        <v>2.0</v>
      </c>
      <c r="P41" s="850">
        <v>0.01</v>
      </c>
    </row>
    <row r="42">
      <c r="A42" s="1226" t="s">
        <v>147</v>
      </c>
      <c r="B42" s="1253" t="s">
        <v>4055</v>
      </c>
      <c r="C42" s="1253" t="str">
        <f>IFERROR(__xludf.DUMMYFUNCTION("SPLIT(B42,"" "")"),"LEE")</f>
        <v>LEE</v>
      </c>
      <c r="D42" s="1253" t="str">
        <f>IFERROR(__xludf.DUMMYFUNCTION("""COMPUTED_VALUE"""),"COUNTY")</f>
        <v>COUNTY</v>
      </c>
      <c r="E42" s="1253" t="str">
        <f>IFERROR(__xludf.DUMMYFUNCTION("""COMPUTED_VALUE"""),"DSS")</f>
        <v>DSS</v>
      </c>
      <c r="F42" s="1253">
        <v>16.0</v>
      </c>
      <c r="G42" s="1253">
        <v>6.0</v>
      </c>
      <c r="H42" s="1254">
        <v>0.38</v>
      </c>
      <c r="I42" s="344">
        <v>8.0</v>
      </c>
      <c r="J42" s="850">
        <v>0.5</v>
      </c>
      <c r="K42" s="351">
        <v>1.0</v>
      </c>
      <c r="L42" s="850">
        <v>0.06</v>
      </c>
      <c r="M42" s="351">
        <v>1.0</v>
      </c>
      <c r="N42" s="850">
        <v>0.06</v>
      </c>
      <c r="O42" s="548"/>
      <c r="P42" s="548"/>
    </row>
    <row r="43">
      <c r="A43" s="1226" t="s">
        <v>153</v>
      </c>
      <c r="B43" s="1253" t="s">
        <v>4056</v>
      </c>
      <c r="C43" s="1253" t="str">
        <f>IFERROR(__xludf.DUMMYFUNCTION("SPLIT(B43,"" "")"),"MARION")</f>
        <v>MARION</v>
      </c>
      <c r="D43" s="1253" t="str">
        <f>IFERROR(__xludf.DUMMYFUNCTION("""COMPUTED_VALUE"""),"COUNTY")</f>
        <v>COUNTY</v>
      </c>
      <c r="E43" s="1253" t="str">
        <f>IFERROR(__xludf.DUMMYFUNCTION("""COMPUTED_VALUE"""),"DSS")</f>
        <v>DSS</v>
      </c>
      <c r="F43" s="1253">
        <v>29.0</v>
      </c>
      <c r="G43" s="1253">
        <v>12.0</v>
      </c>
      <c r="H43" s="1254">
        <v>0.41</v>
      </c>
      <c r="I43" s="344">
        <v>9.0</v>
      </c>
      <c r="J43" s="850">
        <v>0.31</v>
      </c>
      <c r="K43" s="351">
        <v>4.0</v>
      </c>
      <c r="L43" s="850">
        <v>0.14</v>
      </c>
      <c r="M43" s="351">
        <v>4.0</v>
      </c>
      <c r="N43" s="850">
        <v>0.14</v>
      </c>
      <c r="O43" s="548"/>
      <c r="P43" s="548"/>
    </row>
    <row r="44">
      <c r="A44" s="1226" t="s">
        <v>1834</v>
      </c>
      <c r="B44" s="1253" t="s">
        <v>4057</v>
      </c>
      <c r="C44" s="1253" t="str">
        <f>IFERROR(__xludf.DUMMYFUNCTION("SPLIT(B44,"" "")"),"MARLBORO")</f>
        <v>MARLBORO</v>
      </c>
      <c r="D44" s="1253" t="str">
        <f>IFERROR(__xludf.DUMMYFUNCTION("""COMPUTED_VALUE"""),"COUNTY")</f>
        <v>COUNTY</v>
      </c>
      <c r="E44" s="1253" t="str">
        <f>IFERROR(__xludf.DUMMYFUNCTION("""COMPUTED_VALUE"""),"DSS")</f>
        <v>DSS</v>
      </c>
      <c r="F44" s="1253">
        <v>11.0</v>
      </c>
      <c r="G44" s="1253">
        <v>2.0</v>
      </c>
      <c r="H44" s="1254">
        <v>0.18</v>
      </c>
      <c r="I44" s="344">
        <v>6.0</v>
      </c>
      <c r="J44" s="850">
        <v>0.55</v>
      </c>
      <c r="K44" s="351">
        <v>3.0</v>
      </c>
      <c r="L44" s="850">
        <v>0.27</v>
      </c>
      <c r="M44" s="548"/>
      <c r="N44" s="548"/>
      <c r="O44" s="548"/>
      <c r="P44" s="548"/>
    </row>
    <row r="45">
      <c r="A45" s="1226" t="s">
        <v>169</v>
      </c>
      <c r="B45" s="1253" t="s">
        <v>4058</v>
      </c>
      <c r="C45" s="1253" t="str">
        <f>IFERROR(__xludf.DUMMYFUNCTION("SPLIT(B45,"" "")"),"SUMTER")</f>
        <v>SUMTER</v>
      </c>
      <c r="D45" s="1253" t="str">
        <f>IFERROR(__xludf.DUMMYFUNCTION("""COMPUTED_VALUE"""),"COUNTY")</f>
        <v>COUNTY</v>
      </c>
      <c r="E45" s="1253" t="str">
        <f>IFERROR(__xludf.DUMMYFUNCTION("""COMPUTED_VALUE"""),"DSS")</f>
        <v>DSS</v>
      </c>
      <c r="F45" s="1253">
        <v>40.0</v>
      </c>
      <c r="G45" s="1253">
        <v>10.0</v>
      </c>
      <c r="H45" s="1254">
        <v>0.25</v>
      </c>
      <c r="I45" s="344">
        <v>9.0</v>
      </c>
      <c r="J45" s="850">
        <v>0.22</v>
      </c>
      <c r="K45" s="351">
        <v>10.0</v>
      </c>
      <c r="L45" s="850">
        <v>0.25</v>
      </c>
      <c r="M45" s="351">
        <v>9.0</v>
      </c>
      <c r="N45" s="850">
        <v>0.22</v>
      </c>
      <c r="O45" s="351">
        <v>2.0</v>
      </c>
      <c r="P45" s="850">
        <v>0.05</v>
      </c>
    </row>
    <row r="46">
      <c r="A46" s="1226" t="s">
        <v>1839</v>
      </c>
      <c r="B46" s="1253" t="s">
        <v>4059</v>
      </c>
      <c r="C46" s="1253" t="str">
        <f>IFERROR(__xludf.DUMMYFUNCTION("SPLIT(B46,"" "")"),"WILLIAMSBURG")</f>
        <v>WILLIAMSBURG</v>
      </c>
      <c r="D46" s="1253" t="str">
        <f>IFERROR(__xludf.DUMMYFUNCTION("""COMPUTED_VALUE"""),"COUNTY")</f>
        <v>COUNTY</v>
      </c>
      <c r="E46" s="1253" t="str">
        <f>IFERROR(__xludf.DUMMYFUNCTION("""COMPUTED_VALUE"""),"DSS")</f>
        <v>DSS</v>
      </c>
      <c r="F46" s="1253">
        <v>11.0</v>
      </c>
      <c r="G46" s="1253">
        <v>4.0</v>
      </c>
      <c r="H46" s="1254">
        <v>0.36</v>
      </c>
      <c r="I46" s="344">
        <v>4.0</v>
      </c>
      <c r="J46" s="850">
        <v>0.36</v>
      </c>
      <c r="K46" s="548"/>
      <c r="L46" s="548"/>
      <c r="M46" s="351">
        <v>3.0</v>
      </c>
      <c r="N46" s="850">
        <v>0.27</v>
      </c>
      <c r="O46" s="548"/>
      <c r="P46" s="548"/>
    </row>
    <row r="47">
      <c r="A47" s="1226"/>
      <c r="B47" s="1253"/>
      <c r="C47" s="1253" t="str">
        <f>IFERROR(__xludf.DUMMYFUNCTION("SPLIT(B47,"" "")"),"#VALUE!")</f>
        <v>#VALUE!</v>
      </c>
      <c r="D47" s="1253"/>
      <c r="E47" s="1253"/>
      <c r="F47" s="1253">
        <v>610.0</v>
      </c>
      <c r="G47" s="1253">
        <v>206.0</v>
      </c>
      <c r="H47" s="1254">
        <v>0.34</v>
      </c>
      <c r="I47" s="344">
        <v>226.0</v>
      </c>
      <c r="J47" s="850">
        <v>0.37</v>
      </c>
      <c r="K47" s="351">
        <v>99.0</v>
      </c>
      <c r="L47" s="850">
        <v>0.16</v>
      </c>
      <c r="M47" s="351">
        <v>70.0</v>
      </c>
      <c r="N47" s="850">
        <v>0.11</v>
      </c>
      <c r="O47" s="351">
        <v>9.0</v>
      </c>
      <c r="P47" s="850">
        <v>0.01</v>
      </c>
    </row>
    <row r="48">
      <c r="A48" s="1226" t="s">
        <v>1813</v>
      </c>
      <c r="B48" s="1253" t="s">
        <v>4060</v>
      </c>
      <c r="C48" s="1253" t="str">
        <f>IFERROR(__xludf.DUMMYFUNCTION("SPLIT(B48,"" "")"),"ABBEVILLE")</f>
        <v>ABBEVILLE</v>
      </c>
      <c r="D48" s="1253" t="str">
        <f>IFERROR(__xludf.DUMMYFUNCTION("""COMPUTED_VALUE"""),"COUNTY")</f>
        <v>COUNTY</v>
      </c>
      <c r="E48" s="1253" t="str">
        <f>IFERROR(__xludf.DUMMYFUNCTION("""COMPUTED_VALUE"""),"DSS")</f>
        <v>DSS</v>
      </c>
      <c r="F48" s="1253">
        <v>18.0</v>
      </c>
      <c r="G48" s="1253">
        <v>7.0</v>
      </c>
      <c r="H48" s="1254">
        <v>0.39</v>
      </c>
      <c r="I48" s="344">
        <v>6.0</v>
      </c>
      <c r="J48" s="850">
        <v>0.33</v>
      </c>
      <c r="K48" s="351">
        <v>3.0</v>
      </c>
      <c r="L48" s="850">
        <v>0.17</v>
      </c>
      <c r="M48" s="351">
        <v>2.0</v>
      </c>
      <c r="N48" s="850">
        <v>0.11</v>
      </c>
      <c r="O48" s="548"/>
      <c r="P48" s="548"/>
    </row>
    <row r="49">
      <c r="A49" s="1226" t="s">
        <v>4061</v>
      </c>
      <c r="B49" s="1253" t="s">
        <v>4062</v>
      </c>
      <c r="C49" s="1253" t="str">
        <f>IFERROR(__xludf.DUMMYFUNCTION("SPLIT(B49,"" "")"),"#REF!")</f>
        <v>#REF!</v>
      </c>
      <c r="D49" s="1253"/>
      <c r="E49" s="1253"/>
      <c r="F49" s="1253">
        <v>183.0</v>
      </c>
      <c r="G49" s="1253">
        <v>32.0</v>
      </c>
      <c r="H49" s="1254">
        <v>0.17</v>
      </c>
      <c r="I49" s="344">
        <v>59.0</v>
      </c>
      <c r="J49" s="850">
        <v>0.32</v>
      </c>
      <c r="K49" s="351">
        <v>57.0</v>
      </c>
      <c r="L49" s="850">
        <v>0.31</v>
      </c>
      <c r="M49" s="351">
        <v>35.0</v>
      </c>
      <c r="N49" s="850">
        <v>0.19</v>
      </c>
      <c r="O49" s="548"/>
      <c r="P49" s="548"/>
    </row>
    <row r="50">
      <c r="A50" s="1226" t="s">
        <v>4063</v>
      </c>
      <c r="B50" s="1253" t="s">
        <v>4064</v>
      </c>
      <c r="C50" s="1253" t="str">
        <f>IFERROR(__xludf.DUMMYFUNCTION("SPLIT(B50,"" "")"),"ADOPTION")</f>
        <v>ADOPTION</v>
      </c>
      <c r="D50" s="1253" t="str">
        <f>IFERROR(__xludf.DUMMYFUNCTION("""COMPUTED_VALUE"""),"SERVICES")</f>
        <v>SERVICES</v>
      </c>
      <c r="E50" s="1253" t="str">
        <f>IFERROR(__xludf.DUMMYFUNCTION("""COMPUTED_VALUE"""),"UPSTATE")</f>
        <v>UPSTATE</v>
      </c>
      <c r="F50" s="1253" t="str">
        <f>IFERROR(__xludf.DUMMYFUNCTION("""COMPUTED_VALUE"""),"LAURENS")</f>
        <v>LAURENS</v>
      </c>
      <c r="G50" s="1253"/>
      <c r="H50" s="1253"/>
      <c r="I50" s="344"/>
      <c r="J50" s="548"/>
      <c r="K50" s="548"/>
      <c r="L50" s="548"/>
      <c r="M50" s="548"/>
      <c r="N50" s="548"/>
      <c r="O50" s="548"/>
      <c r="P50" s="548"/>
    </row>
    <row r="51">
      <c r="A51" s="1226" t="s">
        <v>954</v>
      </c>
      <c r="B51" s="1152" t="s">
        <v>4065</v>
      </c>
      <c r="C51" s="1253" t="str">
        <f>IFERROR(__xludf.DUMMYFUNCTION("SPLIT(B51,"" "")"),"ANDERSON")</f>
        <v>ANDERSON</v>
      </c>
      <c r="D51" s="344" t="str">
        <f>IFERROR(__xludf.DUMMYFUNCTION("""COMPUTED_VALUE"""),"COUNTY")</f>
        <v>COUNTY</v>
      </c>
      <c r="E51" s="344" t="str">
        <f>IFERROR(__xludf.DUMMYFUNCTION("""COMPUTED_VALUE"""),"DSS")</f>
        <v>DSS</v>
      </c>
      <c r="F51" s="344">
        <v>105.0</v>
      </c>
      <c r="G51" s="344">
        <v>17.0</v>
      </c>
      <c r="H51" s="1258">
        <v>0.16</v>
      </c>
      <c r="I51" s="1152">
        <v>50.0</v>
      </c>
      <c r="J51" s="850">
        <v>0.48</v>
      </c>
      <c r="K51" s="351">
        <v>25.0</v>
      </c>
      <c r="L51" s="850">
        <v>0.24</v>
      </c>
      <c r="M51" s="351">
        <v>13.0</v>
      </c>
      <c r="N51" s="850">
        <v>0.12</v>
      </c>
      <c r="O51" s="548"/>
      <c r="P51" s="548"/>
    </row>
    <row r="52">
      <c r="A52" s="1226" t="s">
        <v>101</v>
      </c>
      <c r="B52" s="1253" t="s">
        <v>4066</v>
      </c>
      <c r="C52" s="1253" t="str">
        <f>IFERROR(__xludf.DUMMYFUNCTION("SPLIT(B52,"" "")"),"CHEROKEE")</f>
        <v>CHEROKEE</v>
      </c>
      <c r="D52" s="351" t="str">
        <f>IFERROR(__xludf.DUMMYFUNCTION("""COMPUTED_VALUE"""),"COUNTY")</f>
        <v>COUNTY</v>
      </c>
      <c r="E52" s="351" t="str">
        <f>IFERROR(__xludf.DUMMYFUNCTION("""COMPUTED_VALUE"""),"DSS")</f>
        <v>DSS</v>
      </c>
      <c r="F52" s="351">
        <v>37.0</v>
      </c>
      <c r="G52" s="351">
        <v>7.0</v>
      </c>
      <c r="H52" s="850">
        <v>0.19</v>
      </c>
      <c r="I52" s="351">
        <v>16.0</v>
      </c>
      <c r="J52" s="850">
        <v>0.43</v>
      </c>
      <c r="K52" s="351">
        <v>8.0</v>
      </c>
      <c r="L52" s="850">
        <v>0.22</v>
      </c>
      <c r="M52" s="351">
        <v>2.0</v>
      </c>
      <c r="N52" s="850">
        <v>0.05</v>
      </c>
      <c r="O52" s="351">
        <v>4.0</v>
      </c>
      <c r="P52" s="850">
        <v>0.11</v>
      </c>
    </row>
    <row r="53">
      <c r="A53" s="1226" t="s">
        <v>1828</v>
      </c>
      <c r="B53" s="1253" t="s">
        <v>4067</v>
      </c>
      <c r="C53" s="1253" t="str">
        <f>IFERROR(__xludf.DUMMYFUNCTION("SPLIT(B53,"" "")"),"GREENVILLE")</f>
        <v>GREENVILLE</v>
      </c>
      <c r="D53" s="351" t="str">
        <f>IFERROR(__xludf.DUMMYFUNCTION("""COMPUTED_VALUE"""),"COUNTY")</f>
        <v>COUNTY</v>
      </c>
      <c r="E53" s="351" t="str">
        <f>IFERROR(__xludf.DUMMYFUNCTION("""COMPUTED_VALUE"""),"DSS")</f>
        <v>DSS</v>
      </c>
      <c r="F53" s="351">
        <v>191.0</v>
      </c>
      <c r="G53" s="351">
        <v>45.0</v>
      </c>
      <c r="H53" s="850">
        <v>0.24</v>
      </c>
      <c r="I53" s="351">
        <v>76.0</v>
      </c>
      <c r="J53" s="850">
        <v>0.4</v>
      </c>
      <c r="K53" s="351">
        <v>43.0</v>
      </c>
      <c r="L53" s="850">
        <v>0.23</v>
      </c>
      <c r="M53" s="351">
        <v>25.0</v>
      </c>
      <c r="N53" s="850">
        <v>0.13</v>
      </c>
      <c r="O53" s="351">
        <v>2.0</v>
      </c>
      <c r="P53" s="850">
        <v>0.01</v>
      </c>
    </row>
    <row r="54">
      <c r="A54" s="1226" t="s">
        <v>977</v>
      </c>
      <c r="B54" s="1253" t="s">
        <v>4068</v>
      </c>
      <c r="C54" s="1253" t="str">
        <f>IFERROR(__xludf.DUMMYFUNCTION("SPLIT(B54,"" "")"),"GREENWOOD")</f>
        <v>GREENWOOD</v>
      </c>
      <c r="D54" s="351" t="str">
        <f>IFERROR(__xludf.DUMMYFUNCTION("""COMPUTED_VALUE"""),"COUNTY")</f>
        <v>COUNTY</v>
      </c>
      <c r="E54" s="351" t="str">
        <f>IFERROR(__xludf.DUMMYFUNCTION("""COMPUTED_VALUE"""),"DSS")</f>
        <v>DSS</v>
      </c>
      <c r="F54" s="351">
        <v>61.0</v>
      </c>
      <c r="G54" s="351">
        <v>17.0</v>
      </c>
      <c r="H54" s="850">
        <v>0.28</v>
      </c>
      <c r="I54" s="351">
        <v>22.0</v>
      </c>
      <c r="J54" s="850">
        <v>0.36</v>
      </c>
      <c r="K54" s="351">
        <v>14.0</v>
      </c>
      <c r="L54" s="850">
        <v>0.23</v>
      </c>
      <c r="M54" s="351">
        <v>6.0</v>
      </c>
      <c r="N54" s="850">
        <v>0.1</v>
      </c>
      <c r="O54" s="351">
        <v>2.0</v>
      </c>
      <c r="P54" s="850">
        <v>0.03</v>
      </c>
    </row>
    <row r="55">
      <c r="A55" s="1226" t="s">
        <v>601</v>
      </c>
      <c r="B55" s="1253" t="s">
        <v>4069</v>
      </c>
      <c r="C55" s="1253" t="str">
        <f>IFERROR(__xludf.DUMMYFUNCTION("SPLIT(B55,"" "")"),"LAURENS")</f>
        <v>LAURENS</v>
      </c>
      <c r="D55" s="351" t="str">
        <f>IFERROR(__xludf.DUMMYFUNCTION("""COMPUTED_VALUE"""),"COUNTY")</f>
        <v>COUNTY</v>
      </c>
      <c r="E55" s="351" t="str">
        <f>IFERROR(__xludf.DUMMYFUNCTION("""COMPUTED_VALUE"""),"DSS")</f>
        <v>DSS</v>
      </c>
      <c r="F55" s="351">
        <v>108.0</v>
      </c>
      <c r="G55" s="351">
        <v>21.0</v>
      </c>
      <c r="H55" s="850">
        <v>0.19</v>
      </c>
      <c r="I55" s="351">
        <v>42.0</v>
      </c>
      <c r="J55" s="850">
        <v>0.39</v>
      </c>
      <c r="K55" s="351">
        <v>30.0</v>
      </c>
      <c r="L55" s="850">
        <v>0.28</v>
      </c>
      <c r="M55" s="351">
        <v>14.0</v>
      </c>
      <c r="N55" s="850">
        <v>0.13</v>
      </c>
      <c r="O55" s="351">
        <v>1.0</v>
      </c>
      <c r="P55" s="850">
        <v>0.01</v>
      </c>
    </row>
    <row r="56">
      <c r="A56" s="1226" t="s">
        <v>1835</v>
      </c>
      <c r="B56" s="1253" t="s">
        <v>4070</v>
      </c>
      <c r="C56" s="1253" t="str">
        <f>IFERROR(__xludf.DUMMYFUNCTION("SPLIT(B56,"" "")"),"NEWBERRY")</f>
        <v>NEWBERRY</v>
      </c>
      <c r="D56" s="351" t="str">
        <f>IFERROR(__xludf.DUMMYFUNCTION("""COMPUTED_VALUE"""),"COUNTY")</f>
        <v>COUNTY</v>
      </c>
      <c r="E56" s="351" t="str">
        <f>IFERROR(__xludf.DUMMYFUNCTION("""COMPUTED_VALUE"""),"DSS")</f>
        <v>DSS</v>
      </c>
      <c r="F56" s="351">
        <v>11.0</v>
      </c>
      <c r="G56" s="351">
        <v>2.0</v>
      </c>
      <c r="H56" s="850">
        <v>0.18</v>
      </c>
      <c r="I56" s="351">
        <v>7.0</v>
      </c>
      <c r="J56" s="850">
        <v>0.64</v>
      </c>
      <c r="K56" s="351">
        <v>2.0</v>
      </c>
      <c r="L56" s="850">
        <v>0.18</v>
      </c>
      <c r="M56" s="548"/>
      <c r="N56" s="548"/>
      <c r="O56" s="548"/>
      <c r="P56" s="548"/>
    </row>
    <row r="57">
      <c r="A57" s="1226" t="s">
        <v>614</v>
      </c>
      <c r="B57" s="1253" t="s">
        <v>4071</v>
      </c>
      <c r="C57" s="1253" t="str">
        <f>IFERROR(__xludf.DUMMYFUNCTION("SPLIT(B57,"" "")"),"OCONEE")</f>
        <v>OCONEE</v>
      </c>
      <c r="D57" s="351" t="str">
        <f>IFERROR(__xludf.DUMMYFUNCTION("""COMPUTED_VALUE"""),"COUNTY")</f>
        <v>COUNTY</v>
      </c>
      <c r="E57" s="351" t="str">
        <f>IFERROR(__xludf.DUMMYFUNCTION("""COMPUTED_VALUE"""),"DSS")</f>
        <v>DSS</v>
      </c>
      <c r="F57" s="351">
        <v>45.0</v>
      </c>
      <c r="G57" s="351">
        <v>12.0</v>
      </c>
      <c r="H57" s="850">
        <v>0.27</v>
      </c>
      <c r="I57" s="351">
        <v>16.0</v>
      </c>
      <c r="J57" s="850">
        <v>0.36</v>
      </c>
      <c r="K57" s="351">
        <v>13.0</v>
      </c>
      <c r="L57" s="850">
        <v>0.29</v>
      </c>
      <c r="M57" s="351">
        <v>4.0</v>
      </c>
      <c r="N57" s="850">
        <v>0.09</v>
      </c>
      <c r="O57" s="548"/>
      <c r="P57" s="548"/>
    </row>
    <row r="58">
      <c r="A58" s="1226" t="s">
        <v>160</v>
      </c>
      <c r="B58" s="1253" t="s">
        <v>4072</v>
      </c>
      <c r="C58" s="1253" t="str">
        <f>IFERROR(__xludf.DUMMYFUNCTION("SPLIT(B58,"" "")"),"PICKENS")</f>
        <v>PICKENS</v>
      </c>
      <c r="D58" s="351" t="str">
        <f>IFERROR(__xludf.DUMMYFUNCTION("""COMPUTED_VALUE"""),"COUNTY")</f>
        <v>COUNTY</v>
      </c>
      <c r="E58" s="351" t="str">
        <f>IFERROR(__xludf.DUMMYFUNCTION("""COMPUTED_VALUE"""),"DSS")</f>
        <v>DSS</v>
      </c>
      <c r="F58" s="351">
        <v>35.0</v>
      </c>
      <c r="G58" s="351">
        <v>7.0</v>
      </c>
      <c r="H58" s="850">
        <v>0.2</v>
      </c>
      <c r="I58" s="351">
        <v>12.0</v>
      </c>
      <c r="J58" s="850">
        <v>0.34</v>
      </c>
      <c r="K58" s="351">
        <v>7.0</v>
      </c>
      <c r="L58" s="850">
        <v>0.2</v>
      </c>
      <c r="M58" s="351">
        <v>9.0</v>
      </c>
      <c r="N58" s="850">
        <v>0.26</v>
      </c>
      <c r="O58" s="548"/>
      <c r="P58" s="548"/>
    </row>
    <row r="59">
      <c r="A59" s="1019" t="s">
        <v>1838</v>
      </c>
      <c r="B59" s="1019" t="s">
        <v>4073</v>
      </c>
      <c r="C59" s="1253" t="str">
        <f>IFERROR(__xludf.DUMMYFUNCTION("SPLIT(B59,"" "")"),"SPARTANBURG")</f>
        <v>SPARTANBURG</v>
      </c>
      <c r="D59" s="351" t="str">
        <f>IFERROR(__xludf.DUMMYFUNCTION("""COMPUTED_VALUE"""),"COUNTY")</f>
        <v>COUNTY</v>
      </c>
      <c r="E59" s="351" t="str">
        <f>IFERROR(__xludf.DUMMYFUNCTION("""COMPUTED_VALUE"""),"DSS")</f>
        <v>DSS</v>
      </c>
      <c r="F59" s="351">
        <v>200.0</v>
      </c>
      <c r="G59" s="351">
        <v>55.0</v>
      </c>
      <c r="H59" s="850">
        <v>0.28</v>
      </c>
      <c r="I59" s="351">
        <v>68.0</v>
      </c>
      <c r="J59" s="850">
        <v>0.34</v>
      </c>
      <c r="K59" s="351">
        <v>35.0</v>
      </c>
      <c r="L59" s="850">
        <v>0.18</v>
      </c>
      <c r="M59" s="351">
        <v>40.0</v>
      </c>
      <c r="N59" s="850">
        <v>0.2</v>
      </c>
      <c r="O59" s="351">
        <v>2.0</v>
      </c>
      <c r="P59" s="850">
        <v>0.01</v>
      </c>
    </row>
    <row r="60">
      <c r="A60" s="351" t="s">
        <v>316</v>
      </c>
      <c r="B60" s="351" t="s">
        <v>4074</v>
      </c>
      <c r="C60" s="1253" t="str">
        <f>IFERROR(__xludf.DUMMYFUNCTION("SPLIT(B60,"" "")"),"UNION")</f>
        <v>UNION</v>
      </c>
      <c r="D60" s="351" t="str">
        <f>IFERROR(__xludf.DUMMYFUNCTION("""COMPUTED_VALUE"""),"COUNTY")</f>
        <v>COUNTY</v>
      </c>
      <c r="E60" s="351" t="str">
        <f>IFERROR(__xludf.DUMMYFUNCTION("""COMPUTED_VALUE"""),"DSS")</f>
        <v>DSS</v>
      </c>
      <c r="F60" s="351">
        <v>16.0</v>
      </c>
      <c r="G60" s="351">
        <v>8.0</v>
      </c>
      <c r="H60" s="850">
        <v>0.5</v>
      </c>
      <c r="I60" s="351">
        <v>5.0</v>
      </c>
      <c r="J60" s="850">
        <v>0.31</v>
      </c>
      <c r="K60" s="351">
        <v>3.0</v>
      </c>
      <c r="L60" s="850">
        <v>0.19</v>
      </c>
      <c r="M60" s="548"/>
      <c r="N60" s="548"/>
      <c r="O60" s="548"/>
      <c r="P60" s="548"/>
    </row>
    <row r="61">
      <c r="A61" s="548"/>
      <c r="B61" s="548"/>
      <c r="C61" s="351"/>
      <c r="D61" s="351"/>
      <c r="E61" s="351"/>
      <c r="F61" s="351">
        <v>1010.0</v>
      </c>
      <c r="G61" s="351">
        <v>230.0</v>
      </c>
      <c r="H61" s="850">
        <v>0.23</v>
      </c>
      <c r="I61" s="351">
        <v>379.0</v>
      </c>
      <c r="J61" s="850">
        <v>0.38</v>
      </c>
      <c r="K61" s="351">
        <v>240.0</v>
      </c>
      <c r="L61" s="850">
        <v>0.24</v>
      </c>
      <c r="M61" s="351">
        <v>150.0</v>
      </c>
      <c r="N61" s="850">
        <v>0.15</v>
      </c>
      <c r="O61" s="351">
        <v>11.0</v>
      </c>
      <c r="P61" s="850">
        <v>0.01</v>
      </c>
    </row>
    <row r="62">
      <c r="A62" s="548"/>
      <c r="B62" s="548"/>
      <c r="C62" s="351"/>
      <c r="D62" s="351"/>
      <c r="E62" s="351"/>
      <c r="F62" s="351">
        <v>3456.0</v>
      </c>
      <c r="G62" s="351">
        <v>975.0</v>
      </c>
      <c r="H62" s="850">
        <v>0.28</v>
      </c>
      <c r="I62" s="351">
        <v>1163.0</v>
      </c>
      <c r="J62" s="850">
        <v>0.34</v>
      </c>
      <c r="K62" s="351">
        <v>859.0</v>
      </c>
      <c r="L62" s="850">
        <v>0.25</v>
      </c>
      <c r="M62" s="351">
        <v>425.0</v>
      </c>
      <c r="N62" s="850">
        <v>0.12</v>
      </c>
      <c r="O62" s="351">
        <v>34.0</v>
      </c>
      <c r="P62" s="850">
        <v>0.01</v>
      </c>
    </row>
    <row r="63">
      <c r="C63" s="1"/>
      <c r="D63" s="1"/>
      <c r="E63" s="649"/>
      <c r="F63" s="1"/>
      <c r="G63" s="649"/>
      <c r="H63" s="1"/>
      <c r="I63" s="649"/>
      <c r="J63" s="1"/>
      <c r="K63" s="649"/>
      <c r="L63" s="1"/>
      <c r="M63" s="649"/>
    </row>
    <row r="64">
      <c r="A64" s="196" t="s">
        <v>2484</v>
      </c>
      <c r="B64" s="197"/>
      <c r="C64" s="197"/>
      <c r="D64" s="198" t="s">
        <v>765</v>
      </c>
      <c r="E64" s="198" t="s">
        <v>4075</v>
      </c>
      <c r="F64" s="197"/>
      <c r="G64" s="197"/>
      <c r="H64" s="198" t="s">
        <v>767</v>
      </c>
      <c r="I64" s="1259">
        <v>45455.0</v>
      </c>
      <c r="J64" s="198" t="s">
        <v>769</v>
      </c>
      <c r="K64" s="1259">
        <v>45411.0</v>
      </c>
      <c r="L64" s="589"/>
    </row>
    <row r="66">
      <c r="A66" s="1260" t="s">
        <v>2474</v>
      </c>
      <c r="B66" s="1261" t="s">
        <v>4076</v>
      </c>
    </row>
    <row r="67">
      <c r="A67" s="1226" t="s">
        <v>4077</v>
      </c>
      <c r="B67" s="1253">
        <v>967.0</v>
      </c>
    </row>
    <row r="68">
      <c r="A68" s="1226" t="s">
        <v>4078</v>
      </c>
      <c r="B68" s="1253">
        <v>3.0</v>
      </c>
    </row>
    <row r="69">
      <c r="A69" s="1226" t="s">
        <v>4079</v>
      </c>
      <c r="B69" s="1253">
        <v>75.0</v>
      </c>
    </row>
    <row r="70">
      <c r="A70" s="1226" t="s">
        <v>4080</v>
      </c>
      <c r="B70" s="1253">
        <v>220.0</v>
      </c>
    </row>
    <row r="71">
      <c r="A71" s="1226" t="s">
        <v>799</v>
      </c>
      <c r="B71" s="1253">
        <v>5.0</v>
      </c>
    </row>
    <row r="72">
      <c r="A72" s="1226" t="s">
        <v>4081</v>
      </c>
      <c r="B72" s="1253">
        <v>334.0</v>
      </c>
    </row>
    <row r="73">
      <c r="A73" s="1226" t="s">
        <v>4082</v>
      </c>
      <c r="B73" s="1253">
        <v>29.0</v>
      </c>
    </row>
    <row r="74">
      <c r="A74" s="1226" t="s">
        <v>4083</v>
      </c>
      <c r="B74" s="1253">
        <v>138.0</v>
      </c>
    </row>
    <row r="75">
      <c r="A75" s="1226" t="s">
        <v>4084</v>
      </c>
      <c r="B75" s="1253">
        <v>35.0</v>
      </c>
    </row>
    <row r="76">
      <c r="A76" s="1226" t="s">
        <v>2563</v>
      </c>
      <c r="B76" s="1253">
        <v>38.0</v>
      </c>
    </row>
    <row r="77">
      <c r="A77" s="1226" t="s">
        <v>4085</v>
      </c>
      <c r="B77" s="1253">
        <v>90.0</v>
      </c>
    </row>
    <row r="78">
      <c r="A78" s="1226" t="s">
        <v>4086</v>
      </c>
      <c r="B78" s="1253">
        <v>1097.0</v>
      </c>
    </row>
    <row r="79">
      <c r="A79" s="1226" t="s">
        <v>4087</v>
      </c>
      <c r="B79" s="1253">
        <v>60.0</v>
      </c>
    </row>
    <row r="80">
      <c r="A80" s="1226" t="s">
        <v>4088</v>
      </c>
      <c r="B80" s="1253">
        <v>3.0</v>
      </c>
    </row>
    <row r="81">
      <c r="A81" s="1226" t="s">
        <v>4089</v>
      </c>
      <c r="B81" s="1253">
        <v>16.0</v>
      </c>
    </row>
    <row r="82">
      <c r="A82" s="1226" t="s">
        <v>2959</v>
      </c>
      <c r="B82" s="1253">
        <v>56.0</v>
      </c>
    </row>
    <row r="83">
      <c r="A83" s="1226" t="s">
        <v>4090</v>
      </c>
      <c r="B83" s="1253">
        <v>16.0</v>
      </c>
    </row>
    <row r="84">
      <c r="A84" s="1226" t="s">
        <v>4091</v>
      </c>
      <c r="B84" s="1253">
        <v>11.0</v>
      </c>
    </row>
    <row r="85">
      <c r="A85" s="1226" t="s">
        <v>4092</v>
      </c>
      <c r="B85" s="1253">
        <v>76.0</v>
      </c>
    </row>
    <row r="86">
      <c r="A86" s="1226" t="s">
        <v>3117</v>
      </c>
      <c r="B86" s="1253">
        <v>72.0</v>
      </c>
    </row>
    <row r="87">
      <c r="A87" s="1226" t="s">
        <v>3129</v>
      </c>
      <c r="B87" s="1253">
        <v>114.0</v>
      </c>
    </row>
    <row r="88">
      <c r="A88" s="1226" t="s">
        <v>4093</v>
      </c>
      <c r="B88" s="1253">
        <v>8.0</v>
      </c>
    </row>
    <row r="89">
      <c r="A89" s="1226" t="s">
        <v>2585</v>
      </c>
      <c r="B89" s="1253">
        <v>444.0</v>
      </c>
    </row>
    <row r="90">
      <c r="A90" s="1226" t="s">
        <v>4094</v>
      </c>
      <c r="B90" s="1253">
        <v>14.0</v>
      </c>
    </row>
    <row r="91">
      <c r="A91" s="1226" t="s">
        <v>4095</v>
      </c>
      <c r="B91" s="1253">
        <v>208.0</v>
      </c>
    </row>
    <row r="92">
      <c r="A92" s="1226" t="s">
        <v>4096</v>
      </c>
      <c r="B92" s="1253">
        <v>722.0</v>
      </c>
    </row>
    <row r="93">
      <c r="A93" s="1226" t="s">
        <v>2961</v>
      </c>
      <c r="B93" s="1253">
        <v>16.0</v>
      </c>
    </row>
    <row r="94">
      <c r="A94" s="1226" t="s">
        <v>4097</v>
      </c>
      <c r="B94" s="1253">
        <v>10.0</v>
      </c>
    </row>
    <row r="95">
      <c r="A95" s="1226" t="s">
        <v>4098</v>
      </c>
      <c r="B95" s="1253">
        <v>114.0</v>
      </c>
    </row>
    <row r="96">
      <c r="A96" s="1226" t="s">
        <v>4099</v>
      </c>
      <c r="B96" s="1253">
        <v>46.0</v>
      </c>
    </row>
    <row r="97">
      <c r="A97" s="1226" t="s">
        <v>4100</v>
      </c>
      <c r="B97" s="1253">
        <v>107.0</v>
      </c>
    </row>
    <row r="98">
      <c r="A98" s="1226" t="s">
        <v>3047</v>
      </c>
      <c r="B98" s="1253">
        <v>30.0</v>
      </c>
    </row>
    <row r="99">
      <c r="A99" s="1226" t="s">
        <v>4101</v>
      </c>
      <c r="B99" s="1253">
        <v>235.0</v>
      </c>
    </row>
    <row r="100">
      <c r="A100" s="1226" t="s">
        <v>830</v>
      </c>
      <c r="B100" s="1253">
        <v>24.0</v>
      </c>
    </row>
    <row r="101">
      <c r="A101" s="1226" t="s">
        <v>874</v>
      </c>
      <c r="B101" s="1253">
        <v>35.0</v>
      </c>
    </row>
    <row r="102">
      <c r="A102" s="1226" t="s">
        <v>4102</v>
      </c>
      <c r="B102" s="1253">
        <v>27.0</v>
      </c>
    </row>
    <row r="103">
      <c r="A103" s="1226" t="s">
        <v>880</v>
      </c>
      <c r="B103" s="1253">
        <v>57.0</v>
      </c>
    </row>
    <row r="104">
      <c r="A104" s="1226" t="s">
        <v>3461</v>
      </c>
      <c r="B104" s="1253">
        <v>21.0</v>
      </c>
    </row>
    <row r="105">
      <c r="A105" s="1226" t="s">
        <v>4103</v>
      </c>
      <c r="B105" s="1253">
        <v>1364.0</v>
      </c>
    </row>
    <row r="106">
      <c r="A106" s="1226" t="s">
        <v>4104</v>
      </c>
      <c r="B106" s="1253">
        <v>12.0</v>
      </c>
    </row>
    <row r="107">
      <c r="A107" s="1226" t="s">
        <v>4105</v>
      </c>
      <c r="B107" s="1253">
        <v>217.0</v>
      </c>
    </row>
    <row r="108">
      <c r="A108" s="1226" t="s">
        <v>801</v>
      </c>
      <c r="B108" s="1253">
        <v>93.0</v>
      </c>
    </row>
    <row r="109">
      <c r="A109" s="1226" t="s">
        <v>4106</v>
      </c>
      <c r="B109" s="1253">
        <v>470.0</v>
      </c>
    </row>
    <row r="110">
      <c r="A110" s="1226" t="s">
        <v>4107</v>
      </c>
      <c r="B110" s="1253">
        <v>59.0</v>
      </c>
    </row>
    <row r="111">
      <c r="A111" s="1226" t="s">
        <v>4108</v>
      </c>
      <c r="B111" s="1253">
        <v>83.0</v>
      </c>
    </row>
    <row r="112">
      <c r="A112" s="1226" t="s">
        <v>4109</v>
      </c>
      <c r="B112" s="1253">
        <v>29.0</v>
      </c>
    </row>
    <row r="113">
      <c r="A113" s="1226" t="s">
        <v>4110</v>
      </c>
      <c r="B113" s="1262">
        <v>70.0</v>
      </c>
    </row>
    <row r="114">
      <c r="A114" s="351" t="s">
        <v>878</v>
      </c>
      <c r="B114" s="351">
        <v>78.0</v>
      </c>
    </row>
    <row r="115">
      <c r="A115" s="351" t="s">
        <v>4111</v>
      </c>
      <c r="B115" s="351">
        <v>217.0</v>
      </c>
    </row>
    <row r="116">
      <c r="A116" s="351" t="s">
        <v>2594</v>
      </c>
      <c r="B116" s="351">
        <v>36.0</v>
      </c>
    </row>
    <row r="117">
      <c r="A117" s="351" t="s">
        <v>2395</v>
      </c>
      <c r="B117" s="351">
        <v>4149.0</v>
      </c>
    </row>
    <row r="120">
      <c r="A120" s="196" t="s">
        <v>2459</v>
      </c>
      <c r="B120" s="197"/>
      <c r="C120" s="197"/>
      <c r="D120" s="198" t="s">
        <v>765</v>
      </c>
      <c r="E120" s="198" t="s">
        <v>4075</v>
      </c>
      <c r="F120" s="197"/>
      <c r="G120" s="197"/>
      <c r="H120" s="198" t="s">
        <v>767</v>
      </c>
      <c r="I120" s="1259">
        <v>45455.0</v>
      </c>
      <c r="J120" s="198" t="s">
        <v>769</v>
      </c>
      <c r="K120" s="1259">
        <v>45411.0</v>
      </c>
      <c r="L120" s="589"/>
    </row>
    <row r="122">
      <c r="A122" s="1260" t="s">
        <v>4112</v>
      </c>
      <c r="B122" s="1263" t="s">
        <v>4113</v>
      </c>
      <c r="C122" s="1263" t="s">
        <v>4114</v>
      </c>
      <c r="D122" s="1252" t="s">
        <v>923</v>
      </c>
      <c r="E122" s="10"/>
    </row>
    <row r="123">
      <c r="A123" s="1226" t="s">
        <v>2740</v>
      </c>
      <c r="B123" s="1253">
        <v>3.0</v>
      </c>
      <c r="C123" s="1253"/>
      <c r="D123" s="351">
        <v>3.0</v>
      </c>
      <c r="E123" s="567"/>
    </row>
    <row r="124">
      <c r="A124" s="1226"/>
      <c r="B124" s="1253">
        <v>3.0</v>
      </c>
      <c r="C124" s="1253"/>
      <c r="D124" s="351">
        <v>3.0</v>
      </c>
      <c r="E124" s="567"/>
    </row>
    <row r="125">
      <c r="A125" s="1226" t="s">
        <v>4078</v>
      </c>
      <c r="B125" s="1253">
        <v>1.0</v>
      </c>
      <c r="C125" s="1253"/>
      <c r="D125" s="351">
        <v>1.0</v>
      </c>
      <c r="E125" s="567"/>
    </row>
    <row r="126">
      <c r="A126" s="1226" t="s">
        <v>4079</v>
      </c>
      <c r="B126" s="1253">
        <v>43.0</v>
      </c>
      <c r="C126" s="1253">
        <v>1.0</v>
      </c>
      <c r="D126" s="351">
        <v>44.0</v>
      </c>
      <c r="E126" s="567"/>
    </row>
    <row r="127">
      <c r="A127" s="1226" t="s">
        <v>4080</v>
      </c>
      <c r="B127" s="1253">
        <v>90.0</v>
      </c>
      <c r="C127" s="1253">
        <v>2.0</v>
      </c>
      <c r="D127" s="351">
        <v>92.0</v>
      </c>
      <c r="E127" s="567"/>
    </row>
    <row r="128">
      <c r="A128" s="1226" t="s">
        <v>799</v>
      </c>
      <c r="B128" s="1253">
        <v>5.0</v>
      </c>
      <c r="C128" s="1253"/>
      <c r="D128" s="351">
        <v>5.0</v>
      </c>
      <c r="E128" s="567"/>
    </row>
    <row r="129">
      <c r="A129" s="1226" t="s">
        <v>4081</v>
      </c>
      <c r="B129" s="1253">
        <v>93.0</v>
      </c>
      <c r="C129" s="1253"/>
      <c r="D129" s="351">
        <v>93.0</v>
      </c>
      <c r="E129" s="567"/>
    </row>
    <row r="130">
      <c r="A130" s="1226" t="s">
        <v>4082</v>
      </c>
      <c r="B130" s="1253">
        <v>9.0</v>
      </c>
      <c r="C130" s="1253"/>
      <c r="D130" s="351">
        <v>9.0</v>
      </c>
      <c r="E130" s="567"/>
    </row>
    <row r="131">
      <c r="A131" s="1226" t="s">
        <v>4083</v>
      </c>
      <c r="B131" s="1253">
        <v>63.0</v>
      </c>
      <c r="C131" s="1253"/>
      <c r="D131" s="351">
        <v>63.0</v>
      </c>
      <c r="E131" s="567"/>
    </row>
    <row r="132">
      <c r="A132" s="1226" t="s">
        <v>4084</v>
      </c>
      <c r="B132" s="1253">
        <v>8.0</v>
      </c>
      <c r="C132" s="1253"/>
      <c r="D132" s="351">
        <v>8.0</v>
      </c>
      <c r="E132" s="567"/>
    </row>
    <row r="133">
      <c r="A133" s="1226" t="s">
        <v>2563</v>
      </c>
      <c r="B133" s="1253">
        <v>8.0</v>
      </c>
      <c r="C133" s="1253"/>
      <c r="D133" s="351">
        <v>8.0</v>
      </c>
      <c r="E133" s="567"/>
    </row>
    <row r="134">
      <c r="A134" s="1226" t="s">
        <v>4085</v>
      </c>
      <c r="B134" s="1253">
        <v>45.0</v>
      </c>
      <c r="C134" s="1253">
        <v>1.0</v>
      </c>
      <c r="D134" s="351">
        <v>46.0</v>
      </c>
      <c r="E134" s="567"/>
    </row>
    <row r="135">
      <c r="A135" s="1226"/>
      <c r="B135" s="1253">
        <v>365.0</v>
      </c>
      <c r="C135" s="1253">
        <v>4.0</v>
      </c>
      <c r="D135" s="351">
        <v>369.0</v>
      </c>
      <c r="E135" s="567"/>
    </row>
    <row r="136">
      <c r="A136" s="1226" t="s">
        <v>4087</v>
      </c>
      <c r="B136" s="1253">
        <v>57.0</v>
      </c>
      <c r="C136" s="1253">
        <v>2.0</v>
      </c>
      <c r="D136" s="351">
        <v>59.0</v>
      </c>
      <c r="E136" s="567"/>
    </row>
    <row r="137">
      <c r="A137" s="1226" t="s">
        <v>4088</v>
      </c>
      <c r="B137" s="1253">
        <v>8.0</v>
      </c>
      <c r="C137" s="1253"/>
      <c r="D137" s="351">
        <v>8.0</v>
      </c>
      <c r="E137" s="567"/>
    </row>
    <row r="138">
      <c r="A138" s="1226" t="s">
        <v>4089</v>
      </c>
      <c r="B138" s="1253">
        <v>2.0</v>
      </c>
      <c r="C138" s="1253"/>
      <c r="D138" s="351">
        <v>2.0</v>
      </c>
      <c r="E138" s="567"/>
    </row>
    <row r="139">
      <c r="A139" s="1226" t="s">
        <v>2959</v>
      </c>
      <c r="B139" s="1253">
        <v>11.0</v>
      </c>
      <c r="C139" s="1253"/>
      <c r="D139" s="351">
        <v>11.0</v>
      </c>
      <c r="E139" s="567"/>
    </row>
    <row r="140">
      <c r="A140" s="1226" t="s">
        <v>4090</v>
      </c>
      <c r="B140" s="1253">
        <v>4.0</v>
      </c>
      <c r="C140" s="1253"/>
      <c r="D140" s="351">
        <v>4.0</v>
      </c>
      <c r="E140" s="567"/>
    </row>
    <row r="141">
      <c r="A141" s="1226" t="s">
        <v>4091</v>
      </c>
      <c r="B141" s="1253">
        <v>6.0</v>
      </c>
      <c r="C141" s="1253"/>
      <c r="D141" s="351">
        <v>6.0</v>
      </c>
      <c r="E141" s="567"/>
    </row>
    <row r="142">
      <c r="A142" s="1226" t="s">
        <v>4092</v>
      </c>
      <c r="B142" s="1253">
        <v>48.0</v>
      </c>
      <c r="C142" s="1253">
        <v>1.0</v>
      </c>
      <c r="D142" s="351">
        <v>49.0</v>
      </c>
      <c r="E142" s="567"/>
    </row>
    <row r="143">
      <c r="A143" s="1226" t="s">
        <v>3117</v>
      </c>
      <c r="B143" s="1253">
        <v>32.0</v>
      </c>
      <c r="C143" s="1253"/>
      <c r="D143" s="351">
        <v>32.0</v>
      </c>
      <c r="E143" s="567"/>
    </row>
    <row r="144">
      <c r="A144" s="1226" t="s">
        <v>3129</v>
      </c>
      <c r="B144" s="1253">
        <v>126.0</v>
      </c>
      <c r="C144" s="1253">
        <v>3.0</v>
      </c>
      <c r="D144" s="351">
        <v>129.0</v>
      </c>
      <c r="E144" s="567"/>
    </row>
    <row r="145">
      <c r="A145" s="1226" t="s">
        <v>4093</v>
      </c>
      <c r="B145" s="1253">
        <v>2.0</v>
      </c>
      <c r="C145" s="1253"/>
      <c r="D145" s="351">
        <v>2.0</v>
      </c>
      <c r="E145" s="567"/>
    </row>
    <row r="146">
      <c r="A146" s="1226" t="s">
        <v>2585</v>
      </c>
      <c r="B146" s="1253">
        <v>272.0</v>
      </c>
      <c r="C146" s="1253">
        <v>7.0</v>
      </c>
      <c r="D146" s="351">
        <v>279.0</v>
      </c>
      <c r="E146" s="567"/>
    </row>
    <row r="147">
      <c r="A147" s="1226" t="s">
        <v>4094</v>
      </c>
      <c r="B147" s="1253">
        <v>2.0</v>
      </c>
      <c r="C147" s="1253"/>
      <c r="D147" s="351">
        <v>2.0</v>
      </c>
      <c r="E147" s="567"/>
    </row>
    <row r="148">
      <c r="A148" s="1226" t="s">
        <v>4095</v>
      </c>
      <c r="B148" s="1253">
        <v>97.0</v>
      </c>
      <c r="C148" s="1253">
        <v>1.0</v>
      </c>
      <c r="D148" s="351">
        <v>98.0</v>
      </c>
      <c r="E148" s="567"/>
    </row>
    <row r="149">
      <c r="A149" s="1226"/>
      <c r="B149" s="1253">
        <v>667.0</v>
      </c>
      <c r="C149" s="1253">
        <v>14.0</v>
      </c>
      <c r="D149" s="351">
        <v>681.0</v>
      </c>
      <c r="E149" s="567"/>
    </row>
    <row r="150">
      <c r="A150" s="1226" t="s">
        <v>2961</v>
      </c>
      <c r="B150" s="1253">
        <v>17.0</v>
      </c>
      <c r="C150" s="1253"/>
      <c r="D150" s="351">
        <v>17.0</v>
      </c>
      <c r="E150" s="567"/>
    </row>
    <row r="151">
      <c r="A151" s="1226" t="s">
        <v>4097</v>
      </c>
      <c r="B151" s="1253">
        <v>18.0</v>
      </c>
      <c r="C151" s="1253"/>
      <c r="D151" s="351">
        <v>18.0</v>
      </c>
      <c r="E151" s="567"/>
    </row>
    <row r="152">
      <c r="A152" s="1226" t="s">
        <v>4098</v>
      </c>
      <c r="B152" s="1253">
        <v>21.0</v>
      </c>
      <c r="C152" s="1253"/>
      <c r="D152" s="351">
        <v>21.0</v>
      </c>
      <c r="E152" s="567"/>
    </row>
    <row r="153">
      <c r="A153" s="1226" t="s">
        <v>4099</v>
      </c>
      <c r="B153" s="1253">
        <v>13.0</v>
      </c>
      <c r="C153" s="1253"/>
      <c r="D153" s="351">
        <v>13.0</v>
      </c>
      <c r="E153" s="567"/>
    </row>
    <row r="154">
      <c r="A154" s="1226" t="s">
        <v>4100</v>
      </c>
      <c r="B154" s="1253">
        <v>119.0</v>
      </c>
      <c r="C154" s="1253"/>
      <c r="D154" s="351">
        <v>119.0</v>
      </c>
      <c r="E154" s="567"/>
    </row>
    <row r="155">
      <c r="A155" s="1226" t="s">
        <v>3047</v>
      </c>
      <c r="B155" s="1253">
        <v>38.0</v>
      </c>
      <c r="C155" s="1253"/>
      <c r="D155" s="351">
        <v>38.0</v>
      </c>
      <c r="E155" s="567"/>
    </row>
    <row r="156">
      <c r="A156" s="1226" t="s">
        <v>4101</v>
      </c>
      <c r="B156" s="1253">
        <v>125.0</v>
      </c>
      <c r="C156" s="1253"/>
      <c r="D156" s="351">
        <v>125.0</v>
      </c>
      <c r="E156" s="567"/>
    </row>
    <row r="157">
      <c r="A157" s="1226" t="s">
        <v>830</v>
      </c>
      <c r="B157" s="1253">
        <v>5.0</v>
      </c>
      <c r="C157" s="1253"/>
      <c r="D157" s="351">
        <v>5.0</v>
      </c>
      <c r="E157" s="567"/>
    </row>
    <row r="158">
      <c r="A158" s="1226" t="s">
        <v>874</v>
      </c>
      <c r="B158" s="1253">
        <v>19.0</v>
      </c>
      <c r="C158" s="1253"/>
      <c r="D158" s="351">
        <v>19.0</v>
      </c>
      <c r="E158" s="567"/>
    </row>
    <row r="159">
      <c r="A159" s="1226" t="s">
        <v>4102</v>
      </c>
      <c r="B159" s="1253">
        <v>7.0</v>
      </c>
      <c r="C159" s="1253"/>
      <c r="D159" s="351">
        <v>7.0</v>
      </c>
      <c r="E159" s="567"/>
    </row>
    <row r="160">
      <c r="A160" s="1226" t="s">
        <v>880</v>
      </c>
      <c r="B160" s="1253">
        <v>63.0</v>
      </c>
      <c r="C160" s="1253"/>
      <c r="D160" s="351">
        <v>63.0</v>
      </c>
      <c r="E160" s="567"/>
    </row>
    <row r="161">
      <c r="A161" s="1226" t="s">
        <v>3461</v>
      </c>
      <c r="B161" s="1253">
        <v>54.0</v>
      </c>
      <c r="C161" s="1253">
        <v>1.0</v>
      </c>
      <c r="D161" s="351">
        <v>55.0</v>
      </c>
      <c r="E161" s="567"/>
    </row>
    <row r="162">
      <c r="A162" s="1226"/>
      <c r="B162" s="1253">
        <v>499.0</v>
      </c>
      <c r="C162" s="1253">
        <v>1.0</v>
      </c>
      <c r="D162" s="351">
        <v>500.0</v>
      </c>
      <c r="E162" s="567"/>
    </row>
    <row r="163">
      <c r="A163" s="1226" t="s">
        <v>4104</v>
      </c>
      <c r="B163" s="1253">
        <v>10.0</v>
      </c>
      <c r="C163" s="1253"/>
      <c r="D163" s="351">
        <v>10.0</v>
      </c>
      <c r="E163" s="567"/>
    </row>
    <row r="164">
      <c r="A164" s="1226" t="s">
        <v>4105</v>
      </c>
      <c r="B164" s="1253">
        <v>86.0</v>
      </c>
      <c r="C164" s="1253"/>
      <c r="D164" s="351">
        <v>86.0</v>
      </c>
      <c r="E164" s="567"/>
    </row>
    <row r="165">
      <c r="A165" s="1226" t="s">
        <v>801</v>
      </c>
      <c r="B165" s="1253">
        <v>11.0</v>
      </c>
      <c r="C165" s="1253"/>
      <c r="D165" s="351">
        <v>11.0</v>
      </c>
      <c r="E165" s="567"/>
    </row>
    <row r="166">
      <c r="A166" s="1226" t="s">
        <v>4106</v>
      </c>
      <c r="B166" s="1253">
        <v>256.0</v>
      </c>
      <c r="C166" s="1253">
        <v>7.0</v>
      </c>
      <c r="D166" s="351">
        <v>263.0</v>
      </c>
      <c r="E166" s="567"/>
    </row>
    <row r="167">
      <c r="A167" s="1226" t="s">
        <v>4107</v>
      </c>
      <c r="B167" s="1253">
        <v>19.0</v>
      </c>
      <c r="C167" s="1253"/>
      <c r="D167" s="351">
        <v>19.0</v>
      </c>
      <c r="E167" s="567"/>
    </row>
    <row r="168">
      <c r="A168" s="1226" t="s">
        <v>4108</v>
      </c>
      <c r="B168" s="1253">
        <v>27.0</v>
      </c>
      <c r="C168" s="1253"/>
      <c r="D168" s="351">
        <v>27.0</v>
      </c>
      <c r="E168" s="567"/>
    </row>
    <row r="169">
      <c r="A169" s="1226" t="s">
        <v>4109</v>
      </c>
      <c r="B169" s="1253">
        <v>11.0</v>
      </c>
      <c r="C169" s="1253"/>
      <c r="D169" s="351">
        <v>11.0</v>
      </c>
      <c r="E169" s="567"/>
    </row>
    <row r="170">
      <c r="A170" s="1226" t="s">
        <v>4110</v>
      </c>
      <c r="B170" s="1253">
        <v>23.0</v>
      </c>
      <c r="C170" s="1253"/>
      <c r="D170" s="351">
        <v>23.0</v>
      </c>
      <c r="E170" s="567"/>
    </row>
    <row r="171">
      <c r="A171" s="1226" t="s">
        <v>878</v>
      </c>
      <c r="B171" s="1253">
        <v>50.0</v>
      </c>
      <c r="C171" s="1253">
        <v>2.0</v>
      </c>
      <c r="D171" s="351">
        <v>52.0</v>
      </c>
      <c r="E171" s="567"/>
    </row>
    <row r="172">
      <c r="A172" s="1226" t="s">
        <v>4111</v>
      </c>
      <c r="B172" s="1253">
        <v>194.0</v>
      </c>
      <c r="C172" s="1253"/>
      <c r="D172" s="351">
        <v>194.0</v>
      </c>
      <c r="E172" s="567"/>
    </row>
    <row r="173">
      <c r="A173" s="1226" t="s">
        <v>2594</v>
      </c>
      <c r="B173" s="1253">
        <v>1.0</v>
      </c>
      <c r="C173" s="1253"/>
      <c r="D173" s="351">
        <v>1.0</v>
      </c>
      <c r="E173" s="567"/>
    </row>
    <row r="174">
      <c r="A174" s="548"/>
      <c r="B174" s="351">
        <v>688.0</v>
      </c>
      <c r="C174" s="351">
        <v>9.0</v>
      </c>
      <c r="D174" s="351">
        <v>697.0</v>
      </c>
    </row>
    <row r="175">
      <c r="A175" s="548"/>
      <c r="B175" s="351">
        <v>2222.0</v>
      </c>
      <c r="C175" s="351">
        <v>28.0</v>
      </c>
      <c r="D175" s="351">
        <v>2250.0</v>
      </c>
    </row>
    <row r="176">
      <c r="B176" s="1"/>
      <c r="C176" s="1"/>
      <c r="D176" s="1"/>
    </row>
    <row r="177">
      <c r="B177" s="1"/>
      <c r="C177" s="1"/>
      <c r="D177" s="1"/>
    </row>
    <row r="178">
      <c r="A178" s="196" t="s">
        <v>792</v>
      </c>
      <c r="B178" s="197"/>
      <c r="C178" s="197"/>
      <c r="D178" s="198" t="s">
        <v>765</v>
      </c>
      <c r="E178" s="198" t="s">
        <v>4075</v>
      </c>
      <c r="F178" s="197"/>
      <c r="G178" s="197"/>
      <c r="H178" s="198" t="s">
        <v>767</v>
      </c>
      <c r="I178" s="1259">
        <v>45455.0</v>
      </c>
      <c r="J178" s="198" t="s">
        <v>769</v>
      </c>
      <c r="K178" s="1259">
        <v>45383.0</v>
      </c>
      <c r="L178" s="589"/>
    </row>
    <row r="180">
      <c r="A180" s="351" t="s">
        <v>4115</v>
      </c>
      <c r="B180" s="351"/>
      <c r="C180" s="351"/>
      <c r="D180" s="351"/>
      <c r="E180" s="351" t="s">
        <v>4116</v>
      </c>
      <c r="F180" s="351" t="s">
        <v>4117</v>
      </c>
    </row>
    <row r="181">
      <c r="A181" s="578" t="s">
        <v>4077</v>
      </c>
      <c r="B181" s="1264"/>
      <c r="C181" s="1264"/>
      <c r="D181" s="1264"/>
      <c r="E181" s="1264">
        <v>223.0</v>
      </c>
      <c r="F181" s="351">
        <v>118.0</v>
      </c>
    </row>
    <row r="182">
      <c r="A182" s="578" t="s">
        <v>4016</v>
      </c>
      <c r="B182" s="1264"/>
      <c r="C182" s="1264"/>
      <c r="D182" s="1264"/>
      <c r="E182" s="1264">
        <v>21.0</v>
      </c>
      <c r="F182" s="1265">
        <v>21.0</v>
      </c>
      <c r="G182" s="1266"/>
      <c r="H182" s="1266"/>
      <c r="I182" s="1267"/>
      <c r="J182" s="1267"/>
      <c r="K182" s="1266"/>
      <c r="L182" s="1268"/>
      <c r="M182" s="1266"/>
      <c r="N182" s="1268"/>
      <c r="O182" s="1267"/>
    </row>
    <row r="183">
      <c r="A183" s="1269" t="s">
        <v>4030</v>
      </c>
      <c r="B183" s="1264"/>
      <c r="C183" s="1264"/>
      <c r="D183" s="1264"/>
      <c r="E183" s="1264">
        <v>2.0</v>
      </c>
      <c r="F183" s="351">
        <v>2.0</v>
      </c>
    </row>
    <row r="184">
      <c r="A184" s="1270" t="s">
        <v>4047</v>
      </c>
      <c r="B184" s="1271"/>
      <c r="C184" s="1271"/>
      <c r="D184" s="1271"/>
      <c r="E184" s="1271">
        <v>2.0</v>
      </c>
      <c r="F184" s="1261">
        <v>2.0</v>
      </c>
      <c r="G184" s="1272"/>
      <c r="H184" s="1272"/>
      <c r="J184" s="10"/>
    </row>
    <row r="185">
      <c r="A185" s="1270" t="s">
        <v>4018</v>
      </c>
      <c r="B185" s="1273" t="str">
        <f>IFERROR(__xludf.DUMMYFUNCTION("split(A185,"" "")"),"BEAUFORT")</f>
        <v>BEAUFORT</v>
      </c>
      <c r="C185" s="1273" t="str">
        <f>IFERROR(__xludf.DUMMYFUNCTION("""COMPUTED_VALUE"""),"COUNTY")</f>
        <v>COUNTY</v>
      </c>
      <c r="D185" s="1273" t="str">
        <f>IFERROR(__xludf.DUMMYFUNCTION("""COMPUTED_VALUE"""),"DSS")</f>
        <v>DSS</v>
      </c>
      <c r="E185" s="1273">
        <v>14.0</v>
      </c>
      <c r="F185" s="1253">
        <v>5.0</v>
      </c>
      <c r="G185" s="419"/>
      <c r="H185" s="419"/>
      <c r="J185" s="567"/>
    </row>
    <row r="186">
      <c r="A186" s="1270" t="s">
        <v>4019</v>
      </c>
      <c r="B186" s="1273" t="str">
        <f>IFERROR(__xludf.DUMMYFUNCTION("split(A186,"" "")"),"BERKELEY")</f>
        <v>BERKELEY</v>
      </c>
      <c r="C186" s="1253" t="str">
        <f>IFERROR(__xludf.DUMMYFUNCTION("""COMPUTED_VALUE"""),"COUNTY")</f>
        <v>COUNTY</v>
      </c>
      <c r="D186" s="1253" t="str">
        <f>IFERROR(__xludf.DUMMYFUNCTION("""COMPUTED_VALUE"""),"DSS")</f>
        <v>DSS</v>
      </c>
      <c r="E186" s="1253">
        <v>54.0</v>
      </c>
      <c r="F186" s="1253">
        <v>27.0</v>
      </c>
      <c r="G186" s="419"/>
      <c r="H186" s="419"/>
      <c r="J186" s="567"/>
    </row>
    <row r="187">
      <c r="A187" s="1270" t="s">
        <v>4021</v>
      </c>
      <c r="B187" s="1273" t="str">
        <f>IFERROR(__xludf.DUMMYFUNCTION("split(A187,"" "")"),"CHARLESTON")</f>
        <v>CHARLESTON</v>
      </c>
      <c r="C187" s="1253" t="str">
        <f>IFERROR(__xludf.DUMMYFUNCTION("""COMPUTED_VALUE"""),"COUNTY")</f>
        <v>COUNTY</v>
      </c>
      <c r="D187" s="1253" t="str">
        <f>IFERROR(__xludf.DUMMYFUNCTION("""COMPUTED_VALUE"""),"DSS")</f>
        <v>DSS</v>
      </c>
      <c r="E187" s="1253">
        <v>70.0</v>
      </c>
      <c r="F187" s="1253">
        <v>41.0</v>
      </c>
      <c r="G187" s="419"/>
      <c r="H187" s="419"/>
      <c r="J187" s="567"/>
    </row>
    <row r="188">
      <c r="A188" s="1270" t="s">
        <v>4022</v>
      </c>
      <c r="B188" s="1273" t="str">
        <f>IFERROR(__xludf.DUMMYFUNCTION("split(A188,"" "")"),"COLLETON")</f>
        <v>COLLETON</v>
      </c>
      <c r="C188" s="1253" t="str">
        <f>IFERROR(__xludf.DUMMYFUNCTION("""COMPUTED_VALUE"""),"COUNTY")</f>
        <v>COUNTY</v>
      </c>
      <c r="D188" s="1253" t="str">
        <f>IFERROR(__xludf.DUMMYFUNCTION("""COMPUTED_VALUE"""),"DSS")</f>
        <v>DSS</v>
      </c>
      <c r="E188" s="1253">
        <v>10.0</v>
      </c>
      <c r="F188" s="1253">
        <v>7.0</v>
      </c>
      <c r="G188" s="419"/>
      <c r="H188" s="419"/>
      <c r="J188" s="567"/>
    </row>
    <row r="189">
      <c r="A189" s="1270" t="s">
        <v>4023</v>
      </c>
      <c r="B189" s="1273" t="str">
        <f>IFERROR(__xludf.DUMMYFUNCTION("split(A189,"" "")"),"DORCHESTER")</f>
        <v>DORCHESTER</v>
      </c>
      <c r="C189" s="1253" t="str">
        <f>IFERROR(__xludf.DUMMYFUNCTION("""COMPUTED_VALUE"""),"COUNTY")</f>
        <v>COUNTY</v>
      </c>
      <c r="D189" s="1253" t="str">
        <f>IFERROR(__xludf.DUMMYFUNCTION("""COMPUTED_VALUE"""),"DSS")</f>
        <v>DSS</v>
      </c>
      <c r="E189" s="1253">
        <v>14.0</v>
      </c>
      <c r="F189" s="1253">
        <v>5.0</v>
      </c>
      <c r="G189" s="419"/>
      <c r="H189" s="419"/>
      <c r="J189" s="567"/>
    </row>
    <row r="190">
      <c r="A190" s="1270" t="s">
        <v>4024</v>
      </c>
      <c r="B190" s="1273" t="str">
        <f>IFERROR(__xludf.DUMMYFUNCTION("split(A190,"" "")"),"HAMPTON")</f>
        <v>HAMPTON</v>
      </c>
      <c r="C190" s="1253" t="str">
        <f>IFERROR(__xludf.DUMMYFUNCTION("""COMPUTED_VALUE"""),"COUNTY")</f>
        <v>COUNTY</v>
      </c>
      <c r="D190" s="1253" t="str">
        <f>IFERROR(__xludf.DUMMYFUNCTION("""COMPUTED_VALUE"""),"DSS")</f>
        <v>DSS</v>
      </c>
      <c r="E190" s="1253">
        <v>3.0</v>
      </c>
      <c r="F190" s="1253">
        <v>0.0</v>
      </c>
      <c r="G190" s="419"/>
      <c r="H190" s="419"/>
      <c r="J190" s="567"/>
    </row>
    <row r="191">
      <c r="A191" s="1270" t="s">
        <v>4026</v>
      </c>
      <c r="B191" s="1273" t="str">
        <f>IFERROR(__xludf.DUMMYFUNCTION("split(A191,"" "")"),"ORANGEBURG")</f>
        <v>ORANGEBURG</v>
      </c>
      <c r="C191" s="1253" t="str">
        <f>IFERROR(__xludf.DUMMYFUNCTION("""COMPUTED_VALUE"""),"COUNTY")</f>
        <v>COUNTY</v>
      </c>
      <c r="D191" s="1253" t="str">
        <f>IFERROR(__xludf.DUMMYFUNCTION("""COMPUTED_VALUE"""),"DSS")</f>
        <v>DSS</v>
      </c>
      <c r="E191" s="1253">
        <v>19.0</v>
      </c>
      <c r="F191" s="1253">
        <v>6.0</v>
      </c>
      <c r="G191" s="419"/>
      <c r="H191" s="419"/>
      <c r="J191" s="567"/>
    </row>
    <row r="192">
      <c r="A192" s="1270" t="s">
        <v>4025</v>
      </c>
      <c r="B192" s="1273" t="str">
        <f>IFERROR(__xludf.DUMMYFUNCTION("split(A192,"" "")"),"JASPER")</f>
        <v>JASPER</v>
      </c>
      <c r="C192" s="1253" t="str">
        <f>IFERROR(__xludf.DUMMYFUNCTION("""COMPUTED_VALUE"""),"COUNTY")</f>
        <v>COUNTY</v>
      </c>
      <c r="D192" s="1253" t="str">
        <f>IFERROR(__xludf.DUMMYFUNCTION("""COMPUTED_VALUE"""),"DSS")</f>
        <v>DSS</v>
      </c>
      <c r="E192" s="1253">
        <v>14.0</v>
      </c>
      <c r="F192" s="1253">
        <v>2.0</v>
      </c>
      <c r="G192" s="419"/>
      <c r="H192" s="419"/>
      <c r="J192" s="567"/>
    </row>
    <row r="193">
      <c r="A193" s="1270" t="s">
        <v>4086</v>
      </c>
      <c r="B193" s="1273" t="str">
        <f>IFERROR(__xludf.DUMMYFUNCTION("split(A193,"" "")"),"Midlands")</f>
        <v>Midlands</v>
      </c>
      <c r="C193" s="1253"/>
      <c r="D193" s="1253"/>
      <c r="E193" s="1253">
        <v>602.0</v>
      </c>
      <c r="F193" s="1253">
        <v>340.0</v>
      </c>
      <c r="G193" s="419"/>
      <c r="H193" s="419"/>
      <c r="J193" s="567"/>
    </row>
    <row r="194">
      <c r="A194" s="1270" t="s">
        <v>4028</v>
      </c>
      <c r="B194" s="1273" t="str">
        <f>IFERROR(__xludf.DUMMYFUNCTION("split(A194,"" "")"),"#REF!")</f>
        <v>#REF!</v>
      </c>
      <c r="C194" s="1253"/>
      <c r="D194" s="1253"/>
      <c r="E194" s="1253">
        <v>74.0</v>
      </c>
      <c r="F194" s="1253">
        <v>66.0</v>
      </c>
      <c r="G194" s="419"/>
      <c r="H194" s="419"/>
      <c r="J194" s="567"/>
    </row>
    <row r="195">
      <c r="A195" s="1270" t="s">
        <v>4030</v>
      </c>
      <c r="B195" s="1273" t="str">
        <f>IFERROR(__xludf.DUMMYFUNCTION("split(A195,"" "")"),"#REF!")</f>
        <v>#REF!</v>
      </c>
      <c r="C195" s="1253"/>
      <c r="D195" s="1253"/>
      <c r="E195" s="1253">
        <v>26.0</v>
      </c>
      <c r="F195" s="1253">
        <v>26.0</v>
      </c>
      <c r="G195" s="419"/>
      <c r="H195" s="419"/>
      <c r="J195" s="567"/>
    </row>
    <row r="196">
      <c r="A196" s="1270" t="s">
        <v>4032</v>
      </c>
      <c r="B196" s="1273" t="str">
        <f>IFERROR(__xludf.DUMMYFUNCTION("split(A196,"" "")"),"#REF!")</f>
        <v>#REF!</v>
      </c>
      <c r="C196" s="1253"/>
      <c r="D196" s="1253"/>
      <c r="E196" s="1253">
        <v>85.0</v>
      </c>
      <c r="F196" s="1253">
        <v>82.0</v>
      </c>
      <c r="G196" s="419"/>
      <c r="H196" s="419"/>
      <c r="J196" s="567"/>
    </row>
    <row r="197">
      <c r="A197" s="1270" t="s">
        <v>4033</v>
      </c>
      <c r="B197" s="1273" t="str">
        <f>IFERROR(__xludf.DUMMYFUNCTION("split(A197,"" "")"),"AIKEN")</f>
        <v>AIKEN</v>
      </c>
      <c r="C197" s="1253" t="str">
        <f>IFERROR(__xludf.DUMMYFUNCTION("""COMPUTED_VALUE"""),"COUNTY")</f>
        <v>COUNTY</v>
      </c>
      <c r="D197" s="1253" t="str">
        <f>IFERROR(__xludf.DUMMYFUNCTION("""COMPUTED_VALUE"""),"DSS")</f>
        <v>DSS</v>
      </c>
      <c r="E197" s="1253">
        <v>35.0</v>
      </c>
      <c r="F197" s="1253">
        <v>24.0</v>
      </c>
      <c r="G197" s="419"/>
      <c r="H197" s="419"/>
      <c r="J197" s="567"/>
    </row>
    <row r="198">
      <c r="A198" s="1270" t="s">
        <v>4035</v>
      </c>
      <c r="B198" s="1273" t="str">
        <f>IFERROR(__xludf.DUMMYFUNCTION("split(A198,"" "")"),"BARNWELL")</f>
        <v>BARNWELL</v>
      </c>
      <c r="C198" s="1253" t="str">
        <f>IFERROR(__xludf.DUMMYFUNCTION("""COMPUTED_VALUE"""),"COUNTY")</f>
        <v>COUNTY</v>
      </c>
      <c r="D198" s="1253" t="str">
        <f>IFERROR(__xludf.DUMMYFUNCTION("""COMPUTED_VALUE"""),"DSS")</f>
        <v>DSS</v>
      </c>
      <c r="E198" s="1253">
        <v>1.0</v>
      </c>
      <c r="F198" s="1253">
        <v>1.0</v>
      </c>
      <c r="G198" s="419"/>
      <c r="H198" s="419"/>
      <c r="J198" s="567"/>
    </row>
    <row r="199">
      <c r="A199" s="1270" t="s">
        <v>4036</v>
      </c>
      <c r="B199" s="1273" t="str">
        <f>IFERROR(__xludf.DUMMYFUNCTION("split(A199,"" "")"),"CHESTER")</f>
        <v>CHESTER</v>
      </c>
      <c r="C199" s="1253" t="str">
        <f>IFERROR(__xludf.DUMMYFUNCTION("""COMPUTED_VALUE"""),"COUNTY")</f>
        <v>COUNTY</v>
      </c>
      <c r="D199" s="1253" t="str">
        <f>IFERROR(__xludf.DUMMYFUNCTION("""COMPUTED_VALUE"""),"DSS")</f>
        <v>DSS</v>
      </c>
      <c r="E199" s="1253">
        <v>10.0</v>
      </c>
      <c r="F199" s="1253">
        <v>2.0</v>
      </c>
      <c r="G199" s="419"/>
      <c r="H199" s="419"/>
      <c r="J199" s="567"/>
    </row>
    <row r="200">
      <c r="A200" s="1270" t="s">
        <v>4038</v>
      </c>
      <c r="B200" s="1273" t="str">
        <f>IFERROR(__xludf.DUMMYFUNCTION("split(A200,"" "")"),"FAIRFIELD")</f>
        <v>FAIRFIELD</v>
      </c>
      <c r="C200" s="1253" t="str">
        <f>IFERROR(__xludf.DUMMYFUNCTION("""COMPUTED_VALUE"""),"COUNTY")</f>
        <v>COUNTY</v>
      </c>
      <c r="D200" s="1253" t="str">
        <f>IFERROR(__xludf.DUMMYFUNCTION("""COMPUTED_VALUE"""),"DSS")</f>
        <v>DSS</v>
      </c>
      <c r="E200" s="1253">
        <v>6.0</v>
      </c>
      <c r="F200" s="1253">
        <v>2.0</v>
      </c>
      <c r="G200" s="419"/>
      <c r="H200" s="419"/>
      <c r="J200" s="567"/>
    </row>
    <row r="201">
      <c r="A201" s="1270" t="s">
        <v>4039</v>
      </c>
      <c r="B201" s="1273" t="str">
        <f>IFERROR(__xludf.DUMMYFUNCTION("split(A201,"" "")"),"KERSHAW")</f>
        <v>KERSHAW</v>
      </c>
      <c r="C201" s="1253" t="str">
        <f>IFERROR(__xludf.DUMMYFUNCTION("""COMPUTED_VALUE"""),"COUNTY")</f>
        <v>COUNTY</v>
      </c>
      <c r="D201" s="1253" t="str">
        <f>IFERROR(__xludf.DUMMYFUNCTION("""COMPUTED_VALUE"""),"DSS")</f>
        <v>DSS</v>
      </c>
      <c r="E201" s="1253">
        <v>35.0</v>
      </c>
      <c r="F201" s="1253">
        <v>15.0</v>
      </c>
      <c r="G201" s="419"/>
      <c r="H201" s="419"/>
      <c r="J201" s="567"/>
    </row>
    <row r="202">
      <c r="A202" s="1270" t="s">
        <v>4040</v>
      </c>
      <c r="B202" s="1273" t="str">
        <f>IFERROR(__xludf.DUMMYFUNCTION("split(A202,"" "")"),"LANCASTER")</f>
        <v>LANCASTER</v>
      </c>
      <c r="C202" s="1253" t="str">
        <f>IFERROR(__xludf.DUMMYFUNCTION("""COMPUTED_VALUE"""),"COUNTY")</f>
        <v>COUNTY</v>
      </c>
      <c r="D202" s="1253" t="str">
        <f>IFERROR(__xludf.DUMMYFUNCTION("""COMPUTED_VALUE"""),"DSS")</f>
        <v>DSS</v>
      </c>
      <c r="E202" s="1253">
        <v>19.0</v>
      </c>
      <c r="F202" s="1253">
        <v>12.0</v>
      </c>
      <c r="G202" s="419"/>
      <c r="H202" s="419"/>
      <c r="J202" s="567"/>
    </row>
    <row r="203">
      <c r="A203" s="1270" t="s">
        <v>4041</v>
      </c>
      <c r="B203" s="1273" t="str">
        <f>IFERROR(__xludf.DUMMYFUNCTION("split(A203,"" "")"),"LEXINGTON")</f>
        <v>LEXINGTON</v>
      </c>
      <c r="C203" s="1253" t="str">
        <f>IFERROR(__xludf.DUMMYFUNCTION("""COMPUTED_VALUE"""),"COUNTY")</f>
        <v>COUNTY</v>
      </c>
      <c r="D203" s="1253" t="str">
        <f>IFERROR(__xludf.DUMMYFUNCTION("""COMPUTED_VALUE"""),"DSS")</f>
        <v>DSS</v>
      </c>
      <c r="E203" s="1253">
        <v>44.0</v>
      </c>
      <c r="F203" s="1253">
        <v>23.0</v>
      </c>
      <c r="G203" s="419"/>
      <c r="H203" s="419"/>
      <c r="J203" s="567"/>
    </row>
    <row r="204">
      <c r="A204" s="1270" t="s">
        <v>4043</v>
      </c>
      <c r="B204" s="1273" t="str">
        <f>IFERROR(__xludf.DUMMYFUNCTION("split(A204,"" "")"),"RICHLAND")</f>
        <v>RICHLAND</v>
      </c>
      <c r="C204" s="1253" t="str">
        <f>IFERROR(__xludf.DUMMYFUNCTION("""COMPUTED_VALUE"""),"COUNTY")</f>
        <v>COUNTY</v>
      </c>
      <c r="D204" s="1253" t="str">
        <f>IFERROR(__xludf.DUMMYFUNCTION("""COMPUTED_VALUE"""),"DSS")</f>
        <v>DSS</v>
      </c>
      <c r="E204" s="1253">
        <v>204.0</v>
      </c>
      <c r="F204" s="1253">
        <v>55.0</v>
      </c>
      <c r="G204" s="419"/>
      <c r="H204" s="419"/>
      <c r="J204" s="567"/>
    </row>
    <row r="205">
      <c r="A205" s="1270" t="s">
        <v>4044</v>
      </c>
      <c r="B205" s="1273" t="str">
        <f>IFERROR(__xludf.DUMMYFUNCTION("split(A205,"" "")"),"SALUDA")</f>
        <v>SALUDA</v>
      </c>
      <c r="C205" s="1253" t="str">
        <f>IFERROR(__xludf.DUMMYFUNCTION("""COMPUTED_VALUE"""),"COUNTY")</f>
        <v>COUNTY</v>
      </c>
      <c r="D205" s="1253" t="str">
        <f>IFERROR(__xludf.DUMMYFUNCTION("""COMPUTED_VALUE"""),"DSS")</f>
        <v>DSS</v>
      </c>
      <c r="E205" s="1253">
        <v>3.0</v>
      </c>
      <c r="F205" s="1253">
        <v>0.0</v>
      </c>
      <c r="G205" s="419"/>
      <c r="H205" s="419"/>
      <c r="J205" s="567"/>
    </row>
    <row r="206">
      <c r="A206" s="1270" t="s">
        <v>4045</v>
      </c>
      <c r="B206" s="1273" t="str">
        <f>IFERROR(__xludf.DUMMYFUNCTION("split(A206,"" "")"),"YORK")</f>
        <v>YORK</v>
      </c>
      <c r="C206" s="1253" t="str">
        <f>IFERROR(__xludf.DUMMYFUNCTION("""COMPUTED_VALUE"""),"COUNTY")</f>
        <v>COUNTY</v>
      </c>
      <c r="D206" s="1253" t="str">
        <f>IFERROR(__xludf.DUMMYFUNCTION("""COMPUTED_VALUE"""),"DSS")</f>
        <v>DSS</v>
      </c>
      <c r="E206" s="1253">
        <v>53.0</v>
      </c>
      <c r="F206" s="1253">
        <v>28.0</v>
      </c>
      <c r="G206" s="419"/>
      <c r="H206" s="419"/>
      <c r="J206" s="567"/>
    </row>
    <row r="207">
      <c r="A207" s="1270" t="s">
        <v>4037</v>
      </c>
      <c r="B207" s="1273" t="str">
        <f>IFERROR(__xludf.DUMMYFUNCTION("split(A207,"" "")"),"EDGEFIELD")</f>
        <v>EDGEFIELD</v>
      </c>
      <c r="C207" s="1253" t="str">
        <f>IFERROR(__xludf.DUMMYFUNCTION("""COMPUTED_VALUE"""),"COUNTY")</f>
        <v>COUNTY</v>
      </c>
      <c r="D207" s="1253" t="str">
        <f>IFERROR(__xludf.DUMMYFUNCTION("""COMPUTED_VALUE"""),"DSS")</f>
        <v>DSS</v>
      </c>
      <c r="E207" s="1253">
        <v>7.0</v>
      </c>
      <c r="F207" s="1253">
        <v>4.0</v>
      </c>
      <c r="G207" s="419"/>
      <c r="H207" s="419"/>
      <c r="J207" s="567"/>
    </row>
    <row r="208">
      <c r="A208" s="1270" t="s">
        <v>4096</v>
      </c>
      <c r="B208" s="1273" t="str">
        <f>IFERROR(__xludf.DUMMYFUNCTION("split(A208,"" "")"),"Pee")</f>
        <v>Pee</v>
      </c>
      <c r="C208" s="1253" t="str">
        <f>IFERROR(__xludf.DUMMYFUNCTION("""COMPUTED_VALUE"""),"Dee")</f>
        <v>Dee</v>
      </c>
      <c r="D208" s="1253"/>
      <c r="E208" s="1253">
        <v>260.0</v>
      </c>
      <c r="F208" s="1253">
        <v>177.0</v>
      </c>
      <c r="G208" s="419"/>
      <c r="H208" s="419"/>
      <c r="J208" s="567"/>
    </row>
    <row r="209">
      <c r="A209" s="1270" t="s">
        <v>4047</v>
      </c>
      <c r="B209" s="1273" t="str">
        <f>IFERROR(__xludf.DUMMYFUNCTION("split(A209,"" "")"),"#REF!")</f>
        <v>#REF!</v>
      </c>
      <c r="C209" s="1253"/>
      <c r="D209" s="1253"/>
      <c r="E209" s="1253">
        <v>117.0</v>
      </c>
      <c r="F209" s="1253">
        <v>116.0</v>
      </c>
      <c r="G209" s="419"/>
      <c r="H209" s="419"/>
      <c r="J209" s="567"/>
    </row>
    <row r="210">
      <c r="A210" s="1270" t="s">
        <v>4048</v>
      </c>
      <c r="B210" s="1273" t="str">
        <f>IFERROR(__xludf.DUMMYFUNCTION("split(A210,"" "")"),"CHESTERFIELD")</f>
        <v>CHESTERFIELD</v>
      </c>
      <c r="C210" s="1253" t="str">
        <f>IFERROR(__xludf.DUMMYFUNCTION("""COMPUTED_VALUE"""),"COUNTY")</f>
        <v>COUNTY</v>
      </c>
      <c r="D210" s="1253" t="str">
        <f>IFERROR(__xludf.DUMMYFUNCTION("""COMPUTED_VALUE"""),"DSS")</f>
        <v>DSS</v>
      </c>
      <c r="E210" s="1253">
        <v>3.0</v>
      </c>
      <c r="F210" s="1253">
        <v>1.0</v>
      </c>
      <c r="G210" s="419"/>
      <c r="H210" s="419"/>
      <c r="J210" s="567"/>
    </row>
    <row r="211">
      <c r="A211" s="1270" t="s">
        <v>4049</v>
      </c>
      <c r="B211" s="1273" t="str">
        <f>IFERROR(__xludf.DUMMYFUNCTION("split(A211,"" "")"),"CLARENDON")</f>
        <v>CLARENDON</v>
      </c>
      <c r="C211" s="1253" t="str">
        <f>IFERROR(__xludf.DUMMYFUNCTION("""COMPUTED_VALUE"""),"COUNTY")</f>
        <v>COUNTY</v>
      </c>
      <c r="D211" s="1253" t="str">
        <f>IFERROR(__xludf.DUMMYFUNCTION("""COMPUTED_VALUE"""),"DSS")</f>
        <v>DSS</v>
      </c>
      <c r="E211" s="1253">
        <v>8.0</v>
      </c>
      <c r="F211" s="1253">
        <v>6.0</v>
      </c>
      <c r="G211" s="419"/>
      <c r="H211" s="419"/>
      <c r="J211" s="567"/>
    </row>
    <row r="212">
      <c r="A212" s="1270" t="s">
        <v>4050</v>
      </c>
      <c r="B212" s="1273" t="str">
        <f>IFERROR(__xludf.DUMMYFUNCTION("split(A212,"" "")"),"DARLINGTON")</f>
        <v>DARLINGTON</v>
      </c>
      <c r="C212" s="1253" t="str">
        <f>IFERROR(__xludf.DUMMYFUNCTION("""COMPUTED_VALUE"""),"COUNTY")</f>
        <v>COUNTY</v>
      </c>
      <c r="D212" s="1253" t="str">
        <f>IFERROR(__xludf.DUMMYFUNCTION("""COMPUTED_VALUE"""),"DSS")</f>
        <v>DSS</v>
      </c>
      <c r="E212" s="1253">
        <v>27.0</v>
      </c>
      <c r="F212" s="1253">
        <v>13.0</v>
      </c>
      <c r="G212" s="419"/>
      <c r="H212" s="419"/>
      <c r="J212" s="567"/>
    </row>
    <row r="213">
      <c r="A213" s="1270" t="s">
        <v>4051</v>
      </c>
      <c r="B213" s="1273" t="str">
        <f>IFERROR(__xludf.DUMMYFUNCTION("split(A213,"" "")"),"DILLON")</f>
        <v>DILLON</v>
      </c>
      <c r="C213" s="1253" t="str">
        <f>IFERROR(__xludf.DUMMYFUNCTION("""COMPUTED_VALUE"""),"COUNTY")</f>
        <v>COUNTY</v>
      </c>
      <c r="D213" s="1253" t="str">
        <f>IFERROR(__xludf.DUMMYFUNCTION("""COMPUTED_VALUE"""),"DSS")</f>
        <v>DSS</v>
      </c>
      <c r="E213" s="1253">
        <v>5.0</v>
      </c>
      <c r="F213" s="1253">
        <v>0.0</v>
      </c>
      <c r="G213" s="419"/>
      <c r="H213" s="419"/>
      <c r="J213" s="567"/>
    </row>
    <row r="214">
      <c r="A214" s="1270" t="s">
        <v>4052</v>
      </c>
      <c r="B214" s="1273" t="str">
        <f>IFERROR(__xludf.DUMMYFUNCTION("split(A214,"" "")"),"FLORENCE")</f>
        <v>FLORENCE</v>
      </c>
      <c r="C214" s="1253" t="str">
        <f>IFERROR(__xludf.DUMMYFUNCTION("""COMPUTED_VALUE"""),"COUNTY")</f>
        <v>COUNTY</v>
      </c>
      <c r="D214" s="1253" t="str">
        <f>IFERROR(__xludf.DUMMYFUNCTION("""COMPUTED_VALUE"""),"DSS")</f>
        <v>DSS</v>
      </c>
      <c r="E214" s="1253">
        <v>14.0</v>
      </c>
      <c r="F214" s="1253">
        <v>2.0</v>
      </c>
      <c r="G214" s="419"/>
      <c r="H214" s="419"/>
      <c r="J214" s="567"/>
    </row>
    <row r="215">
      <c r="A215" s="1270" t="s">
        <v>4053</v>
      </c>
      <c r="B215" s="1273" t="str">
        <f>IFERROR(__xludf.DUMMYFUNCTION("split(A215,"" "")"),"GEORGETOWN")</f>
        <v>GEORGETOWN</v>
      </c>
      <c r="C215" s="1253" t="str">
        <f>IFERROR(__xludf.DUMMYFUNCTION("""COMPUTED_VALUE"""),"COUNTY")</f>
        <v>COUNTY</v>
      </c>
      <c r="D215" s="1253" t="str">
        <f>IFERROR(__xludf.DUMMYFUNCTION("""COMPUTED_VALUE"""),"DSS")</f>
        <v>DSS</v>
      </c>
      <c r="E215" s="1253">
        <v>6.0</v>
      </c>
      <c r="F215" s="1253">
        <v>1.0</v>
      </c>
      <c r="G215" s="419"/>
      <c r="H215" s="419"/>
      <c r="J215" s="567"/>
    </row>
    <row r="216">
      <c r="A216" s="1270" t="s">
        <v>4054</v>
      </c>
      <c r="B216" s="1273" t="str">
        <f>IFERROR(__xludf.DUMMYFUNCTION("split(A216,"" "")"),"HORRY")</f>
        <v>HORRY</v>
      </c>
      <c r="C216" s="1253" t="str">
        <f>IFERROR(__xludf.DUMMYFUNCTION("""COMPUTED_VALUE"""),"COUNTY")</f>
        <v>COUNTY</v>
      </c>
      <c r="D216" s="1253" t="str">
        <f>IFERROR(__xludf.DUMMYFUNCTION("""COMPUTED_VALUE"""),"DSS")</f>
        <v>DSS</v>
      </c>
      <c r="E216" s="1253">
        <v>49.0</v>
      </c>
      <c r="F216" s="1253">
        <v>25.0</v>
      </c>
      <c r="G216" s="419"/>
      <c r="H216" s="419"/>
      <c r="J216" s="567"/>
    </row>
    <row r="217">
      <c r="A217" s="1270" t="s">
        <v>4055</v>
      </c>
      <c r="B217" s="1273" t="str">
        <f>IFERROR(__xludf.DUMMYFUNCTION("split(A217,"" "")"),"LEE")</f>
        <v>LEE</v>
      </c>
      <c r="C217" s="1253" t="str">
        <f>IFERROR(__xludf.DUMMYFUNCTION("""COMPUTED_VALUE"""),"COUNTY")</f>
        <v>COUNTY</v>
      </c>
      <c r="D217" s="1253" t="str">
        <f>IFERROR(__xludf.DUMMYFUNCTION("""COMPUTED_VALUE"""),"DSS")</f>
        <v>DSS</v>
      </c>
      <c r="E217" s="1253">
        <v>9.0</v>
      </c>
      <c r="F217" s="1253">
        <v>1.0</v>
      </c>
      <c r="G217" s="419"/>
      <c r="H217" s="419"/>
      <c r="J217" s="567"/>
    </row>
    <row r="218">
      <c r="A218" s="1270" t="s">
        <v>4056</v>
      </c>
      <c r="B218" s="1273" t="str">
        <f>IFERROR(__xludf.DUMMYFUNCTION("split(A218,"" "")"),"MARION")</f>
        <v>MARION</v>
      </c>
      <c r="C218" s="1253" t="str">
        <f>IFERROR(__xludf.DUMMYFUNCTION("""COMPUTED_VALUE"""),"COUNTY")</f>
        <v>COUNTY</v>
      </c>
      <c r="D218" s="1253" t="str">
        <f>IFERROR(__xludf.DUMMYFUNCTION("""COMPUTED_VALUE"""),"DSS")</f>
        <v>DSS</v>
      </c>
      <c r="E218" s="1253">
        <v>6.0</v>
      </c>
      <c r="F218" s="1253">
        <v>3.0</v>
      </c>
      <c r="G218" s="419"/>
      <c r="H218" s="419"/>
      <c r="J218" s="567"/>
    </row>
    <row r="219">
      <c r="A219" s="1270" t="s">
        <v>4057</v>
      </c>
      <c r="B219" s="1273" t="str">
        <f>IFERROR(__xludf.DUMMYFUNCTION("split(A219,"" "")"),"MARLBORO")</f>
        <v>MARLBORO</v>
      </c>
      <c r="C219" s="1253" t="str">
        <f>IFERROR(__xludf.DUMMYFUNCTION("""COMPUTED_VALUE"""),"COUNTY")</f>
        <v>COUNTY</v>
      </c>
      <c r="D219" s="1253" t="str">
        <f>IFERROR(__xludf.DUMMYFUNCTION("""COMPUTED_VALUE"""),"DSS")</f>
        <v>DSS</v>
      </c>
      <c r="E219" s="1253">
        <v>3.0</v>
      </c>
      <c r="F219" s="1253">
        <v>2.0</v>
      </c>
      <c r="G219" s="419"/>
      <c r="H219" s="419"/>
      <c r="J219" s="567"/>
    </row>
    <row r="220">
      <c r="A220" s="1270" t="s">
        <v>4058</v>
      </c>
      <c r="B220" s="1273" t="str">
        <f>IFERROR(__xludf.DUMMYFUNCTION("split(A220,"" "")"),"SUMTER")</f>
        <v>SUMTER</v>
      </c>
      <c r="C220" s="1253" t="str">
        <f>IFERROR(__xludf.DUMMYFUNCTION("""COMPUTED_VALUE"""),"COUNTY")</f>
        <v>COUNTY</v>
      </c>
      <c r="D220" s="1253" t="str">
        <f>IFERROR(__xludf.DUMMYFUNCTION("""COMPUTED_VALUE"""),"DSS")</f>
        <v>DSS</v>
      </c>
      <c r="E220" s="1253">
        <v>9.0</v>
      </c>
      <c r="F220" s="1253">
        <v>5.0</v>
      </c>
      <c r="G220" s="419"/>
      <c r="H220" s="419"/>
      <c r="J220" s="567"/>
    </row>
    <row r="221">
      <c r="A221" s="1270" t="s">
        <v>4059</v>
      </c>
      <c r="B221" s="1273" t="str">
        <f>IFERROR(__xludf.DUMMYFUNCTION("split(A221,"" "")"),"WILLIAMSBURG")</f>
        <v>WILLIAMSBURG</v>
      </c>
      <c r="C221" s="1253" t="str">
        <f>IFERROR(__xludf.DUMMYFUNCTION("""COMPUTED_VALUE"""),"COUNTY")</f>
        <v>COUNTY</v>
      </c>
      <c r="D221" s="1253" t="str">
        <f>IFERROR(__xludf.DUMMYFUNCTION("""COMPUTED_VALUE"""),"DSS")</f>
        <v>DSS</v>
      </c>
      <c r="E221" s="1253">
        <v>4.0</v>
      </c>
      <c r="F221" s="1253">
        <v>2.0</v>
      </c>
      <c r="G221" s="419"/>
      <c r="H221" s="419"/>
      <c r="J221" s="567"/>
    </row>
    <row r="222">
      <c r="A222" s="1270" t="s">
        <v>4103</v>
      </c>
      <c r="B222" s="1273" t="str">
        <f>IFERROR(__xludf.DUMMYFUNCTION("split(A222,"" "")"),"Upstate")</f>
        <v>Upstate</v>
      </c>
      <c r="C222" s="1253"/>
      <c r="D222" s="1253"/>
      <c r="E222" s="1253">
        <v>440.0</v>
      </c>
      <c r="F222" s="1253">
        <v>300.0</v>
      </c>
      <c r="G222" s="419"/>
      <c r="H222" s="419"/>
      <c r="J222" s="567"/>
    </row>
    <row r="223">
      <c r="A223" s="1270" t="s">
        <v>4060</v>
      </c>
      <c r="B223" s="1273" t="str">
        <f>IFERROR(__xludf.DUMMYFUNCTION("split(A223,"" "")"),"ABBEVILLE")</f>
        <v>ABBEVILLE</v>
      </c>
      <c r="C223" s="1253" t="str">
        <f>IFERROR(__xludf.DUMMYFUNCTION("""COMPUTED_VALUE"""),"COUNTY")</f>
        <v>COUNTY</v>
      </c>
      <c r="D223" s="1253" t="str">
        <f>IFERROR(__xludf.DUMMYFUNCTION("""COMPUTED_VALUE"""),"DSS")</f>
        <v>DSS</v>
      </c>
      <c r="E223" s="1253">
        <v>5.0</v>
      </c>
      <c r="F223" s="1253">
        <v>5.0</v>
      </c>
      <c r="G223" s="419"/>
      <c r="H223" s="419"/>
      <c r="J223" s="567"/>
    </row>
    <row r="224">
      <c r="A224" s="1270" t="s">
        <v>4062</v>
      </c>
      <c r="B224" s="1273" t="str">
        <f>IFERROR(__xludf.DUMMYFUNCTION("split(A224,"" "")"),"#REF!")</f>
        <v>#REF!</v>
      </c>
      <c r="C224" s="1253"/>
      <c r="D224" s="1253"/>
      <c r="E224" s="1253">
        <v>172.0</v>
      </c>
      <c r="F224" s="1253">
        <v>163.0</v>
      </c>
      <c r="G224" s="419"/>
      <c r="H224" s="419"/>
      <c r="J224" s="567"/>
    </row>
    <row r="225">
      <c r="A225" s="1270" t="s">
        <v>4065</v>
      </c>
      <c r="B225" s="1273" t="str">
        <f>IFERROR(__xludf.DUMMYFUNCTION("split(A225,"" "")"),"ANDERSON")</f>
        <v>ANDERSON</v>
      </c>
      <c r="C225" s="1253" t="str">
        <f>IFERROR(__xludf.DUMMYFUNCTION("""COMPUTED_VALUE"""),"COUNTY")</f>
        <v>COUNTY</v>
      </c>
      <c r="D225" s="1253" t="str">
        <f>IFERROR(__xludf.DUMMYFUNCTION("""COMPUTED_VALUE"""),"DSS")</f>
        <v>DSS</v>
      </c>
      <c r="E225" s="1253">
        <v>45.0</v>
      </c>
      <c r="F225" s="1253">
        <v>21.0</v>
      </c>
      <c r="G225" s="419"/>
      <c r="H225" s="419"/>
      <c r="J225" s="567"/>
    </row>
    <row r="226">
      <c r="A226" s="1270" t="s">
        <v>4066</v>
      </c>
      <c r="B226" s="1273" t="str">
        <f>IFERROR(__xludf.DUMMYFUNCTION("split(A226,"" "")"),"CHEROKEE")</f>
        <v>CHEROKEE</v>
      </c>
      <c r="C226" s="1253" t="str">
        <f>IFERROR(__xludf.DUMMYFUNCTION("""COMPUTED_VALUE"""),"COUNTY")</f>
        <v>COUNTY</v>
      </c>
      <c r="D226" s="1253" t="str">
        <f>IFERROR(__xludf.DUMMYFUNCTION("""COMPUTED_VALUE"""),"DSS")</f>
        <v>DSS</v>
      </c>
      <c r="E226" s="1253">
        <v>12.0</v>
      </c>
      <c r="F226" s="1253">
        <v>7.0</v>
      </c>
      <c r="G226" s="419"/>
      <c r="H226" s="419"/>
      <c r="J226" s="567"/>
    </row>
    <row r="227">
      <c r="A227" s="1270" t="s">
        <v>4067</v>
      </c>
      <c r="B227" s="1273" t="str">
        <f>IFERROR(__xludf.DUMMYFUNCTION("split(A227,"" "")"),"GREENVILLE")</f>
        <v>GREENVILLE</v>
      </c>
      <c r="C227" s="1253" t="str">
        <f>IFERROR(__xludf.DUMMYFUNCTION("""COMPUTED_VALUE"""),"COUNTY")</f>
        <v>COUNTY</v>
      </c>
      <c r="D227" s="1253" t="str">
        <f>IFERROR(__xludf.DUMMYFUNCTION("""COMPUTED_VALUE"""),"DSS")</f>
        <v>DSS</v>
      </c>
      <c r="E227" s="1253">
        <v>41.0</v>
      </c>
      <c r="F227" s="1253">
        <v>19.0</v>
      </c>
      <c r="G227" s="419"/>
      <c r="H227" s="419"/>
      <c r="J227" s="567"/>
    </row>
    <row r="228">
      <c r="A228" s="1270" t="s">
        <v>4068</v>
      </c>
      <c r="B228" s="1273" t="str">
        <f>IFERROR(__xludf.DUMMYFUNCTION("split(A228,"" "")"),"GREENWOOD")</f>
        <v>GREENWOOD</v>
      </c>
      <c r="C228" s="1253" t="str">
        <f>IFERROR(__xludf.DUMMYFUNCTION("""COMPUTED_VALUE"""),"COUNTY")</f>
        <v>COUNTY</v>
      </c>
      <c r="D228" s="1253" t="str">
        <f>IFERROR(__xludf.DUMMYFUNCTION("""COMPUTED_VALUE"""),"DSS")</f>
        <v>DSS</v>
      </c>
      <c r="E228" s="1253">
        <v>20.0</v>
      </c>
      <c r="F228" s="1253">
        <v>10.0</v>
      </c>
      <c r="G228" s="419"/>
      <c r="H228" s="419"/>
      <c r="J228" s="567"/>
    </row>
    <row r="229">
      <c r="A229" s="1270" t="s">
        <v>4069</v>
      </c>
      <c r="B229" s="1273" t="str">
        <f>IFERROR(__xludf.DUMMYFUNCTION("split(A229,"" "")"),"LAURENS")</f>
        <v>LAURENS</v>
      </c>
      <c r="C229" s="1253" t="str">
        <f>IFERROR(__xludf.DUMMYFUNCTION("""COMPUTED_VALUE"""),"COUNTY")</f>
        <v>COUNTY</v>
      </c>
      <c r="D229" s="1253" t="str">
        <f>IFERROR(__xludf.DUMMYFUNCTION("""COMPUTED_VALUE"""),"DSS")</f>
        <v>DSS</v>
      </c>
      <c r="E229" s="1253">
        <v>48.0</v>
      </c>
      <c r="F229" s="1253">
        <v>25.0</v>
      </c>
      <c r="G229" s="419"/>
      <c r="H229" s="419"/>
      <c r="J229" s="567"/>
    </row>
    <row r="230">
      <c r="A230" s="1270" t="s">
        <v>4070</v>
      </c>
      <c r="B230" s="1273" t="str">
        <f>IFERROR(__xludf.DUMMYFUNCTION("split(A230,"" "")"),"NEWBERRY")</f>
        <v>NEWBERRY</v>
      </c>
      <c r="C230" s="1253" t="str">
        <f>IFERROR(__xludf.DUMMYFUNCTION("""COMPUTED_VALUE"""),"COUNTY")</f>
        <v>COUNTY</v>
      </c>
      <c r="D230" s="1253" t="str">
        <f>IFERROR(__xludf.DUMMYFUNCTION("""COMPUTED_VALUE"""),"DSS")</f>
        <v>DSS</v>
      </c>
      <c r="E230" s="1253">
        <v>7.0</v>
      </c>
      <c r="F230" s="1253">
        <v>0.0</v>
      </c>
      <c r="G230" s="419"/>
      <c r="H230" s="419"/>
      <c r="J230" s="567"/>
    </row>
    <row r="231">
      <c r="A231" s="1270" t="s">
        <v>4071</v>
      </c>
      <c r="B231" s="1273" t="str">
        <f>IFERROR(__xludf.DUMMYFUNCTION("split(A231,"" "")"),"OCONEE")</f>
        <v>OCONEE</v>
      </c>
      <c r="C231" s="1253" t="str">
        <f>IFERROR(__xludf.DUMMYFUNCTION("""COMPUTED_VALUE"""),"COUNTY")</f>
        <v>COUNTY</v>
      </c>
      <c r="D231" s="1253" t="str">
        <f>IFERROR(__xludf.DUMMYFUNCTION("""COMPUTED_VALUE"""),"DSS")</f>
        <v>DSS</v>
      </c>
      <c r="E231" s="1253">
        <v>12.0</v>
      </c>
      <c r="F231" s="1253">
        <v>9.0</v>
      </c>
      <c r="G231" s="419"/>
      <c r="H231" s="419"/>
      <c r="J231" s="567"/>
    </row>
    <row r="232">
      <c r="A232" s="1270" t="s">
        <v>4072</v>
      </c>
      <c r="B232" s="1273" t="str">
        <f>IFERROR(__xludf.DUMMYFUNCTION("split(A232,"" "")"),"PICKENS")</f>
        <v>PICKENS</v>
      </c>
      <c r="C232" s="1253" t="str">
        <f>IFERROR(__xludf.DUMMYFUNCTION("""COMPUTED_VALUE"""),"COUNTY")</f>
        <v>COUNTY</v>
      </c>
      <c r="D232" s="1253" t="str">
        <f>IFERROR(__xludf.DUMMYFUNCTION("""COMPUTED_VALUE"""),"DSS")</f>
        <v>DSS</v>
      </c>
      <c r="E232" s="1253">
        <v>10.0</v>
      </c>
      <c r="F232" s="1253">
        <v>1.0</v>
      </c>
      <c r="G232" s="419"/>
      <c r="H232" s="419"/>
      <c r="J232" s="567"/>
    </row>
    <row r="233">
      <c r="A233" s="1226" t="s">
        <v>4073</v>
      </c>
      <c r="B233" s="1273" t="str">
        <f>IFERROR(__xludf.DUMMYFUNCTION("split(A233,"" "")"),"SPARTANBURG")</f>
        <v>SPARTANBURG</v>
      </c>
      <c r="C233" s="1253" t="str">
        <f>IFERROR(__xludf.DUMMYFUNCTION("""COMPUTED_VALUE"""),"COUNTY")</f>
        <v>COUNTY</v>
      </c>
      <c r="D233" s="1253" t="str">
        <f>IFERROR(__xludf.DUMMYFUNCTION("""COMPUTED_VALUE"""),"DSS")</f>
        <v>DSS</v>
      </c>
      <c r="E233" s="1253">
        <v>65.0</v>
      </c>
      <c r="F233" s="1253">
        <v>37.0</v>
      </c>
      <c r="G233" s="419"/>
      <c r="H233" s="419"/>
      <c r="J233" s="567"/>
    </row>
    <row r="234">
      <c r="A234" s="1226" t="s">
        <v>4074</v>
      </c>
      <c r="B234" s="1273" t="str">
        <f>IFERROR(__xludf.DUMMYFUNCTION("split(A234,"" "")"),"UNION")</f>
        <v>UNION</v>
      </c>
      <c r="C234" s="1253" t="str">
        <f>IFERROR(__xludf.DUMMYFUNCTION("""COMPUTED_VALUE"""),"COUNTY")</f>
        <v>COUNTY</v>
      </c>
      <c r="D234" s="1253" t="str">
        <f>IFERROR(__xludf.DUMMYFUNCTION("""COMPUTED_VALUE"""),"DSS")</f>
        <v>DSS</v>
      </c>
      <c r="E234" s="1253">
        <v>3.0</v>
      </c>
      <c r="F234" s="1253">
        <v>3.0</v>
      </c>
      <c r="G234" s="419"/>
      <c r="H234" s="419"/>
      <c r="J234" s="567"/>
    </row>
    <row r="235">
      <c r="A235" s="351" t="s">
        <v>2395</v>
      </c>
      <c r="B235" s="1253"/>
      <c r="C235" s="1253"/>
      <c r="D235" s="1253"/>
      <c r="E235" s="1253">
        <v>1525.0</v>
      </c>
      <c r="F235" s="1253">
        <v>935.0</v>
      </c>
      <c r="G235" s="419"/>
      <c r="H235" s="419"/>
      <c r="J235" s="567"/>
    </row>
    <row r="236">
      <c r="A236" s="1"/>
      <c r="B236" s="419"/>
      <c r="C236" s="419"/>
      <c r="D236" s="419"/>
      <c r="E236" s="419"/>
      <c r="G236" s="567"/>
    </row>
    <row r="237">
      <c r="A237" s="1"/>
      <c r="B237" s="419"/>
      <c r="C237" s="419"/>
      <c r="D237" s="419"/>
      <c r="E237" s="419"/>
      <c r="G237" s="567"/>
    </row>
    <row r="238">
      <c r="A238" s="196" t="s">
        <v>2396</v>
      </c>
      <c r="B238" s="197"/>
      <c r="C238" s="197"/>
      <c r="D238" s="198" t="s">
        <v>765</v>
      </c>
      <c r="E238" s="198" t="s">
        <v>3997</v>
      </c>
      <c r="F238" s="197"/>
      <c r="G238" s="197"/>
      <c r="H238" s="198" t="s">
        <v>767</v>
      </c>
      <c r="I238" s="1259">
        <v>45455.0</v>
      </c>
      <c r="J238" s="198" t="s">
        <v>769</v>
      </c>
      <c r="K238" s="1259">
        <v>45383.0</v>
      </c>
      <c r="L238" s="589"/>
    </row>
    <row r="239">
      <c r="G239" s="567"/>
    </row>
    <row r="240">
      <c r="A240" s="836" t="s">
        <v>4125</v>
      </c>
      <c r="B240" s="836"/>
      <c r="C240" s="836"/>
      <c r="D240" s="1278"/>
      <c r="E240" s="836"/>
      <c r="F240" s="836" t="s">
        <v>4126</v>
      </c>
      <c r="G240" s="836"/>
      <c r="H240" s="836"/>
      <c r="I240" s="836"/>
      <c r="J240" s="836"/>
      <c r="K240" s="571"/>
      <c r="L240" s="570"/>
      <c r="M240" s="571"/>
      <c r="N240" s="571"/>
      <c r="O240" s="571"/>
      <c r="P240" s="571"/>
      <c r="Q240" s="571"/>
      <c r="R240" s="571"/>
      <c r="S240" s="571"/>
      <c r="T240" s="571"/>
      <c r="U240" s="571"/>
      <c r="V240" s="571"/>
      <c r="W240" s="571"/>
      <c r="X240" s="571"/>
      <c r="Y240" s="571"/>
      <c r="Z240" s="571"/>
      <c r="AA240" s="571"/>
      <c r="AB240" s="571"/>
    </row>
    <row r="241">
      <c r="A241" s="351" t="s">
        <v>4077</v>
      </c>
      <c r="B241" s="351"/>
      <c r="C241" s="850"/>
      <c r="D241" s="548"/>
      <c r="E241" s="351"/>
      <c r="F241" s="351">
        <v>362.0</v>
      </c>
      <c r="G241" s="351"/>
      <c r="H241" s="351"/>
      <c r="I241" s="351"/>
      <c r="J241" s="351"/>
    </row>
    <row r="242">
      <c r="A242" s="351" t="s">
        <v>4018</v>
      </c>
      <c r="B242" s="351" t="str">
        <f>IFERROR(__xludf.DUMMYFUNCTION("split(A242,"" "")"),"BEAUFORT")</f>
        <v>BEAUFORT</v>
      </c>
      <c r="C242" s="850" t="str">
        <f>IFERROR(__xludf.DUMMYFUNCTION("""COMPUTED_VALUE"""),"COUNTY")</f>
        <v>COUNTY</v>
      </c>
      <c r="D242" s="548" t="str">
        <f>IFERROR(__xludf.DUMMYFUNCTION("""COMPUTED_VALUE"""),"DSS")</f>
        <v>DSS</v>
      </c>
      <c r="E242" s="351"/>
      <c r="F242" s="351">
        <v>31.0</v>
      </c>
      <c r="G242" s="548"/>
      <c r="H242" s="548"/>
      <c r="I242" s="548"/>
      <c r="J242" s="548"/>
    </row>
    <row r="243">
      <c r="A243" s="351" t="s">
        <v>4019</v>
      </c>
      <c r="B243" s="351" t="str">
        <f>IFERROR(__xludf.DUMMYFUNCTION("split(A243,"" "")"),"BERKELEY")</f>
        <v>BERKELEY</v>
      </c>
      <c r="C243" s="850" t="str">
        <f>IFERROR(__xludf.DUMMYFUNCTION("""COMPUTED_VALUE"""),"COUNTY")</f>
        <v>COUNTY</v>
      </c>
      <c r="D243" s="548" t="str">
        <f>IFERROR(__xludf.DUMMYFUNCTION("""COMPUTED_VALUE"""),"DSS")</f>
        <v>DSS</v>
      </c>
      <c r="E243" s="351"/>
      <c r="F243" s="351">
        <v>79.0</v>
      </c>
      <c r="G243" s="351"/>
      <c r="H243" s="351"/>
      <c r="I243" s="351"/>
      <c r="J243" s="548"/>
    </row>
    <row r="244">
      <c r="A244" s="351" t="s">
        <v>4020</v>
      </c>
      <c r="B244" s="351" t="str">
        <f>IFERROR(__xludf.DUMMYFUNCTION("split(A244,"" "")"),"CALHOUN")</f>
        <v>CALHOUN</v>
      </c>
      <c r="C244" s="850" t="str">
        <f>IFERROR(__xludf.DUMMYFUNCTION("""COMPUTED_VALUE"""),"COUNTY")</f>
        <v>COUNTY</v>
      </c>
      <c r="D244" s="548" t="str">
        <f>IFERROR(__xludf.DUMMYFUNCTION("""COMPUTED_VALUE"""),"DSS")</f>
        <v>DSS</v>
      </c>
      <c r="E244" s="351"/>
      <c r="F244" s="351">
        <v>1.0</v>
      </c>
      <c r="G244" s="351"/>
      <c r="H244" s="351"/>
      <c r="I244" s="548"/>
      <c r="J244" s="548"/>
    </row>
    <row r="245">
      <c r="A245" s="351" t="s">
        <v>4021</v>
      </c>
      <c r="B245" s="351" t="str">
        <f>IFERROR(__xludf.DUMMYFUNCTION("split(A245,"" "")"),"CHARLESTON")</f>
        <v>CHARLESTON</v>
      </c>
      <c r="C245" s="850" t="str">
        <f>IFERROR(__xludf.DUMMYFUNCTION("""COMPUTED_VALUE"""),"COUNTY")</f>
        <v>COUNTY</v>
      </c>
      <c r="D245" s="548" t="str">
        <f>IFERROR(__xludf.DUMMYFUNCTION("""COMPUTED_VALUE"""),"DSS")</f>
        <v>DSS</v>
      </c>
      <c r="E245" s="351"/>
      <c r="F245" s="351">
        <v>108.0</v>
      </c>
      <c r="G245" s="351"/>
      <c r="H245" s="351"/>
      <c r="I245" s="548"/>
      <c r="J245" s="548"/>
    </row>
    <row r="246">
      <c r="A246" s="351" t="s">
        <v>4022</v>
      </c>
      <c r="B246" s="351" t="str">
        <f>IFERROR(__xludf.DUMMYFUNCTION("split(A246,"" "")"),"COLLETON")</f>
        <v>COLLETON</v>
      </c>
      <c r="C246" s="850" t="str">
        <f>IFERROR(__xludf.DUMMYFUNCTION("""COMPUTED_VALUE"""),"COUNTY")</f>
        <v>COUNTY</v>
      </c>
      <c r="D246" s="548" t="str">
        <f>IFERROR(__xludf.DUMMYFUNCTION("""COMPUTED_VALUE"""),"DSS")</f>
        <v>DSS</v>
      </c>
      <c r="E246" s="351"/>
      <c r="F246" s="351">
        <v>26.0</v>
      </c>
      <c r="G246" s="351"/>
      <c r="H246" s="351"/>
      <c r="I246" s="351"/>
      <c r="J246" s="351"/>
    </row>
    <row r="247">
      <c r="A247" s="351" t="s">
        <v>4023</v>
      </c>
      <c r="B247" s="351" t="str">
        <f>IFERROR(__xludf.DUMMYFUNCTION("split(A247,"" "")"),"DORCHESTER")</f>
        <v>DORCHESTER</v>
      </c>
      <c r="C247" s="850" t="str">
        <f>IFERROR(__xludf.DUMMYFUNCTION("""COMPUTED_VALUE"""),"COUNTY")</f>
        <v>COUNTY</v>
      </c>
      <c r="D247" s="548" t="str">
        <f>IFERROR(__xludf.DUMMYFUNCTION("""COMPUTED_VALUE"""),"DSS")</f>
        <v>DSS</v>
      </c>
      <c r="E247" s="351"/>
      <c r="F247" s="351">
        <v>40.0</v>
      </c>
      <c r="G247" s="351"/>
      <c r="H247" s="351"/>
      <c r="I247" s="548"/>
      <c r="J247" s="548"/>
    </row>
    <row r="248">
      <c r="A248" s="351" t="s">
        <v>4024</v>
      </c>
      <c r="B248" s="351" t="str">
        <f>IFERROR(__xludf.DUMMYFUNCTION("split(A248,"" "")"),"HAMPTON")</f>
        <v>HAMPTON</v>
      </c>
      <c r="C248" s="850" t="str">
        <f>IFERROR(__xludf.DUMMYFUNCTION("""COMPUTED_VALUE"""),"COUNTY")</f>
        <v>COUNTY</v>
      </c>
      <c r="D248" s="548" t="str">
        <f>IFERROR(__xludf.DUMMYFUNCTION("""COMPUTED_VALUE"""),"DSS")</f>
        <v>DSS</v>
      </c>
      <c r="E248" s="351"/>
      <c r="F248" s="351">
        <v>8.0</v>
      </c>
      <c r="G248" s="351"/>
      <c r="H248" s="351"/>
      <c r="I248" s="351"/>
      <c r="J248" s="351"/>
    </row>
    <row r="249">
      <c r="A249" s="351" t="s">
        <v>4025</v>
      </c>
      <c r="B249" s="351" t="str">
        <f>IFERROR(__xludf.DUMMYFUNCTION("split(A249,"" "")"),"JASPER")</f>
        <v>JASPER</v>
      </c>
      <c r="C249" s="850" t="str">
        <f>IFERROR(__xludf.DUMMYFUNCTION("""COMPUTED_VALUE"""),"COUNTY")</f>
        <v>COUNTY</v>
      </c>
      <c r="D249" s="548" t="str">
        <f>IFERROR(__xludf.DUMMYFUNCTION("""COMPUTED_VALUE"""),"DSS")</f>
        <v>DSS</v>
      </c>
      <c r="E249" s="351"/>
      <c r="F249" s="351">
        <v>25.0</v>
      </c>
      <c r="G249" s="351"/>
      <c r="H249" s="351"/>
      <c r="I249" s="548"/>
      <c r="J249" s="548"/>
    </row>
    <row r="250">
      <c r="A250" s="351" t="s">
        <v>4026</v>
      </c>
      <c r="B250" s="351" t="str">
        <f>IFERROR(__xludf.DUMMYFUNCTION("split(A250,"" "")"),"ORANGEBURG")</f>
        <v>ORANGEBURG</v>
      </c>
      <c r="C250" s="850" t="str">
        <f>IFERROR(__xludf.DUMMYFUNCTION("""COMPUTED_VALUE"""),"COUNTY")</f>
        <v>COUNTY</v>
      </c>
      <c r="D250" s="548" t="str">
        <f>IFERROR(__xludf.DUMMYFUNCTION("""COMPUTED_VALUE"""),"DSS")</f>
        <v>DSS</v>
      </c>
      <c r="E250" s="351"/>
      <c r="F250" s="351">
        <v>44.0</v>
      </c>
      <c r="G250" s="351"/>
      <c r="H250" s="351"/>
      <c r="I250" s="548"/>
      <c r="J250" s="548"/>
    </row>
    <row r="251">
      <c r="A251" s="351" t="s">
        <v>4086</v>
      </c>
      <c r="B251" s="351" t="str">
        <f>IFERROR(__xludf.DUMMYFUNCTION("split(A251,"" "")"),"Midlands")</f>
        <v>Midlands</v>
      </c>
      <c r="C251" s="850"/>
      <c r="D251" s="548"/>
      <c r="E251" s="351"/>
      <c r="F251" s="351">
        <v>471.0</v>
      </c>
      <c r="G251" s="351"/>
      <c r="H251" s="351"/>
      <c r="I251" s="351"/>
      <c r="J251" s="351"/>
    </row>
    <row r="252">
      <c r="A252" s="351" t="s">
        <v>4033</v>
      </c>
      <c r="B252" s="351" t="str">
        <f>IFERROR(__xludf.DUMMYFUNCTION("split(A252,"" "")"),"AIKEN")</f>
        <v>AIKEN</v>
      </c>
      <c r="C252" s="850" t="str">
        <f>IFERROR(__xludf.DUMMYFUNCTION("""COMPUTED_VALUE"""),"COUNTY")</f>
        <v>COUNTY</v>
      </c>
      <c r="D252" s="548" t="str">
        <f>IFERROR(__xludf.DUMMYFUNCTION("""COMPUTED_VALUE"""),"DSS")</f>
        <v>DSS</v>
      </c>
      <c r="E252" s="351"/>
      <c r="F252" s="351">
        <v>40.0</v>
      </c>
      <c r="G252" s="351"/>
      <c r="H252" s="351"/>
      <c r="I252" s="351"/>
      <c r="J252" s="351"/>
    </row>
    <row r="253">
      <c r="A253" s="351" t="s">
        <v>4034</v>
      </c>
      <c r="B253" s="351" t="str">
        <f>IFERROR(__xludf.DUMMYFUNCTION("split(A253,"" "")"),"BAMBERG")</f>
        <v>BAMBERG</v>
      </c>
      <c r="C253" s="850" t="str">
        <f>IFERROR(__xludf.DUMMYFUNCTION("""COMPUTED_VALUE"""),"COUNTY")</f>
        <v>COUNTY</v>
      </c>
      <c r="D253" s="548" t="str">
        <f>IFERROR(__xludf.DUMMYFUNCTION("""COMPUTED_VALUE"""),"DSS")</f>
        <v>DSS</v>
      </c>
      <c r="E253" s="351"/>
      <c r="F253" s="351">
        <v>5.0</v>
      </c>
      <c r="G253" s="351"/>
      <c r="H253" s="351"/>
      <c r="I253" s="351"/>
      <c r="J253" s="548"/>
    </row>
    <row r="254">
      <c r="A254" s="351" t="s">
        <v>4035</v>
      </c>
      <c r="B254" s="351" t="str">
        <f>IFERROR(__xludf.DUMMYFUNCTION("split(A254,"" "")"),"BARNWELL")</f>
        <v>BARNWELL</v>
      </c>
      <c r="C254" s="850" t="str">
        <f>IFERROR(__xludf.DUMMYFUNCTION("""COMPUTED_VALUE"""),"COUNTY")</f>
        <v>COUNTY</v>
      </c>
      <c r="D254" s="548" t="str">
        <f>IFERROR(__xludf.DUMMYFUNCTION("""COMPUTED_VALUE"""),"DSS")</f>
        <v>DSS</v>
      </c>
      <c r="E254" s="351"/>
      <c r="F254" s="351">
        <v>4.0</v>
      </c>
      <c r="G254" s="351"/>
      <c r="H254" s="351"/>
      <c r="I254" s="548"/>
      <c r="J254" s="548"/>
    </row>
    <row r="255">
      <c r="A255" s="351" t="s">
        <v>4036</v>
      </c>
      <c r="B255" s="351" t="str">
        <f>IFERROR(__xludf.DUMMYFUNCTION("split(A255,"" "")"),"CHESTER")</f>
        <v>CHESTER</v>
      </c>
      <c r="C255" s="850" t="str">
        <f>IFERROR(__xludf.DUMMYFUNCTION("""COMPUTED_VALUE"""),"COUNTY")</f>
        <v>COUNTY</v>
      </c>
      <c r="D255" s="548" t="str">
        <f>IFERROR(__xludf.DUMMYFUNCTION("""COMPUTED_VALUE"""),"DSS")</f>
        <v>DSS</v>
      </c>
      <c r="E255" s="351"/>
      <c r="F255" s="351">
        <v>18.0</v>
      </c>
      <c r="G255" s="351"/>
      <c r="H255" s="548"/>
      <c r="I255" s="548"/>
      <c r="J255" s="548"/>
    </row>
    <row r="256">
      <c r="A256" s="351" t="s">
        <v>4037</v>
      </c>
      <c r="B256" s="351" t="str">
        <f>IFERROR(__xludf.DUMMYFUNCTION("split(A256,"" "")"),"EDGEFIELD")</f>
        <v>EDGEFIELD</v>
      </c>
      <c r="C256" s="850" t="str">
        <f>IFERROR(__xludf.DUMMYFUNCTION("""COMPUTED_VALUE"""),"COUNTY")</f>
        <v>COUNTY</v>
      </c>
      <c r="D256" s="548" t="str">
        <f>IFERROR(__xludf.DUMMYFUNCTION("""COMPUTED_VALUE"""),"DSS")</f>
        <v>DSS</v>
      </c>
      <c r="E256" s="351"/>
      <c r="F256" s="351">
        <v>7.0</v>
      </c>
      <c r="G256" s="351"/>
      <c r="H256" s="351"/>
      <c r="I256" s="548"/>
      <c r="J256" s="548"/>
    </row>
    <row r="257">
      <c r="A257" s="351" t="s">
        <v>4038</v>
      </c>
      <c r="B257" s="351" t="str">
        <f>IFERROR(__xludf.DUMMYFUNCTION("split(A257,"" "")"),"FAIRFIELD")</f>
        <v>FAIRFIELD</v>
      </c>
      <c r="C257" s="850" t="str">
        <f>IFERROR(__xludf.DUMMYFUNCTION("""COMPUTED_VALUE"""),"COUNTY")</f>
        <v>COUNTY</v>
      </c>
      <c r="D257" s="548" t="str">
        <f>IFERROR(__xludf.DUMMYFUNCTION("""COMPUTED_VALUE"""),"DSS")</f>
        <v>DSS</v>
      </c>
      <c r="E257" s="351"/>
      <c r="F257" s="351">
        <v>7.0</v>
      </c>
      <c r="G257" s="548"/>
      <c r="H257" s="351"/>
      <c r="I257" s="548"/>
      <c r="J257" s="548"/>
    </row>
    <row r="258">
      <c r="A258" s="351" t="s">
        <v>4039</v>
      </c>
      <c r="B258" s="351" t="str">
        <f>IFERROR(__xludf.DUMMYFUNCTION("split(A258,"" "")"),"KERSHAW")</f>
        <v>KERSHAW</v>
      </c>
      <c r="C258" s="850" t="str">
        <f>IFERROR(__xludf.DUMMYFUNCTION("""COMPUTED_VALUE"""),"COUNTY")</f>
        <v>COUNTY</v>
      </c>
      <c r="D258" s="548" t="str">
        <f>IFERROR(__xludf.DUMMYFUNCTION("""COMPUTED_VALUE"""),"DSS")</f>
        <v>DSS</v>
      </c>
      <c r="E258" s="351"/>
      <c r="F258" s="351">
        <v>45.0</v>
      </c>
      <c r="G258" s="351"/>
      <c r="H258" s="351"/>
      <c r="I258" s="548"/>
      <c r="J258" s="548"/>
    </row>
    <row r="259">
      <c r="A259" s="351" t="s">
        <v>4040</v>
      </c>
      <c r="B259" s="351" t="str">
        <f>IFERROR(__xludf.DUMMYFUNCTION("split(A259,"" "")"),"LANCASTER")</f>
        <v>LANCASTER</v>
      </c>
      <c r="C259" s="850" t="str">
        <f>IFERROR(__xludf.DUMMYFUNCTION("""COMPUTED_VALUE"""),"COUNTY")</f>
        <v>COUNTY</v>
      </c>
      <c r="D259" s="548" t="str">
        <f>IFERROR(__xludf.DUMMYFUNCTION("""COMPUTED_VALUE"""),"DSS")</f>
        <v>DSS</v>
      </c>
      <c r="E259" s="351"/>
      <c r="F259" s="351">
        <v>32.0</v>
      </c>
      <c r="G259" s="351"/>
      <c r="H259" s="351"/>
      <c r="I259" s="548"/>
      <c r="J259" s="548"/>
    </row>
    <row r="260">
      <c r="A260" s="351" t="s">
        <v>4041</v>
      </c>
      <c r="B260" s="351" t="str">
        <f>IFERROR(__xludf.DUMMYFUNCTION("split(A260,"" "")"),"LEXINGTON")</f>
        <v>LEXINGTON</v>
      </c>
      <c r="C260" s="850" t="str">
        <f>IFERROR(__xludf.DUMMYFUNCTION("""COMPUTED_VALUE"""),"COUNTY")</f>
        <v>COUNTY</v>
      </c>
      <c r="D260" s="548" t="str">
        <f>IFERROR(__xludf.DUMMYFUNCTION("""COMPUTED_VALUE"""),"DSS")</f>
        <v>DSS</v>
      </c>
      <c r="E260" s="351"/>
      <c r="F260" s="351">
        <v>74.0</v>
      </c>
      <c r="G260" s="351"/>
      <c r="H260" s="351"/>
      <c r="I260" s="351"/>
      <c r="J260" s="548"/>
    </row>
    <row r="261">
      <c r="A261" s="351" t="s">
        <v>4042</v>
      </c>
      <c r="B261" s="351" t="str">
        <f>IFERROR(__xludf.DUMMYFUNCTION("split(A261,"" "")"),"MCCORMICK")</f>
        <v>MCCORMICK</v>
      </c>
      <c r="C261" s="850" t="str">
        <f>IFERROR(__xludf.DUMMYFUNCTION("""COMPUTED_VALUE"""),"COUNTY")</f>
        <v>COUNTY</v>
      </c>
      <c r="D261" s="548" t="str">
        <f>IFERROR(__xludf.DUMMYFUNCTION("""COMPUTED_VALUE"""),"DSS")</f>
        <v>DSS</v>
      </c>
      <c r="E261" s="351"/>
      <c r="F261" s="351">
        <v>1.0</v>
      </c>
      <c r="G261" s="351"/>
      <c r="H261" s="351"/>
      <c r="I261" s="351"/>
      <c r="J261" s="351"/>
    </row>
    <row r="262">
      <c r="A262" s="351" t="s">
        <v>4043</v>
      </c>
      <c r="B262" s="351" t="str">
        <f>IFERROR(__xludf.DUMMYFUNCTION("split(A262,"" "")"),"RICHLAND")</f>
        <v>RICHLAND</v>
      </c>
      <c r="C262" s="850" t="str">
        <f>IFERROR(__xludf.DUMMYFUNCTION("""COMPUTED_VALUE"""),"COUNTY")</f>
        <v>COUNTY</v>
      </c>
      <c r="D262" s="548" t="str">
        <f>IFERROR(__xludf.DUMMYFUNCTION("""COMPUTED_VALUE"""),"DSS")</f>
        <v>DSS</v>
      </c>
      <c r="E262" s="351"/>
      <c r="F262" s="351">
        <v>180.0</v>
      </c>
      <c r="G262" s="351"/>
      <c r="H262" s="548"/>
      <c r="I262" s="548"/>
      <c r="J262" s="548"/>
    </row>
    <row r="263">
      <c r="A263" s="351" t="s">
        <v>4044</v>
      </c>
      <c r="B263" s="351" t="str">
        <f>IFERROR(__xludf.DUMMYFUNCTION("split(A263,"" "")"),"SALUDA")</f>
        <v>SALUDA</v>
      </c>
      <c r="C263" s="850" t="str">
        <f>IFERROR(__xludf.DUMMYFUNCTION("""COMPUTED_VALUE"""),"COUNTY")</f>
        <v>COUNTY</v>
      </c>
      <c r="D263" s="548" t="str">
        <f>IFERROR(__xludf.DUMMYFUNCTION("""COMPUTED_VALUE"""),"DSS")</f>
        <v>DSS</v>
      </c>
      <c r="E263" s="351"/>
      <c r="F263" s="351">
        <v>8.0</v>
      </c>
      <c r="G263" s="351"/>
      <c r="H263" s="351"/>
      <c r="I263" s="351"/>
      <c r="J263" s="351"/>
    </row>
    <row r="264">
      <c r="A264" s="351" t="s">
        <v>4045</v>
      </c>
      <c r="B264" s="351" t="str">
        <f>IFERROR(__xludf.DUMMYFUNCTION("split(A264,"" "")"),"YORK")</f>
        <v>YORK</v>
      </c>
      <c r="C264" s="850" t="str">
        <f>IFERROR(__xludf.DUMMYFUNCTION("""COMPUTED_VALUE"""),"COUNTY")</f>
        <v>COUNTY</v>
      </c>
      <c r="D264" s="548" t="str">
        <f>IFERROR(__xludf.DUMMYFUNCTION("""COMPUTED_VALUE"""),"DSS")</f>
        <v>DSS</v>
      </c>
      <c r="E264" s="351"/>
      <c r="F264" s="351">
        <v>50.0</v>
      </c>
      <c r="G264" s="351"/>
      <c r="H264" s="548"/>
      <c r="I264" s="548"/>
      <c r="J264" s="548"/>
    </row>
    <row r="265">
      <c r="A265" s="351" t="s">
        <v>4096</v>
      </c>
      <c r="B265" s="351" t="str">
        <f>IFERROR(__xludf.DUMMYFUNCTION("split(A265,"" "")"),"Pee")</f>
        <v>Pee</v>
      </c>
      <c r="C265" s="850" t="str">
        <f>IFERROR(__xludf.DUMMYFUNCTION("""COMPUTED_VALUE"""),"Dee")</f>
        <v>Dee</v>
      </c>
      <c r="D265" s="548"/>
      <c r="E265" s="351"/>
      <c r="F265" s="351">
        <v>221.0</v>
      </c>
      <c r="G265" s="351"/>
      <c r="H265" s="351"/>
      <c r="I265" s="351"/>
      <c r="J265" s="548"/>
    </row>
    <row r="266">
      <c r="A266" s="351" t="s">
        <v>4048</v>
      </c>
      <c r="B266" s="351" t="str">
        <f>IFERROR(__xludf.DUMMYFUNCTION("split(A266,"" "")"),"CHESTERFIELD")</f>
        <v>CHESTERFIELD</v>
      </c>
      <c r="C266" s="850" t="str">
        <f>IFERROR(__xludf.DUMMYFUNCTION("""COMPUTED_VALUE"""),"COUNTY")</f>
        <v>COUNTY</v>
      </c>
      <c r="D266" s="548" t="str">
        <f>IFERROR(__xludf.DUMMYFUNCTION("""COMPUTED_VALUE"""),"DSS")</f>
        <v>DSS</v>
      </c>
      <c r="E266" s="351"/>
      <c r="F266" s="351">
        <v>6.0</v>
      </c>
      <c r="G266" s="351"/>
      <c r="H266" s="351"/>
      <c r="I266" s="351"/>
      <c r="J266" s="351"/>
    </row>
    <row r="267">
      <c r="A267" s="351" t="s">
        <v>4049</v>
      </c>
      <c r="B267" s="351" t="str">
        <f>IFERROR(__xludf.DUMMYFUNCTION("split(A267,"" "")"),"CLARENDON")</f>
        <v>CLARENDON</v>
      </c>
      <c r="C267" s="850" t="str">
        <f>IFERROR(__xludf.DUMMYFUNCTION("""COMPUTED_VALUE"""),"COUNTY")</f>
        <v>COUNTY</v>
      </c>
      <c r="D267" s="548" t="str">
        <f>IFERROR(__xludf.DUMMYFUNCTION("""COMPUTED_VALUE"""),"DSS")</f>
        <v>DSS</v>
      </c>
      <c r="E267" s="351"/>
      <c r="F267" s="351">
        <v>12.0</v>
      </c>
      <c r="G267" s="351"/>
      <c r="H267" s="351"/>
      <c r="I267" s="351"/>
      <c r="J267" s="548"/>
    </row>
    <row r="268">
      <c r="A268" s="351" t="s">
        <v>4050</v>
      </c>
      <c r="B268" s="351" t="str">
        <f>IFERROR(__xludf.DUMMYFUNCTION("split(A268,"" "")"),"DARLINGTON")</f>
        <v>DARLINGTON</v>
      </c>
      <c r="C268" s="850" t="str">
        <f>IFERROR(__xludf.DUMMYFUNCTION("""COMPUTED_VALUE"""),"COUNTY")</f>
        <v>COUNTY</v>
      </c>
      <c r="D268" s="548" t="str">
        <f>IFERROR(__xludf.DUMMYFUNCTION("""COMPUTED_VALUE"""),"DSS")</f>
        <v>DSS</v>
      </c>
      <c r="E268" s="351"/>
      <c r="F268" s="351">
        <v>37.0</v>
      </c>
      <c r="G268" s="351"/>
      <c r="H268" s="351"/>
      <c r="I268" s="351"/>
      <c r="J268" s="548"/>
    </row>
    <row r="269">
      <c r="A269" s="351" t="s">
        <v>4051</v>
      </c>
      <c r="B269" s="351" t="str">
        <f>IFERROR(__xludf.DUMMYFUNCTION("split(A269,"" "")"),"DILLON")</f>
        <v>DILLON</v>
      </c>
      <c r="C269" s="850" t="str">
        <f>IFERROR(__xludf.DUMMYFUNCTION("""COMPUTED_VALUE"""),"COUNTY")</f>
        <v>COUNTY</v>
      </c>
      <c r="D269" s="548" t="str">
        <f>IFERROR(__xludf.DUMMYFUNCTION("""COMPUTED_VALUE"""),"DSS")</f>
        <v>DSS</v>
      </c>
      <c r="E269" s="351"/>
      <c r="F269" s="351">
        <v>21.0</v>
      </c>
      <c r="G269" s="351"/>
      <c r="H269" s="351"/>
      <c r="I269" s="351"/>
      <c r="J269" s="351"/>
    </row>
    <row r="270">
      <c r="A270" s="351" t="s">
        <v>4052</v>
      </c>
      <c r="B270" s="351" t="str">
        <f>IFERROR(__xludf.DUMMYFUNCTION("split(A270,"" "")"),"FLORENCE")</f>
        <v>FLORENCE</v>
      </c>
      <c r="C270" s="850" t="str">
        <f>IFERROR(__xludf.DUMMYFUNCTION("""COMPUTED_VALUE"""),"COUNTY")</f>
        <v>COUNTY</v>
      </c>
      <c r="D270" s="548" t="str">
        <f>IFERROR(__xludf.DUMMYFUNCTION("""COMPUTED_VALUE"""),"DSS")</f>
        <v>DSS</v>
      </c>
      <c r="E270" s="351"/>
      <c r="F270" s="351">
        <v>26.0</v>
      </c>
      <c r="G270" s="351"/>
      <c r="H270" s="351"/>
      <c r="I270" s="548"/>
      <c r="J270" s="548"/>
    </row>
    <row r="271">
      <c r="A271" s="351" t="s">
        <v>4053</v>
      </c>
      <c r="B271" s="351" t="str">
        <f>IFERROR(__xludf.DUMMYFUNCTION("split(A271,"" "")"),"GEORGETOWN")</f>
        <v>GEORGETOWN</v>
      </c>
      <c r="C271" s="850" t="str">
        <f>IFERROR(__xludf.DUMMYFUNCTION("""COMPUTED_VALUE"""),"COUNTY")</f>
        <v>COUNTY</v>
      </c>
      <c r="D271" s="548" t="str">
        <f>IFERROR(__xludf.DUMMYFUNCTION("""COMPUTED_VALUE"""),"DSS")</f>
        <v>DSS</v>
      </c>
      <c r="E271" s="351"/>
      <c r="F271" s="351">
        <v>6.0</v>
      </c>
      <c r="G271" s="351"/>
      <c r="H271" s="351"/>
      <c r="I271" s="351"/>
      <c r="J271" s="351"/>
    </row>
    <row r="272">
      <c r="A272" s="351" t="s">
        <v>4054</v>
      </c>
      <c r="B272" s="351" t="str">
        <f>IFERROR(__xludf.DUMMYFUNCTION("split(A272,"" "")"),"HORRY")</f>
        <v>HORRY</v>
      </c>
      <c r="C272" s="850" t="str">
        <f>IFERROR(__xludf.DUMMYFUNCTION("""COMPUTED_VALUE"""),"COUNTY")</f>
        <v>COUNTY</v>
      </c>
      <c r="D272" s="548" t="str">
        <f>IFERROR(__xludf.DUMMYFUNCTION("""COMPUTED_VALUE"""),"DSS")</f>
        <v>DSS</v>
      </c>
      <c r="E272" s="351"/>
      <c r="F272" s="351">
        <v>58.0</v>
      </c>
      <c r="G272" s="351"/>
      <c r="H272" s="351"/>
      <c r="I272" s="548"/>
      <c r="J272" s="548"/>
    </row>
    <row r="273">
      <c r="A273" s="351" t="s">
        <v>4055</v>
      </c>
      <c r="B273" s="351" t="str">
        <f>IFERROR(__xludf.DUMMYFUNCTION("split(A273,"" "")"),"LEE")</f>
        <v>LEE</v>
      </c>
      <c r="C273" s="850" t="str">
        <f>IFERROR(__xludf.DUMMYFUNCTION("""COMPUTED_VALUE"""),"COUNTY")</f>
        <v>COUNTY</v>
      </c>
      <c r="D273" s="548" t="str">
        <f>IFERROR(__xludf.DUMMYFUNCTION("""COMPUTED_VALUE"""),"DSS")</f>
        <v>DSS</v>
      </c>
      <c r="E273" s="351"/>
      <c r="F273" s="351">
        <v>10.0</v>
      </c>
      <c r="G273" s="351"/>
      <c r="H273" s="351"/>
      <c r="I273" s="351"/>
      <c r="J273" s="351"/>
    </row>
    <row r="274">
      <c r="A274" s="351" t="s">
        <v>4056</v>
      </c>
      <c r="B274" s="351" t="str">
        <f>IFERROR(__xludf.DUMMYFUNCTION("split(A274,"" "")"),"MARION")</f>
        <v>MARION</v>
      </c>
      <c r="C274" s="850" t="str">
        <f>IFERROR(__xludf.DUMMYFUNCTION("""COMPUTED_VALUE"""),"COUNTY")</f>
        <v>COUNTY</v>
      </c>
      <c r="D274" s="548" t="str">
        <f>IFERROR(__xludf.DUMMYFUNCTION("""COMPUTED_VALUE"""),"DSS")</f>
        <v>DSS</v>
      </c>
      <c r="E274" s="351"/>
      <c r="F274" s="351">
        <v>14.0</v>
      </c>
      <c r="G274" s="351"/>
      <c r="H274" s="351"/>
      <c r="I274" s="548"/>
      <c r="J274" s="548"/>
    </row>
    <row r="275">
      <c r="A275" s="351" t="s">
        <v>4057</v>
      </c>
      <c r="B275" s="351" t="str">
        <f>IFERROR(__xludf.DUMMYFUNCTION("split(A275,"" "")"),"MARLBORO")</f>
        <v>MARLBORO</v>
      </c>
      <c r="C275" s="850" t="str">
        <f>IFERROR(__xludf.DUMMYFUNCTION("""COMPUTED_VALUE"""),"COUNTY")</f>
        <v>COUNTY</v>
      </c>
      <c r="D275" s="548" t="str">
        <f>IFERROR(__xludf.DUMMYFUNCTION("""COMPUTED_VALUE"""),"DSS")</f>
        <v>DSS</v>
      </c>
      <c r="E275" s="351"/>
      <c r="F275" s="351">
        <v>9.0</v>
      </c>
      <c r="G275" s="351"/>
      <c r="H275" s="351"/>
      <c r="I275" s="548"/>
      <c r="J275" s="548"/>
    </row>
    <row r="276">
      <c r="A276" s="351" t="s">
        <v>4058</v>
      </c>
      <c r="B276" s="351" t="str">
        <f>IFERROR(__xludf.DUMMYFUNCTION("split(A276,"" "")"),"SUMTER")</f>
        <v>SUMTER</v>
      </c>
      <c r="C276" s="850" t="str">
        <f>IFERROR(__xludf.DUMMYFUNCTION("""COMPUTED_VALUE"""),"COUNTY")</f>
        <v>COUNTY</v>
      </c>
      <c r="D276" s="548" t="str">
        <f>IFERROR(__xludf.DUMMYFUNCTION("""COMPUTED_VALUE"""),"DSS")</f>
        <v>DSS</v>
      </c>
      <c r="E276" s="351"/>
      <c r="F276" s="351">
        <v>17.0</v>
      </c>
      <c r="G276" s="548"/>
      <c r="H276" s="351"/>
      <c r="I276" s="548"/>
      <c r="J276" s="548"/>
    </row>
    <row r="277">
      <c r="A277" s="351" t="s">
        <v>4059</v>
      </c>
      <c r="B277" s="351" t="str">
        <f>IFERROR(__xludf.DUMMYFUNCTION("split(A277,"" "")"),"WILLIAMSBURG")</f>
        <v>WILLIAMSBURG</v>
      </c>
      <c r="C277" s="850" t="str">
        <f>IFERROR(__xludf.DUMMYFUNCTION("""COMPUTED_VALUE"""),"COUNTY")</f>
        <v>COUNTY</v>
      </c>
      <c r="D277" s="548" t="str">
        <f>IFERROR(__xludf.DUMMYFUNCTION("""COMPUTED_VALUE"""),"DSS")</f>
        <v>DSS</v>
      </c>
      <c r="E277" s="351"/>
      <c r="F277" s="351">
        <v>5.0</v>
      </c>
      <c r="G277" s="351"/>
      <c r="H277" s="351"/>
      <c r="I277" s="351"/>
      <c r="J277" s="548"/>
    </row>
    <row r="278">
      <c r="A278" s="351" t="s">
        <v>4103</v>
      </c>
      <c r="B278" s="351" t="str">
        <f>IFERROR(__xludf.DUMMYFUNCTION("split(A278,"" "")"),"Upstate")</f>
        <v>Upstate</v>
      </c>
      <c r="C278" s="850"/>
      <c r="D278" s="548"/>
      <c r="E278" s="351"/>
      <c r="F278" s="351">
        <v>484.0</v>
      </c>
      <c r="G278" s="351"/>
      <c r="H278" s="351"/>
      <c r="I278" s="351"/>
      <c r="J278" s="548"/>
    </row>
    <row r="279">
      <c r="A279" s="351" t="s">
        <v>4060</v>
      </c>
      <c r="B279" s="351" t="str">
        <f>IFERROR(__xludf.DUMMYFUNCTION("split(A279,"" "")"),"ABBEVILLE")</f>
        <v>ABBEVILLE</v>
      </c>
      <c r="C279" s="850" t="str">
        <f>IFERROR(__xludf.DUMMYFUNCTION("""COMPUTED_VALUE"""),"COUNTY")</f>
        <v>COUNTY</v>
      </c>
      <c r="D279" s="548" t="str">
        <f>IFERROR(__xludf.DUMMYFUNCTION("""COMPUTED_VALUE"""),"DSS")</f>
        <v>DSS</v>
      </c>
      <c r="E279" s="351"/>
      <c r="F279" s="351">
        <v>10.0</v>
      </c>
      <c r="G279" s="351"/>
      <c r="H279" s="351"/>
      <c r="I279" s="351"/>
      <c r="J279" s="351"/>
    </row>
    <row r="280">
      <c r="A280" s="351" t="s">
        <v>4065</v>
      </c>
      <c r="B280" s="351" t="str">
        <f>IFERROR(__xludf.DUMMYFUNCTION("split(A280,"" "")"),"ANDERSON")</f>
        <v>ANDERSON</v>
      </c>
      <c r="C280" s="850" t="str">
        <f>IFERROR(__xludf.DUMMYFUNCTION("""COMPUTED_VALUE"""),"COUNTY")</f>
        <v>COUNTY</v>
      </c>
      <c r="D280" s="548" t="str">
        <f>IFERROR(__xludf.DUMMYFUNCTION("""COMPUTED_VALUE"""),"DSS")</f>
        <v>DSS</v>
      </c>
      <c r="E280" s="351"/>
      <c r="F280" s="351">
        <v>66.0</v>
      </c>
      <c r="G280" s="351"/>
      <c r="H280" s="351"/>
      <c r="I280" s="548"/>
      <c r="J280" s="548"/>
    </row>
    <row r="281">
      <c r="A281" s="351" t="s">
        <v>4066</v>
      </c>
      <c r="B281" s="351" t="str">
        <f>IFERROR(__xludf.DUMMYFUNCTION("split(A281,"" "")"),"CHEROKEE")</f>
        <v>CHEROKEE</v>
      </c>
      <c r="C281" s="850" t="str">
        <f>IFERROR(__xludf.DUMMYFUNCTION("""COMPUTED_VALUE"""),"COUNTY")</f>
        <v>COUNTY</v>
      </c>
      <c r="D281" s="548" t="str">
        <f>IFERROR(__xludf.DUMMYFUNCTION("""COMPUTED_VALUE"""),"DSS")</f>
        <v>DSS</v>
      </c>
      <c r="E281" s="351"/>
      <c r="F281" s="351">
        <v>26.0</v>
      </c>
      <c r="G281" s="351"/>
      <c r="H281" s="351"/>
      <c r="I281" s="351"/>
      <c r="J281" s="548"/>
    </row>
    <row r="282">
      <c r="A282" s="351" t="s">
        <v>4067</v>
      </c>
      <c r="B282" s="351" t="str">
        <f>IFERROR(__xludf.DUMMYFUNCTION("split(A282,"" "")"),"GREENVILLE")</f>
        <v>GREENVILLE</v>
      </c>
      <c r="C282" s="850" t="str">
        <f>IFERROR(__xludf.DUMMYFUNCTION("""COMPUTED_VALUE"""),"COUNTY")</f>
        <v>COUNTY</v>
      </c>
      <c r="D282" s="548" t="str">
        <f>IFERROR(__xludf.DUMMYFUNCTION("""COMPUTED_VALUE"""),"DSS")</f>
        <v>DSS</v>
      </c>
      <c r="E282" s="351"/>
      <c r="F282" s="351">
        <v>111.0</v>
      </c>
      <c r="G282" s="351"/>
      <c r="H282" s="351"/>
      <c r="I282" s="351"/>
      <c r="J282" s="351"/>
    </row>
    <row r="283">
      <c r="A283" s="351" t="s">
        <v>4068</v>
      </c>
      <c r="B283" s="351" t="str">
        <f>IFERROR(__xludf.DUMMYFUNCTION("split(A283,"" "")"),"GREENWOOD")</f>
        <v>GREENWOOD</v>
      </c>
      <c r="C283" s="850" t="str">
        <f>IFERROR(__xludf.DUMMYFUNCTION("""COMPUTED_VALUE"""),"COUNTY")</f>
        <v>COUNTY</v>
      </c>
      <c r="D283" s="548" t="str">
        <f>IFERROR(__xludf.DUMMYFUNCTION("""COMPUTED_VALUE"""),"DSS")</f>
        <v>DSS</v>
      </c>
      <c r="E283" s="351"/>
      <c r="F283" s="351">
        <v>40.0</v>
      </c>
      <c r="G283" s="351"/>
      <c r="H283" s="351"/>
      <c r="I283" s="351"/>
      <c r="J283" s="351"/>
    </row>
    <row r="284">
      <c r="A284" s="351" t="s">
        <v>4069</v>
      </c>
      <c r="B284" s="351" t="str">
        <f>IFERROR(__xludf.DUMMYFUNCTION("split(A284,"" "")"),"LAURENS")</f>
        <v>LAURENS</v>
      </c>
      <c r="C284" s="850" t="str">
        <f>IFERROR(__xludf.DUMMYFUNCTION("""COMPUTED_VALUE"""),"COUNTY")</f>
        <v>COUNTY</v>
      </c>
      <c r="D284" s="548" t="str">
        <f>IFERROR(__xludf.DUMMYFUNCTION("""COMPUTED_VALUE"""),"DSS")</f>
        <v>DSS</v>
      </c>
      <c r="E284" s="351"/>
      <c r="F284" s="351">
        <v>82.0</v>
      </c>
      <c r="G284" s="351"/>
      <c r="H284" s="351"/>
      <c r="I284" s="548"/>
      <c r="J284" s="351"/>
    </row>
    <row r="285">
      <c r="A285" s="351" t="s">
        <v>4070</v>
      </c>
      <c r="B285" s="351" t="str">
        <f>IFERROR(__xludf.DUMMYFUNCTION("split(A285,"" "")"),"NEWBERRY")</f>
        <v>NEWBERRY</v>
      </c>
      <c r="C285" s="850" t="str">
        <f>IFERROR(__xludf.DUMMYFUNCTION("""COMPUTED_VALUE"""),"COUNTY")</f>
        <v>COUNTY</v>
      </c>
      <c r="D285" s="548" t="str">
        <f>IFERROR(__xludf.DUMMYFUNCTION("""COMPUTED_VALUE"""),"DSS")</f>
        <v>DSS</v>
      </c>
      <c r="E285" s="351"/>
      <c r="F285" s="351">
        <v>9.0</v>
      </c>
      <c r="G285" s="351"/>
      <c r="H285" s="351"/>
      <c r="I285" s="351"/>
      <c r="J285" s="548"/>
    </row>
    <row r="286">
      <c r="A286" s="351" t="s">
        <v>4071</v>
      </c>
      <c r="B286" s="351" t="str">
        <f>IFERROR(__xludf.DUMMYFUNCTION("split(A286,"" "")"),"OCONEE")</f>
        <v>OCONEE</v>
      </c>
      <c r="C286" s="850" t="str">
        <f>IFERROR(__xludf.DUMMYFUNCTION("""COMPUTED_VALUE"""),"COUNTY")</f>
        <v>COUNTY</v>
      </c>
      <c r="D286" s="548" t="str">
        <f>IFERROR(__xludf.DUMMYFUNCTION("""COMPUTED_VALUE"""),"DSS")</f>
        <v>DSS</v>
      </c>
      <c r="E286" s="351"/>
      <c r="F286" s="351">
        <v>21.0</v>
      </c>
      <c r="G286" s="351"/>
      <c r="H286" s="351"/>
      <c r="I286" s="548"/>
      <c r="J286" s="548"/>
    </row>
    <row r="287">
      <c r="A287" s="351" t="s">
        <v>4072</v>
      </c>
      <c r="B287" s="351" t="str">
        <f>IFERROR(__xludf.DUMMYFUNCTION("split(A287,"" "")"),"PICKENS")</f>
        <v>PICKENS</v>
      </c>
      <c r="C287" s="850" t="str">
        <f>IFERROR(__xludf.DUMMYFUNCTION("""COMPUTED_VALUE"""),"COUNTY")</f>
        <v>COUNTY</v>
      </c>
      <c r="D287" s="548" t="str">
        <f>IFERROR(__xludf.DUMMYFUNCTION("""COMPUTED_VALUE"""),"DSS")</f>
        <v>DSS</v>
      </c>
      <c r="E287" s="351"/>
      <c r="F287" s="351">
        <v>21.0</v>
      </c>
      <c r="G287" s="351"/>
      <c r="H287" s="351"/>
      <c r="I287" s="548"/>
      <c r="J287" s="548"/>
    </row>
    <row r="288">
      <c r="A288" s="351" t="s">
        <v>4073</v>
      </c>
      <c r="B288" s="351" t="str">
        <f>IFERROR(__xludf.DUMMYFUNCTION("split(A288,"" "")"),"SPARTANBURG")</f>
        <v>SPARTANBURG</v>
      </c>
      <c r="C288" s="850" t="str">
        <f>IFERROR(__xludf.DUMMYFUNCTION("""COMPUTED_VALUE"""),"COUNTY")</f>
        <v>COUNTY</v>
      </c>
      <c r="D288" s="548" t="str">
        <f>IFERROR(__xludf.DUMMYFUNCTION("""COMPUTED_VALUE"""),"DSS")</f>
        <v>DSS</v>
      </c>
      <c r="E288" s="351"/>
      <c r="F288" s="351">
        <v>90.0</v>
      </c>
      <c r="G288" s="351"/>
      <c r="H288" s="351"/>
      <c r="I288" s="351"/>
      <c r="J288" s="548"/>
    </row>
    <row r="289">
      <c r="A289" s="351" t="s">
        <v>4074</v>
      </c>
      <c r="B289" s="351" t="str">
        <f>IFERROR(__xludf.DUMMYFUNCTION("split(A289,"" "")"),"UNION")</f>
        <v>UNION</v>
      </c>
      <c r="C289" s="850" t="str">
        <f>IFERROR(__xludf.DUMMYFUNCTION("""COMPUTED_VALUE"""),"COUNTY")</f>
        <v>COUNTY</v>
      </c>
      <c r="D289" s="548" t="str">
        <f>IFERROR(__xludf.DUMMYFUNCTION("""COMPUTED_VALUE"""),"DSS")</f>
        <v>DSS</v>
      </c>
      <c r="E289" s="351"/>
      <c r="F289" s="351">
        <v>8.0</v>
      </c>
      <c r="G289" s="351"/>
      <c r="H289" s="351"/>
      <c r="I289" s="351"/>
      <c r="J289" s="351"/>
    </row>
    <row r="290">
      <c r="A290" s="351" t="s">
        <v>923</v>
      </c>
      <c r="B290" s="351" t="str">
        <f>IFERROR(__xludf.DUMMYFUNCTION("split(A290,"" "")"),"Total")</f>
        <v>Total</v>
      </c>
      <c r="C290" s="850"/>
      <c r="D290" s="548"/>
      <c r="E290" s="351"/>
      <c r="F290" s="351">
        <v>1538.0</v>
      </c>
      <c r="G290" s="548"/>
      <c r="H290" s="351"/>
      <c r="I290" s="351"/>
      <c r="J290" s="351"/>
    </row>
    <row r="291">
      <c r="A291" s="351"/>
      <c r="B291" s="351"/>
      <c r="C291" s="850"/>
      <c r="D291" s="548"/>
      <c r="E291" s="351"/>
      <c r="F291" s="351"/>
      <c r="G291" s="351"/>
      <c r="H291" s="548"/>
      <c r="I291" s="351"/>
      <c r="J291" s="351"/>
    </row>
    <row r="292">
      <c r="A292" s="548"/>
      <c r="B292" s="351"/>
      <c r="C292" s="850"/>
      <c r="D292" s="548"/>
      <c r="E292" s="548"/>
      <c r="F292" s="351"/>
      <c r="G292" s="351"/>
      <c r="H292" s="548"/>
      <c r="I292" s="351"/>
      <c r="J292" s="351"/>
    </row>
    <row r="293">
      <c r="A293" s="351"/>
      <c r="B293" s="351"/>
      <c r="C293" s="850"/>
      <c r="D293" s="548"/>
      <c r="E293" s="351"/>
      <c r="F293" s="351"/>
      <c r="G293" s="351"/>
      <c r="H293" s="351"/>
      <c r="I293" s="351"/>
      <c r="J293" s="351"/>
    </row>
    <row r="297">
      <c r="A297" s="196" t="s">
        <v>2428</v>
      </c>
      <c r="B297" s="197"/>
      <c r="C297" s="197"/>
      <c r="D297" s="198" t="s">
        <v>765</v>
      </c>
      <c r="E297" s="198" t="s">
        <v>3997</v>
      </c>
      <c r="F297" s="197"/>
      <c r="G297" s="197"/>
      <c r="H297" s="198" t="s">
        <v>767</v>
      </c>
      <c r="I297" s="1259">
        <v>45455.0</v>
      </c>
      <c r="J297" s="198" t="s">
        <v>769</v>
      </c>
      <c r="K297" s="1280" t="s">
        <v>4132</v>
      </c>
      <c r="L297" s="589"/>
    </row>
    <row r="299">
      <c r="A299" s="351" t="s">
        <v>3893</v>
      </c>
      <c r="B299" s="351" t="s">
        <v>4133</v>
      </c>
      <c r="C299" s="351" t="s">
        <v>4134</v>
      </c>
      <c r="D299" s="351" t="s">
        <v>4135</v>
      </c>
    </row>
    <row r="300">
      <c r="A300" s="548"/>
      <c r="B300" s="548"/>
      <c r="C300" s="548"/>
      <c r="D300" s="548"/>
    </row>
    <row r="301">
      <c r="A301" s="351" t="s">
        <v>4136</v>
      </c>
      <c r="B301" s="548"/>
      <c r="C301" s="548"/>
      <c r="D301" s="640">
        <v>0.752</v>
      </c>
    </row>
    <row r="302">
      <c r="A302" s="351" t="s">
        <v>3671</v>
      </c>
      <c r="B302" s="851">
        <v>1755.0</v>
      </c>
      <c r="C302" s="851">
        <v>1292.0</v>
      </c>
      <c r="D302" s="640">
        <v>0.736</v>
      </c>
    </row>
    <row r="303">
      <c r="A303" s="351" t="s">
        <v>4146</v>
      </c>
      <c r="B303" s="351">
        <v>432.0</v>
      </c>
      <c r="C303" s="351">
        <v>326.0</v>
      </c>
      <c r="D303" s="640">
        <v>0.755</v>
      </c>
    </row>
    <row r="304">
      <c r="A304" s="351" t="s">
        <v>316</v>
      </c>
      <c r="B304" s="351">
        <v>11.0</v>
      </c>
      <c r="C304" s="351">
        <v>11.0</v>
      </c>
      <c r="D304" s="640">
        <v>1.0</v>
      </c>
    </row>
    <row r="305">
      <c r="A305" s="351" t="s">
        <v>160</v>
      </c>
      <c r="B305" s="351">
        <v>15.0</v>
      </c>
      <c r="C305" s="351">
        <v>14.0</v>
      </c>
      <c r="D305" s="640">
        <v>0.933</v>
      </c>
    </row>
    <row r="306">
      <c r="A306" s="351" t="s">
        <v>977</v>
      </c>
      <c r="B306" s="351">
        <v>25.0</v>
      </c>
      <c r="C306" s="351">
        <v>22.0</v>
      </c>
      <c r="D306" s="640">
        <v>0.88</v>
      </c>
    </row>
    <row r="307">
      <c r="A307" s="351" t="s">
        <v>1813</v>
      </c>
      <c r="B307" s="351">
        <v>14.0</v>
      </c>
      <c r="C307" s="351">
        <v>12.0</v>
      </c>
      <c r="D307" s="640">
        <v>0.857</v>
      </c>
    </row>
    <row r="308">
      <c r="A308" s="351" t="s">
        <v>1828</v>
      </c>
      <c r="B308" s="351">
        <v>125.0</v>
      </c>
      <c r="C308" s="351">
        <v>106.0</v>
      </c>
      <c r="D308" s="640">
        <v>0.848</v>
      </c>
    </row>
    <row r="309">
      <c r="A309" s="351" t="s">
        <v>101</v>
      </c>
      <c r="B309" s="351">
        <v>16.0</v>
      </c>
      <c r="C309" s="351">
        <v>13.0</v>
      </c>
      <c r="D309" s="640">
        <v>0.813</v>
      </c>
    </row>
    <row r="310">
      <c r="A310" s="351" t="s">
        <v>614</v>
      </c>
      <c r="B310" s="351">
        <v>23.0</v>
      </c>
      <c r="C310" s="351">
        <v>18.0</v>
      </c>
      <c r="D310" s="640">
        <v>0.783</v>
      </c>
    </row>
    <row r="311">
      <c r="A311" s="351" t="s">
        <v>1838</v>
      </c>
      <c r="B311" s="351">
        <v>86.0</v>
      </c>
      <c r="C311" s="351">
        <v>60.0</v>
      </c>
      <c r="D311" s="640">
        <v>0.698</v>
      </c>
    </row>
    <row r="312">
      <c r="A312" s="351" t="s">
        <v>601</v>
      </c>
      <c r="B312" s="351">
        <v>47.0</v>
      </c>
      <c r="C312" s="351">
        <v>32.0</v>
      </c>
      <c r="D312" s="640">
        <v>0.681</v>
      </c>
    </row>
    <row r="313">
      <c r="A313" s="351" t="s">
        <v>1835</v>
      </c>
      <c r="B313" s="351">
        <v>14.0</v>
      </c>
      <c r="C313" s="351">
        <v>9.0</v>
      </c>
      <c r="D313" s="640">
        <v>0.643</v>
      </c>
    </row>
    <row r="314">
      <c r="A314" s="351" t="s">
        <v>954</v>
      </c>
      <c r="B314" s="351">
        <v>56.0</v>
      </c>
      <c r="C314" s="351">
        <v>29.0</v>
      </c>
      <c r="D314" s="640">
        <v>0.518</v>
      </c>
    </row>
    <row r="315">
      <c r="A315" s="351" t="s">
        <v>4147</v>
      </c>
      <c r="B315" s="351">
        <v>644.0</v>
      </c>
      <c r="C315" s="351">
        <v>438.0</v>
      </c>
      <c r="D315" s="640">
        <v>0.68</v>
      </c>
    </row>
    <row r="316">
      <c r="A316" s="351" t="s">
        <v>1825</v>
      </c>
      <c r="B316" s="351">
        <v>7.0</v>
      </c>
      <c r="C316" s="351">
        <v>7.0</v>
      </c>
      <c r="D316" s="640">
        <v>1.0</v>
      </c>
    </row>
    <row r="317">
      <c r="A317" s="351" t="s">
        <v>1833</v>
      </c>
      <c r="B317" s="351">
        <v>4.0</v>
      </c>
      <c r="C317" s="351">
        <v>4.0</v>
      </c>
      <c r="D317" s="640">
        <v>1.0</v>
      </c>
    </row>
    <row r="318">
      <c r="A318" s="351" t="s">
        <v>1789</v>
      </c>
      <c r="B318" s="351">
        <v>17.0</v>
      </c>
      <c r="C318" s="351">
        <v>15.0</v>
      </c>
      <c r="D318" s="640">
        <v>0.882</v>
      </c>
    </row>
    <row r="319">
      <c r="A319" s="351" t="s">
        <v>442</v>
      </c>
      <c r="B319" s="351">
        <v>9.0</v>
      </c>
      <c r="C319" s="351">
        <v>7.0</v>
      </c>
      <c r="D319" s="640">
        <v>0.778</v>
      </c>
    </row>
    <row r="320">
      <c r="A320" s="351" t="s">
        <v>1837</v>
      </c>
      <c r="B320" s="351">
        <v>9.0</v>
      </c>
      <c r="C320" s="351">
        <v>7.0</v>
      </c>
      <c r="D320" s="640">
        <v>0.778</v>
      </c>
    </row>
    <row r="321">
      <c r="A321" s="351" t="s">
        <v>650</v>
      </c>
      <c r="B321" s="351">
        <v>28.0</v>
      </c>
      <c r="C321" s="351">
        <v>21.0</v>
      </c>
      <c r="D321" s="640">
        <v>0.75</v>
      </c>
    </row>
    <row r="322">
      <c r="A322" s="351" t="s">
        <v>743</v>
      </c>
      <c r="B322" s="351">
        <v>324.0</v>
      </c>
      <c r="C322" s="351">
        <v>223.0</v>
      </c>
      <c r="D322" s="640">
        <v>0.688</v>
      </c>
    </row>
    <row r="323">
      <c r="A323" s="351" t="s">
        <v>1831</v>
      </c>
      <c r="B323" s="351">
        <v>35.0</v>
      </c>
      <c r="C323" s="351">
        <v>24.0</v>
      </c>
      <c r="D323" s="640">
        <v>0.686</v>
      </c>
    </row>
    <row r="324">
      <c r="A324" s="351" t="s">
        <v>1817</v>
      </c>
      <c r="B324" s="351">
        <v>9.0</v>
      </c>
      <c r="C324" s="351">
        <v>6.0</v>
      </c>
      <c r="D324" s="640">
        <v>0.667</v>
      </c>
    </row>
    <row r="325">
      <c r="A325" s="351" t="s">
        <v>1196</v>
      </c>
      <c r="B325" s="351">
        <v>78.0</v>
      </c>
      <c r="C325" s="351">
        <v>50.0</v>
      </c>
      <c r="D325" s="640">
        <v>0.641</v>
      </c>
    </row>
    <row r="326">
      <c r="A326" s="351" t="s">
        <v>1832</v>
      </c>
      <c r="B326" s="351">
        <v>75.0</v>
      </c>
      <c r="C326" s="351">
        <v>47.0</v>
      </c>
      <c r="D326" s="640">
        <v>0.627</v>
      </c>
    </row>
    <row r="327">
      <c r="A327" s="351" t="s">
        <v>1814</v>
      </c>
      <c r="B327" s="351">
        <v>40.0</v>
      </c>
      <c r="C327" s="351">
        <v>25.0</v>
      </c>
      <c r="D327" s="640">
        <v>0.625</v>
      </c>
    </row>
    <row r="328">
      <c r="A328" s="351" t="s">
        <v>1816</v>
      </c>
      <c r="B328" s="351">
        <v>9.0</v>
      </c>
      <c r="C328" s="351">
        <v>2.0</v>
      </c>
      <c r="D328" s="640">
        <v>0.222</v>
      </c>
    </row>
    <row r="329">
      <c r="A329" s="351" t="s">
        <v>4148</v>
      </c>
      <c r="B329" s="351">
        <v>337.0</v>
      </c>
      <c r="C329" s="351">
        <v>271.0</v>
      </c>
      <c r="D329" s="640">
        <v>0.804</v>
      </c>
    </row>
    <row r="330">
      <c r="A330" s="351" t="s">
        <v>1583</v>
      </c>
      <c r="B330" s="351">
        <v>25.0</v>
      </c>
      <c r="C330" s="351">
        <v>23.0</v>
      </c>
      <c r="D330" s="640">
        <v>0.92</v>
      </c>
    </row>
    <row r="331">
      <c r="A331" s="351" t="s">
        <v>1829</v>
      </c>
      <c r="B331" s="351">
        <v>11.0</v>
      </c>
      <c r="C331" s="351">
        <v>10.0</v>
      </c>
      <c r="D331" s="640">
        <v>0.909</v>
      </c>
    </row>
    <row r="332">
      <c r="A332" s="351" t="s">
        <v>1819</v>
      </c>
      <c r="B332" s="351">
        <v>120.0</v>
      </c>
      <c r="C332" s="351">
        <v>105.0</v>
      </c>
      <c r="D332" s="640">
        <v>0.875</v>
      </c>
    </row>
    <row r="333">
      <c r="A333" s="351" t="s">
        <v>1818</v>
      </c>
      <c r="B333" s="351">
        <v>89.0</v>
      </c>
      <c r="C333" s="351">
        <v>73.0</v>
      </c>
      <c r="D333" s="640">
        <v>0.82</v>
      </c>
    </row>
    <row r="334">
      <c r="A334" s="351" t="s">
        <v>1815</v>
      </c>
      <c r="B334" s="351">
        <v>5.0</v>
      </c>
      <c r="C334" s="351">
        <v>4.0</v>
      </c>
      <c r="D334" s="640">
        <v>0.8</v>
      </c>
    </row>
    <row r="335">
      <c r="A335" s="351" t="s">
        <v>1836</v>
      </c>
      <c r="B335" s="351">
        <v>43.0</v>
      </c>
      <c r="C335" s="351">
        <v>32.0</v>
      </c>
      <c r="D335" s="640">
        <v>0.744</v>
      </c>
    </row>
    <row r="336">
      <c r="A336" s="351" t="s">
        <v>1204</v>
      </c>
      <c r="B336" s="351">
        <v>25.0</v>
      </c>
      <c r="C336" s="351">
        <v>16.0</v>
      </c>
      <c r="D336" s="640">
        <v>0.64</v>
      </c>
    </row>
    <row r="337">
      <c r="A337" s="351" t="s">
        <v>593</v>
      </c>
      <c r="B337" s="351">
        <v>2.0</v>
      </c>
      <c r="C337" s="351">
        <v>1.0</v>
      </c>
      <c r="D337" s="640">
        <v>0.5</v>
      </c>
    </row>
    <row r="338">
      <c r="A338" s="351" t="s">
        <v>1822</v>
      </c>
      <c r="B338" s="351">
        <v>17.0</v>
      </c>
      <c r="C338" s="351">
        <v>7.0</v>
      </c>
      <c r="D338" s="640">
        <v>0.412</v>
      </c>
    </row>
    <row r="339">
      <c r="A339" s="351" t="s">
        <v>4149</v>
      </c>
      <c r="B339" s="351">
        <v>335.0</v>
      </c>
      <c r="C339" s="351">
        <v>256.0</v>
      </c>
      <c r="D339" s="640">
        <v>0.764</v>
      </c>
    </row>
    <row r="340">
      <c r="A340" s="351" t="s">
        <v>1824</v>
      </c>
      <c r="B340" s="351">
        <v>11.0</v>
      </c>
      <c r="C340" s="351">
        <v>11.0</v>
      </c>
      <c r="D340" s="640">
        <v>1.0</v>
      </c>
    </row>
    <row r="341">
      <c r="A341" s="351" t="s">
        <v>1834</v>
      </c>
      <c r="B341" s="351">
        <v>13.0</v>
      </c>
      <c r="C341" s="351">
        <v>12.0</v>
      </c>
      <c r="D341" s="640">
        <v>0.923</v>
      </c>
    </row>
    <row r="342">
      <c r="A342" s="351" t="s">
        <v>1827</v>
      </c>
      <c r="B342" s="351">
        <v>10.0</v>
      </c>
      <c r="C342" s="351">
        <v>9.0</v>
      </c>
      <c r="D342" s="640">
        <v>0.9</v>
      </c>
    </row>
    <row r="343">
      <c r="A343" s="351" t="s">
        <v>1823</v>
      </c>
      <c r="B343" s="351">
        <v>51.0</v>
      </c>
      <c r="C343" s="351">
        <v>41.0</v>
      </c>
      <c r="D343" s="640">
        <v>0.804</v>
      </c>
    </row>
    <row r="344">
      <c r="A344" s="351" t="s">
        <v>1820</v>
      </c>
      <c r="B344" s="351">
        <v>13.0</v>
      </c>
      <c r="C344" s="351">
        <v>10.0</v>
      </c>
      <c r="D344" s="640">
        <v>0.769</v>
      </c>
    </row>
    <row r="345">
      <c r="A345" s="351" t="s">
        <v>153</v>
      </c>
      <c r="B345" s="351">
        <v>48.0</v>
      </c>
      <c r="C345" s="351">
        <v>36.0</v>
      </c>
      <c r="D345" s="640">
        <v>0.75</v>
      </c>
    </row>
    <row r="346">
      <c r="A346" s="351" t="s">
        <v>1830</v>
      </c>
      <c r="B346" s="351">
        <v>119.0</v>
      </c>
      <c r="C346" s="351">
        <v>87.0</v>
      </c>
      <c r="D346" s="640">
        <v>0.731</v>
      </c>
    </row>
    <row r="347">
      <c r="A347" s="351" t="s">
        <v>1821</v>
      </c>
      <c r="B347" s="351">
        <v>11.0</v>
      </c>
      <c r="C347" s="351">
        <v>8.0</v>
      </c>
      <c r="D347" s="640">
        <v>0.727</v>
      </c>
    </row>
    <row r="348">
      <c r="A348" s="351" t="s">
        <v>1826</v>
      </c>
      <c r="B348" s="351">
        <v>39.0</v>
      </c>
      <c r="C348" s="351">
        <v>28.0</v>
      </c>
      <c r="D348" s="640">
        <v>0.718</v>
      </c>
    </row>
    <row r="349">
      <c r="A349" s="351" t="s">
        <v>169</v>
      </c>
      <c r="B349" s="351">
        <v>10.0</v>
      </c>
      <c r="C349" s="351">
        <v>7.0</v>
      </c>
      <c r="D349" s="640">
        <v>0.7</v>
      </c>
    </row>
    <row r="350">
      <c r="A350" s="351" t="s">
        <v>1839</v>
      </c>
      <c r="B350" s="351">
        <v>10.0</v>
      </c>
      <c r="C350" s="351">
        <v>7.0</v>
      </c>
      <c r="D350" s="640">
        <v>0.7</v>
      </c>
    </row>
  </sheetData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4.88"/>
    <col customWidth="1" min="12" max="12" width="14.13"/>
  </cols>
  <sheetData>
    <row r="1">
      <c r="A1" s="167"/>
      <c r="B1" s="168" t="s">
        <v>109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</row>
    <row r="2">
      <c r="A2" s="169" t="s">
        <v>172</v>
      </c>
      <c r="B2" s="170" t="s">
        <v>174</v>
      </c>
      <c r="C2" s="171" t="s">
        <v>693</v>
      </c>
      <c r="D2" s="172" t="s">
        <v>694</v>
      </c>
      <c r="E2" s="172" t="s">
        <v>695</v>
      </c>
      <c r="F2" s="172" t="s">
        <v>179</v>
      </c>
      <c r="G2" s="172" t="s">
        <v>696</v>
      </c>
      <c r="H2" s="173" t="s">
        <v>697</v>
      </c>
      <c r="I2" s="174" t="s">
        <v>84</v>
      </c>
      <c r="J2" s="170" t="s">
        <v>698</v>
      </c>
      <c r="K2" s="175" t="s">
        <v>699</v>
      </c>
      <c r="L2" s="173" t="s">
        <v>89</v>
      </c>
      <c r="M2" s="176" t="s">
        <v>700</v>
      </c>
      <c r="N2" s="177" t="s">
        <v>701</v>
      </c>
      <c r="O2" s="177" t="s">
        <v>702</v>
      </c>
      <c r="P2" s="178" t="s">
        <v>90</v>
      </c>
      <c r="Q2" s="325" t="s">
        <v>703</v>
      </c>
    </row>
    <row r="3">
      <c r="A3" s="1274" t="s">
        <v>2382</v>
      </c>
      <c r="B3" s="251"/>
      <c r="C3" s="1275">
        <v>11.0</v>
      </c>
      <c r="D3" s="253" t="s">
        <v>63</v>
      </c>
      <c r="E3" s="1275">
        <v>7.0</v>
      </c>
      <c r="F3" s="1275">
        <v>2.0</v>
      </c>
      <c r="G3" s="253" t="s">
        <v>63</v>
      </c>
      <c r="H3" s="1276">
        <v>7.0</v>
      </c>
      <c r="I3" s="1275">
        <v>0.0</v>
      </c>
      <c r="J3" s="256" t="s">
        <v>63</v>
      </c>
      <c r="K3" s="274" t="s">
        <v>63</v>
      </c>
      <c r="L3" s="1275">
        <v>0.0</v>
      </c>
      <c r="M3" s="258" t="s">
        <v>63</v>
      </c>
      <c r="N3" s="253" t="s">
        <v>63</v>
      </c>
      <c r="O3" s="253" t="s">
        <v>63</v>
      </c>
      <c r="P3" s="261" t="str">
        <f>ifna(vlookup(A3,'Population &amp; Church Numbers'!$A$2365:$D$2430,4,FALSE),"NULL")</f>
        <v>NULL</v>
      </c>
      <c r="Q3" s="329" t="s">
        <v>63</v>
      </c>
    </row>
    <row r="4">
      <c r="A4" s="801" t="s">
        <v>4118</v>
      </c>
      <c r="B4" s="189"/>
      <c r="C4" s="1277">
        <v>679.0</v>
      </c>
      <c r="D4" s="265" t="s">
        <v>63</v>
      </c>
      <c r="E4" s="1277">
        <v>495.0</v>
      </c>
      <c r="F4" s="1277">
        <v>134.0</v>
      </c>
      <c r="G4" s="265" t="s">
        <v>63</v>
      </c>
      <c r="H4" s="367">
        <v>200.0</v>
      </c>
      <c r="I4" s="1277">
        <v>28.0</v>
      </c>
      <c r="J4" s="268" t="s">
        <v>63</v>
      </c>
      <c r="K4" s="284" t="s">
        <v>63</v>
      </c>
      <c r="L4" s="1277">
        <v>10.0</v>
      </c>
      <c r="M4" s="267" t="s">
        <v>63</v>
      </c>
      <c r="N4" s="265" t="s">
        <v>63</v>
      </c>
      <c r="O4" s="265" t="s">
        <v>63</v>
      </c>
      <c r="P4" s="272" t="str">
        <f>ifna(vlookup(A4,'Population &amp; Church Numbers'!$A$2365:$D$2430,4,FALSE),"NULL")</f>
        <v>NULL</v>
      </c>
      <c r="Q4" s="334" t="s">
        <v>63</v>
      </c>
    </row>
    <row r="5">
      <c r="A5" s="1274" t="s">
        <v>4119</v>
      </c>
      <c r="B5" s="251"/>
      <c r="C5" s="1275">
        <v>11.0</v>
      </c>
      <c r="D5" s="253" t="s">
        <v>63</v>
      </c>
      <c r="E5" s="1275">
        <v>7.0</v>
      </c>
      <c r="F5" s="1275">
        <v>4.0</v>
      </c>
      <c r="G5" s="253" t="s">
        <v>63</v>
      </c>
      <c r="H5" s="1276">
        <v>23.0</v>
      </c>
      <c r="I5" s="1275">
        <v>0.0</v>
      </c>
      <c r="J5" s="256" t="s">
        <v>63</v>
      </c>
      <c r="K5" s="274" t="s">
        <v>63</v>
      </c>
      <c r="L5" s="1275">
        <v>1.0</v>
      </c>
      <c r="M5" s="255" t="s">
        <v>63</v>
      </c>
      <c r="N5" s="253" t="s">
        <v>63</v>
      </c>
      <c r="O5" s="253" t="s">
        <v>63</v>
      </c>
      <c r="P5" s="261" t="str">
        <f>ifna(vlookup(A5,'Population &amp; Church Numbers'!$A$2365:$D$2430,4,FALSE),"NULL")</f>
        <v>NULL</v>
      </c>
      <c r="Q5" s="329" t="s">
        <v>63</v>
      </c>
    </row>
    <row r="6">
      <c r="A6" s="801" t="s">
        <v>4120</v>
      </c>
      <c r="B6" s="189"/>
      <c r="C6" s="1277">
        <v>131.0</v>
      </c>
      <c r="D6" s="265" t="s">
        <v>63</v>
      </c>
      <c r="E6" s="1277">
        <v>82.0</v>
      </c>
      <c r="F6" s="1277">
        <v>14.0</v>
      </c>
      <c r="G6" s="265" t="s">
        <v>63</v>
      </c>
      <c r="H6" s="367">
        <v>10.0</v>
      </c>
      <c r="I6" s="1277">
        <v>11.0</v>
      </c>
      <c r="J6" s="268" t="s">
        <v>63</v>
      </c>
      <c r="K6" s="284" t="s">
        <v>63</v>
      </c>
      <c r="L6" s="1277">
        <v>3.0</v>
      </c>
      <c r="M6" s="267" t="s">
        <v>63</v>
      </c>
      <c r="N6" s="265" t="s">
        <v>63</v>
      </c>
      <c r="O6" s="265" t="s">
        <v>63</v>
      </c>
      <c r="P6" s="272" t="str">
        <f>ifna(vlookup(A6,'Population &amp; Church Numbers'!$A$2365:$D$2430,4,FALSE),"NULL")</f>
        <v>NULL</v>
      </c>
      <c r="Q6" s="334" t="s">
        <v>63</v>
      </c>
    </row>
    <row r="7">
      <c r="A7" s="1274" t="s">
        <v>4121</v>
      </c>
      <c r="B7" s="251"/>
      <c r="C7" s="1275">
        <v>108.0</v>
      </c>
      <c r="D7" s="253" t="s">
        <v>63</v>
      </c>
      <c r="E7" s="1275">
        <v>82.0</v>
      </c>
      <c r="F7" s="1275">
        <v>8.0</v>
      </c>
      <c r="G7" s="253" t="s">
        <v>63</v>
      </c>
      <c r="H7" s="1276">
        <v>46.0</v>
      </c>
      <c r="I7" s="1275">
        <v>7.0</v>
      </c>
      <c r="J7" s="256" t="s">
        <v>63</v>
      </c>
      <c r="K7" s="274" t="s">
        <v>63</v>
      </c>
      <c r="L7" s="1275">
        <v>3.0</v>
      </c>
      <c r="M7" s="255" t="s">
        <v>63</v>
      </c>
      <c r="N7" s="253" t="s">
        <v>63</v>
      </c>
      <c r="O7" s="253" t="s">
        <v>63</v>
      </c>
      <c r="P7" s="261" t="str">
        <f>ifna(vlookup(A7,'Population &amp; Church Numbers'!$A$2365:$D$2430,4,FALSE),"NULL")</f>
        <v>NULL</v>
      </c>
      <c r="Q7" s="329" t="s">
        <v>63</v>
      </c>
    </row>
    <row r="8">
      <c r="A8" s="801" t="s">
        <v>4122</v>
      </c>
      <c r="B8" s="189"/>
      <c r="C8" s="1277">
        <v>31.0</v>
      </c>
      <c r="D8" s="265" t="s">
        <v>63</v>
      </c>
      <c r="E8" s="1277">
        <v>16.0</v>
      </c>
      <c r="F8" s="1277">
        <v>2.0</v>
      </c>
      <c r="G8" s="265" t="s">
        <v>63</v>
      </c>
      <c r="H8" s="367">
        <v>24.0</v>
      </c>
      <c r="I8" s="1277">
        <v>0.0</v>
      </c>
      <c r="J8" s="268" t="s">
        <v>63</v>
      </c>
      <c r="K8" s="284" t="s">
        <v>63</v>
      </c>
      <c r="L8" s="1277">
        <v>2.0</v>
      </c>
      <c r="M8" s="267" t="s">
        <v>63</v>
      </c>
      <c r="N8" s="265" t="s">
        <v>63</v>
      </c>
      <c r="O8" s="265" t="s">
        <v>63</v>
      </c>
      <c r="P8" s="272" t="str">
        <f>ifna(vlookup(A8,'Population &amp; Church Numbers'!$A$2365:$D$2430,4,FALSE),"NULL")</f>
        <v>NULL</v>
      </c>
      <c r="Q8" s="334" t="s">
        <v>63</v>
      </c>
    </row>
    <row r="9">
      <c r="A9" s="1274" t="s">
        <v>4123</v>
      </c>
      <c r="B9" s="251"/>
      <c r="C9" s="1275">
        <v>65.0</v>
      </c>
      <c r="D9" s="253" t="s">
        <v>63</v>
      </c>
      <c r="E9" s="1275">
        <v>38.0</v>
      </c>
      <c r="F9" s="1275">
        <v>9.0</v>
      </c>
      <c r="G9" s="253" t="s">
        <v>63</v>
      </c>
      <c r="H9" s="1276">
        <v>38.0</v>
      </c>
      <c r="I9" s="1275">
        <v>3.0</v>
      </c>
      <c r="J9" s="256" t="s">
        <v>63</v>
      </c>
      <c r="K9" s="274" t="s">
        <v>63</v>
      </c>
      <c r="L9" s="1275">
        <v>0.0</v>
      </c>
      <c r="M9" s="255" t="s">
        <v>63</v>
      </c>
      <c r="N9" s="253" t="s">
        <v>63</v>
      </c>
      <c r="O9" s="253" t="s">
        <v>63</v>
      </c>
      <c r="P9" s="261" t="str">
        <f>ifna(vlookup(A9,'Population &amp; Church Numbers'!$A$2365:$D$2430,4,FALSE),"NULL")</f>
        <v>NULL</v>
      </c>
      <c r="Q9" s="329" t="s">
        <v>63</v>
      </c>
    </row>
    <row r="10">
      <c r="A10" s="801" t="s">
        <v>4124</v>
      </c>
      <c r="B10" s="189"/>
      <c r="C10" s="1277">
        <v>152.0</v>
      </c>
      <c r="D10" s="265" t="s">
        <v>63</v>
      </c>
      <c r="E10" s="1277">
        <v>116.0</v>
      </c>
      <c r="F10" s="1277">
        <v>21.0</v>
      </c>
      <c r="G10" s="265" t="s">
        <v>63</v>
      </c>
      <c r="H10" s="367">
        <v>34.0</v>
      </c>
      <c r="I10" s="1277">
        <v>19.0</v>
      </c>
      <c r="J10" s="268" t="s">
        <v>63</v>
      </c>
      <c r="K10" s="284" t="s">
        <v>63</v>
      </c>
      <c r="L10" s="1277">
        <v>6.0</v>
      </c>
      <c r="M10" s="267" t="s">
        <v>63</v>
      </c>
      <c r="N10" s="265" t="s">
        <v>63</v>
      </c>
      <c r="O10" s="265" t="s">
        <v>63</v>
      </c>
      <c r="P10" s="272" t="str">
        <f>ifna(vlookup(A10,'Population &amp; Church Numbers'!$A$2365:$D$2430,4,FALSE),"NULL")</f>
        <v>NULL</v>
      </c>
      <c r="Q10" s="334" t="s">
        <v>63</v>
      </c>
    </row>
    <row r="11">
      <c r="A11" s="1274" t="s">
        <v>4127</v>
      </c>
      <c r="B11" s="251"/>
      <c r="C11" s="1275">
        <v>135.0</v>
      </c>
      <c r="D11" s="253" t="s">
        <v>63</v>
      </c>
      <c r="E11" s="1275">
        <v>105.0</v>
      </c>
      <c r="F11" s="1275">
        <v>30.0</v>
      </c>
      <c r="G11" s="253" t="s">
        <v>63</v>
      </c>
      <c r="H11" s="1276">
        <v>29.0</v>
      </c>
      <c r="I11" s="1275">
        <v>0.0</v>
      </c>
      <c r="J11" s="256" t="s">
        <v>63</v>
      </c>
      <c r="K11" s="274" t="s">
        <v>63</v>
      </c>
      <c r="L11" s="1275">
        <v>0.0</v>
      </c>
      <c r="M11" s="255" t="s">
        <v>63</v>
      </c>
      <c r="N11" s="253" t="s">
        <v>63</v>
      </c>
      <c r="O11" s="253" t="s">
        <v>63</v>
      </c>
      <c r="P11" s="261" t="str">
        <f>ifna(vlookup(A11,'Population &amp; Church Numbers'!$A$2365:$D$2430,4,FALSE),"NULL")</f>
        <v>NULL</v>
      </c>
      <c r="Q11" s="329" t="s">
        <v>63</v>
      </c>
    </row>
    <row r="12">
      <c r="A12" s="801" t="s">
        <v>4128</v>
      </c>
      <c r="B12" s="189"/>
      <c r="C12" s="1277">
        <v>13.0</v>
      </c>
      <c r="D12" s="265" t="s">
        <v>63</v>
      </c>
      <c r="E12" s="1277">
        <v>1.0</v>
      </c>
      <c r="F12" s="1277">
        <v>0.0</v>
      </c>
      <c r="G12" s="265" t="s">
        <v>63</v>
      </c>
      <c r="H12" s="367">
        <v>11.0</v>
      </c>
      <c r="I12" s="1277">
        <v>0.0</v>
      </c>
      <c r="J12" s="268" t="s">
        <v>63</v>
      </c>
      <c r="K12" s="284" t="s">
        <v>63</v>
      </c>
      <c r="L12" s="1277">
        <v>0.0</v>
      </c>
      <c r="M12" s="267" t="s">
        <v>63</v>
      </c>
      <c r="N12" s="265" t="s">
        <v>63</v>
      </c>
      <c r="O12" s="265" t="s">
        <v>63</v>
      </c>
      <c r="P12" s="272" t="str">
        <f>ifna(vlookup(A12,'Population &amp; Church Numbers'!$A$2365:$D$2430,4,FALSE),"NULL")</f>
        <v>NULL</v>
      </c>
      <c r="Q12" s="334" t="s">
        <v>63</v>
      </c>
    </row>
    <row r="13">
      <c r="A13" s="1274" t="s">
        <v>4129</v>
      </c>
      <c r="B13" s="251"/>
      <c r="C13" s="1275">
        <v>61.0</v>
      </c>
      <c r="D13" s="253" t="s">
        <v>63</v>
      </c>
      <c r="E13" s="1275">
        <v>38.0</v>
      </c>
      <c r="F13" s="1275">
        <v>19.0</v>
      </c>
      <c r="G13" s="253" t="s">
        <v>63</v>
      </c>
      <c r="H13" s="1276">
        <v>39.0</v>
      </c>
      <c r="I13" s="1275">
        <v>0.0</v>
      </c>
      <c r="J13" s="256" t="s">
        <v>63</v>
      </c>
      <c r="K13" s="274" t="s">
        <v>63</v>
      </c>
      <c r="L13" s="1275">
        <v>4.0</v>
      </c>
      <c r="M13" s="255" t="s">
        <v>63</v>
      </c>
      <c r="N13" s="253" t="s">
        <v>63</v>
      </c>
      <c r="O13" s="253" t="s">
        <v>63</v>
      </c>
      <c r="P13" s="261" t="str">
        <f>ifna(vlookup(A13,'Population &amp; Church Numbers'!$A$2365:$D$2430,4,FALSE),"NULL")</f>
        <v>NULL</v>
      </c>
      <c r="Q13" s="329" t="s">
        <v>63</v>
      </c>
    </row>
    <row r="14">
      <c r="A14" s="801" t="s">
        <v>3387</v>
      </c>
      <c r="B14" s="189"/>
      <c r="C14" s="1277">
        <v>100.0</v>
      </c>
      <c r="D14" s="265" t="s">
        <v>63</v>
      </c>
      <c r="E14" s="1277">
        <v>58.0</v>
      </c>
      <c r="F14" s="1277">
        <v>8.0</v>
      </c>
      <c r="G14" s="265" t="s">
        <v>63</v>
      </c>
      <c r="H14" s="367">
        <v>52.0</v>
      </c>
      <c r="I14" s="1277">
        <v>1.0</v>
      </c>
      <c r="J14" s="268" t="s">
        <v>63</v>
      </c>
      <c r="K14" s="284" t="s">
        <v>63</v>
      </c>
      <c r="L14" s="1277">
        <v>11.0</v>
      </c>
      <c r="M14" s="267" t="s">
        <v>63</v>
      </c>
      <c r="N14" s="265" t="s">
        <v>63</v>
      </c>
      <c r="O14" s="265" t="s">
        <v>63</v>
      </c>
      <c r="P14" s="272" t="str">
        <f>ifna(vlookup(A14,'Population &amp; Church Numbers'!$A$2365:$D$2430,4,FALSE),"NULL")</f>
        <v>NULL</v>
      </c>
      <c r="Q14" s="334" t="s">
        <v>63</v>
      </c>
    </row>
    <row r="15">
      <c r="A15" s="1274" t="s">
        <v>4130</v>
      </c>
      <c r="B15" s="251"/>
      <c r="C15" s="1275">
        <v>1.0</v>
      </c>
      <c r="D15" s="253" t="s">
        <v>63</v>
      </c>
      <c r="E15" s="1275">
        <v>0.0</v>
      </c>
      <c r="F15" s="1275">
        <v>0.0</v>
      </c>
      <c r="G15" s="253" t="s">
        <v>63</v>
      </c>
      <c r="H15" s="1276">
        <v>16.0</v>
      </c>
      <c r="I15" s="1275">
        <v>0.0</v>
      </c>
      <c r="J15" s="256" t="s">
        <v>63</v>
      </c>
      <c r="K15" s="274" t="s">
        <v>63</v>
      </c>
      <c r="L15" s="1275">
        <v>0.0</v>
      </c>
      <c r="M15" s="255" t="s">
        <v>63</v>
      </c>
      <c r="N15" s="253" t="s">
        <v>63</v>
      </c>
      <c r="O15" s="253" t="s">
        <v>63</v>
      </c>
      <c r="P15" s="261" t="str">
        <f>ifna(vlookup(A15,'Population &amp; Church Numbers'!$A$2365:$D$2430,4,FALSE),"NULL")</f>
        <v>NULL</v>
      </c>
      <c r="Q15" s="329" t="s">
        <v>63</v>
      </c>
    </row>
    <row r="16">
      <c r="A16" s="801" t="s">
        <v>1845</v>
      </c>
      <c r="B16" s="189"/>
      <c r="C16" s="1277">
        <v>56.0</v>
      </c>
      <c r="D16" s="265" t="s">
        <v>63</v>
      </c>
      <c r="E16" s="1277">
        <v>40.0</v>
      </c>
      <c r="F16" s="1277">
        <v>4.0</v>
      </c>
      <c r="G16" s="265" t="s">
        <v>63</v>
      </c>
      <c r="H16" s="367">
        <v>23.0</v>
      </c>
      <c r="I16" s="1277">
        <v>4.0</v>
      </c>
      <c r="J16" s="268" t="s">
        <v>63</v>
      </c>
      <c r="K16" s="284" t="s">
        <v>63</v>
      </c>
      <c r="L16" s="1277">
        <v>4.0</v>
      </c>
      <c r="M16" s="267" t="s">
        <v>63</v>
      </c>
      <c r="N16" s="265" t="s">
        <v>63</v>
      </c>
      <c r="O16" s="265" t="s">
        <v>63</v>
      </c>
      <c r="P16" s="272">
        <f>ifna(vlookup(A16,'Population &amp; Church Numbers'!$A$2365:$D$2430,4,FALSE),"NULL")</f>
        <v>40</v>
      </c>
      <c r="Q16" s="334" t="s">
        <v>63</v>
      </c>
    </row>
    <row r="17">
      <c r="A17" s="1274" t="s">
        <v>1255</v>
      </c>
      <c r="B17" s="251"/>
      <c r="C17" s="1275">
        <v>48.0</v>
      </c>
      <c r="D17" s="253" t="s">
        <v>63</v>
      </c>
      <c r="E17" s="1275">
        <v>26.0</v>
      </c>
      <c r="F17" s="1275">
        <v>4.0</v>
      </c>
      <c r="G17" s="253" t="s">
        <v>63</v>
      </c>
      <c r="H17" s="1276">
        <v>35.0</v>
      </c>
      <c r="I17" s="1275">
        <v>0.0</v>
      </c>
      <c r="J17" s="256" t="s">
        <v>63</v>
      </c>
      <c r="K17" s="274" t="s">
        <v>63</v>
      </c>
      <c r="L17" s="1275">
        <v>5.0</v>
      </c>
      <c r="M17" s="255" t="s">
        <v>63</v>
      </c>
      <c r="N17" s="253" t="s">
        <v>63</v>
      </c>
      <c r="O17" s="253" t="s">
        <v>63</v>
      </c>
      <c r="P17" s="261" t="str">
        <f>ifna(vlookup(A17,'Population &amp; Church Numbers'!$A$2365:$D$2430,4,FALSE),"NULL")</f>
        <v>NULL</v>
      </c>
      <c r="Q17" s="329" t="s">
        <v>63</v>
      </c>
    </row>
    <row r="18">
      <c r="A18" s="801" t="s">
        <v>610</v>
      </c>
      <c r="B18" s="189"/>
      <c r="C18" s="1277">
        <v>62.0</v>
      </c>
      <c r="D18" s="265" t="s">
        <v>63</v>
      </c>
      <c r="E18" s="1277">
        <v>30.0</v>
      </c>
      <c r="F18" s="1277">
        <v>2.0</v>
      </c>
      <c r="G18" s="265" t="s">
        <v>63</v>
      </c>
      <c r="H18" s="367">
        <v>38.0</v>
      </c>
      <c r="I18" s="1277">
        <v>5.0</v>
      </c>
      <c r="J18" s="268" t="s">
        <v>63</v>
      </c>
      <c r="K18" s="284" t="s">
        <v>63</v>
      </c>
      <c r="L18" s="1277">
        <v>1.0</v>
      </c>
      <c r="M18" s="267" t="s">
        <v>63</v>
      </c>
      <c r="N18" s="265" t="s">
        <v>63</v>
      </c>
      <c r="O18" s="265" t="s">
        <v>63</v>
      </c>
      <c r="P18" s="272" t="str">
        <f>ifna(vlookup(A18,'Population &amp; Church Numbers'!$A$2365:$D$2430,4,FALSE),"NULL")</f>
        <v>NULL</v>
      </c>
      <c r="Q18" s="334" t="s">
        <v>63</v>
      </c>
    </row>
    <row r="19">
      <c r="A19" s="1274" t="s">
        <v>4131</v>
      </c>
      <c r="B19" s="251"/>
      <c r="C19" s="1275">
        <v>681.0</v>
      </c>
      <c r="D19" s="253" t="s">
        <v>63</v>
      </c>
      <c r="E19" s="1275">
        <v>389.0</v>
      </c>
      <c r="F19" s="1275">
        <v>70.0</v>
      </c>
      <c r="G19" s="253" t="s">
        <v>63</v>
      </c>
      <c r="H19" s="1276">
        <v>390.0</v>
      </c>
      <c r="I19" s="1275">
        <v>15.0</v>
      </c>
      <c r="J19" s="256" t="s">
        <v>63</v>
      </c>
      <c r="K19" s="274" t="s">
        <v>63</v>
      </c>
      <c r="L19" s="1275">
        <v>7.0</v>
      </c>
      <c r="M19" s="255" t="s">
        <v>63</v>
      </c>
      <c r="N19" s="253" t="s">
        <v>63</v>
      </c>
      <c r="O19" s="253" t="s">
        <v>63</v>
      </c>
      <c r="P19" s="261" t="str">
        <f>ifna(vlookup(A19,'Population &amp; Church Numbers'!$A$2365:$D$2430,4,FALSE),"NULL")</f>
        <v>NULL</v>
      </c>
      <c r="Q19" s="329" t="s">
        <v>63</v>
      </c>
    </row>
    <row r="20">
      <c r="A20" s="801" t="s">
        <v>1889</v>
      </c>
      <c r="B20" s="189"/>
      <c r="C20" s="1277">
        <v>61.0</v>
      </c>
      <c r="D20" s="265" t="s">
        <v>63</v>
      </c>
      <c r="E20" s="1277">
        <v>45.0</v>
      </c>
      <c r="F20" s="1277">
        <v>15.0</v>
      </c>
      <c r="G20" s="265" t="s">
        <v>63</v>
      </c>
      <c r="H20" s="367">
        <v>33.0</v>
      </c>
      <c r="I20" s="1277">
        <v>4.0</v>
      </c>
      <c r="J20" s="268" t="s">
        <v>63</v>
      </c>
      <c r="K20" s="284" t="s">
        <v>63</v>
      </c>
      <c r="L20" s="1277">
        <v>2.0</v>
      </c>
      <c r="M20" s="267" t="s">
        <v>63</v>
      </c>
      <c r="N20" s="265" t="s">
        <v>63</v>
      </c>
      <c r="O20" s="265" t="s">
        <v>63</v>
      </c>
      <c r="P20" s="272">
        <f>ifna(vlookup(A20,'Population &amp; Church Numbers'!$A$2365:$D$2430,4,FALSE),"NULL")</f>
        <v>27</v>
      </c>
      <c r="Q20" s="334" t="s">
        <v>63</v>
      </c>
    </row>
    <row r="21">
      <c r="A21" s="1274" t="s">
        <v>868</v>
      </c>
      <c r="B21" s="251"/>
      <c r="C21" s="1275">
        <v>36.0</v>
      </c>
      <c r="D21" s="253" t="s">
        <v>63</v>
      </c>
      <c r="E21" s="1275">
        <v>28.0</v>
      </c>
      <c r="F21" s="1275">
        <v>3.0</v>
      </c>
      <c r="G21" s="253" t="s">
        <v>63</v>
      </c>
      <c r="H21" s="1276">
        <v>31.0</v>
      </c>
      <c r="I21" s="1275">
        <v>1.0</v>
      </c>
      <c r="J21" s="256" t="s">
        <v>63</v>
      </c>
      <c r="K21" s="274" t="s">
        <v>63</v>
      </c>
      <c r="L21" s="1275">
        <v>1.0</v>
      </c>
      <c r="M21" s="255" t="s">
        <v>63</v>
      </c>
      <c r="N21" s="253" t="s">
        <v>63</v>
      </c>
      <c r="O21" s="253" t="s">
        <v>63</v>
      </c>
      <c r="P21" s="261" t="str">
        <f>ifna(vlookup(A21,'Population &amp; Church Numbers'!$A$2365:$D$2430,4,FALSE),"NULL")</f>
        <v>NULL</v>
      </c>
      <c r="Q21" s="329" t="s">
        <v>63</v>
      </c>
    </row>
    <row r="22">
      <c r="A22" s="217"/>
      <c r="B22" s="218"/>
      <c r="C22" s="219"/>
      <c r="D22" s="220"/>
      <c r="E22" s="220"/>
      <c r="F22" s="220"/>
      <c r="G22" s="220"/>
      <c r="H22" s="221"/>
      <c r="I22" s="222"/>
      <c r="J22" s="223"/>
      <c r="K22" s="219"/>
      <c r="L22" s="224"/>
      <c r="M22" s="225"/>
      <c r="N22" s="226"/>
      <c r="O22" s="220"/>
      <c r="P22" s="221"/>
      <c r="Q22" s="295"/>
    </row>
    <row r="23">
      <c r="A23" s="228" t="s">
        <v>2</v>
      </c>
      <c r="B23" s="229"/>
      <c r="C23" s="1134">
        <f>AFCARSCSC!B45</f>
        <v>1615</v>
      </c>
      <c r="D23" s="708" t="s">
        <v>63</v>
      </c>
      <c r="E23" s="708" t="s">
        <v>63</v>
      </c>
      <c r="F23" s="708" t="s">
        <v>63</v>
      </c>
      <c r="G23" s="708" t="s">
        <v>63</v>
      </c>
      <c r="H23" s="1134">
        <f>AFCARSCSC!D45</f>
        <v>835</v>
      </c>
      <c r="I23" s="360">
        <f>AFCARSCSC!C45</f>
        <v>440</v>
      </c>
      <c r="J23" s="360" t="s">
        <v>63</v>
      </c>
      <c r="K23" s="708" t="s">
        <v>63</v>
      </c>
      <c r="L23" s="708" t="s">
        <v>63</v>
      </c>
      <c r="M23" s="360" t="s">
        <v>63</v>
      </c>
      <c r="N23" s="360" t="s">
        <v>63</v>
      </c>
      <c r="O23" s="360" t="s">
        <v>63</v>
      </c>
      <c r="P23" s="233">
        <f>SUM(P3:P21)</f>
        <v>67</v>
      </c>
      <c r="Q23" s="1279" t="s">
        <v>63</v>
      </c>
    </row>
  </sheetData>
  <autoFilter ref="$A$2:$Q$21"/>
  <mergeCells count="1">
    <mergeCell ref="B1:Q1"/>
  </mergeCells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75" t="s">
        <v>1040</v>
      </c>
      <c r="B1" s="276"/>
      <c r="C1" s="276"/>
      <c r="D1" s="276"/>
      <c r="E1" s="275" t="s">
        <v>765</v>
      </c>
      <c r="F1" s="276"/>
      <c r="G1" s="276"/>
      <c r="H1" s="276"/>
      <c r="I1" s="275" t="s">
        <v>767</v>
      </c>
      <c r="J1" s="276"/>
      <c r="K1" s="275" t="s">
        <v>769</v>
      </c>
      <c r="L1" s="276"/>
      <c r="M1" s="276"/>
    </row>
    <row r="6">
      <c r="A6" s="485" t="s">
        <v>4137</v>
      </c>
      <c r="B6" s="485" t="s">
        <v>4138</v>
      </c>
      <c r="C6" s="485" t="s">
        <v>4139</v>
      </c>
      <c r="D6" s="485" t="s">
        <v>4140</v>
      </c>
      <c r="E6" s="485" t="s">
        <v>4141</v>
      </c>
      <c r="F6" s="485" t="s">
        <v>4142</v>
      </c>
      <c r="G6" s="485" t="s">
        <v>4143</v>
      </c>
      <c r="H6" s="485" t="s">
        <v>4144</v>
      </c>
      <c r="I6" s="485" t="s">
        <v>4145</v>
      </c>
    </row>
    <row r="7">
      <c r="A7" s="485" t="s">
        <v>2382</v>
      </c>
      <c r="B7" s="1120">
        <v>11.0</v>
      </c>
      <c r="C7" s="1120">
        <v>7.0</v>
      </c>
      <c r="D7" s="1120">
        <v>0.0</v>
      </c>
      <c r="E7" s="1120">
        <v>0.0</v>
      </c>
      <c r="F7" s="1120">
        <v>0.0</v>
      </c>
      <c r="G7" s="1120">
        <v>2.0</v>
      </c>
      <c r="H7" s="1120">
        <v>7.0</v>
      </c>
      <c r="I7" s="1120">
        <v>0.0</v>
      </c>
      <c r="J7" s="8">
        <f t="shared" ref="J7:J25" si="1">D7+C7</f>
        <v>7</v>
      </c>
    </row>
    <row r="8">
      <c r="A8" s="485" t="s">
        <v>4118</v>
      </c>
      <c r="B8" s="1120">
        <v>679.0</v>
      </c>
      <c r="C8" s="1120">
        <v>102.0</v>
      </c>
      <c r="D8" s="1120">
        <v>98.0</v>
      </c>
      <c r="E8" s="1120">
        <v>10.0</v>
      </c>
      <c r="F8" s="1120">
        <v>62.0</v>
      </c>
      <c r="G8" s="1120">
        <v>134.0</v>
      </c>
      <c r="H8" s="1120">
        <v>495.0</v>
      </c>
      <c r="I8" s="1120">
        <v>28.0</v>
      </c>
      <c r="J8" s="8">
        <f t="shared" si="1"/>
        <v>200</v>
      </c>
    </row>
    <row r="9">
      <c r="A9" s="485" t="s">
        <v>4119</v>
      </c>
      <c r="B9" s="1120">
        <v>11.0</v>
      </c>
      <c r="C9" s="1120">
        <v>19.0</v>
      </c>
      <c r="D9" s="1120">
        <v>4.0</v>
      </c>
      <c r="E9" s="1120">
        <v>1.0</v>
      </c>
      <c r="F9" s="1120">
        <v>3.0</v>
      </c>
      <c r="G9" s="1120">
        <v>4.0</v>
      </c>
      <c r="H9" s="1120">
        <v>7.0</v>
      </c>
      <c r="I9" s="1120">
        <v>0.0</v>
      </c>
      <c r="J9" s="8">
        <f t="shared" si="1"/>
        <v>23</v>
      </c>
    </row>
    <row r="10">
      <c r="A10" s="485" t="s">
        <v>4120</v>
      </c>
      <c r="B10" s="1120">
        <v>131.0</v>
      </c>
      <c r="C10" s="1120">
        <v>4.0</v>
      </c>
      <c r="D10" s="1120">
        <v>6.0</v>
      </c>
      <c r="E10" s="1120">
        <v>3.0</v>
      </c>
      <c r="F10" s="1120">
        <v>41.0</v>
      </c>
      <c r="G10" s="1120">
        <v>14.0</v>
      </c>
      <c r="H10" s="1120">
        <v>82.0</v>
      </c>
      <c r="I10" s="1120">
        <v>11.0</v>
      </c>
      <c r="J10" s="8">
        <f t="shared" si="1"/>
        <v>10</v>
      </c>
    </row>
    <row r="11">
      <c r="A11" s="485" t="s">
        <v>4121</v>
      </c>
      <c r="B11" s="1120">
        <v>108.0</v>
      </c>
      <c r="C11" s="1120">
        <v>39.0</v>
      </c>
      <c r="D11" s="1120">
        <v>7.0</v>
      </c>
      <c r="E11" s="1120">
        <v>3.0</v>
      </c>
      <c r="F11" s="1120">
        <v>13.0</v>
      </c>
      <c r="G11" s="1120">
        <v>8.0</v>
      </c>
      <c r="H11" s="1120">
        <v>82.0</v>
      </c>
      <c r="I11" s="1120">
        <v>7.0</v>
      </c>
      <c r="J11" s="8">
        <f t="shared" si="1"/>
        <v>46</v>
      </c>
    </row>
    <row r="12">
      <c r="A12" s="485" t="s">
        <v>4122</v>
      </c>
      <c r="B12" s="1120">
        <v>31.0</v>
      </c>
      <c r="C12" s="1120">
        <v>20.0</v>
      </c>
      <c r="D12" s="1120">
        <v>4.0</v>
      </c>
      <c r="E12" s="1120">
        <v>2.0</v>
      </c>
      <c r="F12" s="1120">
        <v>5.0</v>
      </c>
      <c r="G12" s="1120">
        <v>2.0</v>
      </c>
      <c r="H12" s="1120">
        <v>16.0</v>
      </c>
      <c r="I12" s="1120">
        <v>0.0</v>
      </c>
      <c r="J12" s="8">
        <f t="shared" si="1"/>
        <v>24</v>
      </c>
    </row>
    <row r="13">
      <c r="A13" s="485" t="s">
        <v>4123</v>
      </c>
      <c r="B13" s="1120">
        <v>65.0</v>
      </c>
      <c r="C13" s="1120">
        <v>32.0</v>
      </c>
      <c r="D13" s="1120">
        <v>6.0</v>
      </c>
      <c r="E13" s="1120">
        <v>0.0</v>
      </c>
      <c r="F13" s="1120">
        <v>12.0</v>
      </c>
      <c r="G13" s="1120">
        <v>9.0</v>
      </c>
      <c r="H13" s="1120">
        <v>38.0</v>
      </c>
      <c r="I13" s="1120">
        <v>3.0</v>
      </c>
      <c r="J13" s="8">
        <f t="shared" si="1"/>
        <v>38</v>
      </c>
    </row>
    <row r="14">
      <c r="A14" s="485" t="s">
        <v>4124</v>
      </c>
      <c r="B14" s="1120">
        <v>152.0</v>
      </c>
      <c r="C14" s="1120">
        <v>17.0</v>
      </c>
      <c r="D14" s="1120">
        <v>17.0</v>
      </c>
      <c r="E14" s="1120">
        <v>6.0</v>
      </c>
      <c r="F14" s="1120">
        <v>10.0</v>
      </c>
      <c r="G14" s="1120">
        <v>21.0</v>
      </c>
      <c r="H14" s="1120">
        <v>116.0</v>
      </c>
      <c r="I14" s="1120">
        <v>19.0</v>
      </c>
      <c r="J14" s="8">
        <f t="shared" si="1"/>
        <v>34</v>
      </c>
    </row>
    <row r="15">
      <c r="A15" s="485" t="s">
        <v>4127</v>
      </c>
      <c r="B15" s="1120">
        <v>135.0</v>
      </c>
      <c r="C15" s="1120">
        <v>12.0</v>
      </c>
      <c r="D15" s="1120">
        <v>17.0</v>
      </c>
      <c r="E15" s="1120">
        <v>0.0</v>
      </c>
      <c r="F15" s="1120">
        <v>14.0</v>
      </c>
      <c r="G15" s="1120">
        <v>30.0</v>
      </c>
      <c r="H15" s="1120">
        <v>105.0</v>
      </c>
      <c r="I15" s="1120">
        <v>0.0</v>
      </c>
      <c r="J15" s="8">
        <f t="shared" si="1"/>
        <v>29</v>
      </c>
    </row>
    <row r="16">
      <c r="A16" s="485" t="s">
        <v>4128</v>
      </c>
      <c r="B16" s="1120">
        <v>13.0</v>
      </c>
      <c r="C16" s="1120">
        <v>10.0</v>
      </c>
      <c r="D16" s="1120">
        <v>1.0</v>
      </c>
      <c r="E16" s="1120">
        <v>0.0</v>
      </c>
      <c r="F16" s="1120">
        <v>9.0</v>
      </c>
      <c r="G16" s="1120">
        <v>0.0</v>
      </c>
      <c r="H16" s="1120">
        <v>1.0</v>
      </c>
      <c r="I16" s="1120">
        <v>0.0</v>
      </c>
      <c r="J16" s="8">
        <f t="shared" si="1"/>
        <v>11</v>
      </c>
    </row>
    <row r="17">
      <c r="A17" s="485" t="s">
        <v>4129</v>
      </c>
      <c r="B17" s="1120">
        <v>61.0</v>
      </c>
      <c r="C17" s="1120">
        <v>29.0</v>
      </c>
      <c r="D17" s="1120">
        <v>10.0</v>
      </c>
      <c r="E17" s="1120">
        <v>4.0</v>
      </c>
      <c r="F17" s="1120">
        <v>17.0</v>
      </c>
      <c r="G17" s="1120">
        <v>19.0</v>
      </c>
      <c r="H17" s="1120">
        <v>38.0</v>
      </c>
      <c r="I17" s="1120">
        <v>0.0</v>
      </c>
      <c r="J17" s="8">
        <f t="shared" si="1"/>
        <v>39</v>
      </c>
    </row>
    <row r="18">
      <c r="A18" s="485" t="s">
        <v>3387</v>
      </c>
      <c r="B18" s="1120">
        <v>100.0</v>
      </c>
      <c r="C18" s="1120">
        <v>42.0</v>
      </c>
      <c r="D18" s="1120">
        <v>10.0</v>
      </c>
      <c r="E18" s="1120">
        <v>11.0</v>
      </c>
      <c r="F18" s="1120">
        <v>8.0</v>
      </c>
      <c r="G18" s="1120">
        <v>8.0</v>
      </c>
      <c r="H18" s="1120">
        <v>58.0</v>
      </c>
      <c r="I18" s="1120">
        <v>1.0</v>
      </c>
      <c r="J18" s="8">
        <f t="shared" si="1"/>
        <v>52</v>
      </c>
    </row>
    <row r="19">
      <c r="A19" s="485" t="s">
        <v>4130</v>
      </c>
      <c r="B19" s="1120">
        <v>1.0</v>
      </c>
      <c r="C19" s="1120">
        <v>15.0</v>
      </c>
      <c r="D19" s="1120">
        <v>1.0</v>
      </c>
      <c r="E19" s="1120">
        <v>0.0</v>
      </c>
      <c r="F19" s="1120">
        <v>0.0</v>
      </c>
      <c r="G19" s="1120">
        <v>0.0</v>
      </c>
      <c r="H19" s="1120">
        <v>0.0</v>
      </c>
      <c r="I19" s="1120">
        <v>0.0</v>
      </c>
      <c r="J19" s="8">
        <f t="shared" si="1"/>
        <v>16</v>
      </c>
    </row>
    <row r="20">
      <c r="A20" s="485" t="s">
        <v>1845</v>
      </c>
      <c r="B20" s="1120">
        <v>56.0</v>
      </c>
      <c r="C20" s="1120">
        <v>21.0</v>
      </c>
      <c r="D20" s="1120">
        <v>2.0</v>
      </c>
      <c r="E20" s="1120">
        <v>4.0</v>
      </c>
      <c r="F20" s="1120">
        <v>14.0</v>
      </c>
      <c r="G20" s="1120">
        <v>4.0</v>
      </c>
      <c r="H20" s="1120">
        <v>40.0</v>
      </c>
      <c r="I20" s="1120">
        <v>4.0</v>
      </c>
      <c r="J20" s="8">
        <f t="shared" si="1"/>
        <v>23</v>
      </c>
    </row>
    <row r="21">
      <c r="A21" s="485" t="s">
        <v>1255</v>
      </c>
      <c r="B21" s="1120">
        <v>48.0</v>
      </c>
      <c r="C21" s="1120">
        <v>29.0</v>
      </c>
      <c r="D21" s="1120">
        <v>6.0</v>
      </c>
      <c r="E21" s="1120">
        <v>5.0</v>
      </c>
      <c r="F21" s="1120">
        <v>11.0</v>
      </c>
      <c r="G21" s="1120">
        <v>4.0</v>
      </c>
      <c r="H21" s="1120">
        <v>26.0</v>
      </c>
      <c r="I21" s="1120">
        <v>0.0</v>
      </c>
      <c r="J21" s="8">
        <f t="shared" si="1"/>
        <v>35</v>
      </c>
    </row>
    <row r="22">
      <c r="A22" s="485" t="s">
        <v>610</v>
      </c>
      <c r="B22" s="1120">
        <v>62.0</v>
      </c>
      <c r="C22" s="1120">
        <v>34.0</v>
      </c>
      <c r="D22" s="1120">
        <v>4.0</v>
      </c>
      <c r="E22" s="1120">
        <v>1.0</v>
      </c>
      <c r="F22" s="1120">
        <v>14.0</v>
      </c>
      <c r="G22" s="1120">
        <v>2.0</v>
      </c>
      <c r="H22" s="1120">
        <v>30.0</v>
      </c>
      <c r="I22" s="1120">
        <v>5.0</v>
      </c>
      <c r="J22" s="8">
        <f t="shared" si="1"/>
        <v>38</v>
      </c>
    </row>
    <row r="23">
      <c r="A23" s="485" t="s">
        <v>4131</v>
      </c>
      <c r="B23" s="1120">
        <v>681.0</v>
      </c>
      <c r="C23" s="1120">
        <v>323.0</v>
      </c>
      <c r="D23" s="1120">
        <v>67.0</v>
      </c>
      <c r="E23" s="1120">
        <v>7.0</v>
      </c>
      <c r="F23" s="1120">
        <v>193.0</v>
      </c>
      <c r="G23" s="1120">
        <v>70.0</v>
      </c>
      <c r="H23" s="1120">
        <v>389.0</v>
      </c>
      <c r="I23" s="1120">
        <v>15.0</v>
      </c>
      <c r="J23" s="8">
        <f t="shared" si="1"/>
        <v>390</v>
      </c>
    </row>
    <row r="24">
      <c r="A24" s="485" t="s">
        <v>1889</v>
      </c>
      <c r="B24" s="1120">
        <v>61.0</v>
      </c>
      <c r="C24" s="1120">
        <v>27.0</v>
      </c>
      <c r="D24" s="1120">
        <v>6.0</v>
      </c>
      <c r="E24" s="1120">
        <v>2.0</v>
      </c>
      <c r="F24" s="1120">
        <v>8.0</v>
      </c>
      <c r="G24" s="1120">
        <v>15.0</v>
      </c>
      <c r="H24" s="1120">
        <v>45.0</v>
      </c>
      <c r="I24" s="1120">
        <v>4.0</v>
      </c>
      <c r="J24" s="8">
        <f t="shared" si="1"/>
        <v>33</v>
      </c>
    </row>
    <row r="25">
      <c r="A25" s="485" t="s">
        <v>868</v>
      </c>
      <c r="B25" s="1120">
        <v>36.0</v>
      </c>
      <c r="C25" s="1120">
        <v>26.0</v>
      </c>
      <c r="D25" s="1120">
        <v>5.0</v>
      </c>
      <c r="E25" s="1120">
        <v>1.0</v>
      </c>
      <c r="F25" s="1120">
        <v>5.0</v>
      </c>
      <c r="G25" s="1120">
        <v>3.0</v>
      </c>
      <c r="H25" s="1120">
        <v>28.0</v>
      </c>
      <c r="I25" s="1120">
        <v>1.0</v>
      </c>
      <c r="J25" s="8">
        <f t="shared" si="1"/>
        <v>31</v>
      </c>
    </row>
    <row r="50">
      <c r="A50" s="275" t="s">
        <v>792</v>
      </c>
      <c r="B50" s="276"/>
      <c r="C50" s="276"/>
      <c r="D50" s="276"/>
      <c r="E50" s="275" t="s">
        <v>765</v>
      </c>
      <c r="F50" s="276"/>
      <c r="G50" s="276"/>
      <c r="H50" s="276"/>
      <c r="I50" s="275" t="s">
        <v>767</v>
      </c>
      <c r="J50" s="276"/>
      <c r="K50" s="275" t="s">
        <v>769</v>
      </c>
      <c r="L50" s="276"/>
      <c r="M50" s="276"/>
    </row>
    <row r="100">
      <c r="A100" s="275" t="s">
        <v>852</v>
      </c>
      <c r="B100" s="276"/>
      <c r="C100" s="276"/>
      <c r="D100" s="276"/>
      <c r="E100" s="275" t="s">
        <v>765</v>
      </c>
      <c r="F100" s="276"/>
      <c r="G100" s="276"/>
      <c r="H100" s="276"/>
      <c r="I100" s="275" t="s">
        <v>767</v>
      </c>
      <c r="J100" s="276"/>
      <c r="K100" s="275" t="s">
        <v>769</v>
      </c>
      <c r="L100" s="276"/>
      <c r="M100" s="276"/>
    </row>
  </sheetData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2" max="12" width="13.38"/>
  </cols>
  <sheetData>
    <row r="1">
      <c r="A1" s="167"/>
      <c r="B1" s="168" t="s">
        <v>111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</row>
    <row r="2">
      <c r="A2" s="169" t="s">
        <v>172</v>
      </c>
      <c r="B2" s="170" t="s">
        <v>174</v>
      </c>
      <c r="C2" s="171" t="s">
        <v>693</v>
      </c>
      <c r="D2" s="608" t="s">
        <v>694</v>
      </c>
      <c r="E2" s="608" t="s">
        <v>695</v>
      </c>
      <c r="F2" s="608" t="s">
        <v>179</v>
      </c>
      <c r="G2" s="608" t="s">
        <v>696</v>
      </c>
      <c r="H2" s="173" t="s">
        <v>697</v>
      </c>
      <c r="I2" s="174" t="s">
        <v>84</v>
      </c>
      <c r="J2" s="170" t="s">
        <v>698</v>
      </c>
      <c r="K2" s="175" t="s">
        <v>699</v>
      </c>
      <c r="L2" s="173" t="s">
        <v>89</v>
      </c>
      <c r="M2" s="176" t="s">
        <v>700</v>
      </c>
      <c r="N2" s="177" t="s">
        <v>701</v>
      </c>
      <c r="O2" s="177" t="s">
        <v>702</v>
      </c>
      <c r="P2" s="178" t="s">
        <v>90</v>
      </c>
      <c r="Q2" s="325" t="s">
        <v>703</v>
      </c>
    </row>
    <row r="3">
      <c r="A3" s="609" t="s">
        <v>954</v>
      </c>
      <c r="B3" s="610">
        <f t="array" ref="B3">VLOOKUP($A3,TN_DEMO,2,FALSE)</f>
        <v>77123</v>
      </c>
      <c r="C3" s="704" t="s">
        <v>63</v>
      </c>
      <c r="D3" s="612" t="s">
        <v>63</v>
      </c>
      <c r="E3" s="612">
        <f>VLOOKUP($A3,'TN Data'!$A$3:$B$97,2,FALSE)</f>
        <v>130</v>
      </c>
      <c r="F3" s="612" t="s">
        <v>63</v>
      </c>
      <c r="G3" s="612" t="s">
        <v>63</v>
      </c>
      <c r="H3" s="671">
        <f>ifna(vlookup(A3,'TN Data'!$A$229:$B$350,2,FALSE),"NULL")</f>
        <v>130</v>
      </c>
      <c r="I3" s="614">
        <f>ifna(vlookup(A3,'TN Data'!$A$112:$B$194,2,FALSE),"NULL")</f>
        <v>18</v>
      </c>
      <c r="J3" s="615" t="s">
        <v>63</v>
      </c>
      <c r="K3" s="672" t="s">
        <v>63</v>
      </c>
      <c r="L3" s="671" t="s">
        <v>63</v>
      </c>
      <c r="M3" s="673" t="s">
        <v>63</v>
      </c>
      <c r="N3" s="612" t="s">
        <v>63</v>
      </c>
      <c r="O3" s="612" t="s">
        <v>63</v>
      </c>
      <c r="P3" s="620">
        <f>ifna(vlookup(A3,'Population &amp; Church Numbers'!$A$2431:$D$2525,4,FALSE),"NULL")</f>
        <v>93</v>
      </c>
      <c r="Q3" s="674" t="s">
        <v>63</v>
      </c>
    </row>
    <row r="4">
      <c r="A4" s="609" t="s">
        <v>1784</v>
      </c>
      <c r="B4" s="610">
        <f t="array" ref="B4">VLOOKUP($A4,TN_DEMO,2,FALSE)</f>
        <v>50237</v>
      </c>
      <c r="C4" s="704" t="s">
        <v>63</v>
      </c>
      <c r="D4" s="612" t="s">
        <v>63</v>
      </c>
      <c r="E4" s="612">
        <f>VLOOKUP($A4,'TN Data'!$A$3:$B$97,2,FALSE)</f>
        <v>44</v>
      </c>
      <c r="F4" s="612" t="s">
        <v>63</v>
      </c>
      <c r="G4" s="612" t="s">
        <v>63</v>
      </c>
      <c r="H4" s="671">
        <f>ifna(vlookup(A4,'TN Data'!$A$229:$B$350,2,FALSE),"NULL")</f>
        <v>44</v>
      </c>
      <c r="I4" s="614">
        <f>ifna(vlookup(A4,'TN Data'!$A$112:$B$194,2,FALSE),"NULL")</f>
        <v>3</v>
      </c>
      <c r="J4" s="615" t="s">
        <v>63</v>
      </c>
      <c r="K4" s="672" t="s">
        <v>63</v>
      </c>
      <c r="L4" s="671" t="s">
        <v>63</v>
      </c>
      <c r="M4" s="614" t="s">
        <v>63</v>
      </c>
      <c r="N4" s="612" t="s">
        <v>63</v>
      </c>
      <c r="O4" s="612" t="s">
        <v>63</v>
      </c>
      <c r="P4" s="620">
        <f>ifna(vlookup(A4,'Population &amp; Church Numbers'!$A$2431:$D$2525,4,FALSE),"NULL")</f>
        <v>59</v>
      </c>
      <c r="Q4" s="674" t="s">
        <v>63</v>
      </c>
    </row>
    <row r="5">
      <c r="A5" s="609" t="s">
        <v>243</v>
      </c>
      <c r="B5" s="610">
        <f t="array" ref="B5">VLOOKUP($A5,TN_DEMO,2,FALSE)</f>
        <v>15864</v>
      </c>
      <c r="C5" s="704" t="s">
        <v>63</v>
      </c>
      <c r="D5" s="612" t="s">
        <v>63</v>
      </c>
      <c r="E5" s="612">
        <f>VLOOKUP($A5,'TN Data'!$A$3:$B$97,2,FALSE)</f>
        <v>14</v>
      </c>
      <c r="F5" s="612" t="s">
        <v>63</v>
      </c>
      <c r="G5" s="612" t="s">
        <v>63</v>
      </c>
      <c r="H5" s="671">
        <f>ifna(vlookup(A5,'TN Data'!$A$229:$B$350,2,FALSE),"NULL")</f>
        <v>14</v>
      </c>
      <c r="I5" s="614">
        <f>ifna(vlookup(A5,'TN Data'!$A$112:$B$194,2,FALSE),"NULL")</f>
        <v>1</v>
      </c>
      <c r="J5" s="615" t="s">
        <v>63</v>
      </c>
      <c r="K5" s="672" t="s">
        <v>63</v>
      </c>
      <c r="L5" s="671" t="s">
        <v>63</v>
      </c>
      <c r="M5" s="614" t="s">
        <v>63</v>
      </c>
      <c r="N5" s="612" t="s">
        <v>63</v>
      </c>
      <c r="O5" s="612" t="s">
        <v>63</v>
      </c>
      <c r="P5" s="620">
        <f>ifna(vlookup(A5,'Population &amp; Church Numbers'!$A$2431:$D$2525,4,FALSE),"NULL")</f>
        <v>23</v>
      </c>
      <c r="Q5" s="674" t="s">
        <v>63</v>
      </c>
    </row>
    <row r="6">
      <c r="A6" s="609" t="s">
        <v>1893</v>
      </c>
      <c r="B6" s="610">
        <f t="array" ref="B6">VLOOKUP($A6,TN_DEMO,2,FALSE)</f>
        <v>14913</v>
      </c>
      <c r="C6" s="704" t="s">
        <v>63</v>
      </c>
      <c r="D6" s="612" t="s">
        <v>63</v>
      </c>
      <c r="E6" s="612">
        <f>VLOOKUP($A6,'TN Data'!$A$3:$B$97,2,FALSE)</f>
        <v>15</v>
      </c>
      <c r="F6" s="612" t="s">
        <v>63</v>
      </c>
      <c r="G6" s="612" t="s">
        <v>63</v>
      </c>
      <c r="H6" s="671">
        <f>ifna(vlookup(A6,'TN Data'!$A$229:$B$350,2,FALSE),"NULL")</f>
        <v>15</v>
      </c>
      <c r="I6" s="614" t="str">
        <f>ifna(vlookup(A6,'TN Data'!$A$112:$B$194,2,FALSE),"NULL")</f>
        <v>NULL</v>
      </c>
      <c r="J6" s="615" t="s">
        <v>63</v>
      </c>
      <c r="K6" s="672" t="s">
        <v>63</v>
      </c>
      <c r="L6" s="671" t="s">
        <v>63</v>
      </c>
      <c r="M6" s="614" t="s">
        <v>63</v>
      </c>
      <c r="N6" s="612" t="s">
        <v>63</v>
      </c>
      <c r="O6" s="612" t="s">
        <v>63</v>
      </c>
      <c r="P6" s="620">
        <f>ifna(vlookup(A6,'Population &amp; Church Numbers'!$A$2431:$D$2525,4,FALSE),"NULL")</f>
        <v>23</v>
      </c>
      <c r="Q6" s="674" t="s">
        <v>63</v>
      </c>
    </row>
    <row r="7">
      <c r="A7" s="609" t="s">
        <v>77</v>
      </c>
      <c r="B7" s="610">
        <f t="array" ref="B7">VLOOKUP($A7,TN_DEMO,2,FALSE)</f>
        <v>135280</v>
      </c>
      <c r="C7" s="704" t="s">
        <v>63</v>
      </c>
      <c r="D7" s="612" t="s">
        <v>63</v>
      </c>
      <c r="E7" s="612">
        <f>VLOOKUP($A7,'TN Data'!$A$3:$B$97,2,FALSE)</f>
        <v>88</v>
      </c>
      <c r="F7" s="612" t="s">
        <v>63</v>
      </c>
      <c r="G7" s="612" t="s">
        <v>63</v>
      </c>
      <c r="H7" s="671">
        <f>ifna(vlookup(A7,'TN Data'!$A$229:$B$350,2,FALSE),"NULL")</f>
        <v>88</v>
      </c>
      <c r="I7" s="614">
        <f>ifna(vlookup(A7,'TN Data'!$A$112:$B$194,2,FALSE),"NULL")</f>
        <v>11</v>
      </c>
      <c r="J7" s="615" t="s">
        <v>63</v>
      </c>
      <c r="K7" s="672" t="s">
        <v>63</v>
      </c>
      <c r="L7" s="671" t="s">
        <v>63</v>
      </c>
      <c r="M7" s="614" t="s">
        <v>63</v>
      </c>
      <c r="N7" s="612" t="s">
        <v>63</v>
      </c>
      <c r="O7" s="612" t="s">
        <v>63</v>
      </c>
      <c r="P7" s="620">
        <f>ifna(vlookup(A7,'Population &amp; Church Numbers'!$A$2431:$D$2525,4,FALSE),"NULL")</f>
        <v>132</v>
      </c>
      <c r="Q7" s="674" t="s">
        <v>63</v>
      </c>
    </row>
    <row r="8">
      <c r="A8" s="609" t="s">
        <v>247</v>
      </c>
      <c r="B8" s="610">
        <f t="array" ref="B8">VLOOKUP($A8,TN_DEMO,2,FALSE)</f>
        <v>108620</v>
      </c>
      <c r="C8" s="704" t="s">
        <v>63</v>
      </c>
      <c r="D8" s="612" t="s">
        <v>63</v>
      </c>
      <c r="E8" s="612">
        <f>VLOOKUP($A8,'TN Data'!$A$3:$B$97,2,FALSE)</f>
        <v>147</v>
      </c>
      <c r="F8" s="612" t="s">
        <v>63</v>
      </c>
      <c r="G8" s="612" t="s">
        <v>63</v>
      </c>
      <c r="H8" s="671">
        <f>ifna(vlookup(A8,'TN Data'!$A$229:$B$350,2,FALSE),"NULL")</f>
        <v>147</v>
      </c>
      <c r="I8" s="614">
        <f>ifna(vlookup(A8,'TN Data'!$A$112:$B$194,2,FALSE),"NULL")</f>
        <v>18</v>
      </c>
      <c r="J8" s="615" t="s">
        <v>63</v>
      </c>
      <c r="K8" s="672" t="s">
        <v>63</v>
      </c>
      <c r="L8" s="671" t="s">
        <v>63</v>
      </c>
      <c r="M8" s="614" t="s">
        <v>63</v>
      </c>
      <c r="N8" s="612" t="s">
        <v>63</v>
      </c>
      <c r="O8" s="612" t="s">
        <v>63</v>
      </c>
      <c r="P8" s="620">
        <f>ifna(vlookup(A8,'Population &amp; Church Numbers'!$A$2431:$D$2525,4,FALSE),"NULL")</f>
        <v>129</v>
      </c>
      <c r="Q8" s="674" t="s">
        <v>63</v>
      </c>
    </row>
    <row r="9">
      <c r="A9" s="609" t="s">
        <v>1036</v>
      </c>
      <c r="B9" s="610">
        <f t="array" ref="B9">VLOOKUP($A9,TN_DEMO,2,FALSE)</f>
        <v>39272</v>
      </c>
      <c r="C9" s="704" t="s">
        <v>63</v>
      </c>
      <c r="D9" s="612" t="s">
        <v>63</v>
      </c>
      <c r="E9" s="612">
        <f>VLOOKUP($A9,'TN Data'!$A$3:$B$97,2,FALSE)</f>
        <v>54</v>
      </c>
      <c r="F9" s="612" t="s">
        <v>63</v>
      </c>
      <c r="G9" s="612" t="s">
        <v>63</v>
      </c>
      <c r="H9" s="671">
        <f>ifna(vlookup(A9,'TN Data'!$A$229:$B$350,2,FALSE),"NULL")</f>
        <v>54</v>
      </c>
      <c r="I9" s="614">
        <f>ifna(vlookup(A9,'TN Data'!$A$112:$B$194,2,FALSE),"NULL")</f>
        <v>18</v>
      </c>
      <c r="J9" s="615" t="s">
        <v>63</v>
      </c>
      <c r="K9" s="672" t="s">
        <v>63</v>
      </c>
      <c r="L9" s="671" t="s">
        <v>63</v>
      </c>
      <c r="M9" s="614" t="s">
        <v>63</v>
      </c>
      <c r="N9" s="612" t="s">
        <v>63</v>
      </c>
      <c r="O9" s="612" t="s">
        <v>63</v>
      </c>
      <c r="P9" s="620">
        <f>ifna(vlookup(A9,'Population &amp; Church Numbers'!$A$2431:$D$2525,4,FALSE),"NULL")</f>
        <v>39</v>
      </c>
      <c r="Q9" s="674" t="s">
        <v>63</v>
      </c>
    </row>
    <row r="10">
      <c r="A10" s="609" t="s">
        <v>1896</v>
      </c>
      <c r="B10" s="610">
        <f t="array" ref="B10">VLOOKUP($A10,TN_DEMO,2,FALSE)</f>
        <v>14506</v>
      </c>
      <c r="C10" s="704" t="s">
        <v>63</v>
      </c>
      <c r="D10" s="612" t="s">
        <v>63</v>
      </c>
      <c r="E10" s="612">
        <f>VLOOKUP($A10,'TN Data'!$A$3:$B$97,2,FALSE)</f>
        <v>24</v>
      </c>
      <c r="F10" s="612" t="s">
        <v>63</v>
      </c>
      <c r="G10" s="612" t="s">
        <v>63</v>
      </c>
      <c r="H10" s="671">
        <f>ifna(vlookup(A10,'TN Data'!$A$229:$B$350,2,FALSE),"NULL")</f>
        <v>24</v>
      </c>
      <c r="I10" s="614">
        <f>ifna(vlookup(A10,'TN Data'!$A$112:$B$194,2,FALSE),"NULL")</f>
        <v>5</v>
      </c>
      <c r="J10" s="615" t="s">
        <v>63</v>
      </c>
      <c r="K10" s="672" t="s">
        <v>63</v>
      </c>
      <c r="L10" s="671" t="s">
        <v>63</v>
      </c>
      <c r="M10" s="614" t="s">
        <v>63</v>
      </c>
      <c r="N10" s="612" t="s">
        <v>63</v>
      </c>
      <c r="O10" s="612" t="s">
        <v>63</v>
      </c>
      <c r="P10" s="620">
        <f>ifna(vlookup(A10,'Population &amp; Church Numbers'!$A$2431:$D$2525,4,FALSE),"NULL")</f>
        <v>22</v>
      </c>
      <c r="Q10" s="674" t="s">
        <v>63</v>
      </c>
    </row>
    <row r="11">
      <c r="A11" s="609" t="s">
        <v>248</v>
      </c>
      <c r="B11" s="610">
        <f t="array" ref="B11">VLOOKUP($A11,TN_DEMO,2,FALSE)</f>
        <v>28440</v>
      </c>
      <c r="C11" s="704" t="s">
        <v>63</v>
      </c>
      <c r="D11" s="612" t="s">
        <v>63</v>
      </c>
      <c r="E11" s="612">
        <f>VLOOKUP($A11,'TN Data'!$A$3:$B$97,2,FALSE)</f>
        <v>41</v>
      </c>
      <c r="F11" s="612" t="s">
        <v>63</v>
      </c>
      <c r="G11" s="612" t="s">
        <v>63</v>
      </c>
      <c r="H11" s="671">
        <f>ifna(vlookup(A11,'TN Data'!$A$229:$B$350,2,FALSE),"NULL")</f>
        <v>41</v>
      </c>
      <c r="I11" s="614">
        <f>ifna(vlookup(A11,'TN Data'!$A$112:$B$194,2,FALSE),"NULL")</f>
        <v>9</v>
      </c>
      <c r="J11" s="615" t="s">
        <v>63</v>
      </c>
      <c r="K11" s="672" t="s">
        <v>63</v>
      </c>
      <c r="L11" s="671" t="s">
        <v>63</v>
      </c>
      <c r="M11" s="614" t="s">
        <v>63</v>
      </c>
      <c r="N11" s="612" t="s">
        <v>63</v>
      </c>
      <c r="O11" s="612" t="s">
        <v>63</v>
      </c>
      <c r="P11" s="620">
        <f>ifna(vlookup(A11,'Population &amp; Church Numbers'!$A$2431:$D$2525,4,FALSE),"NULL")</f>
        <v>39</v>
      </c>
      <c r="Q11" s="674" t="s">
        <v>63</v>
      </c>
    </row>
    <row r="12">
      <c r="A12" s="609" t="s">
        <v>1038</v>
      </c>
      <c r="B12" s="610">
        <f t="array" ref="B12">VLOOKUP($A12,TN_DEMO,2,FALSE)</f>
        <v>56356</v>
      </c>
      <c r="C12" s="704" t="s">
        <v>63</v>
      </c>
      <c r="D12" s="612" t="s">
        <v>63</v>
      </c>
      <c r="E12" s="612">
        <f>VLOOKUP($A12,'TN Data'!$A$3:$B$97,2,FALSE)</f>
        <v>65</v>
      </c>
      <c r="F12" s="612" t="s">
        <v>63</v>
      </c>
      <c r="G12" s="612" t="s">
        <v>63</v>
      </c>
      <c r="H12" s="671">
        <f>ifna(vlookup(A12,'TN Data'!$A$229:$B$350,2,FALSE),"NULL")</f>
        <v>65</v>
      </c>
      <c r="I12" s="614">
        <f>ifna(vlookup(A12,'TN Data'!$A$112:$B$194,2,FALSE),"NULL")</f>
        <v>12</v>
      </c>
      <c r="J12" s="615" t="s">
        <v>63</v>
      </c>
      <c r="K12" s="672" t="s">
        <v>63</v>
      </c>
      <c r="L12" s="671" t="s">
        <v>63</v>
      </c>
      <c r="M12" s="614" t="s">
        <v>63</v>
      </c>
      <c r="N12" s="612" t="s">
        <v>63</v>
      </c>
      <c r="O12" s="612" t="s">
        <v>63</v>
      </c>
      <c r="P12" s="620">
        <f>ifna(vlookup(A12,'Population &amp; Church Numbers'!$A$2431:$D$2525,4,FALSE),"NULL")</f>
        <v>82</v>
      </c>
      <c r="Q12" s="674" t="s">
        <v>63</v>
      </c>
    </row>
    <row r="13">
      <c r="A13" s="609" t="s">
        <v>1898</v>
      </c>
      <c r="B13" s="610">
        <f t="array" ref="B13">VLOOKUP($A13,TN_DEMO,2,FALSE)</f>
        <v>41072</v>
      </c>
      <c r="C13" s="704" t="s">
        <v>63</v>
      </c>
      <c r="D13" s="612" t="s">
        <v>63</v>
      </c>
      <c r="E13" s="612">
        <f>VLOOKUP($A13,'TN Data'!$A$3:$B$97,2,FALSE)</f>
        <v>20</v>
      </c>
      <c r="F13" s="612" t="s">
        <v>63</v>
      </c>
      <c r="G13" s="612" t="s">
        <v>63</v>
      </c>
      <c r="H13" s="671">
        <f>ifna(vlookup(A13,'TN Data'!$A$229:$B$350,2,FALSE),"NULL")</f>
        <v>20</v>
      </c>
      <c r="I13" s="614">
        <f>ifna(vlookup(A13,'TN Data'!$A$112:$B$194,2,FALSE),"NULL")</f>
        <v>4</v>
      </c>
      <c r="J13" s="615" t="s">
        <v>63</v>
      </c>
      <c r="K13" s="672" t="s">
        <v>63</v>
      </c>
      <c r="L13" s="671" t="s">
        <v>63</v>
      </c>
      <c r="M13" s="614" t="s">
        <v>63</v>
      </c>
      <c r="N13" s="612" t="s">
        <v>63</v>
      </c>
      <c r="O13" s="612" t="s">
        <v>63</v>
      </c>
      <c r="P13" s="620">
        <f>ifna(vlookup(A13,'Population &amp; Church Numbers'!$A$2431:$D$2525,4,FALSE),"NULL")</f>
        <v>37</v>
      </c>
      <c r="Q13" s="674" t="s">
        <v>63</v>
      </c>
    </row>
    <row r="14">
      <c r="A14" s="609" t="s">
        <v>1789</v>
      </c>
      <c r="B14" s="610">
        <f t="array" ref="B14">VLOOKUP($A14,TN_DEMO,2,FALSE)</f>
        <v>17341</v>
      </c>
      <c r="C14" s="704" t="s">
        <v>63</v>
      </c>
      <c r="D14" s="612" t="s">
        <v>63</v>
      </c>
      <c r="E14" s="612">
        <f>VLOOKUP($A14,'TN Data'!$A$3:$B$97,2,FALSE)</f>
        <v>8</v>
      </c>
      <c r="F14" s="612" t="s">
        <v>63</v>
      </c>
      <c r="G14" s="612" t="s">
        <v>63</v>
      </c>
      <c r="H14" s="671">
        <f>ifna(vlookup(A14,'TN Data'!$A$229:$B$350,2,FALSE),"NULL")</f>
        <v>8</v>
      </c>
      <c r="I14" s="614" t="str">
        <f>ifna(vlookup(A14,'TN Data'!$A$112:$B$194,2,FALSE),"NULL")</f>
        <v>NULL</v>
      </c>
      <c r="J14" s="615" t="s">
        <v>63</v>
      </c>
      <c r="K14" s="672" t="s">
        <v>63</v>
      </c>
      <c r="L14" s="671" t="s">
        <v>63</v>
      </c>
      <c r="M14" s="614" t="s">
        <v>63</v>
      </c>
      <c r="N14" s="612" t="s">
        <v>63</v>
      </c>
      <c r="O14" s="612" t="s">
        <v>63</v>
      </c>
      <c r="P14" s="620">
        <f>ifna(vlookup(A14,'Population &amp; Church Numbers'!$A$2431:$D$2525,4,FALSE),"NULL")</f>
        <v>25</v>
      </c>
      <c r="Q14" s="674" t="s">
        <v>63</v>
      </c>
    </row>
    <row r="15">
      <c r="A15" s="609" t="s">
        <v>1151</v>
      </c>
      <c r="B15" s="610">
        <f t="array" ref="B15">VLOOKUP($A15,TN_DEMO,2,FALSE)</f>
        <v>32043</v>
      </c>
      <c r="C15" s="704" t="s">
        <v>63</v>
      </c>
      <c r="D15" s="612" t="s">
        <v>63</v>
      </c>
      <c r="E15" s="612">
        <f>VLOOKUP($A15,'TN Data'!$A$3:$B$97,2,FALSE)</f>
        <v>70</v>
      </c>
      <c r="F15" s="612" t="s">
        <v>63</v>
      </c>
      <c r="G15" s="612" t="s">
        <v>63</v>
      </c>
      <c r="H15" s="671">
        <f>ifna(vlookup(A15,'TN Data'!$A$229:$B$350,2,FALSE),"NULL")</f>
        <v>70</v>
      </c>
      <c r="I15" s="614">
        <f>ifna(vlookup(A15,'TN Data'!$A$112:$B$194,2,FALSE),"NULL")</f>
        <v>14</v>
      </c>
      <c r="J15" s="615" t="s">
        <v>63</v>
      </c>
      <c r="K15" s="672" t="s">
        <v>63</v>
      </c>
      <c r="L15" s="671" t="s">
        <v>63</v>
      </c>
      <c r="M15" s="614" t="s">
        <v>63</v>
      </c>
      <c r="N15" s="612" t="s">
        <v>63</v>
      </c>
      <c r="O15" s="612" t="s">
        <v>63</v>
      </c>
      <c r="P15" s="620">
        <f>ifna(vlookup(A15,'Population &amp; Church Numbers'!$A$2431:$D$2525,4,FALSE),"NULL")</f>
        <v>31</v>
      </c>
      <c r="Q15" s="674" t="s">
        <v>63</v>
      </c>
    </row>
    <row r="16">
      <c r="A16" s="609" t="s">
        <v>112</v>
      </c>
      <c r="B16" s="610">
        <f t="array" ref="B16">VLOOKUP($A16,TN_DEMO,2,FALSE)</f>
        <v>7581</v>
      </c>
      <c r="C16" s="704" t="s">
        <v>63</v>
      </c>
      <c r="D16" s="612" t="s">
        <v>63</v>
      </c>
      <c r="E16" s="612">
        <f>VLOOKUP($A16,'TN Data'!$A$3:$B$97,2,FALSE)</f>
        <v>15</v>
      </c>
      <c r="F16" s="612" t="s">
        <v>63</v>
      </c>
      <c r="G16" s="612" t="s">
        <v>63</v>
      </c>
      <c r="H16" s="671">
        <f>ifna(vlookup(A16,'TN Data'!$A$229:$B$350,2,FALSE),"NULL")</f>
        <v>15</v>
      </c>
      <c r="I16" s="614" t="str">
        <f>ifna(vlookup(A16,'TN Data'!$A$112:$B$194,2,FALSE),"NULL")</f>
        <v>NULL</v>
      </c>
      <c r="J16" s="615" t="s">
        <v>63</v>
      </c>
      <c r="K16" s="672" t="s">
        <v>63</v>
      </c>
      <c r="L16" s="671" t="s">
        <v>63</v>
      </c>
      <c r="M16" s="614" t="s">
        <v>63</v>
      </c>
      <c r="N16" s="612" t="s">
        <v>63</v>
      </c>
      <c r="O16" s="612" t="s">
        <v>63</v>
      </c>
      <c r="P16" s="620">
        <f>ifna(vlookup(A16,'Population &amp; Church Numbers'!$A$2431:$D$2525,4,FALSE),"NULL")</f>
        <v>9</v>
      </c>
      <c r="Q16" s="674" t="s">
        <v>63</v>
      </c>
    </row>
    <row r="17">
      <c r="A17" s="609" t="s">
        <v>1899</v>
      </c>
      <c r="B17" s="610">
        <f t="array" ref="B17">VLOOKUP($A17,TN_DEMO,2,FALSE)</f>
        <v>35999</v>
      </c>
      <c r="C17" s="704" t="s">
        <v>63</v>
      </c>
      <c r="D17" s="612" t="s">
        <v>63</v>
      </c>
      <c r="E17" s="612">
        <f>VLOOKUP($A17,'TN Data'!$A$3:$B$97,2,FALSE)</f>
        <v>77</v>
      </c>
      <c r="F17" s="612" t="s">
        <v>63</v>
      </c>
      <c r="G17" s="612" t="s">
        <v>63</v>
      </c>
      <c r="H17" s="671">
        <f>ifna(vlookup(A17,'TN Data'!$A$229:$B$350,2,FALSE),"NULL")</f>
        <v>77</v>
      </c>
      <c r="I17" s="614">
        <f>ifna(vlookup(A17,'TN Data'!$A$112:$B$194,2,FALSE),"NULL")</f>
        <v>14</v>
      </c>
      <c r="J17" s="615" t="s">
        <v>63</v>
      </c>
      <c r="K17" s="672" t="s">
        <v>63</v>
      </c>
      <c r="L17" s="671" t="s">
        <v>63</v>
      </c>
      <c r="M17" s="614" t="s">
        <v>63</v>
      </c>
      <c r="N17" s="612" t="s">
        <v>63</v>
      </c>
      <c r="O17" s="612" t="s">
        <v>63</v>
      </c>
      <c r="P17" s="620">
        <f>ifna(vlookup(A17,'Population &amp; Church Numbers'!$A$2431:$D$2525,4,FALSE),"NULL")</f>
        <v>42</v>
      </c>
      <c r="Q17" s="674" t="s">
        <v>63</v>
      </c>
    </row>
    <row r="18">
      <c r="A18" s="609" t="s">
        <v>118</v>
      </c>
      <c r="B18" s="610">
        <f t="array" ref="B18">VLOOKUP($A18,TN_DEMO,2,FALSE)</f>
        <v>57889</v>
      </c>
      <c r="C18" s="704" t="s">
        <v>63</v>
      </c>
      <c r="D18" s="612" t="s">
        <v>63</v>
      </c>
      <c r="E18" s="612">
        <f>VLOOKUP($A18,'TN Data'!$A$3:$B$97,2,FALSE)</f>
        <v>73</v>
      </c>
      <c r="F18" s="612" t="s">
        <v>63</v>
      </c>
      <c r="G18" s="612" t="s">
        <v>63</v>
      </c>
      <c r="H18" s="671">
        <f>ifna(vlookup(A18,'TN Data'!$A$229:$B$350,2,FALSE),"NULL")</f>
        <v>73</v>
      </c>
      <c r="I18" s="614">
        <f>ifna(vlookup(A18,'TN Data'!$A$112:$B$194,2,FALSE),"NULL")</f>
        <v>13</v>
      </c>
      <c r="J18" s="615" t="s">
        <v>63</v>
      </c>
      <c r="K18" s="672" t="s">
        <v>63</v>
      </c>
      <c r="L18" s="671" t="s">
        <v>63</v>
      </c>
      <c r="M18" s="614" t="s">
        <v>63</v>
      </c>
      <c r="N18" s="612" t="s">
        <v>63</v>
      </c>
      <c r="O18" s="612" t="s">
        <v>63</v>
      </c>
      <c r="P18" s="620">
        <f>ifna(vlookup(A18,'Population &amp; Church Numbers'!$A$2431:$D$2525,4,FALSE),"NULL")</f>
        <v>71</v>
      </c>
      <c r="Q18" s="674" t="s">
        <v>63</v>
      </c>
    </row>
    <row r="19">
      <c r="A19" s="609" t="s">
        <v>1900</v>
      </c>
      <c r="B19" s="610">
        <f t="array" ref="B19">VLOOKUP($A19,TN_DEMO,2,FALSE)</f>
        <v>13911</v>
      </c>
      <c r="C19" s="704" t="s">
        <v>63</v>
      </c>
      <c r="D19" s="612" t="s">
        <v>63</v>
      </c>
      <c r="E19" s="612">
        <f>VLOOKUP($A19,'TN Data'!$A$3:$B$97,2,FALSE)</f>
        <v>7</v>
      </c>
      <c r="F19" s="612" t="s">
        <v>63</v>
      </c>
      <c r="G19" s="612" t="s">
        <v>63</v>
      </c>
      <c r="H19" s="671">
        <f>ifna(vlookup(A19,'TN Data'!$A$229:$B$350,2,FALSE),"NULL")</f>
        <v>7</v>
      </c>
      <c r="I19" s="614" t="str">
        <f>ifna(vlookup(A19,'TN Data'!$A$112:$B$194,2,FALSE),"NULL")</f>
        <v>NULL</v>
      </c>
      <c r="J19" s="615" t="s">
        <v>63</v>
      </c>
      <c r="K19" s="672" t="s">
        <v>63</v>
      </c>
      <c r="L19" s="671" t="s">
        <v>63</v>
      </c>
      <c r="M19" s="614" t="s">
        <v>63</v>
      </c>
      <c r="N19" s="612" t="s">
        <v>63</v>
      </c>
      <c r="O19" s="612" t="s">
        <v>63</v>
      </c>
      <c r="P19" s="620">
        <f>ifna(vlookup(A19,'Population &amp; Church Numbers'!$A$2431:$D$2525,4,FALSE),"NULL")</f>
        <v>29</v>
      </c>
      <c r="Q19" s="674" t="s">
        <v>63</v>
      </c>
    </row>
    <row r="20">
      <c r="A20" s="609" t="s">
        <v>713</v>
      </c>
      <c r="B20" s="610">
        <f t="array" ref="B20">VLOOKUP($A20,TN_DEMO,2,FALSE)</f>
        <v>61145</v>
      </c>
      <c r="C20" s="704" t="s">
        <v>63</v>
      </c>
      <c r="D20" s="612" t="s">
        <v>63</v>
      </c>
      <c r="E20" s="612">
        <f>VLOOKUP($A20,'TN Data'!$A$3:$B$97,2,FALSE)</f>
        <v>88</v>
      </c>
      <c r="F20" s="612" t="s">
        <v>63</v>
      </c>
      <c r="G20" s="612" t="s">
        <v>63</v>
      </c>
      <c r="H20" s="671">
        <f>ifna(vlookup(A20,'TN Data'!$A$229:$B$350,2,FALSE),"NULL")</f>
        <v>88</v>
      </c>
      <c r="I20" s="614">
        <f>ifna(vlookup(A20,'TN Data'!$A$112:$B$194,2,FALSE),"NULL")</f>
        <v>4</v>
      </c>
      <c r="J20" s="615" t="s">
        <v>63</v>
      </c>
      <c r="K20" s="672" t="s">
        <v>63</v>
      </c>
      <c r="L20" s="671" t="s">
        <v>63</v>
      </c>
      <c r="M20" s="614" t="s">
        <v>63</v>
      </c>
      <c r="N20" s="612" t="s">
        <v>63</v>
      </c>
      <c r="O20" s="612" t="s">
        <v>63</v>
      </c>
      <c r="P20" s="620">
        <f>ifna(vlookup(A20,'Population &amp; Church Numbers'!$A$2431:$D$2525,4,FALSE),"NULL")</f>
        <v>65</v>
      </c>
      <c r="Q20" s="674" t="s">
        <v>63</v>
      </c>
    </row>
    <row r="21">
      <c r="A21" s="609" t="s">
        <v>570</v>
      </c>
      <c r="B21" s="610">
        <f t="array" ref="B21">VLOOKUP($A21,TN_DEMO,2,FALSE)</f>
        <v>715884</v>
      </c>
      <c r="C21" s="704" t="s">
        <v>63</v>
      </c>
      <c r="D21" s="612" t="s">
        <v>63</v>
      </c>
      <c r="E21" s="612">
        <f>VLOOKUP($A21,'TN Data'!$A$3:$B$97,2,FALSE)</f>
        <v>516</v>
      </c>
      <c r="F21" s="612" t="s">
        <v>63</v>
      </c>
      <c r="G21" s="612" t="s">
        <v>63</v>
      </c>
      <c r="H21" s="671">
        <f>ifna(vlookup(A21,'TN Data'!$A$229:$B$350,2,FALSE),"NULL")</f>
        <v>516</v>
      </c>
      <c r="I21" s="614">
        <f>ifna(vlookup(A21,'TN Data'!$A$112:$B$194,2,FALSE),"NULL")</f>
        <v>51</v>
      </c>
      <c r="J21" s="615" t="s">
        <v>63</v>
      </c>
      <c r="K21" s="672" t="s">
        <v>63</v>
      </c>
      <c r="L21" s="671" t="s">
        <v>63</v>
      </c>
      <c r="M21" s="614" t="s">
        <v>63</v>
      </c>
      <c r="N21" s="612" t="s">
        <v>63</v>
      </c>
      <c r="O21" s="612" t="s">
        <v>63</v>
      </c>
      <c r="P21" s="620">
        <f>ifna(vlookup(A21,'Population &amp; Church Numbers'!$A$2431:$D$2525,4,FALSE),"NULL")</f>
        <v>598</v>
      </c>
      <c r="Q21" s="674" t="s">
        <v>63</v>
      </c>
    </row>
    <row r="22">
      <c r="A22" s="609" t="s">
        <v>563</v>
      </c>
      <c r="B22" s="610">
        <f t="array" ref="B22">VLOOKUP($A22,TN_DEMO,2,FALSE)</f>
        <v>11435</v>
      </c>
      <c r="C22" s="704" t="s">
        <v>63</v>
      </c>
      <c r="D22" s="612" t="s">
        <v>63</v>
      </c>
      <c r="E22" s="612">
        <f>VLOOKUP($A22,'TN Data'!$A$3:$B$97,2,FALSE)</f>
        <v>26</v>
      </c>
      <c r="F22" s="612" t="s">
        <v>63</v>
      </c>
      <c r="G22" s="612" t="s">
        <v>63</v>
      </c>
      <c r="H22" s="671">
        <f>ifna(vlookup(A22,'TN Data'!$A$229:$B$350,2,FALSE),"NULL")</f>
        <v>26</v>
      </c>
      <c r="I22" s="614">
        <f>ifna(vlookup(A22,'TN Data'!$A$112:$B$194,2,FALSE),"NULL")</f>
        <v>1</v>
      </c>
      <c r="J22" s="615" t="s">
        <v>63</v>
      </c>
      <c r="K22" s="672" t="s">
        <v>63</v>
      </c>
      <c r="L22" s="671" t="s">
        <v>63</v>
      </c>
      <c r="M22" s="614" t="s">
        <v>63</v>
      </c>
      <c r="N22" s="612" t="s">
        <v>63</v>
      </c>
      <c r="O22" s="612" t="s">
        <v>63</v>
      </c>
      <c r="P22" s="620">
        <f>ifna(vlookup(A22,'Population &amp; Church Numbers'!$A$2431:$D$2525,4,FALSE),"NULL")</f>
        <v>29</v>
      </c>
      <c r="Q22" s="674" t="s">
        <v>63</v>
      </c>
    </row>
    <row r="23">
      <c r="A23" s="609" t="s">
        <v>2530</v>
      </c>
      <c r="B23" s="610">
        <f t="array" ref="B23">VLOOKUP($A23,TN_DEMO,2,FALSE)</f>
        <v>20080</v>
      </c>
      <c r="C23" s="704" t="s">
        <v>63</v>
      </c>
      <c r="D23" s="612" t="s">
        <v>63</v>
      </c>
      <c r="E23" s="612">
        <f>VLOOKUP($A23,'TN Data'!$A$3:$B$97,2,FALSE)</f>
        <v>41</v>
      </c>
      <c r="F23" s="612" t="s">
        <v>63</v>
      </c>
      <c r="G23" s="612" t="s">
        <v>63</v>
      </c>
      <c r="H23" s="671">
        <f>ifna(vlookup(A23,'TN Data'!$A$229:$B$350,2,FALSE),"NULL")</f>
        <v>41</v>
      </c>
      <c r="I23" s="614">
        <f>ifna(vlookup(A23,'TN Data'!$A$112:$B$194,2,FALSE),"NULL")</f>
        <v>1</v>
      </c>
      <c r="J23" s="615" t="s">
        <v>63</v>
      </c>
      <c r="K23" s="672" t="s">
        <v>63</v>
      </c>
      <c r="L23" s="671" t="s">
        <v>63</v>
      </c>
      <c r="M23" s="614" t="s">
        <v>63</v>
      </c>
      <c r="N23" s="612" t="s">
        <v>63</v>
      </c>
      <c r="O23" s="612" t="s">
        <v>63</v>
      </c>
      <c r="P23" s="620">
        <f>ifna(vlookup(A23,'Population &amp; Church Numbers'!$A$2431:$D$2525,4,FALSE),"NULL")</f>
        <v>43</v>
      </c>
      <c r="Q23" s="674" t="s">
        <v>63</v>
      </c>
    </row>
    <row r="24">
      <c r="A24" s="609" t="s">
        <v>1902</v>
      </c>
      <c r="B24" s="610">
        <f t="array" ref="B24">VLOOKUP($A24,TN_DEMO,2,FALSE)</f>
        <v>54315</v>
      </c>
      <c r="C24" s="704" t="s">
        <v>63</v>
      </c>
      <c r="D24" s="612" t="s">
        <v>63</v>
      </c>
      <c r="E24" s="612">
        <f>VLOOKUP($A24,'TN Data'!$A$3:$B$97,2,FALSE)</f>
        <v>80</v>
      </c>
      <c r="F24" s="612" t="s">
        <v>63</v>
      </c>
      <c r="G24" s="612" t="s">
        <v>63</v>
      </c>
      <c r="H24" s="671">
        <f>ifna(vlookup(A24,'TN Data'!$A$229:$B$350,2,FALSE),"NULL")</f>
        <v>80</v>
      </c>
      <c r="I24" s="614">
        <f>ifna(vlookup(A24,'TN Data'!$A$112:$B$194,2,FALSE),"NULL")</f>
        <v>12</v>
      </c>
      <c r="J24" s="615" t="s">
        <v>63</v>
      </c>
      <c r="K24" s="672" t="s">
        <v>63</v>
      </c>
      <c r="L24" s="671" t="s">
        <v>63</v>
      </c>
      <c r="M24" s="614" t="s">
        <v>63</v>
      </c>
      <c r="N24" s="612" t="s">
        <v>63</v>
      </c>
      <c r="O24" s="612" t="s">
        <v>63</v>
      </c>
      <c r="P24" s="620">
        <f>ifna(vlookup(A24,'Population &amp; Church Numbers'!$A$2431:$D$2525,4,FALSE),"NULL")</f>
        <v>55</v>
      </c>
      <c r="Q24" s="674" t="s">
        <v>63</v>
      </c>
    </row>
    <row r="25">
      <c r="A25" s="609" t="s">
        <v>1903</v>
      </c>
      <c r="B25" s="610">
        <f t="array" ref="B25">VLOOKUP($A25,TN_DEMO,2,FALSE)</f>
        <v>36801</v>
      </c>
      <c r="C25" s="704" t="s">
        <v>63</v>
      </c>
      <c r="D25" s="612" t="s">
        <v>63</v>
      </c>
      <c r="E25" s="612">
        <f>VLOOKUP($A25,'TN Data'!$A$3:$B$97,2,FALSE)</f>
        <v>54</v>
      </c>
      <c r="F25" s="612" t="s">
        <v>63</v>
      </c>
      <c r="G25" s="612" t="s">
        <v>63</v>
      </c>
      <c r="H25" s="671">
        <f>ifna(vlookup(A25,'TN Data'!$A$229:$B$350,2,FALSE),"NULL")</f>
        <v>54</v>
      </c>
      <c r="I25" s="614">
        <f>ifna(vlookup(A25,'TN Data'!$A$112:$B$194,2,FALSE),"NULL")</f>
        <v>3</v>
      </c>
      <c r="J25" s="615" t="s">
        <v>63</v>
      </c>
      <c r="K25" s="672" t="s">
        <v>63</v>
      </c>
      <c r="L25" s="671" t="s">
        <v>63</v>
      </c>
      <c r="M25" s="614" t="s">
        <v>63</v>
      </c>
      <c r="N25" s="612" t="s">
        <v>63</v>
      </c>
      <c r="O25" s="612" t="s">
        <v>63</v>
      </c>
      <c r="P25" s="620">
        <f>ifna(vlookup(A25,'Population &amp; Church Numbers'!$A$2431:$D$2525,4,FALSE),"NULL")</f>
        <v>58</v>
      </c>
      <c r="Q25" s="674" t="s">
        <v>63</v>
      </c>
    </row>
    <row r="26">
      <c r="A26" s="609" t="s">
        <v>135</v>
      </c>
      <c r="B26" s="610">
        <f t="array" ref="B26">VLOOKUP($A26,TN_DEMO,2,FALSE)</f>
        <v>41990</v>
      </c>
      <c r="C26" s="704" t="s">
        <v>63</v>
      </c>
      <c r="D26" s="612" t="s">
        <v>63</v>
      </c>
      <c r="E26" s="612">
        <f>VLOOKUP($A26,'TN Data'!$A$3:$B$97,2,FALSE)</f>
        <v>13</v>
      </c>
      <c r="F26" s="612" t="s">
        <v>63</v>
      </c>
      <c r="G26" s="612" t="s">
        <v>63</v>
      </c>
      <c r="H26" s="671">
        <f>ifna(vlookup(A26,'TN Data'!$A$229:$B$350,2,FALSE),"NULL")</f>
        <v>13</v>
      </c>
      <c r="I26" s="614" t="str">
        <f>ifna(vlookup(A26,'TN Data'!$A$112:$B$194,2,FALSE),"NULL")</f>
        <v>NULL</v>
      </c>
      <c r="J26" s="615" t="s">
        <v>63</v>
      </c>
      <c r="K26" s="672" t="s">
        <v>63</v>
      </c>
      <c r="L26" s="671" t="s">
        <v>63</v>
      </c>
      <c r="M26" s="614" t="s">
        <v>63</v>
      </c>
      <c r="N26" s="612" t="s">
        <v>63</v>
      </c>
      <c r="O26" s="612" t="s">
        <v>63</v>
      </c>
      <c r="P26" s="620">
        <f>ifna(vlookup(A26,'Population &amp; Church Numbers'!$A$2431:$D$2525,4,FALSE),"NULL")</f>
        <v>76</v>
      </c>
      <c r="Q26" s="674" t="s">
        <v>63</v>
      </c>
    </row>
    <row r="27">
      <c r="A27" s="609" t="s">
        <v>1905</v>
      </c>
      <c r="B27" s="610">
        <f t="array" ref="B27">VLOOKUP($A27,TN_DEMO,2,FALSE)</f>
        <v>18489</v>
      </c>
      <c r="C27" s="704" t="s">
        <v>63</v>
      </c>
      <c r="D27" s="612" t="s">
        <v>63</v>
      </c>
      <c r="E27" s="612">
        <f>VLOOKUP($A27,'TN Data'!$A$3:$B$97,2,FALSE)</f>
        <v>12</v>
      </c>
      <c r="F27" s="612" t="s">
        <v>63</v>
      </c>
      <c r="G27" s="612" t="s">
        <v>63</v>
      </c>
      <c r="H27" s="671">
        <f>ifna(vlookup(A27,'TN Data'!$A$229:$B$350,2,FALSE),"NULL")</f>
        <v>12</v>
      </c>
      <c r="I27" s="614" t="str">
        <f>ifna(vlookup(A27,'TN Data'!$A$112:$B$194,2,FALSE),"NULL")</f>
        <v>NULL</v>
      </c>
      <c r="J27" s="615" t="s">
        <v>63</v>
      </c>
      <c r="K27" s="672" t="s">
        <v>63</v>
      </c>
      <c r="L27" s="671" t="s">
        <v>63</v>
      </c>
      <c r="M27" s="614" t="s">
        <v>63</v>
      </c>
      <c r="N27" s="612" t="s">
        <v>63</v>
      </c>
      <c r="O27" s="612" t="s">
        <v>63</v>
      </c>
      <c r="P27" s="620">
        <f>ifna(vlookup(A27,'Population &amp; Church Numbers'!$A$2431:$D$2525,4,FALSE),"NULL")</f>
        <v>29</v>
      </c>
      <c r="Q27" s="674" t="s">
        <v>63</v>
      </c>
    </row>
    <row r="28">
      <c r="A28" s="609" t="s">
        <v>136</v>
      </c>
      <c r="B28" s="610">
        <f t="array" ref="B28">VLOOKUP($A28,TN_DEMO,2,FALSE)</f>
        <v>42774</v>
      </c>
      <c r="C28" s="704" t="s">
        <v>63</v>
      </c>
      <c r="D28" s="612" t="s">
        <v>63</v>
      </c>
      <c r="E28" s="612">
        <f>VLOOKUP($A28,'TN Data'!$A$3:$B$97,2,FALSE)</f>
        <v>75</v>
      </c>
      <c r="F28" s="612" t="s">
        <v>63</v>
      </c>
      <c r="G28" s="612" t="s">
        <v>63</v>
      </c>
      <c r="H28" s="671">
        <f>ifna(vlookup(A28,'TN Data'!$A$229:$B$350,2,FALSE),"NULL")</f>
        <v>75</v>
      </c>
      <c r="I28" s="614">
        <f>ifna(vlookup(A28,'TN Data'!$A$112:$B$194,2,FALSE),"NULL")</f>
        <v>16</v>
      </c>
      <c r="J28" s="615" t="s">
        <v>63</v>
      </c>
      <c r="K28" s="672" t="s">
        <v>63</v>
      </c>
      <c r="L28" s="671" t="s">
        <v>63</v>
      </c>
      <c r="M28" s="614" t="s">
        <v>63</v>
      </c>
      <c r="N28" s="612" t="s">
        <v>63</v>
      </c>
      <c r="O28" s="612" t="s">
        <v>63</v>
      </c>
      <c r="P28" s="620">
        <f>ifna(vlookup(A28,'Population &amp; Church Numbers'!$A$2431:$D$2525,4,FALSE),"NULL")</f>
        <v>59</v>
      </c>
      <c r="Q28" s="674" t="s">
        <v>63</v>
      </c>
    </row>
    <row r="29">
      <c r="A29" s="609" t="s">
        <v>763</v>
      </c>
      <c r="B29" s="610">
        <f t="array" ref="B29">VLOOKUP($A29,TN_DEMO,2,FALSE)</f>
        <v>50429</v>
      </c>
      <c r="C29" s="704" t="s">
        <v>63</v>
      </c>
      <c r="D29" s="612" t="s">
        <v>63</v>
      </c>
      <c r="E29" s="612">
        <f>VLOOKUP($A29,'TN Data'!$A$3:$B$97,2,FALSE)</f>
        <v>39</v>
      </c>
      <c r="F29" s="612" t="s">
        <v>63</v>
      </c>
      <c r="G29" s="612" t="s">
        <v>63</v>
      </c>
      <c r="H29" s="671">
        <f>ifna(vlookup(A29,'TN Data'!$A$229:$B$350,2,FALSE),"NULL")</f>
        <v>39</v>
      </c>
      <c r="I29" s="614">
        <f>ifna(vlookup(A29,'TN Data'!$A$112:$B$194,2,FALSE),"NULL")</f>
        <v>8</v>
      </c>
      <c r="J29" s="615" t="s">
        <v>63</v>
      </c>
      <c r="K29" s="672" t="s">
        <v>63</v>
      </c>
      <c r="L29" s="671" t="s">
        <v>63</v>
      </c>
      <c r="M29" s="614" t="s">
        <v>63</v>
      </c>
      <c r="N29" s="612" t="s">
        <v>63</v>
      </c>
      <c r="O29" s="612" t="s">
        <v>63</v>
      </c>
      <c r="P29" s="620">
        <f>ifna(vlookup(A29,'Population &amp; Church Numbers'!$A$2431:$D$2525,4,FALSE),"NULL")</f>
        <v>93</v>
      </c>
      <c r="Q29" s="674" t="s">
        <v>63</v>
      </c>
    </row>
    <row r="30">
      <c r="A30" s="609" t="s">
        <v>1907</v>
      </c>
      <c r="B30" s="610">
        <f t="array" ref="B30">VLOOKUP($A30,TN_DEMO,2,FALSE)</f>
        <v>30346</v>
      </c>
      <c r="C30" s="704" t="s">
        <v>63</v>
      </c>
      <c r="D30" s="612" t="s">
        <v>63</v>
      </c>
      <c r="E30" s="612">
        <f>VLOOKUP($A30,'TN Data'!$A$3:$B$97,2,FALSE)</f>
        <v>82</v>
      </c>
      <c r="F30" s="612" t="s">
        <v>63</v>
      </c>
      <c r="G30" s="612" t="s">
        <v>63</v>
      </c>
      <c r="H30" s="671">
        <f>ifna(vlookup(A30,'TN Data'!$A$229:$B$350,2,FALSE),"NULL")</f>
        <v>82</v>
      </c>
      <c r="I30" s="614">
        <f>ifna(vlookup(A30,'TN Data'!$A$112:$B$194,2,FALSE),"NULL")</f>
        <v>4</v>
      </c>
      <c r="J30" s="615" t="s">
        <v>63</v>
      </c>
      <c r="K30" s="672" t="s">
        <v>63</v>
      </c>
      <c r="L30" s="671" t="s">
        <v>63</v>
      </c>
      <c r="M30" s="614" t="s">
        <v>63</v>
      </c>
      <c r="N30" s="612" t="s">
        <v>63</v>
      </c>
      <c r="O30" s="612" t="s">
        <v>63</v>
      </c>
      <c r="P30" s="620">
        <f>ifna(vlookup(A30,'Population &amp; Church Numbers'!$A$2431:$D$2525,4,FALSE),"NULL")</f>
        <v>48</v>
      </c>
      <c r="Q30" s="674" t="s">
        <v>63</v>
      </c>
    </row>
    <row r="31">
      <c r="A31" s="609" t="s">
        <v>1908</v>
      </c>
      <c r="B31" s="610">
        <f t="array" ref="B31">VLOOKUP($A31,TN_DEMO,2,FALSE)</f>
        <v>23527</v>
      </c>
      <c r="C31" s="704" t="s">
        <v>63</v>
      </c>
      <c r="D31" s="612" t="s">
        <v>63</v>
      </c>
      <c r="E31" s="612">
        <f>VLOOKUP($A31,'TN Data'!$A$3:$B$97,2,FALSE)</f>
        <v>31</v>
      </c>
      <c r="F31" s="612" t="s">
        <v>63</v>
      </c>
      <c r="G31" s="612" t="s">
        <v>63</v>
      </c>
      <c r="H31" s="671">
        <f>ifna(vlookup(A31,'TN Data'!$A$229:$B$350,2,FALSE),"NULL")</f>
        <v>31</v>
      </c>
      <c r="I31" s="614">
        <f>ifna(vlookup(A31,'TN Data'!$A$112:$B$194,2,FALSE),"NULL")</f>
        <v>1</v>
      </c>
      <c r="J31" s="615" t="s">
        <v>63</v>
      </c>
      <c r="K31" s="672" t="s">
        <v>63</v>
      </c>
      <c r="L31" s="671" t="s">
        <v>63</v>
      </c>
      <c r="M31" s="614" t="s">
        <v>63</v>
      </c>
      <c r="N31" s="612" t="s">
        <v>63</v>
      </c>
      <c r="O31" s="612" t="s">
        <v>63</v>
      </c>
      <c r="P31" s="620">
        <f>ifna(vlookup(A31,'Population &amp; Church Numbers'!$A$2431:$D$2525,4,FALSE),"NULL")</f>
        <v>31</v>
      </c>
      <c r="Q31" s="674" t="s">
        <v>63</v>
      </c>
    </row>
    <row r="32">
      <c r="A32" s="609" t="s">
        <v>138</v>
      </c>
      <c r="B32" s="610">
        <f t="array" ref="B32">VLOOKUP($A32,TN_DEMO,2,FALSE)</f>
        <v>70152</v>
      </c>
      <c r="C32" s="704" t="s">
        <v>63</v>
      </c>
      <c r="D32" s="612" t="s">
        <v>63</v>
      </c>
      <c r="E32" s="612">
        <f>VLOOKUP($A32,'TN Data'!$A$3:$B$97,2,FALSE)</f>
        <v>148</v>
      </c>
      <c r="F32" s="612" t="s">
        <v>63</v>
      </c>
      <c r="G32" s="612" t="s">
        <v>63</v>
      </c>
      <c r="H32" s="671">
        <f>ifna(vlookup(A32,'TN Data'!$A$229:$B$350,2,FALSE),"NULL")</f>
        <v>148</v>
      </c>
      <c r="I32" s="614">
        <f>ifna(vlookup(A32,'TN Data'!$A$112:$B$194,2,FALSE),"NULL")</f>
        <v>26</v>
      </c>
      <c r="J32" s="615" t="s">
        <v>63</v>
      </c>
      <c r="K32" s="672" t="s">
        <v>63</v>
      </c>
      <c r="L32" s="671" t="s">
        <v>63</v>
      </c>
      <c r="M32" s="614" t="s">
        <v>63</v>
      </c>
      <c r="N32" s="612" t="s">
        <v>63</v>
      </c>
      <c r="O32" s="612" t="s">
        <v>63</v>
      </c>
      <c r="P32" s="620">
        <f>ifna(vlookup(A32,'Population &amp; Church Numbers'!$A$2431:$D$2525,4,FALSE),"NULL")</f>
        <v>77</v>
      </c>
      <c r="Q32" s="674" t="s">
        <v>63</v>
      </c>
    </row>
    <row r="33">
      <c r="A33" s="609" t="s">
        <v>720</v>
      </c>
      <c r="B33" s="610">
        <f t="array" ref="B33">VLOOKUP($A33,TN_DEMO,2,FALSE)</f>
        <v>13529</v>
      </c>
      <c r="C33" s="704" t="s">
        <v>63</v>
      </c>
      <c r="D33" s="612" t="s">
        <v>63</v>
      </c>
      <c r="E33" s="612">
        <f>VLOOKUP($A33,'TN Data'!$A$3:$B$97,2,FALSE)</f>
        <v>36</v>
      </c>
      <c r="F33" s="612" t="s">
        <v>63</v>
      </c>
      <c r="G33" s="612" t="s">
        <v>63</v>
      </c>
      <c r="H33" s="671">
        <f>ifna(vlookup(A33,'TN Data'!$A$229:$B$350,2,FALSE),"NULL")</f>
        <v>36</v>
      </c>
      <c r="I33" s="614">
        <f>ifna(vlookup(A33,'TN Data'!$A$112:$B$194,2,FALSE),"NULL")</f>
        <v>6</v>
      </c>
      <c r="J33" s="615" t="s">
        <v>63</v>
      </c>
      <c r="K33" s="672" t="s">
        <v>63</v>
      </c>
      <c r="L33" s="671" t="s">
        <v>63</v>
      </c>
      <c r="M33" s="614" t="s">
        <v>63</v>
      </c>
      <c r="N33" s="612" t="s">
        <v>63</v>
      </c>
      <c r="O33" s="612" t="s">
        <v>63</v>
      </c>
      <c r="P33" s="620">
        <f>ifna(vlookup(A33,'Population &amp; Church Numbers'!$A$2431:$D$2525,4,FALSE),"NULL")</f>
        <v>25</v>
      </c>
      <c r="Q33" s="674" t="s">
        <v>63</v>
      </c>
    </row>
    <row r="34">
      <c r="A34" s="609" t="s">
        <v>1911</v>
      </c>
      <c r="B34" s="610">
        <f t="array" ref="B34">VLOOKUP($A34,TN_DEMO,2,FALSE)</f>
        <v>64499</v>
      </c>
      <c r="C34" s="704" t="s">
        <v>63</v>
      </c>
      <c r="D34" s="612" t="s">
        <v>63</v>
      </c>
      <c r="E34" s="612">
        <f>VLOOKUP($A34,'TN Data'!$A$3:$B$97,2,FALSE)</f>
        <v>89</v>
      </c>
      <c r="F34" s="612" t="s">
        <v>63</v>
      </c>
      <c r="G34" s="612" t="s">
        <v>63</v>
      </c>
      <c r="H34" s="671">
        <f>ifna(vlookup(A34,'TN Data'!$A$229:$B$350,2,FALSE),"NULL")</f>
        <v>89</v>
      </c>
      <c r="I34" s="614">
        <f>ifna(vlookup(A34,'TN Data'!$A$112:$B$194,2,FALSE),"NULL")</f>
        <v>18</v>
      </c>
      <c r="J34" s="615" t="s">
        <v>63</v>
      </c>
      <c r="K34" s="672" t="s">
        <v>63</v>
      </c>
      <c r="L34" s="671" t="s">
        <v>63</v>
      </c>
      <c r="M34" s="614" t="s">
        <v>63</v>
      </c>
      <c r="N34" s="612" t="s">
        <v>63</v>
      </c>
      <c r="O34" s="612" t="s">
        <v>63</v>
      </c>
      <c r="P34" s="620">
        <f>ifna(vlookup(A34,'Population &amp; Church Numbers'!$A$2431:$D$2525,4,FALSE),"NULL")</f>
        <v>66</v>
      </c>
      <c r="Q34" s="674" t="s">
        <v>63</v>
      </c>
    </row>
    <row r="35">
      <c r="A35" s="609" t="s">
        <v>497</v>
      </c>
      <c r="B35" s="610">
        <f t="array" ref="B35">VLOOKUP($A35,TN_DEMO,2,FALSE)</f>
        <v>366207</v>
      </c>
      <c r="C35" s="704" t="s">
        <v>63</v>
      </c>
      <c r="D35" s="612" t="s">
        <v>63</v>
      </c>
      <c r="E35" s="612">
        <f>VLOOKUP($A35,'TN Data'!$A$3:$B$97,2,FALSE)</f>
        <v>287</v>
      </c>
      <c r="F35" s="612" t="s">
        <v>63</v>
      </c>
      <c r="G35" s="612" t="s">
        <v>63</v>
      </c>
      <c r="H35" s="671">
        <f>ifna(vlookup(A35,'TN Data'!$A$229:$B$350,2,FALSE),"NULL")</f>
        <v>287</v>
      </c>
      <c r="I35" s="614">
        <f>ifna(vlookup(A35,'TN Data'!$A$112:$B$194,2,FALSE),"NULL")</f>
        <v>24</v>
      </c>
      <c r="J35" s="615" t="s">
        <v>63</v>
      </c>
      <c r="K35" s="672" t="s">
        <v>63</v>
      </c>
      <c r="L35" s="671" t="s">
        <v>63</v>
      </c>
      <c r="M35" s="614" t="s">
        <v>63</v>
      </c>
      <c r="N35" s="612" t="s">
        <v>63</v>
      </c>
      <c r="O35" s="612" t="s">
        <v>63</v>
      </c>
      <c r="P35" s="620">
        <f>ifna(vlookup(A35,'Population &amp; Church Numbers'!$A$2431:$D$2525,4,FALSE),"NULL")</f>
        <v>414</v>
      </c>
      <c r="Q35" s="674" t="s">
        <v>63</v>
      </c>
    </row>
    <row r="36">
      <c r="A36" s="609" t="s">
        <v>587</v>
      </c>
      <c r="B36" s="610">
        <f t="array" ref="B36">VLOOKUP($A36,TN_DEMO,2,FALSE)</f>
        <v>6662</v>
      </c>
      <c r="C36" s="704" t="s">
        <v>63</v>
      </c>
      <c r="D36" s="612" t="s">
        <v>63</v>
      </c>
      <c r="E36" s="612">
        <f>VLOOKUP($A36,'TN Data'!$A$3:$B$97,2,FALSE)</f>
        <v>4</v>
      </c>
      <c r="F36" s="612" t="s">
        <v>63</v>
      </c>
      <c r="G36" s="612" t="s">
        <v>63</v>
      </c>
      <c r="H36" s="671">
        <f>ifna(vlookup(A36,'TN Data'!$A$229:$B$350,2,FALSE),"NULL")</f>
        <v>4</v>
      </c>
      <c r="I36" s="614" t="str">
        <f>ifna(vlookup(A36,'TN Data'!$A$112:$B$194,2,FALSE),"NULL")</f>
        <v>NULL</v>
      </c>
      <c r="J36" s="615" t="s">
        <v>63</v>
      </c>
      <c r="K36" s="672" t="s">
        <v>63</v>
      </c>
      <c r="L36" s="671" t="s">
        <v>63</v>
      </c>
      <c r="M36" s="614" t="s">
        <v>63</v>
      </c>
      <c r="N36" s="612" t="s">
        <v>63</v>
      </c>
      <c r="O36" s="612" t="s">
        <v>63</v>
      </c>
      <c r="P36" s="620">
        <f>ifna(vlookup(A36,'Population &amp; Church Numbers'!$A$2431:$D$2525,4,FALSE),"NULL")</f>
        <v>4</v>
      </c>
      <c r="Q36" s="674" t="s">
        <v>63</v>
      </c>
    </row>
    <row r="37">
      <c r="A37" s="609" t="s">
        <v>1915</v>
      </c>
      <c r="B37" s="610">
        <f t="array" ref="B37">VLOOKUP($A37,TN_DEMO,2,FALSE)</f>
        <v>25462</v>
      </c>
      <c r="C37" s="704" t="s">
        <v>63</v>
      </c>
      <c r="D37" s="612" t="s">
        <v>63</v>
      </c>
      <c r="E37" s="612">
        <f>VLOOKUP($A37,'TN Data'!$A$3:$B$97,2,FALSE)</f>
        <v>17</v>
      </c>
      <c r="F37" s="612" t="s">
        <v>63</v>
      </c>
      <c r="G37" s="612" t="s">
        <v>63</v>
      </c>
      <c r="H37" s="671">
        <f>ifna(vlookup(A37,'TN Data'!$A$229:$B$350,2,FALSE),"NULL")</f>
        <v>17</v>
      </c>
      <c r="I37" s="614">
        <f>ifna(vlookup(A37,'TN Data'!$A$112:$B$194,2,FALSE),"NULL")</f>
        <v>3</v>
      </c>
      <c r="J37" s="615" t="s">
        <v>63</v>
      </c>
      <c r="K37" s="672" t="s">
        <v>63</v>
      </c>
      <c r="L37" s="671" t="s">
        <v>63</v>
      </c>
      <c r="M37" s="614" t="s">
        <v>63</v>
      </c>
      <c r="N37" s="612" t="s">
        <v>63</v>
      </c>
      <c r="O37" s="612" t="s">
        <v>63</v>
      </c>
      <c r="P37" s="620">
        <f>ifna(vlookup(A37,'Population &amp; Church Numbers'!$A$2431:$D$2525,4,FALSE),"NULL")</f>
        <v>42</v>
      </c>
      <c r="Q37" s="674" t="s">
        <v>63</v>
      </c>
    </row>
    <row r="38">
      <c r="A38" s="609" t="s">
        <v>721</v>
      </c>
      <c r="B38" s="610">
        <f t="array" ref="B38">VLOOKUP($A38,TN_DEMO,2,FALSE)</f>
        <v>26831</v>
      </c>
      <c r="C38" s="704" t="s">
        <v>63</v>
      </c>
      <c r="D38" s="612" t="s">
        <v>63</v>
      </c>
      <c r="E38" s="612">
        <f>VLOOKUP($A38,'TN Data'!$A$3:$B$97,2,FALSE)</f>
        <v>34</v>
      </c>
      <c r="F38" s="612" t="s">
        <v>63</v>
      </c>
      <c r="G38" s="612" t="s">
        <v>63</v>
      </c>
      <c r="H38" s="671">
        <f>ifna(vlookup(A38,'TN Data'!$A$229:$B$350,2,FALSE),"NULL")</f>
        <v>34</v>
      </c>
      <c r="I38" s="614">
        <f>ifna(vlookup(A38,'TN Data'!$A$112:$B$194,2,FALSE),"NULL")</f>
        <v>6</v>
      </c>
      <c r="J38" s="615" t="s">
        <v>63</v>
      </c>
      <c r="K38" s="672" t="s">
        <v>63</v>
      </c>
      <c r="L38" s="671" t="s">
        <v>63</v>
      </c>
      <c r="M38" s="614" t="s">
        <v>63</v>
      </c>
      <c r="N38" s="612" t="s">
        <v>63</v>
      </c>
      <c r="O38" s="612" t="s">
        <v>63</v>
      </c>
      <c r="P38" s="620">
        <f>ifna(vlookup(A38,'Population &amp; Church Numbers'!$A$2431:$D$2525,4,FALSE),"NULL")</f>
        <v>50</v>
      </c>
      <c r="Q38" s="674" t="s">
        <v>63</v>
      </c>
    </row>
    <row r="39">
      <c r="A39" s="609" t="s">
        <v>1917</v>
      </c>
      <c r="B39" s="610">
        <f t="array" ref="B39">VLOOKUP($A39,TN_DEMO,2,FALSE)</f>
        <v>56721</v>
      </c>
      <c r="C39" s="704" t="s">
        <v>63</v>
      </c>
      <c r="D39" s="612" t="s">
        <v>63</v>
      </c>
      <c r="E39" s="612">
        <f>VLOOKUP($A39,'TN Data'!$A$3:$B$97,2,FALSE)</f>
        <v>52</v>
      </c>
      <c r="F39" s="612" t="s">
        <v>63</v>
      </c>
      <c r="G39" s="612" t="s">
        <v>63</v>
      </c>
      <c r="H39" s="671">
        <f>ifna(vlookup(A39,'TN Data'!$A$229:$B$350,2,FALSE),"NULL")</f>
        <v>52</v>
      </c>
      <c r="I39" s="614">
        <f>ifna(vlookup(A39,'TN Data'!$A$112:$B$194,2,FALSE),"NULL")</f>
        <v>12</v>
      </c>
      <c r="J39" s="615" t="s">
        <v>63</v>
      </c>
      <c r="K39" s="672" t="s">
        <v>63</v>
      </c>
      <c r="L39" s="671" t="s">
        <v>63</v>
      </c>
      <c r="M39" s="614" t="s">
        <v>63</v>
      </c>
      <c r="N39" s="612" t="s">
        <v>63</v>
      </c>
      <c r="O39" s="612" t="s">
        <v>63</v>
      </c>
      <c r="P39" s="620">
        <f>ifna(vlookup(A39,'Population &amp; Church Numbers'!$A$2431:$D$2525,4,FALSE),"NULL")</f>
        <v>54</v>
      </c>
      <c r="Q39" s="674" t="s">
        <v>63</v>
      </c>
    </row>
    <row r="40">
      <c r="A40" s="609" t="s">
        <v>1607</v>
      </c>
      <c r="B40" s="610">
        <f t="array" ref="B40">VLOOKUP($A40,TN_DEMO,2,FALSE)</f>
        <v>17864</v>
      </c>
      <c r="C40" s="704" t="s">
        <v>63</v>
      </c>
      <c r="D40" s="612" t="s">
        <v>63</v>
      </c>
      <c r="E40" s="612">
        <f>VLOOKUP($A40,'TN Data'!$A$3:$B$97,2,FALSE)</f>
        <v>9</v>
      </c>
      <c r="F40" s="612" t="s">
        <v>63</v>
      </c>
      <c r="G40" s="612" t="s">
        <v>63</v>
      </c>
      <c r="H40" s="671">
        <f>ifna(vlookup(A40,'TN Data'!$A$229:$B$350,2,FALSE),"NULL")</f>
        <v>9</v>
      </c>
      <c r="I40" s="614">
        <f>ifna(vlookup(A40,'TN Data'!$A$112:$B$194,2,FALSE),"NULL")</f>
        <v>1</v>
      </c>
      <c r="J40" s="615" t="s">
        <v>63</v>
      </c>
      <c r="K40" s="672" t="s">
        <v>63</v>
      </c>
      <c r="L40" s="671" t="s">
        <v>63</v>
      </c>
      <c r="M40" s="614" t="s">
        <v>63</v>
      </c>
      <c r="N40" s="612" t="s">
        <v>63</v>
      </c>
      <c r="O40" s="612" t="s">
        <v>63</v>
      </c>
      <c r="P40" s="620">
        <f>ifna(vlookup(A40,'Population &amp; Church Numbers'!$A$2431:$D$2525,4,FALSE),"NULL")</f>
        <v>43</v>
      </c>
      <c r="Q40" s="674" t="s">
        <v>63</v>
      </c>
    </row>
    <row r="41">
      <c r="A41" s="609" t="s">
        <v>722</v>
      </c>
      <c r="B41" s="610">
        <f t="array" ref="B41">VLOOKUP($A41,TN_DEMO,2,FALSE)</f>
        <v>27842</v>
      </c>
      <c r="C41" s="704" t="s">
        <v>63</v>
      </c>
      <c r="D41" s="612" t="s">
        <v>63</v>
      </c>
      <c r="E41" s="612">
        <f>VLOOKUP($A41,'TN Data'!$A$3:$B$97,2,FALSE)</f>
        <v>23</v>
      </c>
      <c r="F41" s="612" t="s">
        <v>63</v>
      </c>
      <c r="G41" s="612" t="s">
        <v>63</v>
      </c>
      <c r="H41" s="671">
        <f>ifna(vlookup(A41,'TN Data'!$A$229:$B$350,2,FALSE),"NULL")</f>
        <v>23</v>
      </c>
      <c r="I41" s="614">
        <f>ifna(vlookup(A41,'TN Data'!$A$112:$B$194,2,FALSE),"NULL")</f>
        <v>4</v>
      </c>
      <c r="J41" s="615" t="s">
        <v>63</v>
      </c>
      <c r="K41" s="672" t="s">
        <v>63</v>
      </c>
      <c r="L41" s="671" t="s">
        <v>63</v>
      </c>
      <c r="M41" s="614" t="s">
        <v>63</v>
      </c>
      <c r="N41" s="612" t="s">
        <v>63</v>
      </c>
      <c r="O41" s="612" t="s">
        <v>63</v>
      </c>
      <c r="P41" s="620">
        <f>ifna(vlookup(A41,'Population &amp; Church Numbers'!$A$2431:$D$2525,4,FALSE),"NULL")</f>
        <v>31</v>
      </c>
      <c r="Q41" s="674" t="s">
        <v>63</v>
      </c>
    </row>
    <row r="42">
      <c r="A42" s="609" t="s">
        <v>140</v>
      </c>
      <c r="B42" s="610">
        <f t="array" ref="B42">VLOOKUP($A42,TN_DEMO,2,FALSE)</f>
        <v>32199</v>
      </c>
      <c r="C42" s="704" t="s">
        <v>63</v>
      </c>
      <c r="D42" s="612" t="s">
        <v>63</v>
      </c>
      <c r="E42" s="612">
        <f>VLOOKUP($A42,'TN Data'!$A$3:$B$97,2,FALSE)</f>
        <v>26</v>
      </c>
      <c r="F42" s="612" t="s">
        <v>63</v>
      </c>
      <c r="G42" s="612" t="s">
        <v>63</v>
      </c>
      <c r="H42" s="671">
        <f>ifna(vlookup(A42,'TN Data'!$A$229:$B$350,2,FALSE),"NULL")</f>
        <v>26</v>
      </c>
      <c r="I42" s="614">
        <f>ifna(vlookup(A42,'TN Data'!$A$112:$B$194,2,FALSE),"NULL")</f>
        <v>2</v>
      </c>
      <c r="J42" s="615" t="s">
        <v>63</v>
      </c>
      <c r="K42" s="672" t="s">
        <v>63</v>
      </c>
      <c r="L42" s="671" t="s">
        <v>63</v>
      </c>
      <c r="M42" s="614" t="s">
        <v>63</v>
      </c>
      <c r="N42" s="612" t="s">
        <v>63</v>
      </c>
      <c r="O42" s="612" t="s">
        <v>63</v>
      </c>
      <c r="P42" s="620">
        <f>ifna(vlookup(A42,'Population &amp; Church Numbers'!$A$2431:$D$2525,4,FALSE),"NULL")</f>
        <v>52</v>
      </c>
      <c r="Q42" s="674" t="s">
        <v>63</v>
      </c>
    </row>
    <row r="43">
      <c r="A43" s="609" t="s">
        <v>1097</v>
      </c>
      <c r="B43" s="610">
        <f t="array" ref="B43">VLOOKUP($A43,TN_DEMO,2,FALSE)</f>
        <v>24925</v>
      </c>
      <c r="C43" s="704" t="s">
        <v>63</v>
      </c>
      <c r="D43" s="612" t="s">
        <v>63</v>
      </c>
      <c r="E43" s="612">
        <f>VLOOKUP($A43,'TN Data'!$A$3:$B$97,2,FALSE)</f>
        <v>40</v>
      </c>
      <c r="F43" s="612" t="s">
        <v>63</v>
      </c>
      <c r="G43" s="612" t="s">
        <v>63</v>
      </c>
      <c r="H43" s="671">
        <f>ifna(vlookup(A43,'TN Data'!$A$229:$B$350,2,FALSE),"NULL")</f>
        <v>40</v>
      </c>
      <c r="I43" s="614">
        <f>ifna(vlookup(A43,'TN Data'!$A$112:$B$194,2,FALSE),"NULL")</f>
        <v>6</v>
      </c>
      <c r="J43" s="615" t="s">
        <v>63</v>
      </c>
      <c r="K43" s="672" t="s">
        <v>63</v>
      </c>
      <c r="L43" s="671" t="s">
        <v>63</v>
      </c>
      <c r="M43" s="614" t="s">
        <v>63</v>
      </c>
      <c r="N43" s="612" t="s">
        <v>63</v>
      </c>
      <c r="O43" s="612" t="s">
        <v>63</v>
      </c>
      <c r="P43" s="620">
        <f>ifna(vlookup(A43,'Population &amp; Church Numbers'!$A$2431:$D$2525,4,FALSE),"NULL")</f>
        <v>30</v>
      </c>
      <c r="Q43" s="674" t="s">
        <v>63</v>
      </c>
    </row>
    <row r="44">
      <c r="A44" s="609" t="s">
        <v>141</v>
      </c>
      <c r="B44" s="610">
        <f t="array" ref="B44">VLOOKUP($A44,TN_DEMO,2,FALSE)</f>
        <v>8283</v>
      </c>
      <c r="C44" s="704" t="s">
        <v>63</v>
      </c>
      <c r="D44" s="612" t="s">
        <v>63</v>
      </c>
      <c r="E44" s="612">
        <f>VLOOKUP($A44,'TN Data'!$A$3:$B$97,2,FALSE)</f>
        <v>9</v>
      </c>
      <c r="F44" s="612" t="s">
        <v>63</v>
      </c>
      <c r="G44" s="612" t="s">
        <v>63</v>
      </c>
      <c r="H44" s="671">
        <f>ifna(vlookup(A44,'TN Data'!$A$229:$B$350,2,FALSE),"NULL")</f>
        <v>9</v>
      </c>
      <c r="I44" s="614">
        <f>ifna(vlookup(A44,'TN Data'!$A$112:$B$194,2,FALSE),"NULL")</f>
        <v>2</v>
      </c>
      <c r="J44" s="615" t="s">
        <v>63</v>
      </c>
      <c r="K44" s="672" t="s">
        <v>63</v>
      </c>
      <c r="L44" s="671" t="s">
        <v>63</v>
      </c>
      <c r="M44" s="614" t="s">
        <v>63</v>
      </c>
      <c r="N44" s="612" t="s">
        <v>63</v>
      </c>
      <c r="O44" s="612" t="s">
        <v>63</v>
      </c>
      <c r="P44" s="620">
        <f>ifna(vlookup(A44,'Population &amp; Church Numbers'!$A$2431:$D$2525,4,FALSE),"NULL")</f>
        <v>19</v>
      </c>
      <c r="Q44" s="674" t="s">
        <v>63</v>
      </c>
    </row>
    <row r="45">
      <c r="A45" s="609" t="s">
        <v>1368</v>
      </c>
      <c r="B45" s="610">
        <f t="array" ref="B45">VLOOKUP($A45,TN_DEMO,2,FALSE)</f>
        <v>18990</v>
      </c>
      <c r="C45" s="704" t="s">
        <v>63</v>
      </c>
      <c r="D45" s="612" t="s">
        <v>63</v>
      </c>
      <c r="E45" s="612">
        <f>VLOOKUP($A45,'TN Data'!$A$3:$B$97,2,FALSE)</f>
        <v>23</v>
      </c>
      <c r="F45" s="612" t="s">
        <v>63</v>
      </c>
      <c r="G45" s="612" t="s">
        <v>63</v>
      </c>
      <c r="H45" s="671">
        <f>ifna(vlookup(A45,'TN Data'!$A$229:$B$350,2,FALSE),"NULL")</f>
        <v>23</v>
      </c>
      <c r="I45" s="614">
        <f>ifna(vlookup(A45,'TN Data'!$A$112:$B$194,2,FALSE),"NULL")</f>
        <v>3</v>
      </c>
      <c r="J45" s="615" t="s">
        <v>63</v>
      </c>
      <c r="K45" s="672" t="s">
        <v>63</v>
      </c>
      <c r="L45" s="671" t="s">
        <v>63</v>
      </c>
      <c r="M45" s="614" t="s">
        <v>63</v>
      </c>
      <c r="N45" s="612" t="s">
        <v>63</v>
      </c>
      <c r="O45" s="612" t="s">
        <v>63</v>
      </c>
      <c r="P45" s="620">
        <f>ifna(vlookup(A45,'Population &amp; Church Numbers'!$A$2431:$D$2525,4,FALSE),"NULL")</f>
        <v>32</v>
      </c>
      <c r="Q45" s="674" t="s">
        <v>63</v>
      </c>
    </row>
    <row r="46">
      <c r="A46" s="609" t="s">
        <v>142</v>
      </c>
      <c r="B46" s="610">
        <f t="array" ref="B46">VLOOKUP($A46,TN_DEMO,2,FALSE)</f>
        <v>11617</v>
      </c>
      <c r="C46" s="704" t="s">
        <v>63</v>
      </c>
      <c r="D46" s="612" t="s">
        <v>63</v>
      </c>
      <c r="E46" s="612">
        <f>VLOOKUP($A46,'TN Data'!$A$3:$B$97,2,FALSE)</f>
        <v>17</v>
      </c>
      <c r="F46" s="612" t="s">
        <v>63</v>
      </c>
      <c r="G46" s="612" t="s">
        <v>63</v>
      </c>
      <c r="H46" s="671">
        <f>ifna(vlookup(A46,'TN Data'!$A$229:$B$350,2,FALSE),"NULL")</f>
        <v>17</v>
      </c>
      <c r="I46" s="614">
        <f>ifna(vlookup(A46,'TN Data'!$A$112:$B$194,2,FALSE),"NULL")</f>
        <v>3</v>
      </c>
      <c r="J46" s="615" t="s">
        <v>63</v>
      </c>
      <c r="K46" s="672" t="s">
        <v>63</v>
      </c>
      <c r="L46" s="671" t="s">
        <v>63</v>
      </c>
      <c r="M46" s="614" t="s">
        <v>63</v>
      </c>
      <c r="N46" s="612" t="s">
        <v>63</v>
      </c>
      <c r="O46" s="612" t="s">
        <v>63</v>
      </c>
      <c r="P46" s="620">
        <f>ifna(vlookup(A46,'Population &amp; Church Numbers'!$A$2431:$D$2525,4,FALSE),"NULL")</f>
        <v>16</v>
      </c>
      <c r="Q46" s="674" t="s">
        <v>63</v>
      </c>
    </row>
    <row r="47">
      <c r="A47" s="609" t="s">
        <v>143</v>
      </c>
      <c r="B47" s="610">
        <f t="array" ref="B47">VLOOKUP($A47,TN_DEMO,2,FALSE)</f>
        <v>54683</v>
      </c>
      <c r="C47" s="704" t="s">
        <v>63</v>
      </c>
      <c r="D47" s="612" t="s">
        <v>63</v>
      </c>
      <c r="E47" s="612">
        <f>VLOOKUP($A47,'TN Data'!$A$3:$B$97,2,FALSE)</f>
        <v>69</v>
      </c>
      <c r="F47" s="612" t="s">
        <v>63</v>
      </c>
      <c r="G47" s="612" t="s">
        <v>63</v>
      </c>
      <c r="H47" s="671">
        <f>ifna(vlookup(A47,'TN Data'!$A$229:$B$350,2,FALSE),"NULL")</f>
        <v>69</v>
      </c>
      <c r="I47" s="614">
        <f>ifna(vlookup(A47,'TN Data'!$A$112:$B$194,2,FALSE),"NULL")</f>
        <v>16</v>
      </c>
      <c r="J47" s="615" t="s">
        <v>63</v>
      </c>
      <c r="K47" s="672" t="s">
        <v>63</v>
      </c>
      <c r="L47" s="671" t="s">
        <v>63</v>
      </c>
      <c r="M47" s="614" t="s">
        <v>63</v>
      </c>
      <c r="N47" s="612" t="s">
        <v>63</v>
      </c>
      <c r="O47" s="612" t="s">
        <v>63</v>
      </c>
      <c r="P47" s="620">
        <f>ifna(vlookup(A47,'Population &amp; Church Numbers'!$A$2431:$D$2525,4,FALSE),"NULL")</f>
        <v>61</v>
      </c>
      <c r="Q47" s="674" t="s">
        <v>63</v>
      </c>
    </row>
    <row r="48">
      <c r="A48" s="609" t="s">
        <v>288</v>
      </c>
      <c r="B48" s="610">
        <f t="array" ref="B48">VLOOKUP($A48,TN_DEMO,2,FALSE)</f>
        <v>17948</v>
      </c>
      <c r="C48" s="704" t="s">
        <v>63</v>
      </c>
      <c r="D48" s="612" t="s">
        <v>63</v>
      </c>
      <c r="E48" s="612">
        <f>VLOOKUP($A48,'TN Data'!$A$3:$B$97,2,FALSE)</f>
        <v>19</v>
      </c>
      <c r="F48" s="612" t="s">
        <v>63</v>
      </c>
      <c r="G48" s="612" t="s">
        <v>63</v>
      </c>
      <c r="H48" s="671">
        <f>ifna(vlookup(A48,'TN Data'!$A$229:$B$350,2,FALSE),"NULL")</f>
        <v>19</v>
      </c>
      <c r="I48" s="614">
        <f>ifna(vlookup(A48,'TN Data'!$A$112:$B$194,2,FALSE),"NULL")</f>
        <v>11</v>
      </c>
      <c r="J48" s="615" t="s">
        <v>63</v>
      </c>
      <c r="K48" s="672" t="s">
        <v>63</v>
      </c>
      <c r="L48" s="671" t="s">
        <v>63</v>
      </c>
      <c r="M48" s="614" t="s">
        <v>63</v>
      </c>
      <c r="N48" s="612" t="s">
        <v>63</v>
      </c>
      <c r="O48" s="612" t="s">
        <v>63</v>
      </c>
      <c r="P48" s="620">
        <f>ifna(vlookup(A48,'Population &amp; Church Numbers'!$A$2431:$D$2525,4,FALSE),"NULL")</f>
        <v>26</v>
      </c>
      <c r="Q48" s="674" t="s">
        <v>63</v>
      </c>
    </row>
    <row r="49">
      <c r="A49" s="609" t="s">
        <v>728</v>
      </c>
      <c r="B49" s="610">
        <f t="array" ref="B49">VLOOKUP($A49,TN_DEMO,2,FALSE)</f>
        <v>478971</v>
      </c>
      <c r="C49" s="704" t="s">
        <v>63</v>
      </c>
      <c r="D49" s="612" t="s">
        <v>63</v>
      </c>
      <c r="E49" s="612">
        <f>VLOOKUP($A49,'TN Data'!$A$3:$B$97,2,FALSE)</f>
        <v>450</v>
      </c>
      <c r="F49" s="612" t="s">
        <v>63</v>
      </c>
      <c r="G49" s="612" t="s">
        <v>63</v>
      </c>
      <c r="H49" s="671">
        <f>ifna(vlookup(A49,'TN Data'!$A$229:$B$350,2,FALSE),"NULL")</f>
        <v>450</v>
      </c>
      <c r="I49" s="614">
        <f>ifna(vlookup(A49,'TN Data'!$A$112:$B$194,2,FALSE),"NULL")</f>
        <v>48</v>
      </c>
      <c r="J49" s="615" t="s">
        <v>63</v>
      </c>
      <c r="K49" s="672" t="s">
        <v>63</v>
      </c>
      <c r="L49" s="671" t="s">
        <v>63</v>
      </c>
      <c r="M49" s="614" t="s">
        <v>63</v>
      </c>
      <c r="N49" s="612" t="s">
        <v>63</v>
      </c>
      <c r="O49" s="612" t="s">
        <v>63</v>
      </c>
      <c r="P49" s="620">
        <f>ifna(vlookup(A49,'Population &amp; Church Numbers'!$A$2431:$D$2525,4,FALSE),"NULL")</f>
        <v>430</v>
      </c>
      <c r="Q49" s="674" t="s">
        <v>63</v>
      </c>
    </row>
    <row r="50">
      <c r="A50" s="609" t="s">
        <v>337</v>
      </c>
      <c r="B50" s="610">
        <f t="array" ref="B50">VLOOKUP($A50,TN_DEMO,2,FALSE)</f>
        <v>7005</v>
      </c>
      <c r="C50" s="704" t="s">
        <v>63</v>
      </c>
      <c r="D50" s="612" t="s">
        <v>63</v>
      </c>
      <c r="E50" s="612">
        <f>VLOOKUP($A50,'TN Data'!$A$3:$B$97,2,FALSE)</f>
        <v>18</v>
      </c>
      <c r="F50" s="612" t="s">
        <v>63</v>
      </c>
      <c r="G50" s="612" t="s">
        <v>63</v>
      </c>
      <c r="H50" s="671">
        <f>ifna(vlookup(A50,'TN Data'!$A$229:$B$350,2,FALSE),"NULL")</f>
        <v>18</v>
      </c>
      <c r="I50" s="614" t="str">
        <f>ifna(vlookup(A50,'TN Data'!$A$112:$B$194,2,FALSE),"NULL")</f>
        <v>NULL</v>
      </c>
      <c r="J50" s="615" t="s">
        <v>63</v>
      </c>
      <c r="K50" s="672" t="s">
        <v>63</v>
      </c>
      <c r="L50" s="671" t="s">
        <v>63</v>
      </c>
      <c r="M50" s="614" t="s">
        <v>63</v>
      </c>
      <c r="N50" s="612" t="s">
        <v>63</v>
      </c>
      <c r="O50" s="612" t="s">
        <v>63</v>
      </c>
      <c r="P50" s="620">
        <f>ifna(vlookup(A50,'Population &amp; Church Numbers'!$A$2431:$D$2525,4,FALSE),"NULL")</f>
        <v>10</v>
      </c>
      <c r="Q50" s="674" t="s">
        <v>63</v>
      </c>
    </row>
    <row r="51">
      <c r="A51" s="609" t="s">
        <v>145</v>
      </c>
      <c r="B51" s="610">
        <f t="array" ref="B51">VLOOKUP($A51,TN_DEMO,2,FALSE)</f>
        <v>25143</v>
      </c>
      <c r="C51" s="704" t="s">
        <v>63</v>
      </c>
      <c r="D51" s="612" t="s">
        <v>63</v>
      </c>
      <c r="E51" s="612">
        <f>VLOOKUP($A51,'TN Data'!$A$3:$B$97,2,FALSE)</f>
        <v>31</v>
      </c>
      <c r="F51" s="612" t="s">
        <v>63</v>
      </c>
      <c r="G51" s="612" t="s">
        <v>63</v>
      </c>
      <c r="H51" s="671">
        <f>ifna(vlookup(A51,'TN Data'!$A$229:$B$350,2,FALSE),"NULL")</f>
        <v>31</v>
      </c>
      <c r="I51" s="614">
        <f>ifna(vlookup(A51,'TN Data'!$A$112:$B$194,2,FALSE),"NULL")</f>
        <v>5</v>
      </c>
      <c r="J51" s="615" t="s">
        <v>63</v>
      </c>
      <c r="K51" s="672" t="s">
        <v>63</v>
      </c>
      <c r="L51" s="671" t="s">
        <v>63</v>
      </c>
      <c r="M51" s="614" t="s">
        <v>63</v>
      </c>
      <c r="N51" s="612" t="s">
        <v>63</v>
      </c>
      <c r="O51" s="612" t="s">
        <v>63</v>
      </c>
      <c r="P51" s="620">
        <f>ifna(vlookup(A51,'Population &amp; Church Numbers'!$A$2431:$D$2525,4,FALSE),"NULL")</f>
        <v>38</v>
      </c>
      <c r="Q51" s="674" t="s">
        <v>63</v>
      </c>
    </row>
    <row r="52">
      <c r="A52" s="609" t="s">
        <v>146</v>
      </c>
      <c r="B52" s="610">
        <f t="array" ref="B52">VLOOKUP($A52,TN_DEMO,2,FALSE)</f>
        <v>44159</v>
      </c>
      <c r="C52" s="704" t="s">
        <v>63</v>
      </c>
      <c r="D52" s="612" t="s">
        <v>63</v>
      </c>
      <c r="E52" s="612">
        <f>VLOOKUP($A52,'TN Data'!$A$3:$B$97,2,FALSE)</f>
        <v>166</v>
      </c>
      <c r="F52" s="612" t="s">
        <v>63</v>
      </c>
      <c r="G52" s="612" t="s">
        <v>63</v>
      </c>
      <c r="H52" s="671">
        <f>ifna(vlookup(A52,'TN Data'!$A$229:$B$350,2,FALSE),"NULL")</f>
        <v>166</v>
      </c>
      <c r="I52" s="614">
        <f>ifna(vlookup(A52,'TN Data'!$A$112:$B$194,2,FALSE),"NULL")</f>
        <v>11</v>
      </c>
      <c r="J52" s="615" t="s">
        <v>63</v>
      </c>
      <c r="K52" s="672" t="s">
        <v>63</v>
      </c>
      <c r="L52" s="671" t="s">
        <v>63</v>
      </c>
      <c r="M52" s="614" t="s">
        <v>63</v>
      </c>
      <c r="N52" s="612" t="s">
        <v>63</v>
      </c>
      <c r="O52" s="612" t="s">
        <v>63</v>
      </c>
      <c r="P52" s="620">
        <f>ifna(vlookup(A52,'Population &amp; Church Numbers'!$A$2431:$D$2525,4,FALSE),"NULL")</f>
        <v>67</v>
      </c>
      <c r="Q52" s="674" t="s">
        <v>63</v>
      </c>
    </row>
    <row r="53">
      <c r="A53" s="609" t="s">
        <v>682</v>
      </c>
      <c r="B53" s="610">
        <f t="array" ref="B53">VLOOKUP($A53,TN_DEMO,2,FALSE)</f>
        <v>12582</v>
      </c>
      <c r="C53" s="704" t="s">
        <v>63</v>
      </c>
      <c r="D53" s="612" t="s">
        <v>63</v>
      </c>
      <c r="E53" s="612">
        <f>VLOOKUP($A53,'TN Data'!$A$3:$B$97,2,FALSE)</f>
        <v>20</v>
      </c>
      <c r="F53" s="612" t="s">
        <v>63</v>
      </c>
      <c r="G53" s="612" t="s">
        <v>63</v>
      </c>
      <c r="H53" s="671">
        <f>ifna(vlookup(A53,'TN Data'!$A$229:$B$350,2,FALSE),"NULL")</f>
        <v>20</v>
      </c>
      <c r="I53" s="614">
        <f>ifna(vlookup(A53,'TN Data'!$A$112:$B$194,2,FALSE),"NULL")</f>
        <v>2</v>
      </c>
      <c r="J53" s="615" t="s">
        <v>63</v>
      </c>
      <c r="K53" s="672" t="s">
        <v>63</v>
      </c>
      <c r="L53" s="671" t="s">
        <v>63</v>
      </c>
      <c r="M53" s="614" t="s">
        <v>63</v>
      </c>
      <c r="N53" s="612" t="s">
        <v>63</v>
      </c>
      <c r="O53" s="612" t="s">
        <v>63</v>
      </c>
      <c r="P53" s="620">
        <f>ifna(vlookup(A53,'Population &amp; Church Numbers'!$A$2431:$D$2525,4,FALSE),"NULL")</f>
        <v>17</v>
      </c>
      <c r="Q53" s="674" t="s">
        <v>63</v>
      </c>
    </row>
    <row r="54">
      <c r="A54" s="609" t="s">
        <v>290</v>
      </c>
      <c r="B54" s="610">
        <f t="array" ref="B54">VLOOKUP($A54,TN_DEMO,2,FALSE)</f>
        <v>35319</v>
      </c>
      <c r="C54" s="704" t="s">
        <v>63</v>
      </c>
      <c r="D54" s="612" t="s">
        <v>63</v>
      </c>
      <c r="E54" s="612">
        <f>VLOOKUP($A54,'TN Data'!$A$3:$B$97,2,FALSE)</f>
        <v>17</v>
      </c>
      <c r="F54" s="612" t="s">
        <v>63</v>
      </c>
      <c r="G54" s="612" t="s">
        <v>63</v>
      </c>
      <c r="H54" s="671">
        <f>ifna(vlookup(A54,'TN Data'!$A$229:$B$350,2,FALSE),"NULL")</f>
        <v>17</v>
      </c>
      <c r="I54" s="614">
        <f>ifna(vlookup(A54,'TN Data'!$A$112:$B$194,2,FALSE),"NULL")</f>
        <v>3</v>
      </c>
      <c r="J54" s="615" t="s">
        <v>63</v>
      </c>
      <c r="K54" s="672" t="s">
        <v>63</v>
      </c>
      <c r="L54" s="671" t="s">
        <v>63</v>
      </c>
      <c r="M54" s="614" t="s">
        <v>63</v>
      </c>
      <c r="N54" s="612" t="s">
        <v>63</v>
      </c>
      <c r="O54" s="612" t="s">
        <v>63</v>
      </c>
      <c r="P54" s="620">
        <f>ifna(vlookup(A54,'Population &amp; Church Numbers'!$A$2431:$D$2525,4,FALSE),"NULL")</f>
        <v>46</v>
      </c>
      <c r="Q54" s="674" t="s">
        <v>63</v>
      </c>
    </row>
    <row r="55">
      <c r="A55" s="609" t="s">
        <v>1930</v>
      </c>
      <c r="B55" s="610">
        <f t="array" ref="B55">VLOOKUP($A55,TN_DEMO,2,FALSE)</f>
        <v>54886</v>
      </c>
      <c r="C55" s="704" t="s">
        <v>63</v>
      </c>
      <c r="D55" s="612" t="s">
        <v>63</v>
      </c>
      <c r="E55" s="612">
        <f>VLOOKUP($A55,'TN Data'!$A$3:$B$97,2,FALSE)</f>
        <v>22</v>
      </c>
      <c r="F55" s="612" t="s">
        <v>63</v>
      </c>
      <c r="G55" s="612" t="s">
        <v>63</v>
      </c>
      <c r="H55" s="671">
        <f>ifna(vlookup(A55,'TN Data'!$A$229:$B$350,2,FALSE),"NULL")</f>
        <v>22</v>
      </c>
      <c r="I55" s="614">
        <f>ifna(vlookup(A55,'TN Data'!$A$112:$B$194,2,FALSE),"NULL")</f>
        <v>8</v>
      </c>
      <c r="J55" s="615" t="s">
        <v>63</v>
      </c>
      <c r="K55" s="672" t="s">
        <v>63</v>
      </c>
      <c r="L55" s="671" t="s">
        <v>63</v>
      </c>
      <c r="M55" s="614" t="s">
        <v>63</v>
      </c>
      <c r="N55" s="612" t="s">
        <v>63</v>
      </c>
      <c r="O55" s="612" t="s">
        <v>63</v>
      </c>
      <c r="P55" s="620">
        <f>ifna(vlookup(A55,'Population &amp; Church Numbers'!$A$2431:$D$2525,4,FALSE),"NULL")</f>
        <v>61</v>
      </c>
      <c r="Q55" s="674" t="s">
        <v>63</v>
      </c>
    </row>
    <row r="56">
      <c r="A56" s="609" t="s">
        <v>1933</v>
      </c>
      <c r="B56" s="610">
        <f t="array" ref="B56">VLOOKUP($A56,TN_DEMO,2,FALSE)</f>
        <v>53276</v>
      </c>
      <c r="C56" s="704" t="s">
        <v>63</v>
      </c>
      <c r="D56" s="612" t="s">
        <v>63</v>
      </c>
      <c r="E56" s="612">
        <f>VLOOKUP($A56,'TN Data'!$A$3:$B$97,2,FALSE)</f>
        <v>56</v>
      </c>
      <c r="F56" s="612" t="s">
        <v>63</v>
      </c>
      <c r="G56" s="612" t="s">
        <v>63</v>
      </c>
      <c r="H56" s="671">
        <f>ifna(vlookup(A56,'TN Data'!$A$229:$B$350,2,FALSE),"NULL")</f>
        <v>56</v>
      </c>
      <c r="I56" s="614">
        <f>ifna(vlookup(A56,'TN Data'!$A$112:$B$194,2,FALSE),"NULL")</f>
        <v>10</v>
      </c>
      <c r="J56" s="615" t="s">
        <v>63</v>
      </c>
      <c r="K56" s="672" t="s">
        <v>63</v>
      </c>
      <c r="L56" s="671" t="s">
        <v>63</v>
      </c>
      <c r="M56" s="614" t="s">
        <v>63</v>
      </c>
      <c r="N56" s="612" t="s">
        <v>63</v>
      </c>
      <c r="O56" s="612" t="s">
        <v>63</v>
      </c>
      <c r="P56" s="620">
        <f>ifna(vlookup(A56,'Population &amp; Church Numbers'!$A$2431:$D$2525,4,FALSE),"NULL")</f>
        <v>68</v>
      </c>
      <c r="Q56" s="674" t="s">
        <v>63</v>
      </c>
    </row>
    <row r="57">
      <c r="A57" s="609" t="s">
        <v>1935</v>
      </c>
      <c r="B57" s="610">
        <f t="array" ref="B57">VLOOKUP($A57,TN_DEMO,2,FALSE)</f>
        <v>25866</v>
      </c>
      <c r="C57" s="704" t="s">
        <v>63</v>
      </c>
      <c r="D57" s="612" t="s">
        <v>63</v>
      </c>
      <c r="E57" s="612">
        <f>VLOOKUP($A57,'TN Data'!$A$3:$B$97,2,FALSE)</f>
        <v>17</v>
      </c>
      <c r="F57" s="612" t="s">
        <v>63</v>
      </c>
      <c r="G57" s="612" t="s">
        <v>63</v>
      </c>
      <c r="H57" s="671">
        <f>ifna(vlookup(A57,'TN Data'!$A$229:$B$350,2,FALSE),"NULL")</f>
        <v>17</v>
      </c>
      <c r="I57" s="614" t="str">
        <f>ifna(vlookup(A57,'TN Data'!$A$112:$B$194,2,FALSE),"NULL")</f>
        <v>NULL</v>
      </c>
      <c r="J57" s="615" t="s">
        <v>63</v>
      </c>
      <c r="K57" s="672" t="s">
        <v>63</v>
      </c>
      <c r="L57" s="671" t="s">
        <v>63</v>
      </c>
      <c r="M57" s="614" t="s">
        <v>63</v>
      </c>
      <c r="N57" s="612" t="s">
        <v>63</v>
      </c>
      <c r="O57" s="612" t="s">
        <v>63</v>
      </c>
      <c r="P57" s="620">
        <f>ifna(vlookup(A57,'Population &amp; Church Numbers'!$A$2431:$D$2525,4,FALSE),"NULL")</f>
        <v>38</v>
      </c>
      <c r="Q57" s="674" t="s">
        <v>63</v>
      </c>
    </row>
    <row r="58">
      <c r="A58" s="609" t="s">
        <v>150</v>
      </c>
      <c r="B58" s="610">
        <f t="array" ref="B58">VLOOKUP($A58,TN_DEMO,2,FALSE)</f>
        <v>25216</v>
      </c>
      <c r="C58" s="704" t="s">
        <v>63</v>
      </c>
      <c r="D58" s="612" t="s">
        <v>63</v>
      </c>
      <c r="E58" s="612">
        <f>VLOOKUP($A58,'TN Data'!$A$3:$B$97,2,FALSE)</f>
        <v>46</v>
      </c>
      <c r="F58" s="612" t="s">
        <v>63</v>
      </c>
      <c r="G58" s="612" t="s">
        <v>63</v>
      </c>
      <c r="H58" s="671">
        <f>ifna(vlookup(A58,'TN Data'!$A$229:$B$350,2,FALSE),"NULL")</f>
        <v>46</v>
      </c>
      <c r="I58" s="614">
        <f>ifna(vlookup(A58,'TN Data'!$A$112:$B$194,2,FALSE),"NULL")</f>
        <v>7</v>
      </c>
      <c r="J58" s="615" t="s">
        <v>63</v>
      </c>
      <c r="K58" s="672" t="s">
        <v>63</v>
      </c>
      <c r="L58" s="671" t="s">
        <v>63</v>
      </c>
      <c r="M58" s="614" t="s">
        <v>63</v>
      </c>
      <c r="N58" s="612" t="s">
        <v>63</v>
      </c>
      <c r="O58" s="612" t="s">
        <v>63</v>
      </c>
      <c r="P58" s="620">
        <f>ifna(vlookup(A58,'Population &amp; Church Numbers'!$A$2431:$D$2525,4,FALSE),"NULL")</f>
        <v>18</v>
      </c>
      <c r="Q58" s="674" t="s">
        <v>63</v>
      </c>
    </row>
    <row r="59">
      <c r="A59" s="609" t="s">
        <v>151</v>
      </c>
      <c r="B59" s="610">
        <f t="array" ref="B59">VLOOKUP($A59,TN_DEMO,2,FALSE)</f>
        <v>98823</v>
      </c>
      <c r="C59" s="704" t="s">
        <v>63</v>
      </c>
      <c r="D59" s="612" t="s">
        <v>63</v>
      </c>
      <c r="E59" s="612">
        <f>VLOOKUP($A59,'TN Data'!$A$3:$B$97,2,FALSE)</f>
        <v>63</v>
      </c>
      <c r="F59" s="612" t="s">
        <v>63</v>
      </c>
      <c r="G59" s="612" t="s">
        <v>63</v>
      </c>
      <c r="H59" s="671">
        <f>ifna(vlookup(A59,'TN Data'!$A$229:$B$350,2,FALSE),"NULL")</f>
        <v>63</v>
      </c>
      <c r="I59" s="614">
        <f>ifna(vlookup(A59,'TN Data'!$A$112:$B$194,2,FALSE),"NULL")</f>
        <v>1</v>
      </c>
      <c r="J59" s="615" t="s">
        <v>63</v>
      </c>
      <c r="K59" s="672" t="s">
        <v>63</v>
      </c>
      <c r="L59" s="671" t="s">
        <v>63</v>
      </c>
      <c r="M59" s="614" t="s">
        <v>63</v>
      </c>
      <c r="N59" s="612" t="s">
        <v>63</v>
      </c>
      <c r="O59" s="612" t="s">
        <v>63</v>
      </c>
      <c r="P59" s="620">
        <f>ifna(vlookup(A59,'Population &amp; Church Numbers'!$A$2431:$D$2525,4,FALSE),"NULL")</f>
        <v>141</v>
      </c>
      <c r="Q59" s="674" t="s">
        <v>63</v>
      </c>
    </row>
    <row r="60">
      <c r="A60" s="609" t="s">
        <v>153</v>
      </c>
      <c r="B60" s="610">
        <f t="array" ref="B60">VLOOKUP($A60,TN_DEMO,2,FALSE)</f>
        <v>28837</v>
      </c>
      <c r="C60" s="704" t="s">
        <v>63</v>
      </c>
      <c r="D60" s="612" t="s">
        <v>63</v>
      </c>
      <c r="E60" s="612">
        <f>VLOOKUP($A60,'TN Data'!$A$3:$B$97,2,FALSE)</f>
        <v>14</v>
      </c>
      <c r="F60" s="612" t="s">
        <v>63</v>
      </c>
      <c r="G60" s="612" t="s">
        <v>63</v>
      </c>
      <c r="H60" s="671">
        <f>ifna(vlookup(A60,'TN Data'!$A$229:$B$350,2,FALSE),"NULL")</f>
        <v>14</v>
      </c>
      <c r="I60" s="614">
        <f>ifna(vlookup(A60,'TN Data'!$A$112:$B$194,2,FALSE),"NULL")</f>
        <v>3</v>
      </c>
      <c r="J60" s="615" t="s">
        <v>63</v>
      </c>
      <c r="K60" s="672" t="s">
        <v>63</v>
      </c>
      <c r="L60" s="671" t="s">
        <v>63</v>
      </c>
      <c r="M60" s="614" t="s">
        <v>63</v>
      </c>
      <c r="N60" s="612" t="s">
        <v>63</v>
      </c>
      <c r="O60" s="612" t="s">
        <v>63</v>
      </c>
      <c r="P60" s="620">
        <f>ifna(vlookup(A60,'Population &amp; Church Numbers'!$A$2431:$D$2525,4,FALSE),"NULL")</f>
        <v>45</v>
      </c>
      <c r="Q60" s="674" t="s">
        <v>63</v>
      </c>
    </row>
    <row r="61">
      <c r="A61" s="609" t="s">
        <v>154</v>
      </c>
      <c r="B61" s="610">
        <f t="array" ref="B61">VLOOKUP($A61,TN_DEMO,2,FALSE)</f>
        <v>34318</v>
      </c>
      <c r="C61" s="704" t="s">
        <v>63</v>
      </c>
      <c r="D61" s="612" t="s">
        <v>63</v>
      </c>
      <c r="E61" s="612">
        <f>VLOOKUP($A61,'TN Data'!$A$3:$B$97,2,FALSE)</f>
        <v>25</v>
      </c>
      <c r="F61" s="612" t="s">
        <v>63</v>
      </c>
      <c r="G61" s="612" t="s">
        <v>63</v>
      </c>
      <c r="H61" s="671">
        <f>ifna(vlookup(A61,'TN Data'!$A$229:$B$350,2,FALSE),"NULL")</f>
        <v>25</v>
      </c>
      <c r="I61" s="614" t="str">
        <f>ifna(vlookup(A61,'TN Data'!$A$112:$B$194,2,FALSE),"NULL")</f>
        <v>NULL</v>
      </c>
      <c r="J61" s="615" t="s">
        <v>63</v>
      </c>
      <c r="K61" s="672" t="s">
        <v>63</v>
      </c>
      <c r="L61" s="671" t="s">
        <v>63</v>
      </c>
      <c r="M61" s="614" t="s">
        <v>63</v>
      </c>
      <c r="N61" s="612" t="s">
        <v>63</v>
      </c>
      <c r="O61" s="612" t="s">
        <v>63</v>
      </c>
      <c r="P61" s="620">
        <f>ifna(vlookup(A61,'Population &amp; Church Numbers'!$A$2431:$D$2525,4,FALSE),"NULL")</f>
        <v>43</v>
      </c>
      <c r="Q61" s="674" t="s">
        <v>63</v>
      </c>
    </row>
    <row r="62">
      <c r="A62" s="609" t="s">
        <v>1942</v>
      </c>
      <c r="B62" s="610">
        <f t="array" ref="B62">VLOOKUP($A62,TN_DEMO,2,FALSE)</f>
        <v>100974</v>
      </c>
      <c r="C62" s="704" t="s">
        <v>63</v>
      </c>
      <c r="D62" s="612" t="s">
        <v>63</v>
      </c>
      <c r="E62" s="612">
        <f>VLOOKUP($A62,'TN Data'!$A$3:$B$97,2,FALSE)</f>
        <v>84</v>
      </c>
      <c r="F62" s="612" t="s">
        <v>63</v>
      </c>
      <c r="G62" s="612" t="s">
        <v>63</v>
      </c>
      <c r="H62" s="671">
        <f>ifna(vlookup(A62,'TN Data'!$A$229:$B$350,2,FALSE),"NULL")</f>
        <v>84</v>
      </c>
      <c r="I62" s="614">
        <f>ifna(vlookup(A62,'TN Data'!$A$112:$B$194,2,FALSE),"NULL")</f>
        <v>12</v>
      </c>
      <c r="J62" s="615" t="s">
        <v>63</v>
      </c>
      <c r="K62" s="672" t="s">
        <v>63</v>
      </c>
      <c r="L62" s="671" t="s">
        <v>63</v>
      </c>
      <c r="M62" s="614" t="s">
        <v>63</v>
      </c>
      <c r="N62" s="612" t="s">
        <v>63</v>
      </c>
      <c r="O62" s="612" t="s">
        <v>63</v>
      </c>
      <c r="P62" s="620">
        <f>ifna(vlookup(A62,'Population &amp; Church Numbers'!$A$2431:$D$2525,4,FALSE),"NULL")</f>
        <v>124</v>
      </c>
      <c r="Q62" s="674" t="s">
        <v>63</v>
      </c>
    </row>
    <row r="63">
      <c r="A63" s="609" t="s">
        <v>1690</v>
      </c>
      <c r="B63" s="610">
        <f t="array" ref="B63">VLOOKUP($A63,TN_DEMO,2,FALSE)</f>
        <v>12758</v>
      </c>
      <c r="C63" s="704" t="s">
        <v>63</v>
      </c>
      <c r="D63" s="612" t="s">
        <v>63</v>
      </c>
      <c r="E63" s="612">
        <f>VLOOKUP($A63,'TN Data'!$A$3:$B$97,2,FALSE)</f>
        <v>22</v>
      </c>
      <c r="F63" s="612" t="s">
        <v>63</v>
      </c>
      <c r="G63" s="612" t="s">
        <v>63</v>
      </c>
      <c r="H63" s="671">
        <f>ifna(vlookup(A63,'TN Data'!$A$229:$B$350,2,FALSE),"NULL")</f>
        <v>22</v>
      </c>
      <c r="I63" s="614">
        <f>ifna(vlookup(A63,'TN Data'!$A$112:$B$194,2,FALSE),"NULL")</f>
        <v>5</v>
      </c>
      <c r="J63" s="615" t="s">
        <v>63</v>
      </c>
      <c r="K63" s="672" t="s">
        <v>63</v>
      </c>
      <c r="L63" s="671" t="s">
        <v>63</v>
      </c>
      <c r="M63" s="614" t="s">
        <v>63</v>
      </c>
      <c r="N63" s="612" t="s">
        <v>63</v>
      </c>
      <c r="O63" s="612" t="s">
        <v>63</v>
      </c>
      <c r="P63" s="620">
        <f>ifna(vlookup(A63,'Population &amp; Church Numbers'!$A$2431:$D$2525,4,FALSE),"NULL")</f>
        <v>9</v>
      </c>
      <c r="Q63" s="674" t="s">
        <v>63</v>
      </c>
    </row>
    <row r="64">
      <c r="A64" s="609" t="s">
        <v>156</v>
      </c>
      <c r="B64" s="610">
        <f t="array" ref="B64">VLOOKUP($A64,TN_DEMO,2,FALSE)</f>
        <v>46250</v>
      </c>
      <c r="C64" s="704" t="s">
        <v>63</v>
      </c>
      <c r="D64" s="612" t="s">
        <v>63</v>
      </c>
      <c r="E64" s="612">
        <f>VLOOKUP($A64,'TN Data'!$A$3:$B$97,2,FALSE)</f>
        <v>34</v>
      </c>
      <c r="F64" s="612" t="s">
        <v>63</v>
      </c>
      <c r="G64" s="612" t="s">
        <v>63</v>
      </c>
      <c r="H64" s="671">
        <f>ifna(vlookup(A64,'TN Data'!$A$229:$B$350,2,FALSE),"NULL")</f>
        <v>34</v>
      </c>
      <c r="I64" s="614">
        <f>ifna(vlookup(A64,'TN Data'!$A$112:$B$194,2,FALSE),"NULL")</f>
        <v>9</v>
      </c>
      <c r="J64" s="615" t="s">
        <v>63</v>
      </c>
      <c r="K64" s="672" t="s">
        <v>63</v>
      </c>
      <c r="L64" s="671" t="s">
        <v>63</v>
      </c>
      <c r="M64" s="614" t="s">
        <v>63</v>
      </c>
      <c r="N64" s="612" t="s">
        <v>63</v>
      </c>
      <c r="O64" s="612" t="s">
        <v>63</v>
      </c>
      <c r="P64" s="620">
        <f>ifna(vlookup(A64,'Population &amp; Church Numbers'!$A$2431:$D$2525,4,FALSE),"NULL")</f>
        <v>54</v>
      </c>
      <c r="Q64" s="674" t="s">
        <v>63</v>
      </c>
    </row>
    <row r="65">
      <c r="A65" s="609" t="s">
        <v>157</v>
      </c>
      <c r="B65" s="610">
        <f t="array" ref="B65">VLOOKUP($A65,TN_DEMO,2,FALSE)</f>
        <v>220069</v>
      </c>
      <c r="C65" s="704" t="s">
        <v>63</v>
      </c>
      <c r="D65" s="612" t="s">
        <v>63</v>
      </c>
      <c r="E65" s="612">
        <f>VLOOKUP($A65,'TN Data'!$A$3:$B$97,2,FALSE)</f>
        <v>233</v>
      </c>
      <c r="F65" s="612" t="s">
        <v>63</v>
      </c>
      <c r="G65" s="612" t="s">
        <v>63</v>
      </c>
      <c r="H65" s="671">
        <f>ifna(vlookup(A65,'TN Data'!$A$229:$B$350,2,FALSE),"NULL")</f>
        <v>233</v>
      </c>
      <c r="I65" s="614">
        <f>ifna(vlookup(A65,'TN Data'!$A$112:$B$194,2,FALSE),"NULL")</f>
        <v>22</v>
      </c>
      <c r="J65" s="615" t="s">
        <v>63</v>
      </c>
      <c r="K65" s="672" t="s">
        <v>63</v>
      </c>
      <c r="L65" s="671" t="s">
        <v>63</v>
      </c>
      <c r="M65" s="614" t="s">
        <v>63</v>
      </c>
      <c r="N65" s="612" t="s">
        <v>63</v>
      </c>
      <c r="O65" s="612" t="s">
        <v>63</v>
      </c>
      <c r="P65" s="620">
        <f>ifna(vlookup(A65,'Population &amp; Church Numbers'!$A$2431:$D$2525,4,FALSE),"NULL")</f>
        <v>148</v>
      </c>
      <c r="Q65" s="674" t="s">
        <v>63</v>
      </c>
    </row>
    <row r="66">
      <c r="A66" s="609" t="s">
        <v>1615</v>
      </c>
      <c r="B66" s="610">
        <f t="array" ref="B66">VLOOKUP($A66,TN_DEMO,2,FALSE)</f>
        <v>6461</v>
      </c>
      <c r="C66" s="704" t="s">
        <v>63</v>
      </c>
      <c r="D66" s="612" t="s">
        <v>63</v>
      </c>
      <c r="E66" s="612">
        <f>VLOOKUP($A66,'TN Data'!$A$3:$B$97,2,FALSE)</f>
        <v>1</v>
      </c>
      <c r="F66" s="612" t="s">
        <v>63</v>
      </c>
      <c r="G66" s="612" t="s">
        <v>63</v>
      </c>
      <c r="H66" s="671">
        <f>ifna(vlookup(A66,'TN Data'!$A$229:$B$350,2,FALSE),"NULL")</f>
        <v>1</v>
      </c>
      <c r="I66" s="614" t="str">
        <f>ifna(vlookup(A66,'TN Data'!$A$112:$B$194,2,FALSE),"NULL")</f>
        <v>NULL</v>
      </c>
      <c r="J66" s="615" t="s">
        <v>63</v>
      </c>
      <c r="K66" s="672" t="s">
        <v>63</v>
      </c>
      <c r="L66" s="671" t="s">
        <v>63</v>
      </c>
      <c r="M66" s="614" t="s">
        <v>63</v>
      </c>
      <c r="N66" s="612" t="s">
        <v>63</v>
      </c>
      <c r="O66" s="612" t="s">
        <v>63</v>
      </c>
      <c r="P66" s="620">
        <f>ifna(vlookup(A66,'Population &amp; Church Numbers'!$A$2431:$D$2525,4,FALSE),"NULL")</f>
        <v>7</v>
      </c>
      <c r="Q66" s="674" t="s">
        <v>63</v>
      </c>
    </row>
    <row r="67">
      <c r="A67" s="609" t="s">
        <v>158</v>
      </c>
      <c r="B67" s="610">
        <f t="array" ref="B67">VLOOKUP($A67,TN_DEMO,2,FALSE)</f>
        <v>21035</v>
      </c>
      <c r="C67" s="704" t="s">
        <v>63</v>
      </c>
      <c r="D67" s="612" t="s">
        <v>63</v>
      </c>
      <c r="E67" s="612">
        <f>VLOOKUP($A67,'TN Data'!$A$3:$B$97,2,FALSE)</f>
        <v>10</v>
      </c>
      <c r="F67" s="612" t="s">
        <v>63</v>
      </c>
      <c r="G67" s="612" t="s">
        <v>63</v>
      </c>
      <c r="H67" s="671">
        <f>ifna(vlookup(A67,'TN Data'!$A$229:$B$350,2,FALSE),"NULL")</f>
        <v>10</v>
      </c>
      <c r="I67" s="614">
        <f>ifna(vlookup(A67,'TN Data'!$A$112:$B$194,2,FALSE),"NULL")</f>
        <v>2</v>
      </c>
      <c r="J67" s="615" t="s">
        <v>63</v>
      </c>
      <c r="K67" s="672" t="s">
        <v>63</v>
      </c>
      <c r="L67" s="671" t="s">
        <v>63</v>
      </c>
      <c r="M67" s="614" t="s">
        <v>63</v>
      </c>
      <c r="N67" s="612" t="s">
        <v>63</v>
      </c>
      <c r="O67" s="612" t="s">
        <v>63</v>
      </c>
      <c r="P67" s="620">
        <f>ifna(vlookup(A67,'Population &amp; Church Numbers'!$A$2431:$D$2525,4,FALSE),"NULL")</f>
        <v>33</v>
      </c>
      <c r="Q67" s="674" t="s">
        <v>63</v>
      </c>
    </row>
    <row r="68">
      <c r="A68" s="609" t="s">
        <v>1957</v>
      </c>
      <c r="B68" s="610">
        <f t="array" ref="B68">VLOOKUP($A68,TN_DEMO,2,FALSE)</f>
        <v>30787</v>
      </c>
      <c r="C68" s="704" t="s">
        <v>63</v>
      </c>
      <c r="D68" s="612" t="s">
        <v>63</v>
      </c>
      <c r="E68" s="612">
        <f>VLOOKUP($A68,'TN Data'!$A$3:$B$97,2,FALSE)</f>
        <v>27</v>
      </c>
      <c r="F68" s="612" t="s">
        <v>63</v>
      </c>
      <c r="G68" s="612" t="s">
        <v>63</v>
      </c>
      <c r="H68" s="671">
        <f>ifna(vlookup(A68,'TN Data'!$A$229:$B$350,2,FALSE),"NULL")</f>
        <v>27</v>
      </c>
      <c r="I68" s="614">
        <f>ifna(vlookup(A68,'TN Data'!$A$112:$B$194,2,FALSE),"NULL")</f>
        <v>4</v>
      </c>
      <c r="J68" s="615" t="s">
        <v>63</v>
      </c>
      <c r="K68" s="672" t="s">
        <v>63</v>
      </c>
      <c r="L68" s="671" t="s">
        <v>63</v>
      </c>
      <c r="M68" s="614" t="s">
        <v>63</v>
      </c>
      <c r="N68" s="612" t="s">
        <v>63</v>
      </c>
      <c r="O68" s="612" t="s">
        <v>63</v>
      </c>
      <c r="P68" s="620">
        <f>ifna(vlookup(A68,'Population &amp; Church Numbers'!$A$2431:$D$2525,4,FALSE),"NULL")</f>
        <v>55</v>
      </c>
      <c r="Q68" s="674" t="s">
        <v>63</v>
      </c>
    </row>
    <row r="69">
      <c r="A69" s="609" t="s">
        <v>1960</v>
      </c>
      <c r="B69" s="610">
        <f t="array" ref="B69">VLOOKUP($A69,TN_DEMO,2,FALSE)</f>
        <v>22511</v>
      </c>
      <c r="C69" s="704" t="s">
        <v>63</v>
      </c>
      <c r="D69" s="612" t="s">
        <v>63</v>
      </c>
      <c r="E69" s="612">
        <f>VLOOKUP($A69,'TN Data'!$A$3:$B$97,2,FALSE)</f>
        <v>54</v>
      </c>
      <c r="F69" s="612" t="s">
        <v>63</v>
      </c>
      <c r="G69" s="612" t="s">
        <v>63</v>
      </c>
      <c r="H69" s="671">
        <f>ifna(vlookup(A69,'TN Data'!$A$229:$B$350,2,FALSE),"NULL")</f>
        <v>54</v>
      </c>
      <c r="I69" s="614">
        <f>ifna(vlookup(A69,'TN Data'!$A$112:$B$194,2,FALSE),"NULL")</f>
        <v>8</v>
      </c>
      <c r="J69" s="615" t="s">
        <v>63</v>
      </c>
      <c r="K69" s="672" t="s">
        <v>63</v>
      </c>
      <c r="L69" s="671" t="s">
        <v>63</v>
      </c>
      <c r="M69" s="614" t="s">
        <v>63</v>
      </c>
      <c r="N69" s="612" t="s">
        <v>63</v>
      </c>
      <c r="O69" s="612" t="s">
        <v>63</v>
      </c>
      <c r="P69" s="620">
        <f>ifna(vlookup(A69,'Population &amp; Church Numbers'!$A$2431:$D$2525,4,FALSE),"NULL")</f>
        <v>26</v>
      </c>
      <c r="Q69" s="674" t="s">
        <v>63</v>
      </c>
    </row>
    <row r="70">
      <c r="A70" s="609" t="s">
        <v>159</v>
      </c>
      <c r="B70" s="610">
        <f t="array" ref="B70">VLOOKUP($A70,TN_DEMO,2,FALSE)</f>
        <v>8366</v>
      </c>
      <c r="C70" s="704" t="s">
        <v>63</v>
      </c>
      <c r="D70" s="612" t="s">
        <v>63</v>
      </c>
      <c r="E70" s="612">
        <f>VLOOKUP($A70,'TN Data'!$A$3:$B$97,2,FALSE)</f>
        <v>21</v>
      </c>
      <c r="F70" s="612" t="s">
        <v>63</v>
      </c>
      <c r="G70" s="612" t="s">
        <v>63</v>
      </c>
      <c r="H70" s="671">
        <f>ifna(vlookup(A70,'TN Data'!$A$229:$B$350,2,FALSE),"NULL")</f>
        <v>21</v>
      </c>
      <c r="I70" s="614">
        <f>ifna(vlookup(A70,'TN Data'!$A$112:$B$194,2,FALSE),"NULL")</f>
        <v>2</v>
      </c>
      <c r="J70" s="615" t="s">
        <v>63</v>
      </c>
      <c r="K70" s="672" t="s">
        <v>63</v>
      </c>
      <c r="L70" s="671" t="s">
        <v>63</v>
      </c>
      <c r="M70" s="614" t="s">
        <v>63</v>
      </c>
      <c r="N70" s="612" t="s">
        <v>63</v>
      </c>
      <c r="O70" s="612" t="s">
        <v>63</v>
      </c>
      <c r="P70" s="620">
        <f>ifna(vlookup(A70,'Population &amp; Church Numbers'!$A$2431:$D$2525,4,FALSE),"NULL")</f>
        <v>11</v>
      </c>
      <c r="Q70" s="674" t="s">
        <v>63</v>
      </c>
    </row>
    <row r="71">
      <c r="A71" s="609" t="s">
        <v>1965</v>
      </c>
      <c r="B71" s="610">
        <f t="array" ref="B71">VLOOKUP($A71,TN_DEMO,2,FALSE)</f>
        <v>5001</v>
      </c>
      <c r="C71" s="704" t="s">
        <v>63</v>
      </c>
      <c r="D71" s="612" t="s">
        <v>63</v>
      </c>
      <c r="E71" s="612">
        <f>VLOOKUP($A71,'TN Data'!$A$3:$B$97,2,FALSE)</f>
        <v>10</v>
      </c>
      <c r="F71" s="612" t="s">
        <v>63</v>
      </c>
      <c r="G71" s="612" t="s">
        <v>63</v>
      </c>
      <c r="H71" s="671">
        <f>ifna(vlookup(A71,'TN Data'!$A$229:$B$350,2,FALSE),"NULL")</f>
        <v>10</v>
      </c>
      <c r="I71" s="614">
        <f>ifna(vlookup(A71,'TN Data'!$A$112:$B$194,2,FALSE),"NULL")</f>
        <v>1</v>
      </c>
      <c r="J71" s="615" t="s">
        <v>63</v>
      </c>
      <c r="K71" s="672" t="s">
        <v>63</v>
      </c>
      <c r="L71" s="671" t="s">
        <v>63</v>
      </c>
      <c r="M71" s="614" t="s">
        <v>63</v>
      </c>
      <c r="N71" s="612" t="s">
        <v>63</v>
      </c>
      <c r="O71" s="612" t="s">
        <v>63</v>
      </c>
      <c r="P71" s="620">
        <f>ifna(vlookup(A71,'Population &amp; Church Numbers'!$A$2431:$D$2525,4,FALSE),"NULL")</f>
        <v>6</v>
      </c>
      <c r="Q71" s="674" t="s">
        <v>63</v>
      </c>
    </row>
    <row r="72">
      <c r="A72" s="609" t="s">
        <v>302</v>
      </c>
      <c r="B72" s="610">
        <f t="array" ref="B72">VLOOKUP($A72,TN_DEMO,2,FALSE)</f>
        <v>17544</v>
      </c>
      <c r="C72" s="704" t="s">
        <v>63</v>
      </c>
      <c r="D72" s="612" t="s">
        <v>63</v>
      </c>
      <c r="E72" s="612">
        <f>VLOOKUP($A72,'TN Data'!$A$3:$B$97,2,FALSE)</f>
        <v>16</v>
      </c>
      <c r="F72" s="612" t="s">
        <v>63</v>
      </c>
      <c r="G72" s="612" t="s">
        <v>63</v>
      </c>
      <c r="H72" s="671">
        <f>ifna(vlookup(A72,'TN Data'!$A$229:$B$350,2,FALSE),"NULL")</f>
        <v>16</v>
      </c>
      <c r="I72" s="614">
        <f>ifna(vlookup(A72,'TN Data'!$A$112:$B$194,2,FALSE),"NULL")</f>
        <v>1</v>
      </c>
      <c r="J72" s="615" t="s">
        <v>63</v>
      </c>
      <c r="K72" s="672" t="s">
        <v>63</v>
      </c>
      <c r="L72" s="671" t="s">
        <v>63</v>
      </c>
      <c r="M72" s="614" t="s">
        <v>63</v>
      </c>
      <c r="N72" s="612" t="s">
        <v>63</v>
      </c>
      <c r="O72" s="612" t="s">
        <v>63</v>
      </c>
      <c r="P72" s="620">
        <f>ifna(vlookup(A72,'Population &amp; Church Numbers'!$A$2431:$D$2525,4,FALSE),"NULL")</f>
        <v>28</v>
      </c>
      <c r="Q72" s="674" t="s">
        <v>63</v>
      </c>
    </row>
    <row r="73">
      <c r="A73" s="609" t="s">
        <v>518</v>
      </c>
      <c r="B73" s="610">
        <f t="array" ref="B73">VLOOKUP($A73,TN_DEMO,2,FALSE)</f>
        <v>79854</v>
      </c>
      <c r="C73" s="704" t="s">
        <v>63</v>
      </c>
      <c r="D73" s="612" t="s">
        <v>63</v>
      </c>
      <c r="E73" s="612">
        <f>VLOOKUP($A73,'TN Data'!$A$3:$B$97,2,FALSE)</f>
        <v>93</v>
      </c>
      <c r="F73" s="612" t="s">
        <v>63</v>
      </c>
      <c r="G73" s="612" t="s">
        <v>63</v>
      </c>
      <c r="H73" s="671">
        <f>ifna(vlookup(A73,'TN Data'!$A$229:$B$350,2,FALSE),"NULL")</f>
        <v>93</v>
      </c>
      <c r="I73" s="614">
        <f>ifna(vlookup(A73,'TN Data'!$A$112:$B$194,2,FALSE),"NULL")</f>
        <v>10</v>
      </c>
      <c r="J73" s="615" t="s">
        <v>63</v>
      </c>
      <c r="K73" s="672" t="s">
        <v>63</v>
      </c>
      <c r="L73" s="671" t="s">
        <v>63</v>
      </c>
      <c r="M73" s="614" t="s">
        <v>63</v>
      </c>
      <c r="N73" s="612" t="s">
        <v>63</v>
      </c>
      <c r="O73" s="612" t="s">
        <v>63</v>
      </c>
      <c r="P73" s="620">
        <f>ifna(vlookup(A73,'Population &amp; Church Numbers'!$A$2431:$D$2525,4,FALSE),"NULL")</f>
        <v>78</v>
      </c>
      <c r="Q73" s="674" t="s">
        <v>63</v>
      </c>
    </row>
    <row r="74">
      <c r="A74" s="609" t="s">
        <v>1973</v>
      </c>
      <c r="B74" s="610">
        <f t="array" ref="B74">VLOOKUP($A74,TN_DEMO,2,FALSE)</f>
        <v>32870</v>
      </c>
      <c r="C74" s="704" t="s">
        <v>63</v>
      </c>
      <c r="D74" s="612" t="s">
        <v>63</v>
      </c>
      <c r="E74" s="612">
        <f>VLOOKUP($A74,'TN Data'!$A$3:$B$97,2,FALSE)</f>
        <v>50</v>
      </c>
      <c r="F74" s="612" t="s">
        <v>63</v>
      </c>
      <c r="G74" s="612" t="s">
        <v>63</v>
      </c>
      <c r="H74" s="671">
        <f>ifna(vlookup(A74,'TN Data'!$A$229:$B$350,2,FALSE),"NULL")</f>
        <v>50</v>
      </c>
      <c r="I74" s="614">
        <f>ifna(vlookup(A74,'TN Data'!$A$112:$B$194,2,FALSE),"NULL")</f>
        <v>9</v>
      </c>
      <c r="J74" s="615" t="s">
        <v>63</v>
      </c>
      <c r="K74" s="672" t="s">
        <v>63</v>
      </c>
      <c r="L74" s="671" t="s">
        <v>63</v>
      </c>
      <c r="M74" s="614" t="s">
        <v>63</v>
      </c>
      <c r="N74" s="612" t="s">
        <v>63</v>
      </c>
      <c r="O74" s="612" t="s">
        <v>63</v>
      </c>
      <c r="P74" s="620">
        <f>ifna(vlookup(A74,'Population &amp; Church Numbers'!$A$2431:$D$2525,4,FALSE),"NULL")</f>
        <v>46</v>
      </c>
      <c r="Q74" s="674" t="s">
        <v>63</v>
      </c>
    </row>
    <row r="75">
      <c r="A75" s="609" t="s">
        <v>1976</v>
      </c>
      <c r="B75" s="610">
        <f t="array" ref="B75">VLOOKUP($A75,TN_DEMO,2,FALSE)</f>
        <v>53404</v>
      </c>
      <c r="C75" s="704" t="s">
        <v>63</v>
      </c>
      <c r="D75" s="612" t="s">
        <v>63</v>
      </c>
      <c r="E75" s="612">
        <f>VLOOKUP($A75,'TN Data'!$A$3:$B$97,2,FALSE)</f>
        <v>42</v>
      </c>
      <c r="F75" s="612" t="s">
        <v>63</v>
      </c>
      <c r="G75" s="612" t="s">
        <v>63</v>
      </c>
      <c r="H75" s="671">
        <f>ifna(vlookup(A75,'TN Data'!$A$229:$B$350,2,FALSE),"NULL")</f>
        <v>42</v>
      </c>
      <c r="I75" s="614">
        <f>ifna(vlookup(A75,'TN Data'!$A$112:$B$194,2,FALSE),"NULL")</f>
        <v>9</v>
      </c>
      <c r="J75" s="615" t="s">
        <v>63</v>
      </c>
      <c r="K75" s="672" t="s">
        <v>63</v>
      </c>
      <c r="L75" s="671" t="s">
        <v>63</v>
      </c>
      <c r="M75" s="614" t="s">
        <v>63</v>
      </c>
      <c r="N75" s="612" t="s">
        <v>63</v>
      </c>
      <c r="O75" s="612" t="s">
        <v>63</v>
      </c>
      <c r="P75" s="620">
        <f>ifna(vlookup(A75,'Population &amp; Church Numbers'!$A$2431:$D$2525,4,FALSE),"NULL")</f>
        <v>73</v>
      </c>
      <c r="Q75" s="674" t="s">
        <v>63</v>
      </c>
    </row>
    <row r="76">
      <c r="A76" s="609" t="s">
        <v>1131</v>
      </c>
      <c r="B76" s="610">
        <f t="array" ref="B76">VLOOKUP($A76,TN_DEMO,2,FALSE)</f>
        <v>72803</v>
      </c>
      <c r="C76" s="704" t="s">
        <v>63</v>
      </c>
      <c r="D76" s="612" t="s">
        <v>63</v>
      </c>
      <c r="E76" s="612">
        <f>VLOOKUP($A76,'TN Data'!$A$3:$B$97,2,FALSE)</f>
        <v>50</v>
      </c>
      <c r="F76" s="612" t="s">
        <v>63</v>
      </c>
      <c r="G76" s="612" t="s">
        <v>63</v>
      </c>
      <c r="H76" s="671">
        <f>ifna(vlookup(A76,'TN Data'!$A$229:$B$350,2,FALSE),"NULL")</f>
        <v>50</v>
      </c>
      <c r="I76" s="614">
        <f>ifna(vlookup(A76,'TN Data'!$A$112:$B$194,2,FALSE),"NULL")</f>
        <v>2</v>
      </c>
      <c r="J76" s="615" t="s">
        <v>63</v>
      </c>
      <c r="K76" s="672" t="s">
        <v>63</v>
      </c>
      <c r="L76" s="671" t="s">
        <v>63</v>
      </c>
      <c r="M76" s="614" t="s">
        <v>63</v>
      </c>
      <c r="N76" s="612" t="s">
        <v>63</v>
      </c>
      <c r="O76" s="612" t="s">
        <v>63</v>
      </c>
      <c r="P76" s="620">
        <f>ifna(vlookup(A76,'Population &amp; Church Numbers'!$A$2431:$D$2525,4,FALSE),"NULL")</f>
        <v>94</v>
      </c>
      <c r="Q76" s="674" t="s">
        <v>63</v>
      </c>
    </row>
    <row r="77">
      <c r="A77" s="609" t="s">
        <v>1627</v>
      </c>
      <c r="B77" s="610">
        <f t="array" ref="B77">VLOOKUP($A77,TN_DEMO,2,FALSE)</f>
        <v>341486</v>
      </c>
      <c r="C77" s="704" t="s">
        <v>63</v>
      </c>
      <c r="D77" s="612" t="s">
        <v>63</v>
      </c>
      <c r="E77" s="612">
        <f>VLOOKUP($A77,'TN Data'!$A$3:$B$97,2,FALSE)</f>
        <v>222</v>
      </c>
      <c r="F77" s="612" t="s">
        <v>63</v>
      </c>
      <c r="G77" s="612" t="s">
        <v>63</v>
      </c>
      <c r="H77" s="671">
        <f>ifna(vlookup(A77,'TN Data'!$A$229:$B$350,2,FALSE),"NULL")</f>
        <v>222</v>
      </c>
      <c r="I77" s="614">
        <f>ifna(vlookup(A77,'TN Data'!$A$112:$B$194,2,FALSE),"NULL")</f>
        <v>19</v>
      </c>
      <c r="J77" s="615" t="s">
        <v>63</v>
      </c>
      <c r="K77" s="672" t="s">
        <v>63</v>
      </c>
      <c r="L77" s="671" t="s">
        <v>63</v>
      </c>
      <c r="M77" s="614" t="s">
        <v>63</v>
      </c>
      <c r="N77" s="612" t="s">
        <v>63</v>
      </c>
      <c r="O77" s="612" t="s">
        <v>63</v>
      </c>
      <c r="P77" s="620">
        <f>ifna(vlookup(A77,'Population &amp; Church Numbers'!$A$2431:$D$2525,4,FALSE),"NULL")</f>
        <v>200</v>
      </c>
      <c r="Q77" s="674" t="s">
        <v>63</v>
      </c>
    </row>
    <row r="78">
      <c r="A78" s="609" t="s">
        <v>309</v>
      </c>
      <c r="B78" s="610">
        <f t="array" ref="B78">VLOOKUP($A78,TN_DEMO,2,FALSE)</f>
        <v>21850</v>
      </c>
      <c r="C78" s="704" t="s">
        <v>63</v>
      </c>
      <c r="D78" s="612" t="s">
        <v>63</v>
      </c>
      <c r="E78" s="612">
        <f>VLOOKUP($A78,'TN Data'!$A$3:$B$97,2,FALSE)</f>
        <v>26</v>
      </c>
      <c r="F78" s="612" t="s">
        <v>63</v>
      </c>
      <c r="G78" s="612" t="s">
        <v>63</v>
      </c>
      <c r="H78" s="671">
        <f>ifna(vlookup(A78,'TN Data'!$A$229:$B$350,2,FALSE),"NULL")</f>
        <v>26</v>
      </c>
      <c r="I78" s="614">
        <f>ifna(vlookup(A78,'TN Data'!$A$112:$B$194,2,FALSE),"NULL")</f>
        <v>10</v>
      </c>
      <c r="J78" s="615" t="s">
        <v>63</v>
      </c>
      <c r="K78" s="672" t="s">
        <v>63</v>
      </c>
      <c r="L78" s="671" t="s">
        <v>63</v>
      </c>
      <c r="M78" s="614" t="s">
        <v>63</v>
      </c>
      <c r="N78" s="612" t="s">
        <v>63</v>
      </c>
      <c r="O78" s="612" t="s">
        <v>63</v>
      </c>
      <c r="P78" s="620">
        <f>ifna(vlookup(A78,'Population &amp; Church Numbers'!$A$2431:$D$2525,4,FALSE),"NULL")</f>
        <v>29</v>
      </c>
      <c r="Q78" s="674" t="s">
        <v>63</v>
      </c>
    </row>
    <row r="79">
      <c r="A79" s="609" t="s">
        <v>1985</v>
      </c>
      <c r="B79" s="610">
        <f t="array" ref="B79">VLOOKUP($A79,TN_DEMO,2,FALSE)</f>
        <v>15826</v>
      </c>
      <c r="C79" s="704" t="s">
        <v>63</v>
      </c>
      <c r="D79" s="612" t="s">
        <v>63</v>
      </c>
      <c r="E79" s="612">
        <f>VLOOKUP($A79,'TN Data'!$A$3:$B$97,2,FALSE)</f>
        <v>10</v>
      </c>
      <c r="F79" s="612" t="s">
        <v>63</v>
      </c>
      <c r="G79" s="612" t="s">
        <v>63</v>
      </c>
      <c r="H79" s="671">
        <f>ifna(vlookup(A79,'TN Data'!$A$229:$B$350,2,FALSE),"NULL")</f>
        <v>10</v>
      </c>
      <c r="I79" s="614" t="str">
        <f>ifna(vlookup(A79,'TN Data'!$A$112:$B$194,2,FALSE),"NULL")</f>
        <v>NULL</v>
      </c>
      <c r="J79" s="615" t="s">
        <v>63</v>
      </c>
      <c r="K79" s="672" t="s">
        <v>63</v>
      </c>
      <c r="L79" s="671" t="s">
        <v>63</v>
      </c>
      <c r="M79" s="614" t="s">
        <v>63</v>
      </c>
      <c r="N79" s="612" t="s">
        <v>63</v>
      </c>
      <c r="O79" s="612" t="s">
        <v>63</v>
      </c>
      <c r="P79" s="620">
        <f>ifna(vlookup(A79,'Population &amp; Church Numbers'!$A$2431:$D$2525,4,FALSE),"NULL")</f>
        <v>22</v>
      </c>
      <c r="Q79" s="674" t="s">
        <v>63</v>
      </c>
    </row>
    <row r="80">
      <c r="A80" s="609" t="s">
        <v>312</v>
      </c>
      <c r="B80" s="610">
        <f t="array" ref="B80">VLOOKUP($A80,TN_DEMO,2,FALSE)</f>
        <v>98380</v>
      </c>
      <c r="C80" s="704" t="s">
        <v>63</v>
      </c>
      <c r="D80" s="612" t="s">
        <v>63</v>
      </c>
      <c r="E80" s="612">
        <f>VLOOKUP($A80,'TN Data'!$A$3:$B$97,2,FALSE)</f>
        <v>159</v>
      </c>
      <c r="F80" s="612" t="s">
        <v>63</v>
      </c>
      <c r="G80" s="612" t="s">
        <v>63</v>
      </c>
      <c r="H80" s="671">
        <f>ifna(vlookup(A80,'TN Data'!$A$229:$B$350,2,FALSE),"NULL")</f>
        <v>159</v>
      </c>
      <c r="I80" s="614">
        <f>ifna(vlookup(A80,'TN Data'!$A$112:$B$194,2,FALSE),"NULL")</f>
        <v>21</v>
      </c>
      <c r="J80" s="615" t="s">
        <v>63</v>
      </c>
      <c r="K80" s="672" t="s">
        <v>63</v>
      </c>
      <c r="L80" s="671" t="s">
        <v>63</v>
      </c>
      <c r="M80" s="614" t="s">
        <v>63</v>
      </c>
      <c r="N80" s="612" t="s">
        <v>63</v>
      </c>
      <c r="O80" s="612" t="s">
        <v>63</v>
      </c>
      <c r="P80" s="620">
        <f>ifna(vlookup(A80,'Population &amp; Church Numbers'!$A$2431:$D$2525,4,FALSE),"NULL")</f>
        <v>99</v>
      </c>
      <c r="Q80" s="674" t="s">
        <v>63</v>
      </c>
    </row>
    <row r="81">
      <c r="A81" s="609" t="s">
        <v>168</v>
      </c>
      <c r="B81" s="610">
        <f t="array" ref="B81">VLOOKUP($A81,TN_DEMO,2,FALSE)</f>
        <v>929744</v>
      </c>
      <c r="C81" s="704" t="s">
        <v>63</v>
      </c>
      <c r="D81" s="612" t="s">
        <v>63</v>
      </c>
      <c r="E81" s="612">
        <f>VLOOKUP($A81,'TN Data'!$A$3:$B$97,2,FALSE)</f>
        <v>936</v>
      </c>
      <c r="F81" s="612" t="s">
        <v>63</v>
      </c>
      <c r="G81" s="612" t="s">
        <v>63</v>
      </c>
      <c r="H81" s="671">
        <f>ifna(vlookup(A81,'TN Data'!$A$229:$B$350,2,FALSE),"NULL")</f>
        <v>936</v>
      </c>
      <c r="I81" s="614">
        <f>ifna(vlookup(A81,'TN Data'!$A$112:$B$194,2,FALSE),"NULL")</f>
        <v>91</v>
      </c>
      <c r="J81" s="615" t="s">
        <v>63</v>
      </c>
      <c r="K81" s="672" t="s">
        <v>63</v>
      </c>
      <c r="L81" s="671" t="s">
        <v>63</v>
      </c>
      <c r="M81" s="614" t="s">
        <v>63</v>
      </c>
      <c r="N81" s="612" t="s">
        <v>63</v>
      </c>
      <c r="O81" s="612" t="s">
        <v>63</v>
      </c>
      <c r="P81" s="620">
        <f>ifna(vlookup(A81,'Population &amp; Church Numbers'!$A$2431:$D$2525,4,FALSE),"NULL")</f>
        <v>849</v>
      </c>
      <c r="Q81" s="674" t="s">
        <v>63</v>
      </c>
    </row>
    <row r="82">
      <c r="A82" s="609" t="s">
        <v>1012</v>
      </c>
      <c r="B82" s="610">
        <f t="array" ref="B82">VLOOKUP($A82,TN_DEMO,2,FALSE)</f>
        <v>19904</v>
      </c>
      <c r="C82" s="704" t="s">
        <v>63</v>
      </c>
      <c r="D82" s="612" t="s">
        <v>63</v>
      </c>
      <c r="E82" s="612">
        <f>VLOOKUP($A82,'TN Data'!$A$3:$B$97,2,FALSE)</f>
        <v>46</v>
      </c>
      <c r="F82" s="612" t="s">
        <v>63</v>
      </c>
      <c r="G82" s="612" t="s">
        <v>63</v>
      </c>
      <c r="H82" s="671">
        <f>ifna(vlookup(A82,'TN Data'!$A$229:$B$350,2,FALSE),"NULL")</f>
        <v>46</v>
      </c>
      <c r="I82" s="614">
        <f>ifna(vlookup(A82,'TN Data'!$A$112:$B$194,2,FALSE),"NULL")</f>
        <v>5</v>
      </c>
      <c r="J82" s="615" t="s">
        <v>63</v>
      </c>
      <c r="K82" s="672" t="s">
        <v>63</v>
      </c>
      <c r="L82" s="671" t="s">
        <v>63</v>
      </c>
      <c r="M82" s="614" t="s">
        <v>63</v>
      </c>
      <c r="N82" s="612" t="s">
        <v>63</v>
      </c>
      <c r="O82" s="612" t="s">
        <v>63</v>
      </c>
      <c r="P82" s="620">
        <f>ifna(vlookup(A82,'Population &amp; Church Numbers'!$A$2431:$D$2525,4,FALSE),"NULL")</f>
        <v>34</v>
      </c>
      <c r="Q82" s="674" t="s">
        <v>63</v>
      </c>
    </row>
    <row r="83">
      <c r="A83" s="609" t="s">
        <v>629</v>
      </c>
      <c r="B83" s="610">
        <f t="array" ref="B83">VLOOKUP($A83,TN_DEMO,2,FALSE)</f>
        <v>13657</v>
      </c>
      <c r="C83" s="704" t="s">
        <v>63</v>
      </c>
      <c r="D83" s="612" t="s">
        <v>63</v>
      </c>
      <c r="E83" s="612">
        <f>VLOOKUP($A83,'TN Data'!$A$3:$B$97,2,FALSE)</f>
        <v>22</v>
      </c>
      <c r="F83" s="612" t="s">
        <v>63</v>
      </c>
      <c r="G83" s="612" t="s">
        <v>63</v>
      </c>
      <c r="H83" s="671">
        <f>ifna(vlookup(A83,'TN Data'!$A$229:$B$350,2,FALSE),"NULL")</f>
        <v>22</v>
      </c>
      <c r="I83" s="614">
        <f>ifna(vlookup(A83,'TN Data'!$A$112:$B$194,2,FALSE),"NULL")</f>
        <v>6</v>
      </c>
      <c r="J83" s="615" t="s">
        <v>63</v>
      </c>
      <c r="K83" s="672" t="s">
        <v>63</v>
      </c>
      <c r="L83" s="671" t="s">
        <v>63</v>
      </c>
      <c r="M83" s="614" t="s">
        <v>63</v>
      </c>
      <c r="N83" s="612" t="s">
        <v>63</v>
      </c>
      <c r="O83" s="612" t="s">
        <v>63</v>
      </c>
      <c r="P83" s="620">
        <f>ifna(vlookup(A83,'Population &amp; Church Numbers'!$A$2431:$D$2525,4,FALSE),"NULL")</f>
        <v>29</v>
      </c>
      <c r="Q83" s="674" t="s">
        <v>63</v>
      </c>
    </row>
    <row r="84">
      <c r="A84" s="609" t="s">
        <v>860</v>
      </c>
      <c r="B84" s="610">
        <f t="array" ref="B84">VLOOKUP($A84,TN_DEMO,2,FALSE)</f>
        <v>158163</v>
      </c>
      <c r="C84" s="704" t="s">
        <v>63</v>
      </c>
      <c r="D84" s="612" t="s">
        <v>63</v>
      </c>
      <c r="E84" s="612">
        <f>VLOOKUP($A84,'TN Data'!$A$3:$B$97,2,FALSE)</f>
        <v>204</v>
      </c>
      <c r="F84" s="612" t="s">
        <v>63</v>
      </c>
      <c r="G84" s="612" t="s">
        <v>63</v>
      </c>
      <c r="H84" s="671">
        <f>ifna(vlookup(A84,'TN Data'!$A$229:$B$350,2,FALSE),"NULL")</f>
        <v>204</v>
      </c>
      <c r="I84" s="614">
        <f>ifna(vlookup(A84,'TN Data'!$A$112:$B$194,2,FALSE),"NULL")</f>
        <v>20</v>
      </c>
      <c r="J84" s="615" t="s">
        <v>63</v>
      </c>
      <c r="K84" s="672" t="s">
        <v>63</v>
      </c>
      <c r="L84" s="671" t="s">
        <v>63</v>
      </c>
      <c r="M84" s="614" t="s">
        <v>63</v>
      </c>
      <c r="N84" s="612" t="s">
        <v>63</v>
      </c>
      <c r="O84" s="612" t="s">
        <v>63</v>
      </c>
      <c r="P84" s="620">
        <f>ifna(vlookup(A84,'Population &amp; Church Numbers'!$A$2431:$D$2525,4,FALSE),"NULL")</f>
        <v>204</v>
      </c>
      <c r="Q84" s="674" t="s">
        <v>63</v>
      </c>
    </row>
    <row r="85">
      <c r="A85" s="609" t="s">
        <v>1016</v>
      </c>
      <c r="B85" s="610">
        <f t="array" ref="B85">VLOOKUP($A85,TN_DEMO,2,FALSE)</f>
        <v>196281</v>
      </c>
      <c r="C85" s="704" t="s">
        <v>63</v>
      </c>
      <c r="D85" s="612" t="s">
        <v>63</v>
      </c>
      <c r="E85" s="612">
        <f>VLOOKUP($A85,'TN Data'!$A$3:$B$97,2,FALSE)</f>
        <v>116</v>
      </c>
      <c r="F85" s="612" t="s">
        <v>63</v>
      </c>
      <c r="G85" s="612" t="s">
        <v>63</v>
      </c>
      <c r="H85" s="671">
        <f>ifna(vlookup(A85,'TN Data'!$A$229:$B$350,2,FALSE),"NULL")</f>
        <v>116</v>
      </c>
      <c r="I85" s="614">
        <f>ifna(vlookup(A85,'TN Data'!$A$112:$B$194,2,FALSE),"NULL")</f>
        <v>11</v>
      </c>
      <c r="J85" s="615" t="s">
        <v>63</v>
      </c>
      <c r="K85" s="672" t="s">
        <v>63</v>
      </c>
      <c r="L85" s="671" t="s">
        <v>63</v>
      </c>
      <c r="M85" s="614" t="s">
        <v>63</v>
      </c>
      <c r="N85" s="612" t="s">
        <v>63</v>
      </c>
      <c r="O85" s="612" t="s">
        <v>63</v>
      </c>
      <c r="P85" s="620">
        <f>ifna(vlookup(A85,'Population &amp; Church Numbers'!$A$2431:$D$2525,4,FALSE),"NULL")</f>
        <v>148</v>
      </c>
      <c r="Q85" s="674" t="s">
        <v>63</v>
      </c>
    </row>
    <row r="86">
      <c r="A86" s="609" t="s">
        <v>865</v>
      </c>
      <c r="B86" s="610">
        <f t="array" ref="B86">VLOOKUP($A86,TN_DEMO,2,FALSE)</f>
        <v>60970</v>
      </c>
      <c r="C86" s="704" t="s">
        <v>63</v>
      </c>
      <c r="D86" s="612" t="s">
        <v>63</v>
      </c>
      <c r="E86" s="612">
        <f>VLOOKUP($A86,'TN Data'!$A$3:$B$97,2,FALSE)</f>
        <v>22</v>
      </c>
      <c r="F86" s="612" t="s">
        <v>63</v>
      </c>
      <c r="G86" s="612" t="s">
        <v>63</v>
      </c>
      <c r="H86" s="671">
        <f>ifna(vlookup(A86,'TN Data'!$A$229:$B$350,2,FALSE),"NULL")</f>
        <v>22</v>
      </c>
      <c r="I86" s="614">
        <f>ifna(vlookup(A86,'TN Data'!$A$112:$B$194,2,FALSE),"NULL")</f>
        <v>2</v>
      </c>
      <c r="J86" s="615" t="s">
        <v>63</v>
      </c>
      <c r="K86" s="672" t="s">
        <v>63</v>
      </c>
      <c r="L86" s="671" t="s">
        <v>63</v>
      </c>
      <c r="M86" s="614" t="s">
        <v>63</v>
      </c>
      <c r="N86" s="612" t="s">
        <v>63</v>
      </c>
      <c r="O86" s="612" t="s">
        <v>63</v>
      </c>
      <c r="P86" s="620">
        <f>ifna(vlookup(A86,'Population &amp; Church Numbers'!$A$2431:$D$2525,4,FALSE),"NULL")</f>
        <v>82</v>
      </c>
      <c r="Q86" s="674" t="s">
        <v>63</v>
      </c>
    </row>
    <row r="87">
      <c r="A87" s="609" t="s">
        <v>1994</v>
      </c>
      <c r="B87" s="610">
        <f t="array" ref="B87">VLOOKUP($A87,TN_DEMO,2,FALSE)</f>
        <v>11615</v>
      </c>
      <c r="C87" s="704" t="s">
        <v>63</v>
      </c>
      <c r="D87" s="612" t="s">
        <v>63</v>
      </c>
      <c r="E87" s="612">
        <f>VLOOKUP($A87,'TN Data'!$A$3:$B$97,2,FALSE)</f>
        <v>8</v>
      </c>
      <c r="F87" s="612" t="s">
        <v>63</v>
      </c>
      <c r="G87" s="612" t="s">
        <v>63</v>
      </c>
      <c r="H87" s="671">
        <f>ifna(vlookup(A87,'TN Data'!$A$229:$B$350,2,FALSE),"NULL")</f>
        <v>8</v>
      </c>
      <c r="I87" s="614">
        <f>ifna(vlookup(A87,'TN Data'!$A$112:$B$194,2,FALSE),"NULL")</f>
        <v>2</v>
      </c>
      <c r="J87" s="615" t="s">
        <v>63</v>
      </c>
      <c r="K87" s="672" t="s">
        <v>63</v>
      </c>
      <c r="L87" s="671" t="s">
        <v>63</v>
      </c>
      <c r="M87" s="614" t="s">
        <v>63</v>
      </c>
      <c r="N87" s="612" t="s">
        <v>63</v>
      </c>
      <c r="O87" s="612" t="s">
        <v>63</v>
      </c>
      <c r="P87" s="620">
        <f>ifna(vlookup(A87,'Population &amp; Church Numbers'!$A$2431:$D$2525,4,FALSE),"NULL")</f>
        <v>9</v>
      </c>
      <c r="Q87" s="674" t="s">
        <v>63</v>
      </c>
    </row>
    <row r="88">
      <c r="A88" s="609" t="s">
        <v>1995</v>
      </c>
      <c r="B88" s="610">
        <f t="array" ref="B88">VLOOKUP($A88,TN_DEMO,2,FALSE)</f>
        <v>17928</v>
      </c>
      <c r="C88" s="704" t="s">
        <v>63</v>
      </c>
      <c r="D88" s="612" t="s">
        <v>63</v>
      </c>
      <c r="E88" s="612">
        <f>VLOOKUP($A88,'TN Data'!$A$3:$B$97,2,FALSE)</f>
        <v>24</v>
      </c>
      <c r="F88" s="612" t="s">
        <v>63</v>
      </c>
      <c r="G88" s="612" t="s">
        <v>63</v>
      </c>
      <c r="H88" s="671">
        <f>ifna(vlookup(A88,'TN Data'!$A$229:$B$350,2,FALSE),"NULL")</f>
        <v>24</v>
      </c>
      <c r="I88" s="614">
        <f>ifna(vlookup(A88,'TN Data'!$A$112:$B$194,2,FALSE),"NULL")</f>
        <v>2</v>
      </c>
      <c r="J88" s="615" t="s">
        <v>63</v>
      </c>
      <c r="K88" s="672" t="s">
        <v>63</v>
      </c>
      <c r="L88" s="671" t="s">
        <v>63</v>
      </c>
      <c r="M88" s="614" t="s">
        <v>63</v>
      </c>
      <c r="N88" s="612" t="s">
        <v>63</v>
      </c>
      <c r="O88" s="612" t="s">
        <v>63</v>
      </c>
      <c r="P88" s="620">
        <f>ifna(vlookup(A88,'Population &amp; Church Numbers'!$A$2431:$D$2525,4,FALSE),"NULL")</f>
        <v>31</v>
      </c>
      <c r="Q88" s="674" t="s">
        <v>63</v>
      </c>
    </row>
    <row r="89">
      <c r="A89" s="609" t="s">
        <v>316</v>
      </c>
      <c r="B89" s="610">
        <f t="array" ref="B89">VLOOKUP($A89,TN_DEMO,2,FALSE)</f>
        <v>19802</v>
      </c>
      <c r="C89" s="704" t="s">
        <v>63</v>
      </c>
      <c r="D89" s="612" t="s">
        <v>63</v>
      </c>
      <c r="E89" s="612">
        <f>VLOOKUP($A89,'TN Data'!$A$3:$B$97,2,FALSE)</f>
        <v>29</v>
      </c>
      <c r="F89" s="612" t="s">
        <v>63</v>
      </c>
      <c r="G89" s="612" t="s">
        <v>63</v>
      </c>
      <c r="H89" s="671">
        <f>ifna(vlookup(A89,'TN Data'!$A$229:$B$350,2,FALSE),"NULL")</f>
        <v>29</v>
      </c>
      <c r="I89" s="614">
        <f>ifna(vlookup(A89,'TN Data'!$A$112:$B$194,2,FALSE),"NULL")</f>
        <v>10</v>
      </c>
      <c r="J89" s="615" t="s">
        <v>63</v>
      </c>
      <c r="K89" s="672" t="s">
        <v>63</v>
      </c>
      <c r="L89" s="671" t="s">
        <v>63</v>
      </c>
      <c r="M89" s="614" t="s">
        <v>63</v>
      </c>
      <c r="N89" s="612" t="s">
        <v>63</v>
      </c>
      <c r="O89" s="612" t="s">
        <v>63</v>
      </c>
      <c r="P89" s="620">
        <f>ifna(vlookup(A89,'Population &amp; Church Numbers'!$A$2431:$D$2525,4,FALSE),"NULL")</f>
        <v>11</v>
      </c>
      <c r="Q89" s="674" t="s">
        <v>63</v>
      </c>
    </row>
    <row r="90">
      <c r="A90" s="609" t="s">
        <v>317</v>
      </c>
      <c r="B90" s="610">
        <f t="array" ref="B90">VLOOKUP($A90,TN_DEMO,2,FALSE)</f>
        <v>6168</v>
      </c>
      <c r="C90" s="704" t="s">
        <v>63</v>
      </c>
      <c r="D90" s="612" t="s">
        <v>63</v>
      </c>
      <c r="E90" s="612">
        <f>VLOOKUP($A90,'TN Data'!$A$3:$B$97,2,FALSE)</f>
        <v>18</v>
      </c>
      <c r="F90" s="612" t="s">
        <v>63</v>
      </c>
      <c r="G90" s="612" t="s">
        <v>63</v>
      </c>
      <c r="H90" s="671">
        <f>ifna(vlookup(A90,'TN Data'!$A$229:$B$350,2,FALSE),"NULL")</f>
        <v>18</v>
      </c>
      <c r="I90" s="614" t="str">
        <f>ifna(vlookup(A90,'TN Data'!$A$112:$B$194,2,FALSE),"NULL")</f>
        <v>NULL</v>
      </c>
      <c r="J90" s="615" t="s">
        <v>63</v>
      </c>
      <c r="K90" s="672" t="s">
        <v>63</v>
      </c>
      <c r="L90" s="671" t="s">
        <v>63</v>
      </c>
      <c r="M90" s="614" t="s">
        <v>63</v>
      </c>
      <c r="N90" s="612" t="s">
        <v>63</v>
      </c>
      <c r="O90" s="612" t="s">
        <v>63</v>
      </c>
      <c r="P90" s="620">
        <f>ifna(vlookup(A90,'Population &amp; Church Numbers'!$A$2431:$D$2525,4,FALSE),"NULL")</f>
        <v>8</v>
      </c>
      <c r="Q90" s="674" t="s">
        <v>63</v>
      </c>
    </row>
    <row r="91">
      <c r="A91" s="609" t="s">
        <v>647</v>
      </c>
      <c r="B91" s="610">
        <f t="array" ref="B91">VLOOKUP($A91,TN_DEMO,2,FALSE)</f>
        <v>40953</v>
      </c>
      <c r="C91" s="704" t="s">
        <v>63</v>
      </c>
      <c r="D91" s="612" t="s">
        <v>63</v>
      </c>
      <c r="E91" s="612">
        <f>VLOOKUP($A91,'TN Data'!$A$3:$B$97,2,FALSE)</f>
        <v>91</v>
      </c>
      <c r="F91" s="612" t="s">
        <v>63</v>
      </c>
      <c r="G91" s="612" t="s">
        <v>63</v>
      </c>
      <c r="H91" s="671">
        <f>ifna(vlookup(A91,'TN Data'!$A$229:$B$350,2,FALSE),"NULL")</f>
        <v>91</v>
      </c>
      <c r="I91" s="614">
        <f>ifna(vlookup(A91,'TN Data'!$A$112:$B$194,2,FALSE),"NULL")</f>
        <v>15</v>
      </c>
      <c r="J91" s="615" t="s">
        <v>63</v>
      </c>
      <c r="K91" s="672" t="s">
        <v>63</v>
      </c>
      <c r="L91" s="671" t="s">
        <v>63</v>
      </c>
      <c r="M91" s="614" t="s">
        <v>63</v>
      </c>
      <c r="N91" s="612" t="s">
        <v>63</v>
      </c>
      <c r="O91" s="612" t="s">
        <v>63</v>
      </c>
      <c r="P91" s="620">
        <f>ifna(vlookup(A91,'Population &amp; Church Numbers'!$A$2431:$D$2525,4,FALSE),"NULL")</f>
        <v>77</v>
      </c>
      <c r="Q91" s="674" t="s">
        <v>63</v>
      </c>
    </row>
    <row r="92">
      <c r="A92" s="609" t="s">
        <v>119</v>
      </c>
      <c r="B92" s="610">
        <f t="array" ref="B92">VLOOKUP($A92,TN_DEMO,2,FALSE)</f>
        <v>133001</v>
      </c>
      <c r="C92" s="704" t="s">
        <v>63</v>
      </c>
      <c r="D92" s="612" t="s">
        <v>63</v>
      </c>
      <c r="E92" s="612">
        <f>VLOOKUP($A92,'TN Data'!$A$3:$B$97,2,FALSE)</f>
        <v>180</v>
      </c>
      <c r="F92" s="612" t="s">
        <v>63</v>
      </c>
      <c r="G92" s="612" t="s">
        <v>63</v>
      </c>
      <c r="H92" s="671">
        <f>ifna(vlookup(A92,'TN Data'!$A$229:$B$350,2,FALSE),"NULL")</f>
        <v>180</v>
      </c>
      <c r="I92" s="614">
        <f>ifna(vlookup(A92,'TN Data'!$A$112:$B$194,2,FALSE),"NULL")</f>
        <v>27</v>
      </c>
      <c r="J92" s="615" t="s">
        <v>63</v>
      </c>
      <c r="K92" s="672" t="s">
        <v>63</v>
      </c>
      <c r="L92" s="671" t="s">
        <v>63</v>
      </c>
      <c r="M92" s="614" t="s">
        <v>63</v>
      </c>
      <c r="N92" s="612" t="s">
        <v>63</v>
      </c>
      <c r="O92" s="612" t="s">
        <v>63</v>
      </c>
      <c r="P92" s="620">
        <f>ifna(vlookup(A92,'Population &amp; Church Numbers'!$A$2431:$D$2525,4,FALSE),"NULL")</f>
        <v>150</v>
      </c>
      <c r="Q92" s="674" t="s">
        <v>63</v>
      </c>
    </row>
    <row r="93">
      <c r="A93" s="609" t="s">
        <v>273</v>
      </c>
      <c r="B93" s="610">
        <f t="array" ref="B93">VLOOKUP($A93,TN_DEMO,2,FALSE)</f>
        <v>16232</v>
      </c>
      <c r="C93" s="704" t="s">
        <v>63</v>
      </c>
      <c r="D93" s="612" t="s">
        <v>63</v>
      </c>
      <c r="E93" s="612">
        <f>VLOOKUP($A93,'TN Data'!$A$3:$B$97,2,FALSE)</f>
        <v>39</v>
      </c>
      <c r="F93" s="612" t="s">
        <v>63</v>
      </c>
      <c r="G93" s="612" t="s">
        <v>63</v>
      </c>
      <c r="H93" s="671">
        <f>ifna(vlookup(A93,'TN Data'!$A$229:$B$350,2,FALSE),"NULL")</f>
        <v>39</v>
      </c>
      <c r="I93" s="614">
        <f>ifna(vlookup(A93,'TN Data'!$A$112:$B$194,2,FALSE),"NULL")</f>
        <v>5</v>
      </c>
      <c r="J93" s="615" t="s">
        <v>63</v>
      </c>
      <c r="K93" s="672" t="s">
        <v>63</v>
      </c>
      <c r="L93" s="671" t="s">
        <v>63</v>
      </c>
      <c r="M93" s="614" t="s">
        <v>63</v>
      </c>
      <c r="N93" s="612" t="s">
        <v>63</v>
      </c>
      <c r="O93" s="612" t="s">
        <v>63</v>
      </c>
      <c r="P93" s="620">
        <f>ifna(vlookup(A93,'Population &amp; Church Numbers'!$A$2431:$D$2525,4,FALSE),"NULL")</f>
        <v>21</v>
      </c>
      <c r="Q93" s="674" t="s">
        <v>63</v>
      </c>
    </row>
    <row r="94">
      <c r="A94" s="609" t="s">
        <v>1999</v>
      </c>
      <c r="B94" s="610">
        <f t="array" ref="B94">VLOOKUP($A94,TN_DEMO,2,FALSE)</f>
        <v>32902</v>
      </c>
      <c r="C94" s="704" t="s">
        <v>63</v>
      </c>
      <c r="D94" s="612" t="s">
        <v>63</v>
      </c>
      <c r="E94" s="612">
        <f>VLOOKUP($A94,'TN Data'!$A$3:$B$97,2,FALSE)</f>
        <v>15</v>
      </c>
      <c r="F94" s="612" t="s">
        <v>63</v>
      </c>
      <c r="G94" s="612" t="s">
        <v>63</v>
      </c>
      <c r="H94" s="671">
        <f>ifna(vlookup(A94,'TN Data'!$A$229:$B$350,2,FALSE),"NULL")</f>
        <v>15</v>
      </c>
      <c r="I94" s="614">
        <f>ifna(vlookup(A94,'TN Data'!$A$112:$B$194,2,FALSE),"NULL")</f>
        <v>1</v>
      </c>
      <c r="J94" s="615" t="s">
        <v>63</v>
      </c>
      <c r="K94" s="672" t="s">
        <v>63</v>
      </c>
      <c r="L94" s="671" t="s">
        <v>63</v>
      </c>
      <c r="M94" s="614" t="s">
        <v>63</v>
      </c>
      <c r="N94" s="612" t="s">
        <v>63</v>
      </c>
      <c r="O94" s="612" t="s">
        <v>63</v>
      </c>
      <c r="P94" s="620">
        <f>ifna(vlookup(A94,'Population &amp; Church Numbers'!$A$2431:$D$2525,4,FALSE),"NULL")</f>
        <v>56</v>
      </c>
      <c r="Q94" s="674" t="s">
        <v>63</v>
      </c>
    </row>
    <row r="95">
      <c r="A95" s="609" t="s">
        <v>66</v>
      </c>
      <c r="B95" s="610">
        <f t="array" ref="B95">VLOOKUP($A95,TN_DEMO,2,FALSE)</f>
        <v>27351</v>
      </c>
      <c r="C95" s="704" t="s">
        <v>63</v>
      </c>
      <c r="D95" s="612" t="s">
        <v>63</v>
      </c>
      <c r="E95" s="612">
        <f>VLOOKUP($A95,'TN Data'!$A$3:$B$97,2,FALSE)</f>
        <v>82</v>
      </c>
      <c r="F95" s="612" t="s">
        <v>63</v>
      </c>
      <c r="G95" s="612" t="s">
        <v>63</v>
      </c>
      <c r="H95" s="671">
        <f>ifna(vlookup(A95,'TN Data'!$A$229:$B$350,2,FALSE),"NULL")</f>
        <v>82</v>
      </c>
      <c r="I95" s="614">
        <f>ifna(vlookup(A95,'TN Data'!$A$112:$B$194,2,FALSE),"NULL")</f>
        <v>7</v>
      </c>
      <c r="J95" s="615" t="s">
        <v>63</v>
      </c>
      <c r="K95" s="672" t="s">
        <v>63</v>
      </c>
      <c r="L95" s="671" t="s">
        <v>63</v>
      </c>
      <c r="M95" s="614" t="s">
        <v>63</v>
      </c>
      <c r="N95" s="612" t="s">
        <v>63</v>
      </c>
      <c r="O95" s="612" t="s">
        <v>63</v>
      </c>
      <c r="P95" s="620">
        <f>ifna(vlookup(A95,'Population &amp; Church Numbers'!$A$2431:$D$2525,4,FALSE),"NULL")</f>
        <v>43</v>
      </c>
      <c r="Q95" s="674" t="s">
        <v>63</v>
      </c>
    </row>
    <row r="96">
      <c r="A96" s="609" t="s">
        <v>627</v>
      </c>
      <c r="B96" s="610">
        <f t="array" ref="B96">VLOOKUP($A96,TN_DEMO,2,FALSE)</f>
        <v>247726</v>
      </c>
      <c r="C96" s="704" t="s">
        <v>63</v>
      </c>
      <c r="D96" s="612" t="s">
        <v>63</v>
      </c>
      <c r="E96" s="612">
        <f>VLOOKUP($A96,'TN Data'!$A$3:$B$97,2,FALSE)</f>
        <v>46</v>
      </c>
      <c r="F96" s="612" t="s">
        <v>63</v>
      </c>
      <c r="G96" s="612" t="s">
        <v>63</v>
      </c>
      <c r="H96" s="671">
        <f>ifna(vlookup(A96,'TN Data'!$A$229:$B$350,2,FALSE),"NULL")</f>
        <v>46</v>
      </c>
      <c r="I96" s="614">
        <f>ifna(vlookup(A96,'TN Data'!$A$112:$B$194,2,FALSE),"NULL")</f>
        <v>14</v>
      </c>
      <c r="J96" s="615" t="s">
        <v>63</v>
      </c>
      <c r="K96" s="672" t="s">
        <v>63</v>
      </c>
      <c r="L96" s="671" t="s">
        <v>63</v>
      </c>
      <c r="M96" s="614" t="s">
        <v>63</v>
      </c>
      <c r="N96" s="612" t="s">
        <v>63</v>
      </c>
      <c r="O96" s="612" t="s">
        <v>63</v>
      </c>
      <c r="P96" s="620">
        <f>ifna(vlookup(A96,'Population &amp; Church Numbers'!$A$2431:$D$2525,4,FALSE),"NULL")</f>
        <v>157</v>
      </c>
      <c r="Q96" s="674" t="s">
        <v>63</v>
      </c>
    </row>
    <row r="97">
      <c r="A97" s="609" t="s">
        <v>1021</v>
      </c>
      <c r="B97" s="610">
        <f t="array" ref="B97">VLOOKUP($A97,TN_DEMO,2,FALSE)</f>
        <v>147737</v>
      </c>
      <c r="C97" s="704" t="s">
        <v>63</v>
      </c>
      <c r="D97" s="612" t="s">
        <v>63</v>
      </c>
      <c r="E97" s="612">
        <f>VLOOKUP($A97,'TN Data'!$A$3:$B$97,2,FALSE)</f>
        <v>75</v>
      </c>
      <c r="F97" s="612" t="s">
        <v>63</v>
      </c>
      <c r="G97" s="612" t="s">
        <v>63</v>
      </c>
      <c r="H97" s="671">
        <f>ifna(vlookup(A97,'TN Data'!$A$229:$B$350,2,FALSE),"NULL")</f>
        <v>75</v>
      </c>
      <c r="I97" s="614">
        <f>ifna(vlookup(A97,'TN Data'!$A$112:$B$194,2,FALSE),"NULL")</f>
        <v>1</v>
      </c>
      <c r="J97" s="615" t="s">
        <v>63</v>
      </c>
      <c r="K97" s="672" t="s">
        <v>63</v>
      </c>
      <c r="L97" s="671" t="s">
        <v>63</v>
      </c>
      <c r="M97" s="614" t="s">
        <v>63</v>
      </c>
      <c r="N97" s="612" t="s">
        <v>63</v>
      </c>
      <c r="O97" s="612" t="s">
        <v>63</v>
      </c>
      <c r="P97" s="620">
        <f>ifna(vlookup(A97,'Population &amp; Church Numbers'!$A$2431:$D$2525,4,FALSE),"NULL")</f>
        <v>109</v>
      </c>
      <c r="Q97" s="674" t="s">
        <v>63</v>
      </c>
    </row>
    <row r="98">
      <c r="A98" s="217"/>
      <c r="B98" s="218"/>
      <c r="C98" s="219"/>
      <c r="D98" s="220"/>
      <c r="E98" s="220"/>
      <c r="F98" s="220"/>
      <c r="G98" s="220"/>
      <c r="H98" s="221"/>
      <c r="I98" s="222"/>
      <c r="J98" s="223"/>
      <c r="K98" s="219"/>
      <c r="L98" s="224"/>
      <c r="M98" s="225"/>
      <c r="N98" s="226"/>
      <c r="O98" s="220"/>
      <c r="P98" s="221"/>
      <c r="Q98" s="295"/>
    </row>
    <row r="99">
      <c r="A99" s="228" t="s">
        <v>2</v>
      </c>
      <c r="B99" s="229"/>
      <c r="C99" s="1134">
        <f>AFCARSCSC!B46</f>
        <v>9053</v>
      </c>
      <c r="D99" s="708" t="s">
        <v>63</v>
      </c>
      <c r="E99" s="708" t="s">
        <v>63</v>
      </c>
      <c r="F99" s="708" t="s">
        <v>63</v>
      </c>
      <c r="G99" s="708" t="s">
        <v>63</v>
      </c>
      <c r="H99" s="1134">
        <f>AFCARSCSC!D46</f>
        <v>4509</v>
      </c>
      <c r="I99" s="237">
        <f>AFCARSCSC!C46</f>
        <v>1155</v>
      </c>
      <c r="J99" s="360" t="s">
        <v>63</v>
      </c>
      <c r="K99" s="708" t="s">
        <v>63</v>
      </c>
      <c r="L99" s="708" t="s">
        <v>63</v>
      </c>
      <c r="M99" s="360" t="s">
        <v>63</v>
      </c>
      <c r="N99" s="360" t="s">
        <v>63</v>
      </c>
      <c r="O99" s="360" t="s">
        <v>63</v>
      </c>
      <c r="P99" s="233">
        <f>SUM(P3:P97)</f>
        <v>7293</v>
      </c>
      <c r="Q99" s="1092" t="s">
        <v>63</v>
      </c>
    </row>
  </sheetData>
  <mergeCells count="1">
    <mergeCell ref="B1:Q1"/>
  </mergeCells>
  <drawing r:id="rId1"/>
  <tableParts count="1">
    <tablePart r:id="rId3"/>
  </tableParts>
</worksheet>
</file>

<file path=xl/worksheets/sheet9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75" t="s">
        <v>4150</v>
      </c>
      <c r="B1" s="276"/>
      <c r="C1" s="276"/>
      <c r="D1" s="276"/>
      <c r="E1" s="275" t="s">
        <v>765</v>
      </c>
      <c r="F1" s="275" t="s">
        <v>4151</v>
      </c>
      <c r="G1" s="276"/>
      <c r="H1" s="276"/>
      <c r="I1" s="275" t="s">
        <v>767</v>
      </c>
      <c r="J1" s="648">
        <v>45733.0</v>
      </c>
      <c r="K1" s="275" t="s">
        <v>769</v>
      </c>
      <c r="L1" s="648">
        <v>45474.0</v>
      </c>
      <c r="M1" s="276"/>
    </row>
    <row r="2">
      <c r="A2" s="1281" t="s">
        <v>172</v>
      </c>
      <c r="B2" s="1281" t="s">
        <v>4152</v>
      </c>
    </row>
    <row r="3">
      <c r="A3" s="278" t="s">
        <v>954</v>
      </c>
      <c r="B3" s="281">
        <v>130.0</v>
      </c>
    </row>
    <row r="4">
      <c r="A4" s="278" t="s">
        <v>1784</v>
      </c>
      <c r="B4" s="281">
        <v>44.0</v>
      </c>
    </row>
    <row r="5">
      <c r="A5" s="278" t="s">
        <v>243</v>
      </c>
      <c r="B5" s="281">
        <v>14.0</v>
      </c>
    </row>
    <row r="6">
      <c r="A6" s="278" t="s">
        <v>1893</v>
      </c>
      <c r="B6" s="281">
        <v>15.0</v>
      </c>
    </row>
    <row r="7">
      <c r="A7" s="278" t="s">
        <v>77</v>
      </c>
      <c r="B7" s="281">
        <v>88.0</v>
      </c>
    </row>
    <row r="8">
      <c r="A8" s="278" t="s">
        <v>247</v>
      </c>
      <c r="B8" s="281">
        <v>147.0</v>
      </c>
    </row>
    <row r="9">
      <c r="A9" s="278" t="s">
        <v>1036</v>
      </c>
      <c r="B9" s="281">
        <v>54.0</v>
      </c>
    </row>
    <row r="10">
      <c r="A10" s="278" t="s">
        <v>1896</v>
      </c>
      <c r="B10" s="281">
        <v>24.0</v>
      </c>
    </row>
    <row r="11">
      <c r="A11" s="278" t="s">
        <v>248</v>
      </c>
      <c r="B11" s="281">
        <v>41.0</v>
      </c>
    </row>
    <row r="12">
      <c r="A12" s="278" t="s">
        <v>1038</v>
      </c>
      <c r="B12" s="281">
        <v>65.0</v>
      </c>
    </row>
    <row r="13">
      <c r="A13" s="278" t="s">
        <v>1898</v>
      </c>
      <c r="B13" s="281">
        <v>20.0</v>
      </c>
    </row>
    <row r="14">
      <c r="A14" s="278" t="s">
        <v>1789</v>
      </c>
      <c r="B14" s="281">
        <v>8.0</v>
      </c>
    </row>
    <row r="15">
      <c r="A15" s="278" t="s">
        <v>1151</v>
      </c>
      <c r="B15" s="281">
        <v>70.0</v>
      </c>
    </row>
    <row r="16">
      <c r="A16" s="278" t="s">
        <v>112</v>
      </c>
      <c r="B16" s="281">
        <v>15.0</v>
      </c>
    </row>
    <row r="17">
      <c r="A17" s="278" t="s">
        <v>1899</v>
      </c>
      <c r="B17" s="281">
        <v>77.0</v>
      </c>
    </row>
    <row r="18">
      <c r="A18" s="278" t="s">
        <v>118</v>
      </c>
      <c r="B18" s="281">
        <v>73.0</v>
      </c>
    </row>
    <row r="19">
      <c r="A19" s="278" t="s">
        <v>1900</v>
      </c>
      <c r="B19" s="281">
        <v>7.0</v>
      </c>
    </row>
    <row r="20">
      <c r="A20" s="278" t="s">
        <v>713</v>
      </c>
      <c r="B20" s="281">
        <v>88.0</v>
      </c>
    </row>
    <row r="21">
      <c r="A21" s="278" t="s">
        <v>570</v>
      </c>
      <c r="B21" s="281">
        <v>516.0</v>
      </c>
    </row>
    <row r="22">
      <c r="A22" s="278" t="s">
        <v>563</v>
      </c>
      <c r="B22" s="281">
        <v>26.0</v>
      </c>
    </row>
    <row r="23">
      <c r="A23" s="278" t="s">
        <v>2530</v>
      </c>
      <c r="B23" s="281">
        <v>41.0</v>
      </c>
    </row>
    <row r="24">
      <c r="A24" s="278" t="s">
        <v>1902</v>
      </c>
      <c r="B24" s="281">
        <v>80.0</v>
      </c>
    </row>
    <row r="25">
      <c r="A25" s="278" t="s">
        <v>1903</v>
      </c>
      <c r="B25" s="281">
        <v>54.0</v>
      </c>
    </row>
    <row r="26">
      <c r="A26" s="278" t="s">
        <v>135</v>
      </c>
      <c r="B26" s="281">
        <v>13.0</v>
      </c>
    </row>
    <row r="27">
      <c r="A27" s="278" t="s">
        <v>1905</v>
      </c>
      <c r="B27" s="281">
        <v>12.0</v>
      </c>
    </row>
    <row r="28">
      <c r="A28" s="278" t="s">
        <v>136</v>
      </c>
      <c r="B28" s="281">
        <v>75.0</v>
      </c>
    </row>
    <row r="29">
      <c r="A29" s="278" t="s">
        <v>763</v>
      </c>
      <c r="B29" s="281">
        <v>39.0</v>
      </c>
    </row>
    <row r="30">
      <c r="A30" s="278" t="s">
        <v>1907</v>
      </c>
      <c r="B30" s="281">
        <v>82.0</v>
      </c>
    </row>
    <row r="31">
      <c r="A31" s="278" t="s">
        <v>1908</v>
      </c>
      <c r="B31" s="281">
        <v>31.0</v>
      </c>
    </row>
    <row r="32">
      <c r="A32" s="278" t="s">
        <v>138</v>
      </c>
      <c r="B32" s="281">
        <v>148.0</v>
      </c>
    </row>
    <row r="33">
      <c r="A33" s="278" t="s">
        <v>720</v>
      </c>
      <c r="B33" s="281">
        <v>36.0</v>
      </c>
    </row>
    <row r="34">
      <c r="A34" s="278" t="s">
        <v>1911</v>
      </c>
      <c r="B34" s="281">
        <v>89.0</v>
      </c>
    </row>
    <row r="35">
      <c r="A35" s="278" t="s">
        <v>497</v>
      </c>
      <c r="B35" s="281">
        <v>287.0</v>
      </c>
    </row>
    <row r="36">
      <c r="A36" s="278" t="s">
        <v>587</v>
      </c>
      <c r="B36" s="281">
        <v>4.0</v>
      </c>
    </row>
    <row r="37">
      <c r="A37" s="278" t="s">
        <v>1915</v>
      </c>
      <c r="B37" s="281">
        <v>17.0</v>
      </c>
    </row>
    <row r="38">
      <c r="A38" s="278" t="s">
        <v>721</v>
      </c>
      <c r="B38" s="281">
        <v>34.0</v>
      </c>
    </row>
    <row r="39">
      <c r="A39" s="278" t="s">
        <v>1917</v>
      </c>
      <c r="B39" s="281">
        <v>52.0</v>
      </c>
    </row>
    <row r="40">
      <c r="A40" s="278" t="s">
        <v>1607</v>
      </c>
      <c r="B40" s="281">
        <v>9.0</v>
      </c>
    </row>
    <row r="41">
      <c r="A41" s="278" t="s">
        <v>722</v>
      </c>
      <c r="B41" s="281">
        <v>23.0</v>
      </c>
    </row>
    <row r="42">
      <c r="A42" s="278" t="s">
        <v>140</v>
      </c>
      <c r="B42" s="281">
        <v>26.0</v>
      </c>
    </row>
    <row r="43">
      <c r="A43" s="278" t="s">
        <v>1097</v>
      </c>
      <c r="B43" s="281">
        <v>40.0</v>
      </c>
    </row>
    <row r="44">
      <c r="A44" s="278" t="s">
        <v>141</v>
      </c>
      <c r="B44" s="281">
        <v>9.0</v>
      </c>
    </row>
    <row r="45">
      <c r="A45" s="278" t="s">
        <v>1368</v>
      </c>
      <c r="B45" s="281">
        <v>23.0</v>
      </c>
    </row>
    <row r="46">
      <c r="A46" s="278" t="s">
        <v>142</v>
      </c>
      <c r="B46" s="281">
        <v>17.0</v>
      </c>
    </row>
    <row r="47">
      <c r="A47" s="278" t="s">
        <v>143</v>
      </c>
      <c r="B47" s="281">
        <v>69.0</v>
      </c>
    </row>
    <row r="48">
      <c r="A48" s="278" t="s">
        <v>288</v>
      </c>
      <c r="B48" s="281">
        <v>19.0</v>
      </c>
    </row>
    <row r="49">
      <c r="A49" s="278" t="s">
        <v>728</v>
      </c>
      <c r="B49" s="281">
        <v>450.0</v>
      </c>
    </row>
    <row r="50">
      <c r="A50" s="278" t="s">
        <v>337</v>
      </c>
      <c r="B50" s="281">
        <v>18.0</v>
      </c>
    </row>
    <row r="51">
      <c r="A51" s="278" t="s">
        <v>145</v>
      </c>
      <c r="B51" s="281">
        <v>31.0</v>
      </c>
    </row>
    <row r="52">
      <c r="A52" s="278" t="s">
        <v>146</v>
      </c>
      <c r="B52" s="281">
        <v>166.0</v>
      </c>
    </row>
    <row r="53">
      <c r="A53" s="278" t="s">
        <v>682</v>
      </c>
      <c r="B53" s="281">
        <v>20.0</v>
      </c>
    </row>
    <row r="54">
      <c r="A54" s="278" t="s">
        <v>290</v>
      </c>
      <c r="B54" s="281">
        <v>17.0</v>
      </c>
    </row>
    <row r="55">
      <c r="A55" s="278" t="s">
        <v>1930</v>
      </c>
      <c r="B55" s="281">
        <v>22.0</v>
      </c>
    </row>
    <row r="56">
      <c r="A56" s="278" t="s">
        <v>150</v>
      </c>
      <c r="B56" s="281">
        <v>46.0</v>
      </c>
    </row>
    <row r="57">
      <c r="A57" s="278" t="s">
        <v>151</v>
      </c>
      <c r="B57" s="281">
        <v>63.0</v>
      </c>
    </row>
    <row r="58">
      <c r="A58" s="278" t="s">
        <v>153</v>
      </c>
      <c r="B58" s="281">
        <v>14.0</v>
      </c>
    </row>
    <row r="59">
      <c r="A59" s="278" t="s">
        <v>154</v>
      </c>
      <c r="B59" s="281">
        <v>25.0</v>
      </c>
    </row>
    <row r="60">
      <c r="A60" s="278" t="s">
        <v>1942</v>
      </c>
      <c r="B60" s="281">
        <v>84.0</v>
      </c>
    </row>
    <row r="61">
      <c r="A61" s="278" t="s">
        <v>1933</v>
      </c>
      <c r="B61" s="281">
        <v>56.0</v>
      </c>
    </row>
    <row r="62">
      <c r="A62" s="278" t="s">
        <v>1935</v>
      </c>
      <c r="B62" s="281">
        <v>17.0</v>
      </c>
    </row>
    <row r="63">
      <c r="A63" s="278" t="s">
        <v>1690</v>
      </c>
      <c r="B63" s="281">
        <v>22.0</v>
      </c>
    </row>
    <row r="64">
      <c r="A64" s="278" t="s">
        <v>156</v>
      </c>
      <c r="B64" s="281">
        <v>34.0</v>
      </c>
    </row>
    <row r="65">
      <c r="A65" s="278" t="s">
        <v>157</v>
      </c>
      <c r="B65" s="281">
        <v>233.0</v>
      </c>
    </row>
    <row r="66">
      <c r="A66" s="278" t="s">
        <v>1615</v>
      </c>
      <c r="B66" s="281">
        <v>1.0</v>
      </c>
    </row>
    <row r="67">
      <c r="A67" s="278" t="s">
        <v>158</v>
      </c>
      <c r="B67" s="281">
        <v>10.0</v>
      </c>
    </row>
    <row r="68">
      <c r="A68" s="278" t="s">
        <v>1957</v>
      </c>
      <c r="B68" s="281">
        <v>27.0</v>
      </c>
    </row>
    <row r="69">
      <c r="A69" s="278" t="s">
        <v>1960</v>
      </c>
      <c r="B69" s="281">
        <v>54.0</v>
      </c>
    </row>
    <row r="70">
      <c r="A70" s="278" t="s">
        <v>159</v>
      </c>
      <c r="B70" s="281">
        <v>21.0</v>
      </c>
    </row>
    <row r="71">
      <c r="A71" s="278" t="s">
        <v>1965</v>
      </c>
      <c r="B71" s="281">
        <v>10.0</v>
      </c>
    </row>
    <row r="72">
      <c r="A72" s="278" t="s">
        <v>302</v>
      </c>
      <c r="B72" s="281">
        <v>16.0</v>
      </c>
    </row>
    <row r="73">
      <c r="A73" s="278" t="s">
        <v>518</v>
      </c>
      <c r="B73" s="281">
        <v>93.0</v>
      </c>
    </row>
    <row r="74">
      <c r="A74" s="278" t="s">
        <v>1973</v>
      </c>
      <c r="B74" s="281">
        <v>50.0</v>
      </c>
    </row>
    <row r="75">
      <c r="A75" s="278" t="s">
        <v>1976</v>
      </c>
      <c r="B75" s="281">
        <v>42.0</v>
      </c>
    </row>
    <row r="76">
      <c r="A76" s="278" t="s">
        <v>1131</v>
      </c>
      <c r="B76" s="281">
        <v>50.0</v>
      </c>
    </row>
    <row r="77">
      <c r="A77" s="278" t="s">
        <v>1627</v>
      </c>
      <c r="B77" s="281">
        <v>222.0</v>
      </c>
    </row>
    <row r="78">
      <c r="A78" s="278" t="s">
        <v>309</v>
      </c>
      <c r="B78" s="281">
        <v>26.0</v>
      </c>
    </row>
    <row r="79">
      <c r="A79" s="278" t="s">
        <v>1985</v>
      </c>
      <c r="B79" s="281">
        <v>10.0</v>
      </c>
    </row>
    <row r="80">
      <c r="A80" s="278" t="s">
        <v>312</v>
      </c>
      <c r="B80" s="281">
        <v>159.0</v>
      </c>
    </row>
    <row r="81">
      <c r="A81" s="278" t="s">
        <v>168</v>
      </c>
      <c r="B81" s="281">
        <v>936.0</v>
      </c>
    </row>
    <row r="82">
      <c r="A82" s="278" t="s">
        <v>1012</v>
      </c>
      <c r="B82" s="281">
        <v>46.0</v>
      </c>
    </row>
    <row r="83">
      <c r="A83" s="278" t="s">
        <v>629</v>
      </c>
      <c r="B83" s="281">
        <v>22.0</v>
      </c>
    </row>
    <row r="84">
      <c r="A84" s="278" t="s">
        <v>860</v>
      </c>
      <c r="B84" s="281">
        <v>204.0</v>
      </c>
    </row>
    <row r="85">
      <c r="A85" s="278" t="s">
        <v>1016</v>
      </c>
      <c r="B85" s="281">
        <v>116.0</v>
      </c>
    </row>
    <row r="86">
      <c r="A86" s="278" t="s">
        <v>865</v>
      </c>
      <c r="B86" s="281">
        <v>22.0</v>
      </c>
    </row>
    <row r="87">
      <c r="A87" s="278" t="s">
        <v>1994</v>
      </c>
      <c r="B87" s="281">
        <v>8.0</v>
      </c>
    </row>
    <row r="88">
      <c r="A88" s="278" t="s">
        <v>1995</v>
      </c>
      <c r="B88" s="281">
        <v>24.0</v>
      </c>
    </row>
    <row r="89">
      <c r="A89" s="278" t="s">
        <v>316</v>
      </c>
      <c r="B89" s="281">
        <v>29.0</v>
      </c>
    </row>
    <row r="90">
      <c r="A90" s="278" t="s">
        <v>317</v>
      </c>
      <c r="B90" s="281">
        <v>18.0</v>
      </c>
    </row>
    <row r="91">
      <c r="A91" s="278" t="s">
        <v>647</v>
      </c>
      <c r="B91" s="281">
        <v>91.0</v>
      </c>
    </row>
    <row r="92">
      <c r="A92" s="278" t="s">
        <v>119</v>
      </c>
      <c r="B92" s="281">
        <v>180.0</v>
      </c>
    </row>
    <row r="93">
      <c r="A93" s="278" t="s">
        <v>273</v>
      </c>
      <c r="B93" s="281">
        <v>39.0</v>
      </c>
    </row>
    <row r="94">
      <c r="A94" s="278" t="s">
        <v>1999</v>
      </c>
      <c r="B94" s="281">
        <v>15.0</v>
      </c>
    </row>
    <row r="95">
      <c r="A95" s="278" t="s">
        <v>66</v>
      </c>
      <c r="B95" s="281">
        <v>82.0</v>
      </c>
    </row>
    <row r="96">
      <c r="A96" s="278" t="s">
        <v>627</v>
      </c>
      <c r="B96" s="281">
        <v>46.0</v>
      </c>
    </row>
    <row r="97">
      <c r="A97" s="278" t="s">
        <v>1021</v>
      </c>
      <c r="B97" s="281">
        <v>75.0</v>
      </c>
    </row>
    <row r="111">
      <c r="A111" s="275" t="s">
        <v>792</v>
      </c>
      <c r="B111" s="276"/>
      <c r="C111" s="276"/>
      <c r="D111" s="276"/>
      <c r="E111" s="275" t="s">
        <v>765</v>
      </c>
      <c r="F111" s="275" t="s">
        <v>4151</v>
      </c>
      <c r="G111" s="276"/>
      <c r="H111" s="276"/>
      <c r="I111" s="275" t="s">
        <v>767</v>
      </c>
      <c r="J111" s="648">
        <v>45733.0</v>
      </c>
      <c r="K111" s="275" t="s">
        <v>769</v>
      </c>
      <c r="L111" s="648">
        <v>45474.0</v>
      </c>
      <c r="M111" s="276"/>
    </row>
    <row r="112">
      <c r="A112" s="1281" t="s">
        <v>172</v>
      </c>
      <c r="B112" s="1281" t="s">
        <v>4153</v>
      </c>
    </row>
    <row r="113">
      <c r="A113" s="278" t="s">
        <v>954</v>
      </c>
      <c r="B113" s="281">
        <v>18.0</v>
      </c>
    </row>
    <row r="114">
      <c r="A114" s="278" t="s">
        <v>1784</v>
      </c>
      <c r="B114" s="281">
        <v>3.0</v>
      </c>
    </row>
    <row r="115">
      <c r="A115" s="278" t="s">
        <v>243</v>
      </c>
      <c r="B115" s="281">
        <v>1.0</v>
      </c>
    </row>
    <row r="116">
      <c r="A116" s="278" t="s">
        <v>77</v>
      </c>
      <c r="B116" s="281">
        <v>11.0</v>
      </c>
    </row>
    <row r="117">
      <c r="A117" s="278" t="s">
        <v>247</v>
      </c>
      <c r="B117" s="281">
        <v>18.0</v>
      </c>
    </row>
    <row r="118">
      <c r="A118" s="278" t="s">
        <v>1036</v>
      </c>
      <c r="B118" s="281">
        <v>18.0</v>
      </c>
    </row>
    <row r="119">
      <c r="A119" s="278" t="s">
        <v>1896</v>
      </c>
      <c r="B119" s="281">
        <v>5.0</v>
      </c>
    </row>
    <row r="120">
      <c r="A120" s="278" t="s">
        <v>248</v>
      </c>
      <c r="B120" s="281">
        <v>9.0</v>
      </c>
    </row>
    <row r="121">
      <c r="A121" s="278" t="s">
        <v>1038</v>
      </c>
      <c r="B121" s="281">
        <v>12.0</v>
      </c>
    </row>
    <row r="122">
      <c r="A122" s="278" t="s">
        <v>1898</v>
      </c>
      <c r="B122" s="281">
        <v>4.0</v>
      </c>
    </row>
    <row r="123">
      <c r="A123" s="278" t="s">
        <v>1151</v>
      </c>
      <c r="B123" s="281">
        <v>14.0</v>
      </c>
    </row>
    <row r="124">
      <c r="A124" s="278" t="s">
        <v>1899</v>
      </c>
      <c r="B124" s="281">
        <v>14.0</v>
      </c>
    </row>
    <row r="125">
      <c r="A125" s="278" t="s">
        <v>118</v>
      </c>
      <c r="B125" s="281">
        <v>13.0</v>
      </c>
    </row>
    <row r="126">
      <c r="A126" s="278" t="s">
        <v>713</v>
      </c>
      <c r="B126" s="281">
        <v>4.0</v>
      </c>
    </row>
    <row r="127">
      <c r="A127" s="278" t="s">
        <v>570</v>
      </c>
      <c r="B127" s="281">
        <v>51.0</v>
      </c>
    </row>
    <row r="128">
      <c r="A128" s="278" t="s">
        <v>563</v>
      </c>
      <c r="B128" s="281">
        <v>1.0</v>
      </c>
    </row>
    <row r="129">
      <c r="A129" s="278" t="s">
        <v>2530</v>
      </c>
      <c r="B129" s="281">
        <v>1.0</v>
      </c>
    </row>
    <row r="130">
      <c r="A130" s="278" t="s">
        <v>1902</v>
      </c>
      <c r="B130" s="281">
        <v>12.0</v>
      </c>
    </row>
    <row r="131">
      <c r="A131" s="278" t="s">
        <v>1903</v>
      </c>
      <c r="B131" s="281">
        <v>3.0</v>
      </c>
    </row>
    <row r="132">
      <c r="A132" s="278" t="s">
        <v>136</v>
      </c>
      <c r="B132" s="281">
        <v>16.0</v>
      </c>
    </row>
    <row r="133">
      <c r="A133" s="278" t="s">
        <v>763</v>
      </c>
      <c r="B133" s="281">
        <v>8.0</v>
      </c>
    </row>
    <row r="134">
      <c r="A134" s="278" t="s">
        <v>1907</v>
      </c>
      <c r="B134" s="281">
        <v>4.0</v>
      </c>
    </row>
    <row r="135">
      <c r="A135" s="278" t="s">
        <v>1908</v>
      </c>
      <c r="B135" s="281">
        <v>1.0</v>
      </c>
    </row>
    <row r="136">
      <c r="A136" s="278" t="s">
        <v>138</v>
      </c>
      <c r="B136" s="281">
        <v>26.0</v>
      </c>
    </row>
    <row r="137">
      <c r="A137" s="278" t="s">
        <v>720</v>
      </c>
      <c r="B137" s="281">
        <v>6.0</v>
      </c>
    </row>
    <row r="138">
      <c r="A138" s="278" t="s">
        <v>1911</v>
      </c>
      <c r="B138" s="281">
        <v>18.0</v>
      </c>
    </row>
    <row r="139">
      <c r="A139" s="278" t="s">
        <v>497</v>
      </c>
      <c r="B139" s="281">
        <v>24.0</v>
      </c>
    </row>
    <row r="140">
      <c r="A140" s="278" t="s">
        <v>1915</v>
      </c>
      <c r="B140" s="281">
        <v>3.0</v>
      </c>
    </row>
    <row r="141">
      <c r="A141" s="278" t="s">
        <v>721</v>
      </c>
      <c r="B141" s="281">
        <v>6.0</v>
      </c>
    </row>
    <row r="142">
      <c r="A142" s="278" t="s">
        <v>1917</v>
      </c>
      <c r="B142" s="281">
        <v>12.0</v>
      </c>
    </row>
    <row r="143">
      <c r="A143" s="278" t="s">
        <v>1607</v>
      </c>
      <c r="B143" s="281">
        <v>1.0</v>
      </c>
    </row>
    <row r="144">
      <c r="A144" s="278" t="s">
        <v>722</v>
      </c>
      <c r="B144" s="281">
        <v>4.0</v>
      </c>
    </row>
    <row r="145">
      <c r="A145" s="278" t="s">
        <v>140</v>
      </c>
      <c r="B145" s="281">
        <v>2.0</v>
      </c>
    </row>
    <row r="146">
      <c r="A146" s="278" t="s">
        <v>1097</v>
      </c>
      <c r="B146" s="281">
        <v>6.0</v>
      </c>
    </row>
    <row r="147">
      <c r="A147" s="278" t="s">
        <v>141</v>
      </c>
      <c r="B147" s="281">
        <v>2.0</v>
      </c>
    </row>
    <row r="148">
      <c r="A148" s="278" t="s">
        <v>1368</v>
      </c>
      <c r="B148" s="281">
        <v>3.0</v>
      </c>
    </row>
    <row r="149">
      <c r="A149" s="278" t="s">
        <v>142</v>
      </c>
      <c r="B149" s="281">
        <v>3.0</v>
      </c>
    </row>
    <row r="150">
      <c r="A150" s="278" t="s">
        <v>143</v>
      </c>
      <c r="B150" s="281">
        <v>16.0</v>
      </c>
    </row>
    <row r="151">
      <c r="A151" s="278" t="s">
        <v>288</v>
      </c>
      <c r="B151" s="281">
        <v>11.0</v>
      </c>
    </row>
    <row r="152">
      <c r="A152" s="278" t="s">
        <v>728</v>
      </c>
      <c r="B152" s="281">
        <v>48.0</v>
      </c>
    </row>
    <row r="153">
      <c r="A153" s="278" t="s">
        <v>145</v>
      </c>
      <c r="B153" s="281">
        <v>5.0</v>
      </c>
    </row>
    <row r="154">
      <c r="A154" s="278" t="s">
        <v>146</v>
      </c>
      <c r="B154" s="281">
        <v>11.0</v>
      </c>
    </row>
    <row r="155">
      <c r="A155" s="278" t="s">
        <v>682</v>
      </c>
      <c r="B155" s="281">
        <v>2.0</v>
      </c>
    </row>
    <row r="156">
      <c r="A156" s="278" t="s">
        <v>290</v>
      </c>
      <c r="B156" s="281">
        <v>3.0</v>
      </c>
    </row>
    <row r="157">
      <c r="A157" s="278" t="s">
        <v>1930</v>
      </c>
      <c r="B157" s="281">
        <v>8.0</v>
      </c>
    </row>
    <row r="158">
      <c r="A158" s="278" t="s">
        <v>150</v>
      </c>
      <c r="B158" s="281">
        <v>7.0</v>
      </c>
    </row>
    <row r="159">
      <c r="A159" s="278" t="s">
        <v>151</v>
      </c>
      <c r="B159" s="281">
        <v>1.0</v>
      </c>
    </row>
    <row r="160">
      <c r="A160" s="278" t="s">
        <v>153</v>
      </c>
      <c r="B160" s="281">
        <v>3.0</v>
      </c>
    </row>
    <row r="161">
      <c r="A161" s="278" t="s">
        <v>1942</v>
      </c>
      <c r="B161" s="281">
        <v>12.0</v>
      </c>
    </row>
    <row r="162">
      <c r="A162" s="278" t="s">
        <v>1933</v>
      </c>
      <c r="B162" s="281">
        <v>10.0</v>
      </c>
    </row>
    <row r="163">
      <c r="A163" s="278" t="s">
        <v>1690</v>
      </c>
      <c r="B163" s="281">
        <v>5.0</v>
      </c>
    </row>
    <row r="164">
      <c r="A164" s="278" t="s">
        <v>156</v>
      </c>
      <c r="B164" s="281">
        <v>9.0</v>
      </c>
    </row>
    <row r="165">
      <c r="A165" s="278" t="s">
        <v>157</v>
      </c>
      <c r="B165" s="281">
        <v>22.0</v>
      </c>
    </row>
    <row r="166">
      <c r="A166" s="278" t="s">
        <v>158</v>
      </c>
      <c r="B166" s="281">
        <v>2.0</v>
      </c>
    </row>
    <row r="167">
      <c r="A167" s="278" t="s">
        <v>1957</v>
      </c>
      <c r="B167" s="281">
        <v>4.0</v>
      </c>
    </row>
    <row r="168">
      <c r="A168" s="278" t="s">
        <v>1960</v>
      </c>
      <c r="B168" s="281">
        <v>8.0</v>
      </c>
    </row>
    <row r="169">
      <c r="A169" s="278" t="s">
        <v>159</v>
      </c>
      <c r="B169" s="281">
        <v>2.0</v>
      </c>
    </row>
    <row r="170">
      <c r="A170" s="278" t="s">
        <v>1965</v>
      </c>
      <c r="B170" s="281">
        <v>1.0</v>
      </c>
    </row>
    <row r="171">
      <c r="A171" s="278" t="s">
        <v>302</v>
      </c>
      <c r="B171" s="281">
        <v>1.0</v>
      </c>
    </row>
    <row r="172">
      <c r="A172" s="278" t="s">
        <v>518</v>
      </c>
      <c r="B172" s="281">
        <v>10.0</v>
      </c>
    </row>
    <row r="173">
      <c r="A173" s="278" t="s">
        <v>1973</v>
      </c>
      <c r="B173" s="281">
        <v>9.0</v>
      </c>
    </row>
    <row r="174">
      <c r="A174" s="278" t="s">
        <v>1976</v>
      </c>
      <c r="B174" s="281">
        <v>9.0</v>
      </c>
    </row>
    <row r="175">
      <c r="A175" s="278" t="s">
        <v>1131</v>
      </c>
      <c r="B175" s="281">
        <v>2.0</v>
      </c>
    </row>
    <row r="176">
      <c r="A176" s="278" t="s">
        <v>1627</v>
      </c>
      <c r="B176" s="281">
        <v>19.0</v>
      </c>
    </row>
    <row r="177">
      <c r="A177" s="278" t="s">
        <v>309</v>
      </c>
      <c r="B177" s="281">
        <v>10.0</v>
      </c>
    </row>
    <row r="178">
      <c r="A178" s="278" t="s">
        <v>312</v>
      </c>
      <c r="B178" s="281">
        <v>21.0</v>
      </c>
    </row>
    <row r="179">
      <c r="A179" s="278" t="s">
        <v>168</v>
      </c>
      <c r="B179" s="281">
        <v>91.0</v>
      </c>
    </row>
    <row r="180">
      <c r="A180" s="278" t="s">
        <v>1012</v>
      </c>
      <c r="B180" s="281">
        <v>5.0</v>
      </c>
    </row>
    <row r="181">
      <c r="A181" s="278" t="s">
        <v>629</v>
      </c>
      <c r="B181" s="281">
        <v>6.0</v>
      </c>
    </row>
    <row r="182">
      <c r="A182" s="278" t="s">
        <v>860</v>
      </c>
      <c r="B182" s="281">
        <v>20.0</v>
      </c>
    </row>
    <row r="183">
      <c r="A183" s="278" t="s">
        <v>1016</v>
      </c>
      <c r="B183" s="281">
        <v>11.0</v>
      </c>
    </row>
    <row r="184">
      <c r="A184" s="278" t="s">
        <v>865</v>
      </c>
      <c r="B184" s="281">
        <v>2.0</v>
      </c>
    </row>
    <row r="185">
      <c r="A185" s="278" t="s">
        <v>1994</v>
      </c>
      <c r="B185" s="281">
        <v>2.0</v>
      </c>
    </row>
    <row r="186">
      <c r="A186" s="278" t="s">
        <v>1995</v>
      </c>
      <c r="B186" s="281">
        <v>2.0</v>
      </c>
    </row>
    <row r="187">
      <c r="A187" s="278" t="s">
        <v>316</v>
      </c>
      <c r="B187" s="281">
        <v>10.0</v>
      </c>
    </row>
    <row r="188">
      <c r="A188" s="278" t="s">
        <v>647</v>
      </c>
      <c r="B188" s="281">
        <v>15.0</v>
      </c>
    </row>
    <row r="189">
      <c r="A189" s="278" t="s">
        <v>119</v>
      </c>
      <c r="B189" s="281">
        <v>27.0</v>
      </c>
    </row>
    <row r="190">
      <c r="A190" s="278" t="s">
        <v>273</v>
      </c>
      <c r="B190" s="281">
        <v>5.0</v>
      </c>
    </row>
    <row r="191">
      <c r="A191" s="278" t="s">
        <v>1999</v>
      </c>
      <c r="B191" s="281">
        <v>1.0</v>
      </c>
    </row>
    <row r="192">
      <c r="A192" s="278" t="s">
        <v>66</v>
      </c>
      <c r="B192" s="281">
        <v>7.0</v>
      </c>
    </row>
    <row r="193">
      <c r="A193" s="278" t="s">
        <v>627</v>
      </c>
      <c r="B193" s="281">
        <v>14.0</v>
      </c>
    </row>
    <row r="194">
      <c r="A194" s="278" t="s">
        <v>1021</v>
      </c>
      <c r="B194" s="281">
        <v>1.0</v>
      </c>
    </row>
    <row r="228">
      <c r="A228" s="275" t="s">
        <v>852</v>
      </c>
      <c r="B228" s="276"/>
      <c r="C228" s="276"/>
      <c r="D228" s="276"/>
      <c r="E228" s="275" t="s">
        <v>765</v>
      </c>
      <c r="F228" s="275" t="s">
        <v>4151</v>
      </c>
      <c r="G228" s="276"/>
      <c r="H228" s="276"/>
      <c r="I228" s="275" t="s">
        <v>767</v>
      </c>
      <c r="J228" s="648">
        <v>45733.0</v>
      </c>
      <c r="K228" s="275" t="s">
        <v>769</v>
      </c>
      <c r="L228" s="648">
        <v>45474.0</v>
      </c>
      <c r="M228" s="276"/>
    </row>
    <row r="229">
      <c r="A229" s="1281" t="s">
        <v>172</v>
      </c>
      <c r="B229" s="1281" t="s">
        <v>4152</v>
      </c>
    </row>
    <row r="230">
      <c r="A230" s="278" t="s">
        <v>954</v>
      </c>
      <c r="B230" s="281">
        <v>130.0</v>
      </c>
    </row>
    <row r="231">
      <c r="A231" s="278" t="s">
        <v>1784</v>
      </c>
      <c r="B231" s="281">
        <v>44.0</v>
      </c>
    </row>
    <row r="232">
      <c r="A232" s="278" t="s">
        <v>243</v>
      </c>
      <c r="B232" s="281">
        <v>14.0</v>
      </c>
    </row>
    <row r="233">
      <c r="A233" s="278" t="s">
        <v>1893</v>
      </c>
      <c r="B233" s="281">
        <v>15.0</v>
      </c>
    </row>
    <row r="234">
      <c r="A234" s="278" t="s">
        <v>77</v>
      </c>
      <c r="B234" s="281">
        <v>88.0</v>
      </c>
    </row>
    <row r="235">
      <c r="A235" s="278" t="s">
        <v>247</v>
      </c>
      <c r="B235" s="281">
        <v>147.0</v>
      </c>
    </row>
    <row r="236">
      <c r="A236" s="278" t="s">
        <v>1036</v>
      </c>
      <c r="B236" s="281">
        <v>54.0</v>
      </c>
    </row>
    <row r="237">
      <c r="A237" s="278" t="s">
        <v>1896</v>
      </c>
      <c r="B237" s="281">
        <v>24.0</v>
      </c>
    </row>
    <row r="238">
      <c r="A238" s="278" t="s">
        <v>248</v>
      </c>
      <c r="B238" s="281">
        <v>41.0</v>
      </c>
    </row>
    <row r="239">
      <c r="A239" s="278" t="s">
        <v>1038</v>
      </c>
      <c r="B239" s="281">
        <v>65.0</v>
      </c>
    </row>
    <row r="240">
      <c r="A240" s="278" t="s">
        <v>1898</v>
      </c>
      <c r="B240" s="281">
        <v>20.0</v>
      </c>
    </row>
    <row r="241">
      <c r="A241" s="278" t="s">
        <v>1789</v>
      </c>
      <c r="B241" s="281">
        <v>8.0</v>
      </c>
    </row>
    <row r="242">
      <c r="A242" s="278" t="s">
        <v>1151</v>
      </c>
      <c r="B242" s="281">
        <v>70.0</v>
      </c>
    </row>
    <row r="243">
      <c r="A243" s="278" t="s">
        <v>112</v>
      </c>
      <c r="B243" s="281">
        <v>15.0</v>
      </c>
    </row>
    <row r="244">
      <c r="A244" s="278" t="s">
        <v>1899</v>
      </c>
      <c r="B244" s="281">
        <v>77.0</v>
      </c>
    </row>
    <row r="245">
      <c r="A245" s="278" t="s">
        <v>118</v>
      </c>
      <c r="B245" s="281">
        <v>73.0</v>
      </c>
    </row>
    <row r="246">
      <c r="A246" s="278" t="s">
        <v>1900</v>
      </c>
      <c r="B246" s="281">
        <v>7.0</v>
      </c>
    </row>
    <row r="247">
      <c r="A247" s="278" t="s">
        <v>713</v>
      </c>
      <c r="B247" s="281">
        <v>88.0</v>
      </c>
    </row>
    <row r="248">
      <c r="A248" s="278" t="s">
        <v>570</v>
      </c>
      <c r="B248" s="281">
        <v>516.0</v>
      </c>
    </row>
    <row r="249">
      <c r="A249" s="278" t="s">
        <v>563</v>
      </c>
      <c r="B249" s="281">
        <v>26.0</v>
      </c>
    </row>
    <row r="250">
      <c r="A250" s="278" t="s">
        <v>2530</v>
      </c>
      <c r="B250" s="281">
        <v>41.0</v>
      </c>
    </row>
    <row r="251">
      <c r="A251" s="278" t="s">
        <v>1902</v>
      </c>
      <c r="B251" s="281">
        <v>80.0</v>
      </c>
    </row>
    <row r="252">
      <c r="A252" s="278" t="s">
        <v>1903</v>
      </c>
      <c r="B252" s="281">
        <v>54.0</v>
      </c>
    </row>
    <row r="253">
      <c r="A253" s="278" t="s">
        <v>135</v>
      </c>
      <c r="B253" s="281">
        <v>13.0</v>
      </c>
    </row>
    <row r="254">
      <c r="A254" s="278" t="s">
        <v>1905</v>
      </c>
      <c r="B254" s="281">
        <v>12.0</v>
      </c>
    </row>
    <row r="255">
      <c r="A255" s="278" t="s">
        <v>136</v>
      </c>
      <c r="B255" s="281">
        <v>75.0</v>
      </c>
    </row>
    <row r="256">
      <c r="A256" s="278" t="s">
        <v>763</v>
      </c>
      <c r="B256" s="281">
        <v>39.0</v>
      </c>
    </row>
    <row r="257">
      <c r="A257" s="278" t="s">
        <v>1907</v>
      </c>
      <c r="B257" s="281">
        <v>82.0</v>
      </c>
    </row>
    <row r="258">
      <c r="A258" s="278" t="s">
        <v>1908</v>
      </c>
      <c r="B258" s="281">
        <v>31.0</v>
      </c>
    </row>
    <row r="259">
      <c r="A259" s="278" t="s">
        <v>138</v>
      </c>
      <c r="B259" s="281">
        <v>148.0</v>
      </c>
    </row>
    <row r="260">
      <c r="A260" s="278" t="s">
        <v>720</v>
      </c>
      <c r="B260" s="281">
        <v>36.0</v>
      </c>
    </row>
    <row r="261">
      <c r="A261" s="278" t="s">
        <v>1911</v>
      </c>
      <c r="B261" s="281">
        <v>89.0</v>
      </c>
    </row>
    <row r="262">
      <c r="A262" s="278" t="s">
        <v>497</v>
      </c>
      <c r="B262" s="281">
        <v>287.0</v>
      </c>
    </row>
    <row r="263">
      <c r="A263" s="278" t="s">
        <v>587</v>
      </c>
      <c r="B263" s="281">
        <v>4.0</v>
      </c>
    </row>
    <row r="264">
      <c r="A264" s="278" t="s">
        <v>1915</v>
      </c>
      <c r="B264" s="281">
        <v>17.0</v>
      </c>
    </row>
    <row r="265">
      <c r="A265" s="278" t="s">
        <v>721</v>
      </c>
      <c r="B265" s="281">
        <v>34.0</v>
      </c>
    </row>
    <row r="266">
      <c r="A266" s="278" t="s">
        <v>1917</v>
      </c>
      <c r="B266" s="281">
        <v>52.0</v>
      </c>
    </row>
    <row r="267">
      <c r="A267" s="278" t="s">
        <v>1607</v>
      </c>
      <c r="B267" s="281">
        <v>9.0</v>
      </c>
    </row>
    <row r="268">
      <c r="A268" s="278" t="s">
        <v>722</v>
      </c>
      <c r="B268" s="281">
        <v>23.0</v>
      </c>
    </row>
    <row r="269">
      <c r="A269" s="278" t="s">
        <v>140</v>
      </c>
      <c r="B269" s="281">
        <v>26.0</v>
      </c>
    </row>
    <row r="270">
      <c r="A270" s="278" t="s">
        <v>1097</v>
      </c>
      <c r="B270" s="281">
        <v>40.0</v>
      </c>
    </row>
    <row r="271">
      <c r="A271" s="278" t="s">
        <v>141</v>
      </c>
      <c r="B271" s="281">
        <v>9.0</v>
      </c>
    </row>
    <row r="272">
      <c r="A272" s="278" t="s">
        <v>1368</v>
      </c>
      <c r="B272" s="281">
        <v>23.0</v>
      </c>
    </row>
    <row r="273">
      <c r="A273" s="278" t="s">
        <v>142</v>
      </c>
      <c r="B273" s="281">
        <v>17.0</v>
      </c>
    </row>
    <row r="274">
      <c r="A274" s="278" t="s">
        <v>143</v>
      </c>
      <c r="B274" s="281">
        <v>69.0</v>
      </c>
    </row>
    <row r="275">
      <c r="A275" s="278" t="s">
        <v>288</v>
      </c>
      <c r="B275" s="281">
        <v>19.0</v>
      </c>
    </row>
    <row r="276">
      <c r="A276" s="278" t="s">
        <v>728</v>
      </c>
      <c r="B276" s="281">
        <v>450.0</v>
      </c>
    </row>
    <row r="277">
      <c r="A277" s="278" t="s">
        <v>337</v>
      </c>
      <c r="B277" s="281">
        <v>18.0</v>
      </c>
    </row>
    <row r="278">
      <c r="A278" s="278" t="s">
        <v>145</v>
      </c>
      <c r="B278" s="281">
        <v>31.0</v>
      </c>
    </row>
    <row r="279">
      <c r="A279" s="278" t="s">
        <v>146</v>
      </c>
      <c r="B279" s="281">
        <v>166.0</v>
      </c>
    </row>
    <row r="280">
      <c r="A280" s="278" t="s">
        <v>682</v>
      </c>
      <c r="B280" s="281">
        <v>20.0</v>
      </c>
    </row>
    <row r="281">
      <c r="A281" s="278" t="s">
        <v>290</v>
      </c>
      <c r="B281" s="281">
        <v>17.0</v>
      </c>
    </row>
    <row r="282">
      <c r="A282" s="278" t="s">
        <v>1930</v>
      </c>
      <c r="B282" s="281">
        <v>22.0</v>
      </c>
    </row>
    <row r="283">
      <c r="A283" s="278" t="s">
        <v>150</v>
      </c>
      <c r="B283" s="281">
        <v>46.0</v>
      </c>
    </row>
    <row r="284">
      <c r="A284" s="278" t="s">
        <v>151</v>
      </c>
      <c r="B284" s="281">
        <v>63.0</v>
      </c>
    </row>
    <row r="285">
      <c r="A285" s="278" t="s">
        <v>153</v>
      </c>
      <c r="B285" s="281">
        <v>14.0</v>
      </c>
    </row>
    <row r="286">
      <c r="A286" s="278" t="s">
        <v>154</v>
      </c>
      <c r="B286" s="281">
        <v>25.0</v>
      </c>
    </row>
    <row r="287">
      <c r="A287" s="278" t="s">
        <v>1942</v>
      </c>
      <c r="B287" s="281">
        <v>84.0</v>
      </c>
    </row>
    <row r="288">
      <c r="A288" s="278" t="s">
        <v>1933</v>
      </c>
      <c r="B288" s="281">
        <v>56.0</v>
      </c>
    </row>
    <row r="289">
      <c r="A289" s="278" t="s">
        <v>1935</v>
      </c>
      <c r="B289" s="281">
        <v>17.0</v>
      </c>
    </row>
    <row r="290">
      <c r="A290" s="278" t="s">
        <v>1690</v>
      </c>
      <c r="B290" s="281">
        <v>22.0</v>
      </c>
    </row>
    <row r="291">
      <c r="A291" s="278" t="s">
        <v>156</v>
      </c>
      <c r="B291" s="281">
        <v>34.0</v>
      </c>
    </row>
    <row r="292">
      <c r="A292" s="278" t="s">
        <v>157</v>
      </c>
      <c r="B292" s="281">
        <v>233.0</v>
      </c>
    </row>
    <row r="293">
      <c r="A293" s="278" t="s">
        <v>1615</v>
      </c>
      <c r="B293" s="281">
        <v>1.0</v>
      </c>
    </row>
    <row r="294">
      <c r="A294" s="278" t="s">
        <v>158</v>
      </c>
      <c r="B294" s="281">
        <v>10.0</v>
      </c>
    </row>
    <row r="295">
      <c r="A295" s="278" t="s">
        <v>1957</v>
      </c>
      <c r="B295" s="281">
        <v>27.0</v>
      </c>
    </row>
    <row r="296">
      <c r="A296" s="278" t="s">
        <v>1960</v>
      </c>
      <c r="B296" s="281">
        <v>54.0</v>
      </c>
    </row>
    <row r="297">
      <c r="A297" s="278" t="s">
        <v>159</v>
      </c>
      <c r="B297" s="281">
        <v>21.0</v>
      </c>
    </row>
    <row r="298">
      <c r="A298" s="278" t="s">
        <v>1965</v>
      </c>
      <c r="B298" s="281">
        <v>10.0</v>
      </c>
    </row>
    <row r="299">
      <c r="A299" s="278" t="s">
        <v>302</v>
      </c>
      <c r="B299" s="281">
        <v>16.0</v>
      </c>
    </row>
    <row r="300">
      <c r="A300" s="278" t="s">
        <v>518</v>
      </c>
      <c r="B300" s="281">
        <v>93.0</v>
      </c>
    </row>
    <row r="301">
      <c r="A301" s="278" t="s">
        <v>1973</v>
      </c>
      <c r="B301" s="281">
        <v>50.0</v>
      </c>
    </row>
    <row r="302">
      <c r="A302" s="278" t="s">
        <v>1976</v>
      </c>
      <c r="B302" s="281">
        <v>42.0</v>
      </c>
    </row>
    <row r="303">
      <c r="A303" s="278" t="s">
        <v>1131</v>
      </c>
      <c r="B303" s="281">
        <v>50.0</v>
      </c>
    </row>
    <row r="304">
      <c r="A304" s="278" t="s">
        <v>1627</v>
      </c>
      <c r="B304" s="281">
        <v>222.0</v>
      </c>
    </row>
    <row r="305">
      <c r="A305" s="278" t="s">
        <v>309</v>
      </c>
      <c r="B305" s="281">
        <v>26.0</v>
      </c>
    </row>
    <row r="306">
      <c r="A306" s="278" t="s">
        <v>1985</v>
      </c>
      <c r="B306" s="281">
        <v>10.0</v>
      </c>
    </row>
    <row r="307">
      <c r="A307" s="278" t="s">
        <v>312</v>
      </c>
      <c r="B307" s="281">
        <v>159.0</v>
      </c>
    </row>
    <row r="308">
      <c r="A308" s="278" t="s">
        <v>168</v>
      </c>
      <c r="B308" s="281">
        <v>936.0</v>
      </c>
    </row>
    <row r="309">
      <c r="A309" s="278" t="s">
        <v>1012</v>
      </c>
      <c r="B309" s="281">
        <v>46.0</v>
      </c>
    </row>
    <row r="310">
      <c r="A310" s="278" t="s">
        <v>629</v>
      </c>
      <c r="B310" s="281">
        <v>22.0</v>
      </c>
    </row>
    <row r="311">
      <c r="A311" s="278" t="s">
        <v>860</v>
      </c>
      <c r="B311" s="281">
        <v>204.0</v>
      </c>
    </row>
    <row r="312">
      <c r="A312" s="278" t="s">
        <v>1016</v>
      </c>
      <c r="B312" s="281">
        <v>116.0</v>
      </c>
    </row>
    <row r="313">
      <c r="A313" s="278" t="s">
        <v>865</v>
      </c>
      <c r="B313" s="281">
        <v>22.0</v>
      </c>
    </row>
    <row r="314">
      <c r="A314" s="278" t="s">
        <v>1994</v>
      </c>
      <c r="B314" s="281">
        <v>8.0</v>
      </c>
    </row>
    <row r="315">
      <c r="A315" s="278" t="s">
        <v>1995</v>
      </c>
      <c r="B315" s="281">
        <v>24.0</v>
      </c>
    </row>
    <row r="316">
      <c r="A316" s="278" t="s">
        <v>316</v>
      </c>
      <c r="B316" s="281">
        <v>29.0</v>
      </c>
    </row>
    <row r="317">
      <c r="A317" s="278" t="s">
        <v>317</v>
      </c>
      <c r="B317" s="281">
        <v>18.0</v>
      </c>
    </row>
    <row r="318">
      <c r="A318" s="278" t="s">
        <v>647</v>
      </c>
      <c r="B318" s="281">
        <v>91.0</v>
      </c>
    </row>
    <row r="319">
      <c r="A319" s="278" t="s">
        <v>119</v>
      </c>
      <c r="B319" s="281">
        <v>180.0</v>
      </c>
    </row>
    <row r="320">
      <c r="A320" s="278" t="s">
        <v>273</v>
      </c>
      <c r="B320" s="281">
        <v>39.0</v>
      </c>
    </row>
    <row r="321">
      <c r="A321" s="278" t="s">
        <v>1999</v>
      </c>
      <c r="B321" s="281">
        <v>15.0</v>
      </c>
    </row>
    <row r="322">
      <c r="A322" s="278" t="s">
        <v>66</v>
      </c>
      <c r="B322" s="281">
        <v>82.0</v>
      </c>
    </row>
    <row r="323">
      <c r="A323" s="278" t="s">
        <v>627</v>
      </c>
      <c r="B323" s="281">
        <v>46.0</v>
      </c>
    </row>
    <row r="324">
      <c r="A324" s="278" t="s">
        <v>1021</v>
      </c>
      <c r="B324" s="281">
        <v>75.0</v>
      </c>
    </row>
  </sheetData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4.63"/>
    <col customWidth="1" min="12" max="12" width="13.0"/>
  </cols>
  <sheetData>
    <row r="1">
      <c r="A1" s="167"/>
      <c r="B1" s="168" t="s">
        <v>113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</row>
    <row r="2">
      <c r="A2" s="169" t="s">
        <v>172</v>
      </c>
      <c r="B2" s="170" t="s">
        <v>174</v>
      </c>
      <c r="C2" s="171" t="s">
        <v>693</v>
      </c>
      <c r="D2" s="608" t="s">
        <v>694</v>
      </c>
      <c r="E2" s="608" t="s">
        <v>695</v>
      </c>
      <c r="F2" s="608" t="s">
        <v>179</v>
      </c>
      <c r="G2" s="608" t="s">
        <v>696</v>
      </c>
      <c r="H2" s="173" t="s">
        <v>697</v>
      </c>
      <c r="I2" s="174" t="s">
        <v>84</v>
      </c>
      <c r="J2" s="170" t="s">
        <v>698</v>
      </c>
      <c r="K2" s="175" t="s">
        <v>699</v>
      </c>
      <c r="L2" s="173" t="s">
        <v>89</v>
      </c>
      <c r="M2" s="176" t="s">
        <v>700</v>
      </c>
      <c r="N2" s="177" t="s">
        <v>701</v>
      </c>
      <c r="O2" s="177" t="s">
        <v>702</v>
      </c>
      <c r="P2" s="178" t="s">
        <v>90</v>
      </c>
      <c r="Q2" s="325" t="s">
        <v>703</v>
      </c>
    </row>
    <row r="3">
      <c r="A3" s="609" t="s">
        <v>954</v>
      </c>
      <c r="B3" s="610">
        <f t="array" ref="B3">VLOOKUP($A3,TX_DEMO,2,FALSE)</f>
        <v>57922</v>
      </c>
      <c r="C3" s="704">
        <f>vlookup(A3,'TX Data'!$A$4:$B$259,2,FALSE)</f>
        <v>51</v>
      </c>
      <c r="D3" s="612" t="s">
        <v>63</v>
      </c>
      <c r="E3" s="612">
        <f>vlookup(A3,'TX Data'!$A$4:$D$259,3,FALSE)</f>
        <v>21</v>
      </c>
      <c r="F3" s="612">
        <f>vlookup(A3,'TX Data'!$A$4:$D$259,4,FALSE)</f>
        <v>24</v>
      </c>
      <c r="G3" s="612" t="s">
        <v>63</v>
      </c>
      <c r="H3" s="671">
        <f>vlookup(A3,'TX Data'!$I$2699:$J$2952,2,FALSE)</f>
        <v>15</v>
      </c>
      <c r="I3" s="614">
        <f>ifna(vlookup(A3,'TX Data'!$A$2319:$B$2521,2,FALSE),"NULL")</f>
        <v>17</v>
      </c>
      <c r="J3" s="615" t="s">
        <v>63</v>
      </c>
      <c r="K3" s="672" t="s">
        <v>63</v>
      </c>
      <c r="L3" s="671">
        <f>ifna(vlookup(A3,'TX Data'!$A$1498:$B$1702,2,FALSE),"NULL")</f>
        <v>70</v>
      </c>
      <c r="M3" s="673" t="s">
        <v>63</v>
      </c>
      <c r="N3" s="612" t="s">
        <v>63</v>
      </c>
      <c r="O3" s="612" t="s">
        <v>63</v>
      </c>
      <c r="P3" s="620">
        <f>ifna(vlookup(A3,'Population &amp; Church Numbers'!$A$2526:$D$2779,4,FALSE),"NULL")</f>
        <v>81</v>
      </c>
      <c r="Q3" s="674" t="s">
        <v>63</v>
      </c>
    </row>
    <row r="4">
      <c r="A4" s="609" t="s">
        <v>2005</v>
      </c>
      <c r="B4" s="610">
        <f t="array" ref="B4">VLOOKUP($A4,TX_DEMO,2,FALSE)</f>
        <v>18610</v>
      </c>
      <c r="C4" s="704">
        <f>vlookup(A4,'TX Data'!$A$4:$B$259,2,FALSE)</f>
        <v>9</v>
      </c>
      <c r="D4" s="612" t="s">
        <v>63</v>
      </c>
      <c r="E4" s="612">
        <f>vlookup(A4,'TX Data'!$A$4:$D$259,3,FALSE)</f>
        <v>1</v>
      </c>
      <c r="F4" s="612">
        <f>vlookup(A4,'TX Data'!$A$4:$D$259,4,FALSE)</f>
        <v>5</v>
      </c>
      <c r="G4" s="612" t="s">
        <v>63</v>
      </c>
      <c r="H4" s="671">
        <f>vlookup(A4,'TX Data'!$I$2699:$J$2952,2,FALSE)</f>
        <v>2</v>
      </c>
      <c r="I4" s="614">
        <f>ifna(vlookup(A4,'TX Data'!$A$2319:$B$2521,2,FALSE),"NULL")</f>
        <v>3</v>
      </c>
      <c r="J4" s="615" t="s">
        <v>63</v>
      </c>
      <c r="K4" s="672" t="s">
        <v>63</v>
      </c>
      <c r="L4" s="671">
        <f>ifna(vlookup(A4,'TX Data'!$A$1498:$B$1702,2,FALSE),"NULL")</f>
        <v>41</v>
      </c>
      <c r="M4" s="614" t="s">
        <v>63</v>
      </c>
      <c r="N4" s="612" t="s">
        <v>63</v>
      </c>
      <c r="O4" s="612" t="s">
        <v>63</v>
      </c>
      <c r="P4" s="620">
        <f>ifna(vlookup(A4,'Population &amp; Church Numbers'!$A$2526:$D$2779,4,FALSE),"NULL")</f>
        <v>21</v>
      </c>
      <c r="Q4" s="674" t="s">
        <v>63</v>
      </c>
    </row>
    <row r="5">
      <c r="A5" s="609" t="s">
        <v>2006</v>
      </c>
      <c r="B5" s="610">
        <f t="array" ref="B5">VLOOKUP($A5,TX_DEMO,2,FALSE)</f>
        <v>86395</v>
      </c>
      <c r="C5" s="704">
        <f>vlookup(A5,'TX Data'!$A$4:$B$259,2,FALSE)</f>
        <v>158</v>
      </c>
      <c r="D5" s="612" t="s">
        <v>63</v>
      </c>
      <c r="E5" s="612">
        <f>vlookup(A5,'TX Data'!$A$4:$D$259,3,FALSE)</f>
        <v>58</v>
      </c>
      <c r="F5" s="612">
        <f>vlookup(A5,'TX Data'!$A$4:$D$259,4,FALSE)</f>
        <v>73</v>
      </c>
      <c r="G5" s="612" t="s">
        <v>63</v>
      </c>
      <c r="H5" s="671">
        <f>vlookup(A5,'TX Data'!$I$2699:$J$2952,2,FALSE)</f>
        <v>33</v>
      </c>
      <c r="I5" s="614">
        <f>ifna(vlookup(A5,'TX Data'!$A$2319:$B$2521,2,FALSE),"NULL")</f>
        <v>23</v>
      </c>
      <c r="J5" s="615" t="s">
        <v>63</v>
      </c>
      <c r="K5" s="672" t="s">
        <v>63</v>
      </c>
      <c r="L5" s="671">
        <f>ifna(vlookup(A5,'TX Data'!$A$1498:$B$1702,2,FALSE),"NULL")</f>
        <v>330</v>
      </c>
      <c r="M5" s="614" t="s">
        <v>63</v>
      </c>
      <c r="N5" s="612" t="s">
        <v>63</v>
      </c>
      <c r="O5" s="612" t="s">
        <v>63</v>
      </c>
      <c r="P5" s="620">
        <f>ifna(vlookup(A5,'Population &amp; Church Numbers'!$A$2526:$D$2779,4,FALSE),"NULL")</f>
        <v>115</v>
      </c>
      <c r="Q5" s="674" t="s">
        <v>63</v>
      </c>
    </row>
    <row r="6">
      <c r="A6" s="609" t="s">
        <v>2007</v>
      </c>
      <c r="B6" s="610">
        <f t="array" ref="B6">VLOOKUP($A6,TX_DEMO,2,FALSE)</f>
        <v>23830</v>
      </c>
      <c r="C6" s="704">
        <f>vlookup(A6,'TX Data'!$A$4:$B$259,2,FALSE)</f>
        <v>21</v>
      </c>
      <c r="D6" s="612" t="s">
        <v>63</v>
      </c>
      <c r="E6" s="612">
        <f>vlookup(A6,'TX Data'!$A$4:$D$259,3,FALSE)</f>
        <v>13</v>
      </c>
      <c r="F6" s="612">
        <f>vlookup(A6,'TX Data'!$A$4:$D$259,4,FALSE)</f>
        <v>5</v>
      </c>
      <c r="G6" s="612" t="s">
        <v>63</v>
      </c>
      <c r="H6" s="671">
        <f>vlookup(A6,'TX Data'!$I$2699:$J$2952,2,FALSE)</f>
        <v>3</v>
      </c>
      <c r="I6" s="614">
        <f>ifna(vlookup(A6,'TX Data'!$A$2319:$B$2521,2,FALSE),"NULL")</f>
        <v>5</v>
      </c>
      <c r="J6" s="615" t="s">
        <v>63</v>
      </c>
      <c r="K6" s="672" t="s">
        <v>63</v>
      </c>
      <c r="L6" s="671">
        <f>ifna(vlookup(A6,'TX Data'!$A$1498:$B$1702,2,FALSE),"NULL")</f>
        <v>90</v>
      </c>
      <c r="M6" s="614" t="s">
        <v>63</v>
      </c>
      <c r="N6" s="612" t="s">
        <v>63</v>
      </c>
      <c r="O6" s="612" t="s">
        <v>63</v>
      </c>
      <c r="P6" s="620">
        <f>ifna(vlookup(A6,'Population &amp; Church Numbers'!$A$2526:$D$2779,4,FALSE),"NULL")</f>
        <v>16</v>
      </c>
      <c r="Q6" s="674" t="s">
        <v>63</v>
      </c>
    </row>
    <row r="7">
      <c r="A7" s="609" t="s">
        <v>2008</v>
      </c>
      <c r="B7" s="610">
        <f t="array" ref="B7">VLOOKUP($A7,TX_DEMO,2,FALSE)</f>
        <v>8560</v>
      </c>
      <c r="C7" s="704">
        <f>vlookup(A7,'TX Data'!$A$4:$B$259,2,FALSE)</f>
        <v>7</v>
      </c>
      <c r="D7" s="612" t="s">
        <v>63</v>
      </c>
      <c r="E7" s="612">
        <f>vlookup(A7,'TX Data'!$A$4:$D$259,3,FALSE)</f>
        <v>4</v>
      </c>
      <c r="F7" s="612">
        <f>vlookup(A7,'TX Data'!$A$4:$D$259,4,FALSE)</f>
        <v>2</v>
      </c>
      <c r="G7" s="612" t="s">
        <v>63</v>
      </c>
      <c r="H7" s="671">
        <f>vlookup(A7,'TX Data'!$I$2699:$J$2952,2,FALSE)</f>
        <v>4</v>
      </c>
      <c r="I7" s="614">
        <f>ifna(vlookup(A7,'TX Data'!$A$2319:$B$2521,2,FALSE),"NULL")</f>
        <v>3</v>
      </c>
      <c r="J7" s="615" t="s">
        <v>63</v>
      </c>
      <c r="K7" s="672" t="s">
        <v>63</v>
      </c>
      <c r="L7" s="671">
        <f>ifna(vlookup(A7,'TX Data'!$A$1498:$B$1702,2,FALSE),"NULL")</f>
        <v>15</v>
      </c>
      <c r="M7" s="614" t="s">
        <v>63</v>
      </c>
      <c r="N7" s="612" t="s">
        <v>63</v>
      </c>
      <c r="O7" s="612" t="s">
        <v>63</v>
      </c>
      <c r="P7" s="620">
        <f>ifna(vlookup(A7,'Population &amp; Church Numbers'!$A$2526:$D$2779,4,FALSE),"NULL")</f>
        <v>18</v>
      </c>
      <c r="Q7" s="674" t="s">
        <v>63</v>
      </c>
    </row>
    <row r="8">
      <c r="A8" s="609" t="s">
        <v>1783</v>
      </c>
      <c r="B8" s="610">
        <f t="array" ref="B8">VLOOKUP($A8,TX_DEMO,2,FALSE)</f>
        <v>1848</v>
      </c>
      <c r="C8" s="704">
        <f>vlookup(A8,'TX Data'!$A$4:$B$259,2,FALSE)</f>
        <v>3</v>
      </c>
      <c r="D8" s="612" t="s">
        <v>63</v>
      </c>
      <c r="E8" s="612">
        <f>vlookup(A8,'TX Data'!$A$4:$D$259,3,FALSE)</f>
        <v>1</v>
      </c>
      <c r="F8" s="612">
        <f>vlookup(A8,'TX Data'!$A$4:$D$259,4,FALSE)</f>
        <v>2</v>
      </c>
      <c r="G8" s="612" t="s">
        <v>63</v>
      </c>
      <c r="H8" s="671">
        <f>vlookup(A8,'TX Data'!$I$2699:$J$2952,2,FALSE)</f>
        <v>1</v>
      </c>
      <c r="I8" s="614" t="str">
        <f>ifna(vlookup(A8,'TX Data'!$A$2319:$B$2521,2,FALSE),"NULL")</f>
        <v>NULL</v>
      </c>
      <c r="J8" s="615" t="s">
        <v>63</v>
      </c>
      <c r="K8" s="672" t="s">
        <v>63</v>
      </c>
      <c r="L8" s="671">
        <f>ifna(vlookup(A8,'TX Data'!$A$1498:$B$1702,2,FALSE),"NULL")</f>
        <v>6</v>
      </c>
      <c r="M8" s="614" t="s">
        <v>63</v>
      </c>
      <c r="N8" s="612" t="s">
        <v>63</v>
      </c>
      <c r="O8" s="612" t="s">
        <v>63</v>
      </c>
      <c r="P8" s="620">
        <f>ifna(vlookup(A8,'Population &amp; Church Numbers'!$A$2526:$D$2779,4,FALSE),"NULL")</f>
        <v>3</v>
      </c>
      <c r="Q8" s="674" t="s">
        <v>63</v>
      </c>
    </row>
    <row r="9">
      <c r="A9" s="609" t="s">
        <v>2010</v>
      </c>
      <c r="B9" s="610">
        <f t="array" ref="B9">VLOOKUP($A9,TX_DEMO,2,FALSE)</f>
        <v>48981</v>
      </c>
      <c r="C9" s="704">
        <f>vlookup(A9,'TX Data'!$A$4:$B$259,2,FALSE)</f>
        <v>84</v>
      </c>
      <c r="D9" s="612" t="s">
        <v>63</v>
      </c>
      <c r="E9" s="612">
        <f>vlookup(A9,'TX Data'!$A$4:$D$259,3,FALSE)</f>
        <v>20</v>
      </c>
      <c r="F9" s="612">
        <f>vlookup(A9,'TX Data'!$A$4:$D$259,4,FALSE)</f>
        <v>31</v>
      </c>
      <c r="G9" s="612" t="s">
        <v>63</v>
      </c>
      <c r="H9" s="671">
        <f>vlookup(A9,'TX Data'!$I$2699:$J$2952,2,FALSE)</f>
        <v>11</v>
      </c>
      <c r="I9" s="614">
        <f>ifna(vlookup(A9,'TX Data'!$A$2319:$B$2521,2,FALSE),"NULL")</f>
        <v>38</v>
      </c>
      <c r="J9" s="615" t="s">
        <v>63</v>
      </c>
      <c r="K9" s="672" t="s">
        <v>63</v>
      </c>
      <c r="L9" s="671">
        <f>ifna(vlookup(A9,'TX Data'!$A$1498:$B$1702,2,FALSE),"NULL")</f>
        <v>247</v>
      </c>
      <c r="M9" s="614" t="s">
        <v>63</v>
      </c>
      <c r="N9" s="612" t="s">
        <v>63</v>
      </c>
      <c r="O9" s="612" t="s">
        <v>63</v>
      </c>
      <c r="P9" s="620">
        <f>ifna(vlookup(A9,'Population &amp; Church Numbers'!$A$2526:$D$2779,4,FALSE),"NULL")</f>
        <v>36</v>
      </c>
      <c r="Q9" s="674" t="s">
        <v>63</v>
      </c>
    </row>
    <row r="10">
      <c r="A10" s="609" t="s">
        <v>2011</v>
      </c>
      <c r="B10" s="610">
        <f t="array" ref="B10">VLOOKUP($A10,TX_DEMO,2,FALSE)</f>
        <v>30167</v>
      </c>
      <c r="C10" s="704">
        <f>vlookup(A10,'TX Data'!$A$4:$B$259,2,FALSE)</f>
        <v>5</v>
      </c>
      <c r="D10" s="612" t="s">
        <v>63</v>
      </c>
      <c r="E10" s="612">
        <f>vlookup(A10,'TX Data'!$A$4:$D$259,3,FALSE)</f>
        <v>3</v>
      </c>
      <c r="F10" s="612">
        <f>vlookup(A10,'TX Data'!$A$4:$D$259,4,FALSE)</f>
        <v>0</v>
      </c>
      <c r="G10" s="612" t="s">
        <v>63</v>
      </c>
      <c r="H10" s="671">
        <f>vlookup(A10,'TX Data'!$I$2699:$J$2952,2,FALSE)</f>
        <v>7</v>
      </c>
      <c r="I10" s="614" t="str">
        <f>ifna(vlookup(A10,'TX Data'!$A$2319:$B$2521,2,FALSE),"NULL")</f>
        <v>NULL</v>
      </c>
      <c r="J10" s="615" t="s">
        <v>63</v>
      </c>
      <c r="K10" s="672" t="s">
        <v>63</v>
      </c>
      <c r="L10" s="671">
        <f>ifna(vlookup(A10,'TX Data'!$A$1498:$B$1702,2,FALSE),"NULL")</f>
        <v>39</v>
      </c>
      <c r="M10" s="614" t="s">
        <v>63</v>
      </c>
      <c r="N10" s="612" t="s">
        <v>63</v>
      </c>
      <c r="O10" s="612" t="s">
        <v>63</v>
      </c>
      <c r="P10" s="620">
        <f>ifna(vlookup(A10,'Population &amp; Church Numbers'!$A$2526:$D$2779,4,FALSE),"NULL")</f>
        <v>41</v>
      </c>
      <c r="Q10" s="674" t="s">
        <v>63</v>
      </c>
    </row>
    <row r="11">
      <c r="A11" s="609" t="s">
        <v>2012</v>
      </c>
      <c r="B11" s="610">
        <f t="array" ref="B11">VLOOKUP($A11,TX_DEMO,2,FALSE)</f>
        <v>6904</v>
      </c>
      <c r="C11" s="704">
        <f>vlookup(A11,'TX Data'!$A$4:$B$259,2,FALSE)</f>
        <v>15</v>
      </c>
      <c r="D11" s="612" t="s">
        <v>63</v>
      </c>
      <c r="E11" s="612">
        <f>vlookup(A11,'TX Data'!$A$4:$D$259,3,FALSE)</f>
        <v>8</v>
      </c>
      <c r="F11" s="612">
        <f>vlookup(A11,'TX Data'!$A$4:$D$259,4,FALSE)</f>
        <v>1</v>
      </c>
      <c r="G11" s="612" t="s">
        <v>63</v>
      </c>
      <c r="H11" s="671">
        <f>vlookup(A11,'TX Data'!$I$2699:$J$2952,2,FALSE)</f>
        <v>4</v>
      </c>
      <c r="I11" s="614">
        <f>ifna(vlookup(A11,'TX Data'!$A$2319:$B$2521,2,FALSE),"NULL")</f>
        <v>5</v>
      </c>
      <c r="J11" s="615" t="s">
        <v>63</v>
      </c>
      <c r="K11" s="672" t="s">
        <v>63</v>
      </c>
      <c r="L11" s="671">
        <f>ifna(vlookup(A11,'TX Data'!$A$1498:$B$1702,2,FALSE),"NULL")</f>
        <v>12</v>
      </c>
      <c r="M11" s="614" t="s">
        <v>63</v>
      </c>
      <c r="N11" s="612" t="s">
        <v>63</v>
      </c>
      <c r="O11" s="612" t="s">
        <v>63</v>
      </c>
      <c r="P11" s="620">
        <f>ifna(vlookup(A11,'Population &amp; Church Numbers'!$A$2526:$D$2779,4,FALSE),"NULL")</f>
        <v>13</v>
      </c>
      <c r="Q11" s="674" t="s">
        <v>63</v>
      </c>
    </row>
    <row r="12">
      <c r="A12" s="609" t="s">
        <v>2013</v>
      </c>
      <c r="B12" s="610">
        <f t="array" ref="B12">VLOOKUP($A12,TX_DEMO,2,FALSE)</f>
        <v>20851</v>
      </c>
      <c r="C12" s="704">
        <f>vlookup(A12,'TX Data'!$A$4:$B$259,2,FALSE)</f>
        <v>20</v>
      </c>
      <c r="D12" s="612" t="s">
        <v>63</v>
      </c>
      <c r="E12" s="612">
        <f>vlookup(A12,'TX Data'!$A$4:$D$259,3,FALSE)</f>
        <v>4</v>
      </c>
      <c r="F12" s="612">
        <f>vlookup(A12,'TX Data'!$A$4:$D$259,4,FALSE)</f>
        <v>6</v>
      </c>
      <c r="G12" s="612" t="s">
        <v>63</v>
      </c>
      <c r="H12" s="671">
        <f>vlookup(A12,'TX Data'!$I$2699:$J$2952,2,FALSE)</f>
        <v>9</v>
      </c>
      <c r="I12" s="614">
        <f>ifna(vlookup(A12,'TX Data'!$A$2319:$B$2521,2,FALSE),"NULL")</f>
        <v>9</v>
      </c>
      <c r="J12" s="615" t="s">
        <v>63</v>
      </c>
      <c r="K12" s="672" t="s">
        <v>63</v>
      </c>
      <c r="L12" s="671">
        <f>ifna(vlookup(A12,'TX Data'!$A$1498:$B$1702,2,FALSE),"NULL")</f>
        <v>52</v>
      </c>
      <c r="M12" s="614" t="s">
        <v>63</v>
      </c>
      <c r="N12" s="612" t="s">
        <v>63</v>
      </c>
      <c r="O12" s="612" t="s">
        <v>63</v>
      </c>
      <c r="P12" s="620">
        <f>ifna(vlookup(A12,'Population &amp; Church Numbers'!$A$2526:$D$2779,4,FALSE),"NULL")</f>
        <v>25</v>
      </c>
      <c r="Q12" s="674" t="s">
        <v>63</v>
      </c>
    </row>
    <row r="13">
      <c r="A13" s="609" t="s">
        <v>2014</v>
      </c>
      <c r="B13" s="610">
        <f t="array" ref="B13">VLOOKUP($A13,TX_DEMO,2,FALSE)</f>
        <v>97216</v>
      </c>
      <c r="C13" s="704">
        <f>vlookup(A13,'TX Data'!$A$4:$B$259,2,FALSE)</f>
        <v>66</v>
      </c>
      <c r="D13" s="612" t="s">
        <v>63</v>
      </c>
      <c r="E13" s="612">
        <f>vlookup(A13,'TX Data'!$A$4:$D$259,3,FALSE)</f>
        <v>16</v>
      </c>
      <c r="F13" s="612">
        <f>vlookup(A13,'TX Data'!$A$4:$D$259,4,FALSE)</f>
        <v>40</v>
      </c>
      <c r="G13" s="612" t="s">
        <v>63</v>
      </c>
      <c r="H13" s="671">
        <f>vlookup(A13,'TX Data'!$I$2699:$J$2952,2,FALSE)</f>
        <v>16</v>
      </c>
      <c r="I13" s="614">
        <f>ifna(vlookup(A13,'TX Data'!$A$2319:$B$2521,2,FALSE),"NULL")</f>
        <v>30</v>
      </c>
      <c r="J13" s="615" t="s">
        <v>63</v>
      </c>
      <c r="K13" s="672" t="s">
        <v>63</v>
      </c>
      <c r="L13" s="671">
        <f>ifna(vlookup(A13,'TX Data'!$A$1498:$B$1702,2,FALSE),"NULL")</f>
        <v>91</v>
      </c>
      <c r="M13" s="614" t="s">
        <v>63</v>
      </c>
      <c r="N13" s="612" t="s">
        <v>63</v>
      </c>
      <c r="O13" s="612" t="s">
        <v>63</v>
      </c>
      <c r="P13" s="620">
        <f>ifna(vlookup(A13,'Population &amp; Church Numbers'!$A$2526:$D$2779,4,FALSE),"NULL")</f>
        <v>75</v>
      </c>
      <c r="Q13" s="674" t="s">
        <v>63</v>
      </c>
    </row>
    <row r="14">
      <c r="A14" s="609" t="s">
        <v>2015</v>
      </c>
      <c r="B14" s="610">
        <f t="array" ref="B14">VLOOKUP($A14,TX_DEMO,2,FALSE)</f>
        <v>3465</v>
      </c>
      <c r="C14" s="704">
        <f>vlookup(A14,'TX Data'!$A$4:$B$259,2,FALSE)</f>
        <v>5</v>
      </c>
      <c r="D14" s="612" t="s">
        <v>63</v>
      </c>
      <c r="E14" s="612">
        <f>vlookup(A14,'TX Data'!$A$4:$D$259,3,FALSE)</f>
        <v>2</v>
      </c>
      <c r="F14" s="612">
        <f>vlookup(A14,'TX Data'!$A$4:$D$259,4,FALSE)</f>
        <v>3</v>
      </c>
      <c r="G14" s="612" t="s">
        <v>63</v>
      </c>
      <c r="H14" s="671">
        <f>vlookup(A14,'TX Data'!$I$2699:$J$2952,2,FALSE)</f>
        <v>2</v>
      </c>
      <c r="I14" s="614" t="str">
        <f>ifna(vlookup(A14,'TX Data'!$A$2319:$B$2521,2,FALSE),"NULL")</f>
        <v>NULL</v>
      </c>
      <c r="J14" s="615" t="s">
        <v>63</v>
      </c>
      <c r="K14" s="672" t="s">
        <v>63</v>
      </c>
      <c r="L14" s="671" t="str">
        <f>ifna(vlookup(A14,'TX Data'!$A$1498:$B$1702,2,FALSE),"NULL")</f>
        <v>NULL</v>
      </c>
      <c r="M14" s="614" t="s">
        <v>63</v>
      </c>
      <c r="N14" s="612" t="s">
        <v>63</v>
      </c>
      <c r="O14" s="612" t="s">
        <v>63</v>
      </c>
      <c r="P14" s="620">
        <f>ifna(vlookup(A14,'Population &amp; Church Numbers'!$A$2526:$D$2779,4,FALSE),"NULL")</f>
        <v>9</v>
      </c>
      <c r="Q14" s="674" t="s">
        <v>63</v>
      </c>
    </row>
    <row r="15">
      <c r="A15" s="609" t="s">
        <v>2016</v>
      </c>
      <c r="B15" s="610">
        <f t="array" ref="B15">VLOOKUP($A15,TX_DEMO,2,FALSE)</f>
        <v>31047</v>
      </c>
      <c r="C15" s="704">
        <f>vlookup(A15,'TX Data'!$A$4:$B$259,2,FALSE)</f>
        <v>59</v>
      </c>
      <c r="D15" s="612" t="s">
        <v>63</v>
      </c>
      <c r="E15" s="612">
        <f>vlookup(A15,'TX Data'!$A$4:$D$259,3,FALSE)</f>
        <v>16</v>
      </c>
      <c r="F15" s="612">
        <f>vlookup(A15,'TX Data'!$A$4:$D$259,4,FALSE)</f>
        <v>30</v>
      </c>
      <c r="G15" s="612" t="s">
        <v>63</v>
      </c>
      <c r="H15" s="671">
        <f>vlookup(A15,'TX Data'!$I$2699:$J$2952,2,FALSE)</f>
        <v>5</v>
      </c>
      <c r="I15" s="614">
        <f>ifna(vlookup(A15,'TX Data'!$A$2319:$B$2521,2,FALSE),"NULL")</f>
        <v>20</v>
      </c>
      <c r="J15" s="615" t="s">
        <v>63</v>
      </c>
      <c r="K15" s="672" t="s">
        <v>63</v>
      </c>
      <c r="L15" s="671">
        <f>ifna(vlookup(A15,'TX Data'!$A$1498:$B$1702,2,FALSE),"NULL")</f>
        <v>113</v>
      </c>
      <c r="M15" s="614" t="s">
        <v>63</v>
      </c>
      <c r="N15" s="612" t="s">
        <v>63</v>
      </c>
      <c r="O15" s="612" t="s">
        <v>63</v>
      </c>
      <c r="P15" s="620">
        <f>ifna(vlookup(A15,'Population &amp; Church Numbers'!$A$2526:$D$2779,4,FALSE),"NULL")</f>
        <v>24</v>
      </c>
      <c r="Q15" s="674" t="s">
        <v>63</v>
      </c>
    </row>
    <row r="16">
      <c r="A16" s="609" t="s">
        <v>1027</v>
      </c>
      <c r="B16" s="610">
        <f t="array" ref="B16">VLOOKUP($A16,TX_DEMO,2,FALSE)</f>
        <v>370647</v>
      </c>
      <c r="C16" s="704">
        <f>vlookup(A16,'TX Data'!$A$4:$B$259,2,FALSE)</f>
        <v>565</v>
      </c>
      <c r="D16" s="612" t="s">
        <v>63</v>
      </c>
      <c r="E16" s="612">
        <f>vlookup(A16,'TX Data'!$A$4:$D$259,3,FALSE)</f>
        <v>167</v>
      </c>
      <c r="F16" s="612">
        <f>vlookup(A16,'TX Data'!$A$4:$D$259,4,FALSE)</f>
        <v>291</v>
      </c>
      <c r="G16" s="612" t="s">
        <v>63</v>
      </c>
      <c r="H16" s="671">
        <f>vlookup(A16,'TX Data'!$I$2699:$J$2952,2,FALSE)</f>
        <v>151</v>
      </c>
      <c r="I16" s="614">
        <f>ifna(vlookup(A16,'TX Data'!$A$2319:$B$2521,2,FALSE),"NULL")</f>
        <v>137</v>
      </c>
      <c r="J16" s="615" t="s">
        <v>63</v>
      </c>
      <c r="K16" s="672" t="s">
        <v>63</v>
      </c>
      <c r="L16" s="671">
        <f>ifna(vlookup(A16,'TX Data'!$A$1498:$B$1702,2,FALSE),"NULL")</f>
        <v>906</v>
      </c>
      <c r="M16" s="614" t="s">
        <v>63</v>
      </c>
      <c r="N16" s="612" t="s">
        <v>63</v>
      </c>
      <c r="O16" s="612" t="s">
        <v>63</v>
      </c>
      <c r="P16" s="620">
        <f>ifna(vlookup(A16,'Population &amp; Church Numbers'!$A$2526:$D$2779,4,FALSE),"NULL")</f>
        <v>216</v>
      </c>
      <c r="Q16" s="674" t="s">
        <v>63</v>
      </c>
    </row>
    <row r="17">
      <c r="A17" s="609" t="s">
        <v>267</v>
      </c>
      <c r="B17" s="610">
        <f t="array" ref="B17">VLOOKUP($A17,TX_DEMO,2,FALSE)</f>
        <v>2009324</v>
      </c>
      <c r="C17" s="704">
        <f>vlookup(A17,'TX Data'!$A$4:$B$259,2,FALSE)</f>
        <v>2087</v>
      </c>
      <c r="D17" s="612" t="s">
        <v>63</v>
      </c>
      <c r="E17" s="612">
        <f>vlookup(A17,'TX Data'!$A$4:$D$259,3,FALSE)</f>
        <v>744</v>
      </c>
      <c r="F17" s="612">
        <f>vlookup(A17,'TX Data'!$A$4:$D$259,4,FALSE)</f>
        <v>810</v>
      </c>
      <c r="G17" s="612" t="s">
        <v>63</v>
      </c>
      <c r="H17" s="671">
        <f>vlookup(A17,'TX Data'!$I$2699:$J$2952,2,FALSE)</f>
        <v>657</v>
      </c>
      <c r="I17" s="614">
        <f>ifna(vlookup(A17,'TX Data'!$A$2319:$B$2521,2,FALSE),"NULL")</f>
        <v>672</v>
      </c>
      <c r="J17" s="615" t="s">
        <v>63</v>
      </c>
      <c r="K17" s="672" t="s">
        <v>63</v>
      </c>
      <c r="L17" s="671">
        <f>ifna(vlookup(A17,'TX Data'!$A$1498:$B$1702,2,FALSE),"NULL")</f>
        <v>5652</v>
      </c>
      <c r="M17" s="614" t="s">
        <v>63</v>
      </c>
      <c r="N17" s="612" t="s">
        <v>63</v>
      </c>
      <c r="O17" s="612" t="s">
        <v>63</v>
      </c>
      <c r="P17" s="620">
        <f>ifna(vlookup(A17,'Population &amp; Church Numbers'!$A$2526:$D$2779,4,FALSE),"NULL")</f>
        <v>742</v>
      </c>
      <c r="Q17" s="674" t="s">
        <v>63</v>
      </c>
    </row>
    <row r="18">
      <c r="A18" s="609" t="s">
        <v>2017</v>
      </c>
      <c r="B18" s="610">
        <f t="array" ref="B18">VLOOKUP($A18,TX_DEMO,2,FALSE)</f>
        <v>11374</v>
      </c>
      <c r="C18" s="704">
        <f>vlookup(A18,'TX Data'!$A$4:$B$259,2,FALSE)</f>
        <v>7</v>
      </c>
      <c r="D18" s="612" t="s">
        <v>63</v>
      </c>
      <c r="E18" s="612">
        <f>vlookup(A18,'TX Data'!$A$4:$D$259,3,FALSE)</f>
        <v>1</v>
      </c>
      <c r="F18" s="612">
        <f>vlookup(A18,'TX Data'!$A$4:$D$259,4,FALSE)</f>
        <v>3</v>
      </c>
      <c r="G18" s="612" t="s">
        <v>63</v>
      </c>
      <c r="H18" s="671">
        <f>vlookup(A18,'TX Data'!$I$2699:$J$2952,2,FALSE)</f>
        <v>1</v>
      </c>
      <c r="I18" s="614">
        <f>ifna(vlookup(A18,'TX Data'!$A$2319:$B$2521,2,FALSE),"NULL")</f>
        <v>1</v>
      </c>
      <c r="J18" s="615" t="s">
        <v>63</v>
      </c>
      <c r="K18" s="672" t="s">
        <v>63</v>
      </c>
      <c r="L18" s="671">
        <f>ifna(vlookup(A18,'TX Data'!$A$1498:$B$1702,2,FALSE),"NULL")</f>
        <v>8</v>
      </c>
      <c r="M18" s="614" t="s">
        <v>63</v>
      </c>
      <c r="N18" s="612" t="s">
        <v>63</v>
      </c>
      <c r="O18" s="612" t="s">
        <v>63</v>
      </c>
      <c r="P18" s="620">
        <f>ifna(vlookup(A18,'Population &amp; Church Numbers'!$A$2526:$D$2779,4,FALSE),"NULL")</f>
        <v>20</v>
      </c>
      <c r="Q18" s="674" t="s">
        <v>63</v>
      </c>
    </row>
    <row r="19">
      <c r="A19" s="609" t="s">
        <v>2018</v>
      </c>
      <c r="B19" s="610">
        <f t="array" ref="B19">VLOOKUP($A19,TX_DEMO,2,FALSE)</f>
        <v>631</v>
      </c>
      <c r="C19" s="704" t="str">
        <f>vlookup(A19,'TX Data'!$A$4:$B$259,2,FALSE)</f>
        <v>NULL</v>
      </c>
      <c r="D19" s="612" t="s">
        <v>63</v>
      </c>
      <c r="E19" s="612">
        <f>vlookup(A19,'TX Data'!$A$4:$D$259,3,FALSE)</f>
        <v>0</v>
      </c>
      <c r="F19" s="612">
        <f>vlookup(A19,'TX Data'!$A$4:$D$259,4,FALSE)</f>
        <v>0</v>
      </c>
      <c r="G19" s="612" t="s">
        <v>63</v>
      </c>
      <c r="H19" s="671" t="str">
        <f>vlookup(A19,'TX Data'!$I$2699:$J$2952,2,FALSE)</f>
        <v>NULL</v>
      </c>
      <c r="I19" s="614" t="str">
        <f>ifna(vlookup(A19,'TX Data'!$A$2319:$B$2521,2,FALSE),"NULL")</f>
        <v>NULL</v>
      </c>
      <c r="J19" s="615" t="s">
        <v>63</v>
      </c>
      <c r="K19" s="672" t="s">
        <v>63</v>
      </c>
      <c r="L19" s="671" t="str">
        <f>ifna(vlookup(A19,'TX Data'!$A$1498:$B$1702,2,FALSE),"NULL")</f>
        <v>NULL</v>
      </c>
      <c r="M19" s="614" t="s">
        <v>63</v>
      </c>
      <c r="N19" s="612" t="s">
        <v>63</v>
      </c>
      <c r="O19" s="612" t="s">
        <v>63</v>
      </c>
      <c r="P19" s="620">
        <f>ifna(vlookup(A19,'Population &amp; Church Numbers'!$A$2526:$D$2779,4,FALSE),"NULL")</f>
        <v>2</v>
      </c>
      <c r="Q19" s="674" t="s">
        <v>63</v>
      </c>
    </row>
    <row r="20">
      <c r="A20" s="609" t="s">
        <v>2019</v>
      </c>
      <c r="B20" s="610">
        <f t="array" ref="B20">VLOOKUP($A20,TX_DEMO,2,FALSE)</f>
        <v>18235</v>
      </c>
      <c r="C20" s="704">
        <f>vlookup(A20,'TX Data'!$A$4:$B$259,2,FALSE)</f>
        <v>27</v>
      </c>
      <c r="D20" s="612" t="s">
        <v>63</v>
      </c>
      <c r="E20" s="612">
        <f>vlookup(A20,'TX Data'!$A$4:$D$259,3,FALSE)</f>
        <v>3</v>
      </c>
      <c r="F20" s="612">
        <f>vlookup(A20,'TX Data'!$A$4:$D$259,4,FALSE)</f>
        <v>20</v>
      </c>
      <c r="G20" s="612" t="s">
        <v>63</v>
      </c>
      <c r="H20" s="671">
        <f>vlookup(A20,'TX Data'!$I$2699:$J$2952,2,FALSE)</f>
        <v>3</v>
      </c>
      <c r="I20" s="614">
        <f>ifna(vlookup(A20,'TX Data'!$A$2319:$B$2521,2,FALSE),"NULL")</f>
        <v>10</v>
      </c>
      <c r="J20" s="615" t="s">
        <v>63</v>
      </c>
      <c r="K20" s="672" t="s">
        <v>63</v>
      </c>
      <c r="L20" s="671">
        <f>ifna(vlookup(A20,'TX Data'!$A$1498:$B$1702,2,FALSE),"NULL")</f>
        <v>44</v>
      </c>
      <c r="M20" s="614" t="s">
        <v>63</v>
      </c>
      <c r="N20" s="612" t="s">
        <v>63</v>
      </c>
      <c r="O20" s="612" t="s">
        <v>63</v>
      </c>
      <c r="P20" s="620">
        <f>ifna(vlookup(A20,'Population &amp; Church Numbers'!$A$2526:$D$2779,4,FALSE),"NULL")</f>
        <v>36</v>
      </c>
      <c r="Q20" s="674" t="s">
        <v>63</v>
      </c>
    </row>
    <row r="21">
      <c r="A21" s="609" t="s">
        <v>2020</v>
      </c>
      <c r="B21" s="610">
        <f t="array" ref="B21">VLOOKUP($A21,TX_DEMO,2,FALSE)</f>
        <v>92893</v>
      </c>
      <c r="C21" s="704">
        <f>vlookup(A21,'TX Data'!$A$4:$B$259,2,FALSE)</f>
        <v>45</v>
      </c>
      <c r="D21" s="612" t="s">
        <v>63</v>
      </c>
      <c r="E21" s="612">
        <f>vlookup(A21,'TX Data'!$A$4:$D$259,3,FALSE)</f>
        <v>23</v>
      </c>
      <c r="F21" s="612">
        <f>vlookup(A21,'TX Data'!$A$4:$D$259,4,FALSE)</f>
        <v>8</v>
      </c>
      <c r="G21" s="612" t="s">
        <v>63</v>
      </c>
      <c r="H21" s="671">
        <f>vlookup(A21,'TX Data'!$I$2699:$J$2952,2,FALSE)</f>
        <v>8</v>
      </c>
      <c r="I21" s="614">
        <f>ifna(vlookup(A21,'TX Data'!$A$2319:$B$2521,2,FALSE),"NULL")</f>
        <v>18</v>
      </c>
      <c r="J21" s="615" t="s">
        <v>63</v>
      </c>
      <c r="K21" s="672" t="s">
        <v>63</v>
      </c>
      <c r="L21" s="671">
        <f>ifna(vlookup(A21,'TX Data'!$A$1498:$B$1702,2,FALSE),"NULL")</f>
        <v>234</v>
      </c>
      <c r="M21" s="614" t="s">
        <v>63</v>
      </c>
      <c r="N21" s="612" t="s">
        <v>63</v>
      </c>
      <c r="O21" s="612" t="s">
        <v>63</v>
      </c>
      <c r="P21" s="620">
        <f>ifna(vlookup(A21,'Population &amp; Church Numbers'!$A$2526:$D$2779,4,FALSE),"NULL")</f>
        <v>147</v>
      </c>
      <c r="Q21" s="674" t="s">
        <v>63</v>
      </c>
    </row>
    <row r="22">
      <c r="A22" s="609" t="s">
        <v>2021</v>
      </c>
      <c r="B22" s="610">
        <f t="array" ref="B22">VLOOKUP($A22,TX_DEMO,2,FALSE)</f>
        <v>372031</v>
      </c>
      <c r="C22" s="704">
        <f>vlookup(A22,'TX Data'!$A$4:$B$259,2,FALSE)</f>
        <v>114</v>
      </c>
      <c r="D22" s="612" t="s">
        <v>63</v>
      </c>
      <c r="E22" s="612">
        <f>vlookup(A22,'TX Data'!$A$4:$D$259,3,FALSE)</f>
        <v>46</v>
      </c>
      <c r="F22" s="612">
        <f>vlookup(A22,'TX Data'!$A$4:$D$259,4,FALSE)</f>
        <v>38</v>
      </c>
      <c r="G22" s="612" t="s">
        <v>63</v>
      </c>
      <c r="H22" s="671">
        <f>vlookup(A22,'TX Data'!$I$2699:$J$2952,2,FALSE)</f>
        <v>130</v>
      </c>
      <c r="I22" s="614">
        <f>ifna(vlookup(A22,'TX Data'!$A$2319:$B$2521,2,FALSE),"NULL")</f>
        <v>25</v>
      </c>
      <c r="J22" s="615" t="s">
        <v>63</v>
      </c>
      <c r="K22" s="672" t="s">
        <v>63</v>
      </c>
      <c r="L22" s="671">
        <f>ifna(vlookup(A22,'TX Data'!$A$1498:$B$1702,2,FALSE),"NULL")</f>
        <v>433</v>
      </c>
      <c r="M22" s="614" t="s">
        <v>63</v>
      </c>
      <c r="N22" s="612" t="s">
        <v>63</v>
      </c>
      <c r="O22" s="612" t="s">
        <v>63</v>
      </c>
      <c r="P22" s="620">
        <f>ifna(vlookup(A22,'Population &amp; Church Numbers'!$A$2526:$D$2779,4,FALSE),"NULL")</f>
        <v>236</v>
      </c>
      <c r="Q22" s="674" t="s">
        <v>63</v>
      </c>
    </row>
    <row r="23">
      <c r="A23" s="609" t="s">
        <v>2022</v>
      </c>
      <c r="B23" s="610">
        <f t="array" ref="B23">VLOOKUP($A23,TX_DEMO,2,FALSE)</f>
        <v>233849</v>
      </c>
      <c r="C23" s="704">
        <f>vlookup(A23,'TX Data'!$A$4:$B$259,2,FALSE)</f>
        <v>145</v>
      </c>
      <c r="D23" s="612" t="s">
        <v>63</v>
      </c>
      <c r="E23" s="612">
        <f>vlookup(A23,'TX Data'!$A$4:$D$259,3,FALSE)</f>
        <v>44</v>
      </c>
      <c r="F23" s="612">
        <f>vlookup(A23,'TX Data'!$A$4:$D$259,4,FALSE)</f>
        <v>89</v>
      </c>
      <c r="G23" s="612" t="s">
        <v>63</v>
      </c>
      <c r="H23" s="671">
        <f>vlookup(A23,'TX Data'!$I$2699:$J$2952,2,FALSE)</f>
        <v>70</v>
      </c>
      <c r="I23" s="614">
        <f>ifna(vlookup(A23,'TX Data'!$A$2319:$B$2521,2,FALSE),"NULL")</f>
        <v>26</v>
      </c>
      <c r="J23" s="615" t="s">
        <v>63</v>
      </c>
      <c r="K23" s="672" t="s">
        <v>63</v>
      </c>
      <c r="L23" s="671">
        <f>ifna(vlookup(A23,'TX Data'!$A$1498:$B$1702,2,FALSE),"NULL")</f>
        <v>194</v>
      </c>
      <c r="M23" s="614" t="s">
        <v>63</v>
      </c>
      <c r="N23" s="612" t="s">
        <v>63</v>
      </c>
      <c r="O23" s="612" t="s">
        <v>63</v>
      </c>
      <c r="P23" s="620">
        <f>ifna(vlookup(A23,'Population &amp; Church Numbers'!$A$2526:$D$2779,4,FALSE),"NULL")</f>
        <v>130</v>
      </c>
      <c r="Q23" s="674" t="s">
        <v>63</v>
      </c>
    </row>
    <row r="24">
      <c r="A24" s="609" t="s">
        <v>2023</v>
      </c>
      <c r="B24" s="610">
        <f t="array" ref="B24">VLOOKUP($A24,TX_DEMO,2,FALSE)</f>
        <v>9546</v>
      </c>
      <c r="C24" s="704">
        <f>vlookup(A24,'TX Data'!$A$4:$B$259,2,FALSE)</f>
        <v>3</v>
      </c>
      <c r="D24" s="612" t="s">
        <v>63</v>
      </c>
      <c r="E24" s="612">
        <f>vlookup(A24,'TX Data'!$A$4:$D$259,3,FALSE)</f>
        <v>2</v>
      </c>
      <c r="F24" s="612">
        <f>vlookup(A24,'TX Data'!$A$4:$D$259,4,FALSE)</f>
        <v>0</v>
      </c>
      <c r="G24" s="612" t="s">
        <v>63</v>
      </c>
      <c r="H24" s="671" t="str">
        <f>vlookup(A24,'TX Data'!$I$2699:$J$2952,2,FALSE)</f>
        <v>NULL</v>
      </c>
      <c r="I24" s="614" t="str">
        <f>ifna(vlookup(A24,'TX Data'!$A$2319:$B$2521,2,FALSE),"NULL")</f>
        <v>NULL</v>
      </c>
      <c r="J24" s="615" t="s">
        <v>63</v>
      </c>
      <c r="K24" s="672" t="s">
        <v>63</v>
      </c>
      <c r="L24" s="671">
        <f>ifna(vlookup(A24,'TX Data'!$A$1498:$B$1702,2,FALSE),"NULL")</f>
        <v>8</v>
      </c>
      <c r="M24" s="614" t="s">
        <v>63</v>
      </c>
      <c r="N24" s="612" t="s">
        <v>63</v>
      </c>
      <c r="O24" s="612" t="s">
        <v>63</v>
      </c>
      <c r="P24" s="620">
        <f>ifna(vlookup(A24,'Population &amp; Church Numbers'!$A$2526:$D$2779,4,FALSE),"NULL")</f>
        <v>14</v>
      </c>
      <c r="Q24" s="674" t="s">
        <v>63</v>
      </c>
    </row>
    <row r="25">
      <c r="A25" s="609" t="s">
        <v>2025</v>
      </c>
      <c r="B25" s="610">
        <f t="array" ref="B25">VLOOKUP($A25,TX_DEMO,2,FALSE)</f>
        <v>1435</v>
      </c>
      <c r="C25" s="704">
        <f>vlookup(A25,'TX Data'!$A$4:$B$259,2,FALSE)</f>
        <v>3</v>
      </c>
      <c r="D25" s="612" t="s">
        <v>63</v>
      </c>
      <c r="E25" s="612">
        <f>vlookup(A25,'TX Data'!$A$4:$D$259,3,FALSE)</f>
        <v>1</v>
      </c>
      <c r="F25" s="612">
        <f>vlookup(A25,'TX Data'!$A$4:$D$259,4,FALSE)</f>
        <v>2</v>
      </c>
      <c r="G25" s="612" t="s">
        <v>63</v>
      </c>
      <c r="H25" s="671">
        <f>vlookup(A25,'TX Data'!$I$2699:$J$2952,2,FALSE)</f>
        <v>1</v>
      </c>
      <c r="I25" s="614" t="str">
        <f>ifna(vlookup(A25,'TX Data'!$A$2319:$B$2521,2,FALSE),"NULL")</f>
        <v>NULL</v>
      </c>
      <c r="J25" s="615" t="s">
        <v>63</v>
      </c>
      <c r="K25" s="672" t="s">
        <v>63</v>
      </c>
      <c r="L25" s="671" t="str">
        <f>ifna(vlookup(A25,'TX Data'!$A$1498:$B$1702,2,FALSE),"NULL")</f>
        <v>NULL</v>
      </c>
      <c r="M25" s="614" t="s">
        <v>63</v>
      </c>
      <c r="N25" s="612" t="s">
        <v>63</v>
      </c>
      <c r="O25" s="612" t="s">
        <v>63</v>
      </c>
      <c r="P25" s="620">
        <f>ifna(vlookup(A25,'Population &amp; Church Numbers'!$A$2526:$D$2779,4,FALSE),"NULL")</f>
        <v>7</v>
      </c>
      <c r="Q25" s="674" t="s">
        <v>63</v>
      </c>
    </row>
    <row r="26">
      <c r="A26" s="609" t="s">
        <v>543</v>
      </c>
      <c r="B26" s="610">
        <f t="array" ref="B26">VLOOKUP($A26,TX_DEMO,2,FALSE)</f>
        <v>7076</v>
      </c>
      <c r="C26" s="704">
        <f>vlookup(A26,'TX Data'!$A$4:$B$259,2,FALSE)</f>
        <v>9</v>
      </c>
      <c r="D26" s="612" t="s">
        <v>63</v>
      </c>
      <c r="E26" s="612">
        <f>vlookup(A26,'TX Data'!$A$4:$D$259,3,FALSE)</f>
        <v>5</v>
      </c>
      <c r="F26" s="612">
        <f>vlookup(A26,'TX Data'!$A$4:$D$259,4,FALSE)</f>
        <v>2</v>
      </c>
      <c r="G26" s="612" t="s">
        <v>63</v>
      </c>
      <c r="H26" s="671">
        <f>vlookup(A26,'TX Data'!$I$2699:$J$2952,2,FALSE)</f>
        <v>1</v>
      </c>
      <c r="I26" s="614">
        <f>ifna(vlookup(A26,'TX Data'!$A$2319:$B$2521,2,FALSE),"NULL")</f>
        <v>3</v>
      </c>
      <c r="J26" s="615" t="s">
        <v>63</v>
      </c>
      <c r="K26" s="672" t="s">
        <v>63</v>
      </c>
      <c r="L26" s="671">
        <f>ifna(vlookup(A26,'TX Data'!$A$1498:$B$1702,2,FALSE),"NULL")</f>
        <v>72</v>
      </c>
      <c r="M26" s="614" t="s">
        <v>63</v>
      </c>
      <c r="N26" s="612" t="s">
        <v>63</v>
      </c>
      <c r="O26" s="612" t="s">
        <v>63</v>
      </c>
      <c r="P26" s="620">
        <f>ifna(vlookup(A26,'Population &amp; Church Numbers'!$A$2526:$D$2779,4,FALSE),"NULL")</f>
        <v>7</v>
      </c>
      <c r="Q26" s="674" t="s">
        <v>63</v>
      </c>
    </row>
    <row r="27">
      <c r="A27" s="609" t="s">
        <v>706</v>
      </c>
      <c r="B27" s="610">
        <f t="array" ref="B27">VLOOKUP($A27,TX_DEMO,2,FALSE)</f>
        <v>38095</v>
      </c>
      <c r="C27" s="704">
        <f>vlookup(A27,'TX Data'!$A$4:$B$259,2,FALSE)</f>
        <v>62</v>
      </c>
      <c r="D27" s="612" t="s">
        <v>63</v>
      </c>
      <c r="E27" s="612">
        <f>vlookup(A27,'TX Data'!$A$4:$D$259,3,FALSE)</f>
        <v>22</v>
      </c>
      <c r="F27" s="612">
        <f>vlookup(A27,'TX Data'!$A$4:$D$259,4,FALSE)</f>
        <v>28</v>
      </c>
      <c r="G27" s="612" t="s">
        <v>63</v>
      </c>
      <c r="H27" s="671">
        <f>vlookup(A27,'TX Data'!$I$2699:$J$2952,2,FALSE)</f>
        <v>29</v>
      </c>
      <c r="I27" s="614">
        <f>ifna(vlookup(A27,'TX Data'!$A$2319:$B$2521,2,FALSE),"NULL")</f>
        <v>15</v>
      </c>
      <c r="J27" s="615" t="s">
        <v>63</v>
      </c>
      <c r="K27" s="672" t="s">
        <v>63</v>
      </c>
      <c r="L27" s="671">
        <f>ifna(vlookup(A27,'TX Data'!$A$1498:$B$1702,2,FALSE),"NULL")</f>
        <v>137</v>
      </c>
      <c r="M27" s="614" t="s">
        <v>63</v>
      </c>
      <c r="N27" s="612" t="s">
        <v>63</v>
      </c>
      <c r="O27" s="612" t="s">
        <v>63</v>
      </c>
      <c r="P27" s="620">
        <f>ifna(vlookup(A27,'Population &amp; Church Numbers'!$A$2526:$D$2779,4,FALSE),"NULL")</f>
        <v>48</v>
      </c>
      <c r="Q27" s="674" t="s">
        <v>63</v>
      </c>
    </row>
    <row r="28">
      <c r="A28" s="609" t="s">
        <v>2027</v>
      </c>
      <c r="B28" s="610">
        <f t="array" ref="B28">VLOOKUP($A28,TX_DEMO,2,FALSE)</f>
        <v>17642</v>
      </c>
      <c r="C28" s="704">
        <f>vlookup(A28,'TX Data'!$A$4:$B$259,2,FALSE)</f>
        <v>11</v>
      </c>
      <c r="D28" s="612" t="s">
        <v>63</v>
      </c>
      <c r="E28" s="612">
        <f>vlookup(A28,'TX Data'!$A$4:$D$259,3,FALSE)</f>
        <v>6</v>
      </c>
      <c r="F28" s="612">
        <f>vlookup(A28,'TX Data'!$A$4:$D$259,4,FALSE)</f>
        <v>4</v>
      </c>
      <c r="G28" s="612" t="s">
        <v>63</v>
      </c>
      <c r="H28" s="671">
        <f>vlookup(A28,'TX Data'!$I$2699:$J$2952,2,FALSE)</f>
        <v>4</v>
      </c>
      <c r="I28" s="614">
        <f>ifna(vlookup(A28,'TX Data'!$A$2319:$B$2521,2,FALSE),"NULL")</f>
        <v>4</v>
      </c>
      <c r="J28" s="615" t="s">
        <v>63</v>
      </c>
      <c r="K28" s="672" t="s">
        <v>63</v>
      </c>
      <c r="L28" s="671">
        <f>ifna(vlookup(A28,'TX Data'!$A$1498:$B$1702,2,FALSE),"NULL")</f>
        <v>22</v>
      </c>
      <c r="M28" s="614" t="s">
        <v>63</v>
      </c>
      <c r="N28" s="612" t="s">
        <v>63</v>
      </c>
      <c r="O28" s="612" t="s">
        <v>63</v>
      </c>
      <c r="P28" s="620">
        <f>ifna(vlookup(A28,'Population &amp; Church Numbers'!$A$2526:$D$2779,4,FALSE),"NULL")</f>
        <v>32</v>
      </c>
      <c r="Q28" s="674" t="s">
        <v>63</v>
      </c>
    </row>
    <row r="29">
      <c r="A29" s="609" t="s">
        <v>2028</v>
      </c>
      <c r="B29" s="610">
        <f t="array" ref="B29">VLOOKUP($A29,TX_DEMO,2,FALSE)</f>
        <v>49130</v>
      </c>
      <c r="C29" s="704">
        <f>vlookup(A29,'TX Data'!$A$4:$B$259,2,FALSE)</f>
        <v>56</v>
      </c>
      <c r="D29" s="612" t="s">
        <v>63</v>
      </c>
      <c r="E29" s="612">
        <f>vlookup(A29,'TX Data'!$A$4:$D$259,3,FALSE)</f>
        <v>16</v>
      </c>
      <c r="F29" s="612">
        <f>vlookup(A29,'TX Data'!$A$4:$D$259,4,FALSE)</f>
        <v>24</v>
      </c>
      <c r="G29" s="612" t="s">
        <v>63</v>
      </c>
      <c r="H29" s="671">
        <f>vlookup(A29,'TX Data'!$I$2699:$J$2952,2,FALSE)</f>
        <v>19</v>
      </c>
      <c r="I29" s="614">
        <f>ifna(vlookup(A29,'TX Data'!$A$2319:$B$2521,2,FALSE),"NULL")</f>
        <v>19</v>
      </c>
      <c r="J29" s="615" t="s">
        <v>63</v>
      </c>
      <c r="K29" s="672" t="s">
        <v>63</v>
      </c>
      <c r="L29" s="671" t="str">
        <f>ifna(vlookup(A29,'TX Data'!$A$1498:$B$1702,2,FALSE),"NULL")</f>
        <v>NULL</v>
      </c>
      <c r="M29" s="614" t="s">
        <v>63</v>
      </c>
      <c r="N29" s="612" t="s">
        <v>63</v>
      </c>
      <c r="O29" s="612" t="s">
        <v>63</v>
      </c>
      <c r="P29" s="620">
        <f>ifna(vlookup(A29,'Population &amp; Church Numbers'!$A$2526:$D$2779,4,FALSE),"NULL")</f>
        <v>47</v>
      </c>
      <c r="Q29" s="674" t="s">
        <v>63</v>
      </c>
    </row>
    <row r="30">
      <c r="A30" s="609" t="s">
        <v>1034</v>
      </c>
      <c r="B30" s="610">
        <f t="array" ref="B30">VLOOKUP($A30,TX_DEMO,2,FALSE)</f>
        <v>45883</v>
      </c>
      <c r="C30" s="704">
        <f>vlookup(A30,'TX Data'!$A$4:$B$259,2,FALSE)</f>
        <v>32</v>
      </c>
      <c r="D30" s="612" t="s">
        <v>63</v>
      </c>
      <c r="E30" s="612">
        <f>vlookup(A30,'TX Data'!$A$4:$D$259,3,FALSE)</f>
        <v>7</v>
      </c>
      <c r="F30" s="612">
        <f>vlookup(A30,'TX Data'!$A$4:$D$259,4,FALSE)</f>
        <v>22</v>
      </c>
      <c r="G30" s="612" t="s">
        <v>63</v>
      </c>
      <c r="H30" s="671">
        <f>vlookup(A30,'TX Data'!$I$2699:$J$2952,2,FALSE)</f>
        <v>13</v>
      </c>
      <c r="I30" s="614">
        <f>ifna(vlookup(A30,'TX Data'!$A$2319:$B$2521,2,FALSE),"NULL")</f>
        <v>8</v>
      </c>
      <c r="J30" s="615" t="s">
        <v>63</v>
      </c>
      <c r="K30" s="672" t="s">
        <v>63</v>
      </c>
      <c r="L30" s="671">
        <f>ifna(vlookup(A30,'TX Data'!$A$1498:$B$1702,2,FALSE),"NULL")</f>
        <v>94</v>
      </c>
      <c r="M30" s="614" t="s">
        <v>63</v>
      </c>
      <c r="N30" s="612" t="s">
        <v>63</v>
      </c>
      <c r="O30" s="612" t="s">
        <v>63</v>
      </c>
      <c r="P30" s="620">
        <f>ifna(vlookup(A30,'Population &amp; Church Numbers'!$A$2526:$D$2779,4,FALSE),"NULL")</f>
        <v>44</v>
      </c>
      <c r="Q30" s="674" t="s">
        <v>63</v>
      </c>
    </row>
    <row r="31">
      <c r="A31" s="609" t="s">
        <v>93</v>
      </c>
      <c r="B31" s="610">
        <f t="array" ref="B31">VLOOKUP($A31,TX_DEMO,2,FALSE)</f>
        <v>20106</v>
      </c>
      <c r="C31" s="704">
        <f>vlookup(A31,'TX Data'!$A$4:$B$259,2,FALSE)</f>
        <v>14</v>
      </c>
      <c r="D31" s="612" t="s">
        <v>63</v>
      </c>
      <c r="E31" s="612">
        <f>vlookup(A31,'TX Data'!$A$4:$D$259,3,FALSE)</f>
        <v>5</v>
      </c>
      <c r="F31" s="612">
        <f>vlookup(A31,'TX Data'!$A$4:$D$259,4,FALSE)</f>
        <v>5</v>
      </c>
      <c r="G31" s="612" t="s">
        <v>63</v>
      </c>
      <c r="H31" s="671">
        <f>vlookup(A31,'TX Data'!$I$2699:$J$2952,2,FALSE)</f>
        <v>5</v>
      </c>
      <c r="I31" s="614">
        <f>ifna(vlookup(A31,'TX Data'!$A$2319:$B$2521,2,FALSE),"NULL")</f>
        <v>6</v>
      </c>
      <c r="J31" s="615" t="s">
        <v>63</v>
      </c>
      <c r="K31" s="672" t="s">
        <v>63</v>
      </c>
      <c r="L31" s="671">
        <f>ifna(vlookup(A31,'TX Data'!$A$1498:$B$1702,2,FALSE),"NULL")</f>
        <v>26</v>
      </c>
      <c r="M31" s="614" t="s">
        <v>63</v>
      </c>
      <c r="N31" s="612" t="s">
        <v>63</v>
      </c>
      <c r="O31" s="612" t="s">
        <v>63</v>
      </c>
      <c r="P31" s="620">
        <f>ifna(vlookup(A31,'Population &amp; Church Numbers'!$A$2526:$D$2779,4,FALSE),"NULL")</f>
        <v>25</v>
      </c>
      <c r="Q31" s="674" t="s">
        <v>63</v>
      </c>
    </row>
    <row r="32">
      <c r="A32" s="609" t="s">
        <v>2029</v>
      </c>
      <c r="B32" s="610">
        <f t="array" ref="B32">VLOOKUP($A32,TX_DEMO,2,FALSE)</f>
        <v>13708</v>
      </c>
      <c r="C32" s="704">
        <f>vlookup(A32,'TX Data'!$A$4:$B$259,2,FALSE)</f>
        <v>30</v>
      </c>
      <c r="D32" s="612" t="s">
        <v>63</v>
      </c>
      <c r="E32" s="612">
        <f>vlookup(A32,'TX Data'!$A$4:$D$259,3,FALSE)</f>
        <v>20</v>
      </c>
      <c r="F32" s="612">
        <f>vlookup(A32,'TX Data'!$A$4:$D$259,4,FALSE)</f>
        <v>8</v>
      </c>
      <c r="G32" s="612" t="s">
        <v>63</v>
      </c>
      <c r="H32" s="671">
        <f>vlookup(A32,'TX Data'!$I$2699:$J$2952,2,FALSE)</f>
        <v>8</v>
      </c>
      <c r="I32" s="614">
        <f>ifna(vlookup(A32,'TX Data'!$A$2319:$B$2521,2,FALSE),"NULL")</f>
        <v>9</v>
      </c>
      <c r="J32" s="615" t="s">
        <v>63</v>
      </c>
      <c r="K32" s="672" t="s">
        <v>63</v>
      </c>
      <c r="L32" s="671">
        <f>ifna(vlookup(A32,'TX Data'!$A$1498:$B$1702,2,FALSE),"NULL")</f>
        <v>92</v>
      </c>
      <c r="M32" s="614" t="s">
        <v>63</v>
      </c>
      <c r="N32" s="612" t="s">
        <v>63</v>
      </c>
      <c r="O32" s="612" t="s">
        <v>63</v>
      </c>
      <c r="P32" s="620">
        <f>ifna(vlookup(A32,'Population &amp; Church Numbers'!$A$2526:$D$2779,4,FALSE),"NULL")</f>
        <v>22</v>
      </c>
      <c r="Q32" s="674" t="s">
        <v>63</v>
      </c>
    </row>
    <row r="33">
      <c r="A33" s="609" t="s">
        <v>1149</v>
      </c>
      <c r="B33" s="610">
        <f t="array" ref="B33">VLOOKUP($A33,TX_DEMO,2,FALSE)</f>
        <v>421017</v>
      </c>
      <c r="C33" s="704">
        <f>vlookup(A33,'TX Data'!$A$4:$B$259,2,FALSE)</f>
        <v>236</v>
      </c>
      <c r="D33" s="612" t="s">
        <v>63</v>
      </c>
      <c r="E33" s="612">
        <f>vlookup(A33,'TX Data'!$A$4:$D$259,3,FALSE)</f>
        <v>108</v>
      </c>
      <c r="F33" s="612">
        <f>vlookup(A33,'TX Data'!$A$4:$D$259,4,FALSE)</f>
        <v>77</v>
      </c>
      <c r="G33" s="612" t="s">
        <v>63</v>
      </c>
      <c r="H33" s="671">
        <f>vlookup(A33,'TX Data'!$I$2699:$J$2952,2,FALSE)</f>
        <v>116</v>
      </c>
      <c r="I33" s="614">
        <f>ifna(vlookup(A33,'TX Data'!$A$2319:$B$2521,2,FALSE),"NULL")</f>
        <v>52</v>
      </c>
      <c r="J33" s="615" t="s">
        <v>63</v>
      </c>
      <c r="K33" s="672" t="s">
        <v>63</v>
      </c>
      <c r="L33" s="671">
        <f>ifna(vlookup(A33,'TX Data'!$A$1498:$B$1702,2,FALSE),"NULL")</f>
        <v>1038</v>
      </c>
      <c r="M33" s="614" t="s">
        <v>63</v>
      </c>
      <c r="N33" s="612" t="s">
        <v>63</v>
      </c>
      <c r="O33" s="612" t="s">
        <v>63</v>
      </c>
      <c r="P33" s="620">
        <f>ifna(vlookup(A33,'Population &amp; Church Numbers'!$A$2526:$D$2779,4,FALSE),"NULL")</f>
        <v>159</v>
      </c>
      <c r="Q33" s="674" t="s">
        <v>63</v>
      </c>
    </row>
    <row r="34">
      <c r="A34" s="609" t="s">
        <v>2031</v>
      </c>
      <c r="B34" s="610">
        <f t="array" ref="B34">VLOOKUP($A34,TX_DEMO,2,FALSE)</f>
        <v>12464</v>
      </c>
      <c r="C34" s="704">
        <f>vlookup(A34,'TX Data'!$A$4:$B$259,2,FALSE)</f>
        <v>12</v>
      </c>
      <c r="D34" s="612" t="s">
        <v>63</v>
      </c>
      <c r="E34" s="612">
        <f>vlookup(A34,'TX Data'!$A$4:$D$259,3,FALSE)</f>
        <v>5</v>
      </c>
      <c r="F34" s="612">
        <f>vlookup(A34,'TX Data'!$A$4:$D$259,4,FALSE)</f>
        <v>3</v>
      </c>
      <c r="G34" s="612" t="s">
        <v>63</v>
      </c>
      <c r="H34" s="671">
        <f>vlookup(A34,'TX Data'!$I$2699:$J$2952,2,FALSE)</f>
        <v>6</v>
      </c>
      <c r="I34" s="614">
        <f>ifna(vlookup(A34,'TX Data'!$A$2319:$B$2521,2,FALSE),"NULL")</f>
        <v>4</v>
      </c>
      <c r="J34" s="615" t="s">
        <v>63</v>
      </c>
      <c r="K34" s="672" t="s">
        <v>63</v>
      </c>
      <c r="L34" s="671">
        <f>ifna(vlookup(A34,'TX Data'!$A$1498:$B$1702,2,FALSE),"NULL")</f>
        <v>41</v>
      </c>
      <c r="M34" s="614" t="s">
        <v>63</v>
      </c>
      <c r="N34" s="612" t="s">
        <v>63</v>
      </c>
      <c r="O34" s="612" t="s">
        <v>63</v>
      </c>
      <c r="P34" s="620">
        <f>ifna(vlookup(A34,'Population &amp; Church Numbers'!$A$2526:$D$2779,4,FALSE),"NULL")</f>
        <v>18</v>
      </c>
      <c r="Q34" s="674" t="s">
        <v>63</v>
      </c>
    </row>
    <row r="35">
      <c r="A35" s="609" t="s">
        <v>2032</v>
      </c>
      <c r="B35" s="610">
        <f t="array" ref="B35">VLOOKUP($A35,TX_DEMO,2,FALSE)</f>
        <v>5807</v>
      </c>
      <c r="C35" s="704">
        <f>vlookup(A35,'TX Data'!$A$4:$B$259,2,FALSE)</f>
        <v>2</v>
      </c>
      <c r="D35" s="612" t="s">
        <v>63</v>
      </c>
      <c r="E35" s="612">
        <f>vlookup(A35,'TX Data'!$A$4:$D$259,3,FALSE)</f>
        <v>0</v>
      </c>
      <c r="F35" s="612">
        <f>vlookup(A35,'TX Data'!$A$4:$D$259,4,FALSE)</f>
        <v>0</v>
      </c>
      <c r="G35" s="612" t="s">
        <v>63</v>
      </c>
      <c r="H35" s="671">
        <f>vlookup(A35,'TX Data'!$I$2699:$J$2952,2,FALSE)</f>
        <v>5</v>
      </c>
      <c r="I35" s="614">
        <f>ifna(vlookup(A35,'TX Data'!$A$2319:$B$2521,2,FALSE),"NULL")</f>
        <v>1</v>
      </c>
      <c r="J35" s="615" t="s">
        <v>63</v>
      </c>
      <c r="K35" s="672" t="s">
        <v>63</v>
      </c>
      <c r="L35" s="671">
        <f>ifna(vlookup(A35,'TX Data'!$A$1498:$B$1702,2,FALSE),"NULL")</f>
        <v>4</v>
      </c>
      <c r="M35" s="614" t="s">
        <v>63</v>
      </c>
      <c r="N35" s="612" t="s">
        <v>63</v>
      </c>
      <c r="O35" s="612" t="s">
        <v>63</v>
      </c>
      <c r="P35" s="620">
        <f>ifna(vlookup(A35,'Population &amp; Church Numbers'!$A$2526:$D$2779,4,FALSE),"NULL")</f>
        <v>12</v>
      </c>
      <c r="Q35" s="674" t="s">
        <v>63</v>
      </c>
    </row>
    <row r="36">
      <c r="A36" s="609" t="s">
        <v>708</v>
      </c>
      <c r="B36" s="610">
        <f t="array" ref="B36">VLOOKUP($A36,TX_DEMO,2,FALSE)</f>
        <v>28454</v>
      </c>
      <c r="C36" s="704">
        <f>vlookup(A36,'TX Data'!$A$4:$B$259,2,FALSE)</f>
        <v>17</v>
      </c>
      <c r="D36" s="612" t="s">
        <v>63</v>
      </c>
      <c r="E36" s="612">
        <f>vlookup(A36,'TX Data'!$A$4:$D$259,3,FALSE)</f>
        <v>5</v>
      </c>
      <c r="F36" s="612">
        <f>vlookup(A36,'TX Data'!$A$4:$D$259,4,FALSE)</f>
        <v>8</v>
      </c>
      <c r="G36" s="612" t="s">
        <v>63</v>
      </c>
      <c r="H36" s="671">
        <f>vlookup(A36,'TX Data'!$I$2699:$J$2952,2,FALSE)</f>
        <v>6</v>
      </c>
      <c r="I36" s="614">
        <f>ifna(vlookup(A36,'TX Data'!$A$2319:$B$2521,2,FALSE),"NULL")</f>
        <v>3</v>
      </c>
      <c r="J36" s="615" t="s">
        <v>63</v>
      </c>
      <c r="K36" s="672" t="s">
        <v>63</v>
      </c>
      <c r="L36" s="671">
        <f>ifna(vlookup(A36,'TX Data'!$A$1498:$B$1702,2,FALSE),"NULL")</f>
        <v>76</v>
      </c>
      <c r="M36" s="614" t="s">
        <v>63</v>
      </c>
      <c r="N36" s="612" t="s">
        <v>63</v>
      </c>
      <c r="O36" s="612" t="s">
        <v>63</v>
      </c>
      <c r="P36" s="620">
        <f>ifna(vlookup(A36,'Population &amp; Church Numbers'!$A$2526:$D$2779,4,FALSE),"NULL")</f>
        <v>64</v>
      </c>
      <c r="Q36" s="674" t="s">
        <v>63</v>
      </c>
    </row>
    <row r="37">
      <c r="A37" s="609" t="s">
        <v>2033</v>
      </c>
      <c r="B37" s="610">
        <f t="array" ref="B37">VLOOKUP($A37,TX_DEMO,2,FALSE)</f>
        <v>7371</v>
      </c>
      <c r="C37" s="704">
        <f>vlookup(A37,'TX Data'!$A$4:$B$259,2,FALSE)</f>
        <v>7</v>
      </c>
      <c r="D37" s="612" t="s">
        <v>63</v>
      </c>
      <c r="E37" s="612">
        <f>vlookup(A37,'TX Data'!$A$4:$D$259,3,FALSE)</f>
        <v>4</v>
      </c>
      <c r="F37" s="612">
        <f>vlookup(A37,'TX Data'!$A$4:$D$259,4,FALSE)</f>
        <v>1</v>
      </c>
      <c r="G37" s="612" t="s">
        <v>63</v>
      </c>
      <c r="H37" s="671">
        <f>vlookup(A37,'TX Data'!$I$2699:$J$2952,2,FALSE)</f>
        <v>2</v>
      </c>
      <c r="I37" s="614">
        <f>ifna(vlookup(A37,'TX Data'!$A$2319:$B$2521,2,FALSE),"NULL")</f>
        <v>3</v>
      </c>
      <c r="J37" s="615" t="s">
        <v>63</v>
      </c>
      <c r="K37" s="672" t="s">
        <v>63</v>
      </c>
      <c r="L37" s="671" t="str">
        <f>ifna(vlookup(A37,'TX Data'!$A$1498:$B$1702,2,FALSE),"NULL")</f>
        <v>NULL</v>
      </c>
      <c r="M37" s="614" t="s">
        <v>63</v>
      </c>
      <c r="N37" s="612" t="s">
        <v>63</v>
      </c>
      <c r="O37" s="612" t="s">
        <v>63</v>
      </c>
      <c r="P37" s="620">
        <f>ifna(vlookup(A37,'Population &amp; Church Numbers'!$A$2526:$D$2779,4,FALSE),"NULL")</f>
        <v>14</v>
      </c>
      <c r="Q37" s="674" t="s">
        <v>63</v>
      </c>
    </row>
    <row r="38">
      <c r="A38" s="609" t="s">
        <v>98</v>
      </c>
      <c r="B38" s="610">
        <f t="array" ref="B38">VLOOKUP($A38,TX_DEMO,2,FALSE)</f>
        <v>46571</v>
      </c>
      <c r="C38" s="704">
        <f>vlookup(A38,'TX Data'!$A$4:$B$259,2,FALSE)</f>
        <v>10</v>
      </c>
      <c r="D38" s="612" t="s">
        <v>63</v>
      </c>
      <c r="E38" s="612">
        <f>vlookup(A38,'TX Data'!$A$4:$D$259,3,FALSE)</f>
        <v>2</v>
      </c>
      <c r="F38" s="612">
        <f>vlookup(A38,'TX Data'!$A$4:$D$259,4,FALSE)</f>
        <v>5</v>
      </c>
      <c r="G38" s="612" t="s">
        <v>63</v>
      </c>
      <c r="H38" s="671">
        <f>vlookup(A38,'TX Data'!$I$2699:$J$2952,2,FALSE)</f>
        <v>13</v>
      </c>
      <c r="I38" s="614">
        <f>ifna(vlookup(A38,'TX Data'!$A$2319:$B$2521,2,FALSE),"NULL")</f>
        <v>2</v>
      </c>
      <c r="J38" s="615" t="s">
        <v>63</v>
      </c>
      <c r="K38" s="672" t="s">
        <v>63</v>
      </c>
      <c r="L38" s="671">
        <f>ifna(vlookup(A38,'TX Data'!$A$1498:$B$1702,2,FALSE),"NULL")</f>
        <v>58</v>
      </c>
      <c r="M38" s="614" t="s">
        <v>63</v>
      </c>
      <c r="N38" s="612" t="s">
        <v>63</v>
      </c>
      <c r="O38" s="612" t="s">
        <v>63</v>
      </c>
      <c r="P38" s="620">
        <f>ifna(vlookup(A38,'Population &amp; Church Numbers'!$A$2526:$D$2779,4,FALSE),"NULL")</f>
        <v>31</v>
      </c>
      <c r="Q38" s="674" t="s">
        <v>63</v>
      </c>
    </row>
    <row r="39">
      <c r="A39" s="609" t="s">
        <v>101</v>
      </c>
      <c r="B39" s="610">
        <f t="array" ref="B39">VLOOKUP($A39,TX_DEMO,2,FALSE)</f>
        <v>50412</v>
      </c>
      <c r="C39" s="704">
        <f>vlookup(A39,'TX Data'!$A$4:$B$259,2,FALSE)</f>
        <v>76</v>
      </c>
      <c r="D39" s="612" t="s">
        <v>63</v>
      </c>
      <c r="E39" s="612">
        <f>vlookup(A39,'TX Data'!$A$4:$D$259,3,FALSE)</f>
        <v>21</v>
      </c>
      <c r="F39" s="612">
        <f>vlookup(A39,'TX Data'!$A$4:$D$259,4,FALSE)</f>
        <v>34</v>
      </c>
      <c r="G39" s="612" t="s">
        <v>63</v>
      </c>
      <c r="H39" s="671">
        <f>vlookup(A39,'TX Data'!$I$2699:$J$2952,2,FALSE)</f>
        <v>20</v>
      </c>
      <c r="I39" s="614">
        <f>ifna(vlookup(A39,'TX Data'!$A$2319:$B$2521,2,FALSE),"NULL")</f>
        <v>14</v>
      </c>
      <c r="J39" s="615" t="s">
        <v>63</v>
      </c>
      <c r="K39" s="672" t="s">
        <v>63</v>
      </c>
      <c r="L39" s="671">
        <f>ifna(vlookup(A39,'TX Data'!$A$1498:$B$1702,2,FALSE),"NULL")</f>
        <v>157</v>
      </c>
      <c r="M39" s="614" t="s">
        <v>63</v>
      </c>
      <c r="N39" s="612" t="s">
        <v>63</v>
      </c>
      <c r="O39" s="612" t="s">
        <v>63</v>
      </c>
      <c r="P39" s="620">
        <f>ifna(vlookup(A39,'Population &amp; Church Numbers'!$A$2526:$D$2779,4,FALSE),"NULL")</f>
        <v>82</v>
      </c>
      <c r="Q39" s="674" t="s">
        <v>63</v>
      </c>
    </row>
    <row r="40">
      <c r="A40" s="609" t="s">
        <v>2034</v>
      </c>
      <c r="B40" s="610">
        <f t="array" ref="B40">VLOOKUP($A40,TX_DEMO,2,FALSE)</f>
        <v>6664</v>
      </c>
      <c r="C40" s="704">
        <f>vlookup(A40,'TX Data'!$A$4:$B$259,2,FALSE)</f>
        <v>4</v>
      </c>
      <c r="D40" s="612" t="s">
        <v>63</v>
      </c>
      <c r="E40" s="612">
        <f>vlookup(A40,'TX Data'!$A$4:$D$259,3,FALSE)</f>
        <v>1</v>
      </c>
      <c r="F40" s="612">
        <f>vlookup(A40,'TX Data'!$A$4:$D$259,4,FALSE)</f>
        <v>0</v>
      </c>
      <c r="G40" s="612" t="s">
        <v>63</v>
      </c>
      <c r="H40" s="671">
        <f>vlookup(A40,'TX Data'!$I$2699:$J$2952,2,FALSE)</f>
        <v>2</v>
      </c>
      <c r="I40" s="614">
        <f>ifna(vlookup(A40,'TX Data'!$A$2319:$B$2521,2,FALSE),"NULL")</f>
        <v>3</v>
      </c>
      <c r="J40" s="615" t="s">
        <v>63</v>
      </c>
      <c r="K40" s="672" t="s">
        <v>63</v>
      </c>
      <c r="L40" s="671">
        <f>ifna(vlookup(A40,'TX Data'!$A$1498:$B$1702,2,FALSE),"NULL")</f>
        <v>35</v>
      </c>
      <c r="M40" s="614" t="s">
        <v>63</v>
      </c>
      <c r="N40" s="612" t="s">
        <v>63</v>
      </c>
      <c r="O40" s="612" t="s">
        <v>63</v>
      </c>
      <c r="P40" s="620">
        <f>ifna(vlookup(A40,'Population &amp; Church Numbers'!$A$2526:$D$2779,4,FALSE),"NULL")</f>
        <v>7</v>
      </c>
      <c r="Q40" s="674" t="s">
        <v>63</v>
      </c>
    </row>
    <row r="41">
      <c r="A41" s="609" t="s">
        <v>112</v>
      </c>
      <c r="B41" s="610">
        <f t="array" ref="B41">VLOOKUP($A41,TX_DEMO,2,FALSE)</f>
        <v>10218</v>
      </c>
      <c r="C41" s="704">
        <f>vlookup(A41,'TX Data'!$A$4:$B$259,2,FALSE)</f>
        <v>6</v>
      </c>
      <c r="D41" s="612" t="s">
        <v>63</v>
      </c>
      <c r="E41" s="612">
        <f>vlookup(A41,'TX Data'!$A$4:$D$259,3,FALSE)</f>
        <v>3</v>
      </c>
      <c r="F41" s="612">
        <f>vlookup(A41,'TX Data'!$A$4:$D$259,4,FALSE)</f>
        <v>2</v>
      </c>
      <c r="G41" s="612" t="s">
        <v>63</v>
      </c>
      <c r="H41" s="671">
        <f>vlookup(A41,'TX Data'!$I$2699:$J$2952,2,FALSE)</f>
        <v>7</v>
      </c>
      <c r="I41" s="614" t="str">
        <f>ifna(vlookup(A41,'TX Data'!$A$2319:$B$2521,2,FALSE),"NULL")</f>
        <v>NULL</v>
      </c>
      <c r="J41" s="615" t="s">
        <v>63</v>
      </c>
      <c r="K41" s="672" t="s">
        <v>63</v>
      </c>
      <c r="L41" s="671">
        <f>ifna(vlookup(A41,'TX Data'!$A$1498:$B$1702,2,FALSE),"NULL")</f>
        <v>25</v>
      </c>
      <c r="M41" s="614" t="s">
        <v>63</v>
      </c>
      <c r="N41" s="612" t="s">
        <v>63</v>
      </c>
      <c r="O41" s="612" t="s">
        <v>63</v>
      </c>
      <c r="P41" s="620">
        <f>ifna(vlookup(A41,'Population &amp; Church Numbers'!$A$2526:$D$2779,4,FALSE),"NULL")</f>
        <v>18</v>
      </c>
      <c r="Q41" s="674" t="s">
        <v>63</v>
      </c>
    </row>
    <row r="42">
      <c r="A42" s="609" t="s">
        <v>2035</v>
      </c>
      <c r="B42" s="610">
        <f t="array" ref="B42">VLOOKUP($A42,TX_DEMO,2,FALSE)</f>
        <v>2547</v>
      </c>
      <c r="C42" s="704">
        <f>vlookup(A42,'TX Data'!$A$4:$B$259,2,FALSE)</f>
        <v>1</v>
      </c>
      <c r="D42" s="612" t="s">
        <v>63</v>
      </c>
      <c r="E42" s="612">
        <f>vlookup(A42,'TX Data'!$A$4:$D$259,3,FALSE)</f>
        <v>0</v>
      </c>
      <c r="F42" s="612">
        <f>vlookup(A42,'TX Data'!$A$4:$D$259,4,FALSE)</f>
        <v>0</v>
      </c>
      <c r="G42" s="612" t="s">
        <v>63</v>
      </c>
      <c r="H42" s="671">
        <f>vlookup(A42,'TX Data'!$I$2699:$J$2952,2,FALSE)</f>
        <v>1</v>
      </c>
      <c r="I42" s="614" t="str">
        <f>ifna(vlookup(A42,'TX Data'!$A$2319:$B$2521,2,FALSE),"NULL")</f>
        <v>NULL</v>
      </c>
      <c r="J42" s="615" t="s">
        <v>63</v>
      </c>
      <c r="K42" s="672" t="s">
        <v>63</v>
      </c>
      <c r="L42" s="671" t="str">
        <f>ifna(vlookup(A42,'TX Data'!$A$1498:$B$1702,2,FALSE),"NULL")</f>
        <v>NULL</v>
      </c>
      <c r="M42" s="614" t="s">
        <v>63</v>
      </c>
      <c r="N42" s="612" t="s">
        <v>63</v>
      </c>
      <c r="O42" s="612" t="s">
        <v>63</v>
      </c>
      <c r="P42" s="620">
        <f>ifna(vlookup(A42,'Population &amp; Church Numbers'!$A$2526:$D$2779,4,FALSE),"NULL")</f>
        <v>10</v>
      </c>
      <c r="Q42" s="674" t="s">
        <v>63</v>
      </c>
    </row>
    <row r="43">
      <c r="A43" s="609" t="s">
        <v>2036</v>
      </c>
      <c r="B43" s="610">
        <f t="array" ref="B43">VLOOKUP($A43,TX_DEMO,2,FALSE)</f>
        <v>3285</v>
      </c>
      <c r="C43" s="704">
        <f>vlookup(A43,'TX Data'!$A$4:$B$259,2,FALSE)</f>
        <v>4</v>
      </c>
      <c r="D43" s="612" t="s">
        <v>63</v>
      </c>
      <c r="E43" s="612">
        <f>vlookup(A43,'TX Data'!$A$4:$D$259,3,FALSE)</f>
        <v>0</v>
      </c>
      <c r="F43" s="612">
        <f>vlookup(A43,'TX Data'!$A$4:$D$259,4,FALSE)</f>
        <v>3</v>
      </c>
      <c r="G43" s="612" t="s">
        <v>63</v>
      </c>
      <c r="H43" s="671" t="str">
        <f>vlookup(A43,'TX Data'!$I$2699:$J$2952,2,FALSE)</f>
        <v>NULL</v>
      </c>
      <c r="I43" s="614" t="str">
        <f>ifna(vlookup(A43,'TX Data'!$A$2319:$B$2521,2,FALSE),"NULL")</f>
        <v>NULL</v>
      </c>
      <c r="J43" s="615" t="s">
        <v>63</v>
      </c>
      <c r="K43" s="672" t="s">
        <v>63</v>
      </c>
      <c r="L43" s="671">
        <f>ifna(vlookup(A43,'TX Data'!$A$1498:$B$1702,2,FALSE),"NULL")</f>
        <v>3</v>
      </c>
      <c r="M43" s="614" t="s">
        <v>63</v>
      </c>
      <c r="N43" s="612" t="s">
        <v>63</v>
      </c>
      <c r="O43" s="612" t="s">
        <v>63</v>
      </c>
      <c r="P43" s="620">
        <f>ifna(vlookup(A43,'Population &amp; Church Numbers'!$A$2526:$D$2779,4,FALSE),"NULL")</f>
        <v>8</v>
      </c>
      <c r="Q43" s="674" t="s">
        <v>63</v>
      </c>
    </row>
    <row r="44">
      <c r="A44" s="609" t="s">
        <v>2037</v>
      </c>
      <c r="B44" s="610">
        <f t="array" ref="B44">VLOOKUP($A44,TX_DEMO,2,FALSE)</f>
        <v>7684</v>
      </c>
      <c r="C44" s="704">
        <f>vlookup(A44,'TX Data'!$A$4:$B$259,2,FALSE)</f>
        <v>19</v>
      </c>
      <c r="D44" s="612" t="s">
        <v>63</v>
      </c>
      <c r="E44" s="612">
        <f>vlookup(A44,'TX Data'!$A$4:$D$259,3,FALSE)</f>
        <v>8</v>
      </c>
      <c r="F44" s="612">
        <f>vlookup(A44,'TX Data'!$A$4:$D$259,4,FALSE)</f>
        <v>8</v>
      </c>
      <c r="G44" s="612" t="s">
        <v>63</v>
      </c>
      <c r="H44" s="671">
        <f>vlookup(A44,'TX Data'!$I$2699:$J$2952,2,FALSE)</f>
        <v>7</v>
      </c>
      <c r="I44" s="614">
        <f>ifna(vlookup(A44,'TX Data'!$A$2319:$B$2521,2,FALSE),"NULL")</f>
        <v>2</v>
      </c>
      <c r="J44" s="615" t="s">
        <v>63</v>
      </c>
      <c r="K44" s="672" t="s">
        <v>63</v>
      </c>
      <c r="L44" s="671">
        <f>ifna(vlookup(A44,'TX Data'!$A$1498:$B$1702,2,FALSE),"NULL")</f>
        <v>18</v>
      </c>
      <c r="M44" s="614" t="s">
        <v>63</v>
      </c>
      <c r="N44" s="612" t="s">
        <v>63</v>
      </c>
      <c r="O44" s="612" t="s">
        <v>63</v>
      </c>
      <c r="P44" s="620">
        <f>ifna(vlookup(A44,'Population &amp; Church Numbers'!$A$2526:$D$2779,4,FALSE),"NULL")</f>
        <v>18</v>
      </c>
      <c r="Q44" s="674" t="s">
        <v>63</v>
      </c>
    </row>
    <row r="45">
      <c r="A45" s="609" t="s">
        <v>405</v>
      </c>
      <c r="B45" s="610">
        <f t="array" ref="B45">VLOOKUP($A45,TX_DEMO,2,FALSE)</f>
        <v>1064465</v>
      </c>
      <c r="C45" s="704">
        <f>vlookup(A45,'TX Data'!$A$4:$B$259,2,FALSE)</f>
        <v>189</v>
      </c>
      <c r="D45" s="612" t="s">
        <v>63</v>
      </c>
      <c r="E45" s="612">
        <f>vlookup(A45,'TX Data'!$A$4:$D$259,3,FALSE)</f>
        <v>72</v>
      </c>
      <c r="F45" s="612">
        <f>vlookup(A45,'TX Data'!$A$4:$D$259,4,FALSE)</f>
        <v>73</v>
      </c>
      <c r="G45" s="612" t="s">
        <v>63</v>
      </c>
      <c r="H45" s="671">
        <f>vlookup(A45,'TX Data'!$I$2699:$J$2952,2,FALSE)</f>
        <v>200</v>
      </c>
      <c r="I45" s="614">
        <f>ifna(vlookup(A45,'TX Data'!$A$2319:$B$2521,2,FALSE),"NULL")</f>
        <v>35</v>
      </c>
      <c r="J45" s="615" t="s">
        <v>63</v>
      </c>
      <c r="K45" s="672" t="s">
        <v>63</v>
      </c>
      <c r="L45" s="671">
        <f>ifna(vlookup(A45,'TX Data'!$A$1498:$B$1702,2,FALSE),"NULL")</f>
        <v>602</v>
      </c>
      <c r="M45" s="614" t="s">
        <v>63</v>
      </c>
      <c r="N45" s="612" t="s">
        <v>63</v>
      </c>
      <c r="O45" s="612" t="s">
        <v>63</v>
      </c>
      <c r="P45" s="620">
        <f>ifna(vlookup(A45,'Population &amp; Church Numbers'!$A$2526:$D$2779,4,FALSE),"NULL")</f>
        <v>326</v>
      </c>
      <c r="Q45" s="674" t="s">
        <v>63</v>
      </c>
    </row>
    <row r="46">
      <c r="A46" s="609" t="s">
        <v>2038</v>
      </c>
      <c r="B46" s="610">
        <f t="array" ref="B46">VLOOKUP($A46,TX_DEMO,2,FALSE)</f>
        <v>2652</v>
      </c>
      <c r="C46" s="704">
        <f>vlookup(A46,'TX Data'!$A$4:$B$259,2,FALSE)</f>
        <v>3</v>
      </c>
      <c r="D46" s="612" t="s">
        <v>63</v>
      </c>
      <c r="E46" s="612">
        <f>vlookup(A46,'TX Data'!$A$4:$D$259,3,FALSE)</f>
        <v>1</v>
      </c>
      <c r="F46" s="612">
        <f>vlookup(A46,'TX Data'!$A$4:$D$259,4,FALSE)</f>
        <v>0</v>
      </c>
      <c r="G46" s="612" t="s">
        <v>63</v>
      </c>
      <c r="H46" s="671" t="str">
        <f>vlookup(A46,'TX Data'!$I$2699:$J$2952,2,FALSE)</f>
        <v>NULL</v>
      </c>
      <c r="I46" s="614" t="str">
        <f>ifna(vlookup(A46,'TX Data'!$A$2319:$B$2521,2,FALSE),"NULL")</f>
        <v>NULL</v>
      </c>
      <c r="J46" s="615" t="s">
        <v>63</v>
      </c>
      <c r="K46" s="672" t="s">
        <v>63</v>
      </c>
      <c r="L46" s="671">
        <f>ifna(vlookup(A46,'TX Data'!$A$1498:$B$1702,2,FALSE),"NULL")</f>
        <v>15</v>
      </c>
      <c r="M46" s="614" t="s">
        <v>63</v>
      </c>
      <c r="N46" s="612" t="s">
        <v>63</v>
      </c>
      <c r="O46" s="612" t="s">
        <v>63</v>
      </c>
      <c r="P46" s="620">
        <f>ifna(vlookup(A46,'Population &amp; Church Numbers'!$A$2526:$D$2779,4,FALSE),"NULL")</f>
        <v>9</v>
      </c>
      <c r="Q46" s="674" t="s">
        <v>63</v>
      </c>
    </row>
    <row r="47">
      <c r="A47" s="609" t="s">
        <v>36</v>
      </c>
      <c r="B47" s="610">
        <f t="array" ref="B47">VLOOKUP($A47,TX_DEMO,2,FALSE)</f>
        <v>20557</v>
      </c>
      <c r="C47" s="704">
        <f>vlookup(A47,'TX Data'!$A$4:$B$259,2,FALSE)</f>
        <v>1</v>
      </c>
      <c r="D47" s="612" t="s">
        <v>63</v>
      </c>
      <c r="E47" s="612">
        <f>vlookup(A47,'TX Data'!$A$4:$D$259,3,FALSE)</f>
        <v>0</v>
      </c>
      <c r="F47" s="612">
        <f>vlookup(A47,'TX Data'!$A$4:$D$259,4,FALSE)</f>
        <v>0</v>
      </c>
      <c r="G47" s="612" t="s">
        <v>63</v>
      </c>
      <c r="H47" s="671">
        <f>vlookup(A47,'TX Data'!$I$2699:$J$2952,2,FALSE)</f>
        <v>1</v>
      </c>
      <c r="I47" s="614">
        <f>ifna(vlookup(A47,'TX Data'!$A$2319:$B$2521,2,FALSE),"NULL")</f>
        <v>1</v>
      </c>
      <c r="J47" s="615" t="s">
        <v>63</v>
      </c>
      <c r="K47" s="672" t="s">
        <v>63</v>
      </c>
      <c r="L47" s="671">
        <f>ifna(vlookup(A47,'TX Data'!$A$1498:$B$1702,2,FALSE),"NULL")</f>
        <v>35</v>
      </c>
      <c r="M47" s="614" t="s">
        <v>63</v>
      </c>
      <c r="N47" s="612" t="s">
        <v>63</v>
      </c>
      <c r="O47" s="612" t="s">
        <v>63</v>
      </c>
      <c r="P47" s="620">
        <f>ifna(vlookup(A47,'Population &amp; Church Numbers'!$A$2526:$D$2779,4,FALSE),"NULL")</f>
        <v>33</v>
      </c>
      <c r="Q47" s="674" t="s">
        <v>63</v>
      </c>
    </row>
    <row r="48">
      <c r="A48" s="609" t="s">
        <v>2039</v>
      </c>
      <c r="B48" s="610">
        <f t="array" ref="B48">VLOOKUP($A48,TX_DEMO,2,FALSE)</f>
        <v>161501</v>
      </c>
      <c r="C48" s="704">
        <f>vlookup(A48,'TX Data'!$A$4:$B$259,2,FALSE)</f>
        <v>126</v>
      </c>
      <c r="D48" s="612" t="s">
        <v>63</v>
      </c>
      <c r="E48" s="612">
        <f>vlookup(A48,'TX Data'!$A$4:$D$259,3,FALSE)</f>
        <v>36</v>
      </c>
      <c r="F48" s="612">
        <f>vlookup(A48,'TX Data'!$A$4:$D$259,4,FALSE)</f>
        <v>59</v>
      </c>
      <c r="G48" s="612" t="s">
        <v>63</v>
      </c>
      <c r="H48" s="671">
        <f>vlookup(A48,'TX Data'!$I$2699:$J$2952,2,FALSE)</f>
        <v>87</v>
      </c>
      <c r="I48" s="614">
        <f>ifna(vlookup(A48,'TX Data'!$A$2319:$B$2521,2,FALSE),"NULL")</f>
        <v>39</v>
      </c>
      <c r="J48" s="615" t="s">
        <v>63</v>
      </c>
      <c r="K48" s="672" t="s">
        <v>63</v>
      </c>
      <c r="L48" s="671">
        <f>ifna(vlookup(A48,'TX Data'!$A$1498:$B$1702,2,FALSE),"NULL")</f>
        <v>355</v>
      </c>
      <c r="M48" s="614" t="s">
        <v>63</v>
      </c>
      <c r="N48" s="612" t="s">
        <v>63</v>
      </c>
      <c r="O48" s="612" t="s">
        <v>63</v>
      </c>
      <c r="P48" s="620">
        <f>ifna(vlookup(A48,'Population &amp; Church Numbers'!$A$2526:$D$2779,4,FALSE),"NULL")</f>
        <v>70</v>
      </c>
      <c r="Q48" s="674" t="s">
        <v>63</v>
      </c>
    </row>
    <row r="49">
      <c r="A49" s="609" t="s">
        <v>964</v>
      </c>
      <c r="B49" s="610">
        <f t="array" ref="B49">VLOOKUP($A49,TX_DEMO,2,FALSE)</f>
        <v>13594</v>
      </c>
      <c r="C49" s="704">
        <f>vlookup(A49,'TX Data'!$A$4:$B$259,2,FALSE)</f>
        <v>46</v>
      </c>
      <c r="D49" s="612" t="s">
        <v>63</v>
      </c>
      <c r="E49" s="612">
        <f>vlookup(A49,'TX Data'!$A$4:$D$259,3,FALSE)</f>
        <v>18</v>
      </c>
      <c r="F49" s="612">
        <f>vlookup(A49,'TX Data'!$A$4:$D$259,4,FALSE)</f>
        <v>15</v>
      </c>
      <c r="G49" s="612" t="s">
        <v>63</v>
      </c>
      <c r="H49" s="671">
        <f>vlookup(A49,'TX Data'!$I$2699:$J$2952,2,FALSE)</f>
        <v>6</v>
      </c>
      <c r="I49" s="614">
        <f>ifna(vlookup(A49,'TX Data'!$A$2319:$B$2521,2,FALSE),"NULL")</f>
        <v>8</v>
      </c>
      <c r="J49" s="615" t="s">
        <v>63</v>
      </c>
      <c r="K49" s="672" t="s">
        <v>63</v>
      </c>
      <c r="L49" s="671">
        <f>ifna(vlookup(A49,'TX Data'!$A$1498:$B$1702,2,FALSE),"NULL")</f>
        <v>47</v>
      </c>
      <c r="M49" s="614" t="s">
        <v>63</v>
      </c>
      <c r="N49" s="612" t="s">
        <v>63</v>
      </c>
      <c r="O49" s="612" t="s">
        <v>63</v>
      </c>
      <c r="P49" s="620">
        <f>ifna(vlookup(A49,'Population &amp; Church Numbers'!$A$2526:$D$2779,4,FALSE),"NULL")</f>
        <v>19</v>
      </c>
      <c r="Q49" s="674" t="s">
        <v>63</v>
      </c>
    </row>
    <row r="50">
      <c r="A50" s="609" t="s">
        <v>2041</v>
      </c>
      <c r="B50" s="610">
        <f t="array" ref="B50">VLOOKUP($A50,TX_DEMO,2,FALSE)</f>
        <v>3303</v>
      </c>
      <c r="C50" s="704">
        <f>vlookup(A50,'TX Data'!$A$4:$B$259,2,FALSE)</f>
        <v>0</v>
      </c>
      <c r="D50" s="612" t="s">
        <v>63</v>
      </c>
      <c r="E50" s="612">
        <f>vlookup(A50,'TX Data'!$A$4:$D$259,3,FALSE)</f>
        <v>0</v>
      </c>
      <c r="F50" s="612">
        <f>vlookup(A50,'TX Data'!$A$4:$D$259,4,FALSE)</f>
        <v>0</v>
      </c>
      <c r="G50" s="612" t="s">
        <v>63</v>
      </c>
      <c r="H50" s="671" t="str">
        <f>vlookup(A50,'TX Data'!$I$2699:$J$2952,2,FALSE)</f>
        <v>NULL</v>
      </c>
      <c r="I50" s="614" t="str">
        <f>ifna(vlookup(A50,'TX Data'!$A$2319:$B$2521,2,FALSE),"NULL")</f>
        <v>NULL</v>
      </c>
      <c r="J50" s="615" t="s">
        <v>63</v>
      </c>
      <c r="K50" s="672" t="s">
        <v>63</v>
      </c>
      <c r="L50" s="671" t="str">
        <f>ifna(vlookup(A50,'TX Data'!$A$1498:$B$1702,2,FALSE),"NULL")</f>
        <v>NULL</v>
      </c>
      <c r="M50" s="614" t="s">
        <v>63</v>
      </c>
      <c r="N50" s="612" t="s">
        <v>63</v>
      </c>
      <c r="O50" s="612" t="s">
        <v>63</v>
      </c>
      <c r="P50" s="620">
        <f>ifna(vlookup(A50,'Population &amp; Church Numbers'!$A$2526:$D$2779,4,FALSE),"NULL")</f>
        <v>3</v>
      </c>
      <c r="Q50" s="674" t="s">
        <v>63</v>
      </c>
    </row>
    <row r="51">
      <c r="A51" s="609" t="s">
        <v>2042</v>
      </c>
      <c r="B51" s="610">
        <f t="array" ref="B51">VLOOKUP($A51,TX_DEMO,2,FALSE)</f>
        <v>41668</v>
      </c>
      <c r="C51" s="704">
        <f>vlookup(A51,'TX Data'!$A$4:$B$259,2,FALSE)</f>
        <v>37</v>
      </c>
      <c r="D51" s="612" t="s">
        <v>63</v>
      </c>
      <c r="E51" s="612">
        <f>vlookup(A51,'TX Data'!$A$4:$D$259,3,FALSE)</f>
        <v>13</v>
      </c>
      <c r="F51" s="612">
        <f>vlookup(A51,'TX Data'!$A$4:$D$259,4,FALSE)</f>
        <v>18</v>
      </c>
      <c r="G51" s="612" t="s">
        <v>63</v>
      </c>
      <c r="H51" s="671">
        <f>vlookup(A51,'TX Data'!$I$2699:$J$2952,2,FALSE)</f>
        <v>6</v>
      </c>
      <c r="I51" s="614">
        <f>ifna(vlookup(A51,'TX Data'!$A$2319:$B$2521,2,FALSE),"NULL")</f>
        <v>8</v>
      </c>
      <c r="J51" s="615" t="s">
        <v>63</v>
      </c>
      <c r="K51" s="672" t="s">
        <v>63</v>
      </c>
      <c r="L51" s="671">
        <f>ifna(vlookup(A51,'TX Data'!$A$1498:$B$1702,2,FALSE),"NULL")</f>
        <v>116</v>
      </c>
      <c r="M51" s="614" t="s">
        <v>63</v>
      </c>
      <c r="N51" s="612" t="s">
        <v>63</v>
      </c>
      <c r="O51" s="612" t="s">
        <v>63</v>
      </c>
      <c r="P51" s="620">
        <f>ifna(vlookup(A51,'Population &amp; Church Numbers'!$A$2526:$D$2779,4,FALSE),"NULL")</f>
        <v>50</v>
      </c>
      <c r="Q51" s="674" t="s">
        <v>63</v>
      </c>
    </row>
    <row r="52">
      <c r="A52" s="609" t="s">
        <v>2043</v>
      </c>
      <c r="B52" s="610">
        <f t="array" ref="B52">VLOOKUP($A52,TX_DEMO,2,FALSE)</f>
        <v>83093</v>
      </c>
      <c r="C52" s="704">
        <f>vlookup(A52,'TX Data'!$A$4:$B$259,2,FALSE)</f>
        <v>56</v>
      </c>
      <c r="D52" s="612" t="s">
        <v>63</v>
      </c>
      <c r="E52" s="612">
        <f>vlookup(A52,'TX Data'!$A$4:$D$259,3,FALSE)</f>
        <v>19</v>
      </c>
      <c r="F52" s="612">
        <f>vlookup(A52,'TX Data'!$A$4:$D$259,4,FALSE)</f>
        <v>26</v>
      </c>
      <c r="G52" s="612" t="s">
        <v>63</v>
      </c>
      <c r="H52" s="671">
        <f>vlookup(A52,'TX Data'!$I$2699:$J$2952,2,FALSE)</f>
        <v>21</v>
      </c>
      <c r="I52" s="614">
        <f>ifna(vlookup(A52,'TX Data'!$A$2319:$B$2521,2,FALSE),"NULL")</f>
        <v>6</v>
      </c>
      <c r="J52" s="615" t="s">
        <v>63</v>
      </c>
      <c r="K52" s="672" t="s">
        <v>63</v>
      </c>
      <c r="L52" s="671">
        <f>ifna(vlookup(A52,'TX Data'!$A$1498:$B$1702,2,FALSE),"NULL")</f>
        <v>219</v>
      </c>
      <c r="M52" s="614" t="s">
        <v>63</v>
      </c>
      <c r="N52" s="612" t="s">
        <v>63</v>
      </c>
      <c r="O52" s="612" t="s">
        <v>63</v>
      </c>
      <c r="P52" s="620">
        <f>ifna(vlookup(A52,'Population &amp; Church Numbers'!$A$2526:$D$2779,4,FALSE),"NULL")</f>
        <v>56</v>
      </c>
      <c r="Q52" s="674" t="s">
        <v>63</v>
      </c>
    </row>
    <row r="53">
      <c r="A53" s="609" t="s">
        <v>2044</v>
      </c>
      <c r="B53" s="610">
        <f t="array" ref="B53">VLOOKUP($A53,TX_DEMO,2,FALSE)</f>
        <v>1380</v>
      </c>
      <c r="C53" s="704">
        <f>vlookup(A53,'TX Data'!$A$4:$B$259,2,FALSE)</f>
        <v>7</v>
      </c>
      <c r="D53" s="612" t="s">
        <v>63</v>
      </c>
      <c r="E53" s="612">
        <f>vlookup(A53,'TX Data'!$A$4:$D$259,3,FALSE)</f>
        <v>2</v>
      </c>
      <c r="F53" s="612">
        <f>vlookup(A53,'TX Data'!$A$4:$D$259,4,FALSE)</f>
        <v>5</v>
      </c>
      <c r="G53" s="612" t="s">
        <v>63</v>
      </c>
      <c r="H53" s="671" t="str">
        <f>vlookup(A53,'TX Data'!$I$2699:$J$2952,2,FALSE)</f>
        <v>NULL</v>
      </c>
      <c r="I53" s="614" t="str">
        <f>ifna(vlookup(A53,'TX Data'!$A$2319:$B$2521,2,FALSE),"NULL")</f>
        <v>NULL</v>
      </c>
      <c r="J53" s="615" t="s">
        <v>63</v>
      </c>
      <c r="K53" s="672" t="s">
        <v>63</v>
      </c>
      <c r="L53" s="671" t="str">
        <f>ifna(vlookup(A53,'TX Data'!$A$1498:$B$1702,2,FALSE),"NULL")</f>
        <v>NULL</v>
      </c>
      <c r="M53" s="614" t="s">
        <v>63</v>
      </c>
      <c r="N53" s="612" t="s">
        <v>63</v>
      </c>
      <c r="O53" s="612" t="s">
        <v>63</v>
      </c>
      <c r="P53" s="620">
        <f>ifna(vlookup(A53,'Population &amp; Church Numbers'!$A$2526:$D$2779,4,FALSE),"NULL")</f>
        <v>7</v>
      </c>
      <c r="Q53" s="674" t="s">
        <v>63</v>
      </c>
    </row>
    <row r="54">
      <c r="A54" s="609" t="s">
        <v>2046</v>
      </c>
      <c r="B54" s="610">
        <f t="array" ref="B54">VLOOKUP($A54,TX_DEMO,2,FALSE)</f>
        <v>4675</v>
      </c>
      <c r="C54" s="704">
        <f>vlookup(A54,'TX Data'!$A$4:$B$259,2,FALSE)</f>
        <v>0</v>
      </c>
      <c r="D54" s="612" t="s">
        <v>63</v>
      </c>
      <c r="E54" s="612">
        <f>vlookup(A54,'TX Data'!$A$4:$D$259,3,FALSE)</f>
        <v>0</v>
      </c>
      <c r="F54" s="612">
        <f>vlookup(A54,'TX Data'!$A$4:$D$259,4,FALSE)</f>
        <v>0</v>
      </c>
      <c r="G54" s="612" t="s">
        <v>63</v>
      </c>
      <c r="H54" s="671" t="str">
        <f>vlookup(A54,'TX Data'!$I$2699:$J$2952,2,FALSE)</f>
        <v>NULL</v>
      </c>
      <c r="I54" s="614">
        <f>ifna(vlookup(A54,'TX Data'!$A$2319:$B$2521,2,FALSE),"NULL")</f>
        <v>0</v>
      </c>
      <c r="J54" s="615" t="s">
        <v>63</v>
      </c>
      <c r="K54" s="672" t="s">
        <v>63</v>
      </c>
      <c r="L54" s="671" t="str">
        <f>ifna(vlookup(A54,'TX Data'!$A$1498:$B$1702,2,FALSE),"NULL")</f>
        <v>NULL</v>
      </c>
      <c r="M54" s="614" t="s">
        <v>63</v>
      </c>
      <c r="N54" s="612" t="s">
        <v>63</v>
      </c>
      <c r="O54" s="612" t="s">
        <v>63</v>
      </c>
      <c r="P54" s="620">
        <f>ifna(vlookup(A54,'Population &amp; Church Numbers'!$A$2526:$D$2779,4,FALSE),"NULL")</f>
        <v>6</v>
      </c>
      <c r="Q54" s="674" t="s">
        <v>63</v>
      </c>
    </row>
    <row r="55">
      <c r="A55" s="609" t="s">
        <v>1900</v>
      </c>
      <c r="B55" s="610">
        <f t="array" ref="B55">VLOOKUP($A55,TX_DEMO,2,FALSE)</f>
        <v>3098</v>
      </c>
      <c r="C55" s="704">
        <f>vlookup(A55,'TX Data'!$A$4:$B$259,2,FALSE)</f>
        <v>4</v>
      </c>
      <c r="D55" s="612" t="s">
        <v>63</v>
      </c>
      <c r="E55" s="612">
        <f>vlookup(A55,'TX Data'!$A$4:$D$259,3,FALSE)</f>
        <v>2</v>
      </c>
      <c r="F55" s="612">
        <f>vlookup(A55,'TX Data'!$A$4:$D$259,4,FALSE)</f>
        <v>1</v>
      </c>
      <c r="G55" s="612" t="s">
        <v>63</v>
      </c>
      <c r="H55" s="671" t="str">
        <f>vlookup(A55,'TX Data'!$I$2699:$J$2952,2,FALSE)</f>
        <v>NULL</v>
      </c>
      <c r="I55" s="614">
        <f>ifna(vlookup(A55,'TX Data'!$A$2319:$B$2521,2,FALSE),"NULL")</f>
        <v>1</v>
      </c>
      <c r="J55" s="615" t="s">
        <v>63</v>
      </c>
      <c r="K55" s="672" t="s">
        <v>63</v>
      </c>
      <c r="L55" s="671">
        <f>ifna(vlookup(A55,'TX Data'!$A$1498:$B$1702,2,FALSE),"NULL")</f>
        <v>8</v>
      </c>
      <c r="M55" s="614" t="s">
        <v>63</v>
      </c>
      <c r="N55" s="612" t="s">
        <v>63</v>
      </c>
      <c r="O55" s="612" t="s">
        <v>63</v>
      </c>
      <c r="P55" s="620">
        <f>ifna(vlookup(A55,'Population &amp; Church Numbers'!$A$2526:$D$2779,4,FALSE),"NULL")</f>
        <v>6</v>
      </c>
      <c r="Q55" s="674" t="s">
        <v>63</v>
      </c>
    </row>
    <row r="56">
      <c r="A56" s="609" t="s">
        <v>2047</v>
      </c>
      <c r="B56" s="610">
        <f t="array" ref="B56">VLOOKUP($A56,TX_DEMO,2,FALSE)</f>
        <v>5133</v>
      </c>
      <c r="C56" s="704">
        <f>vlookup(A56,'TX Data'!$A$4:$B$259,2,FALSE)</f>
        <v>6</v>
      </c>
      <c r="D56" s="612" t="s">
        <v>63</v>
      </c>
      <c r="E56" s="612">
        <f>vlookup(A56,'TX Data'!$A$4:$D$259,3,FALSE)</f>
        <v>0</v>
      </c>
      <c r="F56" s="612">
        <f>vlookup(A56,'TX Data'!$A$4:$D$259,4,FALSE)</f>
        <v>6</v>
      </c>
      <c r="G56" s="612" t="s">
        <v>63</v>
      </c>
      <c r="H56" s="671">
        <f>vlookup(A56,'TX Data'!$I$2699:$J$2952,2,FALSE)</f>
        <v>2</v>
      </c>
      <c r="I56" s="614" t="str">
        <f>ifna(vlookup(A56,'TX Data'!$A$2319:$B$2521,2,FALSE),"NULL")</f>
        <v>NULL</v>
      </c>
      <c r="J56" s="615" t="s">
        <v>63</v>
      </c>
      <c r="K56" s="672" t="s">
        <v>63</v>
      </c>
      <c r="L56" s="671">
        <f>ifna(vlookup(A56,'TX Data'!$A$1498:$B$1702,2,FALSE),"NULL")</f>
        <v>18</v>
      </c>
      <c r="M56" s="614" t="s">
        <v>63</v>
      </c>
      <c r="N56" s="612" t="s">
        <v>63</v>
      </c>
      <c r="O56" s="612" t="s">
        <v>63</v>
      </c>
      <c r="P56" s="620">
        <f>ifna(vlookup(A56,'Population &amp; Church Numbers'!$A$2526:$D$2779,4,FALSE),"NULL")</f>
        <v>19</v>
      </c>
      <c r="Q56" s="674" t="s">
        <v>63</v>
      </c>
    </row>
    <row r="57">
      <c r="A57" s="609" t="s">
        <v>2049</v>
      </c>
      <c r="B57" s="610">
        <f t="array" ref="B57">VLOOKUP($A57,TX_DEMO,2,FALSE)</f>
        <v>2188</v>
      </c>
      <c r="C57" s="704">
        <f>vlookup(A57,'TX Data'!$A$4:$B$259,2,FALSE)</f>
        <v>13</v>
      </c>
      <c r="D57" s="612" t="s">
        <v>63</v>
      </c>
      <c r="E57" s="612">
        <f>vlookup(A57,'TX Data'!$A$4:$D$259,3,FALSE)</f>
        <v>8</v>
      </c>
      <c r="F57" s="612">
        <f>vlookup(A57,'TX Data'!$A$4:$D$259,4,FALSE)</f>
        <v>1</v>
      </c>
      <c r="G57" s="612" t="s">
        <v>63</v>
      </c>
      <c r="H57" s="671" t="str">
        <f>vlookup(A57,'TX Data'!$I$2699:$J$2952,2,FALSE)</f>
        <v>NULL</v>
      </c>
      <c r="I57" s="614" t="str">
        <f>ifna(vlookup(A57,'TX Data'!$A$2319:$B$2521,2,FALSE),"NULL")</f>
        <v>NULL</v>
      </c>
      <c r="J57" s="615" t="s">
        <v>63</v>
      </c>
      <c r="K57" s="672" t="s">
        <v>63</v>
      </c>
      <c r="L57" s="671" t="str">
        <f>ifna(vlookup(A57,'TX Data'!$A$1498:$B$1702,2,FALSE),"NULL")</f>
        <v>NULL</v>
      </c>
      <c r="M57" s="614" t="s">
        <v>63</v>
      </c>
      <c r="N57" s="612" t="s">
        <v>63</v>
      </c>
      <c r="O57" s="612" t="s">
        <v>63</v>
      </c>
      <c r="P57" s="620">
        <f>ifna(vlookup(A57,'Population &amp; Church Numbers'!$A$2526:$D$2779,4,FALSE),"NULL")</f>
        <v>4</v>
      </c>
      <c r="Q57" s="674" t="s">
        <v>63</v>
      </c>
    </row>
    <row r="58">
      <c r="A58" s="609" t="s">
        <v>2050</v>
      </c>
      <c r="B58" s="610">
        <f t="array" ref="B58">VLOOKUP($A58,TX_DEMO,2,FALSE)</f>
        <v>7115</v>
      </c>
      <c r="C58" s="704">
        <f>vlookup(A58,'TX Data'!$A$4:$B$259,2,FALSE)</f>
        <v>27</v>
      </c>
      <c r="D58" s="612" t="s">
        <v>63</v>
      </c>
      <c r="E58" s="612">
        <f>vlookup(A58,'TX Data'!$A$4:$D$259,3,FALSE)</f>
        <v>14</v>
      </c>
      <c r="F58" s="612">
        <f>vlookup(A58,'TX Data'!$A$4:$D$259,4,FALSE)</f>
        <v>6</v>
      </c>
      <c r="G58" s="612" t="s">
        <v>63</v>
      </c>
      <c r="H58" s="671">
        <f>vlookup(A58,'TX Data'!$I$2699:$J$2952,2,FALSE)</f>
        <v>3</v>
      </c>
      <c r="I58" s="614">
        <f>ifna(vlookup(A58,'TX Data'!$A$2319:$B$2521,2,FALSE),"NULL")</f>
        <v>7</v>
      </c>
      <c r="J58" s="615" t="s">
        <v>63</v>
      </c>
      <c r="K58" s="672" t="s">
        <v>63</v>
      </c>
      <c r="L58" s="671">
        <f>ifna(vlookup(A58,'TX Data'!$A$1498:$B$1702,2,FALSE),"NULL")</f>
        <v>27</v>
      </c>
      <c r="M58" s="614" t="s">
        <v>63</v>
      </c>
      <c r="N58" s="612" t="s">
        <v>63</v>
      </c>
      <c r="O58" s="612" t="s">
        <v>63</v>
      </c>
      <c r="P58" s="620">
        <f>ifna(vlookup(A58,'Population &amp; Church Numbers'!$A$2526:$D$2779,4,FALSE),"NULL")</f>
        <v>16</v>
      </c>
      <c r="Q58" s="674" t="s">
        <v>63</v>
      </c>
    </row>
    <row r="59">
      <c r="A59" s="609" t="s">
        <v>130</v>
      </c>
      <c r="B59" s="610">
        <f t="array" ref="B59">VLOOKUP($A59,TX_DEMO,2,FALSE)</f>
        <v>2613539</v>
      </c>
      <c r="C59" s="704">
        <f>vlookup(A59,'TX Data'!$A$4:$B$259,2,FALSE)</f>
        <v>1212</v>
      </c>
      <c r="D59" s="612" t="s">
        <v>63</v>
      </c>
      <c r="E59" s="612">
        <f>vlookup(A59,'TX Data'!$A$4:$D$259,3,FALSE)</f>
        <v>535</v>
      </c>
      <c r="F59" s="612">
        <f>vlookup(A59,'TX Data'!$A$4:$D$259,4,FALSE)</f>
        <v>485</v>
      </c>
      <c r="G59" s="612" t="s">
        <v>63</v>
      </c>
      <c r="H59" s="671">
        <f>vlookup(A59,'TX Data'!$I$2699:$J$2952,2,FALSE)</f>
        <v>499</v>
      </c>
      <c r="I59" s="614">
        <f>ifna(vlookup(A59,'TX Data'!$A$2319:$B$2521,2,FALSE),"NULL")</f>
        <v>206</v>
      </c>
      <c r="J59" s="615" t="s">
        <v>63</v>
      </c>
      <c r="K59" s="672" t="s">
        <v>63</v>
      </c>
      <c r="L59" s="671">
        <f>ifna(vlookup(A59,'TX Data'!$A$1498:$B$1702,2,FALSE),"NULL")</f>
        <v>3426</v>
      </c>
      <c r="M59" s="614" t="s">
        <v>63</v>
      </c>
      <c r="N59" s="612" t="s">
        <v>63</v>
      </c>
      <c r="O59" s="612" t="s">
        <v>63</v>
      </c>
      <c r="P59" s="620">
        <f>ifna(vlookup(A59,'Population &amp; Church Numbers'!$A$2526:$D$2779,4,FALSE),"NULL")</f>
        <v>1368</v>
      </c>
      <c r="Q59" s="674" t="s">
        <v>63</v>
      </c>
    </row>
    <row r="60">
      <c r="A60" s="609" t="s">
        <v>562</v>
      </c>
      <c r="B60" s="610">
        <f t="array" ref="B60">VLOOKUP($A60,TX_DEMO,2,FALSE)</f>
        <v>12456</v>
      </c>
      <c r="C60" s="704">
        <f>vlookup(A60,'TX Data'!$A$4:$B$259,2,FALSE)</f>
        <v>8</v>
      </c>
      <c r="D60" s="612" t="s">
        <v>63</v>
      </c>
      <c r="E60" s="612">
        <f>vlookup(A60,'TX Data'!$A$4:$D$259,3,FALSE)</f>
        <v>4</v>
      </c>
      <c r="F60" s="612">
        <f>vlookup(A60,'TX Data'!$A$4:$D$259,4,FALSE)</f>
        <v>4</v>
      </c>
      <c r="G60" s="612" t="s">
        <v>63</v>
      </c>
      <c r="H60" s="671">
        <f>vlookup(A60,'TX Data'!$I$2699:$J$2952,2,FALSE)</f>
        <v>2</v>
      </c>
      <c r="I60" s="614">
        <f>ifna(vlookup(A60,'TX Data'!$A$2319:$B$2521,2,FALSE),"NULL")</f>
        <v>0</v>
      </c>
      <c r="J60" s="615" t="s">
        <v>63</v>
      </c>
      <c r="K60" s="672" t="s">
        <v>63</v>
      </c>
      <c r="L60" s="671">
        <f>ifna(vlookup(A60,'TX Data'!$A$1498:$B$1702,2,FALSE),"NULL")</f>
        <v>18</v>
      </c>
      <c r="M60" s="614" t="s">
        <v>63</v>
      </c>
      <c r="N60" s="612" t="s">
        <v>63</v>
      </c>
      <c r="O60" s="612" t="s">
        <v>63</v>
      </c>
      <c r="P60" s="620">
        <f>ifna(vlookup(A60,'Population &amp; Church Numbers'!$A$2526:$D$2779,4,FALSE),"NULL")</f>
        <v>25</v>
      </c>
      <c r="Q60" s="674" t="s">
        <v>63</v>
      </c>
    </row>
    <row r="61">
      <c r="A61" s="609" t="s">
        <v>2052</v>
      </c>
      <c r="B61" s="610">
        <f t="array" ref="B61">VLOOKUP($A61,TX_DEMO,2,FALSE)</f>
        <v>18583</v>
      </c>
      <c r="C61" s="704">
        <f>vlookup(A61,'TX Data'!$A$4:$B$259,2,FALSE)</f>
        <v>8</v>
      </c>
      <c r="D61" s="612" t="s">
        <v>63</v>
      </c>
      <c r="E61" s="612">
        <f>vlookup(A61,'TX Data'!$A$4:$D$259,3,FALSE)</f>
        <v>2</v>
      </c>
      <c r="F61" s="612">
        <f>vlookup(A61,'TX Data'!$A$4:$D$259,4,FALSE)</f>
        <v>4</v>
      </c>
      <c r="G61" s="612" t="s">
        <v>63</v>
      </c>
      <c r="H61" s="671">
        <f>vlookup(A61,'TX Data'!$I$2699:$J$2952,2,FALSE)</f>
        <v>2</v>
      </c>
      <c r="I61" s="614">
        <f>ifna(vlookup(A61,'TX Data'!$A$2319:$B$2521,2,FALSE),"NULL")</f>
        <v>2</v>
      </c>
      <c r="J61" s="615" t="s">
        <v>63</v>
      </c>
      <c r="K61" s="672" t="s">
        <v>63</v>
      </c>
      <c r="L61" s="671">
        <f>ifna(vlookup(A61,'TX Data'!$A$1498:$B$1702,2,FALSE),"NULL")</f>
        <v>64</v>
      </c>
      <c r="M61" s="614" t="s">
        <v>63</v>
      </c>
      <c r="N61" s="612" t="s">
        <v>63</v>
      </c>
      <c r="O61" s="612" t="s">
        <v>63</v>
      </c>
      <c r="P61" s="620">
        <f>ifna(vlookup(A61,'Population &amp; Church Numbers'!$A$2526:$D$2779,4,FALSE),"NULL")</f>
        <v>19</v>
      </c>
      <c r="Q61" s="674" t="s">
        <v>63</v>
      </c>
    </row>
    <row r="62">
      <c r="A62" s="609" t="s">
        <v>407</v>
      </c>
      <c r="B62" s="610">
        <f t="array" ref="B62">VLOOKUP($A62,TX_DEMO,2,FALSE)</f>
        <v>5230</v>
      </c>
      <c r="C62" s="704">
        <f>vlookup(A62,'TX Data'!$A$4:$B$259,2,FALSE)</f>
        <v>2</v>
      </c>
      <c r="D62" s="612" t="s">
        <v>63</v>
      </c>
      <c r="E62" s="612">
        <f>vlookup(A62,'TX Data'!$A$4:$D$259,3,FALSE)</f>
        <v>1</v>
      </c>
      <c r="F62" s="612">
        <f>vlookup(A62,'TX Data'!$A$4:$D$259,4,FALSE)</f>
        <v>0</v>
      </c>
      <c r="G62" s="612" t="s">
        <v>63</v>
      </c>
      <c r="H62" s="671">
        <f>vlookup(A62,'TX Data'!$I$2699:$J$2952,2,FALSE)</f>
        <v>4</v>
      </c>
      <c r="I62" s="614" t="str">
        <f>ifna(vlookup(A62,'TX Data'!$A$2319:$B$2521,2,FALSE),"NULL")</f>
        <v>NULL</v>
      </c>
      <c r="J62" s="615" t="s">
        <v>63</v>
      </c>
      <c r="K62" s="672" t="s">
        <v>63</v>
      </c>
      <c r="L62" s="671" t="str">
        <f>ifna(vlookup(A62,'TX Data'!$A$1498:$B$1702,2,FALSE),"NULL")</f>
        <v>NULL</v>
      </c>
      <c r="M62" s="614" t="s">
        <v>63</v>
      </c>
      <c r="N62" s="612" t="s">
        <v>63</v>
      </c>
      <c r="O62" s="612" t="s">
        <v>63</v>
      </c>
      <c r="P62" s="620">
        <f>ifna(vlookup(A62,'Population &amp; Church Numbers'!$A$2526:$D$2779,4,FALSE),"NULL")</f>
        <v>11</v>
      </c>
      <c r="Q62" s="674" t="s">
        <v>63</v>
      </c>
    </row>
    <row r="63">
      <c r="A63" s="609" t="s">
        <v>485</v>
      </c>
      <c r="B63" s="610">
        <f t="array" ref="B63">VLOOKUP($A63,TX_DEMO,2,FALSE)</f>
        <v>906422</v>
      </c>
      <c r="C63" s="704">
        <f>vlookup(A63,'TX Data'!$A$4:$B$259,2,FALSE)</f>
        <v>292</v>
      </c>
      <c r="D63" s="612" t="s">
        <v>63</v>
      </c>
      <c r="E63" s="612">
        <f>vlookup(A63,'TX Data'!$A$4:$D$259,3,FALSE)</f>
        <v>134</v>
      </c>
      <c r="F63" s="612">
        <f>vlookup(A63,'TX Data'!$A$4:$D$259,4,FALSE)</f>
        <v>106</v>
      </c>
      <c r="G63" s="612" t="s">
        <v>63</v>
      </c>
      <c r="H63" s="671">
        <f>vlookup(A63,'TX Data'!$I$2699:$J$2952,2,FALSE)</f>
        <v>209</v>
      </c>
      <c r="I63" s="614">
        <f>ifna(vlookup(A63,'TX Data'!$A$2319:$B$2521,2,FALSE),"NULL")</f>
        <v>79</v>
      </c>
      <c r="J63" s="615" t="s">
        <v>63</v>
      </c>
      <c r="K63" s="672" t="s">
        <v>63</v>
      </c>
      <c r="L63" s="671">
        <f>ifna(vlookup(A63,'TX Data'!$A$1498:$B$1702,2,FALSE),"NULL")</f>
        <v>932</v>
      </c>
      <c r="M63" s="614" t="s">
        <v>63</v>
      </c>
      <c r="N63" s="612" t="s">
        <v>63</v>
      </c>
      <c r="O63" s="612" t="s">
        <v>63</v>
      </c>
      <c r="P63" s="620">
        <f>ifna(vlookup(A63,'Population &amp; Church Numbers'!$A$2526:$D$2779,4,FALSE),"NULL")</f>
        <v>306</v>
      </c>
      <c r="Q63" s="674" t="s">
        <v>63</v>
      </c>
    </row>
    <row r="64">
      <c r="A64" s="609" t="s">
        <v>2531</v>
      </c>
      <c r="B64" s="610">
        <f t="array" ref="B64">VLOOKUP($A64,TX_DEMO,2,FALSE)</f>
        <v>19824</v>
      </c>
      <c r="C64" s="704">
        <f>vlookup(A64,'TX Data'!$A$4:$B$259,2,FALSE)</f>
        <v>23</v>
      </c>
      <c r="D64" s="612" t="s">
        <v>63</v>
      </c>
      <c r="E64" s="612">
        <f>vlookup(A64,'TX Data'!$A$4:$D$259,3,FALSE)</f>
        <v>5</v>
      </c>
      <c r="F64" s="612">
        <f>vlookup(A64,'TX Data'!$A$4:$D$259,4,FALSE)</f>
        <v>8</v>
      </c>
      <c r="G64" s="612" t="s">
        <v>63</v>
      </c>
      <c r="H64" s="671" t="str">
        <f>vlookup(A64,'TX Data'!$I$2699:$J$2952,2,FALSE)</f>
        <v>NULL</v>
      </c>
      <c r="I64" s="614">
        <f>ifna(vlookup(A64,'TX Data'!$A$2319:$B$2521,2,FALSE),"NULL")</f>
        <v>8</v>
      </c>
      <c r="J64" s="615" t="s">
        <v>63</v>
      </c>
      <c r="K64" s="672" t="s">
        <v>63</v>
      </c>
      <c r="L64" s="671">
        <f>ifna(vlookup(A64,'TX Data'!$A$1498:$B$1702,2,FALSE),"NULL")</f>
        <v>39</v>
      </c>
      <c r="M64" s="614" t="s">
        <v>63</v>
      </c>
      <c r="N64" s="612" t="s">
        <v>63</v>
      </c>
      <c r="O64" s="612" t="s">
        <v>63</v>
      </c>
      <c r="P64" s="620">
        <f>ifna(vlookup(A64,'Population &amp; Church Numbers'!$A$2526:$D$2779,4,FALSE),"NULL")</f>
        <v>24</v>
      </c>
      <c r="Q64" s="674" t="s">
        <v>63</v>
      </c>
    </row>
    <row r="65">
      <c r="A65" s="609" t="s">
        <v>2056</v>
      </c>
      <c r="B65" s="610">
        <f t="array" ref="B65">VLOOKUP($A65,TX_DEMO,2,FALSE)</f>
        <v>1770</v>
      </c>
      <c r="C65" s="704">
        <f>vlookup(A65,'TX Data'!$A$4:$B$259,2,FALSE)</f>
        <v>0</v>
      </c>
      <c r="D65" s="612" t="s">
        <v>63</v>
      </c>
      <c r="E65" s="612">
        <f>vlookup(A65,'TX Data'!$A$4:$D$259,3,FALSE)</f>
        <v>0</v>
      </c>
      <c r="F65" s="612">
        <f>vlookup(A65,'TX Data'!$A$4:$D$259,4,FALSE)</f>
        <v>0</v>
      </c>
      <c r="G65" s="612" t="s">
        <v>63</v>
      </c>
      <c r="H65" s="671">
        <f>vlookup(A65,'TX Data'!$I$2699:$J$2952,2,FALSE)</f>
        <v>1</v>
      </c>
      <c r="I65" s="614" t="str">
        <f>ifna(vlookup(A65,'TX Data'!$A$2319:$B$2521,2,FALSE),"NULL")</f>
        <v>NULL</v>
      </c>
      <c r="J65" s="615" t="s">
        <v>63</v>
      </c>
      <c r="K65" s="672" t="s">
        <v>63</v>
      </c>
      <c r="L65" s="671" t="str">
        <f>ifna(vlookup(A65,'TX Data'!$A$1498:$B$1702,2,FALSE),"NULL")</f>
        <v>NULL</v>
      </c>
      <c r="M65" s="614" t="s">
        <v>63</v>
      </c>
      <c r="N65" s="612" t="s">
        <v>63</v>
      </c>
      <c r="O65" s="612" t="s">
        <v>63</v>
      </c>
      <c r="P65" s="620">
        <f>ifna(vlookup(A65,'Population &amp; Church Numbers'!$A$2526:$D$2779,4,FALSE),"NULL")</f>
        <v>5</v>
      </c>
      <c r="Q65" s="674" t="s">
        <v>63</v>
      </c>
    </row>
    <row r="66">
      <c r="A66" s="609" t="s">
        <v>2057</v>
      </c>
      <c r="B66" s="610">
        <f t="array" ref="B66">VLOOKUP($A66,TX_DEMO,2,FALSE)</f>
        <v>8615</v>
      </c>
      <c r="C66" s="704">
        <f>vlookup(A66,'TX Data'!$A$4:$B$259,2,FALSE)</f>
        <v>20</v>
      </c>
      <c r="D66" s="612" t="s">
        <v>63</v>
      </c>
      <c r="E66" s="612">
        <f>vlookup(A66,'TX Data'!$A$4:$D$259,3,FALSE)</f>
        <v>1</v>
      </c>
      <c r="F66" s="612">
        <f>vlookup(A66,'TX Data'!$A$4:$D$259,4,FALSE)</f>
        <v>15</v>
      </c>
      <c r="G66" s="612" t="s">
        <v>63</v>
      </c>
      <c r="H66" s="671">
        <f>vlookup(A66,'TX Data'!$I$2699:$J$2952,2,FALSE)</f>
        <v>1</v>
      </c>
      <c r="I66" s="614">
        <f>ifna(vlookup(A66,'TX Data'!$A$2319:$B$2521,2,FALSE),"NULL")</f>
        <v>0</v>
      </c>
      <c r="J66" s="615" t="s">
        <v>63</v>
      </c>
      <c r="K66" s="672" t="s">
        <v>63</v>
      </c>
      <c r="L66" s="671">
        <f>ifna(vlookup(A66,'TX Data'!$A$1498:$B$1702,2,FALSE),"NULL")</f>
        <v>43</v>
      </c>
      <c r="M66" s="614" t="s">
        <v>63</v>
      </c>
      <c r="N66" s="612" t="s">
        <v>63</v>
      </c>
      <c r="O66" s="612" t="s">
        <v>63</v>
      </c>
      <c r="P66" s="620">
        <f>ifna(vlookup(A66,'Population &amp; Church Numbers'!$A$2526:$D$2779,4,FALSE),"NULL")</f>
        <v>7</v>
      </c>
      <c r="Q66" s="674" t="s">
        <v>63</v>
      </c>
    </row>
    <row r="67">
      <c r="A67" s="609" t="s">
        <v>2059</v>
      </c>
      <c r="B67" s="610">
        <f t="array" ref="B67">VLOOKUP($A67,TX_DEMO,2,FALSE)</f>
        <v>3258</v>
      </c>
      <c r="C67" s="704">
        <f>vlookup(A67,'TX Data'!$A$4:$B$259,2,FALSE)</f>
        <v>0</v>
      </c>
      <c r="D67" s="612" t="s">
        <v>63</v>
      </c>
      <c r="E67" s="612">
        <f>vlookup(A67,'TX Data'!$A$4:$D$259,3,FALSE)</f>
        <v>0</v>
      </c>
      <c r="F67" s="612">
        <f>vlookup(A67,'TX Data'!$A$4:$D$259,4,FALSE)</f>
        <v>0</v>
      </c>
      <c r="G67" s="612" t="s">
        <v>63</v>
      </c>
      <c r="H67" s="671">
        <f>vlookup(A67,'TX Data'!$I$2699:$J$2952,2,FALSE)</f>
        <v>2</v>
      </c>
      <c r="I67" s="614">
        <f>ifna(vlookup(A67,'TX Data'!$A$2319:$B$2521,2,FALSE),"NULL")</f>
        <v>0</v>
      </c>
      <c r="J67" s="615" t="s">
        <v>63</v>
      </c>
      <c r="K67" s="672" t="s">
        <v>63</v>
      </c>
      <c r="L67" s="671">
        <f>ifna(vlookup(A67,'TX Data'!$A$1498:$B$1702,2,FALSE),"NULL")</f>
        <v>17</v>
      </c>
      <c r="M67" s="614" t="s">
        <v>63</v>
      </c>
      <c r="N67" s="612" t="s">
        <v>63</v>
      </c>
      <c r="O67" s="612" t="s">
        <v>63</v>
      </c>
      <c r="P67" s="620">
        <f>ifna(vlookup(A67,'Population &amp; Church Numbers'!$A$2526:$D$2779,4,FALSE),"NULL")</f>
        <v>9</v>
      </c>
      <c r="Q67" s="674" t="s">
        <v>63</v>
      </c>
    </row>
    <row r="68">
      <c r="A68" s="609" t="s">
        <v>433</v>
      </c>
      <c r="B68" s="610">
        <f t="array" ref="B68">VLOOKUP($A68,TX_DEMO,2,FALSE)</f>
        <v>9831</v>
      </c>
      <c r="C68" s="704">
        <f>vlookup(A68,'TX Data'!$A$4:$B$259,2,FALSE)</f>
        <v>39</v>
      </c>
      <c r="D68" s="612" t="s">
        <v>63</v>
      </c>
      <c r="E68" s="612">
        <f>vlookup(A68,'TX Data'!$A$4:$D$259,3,FALSE)</f>
        <v>17</v>
      </c>
      <c r="F68" s="612">
        <f>vlookup(A68,'TX Data'!$A$4:$D$259,4,FALSE)</f>
        <v>16</v>
      </c>
      <c r="G68" s="612" t="s">
        <v>63</v>
      </c>
      <c r="H68" s="671">
        <f>vlookup(A68,'TX Data'!$I$2699:$J$2952,2,FALSE)</f>
        <v>1</v>
      </c>
      <c r="I68" s="614">
        <f>ifna(vlookup(A68,'TX Data'!$A$2319:$B$2521,2,FALSE),"NULL")</f>
        <v>14</v>
      </c>
      <c r="J68" s="615" t="s">
        <v>63</v>
      </c>
      <c r="K68" s="672" t="s">
        <v>63</v>
      </c>
      <c r="L68" s="671">
        <f>ifna(vlookup(A68,'TX Data'!$A$1498:$B$1702,2,FALSE),"NULL")</f>
        <v>68</v>
      </c>
      <c r="M68" s="614" t="s">
        <v>63</v>
      </c>
      <c r="N68" s="612" t="s">
        <v>63</v>
      </c>
      <c r="O68" s="612" t="s">
        <v>63</v>
      </c>
      <c r="P68" s="620">
        <f>ifna(vlookup(A68,'Population &amp; Church Numbers'!$A$2526:$D$2779,4,FALSE),"NULL")</f>
        <v>6</v>
      </c>
      <c r="Q68" s="674" t="s">
        <v>63</v>
      </c>
    </row>
    <row r="69">
      <c r="A69" s="609" t="s">
        <v>2061</v>
      </c>
      <c r="B69" s="610">
        <f t="array" ref="B69">VLOOKUP($A69,TX_DEMO,2,FALSE)</f>
        <v>17725</v>
      </c>
      <c r="C69" s="704">
        <f>vlookup(A69,'TX Data'!$A$4:$B$259,2,FALSE)</f>
        <v>31</v>
      </c>
      <c r="D69" s="612" t="s">
        <v>63</v>
      </c>
      <c r="E69" s="612">
        <f>vlookup(A69,'TX Data'!$A$4:$D$259,3,FALSE)</f>
        <v>18</v>
      </c>
      <c r="F69" s="612">
        <f>vlookup(A69,'TX Data'!$A$4:$D$259,4,FALSE)</f>
        <v>7</v>
      </c>
      <c r="G69" s="612" t="s">
        <v>63</v>
      </c>
      <c r="H69" s="671">
        <f>vlookup(A69,'TX Data'!$I$2699:$J$2952,2,FALSE)</f>
        <v>5</v>
      </c>
      <c r="I69" s="614">
        <f>ifna(vlookup(A69,'TX Data'!$A$2319:$B$2521,2,FALSE),"NULL")</f>
        <v>8</v>
      </c>
      <c r="J69" s="615" t="s">
        <v>63</v>
      </c>
      <c r="K69" s="672" t="s">
        <v>63</v>
      </c>
      <c r="L69" s="671">
        <f>ifna(vlookup(A69,'TX Data'!$A$1498:$B$1702,2,FALSE),"NULL")</f>
        <v>68</v>
      </c>
      <c r="M69" s="614" t="s">
        <v>63</v>
      </c>
      <c r="N69" s="612" t="s">
        <v>63</v>
      </c>
      <c r="O69" s="612" t="s">
        <v>63</v>
      </c>
      <c r="P69" s="620">
        <f>ifna(vlookup(A69,'Population &amp; Church Numbers'!$A$2526:$D$2779,4,FALSE),"NULL")</f>
        <v>29</v>
      </c>
      <c r="Q69" s="674" t="s">
        <v>63</v>
      </c>
    </row>
    <row r="70">
      <c r="A70" s="609" t="s">
        <v>2062</v>
      </c>
      <c r="B70" s="610">
        <f t="array" ref="B70">VLOOKUP($A70,TX_DEMO,2,FALSE)</f>
        <v>165171</v>
      </c>
      <c r="C70" s="704">
        <f>vlookup(A70,'TX Data'!$A$4:$B$259,2,FALSE)</f>
        <v>186</v>
      </c>
      <c r="D70" s="612" t="s">
        <v>63</v>
      </c>
      <c r="E70" s="612">
        <f>vlookup(A70,'TX Data'!$A$4:$D$259,3,FALSE)</f>
        <v>63</v>
      </c>
      <c r="F70" s="612">
        <f>vlookup(A70,'TX Data'!$A$4:$D$259,4,FALSE)</f>
        <v>87</v>
      </c>
      <c r="G70" s="612" t="s">
        <v>63</v>
      </c>
      <c r="H70" s="671">
        <f>vlookup(A70,'TX Data'!$I$2699:$J$2952,2,FALSE)</f>
        <v>22</v>
      </c>
      <c r="I70" s="614">
        <f>ifna(vlookup(A70,'TX Data'!$A$2319:$B$2521,2,FALSE),"NULL")</f>
        <v>72</v>
      </c>
      <c r="J70" s="615" t="s">
        <v>63</v>
      </c>
      <c r="K70" s="672" t="s">
        <v>63</v>
      </c>
      <c r="L70" s="671">
        <f>ifna(vlookup(A70,'TX Data'!$A$1498:$B$1702,2,FALSE),"NULL")</f>
        <v>480</v>
      </c>
      <c r="M70" s="614" t="s">
        <v>63</v>
      </c>
      <c r="N70" s="612" t="s">
        <v>63</v>
      </c>
      <c r="O70" s="612" t="s">
        <v>63</v>
      </c>
      <c r="P70" s="620">
        <f>ifna(vlookup(A70,'Population &amp; Church Numbers'!$A$2526:$D$2779,4,FALSE),"NULL")</f>
        <v>89</v>
      </c>
      <c r="Q70" s="674" t="s">
        <v>63</v>
      </c>
    </row>
    <row r="71">
      <c r="A71" s="609" t="s">
        <v>717</v>
      </c>
      <c r="B71" s="610">
        <f t="array" ref="B71">VLOOKUP($A71,TX_DEMO,2,FALSE)</f>
        <v>1422</v>
      </c>
      <c r="C71" s="704" t="str">
        <f>vlookup(A71,'TX Data'!$A$4:$B$259,2,FALSE)</f>
        <v>NULL</v>
      </c>
      <c r="D71" s="612" t="s">
        <v>63</v>
      </c>
      <c r="E71" s="612">
        <f>vlookup(A71,'TX Data'!$A$4:$D$259,3,FALSE)</f>
        <v>0</v>
      </c>
      <c r="F71" s="612">
        <f>vlookup(A71,'TX Data'!$A$4:$D$259,4,FALSE)</f>
        <v>0</v>
      </c>
      <c r="G71" s="612" t="s">
        <v>63</v>
      </c>
      <c r="H71" s="671" t="str">
        <f>vlookup(A71,'TX Data'!$I$2699:$J$2952,2,FALSE)</f>
        <v>NULL</v>
      </c>
      <c r="I71" s="614" t="str">
        <f>ifna(vlookup(A71,'TX Data'!$A$2319:$B$2521,2,FALSE),"NULL")</f>
        <v>NULL</v>
      </c>
      <c r="J71" s="615" t="s">
        <v>63</v>
      </c>
      <c r="K71" s="672" t="s">
        <v>63</v>
      </c>
      <c r="L71" s="671">
        <f>ifna(vlookup(A71,'TX Data'!$A$1498:$B$1702,2,FALSE),"NULL")</f>
        <v>9</v>
      </c>
      <c r="M71" s="614" t="s">
        <v>63</v>
      </c>
      <c r="N71" s="612" t="s">
        <v>63</v>
      </c>
      <c r="O71" s="612" t="s">
        <v>63</v>
      </c>
      <c r="P71" s="620">
        <f>ifna(vlookup(A71,'Population &amp; Church Numbers'!$A$2526:$D$2779,4,FALSE),"NULL")</f>
        <v>7</v>
      </c>
      <c r="Q71" s="674" t="s">
        <v>63</v>
      </c>
    </row>
    <row r="72">
      <c r="A72" s="609" t="s">
        <v>969</v>
      </c>
      <c r="B72" s="610">
        <f t="array" ref="B72">VLOOKUP($A72,TX_DEMO,2,FALSE)</f>
        <v>192455</v>
      </c>
      <c r="C72" s="704">
        <f>vlookup(A72,'TX Data'!$A$4:$B$259,2,FALSE)</f>
        <v>45</v>
      </c>
      <c r="D72" s="612" t="s">
        <v>63</v>
      </c>
      <c r="E72" s="612">
        <f>vlookup(A72,'TX Data'!$A$4:$D$259,3,FALSE)</f>
        <v>26</v>
      </c>
      <c r="F72" s="612">
        <f>vlookup(A72,'TX Data'!$A$4:$D$259,4,FALSE)</f>
        <v>14</v>
      </c>
      <c r="G72" s="612" t="s">
        <v>63</v>
      </c>
      <c r="H72" s="671">
        <f>vlookup(A72,'TX Data'!$I$2699:$J$2952,2,FALSE)</f>
        <v>120</v>
      </c>
      <c r="I72" s="614">
        <f>ifna(vlookup(A72,'TX Data'!$A$2319:$B$2521,2,FALSE),"NULL")</f>
        <v>14</v>
      </c>
      <c r="J72" s="615" t="s">
        <v>63</v>
      </c>
      <c r="K72" s="672" t="s">
        <v>63</v>
      </c>
      <c r="L72" s="671">
        <f>ifna(vlookup(A72,'TX Data'!$A$1498:$B$1702,2,FALSE),"NULL")</f>
        <v>295</v>
      </c>
      <c r="M72" s="614" t="s">
        <v>63</v>
      </c>
      <c r="N72" s="612" t="s">
        <v>63</v>
      </c>
      <c r="O72" s="612" t="s">
        <v>63</v>
      </c>
      <c r="P72" s="620">
        <f>ifna(vlookup(A72,'Population &amp; Church Numbers'!$A$2526:$D$2779,4,FALSE),"NULL")</f>
        <v>133</v>
      </c>
      <c r="Q72" s="674" t="s">
        <v>63</v>
      </c>
    </row>
    <row r="73">
      <c r="A73" s="609" t="s">
        <v>415</v>
      </c>
      <c r="B73" s="610">
        <f t="array" ref="B73">VLOOKUP($A73,TX_DEMO,2,FALSE)</f>
        <v>865657</v>
      </c>
      <c r="C73" s="704">
        <f>vlookup(A73,'TX Data'!$A$4:$B$259,2,FALSE)</f>
        <v>276</v>
      </c>
      <c r="D73" s="612" t="s">
        <v>63</v>
      </c>
      <c r="E73" s="612">
        <f>vlookup(A73,'TX Data'!$A$4:$D$259,3,FALSE)</f>
        <v>124</v>
      </c>
      <c r="F73" s="612">
        <f>vlookup(A73,'TX Data'!$A$4:$D$259,4,FALSE)</f>
        <v>93</v>
      </c>
      <c r="G73" s="612" t="s">
        <v>63</v>
      </c>
      <c r="H73" s="671">
        <f>vlookup(A73,'TX Data'!$I$2699:$J$2952,2,FALSE)</f>
        <v>96</v>
      </c>
      <c r="I73" s="614">
        <f>ifna(vlookup(A73,'TX Data'!$A$2319:$B$2521,2,FALSE),"NULL")</f>
        <v>108</v>
      </c>
      <c r="J73" s="615" t="s">
        <v>63</v>
      </c>
      <c r="K73" s="672" t="s">
        <v>63</v>
      </c>
      <c r="L73" s="671">
        <f>ifna(vlookup(A73,'TX Data'!$A$1498:$B$1702,2,FALSE),"NULL")</f>
        <v>2490</v>
      </c>
      <c r="M73" s="614" t="s">
        <v>63</v>
      </c>
      <c r="N73" s="612" t="s">
        <v>63</v>
      </c>
      <c r="O73" s="612" t="s">
        <v>63</v>
      </c>
      <c r="P73" s="620">
        <f>ifna(vlookup(A73,'Population &amp; Church Numbers'!$A$2526:$D$2779,4,FALSE),"NULL")</f>
        <v>231</v>
      </c>
      <c r="Q73" s="674" t="s">
        <v>63</v>
      </c>
    </row>
    <row r="74">
      <c r="A74" s="609" t="s">
        <v>2064</v>
      </c>
      <c r="B74" s="610">
        <f t="array" ref="B74">VLOOKUP($A74,TX_DEMO,2,FALSE)</f>
        <v>42545</v>
      </c>
      <c r="C74" s="704">
        <f>vlookup(A74,'TX Data'!$A$4:$B$259,2,FALSE)</f>
        <v>11</v>
      </c>
      <c r="D74" s="612" t="s">
        <v>63</v>
      </c>
      <c r="E74" s="612">
        <f>vlookup(A74,'TX Data'!$A$4:$D$259,3,FALSE)</f>
        <v>3</v>
      </c>
      <c r="F74" s="612">
        <f>vlookup(A74,'TX Data'!$A$4:$D$259,4,FALSE)</f>
        <v>4</v>
      </c>
      <c r="G74" s="612" t="s">
        <v>63</v>
      </c>
      <c r="H74" s="671">
        <f>vlookup(A74,'TX Data'!$I$2699:$J$2952,2,FALSE)</f>
        <v>9</v>
      </c>
      <c r="I74" s="614">
        <f>ifna(vlookup(A74,'TX Data'!$A$2319:$B$2521,2,FALSE),"NULL")</f>
        <v>8</v>
      </c>
      <c r="J74" s="615" t="s">
        <v>63</v>
      </c>
      <c r="K74" s="672" t="s">
        <v>63</v>
      </c>
      <c r="L74" s="671">
        <f>ifna(vlookup(A74,'TX Data'!$A$1498:$B$1702,2,FALSE),"NULL")</f>
        <v>78</v>
      </c>
      <c r="M74" s="614" t="s">
        <v>63</v>
      </c>
      <c r="N74" s="612" t="s">
        <v>63</v>
      </c>
      <c r="O74" s="612" t="s">
        <v>63</v>
      </c>
      <c r="P74" s="620">
        <f>ifna(vlookup(A74,'Population &amp; Church Numbers'!$A$2526:$D$2779,4,FALSE),"NULL")</f>
        <v>50</v>
      </c>
      <c r="Q74" s="674" t="s">
        <v>63</v>
      </c>
    </row>
    <row r="75">
      <c r="A75" s="609" t="s">
        <v>2065</v>
      </c>
      <c r="B75" s="610">
        <f t="array" ref="B75">VLOOKUP($A75,TX_DEMO,2,FALSE)</f>
        <v>16968</v>
      </c>
      <c r="C75" s="704">
        <f>vlookup(A75,'TX Data'!$A$4:$B$259,2,FALSE)</f>
        <v>22</v>
      </c>
      <c r="D75" s="612" t="s">
        <v>63</v>
      </c>
      <c r="E75" s="612">
        <f>vlookup(A75,'TX Data'!$A$4:$D$259,3,FALSE)</f>
        <v>4</v>
      </c>
      <c r="F75" s="612">
        <f>vlookup(A75,'TX Data'!$A$4:$D$259,4,FALSE)</f>
        <v>12</v>
      </c>
      <c r="G75" s="612" t="s">
        <v>63</v>
      </c>
      <c r="H75" s="671">
        <f>vlookup(A75,'TX Data'!$I$2699:$J$2952,2,FALSE)</f>
        <v>6</v>
      </c>
      <c r="I75" s="614">
        <f>ifna(vlookup(A75,'TX Data'!$A$2319:$B$2521,2,FALSE),"NULL")</f>
        <v>9</v>
      </c>
      <c r="J75" s="615" t="s">
        <v>63</v>
      </c>
      <c r="K75" s="672" t="s">
        <v>63</v>
      </c>
      <c r="L75" s="671">
        <f>ifna(vlookup(A75,'TX Data'!$A$1498:$B$1702,2,FALSE),"NULL")</f>
        <v>11</v>
      </c>
      <c r="M75" s="614" t="s">
        <v>63</v>
      </c>
      <c r="N75" s="612" t="s">
        <v>63</v>
      </c>
      <c r="O75" s="612" t="s">
        <v>63</v>
      </c>
      <c r="P75" s="620">
        <f>ifna(vlookup(A75,'Population &amp; Church Numbers'!$A$2526:$D$2779,4,FALSE),"NULL")</f>
        <v>26</v>
      </c>
      <c r="Q75" s="674" t="s">
        <v>63</v>
      </c>
    </row>
    <row r="76">
      <c r="A76" s="609" t="s">
        <v>574</v>
      </c>
      <c r="B76" s="610">
        <f t="array" ref="B76">VLOOKUP($A76,TX_DEMO,2,FALSE)</f>
        <v>35662</v>
      </c>
      <c r="C76" s="704">
        <f>vlookup(A76,'TX Data'!$A$4:$B$259,2,FALSE)</f>
        <v>22</v>
      </c>
      <c r="D76" s="612" t="s">
        <v>63</v>
      </c>
      <c r="E76" s="612">
        <f>vlookup(A76,'TX Data'!$A$4:$D$259,3,FALSE)</f>
        <v>10</v>
      </c>
      <c r="F76" s="612">
        <f>vlookup(A76,'TX Data'!$A$4:$D$259,4,FALSE)</f>
        <v>7</v>
      </c>
      <c r="G76" s="612" t="s">
        <v>63</v>
      </c>
      <c r="H76" s="671">
        <f>vlookup(A76,'TX Data'!$I$2699:$J$2952,2,FALSE)</f>
        <v>13</v>
      </c>
      <c r="I76" s="614">
        <f>ifna(vlookup(A76,'TX Data'!$A$2319:$B$2521,2,FALSE),"NULL")</f>
        <v>9</v>
      </c>
      <c r="J76" s="615" t="s">
        <v>63</v>
      </c>
      <c r="K76" s="672" t="s">
        <v>63</v>
      </c>
      <c r="L76" s="671">
        <f>ifna(vlookup(A76,'TX Data'!$A$1498:$B$1702,2,FALSE),"NULL")</f>
        <v>17</v>
      </c>
      <c r="M76" s="614" t="s">
        <v>63</v>
      </c>
      <c r="N76" s="612" t="s">
        <v>63</v>
      </c>
      <c r="O76" s="612" t="s">
        <v>63</v>
      </c>
      <c r="P76" s="620">
        <f>ifna(vlookup(A76,'Population &amp; Church Numbers'!$A$2526:$D$2779,4,FALSE),"NULL")</f>
        <v>53</v>
      </c>
      <c r="Q76" s="674" t="s">
        <v>63</v>
      </c>
    </row>
    <row r="77">
      <c r="A77" s="609" t="s">
        <v>135</v>
      </c>
      <c r="B77" s="610">
        <f t="array" ref="B77">VLOOKUP($A77,TX_DEMO,2,FALSE)</f>
        <v>24435</v>
      </c>
      <c r="C77" s="704">
        <f>vlookup(A77,'TX Data'!$A$4:$B$259,2,FALSE)</f>
        <v>5</v>
      </c>
      <c r="D77" s="612" t="s">
        <v>63</v>
      </c>
      <c r="E77" s="612">
        <f>vlookup(A77,'TX Data'!$A$4:$D$259,3,FALSE)</f>
        <v>2</v>
      </c>
      <c r="F77" s="612">
        <f>vlookup(A77,'TX Data'!$A$4:$D$259,4,FALSE)</f>
        <v>2</v>
      </c>
      <c r="G77" s="612" t="s">
        <v>63</v>
      </c>
      <c r="H77" s="671">
        <f>vlookup(A77,'TX Data'!$I$2699:$J$2952,2,FALSE)</f>
        <v>5</v>
      </c>
      <c r="I77" s="614">
        <f>ifna(vlookup(A77,'TX Data'!$A$2319:$B$2521,2,FALSE),"NULL")</f>
        <v>3</v>
      </c>
      <c r="J77" s="615" t="s">
        <v>63</v>
      </c>
      <c r="K77" s="672" t="s">
        <v>63</v>
      </c>
      <c r="L77" s="671">
        <f>ifna(vlookup(A77,'TX Data'!$A$1498:$B$1702,2,FALSE),"NULL")</f>
        <v>23</v>
      </c>
      <c r="M77" s="614" t="s">
        <v>63</v>
      </c>
      <c r="N77" s="612" t="s">
        <v>63</v>
      </c>
      <c r="O77" s="612" t="s">
        <v>63</v>
      </c>
      <c r="P77" s="620">
        <f>ifna(vlookup(A77,'Population &amp; Church Numbers'!$A$2526:$D$2779,4,FALSE),"NULL")</f>
        <v>44</v>
      </c>
      <c r="Q77" s="674" t="s">
        <v>63</v>
      </c>
    </row>
    <row r="78">
      <c r="A78" s="609" t="s">
        <v>2066</v>
      </c>
      <c r="B78" s="610">
        <f t="array" ref="B78">VLOOKUP($A78,TX_DEMO,2,FALSE)</f>
        <v>3672</v>
      </c>
      <c r="C78" s="704">
        <f>vlookup(A78,'TX Data'!$A$4:$B$259,2,FALSE)</f>
        <v>3</v>
      </c>
      <c r="D78" s="612" t="s">
        <v>63</v>
      </c>
      <c r="E78" s="612">
        <f>vlookup(A78,'TX Data'!$A$4:$D$259,3,FALSE)</f>
        <v>0</v>
      </c>
      <c r="F78" s="612">
        <f>vlookup(A78,'TX Data'!$A$4:$D$259,4,FALSE)</f>
        <v>3</v>
      </c>
      <c r="G78" s="612" t="s">
        <v>63</v>
      </c>
      <c r="H78" s="671" t="str">
        <f>vlookup(A78,'TX Data'!$I$2699:$J$2952,2,FALSE)</f>
        <v>NULL</v>
      </c>
      <c r="I78" s="614" t="str">
        <f>ifna(vlookup(A78,'TX Data'!$A$2319:$B$2521,2,FALSE),"NULL")</f>
        <v>NULL</v>
      </c>
      <c r="J78" s="615" t="s">
        <v>63</v>
      </c>
      <c r="K78" s="672" t="s">
        <v>63</v>
      </c>
      <c r="L78" s="671" t="str">
        <f>ifna(vlookup(A78,'TX Data'!$A$1498:$B$1702,2,FALSE),"NULL")</f>
        <v>NULL</v>
      </c>
      <c r="M78" s="614" t="s">
        <v>63</v>
      </c>
      <c r="N78" s="612" t="s">
        <v>63</v>
      </c>
      <c r="O78" s="612" t="s">
        <v>63</v>
      </c>
      <c r="P78" s="620">
        <f>ifna(vlookup(A78,'Population &amp; Church Numbers'!$A$2526:$D$2779,4,FALSE),"NULL")</f>
        <v>8</v>
      </c>
      <c r="Q78" s="674" t="s">
        <v>63</v>
      </c>
    </row>
    <row r="79">
      <c r="A79" s="609" t="s">
        <v>575</v>
      </c>
      <c r="B79" s="610">
        <f t="array" ref="B79">VLOOKUP($A79,TX_DEMO,2,FALSE)</f>
        <v>5402</v>
      </c>
      <c r="C79" s="704">
        <f>vlookup(A79,'TX Data'!$A$4:$B$259,2,FALSE)</f>
        <v>0</v>
      </c>
      <c r="D79" s="612" t="s">
        <v>63</v>
      </c>
      <c r="E79" s="612">
        <f>vlookup(A79,'TX Data'!$A$4:$D$259,3,FALSE)</f>
        <v>0</v>
      </c>
      <c r="F79" s="612">
        <f>vlookup(A79,'TX Data'!$A$4:$D$259,4,FALSE)</f>
        <v>0</v>
      </c>
      <c r="G79" s="612" t="s">
        <v>63</v>
      </c>
      <c r="H79" s="671">
        <f>vlookup(A79,'TX Data'!$I$2699:$J$2952,2,FALSE)</f>
        <v>4</v>
      </c>
      <c r="I79" s="614" t="str">
        <f>ifna(vlookup(A79,'TX Data'!$A$2319:$B$2521,2,FALSE),"NULL")</f>
        <v>NULL</v>
      </c>
      <c r="J79" s="615" t="s">
        <v>63</v>
      </c>
      <c r="K79" s="672" t="s">
        <v>63</v>
      </c>
      <c r="L79" s="671">
        <f>ifna(vlookup(A79,'TX Data'!$A$1498:$B$1702,2,FALSE),"NULL")</f>
        <v>22</v>
      </c>
      <c r="M79" s="614" t="s">
        <v>63</v>
      </c>
      <c r="N79" s="612" t="s">
        <v>63</v>
      </c>
      <c r="O79" s="612" t="s">
        <v>63</v>
      </c>
      <c r="P79" s="620">
        <f>ifna(vlookup(A79,'Population &amp; Church Numbers'!$A$2526:$D$2779,4,FALSE),"NULL")</f>
        <v>15</v>
      </c>
      <c r="Q79" s="674" t="s">
        <v>63</v>
      </c>
    </row>
    <row r="80">
      <c r="A80" s="609" t="s">
        <v>2067</v>
      </c>
      <c r="B80" s="610">
        <f t="array" ref="B80">VLOOKUP($A80,TX_DEMO,2,FALSE)</f>
        <v>1095</v>
      </c>
      <c r="C80" s="704">
        <f>vlookup(A80,'TX Data'!$A$4:$B$259,2,FALSE)</f>
        <v>3</v>
      </c>
      <c r="D80" s="612" t="s">
        <v>63</v>
      </c>
      <c r="E80" s="612">
        <f>vlookup(A80,'TX Data'!$A$4:$D$259,3,FALSE)</f>
        <v>3</v>
      </c>
      <c r="F80" s="612">
        <f>vlookup(A80,'TX Data'!$A$4:$D$259,4,FALSE)</f>
        <v>0</v>
      </c>
      <c r="G80" s="612" t="s">
        <v>63</v>
      </c>
      <c r="H80" s="671" t="str">
        <f>vlookup(A80,'TX Data'!$I$2699:$J$2952,2,FALSE)</f>
        <v>NULL</v>
      </c>
      <c r="I80" s="614" t="str">
        <f>ifna(vlookup(A80,'TX Data'!$A$2319:$B$2521,2,FALSE),"NULL")</f>
        <v>NULL</v>
      </c>
      <c r="J80" s="615" t="s">
        <v>63</v>
      </c>
      <c r="K80" s="672" t="s">
        <v>63</v>
      </c>
      <c r="L80" s="671" t="str">
        <f>ifna(vlookup(A80,'TX Data'!$A$1498:$B$1702,2,FALSE),"NULL")</f>
        <v>NULL</v>
      </c>
      <c r="M80" s="614" t="s">
        <v>63</v>
      </c>
      <c r="N80" s="612" t="s">
        <v>63</v>
      </c>
      <c r="O80" s="612" t="s">
        <v>63</v>
      </c>
      <c r="P80" s="620">
        <f>ifna(vlookup(A80,'Population &amp; Church Numbers'!$A$2526:$D$2779,4,FALSE),"NULL")</f>
        <v>3</v>
      </c>
      <c r="Q80" s="674" t="s">
        <v>63</v>
      </c>
    </row>
    <row r="81">
      <c r="A81" s="609" t="s">
        <v>527</v>
      </c>
      <c r="B81" s="610">
        <f t="array" ref="B81">VLOOKUP($A81,TX_DEMO,2,FALSE)</f>
        <v>822779</v>
      </c>
      <c r="C81" s="704">
        <f>vlookup(A81,'TX Data'!$A$4:$B$259,2,FALSE)</f>
        <v>104</v>
      </c>
      <c r="D81" s="612" t="s">
        <v>63</v>
      </c>
      <c r="E81" s="612">
        <f>vlookup(A81,'TX Data'!$A$4:$D$259,3,FALSE)</f>
        <v>45</v>
      </c>
      <c r="F81" s="612">
        <f>vlookup(A81,'TX Data'!$A$4:$D$259,4,FALSE)</f>
        <v>35</v>
      </c>
      <c r="G81" s="612" t="s">
        <v>63</v>
      </c>
      <c r="H81" s="671">
        <f>vlookup(A81,'TX Data'!$I$2699:$J$2952,2,FALSE)</f>
        <v>270</v>
      </c>
      <c r="I81" s="614">
        <f>ifna(vlookup(A81,'TX Data'!$A$2319:$B$2521,2,FALSE),"NULL")</f>
        <v>8</v>
      </c>
      <c r="J81" s="615" t="s">
        <v>63</v>
      </c>
      <c r="K81" s="672" t="s">
        <v>63</v>
      </c>
      <c r="L81" s="671">
        <f>ifna(vlookup(A81,'TX Data'!$A$1498:$B$1702,2,FALSE),"NULL")</f>
        <v>441</v>
      </c>
      <c r="M81" s="614" t="s">
        <v>63</v>
      </c>
      <c r="N81" s="612" t="s">
        <v>63</v>
      </c>
      <c r="O81" s="612" t="s">
        <v>63</v>
      </c>
      <c r="P81" s="620">
        <f>ifna(vlookup(A81,'Population &amp; Church Numbers'!$A$2526:$D$2779,4,FALSE),"NULL")</f>
        <v>271</v>
      </c>
      <c r="Q81" s="674" t="s">
        <v>63</v>
      </c>
    </row>
    <row r="82">
      <c r="A82" s="609" t="s">
        <v>136</v>
      </c>
      <c r="B82" s="610">
        <f t="array" ref="B82">VLOOKUP($A82,TX_DEMO,2,FALSE)</f>
        <v>10359</v>
      </c>
      <c r="C82" s="704">
        <f>vlookup(A82,'TX Data'!$A$4:$B$259,2,FALSE)</f>
        <v>4</v>
      </c>
      <c r="D82" s="612" t="s">
        <v>63</v>
      </c>
      <c r="E82" s="612">
        <f>vlookup(A82,'TX Data'!$A$4:$D$259,3,FALSE)</f>
        <v>2</v>
      </c>
      <c r="F82" s="612">
        <f>vlookup(A82,'TX Data'!$A$4:$D$259,4,FALSE)</f>
        <v>2</v>
      </c>
      <c r="G82" s="612" t="s">
        <v>63</v>
      </c>
      <c r="H82" s="671">
        <f>vlookup(A82,'TX Data'!$I$2699:$J$2952,2,FALSE)</f>
        <v>3</v>
      </c>
      <c r="I82" s="614">
        <f>ifna(vlookup(A82,'TX Data'!$A$2319:$B$2521,2,FALSE),"NULL")</f>
        <v>2</v>
      </c>
      <c r="J82" s="615" t="s">
        <v>63</v>
      </c>
      <c r="K82" s="672" t="s">
        <v>63</v>
      </c>
      <c r="L82" s="671" t="str">
        <f>ifna(vlookup(A82,'TX Data'!$A$1498:$B$1702,2,FALSE),"NULL")</f>
        <v>NULL</v>
      </c>
      <c r="M82" s="614" t="s">
        <v>63</v>
      </c>
      <c r="N82" s="612" t="s">
        <v>63</v>
      </c>
      <c r="O82" s="612" t="s">
        <v>63</v>
      </c>
      <c r="P82" s="620">
        <f>ifna(vlookup(A82,'Population &amp; Church Numbers'!$A$2526:$D$2779,4,FALSE),"NULL")</f>
        <v>17</v>
      </c>
      <c r="Q82" s="674" t="s">
        <v>63</v>
      </c>
    </row>
    <row r="83">
      <c r="A83" s="609" t="s">
        <v>2068</v>
      </c>
      <c r="B83" s="610">
        <f t="array" ref="B83">VLOOKUP($A83,TX_DEMO,2,FALSE)</f>
        <v>19435</v>
      </c>
      <c r="C83" s="704">
        <f>vlookup(A83,'TX Data'!$A$4:$B$259,2,FALSE)</f>
        <v>19</v>
      </c>
      <c r="D83" s="612" t="s">
        <v>63</v>
      </c>
      <c r="E83" s="612">
        <f>vlookup(A83,'TX Data'!$A$4:$D$259,3,FALSE)</f>
        <v>5</v>
      </c>
      <c r="F83" s="612">
        <f>vlookup(A83,'TX Data'!$A$4:$D$259,4,FALSE)</f>
        <v>9</v>
      </c>
      <c r="G83" s="612" t="s">
        <v>63</v>
      </c>
      <c r="H83" s="671">
        <f>vlookup(A83,'TX Data'!$I$2699:$J$2952,2,FALSE)</f>
        <v>1</v>
      </c>
      <c r="I83" s="614">
        <f>ifna(vlookup(A83,'TX Data'!$A$2319:$B$2521,2,FALSE),"NULL")</f>
        <v>8</v>
      </c>
      <c r="J83" s="615" t="s">
        <v>63</v>
      </c>
      <c r="K83" s="672" t="s">
        <v>63</v>
      </c>
      <c r="L83" s="671">
        <f>ifna(vlookup(A83,'TX Data'!$A$1498:$B$1702,2,FALSE),"NULL")</f>
        <v>27</v>
      </c>
      <c r="M83" s="614" t="s">
        <v>63</v>
      </c>
      <c r="N83" s="612" t="s">
        <v>63</v>
      </c>
      <c r="O83" s="612" t="s">
        <v>63</v>
      </c>
      <c r="P83" s="620">
        <f>ifna(vlookup(A83,'Population &amp; Church Numbers'!$A$2526:$D$2779,4,FALSE),"NULL")</f>
        <v>32</v>
      </c>
      <c r="Q83" s="674" t="s">
        <v>63</v>
      </c>
    </row>
    <row r="84">
      <c r="A84" s="609" t="s">
        <v>2069</v>
      </c>
      <c r="B84" s="610">
        <f t="array" ref="B84">VLOOKUP($A84,TX_DEMO,2,FALSE)</f>
        <v>18385</v>
      </c>
      <c r="C84" s="704">
        <f>vlookup(A84,'TX Data'!$A$4:$B$259,2,FALSE)</f>
        <v>42</v>
      </c>
      <c r="D84" s="612" t="s">
        <v>63</v>
      </c>
      <c r="E84" s="612">
        <f>vlookup(A84,'TX Data'!$A$4:$D$259,3,FALSE)</f>
        <v>7</v>
      </c>
      <c r="F84" s="612">
        <f>vlookup(A84,'TX Data'!$A$4:$D$259,4,FALSE)</f>
        <v>16</v>
      </c>
      <c r="G84" s="612" t="s">
        <v>63</v>
      </c>
      <c r="H84" s="671">
        <f>vlookup(A84,'TX Data'!$I$2699:$J$2952,2,FALSE)</f>
        <v>2</v>
      </c>
      <c r="I84" s="614">
        <f>ifna(vlookup(A84,'TX Data'!$A$2319:$B$2521,2,FALSE),"NULL")</f>
        <v>19</v>
      </c>
      <c r="J84" s="615" t="s">
        <v>63</v>
      </c>
      <c r="K84" s="672" t="s">
        <v>63</v>
      </c>
      <c r="L84" s="671">
        <f>ifna(vlookup(A84,'TX Data'!$A$1498:$B$1702,2,FALSE),"NULL")</f>
        <v>115</v>
      </c>
      <c r="M84" s="614" t="s">
        <v>63</v>
      </c>
      <c r="N84" s="612" t="s">
        <v>63</v>
      </c>
      <c r="O84" s="612" t="s">
        <v>63</v>
      </c>
      <c r="P84" s="620">
        <f>ifna(vlookup(A84,'Population &amp; Church Numbers'!$A$2526:$D$2779,4,FALSE),"NULL")</f>
        <v>14</v>
      </c>
      <c r="Q84" s="674" t="s">
        <v>63</v>
      </c>
    </row>
    <row r="85">
      <c r="A85" s="609" t="s">
        <v>2070</v>
      </c>
      <c r="B85" s="610">
        <f t="array" ref="B85">VLOOKUP($A85,TX_DEMO,2,FALSE)</f>
        <v>21598</v>
      </c>
      <c r="C85" s="704">
        <f>vlookup(A85,'TX Data'!$A$4:$B$259,2,FALSE)</f>
        <v>5</v>
      </c>
      <c r="D85" s="612" t="s">
        <v>63</v>
      </c>
      <c r="E85" s="612">
        <f>vlookup(A85,'TX Data'!$A$4:$D$259,3,FALSE)</f>
        <v>2</v>
      </c>
      <c r="F85" s="612">
        <f>vlookup(A85,'TX Data'!$A$4:$D$259,4,FALSE)</f>
        <v>1</v>
      </c>
      <c r="G85" s="612" t="s">
        <v>63</v>
      </c>
      <c r="H85" s="671">
        <f>vlookup(A85,'TX Data'!$I$2699:$J$2952,2,FALSE)</f>
        <v>12</v>
      </c>
      <c r="I85" s="614">
        <f>ifna(vlookup(A85,'TX Data'!$A$2319:$B$2521,2,FALSE),"NULL")</f>
        <v>0</v>
      </c>
      <c r="J85" s="615" t="s">
        <v>63</v>
      </c>
      <c r="K85" s="672" t="s">
        <v>63</v>
      </c>
      <c r="L85" s="671">
        <f>ifna(vlookup(A85,'TX Data'!$A$1498:$B$1702,2,FALSE),"NULL")</f>
        <v>38</v>
      </c>
      <c r="M85" s="614" t="s">
        <v>63</v>
      </c>
      <c r="N85" s="612" t="s">
        <v>63</v>
      </c>
      <c r="O85" s="612" t="s">
        <v>63</v>
      </c>
      <c r="P85" s="620">
        <f>ifna(vlookup(A85,'Population &amp; Church Numbers'!$A$2526:$D$2779,4,FALSE),"NULL")</f>
        <v>18</v>
      </c>
      <c r="Q85" s="674" t="s">
        <v>63</v>
      </c>
    </row>
    <row r="86">
      <c r="A86" s="609" t="s">
        <v>2071</v>
      </c>
      <c r="B86" s="610">
        <f t="array" ref="B86">VLOOKUP($A86,TX_DEMO,2,FALSE)</f>
        <v>350682</v>
      </c>
      <c r="C86" s="704">
        <f>vlookup(A86,'TX Data'!$A$4:$B$259,2,FALSE)</f>
        <v>149</v>
      </c>
      <c r="D86" s="612" t="s">
        <v>63</v>
      </c>
      <c r="E86" s="612">
        <f>vlookup(A86,'TX Data'!$A$4:$D$259,3,FALSE)</f>
        <v>65</v>
      </c>
      <c r="F86" s="612">
        <f>vlookup(A86,'TX Data'!$A$4:$D$259,4,FALSE)</f>
        <v>52</v>
      </c>
      <c r="G86" s="612" t="s">
        <v>63</v>
      </c>
      <c r="H86" s="671">
        <f>vlookup(A86,'TX Data'!$I$2699:$J$2952,2,FALSE)</f>
        <v>83</v>
      </c>
      <c r="I86" s="614">
        <f>ifna(vlookup(A86,'TX Data'!$A$2319:$B$2521,2,FALSE),"NULL")</f>
        <v>36</v>
      </c>
      <c r="J86" s="615" t="s">
        <v>63</v>
      </c>
      <c r="K86" s="672" t="s">
        <v>63</v>
      </c>
      <c r="L86" s="671">
        <f>ifna(vlookup(A86,'TX Data'!$A$1498:$B$1702,2,FALSE),"NULL")</f>
        <v>766</v>
      </c>
      <c r="M86" s="614" t="s">
        <v>63</v>
      </c>
      <c r="N86" s="612" t="s">
        <v>63</v>
      </c>
      <c r="O86" s="612" t="s">
        <v>63</v>
      </c>
      <c r="P86" s="620">
        <f>ifna(vlookup(A86,'Population &amp; Church Numbers'!$A$2526:$D$2779,4,FALSE),"NULL")</f>
        <v>202</v>
      </c>
      <c r="Q86" s="674" t="s">
        <v>63</v>
      </c>
    </row>
    <row r="87">
      <c r="A87" s="609" t="s">
        <v>2072</v>
      </c>
      <c r="B87" s="610">
        <f t="array" ref="B87">VLOOKUP($A87,TX_DEMO,2,FALSE)</f>
        <v>5816</v>
      </c>
      <c r="C87" s="704">
        <f>vlookup(A87,'TX Data'!$A$4:$B$259,2,FALSE)</f>
        <v>1</v>
      </c>
      <c r="D87" s="612" t="s">
        <v>63</v>
      </c>
      <c r="E87" s="612">
        <f>vlookup(A87,'TX Data'!$A$4:$D$259,3,FALSE)</f>
        <v>0</v>
      </c>
      <c r="F87" s="612">
        <f>vlookup(A87,'TX Data'!$A$4:$D$259,4,FALSE)</f>
        <v>1</v>
      </c>
      <c r="G87" s="612" t="s">
        <v>63</v>
      </c>
      <c r="H87" s="671">
        <f>vlookup(A87,'TX Data'!$I$2699:$J$2952,2,FALSE)</f>
        <v>2</v>
      </c>
      <c r="I87" s="614">
        <f>ifna(vlookup(A87,'TX Data'!$A$2319:$B$2521,2,FALSE),"NULL")</f>
        <v>1</v>
      </c>
      <c r="J87" s="615" t="s">
        <v>63</v>
      </c>
      <c r="K87" s="672" t="s">
        <v>63</v>
      </c>
      <c r="L87" s="671">
        <f>ifna(vlookup(A87,'TX Data'!$A$1498:$B$1702,2,FALSE),"NULL")</f>
        <v>24</v>
      </c>
      <c r="M87" s="614" t="s">
        <v>63</v>
      </c>
      <c r="N87" s="612" t="s">
        <v>63</v>
      </c>
      <c r="O87" s="612" t="s">
        <v>63</v>
      </c>
      <c r="P87" s="620">
        <f>ifna(vlookup(A87,'Population &amp; Church Numbers'!$A$2526:$D$2779,4,FALSE),"NULL")</f>
        <v>10</v>
      </c>
      <c r="Q87" s="674" t="s">
        <v>63</v>
      </c>
    </row>
    <row r="88">
      <c r="A88" s="609" t="s">
        <v>2073</v>
      </c>
      <c r="B88" s="610">
        <f t="array" ref="B88">VLOOKUP($A88,TX_DEMO,2,FALSE)</f>
        <v>26725</v>
      </c>
      <c r="C88" s="704">
        <f>vlookup(A88,'TX Data'!$A$4:$B$259,2,FALSE)</f>
        <v>15</v>
      </c>
      <c r="D88" s="612" t="s">
        <v>63</v>
      </c>
      <c r="E88" s="612">
        <f>vlookup(A88,'TX Data'!$A$4:$D$259,3,FALSE)</f>
        <v>1</v>
      </c>
      <c r="F88" s="612">
        <f>vlookup(A88,'TX Data'!$A$4:$D$259,4,FALSE)</f>
        <v>13</v>
      </c>
      <c r="G88" s="612" t="s">
        <v>63</v>
      </c>
      <c r="H88" s="671">
        <f>vlookup(A88,'TX Data'!$I$2699:$J$2952,2,FALSE)</f>
        <v>3</v>
      </c>
      <c r="I88" s="614">
        <f>ifna(vlookup(A88,'TX Data'!$A$2319:$B$2521,2,FALSE),"NULL")</f>
        <v>0</v>
      </c>
      <c r="J88" s="615" t="s">
        <v>63</v>
      </c>
      <c r="K88" s="672" t="s">
        <v>63</v>
      </c>
      <c r="L88" s="671">
        <f>ifna(vlookup(A88,'TX Data'!$A$1498:$B$1702,2,FALSE),"NULL")</f>
        <v>52</v>
      </c>
      <c r="M88" s="614" t="s">
        <v>63</v>
      </c>
      <c r="N88" s="612" t="s">
        <v>63</v>
      </c>
      <c r="O88" s="612" t="s">
        <v>63</v>
      </c>
      <c r="P88" s="620">
        <f>ifna(vlookup(A88,'Population &amp; Church Numbers'!$A$2526:$D$2779,4,FALSE),"NULL")</f>
        <v>28</v>
      </c>
      <c r="Q88" s="674" t="s">
        <v>63</v>
      </c>
    </row>
    <row r="89">
      <c r="A89" s="609" t="s">
        <v>2074</v>
      </c>
      <c r="B89" s="610">
        <f t="array" ref="B89">VLOOKUP($A89,TX_DEMO,2,FALSE)</f>
        <v>1116</v>
      </c>
      <c r="C89" s="704" t="str">
        <f>vlookup(A89,'TX Data'!$A$4:$B$259,2,FALSE)</f>
        <v>NULL</v>
      </c>
      <c r="D89" s="612" t="s">
        <v>63</v>
      </c>
      <c r="E89" s="612">
        <f>vlookup(A89,'TX Data'!$A$4:$D$259,3,FALSE)</f>
        <v>0</v>
      </c>
      <c r="F89" s="612">
        <f>vlookup(A89,'TX Data'!$A$4:$D$259,4,FALSE)</f>
        <v>0</v>
      </c>
      <c r="G89" s="612" t="s">
        <v>63</v>
      </c>
      <c r="H89" s="671">
        <f>vlookup(A89,'TX Data'!$I$2699:$J$2952,2,FALSE)</f>
        <v>1</v>
      </c>
      <c r="I89" s="614" t="str">
        <f>ifna(vlookup(A89,'TX Data'!$A$2319:$B$2521,2,FALSE),"NULL")</f>
        <v>NULL</v>
      </c>
      <c r="J89" s="615" t="s">
        <v>63</v>
      </c>
      <c r="K89" s="672" t="s">
        <v>63</v>
      </c>
      <c r="L89" s="671" t="str">
        <f>ifna(vlookup(A89,'TX Data'!$A$1498:$B$1702,2,FALSE),"NULL")</f>
        <v>NULL</v>
      </c>
      <c r="M89" s="614" t="s">
        <v>63</v>
      </c>
      <c r="N89" s="612" t="s">
        <v>63</v>
      </c>
      <c r="O89" s="612" t="s">
        <v>63</v>
      </c>
      <c r="P89" s="620">
        <f>ifna(vlookup(A89,'Population &amp; Church Numbers'!$A$2526:$D$2779,4,FALSE),"NULL")</f>
        <v>1</v>
      </c>
      <c r="Q89" s="674" t="s">
        <v>63</v>
      </c>
    </row>
    <row r="90">
      <c r="A90" s="609" t="s">
        <v>2075</v>
      </c>
      <c r="B90" s="610">
        <f t="array" ref="B90">VLOOKUP($A90,TX_DEMO,2,FALSE)</f>
        <v>7012</v>
      </c>
      <c r="C90" s="704">
        <f>vlookup(A90,'TX Data'!$A$4:$B$259,2,FALSE)</f>
        <v>3</v>
      </c>
      <c r="D90" s="612" t="s">
        <v>63</v>
      </c>
      <c r="E90" s="612">
        <f>vlookup(A90,'TX Data'!$A$4:$D$259,3,FALSE)</f>
        <v>2</v>
      </c>
      <c r="F90" s="612">
        <f>vlookup(A90,'TX Data'!$A$4:$D$259,4,FALSE)</f>
        <v>0</v>
      </c>
      <c r="G90" s="612" t="s">
        <v>63</v>
      </c>
      <c r="H90" s="671">
        <f>vlookup(A90,'TX Data'!$I$2699:$J$2952,2,FALSE)</f>
        <v>1</v>
      </c>
      <c r="I90" s="614">
        <f>ifna(vlookup(A90,'TX Data'!$A$2319:$B$2521,2,FALSE),"NULL")</f>
        <v>3</v>
      </c>
      <c r="J90" s="615" t="s">
        <v>63</v>
      </c>
      <c r="K90" s="672" t="s">
        <v>63</v>
      </c>
      <c r="L90" s="671">
        <f>ifna(vlookup(A90,'TX Data'!$A$1498:$B$1702,2,FALSE),"NULL")</f>
        <v>6</v>
      </c>
      <c r="M90" s="614" t="s">
        <v>63</v>
      </c>
      <c r="N90" s="612" t="s">
        <v>63</v>
      </c>
      <c r="O90" s="612" t="s">
        <v>63</v>
      </c>
      <c r="P90" s="620">
        <f>ifna(vlookup(A90,'Population &amp; Church Numbers'!$A$2526:$D$2779,4,FALSE),"NULL")</f>
        <v>12</v>
      </c>
      <c r="Q90" s="674" t="s">
        <v>63</v>
      </c>
    </row>
    <row r="91">
      <c r="A91" s="609" t="s">
        <v>2076</v>
      </c>
      <c r="B91" s="610">
        <f t="array" ref="B91">VLOOKUP($A91,TX_DEMO,2,FALSE)</f>
        <v>19653</v>
      </c>
      <c r="C91" s="704">
        <f>vlookup(A91,'TX Data'!$A$4:$B$259,2,FALSE)</f>
        <v>15</v>
      </c>
      <c r="D91" s="612" t="s">
        <v>63</v>
      </c>
      <c r="E91" s="612">
        <f>vlookup(A91,'TX Data'!$A$4:$D$259,3,FALSE)</f>
        <v>4</v>
      </c>
      <c r="F91" s="612">
        <f>vlookup(A91,'TX Data'!$A$4:$D$259,4,FALSE)</f>
        <v>9</v>
      </c>
      <c r="G91" s="612" t="s">
        <v>63</v>
      </c>
      <c r="H91" s="671">
        <f>vlookup(A91,'TX Data'!$I$2699:$J$2952,2,FALSE)</f>
        <v>4</v>
      </c>
      <c r="I91" s="614">
        <f>ifna(vlookup(A91,'TX Data'!$A$2319:$B$2521,2,FALSE),"NULL")</f>
        <v>6</v>
      </c>
      <c r="J91" s="615" t="s">
        <v>63</v>
      </c>
      <c r="K91" s="672" t="s">
        <v>63</v>
      </c>
      <c r="L91" s="671">
        <f>ifna(vlookup(A91,'TX Data'!$A$1498:$B$1702,2,FALSE),"NULL")</f>
        <v>13</v>
      </c>
      <c r="M91" s="614" t="s">
        <v>63</v>
      </c>
      <c r="N91" s="612" t="s">
        <v>63</v>
      </c>
      <c r="O91" s="612" t="s">
        <v>63</v>
      </c>
      <c r="P91" s="620">
        <f>ifna(vlookup(A91,'Population &amp; Church Numbers'!$A$2526:$D$2779,4,FALSE),"NULL")</f>
        <v>34</v>
      </c>
      <c r="Q91" s="674" t="s">
        <v>63</v>
      </c>
    </row>
    <row r="92">
      <c r="A92" s="609" t="s">
        <v>975</v>
      </c>
      <c r="B92" s="610">
        <f t="array" ref="B92">VLOOKUP($A92,TX_DEMO,2,FALSE)</f>
        <v>21227</v>
      </c>
      <c r="C92" s="704">
        <f>vlookup(A92,'TX Data'!$A$4:$B$259,2,FALSE)</f>
        <v>33</v>
      </c>
      <c r="D92" s="612" t="s">
        <v>63</v>
      </c>
      <c r="E92" s="612">
        <f>vlookup(A92,'TX Data'!$A$4:$D$259,3,FALSE)</f>
        <v>14</v>
      </c>
      <c r="F92" s="612">
        <f>vlookup(A92,'TX Data'!$A$4:$D$259,4,FALSE)</f>
        <v>10</v>
      </c>
      <c r="G92" s="612" t="s">
        <v>63</v>
      </c>
      <c r="H92" s="671">
        <f>vlookup(A92,'TX Data'!$I$2699:$J$2952,2,FALSE)</f>
        <v>8</v>
      </c>
      <c r="I92" s="614">
        <f>ifna(vlookup(A92,'TX Data'!$A$2319:$B$2521,2,FALSE),"NULL")</f>
        <v>12</v>
      </c>
      <c r="J92" s="615" t="s">
        <v>63</v>
      </c>
      <c r="K92" s="672" t="s">
        <v>63</v>
      </c>
      <c r="L92" s="671">
        <f>ifna(vlookup(A92,'TX Data'!$A$1498:$B$1702,2,FALSE),"NULL")</f>
        <v>93</v>
      </c>
      <c r="M92" s="614" t="s">
        <v>63</v>
      </c>
      <c r="N92" s="612" t="s">
        <v>63</v>
      </c>
      <c r="O92" s="612" t="s">
        <v>63</v>
      </c>
      <c r="P92" s="620">
        <f>ifna(vlookup(A92,'Population &amp; Church Numbers'!$A$2526:$D$2779,4,FALSE),"NULL")</f>
        <v>31</v>
      </c>
      <c r="Q92" s="674" t="s">
        <v>63</v>
      </c>
    </row>
    <row r="93">
      <c r="A93" s="609" t="s">
        <v>1072</v>
      </c>
      <c r="B93" s="610">
        <f t="array" ref="B93">VLOOKUP($A93,TX_DEMO,2,FALSE)</f>
        <v>135543</v>
      </c>
      <c r="C93" s="704">
        <f>vlookup(A93,'TX Data'!$A$4:$B$259,2,FALSE)</f>
        <v>90</v>
      </c>
      <c r="D93" s="612" t="s">
        <v>63</v>
      </c>
      <c r="E93" s="612">
        <f>vlookup(A93,'TX Data'!$A$4:$D$259,3,FALSE)</f>
        <v>45</v>
      </c>
      <c r="F93" s="612">
        <f>vlookup(A93,'TX Data'!$A$4:$D$259,4,FALSE)</f>
        <v>31</v>
      </c>
      <c r="G93" s="612" t="s">
        <v>63</v>
      </c>
      <c r="H93" s="671">
        <f>vlookup(A93,'TX Data'!$I$2699:$J$2952,2,FALSE)</f>
        <v>37</v>
      </c>
      <c r="I93" s="614">
        <f>ifna(vlookup(A93,'TX Data'!$A$2319:$B$2521,2,FALSE),"NULL")</f>
        <v>33</v>
      </c>
      <c r="J93" s="615" t="s">
        <v>63</v>
      </c>
      <c r="K93" s="672" t="s">
        <v>63</v>
      </c>
      <c r="L93" s="671">
        <f>ifna(vlookup(A93,'TX Data'!$A$1498:$B$1702,2,FALSE),"NULL")</f>
        <v>144</v>
      </c>
      <c r="M93" s="614" t="s">
        <v>63</v>
      </c>
      <c r="N93" s="612" t="s">
        <v>63</v>
      </c>
      <c r="O93" s="612" t="s">
        <v>63</v>
      </c>
      <c r="P93" s="620">
        <f>ifna(vlookup(A93,'Population &amp; Church Numbers'!$A$2526:$D$2779,4,FALSE),"NULL")</f>
        <v>154</v>
      </c>
      <c r="Q93" s="674" t="s">
        <v>63</v>
      </c>
    </row>
    <row r="94">
      <c r="A94" s="609" t="s">
        <v>2078</v>
      </c>
      <c r="B94" s="610">
        <f t="array" ref="B94">VLOOKUP($A94,TX_DEMO,2,FALSE)</f>
        <v>124239</v>
      </c>
      <c r="C94" s="704">
        <f>vlookup(A94,'TX Data'!$A$4:$B$259,2,FALSE)</f>
        <v>155</v>
      </c>
      <c r="D94" s="612" t="s">
        <v>63</v>
      </c>
      <c r="E94" s="612">
        <f>vlookup(A94,'TX Data'!$A$4:$D$259,3,FALSE)</f>
        <v>49</v>
      </c>
      <c r="F94" s="612">
        <f>vlookup(A94,'TX Data'!$A$4:$D$259,4,FALSE)</f>
        <v>77</v>
      </c>
      <c r="G94" s="612" t="s">
        <v>63</v>
      </c>
      <c r="H94" s="671">
        <f>vlookup(A94,'TX Data'!$I$2699:$J$2952,2,FALSE)</f>
        <v>37</v>
      </c>
      <c r="I94" s="614">
        <f>ifna(vlookup(A94,'TX Data'!$A$2319:$B$2521,2,FALSE),"NULL")</f>
        <v>57</v>
      </c>
      <c r="J94" s="615" t="s">
        <v>63</v>
      </c>
      <c r="K94" s="672" t="s">
        <v>63</v>
      </c>
      <c r="L94" s="671">
        <f>ifna(vlookup(A94,'TX Data'!$A$1498:$B$1702,2,FALSE),"NULL")</f>
        <v>269</v>
      </c>
      <c r="M94" s="614" t="s">
        <v>63</v>
      </c>
      <c r="N94" s="612" t="s">
        <v>63</v>
      </c>
      <c r="O94" s="612" t="s">
        <v>63</v>
      </c>
      <c r="P94" s="620">
        <f>ifna(vlookup(A94,'Population &amp; Church Numbers'!$A$2526:$D$2779,4,FALSE),"NULL")</f>
        <v>171</v>
      </c>
      <c r="Q94" s="674" t="s">
        <v>63</v>
      </c>
    </row>
    <row r="95">
      <c r="A95" s="609" t="s">
        <v>2079</v>
      </c>
      <c r="B95" s="610">
        <f t="array" ref="B95">VLOOKUP($A95,TX_DEMO,2,FALSE)</f>
        <v>29268</v>
      </c>
      <c r="C95" s="704">
        <f>vlookup(A95,'TX Data'!$A$4:$B$259,2,FALSE)</f>
        <v>7</v>
      </c>
      <c r="D95" s="612" t="s">
        <v>63</v>
      </c>
      <c r="E95" s="612">
        <f>vlookup(A95,'TX Data'!$A$4:$D$259,3,FALSE)</f>
        <v>1</v>
      </c>
      <c r="F95" s="612">
        <f>vlookup(A95,'TX Data'!$A$4:$D$259,4,FALSE)</f>
        <v>5</v>
      </c>
      <c r="G95" s="612" t="s">
        <v>63</v>
      </c>
      <c r="H95" s="671">
        <f>vlookup(A95,'TX Data'!$I$2699:$J$2952,2,FALSE)</f>
        <v>6</v>
      </c>
      <c r="I95" s="614">
        <f>ifna(vlookup(A95,'TX Data'!$A$2319:$B$2521,2,FALSE),"NULL")</f>
        <v>2</v>
      </c>
      <c r="J95" s="615" t="s">
        <v>63</v>
      </c>
      <c r="K95" s="672" t="s">
        <v>63</v>
      </c>
      <c r="L95" s="671" t="str">
        <f>ifna(vlookup(A95,'TX Data'!$A$1498:$B$1702,2,FALSE),"NULL")</f>
        <v>NULL</v>
      </c>
      <c r="M95" s="614" t="s">
        <v>63</v>
      </c>
      <c r="N95" s="612" t="s">
        <v>63</v>
      </c>
      <c r="O95" s="612" t="s">
        <v>63</v>
      </c>
      <c r="P95" s="620">
        <f>ifna(vlookup(A95,'Population &amp; Church Numbers'!$A$2526:$D$2779,4,FALSE),"NULL")</f>
        <v>33</v>
      </c>
      <c r="Q95" s="674" t="s">
        <v>63</v>
      </c>
    </row>
    <row r="96">
      <c r="A96" s="609" t="s">
        <v>1539</v>
      </c>
      <c r="B96" s="610">
        <f t="array" ref="B96">VLOOKUP($A96,TX_DEMO,2,FALSE)</f>
        <v>172706</v>
      </c>
      <c r="C96" s="704">
        <f>vlookup(A96,'TX Data'!$A$4:$B$259,2,FALSE)</f>
        <v>68</v>
      </c>
      <c r="D96" s="612" t="s">
        <v>63</v>
      </c>
      <c r="E96" s="612">
        <f>vlookup(A96,'TX Data'!$A$4:$D$259,3,FALSE)</f>
        <v>21</v>
      </c>
      <c r="F96" s="612">
        <f>vlookup(A96,'TX Data'!$A$4:$D$259,4,FALSE)</f>
        <v>16</v>
      </c>
      <c r="G96" s="612" t="s">
        <v>63</v>
      </c>
      <c r="H96" s="671">
        <f>vlookup(A96,'TX Data'!$I$2699:$J$2952,2,FALSE)</f>
        <v>64</v>
      </c>
      <c r="I96" s="614">
        <f>ifna(vlookup(A96,'TX Data'!$A$2319:$B$2521,2,FALSE),"NULL")</f>
        <v>13</v>
      </c>
      <c r="J96" s="615" t="s">
        <v>63</v>
      </c>
      <c r="K96" s="672" t="s">
        <v>63</v>
      </c>
      <c r="L96" s="671">
        <f>ifna(vlookup(A96,'TX Data'!$A$1498:$B$1702,2,FALSE),"NULL")</f>
        <v>255</v>
      </c>
      <c r="M96" s="614" t="s">
        <v>63</v>
      </c>
      <c r="N96" s="612" t="s">
        <v>63</v>
      </c>
      <c r="O96" s="612" t="s">
        <v>63</v>
      </c>
      <c r="P96" s="620">
        <f>ifna(vlookup(A96,'Population &amp; Church Numbers'!$A$2526:$D$2779,4,FALSE),"NULL")</f>
        <v>79</v>
      </c>
      <c r="Q96" s="674" t="s">
        <v>63</v>
      </c>
    </row>
    <row r="97">
      <c r="A97" s="609" t="s">
        <v>139</v>
      </c>
      <c r="B97" s="610">
        <f t="array" ref="B97">VLOOKUP($A97,TX_DEMO,2,FALSE)</f>
        <v>32522</v>
      </c>
      <c r="C97" s="704">
        <f>vlookup(A97,'TX Data'!$A$4:$B$259,2,FALSE)</f>
        <v>26</v>
      </c>
      <c r="D97" s="612" t="s">
        <v>63</v>
      </c>
      <c r="E97" s="612">
        <f>vlookup(A97,'TX Data'!$A$4:$D$259,3,FALSE)</f>
        <v>8</v>
      </c>
      <c r="F97" s="612">
        <f>vlookup(A97,'TX Data'!$A$4:$D$259,4,FALSE)</f>
        <v>4</v>
      </c>
      <c r="G97" s="612" t="s">
        <v>63</v>
      </c>
      <c r="H97" s="671">
        <f>vlookup(A97,'TX Data'!$I$2699:$J$2952,2,FALSE)</f>
        <v>14</v>
      </c>
      <c r="I97" s="614">
        <f>ifna(vlookup(A97,'TX Data'!$A$2319:$B$2521,2,FALSE),"NULL")</f>
        <v>13</v>
      </c>
      <c r="J97" s="615" t="s">
        <v>63</v>
      </c>
      <c r="K97" s="672" t="s">
        <v>63</v>
      </c>
      <c r="L97" s="671">
        <f>ifna(vlookup(A97,'TX Data'!$A$1498:$B$1702,2,FALSE),"NULL")</f>
        <v>166</v>
      </c>
      <c r="M97" s="614" t="s">
        <v>63</v>
      </c>
      <c r="N97" s="612" t="s">
        <v>63</v>
      </c>
      <c r="O97" s="612" t="s">
        <v>63</v>
      </c>
      <c r="P97" s="620">
        <f>ifna(vlookup(A97,'Population &amp; Church Numbers'!$A$2526:$D$2779,4,FALSE),"NULL")</f>
        <v>46</v>
      </c>
      <c r="Q97" s="674" t="s">
        <v>63</v>
      </c>
    </row>
    <row r="98">
      <c r="A98" s="609" t="s">
        <v>586</v>
      </c>
      <c r="B98" s="610">
        <f t="array" ref="B98">VLOOKUP($A98,TX_DEMO,2,FALSE)</f>
        <v>2825</v>
      </c>
      <c r="C98" s="704">
        <f>vlookup(A98,'TX Data'!$A$4:$B$259,2,FALSE)</f>
        <v>8</v>
      </c>
      <c r="D98" s="612" t="s">
        <v>63</v>
      </c>
      <c r="E98" s="612">
        <f>vlookup(A98,'TX Data'!$A$4:$D$259,3,FALSE)</f>
        <v>0</v>
      </c>
      <c r="F98" s="612">
        <f>vlookup(A98,'TX Data'!$A$4:$D$259,4,FALSE)</f>
        <v>2</v>
      </c>
      <c r="G98" s="612" t="s">
        <v>63</v>
      </c>
      <c r="H98" s="671">
        <f>vlookup(A98,'TX Data'!$I$2699:$J$2952,2,FALSE)</f>
        <v>2</v>
      </c>
      <c r="I98" s="614">
        <f>ifna(vlookup(A98,'TX Data'!$A$2319:$B$2521,2,FALSE),"NULL")</f>
        <v>0</v>
      </c>
      <c r="J98" s="615" t="s">
        <v>63</v>
      </c>
      <c r="K98" s="672" t="s">
        <v>63</v>
      </c>
      <c r="L98" s="671">
        <f>ifna(vlookup(A98,'TX Data'!$A$1498:$B$1702,2,FALSE),"NULL")</f>
        <v>20</v>
      </c>
      <c r="M98" s="614" t="s">
        <v>63</v>
      </c>
      <c r="N98" s="612" t="s">
        <v>63</v>
      </c>
      <c r="O98" s="612" t="s">
        <v>63</v>
      </c>
      <c r="P98" s="620">
        <f>ifna(vlookup(A98,'Population &amp; Church Numbers'!$A$2526:$D$2779,4,FALSE),"NULL")</f>
        <v>7</v>
      </c>
      <c r="Q98" s="674" t="s">
        <v>63</v>
      </c>
    </row>
    <row r="99">
      <c r="A99" s="609" t="s">
        <v>497</v>
      </c>
      <c r="B99" s="610">
        <f t="array" ref="B99">VLOOKUP($A99,TX_DEMO,2,FALSE)</f>
        <v>8222</v>
      </c>
      <c r="C99" s="704">
        <f>vlookup(A99,'TX Data'!$A$4:$B$259,2,FALSE)</f>
        <v>10</v>
      </c>
      <c r="D99" s="612" t="s">
        <v>63</v>
      </c>
      <c r="E99" s="612">
        <f>vlookup(A99,'TX Data'!$A$4:$D$259,3,FALSE)</f>
        <v>5</v>
      </c>
      <c r="F99" s="612">
        <f>vlookup(A99,'TX Data'!$A$4:$D$259,4,FALSE)</f>
        <v>3</v>
      </c>
      <c r="G99" s="612" t="s">
        <v>63</v>
      </c>
      <c r="H99" s="671">
        <f>vlookup(A99,'TX Data'!$I$2699:$J$2952,2,FALSE)</f>
        <v>2</v>
      </c>
      <c r="I99" s="614">
        <f>ifna(vlookup(A99,'TX Data'!$A$2319:$B$2521,2,FALSE),"NULL")</f>
        <v>2</v>
      </c>
      <c r="J99" s="615" t="s">
        <v>63</v>
      </c>
      <c r="K99" s="672" t="s">
        <v>63</v>
      </c>
      <c r="L99" s="671" t="str">
        <f>ifna(vlookup(A99,'TX Data'!$A$1498:$B$1702,2,FALSE),"NULL")</f>
        <v>NULL</v>
      </c>
      <c r="M99" s="614" t="s">
        <v>63</v>
      </c>
      <c r="N99" s="612" t="s">
        <v>63</v>
      </c>
      <c r="O99" s="612" t="s">
        <v>63</v>
      </c>
      <c r="P99" s="620">
        <f>ifna(vlookup(A99,'Population &amp; Church Numbers'!$A$2526:$D$2779,4,FALSE),"NULL")</f>
        <v>13</v>
      </c>
      <c r="Q99" s="674" t="s">
        <v>63</v>
      </c>
    </row>
    <row r="100">
      <c r="A100" s="609" t="s">
        <v>2080</v>
      </c>
      <c r="B100" s="610">
        <f t="array" ref="B100">VLOOKUP($A100,TX_DEMO,2,FALSE)</f>
        <v>5285</v>
      </c>
      <c r="C100" s="704">
        <f>vlookup(A100,'TX Data'!$A$4:$B$259,2,FALSE)</f>
        <v>1</v>
      </c>
      <c r="D100" s="612" t="s">
        <v>63</v>
      </c>
      <c r="E100" s="612">
        <f>vlookup(A100,'TX Data'!$A$4:$D$259,3,FALSE)</f>
        <v>1</v>
      </c>
      <c r="F100" s="612">
        <f>vlookup(A100,'TX Data'!$A$4:$D$259,4,FALSE)</f>
        <v>0</v>
      </c>
      <c r="G100" s="612" t="s">
        <v>63</v>
      </c>
      <c r="H100" s="671" t="str">
        <f>vlookup(A100,'TX Data'!$I$2699:$J$2952,2,FALSE)</f>
        <v>NULL</v>
      </c>
      <c r="I100" s="614" t="str">
        <f>ifna(vlookup(A100,'TX Data'!$A$2319:$B$2521,2,FALSE),"NULL")</f>
        <v>NULL</v>
      </c>
      <c r="J100" s="615" t="s">
        <v>63</v>
      </c>
      <c r="K100" s="672" t="s">
        <v>63</v>
      </c>
      <c r="L100" s="671">
        <f>ifna(vlookup(A100,'TX Data'!$A$1498:$B$1702,2,FALSE),"NULL")</f>
        <v>10</v>
      </c>
      <c r="M100" s="614" t="s">
        <v>63</v>
      </c>
      <c r="N100" s="612" t="s">
        <v>63</v>
      </c>
      <c r="O100" s="612" t="s">
        <v>63</v>
      </c>
      <c r="P100" s="620">
        <f>ifna(vlookup(A100,'Population &amp; Church Numbers'!$A$2526:$D$2779,4,FALSE),"NULL")</f>
        <v>11</v>
      </c>
      <c r="Q100" s="674" t="s">
        <v>63</v>
      </c>
    </row>
    <row r="101">
      <c r="A101" s="609" t="s">
        <v>1915</v>
      </c>
      <c r="B101" s="610">
        <f t="array" ref="B101">VLOOKUP($A101,TX_DEMO,2,FALSE)</f>
        <v>3549</v>
      </c>
      <c r="C101" s="704">
        <f>vlookup(A101,'TX Data'!$A$4:$B$259,2,FALSE)</f>
        <v>1</v>
      </c>
      <c r="D101" s="612" t="s">
        <v>63</v>
      </c>
      <c r="E101" s="612">
        <f>vlookup(A101,'TX Data'!$A$4:$D$259,3,FALSE)</f>
        <v>0</v>
      </c>
      <c r="F101" s="612">
        <f>vlookup(A101,'TX Data'!$A$4:$D$259,4,FALSE)</f>
        <v>1</v>
      </c>
      <c r="G101" s="612" t="s">
        <v>63</v>
      </c>
      <c r="H101" s="671">
        <f>vlookup(A101,'TX Data'!$I$2699:$J$2952,2,FALSE)</f>
        <v>1</v>
      </c>
      <c r="I101" s="614">
        <f>ifna(vlookup(A101,'TX Data'!$A$2319:$B$2521,2,FALSE),"NULL")</f>
        <v>0</v>
      </c>
      <c r="J101" s="615" t="s">
        <v>63</v>
      </c>
      <c r="K101" s="672" t="s">
        <v>63</v>
      </c>
      <c r="L101" s="671" t="str">
        <f>ifna(vlookup(A101,'TX Data'!$A$1498:$B$1702,2,FALSE),"NULL")</f>
        <v>NULL</v>
      </c>
      <c r="M101" s="614" t="s">
        <v>63</v>
      </c>
      <c r="N101" s="612" t="s">
        <v>63</v>
      </c>
      <c r="O101" s="612" t="s">
        <v>63</v>
      </c>
      <c r="P101" s="620">
        <f>ifna(vlookup(A101,'Population &amp; Church Numbers'!$A$2526:$D$2779,4,FALSE),"NULL")</f>
        <v>8</v>
      </c>
      <c r="Q101" s="674" t="s">
        <v>63</v>
      </c>
    </row>
    <row r="102">
      <c r="A102" s="609" t="s">
        <v>721</v>
      </c>
      <c r="B102" s="610">
        <f t="array" ref="B102">VLOOKUP($A102,TX_DEMO,2,FALSE)</f>
        <v>56231</v>
      </c>
      <c r="C102" s="704">
        <f>vlookup(A102,'TX Data'!$A$4:$B$259,2,FALSE)</f>
        <v>54</v>
      </c>
      <c r="D102" s="612" t="s">
        <v>63</v>
      </c>
      <c r="E102" s="612">
        <f>vlookup(A102,'TX Data'!$A$4:$D$259,3,FALSE)</f>
        <v>23</v>
      </c>
      <c r="F102" s="612">
        <f>vlookup(A102,'TX Data'!$A$4:$D$259,4,FALSE)</f>
        <v>20</v>
      </c>
      <c r="G102" s="612" t="s">
        <v>63</v>
      </c>
      <c r="H102" s="671">
        <f>vlookup(A102,'TX Data'!$I$2699:$J$2952,2,FALSE)</f>
        <v>18</v>
      </c>
      <c r="I102" s="614">
        <f>ifna(vlookup(A102,'TX Data'!$A$2319:$B$2521,2,FALSE),"NULL")</f>
        <v>9</v>
      </c>
      <c r="J102" s="615" t="s">
        <v>63</v>
      </c>
      <c r="K102" s="672" t="s">
        <v>63</v>
      </c>
      <c r="L102" s="671">
        <f>ifna(vlookup(A102,'TX Data'!$A$1498:$B$1702,2,FALSE),"NULL")</f>
        <v>93</v>
      </c>
      <c r="M102" s="614" t="s">
        <v>63</v>
      </c>
      <c r="N102" s="612" t="s">
        <v>63</v>
      </c>
      <c r="O102" s="612" t="s">
        <v>63</v>
      </c>
      <c r="P102" s="620">
        <f>ifna(vlookup(A102,'Population &amp; Church Numbers'!$A$2526:$D$2779,4,FALSE),"NULL")</f>
        <v>70</v>
      </c>
      <c r="Q102" s="674" t="s">
        <v>63</v>
      </c>
    </row>
    <row r="103">
      <c r="A103" s="609" t="s">
        <v>218</v>
      </c>
      <c r="B103" s="610">
        <f t="array" ref="B103">VLOOKUP($A103,TX_DEMO,2,FALSE)</f>
        <v>4731145</v>
      </c>
      <c r="C103" s="704">
        <f>vlookup(A103,'TX Data'!$A$4:$B$259,2,FALSE)</f>
        <v>1841</v>
      </c>
      <c r="D103" s="612" t="s">
        <v>63</v>
      </c>
      <c r="E103" s="612">
        <f>vlookup(A103,'TX Data'!$A$4:$D$259,3,FALSE)</f>
        <v>923</v>
      </c>
      <c r="F103" s="612">
        <f>vlookup(A103,'TX Data'!$A$4:$D$259,4,FALSE)</f>
        <v>538</v>
      </c>
      <c r="G103" s="612" t="s">
        <v>63</v>
      </c>
      <c r="H103" s="671">
        <f>vlookup(A103,'TX Data'!$I$2699:$J$2952,2,FALSE)</f>
        <v>1075</v>
      </c>
      <c r="I103" s="614">
        <f>ifna(vlookup(A103,'TX Data'!$A$2319:$B$2521,2,FALSE),"NULL")</f>
        <v>411</v>
      </c>
      <c r="J103" s="615" t="s">
        <v>63</v>
      </c>
      <c r="K103" s="672" t="s">
        <v>63</v>
      </c>
      <c r="L103" s="671">
        <f>ifna(vlookup(A103,'TX Data'!$A$1498:$B$1702,2,FALSE),"NULL")</f>
        <v>3992</v>
      </c>
      <c r="M103" s="614" t="s">
        <v>63</v>
      </c>
      <c r="N103" s="612" t="s">
        <v>63</v>
      </c>
      <c r="O103" s="612" t="s">
        <v>63</v>
      </c>
      <c r="P103" s="620">
        <f>ifna(vlookup(A103,'Population &amp; Church Numbers'!$A$2526:$D$2779,4,FALSE),"NULL")</f>
        <v>1795</v>
      </c>
      <c r="Q103" s="674" t="s">
        <v>63</v>
      </c>
    </row>
    <row r="104">
      <c r="A104" s="609" t="s">
        <v>775</v>
      </c>
      <c r="B104" s="610">
        <f t="array" ref="B104">VLOOKUP($A104,TX_DEMO,2,FALSE)</f>
        <v>68839</v>
      </c>
      <c r="C104" s="704">
        <f>vlookup(A104,'TX Data'!$A$4:$B$259,2,FALSE)</f>
        <v>52</v>
      </c>
      <c r="D104" s="612" t="s">
        <v>63</v>
      </c>
      <c r="E104" s="612">
        <f>vlookup(A104,'TX Data'!$A$4:$D$259,3,FALSE)</f>
        <v>16</v>
      </c>
      <c r="F104" s="612">
        <f>vlookup(A104,'TX Data'!$A$4:$D$259,4,FALSE)</f>
        <v>25</v>
      </c>
      <c r="G104" s="612" t="s">
        <v>63</v>
      </c>
      <c r="H104" s="671">
        <f>vlookup(A104,'TX Data'!$I$2699:$J$2952,2,FALSE)</f>
        <v>27</v>
      </c>
      <c r="I104" s="614">
        <f>ifna(vlookup(A104,'TX Data'!$A$2319:$B$2521,2,FALSE),"NULL")</f>
        <v>14</v>
      </c>
      <c r="J104" s="615" t="s">
        <v>63</v>
      </c>
      <c r="K104" s="672" t="s">
        <v>63</v>
      </c>
      <c r="L104" s="671">
        <f>ifna(vlookup(A104,'TX Data'!$A$1498:$B$1702,2,FALSE),"NULL")</f>
        <v>94</v>
      </c>
      <c r="M104" s="614" t="s">
        <v>63</v>
      </c>
      <c r="N104" s="612" t="s">
        <v>63</v>
      </c>
      <c r="O104" s="612" t="s">
        <v>63</v>
      </c>
      <c r="P104" s="620">
        <f>ifna(vlookup(A104,'Population &amp; Church Numbers'!$A$2526:$D$2779,4,FALSE),"NULL")</f>
        <v>112</v>
      </c>
      <c r="Q104" s="674" t="s">
        <v>63</v>
      </c>
    </row>
    <row r="105">
      <c r="A105" s="609" t="s">
        <v>2082</v>
      </c>
      <c r="B105" s="610">
        <f t="array" ref="B105">VLOOKUP($A105,TX_DEMO,2,FALSE)</f>
        <v>5382</v>
      </c>
      <c r="C105" s="704">
        <f>vlookup(A105,'TX Data'!$A$4:$B$259,2,FALSE)</f>
        <v>3</v>
      </c>
      <c r="D105" s="612" t="s">
        <v>63</v>
      </c>
      <c r="E105" s="612">
        <f>vlookup(A105,'TX Data'!$A$4:$D$259,3,FALSE)</f>
        <v>1</v>
      </c>
      <c r="F105" s="612">
        <f>vlookup(A105,'TX Data'!$A$4:$D$259,4,FALSE)</f>
        <v>0</v>
      </c>
      <c r="G105" s="612" t="s">
        <v>63</v>
      </c>
      <c r="H105" s="671" t="str">
        <f>vlookup(A105,'TX Data'!$I$2699:$J$2952,2,FALSE)</f>
        <v>NULL</v>
      </c>
      <c r="I105" s="614" t="str">
        <f>ifna(vlookup(A105,'TX Data'!$A$2319:$B$2521,2,FALSE),"NULL")</f>
        <v>NULL</v>
      </c>
      <c r="J105" s="615" t="s">
        <v>63</v>
      </c>
      <c r="K105" s="672" t="s">
        <v>63</v>
      </c>
      <c r="L105" s="671">
        <f>ifna(vlookup(A105,'TX Data'!$A$1498:$B$1702,2,FALSE),"NULL")</f>
        <v>11</v>
      </c>
      <c r="M105" s="614" t="s">
        <v>63</v>
      </c>
      <c r="N105" s="612" t="s">
        <v>63</v>
      </c>
      <c r="O105" s="612" t="s">
        <v>63</v>
      </c>
      <c r="P105" s="620">
        <f>ifna(vlookup(A105,'Population &amp; Church Numbers'!$A$2526:$D$2779,4,FALSE),"NULL")</f>
        <v>10</v>
      </c>
      <c r="Q105" s="674" t="s">
        <v>63</v>
      </c>
    </row>
    <row r="106">
      <c r="A106" s="609" t="s">
        <v>980</v>
      </c>
      <c r="B106" s="610">
        <f t="array" ref="B106">VLOOKUP($A106,TX_DEMO,2,FALSE)</f>
        <v>5416</v>
      </c>
      <c r="C106" s="704">
        <f>vlookup(A106,'TX Data'!$A$4:$B$259,2,FALSE)</f>
        <v>15</v>
      </c>
      <c r="D106" s="612" t="s">
        <v>63</v>
      </c>
      <c r="E106" s="612">
        <f>vlookup(A106,'TX Data'!$A$4:$D$259,3,FALSE)</f>
        <v>11</v>
      </c>
      <c r="F106" s="612">
        <f>vlookup(A106,'TX Data'!$A$4:$D$259,4,FALSE)</f>
        <v>4</v>
      </c>
      <c r="G106" s="612" t="s">
        <v>63</v>
      </c>
      <c r="H106" s="671">
        <f>vlookup(A106,'TX Data'!$I$2699:$J$2952,2,FALSE)</f>
        <v>1</v>
      </c>
      <c r="I106" s="614">
        <f>ifna(vlookup(A106,'TX Data'!$A$2319:$B$2521,2,FALSE),"NULL")</f>
        <v>2</v>
      </c>
      <c r="J106" s="615" t="s">
        <v>63</v>
      </c>
      <c r="K106" s="672" t="s">
        <v>63</v>
      </c>
      <c r="L106" s="671">
        <f>ifna(vlookup(A106,'TX Data'!$A$1498:$B$1702,2,FALSE),"NULL")</f>
        <v>2</v>
      </c>
      <c r="M106" s="614" t="s">
        <v>63</v>
      </c>
      <c r="N106" s="612" t="s">
        <v>63</v>
      </c>
      <c r="O106" s="612" t="s">
        <v>63</v>
      </c>
      <c r="P106" s="620">
        <f>ifna(vlookup(A106,'Population &amp; Church Numbers'!$A$2526:$D$2779,4,FALSE),"NULL")</f>
        <v>19</v>
      </c>
      <c r="Q106" s="674" t="s">
        <v>63</v>
      </c>
    </row>
    <row r="107">
      <c r="A107" s="609" t="s">
        <v>2083</v>
      </c>
      <c r="B107" s="610">
        <f t="array" ref="B107">VLOOKUP($A107,TX_DEMO,2,FALSE)</f>
        <v>241067</v>
      </c>
      <c r="C107" s="704">
        <f>vlookup(A107,'TX Data'!$A$4:$B$259,2,FALSE)</f>
        <v>106</v>
      </c>
      <c r="D107" s="612" t="s">
        <v>63</v>
      </c>
      <c r="E107" s="612">
        <f>vlookup(A107,'TX Data'!$A$4:$D$259,3,FALSE)</f>
        <v>44</v>
      </c>
      <c r="F107" s="612">
        <f>vlookup(A107,'TX Data'!$A$4:$D$259,4,FALSE)</f>
        <v>40</v>
      </c>
      <c r="G107" s="612" t="s">
        <v>63</v>
      </c>
      <c r="H107" s="671">
        <f>vlookup(A107,'TX Data'!$I$2699:$J$2952,2,FALSE)</f>
        <v>77</v>
      </c>
      <c r="I107" s="614">
        <f>ifna(vlookup(A107,'TX Data'!$A$2319:$B$2521,2,FALSE),"NULL")</f>
        <v>25</v>
      </c>
      <c r="J107" s="615" t="s">
        <v>63</v>
      </c>
      <c r="K107" s="672" t="s">
        <v>63</v>
      </c>
      <c r="L107" s="671">
        <f>ifna(vlookup(A107,'TX Data'!$A$1498:$B$1702,2,FALSE),"NULL")</f>
        <v>294</v>
      </c>
      <c r="M107" s="614" t="s">
        <v>63</v>
      </c>
      <c r="N107" s="612" t="s">
        <v>63</v>
      </c>
      <c r="O107" s="612" t="s">
        <v>63</v>
      </c>
      <c r="P107" s="620">
        <f>ifna(vlookup(A107,'Population &amp; Church Numbers'!$A$2526:$D$2779,4,FALSE),"NULL")</f>
        <v>89</v>
      </c>
      <c r="Q107" s="674" t="s">
        <v>63</v>
      </c>
    </row>
    <row r="108">
      <c r="A108" s="609" t="s">
        <v>2084</v>
      </c>
      <c r="B108" s="610">
        <f t="array" ref="B108">VLOOKUP($A108,TX_DEMO,2,FALSE)</f>
        <v>3382</v>
      </c>
      <c r="C108" s="704">
        <f>vlookup(A108,'TX Data'!$A$4:$B$259,2,FALSE)</f>
        <v>2</v>
      </c>
      <c r="D108" s="612" t="s">
        <v>63</v>
      </c>
      <c r="E108" s="612">
        <f>vlookup(A108,'TX Data'!$A$4:$D$259,3,FALSE)</f>
        <v>1</v>
      </c>
      <c r="F108" s="612">
        <f>vlookup(A108,'TX Data'!$A$4:$D$259,4,FALSE)</f>
        <v>0</v>
      </c>
      <c r="G108" s="612" t="s">
        <v>63</v>
      </c>
      <c r="H108" s="671">
        <f>vlookup(A108,'TX Data'!$I$2699:$J$2952,2,FALSE)</f>
        <v>3</v>
      </c>
      <c r="I108" s="614" t="str">
        <f>ifna(vlookup(A108,'TX Data'!$A$2319:$B$2521,2,FALSE),"NULL")</f>
        <v>NULL</v>
      </c>
      <c r="J108" s="615" t="s">
        <v>63</v>
      </c>
      <c r="K108" s="672" t="s">
        <v>63</v>
      </c>
      <c r="L108" s="671">
        <f>ifna(vlookup(A108,'TX Data'!$A$1498:$B$1702,2,FALSE),"NULL")</f>
        <v>5</v>
      </c>
      <c r="M108" s="614" t="s">
        <v>63</v>
      </c>
      <c r="N108" s="612" t="s">
        <v>63</v>
      </c>
      <c r="O108" s="612" t="s">
        <v>63</v>
      </c>
      <c r="P108" s="620">
        <f>ifna(vlookup(A108,'Population &amp; Church Numbers'!$A$2526:$D$2779,4,FALSE),"NULL")</f>
        <v>9</v>
      </c>
      <c r="Q108" s="674" t="s">
        <v>63</v>
      </c>
    </row>
    <row r="109">
      <c r="A109" s="609" t="s">
        <v>722</v>
      </c>
      <c r="B109" s="610">
        <f t="array" ref="B109">VLOOKUP($A109,TX_DEMO,2,FALSE)</f>
        <v>82150</v>
      </c>
      <c r="C109" s="704">
        <f>vlookup(A109,'TX Data'!$A$4:$B$259,2,FALSE)</f>
        <v>111</v>
      </c>
      <c r="D109" s="612" t="s">
        <v>63</v>
      </c>
      <c r="E109" s="612">
        <f>vlookup(A109,'TX Data'!$A$4:$D$259,3,FALSE)</f>
        <v>35</v>
      </c>
      <c r="F109" s="612">
        <f>vlookup(A109,'TX Data'!$A$4:$D$259,4,FALSE)</f>
        <v>51</v>
      </c>
      <c r="G109" s="612" t="s">
        <v>63</v>
      </c>
      <c r="H109" s="671">
        <f>vlookup(A109,'TX Data'!$I$2699:$J$2952,2,FALSE)</f>
        <v>33</v>
      </c>
      <c r="I109" s="614">
        <f>ifna(vlookup(A109,'TX Data'!$A$2319:$B$2521,2,FALSE),"NULL")</f>
        <v>36</v>
      </c>
      <c r="J109" s="615" t="s">
        <v>63</v>
      </c>
      <c r="K109" s="672" t="s">
        <v>63</v>
      </c>
      <c r="L109" s="671">
        <f>ifna(vlookup(A109,'TX Data'!$A$1498:$B$1702,2,FALSE),"NULL")</f>
        <v>275</v>
      </c>
      <c r="M109" s="614" t="s">
        <v>63</v>
      </c>
      <c r="N109" s="612" t="s">
        <v>63</v>
      </c>
      <c r="O109" s="612" t="s">
        <v>63</v>
      </c>
      <c r="P109" s="620">
        <f>ifna(vlookup(A109,'Population &amp; Church Numbers'!$A$2526:$D$2779,4,FALSE),"NULL")</f>
        <v>114</v>
      </c>
      <c r="Q109" s="674" t="s">
        <v>63</v>
      </c>
    </row>
    <row r="110">
      <c r="A110" s="609" t="s">
        <v>480</v>
      </c>
      <c r="B110" s="610">
        <f t="array" ref="B110">VLOOKUP($A110,TX_DEMO,2,FALSE)</f>
        <v>870781</v>
      </c>
      <c r="C110" s="704">
        <f>vlookup(A110,'TX Data'!$A$4:$B$259,2,FALSE)</f>
        <v>235</v>
      </c>
      <c r="D110" s="612" t="s">
        <v>63</v>
      </c>
      <c r="E110" s="612">
        <f>vlookup(A110,'TX Data'!$A$4:$D$259,3,FALSE)</f>
        <v>99</v>
      </c>
      <c r="F110" s="612">
        <f>vlookup(A110,'TX Data'!$A$4:$D$259,4,FALSE)</f>
        <v>82</v>
      </c>
      <c r="G110" s="612" t="s">
        <v>63</v>
      </c>
      <c r="H110" s="671">
        <f>vlookup(A110,'TX Data'!$I$2699:$J$2952,2,FALSE)</f>
        <v>100</v>
      </c>
      <c r="I110" s="614">
        <f>ifna(vlookup(A110,'TX Data'!$A$2319:$B$2521,2,FALSE),"NULL")</f>
        <v>27</v>
      </c>
      <c r="J110" s="615" t="s">
        <v>63</v>
      </c>
      <c r="K110" s="672" t="s">
        <v>63</v>
      </c>
      <c r="L110" s="671">
        <f>ifna(vlookup(A110,'TX Data'!$A$1498:$B$1702,2,FALSE),"NULL")</f>
        <v>1647</v>
      </c>
      <c r="M110" s="614" t="s">
        <v>63</v>
      </c>
      <c r="N110" s="612" t="s">
        <v>63</v>
      </c>
      <c r="O110" s="612" t="s">
        <v>63</v>
      </c>
      <c r="P110" s="620">
        <f>ifna(vlookup(A110,'Population &amp; Church Numbers'!$A$2526:$D$2779,4,FALSE),"NULL")</f>
        <v>210</v>
      </c>
      <c r="Q110" s="674" t="s">
        <v>63</v>
      </c>
    </row>
    <row r="111">
      <c r="A111" s="609" t="s">
        <v>1445</v>
      </c>
      <c r="B111" s="610">
        <f t="array" ref="B111">VLOOKUP($A111,TX_DEMO,2,FALSE)</f>
        <v>35874</v>
      </c>
      <c r="C111" s="704">
        <f>vlookup(A111,'TX Data'!$A$4:$B$259,2,FALSE)</f>
        <v>68</v>
      </c>
      <c r="D111" s="612" t="s">
        <v>63</v>
      </c>
      <c r="E111" s="612">
        <f>vlookup(A111,'TX Data'!$A$4:$D$259,3,FALSE)</f>
        <v>13</v>
      </c>
      <c r="F111" s="612">
        <f>vlookup(A111,'TX Data'!$A$4:$D$259,4,FALSE)</f>
        <v>41</v>
      </c>
      <c r="G111" s="612" t="s">
        <v>63</v>
      </c>
      <c r="H111" s="671">
        <f>vlookup(A111,'TX Data'!$I$2699:$J$2952,2,FALSE)</f>
        <v>12</v>
      </c>
      <c r="I111" s="614">
        <f>ifna(vlookup(A111,'TX Data'!$A$2319:$B$2521,2,FALSE),"NULL")</f>
        <v>23</v>
      </c>
      <c r="J111" s="615" t="s">
        <v>63</v>
      </c>
      <c r="K111" s="672" t="s">
        <v>63</v>
      </c>
      <c r="L111" s="671">
        <f>ifna(vlookup(A111,'TX Data'!$A$1498:$B$1702,2,FALSE),"NULL")</f>
        <v>96</v>
      </c>
      <c r="M111" s="614" t="s">
        <v>63</v>
      </c>
      <c r="N111" s="612" t="s">
        <v>63</v>
      </c>
      <c r="O111" s="612" t="s">
        <v>63</v>
      </c>
      <c r="P111" s="620">
        <f>ifna(vlookup(A111,'Population &amp; Church Numbers'!$A$2526:$D$2779,4,FALSE),"NULL")</f>
        <v>54</v>
      </c>
      <c r="Q111" s="674" t="s">
        <v>63</v>
      </c>
    </row>
    <row r="112">
      <c r="A112" s="609" t="s">
        <v>2087</v>
      </c>
      <c r="B112" s="610">
        <f t="array" ref="B112">VLOOKUP($A112,TX_DEMO,2,FALSE)</f>
        <v>21537</v>
      </c>
      <c r="C112" s="704">
        <f>vlookup(A112,'TX Data'!$A$4:$B$259,2,FALSE)</f>
        <v>22</v>
      </c>
      <c r="D112" s="612" t="s">
        <v>63</v>
      </c>
      <c r="E112" s="612">
        <f>vlookup(A112,'TX Data'!$A$4:$D$259,3,FALSE)</f>
        <v>3</v>
      </c>
      <c r="F112" s="612">
        <f>vlookup(A112,'TX Data'!$A$4:$D$259,4,FALSE)</f>
        <v>14</v>
      </c>
      <c r="G112" s="612" t="s">
        <v>63</v>
      </c>
      <c r="H112" s="671">
        <f>vlookup(A112,'TX Data'!$I$2699:$J$2952,2,FALSE)</f>
        <v>9</v>
      </c>
      <c r="I112" s="614">
        <f>ifna(vlookup(A112,'TX Data'!$A$2319:$B$2521,2,FALSE),"NULL")</f>
        <v>9</v>
      </c>
      <c r="J112" s="615" t="s">
        <v>63</v>
      </c>
      <c r="K112" s="672" t="s">
        <v>63</v>
      </c>
      <c r="L112" s="671">
        <f>ifna(vlookup(A112,'TX Data'!$A$1498:$B$1702,2,FALSE),"NULL")</f>
        <v>68</v>
      </c>
      <c r="M112" s="614" t="s">
        <v>63</v>
      </c>
      <c r="N112" s="612" t="s">
        <v>63</v>
      </c>
      <c r="O112" s="612" t="s">
        <v>63</v>
      </c>
      <c r="P112" s="620">
        <f>ifna(vlookup(A112,'Population &amp; Church Numbers'!$A$2526:$D$2779,4,FALSE),"NULL")</f>
        <v>34</v>
      </c>
      <c r="Q112" s="674" t="s">
        <v>63</v>
      </c>
    </row>
    <row r="113">
      <c r="A113" s="609" t="s">
        <v>2088</v>
      </c>
      <c r="B113" s="610">
        <f t="array" ref="B113">VLOOKUP($A113,TX_DEMO,2,FALSE)</f>
        <v>61598</v>
      </c>
      <c r="C113" s="704">
        <f>vlookup(A113,'TX Data'!$A$4:$B$259,2,FALSE)</f>
        <v>48</v>
      </c>
      <c r="D113" s="612" t="s">
        <v>63</v>
      </c>
      <c r="E113" s="612">
        <f>vlookup(A113,'TX Data'!$A$4:$D$259,3,FALSE)</f>
        <v>19</v>
      </c>
      <c r="F113" s="612">
        <f>vlookup(A113,'TX Data'!$A$4:$D$259,4,FALSE)</f>
        <v>15</v>
      </c>
      <c r="G113" s="612" t="s">
        <v>63</v>
      </c>
      <c r="H113" s="671">
        <f>vlookup(A113,'TX Data'!$I$2699:$J$2952,2,FALSE)</f>
        <v>18</v>
      </c>
      <c r="I113" s="614">
        <f>ifna(vlookup(A113,'TX Data'!$A$2319:$B$2521,2,FALSE),"NULL")</f>
        <v>11</v>
      </c>
      <c r="J113" s="615" t="s">
        <v>63</v>
      </c>
      <c r="K113" s="672" t="s">
        <v>63</v>
      </c>
      <c r="L113" s="671">
        <f>ifna(vlookup(A113,'TX Data'!$A$1498:$B$1702,2,FALSE),"NULL")</f>
        <v>133</v>
      </c>
      <c r="M113" s="614" t="s">
        <v>63</v>
      </c>
      <c r="N113" s="612" t="s">
        <v>63</v>
      </c>
      <c r="O113" s="612" t="s">
        <v>63</v>
      </c>
      <c r="P113" s="620">
        <f>ifna(vlookup(A113,'Population &amp; Church Numbers'!$A$2526:$D$2779,4,FALSE),"NULL")</f>
        <v>43</v>
      </c>
      <c r="Q113" s="674" t="s">
        <v>63</v>
      </c>
    </row>
    <row r="114">
      <c r="A114" s="609" t="s">
        <v>1099</v>
      </c>
      <c r="B114" s="610">
        <f t="array" ref="B114">VLOOKUP($A114,TX_DEMO,2,FALSE)</f>
        <v>36787</v>
      </c>
      <c r="C114" s="704">
        <f>vlookup(A114,'TX Data'!$A$4:$B$259,2,FALSE)</f>
        <v>45</v>
      </c>
      <c r="D114" s="612" t="s">
        <v>63</v>
      </c>
      <c r="E114" s="612">
        <f>vlookup(A114,'TX Data'!$A$4:$D$259,3,FALSE)</f>
        <v>18</v>
      </c>
      <c r="F114" s="612">
        <f>vlookup(A114,'TX Data'!$A$4:$D$259,4,FALSE)</f>
        <v>21</v>
      </c>
      <c r="G114" s="612" t="s">
        <v>63</v>
      </c>
      <c r="H114" s="671">
        <f>vlookup(A114,'TX Data'!$I$2699:$J$2952,2,FALSE)</f>
        <v>19</v>
      </c>
      <c r="I114" s="614">
        <f>ifna(vlookup(A114,'TX Data'!$A$2319:$B$2521,2,FALSE),"NULL")</f>
        <v>15</v>
      </c>
      <c r="J114" s="615" t="s">
        <v>63</v>
      </c>
      <c r="K114" s="672" t="s">
        <v>63</v>
      </c>
      <c r="L114" s="671">
        <f>ifna(vlookup(A114,'TX Data'!$A$1498:$B$1702,2,FALSE),"NULL")</f>
        <v>119</v>
      </c>
      <c r="M114" s="614" t="s">
        <v>63</v>
      </c>
      <c r="N114" s="612" t="s">
        <v>63</v>
      </c>
      <c r="O114" s="612" t="s">
        <v>63</v>
      </c>
      <c r="P114" s="620">
        <f>ifna(vlookup(A114,'Population &amp; Church Numbers'!$A$2526:$D$2779,4,FALSE),"NULL")</f>
        <v>47</v>
      </c>
      <c r="Q114" s="674" t="s">
        <v>63</v>
      </c>
    </row>
    <row r="115">
      <c r="A115" s="609" t="s">
        <v>141</v>
      </c>
      <c r="B115" s="610">
        <f t="array" ref="B115">VLOOKUP($A115,TX_DEMO,2,FALSE)</f>
        <v>22066</v>
      </c>
      <c r="C115" s="704">
        <f>vlookup(A115,'TX Data'!$A$4:$B$259,2,FALSE)</f>
        <v>24</v>
      </c>
      <c r="D115" s="612" t="s">
        <v>63</v>
      </c>
      <c r="E115" s="612">
        <f>vlookup(A115,'TX Data'!$A$4:$D$259,3,FALSE)</f>
        <v>9</v>
      </c>
      <c r="F115" s="612">
        <f>vlookup(A115,'TX Data'!$A$4:$D$259,4,FALSE)</f>
        <v>12</v>
      </c>
      <c r="G115" s="612" t="s">
        <v>63</v>
      </c>
      <c r="H115" s="671">
        <f>vlookup(A115,'TX Data'!$I$2699:$J$2952,2,FALSE)</f>
        <v>2</v>
      </c>
      <c r="I115" s="614">
        <f>ifna(vlookup(A115,'TX Data'!$A$2319:$B$2521,2,FALSE),"NULL")</f>
        <v>6</v>
      </c>
      <c r="J115" s="615" t="s">
        <v>63</v>
      </c>
      <c r="K115" s="672" t="s">
        <v>63</v>
      </c>
      <c r="L115" s="671">
        <f>ifna(vlookup(A115,'TX Data'!$A$1498:$B$1702,2,FALSE),"NULL")</f>
        <v>18</v>
      </c>
      <c r="M115" s="614" t="s">
        <v>63</v>
      </c>
      <c r="N115" s="612" t="s">
        <v>63</v>
      </c>
      <c r="O115" s="612" t="s">
        <v>63</v>
      </c>
      <c r="P115" s="620">
        <f>ifna(vlookup(A115,'Population &amp; Church Numbers'!$A$2526:$D$2779,4,FALSE),"NULL")</f>
        <v>48</v>
      </c>
      <c r="Q115" s="674" t="s">
        <v>63</v>
      </c>
    </row>
    <row r="116">
      <c r="A116" s="609" t="s">
        <v>283</v>
      </c>
      <c r="B116" s="610">
        <f t="array" ref="B116">VLOOKUP($A116,TX_DEMO,2,FALSE)</f>
        <v>34860</v>
      </c>
      <c r="C116" s="704">
        <f>vlookup(A116,'TX Data'!$A$4:$B$259,2,FALSE)</f>
        <v>31</v>
      </c>
      <c r="D116" s="612" t="s">
        <v>63</v>
      </c>
      <c r="E116" s="612">
        <f>vlookup(A116,'TX Data'!$A$4:$D$259,3,FALSE)</f>
        <v>13</v>
      </c>
      <c r="F116" s="612">
        <f>vlookup(A116,'TX Data'!$A$4:$D$259,4,FALSE)</f>
        <v>14</v>
      </c>
      <c r="G116" s="612" t="s">
        <v>63</v>
      </c>
      <c r="H116" s="671">
        <f>vlookup(A116,'TX Data'!$I$2699:$J$2952,2,FALSE)</f>
        <v>5</v>
      </c>
      <c r="I116" s="614">
        <f>ifna(vlookup(A116,'TX Data'!$A$2319:$B$2521,2,FALSE),"NULL")</f>
        <v>5</v>
      </c>
      <c r="J116" s="615" t="s">
        <v>63</v>
      </c>
      <c r="K116" s="672" t="s">
        <v>63</v>
      </c>
      <c r="L116" s="671">
        <f>ifna(vlookup(A116,'TX Data'!$A$1498:$B$1702,2,FALSE),"NULL")</f>
        <v>58</v>
      </c>
      <c r="M116" s="614" t="s">
        <v>63</v>
      </c>
      <c r="N116" s="612" t="s">
        <v>63</v>
      </c>
      <c r="O116" s="612" t="s">
        <v>63</v>
      </c>
      <c r="P116" s="620">
        <f>ifna(vlookup(A116,'Population &amp; Church Numbers'!$A$2526:$D$2779,4,FALSE),"NULL")</f>
        <v>32</v>
      </c>
      <c r="Q116" s="674" t="s">
        <v>63</v>
      </c>
    </row>
    <row r="117">
      <c r="A117" s="609" t="s">
        <v>2089</v>
      </c>
      <c r="B117" s="610">
        <f t="array" ref="B117">VLOOKUP($A117,TX_DEMO,2,FALSE)</f>
        <v>3202</v>
      </c>
      <c r="C117" s="704">
        <f>vlookup(A117,'TX Data'!$A$4:$B$259,2,FALSE)</f>
        <v>0</v>
      </c>
      <c r="D117" s="612" t="s">
        <v>63</v>
      </c>
      <c r="E117" s="612">
        <f>vlookup(A117,'TX Data'!$A$4:$D$259,3,FALSE)</f>
        <v>0</v>
      </c>
      <c r="F117" s="612">
        <f>vlookup(A117,'TX Data'!$A$4:$D$259,4,FALSE)</f>
        <v>0</v>
      </c>
      <c r="G117" s="612" t="s">
        <v>63</v>
      </c>
      <c r="H117" s="671">
        <f>vlookup(A117,'TX Data'!$I$2699:$J$2952,2,FALSE)</f>
        <v>1</v>
      </c>
      <c r="I117" s="614" t="str">
        <f>ifna(vlookup(A117,'TX Data'!$A$2319:$B$2521,2,FALSE),"NULL")</f>
        <v>NULL</v>
      </c>
      <c r="J117" s="615" t="s">
        <v>63</v>
      </c>
      <c r="K117" s="672" t="s">
        <v>63</v>
      </c>
      <c r="L117" s="671" t="str">
        <f>ifna(vlookup(A117,'TX Data'!$A$1498:$B$1702,2,FALSE),"NULL")</f>
        <v>NULL</v>
      </c>
      <c r="M117" s="614" t="s">
        <v>63</v>
      </c>
      <c r="N117" s="612" t="s">
        <v>63</v>
      </c>
      <c r="O117" s="612" t="s">
        <v>63</v>
      </c>
      <c r="P117" s="620">
        <f>ifna(vlookup(A117,'Population &amp; Church Numbers'!$A$2526:$D$2779,4,FALSE),"NULL")</f>
        <v>4</v>
      </c>
      <c r="Q117" s="674" t="s">
        <v>63</v>
      </c>
    </row>
    <row r="118">
      <c r="A118" s="609" t="s">
        <v>2090</v>
      </c>
      <c r="B118" s="610">
        <f t="array" ref="B118">VLOOKUP($A118,TX_DEMO,2,FALSE)</f>
        <v>99956</v>
      </c>
      <c r="C118" s="704">
        <f>vlookup(A118,'TX Data'!$A$4:$B$259,2,FALSE)</f>
        <v>73</v>
      </c>
      <c r="D118" s="612" t="s">
        <v>63</v>
      </c>
      <c r="E118" s="612">
        <f>vlookup(A118,'TX Data'!$A$4:$D$259,3,FALSE)</f>
        <v>24</v>
      </c>
      <c r="F118" s="612">
        <f>vlookup(A118,'TX Data'!$A$4:$D$259,4,FALSE)</f>
        <v>36</v>
      </c>
      <c r="G118" s="612" t="s">
        <v>63</v>
      </c>
      <c r="H118" s="671">
        <f>vlookup(A118,'TX Data'!$I$2699:$J$2952,2,FALSE)</f>
        <v>31</v>
      </c>
      <c r="I118" s="614">
        <f>ifna(vlookup(A118,'TX Data'!$A$2319:$B$2521,2,FALSE),"NULL")</f>
        <v>21</v>
      </c>
      <c r="J118" s="615" t="s">
        <v>63</v>
      </c>
      <c r="K118" s="672" t="s">
        <v>63</v>
      </c>
      <c r="L118" s="671">
        <f>ifna(vlookup(A118,'TX Data'!$A$1498:$B$1702,2,FALSE),"NULL")</f>
        <v>118</v>
      </c>
      <c r="M118" s="614" t="s">
        <v>63</v>
      </c>
      <c r="N118" s="612" t="s">
        <v>63</v>
      </c>
      <c r="O118" s="612" t="s">
        <v>63</v>
      </c>
      <c r="P118" s="620">
        <f>ifna(vlookup(A118,'Population &amp; Church Numbers'!$A$2526:$D$2779,4,FALSE),"NULL")</f>
        <v>117</v>
      </c>
      <c r="Q118" s="674" t="s">
        <v>63</v>
      </c>
    </row>
    <row r="119">
      <c r="A119" s="609" t="s">
        <v>1860</v>
      </c>
      <c r="B119" s="610">
        <f t="array" ref="B119">VLOOKUP($A119,TX_DEMO,2,FALSE)</f>
        <v>20617</v>
      </c>
      <c r="C119" s="704">
        <f>vlookup(A119,'TX Data'!$A$4:$B$259,2,FALSE)</f>
        <v>44</v>
      </c>
      <c r="D119" s="612" t="s">
        <v>63</v>
      </c>
      <c r="E119" s="612">
        <f>vlookup(A119,'TX Data'!$A$4:$D$259,3,FALSE)</f>
        <v>14</v>
      </c>
      <c r="F119" s="612">
        <f>vlookup(A119,'TX Data'!$A$4:$D$259,4,FALSE)</f>
        <v>12</v>
      </c>
      <c r="G119" s="612" t="s">
        <v>63</v>
      </c>
      <c r="H119" s="671">
        <f>vlookup(A119,'TX Data'!$I$2699:$J$2952,2,FALSE)</f>
        <v>5</v>
      </c>
      <c r="I119" s="614">
        <f>ifna(vlookup(A119,'TX Data'!$A$2319:$B$2521,2,FALSE),"NULL")</f>
        <v>14</v>
      </c>
      <c r="J119" s="615" t="s">
        <v>63</v>
      </c>
      <c r="K119" s="672" t="s">
        <v>63</v>
      </c>
      <c r="L119" s="671">
        <f>ifna(vlookup(A119,'TX Data'!$A$1498:$B$1702,2,FALSE),"NULL")</f>
        <v>117</v>
      </c>
      <c r="M119" s="614" t="s">
        <v>63</v>
      </c>
      <c r="N119" s="612" t="s">
        <v>63</v>
      </c>
      <c r="O119" s="612" t="s">
        <v>63</v>
      </c>
      <c r="P119" s="620">
        <f>ifna(vlookup(A119,'Population &amp; Church Numbers'!$A$2526:$D$2779,4,FALSE),"NULL")</f>
        <v>43</v>
      </c>
      <c r="Q119" s="674" t="s">
        <v>63</v>
      </c>
    </row>
    <row r="120">
      <c r="A120" s="609" t="s">
        <v>2093</v>
      </c>
      <c r="B120" s="610">
        <f t="array" ref="B120">VLOOKUP($A120,TX_DEMO,2,FALSE)</f>
        <v>1513</v>
      </c>
      <c r="C120" s="704">
        <f>vlookup(A120,'TX Data'!$A$4:$B$259,2,FALSE)</f>
        <v>0</v>
      </c>
      <c r="D120" s="612" t="s">
        <v>63</v>
      </c>
      <c r="E120" s="612">
        <f>vlookup(A120,'TX Data'!$A$4:$D$259,3,FALSE)</f>
        <v>0</v>
      </c>
      <c r="F120" s="612">
        <f>vlookup(A120,'TX Data'!$A$4:$D$259,4,FALSE)</f>
        <v>0</v>
      </c>
      <c r="G120" s="612" t="s">
        <v>63</v>
      </c>
      <c r="H120" s="671" t="str">
        <f>vlookup(A120,'TX Data'!$I$2699:$J$2952,2,FALSE)</f>
        <v>NULL</v>
      </c>
      <c r="I120" s="614">
        <f>ifna(vlookup(A120,'TX Data'!$A$2319:$B$2521,2,FALSE),"NULL")</f>
        <v>0</v>
      </c>
      <c r="J120" s="615" t="s">
        <v>63</v>
      </c>
      <c r="K120" s="672" t="s">
        <v>63</v>
      </c>
      <c r="L120" s="671">
        <f>ifna(vlookup(A120,'TX Data'!$A$1498:$B$1702,2,FALSE),"NULL")</f>
        <v>1</v>
      </c>
      <c r="M120" s="614" t="s">
        <v>63</v>
      </c>
      <c r="N120" s="612" t="s">
        <v>63</v>
      </c>
      <c r="O120" s="612" t="s">
        <v>63</v>
      </c>
      <c r="P120" s="620">
        <f>ifna(vlookup(A120,'Population &amp; Church Numbers'!$A$2526:$D$2779,4,FALSE),"NULL")</f>
        <v>2</v>
      </c>
      <c r="Q120" s="674" t="s">
        <v>63</v>
      </c>
    </row>
    <row r="121">
      <c r="A121" s="609" t="s">
        <v>2094</v>
      </c>
      <c r="B121" s="610">
        <f t="array" ref="B121">VLOOKUP($A121,TX_DEMO,2,FALSE)</f>
        <v>8472</v>
      </c>
      <c r="C121" s="704">
        <f>vlookup(A121,'TX Data'!$A$4:$B$259,2,FALSE)</f>
        <v>7</v>
      </c>
      <c r="D121" s="612" t="s">
        <v>63</v>
      </c>
      <c r="E121" s="612">
        <f>vlookup(A121,'TX Data'!$A$4:$D$259,3,FALSE)</f>
        <v>4</v>
      </c>
      <c r="F121" s="612">
        <f>vlookup(A121,'TX Data'!$A$4:$D$259,4,FALSE)</f>
        <v>0</v>
      </c>
      <c r="G121" s="612" t="s">
        <v>63</v>
      </c>
      <c r="H121" s="671">
        <f>vlookup(A121,'TX Data'!$I$2699:$J$2952,2,FALSE)</f>
        <v>4</v>
      </c>
      <c r="I121" s="614">
        <f>ifna(vlookup(A121,'TX Data'!$A$2319:$B$2521,2,FALSE),"NULL")</f>
        <v>3</v>
      </c>
      <c r="J121" s="615" t="s">
        <v>63</v>
      </c>
      <c r="K121" s="672" t="s">
        <v>63</v>
      </c>
      <c r="L121" s="671">
        <f>ifna(vlookup(A121,'TX Data'!$A$1498:$B$1702,2,FALSE),"NULL")</f>
        <v>19</v>
      </c>
      <c r="M121" s="614" t="s">
        <v>63</v>
      </c>
      <c r="N121" s="612" t="s">
        <v>63</v>
      </c>
      <c r="O121" s="612" t="s">
        <v>63</v>
      </c>
      <c r="P121" s="620">
        <f>ifna(vlookup(A121,'Population &amp; Church Numbers'!$A$2526:$D$2779,4,FALSE),"NULL")</f>
        <v>17</v>
      </c>
      <c r="Q121" s="674" t="s">
        <v>63</v>
      </c>
    </row>
    <row r="122">
      <c r="A122" s="609" t="s">
        <v>142</v>
      </c>
      <c r="B122" s="610">
        <f t="array" ref="B122">VLOOKUP($A122,TX_DEMO,2,FALSE)</f>
        <v>14988</v>
      </c>
      <c r="C122" s="704">
        <f>vlookup(A122,'TX Data'!$A$4:$B$259,2,FALSE)</f>
        <v>3</v>
      </c>
      <c r="D122" s="612" t="s">
        <v>63</v>
      </c>
      <c r="E122" s="612">
        <f>vlookup(A122,'TX Data'!$A$4:$D$259,3,FALSE)</f>
        <v>2</v>
      </c>
      <c r="F122" s="612">
        <f>vlookup(A122,'TX Data'!$A$4:$D$259,4,FALSE)</f>
        <v>1</v>
      </c>
      <c r="G122" s="612" t="s">
        <v>63</v>
      </c>
      <c r="H122" s="671">
        <f>vlookup(A122,'TX Data'!$I$2699:$J$2952,2,FALSE)</f>
        <v>1</v>
      </c>
      <c r="I122" s="614">
        <f>ifna(vlookup(A122,'TX Data'!$A$2319:$B$2521,2,FALSE),"NULL")</f>
        <v>1</v>
      </c>
      <c r="J122" s="615" t="s">
        <v>63</v>
      </c>
      <c r="K122" s="672" t="s">
        <v>63</v>
      </c>
      <c r="L122" s="671">
        <f>ifna(vlookup(A122,'TX Data'!$A$1498:$B$1702,2,FALSE),"NULL")</f>
        <v>30</v>
      </c>
      <c r="M122" s="614" t="s">
        <v>63</v>
      </c>
      <c r="N122" s="612" t="s">
        <v>63</v>
      </c>
      <c r="O122" s="612" t="s">
        <v>63</v>
      </c>
      <c r="P122" s="620">
        <f>ifna(vlookup(A122,'Population &amp; Church Numbers'!$A$2526:$D$2779,4,FALSE),"NULL")</f>
        <v>29</v>
      </c>
      <c r="Q122" s="674" t="s">
        <v>63</v>
      </c>
    </row>
    <row r="123">
      <c r="A123" s="609" t="s">
        <v>593</v>
      </c>
      <c r="B123" s="610">
        <f t="array" ref="B123">VLOOKUP($A123,TX_DEMO,2,FALSE)</f>
        <v>32980</v>
      </c>
      <c r="C123" s="704">
        <f>vlookup(A123,'TX Data'!$A$4:$B$259,2,FALSE)</f>
        <v>50</v>
      </c>
      <c r="D123" s="612" t="s">
        <v>63</v>
      </c>
      <c r="E123" s="612">
        <f>vlookup(A123,'TX Data'!$A$4:$D$259,3,FALSE)</f>
        <v>16</v>
      </c>
      <c r="F123" s="612">
        <f>vlookup(A123,'TX Data'!$A$4:$D$259,4,FALSE)</f>
        <v>30</v>
      </c>
      <c r="G123" s="612" t="s">
        <v>63</v>
      </c>
      <c r="H123" s="671">
        <f>vlookup(A123,'TX Data'!$I$2699:$J$2952,2,FALSE)</f>
        <v>9</v>
      </c>
      <c r="I123" s="614">
        <f>ifna(vlookup(A123,'TX Data'!$A$2319:$B$2521,2,FALSE),"NULL")</f>
        <v>13</v>
      </c>
      <c r="J123" s="615" t="s">
        <v>63</v>
      </c>
      <c r="K123" s="672" t="s">
        <v>63</v>
      </c>
      <c r="L123" s="671">
        <f>ifna(vlookup(A123,'TX Data'!$A$1498:$B$1702,2,FALSE),"NULL")</f>
        <v>58</v>
      </c>
      <c r="M123" s="614" t="s">
        <v>63</v>
      </c>
      <c r="N123" s="612" t="s">
        <v>63</v>
      </c>
      <c r="O123" s="612" t="s">
        <v>63</v>
      </c>
      <c r="P123" s="620">
        <f>ifna(vlookup(A123,'Population &amp; Church Numbers'!$A$2526:$D$2779,4,FALSE),"NULL")</f>
        <v>50</v>
      </c>
      <c r="Q123" s="674" t="s">
        <v>63</v>
      </c>
    </row>
    <row r="124">
      <c r="A124" s="609" t="s">
        <v>594</v>
      </c>
      <c r="B124" s="610">
        <f t="array" ref="B124">VLOOKUP($A124,TX_DEMO,2,FALSE)</f>
        <v>1996</v>
      </c>
      <c r="C124" s="704" t="str">
        <f>vlookup(A124,'TX Data'!$A$4:$B$259,2,FALSE)</f>
        <v>NULL</v>
      </c>
      <c r="D124" s="612" t="s">
        <v>63</v>
      </c>
      <c r="E124" s="612">
        <f>vlookup(A124,'TX Data'!$A$4:$D$259,3,FALSE)</f>
        <v>0</v>
      </c>
      <c r="F124" s="612">
        <f>vlookup(A124,'TX Data'!$A$4:$D$259,4,FALSE)</f>
        <v>0</v>
      </c>
      <c r="G124" s="612" t="s">
        <v>63</v>
      </c>
      <c r="H124" s="671" t="str">
        <f>vlookup(A124,'TX Data'!$I$2699:$J$2952,2,FALSE)</f>
        <v>NULL</v>
      </c>
      <c r="I124" s="614" t="str">
        <f>ifna(vlookup(A124,'TX Data'!$A$2319:$B$2521,2,FALSE),"NULL")</f>
        <v>NULL</v>
      </c>
      <c r="J124" s="615" t="s">
        <v>63</v>
      </c>
      <c r="K124" s="672" t="s">
        <v>63</v>
      </c>
      <c r="L124" s="671" t="str">
        <f>ifna(vlookup(A124,'TX Data'!$A$1498:$B$1702,2,FALSE),"NULL")</f>
        <v>NULL</v>
      </c>
      <c r="M124" s="614" t="s">
        <v>63</v>
      </c>
      <c r="N124" s="612" t="s">
        <v>63</v>
      </c>
      <c r="O124" s="612" t="s">
        <v>63</v>
      </c>
      <c r="P124" s="620">
        <f>ifna(vlookup(A124,'Population &amp; Church Numbers'!$A$2526:$D$2779,4,FALSE),"NULL")</f>
        <v>4</v>
      </c>
      <c r="Q124" s="674" t="s">
        <v>63</v>
      </c>
    </row>
    <row r="125">
      <c r="A125" s="609" t="s">
        <v>143</v>
      </c>
      <c r="B125" s="610">
        <f t="array" ref="B125">VLOOKUP($A125,TX_DEMO,2,FALSE)</f>
        <v>256526</v>
      </c>
      <c r="C125" s="704">
        <f>vlookup(A125,'TX Data'!$A$4:$B$259,2,FALSE)</f>
        <v>264</v>
      </c>
      <c r="D125" s="612" t="s">
        <v>63</v>
      </c>
      <c r="E125" s="612">
        <f>vlookup(A125,'TX Data'!$A$4:$D$259,3,FALSE)</f>
        <v>101</v>
      </c>
      <c r="F125" s="612">
        <f>vlookup(A125,'TX Data'!$A$4:$D$259,4,FALSE)</f>
        <v>126</v>
      </c>
      <c r="G125" s="612" t="s">
        <v>63</v>
      </c>
      <c r="H125" s="671">
        <f>vlookup(A125,'TX Data'!$I$2699:$J$2952,2,FALSE)</f>
        <v>65</v>
      </c>
      <c r="I125" s="614">
        <f>ifna(vlookup(A125,'TX Data'!$A$2319:$B$2521,2,FALSE),"NULL")</f>
        <v>121</v>
      </c>
      <c r="J125" s="615" t="s">
        <v>63</v>
      </c>
      <c r="K125" s="672" t="s">
        <v>63</v>
      </c>
      <c r="L125" s="671">
        <f>ifna(vlookup(A125,'TX Data'!$A$1498:$B$1702,2,FALSE),"NULL")</f>
        <v>328</v>
      </c>
      <c r="M125" s="614" t="s">
        <v>63</v>
      </c>
      <c r="N125" s="612" t="s">
        <v>63</v>
      </c>
      <c r="O125" s="612" t="s">
        <v>63</v>
      </c>
      <c r="P125" s="620">
        <f>ifna(vlookup(A125,'Population &amp; Church Numbers'!$A$2526:$D$2779,4,FALSE),"NULL")</f>
        <v>273</v>
      </c>
      <c r="Q125" s="674" t="s">
        <v>63</v>
      </c>
    </row>
    <row r="126">
      <c r="A126" s="609" t="s">
        <v>2095</v>
      </c>
      <c r="B126" s="610">
        <f t="array" ref="B126">VLOOKUP($A126,TX_DEMO,2,FALSE)</f>
        <v>4838</v>
      </c>
      <c r="C126" s="704">
        <f>vlookup(A126,'TX Data'!$A$4:$B$259,2,FALSE)</f>
        <v>12</v>
      </c>
      <c r="D126" s="612" t="s">
        <v>63</v>
      </c>
      <c r="E126" s="612">
        <f>vlookup(A126,'TX Data'!$A$4:$D$259,3,FALSE)</f>
        <v>4</v>
      </c>
      <c r="F126" s="612">
        <f>vlookup(A126,'TX Data'!$A$4:$D$259,4,FALSE)</f>
        <v>5</v>
      </c>
      <c r="G126" s="612" t="s">
        <v>63</v>
      </c>
      <c r="H126" s="671" t="str">
        <f>vlookup(A126,'TX Data'!$I$2699:$J$2952,2,FALSE)</f>
        <v>NULL</v>
      </c>
      <c r="I126" s="614">
        <f>ifna(vlookup(A126,'TX Data'!$A$2319:$B$2521,2,FALSE),"NULL")</f>
        <v>3</v>
      </c>
      <c r="J126" s="615" t="s">
        <v>63</v>
      </c>
      <c r="K126" s="672" t="s">
        <v>63</v>
      </c>
      <c r="L126" s="671">
        <f>ifna(vlookup(A126,'TX Data'!$A$1498:$B$1702,2,FALSE),"NULL")</f>
        <v>26</v>
      </c>
      <c r="M126" s="614" t="s">
        <v>63</v>
      </c>
      <c r="N126" s="612" t="s">
        <v>63</v>
      </c>
      <c r="O126" s="612" t="s">
        <v>63</v>
      </c>
      <c r="P126" s="620">
        <f>ifna(vlookup(A126,'Population &amp; Church Numbers'!$A$2526:$D$2779,4,FALSE),"NULL")</f>
        <v>3</v>
      </c>
      <c r="Q126" s="674" t="s">
        <v>63</v>
      </c>
    </row>
    <row r="127">
      <c r="A127" s="609" t="s">
        <v>2096</v>
      </c>
      <c r="B127" s="610">
        <f t="array" ref="B127">VLOOKUP($A127,TX_DEMO,2,FALSE)</f>
        <v>38891</v>
      </c>
      <c r="C127" s="704">
        <f>vlookup(A127,'TX Data'!$A$4:$B$259,2,FALSE)</f>
        <v>62</v>
      </c>
      <c r="D127" s="612" t="s">
        <v>63</v>
      </c>
      <c r="E127" s="612">
        <f>vlookup(A127,'TX Data'!$A$4:$D$259,3,FALSE)</f>
        <v>20</v>
      </c>
      <c r="F127" s="612">
        <f>vlookup(A127,'TX Data'!$A$4:$D$259,4,FALSE)</f>
        <v>32</v>
      </c>
      <c r="G127" s="612" t="s">
        <v>63</v>
      </c>
      <c r="H127" s="671">
        <f>vlookup(A127,'TX Data'!$I$2699:$J$2952,2,FALSE)</f>
        <v>3</v>
      </c>
      <c r="I127" s="614">
        <f>ifna(vlookup(A127,'TX Data'!$A$2319:$B$2521,2,FALSE),"NULL")</f>
        <v>24</v>
      </c>
      <c r="J127" s="615" t="s">
        <v>63</v>
      </c>
      <c r="K127" s="672" t="s">
        <v>63</v>
      </c>
      <c r="L127" s="671">
        <f>ifna(vlookup(A127,'TX Data'!$A$1498:$B$1702,2,FALSE),"NULL")</f>
        <v>197</v>
      </c>
      <c r="M127" s="614" t="s">
        <v>63</v>
      </c>
      <c r="N127" s="612" t="s">
        <v>63</v>
      </c>
      <c r="O127" s="612" t="s">
        <v>63</v>
      </c>
      <c r="P127" s="620">
        <f>ifna(vlookup(A127,'Population &amp; Church Numbers'!$A$2526:$D$2779,4,FALSE),"NULL")</f>
        <v>32</v>
      </c>
      <c r="Q127" s="674" t="s">
        <v>63</v>
      </c>
    </row>
    <row r="128">
      <c r="A128" s="609" t="s">
        <v>288</v>
      </c>
      <c r="B128" s="610">
        <f t="array" ref="B128">VLOOKUP($A128,TX_DEMO,2,FALSE)</f>
        <v>179927</v>
      </c>
      <c r="C128" s="704">
        <f>vlookup(A128,'TX Data'!$A$4:$B$259,2,FALSE)</f>
        <v>117</v>
      </c>
      <c r="D128" s="612" t="s">
        <v>63</v>
      </c>
      <c r="E128" s="612">
        <f>vlookup(A128,'TX Data'!$A$4:$D$259,3,FALSE)</f>
        <v>53</v>
      </c>
      <c r="F128" s="612">
        <f>vlookup(A128,'TX Data'!$A$4:$D$259,4,FALSE)</f>
        <v>37</v>
      </c>
      <c r="G128" s="612" t="s">
        <v>63</v>
      </c>
      <c r="H128" s="671">
        <f>vlookup(A128,'TX Data'!$I$2699:$J$2952,2,FALSE)</f>
        <v>61</v>
      </c>
      <c r="I128" s="614">
        <f>ifna(vlookup(A128,'TX Data'!$A$2319:$B$2521,2,FALSE),"NULL")</f>
        <v>24</v>
      </c>
      <c r="J128" s="615" t="s">
        <v>63</v>
      </c>
      <c r="K128" s="672" t="s">
        <v>63</v>
      </c>
      <c r="L128" s="671">
        <f>ifna(vlookup(A128,'TX Data'!$A$1498:$B$1702,2,FALSE),"NULL")</f>
        <v>472</v>
      </c>
      <c r="M128" s="614" t="s">
        <v>63</v>
      </c>
      <c r="N128" s="612" t="s">
        <v>63</v>
      </c>
      <c r="O128" s="612" t="s">
        <v>63</v>
      </c>
      <c r="P128" s="620">
        <f>ifna(vlookup(A128,'Population &amp; Church Numbers'!$A$2526:$D$2779,4,FALSE),"NULL")</f>
        <v>123</v>
      </c>
      <c r="Q128" s="674" t="s">
        <v>63</v>
      </c>
    </row>
    <row r="129">
      <c r="A129" s="609" t="s">
        <v>598</v>
      </c>
      <c r="B129" s="610">
        <f t="array" ref="B129">VLOOKUP($A129,TX_DEMO,2,FALSE)</f>
        <v>19663</v>
      </c>
      <c r="C129" s="704">
        <f>vlookup(A129,'TX Data'!$A$4:$B$259,2,FALSE)</f>
        <v>19</v>
      </c>
      <c r="D129" s="612" t="s">
        <v>63</v>
      </c>
      <c r="E129" s="612">
        <f>vlookup(A129,'TX Data'!$A$4:$D$259,3,FALSE)</f>
        <v>9</v>
      </c>
      <c r="F129" s="612">
        <f>vlookup(A129,'TX Data'!$A$4:$D$259,4,FALSE)</f>
        <v>7</v>
      </c>
      <c r="G129" s="612" t="s">
        <v>63</v>
      </c>
      <c r="H129" s="671">
        <f>vlookup(A129,'TX Data'!$I$2699:$J$2952,2,FALSE)</f>
        <v>4</v>
      </c>
      <c r="I129" s="614">
        <f>ifna(vlookup(A129,'TX Data'!$A$2319:$B$2521,2,FALSE),"NULL")</f>
        <v>9</v>
      </c>
      <c r="J129" s="615" t="s">
        <v>63</v>
      </c>
      <c r="K129" s="672" t="s">
        <v>63</v>
      </c>
      <c r="L129" s="671">
        <f>ifna(vlookup(A129,'TX Data'!$A$1498:$B$1702,2,FALSE),"NULL")</f>
        <v>28</v>
      </c>
      <c r="M129" s="614" t="s">
        <v>63</v>
      </c>
      <c r="N129" s="612" t="s">
        <v>63</v>
      </c>
      <c r="O129" s="612" t="s">
        <v>63</v>
      </c>
      <c r="P129" s="620">
        <f>ifna(vlookup(A129,'Population &amp; Church Numbers'!$A$2526:$D$2779,4,FALSE),"NULL")</f>
        <v>29</v>
      </c>
      <c r="Q129" s="674" t="s">
        <v>63</v>
      </c>
    </row>
    <row r="130">
      <c r="A130" s="609" t="s">
        <v>2097</v>
      </c>
      <c r="B130" s="610">
        <f t="array" ref="B130">VLOOKUP($A130,TX_DEMO,2,FALSE)</f>
        <v>14710</v>
      </c>
      <c r="C130" s="704">
        <f>vlookup(A130,'TX Data'!$A$4:$B$259,2,FALSE)</f>
        <v>14</v>
      </c>
      <c r="D130" s="612" t="s">
        <v>63</v>
      </c>
      <c r="E130" s="612">
        <f>vlookup(A130,'TX Data'!$A$4:$D$259,3,FALSE)</f>
        <v>3</v>
      </c>
      <c r="F130" s="612">
        <f>vlookup(A130,'TX Data'!$A$4:$D$259,4,FALSE)</f>
        <v>0</v>
      </c>
      <c r="G130" s="612" t="s">
        <v>63</v>
      </c>
      <c r="H130" s="671">
        <f>vlookup(A130,'TX Data'!$I$2699:$J$2952,2,FALSE)</f>
        <v>2</v>
      </c>
      <c r="I130" s="614">
        <f>ifna(vlookup(A130,'TX Data'!$A$2319:$B$2521,2,FALSE),"NULL")</f>
        <v>7</v>
      </c>
      <c r="J130" s="615" t="s">
        <v>63</v>
      </c>
      <c r="K130" s="672" t="s">
        <v>63</v>
      </c>
      <c r="L130" s="671">
        <f>ifna(vlookup(A130,'TX Data'!$A$1498:$B$1702,2,FALSE),"NULL")</f>
        <v>30</v>
      </c>
      <c r="M130" s="614" t="s">
        <v>63</v>
      </c>
      <c r="N130" s="612" t="s">
        <v>63</v>
      </c>
      <c r="O130" s="612" t="s">
        <v>63</v>
      </c>
      <c r="P130" s="620">
        <f>ifna(vlookup(A130,'Population &amp; Church Numbers'!$A$2526:$D$2779,4,FALSE),"NULL")</f>
        <v>17</v>
      </c>
      <c r="Q130" s="674" t="s">
        <v>63</v>
      </c>
    </row>
    <row r="131">
      <c r="A131" s="609" t="s">
        <v>2098</v>
      </c>
      <c r="B131" s="610">
        <f t="array" ref="B131">VLOOKUP($A131,TX_DEMO,2,FALSE)</f>
        <v>145310</v>
      </c>
      <c r="C131" s="704">
        <f>vlookup(A131,'TX Data'!$A$4:$B$259,2,FALSE)</f>
        <v>72</v>
      </c>
      <c r="D131" s="612" t="s">
        <v>63</v>
      </c>
      <c r="E131" s="612">
        <f>vlookup(A131,'TX Data'!$A$4:$D$259,3,FALSE)</f>
        <v>36</v>
      </c>
      <c r="F131" s="612">
        <f>vlookup(A131,'TX Data'!$A$4:$D$259,4,FALSE)</f>
        <v>27</v>
      </c>
      <c r="G131" s="612" t="s">
        <v>63</v>
      </c>
      <c r="H131" s="671">
        <f>vlookup(A131,'TX Data'!$I$2699:$J$2952,2,FALSE)</f>
        <v>89</v>
      </c>
      <c r="I131" s="614">
        <f>ifna(vlookup(A131,'TX Data'!$A$2319:$B$2521,2,FALSE),"NULL")</f>
        <v>6</v>
      </c>
      <c r="J131" s="615" t="s">
        <v>63</v>
      </c>
      <c r="K131" s="672" t="s">
        <v>63</v>
      </c>
      <c r="L131" s="671">
        <f>ifna(vlookup(A131,'TX Data'!$A$1498:$B$1702,2,FALSE),"NULL")</f>
        <v>173</v>
      </c>
      <c r="M131" s="614" t="s">
        <v>63</v>
      </c>
      <c r="N131" s="612" t="s">
        <v>63</v>
      </c>
      <c r="O131" s="612" t="s">
        <v>63</v>
      </c>
      <c r="P131" s="620">
        <f>ifna(vlookup(A131,'Population &amp; Church Numbers'!$A$2526:$D$2779,4,FALSE),"NULL")</f>
        <v>114</v>
      </c>
      <c r="Q131" s="674" t="s">
        <v>63</v>
      </c>
    </row>
    <row r="132">
      <c r="A132" s="609" t="s">
        <v>727</v>
      </c>
      <c r="B132" s="610">
        <f t="array" ref="B132">VLOOKUP($A132,TX_DEMO,2,FALSE)</f>
        <v>44279</v>
      </c>
      <c r="C132" s="704">
        <f>vlookup(A132,'TX Data'!$A$4:$B$259,2,FALSE)</f>
        <v>8</v>
      </c>
      <c r="D132" s="612" t="s">
        <v>63</v>
      </c>
      <c r="E132" s="612">
        <f>vlookup(A132,'TX Data'!$A$4:$D$259,3,FALSE)</f>
        <v>1</v>
      </c>
      <c r="F132" s="612">
        <f>vlookup(A132,'TX Data'!$A$4:$D$259,4,FALSE)</f>
        <v>5</v>
      </c>
      <c r="G132" s="612" t="s">
        <v>63</v>
      </c>
      <c r="H132" s="671">
        <f>vlookup(A132,'TX Data'!$I$2699:$J$2952,2,FALSE)</f>
        <v>29</v>
      </c>
      <c r="I132" s="614">
        <f>ifna(vlookup(A132,'TX Data'!$A$2319:$B$2521,2,FALSE),"NULL")</f>
        <v>3</v>
      </c>
      <c r="J132" s="615" t="s">
        <v>63</v>
      </c>
      <c r="K132" s="672" t="s">
        <v>63</v>
      </c>
      <c r="L132" s="671">
        <f>ifna(vlookup(A132,'TX Data'!$A$1498:$B$1702,2,FALSE),"NULL")</f>
        <v>64</v>
      </c>
      <c r="M132" s="614" t="s">
        <v>63</v>
      </c>
      <c r="N132" s="612" t="s">
        <v>63</v>
      </c>
      <c r="O132" s="612" t="s">
        <v>63</v>
      </c>
      <c r="P132" s="620">
        <f>ifna(vlookup(A132,'Population &amp; Church Numbers'!$A$2526:$D$2779,4,FALSE),"NULL")</f>
        <v>27</v>
      </c>
      <c r="Q132" s="674" t="s">
        <v>63</v>
      </c>
    </row>
    <row r="133">
      <c r="A133" s="609" t="s">
        <v>2099</v>
      </c>
      <c r="B133" s="610">
        <f t="array" ref="B133">VLOOKUP($A133,TX_DEMO,2,FALSE)</f>
        <v>350</v>
      </c>
      <c r="C133" s="704" t="str">
        <f>vlookup(A133,'TX Data'!$A$4:$B$259,2,FALSE)</f>
        <v>NULL</v>
      </c>
      <c r="D133" s="612" t="s">
        <v>63</v>
      </c>
      <c r="E133" s="612">
        <f>vlookup(A133,'TX Data'!$A$4:$D$259,3,FALSE)</f>
        <v>0</v>
      </c>
      <c r="F133" s="612">
        <f>vlookup(A133,'TX Data'!$A$4:$D$259,4,FALSE)</f>
        <v>0</v>
      </c>
      <c r="G133" s="612" t="s">
        <v>63</v>
      </c>
      <c r="H133" s="671" t="str">
        <f>vlookup(A133,'TX Data'!$I$2699:$J$2952,2,FALSE)</f>
        <v>NULL</v>
      </c>
      <c r="I133" s="614" t="str">
        <f>ifna(vlookup(A133,'TX Data'!$A$2319:$B$2521,2,FALSE),"NULL")</f>
        <v>NULL</v>
      </c>
      <c r="J133" s="615" t="s">
        <v>63</v>
      </c>
      <c r="K133" s="672" t="s">
        <v>63</v>
      </c>
      <c r="L133" s="671" t="str">
        <f>ifna(vlookup(A133,'TX Data'!$A$1498:$B$1702,2,FALSE),"NULL")</f>
        <v>NULL</v>
      </c>
      <c r="M133" s="614" t="s">
        <v>63</v>
      </c>
      <c r="N133" s="612" t="s">
        <v>63</v>
      </c>
      <c r="O133" s="612" t="s">
        <v>63</v>
      </c>
      <c r="P133" s="620">
        <f>ifna(vlookup(A133,'Population &amp; Church Numbers'!$A$2526:$D$2779,4,FALSE),"NULL")</f>
        <v>1</v>
      </c>
      <c r="Q133" s="674" t="s">
        <v>63</v>
      </c>
    </row>
    <row r="134">
      <c r="A134" s="609" t="s">
        <v>474</v>
      </c>
      <c r="B134" s="610">
        <f t="array" ref="B134">VLOOKUP($A134,TX_DEMO,2,FALSE)</f>
        <v>753</v>
      </c>
      <c r="C134" s="704" t="str">
        <f>vlookup(A134,'TX Data'!$A$4:$B$259,2,FALSE)</f>
        <v>NULL</v>
      </c>
      <c r="D134" s="612" t="s">
        <v>63</v>
      </c>
      <c r="E134" s="612">
        <f>vlookup(A134,'TX Data'!$A$4:$D$259,3,FALSE)</f>
        <v>0</v>
      </c>
      <c r="F134" s="612">
        <f>vlookup(A134,'TX Data'!$A$4:$D$259,4,FALSE)</f>
        <v>0</v>
      </c>
      <c r="G134" s="612" t="s">
        <v>63</v>
      </c>
      <c r="H134" s="671">
        <f>vlookup(A134,'TX Data'!$I$2699:$J$2952,2,FALSE)</f>
        <v>1</v>
      </c>
      <c r="I134" s="614" t="str">
        <f>ifna(vlookup(A134,'TX Data'!$A$2319:$B$2521,2,FALSE),"NULL")</f>
        <v>NULL</v>
      </c>
      <c r="J134" s="615" t="s">
        <v>63</v>
      </c>
      <c r="K134" s="672" t="s">
        <v>63</v>
      </c>
      <c r="L134" s="671" t="str">
        <f>ifna(vlookup(A134,'TX Data'!$A$1498:$B$1702,2,FALSE),"NULL")</f>
        <v>NULL</v>
      </c>
      <c r="M134" s="614" t="s">
        <v>63</v>
      </c>
      <c r="N134" s="612" t="s">
        <v>63</v>
      </c>
      <c r="O134" s="612" t="s">
        <v>63</v>
      </c>
      <c r="P134" s="620">
        <f>ifna(vlookup(A134,'Population &amp; Church Numbers'!$A$2526:$D$2779,4,FALSE),"NULL")</f>
        <v>2</v>
      </c>
      <c r="Q134" s="674" t="s">
        <v>63</v>
      </c>
    </row>
    <row r="135">
      <c r="A135" s="609" t="s">
        <v>2100</v>
      </c>
      <c r="B135" s="610">
        <f t="array" ref="B135">VLOOKUP($A135,TX_DEMO,2,FALSE)</f>
        <v>52598</v>
      </c>
      <c r="C135" s="704">
        <f>vlookup(A135,'TX Data'!$A$4:$B$259,2,FALSE)</f>
        <v>29</v>
      </c>
      <c r="D135" s="612" t="s">
        <v>63</v>
      </c>
      <c r="E135" s="612">
        <f>vlookup(A135,'TX Data'!$A$4:$D$259,3,FALSE)</f>
        <v>6</v>
      </c>
      <c r="F135" s="612">
        <f>vlookup(A135,'TX Data'!$A$4:$D$259,4,FALSE)</f>
        <v>13</v>
      </c>
      <c r="G135" s="612" t="s">
        <v>63</v>
      </c>
      <c r="H135" s="671">
        <f>vlookup(A135,'TX Data'!$I$2699:$J$2952,2,FALSE)</f>
        <v>14</v>
      </c>
      <c r="I135" s="614">
        <f>ifna(vlookup(A135,'TX Data'!$A$2319:$B$2521,2,FALSE),"NULL")</f>
        <v>7</v>
      </c>
      <c r="J135" s="615" t="s">
        <v>63</v>
      </c>
      <c r="K135" s="672" t="s">
        <v>63</v>
      </c>
      <c r="L135" s="671">
        <f>ifna(vlookup(A135,'TX Data'!$A$1498:$B$1702,2,FALSE),"NULL")</f>
        <v>158</v>
      </c>
      <c r="M135" s="614" t="s">
        <v>63</v>
      </c>
      <c r="N135" s="612" t="s">
        <v>63</v>
      </c>
      <c r="O135" s="612" t="s">
        <v>63</v>
      </c>
      <c r="P135" s="620">
        <f>ifna(vlookup(A135,'Population &amp; Church Numbers'!$A$2526:$D$2779,4,FALSE),"NULL")</f>
        <v>52</v>
      </c>
      <c r="Q135" s="674" t="s">
        <v>63</v>
      </c>
    </row>
    <row r="136">
      <c r="A136" s="609" t="s">
        <v>2101</v>
      </c>
      <c r="B136" s="610">
        <f t="array" ref="B136">VLOOKUP($A136,TX_DEMO,2,FALSE)</f>
        <v>4286</v>
      </c>
      <c r="C136" s="704">
        <f>vlookup(A136,'TX Data'!$A$4:$B$259,2,FALSE)</f>
        <v>6</v>
      </c>
      <c r="D136" s="612" t="s">
        <v>63</v>
      </c>
      <c r="E136" s="612">
        <f>vlookup(A136,'TX Data'!$A$4:$D$259,3,FALSE)</f>
        <v>3</v>
      </c>
      <c r="F136" s="612">
        <f>vlookup(A136,'TX Data'!$A$4:$D$259,4,FALSE)</f>
        <v>0</v>
      </c>
      <c r="G136" s="612" t="s">
        <v>63</v>
      </c>
      <c r="H136" s="671" t="str">
        <f>vlookup(A136,'TX Data'!$I$2699:$J$2952,2,FALSE)</f>
        <v>NULL</v>
      </c>
      <c r="I136" s="614">
        <f>ifna(vlookup(A136,'TX Data'!$A$2319:$B$2521,2,FALSE),"NULL")</f>
        <v>1</v>
      </c>
      <c r="J136" s="615" t="s">
        <v>63</v>
      </c>
      <c r="K136" s="672" t="s">
        <v>63</v>
      </c>
      <c r="L136" s="671">
        <f>ifna(vlookup(A136,'TX Data'!$A$1498:$B$1702,2,FALSE),"NULL")</f>
        <v>20</v>
      </c>
      <c r="M136" s="614" t="s">
        <v>63</v>
      </c>
      <c r="N136" s="612" t="s">
        <v>63</v>
      </c>
      <c r="O136" s="612" t="s">
        <v>63</v>
      </c>
      <c r="P136" s="620">
        <f>ifna(vlookup(A136,'Population &amp; Church Numbers'!$A$2526:$D$2779,4,FALSE),"NULL")</f>
        <v>7</v>
      </c>
      <c r="Q136" s="674" t="s">
        <v>63</v>
      </c>
    </row>
    <row r="137">
      <c r="A137" s="609" t="s">
        <v>255</v>
      </c>
      <c r="B137" s="610">
        <f t="array" ref="B137">VLOOKUP($A137,TX_DEMO,2,FALSE)</f>
        <v>265</v>
      </c>
      <c r="C137" s="704" t="str">
        <f>vlookup(A137,'TX Data'!$A$4:$B$259,2,FALSE)</f>
        <v>NULL</v>
      </c>
      <c r="D137" s="612" t="s">
        <v>63</v>
      </c>
      <c r="E137" s="612">
        <f>vlookup(A137,'TX Data'!$A$4:$D$259,3,FALSE)</f>
        <v>0</v>
      </c>
      <c r="F137" s="612">
        <f>vlookup(A137,'TX Data'!$A$4:$D$259,4,FALSE)</f>
        <v>0</v>
      </c>
      <c r="G137" s="612" t="s">
        <v>63</v>
      </c>
      <c r="H137" s="671" t="str">
        <f>vlookup(A137,'TX Data'!$I$2699:$J$2952,2,FALSE)</f>
        <v>NULL</v>
      </c>
      <c r="I137" s="614" t="str">
        <f>ifna(vlookup(A137,'TX Data'!$A$2319:$B$2521,2,FALSE),"NULL")</f>
        <v>NULL</v>
      </c>
      <c r="J137" s="615" t="s">
        <v>63</v>
      </c>
      <c r="K137" s="672" t="s">
        <v>63</v>
      </c>
      <c r="L137" s="671" t="str">
        <f>ifna(vlookup(A137,'TX Data'!$A$1498:$B$1702,2,FALSE),"NULL")</f>
        <v>NULL</v>
      </c>
      <c r="M137" s="614" t="s">
        <v>63</v>
      </c>
      <c r="N137" s="612" t="s">
        <v>63</v>
      </c>
      <c r="O137" s="612" t="s">
        <v>63</v>
      </c>
      <c r="P137" s="620" t="str">
        <f>ifna(vlookup(A137,'Population &amp; Church Numbers'!$A$2526:$D$2779,4,FALSE),"NULL")</f>
        <v>NULL</v>
      </c>
      <c r="Q137" s="674" t="s">
        <v>63</v>
      </c>
    </row>
    <row r="138">
      <c r="A138" s="609" t="s">
        <v>2102</v>
      </c>
      <c r="B138" s="610">
        <f t="array" ref="B138">VLOOKUP($A138,TX_DEMO,2,FALSE)</f>
        <v>3129</v>
      </c>
      <c r="C138" s="704" t="str">
        <f>vlookup(A138,'TX Data'!$A$4:$B$259,2,FALSE)</f>
        <v>NULL</v>
      </c>
      <c r="D138" s="612" t="s">
        <v>63</v>
      </c>
      <c r="E138" s="612">
        <f>vlookup(A138,'TX Data'!$A$4:$D$259,3,FALSE)</f>
        <v>0</v>
      </c>
      <c r="F138" s="612">
        <f>vlookup(A138,'TX Data'!$A$4:$D$259,4,FALSE)</f>
        <v>0</v>
      </c>
      <c r="G138" s="612" t="s">
        <v>63</v>
      </c>
      <c r="H138" s="671" t="str">
        <f>vlookup(A138,'TX Data'!$I$2699:$J$2952,2,FALSE)</f>
        <v>NULL</v>
      </c>
      <c r="I138" s="614" t="str">
        <f>ifna(vlookup(A138,'TX Data'!$A$2319:$B$2521,2,FALSE),"NULL")</f>
        <v>NULL</v>
      </c>
      <c r="J138" s="615" t="s">
        <v>63</v>
      </c>
      <c r="K138" s="672" t="s">
        <v>63</v>
      </c>
      <c r="L138" s="671" t="str">
        <f>ifna(vlookup(A138,'TX Data'!$A$1498:$B$1702,2,FALSE),"NULL")</f>
        <v>NULL</v>
      </c>
      <c r="M138" s="614" t="s">
        <v>63</v>
      </c>
      <c r="N138" s="612" t="s">
        <v>63</v>
      </c>
      <c r="O138" s="612" t="s">
        <v>63</v>
      </c>
      <c r="P138" s="620">
        <f>ifna(vlookup(A138,'Population &amp; Church Numbers'!$A$2526:$D$2779,4,FALSE),"NULL")</f>
        <v>2</v>
      </c>
      <c r="Q138" s="674" t="s">
        <v>63</v>
      </c>
    </row>
    <row r="139">
      <c r="A139" s="609" t="s">
        <v>2103</v>
      </c>
      <c r="B139" s="610">
        <f t="array" ref="B139">VLOOKUP($A139,TX_DEMO,2,FALSE)</f>
        <v>31040</v>
      </c>
      <c r="C139" s="704">
        <f>vlookup(A139,'TX Data'!$A$4:$B$259,2,FALSE)</f>
        <v>33</v>
      </c>
      <c r="D139" s="612" t="s">
        <v>63</v>
      </c>
      <c r="E139" s="612">
        <f>vlookup(A139,'TX Data'!$A$4:$D$259,3,FALSE)</f>
        <v>20</v>
      </c>
      <c r="F139" s="612">
        <f>vlookup(A139,'TX Data'!$A$4:$D$259,4,FALSE)</f>
        <v>9</v>
      </c>
      <c r="G139" s="612" t="s">
        <v>63</v>
      </c>
      <c r="H139" s="671">
        <f>vlookup(A139,'TX Data'!$I$2699:$J$2952,2,FALSE)</f>
        <v>7</v>
      </c>
      <c r="I139" s="614">
        <f>ifna(vlookup(A139,'TX Data'!$A$2319:$B$2521,2,FALSE),"NULL")</f>
        <v>5</v>
      </c>
      <c r="J139" s="615" t="s">
        <v>63</v>
      </c>
      <c r="K139" s="672" t="s">
        <v>63</v>
      </c>
      <c r="L139" s="671">
        <f>ifna(vlookup(A139,'TX Data'!$A$1498:$B$1702,2,FALSE),"NULL")</f>
        <v>165</v>
      </c>
      <c r="M139" s="614" t="s">
        <v>63</v>
      </c>
      <c r="N139" s="612" t="s">
        <v>63</v>
      </c>
      <c r="O139" s="612" t="s">
        <v>63</v>
      </c>
      <c r="P139" s="620">
        <f>ifna(vlookup(A139,'Population &amp; Church Numbers'!$A$2526:$D$2779,4,FALSE),"NULL")</f>
        <v>21</v>
      </c>
      <c r="Q139" s="674" t="s">
        <v>63</v>
      </c>
    </row>
    <row r="140">
      <c r="A140" s="609" t="s">
        <v>728</v>
      </c>
      <c r="B140" s="610">
        <f t="array" ref="B140">VLOOKUP($A140,TX_DEMO,2,FALSE)</f>
        <v>3353</v>
      </c>
      <c r="C140" s="704">
        <f>vlookup(A140,'TX Data'!$A$4:$B$259,2,FALSE)</f>
        <v>3</v>
      </c>
      <c r="D140" s="612" t="s">
        <v>63</v>
      </c>
      <c r="E140" s="612">
        <f>vlookup(A140,'TX Data'!$A$4:$D$259,3,FALSE)</f>
        <v>2</v>
      </c>
      <c r="F140" s="612">
        <f>vlookup(A140,'TX Data'!$A$4:$D$259,4,FALSE)</f>
        <v>1</v>
      </c>
      <c r="G140" s="612" t="s">
        <v>63</v>
      </c>
      <c r="H140" s="671" t="str">
        <f>vlookup(A140,'TX Data'!$I$2699:$J$2952,2,FALSE)</f>
        <v>NULL</v>
      </c>
      <c r="I140" s="614" t="str">
        <f>ifna(vlookup(A140,'TX Data'!$A$2319:$B$2521,2,FALSE),"NULL")</f>
        <v>NULL</v>
      </c>
      <c r="J140" s="615" t="s">
        <v>63</v>
      </c>
      <c r="K140" s="672" t="s">
        <v>63</v>
      </c>
      <c r="L140" s="671" t="str">
        <f>ifna(vlookup(A140,'TX Data'!$A$1498:$B$1702,2,FALSE),"NULL")</f>
        <v>NULL</v>
      </c>
      <c r="M140" s="614" t="s">
        <v>63</v>
      </c>
      <c r="N140" s="612" t="s">
        <v>63</v>
      </c>
      <c r="O140" s="612" t="s">
        <v>63</v>
      </c>
      <c r="P140" s="620">
        <f>ifna(vlookup(A140,'Population &amp; Church Numbers'!$A$2526:$D$2779,4,FALSE),"NULL")</f>
        <v>14</v>
      </c>
      <c r="Q140" s="674" t="s">
        <v>63</v>
      </c>
    </row>
    <row r="141">
      <c r="A141" s="609" t="s">
        <v>144</v>
      </c>
      <c r="B141" s="610">
        <f t="array" ref="B141">VLOOKUP($A141,TX_DEMO,2,FALSE)</f>
        <v>50088</v>
      </c>
      <c r="C141" s="704">
        <f>vlookup(A141,'TX Data'!$A$4:$B$259,2,FALSE)</f>
        <v>79</v>
      </c>
      <c r="D141" s="612" t="s">
        <v>63</v>
      </c>
      <c r="E141" s="612">
        <f>vlookup(A141,'TX Data'!$A$4:$D$259,3,FALSE)</f>
        <v>40</v>
      </c>
      <c r="F141" s="612">
        <f>vlookup(A141,'TX Data'!$A$4:$D$259,4,FALSE)</f>
        <v>23</v>
      </c>
      <c r="G141" s="612" t="s">
        <v>63</v>
      </c>
      <c r="H141" s="671">
        <f>vlookup(A141,'TX Data'!$I$2699:$J$2952,2,FALSE)</f>
        <v>6</v>
      </c>
      <c r="I141" s="614">
        <f>ifna(vlookup(A141,'TX Data'!$A$2319:$B$2521,2,FALSE),"NULL")</f>
        <v>32</v>
      </c>
      <c r="J141" s="615" t="s">
        <v>63</v>
      </c>
      <c r="K141" s="672" t="s">
        <v>63</v>
      </c>
      <c r="L141" s="671">
        <f>ifna(vlookup(A141,'TX Data'!$A$1498:$B$1702,2,FALSE),"NULL")</f>
        <v>182</v>
      </c>
      <c r="M141" s="614" t="s">
        <v>63</v>
      </c>
      <c r="N141" s="612" t="s">
        <v>63</v>
      </c>
      <c r="O141" s="612" t="s">
        <v>63</v>
      </c>
      <c r="P141" s="620">
        <f>ifna(vlookup(A141,'Population &amp; Church Numbers'!$A$2526:$D$2779,4,FALSE),"NULL")</f>
        <v>81</v>
      </c>
      <c r="Q141" s="674" t="s">
        <v>63</v>
      </c>
    </row>
    <row r="142">
      <c r="A142" s="609" t="s">
        <v>2104</v>
      </c>
      <c r="B142" s="610">
        <f t="array" ref="B142">VLOOKUP($A142,TX_DEMO,2,FALSE)</f>
        <v>13045</v>
      </c>
      <c r="C142" s="704">
        <f>vlookup(A142,'TX Data'!$A$4:$B$259,2,FALSE)</f>
        <v>13</v>
      </c>
      <c r="D142" s="612" t="s">
        <v>63</v>
      </c>
      <c r="E142" s="612">
        <f>vlookup(A142,'TX Data'!$A$4:$D$259,3,FALSE)</f>
        <v>5</v>
      </c>
      <c r="F142" s="612">
        <f>vlookup(A142,'TX Data'!$A$4:$D$259,4,FALSE)</f>
        <v>4</v>
      </c>
      <c r="G142" s="612" t="s">
        <v>63</v>
      </c>
      <c r="H142" s="671">
        <f>vlookup(A142,'TX Data'!$I$2699:$J$2952,2,FALSE)</f>
        <v>4</v>
      </c>
      <c r="I142" s="614">
        <f>ifna(vlookup(A142,'TX Data'!$A$2319:$B$2521,2,FALSE),"NULL")</f>
        <v>3</v>
      </c>
      <c r="J142" s="615" t="s">
        <v>63</v>
      </c>
      <c r="K142" s="672" t="s">
        <v>63</v>
      </c>
      <c r="L142" s="671">
        <f>ifna(vlookup(A142,'TX Data'!$A$1498:$B$1702,2,FALSE),"NULL")</f>
        <v>41</v>
      </c>
      <c r="M142" s="614" t="s">
        <v>63</v>
      </c>
      <c r="N142" s="612" t="s">
        <v>63</v>
      </c>
      <c r="O142" s="612" t="s">
        <v>63</v>
      </c>
      <c r="P142" s="620">
        <f>ifna(vlookup(A142,'Population &amp; Church Numbers'!$A$2526:$D$2779,4,FALSE),"NULL")</f>
        <v>30</v>
      </c>
      <c r="Q142" s="674" t="s">
        <v>63</v>
      </c>
    </row>
    <row r="143">
      <c r="A143" s="609" t="s">
        <v>2105</v>
      </c>
      <c r="B143" s="610">
        <f t="array" ref="B143">VLOOKUP($A143,TX_DEMO,2,FALSE)</f>
        <v>21627</v>
      </c>
      <c r="C143" s="704">
        <f>vlookup(A143,'TX Data'!$A$4:$B$259,2,FALSE)</f>
        <v>33</v>
      </c>
      <c r="D143" s="612" t="s">
        <v>63</v>
      </c>
      <c r="E143" s="612">
        <f>vlookup(A143,'TX Data'!$A$4:$D$259,3,FALSE)</f>
        <v>6</v>
      </c>
      <c r="F143" s="612">
        <f>vlookup(A143,'TX Data'!$A$4:$D$259,4,FALSE)</f>
        <v>23</v>
      </c>
      <c r="G143" s="612" t="s">
        <v>63</v>
      </c>
      <c r="H143" s="671">
        <f>vlookup(A143,'TX Data'!$I$2699:$J$2952,2,FALSE)</f>
        <v>11</v>
      </c>
      <c r="I143" s="614">
        <f>ifna(vlookup(A143,'TX Data'!$A$2319:$B$2521,2,FALSE),"NULL")</f>
        <v>13</v>
      </c>
      <c r="J143" s="615" t="s">
        <v>63</v>
      </c>
      <c r="K143" s="672" t="s">
        <v>63</v>
      </c>
      <c r="L143" s="671">
        <f>ifna(vlookup(A143,'TX Data'!$A$1498:$B$1702,2,FALSE),"NULL")</f>
        <v>27</v>
      </c>
      <c r="M143" s="614" t="s">
        <v>63</v>
      </c>
      <c r="N143" s="612" t="s">
        <v>63</v>
      </c>
      <c r="O143" s="612" t="s">
        <v>63</v>
      </c>
      <c r="P143" s="620">
        <f>ifna(vlookup(A143,'Population &amp; Church Numbers'!$A$2526:$D$2779,4,FALSE),"NULL")</f>
        <v>20</v>
      </c>
      <c r="Q143" s="674" t="s">
        <v>63</v>
      </c>
    </row>
    <row r="144">
      <c r="A144" s="609" t="s">
        <v>729</v>
      </c>
      <c r="B144" s="610">
        <f t="array" ref="B144">VLOOKUP($A144,TX_DEMO,2,FALSE)</f>
        <v>6664</v>
      </c>
      <c r="C144" s="704">
        <f>vlookup(A144,'TX Data'!$A$4:$B$259,2,FALSE)</f>
        <v>12</v>
      </c>
      <c r="D144" s="612" t="s">
        <v>63</v>
      </c>
      <c r="E144" s="612">
        <f>vlookup(A144,'TX Data'!$A$4:$D$259,3,FALSE)</f>
        <v>3</v>
      </c>
      <c r="F144" s="612">
        <f>vlookup(A144,'TX Data'!$A$4:$D$259,4,FALSE)</f>
        <v>4</v>
      </c>
      <c r="G144" s="612" t="s">
        <v>63</v>
      </c>
      <c r="H144" s="671" t="str">
        <f>vlookup(A144,'TX Data'!$I$2699:$J$2952,2,FALSE)</f>
        <v>NULL</v>
      </c>
      <c r="I144" s="614">
        <f>ifna(vlookup(A144,'TX Data'!$A$2319:$B$2521,2,FALSE),"NULL")</f>
        <v>2</v>
      </c>
      <c r="J144" s="615" t="s">
        <v>63</v>
      </c>
      <c r="K144" s="672" t="s">
        <v>63</v>
      </c>
      <c r="L144" s="671" t="str">
        <f>ifna(vlookup(A144,'TX Data'!$A$1498:$B$1702,2,FALSE),"NULL")</f>
        <v>NULL</v>
      </c>
      <c r="M144" s="614" t="s">
        <v>63</v>
      </c>
      <c r="N144" s="612" t="s">
        <v>63</v>
      </c>
      <c r="O144" s="612" t="s">
        <v>63</v>
      </c>
      <c r="P144" s="620">
        <f>ifna(vlookup(A144,'Population &amp; Church Numbers'!$A$2526:$D$2779,4,FALSE),"NULL")</f>
        <v>6</v>
      </c>
      <c r="Q144" s="674" t="s">
        <v>63</v>
      </c>
    </row>
    <row r="145">
      <c r="A145" s="609" t="s">
        <v>2106</v>
      </c>
      <c r="B145" s="610">
        <f t="array" ref="B145">VLOOKUP($A145,TX_DEMO,2,FALSE)</f>
        <v>20337</v>
      </c>
      <c r="C145" s="704">
        <f>vlookup(A145,'TX Data'!$A$4:$B$259,2,FALSE)</f>
        <v>2</v>
      </c>
      <c r="D145" s="612" t="s">
        <v>63</v>
      </c>
      <c r="E145" s="612">
        <f>vlookup(A145,'TX Data'!$A$4:$D$259,3,FALSE)</f>
        <v>0</v>
      </c>
      <c r="F145" s="612">
        <f>vlookup(A145,'TX Data'!$A$4:$D$259,4,FALSE)</f>
        <v>0</v>
      </c>
      <c r="G145" s="612" t="s">
        <v>63</v>
      </c>
      <c r="H145" s="671">
        <f>vlookup(A145,'TX Data'!$I$2699:$J$2952,2,FALSE)</f>
        <v>1</v>
      </c>
      <c r="I145" s="614">
        <f>ifna(vlookup(A145,'TX Data'!$A$2319:$B$2521,2,FALSE),"NULL")</f>
        <v>1</v>
      </c>
      <c r="J145" s="615" t="s">
        <v>63</v>
      </c>
      <c r="K145" s="672" t="s">
        <v>63</v>
      </c>
      <c r="L145" s="671">
        <f>ifna(vlookup(A145,'TX Data'!$A$1498:$B$1702,2,FALSE),"NULL")</f>
        <v>25</v>
      </c>
      <c r="M145" s="614" t="s">
        <v>63</v>
      </c>
      <c r="N145" s="612" t="s">
        <v>63</v>
      </c>
      <c r="O145" s="612" t="s">
        <v>63</v>
      </c>
      <c r="P145" s="620">
        <f>ifna(vlookup(A145,'Population &amp; Church Numbers'!$A$2526:$D$2779,4,FALSE),"NULL")</f>
        <v>32</v>
      </c>
      <c r="Q145" s="674" t="s">
        <v>63</v>
      </c>
    </row>
    <row r="146">
      <c r="A146" s="609" t="s">
        <v>147</v>
      </c>
      <c r="B146" s="610">
        <f t="array" ref="B146">VLOOKUP($A146,TX_DEMO,2,FALSE)</f>
        <v>17478</v>
      </c>
      <c r="C146" s="704">
        <f>vlookup(A146,'TX Data'!$A$4:$B$259,2,FALSE)</f>
        <v>12</v>
      </c>
      <c r="D146" s="612" t="s">
        <v>63</v>
      </c>
      <c r="E146" s="612">
        <f>vlookup(A146,'TX Data'!$A$4:$D$259,3,FALSE)</f>
        <v>1</v>
      </c>
      <c r="F146" s="612">
        <f>vlookup(A146,'TX Data'!$A$4:$D$259,4,FALSE)</f>
        <v>8</v>
      </c>
      <c r="G146" s="612" t="s">
        <v>63</v>
      </c>
      <c r="H146" s="671">
        <f>vlookup(A146,'TX Data'!$I$2699:$J$2952,2,FALSE)</f>
        <v>4</v>
      </c>
      <c r="I146" s="614">
        <f>ifna(vlookup(A146,'TX Data'!$A$2319:$B$2521,2,FALSE),"NULL")</f>
        <v>2</v>
      </c>
      <c r="J146" s="615" t="s">
        <v>63</v>
      </c>
      <c r="K146" s="672" t="s">
        <v>63</v>
      </c>
      <c r="L146" s="671">
        <f>ifna(vlookup(A146,'TX Data'!$A$1498:$B$1702,2,FALSE),"NULL")</f>
        <v>7</v>
      </c>
      <c r="M146" s="614" t="s">
        <v>63</v>
      </c>
      <c r="N146" s="612" t="s">
        <v>63</v>
      </c>
      <c r="O146" s="612" t="s">
        <v>63</v>
      </c>
      <c r="P146" s="620">
        <f>ifna(vlookup(A146,'Population &amp; Church Numbers'!$A$2526:$D$2779,4,FALSE),"NULL")</f>
        <v>30</v>
      </c>
      <c r="Q146" s="674" t="s">
        <v>63</v>
      </c>
    </row>
    <row r="147">
      <c r="A147" s="609" t="s">
        <v>505</v>
      </c>
      <c r="B147" s="610">
        <f t="array" ref="B147">VLOOKUP($A147,TX_DEMO,2,FALSE)</f>
        <v>15719</v>
      </c>
      <c r="C147" s="704">
        <f>vlookup(A147,'TX Data'!$A$4:$B$259,2,FALSE)</f>
        <v>26</v>
      </c>
      <c r="D147" s="612" t="s">
        <v>63</v>
      </c>
      <c r="E147" s="612">
        <f>vlookup(A147,'TX Data'!$A$4:$D$259,3,FALSE)</f>
        <v>5</v>
      </c>
      <c r="F147" s="612">
        <f>vlookup(A147,'TX Data'!$A$4:$D$259,4,FALSE)</f>
        <v>19</v>
      </c>
      <c r="G147" s="612" t="s">
        <v>63</v>
      </c>
      <c r="H147" s="671">
        <f>vlookup(A147,'TX Data'!$I$2699:$J$2952,2,FALSE)</f>
        <v>1</v>
      </c>
      <c r="I147" s="614">
        <f>ifna(vlookup(A147,'TX Data'!$A$2319:$B$2521,2,FALSE),"NULL")</f>
        <v>1</v>
      </c>
      <c r="J147" s="615" t="s">
        <v>63</v>
      </c>
      <c r="K147" s="672" t="s">
        <v>63</v>
      </c>
      <c r="L147" s="671">
        <f>ifna(vlookup(A147,'TX Data'!$A$1498:$B$1702,2,FALSE),"NULL")</f>
        <v>16</v>
      </c>
      <c r="M147" s="614" t="s">
        <v>63</v>
      </c>
      <c r="N147" s="612" t="s">
        <v>63</v>
      </c>
      <c r="O147" s="612" t="s">
        <v>63</v>
      </c>
      <c r="P147" s="620">
        <f>ifna(vlookup(A147,'Population &amp; Church Numbers'!$A$2526:$D$2779,4,FALSE),"NULL")</f>
        <v>44</v>
      </c>
      <c r="Q147" s="674" t="s">
        <v>63</v>
      </c>
    </row>
    <row r="148">
      <c r="A148" s="609" t="s">
        <v>508</v>
      </c>
      <c r="B148" s="610">
        <f t="array" ref="B148">VLOOKUP($A148,TX_DEMO,2,FALSE)</f>
        <v>91628</v>
      </c>
      <c r="C148" s="704">
        <f>vlookup(A148,'TX Data'!$A$4:$B$259,2,FALSE)</f>
        <v>34</v>
      </c>
      <c r="D148" s="612" t="s">
        <v>63</v>
      </c>
      <c r="E148" s="612">
        <f>vlookup(A148,'TX Data'!$A$4:$D$259,3,FALSE)</f>
        <v>12</v>
      </c>
      <c r="F148" s="612">
        <f>vlookup(A148,'TX Data'!$A$4:$D$259,4,FALSE)</f>
        <v>8</v>
      </c>
      <c r="G148" s="612" t="s">
        <v>63</v>
      </c>
      <c r="H148" s="671">
        <f>vlookup(A148,'TX Data'!$I$2699:$J$2952,2,FALSE)</f>
        <v>16</v>
      </c>
      <c r="I148" s="614">
        <f>ifna(vlookup(A148,'TX Data'!$A$2319:$B$2521,2,FALSE),"NULL")</f>
        <v>8</v>
      </c>
      <c r="J148" s="615" t="s">
        <v>63</v>
      </c>
      <c r="K148" s="672" t="s">
        <v>63</v>
      </c>
      <c r="L148" s="671">
        <f>ifna(vlookup(A148,'TX Data'!$A$1498:$B$1702,2,FALSE),"NULL")</f>
        <v>95</v>
      </c>
      <c r="M148" s="614" t="s">
        <v>63</v>
      </c>
      <c r="N148" s="612" t="s">
        <v>63</v>
      </c>
      <c r="O148" s="612" t="s">
        <v>63</v>
      </c>
      <c r="P148" s="620">
        <f>ifna(vlookup(A148,'Population &amp; Church Numbers'!$A$2526:$D$2779,4,FALSE),"NULL")</f>
        <v>78</v>
      </c>
      <c r="Q148" s="674" t="s">
        <v>63</v>
      </c>
    </row>
    <row r="149">
      <c r="A149" s="609" t="s">
        <v>148</v>
      </c>
      <c r="B149" s="610">
        <f t="array" ref="B149">VLOOKUP($A149,TX_DEMO,2,FALSE)</f>
        <v>22146</v>
      </c>
      <c r="C149" s="704">
        <f>vlookup(A149,'TX Data'!$A$4:$B$259,2,FALSE)</f>
        <v>36</v>
      </c>
      <c r="D149" s="612" t="s">
        <v>63</v>
      </c>
      <c r="E149" s="612">
        <f>vlookup(A149,'TX Data'!$A$4:$D$259,3,FALSE)</f>
        <v>13</v>
      </c>
      <c r="F149" s="612">
        <f>vlookup(A149,'TX Data'!$A$4:$D$259,4,FALSE)</f>
        <v>21</v>
      </c>
      <c r="G149" s="612" t="s">
        <v>63</v>
      </c>
      <c r="H149" s="671">
        <f>vlookup(A149,'TX Data'!$I$2699:$J$2952,2,FALSE)</f>
        <v>5</v>
      </c>
      <c r="I149" s="614">
        <f>ifna(vlookup(A149,'TX Data'!$A$2319:$B$2521,2,FALSE),"NULL")</f>
        <v>11</v>
      </c>
      <c r="J149" s="615" t="s">
        <v>63</v>
      </c>
      <c r="K149" s="672" t="s">
        <v>63</v>
      </c>
      <c r="L149" s="671">
        <f>ifna(vlookup(A149,'TX Data'!$A$1498:$B$1702,2,FALSE),"NULL")</f>
        <v>33</v>
      </c>
      <c r="M149" s="614" t="s">
        <v>63</v>
      </c>
      <c r="N149" s="612" t="s">
        <v>63</v>
      </c>
      <c r="O149" s="612" t="s">
        <v>63</v>
      </c>
      <c r="P149" s="620">
        <f>ifna(vlookup(A149,'Population &amp; Church Numbers'!$A$2526:$D$2779,4,FALSE),"NULL")</f>
        <v>41</v>
      </c>
      <c r="Q149" s="674" t="s">
        <v>63</v>
      </c>
    </row>
    <row r="150">
      <c r="A150" s="609" t="s">
        <v>2107</v>
      </c>
      <c r="B150" s="610">
        <f t="array" ref="B150">VLOOKUP($A150,TX_DEMO,2,FALSE)</f>
        <v>3059</v>
      </c>
      <c r="C150" s="704">
        <f>vlookup(A150,'TX Data'!$A$4:$B$259,2,FALSE)</f>
        <v>1</v>
      </c>
      <c r="D150" s="612" t="s">
        <v>63</v>
      </c>
      <c r="E150" s="612">
        <f>vlookup(A150,'TX Data'!$A$4:$D$259,3,FALSE)</f>
        <v>0</v>
      </c>
      <c r="F150" s="612">
        <f>vlookup(A150,'TX Data'!$A$4:$D$259,4,FALSE)</f>
        <v>0</v>
      </c>
      <c r="G150" s="612" t="s">
        <v>63</v>
      </c>
      <c r="H150" s="671">
        <f>vlookup(A150,'TX Data'!$I$2699:$J$2952,2,FALSE)</f>
        <v>2</v>
      </c>
      <c r="I150" s="614" t="str">
        <f>ifna(vlookup(A150,'TX Data'!$A$2319:$B$2521,2,FALSE),"NULL")</f>
        <v>NULL</v>
      </c>
      <c r="J150" s="615" t="s">
        <v>63</v>
      </c>
      <c r="K150" s="672" t="s">
        <v>63</v>
      </c>
      <c r="L150" s="671">
        <f>ifna(vlookup(A150,'TX Data'!$A$1498:$B$1702,2,FALSE),"NULL")</f>
        <v>6</v>
      </c>
      <c r="M150" s="614" t="s">
        <v>63</v>
      </c>
      <c r="N150" s="612" t="s">
        <v>63</v>
      </c>
      <c r="O150" s="612" t="s">
        <v>63</v>
      </c>
      <c r="P150" s="620">
        <f>ifna(vlookup(A150,'Population &amp; Church Numbers'!$A$2526:$D$2779,4,FALSE),"NULL")</f>
        <v>15</v>
      </c>
      <c r="Q150" s="674" t="s">
        <v>63</v>
      </c>
    </row>
    <row r="151">
      <c r="A151" s="609" t="s">
        <v>2108</v>
      </c>
      <c r="B151" s="610">
        <f t="array" ref="B151">VLOOKUP($A151,TX_DEMO,2,FALSE)</f>
        <v>11335</v>
      </c>
      <c r="C151" s="704">
        <f>vlookup(A151,'TX Data'!$A$4:$B$259,2,FALSE)</f>
        <v>6</v>
      </c>
      <c r="D151" s="612" t="s">
        <v>63</v>
      </c>
      <c r="E151" s="612">
        <f>vlookup(A151,'TX Data'!$A$4:$D$259,3,FALSE)</f>
        <v>3</v>
      </c>
      <c r="F151" s="612">
        <f>vlookup(A151,'TX Data'!$A$4:$D$259,4,FALSE)</f>
        <v>2</v>
      </c>
      <c r="G151" s="612" t="s">
        <v>63</v>
      </c>
      <c r="H151" s="671">
        <f>vlookup(A151,'TX Data'!$I$2699:$J$2952,2,FALSE)</f>
        <v>2</v>
      </c>
      <c r="I151" s="614">
        <f>ifna(vlookup(A151,'TX Data'!$A$2319:$B$2521,2,FALSE),"NULL")</f>
        <v>0</v>
      </c>
      <c r="J151" s="615" t="s">
        <v>63</v>
      </c>
      <c r="K151" s="672" t="s">
        <v>63</v>
      </c>
      <c r="L151" s="671">
        <f>ifna(vlookup(A151,'TX Data'!$A$1498:$B$1702,2,FALSE),"NULL")</f>
        <v>20</v>
      </c>
      <c r="M151" s="614" t="s">
        <v>63</v>
      </c>
      <c r="N151" s="612" t="s">
        <v>63</v>
      </c>
      <c r="O151" s="612" t="s">
        <v>63</v>
      </c>
      <c r="P151" s="620">
        <f>ifna(vlookup(A151,'Population &amp; Church Numbers'!$A$2526:$D$2779,4,FALSE),"NULL")</f>
        <v>11</v>
      </c>
      <c r="Q151" s="674" t="s">
        <v>63</v>
      </c>
    </row>
    <row r="152">
      <c r="A152" s="609" t="s">
        <v>2109</v>
      </c>
      <c r="B152" s="610">
        <f t="array" ref="B152">VLOOKUP($A152,TX_DEMO,2,FALSE)</f>
        <v>21243</v>
      </c>
      <c r="C152" s="704">
        <f>vlookup(A152,'TX Data'!$A$4:$B$259,2,FALSE)</f>
        <v>42</v>
      </c>
      <c r="D152" s="612" t="s">
        <v>63</v>
      </c>
      <c r="E152" s="612">
        <f>vlookup(A152,'TX Data'!$A$4:$D$259,3,FALSE)</f>
        <v>6</v>
      </c>
      <c r="F152" s="612">
        <f>vlookup(A152,'TX Data'!$A$4:$D$259,4,FALSE)</f>
        <v>28</v>
      </c>
      <c r="G152" s="612" t="s">
        <v>63</v>
      </c>
      <c r="H152" s="671">
        <f>vlookup(A152,'TX Data'!$I$2699:$J$2952,2,FALSE)</f>
        <v>3</v>
      </c>
      <c r="I152" s="614">
        <f>ifna(vlookup(A152,'TX Data'!$A$2319:$B$2521,2,FALSE),"NULL")</f>
        <v>10</v>
      </c>
      <c r="J152" s="615" t="s">
        <v>63</v>
      </c>
      <c r="K152" s="672" t="s">
        <v>63</v>
      </c>
      <c r="L152" s="671">
        <f>ifna(vlookup(A152,'TX Data'!$A$1498:$B$1702,2,FALSE),"NULL")</f>
        <v>12</v>
      </c>
      <c r="M152" s="614" t="s">
        <v>63</v>
      </c>
      <c r="N152" s="612" t="s">
        <v>63</v>
      </c>
      <c r="O152" s="612" t="s">
        <v>63</v>
      </c>
      <c r="P152" s="620">
        <f>ifna(vlookup(A152,'Population &amp; Church Numbers'!$A$2526:$D$2779,4,FALSE),"NULL")</f>
        <v>23</v>
      </c>
      <c r="Q152" s="674" t="s">
        <v>63</v>
      </c>
    </row>
    <row r="153">
      <c r="A153" s="609" t="s">
        <v>2110</v>
      </c>
      <c r="B153" s="610">
        <f t="array" ref="B153">VLOOKUP($A153,TX_DEMO,2,FALSE)</f>
        <v>64</v>
      </c>
      <c r="C153" s="704" t="str">
        <f>vlookup(A153,'TX Data'!$A$4:$B$259,2,FALSE)</f>
        <v>NULL</v>
      </c>
      <c r="D153" s="612" t="s">
        <v>63</v>
      </c>
      <c r="E153" s="612">
        <f>vlookup(A153,'TX Data'!$A$4:$D$259,3,FALSE)</f>
        <v>0</v>
      </c>
      <c r="F153" s="612">
        <f>vlookup(A153,'TX Data'!$A$4:$D$259,4,FALSE)</f>
        <v>0</v>
      </c>
      <c r="G153" s="612" t="s">
        <v>63</v>
      </c>
      <c r="H153" s="671" t="str">
        <f>vlookup(A153,'TX Data'!$I$2699:$J$2952,2,FALSE)</f>
        <v>NULL</v>
      </c>
      <c r="I153" s="614" t="str">
        <f>ifna(vlookup(A153,'TX Data'!$A$2319:$B$2521,2,FALSE),"NULL")</f>
        <v>NULL</v>
      </c>
      <c r="J153" s="615" t="s">
        <v>63</v>
      </c>
      <c r="K153" s="672" t="s">
        <v>63</v>
      </c>
      <c r="L153" s="671" t="str">
        <f>ifna(vlookup(A153,'TX Data'!$A$1498:$B$1702,2,FALSE),"NULL")</f>
        <v>NULL</v>
      </c>
      <c r="M153" s="614" t="s">
        <v>63</v>
      </c>
      <c r="N153" s="612" t="s">
        <v>63</v>
      </c>
      <c r="O153" s="612" t="s">
        <v>63</v>
      </c>
      <c r="P153" s="620" t="str">
        <f>ifna(vlookup(A153,'Population &amp; Church Numbers'!$A$2526:$D$2779,4,FALSE),"NULL")</f>
        <v>NULL</v>
      </c>
      <c r="Q153" s="674" t="s">
        <v>63</v>
      </c>
    </row>
    <row r="154">
      <c r="A154" s="609" t="s">
        <v>2111</v>
      </c>
      <c r="B154" s="610">
        <f t="array" ref="B154">VLOOKUP($A154,TX_DEMO,2,FALSE)</f>
        <v>310639</v>
      </c>
      <c r="C154" s="704">
        <f>vlookup(A154,'TX Data'!$A$4:$B$259,2,FALSE)</f>
        <v>404</v>
      </c>
      <c r="D154" s="612" t="s">
        <v>63</v>
      </c>
      <c r="E154" s="612">
        <f>vlookup(A154,'TX Data'!$A$4:$D$259,3,FALSE)</f>
        <v>178</v>
      </c>
      <c r="F154" s="612">
        <f>vlookup(A154,'TX Data'!$A$4:$D$259,4,FALSE)</f>
        <v>116</v>
      </c>
      <c r="G154" s="612" t="s">
        <v>63</v>
      </c>
      <c r="H154" s="671">
        <f>vlookup(A154,'TX Data'!$I$2699:$J$2952,2,FALSE)</f>
        <v>176</v>
      </c>
      <c r="I154" s="614">
        <f>ifna(vlookup(A154,'TX Data'!$A$2319:$B$2521,2,FALSE),"NULL")</f>
        <v>125</v>
      </c>
      <c r="J154" s="615" t="s">
        <v>63</v>
      </c>
      <c r="K154" s="672" t="s">
        <v>63</v>
      </c>
      <c r="L154" s="671">
        <f>ifna(vlookup(A154,'TX Data'!$A$1498:$B$1702,2,FALSE),"NULL")</f>
        <v>1145</v>
      </c>
      <c r="M154" s="614" t="s">
        <v>63</v>
      </c>
      <c r="N154" s="612" t="s">
        <v>63</v>
      </c>
      <c r="O154" s="612" t="s">
        <v>63</v>
      </c>
      <c r="P154" s="620">
        <f>ifna(vlookup(A154,'Population &amp; Church Numbers'!$A$2526:$D$2779,4,FALSE),"NULL")</f>
        <v>209</v>
      </c>
      <c r="Q154" s="674" t="s">
        <v>63</v>
      </c>
    </row>
    <row r="155">
      <c r="A155" s="609" t="s">
        <v>2112</v>
      </c>
      <c r="B155" s="610">
        <f t="array" ref="B155">VLOOKUP($A155,TX_DEMO,2,FALSE)</f>
        <v>5596</v>
      </c>
      <c r="C155" s="704">
        <f>vlookup(A155,'TX Data'!$A$4:$B$259,2,FALSE)</f>
        <v>9</v>
      </c>
      <c r="D155" s="612" t="s">
        <v>63</v>
      </c>
      <c r="E155" s="612">
        <f>vlookup(A155,'TX Data'!$A$4:$D$259,3,FALSE)</f>
        <v>3</v>
      </c>
      <c r="F155" s="612">
        <f>vlookup(A155,'TX Data'!$A$4:$D$259,4,FALSE)</f>
        <v>5</v>
      </c>
      <c r="G155" s="612" t="s">
        <v>63</v>
      </c>
      <c r="H155" s="671">
        <f>vlookup(A155,'TX Data'!$I$2699:$J$2952,2,FALSE)</f>
        <v>1</v>
      </c>
      <c r="I155" s="614">
        <f>ifna(vlookup(A155,'TX Data'!$A$2319:$B$2521,2,FALSE),"NULL")</f>
        <v>4</v>
      </c>
      <c r="J155" s="615" t="s">
        <v>63</v>
      </c>
      <c r="K155" s="672" t="s">
        <v>63</v>
      </c>
      <c r="L155" s="671" t="str">
        <f>ifna(vlookup(A155,'TX Data'!$A$1498:$B$1702,2,FALSE),"NULL")</f>
        <v>NULL</v>
      </c>
      <c r="M155" s="614" t="s">
        <v>63</v>
      </c>
      <c r="N155" s="612" t="s">
        <v>63</v>
      </c>
      <c r="O155" s="612" t="s">
        <v>63</v>
      </c>
      <c r="P155" s="620">
        <f>ifna(vlookup(A155,'Population &amp; Church Numbers'!$A$2526:$D$2779,4,FALSE),"NULL")</f>
        <v>14</v>
      </c>
      <c r="Q155" s="674" t="s">
        <v>63</v>
      </c>
    </row>
    <row r="156">
      <c r="A156" s="609" t="s">
        <v>2113</v>
      </c>
      <c r="B156" s="610">
        <f t="array" ref="B156">VLOOKUP($A156,TX_DEMO,2,FALSE)</f>
        <v>7630</v>
      </c>
      <c r="C156" s="704">
        <f>vlookup(A156,'TX Data'!$A$4:$B$259,2,FALSE)</f>
        <v>22</v>
      </c>
      <c r="D156" s="612" t="s">
        <v>63</v>
      </c>
      <c r="E156" s="612">
        <f>vlookup(A156,'TX Data'!$A$4:$D$259,3,FALSE)</f>
        <v>5</v>
      </c>
      <c r="F156" s="612">
        <f>vlookup(A156,'TX Data'!$A$4:$D$259,4,FALSE)</f>
        <v>13</v>
      </c>
      <c r="G156" s="612" t="s">
        <v>63</v>
      </c>
      <c r="H156" s="671">
        <f>vlookup(A156,'TX Data'!$I$2699:$J$2952,2,FALSE)</f>
        <v>7</v>
      </c>
      <c r="I156" s="614">
        <f>ifna(vlookup(A156,'TX Data'!$A$2319:$B$2521,2,FALSE),"NULL")</f>
        <v>12</v>
      </c>
      <c r="J156" s="615" t="s">
        <v>63</v>
      </c>
      <c r="K156" s="672" t="s">
        <v>63</v>
      </c>
      <c r="L156" s="671">
        <f>ifna(vlookup(A156,'TX Data'!$A$1498:$B$1702,2,FALSE),"NULL")</f>
        <v>28</v>
      </c>
      <c r="M156" s="614" t="s">
        <v>63</v>
      </c>
      <c r="N156" s="612" t="s">
        <v>63</v>
      </c>
      <c r="O156" s="612" t="s">
        <v>63</v>
      </c>
      <c r="P156" s="620">
        <f>ifna(vlookup(A156,'Population &amp; Church Numbers'!$A$2526:$D$2779,4,FALSE),"NULL")</f>
        <v>19</v>
      </c>
      <c r="Q156" s="674" t="s">
        <v>63</v>
      </c>
    </row>
    <row r="157">
      <c r="A157" s="609" t="s">
        <v>2114</v>
      </c>
      <c r="B157" s="610">
        <f t="array" ref="B157">VLOOKUP($A157,TX_DEMO,2,FALSE)</f>
        <v>260579</v>
      </c>
      <c r="C157" s="704">
        <f>vlookup(A157,'TX Data'!$A$4:$B$259,2,FALSE)</f>
        <v>363</v>
      </c>
      <c r="D157" s="612" t="s">
        <v>63</v>
      </c>
      <c r="E157" s="612">
        <f>vlookup(A157,'TX Data'!$A$4:$D$259,3,FALSE)</f>
        <v>92</v>
      </c>
      <c r="F157" s="612">
        <f>vlookup(A157,'TX Data'!$A$4:$D$259,4,FALSE)</f>
        <v>201</v>
      </c>
      <c r="G157" s="612" t="s">
        <v>63</v>
      </c>
      <c r="H157" s="671">
        <f>vlookup(A157,'TX Data'!$I$2699:$J$2952,2,FALSE)</f>
        <v>83</v>
      </c>
      <c r="I157" s="614">
        <f>ifna(vlookup(A157,'TX Data'!$A$2319:$B$2521,2,FALSE),"NULL")</f>
        <v>87</v>
      </c>
      <c r="J157" s="615" t="s">
        <v>63</v>
      </c>
      <c r="K157" s="672" t="s">
        <v>63</v>
      </c>
      <c r="L157" s="671">
        <f>ifna(vlookup(A157,'TX Data'!$A$1498:$B$1702,2,FALSE),"NULL")</f>
        <v>531</v>
      </c>
      <c r="M157" s="614" t="s">
        <v>63</v>
      </c>
      <c r="N157" s="612" t="s">
        <v>63</v>
      </c>
      <c r="O157" s="612" t="s">
        <v>63</v>
      </c>
      <c r="P157" s="620">
        <f>ifna(vlookup(A157,'Population &amp; Church Numbers'!$A$2526:$D$2779,4,FALSE),"NULL")</f>
        <v>254</v>
      </c>
      <c r="Q157" s="674" t="s">
        <v>63</v>
      </c>
    </row>
    <row r="158">
      <c r="A158" s="609" t="s">
        <v>2115</v>
      </c>
      <c r="B158" s="610">
        <f t="array" ref="B158">VLOOKUP($A158,TX_DEMO,2,FALSE)</f>
        <v>600</v>
      </c>
      <c r="C158" s="704" t="str">
        <f>vlookup(A158,'TX Data'!$A$4:$B$259,2,FALSE)</f>
        <v>NULL</v>
      </c>
      <c r="D158" s="612" t="s">
        <v>63</v>
      </c>
      <c r="E158" s="612">
        <f>vlookup(A158,'TX Data'!$A$4:$D$259,3,FALSE)</f>
        <v>0</v>
      </c>
      <c r="F158" s="612">
        <f>vlookup(A158,'TX Data'!$A$4:$D$259,4,FALSE)</f>
        <v>0</v>
      </c>
      <c r="G158" s="612" t="s">
        <v>63</v>
      </c>
      <c r="H158" s="671" t="str">
        <f>vlookup(A158,'TX Data'!$I$2699:$J$2952,2,FALSE)</f>
        <v>NULL</v>
      </c>
      <c r="I158" s="614" t="str">
        <f>ifna(vlookup(A158,'TX Data'!$A$2319:$B$2521,2,FALSE),"NULL")</f>
        <v>NULL</v>
      </c>
      <c r="J158" s="615" t="s">
        <v>63</v>
      </c>
      <c r="K158" s="672" t="s">
        <v>63</v>
      </c>
      <c r="L158" s="671" t="str">
        <f>ifna(vlookup(A158,'TX Data'!$A$1498:$B$1702,2,FALSE),"NULL")</f>
        <v>NULL</v>
      </c>
      <c r="M158" s="614" t="s">
        <v>63</v>
      </c>
      <c r="N158" s="612" t="s">
        <v>63</v>
      </c>
      <c r="O158" s="612" t="s">
        <v>63</v>
      </c>
      <c r="P158" s="620">
        <f>ifna(vlookup(A158,'Population &amp; Church Numbers'!$A$2526:$D$2779,4,FALSE),"NULL")</f>
        <v>2</v>
      </c>
      <c r="Q158" s="674" t="s">
        <v>63</v>
      </c>
    </row>
    <row r="159">
      <c r="A159" s="609" t="s">
        <v>151</v>
      </c>
      <c r="B159" s="610">
        <f t="array" ref="B159">VLOOKUP($A159,TX_DEMO,2,FALSE)</f>
        <v>13455</v>
      </c>
      <c r="C159" s="704">
        <f>vlookup(A159,'TX Data'!$A$4:$B$259,2,FALSE)</f>
        <v>16</v>
      </c>
      <c r="D159" s="612" t="s">
        <v>63</v>
      </c>
      <c r="E159" s="612">
        <f>vlookup(A159,'TX Data'!$A$4:$D$259,3,FALSE)</f>
        <v>2</v>
      </c>
      <c r="F159" s="612">
        <f>vlookup(A159,'TX Data'!$A$4:$D$259,4,FALSE)</f>
        <v>12</v>
      </c>
      <c r="G159" s="612" t="s">
        <v>63</v>
      </c>
      <c r="H159" s="671">
        <f>vlookup(A159,'TX Data'!$I$2699:$J$2952,2,FALSE)</f>
        <v>6</v>
      </c>
      <c r="I159" s="614">
        <f>ifna(vlookup(A159,'TX Data'!$A$2319:$B$2521,2,FALSE),"NULL")</f>
        <v>2</v>
      </c>
      <c r="J159" s="615" t="s">
        <v>63</v>
      </c>
      <c r="K159" s="672" t="s">
        <v>63</v>
      </c>
      <c r="L159" s="671" t="str">
        <f>ifna(vlookup(A159,'TX Data'!$A$1498:$B$1702,2,FALSE),"NULL")</f>
        <v>NULL</v>
      </c>
      <c r="M159" s="614" t="s">
        <v>63</v>
      </c>
      <c r="N159" s="612" t="s">
        <v>63</v>
      </c>
      <c r="O159" s="612" t="s">
        <v>63</v>
      </c>
      <c r="P159" s="620">
        <f>ifna(vlookup(A159,'Population &amp; Church Numbers'!$A$2526:$D$2779,4,FALSE),"NULL")</f>
        <v>17</v>
      </c>
      <c r="Q159" s="674" t="s">
        <v>63</v>
      </c>
    </row>
    <row r="160">
      <c r="A160" s="609" t="s">
        <v>153</v>
      </c>
      <c r="B160" s="610">
        <f t="array" ref="B160">VLOOKUP($A160,TX_DEMO,2,FALSE)</f>
        <v>9725</v>
      </c>
      <c r="C160" s="704">
        <f>vlookup(A160,'TX Data'!$A$4:$B$259,2,FALSE)</f>
        <v>15</v>
      </c>
      <c r="D160" s="612" t="s">
        <v>63</v>
      </c>
      <c r="E160" s="612">
        <f>vlookup(A160,'TX Data'!$A$4:$D$259,3,FALSE)</f>
        <v>4</v>
      </c>
      <c r="F160" s="612">
        <f>vlookup(A160,'TX Data'!$A$4:$D$259,4,FALSE)</f>
        <v>9</v>
      </c>
      <c r="G160" s="612" t="s">
        <v>63</v>
      </c>
      <c r="H160" s="671">
        <f>vlookup(A160,'TX Data'!$I$2699:$J$2952,2,FALSE)</f>
        <v>2</v>
      </c>
      <c r="I160" s="614">
        <f>ifna(vlookup(A160,'TX Data'!$A$2319:$B$2521,2,FALSE),"NULL")</f>
        <v>2</v>
      </c>
      <c r="J160" s="615" t="s">
        <v>63</v>
      </c>
      <c r="K160" s="672" t="s">
        <v>63</v>
      </c>
      <c r="L160" s="671">
        <f>ifna(vlookup(A160,'TX Data'!$A$1498:$B$1702,2,FALSE),"NULL")</f>
        <v>31</v>
      </c>
      <c r="M160" s="614" t="s">
        <v>63</v>
      </c>
      <c r="N160" s="612" t="s">
        <v>63</v>
      </c>
      <c r="O160" s="612" t="s">
        <v>63</v>
      </c>
      <c r="P160" s="620">
        <f>ifna(vlookup(A160,'Population &amp; Church Numbers'!$A$2526:$D$2779,4,FALSE),"NULL")</f>
        <v>22</v>
      </c>
      <c r="Q160" s="674" t="s">
        <v>63</v>
      </c>
    </row>
    <row r="161">
      <c r="A161" s="609" t="s">
        <v>510</v>
      </c>
      <c r="B161" s="610">
        <f t="array" ref="B161">VLOOKUP($A161,TX_DEMO,2,FALSE)</f>
        <v>5237</v>
      </c>
      <c r="C161" s="704">
        <f>vlookup(A161,'TX Data'!$A$4:$B$259,2,FALSE)</f>
        <v>6</v>
      </c>
      <c r="D161" s="612" t="s">
        <v>63</v>
      </c>
      <c r="E161" s="612">
        <f>vlookup(A161,'TX Data'!$A$4:$D$259,3,FALSE)</f>
        <v>0</v>
      </c>
      <c r="F161" s="612">
        <f>vlookup(A161,'TX Data'!$A$4:$D$259,4,FALSE)</f>
        <v>6</v>
      </c>
      <c r="G161" s="612" t="s">
        <v>63</v>
      </c>
      <c r="H161" s="671">
        <f>vlookup(A161,'TX Data'!$I$2699:$J$2952,2,FALSE)</f>
        <v>2</v>
      </c>
      <c r="I161" s="614" t="str">
        <f>ifna(vlookup(A161,'TX Data'!$A$2319:$B$2521,2,FALSE),"NULL")</f>
        <v>NULL</v>
      </c>
      <c r="J161" s="615" t="s">
        <v>63</v>
      </c>
      <c r="K161" s="672" t="s">
        <v>63</v>
      </c>
      <c r="L161" s="671" t="str">
        <f>ifna(vlookup(A161,'TX Data'!$A$1498:$B$1702,2,FALSE),"NULL")</f>
        <v>NULL</v>
      </c>
      <c r="M161" s="614" t="s">
        <v>63</v>
      </c>
      <c r="N161" s="612" t="s">
        <v>63</v>
      </c>
      <c r="O161" s="612" t="s">
        <v>63</v>
      </c>
      <c r="P161" s="620">
        <f>ifna(vlookup(A161,'Population &amp; Church Numbers'!$A$2526:$D$2779,4,FALSE),"NULL")</f>
        <v>7</v>
      </c>
      <c r="Q161" s="674" t="s">
        <v>63</v>
      </c>
    </row>
    <row r="162">
      <c r="A162" s="609" t="s">
        <v>735</v>
      </c>
      <c r="B162" s="610">
        <f t="array" ref="B162">VLOOKUP($A162,TX_DEMO,2,FALSE)</f>
        <v>3953</v>
      </c>
      <c r="C162" s="704">
        <f>vlookup(A162,'TX Data'!$A$4:$B$259,2,FALSE)</f>
        <v>1</v>
      </c>
      <c r="D162" s="612" t="s">
        <v>63</v>
      </c>
      <c r="E162" s="612">
        <f>vlookup(A162,'TX Data'!$A$4:$D$259,3,FALSE)</f>
        <v>0</v>
      </c>
      <c r="F162" s="612">
        <f>vlookup(A162,'TX Data'!$A$4:$D$259,4,FALSE)</f>
        <v>0</v>
      </c>
      <c r="G162" s="612" t="s">
        <v>63</v>
      </c>
      <c r="H162" s="671" t="str">
        <f>vlookup(A162,'TX Data'!$I$2699:$J$2952,2,FALSE)</f>
        <v>NULL</v>
      </c>
      <c r="I162" s="614" t="str">
        <f>ifna(vlookup(A162,'TX Data'!$A$2319:$B$2521,2,FALSE),"NULL")</f>
        <v>NULL</v>
      </c>
      <c r="J162" s="615" t="s">
        <v>63</v>
      </c>
      <c r="K162" s="672" t="s">
        <v>63</v>
      </c>
      <c r="L162" s="671" t="str">
        <f>ifna(vlookup(A162,'TX Data'!$A$1498:$B$1702,2,FALSE),"NULL")</f>
        <v>NULL</v>
      </c>
      <c r="M162" s="614" t="s">
        <v>63</v>
      </c>
      <c r="N162" s="612" t="s">
        <v>63</v>
      </c>
      <c r="O162" s="612" t="s">
        <v>63</v>
      </c>
      <c r="P162" s="620">
        <f>ifna(vlookup(A162,'Population &amp; Church Numbers'!$A$2526:$D$2779,4,FALSE),"NULL")</f>
        <v>7</v>
      </c>
      <c r="Q162" s="674" t="s">
        <v>63</v>
      </c>
    </row>
    <row r="163">
      <c r="A163" s="609" t="s">
        <v>2116</v>
      </c>
      <c r="B163" s="610">
        <f t="array" ref="B163">VLOOKUP($A163,TX_DEMO,2,FALSE)</f>
        <v>36255</v>
      </c>
      <c r="C163" s="704">
        <f>vlookup(A163,'TX Data'!$A$4:$B$259,2,FALSE)</f>
        <v>48</v>
      </c>
      <c r="D163" s="612" t="s">
        <v>63</v>
      </c>
      <c r="E163" s="612">
        <f>vlookup(A163,'TX Data'!$A$4:$D$259,3,FALSE)</f>
        <v>25</v>
      </c>
      <c r="F163" s="612">
        <f>vlookup(A163,'TX Data'!$A$4:$D$259,4,FALSE)</f>
        <v>14</v>
      </c>
      <c r="G163" s="612" t="s">
        <v>63</v>
      </c>
      <c r="H163" s="671">
        <f>vlookup(A163,'TX Data'!$I$2699:$J$2952,2,FALSE)</f>
        <v>6</v>
      </c>
      <c r="I163" s="614">
        <f>ifna(vlookup(A163,'TX Data'!$A$2319:$B$2521,2,FALSE),"NULL")</f>
        <v>3</v>
      </c>
      <c r="J163" s="615" t="s">
        <v>63</v>
      </c>
      <c r="K163" s="672" t="s">
        <v>63</v>
      </c>
      <c r="L163" s="671">
        <f>ifna(vlookup(A163,'TX Data'!$A$1498:$B$1702,2,FALSE),"NULL")</f>
        <v>181</v>
      </c>
      <c r="M163" s="614" t="s">
        <v>63</v>
      </c>
      <c r="N163" s="612" t="s">
        <v>63</v>
      </c>
      <c r="O163" s="612" t="s">
        <v>63</v>
      </c>
      <c r="P163" s="620">
        <f>ifna(vlookup(A163,'Population &amp; Church Numbers'!$A$2526:$D$2779,4,FALSE),"NULL")</f>
        <v>51</v>
      </c>
      <c r="Q163" s="674" t="s">
        <v>63</v>
      </c>
    </row>
    <row r="164">
      <c r="A164" s="609" t="s">
        <v>2117</v>
      </c>
      <c r="B164" s="610">
        <f t="array" ref="B164">VLOOKUP($A164,TX_DEMO,2,FALSE)</f>
        <v>57887</v>
      </c>
      <c r="C164" s="704">
        <f>vlookup(A164,'TX Data'!$A$4:$B$259,2,FALSE)</f>
        <v>38</v>
      </c>
      <c r="D164" s="612" t="s">
        <v>63</v>
      </c>
      <c r="E164" s="612">
        <f>vlookup(A164,'TX Data'!$A$4:$D$259,3,FALSE)</f>
        <v>9</v>
      </c>
      <c r="F164" s="612">
        <f>vlookup(A164,'TX Data'!$A$4:$D$259,4,FALSE)</f>
        <v>13</v>
      </c>
      <c r="G164" s="612" t="s">
        <v>63</v>
      </c>
      <c r="H164" s="671">
        <f>vlookup(A164,'TX Data'!$I$2699:$J$2952,2,FALSE)</f>
        <v>5</v>
      </c>
      <c r="I164" s="614">
        <f>ifna(vlookup(A164,'TX Data'!$A$2319:$B$2521,2,FALSE),"NULL")</f>
        <v>12</v>
      </c>
      <c r="J164" s="615" t="s">
        <v>63</v>
      </c>
      <c r="K164" s="672" t="s">
        <v>63</v>
      </c>
      <c r="L164" s="671">
        <f>ifna(vlookup(A164,'TX Data'!$A$1498:$B$1702,2,FALSE),"NULL")</f>
        <v>149</v>
      </c>
      <c r="M164" s="614" t="s">
        <v>63</v>
      </c>
      <c r="N164" s="612" t="s">
        <v>63</v>
      </c>
      <c r="O164" s="612" t="s">
        <v>63</v>
      </c>
      <c r="P164" s="620">
        <f>ifna(vlookup(A164,'Population &amp; Church Numbers'!$A$2526:$D$2779,4,FALSE),"NULL")</f>
        <v>15</v>
      </c>
      <c r="Q164" s="674" t="s">
        <v>63</v>
      </c>
    </row>
    <row r="165">
      <c r="A165" s="609" t="s">
        <v>1689</v>
      </c>
      <c r="B165" s="610">
        <f t="array" ref="B165">VLOOKUP($A165,TX_DEMO,2,FALSE)</f>
        <v>50748</v>
      </c>
      <c r="C165" s="704">
        <f>vlookup(A165,'TX Data'!$A$4:$B$259,2,FALSE)</f>
        <v>36</v>
      </c>
      <c r="D165" s="612" t="s">
        <v>63</v>
      </c>
      <c r="E165" s="612">
        <f>vlookup(A165,'TX Data'!$A$4:$D$259,3,FALSE)</f>
        <v>10</v>
      </c>
      <c r="F165" s="612">
        <f>vlookup(A165,'TX Data'!$A$4:$D$259,4,FALSE)</f>
        <v>12</v>
      </c>
      <c r="G165" s="612" t="s">
        <v>63</v>
      </c>
      <c r="H165" s="671">
        <f>vlookup(A165,'TX Data'!$I$2699:$J$2952,2,FALSE)</f>
        <v>20</v>
      </c>
      <c r="I165" s="614">
        <f>ifna(vlookup(A165,'TX Data'!$A$2319:$B$2521,2,FALSE),"NULL")</f>
        <v>13</v>
      </c>
      <c r="J165" s="615" t="s">
        <v>63</v>
      </c>
      <c r="K165" s="672" t="s">
        <v>63</v>
      </c>
      <c r="L165" s="671">
        <f>ifna(vlookup(A165,'TX Data'!$A$1498:$B$1702,2,FALSE),"NULL")</f>
        <v>189</v>
      </c>
      <c r="M165" s="614" t="s">
        <v>63</v>
      </c>
      <c r="N165" s="612" t="s">
        <v>63</v>
      </c>
      <c r="O165" s="612" t="s">
        <v>63</v>
      </c>
      <c r="P165" s="620">
        <f>ifna(vlookup(A165,'Population &amp; Church Numbers'!$A$2526:$D$2779,4,FALSE),"NULL")</f>
        <v>37</v>
      </c>
      <c r="Q165" s="674" t="s">
        <v>63</v>
      </c>
    </row>
    <row r="166">
      <c r="A166" s="609" t="s">
        <v>737</v>
      </c>
      <c r="B166" s="610">
        <f t="array" ref="B166">VLOOKUP($A166,TX_DEMO,2,FALSE)</f>
        <v>1962</v>
      </c>
      <c r="C166" s="704">
        <f>vlookup(A166,'TX Data'!$A$4:$B$259,2,FALSE)</f>
        <v>0</v>
      </c>
      <c r="D166" s="612" t="s">
        <v>63</v>
      </c>
      <c r="E166" s="612">
        <f>vlookup(A166,'TX Data'!$A$4:$D$259,3,FALSE)</f>
        <v>0</v>
      </c>
      <c r="F166" s="612">
        <f>vlookup(A166,'TX Data'!$A$4:$D$259,4,FALSE)</f>
        <v>0</v>
      </c>
      <c r="G166" s="612" t="s">
        <v>63</v>
      </c>
      <c r="H166" s="671" t="str">
        <f>vlookup(A166,'TX Data'!$I$2699:$J$2952,2,FALSE)</f>
        <v>NULL</v>
      </c>
      <c r="I166" s="614" t="str">
        <f>ifna(vlookup(A166,'TX Data'!$A$2319:$B$2521,2,FALSE),"NULL")</f>
        <v>NULL</v>
      </c>
      <c r="J166" s="615" t="s">
        <v>63</v>
      </c>
      <c r="K166" s="672" t="s">
        <v>63</v>
      </c>
      <c r="L166" s="671" t="str">
        <f>ifna(vlookup(A166,'TX Data'!$A$1498:$B$1702,2,FALSE),"NULL")</f>
        <v>NULL</v>
      </c>
      <c r="M166" s="614" t="s">
        <v>63</v>
      </c>
      <c r="N166" s="612" t="s">
        <v>63</v>
      </c>
      <c r="O166" s="612" t="s">
        <v>63</v>
      </c>
      <c r="P166" s="620">
        <f>ifna(vlookup(A166,'Population &amp; Church Numbers'!$A$2526:$D$2779,4,FALSE),"NULL")</f>
        <v>6</v>
      </c>
      <c r="Q166" s="674" t="s">
        <v>63</v>
      </c>
    </row>
    <row r="167">
      <c r="A167" s="609" t="s">
        <v>1273</v>
      </c>
      <c r="B167" s="610">
        <f t="array" ref="B167">VLOOKUP($A167,TX_DEMO,2,FALSE)</f>
        <v>169983</v>
      </c>
      <c r="C167" s="704">
        <f>vlookup(A167,'TX Data'!$A$4:$B$259,2,FALSE)</f>
        <v>52</v>
      </c>
      <c r="D167" s="612" t="s">
        <v>63</v>
      </c>
      <c r="E167" s="612">
        <f>vlookup(A167,'TX Data'!$A$4:$D$259,3,FALSE)</f>
        <v>16</v>
      </c>
      <c r="F167" s="612">
        <f>vlookup(A167,'TX Data'!$A$4:$D$259,4,FALSE)</f>
        <v>21</v>
      </c>
      <c r="G167" s="612" t="s">
        <v>63</v>
      </c>
      <c r="H167" s="671">
        <f>vlookup(A167,'TX Data'!$I$2699:$J$2952,2,FALSE)</f>
        <v>39</v>
      </c>
      <c r="I167" s="614">
        <f>ifna(vlookup(A167,'TX Data'!$A$2319:$B$2521,2,FALSE),"NULL")</f>
        <v>23</v>
      </c>
      <c r="J167" s="615" t="s">
        <v>63</v>
      </c>
      <c r="K167" s="672" t="s">
        <v>63</v>
      </c>
      <c r="L167" s="671">
        <f>ifna(vlookup(A167,'TX Data'!$A$1498:$B$1702,2,FALSE),"NULL")</f>
        <v>361</v>
      </c>
      <c r="M167" s="614" t="s">
        <v>63</v>
      </c>
      <c r="N167" s="612" t="s">
        <v>63</v>
      </c>
      <c r="O167" s="612" t="s">
        <v>63</v>
      </c>
      <c r="P167" s="620">
        <f>ifna(vlookup(A167,'Population &amp; Church Numbers'!$A$2526:$D$2779,4,FALSE),"NULL")</f>
        <v>98</v>
      </c>
      <c r="Q167" s="674" t="s">
        <v>63</v>
      </c>
    </row>
    <row r="168">
      <c r="A168" s="609" t="s">
        <v>2118</v>
      </c>
      <c r="B168" s="610">
        <f t="array" ref="B168">VLOOKUP($A168,TX_DEMO,2,FALSE)</f>
        <v>24754</v>
      </c>
      <c r="C168" s="704">
        <f>vlookup(A168,'TX Data'!$A$4:$B$259,2,FALSE)</f>
        <v>59</v>
      </c>
      <c r="D168" s="612" t="s">
        <v>63</v>
      </c>
      <c r="E168" s="612">
        <f>vlookup(A168,'TX Data'!$A$4:$D$259,3,FALSE)</f>
        <v>16</v>
      </c>
      <c r="F168" s="612">
        <f>vlookup(A168,'TX Data'!$A$4:$D$259,4,FALSE)</f>
        <v>37</v>
      </c>
      <c r="G168" s="612" t="s">
        <v>63</v>
      </c>
      <c r="H168" s="671">
        <f>vlookup(A168,'TX Data'!$I$2699:$J$2952,2,FALSE)</f>
        <v>7</v>
      </c>
      <c r="I168" s="614">
        <f>ifna(vlookup(A168,'TX Data'!$A$2319:$B$2521,2,FALSE),"NULL")</f>
        <v>17</v>
      </c>
      <c r="J168" s="615" t="s">
        <v>63</v>
      </c>
      <c r="K168" s="672" t="s">
        <v>63</v>
      </c>
      <c r="L168" s="671">
        <f>ifna(vlookup(A168,'TX Data'!$A$1498:$B$1702,2,FALSE),"NULL")</f>
        <v>33</v>
      </c>
      <c r="M168" s="614" t="s">
        <v>63</v>
      </c>
      <c r="N168" s="612" t="s">
        <v>63</v>
      </c>
      <c r="O168" s="612" t="s">
        <v>63</v>
      </c>
      <c r="P168" s="620">
        <f>ifna(vlookup(A168,'Population &amp; Church Numbers'!$A$2526:$D$2779,4,FALSE),"NULL")</f>
        <v>45</v>
      </c>
      <c r="Q168" s="674" t="s">
        <v>63</v>
      </c>
    </row>
    <row r="169">
      <c r="A169" s="609" t="s">
        <v>913</v>
      </c>
      <c r="B169" s="610">
        <f t="array" ref="B169">VLOOKUP($A169,TX_DEMO,2,FALSE)</f>
        <v>4456</v>
      </c>
      <c r="C169" s="704">
        <f>vlookup(A169,'TX Data'!$A$4:$B$259,2,FALSE)</f>
        <v>6</v>
      </c>
      <c r="D169" s="612" t="s">
        <v>63</v>
      </c>
      <c r="E169" s="612">
        <f>vlookup(A169,'TX Data'!$A$4:$D$259,3,FALSE)</f>
        <v>0</v>
      </c>
      <c r="F169" s="612">
        <f>vlookup(A169,'TX Data'!$A$4:$D$259,4,FALSE)</f>
        <v>1</v>
      </c>
      <c r="G169" s="612" t="s">
        <v>63</v>
      </c>
      <c r="H169" s="671">
        <f>vlookup(A169,'TX Data'!$I$2699:$J$2952,2,FALSE)</f>
        <v>1</v>
      </c>
      <c r="I169" s="614">
        <f>ifna(vlookup(A169,'TX Data'!$A$2319:$B$2521,2,FALSE),"NULL")</f>
        <v>5</v>
      </c>
      <c r="J169" s="615" t="s">
        <v>63</v>
      </c>
      <c r="K169" s="672" t="s">
        <v>63</v>
      </c>
      <c r="L169" s="671" t="str">
        <f>ifna(vlookup(A169,'TX Data'!$A$1498:$B$1702,2,FALSE),"NULL")</f>
        <v>NULL</v>
      </c>
      <c r="M169" s="614" t="s">
        <v>63</v>
      </c>
      <c r="N169" s="612" t="s">
        <v>63</v>
      </c>
      <c r="O169" s="612" t="s">
        <v>63</v>
      </c>
      <c r="P169" s="620">
        <f>ifna(vlookup(A169,'Population &amp; Church Numbers'!$A$2526:$D$2779,4,FALSE),"NULL")</f>
        <v>10</v>
      </c>
      <c r="Q169" s="674" t="s">
        <v>63</v>
      </c>
    </row>
    <row r="170">
      <c r="A170" s="609" t="s">
        <v>610</v>
      </c>
      <c r="B170" s="610">
        <f t="array" ref="B170">VLOOKUP($A170,TX_DEMO,2,FALSE)</f>
        <v>8990</v>
      </c>
      <c r="C170" s="704">
        <f>vlookup(A170,'TX Data'!$A$4:$B$259,2,FALSE)</f>
        <v>9</v>
      </c>
      <c r="D170" s="612" t="s">
        <v>63</v>
      </c>
      <c r="E170" s="612">
        <f>vlookup(A170,'TX Data'!$A$4:$D$259,3,FALSE)</f>
        <v>4</v>
      </c>
      <c r="F170" s="612">
        <f>vlookup(A170,'TX Data'!$A$4:$D$259,4,FALSE)</f>
        <v>2</v>
      </c>
      <c r="G170" s="612" t="s">
        <v>63</v>
      </c>
      <c r="H170" s="671">
        <f>vlookup(A170,'TX Data'!$I$2699:$J$2952,2,FALSE)</f>
        <v>2</v>
      </c>
      <c r="I170" s="614" t="str">
        <f>ifna(vlookup(A170,'TX Data'!$A$2319:$B$2521,2,FALSE),"NULL")</f>
        <v>NULL</v>
      </c>
      <c r="J170" s="615" t="s">
        <v>63</v>
      </c>
      <c r="K170" s="672" t="s">
        <v>63</v>
      </c>
      <c r="L170" s="671">
        <f>ifna(vlookup(A170,'TX Data'!$A$1498:$B$1702,2,FALSE),"NULL")</f>
        <v>34</v>
      </c>
      <c r="M170" s="614" t="s">
        <v>63</v>
      </c>
      <c r="N170" s="612" t="s">
        <v>63</v>
      </c>
      <c r="O170" s="612" t="s">
        <v>63</v>
      </c>
      <c r="P170" s="620">
        <f>ifna(vlookup(A170,'Population &amp; Church Numbers'!$A$2526:$D$2779,4,FALSE),"NULL")</f>
        <v>11</v>
      </c>
      <c r="Q170" s="674" t="s">
        <v>63</v>
      </c>
    </row>
    <row r="171">
      <c r="A171" s="609" t="s">
        <v>2119</v>
      </c>
      <c r="B171" s="610">
        <f t="array" ref="B171">VLOOKUP($A171,TX_DEMO,2,FALSE)</f>
        <v>19965</v>
      </c>
      <c r="C171" s="704">
        <f>vlookup(A171,'TX Data'!$A$4:$B$259,2,FALSE)</f>
        <v>17</v>
      </c>
      <c r="D171" s="612" t="s">
        <v>63</v>
      </c>
      <c r="E171" s="612">
        <f>vlookup(A171,'TX Data'!$A$4:$D$259,3,FALSE)</f>
        <v>4</v>
      </c>
      <c r="F171" s="612">
        <f>vlookup(A171,'TX Data'!$A$4:$D$259,4,FALSE)</f>
        <v>9</v>
      </c>
      <c r="G171" s="612" t="s">
        <v>63</v>
      </c>
      <c r="H171" s="671">
        <f>vlookup(A171,'TX Data'!$I$2699:$J$2952,2,FALSE)</f>
        <v>11</v>
      </c>
      <c r="I171" s="614">
        <f>ifna(vlookup(A171,'TX Data'!$A$2319:$B$2521,2,FALSE),"NULL")</f>
        <v>2</v>
      </c>
      <c r="J171" s="615" t="s">
        <v>63</v>
      </c>
      <c r="K171" s="672" t="s">
        <v>63</v>
      </c>
      <c r="L171" s="671">
        <f>ifna(vlookup(A171,'TX Data'!$A$1498:$B$1702,2,FALSE),"NULL")</f>
        <v>90</v>
      </c>
      <c r="M171" s="614" t="s">
        <v>63</v>
      </c>
      <c r="N171" s="612" t="s">
        <v>63</v>
      </c>
      <c r="O171" s="612" t="s">
        <v>63</v>
      </c>
      <c r="P171" s="620">
        <f>ifna(vlookup(A171,'Population &amp; Church Numbers'!$A$2526:$D$2779,4,FALSE),"NULL")</f>
        <v>33</v>
      </c>
      <c r="Q171" s="674" t="s">
        <v>63</v>
      </c>
    </row>
    <row r="172">
      <c r="A172" s="609" t="s">
        <v>157</v>
      </c>
      <c r="B172" s="610">
        <f t="array" ref="B172">VLOOKUP($A172,TX_DEMO,2,FALSE)</f>
        <v>620443</v>
      </c>
      <c r="C172" s="704">
        <f>vlookup(A172,'TX Data'!$A$4:$B$259,2,FALSE)</f>
        <v>266</v>
      </c>
      <c r="D172" s="612" t="s">
        <v>63</v>
      </c>
      <c r="E172" s="612">
        <f>vlookup(A172,'TX Data'!$A$4:$D$259,3,FALSE)</f>
        <v>116</v>
      </c>
      <c r="F172" s="612">
        <f>vlookup(A172,'TX Data'!$A$4:$D$259,4,FALSE)</f>
        <v>105</v>
      </c>
      <c r="G172" s="612" t="s">
        <v>63</v>
      </c>
      <c r="H172" s="671">
        <f>vlookup(A172,'TX Data'!$I$2699:$J$2952,2,FALSE)</f>
        <v>185</v>
      </c>
      <c r="I172" s="614">
        <f>ifna(vlookup(A172,'TX Data'!$A$2319:$B$2521,2,FALSE),"NULL")</f>
        <v>98</v>
      </c>
      <c r="J172" s="615" t="s">
        <v>63</v>
      </c>
      <c r="K172" s="672" t="s">
        <v>63</v>
      </c>
      <c r="L172" s="671">
        <f>ifna(vlookup(A172,'TX Data'!$A$1498:$B$1702,2,FALSE),"NULL")</f>
        <v>393</v>
      </c>
      <c r="M172" s="614" t="s">
        <v>63</v>
      </c>
      <c r="N172" s="612" t="s">
        <v>63</v>
      </c>
      <c r="O172" s="612" t="s">
        <v>63</v>
      </c>
      <c r="P172" s="620">
        <f>ifna(vlookup(A172,'Population &amp; Church Numbers'!$A$2526:$D$2779,4,FALSE),"NULL")</f>
        <v>262</v>
      </c>
      <c r="Q172" s="674" t="s">
        <v>63</v>
      </c>
    </row>
    <row r="173">
      <c r="A173" s="609" t="s">
        <v>1615</v>
      </c>
      <c r="B173" s="610">
        <f t="array" ref="B173">VLOOKUP($A173,TX_DEMO,2,FALSE)</f>
        <v>21358</v>
      </c>
      <c r="C173" s="704">
        <f>vlookup(A173,'TX Data'!$A$4:$B$259,2,FALSE)</f>
        <v>29</v>
      </c>
      <c r="D173" s="612" t="s">
        <v>63</v>
      </c>
      <c r="E173" s="612">
        <f>vlookup(A173,'TX Data'!$A$4:$D$259,3,FALSE)</f>
        <v>19</v>
      </c>
      <c r="F173" s="612">
        <f>vlookup(A173,'TX Data'!$A$4:$D$259,4,FALSE)</f>
        <v>3</v>
      </c>
      <c r="G173" s="612" t="s">
        <v>63</v>
      </c>
      <c r="H173" s="671">
        <f>vlookup(A173,'TX Data'!$I$2699:$J$2952,2,FALSE)</f>
        <v>3</v>
      </c>
      <c r="I173" s="614">
        <f>ifna(vlookup(A173,'TX Data'!$A$2319:$B$2521,2,FALSE),"NULL")</f>
        <v>11</v>
      </c>
      <c r="J173" s="615" t="s">
        <v>63</v>
      </c>
      <c r="K173" s="672" t="s">
        <v>63</v>
      </c>
      <c r="L173" s="671">
        <f>ifna(vlookup(A173,'TX Data'!$A$1498:$B$1702,2,FALSE),"NULL")</f>
        <v>79</v>
      </c>
      <c r="M173" s="614" t="s">
        <v>63</v>
      </c>
      <c r="N173" s="612" t="s">
        <v>63</v>
      </c>
      <c r="O173" s="612" t="s">
        <v>63</v>
      </c>
      <c r="P173" s="620">
        <f>ifna(vlookup(A173,'Population &amp; Church Numbers'!$A$2526:$D$2779,4,FALSE),"NULL")</f>
        <v>28</v>
      </c>
      <c r="Q173" s="674" t="s">
        <v>63</v>
      </c>
    </row>
    <row r="174">
      <c r="A174" s="609" t="s">
        <v>990</v>
      </c>
      <c r="B174" s="610">
        <f t="array" ref="B174">VLOOKUP($A174,TX_DEMO,2,FALSE)</f>
        <v>11973</v>
      </c>
      <c r="C174" s="704">
        <f>vlookup(A174,'TX Data'!$A$4:$B$259,2,FALSE)</f>
        <v>13</v>
      </c>
      <c r="D174" s="612" t="s">
        <v>63</v>
      </c>
      <c r="E174" s="612">
        <f>vlookup(A174,'TX Data'!$A$4:$D$259,3,FALSE)</f>
        <v>6</v>
      </c>
      <c r="F174" s="612">
        <f>vlookup(A174,'TX Data'!$A$4:$D$259,4,FALSE)</f>
        <v>6</v>
      </c>
      <c r="G174" s="612" t="s">
        <v>63</v>
      </c>
      <c r="H174" s="671">
        <f>vlookup(A174,'TX Data'!$I$2699:$J$2952,2,FALSE)</f>
        <v>3</v>
      </c>
      <c r="I174" s="614">
        <f>ifna(vlookup(A174,'TX Data'!$A$2319:$B$2521,2,FALSE),"NULL")</f>
        <v>1</v>
      </c>
      <c r="J174" s="615" t="s">
        <v>63</v>
      </c>
      <c r="K174" s="672" t="s">
        <v>63</v>
      </c>
      <c r="L174" s="671" t="str">
        <f>ifna(vlookup(A174,'TX Data'!$A$1498:$B$1702,2,FALSE),"NULL")</f>
        <v>NULL</v>
      </c>
      <c r="M174" s="614" t="s">
        <v>63</v>
      </c>
      <c r="N174" s="612" t="s">
        <v>63</v>
      </c>
      <c r="O174" s="612" t="s">
        <v>63</v>
      </c>
      <c r="P174" s="620">
        <f>ifna(vlookup(A174,'Population &amp; Church Numbers'!$A$2526:$D$2779,4,FALSE),"NULL")</f>
        <v>23</v>
      </c>
      <c r="Q174" s="674" t="s">
        <v>63</v>
      </c>
    </row>
    <row r="175">
      <c r="A175" s="609" t="s">
        <v>2120</v>
      </c>
      <c r="B175" s="610">
        <f t="array" ref="B175">VLOOKUP($A175,TX_DEMO,2,FALSE)</f>
        <v>1063</v>
      </c>
      <c r="C175" s="704" t="str">
        <f>vlookup(A175,'TX Data'!$A$4:$B$259,2,FALSE)</f>
        <v>NULL</v>
      </c>
      <c r="D175" s="612" t="s">
        <v>63</v>
      </c>
      <c r="E175" s="612">
        <f>vlookup(A175,'TX Data'!$A$4:$D$259,3,FALSE)</f>
        <v>0</v>
      </c>
      <c r="F175" s="612">
        <f>vlookup(A175,'TX Data'!$A$4:$D$259,4,FALSE)</f>
        <v>0</v>
      </c>
      <c r="G175" s="612" t="s">
        <v>63</v>
      </c>
      <c r="H175" s="671" t="str">
        <f>vlookup(A175,'TX Data'!$I$2699:$J$2952,2,FALSE)</f>
        <v>NULL</v>
      </c>
      <c r="I175" s="614" t="str">
        <f>ifna(vlookup(A175,'TX Data'!$A$2319:$B$2521,2,FALSE),"NULL")</f>
        <v>NULL</v>
      </c>
      <c r="J175" s="615" t="s">
        <v>63</v>
      </c>
      <c r="K175" s="672" t="s">
        <v>63</v>
      </c>
      <c r="L175" s="671" t="str">
        <f>ifna(vlookup(A175,'TX Data'!$A$1498:$B$1702,2,FALSE),"NULL")</f>
        <v>NULL</v>
      </c>
      <c r="M175" s="614" t="s">
        <v>63</v>
      </c>
      <c r="N175" s="612" t="s">
        <v>63</v>
      </c>
      <c r="O175" s="612" t="s">
        <v>63</v>
      </c>
      <c r="P175" s="620">
        <f>ifna(vlookup(A175,'Population &amp; Church Numbers'!$A$2526:$D$2779,4,FALSE),"NULL")</f>
        <v>4</v>
      </c>
      <c r="Q175" s="674" t="s">
        <v>63</v>
      </c>
    </row>
    <row r="176">
      <c r="A176" s="609" t="s">
        <v>2121</v>
      </c>
      <c r="B176" s="610">
        <f t="array" ref="B176">VLOOKUP($A176,TX_DEMO,2,FALSE)</f>
        <v>64653</v>
      </c>
      <c r="C176" s="704">
        <f>vlookup(A176,'TX Data'!$A$4:$B$259,2,FALSE)</f>
        <v>72</v>
      </c>
      <c r="D176" s="612" t="s">
        <v>63</v>
      </c>
      <c r="E176" s="612">
        <f>vlookup(A176,'TX Data'!$A$4:$D$259,3,FALSE)</f>
        <v>38</v>
      </c>
      <c r="F176" s="612">
        <f>vlookup(A176,'TX Data'!$A$4:$D$259,4,FALSE)</f>
        <v>20</v>
      </c>
      <c r="G176" s="612" t="s">
        <v>63</v>
      </c>
      <c r="H176" s="671">
        <f>vlookup(A176,'TX Data'!$I$2699:$J$2952,2,FALSE)</f>
        <v>28</v>
      </c>
      <c r="I176" s="614">
        <f>ifna(vlookup(A176,'TX Data'!$A$2319:$B$2521,2,FALSE),"NULL")</f>
        <v>25</v>
      </c>
      <c r="J176" s="615" t="s">
        <v>63</v>
      </c>
      <c r="K176" s="672" t="s">
        <v>63</v>
      </c>
      <c r="L176" s="671">
        <f>ifna(vlookup(A176,'TX Data'!$A$1498:$B$1702,2,FALSE),"NULL")</f>
        <v>174</v>
      </c>
      <c r="M176" s="614" t="s">
        <v>63</v>
      </c>
      <c r="N176" s="612" t="s">
        <v>63</v>
      </c>
      <c r="O176" s="612" t="s">
        <v>63</v>
      </c>
      <c r="P176" s="620">
        <f>ifna(vlookup(A176,'Population &amp; Church Numbers'!$A$2526:$D$2779,4,FALSE),"NULL")</f>
        <v>88</v>
      </c>
      <c r="Q176" s="674" t="s">
        <v>63</v>
      </c>
    </row>
    <row r="177">
      <c r="A177" s="609" t="s">
        <v>2122</v>
      </c>
      <c r="B177" s="610">
        <f t="array" ref="B177">VLOOKUP($A177,TX_DEMO,2,FALSE)</f>
        <v>52624</v>
      </c>
      <c r="C177" s="704">
        <f>vlookup(A177,'TX Data'!$A$4:$B$259,2,FALSE)</f>
        <v>20</v>
      </c>
      <c r="D177" s="612" t="s">
        <v>63</v>
      </c>
      <c r="E177" s="612">
        <f>vlookup(A177,'TX Data'!$A$4:$D$259,3,FALSE)</f>
        <v>10</v>
      </c>
      <c r="F177" s="612">
        <f>vlookup(A177,'TX Data'!$A$4:$D$259,4,FALSE)</f>
        <v>5</v>
      </c>
      <c r="G177" s="612" t="s">
        <v>63</v>
      </c>
      <c r="H177" s="671">
        <f>vlookup(A177,'TX Data'!$I$2699:$J$2952,2,FALSE)</f>
        <v>17</v>
      </c>
      <c r="I177" s="614">
        <f>ifna(vlookup(A177,'TX Data'!$A$2319:$B$2521,2,FALSE),"NULL")</f>
        <v>7</v>
      </c>
      <c r="J177" s="615" t="s">
        <v>63</v>
      </c>
      <c r="K177" s="672" t="s">
        <v>63</v>
      </c>
      <c r="L177" s="671">
        <f>ifna(vlookup(A177,'TX Data'!$A$1498:$B$1702,2,FALSE),"NULL")</f>
        <v>83</v>
      </c>
      <c r="M177" s="614" t="s">
        <v>63</v>
      </c>
      <c r="N177" s="612" t="s">
        <v>63</v>
      </c>
      <c r="O177" s="612" t="s">
        <v>63</v>
      </c>
      <c r="P177" s="620">
        <f>ifna(vlookup(A177,'Population &amp; Church Numbers'!$A$2526:$D$2779,4,FALSE),"NULL")</f>
        <v>77</v>
      </c>
      <c r="Q177" s="674" t="s">
        <v>63</v>
      </c>
    </row>
    <row r="178">
      <c r="A178" s="609" t="s">
        <v>297</v>
      </c>
      <c r="B178" s="610">
        <f t="array" ref="B178">VLOOKUP($A178,TX_DEMO,2,FALSE)</f>
        <v>12217</v>
      </c>
      <c r="C178" s="704">
        <f>vlookup(A178,'TX Data'!$A$4:$B$259,2,FALSE)</f>
        <v>6</v>
      </c>
      <c r="D178" s="612" t="s">
        <v>63</v>
      </c>
      <c r="E178" s="612">
        <f>vlookup(A178,'TX Data'!$A$4:$D$259,3,FALSE)</f>
        <v>3</v>
      </c>
      <c r="F178" s="612">
        <f>vlookup(A178,'TX Data'!$A$4:$D$259,4,FALSE)</f>
        <v>2</v>
      </c>
      <c r="G178" s="612" t="s">
        <v>63</v>
      </c>
      <c r="H178" s="671">
        <f>vlookup(A178,'TX Data'!$I$2699:$J$2952,2,FALSE)</f>
        <v>2</v>
      </c>
      <c r="I178" s="614">
        <f>ifna(vlookup(A178,'TX Data'!$A$2319:$B$2521,2,FALSE),"NULL")</f>
        <v>0</v>
      </c>
      <c r="J178" s="615" t="s">
        <v>63</v>
      </c>
      <c r="K178" s="672" t="s">
        <v>63</v>
      </c>
      <c r="L178" s="671">
        <f>ifna(vlookup(A178,'TX Data'!$A$1498:$B$1702,2,FALSE),"NULL")</f>
        <v>24</v>
      </c>
      <c r="M178" s="614" t="s">
        <v>63</v>
      </c>
      <c r="N178" s="612" t="s">
        <v>63</v>
      </c>
      <c r="O178" s="612" t="s">
        <v>63</v>
      </c>
      <c r="P178" s="620">
        <f>ifna(vlookup(A178,'Population &amp; Church Numbers'!$A$2526:$D$2779,4,FALSE),"NULL")</f>
        <v>23</v>
      </c>
      <c r="Q178" s="674" t="s">
        <v>63</v>
      </c>
    </row>
    <row r="179">
      <c r="A179" s="609" t="s">
        <v>2123</v>
      </c>
      <c r="B179" s="610">
        <f t="array" ref="B179">VLOOKUP($A179,TX_DEMO,2,FALSE)</f>
        <v>14738</v>
      </c>
      <c r="C179" s="704">
        <f>vlookup(A179,'TX Data'!$A$4:$B$259,2,FALSE)</f>
        <v>26</v>
      </c>
      <c r="D179" s="612" t="s">
        <v>63</v>
      </c>
      <c r="E179" s="612">
        <f>vlookup(A179,'TX Data'!$A$4:$D$259,3,FALSE)</f>
        <v>11</v>
      </c>
      <c r="F179" s="612">
        <f>vlookup(A179,'TX Data'!$A$4:$D$259,4,FALSE)</f>
        <v>9</v>
      </c>
      <c r="G179" s="612" t="s">
        <v>63</v>
      </c>
      <c r="H179" s="671">
        <f>vlookup(A179,'TX Data'!$I$2699:$J$2952,2,FALSE)</f>
        <v>2</v>
      </c>
      <c r="I179" s="614">
        <f>ifna(vlookup(A179,'TX Data'!$A$2319:$B$2521,2,FALSE),"NULL")</f>
        <v>4</v>
      </c>
      <c r="J179" s="615" t="s">
        <v>63</v>
      </c>
      <c r="K179" s="672" t="s">
        <v>63</v>
      </c>
      <c r="L179" s="671">
        <f>ifna(vlookup(A179,'TX Data'!$A$1498:$B$1702,2,FALSE),"NULL")</f>
        <v>105</v>
      </c>
      <c r="M179" s="614" t="s">
        <v>63</v>
      </c>
      <c r="N179" s="612" t="s">
        <v>63</v>
      </c>
      <c r="O179" s="612" t="s">
        <v>63</v>
      </c>
      <c r="P179" s="620">
        <f>ifna(vlookup(A179,'Population &amp; Church Numbers'!$A$2526:$D$2779,4,FALSE),"NULL")</f>
        <v>28</v>
      </c>
      <c r="Q179" s="674" t="s">
        <v>63</v>
      </c>
    </row>
    <row r="180">
      <c r="A180" s="609" t="s">
        <v>2124</v>
      </c>
      <c r="B180" s="610">
        <f t="array" ref="B180">VLOOKUP($A180,TX_DEMO,2,FALSE)</f>
        <v>353178</v>
      </c>
      <c r="C180" s="704">
        <f>vlookup(A180,'TX Data'!$A$4:$B$259,2,FALSE)</f>
        <v>386</v>
      </c>
      <c r="D180" s="612" t="s">
        <v>63</v>
      </c>
      <c r="E180" s="612">
        <f>vlookup(A180,'TX Data'!$A$4:$D$259,3,FALSE)</f>
        <v>128</v>
      </c>
      <c r="F180" s="612">
        <f>vlookup(A180,'TX Data'!$A$4:$D$259,4,FALSE)</f>
        <v>182</v>
      </c>
      <c r="G180" s="612" t="s">
        <v>63</v>
      </c>
      <c r="H180" s="671">
        <f>vlookup(A180,'TX Data'!$I$2699:$J$2952,2,FALSE)</f>
        <v>105</v>
      </c>
      <c r="I180" s="614">
        <f>ifna(vlookup(A180,'TX Data'!$A$2319:$B$2521,2,FALSE),"NULL")</f>
        <v>84</v>
      </c>
      <c r="J180" s="615" t="s">
        <v>63</v>
      </c>
      <c r="K180" s="672" t="s">
        <v>63</v>
      </c>
      <c r="L180" s="671">
        <f>ifna(vlookup(A180,'TX Data'!$A$1498:$B$1702,2,FALSE),"NULL")</f>
        <v>894</v>
      </c>
      <c r="M180" s="614" t="s">
        <v>63</v>
      </c>
      <c r="N180" s="612" t="s">
        <v>63</v>
      </c>
      <c r="O180" s="612" t="s">
        <v>63</v>
      </c>
      <c r="P180" s="620">
        <f>ifna(vlookup(A180,'Population &amp; Church Numbers'!$A$2526:$D$2779,4,FALSE),"NULL")</f>
        <v>185</v>
      </c>
      <c r="Q180" s="674" t="s">
        <v>63</v>
      </c>
    </row>
    <row r="181">
      <c r="A181" s="609" t="s">
        <v>2125</v>
      </c>
      <c r="B181" s="610">
        <f t="array" ref="B181">VLOOKUP($A181,TX_DEMO,2,FALSE)</f>
        <v>10015</v>
      </c>
      <c r="C181" s="704">
        <f>vlookup(A181,'TX Data'!$A$4:$B$259,2,FALSE)</f>
        <v>7</v>
      </c>
      <c r="D181" s="612" t="s">
        <v>63</v>
      </c>
      <c r="E181" s="612">
        <f>vlookup(A181,'TX Data'!$A$4:$D$259,3,FALSE)</f>
        <v>3</v>
      </c>
      <c r="F181" s="612">
        <f>vlookup(A181,'TX Data'!$A$4:$D$259,4,FALSE)</f>
        <v>4</v>
      </c>
      <c r="G181" s="612" t="s">
        <v>63</v>
      </c>
      <c r="H181" s="671">
        <f>vlookup(A181,'TX Data'!$I$2699:$J$2952,2,FALSE)</f>
        <v>1</v>
      </c>
      <c r="I181" s="614" t="str">
        <f>ifna(vlookup(A181,'TX Data'!$A$2319:$B$2521,2,FALSE),"NULL")</f>
        <v>NULL</v>
      </c>
      <c r="J181" s="615" t="s">
        <v>63</v>
      </c>
      <c r="K181" s="672" t="s">
        <v>63</v>
      </c>
      <c r="L181" s="671">
        <f>ifna(vlookup(A181,'TX Data'!$A$1498:$B$1702,2,FALSE),"NULL")</f>
        <v>33</v>
      </c>
      <c r="M181" s="614" t="s">
        <v>63</v>
      </c>
      <c r="N181" s="612" t="s">
        <v>63</v>
      </c>
      <c r="O181" s="612" t="s">
        <v>63</v>
      </c>
      <c r="P181" s="620">
        <f>ifna(vlookup(A181,'Population &amp; Church Numbers'!$A$2526:$D$2779,4,FALSE),"NULL")</f>
        <v>17</v>
      </c>
      <c r="Q181" s="674" t="s">
        <v>63</v>
      </c>
    </row>
    <row r="182">
      <c r="A182" s="609" t="s">
        <v>1127</v>
      </c>
      <c r="B182" s="610">
        <f t="array" ref="B182">VLOOKUP($A182,TX_DEMO,2,FALSE)</f>
        <v>1758</v>
      </c>
      <c r="C182" s="704" t="str">
        <f>vlookup(A182,'TX Data'!$A$4:$B$259,2,FALSE)</f>
        <v>NULL</v>
      </c>
      <c r="D182" s="612" t="s">
        <v>63</v>
      </c>
      <c r="E182" s="612">
        <f>vlookup(A182,'TX Data'!$A$4:$D$259,3,FALSE)</f>
        <v>0</v>
      </c>
      <c r="F182" s="612">
        <f>vlookup(A182,'TX Data'!$A$4:$D$259,4,FALSE)</f>
        <v>0</v>
      </c>
      <c r="G182" s="612" t="s">
        <v>63</v>
      </c>
      <c r="H182" s="671">
        <f>vlookup(A182,'TX Data'!$I$2699:$J$2952,2,FALSE)</f>
        <v>1</v>
      </c>
      <c r="I182" s="614" t="str">
        <f>ifna(vlookup(A182,'TX Data'!$A$2319:$B$2521,2,FALSE),"NULL")</f>
        <v>NULL</v>
      </c>
      <c r="J182" s="615" t="s">
        <v>63</v>
      </c>
      <c r="K182" s="672" t="s">
        <v>63</v>
      </c>
      <c r="L182" s="671" t="str">
        <f>ifna(vlookup(A182,'TX Data'!$A$1498:$B$1702,2,FALSE),"NULL")</f>
        <v>NULL</v>
      </c>
      <c r="M182" s="614" t="s">
        <v>63</v>
      </c>
      <c r="N182" s="612" t="s">
        <v>63</v>
      </c>
      <c r="O182" s="612" t="s">
        <v>63</v>
      </c>
      <c r="P182" s="620">
        <f>ifna(vlookup(A182,'Population &amp; Church Numbers'!$A$2526:$D$2779,4,FALSE),"NULL")</f>
        <v>4</v>
      </c>
      <c r="Q182" s="674" t="s">
        <v>63</v>
      </c>
    </row>
    <row r="183">
      <c r="A183" s="609" t="s">
        <v>241</v>
      </c>
      <c r="B183" s="610">
        <f t="array" ref="B183">VLOOKUP($A183,TX_DEMO,2,FALSE)</f>
        <v>84808</v>
      </c>
      <c r="C183" s="704">
        <f>vlookup(A183,'TX Data'!$A$4:$B$259,2,FALSE)</f>
        <v>101</v>
      </c>
      <c r="D183" s="612" t="s">
        <v>63</v>
      </c>
      <c r="E183" s="612">
        <f>vlookup(A183,'TX Data'!$A$4:$D$259,3,FALSE)</f>
        <v>47</v>
      </c>
      <c r="F183" s="612">
        <f>vlookup(A183,'TX Data'!$A$4:$D$259,4,FALSE)</f>
        <v>49</v>
      </c>
      <c r="G183" s="612" t="s">
        <v>63</v>
      </c>
      <c r="H183" s="671">
        <f>vlookup(A183,'TX Data'!$I$2699:$J$2952,2,FALSE)</f>
        <v>24</v>
      </c>
      <c r="I183" s="614">
        <f>ifna(vlookup(A183,'TX Data'!$A$2319:$B$2521,2,FALSE),"NULL")</f>
        <v>28</v>
      </c>
      <c r="J183" s="615" t="s">
        <v>63</v>
      </c>
      <c r="K183" s="672" t="s">
        <v>63</v>
      </c>
      <c r="L183" s="671">
        <f>ifna(vlookup(A183,'TX Data'!$A$1498:$B$1702,2,FALSE),"NULL")</f>
        <v>126</v>
      </c>
      <c r="M183" s="614" t="s">
        <v>63</v>
      </c>
      <c r="N183" s="612" t="s">
        <v>63</v>
      </c>
      <c r="O183" s="612" t="s">
        <v>63</v>
      </c>
      <c r="P183" s="620">
        <f>ifna(vlookup(A183,'Population &amp; Church Numbers'!$A$2526:$D$2779,4,FALSE),"NULL")</f>
        <v>98</v>
      </c>
      <c r="Q183" s="674" t="s">
        <v>63</v>
      </c>
    </row>
    <row r="184">
      <c r="A184" s="609" t="s">
        <v>2126</v>
      </c>
      <c r="B184" s="610">
        <f t="array" ref="B184">VLOOKUP($A184,TX_DEMO,2,FALSE)</f>
        <v>28409</v>
      </c>
      <c r="C184" s="704">
        <f>vlookup(A184,'TX Data'!$A$4:$B$259,2,FALSE)</f>
        <v>42</v>
      </c>
      <c r="D184" s="612" t="s">
        <v>63</v>
      </c>
      <c r="E184" s="612">
        <f>vlookup(A184,'TX Data'!$A$4:$D$259,3,FALSE)</f>
        <v>22</v>
      </c>
      <c r="F184" s="612">
        <f>vlookup(A184,'TX Data'!$A$4:$D$259,4,FALSE)</f>
        <v>9</v>
      </c>
      <c r="G184" s="612" t="s">
        <v>63</v>
      </c>
      <c r="H184" s="671">
        <f>vlookup(A184,'TX Data'!$I$2699:$J$2952,2,FALSE)</f>
        <v>7</v>
      </c>
      <c r="I184" s="614">
        <f>ifna(vlookup(A184,'TX Data'!$A$2319:$B$2521,2,FALSE),"NULL")</f>
        <v>14</v>
      </c>
      <c r="J184" s="615" t="s">
        <v>63</v>
      </c>
      <c r="K184" s="672" t="s">
        <v>63</v>
      </c>
      <c r="L184" s="671">
        <f>ifna(vlookup(A184,'TX Data'!$A$1498:$B$1702,2,FALSE),"NULL")</f>
        <v>93</v>
      </c>
      <c r="M184" s="614" t="s">
        <v>63</v>
      </c>
      <c r="N184" s="612" t="s">
        <v>63</v>
      </c>
      <c r="O184" s="612" t="s">
        <v>63</v>
      </c>
      <c r="P184" s="620">
        <f>ifna(vlookup(A184,'Population &amp; Church Numbers'!$A$2526:$D$2779,4,FALSE),"NULL")</f>
        <v>40</v>
      </c>
      <c r="Q184" s="674" t="s">
        <v>63</v>
      </c>
    </row>
    <row r="185">
      <c r="A185" s="609" t="s">
        <v>1377</v>
      </c>
      <c r="B185" s="610">
        <f t="array" ref="B185">VLOOKUP($A185,TX_DEMO,2,FALSE)</f>
        <v>22491</v>
      </c>
      <c r="C185" s="704">
        <f>vlookup(A185,'TX Data'!$A$4:$B$259,2,FALSE)</f>
        <v>35</v>
      </c>
      <c r="D185" s="612" t="s">
        <v>63</v>
      </c>
      <c r="E185" s="612">
        <f>vlookup(A185,'TX Data'!$A$4:$D$259,3,FALSE)</f>
        <v>12</v>
      </c>
      <c r="F185" s="612">
        <f>vlookup(A185,'TX Data'!$A$4:$D$259,4,FALSE)</f>
        <v>13</v>
      </c>
      <c r="G185" s="612" t="s">
        <v>63</v>
      </c>
      <c r="H185" s="671">
        <f>vlookup(A185,'TX Data'!$I$2699:$J$2952,2,FALSE)</f>
        <v>4</v>
      </c>
      <c r="I185" s="614">
        <f>ifna(vlookup(A185,'TX Data'!$A$2319:$B$2521,2,FALSE),"NULL")</f>
        <v>11</v>
      </c>
      <c r="J185" s="615" t="s">
        <v>63</v>
      </c>
      <c r="K185" s="672" t="s">
        <v>63</v>
      </c>
      <c r="L185" s="671">
        <f>ifna(vlookup(A185,'TX Data'!$A$1498:$B$1702,2,FALSE),"NULL")</f>
        <v>21</v>
      </c>
      <c r="M185" s="614" t="s">
        <v>63</v>
      </c>
      <c r="N185" s="612" t="s">
        <v>63</v>
      </c>
      <c r="O185" s="612" t="s">
        <v>63</v>
      </c>
      <c r="P185" s="620">
        <f>ifna(vlookup(A185,'Population &amp; Church Numbers'!$A$2526:$D$2779,4,FALSE),"NULL")</f>
        <v>40</v>
      </c>
      <c r="Q185" s="674" t="s">
        <v>63</v>
      </c>
    </row>
    <row r="186">
      <c r="A186" s="609" t="s">
        <v>2127</v>
      </c>
      <c r="B186" s="610">
        <f t="array" ref="B186">VLOOKUP($A186,TX_DEMO,2,FALSE)</f>
        <v>148222</v>
      </c>
      <c r="C186" s="704">
        <f>vlookup(A186,'TX Data'!$A$4:$B$259,2,FALSE)</f>
        <v>118</v>
      </c>
      <c r="D186" s="612" t="s">
        <v>63</v>
      </c>
      <c r="E186" s="612">
        <f>vlookup(A186,'TX Data'!$A$4:$D$259,3,FALSE)</f>
        <v>51</v>
      </c>
      <c r="F186" s="612">
        <f>vlookup(A186,'TX Data'!$A$4:$D$259,4,FALSE)</f>
        <v>39</v>
      </c>
      <c r="G186" s="612" t="s">
        <v>63</v>
      </c>
      <c r="H186" s="671">
        <f>vlookup(A186,'TX Data'!$I$2699:$J$2952,2,FALSE)</f>
        <v>49</v>
      </c>
      <c r="I186" s="614">
        <f>ifna(vlookup(A186,'TX Data'!$A$2319:$B$2521,2,FALSE),"NULL")</f>
        <v>37</v>
      </c>
      <c r="J186" s="615" t="s">
        <v>63</v>
      </c>
      <c r="K186" s="672" t="s">
        <v>63</v>
      </c>
      <c r="L186" s="671">
        <f>ifna(vlookup(A186,'TX Data'!$A$1498:$B$1702,2,FALSE),"NULL")</f>
        <v>407</v>
      </c>
      <c r="M186" s="614" t="s">
        <v>63</v>
      </c>
      <c r="N186" s="612" t="s">
        <v>63</v>
      </c>
      <c r="O186" s="612" t="s">
        <v>63</v>
      </c>
      <c r="P186" s="620">
        <f>ifna(vlookup(A186,'Population &amp; Church Numbers'!$A$2526:$D$2779,4,FALSE),"NULL")</f>
        <v>98</v>
      </c>
      <c r="Q186" s="674" t="s">
        <v>63</v>
      </c>
    </row>
    <row r="187">
      <c r="A187" s="609" t="s">
        <v>2128</v>
      </c>
      <c r="B187" s="610">
        <f t="array" ref="B187">VLOOKUP($A187,TX_DEMO,2,FALSE)</f>
        <v>9869</v>
      </c>
      <c r="C187" s="704">
        <f>vlookup(A187,'TX Data'!$A$4:$B$259,2,FALSE)</f>
        <v>6</v>
      </c>
      <c r="D187" s="612" t="s">
        <v>63</v>
      </c>
      <c r="E187" s="612">
        <f>vlookup(A187,'TX Data'!$A$4:$D$259,3,FALSE)</f>
        <v>6</v>
      </c>
      <c r="F187" s="612">
        <f>vlookup(A187,'TX Data'!$A$4:$D$259,4,FALSE)</f>
        <v>0</v>
      </c>
      <c r="G187" s="612" t="s">
        <v>63</v>
      </c>
      <c r="H187" s="671">
        <f>vlookup(A187,'TX Data'!$I$2699:$J$2952,2,FALSE)</f>
        <v>1</v>
      </c>
      <c r="I187" s="614">
        <f>ifna(vlookup(A187,'TX Data'!$A$2319:$B$2521,2,FALSE),"NULL")</f>
        <v>3</v>
      </c>
      <c r="J187" s="615" t="s">
        <v>63</v>
      </c>
      <c r="K187" s="672" t="s">
        <v>63</v>
      </c>
      <c r="L187" s="671">
        <f>ifna(vlookup(A187,'TX Data'!$A$1498:$B$1702,2,FALSE),"NULL")</f>
        <v>30</v>
      </c>
      <c r="M187" s="614" t="s">
        <v>63</v>
      </c>
      <c r="N187" s="612" t="s">
        <v>63</v>
      </c>
      <c r="O187" s="612" t="s">
        <v>63</v>
      </c>
      <c r="P187" s="620">
        <f>ifna(vlookup(A187,'Population &amp; Church Numbers'!$A$2526:$D$2779,4,FALSE),"NULL")</f>
        <v>23</v>
      </c>
      <c r="Q187" s="674" t="s">
        <v>63</v>
      </c>
    </row>
    <row r="188">
      <c r="A188" s="609" t="s">
        <v>2129</v>
      </c>
      <c r="B188" s="610">
        <f t="array" ref="B188">VLOOKUP($A188,TX_DEMO,2,FALSE)</f>
        <v>15193</v>
      </c>
      <c r="C188" s="704">
        <f>vlookup(A188,'TX Data'!$A$4:$B$259,2,FALSE)</f>
        <v>21</v>
      </c>
      <c r="D188" s="612" t="s">
        <v>63</v>
      </c>
      <c r="E188" s="612">
        <f>vlookup(A188,'TX Data'!$A$4:$D$259,3,FALSE)</f>
        <v>6</v>
      </c>
      <c r="F188" s="612">
        <f>vlookup(A188,'TX Data'!$A$4:$D$259,4,FALSE)</f>
        <v>13</v>
      </c>
      <c r="G188" s="612" t="s">
        <v>63</v>
      </c>
      <c r="H188" s="671">
        <f>vlookup(A188,'TX Data'!$I$2699:$J$2952,2,FALSE)</f>
        <v>2</v>
      </c>
      <c r="I188" s="614">
        <f>ifna(vlookup(A188,'TX Data'!$A$2319:$B$2521,2,FALSE),"NULL")</f>
        <v>11</v>
      </c>
      <c r="J188" s="615" t="s">
        <v>63</v>
      </c>
      <c r="K188" s="672" t="s">
        <v>63</v>
      </c>
      <c r="L188" s="671">
        <f>ifna(vlookup(A188,'TX Data'!$A$1498:$B$1702,2,FALSE),"NULL")</f>
        <v>29</v>
      </c>
      <c r="M188" s="614" t="s">
        <v>63</v>
      </c>
      <c r="N188" s="612" t="s">
        <v>63</v>
      </c>
      <c r="O188" s="612" t="s">
        <v>63</v>
      </c>
      <c r="P188" s="620">
        <f>ifna(vlookup(A188,'Population &amp; Church Numbers'!$A$2526:$D$2779,4,FALSE),"NULL")</f>
        <v>15</v>
      </c>
      <c r="Q188" s="674" t="s">
        <v>63</v>
      </c>
    </row>
    <row r="189">
      <c r="A189" s="609" t="s">
        <v>302</v>
      </c>
      <c r="B189" s="610">
        <f t="array" ref="B189">VLOOKUP($A189,TX_DEMO,2,FALSE)</f>
        <v>50123</v>
      </c>
      <c r="C189" s="704">
        <f>vlookup(A189,'TX Data'!$A$4:$B$259,2,FALSE)</f>
        <v>46</v>
      </c>
      <c r="D189" s="612" t="s">
        <v>63</v>
      </c>
      <c r="E189" s="612">
        <f>vlookup(A189,'TX Data'!$A$4:$D$259,3,FALSE)</f>
        <v>15</v>
      </c>
      <c r="F189" s="612">
        <f>vlookup(A189,'TX Data'!$A$4:$D$259,4,FALSE)</f>
        <v>26</v>
      </c>
      <c r="G189" s="612" t="s">
        <v>63</v>
      </c>
      <c r="H189" s="671">
        <f>vlookup(A189,'TX Data'!$I$2699:$J$2952,2,FALSE)</f>
        <v>9</v>
      </c>
      <c r="I189" s="614">
        <f>ifna(vlookup(A189,'TX Data'!$A$2319:$B$2521,2,FALSE),"NULL")</f>
        <v>6</v>
      </c>
      <c r="J189" s="615" t="s">
        <v>63</v>
      </c>
      <c r="K189" s="672" t="s">
        <v>63</v>
      </c>
      <c r="L189" s="671">
        <f>ifna(vlookup(A189,'TX Data'!$A$1498:$B$1702,2,FALSE),"NULL")</f>
        <v>103</v>
      </c>
      <c r="M189" s="614" t="s">
        <v>63</v>
      </c>
      <c r="N189" s="612" t="s">
        <v>63</v>
      </c>
      <c r="O189" s="612" t="s">
        <v>63</v>
      </c>
      <c r="P189" s="620">
        <f>ifna(vlookup(A189,'Population &amp; Church Numbers'!$A$2526:$D$2779,4,FALSE),"NULL")</f>
        <v>66</v>
      </c>
      <c r="Q189" s="674" t="s">
        <v>63</v>
      </c>
    </row>
    <row r="190">
      <c r="A190" s="609" t="s">
        <v>1805</v>
      </c>
      <c r="B190" s="610">
        <f t="array" ref="B190">VLOOKUP($A190,TX_DEMO,2,FALSE)</f>
        <v>118525</v>
      </c>
      <c r="C190" s="704">
        <f>vlookup(A190,'TX Data'!$A$4:$B$259,2,FALSE)</f>
        <v>254</v>
      </c>
      <c r="D190" s="612" t="s">
        <v>63</v>
      </c>
      <c r="E190" s="612">
        <f>vlookup(A190,'TX Data'!$A$4:$D$259,3,FALSE)</f>
        <v>100</v>
      </c>
      <c r="F190" s="612">
        <f>vlookup(A190,'TX Data'!$A$4:$D$259,4,FALSE)</f>
        <v>76</v>
      </c>
      <c r="G190" s="612" t="s">
        <v>63</v>
      </c>
      <c r="H190" s="671">
        <f>vlookup(A190,'TX Data'!$I$2699:$J$2952,2,FALSE)</f>
        <v>34</v>
      </c>
      <c r="I190" s="614">
        <f>ifna(vlookup(A190,'TX Data'!$A$2319:$B$2521,2,FALSE),"NULL")</f>
        <v>95</v>
      </c>
      <c r="J190" s="615" t="s">
        <v>63</v>
      </c>
      <c r="K190" s="672" t="s">
        <v>63</v>
      </c>
      <c r="L190" s="671">
        <f>ifna(vlookup(A190,'TX Data'!$A$1498:$B$1702,2,FALSE),"NULL")</f>
        <v>462</v>
      </c>
      <c r="M190" s="614" t="s">
        <v>63</v>
      </c>
      <c r="N190" s="612" t="s">
        <v>63</v>
      </c>
      <c r="O190" s="612" t="s">
        <v>63</v>
      </c>
      <c r="P190" s="620">
        <f>ifna(vlookup(A190,'Population &amp; Church Numbers'!$A$2526:$D$2779,4,FALSE),"NULL")</f>
        <v>109</v>
      </c>
      <c r="Q190" s="674" t="s">
        <v>63</v>
      </c>
    </row>
    <row r="191">
      <c r="A191" s="609" t="s">
        <v>2130</v>
      </c>
      <c r="B191" s="610">
        <f t="array" ref="B191">VLOOKUP($A191,TX_DEMO,2,FALSE)</f>
        <v>6131</v>
      </c>
      <c r="C191" s="704" t="str">
        <f>vlookup(A191,'TX Data'!$A$4:$B$259,2,FALSE)</f>
        <v>NULL</v>
      </c>
      <c r="D191" s="612" t="s">
        <v>63</v>
      </c>
      <c r="E191" s="612">
        <f>vlookup(A191,'TX Data'!$A$4:$D$259,3,FALSE)</f>
        <v>0</v>
      </c>
      <c r="F191" s="612">
        <f>vlookup(A191,'TX Data'!$A$4:$D$259,4,FALSE)</f>
        <v>0</v>
      </c>
      <c r="G191" s="612" t="s">
        <v>63</v>
      </c>
      <c r="H191" s="671" t="str">
        <f>vlookup(A191,'TX Data'!$I$2699:$J$2952,2,FALSE)</f>
        <v>NULL</v>
      </c>
      <c r="I191" s="614" t="str">
        <f>ifna(vlookup(A191,'TX Data'!$A$2319:$B$2521,2,FALSE),"NULL")</f>
        <v>NULL</v>
      </c>
      <c r="J191" s="615" t="s">
        <v>63</v>
      </c>
      <c r="K191" s="672" t="s">
        <v>63</v>
      </c>
      <c r="L191" s="671" t="str">
        <f>ifna(vlookup(A191,'TX Data'!$A$1498:$B$1702,2,FALSE),"NULL")</f>
        <v>NULL</v>
      </c>
      <c r="M191" s="614" t="s">
        <v>63</v>
      </c>
      <c r="N191" s="612" t="s">
        <v>63</v>
      </c>
      <c r="O191" s="612" t="s">
        <v>63</v>
      </c>
      <c r="P191" s="620">
        <f>ifna(vlookup(A191,'Population &amp; Church Numbers'!$A$2526:$D$2779,4,FALSE),"NULL")</f>
        <v>3</v>
      </c>
      <c r="Q191" s="674" t="s">
        <v>63</v>
      </c>
    </row>
    <row r="192">
      <c r="A192" s="609" t="s">
        <v>2131</v>
      </c>
      <c r="B192" s="610">
        <f t="array" ref="B192">VLOOKUP($A192,TX_DEMO,2,FALSE)</f>
        <v>12164</v>
      </c>
      <c r="C192" s="704">
        <f>vlookup(A192,'TX Data'!$A$4:$B$259,2,FALSE)</f>
        <v>12</v>
      </c>
      <c r="D192" s="612" t="s">
        <v>63</v>
      </c>
      <c r="E192" s="612">
        <f>vlookup(A192,'TX Data'!$A$4:$D$259,3,FALSE)</f>
        <v>2</v>
      </c>
      <c r="F192" s="612">
        <f>vlookup(A192,'TX Data'!$A$4:$D$259,4,FALSE)</f>
        <v>6</v>
      </c>
      <c r="G192" s="612" t="s">
        <v>63</v>
      </c>
      <c r="H192" s="671">
        <f>vlookup(A192,'TX Data'!$I$2699:$J$2952,2,FALSE)</f>
        <v>4</v>
      </c>
      <c r="I192" s="614">
        <f>ifna(vlookup(A192,'TX Data'!$A$2319:$B$2521,2,FALSE),"NULL")</f>
        <v>4</v>
      </c>
      <c r="J192" s="615" t="s">
        <v>63</v>
      </c>
      <c r="K192" s="672" t="s">
        <v>63</v>
      </c>
      <c r="L192" s="671">
        <f>ifna(vlookup(A192,'TX Data'!$A$1498:$B$1702,2,FALSE),"NULL")</f>
        <v>21</v>
      </c>
      <c r="M192" s="614" t="s">
        <v>63</v>
      </c>
      <c r="N192" s="612" t="s">
        <v>63</v>
      </c>
      <c r="O192" s="612" t="s">
        <v>63</v>
      </c>
      <c r="P192" s="620">
        <f>ifna(vlookup(A192,'Population &amp; Church Numbers'!$A$2526:$D$2779,4,FALSE),"NULL")</f>
        <v>16</v>
      </c>
      <c r="Q192" s="674" t="s">
        <v>63</v>
      </c>
    </row>
    <row r="193">
      <c r="A193" s="609" t="s">
        <v>2132</v>
      </c>
      <c r="B193" s="610">
        <f t="array" ref="B193">VLOOKUP($A193,TX_DEMO,2,FALSE)</f>
        <v>140753</v>
      </c>
      <c r="C193" s="704">
        <f>vlookup(A193,'TX Data'!$A$4:$B$259,2,FALSE)</f>
        <v>124</v>
      </c>
      <c r="D193" s="612" t="s">
        <v>63</v>
      </c>
      <c r="E193" s="612">
        <f>vlookup(A193,'TX Data'!$A$4:$D$259,3,FALSE)</f>
        <v>36</v>
      </c>
      <c r="F193" s="612">
        <f>vlookup(A193,'TX Data'!$A$4:$D$259,4,FALSE)</f>
        <v>33</v>
      </c>
      <c r="G193" s="612" t="s">
        <v>63</v>
      </c>
      <c r="H193" s="671">
        <f>vlookup(A193,'TX Data'!$I$2699:$J$2952,2,FALSE)</f>
        <v>64</v>
      </c>
      <c r="I193" s="614">
        <f>ifna(vlookup(A193,'TX Data'!$A$2319:$B$2521,2,FALSE),"NULL")</f>
        <v>36</v>
      </c>
      <c r="J193" s="615" t="s">
        <v>63</v>
      </c>
      <c r="K193" s="672" t="s">
        <v>63</v>
      </c>
      <c r="L193" s="671">
        <f>ifna(vlookup(A193,'TX Data'!$A$1498:$B$1702,2,FALSE),"NULL")</f>
        <v>241</v>
      </c>
      <c r="M193" s="614" t="s">
        <v>63</v>
      </c>
      <c r="N193" s="612" t="s">
        <v>63</v>
      </c>
      <c r="O193" s="612" t="s">
        <v>63</v>
      </c>
      <c r="P193" s="620">
        <f>ifna(vlookup(A193,'Population &amp; Church Numbers'!$A$2526:$D$2779,4,FALSE),"NULL")</f>
        <v>83</v>
      </c>
      <c r="Q193" s="674" t="s">
        <v>63</v>
      </c>
    </row>
    <row r="194">
      <c r="A194" s="609" t="s">
        <v>2133</v>
      </c>
      <c r="B194" s="610">
        <f t="array" ref="B194">VLOOKUP($A194,TX_DEMO,2,FALSE)</f>
        <v>3385</v>
      </c>
      <c r="C194" s="704">
        <f>vlookup(A194,'TX Data'!$A$4:$B$259,2,FALSE)</f>
        <v>0</v>
      </c>
      <c r="D194" s="612" t="s">
        <v>63</v>
      </c>
      <c r="E194" s="612">
        <f>vlookup(A194,'TX Data'!$A$4:$D$259,3,FALSE)</f>
        <v>0</v>
      </c>
      <c r="F194" s="612">
        <f>vlookup(A194,'TX Data'!$A$4:$D$259,4,FALSE)</f>
        <v>0</v>
      </c>
      <c r="G194" s="612" t="s">
        <v>63</v>
      </c>
      <c r="H194" s="671">
        <f>vlookup(A194,'TX Data'!$I$2699:$J$2952,2,FALSE)</f>
        <v>1</v>
      </c>
      <c r="I194" s="614">
        <f>ifna(vlookup(A194,'TX Data'!$A$2319:$B$2521,2,FALSE),"NULL")</f>
        <v>0</v>
      </c>
      <c r="J194" s="615" t="s">
        <v>63</v>
      </c>
      <c r="K194" s="672" t="s">
        <v>63</v>
      </c>
      <c r="L194" s="671" t="str">
        <f>ifna(vlookup(A194,'TX Data'!$A$1498:$B$1702,2,FALSE),"NULL")</f>
        <v>NULL</v>
      </c>
      <c r="M194" s="614" t="s">
        <v>63</v>
      </c>
      <c r="N194" s="612" t="s">
        <v>63</v>
      </c>
      <c r="O194" s="612" t="s">
        <v>63</v>
      </c>
      <c r="P194" s="620">
        <f>ifna(vlookup(A194,'Population &amp; Church Numbers'!$A$2526:$D$2779,4,FALSE),"NULL")</f>
        <v>10</v>
      </c>
      <c r="Q194" s="674" t="s">
        <v>63</v>
      </c>
    </row>
    <row r="195">
      <c r="A195" s="609" t="s">
        <v>2134</v>
      </c>
      <c r="B195" s="610">
        <f t="array" ref="B195">VLOOKUP($A195,TX_DEMO,2,FALSE)</f>
        <v>2758</v>
      </c>
      <c r="C195" s="704">
        <f>vlookup(A195,'TX Data'!$A$4:$B$259,2,FALSE)</f>
        <v>0</v>
      </c>
      <c r="D195" s="612" t="s">
        <v>63</v>
      </c>
      <c r="E195" s="612">
        <f>vlookup(A195,'TX Data'!$A$4:$D$259,3,FALSE)</f>
        <v>0</v>
      </c>
      <c r="F195" s="612">
        <f>vlookup(A195,'TX Data'!$A$4:$D$259,4,FALSE)</f>
        <v>0</v>
      </c>
      <c r="G195" s="612" t="s">
        <v>63</v>
      </c>
      <c r="H195" s="671" t="str">
        <f>vlookup(A195,'TX Data'!$I$2699:$J$2952,2,FALSE)</f>
        <v>NULL</v>
      </c>
      <c r="I195" s="614">
        <f>ifna(vlookup(A195,'TX Data'!$A$2319:$B$2521,2,FALSE),"NULL")</f>
        <v>0</v>
      </c>
      <c r="J195" s="615" t="s">
        <v>63</v>
      </c>
      <c r="K195" s="672" t="s">
        <v>63</v>
      </c>
      <c r="L195" s="671">
        <f>ifna(vlookup(A195,'TX Data'!$A$1498:$B$1702,2,FALSE),"NULL")</f>
        <v>14</v>
      </c>
      <c r="M195" s="614" t="s">
        <v>63</v>
      </c>
      <c r="N195" s="612" t="s">
        <v>63</v>
      </c>
      <c r="O195" s="612" t="s">
        <v>63</v>
      </c>
      <c r="P195" s="620">
        <f>ifna(vlookup(A195,'Population &amp; Church Numbers'!$A$2526:$D$2779,4,FALSE),"NULL")</f>
        <v>13</v>
      </c>
      <c r="Q195" s="674" t="s">
        <v>63</v>
      </c>
    </row>
    <row r="196">
      <c r="A196" s="609" t="s">
        <v>1167</v>
      </c>
      <c r="B196" s="610">
        <f t="array" ref="B196">VLOOKUP($A196,TX_DEMO,2,FALSE)</f>
        <v>11587</v>
      </c>
      <c r="C196" s="704">
        <f>vlookup(A196,'TX Data'!$A$4:$B$259,2,FALSE)</f>
        <v>14</v>
      </c>
      <c r="D196" s="612" t="s">
        <v>63</v>
      </c>
      <c r="E196" s="612">
        <f>vlookup(A196,'TX Data'!$A$4:$D$259,3,FALSE)</f>
        <v>11</v>
      </c>
      <c r="F196" s="612">
        <f>vlookup(A196,'TX Data'!$A$4:$D$259,4,FALSE)</f>
        <v>2</v>
      </c>
      <c r="G196" s="612" t="s">
        <v>63</v>
      </c>
      <c r="H196" s="671">
        <f>vlookup(A196,'TX Data'!$I$2699:$J$2952,2,FALSE)</f>
        <v>2</v>
      </c>
      <c r="I196" s="614">
        <f>ifna(vlookup(A196,'TX Data'!$A$2319:$B$2521,2,FALSE),"NULL")</f>
        <v>2</v>
      </c>
      <c r="J196" s="615" t="s">
        <v>63</v>
      </c>
      <c r="K196" s="672" t="s">
        <v>63</v>
      </c>
      <c r="L196" s="671">
        <f>ifna(vlookup(A196,'TX Data'!$A$1498:$B$1702,2,FALSE),"NULL")</f>
        <v>39</v>
      </c>
      <c r="M196" s="614" t="s">
        <v>63</v>
      </c>
      <c r="N196" s="612" t="s">
        <v>63</v>
      </c>
      <c r="O196" s="612" t="s">
        <v>63</v>
      </c>
      <c r="P196" s="620">
        <f>ifna(vlookup(A196,'Population &amp; Church Numbers'!$A$2526:$D$2779,4,FALSE),"NULL")</f>
        <v>27</v>
      </c>
      <c r="Q196" s="674" t="s">
        <v>63</v>
      </c>
    </row>
    <row r="197">
      <c r="A197" s="609" t="s">
        <v>2135</v>
      </c>
      <c r="B197" s="610">
        <f t="array" ref="B197">VLOOKUP($A197,TX_DEMO,2,FALSE)</f>
        <v>14748</v>
      </c>
      <c r="C197" s="704">
        <f>vlookup(A197,'TX Data'!$A$4:$B$259,2,FALSE)</f>
        <v>10</v>
      </c>
      <c r="D197" s="612" t="s">
        <v>63</v>
      </c>
      <c r="E197" s="612">
        <f>vlookup(A197,'TX Data'!$A$4:$D$259,3,FALSE)</f>
        <v>2</v>
      </c>
      <c r="F197" s="612">
        <f>vlookup(A197,'TX Data'!$A$4:$D$259,4,FALSE)</f>
        <v>8</v>
      </c>
      <c r="G197" s="612" t="s">
        <v>63</v>
      </c>
      <c r="H197" s="671" t="str">
        <f>vlookup(A197,'TX Data'!$I$2699:$J$2952,2,FALSE)</f>
        <v>NULL</v>
      </c>
      <c r="I197" s="614">
        <f>ifna(vlookup(A197,'TX Data'!$A$2319:$B$2521,2,FALSE),"NULL")</f>
        <v>5</v>
      </c>
      <c r="J197" s="615" t="s">
        <v>63</v>
      </c>
      <c r="K197" s="672" t="s">
        <v>63</v>
      </c>
      <c r="L197" s="671">
        <f>ifna(vlookup(A197,'TX Data'!$A$1498:$B$1702,2,FALSE),"NULL")</f>
        <v>33</v>
      </c>
      <c r="M197" s="614" t="s">
        <v>63</v>
      </c>
      <c r="N197" s="612" t="s">
        <v>63</v>
      </c>
      <c r="O197" s="612" t="s">
        <v>63</v>
      </c>
      <c r="P197" s="620">
        <f>ifna(vlookup(A197,'Population &amp; Church Numbers'!$A$2526:$D$2779,4,FALSE),"NULL")</f>
        <v>17</v>
      </c>
      <c r="Q197" s="674" t="s">
        <v>63</v>
      </c>
    </row>
    <row r="198">
      <c r="A198" s="609" t="s">
        <v>2136</v>
      </c>
      <c r="B198" s="610">
        <f t="array" ref="B198">VLOOKUP($A198,TX_DEMO,2,FALSE)</f>
        <v>6741</v>
      </c>
      <c r="C198" s="704">
        <f>vlookup(A198,'TX Data'!$A$4:$B$259,2,FALSE)</f>
        <v>3</v>
      </c>
      <c r="D198" s="612" t="s">
        <v>63</v>
      </c>
      <c r="E198" s="612">
        <f>vlookup(A198,'TX Data'!$A$4:$D$259,3,FALSE)</f>
        <v>1</v>
      </c>
      <c r="F198" s="612">
        <f>vlookup(A198,'TX Data'!$A$4:$D$259,4,FALSE)</f>
        <v>2</v>
      </c>
      <c r="G198" s="612" t="s">
        <v>63</v>
      </c>
      <c r="H198" s="671">
        <f>vlookup(A198,'TX Data'!$I$2699:$J$2952,2,FALSE)</f>
        <v>1</v>
      </c>
      <c r="I198" s="614" t="str">
        <f>ifna(vlookup(A198,'TX Data'!$A$2319:$B$2521,2,FALSE),"NULL")</f>
        <v>NULL</v>
      </c>
      <c r="J198" s="615" t="s">
        <v>63</v>
      </c>
      <c r="K198" s="672" t="s">
        <v>63</v>
      </c>
      <c r="L198" s="671" t="str">
        <f>ifna(vlookup(A198,'TX Data'!$A$1498:$B$1702,2,FALSE),"NULL")</f>
        <v>NULL</v>
      </c>
      <c r="M198" s="614" t="s">
        <v>63</v>
      </c>
      <c r="N198" s="612" t="s">
        <v>63</v>
      </c>
      <c r="O198" s="612" t="s">
        <v>63</v>
      </c>
      <c r="P198" s="620">
        <f>ifna(vlookup(A198,'Population &amp; Church Numbers'!$A$2526:$D$2779,4,FALSE),"NULL")</f>
        <v>10</v>
      </c>
      <c r="Q198" s="674" t="s">
        <v>63</v>
      </c>
    </row>
    <row r="199">
      <c r="A199" s="609" t="s">
        <v>1879</v>
      </c>
      <c r="B199" s="610">
        <f t="array" ref="B199">VLOOKUP($A199,TX_DEMO,2,FALSE)</f>
        <v>827</v>
      </c>
      <c r="C199" s="704" t="str">
        <f>vlookup(A199,'TX Data'!$A$4:$B$259,2,FALSE)</f>
        <v>NULL</v>
      </c>
      <c r="D199" s="612" t="s">
        <v>63</v>
      </c>
      <c r="E199" s="612">
        <f>vlookup(A199,'TX Data'!$A$4:$D$259,3,FALSE)</f>
        <v>0</v>
      </c>
      <c r="F199" s="612">
        <f>vlookup(A199,'TX Data'!$A$4:$D$259,4,FALSE)</f>
        <v>0</v>
      </c>
      <c r="G199" s="612" t="s">
        <v>63</v>
      </c>
      <c r="H199" s="671">
        <f>vlookup(A199,'TX Data'!$I$2699:$J$2952,2,FALSE)</f>
        <v>1</v>
      </c>
      <c r="I199" s="614" t="str">
        <f>ifna(vlookup(A199,'TX Data'!$A$2319:$B$2521,2,FALSE),"NULL")</f>
        <v>NULL</v>
      </c>
      <c r="J199" s="615" t="s">
        <v>63</v>
      </c>
      <c r="K199" s="672" t="s">
        <v>63</v>
      </c>
      <c r="L199" s="671">
        <f>ifna(vlookup(A199,'TX Data'!$A$1498:$B$1702,2,FALSE),"NULL")</f>
        <v>1</v>
      </c>
      <c r="M199" s="614" t="s">
        <v>63</v>
      </c>
      <c r="N199" s="612" t="s">
        <v>63</v>
      </c>
      <c r="O199" s="612" t="s">
        <v>63</v>
      </c>
      <c r="P199" s="620">
        <f>ifna(vlookup(A199,'Population &amp; Church Numbers'!$A$2526:$D$2779,4,FALSE),"NULL")</f>
        <v>5</v>
      </c>
      <c r="Q199" s="674" t="s">
        <v>63</v>
      </c>
    </row>
    <row r="200">
      <c r="A200" s="609" t="s">
        <v>1131</v>
      </c>
      <c r="B200" s="610">
        <f t="array" ref="B200">VLOOKUP($A200,TX_DEMO,2,FALSE)</f>
        <v>16757</v>
      </c>
      <c r="C200" s="704">
        <f>vlookup(A200,'TX Data'!$A$4:$B$259,2,FALSE)</f>
        <v>68</v>
      </c>
      <c r="D200" s="612" t="s">
        <v>63</v>
      </c>
      <c r="E200" s="612">
        <f>vlookup(A200,'TX Data'!$A$4:$D$259,3,FALSE)</f>
        <v>21</v>
      </c>
      <c r="F200" s="612">
        <f>vlookup(A200,'TX Data'!$A$4:$D$259,4,FALSE)</f>
        <v>40</v>
      </c>
      <c r="G200" s="612" t="s">
        <v>63</v>
      </c>
      <c r="H200" s="671">
        <f>vlookup(A200,'TX Data'!$I$2699:$J$2952,2,FALSE)</f>
        <v>2</v>
      </c>
      <c r="I200" s="614">
        <f>ifna(vlookup(A200,'TX Data'!$A$2319:$B$2521,2,FALSE),"NULL")</f>
        <v>19</v>
      </c>
      <c r="J200" s="615" t="s">
        <v>63</v>
      </c>
      <c r="K200" s="672" t="s">
        <v>63</v>
      </c>
      <c r="L200" s="671">
        <f>ifna(vlookup(A200,'TX Data'!$A$1498:$B$1702,2,FALSE),"NULL")</f>
        <v>36</v>
      </c>
      <c r="M200" s="614" t="s">
        <v>63</v>
      </c>
      <c r="N200" s="612" t="s">
        <v>63</v>
      </c>
      <c r="O200" s="612" t="s">
        <v>63</v>
      </c>
      <c r="P200" s="620">
        <f>ifna(vlookup(A200,'Population &amp; Church Numbers'!$A$2526:$D$2779,4,FALSE),"NULL")</f>
        <v>26</v>
      </c>
      <c r="Q200" s="674" t="s">
        <v>63</v>
      </c>
    </row>
    <row r="201">
      <c r="A201" s="609" t="s">
        <v>2137</v>
      </c>
      <c r="B201" s="610">
        <f t="array" ref="B201">VLOOKUP($A201,TX_DEMO,2,FALSE)</f>
        <v>107819</v>
      </c>
      <c r="C201" s="704">
        <f>vlookup(A201,'TX Data'!$A$4:$B$259,2,FALSE)</f>
        <v>23</v>
      </c>
      <c r="D201" s="612" t="s">
        <v>63</v>
      </c>
      <c r="E201" s="612">
        <f>vlookup(A201,'TX Data'!$A$4:$D$259,3,FALSE)</f>
        <v>9</v>
      </c>
      <c r="F201" s="612">
        <f>vlookup(A201,'TX Data'!$A$4:$D$259,4,FALSE)</f>
        <v>6</v>
      </c>
      <c r="G201" s="612" t="s">
        <v>63</v>
      </c>
      <c r="H201" s="671">
        <f>vlookup(A201,'TX Data'!$I$2699:$J$2952,2,FALSE)</f>
        <v>49</v>
      </c>
      <c r="I201" s="614">
        <f>ifna(vlookup(A201,'TX Data'!$A$2319:$B$2521,2,FALSE),"NULL")</f>
        <v>4</v>
      </c>
      <c r="J201" s="615" t="s">
        <v>63</v>
      </c>
      <c r="K201" s="672" t="s">
        <v>63</v>
      </c>
      <c r="L201" s="671">
        <f>ifna(vlookup(A201,'TX Data'!$A$1498:$B$1702,2,FALSE),"NULL")</f>
        <v>122</v>
      </c>
      <c r="M201" s="614" t="s">
        <v>63</v>
      </c>
      <c r="N201" s="612" t="s">
        <v>63</v>
      </c>
      <c r="O201" s="612" t="s">
        <v>63</v>
      </c>
      <c r="P201" s="620">
        <f>ifna(vlookup(A201,'Population &amp; Church Numbers'!$A$2526:$D$2779,4,FALSE),"NULL")</f>
        <v>46</v>
      </c>
      <c r="Q201" s="674" t="s">
        <v>63</v>
      </c>
    </row>
    <row r="202">
      <c r="A202" s="609" t="s">
        <v>2138</v>
      </c>
      <c r="B202" s="610">
        <f t="array" ref="B202">VLOOKUP($A202,TX_DEMO,2,FALSE)</f>
        <v>9900</v>
      </c>
      <c r="C202" s="704">
        <f>vlookup(A202,'TX Data'!$A$4:$B$259,2,FALSE)</f>
        <v>9</v>
      </c>
      <c r="D202" s="612" t="s">
        <v>63</v>
      </c>
      <c r="E202" s="612">
        <f>vlookup(A202,'TX Data'!$A$4:$D$259,3,FALSE)</f>
        <v>3</v>
      </c>
      <c r="F202" s="612">
        <f>vlookup(A202,'TX Data'!$A$4:$D$259,4,FALSE)</f>
        <v>4</v>
      </c>
      <c r="G202" s="612" t="s">
        <v>63</v>
      </c>
      <c r="H202" s="671">
        <f>vlookup(A202,'TX Data'!$I$2699:$J$2952,2,FALSE)</f>
        <v>5</v>
      </c>
      <c r="I202" s="614">
        <f>ifna(vlookup(A202,'TX Data'!$A$2319:$B$2521,2,FALSE),"NULL")</f>
        <v>4</v>
      </c>
      <c r="J202" s="615" t="s">
        <v>63</v>
      </c>
      <c r="K202" s="672" t="s">
        <v>63</v>
      </c>
      <c r="L202" s="671">
        <f>ifna(vlookup(A202,'TX Data'!$A$1498:$B$1702,2,FALSE),"NULL")</f>
        <v>24</v>
      </c>
      <c r="M202" s="614" t="s">
        <v>63</v>
      </c>
      <c r="N202" s="612" t="s">
        <v>63</v>
      </c>
      <c r="O202" s="612" t="s">
        <v>63</v>
      </c>
      <c r="P202" s="620">
        <f>ifna(vlookup(A202,'Population &amp; Church Numbers'!$A$2526:$D$2779,4,FALSE),"NULL")</f>
        <v>22</v>
      </c>
      <c r="Q202" s="674" t="s">
        <v>63</v>
      </c>
    </row>
    <row r="203">
      <c r="A203" s="609" t="s">
        <v>2139</v>
      </c>
      <c r="B203" s="610">
        <f t="array" ref="B203">VLOOKUP($A203,TX_DEMO,2,FALSE)</f>
        <v>52214</v>
      </c>
      <c r="C203" s="704">
        <f>vlookup(A203,'TX Data'!$A$4:$B$259,2,FALSE)</f>
        <v>40</v>
      </c>
      <c r="D203" s="612" t="s">
        <v>63</v>
      </c>
      <c r="E203" s="612">
        <f>vlookup(A203,'TX Data'!$A$4:$D$259,3,FALSE)</f>
        <v>10</v>
      </c>
      <c r="F203" s="612">
        <f>vlookup(A203,'TX Data'!$A$4:$D$259,4,FALSE)</f>
        <v>22</v>
      </c>
      <c r="G203" s="612" t="s">
        <v>63</v>
      </c>
      <c r="H203" s="671">
        <f>vlookup(A203,'TX Data'!$I$2699:$J$2952,2,FALSE)</f>
        <v>20</v>
      </c>
      <c r="I203" s="614">
        <f>ifna(vlookup(A203,'TX Data'!$A$2319:$B$2521,2,FALSE),"NULL")</f>
        <v>6</v>
      </c>
      <c r="J203" s="615" t="s">
        <v>63</v>
      </c>
      <c r="K203" s="672" t="s">
        <v>63</v>
      </c>
      <c r="L203" s="671">
        <f>ifna(vlookup(A203,'TX Data'!$A$1498:$B$1702,2,FALSE),"NULL")</f>
        <v>69</v>
      </c>
      <c r="M203" s="614" t="s">
        <v>63</v>
      </c>
      <c r="N203" s="612" t="s">
        <v>63</v>
      </c>
      <c r="O203" s="612" t="s">
        <v>63</v>
      </c>
      <c r="P203" s="620">
        <f>ifna(vlookup(A203,'Population &amp; Church Numbers'!$A$2526:$D$2779,4,FALSE),"NULL")</f>
        <v>103</v>
      </c>
      <c r="Q203" s="674" t="s">
        <v>63</v>
      </c>
    </row>
    <row r="204">
      <c r="A204" s="609" t="s">
        <v>1168</v>
      </c>
      <c r="B204" s="610">
        <f t="array" ref="B204">VLOOKUP($A204,TX_DEMO,2,FALSE)</f>
        <v>9894</v>
      </c>
      <c r="C204" s="704">
        <f>vlookup(A204,'TX Data'!$A$4:$B$259,2,FALSE)</f>
        <v>12</v>
      </c>
      <c r="D204" s="612" t="s">
        <v>63</v>
      </c>
      <c r="E204" s="612">
        <f>vlookup(A204,'TX Data'!$A$4:$D$259,3,FALSE)</f>
        <v>4</v>
      </c>
      <c r="F204" s="612">
        <f>vlookup(A204,'TX Data'!$A$4:$D$259,4,FALSE)</f>
        <v>8</v>
      </c>
      <c r="G204" s="612" t="s">
        <v>63</v>
      </c>
      <c r="H204" s="671">
        <f>vlookup(A204,'TX Data'!$I$2699:$J$2952,2,FALSE)</f>
        <v>2</v>
      </c>
      <c r="I204" s="614">
        <f>ifna(vlookup(A204,'TX Data'!$A$2319:$B$2521,2,FALSE),"NULL")</f>
        <v>0</v>
      </c>
      <c r="J204" s="615" t="s">
        <v>63</v>
      </c>
      <c r="K204" s="672" t="s">
        <v>63</v>
      </c>
      <c r="L204" s="671">
        <f>ifna(vlookup(A204,'TX Data'!$A$1498:$B$1702,2,FALSE),"NULL")</f>
        <v>26</v>
      </c>
      <c r="M204" s="614" t="s">
        <v>63</v>
      </c>
      <c r="N204" s="612" t="s">
        <v>63</v>
      </c>
      <c r="O204" s="612" t="s">
        <v>63</v>
      </c>
      <c r="P204" s="620">
        <f>ifna(vlookup(A204,'Population &amp; Church Numbers'!$A$2526:$D$2779,4,FALSE),"NULL")</f>
        <v>24</v>
      </c>
      <c r="Q204" s="674" t="s">
        <v>63</v>
      </c>
    </row>
    <row r="205">
      <c r="A205" s="609" t="s">
        <v>2140</v>
      </c>
      <c r="B205" s="610">
        <f t="array" ref="B205">VLOOKUP($A205,TX_DEMO,2,FALSE)</f>
        <v>7918</v>
      </c>
      <c r="C205" s="704">
        <f>vlookup(A205,'TX Data'!$A$4:$B$259,2,FALSE)</f>
        <v>12</v>
      </c>
      <c r="D205" s="612" t="s">
        <v>63</v>
      </c>
      <c r="E205" s="612">
        <f>vlookup(A205,'TX Data'!$A$4:$D$259,3,FALSE)</f>
        <v>4</v>
      </c>
      <c r="F205" s="612">
        <f>vlookup(A205,'TX Data'!$A$4:$D$259,4,FALSE)</f>
        <v>6</v>
      </c>
      <c r="G205" s="612" t="s">
        <v>63</v>
      </c>
      <c r="H205" s="671">
        <f>vlookup(A205,'TX Data'!$I$2699:$J$2952,2,FALSE)</f>
        <v>3</v>
      </c>
      <c r="I205" s="614" t="str">
        <f>ifna(vlookup(A205,'TX Data'!$A$2319:$B$2521,2,FALSE),"NULL")</f>
        <v>NULL</v>
      </c>
      <c r="J205" s="615" t="s">
        <v>63</v>
      </c>
      <c r="K205" s="672" t="s">
        <v>63</v>
      </c>
      <c r="L205" s="671">
        <f>ifna(vlookup(A205,'TX Data'!$A$1498:$B$1702,2,FALSE),"NULL")</f>
        <v>15</v>
      </c>
      <c r="M205" s="614" t="s">
        <v>63</v>
      </c>
      <c r="N205" s="612" t="s">
        <v>63</v>
      </c>
      <c r="O205" s="612" t="s">
        <v>63</v>
      </c>
      <c r="P205" s="620">
        <f>ifna(vlookup(A205,'Population &amp; Church Numbers'!$A$2526:$D$2779,4,FALSE),"NULL")</f>
        <v>21</v>
      </c>
      <c r="Q205" s="674" t="s">
        <v>63</v>
      </c>
    </row>
    <row r="206">
      <c r="A206" s="609" t="s">
        <v>2142</v>
      </c>
      <c r="B206" s="610">
        <f t="array" ref="B206">VLOOKUP($A206,TX_DEMO,2,FALSE)</f>
        <v>27402</v>
      </c>
      <c r="C206" s="704">
        <f>vlookup(A206,'TX Data'!$A$4:$B$259,2,FALSE)</f>
        <v>42</v>
      </c>
      <c r="D206" s="612" t="s">
        <v>63</v>
      </c>
      <c r="E206" s="612">
        <f>vlookup(A206,'TX Data'!$A$4:$D$259,3,FALSE)</f>
        <v>17</v>
      </c>
      <c r="F206" s="612">
        <f>vlookup(A206,'TX Data'!$A$4:$D$259,4,FALSE)</f>
        <v>12</v>
      </c>
      <c r="G206" s="612" t="s">
        <v>63</v>
      </c>
      <c r="H206" s="671">
        <f>vlookup(A206,'TX Data'!$I$2699:$J$2952,2,FALSE)</f>
        <v>5</v>
      </c>
      <c r="I206" s="614">
        <f>ifna(vlookup(A206,'TX Data'!$A$2319:$B$2521,2,FALSE),"NULL")</f>
        <v>11</v>
      </c>
      <c r="J206" s="615" t="s">
        <v>63</v>
      </c>
      <c r="K206" s="672" t="s">
        <v>63</v>
      </c>
      <c r="L206" s="671">
        <f>ifna(vlookup(A206,'TX Data'!$A$1498:$B$1702,2,FALSE),"NULL")</f>
        <v>48</v>
      </c>
      <c r="M206" s="614" t="s">
        <v>63</v>
      </c>
      <c r="N206" s="612" t="s">
        <v>63</v>
      </c>
      <c r="O206" s="612" t="s">
        <v>63</v>
      </c>
      <c r="P206" s="620">
        <f>ifna(vlookup(A206,'Population &amp; Church Numbers'!$A$2526:$D$2779,4,FALSE),"NULL")</f>
        <v>32</v>
      </c>
      <c r="Q206" s="674" t="s">
        <v>63</v>
      </c>
    </row>
    <row r="207">
      <c r="A207" s="609" t="s">
        <v>2143</v>
      </c>
      <c r="B207" s="610">
        <f t="array" ref="B207">VLOOKUP($A207,TX_DEMO,2,FALSE)</f>
        <v>68755</v>
      </c>
      <c r="C207" s="704">
        <f>vlookup(A207,'TX Data'!$A$4:$B$259,2,FALSE)</f>
        <v>45</v>
      </c>
      <c r="D207" s="612" t="s">
        <v>63</v>
      </c>
      <c r="E207" s="612">
        <f>vlookup(A207,'TX Data'!$A$4:$D$259,3,FALSE)</f>
        <v>20</v>
      </c>
      <c r="F207" s="612">
        <f>vlookup(A207,'TX Data'!$A$4:$D$259,4,FALSE)</f>
        <v>16</v>
      </c>
      <c r="G207" s="612" t="s">
        <v>63</v>
      </c>
      <c r="H207" s="671">
        <f>vlookup(A207,'TX Data'!$I$2699:$J$2952,2,FALSE)</f>
        <v>21</v>
      </c>
      <c r="I207" s="614">
        <f>ifna(vlookup(A207,'TX Data'!$A$2319:$B$2521,2,FALSE),"NULL")</f>
        <v>11</v>
      </c>
      <c r="J207" s="615" t="s">
        <v>63</v>
      </c>
      <c r="K207" s="672" t="s">
        <v>63</v>
      </c>
      <c r="L207" s="671">
        <f>ifna(vlookup(A207,'TX Data'!$A$1498:$B$1702,2,FALSE),"NULL")</f>
        <v>235</v>
      </c>
      <c r="M207" s="614" t="s">
        <v>63</v>
      </c>
      <c r="N207" s="612" t="s">
        <v>63</v>
      </c>
      <c r="O207" s="612" t="s">
        <v>63</v>
      </c>
      <c r="P207" s="620">
        <f>ifna(vlookup(A207,'Population &amp; Church Numbers'!$A$2526:$D$2779,4,FALSE),"NULL")</f>
        <v>65</v>
      </c>
      <c r="Q207" s="674" t="s">
        <v>63</v>
      </c>
    </row>
    <row r="208">
      <c r="A208" s="609" t="s">
        <v>2144</v>
      </c>
      <c r="B208" s="610">
        <f t="array" ref="B208">VLOOKUP($A208,TX_DEMO,2,FALSE)</f>
        <v>5730</v>
      </c>
      <c r="C208" s="704">
        <f>vlookup(A208,'TX Data'!$A$4:$B$259,2,FALSE)</f>
        <v>9</v>
      </c>
      <c r="D208" s="612" t="s">
        <v>63</v>
      </c>
      <c r="E208" s="612">
        <f>vlookup(A208,'TX Data'!$A$4:$D$259,3,FALSE)</f>
        <v>3</v>
      </c>
      <c r="F208" s="612">
        <f>vlookup(A208,'TX Data'!$A$4:$D$259,4,FALSE)</f>
        <v>5</v>
      </c>
      <c r="G208" s="612" t="s">
        <v>63</v>
      </c>
      <c r="H208" s="671">
        <f>vlookup(A208,'TX Data'!$I$2699:$J$2952,2,FALSE)</f>
        <v>3</v>
      </c>
      <c r="I208" s="614">
        <f>ifna(vlookup(A208,'TX Data'!$A$2319:$B$2521,2,FALSE),"NULL")</f>
        <v>4</v>
      </c>
      <c r="J208" s="615" t="s">
        <v>63</v>
      </c>
      <c r="K208" s="672" t="s">
        <v>63</v>
      </c>
      <c r="L208" s="671" t="str">
        <f>ifna(vlookup(A208,'TX Data'!$A$1498:$B$1702,2,FALSE),"NULL")</f>
        <v>NULL</v>
      </c>
      <c r="M208" s="614" t="s">
        <v>63</v>
      </c>
      <c r="N208" s="612" t="s">
        <v>63</v>
      </c>
      <c r="O208" s="612" t="s">
        <v>63</v>
      </c>
      <c r="P208" s="620">
        <f>ifna(vlookup(A208,'Population &amp; Church Numbers'!$A$2526:$D$2779,4,FALSE),"NULL")</f>
        <v>15</v>
      </c>
      <c r="Q208" s="674" t="s">
        <v>63</v>
      </c>
    </row>
    <row r="209">
      <c r="A209" s="609" t="s">
        <v>2145</v>
      </c>
      <c r="B209" s="610">
        <f t="array" ref="B209">VLOOKUP($A209,TX_DEMO,2,FALSE)</f>
        <v>2451</v>
      </c>
      <c r="C209" s="704">
        <f>vlookup(A209,'TX Data'!$A$4:$B$259,2,FALSE)</f>
        <v>0</v>
      </c>
      <c r="D209" s="612" t="s">
        <v>63</v>
      </c>
      <c r="E209" s="612">
        <f>vlookup(A209,'TX Data'!$A$4:$D$259,3,FALSE)</f>
        <v>0</v>
      </c>
      <c r="F209" s="612">
        <f>vlookup(A209,'TX Data'!$A$4:$D$259,4,FALSE)</f>
        <v>0</v>
      </c>
      <c r="G209" s="612" t="s">
        <v>63</v>
      </c>
      <c r="H209" s="671">
        <f>vlookup(A209,'TX Data'!$I$2699:$J$2952,2,FALSE)</f>
        <v>1</v>
      </c>
      <c r="I209" s="614" t="str">
        <f>ifna(vlookup(A209,'TX Data'!$A$2319:$B$2521,2,FALSE),"NULL")</f>
        <v>NULL</v>
      </c>
      <c r="J209" s="615" t="s">
        <v>63</v>
      </c>
      <c r="K209" s="672" t="s">
        <v>63</v>
      </c>
      <c r="L209" s="671" t="str">
        <f>ifna(vlookup(A209,'TX Data'!$A$1498:$B$1702,2,FALSE),"NULL")</f>
        <v>NULL</v>
      </c>
      <c r="M209" s="614" t="s">
        <v>63</v>
      </c>
      <c r="N209" s="612" t="s">
        <v>63</v>
      </c>
      <c r="O209" s="612" t="s">
        <v>63</v>
      </c>
      <c r="P209" s="620">
        <f>ifna(vlookup(A209,'Population &amp; Church Numbers'!$A$2526:$D$2779,4,FALSE),"NULL")</f>
        <v>8</v>
      </c>
      <c r="Q209" s="674" t="s">
        <v>63</v>
      </c>
    </row>
    <row r="210">
      <c r="A210" s="609" t="s">
        <v>2146</v>
      </c>
      <c r="B210" s="610">
        <f t="array" ref="B210">VLOOKUP($A210,TX_DEMO,2,FALSE)</f>
        <v>16932</v>
      </c>
      <c r="C210" s="704">
        <f>vlookup(A210,'TX Data'!$A$4:$B$259,2,FALSE)</f>
        <v>39</v>
      </c>
      <c r="D210" s="612" t="s">
        <v>63</v>
      </c>
      <c r="E210" s="612">
        <f>vlookup(A210,'TX Data'!$A$4:$D$259,3,FALSE)</f>
        <v>14</v>
      </c>
      <c r="F210" s="612">
        <f>vlookup(A210,'TX Data'!$A$4:$D$259,4,FALSE)</f>
        <v>13</v>
      </c>
      <c r="G210" s="612" t="s">
        <v>63</v>
      </c>
      <c r="H210" s="671">
        <f>vlookup(A210,'TX Data'!$I$2699:$J$2952,2,FALSE)</f>
        <v>8</v>
      </c>
      <c r="I210" s="614">
        <f>ifna(vlookup(A210,'TX Data'!$A$2319:$B$2521,2,FALSE),"NULL")</f>
        <v>9</v>
      </c>
      <c r="J210" s="615" t="s">
        <v>63</v>
      </c>
      <c r="K210" s="672" t="s">
        <v>63</v>
      </c>
      <c r="L210" s="671">
        <f>ifna(vlookup(A210,'TX Data'!$A$1498:$B$1702,2,FALSE),"NULL")</f>
        <v>108</v>
      </c>
      <c r="M210" s="614" t="s">
        <v>63</v>
      </c>
      <c r="N210" s="612" t="s">
        <v>63</v>
      </c>
      <c r="O210" s="612" t="s">
        <v>63</v>
      </c>
      <c r="P210" s="620">
        <f>ifna(vlookup(A210,'Population &amp; Church Numbers'!$A$2526:$D$2779,4,FALSE),"NULL")</f>
        <v>23</v>
      </c>
      <c r="Q210" s="674" t="s">
        <v>63</v>
      </c>
    </row>
    <row r="211">
      <c r="A211" s="609" t="s">
        <v>2148</v>
      </c>
      <c r="B211" s="610">
        <f t="array" ref="B211">VLOOKUP($A211,TX_DEMO,2,FALSE)</f>
        <v>3105</v>
      </c>
      <c r="C211" s="704">
        <f>vlookup(A211,'TX Data'!$A$4:$B$259,2,FALSE)</f>
        <v>0</v>
      </c>
      <c r="D211" s="612" t="s">
        <v>63</v>
      </c>
      <c r="E211" s="612">
        <f>vlookup(A211,'TX Data'!$A$4:$D$259,3,FALSE)</f>
        <v>0</v>
      </c>
      <c r="F211" s="612">
        <f>vlookup(A211,'TX Data'!$A$4:$D$259,4,FALSE)</f>
        <v>0</v>
      </c>
      <c r="G211" s="612" t="s">
        <v>63</v>
      </c>
      <c r="H211" s="671">
        <f>vlookup(A211,'TX Data'!$I$2699:$J$2952,2,FALSE)</f>
        <v>2</v>
      </c>
      <c r="I211" s="614" t="str">
        <f>ifna(vlookup(A211,'TX Data'!$A$2319:$B$2521,2,FALSE),"NULL")</f>
        <v>NULL</v>
      </c>
      <c r="J211" s="615" t="s">
        <v>63</v>
      </c>
      <c r="K211" s="672" t="s">
        <v>63</v>
      </c>
      <c r="L211" s="671" t="str">
        <f>ifna(vlookup(A211,'TX Data'!$A$1498:$B$1702,2,FALSE),"NULL")</f>
        <v>NULL</v>
      </c>
      <c r="M211" s="614" t="s">
        <v>63</v>
      </c>
      <c r="N211" s="612" t="s">
        <v>63</v>
      </c>
      <c r="O211" s="612" t="s">
        <v>63</v>
      </c>
      <c r="P211" s="620">
        <f>ifna(vlookup(A211,'Population &amp; Church Numbers'!$A$2526:$D$2779,4,FALSE),"NULL")</f>
        <v>6</v>
      </c>
      <c r="Q211" s="674" t="s">
        <v>63</v>
      </c>
    </row>
    <row r="212">
      <c r="A212" s="609" t="s">
        <v>168</v>
      </c>
      <c r="B212" s="610">
        <f t="array" ref="B212">VLOOKUP($A212,TX_DEMO,2,FALSE)</f>
        <v>24022</v>
      </c>
      <c r="C212" s="704">
        <f>vlookup(A212,'TX Data'!$A$4:$B$259,2,FALSE)</f>
        <v>28</v>
      </c>
      <c r="D212" s="612" t="s">
        <v>63</v>
      </c>
      <c r="E212" s="612">
        <f>vlookup(A212,'TX Data'!$A$4:$D$259,3,FALSE)</f>
        <v>13</v>
      </c>
      <c r="F212" s="612">
        <f>vlookup(A212,'TX Data'!$A$4:$D$259,4,FALSE)</f>
        <v>13</v>
      </c>
      <c r="G212" s="612" t="s">
        <v>63</v>
      </c>
      <c r="H212" s="671">
        <f>vlookup(A212,'TX Data'!$I$2699:$J$2952,2,FALSE)</f>
        <v>18</v>
      </c>
      <c r="I212" s="614">
        <f>ifna(vlookup(A212,'TX Data'!$A$2319:$B$2521,2,FALSE),"NULL")</f>
        <v>4</v>
      </c>
      <c r="J212" s="615" t="s">
        <v>63</v>
      </c>
      <c r="K212" s="672" t="s">
        <v>63</v>
      </c>
      <c r="L212" s="671">
        <f>ifna(vlookup(A212,'TX Data'!$A$1498:$B$1702,2,FALSE),"NULL")</f>
        <v>67</v>
      </c>
      <c r="M212" s="614" t="s">
        <v>63</v>
      </c>
      <c r="N212" s="612" t="s">
        <v>63</v>
      </c>
      <c r="O212" s="612" t="s">
        <v>63</v>
      </c>
      <c r="P212" s="620">
        <f>ifna(vlookup(A212,'Population &amp; Church Numbers'!$A$2526:$D$2779,4,FALSE),"NULL")</f>
        <v>46</v>
      </c>
      <c r="Q212" s="674" t="s">
        <v>63</v>
      </c>
    </row>
    <row r="213">
      <c r="A213" s="609" t="s">
        <v>1011</v>
      </c>
      <c r="B213" s="610">
        <f t="array" ref="B213">VLOOKUP($A213,TX_DEMO,2,FALSE)</f>
        <v>2782</v>
      </c>
      <c r="C213" s="704">
        <f>vlookup(A213,'TX Data'!$A$4:$B$259,2,FALSE)</f>
        <v>6</v>
      </c>
      <c r="D213" s="612" t="s">
        <v>63</v>
      </c>
      <c r="E213" s="612">
        <f>vlookup(A213,'TX Data'!$A$4:$D$259,3,FALSE)</f>
        <v>1</v>
      </c>
      <c r="F213" s="612">
        <f>vlookup(A213,'TX Data'!$A$4:$D$259,4,FALSE)</f>
        <v>4</v>
      </c>
      <c r="G213" s="612" t="s">
        <v>63</v>
      </c>
      <c r="H213" s="671" t="str">
        <f>vlookup(A213,'TX Data'!$I$2699:$J$2952,2,FALSE)</f>
        <v>NULL</v>
      </c>
      <c r="I213" s="614">
        <f>ifna(vlookup(A213,'TX Data'!$A$2319:$B$2521,2,FALSE),"NULL")</f>
        <v>1</v>
      </c>
      <c r="J213" s="615" t="s">
        <v>63</v>
      </c>
      <c r="K213" s="672" t="s">
        <v>63</v>
      </c>
      <c r="L213" s="671">
        <f>ifna(vlookup(A213,'TX Data'!$A$1498:$B$1702,2,FALSE),"NULL")</f>
        <v>10</v>
      </c>
      <c r="M213" s="614" t="s">
        <v>63</v>
      </c>
      <c r="N213" s="612" t="s">
        <v>63</v>
      </c>
      <c r="O213" s="612" t="s">
        <v>63</v>
      </c>
      <c r="P213" s="620">
        <f>ifna(vlookup(A213,'Population &amp; Church Numbers'!$A$2526:$D$2779,4,FALSE),"NULL")</f>
        <v>6</v>
      </c>
      <c r="Q213" s="674" t="s">
        <v>63</v>
      </c>
    </row>
    <row r="214">
      <c r="A214" s="609" t="s">
        <v>1012</v>
      </c>
      <c r="B214" s="610">
        <f t="array" ref="B214">VLOOKUP($A214,TX_DEMO,2,FALSE)</f>
        <v>233479</v>
      </c>
      <c r="C214" s="704">
        <f>vlookup(A214,'TX Data'!$A$4:$B$259,2,FALSE)</f>
        <v>252</v>
      </c>
      <c r="D214" s="612" t="s">
        <v>63</v>
      </c>
      <c r="E214" s="612">
        <f>vlookup(A214,'TX Data'!$A$4:$D$259,3,FALSE)</f>
        <v>85</v>
      </c>
      <c r="F214" s="612">
        <f>vlookup(A214,'TX Data'!$A$4:$D$259,4,FALSE)</f>
        <v>116</v>
      </c>
      <c r="G214" s="612" t="s">
        <v>63</v>
      </c>
      <c r="H214" s="671">
        <f>vlookup(A214,'TX Data'!$I$2699:$J$2952,2,FALSE)</f>
        <v>112</v>
      </c>
      <c r="I214" s="614">
        <f>ifna(vlookup(A214,'TX Data'!$A$2319:$B$2521,2,FALSE),"NULL")</f>
        <v>53</v>
      </c>
      <c r="J214" s="615" t="s">
        <v>63</v>
      </c>
      <c r="K214" s="672" t="s">
        <v>63</v>
      </c>
      <c r="L214" s="671">
        <f>ifna(vlookup(A214,'TX Data'!$A$1498:$B$1702,2,FALSE),"NULL")</f>
        <v>523</v>
      </c>
      <c r="M214" s="614" t="s">
        <v>63</v>
      </c>
      <c r="N214" s="612" t="s">
        <v>63</v>
      </c>
      <c r="O214" s="612" t="s">
        <v>63</v>
      </c>
      <c r="P214" s="620">
        <f>ifna(vlookup(A214,'Population &amp; Church Numbers'!$A$2526:$D$2779,4,FALSE),"NULL")</f>
        <v>270</v>
      </c>
      <c r="Q214" s="674" t="s">
        <v>63</v>
      </c>
    </row>
    <row r="215">
      <c r="A215" s="609" t="s">
        <v>2149</v>
      </c>
      <c r="B215" s="610">
        <f t="array" ref="B215">VLOOKUP($A215,TX_DEMO,2,FALSE)</f>
        <v>9205</v>
      </c>
      <c r="C215" s="704">
        <f>vlookup(A215,'TX Data'!$A$4:$B$259,2,FALSE)</f>
        <v>5</v>
      </c>
      <c r="D215" s="612" t="s">
        <v>63</v>
      </c>
      <c r="E215" s="612">
        <f>vlookup(A215,'TX Data'!$A$4:$D$259,3,FALSE)</f>
        <v>4</v>
      </c>
      <c r="F215" s="612">
        <f>vlookup(A215,'TX Data'!$A$4:$D$259,4,FALSE)</f>
        <v>0</v>
      </c>
      <c r="G215" s="612" t="s">
        <v>63</v>
      </c>
      <c r="H215" s="671" t="str">
        <f>vlookup(A215,'TX Data'!$I$2699:$J$2952,2,FALSE)</f>
        <v>NULL</v>
      </c>
      <c r="I215" s="614">
        <f>ifna(vlookup(A215,'TX Data'!$A$2319:$B$2521,2,FALSE),"NULL")</f>
        <v>1</v>
      </c>
      <c r="J215" s="615" t="s">
        <v>63</v>
      </c>
      <c r="K215" s="672" t="s">
        <v>63</v>
      </c>
      <c r="L215" s="671">
        <f>ifna(vlookup(A215,'TX Data'!$A$1498:$B$1702,2,FALSE),"NULL")</f>
        <v>24</v>
      </c>
      <c r="M215" s="614" t="s">
        <v>63</v>
      </c>
      <c r="N215" s="612" t="s">
        <v>63</v>
      </c>
      <c r="O215" s="612" t="s">
        <v>63</v>
      </c>
      <c r="P215" s="620">
        <f>ifna(vlookup(A215,'Population &amp; Church Numbers'!$A$2526:$D$2779,4,FALSE),"NULL")</f>
        <v>9</v>
      </c>
      <c r="Q215" s="674" t="s">
        <v>63</v>
      </c>
    </row>
    <row r="216">
      <c r="A216" s="609" t="s">
        <v>2150</v>
      </c>
      <c r="B216" s="610">
        <f t="array" ref="B216">VLOOKUP($A216,TX_DEMO,2,FALSE)</f>
        <v>65920</v>
      </c>
      <c r="C216" s="704">
        <f>vlookup(A216,'TX Data'!$A$4:$B$259,2,FALSE)</f>
        <v>31</v>
      </c>
      <c r="D216" s="612" t="s">
        <v>63</v>
      </c>
      <c r="E216" s="612">
        <f>vlookup(A216,'TX Data'!$A$4:$D$259,3,FALSE)</f>
        <v>8</v>
      </c>
      <c r="F216" s="612">
        <f>vlookup(A216,'TX Data'!$A$4:$D$259,4,FALSE)</f>
        <v>16</v>
      </c>
      <c r="G216" s="612" t="s">
        <v>63</v>
      </c>
      <c r="H216" s="671">
        <f>vlookup(A216,'TX Data'!$I$2699:$J$2952,2,FALSE)</f>
        <v>5</v>
      </c>
      <c r="I216" s="614">
        <f>ifna(vlookup(A216,'TX Data'!$A$2319:$B$2521,2,FALSE),"NULL")</f>
        <v>3</v>
      </c>
      <c r="J216" s="615" t="s">
        <v>63</v>
      </c>
      <c r="K216" s="672" t="s">
        <v>63</v>
      </c>
      <c r="L216" s="671">
        <f>ifna(vlookup(A216,'TX Data'!$A$1498:$B$1702,2,FALSE),"NULL")</f>
        <v>133</v>
      </c>
      <c r="M216" s="614" t="s">
        <v>63</v>
      </c>
      <c r="N216" s="612" t="s">
        <v>63</v>
      </c>
      <c r="O216" s="612" t="s">
        <v>63</v>
      </c>
      <c r="P216" s="620">
        <f>ifna(vlookup(A216,'Population &amp; Church Numbers'!$A$2526:$D$2779,4,FALSE),"NULL")</f>
        <v>26</v>
      </c>
      <c r="Q216" s="674" t="s">
        <v>63</v>
      </c>
    </row>
    <row r="217">
      <c r="A217" s="609" t="s">
        <v>628</v>
      </c>
      <c r="B217" s="610">
        <f t="array" ref="B217">VLOOKUP($A217,TX_DEMO,2,FALSE)</f>
        <v>9101</v>
      </c>
      <c r="C217" s="704">
        <f>vlookup(A217,'TX Data'!$A$4:$B$259,2,FALSE)</f>
        <v>25</v>
      </c>
      <c r="D217" s="612" t="s">
        <v>63</v>
      </c>
      <c r="E217" s="612">
        <f>vlookup(A217,'TX Data'!$A$4:$D$259,3,FALSE)</f>
        <v>11</v>
      </c>
      <c r="F217" s="612">
        <f>vlookup(A217,'TX Data'!$A$4:$D$259,4,FALSE)</f>
        <v>13</v>
      </c>
      <c r="G217" s="612" t="s">
        <v>63</v>
      </c>
      <c r="H217" s="671">
        <f>vlookup(A217,'TX Data'!$I$2699:$J$2952,2,FALSE)</f>
        <v>2</v>
      </c>
      <c r="I217" s="614">
        <f>ifna(vlookup(A217,'TX Data'!$A$2319:$B$2521,2,FALSE),"NULL")</f>
        <v>12</v>
      </c>
      <c r="J217" s="615" t="s">
        <v>63</v>
      </c>
      <c r="K217" s="672" t="s">
        <v>63</v>
      </c>
      <c r="L217" s="671">
        <f>ifna(vlookup(A217,'TX Data'!$A$1498:$B$1702,2,FALSE),"NULL")</f>
        <v>31</v>
      </c>
      <c r="M217" s="614" t="s">
        <v>63</v>
      </c>
      <c r="N217" s="612" t="s">
        <v>63</v>
      </c>
      <c r="O217" s="612" t="s">
        <v>63</v>
      </c>
      <c r="P217" s="620">
        <f>ifna(vlookup(A217,'Population &amp; Church Numbers'!$A$2526:$D$2779,4,FALSE),"NULL")</f>
        <v>16</v>
      </c>
      <c r="Q217" s="674" t="s">
        <v>63</v>
      </c>
    </row>
    <row r="218">
      <c r="A218" s="609" t="s">
        <v>2151</v>
      </c>
      <c r="B218" s="610">
        <f t="array" ref="B218">VLOOKUP($A218,TX_DEMO,2,FALSE)</f>
        <v>1372</v>
      </c>
      <c r="C218" s="704">
        <f>vlookup(A218,'TX Data'!$A$4:$B$259,2,FALSE)</f>
        <v>3</v>
      </c>
      <c r="D218" s="612" t="s">
        <v>63</v>
      </c>
      <c r="E218" s="612">
        <f>vlookup(A218,'TX Data'!$A$4:$D$259,3,FALSE)</f>
        <v>0</v>
      </c>
      <c r="F218" s="612">
        <f>vlookup(A218,'TX Data'!$A$4:$D$259,4,FALSE)</f>
        <v>3</v>
      </c>
      <c r="G218" s="612" t="s">
        <v>63</v>
      </c>
      <c r="H218" s="671">
        <f>vlookup(A218,'TX Data'!$I$2699:$J$2952,2,FALSE)</f>
        <v>1</v>
      </c>
      <c r="I218" s="614" t="str">
        <f>ifna(vlookup(A218,'TX Data'!$A$2319:$B$2521,2,FALSE),"NULL")</f>
        <v>NULL</v>
      </c>
      <c r="J218" s="615" t="s">
        <v>63</v>
      </c>
      <c r="K218" s="672" t="s">
        <v>63</v>
      </c>
      <c r="L218" s="671" t="str">
        <f>ifna(vlookup(A218,'TX Data'!$A$1498:$B$1702,2,FALSE),"NULL")</f>
        <v>NULL</v>
      </c>
      <c r="M218" s="614" t="s">
        <v>63</v>
      </c>
      <c r="N218" s="612" t="s">
        <v>63</v>
      </c>
      <c r="O218" s="612" t="s">
        <v>63</v>
      </c>
      <c r="P218" s="620">
        <f>ifna(vlookup(A218,'Population &amp; Church Numbers'!$A$2526:$D$2779,4,FALSE),"NULL")</f>
        <v>3</v>
      </c>
      <c r="Q218" s="674" t="s">
        <v>63</v>
      </c>
    </row>
    <row r="219">
      <c r="A219" s="609" t="s">
        <v>2152</v>
      </c>
      <c r="B219" s="610">
        <f t="array" ref="B219">VLOOKUP($A219,TX_DEMO,2,FALSE)</f>
        <v>1245</v>
      </c>
      <c r="C219" s="704">
        <f>vlookup(A219,'TX Data'!$A$4:$B$259,2,FALSE)</f>
        <v>0</v>
      </c>
      <c r="D219" s="612" t="s">
        <v>63</v>
      </c>
      <c r="E219" s="612">
        <f>vlookup(A219,'TX Data'!$A$4:$D$259,3,FALSE)</f>
        <v>0</v>
      </c>
      <c r="F219" s="612">
        <f>vlookup(A219,'TX Data'!$A$4:$D$259,4,FALSE)</f>
        <v>0</v>
      </c>
      <c r="G219" s="612" t="s">
        <v>63</v>
      </c>
      <c r="H219" s="671">
        <f>vlookup(A219,'TX Data'!$I$2699:$J$2952,2,FALSE)</f>
        <v>1</v>
      </c>
      <c r="I219" s="614" t="str">
        <f>ifna(vlookup(A219,'TX Data'!$A$2319:$B$2521,2,FALSE),"NULL")</f>
        <v>NULL</v>
      </c>
      <c r="J219" s="615" t="s">
        <v>63</v>
      </c>
      <c r="K219" s="672" t="s">
        <v>63</v>
      </c>
      <c r="L219" s="671" t="str">
        <f>ifna(vlookup(A219,'TX Data'!$A$1498:$B$1702,2,FALSE),"NULL")</f>
        <v>NULL</v>
      </c>
      <c r="M219" s="614" t="s">
        <v>63</v>
      </c>
      <c r="N219" s="612" t="s">
        <v>63</v>
      </c>
      <c r="O219" s="612" t="s">
        <v>63</v>
      </c>
      <c r="P219" s="620">
        <f>ifna(vlookup(A219,'Population &amp; Church Numbers'!$A$2526:$D$2779,4,FALSE),"NULL")</f>
        <v>5</v>
      </c>
      <c r="Q219" s="674" t="s">
        <v>63</v>
      </c>
    </row>
    <row r="220">
      <c r="A220" s="609" t="s">
        <v>2153</v>
      </c>
      <c r="B220" s="610">
        <f t="array" ref="B220">VLOOKUP($A220,TX_DEMO,2,FALSE)</f>
        <v>3372</v>
      </c>
      <c r="C220" s="704">
        <f>vlookup(A220,'TX Data'!$A$4:$B$259,2,FALSE)</f>
        <v>3</v>
      </c>
      <c r="D220" s="612" t="s">
        <v>63</v>
      </c>
      <c r="E220" s="612">
        <f>vlookup(A220,'TX Data'!$A$4:$D$259,3,FALSE)</f>
        <v>1</v>
      </c>
      <c r="F220" s="612">
        <f>vlookup(A220,'TX Data'!$A$4:$D$259,4,FALSE)</f>
        <v>2</v>
      </c>
      <c r="G220" s="612" t="s">
        <v>63</v>
      </c>
      <c r="H220" s="671">
        <f>vlookup(A220,'TX Data'!$I$2699:$J$2952,2,FALSE)</f>
        <v>1</v>
      </c>
      <c r="I220" s="614">
        <f>ifna(vlookup(A220,'TX Data'!$A$2319:$B$2521,2,FALSE),"NULL")</f>
        <v>3</v>
      </c>
      <c r="J220" s="615" t="s">
        <v>63</v>
      </c>
      <c r="K220" s="672" t="s">
        <v>63</v>
      </c>
      <c r="L220" s="671" t="str">
        <f>ifna(vlookup(A220,'TX Data'!$A$1498:$B$1702,2,FALSE),"NULL")</f>
        <v>NULL</v>
      </c>
      <c r="M220" s="614" t="s">
        <v>63</v>
      </c>
      <c r="N220" s="612" t="s">
        <v>63</v>
      </c>
      <c r="O220" s="612" t="s">
        <v>63</v>
      </c>
      <c r="P220" s="620">
        <f>ifna(vlookup(A220,'Population &amp; Church Numbers'!$A$2526:$D$2779,4,FALSE),"NULL")</f>
        <v>7</v>
      </c>
      <c r="Q220" s="674" t="s">
        <v>63</v>
      </c>
    </row>
    <row r="221">
      <c r="A221" s="609" t="s">
        <v>2154</v>
      </c>
      <c r="B221" s="610">
        <f t="array" ref="B221">VLOOKUP($A221,TX_DEMO,2,FALSE)</f>
        <v>6971</v>
      </c>
      <c r="C221" s="704">
        <f>vlookup(A221,'TX Data'!$A$4:$B$259,2,FALSE)</f>
        <v>8</v>
      </c>
      <c r="D221" s="612" t="s">
        <v>63</v>
      </c>
      <c r="E221" s="612">
        <f>vlookup(A221,'TX Data'!$A$4:$D$259,3,FALSE)</f>
        <v>4</v>
      </c>
      <c r="F221" s="612">
        <f>vlookup(A221,'TX Data'!$A$4:$D$259,4,FALSE)</f>
        <v>4</v>
      </c>
      <c r="G221" s="612" t="s">
        <v>63</v>
      </c>
      <c r="H221" s="671">
        <f>vlookup(A221,'TX Data'!$I$2699:$J$2952,2,FALSE)</f>
        <v>3</v>
      </c>
      <c r="I221" s="614">
        <f>ifna(vlookup(A221,'TX Data'!$A$2319:$B$2521,2,FALSE),"NULL")</f>
        <v>0</v>
      </c>
      <c r="J221" s="615" t="s">
        <v>63</v>
      </c>
      <c r="K221" s="672" t="s">
        <v>63</v>
      </c>
      <c r="L221" s="671">
        <f>ifna(vlookup(A221,'TX Data'!$A$1498:$B$1702,2,FALSE),"NULL")</f>
        <v>29</v>
      </c>
      <c r="M221" s="614" t="s">
        <v>63</v>
      </c>
      <c r="N221" s="612" t="s">
        <v>63</v>
      </c>
      <c r="O221" s="612" t="s">
        <v>63</v>
      </c>
      <c r="P221" s="620">
        <f>ifna(vlookup(A221,'Population &amp; Church Numbers'!$A$2526:$D$2779,4,FALSE),"NULL")</f>
        <v>14</v>
      </c>
      <c r="Q221" s="674" t="s">
        <v>63</v>
      </c>
    </row>
    <row r="222">
      <c r="A222" s="609" t="s">
        <v>265</v>
      </c>
      <c r="B222" s="610">
        <f t="array" ref="B222">VLOOKUP($A222,TX_DEMO,2,FALSE)</f>
        <v>2110640</v>
      </c>
      <c r="C222" s="704">
        <f>vlookup(A222,'TX Data'!$A$4:$B$259,2,FALSE)</f>
        <v>1073</v>
      </c>
      <c r="D222" s="612" t="s">
        <v>63</v>
      </c>
      <c r="E222" s="612">
        <f>vlookup(A222,'TX Data'!$A$4:$D$259,3,FALSE)</f>
        <v>499</v>
      </c>
      <c r="F222" s="612">
        <f>vlookup(A222,'TX Data'!$A$4:$D$259,4,FALSE)</f>
        <v>321</v>
      </c>
      <c r="G222" s="612" t="s">
        <v>63</v>
      </c>
      <c r="H222" s="671">
        <f>vlookup(A222,'TX Data'!$I$2699:$J$2952,2,FALSE)</f>
        <v>471</v>
      </c>
      <c r="I222" s="614">
        <f>ifna(vlookup(A222,'TX Data'!$A$2319:$B$2521,2,FALSE),"NULL")</f>
        <v>218</v>
      </c>
      <c r="J222" s="615" t="s">
        <v>63</v>
      </c>
      <c r="K222" s="672" t="s">
        <v>63</v>
      </c>
      <c r="L222" s="671">
        <f>ifna(vlookup(A222,'TX Data'!$A$1498:$B$1702,2,FALSE),"NULL")</f>
        <v>3901</v>
      </c>
      <c r="M222" s="614" t="s">
        <v>63</v>
      </c>
      <c r="N222" s="612" t="s">
        <v>63</v>
      </c>
      <c r="O222" s="612" t="s">
        <v>63</v>
      </c>
      <c r="P222" s="620">
        <f>ifna(vlookup(A222,'Population &amp; Church Numbers'!$A$2526:$D$2779,4,FALSE),"NULL")</f>
        <v>998</v>
      </c>
      <c r="Q222" s="674" t="s">
        <v>63</v>
      </c>
    </row>
    <row r="223">
      <c r="A223" s="609" t="s">
        <v>526</v>
      </c>
      <c r="B223" s="610">
        <f t="array" ref="B223">VLOOKUP($A223,TX_DEMO,2,FALSE)</f>
        <v>143208</v>
      </c>
      <c r="C223" s="704">
        <f>vlookup(A223,'TX Data'!$A$4:$B$259,2,FALSE)</f>
        <v>363</v>
      </c>
      <c r="D223" s="612" t="s">
        <v>63</v>
      </c>
      <c r="E223" s="612">
        <f>vlookup(A223,'TX Data'!$A$4:$D$259,3,FALSE)</f>
        <v>159</v>
      </c>
      <c r="F223" s="612">
        <f>vlookup(A223,'TX Data'!$A$4:$D$259,4,FALSE)</f>
        <v>135</v>
      </c>
      <c r="G223" s="612" t="s">
        <v>63</v>
      </c>
      <c r="H223" s="671">
        <f>vlookup(A223,'TX Data'!$I$2699:$J$2952,2,FALSE)</f>
        <v>95</v>
      </c>
      <c r="I223" s="614">
        <f>ifna(vlookup(A223,'TX Data'!$A$2319:$B$2521,2,FALSE),"NULL")</f>
        <v>73</v>
      </c>
      <c r="J223" s="615" t="s">
        <v>63</v>
      </c>
      <c r="K223" s="672" t="s">
        <v>63</v>
      </c>
      <c r="L223" s="671">
        <f>ifna(vlookup(A223,'TX Data'!$A$1498:$B$1702,2,FALSE),"NULL")</f>
        <v>1017</v>
      </c>
      <c r="M223" s="614" t="s">
        <v>63</v>
      </c>
      <c r="N223" s="612" t="s">
        <v>63</v>
      </c>
      <c r="O223" s="612" t="s">
        <v>63</v>
      </c>
      <c r="P223" s="620">
        <f>ifna(vlookup(A223,'Population &amp; Church Numbers'!$A$2526:$D$2779,4,FALSE),"NULL")</f>
        <v>139</v>
      </c>
      <c r="Q223" s="674" t="s">
        <v>63</v>
      </c>
    </row>
    <row r="224">
      <c r="A224" s="609" t="s">
        <v>635</v>
      </c>
      <c r="B224" s="610">
        <f t="array" ref="B224">VLOOKUP($A224,TX_DEMO,2,FALSE)</f>
        <v>760</v>
      </c>
      <c r="C224" s="704" t="str">
        <f>vlookup(A224,'TX Data'!$A$4:$B$259,2,FALSE)</f>
        <v>NULL</v>
      </c>
      <c r="D224" s="612" t="s">
        <v>63</v>
      </c>
      <c r="E224" s="612">
        <f>vlookup(A224,'TX Data'!$A$4:$D$259,3,FALSE)</f>
        <v>0</v>
      </c>
      <c r="F224" s="612">
        <f>vlookup(A224,'TX Data'!$A$4:$D$259,4,FALSE)</f>
        <v>0</v>
      </c>
      <c r="G224" s="612" t="s">
        <v>63</v>
      </c>
      <c r="H224" s="671" t="str">
        <f>vlookup(A224,'TX Data'!$I$2699:$J$2952,2,FALSE)</f>
        <v>NULL</v>
      </c>
      <c r="I224" s="614" t="str">
        <f>ifna(vlookup(A224,'TX Data'!$A$2319:$B$2521,2,FALSE),"NULL")</f>
        <v>NULL</v>
      </c>
      <c r="J224" s="615" t="s">
        <v>63</v>
      </c>
      <c r="K224" s="672" t="s">
        <v>63</v>
      </c>
      <c r="L224" s="671" t="str">
        <f>ifna(vlookup(A224,'TX Data'!$A$1498:$B$1702,2,FALSE),"NULL")</f>
        <v>NULL</v>
      </c>
      <c r="M224" s="614" t="s">
        <v>63</v>
      </c>
      <c r="N224" s="612" t="s">
        <v>63</v>
      </c>
      <c r="O224" s="612" t="s">
        <v>63</v>
      </c>
      <c r="P224" s="620">
        <f>ifna(vlookup(A224,'Population &amp; Church Numbers'!$A$2526:$D$2779,4,FALSE),"NULL")</f>
        <v>3</v>
      </c>
      <c r="Q224" s="674" t="s">
        <v>63</v>
      </c>
    </row>
    <row r="225">
      <c r="A225" s="609" t="s">
        <v>2156</v>
      </c>
      <c r="B225" s="610">
        <f t="array" ref="B225">VLOOKUP($A225,TX_DEMO,2,FALSE)</f>
        <v>11831</v>
      </c>
      <c r="C225" s="704">
        <f>vlookup(A225,'TX Data'!$A$4:$B$259,2,FALSE)</f>
        <v>6</v>
      </c>
      <c r="D225" s="612" t="s">
        <v>63</v>
      </c>
      <c r="E225" s="612">
        <f>vlookup(A225,'TX Data'!$A$4:$D$259,3,FALSE)</f>
        <v>1</v>
      </c>
      <c r="F225" s="612">
        <f>vlookup(A225,'TX Data'!$A$4:$D$259,4,FALSE)</f>
        <v>1</v>
      </c>
      <c r="G225" s="612" t="s">
        <v>63</v>
      </c>
      <c r="H225" s="671">
        <f>vlookup(A225,'TX Data'!$I$2699:$J$2952,2,FALSE)</f>
        <v>3</v>
      </c>
      <c r="I225" s="614">
        <f>ifna(vlookup(A225,'TX Data'!$A$2319:$B$2521,2,FALSE),"NULL")</f>
        <v>1</v>
      </c>
      <c r="J225" s="615" t="s">
        <v>63</v>
      </c>
      <c r="K225" s="672" t="s">
        <v>63</v>
      </c>
      <c r="L225" s="671">
        <f>ifna(vlookup(A225,'TX Data'!$A$1498:$B$1702,2,FALSE),"NULL")</f>
        <v>59</v>
      </c>
      <c r="M225" s="614" t="s">
        <v>63</v>
      </c>
      <c r="N225" s="612" t="s">
        <v>63</v>
      </c>
      <c r="O225" s="612" t="s">
        <v>63</v>
      </c>
      <c r="P225" s="620">
        <f>ifna(vlookup(A225,'Population &amp; Church Numbers'!$A$2526:$D$2779,4,FALSE),"NULL")</f>
        <v>19</v>
      </c>
      <c r="Q225" s="674" t="s">
        <v>63</v>
      </c>
    </row>
    <row r="226">
      <c r="A226" s="609" t="s">
        <v>2157</v>
      </c>
      <c r="B226" s="610">
        <f t="array" ref="B226">VLOOKUP($A226,TX_DEMO,2,FALSE)</f>
        <v>1440</v>
      </c>
      <c r="C226" s="704">
        <f>vlookup(A226,'TX Data'!$A$4:$B$259,2,FALSE)</f>
        <v>1</v>
      </c>
      <c r="D226" s="612" t="s">
        <v>63</v>
      </c>
      <c r="E226" s="612">
        <f>vlookup(A226,'TX Data'!$A$4:$D$259,3,FALSE)</f>
        <v>0</v>
      </c>
      <c r="F226" s="612">
        <f>vlookup(A226,'TX Data'!$A$4:$D$259,4,FALSE)</f>
        <v>0</v>
      </c>
      <c r="G226" s="612" t="s">
        <v>63</v>
      </c>
      <c r="H226" s="671" t="str">
        <f>vlookup(A226,'TX Data'!$I$2699:$J$2952,2,FALSE)</f>
        <v>NULL</v>
      </c>
      <c r="I226" s="614">
        <f>ifna(vlookup(A226,'TX Data'!$A$2319:$B$2521,2,FALSE),"NULL")</f>
        <v>0</v>
      </c>
      <c r="J226" s="615" t="s">
        <v>63</v>
      </c>
      <c r="K226" s="672" t="s">
        <v>63</v>
      </c>
      <c r="L226" s="671" t="str">
        <f>ifna(vlookup(A226,'TX Data'!$A$1498:$B$1702,2,FALSE),"NULL")</f>
        <v>NULL</v>
      </c>
      <c r="M226" s="614" t="s">
        <v>63</v>
      </c>
      <c r="N226" s="612" t="s">
        <v>63</v>
      </c>
      <c r="O226" s="612" t="s">
        <v>63</v>
      </c>
      <c r="P226" s="620">
        <f>ifna(vlookup(A226,'Population &amp; Church Numbers'!$A$2526:$D$2779,4,FALSE),"NULL")</f>
        <v>7</v>
      </c>
      <c r="Q226" s="674" t="s">
        <v>63</v>
      </c>
    </row>
    <row r="227">
      <c r="A227" s="609" t="s">
        <v>2159</v>
      </c>
      <c r="B227" s="610">
        <f t="array" ref="B227">VLOOKUP($A227,TX_DEMO,2,FALSE)</f>
        <v>31247</v>
      </c>
      <c r="C227" s="704">
        <f>vlookup(A227,'TX Data'!$A$4:$B$259,2,FALSE)</f>
        <v>19</v>
      </c>
      <c r="D227" s="612" t="s">
        <v>63</v>
      </c>
      <c r="E227" s="612">
        <f>vlookup(A227,'TX Data'!$A$4:$D$259,3,FALSE)</f>
        <v>10</v>
      </c>
      <c r="F227" s="612">
        <f>vlookup(A227,'TX Data'!$A$4:$D$259,4,FALSE)</f>
        <v>1</v>
      </c>
      <c r="G227" s="612" t="s">
        <v>63</v>
      </c>
      <c r="H227" s="671">
        <f>vlookup(A227,'TX Data'!$I$2699:$J$2952,2,FALSE)</f>
        <v>6</v>
      </c>
      <c r="I227" s="614">
        <f>ifna(vlookup(A227,'TX Data'!$A$2319:$B$2521,2,FALSE),"NULL")</f>
        <v>5</v>
      </c>
      <c r="J227" s="615" t="s">
        <v>63</v>
      </c>
      <c r="K227" s="672" t="s">
        <v>63</v>
      </c>
      <c r="L227" s="671">
        <f>ifna(vlookup(A227,'TX Data'!$A$1498:$B$1702,2,FALSE),"NULL")</f>
        <v>75</v>
      </c>
      <c r="M227" s="614" t="s">
        <v>63</v>
      </c>
      <c r="N227" s="612" t="s">
        <v>63</v>
      </c>
      <c r="O227" s="612" t="s">
        <v>63</v>
      </c>
      <c r="P227" s="620">
        <f>ifna(vlookup(A227,'Population &amp; Church Numbers'!$A$2526:$D$2779,4,FALSE),"NULL")</f>
        <v>47</v>
      </c>
      <c r="Q227" s="674" t="s">
        <v>63</v>
      </c>
    </row>
    <row r="228">
      <c r="A228" s="609" t="s">
        <v>2160</v>
      </c>
      <c r="B228" s="610">
        <f t="array" ref="B228">VLOOKUP($A228,TX_DEMO,2,FALSE)</f>
        <v>120003</v>
      </c>
      <c r="C228" s="704">
        <f>vlookup(A228,'TX Data'!$A$4:$B$259,2,FALSE)</f>
        <v>101</v>
      </c>
      <c r="D228" s="612" t="s">
        <v>63</v>
      </c>
      <c r="E228" s="612">
        <f>vlookup(A228,'TX Data'!$A$4:$D$259,3,FALSE)</f>
        <v>27</v>
      </c>
      <c r="F228" s="612">
        <f>vlookup(A228,'TX Data'!$A$4:$D$259,4,FALSE)</f>
        <v>56</v>
      </c>
      <c r="G228" s="612" t="s">
        <v>63</v>
      </c>
      <c r="H228" s="671">
        <f>vlookup(A228,'TX Data'!$I$2699:$J$2952,2,FALSE)</f>
        <v>55</v>
      </c>
      <c r="I228" s="614">
        <f>ifna(vlookup(A228,'TX Data'!$A$2319:$B$2521,2,FALSE),"NULL")</f>
        <v>37</v>
      </c>
      <c r="J228" s="615" t="s">
        <v>63</v>
      </c>
      <c r="K228" s="672" t="s">
        <v>63</v>
      </c>
      <c r="L228" s="671">
        <f>ifna(vlookup(A228,'TX Data'!$A$1498:$B$1702,2,FALSE),"NULL")</f>
        <v>392</v>
      </c>
      <c r="M228" s="614" t="s">
        <v>63</v>
      </c>
      <c r="N228" s="612" t="s">
        <v>63</v>
      </c>
      <c r="O228" s="612" t="s">
        <v>63</v>
      </c>
      <c r="P228" s="620">
        <f>ifna(vlookup(A228,'Population &amp; Church Numbers'!$A$2526:$D$2779,4,FALSE),"NULL")</f>
        <v>100</v>
      </c>
      <c r="Q228" s="674" t="s">
        <v>63</v>
      </c>
    </row>
    <row r="229">
      <c r="A229" s="609" t="s">
        <v>355</v>
      </c>
      <c r="B229" s="610">
        <f t="array" ref="B229">VLOOKUP($A229,TX_DEMO,2,FALSE)</f>
        <v>1290188</v>
      </c>
      <c r="C229" s="704">
        <f>vlookup(A229,'TX Data'!$A$4:$B$259,2,FALSE)</f>
        <v>442</v>
      </c>
      <c r="D229" s="612" t="s">
        <v>63</v>
      </c>
      <c r="E229" s="612">
        <f>vlookup(A229,'TX Data'!$A$4:$D$259,3,FALSE)</f>
        <v>157</v>
      </c>
      <c r="F229" s="612">
        <f>vlookup(A229,'TX Data'!$A$4:$D$259,4,FALSE)</f>
        <v>181</v>
      </c>
      <c r="G229" s="612" t="s">
        <v>63</v>
      </c>
      <c r="H229" s="671">
        <f>vlookup(A229,'TX Data'!$I$2699:$J$2952,2,FALSE)</f>
        <v>220</v>
      </c>
      <c r="I229" s="614">
        <f>ifna(vlookup(A229,'TX Data'!$A$2319:$B$2521,2,FALSE),"NULL")</f>
        <v>101</v>
      </c>
      <c r="J229" s="615" t="s">
        <v>63</v>
      </c>
      <c r="K229" s="672" t="s">
        <v>63</v>
      </c>
      <c r="L229" s="671">
        <f>ifna(vlookup(A229,'TX Data'!$A$1498:$B$1702,2,FALSE),"NULL")</f>
        <v>931</v>
      </c>
      <c r="M229" s="614" t="s">
        <v>63</v>
      </c>
      <c r="N229" s="612" t="s">
        <v>63</v>
      </c>
      <c r="O229" s="612" t="s">
        <v>63</v>
      </c>
      <c r="P229" s="620">
        <f>ifna(vlookup(A229,'Population &amp; Church Numbers'!$A$2526:$D$2779,4,FALSE),"NULL")</f>
        <v>424</v>
      </c>
      <c r="Q229" s="674" t="s">
        <v>63</v>
      </c>
    </row>
    <row r="230">
      <c r="A230" s="609" t="s">
        <v>376</v>
      </c>
      <c r="B230" s="610">
        <f t="array" ref="B230">VLOOKUP($A230,TX_DEMO,2,FALSE)</f>
        <v>13602</v>
      </c>
      <c r="C230" s="704">
        <f>vlookup(A230,'TX Data'!$A$4:$B$259,2,FALSE)</f>
        <v>24</v>
      </c>
      <c r="D230" s="612" t="s">
        <v>63</v>
      </c>
      <c r="E230" s="612">
        <f>vlookup(A230,'TX Data'!$A$4:$D$259,3,FALSE)</f>
        <v>2</v>
      </c>
      <c r="F230" s="612">
        <f>vlookup(A230,'TX Data'!$A$4:$D$259,4,FALSE)</f>
        <v>19</v>
      </c>
      <c r="G230" s="612" t="s">
        <v>63</v>
      </c>
      <c r="H230" s="671">
        <f>vlookup(A230,'TX Data'!$I$2699:$J$2952,2,FALSE)</f>
        <v>5</v>
      </c>
      <c r="I230" s="614">
        <f>ifna(vlookup(A230,'TX Data'!$A$2319:$B$2521,2,FALSE),"NULL")</f>
        <v>11</v>
      </c>
      <c r="J230" s="615" t="s">
        <v>63</v>
      </c>
      <c r="K230" s="672" t="s">
        <v>63</v>
      </c>
      <c r="L230" s="671">
        <f>ifna(vlookup(A230,'TX Data'!$A$1498:$B$1702,2,FALSE),"NULL")</f>
        <v>43</v>
      </c>
      <c r="M230" s="614" t="s">
        <v>63</v>
      </c>
      <c r="N230" s="612" t="s">
        <v>63</v>
      </c>
      <c r="O230" s="612" t="s">
        <v>63</v>
      </c>
      <c r="P230" s="620">
        <f>ifna(vlookup(A230,'Population &amp; Church Numbers'!$A$2526:$D$2779,4,FALSE),"NULL")</f>
        <v>40</v>
      </c>
      <c r="Q230" s="674" t="s">
        <v>63</v>
      </c>
    </row>
    <row r="231">
      <c r="A231" s="609" t="s">
        <v>2161</v>
      </c>
      <c r="B231" s="610">
        <f t="array" ref="B231">VLOOKUP($A231,TX_DEMO,2,FALSE)</f>
        <v>19798</v>
      </c>
      <c r="C231" s="704">
        <f>vlookup(A231,'TX Data'!$A$4:$B$259,2,FALSE)</f>
        <v>46</v>
      </c>
      <c r="D231" s="612" t="s">
        <v>63</v>
      </c>
      <c r="E231" s="612">
        <f>vlookup(A231,'TX Data'!$A$4:$D$259,3,FALSE)</f>
        <v>6</v>
      </c>
      <c r="F231" s="612">
        <f>vlookup(A231,'TX Data'!$A$4:$D$259,4,FALSE)</f>
        <v>30</v>
      </c>
      <c r="G231" s="612" t="s">
        <v>63</v>
      </c>
      <c r="H231" s="671">
        <f>vlookup(A231,'TX Data'!$I$2699:$J$2952,2,FALSE)</f>
        <v>6</v>
      </c>
      <c r="I231" s="614">
        <f>ifna(vlookup(A231,'TX Data'!$A$2319:$B$2521,2,FALSE),"NULL")</f>
        <v>10</v>
      </c>
      <c r="J231" s="615" t="s">
        <v>63</v>
      </c>
      <c r="K231" s="672" t="s">
        <v>63</v>
      </c>
      <c r="L231" s="671">
        <f>ifna(vlookup(A231,'TX Data'!$A$1498:$B$1702,2,FALSE),"NULL")</f>
        <v>59</v>
      </c>
      <c r="M231" s="614" t="s">
        <v>63</v>
      </c>
      <c r="N231" s="612" t="s">
        <v>63</v>
      </c>
      <c r="O231" s="612" t="s">
        <v>63</v>
      </c>
      <c r="P231" s="620">
        <f>ifna(vlookup(A231,'Population &amp; Church Numbers'!$A$2526:$D$2779,4,FALSE),"NULL")</f>
        <v>34</v>
      </c>
      <c r="Q231" s="674" t="s">
        <v>63</v>
      </c>
    </row>
    <row r="232">
      <c r="A232" s="609" t="s">
        <v>2162</v>
      </c>
      <c r="B232" s="610">
        <f t="array" ref="B232">VLOOKUP($A232,TX_DEMO,2,FALSE)</f>
        <v>40892</v>
      </c>
      <c r="C232" s="704">
        <f>vlookup(A232,'TX Data'!$A$4:$B$259,2,FALSE)</f>
        <v>113</v>
      </c>
      <c r="D232" s="612" t="s">
        <v>63</v>
      </c>
      <c r="E232" s="612">
        <f>vlookup(A232,'TX Data'!$A$4:$D$259,3,FALSE)</f>
        <v>49</v>
      </c>
      <c r="F232" s="612">
        <f>vlookup(A232,'TX Data'!$A$4:$D$259,4,FALSE)</f>
        <v>47</v>
      </c>
      <c r="G232" s="612" t="s">
        <v>63</v>
      </c>
      <c r="H232" s="671">
        <f>vlookup(A232,'TX Data'!$I$2699:$J$2952,2,FALSE)</f>
        <v>15</v>
      </c>
      <c r="I232" s="614">
        <f>ifna(vlookup(A232,'TX Data'!$A$2319:$B$2521,2,FALSE),"NULL")</f>
        <v>9</v>
      </c>
      <c r="J232" s="615" t="s">
        <v>63</v>
      </c>
      <c r="K232" s="672" t="s">
        <v>63</v>
      </c>
      <c r="L232" s="671">
        <f>ifna(vlookup(A232,'TX Data'!$A$1498:$B$1702,2,FALSE),"NULL")</f>
        <v>100</v>
      </c>
      <c r="M232" s="614" t="s">
        <v>63</v>
      </c>
      <c r="N232" s="612" t="s">
        <v>63</v>
      </c>
      <c r="O232" s="612" t="s">
        <v>63</v>
      </c>
      <c r="P232" s="620">
        <f>ifna(vlookup(A232,'Population &amp; Church Numbers'!$A$2526:$D$2779,4,FALSE),"NULL")</f>
        <v>58</v>
      </c>
      <c r="Q232" s="674" t="s">
        <v>63</v>
      </c>
    </row>
    <row r="233">
      <c r="A233" s="609" t="s">
        <v>2164</v>
      </c>
      <c r="B233" s="610">
        <f t="array" ref="B233">VLOOKUP($A233,TX_DEMO,2,FALSE)</f>
        <v>3308</v>
      </c>
      <c r="C233" s="704">
        <f>vlookup(A233,'TX Data'!$A$4:$B$259,2,FALSE)</f>
        <v>12</v>
      </c>
      <c r="D233" s="612" t="s">
        <v>63</v>
      </c>
      <c r="E233" s="612">
        <f>vlookup(A233,'TX Data'!$A$4:$D$259,3,FALSE)</f>
        <v>1</v>
      </c>
      <c r="F233" s="612">
        <f>vlookup(A233,'TX Data'!$A$4:$D$259,4,FALSE)</f>
        <v>11</v>
      </c>
      <c r="G233" s="612" t="s">
        <v>63</v>
      </c>
      <c r="H233" s="671" t="str">
        <f>vlookup(A233,'TX Data'!$I$2699:$J$2952,2,FALSE)</f>
        <v>NULL</v>
      </c>
      <c r="I233" s="614" t="str">
        <f>ifna(vlookup(A233,'TX Data'!$A$2319:$B$2521,2,FALSE),"NULL")</f>
        <v>NULL</v>
      </c>
      <c r="J233" s="615" t="s">
        <v>63</v>
      </c>
      <c r="K233" s="672" t="s">
        <v>63</v>
      </c>
      <c r="L233" s="671" t="str">
        <f>ifna(vlookup(A233,'TX Data'!$A$1498:$B$1702,2,FALSE),"NULL")</f>
        <v>NULL</v>
      </c>
      <c r="M233" s="614" t="s">
        <v>63</v>
      </c>
      <c r="N233" s="612" t="s">
        <v>63</v>
      </c>
      <c r="O233" s="612" t="s">
        <v>63</v>
      </c>
      <c r="P233" s="620">
        <f>ifna(vlookup(A233,'Population &amp; Church Numbers'!$A$2526:$D$2779,4,FALSE),"NULL")</f>
        <v>4</v>
      </c>
      <c r="Q233" s="674" t="s">
        <v>63</v>
      </c>
    </row>
    <row r="234">
      <c r="A234" s="609" t="s">
        <v>2166</v>
      </c>
      <c r="B234" s="610">
        <f t="array" ref="B234">VLOOKUP($A234,TX_DEMO,2,FALSE)</f>
        <v>24564</v>
      </c>
      <c r="C234" s="704">
        <f>vlookup(A234,'TX Data'!$A$4:$B$259,2,FALSE)</f>
        <v>45</v>
      </c>
      <c r="D234" s="612" t="s">
        <v>63</v>
      </c>
      <c r="E234" s="612">
        <f>vlookup(A234,'TX Data'!$A$4:$D$259,3,FALSE)</f>
        <v>14</v>
      </c>
      <c r="F234" s="612">
        <f>vlookup(A234,'TX Data'!$A$4:$D$259,4,FALSE)</f>
        <v>18</v>
      </c>
      <c r="G234" s="612" t="s">
        <v>63</v>
      </c>
      <c r="H234" s="671">
        <f>vlookup(A234,'TX Data'!$I$2699:$J$2952,2,FALSE)</f>
        <v>5</v>
      </c>
      <c r="I234" s="614">
        <f>ifna(vlookup(A234,'TX Data'!$A$2319:$B$2521,2,FALSE),"NULL")</f>
        <v>3</v>
      </c>
      <c r="J234" s="615" t="s">
        <v>63</v>
      </c>
      <c r="K234" s="672" t="s">
        <v>63</v>
      </c>
      <c r="L234" s="671">
        <f>ifna(vlookup(A234,'TX Data'!$A$1498:$B$1702,2,FALSE),"NULL")</f>
        <v>96</v>
      </c>
      <c r="M234" s="614" t="s">
        <v>63</v>
      </c>
      <c r="N234" s="612" t="s">
        <v>63</v>
      </c>
      <c r="O234" s="612" t="s">
        <v>63</v>
      </c>
      <c r="P234" s="620">
        <f>ifna(vlookup(A234,'Population &amp; Church Numbers'!$A$2526:$D$2779,4,FALSE),"NULL")</f>
        <v>39</v>
      </c>
      <c r="Q234" s="674" t="s">
        <v>63</v>
      </c>
    </row>
    <row r="235">
      <c r="A235" s="609" t="s">
        <v>2167</v>
      </c>
      <c r="B235" s="610">
        <f t="array" ref="B235">VLOOKUP($A235,TX_DEMO,2,FALSE)</f>
        <v>47586</v>
      </c>
      <c r="C235" s="704">
        <f>vlookup(A235,'TX Data'!$A$4:$B$259,2,FALSE)</f>
        <v>76</v>
      </c>
      <c r="D235" s="612" t="s">
        <v>63</v>
      </c>
      <c r="E235" s="612">
        <f>vlookup(A235,'TX Data'!$A$4:$D$259,3,FALSE)</f>
        <v>34</v>
      </c>
      <c r="F235" s="612">
        <f>vlookup(A235,'TX Data'!$A$4:$D$259,4,FALSE)</f>
        <v>29</v>
      </c>
      <c r="G235" s="612" t="s">
        <v>63</v>
      </c>
      <c r="H235" s="671">
        <f>vlookup(A235,'TX Data'!$I$2699:$J$2952,2,FALSE)</f>
        <v>4</v>
      </c>
      <c r="I235" s="614">
        <f>ifna(vlookup(A235,'TX Data'!$A$2319:$B$2521,2,FALSE),"NULL")</f>
        <v>11</v>
      </c>
      <c r="J235" s="615" t="s">
        <v>63</v>
      </c>
      <c r="K235" s="672" t="s">
        <v>63</v>
      </c>
      <c r="L235" s="671">
        <f>ifna(vlookup(A235,'TX Data'!$A$1498:$B$1702,2,FALSE),"NULL")</f>
        <v>153</v>
      </c>
      <c r="M235" s="614" t="s">
        <v>63</v>
      </c>
      <c r="N235" s="612" t="s">
        <v>63</v>
      </c>
      <c r="O235" s="612" t="s">
        <v>63</v>
      </c>
      <c r="P235" s="620">
        <f>ifna(vlookup(A235,'Population &amp; Church Numbers'!$A$2526:$D$2779,4,FALSE),"NULL")</f>
        <v>26</v>
      </c>
      <c r="Q235" s="674" t="s">
        <v>63</v>
      </c>
    </row>
    <row r="236">
      <c r="A236" s="609" t="s">
        <v>2168</v>
      </c>
      <c r="B236" s="610">
        <f t="array" ref="B236">VLOOKUP($A236,TX_DEMO,2,FALSE)</f>
        <v>59541</v>
      </c>
      <c r="C236" s="704">
        <f>vlookup(A236,'TX Data'!$A$4:$B$259,2,FALSE)</f>
        <v>222</v>
      </c>
      <c r="D236" s="612" t="s">
        <v>63</v>
      </c>
      <c r="E236" s="612">
        <f>vlookup(A236,'TX Data'!$A$4:$D$259,3,FALSE)</f>
        <v>91</v>
      </c>
      <c r="F236" s="612">
        <f>vlookup(A236,'TX Data'!$A$4:$D$259,4,FALSE)</f>
        <v>85</v>
      </c>
      <c r="G236" s="612" t="s">
        <v>63</v>
      </c>
      <c r="H236" s="671">
        <f>vlookup(A236,'TX Data'!$I$2699:$J$2952,2,FALSE)</f>
        <v>21</v>
      </c>
      <c r="I236" s="614">
        <f>ifna(vlookup(A236,'TX Data'!$A$2319:$B$2521,2,FALSE),"NULL")</f>
        <v>27</v>
      </c>
      <c r="J236" s="615" t="s">
        <v>63</v>
      </c>
      <c r="K236" s="672" t="s">
        <v>63</v>
      </c>
      <c r="L236" s="671">
        <f>ifna(vlookup(A236,'TX Data'!$A$1498:$B$1702,2,FALSE),"NULL")</f>
        <v>106</v>
      </c>
      <c r="M236" s="614" t="s">
        <v>63</v>
      </c>
      <c r="N236" s="612" t="s">
        <v>63</v>
      </c>
      <c r="O236" s="612" t="s">
        <v>63</v>
      </c>
      <c r="P236" s="620">
        <f>ifna(vlookup(A236,'Population &amp; Church Numbers'!$A$2526:$D$2779,4,FALSE),"NULL")</f>
        <v>69</v>
      </c>
      <c r="Q236" s="674" t="s">
        <v>63</v>
      </c>
    </row>
    <row r="237">
      <c r="A237" s="609" t="s">
        <v>2169</v>
      </c>
      <c r="B237" s="610">
        <f t="array" ref="B237">VLOOKUP($A237,TX_DEMO,2,FALSE)</f>
        <v>91319</v>
      </c>
      <c r="C237" s="704">
        <f>vlookup(A237,'TX Data'!$A$4:$B$259,2,FALSE)</f>
        <v>204</v>
      </c>
      <c r="D237" s="612" t="s">
        <v>63</v>
      </c>
      <c r="E237" s="612">
        <f>vlookup(A237,'TX Data'!$A$4:$D$259,3,FALSE)</f>
        <v>86</v>
      </c>
      <c r="F237" s="612">
        <f>vlookup(A237,'TX Data'!$A$4:$D$259,4,FALSE)</f>
        <v>63</v>
      </c>
      <c r="G237" s="612" t="s">
        <v>63</v>
      </c>
      <c r="H237" s="671">
        <f>vlookup(A237,'TX Data'!$I$2699:$J$2952,2,FALSE)</f>
        <v>15</v>
      </c>
      <c r="I237" s="614">
        <f>ifna(vlookup(A237,'TX Data'!$A$2319:$B$2521,2,FALSE),"NULL")</f>
        <v>24</v>
      </c>
      <c r="J237" s="615" t="s">
        <v>63</v>
      </c>
      <c r="K237" s="672" t="s">
        <v>63</v>
      </c>
      <c r="L237" s="671">
        <f>ifna(vlookup(A237,'TX Data'!$A$1498:$B$1702,2,FALSE),"NULL")</f>
        <v>249</v>
      </c>
      <c r="M237" s="614" t="s">
        <v>63</v>
      </c>
      <c r="N237" s="612" t="s">
        <v>63</v>
      </c>
      <c r="O237" s="612" t="s">
        <v>63</v>
      </c>
      <c r="P237" s="620">
        <f>ifna(vlookup(A237,'Population &amp; Church Numbers'!$A$2526:$D$2779,4,FALSE),"NULL")</f>
        <v>72</v>
      </c>
      <c r="Q237" s="674" t="s">
        <v>63</v>
      </c>
    </row>
    <row r="238">
      <c r="A238" s="609" t="s">
        <v>175</v>
      </c>
      <c r="B238" s="610">
        <f t="array" ref="B238">VLOOKUP($A238,TX_DEMO,2,FALSE)</f>
        <v>76400</v>
      </c>
      <c r="C238" s="704">
        <f>vlookup(A238,'TX Data'!$A$4:$B$259,2,FALSE)</f>
        <v>62</v>
      </c>
      <c r="D238" s="612" t="s">
        <v>63</v>
      </c>
      <c r="E238" s="612">
        <f>vlookup(A238,'TX Data'!$A$4:$D$259,3,FALSE)</f>
        <v>22</v>
      </c>
      <c r="F238" s="612">
        <f>vlookup(A238,'TX Data'!$A$4:$D$259,4,FALSE)</f>
        <v>32</v>
      </c>
      <c r="G238" s="612" t="s">
        <v>63</v>
      </c>
      <c r="H238" s="671">
        <f>vlookup(A238,'TX Data'!$I$2699:$J$2952,2,FALSE)</f>
        <v>12</v>
      </c>
      <c r="I238" s="614">
        <f>ifna(vlookup(A238,'TX Data'!$A$2319:$B$2521,2,FALSE),"NULL")</f>
        <v>2</v>
      </c>
      <c r="J238" s="615" t="s">
        <v>63</v>
      </c>
      <c r="K238" s="672" t="s">
        <v>63</v>
      </c>
      <c r="L238" s="671">
        <f>ifna(vlookup(A238,'TX Data'!$A$1498:$B$1702,2,FALSE),"NULL")</f>
        <v>49</v>
      </c>
      <c r="M238" s="614" t="s">
        <v>63</v>
      </c>
      <c r="N238" s="612" t="s">
        <v>63</v>
      </c>
      <c r="O238" s="612" t="s">
        <v>63</v>
      </c>
      <c r="P238" s="620">
        <f>ifna(vlookup(A238,'Population &amp; Church Numbers'!$A$2526:$D$2779,4,FALSE),"NULL")</f>
        <v>56</v>
      </c>
      <c r="Q238" s="674" t="s">
        <v>63</v>
      </c>
    </row>
    <row r="239">
      <c r="A239" s="609" t="s">
        <v>2170</v>
      </c>
      <c r="B239" s="610">
        <f t="array" ref="B239">VLOOKUP($A239,TX_DEMO,2,FALSE)</f>
        <v>56794</v>
      </c>
      <c r="C239" s="704">
        <f>vlookup(A239,'TX Data'!$A$4:$B$259,2,FALSE)</f>
        <v>43</v>
      </c>
      <c r="D239" s="612" t="s">
        <v>63</v>
      </c>
      <c r="E239" s="612">
        <f>vlookup(A239,'TX Data'!$A$4:$D$259,3,FALSE)</f>
        <v>20</v>
      </c>
      <c r="F239" s="612">
        <f>vlookup(A239,'TX Data'!$A$4:$D$259,4,FALSE)</f>
        <v>9</v>
      </c>
      <c r="G239" s="612" t="s">
        <v>63</v>
      </c>
      <c r="H239" s="671">
        <f>vlookup(A239,'TX Data'!$I$2699:$J$2952,2,FALSE)</f>
        <v>16</v>
      </c>
      <c r="I239" s="614">
        <f>ifna(vlookup(A239,'TX Data'!$A$2319:$B$2521,2,FALSE),"NULL")</f>
        <v>2</v>
      </c>
      <c r="J239" s="615" t="s">
        <v>63</v>
      </c>
      <c r="K239" s="672" t="s">
        <v>63</v>
      </c>
      <c r="L239" s="671">
        <f>ifna(vlookup(A239,'TX Data'!$A$1498:$B$1702,2,FALSE),"NULL")</f>
        <v>35</v>
      </c>
      <c r="M239" s="614" t="s">
        <v>63</v>
      </c>
      <c r="N239" s="612" t="s">
        <v>63</v>
      </c>
      <c r="O239" s="612" t="s">
        <v>63</v>
      </c>
      <c r="P239" s="620">
        <f>ifna(vlookup(A239,'Population &amp; Church Numbers'!$A$2526:$D$2779,4,FALSE),"NULL")</f>
        <v>35</v>
      </c>
      <c r="Q239" s="674" t="s">
        <v>63</v>
      </c>
    </row>
    <row r="240">
      <c r="A240" s="609" t="s">
        <v>1669</v>
      </c>
      <c r="B240" s="610">
        <f t="array" ref="B240">VLOOKUP($A240,TX_DEMO,2,FALSE)</f>
        <v>11644</v>
      </c>
      <c r="C240" s="704">
        <f>vlookup(A240,'TX Data'!$A$4:$B$259,2,FALSE)</f>
        <v>52</v>
      </c>
      <c r="D240" s="612" t="s">
        <v>63</v>
      </c>
      <c r="E240" s="612">
        <f>vlookup(A240,'TX Data'!$A$4:$D$259,3,FALSE)</f>
        <v>20</v>
      </c>
      <c r="F240" s="612">
        <f>vlookup(A240,'TX Data'!$A$4:$D$259,4,FALSE)</f>
        <v>18</v>
      </c>
      <c r="G240" s="612" t="s">
        <v>63</v>
      </c>
      <c r="H240" s="671">
        <f>vlookup(A240,'TX Data'!$I$2699:$J$2952,2,FALSE)</f>
        <v>1</v>
      </c>
      <c r="I240" s="614">
        <f>ifna(vlookup(A240,'TX Data'!$A$2319:$B$2521,2,FALSE),"NULL")</f>
        <v>8</v>
      </c>
      <c r="J240" s="615" t="s">
        <v>63</v>
      </c>
      <c r="K240" s="672" t="s">
        <v>63</v>
      </c>
      <c r="L240" s="671">
        <f>ifna(vlookup(A240,'TX Data'!$A$1498:$B$1702,2,FALSE),"NULL")</f>
        <v>28</v>
      </c>
      <c r="M240" s="614" t="s">
        <v>63</v>
      </c>
      <c r="N240" s="612" t="s">
        <v>63</v>
      </c>
      <c r="O240" s="612" t="s">
        <v>63</v>
      </c>
      <c r="P240" s="620">
        <f>ifna(vlookup(A240,'Population &amp; Church Numbers'!$A$2526:$D$2779,4,FALSE),"NULL")</f>
        <v>15</v>
      </c>
      <c r="Q240" s="674" t="s">
        <v>63</v>
      </c>
    </row>
    <row r="241">
      <c r="A241" s="609" t="s">
        <v>119</v>
      </c>
      <c r="B241" s="610">
        <f t="array" ref="B241">VLOOKUP($A241,TX_DEMO,2,FALSE)</f>
        <v>35805</v>
      </c>
      <c r="C241" s="704">
        <f>vlookup(A241,'TX Data'!$A$4:$B$259,2,FALSE)</f>
        <v>62</v>
      </c>
      <c r="D241" s="612" t="s">
        <v>63</v>
      </c>
      <c r="E241" s="612">
        <f>vlookup(A241,'TX Data'!$A$4:$D$259,3,FALSE)</f>
        <v>15</v>
      </c>
      <c r="F241" s="612">
        <f>vlookup(A241,'TX Data'!$A$4:$D$259,4,FALSE)</f>
        <v>38</v>
      </c>
      <c r="G241" s="612" t="s">
        <v>63</v>
      </c>
      <c r="H241" s="671">
        <f>vlookup(A241,'TX Data'!$I$2699:$J$2952,2,FALSE)</f>
        <v>9</v>
      </c>
      <c r="I241" s="614">
        <f>ifna(vlookup(A241,'TX Data'!$A$2319:$B$2521,2,FALSE),"NULL")</f>
        <v>5</v>
      </c>
      <c r="J241" s="615" t="s">
        <v>63</v>
      </c>
      <c r="K241" s="672" t="s">
        <v>63</v>
      </c>
      <c r="L241" s="671">
        <f>ifna(vlookup(A241,'TX Data'!$A$1498:$B$1702,2,FALSE),"NULL")</f>
        <v>48</v>
      </c>
      <c r="M241" s="614" t="s">
        <v>63</v>
      </c>
      <c r="N241" s="612" t="s">
        <v>63</v>
      </c>
      <c r="O241" s="612" t="s">
        <v>63</v>
      </c>
      <c r="P241" s="620">
        <f>ifna(vlookup(A241,'Population &amp; Church Numbers'!$A$2526:$D$2779,4,FALSE),"NULL")</f>
        <v>56</v>
      </c>
      <c r="Q241" s="674" t="s">
        <v>63</v>
      </c>
    </row>
    <row r="242">
      <c r="A242" s="609" t="s">
        <v>2172</v>
      </c>
      <c r="B242" s="610">
        <f t="array" ref="B242">VLOOKUP($A242,TX_DEMO,2,FALSE)</f>
        <v>267114</v>
      </c>
      <c r="C242" s="704">
        <f>vlookup(A242,'TX Data'!$A$4:$B$259,2,FALSE)</f>
        <v>539</v>
      </c>
      <c r="D242" s="612" t="s">
        <v>63</v>
      </c>
      <c r="E242" s="612">
        <f>vlookup(A242,'TX Data'!$A$4:$D$259,3,FALSE)</f>
        <v>257</v>
      </c>
      <c r="F242" s="612">
        <f>vlookup(A242,'TX Data'!$A$4:$D$259,4,FALSE)</f>
        <v>225</v>
      </c>
      <c r="G242" s="612" t="s">
        <v>63</v>
      </c>
      <c r="H242" s="671">
        <f>vlookup(A242,'TX Data'!$I$2699:$J$2952,2,FALSE)</f>
        <v>64</v>
      </c>
      <c r="I242" s="614">
        <f>ifna(vlookup(A242,'TX Data'!$A$2319:$B$2521,2,FALSE),"NULL")</f>
        <v>63</v>
      </c>
      <c r="J242" s="615" t="s">
        <v>63</v>
      </c>
      <c r="K242" s="672" t="s">
        <v>63</v>
      </c>
      <c r="L242" s="671">
        <f>ifna(vlookup(A242,'TX Data'!$A$1498:$B$1702,2,FALSE),"NULL")</f>
        <v>776</v>
      </c>
      <c r="M242" s="614" t="s">
        <v>63</v>
      </c>
      <c r="N242" s="612" t="s">
        <v>63</v>
      </c>
      <c r="O242" s="612" t="s">
        <v>63</v>
      </c>
      <c r="P242" s="620">
        <f>ifna(vlookup(A242,'Population &amp; Church Numbers'!$A$2526:$D$2779,4,FALSE),"NULL")</f>
        <v>66</v>
      </c>
      <c r="Q242" s="674" t="s">
        <v>63</v>
      </c>
    </row>
    <row r="243">
      <c r="A243" s="609" t="s">
        <v>2173</v>
      </c>
      <c r="B243" s="610">
        <f t="array" ref="B243">VLOOKUP($A243,TX_DEMO,2,FALSE)</f>
        <v>41570</v>
      </c>
      <c r="C243" s="704">
        <f>vlookup(A243,'TX Data'!$A$4:$B$259,2,FALSE)</f>
        <v>79</v>
      </c>
      <c r="D243" s="612" t="s">
        <v>63</v>
      </c>
      <c r="E243" s="612">
        <f>vlookup(A243,'TX Data'!$A$4:$D$259,3,FALSE)</f>
        <v>30</v>
      </c>
      <c r="F243" s="612">
        <f>vlookup(A243,'TX Data'!$A$4:$D$259,4,FALSE)</f>
        <v>45</v>
      </c>
      <c r="G243" s="612" t="s">
        <v>63</v>
      </c>
      <c r="H243" s="671">
        <f>vlookup(A243,'TX Data'!$I$2699:$J$2952,2,FALSE)</f>
        <v>10</v>
      </c>
      <c r="I243" s="614">
        <f>ifna(vlookup(A243,'TX Data'!$A$2319:$B$2521,2,FALSE),"NULL")</f>
        <v>5</v>
      </c>
      <c r="J243" s="615" t="s">
        <v>63</v>
      </c>
      <c r="K243" s="672" t="s">
        <v>63</v>
      </c>
      <c r="L243" s="671">
        <f>ifna(vlookup(A243,'TX Data'!$A$1498:$B$1702,2,FALSE),"NULL")</f>
        <v>148</v>
      </c>
      <c r="M243" s="614" t="s">
        <v>63</v>
      </c>
      <c r="N243" s="612" t="s">
        <v>63</v>
      </c>
      <c r="O243" s="612" t="s">
        <v>63</v>
      </c>
      <c r="P243" s="620">
        <f>ifna(vlookup(A243,'Population &amp; Church Numbers'!$A$2526:$D$2779,4,FALSE),"NULL")</f>
        <v>63</v>
      </c>
      <c r="Q243" s="674" t="s">
        <v>63</v>
      </c>
    </row>
    <row r="244">
      <c r="A244" s="609" t="s">
        <v>649</v>
      </c>
      <c r="B244" s="610">
        <f t="array" ref="B244">VLOOKUP($A244,TX_DEMO,2,FALSE)</f>
        <v>4990</v>
      </c>
      <c r="C244" s="704">
        <f>vlookup(A244,'TX Data'!$A$4:$B$259,2,FALSE)</f>
        <v>12</v>
      </c>
      <c r="D244" s="612" t="s">
        <v>63</v>
      </c>
      <c r="E244" s="612">
        <f>vlookup(A244,'TX Data'!$A$4:$D$259,3,FALSE)</f>
        <v>7</v>
      </c>
      <c r="F244" s="612">
        <f>vlookup(A244,'TX Data'!$A$4:$D$259,4,FALSE)</f>
        <v>4</v>
      </c>
      <c r="G244" s="612" t="s">
        <v>63</v>
      </c>
      <c r="H244" s="671" t="str">
        <f>vlookup(A244,'TX Data'!$I$2699:$J$2952,2,FALSE)</f>
        <v>NULL</v>
      </c>
      <c r="I244" s="614" t="str">
        <f>ifna(vlookup(A244,'TX Data'!$A$2319:$B$2521,2,FALSE),"NULL")</f>
        <v>NULL</v>
      </c>
      <c r="J244" s="615" t="s">
        <v>63</v>
      </c>
      <c r="K244" s="672" t="s">
        <v>63</v>
      </c>
      <c r="L244" s="671">
        <f>ifna(vlookup(A244,'TX Data'!$A$1498:$B$1702,2,FALSE),"NULL")</f>
        <v>28</v>
      </c>
      <c r="M244" s="614" t="s">
        <v>63</v>
      </c>
      <c r="N244" s="612" t="s">
        <v>63</v>
      </c>
      <c r="O244" s="612" t="s">
        <v>63</v>
      </c>
      <c r="P244" s="620">
        <f>ifna(vlookup(A244,'Population &amp; Church Numbers'!$A$2526:$D$2779,4,FALSE),"NULL")</f>
        <v>14</v>
      </c>
      <c r="Q244" s="674" t="s">
        <v>63</v>
      </c>
    </row>
    <row r="245">
      <c r="A245" s="609" t="s">
        <v>1020</v>
      </c>
      <c r="B245" s="610">
        <f t="array" ref="B245">VLOOKUP($A245,TX_DEMO,2,FALSE)</f>
        <v>129350</v>
      </c>
      <c r="C245" s="704">
        <f>vlookup(A245,'TX Data'!$A$4:$B$259,2,FALSE)</f>
        <v>474</v>
      </c>
      <c r="D245" s="612" t="s">
        <v>63</v>
      </c>
      <c r="E245" s="612">
        <f>vlookup(A245,'TX Data'!$A$4:$D$259,3,FALSE)</f>
        <v>207</v>
      </c>
      <c r="F245" s="612">
        <f>vlookup(A245,'TX Data'!$A$4:$D$259,4,FALSE)</f>
        <v>180</v>
      </c>
      <c r="G245" s="612" t="s">
        <v>63</v>
      </c>
      <c r="H245" s="671">
        <f>vlookup(A245,'TX Data'!$I$2699:$J$2952,2,FALSE)</f>
        <v>77</v>
      </c>
      <c r="I245" s="614">
        <f>ifna(vlookup(A245,'TX Data'!$A$2319:$B$2521,2,FALSE),"NULL")</f>
        <v>45</v>
      </c>
      <c r="J245" s="615" t="s">
        <v>63</v>
      </c>
      <c r="K245" s="672" t="s">
        <v>63</v>
      </c>
      <c r="L245" s="671">
        <f>ifna(vlookup(A245,'TX Data'!$A$1498:$B$1702,2,FALSE),"NULL")</f>
        <v>506</v>
      </c>
      <c r="M245" s="614" t="s">
        <v>63</v>
      </c>
      <c r="N245" s="612" t="s">
        <v>63</v>
      </c>
      <c r="O245" s="612" t="s">
        <v>63</v>
      </c>
      <c r="P245" s="620">
        <f>ifna(vlookup(A245,'Population &amp; Church Numbers'!$A$2526:$D$2779,4,FALSE),"NULL")</f>
        <v>134</v>
      </c>
      <c r="Q245" s="674" t="s">
        <v>63</v>
      </c>
    </row>
    <row r="246">
      <c r="A246" s="609" t="s">
        <v>2174</v>
      </c>
      <c r="B246" s="610">
        <f t="array" ref="B246">VLOOKUP($A246,TX_DEMO,2,FALSE)</f>
        <v>12887</v>
      </c>
      <c r="C246" s="704">
        <f>vlookup(A246,'TX Data'!$A$4:$B$259,2,FALSE)</f>
        <v>65</v>
      </c>
      <c r="D246" s="612" t="s">
        <v>63</v>
      </c>
      <c r="E246" s="612">
        <f>vlookup(A246,'TX Data'!$A$4:$D$259,3,FALSE)</f>
        <v>33</v>
      </c>
      <c r="F246" s="612">
        <f>vlookup(A246,'TX Data'!$A$4:$D$259,4,FALSE)</f>
        <v>21</v>
      </c>
      <c r="G246" s="612" t="s">
        <v>63</v>
      </c>
      <c r="H246" s="671">
        <f>vlookup(A246,'TX Data'!$I$2699:$J$2952,2,FALSE)</f>
        <v>7</v>
      </c>
      <c r="I246" s="614">
        <f>ifna(vlookup(A246,'TX Data'!$A$2319:$B$2521,2,FALSE),"NULL")</f>
        <v>10</v>
      </c>
      <c r="J246" s="615" t="s">
        <v>63</v>
      </c>
      <c r="K246" s="672" t="s">
        <v>63</v>
      </c>
      <c r="L246" s="671">
        <f>ifna(vlookup(A246,'TX Data'!$A$1498:$B$1702,2,FALSE),"NULL")</f>
        <v>34</v>
      </c>
      <c r="M246" s="614" t="s">
        <v>63</v>
      </c>
      <c r="N246" s="612" t="s">
        <v>63</v>
      </c>
      <c r="O246" s="612" t="s">
        <v>63</v>
      </c>
      <c r="P246" s="620">
        <f>ifna(vlookup(A246,'Population &amp; Church Numbers'!$A$2526:$D$2779,4,FALSE),"NULL")</f>
        <v>16</v>
      </c>
      <c r="Q246" s="674" t="s">
        <v>63</v>
      </c>
    </row>
    <row r="247">
      <c r="A247" s="609" t="s">
        <v>2176</v>
      </c>
      <c r="B247" s="610">
        <f t="array" ref="B247">VLOOKUP($A247,TX_DEMO,2,FALSE)</f>
        <v>20164</v>
      </c>
      <c r="C247" s="704">
        <f>vlookup(A247,'TX Data'!$A$4:$B$259,2,FALSE)</f>
        <v>47</v>
      </c>
      <c r="D247" s="612" t="s">
        <v>63</v>
      </c>
      <c r="E247" s="612">
        <f>vlookup(A247,'TX Data'!$A$4:$D$259,3,FALSE)</f>
        <v>22</v>
      </c>
      <c r="F247" s="612">
        <f>vlookup(A247,'TX Data'!$A$4:$D$259,4,FALSE)</f>
        <v>21</v>
      </c>
      <c r="G247" s="612" t="s">
        <v>63</v>
      </c>
      <c r="H247" s="671" t="str">
        <f>vlookup(A247,'TX Data'!$I$2699:$J$2952,2,FALSE)</f>
        <v>NULL</v>
      </c>
      <c r="I247" s="614">
        <f>ifna(vlookup(A247,'TX Data'!$A$2319:$B$2521,2,FALSE),"NULL")</f>
        <v>4</v>
      </c>
      <c r="J247" s="615" t="s">
        <v>63</v>
      </c>
      <c r="K247" s="672" t="s">
        <v>63</v>
      </c>
      <c r="L247" s="671">
        <f>ifna(vlookup(A247,'TX Data'!$A$1498:$B$1702,2,FALSE),"NULL")</f>
        <v>88</v>
      </c>
      <c r="M247" s="614" t="s">
        <v>63</v>
      </c>
      <c r="N247" s="612" t="s">
        <v>63</v>
      </c>
      <c r="O247" s="612" t="s">
        <v>63</v>
      </c>
      <c r="P247" s="620">
        <f>ifna(vlookup(A247,'Population &amp; Church Numbers'!$A$2526:$D$2779,4,FALSE),"NULL")</f>
        <v>14</v>
      </c>
      <c r="Q247" s="674" t="s">
        <v>63</v>
      </c>
    </row>
    <row r="248">
      <c r="A248" s="609" t="s">
        <v>627</v>
      </c>
      <c r="B248" s="610">
        <f t="array" ref="B248">VLOOKUP($A248,TX_DEMO,2,FALSE)</f>
        <v>609017</v>
      </c>
      <c r="C248" s="704">
        <f>vlookup(A248,'TX Data'!$A$4:$B$259,2,FALSE)</f>
        <v>381</v>
      </c>
      <c r="D248" s="612" t="s">
        <v>63</v>
      </c>
      <c r="E248" s="612">
        <f>vlookup(A248,'TX Data'!$A$4:$D$259,3,FALSE)</f>
        <v>100</v>
      </c>
      <c r="F248" s="612">
        <f>vlookup(A248,'TX Data'!$A$4:$D$259,4,FALSE)</f>
        <v>195</v>
      </c>
      <c r="G248" s="612" t="s">
        <v>63</v>
      </c>
      <c r="H248" s="671">
        <f>vlookup(A248,'TX Data'!$I$2699:$J$2952,2,FALSE)</f>
        <v>178</v>
      </c>
      <c r="I248" s="614">
        <f>ifna(vlookup(A248,'TX Data'!$A$2319:$B$2521,2,FALSE),"NULL")</f>
        <v>32</v>
      </c>
      <c r="J248" s="615" t="s">
        <v>63</v>
      </c>
      <c r="K248" s="672" t="s">
        <v>63</v>
      </c>
      <c r="L248" s="671">
        <f>ifna(vlookup(A248,'TX Data'!$A$1498:$B$1702,2,FALSE),"NULL")</f>
        <v>316</v>
      </c>
      <c r="M248" s="614" t="s">
        <v>63</v>
      </c>
      <c r="N248" s="612" t="s">
        <v>63</v>
      </c>
      <c r="O248" s="612" t="s">
        <v>63</v>
      </c>
      <c r="P248" s="620">
        <f>ifna(vlookup(A248,'Population &amp; Church Numbers'!$A$2526:$D$2779,4,FALSE),"NULL")</f>
        <v>203</v>
      </c>
      <c r="Q248" s="674" t="s">
        <v>63</v>
      </c>
    </row>
    <row r="249">
      <c r="A249" s="609" t="s">
        <v>1021</v>
      </c>
      <c r="B249" s="610">
        <f t="array" ref="B249">VLOOKUP($A249,TX_DEMO,2,FALSE)</f>
        <v>49753</v>
      </c>
      <c r="C249" s="704">
        <f>vlookup(A249,'TX Data'!$A$4:$B$259,2,FALSE)</f>
        <v>80</v>
      </c>
      <c r="D249" s="612" t="s">
        <v>63</v>
      </c>
      <c r="E249" s="612">
        <f>vlookup(A249,'TX Data'!$A$4:$D$259,3,FALSE)</f>
        <v>25</v>
      </c>
      <c r="F249" s="612">
        <f>vlookup(A249,'TX Data'!$A$4:$D$259,4,FALSE)</f>
        <v>27</v>
      </c>
      <c r="G249" s="612" t="s">
        <v>63</v>
      </c>
      <c r="H249" s="671">
        <f>vlookup(A249,'TX Data'!$I$2699:$J$2952,2,FALSE)</f>
        <v>16</v>
      </c>
      <c r="I249" s="614">
        <f>ifna(vlookup(A249,'TX Data'!$A$2319:$B$2521,2,FALSE),"NULL")</f>
        <v>8</v>
      </c>
      <c r="J249" s="615" t="s">
        <v>63</v>
      </c>
      <c r="K249" s="672" t="s">
        <v>63</v>
      </c>
      <c r="L249" s="671">
        <f>ifna(vlookup(A249,'TX Data'!$A$1498:$B$1702,2,FALSE),"NULL")</f>
        <v>91</v>
      </c>
      <c r="M249" s="614" t="s">
        <v>63</v>
      </c>
      <c r="N249" s="612" t="s">
        <v>63</v>
      </c>
      <c r="O249" s="612" t="s">
        <v>63</v>
      </c>
      <c r="P249" s="620">
        <f>ifna(vlookup(A249,'Population &amp; Church Numbers'!$A$2526:$D$2779,4,FALSE),"NULL")</f>
        <v>31</v>
      </c>
      <c r="Q249" s="674" t="s">
        <v>63</v>
      </c>
    </row>
    <row r="250">
      <c r="A250" s="609" t="s">
        <v>2177</v>
      </c>
      <c r="B250" s="610">
        <f t="array" ref="B250">VLOOKUP($A250,TX_DEMO,2,FALSE)</f>
        <v>7791</v>
      </c>
      <c r="C250" s="704">
        <f>vlookup(A250,'TX Data'!$A$4:$B$259,2,FALSE)</f>
        <v>16</v>
      </c>
      <c r="D250" s="612" t="s">
        <v>63</v>
      </c>
      <c r="E250" s="612">
        <f>vlookup(A250,'TX Data'!$A$4:$D$259,3,FALSE)</f>
        <v>12</v>
      </c>
      <c r="F250" s="612">
        <f>vlookup(A250,'TX Data'!$A$4:$D$259,4,FALSE)</f>
        <v>4</v>
      </c>
      <c r="G250" s="612" t="s">
        <v>63</v>
      </c>
      <c r="H250" s="671" t="str">
        <f>vlookup(A250,'TX Data'!$I$2699:$J$2952,2,FALSE)</f>
        <v>NULL</v>
      </c>
      <c r="I250" s="614">
        <f>ifna(vlookup(A250,'TX Data'!$A$2319:$B$2521,2,FALSE),"NULL")</f>
        <v>1</v>
      </c>
      <c r="J250" s="615" t="s">
        <v>63</v>
      </c>
      <c r="K250" s="672" t="s">
        <v>63</v>
      </c>
      <c r="L250" s="671">
        <f>ifna(vlookup(A250,'TX Data'!$A$1498:$B$1702,2,FALSE),"NULL")</f>
        <v>8</v>
      </c>
      <c r="M250" s="614" t="s">
        <v>63</v>
      </c>
      <c r="N250" s="612" t="s">
        <v>63</v>
      </c>
      <c r="O250" s="612" t="s">
        <v>63</v>
      </c>
      <c r="P250" s="620">
        <f>ifna(vlookup(A250,'Population &amp; Church Numbers'!$A$2526:$D$2779,4,FALSE),"NULL")</f>
        <v>12</v>
      </c>
      <c r="Q250" s="674" t="s">
        <v>63</v>
      </c>
    </row>
    <row r="251">
      <c r="A251" s="609" t="s">
        <v>2178</v>
      </c>
      <c r="B251" s="610">
        <f t="array" ref="B251">VLOOKUP($A251,TX_DEMO,2,FALSE)</f>
        <v>68632</v>
      </c>
      <c r="C251" s="704">
        <f>vlookup(A251,'TX Data'!$A$4:$B$259,2,FALSE)</f>
        <v>160</v>
      </c>
      <c r="D251" s="612" t="s">
        <v>63</v>
      </c>
      <c r="E251" s="612">
        <f>vlookup(A251,'TX Data'!$A$4:$D$259,3,FALSE)</f>
        <v>66</v>
      </c>
      <c r="F251" s="612">
        <f>vlookup(A251,'TX Data'!$A$4:$D$259,4,FALSE)</f>
        <v>72</v>
      </c>
      <c r="G251" s="612" t="s">
        <v>63</v>
      </c>
      <c r="H251" s="671">
        <f>vlookup(A251,'TX Data'!$I$2699:$J$2952,2,FALSE)</f>
        <v>22</v>
      </c>
      <c r="I251" s="614">
        <f>ifna(vlookup(A251,'TX Data'!$A$2319:$B$2521,2,FALSE),"NULL")</f>
        <v>19</v>
      </c>
      <c r="J251" s="615" t="s">
        <v>63</v>
      </c>
      <c r="K251" s="672" t="s">
        <v>63</v>
      </c>
      <c r="L251" s="671">
        <f>ifna(vlookup(A251,'TX Data'!$A$1498:$B$1702,2,FALSE),"NULL")</f>
        <v>87</v>
      </c>
      <c r="M251" s="614" t="s">
        <v>63</v>
      </c>
      <c r="N251" s="612" t="s">
        <v>63</v>
      </c>
      <c r="O251" s="612" t="s">
        <v>63</v>
      </c>
      <c r="P251" s="620">
        <f>ifna(vlookup(A251,'Population &amp; Church Numbers'!$A$2526:$D$2779,4,FALSE),"NULL")</f>
        <v>74</v>
      </c>
      <c r="Q251" s="674" t="s">
        <v>63</v>
      </c>
    </row>
    <row r="252">
      <c r="A252" s="609" t="s">
        <v>1703</v>
      </c>
      <c r="B252" s="610">
        <f t="array" ref="B252">VLOOKUP($A252,TX_DEMO,2,FALSE)</f>
        <v>44843</v>
      </c>
      <c r="C252" s="704">
        <f>vlookup(A252,'TX Data'!$A$4:$B$259,2,FALSE)</f>
        <v>76</v>
      </c>
      <c r="D252" s="612" t="s">
        <v>63</v>
      </c>
      <c r="E252" s="612">
        <f>vlookup(A252,'TX Data'!$A$4:$D$259,3,FALSE)</f>
        <v>36</v>
      </c>
      <c r="F252" s="612">
        <f>vlookup(A252,'TX Data'!$A$4:$D$259,4,FALSE)</f>
        <v>32</v>
      </c>
      <c r="G252" s="612" t="s">
        <v>63</v>
      </c>
      <c r="H252" s="671">
        <f>vlookup(A252,'TX Data'!$I$2699:$J$2952,2,FALSE)</f>
        <v>13</v>
      </c>
      <c r="I252" s="614">
        <f>ifna(vlookup(A252,'TX Data'!$A$2319:$B$2521,2,FALSE),"NULL")</f>
        <v>5</v>
      </c>
      <c r="J252" s="615" t="s">
        <v>63</v>
      </c>
      <c r="K252" s="672" t="s">
        <v>63</v>
      </c>
      <c r="L252" s="671">
        <f>ifna(vlookup(A252,'TX Data'!$A$1498:$B$1702,2,FALSE),"NULL")</f>
        <v>87</v>
      </c>
      <c r="M252" s="614" t="s">
        <v>63</v>
      </c>
      <c r="N252" s="612" t="s">
        <v>63</v>
      </c>
      <c r="O252" s="612" t="s">
        <v>63</v>
      </c>
      <c r="P252" s="620">
        <f>ifna(vlookup(A252,'Population &amp; Church Numbers'!$A$2526:$D$2779,4,FALSE),"NULL")</f>
        <v>82</v>
      </c>
      <c r="Q252" s="674" t="s">
        <v>63</v>
      </c>
    </row>
    <row r="253">
      <c r="A253" s="609" t="s">
        <v>2179</v>
      </c>
      <c r="B253" s="610">
        <f t="array" ref="B253">VLOOKUP($A253,TX_DEMO,2,FALSE)</f>
        <v>7694</v>
      </c>
      <c r="C253" s="704">
        <f>vlookup(A253,'TX Data'!$A$4:$B$259,2,FALSE)</f>
        <v>17</v>
      </c>
      <c r="D253" s="612" t="s">
        <v>63</v>
      </c>
      <c r="E253" s="612">
        <f>vlookup(A253,'TX Data'!$A$4:$D$259,3,FALSE)</f>
        <v>1</v>
      </c>
      <c r="F253" s="612">
        <f>vlookup(A253,'TX Data'!$A$4:$D$259,4,FALSE)</f>
        <v>7</v>
      </c>
      <c r="G253" s="612" t="s">
        <v>63</v>
      </c>
      <c r="H253" s="671" t="str">
        <f>vlookup(A253,'TX Data'!$I$2699:$J$2952,2,FALSE)</f>
        <v>NULL</v>
      </c>
      <c r="I253" s="614">
        <f>ifna(vlookup(A253,'TX Data'!$A$2319:$B$2521,2,FALSE),"NULL")</f>
        <v>5</v>
      </c>
      <c r="J253" s="615" t="s">
        <v>63</v>
      </c>
      <c r="K253" s="672" t="s">
        <v>63</v>
      </c>
      <c r="L253" s="671" t="str">
        <f>ifna(vlookup(A253,'TX Data'!$A$1498:$B$1702,2,FALSE),"NULL")</f>
        <v>NULL</v>
      </c>
      <c r="M253" s="614" t="s">
        <v>63</v>
      </c>
      <c r="N253" s="612" t="s">
        <v>63</v>
      </c>
      <c r="O253" s="612" t="s">
        <v>63</v>
      </c>
      <c r="P253" s="620">
        <f>ifna(vlookup(A253,'Population &amp; Church Numbers'!$A$2526:$D$2779,4,FALSE),"NULL")</f>
        <v>11</v>
      </c>
      <c r="Q253" s="674" t="s">
        <v>63</v>
      </c>
    </row>
    <row r="254">
      <c r="A254" s="609" t="s">
        <v>2181</v>
      </c>
      <c r="B254" s="610">
        <f t="array" ref="B254">VLOOKUP($A254,TX_DEMO,2,FALSE)</f>
        <v>17867</v>
      </c>
      <c r="C254" s="704">
        <f>vlookup(A254,'TX Data'!$A$4:$B$259,2,FALSE)</f>
        <v>50</v>
      </c>
      <c r="D254" s="612" t="s">
        <v>63</v>
      </c>
      <c r="E254" s="612">
        <f>vlookup(A254,'TX Data'!$A$4:$D$259,3,FALSE)</f>
        <v>29</v>
      </c>
      <c r="F254" s="612">
        <f>vlookup(A254,'TX Data'!$A$4:$D$259,4,FALSE)</f>
        <v>16</v>
      </c>
      <c r="G254" s="612" t="s">
        <v>63</v>
      </c>
      <c r="H254" s="671">
        <f>vlookup(A254,'TX Data'!$I$2699:$J$2952,2,FALSE)</f>
        <v>21</v>
      </c>
      <c r="I254" s="614">
        <f>ifna(vlookup(A254,'TX Data'!$A$2319:$B$2521,2,FALSE),"NULL")</f>
        <v>1</v>
      </c>
      <c r="J254" s="615" t="s">
        <v>63</v>
      </c>
      <c r="K254" s="672" t="s">
        <v>63</v>
      </c>
      <c r="L254" s="671">
        <f>ifna(vlookup(A254,'TX Data'!$A$1498:$B$1702,2,FALSE),"NULL")</f>
        <v>80</v>
      </c>
      <c r="M254" s="614" t="s">
        <v>63</v>
      </c>
      <c r="N254" s="612" t="s">
        <v>63</v>
      </c>
      <c r="O254" s="612" t="s">
        <v>63</v>
      </c>
      <c r="P254" s="620">
        <f>ifna(vlookup(A254,'Population &amp; Church Numbers'!$A$2526:$D$2779,4,FALSE),"NULL")</f>
        <v>39</v>
      </c>
      <c r="Q254" s="674" t="s">
        <v>63</v>
      </c>
    </row>
    <row r="255">
      <c r="A255" s="609" t="s">
        <v>2182</v>
      </c>
      <c r="B255" s="610">
        <f t="array" ref="B255">VLOOKUP($A255,TX_DEMO,2,FALSE)</f>
        <v>13889</v>
      </c>
      <c r="C255" s="704">
        <f>vlookup(A255,'TX Data'!$A$4:$B$259,2,FALSE)</f>
        <v>49</v>
      </c>
      <c r="D255" s="612" t="s">
        <v>63</v>
      </c>
      <c r="E255" s="612">
        <f>vlookup(A255,'TX Data'!$A$4:$D$259,3,FALSE)</f>
        <v>14</v>
      </c>
      <c r="F255" s="612">
        <f>vlookup(A255,'TX Data'!$A$4:$D$259,4,FALSE)</f>
        <v>33</v>
      </c>
      <c r="G255" s="612" t="s">
        <v>63</v>
      </c>
      <c r="H255" s="671">
        <f>vlookup(A255,'TX Data'!$I$2699:$J$2952,2,FALSE)</f>
        <v>1</v>
      </c>
      <c r="I255" s="614">
        <f>ifna(vlookup(A255,'TX Data'!$A$2319:$B$2521,2,FALSE),"NULL")</f>
        <v>9</v>
      </c>
      <c r="J255" s="615" t="s">
        <v>63</v>
      </c>
      <c r="K255" s="672" t="s">
        <v>63</v>
      </c>
      <c r="L255" s="671">
        <f>ifna(vlookup(A255,'TX Data'!$A$1498:$B$1702,2,FALSE),"NULL")</f>
        <v>36</v>
      </c>
      <c r="M255" s="614" t="s">
        <v>63</v>
      </c>
      <c r="N255" s="612" t="s">
        <v>63</v>
      </c>
      <c r="O255" s="612" t="s">
        <v>63</v>
      </c>
      <c r="P255" s="620">
        <f>ifna(vlookup(A255,'Population &amp; Church Numbers'!$A$2526:$D$2779,4,FALSE),"NULL")</f>
        <v>4</v>
      </c>
      <c r="Q255" s="674" t="s">
        <v>63</v>
      </c>
    </row>
    <row r="256">
      <c r="A256" s="609" t="s">
        <v>2183</v>
      </c>
      <c r="B256" s="610">
        <f t="array" ref="B256">VLOOKUP($A256,TX_DEMO,2,FALSE)</f>
        <v>9670</v>
      </c>
      <c r="C256" s="704">
        <f>vlookup(A256,'TX Data'!$A$4:$B$259,2,FALSE)</f>
        <v>50</v>
      </c>
      <c r="D256" s="612" t="s">
        <v>63</v>
      </c>
      <c r="E256" s="612">
        <f>vlookup(A256,'TX Data'!$A$4:$D$259,3,FALSE)</f>
        <v>7</v>
      </c>
      <c r="F256" s="612">
        <f>vlookup(A256,'TX Data'!$A$4:$D$259,4,FALSE)</f>
        <v>36</v>
      </c>
      <c r="G256" s="612" t="s">
        <v>63</v>
      </c>
      <c r="H256" s="671">
        <f>vlookup(A256,'TX Data'!$I$2699:$J$2952,2,FALSE)</f>
        <v>3</v>
      </c>
      <c r="I256" s="614">
        <f>ifna(vlookup(A256,'TX Data'!$A$2319:$B$2521,2,FALSE),"NULL")</f>
        <v>3</v>
      </c>
      <c r="J256" s="615" t="s">
        <v>63</v>
      </c>
      <c r="K256" s="672" t="s">
        <v>63</v>
      </c>
      <c r="L256" s="671">
        <f>ifna(vlookup(A256,'TX Data'!$A$1498:$B$1702,2,FALSE),"NULL")</f>
        <v>79</v>
      </c>
      <c r="M256" s="614" t="s">
        <v>63</v>
      </c>
      <c r="N256" s="612" t="s">
        <v>63</v>
      </c>
      <c r="O256" s="612" t="s">
        <v>63</v>
      </c>
      <c r="P256" s="620">
        <f>ifna(vlookup(A256,'Population &amp; Church Numbers'!$A$2526:$D$2779,4,FALSE),"NULL")</f>
        <v>4</v>
      </c>
      <c r="Q256" s="674" t="s">
        <v>63</v>
      </c>
    </row>
    <row r="257">
      <c r="A257" s="217"/>
      <c r="B257" s="218"/>
      <c r="C257" s="219"/>
      <c r="D257" s="220"/>
      <c r="E257" s="220"/>
      <c r="F257" s="220"/>
      <c r="G257" s="220"/>
      <c r="H257" s="221"/>
      <c r="I257" s="222"/>
      <c r="J257" s="223"/>
      <c r="K257" s="219"/>
      <c r="L257" s="1456"/>
      <c r="M257" s="225"/>
      <c r="N257" s="226"/>
      <c r="O257" s="220"/>
      <c r="P257" s="221"/>
      <c r="Q257" s="295"/>
    </row>
    <row r="258">
      <c r="A258" s="228" t="s">
        <v>2</v>
      </c>
      <c r="B258" s="229"/>
      <c r="C258" s="236">
        <f>'TX Data'!B259</f>
        <v>19788</v>
      </c>
      <c r="D258" s="708" t="s">
        <v>63</v>
      </c>
      <c r="E258" s="236">
        <f>'TX Data'!C259</f>
        <v>7794</v>
      </c>
      <c r="F258" s="236">
        <f>'TX Data'!D259</f>
        <v>7837</v>
      </c>
      <c r="G258" s="708" t="s">
        <v>63</v>
      </c>
      <c r="H258" s="236">
        <f>SUM(H3:H256)</f>
        <v>7610</v>
      </c>
      <c r="I258" s="237">
        <f>'TX Data'!B2521</f>
        <v>4679</v>
      </c>
      <c r="J258" s="360" t="s">
        <v>63</v>
      </c>
      <c r="K258" s="708" t="s">
        <v>63</v>
      </c>
      <c r="L258" s="236">
        <f>'TX Data'!B1702</f>
        <v>49231</v>
      </c>
      <c r="M258" s="360" t="s">
        <v>63</v>
      </c>
      <c r="N258" s="360" t="s">
        <v>63</v>
      </c>
      <c r="O258" s="360" t="s">
        <v>63</v>
      </c>
      <c r="P258" s="233">
        <f>SUM(P3:P256)</f>
        <v>17127</v>
      </c>
      <c r="Q258" s="691" t="s">
        <v>63</v>
      </c>
    </row>
  </sheetData>
  <mergeCells count="1">
    <mergeCell ref="B1:Q1"/>
  </mergeCells>
  <drawing r:id="rId1"/>
  <tableParts count="1">
    <tablePart r:id="rId3"/>
  </tableParts>
</worksheet>
</file>

<file path=xl/worksheets/sheet9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17.5"/>
    <col customWidth="1" min="9" max="9" width="13.0"/>
    <col customWidth="1" min="10" max="10" width="17.25"/>
    <col customWidth="1" min="11" max="11" width="26.13"/>
    <col customWidth="1" min="15" max="15" width="14.0"/>
    <col customWidth="1" min="17" max="17" width="16.13"/>
  </cols>
  <sheetData>
    <row r="1">
      <c r="A1" s="1042" t="s">
        <v>1040</v>
      </c>
      <c r="B1" s="1282"/>
      <c r="C1" s="1282"/>
      <c r="D1" s="1282"/>
      <c r="E1" s="1283" t="s">
        <v>765</v>
      </c>
      <c r="F1" s="1283" t="s">
        <v>4154</v>
      </c>
      <c r="G1" s="369"/>
      <c r="H1" s="369"/>
      <c r="I1" s="601" t="s">
        <v>767</v>
      </c>
      <c r="J1" s="602">
        <v>45448.0</v>
      </c>
      <c r="K1" s="601" t="s">
        <v>769</v>
      </c>
      <c r="L1" s="1144">
        <v>45169.0</v>
      </c>
      <c r="M1" s="373"/>
    </row>
    <row r="2">
      <c r="A2" s="1284"/>
      <c r="B2" s="1284"/>
      <c r="C2" s="1284"/>
      <c r="D2" s="1284"/>
      <c r="E2" s="1284"/>
      <c r="F2" s="1284"/>
      <c r="G2" s="1284"/>
      <c r="H2" s="1284"/>
      <c r="I2" s="1284"/>
      <c r="J2" s="1284"/>
      <c r="K2" s="1284"/>
      <c r="L2" s="1284"/>
      <c r="M2" s="216"/>
      <c r="N2" s="278"/>
      <c r="O2" s="278"/>
      <c r="P2" s="278"/>
      <c r="Q2" s="278"/>
      <c r="R2" s="278"/>
      <c r="S2" s="278"/>
    </row>
    <row r="3">
      <c r="A3" s="1285"/>
      <c r="B3" s="1286" t="s">
        <v>923</v>
      </c>
      <c r="C3" s="1286" t="s">
        <v>1058</v>
      </c>
      <c r="D3" s="1286" t="s">
        <v>1713</v>
      </c>
      <c r="E3" s="1286" t="s">
        <v>1714</v>
      </c>
      <c r="F3" s="1286" t="s">
        <v>1715</v>
      </c>
      <c r="G3" s="1285"/>
      <c r="H3" s="1285"/>
      <c r="I3" s="1285"/>
      <c r="J3" s="1285"/>
      <c r="K3" s="1285"/>
      <c r="L3" s="1285"/>
      <c r="M3" s="1287"/>
      <c r="N3" s="278"/>
      <c r="O3" s="278"/>
      <c r="P3" s="278"/>
      <c r="Q3" s="278"/>
      <c r="R3" s="278"/>
      <c r="S3" s="278"/>
    </row>
    <row r="4">
      <c r="A4" s="1285" t="s">
        <v>954</v>
      </c>
      <c r="B4" s="1288">
        <f t="shared" ref="B4:B19" si="1">sumif($H$4:$H$1494,A4,$M$4:$M$1494)</f>
        <v>51</v>
      </c>
      <c r="C4" s="1285">
        <f t="shared" ref="C4:C257" si="2">sumifs($M$4:$M$1494,$H$4:$H$1494,A4,$K$4:$K$1494,"CPA Non-Relative Foster Home")+sumifs($M$4:$M$1494,$H$4:$H$1494,A4,$K$4:$K$1494,"DFPS Non-Relative Foster Home")</f>
        <v>21</v>
      </c>
      <c r="D4" s="1285">
        <f t="shared" ref="D4:D257" si="3">sumifs($M$4:$M$1494,$H$4:$H$1494,A4,$K$4:$K$1494,"CPA Relative Foster Home")+sumifs($M$4:$M$1494,$H$4:$H$1494,A4,$K$4:$K$1494,"DFPS Relative Foster Home")+sumifs($M$4:$M$1494,$H$4:$H$1494,A4,$K$4:$K$1494,"Kinship Care")</f>
        <v>24</v>
      </c>
      <c r="E4" s="1285"/>
      <c r="F4" s="1285"/>
      <c r="G4" s="1285">
        <v>2023.0</v>
      </c>
      <c r="H4" s="1285" t="s">
        <v>954</v>
      </c>
      <c r="I4" s="1285" t="s">
        <v>4155</v>
      </c>
      <c r="J4" s="1285" t="s">
        <v>1058</v>
      </c>
      <c r="K4" s="1285" t="s">
        <v>4156</v>
      </c>
      <c r="L4" s="1289" t="s">
        <v>2480</v>
      </c>
      <c r="M4" s="1290">
        <v>20.0</v>
      </c>
      <c r="N4" s="1291"/>
      <c r="O4" s="278"/>
      <c r="P4" s="278"/>
      <c r="Q4" s="278"/>
      <c r="R4" s="278"/>
      <c r="S4" s="278"/>
    </row>
    <row r="5">
      <c r="A5" s="1292" t="s">
        <v>2005</v>
      </c>
      <c r="B5" s="1288">
        <f t="shared" si="1"/>
        <v>9</v>
      </c>
      <c r="C5" s="1285">
        <f t="shared" si="2"/>
        <v>1</v>
      </c>
      <c r="D5" s="1285">
        <f t="shared" si="3"/>
        <v>5</v>
      </c>
      <c r="E5" s="1292"/>
      <c r="F5" s="1292"/>
      <c r="G5" s="1292">
        <v>2023.0</v>
      </c>
      <c r="H5" s="1292" t="s">
        <v>954</v>
      </c>
      <c r="I5" s="1285" t="s">
        <v>4155</v>
      </c>
      <c r="J5" s="1285" t="s">
        <v>1058</v>
      </c>
      <c r="K5" s="1285" t="s">
        <v>4157</v>
      </c>
      <c r="L5" s="1289" t="s">
        <v>1724</v>
      </c>
      <c r="M5" s="1290">
        <v>3.0</v>
      </c>
      <c r="N5" s="1291"/>
      <c r="O5" s="278"/>
      <c r="P5" s="278"/>
      <c r="Q5" s="278"/>
      <c r="R5" s="278"/>
      <c r="S5" s="278"/>
    </row>
    <row r="6">
      <c r="A6" s="1288" t="s">
        <v>2006</v>
      </c>
      <c r="B6" s="1288">
        <f t="shared" si="1"/>
        <v>158</v>
      </c>
      <c r="C6" s="1285">
        <f t="shared" si="2"/>
        <v>58</v>
      </c>
      <c r="D6" s="1285">
        <f t="shared" si="3"/>
        <v>73</v>
      </c>
      <c r="E6" s="1288"/>
      <c r="F6" s="1288"/>
      <c r="G6" s="1288">
        <v>2023.0</v>
      </c>
      <c r="H6" s="1288" t="s">
        <v>954</v>
      </c>
      <c r="I6" s="1285" t="s">
        <v>4155</v>
      </c>
      <c r="J6" s="1285" t="s">
        <v>1058</v>
      </c>
      <c r="K6" s="1285" t="s">
        <v>4158</v>
      </c>
      <c r="L6" s="1289" t="s">
        <v>2480</v>
      </c>
      <c r="M6" s="1290">
        <v>1.0</v>
      </c>
      <c r="N6" s="1291"/>
      <c r="O6" s="278"/>
      <c r="P6" s="278"/>
      <c r="Q6" s="278"/>
      <c r="R6" s="278"/>
      <c r="S6" s="278"/>
    </row>
    <row r="7">
      <c r="A7" s="1288" t="s">
        <v>2007</v>
      </c>
      <c r="B7" s="1288">
        <f t="shared" si="1"/>
        <v>21</v>
      </c>
      <c r="C7" s="1285">
        <f t="shared" si="2"/>
        <v>13</v>
      </c>
      <c r="D7" s="1285">
        <f t="shared" si="3"/>
        <v>5</v>
      </c>
      <c r="E7" s="1288"/>
      <c r="F7" s="1288"/>
      <c r="G7" s="1288">
        <v>2023.0</v>
      </c>
      <c r="H7" s="1288" t="s">
        <v>954</v>
      </c>
      <c r="I7" s="1285" t="s">
        <v>4155</v>
      </c>
      <c r="J7" s="1285" t="s">
        <v>1058</v>
      </c>
      <c r="K7" s="1285" t="s">
        <v>4159</v>
      </c>
      <c r="L7" s="1289" t="s">
        <v>1724</v>
      </c>
      <c r="M7" s="1290">
        <v>4.0</v>
      </c>
      <c r="N7" s="1291"/>
      <c r="O7" s="1293"/>
      <c r="P7" s="1293"/>
      <c r="Q7" s="1293"/>
      <c r="R7" s="1293"/>
      <c r="S7" s="1293"/>
    </row>
    <row r="8">
      <c r="A8" s="1288" t="s">
        <v>2008</v>
      </c>
      <c r="B8" s="1288">
        <f t="shared" si="1"/>
        <v>7</v>
      </c>
      <c r="C8" s="1285">
        <f t="shared" si="2"/>
        <v>4</v>
      </c>
      <c r="D8" s="1285">
        <f t="shared" si="3"/>
        <v>2</v>
      </c>
      <c r="E8" s="1288"/>
      <c r="F8" s="1288"/>
      <c r="G8" s="1288">
        <v>2023.0</v>
      </c>
      <c r="H8" s="1288" t="s">
        <v>954</v>
      </c>
      <c r="I8" s="1292" t="s">
        <v>4155</v>
      </c>
      <c r="J8" s="1292" t="s">
        <v>1058</v>
      </c>
      <c r="K8" s="1292" t="s">
        <v>4160</v>
      </c>
      <c r="L8" s="1294" t="s">
        <v>2480</v>
      </c>
      <c r="M8" s="1295">
        <v>4.0</v>
      </c>
      <c r="N8" s="1291"/>
      <c r="O8" s="1296"/>
      <c r="P8" s="1296"/>
      <c r="Q8" s="1296"/>
      <c r="R8" s="1296"/>
      <c r="S8" s="1296"/>
    </row>
    <row r="9">
      <c r="A9" s="1288" t="s">
        <v>1783</v>
      </c>
      <c r="B9" s="1288">
        <f t="shared" si="1"/>
        <v>3</v>
      </c>
      <c r="C9" s="1285">
        <f t="shared" si="2"/>
        <v>1</v>
      </c>
      <c r="D9" s="1285">
        <f t="shared" si="3"/>
        <v>2</v>
      </c>
      <c r="E9" s="1288"/>
      <c r="F9" s="1288"/>
      <c r="G9" s="1288">
        <v>2023.0</v>
      </c>
      <c r="H9" s="1288" t="s">
        <v>954</v>
      </c>
      <c r="I9" s="1285" t="s">
        <v>4155</v>
      </c>
      <c r="J9" s="1285" t="s">
        <v>4161</v>
      </c>
      <c r="K9" s="1285" t="s">
        <v>1055</v>
      </c>
      <c r="L9" s="1289" t="s">
        <v>1724</v>
      </c>
      <c r="M9" s="1290">
        <v>17.0</v>
      </c>
      <c r="N9" s="1291"/>
      <c r="O9" s="1297"/>
      <c r="P9" s="1297"/>
      <c r="Q9" s="1297"/>
      <c r="R9" s="1297"/>
      <c r="S9" s="1297"/>
    </row>
    <row r="10">
      <c r="A10" s="1288" t="s">
        <v>2010</v>
      </c>
      <c r="B10" s="1288">
        <f t="shared" si="1"/>
        <v>84</v>
      </c>
      <c r="C10" s="1285">
        <f t="shared" si="2"/>
        <v>20</v>
      </c>
      <c r="D10" s="1285">
        <f t="shared" si="3"/>
        <v>31</v>
      </c>
      <c r="E10" s="1288"/>
      <c r="F10" s="1288"/>
      <c r="G10" s="1288">
        <v>2023.0</v>
      </c>
      <c r="H10" s="1288" t="s">
        <v>954</v>
      </c>
      <c r="I10" s="1285" t="s">
        <v>4155</v>
      </c>
      <c r="J10" s="1285" t="s">
        <v>4161</v>
      </c>
      <c r="K10" s="1285" t="s">
        <v>4161</v>
      </c>
      <c r="L10" s="1289" t="s">
        <v>2480</v>
      </c>
      <c r="M10" s="1290">
        <v>2.0</v>
      </c>
      <c r="N10" s="1291"/>
      <c r="O10" s="1297"/>
      <c r="P10" s="1297"/>
      <c r="Q10" s="1297"/>
      <c r="R10" s="1297"/>
      <c r="S10" s="1297"/>
    </row>
    <row r="11">
      <c r="A11" s="1288" t="s">
        <v>2011</v>
      </c>
      <c r="B11" s="1288">
        <f t="shared" si="1"/>
        <v>5</v>
      </c>
      <c r="C11" s="1285">
        <f t="shared" si="2"/>
        <v>3</v>
      </c>
      <c r="D11" s="1285">
        <f t="shared" si="3"/>
        <v>0</v>
      </c>
      <c r="E11" s="1288"/>
      <c r="F11" s="1288"/>
      <c r="G11" s="1288">
        <v>2023.0</v>
      </c>
      <c r="H11" s="1288" t="s">
        <v>2005</v>
      </c>
      <c r="I11" s="1285" t="s">
        <v>4162</v>
      </c>
      <c r="J11" s="1285" t="s">
        <v>1058</v>
      </c>
      <c r="K11" s="1285" t="s">
        <v>4163</v>
      </c>
      <c r="L11" s="1289" t="s">
        <v>2480</v>
      </c>
      <c r="M11" s="1290">
        <v>2.0</v>
      </c>
      <c r="N11" s="1120"/>
      <c r="O11" s="1297"/>
      <c r="P11" s="1297"/>
      <c r="Q11" s="1297"/>
      <c r="R11" s="1297"/>
      <c r="S11" s="1297"/>
    </row>
    <row r="12">
      <c r="A12" s="1288" t="s">
        <v>2012</v>
      </c>
      <c r="B12" s="1288">
        <f t="shared" si="1"/>
        <v>15</v>
      </c>
      <c r="C12" s="1285">
        <f t="shared" si="2"/>
        <v>8</v>
      </c>
      <c r="D12" s="1285">
        <f t="shared" si="3"/>
        <v>1</v>
      </c>
      <c r="E12" s="1288"/>
      <c r="F12" s="1288"/>
      <c r="G12" s="1288">
        <v>2023.0</v>
      </c>
      <c r="H12" s="1288" t="s">
        <v>2005</v>
      </c>
      <c r="I12" s="1285" t="s">
        <v>4162</v>
      </c>
      <c r="J12" s="1285" t="s">
        <v>1058</v>
      </c>
      <c r="K12" s="1285" t="s">
        <v>4156</v>
      </c>
      <c r="L12" s="1289" t="s">
        <v>2480</v>
      </c>
      <c r="M12" s="1290">
        <v>1.0</v>
      </c>
      <c r="N12" s="1120"/>
      <c r="O12" s="1297"/>
      <c r="P12" s="1297"/>
      <c r="Q12" s="1297"/>
      <c r="R12" s="1297"/>
      <c r="S12" s="1297"/>
    </row>
    <row r="13">
      <c r="A13" s="1288" t="s">
        <v>2013</v>
      </c>
      <c r="B13" s="1288">
        <f t="shared" si="1"/>
        <v>20</v>
      </c>
      <c r="C13" s="1285">
        <f t="shared" si="2"/>
        <v>4</v>
      </c>
      <c r="D13" s="1285">
        <f t="shared" si="3"/>
        <v>6</v>
      </c>
      <c r="E13" s="1288"/>
      <c r="F13" s="1288"/>
      <c r="G13" s="1288">
        <v>2023.0</v>
      </c>
      <c r="H13" s="1288" t="s">
        <v>2005</v>
      </c>
      <c r="I13" s="1285" t="s">
        <v>4162</v>
      </c>
      <c r="J13" s="1285" t="s">
        <v>1058</v>
      </c>
      <c r="K13" s="1285" t="s">
        <v>4160</v>
      </c>
      <c r="L13" s="1289" t="s">
        <v>2480</v>
      </c>
      <c r="M13" s="1290">
        <v>1.0</v>
      </c>
      <c r="N13" s="1120"/>
      <c r="O13" s="1297"/>
      <c r="P13" s="1297"/>
      <c r="Q13" s="1297"/>
      <c r="R13" s="1297"/>
      <c r="S13" s="1297"/>
    </row>
    <row r="14">
      <c r="A14" s="1288" t="s">
        <v>2014</v>
      </c>
      <c r="B14" s="1288">
        <f t="shared" si="1"/>
        <v>66</v>
      </c>
      <c r="C14" s="1285">
        <f t="shared" si="2"/>
        <v>16</v>
      </c>
      <c r="D14" s="1285">
        <f t="shared" si="3"/>
        <v>40</v>
      </c>
      <c r="E14" s="1288"/>
      <c r="F14" s="1288"/>
      <c r="G14" s="1288">
        <v>2023.0</v>
      </c>
      <c r="H14" s="1288" t="s">
        <v>2005</v>
      </c>
      <c r="I14" s="1285" t="s">
        <v>4162</v>
      </c>
      <c r="J14" s="1285" t="s">
        <v>4161</v>
      </c>
      <c r="K14" s="1285" t="s">
        <v>1055</v>
      </c>
      <c r="L14" s="1289" t="s">
        <v>1724</v>
      </c>
      <c r="M14" s="1290">
        <v>5.0</v>
      </c>
      <c r="N14" s="1297"/>
      <c r="O14" s="1297"/>
      <c r="P14" s="1297"/>
      <c r="Q14" s="1297"/>
      <c r="R14" s="1297"/>
      <c r="S14" s="1297"/>
    </row>
    <row r="15">
      <c r="A15" s="1288" t="s">
        <v>2015</v>
      </c>
      <c r="B15" s="1288">
        <f t="shared" si="1"/>
        <v>5</v>
      </c>
      <c r="C15" s="1285">
        <f t="shared" si="2"/>
        <v>2</v>
      </c>
      <c r="D15" s="1285">
        <f t="shared" si="3"/>
        <v>3</v>
      </c>
      <c r="E15" s="1288"/>
      <c r="F15" s="1288"/>
      <c r="G15" s="1288">
        <v>2023.0</v>
      </c>
      <c r="H15" s="1288" t="s">
        <v>2006</v>
      </c>
      <c r="I15" s="1285" t="s">
        <v>4164</v>
      </c>
      <c r="J15" s="1285" t="s">
        <v>1058</v>
      </c>
      <c r="K15" s="1285" t="s">
        <v>4163</v>
      </c>
      <c r="L15" s="1289" t="s">
        <v>2480</v>
      </c>
      <c r="M15" s="1290">
        <v>3.0</v>
      </c>
      <c r="N15" s="1297"/>
      <c r="O15" s="1297"/>
      <c r="P15" s="1297"/>
      <c r="Q15" s="1297"/>
      <c r="R15" s="1297"/>
      <c r="S15" s="1297"/>
    </row>
    <row r="16">
      <c r="A16" s="1288" t="s">
        <v>2016</v>
      </c>
      <c r="B16" s="1288">
        <f t="shared" si="1"/>
        <v>59</v>
      </c>
      <c r="C16" s="1285">
        <f t="shared" si="2"/>
        <v>16</v>
      </c>
      <c r="D16" s="1285">
        <f t="shared" si="3"/>
        <v>30</v>
      </c>
      <c r="E16" s="1288"/>
      <c r="F16" s="1288"/>
      <c r="G16" s="1288">
        <v>2023.0</v>
      </c>
      <c r="H16" s="1288" t="s">
        <v>2006</v>
      </c>
      <c r="I16" s="1285" t="s">
        <v>4164</v>
      </c>
      <c r="J16" s="1285" t="s">
        <v>1058</v>
      </c>
      <c r="K16" s="1285" t="s">
        <v>4156</v>
      </c>
      <c r="L16" s="1289" t="s">
        <v>2480</v>
      </c>
      <c r="M16" s="1290">
        <v>50.0</v>
      </c>
      <c r="N16" s="1297"/>
      <c r="O16" s="1297"/>
      <c r="P16" s="1297"/>
      <c r="Q16" s="1297"/>
      <c r="R16" s="1297"/>
      <c r="S16" s="1297"/>
    </row>
    <row r="17">
      <c r="A17" s="1288" t="s">
        <v>1027</v>
      </c>
      <c r="B17" s="1288">
        <f t="shared" si="1"/>
        <v>565</v>
      </c>
      <c r="C17" s="1285">
        <f t="shared" si="2"/>
        <v>167</v>
      </c>
      <c r="D17" s="1285">
        <f t="shared" si="3"/>
        <v>291</v>
      </c>
      <c r="E17" s="1288"/>
      <c r="F17" s="1288"/>
      <c r="G17" s="1288">
        <v>2023.0</v>
      </c>
      <c r="H17" s="1288" t="s">
        <v>2006</v>
      </c>
      <c r="I17" s="1285" t="s">
        <v>4164</v>
      </c>
      <c r="J17" s="1285" t="s">
        <v>1058</v>
      </c>
      <c r="K17" s="1285" t="s">
        <v>4157</v>
      </c>
      <c r="L17" s="1289" t="s">
        <v>1724</v>
      </c>
      <c r="M17" s="1290">
        <v>9.0</v>
      </c>
      <c r="N17" s="1297"/>
      <c r="O17" s="1297"/>
      <c r="P17" s="1297"/>
      <c r="Q17" s="1297"/>
      <c r="R17" s="1297"/>
      <c r="S17" s="1297"/>
    </row>
    <row r="18">
      <c r="A18" s="1288" t="s">
        <v>267</v>
      </c>
      <c r="B18" s="1288">
        <f t="shared" si="1"/>
        <v>2087</v>
      </c>
      <c r="C18" s="1285">
        <f t="shared" si="2"/>
        <v>744</v>
      </c>
      <c r="D18" s="1285">
        <f t="shared" si="3"/>
        <v>810</v>
      </c>
      <c r="E18" s="1288"/>
      <c r="F18" s="1288"/>
      <c r="G18" s="1288">
        <v>2023.0</v>
      </c>
      <c r="H18" s="1288" t="s">
        <v>2006</v>
      </c>
      <c r="I18" s="1285" t="s">
        <v>4164</v>
      </c>
      <c r="J18" s="1285" t="s">
        <v>1058</v>
      </c>
      <c r="K18" s="1285" t="s">
        <v>4158</v>
      </c>
      <c r="L18" s="1289" t="s">
        <v>2480</v>
      </c>
      <c r="M18" s="1290">
        <v>8.0</v>
      </c>
      <c r="N18" s="1297"/>
      <c r="O18" s="1297"/>
      <c r="P18" s="1297"/>
      <c r="Q18" s="1297"/>
      <c r="R18" s="1297"/>
      <c r="S18" s="1297"/>
    </row>
    <row r="19">
      <c r="A19" s="1288" t="s">
        <v>2017</v>
      </c>
      <c r="B19" s="1288">
        <f t="shared" si="1"/>
        <v>7</v>
      </c>
      <c r="C19" s="1285">
        <f t="shared" si="2"/>
        <v>1</v>
      </c>
      <c r="D19" s="1285">
        <f t="shared" si="3"/>
        <v>3</v>
      </c>
      <c r="E19" s="1288"/>
      <c r="F19" s="1288"/>
      <c r="G19" s="1288">
        <v>2023.0</v>
      </c>
      <c r="H19" s="1288" t="s">
        <v>2006</v>
      </c>
      <c r="I19" s="1285" t="s">
        <v>4164</v>
      </c>
      <c r="J19" s="1285" t="s">
        <v>1058</v>
      </c>
      <c r="K19" s="1285" t="s">
        <v>4159</v>
      </c>
      <c r="L19" s="1289" t="s">
        <v>1724</v>
      </c>
      <c r="M19" s="1290">
        <v>2.0</v>
      </c>
      <c r="N19" s="1297"/>
      <c r="O19" s="1297"/>
      <c r="P19" s="1297"/>
      <c r="Q19" s="1297"/>
      <c r="R19" s="1297"/>
      <c r="S19" s="1297"/>
    </row>
    <row r="20">
      <c r="A20" s="1288" t="s">
        <v>2018</v>
      </c>
      <c r="B20" s="1288" t="s">
        <v>63</v>
      </c>
      <c r="C20" s="1285">
        <f t="shared" si="2"/>
        <v>0</v>
      </c>
      <c r="D20" s="1285">
        <f t="shared" si="3"/>
        <v>0</v>
      </c>
      <c r="E20" s="1288"/>
      <c r="F20" s="1288"/>
      <c r="G20" s="1288">
        <v>2023.0</v>
      </c>
      <c r="H20" s="1288" t="s">
        <v>2006</v>
      </c>
      <c r="I20" s="1285" t="s">
        <v>4164</v>
      </c>
      <c r="J20" s="1285" t="s">
        <v>1058</v>
      </c>
      <c r="K20" s="1285" t="s">
        <v>4165</v>
      </c>
      <c r="L20" s="1289" t="s">
        <v>2480</v>
      </c>
      <c r="M20" s="1290">
        <v>6.0</v>
      </c>
      <c r="N20" s="1297"/>
      <c r="O20" s="1297"/>
      <c r="P20" s="1297"/>
      <c r="Q20" s="1297"/>
      <c r="R20" s="1297"/>
      <c r="S20" s="1297"/>
    </row>
    <row r="21">
      <c r="A21" s="1288" t="s">
        <v>2019</v>
      </c>
      <c r="B21" s="1288">
        <f t="shared" ref="B21:B71" si="4">sumif($H$4:$H$1494,A21,$M$4:$M$1494)</f>
        <v>27</v>
      </c>
      <c r="C21" s="1285">
        <f t="shared" si="2"/>
        <v>3</v>
      </c>
      <c r="D21" s="1285">
        <f t="shared" si="3"/>
        <v>20</v>
      </c>
      <c r="E21" s="1288"/>
      <c r="F21" s="1288"/>
      <c r="G21" s="1288">
        <v>2023.0</v>
      </c>
      <c r="H21" s="1288" t="s">
        <v>2006</v>
      </c>
      <c r="I21" s="1285" t="s">
        <v>4164</v>
      </c>
      <c r="J21" s="1285" t="s">
        <v>1058</v>
      </c>
      <c r="K21" s="1285" t="s">
        <v>4166</v>
      </c>
      <c r="L21" s="1289" t="s">
        <v>2480</v>
      </c>
      <c r="M21" s="1290">
        <v>4.0</v>
      </c>
      <c r="N21" s="1297"/>
      <c r="O21" s="1297"/>
      <c r="P21" s="1297"/>
      <c r="Q21" s="1297"/>
      <c r="R21" s="1297"/>
      <c r="S21" s="1297"/>
    </row>
    <row r="22">
      <c r="A22" s="1298" t="s">
        <v>2020</v>
      </c>
      <c r="B22" s="1288">
        <f t="shared" si="4"/>
        <v>45</v>
      </c>
      <c r="C22" s="1285">
        <f t="shared" si="2"/>
        <v>23</v>
      </c>
      <c r="D22" s="1285">
        <f t="shared" si="3"/>
        <v>8</v>
      </c>
      <c r="E22" s="1288"/>
      <c r="F22" s="1288"/>
      <c r="G22" s="1288">
        <v>2023.0</v>
      </c>
      <c r="H22" s="1288" t="s">
        <v>2006</v>
      </c>
      <c r="I22" s="1285" t="s">
        <v>4164</v>
      </c>
      <c r="J22" s="1285" t="s">
        <v>1058</v>
      </c>
      <c r="K22" s="1285" t="s">
        <v>4161</v>
      </c>
      <c r="L22" s="1289" t="s">
        <v>2480</v>
      </c>
      <c r="M22" s="1290">
        <v>3.0</v>
      </c>
      <c r="N22" s="1297"/>
      <c r="O22" s="1297"/>
      <c r="P22" s="1297"/>
      <c r="Q22" s="1297"/>
      <c r="R22" s="1297"/>
      <c r="S22" s="1297"/>
    </row>
    <row r="23">
      <c r="A23" s="1288" t="s">
        <v>2021</v>
      </c>
      <c r="B23" s="1288">
        <f t="shared" si="4"/>
        <v>114</v>
      </c>
      <c r="C23" s="1285">
        <f t="shared" si="2"/>
        <v>46</v>
      </c>
      <c r="D23" s="1285">
        <f t="shared" si="3"/>
        <v>38</v>
      </c>
      <c r="E23" s="1288"/>
      <c r="F23" s="1288"/>
      <c r="G23" s="1288">
        <v>2023.0</v>
      </c>
      <c r="H23" s="1288" t="s">
        <v>2006</v>
      </c>
      <c r="I23" s="1285" t="s">
        <v>4164</v>
      </c>
      <c r="J23" s="1285" t="s">
        <v>1058</v>
      </c>
      <c r="K23" s="1285" t="s">
        <v>4160</v>
      </c>
      <c r="L23" s="1289" t="s">
        <v>2480</v>
      </c>
      <c r="M23" s="1290">
        <v>6.0</v>
      </c>
      <c r="N23" s="1297"/>
      <c r="O23" s="1297"/>
      <c r="P23" s="1297"/>
      <c r="Q23" s="1297"/>
      <c r="R23" s="1297"/>
      <c r="S23" s="1297"/>
    </row>
    <row r="24">
      <c r="A24" s="1288" t="s">
        <v>2022</v>
      </c>
      <c r="B24" s="1288">
        <f t="shared" si="4"/>
        <v>145</v>
      </c>
      <c r="C24" s="1285">
        <f t="shared" si="2"/>
        <v>44</v>
      </c>
      <c r="D24" s="1285">
        <f t="shared" si="3"/>
        <v>89</v>
      </c>
      <c r="E24" s="1288"/>
      <c r="F24" s="1288"/>
      <c r="G24" s="1288">
        <v>2023.0</v>
      </c>
      <c r="H24" s="1288" t="s">
        <v>2006</v>
      </c>
      <c r="I24" s="1285" t="s">
        <v>4164</v>
      </c>
      <c r="J24" s="1285" t="s">
        <v>4161</v>
      </c>
      <c r="K24" s="1285" t="s">
        <v>4167</v>
      </c>
      <c r="L24" s="1289" t="s">
        <v>2480</v>
      </c>
      <c r="M24" s="1290">
        <v>1.0</v>
      </c>
      <c r="N24" s="1297"/>
      <c r="O24" s="1297"/>
      <c r="P24" s="1297"/>
      <c r="Q24" s="1297"/>
      <c r="R24" s="1297"/>
      <c r="S24" s="1297"/>
    </row>
    <row r="25">
      <c r="A25" s="1288" t="s">
        <v>2023</v>
      </c>
      <c r="B25" s="1288">
        <f t="shared" si="4"/>
        <v>3</v>
      </c>
      <c r="C25" s="1285">
        <f t="shared" si="2"/>
        <v>2</v>
      </c>
      <c r="D25" s="1285">
        <f t="shared" si="3"/>
        <v>0</v>
      </c>
      <c r="E25" s="1288"/>
      <c r="F25" s="1288"/>
      <c r="G25" s="1288">
        <v>2023.0</v>
      </c>
      <c r="H25" s="1288" t="s">
        <v>2006</v>
      </c>
      <c r="I25" s="1285" t="s">
        <v>4164</v>
      </c>
      <c r="J25" s="1285" t="s">
        <v>4161</v>
      </c>
      <c r="K25" s="1285" t="s">
        <v>1055</v>
      </c>
      <c r="L25" s="1289" t="s">
        <v>1724</v>
      </c>
      <c r="M25" s="1290">
        <v>62.0</v>
      </c>
      <c r="N25" s="1297"/>
      <c r="O25" s="1297"/>
      <c r="P25" s="1297"/>
      <c r="Q25" s="1297"/>
      <c r="R25" s="1297"/>
      <c r="S25" s="1297"/>
    </row>
    <row r="26">
      <c r="A26" s="1288" t="s">
        <v>2025</v>
      </c>
      <c r="B26" s="1288">
        <f t="shared" si="4"/>
        <v>3</v>
      </c>
      <c r="C26" s="1285">
        <f t="shared" si="2"/>
        <v>1</v>
      </c>
      <c r="D26" s="1285">
        <f t="shared" si="3"/>
        <v>2</v>
      </c>
      <c r="E26" s="1288"/>
      <c r="F26" s="1288"/>
      <c r="G26" s="1288">
        <v>2023.0</v>
      </c>
      <c r="H26" s="1288" t="s">
        <v>2006</v>
      </c>
      <c r="I26" s="1285" t="s">
        <v>4164</v>
      </c>
      <c r="J26" s="1285" t="s">
        <v>4161</v>
      </c>
      <c r="K26" s="1285" t="s">
        <v>4161</v>
      </c>
      <c r="L26" s="1289" t="s">
        <v>2480</v>
      </c>
      <c r="M26" s="1290">
        <v>4.0</v>
      </c>
      <c r="N26" s="1297"/>
      <c r="O26" s="1297"/>
      <c r="P26" s="1297"/>
      <c r="Q26" s="1297"/>
      <c r="R26" s="1297"/>
      <c r="S26" s="1297"/>
    </row>
    <row r="27">
      <c r="A27" s="1288" t="s">
        <v>543</v>
      </c>
      <c r="B27" s="1288">
        <f t="shared" si="4"/>
        <v>9</v>
      </c>
      <c r="C27" s="1285">
        <f t="shared" si="2"/>
        <v>5</v>
      </c>
      <c r="D27" s="1285">
        <f t="shared" si="3"/>
        <v>2</v>
      </c>
      <c r="E27" s="1288"/>
      <c r="F27" s="1288"/>
      <c r="G27" s="1288">
        <v>2023.0</v>
      </c>
      <c r="H27" s="1288" t="s">
        <v>2007</v>
      </c>
      <c r="I27" s="1285" t="s">
        <v>4168</v>
      </c>
      <c r="J27" s="1285" t="s">
        <v>1058</v>
      </c>
      <c r="K27" s="1285" t="s">
        <v>4156</v>
      </c>
      <c r="L27" s="1289" t="s">
        <v>2480</v>
      </c>
      <c r="M27" s="1290">
        <v>12.0</v>
      </c>
      <c r="N27" s="1297"/>
      <c r="O27" s="1297"/>
      <c r="P27" s="1297"/>
      <c r="Q27" s="1297"/>
      <c r="R27" s="1297"/>
      <c r="S27" s="1297"/>
    </row>
    <row r="28">
      <c r="A28" s="1288" t="s">
        <v>706</v>
      </c>
      <c r="B28" s="1288">
        <f t="shared" si="4"/>
        <v>62</v>
      </c>
      <c r="C28" s="1285">
        <f t="shared" si="2"/>
        <v>22</v>
      </c>
      <c r="D28" s="1285">
        <f t="shared" si="3"/>
        <v>28</v>
      </c>
      <c r="E28" s="1288"/>
      <c r="F28" s="1288"/>
      <c r="G28" s="1288">
        <v>2023.0</v>
      </c>
      <c r="H28" s="1288" t="s">
        <v>2007</v>
      </c>
      <c r="I28" s="1285" t="s">
        <v>4168</v>
      </c>
      <c r="J28" s="1285" t="s">
        <v>1058</v>
      </c>
      <c r="K28" s="1285" t="s">
        <v>4158</v>
      </c>
      <c r="L28" s="1289" t="s">
        <v>2480</v>
      </c>
      <c r="M28" s="1290">
        <v>1.0</v>
      </c>
      <c r="N28" s="1297"/>
      <c r="O28" s="1297"/>
      <c r="P28" s="1297"/>
      <c r="Q28" s="1297"/>
      <c r="R28" s="1297"/>
      <c r="S28" s="1297"/>
    </row>
    <row r="29">
      <c r="A29" s="1288" t="s">
        <v>2027</v>
      </c>
      <c r="B29" s="1288">
        <f t="shared" si="4"/>
        <v>11</v>
      </c>
      <c r="C29" s="1285">
        <f t="shared" si="2"/>
        <v>6</v>
      </c>
      <c r="D29" s="1285">
        <f t="shared" si="3"/>
        <v>4</v>
      </c>
      <c r="E29" s="1288"/>
      <c r="F29" s="1288"/>
      <c r="G29" s="1288">
        <v>2023.0</v>
      </c>
      <c r="H29" s="1288" t="s">
        <v>2007</v>
      </c>
      <c r="I29" s="1285" t="s">
        <v>4168</v>
      </c>
      <c r="J29" s="1285" t="s">
        <v>1058</v>
      </c>
      <c r="K29" s="1285" t="s">
        <v>4160</v>
      </c>
      <c r="L29" s="1289" t="s">
        <v>2480</v>
      </c>
      <c r="M29" s="1290">
        <v>2.0</v>
      </c>
      <c r="N29" s="1297"/>
      <c r="O29" s="1297"/>
      <c r="P29" s="1297"/>
      <c r="Q29" s="1297"/>
      <c r="R29" s="1297"/>
      <c r="S29" s="1297"/>
    </row>
    <row r="30">
      <c r="A30" s="1288" t="s">
        <v>2028</v>
      </c>
      <c r="B30" s="1288">
        <f t="shared" si="4"/>
        <v>56</v>
      </c>
      <c r="C30" s="1285">
        <f t="shared" si="2"/>
        <v>16</v>
      </c>
      <c r="D30" s="1285">
        <f t="shared" si="3"/>
        <v>24</v>
      </c>
      <c r="E30" s="1288"/>
      <c r="F30" s="1288"/>
      <c r="G30" s="1288">
        <v>2023.0</v>
      </c>
      <c r="H30" s="1288" t="s">
        <v>2007</v>
      </c>
      <c r="I30" s="1285" t="s">
        <v>4168</v>
      </c>
      <c r="J30" s="1285" t="s">
        <v>4161</v>
      </c>
      <c r="K30" s="1285" t="s">
        <v>1055</v>
      </c>
      <c r="L30" s="1289" t="s">
        <v>1724</v>
      </c>
      <c r="M30" s="1290">
        <v>5.0</v>
      </c>
      <c r="N30" s="1297"/>
      <c r="O30" s="1297"/>
      <c r="P30" s="1297"/>
      <c r="Q30" s="1297"/>
      <c r="R30" s="1297"/>
      <c r="S30" s="1297"/>
    </row>
    <row r="31">
      <c r="A31" s="1288" t="s">
        <v>1034</v>
      </c>
      <c r="B31" s="1288">
        <f t="shared" si="4"/>
        <v>32</v>
      </c>
      <c r="C31" s="1285">
        <f t="shared" si="2"/>
        <v>7</v>
      </c>
      <c r="D31" s="1285">
        <f t="shared" si="3"/>
        <v>22</v>
      </c>
      <c r="E31" s="1288"/>
      <c r="F31" s="1288"/>
      <c r="G31" s="1288">
        <v>2023.0</v>
      </c>
      <c r="H31" s="1288" t="s">
        <v>2007</v>
      </c>
      <c r="I31" s="1285" t="s">
        <v>4168</v>
      </c>
      <c r="J31" s="1285" t="s">
        <v>4161</v>
      </c>
      <c r="K31" s="1285" t="s">
        <v>4161</v>
      </c>
      <c r="L31" s="1289" t="s">
        <v>2480</v>
      </c>
      <c r="M31" s="1290">
        <v>1.0</v>
      </c>
      <c r="N31" s="1297"/>
      <c r="O31" s="1297"/>
      <c r="P31" s="1297"/>
      <c r="Q31" s="1297"/>
      <c r="R31" s="1297"/>
      <c r="S31" s="1297"/>
    </row>
    <row r="32">
      <c r="A32" s="1288" t="s">
        <v>93</v>
      </c>
      <c r="B32" s="1288">
        <f t="shared" si="4"/>
        <v>14</v>
      </c>
      <c r="C32" s="1285">
        <f t="shared" si="2"/>
        <v>5</v>
      </c>
      <c r="D32" s="1285">
        <f t="shared" si="3"/>
        <v>5</v>
      </c>
      <c r="E32" s="1288"/>
      <c r="F32" s="1288"/>
      <c r="G32" s="1288">
        <v>2023.0</v>
      </c>
      <c r="H32" s="1288" t="s">
        <v>2008</v>
      </c>
      <c r="I32" s="1285" t="s">
        <v>4169</v>
      </c>
      <c r="J32" s="1285" t="s">
        <v>1058</v>
      </c>
      <c r="K32" s="1285" t="s">
        <v>4156</v>
      </c>
      <c r="L32" s="1289" t="s">
        <v>2480</v>
      </c>
      <c r="M32" s="1290">
        <v>4.0</v>
      </c>
      <c r="N32" s="1297"/>
      <c r="O32" s="1297"/>
      <c r="P32" s="1297"/>
      <c r="Q32" s="1297"/>
      <c r="R32" s="1297"/>
      <c r="S32" s="1297"/>
    </row>
    <row r="33">
      <c r="A33" s="1288" t="s">
        <v>2029</v>
      </c>
      <c r="B33" s="1288">
        <f t="shared" si="4"/>
        <v>30</v>
      </c>
      <c r="C33" s="1285">
        <f t="shared" si="2"/>
        <v>20</v>
      </c>
      <c r="D33" s="1285">
        <f t="shared" si="3"/>
        <v>8</v>
      </c>
      <c r="E33" s="1288"/>
      <c r="F33" s="1288"/>
      <c r="G33" s="1288">
        <v>2023.0</v>
      </c>
      <c r="H33" s="1288" t="s">
        <v>2008</v>
      </c>
      <c r="I33" s="1285" t="s">
        <v>4169</v>
      </c>
      <c r="J33" s="1285" t="s">
        <v>1058</v>
      </c>
      <c r="K33" s="1285" t="s">
        <v>4160</v>
      </c>
      <c r="L33" s="1289" t="s">
        <v>2480</v>
      </c>
      <c r="M33" s="1290">
        <v>1.0</v>
      </c>
      <c r="N33" s="1297"/>
      <c r="O33" s="1297"/>
      <c r="P33" s="1297"/>
      <c r="Q33" s="1297"/>
      <c r="R33" s="1297"/>
      <c r="S33" s="1297"/>
    </row>
    <row r="34">
      <c r="A34" s="1288" t="s">
        <v>1149</v>
      </c>
      <c r="B34" s="1288">
        <f t="shared" si="4"/>
        <v>236</v>
      </c>
      <c r="C34" s="1285">
        <f t="shared" si="2"/>
        <v>108</v>
      </c>
      <c r="D34" s="1285">
        <f t="shared" si="3"/>
        <v>77</v>
      </c>
      <c r="E34" s="1288"/>
      <c r="F34" s="1288"/>
      <c r="G34" s="1288">
        <v>2023.0</v>
      </c>
      <c r="H34" s="1288" t="s">
        <v>2008</v>
      </c>
      <c r="I34" s="1285" t="s">
        <v>4169</v>
      </c>
      <c r="J34" s="1285" t="s">
        <v>4161</v>
      </c>
      <c r="K34" s="1285" t="s">
        <v>1055</v>
      </c>
      <c r="L34" s="1289" t="s">
        <v>1724</v>
      </c>
      <c r="M34" s="1290">
        <v>2.0</v>
      </c>
      <c r="N34" s="1297"/>
      <c r="O34" s="1297"/>
      <c r="P34" s="1297"/>
      <c r="Q34" s="1297"/>
      <c r="R34" s="1297"/>
      <c r="S34" s="1297"/>
    </row>
    <row r="35">
      <c r="A35" s="1288" t="s">
        <v>2031</v>
      </c>
      <c r="B35" s="1288">
        <f t="shared" si="4"/>
        <v>12</v>
      </c>
      <c r="C35" s="1285">
        <f t="shared" si="2"/>
        <v>5</v>
      </c>
      <c r="D35" s="1285">
        <f t="shared" si="3"/>
        <v>3</v>
      </c>
      <c r="E35" s="1288"/>
      <c r="F35" s="1288"/>
      <c r="G35" s="1288">
        <v>2023.0</v>
      </c>
      <c r="H35" s="1288" t="s">
        <v>1783</v>
      </c>
      <c r="I35" s="1285" t="s">
        <v>4170</v>
      </c>
      <c r="J35" s="1285" t="s">
        <v>1058</v>
      </c>
      <c r="K35" s="1285" t="s">
        <v>4156</v>
      </c>
      <c r="L35" s="1289" t="s">
        <v>2480</v>
      </c>
      <c r="M35" s="1290">
        <v>1.0</v>
      </c>
      <c r="N35" s="1297"/>
      <c r="O35" s="1297"/>
      <c r="P35" s="1297"/>
      <c r="Q35" s="1297"/>
      <c r="R35" s="1297"/>
      <c r="S35" s="1297"/>
    </row>
    <row r="36">
      <c r="A36" s="1288" t="s">
        <v>2032</v>
      </c>
      <c r="B36" s="1288">
        <f t="shared" si="4"/>
        <v>2</v>
      </c>
      <c r="C36" s="1285">
        <f t="shared" si="2"/>
        <v>0</v>
      </c>
      <c r="D36" s="1285">
        <f t="shared" si="3"/>
        <v>0</v>
      </c>
      <c r="E36" s="1288"/>
      <c r="F36" s="1288"/>
      <c r="G36" s="1288">
        <v>2023.0</v>
      </c>
      <c r="H36" s="1288" t="s">
        <v>1783</v>
      </c>
      <c r="I36" s="1285" t="s">
        <v>4170</v>
      </c>
      <c r="J36" s="1285" t="s">
        <v>4161</v>
      </c>
      <c r="K36" s="1285" t="s">
        <v>1055</v>
      </c>
      <c r="L36" s="1289" t="s">
        <v>1724</v>
      </c>
      <c r="M36" s="1290">
        <v>2.0</v>
      </c>
      <c r="N36" s="1297"/>
      <c r="O36" s="1297"/>
      <c r="P36" s="1297"/>
      <c r="Q36" s="1297"/>
      <c r="R36" s="1297"/>
      <c r="S36" s="1297"/>
    </row>
    <row r="37">
      <c r="A37" s="1298" t="s">
        <v>708</v>
      </c>
      <c r="B37" s="1288">
        <f t="shared" si="4"/>
        <v>17</v>
      </c>
      <c r="C37" s="1285">
        <f t="shared" si="2"/>
        <v>5</v>
      </c>
      <c r="D37" s="1285">
        <f t="shared" si="3"/>
        <v>8</v>
      </c>
      <c r="E37" s="1288"/>
      <c r="F37" s="1288"/>
      <c r="G37" s="1288">
        <v>2023.0</v>
      </c>
      <c r="H37" s="1288" t="s">
        <v>2010</v>
      </c>
      <c r="I37" s="1285" t="s">
        <v>4171</v>
      </c>
      <c r="J37" s="1285" t="s">
        <v>1058</v>
      </c>
      <c r="K37" s="1285" t="s">
        <v>4163</v>
      </c>
      <c r="L37" s="1289" t="s">
        <v>2480</v>
      </c>
      <c r="M37" s="1290">
        <v>17.0</v>
      </c>
      <c r="N37" s="1297"/>
      <c r="O37" s="1297"/>
      <c r="P37" s="1297"/>
      <c r="Q37" s="1297"/>
      <c r="R37" s="1297"/>
      <c r="S37" s="1297"/>
    </row>
    <row r="38">
      <c r="A38" s="1288" t="s">
        <v>2033</v>
      </c>
      <c r="B38" s="1288">
        <f t="shared" si="4"/>
        <v>7</v>
      </c>
      <c r="C38" s="1285">
        <f t="shared" si="2"/>
        <v>4</v>
      </c>
      <c r="D38" s="1285">
        <f t="shared" si="3"/>
        <v>1</v>
      </c>
      <c r="E38" s="1288"/>
      <c r="F38" s="1288"/>
      <c r="G38" s="1288">
        <v>2023.0</v>
      </c>
      <c r="H38" s="1288" t="s">
        <v>2010</v>
      </c>
      <c r="I38" s="1285" t="s">
        <v>4171</v>
      </c>
      <c r="J38" s="1285" t="s">
        <v>1058</v>
      </c>
      <c r="K38" s="1285" t="s">
        <v>4156</v>
      </c>
      <c r="L38" s="1289" t="s">
        <v>2480</v>
      </c>
      <c r="M38" s="1290">
        <v>20.0</v>
      </c>
      <c r="N38" s="1297"/>
      <c r="O38" s="1297"/>
      <c r="P38" s="1297"/>
      <c r="Q38" s="1297"/>
      <c r="R38" s="1297"/>
      <c r="S38" s="1297"/>
    </row>
    <row r="39">
      <c r="A39" s="1288" t="s">
        <v>98</v>
      </c>
      <c r="B39" s="1288">
        <f t="shared" si="4"/>
        <v>10</v>
      </c>
      <c r="C39" s="1285">
        <f t="shared" si="2"/>
        <v>2</v>
      </c>
      <c r="D39" s="1285">
        <f t="shared" si="3"/>
        <v>5</v>
      </c>
      <c r="E39" s="1288"/>
      <c r="F39" s="1288"/>
      <c r="G39" s="1288">
        <v>2023.0</v>
      </c>
      <c r="H39" s="1288" t="s">
        <v>2010</v>
      </c>
      <c r="I39" s="1285" t="s">
        <v>4171</v>
      </c>
      <c r="J39" s="1285" t="s">
        <v>1058</v>
      </c>
      <c r="K39" s="1285" t="s">
        <v>4166</v>
      </c>
      <c r="L39" s="1289" t="s">
        <v>2480</v>
      </c>
      <c r="M39" s="1290">
        <v>6.0</v>
      </c>
      <c r="N39" s="1297"/>
      <c r="O39" s="1297"/>
      <c r="P39" s="1297"/>
      <c r="Q39" s="1297"/>
      <c r="R39" s="1297"/>
      <c r="S39" s="1297"/>
    </row>
    <row r="40">
      <c r="A40" s="1288" t="s">
        <v>101</v>
      </c>
      <c r="B40" s="1288">
        <f t="shared" si="4"/>
        <v>76</v>
      </c>
      <c r="C40" s="1285">
        <f t="shared" si="2"/>
        <v>21</v>
      </c>
      <c r="D40" s="1285">
        <f t="shared" si="3"/>
        <v>34</v>
      </c>
      <c r="E40" s="1288"/>
      <c r="F40" s="1288"/>
      <c r="G40" s="1288">
        <v>2023.0</v>
      </c>
      <c r="H40" s="1288" t="s">
        <v>2010</v>
      </c>
      <c r="I40" s="1285" t="s">
        <v>4171</v>
      </c>
      <c r="J40" s="1285" t="s">
        <v>1058</v>
      </c>
      <c r="K40" s="1285" t="s">
        <v>4161</v>
      </c>
      <c r="L40" s="1289" t="s">
        <v>2480</v>
      </c>
      <c r="M40" s="1290">
        <v>4.0</v>
      </c>
      <c r="N40" s="1297"/>
      <c r="O40" s="1297"/>
      <c r="P40" s="1297"/>
      <c r="Q40" s="1297"/>
      <c r="R40" s="1297"/>
      <c r="S40" s="1297"/>
    </row>
    <row r="41">
      <c r="A41" s="1288" t="s">
        <v>2034</v>
      </c>
      <c r="B41" s="1288">
        <f t="shared" si="4"/>
        <v>4</v>
      </c>
      <c r="C41" s="1285">
        <f t="shared" si="2"/>
        <v>1</v>
      </c>
      <c r="D41" s="1285">
        <f t="shared" si="3"/>
        <v>0</v>
      </c>
      <c r="E41" s="1288"/>
      <c r="F41" s="1288"/>
      <c r="G41" s="1288">
        <v>2023.0</v>
      </c>
      <c r="H41" s="1288" t="s">
        <v>2010</v>
      </c>
      <c r="I41" s="1285" t="s">
        <v>4171</v>
      </c>
      <c r="J41" s="1285" t="s">
        <v>1058</v>
      </c>
      <c r="K41" s="1285" t="s">
        <v>4160</v>
      </c>
      <c r="L41" s="1289" t="s">
        <v>2480</v>
      </c>
      <c r="M41" s="1290">
        <v>5.0</v>
      </c>
      <c r="N41" s="1297"/>
      <c r="O41" s="1297"/>
      <c r="P41" s="1297"/>
      <c r="Q41" s="1297"/>
      <c r="R41" s="1297"/>
      <c r="S41" s="1297"/>
    </row>
    <row r="42">
      <c r="A42" s="1288" t="s">
        <v>112</v>
      </c>
      <c r="B42" s="1288">
        <f t="shared" si="4"/>
        <v>6</v>
      </c>
      <c r="C42" s="1285">
        <f t="shared" si="2"/>
        <v>3</v>
      </c>
      <c r="D42" s="1285">
        <f t="shared" si="3"/>
        <v>2</v>
      </c>
      <c r="E42" s="1288"/>
      <c r="F42" s="1288"/>
      <c r="G42" s="1288">
        <v>2023.0</v>
      </c>
      <c r="H42" s="1288" t="s">
        <v>2010</v>
      </c>
      <c r="I42" s="1285" t="s">
        <v>4171</v>
      </c>
      <c r="J42" s="1285" t="s">
        <v>4161</v>
      </c>
      <c r="K42" s="1285" t="s">
        <v>4167</v>
      </c>
      <c r="L42" s="1289" t="s">
        <v>2480</v>
      </c>
      <c r="M42" s="1290">
        <v>1.0</v>
      </c>
      <c r="N42" s="1297"/>
      <c r="O42" s="1297"/>
      <c r="P42" s="1297"/>
      <c r="Q42" s="1297"/>
      <c r="R42" s="1297"/>
      <c r="S42" s="1297"/>
    </row>
    <row r="43">
      <c r="A43" s="1288" t="s">
        <v>2035</v>
      </c>
      <c r="B43" s="1288">
        <f t="shared" si="4"/>
        <v>1</v>
      </c>
      <c r="C43" s="1285">
        <f t="shared" si="2"/>
        <v>0</v>
      </c>
      <c r="D43" s="1285">
        <f t="shared" si="3"/>
        <v>0</v>
      </c>
      <c r="E43" s="1288"/>
      <c r="F43" s="1288"/>
      <c r="G43" s="1288">
        <v>2023.0</v>
      </c>
      <c r="H43" s="1288" t="s">
        <v>2010</v>
      </c>
      <c r="I43" s="1285" t="s">
        <v>4171</v>
      </c>
      <c r="J43" s="1285" t="s">
        <v>4161</v>
      </c>
      <c r="K43" s="1285" t="s">
        <v>1055</v>
      </c>
      <c r="L43" s="1289" t="s">
        <v>1724</v>
      </c>
      <c r="M43" s="1290">
        <v>31.0</v>
      </c>
      <c r="N43" s="1297"/>
      <c r="O43" s="1297"/>
      <c r="P43" s="1297"/>
      <c r="Q43" s="1297"/>
      <c r="R43" s="1297"/>
      <c r="S43" s="1297"/>
    </row>
    <row r="44">
      <c r="A44" s="1288" t="s">
        <v>2036</v>
      </c>
      <c r="B44" s="1288">
        <f t="shared" si="4"/>
        <v>4</v>
      </c>
      <c r="C44" s="1285">
        <f t="shared" si="2"/>
        <v>0</v>
      </c>
      <c r="D44" s="1285">
        <f t="shared" si="3"/>
        <v>3</v>
      </c>
      <c r="E44" s="1288"/>
      <c r="F44" s="1288"/>
      <c r="G44" s="1288">
        <v>2023.0</v>
      </c>
      <c r="H44" s="1288" t="s">
        <v>2011</v>
      </c>
      <c r="I44" s="1285" t="s">
        <v>4172</v>
      </c>
      <c r="J44" s="1285" t="s">
        <v>1058</v>
      </c>
      <c r="K44" s="1285" t="s">
        <v>4156</v>
      </c>
      <c r="L44" s="1289" t="s">
        <v>2480</v>
      </c>
      <c r="M44" s="1290">
        <v>3.0</v>
      </c>
      <c r="N44" s="1297"/>
      <c r="O44" s="1297"/>
      <c r="P44" s="1297"/>
      <c r="Q44" s="1297"/>
      <c r="R44" s="1297"/>
      <c r="S44" s="1297"/>
    </row>
    <row r="45">
      <c r="A45" s="1288" t="s">
        <v>2037</v>
      </c>
      <c r="B45" s="1288">
        <f t="shared" si="4"/>
        <v>19</v>
      </c>
      <c r="C45" s="1285">
        <f t="shared" si="2"/>
        <v>8</v>
      </c>
      <c r="D45" s="1285">
        <f t="shared" si="3"/>
        <v>8</v>
      </c>
      <c r="E45" s="1288"/>
      <c r="F45" s="1288"/>
      <c r="G45" s="1288">
        <v>2023.0</v>
      </c>
      <c r="H45" s="1288" t="s">
        <v>2011</v>
      </c>
      <c r="I45" s="1285" t="s">
        <v>4172</v>
      </c>
      <c r="J45" s="1285" t="s">
        <v>4161</v>
      </c>
      <c r="K45" s="1285" t="s">
        <v>4167</v>
      </c>
      <c r="L45" s="1289" t="s">
        <v>2480</v>
      </c>
      <c r="M45" s="1290">
        <v>2.0</v>
      </c>
      <c r="N45" s="1297"/>
      <c r="O45" s="1297"/>
      <c r="P45" s="1297"/>
      <c r="Q45" s="1297"/>
      <c r="R45" s="1297"/>
      <c r="S45" s="1297"/>
    </row>
    <row r="46">
      <c r="A46" s="1288" t="s">
        <v>405</v>
      </c>
      <c r="B46" s="1288">
        <f t="shared" si="4"/>
        <v>189</v>
      </c>
      <c r="C46" s="1285">
        <f t="shared" si="2"/>
        <v>72</v>
      </c>
      <c r="D46" s="1285">
        <f t="shared" si="3"/>
        <v>73</v>
      </c>
      <c r="E46" s="1288"/>
      <c r="F46" s="1288"/>
      <c r="G46" s="1288">
        <v>2023.0</v>
      </c>
      <c r="H46" s="1288" t="s">
        <v>2012</v>
      </c>
      <c r="I46" s="1285" t="s">
        <v>4170</v>
      </c>
      <c r="J46" s="1285" t="s">
        <v>1058</v>
      </c>
      <c r="K46" s="1285" t="s">
        <v>4163</v>
      </c>
      <c r="L46" s="1289" t="s">
        <v>2480</v>
      </c>
      <c r="M46" s="1290">
        <v>2.0</v>
      </c>
      <c r="N46" s="1297"/>
      <c r="O46" s="1297"/>
      <c r="P46" s="1297"/>
      <c r="Q46" s="1297"/>
      <c r="R46" s="1297"/>
      <c r="S46" s="1297"/>
    </row>
    <row r="47">
      <c r="A47" s="1288" t="s">
        <v>2038</v>
      </c>
      <c r="B47" s="1288">
        <f t="shared" si="4"/>
        <v>3</v>
      </c>
      <c r="C47" s="1285">
        <f t="shared" si="2"/>
        <v>1</v>
      </c>
      <c r="D47" s="1285">
        <f t="shared" si="3"/>
        <v>0</v>
      </c>
      <c r="E47" s="1288"/>
      <c r="F47" s="1288"/>
      <c r="G47" s="1288">
        <v>2023.0</v>
      </c>
      <c r="H47" s="1288" t="s">
        <v>2012</v>
      </c>
      <c r="I47" s="1285" t="s">
        <v>4170</v>
      </c>
      <c r="J47" s="1285" t="s">
        <v>1058</v>
      </c>
      <c r="K47" s="1285" t="s">
        <v>4156</v>
      </c>
      <c r="L47" s="1289" t="s">
        <v>2480</v>
      </c>
      <c r="M47" s="1290">
        <v>8.0</v>
      </c>
      <c r="N47" s="1297"/>
      <c r="O47" s="1297"/>
      <c r="P47" s="1297"/>
      <c r="Q47" s="1297"/>
      <c r="R47" s="1297"/>
      <c r="S47" s="1297"/>
    </row>
    <row r="48">
      <c r="A48" s="1288" t="s">
        <v>36</v>
      </c>
      <c r="B48" s="1288">
        <f t="shared" si="4"/>
        <v>1</v>
      </c>
      <c r="C48" s="1285">
        <f t="shared" si="2"/>
        <v>0</v>
      </c>
      <c r="D48" s="1285">
        <f t="shared" si="3"/>
        <v>0</v>
      </c>
      <c r="E48" s="1288"/>
      <c r="F48" s="1288"/>
      <c r="G48" s="1288">
        <v>2023.0</v>
      </c>
      <c r="H48" s="1288" t="s">
        <v>2012</v>
      </c>
      <c r="I48" s="1285" t="s">
        <v>4170</v>
      </c>
      <c r="J48" s="1285" t="s">
        <v>1058</v>
      </c>
      <c r="K48" s="1285" t="s">
        <v>4166</v>
      </c>
      <c r="L48" s="1289" t="s">
        <v>2480</v>
      </c>
      <c r="M48" s="1290">
        <v>1.0</v>
      </c>
      <c r="N48" s="1297"/>
      <c r="O48" s="1297"/>
      <c r="P48" s="1297"/>
      <c r="Q48" s="1297"/>
      <c r="R48" s="1297"/>
      <c r="S48" s="1297"/>
    </row>
    <row r="49">
      <c r="A49" s="1288" t="s">
        <v>2039</v>
      </c>
      <c r="B49" s="1288">
        <f t="shared" si="4"/>
        <v>126</v>
      </c>
      <c r="C49" s="1285">
        <f t="shared" si="2"/>
        <v>36</v>
      </c>
      <c r="D49" s="1285">
        <f t="shared" si="3"/>
        <v>59</v>
      </c>
      <c r="E49" s="1288"/>
      <c r="F49" s="1288"/>
      <c r="G49" s="1288">
        <v>2023.0</v>
      </c>
      <c r="H49" s="1288" t="s">
        <v>2012</v>
      </c>
      <c r="I49" s="1285" t="s">
        <v>4170</v>
      </c>
      <c r="J49" s="1285" t="s">
        <v>1058</v>
      </c>
      <c r="K49" s="1285" t="s">
        <v>4161</v>
      </c>
      <c r="L49" s="1289" t="s">
        <v>2480</v>
      </c>
      <c r="M49" s="1290">
        <v>2.0</v>
      </c>
      <c r="N49" s="1297"/>
      <c r="O49" s="1297"/>
      <c r="P49" s="1297"/>
      <c r="Q49" s="1297"/>
      <c r="R49" s="1297"/>
      <c r="S49" s="1297"/>
    </row>
    <row r="50">
      <c r="A50" s="1288" t="s">
        <v>964</v>
      </c>
      <c r="B50" s="1288">
        <f t="shared" si="4"/>
        <v>46</v>
      </c>
      <c r="C50" s="1285">
        <f t="shared" si="2"/>
        <v>18</v>
      </c>
      <c r="D50" s="1285">
        <f t="shared" si="3"/>
        <v>15</v>
      </c>
      <c r="E50" s="1288"/>
      <c r="F50" s="1288"/>
      <c r="G50" s="1288">
        <v>2023.0</v>
      </c>
      <c r="H50" s="1288" t="s">
        <v>2012</v>
      </c>
      <c r="I50" s="1285" t="s">
        <v>4170</v>
      </c>
      <c r="J50" s="1285" t="s">
        <v>4161</v>
      </c>
      <c r="K50" s="1285" t="s">
        <v>1055</v>
      </c>
      <c r="L50" s="1289" t="s">
        <v>1724</v>
      </c>
      <c r="M50" s="1290">
        <v>1.0</v>
      </c>
      <c r="N50" s="1297"/>
      <c r="O50" s="1297"/>
      <c r="P50" s="1297"/>
      <c r="Q50" s="1297"/>
      <c r="R50" s="1297"/>
      <c r="S50" s="1297"/>
    </row>
    <row r="51">
      <c r="A51" s="1288" t="s">
        <v>2041</v>
      </c>
      <c r="B51" s="1288">
        <f t="shared" si="4"/>
        <v>0</v>
      </c>
      <c r="C51" s="1285">
        <f t="shared" si="2"/>
        <v>0</v>
      </c>
      <c r="D51" s="1285">
        <f t="shared" si="3"/>
        <v>0</v>
      </c>
      <c r="E51" s="1288"/>
      <c r="F51" s="1288"/>
      <c r="G51" s="1288">
        <v>2023.0</v>
      </c>
      <c r="H51" s="1288" t="s">
        <v>2012</v>
      </c>
      <c r="I51" s="1285" t="s">
        <v>4170</v>
      </c>
      <c r="J51" s="1285" t="s">
        <v>4161</v>
      </c>
      <c r="K51" s="1285" t="s">
        <v>4161</v>
      </c>
      <c r="L51" s="1289" t="s">
        <v>2480</v>
      </c>
      <c r="M51" s="1290">
        <v>1.0</v>
      </c>
      <c r="N51" s="1297"/>
      <c r="O51" s="1299"/>
      <c r="P51" s="1297"/>
      <c r="Q51" s="1299"/>
      <c r="R51" s="1297"/>
      <c r="S51" s="1297"/>
    </row>
    <row r="52">
      <c r="A52" s="1288" t="s">
        <v>2042</v>
      </c>
      <c r="B52" s="1288">
        <f t="shared" si="4"/>
        <v>37</v>
      </c>
      <c r="C52" s="1285">
        <f t="shared" si="2"/>
        <v>13</v>
      </c>
      <c r="D52" s="1285">
        <f t="shared" si="3"/>
        <v>18</v>
      </c>
      <c r="E52" s="1288"/>
      <c r="F52" s="1288"/>
      <c r="G52" s="1288">
        <v>2023.0</v>
      </c>
      <c r="H52" s="1288" t="s">
        <v>2013</v>
      </c>
      <c r="I52" s="1285" t="s">
        <v>4171</v>
      </c>
      <c r="J52" s="1285" t="s">
        <v>1058</v>
      </c>
      <c r="K52" s="1285" t="s">
        <v>4163</v>
      </c>
      <c r="L52" s="1289" t="s">
        <v>2480</v>
      </c>
      <c r="M52" s="1290">
        <v>1.0</v>
      </c>
      <c r="N52" s="1297"/>
      <c r="O52" s="1297"/>
      <c r="P52" s="1297"/>
      <c r="Q52" s="1297"/>
      <c r="R52" s="1297"/>
      <c r="S52" s="1297"/>
    </row>
    <row r="53">
      <c r="A53" s="1288" t="s">
        <v>2043</v>
      </c>
      <c r="B53" s="1288">
        <f t="shared" si="4"/>
        <v>56</v>
      </c>
      <c r="C53" s="1285">
        <f t="shared" si="2"/>
        <v>19</v>
      </c>
      <c r="D53" s="1285">
        <f t="shared" si="3"/>
        <v>26</v>
      </c>
      <c r="E53" s="1288"/>
      <c r="F53" s="1288"/>
      <c r="G53" s="1288">
        <v>2023.0</v>
      </c>
      <c r="H53" s="1288" t="s">
        <v>2013</v>
      </c>
      <c r="I53" s="1285" t="s">
        <v>4171</v>
      </c>
      <c r="J53" s="1285" t="s">
        <v>1058</v>
      </c>
      <c r="K53" s="1285" t="s">
        <v>4156</v>
      </c>
      <c r="L53" s="1289" t="s">
        <v>2480</v>
      </c>
      <c r="M53" s="1290">
        <v>4.0</v>
      </c>
      <c r="N53" s="1297"/>
      <c r="O53" s="1297"/>
      <c r="P53" s="1297"/>
      <c r="Q53" s="1297"/>
      <c r="R53" s="1297"/>
      <c r="S53" s="1297"/>
    </row>
    <row r="54">
      <c r="A54" s="1288" t="s">
        <v>2044</v>
      </c>
      <c r="B54" s="1288">
        <f t="shared" si="4"/>
        <v>7</v>
      </c>
      <c r="C54" s="1285">
        <f t="shared" si="2"/>
        <v>2</v>
      </c>
      <c r="D54" s="1285">
        <f t="shared" si="3"/>
        <v>5</v>
      </c>
      <c r="E54" s="1288"/>
      <c r="F54" s="1288"/>
      <c r="G54" s="1288">
        <v>2023.0</v>
      </c>
      <c r="H54" s="1288" t="s">
        <v>2013</v>
      </c>
      <c r="I54" s="1285" t="s">
        <v>4171</v>
      </c>
      <c r="J54" s="1285" t="s">
        <v>1058</v>
      </c>
      <c r="K54" s="1285" t="s">
        <v>4157</v>
      </c>
      <c r="L54" s="1289" t="s">
        <v>1724</v>
      </c>
      <c r="M54" s="1290">
        <v>1.0</v>
      </c>
      <c r="N54" s="1297"/>
      <c r="O54" s="1297"/>
      <c r="P54" s="1297"/>
      <c r="Q54" s="1297"/>
      <c r="R54" s="1297"/>
      <c r="S54" s="1297"/>
    </row>
    <row r="55">
      <c r="A55" s="1288" t="s">
        <v>2046</v>
      </c>
      <c r="B55" s="1288">
        <f t="shared" si="4"/>
        <v>0</v>
      </c>
      <c r="C55" s="1285">
        <f t="shared" si="2"/>
        <v>0</v>
      </c>
      <c r="D55" s="1285">
        <f t="shared" si="3"/>
        <v>0</v>
      </c>
      <c r="E55" s="1288"/>
      <c r="F55" s="1288"/>
      <c r="G55" s="1288">
        <v>2023.0</v>
      </c>
      <c r="H55" s="1288" t="s">
        <v>2013</v>
      </c>
      <c r="I55" s="1285" t="s">
        <v>4171</v>
      </c>
      <c r="J55" s="1285" t="s">
        <v>1058</v>
      </c>
      <c r="K55" s="1285" t="s">
        <v>4165</v>
      </c>
      <c r="L55" s="1289" t="s">
        <v>2480</v>
      </c>
      <c r="M55" s="1290">
        <v>2.0</v>
      </c>
      <c r="N55" s="1297"/>
      <c r="O55" s="1297"/>
      <c r="P55" s="1297"/>
      <c r="Q55" s="1297"/>
      <c r="R55" s="1297"/>
      <c r="S55" s="1297"/>
    </row>
    <row r="56">
      <c r="A56" s="1288" t="s">
        <v>1900</v>
      </c>
      <c r="B56" s="1288">
        <f t="shared" si="4"/>
        <v>4</v>
      </c>
      <c r="C56" s="1285">
        <f t="shared" si="2"/>
        <v>2</v>
      </c>
      <c r="D56" s="1285">
        <f t="shared" si="3"/>
        <v>1</v>
      </c>
      <c r="E56" s="1288"/>
      <c r="F56" s="1288"/>
      <c r="G56" s="1288">
        <v>2023.0</v>
      </c>
      <c r="H56" s="1288" t="s">
        <v>2013</v>
      </c>
      <c r="I56" s="1285" t="s">
        <v>4171</v>
      </c>
      <c r="J56" s="1285" t="s">
        <v>1058</v>
      </c>
      <c r="K56" s="1285" t="s">
        <v>4166</v>
      </c>
      <c r="L56" s="1289" t="s">
        <v>2480</v>
      </c>
      <c r="M56" s="1290">
        <v>1.0</v>
      </c>
      <c r="N56" s="1297"/>
      <c r="O56" s="1297"/>
      <c r="P56" s="1297"/>
      <c r="Q56" s="1297"/>
      <c r="R56" s="1297"/>
      <c r="S56" s="1297"/>
    </row>
    <row r="57">
      <c r="A57" s="1288" t="s">
        <v>2047</v>
      </c>
      <c r="B57" s="1288">
        <f t="shared" si="4"/>
        <v>6</v>
      </c>
      <c r="C57" s="1285">
        <f t="shared" si="2"/>
        <v>0</v>
      </c>
      <c r="D57" s="1285">
        <f t="shared" si="3"/>
        <v>6</v>
      </c>
      <c r="E57" s="1288"/>
      <c r="F57" s="1288"/>
      <c r="G57" s="1288">
        <v>2023.0</v>
      </c>
      <c r="H57" s="1288" t="s">
        <v>2013</v>
      </c>
      <c r="I57" s="1285" t="s">
        <v>4171</v>
      </c>
      <c r="J57" s="1285" t="s">
        <v>1058</v>
      </c>
      <c r="K57" s="1285" t="s">
        <v>4160</v>
      </c>
      <c r="L57" s="1289" t="s">
        <v>2480</v>
      </c>
      <c r="M57" s="1290">
        <v>6.0</v>
      </c>
      <c r="N57" s="1297"/>
      <c r="O57" s="1297"/>
      <c r="P57" s="1297"/>
      <c r="Q57" s="1297"/>
      <c r="R57" s="1297"/>
      <c r="S57" s="1297"/>
    </row>
    <row r="58">
      <c r="A58" s="1288" t="s">
        <v>2049</v>
      </c>
      <c r="B58" s="1288">
        <f t="shared" si="4"/>
        <v>13</v>
      </c>
      <c r="C58" s="1285">
        <f t="shared" si="2"/>
        <v>8</v>
      </c>
      <c r="D58" s="1285">
        <f t="shared" si="3"/>
        <v>1</v>
      </c>
      <c r="E58" s="1288"/>
      <c r="F58" s="1288"/>
      <c r="G58" s="1288">
        <v>2023.0</v>
      </c>
      <c r="H58" s="1288" t="s">
        <v>2013</v>
      </c>
      <c r="I58" s="1285" t="s">
        <v>4171</v>
      </c>
      <c r="J58" s="1285" t="s">
        <v>4161</v>
      </c>
      <c r="K58" s="1285" t="s">
        <v>1055</v>
      </c>
      <c r="L58" s="1289" t="s">
        <v>1724</v>
      </c>
      <c r="M58" s="1290">
        <v>5.0</v>
      </c>
      <c r="N58" s="1297"/>
      <c r="O58" s="1297"/>
      <c r="P58" s="1297"/>
      <c r="Q58" s="1297"/>
      <c r="R58" s="1297"/>
      <c r="S58" s="1297"/>
    </row>
    <row r="59">
      <c r="A59" s="1288" t="s">
        <v>2050</v>
      </c>
      <c r="B59" s="1288">
        <f t="shared" si="4"/>
        <v>27</v>
      </c>
      <c r="C59" s="1285">
        <f t="shared" si="2"/>
        <v>14</v>
      </c>
      <c r="D59" s="1285">
        <f t="shared" si="3"/>
        <v>6</v>
      </c>
      <c r="E59" s="1288"/>
      <c r="F59" s="1288"/>
      <c r="G59" s="1288">
        <v>2023.0</v>
      </c>
      <c r="H59" s="1288" t="s">
        <v>2014</v>
      </c>
      <c r="I59" s="1285" t="s">
        <v>4173</v>
      </c>
      <c r="J59" s="1285" t="s">
        <v>1058</v>
      </c>
      <c r="K59" s="1285" t="s">
        <v>4163</v>
      </c>
      <c r="L59" s="1289" t="s">
        <v>2480</v>
      </c>
      <c r="M59" s="1290">
        <v>2.0</v>
      </c>
      <c r="N59" s="1297"/>
      <c r="O59" s="1297"/>
      <c r="P59" s="1297"/>
      <c r="Q59" s="1297"/>
      <c r="R59" s="1297"/>
      <c r="S59" s="1297"/>
    </row>
    <row r="60">
      <c r="A60" s="1288" t="s">
        <v>130</v>
      </c>
      <c r="B60" s="1288">
        <f t="shared" si="4"/>
        <v>1212</v>
      </c>
      <c r="C60" s="1285">
        <f t="shared" si="2"/>
        <v>535</v>
      </c>
      <c r="D60" s="1285">
        <f t="shared" si="3"/>
        <v>485</v>
      </c>
      <c r="E60" s="1288"/>
      <c r="F60" s="1288"/>
      <c r="G60" s="1288">
        <v>2023.0</v>
      </c>
      <c r="H60" s="1288" t="s">
        <v>2014</v>
      </c>
      <c r="I60" s="1285" t="s">
        <v>4173</v>
      </c>
      <c r="J60" s="1285" t="s">
        <v>1058</v>
      </c>
      <c r="K60" s="1285" t="s">
        <v>4156</v>
      </c>
      <c r="L60" s="1289" t="s">
        <v>2480</v>
      </c>
      <c r="M60" s="1290">
        <v>12.0</v>
      </c>
      <c r="N60" s="1297"/>
      <c r="O60" s="1297"/>
      <c r="P60" s="1297"/>
      <c r="Q60" s="1297"/>
      <c r="R60" s="1297"/>
      <c r="S60" s="1297"/>
    </row>
    <row r="61">
      <c r="A61" s="1288" t="s">
        <v>562</v>
      </c>
      <c r="B61" s="1288">
        <f t="shared" si="4"/>
        <v>8</v>
      </c>
      <c r="C61" s="1285">
        <f t="shared" si="2"/>
        <v>4</v>
      </c>
      <c r="D61" s="1285">
        <f t="shared" si="3"/>
        <v>4</v>
      </c>
      <c r="E61" s="1288"/>
      <c r="F61" s="1288"/>
      <c r="G61" s="1288">
        <v>2023.0</v>
      </c>
      <c r="H61" s="1288" t="s">
        <v>2014</v>
      </c>
      <c r="I61" s="1285" t="s">
        <v>4173</v>
      </c>
      <c r="J61" s="1285" t="s">
        <v>1058</v>
      </c>
      <c r="K61" s="1285" t="s">
        <v>4157</v>
      </c>
      <c r="L61" s="1289" t="s">
        <v>1724</v>
      </c>
      <c r="M61" s="1290">
        <v>3.0</v>
      </c>
      <c r="N61" s="1297"/>
      <c r="O61" s="1297"/>
      <c r="P61" s="1297"/>
      <c r="Q61" s="1297"/>
      <c r="R61" s="1297"/>
      <c r="S61" s="1297"/>
    </row>
    <row r="62">
      <c r="A62" s="1288" t="s">
        <v>2052</v>
      </c>
      <c r="B62" s="1288">
        <f t="shared" si="4"/>
        <v>8</v>
      </c>
      <c r="C62" s="1285">
        <f t="shared" si="2"/>
        <v>2</v>
      </c>
      <c r="D62" s="1285">
        <f t="shared" si="3"/>
        <v>4</v>
      </c>
      <c r="E62" s="1288"/>
      <c r="F62" s="1288"/>
      <c r="G62" s="1288">
        <v>2023.0</v>
      </c>
      <c r="H62" s="1288" t="s">
        <v>2014</v>
      </c>
      <c r="I62" s="1285" t="s">
        <v>4173</v>
      </c>
      <c r="J62" s="1285" t="s">
        <v>1058</v>
      </c>
      <c r="K62" s="1285" t="s">
        <v>4158</v>
      </c>
      <c r="L62" s="1289" t="s">
        <v>2480</v>
      </c>
      <c r="M62" s="1290">
        <v>4.0</v>
      </c>
      <c r="N62" s="1297"/>
      <c r="O62" s="1297"/>
      <c r="P62" s="1297"/>
      <c r="Q62" s="1297"/>
      <c r="R62" s="1297"/>
      <c r="S62" s="1297"/>
    </row>
    <row r="63">
      <c r="A63" s="1288" t="s">
        <v>407</v>
      </c>
      <c r="B63" s="1288">
        <f t="shared" si="4"/>
        <v>2</v>
      </c>
      <c r="C63" s="1285">
        <f t="shared" si="2"/>
        <v>1</v>
      </c>
      <c r="D63" s="1285">
        <f t="shared" si="3"/>
        <v>0</v>
      </c>
      <c r="E63" s="1288"/>
      <c r="F63" s="1288"/>
      <c r="G63" s="1288">
        <v>2023.0</v>
      </c>
      <c r="H63" s="1288" t="s">
        <v>2014</v>
      </c>
      <c r="I63" s="1285" t="s">
        <v>4173</v>
      </c>
      <c r="J63" s="1285" t="s">
        <v>1058</v>
      </c>
      <c r="K63" s="1285" t="s">
        <v>4165</v>
      </c>
      <c r="L63" s="1289" t="s">
        <v>2480</v>
      </c>
      <c r="M63" s="1290">
        <v>1.0</v>
      </c>
      <c r="N63" s="1297"/>
      <c r="O63" s="1297"/>
      <c r="P63" s="1297"/>
      <c r="Q63" s="1297"/>
      <c r="R63" s="1297"/>
      <c r="S63" s="1297"/>
    </row>
    <row r="64">
      <c r="A64" s="1288" t="s">
        <v>485</v>
      </c>
      <c r="B64" s="1288">
        <f t="shared" si="4"/>
        <v>292</v>
      </c>
      <c r="C64" s="1285">
        <f t="shared" si="2"/>
        <v>134</v>
      </c>
      <c r="D64" s="1285">
        <f t="shared" si="3"/>
        <v>106</v>
      </c>
      <c r="E64" s="1288"/>
      <c r="F64" s="1288"/>
      <c r="G64" s="1288">
        <v>2023.0</v>
      </c>
      <c r="H64" s="1288" t="s">
        <v>2014</v>
      </c>
      <c r="I64" s="1285" t="s">
        <v>4173</v>
      </c>
      <c r="J64" s="1285" t="s">
        <v>1058</v>
      </c>
      <c r="K64" s="1285" t="s">
        <v>4166</v>
      </c>
      <c r="L64" s="1289" t="s">
        <v>2480</v>
      </c>
      <c r="M64" s="1290">
        <v>2.0</v>
      </c>
      <c r="N64" s="1297"/>
      <c r="O64" s="1297"/>
      <c r="P64" s="1297"/>
      <c r="Q64" s="1297"/>
      <c r="R64" s="1297"/>
      <c r="S64" s="1297"/>
    </row>
    <row r="65">
      <c r="A65" s="1288" t="s">
        <v>2531</v>
      </c>
      <c r="B65" s="1288">
        <f t="shared" si="4"/>
        <v>23</v>
      </c>
      <c r="C65" s="1285">
        <f t="shared" si="2"/>
        <v>5</v>
      </c>
      <c r="D65" s="1285">
        <f t="shared" si="3"/>
        <v>8</v>
      </c>
      <c r="E65" s="1288"/>
      <c r="F65" s="1288"/>
      <c r="G65" s="1288">
        <v>2023.0</v>
      </c>
      <c r="H65" s="1288" t="s">
        <v>2014</v>
      </c>
      <c r="I65" s="1285" t="s">
        <v>4173</v>
      </c>
      <c r="J65" s="1285" t="s">
        <v>1058</v>
      </c>
      <c r="K65" s="1285" t="s">
        <v>4161</v>
      </c>
      <c r="L65" s="1289" t="s">
        <v>2480</v>
      </c>
      <c r="M65" s="1290">
        <v>1.0</v>
      </c>
      <c r="N65" s="1297"/>
      <c r="O65" s="1297"/>
      <c r="P65" s="1297"/>
      <c r="Q65" s="1297"/>
      <c r="R65" s="1297"/>
      <c r="S65" s="1297"/>
    </row>
    <row r="66">
      <c r="A66" s="1288" t="s">
        <v>2056</v>
      </c>
      <c r="B66" s="1288">
        <f t="shared" si="4"/>
        <v>0</v>
      </c>
      <c r="C66" s="1285">
        <f t="shared" si="2"/>
        <v>0</v>
      </c>
      <c r="D66" s="1285">
        <f t="shared" si="3"/>
        <v>0</v>
      </c>
      <c r="E66" s="1288"/>
      <c r="F66" s="1288"/>
      <c r="G66" s="1288">
        <v>2023.0</v>
      </c>
      <c r="H66" s="1288" t="s">
        <v>2014</v>
      </c>
      <c r="I66" s="1285" t="s">
        <v>4173</v>
      </c>
      <c r="J66" s="1285" t="s">
        <v>1058</v>
      </c>
      <c r="K66" s="1285" t="s">
        <v>4160</v>
      </c>
      <c r="L66" s="1289" t="s">
        <v>2480</v>
      </c>
      <c r="M66" s="1300">
        <v>4.0</v>
      </c>
      <c r="N66" s="1297"/>
      <c r="O66" s="1297"/>
      <c r="P66" s="1297"/>
      <c r="Q66" s="1297"/>
      <c r="R66" s="1297"/>
      <c r="S66" s="1297"/>
    </row>
    <row r="67">
      <c r="A67" s="1288" t="s">
        <v>2057</v>
      </c>
      <c r="B67" s="1288">
        <f t="shared" si="4"/>
        <v>20</v>
      </c>
      <c r="C67" s="1285">
        <f t="shared" si="2"/>
        <v>1</v>
      </c>
      <c r="D67" s="1285">
        <f t="shared" si="3"/>
        <v>15</v>
      </c>
      <c r="E67" s="1288"/>
      <c r="F67" s="1288"/>
      <c r="G67" s="1288">
        <v>2023.0</v>
      </c>
      <c r="H67" s="1288" t="s">
        <v>2014</v>
      </c>
      <c r="I67" s="1285" t="s">
        <v>4173</v>
      </c>
      <c r="J67" s="1285" t="s">
        <v>4161</v>
      </c>
      <c r="K67" s="1285" t="s">
        <v>1055</v>
      </c>
      <c r="L67" s="1289" t="s">
        <v>1724</v>
      </c>
      <c r="M67" s="1290">
        <v>37.0</v>
      </c>
      <c r="N67" s="1297"/>
      <c r="O67" s="1297"/>
      <c r="P67" s="1297"/>
      <c r="Q67" s="1297"/>
      <c r="R67" s="1297"/>
      <c r="S67" s="1297"/>
    </row>
    <row r="68">
      <c r="A68" s="1288" t="s">
        <v>2059</v>
      </c>
      <c r="B68" s="1288">
        <f t="shared" si="4"/>
        <v>0</v>
      </c>
      <c r="C68" s="1285">
        <f t="shared" si="2"/>
        <v>0</v>
      </c>
      <c r="D68" s="1285">
        <f t="shared" si="3"/>
        <v>0</v>
      </c>
      <c r="E68" s="1288"/>
      <c r="F68" s="1288"/>
      <c r="G68" s="1288">
        <v>2023.0</v>
      </c>
      <c r="H68" s="1288" t="s">
        <v>2015</v>
      </c>
      <c r="I68" s="1285" t="s">
        <v>4169</v>
      </c>
      <c r="J68" s="1285" t="s">
        <v>1058</v>
      </c>
      <c r="K68" s="1285" t="s">
        <v>4156</v>
      </c>
      <c r="L68" s="1289" t="s">
        <v>2480</v>
      </c>
      <c r="M68" s="1301">
        <v>2.0</v>
      </c>
      <c r="N68" s="1297"/>
      <c r="O68" s="1297"/>
      <c r="P68" s="1297"/>
      <c r="Q68" s="1297"/>
      <c r="R68" s="1297"/>
      <c r="S68" s="1297"/>
    </row>
    <row r="69">
      <c r="A69" s="1288" t="s">
        <v>433</v>
      </c>
      <c r="B69" s="1288">
        <f t="shared" si="4"/>
        <v>39</v>
      </c>
      <c r="C69" s="1285">
        <f t="shared" si="2"/>
        <v>17</v>
      </c>
      <c r="D69" s="1285">
        <f t="shared" si="3"/>
        <v>16</v>
      </c>
      <c r="E69" s="1288"/>
      <c r="F69" s="1288"/>
      <c r="G69" s="1288">
        <v>2023.0</v>
      </c>
      <c r="H69" s="1288" t="s">
        <v>2015</v>
      </c>
      <c r="I69" s="1285" t="s">
        <v>4169</v>
      </c>
      <c r="J69" s="1285" t="s">
        <v>4161</v>
      </c>
      <c r="K69" s="1285" t="s">
        <v>1055</v>
      </c>
      <c r="L69" s="1289" t="s">
        <v>1724</v>
      </c>
      <c r="M69" s="1290">
        <v>3.0</v>
      </c>
      <c r="N69" s="1297"/>
      <c r="O69" s="1297"/>
      <c r="P69" s="1297"/>
      <c r="Q69" s="1297"/>
      <c r="R69" s="1297"/>
      <c r="S69" s="1297"/>
    </row>
    <row r="70">
      <c r="A70" s="1288" t="s">
        <v>2061</v>
      </c>
      <c r="B70" s="1288">
        <f t="shared" si="4"/>
        <v>31</v>
      </c>
      <c r="C70" s="1285">
        <f t="shared" si="2"/>
        <v>18</v>
      </c>
      <c r="D70" s="1285">
        <f t="shared" si="3"/>
        <v>7</v>
      </c>
      <c r="E70" s="1288"/>
      <c r="F70" s="1288"/>
      <c r="G70" s="1288">
        <v>2023.0</v>
      </c>
      <c r="H70" s="1288" t="s">
        <v>2016</v>
      </c>
      <c r="I70" s="1285" t="s">
        <v>4168</v>
      </c>
      <c r="J70" s="1285" t="s">
        <v>1058</v>
      </c>
      <c r="K70" s="1285" t="s">
        <v>4163</v>
      </c>
      <c r="L70" s="1289" t="s">
        <v>2480</v>
      </c>
      <c r="M70" s="1290">
        <v>2.0</v>
      </c>
      <c r="N70" s="1297"/>
      <c r="O70" s="1297"/>
      <c r="P70" s="1297"/>
      <c r="Q70" s="1297"/>
      <c r="R70" s="1297"/>
      <c r="S70" s="1297"/>
    </row>
    <row r="71">
      <c r="A71" s="1288" t="s">
        <v>2062</v>
      </c>
      <c r="B71" s="1288">
        <f t="shared" si="4"/>
        <v>186</v>
      </c>
      <c r="C71" s="1285">
        <f t="shared" si="2"/>
        <v>63</v>
      </c>
      <c r="D71" s="1285">
        <f t="shared" si="3"/>
        <v>87</v>
      </c>
      <c r="E71" s="1288"/>
      <c r="F71" s="1288"/>
      <c r="G71" s="1288">
        <v>2023.0</v>
      </c>
      <c r="H71" s="1288" t="s">
        <v>2016</v>
      </c>
      <c r="I71" s="1285" t="s">
        <v>4168</v>
      </c>
      <c r="J71" s="1285" t="s">
        <v>1058</v>
      </c>
      <c r="K71" s="1285" t="s">
        <v>4156</v>
      </c>
      <c r="L71" s="1289" t="s">
        <v>2480</v>
      </c>
      <c r="M71" s="1290">
        <v>15.0</v>
      </c>
      <c r="N71" s="1297"/>
      <c r="O71" s="1297"/>
      <c r="P71" s="1297"/>
      <c r="Q71" s="1297"/>
      <c r="R71" s="1297"/>
      <c r="S71" s="1297"/>
    </row>
    <row r="72">
      <c r="A72" s="1288" t="s">
        <v>717</v>
      </c>
      <c r="B72" s="1288" t="s">
        <v>63</v>
      </c>
      <c r="C72" s="1285">
        <f t="shared" si="2"/>
        <v>0</v>
      </c>
      <c r="D72" s="1285">
        <f t="shared" si="3"/>
        <v>0</v>
      </c>
      <c r="E72" s="1288"/>
      <c r="F72" s="1288"/>
      <c r="G72" s="1288">
        <v>2023.0</v>
      </c>
      <c r="H72" s="1288" t="s">
        <v>2016</v>
      </c>
      <c r="I72" s="1285" t="s">
        <v>4168</v>
      </c>
      <c r="J72" s="1285" t="s">
        <v>1058</v>
      </c>
      <c r="K72" s="1285" t="s">
        <v>4158</v>
      </c>
      <c r="L72" s="1289" t="s">
        <v>2480</v>
      </c>
      <c r="M72" s="1290">
        <v>1.0</v>
      </c>
      <c r="N72" s="1297"/>
      <c r="O72" s="1297"/>
      <c r="P72" s="1297"/>
      <c r="Q72" s="1297"/>
      <c r="R72" s="1297"/>
      <c r="S72" s="1297"/>
    </row>
    <row r="73">
      <c r="A73" s="1288" t="s">
        <v>969</v>
      </c>
      <c r="B73" s="1288">
        <f t="shared" ref="B73:B89" si="5">sumif($H$4:$H$1494,A73,$M$4:$M$1494)</f>
        <v>45</v>
      </c>
      <c r="C73" s="1285">
        <f t="shared" si="2"/>
        <v>26</v>
      </c>
      <c r="D73" s="1285">
        <f t="shared" si="3"/>
        <v>14</v>
      </c>
      <c r="E73" s="1288"/>
      <c r="F73" s="1288"/>
      <c r="G73" s="1288">
        <v>2023.0</v>
      </c>
      <c r="H73" s="1288" t="s">
        <v>2016</v>
      </c>
      <c r="I73" s="1285" t="s">
        <v>4168</v>
      </c>
      <c r="J73" s="1285" t="s">
        <v>1058</v>
      </c>
      <c r="K73" s="1285" t="s">
        <v>4165</v>
      </c>
      <c r="L73" s="1289" t="s">
        <v>2480</v>
      </c>
      <c r="M73" s="1290">
        <v>3.0</v>
      </c>
      <c r="N73" s="1297"/>
      <c r="O73" s="1297"/>
      <c r="P73" s="1297"/>
      <c r="Q73" s="1297"/>
      <c r="R73" s="1297"/>
      <c r="S73" s="1297"/>
    </row>
    <row r="74">
      <c r="A74" s="1288" t="s">
        <v>415</v>
      </c>
      <c r="B74" s="1288">
        <f t="shared" si="5"/>
        <v>276</v>
      </c>
      <c r="C74" s="1285">
        <f t="shared" si="2"/>
        <v>124</v>
      </c>
      <c r="D74" s="1285">
        <f t="shared" si="3"/>
        <v>93</v>
      </c>
      <c r="E74" s="1288"/>
      <c r="F74" s="1288"/>
      <c r="G74" s="1288">
        <v>2023.0</v>
      </c>
      <c r="H74" s="1288" t="s">
        <v>2016</v>
      </c>
      <c r="I74" s="1285" t="s">
        <v>4168</v>
      </c>
      <c r="J74" s="1285" t="s">
        <v>1058</v>
      </c>
      <c r="K74" s="1285" t="s">
        <v>4166</v>
      </c>
      <c r="L74" s="1289" t="s">
        <v>2480</v>
      </c>
      <c r="M74" s="1290">
        <v>2.0</v>
      </c>
      <c r="N74" s="1297"/>
      <c r="O74" s="1297"/>
      <c r="P74" s="1297"/>
      <c r="Q74" s="1297"/>
      <c r="R74" s="1297"/>
      <c r="S74" s="1297"/>
    </row>
    <row r="75">
      <c r="A75" s="1288" t="s">
        <v>2064</v>
      </c>
      <c r="B75" s="1288">
        <f t="shared" si="5"/>
        <v>11</v>
      </c>
      <c r="C75" s="1285">
        <f t="shared" si="2"/>
        <v>3</v>
      </c>
      <c r="D75" s="1285">
        <f t="shared" si="3"/>
        <v>4</v>
      </c>
      <c r="E75" s="1288"/>
      <c r="F75" s="1288"/>
      <c r="G75" s="1288">
        <v>2023.0</v>
      </c>
      <c r="H75" s="1288" t="s">
        <v>2016</v>
      </c>
      <c r="I75" s="1285" t="s">
        <v>4168</v>
      </c>
      <c r="J75" s="1285" t="s">
        <v>1058</v>
      </c>
      <c r="K75" s="1285" t="s">
        <v>4161</v>
      </c>
      <c r="L75" s="1289" t="s">
        <v>2480</v>
      </c>
      <c r="M75" s="1290">
        <v>1.0</v>
      </c>
      <c r="N75" s="1297"/>
      <c r="O75" s="1297"/>
      <c r="P75" s="1297"/>
      <c r="Q75" s="1297"/>
      <c r="R75" s="1297"/>
      <c r="S75" s="1297"/>
    </row>
    <row r="76">
      <c r="A76" s="1288" t="s">
        <v>2065</v>
      </c>
      <c r="B76" s="1288">
        <f t="shared" si="5"/>
        <v>22</v>
      </c>
      <c r="C76" s="1285">
        <f t="shared" si="2"/>
        <v>4</v>
      </c>
      <c r="D76" s="1285">
        <f t="shared" si="3"/>
        <v>12</v>
      </c>
      <c r="E76" s="1288"/>
      <c r="F76" s="1288"/>
      <c r="G76" s="1288">
        <v>2023.0</v>
      </c>
      <c r="H76" s="1288" t="s">
        <v>2016</v>
      </c>
      <c r="I76" s="1285" t="s">
        <v>4168</v>
      </c>
      <c r="J76" s="1285" t="s">
        <v>1058</v>
      </c>
      <c r="K76" s="1285" t="s">
        <v>4160</v>
      </c>
      <c r="L76" s="1289" t="s">
        <v>2480</v>
      </c>
      <c r="M76" s="1290">
        <v>1.0</v>
      </c>
      <c r="N76" s="1297"/>
      <c r="O76" s="1297"/>
      <c r="P76" s="1297"/>
      <c r="Q76" s="1297"/>
      <c r="R76" s="1297"/>
      <c r="S76" s="1297"/>
    </row>
    <row r="77">
      <c r="A77" s="1288" t="s">
        <v>574</v>
      </c>
      <c r="B77" s="1288">
        <f t="shared" si="5"/>
        <v>22</v>
      </c>
      <c r="C77" s="1285">
        <f t="shared" si="2"/>
        <v>10</v>
      </c>
      <c r="D77" s="1285">
        <f t="shared" si="3"/>
        <v>7</v>
      </c>
      <c r="E77" s="1288"/>
      <c r="F77" s="1288"/>
      <c r="G77" s="1288">
        <v>2023.0</v>
      </c>
      <c r="H77" s="1288" t="s">
        <v>2016</v>
      </c>
      <c r="I77" s="1285" t="s">
        <v>4168</v>
      </c>
      <c r="J77" s="1285" t="s">
        <v>4161</v>
      </c>
      <c r="K77" s="1285" t="s">
        <v>4167</v>
      </c>
      <c r="L77" s="1289" t="s">
        <v>2480</v>
      </c>
      <c r="M77" s="1290">
        <v>3.0</v>
      </c>
      <c r="N77" s="1297"/>
      <c r="O77" s="1297"/>
      <c r="P77" s="1297"/>
      <c r="Q77" s="1297"/>
      <c r="R77" s="1297"/>
      <c r="S77" s="1297"/>
    </row>
    <row r="78">
      <c r="A78" s="1288" t="s">
        <v>135</v>
      </c>
      <c r="B78" s="1288">
        <f t="shared" si="5"/>
        <v>5</v>
      </c>
      <c r="C78" s="1285">
        <f t="shared" si="2"/>
        <v>2</v>
      </c>
      <c r="D78" s="1285">
        <f t="shared" si="3"/>
        <v>2</v>
      </c>
      <c r="E78" s="1288"/>
      <c r="F78" s="1288"/>
      <c r="G78" s="1288">
        <v>2023.0</v>
      </c>
      <c r="H78" s="1288" t="s">
        <v>2016</v>
      </c>
      <c r="I78" s="1285" t="s">
        <v>4168</v>
      </c>
      <c r="J78" s="1285" t="s">
        <v>4161</v>
      </c>
      <c r="K78" s="1285" t="s">
        <v>1055</v>
      </c>
      <c r="L78" s="1289" t="s">
        <v>1724</v>
      </c>
      <c r="M78" s="1290">
        <v>30.0</v>
      </c>
      <c r="N78" s="1297"/>
      <c r="O78" s="1297"/>
      <c r="P78" s="1297"/>
      <c r="Q78" s="1297"/>
      <c r="R78" s="1297"/>
      <c r="S78" s="1297"/>
    </row>
    <row r="79">
      <c r="A79" s="1288" t="s">
        <v>2066</v>
      </c>
      <c r="B79" s="1288">
        <f t="shared" si="5"/>
        <v>3</v>
      </c>
      <c r="C79" s="1285">
        <f t="shared" si="2"/>
        <v>0</v>
      </c>
      <c r="D79" s="1285">
        <f t="shared" si="3"/>
        <v>3</v>
      </c>
      <c r="E79" s="1288"/>
      <c r="F79" s="1288"/>
      <c r="G79" s="1288">
        <v>2023.0</v>
      </c>
      <c r="H79" s="1288" t="s">
        <v>2016</v>
      </c>
      <c r="I79" s="1285" t="s">
        <v>4168</v>
      </c>
      <c r="J79" s="1285" t="s">
        <v>4161</v>
      </c>
      <c r="K79" s="1285" t="s">
        <v>4161</v>
      </c>
      <c r="L79" s="1289" t="s">
        <v>2480</v>
      </c>
      <c r="M79" s="1290">
        <v>1.0</v>
      </c>
      <c r="N79" s="1297"/>
      <c r="O79" s="1297"/>
      <c r="P79" s="1297"/>
      <c r="Q79" s="1297"/>
      <c r="R79" s="1297"/>
      <c r="S79" s="1297"/>
    </row>
    <row r="80">
      <c r="A80" s="1288" t="s">
        <v>575</v>
      </c>
      <c r="B80" s="1288">
        <f t="shared" si="5"/>
        <v>0</v>
      </c>
      <c r="C80" s="1285">
        <f t="shared" si="2"/>
        <v>0</v>
      </c>
      <c r="D80" s="1285">
        <f t="shared" si="3"/>
        <v>0</v>
      </c>
      <c r="E80" s="1288"/>
      <c r="F80" s="1288"/>
      <c r="G80" s="1288">
        <v>2023.0</v>
      </c>
      <c r="H80" s="1288" t="s">
        <v>1027</v>
      </c>
      <c r="I80" s="1285" t="s">
        <v>4173</v>
      </c>
      <c r="J80" s="1285" t="s">
        <v>1058</v>
      </c>
      <c r="K80" s="1285" t="s">
        <v>4163</v>
      </c>
      <c r="L80" s="1289" t="s">
        <v>2480</v>
      </c>
      <c r="M80" s="1290">
        <v>18.0</v>
      </c>
      <c r="N80" s="1297"/>
      <c r="O80" s="1297"/>
      <c r="P80" s="1297"/>
      <c r="Q80" s="1297"/>
      <c r="R80" s="1297"/>
      <c r="S80" s="1297"/>
    </row>
    <row r="81">
      <c r="A81" s="1288" t="s">
        <v>2067</v>
      </c>
      <c r="B81" s="1288">
        <f t="shared" si="5"/>
        <v>3</v>
      </c>
      <c r="C81" s="1285">
        <f t="shared" si="2"/>
        <v>3</v>
      </c>
      <c r="D81" s="1285">
        <f t="shared" si="3"/>
        <v>0</v>
      </c>
      <c r="E81" s="1288"/>
      <c r="F81" s="1288"/>
      <c r="G81" s="1288">
        <v>2023.0</v>
      </c>
      <c r="H81" s="1288" t="s">
        <v>1027</v>
      </c>
      <c r="I81" s="1285" t="s">
        <v>4173</v>
      </c>
      <c r="J81" s="1285" t="s">
        <v>1058</v>
      </c>
      <c r="K81" s="1285" t="s">
        <v>4156</v>
      </c>
      <c r="L81" s="1289" t="s">
        <v>2480</v>
      </c>
      <c r="M81" s="1290">
        <v>149.0</v>
      </c>
      <c r="N81" s="1297"/>
      <c r="O81" s="1297"/>
      <c r="P81" s="1297"/>
      <c r="Q81" s="1297"/>
      <c r="R81" s="1297"/>
      <c r="S81" s="1297"/>
    </row>
    <row r="82">
      <c r="A82" s="1288" t="s">
        <v>527</v>
      </c>
      <c r="B82" s="1288">
        <f t="shared" si="5"/>
        <v>104</v>
      </c>
      <c r="C82" s="1285">
        <f t="shared" si="2"/>
        <v>45</v>
      </c>
      <c r="D82" s="1285">
        <f t="shared" si="3"/>
        <v>35</v>
      </c>
      <c r="E82" s="1288"/>
      <c r="F82" s="1288"/>
      <c r="G82" s="1288">
        <v>2023.0</v>
      </c>
      <c r="H82" s="1288" t="s">
        <v>1027</v>
      </c>
      <c r="I82" s="1285" t="s">
        <v>4173</v>
      </c>
      <c r="J82" s="1285" t="s">
        <v>1058</v>
      </c>
      <c r="K82" s="1285" t="s">
        <v>4157</v>
      </c>
      <c r="L82" s="1289" t="s">
        <v>1724</v>
      </c>
      <c r="M82" s="1290">
        <v>24.0</v>
      </c>
      <c r="N82" s="1297"/>
      <c r="O82" s="1297"/>
      <c r="P82" s="1297"/>
      <c r="Q82" s="1297"/>
      <c r="R82" s="1297"/>
      <c r="S82" s="1297"/>
    </row>
    <row r="83">
      <c r="A83" s="1288" t="s">
        <v>136</v>
      </c>
      <c r="B83" s="1288">
        <f t="shared" si="5"/>
        <v>4</v>
      </c>
      <c r="C83" s="1285">
        <f t="shared" si="2"/>
        <v>2</v>
      </c>
      <c r="D83" s="1285">
        <f t="shared" si="3"/>
        <v>2</v>
      </c>
      <c r="E83" s="1288"/>
      <c r="F83" s="1288"/>
      <c r="G83" s="1288">
        <v>2023.0</v>
      </c>
      <c r="H83" s="1288" t="s">
        <v>1027</v>
      </c>
      <c r="I83" s="1285" t="s">
        <v>4173</v>
      </c>
      <c r="J83" s="1285" t="s">
        <v>1058</v>
      </c>
      <c r="K83" s="1285" t="s">
        <v>4158</v>
      </c>
      <c r="L83" s="1289" t="s">
        <v>2480</v>
      </c>
      <c r="M83" s="1290">
        <v>18.0</v>
      </c>
      <c r="N83" s="1297"/>
      <c r="O83" s="1297"/>
      <c r="P83" s="1297"/>
      <c r="Q83" s="1297"/>
      <c r="R83" s="1297"/>
      <c r="S83" s="1297"/>
    </row>
    <row r="84">
      <c r="A84" s="1288" t="s">
        <v>2068</v>
      </c>
      <c r="B84" s="1288">
        <f t="shared" si="5"/>
        <v>19</v>
      </c>
      <c r="C84" s="1285">
        <f t="shared" si="2"/>
        <v>5</v>
      </c>
      <c r="D84" s="1285">
        <f t="shared" si="3"/>
        <v>9</v>
      </c>
      <c r="E84" s="1288"/>
      <c r="F84" s="1288"/>
      <c r="G84" s="1288">
        <v>2023.0</v>
      </c>
      <c r="H84" s="1288" t="s">
        <v>1027</v>
      </c>
      <c r="I84" s="1285" t="s">
        <v>4173</v>
      </c>
      <c r="J84" s="1285" t="s">
        <v>1058</v>
      </c>
      <c r="K84" s="1285" t="s">
        <v>4159</v>
      </c>
      <c r="L84" s="1289" t="s">
        <v>1724</v>
      </c>
      <c r="M84" s="1290">
        <v>20.0</v>
      </c>
      <c r="N84" s="1297"/>
      <c r="O84" s="1297"/>
      <c r="P84" s="1297"/>
      <c r="Q84" s="1297"/>
      <c r="R84" s="1297"/>
      <c r="S84" s="1297"/>
    </row>
    <row r="85">
      <c r="A85" s="1288" t="s">
        <v>2069</v>
      </c>
      <c r="B85" s="1288">
        <f t="shared" si="5"/>
        <v>42</v>
      </c>
      <c r="C85" s="1285">
        <f t="shared" si="2"/>
        <v>7</v>
      </c>
      <c r="D85" s="1285">
        <f t="shared" si="3"/>
        <v>16</v>
      </c>
      <c r="E85" s="1288"/>
      <c r="F85" s="1288"/>
      <c r="G85" s="1288">
        <v>2023.0</v>
      </c>
      <c r="H85" s="1288" t="s">
        <v>1027</v>
      </c>
      <c r="I85" s="1285" t="s">
        <v>4173</v>
      </c>
      <c r="J85" s="1285" t="s">
        <v>1058</v>
      </c>
      <c r="K85" s="1285" t="s">
        <v>4165</v>
      </c>
      <c r="L85" s="1289" t="s">
        <v>2480</v>
      </c>
      <c r="M85" s="1290">
        <v>17.0</v>
      </c>
      <c r="N85" s="1297"/>
      <c r="O85" s="1297"/>
      <c r="P85" s="1297"/>
      <c r="Q85" s="1297"/>
      <c r="R85" s="1297"/>
      <c r="S85" s="1297"/>
    </row>
    <row r="86">
      <c r="A86" s="1288" t="s">
        <v>2070</v>
      </c>
      <c r="B86" s="1288">
        <f t="shared" si="5"/>
        <v>5</v>
      </c>
      <c r="C86" s="1285">
        <f t="shared" si="2"/>
        <v>2</v>
      </c>
      <c r="D86" s="1285">
        <f t="shared" si="3"/>
        <v>1</v>
      </c>
      <c r="E86" s="1288"/>
      <c r="F86" s="1288"/>
      <c r="G86" s="1288">
        <v>2023.0</v>
      </c>
      <c r="H86" s="1288" t="s">
        <v>1027</v>
      </c>
      <c r="I86" s="1285" t="s">
        <v>4173</v>
      </c>
      <c r="J86" s="1285" t="s">
        <v>1058</v>
      </c>
      <c r="K86" s="1285" t="s">
        <v>4166</v>
      </c>
      <c r="L86" s="1289" t="s">
        <v>2480</v>
      </c>
      <c r="M86" s="1290">
        <v>26.0</v>
      </c>
      <c r="N86" s="1297"/>
      <c r="O86" s="1297"/>
      <c r="P86" s="1297"/>
      <c r="Q86" s="1297"/>
      <c r="R86" s="1297"/>
      <c r="S86" s="1297"/>
    </row>
    <row r="87">
      <c r="A87" s="1288" t="s">
        <v>2071</v>
      </c>
      <c r="B87" s="1288">
        <f t="shared" si="5"/>
        <v>149</v>
      </c>
      <c r="C87" s="1285">
        <f t="shared" si="2"/>
        <v>65</v>
      </c>
      <c r="D87" s="1285">
        <f t="shared" si="3"/>
        <v>52</v>
      </c>
      <c r="E87" s="1288"/>
      <c r="F87" s="1288"/>
      <c r="G87" s="1288">
        <v>2023.0</v>
      </c>
      <c r="H87" s="1288" t="s">
        <v>1027</v>
      </c>
      <c r="I87" s="1285" t="s">
        <v>4173</v>
      </c>
      <c r="J87" s="1285" t="s">
        <v>1058</v>
      </c>
      <c r="K87" s="1285" t="s">
        <v>4161</v>
      </c>
      <c r="L87" s="1289" t="s">
        <v>2480</v>
      </c>
      <c r="M87" s="1290">
        <v>1.0</v>
      </c>
      <c r="N87" s="1297"/>
      <c r="O87" s="1297"/>
      <c r="P87" s="1297"/>
      <c r="Q87" s="1297"/>
      <c r="R87" s="1297"/>
      <c r="S87" s="1297"/>
    </row>
    <row r="88">
      <c r="A88" s="1288" t="s">
        <v>2072</v>
      </c>
      <c r="B88" s="1288">
        <f t="shared" si="5"/>
        <v>1</v>
      </c>
      <c r="C88" s="1285">
        <f t="shared" si="2"/>
        <v>0</v>
      </c>
      <c r="D88" s="1285">
        <f t="shared" si="3"/>
        <v>1</v>
      </c>
      <c r="E88" s="1288"/>
      <c r="F88" s="1288"/>
      <c r="G88" s="1288">
        <v>2023.0</v>
      </c>
      <c r="H88" s="1288" t="s">
        <v>1027</v>
      </c>
      <c r="I88" s="1285" t="s">
        <v>4173</v>
      </c>
      <c r="J88" s="1285" t="s">
        <v>1058</v>
      </c>
      <c r="K88" s="1285" t="s">
        <v>4160</v>
      </c>
      <c r="L88" s="1289" t="s">
        <v>2480</v>
      </c>
      <c r="M88" s="1290">
        <v>22.0</v>
      </c>
      <c r="N88" s="1297"/>
      <c r="O88" s="1297"/>
      <c r="P88" s="1297"/>
      <c r="Q88" s="1297"/>
      <c r="R88" s="1297"/>
      <c r="S88" s="1297"/>
    </row>
    <row r="89">
      <c r="A89" s="1288" t="s">
        <v>2073</v>
      </c>
      <c r="B89" s="1288">
        <f t="shared" si="5"/>
        <v>15</v>
      </c>
      <c r="C89" s="1285">
        <f t="shared" si="2"/>
        <v>1</v>
      </c>
      <c r="D89" s="1285">
        <f t="shared" si="3"/>
        <v>13</v>
      </c>
      <c r="E89" s="1288"/>
      <c r="F89" s="1288"/>
      <c r="G89" s="1288">
        <v>2023.0</v>
      </c>
      <c r="H89" s="1288" t="s">
        <v>1027</v>
      </c>
      <c r="I89" s="1285" t="s">
        <v>4173</v>
      </c>
      <c r="J89" s="1285" t="s">
        <v>4161</v>
      </c>
      <c r="K89" s="1285" t="s">
        <v>4167</v>
      </c>
      <c r="L89" s="1289" t="s">
        <v>2480</v>
      </c>
      <c r="M89" s="1290">
        <v>3.0</v>
      </c>
      <c r="N89" s="1297"/>
      <c r="O89" s="1297"/>
      <c r="P89" s="1297"/>
      <c r="Q89" s="1297"/>
      <c r="R89" s="1297"/>
      <c r="S89" s="1297"/>
    </row>
    <row r="90">
      <c r="A90" s="1288" t="s">
        <v>2074</v>
      </c>
      <c r="B90" s="1288" t="s">
        <v>63</v>
      </c>
      <c r="C90" s="1285">
        <f t="shared" si="2"/>
        <v>0</v>
      </c>
      <c r="D90" s="1285">
        <f t="shared" si="3"/>
        <v>0</v>
      </c>
      <c r="E90" s="1288"/>
      <c r="F90" s="1288"/>
      <c r="G90" s="1288">
        <v>2023.0</v>
      </c>
      <c r="H90" s="1288" t="s">
        <v>1027</v>
      </c>
      <c r="I90" s="1285" t="s">
        <v>4173</v>
      </c>
      <c r="J90" s="1285" t="s">
        <v>4161</v>
      </c>
      <c r="K90" s="1285" t="s">
        <v>4174</v>
      </c>
      <c r="L90" s="1289" t="s">
        <v>2480</v>
      </c>
      <c r="M90" s="1290">
        <v>2.0</v>
      </c>
      <c r="N90" s="1297"/>
      <c r="O90" s="1297"/>
      <c r="P90" s="1297"/>
      <c r="Q90" s="1297"/>
      <c r="R90" s="1297"/>
      <c r="S90" s="1297"/>
    </row>
    <row r="91">
      <c r="A91" s="1288" t="s">
        <v>2075</v>
      </c>
      <c r="B91" s="1288">
        <f t="shared" ref="B91:B124" si="6">sumif($H$4:$H$1494,A91,$M$4:$M$1494)</f>
        <v>3</v>
      </c>
      <c r="C91" s="1285">
        <f t="shared" si="2"/>
        <v>2</v>
      </c>
      <c r="D91" s="1285">
        <f t="shared" si="3"/>
        <v>0</v>
      </c>
      <c r="E91" s="1288"/>
      <c r="F91" s="1288"/>
      <c r="G91" s="1288">
        <v>2023.0</v>
      </c>
      <c r="H91" s="1288" t="s">
        <v>1027</v>
      </c>
      <c r="I91" s="1285" t="s">
        <v>4173</v>
      </c>
      <c r="J91" s="1285" t="s">
        <v>4161</v>
      </c>
      <c r="K91" s="1285" t="s">
        <v>1055</v>
      </c>
      <c r="L91" s="1289" t="s">
        <v>1724</v>
      </c>
      <c r="M91" s="1290">
        <v>247.0</v>
      </c>
      <c r="N91" s="1297"/>
      <c r="O91" s="1297"/>
      <c r="P91" s="1297"/>
      <c r="Q91" s="1297"/>
      <c r="R91" s="1297"/>
      <c r="S91" s="1297"/>
    </row>
    <row r="92">
      <c r="A92" s="1288" t="s">
        <v>2076</v>
      </c>
      <c r="B92" s="1288">
        <f t="shared" si="6"/>
        <v>15</v>
      </c>
      <c r="C92" s="1285">
        <f t="shared" si="2"/>
        <v>4</v>
      </c>
      <c r="D92" s="1285">
        <f t="shared" si="3"/>
        <v>9</v>
      </c>
      <c r="E92" s="1288"/>
      <c r="F92" s="1288"/>
      <c r="G92" s="1288">
        <v>2023.0</v>
      </c>
      <c r="H92" s="1288" t="s">
        <v>1027</v>
      </c>
      <c r="I92" s="1285" t="s">
        <v>4173</v>
      </c>
      <c r="J92" s="1285" t="s">
        <v>4161</v>
      </c>
      <c r="K92" s="1285" t="s">
        <v>4161</v>
      </c>
      <c r="L92" s="1289" t="s">
        <v>2480</v>
      </c>
      <c r="M92" s="1290">
        <v>18.0</v>
      </c>
      <c r="N92" s="1297"/>
      <c r="O92" s="1297"/>
      <c r="P92" s="1297"/>
      <c r="Q92" s="1297"/>
      <c r="R92" s="1297"/>
      <c r="S92" s="1297"/>
    </row>
    <row r="93">
      <c r="A93" s="1288" t="s">
        <v>975</v>
      </c>
      <c r="B93" s="1288">
        <f t="shared" si="6"/>
        <v>33</v>
      </c>
      <c r="C93" s="1285">
        <f t="shared" si="2"/>
        <v>14</v>
      </c>
      <c r="D93" s="1285">
        <f t="shared" si="3"/>
        <v>10</v>
      </c>
      <c r="E93" s="1288"/>
      <c r="F93" s="1288"/>
      <c r="G93" s="1288">
        <v>2023.0</v>
      </c>
      <c r="H93" s="1288" t="s">
        <v>267</v>
      </c>
      <c r="I93" s="1285" t="s">
        <v>4171</v>
      </c>
      <c r="J93" s="1285" t="s">
        <v>1058</v>
      </c>
      <c r="K93" s="1285" t="s">
        <v>4163</v>
      </c>
      <c r="L93" s="1289" t="s">
        <v>2480</v>
      </c>
      <c r="M93" s="1290">
        <v>97.0</v>
      </c>
      <c r="N93" s="1297"/>
      <c r="O93" s="1297"/>
      <c r="P93" s="1297"/>
      <c r="Q93" s="1297"/>
      <c r="R93" s="1297"/>
      <c r="S93" s="1297"/>
    </row>
    <row r="94">
      <c r="A94" s="1288" t="s">
        <v>1072</v>
      </c>
      <c r="B94" s="1288">
        <f t="shared" si="6"/>
        <v>90</v>
      </c>
      <c r="C94" s="1285">
        <f t="shared" si="2"/>
        <v>45</v>
      </c>
      <c r="D94" s="1285">
        <f t="shared" si="3"/>
        <v>31</v>
      </c>
      <c r="E94" s="1288"/>
      <c r="F94" s="1288"/>
      <c r="G94" s="1288">
        <v>2023.0</v>
      </c>
      <c r="H94" s="1288" t="s">
        <v>267</v>
      </c>
      <c r="I94" s="1285" t="s">
        <v>4171</v>
      </c>
      <c r="J94" s="1285" t="s">
        <v>1058</v>
      </c>
      <c r="K94" s="1285" t="s">
        <v>4156</v>
      </c>
      <c r="L94" s="1289" t="s">
        <v>2480</v>
      </c>
      <c r="M94" s="1290">
        <v>738.0</v>
      </c>
      <c r="N94" s="1297"/>
      <c r="O94" s="1297"/>
      <c r="P94" s="1297"/>
      <c r="Q94" s="1297"/>
      <c r="R94" s="1297"/>
      <c r="S94" s="1297"/>
    </row>
    <row r="95">
      <c r="A95" s="1288" t="s">
        <v>2078</v>
      </c>
      <c r="B95" s="1288">
        <f t="shared" si="6"/>
        <v>155</v>
      </c>
      <c r="C95" s="1285">
        <f t="shared" si="2"/>
        <v>49</v>
      </c>
      <c r="D95" s="1285">
        <f t="shared" si="3"/>
        <v>77</v>
      </c>
      <c r="E95" s="1288"/>
      <c r="F95" s="1288"/>
      <c r="G95" s="1288">
        <v>2023.0</v>
      </c>
      <c r="H95" s="1288" t="s">
        <v>267</v>
      </c>
      <c r="I95" s="1285" t="s">
        <v>4171</v>
      </c>
      <c r="J95" s="1285" t="s">
        <v>1058</v>
      </c>
      <c r="K95" s="1285" t="s">
        <v>4157</v>
      </c>
      <c r="L95" s="1289" t="s">
        <v>1724</v>
      </c>
      <c r="M95" s="1290">
        <v>128.0</v>
      </c>
      <c r="N95" s="1297"/>
      <c r="O95" s="1297"/>
      <c r="P95" s="1297"/>
      <c r="Q95" s="1297"/>
      <c r="R95" s="1297"/>
      <c r="S95" s="1297"/>
    </row>
    <row r="96">
      <c r="A96" s="1288" t="s">
        <v>2079</v>
      </c>
      <c r="B96" s="1288">
        <f t="shared" si="6"/>
        <v>7</v>
      </c>
      <c r="C96" s="1285">
        <f t="shared" si="2"/>
        <v>1</v>
      </c>
      <c r="D96" s="1285">
        <f t="shared" si="3"/>
        <v>5</v>
      </c>
      <c r="E96" s="1288"/>
      <c r="F96" s="1288"/>
      <c r="G96" s="1288">
        <v>2023.0</v>
      </c>
      <c r="H96" s="1288" t="s">
        <v>267</v>
      </c>
      <c r="I96" s="1285" t="s">
        <v>4171</v>
      </c>
      <c r="J96" s="1285" t="s">
        <v>1058</v>
      </c>
      <c r="K96" s="1285" t="s">
        <v>4158</v>
      </c>
      <c r="L96" s="1289" t="s">
        <v>2480</v>
      </c>
      <c r="M96" s="1290">
        <v>6.0</v>
      </c>
      <c r="N96" s="1297"/>
      <c r="O96" s="1297"/>
      <c r="P96" s="1297"/>
      <c r="Q96" s="1297"/>
      <c r="R96" s="1297"/>
      <c r="S96" s="1297"/>
    </row>
    <row r="97">
      <c r="A97" s="1288" t="s">
        <v>1539</v>
      </c>
      <c r="B97" s="1288">
        <f t="shared" si="6"/>
        <v>68</v>
      </c>
      <c r="C97" s="1285">
        <f t="shared" si="2"/>
        <v>21</v>
      </c>
      <c r="D97" s="1285">
        <f t="shared" si="3"/>
        <v>16</v>
      </c>
      <c r="E97" s="1288"/>
      <c r="F97" s="1288"/>
      <c r="G97" s="1288">
        <v>2023.0</v>
      </c>
      <c r="H97" s="1288" t="s">
        <v>267</v>
      </c>
      <c r="I97" s="1285" t="s">
        <v>4171</v>
      </c>
      <c r="J97" s="1285" t="s">
        <v>1058</v>
      </c>
      <c r="K97" s="1285" t="s">
        <v>4159</v>
      </c>
      <c r="L97" s="1289" t="s">
        <v>1724</v>
      </c>
      <c r="M97" s="1290">
        <v>8.0</v>
      </c>
      <c r="N97" s="1297"/>
      <c r="O97" s="1297"/>
      <c r="P97" s="1297"/>
      <c r="Q97" s="1297"/>
      <c r="R97" s="1297"/>
      <c r="S97" s="1297"/>
    </row>
    <row r="98">
      <c r="A98" s="1288" t="s">
        <v>139</v>
      </c>
      <c r="B98" s="1288">
        <f t="shared" si="6"/>
        <v>26</v>
      </c>
      <c r="C98" s="1285">
        <f t="shared" si="2"/>
        <v>8</v>
      </c>
      <c r="D98" s="1285">
        <f t="shared" si="3"/>
        <v>4</v>
      </c>
      <c r="E98" s="1288"/>
      <c r="F98" s="1288"/>
      <c r="G98" s="1288">
        <v>2023.0</v>
      </c>
      <c r="H98" s="1288" t="s">
        <v>267</v>
      </c>
      <c r="I98" s="1285" t="s">
        <v>4171</v>
      </c>
      <c r="J98" s="1285" t="s">
        <v>1058</v>
      </c>
      <c r="K98" s="1285" t="s">
        <v>4165</v>
      </c>
      <c r="L98" s="1289" t="s">
        <v>2480</v>
      </c>
      <c r="M98" s="1290">
        <v>66.0</v>
      </c>
      <c r="N98" s="1297"/>
      <c r="O98" s="1297"/>
      <c r="P98" s="1297"/>
      <c r="Q98" s="1297"/>
      <c r="R98" s="1297"/>
      <c r="S98" s="1297"/>
    </row>
    <row r="99">
      <c r="A99" s="1288" t="s">
        <v>586</v>
      </c>
      <c r="B99" s="1288">
        <f t="shared" si="6"/>
        <v>8</v>
      </c>
      <c r="C99" s="1285">
        <f t="shared" si="2"/>
        <v>0</v>
      </c>
      <c r="D99" s="1285">
        <f t="shared" si="3"/>
        <v>2</v>
      </c>
      <c r="E99" s="1288"/>
      <c r="F99" s="1288"/>
      <c r="G99" s="1288">
        <v>2023.0</v>
      </c>
      <c r="H99" s="1288" t="s">
        <v>267</v>
      </c>
      <c r="I99" s="1285" t="s">
        <v>4171</v>
      </c>
      <c r="J99" s="1285" t="s">
        <v>1058</v>
      </c>
      <c r="K99" s="1285" t="s">
        <v>4166</v>
      </c>
      <c r="L99" s="1289" t="s">
        <v>2480</v>
      </c>
      <c r="M99" s="1290">
        <v>104.0</v>
      </c>
      <c r="N99" s="1297"/>
      <c r="O99" s="1297"/>
      <c r="P99" s="1297"/>
      <c r="Q99" s="1297"/>
      <c r="R99" s="1297"/>
      <c r="S99" s="1297"/>
    </row>
    <row r="100">
      <c r="A100" s="1288" t="s">
        <v>497</v>
      </c>
      <c r="B100" s="1288">
        <f t="shared" si="6"/>
        <v>10</v>
      </c>
      <c r="C100" s="1285">
        <f t="shared" si="2"/>
        <v>5</v>
      </c>
      <c r="D100" s="1285">
        <f t="shared" si="3"/>
        <v>3</v>
      </c>
      <c r="E100" s="1288"/>
      <c r="F100" s="1288"/>
      <c r="G100" s="1288">
        <v>2023.0</v>
      </c>
      <c r="H100" s="1288" t="s">
        <v>267</v>
      </c>
      <c r="I100" s="1285" t="s">
        <v>4171</v>
      </c>
      <c r="J100" s="1285" t="s">
        <v>1058</v>
      </c>
      <c r="K100" s="1285" t="s">
        <v>4161</v>
      </c>
      <c r="L100" s="1289" t="s">
        <v>2480</v>
      </c>
      <c r="M100" s="1290">
        <v>24.0</v>
      </c>
      <c r="N100" s="1297"/>
      <c r="O100" s="1297"/>
      <c r="P100" s="1297"/>
      <c r="Q100" s="1297"/>
      <c r="R100" s="1297"/>
      <c r="S100" s="1297"/>
    </row>
    <row r="101">
      <c r="A101" s="1288" t="s">
        <v>2080</v>
      </c>
      <c r="B101" s="1288">
        <f t="shared" si="6"/>
        <v>1</v>
      </c>
      <c r="C101" s="1285">
        <f t="shared" si="2"/>
        <v>1</v>
      </c>
      <c r="D101" s="1285">
        <f t="shared" si="3"/>
        <v>0</v>
      </c>
      <c r="E101" s="1288"/>
      <c r="F101" s="1288"/>
      <c r="G101" s="1288">
        <v>2023.0</v>
      </c>
      <c r="H101" s="1288" t="s">
        <v>267</v>
      </c>
      <c r="I101" s="1285" t="s">
        <v>4171</v>
      </c>
      <c r="J101" s="1285" t="s">
        <v>1058</v>
      </c>
      <c r="K101" s="1285" t="s">
        <v>4160</v>
      </c>
      <c r="L101" s="1289" t="s">
        <v>2480</v>
      </c>
      <c r="M101" s="1290">
        <v>148.0</v>
      </c>
      <c r="N101" s="1297"/>
      <c r="O101" s="1299"/>
      <c r="P101" s="1297"/>
      <c r="Q101" s="1299"/>
      <c r="R101" s="1297"/>
      <c r="S101" s="1297"/>
    </row>
    <row r="102">
      <c r="A102" s="1288" t="s">
        <v>1915</v>
      </c>
      <c r="B102" s="1288">
        <f t="shared" si="6"/>
        <v>1</v>
      </c>
      <c r="C102" s="1285">
        <f t="shared" si="2"/>
        <v>0</v>
      </c>
      <c r="D102" s="1285">
        <f t="shared" si="3"/>
        <v>1</v>
      </c>
      <c r="E102" s="1288"/>
      <c r="F102" s="1288"/>
      <c r="G102" s="1288">
        <v>2023.0</v>
      </c>
      <c r="H102" s="1288" t="s">
        <v>267</v>
      </c>
      <c r="I102" s="1285" t="s">
        <v>4171</v>
      </c>
      <c r="J102" s="1285" t="s">
        <v>4161</v>
      </c>
      <c r="K102" s="1285" t="s">
        <v>4167</v>
      </c>
      <c r="L102" s="1289" t="s">
        <v>2480</v>
      </c>
      <c r="M102" s="1302">
        <v>24.0</v>
      </c>
      <c r="N102" s="1297"/>
      <c r="O102" s="1297"/>
      <c r="P102" s="1297"/>
      <c r="Q102" s="1297"/>
      <c r="R102" s="1297"/>
      <c r="S102" s="1297"/>
    </row>
    <row r="103">
      <c r="A103" s="1288" t="s">
        <v>721</v>
      </c>
      <c r="B103" s="1288">
        <f t="shared" si="6"/>
        <v>54</v>
      </c>
      <c r="C103" s="1285">
        <f t="shared" si="2"/>
        <v>23</v>
      </c>
      <c r="D103" s="1285">
        <f t="shared" si="3"/>
        <v>20</v>
      </c>
      <c r="E103" s="1288"/>
      <c r="F103" s="1288"/>
      <c r="G103" s="1288">
        <v>2023.0</v>
      </c>
      <c r="H103" s="1288" t="s">
        <v>267</v>
      </c>
      <c r="I103" s="1285" t="s">
        <v>4171</v>
      </c>
      <c r="J103" s="1285" t="s">
        <v>4161</v>
      </c>
      <c r="K103" s="1285" t="s">
        <v>4174</v>
      </c>
      <c r="L103" s="1289" t="s">
        <v>2480</v>
      </c>
      <c r="M103" s="1302">
        <v>1.0</v>
      </c>
      <c r="N103" s="1297"/>
      <c r="O103" s="1297"/>
      <c r="P103" s="1297"/>
      <c r="Q103" s="1297"/>
      <c r="R103" s="1297"/>
      <c r="S103" s="1297"/>
    </row>
    <row r="104">
      <c r="A104" s="1288" t="s">
        <v>218</v>
      </c>
      <c r="B104" s="1288">
        <f t="shared" si="6"/>
        <v>1841</v>
      </c>
      <c r="C104" s="1285">
        <f t="shared" si="2"/>
        <v>923</v>
      </c>
      <c r="D104" s="1285">
        <f t="shared" si="3"/>
        <v>538</v>
      </c>
      <c r="E104" s="1288"/>
      <c r="F104" s="1288"/>
      <c r="G104" s="1288">
        <v>2023.0</v>
      </c>
      <c r="H104" s="1288" t="s">
        <v>267</v>
      </c>
      <c r="I104" s="1285" t="s">
        <v>4171</v>
      </c>
      <c r="J104" s="1285" t="s">
        <v>4161</v>
      </c>
      <c r="K104" s="1285" t="s">
        <v>1055</v>
      </c>
      <c r="L104" s="1289" t="s">
        <v>1724</v>
      </c>
      <c r="M104" s="1290">
        <v>674.0</v>
      </c>
      <c r="N104" s="1297"/>
      <c r="O104" s="1297"/>
      <c r="P104" s="1297"/>
      <c r="Q104" s="1297"/>
      <c r="R104" s="1297"/>
      <c r="S104" s="1297"/>
    </row>
    <row r="105">
      <c r="A105" s="1288" t="s">
        <v>775</v>
      </c>
      <c r="B105" s="1288">
        <f t="shared" si="6"/>
        <v>52</v>
      </c>
      <c r="C105" s="1285">
        <f t="shared" si="2"/>
        <v>16</v>
      </c>
      <c r="D105" s="1285">
        <f t="shared" si="3"/>
        <v>25</v>
      </c>
      <c r="E105" s="1288"/>
      <c r="F105" s="1288"/>
      <c r="G105" s="1288">
        <v>2023.0</v>
      </c>
      <c r="H105" s="1288" t="s">
        <v>267</v>
      </c>
      <c r="I105" s="1285" t="s">
        <v>4171</v>
      </c>
      <c r="J105" s="1285" t="s">
        <v>4161</v>
      </c>
      <c r="K105" s="1285" t="s">
        <v>4161</v>
      </c>
      <c r="L105" s="1289" t="s">
        <v>2480</v>
      </c>
      <c r="M105" s="1290">
        <v>69.0</v>
      </c>
      <c r="N105" s="1297"/>
      <c r="O105" s="1297"/>
      <c r="P105" s="1297"/>
      <c r="Q105" s="1297"/>
      <c r="R105" s="1297"/>
      <c r="S105" s="1297"/>
    </row>
    <row r="106">
      <c r="A106" s="1288" t="s">
        <v>2082</v>
      </c>
      <c r="B106" s="1288">
        <f t="shared" si="6"/>
        <v>3</v>
      </c>
      <c r="C106" s="1285">
        <f t="shared" si="2"/>
        <v>1</v>
      </c>
      <c r="D106" s="1285">
        <f t="shared" si="3"/>
        <v>0</v>
      </c>
      <c r="E106" s="1288"/>
      <c r="F106" s="1288"/>
      <c r="G106" s="1288">
        <v>2023.0</v>
      </c>
      <c r="H106" s="1288" t="s">
        <v>2017</v>
      </c>
      <c r="I106" s="1285" t="s">
        <v>4173</v>
      </c>
      <c r="J106" s="1285" t="s">
        <v>1058</v>
      </c>
      <c r="K106" s="1285" t="s">
        <v>4156</v>
      </c>
      <c r="L106" s="1289" t="s">
        <v>2480</v>
      </c>
      <c r="M106" s="1290">
        <v>1.0</v>
      </c>
      <c r="N106" s="1297"/>
      <c r="O106" s="1297"/>
      <c r="P106" s="1297"/>
      <c r="Q106" s="1297"/>
      <c r="R106" s="1297"/>
      <c r="S106" s="1297"/>
    </row>
    <row r="107">
      <c r="A107" s="1288" t="s">
        <v>980</v>
      </c>
      <c r="B107" s="1288">
        <f t="shared" si="6"/>
        <v>15</v>
      </c>
      <c r="C107" s="1285">
        <f t="shared" si="2"/>
        <v>11</v>
      </c>
      <c r="D107" s="1285">
        <f t="shared" si="3"/>
        <v>4</v>
      </c>
      <c r="E107" s="1288"/>
      <c r="F107" s="1288"/>
      <c r="G107" s="1288">
        <v>2023.0</v>
      </c>
      <c r="H107" s="1288" t="s">
        <v>2017</v>
      </c>
      <c r="I107" s="1285" t="s">
        <v>4173</v>
      </c>
      <c r="J107" s="1285" t="s">
        <v>1058</v>
      </c>
      <c r="K107" s="1285" t="s">
        <v>4166</v>
      </c>
      <c r="L107" s="1289" t="s">
        <v>2480</v>
      </c>
      <c r="M107" s="1290">
        <v>2.0</v>
      </c>
      <c r="N107" s="1297"/>
      <c r="O107" s="1297"/>
      <c r="P107" s="1297"/>
      <c r="Q107" s="1297"/>
      <c r="R107" s="1297"/>
      <c r="S107" s="1297"/>
    </row>
    <row r="108">
      <c r="A108" s="1288" t="s">
        <v>2083</v>
      </c>
      <c r="B108" s="1288">
        <f t="shared" si="6"/>
        <v>106</v>
      </c>
      <c r="C108" s="1285">
        <f t="shared" si="2"/>
        <v>44</v>
      </c>
      <c r="D108" s="1285">
        <f t="shared" si="3"/>
        <v>40</v>
      </c>
      <c r="E108" s="1288"/>
      <c r="F108" s="1288"/>
      <c r="G108" s="1288">
        <v>2023.0</v>
      </c>
      <c r="H108" s="1288" t="s">
        <v>2017</v>
      </c>
      <c r="I108" s="1285" t="s">
        <v>4173</v>
      </c>
      <c r="J108" s="1285" t="s">
        <v>1058</v>
      </c>
      <c r="K108" s="1285" t="s">
        <v>4160</v>
      </c>
      <c r="L108" s="1289" t="s">
        <v>2480</v>
      </c>
      <c r="M108" s="1290">
        <v>1.0</v>
      </c>
      <c r="N108" s="1297"/>
      <c r="O108" s="1297"/>
      <c r="P108" s="1297"/>
      <c r="Q108" s="1297"/>
      <c r="R108" s="1297"/>
      <c r="S108" s="1297"/>
    </row>
    <row r="109">
      <c r="A109" s="1288" t="s">
        <v>2084</v>
      </c>
      <c r="B109" s="1288">
        <f t="shared" si="6"/>
        <v>2</v>
      </c>
      <c r="C109" s="1285">
        <f t="shared" si="2"/>
        <v>1</v>
      </c>
      <c r="D109" s="1285">
        <f t="shared" si="3"/>
        <v>0</v>
      </c>
      <c r="E109" s="1288"/>
      <c r="F109" s="1288"/>
      <c r="G109" s="1288">
        <v>2023.0</v>
      </c>
      <c r="H109" s="1288" t="s">
        <v>2017</v>
      </c>
      <c r="I109" s="1285" t="s">
        <v>4173</v>
      </c>
      <c r="J109" s="1285" t="s">
        <v>4161</v>
      </c>
      <c r="K109" s="1285" t="s">
        <v>1055</v>
      </c>
      <c r="L109" s="1289" t="s">
        <v>1724</v>
      </c>
      <c r="M109" s="1290">
        <v>3.0</v>
      </c>
      <c r="N109" s="1297"/>
      <c r="O109" s="1297"/>
      <c r="P109" s="1297"/>
      <c r="Q109" s="1297"/>
      <c r="R109" s="1297"/>
      <c r="S109" s="1297"/>
    </row>
    <row r="110">
      <c r="A110" s="1288" t="s">
        <v>722</v>
      </c>
      <c r="B110" s="1288">
        <f t="shared" si="6"/>
        <v>111</v>
      </c>
      <c r="C110" s="1285">
        <f t="shared" si="2"/>
        <v>35</v>
      </c>
      <c r="D110" s="1285">
        <f t="shared" si="3"/>
        <v>51</v>
      </c>
      <c r="E110" s="1288"/>
      <c r="F110" s="1288"/>
      <c r="G110" s="1288">
        <v>2023.0</v>
      </c>
      <c r="H110" s="1288" t="s">
        <v>2019</v>
      </c>
      <c r="I110" s="1285" t="s">
        <v>4173</v>
      </c>
      <c r="J110" s="1285" t="s">
        <v>1058</v>
      </c>
      <c r="K110" s="1285" t="s">
        <v>4156</v>
      </c>
      <c r="L110" s="1289" t="s">
        <v>2480</v>
      </c>
      <c r="M110" s="1290">
        <v>3.0</v>
      </c>
      <c r="N110" s="1297"/>
      <c r="O110" s="1297"/>
      <c r="P110" s="1297"/>
      <c r="Q110" s="1297"/>
      <c r="R110" s="1297"/>
      <c r="S110" s="1297"/>
    </row>
    <row r="111">
      <c r="A111" s="1288" t="s">
        <v>480</v>
      </c>
      <c r="B111" s="1288">
        <f t="shared" si="6"/>
        <v>235</v>
      </c>
      <c r="C111" s="1285">
        <f t="shared" si="2"/>
        <v>99</v>
      </c>
      <c r="D111" s="1285">
        <f t="shared" si="3"/>
        <v>82</v>
      </c>
      <c r="E111" s="1288"/>
      <c r="F111" s="1288"/>
      <c r="G111" s="1288">
        <v>2023.0</v>
      </c>
      <c r="H111" s="1288" t="s">
        <v>2019</v>
      </c>
      <c r="I111" s="1285" t="s">
        <v>4173</v>
      </c>
      <c r="J111" s="1285" t="s">
        <v>1058</v>
      </c>
      <c r="K111" s="1285" t="s">
        <v>4165</v>
      </c>
      <c r="L111" s="1289" t="s">
        <v>2480</v>
      </c>
      <c r="M111" s="1290">
        <v>1.0</v>
      </c>
      <c r="N111" s="1297"/>
      <c r="O111" s="1297"/>
      <c r="P111" s="1297"/>
      <c r="Q111" s="1297"/>
      <c r="R111" s="1297"/>
      <c r="S111" s="1297"/>
    </row>
    <row r="112">
      <c r="A112" s="1288" t="s">
        <v>1445</v>
      </c>
      <c r="B112" s="1288">
        <f t="shared" si="6"/>
        <v>68</v>
      </c>
      <c r="C112" s="1285">
        <f t="shared" si="2"/>
        <v>13</v>
      </c>
      <c r="D112" s="1285">
        <f t="shared" si="3"/>
        <v>41</v>
      </c>
      <c r="E112" s="1288"/>
      <c r="F112" s="1288"/>
      <c r="G112" s="1288">
        <v>2023.0</v>
      </c>
      <c r="H112" s="1288" t="s">
        <v>2019</v>
      </c>
      <c r="I112" s="1285" t="s">
        <v>4173</v>
      </c>
      <c r="J112" s="1285" t="s">
        <v>1058</v>
      </c>
      <c r="K112" s="1285" t="s">
        <v>4160</v>
      </c>
      <c r="L112" s="1289" t="s">
        <v>2480</v>
      </c>
      <c r="M112" s="1302">
        <v>2.0</v>
      </c>
      <c r="N112" s="1297"/>
      <c r="O112" s="1297"/>
      <c r="P112" s="1297"/>
      <c r="Q112" s="1297"/>
      <c r="R112" s="1297"/>
      <c r="S112" s="1297"/>
    </row>
    <row r="113">
      <c r="A113" s="1288" t="s">
        <v>2087</v>
      </c>
      <c r="B113" s="1288">
        <f t="shared" si="6"/>
        <v>22</v>
      </c>
      <c r="C113" s="1285">
        <f t="shared" si="2"/>
        <v>3</v>
      </c>
      <c r="D113" s="1285">
        <f t="shared" si="3"/>
        <v>14</v>
      </c>
      <c r="E113" s="1288"/>
      <c r="F113" s="1288"/>
      <c r="G113" s="1288">
        <v>2023.0</v>
      </c>
      <c r="H113" s="1288" t="s">
        <v>2019</v>
      </c>
      <c r="I113" s="1285" t="s">
        <v>4173</v>
      </c>
      <c r="J113" s="1285" t="s">
        <v>4161</v>
      </c>
      <c r="K113" s="1285" t="s">
        <v>1055</v>
      </c>
      <c r="L113" s="1289" t="s">
        <v>1724</v>
      </c>
      <c r="M113" s="1302">
        <v>20.0</v>
      </c>
      <c r="N113" s="1297"/>
      <c r="O113" s="1297"/>
      <c r="P113" s="1297"/>
      <c r="Q113" s="1297"/>
      <c r="R113" s="1297"/>
      <c r="S113" s="1297"/>
    </row>
    <row r="114">
      <c r="A114" s="1288" t="s">
        <v>2088</v>
      </c>
      <c r="B114" s="1288">
        <f t="shared" si="6"/>
        <v>48</v>
      </c>
      <c r="C114" s="1285">
        <f t="shared" si="2"/>
        <v>19</v>
      </c>
      <c r="D114" s="1285">
        <f t="shared" si="3"/>
        <v>15</v>
      </c>
      <c r="E114" s="1288"/>
      <c r="F114" s="1288"/>
      <c r="G114" s="1288">
        <v>2023.0</v>
      </c>
      <c r="H114" s="1288" t="s">
        <v>2019</v>
      </c>
      <c r="I114" s="1285" t="s">
        <v>4173</v>
      </c>
      <c r="J114" s="1285" t="s">
        <v>4161</v>
      </c>
      <c r="K114" s="1285" t="s">
        <v>4161</v>
      </c>
      <c r="L114" s="1289" t="s">
        <v>2480</v>
      </c>
      <c r="M114" s="1290">
        <v>1.0</v>
      </c>
      <c r="N114" s="1297"/>
      <c r="O114" s="1297"/>
      <c r="P114" s="1297"/>
      <c r="Q114" s="1297"/>
      <c r="R114" s="1297"/>
      <c r="S114" s="1297"/>
    </row>
    <row r="115">
      <c r="A115" s="1288" t="s">
        <v>1099</v>
      </c>
      <c r="B115" s="1288">
        <f t="shared" si="6"/>
        <v>45</v>
      </c>
      <c r="C115" s="1285">
        <f t="shared" si="2"/>
        <v>18</v>
      </c>
      <c r="D115" s="1285">
        <f t="shared" si="3"/>
        <v>21</v>
      </c>
      <c r="E115" s="1288"/>
      <c r="F115" s="1288"/>
      <c r="G115" s="1288">
        <v>2023.0</v>
      </c>
      <c r="H115" s="1288" t="s">
        <v>2020</v>
      </c>
      <c r="I115" s="1285" t="s">
        <v>4155</v>
      </c>
      <c r="J115" s="1285" t="s">
        <v>1058</v>
      </c>
      <c r="K115" s="1285" t="s">
        <v>4163</v>
      </c>
      <c r="L115" s="1289" t="s">
        <v>2480</v>
      </c>
      <c r="M115" s="1290">
        <v>4.0</v>
      </c>
      <c r="N115" s="1297"/>
      <c r="O115" s="1297"/>
      <c r="P115" s="1297"/>
      <c r="Q115" s="1297"/>
      <c r="R115" s="1297"/>
      <c r="S115" s="1297"/>
    </row>
    <row r="116">
      <c r="A116" s="1288" t="s">
        <v>141</v>
      </c>
      <c r="B116" s="1288">
        <f t="shared" si="6"/>
        <v>24</v>
      </c>
      <c r="C116" s="1285">
        <f t="shared" si="2"/>
        <v>9</v>
      </c>
      <c r="D116" s="1285">
        <f t="shared" si="3"/>
        <v>12</v>
      </c>
      <c r="E116" s="1288"/>
      <c r="F116" s="1288"/>
      <c r="G116" s="1288">
        <v>2023.0</v>
      </c>
      <c r="H116" s="1288" t="s">
        <v>2020</v>
      </c>
      <c r="I116" s="1285" t="s">
        <v>4155</v>
      </c>
      <c r="J116" s="1285" t="s">
        <v>1058</v>
      </c>
      <c r="K116" s="1285" t="s">
        <v>4156</v>
      </c>
      <c r="L116" s="1289" t="s">
        <v>2480</v>
      </c>
      <c r="M116" s="1290">
        <v>22.0</v>
      </c>
      <c r="N116" s="1297"/>
      <c r="O116" s="1297"/>
      <c r="P116" s="1297"/>
      <c r="Q116" s="1297"/>
      <c r="R116" s="1297"/>
      <c r="S116" s="1297"/>
    </row>
    <row r="117">
      <c r="A117" s="1288" t="s">
        <v>283</v>
      </c>
      <c r="B117" s="1288">
        <f t="shared" si="6"/>
        <v>31</v>
      </c>
      <c r="C117" s="1285">
        <f t="shared" si="2"/>
        <v>13</v>
      </c>
      <c r="D117" s="1285">
        <f t="shared" si="3"/>
        <v>14</v>
      </c>
      <c r="E117" s="1288"/>
      <c r="F117" s="1288"/>
      <c r="G117" s="1288">
        <v>2023.0</v>
      </c>
      <c r="H117" s="1288" t="s">
        <v>2020</v>
      </c>
      <c r="I117" s="1285" t="s">
        <v>4155</v>
      </c>
      <c r="J117" s="1285" t="s">
        <v>1058</v>
      </c>
      <c r="K117" s="1285" t="s">
        <v>4158</v>
      </c>
      <c r="L117" s="1289" t="s">
        <v>2480</v>
      </c>
      <c r="M117" s="1290">
        <v>1.0</v>
      </c>
      <c r="N117" s="1297"/>
      <c r="O117" s="1297"/>
      <c r="P117" s="1297"/>
      <c r="Q117" s="1297"/>
      <c r="R117" s="1297"/>
      <c r="S117" s="1297"/>
    </row>
    <row r="118">
      <c r="A118" s="1288" t="s">
        <v>2089</v>
      </c>
      <c r="B118" s="1288">
        <f t="shared" si="6"/>
        <v>0</v>
      </c>
      <c r="C118" s="1285">
        <f t="shared" si="2"/>
        <v>0</v>
      </c>
      <c r="D118" s="1285">
        <f t="shared" si="3"/>
        <v>0</v>
      </c>
      <c r="E118" s="1288"/>
      <c r="F118" s="1288"/>
      <c r="G118" s="1288">
        <v>2023.0</v>
      </c>
      <c r="H118" s="1288" t="s">
        <v>2020</v>
      </c>
      <c r="I118" s="1285" t="s">
        <v>4155</v>
      </c>
      <c r="J118" s="1285" t="s">
        <v>1058</v>
      </c>
      <c r="K118" s="1285" t="s">
        <v>4166</v>
      </c>
      <c r="L118" s="1289" t="s">
        <v>2480</v>
      </c>
      <c r="M118" s="1290">
        <v>4.0</v>
      </c>
      <c r="N118" s="1297"/>
      <c r="O118" s="1297"/>
      <c r="P118" s="1297"/>
      <c r="Q118" s="1297"/>
      <c r="R118" s="1297"/>
      <c r="S118" s="1297"/>
    </row>
    <row r="119">
      <c r="A119" s="1288" t="s">
        <v>2090</v>
      </c>
      <c r="B119" s="1288">
        <f t="shared" si="6"/>
        <v>73</v>
      </c>
      <c r="C119" s="1285">
        <f t="shared" si="2"/>
        <v>24</v>
      </c>
      <c r="D119" s="1285">
        <f t="shared" si="3"/>
        <v>36</v>
      </c>
      <c r="E119" s="1288"/>
      <c r="F119" s="1288"/>
      <c r="G119" s="1288">
        <v>2023.0</v>
      </c>
      <c r="H119" s="1288" t="s">
        <v>2020</v>
      </c>
      <c r="I119" s="1285" t="s">
        <v>4155</v>
      </c>
      <c r="J119" s="1285" t="s">
        <v>1058</v>
      </c>
      <c r="K119" s="1285" t="s">
        <v>4160</v>
      </c>
      <c r="L119" s="1289" t="s">
        <v>2480</v>
      </c>
      <c r="M119" s="1290">
        <v>2.0</v>
      </c>
      <c r="N119" s="1297"/>
      <c r="O119" s="1297"/>
      <c r="P119" s="1297"/>
      <c r="Q119" s="1297"/>
      <c r="R119" s="1297"/>
      <c r="S119" s="1297"/>
    </row>
    <row r="120">
      <c r="A120" s="1288" t="s">
        <v>1860</v>
      </c>
      <c r="B120" s="1288">
        <f t="shared" si="6"/>
        <v>44</v>
      </c>
      <c r="C120" s="1285">
        <f t="shared" si="2"/>
        <v>14</v>
      </c>
      <c r="D120" s="1285">
        <f t="shared" si="3"/>
        <v>12</v>
      </c>
      <c r="E120" s="1288"/>
      <c r="F120" s="1288"/>
      <c r="G120" s="1288">
        <v>2023.0</v>
      </c>
      <c r="H120" s="1288" t="s">
        <v>2020</v>
      </c>
      <c r="I120" s="1285" t="s">
        <v>4155</v>
      </c>
      <c r="J120" s="1285" t="s">
        <v>4161</v>
      </c>
      <c r="K120" s="1285" t="s">
        <v>4167</v>
      </c>
      <c r="L120" s="1289" t="s">
        <v>2480</v>
      </c>
      <c r="M120" s="1290">
        <v>3.0</v>
      </c>
      <c r="N120" s="1297"/>
      <c r="O120" s="1297"/>
      <c r="P120" s="1297"/>
      <c r="Q120" s="1297"/>
      <c r="R120" s="1297"/>
      <c r="S120" s="1297"/>
    </row>
    <row r="121">
      <c r="A121" s="1288" t="s">
        <v>2093</v>
      </c>
      <c r="B121" s="1288">
        <f t="shared" si="6"/>
        <v>0</v>
      </c>
      <c r="C121" s="1285">
        <f t="shared" si="2"/>
        <v>0</v>
      </c>
      <c r="D121" s="1285">
        <f t="shared" si="3"/>
        <v>0</v>
      </c>
      <c r="E121" s="1288"/>
      <c r="F121" s="1288"/>
      <c r="G121" s="1288">
        <v>2023.0</v>
      </c>
      <c r="H121" s="1288" t="s">
        <v>2020</v>
      </c>
      <c r="I121" s="1285" t="s">
        <v>4155</v>
      </c>
      <c r="J121" s="1285" t="s">
        <v>4161</v>
      </c>
      <c r="K121" s="1285" t="s">
        <v>1055</v>
      </c>
      <c r="L121" s="1289" t="s">
        <v>1724</v>
      </c>
      <c r="M121" s="1290">
        <v>8.0</v>
      </c>
      <c r="N121" s="1297"/>
      <c r="O121" s="1297"/>
      <c r="P121" s="1297"/>
      <c r="Q121" s="1297"/>
      <c r="R121" s="1297"/>
      <c r="S121" s="1297"/>
    </row>
    <row r="122">
      <c r="A122" s="1288" t="s">
        <v>2094</v>
      </c>
      <c r="B122" s="1288">
        <f t="shared" si="6"/>
        <v>7</v>
      </c>
      <c r="C122" s="1285">
        <f t="shared" si="2"/>
        <v>4</v>
      </c>
      <c r="D122" s="1285">
        <f t="shared" si="3"/>
        <v>0</v>
      </c>
      <c r="E122" s="1288"/>
      <c r="F122" s="1288"/>
      <c r="G122" s="1288">
        <v>2023.0</v>
      </c>
      <c r="H122" s="1288" t="s">
        <v>2020</v>
      </c>
      <c r="I122" s="1285" t="s">
        <v>4155</v>
      </c>
      <c r="J122" s="1285" t="s">
        <v>4161</v>
      </c>
      <c r="K122" s="1285" t="s">
        <v>4161</v>
      </c>
      <c r="L122" s="1289" t="s">
        <v>2480</v>
      </c>
      <c r="M122" s="1290">
        <v>1.0</v>
      </c>
      <c r="N122" s="1297"/>
      <c r="O122" s="1297"/>
      <c r="P122" s="1297"/>
      <c r="Q122" s="1297"/>
      <c r="R122" s="1297"/>
      <c r="S122" s="1297"/>
    </row>
    <row r="123">
      <c r="A123" s="1288" t="s">
        <v>142</v>
      </c>
      <c r="B123" s="1288">
        <f t="shared" si="6"/>
        <v>3</v>
      </c>
      <c r="C123" s="1285">
        <f t="shared" si="2"/>
        <v>2</v>
      </c>
      <c r="D123" s="1285">
        <f t="shared" si="3"/>
        <v>1</v>
      </c>
      <c r="E123" s="1288"/>
      <c r="F123" s="1288"/>
      <c r="G123" s="1288">
        <v>2023.0</v>
      </c>
      <c r="H123" s="1288" t="s">
        <v>2021</v>
      </c>
      <c r="I123" s="1285" t="s">
        <v>4172</v>
      </c>
      <c r="J123" s="1285" t="s">
        <v>1058</v>
      </c>
      <c r="K123" s="1285" t="s">
        <v>4163</v>
      </c>
      <c r="L123" s="1289" t="s">
        <v>2480</v>
      </c>
      <c r="M123" s="1290">
        <v>7.0</v>
      </c>
      <c r="N123" s="1297"/>
      <c r="O123" s="1297"/>
      <c r="P123" s="1297"/>
      <c r="Q123" s="1297"/>
      <c r="R123" s="1297"/>
      <c r="S123" s="1297"/>
    </row>
    <row r="124">
      <c r="A124" s="1288" t="s">
        <v>593</v>
      </c>
      <c r="B124" s="1288">
        <f t="shared" si="6"/>
        <v>50</v>
      </c>
      <c r="C124" s="1285">
        <f t="shared" si="2"/>
        <v>16</v>
      </c>
      <c r="D124" s="1285">
        <f t="shared" si="3"/>
        <v>30</v>
      </c>
      <c r="E124" s="1288"/>
      <c r="F124" s="1288"/>
      <c r="G124" s="1288">
        <v>2023.0</v>
      </c>
      <c r="H124" s="1288" t="s">
        <v>2021</v>
      </c>
      <c r="I124" s="1285" t="s">
        <v>4172</v>
      </c>
      <c r="J124" s="1285" t="s">
        <v>1058</v>
      </c>
      <c r="K124" s="1285" t="s">
        <v>4156</v>
      </c>
      <c r="L124" s="1289" t="s">
        <v>2480</v>
      </c>
      <c r="M124" s="1290">
        <v>46.0</v>
      </c>
      <c r="N124" s="1297"/>
      <c r="O124" s="1297"/>
      <c r="P124" s="1297"/>
      <c r="Q124" s="1297"/>
      <c r="R124" s="1297"/>
      <c r="S124" s="1297"/>
    </row>
    <row r="125">
      <c r="A125" s="1288" t="s">
        <v>594</v>
      </c>
      <c r="B125" s="1288" t="s">
        <v>63</v>
      </c>
      <c r="C125" s="1285">
        <f t="shared" si="2"/>
        <v>0</v>
      </c>
      <c r="D125" s="1285">
        <f t="shared" si="3"/>
        <v>0</v>
      </c>
      <c r="E125" s="1288"/>
      <c r="F125" s="1288"/>
      <c r="G125" s="1288">
        <v>2023.0</v>
      </c>
      <c r="H125" s="1288" t="s">
        <v>2021</v>
      </c>
      <c r="I125" s="1285" t="s">
        <v>4172</v>
      </c>
      <c r="J125" s="1285" t="s">
        <v>1058</v>
      </c>
      <c r="K125" s="1285" t="s">
        <v>4157</v>
      </c>
      <c r="L125" s="1289" t="s">
        <v>1724</v>
      </c>
      <c r="M125" s="1290">
        <v>5.0</v>
      </c>
      <c r="N125" s="1297"/>
      <c r="O125" s="1297"/>
      <c r="P125" s="1297"/>
      <c r="Q125" s="1297"/>
      <c r="R125" s="1297"/>
      <c r="S125" s="1297"/>
    </row>
    <row r="126">
      <c r="A126" s="1288" t="s">
        <v>143</v>
      </c>
      <c r="B126" s="1288">
        <f t="shared" ref="B126:B133" si="7">sumif($H$4:$H$1494,A126,$M$4:$M$1494)</f>
        <v>264</v>
      </c>
      <c r="C126" s="1285">
        <f t="shared" si="2"/>
        <v>101</v>
      </c>
      <c r="D126" s="1285">
        <f t="shared" si="3"/>
        <v>126</v>
      </c>
      <c r="E126" s="1288"/>
      <c r="F126" s="1288"/>
      <c r="G126" s="1288">
        <v>2023.0</v>
      </c>
      <c r="H126" s="1288" t="s">
        <v>2021</v>
      </c>
      <c r="I126" s="1285" t="s">
        <v>4172</v>
      </c>
      <c r="J126" s="1285" t="s">
        <v>1058</v>
      </c>
      <c r="K126" s="1285" t="s">
        <v>4165</v>
      </c>
      <c r="L126" s="1289" t="s">
        <v>2480</v>
      </c>
      <c r="M126" s="1290">
        <v>7.0</v>
      </c>
      <c r="N126" s="1297"/>
      <c r="O126" s="1297"/>
      <c r="P126" s="1297"/>
      <c r="Q126" s="1297"/>
      <c r="R126" s="1297"/>
      <c r="S126" s="1297"/>
    </row>
    <row r="127">
      <c r="A127" s="1288" t="s">
        <v>2095</v>
      </c>
      <c r="B127" s="1288">
        <f t="shared" si="7"/>
        <v>12</v>
      </c>
      <c r="C127" s="1285">
        <f t="shared" si="2"/>
        <v>4</v>
      </c>
      <c r="D127" s="1285">
        <f t="shared" si="3"/>
        <v>5</v>
      </c>
      <c r="E127" s="1288"/>
      <c r="F127" s="1288"/>
      <c r="G127" s="1288">
        <v>2023.0</v>
      </c>
      <c r="H127" s="1288" t="s">
        <v>2021</v>
      </c>
      <c r="I127" s="1285" t="s">
        <v>4172</v>
      </c>
      <c r="J127" s="1285" t="s">
        <v>1058</v>
      </c>
      <c r="K127" s="1285" t="s">
        <v>4166</v>
      </c>
      <c r="L127" s="1289" t="s">
        <v>2480</v>
      </c>
      <c r="M127" s="1290">
        <v>4.0</v>
      </c>
      <c r="N127" s="1297"/>
      <c r="O127" s="1297"/>
      <c r="P127" s="1297"/>
      <c r="Q127" s="1297"/>
      <c r="R127" s="1297"/>
      <c r="S127" s="1297"/>
    </row>
    <row r="128">
      <c r="A128" s="1288" t="s">
        <v>2096</v>
      </c>
      <c r="B128" s="1288">
        <f t="shared" si="7"/>
        <v>62</v>
      </c>
      <c r="C128" s="1285">
        <f t="shared" si="2"/>
        <v>20</v>
      </c>
      <c r="D128" s="1285">
        <f t="shared" si="3"/>
        <v>32</v>
      </c>
      <c r="E128" s="1288"/>
      <c r="F128" s="1288"/>
      <c r="G128" s="1288">
        <v>2023.0</v>
      </c>
      <c r="H128" s="1288" t="s">
        <v>2021</v>
      </c>
      <c r="I128" s="1285" t="s">
        <v>4172</v>
      </c>
      <c r="J128" s="1285" t="s">
        <v>1058</v>
      </c>
      <c r="K128" s="1285" t="s">
        <v>4160</v>
      </c>
      <c r="L128" s="1289" t="s">
        <v>2480</v>
      </c>
      <c r="M128" s="1290">
        <v>6.0</v>
      </c>
      <c r="N128" s="1297"/>
      <c r="O128" s="1297"/>
      <c r="P128" s="1297"/>
      <c r="Q128" s="1297"/>
      <c r="R128" s="1297"/>
      <c r="S128" s="1297"/>
    </row>
    <row r="129">
      <c r="A129" s="1288" t="s">
        <v>288</v>
      </c>
      <c r="B129" s="1288">
        <f t="shared" si="7"/>
        <v>117</v>
      </c>
      <c r="C129" s="1285">
        <f t="shared" si="2"/>
        <v>53</v>
      </c>
      <c r="D129" s="1285">
        <f t="shared" si="3"/>
        <v>37</v>
      </c>
      <c r="E129" s="1288"/>
      <c r="F129" s="1288"/>
      <c r="G129" s="1288">
        <v>2023.0</v>
      </c>
      <c r="H129" s="1288" t="s">
        <v>2021</v>
      </c>
      <c r="I129" s="1285" t="s">
        <v>4172</v>
      </c>
      <c r="J129" s="1285" t="s">
        <v>4161</v>
      </c>
      <c r="K129" s="1285" t="s">
        <v>4167</v>
      </c>
      <c r="L129" s="1289" t="s">
        <v>2480</v>
      </c>
      <c r="M129" s="1290">
        <v>2.0</v>
      </c>
      <c r="N129" s="1297"/>
      <c r="O129" s="1297"/>
      <c r="P129" s="1297"/>
      <c r="Q129" s="1297"/>
      <c r="R129" s="1297"/>
      <c r="S129" s="1297"/>
    </row>
    <row r="130">
      <c r="A130" s="1288" t="s">
        <v>598</v>
      </c>
      <c r="B130" s="1288">
        <f t="shared" si="7"/>
        <v>19</v>
      </c>
      <c r="C130" s="1285">
        <f t="shared" si="2"/>
        <v>9</v>
      </c>
      <c r="D130" s="1285">
        <f t="shared" si="3"/>
        <v>7</v>
      </c>
      <c r="E130" s="1288"/>
      <c r="F130" s="1288"/>
      <c r="G130" s="1288">
        <v>2023.0</v>
      </c>
      <c r="H130" s="1288" t="s">
        <v>2021</v>
      </c>
      <c r="I130" s="1285" t="s">
        <v>4172</v>
      </c>
      <c r="J130" s="1285" t="s">
        <v>4161</v>
      </c>
      <c r="K130" s="1285" t="s">
        <v>1055</v>
      </c>
      <c r="L130" s="1289" t="s">
        <v>1724</v>
      </c>
      <c r="M130" s="1290">
        <v>33.0</v>
      </c>
      <c r="N130" s="1297"/>
      <c r="O130" s="1297"/>
      <c r="P130" s="1297"/>
      <c r="Q130" s="1297"/>
      <c r="R130" s="1297"/>
      <c r="S130" s="1297"/>
    </row>
    <row r="131">
      <c r="A131" s="1288" t="s">
        <v>2097</v>
      </c>
      <c r="B131" s="1288">
        <f t="shared" si="7"/>
        <v>14</v>
      </c>
      <c r="C131" s="1285">
        <f t="shared" si="2"/>
        <v>3</v>
      </c>
      <c r="D131" s="1285">
        <f t="shared" si="3"/>
        <v>0</v>
      </c>
      <c r="E131" s="1288"/>
      <c r="F131" s="1288"/>
      <c r="G131" s="1288">
        <v>2023.0</v>
      </c>
      <c r="H131" s="1288" t="s">
        <v>2021</v>
      </c>
      <c r="I131" s="1285" t="s">
        <v>4172</v>
      </c>
      <c r="J131" s="1285" t="s">
        <v>4161</v>
      </c>
      <c r="K131" s="1285" t="s">
        <v>4161</v>
      </c>
      <c r="L131" s="1289" t="s">
        <v>2480</v>
      </c>
      <c r="M131" s="1290">
        <v>4.0</v>
      </c>
      <c r="N131" s="1297"/>
      <c r="O131" s="1297"/>
      <c r="P131" s="1297"/>
      <c r="Q131" s="1297"/>
      <c r="R131" s="1297"/>
      <c r="S131" s="1297"/>
    </row>
    <row r="132">
      <c r="A132" s="1288" t="s">
        <v>2098</v>
      </c>
      <c r="B132" s="1288">
        <f t="shared" si="7"/>
        <v>72</v>
      </c>
      <c r="C132" s="1285">
        <f t="shared" si="2"/>
        <v>36</v>
      </c>
      <c r="D132" s="1285">
        <f t="shared" si="3"/>
        <v>27</v>
      </c>
      <c r="E132" s="1288"/>
      <c r="F132" s="1288"/>
      <c r="G132" s="1288">
        <v>2023.0</v>
      </c>
      <c r="H132" s="1288" t="s">
        <v>2022</v>
      </c>
      <c r="I132" s="1285" t="s">
        <v>4173</v>
      </c>
      <c r="J132" s="1285" t="s">
        <v>1058</v>
      </c>
      <c r="K132" s="1285" t="s">
        <v>4163</v>
      </c>
      <c r="L132" s="1289" t="s">
        <v>2480</v>
      </c>
      <c r="M132" s="1290">
        <v>3.0</v>
      </c>
      <c r="N132" s="1297"/>
      <c r="O132" s="1297"/>
      <c r="P132" s="1297"/>
      <c r="Q132" s="1297"/>
      <c r="R132" s="1297"/>
      <c r="S132" s="1297"/>
    </row>
    <row r="133">
      <c r="A133" s="1288" t="s">
        <v>727</v>
      </c>
      <c r="B133" s="1288">
        <f t="shared" si="7"/>
        <v>8</v>
      </c>
      <c r="C133" s="1285">
        <f t="shared" si="2"/>
        <v>1</v>
      </c>
      <c r="D133" s="1285">
        <f t="shared" si="3"/>
        <v>5</v>
      </c>
      <c r="E133" s="1288"/>
      <c r="F133" s="1288"/>
      <c r="G133" s="1288">
        <v>2023.0</v>
      </c>
      <c r="H133" s="1288" t="s">
        <v>2022</v>
      </c>
      <c r="I133" s="1285" t="s">
        <v>4173</v>
      </c>
      <c r="J133" s="1285" t="s">
        <v>1058</v>
      </c>
      <c r="K133" s="1285" t="s">
        <v>4156</v>
      </c>
      <c r="L133" s="1289" t="s">
        <v>2480</v>
      </c>
      <c r="M133" s="1290">
        <v>41.0</v>
      </c>
      <c r="N133" s="1297"/>
      <c r="O133" s="1297"/>
      <c r="P133" s="1297"/>
      <c r="Q133" s="1297"/>
      <c r="R133" s="1297"/>
      <c r="S133" s="1297"/>
    </row>
    <row r="134">
      <c r="A134" s="1288" t="s">
        <v>2099</v>
      </c>
      <c r="B134" s="1288" t="s">
        <v>63</v>
      </c>
      <c r="C134" s="1285">
        <f t="shared" si="2"/>
        <v>0</v>
      </c>
      <c r="D134" s="1285">
        <f t="shared" si="3"/>
        <v>0</v>
      </c>
      <c r="E134" s="1288"/>
      <c r="F134" s="1288"/>
      <c r="G134" s="1288">
        <v>2023.0</v>
      </c>
      <c r="H134" s="1288" t="s">
        <v>2022</v>
      </c>
      <c r="I134" s="1285" t="s">
        <v>4173</v>
      </c>
      <c r="J134" s="1285" t="s">
        <v>1058</v>
      </c>
      <c r="K134" s="1285" t="s">
        <v>4157</v>
      </c>
      <c r="L134" s="1289" t="s">
        <v>1724</v>
      </c>
      <c r="M134" s="1290">
        <v>10.0</v>
      </c>
      <c r="N134" s="1297"/>
      <c r="O134" s="1297"/>
      <c r="P134" s="1297"/>
      <c r="Q134" s="1297"/>
      <c r="R134" s="1297"/>
      <c r="S134" s="1297"/>
    </row>
    <row r="135">
      <c r="A135" s="1288" t="s">
        <v>474</v>
      </c>
      <c r="B135" s="1288" t="s">
        <v>63</v>
      </c>
      <c r="C135" s="1285">
        <f t="shared" si="2"/>
        <v>0</v>
      </c>
      <c r="D135" s="1285">
        <f t="shared" si="3"/>
        <v>0</v>
      </c>
      <c r="E135" s="1288"/>
      <c r="F135" s="1288"/>
      <c r="G135" s="1288">
        <v>2023.0</v>
      </c>
      <c r="H135" s="1288" t="s">
        <v>2022</v>
      </c>
      <c r="I135" s="1285" t="s">
        <v>4173</v>
      </c>
      <c r="J135" s="1285" t="s">
        <v>1058</v>
      </c>
      <c r="K135" s="1285" t="s">
        <v>4158</v>
      </c>
      <c r="L135" s="1289" t="s">
        <v>2480</v>
      </c>
      <c r="M135" s="1290">
        <v>3.0</v>
      </c>
      <c r="N135" s="1297"/>
      <c r="O135" s="1297"/>
      <c r="P135" s="1297"/>
      <c r="Q135" s="1297"/>
      <c r="R135" s="1297"/>
      <c r="S135" s="1297"/>
    </row>
    <row r="136">
      <c r="A136" s="1288" t="s">
        <v>2100</v>
      </c>
      <c r="B136" s="1288">
        <f t="shared" ref="B136:B137" si="8">sumif($H$4:$H$1494,A136,$M$4:$M$1494)</f>
        <v>29</v>
      </c>
      <c r="C136" s="1285">
        <f t="shared" si="2"/>
        <v>6</v>
      </c>
      <c r="D136" s="1285">
        <f t="shared" si="3"/>
        <v>13</v>
      </c>
      <c r="E136" s="1288"/>
      <c r="F136" s="1288"/>
      <c r="G136" s="1288">
        <v>2023.0</v>
      </c>
      <c r="H136" s="1288" t="s">
        <v>2022</v>
      </c>
      <c r="I136" s="1285" t="s">
        <v>4173</v>
      </c>
      <c r="J136" s="1285" t="s">
        <v>1058</v>
      </c>
      <c r="K136" s="1285" t="s">
        <v>4159</v>
      </c>
      <c r="L136" s="1289" t="s">
        <v>1724</v>
      </c>
      <c r="M136" s="1290">
        <v>3.0</v>
      </c>
      <c r="N136" s="1297"/>
      <c r="O136" s="1297"/>
      <c r="P136" s="1297"/>
      <c r="Q136" s="1297"/>
      <c r="R136" s="1297"/>
      <c r="S136" s="1297"/>
    </row>
    <row r="137">
      <c r="A137" s="1288" t="s">
        <v>2101</v>
      </c>
      <c r="B137" s="1288">
        <f t="shared" si="8"/>
        <v>6</v>
      </c>
      <c r="C137" s="1285">
        <f t="shared" si="2"/>
        <v>3</v>
      </c>
      <c r="D137" s="1285">
        <f t="shared" si="3"/>
        <v>0</v>
      </c>
      <c r="E137" s="1288"/>
      <c r="F137" s="1288"/>
      <c r="G137" s="1288">
        <v>2023.0</v>
      </c>
      <c r="H137" s="1288" t="s">
        <v>2022</v>
      </c>
      <c r="I137" s="1285" t="s">
        <v>4173</v>
      </c>
      <c r="J137" s="1285" t="s">
        <v>1058</v>
      </c>
      <c r="K137" s="1285" t="s">
        <v>4165</v>
      </c>
      <c r="L137" s="1289" t="s">
        <v>2480</v>
      </c>
      <c r="M137" s="1290">
        <v>2.0</v>
      </c>
      <c r="N137" s="1297"/>
      <c r="O137" s="1297"/>
      <c r="P137" s="1297"/>
      <c r="Q137" s="1297"/>
      <c r="R137" s="1297"/>
      <c r="S137" s="1297"/>
    </row>
    <row r="138">
      <c r="A138" s="1288" t="s">
        <v>255</v>
      </c>
      <c r="B138" s="1288" t="s">
        <v>63</v>
      </c>
      <c r="C138" s="1285">
        <f t="shared" si="2"/>
        <v>0</v>
      </c>
      <c r="D138" s="1285">
        <f t="shared" si="3"/>
        <v>0</v>
      </c>
      <c r="E138" s="1288"/>
      <c r="F138" s="1288"/>
      <c r="G138" s="1288">
        <v>2023.0</v>
      </c>
      <c r="H138" s="1288" t="s">
        <v>2022</v>
      </c>
      <c r="I138" s="1285" t="s">
        <v>4173</v>
      </c>
      <c r="J138" s="1285" t="s">
        <v>1058</v>
      </c>
      <c r="K138" s="1285" t="s">
        <v>4166</v>
      </c>
      <c r="L138" s="1289" t="s">
        <v>2480</v>
      </c>
      <c r="M138" s="1290">
        <v>1.0</v>
      </c>
      <c r="N138" s="1297"/>
      <c r="O138" s="1297"/>
      <c r="P138" s="1297"/>
      <c r="Q138" s="1297"/>
      <c r="R138" s="1297"/>
      <c r="S138" s="1297"/>
    </row>
    <row r="139">
      <c r="A139" s="1288" t="s">
        <v>2102</v>
      </c>
      <c r="B139" s="1288" t="s">
        <v>63</v>
      </c>
      <c r="C139" s="1285">
        <f t="shared" si="2"/>
        <v>0</v>
      </c>
      <c r="D139" s="1285">
        <f t="shared" si="3"/>
        <v>0</v>
      </c>
      <c r="E139" s="1288"/>
      <c r="F139" s="1288"/>
      <c r="G139" s="1288">
        <v>2023.0</v>
      </c>
      <c r="H139" s="1288" t="s">
        <v>2022</v>
      </c>
      <c r="I139" s="1285" t="s">
        <v>4173</v>
      </c>
      <c r="J139" s="1285" t="s">
        <v>1058</v>
      </c>
      <c r="K139" s="1285" t="s">
        <v>4161</v>
      </c>
      <c r="L139" s="1289" t="s">
        <v>2480</v>
      </c>
      <c r="M139" s="1290">
        <v>1.0</v>
      </c>
      <c r="N139" s="1297"/>
      <c r="O139" s="1297"/>
      <c r="P139" s="1297"/>
      <c r="Q139" s="1297"/>
      <c r="R139" s="1297"/>
      <c r="S139" s="1297"/>
    </row>
    <row r="140">
      <c r="A140" s="1288" t="s">
        <v>2103</v>
      </c>
      <c r="B140" s="1288">
        <f t="shared" ref="B140:B153" si="9">sumif($H$4:$H$1494,A140,$M$4:$M$1494)</f>
        <v>33</v>
      </c>
      <c r="C140" s="1285">
        <f t="shared" si="2"/>
        <v>20</v>
      </c>
      <c r="D140" s="1285">
        <f t="shared" si="3"/>
        <v>9</v>
      </c>
      <c r="E140" s="1288"/>
      <c r="F140" s="1288"/>
      <c r="G140" s="1288">
        <v>2023.0</v>
      </c>
      <c r="H140" s="1288" t="s">
        <v>2022</v>
      </c>
      <c r="I140" s="1285" t="s">
        <v>4173</v>
      </c>
      <c r="J140" s="1285" t="s">
        <v>4161</v>
      </c>
      <c r="K140" s="1285" t="s">
        <v>4167</v>
      </c>
      <c r="L140" s="1289" t="s">
        <v>2480</v>
      </c>
      <c r="M140" s="1290">
        <v>1.0</v>
      </c>
      <c r="N140" s="1297"/>
      <c r="O140" s="1297"/>
      <c r="P140" s="1297"/>
      <c r="Q140" s="1297"/>
      <c r="R140" s="1297"/>
      <c r="S140" s="1297"/>
    </row>
    <row r="141">
      <c r="A141" s="1288" t="s">
        <v>728</v>
      </c>
      <c r="B141" s="1288">
        <f t="shared" si="9"/>
        <v>3</v>
      </c>
      <c r="C141" s="1285">
        <f t="shared" si="2"/>
        <v>2</v>
      </c>
      <c r="D141" s="1285">
        <f t="shared" si="3"/>
        <v>1</v>
      </c>
      <c r="E141" s="1288"/>
      <c r="F141" s="1288"/>
      <c r="G141" s="1288">
        <v>2023.0</v>
      </c>
      <c r="H141" s="1288" t="s">
        <v>2022</v>
      </c>
      <c r="I141" s="1285" t="s">
        <v>4173</v>
      </c>
      <c r="J141" s="1285" t="s">
        <v>4161</v>
      </c>
      <c r="K141" s="1285" t="s">
        <v>1055</v>
      </c>
      <c r="L141" s="1289" t="s">
        <v>1724</v>
      </c>
      <c r="M141" s="1290">
        <v>76.0</v>
      </c>
      <c r="N141" s="1297"/>
      <c r="O141" s="1297"/>
      <c r="P141" s="1297"/>
      <c r="Q141" s="1297"/>
      <c r="R141" s="1297"/>
      <c r="S141" s="1297"/>
    </row>
    <row r="142">
      <c r="A142" s="1288" t="s">
        <v>144</v>
      </c>
      <c r="B142" s="1288">
        <f t="shared" si="9"/>
        <v>79</v>
      </c>
      <c r="C142" s="1285">
        <f t="shared" si="2"/>
        <v>40</v>
      </c>
      <c r="D142" s="1285">
        <f t="shared" si="3"/>
        <v>23</v>
      </c>
      <c r="E142" s="1288"/>
      <c r="F142" s="1288"/>
      <c r="G142" s="1288">
        <v>2023.0</v>
      </c>
      <c r="H142" s="1288" t="s">
        <v>2022</v>
      </c>
      <c r="I142" s="1285" t="s">
        <v>4173</v>
      </c>
      <c r="J142" s="1285" t="s">
        <v>4161</v>
      </c>
      <c r="K142" s="1285" t="s">
        <v>4161</v>
      </c>
      <c r="L142" s="1289" t="s">
        <v>2480</v>
      </c>
      <c r="M142" s="1290">
        <v>4.0</v>
      </c>
      <c r="N142" s="1297"/>
      <c r="O142" s="1297"/>
      <c r="P142" s="1297"/>
      <c r="Q142" s="1297"/>
      <c r="R142" s="1297"/>
      <c r="S142" s="1297"/>
    </row>
    <row r="143">
      <c r="A143" s="1288" t="s">
        <v>2104</v>
      </c>
      <c r="B143" s="1288">
        <f t="shared" si="9"/>
        <v>13</v>
      </c>
      <c r="C143" s="1285">
        <f t="shared" si="2"/>
        <v>5</v>
      </c>
      <c r="D143" s="1285">
        <f t="shared" si="3"/>
        <v>4</v>
      </c>
      <c r="E143" s="1288"/>
      <c r="F143" s="1288"/>
      <c r="G143" s="1288">
        <v>2023.0</v>
      </c>
      <c r="H143" s="1288" t="s">
        <v>2023</v>
      </c>
      <c r="I143" s="1285" t="s">
        <v>4175</v>
      </c>
      <c r="J143" s="1285" t="s">
        <v>1058</v>
      </c>
      <c r="K143" s="1285" t="s">
        <v>4156</v>
      </c>
      <c r="L143" s="1289" t="s">
        <v>2480</v>
      </c>
      <c r="M143" s="1290">
        <v>2.0</v>
      </c>
      <c r="N143" s="1297"/>
      <c r="O143" s="1297"/>
      <c r="P143" s="1297"/>
      <c r="Q143" s="1297"/>
      <c r="R143" s="1297"/>
      <c r="S143" s="1297"/>
    </row>
    <row r="144">
      <c r="A144" s="1288" t="s">
        <v>2105</v>
      </c>
      <c r="B144" s="1288">
        <f t="shared" si="9"/>
        <v>33</v>
      </c>
      <c r="C144" s="1285">
        <f t="shared" si="2"/>
        <v>6</v>
      </c>
      <c r="D144" s="1285">
        <f t="shared" si="3"/>
        <v>23</v>
      </c>
      <c r="E144" s="1288"/>
      <c r="F144" s="1288"/>
      <c r="G144" s="1288">
        <v>2023.0</v>
      </c>
      <c r="H144" s="1288" t="s">
        <v>2023</v>
      </c>
      <c r="I144" s="1285" t="s">
        <v>4175</v>
      </c>
      <c r="J144" s="1285" t="s">
        <v>1058</v>
      </c>
      <c r="K144" s="1285" t="s">
        <v>4166</v>
      </c>
      <c r="L144" s="1289" t="s">
        <v>2480</v>
      </c>
      <c r="M144" s="1290">
        <v>1.0</v>
      </c>
      <c r="N144" s="1297"/>
      <c r="O144" s="1297"/>
      <c r="P144" s="1297"/>
      <c r="Q144" s="1297"/>
      <c r="R144" s="1297"/>
      <c r="S144" s="1297"/>
    </row>
    <row r="145">
      <c r="A145" s="1288" t="s">
        <v>729</v>
      </c>
      <c r="B145" s="1288">
        <f t="shared" si="9"/>
        <v>12</v>
      </c>
      <c r="C145" s="1285">
        <f t="shared" si="2"/>
        <v>3</v>
      </c>
      <c r="D145" s="1285">
        <f t="shared" si="3"/>
        <v>4</v>
      </c>
      <c r="E145" s="1288"/>
      <c r="F145" s="1288"/>
      <c r="G145" s="1288">
        <v>2023.0</v>
      </c>
      <c r="H145" s="1288" t="s">
        <v>2025</v>
      </c>
      <c r="I145" s="1285" t="s">
        <v>4170</v>
      </c>
      <c r="J145" s="1285" t="s">
        <v>1058</v>
      </c>
      <c r="K145" s="1285" t="s">
        <v>4156</v>
      </c>
      <c r="L145" s="1289" t="s">
        <v>2480</v>
      </c>
      <c r="M145" s="1290">
        <v>1.0</v>
      </c>
      <c r="N145" s="1297"/>
      <c r="O145" s="1297"/>
      <c r="P145" s="1297"/>
      <c r="Q145" s="1297"/>
      <c r="R145" s="1297"/>
      <c r="S145" s="1297"/>
    </row>
    <row r="146">
      <c r="A146" s="1288" t="s">
        <v>2106</v>
      </c>
      <c r="B146" s="1288">
        <f t="shared" si="9"/>
        <v>2</v>
      </c>
      <c r="C146" s="1285">
        <f t="shared" si="2"/>
        <v>0</v>
      </c>
      <c r="D146" s="1285">
        <f t="shared" si="3"/>
        <v>0</v>
      </c>
      <c r="E146" s="1288"/>
      <c r="F146" s="1288"/>
      <c r="G146" s="1288">
        <v>2023.0</v>
      </c>
      <c r="H146" s="1288" t="s">
        <v>2025</v>
      </c>
      <c r="I146" s="1285" t="s">
        <v>4170</v>
      </c>
      <c r="J146" s="1285" t="s">
        <v>4161</v>
      </c>
      <c r="K146" s="1285" t="s">
        <v>1055</v>
      </c>
      <c r="L146" s="1289" t="s">
        <v>1724</v>
      </c>
      <c r="M146" s="1290">
        <v>2.0</v>
      </c>
      <c r="N146" s="1297"/>
      <c r="O146" s="1297"/>
      <c r="P146" s="1297"/>
      <c r="Q146" s="1297"/>
      <c r="R146" s="1297"/>
      <c r="S146" s="1297"/>
    </row>
    <row r="147">
      <c r="A147" s="1288" t="s">
        <v>147</v>
      </c>
      <c r="B147" s="1288">
        <f t="shared" si="9"/>
        <v>12</v>
      </c>
      <c r="C147" s="1285">
        <f t="shared" si="2"/>
        <v>1</v>
      </c>
      <c r="D147" s="1285">
        <f t="shared" si="3"/>
        <v>8</v>
      </c>
      <c r="E147" s="1288"/>
      <c r="F147" s="1288"/>
      <c r="G147" s="1288">
        <v>2023.0</v>
      </c>
      <c r="H147" s="1288" t="s">
        <v>543</v>
      </c>
      <c r="I147" s="1285" t="s">
        <v>4168</v>
      </c>
      <c r="J147" s="1285" t="s">
        <v>1058</v>
      </c>
      <c r="K147" s="1285" t="s">
        <v>4156</v>
      </c>
      <c r="L147" s="1289" t="s">
        <v>2480</v>
      </c>
      <c r="M147" s="1290">
        <v>5.0</v>
      </c>
      <c r="N147" s="1297"/>
      <c r="O147" s="1297"/>
      <c r="P147" s="1297"/>
      <c r="Q147" s="1297"/>
      <c r="R147" s="1297"/>
      <c r="S147" s="1297"/>
    </row>
    <row r="148">
      <c r="A148" s="1288" t="s">
        <v>505</v>
      </c>
      <c r="B148" s="1288">
        <f t="shared" si="9"/>
        <v>26</v>
      </c>
      <c r="C148" s="1285">
        <f t="shared" si="2"/>
        <v>5</v>
      </c>
      <c r="D148" s="1285">
        <f t="shared" si="3"/>
        <v>19</v>
      </c>
      <c r="E148" s="1288"/>
      <c r="F148" s="1288"/>
      <c r="G148" s="1288">
        <v>2023.0</v>
      </c>
      <c r="H148" s="1288" t="s">
        <v>543</v>
      </c>
      <c r="I148" s="1285" t="s">
        <v>4168</v>
      </c>
      <c r="J148" s="1285" t="s">
        <v>1058</v>
      </c>
      <c r="K148" s="1285" t="s">
        <v>4161</v>
      </c>
      <c r="L148" s="1289" t="s">
        <v>2480</v>
      </c>
      <c r="M148" s="1290">
        <v>1.0</v>
      </c>
      <c r="N148" s="1297"/>
      <c r="O148" s="1297"/>
      <c r="P148" s="1297"/>
      <c r="Q148" s="1297"/>
      <c r="R148" s="1297"/>
      <c r="S148" s="1297"/>
    </row>
    <row r="149">
      <c r="A149" s="1288" t="s">
        <v>508</v>
      </c>
      <c r="B149" s="1288">
        <f t="shared" si="9"/>
        <v>34</v>
      </c>
      <c r="C149" s="1285">
        <f t="shared" si="2"/>
        <v>12</v>
      </c>
      <c r="D149" s="1285">
        <f t="shared" si="3"/>
        <v>8</v>
      </c>
      <c r="E149" s="1288"/>
      <c r="F149" s="1288"/>
      <c r="G149" s="1288">
        <v>2023.0</v>
      </c>
      <c r="H149" s="1288" t="s">
        <v>543</v>
      </c>
      <c r="I149" s="1285" t="s">
        <v>4168</v>
      </c>
      <c r="J149" s="1285" t="s">
        <v>4161</v>
      </c>
      <c r="K149" s="1285" t="s">
        <v>4167</v>
      </c>
      <c r="L149" s="1289" t="s">
        <v>2480</v>
      </c>
      <c r="M149" s="1290">
        <v>1.0</v>
      </c>
      <c r="N149" s="1297"/>
      <c r="O149" s="1297"/>
      <c r="P149" s="1297"/>
      <c r="Q149" s="1297"/>
      <c r="R149" s="1297"/>
      <c r="S149" s="1297"/>
    </row>
    <row r="150">
      <c r="A150" s="1288" t="s">
        <v>148</v>
      </c>
      <c r="B150" s="1288">
        <f t="shared" si="9"/>
        <v>36</v>
      </c>
      <c r="C150" s="1285">
        <f t="shared" si="2"/>
        <v>13</v>
      </c>
      <c r="D150" s="1285">
        <f t="shared" si="3"/>
        <v>21</v>
      </c>
      <c r="E150" s="1288"/>
      <c r="F150" s="1288"/>
      <c r="G150" s="1288">
        <v>2023.0</v>
      </c>
      <c r="H150" s="1288" t="s">
        <v>543</v>
      </c>
      <c r="I150" s="1285" t="s">
        <v>4168</v>
      </c>
      <c r="J150" s="1285" t="s">
        <v>4161</v>
      </c>
      <c r="K150" s="1285" t="s">
        <v>1055</v>
      </c>
      <c r="L150" s="1289" t="s">
        <v>1724</v>
      </c>
      <c r="M150" s="1290">
        <v>2.0</v>
      </c>
      <c r="N150" s="1297"/>
      <c r="O150" s="1297"/>
      <c r="P150" s="1297"/>
      <c r="Q150" s="1297"/>
      <c r="R150" s="1297"/>
      <c r="S150" s="1297"/>
    </row>
    <row r="151">
      <c r="A151" s="1288" t="s">
        <v>2107</v>
      </c>
      <c r="B151" s="1288">
        <f t="shared" si="9"/>
        <v>1</v>
      </c>
      <c r="C151" s="1285">
        <f t="shared" si="2"/>
        <v>0</v>
      </c>
      <c r="D151" s="1285">
        <f t="shared" si="3"/>
        <v>0</v>
      </c>
      <c r="E151" s="1288"/>
      <c r="F151" s="1288"/>
      <c r="G151" s="1288">
        <v>2023.0</v>
      </c>
      <c r="H151" s="1288" t="s">
        <v>706</v>
      </c>
      <c r="I151" s="1285" t="s">
        <v>4169</v>
      </c>
      <c r="J151" s="1285" t="s">
        <v>1058</v>
      </c>
      <c r="K151" s="1285" t="s">
        <v>4163</v>
      </c>
      <c r="L151" s="1289" t="s">
        <v>2480</v>
      </c>
      <c r="M151" s="1290">
        <v>5.0</v>
      </c>
      <c r="N151" s="1297"/>
      <c r="O151" s="1297"/>
      <c r="P151" s="1297"/>
      <c r="Q151" s="1297"/>
      <c r="R151" s="1297"/>
      <c r="S151" s="1297"/>
    </row>
    <row r="152">
      <c r="A152" s="1288" t="s">
        <v>2108</v>
      </c>
      <c r="B152" s="1288">
        <f t="shared" si="9"/>
        <v>6</v>
      </c>
      <c r="C152" s="1285">
        <f t="shared" si="2"/>
        <v>3</v>
      </c>
      <c r="D152" s="1285">
        <f t="shared" si="3"/>
        <v>2</v>
      </c>
      <c r="E152" s="1288"/>
      <c r="F152" s="1288"/>
      <c r="G152" s="1288">
        <v>2023.0</v>
      </c>
      <c r="H152" s="1288" t="s">
        <v>706</v>
      </c>
      <c r="I152" s="1285" t="s">
        <v>4169</v>
      </c>
      <c r="J152" s="1285" t="s">
        <v>1058</v>
      </c>
      <c r="K152" s="1285" t="s">
        <v>4156</v>
      </c>
      <c r="L152" s="1289" t="s">
        <v>2480</v>
      </c>
      <c r="M152" s="1290">
        <v>22.0</v>
      </c>
      <c r="N152" s="1297"/>
      <c r="O152" s="1297"/>
      <c r="P152" s="1297"/>
      <c r="Q152" s="1297"/>
      <c r="R152" s="1297"/>
      <c r="S152" s="1297"/>
    </row>
    <row r="153">
      <c r="A153" s="1288" t="s">
        <v>2109</v>
      </c>
      <c r="B153" s="1288">
        <f t="shared" si="9"/>
        <v>42</v>
      </c>
      <c r="C153" s="1285">
        <f t="shared" si="2"/>
        <v>6</v>
      </c>
      <c r="D153" s="1285">
        <f t="shared" si="3"/>
        <v>28</v>
      </c>
      <c r="E153" s="1288"/>
      <c r="F153" s="1288"/>
      <c r="G153" s="1288">
        <v>2023.0</v>
      </c>
      <c r="H153" s="1288" t="s">
        <v>706</v>
      </c>
      <c r="I153" s="1285" t="s">
        <v>4169</v>
      </c>
      <c r="J153" s="1285" t="s">
        <v>1058</v>
      </c>
      <c r="K153" s="1285" t="s">
        <v>4157</v>
      </c>
      <c r="L153" s="1289" t="s">
        <v>1724</v>
      </c>
      <c r="M153" s="1290">
        <v>3.0</v>
      </c>
      <c r="N153" s="1297"/>
      <c r="O153" s="1297"/>
      <c r="P153" s="1297"/>
      <c r="Q153" s="1297"/>
      <c r="R153" s="1297"/>
      <c r="S153" s="1297"/>
    </row>
    <row r="154">
      <c r="A154" s="1288" t="s">
        <v>2110</v>
      </c>
      <c r="B154" s="1288" t="s">
        <v>63</v>
      </c>
      <c r="C154" s="1285">
        <f t="shared" si="2"/>
        <v>0</v>
      </c>
      <c r="D154" s="1285">
        <f t="shared" si="3"/>
        <v>0</v>
      </c>
      <c r="E154" s="1288"/>
      <c r="F154" s="1288"/>
      <c r="G154" s="1288">
        <v>2023.0</v>
      </c>
      <c r="H154" s="1288" t="s">
        <v>706</v>
      </c>
      <c r="I154" s="1285" t="s">
        <v>4169</v>
      </c>
      <c r="J154" s="1285" t="s">
        <v>1058</v>
      </c>
      <c r="K154" s="1285" t="s">
        <v>4166</v>
      </c>
      <c r="L154" s="1289" t="s">
        <v>2480</v>
      </c>
      <c r="M154" s="1290">
        <v>2.0</v>
      </c>
      <c r="N154" s="1297"/>
      <c r="O154" s="1297"/>
      <c r="P154" s="1297"/>
      <c r="Q154" s="1297"/>
      <c r="R154" s="1297"/>
      <c r="S154" s="1297"/>
    </row>
    <row r="155">
      <c r="A155" s="1288" t="s">
        <v>2111</v>
      </c>
      <c r="B155" s="1288">
        <f t="shared" ref="B155:B158" si="10">sumif($H$4:$H$1494,A155,$M$4:$M$1494)</f>
        <v>404</v>
      </c>
      <c r="C155" s="1285">
        <f t="shared" si="2"/>
        <v>178</v>
      </c>
      <c r="D155" s="1285">
        <f t="shared" si="3"/>
        <v>116</v>
      </c>
      <c r="E155" s="1288"/>
      <c r="F155" s="1288"/>
      <c r="G155" s="1288">
        <v>2023.0</v>
      </c>
      <c r="H155" s="1288" t="s">
        <v>706</v>
      </c>
      <c r="I155" s="1285" t="s">
        <v>4169</v>
      </c>
      <c r="J155" s="1285" t="s">
        <v>1058</v>
      </c>
      <c r="K155" s="1285" t="s">
        <v>4160</v>
      </c>
      <c r="L155" s="1289" t="s">
        <v>2480</v>
      </c>
      <c r="M155" s="1290">
        <v>2.0</v>
      </c>
      <c r="N155" s="1297"/>
      <c r="O155" s="1297"/>
      <c r="P155" s="1297"/>
      <c r="Q155" s="1297"/>
      <c r="R155" s="1297"/>
      <c r="S155" s="1297"/>
    </row>
    <row r="156">
      <c r="A156" s="1288" t="s">
        <v>2112</v>
      </c>
      <c r="B156" s="1288">
        <f t="shared" si="10"/>
        <v>9</v>
      </c>
      <c r="C156" s="1285">
        <f t="shared" si="2"/>
        <v>3</v>
      </c>
      <c r="D156" s="1285">
        <f t="shared" si="3"/>
        <v>5</v>
      </c>
      <c r="E156" s="1288"/>
      <c r="F156" s="1288"/>
      <c r="G156" s="1288">
        <v>2023.0</v>
      </c>
      <c r="H156" s="1288" t="s">
        <v>706</v>
      </c>
      <c r="I156" s="1285" t="s">
        <v>4169</v>
      </c>
      <c r="J156" s="1285" t="s">
        <v>4161</v>
      </c>
      <c r="K156" s="1285" t="s">
        <v>4167</v>
      </c>
      <c r="L156" s="1289" t="s">
        <v>2480</v>
      </c>
      <c r="M156" s="1290">
        <v>3.0</v>
      </c>
      <c r="N156" s="1297"/>
      <c r="O156" s="1297"/>
      <c r="P156" s="1297"/>
      <c r="Q156" s="1297"/>
      <c r="R156" s="1297"/>
      <c r="S156" s="1297"/>
    </row>
    <row r="157">
      <c r="A157" s="1288" t="s">
        <v>2113</v>
      </c>
      <c r="B157" s="1288">
        <f t="shared" si="10"/>
        <v>22</v>
      </c>
      <c r="C157" s="1285">
        <f t="shared" si="2"/>
        <v>5</v>
      </c>
      <c r="D157" s="1285">
        <f t="shared" si="3"/>
        <v>13</v>
      </c>
      <c r="E157" s="1288"/>
      <c r="F157" s="1288"/>
      <c r="G157" s="1288">
        <v>2023.0</v>
      </c>
      <c r="H157" s="1288" t="s">
        <v>706</v>
      </c>
      <c r="I157" s="1285" t="s">
        <v>4169</v>
      </c>
      <c r="J157" s="1285" t="s">
        <v>4161</v>
      </c>
      <c r="K157" s="1285" t="s">
        <v>1055</v>
      </c>
      <c r="L157" s="1289" t="s">
        <v>1724</v>
      </c>
      <c r="M157" s="1290">
        <v>25.0</v>
      </c>
      <c r="N157" s="1297"/>
      <c r="O157" s="1297"/>
      <c r="P157" s="1297"/>
      <c r="Q157" s="1297"/>
      <c r="R157" s="1297"/>
      <c r="S157" s="1297"/>
    </row>
    <row r="158">
      <c r="A158" s="1288" t="s">
        <v>2114</v>
      </c>
      <c r="B158" s="1288">
        <f t="shared" si="10"/>
        <v>363</v>
      </c>
      <c r="C158" s="1285">
        <f t="shared" si="2"/>
        <v>92</v>
      </c>
      <c r="D158" s="1285">
        <f t="shared" si="3"/>
        <v>201</v>
      </c>
      <c r="E158" s="1288"/>
      <c r="F158" s="1288"/>
      <c r="G158" s="1288">
        <v>2023.0</v>
      </c>
      <c r="H158" s="1288" t="s">
        <v>2027</v>
      </c>
      <c r="I158" s="1285" t="s">
        <v>4173</v>
      </c>
      <c r="J158" s="1285" t="s">
        <v>1058</v>
      </c>
      <c r="K158" s="1285" t="s">
        <v>4156</v>
      </c>
      <c r="L158" s="1289" t="s">
        <v>2480</v>
      </c>
      <c r="M158" s="1290">
        <v>6.0</v>
      </c>
      <c r="N158" s="1297"/>
      <c r="O158" s="1297"/>
      <c r="P158" s="1297"/>
      <c r="Q158" s="1297"/>
      <c r="R158" s="1297"/>
      <c r="S158" s="1297"/>
    </row>
    <row r="159">
      <c r="A159" s="1288" t="s">
        <v>2115</v>
      </c>
      <c r="B159" s="1288" t="s">
        <v>63</v>
      </c>
      <c r="C159" s="1285">
        <f t="shared" si="2"/>
        <v>0</v>
      </c>
      <c r="D159" s="1285">
        <f t="shared" si="3"/>
        <v>0</v>
      </c>
      <c r="E159" s="1288"/>
      <c r="F159" s="1288"/>
      <c r="G159" s="1288">
        <v>2023.0</v>
      </c>
      <c r="H159" s="1288" t="s">
        <v>2027</v>
      </c>
      <c r="I159" s="1285" t="s">
        <v>4173</v>
      </c>
      <c r="J159" s="1285" t="s">
        <v>1058</v>
      </c>
      <c r="K159" s="1285" t="s">
        <v>4160</v>
      </c>
      <c r="L159" s="1289" t="s">
        <v>2480</v>
      </c>
      <c r="M159" s="1290">
        <v>1.0</v>
      </c>
      <c r="N159" s="1297"/>
      <c r="O159" s="1297"/>
      <c r="P159" s="1297"/>
      <c r="Q159" s="1297"/>
      <c r="R159" s="1297"/>
      <c r="S159" s="1297"/>
    </row>
    <row r="160">
      <c r="A160" s="1288" t="s">
        <v>151</v>
      </c>
      <c r="B160" s="1288">
        <f t="shared" ref="B160:B175" si="11">sumif($H$4:$H$1494,A160,$M$4:$M$1494)</f>
        <v>16</v>
      </c>
      <c r="C160" s="1285">
        <f t="shared" si="2"/>
        <v>2</v>
      </c>
      <c r="D160" s="1285">
        <f t="shared" si="3"/>
        <v>12</v>
      </c>
      <c r="E160" s="1288"/>
      <c r="F160" s="1288"/>
      <c r="G160" s="1288">
        <v>2023.0</v>
      </c>
      <c r="H160" s="1288" t="s">
        <v>2027</v>
      </c>
      <c r="I160" s="1285" t="s">
        <v>4173</v>
      </c>
      <c r="J160" s="1285" t="s">
        <v>4161</v>
      </c>
      <c r="K160" s="1285" t="s">
        <v>1055</v>
      </c>
      <c r="L160" s="1289" t="s">
        <v>1724</v>
      </c>
      <c r="M160" s="1290">
        <v>4.0</v>
      </c>
      <c r="N160" s="1297"/>
      <c r="O160" s="1297"/>
      <c r="P160" s="1297"/>
      <c r="Q160" s="1297"/>
      <c r="R160" s="1297"/>
      <c r="S160" s="1297"/>
    </row>
    <row r="161">
      <c r="A161" s="1288" t="s">
        <v>153</v>
      </c>
      <c r="B161" s="1288">
        <f t="shared" si="11"/>
        <v>15</v>
      </c>
      <c r="C161" s="1285">
        <f t="shared" si="2"/>
        <v>4</v>
      </c>
      <c r="D161" s="1285">
        <f t="shared" si="3"/>
        <v>9</v>
      </c>
      <c r="E161" s="1288"/>
      <c r="F161" s="1288"/>
      <c r="G161" s="1288">
        <v>2023.0</v>
      </c>
      <c r="H161" s="1288" t="s">
        <v>2028</v>
      </c>
      <c r="I161" s="1285" t="s">
        <v>4173</v>
      </c>
      <c r="J161" s="1285" t="s">
        <v>1058</v>
      </c>
      <c r="K161" s="1285" t="s">
        <v>4163</v>
      </c>
      <c r="L161" s="1289" t="s">
        <v>2480</v>
      </c>
      <c r="M161" s="1290">
        <v>5.0</v>
      </c>
      <c r="N161" s="1297"/>
      <c r="O161" s="1297"/>
      <c r="P161" s="1297"/>
      <c r="Q161" s="1297"/>
      <c r="R161" s="1297"/>
      <c r="S161" s="1297"/>
    </row>
    <row r="162">
      <c r="A162" s="1288" t="s">
        <v>510</v>
      </c>
      <c r="B162" s="1288">
        <f t="shared" si="11"/>
        <v>6</v>
      </c>
      <c r="C162" s="1285">
        <f t="shared" si="2"/>
        <v>0</v>
      </c>
      <c r="D162" s="1285">
        <f t="shared" si="3"/>
        <v>6</v>
      </c>
      <c r="E162" s="1288"/>
      <c r="F162" s="1288"/>
      <c r="G162" s="1288">
        <v>2023.0</v>
      </c>
      <c r="H162" s="1288" t="s">
        <v>2028</v>
      </c>
      <c r="I162" s="1285" t="s">
        <v>4173</v>
      </c>
      <c r="J162" s="1285" t="s">
        <v>1058</v>
      </c>
      <c r="K162" s="1285" t="s">
        <v>4156</v>
      </c>
      <c r="L162" s="1289" t="s">
        <v>2480</v>
      </c>
      <c r="M162" s="1290">
        <v>16.0</v>
      </c>
      <c r="N162" s="1297"/>
      <c r="O162" s="1297"/>
      <c r="P162" s="1297"/>
      <c r="Q162" s="1297"/>
      <c r="R162" s="1297"/>
      <c r="S162" s="1297"/>
    </row>
    <row r="163">
      <c r="A163" s="1288" t="s">
        <v>735</v>
      </c>
      <c r="B163" s="1288">
        <f t="shared" si="11"/>
        <v>1</v>
      </c>
      <c r="C163" s="1285">
        <f t="shared" si="2"/>
        <v>0</v>
      </c>
      <c r="D163" s="1285">
        <f t="shared" si="3"/>
        <v>0</v>
      </c>
      <c r="E163" s="1288"/>
      <c r="F163" s="1288"/>
      <c r="G163" s="1288">
        <v>2023.0</v>
      </c>
      <c r="H163" s="1288" t="s">
        <v>2028</v>
      </c>
      <c r="I163" s="1285" t="s">
        <v>4173</v>
      </c>
      <c r="J163" s="1285" t="s">
        <v>1058</v>
      </c>
      <c r="K163" s="1285" t="s">
        <v>4157</v>
      </c>
      <c r="L163" s="1289" t="s">
        <v>1724</v>
      </c>
      <c r="M163" s="1290">
        <v>2.0</v>
      </c>
      <c r="N163" s="1297"/>
      <c r="O163" s="1297"/>
      <c r="P163" s="1297"/>
      <c r="Q163" s="1297"/>
      <c r="R163" s="1297"/>
      <c r="S163" s="1297"/>
    </row>
    <row r="164">
      <c r="A164" s="1288" t="s">
        <v>2116</v>
      </c>
      <c r="B164" s="1288">
        <f t="shared" si="11"/>
        <v>48</v>
      </c>
      <c r="C164" s="1285">
        <f t="shared" si="2"/>
        <v>25</v>
      </c>
      <c r="D164" s="1285">
        <f t="shared" si="3"/>
        <v>14</v>
      </c>
      <c r="E164" s="1288"/>
      <c r="F164" s="1288"/>
      <c r="G164" s="1288">
        <v>2023.0</v>
      </c>
      <c r="H164" s="1288" t="s">
        <v>2028</v>
      </c>
      <c r="I164" s="1285" t="s">
        <v>4173</v>
      </c>
      <c r="J164" s="1285" t="s">
        <v>1058</v>
      </c>
      <c r="K164" s="1285" t="s">
        <v>4165</v>
      </c>
      <c r="L164" s="1289" t="s">
        <v>2480</v>
      </c>
      <c r="M164" s="1290">
        <v>2.0</v>
      </c>
      <c r="N164" s="1297"/>
      <c r="O164" s="1297"/>
      <c r="P164" s="1297"/>
      <c r="Q164" s="1297"/>
      <c r="R164" s="1297"/>
      <c r="S164" s="1297"/>
    </row>
    <row r="165">
      <c r="A165" s="1288" t="s">
        <v>2117</v>
      </c>
      <c r="B165" s="1288">
        <f t="shared" si="11"/>
        <v>38</v>
      </c>
      <c r="C165" s="1285">
        <f t="shared" si="2"/>
        <v>9</v>
      </c>
      <c r="D165" s="1285">
        <f t="shared" si="3"/>
        <v>13</v>
      </c>
      <c r="E165" s="1288"/>
      <c r="F165" s="1288"/>
      <c r="G165" s="1288">
        <v>2023.0</v>
      </c>
      <c r="H165" s="1288" t="s">
        <v>2028</v>
      </c>
      <c r="I165" s="1285" t="s">
        <v>4173</v>
      </c>
      <c r="J165" s="1285" t="s">
        <v>1058</v>
      </c>
      <c r="K165" s="1285" t="s">
        <v>4166</v>
      </c>
      <c r="L165" s="1289" t="s">
        <v>2480</v>
      </c>
      <c r="M165" s="1290">
        <v>2.0</v>
      </c>
      <c r="N165" s="1297"/>
      <c r="O165" s="1297"/>
      <c r="P165" s="1297"/>
      <c r="Q165" s="1297"/>
      <c r="R165" s="1297"/>
      <c r="S165" s="1297"/>
    </row>
    <row r="166">
      <c r="A166" s="1288" t="s">
        <v>1689</v>
      </c>
      <c r="B166" s="1288">
        <f t="shared" si="11"/>
        <v>36</v>
      </c>
      <c r="C166" s="1285">
        <f t="shared" si="2"/>
        <v>10</v>
      </c>
      <c r="D166" s="1285">
        <f t="shared" si="3"/>
        <v>12</v>
      </c>
      <c r="E166" s="1288"/>
      <c r="F166" s="1288"/>
      <c r="G166" s="1288">
        <v>2023.0</v>
      </c>
      <c r="H166" s="1288" t="s">
        <v>2028</v>
      </c>
      <c r="I166" s="1285" t="s">
        <v>4173</v>
      </c>
      <c r="J166" s="1285" t="s">
        <v>1058</v>
      </c>
      <c r="K166" s="1285" t="s">
        <v>4160</v>
      </c>
      <c r="L166" s="1289" t="s">
        <v>2480</v>
      </c>
      <c r="M166" s="1290">
        <v>5.0</v>
      </c>
      <c r="N166" s="1297"/>
      <c r="O166" s="1297"/>
      <c r="P166" s="1297"/>
      <c r="Q166" s="1297"/>
      <c r="R166" s="1297"/>
      <c r="S166" s="1297"/>
    </row>
    <row r="167">
      <c r="A167" s="1288" t="s">
        <v>737</v>
      </c>
      <c r="B167" s="1288">
        <f t="shared" si="11"/>
        <v>0</v>
      </c>
      <c r="C167" s="1285">
        <f t="shared" si="2"/>
        <v>0</v>
      </c>
      <c r="D167" s="1285">
        <f t="shared" si="3"/>
        <v>0</v>
      </c>
      <c r="E167" s="1288"/>
      <c r="F167" s="1288"/>
      <c r="G167" s="1288">
        <v>2023.0</v>
      </c>
      <c r="H167" s="1288" t="s">
        <v>2028</v>
      </c>
      <c r="I167" s="1285" t="s">
        <v>4173</v>
      </c>
      <c r="J167" s="1285" t="s">
        <v>4161</v>
      </c>
      <c r="K167" s="1285" t="s">
        <v>4167</v>
      </c>
      <c r="L167" s="1289" t="s">
        <v>2480</v>
      </c>
      <c r="M167" s="1290">
        <v>1.0</v>
      </c>
      <c r="N167" s="1297"/>
      <c r="O167" s="1297"/>
      <c r="P167" s="1297"/>
      <c r="Q167" s="1297"/>
      <c r="R167" s="1297"/>
      <c r="S167" s="1297"/>
    </row>
    <row r="168">
      <c r="A168" s="1288" t="s">
        <v>1273</v>
      </c>
      <c r="B168" s="1288">
        <f t="shared" si="11"/>
        <v>52</v>
      </c>
      <c r="C168" s="1285">
        <f t="shared" si="2"/>
        <v>16</v>
      </c>
      <c r="D168" s="1285">
        <f t="shared" si="3"/>
        <v>21</v>
      </c>
      <c r="E168" s="1288"/>
      <c r="F168" s="1288"/>
      <c r="G168" s="1288">
        <v>2023.0</v>
      </c>
      <c r="H168" s="1288" t="s">
        <v>2028</v>
      </c>
      <c r="I168" s="1285" t="s">
        <v>4173</v>
      </c>
      <c r="J168" s="1285" t="s">
        <v>4161</v>
      </c>
      <c r="K168" s="1285" t="s">
        <v>1055</v>
      </c>
      <c r="L168" s="1289" t="s">
        <v>1724</v>
      </c>
      <c r="M168" s="1290">
        <v>22.0</v>
      </c>
      <c r="N168" s="1297"/>
      <c r="O168" s="1297"/>
      <c r="P168" s="1297"/>
      <c r="Q168" s="1297"/>
      <c r="R168" s="1297"/>
      <c r="S168" s="1297"/>
    </row>
    <row r="169">
      <c r="A169" s="1288" t="s">
        <v>2118</v>
      </c>
      <c r="B169" s="1288">
        <f t="shared" si="11"/>
        <v>59</v>
      </c>
      <c r="C169" s="1285">
        <f t="shared" si="2"/>
        <v>16</v>
      </c>
      <c r="D169" s="1285">
        <f t="shared" si="3"/>
        <v>37</v>
      </c>
      <c r="E169" s="1288"/>
      <c r="F169" s="1288"/>
      <c r="G169" s="1288">
        <v>2023.0</v>
      </c>
      <c r="H169" s="1288" t="s">
        <v>2028</v>
      </c>
      <c r="I169" s="1285" t="s">
        <v>4173</v>
      </c>
      <c r="J169" s="1285" t="s">
        <v>4161</v>
      </c>
      <c r="K169" s="1285" t="s">
        <v>4161</v>
      </c>
      <c r="L169" s="1289" t="s">
        <v>2480</v>
      </c>
      <c r="M169" s="1290">
        <v>1.0</v>
      </c>
      <c r="N169" s="1297"/>
      <c r="O169" s="1297"/>
      <c r="P169" s="1297"/>
      <c r="Q169" s="1297"/>
      <c r="R169" s="1297"/>
      <c r="S169" s="1297"/>
    </row>
    <row r="170">
      <c r="A170" s="1288" t="s">
        <v>913</v>
      </c>
      <c r="B170" s="1288">
        <f t="shared" si="11"/>
        <v>6</v>
      </c>
      <c r="C170" s="1285">
        <f t="shared" si="2"/>
        <v>0</v>
      </c>
      <c r="D170" s="1285">
        <f t="shared" si="3"/>
        <v>1</v>
      </c>
      <c r="E170" s="1288"/>
      <c r="F170" s="1288"/>
      <c r="G170" s="1288">
        <v>2023.0</v>
      </c>
      <c r="H170" s="1288" t="s">
        <v>1034</v>
      </c>
      <c r="I170" s="1285" t="s">
        <v>4173</v>
      </c>
      <c r="J170" s="1285" t="s">
        <v>1058</v>
      </c>
      <c r="K170" s="1285" t="s">
        <v>4156</v>
      </c>
      <c r="L170" s="1289" t="s">
        <v>2480</v>
      </c>
      <c r="M170" s="1290">
        <v>6.0</v>
      </c>
      <c r="N170" s="1297"/>
      <c r="O170" s="1297"/>
      <c r="P170" s="1297"/>
      <c r="Q170" s="1297"/>
      <c r="R170" s="1297"/>
      <c r="S170" s="1297"/>
    </row>
    <row r="171">
      <c r="A171" s="1288" t="s">
        <v>610</v>
      </c>
      <c r="B171" s="1288">
        <f t="shared" si="11"/>
        <v>9</v>
      </c>
      <c r="C171" s="1285">
        <f t="shared" si="2"/>
        <v>4</v>
      </c>
      <c r="D171" s="1285">
        <f t="shared" si="3"/>
        <v>2</v>
      </c>
      <c r="E171" s="1288"/>
      <c r="F171" s="1288"/>
      <c r="G171" s="1288">
        <v>2023.0</v>
      </c>
      <c r="H171" s="1288" t="s">
        <v>1034</v>
      </c>
      <c r="I171" s="1285" t="s">
        <v>4173</v>
      </c>
      <c r="J171" s="1285" t="s">
        <v>1058</v>
      </c>
      <c r="K171" s="1285" t="s">
        <v>4157</v>
      </c>
      <c r="L171" s="1289" t="s">
        <v>1724</v>
      </c>
      <c r="M171" s="1290">
        <v>1.0</v>
      </c>
      <c r="N171" s="1297"/>
      <c r="O171" s="1297"/>
      <c r="P171" s="1297"/>
      <c r="Q171" s="1297"/>
      <c r="R171" s="1297"/>
      <c r="S171" s="1297"/>
    </row>
    <row r="172">
      <c r="A172" s="1288" t="s">
        <v>2119</v>
      </c>
      <c r="B172" s="1288">
        <f t="shared" si="11"/>
        <v>17</v>
      </c>
      <c r="C172" s="1285">
        <f t="shared" si="2"/>
        <v>4</v>
      </c>
      <c r="D172" s="1285">
        <f t="shared" si="3"/>
        <v>9</v>
      </c>
      <c r="E172" s="1288"/>
      <c r="F172" s="1288"/>
      <c r="G172" s="1288">
        <v>2023.0</v>
      </c>
      <c r="H172" s="1288" t="s">
        <v>1034</v>
      </c>
      <c r="I172" s="1285" t="s">
        <v>4173</v>
      </c>
      <c r="J172" s="1285" t="s">
        <v>1058</v>
      </c>
      <c r="K172" s="1285" t="s">
        <v>4158</v>
      </c>
      <c r="L172" s="1289" t="s">
        <v>2480</v>
      </c>
      <c r="M172" s="1290">
        <v>1.0</v>
      </c>
      <c r="N172" s="1297"/>
      <c r="O172" s="1297"/>
      <c r="P172" s="1297"/>
      <c r="Q172" s="1297"/>
      <c r="R172" s="1297"/>
      <c r="S172" s="1297"/>
    </row>
    <row r="173">
      <c r="A173" s="1288" t="s">
        <v>157</v>
      </c>
      <c r="B173" s="1288">
        <f t="shared" si="11"/>
        <v>266</v>
      </c>
      <c r="C173" s="1285">
        <f t="shared" si="2"/>
        <v>116</v>
      </c>
      <c r="D173" s="1285">
        <f t="shared" si="3"/>
        <v>105</v>
      </c>
      <c r="E173" s="1288"/>
      <c r="F173" s="1288"/>
      <c r="G173" s="1288">
        <v>2023.0</v>
      </c>
      <c r="H173" s="1288" t="s">
        <v>1034</v>
      </c>
      <c r="I173" s="1285" t="s">
        <v>4173</v>
      </c>
      <c r="J173" s="1285" t="s">
        <v>1058</v>
      </c>
      <c r="K173" s="1285" t="s">
        <v>4166</v>
      </c>
      <c r="L173" s="1289" t="s">
        <v>2480</v>
      </c>
      <c r="M173" s="1290">
        <v>2.0</v>
      </c>
      <c r="N173" s="1297"/>
      <c r="O173" s="1297"/>
      <c r="P173" s="1297"/>
      <c r="Q173" s="1297"/>
      <c r="R173" s="1297"/>
      <c r="S173" s="1297"/>
    </row>
    <row r="174">
      <c r="A174" s="1288" t="s">
        <v>1615</v>
      </c>
      <c r="B174" s="1288">
        <f t="shared" si="11"/>
        <v>29</v>
      </c>
      <c r="C174" s="1285">
        <f t="shared" si="2"/>
        <v>19</v>
      </c>
      <c r="D174" s="1285">
        <f t="shared" si="3"/>
        <v>3</v>
      </c>
      <c r="E174" s="1288"/>
      <c r="F174" s="1288"/>
      <c r="G174" s="1288">
        <v>2023.0</v>
      </c>
      <c r="H174" s="1288" t="s">
        <v>1034</v>
      </c>
      <c r="I174" s="1285" t="s">
        <v>4173</v>
      </c>
      <c r="J174" s="1285" t="s">
        <v>4161</v>
      </c>
      <c r="K174" s="1285" t="s">
        <v>4167</v>
      </c>
      <c r="L174" s="1289" t="s">
        <v>2480</v>
      </c>
      <c r="M174" s="1290">
        <v>1.0</v>
      </c>
      <c r="N174" s="1297"/>
      <c r="O174" s="1297"/>
      <c r="P174" s="1297"/>
      <c r="Q174" s="1297"/>
      <c r="R174" s="1297"/>
      <c r="S174" s="1297"/>
    </row>
    <row r="175">
      <c r="A175" s="1288" t="s">
        <v>990</v>
      </c>
      <c r="B175" s="1288">
        <f t="shared" si="11"/>
        <v>13</v>
      </c>
      <c r="C175" s="1285">
        <f t="shared" si="2"/>
        <v>6</v>
      </c>
      <c r="D175" s="1285">
        <f t="shared" si="3"/>
        <v>6</v>
      </c>
      <c r="E175" s="1288"/>
      <c r="F175" s="1288"/>
      <c r="G175" s="1288">
        <v>2023.0</v>
      </c>
      <c r="H175" s="1288" t="s">
        <v>1034</v>
      </c>
      <c r="I175" s="1285" t="s">
        <v>4173</v>
      </c>
      <c r="J175" s="1285" t="s">
        <v>4161</v>
      </c>
      <c r="K175" s="1285" t="s">
        <v>1055</v>
      </c>
      <c r="L175" s="1289" t="s">
        <v>1724</v>
      </c>
      <c r="M175" s="1290">
        <v>21.0</v>
      </c>
      <c r="N175" s="1297"/>
      <c r="O175" s="1297"/>
      <c r="P175" s="1297"/>
      <c r="Q175" s="1297"/>
      <c r="R175" s="1297"/>
      <c r="S175" s="1297"/>
    </row>
    <row r="176">
      <c r="A176" s="1288" t="s">
        <v>2120</v>
      </c>
      <c r="B176" s="1288" t="s">
        <v>63</v>
      </c>
      <c r="C176" s="1285">
        <f t="shared" si="2"/>
        <v>0</v>
      </c>
      <c r="D176" s="1285">
        <f t="shared" si="3"/>
        <v>0</v>
      </c>
      <c r="E176" s="1288"/>
      <c r="F176" s="1288"/>
      <c r="G176" s="1288">
        <v>2023.0</v>
      </c>
      <c r="H176" s="1288" t="s">
        <v>93</v>
      </c>
      <c r="I176" s="1285" t="s">
        <v>4171</v>
      </c>
      <c r="J176" s="1285" t="s">
        <v>1058</v>
      </c>
      <c r="K176" s="1285" t="s">
        <v>4156</v>
      </c>
      <c r="L176" s="1289" t="s">
        <v>2480</v>
      </c>
      <c r="M176" s="1290">
        <v>5.0</v>
      </c>
      <c r="N176" s="1297"/>
      <c r="O176" s="1297"/>
      <c r="P176" s="1297"/>
      <c r="Q176" s="1297"/>
      <c r="R176" s="1297"/>
      <c r="S176" s="1297"/>
    </row>
    <row r="177">
      <c r="A177" s="1288" t="s">
        <v>2121</v>
      </c>
      <c r="B177" s="1288">
        <f t="shared" ref="B177:B182" si="12">sumif($H$4:$H$1494,A177,$M$4:$M$1494)</f>
        <v>72</v>
      </c>
      <c r="C177" s="1285">
        <f t="shared" si="2"/>
        <v>38</v>
      </c>
      <c r="D177" s="1285">
        <f t="shared" si="3"/>
        <v>20</v>
      </c>
      <c r="E177" s="1288"/>
      <c r="F177" s="1288"/>
      <c r="G177" s="1288">
        <v>2023.0</v>
      </c>
      <c r="H177" s="1288" t="s">
        <v>93</v>
      </c>
      <c r="I177" s="1285" t="s">
        <v>4171</v>
      </c>
      <c r="J177" s="1285" t="s">
        <v>1058</v>
      </c>
      <c r="K177" s="1285" t="s">
        <v>4160</v>
      </c>
      <c r="L177" s="1289" t="s">
        <v>2480</v>
      </c>
      <c r="M177" s="1290">
        <v>2.0</v>
      </c>
      <c r="N177" s="1297"/>
      <c r="O177" s="1297"/>
      <c r="P177" s="1297"/>
      <c r="Q177" s="1297"/>
      <c r="R177" s="1297"/>
      <c r="S177" s="1297"/>
    </row>
    <row r="178">
      <c r="A178" s="1288" t="s">
        <v>2122</v>
      </c>
      <c r="B178" s="1288">
        <f t="shared" si="12"/>
        <v>20</v>
      </c>
      <c r="C178" s="1285">
        <f t="shared" si="2"/>
        <v>10</v>
      </c>
      <c r="D178" s="1285">
        <f t="shared" si="3"/>
        <v>5</v>
      </c>
      <c r="E178" s="1288"/>
      <c r="F178" s="1288"/>
      <c r="G178" s="1288">
        <v>2023.0</v>
      </c>
      <c r="H178" s="1288" t="s">
        <v>93</v>
      </c>
      <c r="I178" s="1285" t="s">
        <v>4171</v>
      </c>
      <c r="J178" s="1285" t="s">
        <v>4161</v>
      </c>
      <c r="K178" s="1285" t="s">
        <v>1055</v>
      </c>
      <c r="L178" s="1289" t="s">
        <v>1724</v>
      </c>
      <c r="M178" s="1290">
        <v>5.0</v>
      </c>
      <c r="N178" s="1297"/>
      <c r="O178" s="1297"/>
      <c r="P178" s="1297"/>
      <c r="Q178" s="1297"/>
      <c r="R178" s="1297"/>
      <c r="S178" s="1297"/>
    </row>
    <row r="179">
      <c r="A179" s="1288" t="s">
        <v>297</v>
      </c>
      <c r="B179" s="1288">
        <f t="shared" si="12"/>
        <v>6</v>
      </c>
      <c r="C179" s="1285">
        <f t="shared" si="2"/>
        <v>3</v>
      </c>
      <c r="D179" s="1285">
        <f t="shared" si="3"/>
        <v>2</v>
      </c>
      <c r="E179" s="1288"/>
      <c r="F179" s="1288"/>
      <c r="G179" s="1288">
        <v>2023.0</v>
      </c>
      <c r="H179" s="1288" t="s">
        <v>93</v>
      </c>
      <c r="I179" s="1285" t="s">
        <v>4171</v>
      </c>
      <c r="J179" s="1285" t="s">
        <v>4161</v>
      </c>
      <c r="K179" s="1285" t="s">
        <v>4161</v>
      </c>
      <c r="L179" s="1289" t="s">
        <v>2480</v>
      </c>
      <c r="M179" s="1290">
        <v>2.0</v>
      </c>
      <c r="N179" s="1297"/>
      <c r="O179" s="1297"/>
      <c r="P179" s="1297"/>
      <c r="Q179" s="1297"/>
      <c r="R179" s="1297"/>
      <c r="S179" s="1297"/>
    </row>
    <row r="180">
      <c r="A180" s="1288" t="s">
        <v>2123</v>
      </c>
      <c r="B180" s="1288">
        <f t="shared" si="12"/>
        <v>26</v>
      </c>
      <c r="C180" s="1285">
        <f t="shared" si="2"/>
        <v>11</v>
      </c>
      <c r="D180" s="1285">
        <f t="shared" si="3"/>
        <v>9</v>
      </c>
      <c r="E180" s="1288"/>
      <c r="F180" s="1288"/>
      <c r="G180" s="1288">
        <v>2023.0</v>
      </c>
      <c r="H180" s="1288" t="s">
        <v>2029</v>
      </c>
      <c r="I180" s="1285" t="s">
        <v>4169</v>
      </c>
      <c r="J180" s="1285" t="s">
        <v>1058</v>
      </c>
      <c r="K180" s="1285" t="s">
        <v>4156</v>
      </c>
      <c r="L180" s="1289" t="s">
        <v>2480</v>
      </c>
      <c r="M180" s="1290">
        <v>20.0</v>
      </c>
      <c r="N180" s="1297"/>
      <c r="O180" s="1297"/>
      <c r="P180" s="1297"/>
      <c r="Q180" s="1297"/>
      <c r="R180" s="1297"/>
      <c r="S180" s="1297"/>
    </row>
    <row r="181">
      <c r="A181" s="1288" t="s">
        <v>2124</v>
      </c>
      <c r="B181" s="1288">
        <f t="shared" si="12"/>
        <v>386</v>
      </c>
      <c r="C181" s="1285">
        <f t="shared" si="2"/>
        <v>128</v>
      </c>
      <c r="D181" s="1285">
        <f t="shared" si="3"/>
        <v>182</v>
      </c>
      <c r="E181" s="1288"/>
      <c r="F181" s="1288"/>
      <c r="G181" s="1288">
        <v>2023.0</v>
      </c>
      <c r="H181" s="1288" t="s">
        <v>2029</v>
      </c>
      <c r="I181" s="1285" t="s">
        <v>4169</v>
      </c>
      <c r="J181" s="1285" t="s">
        <v>1058</v>
      </c>
      <c r="K181" s="1285" t="s">
        <v>4157</v>
      </c>
      <c r="L181" s="1289" t="s">
        <v>1724</v>
      </c>
      <c r="M181" s="1290">
        <v>1.0</v>
      </c>
      <c r="N181" s="1297"/>
      <c r="O181" s="1297"/>
      <c r="P181" s="1297"/>
      <c r="Q181" s="1297"/>
      <c r="R181" s="1297"/>
      <c r="S181" s="1297"/>
    </row>
    <row r="182">
      <c r="A182" s="1288" t="s">
        <v>2125</v>
      </c>
      <c r="B182" s="1288">
        <f t="shared" si="12"/>
        <v>7</v>
      </c>
      <c r="C182" s="1285">
        <f t="shared" si="2"/>
        <v>3</v>
      </c>
      <c r="D182" s="1285">
        <f t="shared" si="3"/>
        <v>4</v>
      </c>
      <c r="E182" s="1288"/>
      <c r="F182" s="1288"/>
      <c r="G182" s="1288">
        <v>2023.0</v>
      </c>
      <c r="H182" s="1288" t="s">
        <v>2029</v>
      </c>
      <c r="I182" s="1285" t="s">
        <v>4169</v>
      </c>
      <c r="J182" s="1285" t="s">
        <v>1058</v>
      </c>
      <c r="K182" s="1285" t="s">
        <v>4159</v>
      </c>
      <c r="L182" s="1289" t="s">
        <v>1724</v>
      </c>
      <c r="M182" s="1290">
        <v>3.0</v>
      </c>
      <c r="N182" s="1297"/>
      <c r="O182" s="1297"/>
      <c r="P182" s="1297"/>
      <c r="Q182" s="1297"/>
      <c r="R182" s="1297"/>
      <c r="S182" s="1297"/>
    </row>
    <row r="183">
      <c r="A183" s="1288" t="s">
        <v>1127</v>
      </c>
      <c r="B183" s="1288" t="s">
        <v>63</v>
      </c>
      <c r="C183" s="1285">
        <f t="shared" si="2"/>
        <v>0</v>
      </c>
      <c r="D183" s="1285">
        <f t="shared" si="3"/>
        <v>0</v>
      </c>
      <c r="E183" s="1288"/>
      <c r="F183" s="1288"/>
      <c r="G183" s="1288">
        <v>2023.0</v>
      </c>
      <c r="H183" s="1288" t="s">
        <v>2029</v>
      </c>
      <c r="I183" s="1285" t="s">
        <v>4169</v>
      </c>
      <c r="J183" s="1285" t="s">
        <v>1058</v>
      </c>
      <c r="K183" s="1285" t="s">
        <v>4161</v>
      </c>
      <c r="L183" s="1289" t="s">
        <v>2480</v>
      </c>
      <c r="M183" s="1290">
        <v>2.0</v>
      </c>
      <c r="N183" s="1297"/>
      <c r="O183" s="1297"/>
      <c r="P183" s="1297"/>
      <c r="Q183" s="1297"/>
      <c r="R183" s="1297"/>
      <c r="S183" s="1297"/>
    </row>
    <row r="184">
      <c r="A184" s="1288" t="s">
        <v>241</v>
      </c>
      <c r="B184" s="1288">
        <f t="shared" ref="B184:B191" si="13">sumif($H$4:$H$1494,A184,$M$4:$M$1494)</f>
        <v>101</v>
      </c>
      <c r="C184" s="1285">
        <f t="shared" si="2"/>
        <v>47</v>
      </c>
      <c r="D184" s="1285">
        <f t="shared" si="3"/>
        <v>49</v>
      </c>
      <c r="E184" s="1288"/>
      <c r="F184" s="1288"/>
      <c r="G184" s="1288">
        <v>2023.0</v>
      </c>
      <c r="H184" s="1288" t="s">
        <v>2029</v>
      </c>
      <c r="I184" s="1285" t="s">
        <v>4169</v>
      </c>
      <c r="J184" s="1285" t="s">
        <v>4161</v>
      </c>
      <c r="K184" s="1285" t="s">
        <v>1055</v>
      </c>
      <c r="L184" s="1289" t="s">
        <v>1724</v>
      </c>
      <c r="M184" s="1290">
        <v>4.0</v>
      </c>
      <c r="N184" s="1297"/>
      <c r="O184" s="1297"/>
      <c r="P184" s="1297"/>
      <c r="Q184" s="1297"/>
      <c r="R184" s="1297"/>
      <c r="S184" s="1297"/>
    </row>
    <row r="185">
      <c r="A185" s="1288" t="s">
        <v>2126</v>
      </c>
      <c r="B185" s="1288">
        <f t="shared" si="13"/>
        <v>42</v>
      </c>
      <c r="C185" s="1285">
        <f t="shared" si="2"/>
        <v>22</v>
      </c>
      <c r="D185" s="1285">
        <f t="shared" si="3"/>
        <v>9</v>
      </c>
      <c r="E185" s="1288"/>
      <c r="F185" s="1288"/>
      <c r="G185" s="1288">
        <v>2023.0</v>
      </c>
      <c r="H185" s="1288" t="s">
        <v>1149</v>
      </c>
      <c r="I185" s="1285" t="s">
        <v>4168</v>
      </c>
      <c r="J185" s="1285" t="s">
        <v>1058</v>
      </c>
      <c r="K185" s="1285" t="s">
        <v>4156</v>
      </c>
      <c r="L185" s="1289" t="s">
        <v>2480</v>
      </c>
      <c r="M185" s="1290">
        <v>105.0</v>
      </c>
      <c r="N185" s="1297"/>
      <c r="O185" s="1297"/>
      <c r="P185" s="1297"/>
      <c r="Q185" s="1297"/>
      <c r="R185" s="1297"/>
      <c r="S185" s="1297"/>
    </row>
    <row r="186">
      <c r="A186" s="1288" t="s">
        <v>1377</v>
      </c>
      <c r="B186" s="1288">
        <f t="shared" si="13"/>
        <v>35</v>
      </c>
      <c r="C186" s="1285">
        <f t="shared" si="2"/>
        <v>12</v>
      </c>
      <c r="D186" s="1285">
        <f t="shared" si="3"/>
        <v>13</v>
      </c>
      <c r="E186" s="1288"/>
      <c r="F186" s="1288"/>
      <c r="G186" s="1288">
        <v>2023.0</v>
      </c>
      <c r="H186" s="1288" t="s">
        <v>1149</v>
      </c>
      <c r="I186" s="1285" t="s">
        <v>4168</v>
      </c>
      <c r="J186" s="1285" t="s">
        <v>1058</v>
      </c>
      <c r="K186" s="1285" t="s">
        <v>4157</v>
      </c>
      <c r="L186" s="1289" t="s">
        <v>1724</v>
      </c>
      <c r="M186" s="1290">
        <v>5.0</v>
      </c>
      <c r="N186" s="1297"/>
      <c r="O186" s="1297"/>
      <c r="P186" s="1297"/>
      <c r="Q186" s="1297"/>
      <c r="R186" s="1297"/>
      <c r="S186" s="1297"/>
    </row>
    <row r="187">
      <c r="A187" s="1288" t="s">
        <v>2127</v>
      </c>
      <c r="B187" s="1288">
        <f t="shared" si="13"/>
        <v>118</v>
      </c>
      <c r="C187" s="1285">
        <f t="shared" si="2"/>
        <v>51</v>
      </c>
      <c r="D187" s="1285">
        <f t="shared" si="3"/>
        <v>39</v>
      </c>
      <c r="E187" s="1288"/>
      <c r="F187" s="1288"/>
      <c r="G187" s="1288">
        <v>2023.0</v>
      </c>
      <c r="H187" s="1288" t="s">
        <v>1149</v>
      </c>
      <c r="I187" s="1285" t="s">
        <v>4168</v>
      </c>
      <c r="J187" s="1285" t="s">
        <v>1058</v>
      </c>
      <c r="K187" s="1285" t="s">
        <v>4158</v>
      </c>
      <c r="L187" s="1289" t="s">
        <v>2480</v>
      </c>
      <c r="M187" s="1290">
        <v>3.0</v>
      </c>
      <c r="N187" s="1297"/>
      <c r="O187" s="1297"/>
      <c r="P187" s="1297"/>
      <c r="Q187" s="1297"/>
      <c r="R187" s="1297"/>
      <c r="S187" s="1297"/>
    </row>
    <row r="188">
      <c r="A188" s="1288" t="s">
        <v>2128</v>
      </c>
      <c r="B188" s="1288">
        <f t="shared" si="13"/>
        <v>6</v>
      </c>
      <c r="C188" s="1285">
        <f t="shared" si="2"/>
        <v>6</v>
      </c>
      <c r="D188" s="1285">
        <f t="shared" si="3"/>
        <v>0</v>
      </c>
      <c r="E188" s="1288"/>
      <c r="F188" s="1288"/>
      <c r="G188" s="1288">
        <v>2023.0</v>
      </c>
      <c r="H188" s="1288" t="s">
        <v>1149</v>
      </c>
      <c r="I188" s="1285" t="s">
        <v>4168</v>
      </c>
      <c r="J188" s="1285" t="s">
        <v>1058</v>
      </c>
      <c r="K188" s="1285" t="s">
        <v>4159</v>
      </c>
      <c r="L188" s="1289" t="s">
        <v>1724</v>
      </c>
      <c r="M188" s="1290">
        <v>3.0</v>
      </c>
      <c r="N188" s="1297"/>
      <c r="O188" s="1297"/>
      <c r="P188" s="1297"/>
      <c r="Q188" s="1297"/>
      <c r="R188" s="1297"/>
      <c r="S188" s="1297"/>
    </row>
    <row r="189">
      <c r="A189" s="1288" t="s">
        <v>2129</v>
      </c>
      <c r="B189" s="1288">
        <f t="shared" si="13"/>
        <v>21</v>
      </c>
      <c r="C189" s="1285">
        <f t="shared" si="2"/>
        <v>6</v>
      </c>
      <c r="D189" s="1285">
        <f t="shared" si="3"/>
        <v>13</v>
      </c>
      <c r="E189" s="1288"/>
      <c r="F189" s="1288"/>
      <c r="G189" s="1288">
        <v>2023.0</v>
      </c>
      <c r="H189" s="1288" t="s">
        <v>1149</v>
      </c>
      <c r="I189" s="1285" t="s">
        <v>4168</v>
      </c>
      <c r="J189" s="1285" t="s">
        <v>1058</v>
      </c>
      <c r="K189" s="1285" t="s">
        <v>4165</v>
      </c>
      <c r="L189" s="1289" t="s">
        <v>2480</v>
      </c>
      <c r="M189" s="1290">
        <v>19.0</v>
      </c>
      <c r="N189" s="1297"/>
      <c r="O189" s="1297"/>
      <c r="P189" s="1297"/>
      <c r="Q189" s="1297"/>
      <c r="R189" s="1297"/>
      <c r="S189" s="1297"/>
    </row>
    <row r="190">
      <c r="A190" s="1288" t="s">
        <v>302</v>
      </c>
      <c r="B190" s="1288">
        <f t="shared" si="13"/>
        <v>46</v>
      </c>
      <c r="C190" s="1285">
        <f t="shared" si="2"/>
        <v>15</v>
      </c>
      <c r="D190" s="1285">
        <f t="shared" si="3"/>
        <v>26</v>
      </c>
      <c r="E190" s="1288"/>
      <c r="F190" s="1288"/>
      <c r="G190" s="1288">
        <v>2023.0</v>
      </c>
      <c r="H190" s="1288" t="s">
        <v>1149</v>
      </c>
      <c r="I190" s="1285" t="s">
        <v>4168</v>
      </c>
      <c r="J190" s="1285" t="s">
        <v>1058</v>
      </c>
      <c r="K190" s="1285" t="s">
        <v>4166</v>
      </c>
      <c r="L190" s="1289" t="s">
        <v>2480</v>
      </c>
      <c r="M190" s="1290">
        <v>12.0</v>
      </c>
      <c r="N190" s="1297"/>
      <c r="O190" s="1297"/>
      <c r="P190" s="1297"/>
      <c r="Q190" s="1297"/>
      <c r="R190" s="1297"/>
      <c r="S190" s="1297"/>
    </row>
    <row r="191">
      <c r="A191" s="1288" t="s">
        <v>1805</v>
      </c>
      <c r="B191" s="1288">
        <f t="shared" si="13"/>
        <v>254</v>
      </c>
      <c r="C191" s="1285">
        <f t="shared" si="2"/>
        <v>100</v>
      </c>
      <c r="D191" s="1285">
        <f t="shared" si="3"/>
        <v>76</v>
      </c>
      <c r="E191" s="1288"/>
      <c r="F191" s="1288"/>
      <c r="G191" s="1288">
        <v>2023.0</v>
      </c>
      <c r="H191" s="1288" t="s">
        <v>1149</v>
      </c>
      <c r="I191" s="1285" t="s">
        <v>4168</v>
      </c>
      <c r="J191" s="1285" t="s">
        <v>1058</v>
      </c>
      <c r="K191" s="1285" t="s">
        <v>4161</v>
      </c>
      <c r="L191" s="1289" t="s">
        <v>2480</v>
      </c>
      <c r="M191" s="1290">
        <v>2.0</v>
      </c>
      <c r="N191" s="1297"/>
      <c r="O191" s="1297"/>
      <c r="P191" s="1297"/>
      <c r="Q191" s="1297"/>
      <c r="R191" s="1297"/>
      <c r="S191" s="1297"/>
    </row>
    <row r="192">
      <c r="A192" s="1288" t="s">
        <v>2130</v>
      </c>
      <c r="B192" s="1288" t="s">
        <v>63</v>
      </c>
      <c r="C192" s="1285">
        <f t="shared" si="2"/>
        <v>0</v>
      </c>
      <c r="D192" s="1285">
        <f t="shared" si="3"/>
        <v>0</v>
      </c>
      <c r="E192" s="1288"/>
      <c r="F192" s="1288"/>
      <c r="G192" s="1288">
        <v>2023.0</v>
      </c>
      <c r="H192" s="1288" t="s">
        <v>1149</v>
      </c>
      <c r="I192" s="1285" t="s">
        <v>4168</v>
      </c>
      <c r="J192" s="1285" t="s">
        <v>1058</v>
      </c>
      <c r="K192" s="1285" t="s">
        <v>4160</v>
      </c>
      <c r="L192" s="1289" t="s">
        <v>2480</v>
      </c>
      <c r="M192" s="1290">
        <v>5.0</v>
      </c>
      <c r="N192" s="1297"/>
      <c r="O192" s="1297"/>
      <c r="P192" s="1297"/>
      <c r="Q192" s="1297"/>
      <c r="R192" s="1297"/>
      <c r="S192" s="1297"/>
    </row>
    <row r="193">
      <c r="A193" s="1288" t="s">
        <v>2131</v>
      </c>
      <c r="B193" s="1288">
        <f t="shared" ref="B193:B199" si="14">sumif($H$4:$H$1494,A193,$M$4:$M$1494)</f>
        <v>12</v>
      </c>
      <c r="C193" s="1285">
        <f t="shared" si="2"/>
        <v>2</v>
      </c>
      <c r="D193" s="1285">
        <f t="shared" si="3"/>
        <v>6</v>
      </c>
      <c r="E193" s="1288"/>
      <c r="F193" s="1288"/>
      <c r="G193" s="1288">
        <v>2023.0</v>
      </c>
      <c r="H193" s="1288" t="s">
        <v>1149</v>
      </c>
      <c r="I193" s="1285" t="s">
        <v>4168</v>
      </c>
      <c r="J193" s="1285" t="s">
        <v>4161</v>
      </c>
      <c r="K193" s="1285" t="s">
        <v>4167</v>
      </c>
      <c r="L193" s="1289" t="s">
        <v>2480</v>
      </c>
      <c r="M193" s="1290">
        <v>7.0</v>
      </c>
      <c r="N193" s="1297"/>
      <c r="O193" s="1297"/>
      <c r="P193" s="1297"/>
      <c r="Q193" s="1297"/>
      <c r="R193" s="1297"/>
      <c r="S193" s="1297"/>
    </row>
    <row r="194">
      <c r="A194" s="1288" t="s">
        <v>2132</v>
      </c>
      <c r="B194" s="1288">
        <f t="shared" si="14"/>
        <v>124</v>
      </c>
      <c r="C194" s="1285">
        <f t="shared" si="2"/>
        <v>36</v>
      </c>
      <c r="D194" s="1285">
        <f t="shared" si="3"/>
        <v>33</v>
      </c>
      <c r="E194" s="1288"/>
      <c r="F194" s="1288"/>
      <c r="G194" s="1288">
        <v>2023.0</v>
      </c>
      <c r="H194" s="1288" t="s">
        <v>1149</v>
      </c>
      <c r="I194" s="1285" t="s">
        <v>4168</v>
      </c>
      <c r="J194" s="1285" t="s">
        <v>4161</v>
      </c>
      <c r="K194" s="1285" t="s">
        <v>1055</v>
      </c>
      <c r="L194" s="1289" t="s">
        <v>1724</v>
      </c>
      <c r="M194" s="1290">
        <v>69.0</v>
      </c>
      <c r="N194" s="1297"/>
      <c r="O194" s="1297"/>
      <c r="P194" s="1297"/>
      <c r="Q194" s="1297"/>
      <c r="R194" s="1297"/>
      <c r="S194" s="1297"/>
    </row>
    <row r="195">
      <c r="A195" s="1288" t="s">
        <v>2133</v>
      </c>
      <c r="B195" s="1288">
        <f t="shared" si="14"/>
        <v>0</v>
      </c>
      <c r="C195" s="1285">
        <f t="shared" si="2"/>
        <v>0</v>
      </c>
      <c r="D195" s="1285">
        <f t="shared" si="3"/>
        <v>0</v>
      </c>
      <c r="E195" s="1288"/>
      <c r="F195" s="1288"/>
      <c r="G195" s="1288">
        <v>2023.0</v>
      </c>
      <c r="H195" s="1288" t="s">
        <v>1149</v>
      </c>
      <c r="I195" s="1285" t="s">
        <v>4168</v>
      </c>
      <c r="J195" s="1285" t="s">
        <v>4161</v>
      </c>
      <c r="K195" s="1285" t="s">
        <v>4161</v>
      </c>
      <c r="L195" s="1289" t="s">
        <v>2480</v>
      </c>
      <c r="M195" s="1290">
        <v>6.0</v>
      </c>
      <c r="N195" s="1297"/>
      <c r="O195" s="1297"/>
      <c r="P195" s="1297"/>
      <c r="Q195" s="1297"/>
      <c r="R195" s="1297"/>
      <c r="S195" s="1297"/>
    </row>
    <row r="196">
      <c r="A196" s="1288" t="s">
        <v>2134</v>
      </c>
      <c r="B196" s="1288">
        <f t="shared" si="14"/>
        <v>0</v>
      </c>
      <c r="C196" s="1285">
        <f t="shared" si="2"/>
        <v>0</v>
      </c>
      <c r="D196" s="1285">
        <f t="shared" si="3"/>
        <v>0</v>
      </c>
      <c r="E196" s="1288"/>
      <c r="F196" s="1288"/>
      <c r="G196" s="1288">
        <v>2023.0</v>
      </c>
      <c r="H196" s="1288" t="s">
        <v>2031</v>
      </c>
      <c r="I196" s="1285" t="s">
        <v>4155</v>
      </c>
      <c r="J196" s="1285" t="s">
        <v>1058</v>
      </c>
      <c r="K196" s="1285" t="s">
        <v>4156</v>
      </c>
      <c r="L196" s="1289" t="s">
        <v>2480</v>
      </c>
      <c r="M196" s="1290">
        <v>3.0</v>
      </c>
      <c r="N196" s="1297"/>
      <c r="O196" s="1297"/>
      <c r="P196" s="1297"/>
      <c r="Q196" s="1297"/>
      <c r="R196" s="1297"/>
      <c r="S196" s="1297"/>
    </row>
    <row r="197">
      <c r="A197" s="1288" t="s">
        <v>1167</v>
      </c>
      <c r="B197" s="1288">
        <f t="shared" si="14"/>
        <v>14</v>
      </c>
      <c r="C197" s="1285">
        <f t="shared" si="2"/>
        <v>11</v>
      </c>
      <c r="D197" s="1285">
        <f t="shared" si="3"/>
        <v>2</v>
      </c>
      <c r="E197" s="1288"/>
      <c r="F197" s="1288"/>
      <c r="G197" s="1288">
        <v>2023.0</v>
      </c>
      <c r="H197" s="1288" t="s">
        <v>2031</v>
      </c>
      <c r="I197" s="1285" t="s">
        <v>4155</v>
      </c>
      <c r="J197" s="1285" t="s">
        <v>1058</v>
      </c>
      <c r="K197" s="1285" t="s">
        <v>4158</v>
      </c>
      <c r="L197" s="1289" t="s">
        <v>2480</v>
      </c>
      <c r="M197" s="1290">
        <v>2.0</v>
      </c>
      <c r="N197" s="1297"/>
      <c r="O197" s="1297"/>
      <c r="P197" s="1297"/>
      <c r="Q197" s="1297"/>
      <c r="R197" s="1297"/>
      <c r="S197" s="1297"/>
    </row>
    <row r="198">
      <c r="A198" s="1288" t="s">
        <v>2135</v>
      </c>
      <c r="B198" s="1288">
        <f t="shared" si="14"/>
        <v>10</v>
      </c>
      <c r="C198" s="1285">
        <f t="shared" si="2"/>
        <v>2</v>
      </c>
      <c r="D198" s="1285">
        <f t="shared" si="3"/>
        <v>8</v>
      </c>
      <c r="E198" s="1288"/>
      <c r="F198" s="1288"/>
      <c r="G198" s="1288">
        <v>2023.0</v>
      </c>
      <c r="H198" s="1288" t="s">
        <v>2031</v>
      </c>
      <c r="I198" s="1285" t="s">
        <v>4155</v>
      </c>
      <c r="J198" s="1285" t="s">
        <v>1058</v>
      </c>
      <c r="K198" s="1285" t="s">
        <v>4165</v>
      </c>
      <c r="L198" s="1289" t="s">
        <v>2480</v>
      </c>
      <c r="M198" s="1290">
        <v>2.0</v>
      </c>
      <c r="N198" s="1297"/>
      <c r="O198" s="1297"/>
      <c r="P198" s="1297"/>
      <c r="Q198" s="1297"/>
      <c r="R198" s="1297"/>
      <c r="S198" s="1297"/>
    </row>
    <row r="199">
      <c r="A199" s="1288" t="s">
        <v>2136</v>
      </c>
      <c r="B199" s="1288">
        <f t="shared" si="14"/>
        <v>3</v>
      </c>
      <c r="C199" s="1285">
        <f t="shared" si="2"/>
        <v>1</v>
      </c>
      <c r="D199" s="1285">
        <f t="shared" si="3"/>
        <v>2</v>
      </c>
      <c r="E199" s="1288"/>
      <c r="F199" s="1288"/>
      <c r="G199" s="1288">
        <v>2023.0</v>
      </c>
      <c r="H199" s="1288" t="s">
        <v>2031</v>
      </c>
      <c r="I199" s="1285" t="s">
        <v>4155</v>
      </c>
      <c r="J199" s="1285" t="s">
        <v>1058</v>
      </c>
      <c r="K199" s="1285" t="s">
        <v>4166</v>
      </c>
      <c r="L199" s="1289" t="s">
        <v>2480</v>
      </c>
      <c r="M199" s="1290">
        <v>1.0</v>
      </c>
      <c r="N199" s="1297"/>
      <c r="O199" s="1297"/>
      <c r="P199" s="1297"/>
      <c r="Q199" s="1297"/>
      <c r="R199" s="1297"/>
      <c r="S199" s="1297"/>
    </row>
    <row r="200">
      <c r="A200" s="1288" t="s">
        <v>1879</v>
      </c>
      <c r="B200" s="1288" t="s">
        <v>63</v>
      </c>
      <c r="C200" s="1285">
        <f t="shared" si="2"/>
        <v>0</v>
      </c>
      <c r="D200" s="1285">
        <f t="shared" si="3"/>
        <v>0</v>
      </c>
      <c r="E200" s="1288"/>
      <c r="F200" s="1288"/>
      <c r="G200" s="1288">
        <v>2023.0</v>
      </c>
      <c r="H200" s="1288" t="s">
        <v>2031</v>
      </c>
      <c r="I200" s="1285" t="s">
        <v>4155</v>
      </c>
      <c r="J200" s="1285" t="s">
        <v>1058</v>
      </c>
      <c r="K200" s="1285" t="s">
        <v>4160</v>
      </c>
      <c r="L200" s="1289" t="s">
        <v>2480</v>
      </c>
      <c r="M200" s="1290">
        <v>1.0</v>
      </c>
      <c r="N200" s="1297"/>
      <c r="O200" s="1297"/>
      <c r="P200" s="1297"/>
      <c r="Q200" s="1297"/>
      <c r="R200" s="1297"/>
      <c r="S200" s="1297"/>
    </row>
    <row r="201">
      <c r="A201" s="1288" t="s">
        <v>1131</v>
      </c>
      <c r="B201" s="1288">
        <f t="shared" ref="B201:B224" si="15">sumif($H$4:$H$1494,A201,$M$4:$M$1494)</f>
        <v>68</v>
      </c>
      <c r="C201" s="1285">
        <f t="shared" si="2"/>
        <v>21</v>
      </c>
      <c r="D201" s="1285">
        <f t="shared" si="3"/>
        <v>40</v>
      </c>
      <c r="E201" s="1288"/>
      <c r="F201" s="1288"/>
      <c r="G201" s="1288">
        <v>2023.0</v>
      </c>
      <c r="H201" s="1288" t="s">
        <v>2031</v>
      </c>
      <c r="I201" s="1285" t="s">
        <v>4155</v>
      </c>
      <c r="J201" s="1285" t="s">
        <v>4161</v>
      </c>
      <c r="K201" s="1285" t="s">
        <v>1055</v>
      </c>
      <c r="L201" s="1289" t="s">
        <v>1724</v>
      </c>
      <c r="M201" s="1290">
        <v>3.0</v>
      </c>
      <c r="N201" s="1297"/>
      <c r="O201" s="1297"/>
      <c r="P201" s="1297"/>
      <c r="Q201" s="1297"/>
      <c r="R201" s="1297"/>
      <c r="S201" s="1297"/>
    </row>
    <row r="202">
      <c r="A202" s="1288" t="s">
        <v>2137</v>
      </c>
      <c r="B202" s="1288">
        <f t="shared" si="15"/>
        <v>23</v>
      </c>
      <c r="C202" s="1285">
        <f t="shared" si="2"/>
        <v>9</v>
      </c>
      <c r="D202" s="1285">
        <f t="shared" si="3"/>
        <v>6</v>
      </c>
      <c r="E202" s="1288"/>
      <c r="F202" s="1288"/>
      <c r="G202" s="1288">
        <v>2023.0</v>
      </c>
      <c r="H202" s="1288" t="s">
        <v>2032</v>
      </c>
      <c r="I202" s="1285" t="s">
        <v>4170</v>
      </c>
      <c r="J202" s="1285" t="s">
        <v>1058</v>
      </c>
      <c r="K202" s="1285" t="s">
        <v>4163</v>
      </c>
      <c r="L202" s="1289" t="s">
        <v>2480</v>
      </c>
      <c r="M202" s="1290">
        <v>1.0</v>
      </c>
      <c r="N202" s="1297"/>
      <c r="O202" s="1297"/>
      <c r="P202" s="1297"/>
      <c r="Q202" s="1297"/>
      <c r="R202" s="1297"/>
      <c r="S202" s="1297"/>
    </row>
    <row r="203">
      <c r="A203" s="1288" t="s">
        <v>2138</v>
      </c>
      <c r="B203" s="1288">
        <f t="shared" si="15"/>
        <v>9</v>
      </c>
      <c r="C203" s="1285">
        <f t="shared" si="2"/>
        <v>3</v>
      </c>
      <c r="D203" s="1285">
        <f t="shared" si="3"/>
        <v>4</v>
      </c>
      <c r="E203" s="1288"/>
      <c r="F203" s="1288"/>
      <c r="G203" s="1288">
        <v>2023.0</v>
      </c>
      <c r="H203" s="1288" t="s">
        <v>2032</v>
      </c>
      <c r="I203" s="1285" t="s">
        <v>4170</v>
      </c>
      <c r="J203" s="1285" t="s">
        <v>4161</v>
      </c>
      <c r="K203" s="1285" t="s">
        <v>4161</v>
      </c>
      <c r="L203" s="1289" t="s">
        <v>2480</v>
      </c>
      <c r="M203" s="1290">
        <v>1.0</v>
      </c>
      <c r="N203" s="1297"/>
      <c r="O203" s="1297"/>
      <c r="P203" s="1297"/>
      <c r="Q203" s="1297"/>
      <c r="R203" s="1297"/>
      <c r="S203" s="1297"/>
    </row>
    <row r="204">
      <c r="A204" s="1288" t="s">
        <v>2139</v>
      </c>
      <c r="B204" s="1288">
        <f t="shared" si="15"/>
        <v>40</v>
      </c>
      <c r="C204" s="1285">
        <f t="shared" si="2"/>
        <v>10</v>
      </c>
      <c r="D204" s="1285">
        <f t="shared" si="3"/>
        <v>22</v>
      </c>
      <c r="E204" s="1288"/>
      <c r="F204" s="1288"/>
      <c r="G204" s="1288">
        <v>2023.0</v>
      </c>
      <c r="H204" s="1288" t="s">
        <v>708</v>
      </c>
      <c r="I204" s="1285" t="s">
        <v>4155</v>
      </c>
      <c r="J204" s="1285" t="s">
        <v>1058</v>
      </c>
      <c r="K204" s="1285" t="s">
        <v>4163</v>
      </c>
      <c r="L204" s="1289" t="s">
        <v>2480</v>
      </c>
      <c r="M204" s="1290">
        <v>1.0</v>
      </c>
      <c r="N204" s="1297"/>
      <c r="O204" s="1297"/>
      <c r="P204" s="1297"/>
      <c r="Q204" s="1297"/>
      <c r="R204" s="1297"/>
      <c r="S204" s="1297"/>
    </row>
    <row r="205">
      <c r="A205" s="1288" t="s">
        <v>1168</v>
      </c>
      <c r="B205" s="1288">
        <f t="shared" si="15"/>
        <v>12</v>
      </c>
      <c r="C205" s="1285">
        <f t="shared" si="2"/>
        <v>4</v>
      </c>
      <c r="D205" s="1285">
        <f t="shared" si="3"/>
        <v>8</v>
      </c>
      <c r="E205" s="1288"/>
      <c r="F205" s="1288"/>
      <c r="G205" s="1288">
        <v>2023.0</v>
      </c>
      <c r="H205" s="1288" t="s">
        <v>708</v>
      </c>
      <c r="I205" s="1285" t="s">
        <v>4155</v>
      </c>
      <c r="J205" s="1285" t="s">
        <v>1058</v>
      </c>
      <c r="K205" s="1285" t="s">
        <v>4156</v>
      </c>
      <c r="L205" s="1289" t="s">
        <v>2480</v>
      </c>
      <c r="M205" s="1290">
        <v>4.0</v>
      </c>
      <c r="N205" s="1297"/>
      <c r="O205" s="1297"/>
      <c r="P205" s="1297"/>
      <c r="Q205" s="1297"/>
      <c r="R205" s="1297"/>
      <c r="S205" s="1297"/>
    </row>
    <row r="206">
      <c r="A206" s="1288" t="s">
        <v>2140</v>
      </c>
      <c r="B206" s="1288">
        <f t="shared" si="15"/>
        <v>12</v>
      </c>
      <c r="C206" s="1285">
        <f t="shared" si="2"/>
        <v>4</v>
      </c>
      <c r="D206" s="1285">
        <f t="shared" si="3"/>
        <v>6</v>
      </c>
      <c r="E206" s="1288"/>
      <c r="F206" s="1288"/>
      <c r="G206" s="1288">
        <v>2023.0</v>
      </c>
      <c r="H206" s="1288" t="s">
        <v>708</v>
      </c>
      <c r="I206" s="1285" t="s">
        <v>4155</v>
      </c>
      <c r="J206" s="1285" t="s">
        <v>1058</v>
      </c>
      <c r="K206" s="1285" t="s">
        <v>4158</v>
      </c>
      <c r="L206" s="1289" t="s">
        <v>2480</v>
      </c>
      <c r="M206" s="1290">
        <v>1.0</v>
      </c>
      <c r="N206" s="1297"/>
      <c r="O206" s="1297"/>
      <c r="P206" s="1297"/>
      <c r="Q206" s="1297"/>
      <c r="R206" s="1297"/>
      <c r="S206" s="1297"/>
    </row>
    <row r="207">
      <c r="A207" s="1288" t="s">
        <v>2142</v>
      </c>
      <c r="B207" s="1288">
        <f t="shared" si="15"/>
        <v>42</v>
      </c>
      <c r="C207" s="1285">
        <f t="shared" si="2"/>
        <v>17</v>
      </c>
      <c r="D207" s="1285">
        <f t="shared" si="3"/>
        <v>12</v>
      </c>
      <c r="E207" s="1288"/>
      <c r="F207" s="1288"/>
      <c r="G207" s="1288">
        <v>2023.0</v>
      </c>
      <c r="H207" s="1288" t="s">
        <v>708</v>
      </c>
      <c r="I207" s="1285" t="s">
        <v>4155</v>
      </c>
      <c r="J207" s="1285" t="s">
        <v>1058</v>
      </c>
      <c r="K207" s="1285" t="s">
        <v>4160</v>
      </c>
      <c r="L207" s="1289" t="s">
        <v>2480</v>
      </c>
      <c r="M207" s="1290">
        <v>3.0</v>
      </c>
      <c r="N207" s="1297"/>
      <c r="O207" s="1297"/>
      <c r="P207" s="1297"/>
      <c r="Q207" s="1297"/>
      <c r="R207" s="1297"/>
      <c r="S207" s="1297"/>
    </row>
    <row r="208">
      <c r="A208" s="1288" t="s">
        <v>2143</v>
      </c>
      <c r="B208" s="1288">
        <f t="shared" si="15"/>
        <v>45</v>
      </c>
      <c r="C208" s="1285">
        <f t="shared" si="2"/>
        <v>20</v>
      </c>
      <c r="D208" s="1285">
        <f t="shared" si="3"/>
        <v>16</v>
      </c>
      <c r="E208" s="1288"/>
      <c r="F208" s="1288"/>
      <c r="G208" s="1288">
        <v>2023.0</v>
      </c>
      <c r="H208" s="1288" t="s">
        <v>708</v>
      </c>
      <c r="I208" s="1285" t="s">
        <v>4155</v>
      </c>
      <c r="J208" s="1285" t="s">
        <v>4161</v>
      </c>
      <c r="K208" s="1285" t="s">
        <v>1055</v>
      </c>
      <c r="L208" s="1289" t="s">
        <v>1724</v>
      </c>
      <c r="M208" s="1290">
        <v>8.0</v>
      </c>
      <c r="N208" s="1297"/>
      <c r="O208" s="1297"/>
      <c r="P208" s="1297"/>
      <c r="Q208" s="1297"/>
      <c r="R208" s="1297"/>
      <c r="S208" s="1297"/>
    </row>
    <row r="209">
      <c r="A209" s="1288" t="s">
        <v>2144</v>
      </c>
      <c r="B209" s="1288">
        <f t="shared" si="15"/>
        <v>9</v>
      </c>
      <c r="C209" s="1285">
        <f t="shared" si="2"/>
        <v>3</v>
      </c>
      <c r="D209" s="1285">
        <f t="shared" si="3"/>
        <v>5</v>
      </c>
      <c r="E209" s="1288"/>
      <c r="F209" s="1288"/>
      <c r="G209" s="1288">
        <v>2023.0</v>
      </c>
      <c r="H209" s="1288" t="s">
        <v>2033</v>
      </c>
      <c r="I209" s="1285" t="s">
        <v>4170</v>
      </c>
      <c r="J209" s="1285" t="s">
        <v>1058</v>
      </c>
      <c r="K209" s="1285" t="s">
        <v>4156</v>
      </c>
      <c r="L209" s="1289" t="s">
        <v>2480</v>
      </c>
      <c r="M209" s="1290">
        <v>4.0</v>
      </c>
      <c r="N209" s="1297"/>
      <c r="O209" s="1297"/>
      <c r="P209" s="1297"/>
      <c r="Q209" s="1297"/>
      <c r="R209" s="1297"/>
      <c r="S209" s="1297"/>
    </row>
    <row r="210">
      <c r="A210" s="1288" t="s">
        <v>2145</v>
      </c>
      <c r="B210" s="1288">
        <f t="shared" si="15"/>
        <v>0</v>
      </c>
      <c r="C210" s="1285">
        <f t="shared" si="2"/>
        <v>0</v>
      </c>
      <c r="D210" s="1285">
        <f t="shared" si="3"/>
        <v>0</v>
      </c>
      <c r="E210" s="1288"/>
      <c r="F210" s="1288"/>
      <c r="G210" s="1288">
        <v>2023.0</v>
      </c>
      <c r="H210" s="1288" t="s">
        <v>2033</v>
      </c>
      <c r="I210" s="1285" t="s">
        <v>4170</v>
      </c>
      <c r="J210" s="1285" t="s">
        <v>4161</v>
      </c>
      <c r="K210" s="1285" t="s">
        <v>4167</v>
      </c>
      <c r="L210" s="1289" t="s">
        <v>2480</v>
      </c>
      <c r="M210" s="1290">
        <v>2.0</v>
      </c>
      <c r="N210" s="1297"/>
      <c r="O210" s="1297"/>
      <c r="P210" s="1297"/>
      <c r="Q210" s="1297"/>
      <c r="R210" s="1297"/>
      <c r="S210" s="1297"/>
    </row>
    <row r="211">
      <c r="A211" s="1288" t="s">
        <v>2146</v>
      </c>
      <c r="B211" s="1288">
        <f t="shared" si="15"/>
        <v>39</v>
      </c>
      <c r="C211" s="1285">
        <f t="shared" si="2"/>
        <v>14</v>
      </c>
      <c r="D211" s="1285">
        <f t="shared" si="3"/>
        <v>13</v>
      </c>
      <c r="E211" s="1288"/>
      <c r="F211" s="1288"/>
      <c r="G211" s="1288">
        <v>2023.0</v>
      </c>
      <c r="H211" s="1288" t="s">
        <v>2033</v>
      </c>
      <c r="I211" s="1285" t="s">
        <v>4170</v>
      </c>
      <c r="J211" s="1285" t="s">
        <v>4161</v>
      </c>
      <c r="K211" s="1285" t="s">
        <v>1055</v>
      </c>
      <c r="L211" s="1289" t="s">
        <v>1724</v>
      </c>
      <c r="M211" s="1290">
        <v>1.0</v>
      </c>
      <c r="N211" s="1297"/>
      <c r="O211" s="1297"/>
      <c r="P211" s="1297"/>
      <c r="Q211" s="1297"/>
      <c r="R211" s="1297"/>
      <c r="S211" s="1297"/>
    </row>
    <row r="212">
      <c r="A212" s="1288" t="s">
        <v>2148</v>
      </c>
      <c r="B212" s="1288">
        <f t="shared" si="15"/>
        <v>0</v>
      </c>
      <c r="C212" s="1285">
        <f t="shared" si="2"/>
        <v>0</v>
      </c>
      <c r="D212" s="1285">
        <f t="shared" si="3"/>
        <v>0</v>
      </c>
      <c r="E212" s="1288"/>
      <c r="F212" s="1288"/>
      <c r="G212" s="1288">
        <v>2023.0</v>
      </c>
      <c r="H212" s="1288" t="s">
        <v>98</v>
      </c>
      <c r="I212" s="1285" t="s">
        <v>4172</v>
      </c>
      <c r="J212" s="1285" t="s">
        <v>1058</v>
      </c>
      <c r="K212" s="1285" t="s">
        <v>4156</v>
      </c>
      <c r="L212" s="1289" t="s">
        <v>2480</v>
      </c>
      <c r="M212" s="1290">
        <v>2.0</v>
      </c>
      <c r="N212" s="1297"/>
      <c r="O212" s="1297"/>
      <c r="P212" s="1297"/>
      <c r="Q212" s="1297"/>
      <c r="R212" s="1297"/>
      <c r="S212" s="1297"/>
    </row>
    <row r="213">
      <c r="A213" s="1288" t="s">
        <v>168</v>
      </c>
      <c r="B213" s="1288">
        <f t="shared" si="15"/>
        <v>28</v>
      </c>
      <c r="C213" s="1285">
        <f t="shared" si="2"/>
        <v>13</v>
      </c>
      <c r="D213" s="1285">
        <f t="shared" si="3"/>
        <v>13</v>
      </c>
      <c r="E213" s="1288"/>
      <c r="F213" s="1288"/>
      <c r="G213" s="1288">
        <v>2023.0</v>
      </c>
      <c r="H213" s="1288" t="s">
        <v>98</v>
      </c>
      <c r="I213" s="1285" t="s">
        <v>4172</v>
      </c>
      <c r="J213" s="1285" t="s">
        <v>1058</v>
      </c>
      <c r="K213" s="1285" t="s">
        <v>4160</v>
      </c>
      <c r="L213" s="1289" t="s">
        <v>2480</v>
      </c>
      <c r="M213" s="1290">
        <v>2.0</v>
      </c>
      <c r="N213" s="1297"/>
      <c r="O213" s="1297"/>
      <c r="P213" s="1297"/>
      <c r="Q213" s="1297"/>
      <c r="R213" s="1297"/>
      <c r="S213" s="1297"/>
    </row>
    <row r="214">
      <c r="A214" s="1288" t="s">
        <v>1011</v>
      </c>
      <c r="B214" s="1288">
        <f t="shared" si="15"/>
        <v>6</v>
      </c>
      <c r="C214" s="1285">
        <f t="shared" si="2"/>
        <v>1</v>
      </c>
      <c r="D214" s="1285">
        <f t="shared" si="3"/>
        <v>4</v>
      </c>
      <c r="E214" s="1288"/>
      <c r="F214" s="1288"/>
      <c r="G214" s="1288">
        <v>2023.0</v>
      </c>
      <c r="H214" s="1288" t="s">
        <v>98</v>
      </c>
      <c r="I214" s="1285" t="s">
        <v>4172</v>
      </c>
      <c r="J214" s="1285" t="s">
        <v>4161</v>
      </c>
      <c r="K214" s="1285" t="s">
        <v>1055</v>
      </c>
      <c r="L214" s="1289" t="s">
        <v>1724</v>
      </c>
      <c r="M214" s="1290">
        <v>5.0</v>
      </c>
      <c r="N214" s="1297"/>
      <c r="O214" s="1297"/>
      <c r="P214" s="1297"/>
      <c r="Q214" s="1297"/>
      <c r="R214" s="1297"/>
      <c r="S214" s="1297"/>
    </row>
    <row r="215">
      <c r="A215" s="1288" t="s">
        <v>1012</v>
      </c>
      <c r="B215" s="1288">
        <f t="shared" si="15"/>
        <v>252</v>
      </c>
      <c r="C215" s="1285">
        <f t="shared" si="2"/>
        <v>85</v>
      </c>
      <c r="D215" s="1285">
        <f t="shared" si="3"/>
        <v>116</v>
      </c>
      <c r="E215" s="1288"/>
      <c r="F215" s="1288"/>
      <c r="G215" s="1288">
        <v>2023.0</v>
      </c>
      <c r="H215" s="1288" t="s">
        <v>98</v>
      </c>
      <c r="I215" s="1285" t="s">
        <v>4172</v>
      </c>
      <c r="J215" s="1285" t="s">
        <v>4161</v>
      </c>
      <c r="K215" s="1285" t="s">
        <v>4161</v>
      </c>
      <c r="L215" s="1289" t="s">
        <v>2480</v>
      </c>
      <c r="M215" s="1290">
        <v>1.0</v>
      </c>
      <c r="N215" s="1297"/>
      <c r="O215" s="1297"/>
      <c r="P215" s="1297"/>
      <c r="Q215" s="1297"/>
      <c r="R215" s="1297"/>
      <c r="S215" s="1297"/>
    </row>
    <row r="216">
      <c r="A216" s="1288" t="s">
        <v>2149</v>
      </c>
      <c r="B216" s="1288">
        <f t="shared" si="15"/>
        <v>5</v>
      </c>
      <c r="C216" s="1285">
        <f t="shared" si="2"/>
        <v>4</v>
      </c>
      <c r="D216" s="1285">
        <f t="shared" si="3"/>
        <v>0</v>
      </c>
      <c r="E216" s="1288"/>
      <c r="F216" s="1288"/>
      <c r="G216" s="1288">
        <v>2023.0</v>
      </c>
      <c r="H216" s="1288" t="s">
        <v>101</v>
      </c>
      <c r="I216" s="1285" t="s">
        <v>4155</v>
      </c>
      <c r="J216" s="1285" t="s">
        <v>1058</v>
      </c>
      <c r="K216" s="1285" t="s">
        <v>4163</v>
      </c>
      <c r="L216" s="1289" t="s">
        <v>2480</v>
      </c>
      <c r="M216" s="1290">
        <v>1.0</v>
      </c>
      <c r="N216" s="1297"/>
      <c r="O216" s="1297"/>
      <c r="P216" s="1297"/>
      <c r="Q216" s="1297"/>
      <c r="R216" s="1297"/>
      <c r="S216" s="1297"/>
    </row>
    <row r="217">
      <c r="A217" s="1288" t="s">
        <v>2150</v>
      </c>
      <c r="B217" s="1288">
        <f t="shared" si="15"/>
        <v>31</v>
      </c>
      <c r="C217" s="1285">
        <f t="shared" si="2"/>
        <v>8</v>
      </c>
      <c r="D217" s="1285">
        <f t="shared" si="3"/>
        <v>16</v>
      </c>
      <c r="E217" s="1288"/>
      <c r="F217" s="1288"/>
      <c r="G217" s="1288">
        <v>2023.0</v>
      </c>
      <c r="H217" s="1288" t="s">
        <v>101</v>
      </c>
      <c r="I217" s="1285" t="s">
        <v>4155</v>
      </c>
      <c r="J217" s="1285" t="s">
        <v>1058</v>
      </c>
      <c r="K217" s="1285" t="s">
        <v>4156</v>
      </c>
      <c r="L217" s="1289" t="s">
        <v>2480</v>
      </c>
      <c r="M217" s="1290">
        <v>21.0</v>
      </c>
      <c r="N217" s="1297"/>
      <c r="O217" s="1297"/>
      <c r="P217" s="1297"/>
      <c r="Q217" s="1297"/>
      <c r="R217" s="1297"/>
      <c r="S217" s="1297"/>
    </row>
    <row r="218">
      <c r="A218" s="1288" t="s">
        <v>628</v>
      </c>
      <c r="B218" s="1288">
        <f t="shared" si="15"/>
        <v>25</v>
      </c>
      <c r="C218" s="1285">
        <f t="shared" si="2"/>
        <v>11</v>
      </c>
      <c r="D218" s="1285">
        <f t="shared" si="3"/>
        <v>13</v>
      </c>
      <c r="E218" s="1288"/>
      <c r="F218" s="1288"/>
      <c r="G218" s="1288">
        <v>2023.0</v>
      </c>
      <c r="H218" s="1288" t="s">
        <v>101</v>
      </c>
      <c r="I218" s="1285" t="s">
        <v>4155</v>
      </c>
      <c r="J218" s="1285" t="s">
        <v>1058</v>
      </c>
      <c r="K218" s="1285" t="s">
        <v>4157</v>
      </c>
      <c r="L218" s="1289" t="s">
        <v>1724</v>
      </c>
      <c r="M218" s="1290">
        <v>4.0</v>
      </c>
      <c r="N218" s="1297"/>
      <c r="O218" s="1297"/>
      <c r="P218" s="1297"/>
      <c r="Q218" s="1297"/>
      <c r="R218" s="1297"/>
      <c r="S218" s="1297"/>
    </row>
    <row r="219">
      <c r="A219" s="1288" t="s">
        <v>2151</v>
      </c>
      <c r="B219" s="1288">
        <f t="shared" si="15"/>
        <v>3</v>
      </c>
      <c r="C219" s="1285">
        <f t="shared" si="2"/>
        <v>0</v>
      </c>
      <c r="D219" s="1285">
        <f t="shared" si="3"/>
        <v>3</v>
      </c>
      <c r="E219" s="1288"/>
      <c r="F219" s="1288"/>
      <c r="G219" s="1288">
        <v>2023.0</v>
      </c>
      <c r="H219" s="1288" t="s">
        <v>101</v>
      </c>
      <c r="I219" s="1285" t="s">
        <v>4155</v>
      </c>
      <c r="J219" s="1285" t="s">
        <v>1058</v>
      </c>
      <c r="K219" s="1285" t="s">
        <v>4165</v>
      </c>
      <c r="L219" s="1289" t="s">
        <v>2480</v>
      </c>
      <c r="M219" s="1290">
        <v>9.0</v>
      </c>
      <c r="N219" s="1297"/>
      <c r="O219" s="1297"/>
      <c r="P219" s="1297"/>
      <c r="Q219" s="1297"/>
      <c r="R219" s="1297"/>
      <c r="S219" s="1297"/>
    </row>
    <row r="220">
      <c r="A220" s="1288" t="s">
        <v>2152</v>
      </c>
      <c r="B220" s="1288">
        <f t="shared" si="15"/>
        <v>0</v>
      </c>
      <c r="C220" s="1285">
        <f t="shared" si="2"/>
        <v>0</v>
      </c>
      <c r="D220" s="1285">
        <f t="shared" si="3"/>
        <v>0</v>
      </c>
      <c r="E220" s="1288"/>
      <c r="F220" s="1288"/>
      <c r="G220" s="1288">
        <v>2023.0</v>
      </c>
      <c r="H220" s="1288" t="s">
        <v>101</v>
      </c>
      <c r="I220" s="1285" t="s">
        <v>4155</v>
      </c>
      <c r="J220" s="1285" t="s">
        <v>1058</v>
      </c>
      <c r="K220" s="1285" t="s">
        <v>4160</v>
      </c>
      <c r="L220" s="1289" t="s">
        <v>2480</v>
      </c>
      <c r="M220" s="1290">
        <v>5.0</v>
      </c>
      <c r="N220" s="1297"/>
      <c r="O220" s="1297"/>
      <c r="P220" s="1297"/>
      <c r="Q220" s="1297"/>
      <c r="R220" s="1297"/>
      <c r="S220" s="1297"/>
    </row>
    <row r="221">
      <c r="A221" s="1288" t="s">
        <v>2153</v>
      </c>
      <c r="B221" s="1288">
        <f t="shared" si="15"/>
        <v>3</v>
      </c>
      <c r="C221" s="1285">
        <f t="shared" si="2"/>
        <v>1</v>
      </c>
      <c r="D221" s="1285">
        <f t="shared" si="3"/>
        <v>2</v>
      </c>
      <c r="E221" s="1288"/>
      <c r="F221" s="1288"/>
      <c r="G221" s="1288">
        <v>2023.0</v>
      </c>
      <c r="H221" s="1288" t="s">
        <v>101</v>
      </c>
      <c r="I221" s="1285" t="s">
        <v>4155</v>
      </c>
      <c r="J221" s="1285" t="s">
        <v>4161</v>
      </c>
      <c r="K221" s="1285" t="s">
        <v>1055</v>
      </c>
      <c r="L221" s="1289" t="s">
        <v>1724</v>
      </c>
      <c r="M221" s="1290">
        <v>30.0</v>
      </c>
      <c r="N221" s="1297"/>
      <c r="O221" s="1297"/>
      <c r="P221" s="1297"/>
      <c r="Q221" s="1297"/>
      <c r="R221" s="1297"/>
      <c r="S221" s="1297"/>
    </row>
    <row r="222">
      <c r="A222" s="1288" t="s">
        <v>2154</v>
      </c>
      <c r="B222" s="1288">
        <f t="shared" si="15"/>
        <v>8</v>
      </c>
      <c r="C222" s="1285">
        <f t="shared" si="2"/>
        <v>4</v>
      </c>
      <c r="D222" s="1285">
        <f t="shared" si="3"/>
        <v>4</v>
      </c>
      <c r="E222" s="1288"/>
      <c r="F222" s="1288"/>
      <c r="G222" s="1288">
        <v>2023.0</v>
      </c>
      <c r="H222" s="1288" t="s">
        <v>101</v>
      </c>
      <c r="I222" s="1285" t="s">
        <v>4155</v>
      </c>
      <c r="J222" s="1285" t="s">
        <v>4161</v>
      </c>
      <c r="K222" s="1285" t="s">
        <v>4161</v>
      </c>
      <c r="L222" s="1289" t="s">
        <v>2480</v>
      </c>
      <c r="M222" s="1290">
        <v>6.0</v>
      </c>
      <c r="N222" s="1297"/>
      <c r="O222" s="1297"/>
      <c r="P222" s="1297"/>
      <c r="Q222" s="1297"/>
      <c r="R222" s="1297"/>
      <c r="S222" s="1297"/>
    </row>
    <row r="223">
      <c r="A223" s="1288" t="s">
        <v>265</v>
      </c>
      <c r="B223" s="1288">
        <f t="shared" si="15"/>
        <v>1073</v>
      </c>
      <c r="C223" s="1285">
        <f t="shared" si="2"/>
        <v>499</v>
      </c>
      <c r="D223" s="1285">
        <f t="shared" si="3"/>
        <v>321</v>
      </c>
      <c r="E223" s="1288"/>
      <c r="F223" s="1288"/>
      <c r="G223" s="1288">
        <v>2023.0</v>
      </c>
      <c r="H223" s="1288" t="s">
        <v>2034</v>
      </c>
      <c r="I223" s="1285" t="s">
        <v>4170</v>
      </c>
      <c r="J223" s="1285" t="s">
        <v>1058</v>
      </c>
      <c r="K223" s="1285" t="s">
        <v>4163</v>
      </c>
      <c r="L223" s="1289" t="s">
        <v>2480</v>
      </c>
      <c r="M223" s="1290">
        <v>1.0</v>
      </c>
      <c r="N223" s="1297"/>
      <c r="O223" s="1297"/>
      <c r="P223" s="1297"/>
      <c r="Q223" s="1297"/>
      <c r="R223" s="1297"/>
      <c r="S223" s="1297"/>
    </row>
    <row r="224">
      <c r="A224" s="1288" t="s">
        <v>526</v>
      </c>
      <c r="B224" s="1288">
        <f t="shared" si="15"/>
        <v>363</v>
      </c>
      <c r="C224" s="1285">
        <f t="shared" si="2"/>
        <v>159</v>
      </c>
      <c r="D224" s="1285">
        <f t="shared" si="3"/>
        <v>135</v>
      </c>
      <c r="E224" s="1288"/>
      <c r="F224" s="1288"/>
      <c r="G224" s="1288">
        <v>2023.0</v>
      </c>
      <c r="H224" s="1288" t="s">
        <v>2034</v>
      </c>
      <c r="I224" s="1285" t="s">
        <v>4170</v>
      </c>
      <c r="J224" s="1285" t="s">
        <v>1058</v>
      </c>
      <c r="K224" s="1285" t="s">
        <v>4156</v>
      </c>
      <c r="L224" s="1289" t="s">
        <v>2480</v>
      </c>
      <c r="M224" s="1290">
        <v>1.0</v>
      </c>
      <c r="N224" s="1297"/>
      <c r="O224" s="1297"/>
      <c r="P224" s="1297"/>
      <c r="Q224" s="1297"/>
      <c r="R224" s="1297"/>
      <c r="S224" s="1297"/>
    </row>
    <row r="225">
      <c r="A225" s="1288" t="s">
        <v>635</v>
      </c>
      <c r="B225" s="1288" t="s">
        <v>63</v>
      </c>
      <c r="C225" s="1285">
        <f t="shared" si="2"/>
        <v>0</v>
      </c>
      <c r="D225" s="1285">
        <f t="shared" si="3"/>
        <v>0</v>
      </c>
      <c r="E225" s="1288"/>
      <c r="F225" s="1288"/>
      <c r="G225" s="1288">
        <v>2023.0</v>
      </c>
      <c r="H225" s="1288" t="s">
        <v>2034</v>
      </c>
      <c r="I225" s="1285" t="s">
        <v>4170</v>
      </c>
      <c r="J225" s="1285" t="s">
        <v>1058</v>
      </c>
      <c r="K225" s="1285" t="s">
        <v>4166</v>
      </c>
      <c r="L225" s="1289" t="s">
        <v>2480</v>
      </c>
      <c r="M225" s="1290">
        <v>1.0</v>
      </c>
      <c r="N225" s="1297"/>
      <c r="O225" s="1297"/>
      <c r="P225" s="1297"/>
      <c r="Q225" s="1297"/>
      <c r="R225" s="1297"/>
      <c r="S225" s="1297"/>
    </row>
    <row r="226">
      <c r="A226" s="1288" t="s">
        <v>2156</v>
      </c>
      <c r="B226" s="1288">
        <f t="shared" ref="B226:B257" si="16">sumif($H$4:$H$1494,A226,$M$4:$M$1494)</f>
        <v>6</v>
      </c>
      <c r="C226" s="1285">
        <f t="shared" si="2"/>
        <v>1</v>
      </c>
      <c r="D226" s="1285">
        <f t="shared" si="3"/>
        <v>1</v>
      </c>
      <c r="E226" s="1288"/>
      <c r="F226" s="1288"/>
      <c r="G226" s="1288">
        <v>2023.0</v>
      </c>
      <c r="H226" s="1288" t="s">
        <v>2034</v>
      </c>
      <c r="I226" s="1285" t="s">
        <v>4170</v>
      </c>
      <c r="J226" s="1285" t="s">
        <v>1058</v>
      </c>
      <c r="K226" s="1285" t="s">
        <v>4161</v>
      </c>
      <c r="L226" s="1289" t="s">
        <v>2480</v>
      </c>
      <c r="M226" s="1290">
        <v>1.0</v>
      </c>
      <c r="N226" s="1297"/>
      <c r="O226" s="1297"/>
      <c r="P226" s="1297"/>
      <c r="Q226" s="1297"/>
      <c r="R226" s="1297"/>
      <c r="S226" s="1297"/>
    </row>
    <row r="227">
      <c r="A227" s="1288" t="s">
        <v>2157</v>
      </c>
      <c r="B227" s="1288">
        <f t="shared" si="16"/>
        <v>1</v>
      </c>
      <c r="C227" s="1285">
        <f t="shared" si="2"/>
        <v>0</v>
      </c>
      <c r="D227" s="1285">
        <f t="shared" si="3"/>
        <v>0</v>
      </c>
      <c r="E227" s="1288"/>
      <c r="F227" s="1288"/>
      <c r="G227" s="1288">
        <v>2023.0</v>
      </c>
      <c r="H227" s="1288" t="s">
        <v>112</v>
      </c>
      <c r="I227" s="1285" t="s">
        <v>4169</v>
      </c>
      <c r="J227" s="1285" t="s">
        <v>1058</v>
      </c>
      <c r="K227" s="1285" t="s">
        <v>4156</v>
      </c>
      <c r="L227" s="1289" t="s">
        <v>2480</v>
      </c>
      <c r="M227" s="1290">
        <v>3.0</v>
      </c>
      <c r="N227" s="1297"/>
      <c r="O227" s="1297"/>
      <c r="P227" s="1297"/>
      <c r="Q227" s="1297"/>
      <c r="R227" s="1297"/>
      <c r="S227" s="1297"/>
    </row>
    <row r="228">
      <c r="A228" s="1288" t="s">
        <v>2159</v>
      </c>
      <c r="B228" s="1288">
        <f t="shared" si="16"/>
        <v>19</v>
      </c>
      <c r="C228" s="1285">
        <f t="shared" si="2"/>
        <v>10</v>
      </c>
      <c r="D228" s="1285">
        <f t="shared" si="3"/>
        <v>1</v>
      </c>
      <c r="E228" s="1288"/>
      <c r="F228" s="1288"/>
      <c r="G228" s="1288">
        <v>2023.0</v>
      </c>
      <c r="H228" s="1288" t="s">
        <v>112</v>
      </c>
      <c r="I228" s="1285" t="s">
        <v>4169</v>
      </c>
      <c r="J228" s="1285" t="s">
        <v>1058</v>
      </c>
      <c r="K228" s="1285" t="s">
        <v>4166</v>
      </c>
      <c r="L228" s="1289" t="s">
        <v>2480</v>
      </c>
      <c r="M228" s="1290">
        <v>1.0</v>
      </c>
      <c r="N228" s="1297"/>
      <c r="O228" s="1297"/>
      <c r="P228" s="1297"/>
      <c r="Q228" s="1297"/>
      <c r="R228" s="1297"/>
      <c r="S228" s="1297"/>
    </row>
    <row r="229">
      <c r="A229" s="1288" t="s">
        <v>2160</v>
      </c>
      <c r="B229" s="1288">
        <f t="shared" si="16"/>
        <v>101</v>
      </c>
      <c r="C229" s="1285">
        <f t="shared" si="2"/>
        <v>27</v>
      </c>
      <c r="D229" s="1285">
        <f t="shared" si="3"/>
        <v>56</v>
      </c>
      <c r="E229" s="1288"/>
      <c r="F229" s="1288"/>
      <c r="G229" s="1288">
        <v>2023.0</v>
      </c>
      <c r="H229" s="1288" t="s">
        <v>112</v>
      </c>
      <c r="I229" s="1285" t="s">
        <v>4169</v>
      </c>
      <c r="J229" s="1285" t="s">
        <v>4161</v>
      </c>
      <c r="K229" s="1285" t="s">
        <v>1055</v>
      </c>
      <c r="L229" s="1289" t="s">
        <v>1724</v>
      </c>
      <c r="M229" s="1290">
        <v>2.0</v>
      </c>
      <c r="N229" s="1297"/>
      <c r="O229" s="1297"/>
      <c r="P229" s="1297"/>
      <c r="Q229" s="1297"/>
      <c r="R229" s="1297"/>
      <c r="S229" s="1297"/>
    </row>
    <row r="230">
      <c r="A230" s="1288" t="s">
        <v>355</v>
      </c>
      <c r="B230" s="1288">
        <f t="shared" si="16"/>
        <v>442</v>
      </c>
      <c r="C230" s="1285">
        <f t="shared" si="2"/>
        <v>157</v>
      </c>
      <c r="D230" s="1285">
        <f t="shared" si="3"/>
        <v>181</v>
      </c>
      <c r="E230" s="1288"/>
      <c r="F230" s="1288"/>
      <c r="G230" s="1288">
        <v>2023.0</v>
      </c>
      <c r="H230" s="1288" t="s">
        <v>2035</v>
      </c>
      <c r="I230" s="1285" t="s">
        <v>4170</v>
      </c>
      <c r="J230" s="1285" t="s">
        <v>1058</v>
      </c>
      <c r="K230" s="1285" t="s">
        <v>4166</v>
      </c>
      <c r="L230" s="1289" t="s">
        <v>2480</v>
      </c>
      <c r="M230" s="1290">
        <v>1.0</v>
      </c>
      <c r="N230" s="1297"/>
      <c r="O230" s="1297"/>
      <c r="P230" s="1297"/>
      <c r="Q230" s="1297"/>
      <c r="R230" s="1297"/>
      <c r="S230" s="1297"/>
    </row>
    <row r="231">
      <c r="A231" s="1288" t="s">
        <v>376</v>
      </c>
      <c r="B231" s="1288">
        <f t="shared" si="16"/>
        <v>24</v>
      </c>
      <c r="C231" s="1285">
        <f t="shared" si="2"/>
        <v>2</v>
      </c>
      <c r="D231" s="1285">
        <f t="shared" si="3"/>
        <v>19</v>
      </c>
      <c r="E231" s="1288"/>
      <c r="F231" s="1288"/>
      <c r="G231" s="1288">
        <v>2023.0</v>
      </c>
      <c r="H231" s="1288" t="s">
        <v>2036</v>
      </c>
      <c r="I231" s="1285" t="s">
        <v>4162</v>
      </c>
      <c r="J231" s="1285" t="s">
        <v>1058</v>
      </c>
      <c r="K231" s="1285" t="s">
        <v>4166</v>
      </c>
      <c r="L231" s="1289" t="s">
        <v>2480</v>
      </c>
      <c r="M231" s="1290">
        <v>1.0</v>
      </c>
      <c r="N231" s="1297"/>
      <c r="O231" s="1297"/>
      <c r="P231" s="1297"/>
      <c r="Q231" s="1297"/>
      <c r="R231" s="1297"/>
      <c r="S231" s="1297"/>
    </row>
    <row r="232">
      <c r="A232" s="1288" t="s">
        <v>2161</v>
      </c>
      <c r="B232" s="1288">
        <f t="shared" si="16"/>
        <v>46</v>
      </c>
      <c r="C232" s="1285">
        <f t="shared" si="2"/>
        <v>6</v>
      </c>
      <c r="D232" s="1285">
        <f t="shared" si="3"/>
        <v>30</v>
      </c>
      <c r="E232" s="1288"/>
      <c r="F232" s="1288"/>
      <c r="G232" s="1288">
        <v>2023.0</v>
      </c>
      <c r="H232" s="1288" t="s">
        <v>2036</v>
      </c>
      <c r="I232" s="1285" t="s">
        <v>4162</v>
      </c>
      <c r="J232" s="1285" t="s">
        <v>4161</v>
      </c>
      <c r="K232" s="1285" t="s">
        <v>1055</v>
      </c>
      <c r="L232" s="1289" t="s">
        <v>1724</v>
      </c>
      <c r="M232" s="1290">
        <v>3.0</v>
      </c>
      <c r="N232" s="1297"/>
      <c r="O232" s="1297"/>
      <c r="P232" s="1297"/>
      <c r="Q232" s="1297"/>
      <c r="R232" s="1297"/>
      <c r="S232" s="1297"/>
    </row>
    <row r="233">
      <c r="A233" s="1288" t="s">
        <v>2162</v>
      </c>
      <c r="B233" s="1288">
        <f t="shared" si="16"/>
        <v>113</v>
      </c>
      <c r="C233" s="1285">
        <f t="shared" si="2"/>
        <v>49</v>
      </c>
      <c r="D233" s="1285">
        <f t="shared" si="3"/>
        <v>47</v>
      </c>
      <c r="E233" s="1288"/>
      <c r="F233" s="1288"/>
      <c r="G233" s="1288">
        <v>2023.0</v>
      </c>
      <c r="H233" s="1288" t="s">
        <v>2037</v>
      </c>
      <c r="I233" s="1285" t="s">
        <v>4169</v>
      </c>
      <c r="J233" s="1285" t="s">
        <v>1058</v>
      </c>
      <c r="K233" s="1285" t="s">
        <v>4156</v>
      </c>
      <c r="L233" s="1289" t="s">
        <v>2480</v>
      </c>
      <c r="M233" s="1290">
        <v>8.0</v>
      </c>
      <c r="N233" s="1297"/>
      <c r="O233" s="1297"/>
      <c r="P233" s="1297"/>
      <c r="Q233" s="1297"/>
      <c r="R233" s="1297"/>
      <c r="S233" s="1297"/>
    </row>
    <row r="234">
      <c r="A234" s="1288" t="s">
        <v>2164</v>
      </c>
      <c r="B234" s="1288">
        <f t="shared" si="16"/>
        <v>12</v>
      </c>
      <c r="C234" s="1285">
        <f t="shared" si="2"/>
        <v>1</v>
      </c>
      <c r="D234" s="1285">
        <f t="shared" si="3"/>
        <v>11</v>
      </c>
      <c r="E234" s="1288"/>
      <c r="F234" s="1288"/>
      <c r="G234" s="1288">
        <v>2023.0</v>
      </c>
      <c r="H234" s="1288" t="s">
        <v>2037</v>
      </c>
      <c r="I234" s="1285" t="s">
        <v>4169</v>
      </c>
      <c r="J234" s="1285" t="s">
        <v>1058</v>
      </c>
      <c r="K234" s="1285" t="s">
        <v>4161</v>
      </c>
      <c r="L234" s="1289" t="s">
        <v>2480</v>
      </c>
      <c r="M234" s="1290">
        <v>1.0</v>
      </c>
      <c r="N234" s="1297"/>
      <c r="O234" s="1297"/>
      <c r="P234" s="1297"/>
      <c r="Q234" s="1297"/>
      <c r="R234" s="1297"/>
      <c r="S234" s="1297"/>
    </row>
    <row r="235">
      <c r="A235" s="1288" t="s">
        <v>2166</v>
      </c>
      <c r="B235" s="1288">
        <f t="shared" si="16"/>
        <v>45</v>
      </c>
      <c r="C235" s="1285">
        <f t="shared" si="2"/>
        <v>14</v>
      </c>
      <c r="D235" s="1285">
        <f t="shared" si="3"/>
        <v>18</v>
      </c>
      <c r="E235" s="1288"/>
      <c r="F235" s="1288"/>
      <c r="G235" s="1288">
        <v>2023.0</v>
      </c>
      <c r="H235" s="1288" t="s">
        <v>2037</v>
      </c>
      <c r="I235" s="1285" t="s">
        <v>4169</v>
      </c>
      <c r="J235" s="1285" t="s">
        <v>1058</v>
      </c>
      <c r="K235" s="1285" t="s">
        <v>4160</v>
      </c>
      <c r="L235" s="1289" t="s">
        <v>2480</v>
      </c>
      <c r="M235" s="1290">
        <v>1.0</v>
      </c>
      <c r="N235" s="1297"/>
      <c r="O235" s="1297"/>
      <c r="P235" s="1297"/>
      <c r="Q235" s="1297"/>
      <c r="R235" s="1297"/>
      <c r="S235" s="1297"/>
    </row>
    <row r="236">
      <c r="A236" s="1288" t="s">
        <v>2167</v>
      </c>
      <c r="B236" s="1288">
        <f t="shared" si="16"/>
        <v>76</v>
      </c>
      <c r="C236" s="1285">
        <f t="shared" si="2"/>
        <v>34</v>
      </c>
      <c r="D236" s="1285">
        <f t="shared" si="3"/>
        <v>29</v>
      </c>
      <c r="E236" s="1288"/>
      <c r="F236" s="1288"/>
      <c r="G236" s="1288">
        <v>2023.0</v>
      </c>
      <c r="H236" s="1288" t="s">
        <v>2037</v>
      </c>
      <c r="I236" s="1285" t="s">
        <v>4169</v>
      </c>
      <c r="J236" s="1285" t="s">
        <v>4161</v>
      </c>
      <c r="K236" s="1285" t="s">
        <v>4167</v>
      </c>
      <c r="L236" s="1289" t="s">
        <v>2480</v>
      </c>
      <c r="M236" s="1290">
        <v>1.0</v>
      </c>
      <c r="N236" s="1297"/>
      <c r="O236" s="1297"/>
      <c r="P236" s="1297"/>
      <c r="Q236" s="1297"/>
      <c r="R236" s="1297"/>
      <c r="S236" s="1297"/>
    </row>
    <row r="237">
      <c r="A237" s="1288" t="s">
        <v>2168</v>
      </c>
      <c r="B237" s="1288">
        <f t="shared" si="16"/>
        <v>222</v>
      </c>
      <c r="C237" s="1285">
        <f t="shared" si="2"/>
        <v>91</v>
      </c>
      <c r="D237" s="1285">
        <f t="shared" si="3"/>
        <v>85</v>
      </c>
      <c r="E237" s="1288"/>
      <c r="F237" s="1288"/>
      <c r="G237" s="1288">
        <v>2023.0</v>
      </c>
      <c r="H237" s="1288" t="s">
        <v>2037</v>
      </c>
      <c r="I237" s="1285" t="s">
        <v>4169</v>
      </c>
      <c r="J237" s="1285" t="s">
        <v>4161</v>
      </c>
      <c r="K237" s="1285" t="s">
        <v>1055</v>
      </c>
      <c r="L237" s="1289" t="s">
        <v>1724</v>
      </c>
      <c r="M237" s="1290">
        <v>8.0</v>
      </c>
      <c r="N237" s="1297"/>
      <c r="O237" s="1297"/>
      <c r="P237" s="1297"/>
      <c r="Q237" s="1297"/>
      <c r="R237" s="1297"/>
      <c r="S237" s="1297"/>
    </row>
    <row r="238">
      <c r="A238" s="1288" t="s">
        <v>2169</v>
      </c>
      <c r="B238" s="1288">
        <f t="shared" si="16"/>
        <v>204</v>
      </c>
      <c r="C238" s="1285">
        <f t="shared" si="2"/>
        <v>86</v>
      </c>
      <c r="D238" s="1285">
        <f t="shared" si="3"/>
        <v>63</v>
      </c>
      <c r="E238" s="1288"/>
      <c r="F238" s="1288"/>
      <c r="G238" s="1288">
        <v>2023.0</v>
      </c>
      <c r="H238" s="1288" t="s">
        <v>405</v>
      </c>
      <c r="I238" s="1285" t="s">
        <v>4176</v>
      </c>
      <c r="J238" s="1285" t="s">
        <v>1058</v>
      </c>
      <c r="K238" s="1285" t="s">
        <v>4163</v>
      </c>
      <c r="L238" s="1289" t="s">
        <v>2480</v>
      </c>
      <c r="M238" s="1290">
        <v>2.0</v>
      </c>
      <c r="N238" s="1297"/>
      <c r="O238" s="1297"/>
      <c r="P238" s="1297"/>
      <c r="Q238" s="1297"/>
      <c r="R238" s="1297"/>
      <c r="S238" s="1297"/>
    </row>
    <row r="239">
      <c r="A239" s="1288" t="s">
        <v>175</v>
      </c>
      <c r="B239" s="1288">
        <f t="shared" si="16"/>
        <v>62</v>
      </c>
      <c r="C239" s="1285">
        <f t="shared" si="2"/>
        <v>22</v>
      </c>
      <c r="D239" s="1285">
        <f t="shared" si="3"/>
        <v>32</v>
      </c>
      <c r="E239" s="1288"/>
      <c r="F239" s="1288"/>
      <c r="G239" s="1288">
        <v>2023.0</v>
      </c>
      <c r="H239" s="1288" t="s">
        <v>405</v>
      </c>
      <c r="I239" s="1285" t="s">
        <v>4176</v>
      </c>
      <c r="J239" s="1285" t="s">
        <v>1058</v>
      </c>
      <c r="K239" s="1285" t="s">
        <v>4156</v>
      </c>
      <c r="L239" s="1289" t="s">
        <v>2480</v>
      </c>
      <c r="M239" s="1290">
        <v>69.0</v>
      </c>
      <c r="N239" s="1297"/>
      <c r="O239" s="1297"/>
      <c r="P239" s="1297"/>
      <c r="Q239" s="1297"/>
      <c r="R239" s="1297"/>
      <c r="S239" s="1297"/>
    </row>
    <row r="240">
      <c r="A240" s="1288" t="s">
        <v>2170</v>
      </c>
      <c r="B240" s="1288">
        <f t="shared" si="16"/>
        <v>43</v>
      </c>
      <c r="C240" s="1285">
        <f t="shared" si="2"/>
        <v>20</v>
      </c>
      <c r="D240" s="1285">
        <f t="shared" si="3"/>
        <v>9</v>
      </c>
      <c r="E240" s="1288"/>
      <c r="F240" s="1288"/>
      <c r="G240" s="1288">
        <v>2023.0</v>
      </c>
      <c r="H240" s="1288" t="s">
        <v>405</v>
      </c>
      <c r="I240" s="1285" t="s">
        <v>4176</v>
      </c>
      <c r="J240" s="1285" t="s">
        <v>1058</v>
      </c>
      <c r="K240" s="1285" t="s">
        <v>4157</v>
      </c>
      <c r="L240" s="1289" t="s">
        <v>1724</v>
      </c>
      <c r="M240" s="1290">
        <v>2.0</v>
      </c>
      <c r="N240" s="1297"/>
      <c r="O240" s="1297"/>
      <c r="P240" s="1297"/>
      <c r="Q240" s="1297"/>
      <c r="R240" s="1297"/>
      <c r="S240" s="1297"/>
    </row>
    <row r="241">
      <c r="A241" s="1288" t="s">
        <v>1669</v>
      </c>
      <c r="B241" s="1288">
        <f t="shared" si="16"/>
        <v>52</v>
      </c>
      <c r="C241" s="1285">
        <f t="shared" si="2"/>
        <v>20</v>
      </c>
      <c r="D241" s="1285">
        <f t="shared" si="3"/>
        <v>18</v>
      </c>
      <c r="E241" s="1288"/>
      <c r="F241" s="1288"/>
      <c r="G241" s="1288">
        <v>2023.0</v>
      </c>
      <c r="H241" s="1288" t="s">
        <v>405</v>
      </c>
      <c r="I241" s="1285" t="s">
        <v>4176</v>
      </c>
      <c r="J241" s="1285" t="s">
        <v>1058</v>
      </c>
      <c r="K241" s="1285" t="s">
        <v>4158</v>
      </c>
      <c r="L241" s="1289" t="s">
        <v>2480</v>
      </c>
      <c r="M241" s="1290">
        <v>3.0</v>
      </c>
      <c r="N241" s="1297"/>
      <c r="O241" s="1297"/>
      <c r="P241" s="1297"/>
      <c r="Q241" s="1297"/>
      <c r="R241" s="1297"/>
      <c r="S241" s="1297"/>
    </row>
    <row r="242">
      <c r="A242" s="1288" t="s">
        <v>119</v>
      </c>
      <c r="B242" s="1288">
        <f t="shared" si="16"/>
        <v>62</v>
      </c>
      <c r="C242" s="1285">
        <f t="shared" si="2"/>
        <v>15</v>
      </c>
      <c r="D242" s="1285">
        <f t="shared" si="3"/>
        <v>38</v>
      </c>
      <c r="E242" s="1288"/>
      <c r="F242" s="1288"/>
      <c r="G242" s="1288">
        <v>2023.0</v>
      </c>
      <c r="H242" s="1288" t="s">
        <v>405</v>
      </c>
      <c r="I242" s="1285" t="s">
        <v>4176</v>
      </c>
      <c r="J242" s="1285" t="s">
        <v>1058</v>
      </c>
      <c r="K242" s="1285" t="s">
        <v>4159</v>
      </c>
      <c r="L242" s="1289" t="s">
        <v>1724</v>
      </c>
      <c r="M242" s="1290">
        <v>4.0</v>
      </c>
      <c r="N242" s="1297"/>
      <c r="O242" s="1297"/>
      <c r="P242" s="1297"/>
      <c r="Q242" s="1297"/>
      <c r="R242" s="1297"/>
      <c r="S242" s="1297"/>
    </row>
    <row r="243">
      <c r="A243" s="1288" t="s">
        <v>2172</v>
      </c>
      <c r="B243" s="1288">
        <f t="shared" si="16"/>
        <v>539</v>
      </c>
      <c r="C243" s="1285">
        <f t="shared" si="2"/>
        <v>257</v>
      </c>
      <c r="D243" s="1285">
        <f t="shared" si="3"/>
        <v>225</v>
      </c>
      <c r="E243" s="1288"/>
      <c r="F243" s="1288"/>
      <c r="G243" s="1288">
        <v>2023.0</v>
      </c>
      <c r="H243" s="1288" t="s">
        <v>405</v>
      </c>
      <c r="I243" s="1285" t="s">
        <v>4176</v>
      </c>
      <c r="J243" s="1285" t="s">
        <v>1058</v>
      </c>
      <c r="K243" s="1285" t="s">
        <v>4165</v>
      </c>
      <c r="L243" s="1289" t="s">
        <v>2480</v>
      </c>
      <c r="M243" s="1290">
        <v>7.0</v>
      </c>
      <c r="N243" s="1297"/>
      <c r="O243" s="1297"/>
      <c r="P243" s="1297"/>
      <c r="Q243" s="1297"/>
      <c r="R243" s="1297"/>
      <c r="S243" s="1297"/>
    </row>
    <row r="244">
      <c r="A244" s="1288" t="s">
        <v>2173</v>
      </c>
      <c r="B244" s="1288">
        <f t="shared" si="16"/>
        <v>79</v>
      </c>
      <c r="C244" s="1285">
        <f t="shared" si="2"/>
        <v>30</v>
      </c>
      <c r="D244" s="1285">
        <f t="shared" si="3"/>
        <v>45</v>
      </c>
      <c r="E244" s="1288"/>
      <c r="F244" s="1288"/>
      <c r="G244" s="1288">
        <v>2023.0</v>
      </c>
      <c r="H244" s="1288" t="s">
        <v>405</v>
      </c>
      <c r="I244" s="1285" t="s">
        <v>4176</v>
      </c>
      <c r="J244" s="1285" t="s">
        <v>1058</v>
      </c>
      <c r="K244" s="1285" t="s">
        <v>4166</v>
      </c>
      <c r="L244" s="1289" t="s">
        <v>2480</v>
      </c>
      <c r="M244" s="1290">
        <v>8.0</v>
      </c>
      <c r="N244" s="1297"/>
      <c r="O244" s="1297"/>
      <c r="P244" s="1297"/>
      <c r="Q244" s="1297"/>
      <c r="R244" s="1297"/>
      <c r="S244" s="1297"/>
    </row>
    <row r="245">
      <c r="A245" s="1288" t="s">
        <v>649</v>
      </c>
      <c r="B245" s="1288">
        <f t="shared" si="16"/>
        <v>12</v>
      </c>
      <c r="C245" s="1285">
        <f t="shared" si="2"/>
        <v>7</v>
      </c>
      <c r="D245" s="1285">
        <f t="shared" si="3"/>
        <v>4</v>
      </c>
      <c r="E245" s="1288"/>
      <c r="F245" s="1288"/>
      <c r="G245" s="1288">
        <v>2023.0</v>
      </c>
      <c r="H245" s="1288" t="s">
        <v>405</v>
      </c>
      <c r="I245" s="1285" t="s">
        <v>4176</v>
      </c>
      <c r="J245" s="1285" t="s">
        <v>1058</v>
      </c>
      <c r="K245" s="1285" t="s">
        <v>4161</v>
      </c>
      <c r="L245" s="1289" t="s">
        <v>2480</v>
      </c>
      <c r="M245" s="1290">
        <v>1.0</v>
      </c>
      <c r="N245" s="1297"/>
      <c r="O245" s="1297"/>
      <c r="P245" s="1297"/>
      <c r="Q245" s="1297"/>
      <c r="R245" s="1297"/>
      <c r="S245" s="1297"/>
    </row>
    <row r="246">
      <c r="A246" s="1288" t="s">
        <v>1020</v>
      </c>
      <c r="B246" s="1288">
        <f t="shared" si="16"/>
        <v>474</v>
      </c>
      <c r="C246" s="1285">
        <f t="shared" si="2"/>
        <v>207</v>
      </c>
      <c r="D246" s="1285">
        <f t="shared" si="3"/>
        <v>180</v>
      </c>
      <c r="E246" s="1288"/>
      <c r="F246" s="1288"/>
      <c r="G246" s="1288">
        <v>2023.0</v>
      </c>
      <c r="H246" s="1288" t="s">
        <v>405</v>
      </c>
      <c r="I246" s="1285" t="s">
        <v>4176</v>
      </c>
      <c r="J246" s="1285" t="s">
        <v>1058</v>
      </c>
      <c r="K246" s="1285" t="s">
        <v>4160</v>
      </c>
      <c r="L246" s="1289" t="s">
        <v>2480</v>
      </c>
      <c r="M246" s="1290">
        <v>17.0</v>
      </c>
      <c r="N246" s="1297"/>
      <c r="O246" s="1297"/>
      <c r="P246" s="1297"/>
      <c r="Q246" s="1297"/>
      <c r="R246" s="1297"/>
      <c r="S246" s="1297"/>
    </row>
    <row r="247">
      <c r="A247" s="1288" t="s">
        <v>2174</v>
      </c>
      <c r="B247" s="1288">
        <f t="shared" si="16"/>
        <v>65</v>
      </c>
      <c r="C247" s="1285">
        <f t="shared" si="2"/>
        <v>33</v>
      </c>
      <c r="D247" s="1285">
        <f t="shared" si="3"/>
        <v>21</v>
      </c>
      <c r="E247" s="1288"/>
      <c r="F247" s="1288"/>
      <c r="G247" s="1288">
        <v>2023.0</v>
      </c>
      <c r="H247" s="1288" t="s">
        <v>405</v>
      </c>
      <c r="I247" s="1285" t="s">
        <v>4176</v>
      </c>
      <c r="J247" s="1285" t="s">
        <v>4161</v>
      </c>
      <c r="K247" s="1285" t="s">
        <v>4167</v>
      </c>
      <c r="L247" s="1289" t="s">
        <v>2480</v>
      </c>
      <c r="M247" s="1290">
        <v>5.0</v>
      </c>
      <c r="N247" s="1297"/>
      <c r="O247" s="1297"/>
      <c r="P247" s="1297"/>
      <c r="Q247" s="1297"/>
      <c r="R247" s="1297"/>
      <c r="S247" s="1297"/>
    </row>
    <row r="248">
      <c r="A248" s="1288" t="s">
        <v>2176</v>
      </c>
      <c r="B248" s="1288">
        <f t="shared" si="16"/>
        <v>47</v>
      </c>
      <c r="C248" s="1285">
        <f t="shared" si="2"/>
        <v>22</v>
      </c>
      <c r="D248" s="1285">
        <f t="shared" si="3"/>
        <v>21</v>
      </c>
      <c r="E248" s="1288"/>
      <c r="F248" s="1288"/>
      <c r="G248" s="1288">
        <v>2023.0</v>
      </c>
      <c r="H248" s="1288" t="s">
        <v>405</v>
      </c>
      <c r="I248" s="1285" t="s">
        <v>4176</v>
      </c>
      <c r="J248" s="1285" t="s">
        <v>4161</v>
      </c>
      <c r="K248" s="1285" t="s">
        <v>1055</v>
      </c>
      <c r="L248" s="1289" t="s">
        <v>1724</v>
      </c>
      <c r="M248" s="1290">
        <v>67.0</v>
      </c>
      <c r="N248" s="1297"/>
      <c r="O248" s="1297"/>
      <c r="P248" s="1297"/>
      <c r="Q248" s="1297"/>
      <c r="R248" s="1297"/>
      <c r="S248" s="1297"/>
    </row>
    <row r="249">
      <c r="A249" s="1288" t="s">
        <v>627</v>
      </c>
      <c r="B249" s="1288">
        <f t="shared" si="16"/>
        <v>381</v>
      </c>
      <c r="C249" s="1285">
        <f t="shared" si="2"/>
        <v>100</v>
      </c>
      <c r="D249" s="1285">
        <f t="shared" si="3"/>
        <v>195</v>
      </c>
      <c r="E249" s="1288"/>
      <c r="F249" s="1288"/>
      <c r="G249" s="1288">
        <v>2023.0</v>
      </c>
      <c r="H249" s="1288" t="s">
        <v>405</v>
      </c>
      <c r="I249" s="1285" t="s">
        <v>4176</v>
      </c>
      <c r="J249" s="1285" t="s">
        <v>4161</v>
      </c>
      <c r="K249" s="1285" t="s">
        <v>4161</v>
      </c>
      <c r="L249" s="1289" t="s">
        <v>2480</v>
      </c>
      <c r="M249" s="1290">
        <v>4.0</v>
      </c>
      <c r="N249" s="1297"/>
      <c r="O249" s="1297"/>
      <c r="P249" s="1297"/>
      <c r="Q249" s="1297"/>
      <c r="R249" s="1297"/>
      <c r="S249" s="1297"/>
    </row>
    <row r="250">
      <c r="A250" s="1288" t="s">
        <v>1021</v>
      </c>
      <c r="B250" s="1288">
        <f t="shared" si="16"/>
        <v>80</v>
      </c>
      <c r="C250" s="1285">
        <f t="shared" si="2"/>
        <v>25</v>
      </c>
      <c r="D250" s="1285">
        <f t="shared" si="3"/>
        <v>27</v>
      </c>
      <c r="E250" s="1288"/>
      <c r="F250" s="1288"/>
      <c r="G250" s="1288">
        <v>2023.0</v>
      </c>
      <c r="H250" s="1288" t="s">
        <v>2038</v>
      </c>
      <c r="I250" s="1285" t="s">
        <v>4170</v>
      </c>
      <c r="J250" s="1285" t="s">
        <v>1058</v>
      </c>
      <c r="K250" s="1285" t="s">
        <v>4163</v>
      </c>
      <c r="L250" s="1289" t="s">
        <v>2480</v>
      </c>
      <c r="M250" s="1290">
        <v>1.0</v>
      </c>
      <c r="N250" s="1297"/>
      <c r="O250" s="1297"/>
      <c r="P250" s="1297"/>
      <c r="Q250" s="1297"/>
      <c r="R250" s="1297"/>
      <c r="S250" s="1297"/>
    </row>
    <row r="251">
      <c r="A251" s="1288" t="s">
        <v>2177</v>
      </c>
      <c r="B251" s="1288">
        <f t="shared" si="16"/>
        <v>16</v>
      </c>
      <c r="C251" s="1285">
        <f t="shared" si="2"/>
        <v>12</v>
      </c>
      <c r="D251" s="1285">
        <f t="shared" si="3"/>
        <v>4</v>
      </c>
      <c r="E251" s="1288"/>
      <c r="F251" s="1288"/>
      <c r="G251" s="1288">
        <v>2023.0</v>
      </c>
      <c r="H251" s="1288" t="s">
        <v>2038</v>
      </c>
      <c r="I251" s="1285" t="s">
        <v>4170</v>
      </c>
      <c r="J251" s="1285" t="s">
        <v>1058</v>
      </c>
      <c r="K251" s="1285" t="s">
        <v>4156</v>
      </c>
      <c r="L251" s="1289" t="s">
        <v>2480</v>
      </c>
      <c r="M251" s="1290">
        <v>1.0</v>
      </c>
      <c r="N251" s="1297"/>
      <c r="O251" s="1297"/>
      <c r="P251" s="1297"/>
      <c r="Q251" s="1297"/>
      <c r="R251" s="1297"/>
      <c r="S251" s="1297"/>
    </row>
    <row r="252">
      <c r="A252" s="1288" t="s">
        <v>2178</v>
      </c>
      <c r="B252" s="1288">
        <f t="shared" si="16"/>
        <v>160</v>
      </c>
      <c r="C252" s="1285">
        <f t="shared" si="2"/>
        <v>66</v>
      </c>
      <c r="D252" s="1285">
        <f t="shared" si="3"/>
        <v>72</v>
      </c>
      <c r="E252" s="1288"/>
      <c r="F252" s="1288"/>
      <c r="G252" s="1288">
        <v>2023.0</v>
      </c>
      <c r="H252" s="1288" t="s">
        <v>2038</v>
      </c>
      <c r="I252" s="1285" t="s">
        <v>4170</v>
      </c>
      <c r="J252" s="1285" t="s">
        <v>1058</v>
      </c>
      <c r="K252" s="1285" t="s">
        <v>4160</v>
      </c>
      <c r="L252" s="1289" t="s">
        <v>2480</v>
      </c>
      <c r="M252" s="1290">
        <v>1.0</v>
      </c>
      <c r="N252" s="1297"/>
      <c r="O252" s="1297"/>
      <c r="P252" s="1297"/>
      <c r="Q252" s="1297"/>
      <c r="R252" s="1297"/>
      <c r="S252" s="1297"/>
    </row>
    <row r="253">
      <c r="A253" s="1288" t="s">
        <v>1703</v>
      </c>
      <c r="B253" s="1288">
        <f t="shared" si="16"/>
        <v>76</v>
      </c>
      <c r="C253" s="1285">
        <f t="shared" si="2"/>
        <v>36</v>
      </c>
      <c r="D253" s="1285">
        <f t="shared" si="3"/>
        <v>32</v>
      </c>
      <c r="E253" s="1288"/>
      <c r="F253" s="1288"/>
      <c r="G253" s="1288">
        <v>2023.0</v>
      </c>
      <c r="H253" s="1288" t="s">
        <v>36</v>
      </c>
      <c r="I253" s="1285" t="s">
        <v>4172</v>
      </c>
      <c r="J253" s="1285" t="s">
        <v>1058</v>
      </c>
      <c r="K253" s="1285" t="s">
        <v>4165</v>
      </c>
      <c r="L253" s="1289" t="s">
        <v>2480</v>
      </c>
      <c r="M253" s="1290">
        <v>1.0</v>
      </c>
      <c r="N253" s="1297"/>
      <c r="O253" s="1297"/>
      <c r="P253" s="1297"/>
      <c r="Q253" s="1297"/>
      <c r="R253" s="1297"/>
      <c r="S253" s="1297"/>
    </row>
    <row r="254">
      <c r="A254" s="1288" t="s">
        <v>2179</v>
      </c>
      <c r="B254" s="1288">
        <f t="shared" si="16"/>
        <v>17</v>
      </c>
      <c r="C254" s="1285">
        <f t="shared" si="2"/>
        <v>1</v>
      </c>
      <c r="D254" s="1285">
        <f t="shared" si="3"/>
        <v>7</v>
      </c>
      <c r="E254" s="1288"/>
      <c r="F254" s="1288"/>
      <c r="G254" s="1288">
        <v>2023.0</v>
      </c>
      <c r="H254" s="1288" t="s">
        <v>2039</v>
      </c>
      <c r="I254" s="1285" t="s">
        <v>4171</v>
      </c>
      <c r="J254" s="1285" t="s">
        <v>1058</v>
      </c>
      <c r="K254" s="1285" t="s">
        <v>4163</v>
      </c>
      <c r="L254" s="1289" t="s">
        <v>2480</v>
      </c>
      <c r="M254" s="1290">
        <v>8.0</v>
      </c>
      <c r="N254" s="1297"/>
      <c r="O254" s="1297"/>
      <c r="P254" s="1297"/>
      <c r="Q254" s="1297"/>
      <c r="R254" s="1297"/>
      <c r="S254" s="1297"/>
    </row>
    <row r="255">
      <c r="A255" s="1288" t="s">
        <v>2181</v>
      </c>
      <c r="B255" s="1288">
        <f t="shared" si="16"/>
        <v>50</v>
      </c>
      <c r="C255" s="1285">
        <f t="shared" si="2"/>
        <v>29</v>
      </c>
      <c r="D255" s="1285">
        <f t="shared" si="3"/>
        <v>16</v>
      </c>
      <c r="E255" s="1288"/>
      <c r="F255" s="1288"/>
      <c r="G255" s="1288">
        <v>2023.0</v>
      </c>
      <c r="H255" s="1288" t="s">
        <v>2039</v>
      </c>
      <c r="I255" s="1285" t="s">
        <v>4171</v>
      </c>
      <c r="J255" s="1285" t="s">
        <v>1058</v>
      </c>
      <c r="K255" s="1285" t="s">
        <v>4156</v>
      </c>
      <c r="L255" s="1289" t="s">
        <v>2480</v>
      </c>
      <c r="M255" s="1290">
        <v>36.0</v>
      </c>
      <c r="N255" s="1297"/>
      <c r="O255" s="1297"/>
      <c r="P255" s="1297"/>
      <c r="Q255" s="1297"/>
      <c r="R255" s="1297"/>
      <c r="S255" s="1297"/>
    </row>
    <row r="256">
      <c r="A256" s="1288" t="s">
        <v>2182</v>
      </c>
      <c r="B256" s="1288">
        <f t="shared" si="16"/>
        <v>49</v>
      </c>
      <c r="C256" s="1285">
        <f t="shared" si="2"/>
        <v>14</v>
      </c>
      <c r="D256" s="1285">
        <f t="shared" si="3"/>
        <v>33</v>
      </c>
      <c r="E256" s="1288"/>
      <c r="F256" s="1288"/>
      <c r="G256" s="1288">
        <v>2023.0</v>
      </c>
      <c r="H256" s="1288" t="s">
        <v>2039</v>
      </c>
      <c r="I256" s="1285" t="s">
        <v>4171</v>
      </c>
      <c r="J256" s="1285" t="s">
        <v>1058</v>
      </c>
      <c r="K256" s="1285" t="s">
        <v>4157</v>
      </c>
      <c r="L256" s="1289" t="s">
        <v>1724</v>
      </c>
      <c r="M256" s="1290">
        <v>7.0</v>
      </c>
      <c r="N256" s="1297"/>
      <c r="O256" s="1297"/>
      <c r="P256" s="1297"/>
      <c r="Q256" s="1297"/>
      <c r="R256" s="1297"/>
      <c r="S256" s="1297"/>
    </row>
    <row r="257">
      <c r="A257" s="1288" t="s">
        <v>2183</v>
      </c>
      <c r="B257" s="1288">
        <f t="shared" si="16"/>
        <v>50</v>
      </c>
      <c r="C257" s="1285">
        <f t="shared" si="2"/>
        <v>7</v>
      </c>
      <c r="D257" s="1285">
        <f t="shared" si="3"/>
        <v>36</v>
      </c>
      <c r="E257" s="1288"/>
      <c r="F257" s="1288"/>
      <c r="G257" s="1288">
        <v>2023.0</v>
      </c>
      <c r="H257" s="1288" t="s">
        <v>2039</v>
      </c>
      <c r="I257" s="1285" t="s">
        <v>4171</v>
      </c>
      <c r="J257" s="1285" t="s">
        <v>1058</v>
      </c>
      <c r="K257" s="1285" t="s">
        <v>4165</v>
      </c>
      <c r="L257" s="1289" t="s">
        <v>2480</v>
      </c>
      <c r="M257" s="1290">
        <v>3.0</v>
      </c>
      <c r="N257" s="1297"/>
      <c r="O257" s="1297"/>
      <c r="P257" s="1297"/>
      <c r="Q257" s="1297"/>
      <c r="R257" s="1297"/>
      <c r="S257" s="1297"/>
    </row>
    <row r="258">
      <c r="A258" s="1288"/>
      <c r="B258" s="1288"/>
      <c r="C258" s="1288"/>
      <c r="D258" s="1288"/>
      <c r="E258" s="1288"/>
      <c r="F258" s="1288"/>
      <c r="G258" s="1288">
        <v>2023.0</v>
      </c>
      <c r="H258" s="1288" t="s">
        <v>2039</v>
      </c>
      <c r="I258" s="1285" t="s">
        <v>4171</v>
      </c>
      <c r="J258" s="1285" t="s">
        <v>1058</v>
      </c>
      <c r="K258" s="1285" t="s">
        <v>4166</v>
      </c>
      <c r="L258" s="1289" t="s">
        <v>2480</v>
      </c>
      <c r="M258" s="1290">
        <v>3.0</v>
      </c>
      <c r="N258" s="1297"/>
      <c r="O258" s="1297"/>
      <c r="P258" s="1297"/>
      <c r="Q258" s="1297"/>
      <c r="R258" s="1297"/>
      <c r="S258" s="1297"/>
    </row>
    <row r="259">
      <c r="A259" s="1303" t="s">
        <v>2</v>
      </c>
      <c r="B259" s="1304">
        <f>SUM(B4:B257)</f>
        <v>19788</v>
      </c>
      <c r="C259" s="1305">
        <f>sumifs($M$4:$M$1494,$K$4:$K$1494,"CPA Non-Relative Foster Home")+sumifs($M$4:$M$1494,$K$4:$K$1494,"DFPS Non-Relative Foster Home")</f>
        <v>7794</v>
      </c>
      <c r="D259" s="1305">
        <f>sumifs($M$4:$M$1494,$K$4:$K$1494,"CPA Relative Foster Home")+sumifs($M$4:$M$1494,$K$4:$K$1494,"DFPS Relative Foster Home")+sumifs($M$4:$M$1494,$K$4:$K$1494,"Kinship Care")</f>
        <v>7837</v>
      </c>
      <c r="E259" s="1288"/>
      <c r="F259" s="1288"/>
      <c r="G259" s="1288">
        <v>2023.0</v>
      </c>
      <c r="H259" s="1288" t="s">
        <v>2039</v>
      </c>
      <c r="I259" s="1285" t="s">
        <v>4171</v>
      </c>
      <c r="J259" s="1285" t="s">
        <v>1058</v>
      </c>
      <c r="K259" s="1285" t="s">
        <v>4161</v>
      </c>
      <c r="L259" s="1289" t="s">
        <v>2480</v>
      </c>
      <c r="M259" s="1290">
        <v>1.0</v>
      </c>
      <c r="N259" s="1297"/>
      <c r="O259" s="1297"/>
      <c r="P259" s="1297"/>
      <c r="Q259" s="1297"/>
      <c r="R259" s="1297"/>
      <c r="S259" s="1297"/>
    </row>
    <row r="260">
      <c r="A260" s="1288"/>
      <c r="B260" s="1288"/>
      <c r="C260" s="1288"/>
      <c r="D260" s="1288"/>
      <c r="E260" s="1288"/>
      <c r="F260" s="1288"/>
      <c r="G260" s="1288">
        <v>2023.0</v>
      </c>
      <c r="H260" s="1288" t="s">
        <v>2039</v>
      </c>
      <c r="I260" s="1285" t="s">
        <v>4171</v>
      </c>
      <c r="J260" s="1285" t="s">
        <v>1058</v>
      </c>
      <c r="K260" s="1285" t="s">
        <v>4160</v>
      </c>
      <c r="L260" s="1289" t="s">
        <v>2480</v>
      </c>
      <c r="M260" s="1290">
        <v>6.0</v>
      </c>
      <c r="N260" s="1297"/>
      <c r="O260" s="1297"/>
      <c r="P260" s="1297"/>
      <c r="Q260" s="1297"/>
      <c r="R260" s="1297"/>
      <c r="S260" s="1297"/>
    </row>
    <row r="261">
      <c r="A261" s="1288"/>
      <c r="B261" s="1288"/>
      <c r="C261" s="1288"/>
      <c r="D261" s="1288"/>
      <c r="E261" s="1288"/>
      <c r="F261" s="1288"/>
      <c r="G261" s="1288">
        <v>2023.0</v>
      </c>
      <c r="H261" s="1288" t="s">
        <v>2039</v>
      </c>
      <c r="I261" s="1285" t="s">
        <v>4171</v>
      </c>
      <c r="J261" s="1285" t="s">
        <v>4161</v>
      </c>
      <c r="K261" s="1285" t="s">
        <v>4167</v>
      </c>
      <c r="L261" s="1289" t="s">
        <v>2480</v>
      </c>
      <c r="M261" s="1290">
        <v>4.0</v>
      </c>
      <c r="N261" s="1297"/>
      <c r="O261" s="1297"/>
      <c r="P261" s="1297"/>
      <c r="Q261" s="1297"/>
      <c r="R261" s="1297"/>
      <c r="S261" s="1297"/>
    </row>
    <row r="262">
      <c r="A262" s="1288"/>
      <c r="B262" s="1288"/>
      <c r="C262" s="1288"/>
      <c r="D262" s="1288"/>
      <c r="E262" s="1288"/>
      <c r="F262" s="1288"/>
      <c r="G262" s="1288">
        <v>2023.0</v>
      </c>
      <c r="H262" s="1288" t="s">
        <v>2039</v>
      </c>
      <c r="I262" s="1285" t="s">
        <v>4171</v>
      </c>
      <c r="J262" s="1285" t="s">
        <v>4161</v>
      </c>
      <c r="K262" s="1285" t="s">
        <v>1055</v>
      </c>
      <c r="L262" s="1289" t="s">
        <v>1724</v>
      </c>
      <c r="M262" s="1290">
        <v>52.0</v>
      </c>
      <c r="N262" s="1297"/>
      <c r="O262" s="1297"/>
      <c r="P262" s="1297"/>
      <c r="Q262" s="1297"/>
      <c r="R262" s="1297"/>
      <c r="S262" s="1297"/>
    </row>
    <row r="263">
      <c r="A263" s="1288"/>
      <c r="B263" s="1288"/>
      <c r="C263" s="1288"/>
      <c r="D263" s="1288"/>
      <c r="E263" s="1288"/>
      <c r="F263" s="1288"/>
      <c r="G263" s="1288">
        <v>2023.0</v>
      </c>
      <c r="H263" s="1288" t="s">
        <v>2039</v>
      </c>
      <c r="I263" s="1285" t="s">
        <v>4171</v>
      </c>
      <c r="J263" s="1285" t="s">
        <v>4161</v>
      </c>
      <c r="K263" s="1285" t="s">
        <v>4161</v>
      </c>
      <c r="L263" s="1289" t="s">
        <v>2480</v>
      </c>
      <c r="M263" s="1290">
        <v>6.0</v>
      </c>
      <c r="N263" s="1297"/>
      <c r="O263" s="1297"/>
      <c r="P263" s="1297"/>
      <c r="Q263" s="1297"/>
      <c r="R263" s="1297"/>
      <c r="S263" s="1297"/>
    </row>
    <row r="264">
      <c r="A264" s="1288"/>
      <c r="B264" s="1288"/>
      <c r="C264" s="1288"/>
      <c r="D264" s="1288"/>
      <c r="E264" s="1288"/>
      <c r="F264" s="1288"/>
      <c r="G264" s="1288">
        <v>2023.0</v>
      </c>
      <c r="H264" s="1288" t="s">
        <v>964</v>
      </c>
      <c r="I264" s="1285" t="s">
        <v>4169</v>
      </c>
      <c r="J264" s="1285" t="s">
        <v>1058</v>
      </c>
      <c r="K264" s="1285" t="s">
        <v>4163</v>
      </c>
      <c r="L264" s="1289" t="s">
        <v>2480</v>
      </c>
      <c r="M264" s="1290">
        <v>3.0</v>
      </c>
      <c r="N264" s="1297"/>
      <c r="O264" s="1297"/>
      <c r="P264" s="1297"/>
      <c r="Q264" s="1297"/>
      <c r="R264" s="1297"/>
      <c r="S264" s="1297"/>
    </row>
    <row r="265">
      <c r="A265" s="1288"/>
      <c r="B265" s="1288"/>
      <c r="C265" s="1288"/>
      <c r="D265" s="1288"/>
      <c r="E265" s="1288"/>
      <c r="F265" s="1288"/>
      <c r="G265" s="1288">
        <v>2023.0</v>
      </c>
      <c r="H265" s="1288" t="s">
        <v>964</v>
      </c>
      <c r="I265" s="1285" t="s">
        <v>4169</v>
      </c>
      <c r="J265" s="1285" t="s">
        <v>1058</v>
      </c>
      <c r="K265" s="1285" t="s">
        <v>4156</v>
      </c>
      <c r="L265" s="1289" t="s">
        <v>2480</v>
      </c>
      <c r="M265" s="1290">
        <v>18.0</v>
      </c>
      <c r="N265" s="1297"/>
      <c r="O265" s="1297"/>
      <c r="P265" s="1297"/>
      <c r="Q265" s="1297"/>
      <c r="R265" s="1297"/>
      <c r="S265" s="1297"/>
    </row>
    <row r="266">
      <c r="A266" s="1288"/>
      <c r="B266" s="1288"/>
      <c r="C266" s="1288"/>
      <c r="D266" s="1288"/>
      <c r="E266" s="1288"/>
      <c r="F266" s="1288"/>
      <c r="G266" s="1288">
        <v>2023.0</v>
      </c>
      <c r="H266" s="1288" t="s">
        <v>964</v>
      </c>
      <c r="I266" s="1285" t="s">
        <v>4169</v>
      </c>
      <c r="J266" s="1285" t="s">
        <v>1058</v>
      </c>
      <c r="K266" s="1285" t="s">
        <v>4165</v>
      </c>
      <c r="L266" s="1289" t="s">
        <v>2480</v>
      </c>
      <c r="M266" s="1290">
        <v>4.0</v>
      </c>
      <c r="N266" s="1297"/>
      <c r="O266" s="1297"/>
      <c r="P266" s="1297"/>
      <c r="Q266" s="1297"/>
      <c r="R266" s="1297"/>
      <c r="S266" s="1297"/>
    </row>
    <row r="267">
      <c r="A267" s="1288"/>
      <c r="B267" s="1288"/>
      <c r="C267" s="1288"/>
      <c r="D267" s="1288"/>
      <c r="E267" s="1288"/>
      <c r="F267" s="1288"/>
      <c r="G267" s="1288">
        <v>2023.0</v>
      </c>
      <c r="H267" s="1288" t="s">
        <v>964</v>
      </c>
      <c r="I267" s="1285" t="s">
        <v>4169</v>
      </c>
      <c r="J267" s="1285" t="s">
        <v>1058</v>
      </c>
      <c r="K267" s="1285" t="s">
        <v>4161</v>
      </c>
      <c r="L267" s="1289" t="s">
        <v>2480</v>
      </c>
      <c r="M267" s="1290">
        <v>1.0</v>
      </c>
    </row>
    <row r="268">
      <c r="A268" s="1288"/>
      <c r="B268" s="1288"/>
      <c r="C268" s="1288"/>
      <c r="D268" s="1288"/>
      <c r="E268" s="1288"/>
      <c r="F268" s="1288"/>
      <c r="G268" s="1288">
        <v>2023.0</v>
      </c>
      <c r="H268" s="1288" t="s">
        <v>964</v>
      </c>
      <c r="I268" s="1285" t="s">
        <v>4169</v>
      </c>
      <c r="J268" s="1285" t="s">
        <v>1058</v>
      </c>
      <c r="K268" s="1285" t="s">
        <v>4160</v>
      </c>
      <c r="L268" s="1289" t="s">
        <v>2480</v>
      </c>
      <c r="M268" s="1290">
        <v>4.0</v>
      </c>
    </row>
    <row r="269">
      <c r="A269" s="1288"/>
      <c r="B269" s="1288"/>
      <c r="C269" s="1288"/>
      <c r="D269" s="1288"/>
      <c r="E269" s="1288"/>
      <c r="F269" s="1288"/>
      <c r="G269" s="1288">
        <v>2023.0</v>
      </c>
      <c r="H269" s="1288" t="s">
        <v>964</v>
      </c>
      <c r="I269" s="1285" t="s">
        <v>4169</v>
      </c>
      <c r="J269" s="1285" t="s">
        <v>4161</v>
      </c>
      <c r="K269" s="1285" t="s">
        <v>1055</v>
      </c>
      <c r="L269" s="1289" t="s">
        <v>1724</v>
      </c>
      <c r="M269" s="1290">
        <v>15.0</v>
      </c>
    </row>
    <row r="270">
      <c r="A270" s="1288"/>
      <c r="B270" s="1288"/>
      <c r="C270" s="1288"/>
      <c r="D270" s="1288"/>
      <c r="E270" s="1288"/>
      <c r="F270" s="1288"/>
      <c r="G270" s="1288">
        <v>2023.0</v>
      </c>
      <c r="H270" s="1288" t="s">
        <v>964</v>
      </c>
      <c r="I270" s="1285" t="s">
        <v>4169</v>
      </c>
      <c r="J270" s="1285" t="s">
        <v>4161</v>
      </c>
      <c r="K270" s="1285" t="s">
        <v>4161</v>
      </c>
      <c r="L270" s="1289" t="s">
        <v>2480</v>
      </c>
      <c r="M270" s="1290">
        <v>1.0</v>
      </c>
      <c r="N270" s="500"/>
      <c r="O270" s="500"/>
      <c r="P270" s="500"/>
      <c r="Q270" s="500"/>
      <c r="R270" s="500"/>
      <c r="S270" s="500"/>
      <c r="T270" s="500"/>
      <c r="U270" s="500"/>
      <c r="V270" s="500"/>
      <c r="W270" s="500"/>
      <c r="X270" s="500"/>
      <c r="Y270" s="500"/>
      <c r="Z270" s="500"/>
    </row>
    <row r="271">
      <c r="A271" s="1306"/>
      <c r="B271" s="1306"/>
      <c r="C271" s="1306"/>
      <c r="D271" s="1306"/>
      <c r="E271" s="1306"/>
      <c r="F271" s="1306"/>
      <c r="G271" s="1306">
        <v>2023.0</v>
      </c>
      <c r="H271" s="1288" t="s">
        <v>2042</v>
      </c>
      <c r="I271" s="1307" t="s">
        <v>4176</v>
      </c>
      <c r="J271" s="1307" t="s">
        <v>1058</v>
      </c>
      <c r="K271" s="1307" t="s">
        <v>4156</v>
      </c>
      <c r="L271" s="1308" t="s">
        <v>2480</v>
      </c>
      <c r="M271" s="1309">
        <v>13.0</v>
      </c>
      <c r="N271" s="501"/>
      <c r="O271" s="501"/>
      <c r="P271" s="501"/>
      <c r="Q271" s="501"/>
      <c r="R271" s="501"/>
      <c r="S271" s="501"/>
      <c r="T271" s="482"/>
      <c r="U271" s="510"/>
      <c r="V271" s="1310"/>
      <c r="W271" s="1310"/>
      <c r="X271" s="1311"/>
      <c r="Y271" s="485"/>
    </row>
    <row r="272">
      <c r="A272" s="1306"/>
      <c r="B272" s="1306"/>
      <c r="C272" s="1306"/>
      <c r="D272" s="1306"/>
      <c r="E272" s="1306"/>
      <c r="F272" s="1306"/>
      <c r="G272" s="1306">
        <v>2023.0</v>
      </c>
      <c r="H272" s="1288" t="s">
        <v>2042</v>
      </c>
      <c r="I272" s="1307" t="s">
        <v>4176</v>
      </c>
      <c r="J272" s="1307" t="s">
        <v>1058</v>
      </c>
      <c r="K272" s="1307" t="s">
        <v>4157</v>
      </c>
      <c r="L272" s="1308" t="s">
        <v>1724</v>
      </c>
      <c r="M272" s="1309">
        <v>1.0</v>
      </c>
      <c r="N272" s="501"/>
      <c r="O272" s="501"/>
      <c r="P272" s="501"/>
      <c r="Q272" s="501"/>
      <c r="R272" s="501"/>
      <c r="S272" s="501"/>
      <c r="T272" s="482"/>
      <c r="U272" s="510"/>
      <c r="V272" s="485"/>
      <c r="W272" s="485"/>
      <c r="X272" s="485"/>
      <c r="Y272" s="486"/>
    </row>
    <row r="273">
      <c r="A273" s="1306"/>
      <c r="B273" s="1306"/>
      <c r="C273" s="1306"/>
      <c r="D273" s="1306"/>
      <c r="E273" s="1306"/>
      <c r="F273" s="1306"/>
      <c r="G273" s="1306">
        <v>2023.0</v>
      </c>
      <c r="H273" s="1288" t="s">
        <v>2042</v>
      </c>
      <c r="I273" s="1307" t="s">
        <v>4176</v>
      </c>
      <c r="J273" s="1307" t="s">
        <v>1058</v>
      </c>
      <c r="K273" s="1307" t="s">
        <v>4165</v>
      </c>
      <c r="L273" s="1308" t="s">
        <v>2480</v>
      </c>
      <c r="M273" s="1309">
        <v>1.0</v>
      </c>
      <c r="N273" s="501"/>
      <c r="O273" s="501"/>
      <c r="P273" s="501"/>
      <c r="Q273" s="501"/>
      <c r="R273" s="501"/>
      <c r="S273" s="501"/>
      <c r="T273" s="482"/>
      <c r="U273" s="510"/>
      <c r="V273" s="485"/>
      <c r="W273" s="485"/>
      <c r="X273" s="485"/>
      <c r="Y273" s="486"/>
    </row>
    <row r="274">
      <c r="A274" s="1312"/>
      <c r="B274" s="1312"/>
      <c r="C274" s="1312"/>
      <c r="D274" s="1312"/>
      <c r="E274" s="1312"/>
      <c r="F274" s="1312"/>
      <c r="G274" s="1312">
        <v>2023.0</v>
      </c>
      <c r="H274" s="1288" t="s">
        <v>2042</v>
      </c>
      <c r="I274" s="1313" t="s">
        <v>4176</v>
      </c>
      <c r="J274" s="1313" t="s">
        <v>1058</v>
      </c>
      <c r="K274" s="1313" t="s">
        <v>4161</v>
      </c>
      <c r="L274" s="1314" t="s">
        <v>2480</v>
      </c>
      <c r="M274" s="1315">
        <v>1.0</v>
      </c>
      <c r="N274" s="501"/>
      <c r="O274" s="501"/>
      <c r="P274" s="501"/>
      <c r="Q274" s="501"/>
      <c r="R274" s="501"/>
      <c r="S274" s="502"/>
      <c r="T274" s="485"/>
      <c r="U274" s="510"/>
      <c r="V274" s="485"/>
      <c r="W274" s="485"/>
      <c r="X274" s="485"/>
      <c r="Y274" s="486"/>
    </row>
    <row r="275">
      <c r="A275" s="1312"/>
      <c r="B275" s="1312"/>
      <c r="C275" s="1312"/>
      <c r="D275" s="1312"/>
      <c r="E275" s="1312"/>
      <c r="F275" s="1312"/>
      <c r="G275" s="1312">
        <v>2023.0</v>
      </c>
      <c r="H275" s="1306" t="s">
        <v>2042</v>
      </c>
      <c r="I275" s="1312" t="s">
        <v>4176</v>
      </c>
      <c r="J275" s="1316" t="s">
        <v>1058</v>
      </c>
      <c r="K275" s="1316" t="s">
        <v>4160</v>
      </c>
      <c r="L275" s="1289" t="s">
        <v>2480</v>
      </c>
      <c r="M275" s="1317">
        <v>2.0</v>
      </c>
      <c r="N275" s="501"/>
      <c r="O275" s="501"/>
      <c r="P275" s="501"/>
      <c r="Q275" s="501"/>
      <c r="R275" s="501"/>
      <c r="S275" s="501"/>
      <c r="T275" s="482"/>
      <c r="U275" s="510"/>
      <c r="V275" s="485"/>
      <c r="W275" s="485"/>
      <c r="X275" s="485"/>
      <c r="Y275" s="486"/>
    </row>
    <row r="276">
      <c r="A276" s="1312"/>
      <c r="B276" s="1312"/>
      <c r="C276" s="1312"/>
      <c r="D276" s="1312"/>
      <c r="E276" s="1312"/>
      <c r="F276" s="1312"/>
      <c r="G276" s="1312">
        <v>2023.0</v>
      </c>
      <c r="H276" s="1312" t="s">
        <v>2042</v>
      </c>
      <c r="I276" s="1312" t="s">
        <v>4176</v>
      </c>
      <c r="J276" s="1316" t="s">
        <v>4161</v>
      </c>
      <c r="K276" s="1316" t="s">
        <v>1055</v>
      </c>
      <c r="L276" s="1289" t="s">
        <v>1724</v>
      </c>
      <c r="M276" s="1317">
        <v>17.0</v>
      </c>
      <c r="N276" s="501"/>
      <c r="O276" s="501"/>
      <c r="P276" s="501"/>
      <c r="Q276" s="501"/>
      <c r="R276" s="501"/>
      <c r="S276" s="501"/>
      <c r="T276" s="482"/>
      <c r="U276" s="510"/>
      <c r="V276" s="485"/>
      <c r="W276" s="485"/>
      <c r="X276" s="485"/>
      <c r="Y276" s="486"/>
    </row>
    <row r="277">
      <c r="A277" s="1312"/>
      <c r="B277" s="1312"/>
      <c r="C277" s="1312"/>
      <c r="D277" s="1312"/>
      <c r="E277" s="1312"/>
      <c r="F277" s="1312"/>
      <c r="G277" s="1312">
        <v>2023.0</v>
      </c>
      <c r="H277" s="1312" t="s">
        <v>2042</v>
      </c>
      <c r="I277" s="1316" t="s">
        <v>4176</v>
      </c>
      <c r="J277" s="1316" t="s">
        <v>4161</v>
      </c>
      <c r="K277" s="1316" t="s">
        <v>4161</v>
      </c>
      <c r="L277" s="1289" t="s">
        <v>2480</v>
      </c>
      <c r="M277" s="1317">
        <v>2.0</v>
      </c>
      <c r="N277" s="501"/>
      <c r="O277" s="501"/>
      <c r="P277" s="501"/>
      <c r="Q277" s="501"/>
      <c r="R277" s="501"/>
      <c r="S277" s="501"/>
      <c r="T277" s="482"/>
      <c r="U277" s="510"/>
      <c r="V277" s="485"/>
      <c r="W277" s="485"/>
      <c r="X277" s="485"/>
      <c r="Y277" s="486"/>
    </row>
    <row r="278">
      <c r="A278" s="1312"/>
      <c r="B278" s="1312"/>
      <c r="C278" s="1312"/>
      <c r="D278" s="1312"/>
      <c r="E278" s="1312"/>
      <c r="F278" s="1312"/>
      <c r="G278" s="1312">
        <v>2023.0</v>
      </c>
      <c r="H278" s="1312" t="s">
        <v>2043</v>
      </c>
      <c r="I278" s="1316" t="s">
        <v>4173</v>
      </c>
      <c r="J278" s="1316" t="s">
        <v>1058</v>
      </c>
      <c r="K278" s="1316" t="s">
        <v>4163</v>
      </c>
      <c r="L278" s="1289" t="s">
        <v>2480</v>
      </c>
      <c r="M278" s="1317">
        <v>1.0</v>
      </c>
      <c r="N278" s="501"/>
      <c r="O278" s="501"/>
      <c r="P278" s="501"/>
      <c r="Q278" s="501"/>
      <c r="R278" s="501"/>
      <c r="S278" s="501"/>
      <c r="T278" s="482"/>
      <c r="U278" s="510"/>
      <c r="V278" s="485"/>
      <c r="W278" s="485"/>
      <c r="X278" s="485"/>
      <c r="Y278" s="486"/>
    </row>
    <row r="279">
      <c r="A279" s="1312"/>
      <c r="B279" s="1312"/>
      <c r="C279" s="1312"/>
      <c r="D279" s="1312"/>
      <c r="E279" s="1312"/>
      <c r="F279" s="1312"/>
      <c r="G279" s="1312">
        <v>2023.0</v>
      </c>
      <c r="H279" s="1312" t="s">
        <v>2043</v>
      </c>
      <c r="I279" s="1316" t="s">
        <v>4173</v>
      </c>
      <c r="J279" s="1316" t="s">
        <v>1058</v>
      </c>
      <c r="K279" s="1316" t="s">
        <v>4156</v>
      </c>
      <c r="L279" s="1289" t="s">
        <v>2480</v>
      </c>
      <c r="M279" s="1317">
        <v>17.0</v>
      </c>
      <c r="N279" s="501"/>
      <c r="O279" s="501"/>
      <c r="P279" s="501"/>
      <c r="Q279" s="501"/>
      <c r="R279" s="501"/>
      <c r="S279" s="501"/>
      <c r="T279" s="485"/>
      <c r="U279" s="510"/>
      <c r="V279" s="485"/>
      <c r="W279" s="485"/>
      <c r="X279" s="485"/>
      <c r="Y279" s="486"/>
    </row>
    <row r="280">
      <c r="A280" s="1312"/>
      <c r="B280" s="1312"/>
      <c r="C280" s="1312"/>
      <c r="D280" s="1312"/>
      <c r="E280" s="1312"/>
      <c r="F280" s="1312"/>
      <c r="G280" s="1312">
        <v>2023.0</v>
      </c>
      <c r="H280" s="1312" t="s">
        <v>2043</v>
      </c>
      <c r="I280" s="1316" t="s">
        <v>4173</v>
      </c>
      <c r="J280" s="1316" t="s">
        <v>1058</v>
      </c>
      <c r="K280" s="1316" t="s">
        <v>4157</v>
      </c>
      <c r="L280" s="1289" t="s">
        <v>1724</v>
      </c>
      <c r="M280" s="1317">
        <v>1.0</v>
      </c>
      <c r="N280" s="501"/>
      <c r="O280" s="501"/>
      <c r="P280" s="501"/>
      <c r="Q280" s="501"/>
      <c r="R280" s="501"/>
      <c r="S280" s="501"/>
      <c r="T280" s="482"/>
      <c r="U280" s="510"/>
      <c r="V280" s="485"/>
      <c r="W280" s="485"/>
      <c r="X280" s="485"/>
      <c r="Y280" s="486"/>
    </row>
    <row r="281">
      <c r="A281" s="1312"/>
      <c r="B281" s="1312"/>
      <c r="C281" s="1312"/>
      <c r="D281" s="1312"/>
      <c r="E281" s="1312"/>
      <c r="F281" s="1312"/>
      <c r="G281" s="1312">
        <v>2023.0</v>
      </c>
      <c r="H281" s="1312" t="s">
        <v>2043</v>
      </c>
      <c r="I281" s="1316" t="s">
        <v>4173</v>
      </c>
      <c r="J281" s="1285" t="s">
        <v>1058</v>
      </c>
      <c r="K281" s="1285" t="s">
        <v>4158</v>
      </c>
      <c r="L281" s="1289" t="s">
        <v>2480</v>
      </c>
      <c r="M281" s="1317">
        <v>2.0</v>
      </c>
      <c r="N281" s="501"/>
      <c r="O281" s="501"/>
      <c r="P281" s="501"/>
      <c r="Q281" s="501"/>
      <c r="R281" s="501"/>
      <c r="S281" s="501"/>
      <c r="T281" s="482"/>
      <c r="U281" s="510"/>
      <c r="V281" s="485"/>
      <c r="W281" s="485"/>
      <c r="X281" s="485"/>
      <c r="Y281" s="486"/>
    </row>
    <row r="282">
      <c r="A282" s="1312"/>
      <c r="B282" s="1312"/>
      <c r="C282" s="1312"/>
      <c r="D282" s="1312"/>
      <c r="E282" s="1312"/>
      <c r="F282" s="1312"/>
      <c r="G282" s="1312">
        <v>2023.0</v>
      </c>
      <c r="H282" s="1312" t="s">
        <v>2043</v>
      </c>
      <c r="I282" s="1316" t="s">
        <v>4173</v>
      </c>
      <c r="J282" s="1285" t="s">
        <v>1058</v>
      </c>
      <c r="K282" s="1285" t="s">
        <v>4159</v>
      </c>
      <c r="L282" s="1289" t="s">
        <v>1724</v>
      </c>
      <c r="M282" s="1317">
        <v>2.0</v>
      </c>
      <c r="N282" s="501"/>
      <c r="O282" s="501"/>
      <c r="P282" s="501"/>
      <c r="Q282" s="501"/>
      <c r="R282" s="501"/>
      <c r="S282" s="501"/>
      <c r="T282" s="482"/>
      <c r="U282" s="510"/>
      <c r="V282" s="485"/>
      <c r="W282" s="485"/>
      <c r="X282" s="485"/>
      <c r="Y282" s="486"/>
    </row>
    <row r="283">
      <c r="A283" s="1307"/>
      <c r="B283" s="1307"/>
      <c r="C283" s="1307"/>
      <c r="D283" s="1307"/>
      <c r="E283" s="1307"/>
      <c r="F283" s="1307"/>
      <c r="G283" s="1307">
        <v>2023.0</v>
      </c>
      <c r="H283" s="1312" t="s">
        <v>2043</v>
      </c>
      <c r="I283" s="1316" t="s">
        <v>4173</v>
      </c>
      <c r="J283" s="1285" t="s">
        <v>1058</v>
      </c>
      <c r="K283" s="1285" t="s">
        <v>4165</v>
      </c>
      <c r="L283" s="1289" t="s">
        <v>2480</v>
      </c>
      <c r="M283" s="1317">
        <v>2.0</v>
      </c>
    </row>
    <row r="284">
      <c r="A284" s="1307"/>
      <c r="B284" s="1307"/>
      <c r="C284" s="1307"/>
      <c r="D284" s="1307"/>
      <c r="E284" s="1307"/>
      <c r="F284" s="1307"/>
      <c r="G284" s="1307">
        <v>2023.0</v>
      </c>
      <c r="H284" s="1307" t="s">
        <v>2043</v>
      </c>
      <c r="I284" s="1307" t="s">
        <v>4173</v>
      </c>
      <c r="J284" s="1307" t="s">
        <v>1058</v>
      </c>
      <c r="K284" s="1307" t="s">
        <v>4166</v>
      </c>
      <c r="L284" s="1308" t="s">
        <v>2480</v>
      </c>
      <c r="M284" s="1309">
        <v>2.0</v>
      </c>
    </row>
    <row r="285">
      <c r="A285" s="1307"/>
      <c r="B285" s="1307"/>
      <c r="C285" s="1307"/>
      <c r="D285" s="1307"/>
      <c r="E285" s="1307"/>
      <c r="F285" s="1307"/>
      <c r="G285" s="1307">
        <v>2023.0</v>
      </c>
      <c r="H285" s="1307" t="s">
        <v>2043</v>
      </c>
      <c r="I285" s="1307" t="s">
        <v>4173</v>
      </c>
      <c r="J285" s="1307" t="s">
        <v>1058</v>
      </c>
      <c r="K285" s="1307" t="s">
        <v>4160</v>
      </c>
      <c r="L285" s="1308" t="s">
        <v>2480</v>
      </c>
      <c r="M285" s="1309">
        <v>4.0</v>
      </c>
    </row>
    <row r="286">
      <c r="A286" s="1307"/>
      <c r="B286" s="1307"/>
      <c r="C286" s="1307"/>
      <c r="D286" s="1307"/>
      <c r="E286" s="1307"/>
      <c r="F286" s="1307"/>
      <c r="G286" s="1307">
        <v>2023.0</v>
      </c>
      <c r="H286" s="1307" t="s">
        <v>2043</v>
      </c>
      <c r="I286" s="1307" t="s">
        <v>4173</v>
      </c>
      <c r="J286" s="1307" t="s">
        <v>4161</v>
      </c>
      <c r="K286" s="1307" t="s">
        <v>1055</v>
      </c>
      <c r="L286" s="1308" t="s">
        <v>1724</v>
      </c>
      <c r="M286" s="1309">
        <v>23.0</v>
      </c>
    </row>
    <row r="287">
      <c r="A287" s="1307"/>
      <c r="B287" s="1307"/>
      <c r="C287" s="1307"/>
      <c r="D287" s="1307"/>
      <c r="E287" s="1307"/>
      <c r="F287" s="1307"/>
      <c r="G287" s="1307">
        <v>2023.0</v>
      </c>
      <c r="H287" s="1307" t="s">
        <v>2043</v>
      </c>
      <c r="I287" s="1307" t="s">
        <v>4173</v>
      </c>
      <c r="J287" s="1307" t="s">
        <v>4161</v>
      </c>
      <c r="K287" s="1307" t="s">
        <v>4161</v>
      </c>
      <c r="L287" s="1308" t="s">
        <v>2480</v>
      </c>
      <c r="M287" s="1309">
        <v>2.0</v>
      </c>
    </row>
    <row r="288">
      <c r="A288" s="1307"/>
      <c r="B288" s="1307"/>
      <c r="C288" s="1307"/>
      <c r="D288" s="1307"/>
      <c r="E288" s="1307"/>
      <c r="F288" s="1307"/>
      <c r="G288" s="1307">
        <v>2023.0</v>
      </c>
      <c r="H288" s="1307" t="s">
        <v>2044</v>
      </c>
      <c r="I288" s="1307" t="s">
        <v>4169</v>
      </c>
      <c r="J288" s="1307" t="s">
        <v>1058</v>
      </c>
      <c r="K288" s="1307" t="s">
        <v>4156</v>
      </c>
      <c r="L288" s="1308" t="s">
        <v>2480</v>
      </c>
      <c r="M288" s="1309">
        <v>2.0</v>
      </c>
    </row>
    <row r="289">
      <c r="A289" s="1307"/>
      <c r="B289" s="1307"/>
      <c r="C289" s="1307"/>
      <c r="D289" s="1307"/>
      <c r="E289" s="1307"/>
      <c r="F289" s="1307"/>
      <c r="G289" s="1307">
        <v>2023.0</v>
      </c>
      <c r="H289" s="1307" t="s">
        <v>2044</v>
      </c>
      <c r="I289" s="1307" t="s">
        <v>4169</v>
      </c>
      <c r="J289" s="1307" t="s">
        <v>4161</v>
      </c>
      <c r="K289" s="1307" t="s">
        <v>1055</v>
      </c>
      <c r="L289" s="1308" t="s">
        <v>1724</v>
      </c>
      <c r="M289" s="1309">
        <v>5.0</v>
      </c>
    </row>
    <row r="290">
      <c r="A290" s="1307"/>
      <c r="B290" s="1307"/>
      <c r="C290" s="1307"/>
      <c r="D290" s="1307"/>
      <c r="E290" s="1307"/>
      <c r="F290" s="1307"/>
      <c r="G290" s="1307">
        <v>2023.0</v>
      </c>
      <c r="H290" s="1307" t="s">
        <v>1900</v>
      </c>
      <c r="I290" s="1307" t="s">
        <v>4162</v>
      </c>
      <c r="J290" s="1307" t="s">
        <v>1058</v>
      </c>
      <c r="K290" s="1307" t="s">
        <v>4156</v>
      </c>
      <c r="L290" s="1308" t="s">
        <v>2480</v>
      </c>
      <c r="M290" s="1309">
        <v>2.0</v>
      </c>
    </row>
    <row r="291">
      <c r="A291" s="1307"/>
      <c r="B291" s="1307"/>
      <c r="C291" s="1307"/>
      <c r="D291" s="1307"/>
      <c r="E291" s="1307"/>
      <c r="F291" s="1307"/>
      <c r="G291" s="1307">
        <v>2023.0</v>
      </c>
      <c r="H291" s="1307" t="s">
        <v>1900</v>
      </c>
      <c r="I291" s="1307" t="s">
        <v>4162</v>
      </c>
      <c r="J291" s="1307" t="s">
        <v>1058</v>
      </c>
      <c r="K291" s="1307" t="s">
        <v>4160</v>
      </c>
      <c r="L291" s="1308" t="s">
        <v>2480</v>
      </c>
      <c r="M291" s="1309">
        <v>1.0</v>
      </c>
    </row>
    <row r="292">
      <c r="A292" s="1307"/>
      <c r="B292" s="1307"/>
      <c r="C292" s="1307"/>
      <c r="D292" s="1307"/>
      <c r="E292" s="1307"/>
      <c r="F292" s="1307"/>
      <c r="G292" s="1307">
        <v>2023.0</v>
      </c>
      <c r="H292" s="1307" t="s">
        <v>1900</v>
      </c>
      <c r="I292" s="1307" t="s">
        <v>4162</v>
      </c>
      <c r="J292" s="1307" t="s">
        <v>4161</v>
      </c>
      <c r="K292" s="1307" t="s">
        <v>1055</v>
      </c>
      <c r="L292" s="1308" t="s">
        <v>1724</v>
      </c>
      <c r="M292" s="1309">
        <v>1.0</v>
      </c>
    </row>
    <row r="293">
      <c r="A293" s="1307"/>
      <c r="B293" s="1307"/>
      <c r="C293" s="1307"/>
      <c r="D293" s="1307"/>
      <c r="E293" s="1307"/>
      <c r="F293" s="1307"/>
      <c r="G293" s="1307">
        <v>2023.0</v>
      </c>
      <c r="H293" s="1307" t="s">
        <v>2047</v>
      </c>
      <c r="I293" s="1307" t="s">
        <v>4170</v>
      </c>
      <c r="J293" s="1307" t="s">
        <v>1058</v>
      </c>
      <c r="K293" s="1307" t="s">
        <v>4157</v>
      </c>
      <c r="L293" s="1308" t="s">
        <v>1724</v>
      </c>
      <c r="M293" s="1309">
        <v>3.0</v>
      </c>
    </row>
    <row r="294">
      <c r="A294" s="1307"/>
      <c r="B294" s="1307"/>
      <c r="C294" s="1307"/>
      <c r="D294" s="1307"/>
      <c r="E294" s="1307"/>
      <c r="F294" s="1307"/>
      <c r="G294" s="1307">
        <v>2023.0</v>
      </c>
      <c r="H294" s="1307" t="s">
        <v>2047</v>
      </c>
      <c r="I294" s="1307" t="s">
        <v>4170</v>
      </c>
      <c r="J294" s="1307" t="s">
        <v>4161</v>
      </c>
      <c r="K294" s="1307" t="s">
        <v>1055</v>
      </c>
      <c r="L294" s="1308" t="s">
        <v>1724</v>
      </c>
      <c r="M294" s="1309">
        <v>3.0</v>
      </c>
    </row>
    <row r="295">
      <c r="A295" s="1307"/>
      <c r="B295" s="1307"/>
      <c r="C295" s="1307"/>
      <c r="D295" s="1307"/>
      <c r="E295" s="1307"/>
      <c r="F295" s="1307"/>
      <c r="G295" s="1307">
        <v>2023.0</v>
      </c>
      <c r="H295" s="1307" t="s">
        <v>2049</v>
      </c>
      <c r="I295" s="1307" t="s">
        <v>4175</v>
      </c>
      <c r="J295" s="1307" t="s">
        <v>1058</v>
      </c>
      <c r="K295" s="1307" t="s">
        <v>4156</v>
      </c>
      <c r="L295" s="1308" t="s">
        <v>2480</v>
      </c>
      <c r="M295" s="1309">
        <v>8.0</v>
      </c>
    </row>
    <row r="296">
      <c r="A296" s="1307"/>
      <c r="B296" s="1307"/>
      <c r="C296" s="1307"/>
      <c r="D296" s="1307"/>
      <c r="E296" s="1307"/>
      <c r="F296" s="1307"/>
      <c r="G296" s="1307">
        <v>2023.0</v>
      </c>
      <c r="H296" s="1307" t="s">
        <v>2049</v>
      </c>
      <c r="I296" s="1307" t="s">
        <v>4175</v>
      </c>
      <c r="J296" s="1307" t="s">
        <v>1058</v>
      </c>
      <c r="K296" s="1307" t="s">
        <v>4165</v>
      </c>
      <c r="L296" s="1308" t="s">
        <v>2480</v>
      </c>
      <c r="M296" s="1309">
        <v>4.0</v>
      </c>
    </row>
    <row r="297">
      <c r="A297" s="1307"/>
      <c r="B297" s="1307"/>
      <c r="C297" s="1307"/>
      <c r="D297" s="1307"/>
      <c r="E297" s="1307"/>
      <c r="F297" s="1307"/>
      <c r="G297" s="1307">
        <v>2023.0</v>
      </c>
      <c r="H297" s="1307" t="s">
        <v>2049</v>
      </c>
      <c r="I297" s="1307" t="s">
        <v>4175</v>
      </c>
      <c r="J297" s="1307" t="s">
        <v>4161</v>
      </c>
      <c r="K297" s="1307" t="s">
        <v>1055</v>
      </c>
      <c r="L297" s="1308" t="s">
        <v>1724</v>
      </c>
      <c r="M297" s="1309">
        <v>1.0</v>
      </c>
    </row>
    <row r="298">
      <c r="A298" s="1307"/>
      <c r="B298" s="1307"/>
      <c r="C298" s="1307"/>
      <c r="D298" s="1307"/>
      <c r="E298" s="1307"/>
      <c r="F298" s="1307"/>
      <c r="G298" s="1307">
        <v>2023.0</v>
      </c>
      <c r="H298" s="1307" t="s">
        <v>2050</v>
      </c>
      <c r="I298" s="1307" t="s">
        <v>4170</v>
      </c>
      <c r="J298" s="1307" t="s">
        <v>1058</v>
      </c>
      <c r="K298" s="1307" t="s">
        <v>4163</v>
      </c>
      <c r="L298" s="1308" t="s">
        <v>2480</v>
      </c>
      <c r="M298" s="1309">
        <v>7.0</v>
      </c>
    </row>
    <row r="299">
      <c r="A299" s="1307"/>
      <c r="B299" s="1307"/>
      <c r="C299" s="1307"/>
      <c r="D299" s="1307"/>
      <c r="E299" s="1307"/>
      <c r="F299" s="1307"/>
      <c r="G299" s="1307">
        <v>2023.0</v>
      </c>
      <c r="H299" s="1307" t="s">
        <v>2050</v>
      </c>
      <c r="I299" s="1307" t="s">
        <v>4170</v>
      </c>
      <c r="J299" s="1307" t="s">
        <v>1058</v>
      </c>
      <c r="K299" s="1307" t="s">
        <v>4156</v>
      </c>
      <c r="L299" s="1308" t="s">
        <v>2480</v>
      </c>
      <c r="M299" s="1309">
        <v>14.0</v>
      </c>
    </row>
    <row r="300">
      <c r="A300" s="1307"/>
      <c r="B300" s="1307"/>
      <c r="C300" s="1307"/>
      <c r="D300" s="1307"/>
      <c r="E300" s="1307"/>
      <c r="F300" s="1307"/>
      <c r="G300" s="1307">
        <v>2023.0</v>
      </c>
      <c r="H300" s="1307" t="s">
        <v>2050</v>
      </c>
      <c r="I300" s="1307" t="s">
        <v>4170</v>
      </c>
      <c r="J300" s="1307" t="s">
        <v>1058</v>
      </c>
      <c r="K300" s="1307" t="s">
        <v>4159</v>
      </c>
      <c r="L300" s="1308" t="s">
        <v>1724</v>
      </c>
      <c r="M300" s="1309">
        <v>3.0</v>
      </c>
    </row>
    <row r="301">
      <c r="A301" s="1307"/>
      <c r="B301" s="1307"/>
      <c r="C301" s="1307"/>
      <c r="D301" s="1307"/>
      <c r="E301" s="1307"/>
      <c r="F301" s="1307"/>
      <c r="G301" s="1307">
        <v>2023.0</v>
      </c>
      <c r="H301" s="1307" t="s">
        <v>2050</v>
      </c>
      <c r="I301" s="1307" t="s">
        <v>4170</v>
      </c>
      <c r="J301" s="1307" t="s">
        <v>4161</v>
      </c>
      <c r="K301" s="1307" t="s">
        <v>1055</v>
      </c>
      <c r="L301" s="1308" t="s">
        <v>1724</v>
      </c>
      <c r="M301" s="1309">
        <v>3.0</v>
      </c>
    </row>
    <row r="302">
      <c r="A302" s="1307"/>
      <c r="B302" s="1307"/>
      <c r="C302" s="1307"/>
      <c r="D302" s="1307"/>
      <c r="E302" s="1307"/>
      <c r="F302" s="1307"/>
      <c r="G302" s="1307">
        <v>2023.0</v>
      </c>
      <c r="H302" s="1307" t="s">
        <v>130</v>
      </c>
      <c r="I302" s="1307" t="s">
        <v>4176</v>
      </c>
      <c r="J302" s="1307" t="s">
        <v>1058</v>
      </c>
      <c r="K302" s="1307" t="s">
        <v>4163</v>
      </c>
      <c r="L302" s="1308" t="s">
        <v>2480</v>
      </c>
      <c r="M302" s="1309">
        <v>15.0</v>
      </c>
    </row>
    <row r="303">
      <c r="A303" s="1307"/>
      <c r="B303" s="1307"/>
      <c r="C303" s="1307"/>
      <c r="D303" s="1307"/>
      <c r="E303" s="1307"/>
      <c r="F303" s="1307"/>
      <c r="G303" s="1307">
        <v>2023.0</v>
      </c>
      <c r="H303" s="1307" t="s">
        <v>130</v>
      </c>
      <c r="I303" s="1307" t="s">
        <v>4176</v>
      </c>
      <c r="J303" s="1307" t="s">
        <v>1058</v>
      </c>
      <c r="K303" s="1307" t="s">
        <v>4156</v>
      </c>
      <c r="L303" s="1308" t="s">
        <v>2480</v>
      </c>
      <c r="M303" s="1309">
        <v>512.0</v>
      </c>
    </row>
    <row r="304">
      <c r="A304" s="1307"/>
      <c r="B304" s="1307"/>
      <c r="C304" s="1307"/>
      <c r="D304" s="1307"/>
      <c r="E304" s="1307"/>
      <c r="F304" s="1307"/>
      <c r="G304" s="1307">
        <v>2023.0</v>
      </c>
      <c r="H304" s="1307" t="s">
        <v>130</v>
      </c>
      <c r="I304" s="1307" t="s">
        <v>4176</v>
      </c>
      <c r="J304" s="1307" t="s">
        <v>1058</v>
      </c>
      <c r="K304" s="1307" t="s">
        <v>4157</v>
      </c>
      <c r="L304" s="1308" t="s">
        <v>1724</v>
      </c>
      <c r="M304" s="1309">
        <v>53.0</v>
      </c>
    </row>
    <row r="305">
      <c r="A305" s="1307"/>
      <c r="B305" s="1307"/>
      <c r="C305" s="1307"/>
      <c r="D305" s="1307"/>
      <c r="E305" s="1307"/>
      <c r="F305" s="1307"/>
      <c r="G305" s="1307">
        <v>2023.0</v>
      </c>
      <c r="H305" s="1307" t="s">
        <v>130</v>
      </c>
      <c r="I305" s="1307" t="s">
        <v>4176</v>
      </c>
      <c r="J305" s="1307" t="s">
        <v>1058</v>
      </c>
      <c r="K305" s="1307" t="s">
        <v>4158</v>
      </c>
      <c r="L305" s="1308" t="s">
        <v>2480</v>
      </c>
      <c r="M305" s="1309">
        <v>23.0</v>
      </c>
    </row>
    <row r="306">
      <c r="A306" s="1307"/>
      <c r="B306" s="1307"/>
      <c r="C306" s="1307"/>
      <c r="D306" s="1307"/>
      <c r="E306" s="1307"/>
      <c r="F306" s="1307"/>
      <c r="G306" s="1307">
        <v>2023.0</v>
      </c>
      <c r="H306" s="1307" t="s">
        <v>130</v>
      </c>
      <c r="I306" s="1307" t="s">
        <v>4176</v>
      </c>
      <c r="J306" s="1307" t="s">
        <v>1058</v>
      </c>
      <c r="K306" s="1307" t="s">
        <v>4159</v>
      </c>
      <c r="L306" s="1308" t="s">
        <v>1724</v>
      </c>
      <c r="M306" s="1309">
        <v>25.0</v>
      </c>
    </row>
    <row r="307">
      <c r="A307" s="1307"/>
      <c r="B307" s="1307"/>
      <c r="C307" s="1307"/>
      <c r="D307" s="1307"/>
      <c r="E307" s="1307"/>
      <c r="F307" s="1307"/>
      <c r="G307" s="1307">
        <v>2023.0</v>
      </c>
      <c r="H307" s="1307" t="s">
        <v>130</v>
      </c>
      <c r="I307" s="1307" t="s">
        <v>4176</v>
      </c>
      <c r="J307" s="1307" t="s">
        <v>1058</v>
      </c>
      <c r="K307" s="1307" t="s">
        <v>4165</v>
      </c>
      <c r="L307" s="1308" t="s">
        <v>2480</v>
      </c>
      <c r="M307" s="1309">
        <v>16.0</v>
      </c>
    </row>
    <row r="308">
      <c r="A308" s="1307"/>
      <c r="B308" s="1307"/>
      <c r="C308" s="1307"/>
      <c r="D308" s="1307"/>
      <c r="E308" s="1307"/>
      <c r="F308" s="1307"/>
      <c r="G308" s="1307">
        <v>2023.0</v>
      </c>
      <c r="H308" s="1307" t="s">
        <v>130</v>
      </c>
      <c r="I308" s="1307" t="s">
        <v>4176</v>
      </c>
      <c r="J308" s="1307" t="s">
        <v>1058</v>
      </c>
      <c r="K308" s="1307" t="s">
        <v>4166</v>
      </c>
      <c r="L308" s="1308" t="s">
        <v>2480</v>
      </c>
      <c r="M308" s="1309">
        <v>59.0</v>
      </c>
    </row>
    <row r="309">
      <c r="A309" s="1307"/>
      <c r="B309" s="1307"/>
      <c r="C309" s="1307"/>
      <c r="D309" s="1307"/>
      <c r="E309" s="1307"/>
      <c r="F309" s="1307"/>
      <c r="G309" s="1307">
        <v>2023.0</v>
      </c>
      <c r="H309" s="1307" t="s">
        <v>130</v>
      </c>
      <c r="I309" s="1307" t="s">
        <v>4176</v>
      </c>
      <c r="J309" s="1307" t="s">
        <v>1058</v>
      </c>
      <c r="K309" s="1307" t="s">
        <v>4161</v>
      </c>
      <c r="L309" s="1308" t="s">
        <v>2480</v>
      </c>
      <c r="M309" s="1309">
        <v>10.0</v>
      </c>
    </row>
    <row r="310">
      <c r="A310" s="1307"/>
      <c r="B310" s="1307"/>
      <c r="C310" s="1307"/>
      <c r="D310" s="1307"/>
      <c r="E310" s="1307"/>
      <c r="F310" s="1307"/>
      <c r="G310" s="1307">
        <v>2023.0</v>
      </c>
      <c r="H310" s="1307" t="s">
        <v>130</v>
      </c>
      <c r="I310" s="1307" t="s">
        <v>4176</v>
      </c>
      <c r="J310" s="1307" t="s">
        <v>1058</v>
      </c>
      <c r="K310" s="1307" t="s">
        <v>4160</v>
      </c>
      <c r="L310" s="1308" t="s">
        <v>2480</v>
      </c>
      <c r="M310" s="1309">
        <v>57.0</v>
      </c>
    </row>
    <row r="311">
      <c r="A311" s="1307"/>
      <c r="B311" s="1307"/>
      <c r="C311" s="1307"/>
      <c r="D311" s="1307"/>
      <c r="E311" s="1307"/>
      <c r="F311" s="1307"/>
      <c r="G311" s="1307">
        <v>2023.0</v>
      </c>
      <c r="H311" s="1307" t="s">
        <v>130</v>
      </c>
      <c r="I311" s="1307" t="s">
        <v>4176</v>
      </c>
      <c r="J311" s="1307" t="s">
        <v>4161</v>
      </c>
      <c r="K311" s="1307" t="s">
        <v>4167</v>
      </c>
      <c r="L311" s="1308" t="s">
        <v>2480</v>
      </c>
      <c r="M311" s="1309">
        <v>5.0</v>
      </c>
    </row>
    <row r="312">
      <c r="A312" s="1307"/>
      <c r="B312" s="1307"/>
      <c r="C312" s="1307"/>
      <c r="D312" s="1307"/>
      <c r="E312" s="1307"/>
      <c r="F312" s="1307"/>
      <c r="G312" s="1307">
        <v>2023.0</v>
      </c>
      <c r="H312" s="1307" t="s">
        <v>130</v>
      </c>
      <c r="I312" s="1307" t="s">
        <v>4176</v>
      </c>
      <c r="J312" s="1307" t="s">
        <v>4161</v>
      </c>
      <c r="K312" s="1307" t="s">
        <v>4174</v>
      </c>
      <c r="L312" s="1308" t="s">
        <v>2480</v>
      </c>
      <c r="M312" s="1309">
        <v>1.0</v>
      </c>
    </row>
    <row r="313">
      <c r="A313" s="1307"/>
      <c r="B313" s="1307"/>
      <c r="C313" s="1307"/>
      <c r="D313" s="1307"/>
      <c r="E313" s="1307"/>
      <c r="F313" s="1307"/>
      <c r="G313" s="1307">
        <v>2023.0</v>
      </c>
      <c r="H313" s="1307" t="s">
        <v>130</v>
      </c>
      <c r="I313" s="1307" t="s">
        <v>4176</v>
      </c>
      <c r="J313" s="1307" t="s">
        <v>4161</v>
      </c>
      <c r="K313" s="1307" t="s">
        <v>1055</v>
      </c>
      <c r="L313" s="1308" t="s">
        <v>1724</v>
      </c>
      <c r="M313" s="1309">
        <v>407.0</v>
      </c>
    </row>
    <row r="314">
      <c r="A314" s="1307"/>
      <c r="B314" s="1307"/>
      <c r="C314" s="1307"/>
      <c r="D314" s="1307"/>
      <c r="E314" s="1307"/>
      <c r="F314" s="1307"/>
      <c r="G314" s="1307">
        <v>2023.0</v>
      </c>
      <c r="H314" s="1307" t="s">
        <v>130</v>
      </c>
      <c r="I314" s="1307" t="s">
        <v>4176</v>
      </c>
      <c r="J314" s="1307" t="s">
        <v>4161</v>
      </c>
      <c r="K314" s="1307" t="s">
        <v>4161</v>
      </c>
      <c r="L314" s="1308" t="s">
        <v>2480</v>
      </c>
      <c r="M314" s="1309">
        <v>29.0</v>
      </c>
    </row>
    <row r="315">
      <c r="A315" s="1307"/>
      <c r="B315" s="1307"/>
      <c r="C315" s="1307"/>
      <c r="D315" s="1307"/>
      <c r="E315" s="1307"/>
      <c r="F315" s="1307"/>
      <c r="G315" s="1307">
        <v>2023.0</v>
      </c>
      <c r="H315" s="1307" t="s">
        <v>562</v>
      </c>
      <c r="I315" s="1307" t="s">
        <v>4162</v>
      </c>
      <c r="J315" s="1307" t="s">
        <v>1058</v>
      </c>
      <c r="K315" s="1307" t="s">
        <v>4156</v>
      </c>
      <c r="L315" s="1308" t="s">
        <v>2480</v>
      </c>
      <c r="M315" s="1309">
        <v>3.0</v>
      </c>
    </row>
    <row r="316">
      <c r="A316" s="1307"/>
      <c r="B316" s="1307"/>
      <c r="C316" s="1307"/>
      <c r="D316" s="1307"/>
      <c r="E316" s="1307"/>
      <c r="F316" s="1307"/>
      <c r="G316" s="1307">
        <v>2023.0</v>
      </c>
      <c r="H316" s="1307" t="s">
        <v>562</v>
      </c>
      <c r="I316" s="1307" t="s">
        <v>4162</v>
      </c>
      <c r="J316" s="1307" t="s">
        <v>1058</v>
      </c>
      <c r="K316" s="1307" t="s">
        <v>4158</v>
      </c>
      <c r="L316" s="1308" t="s">
        <v>2480</v>
      </c>
      <c r="M316" s="1309">
        <v>1.0</v>
      </c>
    </row>
    <row r="317">
      <c r="A317" s="1307"/>
      <c r="B317" s="1307"/>
      <c r="C317" s="1307"/>
      <c r="D317" s="1307"/>
      <c r="E317" s="1307"/>
      <c r="F317" s="1307"/>
      <c r="G317" s="1307">
        <v>2023.0</v>
      </c>
      <c r="H317" s="1307" t="s">
        <v>562</v>
      </c>
      <c r="I317" s="1307" t="s">
        <v>4162</v>
      </c>
      <c r="J317" s="1307" t="s">
        <v>4161</v>
      </c>
      <c r="K317" s="1307" t="s">
        <v>1055</v>
      </c>
      <c r="L317" s="1308" t="s">
        <v>1724</v>
      </c>
      <c r="M317" s="1309">
        <v>4.0</v>
      </c>
    </row>
    <row r="318">
      <c r="A318" s="1307"/>
      <c r="B318" s="1307"/>
      <c r="C318" s="1307"/>
      <c r="D318" s="1307"/>
      <c r="E318" s="1307"/>
      <c r="F318" s="1307"/>
      <c r="G318" s="1307">
        <v>2023.0</v>
      </c>
      <c r="H318" s="1307" t="s">
        <v>2531</v>
      </c>
      <c r="I318" s="1307" t="s">
        <v>4171</v>
      </c>
      <c r="J318" s="1307" t="s">
        <v>1058</v>
      </c>
      <c r="K318" s="1307" t="s">
        <v>4163</v>
      </c>
      <c r="L318" s="1308" t="s">
        <v>2480</v>
      </c>
      <c r="M318" s="1309">
        <v>1.0</v>
      </c>
    </row>
    <row r="319">
      <c r="A319" s="1307"/>
      <c r="B319" s="1307"/>
      <c r="C319" s="1307"/>
      <c r="D319" s="1307"/>
      <c r="E319" s="1307"/>
      <c r="F319" s="1307"/>
      <c r="G319" s="1307">
        <v>2023.0</v>
      </c>
      <c r="H319" s="1307" t="s">
        <v>2531</v>
      </c>
      <c r="I319" s="1307" t="s">
        <v>4171</v>
      </c>
      <c r="J319" s="1307" t="s">
        <v>1058</v>
      </c>
      <c r="K319" s="1307" t="s">
        <v>4156</v>
      </c>
      <c r="L319" s="1308" t="s">
        <v>2480</v>
      </c>
      <c r="M319" s="1309">
        <v>5.0</v>
      </c>
    </row>
    <row r="320">
      <c r="A320" s="1307"/>
      <c r="B320" s="1307"/>
      <c r="C320" s="1307"/>
      <c r="D320" s="1307"/>
      <c r="E320" s="1307"/>
      <c r="F320" s="1307"/>
      <c r="G320" s="1307">
        <v>2023.0</v>
      </c>
      <c r="H320" s="1307" t="s">
        <v>2531</v>
      </c>
      <c r="I320" s="1307" t="s">
        <v>4171</v>
      </c>
      <c r="J320" s="1307" t="s">
        <v>1058</v>
      </c>
      <c r="K320" s="1307" t="s">
        <v>4165</v>
      </c>
      <c r="L320" s="1308" t="s">
        <v>2480</v>
      </c>
      <c r="M320" s="1309">
        <v>5.0</v>
      </c>
    </row>
    <row r="321">
      <c r="A321" s="1307"/>
      <c r="B321" s="1307"/>
      <c r="C321" s="1307"/>
      <c r="D321" s="1307"/>
      <c r="E321" s="1307"/>
      <c r="F321" s="1307"/>
      <c r="G321" s="1307">
        <v>2023.0</v>
      </c>
      <c r="H321" s="1307" t="s">
        <v>2531</v>
      </c>
      <c r="I321" s="1307" t="s">
        <v>4171</v>
      </c>
      <c r="J321" s="1307" t="s">
        <v>1058</v>
      </c>
      <c r="K321" s="1307" t="s">
        <v>4166</v>
      </c>
      <c r="L321" s="1308" t="s">
        <v>2480</v>
      </c>
      <c r="M321" s="1309">
        <v>2.0</v>
      </c>
    </row>
    <row r="322">
      <c r="A322" s="1307"/>
      <c r="B322" s="1307"/>
      <c r="C322" s="1307"/>
      <c r="D322" s="1307"/>
      <c r="E322" s="1307"/>
      <c r="F322" s="1307"/>
      <c r="G322" s="1307">
        <v>2023.0</v>
      </c>
      <c r="H322" s="1307" t="s">
        <v>2531</v>
      </c>
      <c r="I322" s="1307" t="s">
        <v>4171</v>
      </c>
      <c r="J322" s="1307" t="s">
        <v>1058</v>
      </c>
      <c r="K322" s="1307" t="s">
        <v>4160</v>
      </c>
      <c r="L322" s="1308" t="s">
        <v>2480</v>
      </c>
      <c r="M322" s="1309">
        <v>2.0</v>
      </c>
    </row>
    <row r="323">
      <c r="A323" s="1307"/>
      <c r="B323" s="1307"/>
      <c r="C323" s="1307"/>
      <c r="D323" s="1307"/>
      <c r="E323" s="1307"/>
      <c r="F323" s="1307"/>
      <c r="G323" s="1307">
        <v>2023.0</v>
      </c>
      <c r="H323" s="1307" t="s">
        <v>2531</v>
      </c>
      <c r="I323" s="1307" t="s">
        <v>4171</v>
      </c>
      <c r="J323" s="1307" t="s">
        <v>4161</v>
      </c>
      <c r="K323" s="1307" t="s">
        <v>1055</v>
      </c>
      <c r="L323" s="1308" t="s">
        <v>1724</v>
      </c>
      <c r="M323" s="1309">
        <v>8.0</v>
      </c>
    </row>
    <row r="324">
      <c r="A324" s="1307"/>
      <c r="B324" s="1307"/>
      <c r="C324" s="1307"/>
      <c r="D324" s="1307"/>
      <c r="E324" s="1307"/>
      <c r="F324" s="1307"/>
      <c r="G324" s="1307">
        <v>2023.0</v>
      </c>
      <c r="H324" s="1307" t="s">
        <v>2052</v>
      </c>
      <c r="I324" s="1307" t="s">
        <v>4170</v>
      </c>
      <c r="J324" s="1307" t="s">
        <v>1058</v>
      </c>
      <c r="K324" s="1307" t="s">
        <v>4163</v>
      </c>
      <c r="L324" s="1308" t="s">
        <v>2480</v>
      </c>
      <c r="M324" s="1309">
        <v>1.0</v>
      </c>
    </row>
    <row r="325">
      <c r="A325" s="1307"/>
      <c r="B325" s="1307"/>
      <c r="C325" s="1307"/>
      <c r="D325" s="1307"/>
      <c r="E325" s="1307"/>
      <c r="F325" s="1307"/>
      <c r="G325" s="1307">
        <v>2023.0</v>
      </c>
      <c r="H325" s="1307" t="s">
        <v>2052</v>
      </c>
      <c r="I325" s="1307" t="s">
        <v>4170</v>
      </c>
      <c r="J325" s="1307" t="s">
        <v>1058</v>
      </c>
      <c r="K325" s="1307" t="s">
        <v>4156</v>
      </c>
      <c r="L325" s="1308" t="s">
        <v>2480</v>
      </c>
      <c r="M325" s="1309">
        <v>2.0</v>
      </c>
    </row>
    <row r="326">
      <c r="A326" s="1307"/>
      <c r="B326" s="1307"/>
      <c r="C326" s="1307"/>
      <c r="D326" s="1307"/>
      <c r="E326" s="1307"/>
      <c r="F326" s="1307"/>
      <c r="G326" s="1307">
        <v>2023.0</v>
      </c>
      <c r="H326" s="1307" t="s">
        <v>2052</v>
      </c>
      <c r="I326" s="1307" t="s">
        <v>4170</v>
      </c>
      <c r="J326" s="1307" t="s">
        <v>4161</v>
      </c>
      <c r="K326" s="1307" t="s">
        <v>1055</v>
      </c>
      <c r="L326" s="1308" t="s">
        <v>1724</v>
      </c>
      <c r="M326" s="1309">
        <v>4.0</v>
      </c>
    </row>
    <row r="327">
      <c r="A327" s="1307"/>
      <c r="B327" s="1307"/>
      <c r="C327" s="1307"/>
      <c r="D327" s="1307"/>
      <c r="E327" s="1307"/>
      <c r="F327" s="1307"/>
      <c r="G327" s="1307">
        <v>2023.0</v>
      </c>
      <c r="H327" s="1307" t="s">
        <v>2052</v>
      </c>
      <c r="I327" s="1307" t="s">
        <v>4170</v>
      </c>
      <c r="J327" s="1307" t="s">
        <v>4161</v>
      </c>
      <c r="K327" s="1307" t="s">
        <v>4161</v>
      </c>
      <c r="L327" s="1308" t="s">
        <v>2480</v>
      </c>
      <c r="M327" s="1309">
        <v>1.0</v>
      </c>
    </row>
    <row r="328">
      <c r="A328" s="1307"/>
      <c r="B328" s="1307"/>
      <c r="C328" s="1307"/>
      <c r="D328" s="1307"/>
      <c r="E328" s="1307"/>
      <c r="F328" s="1307"/>
      <c r="G328" s="1307">
        <v>2023.0</v>
      </c>
      <c r="H328" s="1307" t="s">
        <v>407</v>
      </c>
      <c r="I328" s="1307" t="s">
        <v>4155</v>
      </c>
      <c r="J328" s="1307" t="s">
        <v>1058</v>
      </c>
      <c r="K328" s="1307" t="s">
        <v>4156</v>
      </c>
      <c r="L328" s="1308" t="s">
        <v>2480</v>
      </c>
      <c r="M328" s="1309">
        <v>1.0</v>
      </c>
    </row>
    <row r="329">
      <c r="A329" s="1307"/>
      <c r="B329" s="1307"/>
      <c r="C329" s="1307"/>
      <c r="D329" s="1307"/>
      <c r="E329" s="1307"/>
      <c r="F329" s="1307"/>
      <c r="G329" s="1307">
        <v>2023.0</v>
      </c>
      <c r="H329" s="1307" t="s">
        <v>407</v>
      </c>
      <c r="I329" s="1307" t="s">
        <v>4155</v>
      </c>
      <c r="J329" s="1307" t="s">
        <v>1058</v>
      </c>
      <c r="K329" s="1307" t="s">
        <v>4160</v>
      </c>
      <c r="L329" s="1308" t="s">
        <v>2480</v>
      </c>
      <c r="M329" s="1309">
        <v>1.0</v>
      </c>
    </row>
    <row r="330">
      <c r="A330" s="1307"/>
      <c r="B330" s="1307"/>
      <c r="C330" s="1307"/>
      <c r="D330" s="1307"/>
      <c r="E330" s="1307"/>
      <c r="F330" s="1307"/>
      <c r="G330" s="1307">
        <v>2023.0</v>
      </c>
      <c r="H330" s="1307" t="s">
        <v>485</v>
      </c>
      <c r="I330" s="1307" t="s">
        <v>4176</v>
      </c>
      <c r="J330" s="1307" t="s">
        <v>1058</v>
      </c>
      <c r="K330" s="1307" t="s">
        <v>4163</v>
      </c>
      <c r="L330" s="1308" t="s">
        <v>2480</v>
      </c>
      <c r="M330" s="1309">
        <v>5.0</v>
      </c>
    </row>
    <row r="331">
      <c r="A331" s="1307"/>
      <c r="B331" s="1307"/>
      <c r="C331" s="1307"/>
      <c r="D331" s="1307"/>
      <c r="E331" s="1307"/>
      <c r="F331" s="1307"/>
      <c r="G331" s="1307">
        <v>2023.0</v>
      </c>
      <c r="H331" s="1307" t="s">
        <v>485</v>
      </c>
      <c r="I331" s="1307" t="s">
        <v>4176</v>
      </c>
      <c r="J331" s="1307" t="s">
        <v>1058</v>
      </c>
      <c r="K331" s="1307" t="s">
        <v>4156</v>
      </c>
      <c r="L331" s="1308" t="s">
        <v>2480</v>
      </c>
      <c r="M331" s="1309">
        <v>125.0</v>
      </c>
    </row>
    <row r="332">
      <c r="A332" s="1307"/>
      <c r="B332" s="1307"/>
      <c r="C332" s="1307"/>
      <c r="D332" s="1307"/>
      <c r="E332" s="1307"/>
      <c r="F332" s="1307"/>
      <c r="G332" s="1307">
        <v>2023.0</v>
      </c>
      <c r="H332" s="1307" t="s">
        <v>485</v>
      </c>
      <c r="I332" s="1307" t="s">
        <v>4176</v>
      </c>
      <c r="J332" s="1307" t="s">
        <v>1058</v>
      </c>
      <c r="K332" s="1307" t="s">
        <v>4157</v>
      </c>
      <c r="L332" s="1308" t="s">
        <v>1724</v>
      </c>
      <c r="M332" s="1309">
        <v>8.0</v>
      </c>
    </row>
    <row r="333">
      <c r="A333" s="1307"/>
      <c r="B333" s="1307"/>
      <c r="C333" s="1307"/>
      <c r="D333" s="1307"/>
      <c r="E333" s="1307"/>
      <c r="F333" s="1307"/>
      <c r="G333" s="1307">
        <v>2023.0</v>
      </c>
      <c r="H333" s="1307" t="s">
        <v>485</v>
      </c>
      <c r="I333" s="1307" t="s">
        <v>4176</v>
      </c>
      <c r="J333" s="1307" t="s">
        <v>1058</v>
      </c>
      <c r="K333" s="1307" t="s">
        <v>4158</v>
      </c>
      <c r="L333" s="1308" t="s">
        <v>2480</v>
      </c>
      <c r="M333" s="1309">
        <v>9.0</v>
      </c>
    </row>
    <row r="334">
      <c r="A334" s="1307"/>
      <c r="B334" s="1307"/>
      <c r="C334" s="1307"/>
      <c r="D334" s="1307"/>
      <c r="E334" s="1307"/>
      <c r="F334" s="1307"/>
      <c r="G334" s="1307">
        <v>2023.0</v>
      </c>
      <c r="H334" s="1307" t="s">
        <v>485</v>
      </c>
      <c r="I334" s="1307" t="s">
        <v>4176</v>
      </c>
      <c r="J334" s="1307" t="s">
        <v>1058</v>
      </c>
      <c r="K334" s="1307" t="s">
        <v>4159</v>
      </c>
      <c r="L334" s="1308" t="s">
        <v>1724</v>
      </c>
      <c r="M334" s="1309">
        <v>1.0</v>
      </c>
    </row>
    <row r="335">
      <c r="A335" s="1307"/>
      <c r="B335" s="1307"/>
      <c r="C335" s="1307"/>
      <c r="D335" s="1307"/>
      <c r="E335" s="1307"/>
      <c r="F335" s="1307"/>
      <c r="G335" s="1307">
        <v>2023.0</v>
      </c>
      <c r="H335" s="1307" t="s">
        <v>485</v>
      </c>
      <c r="I335" s="1307" t="s">
        <v>4176</v>
      </c>
      <c r="J335" s="1307" t="s">
        <v>1058</v>
      </c>
      <c r="K335" s="1307" t="s">
        <v>4165</v>
      </c>
      <c r="L335" s="1308" t="s">
        <v>2480</v>
      </c>
      <c r="M335" s="1309">
        <v>3.0</v>
      </c>
    </row>
    <row r="336">
      <c r="A336" s="1307"/>
      <c r="B336" s="1307"/>
      <c r="C336" s="1307"/>
      <c r="D336" s="1307"/>
      <c r="E336" s="1307"/>
      <c r="F336" s="1307"/>
      <c r="G336" s="1307">
        <v>2023.0</v>
      </c>
      <c r="H336" s="1307" t="s">
        <v>485</v>
      </c>
      <c r="I336" s="1307" t="s">
        <v>4176</v>
      </c>
      <c r="J336" s="1307" t="s">
        <v>1058</v>
      </c>
      <c r="K336" s="1307" t="s">
        <v>4166</v>
      </c>
      <c r="L336" s="1308" t="s">
        <v>2480</v>
      </c>
      <c r="M336" s="1309">
        <v>10.0</v>
      </c>
    </row>
    <row r="337">
      <c r="A337" s="1307"/>
      <c r="B337" s="1307"/>
      <c r="C337" s="1307"/>
      <c r="D337" s="1307"/>
      <c r="E337" s="1307"/>
      <c r="F337" s="1307"/>
      <c r="G337" s="1307">
        <v>2023.0</v>
      </c>
      <c r="H337" s="1307" t="s">
        <v>485</v>
      </c>
      <c r="I337" s="1307" t="s">
        <v>4176</v>
      </c>
      <c r="J337" s="1307" t="s">
        <v>1058</v>
      </c>
      <c r="K337" s="1307" t="s">
        <v>4161</v>
      </c>
      <c r="L337" s="1308" t="s">
        <v>2480</v>
      </c>
      <c r="M337" s="1309">
        <v>7.0</v>
      </c>
    </row>
    <row r="338">
      <c r="A338" s="1307"/>
      <c r="B338" s="1307"/>
      <c r="C338" s="1307"/>
      <c r="D338" s="1307"/>
      <c r="E338" s="1307"/>
      <c r="F338" s="1307"/>
      <c r="G338" s="1307">
        <v>2023.0</v>
      </c>
      <c r="H338" s="1307" t="s">
        <v>485</v>
      </c>
      <c r="I338" s="1307" t="s">
        <v>4176</v>
      </c>
      <c r="J338" s="1307" t="s">
        <v>1058</v>
      </c>
      <c r="K338" s="1307" t="s">
        <v>4160</v>
      </c>
      <c r="L338" s="1308" t="s">
        <v>2480</v>
      </c>
      <c r="M338" s="1309">
        <v>13.0</v>
      </c>
    </row>
    <row r="339">
      <c r="A339" s="1307"/>
      <c r="B339" s="1307"/>
      <c r="C339" s="1307"/>
      <c r="D339" s="1307"/>
      <c r="E339" s="1307"/>
      <c r="F339" s="1307"/>
      <c r="G339" s="1307">
        <v>2023.0</v>
      </c>
      <c r="H339" s="1307" t="s">
        <v>485</v>
      </c>
      <c r="I339" s="1307" t="s">
        <v>4176</v>
      </c>
      <c r="J339" s="1307" t="s">
        <v>4161</v>
      </c>
      <c r="K339" s="1307" t="s">
        <v>4167</v>
      </c>
      <c r="L339" s="1308" t="s">
        <v>2480</v>
      </c>
      <c r="M339" s="1309">
        <v>6.0</v>
      </c>
    </row>
    <row r="340">
      <c r="A340" s="1307"/>
      <c r="B340" s="1307"/>
      <c r="C340" s="1307"/>
      <c r="D340" s="1307"/>
      <c r="E340" s="1307"/>
      <c r="F340" s="1307"/>
      <c r="G340" s="1307">
        <v>2023.0</v>
      </c>
      <c r="H340" s="1307" t="s">
        <v>485</v>
      </c>
      <c r="I340" s="1307" t="s">
        <v>4176</v>
      </c>
      <c r="J340" s="1307" t="s">
        <v>4161</v>
      </c>
      <c r="K340" s="1307" t="s">
        <v>4174</v>
      </c>
      <c r="L340" s="1308" t="s">
        <v>2480</v>
      </c>
      <c r="M340" s="1309">
        <v>4.0</v>
      </c>
    </row>
    <row r="341">
      <c r="A341" s="1307"/>
      <c r="B341" s="1307"/>
      <c r="C341" s="1307"/>
      <c r="D341" s="1307"/>
      <c r="E341" s="1307"/>
      <c r="F341" s="1307"/>
      <c r="G341" s="1307">
        <v>2023.0</v>
      </c>
      <c r="H341" s="1307" t="s">
        <v>485</v>
      </c>
      <c r="I341" s="1307" t="s">
        <v>4176</v>
      </c>
      <c r="J341" s="1307" t="s">
        <v>4161</v>
      </c>
      <c r="K341" s="1307" t="s">
        <v>1055</v>
      </c>
      <c r="L341" s="1308" t="s">
        <v>1724</v>
      </c>
      <c r="M341" s="1309">
        <v>97.0</v>
      </c>
    </row>
    <row r="342">
      <c r="A342" s="1307"/>
      <c r="B342" s="1307"/>
      <c r="C342" s="1307"/>
      <c r="D342" s="1307"/>
      <c r="E342" s="1307"/>
      <c r="F342" s="1307"/>
      <c r="G342" s="1307">
        <v>2023.0</v>
      </c>
      <c r="H342" s="1307" t="s">
        <v>485</v>
      </c>
      <c r="I342" s="1307" t="s">
        <v>4176</v>
      </c>
      <c r="J342" s="1307" t="s">
        <v>4161</v>
      </c>
      <c r="K342" s="1307" t="s">
        <v>4161</v>
      </c>
      <c r="L342" s="1308" t="s">
        <v>2480</v>
      </c>
      <c r="M342" s="1309">
        <v>4.0</v>
      </c>
    </row>
    <row r="343">
      <c r="A343" s="1307"/>
      <c r="B343" s="1307"/>
      <c r="C343" s="1307"/>
      <c r="D343" s="1307"/>
      <c r="E343" s="1307"/>
      <c r="F343" s="1307"/>
      <c r="G343" s="1307">
        <v>2023.0</v>
      </c>
      <c r="H343" s="1307" t="s">
        <v>2057</v>
      </c>
      <c r="I343" s="1307" t="s">
        <v>4171</v>
      </c>
      <c r="J343" s="1307" t="s">
        <v>1058</v>
      </c>
      <c r="K343" s="1307" t="s">
        <v>4156</v>
      </c>
      <c r="L343" s="1308" t="s">
        <v>2480</v>
      </c>
      <c r="M343" s="1309">
        <v>1.0</v>
      </c>
    </row>
    <row r="344">
      <c r="A344" s="1307"/>
      <c r="B344" s="1307"/>
      <c r="C344" s="1307"/>
      <c r="D344" s="1307"/>
      <c r="E344" s="1307"/>
      <c r="F344" s="1307"/>
      <c r="G344" s="1307">
        <v>2023.0</v>
      </c>
      <c r="H344" s="1307" t="s">
        <v>2057</v>
      </c>
      <c r="I344" s="1307" t="s">
        <v>4171</v>
      </c>
      <c r="J344" s="1307" t="s">
        <v>1058</v>
      </c>
      <c r="K344" s="1307" t="s">
        <v>4161</v>
      </c>
      <c r="L344" s="1308" t="s">
        <v>2480</v>
      </c>
      <c r="M344" s="1309">
        <v>2.0</v>
      </c>
    </row>
    <row r="345">
      <c r="A345" s="1307"/>
      <c r="B345" s="1307"/>
      <c r="C345" s="1307"/>
      <c r="D345" s="1307"/>
      <c r="E345" s="1307"/>
      <c r="F345" s="1307"/>
      <c r="G345" s="1307">
        <v>2023.0</v>
      </c>
      <c r="H345" s="1307" t="s">
        <v>2057</v>
      </c>
      <c r="I345" s="1307" t="s">
        <v>4171</v>
      </c>
      <c r="J345" s="1307" t="s">
        <v>1058</v>
      </c>
      <c r="K345" s="1307" t="s">
        <v>4160</v>
      </c>
      <c r="L345" s="1308" t="s">
        <v>2480</v>
      </c>
      <c r="M345" s="1309">
        <v>1.0</v>
      </c>
    </row>
    <row r="346">
      <c r="A346" s="1307"/>
      <c r="B346" s="1307"/>
      <c r="C346" s="1307"/>
      <c r="D346" s="1307"/>
      <c r="E346" s="1307"/>
      <c r="F346" s="1307"/>
      <c r="G346" s="1307">
        <v>2023.0</v>
      </c>
      <c r="H346" s="1307" t="s">
        <v>2057</v>
      </c>
      <c r="I346" s="1307" t="s">
        <v>4171</v>
      </c>
      <c r="J346" s="1307" t="s">
        <v>4161</v>
      </c>
      <c r="K346" s="1307" t="s">
        <v>1055</v>
      </c>
      <c r="L346" s="1308" t="s">
        <v>1724</v>
      </c>
      <c r="M346" s="1309">
        <v>15.0</v>
      </c>
    </row>
    <row r="347">
      <c r="A347" s="1307"/>
      <c r="B347" s="1307"/>
      <c r="C347" s="1307"/>
      <c r="D347" s="1307"/>
      <c r="E347" s="1307"/>
      <c r="F347" s="1307"/>
      <c r="G347" s="1307">
        <v>2023.0</v>
      </c>
      <c r="H347" s="1307" t="s">
        <v>2057</v>
      </c>
      <c r="I347" s="1307" t="s">
        <v>4171</v>
      </c>
      <c r="J347" s="1307" t="s">
        <v>4161</v>
      </c>
      <c r="K347" s="1307" t="s">
        <v>4161</v>
      </c>
      <c r="L347" s="1308" t="s">
        <v>2480</v>
      </c>
      <c r="M347" s="1309">
        <v>1.0</v>
      </c>
    </row>
    <row r="348">
      <c r="A348" s="1307"/>
      <c r="B348" s="1307"/>
      <c r="C348" s="1307"/>
      <c r="D348" s="1307"/>
      <c r="E348" s="1307"/>
      <c r="F348" s="1307"/>
      <c r="G348" s="1307">
        <v>2023.0</v>
      </c>
      <c r="H348" s="1307" t="s">
        <v>433</v>
      </c>
      <c r="I348" s="1307" t="s">
        <v>4168</v>
      </c>
      <c r="J348" s="1307" t="s">
        <v>1058</v>
      </c>
      <c r="K348" s="1307" t="s">
        <v>4156</v>
      </c>
      <c r="L348" s="1308" t="s">
        <v>2480</v>
      </c>
      <c r="M348" s="1309">
        <v>17.0</v>
      </c>
    </row>
    <row r="349">
      <c r="A349" s="1307"/>
      <c r="B349" s="1307"/>
      <c r="C349" s="1307"/>
      <c r="D349" s="1307"/>
      <c r="E349" s="1307"/>
      <c r="F349" s="1307"/>
      <c r="G349" s="1307">
        <v>2023.0</v>
      </c>
      <c r="H349" s="1307" t="s">
        <v>433</v>
      </c>
      <c r="I349" s="1307" t="s">
        <v>4168</v>
      </c>
      <c r="J349" s="1307" t="s">
        <v>1058</v>
      </c>
      <c r="K349" s="1307" t="s">
        <v>4165</v>
      </c>
      <c r="L349" s="1308" t="s">
        <v>2480</v>
      </c>
      <c r="M349" s="1309">
        <v>1.0</v>
      </c>
    </row>
    <row r="350">
      <c r="A350" s="1307"/>
      <c r="B350" s="1307"/>
      <c r="C350" s="1307"/>
      <c r="D350" s="1307"/>
      <c r="E350" s="1307"/>
      <c r="F350" s="1307"/>
      <c r="G350" s="1307">
        <v>2023.0</v>
      </c>
      <c r="H350" s="1307" t="s">
        <v>433</v>
      </c>
      <c r="I350" s="1307" t="s">
        <v>4168</v>
      </c>
      <c r="J350" s="1307" t="s">
        <v>1058</v>
      </c>
      <c r="K350" s="1307" t="s">
        <v>4161</v>
      </c>
      <c r="L350" s="1308" t="s">
        <v>2480</v>
      </c>
      <c r="M350" s="1309">
        <v>1.0</v>
      </c>
    </row>
    <row r="351">
      <c r="A351" s="1307"/>
      <c r="B351" s="1307"/>
      <c r="C351" s="1307"/>
      <c r="D351" s="1307"/>
      <c r="E351" s="1307"/>
      <c r="F351" s="1307"/>
      <c r="G351" s="1307">
        <v>2023.0</v>
      </c>
      <c r="H351" s="1307" t="s">
        <v>433</v>
      </c>
      <c r="I351" s="1307" t="s">
        <v>4168</v>
      </c>
      <c r="J351" s="1307" t="s">
        <v>1058</v>
      </c>
      <c r="K351" s="1307" t="s">
        <v>4160</v>
      </c>
      <c r="L351" s="1308" t="s">
        <v>2480</v>
      </c>
      <c r="M351" s="1309">
        <v>4.0</v>
      </c>
    </row>
    <row r="352">
      <c r="A352" s="1307"/>
      <c r="B352" s="1307"/>
      <c r="C352" s="1307"/>
      <c r="D352" s="1307"/>
      <c r="E352" s="1307"/>
      <c r="F352" s="1307"/>
      <c r="G352" s="1307">
        <v>2023.0</v>
      </c>
      <c r="H352" s="1307" t="s">
        <v>433</v>
      </c>
      <c r="I352" s="1307" t="s">
        <v>4168</v>
      </c>
      <c r="J352" s="1307" t="s">
        <v>4161</v>
      </c>
      <c r="K352" s="1307" t="s">
        <v>1055</v>
      </c>
      <c r="L352" s="1308" t="s">
        <v>1724</v>
      </c>
      <c r="M352" s="1309">
        <v>16.0</v>
      </c>
    </row>
    <row r="353">
      <c r="A353" s="1307"/>
      <c r="B353" s="1307"/>
      <c r="C353" s="1307"/>
      <c r="D353" s="1307"/>
      <c r="E353" s="1307"/>
      <c r="F353" s="1307"/>
      <c r="G353" s="1307">
        <v>2023.0</v>
      </c>
      <c r="H353" s="1307" t="s">
        <v>2061</v>
      </c>
      <c r="I353" s="1307" t="s">
        <v>4169</v>
      </c>
      <c r="J353" s="1307" t="s">
        <v>1058</v>
      </c>
      <c r="K353" s="1307" t="s">
        <v>4156</v>
      </c>
      <c r="L353" s="1308" t="s">
        <v>2480</v>
      </c>
      <c r="M353" s="1309">
        <v>17.0</v>
      </c>
    </row>
    <row r="354">
      <c r="A354" s="1307"/>
      <c r="B354" s="1307"/>
      <c r="C354" s="1307"/>
      <c r="D354" s="1307"/>
      <c r="E354" s="1307"/>
      <c r="F354" s="1307"/>
      <c r="G354" s="1307">
        <v>2023.0</v>
      </c>
      <c r="H354" s="1307" t="s">
        <v>2061</v>
      </c>
      <c r="I354" s="1307" t="s">
        <v>4169</v>
      </c>
      <c r="J354" s="1307" t="s">
        <v>1058</v>
      </c>
      <c r="K354" s="1307" t="s">
        <v>4157</v>
      </c>
      <c r="L354" s="1308" t="s">
        <v>1724</v>
      </c>
      <c r="M354" s="1309">
        <v>2.0</v>
      </c>
    </row>
    <row r="355">
      <c r="A355" s="1307"/>
      <c r="B355" s="1307"/>
      <c r="C355" s="1307"/>
      <c r="D355" s="1307"/>
      <c r="E355" s="1307"/>
      <c r="F355" s="1307"/>
      <c r="G355" s="1307">
        <v>2023.0</v>
      </c>
      <c r="H355" s="1307" t="s">
        <v>2061</v>
      </c>
      <c r="I355" s="1307" t="s">
        <v>4169</v>
      </c>
      <c r="J355" s="1307" t="s">
        <v>1058</v>
      </c>
      <c r="K355" s="1307" t="s">
        <v>4158</v>
      </c>
      <c r="L355" s="1308" t="s">
        <v>2480</v>
      </c>
      <c r="M355" s="1309">
        <v>1.0</v>
      </c>
    </row>
    <row r="356">
      <c r="A356" s="1307"/>
      <c r="B356" s="1307"/>
      <c r="C356" s="1307"/>
      <c r="D356" s="1307"/>
      <c r="E356" s="1307"/>
      <c r="F356" s="1307"/>
      <c r="G356" s="1307">
        <v>2023.0</v>
      </c>
      <c r="H356" s="1307" t="s">
        <v>2061</v>
      </c>
      <c r="I356" s="1307" t="s">
        <v>4169</v>
      </c>
      <c r="J356" s="1307" t="s">
        <v>1058</v>
      </c>
      <c r="K356" s="1307" t="s">
        <v>4159</v>
      </c>
      <c r="L356" s="1308" t="s">
        <v>1724</v>
      </c>
      <c r="M356" s="1309">
        <v>1.0</v>
      </c>
    </row>
    <row r="357">
      <c r="A357" s="1307"/>
      <c r="B357" s="1307"/>
      <c r="C357" s="1307"/>
      <c r="D357" s="1307"/>
      <c r="E357" s="1307"/>
      <c r="F357" s="1307"/>
      <c r="G357" s="1307">
        <v>2023.0</v>
      </c>
      <c r="H357" s="1307" t="s">
        <v>2061</v>
      </c>
      <c r="I357" s="1307" t="s">
        <v>4169</v>
      </c>
      <c r="J357" s="1307" t="s">
        <v>1058</v>
      </c>
      <c r="K357" s="1307" t="s">
        <v>4166</v>
      </c>
      <c r="L357" s="1308" t="s">
        <v>2480</v>
      </c>
      <c r="M357" s="1309">
        <v>1.0</v>
      </c>
    </row>
    <row r="358">
      <c r="A358" s="1307"/>
      <c r="B358" s="1307"/>
      <c r="C358" s="1307"/>
      <c r="D358" s="1307"/>
      <c r="E358" s="1307"/>
      <c r="F358" s="1307"/>
      <c r="G358" s="1307">
        <v>2023.0</v>
      </c>
      <c r="H358" s="1307" t="s">
        <v>2061</v>
      </c>
      <c r="I358" s="1307" t="s">
        <v>4169</v>
      </c>
      <c r="J358" s="1307" t="s">
        <v>1058</v>
      </c>
      <c r="K358" s="1307" t="s">
        <v>4161</v>
      </c>
      <c r="L358" s="1308" t="s">
        <v>2480</v>
      </c>
      <c r="M358" s="1309">
        <v>1.0</v>
      </c>
    </row>
    <row r="359">
      <c r="A359" s="1307"/>
      <c r="B359" s="1307"/>
      <c r="C359" s="1307"/>
      <c r="D359" s="1307"/>
      <c r="E359" s="1307"/>
      <c r="F359" s="1307"/>
      <c r="G359" s="1307">
        <v>2023.0</v>
      </c>
      <c r="H359" s="1307" t="s">
        <v>2061</v>
      </c>
      <c r="I359" s="1307" t="s">
        <v>4169</v>
      </c>
      <c r="J359" s="1307" t="s">
        <v>1058</v>
      </c>
      <c r="K359" s="1307" t="s">
        <v>4160</v>
      </c>
      <c r="L359" s="1308" t="s">
        <v>2480</v>
      </c>
      <c r="M359" s="1309">
        <v>1.0</v>
      </c>
    </row>
    <row r="360">
      <c r="A360" s="1307"/>
      <c r="B360" s="1307"/>
      <c r="C360" s="1307"/>
      <c r="D360" s="1307"/>
      <c r="E360" s="1307"/>
      <c r="F360" s="1307"/>
      <c r="G360" s="1307">
        <v>2023.0</v>
      </c>
      <c r="H360" s="1307" t="s">
        <v>2061</v>
      </c>
      <c r="I360" s="1307" t="s">
        <v>4169</v>
      </c>
      <c r="J360" s="1307" t="s">
        <v>4161</v>
      </c>
      <c r="K360" s="1307" t="s">
        <v>4167</v>
      </c>
      <c r="L360" s="1308" t="s">
        <v>2480</v>
      </c>
      <c r="M360" s="1309">
        <v>1.0</v>
      </c>
    </row>
    <row r="361">
      <c r="A361" s="1307"/>
      <c r="B361" s="1307"/>
      <c r="C361" s="1307"/>
      <c r="D361" s="1307"/>
      <c r="E361" s="1307"/>
      <c r="F361" s="1307"/>
      <c r="G361" s="1307">
        <v>2023.0</v>
      </c>
      <c r="H361" s="1307" t="s">
        <v>2061</v>
      </c>
      <c r="I361" s="1307" t="s">
        <v>4169</v>
      </c>
      <c r="J361" s="1307" t="s">
        <v>4161</v>
      </c>
      <c r="K361" s="1307" t="s">
        <v>1055</v>
      </c>
      <c r="L361" s="1308" t="s">
        <v>1724</v>
      </c>
      <c r="M361" s="1309">
        <v>4.0</v>
      </c>
    </row>
    <row r="362">
      <c r="A362" s="1307"/>
      <c r="B362" s="1307"/>
      <c r="C362" s="1307"/>
      <c r="D362" s="1307"/>
      <c r="E362" s="1307"/>
      <c r="F362" s="1307"/>
      <c r="G362" s="1307">
        <v>2023.0</v>
      </c>
      <c r="H362" s="1307" t="s">
        <v>2061</v>
      </c>
      <c r="I362" s="1307" t="s">
        <v>4169</v>
      </c>
      <c r="J362" s="1307" t="s">
        <v>4161</v>
      </c>
      <c r="K362" s="1307" t="s">
        <v>4161</v>
      </c>
      <c r="L362" s="1308" t="s">
        <v>2480</v>
      </c>
      <c r="M362" s="1309">
        <v>2.0</v>
      </c>
    </row>
    <row r="363">
      <c r="A363" s="1307"/>
      <c r="B363" s="1307"/>
      <c r="C363" s="1307"/>
      <c r="D363" s="1307"/>
      <c r="E363" s="1307"/>
      <c r="F363" s="1307"/>
      <c r="G363" s="1307">
        <v>2023.0</v>
      </c>
      <c r="H363" s="1307" t="s">
        <v>2062</v>
      </c>
      <c r="I363" s="1307" t="s">
        <v>4162</v>
      </c>
      <c r="J363" s="1307" t="s">
        <v>1058</v>
      </c>
      <c r="K363" s="1307" t="s">
        <v>4163</v>
      </c>
      <c r="L363" s="1308" t="s">
        <v>2480</v>
      </c>
      <c r="M363" s="1309">
        <v>4.0</v>
      </c>
    </row>
    <row r="364">
      <c r="A364" s="1307"/>
      <c r="B364" s="1307"/>
      <c r="C364" s="1307"/>
      <c r="D364" s="1307"/>
      <c r="E364" s="1307"/>
      <c r="F364" s="1307"/>
      <c r="G364" s="1307">
        <v>2023.0</v>
      </c>
      <c r="H364" s="1307" t="s">
        <v>2062</v>
      </c>
      <c r="I364" s="1307" t="s">
        <v>4162</v>
      </c>
      <c r="J364" s="1307" t="s">
        <v>1058</v>
      </c>
      <c r="K364" s="1307" t="s">
        <v>4156</v>
      </c>
      <c r="L364" s="1308" t="s">
        <v>2480</v>
      </c>
      <c r="M364" s="1309">
        <v>53.0</v>
      </c>
    </row>
    <row r="365">
      <c r="A365" s="1307"/>
      <c r="B365" s="1307"/>
      <c r="C365" s="1307"/>
      <c r="D365" s="1307"/>
      <c r="E365" s="1307"/>
      <c r="F365" s="1307"/>
      <c r="G365" s="1307">
        <v>2023.0</v>
      </c>
      <c r="H365" s="1307" t="s">
        <v>2062</v>
      </c>
      <c r="I365" s="1307" t="s">
        <v>4162</v>
      </c>
      <c r="J365" s="1307" t="s">
        <v>1058</v>
      </c>
      <c r="K365" s="1307" t="s">
        <v>4157</v>
      </c>
      <c r="L365" s="1308" t="s">
        <v>1724</v>
      </c>
      <c r="M365" s="1309">
        <v>1.0</v>
      </c>
    </row>
    <row r="366">
      <c r="A366" s="1307"/>
      <c r="B366" s="1307"/>
      <c r="C366" s="1307"/>
      <c r="D366" s="1307"/>
      <c r="E366" s="1307"/>
      <c r="F366" s="1307"/>
      <c r="G366" s="1307">
        <v>2023.0</v>
      </c>
      <c r="H366" s="1307" t="s">
        <v>2062</v>
      </c>
      <c r="I366" s="1307" t="s">
        <v>4162</v>
      </c>
      <c r="J366" s="1307" t="s">
        <v>1058</v>
      </c>
      <c r="K366" s="1307" t="s">
        <v>4158</v>
      </c>
      <c r="L366" s="1308" t="s">
        <v>2480</v>
      </c>
      <c r="M366" s="1309">
        <v>10.0</v>
      </c>
    </row>
    <row r="367">
      <c r="A367" s="1307"/>
      <c r="B367" s="1307"/>
      <c r="C367" s="1307"/>
      <c r="D367" s="1307"/>
      <c r="E367" s="1307"/>
      <c r="F367" s="1307"/>
      <c r="G367" s="1307">
        <v>2023.0</v>
      </c>
      <c r="H367" s="1307" t="s">
        <v>2062</v>
      </c>
      <c r="I367" s="1307" t="s">
        <v>4162</v>
      </c>
      <c r="J367" s="1307" t="s">
        <v>1058</v>
      </c>
      <c r="K367" s="1307" t="s">
        <v>4159</v>
      </c>
      <c r="L367" s="1308" t="s">
        <v>1724</v>
      </c>
      <c r="M367" s="1309">
        <v>4.0</v>
      </c>
    </row>
    <row r="368">
      <c r="A368" s="1307"/>
      <c r="B368" s="1307"/>
      <c r="C368" s="1307"/>
      <c r="D368" s="1307"/>
      <c r="E368" s="1307"/>
      <c r="F368" s="1307"/>
      <c r="G368" s="1307">
        <v>2023.0</v>
      </c>
      <c r="H368" s="1307" t="s">
        <v>2062</v>
      </c>
      <c r="I368" s="1307" t="s">
        <v>4162</v>
      </c>
      <c r="J368" s="1307" t="s">
        <v>1058</v>
      </c>
      <c r="K368" s="1307" t="s">
        <v>4165</v>
      </c>
      <c r="L368" s="1308" t="s">
        <v>2480</v>
      </c>
      <c r="M368" s="1309">
        <v>4.0</v>
      </c>
    </row>
    <row r="369">
      <c r="A369" s="1307"/>
      <c r="B369" s="1307"/>
      <c r="C369" s="1307"/>
      <c r="D369" s="1307"/>
      <c r="E369" s="1307"/>
      <c r="F369" s="1307"/>
      <c r="G369" s="1307">
        <v>2023.0</v>
      </c>
      <c r="H369" s="1307" t="s">
        <v>2062</v>
      </c>
      <c r="I369" s="1307" t="s">
        <v>4162</v>
      </c>
      <c r="J369" s="1307" t="s">
        <v>1058</v>
      </c>
      <c r="K369" s="1307" t="s">
        <v>4166</v>
      </c>
      <c r="L369" s="1308" t="s">
        <v>2480</v>
      </c>
      <c r="M369" s="1309">
        <v>3.0</v>
      </c>
    </row>
    <row r="370">
      <c r="A370" s="1307"/>
      <c r="B370" s="1307"/>
      <c r="C370" s="1307"/>
      <c r="D370" s="1307"/>
      <c r="E370" s="1307"/>
      <c r="F370" s="1307"/>
      <c r="G370" s="1307">
        <v>2023.0</v>
      </c>
      <c r="H370" s="1307" t="s">
        <v>2062</v>
      </c>
      <c r="I370" s="1307" t="s">
        <v>4162</v>
      </c>
      <c r="J370" s="1307" t="s">
        <v>1058</v>
      </c>
      <c r="K370" s="1307" t="s">
        <v>4161</v>
      </c>
      <c r="L370" s="1308" t="s">
        <v>2480</v>
      </c>
      <c r="M370" s="1309">
        <v>3.0</v>
      </c>
    </row>
    <row r="371">
      <c r="A371" s="1307"/>
      <c r="B371" s="1307"/>
      <c r="C371" s="1307"/>
      <c r="D371" s="1307"/>
      <c r="E371" s="1307"/>
      <c r="F371" s="1307"/>
      <c r="G371" s="1307">
        <v>2023.0</v>
      </c>
      <c r="H371" s="1307" t="s">
        <v>2062</v>
      </c>
      <c r="I371" s="1307" t="s">
        <v>4162</v>
      </c>
      <c r="J371" s="1307" t="s">
        <v>1058</v>
      </c>
      <c r="K371" s="1307" t="s">
        <v>4160</v>
      </c>
      <c r="L371" s="1308" t="s">
        <v>2480</v>
      </c>
      <c r="M371" s="1309">
        <v>4.0</v>
      </c>
    </row>
    <row r="372">
      <c r="A372" s="1307"/>
      <c r="B372" s="1307"/>
      <c r="C372" s="1307"/>
      <c r="D372" s="1307"/>
      <c r="E372" s="1307"/>
      <c r="F372" s="1307"/>
      <c r="G372" s="1307">
        <v>2023.0</v>
      </c>
      <c r="H372" s="1307" t="s">
        <v>2062</v>
      </c>
      <c r="I372" s="1307" t="s">
        <v>4162</v>
      </c>
      <c r="J372" s="1307" t="s">
        <v>4161</v>
      </c>
      <c r="K372" s="1307" t="s">
        <v>4167</v>
      </c>
      <c r="L372" s="1308" t="s">
        <v>2480</v>
      </c>
      <c r="M372" s="1309">
        <v>4.0</v>
      </c>
    </row>
    <row r="373">
      <c r="A373" s="1307"/>
      <c r="B373" s="1307"/>
      <c r="C373" s="1307"/>
      <c r="D373" s="1307"/>
      <c r="E373" s="1307"/>
      <c r="F373" s="1307"/>
      <c r="G373" s="1307">
        <v>2023.0</v>
      </c>
      <c r="H373" s="1307" t="s">
        <v>2062</v>
      </c>
      <c r="I373" s="1307" t="s">
        <v>4162</v>
      </c>
      <c r="J373" s="1307" t="s">
        <v>4161</v>
      </c>
      <c r="K373" s="1307" t="s">
        <v>4174</v>
      </c>
      <c r="L373" s="1308" t="s">
        <v>2480</v>
      </c>
      <c r="M373" s="1309">
        <v>6.0</v>
      </c>
    </row>
    <row r="374">
      <c r="A374" s="1307"/>
      <c r="B374" s="1307"/>
      <c r="C374" s="1307"/>
      <c r="D374" s="1307"/>
      <c r="E374" s="1307"/>
      <c r="F374" s="1307"/>
      <c r="G374" s="1307">
        <v>2023.0</v>
      </c>
      <c r="H374" s="1307" t="s">
        <v>2062</v>
      </c>
      <c r="I374" s="1307" t="s">
        <v>4162</v>
      </c>
      <c r="J374" s="1307" t="s">
        <v>4161</v>
      </c>
      <c r="K374" s="1307" t="s">
        <v>1055</v>
      </c>
      <c r="L374" s="1307" t="s">
        <v>1724</v>
      </c>
      <c r="M374" s="1320">
        <v>82.0</v>
      </c>
    </row>
    <row r="375">
      <c r="A375" s="1307"/>
      <c r="B375" s="1307"/>
      <c r="C375" s="1307"/>
      <c r="D375" s="1307"/>
      <c r="E375" s="1307"/>
      <c r="F375" s="1307"/>
      <c r="G375" s="1307">
        <v>2023.0</v>
      </c>
      <c r="H375" s="1307" t="s">
        <v>2062</v>
      </c>
      <c r="I375" s="1307" t="s">
        <v>4162</v>
      </c>
      <c r="J375" s="1307" t="s">
        <v>4161</v>
      </c>
      <c r="K375" s="1307" t="s">
        <v>4161</v>
      </c>
      <c r="L375" s="1307" t="s">
        <v>2480</v>
      </c>
      <c r="M375" s="1320">
        <v>8.0</v>
      </c>
    </row>
    <row r="376">
      <c r="A376" s="1307"/>
      <c r="B376" s="1307"/>
      <c r="C376" s="1307"/>
      <c r="D376" s="1307"/>
      <c r="E376" s="1307"/>
      <c r="F376" s="1307"/>
      <c r="G376" s="1307">
        <v>2023.0</v>
      </c>
      <c r="H376" s="1307" t="s">
        <v>415</v>
      </c>
      <c r="I376" s="1307" t="s">
        <v>4175</v>
      </c>
      <c r="J376" s="1307" t="s">
        <v>1058</v>
      </c>
      <c r="K376" s="1307" t="s">
        <v>4163</v>
      </c>
      <c r="L376" s="1307" t="s">
        <v>2480</v>
      </c>
      <c r="M376" s="1320">
        <v>7.0</v>
      </c>
    </row>
    <row r="377">
      <c r="A377" s="1307"/>
      <c r="B377" s="1307"/>
      <c r="C377" s="1307"/>
      <c r="D377" s="1307"/>
      <c r="E377" s="1307"/>
      <c r="F377" s="1307"/>
      <c r="G377" s="1307">
        <v>2023.0</v>
      </c>
      <c r="H377" s="1307" t="s">
        <v>415</v>
      </c>
      <c r="I377" s="1307" t="s">
        <v>4175</v>
      </c>
      <c r="J377" s="1307" t="s">
        <v>1058</v>
      </c>
      <c r="K377" s="1307" t="s">
        <v>4156</v>
      </c>
      <c r="L377" s="1307" t="s">
        <v>2480</v>
      </c>
      <c r="M377" s="1320">
        <v>99.0</v>
      </c>
    </row>
    <row r="378">
      <c r="A378" s="1307"/>
      <c r="B378" s="1307"/>
      <c r="C378" s="1307"/>
      <c r="D378" s="1307"/>
      <c r="E378" s="1307"/>
      <c r="F378" s="1307"/>
      <c r="G378" s="1307">
        <v>2023.0</v>
      </c>
      <c r="H378" s="1307" t="s">
        <v>415</v>
      </c>
      <c r="I378" s="1307" t="s">
        <v>4175</v>
      </c>
      <c r="J378" s="1307" t="s">
        <v>1058</v>
      </c>
      <c r="K378" s="1307" t="s">
        <v>4158</v>
      </c>
      <c r="L378" s="1307" t="s">
        <v>2480</v>
      </c>
      <c r="M378" s="1320">
        <v>25.0</v>
      </c>
    </row>
    <row r="379">
      <c r="A379" s="1307"/>
      <c r="B379" s="1307"/>
      <c r="C379" s="1307"/>
      <c r="D379" s="1307"/>
      <c r="E379" s="1307"/>
      <c r="F379" s="1307"/>
      <c r="G379" s="1307">
        <v>2023.0</v>
      </c>
      <c r="H379" s="1307" t="s">
        <v>415</v>
      </c>
      <c r="I379" s="1307" t="s">
        <v>4175</v>
      </c>
      <c r="J379" s="1307" t="s">
        <v>1058</v>
      </c>
      <c r="K379" s="1307" t="s">
        <v>4159</v>
      </c>
      <c r="L379" s="1307" t="s">
        <v>1724</v>
      </c>
      <c r="M379" s="1320">
        <v>9.0</v>
      </c>
    </row>
    <row r="380">
      <c r="A380" s="1307"/>
      <c r="B380" s="1307"/>
      <c r="C380" s="1307"/>
      <c r="D380" s="1307"/>
      <c r="E380" s="1307"/>
      <c r="F380" s="1307"/>
      <c r="G380" s="1307">
        <v>2023.0</v>
      </c>
      <c r="H380" s="1307" t="s">
        <v>415</v>
      </c>
      <c r="I380" s="1307" t="s">
        <v>4175</v>
      </c>
      <c r="J380" s="1307" t="s">
        <v>1058</v>
      </c>
      <c r="K380" s="1307" t="s">
        <v>4165</v>
      </c>
      <c r="L380" s="1307" t="s">
        <v>2480</v>
      </c>
      <c r="M380" s="1320">
        <v>4.0</v>
      </c>
    </row>
    <row r="381">
      <c r="A381" s="1307"/>
      <c r="B381" s="1307"/>
      <c r="C381" s="1307"/>
      <c r="D381" s="1307"/>
      <c r="E381" s="1307"/>
      <c r="F381" s="1307"/>
      <c r="G381" s="1307">
        <v>2023.0</v>
      </c>
      <c r="H381" s="1307" t="s">
        <v>415</v>
      </c>
      <c r="I381" s="1307" t="s">
        <v>4175</v>
      </c>
      <c r="J381" s="1307" t="s">
        <v>1058</v>
      </c>
      <c r="K381" s="1307" t="s">
        <v>4166</v>
      </c>
      <c r="L381" s="1307" t="s">
        <v>2480</v>
      </c>
      <c r="M381" s="1320">
        <v>11.0</v>
      </c>
    </row>
    <row r="382">
      <c r="A382" s="1307"/>
      <c r="B382" s="1307"/>
      <c r="C382" s="1307"/>
      <c r="D382" s="1307"/>
      <c r="E382" s="1307"/>
      <c r="F382" s="1307"/>
      <c r="G382" s="1307">
        <v>2023.0</v>
      </c>
      <c r="H382" s="1307" t="s">
        <v>415</v>
      </c>
      <c r="I382" s="1307" t="s">
        <v>4175</v>
      </c>
      <c r="J382" s="1307" t="s">
        <v>1058</v>
      </c>
      <c r="K382" s="1307" t="s">
        <v>4161</v>
      </c>
      <c r="L382" s="1307" t="s">
        <v>2480</v>
      </c>
      <c r="M382" s="1320">
        <v>1.0</v>
      </c>
    </row>
    <row r="383">
      <c r="A383" s="1307"/>
      <c r="B383" s="1307"/>
      <c r="C383" s="1307"/>
      <c r="D383" s="1307"/>
      <c r="E383" s="1307"/>
      <c r="F383" s="1307"/>
      <c r="G383" s="1307">
        <v>2023.0</v>
      </c>
      <c r="H383" s="1307" t="s">
        <v>415</v>
      </c>
      <c r="I383" s="1307" t="s">
        <v>4175</v>
      </c>
      <c r="J383" s="1307" t="s">
        <v>1058</v>
      </c>
      <c r="K383" s="1307" t="s">
        <v>4160</v>
      </c>
      <c r="L383" s="1307" t="s">
        <v>2480</v>
      </c>
      <c r="M383" s="1320">
        <v>16.0</v>
      </c>
    </row>
    <row r="384">
      <c r="A384" s="1307"/>
      <c r="B384" s="1307"/>
      <c r="C384" s="1307"/>
      <c r="D384" s="1307"/>
      <c r="E384" s="1307"/>
      <c r="F384" s="1307"/>
      <c r="G384" s="1307">
        <v>2023.0</v>
      </c>
      <c r="H384" s="1307" t="s">
        <v>415</v>
      </c>
      <c r="I384" s="1307" t="s">
        <v>4175</v>
      </c>
      <c r="J384" s="1307" t="s">
        <v>4161</v>
      </c>
      <c r="K384" s="1307" t="s">
        <v>4167</v>
      </c>
      <c r="L384" s="1307" t="s">
        <v>2480</v>
      </c>
      <c r="M384" s="1320">
        <v>10.0</v>
      </c>
    </row>
    <row r="385">
      <c r="A385" s="1307"/>
      <c r="B385" s="1307"/>
      <c r="C385" s="1307"/>
      <c r="D385" s="1307"/>
      <c r="E385" s="1307"/>
      <c r="F385" s="1307"/>
      <c r="G385" s="1307">
        <v>2023.0</v>
      </c>
      <c r="H385" s="1307" t="s">
        <v>415</v>
      </c>
      <c r="I385" s="1307" t="s">
        <v>4175</v>
      </c>
      <c r="J385" s="1307" t="s">
        <v>4161</v>
      </c>
      <c r="K385" s="1307" t="s">
        <v>4174</v>
      </c>
      <c r="L385" s="1307" t="s">
        <v>2480</v>
      </c>
      <c r="M385" s="1320">
        <v>4.0</v>
      </c>
    </row>
    <row r="386">
      <c r="A386" s="1307"/>
      <c r="B386" s="1307"/>
      <c r="C386" s="1307"/>
      <c r="D386" s="1307"/>
      <c r="E386" s="1307"/>
      <c r="F386" s="1307"/>
      <c r="G386" s="1307">
        <v>2023.0</v>
      </c>
      <c r="H386" s="1307" t="s">
        <v>415</v>
      </c>
      <c r="I386" s="1307" t="s">
        <v>4175</v>
      </c>
      <c r="J386" s="1307" t="s">
        <v>4161</v>
      </c>
      <c r="K386" s="1307" t="s">
        <v>1055</v>
      </c>
      <c r="L386" s="1307" t="s">
        <v>1724</v>
      </c>
      <c r="M386" s="1320">
        <v>84.0</v>
      </c>
    </row>
    <row r="387">
      <c r="A387" s="1307"/>
      <c r="B387" s="1307"/>
      <c r="C387" s="1307"/>
      <c r="D387" s="1307"/>
      <c r="E387" s="1307"/>
      <c r="F387" s="1307"/>
      <c r="G387" s="1307">
        <v>2023.0</v>
      </c>
      <c r="H387" s="1307" t="s">
        <v>415</v>
      </c>
      <c r="I387" s="1307" t="s">
        <v>4175</v>
      </c>
      <c r="J387" s="1307" t="s">
        <v>4161</v>
      </c>
      <c r="K387" s="1307" t="s">
        <v>4161</v>
      </c>
      <c r="L387" s="1307" t="s">
        <v>2480</v>
      </c>
      <c r="M387" s="1320">
        <v>6.0</v>
      </c>
    </row>
    <row r="388">
      <c r="A388" s="1307"/>
      <c r="B388" s="1307"/>
      <c r="C388" s="1307"/>
      <c r="D388" s="1307"/>
      <c r="E388" s="1307"/>
      <c r="F388" s="1307"/>
      <c r="G388" s="1307">
        <v>2023.0</v>
      </c>
      <c r="H388" s="1307" t="s">
        <v>969</v>
      </c>
      <c r="I388" s="1307" t="s">
        <v>4176</v>
      </c>
      <c r="J388" s="1307" t="s">
        <v>1058</v>
      </c>
      <c r="K388" s="1307" t="s">
        <v>4156</v>
      </c>
      <c r="L388" s="1307" t="s">
        <v>2480</v>
      </c>
      <c r="M388" s="1320">
        <v>26.0</v>
      </c>
    </row>
    <row r="389">
      <c r="A389" s="1307"/>
      <c r="B389" s="1307"/>
      <c r="C389" s="1307"/>
      <c r="D389" s="1307"/>
      <c r="E389" s="1307"/>
      <c r="F389" s="1307"/>
      <c r="G389" s="1307">
        <v>2023.0</v>
      </c>
      <c r="H389" s="1307" t="s">
        <v>969</v>
      </c>
      <c r="I389" s="1307" t="s">
        <v>4176</v>
      </c>
      <c r="J389" s="1307" t="s">
        <v>1058</v>
      </c>
      <c r="K389" s="1307" t="s">
        <v>4166</v>
      </c>
      <c r="L389" s="1307" t="s">
        <v>2480</v>
      </c>
      <c r="M389" s="1320">
        <v>2.0</v>
      </c>
    </row>
    <row r="390">
      <c r="A390" s="1307"/>
      <c r="B390" s="1307"/>
      <c r="C390" s="1307"/>
      <c r="D390" s="1307"/>
      <c r="E390" s="1307"/>
      <c r="F390" s="1307"/>
      <c r="G390" s="1307">
        <v>2023.0</v>
      </c>
      <c r="H390" s="1307" t="s">
        <v>969</v>
      </c>
      <c r="I390" s="1307" t="s">
        <v>4176</v>
      </c>
      <c r="J390" s="1307" t="s">
        <v>1058</v>
      </c>
      <c r="K390" s="1307" t="s">
        <v>4160</v>
      </c>
      <c r="L390" s="1307" t="s">
        <v>2480</v>
      </c>
      <c r="M390" s="1320">
        <v>2.0</v>
      </c>
    </row>
    <row r="391">
      <c r="A391" s="1307"/>
      <c r="B391" s="1307"/>
      <c r="C391" s="1307"/>
      <c r="D391" s="1307"/>
      <c r="E391" s="1307"/>
      <c r="F391" s="1307"/>
      <c r="G391" s="1307">
        <v>2023.0</v>
      </c>
      <c r="H391" s="1307" t="s">
        <v>969</v>
      </c>
      <c r="I391" s="1307" t="s">
        <v>4176</v>
      </c>
      <c r="J391" s="1307" t="s">
        <v>4161</v>
      </c>
      <c r="K391" s="1307" t="s">
        <v>1055</v>
      </c>
      <c r="L391" s="1307" t="s">
        <v>1724</v>
      </c>
      <c r="M391" s="1320">
        <v>14.0</v>
      </c>
    </row>
    <row r="392">
      <c r="A392" s="1307"/>
      <c r="B392" s="1307"/>
      <c r="C392" s="1307"/>
      <c r="D392" s="1307"/>
      <c r="E392" s="1307"/>
      <c r="F392" s="1307"/>
      <c r="G392" s="1307">
        <v>2023.0</v>
      </c>
      <c r="H392" s="1307" t="s">
        <v>969</v>
      </c>
      <c r="I392" s="1307" t="s">
        <v>4176</v>
      </c>
      <c r="J392" s="1307" t="s">
        <v>4161</v>
      </c>
      <c r="K392" s="1307" t="s">
        <v>4161</v>
      </c>
      <c r="L392" s="1307" t="s">
        <v>2480</v>
      </c>
      <c r="M392" s="1320">
        <v>1.0</v>
      </c>
    </row>
    <row r="393">
      <c r="A393" s="1307"/>
      <c r="B393" s="1307"/>
      <c r="C393" s="1307"/>
      <c r="D393" s="1307"/>
      <c r="E393" s="1307"/>
      <c r="F393" s="1307"/>
      <c r="G393" s="1307">
        <v>2023.0</v>
      </c>
      <c r="H393" s="1307" t="s">
        <v>2064</v>
      </c>
      <c r="I393" s="1307" t="s">
        <v>4176</v>
      </c>
      <c r="J393" s="1307" t="s">
        <v>1058</v>
      </c>
      <c r="K393" s="1307" t="s">
        <v>4163</v>
      </c>
      <c r="L393" s="1307" t="s">
        <v>2480</v>
      </c>
      <c r="M393" s="1320">
        <v>1.0</v>
      </c>
    </row>
    <row r="394">
      <c r="A394" s="1307"/>
      <c r="B394" s="1307"/>
      <c r="C394" s="1307"/>
      <c r="D394" s="1307"/>
      <c r="E394" s="1307"/>
      <c r="F394" s="1307"/>
      <c r="G394" s="1307">
        <v>2023.0</v>
      </c>
      <c r="H394" s="1307" t="s">
        <v>2064</v>
      </c>
      <c r="I394" s="1307" t="s">
        <v>4176</v>
      </c>
      <c r="J394" s="1307" t="s">
        <v>1058</v>
      </c>
      <c r="K394" s="1307" t="s">
        <v>4156</v>
      </c>
      <c r="L394" s="1307" t="s">
        <v>2480</v>
      </c>
      <c r="M394" s="1320">
        <v>3.0</v>
      </c>
    </row>
    <row r="395">
      <c r="A395" s="1307"/>
      <c r="B395" s="1307"/>
      <c r="C395" s="1307"/>
      <c r="D395" s="1307"/>
      <c r="E395" s="1307"/>
      <c r="F395" s="1307"/>
      <c r="G395" s="1307">
        <v>2023.0</v>
      </c>
      <c r="H395" s="1307" t="s">
        <v>2064</v>
      </c>
      <c r="I395" s="1307" t="s">
        <v>4176</v>
      </c>
      <c r="J395" s="1307" t="s">
        <v>1058</v>
      </c>
      <c r="K395" s="1307" t="s">
        <v>4166</v>
      </c>
      <c r="L395" s="1307" t="s">
        <v>2480</v>
      </c>
      <c r="M395" s="1320">
        <v>1.0</v>
      </c>
    </row>
    <row r="396">
      <c r="A396" s="1307"/>
      <c r="B396" s="1307"/>
      <c r="C396" s="1307"/>
      <c r="D396" s="1307"/>
      <c r="E396" s="1307"/>
      <c r="F396" s="1307"/>
      <c r="G396" s="1307">
        <v>2023.0</v>
      </c>
      <c r="H396" s="1307" t="s">
        <v>2064</v>
      </c>
      <c r="I396" s="1307" t="s">
        <v>4176</v>
      </c>
      <c r="J396" s="1307" t="s">
        <v>1058</v>
      </c>
      <c r="K396" s="1307" t="s">
        <v>4161</v>
      </c>
      <c r="L396" s="1307" t="s">
        <v>2480</v>
      </c>
      <c r="M396" s="1320">
        <v>1.0</v>
      </c>
    </row>
    <row r="397">
      <c r="A397" s="1307"/>
      <c r="B397" s="1307"/>
      <c r="C397" s="1307"/>
      <c r="D397" s="1307"/>
      <c r="E397" s="1307"/>
      <c r="F397" s="1307"/>
      <c r="G397" s="1307">
        <v>2023.0</v>
      </c>
      <c r="H397" s="1307" t="s">
        <v>2064</v>
      </c>
      <c r="I397" s="1307" t="s">
        <v>4176</v>
      </c>
      <c r="J397" s="1307" t="s">
        <v>1058</v>
      </c>
      <c r="K397" s="1307" t="s">
        <v>4160</v>
      </c>
      <c r="L397" s="1307" t="s">
        <v>2480</v>
      </c>
      <c r="M397" s="1320">
        <v>1.0</v>
      </c>
    </row>
    <row r="398">
      <c r="A398" s="1307"/>
      <c r="B398" s="1307"/>
      <c r="C398" s="1307"/>
      <c r="D398" s="1307"/>
      <c r="E398" s="1307"/>
      <c r="F398" s="1307"/>
      <c r="G398" s="1307">
        <v>2023.0</v>
      </c>
      <c r="H398" s="1307" t="s">
        <v>2064</v>
      </c>
      <c r="I398" s="1307" t="s">
        <v>4176</v>
      </c>
      <c r="J398" s="1307" t="s">
        <v>4161</v>
      </c>
      <c r="K398" s="1307" t="s">
        <v>1055</v>
      </c>
      <c r="L398" s="1307" t="s">
        <v>1724</v>
      </c>
      <c r="M398" s="1320">
        <v>4.0</v>
      </c>
    </row>
    <row r="399">
      <c r="A399" s="1307"/>
      <c r="B399" s="1307"/>
      <c r="C399" s="1307"/>
      <c r="D399" s="1307"/>
      <c r="E399" s="1307"/>
      <c r="F399" s="1307"/>
      <c r="G399" s="1307">
        <v>2023.0</v>
      </c>
      <c r="H399" s="1307" t="s">
        <v>2065</v>
      </c>
      <c r="I399" s="1307" t="s">
        <v>4173</v>
      </c>
      <c r="J399" s="1307" t="s">
        <v>1058</v>
      </c>
      <c r="K399" s="1307" t="s">
        <v>4156</v>
      </c>
      <c r="L399" s="1307" t="s">
        <v>2480</v>
      </c>
      <c r="M399" s="1320">
        <v>4.0</v>
      </c>
    </row>
    <row r="400">
      <c r="A400" s="1307"/>
      <c r="B400" s="1307"/>
      <c r="C400" s="1307"/>
      <c r="D400" s="1307"/>
      <c r="E400" s="1307"/>
      <c r="F400" s="1307"/>
      <c r="G400" s="1307">
        <v>2023.0</v>
      </c>
      <c r="H400" s="1307" t="s">
        <v>2065</v>
      </c>
      <c r="I400" s="1307" t="s">
        <v>4173</v>
      </c>
      <c r="J400" s="1307" t="s">
        <v>1058</v>
      </c>
      <c r="K400" s="1307" t="s">
        <v>4166</v>
      </c>
      <c r="L400" s="1307" t="s">
        <v>2480</v>
      </c>
      <c r="M400" s="1320">
        <v>1.0</v>
      </c>
    </row>
    <row r="401">
      <c r="A401" s="1307"/>
      <c r="B401" s="1307"/>
      <c r="C401" s="1307"/>
      <c r="D401" s="1307"/>
      <c r="E401" s="1307"/>
      <c r="F401" s="1307"/>
      <c r="G401" s="1307">
        <v>2023.0</v>
      </c>
      <c r="H401" s="1307" t="s">
        <v>2065</v>
      </c>
      <c r="I401" s="1307" t="s">
        <v>4173</v>
      </c>
      <c r="J401" s="1307" t="s">
        <v>1058</v>
      </c>
      <c r="K401" s="1307" t="s">
        <v>4160</v>
      </c>
      <c r="L401" s="1307" t="s">
        <v>2480</v>
      </c>
      <c r="M401" s="1320">
        <v>4.0</v>
      </c>
    </row>
    <row r="402">
      <c r="A402" s="1307"/>
      <c r="B402" s="1307"/>
      <c r="C402" s="1307"/>
      <c r="D402" s="1307"/>
      <c r="E402" s="1307"/>
      <c r="F402" s="1307"/>
      <c r="G402" s="1307">
        <v>2023.0</v>
      </c>
      <c r="H402" s="1307" t="s">
        <v>2065</v>
      </c>
      <c r="I402" s="1307" t="s">
        <v>4173</v>
      </c>
      <c r="J402" s="1307" t="s">
        <v>4161</v>
      </c>
      <c r="K402" s="1307" t="s">
        <v>1055</v>
      </c>
      <c r="L402" s="1307" t="s">
        <v>1724</v>
      </c>
      <c r="M402" s="1320">
        <v>12.0</v>
      </c>
    </row>
    <row r="403">
      <c r="A403" s="1307"/>
      <c r="B403" s="1307"/>
      <c r="C403" s="1307"/>
      <c r="D403" s="1307"/>
      <c r="E403" s="1307"/>
      <c r="F403" s="1307"/>
      <c r="G403" s="1307">
        <v>2023.0</v>
      </c>
      <c r="H403" s="1307" t="s">
        <v>2065</v>
      </c>
      <c r="I403" s="1307" t="s">
        <v>4173</v>
      </c>
      <c r="J403" s="1307" t="s">
        <v>4161</v>
      </c>
      <c r="K403" s="1307" t="s">
        <v>4161</v>
      </c>
      <c r="L403" s="1307" t="s">
        <v>2480</v>
      </c>
      <c r="M403" s="1320">
        <v>1.0</v>
      </c>
    </row>
    <row r="404">
      <c r="A404" s="1307"/>
      <c r="B404" s="1307"/>
      <c r="C404" s="1307"/>
      <c r="D404" s="1307"/>
      <c r="E404" s="1307"/>
      <c r="F404" s="1307"/>
      <c r="G404" s="1307">
        <v>2023.0</v>
      </c>
      <c r="H404" s="1307" t="s">
        <v>574</v>
      </c>
      <c r="I404" s="1307" t="s">
        <v>4176</v>
      </c>
      <c r="J404" s="1307" t="s">
        <v>1058</v>
      </c>
      <c r="K404" s="1307" t="s">
        <v>4156</v>
      </c>
      <c r="L404" s="1307" t="s">
        <v>2480</v>
      </c>
      <c r="M404" s="1320">
        <v>10.0</v>
      </c>
    </row>
    <row r="405">
      <c r="A405" s="1307"/>
      <c r="B405" s="1307"/>
      <c r="C405" s="1307"/>
      <c r="D405" s="1307"/>
      <c r="E405" s="1307"/>
      <c r="F405" s="1307"/>
      <c r="G405" s="1307">
        <v>2023.0</v>
      </c>
      <c r="H405" s="1307" t="s">
        <v>574</v>
      </c>
      <c r="I405" s="1307" t="s">
        <v>4176</v>
      </c>
      <c r="J405" s="1307" t="s">
        <v>1058</v>
      </c>
      <c r="K405" s="1307" t="s">
        <v>4166</v>
      </c>
      <c r="L405" s="1307" t="s">
        <v>2480</v>
      </c>
      <c r="M405" s="1320">
        <v>1.0</v>
      </c>
    </row>
    <row r="406">
      <c r="A406" s="1307"/>
      <c r="B406" s="1307"/>
      <c r="C406" s="1307"/>
      <c r="D406" s="1307"/>
      <c r="E406" s="1307"/>
      <c r="F406" s="1307"/>
      <c r="G406" s="1307">
        <v>2023.0</v>
      </c>
      <c r="H406" s="1307" t="s">
        <v>574</v>
      </c>
      <c r="I406" s="1307" t="s">
        <v>4176</v>
      </c>
      <c r="J406" s="1307" t="s">
        <v>1058</v>
      </c>
      <c r="K406" s="1307" t="s">
        <v>4161</v>
      </c>
      <c r="L406" s="1307" t="s">
        <v>2480</v>
      </c>
      <c r="M406" s="1320">
        <v>1.0</v>
      </c>
    </row>
    <row r="407">
      <c r="A407" s="1307"/>
      <c r="B407" s="1307"/>
      <c r="C407" s="1307"/>
      <c r="D407" s="1307"/>
      <c r="E407" s="1307"/>
      <c r="F407" s="1307"/>
      <c r="G407" s="1307">
        <v>2023.0</v>
      </c>
      <c r="H407" s="1307" t="s">
        <v>574</v>
      </c>
      <c r="I407" s="1307" t="s">
        <v>4176</v>
      </c>
      <c r="J407" s="1307" t="s">
        <v>1058</v>
      </c>
      <c r="K407" s="1307" t="s">
        <v>4160</v>
      </c>
      <c r="L407" s="1307" t="s">
        <v>2480</v>
      </c>
      <c r="M407" s="1320">
        <v>3.0</v>
      </c>
    </row>
    <row r="408">
      <c r="A408" s="1307"/>
      <c r="B408" s="1307"/>
      <c r="C408" s="1307"/>
      <c r="D408" s="1307"/>
      <c r="E408" s="1307"/>
      <c r="F408" s="1307"/>
      <c r="G408" s="1307">
        <v>2023.0</v>
      </c>
      <c r="H408" s="1307" t="s">
        <v>574</v>
      </c>
      <c r="I408" s="1307" t="s">
        <v>4176</v>
      </c>
      <c r="J408" s="1307" t="s">
        <v>4161</v>
      </c>
      <c r="K408" s="1307" t="s">
        <v>1055</v>
      </c>
      <c r="L408" s="1307" t="s">
        <v>1724</v>
      </c>
      <c r="M408" s="1320">
        <v>7.0</v>
      </c>
    </row>
    <row r="409">
      <c r="A409" s="1307"/>
      <c r="B409" s="1307"/>
      <c r="C409" s="1307"/>
      <c r="D409" s="1307"/>
      <c r="E409" s="1307"/>
      <c r="F409" s="1307"/>
      <c r="G409" s="1307">
        <v>2023.0</v>
      </c>
      <c r="H409" s="1307" t="s">
        <v>135</v>
      </c>
      <c r="I409" s="1307" t="s">
        <v>4173</v>
      </c>
      <c r="J409" s="1307" t="s">
        <v>1058</v>
      </c>
      <c r="K409" s="1307" t="s">
        <v>4156</v>
      </c>
      <c r="L409" s="1307" t="s">
        <v>2480</v>
      </c>
      <c r="M409" s="1320">
        <v>2.0</v>
      </c>
    </row>
    <row r="410">
      <c r="A410" s="1307"/>
      <c r="B410" s="1307"/>
      <c r="C410" s="1307"/>
      <c r="D410" s="1307"/>
      <c r="E410" s="1307"/>
      <c r="F410" s="1307"/>
      <c r="G410" s="1307">
        <v>2023.0</v>
      </c>
      <c r="H410" s="1307" t="s">
        <v>135</v>
      </c>
      <c r="I410" s="1307" t="s">
        <v>4173</v>
      </c>
      <c r="J410" s="1307" t="s">
        <v>1058</v>
      </c>
      <c r="K410" s="1307" t="s">
        <v>4160</v>
      </c>
      <c r="L410" s="1307" t="s">
        <v>2480</v>
      </c>
      <c r="M410" s="1320">
        <v>1.0</v>
      </c>
    </row>
    <row r="411">
      <c r="A411" s="1307"/>
      <c r="B411" s="1307"/>
      <c r="C411" s="1307"/>
      <c r="D411" s="1307"/>
      <c r="E411" s="1307"/>
      <c r="F411" s="1307"/>
      <c r="G411" s="1307">
        <v>2023.0</v>
      </c>
      <c r="H411" s="1307" t="s">
        <v>135</v>
      </c>
      <c r="I411" s="1307" t="s">
        <v>4173</v>
      </c>
      <c r="J411" s="1307" t="s">
        <v>4161</v>
      </c>
      <c r="K411" s="1307" t="s">
        <v>1055</v>
      </c>
      <c r="L411" s="1307" t="s">
        <v>1724</v>
      </c>
      <c r="M411" s="1320">
        <v>2.0</v>
      </c>
    </row>
    <row r="412">
      <c r="A412" s="1307"/>
      <c r="B412" s="1307"/>
      <c r="C412" s="1307"/>
      <c r="D412" s="1307"/>
      <c r="E412" s="1307"/>
      <c r="F412" s="1307"/>
      <c r="G412" s="1307">
        <v>2023.0</v>
      </c>
      <c r="H412" s="1307" t="s">
        <v>2066</v>
      </c>
      <c r="I412" s="1307" t="s">
        <v>4169</v>
      </c>
      <c r="J412" s="1307" t="s">
        <v>4161</v>
      </c>
      <c r="K412" s="1307" t="s">
        <v>1055</v>
      </c>
      <c r="L412" s="1307" t="s">
        <v>1724</v>
      </c>
      <c r="M412" s="1320">
        <v>3.0</v>
      </c>
    </row>
    <row r="413">
      <c r="A413" s="1307"/>
      <c r="B413" s="1307"/>
      <c r="C413" s="1307"/>
      <c r="D413" s="1307"/>
      <c r="E413" s="1307"/>
      <c r="F413" s="1307"/>
      <c r="G413" s="1307">
        <v>2023.0</v>
      </c>
      <c r="H413" s="1307" t="s">
        <v>2067</v>
      </c>
      <c r="I413" s="1307" t="s">
        <v>4169</v>
      </c>
      <c r="J413" s="1307" t="s">
        <v>1058</v>
      </c>
      <c r="K413" s="1307" t="s">
        <v>4156</v>
      </c>
      <c r="L413" s="1307" t="s">
        <v>2480</v>
      </c>
      <c r="M413" s="1320">
        <v>3.0</v>
      </c>
    </row>
    <row r="414">
      <c r="A414" s="1307"/>
      <c r="B414" s="1307"/>
      <c r="C414" s="1307"/>
      <c r="D414" s="1307"/>
      <c r="E414" s="1307"/>
      <c r="F414" s="1307"/>
      <c r="G414" s="1307">
        <v>2023.0</v>
      </c>
      <c r="H414" s="1307" t="s">
        <v>527</v>
      </c>
      <c r="I414" s="1307" t="s">
        <v>4172</v>
      </c>
      <c r="J414" s="1307" t="s">
        <v>1058</v>
      </c>
      <c r="K414" s="1307" t="s">
        <v>4163</v>
      </c>
      <c r="L414" s="1307" t="s">
        <v>2480</v>
      </c>
      <c r="M414" s="1320">
        <v>1.0</v>
      </c>
    </row>
    <row r="415">
      <c r="A415" s="1307"/>
      <c r="B415" s="1307"/>
      <c r="C415" s="1307"/>
      <c r="D415" s="1307"/>
      <c r="E415" s="1307"/>
      <c r="F415" s="1307"/>
      <c r="G415" s="1307">
        <v>2023.0</v>
      </c>
      <c r="H415" s="1307" t="s">
        <v>527</v>
      </c>
      <c r="I415" s="1307" t="s">
        <v>4172</v>
      </c>
      <c r="J415" s="1307" t="s">
        <v>1058</v>
      </c>
      <c r="K415" s="1307" t="s">
        <v>4156</v>
      </c>
      <c r="L415" s="1307" t="s">
        <v>2480</v>
      </c>
      <c r="M415" s="1320">
        <v>45.0</v>
      </c>
    </row>
    <row r="416">
      <c r="A416" s="1307"/>
      <c r="B416" s="1307"/>
      <c r="C416" s="1307"/>
      <c r="D416" s="1307"/>
      <c r="E416" s="1307"/>
      <c r="F416" s="1307"/>
      <c r="G416" s="1307">
        <v>2023.0</v>
      </c>
      <c r="H416" s="1307" t="s">
        <v>527</v>
      </c>
      <c r="I416" s="1307" t="s">
        <v>4172</v>
      </c>
      <c r="J416" s="1307" t="s">
        <v>1058</v>
      </c>
      <c r="K416" s="1307" t="s">
        <v>4157</v>
      </c>
      <c r="L416" s="1307" t="s">
        <v>1724</v>
      </c>
      <c r="M416" s="1320">
        <v>6.0</v>
      </c>
    </row>
    <row r="417">
      <c r="A417" s="1307"/>
      <c r="B417" s="1307"/>
      <c r="C417" s="1307"/>
      <c r="D417" s="1307"/>
      <c r="E417" s="1307"/>
      <c r="F417" s="1307"/>
      <c r="G417" s="1307">
        <v>2023.0</v>
      </c>
      <c r="H417" s="1307" t="s">
        <v>527</v>
      </c>
      <c r="I417" s="1307" t="s">
        <v>4172</v>
      </c>
      <c r="J417" s="1307" t="s">
        <v>1058</v>
      </c>
      <c r="K417" s="1307" t="s">
        <v>4165</v>
      </c>
      <c r="L417" s="1307" t="s">
        <v>2480</v>
      </c>
      <c r="M417" s="1320">
        <v>1.0</v>
      </c>
    </row>
    <row r="418">
      <c r="A418" s="1307"/>
      <c r="B418" s="1307"/>
      <c r="C418" s="1307"/>
      <c r="D418" s="1307"/>
      <c r="E418" s="1307"/>
      <c r="F418" s="1307"/>
      <c r="G418" s="1307">
        <v>2023.0</v>
      </c>
      <c r="H418" s="1307" t="s">
        <v>527</v>
      </c>
      <c r="I418" s="1307" t="s">
        <v>4172</v>
      </c>
      <c r="J418" s="1307" t="s">
        <v>1058</v>
      </c>
      <c r="K418" s="1307" t="s">
        <v>4166</v>
      </c>
      <c r="L418" s="1307" t="s">
        <v>2480</v>
      </c>
      <c r="M418" s="1320">
        <v>8.0</v>
      </c>
    </row>
    <row r="419">
      <c r="A419" s="1307"/>
      <c r="B419" s="1307"/>
      <c r="C419" s="1307"/>
      <c r="D419" s="1307"/>
      <c r="E419" s="1307"/>
      <c r="F419" s="1307"/>
      <c r="G419" s="1307">
        <v>2023.0</v>
      </c>
      <c r="H419" s="1307" t="s">
        <v>527</v>
      </c>
      <c r="I419" s="1307" t="s">
        <v>4172</v>
      </c>
      <c r="J419" s="1307" t="s">
        <v>1058</v>
      </c>
      <c r="K419" s="1307" t="s">
        <v>4161</v>
      </c>
      <c r="L419" s="1307" t="s">
        <v>2480</v>
      </c>
      <c r="M419" s="1320">
        <v>1.0</v>
      </c>
    </row>
    <row r="420">
      <c r="A420" s="1307"/>
      <c r="B420" s="1307"/>
      <c r="C420" s="1307"/>
      <c r="D420" s="1307"/>
      <c r="E420" s="1307"/>
      <c r="F420" s="1307"/>
      <c r="G420" s="1307">
        <v>2023.0</v>
      </c>
      <c r="H420" s="1307" t="s">
        <v>527</v>
      </c>
      <c r="I420" s="1307" t="s">
        <v>4172</v>
      </c>
      <c r="J420" s="1307" t="s">
        <v>1058</v>
      </c>
      <c r="K420" s="1307" t="s">
        <v>4160</v>
      </c>
      <c r="L420" s="1307" t="s">
        <v>2480</v>
      </c>
      <c r="M420" s="1320">
        <v>4.0</v>
      </c>
    </row>
    <row r="421">
      <c r="A421" s="1307"/>
      <c r="B421" s="1307"/>
      <c r="C421" s="1307"/>
      <c r="D421" s="1307"/>
      <c r="E421" s="1307"/>
      <c r="F421" s="1307"/>
      <c r="G421" s="1307">
        <v>2023.0</v>
      </c>
      <c r="H421" s="1307" t="s">
        <v>527</v>
      </c>
      <c r="I421" s="1307" t="s">
        <v>4172</v>
      </c>
      <c r="J421" s="1307" t="s">
        <v>4161</v>
      </c>
      <c r="K421" s="1307" t="s">
        <v>4167</v>
      </c>
      <c r="L421" s="1307" t="s">
        <v>2480</v>
      </c>
      <c r="M421" s="1320">
        <v>5.0</v>
      </c>
    </row>
    <row r="422">
      <c r="A422" s="1307"/>
      <c r="B422" s="1307"/>
      <c r="C422" s="1307"/>
      <c r="D422" s="1307"/>
      <c r="E422" s="1307"/>
      <c r="F422" s="1307"/>
      <c r="G422" s="1307">
        <v>2023.0</v>
      </c>
      <c r="H422" s="1307" t="s">
        <v>527</v>
      </c>
      <c r="I422" s="1307" t="s">
        <v>4172</v>
      </c>
      <c r="J422" s="1307" t="s">
        <v>4161</v>
      </c>
      <c r="K422" s="1307" t="s">
        <v>1055</v>
      </c>
      <c r="L422" s="1307" t="s">
        <v>1724</v>
      </c>
      <c r="M422" s="1320">
        <v>29.0</v>
      </c>
    </row>
    <row r="423">
      <c r="A423" s="1307"/>
      <c r="B423" s="1307"/>
      <c r="C423" s="1307"/>
      <c r="D423" s="1307"/>
      <c r="E423" s="1307"/>
      <c r="F423" s="1307"/>
      <c r="G423" s="1307">
        <v>2023.0</v>
      </c>
      <c r="H423" s="1307" t="s">
        <v>527</v>
      </c>
      <c r="I423" s="1307" t="s">
        <v>4172</v>
      </c>
      <c r="J423" s="1307" t="s">
        <v>4161</v>
      </c>
      <c r="K423" s="1307" t="s">
        <v>4161</v>
      </c>
      <c r="L423" s="1307" t="s">
        <v>2480</v>
      </c>
      <c r="M423" s="1320">
        <v>4.0</v>
      </c>
    </row>
    <row r="424">
      <c r="A424" s="1307"/>
      <c r="B424" s="1307"/>
      <c r="C424" s="1307"/>
      <c r="D424" s="1307"/>
      <c r="E424" s="1307"/>
      <c r="F424" s="1307"/>
      <c r="G424" s="1307">
        <v>2023.0</v>
      </c>
      <c r="H424" s="1307" t="s">
        <v>136</v>
      </c>
      <c r="I424" s="1307" t="s">
        <v>4155</v>
      </c>
      <c r="J424" s="1307" t="s">
        <v>1058</v>
      </c>
      <c r="K424" s="1307" t="s">
        <v>4156</v>
      </c>
      <c r="L424" s="1307" t="s">
        <v>2480</v>
      </c>
      <c r="M424" s="1320">
        <v>2.0</v>
      </c>
    </row>
    <row r="425">
      <c r="A425" s="1307"/>
      <c r="B425" s="1307"/>
      <c r="C425" s="1307"/>
      <c r="D425" s="1307"/>
      <c r="E425" s="1307"/>
      <c r="F425" s="1307"/>
      <c r="G425" s="1307">
        <v>2023.0</v>
      </c>
      <c r="H425" s="1307" t="s">
        <v>136</v>
      </c>
      <c r="I425" s="1307" t="s">
        <v>4155</v>
      </c>
      <c r="J425" s="1307" t="s">
        <v>4161</v>
      </c>
      <c r="K425" s="1307" t="s">
        <v>1055</v>
      </c>
      <c r="L425" s="1307" t="s">
        <v>1724</v>
      </c>
      <c r="M425" s="1320">
        <v>2.0</v>
      </c>
    </row>
    <row r="426">
      <c r="A426" s="1307"/>
      <c r="B426" s="1307"/>
      <c r="C426" s="1307"/>
      <c r="D426" s="1307"/>
      <c r="E426" s="1307"/>
      <c r="F426" s="1307"/>
      <c r="G426" s="1307">
        <v>2023.0</v>
      </c>
      <c r="H426" s="1307" t="s">
        <v>2068</v>
      </c>
      <c r="I426" s="1307" t="s">
        <v>4173</v>
      </c>
      <c r="J426" s="1307" t="s">
        <v>1058</v>
      </c>
      <c r="K426" s="1307" t="s">
        <v>4163</v>
      </c>
      <c r="L426" s="1307" t="s">
        <v>2480</v>
      </c>
      <c r="M426" s="1320">
        <v>1.0</v>
      </c>
    </row>
    <row r="427">
      <c r="A427" s="1307"/>
      <c r="B427" s="1307"/>
      <c r="C427" s="1307"/>
      <c r="D427" s="1307"/>
      <c r="E427" s="1307"/>
      <c r="F427" s="1307"/>
      <c r="G427" s="1307">
        <v>2023.0</v>
      </c>
      <c r="H427" s="1307" t="s">
        <v>2068</v>
      </c>
      <c r="I427" s="1307" t="s">
        <v>4173</v>
      </c>
      <c r="J427" s="1307" t="s">
        <v>1058</v>
      </c>
      <c r="K427" s="1307" t="s">
        <v>4156</v>
      </c>
      <c r="L427" s="1307" t="s">
        <v>2480</v>
      </c>
      <c r="M427" s="1320">
        <v>5.0</v>
      </c>
    </row>
    <row r="428">
      <c r="A428" s="1307"/>
      <c r="B428" s="1307"/>
      <c r="C428" s="1307"/>
      <c r="D428" s="1307"/>
      <c r="E428" s="1307"/>
      <c r="F428" s="1307"/>
      <c r="G428" s="1307">
        <v>2023.0</v>
      </c>
      <c r="H428" s="1307" t="s">
        <v>2068</v>
      </c>
      <c r="I428" s="1307" t="s">
        <v>4173</v>
      </c>
      <c r="J428" s="1307" t="s">
        <v>1058</v>
      </c>
      <c r="K428" s="1307" t="s">
        <v>4161</v>
      </c>
      <c r="L428" s="1307" t="s">
        <v>2480</v>
      </c>
      <c r="M428" s="1320">
        <v>1.0</v>
      </c>
    </row>
    <row r="429">
      <c r="A429" s="1307"/>
      <c r="B429" s="1307"/>
      <c r="C429" s="1307"/>
      <c r="D429" s="1307"/>
      <c r="E429" s="1307"/>
      <c r="F429" s="1307"/>
      <c r="G429" s="1307">
        <v>2023.0</v>
      </c>
      <c r="H429" s="1307" t="s">
        <v>2068</v>
      </c>
      <c r="I429" s="1307" t="s">
        <v>4173</v>
      </c>
      <c r="J429" s="1307" t="s">
        <v>1058</v>
      </c>
      <c r="K429" s="1307" t="s">
        <v>4160</v>
      </c>
      <c r="L429" s="1307" t="s">
        <v>2480</v>
      </c>
      <c r="M429" s="1320">
        <v>2.0</v>
      </c>
    </row>
    <row r="430">
      <c r="A430" s="1307"/>
      <c r="B430" s="1307"/>
      <c r="C430" s="1307"/>
      <c r="D430" s="1307"/>
      <c r="E430" s="1307"/>
      <c r="F430" s="1307"/>
      <c r="G430" s="1307">
        <v>2023.0</v>
      </c>
      <c r="H430" s="1307" t="s">
        <v>2068</v>
      </c>
      <c r="I430" s="1307" t="s">
        <v>4173</v>
      </c>
      <c r="J430" s="1307" t="s">
        <v>4161</v>
      </c>
      <c r="K430" s="1307" t="s">
        <v>1055</v>
      </c>
      <c r="L430" s="1307" t="s">
        <v>1724</v>
      </c>
      <c r="M430" s="1320">
        <v>9.0</v>
      </c>
    </row>
    <row r="431">
      <c r="A431" s="1307"/>
      <c r="B431" s="1307"/>
      <c r="C431" s="1307"/>
      <c r="D431" s="1307"/>
      <c r="E431" s="1307"/>
      <c r="F431" s="1307"/>
      <c r="G431" s="1307">
        <v>2023.0</v>
      </c>
      <c r="H431" s="1307" t="s">
        <v>2068</v>
      </c>
      <c r="I431" s="1307" t="s">
        <v>4173</v>
      </c>
      <c r="J431" s="1307" t="s">
        <v>4161</v>
      </c>
      <c r="K431" s="1307" t="s">
        <v>4161</v>
      </c>
      <c r="L431" s="1307" t="s">
        <v>2480</v>
      </c>
      <c r="M431" s="1320">
        <v>1.0</v>
      </c>
    </row>
    <row r="432">
      <c r="A432" s="1307"/>
      <c r="B432" s="1307"/>
      <c r="C432" s="1307"/>
      <c r="D432" s="1307"/>
      <c r="E432" s="1307"/>
      <c r="F432" s="1307"/>
      <c r="G432" s="1307">
        <v>2023.0</v>
      </c>
      <c r="H432" s="1307" t="s">
        <v>2069</v>
      </c>
      <c r="I432" s="1307" t="s">
        <v>4171</v>
      </c>
      <c r="J432" s="1307" t="s">
        <v>1058</v>
      </c>
      <c r="K432" s="1307" t="s">
        <v>4163</v>
      </c>
      <c r="L432" s="1307" t="s">
        <v>2480</v>
      </c>
      <c r="M432" s="1320">
        <v>5.0</v>
      </c>
    </row>
    <row r="433">
      <c r="A433" s="1307"/>
      <c r="B433" s="1307"/>
      <c r="C433" s="1307"/>
      <c r="D433" s="1307"/>
      <c r="E433" s="1307"/>
      <c r="F433" s="1307"/>
      <c r="G433" s="1307">
        <v>2023.0</v>
      </c>
      <c r="H433" s="1307" t="s">
        <v>2069</v>
      </c>
      <c r="I433" s="1307" t="s">
        <v>4171</v>
      </c>
      <c r="J433" s="1307" t="s">
        <v>1058</v>
      </c>
      <c r="K433" s="1307" t="s">
        <v>4156</v>
      </c>
      <c r="L433" s="1307" t="s">
        <v>2480</v>
      </c>
      <c r="M433" s="1320">
        <v>7.0</v>
      </c>
    </row>
    <row r="434">
      <c r="A434" s="1307"/>
      <c r="B434" s="1307"/>
      <c r="C434" s="1307"/>
      <c r="D434" s="1307"/>
      <c r="E434" s="1307"/>
      <c r="F434" s="1307"/>
      <c r="G434" s="1307">
        <v>2023.0</v>
      </c>
      <c r="H434" s="1307" t="s">
        <v>2069</v>
      </c>
      <c r="I434" s="1307" t="s">
        <v>4171</v>
      </c>
      <c r="J434" s="1307" t="s">
        <v>1058</v>
      </c>
      <c r="K434" s="1307" t="s">
        <v>4157</v>
      </c>
      <c r="L434" s="1307" t="s">
        <v>1724</v>
      </c>
      <c r="M434" s="1320">
        <v>2.0</v>
      </c>
    </row>
    <row r="435">
      <c r="A435" s="1307"/>
      <c r="B435" s="1307"/>
      <c r="C435" s="1307"/>
      <c r="D435" s="1307"/>
      <c r="E435" s="1307"/>
      <c r="F435" s="1307"/>
      <c r="G435" s="1307">
        <v>2023.0</v>
      </c>
      <c r="H435" s="1307" t="s">
        <v>2069</v>
      </c>
      <c r="I435" s="1307" t="s">
        <v>4171</v>
      </c>
      <c r="J435" s="1307" t="s">
        <v>1058</v>
      </c>
      <c r="K435" s="1307" t="s">
        <v>4166</v>
      </c>
      <c r="L435" s="1307" t="s">
        <v>2480</v>
      </c>
      <c r="M435" s="1320">
        <v>1.0</v>
      </c>
    </row>
    <row r="436">
      <c r="A436" s="1307"/>
      <c r="B436" s="1307"/>
      <c r="C436" s="1307"/>
      <c r="D436" s="1307"/>
      <c r="E436" s="1307"/>
      <c r="F436" s="1307"/>
      <c r="G436" s="1307">
        <v>2023.0</v>
      </c>
      <c r="H436" s="1307" t="s">
        <v>2069</v>
      </c>
      <c r="I436" s="1307" t="s">
        <v>4171</v>
      </c>
      <c r="J436" s="1307" t="s">
        <v>1058</v>
      </c>
      <c r="K436" s="1307" t="s">
        <v>4161</v>
      </c>
      <c r="L436" s="1307" t="s">
        <v>2480</v>
      </c>
      <c r="M436" s="1320">
        <v>2.0</v>
      </c>
    </row>
    <row r="437">
      <c r="A437" s="1307"/>
      <c r="B437" s="1307"/>
      <c r="C437" s="1307"/>
      <c r="D437" s="1307"/>
      <c r="E437" s="1307"/>
      <c r="F437" s="1307"/>
      <c r="G437" s="1307">
        <v>2023.0</v>
      </c>
      <c r="H437" s="1307" t="s">
        <v>2069</v>
      </c>
      <c r="I437" s="1307" t="s">
        <v>4171</v>
      </c>
      <c r="J437" s="1307" t="s">
        <v>1058</v>
      </c>
      <c r="K437" s="1307" t="s">
        <v>4160</v>
      </c>
      <c r="L437" s="1307" t="s">
        <v>2480</v>
      </c>
      <c r="M437" s="1320">
        <v>8.0</v>
      </c>
    </row>
    <row r="438">
      <c r="A438" s="1307"/>
      <c r="B438" s="1307"/>
      <c r="C438" s="1307"/>
      <c r="D438" s="1307"/>
      <c r="E438" s="1307"/>
      <c r="F438" s="1307"/>
      <c r="G438" s="1307">
        <v>2023.0</v>
      </c>
      <c r="H438" s="1307" t="s">
        <v>2069</v>
      </c>
      <c r="I438" s="1307" t="s">
        <v>4171</v>
      </c>
      <c r="J438" s="1307" t="s">
        <v>4161</v>
      </c>
      <c r="K438" s="1307" t="s">
        <v>1055</v>
      </c>
      <c r="L438" s="1307" t="s">
        <v>1724</v>
      </c>
      <c r="M438" s="1320">
        <v>14.0</v>
      </c>
    </row>
    <row r="439">
      <c r="A439" s="1307"/>
      <c r="B439" s="1307"/>
      <c r="C439" s="1307"/>
      <c r="D439" s="1307"/>
      <c r="E439" s="1307"/>
      <c r="F439" s="1307"/>
      <c r="G439" s="1307">
        <v>2023.0</v>
      </c>
      <c r="H439" s="1307" t="s">
        <v>2069</v>
      </c>
      <c r="I439" s="1307" t="s">
        <v>4171</v>
      </c>
      <c r="J439" s="1307" t="s">
        <v>4161</v>
      </c>
      <c r="K439" s="1307" t="s">
        <v>4161</v>
      </c>
      <c r="L439" s="1307" t="s">
        <v>2480</v>
      </c>
      <c r="M439" s="1320">
        <v>3.0</v>
      </c>
    </row>
    <row r="440">
      <c r="A440" s="1307"/>
      <c r="B440" s="1307"/>
      <c r="C440" s="1307"/>
      <c r="D440" s="1307"/>
      <c r="E440" s="1307"/>
      <c r="F440" s="1307"/>
      <c r="G440" s="1307">
        <v>2023.0</v>
      </c>
      <c r="H440" s="1307" t="s">
        <v>2070</v>
      </c>
      <c r="I440" s="1307" t="s">
        <v>4162</v>
      </c>
      <c r="J440" s="1307" t="s">
        <v>1058</v>
      </c>
      <c r="K440" s="1307" t="s">
        <v>4156</v>
      </c>
      <c r="L440" s="1307" t="s">
        <v>2480</v>
      </c>
      <c r="M440" s="1320">
        <v>2.0</v>
      </c>
    </row>
    <row r="441">
      <c r="A441" s="1307"/>
      <c r="B441" s="1307"/>
      <c r="C441" s="1307"/>
      <c r="D441" s="1307"/>
      <c r="E441" s="1307"/>
      <c r="F441" s="1307"/>
      <c r="G441" s="1307">
        <v>2023.0</v>
      </c>
      <c r="H441" s="1307" t="s">
        <v>2070</v>
      </c>
      <c r="I441" s="1307" t="s">
        <v>4162</v>
      </c>
      <c r="J441" s="1307" t="s">
        <v>1058</v>
      </c>
      <c r="K441" s="1307" t="s">
        <v>4165</v>
      </c>
      <c r="L441" s="1307" t="s">
        <v>2480</v>
      </c>
      <c r="M441" s="1320">
        <v>1.0</v>
      </c>
    </row>
    <row r="442">
      <c r="A442" s="1307"/>
      <c r="B442" s="1307"/>
      <c r="C442" s="1307"/>
      <c r="D442" s="1307"/>
      <c r="E442" s="1307"/>
      <c r="F442" s="1307"/>
      <c r="G442" s="1307">
        <v>2023.0</v>
      </c>
      <c r="H442" s="1307" t="s">
        <v>2070</v>
      </c>
      <c r="I442" s="1307" t="s">
        <v>4162</v>
      </c>
      <c r="J442" s="1307" t="s">
        <v>1058</v>
      </c>
      <c r="K442" s="1307" t="s">
        <v>4161</v>
      </c>
      <c r="L442" s="1307" t="s">
        <v>2480</v>
      </c>
      <c r="M442" s="1320">
        <v>1.0</v>
      </c>
    </row>
    <row r="443">
      <c r="A443" s="1307"/>
      <c r="B443" s="1307"/>
      <c r="C443" s="1307"/>
      <c r="D443" s="1307"/>
      <c r="E443" s="1307"/>
      <c r="F443" s="1307"/>
      <c r="G443" s="1307">
        <v>2023.0</v>
      </c>
      <c r="H443" s="1307" t="s">
        <v>2070</v>
      </c>
      <c r="I443" s="1307" t="s">
        <v>4162</v>
      </c>
      <c r="J443" s="1307" t="s">
        <v>4161</v>
      </c>
      <c r="K443" s="1307" t="s">
        <v>1055</v>
      </c>
      <c r="L443" s="1307" t="s">
        <v>1724</v>
      </c>
      <c r="M443" s="1320">
        <v>1.0</v>
      </c>
    </row>
    <row r="444">
      <c r="A444" s="1307"/>
      <c r="B444" s="1307"/>
      <c r="C444" s="1307"/>
      <c r="D444" s="1307"/>
      <c r="E444" s="1307"/>
      <c r="F444" s="1307"/>
      <c r="G444" s="1307">
        <v>2023.0</v>
      </c>
      <c r="H444" s="1307" t="s">
        <v>2071</v>
      </c>
      <c r="I444" s="1307" t="s">
        <v>4172</v>
      </c>
      <c r="J444" s="1307" t="s">
        <v>1058</v>
      </c>
      <c r="K444" s="1307" t="s">
        <v>4163</v>
      </c>
      <c r="L444" s="1307" t="s">
        <v>2480</v>
      </c>
      <c r="M444" s="1320">
        <v>2.0</v>
      </c>
    </row>
    <row r="445">
      <c r="A445" s="1307"/>
      <c r="B445" s="1307"/>
      <c r="C445" s="1307"/>
      <c r="D445" s="1307"/>
      <c r="E445" s="1307"/>
      <c r="F445" s="1307"/>
      <c r="G445" s="1307">
        <v>2023.0</v>
      </c>
      <c r="H445" s="1307" t="s">
        <v>2071</v>
      </c>
      <c r="I445" s="1307" t="s">
        <v>4172</v>
      </c>
      <c r="J445" s="1307" t="s">
        <v>1058</v>
      </c>
      <c r="K445" s="1307" t="s">
        <v>4156</v>
      </c>
      <c r="L445" s="1307" t="s">
        <v>2480</v>
      </c>
      <c r="M445" s="1320">
        <v>64.0</v>
      </c>
    </row>
    <row r="446">
      <c r="A446" s="1307"/>
      <c r="B446" s="1307"/>
      <c r="C446" s="1307"/>
      <c r="D446" s="1307"/>
      <c r="E446" s="1307"/>
      <c r="F446" s="1307"/>
      <c r="G446" s="1307">
        <v>2023.0</v>
      </c>
      <c r="H446" s="1307" t="s">
        <v>2071</v>
      </c>
      <c r="I446" s="1307" t="s">
        <v>4172</v>
      </c>
      <c r="J446" s="1307" t="s">
        <v>1058</v>
      </c>
      <c r="K446" s="1307" t="s">
        <v>4157</v>
      </c>
      <c r="L446" s="1307" t="s">
        <v>1724</v>
      </c>
      <c r="M446" s="1320">
        <v>7.0</v>
      </c>
    </row>
    <row r="447">
      <c r="A447" s="1307"/>
      <c r="B447" s="1307"/>
      <c r="C447" s="1307"/>
      <c r="D447" s="1307"/>
      <c r="E447" s="1307"/>
      <c r="F447" s="1307"/>
      <c r="G447" s="1307">
        <v>2023.0</v>
      </c>
      <c r="H447" s="1307" t="s">
        <v>2071</v>
      </c>
      <c r="I447" s="1307" t="s">
        <v>4172</v>
      </c>
      <c r="J447" s="1307" t="s">
        <v>1058</v>
      </c>
      <c r="K447" s="1307" t="s">
        <v>4158</v>
      </c>
      <c r="L447" s="1307" t="s">
        <v>2480</v>
      </c>
      <c r="M447" s="1320">
        <v>1.0</v>
      </c>
    </row>
    <row r="448">
      <c r="A448" s="1307"/>
      <c r="B448" s="1307"/>
      <c r="C448" s="1307"/>
      <c r="D448" s="1307"/>
      <c r="E448" s="1307"/>
      <c r="F448" s="1307"/>
      <c r="G448" s="1307">
        <v>2023.0</v>
      </c>
      <c r="H448" s="1307" t="s">
        <v>2071</v>
      </c>
      <c r="I448" s="1307" t="s">
        <v>4172</v>
      </c>
      <c r="J448" s="1307" t="s">
        <v>1058</v>
      </c>
      <c r="K448" s="1307" t="s">
        <v>4159</v>
      </c>
      <c r="L448" s="1307" t="s">
        <v>1724</v>
      </c>
      <c r="M448" s="1320">
        <v>2.0</v>
      </c>
    </row>
    <row r="449">
      <c r="A449" s="1307"/>
      <c r="B449" s="1307"/>
      <c r="C449" s="1307"/>
      <c r="D449" s="1307"/>
      <c r="E449" s="1307"/>
      <c r="F449" s="1307"/>
      <c r="G449" s="1307">
        <v>2023.0</v>
      </c>
      <c r="H449" s="1307" t="s">
        <v>2071</v>
      </c>
      <c r="I449" s="1307" t="s">
        <v>4172</v>
      </c>
      <c r="J449" s="1307" t="s">
        <v>1058</v>
      </c>
      <c r="K449" s="1307" t="s">
        <v>4165</v>
      </c>
      <c r="L449" s="1307" t="s">
        <v>2480</v>
      </c>
      <c r="M449" s="1320">
        <v>3.0</v>
      </c>
    </row>
    <row r="450">
      <c r="A450" s="1307"/>
      <c r="B450" s="1307"/>
      <c r="C450" s="1307"/>
      <c r="D450" s="1307"/>
      <c r="E450" s="1307"/>
      <c r="F450" s="1307"/>
      <c r="G450" s="1307">
        <v>2023.0</v>
      </c>
      <c r="H450" s="1307" t="s">
        <v>2071</v>
      </c>
      <c r="I450" s="1307" t="s">
        <v>4172</v>
      </c>
      <c r="J450" s="1307" t="s">
        <v>1058</v>
      </c>
      <c r="K450" s="1307" t="s">
        <v>4166</v>
      </c>
      <c r="L450" s="1307" t="s">
        <v>2480</v>
      </c>
      <c r="M450" s="1320">
        <v>9.0</v>
      </c>
    </row>
    <row r="451">
      <c r="A451" s="1307"/>
      <c r="B451" s="1307"/>
      <c r="C451" s="1307"/>
      <c r="D451" s="1307"/>
      <c r="E451" s="1307"/>
      <c r="F451" s="1307"/>
      <c r="G451" s="1307">
        <v>2023.0</v>
      </c>
      <c r="H451" s="1307" t="s">
        <v>2071</v>
      </c>
      <c r="I451" s="1307" t="s">
        <v>4172</v>
      </c>
      <c r="J451" s="1307" t="s">
        <v>1058</v>
      </c>
      <c r="K451" s="1307" t="s">
        <v>4160</v>
      </c>
      <c r="L451" s="1307" t="s">
        <v>2480</v>
      </c>
      <c r="M451" s="1320">
        <v>10.0</v>
      </c>
    </row>
    <row r="452">
      <c r="A452" s="1307"/>
      <c r="B452" s="1307"/>
      <c r="C452" s="1307"/>
      <c r="D452" s="1307"/>
      <c r="E452" s="1307"/>
      <c r="F452" s="1307"/>
      <c r="G452" s="1307">
        <v>2023.0</v>
      </c>
      <c r="H452" s="1307" t="s">
        <v>2071</v>
      </c>
      <c r="I452" s="1307" t="s">
        <v>4172</v>
      </c>
      <c r="J452" s="1307" t="s">
        <v>4161</v>
      </c>
      <c r="K452" s="1307" t="s">
        <v>4167</v>
      </c>
      <c r="L452" s="1307" t="s">
        <v>2480</v>
      </c>
      <c r="M452" s="1320">
        <v>3.0</v>
      </c>
    </row>
    <row r="453">
      <c r="A453" s="1307"/>
      <c r="B453" s="1307"/>
      <c r="C453" s="1307"/>
      <c r="D453" s="1307"/>
      <c r="E453" s="1307"/>
      <c r="F453" s="1307"/>
      <c r="G453" s="1307">
        <v>2023.0</v>
      </c>
      <c r="H453" s="1307" t="s">
        <v>2071</v>
      </c>
      <c r="I453" s="1307" t="s">
        <v>4172</v>
      </c>
      <c r="J453" s="1307" t="s">
        <v>4161</v>
      </c>
      <c r="K453" s="1307" t="s">
        <v>4174</v>
      </c>
      <c r="L453" s="1307" t="s">
        <v>2480</v>
      </c>
      <c r="M453" s="1320">
        <v>2.0</v>
      </c>
    </row>
    <row r="454">
      <c r="A454" s="1307"/>
      <c r="B454" s="1307"/>
      <c r="C454" s="1307"/>
      <c r="D454" s="1307"/>
      <c r="E454" s="1307"/>
      <c r="F454" s="1307"/>
      <c r="G454" s="1307">
        <v>2023.0</v>
      </c>
      <c r="H454" s="1307" t="s">
        <v>2071</v>
      </c>
      <c r="I454" s="1307" t="s">
        <v>4172</v>
      </c>
      <c r="J454" s="1307" t="s">
        <v>4161</v>
      </c>
      <c r="K454" s="1307" t="s">
        <v>1055</v>
      </c>
      <c r="L454" s="1307" t="s">
        <v>1724</v>
      </c>
      <c r="M454" s="1320">
        <v>43.0</v>
      </c>
    </row>
    <row r="455">
      <c r="A455" s="1307"/>
      <c r="B455" s="1307"/>
      <c r="C455" s="1307"/>
      <c r="D455" s="1307"/>
      <c r="E455" s="1307"/>
      <c r="F455" s="1307"/>
      <c r="G455" s="1307">
        <v>2023.0</v>
      </c>
      <c r="H455" s="1307" t="s">
        <v>2071</v>
      </c>
      <c r="I455" s="1307" t="s">
        <v>4172</v>
      </c>
      <c r="J455" s="1307" t="s">
        <v>4161</v>
      </c>
      <c r="K455" s="1307" t="s">
        <v>4161</v>
      </c>
      <c r="L455" s="1307" t="s">
        <v>2480</v>
      </c>
      <c r="M455" s="1320">
        <v>3.0</v>
      </c>
    </row>
    <row r="456">
      <c r="A456" s="1307"/>
      <c r="B456" s="1307"/>
      <c r="C456" s="1307"/>
      <c r="D456" s="1307"/>
      <c r="E456" s="1307"/>
      <c r="F456" s="1307"/>
      <c r="G456" s="1307">
        <v>2023.0</v>
      </c>
      <c r="H456" s="1307" t="s">
        <v>2072</v>
      </c>
      <c r="I456" s="1307" t="s">
        <v>4170</v>
      </c>
      <c r="J456" s="1307" t="s">
        <v>4161</v>
      </c>
      <c r="K456" s="1307" t="s">
        <v>1055</v>
      </c>
      <c r="L456" s="1307" t="s">
        <v>1724</v>
      </c>
      <c r="M456" s="1320">
        <v>1.0</v>
      </c>
    </row>
    <row r="457">
      <c r="A457" s="1307"/>
      <c r="B457" s="1307"/>
      <c r="C457" s="1307"/>
      <c r="D457" s="1307"/>
      <c r="E457" s="1307"/>
      <c r="F457" s="1307"/>
      <c r="G457" s="1307">
        <v>2023.0</v>
      </c>
      <c r="H457" s="1307" t="s">
        <v>2073</v>
      </c>
      <c r="I457" s="1307" t="s">
        <v>4171</v>
      </c>
      <c r="J457" s="1307" t="s">
        <v>1058</v>
      </c>
      <c r="K457" s="1307" t="s">
        <v>4156</v>
      </c>
      <c r="L457" s="1307" t="s">
        <v>2480</v>
      </c>
      <c r="M457" s="1320">
        <v>1.0</v>
      </c>
    </row>
    <row r="458">
      <c r="A458" s="1307"/>
      <c r="B458" s="1307"/>
      <c r="C458" s="1307"/>
      <c r="D458" s="1307"/>
      <c r="E458" s="1307"/>
      <c r="F458" s="1307"/>
      <c r="G458" s="1307">
        <v>2023.0</v>
      </c>
      <c r="H458" s="1307" t="s">
        <v>2073</v>
      </c>
      <c r="I458" s="1307" t="s">
        <v>4171</v>
      </c>
      <c r="J458" s="1307" t="s">
        <v>1058</v>
      </c>
      <c r="K458" s="1307" t="s">
        <v>4161</v>
      </c>
      <c r="L458" s="1307" t="s">
        <v>2480</v>
      </c>
      <c r="M458" s="1320">
        <v>1.0</v>
      </c>
    </row>
    <row r="459">
      <c r="A459" s="1307"/>
      <c r="B459" s="1307"/>
      <c r="C459" s="1307"/>
      <c r="D459" s="1307"/>
      <c r="E459" s="1307"/>
      <c r="F459" s="1307"/>
      <c r="G459" s="1307">
        <v>2023.0</v>
      </c>
      <c r="H459" s="1307" t="s">
        <v>2073</v>
      </c>
      <c r="I459" s="1307" t="s">
        <v>4171</v>
      </c>
      <c r="J459" s="1307" t="s">
        <v>4161</v>
      </c>
      <c r="K459" s="1307" t="s">
        <v>1055</v>
      </c>
      <c r="L459" s="1307" t="s">
        <v>1724</v>
      </c>
      <c r="M459" s="1320">
        <v>13.0</v>
      </c>
    </row>
    <row r="460">
      <c r="A460" s="1307"/>
      <c r="B460" s="1307"/>
      <c r="C460" s="1307"/>
      <c r="D460" s="1307"/>
      <c r="E460" s="1307"/>
      <c r="F460" s="1307"/>
      <c r="G460" s="1307">
        <v>2023.0</v>
      </c>
      <c r="H460" s="1307" t="s">
        <v>2075</v>
      </c>
      <c r="I460" s="1307" t="s">
        <v>4171</v>
      </c>
      <c r="J460" s="1307" t="s">
        <v>1058</v>
      </c>
      <c r="K460" s="1307" t="s">
        <v>4156</v>
      </c>
      <c r="L460" s="1307" t="s">
        <v>2480</v>
      </c>
      <c r="M460" s="1320">
        <v>2.0</v>
      </c>
    </row>
    <row r="461">
      <c r="A461" s="1307"/>
      <c r="B461" s="1307"/>
      <c r="C461" s="1307"/>
      <c r="D461" s="1307"/>
      <c r="E461" s="1307"/>
      <c r="F461" s="1307"/>
      <c r="G461" s="1307">
        <v>2023.0</v>
      </c>
      <c r="H461" s="1307" t="s">
        <v>2075</v>
      </c>
      <c r="I461" s="1307" t="s">
        <v>4171</v>
      </c>
      <c r="J461" s="1307" t="s">
        <v>1058</v>
      </c>
      <c r="K461" s="1307" t="s">
        <v>4160</v>
      </c>
      <c r="L461" s="1307" t="s">
        <v>2480</v>
      </c>
      <c r="M461" s="1320">
        <v>1.0</v>
      </c>
    </row>
    <row r="462">
      <c r="A462" s="1307"/>
      <c r="B462" s="1307"/>
      <c r="C462" s="1307"/>
      <c r="D462" s="1307"/>
      <c r="E462" s="1307"/>
      <c r="F462" s="1307"/>
      <c r="G462" s="1307">
        <v>2023.0</v>
      </c>
      <c r="H462" s="1307" t="s">
        <v>2076</v>
      </c>
      <c r="I462" s="1307" t="s">
        <v>4171</v>
      </c>
      <c r="J462" s="1307" t="s">
        <v>1058</v>
      </c>
      <c r="K462" s="1307" t="s">
        <v>4156</v>
      </c>
      <c r="L462" s="1307" t="s">
        <v>2480</v>
      </c>
      <c r="M462" s="1320">
        <v>4.0</v>
      </c>
    </row>
    <row r="463">
      <c r="A463" s="1307"/>
      <c r="B463" s="1307"/>
      <c r="C463" s="1307"/>
      <c r="D463" s="1307"/>
      <c r="E463" s="1307"/>
      <c r="F463" s="1307"/>
      <c r="G463" s="1307">
        <v>2023.0</v>
      </c>
      <c r="H463" s="1307" t="s">
        <v>2076</v>
      </c>
      <c r="I463" s="1307" t="s">
        <v>4171</v>
      </c>
      <c r="J463" s="1307" t="s">
        <v>1058</v>
      </c>
      <c r="K463" s="1307" t="s">
        <v>4166</v>
      </c>
      <c r="L463" s="1307" t="s">
        <v>2480</v>
      </c>
      <c r="M463" s="1320">
        <v>1.0</v>
      </c>
    </row>
    <row r="464">
      <c r="A464" s="1307"/>
      <c r="B464" s="1307"/>
      <c r="C464" s="1307"/>
      <c r="D464" s="1307"/>
      <c r="E464" s="1307"/>
      <c r="F464" s="1307"/>
      <c r="G464" s="1307">
        <v>2023.0</v>
      </c>
      <c r="H464" s="1307" t="s">
        <v>2076</v>
      </c>
      <c r="I464" s="1307" t="s">
        <v>4171</v>
      </c>
      <c r="J464" s="1307" t="s">
        <v>1058</v>
      </c>
      <c r="K464" s="1307" t="s">
        <v>4160</v>
      </c>
      <c r="L464" s="1307" t="s">
        <v>2480</v>
      </c>
      <c r="M464" s="1320">
        <v>1.0</v>
      </c>
    </row>
    <row r="465">
      <c r="A465" s="1307"/>
      <c r="B465" s="1307"/>
      <c r="C465" s="1307"/>
      <c r="D465" s="1307"/>
      <c r="E465" s="1307"/>
      <c r="F465" s="1307"/>
      <c r="G465" s="1307">
        <v>2023.0</v>
      </c>
      <c r="H465" s="1307" t="s">
        <v>2076</v>
      </c>
      <c r="I465" s="1307" t="s">
        <v>4171</v>
      </c>
      <c r="J465" s="1307" t="s">
        <v>4161</v>
      </c>
      <c r="K465" s="1307" t="s">
        <v>1055</v>
      </c>
      <c r="L465" s="1307" t="s">
        <v>1724</v>
      </c>
      <c r="M465" s="1320">
        <v>9.0</v>
      </c>
    </row>
    <row r="466">
      <c r="A466" s="1307"/>
      <c r="B466" s="1307"/>
      <c r="C466" s="1307"/>
      <c r="D466" s="1307"/>
      <c r="E466" s="1307"/>
      <c r="F466" s="1307"/>
      <c r="G466" s="1307">
        <v>2023.0</v>
      </c>
      <c r="H466" s="1307" t="s">
        <v>975</v>
      </c>
      <c r="I466" s="1307" t="s">
        <v>4170</v>
      </c>
      <c r="J466" s="1307" t="s">
        <v>1058</v>
      </c>
      <c r="K466" s="1307" t="s">
        <v>4163</v>
      </c>
      <c r="L466" s="1307" t="s">
        <v>2480</v>
      </c>
      <c r="M466" s="1320">
        <v>4.0</v>
      </c>
    </row>
    <row r="467">
      <c r="A467" s="1307"/>
      <c r="B467" s="1307"/>
      <c r="C467" s="1307"/>
      <c r="D467" s="1307"/>
      <c r="E467" s="1307"/>
      <c r="F467" s="1307"/>
      <c r="G467" s="1307">
        <v>2023.0</v>
      </c>
      <c r="H467" s="1307" t="s">
        <v>975</v>
      </c>
      <c r="I467" s="1307" t="s">
        <v>4170</v>
      </c>
      <c r="J467" s="1307" t="s">
        <v>1058</v>
      </c>
      <c r="K467" s="1307" t="s">
        <v>4156</v>
      </c>
      <c r="L467" s="1307" t="s">
        <v>2480</v>
      </c>
      <c r="M467" s="1320">
        <v>14.0</v>
      </c>
    </row>
    <row r="468">
      <c r="A468" s="1307"/>
      <c r="B468" s="1307"/>
      <c r="C468" s="1307"/>
      <c r="D468" s="1307"/>
      <c r="E468" s="1307"/>
      <c r="F468" s="1307"/>
      <c r="G468" s="1307">
        <v>2023.0</v>
      </c>
      <c r="H468" s="1307" t="s">
        <v>975</v>
      </c>
      <c r="I468" s="1307" t="s">
        <v>4170</v>
      </c>
      <c r="J468" s="1307" t="s">
        <v>1058</v>
      </c>
      <c r="K468" s="1307" t="s">
        <v>4166</v>
      </c>
      <c r="L468" s="1307" t="s">
        <v>2480</v>
      </c>
      <c r="M468" s="1320">
        <v>2.0</v>
      </c>
    </row>
    <row r="469">
      <c r="A469" s="1307"/>
      <c r="B469" s="1307"/>
      <c r="C469" s="1307"/>
      <c r="D469" s="1307"/>
      <c r="E469" s="1307"/>
      <c r="F469" s="1307"/>
      <c r="G469" s="1307">
        <v>2023.0</v>
      </c>
      <c r="H469" s="1307" t="s">
        <v>975</v>
      </c>
      <c r="I469" s="1307" t="s">
        <v>4170</v>
      </c>
      <c r="J469" s="1307" t="s">
        <v>1058</v>
      </c>
      <c r="K469" s="1307" t="s">
        <v>4161</v>
      </c>
      <c r="L469" s="1307" t="s">
        <v>2480</v>
      </c>
      <c r="M469" s="1320">
        <v>2.0</v>
      </c>
    </row>
    <row r="470">
      <c r="A470" s="1307"/>
      <c r="B470" s="1307"/>
      <c r="C470" s="1307"/>
      <c r="D470" s="1307"/>
      <c r="E470" s="1307"/>
      <c r="F470" s="1307"/>
      <c r="G470" s="1307">
        <v>2023.0</v>
      </c>
      <c r="H470" s="1307" t="s">
        <v>975</v>
      </c>
      <c r="I470" s="1307" t="s">
        <v>4170</v>
      </c>
      <c r="J470" s="1307" t="s">
        <v>1058</v>
      </c>
      <c r="K470" s="1307" t="s">
        <v>4160</v>
      </c>
      <c r="L470" s="1307" t="s">
        <v>2480</v>
      </c>
      <c r="M470" s="1320">
        <v>1.0</v>
      </c>
    </row>
    <row r="471">
      <c r="A471" s="1307"/>
      <c r="B471" s="1307"/>
      <c r="C471" s="1307"/>
      <c r="D471" s="1307"/>
      <c r="E471" s="1307"/>
      <c r="F471" s="1307"/>
      <c r="G471" s="1307">
        <v>2023.0</v>
      </c>
      <c r="H471" s="1307" t="s">
        <v>975</v>
      </c>
      <c r="I471" s="1307" t="s">
        <v>4170</v>
      </c>
      <c r="J471" s="1307" t="s">
        <v>4161</v>
      </c>
      <c r="K471" s="1307" t="s">
        <v>1055</v>
      </c>
      <c r="L471" s="1307" t="s">
        <v>1724</v>
      </c>
      <c r="M471" s="1320">
        <v>10.0</v>
      </c>
    </row>
    <row r="472">
      <c r="A472" s="1307"/>
      <c r="B472" s="1307"/>
      <c r="C472" s="1307"/>
      <c r="D472" s="1307"/>
      <c r="E472" s="1307"/>
      <c r="F472" s="1307"/>
      <c r="G472" s="1307">
        <v>2023.0</v>
      </c>
      <c r="H472" s="1307" t="s">
        <v>1072</v>
      </c>
      <c r="I472" s="1307" t="s">
        <v>4176</v>
      </c>
      <c r="J472" s="1307" t="s">
        <v>1058</v>
      </c>
      <c r="K472" s="1307" t="s">
        <v>4156</v>
      </c>
      <c r="L472" s="1307" t="s">
        <v>2480</v>
      </c>
      <c r="M472" s="1320">
        <v>45.0</v>
      </c>
    </row>
    <row r="473">
      <c r="A473" s="1307"/>
      <c r="B473" s="1307"/>
      <c r="C473" s="1307"/>
      <c r="D473" s="1307"/>
      <c r="E473" s="1307"/>
      <c r="F473" s="1307"/>
      <c r="G473" s="1307">
        <v>2023.0</v>
      </c>
      <c r="H473" s="1307" t="s">
        <v>1072</v>
      </c>
      <c r="I473" s="1307" t="s">
        <v>4176</v>
      </c>
      <c r="J473" s="1307" t="s">
        <v>1058</v>
      </c>
      <c r="K473" s="1307" t="s">
        <v>4157</v>
      </c>
      <c r="L473" s="1307" t="s">
        <v>1724</v>
      </c>
      <c r="M473" s="1320">
        <v>2.0</v>
      </c>
    </row>
    <row r="474">
      <c r="A474" s="1307"/>
      <c r="B474" s="1307"/>
      <c r="C474" s="1307"/>
      <c r="D474" s="1307"/>
      <c r="E474" s="1307"/>
      <c r="F474" s="1307"/>
      <c r="G474" s="1307">
        <v>2023.0</v>
      </c>
      <c r="H474" s="1307" t="s">
        <v>1072</v>
      </c>
      <c r="I474" s="1307" t="s">
        <v>4176</v>
      </c>
      <c r="J474" s="1307" t="s">
        <v>1058</v>
      </c>
      <c r="K474" s="1307" t="s">
        <v>4159</v>
      </c>
      <c r="L474" s="1307" t="s">
        <v>1724</v>
      </c>
      <c r="M474" s="1320">
        <v>5.0</v>
      </c>
    </row>
    <row r="475">
      <c r="A475" s="1307"/>
      <c r="B475" s="1307"/>
      <c r="C475" s="1307"/>
      <c r="D475" s="1307"/>
      <c r="E475" s="1307"/>
      <c r="F475" s="1307"/>
      <c r="G475" s="1307">
        <v>2023.0</v>
      </c>
      <c r="H475" s="1307" t="s">
        <v>1072</v>
      </c>
      <c r="I475" s="1307" t="s">
        <v>4176</v>
      </c>
      <c r="J475" s="1307" t="s">
        <v>1058</v>
      </c>
      <c r="K475" s="1307" t="s">
        <v>4165</v>
      </c>
      <c r="L475" s="1307" t="s">
        <v>2480</v>
      </c>
      <c r="M475" s="1320">
        <v>2.0</v>
      </c>
    </row>
    <row r="476">
      <c r="A476" s="1307"/>
      <c r="B476" s="1307"/>
      <c r="C476" s="1307"/>
      <c r="D476" s="1307"/>
      <c r="E476" s="1307"/>
      <c r="F476" s="1307"/>
      <c r="G476" s="1307">
        <v>2023.0</v>
      </c>
      <c r="H476" s="1307" t="s">
        <v>1072</v>
      </c>
      <c r="I476" s="1307" t="s">
        <v>4176</v>
      </c>
      <c r="J476" s="1307" t="s">
        <v>1058</v>
      </c>
      <c r="K476" s="1307" t="s">
        <v>4166</v>
      </c>
      <c r="L476" s="1307" t="s">
        <v>2480</v>
      </c>
      <c r="M476" s="1320">
        <v>4.0</v>
      </c>
    </row>
    <row r="477">
      <c r="A477" s="1307"/>
      <c r="B477" s="1307"/>
      <c r="C477" s="1307"/>
      <c r="D477" s="1307"/>
      <c r="E477" s="1307"/>
      <c r="F477" s="1307"/>
      <c r="G477" s="1307">
        <v>2023.0</v>
      </c>
      <c r="H477" s="1307" t="s">
        <v>1072</v>
      </c>
      <c r="I477" s="1307" t="s">
        <v>4176</v>
      </c>
      <c r="J477" s="1307" t="s">
        <v>1058</v>
      </c>
      <c r="K477" s="1307" t="s">
        <v>4161</v>
      </c>
      <c r="L477" s="1307" t="s">
        <v>2480</v>
      </c>
      <c r="M477" s="1320">
        <v>1.0</v>
      </c>
    </row>
    <row r="478">
      <c r="A478" s="1307"/>
      <c r="B478" s="1307"/>
      <c r="C478" s="1307"/>
      <c r="D478" s="1307"/>
      <c r="E478" s="1307"/>
      <c r="F478" s="1307"/>
      <c r="G478" s="1307">
        <v>2023.0</v>
      </c>
      <c r="H478" s="1307" t="s">
        <v>1072</v>
      </c>
      <c r="I478" s="1307" t="s">
        <v>4176</v>
      </c>
      <c r="J478" s="1307" t="s">
        <v>1058</v>
      </c>
      <c r="K478" s="1307" t="s">
        <v>4160</v>
      </c>
      <c r="L478" s="1307" t="s">
        <v>2480</v>
      </c>
      <c r="M478" s="1320">
        <v>6.0</v>
      </c>
    </row>
    <row r="479">
      <c r="A479" s="1307"/>
      <c r="B479" s="1307"/>
      <c r="C479" s="1307"/>
      <c r="D479" s="1307"/>
      <c r="E479" s="1307"/>
      <c r="F479" s="1307"/>
      <c r="G479" s="1307">
        <v>2023.0</v>
      </c>
      <c r="H479" s="1307" t="s">
        <v>1072</v>
      </c>
      <c r="I479" s="1307" t="s">
        <v>4176</v>
      </c>
      <c r="J479" s="1307" t="s">
        <v>4161</v>
      </c>
      <c r="K479" s="1307" t="s">
        <v>4174</v>
      </c>
      <c r="L479" s="1307" t="s">
        <v>2480</v>
      </c>
      <c r="M479" s="1320">
        <v>1.0</v>
      </c>
    </row>
    <row r="480">
      <c r="A480" s="1307"/>
      <c r="B480" s="1307"/>
      <c r="C480" s="1307"/>
      <c r="D480" s="1307"/>
      <c r="E480" s="1307"/>
      <c r="F480" s="1307"/>
      <c r="G480" s="1307">
        <v>2023.0</v>
      </c>
      <c r="H480" s="1307" t="s">
        <v>1072</v>
      </c>
      <c r="I480" s="1307" t="s">
        <v>4176</v>
      </c>
      <c r="J480" s="1307" t="s">
        <v>4161</v>
      </c>
      <c r="K480" s="1307" t="s">
        <v>1055</v>
      </c>
      <c r="L480" s="1307" t="s">
        <v>1724</v>
      </c>
      <c r="M480" s="1320">
        <v>24.0</v>
      </c>
    </row>
    <row r="481">
      <c r="A481" s="1307"/>
      <c r="B481" s="1307"/>
      <c r="C481" s="1307"/>
      <c r="D481" s="1307"/>
      <c r="E481" s="1307"/>
      <c r="F481" s="1307"/>
      <c r="G481" s="1307">
        <v>2023.0</v>
      </c>
      <c r="H481" s="1307" t="s">
        <v>2078</v>
      </c>
      <c r="I481" s="1307" t="s">
        <v>4155</v>
      </c>
      <c r="J481" s="1307" t="s">
        <v>1058</v>
      </c>
      <c r="K481" s="1307" t="s">
        <v>4163</v>
      </c>
      <c r="L481" s="1307" t="s">
        <v>2480</v>
      </c>
      <c r="M481" s="1320">
        <v>4.0</v>
      </c>
    </row>
    <row r="482">
      <c r="A482" s="1307"/>
      <c r="B482" s="1307"/>
      <c r="C482" s="1307"/>
      <c r="D482" s="1307"/>
      <c r="E482" s="1307"/>
      <c r="F482" s="1307"/>
      <c r="G482" s="1307">
        <v>2023.0</v>
      </c>
      <c r="H482" s="1307" t="s">
        <v>2078</v>
      </c>
      <c r="I482" s="1307" t="s">
        <v>4155</v>
      </c>
      <c r="J482" s="1307" t="s">
        <v>1058</v>
      </c>
      <c r="K482" s="1307" t="s">
        <v>4156</v>
      </c>
      <c r="L482" s="1307" t="s">
        <v>2480</v>
      </c>
      <c r="M482" s="1320">
        <v>45.0</v>
      </c>
    </row>
    <row r="483">
      <c r="A483" s="1307"/>
      <c r="B483" s="1307"/>
      <c r="C483" s="1307"/>
      <c r="D483" s="1307"/>
      <c r="E483" s="1307"/>
      <c r="F483" s="1307"/>
      <c r="G483" s="1307">
        <v>2023.0</v>
      </c>
      <c r="H483" s="1307" t="s">
        <v>2078</v>
      </c>
      <c r="I483" s="1307" t="s">
        <v>4155</v>
      </c>
      <c r="J483" s="1307" t="s">
        <v>1058</v>
      </c>
      <c r="K483" s="1307" t="s">
        <v>4157</v>
      </c>
      <c r="L483" s="1307" t="s">
        <v>1724</v>
      </c>
      <c r="M483" s="1320">
        <v>5.0</v>
      </c>
    </row>
    <row r="484">
      <c r="A484" s="1307"/>
      <c r="B484" s="1307"/>
      <c r="C484" s="1307"/>
      <c r="D484" s="1307"/>
      <c r="E484" s="1307"/>
      <c r="F484" s="1307"/>
      <c r="G484" s="1307">
        <v>2023.0</v>
      </c>
      <c r="H484" s="1307" t="s">
        <v>2078</v>
      </c>
      <c r="I484" s="1307" t="s">
        <v>4155</v>
      </c>
      <c r="J484" s="1307" t="s">
        <v>1058</v>
      </c>
      <c r="K484" s="1307" t="s">
        <v>4158</v>
      </c>
      <c r="L484" s="1307" t="s">
        <v>2480</v>
      </c>
      <c r="M484" s="1320">
        <v>4.0</v>
      </c>
    </row>
    <row r="485">
      <c r="A485" s="1307"/>
      <c r="B485" s="1307"/>
      <c r="C485" s="1307"/>
      <c r="D485" s="1307"/>
      <c r="E485" s="1307"/>
      <c r="F485" s="1307"/>
      <c r="G485" s="1307">
        <v>2023.0</v>
      </c>
      <c r="H485" s="1307" t="s">
        <v>2078</v>
      </c>
      <c r="I485" s="1307" t="s">
        <v>4155</v>
      </c>
      <c r="J485" s="1307" t="s">
        <v>1058</v>
      </c>
      <c r="K485" s="1307" t="s">
        <v>4159</v>
      </c>
      <c r="L485" s="1307" t="s">
        <v>1724</v>
      </c>
      <c r="M485" s="1320">
        <v>7.0</v>
      </c>
    </row>
    <row r="486">
      <c r="A486" s="1307"/>
      <c r="B486" s="1307"/>
      <c r="C486" s="1307"/>
      <c r="D486" s="1307"/>
      <c r="E486" s="1307"/>
      <c r="F486" s="1307"/>
      <c r="G486" s="1307">
        <v>2023.0</v>
      </c>
      <c r="H486" s="1307" t="s">
        <v>2078</v>
      </c>
      <c r="I486" s="1307" t="s">
        <v>4155</v>
      </c>
      <c r="J486" s="1307" t="s">
        <v>1058</v>
      </c>
      <c r="K486" s="1307" t="s">
        <v>4165</v>
      </c>
      <c r="L486" s="1307" t="s">
        <v>2480</v>
      </c>
      <c r="M486" s="1320">
        <v>5.0</v>
      </c>
    </row>
    <row r="487">
      <c r="A487" s="1307"/>
      <c r="B487" s="1307"/>
      <c r="C487" s="1307"/>
      <c r="D487" s="1307"/>
      <c r="E487" s="1307"/>
      <c r="F487" s="1307"/>
      <c r="G487" s="1307">
        <v>2023.0</v>
      </c>
      <c r="H487" s="1307" t="s">
        <v>2078</v>
      </c>
      <c r="I487" s="1307" t="s">
        <v>4155</v>
      </c>
      <c r="J487" s="1307" t="s">
        <v>1058</v>
      </c>
      <c r="K487" s="1307" t="s">
        <v>4166</v>
      </c>
      <c r="L487" s="1307" t="s">
        <v>2480</v>
      </c>
      <c r="M487" s="1320">
        <v>2.0</v>
      </c>
    </row>
    <row r="488">
      <c r="A488" s="1307"/>
      <c r="B488" s="1307"/>
      <c r="C488" s="1307"/>
      <c r="D488" s="1307"/>
      <c r="E488" s="1307"/>
      <c r="F488" s="1307"/>
      <c r="G488" s="1307">
        <v>2023.0</v>
      </c>
      <c r="H488" s="1307" t="s">
        <v>2078</v>
      </c>
      <c r="I488" s="1307" t="s">
        <v>4155</v>
      </c>
      <c r="J488" s="1307" t="s">
        <v>1058</v>
      </c>
      <c r="K488" s="1307" t="s">
        <v>4161</v>
      </c>
      <c r="L488" s="1307" t="s">
        <v>2480</v>
      </c>
      <c r="M488" s="1320">
        <v>3.0</v>
      </c>
    </row>
    <row r="489">
      <c r="A489" s="1307"/>
      <c r="B489" s="1307"/>
      <c r="C489" s="1307"/>
      <c r="D489" s="1307"/>
      <c r="E489" s="1307"/>
      <c r="F489" s="1307"/>
      <c r="G489" s="1307">
        <v>2023.0</v>
      </c>
      <c r="H489" s="1307" t="s">
        <v>2078</v>
      </c>
      <c r="I489" s="1307" t="s">
        <v>4155</v>
      </c>
      <c r="J489" s="1307" t="s">
        <v>1058</v>
      </c>
      <c r="K489" s="1307" t="s">
        <v>4160</v>
      </c>
      <c r="L489" s="1307" t="s">
        <v>2480</v>
      </c>
      <c r="M489" s="1320">
        <v>4.0</v>
      </c>
    </row>
    <row r="490">
      <c r="A490" s="1307"/>
      <c r="B490" s="1307"/>
      <c r="C490" s="1307"/>
      <c r="D490" s="1307"/>
      <c r="E490" s="1307"/>
      <c r="F490" s="1307"/>
      <c r="G490" s="1307">
        <v>2023.0</v>
      </c>
      <c r="H490" s="1307" t="s">
        <v>2078</v>
      </c>
      <c r="I490" s="1307" t="s">
        <v>4155</v>
      </c>
      <c r="J490" s="1307" t="s">
        <v>4161</v>
      </c>
      <c r="K490" s="1307" t="s">
        <v>4167</v>
      </c>
      <c r="L490" s="1307" t="s">
        <v>2480</v>
      </c>
      <c r="M490" s="1320">
        <v>1.0</v>
      </c>
    </row>
    <row r="491">
      <c r="A491" s="1307"/>
      <c r="B491" s="1307"/>
      <c r="C491" s="1307"/>
      <c r="D491" s="1307"/>
      <c r="E491" s="1307"/>
      <c r="F491" s="1307"/>
      <c r="G491" s="1307">
        <v>2023.0</v>
      </c>
      <c r="H491" s="1307" t="s">
        <v>2078</v>
      </c>
      <c r="I491" s="1307" t="s">
        <v>4155</v>
      </c>
      <c r="J491" s="1307" t="s">
        <v>4161</v>
      </c>
      <c r="K491" s="1307" t="s">
        <v>1055</v>
      </c>
      <c r="L491" s="1307" t="s">
        <v>1724</v>
      </c>
      <c r="M491" s="1320">
        <v>65.0</v>
      </c>
    </row>
    <row r="492">
      <c r="A492" s="1307"/>
      <c r="B492" s="1307"/>
      <c r="C492" s="1307"/>
      <c r="D492" s="1307"/>
      <c r="E492" s="1307"/>
      <c r="F492" s="1307"/>
      <c r="G492" s="1307">
        <v>2023.0</v>
      </c>
      <c r="H492" s="1307" t="s">
        <v>2078</v>
      </c>
      <c r="I492" s="1307" t="s">
        <v>4155</v>
      </c>
      <c r="J492" s="1307" t="s">
        <v>4161</v>
      </c>
      <c r="K492" s="1307" t="s">
        <v>4161</v>
      </c>
      <c r="L492" s="1307" t="s">
        <v>2480</v>
      </c>
      <c r="M492" s="1320">
        <v>10.0</v>
      </c>
    </row>
    <row r="493">
      <c r="A493" s="1307"/>
      <c r="B493" s="1307"/>
      <c r="C493" s="1307"/>
      <c r="D493" s="1307"/>
      <c r="E493" s="1307"/>
      <c r="F493" s="1307"/>
      <c r="G493" s="1307">
        <v>2023.0</v>
      </c>
      <c r="H493" s="1307" t="s">
        <v>2079</v>
      </c>
      <c r="I493" s="1307" t="s">
        <v>4173</v>
      </c>
      <c r="J493" s="1307" t="s">
        <v>1058</v>
      </c>
      <c r="K493" s="1307" t="s">
        <v>4156</v>
      </c>
      <c r="L493" s="1307" t="s">
        <v>2480</v>
      </c>
      <c r="M493" s="1320">
        <v>1.0</v>
      </c>
    </row>
    <row r="494">
      <c r="A494" s="1307"/>
      <c r="B494" s="1307"/>
      <c r="C494" s="1307"/>
      <c r="D494" s="1307"/>
      <c r="E494" s="1307"/>
      <c r="F494" s="1307"/>
      <c r="G494" s="1307">
        <v>2023.0</v>
      </c>
      <c r="H494" s="1307" t="s">
        <v>2079</v>
      </c>
      <c r="I494" s="1307" t="s">
        <v>4173</v>
      </c>
      <c r="J494" s="1307" t="s">
        <v>1058</v>
      </c>
      <c r="K494" s="1307" t="s">
        <v>4157</v>
      </c>
      <c r="L494" s="1307" t="s">
        <v>1724</v>
      </c>
      <c r="M494" s="1320">
        <v>2.0</v>
      </c>
    </row>
    <row r="495">
      <c r="A495" s="1307"/>
      <c r="B495" s="1307"/>
      <c r="C495" s="1307"/>
      <c r="D495" s="1307"/>
      <c r="E495" s="1307"/>
      <c r="F495" s="1307"/>
      <c r="G495" s="1307">
        <v>2023.0</v>
      </c>
      <c r="H495" s="1307" t="s">
        <v>2079</v>
      </c>
      <c r="I495" s="1307" t="s">
        <v>4173</v>
      </c>
      <c r="J495" s="1307" t="s">
        <v>1058</v>
      </c>
      <c r="K495" s="1307" t="s">
        <v>4166</v>
      </c>
      <c r="L495" s="1307" t="s">
        <v>2480</v>
      </c>
      <c r="M495" s="1320">
        <v>1.0</v>
      </c>
    </row>
    <row r="496">
      <c r="A496" s="1307"/>
      <c r="B496" s="1307"/>
      <c r="C496" s="1307"/>
      <c r="D496" s="1307"/>
      <c r="E496" s="1307"/>
      <c r="F496" s="1307"/>
      <c r="G496" s="1307">
        <v>2023.0</v>
      </c>
      <c r="H496" s="1307" t="s">
        <v>2079</v>
      </c>
      <c r="I496" s="1307" t="s">
        <v>4173</v>
      </c>
      <c r="J496" s="1307" t="s">
        <v>4161</v>
      </c>
      <c r="K496" s="1307" t="s">
        <v>1055</v>
      </c>
      <c r="L496" s="1307" t="s">
        <v>1724</v>
      </c>
      <c r="M496" s="1320">
        <v>3.0</v>
      </c>
    </row>
    <row r="497">
      <c r="A497" s="1307"/>
      <c r="B497" s="1307"/>
      <c r="C497" s="1307"/>
      <c r="D497" s="1307"/>
      <c r="E497" s="1307"/>
      <c r="F497" s="1307"/>
      <c r="G497" s="1307">
        <v>2023.0</v>
      </c>
      <c r="H497" s="1307" t="s">
        <v>1539</v>
      </c>
      <c r="I497" s="1307" t="s">
        <v>4171</v>
      </c>
      <c r="J497" s="1307" t="s">
        <v>1058</v>
      </c>
      <c r="K497" s="1307" t="s">
        <v>4163</v>
      </c>
      <c r="L497" s="1307" t="s">
        <v>2480</v>
      </c>
      <c r="M497" s="1320">
        <v>10.0</v>
      </c>
    </row>
    <row r="498">
      <c r="A498" s="1307"/>
      <c r="B498" s="1307"/>
      <c r="C498" s="1307"/>
      <c r="D498" s="1307"/>
      <c r="E498" s="1307"/>
      <c r="F498" s="1307"/>
      <c r="G498" s="1307">
        <v>2023.0</v>
      </c>
      <c r="H498" s="1307" t="s">
        <v>1539</v>
      </c>
      <c r="I498" s="1307" t="s">
        <v>4171</v>
      </c>
      <c r="J498" s="1307" t="s">
        <v>1058</v>
      </c>
      <c r="K498" s="1307" t="s">
        <v>4156</v>
      </c>
      <c r="L498" s="1307" t="s">
        <v>2480</v>
      </c>
      <c r="M498" s="1320">
        <v>21.0</v>
      </c>
    </row>
    <row r="499">
      <c r="A499" s="1307"/>
      <c r="B499" s="1307"/>
      <c r="C499" s="1307"/>
      <c r="D499" s="1307"/>
      <c r="E499" s="1307"/>
      <c r="F499" s="1307"/>
      <c r="G499" s="1307">
        <v>2023.0</v>
      </c>
      <c r="H499" s="1307" t="s">
        <v>1539</v>
      </c>
      <c r="I499" s="1307" t="s">
        <v>4171</v>
      </c>
      <c r="J499" s="1307" t="s">
        <v>1058</v>
      </c>
      <c r="K499" s="1307" t="s">
        <v>4157</v>
      </c>
      <c r="L499" s="1307" t="s">
        <v>1724</v>
      </c>
      <c r="M499" s="1320">
        <v>2.0</v>
      </c>
    </row>
    <row r="500">
      <c r="A500" s="1307"/>
      <c r="B500" s="1307"/>
      <c r="C500" s="1307"/>
      <c r="D500" s="1307"/>
      <c r="E500" s="1307"/>
      <c r="F500" s="1307"/>
      <c r="G500" s="1307">
        <v>2023.0</v>
      </c>
      <c r="H500" s="1307" t="s">
        <v>1539</v>
      </c>
      <c r="I500" s="1307" t="s">
        <v>4171</v>
      </c>
      <c r="J500" s="1307" t="s">
        <v>1058</v>
      </c>
      <c r="K500" s="1307" t="s">
        <v>4165</v>
      </c>
      <c r="L500" s="1307" t="s">
        <v>2480</v>
      </c>
      <c r="M500" s="1320">
        <v>10.0</v>
      </c>
    </row>
    <row r="501">
      <c r="A501" s="1307"/>
      <c r="B501" s="1307"/>
      <c r="C501" s="1307"/>
      <c r="D501" s="1307"/>
      <c r="E501" s="1307"/>
      <c r="F501" s="1307"/>
      <c r="G501" s="1307">
        <v>2023.0</v>
      </c>
      <c r="H501" s="1307" t="s">
        <v>1539</v>
      </c>
      <c r="I501" s="1307" t="s">
        <v>4171</v>
      </c>
      <c r="J501" s="1307" t="s">
        <v>1058</v>
      </c>
      <c r="K501" s="1307" t="s">
        <v>4166</v>
      </c>
      <c r="L501" s="1307" t="s">
        <v>2480</v>
      </c>
      <c r="M501" s="1320">
        <v>1.0</v>
      </c>
    </row>
    <row r="502">
      <c r="A502" s="1307"/>
      <c r="B502" s="1307"/>
      <c r="C502" s="1307"/>
      <c r="D502" s="1307"/>
      <c r="E502" s="1307"/>
      <c r="F502" s="1307"/>
      <c r="G502" s="1307">
        <v>2023.0</v>
      </c>
      <c r="H502" s="1307" t="s">
        <v>1539</v>
      </c>
      <c r="I502" s="1307" t="s">
        <v>4171</v>
      </c>
      <c r="J502" s="1307" t="s">
        <v>1058</v>
      </c>
      <c r="K502" s="1307" t="s">
        <v>4161</v>
      </c>
      <c r="L502" s="1307" t="s">
        <v>2480</v>
      </c>
      <c r="M502" s="1320">
        <v>1.0</v>
      </c>
    </row>
    <row r="503">
      <c r="A503" s="1307"/>
      <c r="B503" s="1307"/>
      <c r="C503" s="1307"/>
      <c r="D503" s="1307"/>
      <c r="E503" s="1307"/>
      <c r="F503" s="1307"/>
      <c r="G503" s="1307">
        <v>2023.0</v>
      </c>
      <c r="H503" s="1307" t="s">
        <v>1539</v>
      </c>
      <c r="I503" s="1307" t="s">
        <v>4171</v>
      </c>
      <c r="J503" s="1307" t="s">
        <v>1058</v>
      </c>
      <c r="K503" s="1307" t="s">
        <v>4160</v>
      </c>
      <c r="L503" s="1307" t="s">
        <v>2480</v>
      </c>
      <c r="M503" s="1320">
        <v>9.0</v>
      </c>
    </row>
    <row r="504">
      <c r="A504" s="1307"/>
      <c r="B504" s="1307"/>
      <c r="C504" s="1307"/>
      <c r="D504" s="1307"/>
      <c r="E504" s="1307"/>
      <c r="F504" s="1307"/>
      <c r="G504" s="1307">
        <v>2023.0</v>
      </c>
      <c r="H504" s="1307" t="s">
        <v>1539</v>
      </c>
      <c r="I504" s="1307" t="s">
        <v>4171</v>
      </c>
      <c r="J504" s="1307" t="s">
        <v>4161</v>
      </c>
      <c r="K504" s="1307" t="s">
        <v>1055</v>
      </c>
      <c r="L504" s="1307" t="s">
        <v>1724</v>
      </c>
      <c r="M504" s="1320">
        <v>14.0</v>
      </c>
    </row>
    <row r="505">
      <c r="A505" s="1307"/>
      <c r="B505" s="1307"/>
      <c r="C505" s="1307"/>
      <c r="D505" s="1307"/>
      <c r="E505" s="1307"/>
      <c r="F505" s="1307"/>
      <c r="G505" s="1307">
        <v>2023.0</v>
      </c>
      <c r="H505" s="1307" t="s">
        <v>139</v>
      </c>
      <c r="I505" s="1307" t="s">
        <v>4170</v>
      </c>
      <c r="J505" s="1307" t="s">
        <v>1058</v>
      </c>
      <c r="K505" s="1307" t="s">
        <v>4163</v>
      </c>
      <c r="L505" s="1307" t="s">
        <v>2480</v>
      </c>
      <c r="M505" s="1320">
        <v>3.0</v>
      </c>
    </row>
    <row r="506">
      <c r="A506" s="1307"/>
      <c r="B506" s="1307"/>
      <c r="C506" s="1307"/>
      <c r="D506" s="1307"/>
      <c r="E506" s="1307"/>
      <c r="F506" s="1307"/>
      <c r="G506" s="1307">
        <v>2023.0</v>
      </c>
      <c r="H506" s="1307" t="s">
        <v>139</v>
      </c>
      <c r="I506" s="1307" t="s">
        <v>4170</v>
      </c>
      <c r="J506" s="1307" t="s">
        <v>1058</v>
      </c>
      <c r="K506" s="1307" t="s">
        <v>4156</v>
      </c>
      <c r="L506" s="1307" t="s">
        <v>2480</v>
      </c>
      <c r="M506" s="1320">
        <v>8.0</v>
      </c>
    </row>
    <row r="507">
      <c r="A507" s="1307"/>
      <c r="B507" s="1307"/>
      <c r="C507" s="1307"/>
      <c r="D507" s="1307"/>
      <c r="E507" s="1307"/>
      <c r="F507" s="1307"/>
      <c r="G507" s="1307">
        <v>2023.0</v>
      </c>
      <c r="H507" s="1307" t="s">
        <v>139</v>
      </c>
      <c r="I507" s="1307" t="s">
        <v>4170</v>
      </c>
      <c r="J507" s="1307" t="s">
        <v>1058</v>
      </c>
      <c r="K507" s="1307" t="s">
        <v>4166</v>
      </c>
      <c r="L507" s="1307" t="s">
        <v>2480</v>
      </c>
      <c r="M507" s="1320">
        <v>2.0</v>
      </c>
    </row>
    <row r="508">
      <c r="A508" s="1307"/>
      <c r="B508" s="1307"/>
      <c r="C508" s="1307"/>
      <c r="D508" s="1307"/>
      <c r="E508" s="1307"/>
      <c r="F508" s="1307"/>
      <c r="G508" s="1307">
        <v>2023.0</v>
      </c>
      <c r="H508" s="1307" t="s">
        <v>139</v>
      </c>
      <c r="I508" s="1307" t="s">
        <v>4170</v>
      </c>
      <c r="J508" s="1307" t="s">
        <v>1058</v>
      </c>
      <c r="K508" s="1307" t="s">
        <v>4161</v>
      </c>
      <c r="L508" s="1307" t="s">
        <v>2480</v>
      </c>
      <c r="M508" s="1320">
        <v>2.0</v>
      </c>
    </row>
    <row r="509">
      <c r="A509" s="1307"/>
      <c r="B509" s="1307"/>
      <c r="C509" s="1307"/>
      <c r="D509" s="1307"/>
      <c r="E509" s="1307"/>
      <c r="F509" s="1307"/>
      <c r="G509" s="1307">
        <v>2023.0</v>
      </c>
      <c r="H509" s="1307" t="s">
        <v>139</v>
      </c>
      <c r="I509" s="1307" t="s">
        <v>4170</v>
      </c>
      <c r="J509" s="1307" t="s">
        <v>1058</v>
      </c>
      <c r="K509" s="1307" t="s">
        <v>4160</v>
      </c>
      <c r="L509" s="1307" t="s">
        <v>2480</v>
      </c>
      <c r="M509" s="1320">
        <v>5.0</v>
      </c>
    </row>
    <row r="510">
      <c r="A510" s="1307"/>
      <c r="B510" s="1307"/>
      <c r="C510" s="1307"/>
      <c r="D510" s="1307"/>
      <c r="E510" s="1307"/>
      <c r="F510" s="1307"/>
      <c r="G510" s="1307">
        <v>2023.0</v>
      </c>
      <c r="H510" s="1307" t="s">
        <v>139</v>
      </c>
      <c r="I510" s="1307" t="s">
        <v>4170</v>
      </c>
      <c r="J510" s="1307" t="s">
        <v>4161</v>
      </c>
      <c r="K510" s="1307" t="s">
        <v>4167</v>
      </c>
      <c r="L510" s="1307" t="s">
        <v>2480</v>
      </c>
      <c r="M510" s="1320">
        <v>1.0</v>
      </c>
    </row>
    <row r="511">
      <c r="A511" s="1307"/>
      <c r="B511" s="1307"/>
      <c r="C511" s="1307"/>
      <c r="D511" s="1307"/>
      <c r="E511" s="1307"/>
      <c r="F511" s="1307"/>
      <c r="G511" s="1307">
        <v>2023.0</v>
      </c>
      <c r="H511" s="1307" t="s">
        <v>139</v>
      </c>
      <c r="I511" s="1307" t="s">
        <v>4170</v>
      </c>
      <c r="J511" s="1307" t="s">
        <v>4161</v>
      </c>
      <c r="K511" s="1307" t="s">
        <v>1055</v>
      </c>
      <c r="L511" s="1307" t="s">
        <v>1724</v>
      </c>
      <c r="M511" s="1320">
        <v>4.0</v>
      </c>
    </row>
    <row r="512">
      <c r="A512" s="1307"/>
      <c r="B512" s="1307"/>
      <c r="C512" s="1307"/>
      <c r="D512" s="1307"/>
      <c r="E512" s="1307"/>
      <c r="F512" s="1307"/>
      <c r="G512" s="1307">
        <v>2023.0</v>
      </c>
      <c r="H512" s="1307" t="s">
        <v>139</v>
      </c>
      <c r="I512" s="1307" t="s">
        <v>4170</v>
      </c>
      <c r="J512" s="1307" t="s">
        <v>4161</v>
      </c>
      <c r="K512" s="1307" t="s">
        <v>4161</v>
      </c>
      <c r="L512" s="1307" t="s">
        <v>2480</v>
      </c>
      <c r="M512" s="1320">
        <v>1.0</v>
      </c>
    </row>
    <row r="513">
      <c r="A513" s="1307"/>
      <c r="B513" s="1307"/>
      <c r="C513" s="1307"/>
      <c r="D513" s="1307"/>
      <c r="E513" s="1307"/>
      <c r="F513" s="1307"/>
      <c r="G513" s="1307">
        <v>2023.0</v>
      </c>
      <c r="H513" s="1307" t="s">
        <v>586</v>
      </c>
      <c r="I513" s="1307" t="s">
        <v>4170</v>
      </c>
      <c r="J513" s="1307" t="s">
        <v>1058</v>
      </c>
      <c r="K513" s="1307" t="s">
        <v>4163</v>
      </c>
      <c r="L513" s="1307" t="s">
        <v>2480</v>
      </c>
      <c r="M513" s="1320">
        <v>4.0</v>
      </c>
    </row>
    <row r="514">
      <c r="A514" s="1307"/>
      <c r="B514" s="1307"/>
      <c r="C514" s="1307"/>
      <c r="D514" s="1307"/>
      <c r="E514" s="1307"/>
      <c r="F514" s="1307"/>
      <c r="G514" s="1307">
        <v>2023.0</v>
      </c>
      <c r="H514" s="1307" t="s">
        <v>586</v>
      </c>
      <c r="I514" s="1307" t="s">
        <v>4170</v>
      </c>
      <c r="J514" s="1307" t="s">
        <v>1058</v>
      </c>
      <c r="K514" s="1307" t="s">
        <v>4160</v>
      </c>
      <c r="L514" s="1307" t="s">
        <v>2480</v>
      </c>
      <c r="M514" s="1320">
        <v>2.0</v>
      </c>
    </row>
    <row r="515">
      <c r="A515" s="1307"/>
      <c r="B515" s="1307"/>
      <c r="C515" s="1307"/>
      <c r="D515" s="1307"/>
      <c r="E515" s="1307"/>
      <c r="F515" s="1307"/>
      <c r="G515" s="1307">
        <v>2023.0</v>
      </c>
      <c r="H515" s="1307" t="s">
        <v>586</v>
      </c>
      <c r="I515" s="1307" t="s">
        <v>4170</v>
      </c>
      <c r="J515" s="1307" t="s">
        <v>4161</v>
      </c>
      <c r="K515" s="1307" t="s">
        <v>1055</v>
      </c>
      <c r="L515" s="1307" t="s">
        <v>1724</v>
      </c>
      <c r="M515" s="1320">
        <v>2.0</v>
      </c>
    </row>
    <row r="516">
      <c r="A516" s="1307"/>
      <c r="B516" s="1307"/>
      <c r="C516" s="1307"/>
      <c r="D516" s="1307"/>
      <c r="E516" s="1307"/>
      <c r="F516" s="1307"/>
      <c r="G516" s="1307">
        <v>2023.0</v>
      </c>
      <c r="H516" s="1307" t="s">
        <v>497</v>
      </c>
      <c r="I516" s="1307" t="s">
        <v>4173</v>
      </c>
      <c r="J516" s="1307" t="s">
        <v>1058</v>
      </c>
      <c r="K516" s="1307" t="s">
        <v>4156</v>
      </c>
      <c r="L516" s="1307" t="s">
        <v>2480</v>
      </c>
      <c r="M516" s="1320">
        <v>3.0</v>
      </c>
    </row>
    <row r="517">
      <c r="A517" s="1307"/>
      <c r="B517" s="1307"/>
      <c r="C517" s="1307"/>
      <c r="D517" s="1307"/>
      <c r="E517" s="1307"/>
      <c r="F517" s="1307"/>
      <c r="G517" s="1307">
        <v>2023.0</v>
      </c>
      <c r="H517" s="1307" t="s">
        <v>497</v>
      </c>
      <c r="I517" s="1307" t="s">
        <v>4173</v>
      </c>
      <c r="J517" s="1307" t="s">
        <v>1058</v>
      </c>
      <c r="K517" s="1307" t="s">
        <v>4158</v>
      </c>
      <c r="L517" s="1307" t="s">
        <v>2480</v>
      </c>
      <c r="M517" s="1320">
        <v>2.0</v>
      </c>
    </row>
    <row r="518">
      <c r="A518" s="1307"/>
      <c r="B518" s="1307"/>
      <c r="C518" s="1307"/>
      <c r="D518" s="1307"/>
      <c r="E518" s="1307"/>
      <c r="F518" s="1307"/>
      <c r="G518" s="1307">
        <v>2023.0</v>
      </c>
      <c r="H518" s="1307" t="s">
        <v>497</v>
      </c>
      <c r="I518" s="1307" t="s">
        <v>4173</v>
      </c>
      <c r="J518" s="1307" t="s">
        <v>1058</v>
      </c>
      <c r="K518" s="1307" t="s">
        <v>4160</v>
      </c>
      <c r="L518" s="1307" t="s">
        <v>2480</v>
      </c>
      <c r="M518" s="1320">
        <v>2.0</v>
      </c>
    </row>
    <row r="519">
      <c r="A519" s="1307"/>
      <c r="B519" s="1307"/>
      <c r="C519" s="1307"/>
      <c r="D519" s="1307"/>
      <c r="E519" s="1307"/>
      <c r="F519" s="1307"/>
      <c r="G519" s="1307">
        <v>2023.0</v>
      </c>
      <c r="H519" s="1307" t="s">
        <v>497</v>
      </c>
      <c r="I519" s="1307" t="s">
        <v>4173</v>
      </c>
      <c r="J519" s="1307" t="s">
        <v>4161</v>
      </c>
      <c r="K519" s="1307" t="s">
        <v>1055</v>
      </c>
      <c r="L519" s="1307" t="s">
        <v>1724</v>
      </c>
      <c r="M519" s="1320">
        <v>3.0</v>
      </c>
    </row>
    <row r="520">
      <c r="A520" s="1307"/>
      <c r="B520" s="1307"/>
      <c r="C520" s="1307"/>
      <c r="D520" s="1307"/>
      <c r="E520" s="1307"/>
      <c r="F520" s="1307"/>
      <c r="G520" s="1307">
        <v>2023.0</v>
      </c>
      <c r="H520" s="1307" t="s">
        <v>2080</v>
      </c>
      <c r="I520" s="1307" t="s">
        <v>4170</v>
      </c>
      <c r="J520" s="1307" t="s">
        <v>1058</v>
      </c>
      <c r="K520" s="1307" t="s">
        <v>4156</v>
      </c>
      <c r="L520" s="1307" t="s">
        <v>2480</v>
      </c>
      <c r="M520" s="1320">
        <v>1.0</v>
      </c>
    </row>
    <row r="521">
      <c r="A521" s="1307"/>
      <c r="B521" s="1307"/>
      <c r="C521" s="1307"/>
      <c r="D521" s="1307"/>
      <c r="E521" s="1307"/>
      <c r="F521" s="1307"/>
      <c r="G521" s="1307">
        <v>2023.0</v>
      </c>
      <c r="H521" s="1307" t="s">
        <v>1915</v>
      </c>
      <c r="I521" s="1307" t="s">
        <v>4169</v>
      </c>
      <c r="J521" s="1307" t="s">
        <v>4161</v>
      </c>
      <c r="K521" s="1307" t="s">
        <v>1055</v>
      </c>
      <c r="L521" s="1307" t="s">
        <v>1724</v>
      </c>
      <c r="M521" s="1320">
        <v>1.0</v>
      </c>
    </row>
    <row r="522">
      <c r="A522" s="1307"/>
      <c r="B522" s="1307"/>
      <c r="C522" s="1307"/>
      <c r="D522" s="1307"/>
      <c r="E522" s="1307"/>
      <c r="F522" s="1307"/>
      <c r="G522" s="1307">
        <v>2023.0</v>
      </c>
      <c r="H522" s="1307" t="s">
        <v>721</v>
      </c>
      <c r="I522" s="1307" t="s">
        <v>4164</v>
      </c>
      <c r="J522" s="1307" t="s">
        <v>1058</v>
      </c>
      <c r="K522" s="1307" t="s">
        <v>4156</v>
      </c>
      <c r="L522" s="1307" t="s">
        <v>2480</v>
      </c>
      <c r="M522" s="1320">
        <v>21.0</v>
      </c>
    </row>
    <row r="523">
      <c r="A523" s="1307"/>
      <c r="B523" s="1307"/>
      <c r="C523" s="1307"/>
      <c r="D523" s="1307"/>
      <c r="E523" s="1307"/>
      <c r="F523" s="1307"/>
      <c r="G523" s="1307">
        <v>2023.0</v>
      </c>
      <c r="H523" s="1307" t="s">
        <v>721</v>
      </c>
      <c r="I523" s="1307" t="s">
        <v>4164</v>
      </c>
      <c r="J523" s="1307" t="s">
        <v>1058</v>
      </c>
      <c r="K523" s="1307" t="s">
        <v>4157</v>
      </c>
      <c r="L523" s="1307" t="s">
        <v>1724</v>
      </c>
      <c r="M523" s="1320">
        <v>1.0</v>
      </c>
    </row>
    <row r="524">
      <c r="A524" s="1307"/>
      <c r="B524" s="1307"/>
      <c r="C524" s="1307"/>
      <c r="D524" s="1307"/>
      <c r="E524" s="1307"/>
      <c r="F524" s="1307"/>
      <c r="G524" s="1307">
        <v>2023.0</v>
      </c>
      <c r="H524" s="1307" t="s">
        <v>721</v>
      </c>
      <c r="I524" s="1307" t="s">
        <v>4164</v>
      </c>
      <c r="J524" s="1307" t="s">
        <v>1058</v>
      </c>
      <c r="K524" s="1307" t="s">
        <v>4158</v>
      </c>
      <c r="L524" s="1307" t="s">
        <v>2480</v>
      </c>
      <c r="M524" s="1320">
        <v>2.0</v>
      </c>
    </row>
    <row r="525">
      <c r="A525" s="1307"/>
      <c r="B525" s="1307"/>
      <c r="C525" s="1307"/>
      <c r="D525" s="1307"/>
      <c r="E525" s="1307"/>
      <c r="F525" s="1307"/>
      <c r="G525" s="1307">
        <v>2023.0</v>
      </c>
      <c r="H525" s="1307" t="s">
        <v>721</v>
      </c>
      <c r="I525" s="1307" t="s">
        <v>4164</v>
      </c>
      <c r="J525" s="1307" t="s">
        <v>1058</v>
      </c>
      <c r="K525" s="1307" t="s">
        <v>4166</v>
      </c>
      <c r="L525" s="1307" t="s">
        <v>2480</v>
      </c>
      <c r="M525" s="1320">
        <v>3.0</v>
      </c>
    </row>
    <row r="526">
      <c r="A526" s="1307"/>
      <c r="B526" s="1307"/>
      <c r="C526" s="1307"/>
      <c r="D526" s="1307"/>
      <c r="E526" s="1307"/>
      <c r="F526" s="1307"/>
      <c r="G526" s="1307">
        <v>2023.0</v>
      </c>
      <c r="H526" s="1307" t="s">
        <v>721</v>
      </c>
      <c r="I526" s="1307" t="s">
        <v>4164</v>
      </c>
      <c r="J526" s="1307" t="s">
        <v>1058</v>
      </c>
      <c r="K526" s="1307" t="s">
        <v>4160</v>
      </c>
      <c r="L526" s="1307" t="s">
        <v>2480</v>
      </c>
      <c r="M526" s="1320">
        <v>2.0</v>
      </c>
    </row>
    <row r="527">
      <c r="A527" s="1307"/>
      <c r="B527" s="1307"/>
      <c r="C527" s="1307"/>
      <c r="D527" s="1307"/>
      <c r="E527" s="1307"/>
      <c r="F527" s="1307"/>
      <c r="G527" s="1307">
        <v>2023.0</v>
      </c>
      <c r="H527" s="1307" t="s">
        <v>721</v>
      </c>
      <c r="I527" s="1307" t="s">
        <v>4164</v>
      </c>
      <c r="J527" s="1307" t="s">
        <v>4161</v>
      </c>
      <c r="K527" s="1307" t="s">
        <v>4167</v>
      </c>
      <c r="L527" s="1307" t="s">
        <v>2480</v>
      </c>
      <c r="M527" s="1320">
        <v>3.0</v>
      </c>
    </row>
    <row r="528">
      <c r="A528" s="1307"/>
      <c r="B528" s="1307"/>
      <c r="C528" s="1307"/>
      <c r="D528" s="1307"/>
      <c r="E528" s="1307"/>
      <c r="F528" s="1307"/>
      <c r="G528" s="1307">
        <v>2023.0</v>
      </c>
      <c r="H528" s="1307" t="s">
        <v>721</v>
      </c>
      <c r="I528" s="1307" t="s">
        <v>4164</v>
      </c>
      <c r="J528" s="1307" t="s">
        <v>4161</v>
      </c>
      <c r="K528" s="1307" t="s">
        <v>1055</v>
      </c>
      <c r="L528" s="1307" t="s">
        <v>1724</v>
      </c>
      <c r="M528" s="1320">
        <v>19.0</v>
      </c>
    </row>
    <row r="529">
      <c r="A529" s="1307"/>
      <c r="B529" s="1307"/>
      <c r="C529" s="1307"/>
      <c r="D529" s="1307"/>
      <c r="E529" s="1307"/>
      <c r="F529" s="1307"/>
      <c r="G529" s="1307">
        <v>2023.0</v>
      </c>
      <c r="H529" s="1307" t="s">
        <v>721</v>
      </c>
      <c r="I529" s="1307" t="s">
        <v>4164</v>
      </c>
      <c r="J529" s="1307" t="s">
        <v>4161</v>
      </c>
      <c r="K529" s="1307" t="s">
        <v>4161</v>
      </c>
      <c r="L529" s="1307" t="s">
        <v>2480</v>
      </c>
      <c r="M529" s="1320">
        <v>3.0</v>
      </c>
    </row>
    <row r="530">
      <c r="A530" s="1307"/>
      <c r="B530" s="1307"/>
      <c r="C530" s="1307"/>
      <c r="D530" s="1307"/>
      <c r="E530" s="1307"/>
      <c r="F530" s="1307"/>
      <c r="G530" s="1307">
        <v>2023.0</v>
      </c>
      <c r="H530" s="1307" t="s">
        <v>218</v>
      </c>
      <c r="I530" s="1307" t="s">
        <v>4172</v>
      </c>
      <c r="J530" s="1307" t="s">
        <v>1058</v>
      </c>
      <c r="K530" s="1307" t="s">
        <v>4163</v>
      </c>
      <c r="L530" s="1307" t="s">
        <v>2480</v>
      </c>
      <c r="M530" s="1320">
        <v>40.0</v>
      </c>
    </row>
    <row r="531">
      <c r="A531" s="1307"/>
      <c r="B531" s="1307"/>
      <c r="C531" s="1307"/>
      <c r="D531" s="1307"/>
      <c r="E531" s="1307"/>
      <c r="F531" s="1307"/>
      <c r="G531" s="1307">
        <v>2023.0</v>
      </c>
      <c r="H531" s="1307" t="s">
        <v>218</v>
      </c>
      <c r="I531" s="1307" t="s">
        <v>4172</v>
      </c>
      <c r="J531" s="1307" t="s">
        <v>1058</v>
      </c>
      <c r="K531" s="1307" t="s">
        <v>4156</v>
      </c>
      <c r="L531" s="1307" t="s">
        <v>2480</v>
      </c>
      <c r="M531" s="1320">
        <v>917.0</v>
      </c>
    </row>
    <row r="532">
      <c r="A532" s="1307"/>
      <c r="B532" s="1307"/>
      <c r="C532" s="1307"/>
      <c r="D532" s="1307"/>
      <c r="E532" s="1307"/>
      <c r="F532" s="1307"/>
      <c r="G532" s="1307">
        <v>2023.0</v>
      </c>
      <c r="H532" s="1307" t="s">
        <v>218</v>
      </c>
      <c r="I532" s="1307" t="s">
        <v>4172</v>
      </c>
      <c r="J532" s="1307" t="s">
        <v>1058</v>
      </c>
      <c r="K532" s="1307" t="s">
        <v>4157</v>
      </c>
      <c r="L532" s="1307" t="s">
        <v>1724</v>
      </c>
      <c r="M532" s="1320">
        <v>113.0</v>
      </c>
    </row>
    <row r="533">
      <c r="A533" s="1307"/>
      <c r="B533" s="1307"/>
      <c r="C533" s="1307"/>
      <c r="D533" s="1307"/>
      <c r="E533" s="1307"/>
      <c r="F533" s="1307"/>
      <c r="G533" s="1307">
        <v>2023.0</v>
      </c>
      <c r="H533" s="1307" t="s">
        <v>218</v>
      </c>
      <c r="I533" s="1307" t="s">
        <v>4172</v>
      </c>
      <c r="J533" s="1307" t="s">
        <v>1058</v>
      </c>
      <c r="K533" s="1307" t="s">
        <v>4158</v>
      </c>
      <c r="L533" s="1307" t="s">
        <v>2480</v>
      </c>
      <c r="M533" s="1320">
        <v>6.0</v>
      </c>
    </row>
    <row r="534">
      <c r="A534" s="1307"/>
      <c r="B534" s="1307"/>
      <c r="C534" s="1307"/>
      <c r="D534" s="1307"/>
      <c r="E534" s="1307"/>
      <c r="F534" s="1307"/>
      <c r="G534" s="1307">
        <v>2023.0</v>
      </c>
      <c r="H534" s="1307" t="s">
        <v>218</v>
      </c>
      <c r="I534" s="1307" t="s">
        <v>4172</v>
      </c>
      <c r="J534" s="1307" t="s">
        <v>1058</v>
      </c>
      <c r="K534" s="1307" t="s">
        <v>4159</v>
      </c>
      <c r="L534" s="1307" t="s">
        <v>1724</v>
      </c>
      <c r="M534" s="1320">
        <v>8.0</v>
      </c>
    </row>
    <row r="535">
      <c r="A535" s="1307"/>
      <c r="B535" s="1307"/>
      <c r="C535" s="1307"/>
      <c r="D535" s="1307"/>
      <c r="E535" s="1307"/>
      <c r="F535" s="1307"/>
      <c r="G535" s="1307">
        <v>2023.0</v>
      </c>
      <c r="H535" s="1307" t="s">
        <v>218</v>
      </c>
      <c r="I535" s="1307" t="s">
        <v>4172</v>
      </c>
      <c r="J535" s="1307" t="s">
        <v>1058</v>
      </c>
      <c r="K535" s="1307" t="s">
        <v>4165</v>
      </c>
      <c r="L535" s="1307" t="s">
        <v>2480</v>
      </c>
      <c r="M535" s="1320">
        <v>20.0</v>
      </c>
    </row>
    <row r="536">
      <c r="A536" s="1307"/>
      <c r="B536" s="1307"/>
      <c r="C536" s="1307"/>
      <c r="D536" s="1307"/>
      <c r="E536" s="1307"/>
      <c r="F536" s="1307"/>
      <c r="G536" s="1307">
        <v>2023.0</v>
      </c>
      <c r="H536" s="1307" t="s">
        <v>218</v>
      </c>
      <c r="I536" s="1307" t="s">
        <v>4172</v>
      </c>
      <c r="J536" s="1307" t="s">
        <v>1058</v>
      </c>
      <c r="K536" s="1307" t="s">
        <v>4166</v>
      </c>
      <c r="L536" s="1307" t="s">
        <v>2480</v>
      </c>
      <c r="M536" s="1320">
        <v>120.0</v>
      </c>
    </row>
    <row r="537">
      <c r="A537" s="1307"/>
      <c r="B537" s="1307"/>
      <c r="C537" s="1307"/>
      <c r="D537" s="1307"/>
      <c r="E537" s="1307"/>
      <c r="F537" s="1307"/>
      <c r="G537" s="1307">
        <v>2023.0</v>
      </c>
      <c r="H537" s="1307" t="s">
        <v>218</v>
      </c>
      <c r="I537" s="1307" t="s">
        <v>4172</v>
      </c>
      <c r="J537" s="1307" t="s">
        <v>1058</v>
      </c>
      <c r="K537" s="1307" t="s">
        <v>4161</v>
      </c>
      <c r="L537" s="1307" t="s">
        <v>2480</v>
      </c>
      <c r="M537" s="1320">
        <v>19.0</v>
      </c>
    </row>
    <row r="538">
      <c r="A538" s="1307"/>
      <c r="B538" s="1307"/>
      <c r="C538" s="1307"/>
      <c r="D538" s="1307"/>
      <c r="E538" s="1307"/>
      <c r="F538" s="1307"/>
      <c r="G538" s="1307">
        <v>2023.0</v>
      </c>
      <c r="H538" s="1307" t="s">
        <v>218</v>
      </c>
      <c r="I538" s="1307" t="s">
        <v>4172</v>
      </c>
      <c r="J538" s="1307" t="s">
        <v>1058</v>
      </c>
      <c r="K538" s="1307" t="s">
        <v>4160</v>
      </c>
      <c r="L538" s="1307" t="s">
        <v>2480</v>
      </c>
      <c r="M538" s="1320">
        <v>82.0</v>
      </c>
    </row>
    <row r="539">
      <c r="A539" s="1307"/>
      <c r="B539" s="1307"/>
      <c r="C539" s="1307"/>
      <c r="D539" s="1307"/>
      <c r="E539" s="1307"/>
      <c r="F539" s="1307"/>
      <c r="G539" s="1307">
        <v>2023.0</v>
      </c>
      <c r="H539" s="1307" t="s">
        <v>218</v>
      </c>
      <c r="I539" s="1307" t="s">
        <v>4172</v>
      </c>
      <c r="J539" s="1307" t="s">
        <v>4161</v>
      </c>
      <c r="K539" s="1307" t="s">
        <v>4167</v>
      </c>
      <c r="L539" s="1307" t="s">
        <v>2480</v>
      </c>
      <c r="M539" s="1320">
        <v>44.0</v>
      </c>
    </row>
    <row r="540">
      <c r="A540" s="1307"/>
      <c r="B540" s="1307"/>
      <c r="C540" s="1307"/>
      <c r="D540" s="1307"/>
      <c r="E540" s="1307"/>
      <c r="F540" s="1307"/>
      <c r="G540" s="1307">
        <v>2023.0</v>
      </c>
      <c r="H540" s="1307" t="s">
        <v>218</v>
      </c>
      <c r="I540" s="1307" t="s">
        <v>4172</v>
      </c>
      <c r="J540" s="1307" t="s">
        <v>4161</v>
      </c>
      <c r="K540" s="1307" t="s">
        <v>4174</v>
      </c>
      <c r="L540" s="1307" t="s">
        <v>2480</v>
      </c>
      <c r="M540" s="1320">
        <v>1.0</v>
      </c>
    </row>
    <row r="541">
      <c r="A541" s="1307"/>
      <c r="B541" s="1307"/>
      <c r="C541" s="1307"/>
      <c r="D541" s="1307"/>
      <c r="E541" s="1307"/>
      <c r="F541" s="1307"/>
      <c r="G541" s="1307">
        <v>2023.0</v>
      </c>
      <c r="H541" s="1307" t="s">
        <v>218</v>
      </c>
      <c r="I541" s="1307" t="s">
        <v>4172</v>
      </c>
      <c r="J541" s="1307" t="s">
        <v>4161</v>
      </c>
      <c r="K541" s="1307" t="s">
        <v>1055</v>
      </c>
      <c r="L541" s="1307" t="s">
        <v>1724</v>
      </c>
      <c r="M541" s="1320">
        <v>417.0</v>
      </c>
    </row>
    <row r="542">
      <c r="A542" s="1307"/>
      <c r="B542" s="1307"/>
      <c r="C542" s="1307"/>
      <c r="D542" s="1307"/>
      <c r="E542" s="1307"/>
      <c r="F542" s="1307"/>
      <c r="G542" s="1307">
        <v>2023.0</v>
      </c>
      <c r="H542" s="1307" t="s">
        <v>218</v>
      </c>
      <c r="I542" s="1307" t="s">
        <v>4172</v>
      </c>
      <c r="J542" s="1307" t="s">
        <v>4161</v>
      </c>
      <c r="K542" s="1307" t="s">
        <v>4161</v>
      </c>
      <c r="L542" s="1307" t="s">
        <v>2480</v>
      </c>
      <c r="M542" s="1320">
        <v>54.0</v>
      </c>
    </row>
    <row r="543">
      <c r="A543" s="1307"/>
      <c r="B543" s="1307"/>
      <c r="C543" s="1307"/>
      <c r="D543" s="1307"/>
      <c r="E543" s="1307"/>
      <c r="F543" s="1307"/>
      <c r="G543" s="1307">
        <v>2023.0</v>
      </c>
      <c r="H543" s="1307" t="s">
        <v>775</v>
      </c>
      <c r="I543" s="1307" t="s">
        <v>4155</v>
      </c>
      <c r="J543" s="1307" t="s">
        <v>1058</v>
      </c>
      <c r="K543" s="1307" t="s">
        <v>4163</v>
      </c>
      <c r="L543" s="1307" t="s">
        <v>2480</v>
      </c>
      <c r="M543" s="1320">
        <v>3.0</v>
      </c>
    </row>
    <row r="544">
      <c r="A544" s="1307"/>
      <c r="B544" s="1307"/>
      <c r="C544" s="1307"/>
      <c r="D544" s="1307"/>
      <c r="E544" s="1307"/>
      <c r="F544" s="1307"/>
      <c r="G544" s="1307">
        <v>2023.0</v>
      </c>
      <c r="H544" s="1307" t="s">
        <v>775</v>
      </c>
      <c r="I544" s="1307" t="s">
        <v>4155</v>
      </c>
      <c r="J544" s="1307" t="s">
        <v>1058</v>
      </c>
      <c r="K544" s="1307" t="s">
        <v>4156</v>
      </c>
      <c r="L544" s="1307" t="s">
        <v>2480</v>
      </c>
      <c r="M544" s="1320">
        <v>16.0</v>
      </c>
    </row>
    <row r="545">
      <c r="A545" s="1307"/>
      <c r="B545" s="1307"/>
      <c r="C545" s="1307"/>
      <c r="D545" s="1307"/>
      <c r="E545" s="1307"/>
      <c r="F545" s="1307"/>
      <c r="G545" s="1307">
        <v>2023.0</v>
      </c>
      <c r="H545" s="1307" t="s">
        <v>775</v>
      </c>
      <c r="I545" s="1307" t="s">
        <v>4155</v>
      </c>
      <c r="J545" s="1307" t="s">
        <v>1058</v>
      </c>
      <c r="K545" s="1307" t="s">
        <v>4157</v>
      </c>
      <c r="L545" s="1307" t="s">
        <v>1724</v>
      </c>
      <c r="M545" s="1320">
        <v>4.0</v>
      </c>
    </row>
    <row r="546">
      <c r="A546" s="1307"/>
      <c r="B546" s="1307"/>
      <c r="C546" s="1307"/>
      <c r="D546" s="1307"/>
      <c r="E546" s="1307"/>
      <c r="F546" s="1307"/>
      <c r="G546" s="1307">
        <v>2023.0</v>
      </c>
      <c r="H546" s="1307" t="s">
        <v>775</v>
      </c>
      <c r="I546" s="1307" t="s">
        <v>4155</v>
      </c>
      <c r="J546" s="1307" t="s">
        <v>1058</v>
      </c>
      <c r="K546" s="1307" t="s">
        <v>4165</v>
      </c>
      <c r="L546" s="1307" t="s">
        <v>2480</v>
      </c>
      <c r="M546" s="1320">
        <v>3.0</v>
      </c>
    </row>
    <row r="547">
      <c r="A547" s="1307"/>
      <c r="B547" s="1307"/>
      <c r="C547" s="1307"/>
      <c r="D547" s="1307"/>
      <c r="E547" s="1307"/>
      <c r="F547" s="1307"/>
      <c r="G547" s="1307">
        <v>2023.0</v>
      </c>
      <c r="H547" s="1307" t="s">
        <v>775</v>
      </c>
      <c r="I547" s="1307" t="s">
        <v>4155</v>
      </c>
      <c r="J547" s="1307" t="s">
        <v>1058</v>
      </c>
      <c r="K547" s="1307" t="s">
        <v>4166</v>
      </c>
      <c r="L547" s="1307" t="s">
        <v>2480</v>
      </c>
      <c r="M547" s="1320">
        <v>1.0</v>
      </c>
    </row>
    <row r="548">
      <c r="A548" s="1307"/>
      <c r="B548" s="1307"/>
      <c r="C548" s="1307"/>
      <c r="D548" s="1307"/>
      <c r="E548" s="1307"/>
      <c r="F548" s="1307"/>
      <c r="G548" s="1307">
        <v>2023.0</v>
      </c>
      <c r="H548" s="1307" t="s">
        <v>775</v>
      </c>
      <c r="I548" s="1307" t="s">
        <v>4155</v>
      </c>
      <c r="J548" s="1307" t="s">
        <v>1058</v>
      </c>
      <c r="K548" s="1307" t="s">
        <v>4161</v>
      </c>
      <c r="L548" s="1307" t="s">
        <v>2480</v>
      </c>
      <c r="M548" s="1320">
        <v>1.0</v>
      </c>
    </row>
    <row r="549">
      <c r="A549" s="1307"/>
      <c r="B549" s="1307"/>
      <c r="C549" s="1307"/>
      <c r="D549" s="1307"/>
      <c r="E549" s="1307"/>
      <c r="F549" s="1307"/>
      <c r="G549" s="1307">
        <v>2023.0</v>
      </c>
      <c r="H549" s="1307" t="s">
        <v>775</v>
      </c>
      <c r="I549" s="1307" t="s">
        <v>4155</v>
      </c>
      <c r="J549" s="1307" t="s">
        <v>1058</v>
      </c>
      <c r="K549" s="1307" t="s">
        <v>4160</v>
      </c>
      <c r="L549" s="1307" t="s">
        <v>2480</v>
      </c>
      <c r="M549" s="1320">
        <v>3.0</v>
      </c>
    </row>
    <row r="550">
      <c r="A550" s="1307"/>
      <c r="B550" s="1307"/>
      <c r="C550" s="1307"/>
      <c r="D550" s="1307"/>
      <c r="E550" s="1307"/>
      <c r="F550" s="1307"/>
      <c r="G550" s="1307">
        <v>2023.0</v>
      </c>
      <c r="H550" s="1307" t="s">
        <v>775</v>
      </c>
      <c r="I550" s="1307" t="s">
        <v>4155</v>
      </c>
      <c r="J550" s="1307" t="s">
        <v>4161</v>
      </c>
      <c r="K550" s="1307" t="s">
        <v>1055</v>
      </c>
      <c r="L550" s="1307" t="s">
        <v>1724</v>
      </c>
      <c r="M550" s="1320">
        <v>21.0</v>
      </c>
    </row>
    <row r="551">
      <c r="A551" s="1307"/>
      <c r="B551" s="1307"/>
      <c r="C551" s="1307"/>
      <c r="D551" s="1307"/>
      <c r="E551" s="1307"/>
      <c r="F551" s="1307"/>
      <c r="G551" s="1307">
        <v>2023.0</v>
      </c>
      <c r="H551" s="1307" t="s">
        <v>2082</v>
      </c>
      <c r="I551" s="1307" t="s">
        <v>4170</v>
      </c>
      <c r="J551" s="1307" t="s">
        <v>1058</v>
      </c>
      <c r="K551" s="1307" t="s">
        <v>4163</v>
      </c>
      <c r="L551" s="1307" t="s">
        <v>2480</v>
      </c>
      <c r="M551" s="1320">
        <v>2.0</v>
      </c>
    </row>
    <row r="552">
      <c r="A552" s="1307"/>
      <c r="B552" s="1307"/>
      <c r="C552" s="1307"/>
      <c r="D552" s="1307"/>
      <c r="E552" s="1307"/>
      <c r="F552" s="1307"/>
      <c r="G552" s="1307">
        <v>2023.0</v>
      </c>
      <c r="H552" s="1307" t="s">
        <v>2082</v>
      </c>
      <c r="I552" s="1307" t="s">
        <v>4170</v>
      </c>
      <c r="J552" s="1307" t="s">
        <v>1058</v>
      </c>
      <c r="K552" s="1307" t="s">
        <v>4156</v>
      </c>
      <c r="L552" s="1307" t="s">
        <v>2480</v>
      </c>
      <c r="M552" s="1320">
        <v>1.0</v>
      </c>
    </row>
    <row r="553">
      <c r="A553" s="1307"/>
      <c r="B553" s="1307"/>
      <c r="C553" s="1307"/>
      <c r="D553" s="1307"/>
      <c r="E553" s="1307"/>
      <c r="F553" s="1307"/>
      <c r="G553" s="1307">
        <v>2023.0</v>
      </c>
      <c r="H553" s="1307" t="s">
        <v>980</v>
      </c>
      <c r="I553" s="1307" t="s">
        <v>4169</v>
      </c>
      <c r="J553" s="1307" t="s">
        <v>1058</v>
      </c>
      <c r="K553" s="1307" t="s">
        <v>4156</v>
      </c>
      <c r="L553" s="1307" t="s">
        <v>2480</v>
      </c>
      <c r="M553" s="1320">
        <v>11.0</v>
      </c>
    </row>
    <row r="554">
      <c r="A554" s="1307"/>
      <c r="B554" s="1307"/>
      <c r="C554" s="1307"/>
      <c r="D554" s="1307"/>
      <c r="E554" s="1307"/>
      <c r="F554" s="1307"/>
      <c r="G554" s="1307">
        <v>2023.0</v>
      </c>
      <c r="H554" s="1307" t="s">
        <v>980</v>
      </c>
      <c r="I554" s="1307" t="s">
        <v>4169</v>
      </c>
      <c r="J554" s="1307" t="s">
        <v>4161</v>
      </c>
      <c r="K554" s="1307" t="s">
        <v>1055</v>
      </c>
      <c r="L554" s="1307" t="s">
        <v>1724</v>
      </c>
      <c r="M554" s="1320">
        <v>4.0</v>
      </c>
    </row>
    <row r="555">
      <c r="A555" s="1307"/>
      <c r="B555" s="1307"/>
      <c r="C555" s="1307"/>
      <c r="D555" s="1307"/>
      <c r="E555" s="1307"/>
      <c r="F555" s="1307"/>
      <c r="G555" s="1307">
        <v>2023.0</v>
      </c>
      <c r="H555" s="1307" t="s">
        <v>2083</v>
      </c>
      <c r="I555" s="1307" t="s">
        <v>4173</v>
      </c>
      <c r="J555" s="1307" t="s">
        <v>1058</v>
      </c>
      <c r="K555" s="1307" t="s">
        <v>4163</v>
      </c>
      <c r="L555" s="1307" t="s">
        <v>2480</v>
      </c>
      <c r="M555" s="1320">
        <v>3.0</v>
      </c>
    </row>
    <row r="556">
      <c r="A556" s="1307"/>
      <c r="B556" s="1307"/>
      <c r="C556" s="1307"/>
      <c r="D556" s="1307"/>
      <c r="E556" s="1307"/>
      <c r="F556" s="1307"/>
      <c r="G556" s="1307">
        <v>2023.0</v>
      </c>
      <c r="H556" s="1307" t="s">
        <v>2083</v>
      </c>
      <c r="I556" s="1307" t="s">
        <v>4173</v>
      </c>
      <c r="J556" s="1307" t="s">
        <v>1058</v>
      </c>
      <c r="K556" s="1307" t="s">
        <v>4156</v>
      </c>
      <c r="L556" s="1307" t="s">
        <v>2480</v>
      </c>
      <c r="M556" s="1320">
        <v>44.0</v>
      </c>
    </row>
    <row r="557">
      <c r="A557" s="1307"/>
      <c r="B557" s="1307"/>
      <c r="C557" s="1307"/>
      <c r="D557" s="1307"/>
      <c r="E557" s="1307"/>
      <c r="F557" s="1307"/>
      <c r="G557" s="1307">
        <v>2023.0</v>
      </c>
      <c r="H557" s="1307" t="s">
        <v>2083</v>
      </c>
      <c r="I557" s="1307" t="s">
        <v>4173</v>
      </c>
      <c r="J557" s="1307" t="s">
        <v>1058</v>
      </c>
      <c r="K557" s="1307" t="s">
        <v>4157</v>
      </c>
      <c r="L557" s="1307" t="s">
        <v>1724</v>
      </c>
      <c r="M557" s="1320">
        <v>2.0</v>
      </c>
    </row>
    <row r="558">
      <c r="A558" s="1307"/>
      <c r="B558" s="1307"/>
      <c r="C558" s="1307"/>
      <c r="D558" s="1307"/>
      <c r="E558" s="1307"/>
      <c r="F558" s="1307"/>
      <c r="G558" s="1307">
        <v>2023.0</v>
      </c>
      <c r="H558" s="1307" t="s">
        <v>2083</v>
      </c>
      <c r="I558" s="1307" t="s">
        <v>4173</v>
      </c>
      <c r="J558" s="1307" t="s">
        <v>1058</v>
      </c>
      <c r="K558" s="1307" t="s">
        <v>4159</v>
      </c>
      <c r="L558" s="1307" t="s">
        <v>1724</v>
      </c>
      <c r="M558" s="1320">
        <v>3.0</v>
      </c>
    </row>
    <row r="559">
      <c r="A559" s="1307"/>
      <c r="B559" s="1307"/>
      <c r="C559" s="1307"/>
      <c r="D559" s="1307"/>
      <c r="E559" s="1307"/>
      <c r="F559" s="1307"/>
      <c r="G559" s="1307">
        <v>2023.0</v>
      </c>
      <c r="H559" s="1307" t="s">
        <v>2083</v>
      </c>
      <c r="I559" s="1307" t="s">
        <v>4173</v>
      </c>
      <c r="J559" s="1307" t="s">
        <v>1058</v>
      </c>
      <c r="K559" s="1307" t="s">
        <v>4165</v>
      </c>
      <c r="L559" s="1307" t="s">
        <v>2480</v>
      </c>
      <c r="M559" s="1320">
        <v>3.0</v>
      </c>
    </row>
    <row r="560">
      <c r="A560" s="1307"/>
      <c r="B560" s="1307"/>
      <c r="C560" s="1307"/>
      <c r="D560" s="1307"/>
      <c r="E560" s="1307"/>
      <c r="F560" s="1307"/>
      <c r="G560" s="1307">
        <v>2023.0</v>
      </c>
      <c r="H560" s="1307" t="s">
        <v>2083</v>
      </c>
      <c r="I560" s="1307" t="s">
        <v>4173</v>
      </c>
      <c r="J560" s="1307" t="s">
        <v>1058</v>
      </c>
      <c r="K560" s="1307" t="s">
        <v>4166</v>
      </c>
      <c r="L560" s="1307" t="s">
        <v>2480</v>
      </c>
      <c r="M560" s="1320">
        <v>2.0</v>
      </c>
    </row>
    <row r="561">
      <c r="A561" s="1307"/>
      <c r="B561" s="1307"/>
      <c r="C561" s="1307"/>
      <c r="D561" s="1307"/>
      <c r="E561" s="1307"/>
      <c r="F561" s="1307"/>
      <c r="G561" s="1307">
        <v>2023.0</v>
      </c>
      <c r="H561" s="1307" t="s">
        <v>2083</v>
      </c>
      <c r="I561" s="1307" t="s">
        <v>4173</v>
      </c>
      <c r="J561" s="1307" t="s">
        <v>1058</v>
      </c>
      <c r="K561" s="1307" t="s">
        <v>4161</v>
      </c>
      <c r="L561" s="1307" t="s">
        <v>2480</v>
      </c>
      <c r="M561" s="1320">
        <v>2.0</v>
      </c>
    </row>
    <row r="562">
      <c r="A562" s="1307"/>
      <c r="B562" s="1307"/>
      <c r="C562" s="1307"/>
      <c r="D562" s="1307"/>
      <c r="E562" s="1307"/>
      <c r="F562" s="1307"/>
      <c r="G562" s="1307">
        <v>2023.0</v>
      </c>
      <c r="H562" s="1307" t="s">
        <v>2083</v>
      </c>
      <c r="I562" s="1307" t="s">
        <v>4173</v>
      </c>
      <c r="J562" s="1307" t="s">
        <v>1058</v>
      </c>
      <c r="K562" s="1307" t="s">
        <v>4160</v>
      </c>
      <c r="L562" s="1307" t="s">
        <v>2480</v>
      </c>
      <c r="M562" s="1320">
        <v>4.0</v>
      </c>
    </row>
    <row r="563">
      <c r="A563" s="1307"/>
      <c r="B563" s="1307"/>
      <c r="C563" s="1307"/>
      <c r="D563" s="1307"/>
      <c r="E563" s="1307"/>
      <c r="F563" s="1307"/>
      <c r="G563" s="1307">
        <v>2023.0</v>
      </c>
      <c r="H563" s="1307" t="s">
        <v>2083</v>
      </c>
      <c r="I563" s="1307" t="s">
        <v>4173</v>
      </c>
      <c r="J563" s="1307" t="s">
        <v>4161</v>
      </c>
      <c r="K563" s="1307" t="s">
        <v>4167</v>
      </c>
      <c r="L563" s="1307" t="s">
        <v>2480</v>
      </c>
      <c r="M563" s="1320">
        <v>5.0</v>
      </c>
    </row>
    <row r="564">
      <c r="A564" s="1307"/>
      <c r="B564" s="1307"/>
      <c r="C564" s="1307"/>
      <c r="D564" s="1307"/>
      <c r="E564" s="1307"/>
      <c r="F564" s="1307"/>
      <c r="G564" s="1307">
        <v>2023.0</v>
      </c>
      <c r="H564" s="1307" t="s">
        <v>2083</v>
      </c>
      <c r="I564" s="1307" t="s">
        <v>4173</v>
      </c>
      <c r="J564" s="1307" t="s">
        <v>4161</v>
      </c>
      <c r="K564" s="1307" t="s">
        <v>1055</v>
      </c>
      <c r="L564" s="1307" t="s">
        <v>1724</v>
      </c>
      <c r="M564" s="1320">
        <v>35.0</v>
      </c>
    </row>
    <row r="565">
      <c r="A565" s="1307"/>
      <c r="B565" s="1307"/>
      <c r="C565" s="1307"/>
      <c r="D565" s="1307"/>
      <c r="E565" s="1307"/>
      <c r="F565" s="1307"/>
      <c r="G565" s="1307">
        <v>2023.0</v>
      </c>
      <c r="H565" s="1307" t="s">
        <v>2083</v>
      </c>
      <c r="I565" s="1307" t="s">
        <v>4173</v>
      </c>
      <c r="J565" s="1307" t="s">
        <v>4161</v>
      </c>
      <c r="K565" s="1307" t="s">
        <v>4161</v>
      </c>
      <c r="L565" s="1307" t="s">
        <v>2480</v>
      </c>
      <c r="M565" s="1320">
        <v>3.0</v>
      </c>
    </row>
    <row r="566">
      <c r="A566" s="1307"/>
      <c r="B566" s="1307"/>
      <c r="C566" s="1307"/>
      <c r="D566" s="1307"/>
      <c r="E566" s="1307"/>
      <c r="F566" s="1307"/>
      <c r="G566" s="1307">
        <v>2023.0</v>
      </c>
      <c r="H566" s="1307" t="s">
        <v>2084</v>
      </c>
      <c r="I566" s="1307" t="s">
        <v>4170</v>
      </c>
      <c r="J566" s="1307" t="s">
        <v>1058</v>
      </c>
      <c r="K566" s="1307" t="s">
        <v>4156</v>
      </c>
      <c r="L566" s="1307" t="s">
        <v>2480</v>
      </c>
      <c r="M566" s="1320">
        <v>1.0</v>
      </c>
    </row>
    <row r="567">
      <c r="A567" s="1307"/>
      <c r="B567" s="1307"/>
      <c r="C567" s="1307"/>
      <c r="D567" s="1307"/>
      <c r="E567" s="1307"/>
      <c r="F567" s="1307"/>
      <c r="G567" s="1307">
        <v>2023.0</v>
      </c>
      <c r="H567" s="1307" t="s">
        <v>2084</v>
      </c>
      <c r="I567" s="1307" t="s">
        <v>4170</v>
      </c>
      <c r="J567" s="1307" t="s">
        <v>1058</v>
      </c>
      <c r="K567" s="1307" t="s">
        <v>4166</v>
      </c>
      <c r="L567" s="1307" t="s">
        <v>2480</v>
      </c>
      <c r="M567" s="1320">
        <v>1.0</v>
      </c>
    </row>
    <row r="568">
      <c r="A568" s="1307"/>
      <c r="B568" s="1307"/>
      <c r="C568" s="1307"/>
      <c r="D568" s="1307"/>
      <c r="E568" s="1307"/>
      <c r="F568" s="1307"/>
      <c r="G568" s="1307">
        <v>2023.0</v>
      </c>
      <c r="H568" s="1307" t="s">
        <v>722</v>
      </c>
      <c r="I568" s="1307" t="s">
        <v>4155</v>
      </c>
      <c r="J568" s="1307" t="s">
        <v>1058</v>
      </c>
      <c r="K568" s="1307" t="s">
        <v>4163</v>
      </c>
      <c r="L568" s="1307" t="s">
        <v>2480</v>
      </c>
      <c r="M568" s="1320">
        <v>5.0</v>
      </c>
    </row>
    <row r="569">
      <c r="A569" s="1307"/>
      <c r="B569" s="1307"/>
      <c r="C569" s="1307"/>
      <c r="D569" s="1307"/>
      <c r="E569" s="1307"/>
      <c r="F569" s="1307"/>
      <c r="G569" s="1307">
        <v>2023.0</v>
      </c>
      <c r="H569" s="1307" t="s">
        <v>722</v>
      </c>
      <c r="I569" s="1307" t="s">
        <v>4155</v>
      </c>
      <c r="J569" s="1307" t="s">
        <v>1058</v>
      </c>
      <c r="K569" s="1307" t="s">
        <v>4156</v>
      </c>
      <c r="L569" s="1307" t="s">
        <v>2480</v>
      </c>
      <c r="M569" s="1320">
        <v>34.0</v>
      </c>
    </row>
    <row r="570">
      <c r="A570" s="1307"/>
      <c r="B570" s="1307"/>
      <c r="C570" s="1307"/>
      <c r="D570" s="1307"/>
      <c r="E570" s="1307"/>
      <c r="F570" s="1307"/>
      <c r="G570" s="1307">
        <v>2023.0</v>
      </c>
      <c r="H570" s="1307" t="s">
        <v>722</v>
      </c>
      <c r="I570" s="1307" t="s">
        <v>4155</v>
      </c>
      <c r="J570" s="1307" t="s">
        <v>1058</v>
      </c>
      <c r="K570" s="1307" t="s">
        <v>4157</v>
      </c>
      <c r="L570" s="1307" t="s">
        <v>1724</v>
      </c>
      <c r="M570" s="1320">
        <v>7.0</v>
      </c>
    </row>
    <row r="571">
      <c r="A571" s="1307"/>
      <c r="B571" s="1307"/>
      <c r="C571" s="1307"/>
      <c r="D571" s="1307"/>
      <c r="E571" s="1307"/>
      <c r="F571" s="1307"/>
      <c r="G571" s="1307">
        <v>2023.0</v>
      </c>
      <c r="H571" s="1307" t="s">
        <v>722</v>
      </c>
      <c r="I571" s="1307" t="s">
        <v>4155</v>
      </c>
      <c r="J571" s="1307" t="s">
        <v>1058</v>
      </c>
      <c r="K571" s="1307" t="s">
        <v>4158</v>
      </c>
      <c r="L571" s="1307" t="s">
        <v>2480</v>
      </c>
      <c r="M571" s="1320">
        <v>1.0</v>
      </c>
    </row>
    <row r="572">
      <c r="A572" s="1307"/>
      <c r="B572" s="1307"/>
      <c r="C572" s="1307"/>
      <c r="D572" s="1307"/>
      <c r="E572" s="1307"/>
      <c r="F572" s="1307"/>
      <c r="G572" s="1307">
        <v>2023.0</v>
      </c>
      <c r="H572" s="1307" t="s">
        <v>722</v>
      </c>
      <c r="I572" s="1307" t="s">
        <v>4155</v>
      </c>
      <c r="J572" s="1307" t="s">
        <v>1058</v>
      </c>
      <c r="K572" s="1307" t="s">
        <v>4165</v>
      </c>
      <c r="L572" s="1307" t="s">
        <v>2480</v>
      </c>
      <c r="M572" s="1320">
        <v>1.0</v>
      </c>
    </row>
    <row r="573">
      <c r="A573" s="1307"/>
      <c r="B573" s="1307"/>
      <c r="C573" s="1307"/>
      <c r="D573" s="1307"/>
      <c r="E573" s="1307"/>
      <c r="F573" s="1307"/>
      <c r="G573" s="1307">
        <v>2023.0</v>
      </c>
      <c r="H573" s="1307" t="s">
        <v>722</v>
      </c>
      <c r="I573" s="1307" t="s">
        <v>4155</v>
      </c>
      <c r="J573" s="1307" t="s">
        <v>1058</v>
      </c>
      <c r="K573" s="1307" t="s">
        <v>4166</v>
      </c>
      <c r="L573" s="1307" t="s">
        <v>2480</v>
      </c>
      <c r="M573" s="1320">
        <v>4.0</v>
      </c>
    </row>
    <row r="574">
      <c r="A574" s="1307"/>
      <c r="B574" s="1307"/>
      <c r="C574" s="1307"/>
      <c r="D574" s="1307"/>
      <c r="E574" s="1307"/>
      <c r="F574" s="1307"/>
      <c r="G574" s="1307">
        <v>2023.0</v>
      </c>
      <c r="H574" s="1307" t="s">
        <v>722</v>
      </c>
      <c r="I574" s="1307" t="s">
        <v>4155</v>
      </c>
      <c r="J574" s="1307" t="s">
        <v>1058</v>
      </c>
      <c r="K574" s="1307" t="s">
        <v>4161</v>
      </c>
      <c r="L574" s="1307" t="s">
        <v>2480</v>
      </c>
      <c r="M574" s="1320">
        <v>1.0</v>
      </c>
    </row>
    <row r="575">
      <c r="A575" s="1307"/>
      <c r="B575" s="1307"/>
      <c r="C575" s="1307"/>
      <c r="D575" s="1307"/>
      <c r="E575" s="1307"/>
      <c r="F575" s="1307"/>
      <c r="G575" s="1307">
        <v>2023.0</v>
      </c>
      <c r="H575" s="1307" t="s">
        <v>722</v>
      </c>
      <c r="I575" s="1307" t="s">
        <v>4155</v>
      </c>
      <c r="J575" s="1307" t="s">
        <v>1058</v>
      </c>
      <c r="K575" s="1307" t="s">
        <v>4160</v>
      </c>
      <c r="L575" s="1307" t="s">
        <v>2480</v>
      </c>
      <c r="M575" s="1320">
        <v>9.0</v>
      </c>
    </row>
    <row r="576">
      <c r="A576" s="1307"/>
      <c r="B576" s="1307"/>
      <c r="C576" s="1307"/>
      <c r="D576" s="1307"/>
      <c r="E576" s="1307"/>
      <c r="F576" s="1307"/>
      <c r="G576" s="1307">
        <v>2023.0</v>
      </c>
      <c r="H576" s="1307" t="s">
        <v>722</v>
      </c>
      <c r="I576" s="1307" t="s">
        <v>4155</v>
      </c>
      <c r="J576" s="1307" t="s">
        <v>4161</v>
      </c>
      <c r="K576" s="1307" t="s">
        <v>4167</v>
      </c>
      <c r="L576" s="1307" t="s">
        <v>2480</v>
      </c>
      <c r="M576" s="1320">
        <v>3.0</v>
      </c>
    </row>
    <row r="577">
      <c r="A577" s="1307"/>
      <c r="B577" s="1307"/>
      <c r="C577" s="1307"/>
      <c r="D577" s="1307"/>
      <c r="E577" s="1307"/>
      <c r="F577" s="1307"/>
      <c r="G577" s="1307">
        <v>2023.0</v>
      </c>
      <c r="H577" s="1307" t="s">
        <v>722</v>
      </c>
      <c r="I577" s="1307" t="s">
        <v>4155</v>
      </c>
      <c r="J577" s="1307" t="s">
        <v>4161</v>
      </c>
      <c r="K577" s="1307" t="s">
        <v>1055</v>
      </c>
      <c r="L577" s="1307" t="s">
        <v>1724</v>
      </c>
      <c r="M577" s="1320">
        <v>44.0</v>
      </c>
    </row>
    <row r="578">
      <c r="A578" s="1307"/>
      <c r="B578" s="1307"/>
      <c r="C578" s="1307"/>
      <c r="D578" s="1307"/>
      <c r="E578" s="1307"/>
      <c r="F578" s="1307"/>
      <c r="G578" s="1307">
        <v>2023.0</v>
      </c>
      <c r="H578" s="1307" t="s">
        <v>722</v>
      </c>
      <c r="I578" s="1307" t="s">
        <v>4155</v>
      </c>
      <c r="J578" s="1307" t="s">
        <v>4161</v>
      </c>
      <c r="K578" s="1307" t="s">
        <v>4161</v>
      </c>
      <c r="L578" s="1307" t="s">
        <v>2480</v>
      </c>
      <c r="M578" s="1320">
        <v>2.0</v>
      </c>
    </row>
    <row r="579">
      <c r="A579" s="1307"/>
      <c r="B579" s="1307"/>
      <c r="C579" s="1307"/>
      <c r="D579" s="1307"/>
      <c r="E579" s="1307"/>
      <c r="F579" s="1307"/>
      <c r="G579" s="1307">
        <v>2023.0</v>
      </c>
      <c r="H579" s="1307" t="s">
        <v>480</v>
      </c>
      <c r="I579" s="1307" t="s">
        <v>4168</v>
      </c>
      <c r="J579" s="1307" t="s">
        <v>1058</v>
      </c>
      <c r="K579" s="1307" t="s">
        <v>4163</v>
      </c>
      <c r="L579" s="1307" t="s">
        <v>2480</v>
      </c>
      <c r="M579" s="1320">
        <v>11.0</v>
      </c>
    </row>
    <row r="580">
      <c r="A580" s="1307"/>
      <c r="B580" s="1307"/>
      <c r="C580" s="1307"/>
      <c r="D580" s="1307"/>
      <c r="E580" s="1307"/>
      <c r="F580" s="1307"/>
      <c r="G580" s="1307">
        <v>2023.0</v>
      </c>
      <c r="H580" s="1307" t="s">
        <v>480</v>
      </c>
      <c r="I580" s="1307" t="s">
        <v>4168</v>
      </c>
      <c r="J580" s="1307" t="s">
        <v>1058</v>
      </c>
      <c r="K580" s="1307" t="s">
        <v>4156</v>
      </c>
      <c r="L580" s="1307" t="s">
        <v>2480</v>
      </c>
      <c r="M580" s="1320">
        <v>95.0</v>
      </c>
    </row>
    <row r="581">
      <c r="A581" s="1307"/>
      <c r="B581" s="1307"/>
      <c r="C581" s="1307"/>
      <c r="D581" s="1307"/>
      <c r="E581" s="1307"/>
      <c r="F581" s="1307"/>
      <c r="G581" s="1307">
        <v>2023.0</v>
      </c>
      <c r="H581" s="1307" t="s">
        <v>480</v>
      </c>
      <c r="I581" s="1307" t="s">
        <v>4168</v>
      </c>
      <c r="J581" s="1307" t="s">
        <v>1058</v>
      </c>
      <c r="K581" s="1307" t="s">
        <v>4157</v>
      </c>
      <c r="L581" s="1307" t="s">
        <v>1724</v>
      </c>
      <c r="M581" s="1320">
        <v>1.0</v>
      </c>
    </row>
    <row r="582">
      <c r="A582" s="1307"/>
      <c r="B582" s="1307"/>
      <c r="C582" s="1307"/>
      <c r="D582" s="1307"/>
      <c r="E582" s="1307"/>
      <c r="F582" s="1307"/>
      <c r="G582" s="1307">
        <v>2023.0</v>
      </c>
      <c r="H582" s="1307" t="s">
        <v>480</v>
      </c>
      <c r="I582" s="1307" t="s">
        <v>4168</v>
      </c>
      <c r="J582" s="1307" t="s">
        <v>1058</v>
      </c>
      <c r="K582" s="1307" t="s">
        <v>4158</v>
      </c>
      <c r="L582" s="1307" t="s">
        <v>2480</v>
      </c>
      <c r="M582" s="1320">
        <v>4.0</v>
      </c>
    </row>
    <row r="583">
      <c r="A583" s="1307"/>
      <c r="B583" s="1307"/>
      <c r="C583" s="1307"/>
      <c r="D583" s="1307"/>
      <c r="E583" s="1307"/>
      <c r="F583" s="1307"/>
      <c r="G583" s="1307">
        <v>2023.0</v>
      </c>
      <c r="H583" s="1307" t="s">
        <v>480</v>
      </c>
      <c r="I583" s="1307" t="s">
        <v>4168</v>
      </c>
      <c r="J583" s="1307" t="s">
        <v>1058</v>
      </c>
      <c r="K583" s="1307" t="s">
        <v>4165</v>
      </c>
      <c r="L583" s="1307" t="s">
        <v>2480</v>
      </c>
      <c r="M583" s="1320">
        <v>12.0</v>
      </c>
    </row>
    <row r="584">
      <c r="A584" s="1307"/>
      <c r="B584" s="1307"/>
      <c r="C584" s="1307"/>
      <c r="D584" s="1307"/>
      <c r="E584" s="1307"/>
      <c r="F584" s="1307"/>
      <c r="G584" s="1307">
        <v>2023.0</v>
      </c>
      <c r="H584" s="1307" t="s">
        <v>480</v>
      </c>
      <c r="I584" s="1307" t="s">
        <v>4168</v>
      </c>
      <c r="J584" s="1307" t="s">
        <v>1058</v>
      </c>
      <c r="K584" s="1307" t="s">
        <v>4166</v>
      </c>
      <c r="L584" s="1307" t="s">
        <v>2480</v>
      </c>
      <c r="M584" s="1320">
        <v>11.0</v>
      </c>
    </row>
    <row r="585">
      <c r="A585" s="1307"/>
      <c r="B585" s="1307"/>
      <c r="C585" s="1307"/>
      <c r="D585" s="1307"/>
      <c r="E585" s="1307"/>
      <c r="F585" s="1307"/>
      <c r="G585" s="1307">
        <v>2023.0</v>
      </c>
      <c r="H585" s="1307" t="s">
        <v>480</v>
      </c>
      <c r="I585" s="1307" t="s">
        <v>4168</v>
      </c>
      <c r="J585" s="1307" t="s">
        <v>1058</v>
      </c>
      <c r="K585" s="1307" t="s">
        <v>4161</v>
      </c>
      <c r="L585" s="1307" t="s">
        <v>2480</v>
      </c>
      <c r="M585" s="1320">
        <v>3.0</v>
      </c>
    </row>
    <row r="586">
      <c r="A586" s="1307"/>
      <c r="B586" s="1307"/>
      <c r="C586" s="1307"/>
      <c r="D586" s="1307"/>
      <c r="E586" s="1307"/>
      <c r="F586" s="1307"/>
      <c r="G586" s="1307">
        <v>2023.0</v>
      </c>
      <c r="H586" s="1307" t="s">
        <v>480</v>
      </c>
      <c r="I586" s="1307" t="s">
        <v>4168</v>
      </c>
      <c r="J586" s="1307" t="s">
        <v>1058</v>
      </c>
      <c r="K586" s="1307" t="s">
        <v>4160</v>
      </c>
      <c r="L586" s="1307" t="s">
        <v>2480</v>
      </c>
      <c r="M586" s="1320">
        <v>8.0</v>
      </c>
    </row>
    <row r="587">
      <c r="A587" s="1307"/>
      <c r="B587" s="1307"/>
      <c r="C587" s="1307"/>
      <c r="D587" s="1307"/>
      <c r="E587" s="1307"/>
      <c r="F587" s="1307"/>
      <c r="G587" s="1307">
        <v>2023.0</v>
      </c>
      <c r="H587" s="1307" t="s">
        <v>480</v>
      </c>
      <c r="I587" s="1307" t="s">
        <v>4168</v>
      </c>
      <c r="J587" s="1307" t="s">
        <v>4161</v>
      </c>
      <c r="K587" s="1307" t="s">
        <v>4167</v>
      </c>
      <c r="L587" s="1307" t="s">
        <v>2480</v>
      </c>
      <c r="M587" s="1326">
        <v>7.0</v>
      </c>
    </row>
    <row r="588">
      <c r="A588" s="1307"/>
      <c r="B588" s="1307"/>
      <c r="C588" s="1307"/>
      <c r="D588" s="1307"/>
      <c r="E588" s="1307"/>
      <c r="F588" s="1307"/>
      <c r="G588" s="1307">
        <v>2023.0</v>
      </c>
      <c r="H588" s="1307" t="s">
        <v>480</v>
      </c>
      <c r="I588" s="1307" t="s">
        <v>4168</v>
      </c>
      <c r="J588" s="1307" t="s">
        <v>4161</v>
      </c>
      <c r="K588" s="1307" t="s">
        <v>1055</v>
      </c>
      <c r="L588" s="1307" t="s">
        <v>1724</v>
      </c>
      <c r="M588" s="1320">
        <v>81.0</v>
      </c>
    </row>
    <row r="589">
      <c r="A589" s="1307"/>
      <c r="B589" s="1307"/>
      <c r="C589" s="1307"/>
      <c r="D589" s="1307"/>
      <c r="E589" s="1307"/>
      <c r="F589" s="1307"/>
      <c r="G589" s="1307">
        <v>2023.0</v>
      </c>
      <c r="H589" s="1307" t="s">
        <v>480</v>
      </c>
      <c r="I589" s="1307" t="s">
        <v>4168</v>
      </c>
      <c r="J589" s="1307" t="s">
        <v>4161</v>
      </c>
      <c r="K589" s="1307" t="s">
        <v>4161</v>
      </c>
      <c r="L589" s="1307" t="s">
        <v>2480</v>
      </c>
      <c r="M589" s="1320">
        <v>2.0</v>
      </c>
    </row>
    <row r="590">
      <c r="A590" s="1307"/>
      <c r="B590" s="1307"/>
      <c r="C590" s="1307"/>
      <c r="D590" s="1307"/>
      <c r="E590" s="1307"/>
      <c r="F590" s="1307"/>
      <c r="G590" s="1307">
        <v>2023.0</v>
      </c>
      <c r="H590" s="1307" t="s">
        <v>1445</v>
      </c>
      <c r="I590" s="1307" t="s">
        <v>4173</v>
      </c>
      <c r="J590" s="1307" t="s">
        <v>1058</v>
      </c>
      <c r="K590" s="1307" t="s">
        <v>4156</v>
      </c>
      <c r="L590" s="1307" t="s">
        <v>2480</v>
      </c>
      <c r="M590" s="1320">
        <v>13.0</v>
      </c>
    </row>
    <row r="591">
      <c r="A591" s="1307"/>
      <c r="B591" s="1307"/>
      <c r="C591" s="1307"/>
      <c r="D591" s="1307"/>
      <c r="E591" s="1307"/>
      <c r="F591" s="1307"/>
      <c r="G591" s="1307">
        <v>2023.0</v>
      </c>
      <c r="H591" s="1307" t="s">
        <v>1445</v>
      </c>
      <c r="I591" s="1307" t="s">
        <v>4173</v>
      </c>
      <c r="J591" s="1307" t="s">
        <v>1058</v>
      </c>
      <c r="K591" s="1307" t="s">
        <v>4159</v>
      </c>
      <c r="L591" s="1307" t="s">
        <v>1724</v>
      </c>
      <c r="M591" s="1320">
        <v>2.0</v>
      </c>
    </row>
    <row r="592">
      <c r="A592" s="1307"/>
      <c r="B592" s="1307"/>
      <c r="C592" s="1307"/>
      <c r="D592" s="1307"/>
      <c r="E592" s="1307"/>
      <c r="F592" s="1307"/>
      <c r="G592" s="1307">
        <v>2023.0</v>
      </c>
      <c r="H592" s="1307" t="s">
        <v>1445</v>
      </c>
      <c r="I592" s="1307" t="s">
        <v>4173</v>
      </c>
      <c r="J592" s="1307" t="s">
        <v>1058</v>
      </c>
      <c r="K592" s="1307" t="s">
        <v>4166</v>
      </c>
      <c r="L592" s="1307" t="s">
        <v>2480</v>
      </c>
      <c r="M592" s="1320">
        <v>3.0</v>
      </c>
    </row>
    <row r="593">
      <c r="A593" s="1307"/>
      <c r="B593" s="1307"/>
      <c r="C593" s="1307"/>
      <c r="D593" s="1307"/>
      <c r="E593" s="1307"/>
      <c r="F593" s="1307"/>
      <c r="G593" s="1307">
        <v>2023.0</v>
      </c>
      <c r="H593" s="1307" t="s">
        <v>1445</v>
      </c>
      <c r="I593" s="1307" t="s">
        <v>4173</v>
      </c>
      <c r="J593" s="1307" t="s">
        <v>1058</v>
      </c>
      <c r="K593" s="1307" t="s">
        <v>4161</v>
      </c>
      <c r="L593" s="1307" t="s">
        <v>2480</v>
      </c>
      <c r="M593" s="1320">
        <v>1.0</v>
      </c>
    </row>
    <row r="594">
      <c r="A594" s="1307"/>
      <c r="B594" s="1307"/>
      <c r="C594" s="1307"/>
      <c r="D594" s="1307"/>
      <c r="E594" s="1307"/>
      <c r="F594" s="1307"/>
      <c r="G594" s="1307">
        <v>2023.0</v>
      </c>
      <c r="H594" s="1307" t="s">
        <v>1445</v>
      </c>
      <c r="I594" s="1307" t="s">
        <v>4173</v>
      </c>
      <c r="J594" s="1307" t="s">
        <v>1058</v>
      </c>
      <c r="K594" s="1307" t="s">
        <v>4160</v>
      </c>
      <c r="L594" s="1307" t="s">
        <v>2480</v>
      </c>
      <c r="M594" s="1320">
        <v>4.0</v>
      </c>
    </row>
    <row r="595">
      <c r="A595" s="1307"/>
      <c r="B595" s="1307"/>
      <c r="C595" s="1307"/>
      <c r="D595" s="1307"/>
      <c r="E595" s="1307"/>
      <c r="F595" s="1307"/>
      <c r="G595" s="1307">
        <v>2023.0</v>
      </c>
      <c r="H595" s="1307" t="s">
        <v>1445</v>
      </c>
      <c r="I595" s="1307" t="s">
        <v>4173</v>
      </c>
      <c r="J595" s="1307" t="s">
        <v>4161</v>
      </c>
      <c r="K595" s="1307" t="s">
        <v>4167</v>
      </c>
      <c r="L595" s="1307" t="s">
        <v>2480</v>
      </c>
      <c r="M595" s="1320">
        <v>1.0</v>
      </c>
    </row>
    <row r="596">
      <c r="A596" s="1307"/>
      <c r="B596" s="1307"/>
      <c r="C596" s="1307"/>
      <c r="D596" s="1307"/>
      <c r="E596" s="1307"/>
      <c r="F596" s="1307"/>
      <c r="G596" s="1307">
        <v>2023.0</v>
      </c>
      <c r="H596" s="1307" t="s">
        <v>1445</v>
      </c>
      <c r="I596" s="1307" t="s">
        <v>4173</v>
      </c>
      <c r="J596" s="1307" t="s">
        <v>4161</v>
      </c>
      <c r="K596" s="1307" t="s">
        <v>1055</v>
      </c>
      <c r="L596" s="1307" t="s">
        <v>1724</v>
      </c>
      <c r="M596" s="1320">
        <v>39.0</v>
      </c>
    </row>
    <row r="597">
      <c r="A597" s="1307"/>
      <c r="B597" s="1307"/>
      <c r="C597" s="1307"/>
      <c r="D597" s="1307"/>
      <c r="E597" s="1307"/>
      <c r="F597" s="1307"/>
      <c r="G597" s="1307">
        <v>2023.0</v>
      </c>
      <c r="H597" s="1307" t="s">
        <v>1445</v>
      </c>
      <c r="I597" s="1307" t="s">
        <v>4173</v>
      </c>
      <c r="J597" s="1307" t="s">
        <v>4161</v>
      </c>
      <c r="K597" s="1307" t="s">
        <v>4161</v>
      </c>
      <c r="L597" s="1307" t="s">
        <v>2480</v>
      </c>
      <c r="M597" s="1320">
        <v>5.0</v>
      </c>
    </row>
    <row r="598">
      <c r="A598" s="1307"/>
      <c r="B598" s="1307"/>
      <c r="C598" s="1307"/>
      <c r="D598" s="1307"/>
      <c r="E598" s="1307"/>
      <c r="F598" s="1307"/>
      <c r="G598" s="1307">
        <v>2023.0</v>
      </c>
      <c r="H598" s="1307" t="s">
        <v>2087</v>
      </c>
      <c r="I598" s="1307" t="s">
        <v>4170</v>
      </c>
      <c r="J598" s="1307" t="s">
        <v>1058</v>
      </c>
      <c r="K598" s="1307" t="s">
        <v>4163</v>
      </c>
      <c r="L598" s="1307" t="s">
        <v>2480</v>
      </c>
      <c r="M598" s="1320">
        <v>2.0</v>
      </c>
    </row>
    <row r="599">
      <c r="A599" s="1307"/>
      <c r="B599" s="1307"/>
      <c r="C599" s="1307"/>
      <c r="D599" s="1307"/>
      <c r="E599" s="1307"/>
      <c r="F599" s="1307"/>
      <c r="G599" s="1307">
        <v>2023.0</v>
      </c>
      <c r="H599" s="1307" t="s">
        <v>2087</v>
      </c>
      <c r="I599" s="1307" t="s">
        <v>4170</v>
      </c>
      <c r="J599" s="1307" t="s">
        <v>1058</v>
      </c>
      <c r="K599" s="1307" t="s">
        <v>4156</v>
      </c>
      <c r="L599" s="1307" t="s">
        <v>2480</v>
      </c>
      <c r="M599" s="1320">
        <v>2.0</v>
      </c>
    </row>
    <row r="600">
      <c r="A600" s="1307"/>
      <c r="B600" s="1307"/>
      <c r="C600" s="1307"/>
      <c r="D600" s="1307"/>
      <c r="E600" s="1307"/>
      <c r="F600" s="1307"/>
      <c r="G600" s="1307">
        <v>2023.0</v>
      </c>
      <c r="H600" s="1307" t="s">
        <v>2087</v>
      </c>
      <c r="I600" s="1307" t="s">
        <v>4170</v>
      </c>
      <c r="J600" s="1307" t="s">
        <v>1058</v>
      </c>
      <c r="K600" s="1307" t="s">
        <v>4157</v>
      </c>
      <c r="L600" s="1307" t="s">
        <v>1724</v>
      </c>
      <c r="M600" s="1320">
        <v>3.0</v>
      </c>
    </row>
    <row r="601">
      <c r="A601" s="1307"/>
      <c r="B601" s="1307"/>
      <c r="C601" s="1307"/>
      <c r="D601" s="1307"/>
      <c r="E601" s="1307"/>
      <c r="F601" s="1307"/>
      <c r="G601" s="1307">
        <v>2023.0</v>
      </c>
      <c r="H601" s="1307" t="s">
        <v>2087</v>
      </c>
      <c r="I601" s="1307" t="s">
        <v>4170</v>
      </c>
      <c r="J601" s="1307" t="s">
        <v>1058</v>
      </c>
      <c r="K601" s="1307" t="s">
        <v>4158</v>
      </c>
      <c r="L601" s="1307" t="s">
        <v>2480</v>
      </c>
      <c r="M601" s="1320">
        <v>1.0</v>
      </c>
    </row>
    <row r="602">
      <c r="A602" s="1307"/>
      <c r="B602" s="1307"/>
      <c r="C602" s="1307"/>
      <c r="D602" s="1307"/>
      <c r="E602" s="1307"/>
      <c r="F602" s="1307"/>
      <c r="G602" s="1307">
        <v>2023.0</v>
      </c>
      <c r="H602" s="1307" t="s">
        <v>2087</v>
      </c>
      <c r="I602" s="1307" t="s">
        <v>4170</v>
      </c>
      <c r="J602" s="1307" t="s">
        <v>1058</v>
      </c>
      <c r="K602" s="1307" t="s">
        <v>4159</v>
      </c>
      <c r="L602" s="1307" t="s">
        <v>1724</v>
      </c>
      <c r="M602" s="1320">
        <v>3.0</v>
      </c>
    </row>
    <row r="603">
      <c r="A603" s="1307"/>
      <c r="B603" s="1307"/>
      <c r="C603" s="1307"/>
      <c r="D603" s="1307"/>
      <c r="E603" s="1307"/>
      <c r="F603" s="1307"/>
      <c r="G603" s="1307">
        <v>2023.0</v>
      </c>
      <c r="H603" s="1307" t="s">
        <v>2087</v>
      </c>
      <c r="I603" s="1307" t="s">
        <v>4170</v>
      </c>
      <c r="J603" s="1307" t="s">
        <v>1058</v>
      </c>
      <c r="K603" s="1307" t="s">
        <v>4166</v>
      </c>
      <c r="L603" s="1307" t="s">
        <v>2480</v>
      </c>
      <c r="M603" s="1320">
        <v>1.0</v>
      </c>
    </row>
    <row r="604">
      <c r="A604" s="1307"/>
      <c r="B604" s="1307"/>
      <c r="C604" s="1307"/>
      <c r="D604" s="1307"/>
      <c r="E604" s="1307"/>
      <c r="F604" s="1307"/>
      <c r="G604" s="1307">
        <v>2023.0</v>
      </c>
      <c r="H604" s="1307" t="s">
        <v>2087</v>
      </c>
      <c r="I604" s="1307" t="s">
        <v>4170</v>
      </c>
      <c r="J604" s="1307" t="s">
        <v>1058</v>
      </c>
      <c r="K604" s="1307" t="s">
        <v>4160</v>
      </c>
      <c r="L604" s="1307" t="s">
        <v>2480</v>
      </c>
      <c r="M604" s="1320">
        <v>1.0</v>
      </c>
    </row>
    <row r="605">
      <c r="A605" s="1307"/>
      <c r="B605" s="1307"/>
      <c r="C605" s="1307"/>
      <c r="D605" s="1307"/>
      <c r="E605" s="1307"/>
      <c r="F605" s="1307"/>
      <c r="G605" s="1307">
        <v>2023.0</v>
      </c>
      <c r="H605" s="1307" t="s">
        <v>2087</v>
      </c>
      <c r="I605" s="1307" t="s">
        <v>4170</v>
      </c>
      <c r="J605" s="1307" t="s">
        <v>4161</v>
      </c>
      <c r="K605" s="1307" t="s">
        <v>1055</v>
      </c>
      <c r="L605" s="1307" t="s">
        <v>1724</v>
      </c>
      <c r="M605" s="1320">
        <v>8.0</v>
      </c>
    </row>
    <row r="606">
      <c r="A606" s="1307"/>
      <c r="B606" s="1307"/>
      <c r="C606" s="1307"/>
      <c r="D606" s="1307"/>
      <c r="E606" s="1307"/>
      <c r="F606" s="1307"/>
      <c r="G606" s="1307">
        <v>2023.0</v>
      </c>
      <c r="H606" s="1307" t="s">
        <v>2087</v>
      </c>
      <c r="I606" s="1307" t="s">
        <v>4170</v>
      </c>
      <c r="J606" s="1307" t="s">
        <v>4161</v>
      </c>
      <c r="K606" s="1307" t="s">
        <v>4161</v>
      </c>
      <c r="L606" s="1307" t="s">
        <v>2480</v>
      </c>
      <c r="M606" s="1320">
        <v>1.0</v>
      </c>
    </row>
    <row r="607">
      <c r="A607" s="1307"/>
      <c r="B607" s="1307"/>
      <c r="C607" s="1307"/>
      <c r="D607" s="1307"/>
      <c r="E607" s="1307"/>
      <c r="F607" s="1307"/>
      <c r="G607" s="1307">
        <v>2023.0</v>
      </c>
      <c r="H607" s="1307" t="s">
        <v>2088</v>
      </c>
      <c r="I607" s="1307" t="s">
        <v>4176</v>
      </c>
      <c r="J607" s="1307" t="s">
        <v>1058</v>
      </c>
      <c r="K607" s="1307" t="s">
        <v>4163</v>
      </c>
      <c r="L607" s="1307" t="s">
        <v>2480</v>
      </c>
      <c r="M607" s="1320">
        <v>2.0</v>
      </c>
    </row>
    <row r="608">
      <c r="A608" s="1307"/>
      <c r="B608" s="1307"/>
      <c r="C608" s="1307"/>
      <c r="D608" s="1307"/>
      <c r="E608" s="1307"/>
      <c r="F608" s="1307"/>
      <c r="G608" s="1307">
        <v>2023.0</v>
      </c>
      <c r="H608" s="1307" t="s">
        <v>2088</v>
      </c>
      <c r="I608" s="1307" t="s">
        <v>4176</v>
      </c>
      <c r="J608" s="1307" t="s">
        <v>1058</v>
      </c>
      <c r="K608" s="1307" t="s">
        <v>4156</v>
      </c>
      <c r="L608" s="1307" t="s">
        <v>2480</v>
      </c>
      <c r="M608" s="1320">
        <v>19.0</v>
      </c>
    </row>
    <row r="609">
      <c r="A609" s="1307"/>
      <c r="B609" s="1307"/>
      <c r="C609" s="1307"/>
      <c r="D609" s="1307"/>
      <c r="E609" s="1307"/>
      <c r="F609" s="1307"/>
      <c r="G609" s="1307">
        <v>2023.0</v>
      </c>
      <c r="H609" s="1307" t="s">
        <v>2088</v>
      </c>
      <c r="I609" s="1307" t="s">
        <v>4176</v>
      </c>
      <c r="J609" s="1307" t="s">
        <v>1058</v>
      </c>
      <c r="K609" s="1307" t="s">
        <v>4166</v>
      </c>
      <c r="L609" s="1307" t="s">
        <v>2480</v>
      </c>
      <c r="M609" s="1320">
        <v>1.0</v>
      </c>
    </row>
    <row r="610">
      <c r="A610" s="1307"/>
      <c r="B610" s="1307"/>
      <c r="C610" s="1307"/>
      <c r="D610" s="1307"/>
      <c r="E610" s="1307"/>
      <c r="F610" s="1307"/>
      <c r="G610" s="1307">
        <v>2023.0</v>
      </c>
      <c r="H610" s="1307" t="s">
        <v>2088</v>
      </c>
      <c r="I610" s="1307" t="s">
        <v>4176</v>
      </c>
      <c r="J610" s="1307" t="s">
        <v>1058</v>
      </c>
      <c r="K610" s="1307" t="s">
        <v>4161</v>
      </c>
      <c r="L610" s="1307" t="s">
        <v>2480</v>
      </c>
      <c r="M610" s="1320">
        <v>1.0</v>
      </c>
    </row>
    <row r="611">
      <c r="A611" s="1307"/>
      <c r="B611" s="1307"/>
      <c r="C611" s="1307"/>
      <c r="D611" s="1307"/>
      <c r="E611" s="1307"/>
      <c r="F611" s="1307"/>
      <c r="G611" s="1307">
        <v>2023.0</v>
      </c>
      <c r="H611" s="1307" t="s">
        <v>2088</v>
      </c>
      <c r="I611" s="1307" t="s">
        <v>4176</v>
      </c>
      <c r="J611" s="1307" t="s">
        <v>1058</v>
      </c>
      <c r="K611" s="1307" t="s">
        <v>4160</v>
      </c>
      <c r="L611" s="1307" t="s">
        <v>2480</v>
      </c>
      <c r="M611" s="1320">
        <v>10.0</v>
      </c>
    </row>
    <row r="612">
      <c r="A612" s="1307"/>
      <c r="B612" s="1307"/>
      <c r="C612" s="1307"/>
      <c r="D612" s="1307"/>
      <c r="E612" s="1307"/>
      <c r="F612" s="1307"/>
      <c r="G612" s="1307">
        <v>2023.0</v>
      </c>
      <c r="H612" s="1307" t="s">
        <v>2088</v>
      </c>
      <c r="I612" s="1307" t="s">
        <v>4176</v>
      </c>
      <c r="J612" s="1307" t="s">
        <v>4161</v>
      </c>
      <c r="K612" s="1307" t="s">
        <v>1055</v>
      </c>
      <c r="L612" s="1307" t="s">
        <v>1724</v>
      </c>
      <c r="M612" s="1320">
        <v>15.0</v>
      </c>
    </row>
    <row r="613">
      <c r="A613" s="1307"/>
      <c r="B613" s="1307"/>
      <c r="C613" s="1307"/>
      <c r="D613" s="1307"/>
      <c r="E613" s="1307"/>
      <c r="F613" s="1307"/>
      <c r="G613" s="1307">
        <v>2023.0</v>
      </c>
      <c r="H613" s="1307" t="s">
        <v>1099</v>
      </c>
      <c r="I613" s="1307" t="s">
        <v>4155</v>
      </c>
      <c r="J613" s="1307" t="s">
        <v>1058</v>
      </c>
      <c r="K613" s="1307" t="s">
        <v>4163</v>
      </c>
      <c r="L613" s="1307" t="s">
        <v>2480</v>
      </c>
      <c r="M613" s="1320">
        <v>5.0</v>
      </c>
    </row>
    <row r="614">
      <c r="A614" s="1307"/>
      <c r="B614" s="1307"/>
      <c r="C614" s="1307"/>
      <c r="D614" s="1307"/>
      <c r="E614" s="1307"/>
      <c r="F614" s="1307"/>
      <c r="G614" s="1307">
        <v>2023.0</v>
      </c>
      <c r="H614" s="1307" t="s">
        <v>1099</v>
      </c>
      <c r="I614" s="1307" t="s">
        <v>4155</v>
      </c>
      <c r="J614" s="1307" t="s">
        <v>1058</v>
      </c>
      <c r="K614" s="1307" t="s">
        <v>4156</v>
      </c>
      <c r="L614" s="1307" t="s">
        <v>2480</v>
      </c>
      <c r="M614" s="1320">
        <v>18.0</v>
      </c>
    </row>
    <row r="615">
      <c r="A615" s="1307"/>
      <c r="B615" s="1307"/>
      <c r="C615" s="1307"/>
      <c r="D615" s="1307"/>
      <c r="E615" s="1307"/>
      <c r="F615" s="1307"/>
      <c r="G615" s="1307">
        <v>2023.0</v>
      </c>
      <c r="H615" s="1307" t="s">
        <v>1099</v>
      </c>
      <c r="I615" s="1307" t="s">
        <v>4155</v>
      </c>
      <c r="J615" s="1307" t="s">
        <v>1058</v>
      </c>
      <c r="K615" s="1307" t="s">
        <v>4157</v>
      </c>
      <c r="L615" s="1307" t="s">
        <v>1724</v>
      </c>
      <c r="M615" s="1320">
        <v>1.0</v>
      </c>
    </row>
    <row r="616">
      <c r="A616" s="1307"/>
      <c r="B616" s="1307"/>
      <c r="C616" s="1307"/>
      <c r="D616" s="1307"/>
      <c r="E616" s="1307"/>
      <c r="F616" s="1307"/>
      <c r="G616" s="1307">
        <v>2023.0</v>
      </c>
      <c r="H616" s="1307" t="s">
        <v>1099</v>
      </c>
      <c r="I616" s="1307" t="s">
        <v>4155</v>
      </c>
      <c r="J616" s="1307" t="s">
        <v>1058</v>
      </c>
      <c r="K616" s="1307" t="s">
        <v>4159</v>
      </c>
      <c r="L616" s="1307" t="s">
        <v>1724</v>
      </c>
      <c r="M616" s="1320">
        <v>4.0</v>
      </c>
    </row>
    <row r="617">
      <c r="A617" s="1307"/>
      <c r="B617" s="1307"/>
      <c r="C617" s="1307"/>
      <c r="D617" s="1307"/>
      <c r="E617" s="1307"/>
      <c r="F617" s="1307"/>
      <c r="G617" s="1307">
        <v>2023.0</v>
      </c>
      <c r="H617" s="1307" t="s">
        <v>1099</v>
      </c>
      <c r="I617" s="1307" t="s">
        <v>4155</v>
      </c>
      <c r="J617" s="1307" t="s">
        <v>1058</v>
      </c>
      <c r="K617" s="1307" t="s">
        <v>4166</v>
      </c>
      <c r="L617" s="1307" t="s">
        <v>2480</v>
      </c>
      <c r="M617" s="1320">
        <v>1.0</v>
      </c>
    </row>
    <row r="618">
      <c r="A618" s="1307"/>
      <c r="B618" s="1307"/>
      <c r="C618" s="1307"/>
      <c r="D618" s="1307"/>
      <c r="E618" s="1307"/>
      <c r="F618" s="1307"/>
      <c r="G618" s="1307">
        <v>2023.0</v>
      </c>
      <c r="H618" s="1307" t="s">
        <v>1099</v>
      </c>
      <c r="I618" s="1307" t="s">
        <v>4155</v>
      </c>
      <c r="J618" s="1307" t="s">
        <v>4161</v>
      </c>
      <c r="K618" s="1307" t="s">
        <v>1055</v>
      </c>
      <c r="L618" s="1307" t="s">
        <v>1724</v>
      </c>
      <c r="M618" s="1320">
        <v>16.0</v>
      </c>
    </row>
    <row r="619">
      <c r="A619" s="1307"/>
      <c r="B619" s="1307"/>
      <c r="C619" s="1307"/>
      <c r="D619" s="1307"/>
      <c r="E619" s="1307"/>
      <c r="F619" s="1307"/>
      <c r="G619" s="1307">
        <v>2023.0</v>
      </c>
      <c r="H619" s="1307" t="s">
        <v>141</v>
      </c>
      <c r="I619" s="1307" t="s">
        <v>4164</v>
      </c>
      <c r="J619" s="1307" t="s">
        <v>1058</v>
      </c>
      <c r="K619" s="1307" t="s">
        <v>4163</v>
      </c>
      <c r="L619" s="1307" t="s">
        <v>2480</v>
      </c>
      <c r="M619" s="1320">
        <v>2.0</v>
      </c>
    </row>
    <row r="620">
      <c r="A620" s="1307"/>
      <c r="B620" s="1307"/>
      <c r="C620" s="1307"/>
      <c r="D620" s="1307"/>
      <c r="E620" s="1307"/>
      <c r="F620" s="1307"/>
      <c r="G620" s="1307">
        <v>2023.0</v>
      </c>
      <c r="H620" s="1307" t="s">
        <v>141</v>
      </c>
      <c r="I620" s="1307" t="s">
        <v>4164</v>
      </c>
      <c r="J620" s="1307" t="s">
        <v>1058</v>
      </c>
      <c r="K620" s="1307" t="s">
        <v>4156</v>
      </c>
      <c r="L620" s="1307" t="s">
        <v>2480</v>
      </c>
      <c r="M620" s="1320">
        <v>9.0</v>
      </c>
    </row>
    <row r="621">
      <c r="A621" s="1307"/>
      <c r="B621" s="1307"/>
      <c r="C621" s="1307"/>
      <c r="D621" s="1307"/>
      <c r="E621" s="1307"/>
      <c r="F621" s="1307"/>
      <c r="G621" s="1307">
        <v>2023.0</v>
      </c>
      <c r="H621" s="1307" t="s">
        <v>141</v>
      </c>
      <c r="I621" s="1307" t="s">
        <v>4164</v>
      </c>
      <c r="J621" s="1307" t="s">
        <v>1058</v>
      </c>
      <c r="K621" s="1307" t="s">
        <v>4160</v>
      </c>
      <c r="L621" s="1307" t="s">
        <v>2480</v>
      </c>
      <c r="M621" s="1320">
        <v>1.0</v>
      </c>
    </row>
    <row r="622">
      <c r="A622" s="1307"/>
      <c r="B622" s="1307"/>
      <c r="C622" s="1307"/>
      <c r="D622" s="1307"/>
      <c r="E622" s="1307"/>
      <c r="F622" s="1307"/>
      <c r="G622" s="1307">
        <v>2023.0</v>
      </c>
      <c r="H622" s="1333" t="s">
        <v>141</v>
      </c>
      <c r="I622" s="1333" t="s">
        <v>4164</v>
      </c>
      <c r="J622" s="1333" t="s">
        <v>4161</v>
      </c>
      <c r="K622" s="1333" t="s">
        <v>1055</v>
      </c>
      <c r="L622" s="1333" t="s">
        <v>1724</v>
      </c>
      <c r="M622" s="1335">
        <v>12.0</v>
      </c>
    </row>
    <row r="623">
      <c r="A623" s="1333"/>
      <c r="B623" s="1333"/>
      <c r="C623" s="1333"/>
      <c r="D623" s="1333"/>
      <c r="E623" s="1333"/>
      <c r="F623" s="1333"/>
      <c r="G623" s="1333">
        <v>2023.0</v>
      </c>
      <c r="H623" s="1333" t="s">
        <v>283</v>
      </c>
      <c r="I623" s="1333" t="s">
        <v>4162</v>
      </c>
      <c r="J623" s="1333" t="s">
        <v>1058</v>
      </c>
      <c r="K623" s="1333" t="s">
        <v>4156</v>
      </c>
      <c r="L623" s="1333" t="s">
        <v>2480</v>
      </c>
      <c r="M623" s="1335">
        <v>11.0</v>
      </c>
    </row>
    <row r="624">
      <c r="A624" s="1333"/>
      <c r="B624" s="1333"/>
      <c r="C624" s="1333"/>
      <c r="D624" s="1333"/>
      <c r="E624" s="1333"/>
      <c r="F624" s="1333"/>
      <c r="G624" s="1333">
        <v>2023.0</v>
      </c>
      <c r="H624" s="1333" t="s">
        <v>283</v>
      </c>
      <c r="I624" s="1333" t="s">
        <v>4162</v>
      </c>
      <c r="J624" s="1333" t="s">
        <v>1058</v>
      </c>
      <c r="K624" s="1333" t="s">
        <v>4158</v>
      </c>
      <c r="L624" s="1333" t="s">
        <v>2480</v>
      </c>
      <c r="M624" s="1335">
        <v>2.0</v>
      </c>
    </row>
    <row r="625">
      <c r="A625" s="1333"/>
      <c r="B625" s="1333"/>
      <c r="C625" s="1333"/>
      <c r="D625" s="1333"/>
      <c r="E625" s="1333"/>
      <c r="F625" s="1333"/>
      <c r="G625" s="1333">
        <v>2023.0</v>
      </c>
      <c r="H625" s="1333" t="s">
        <v>283</v>
      </c>
      <c r="I625" s="1333" t="s">
        <v>4162</v>
      </c>
      <c r="J625" s="1333" t="s">
        <v>1058</v>
      </c>
      <c r="K625" s="1333" t="s">
        <v>4165</v>
      </c>
      <c r="L625" s="1333" t="s">
        <v>2480</v>
      </c>
      <c r="M625" s="1335">
        <v>1.0</v>
      </c>
    </row>
    <row r="626">
      <c r="A626" s="1333"/>
      <c r="B626" s="1333"/>
      <c r="C626" s="1333"/>
      <c r="D626" s="1333"/>
      <c r="E626" s="1333"/>
      <c r="F626" s="1333"/>
      <c r="G626" s="1333">
        <v>2023.0</v>
      </c>
      <c r="H626" s="1333" t="s">
        <v>283</v>
      </c>
      <c r="I626" s="1333" t="s">
        <v>4162</v>
      </c>
      <c r="J626" s="1333" t="s">
        <v>1058</v>
      </c>
      <c r="K626" s="1333" t="s">
        <v>4166</v>
      </c>
      <c r="L626" s="1333" t="s">
        <v>2480</v>
      </c>
      <c r="M626" s="1335">
        <v>2.0</v>
      </c>
    </row>
    <row r="627">
      <c r="A627" s="1333"/>
      <c r="B627" s="1333"/>
      <c r="C627" s="1333"/>
      <c r="D627" s="1333"/>
      <c r="E627" s="1333"/>
      <c r="F627" s="1333"/>
      <c r="G627" s="1333">
        <v>2023.0</v>
      </c>
      <c r="H627" s="1333" t="s">
        <v>283</v>
      </c>
      <c r="I627" s="1333" t="s">
        <v>4162</v>
      </c>
      <c r="J627" s="1333" t="s">
        <v>1058</v>
      </c>
      <c r="K627" s="1333" t="s">
        <v>4161</v>
      </c>
      <c r="L627" s="1333" t="s">
        <v>2480</v>
      </c>
      <c r="M627" s="1335">
        <v>1.0</v>
      </c>
    </row>
    <row r="628">
      <c r="A628" s="1333"/>
      <c r="B628" s="1333"/>
      <c r="C628" s="1333"/>
      <c r="D628" s="1333"/>
      <c r="E628" s="1333"/>
      <c r="F628" s="1333"/>
      <c r="G628" s="1333">
        <v>2023.0</v>
      </c>
      <c r="H628" s="1333" t="s">
        <v>283</v>
      </c>
      <c r="I628" s="1333" t="s">
        <v>4162</v>
      </c>
      <c r="J628" s="1333" t="s">
        <v>4161</v>
      </c>
      <c r="K628" s="1333" t="s">
        <v>1055</v>
      </c>
      <c r="L628" s="1333" t="s">
        <v>1724</v>
      </c>
      <c r="M628" s="1335">
        <v>14.0</v>
      </c>
    </row>
    <row r="629">
      <c r="A629" s="1333"/>
      <c r="B629" s="1333"/>
      <c r="C629" s="1333"/>
      <c r="D629" s="1333"/>
      <c r="E629" s="1333"/>
      <c r="F629" s="1333"/>
      <c r="G629" s="1333">
        <v>2023.0</v>
      </c>
      <c r="H629" s="1333" t="s">
        <v>2090</v>
      </c>
      <c r="I629" s="1333" t="s">
        <v>4176</v>
      </c>
      <c r="J629" s="1333" t="s">
        <v>1058</v>
      </c>
      <c r="K629" s="1333" t="s">
        <v>4156</v>
      </c>
      <c r="L629" s="1333" t="s">
        <v>2480</v>
      </c>
      <c r="M629" s="1335">
        <v>24.0</v>
      </c>
    </row>
    <row r="630">
      <c r="A630" s="1333"/>
      <c r="B630" s="1333"/>
      <c r="C630" s="1333"/>
      <c r="D630" s="1333"/>
      <c r="E630" s="1333"/>
      <c r="F630" s="1333"/>
      <c r="G630" s="1333">
        <v>2023.0</v>
      </c>
      <c r="H630" s="1333" t="s">
        <v>2090</v>
      </c>
      <c r="I630" s="1333" t="s">
        <v>4176</v>
      </c>
      <c r="J630" s="1333" t="s">
        <v>1058</v>
      </c>
      <c r="K630" s="1333" t="s">
        <v>4157</v>
      </c>
      <c r="L630" s="1333" t="s">
        <v>1724</v>
      </c>
      <c r="M630" s="1335">
        <v>3.0</v>
      </c>
    </row>
    <row r="631">
      <c r="A631" s="1333"/>
      <c r="B631" s="1333"/>
      <c r="C631" s="1333"/>
      <c r="D631" s="1333"/>
      <c r="E631" s="1333"/>
      <c r="F631" s="1333"/>
      <c r="G631" s="1333">
        <v>2023.0</v>
      </c>
      <c r="H631" s="1333" t="s">
        <v>2090</v>
      </c>
      <c r="I631" s="1333" t="s">
        <v>4176</v>
      </c>
      <c r="J631" s="1333" t="s">
        <v>1058</v>
      </c>
      <c r="K631" s="1333" t="s">
        <v>4159</v>
      </c>
      <c r="L631" s="1333" t="s">
        <v>1724</v>
      </c>
      <c r="M631" s="1335">
        <v>1.0</v>
      </c>
    </row>
    <row r="632">
      <c r="A632" s="1333"/>
      <c r="B632" s="1333"/>
      <c r="C632" s="1333"/>
      <c r="D632" s="1333"/>
      <c r="E632" s="1333"/>
      <c r="F632" s="1333"/>
      <c r="G632" s="1333">
        <v>2023.0</v>
      </c>
      <c r="H632" s="1333" t="s">
        <v>2090</v>
      </c>
      <c r="I632" s="1333" t="s">
        <v>4176</v>
      </c>
      <c r="J632" s="1333" t="s">
        <v>1058</v>
      </c>
      <c r="K632" s="1333" t="s">
        <v>4166</v>
      </c>
      <c r="L632" s="1333" t="s">
        <v>2480</v>
      </c>
      <c r="M632" s="1335">
        <v>5.0</v>
      </c>
    </row>
    <row r="633">
      <c r="A633" s="1333"/>
      <c r="B633" s="1333"/>
      <c r="C633" s="1333"/>
      <c r="D633" s="1333"/>
      <c r="E633" s="1333"/>
      <c r="F633" s="1333"/>
      <c r="G633" s="1333">
        <v>2023.0</v>
      </c>
      <c r="H633" s="1333" t="s">
        <v>2090</v>
      </c>
      <c r="I633" s="1333" t="s">
        <v>4176</v>
      </c>
      <c r="J633" s="1333" t="s">
        <v>1058</v>
      </c>
      <c r="K633" s="1333" t="s">
        <v>4161</v>
      </c>
      <c r="L633" s="1333" t="s">
        <v>2480</v>
      </c>
      <c r="M633" s="1335">
        <v>4.0</v>
      </c>
    </row>
    <row r="634">
      <c r="A634" s="1333"/>
      <c r="B634" s="1333"/>
      <c r="C634" s="1333"/>
      <c r="D634" s="1333"/>
      <c r="E634" s="1333"/>
      <c r="F634" s="1333"/>
      <c r="G634" s="1333">
        <v>2023.0</v>
      </c>
      <c r="H634" s="1333" t="s">
        <v>2090</v>
      </c>
      <c r="I634" s="1333" t="s">
        <v>4176</v>
      </c>
      <c r="J634" s="1333" t="s">
        <v>1058</v>
      </c>
      <c r="K634" s="1333" t="s">
        <v>4160</v>
      </c>
      <c r="L634" s="1333" t="s">
        <v>2480</v>
      </c>
      <c r="M634" s="1335">
        <v>4.0</v>
      </c>
    </row>
    <row r="635">
      <c r="A635" s="1333"/>
      <c r="B635" s="1333"/>
      <c r="C635" s="1333"/>
      <c r="D635" s="1333"/>
      <c r="E635" s="1333"/>
      <c r="F635" s="1333"/>
      <c r="G635" s="1333">
        <v>2023.0</v>
      </c>
      <c r="H635" s="1333" t="s">
        <v>2090</v>
      </c>
      <c r="I635" s="1333" t="s">
        <v>4176</v>
      </c>
      <c r="J635" s="1333" t="s">
        <v>4161</v>
      </c>
      <c r="K635" s="1333" t="s">
        <v>1055</v>
      </c>
      <c r="L635" s="1333" t="s">
        <v>1724</v>
      </c>
      <c r="M635" s="1335">
        <v>32.0</v>
      </c>
    </row>
    <row r="636">
      <c r="A636" s="1333"/>
      <c r="B636" s="1333"/>
      <c r="C636" s="1333"/>
      <c r="D636" s="1333"/>
      <c r="E636" s="1333"/>
      <c r="F636" s="1333"/>
      <c r="G636" s="1333">
        <v>2023.0</v>
      </c>
      <c r="H636" s="1333" t="s">
        <v>1860</v>
      </c>
      <c r="I636" s="1333" t="s">
        <v>4170</v>
      </c>
      <c r="J636" s="1333" t="s">
        <v>1058</v>
      </c>
      <c r="K636" s="1333" t="s">
        <v>4163</v>
      </c>
      <c r="L636" s="1333" t="s">
        <v>2480</v>
      </c>
      <c r="M636" s="1335">
        <v>4.0</v>
      </c>
    </row>
    <row r="637">
      <c r="A637" s="1333"/>
      <c r="B637" s="1333"/>
      <c r="C637" s="1333"/>
      <c r="D637" s="1333"/>
      <c r="E637" s="1333"/>
      <c r="F637" s="1333"/>
      <c r="G637" s="1333">
        <v>2023.0</v>
      </c>
      <c r="H637" s="1333" t="s">
        <v>1860</v>
      </c>
      <c r="I637" s="1333" t="s">
        <v>4170</v>
      </c>
      <c r="J637" s="1333" t="s">
        <v>1058</v>
      </c>
      <c r="K637" s="1333" t="s">
        <v>4156</v>
      </c>
      <c r="L637" s="1333" t="s">
        <v>2480</v>
      </c>
      <c r="M637" s="1335">
        <v>14.0</v>
      </c>
    </row>
    <row r="638">
      <c r="A638" s="1333"/>
      <c r="B638" s="1333"/>
      <c r="C638" s="1333"/>
      <c r="D638" s="1333"/>
      <c r="E638" s="1333"/>
      <c r="F638" s="1333"/>
      <c r="G638" s="1333">
        <v>2023.0</v>
      </c>
      <c r="H638" s="1333" t="s">
        <v>1860</v>
      </c>
      <c r="I638" s="1333" t="s">
        <v>4170</v>
      </c>
      <c r="J638" s="1333" t="s">
        <v>1058</v>
      </c>
      <c r="K638" s="1333" t="s">
        <v>4159</v>
      </c>
      <c r="L638" s="1333" t="s">
        <v>1724</v>
      </c>
      <c r="M638" s="1335">
        <v>1.0</v>
      </c>
    </row>
    <row r="639">
      <c r="A639" s="1333"/>
      <c r="B639" s="1333"/>
      <c r="C639" s="1333"/>
      <c r="D639" s="1333"/>
      <c r="E639" s="1333"/>
      <c r="F639" s="1333"/>
      <c r="G639" s="1333">
        <v>2023.0</v>
      </c>
      <c r="H639" s="1333" t="s">
        <v>1860</v>
      </c>
      <c r="I639" s="1333" t="s">
        <v>4170</v>
      </c>
      <c r="J639" s="1333" t="s">
        <v>1058</v>
      </c>
      <c r="K639" s="1333" t="s">
        <v>4161</v>
      </c>
      <c r="L639" s="1333" t="s">
        <v>2480</v>
      </c>
      <c r="M639" s="1335">
        <v>4.0</v>
      </c>
    </row>
    <row r="640">
      <c r="A640" s="1333"/>
      <c r="B640" s="1333"/>
      <c r="C640" s="1333"/>
      <c r="D640" s="1333"/>
      <c r="E640" s="1333"/>
      <c r="F640" s="1333"/>
      <c r="G640" s="1333">
        <v>2023.0</v>
      </c>
      <c r="H640" s="1333" t="s">
        <v>1860</v>
      </c>
      <c r="I640" s="1333" t="s">
        <v>4170</v>
      </c>
      <c r="J640" s="1333" t="s">
        <v>1058</v>
      </c>
      <c r="K640" s="1333" t="s">
        <v>4160</v>
      </c>
      <c r="L640" s="1333" t="s">
        <v>2480</v>
      </c>
      <c r="M640" s="1335">
        <v>8.0</v>
      </c>
    </row>
    <row r="641">
      <c r="A641" s="1333"/>
      <c r="B641" s="1333"/>
      <c r="C641" s="1333"/>
      <c r="D641" s="1333"/>
      <c r="E641" s="1333"/>
      <c r="F641" s="1333"/>
      <c r="G641" s="1333">
        <v>2023.0</v>
      </c>
      <c r="H641" s="1333" t="s">
        <v>1860</v>
      </c>
      <c r="I641" s="1333" t="s">
        <v>4170</v>
      </c>
      <c r="J641" s="1333" t="s">
        <v>4161</v>
      </c>
      <c r="K641" s="1333" t="s">
        <v>4167</v>
      </c>
      <c r="L641" s="1333" t="s">
        <v>2480</v>
      </c>
      <c r="M641" s="1335">
        <v>2.0</v>
      </c>
    </row>
    <row r="642">
      <c r="A642" s="1333"/>
      <c r="B642" s="1333"/>
      <c r="C642" s="1333"/>
      <c r="D642" s="1333"/>
      <c r="E642" s="1333"/>
      <c r="F642" s="1333"/>
      <c r="G642" s="1333">
        <v>2023.0</v>
      </c>
      <c r="H642" s="1333" t="s">
        <v>1860</v>
      </c>
      <c r="I642" s="1333" t="s">
        <v>4170</v>
      </c>
      <c r="J642" s="1333" t="s">
        <v>4161</v>
      </c>
      <c r="K642" s="1333" t="s">
        <v>1055</v>
      </c>
      <c r="L642" s="1333" t="s">
        <v>1724</v>
      </c>
      <c r="M642" s="1335">
        <v>11.0</v>
      </c>
    </row>
    <row r="643">
      <c r="A643" s="1333"/>
      <c r="B643" s="1333"/>
      <c r="C643" s="1333"/>
      <c r="D643" s="1333"/>
      <c r="E643" s="1333"/>
      <c r="F643" s="1333"/>
      <c r="G643" s="1333">
        <v>2023.0</v>
      </c>
      <c r="H643" s="1333" t="s">
        <v>2094</v>
      </c>
      <c r="I643" s="1333" t="s">
        <v>4169</v>
      </c>
      <c r="J643" s="1333" t="s">
        <v>1058</v>
      </c>
      <c r="K643" s="1333" t="s">
        <v>4156</v>
      </c>
      <c r="L643" s="1333" t="s">
        <v>2480</v>
      </c>
      <c r="M643" s="1335">
        <v>4.0</v>
      </c>
    </row>
    <row r="644">
      <c r="A644" s="1333"/>
      <c r="B644" s="1333"/>
      <c r="C644" s="1333"/>
      <c r="D644" s="1333"/>
      <c r="E644" s="1333"/>
      <c r="F644" s="1333"/>
      <c r="G644" s="1333">
        <v>2023.0</v>
      </c>
      <c r="H644" s="1333" t="s">
        <v>2094</v>
      </c>
      <c r="I644" s="1333" t="s">
        <v>4169</v>
      </c>
      <c r="J644" s="1333" t="s">
        <v>1058</v>
      </c>
      <c r="K644" s="1333" t="s">
        <v>4166</v>
      </c>
      <c r="L644" s="1333" t="s">
        <v>2480</v>
      </c>
      <c r="M644" s="1335">
        <v>2.0</v>
      </c>
    </row>
    <row r="645">
      <c r="A645" s="1333"/>
      <c r="B645" s="1333"/>
      <c r="C645" s="1333"/>
      <c r="D645" s="1333"/>
      <c r="E645" s="1333"/>
      <c r="F645" s="1333"/>
      <c r="G645" s="1333">
        <v>2023.0</v>
      </c>
      <c r="H645" s="1333" t="s">
        <v>2094</v>
      </c>
      <c r="I645" s="1333" t="s">
        <v>4169</v>
      </c>
      <c r="J645" s="1333" t="s">
        <v>1058</v>
      </c>
      <c r="K645" s="1333" t="s">
        <v>4161</v>
      </c>
      <c r="L645" s="1333" t="s">
        <v>2480</v>
      </c>
      <c r="M645" s="1335">
        <v>1.0</v>
      </c>
    </row>
    <row r="646">
      <c r="A646" s="1333"/>
      <c r="B646" s="1333"/>
      <c r="C646" s="1333"/>
      <c r="D646" s="1333"/>
      <c r="E646" s="1333"/>
      <c r="F646" s="1333"/>
      <c r="G646" s="1333">
        <v>2023.0</v>
      </c>
      <c r="H646" s="1333" t="s">
        <v>142</v>
      </c>
      <c r="I646" s="1333" t="s">
        <v>4171</v>
      </c>
      <c r="J646" s="1333" t="s">
        <v>1058</v>
      </c>
      <c r="K646" s="1333" t="s">
        <v>4156</v>
      </c>
      <c r="L646" s="1333" t="s">
        <v>2480</v>
      </c>
      <c r="M646" s="1335">
        <v>2.0</v>
      </c>
    </row>
    <row r="647">
      <c r="A647" s="1333"/>
      <c r="B647" s="1333"/>
      <c r="C647" s="1333"/>
      <c r="D647" s="1333"/>
      <c r="E647" s="1333"/>
      <c r="F647" s="1333"/>
      <c r="G647" s="1333">
        <v>2023.0</v>
      </c>
      <c r="H647" s="1333" t="s">
        <v>142</v>
      </c>
      <c r="I647" s="1333" t="s">
        <v>4171</v>
      </c>
      <c r="J647" s="1333" t="s">
        <v>4161</v>
      </c>
      <c r="K647" s="1333" t="s">
        <v>1055</v>
      </c>
      <c r="L647" s="1333" t="s">
        <v>1724</v>
      </c>
      <c r="M647" s="1335">
        <v>1.0</v>
      </c>
    </row>
    <row r="648">
      <c r="A648" s="1333"/>
      <c r="B648" s="1333"/>
      <c r="C648" s="1333"/>
      <c r="D648" s="1333"/>
      <c r="E648" s="1333"/>
      <c r="F648" s="1333"/>
      <c r="G648" s="1333">
        <v>2023.0</v>
      </c>
      <c r="H648" s="1333" t="s">
        <v>593</v>
      </c>
      <c r="I648" s="1333" t="s">
        <v>4164</v>
      </c>
      <c r="J648" s="1333" t="s">
        <v>1058</v>
      </c>
      <c r="K648" s="1333" t="s">
        <v>4163</v>
      </c>
      <c r="L648" s="1333" t="s">
        <v>2480</v>
      </c>
      <c r="M648" s="1335">
        <v>1.0</v>
      </c>
    </row>
    <row r="649">
      <c r="A649" s="1333"/>
      <c r="B649" s="1333"/>
      <c r="C649" s="1333"/>
      <c r="D649" s="1333"/>
      <c r="E649" s="1333"/>
      <c r="F649" s="1333"/>
      <c r="G649" s="1333">
        <v>2023.0</v>
      </c>
      <c r="H649" s="1333" t="s">
        <v>593</v>
      </c>
      <c r="I649" s="1333" t="s">
        <v>4164</v>
      </c>
      <c r="J649" s="1333" t="s">
        <v>1058</v>
      </c>
      <c r="K649" s="1333" t="s">
        <v>4156</v>
      </c>
      <c r="L649" s="1333" t="s">
        <v>2480</v>
      </c>
      <c r="M649" s="1335">
        <v>16.0</v>
      </c>
    </row>
    <row r="650">
      <c r="A650" s="1333"/>
      <c r="B650" s="1333"/>
      <c r="C650" s="1333"/>
      <c r="D650" s="1333"/>
      <c r="E650" s="1333"/>
      <c r="F650" s="1333"/>
      <c r="G650" s="1333">
        <v>2023.0</v>
      </c>
      <c r="H650" s="1333" t="s">
        <v>593</v>
      </c>
      <c r="I650" s="1333" t="s">
        <v>4164</v>
      </c>
      <c r="J650" s="1333" t="s">
        <v>1058</v>
      </c>
      <c r="K650" s="1333" t="s">
        <v>4157</v>
      </c>
      <c r="L650" s="1333" t="s">
        <v>1724</v>
      </c>
      <c r="M650" s="1335">
        <v>4.0</v>
      </c>
    </row>
    <row r="651">
      <c r="A651" s="1333"/>
      <c r="B651" s="1333"/>
      <c r="C651" s="1333"/>
      <c r="D651" s="1333"/>
      <c r="E651" s="1333"/>
      <c r="F651" s="1333"/>
      <c r="G651" s="1333">
        <v>2023.0</v>
      </c>
      <c r="H651" s="1333" t="s">
        <v>593</v>
      </c>
      <c r="I651" s="1333" t="s">
        <v>4164</v>
      </c>
      <c r="J651" s="1333" t="s">
        <v>1058</v>
      </c>
      <c r="K651" s="1333" t="s">
        <v>4166</v>
      </c>
      <c r="L651" s="1333" t="s">
        <v>2480</v>
      </c>
      <c r="M651" s="1335">
        <v>2.0</v>
      </c>
    </row>
    <row r="652">
      <c r="A652" s="1333"/>
      <c r="B652" s="1333"/>
      <c r="C652" s="1333"/>
      <c r="D652" s="1333"/>
      <c r="E652" s="1333"/>
      <c r="F652" s="1333"/>
      <c r="G652" s="1333">
        <v>2023.0</v>
      </c>
      <c r="H652" s="1333" t="s">
        <v>593</v>
      </c>
      <c r="I652" s="1333" t="s">
        <v>4164</v>
      </c>
      <c r="J652" s="1333" t="s">
        <v>1058</v>
      </c>
      <c r="K652" s="1333" t="s">
        <v>4160</v>
      </c>
      <c r="L652" s="1333" t="s">
        <v>2480</v>
      </c>
      <c r="M652" s="1335">
        <v>1.0</v>
      </c>
    </row>
    <row r="653">
      <c r="A653" s="1333"/>
      <c r="B653" s="1333"/>
      <c r="C653" s="1333"/>
      <c r="D653" s="1333"/>
      <c r="E653" s="1333"/>
      <c r="F653" s="1333"/>
      <c r="G653" s="1333">
        <v>2023.0</v>
      </c>
      <c r="H653" s="1333" t="s">
        <v>593</v>
      </c>
      <c r="I653" s="1333" t="s">
        <v>4164</v>
      </c>
      <c r="J653" s="1333" t="s">
        <v>4161</v>
      </c>
      <c r="K653" s="1333" t="s">
        <v>1055</v>
      </c>
      <c r="L653" s="1333" t="s">
        <v>1724</v>
      </c>
      <c r="M653" s="1335">
        <v>26.0</v>
      </c>
    </row>
    <row r="654">
      <c r="A654" s="1333"/>
      <c r="B654" s="1333"/>
      <c r="C654" s="1333"/>
      <c r="D654" s="1333"/>
      <c r="E654" s="1333"/>
      <c r="F654" s="1333"/>
      <c r="G654" s="1333">
        <v>2023.0</v>
      </c>
      <c r="H654" s="1333" t="s">
        <v>143</v>
      </c>
      <c r="I654" s="1333" t="s">
        <v>4164</v>
      </c>
      <c r="J654" s="1333" t="s">
        <v>1058</v>
      </c>
      <c r="K654" s="1333" t="s">
        <v>4163</v>
      </c>
      <c r="L654" s="1333" t="s">
        <v>2480</v>
      </c>
      <c r="M654" s="1335">
        <v>9.0</v>
      </c>
    </row>
    <row r="655">
      <c r="A655" s="1333"/>
      <c r="B655" s="1333"/>
      <c r="C655" s="1333"/>
      <c r="D655" s="1333"/>
      <c r="E655" s="1333"/>
      <c r="F655" s="1333"/>
      <c r="G655" s="1333">
        <v>2023.0</v>
      </c>
      <c r="H655" s="1333" t="s">
        <v>143</v>
      </c>
      <c r="I655" s="1333" t="s">
        <v>4164</v>
      </c>
      <c r="J655" s="1333" t="s">
        <v>1058</v>
      </c>
      <c r="K655" s="1333" t="s">
        <v>4156</v>
      </c>
      <c r="L655" s="1333" t="s">
        <v>2480</v>
      </c>
      <c r="M655" s="1335">
        <v>92.0</v>
      </c>
    </row>
    <row r="656">
      <c r="A656" s="1333"/>
      <c r="B656" s="1333"/>
      <c r="C656" s="1333"/>
      <c r="D656" s="1333"/>
      <c r="E656" s="1333"/>
      <c r="F656" s="1333"/>
      <c r="G656" s="1333">
        <v>2023.0</v>
      </c>
      <c r="H656" s="1333" t="s">
        <v>143</v>
      </c>
      <c r="I656" s="1333" t="s">
        <v>4164</v>
      </c>
      <c r="J656" s="1333" t="s">
        <v>1058</v>
      </c>
      <c r="K656" s="1333" t="s">
        <v>4157</v>
      </c>
      <c r="L656" s="1333" t="s">
        <v>1724</v>
      </c>
      <c r="M656" s="1335">
        <v>14.0</v>
      </c>
    </row>
    <row r="657">
      <c r="A657" s="1333"/>
      <c r="B657" s="1333"/>
      <c r="C657" s="1333"/>
      <c r="D657" s="1333"/>
      <c r="E657" s="1333"/>
      <c r="F657" s="1333"/>
      <c r="G657" s="1333">
        <v>2023.0</v>
      </c>
      <c r="H657" s="1333" t="s">
        <v>143</v>
      </c>
      <c r="I657" s="1333" t="s">
        <v>4164</v>
      </c>
      <c r="J657" s="1333" t="s">
        <v>1058</v>
      </c>
      <c r="K657" s="1333" t="s">
        <v>4158</v>
      </c>
      <c r="L657" s="1333" t="s">
        <v>2480</v>
      </c>
      <c r="M657" s="1335">
        <v>9.0</v>
      </c>
    </row>
    <row r="658">
      <c r="A658" s="1333"/>
      <c r="B658" s="1333"/>
      <c r="C658" s="1333"/>
      <c r="D658" s="1333"/>
      <c r="E658" s="1333"/>
      <c r="F658" s="1333"/>
      <c r="G658" s="1333">
        <v>2023.0</v>
      </c>
      <c r="H658" s="1333" t="s">
        <v>143</v>
      </c>
      <c r="I658" s="1333" t="s">
        <v>4164</v>
      </c>
      <c r="J658" s="1333" t="s">
        <v>1058</v>
      </c>
      <c r="K658" s="1333" t="s">
        <v>4165</v>
      </c>
      <c r="L658" s="1333" t="s">
        <v>2480</v>
      </c>
      <c r="M658" s="1335">
        <v>5.0</v>
      </c>
    </row>
    <row r="659">
      <c r="A659" s="1333"/>
      <c r="B659" s="1333"/>
      <c r="C659" s="1333"/>
      <c r="D659" s="1333"/>
      <c r="E659" s="1333"/>
      <c r="F659" s="1333"/>
      <c r="G659" s="1333">
        <v>2023.0</v>
      </c>
      <c r="H659" s="1333" t="s">
        <v>143</v>
      </c>
      <c r="I659" s="1333" t="s">
        <v>4164</v>
      </c>
      <c r="J659" s="1333" t="s">
        <v>1058</v>
      </c>
      <c r="K659" s="1333" t="s">
        <v>4166</v>
      </c>
      <c r="L659" s="1333" t="s">
        <v>2480</v>
      </c>
      <c r="M659" s="1335">
        <v>10.0</v>
      </c>
    </row>
    <row r="660">
      <c r="A660" s="1333"/>
      <c r="B660" s="1333"/>
      <c r="C660" s="1333"/>
      <c r="D660" s="1333"/>
      <c r="E660" s="1333"/>
      <c r="F660" s="1333"/>
      <c r="G660" s="1333">
        <v>2023.0</v>
      </c>
      <c r="H660" s="1333" t="s">
        <v>143</v>
      </c>
      <c r="I660" s="1333" t="s">
        <v>4164</v>
      </c>
      <c r="J660" s="1333" t="s">
        <v>1058</v>
      </c>
      <c r="K660" s="1333" t="s">
        <v>4160</v>
      </c>
      <c r="L660" s="1333" t="s">
        <v>2480</v>
      </c>
      <c r="M660" s="1335">
        <v>7.0</v>
      </c>
    </row>
    <row r="661">
      <c r="A661" s="1333"/>
      <c r="B661" s="1333"/>
      <c r="C661" s="1333"/>
      <c r="D661" s="1333"/>
      <c r="E661" s="1333"/>
      <c r="F661" s="1333"/>
      <c r="G661" s="1333">
        <v>2023.0</v>
      </c>
      <c r="H661" s="1333" t="s">
        <v>143</v>
      </c>
      <c r="I661" s="1333" t="s">
        <v>4164</v>
      </c>
      <c r="J661" s="1333" t="s">
        <v>4161</v>
      </c>
      <c r="K661" s="1333" t="s">
        <v>4174</v>
      </c>
      <c r="L661" s="1333" t="s">
        <v>2480</v>
      </c>
      <c r="M661" s="1335">
        <v>1.0</v>
      </c>
    </row>
    <row r="662">
      <c r="A662" s="1333"/>
      <c r="B662" s="1333"/>
      <c r="C662" s="1333"/>
      <c r="D662" s="1333"/>
      <c r="E662" s="1333"/>
      <c r="F662" s="1333"/>
      <c r="G662" s="1333">
        <v>2023.0</v>
      </c>
      <c r="H662" s="1333" t="s">
        <v>143</v>
      </c>
      <c r="I662" s="1333" t="s">
        <v>4164</v>
      </c>
      <c r="J662" s="1333" t="s">
        <v>4161</v>
      </c>
      <c r="K662" s="1333" t="s">
        <v>1055</v>
      </c>
      <c r="L662" s="1333" t="s">
        <v>1724</v>
      </c>
      <c r="M662" s="1335">
        <v>112.0</v>
      </c>
    </row>
    <row r="663">
      <c r="A663" s="1333"/>
      <c r="B663" s="1333"/>
      <c r="C663" s="1333"/>
      <c r="D663" s="1333"/>
      <c r="E663" s="1333"/>
      <c r="F663" s="1333"/>
      <c r="G663" s="1333">
        <v>2023.0</v>
      </c>
      <c r="H663" s="1333" t="s">
        <v>143</v>
      </c>
      <c r="I663" s="1333" t="s">
        <v>4164</v>
      </c>
      <c r="J663" s="1333" t="s">
        <v>4161</v>
      </c>
      <c r="K663" s="1333" t="s">
        <v>4161</v>
      </c>
      <c r="L663" s="1333" t="s">
        <v>2480</v>
      </c>
      <c r="M663" s="1335">
        <v>5.0</v>
      </c>
    </row>
    <row r="664">
      <c r="A664" s="1333"/>
      <c r="B664" s="1333"/>
      <c r="C664" s="1333"/>
      <c r="D664" s="1333"/>
      <c r="E664" s="1333"/>
      <c r="F664" s="1333"/>
      <c r="G664" s="1333">
        <v>2023.0</v>
      </c>
      <c r="H664" s="1333" t="s">
        <v>2095</v>
      </c>
      <c r="I664" s="1333" t="s">
        <v>4168</v>
      </c>
      <c r="J664" s="1333" t="s">
        <v>1058</v>
      </c>
      <c r="K664" s="1333" t="s">
        <v>4163</v>
      </c>
      <c r="L664" s="1333" t="s">
        <v>2480</v>
      </c>
      <c r="M664" s="1335">
        <v>2.0</v>
      </c>
    </row>
    <row r="665">
      <c r="A665" s="1333"/>
      <c r="B665" s="1333"/>
      <c r="C665" s="1333"/>
      <c r="D665" s="1333"/>
      <c r="E665" s="1333"/>
      <c r="F665" s="1333"/>
      <c r="G665" s="1333">
        <v>2023.0</v>
      </c>
      <c r="H665" s="1333" t="s">
        <v>2095</v>
      </c>
      <c r="I665" s="1333" t="s">
        <v>4168</v>
      </c>
      <c r="J665" s="1333" t="s">
        <v>1058</v>
      </c>
      <c r="K665" s="1333" t="s">
        <v>4156</v>
      </c>
      <c r="L665" s="1333" t="s">
        <v>2480</v>
      </c>
      <c r="M665" s="1335">
        <v>4.0</v>
      </c>
    </row>
    <row r="666">
      <c r="A666" s="1333"/>
      <c r="B666" s="1333"/>
      <c r="C666" s="1333"/>
      <c r="D666" s="1333"/>
      <c r="E666" s="1333"/>
      <c r="F666" s="1333"/>
      <c r="G666" s="1333">
        <v>2023.0</v>
      </c>
      <c r="H666" s="1333" t="s">
        <v>2095</v>
      </c>
      <c r="I666" s="1333" t="s">
        <v>4168</v>
      </c>
      <c r="J666" s="1333" t="s">
        <v>1058</v>
      </c>
      <c r="K666" s="1333" t="s">
        <v>4160</v>
      </c>
      <c r="L666" s="1333" t="s">
        <v>2480</v>
      </c>
      <c r="M666" s="1335">
        <v>1.0</v>
      </c>
    </row>
    <row r="667">
      <c r="A667" s="1333"/>
      <c r="B667" s="1333"/>
      <c r="C667" s="1333"/>
      <c r="D667" s="1333"/>
      <c r="E667" s="1333"/>
      <c r="F667" s="1333"/>
      <c r="G667" s="1333">
        <v>2023.0</v>
      </c>
      <c r="H667" s="1333" t="s">
        <v>2095</v>
      </c>
      <c r="I667" s="1333" t="s">
        <v>4168</v>
      </c>
      <c r="J667" s="1333" t="s">
        <v>4161</v>
      </c>
      <c r="K667" s="1333" t="s">
        <v>1055</v>
      </c>
      <c r="L667" s="1333" t="s">
        <v>1724</v>
      </c>
      <c r="M667" s="1335">
        <v>5.0</v>
      </c>
    </row>
    <row r="668">
      <c r="A668" s="1333"/>
      <c r="B668" s="1333"/>
      <c r="C668" s="1333"/>
      <c r="D668" s="1333"/>
      <c r="E668" s="1333"/>
      <c r="F668" s="1333"/>
      <c r="G668" s="1333">
        <v>2023.0</v>
      </c>
      <c r="H668" s="1333" t="s">
        <v>2096</v>
      </c>
      <c r="I668" s="1333" t="s">
        <v>4168</v>
      </c>
      <c r="J668" s="1333" t="s">
        <v>1058</v>
      </c>
      <c r="K668" s="1333" t="s">
        <v>4156</v>
      </c>
      <c r="L668" s="1333" t="s">
        <v>2480</v>
      </c>
      <c r="M668" s="1335">
        <v>19.0</v>
      </c>
    </row>
    <row r="669">
      <c r="A669" s="1333"/>
      <c r="B669" s="1333"/>
      <c r="C669" s="1333"/>
      <c r="D669" s="1333"/>
      <c r="E669" s="1333"/>
      <c r="F669" s="1333"/>
      <c r="G669" s="1333">
        <v>2023.0</v>
      </c>
      <c r="H669" s="1333" t="s">
        <v>2096</v>
      </c>
      <c r="I669" s="1333" t="s">
        <v>4168</v>
      </c>
      <c r="J669" s="1333" t="s">
        <v>1058</v>
      </c>
      <c r="K669" s="1333" t="s">
        <v>4158</v>
      </c>
      <c r="L669" s="1333" t="s">
        <v>2480</v>
      </c>
      <c r="M669" s="1335">
        <v>1.0</v>
      </c>
    </row>
    <row r="670">
      <c r="A670" s="1333"/>
      <c r="B670" s="1333"/>
      <c r="C670" s="1333"/>
      <c r="D670" s="1333"/>
      <c r="E670" s="1333"/>
      <c r="F670" s="1333"/>
      <c r="G670" s="1333">
        <v>2023.0</v>
      </c>
      <c r="H670" s="1333" t="s">
        <v>2096</v>
      </c>
      <c r="I670" s="1333" t="s">
        <v>4168</v>
      </c>
      <c r="J670" s="1333" t="s">
        <v>1058</v>
      </c>
      <c r="K670" s="1333" t="s">
        <v>4165</v>
      </c>
      <c r="L670" s="1333" t="s">
        <v>2480</v>
      </c>
      <c r="M670" s="1335">
        <v>1.0</v>
      </c>
    </row>
    <row r="671">
      <c r="A671" s="1333"/>
      <c r="B671" s="1333"/>
      <c r="C671" s="1333"/>
      <c r="D671" s="1333"/>
      <c r="E671" s="1333"/>
      <c r="F671" s="1333"/>
      <c r="G671" s="1333">
        <v>2023.0</v>
      </c>
      <c r="H671" s="1333" t="s">
        <v>2096</v>
      </c>
      <c r="I671" s="1333" t="s">
        <v>4168</v>
      </c>
      <c r="J671" s="1333" t="s">
        <v>1058</v>
      </c>
      <c r="K671" s="1333" t="s">
        <v>4166</v>
      </c>
      <c r="L671" s="1333" t="s">
        <v>2480</v>
      </c>
      <c r="M671" s="1335">
        <v>1.0</v>
      </c>
    </row>
    <row r="672">
      <c r="A672" s="1333"/>
      <c r="B672" s="1333"/>
      <c r="C672" s="1333"/>
      <c r="D672" s="1333"/>
      <c r="E672" s="1333"/>
      <c r="F672" s="1333"/>
      <c r="G672" s="1333">
        <v>2023.0</v>
      </c>
      <c r="H672" s="1333" t="s">
        <v>2096</v>
      </c>
      <c r="I672" s="1333" t="s">
        <v>4168</v>
      </c>
      <c r="J672" s="1333" t="s">
        <v>1058</v>
      </c>
      <c r="K672" s="1333" t="s">
        <v>4161</v>
      </c>
      <c r="L672" s="1333" t="s">
        <v>2480</v>
      </c>
      <c r="M672" s="1335">
        <v>1.0</v>
      </c>
    </row>
    <row r="673">
      <c r="A673" s="1333"/>
      <c r="B673" s="1333"/>
      <c r="C673" s="1333"/>
      <c r="D673" s="1333"/>
      <c r="E673" s="1333"/>
      <c r="F673" s="1333"/>
      <c r="G673" s="1333">
        <v>2023.0</v>
      </c>
      <c r="H673" s="1333" t="s">
        <v>2096</v>
      </c>
      <c r="I673" s="1333" t="s">
        <v>4168</v>
      </c>
      <c r="J673" s="1333" t="s">
        <v>1058</v>
      </c>
      <c r="K673" s="1333" t="s">
        <v>4160</v>
      </c>
      <c r="L673" s="1333" t="s">
        <v>2480</v>
      </c>
      <c r="M673" s="1335">
        <v>4.0</v>
      </c>
    </row>
    <row r="674">
      <c r="A674" s="1333"/>
      <c r="B674" s="1333"/>
      <c r="C674" s="1333"/>
      <c r="D674" s="1333"/>
      <c r="E674" s="1333"/>
      <c r="F674" s="1333"/>
      <c r="G674" s="1333">
        <v>2023.0</v>
      </c>
      <c r="H674" s="1333" t="s">
        <v>2096</v>
      </c>
      <c r="I674" s="1333" t="s">
        <v>4168</v>
      </c>
      <c r="J674" s="1333" t="s">
        <v>4161</v>
      </c>
      <c r="K674" s="1333" t="s">
        <v>1055</v>
      </c>
      <c r="L674" s="1333" t="s">
        <v>1724</v>
      </c>
      <c r="M674" s="1335">
        <v>32.0</v>
      </c>
    </row>
    <row r="675">
      <c r="A675" s="1333"/>
      <c r="B675" s="1333"/>
      <c r="C675" s="1333"/>
      <c r="D675" s="1333"/>
      <c r="E675" s="1333"/>
      <c r="F675" s="1333"/>
      <c r="G675" s="1333">
        <v>2023.0</v>
      </c>
      <c r="H675" s="1333" t="s">
        <v>2096</v>
      </c>
      <c r="I675" s="1333" t="s">
        <v>4168</v>
      </c>
      <c r="J675" s="1333" t="s">
        <v>4161</v>
      </c>
      <c r="K675" s="1333" t="s">
        <v>4161</v>
      </c>
      <c r="L675" s="1333" t="s">
        <v>2480</v>
      </c>
      <c r="M675" s="1335">
        <v>3.0</v>
      </c>
    </row>
    <row r="676">
      <c r="A676" s="1333"/>
      <c r="B676" s="1333"/>
      <c r="C676" s="1333"/>
      <c r="D676" s="1333"/>
      <c r="E676" s="1333"/>
      <c r="F676" s="1333"/>
      <c r="G676" s="1333">
        <v>2023.0</v>
      </c>
      <c r="H676" s="1333" t="s">
        <v>288</v>
      </c>
      <c r="I676" s="1333" t="s">
        <v>4176</v>
      </c>
      <c r="J676" s="1333" t="s">
        <v>1058</v>
      </c>
      <c r="K676" s="1333" t="s">
        <v>4163</v>
      </c>
      <c r="L676" s="1333" t="s">
        <v>2480</v>
      </c>
      <c r="M676" s="1335">
        <v>6.0</v>
      </c>
    </row>
    <row r="677">
      <c r="A677" s="1333"/>
      <c r="B677" s="1333"/>
      <c r="C677" s="1333"/>
      <c r="D677" s="1333"/>
      <c r="E677" s="1333"/>
      <c r="F677" s="1333"/>
      <c r="G677" s="1333">
        <v>2023.0</v>
      </c>
      <c r="H677" s="1333" t="s">
        <v>288</v>
      </c>
      <c r="I677" s="1333" t="s">
        <v>4176</v>
      </c>
      <c r="J677" s="1333" t="s">
        <v>1058</v>
      </c>
      <c r="K677" s="1333" t="s">
        <v>4156</v>
      </c>
      <c r="L677" s="1333" t="s">
        <v>2480</v>
      </c>
      <c r="M677" s="1335">
        <v>52.0</v>
      </c>
    </row>
    <row r="678">
      <c r="A678" s="1333"/>
      <c r="B678" s="1333"/>
      <c r="C678" s="1333"/>
      <c r="D678" s="1333"/>
      <c r="E678" s="1333"/>
      <c r="F678" s="1333"/>
      <c r="G678" s="1333">
        <v>2023.0</v>
      </c>
      <c r="H678" s="1333" t="s">
        <v>288</v>
      </c>
      <c r="I678" s="1333" t="s">
        <v>4176</v>
      </c>
      <c r="J678" s="1333" t="s">
        <v>1058</v>
      </c>
      <c r="K678" s="1333" t="s">
        <v>4157</v>
      </c>
      <c r="L678" s="1333" t="s">
        <v>1724</v>
      </c>
      <c r="M678" s="1335">
        <v>3.0</v>
      </c>
    </row>
    <row r="679">
      <c r="A679" s="1333"/>
      <c r="B679" s="1333"/>
      <c r="C679" s="1333"/>
      <c r="D679" s="1333"/>
      <c r="E679" s="1333"/>
      <c r="F679" s="1333"/>
      <c r="G679" s="1333">
        <v>2023.0</v>
      </c>
      <c r="H679" s="1333" t="s">
        <v>288</v>
      </c>
      <c r="I679" s="1333" t="s">
        <v>4176</v>
      </c>
      <c r="J679" s="1333" t="s">
        <v>1058</v>
      </c>
      <c r="K679" s="1333" t="s">
        <v>4158</v>
      </c>
      <c r="L679" s="1333" t="s">
        <v>2480</v>
      </c>
      <c r="M679" s="1335">
        <v>1.0</v>
      </c>
    </row>
    <row r="680">
      <c r="A680" s="1333"/>
      <c r="B680" s="1333"/>
      <c r="C680" s="1333"/>
      <c r="D680" s="1333"/>
      <c r="E680" s="1333"/>
      <c r="F680" s="1333"/>
      <c r="G680" s="1333">
        <v>2023.0</v>
      </c>
      <c r="H680" s="1333" t="s">
        <v>288</v>
      </c>
      <c r="I680" s="1333" t="s">
        <v>4176</v>
      </c>
      <c r="J680" s="1333" t="s">
        <v>1058</v>
      </c>
      <c r="K680" s="1333" t="s">
        <v>4166</v>
      </c>
      <c r="L680" s="1333" t="s">
        <v>2480</v>
      </c>
      <c r="M680" s="1335">
        <v>6.0</v>
      </c>
    </row>
    <row r="681">
      <c r="A681" s="1333"/>
      <c r="B681" s="1333"/>
      <c r="C681" s="1333"/>
      <c r="D681" s="1333"/>
      <c r="E681" s="1333"/>
      <c r="F681" s="1333"/>
      <c r="G681" s="1333">
        <v>2023.0</v>
      </c>
      <c r="H681" s="1333" t="s">
        <v>288</v>
      </c>
      <c r="I681" s="1333" t="s">
        <v>4176</v>
      </c>
      <c r="J681" s="1333" t="s">
        <v>1058</v>
      </c>
      <c r="K681" s="1333" t="s">
        <v>4161</v>
      </c>
      <c r="L681" s="1333" t="s">
        <v>2480</v>
      </c>
      <c r="M681" s="1335">
        <v>2.0</v>
      </c>
    </row>
    <row r="682">
      <c r="A682" s="1333"/>
      <c r="B682" s="1333"/>
      <c r="C682" s="1333"/>
      <c r="D682" s="1333"/>
      <c r="E682" s="1333"/>
      <c r="F682" s="1333"/>
      <c r="G682" s="1333">
        <v>2023.0</v>
      </c>
      <c r="H682" s="1333" t="s">
        <v>288</v>
      </c>
      <c r="I682" s="1333" t="s">
        <v>4176</v>
      </c>
      <c r="J682" s="1333" t="s">
        <v>1058</v>
      </c>
      <c r="K682" s="1333" t="s">
        <v>4160</v>
      </c>
      <c r="L682" s="1333" t="s">
        <v>2480</v>
      </c>
      <c r="M682" s="1335">
        <v>5.0</v>
      </c>
    </row>
    <row r="683">
      <c r="A683" s="1333"/>
      <c r="B683" s="1333"/>
      <c r="C683" s="1333"/>
      <c r="D683" s="1333"/>
      <c r="E683" s="1333"/>
      <c r="F683" s="1333"/>
      <c r="G683" s="1333">
        <v>2023.0</v>
      </c>
      <c r="H683" s="1333" t="s">
        <v>288</v>
      </c>
      <c r="I683" s="1333" t="s">
        <v>4176</v>
      </c>
      <c r="J683" s="1333" t="s">
        <v>4161</v>
      </c>
      <c r="K683" s="1333" t="s">
        <v>4167</v>
      </c>
      <c r="L683" s="1333" t="s">
        <v>2480</v>
      </c>
      <c r="M683" s="1335">
        <v>1.0</v>
      </c>
    </row>
    <row r="684">
      <c r="A684" s="1333"/>
      <c r="B684" s="1333"/>
      <c r="C684" s="1333"/>
      <c r="D684" s="1333"/>
      <c r="E684" s="1333"/>
      <c r="F684" s="1333"/>
      <c r="G684" s="1333">
        <v>2023.0</v>
      </c>
      <c r="H684" s="1333" t="s">
        <v>288</v>
      </c>
      <c r="I684" s="1333" t="s">
        <v>4176</v>
      </c>
      <c r="J684" s="1333" t="s">
        <v>4161</v>
      </c>
      <c r="K684" s="1333" t="s">
        <v>1055</v>
      </c>
      <c r="L684" s="1333" t="s">
        <v>1724</v>
      </c>
      <c r="M684" s="1335">
        <v>34.0</v>
      </c>
    </row>
    <row r="685">
      <c r="A685" s="1333"/>
      <c r="B685" s="1333"/>
      <c r="C685" s="1333"/>
      <c r="D685" s="1333"/>
      <c r="E685" s="1333"/>
      <c r="F685" s="1333"/>
      <c r="G685" s="1333">
        <v>2023.0</v>
      </c>
      <c r="H685" s="1333" t="s">
        <v>288</v>
      </c>
      <c r="I685" s="1333" t="s">
        <v>4176</v>
      </c>
      <c r="J685" s="1333" t="s">
        <v>4161</v>
      </c>
      <c r="K685" s="1333" t="s">
        <v>4161</v>
      </c>
      <c r="L685" s="1333" t="s">
        <v>2480</v>
      </c>
      <c r="M685" s="1335">
        <v>7.0</v>
      </c>
    </row>
    <row r="686">
      <c r="A686" s="1333"/>
      <c r="B686" s="1333"/>
      <c r="C686" s="1333"/>
      <c r="D686" s="1333"/>
      <c r="E686" s="1333"/>
      <c r="F686" s="1333"/>
      <c r="G686" s="1333">
        <v>2023.0</v>
      </c>
      <c r="H686" s="1333" t="s">
        <v>598</v>
      </c>
      <c r="I686" s="1333" t="s">
        <v>4169</v>
      </c>
      <c r="J686" s="1333" t="s">
        <v>1058</v>
      </c>
      <c r="K686" s="1333" t="s">
        <v>4156</v>
      </c>
      <c r="L686" s="1333" t="s">
        <v>2480</v>
      </c>
      <c r="M686" s="1335">
        <v>9.0</v>
      </c>
    </row>
    <row r="687">
      <c r="A687" s="1333"/>
      <c r="B687" s="1333"/>
      <c r="C687" s="1333"/>
      <c r="D687" s="1333"/>
      <c r="E687" s="1333"/>
      <c r="F687" s="1333"/>
      <c r="G687" s="1333">
        <v>2023.0</v>
      </c>
      <c r="H687" s="1333" t="s">
        <v>598</v>
      </c>
      <c r="I687" s="1333" t="s">
        <v>4169</v>
      </c>
      <c r="J687" s="1333" t="s">
        <v>1058</v>
      </c>
      <c r="K687" s="1333" t="s">
        <v>4157</v>
      </c>
      <c r="L687" s="1333" t="s">
        <v>1724</v>
      </c>
      <c r="M687" s="1335">
        <v>1.0</v>
      </c>
    </row>
    <row r="688">
      <c r="A688" s="1333"/>
      <c r="B688" s="1333"/>
      <c r="C688" s="1333"/>
      <c r="D688" s="1333"/>
      <c r="E688" s="1333"/>
      <c r="F688" s="1333"/>
      <c r="G688" s="1333">
        <v>2023.0</v>
      </c>
      <c r="H688" s="1333" t="s">
        <v>598</v>
      </c>
      <c r="I688" s="1333" t="s">
        <v>4169</v>
      </c>
      <c r="J688" s="1333" t="s">
        <v>1058</v>
      </c>
      <c r="K688" s="1333" t="s">
        <v>4166</v>
      </c>
      <c r="L688" s="1333" t="s">
        <v>2480</v>
      </c>
      <c r="M688" s="1335">
        <v>1.0</v>
      </c>
    </row>
    <row r="689">
      <c r="A689" s="1333"/>
      <c r="B689" s="1333"/>
      <c r="C689" s="1333"/>
      <c r="D689" s="1333"/>
      <c r="E689" s="1333"/>
      <c r="F689" s="1333"/>
      <c r="G689" s="1333">
        <v>2023.0</v>
      </c>
      <c r="H689" s="1333" t="s">
        <v>598</v>
      </c>
      <c r="I689" s="1333" t="s">
        <v>4169</v>
      </c>
      <c r="J689" s="1333" t="s">
        <v>1058</v>
      </c>
      <c r="K689" s="1333" t="s">
        <v>4160</v>
      </c>
      <c r="L689" s="1333" t="s">
        <v>2480</v>
      </c>
      <c r="M689" s="1335">
        <v>1.0</v>
      </c>
    </row>
    <row r="690">
      <c r="A690" s="1333"/>
      <c r="B690" s="1333"/>
      <c r="C690" s="1333"/>
      <c r="D690" s="1333"/>
      <c r="E690" s="1333"/>
      <c r="F690" s="1333"/>
      <c r="G690" s="1333">
        <v>2023.0</v>
      </c>
      <c r="H690" s="1333" t="s">
        <v>598</v>
      </c>
      <c r="I690" s="1333" t="s">
        <v>4169</v>
      </c>
      <c r="J690" s="1333" t="s">
        <v>4161</v>
      </c>
      <c r="K690" s="1333" t="s">
        <v>4174</v>
      </c>
      <c r="L690" s="1333" t="s">
        <v>2480</v>
      </c>
      <c r="M690" s="1335">
        <v>1.0</v>
      </c>
    </row>
    <row r="691">
      <c r="A691" s="1333"/>
      <c r="B691" s="1333"/>
      <c r="C691" s="1333"/>
      <c r="D691" s="1333"/>
      <c r="E691" s="1333"/>
      <c r="F691" s="1333"/>
      <c r="G691" s="1333">
        <v>2023.0</v>
      </c>
      <c r="H691" s="1333" t="s">
        <v>598</v>
      </c>
      <c r="I691" s="1333" t="s">
        <v>4169</v>
      </c>
      <c r="J691" s="1333" t="s">
        <v>4161</v>
      </c>
      <c r="K691" s="1333" t="s">
        <v>1055</v>
      </c>
      <c r="L691" s="1333" t="s">
        <v>1724</v>
      </c>
      <c r="M691" s="1335">
        <v>6.0</v>
      </c>
    </row>
    <row r="692">
      <c r="A692" s="1333"/>
      <c r="B692" s="1333"/>
      <c r="C692" s="1333"/>
      <c r="D692" s="1333"/>
      <c r="E692" s="1333"/>
      <c r="F692" s="1333"/>
      <c r="G692" s="1333">
        <v>2023.0</v>
      </c>
      <c r="H692" s="1333" t="s">
        <v>2097</v>
      </c>
      <c r="I692" s="1333" t="s">
        <v>4171</v>
      </c>
      <c r="J692" s="1333" t="s">
        <v>1058</v>
      </c>
      <c r="K692" s="1333" t="s">
        <v>4163</v>
      </c>
      <c r="L692" s="1333" t="s">
        <v>2480</v>
      </c>
      <c r="M692" s="1335">
        <v>2.0</v>
      </c>
    </row>
    <row r="693">
      <c r="A693" s="1333"/>
      <c r="B693" s="1333"/>
      <c r="C693" s="1333"/>
      <c r="D693" s="1333"/>
      <c r="E693" s="1333"/>
      <c r="F693" s="1333"/>
      <c r="G693" s="1333">
        <v>2023.0</v>
      </c>
      <c r="H693" s="1333" t="s">
        <v>2097</v>
      </c>
      <c r="I693" s="1333" t="s">
        <v>4171</v>
      </c>
      <c r="J693" s="1333" t="s">
        <v>1058</v>
      </c>
      <c r="K693" s="1333" t="s">
        <v>4156</v>
      </c>
      <c r="L693" s="1333" t="s">
        <v>2480</v>
      </c>
      <c r="M693" s="1335">
        <v>3.0</v>
      </c>
    </row>
    <row r="694">
      <c r="A694" s="1333"/>
      <c r="B694" s="1333"/>
      <c r="C694" s="1333"/>
      <c r="D694" s="1333"/>
      <c r="E694" s="1333"/>
      <c r="F694" s="1333"/>
      <c r="G694" s="1333">
        <v>2023.0</v>
      </c>
      <c r="H694" s="1333" t="s">
        <v>2097</v>
      </c>
      <c r="I694" s="1333" t="s">
        <v>4171</v>
      </c>
      <c r="J694" s="1333" t="s">
        <v>1058</v>
      </c>
      <c r="K694" s="1333" t="s">
        <v>4165</v>
      </c>
      <c r="L694" s="1333" t="s">
        <v>2480</v>
      </c>
      <c r="M694" s="1335">
        <v>2.0</v>
      </c>
    </row>
    <row r="695">
      <c r="A695" s="1333"/>
      <c r="B695" s="1333"/>
      <c r="C695" s="1333"/>
      <c r="D695" s="1333"/>
      <c r="E695" s="1333"/>
      <c r="F695" s="1333"/>
      <c r="G695" s="1333">
        <v>2023.0</v>
      </c>
      <c r="H695" s="1333" t="s">
        <v>2097</v>
      </c>
      <c r="I695" s="1333" t="s">
        <v>4171</v>
      </c>
      <c r="J695" s="1333" t="s">
        <v>1058</v>
      </c>
      <c r="K695" s="1333" t="s">
        <v>4166</v>
      </c>
      <c r="L695" s="1333" t="s">
        <v>2480</v>
      </c>
      <c r="M695" s="1335">
        <v>1.0</v>
      </c>
    </row>
    <row r="696">
      <c r="A696" s="1333"/>
      <c r="B696" s="1333"/>
      <c r="C696" s="1333"/>
      <c r="D696" s="1333"/>
      <c r="E696" s="1333"/>
      <c r="F696" s="1333"/>
      <c r="G696" s="1333">
        <v>2023.0</v>
      </c>
      <c r="H696" s="1333" t="s">
        <v>2097</v>
      </c>
      <c r="I696" s="1333" t="s">
        <v>4171</v>
      </c>
      <c r="J696" s="1333" t="s">
        <v>1058</v>
      </c>
      <c r="K696" s="1333" t="s">
        <v>4160</v>
      </c>
      <c r="L696" s="1333" t="s">
        <v>2480</v>
      </c>
      <c r="M696" s="1335">
        <v>6.0</v>
      </c>
    </row>
    <row r="697">
      <c r="A697" s="1333"/>
      <c r="B697" s="1333"/>
      <c r="C697" s="1333"/>
      <c r="D697" s="1333"/>
      <c r="E697" s="1333"/>
      <c r="F697" s="1333"/>
      <c r="G697" s="1333">
        <v>2023.0</v>
      </c>
      <c r="H697" s="1333" t="s">
        <v>2098</v>
      </c>
      <c r="I697" s="1333" t="s">
        <v>4176</v>
      </c>
      <c r="J697" s="1333" t="s">
        <v>1058</v>
      </c>
      <c r="K697" s="1333" t="s">
        <v>4163</v>
      </c>
      <c r="L697" s="1333" t="s">
        <v>2480</v>
      </c>
      <c r="M697" s="1335">
        <v>1.0</v>
      </c>
    </row>
    <row r="698">
      <c r="A698" s="1333"/>
      <c r="B698" s="1333"/>
      <c r="C698" s="1333"/>
      <c r="D698" s="1333"/>
      <c r="E698" s="1333"/>
      <c r="F698" s="1333"/>
      <c r="G698" s="1333">
        <v>2023.0</v>
      </c>
      <c r="H698" s="1333" t="s">
        <v>2098</v>
      </c>
      <c r="I698" s="1333" t="s">
        <v>4176</v>
      </c>
      <c r="J698" s="1333" t="s">
        <v>1058</v>
      </c>
      <c r="K698" s="1333" t="s">
        <v>4156</v>
      </c>
      <c r="L698" s="1333" t="s">
        <v>2480</v>
      </c>
      <c r="M698" s="1335">
        <v>34.0</v>
      </c>
    </row>
    <row r="699">
      <c r="A699" s="1333"/>
      <c r="B699" s="1333"/>
      <c r="C699" s="1333"/>
      <c r="D699" s="1333"/>
      <c r="E699" s="1333"/>
      <c r="F699" s="1333"/>
      <c r="G699" s="1333">
        <v>2023.0</v>
      </c>
      <c r="H699" s="1333" t="s">
        <v>2098</v>
      </c>
      <c r="I699" s="1333" t="s">
        <v>4176</v>
      </c>
      <c r="J699" s="1333" t="s">
        <v>1058</v>
      </c>
      <c r="K699" s="1333" t="s">
        <v>4157</v>
      </c>
      <c r="L699" s="1333" t="s">
        <v>1724</v>
      </c>
      <c r="M699" s="1335">
        <v>2.0</v>
      </c>
    </row>
    <row r="700">
      <c r="A700" s="1333"/>
      <c r="B700" s="1333"/>
      <c r="C700" s="1333"/>
      <c r="D700" s="1333"/>
      <c r="E700" s="1333"/>
      <c r="F700" s="1333"/>
      <c r="G700" s="1333">
        <v>2023.0</v>
      </c>
      <c r="H700" s="1333" t="s">
        <v>2098</v>
      </c>
      <c r="I700" s="1333" t="s">
        <v>4176</v>
      </c>
      <c r="J700" s="1333" t="s">
        <v>1058</v>
      </c>
      <c r="K700" s="1333" t="s">
        <v>4158</v>
      </c>
      <c r="L700" s="1333" t="s">
        <v>2480</v>
      </c>
      <c r="M700" s="1335">
        <v>2.0</v>
      </c>
    </row>
    <row r="701">
      <c r="A701" s="1333"/>
      <c r="B701" s="1333"/>
      <c r="C701" s="1333"/>
      <c r="D701" s="1333"/>
      <c r="E701" s="1333"/>
      <c r="F701" s="1333"/>
      <c r="G701" s="1333">
        <v>2023.0</v>
      </c>
      <c r="H701" s="1333" t="s">
        <v>2098</v>
      </c>
      <c r="I701" s="1333" t="s">
        <v>4176</v>
      </c>
      <c r="J701" s="1333" t="s">
        <v>1058</v>
      </c>
      <c r="K701" s="1333" t="s">
        <v>4166</v>
      </c>
      <c r="L701" s="1333" t="s">
        <v>2480</v>
      </c>
      <c r="M701" s="1335">
        <v>2.0</v>
      </c>
    </row>
    <row r="702">
      <c r="A702" s="1333"/>
      <c r="B702" s="1333"/>
      <c r="C702" s="1333"/>
      <c r="D702" s="1333"/>
      <c r="E702" s="1333"/>
      <c r="F702" s="1333"/>
      <c r="G702" s="1333">
        <v>2023.0</v>
      </c>
      <c r="H702" s="1333" t="s">
        <v>2098</v>
      </c>
      <c r="I702" s="1333" t="s">
        <v>4176</v>
      </c>
      <c r="J702" s="1333" t="s">
        <v>1058</v>
      </c>
      <c r="K702" s="1333" t="s">
        <v>4160</v>
      </c>
      <c r="L702" s="1333" t="s">
        <v>2480</v>
      </c>
      <c r="M702" s="1335">
        <v>1.0</v>
      </c>
    </row>
    <row r="703">
      <c r="A703" s="1333"/>
      <c r="B703" s="1333"/>
      <c r="C703" s="1333"/>
      <c r="D703" s="1333"/>
      <c r="E703" s="1333"/>
      <c r="F703" s="1333"/>
      <c r="G703" s="1333">
        <v>2023.0</v>
      </c>
      <c r="H703" s="1333" t="s">
        <v>2098</v>
      </c>
      <c r="I703" s="1333" t="s">
        <v>4176</v>
      </c>
      <c r="J703" s="1333" t="s">
        <v>4161</v>
      </c>
      <c r="K703" s="1333" t="s">
        <v>1055</v>
      </c>
      <c r="L703" s="1333" t="s">
        <v>1724</v>
      </c>
      <c r="M703" s="1335">
        <v>25.0</v>
      </c>
    </row>
    <row r="704">
      <c r="A704" s="1333"/>
      <c r="B704" s="1333"/>
      <c r="C704" s="1333"/>
      <c r="D704" s="1333"/>
      <c r="E704" s="1333"/>
      <c r="F704" s="1333"/>
      <c r="G704" s="1333">
        <v>2023.0</v>
      </c>
      <c r="H704" s="1333" t="s">
        <v>2098</v>
      </c>
      <c r="I704" s="1333" t="s">
        <v>4176</v>
      </c>
      <c r="J704" s="1333" t="s">
        <v>4161</v>
      </c>
      <c r="K704" s="1333" t="s">
        <v>4161</v>
      </c>
      <c r="L704" s="1333" t="s">
        <v>2480</v>
      </c>
      <c r="M704" s="1335">
        <v>5.0</v>
      </c>
    </row>
    <row r="705">
      <c r="A705" s="1333"/>
      <c r="B705" s="1333"/>
      <c r="C705" s="1333"/>
      <c r="D705" s="1333"/>
      <c r="E705" s="1333"/>
      <c r="F705" s="1333"/>
      <c r="G705" s="1333">
        <v>2023.0</v>
      </c>
      <c r="H705" s="1333" t="s">
        <v>727</v>
      </c>
      <c r="I705" s="1333" t="s">
        <v>4171</v>
      </c>
      <c r="J705" s="1333" t="s">
        <v>1058</v>
      </c>
      <c r="K705" s="1333" t="s">
        <v>4156</v>
      </c>
      <c r="L705" s="1333" t="s">
        <v>2480</v>
      </c>
      <c r="M705" s="1335">
        <v>1.0</v>
      </c>
    </row>
    <row r="706">
      <c r="A706" s="1333"/>
      <c r="B706" s="1333"/>
      <c r="C706" s="1333"/>
      <c r="D706" s="1333"/>
      <c r="E706" s="1333"/>
      <c r="F706" s="1333"/>
      <c r="G706" s="1333">
        <v>2023.0</v>
      </c>
      <c r="H706" s="1333" t="s">
        <v>727</v>
      </c>
      <c r="I706" s="1333" t="s">
        <v>4171</v>
      </c>
      <c r="J706" s="1333" t="s">
        <v>1058</v>
      </c>
      <c r="K706" s="1333" t="s">
        <v>4161</v>
      </c>
      <c r="L706" s="1333" t="s">
        <v>2480</v>
      </c>
      <c r="M706" s="1335">
        <v>1.0</v>
      </c>
    </row>
    <row r="707">
      <c r="A707" s="1333"/>
      <c r="B707" s="1333"/>
      <c r="C707" s="1333"/>
      <c r="D707" s="1333"/>
      <c r="E707" s="1333"/>
      <c r="F707" s="1333"/>
      <c r="G707" s="1333">
        <v>2023.0</v>
      </c>
      <c r="H707" s="1333" t="s">
        <v>727</v>
      </c>
      <c r="I707" s="1333" t="s">
        <v>4171</v>
      </c>
      <c r="J707" s="1333" t="s">
        <v>1058</v>
      </c>
      <c r="K707" s="1333" t="s">
        <v>4160</v>
      </c>
      <c r="L707" s="1333" t="s">
        <v>2480</v>
      </c>
      <c r="M707" s="1335">
        <v>1.0</v>
      </c>
    </row>
    <row r="708">
      <c r="A708" s="1333"/>
      <c r="B708" s="1333"/>
      <c r="C708" s="1333"/>
      <c r="D708" s="1333"/>
      <c r="E708" s="1333"/>
      <c r="F708" s="1333"/>
      <c r="G708" s="1333">
        <v>2023.0</v>
      </c>
      <c r="H708" s="1333" t="s">
        <v>727</v>
      </c>
      <c r="I708" s="1333" t="s">
        <v>4171</v>
      </c>
      <c r="J708" s="1333" t="s">
        <v>4161</v>
      </c>
      <c r="K708" s="1333" t="s">
        <v>1055</v>
      </c>
      <c r="L708" s="1333" t="s">
        <v>1724</v>
      </c>
      <c r="M708" s="1335">
        <v>5.0</v>
      </c>
    </row>
    <row r="709">
      <c r="A709" s="1333"/>
      <c r="B709" s="1333"/>
      <c r="C709" s="1333"/>
      <c r="D709" s="1333"/>
      <c r="E709" s="1333"/>
      <c r="F709" s="1333"/>
      <c r="G709" s="1333">
        <v>2023.0</v>
      </c>
      <c r="H709" s="1333" t="s">
        <v>2100</v>
      </c>
      <c r="I709" s="1333" t="s">
        <v>4171</v>
      </c>
      <c r="J709" s="1333" t="s">
        <v>1058</v>
      </c>
      <c r="K709" s="1333" t="s">
        <v>4163</v>
      </c>
      <c r="L709" s="1333" t="s">
        <v>2480</v>
      </c>
      <c r="M709" s="1335">
        <v>3.0</v>
      </c>
    </row>
    <row r="710">
      <c r="A710" s="1333"/>
      <c r="B710" s="1333"/>
      <c r="C710" s="1333"/>
      <c r="D710" s="1333"/>
      <c r="E710" s="1333"/>
      <c r="F710" s="1333"/>
      <c r="G710" s="1333">
        <v>2023.0</v>
      </c>
      <c r="H710" s="1333" t="s">
        <v>2100</v>
      </c>
      <c r="I710" s="1333" t="s">
        <v>4171</v>
      </c>
      <c r="J710" s="1333" t="s">
        <v>1058</v>
      </c>
      <c r="K710" s="1333" t="s">
        <v>4156</v>
      </c>
      <c r="L710" s="1333" t="s">
        <v>2480</v>
      </c>
      <c r="M710" s="1335">
        <v>5.0</v>
      </c>
    </row>
    <row r="711">
      <c r="A711" s="1333"/>
      <c r="B711" s="1333"/>
      <c r="C711" s="1333"/>
      <c r="D711" s="1333"/>
      <c r="E711" s="1333"/>
      <c r="F711" s="1333"/>
      <c r="G711" s="1333">
        <v>2023.0</v>
      </c>
      <c r="H711" s="1333" t="s">
        <v>2100</v>
      </c>
      <c r="I711" s="1333" t="s">
        <v>4171</v>
      </c>
      <c r="J711" s="1333" t="s">
        <v>1058</v>
      </c>
      <c r="K711" s="1333" t="s">
        <v>4158</v>
      </c>
      <c r="L711" s="1333" t="s">
        <v>2480</v>
      </c>
      <c r="M711" s="1335">
        <v>1.0</v>
      </c>
    </row>
    <row r="712">
      <c r="A712" s="1333"/>
      <c r="B712" s="1333"/>
      <c r="C712" s="1333"/>
      <c r="D712" s="1333"/>
      <c r="E712" s="1333"/>
      <c r="F712" s="1333"/>
      <c r="G712" s="1333">
        <v>2023.0</v>
      </c>
      <c r="H712" s="1333" t="s">
        <v>2100</v>
      </c>
      <c r="I712" s="1333" t="s">
        <v>4171</v>
      </c>
      <c r="J712" s="1333" t="s">
        <v>1058</v>
      </c>
      <c r="K712" s="1333" t="s">
        <v>4165</v>
      </c>
      <c r="L712" s="1333" t="s">
        <v>2480</v>
      </c>
      <c r="M712" s="1335">
        <v>2.0</v>
      </c>
    </row>
    <row r="713">
      <c r="A713" s="1333"/>
      <c r="B713" s="1333"/>
      <c r="C713" s="1333"/>
      <c r="D713" s="1333"/>
      <c r="E713" s="1333"/>
      <c r="F713" s="1333"/>
      <c r="G713" s="1333">
        <v>2023.0</v>
      </c>
      <c r="H713" s="1333" t="s">
        <v>2100</v>
      </c>
      <c r="I713" s="1333" t="s">
        <v>4171</v>
      </c>
      <c r="J713" s="1333" t="s">
        <v>1058</v>
      </c>
      <c r="K713" s="1333" t="s">
        <v>4166</v>
      </c>
      <c r="L713" s="1333" t="s">
        <v>2480</v>
      </c>
      <c r="M713" s="1335">
        <v>1.0</v>
      </c>
    </row>
    <row r="714">
      <c r="A714" s="1333"/>
      <c r="B714" s="1333"/>
      <c r="C714" s="1333"/>
      <c r="D714" s="1333"/>
      <c r="E714" s="1333"/>
      <c r="F714" s="1333"/>
      <c r="G714" s="1333">
        <v>2023.0</v>
      </c>
      <c r="H714" s="1333" t="s">
        <v>2100</v>
      </c>
      <c r="I714" s="1333" t="s">
        <v>4171</v>
      </c>
      <c r="J714" s="1333" t="s">
        <v>1058</v>
      </c>
      <c r="K714" s="1333" t="s">
        <v>4160</v>
      </c>
      <c r="L714" s="1333" t="s">
        <v>2480</v>
      </c>
      <c r="M714" s="1335">
        <v>3.0</v>
      </c>
    </row>
    <row r="715">
      <c r="A715" s="1333"/>
      <c r="B715" s="1333"/>
      <c r="C715" s="1333"/>
      <c r="D715" s="1333"/>
      <c r="E715" s="1333"/>
      <c r="F715" s="1333"/>
      <c r="G715" s="1333">
        <v>2023.0</v>
      </c>
      <c r="H715" s="1333" t="s">
        <v>2100</v>
      </c>
      <c r="I715" s="1333" t="s">
        <v>4171</v>
      </c>
      <c r="J715" s="1333" t="s">
        <v>4161</v>
      </c>
      <c r="K715" s="1333" t="s">
        <v>4167</v>
      </c>
      <c r="L715" s="1333" t="s">
        <v>2480</v>
      </c>
      <c r="M715" s="1335">
        <v>1.0</v>
      </c>
    </row>
    <row r="716">
      <c r="A716" s="1333"/>
      <c r="B716" s="1333"/>
      <c r="C716" s="1333"/>
      <c r="D716" s="1333"/>
      <c r="E716" s="1333"/>
      <c r="F716" s="1333"/>
      <c r="G716" s="1333">
        <v>2023.0</v>
      </c>
      <c r="H716" s="1333" t="s">
        <v>2100</v>
      </c>
      <c r="I716" s="1333" t="s">
        <v>4171</v>
      </c>
      <c r="J716" s="1333" t="s">
        <v>4161</v>
      </c>
      <c r="K716" s="1333" t="s">
        <v>1055</v>
      </c>
      <c r="L716" s="1333" t="s">
        <v>1724</v>
      </c>
      <c r="M716" s="1335">
        <v>13.0</v>
      </c>
    </row>
    <row r="717">
      <c r="A717" s="1333"/>
      <c r="B717" s="1333"/>
      <c r="C717" s="1333"/>
      <c r="D717" s="1333"/>
      <c r="E717" s="1333"/>
      <c r="F717" s="1333"/>
      <c r="G717" s="1333">
        <v>2023.0</v>
      </c>
      <c r="H717" s="1333" t="s">
        <v>2101</v>
      </c>
      <c r="I717" s="1333" t="s">
        <v>4162</v>
      </c>
      <c r="J717" s="1333" t="s">
        <v>1058</v>
      </c>
      <c r="K717" s="1333" t="s">
        <v>4156</v>
      </c>
      <c r="L717" s="1333" t="s">
        <v>2480</v>
      </c>
      <c r="M717" s="1335">
        <v>3.0</v>
      </c>
    </row>
    <row r="718">
      <c r="A718" s="1333"/>
      <c r="B718" s="1333"/>
      <c r="C718" s="1333"/>
      <c r="D718" s="1333"/>
      <c r="E718" s="1333"/>
      <c r="F718" s="1333"/>
      <c r="G718" s="1333">
        <v>2023.0</v>
      </c>
      <c r="H718" s="1333" t="s">
        <v>2101</v>
      </c>
      <c r="I718" s="1333" t="s">
        <v>4162</v>
      </c>
      <c r="J718" s="1333" t="s">
        <v>1058</v>
      </c>
      <c r="K718" s="1333" t="s">
        <v>4160</v>
      </c>
      <c r="L718" s="1333" t="s">
        <v>2480</v>
      </c>
      <c r="M718" s="1335">
        <v>2.0</v>
      </c>
    </row>
    <row r="719">
      <c r="A719" s="1333"/>
      <c r="B719" s="1333"/>
      <c r="C719" s="1333"/>
      <c r="D719" s="1333"/>
      <c r="E719" s="1333"/>
      <c r="F719" s="1333"/>
      <c r="G719" s="1333">
        <v>2023.0</v>
      </c>
      <c r="H719" s="1333" t="s">
        <v>2101</v>
      </c>
      <c r="I719" s="1333" t="s">
        <v>4162</v>
      </c>
      <c r="J719" s="1333" t="s">
        <v>4161</v>
      </c>
      <c r="K719" s="1333" t="s">
        <v>4167</v>
      </c>
      <c r="L719" s="1333" t="s">
        <v>2480</v>
      </c>
      <c r="M719" s="1335">
        <v>1.0</v>
      </c>
    </row>
    <row r="720">
      <c r="A720" s="1333"/>
      <c r="B720" s="1333"/>
      <c r="C720" s="1333"/>
      <c r="D720" s="1333"/>
      <c r="E720" s="1333"/>
      <c r="F720" s="1333"/>
      <c r="G720" s="1333">
        <v>2023.0</v>
      </c>
      <c r="H720" s="1333" t="s">
        <v>2103</v>
      </c>
      <c r="I720" s="1333" t="s">
        <v>4168</v>
      </c>
      <c r="J720" s="1333" t="s">
        <v>1058</v>
      </c>
      <c r="K720" s="1333" t="s">
        <v>4156</v>
      </c>
      <c r="L720" s="1333" t="s">
        <v>2480</v>
      </c>
      <c r="M720" s="1335">
        <v>15.0</v>
      </c>
    </row>
    <row r="721">
      <c r="A721" s="1333"/>
      <c r="B721" s="1333"/>
      <c r="C721" s="1333"/>
      <c r="D721" s="1333"/>
      <c r="E721" s="1333"/>
      <c r="F721" s="1333"/>
      <c r="G721" s="1333">
        <v>2023.0</v>
      </c>
      <c r="H721" s="1333" t="s">
        <v>2103</v>
      </c>
      <c r="I721" s="1333" t="s">
        <v>4168</v>
      </c>
      <c r="J721" s="1333" t="s">
        <v>1058</v>
      </c>
      <c r="K721" s="1333" t="s">
        <v>4158</v>
      </c>
      <c r="L721" s="1333" t="s">
        <v>2480</v>
      </c>
      <c r="M721" s="1335">
        <v>5.0</v>
      </c>
    </row>
    <row r="722">
      <c r="A722" s="1333"/>
      <c r="B722" s="1333"/>
      <c r="C722" s="1333"/>
      <c r="D722" s="1333"/>
      <c r="E722" s="1333"/>
      <c r="F722" s="1333"/>
      <c r="G722" s="1333">
        <v>2023.0</v>
      </c>
      <c r="H722" s="1333" t="s">
        <v>2103</v>
      </c>
      <c r="I722" s="1333" t="s">
        <v>4168</v>
      </c>
      <c r="J722" s="1333" t="s">
        <v>1058</v>
      </c>
      <c r="K722" s="1333" t="s">
        <v>4166</v>
      </c>
      <c r="L722" s="1333" t="s">
        <v>2480</v>
      </c>
      <c r="M722" s="1335">
        <v>2.0</v>
      </c>
    </row>
    <row r="723">
      <c r="A723" s="1333"/>
      <c r="B723" s="1333"/>
      <c r="C723" s="1333"/>
      <c r="D723" s="1333"/>
      <c r="E723" s="1333"/>
      <c r="F723" s="1333"/>
      <c r="G723" s="1333">
        <v>2023.0</v>
      </c>
      <c r="H723" s="1333" t="s">
        <v>2103</v>
      </c>
      <c r="I723" s="1333" t="s">
        <v>4168</v>
      </c>
      <c r="J723" s="1333" t="s">
        <v>1058</v>
      </c>
      <c r="K723" s="1333" t="s">
        <v>4161</v>
      </c>
      <c r="L723" s="1333" t="s">
        <v>2480</v>
      </c>
      <c r="M723" s="1335">
        <v>2.0</v>
      </c>
    </row>
    <row r="724">
      <c r="A724" s="1333"/>
      <c r="B724" s="1333"/>
      <c r="C724" s="1333"/>
      <c r="D724" s="1333"/>
      <c r="E724" s="1333"/>
      <c r="F724" s="1333"/>
      <c r="G724" s="1333">
        <v>2023.0</v>
      </c>
      <c r="H724" s="1333" t="s">
        <v>2103</v>
      </c>
      <c r="I724" s="1333" t="s">
        <v>4168</v>
      </c>
      <c r="J724" s="1333" t="s">
        <v>4161</v>
      </c>
      <c r="K724" s="1333" t="s">
        <v>1055</v>
      </c>
      <c r="L724" s="1333" t="s">
        <v>1724</v>
      </c>
      <c r="M724" s="1335">
        <v>9.0</v>
      </c>
    </row>
    <row r="725">
      <c r="A725" s="1333"/>
      <c r="B725" s="1333"/>
      <c r="C725" s="1333"/>
      <c r="D725" s="1333"/>
      <c r="E725" s="1333"/>
      <c r="F725" s="1333"/>
      <c r="G725" s="1333">
        <v>2023.0</v>
      </c>
      <c r="H725" s="1333" t="s">
        <v>728</v>
      </c>
      <c r="I725" s="1333" t="s">
        <v>4169</v>
      </c>
      <c r="J725" s="1333" t="s">
        <v>1058</v>
      </c>
      <c r="K725" s="1333" t="s">
        <v>4156</v>
      </c>
      <c r="L725" s="1333" t="s">
        <v>2480</v>
      </c>
      <c r="M725" s="1335">
        <v>2.0</v>
      </c>
    </row>
    <row r="726">
      <c r="A726" s="1333"/>
      <c r="B726" s="1333"/>
      <c r="C726" s="1333"/>
      <c r="D726" s="1333"/>
      <c r="E726" s="1333"/>
      <c r="F726" s="1333"/>
      <c r="G726" s="1333">
        <v>2023.0</v>
      </c>
      <c r="H726" s="1333" t="s">
        <v>728</v>
      </c>
      <c r="I726" s="1333" t="s">
        <v>4169</v>
      </c>
      <c r="J726" s="1333" t="s">
        <v>4161</v>
      </c>
      <c r="K726" s="1333" t="s">
        <v>1055</v>
      </c>
      <c r="L726" s="1333" t="s">
        <v>1724</v>
      </c>
      <c r="M726" s="1335">
        <v>1.0</v>
      </c>
    </row>
    <row r="727">
      <c r="A727" s="1333"/>
      <c r="B727" s="1333"/>
      <c r="C727" s="1333"/>
      <c r="D727" s="1333"/>
      <c r="E727" s="1333"/>
      <c r="F727" s="1333"/>
      <c r="G727" s="1333">
        <v>2023.0</v>
      </c>
      <c r="H727" s="1333" t="s">
        <v>729</v>
      </c>
      <c r="I727" s="1333" t="s">
        <v>4171</v>
      </c>
      <c r="J727" s="1333" t="s">
        <v>1058</v>
      </c>
      <c r="K727" s="1333" t="s">
        <v>4156</v>
      </c>
      <c r="L727" s="1333" t="s">
        <v>2480</v>
      </c>
      <c r="M727" s="1335">
        <v>3.0</v>
      </c>
    </row>
    <row r="728">
      <c r="A728" s="1333"/>
      <c r="B728" s="1333"/>
      <c r="C728" s="1333"/>
      <c r="D728" s="1333"/>
      <c r="E728" s="1333"/>
      <c r="F728" s="1333"/>
      <c r="G728" s="1333">
        <v>2023.0</v>
      </c>
      <c r="H728" s="1333" t="s">
        <v>729</v>
      </c>
      <c r="I728" s="1333" t="s">
        <v>4171</v>
      </c>
      <c r="J728" s="1333" t="s">
        <v>1058</v>
      </c>
      <c r="K728" s="1333" t="s">
        <v>4160</v>
      </c>
      <c r="L728" s="1333" t="s">
        <v>2480</v>
      </c>
      <c r="M728" s="1335">
        <v>2.0</v>
      </c>
    </row>
    <row r="729">
      <c r="A729" s="1333"/>
      <c r="B729" s="1333"/>
      <c r="C729" s="1333"/>
      <c r="D729" s="1333"/>
      <c r="E729" s="1333"/>
      <c r="F729" s="1333"/>
      <c r="G729" s="1333">
        <v>2023.0</v>
      </c>
      <c r="H729" s="1333" t="s">
        <v>729</v>
      </c>
      <c r="I729" s="1333" t="s">
        <v>4171</v>
      </c>
      <c r="J729" s="1333" t="s">
        <v>4161</v>
      </c>
      <c r="K729" s="1333" t="s">
        <v>1055</v>
      </c>
      <c r="L729" s="1333" t="s">
        <v>1724</v>
      </c>
      <c r="M729" s="1335">
        <v>4.0</v>
      </c>
    </row>
    <row r="730">
      <c r="A730" s="1333"/>
      <c r="B730" s="1333"/>
      <c r="C730" s="1333"/>
      <c r="D730" s="1333"/>
      <c r="E730" s="1333"/>
      <c r="F730" s="1333"/>
      <c r="G730" s="1333">
        <v>2023.0</v>
      </c>
      <c r="H730" s="1333" t="s">
        <v>729</v>
      </c>
      <c r="I730" s="1333" t="s">
        <v>4171</v>
      </c>
      <c r="J730" s="1333" t="s">
        <v>4161</v>
      </c>
      <c r="K730" s="1333" t="s">
        <v>4161</v>
      </c>
      <c r="L730" s="1333" t="s">
        <v>2480</v>
      </c>
      <c r="M730" s="1335">
        <v>3.0</v>
      </c>
    </row>
    <row r="731">
      <c r="A731" s="1333"/>
      <c r="B731" s="1333"/>
      <c r="C731" s="1333"/>
      <c r="D731" s="1333"/>
      <c r="E731" s="1333"/>
      <c r="F731" s="1333"/>
      <c r="G731" s="1333">
        <v>2023.0</v>
      </c>
      <c r="H731" s="1333" t="s">
        <v>144</v>
      </c>
      <c r="I731" s="1333" t="s">
        <v>4155</v>
      </c>
      <c r="J731" s="1333" t="s">
        <v>1058</v>
      </c>
      <c r="K731" s="1333" t="s">
        <v>4163</v>
      </c>
      <c r="L731" s="1333" t="s">
        <v>2480</v>
      </c>
      <c r="M731" s="1335">
        <v>5.0</v>
      </c>
    </row>
    <row r="732">
      <c r="A732" s="1333"/>
      <c r="B732" s="1333"/>
      <c r="C732" s="1333"/>
      <c r="D732" s="1333"/>
      <c r="E732" s="1333"/>
      <c r="F732" s="1333"/>
      <c r="G732" s="1333">
        <v>2023.0</v>
      </c>
      <c r="H732" s="1333" t="s">
        <v>144</v>
      </c>
      <c r="I732" s="1333" t="s">
        <v>4155</v>
      </c>
      <c r="J732" s="1333" t="s">
        <v>1058</v>
      </c>
      <c r="K732" s="1333" t="s">
        <v>4156</v>
      </c>
      <c r="L732" s="1333" t="s">
        <v>2480</v>
      </c>
      <c r="M732" s="1335">
        <v>40.0</v>
      </c>
    </row>
    <row r="733">
      <c r="A733" s="1333"/>
      <c r="B733" s="1333"/>
      <c r="C733" s="1333"/>
      <c r="D733" s="1333"/>
      <c r="E733" s="1333"/>
      <c r="F733" s="1333"/>
      <c r="G733" s="1333">
        <v>2023.0</v>
      </c>
      <c r="H733" s="1333" t="s">
        <v>144</v>
      </c>
      <c r="I733" s="1333" t="s">
        <v>4155</v>
      </c>
      <c r="J733" s="1333" t="s">
        <v>1058</v>
      </c>
      <c r="K733" s="1333" t="s">
        <v>4165</v>
      </c>
      <c r="L733" s="1333" t="s">
        <v>2480</v>
      </c>
      <c r="M733" s="1335">
        <v>2.0</v>
      </c>
    </row>
    <row r="734">
      <c r="A734" s="1333"/>
      <c r="B734" s="1333"/>
      <c r="C734" s="1333"/>
      <c r="D734" s="1333"/>
      <c r="E734" s="1333"/>
      <c r="F734" s="1333"/>
      <c r="G734" s="1333">
        <v>2023.0</v>
      </c>
      <c r="H734" s="1333" t="s">
        <v>144</v>
      </c>
      <c r="I734" s="1333" t="s">
        <v>4155</v>
      </c>
      <c r="J734" s="1333" t="s">
        <v>1058</v>
      </c>
      <c r="K734" s="1333" t="s">
        <v>4166</v>
      </c>
      <c r="L734" s="1333" t="s">
        <v>2480</v>
      </c>
      <c r="M734" s="1335">
        <v>2.0</v>
      </c>
    </row>
    <row r="735">
      <c r="A735" s="1333"/>
      <c r="B735" s="1333"/>
      <c r="C735" s="1333"/>
      <c r="D735" s="1333"/>
      <c r="E735" s="1333"/>
      <c r="F735" s="1333"/>
      <c r="G735" s="1333">
        <v>2023.0</v>
      </c>
      <c r="H735" s="1333" t="s">
        <v>144</v>
      </c>
      <c r="I735" s="1333" t="s">
        <v>4155</v>
      </c>
      <c r="J735" s="1333" t="s">
        <v>1058</v>
      </c>
      <c r="K735" s="1333" t="s">
        <v>4160</v>
      </c>
      <c r="L735" s="1333" t="s">
        <v>2480</v>
      </c>
      <c r="M735" s="1335">
        <v>6.0</v>
      </c>
    </row>
    <row r="736">
      <c r="A736" s="1333"/>
      <c r="B736" s="1333"/>
      <c r="C736" s="1333"/>
      <c r="D736" s="1333"/>
      <c r="E736" s="1333"/>
      <c r="F736" s="1333"/>
      <c r="G736" s="1333">
        <v>2023.0</v>
      </c>
      <c r="H736" s="1333" t="s">
        <v>144</v>
      </c>
      <c r="I736" s="1333" t="s">
        <v>4155</v>
      </c>
      <c r="J736" s="1333" t="s">
        <v>4161</v>
      </c>
      <c r="K736" s="1333" t="s">
        <v>1055</v>
      </c>
      <c r="L736" s="1333" t="s">
        <v>1724</v>
      </c>
      <c r="M736" s="1335">
        <v>23.0</v>
      </c>
    </row>
    <row r="737">
      <c r="A737" s="1333"/>
      <c r="B737" s="1333"/>
      <c r="C737" s="1333"/>
      <c r="D737" s="1333"/>
      <c r="E737" s="1333"/>
      <c r="F737" s="1333"/>
      <c r="G737" s="1333">
        <v>2023.0</v>
      </c>
      <c r="H737" s="1333" t="s">
        <v>144</v>
      </c>
      <c r="I737" s="1333" t="s">
        <v>4155</v>
      </c>
      <c r="J737" s="1333" t="s">
        <v>4161</v>
      </c>
      <c r="K737" s="1333" t="s">
        <v>4161</v>
      </c>
      <c r="L737" s="1333" t="s">
        <v>2480</v>
      </c>
      <c r="M737" s="1335">
        <v>1.0</v>
      </c>
    </row>
    <row r="738">
      <c r="A738" s="1333"/>
      <c r="B738" s="1333"/>
      <c r="C738" s="1333"/>
      <c r="D738" s="1333"/>
      <c r="E738" s="1333"/>
      <c r="F738" s="1333"/>
      <c r="G738" s="1333">
        <v>2023.0</v>
      </c>
      <c r="H738" s="1333" t="s">
        <v>2104</v>
      </c>
      <c r="I738" s="1333" t="s">
        <v>4170</v>
      </c>
      <c r="J738" s="1333" t="s">
        <v>1058</v>
      </c>
      <c r="K738" s="1333" t="s">
        <v>4163</v>
      </c>
      <c r="L738" s="1333" t="s">
        <v>2480</v>
      </c>
      <c r="M738" s="1335">
        <v>3.0</v>
      </c>
    </row>
    <row r="739">
      <c r="A739" s="1333"/>
      <c r="B739" s="1333"/>
      <c r="C739" s="1333"/>
      <c r="D739" s="1333"/>
      <c r="E739" s="1333"/>
      <c r="F739" s="1333"/>
      <c r="G739" s="1333">
        <v>2023.0</v>
      </c>
      <c r="H739" s="1333" t="s">
        <v>2104</v>
      </c>
      <c r="I739" s="1333" t="s">
        <v>4170</v>
      </c>
      <c r="J739" s="1333" t="s">
        <v>1058</v>
      </c>
      <c r="K739" s="1333" t="s">
        <v>4156</v>
      </c>
      <c r="L739" s="1333" t="s">
        <v>2480</v>
      </c>
      <c r="M739" s="1335">
        <v>5.0</v>
      </c>
    </row>
    <row r="740">
      <c r="A740" s="1333"/>
      <c r="B740" s="1333"/>
      <c r="C740" s="1333"/>
      <c r="D740" s="1333"/>
      <c r="E740" s="1333"/>
      <c r="F740" s="1333"/>
      <c r="G740" s="1333">
        <v>2023.0</v>
      </c>
      <c r="H740" s="1333" t="s">
        <v>2104</v>
      </c>
      <c r="I740" s="1333" t="s">
        <v>4170</v>
      </c>
      <c r="J740" s="1333" t="s">
        <v>1058</v>
      </c>
      <c r="K740" s="1333" t="s">
        <v>4157</v>
      </c>
      <c r="L740" s="1333" t="s">
        <v>1724</v>
      </c>
      <c r="M740" s="1335">
        <v>1.0</v>
      </c>
    </row>
    <row r="741">
      <c r="A741" s="1333"/>
      <c r="B741" s="1333"/>
      <c r="C741" s="1333"/>
      <c r="D741" s="1333"/>
      <c r="E741" s="1333"/>
      <c r="F741" s="1333"/>
      <c r="G741" s="1333">
        <v>2023.0</v>
      </c>
      <c r="H741" s="1333" t="s">
        <v>2104</v>
      </c>
      <c r="I741" s="1333" t="s">
        <v>4170</v>
      </c>
      <c r="J741" s="1333" t="s">
        <v>1058</v>
      </c>
      <c r="K741" s="1333" t="s">
        <v>4166</v>
      </c>
      <c r="L741" s="1333" t="s">
        <v>2480</v>
      </c>
      <c r="M741" s="1335">
        <v>1.0</v>
      </c>
    </row>
    <row r="742">
      <c r="A742" s="1333"/>
      <c r="B742" s="1333"/>
      <c r="C742" s="1333"/>
      <c r="D742" s="1333"/>
      <c r="E742" s="1333"/>
      <c r="F742" s="1333"/>
      <c r="G742" s="1333">
        <v>2023.0</v>
      </c>
      <c r="H742" s="1333" t="s">
        <v>2104</v>
      </c>
      <c r="I742" s="1333" t="s">
        <v>4170</v>
      </c>
      <c r="J742" s="1333" t="s">
        <v>4161</v>
      </c>
      <c r="K742" s="1333" t="s">
        <v>1055</v>
      </c>
      <c r="L742" s="1333" t="s">
        <v>1724</v>
      </c>
      <c r="M742" s="1335">
        <v>3.0</v>
      </c>
    </row>
    <row r="743">
      <c r="A743" s="1333"/>
      <c r="B743" s="1333"/>
      <c r="C743" s="1333"/>
      <c r="D743" s="1333"/>
      <c r="E743" s="1333"/>
      <c r="F743" s="1333"/>
      <c r="G743" s="1333">
        <v>2023.0</v>
      </c>
      <c r="H743" s="1333" t="s">
        <v>2105</v>
      </c>
      <c r="I743" s="1333" t="s">
        <v>4173</v>
      </c>
      <c r="J743" s="1333" t="s">
        <v>1058</v>
      </c>
      <c r="K743" s="1333" t="s">
        <v>4163</v>
      </c>
      <c r="L743" s="1333" t="s">
        <v>2480</v>
      </c>
      <c r="M743" s="1335">
        <v>3.0</v>
      </c>
    </row>
    <row r="744">
      <c r="A744" s="1333"/>
      <c r="B744" s="1333"/>
      <c r="C744" s="1333"/>
      <c r="D744" s="1333"/>
      <c r="E744" s="1333"/>
      <c r="F744" s="1333"/>
      <c r="G744" s="1333">
        <v>2023.0</v>
      </c>
      <c r="H744" s="1333" t="s">
        <v>2105</v>
      </c>
      <c r="I744" s="1333" t="s">
        <v>4173</v>
      </c>
      <c r="J744" s="1333" t="s">
        <v>1058</v>
      </c>
      <c r="K744" s="1333" t="s">
        <v>4156</v>
      </c>
      <c r="L744" s="1333" t="s">
        <v>2480</v>
      </c>
      <c r="M744" s="1335">
        <v>6.0</v>
      </c>
    </row>
    <row r="745">
      <c r="A745" s="1333"/>
      <c r="B745" s="1333"/>
      <c r="C745" s="1333"/>
      <c r="D745" s="1333"/>
      <c r="E745" s="1333"/>
      <c r="F745" s="1333"/>
      <c r="G745" s="1333">
        <v>2023.0</v>
      </c>
      <c r="H745" s="1333" t="s">
        <v>2105</v>
      </c>
      <c r="I745" s="1333" t="s">
        <v>4173</v>
      </c>
      <c r="J745" s="1333" t="s">
        <v>1058</v>
      </c>
      <c r="K745" s="1333" t="s">
        <v>4159</v>
      </c>
      <c r="L745" s="1333" t="s">
        <v>1724</v>
      </c>
      <c r="M745" s="1335">
        <v>2.0</v>
      </c>
    </row>
    <row r="746">
      <c r="A746" s="1333"/>
      <c r="B746" s="1333"/>
      <c r="C746" s="1333"/>
      <c r="D746" s="1333"/>
      <c r="E746" s="1333"/>
      <c r="F746" s="1333"/>
      <c r="G746" s="1333">
        <v>2023.0</v>
      </c>
      <c r="H746" s="1333" t="s">
        <v>2105</v>
      </c>
      <c r="I746" s="1333" t="s">
        <v>4173</v>
      </c>
      <c r="J746" s="1333" t="s">
        <v>1058</v>
      </c>
      <c r="K746" s="1333" t="s">
        <v>4165</v>
      </c>
      <c r="L746" s="1333" t="s">
        <v>2480</v>
      </c>
      <c r="M746" s="1335">
        <v>1.0</v>
      </c>
    </row>
    <row r="747">
      <c r="A747" s="1333"/>
      <c r="B747" s="1333"/>
      <c r="C747" s="1333"/>
      <c r="D747" s="1333"/>
      <c r="E747" s="1333"/>
      <c r="F747" s="1333"/>
      <c r="G747" s="1333">
        <v>2023.0</v>
      </c>
      <c r="H747" s="1333" t="s">
        <v>2105</v>
      </c>
      <c r="I747" s="1333" t="s">
        <v>4173</v>
      </c>
      <c r="J747" s="1333" t="s">
        <v>4161</v>
      </c>
      <c r="K747" s="1333" t="s">
        <v>1055</v>
      </c>
      <c r="L747" s="1333" t="s">
        <v>1724</v>
      </c>
      <c r="M747" s="1335">
        <v>21.0</v>
      </c>
    </row>
    <row r="748">
      <c r="A748" s="1333"/>
      <c r="B748" s="1333"/>
      <c r="C748" s="1333"/>
      <c r="D748" s="1333"/>
      <c r="E748" s="1333"/>
      <c r="F748" s="1333"/>
      <c r="G748" s="1333">
        <v>2023.0</v>
      </c>
      <c r="H748" s="1333" t="s">
        <v>2106</v>
      </c>
      <c r="I748" s="1333" t="s">
        <v>4171</v>
      </c>
      <c r="J748" s="1333" t="s">
        <v>1058</v>
      </c>
      <c r="K748" s="1333" t="s">
        <v>4163</v>
      </c>
      <c r="L748" s="1333" t="s">
        <v>2480</v>
      </c>
      <c r="M748" s="1335">
        <v>1.0</v>
      </c>
    </row>
    <row r="749">
      <c r="A749" s="1333"/>
      <c r="B749" s="1333"/>
      <c r="C749" s="1333"/>
      <c r="D749" s="1333"/>
      <c r="E749" s="1333"/>
      <c r="F749" s="1333"/>
      <c r="G749" s="1333">
        <v>2023.0</v>
      </c>
      <c r="H749" s="1333" t="s">
        <v>2106</v>
      </c>
      <c r="I749" s="1333" t="s">
        <v>4171</v>
      </c>
      <c r="J749" s="1333" t="s">
        <v>1058</v>
      </c>
      <c r="K749" s="1333" t="s">
        <v>4160</v>
      </c>
      <c r="L749" s="1333" t="s">
        <v>2480</v>
      </c>
      <c r="M749" s="1335">
        <v>1.0</v>
      </c>
    </row>
    <row r="750">
      <c r="A750" s="1333"/>
      <c r="B750" s="1333"/>
      <c r="C750" s="1333"/>
      <c r="D750" s="1333"/>
      <c r="E750" s="1333"/>
      <c r="F750" s="1333"/>
      <c r="G750" s="1333">
        <v>2023.0</v>
      </c>
      <c r="H750" s="1333" t="s">
        <v>147</v>
      </c>
      <c r="I750" s="1333" t="s">
        <v>4173</v>
      </c>
      <c r="J750" s="1333" t="s">
        <v>1058</v>
      </c>
      <c r="K750" s="1333" t="s">
        <v>4156</v>
      </c>
      <c r="L750" s="1333" t="s">
        <v>2480</v>
      </c>
      <c r="M750" s="1335">
        <v>1.0</v>
      </c>
    </row>
    <row r="751">
      <c r="A751" s="1333"/>
      <c r="B751" s="1333"/>
      <c r="C751" s="1333"/>
      <c r="D751" s="1333"/>
      <c r="E751" s="1333"/>
      <c r="F751" s="1333"/>
      <c r="G751" s="1333">
        <v>2023.0</v>
      </c>
      <c r="H751" s="1333" t="s">
        <v>147</v>
      </c>
      <c r="I751" s="1333" t="s">
        <v>4173</v>
      </c>
      <c r="J751" s="1333" t="s">
        <v>1058</v>
      </c>
      <c r="K751" s="1333" t="s">
        <v>4157</v>
      </c>
      <c r="L751" s="1333" t="s">
        <v>1724</v>
      </c>
      <c r="M751" s="1335">
        <v>2.0</v>
      </c>
    </row>
    <row r="752">
      <c r="A752" s="1333"/>
      <c r="B752" s="1333"/>
      <c r="C752" s="1333"/>
      <c r="D752" s="1333"/>
      <c r="E752" s="1333"/>
      <c r="F752" s="1333"/>
      <c r="G752" s="1333">
        <v>2023.0</v>
      </c>
      <c r="H752" s="1333" t="s">
        <v>147</v>
      </c>
      <c r="I752" s="1333" t="s">
        <v>4173</v>
      </c>
      <c r="J752" s="1333" t="s">
        <v>1058</v>
      </c>
      <c r="K752" s="1333" t="s">
        <v>4159</v>
      </c>
      <c r="L752" s="1333" t="s">
        <v>1724</v>
      </c>
      <c r="M752" s="1335">
        <v>2.0</v>
      </c>
    </row>
    <row r="753">
      <c r="A753" s="1333"/>
      <c r="B753" s="1333"/>
      <c r="C753" s="1333"/>
      <c r="D753" s="1333"/>
      <c r="E753" s="1333"/>
      <c r="F753" s="1333"/>
      <c r="G753" s="1333">
        <v>2023.0</v>
      </c>
      <c r="H753" s="1333" t="s">
        <v>147</v>
      </c>
      <c r="I753" s="1333" t="s">
        <v>4173</v>
      </c>
      <c r="J753" s="1333" t="s">
        <v>1058</v>
      </c>
      <c r="K753" s="1333" t="s">
        <v>4160</v>
      </c>
      <c r="L753" s="1333" t="s">
        <v>2480</v>
      </c>
      <c r="M753" s="1335">
        <v>1.0</v>
      </c>
    </row>
    <row r="754">
      <c r="A754" s="1333"/>
      <c r="B754" s="1333"/>
      <c r="C754" s="1333"/>
      <c r="D754" s="1333"/>
      <c r="E754" s="1333"/>
      <c r="F754" s="1333"/>
      <c r="G754" s="1333">
        <v>2023.0</v>
      </c>
      <c r="H754" s="1333" t="s">
        <v>147</v>
      </c>
      <c r="I754" s="1333" t="s">
        <v>4173</v>
      </c>
      <c r="J754" s="1333" t="s">
        <v>4161</v>
      </c>
      <c r="K754" s="1333" t="s">
        <v>4167</v>
      </c>
      <c r="L754" s="1333" t="s">
        <v>2480</v>
      </c>
      <c r="M754" s="1335">
        <v>1.0</v>
      </c>
    </row>
    <row r="755">
      <c r="A755" s="1333"/>
      <c r="B755" s="1333"/>
      <c r="C755" s="1333"/>
      <c r="D755" s="1333"/>
      <c r="E755" s="1333"/>
      <c r="F755" s="1333"/>
      <c r="G755" s="1333">
        <v>2023.0</v>
      </c>
      <c r="H755" s="1333" t="s">
        <v>147</v>
      </c>
      <c r="I755" s="1333" t="s">
        <v>4173</v>
      </c>
      <c r="J755" s="1333" t="s">
        <v>4161</v>
      </c>
      <c r="K755" s="1333" t="s">
        <v>1055</v>
      </c>
      <c r="L755" s="1333" t="s">
        <v>1724</v>
      </c>
      <c r="M755" s="1335">
        <v>4.0</v>
      </c>
    </row>
    <row r="756">
      <c r="A756" s="1333"/>
      <c r="B756" s="1333"/>
      <c r="C756" s="1333"/>
      <c r="D756" s="1333"/>
      <c r="E756" s="1333"/>
      <c r="F756" s="1333"/>
      <c r="G756" s="1333">
        <v>2023.0</v>
      </c>
      <c r="H756" s="1333" t="s">
        <v>147</v>
      </c>
      <c r="I756" s="1333" t="s">
        <v>4173</v>
      </c>
      <c r="J756" s="1333" t="s">
        <v>4161</v>
      </c>
      <c r="K756" s="1333" t="s">
        <v>4161</v>
      </c>
      <c r="L756" s="1333" t="s">
        <v>2480</v>
      </c>
      <c r="M756" s="1335">
        <v>1.0</v>
      </c>
    </row>
    <row r="757">
      <c r="A757" s="1333"/>
      <c r="B757" s="1333"/>
      <c r="C757" s="1333"/>
      <c r="D757" s="1333"/>
      <c r="E757" s="1333"/>
      <c r="F757" s="1333"/>
      <c r="G757" s="1333">
        <v>2023.0</v>
      </c>
      <c r="H757" s="1333" t="s">
        <v>505</v>
      </c>
      <c r="I757" s="1333" t="s">
        <v>4173</v>
      </c>
      <c r="J757" s="1333" t="s">
        <v>1058</v>
      </c>
      <c r="K757" s="1333" t="s">
        <v>4156</v>
      </c>
      <c r="L757" s="1333" t="s">
        <v>2480</v>
      </c>
      <c r="M757" s="1335">
        <v>5.0</v>
      </c>
    </row>
    <row r="758">
      <c r="A758" s="1333"/>
      <c r="B758" s="1333"/>
      <c r="C758" s="1333"/>
      <c r="D758" s="1333"/>
      <c r="E758" s="1333"/>
      <c r="F758" s="1333"/>
      <c r="G758" s="1333">
        <v>2023.0</v>
      </c>
      <c r="H758" s="1333" t="s">
        <v>505</v>
      </c>
      <c r="I758" s="1333" t="s">
        <v>4173</v>
      </c>
      <c r="J758" s="1333" t="s">
        <v>1058</v>
      </c>
      <c r="K758" s="1333" t="s">
        <v>4161</v>
      </c>
      <c r="L758" s="1333" t="s">
        <v>2480</v>
      </c>
      <c r="M758" s="1335">
        <v>1.0</v>
      </c>
    </row>
    <row r="759">
      <c r="A759" s="1333"/>
      <c r="B759" s="1333"/>
      <c r="C759" s="1333"/>
      <c r="D759" s="1333"/>
      <c r="E759" s="1333"/>
      <c r="F759" s="1333"/>
      <c r="G759" s="1333">
        <v>2023.0</v>
      </c>
      <c r="H759" s="1333" t="s">
        <v>505</v>
      </c>
      <c r="I759" s="1333" t="s">
        <v>4173</v>
      </c>
      <c r="J759" s="1333" t="s">
        <v>1058</v>
      </c>
      <c r="K759" s="1333" t="s">
        <v>4160</v>
      </c>
      <c r="L759" s="1333" t="s">
        <v>2480</v>
      </c>
      <c r="M759" s="1335">
        <v>1.0</v>
      </c>
    </row>
    <row r="760">
      <c r="A760" s="1333"/>
      <c r="B760" s="1333"/>
      <c r="C760" s="1333"/>
      <c r="D760" s="1333"/>
      <c r="E760" s="1333"/>
      <c r="F760" s="1333"/>
      <c r="G760" s="1333">
        <v>2023.0</v>
      </c>
      <c r="H760" s="1333" t="s">
        <v>505</v>
      </c>
      <c r="I760" s="1333" t="s">
        <v>4173</v>
      </c>
      <c r="J760" s="1333" t="s">
        <v>4161</v>
      </c>
      <c r="K760" s="1333" t="s">
        <v>1055</v>
      </c>
      <c r="L760" s="1333" t="s">
        <v>1724</v>
      </c>
      <c r="M760" s="1335">
        <v>19.0</v>
      </c>
    </row>
    <row r="761">
      <c r="A761" s="1333"/>
      <c r="B761" s="1333"/>
      <c r="C761" s="1333"/>
      <c r="D761" s="1333"/>
      <c r="E761" s="1333"/>
      <c r="F761" s="1333"/>
      <c r="G761" s="1333">
        <v>2023.0</v>
      </c>
      <c r="H761" s="1333" t="s">
        <v>508</v>
      </c>
      <c r="I761" s="1333" t="s">
        <v>4172</v>
      </c>
      <c r="J761" s="1333" t="s">
        <v>1058</v>
      </c>
      <c r="K761" s="1333" t="s">
        <v>4163</v>
      </c>
      <c r="L761" s="1333" t="s">
        <v>2480</v>
      </c>
      <c r="M761" s="1335">
        <v>3.0</v>
      </c>
    </row>
    <row r="762">
      <c r="A762" s="1333"/>
      <c r="B762" s="1333"/>
      <c r="C762" s="1333"/>
      <c r="D762" s="1333"/>
      <c r="E762" s="1333"/>
      <c r="F762" s="1333"/>
      <c r="G762" s="1333">
        <v>2023.0</v>
      </c>
      <c r="H762" s="1333" t="s">
        <v>508</v>
      </c>
      <c r="I762" s="1333" t="s">
        <v>4172</v>
      </c>
      <c r="J762" s="1333" t="s">
        <v>1058</v>
      </c>
      <c r="K762" s="1333" t="s">
        <v>4156</v>
      </c>
      <c r="L762" s="1333" t="s">
        <v>2480</v>
      </c>
      <c r="M762" s="1335">
        <v>12.0</v>
      </c>
    </row>
    <row r="763">
      <c r="A763" s="1333"/>
      <c r="B763" s="1333"/>
      <c r="C763" s="1333"/>
      <c r="D763" s="1333"/>
      <c r="E763" s="1333"/>
      <c r="F763" s="1333"/>
      <c r="G763" s="1333">
        <v>2023.0</v>
      </c>
      <c r="H763" s="1333" t="s">
        <v>508</v>
      </c>
      <c r="I763" s="1333" t="s">
        <v>4172</v>
      </c>
      <c r="J763" s="1333" t="s">
        <v>1058</v>
      </c>
      <c r="K763" s="1333" t="s">
        <v>4159</v>
      </c>
      <c r="L763" s="1333" t="s">
        <v>1724</v>
      </c>
      <c r="M763" s="1335">
        <v>4.0</v>
      </c>
    </row>
    <row r="764">
      <c r="A764" s="1333"/>
      <c r="B764" s="1333"/>
      <c r="C764" s="1333"/>
      <c r="D764" s="1333"/>
      <c r="E764" s="1333"/>
      <c r="F764" s="1333"/>
      <c r="G764" s="1333">
        <v>2023.0</v>
      </c>
      <c r="H764" s="1333" t="s">
        <v>508</v>
      </c>
      <c r="I764" s="1333" t="s">
        <v>4172</v>
      </c>
      <c r="J764" s="1333" t="s">
        <v>1058</v>
      </c>
      <c r="K764" s="1333" t="s">
        <v>4165</v>
      </c>
      <c r="L764" s="1333" t="s">
        <v>2480</v>
      </c>
      <c r="M764" s="1335">
        <v>3.0</v>
      </c>
    </row>
    <row r="765">
      <c r="A765" s="1333"/>
      <c r="B765" s="1333"/>
      <c r="C765" s="1333"/>
      <c r="D765" s="1333"/>
      <c r="E765" s="1333"/>
      <c r="F765" s="1333"/>
      <c r="G765" s="1333">
        <v>2023.0</v>
      </c>
      <c r="H765" s="1333" t="s">
        <v>508</v>
      </c>
      <c r="I765" s="1333" t="s">
        <v>4172</v>
      </c>
      <c r="J765" s="1333" t="s">
        <v>1058</v>
      </c>
      <c r="K765" s="1333" t="s">
        <v>4166</v>
      </c>
      <c r="L765" s="1333" t="s">
        <v>2480</v>
      </c>
      <c r="M765" s="1335">
        <v>4.0</v>
      </c>
    </row>
    <row r="766">
      <c r="A766" s="1333"/>
      <c r="B766" s="1333"/>
      <c r="C766" s="1333"/>
      <c r="D766" s="1333"/>
      <c r="E766" s="1333"/>
      <c r="F766" s="1333"/>
      <c r="G766" s="1333">
        <v>2023.0</v>
      </c>
      <c r="H766" s="1333" t="s">
        <v>508</v>
      </c>
      <c r="I766" s="1333" t="s">
        <v>4172</v>
      </c>
      <c r="J766" s="1333" t="s">
        <v>1058</v>
      </c>
      <c r="K766" s="1333" t="s">
        <v>4160</v>
      </c>
      <c r="L766" s="1333" t="s">
        <v>2480</v>
      </c>
      <c r="M766" s="1335">
        <v>3.0</v>
      </c>
    </row>
    <row r="767">
      <c r="A767" s="1333"/>
      <c r="B767" s="1333"/>
      <c r="C767" s="1333"/>
      <c r="D767" s="1333"/>
      <c r="E767" s="1333"/>
      <c r="F767" s="1333"/>
      <c r="G767" s="1333">
        <v>2023.0</v>
      </c>
      <c r="H767" s="1333" t="s">
        <v>508</v>
      </c>
      <c r="I767" s="1333" t="s">
        <v>4172</v>
      </c>
      <c r="J767" s="1333" t="s">
        <v>4161</v>
      </c>
      <c r="K767" s="1333" t="s">
        <v>1055</v>
      </c>
      <c r="L767" s="1333" t="s">
        <v>1724</v>
      </c>
      <c r="M767" s="1335">
        <v>4.0</v>
      </c>
    </row>
    <row r="768">
      <c r="A768" s="1333"/>
      <c r="B768" s="1333"/>
      <c r="C768" s="1333"/>
      <c r="D768" s="1333"/>
      <c r="E768" s="1333"/>
      <c r="F768" s="1333"/>
      <c r="G768" s="1333">
        <v>2023.0</v>
      </c>
      <c r="H768" s="1333" t="s">
        <v>508</v>
      </c>
      <c r="I768" s="1333" t="s">
        <v>4172</v>
      </c>
      <c r="J768" s="1333" t="s">
        <v>4161</v>
      </c>
      <c r="K768" s="1333" t="s">
        <v>4161</v>
      </c>
      <c r="L768" s="1333" t="s">
        <v>2480</v>
      </c>
      <c r="M768" s="1335">
        <v>1.0</v>
      </c>
    </row>
    <row r="769">
      <c r="A769" s="1333"/>
      <c r="B769" s="1333"/>
      <c r="C769" s="1333"/>
      <c r="D769" s="1333"/>
      <c r="E769" s="1333"/>
      <c r="F769" s="1333"/>
      <c r="G769" s="1333">
        <v>2023.0</v>
      </c>
      <c r="H769" s="1333" t="s">
        <v>148</v>
      </c>
      <c r="I769" s="1333" t="s">
        <v>4173</v>
      </c>
      <c r="J769" s="1333" t="s">
        <v>1058</v>
      </c>
      <c r="K769" s="1333" t="s">
        <v>4163</v>
      </c>
      <c r="L769" s="1333" t="s">
        <v>2480</v>
      </c>
      <c r="M769" s="1335">
        <v>2.0</v>
      </c>
    </row>
    <row r="770">
      <c r="A770" s="1333"/>
      <c r="B770" s="1333"/>
      <c r="C770" s="1333"/>
      <c r="D770" s="1333"/>
      <c r="E770" s="1333"/>
      <c r="F770" s="1333"/>
      <c r="G770" s="1333">
        <v>2023.0</v>
      </c>
      <c r="H770" s="1333" t="s">
        <v>148</v>
      </c>
      <c r="I770" s="1333" t="s">
        <v>4173</v>
      </c>
      <c r="J770" s="1333" t="s">
        <v>1058</v>
      </c>
      <c r="K770" s="1333" t="s">
        <v>4156</v>
      </c>
      <c r="L770" s="1333" t="s">
        <v>2480</v>
      </c>
      <c r="M770" s="1335">
        <v>13.0</v>
      </c>
    </row>
    <row r="771">
      <c r="A771" s="1333"/>
      <c r="B771" s="1333"/>
      <c r="C771" s="1333"/>
      <c r="D771" s="1333"/>
      <c r="E771" s="1333"/>
      <c r="F771" s="1333"/>
      <c r="G771" s="1333">
        <v>2023.0</v>
      </c>
      <c r="H771" s="1333" t="s">
        <v>148</v>
      </c>
      <c r="I771" s="1333" t="s">
        <v>4173</v>
      </c>
      <c r="J771" s="1333" t="s">
        <v>1058</v>
      </c>
      <c r="K771" s="1333" t="s">
        <v>4157</v>
      </c>
      <c r="L771" s="1333" t="s">
        <v>1724</v>
      </c>
      <c r="M771" s="1335">
        <v>1.0</v>
      </c>
    </row>
    <row r="772">
      <c r="A772" s="1333"/>
      <c r="B772" s="1333"/>
      <c r="C772" s="1333"/>
      <c r="D772" s="1333"/>
      <c r="E772" s="1333"/>
      <c r="F772" s="1333"/>
      <c r="G772" s="1333">
        <v>2023.0</v>
      </c>
      <c r="H772" s="1333" t="s">
        <v>148</v>
      </c>
      <c r="I772" s="1333" t="s">
        <v>4173</v>
      </c>
      <c r="J772" s="1333" t="s">
        <v>4161</v>
      </c>
      <c r="K772" s="1333" t="s">
        <v>1055</v>
      </c>
      <c r="L772" s="1333" t="s">
        <v>1724</v>
      </c>
      <c r="M772" s="1335">
        <v>20.0</v>
      </c>
    </row>
    <row r="773">
      <c r="A773" s="1333"/>
      <c r="B773" s="1333"/>
      <c r="C773" s="1333"/>
      <c r="D773" s="1333"/>
      <c r="E773" s="1333"/>
      <c r="F773" s="1333"/>
      <c r="G773" s="1333">
        <v>2023.0</v>
      </c>
      <c r="H773" s="1333" t="s">
        <v>2107</v>
      </c>
      <c r="I773" s="1333" t="s">
        <v>4170</v>
      </c>
      <c r="J773" s="1333" t="s">
        <v>1058</v>
      </c>
      <c r="K773" s="1333" t="s">
        <v>4161</v>
      </c>
      <c r="L773" s="1333" t="s">
        <v>2480</v>
      </c>
      <c r="M773" s="1335">
        <v>1.0</v>
      </c>
    </row>
    <row r="774">
      <c r="A774" s="1333"/>
      <c r="B774" s="1333"/>
      <c r="C774" s="1333"/>
      <c r="D774" s="1333"/>
      <c r="E774" s="1333"/>
      <c r="F774" s="1333"/>
      <c r="G774" s="1333">
        <v>2023.0</v>
      </c>
      <c r="H774" s="1333" t="s">
        <v>2108</v>
      </c>
      <c r="I774" s="1333" t="s">
        <v>4168</v>
      </c>
      <c r="J774" s="1333" t="s">
        <v>1058</v>
      </c>
      <c r="K774" s="1333" t="s">
        <v>4156</v>
      </c>
      <c r="L774" s="1333" t="s">
        <v>2480</v>
      </c>
      <c r="M774" s="1335">
        <v>3.0</v>
      </c>
    </row>
    <row r="775">
      <c r="A775" s="1333"/>
      <c r="B775" s="1333"/>
      <c r="C775" s="1333"/>
      <c r="D775" s="1333"/>
      <c r="E775" s="1333"/>
      <c r="F775" s="1333"/>
      <c r="G775" s="1333">
        <v>2023.0</v>
      </c>
      <c r="H775" s="1333" t="s">
        <v>2108</v>
      </c>
      <c r="I775" s="1333" t="s">
        <v>4168</v>
      </c>
      <c r="J775" s="1333" t="s">
        <v>1058</v>
      </c>
      <c r="K775" s="1333" t="s">
        <v>4166</v>
      </c>
      <c r="L775" s="1333" t="s">
        <v>2480</v>
      </c>
      <c r="M775" s="1335">
        <v>1.0</v>
      </c>
    </row>
    <row r="776">
      <c r="A776" s="1333"/>
      <c r="B776" s="1333"/>
      <c r="C776" s="1333"/>
      <c r="D776" s="1333"/>
      <c r="E776" s="1333"/>
      <c r="F776" s="1333"/>
      <c r="G776" s="1333">
        <v>2023.0</v>
      </c>
      <c r="H776" s="1333" t="s">
        <v>2108</v>
      </c>
      <c r="I776" s="1333" t="s">
        <v>4168</v>
      </c>
      <c r="J776" s="1333" t="s">
        <v>4161</v>
      </c>
      <c r="K776" s="1333" t="s">
        <v>1055</v>
      </c>
      <c r="L776" s="1333" t="s">
        <v>1724</v>
      </c>
      <c r="M776" s="1335">
        <v>2.0</v>
      </c>
    </row>
    <row r="777">
      <c r="A777" s="1333"/>
      <c r="B777" s="1333"/>
      <c r="C777" s="1333"/>
      <c r="D777" s="1333"/>
      <c r="E777" s="1333"/>
      <c r="F777" s="1333"/>
      <c r="G777" s="1333">
        <v>2023.0</v>
      </c>
      <c r="H777" s="1333" t="s">
        <v>2109</v>
      </c>
      <c r="I777" s="1333" t="s">
        <v>4173</v>
      </c>
      <c r="J777" s="1333" t="s">
        <v>1058</v>
      </c>
      <c r="K777" s="1333" t="s">
        <v>4163</v>
      </c>
      <c r="L777" s="1333" t="s">
        <v>2480</v>
      </c>
      <c r="M777" s="1335">
        <v>1.0</v>
      </c>
    </row>
    <row r="778">
      <c r="A778" s="1333"/>
      <c r="B778" s="1333"/>
      <c r="C778" s="1333"/>
      <c r="D778" s="1333"/>
      <c r="E778" s="1333"/>
      <c r="F778" s="1333"/>
      <c r="G778" s="1333">
        <v>2023.0</v>
      </c>
      <c r="H778" s="1333" t="s">
        <v>2109</v>
      </c>
      <c r="I778" s="1333" t="s">
        <v>4173</v>
      </c>
      <c r="J778" s="1333" t="s">
        <v>1058</v>
      </c>
      <c r="K778" s="1333" t="s">
        <v>4156</v>
      </c>
      <c r="L778" s="1333" t="s">
        <v>2480</v>
      </c>
      <c r="M778" s="1335">
        <v>6.0</v>
      </c>
    </row>
    <row r="779">
      <c r="A779" s="1333"/>
      <c r="B779" s="1333"/>
      <c r="C779" s="1333"/>
      <c r="D779" s="1333"/>
      <c r="E779" s="1333"/>
      <c r="F779" s="1333"/>
      <c r="G779" s="1333">
        <v>2023.0</v>
      </c>
      <c r="H779" s="1333" t="s">
        <v>2109</v>
      </c>
      <c r="I779" s="1333" t="s">
        <v>4173</v>
      </c>
      <c r="J779" s="1333" t="s">
        <v>1058</v>
      </c>
      <c r="K779" s="1333" t="s">
        <v>4157</v>
      </c>
      <c r="L779" s="1333" t="s">
        <v>1724</v>
      </c>
      <c r="M779" s="1335">
        <v>1.0</v>
      </c>
    </row>
    <row r="780">
      <c r="A780" s="1333"/>
      <c r="B780" s="1333"/>
      <c r="C780" s="1333"/>
      <c r="D780" s="1333"/>
      <c r="E780" s="1333"/>
      <c r="F780" s="1333"/>
      <c r="G780" s="1333">
        <v>2023.0</v>
      </c>
      <c r="H780" s="1333" t="s">
        <v>2109</v>
      </c>
      <c r="I780" s="1333" t="s">
        <v>4173</v>
      </c>
      <c r="J780" s="1333" t="s">
        <v>1058</v>
      </c>
      <c r="K780" s="1333" t="s">
        <v>4166</v>
      </c>
      <c r="L780" s="1333" t="s">
        <v>2480</v>
      </c>
      <c r="M780" s="1335">
        <v>3.0</v>
      </c>
    </row>
    <row r="781">
      <c r="A781" s="1333"/>
      <c r="B781" s="1333"/>
      <c r="C781" s="1333"/>
      <c r="D781" s="1333"/>
      <c r="E781" s="1333"/>
      <c r="F781" s="1333"/>
      <c r="G781" s="1333">
        <v>2023.0</v>
      </c>
      <c r="H781" s="1333" t="s">
        <v>2109</v>
      </c>
      <c r="I781" s="1333" t="s">
        <v>4173</v>
      </c>
      <c r="J781" s="1333" t="s">
        <v>1058</v>
      </c>
      <c r="K781" s="1333" t="s">
        <v>4160</v>
      </c>
      <c r="L781" s="1333" t="s">
        <v>2480</v>
      </c>
      <c r="M781" s="1335">
        <v>1.0</v>
      </c>
    </row>
    <row r="782">
      <c r="A782" s="1333"/>
      <c r="B782" s="1333"/>
      <c r="C782" s="1333"/>
      <c r="D782" s="1333"/>
      <c r="E782" s="1333"/>
      <c r="F782" s="1333"/>
      <c r="G782" s="1333">
        <v>2023.0</v>
      </c>
      <c r="H782" s="1333" t="s">
        <v>2109</v>
      </c>
      <c r="I782" s="1333" t="s">
        <v>4173</v>
      </c>
      <c r="J782" s="1333" t="s">
        <v>4161</v>
      </c>
      <c r="K782" s="1333" t="s">
        <v>1055</v>
      </c>
      <c r="L782" s="1333" t="s">
        <v>1724</v>
      </c>
      <c r="M782" s="1335">
        <v>27.0</v>
      </c>
    </row>
    <row r="783">
      <c r="A783" s="1333"/>
      <c r="B783" s="1333"/>
      <c r="C783" s="1333"/>
      <c r="D783" s="1333"/>
      <c r="E783" s="1333"/>
      <c r="F783" s="1333"/>
      <c r="G783" s="1333">
        <v>2023.0</v>
      </c>
      <c r="H783" s="1333" t="s">
        <v>2109</v>
      </c>
      <c r="I783" s="1333" t="s">
        <v>4173</v>
      </c>
      <c r="J783" s="1333" t="s">
        <v>4161</v>
      </c>
      <c r="K783" s="1333" t="s">
        <v>4161</v>
      </c>
      <c r="L783" s="1333" t="s">
        <v>2480</v>
      </c>
      <c r="M783" s="1335">
        <v>3.0</v>
      </c>
    </row>
    <row r="784">
      <c r="A784" s="1333"/>
      <c r="B784" s="1333"/>
      <c r="C784" s="1333"/>
      <c r="D784" s="1333"/>
      <c r="E784" s="1333"/>
      <c r="F784" s="1333"/>
      <c r="G784" s="1333">
        <v>2023.0</v>
      </c>
      <c r="H784" s="1333" t="s">
        <v>2111</v>
      </c>
      <c r="I784" s="1333" t="s">
        <v>4170</v>
      </c>
      <c r="J784" s="1333" t="s">
        <v>1058</v>
      </c>
      <c r="K784" s="1333" t="s">
        <v>4163</v>
      </c>
      <c r="L784" s="1333" t="s">
        <v>2480</v>
      </c>
      <c r="M784" s="1335">
        <v>40.0</v>
      </c>
    </row>
    <row r="785">
      <c r="A785" s="1333"/>
      <c r="B785" s="1333"/>
      <c r="C785" s="1333"/>
      <c r="D785" s="1333"/>
      <c r="E785" s="1333"/>
      <c r="F785" s="1333"/>
      <c r="G785" s="1333">
        <v>2023.0</v>
      </c>
      <c r="H785" s="1333" t="s">
        <v>2111</v>
      </c>
      <c r="I785" s="1333" t="s">
        <v>4170</v>
      </c>
      <c r="J785" s="1333" t="s">
        <v>1058</v>
      </c>
      <c r="K785" s="1333" t="s">
        <v>4156</v>
      </c>
      <c r="L785" s="1333" t="s">
        <v>2480</v>
      </c>
      <c r="M785" s="1335">
        <v>173.0</v>
      </c>
    </row>
    <row r="786">
      <c r="A786" s="1333"/>
      <c r="B786" s="1333"/>
      <c r="C786" s="1333"/>
      <c r="D786" s="1333"/>
      <c r="E786" s="1333"/>
      <c r="F786" s="1333"/>
      <c r="G786" s="1333">
        <v>2023.0</v>
      </c>
      <c r="H786" s="1333" t="s">
        <v>2111</v>
      </c>
      <c r="I786" s="1333" t="s">
        <v>4170</v>
      </c>
      <c r="J786" s="1333" t="s">
        <v>1058</v>
      </c>
      <c r="K786" s="1333" t="s">
        <v>4157</v>
      </c>
      <c r="L786" s="1333" t="s">
        <v>1724</v>
      </c>
      <c r="M786" s="1335">
        <v>8.0</v>
      </c>
    </row>
    <row r="787">
      <c r="A787" s="1333"/>
      <c r="B787" s="1333"/>
      <c r="C787" s="1333"/>
      <c r="D787" s="1333"/>
      <c r="E787" s="1333"/>
      <c r="F787" s="1333"/>
      <c r="G787" s="1333">
        <v>2023.0</v>
      </c>
      <c r="H787" s="1333" t="s">
        <v>2111</v>
      </c>
      <c r="I787" s="1333" t="s">
        <v>4170</v>
      </c>
      <c r="J787" s="1333" t="s">
        <v>1058</v>
      </c>
      <c r="K787" s="1333" t="s">
        <v>4158</v>
      </c>
      <c r="L787" s="1333" t="s">
        <v>2480</v>
      </c>
      <c r="M787" s="1335">
        <v>5.0</v>
      </c>
    </row>
    <row r="788">
      <c r="A788" s="1333"/>
      <c r="B788" s="1333"/>
      <c r="C788" s="1333"/>
      <c r="D788" s="1333"/>
      <c r="E788" s="1333"/>
      <c r="F788" s="1333"/>
      <c r="G788" s="1333">
        <v>2023.0</v>
      </c>
      <c r="H788" s="1333" t="s">
        <v>2111</v>
      </c>
      <c r="I788" s="1333" t="s">
        <v>4170</v>
      </c>
      <c r="J788" s="1333" t="s">
        <v>1058</v>
      </c>
      <c r="K788" s="1333" t="s">
        <v>4159</v>
      </c>
      <c r="L788" s="1333" t="s">
        <v>1724</v>
      </c>
      <c r="M788" s="1335">
        <v>3.0</v>
      </c>
    </row>
    <row r="789">
      <c r="A789" s="1333"/>
      <c r="B789" s="1333"/>
      <c r="C789" s="1333"/>
      <c r="D789" s="1333"/>
      <c r="E789" s="1333"/>
      <c r="F789" s="1333"/>
      <c r="G789" s="1333">
        <v>2023.0</v>
      </c>
      <c r="H789" s="1333" t="s">
        <v>2111</v>
      </c>
      <c r="I789" s="1333" t="s">
        <v>4170</v>
      </c>
      <c r="J789" s="1333" t="s">
        <v>1058</v>
      </c>
      <c r="K789" s="1333" t="s">
        <v>4165</v>
      </c>
      <c r="L789" s="1333" t="s">
        <v>2480</v>
      </c>
      <c r="M789" s="1335">
        <v>7.0</v>
      </c>
    </row>
    <row r="790">
      <c r="A790" s="1333"/>
      <c r="B790" s="1333"/>
      <c r="C790" s="1333"/>
      <c r="D790" s="1333"/>
      <c r="E790" s="1333"/>
      <c r="F790" s="1333"/>
      <c r="G790" s="1333">
        <v>2023.0</v>
      </c>
      <c r="H790" s="1333" t="s">
        <v>2111</v>
      </c>
      <c r="I790" s="1333" t="s">
        <v>4170</v>
      </c>
      <c r="J790" s="1333" t="s">
        <v>1058</v>
      </c>
      <c r="K790" s="1333" t="s">
        <v>4166</v>
      </c>
      <c r="L790" s="1333" t="s">
        <v>2480</v>
      </c>
      <c r="M790" s="1335">
        <v>17.0</v>
      </c>
    </row>
    <row r="791">
      <c r="A791" s="1333"/>
      <c r="B791" s="1333"/>
      <c r="C791" s="1333"/>
      <c r="D791" s="1333"/>
      <c r="E791" s="1333"/>
      <c r="F791" s="1333"/>
      <c r="G791" s="1333">
        <v>2023.0</v>
      </c>
      <c r="H791" s="1333" t="s">
        <v>2111</v>
      </c>
      <c r="I791" s="1333" t="s">
        <v>4170</v>
      </c>
      <c r="J791" s="1333" t="s">
        <v>1058</v>
      </c>
      <c r="K791" s="1333" t="s">
        <v>4161</v>
      </c>
      <c r="L791" s="1333" t="s">
        <v>2480</v>
      </c>
      <c r="M791" s="1335">
        <v>5.0</v>
      </c>
    </row>
    <row r="792">
      <c r="A792" s="1333"/>
      <c r="B792" s="1333"/>
      <c r="C792" s="1333"/>
      <c r="D792" s="1333"/>
      <c r="E792" s="1333"/>
      <c r="F792" s="1333"/>
      <c r="G792" s="1333">
        <v>2023.0</v>
      </c>
      <c r="H792" s="1333" t="s">
        <v>2111</v>
      </c>
      <c r="I792" s="1333" t="s">
        <v>4170</v>
      </c>
      <c r="J792" s="1333" t="s">
        <v>1058</v>
      </c>
      <c r="K792" s="1333" t="s">
        <v>4160</v>
      </c>
      <c r="L792" s="1333" t="s">
        <v>2480</v>
      </c>
      <c r="M792" s="1335">
        <v>23.0</v>
      </c>
    </row>
    <row r="793">
      <c r="A793" s="1333"/>
      <c r="B793" s="1333"/>
      <c r="C793" s="1333"/>
      <c r="D793" s="1333"/>
      <c r="E793" s="1333"/>
      <c r="F793" s="1333"/>
      <c r="G793" s="1333">
        <v>2023.0</v>
      </c>
      <c r="H793" s="1333" t="s">
        <v>2111</v>
      </c>
      <c r="I793" s="1333" t="s">
        <v>4170</v>
      </c>
      <c r="J793" s="1333" t="s">
        <v>4161</v>
      </c>
      <c r="K793" s="1333" t="s">
        <v>4167</v>
      </c>
      <c r="L793" s="1333" t="s">
        <v>2480</v>
      </c>
      <c r="M793" s="1335">
        <v>3.0</v>
      </c>
    </row>
    <row r="794">
      <c r="A794" s="1333"/>
      <c r="B794" s="1333"/>
      <c r="C794" s="1333"/>
      <c r="D794" s="1333"/>
      <c r="E794" s="1333"/>
      <c r="F794" s="1333"/>
      <c r="G794" s="1333">
        <v>2023.0</v>
      </c>
      <c r="H794" s="1333" t="s">
        <v>2111</v>
      </c>
      <c r="I794" s="1333" t="s">
        <v>4170</v>
      </c>
      <c r="J794" s="1333" t="s">
        <v>4161</v>
      </c>
      <c r="K794" s="1333" t="s">
        <v>1055</v>
      </c>
      <c r="L794" s="1333" t="s">
        <v>1724</v>
      </c>
      <c r="M794" s="1335">
        <v>105.0</v>
      </c>
    </row>
    <row r="795">
      <c r="A795" s="1333"/>
      <c r="B795" s="1333"/>
      <c r="C795" s="1333"/>
      <c r="D795" s="1333"/>
      <c r="E795" s="1333"/>
      <c r="F795" s="1333"/>
      <c r="G795" s="1333">
        <v>2023.0</v>
      </c>
      <c r="H795" s="1333" t="s">
        <v>2111</v>
      </c>
      <c r="I795" s="1333" t="s">
        <v>4170</v>
      </c>
      <c r="J795" s="1333" t="s">
        <v>4161</v>
      </c>
      <c r="K795" s="1333" t="s">
        <v>4161</v>
      </c>
      <c r="L795" s="1333" t="s">
        <v>2480</v>
      </c>
      <c r="M795" s="1335">
        <v>15.0</v>
      </c>
    </row>
    <row r="796">
      <c r="A796" s="1333"/>
      <c r="B796" s="1333"/>
      <c r="C796" s="1333"/>
      <c r="D796" s="1333"/>
      <c r="E796" s="1333"/>
      <c r="F796" s="1333"/>
      <c r="G796" s="1333">
        <v>2023.0</v>
      </c>
      <c r="H796" s="1333" t="s">
        <v>2112</v>
      </c>
      <c r="I796" s="1333" t="s">
        <v>4170</v>
      </c>
      <c r="J796" s="1333" t="s">
        <v>1058</v>
      </c>
      <c r="K796" s="1333" t="s">
        <v>4163</v>
      </c>
      <c r="L796" s="1333" t="s">
        <v>2480</v>
      </c>
      <c r="M796" s="1335">
        <v>1.0</v>
      </c>
    </row>
    <row r="797">
      <c r="A797" s="1333"/>
      <c r="B797" s="1333"/>
      <c r="C797" s="1333"/>
      <c r="D797" s="1333"/>
      <c r="E797" s="1333"/>
      <c r="F797" s="1333"/>
      <c r="G797" s="1333">
        <v>2023.0</v>
      </c>
      <c r="H797" s="1333" t="s">
        <v>2112</v>
      </c>
      <c r="I797" s="1333" t="s">
        <v>4170</v>
      </c>
      <c r="J797" s="1333" t="s">
        <v>1058</v>
      </c>
      <c r="K797" s="1333" t="s">
        <v>4156</v>
      </c>
      <c r="L797" s="1333" t="s">
        <v>2480</v>
      </c>
      <c r="M797" s="1335">
        <v>3.0</v>
      </c>
    </row>
    <row r="798">
      <c r="A798" s="1333"/>
      <c r="B798" s="1333"/>
      <c r="C798" s="1333"/>
      <c r="D798" s="1333"/>
      <c r="E798" s="1333"/>
      <c r="F798" s="1333"/>
      <c r="G798" s="1333">
        <v>2023.0</v>
      </c>
      <c r="H798" s="1333" t="s">
        <v>2112</v>
      </c>
      <c r="I798" s="1333" t="s">
        <v>4170</v>
      </c>
      <c r="J798" s="1333" t="s">
        <v>4161</v>
      </c>
      <c r="K798" s="1333" t="s">
        <v>1055</v>
      </c>
      <c r="L798" s="1333" t="s">
        <v>1724</v>
      </c>
      <c r="M798" s="1335">
        <v>5.0</v>
      </c>
    </row>
    <row r="799">
      <c r="A799" s="1333"/>
      <c r="B799" s="1333"/>
      <c r="C799" s="1333"/>
      <c r="D799" s="1333"/>
      <c r="E799" s="1333"/>
      <c r="F799" s="1333"/>
      <c r="G799" s="1333">
        <v>2023.0</v>
      </c>
      <c r="H799" s="1333" t="s">
        <v>151</v>
      </c>
      <c r="I799" s="1333" t="s">
        <v>4173</v>
      </c>
      <c r="J799" s="1333" t="s">
        <v>1058</v>
      </c>
      <c r="K799" s="1333" t="s">
        <v>4156</v>
      </c>
      <c r="L799" s="1333" t="s">
        <v>2480</v>
      </c>
      <c r="M799" s="1335">
        <v>2.0</v>
      </c>
    </row>
    <row r="800">
      <c r="A800" s="1333"/>
      <c r="B800" s="1333"/>
      <c r="C800" s="1333"/>
      <c r="D800" s="1333"/>
      <c r="E800" s="1333"/>
      <c r="F800" s="1333"/>
      <c r="G800" s="1333">
        <v>2023.0</v>
      </c>
      <c r="H800" s="1333" t="s">
        <v>151</v>
      </c>
      <c r="I800" s="1333" t="s">
        <v>4173</v>
      </c>
      <c r="J800" s="1333" t="s">
        <v>1058</v>
      </c>
      <c r="K800" s="1333" t="s">
        <v>4157</v>
      </c>
      <c r="L800" s="1333" t="s">
        <v>1724</v>
      </c>
      <c r="M800" s="1335">
        <v>2.0</v>
      </c>
    </row>
    <row r="801">
      <c r="A801" s="1333"/>
      <c r="B801" s="1333"/>
      <c r="C801" s="1333"/>
      <c r="D801" s="1333"/>
      <c r="E801" s="1333"/>
      <c r="F801" s="1333"/>
      <c r="G801" s="1333">
        <v>2023.0</v>
      </c>
      <c r="H801" s="1333" t="s">
        <v>151</v>
      </c>
      <c r="I801" s="1333" t="s">
        <v>4173</v>
      </c>
      <c r="J801" s="1333" t="s">
        <v>1058</v>
      </c>
      <c r="K801" s="1333" t="s">
        <v>4161</v>
      </c>
      <c r="L801" s="1333" t="s">
        <v>2480</v>
      </c>
      <c r="M801" s="1335">
        <v>1.0</v>
      </c>
    </row>
    <row r="802">
      <c r="A802" s="1333"/>
      <c r="B802" s="1333"/>
      <c r="C802" s="1333"/>
      <c r="D802" s="1333"/>
      <c r="E802" s="1333"/>
      <c r="F802" s="1333"/>
      <c r="G802" s="1333">
        <v>2023.0</v>
      </c>
      <c r="H802" s="1333" t="s">
        <v>151</v>
      </c>
      <c r="I802" s="1333" t="s">
        <v>4173</v>
      </c>
      <c r="J802" s="1333" t="s">
        <v>4161</v>
      </c>
      <c r="K802" s="1333" t="s">
        <v>1055</v>
      </c>
      <c r="L802" s="1333" t="s">
        <v>1724</v>
      </c>
      <c r="M802" s="1335">
        <v>10.0</v>
      </c>
    </row>
    <row r="803">
      <c r="A803" s="1333"/>
      <c r="B803" s="1333"/>
      <c r="C803" s="1333"/>
      <c r="D803" s="1333"/>
      <c r="E803" s="1333"/>
      <c r="F803" s="1333"/>
      <c r="G803" s="1333">
        <v>2023.0</v>
      </c>
      <c r="H803" s="1333" t="s">
        <v>151</v>
      </c>
      <c r="I803" s="1333" t="s">
        <v>4173</v>
      </c>
      <c r="J803" s="1333" t="s">
        <v>4161</v>
      </c>
      <c r="K803" s="1333" t="s">
        <v>4161</v>
      </c>
      <c r="L803" s="1333" t="s">
        <v>2480</v>
      </c>
      <c r="M803" s="1335">
        <v>1.0</v>
      </c>
    </row>
    <row r="804">
      <c r="A804" s="1333"/>
      <c r="B804" s="1333"/>
      <c r="C804" s="1333"/>
      <c r="D804" s="1333"/>
      <c r="E804" s="1333"/>
      <c r="F804" s="1333"/>
      <c r="G804" s="1333">
        <v>2023.0</v>
      </c>
      <c r="H804" s="1333" t="s">
        <v>153</v>
      </c>
      <c r="I804" s="1333" t="s">
        <v>4155</v>
      </c>
      <c r="J804" s="1333" t="s">
        <v>1058</v>
      </c>
      <c r="K804" s="1333" t="s">
        <v>4156</v>
      </c>
      <c r="L804" s="1333" t="s">
        <v>2480</v>
      </c>
      <c r="M804" s="1335">
        <v>4.0</v>
      </c>
    </row>
    <row r="805">
      <c r="A805" s="1333"/>
      <c r="B805" s="1333"/>
      <c r="C805" s="1333"/>
      <c r="D805" s="1333"/>
      <c r="E805" s="1333"/>
      <c r="F805" s="1333"/>
      <c r="G805" s="1333">
        <v>2023.0</v>
      </c>
      <c r="H805" s="1333" t="s">
        <v>153</v>
      </c>
      <c r="I805" s="1333" t="s">
        <v>4155</v>
      </c>
      <c r="J805" s="1333" t="s">
        <v>1058</v>
      </c>
      <c r="K805" s="1333" t="s">
        <v>4160</v>
      </c>
      <c r="L805" s="1333" t="s">
        <v>2480</v>
      </c>
      <c r="M805" s="1335">
        <v>1.0</v>
      </c>
    </row>
    <row r="806">
      <c r="A806" s="1333"/>
      <c r="B806" s="1333"/>
      <c r="C806" s="1333"/>
      <c r="D806" s="1333"/>
      <c r="E806" s="1333"/>
      <c r="F806" s="1333"/>
      <c r="G806" s="1333">
        <v>2023.0</v>
      </c>
      <c r="H806" s="1333" t="s">
        <v>153</v>
      </c>
      <c r="I806" s="1333" t="s">
        <v>4155</v>
      </c>
      <c r="J806" s="1333" t="s">
        <v>4161</v>
      </c>
      <c r="K806" s="1333" t="s">
        <v>4174</v>
      </c>
      <c r="L806" s="1333" t="s">
        <v>2480</v>
      </c>
      <c r="M806" s="1335">
        <v>1.0</v>
      </c>
    </row>
    <row r="807">
      <c r="A807" s="1333"/>
      <c r="B807" s="1333"/>
      <c r="C807" s="1333"/>
      <c r="D807" s="1333"/>
      <c r="E807" s="1333"/>
      <c r="F807" s="1333"/>
      <c r="G807" s="1333">
        <v>2023.0</v>
      </c>
      <c r="H807" s="1333" t="s">
        <v>153</v>
      </c>
      <c r="I807" s="1333" t="s">
        <v>4155</v>
      </c>
      <c r="J807" s="1333" t="s">
        <v>4161</v>
      </c>
      <c r="K807" s="1333" t="s">
        <v>1055</v>
      </c>
      <c r="L807" s="1333" t="s">
        <v>1724</v>
      </c>
      <c r="M807" s="1335">
        <v>9.0</v>
      </c>
    </row>
    <row r="808">
      <c r="A808" s="1333"/>
      <c r="B808" s="1333"/>
      <c r="C808" s="1333"/>
      <c r="D808" s="1333"/>
      <c r="E808" s="1333"/>
      <c r="F808" s="1333"/>
      <c r="G808" s="1333">
        <v>2023.0</v>
      </c>
      <c r="H808" s="1333" t="s">
        <v>510</v>
      </c>
      <c r="I808" s="1333" t="s">
        <v>4162</v>
      </c>
      <c r="J808" s="1333" t="s">
        <v>1058</v>
      </c>
      <c r="K808" s="1333" t="s">
        <v>4159</v>
      </c>
      <c r="L808" s="1333" t="s">
        <v>1724</v>
      </c>
      <c r="M808" s="1335">
        <v>4.0</v>
      </c>
    </row>
    <row r="809">
      <c r="A809" s="1333"/>
      <c r="B809" s="1333"/>
      <c r="C809" s="1333"/>
      <c r="D809" s="1333"/>
      <c r="E809" s="1333"/>
      <c r="F809" s="1333"/>
      <c r="G809" s="1333">
        <v>2023.0</v>
      </c>
      <c r="H809" s="1333" t="s">
        <v>510</v>
      </c>
      <c r="I809" s="1333" t="s">
        <v>4162</v>
      </c>
      <c r="J809" s="1333" t="s">
        <v>4161</v>
      </c>
      <c r="K809" s="1333" t="s">
        <v>1055</v>
      </c>
      <c r="L809" s="1333" t="s">
        <v>1724</v>
      </c>
      <c r="M809" s="1335">
        <v>2.0</v>
      </c>
    </row>
    <row r="810">
      <c r="A810" s="1333"/>
      <c r="B810" s="1333"/>
      <c r="C810" s="1333"/>
      <c r="D810" s="1333"/>
      <c r="E810" s="1333"/>
      <c r="F810" s="1333"/>
      <c r="G810" s="1333">
        <v>2023.0</v>
      </c>
      <c r="H810" s="1333" t="s">
        <v>735</v>
      </c>
      <c r="I810" s="1333" t="s">
        <v>4162</v>
      </c>
      <c r="J810" s="1333" t="s">
        <v>1058</v>
      </c>
      <c r="K810" s="1333" t="s">
        <v>4166</v>
      </c>
      <c r="L810" s="1333" t="s">
        <v>2480</v>
      </c>
      <c r="M810" s="1335">
        <v>1.0</v>
      </c>
    </row>
    <row r="811">
      <c r="A811" s="1333"/>
      <c r="B811" s="1333"/>
      <c r="C811" s="1333"/>
      <c r="D811" s="1333"/>
      <c r="E811" s="1333"/>
      <c r="F811" s="1333"/>
      <c r="G811" s="1333">
        <v>2023.0</v>
      </c>
      <c r="H811" s="1333" t="s">
        <v>2116</v>
      </c>
      <c r="I811" s="1333" t="s">
        <v>4172</v>
      </c>
      <c r="J811" s="1333" t="s">
        <v>1058</v>
      </c>
      <c r="K811" s="1333" t="s">
        <v>4163</v>
      </c>
      <c r="L811" s="1333" t="s">
        <v>2480</v>
      </c>
      <c r="M811" s="1335">
        <v>2.0</v>
      </c>
    </row>
    <row r="812">
      <c r="A812" s="1333"/>
      <c r="B812" s="1333"/>
      <c r="C812" s="1333"/>
      <c r="D812" s="1333"/>
      <c r="E812" s="1333"/>
      <c r="F812" s="1333"/>
      <c r="G812" s="1333">
        <v>2023.0</v>
      </c>
      <c r="H812" s="1333" t="s">
        <v>2116</v>
      </c>
      <c r="I812" s="1333" t="s">
        <v>4172</v>
      </c>
      <c r="J812" s="1333" t="s">
        <v>1058</v>
      </c>
      <c r="K812" s="1333" t="s">
        <v>4156</v>
      </c>
      <c r="L812" s="1333" t="s">
        <v>2480</v>
      </c>
      <c r="M812" s="1335">
        <v>25.0</v>
      </c>
    </row>
    <row r="813">
      <c r="A813" s="1333"/>
      <c r="B813" s="1333"/>
      <c r="C813" s="1333"/>
      <c r="D813" s="1333"/>
      <c r="E813" s="1333"/>
      <c r="F813" s="1333"/>
      <c r="G813" s="1333">
        <v>2023.0</v>
      </c>
      <c r="H813" s="1333" t="s">
        <v>2116</v>
      </c>
      <c r="I813" s="1333" t="s">
        <v>4172</v>
      </c>
      <c r="J813" s="1333" t="s">
        <v>1058</v>
      </c>
      <c r="K813" s="1333" t="s">
        <v>4157</v>
      </c>
      <c r="L813" s="1333" t="s">
        <v>1724</v>
      </c>
      <c r="M813" s="1335">
        <v>4.0</v>
      </c>
    </row>
    <row r="814">
      <c r="A814" s="1333"/>
      <c r="B814" s="1333"/>
      <c r="C814" s="1333"/>
      <c r="D814" s="1333"/>
      <c r="E814" s="1333"/>
      <c r="F814" s="1333"/>
      <c r="G814" s="1333">
        <v>2023.0</v>
      </c>
      <c r="H814" s="1333" t="s">
        <v>2116</v>
      </c>
      <c r="I814" s="1333" t="s">
        <v>4172</v>
      </c>
      <c r="J814" s="1333" t="s">
        <v>1058</v>
      </c>
      <c r="K814" s="1333" t="s">
        <v>4159</v>
      </c>
      <c r="L814" s="1333" t="s">
        <v>1724</v>
      </c>
      <c r="M814" s="1335">
        <v>1.0</v>
      </c>
    </row>
    <row r="815">
      <c r="A815" s="1333"/>
      <c r="B815" s="1333"/>
      <c r="C815" s="1333"/>
      <c r="D815" s="1333"/>
      <c r="E815" s="1333"/>
      <c r="F815" s="1333"/>
      <c r="G815" s="1333">
        <v>2023.0</v>
      </c>
      <c r="H815" s="1333" t="s">
        <v>2116</v>
      </c>
      <c r="I815" s="1333" t="s">
        <v>4172</v>
      </c>
      <c r="J815" s="1333" t="s">
        <v>1058</v>
      </c>
      <c r="K815" s="1333" t="s">
        <v>4166</v>
      </c>
      <c r="L815" s="1333" t="s">
        <v>2480</v>
      </c>
      <c r="M815" s="1335">
        <v>1.0</v>
      </c>
    </row>
    <row r="816">
      <c r="A816" s="1333"/>
      <c r="B816" s="1333"/>
      <c r="C816" s="1333"/>
      <c r="D816" s="1333"/>
      <c r="E816" s="1333"/>
      <c r="F816" s="1333"/>
      <c r="G816" s="1333">
        <v>2023.0</v>
      </c>
      <c r="H816" s="1333" t="s">
        <v>2116</v>
      </c>
      <c r="I816" s="1333" t="s">
        <v>4172</v>
      </c>
      <c r="J816" s="1333" t="s">
        <v>1058</v>
      </c>
      <c r="K816" s="1333" t="s">
        <v>4160</v>
      </c>
      <c r="L816" s="1333" t="s">
        <v>2480</v>
      </c>
      <c r="M816" s="1335">
        <v>2.0</v>
      </c>
    </row>
    <row r="817">
      <c r="A817" s="1333"/>
      <c r="B817" s="1333"/>
      <c r="C817" s="1333"/>
      <c r="D817" s="1333"/>
      <c r="E817" s="1333"/>
      <c r="F817" s="1333"/>
      <c r="G817" s="1333">
        <v>2023.0</v>
      </c>
      <c r="H817" s="1333" t="s">
        <v>2116</v>
      </c>
      <c r="I817" s="1333" t="s">
        <v>4172</v>
      </c>
      <c r="J817" s="1333" t="s">
        <v>4161</v>
      </c>
      <c r="K817" s="1333" t="s">
        <v>1055</v>
      </c>
      <c r="L817" s="1333" t="s">
        <v>1724</v>
      </c>
      <c r="M817" s="1335">
        <v>9.0</v>
      </c>
    </row>
    <row r="818">
      <c r="A818" s="1333"/>
      <c r="B818" s="1333"/>
      <c r="C818" s="1333"/>
      <c r="D818" s="1333"/>
      <c r="E818" s="1333"/>
      <c r="F818" s="1333"/>
      <c r="G818" s="1333">
        <v>2023.0</v>
      </c>
      <c r="H818" s="1333" t="s">
        <v>2116</v>
      </c>
      <c r="I818" s="1333" t="s">
        <v>4172</v>
      </c>
      <c r="J818" s="1333" t="s">
        <v>4161</v>
      </c>
      <c r="K818" s="1333" t="s">
        <v>4161</v>
      </c>
      <c r="L818" s="1333" t="s">
        <v>2480</v>
      </c>
      <c r="M818" s="1335">
        <v>4.0</v>
      </c>
    </row>
    <row r="819">
      <c r="A819" s="1333"/>
      <c r="B819" s="1333"/>
      <c r="C819" s="1333"/>
      <c r="D819" s="1333"/>
      <c r="E819" s="1333"/>
      <c r="F819" s="1333"/>
      <c r="G819" s="1333">
        <v>2023.0</v>
      </c>
      <c r="H819" s="1333" t="s">
        <v>2117</v>
      </c>
      <c r="I819" s="1333" t="s">
        <v>4171</v>
      </c>
      <c r="J819" s="1333" t="s">
        <v>1058</v>
      </c>
      <c r="K819" s="1333" t="s">
        <v>4163</v>
      </c>
      <c r="L819" s="1333" t="s">
        <v>2480</v>
      </c>
      <c r="M819" s="1335">
        <v>1.0</v>
      </c>
    </row>
    <row r="820">
      <c r="A820" s="1333"/>
      <c r="B820" s="1333"/>
      <c r="C820" s="1333"/>
      <c r="D820" s="1333"/>
      <c r="E820" s="1333"/>
      <c r="F820" s="1333"/>
      <c r="G820" s="1333">
        <v>2023.0</v>
      </c>
      <c r="H820" s="1333" t="s">
        <v>2117</v>
      </c>
      <c r="I820" s="1333" t="s">
        <v>4171</v>
      </c>
      <c r="J820" s="1333" t="s">
        <v>1058</v>
      </c>
      <c r="K820" s="1333" t="s">
        <v>4156</v>
      </c>
      <c r="L820" s="1333" t="s">
        <v>2480</v>
      </c>
      <c r="M820" s="1335">
        <v>9.0</v>
      </c>
    </row>
    <row r="821">
      <c r="A821" s="1333"/>
      <c r="B821" s="1333"/>
      <c r="C821" s="1333"/>
      <c r="D821" s="1333"/>
      <c r="E821" s="1333"/>
      <c r="F821" s="1333"/>
      <c r="G821" s="1333">
        <v>2023.0</v>
      </c>
      <c r="H821" s="1333" t="s">
        <v>2117</v>
      </c>
      <c r="I821" s="1333" t="s">
        <v>4171</v>
      </c>
      <c r="J821" s="1333" t="s">
        <v>1058</v>
      </c>
      <c r="K821" s="1333" t="s">
        <v>4165</v>
      </c>
      <c r="L821" s="1333" t="s">
        <v>2480</v>
      </c>
      <c r="M821" s="1335">
        <v>3.0</v>
      </c>
    </row>
    <row r="822">
      <c r="A822" s="1333"/>
      <c r="B822" s="1333"/>
      <c r="C822" s="1333"/>
      <c r="D822" s="1333"/>
      <c r="E822" s="1333"/>
      <c r="F822" s="1333"/>
      <c r="G822" s="1333">
        <v>2023.0</v>
      </c>
      <c r="H822" s="1333" t="s">
        <v>2117</v>
      </c>
      <c r="I822" s="1333" t="s">
        <v>4171</v>
      </c>
      <c r="J822" s="1333" t="s">
        <v>1058</v>
      </c>
      <c r="K822" s="1333" t="s">
        <v>4160</v>
      </c>
      <c r="L822" s="1333" t="s">
        <v>2480</v>
      </c>
      <c r="M822" s="1335">
        <v>5.0</v>
      </c>
    </row>
    <row r="823">
      <c r="A823" s="1333"/>
      <c r="B823" s="1333"/>
      <c r="C823" s="1333"/>
      <c r="D823" s="1333"/>
      <c r="E823" s="1333"/>
      <c r="F823" s="1333"/>
      <c r="G823" s="1333">
        <v>2023.0</v>
      </c>
      <c r="H823" s="1333" t="s">
        <v>2117</v>
      </c>
      <c r="I823" s="1333" t="s">
        <v>4171</v>
      </c>
      <c r="J823" s="1333" t="s">
        <v>4161</v>
      </c>
      <c r="K823" s="1333" t="s">
        <v>4167</v>
      </c>
      <c r="L823" s="1333" t="s">
        <v>2480</v>
      </c>
      <c r="M823" s="1335">
        <v>4.0</v>
      </c>
    </row>
    <row r="824">
      <c r="A824" s="1333"/>
      <c r="B824" s="1333"/>
      <c r="C824" s="1333"/>
      <c r="D824" s="1333"/>
      <c r="E824" s="1333"/>
      <c r="F824" s="1333"/>
      <c r="G824" s="1333">
        <v>2023.0</v>
      </c>
      <c r="H824" s="1333" t="s">
        <v>2117</v>
      </c>
      <c r="I824" s="1333" t="s">
        <v>4171</v>
      </c>
      <c r="J824" s="1333" t="s">
        <v>4161</v>
      </c>
      <c r="K824" s="1333" t="s">
        <v>1055</v>
      </c>
      <c r="L824" s="1333" t="s">
        <v>1724</v>
      </c>
      <c r="M824" s="1335">
        <v>13.0</v>
      </c>
    </row>
    <row r="825">
      <c r="A825" s="1333"/>
      <c r="B825" s="1333"/>
      <c r="C825" s="1333"/>
      <c r="D825" s="1333"/>
      <c r="E825" s="1333"/>
      <c r="F825" s="1333"/>
      <c r="G825" s="1333">
        <v>2023.0</v>
      </c>
      <c r="H825" s="1333" t="s">
        <v>2117</v>
      </c>
      <c r="I825" s="1333" t="s">
        <v>4171</v>
      </c>
      <c r="J825" s="1333" t="s">
        <v>4161</v>
      </c>
      <c r="K825" s="1333" t="s">
        <v>4161</v>
      </c>
      <c r="L825" s="1333" t="s">
        <v>2480</v>
      </c>
      <c r="M825" s="1335">
        <v>3.0</v>
      </c>
    </row>
    <row r="826">
      <c r="A826" s="1333"/>
      <c r="B826" s="1333"/>
      <c r="C826" s="1333"/>
      <c r="D826" s="1333"/>
      <c r="E826" s="1333"/>
      <c r="F826" s="1333"/>
      <c r="G826" s="1333">
        <v>2023.0</v>
      </c>
      <c r="H826" s="1333" t="s">
        <v>2113</v>
      </c>
      <c r="I826" s="1333" t="s">
        <v>4162</v>
      </c>
      <c r="J826" s="1333" t="s">
        <v>1058</v>
      </c>
      <c r="K826" s="1333" t="s">
        <v>4156</v>
      </c>
      <c r="L826" s="1333" t="s">
        <v>2480</v>
      </c>
      <c r="M826" s="1335">
        <v>4.0</v>
      </c>
    </row>
    <row r="827">
      <c r="A827" s="1333"/>
      <c r="B827" s="1333"/>
      <c r="C827" s="1333"/>
      <c r="D827" s="1333"/>
      <c r="E827" s="1333"/>
      <c r="F827" s="1333"/>
      <c r="G827" s="1333">
        <v>2023.0</v>
      </c>
      <c r="H827" s="1333" t="s">
        <v>2113</v>
      </c>
      <c r="I827" s="1333" t="s">
        <v>4162</v>
      </c>
      <c r="J827" s="1333" t="s">
        <v>1058</v>
      </c>
      <c r="K827" s="1333" t="s">
        <v>4157</v>
      </c>
      <c r="L827" s="1333" t="s">
        <v>1724</v>
      </c>
      <c r="M827" s="1335">
        <v>1.0</v>
      </c>
    </row>
    <row r="828">
      <c r="A828" s="1333"/>
      <c r="B828" s="1333"/>
      <c r="C828" s="1333"/>
      <c r="D828" s="1333"/>
      <c r="E828" s="1333"/>
      <c r="F828" s="1333"/>
      <c r="G828" s="1333">
        <v>2023.0</v>
      </c>
      <c r="H828" s="1333" t="s">
        <v>2113</v>
      </c>
      <c r="I828" s="1333" t="s">
        <v>4162</v>
      </c>
      <c r="J828" s="1333" t="s">
        <v>1058</v>
      </c>
      <c r="K828" s="1333" t="s">
        <v>4158</v>
      </c>
      <c r="L828" s="1333" t="s">
        <v>2480</v>
      </c>
      <c r="M828" s="1335">
        <v>1.0</v>
      </c>
    </row>
    <row r="829">
      <c r="A829" s="1333"/>
      <c r="B829" s="1333"/>
      <c r="C829" s="1333"/>
      <c r="D829" s="1333"/>
      <c r="E829" s="1333"/>
      <c r="F829" s="1333"/>
      <c r="G829" s="1333">
        <v>2023.0</v>
      </c>
      <c r="H829" s="1333" t="s">
        <v>2113</v>
      </c>
      <c r="I829" s="1333" t="s">
        <v>4162</v>
      </c>
      <c r="J829" s="1333" t="s">
        <v>1058</v>
      </c>
      <c r="K829" s="1333" t="s">
        <v>4166</v>
      </c>
      <c r="L829" s="1333" t="s">
        <v>2480</v>
      </c>
      <c r="M829" s="1335">
        <v>1.0</v>
      </c>
    </row>
    <row r="830">
      <c r="A830" s="1333"/>
      <c r="B830" s="1333"/>
      <c r="C830" s="1333"/>
      <c r="D830" s="1333"/>
      <c r="E830" s="1333"/>
      <c r="F830" s="1333"/>
      <c r="G830" s="1333">
        <v>2023.0</v>
      </c>
      <c r="H830" s="1333" t="s">
        <v>2113</v>
      </c>
      <c r="I830" s="1333" t="s">
        <v>4162</v>
      </c>
      <c r="J830" s="1333" t="s">
        <v>1058</v>
      </c>
      <c r="K830" s="1333" t="s">
        <v>4160</v>
      </c>
      <c r="L830" s="1333" t="s">
        <v>2480</v>
      </c>
      <c r="M830" s="1335">
        <v>2.0</v>
      </c>
    </row>
    <row r="831">
      <c r="A831" s="1333"/>
      <c r="B831" s="1333"/>
      <c r="C831" s="1333"/>
      <c r="D831" s="1333"/>
      <c r="E831" s="1333"/>
      <c r="F831" s="1333"/>
      <c r="G831" s="1333">
        <v>2023.0</v>
      </c>
      <c r="H831" s="1333" t="s">
        <v>2113</v>
      </c>
      <c r="I831" s="1333" t="s">
        <v>4162</v>
      </c>
      <c r="J831" s="1333" t="s">
        <v>4161</v>
      </c>
      <c r="K831" s="1333" t="s">
        <v>1055</v>
      </c>
      <c r="L831" s="1333" t="s">
        <v>1724</v>
      </c>
      <c r="M831" s="1335">
        <v>12.0</v>
      </c>
    </row>
    <row r="832">
      <c r="A832" s="1333"/>
      <c r="B832" s="1333"/>
      <c r="C832" s="1333"/>
      <c r="D832" s="1333"/>
      <c r="E832" s="1333"/>
      <c r="F832" s="1333"/>
      <c r="G832" s="1333">
        <v>2023.0</v>
      </c>
      <c r="H832" s="1333" t="s">
        <v>2113</v>
      </c>
      <c r="I832" s="1333" t="s">
        <v>4162</v>
      </c>
      <c r="J832" s="1333" t="s">
        <v>4161</v>
      </c>
      <c r="K832" s="1333" t="s">
        <v>4161</v>
      </c>
      <c r="L832" s="1333" t="s">
        <v>2480</v>
      </c>
      <c r="M832" s="1335">
        <v>1.0</v>
      </c>
    </row>
    <row r="833">
      <c r="A833" s="1333"/>
      <c r="B833" s="1333"/>
      <c r="C833" s="1333"/>
      <c r="D833" s="1333"/>
      <c r="E833" s="1333"/>
      <c r="F833" s="1333"/>
      <c r="G833" s="1333">
        <v>2023.0</v>
      </c>
      <c r="H833" s="1333" t="s">
        <v>2114</v>
      </c>
      <c r="I833" s="1333" t="s">
        <v>4173</v>
      </c>
      <c r="J833" s="1333" t="s">
        <v>1058</v>
      </c>
      <c r="K833" s="1333" t="s">
        <v>4163</v>
      </c>
      <c r="L833" s="1333" t="s">
        <v>2480</v>
      </c>
      <c r="M833" s="1335">
        <v>18.0</v>
      </c>
    </row>
    <row r="834">
      <c r="A834" s="1333"/>
      <c r="B834" s="1333"/>
      <c r="C834" s="1333"/>
      <c r="D834" s="1333"/>
      <c r="E834" s="1333"/>
      <c r="F834" s="1333"/>
      <c r="G834" s="1333">
        <v>2023.0</v>
      </c>
      <c r="H834" s="1333" t="s">
        <v>2114</v>
      </c>
      <c r="I834" s="1333" t="s">
        <v>4173</v>
      </c>
      <c r="J834" s="1333" t="s">
        <v>1058</v>
      </c>
      <c r="K834" s="1333" t="s">
        <v>4156</v>
      </c>
      <c r="L834" s="1333" t="s">
        <v>2480</v>
      </c>
      <c r="M834" s="1335">
        <v>82.0</v>
      </c>
    </row>
    <row r="835">
      <c r="A835" s="1333"/>
      <c r="B835" s="1333"/>
      <c r="C835" s="1333"/>
      <c r="D835" s="1333"/>
      <c r="E835" s="1333"/>
      <c r="F835" s="1333"/>
      <c r="G835" s="1333">
        <v>2023.0</v>
      </c>
      <c r="H835" s="1333" t="s">
        <v>2114</v>
      </c>
      <c r="I835" s="1333" t="s">
        <v>4173</v>
      </c>
      <c r="J835" s="1333" t="s">
        <v>1058</v>
      </c>
      <c r="K835" s="1333" t="s">
        <v>4157</v>
      </c>
      <c r="L835" s="1333" t="s">
        <v>1724</v>
      </c>
      <c r="M835" s="1335">
        <v>18.0</v>
      </c>
    </row>
    <row r="836">
      <c r="A836" s="1333"/>
      <c r="B836" s="1333"/>
      <c r="C836" s="1333"/>
      <c r="D836" s="1333"/>
      <c r="E836" s="1333"/>
      <c r="F836" s="1333"/>
      <c r="G836" s="1333">
        <v>2023.0</v>
      </c>
      <c r="H836" s="1333" t="s">
        <v>2114</v>
      </c>
      <c r="I836" s="1333" t="s">
        <v>4173</v>
      </c>
      <c r="J836" s="1333" t="s">
        <v>1058</v>
      </c>
      <c r="K836" s="1333" t="s">
        <v>4158</v>
      </c>
      <c r="L836" s="1333" t="s">
        <v>2480</v>
      </c>
      <c r="M836" s="1335">
        <v>10.0</v>
      </c>
    </row>
    <row r="837">
      <c r="A837" s="1333"/>
      <c r="B837" s="1333"/>
      <c r="C837" s="1333"/>
      <c r="D837" s="1333"/>
      <c r="E837" s="1333"/>
      <c r="F837" s="1333"/>
      <c r="G837" s="1333">
        <v>2023.0</v>
      </c>
      <c r="H837" s="1333" t="s">
        <v>2114</v>
      </c>
      <c r="I837" s="1333" t="s">
        <v>4173</v>
      </c>
      <c r="J837" s="1333" t="s">
        <v>1058</v>
      </c>
      <c r="K837" s="1333" t="s">
        <v>4165</v>
      </c>
      <c r="L837" s="1333" t="s">
        <v>2480</v>
      </c>
      <c r="M837" s="1335">
        <v>3.0</v>
      </c>
    </row>
    <row r="838">
      <c r="A838" s="1333"/>
      <c r="B838" s="1333"/>
      <c r="C838" s="1333"/>
      <c r="D838" s="1333"/>
      <c r="E838" s="1333"/>
      <c r="F838" s="1333"/>
      <c r="G838" s="1333">
        <v>2023.0</v>
      </c>
      <c r="H838" s="1333" t="s">
        <v>2114</v>
      </c>
      <c r="I838" s="1333" t="s">
        <v>4173</v>
      </c>
      <c r="J838" s="1333" t="s">
        <v>1058</v>
      </c>
      <c r="K838" s="1333" t="s">
        <v>4166</v>
      </c>
      <c r="L838" s="1333" t="s">
        <v>2480</v>
      </c>
      <c r="M838" s="1335">
        <v>12.0</v>
      </c>
    </row>
    <row r="839">
      <c r="A839" s="1333"/>
      <c r="B839" s="1333"/>
      <c r="C839" s="1333"/>
      <c r="D839" s="1333"/>
      <c r="E839" s="1333"/>
      <c r="F839" s="1333"/>
      <c r="G839" s="1333">
        <v>2023.0</v>
      </c>
      <c r="H839" s="1333" t="s">
        <v>2114</v>
      </c>
      <c r="I839" s="1333" t="s">
        <v>4173</v>
      </c>
      <c r="J839" s="1333" t="s">
        <v>1058</v>
      </c>
      <c r="K839" s="1333" t="s">
        <v>4161</v>
      </c>
      <c r="L839" s="1333" t="s">
        <v>2480</v>
      </c>
      <c r="M839" s="1335">
        <v>1.0</v>
      </c>
    </row>
    <row r="840">
      <c r="A840" s="1333"/>
      <c r="B840" s="1333"/>
      <c r="C840" s="1333"/>
      <c r="D840" s="1333"/>
      <c r="E840" s="1333"/>
      <c r="F840" s="1333"/>
      <c r="G840" s="1333">
        <v>2023.0</v>
      </c>
      <c r="H840" s="1333" t="s">
        <v>2114</v>
      </c>
      <c r="I840" s="1333" t="s">
        <v>4173</v>
      </c>
      <c r="J840" s="1333" t="s">
        <v>1058</v>
      </c>
      <c r="K840" s="1333" t="s">
        <v>4160</v>
      </c>
      <c r="L840" s="1333" t="s">
        <v>2480</v>
      </c>
      <c r="M840" s="1335">
        <v>18.0</v>
      </c>
    </row>
    <row r="841">
      <c r="A841" s="1333"/>
      <c r="B841" s="1333"/>
      <c r="C841" s="1333"/>
      <c r="D841" s="1333"/>
      <c r="E841" s="1333"/>
      <c r="F841" s="1333"/>
      <c r="G841" s="1333">
        <v>2023.0</v>
      </c>
      <c r="H841" s="1333" t="s">
        <v>2114</v>
      </c>
      <c r="I841" s="1333" t="s">
        <v>4173</v>
      </c>
      <c r="J841" s="1333" t="s">
        <v>4161</v>
      </c>
      <c r="K841" s="1333" t="s">
        <v>4167</v>
      </c>
      <c r="L841" s="1333" t="s">
        <v>2480</v>
      </c>
      <c r="M841" s="1335">
        <v>1.0</v>
      </c>
    </row>
    <row r="842">
      <c r="A842" s="1333"/>
      <c r="B842" s="1333"/>
      <c r="C842" s="1333"/>
      <c r="D842" s="1333"/>
      <c r="E842" s="1333"/>
      <c r="F842" s="1333"/>
      <c r="G842" s="1333">
        <v>2023.0</v>
      </c>
      <c r="H842" s="1333" t="s">
        <v>2114</v>
      </c>
      <c r="I842" s="1333" t="s">
        <v>4173</v>
      </c>
      <c r="J842" s="1333" t="s">
        <v>4161</v>
      </c>
      <c r="K842" s="1333" t="s">
        <v>1055</v>
      </c>
      <c r="L842" s="1333" t="s">
        <v>1724</v>
      </c>
      <c r="M842" s="1335">
        <v>183.0</v>
      </c>
    </row>
    <row r="843">
      <c r="A843" s="1333"/>
      <c r="B843" s="1333"/>
      <c r="C843" s="1333"/>
      <c r="D843" s="1333"/>
      <c r="E843" s="1333"/>
      <c r="F843" s="1333"/>
      <c r="G843" s="1333">
        <v>2023.0</v>
      </c>
      <c r="H843" s="1333" t="s">
        <v>2114</v>
      </c>
      <c r="I843" s="1333" t="s">
        <v>4173</v>
      </c>
      <c r="J843" s="1333" t="s">
        <v>4161</v>
      </c>
      <c r="K843" s="1333" t="s">
        <v>4161</v>
      </c>
      <c r="L843" s="1333" t="s">
        <v>2480</v>
      </c>
      <c r="M843" s="1335">
        <v>17.0</v>
      </c>
    </row>
    <row r="844">
      <c r="A844" s="1333"/>
      <c r="B844" s="1333"/>
      <c r="C844" s="1333"/>
      <c r="D844" s="1333"/>
      <c r="E844" s="1333"/>
      <c r="F844" s="1333"/>
      <c r="G844" s="1333">
        <v>2023.0</v>
      </c>
      <c r="H844" s="1333" t="s">
        <v>1689</v>
      </c>
      <c r="I844" s="1333" t="s">
        <v>4171</v>
      </c>
      <c r="J844" s="1333" t="s">
        <v>1058</v>
      </c>
      <c r="K844" s="1333" t="s">
        <v>4163</v>
      </c>
      <c r="L844" s="1333" t="s">
        <v>2480</v>
      </c>
      <c r="M844" s="1335">
        <v>1.0</v>
      </c>
    </row>
    <row r="845">
      <c r="A845" s="1333"/>
      <c r="B845" s="1333"/>
      <c r="C845" s="1333"/>
      <c r="D845" s="1333"/>
      <c r="E845" s="1333"/>
      <c r="F845" s="1333"/>
      <c r="G845" s="1333">
        <v>2023.0</v>
      </c>
      <c r="H845" s="1333" t="s">
        <v>1689</v>
      </c>
      <c r="I845" s="1333" t="s">
        <v>4171</v>
      </c>
      <c r="J845" s="1333" t="s">
        <v>1058</v>
      </c>
      <c r="K845" s="1333" t="s">
        <v>4156</v>
      </c>
      <c r="L845" s="1333" t="s">
        <v>2480</v>
      </c>
      <c r="M845" s="1335">
        <v>10.0</v>
      </c>
    </row>
    <row r="846">
      <c r="A846" s="1333"/>
      <c r="B846" s="1333"/>
      <c r="C846" s="1333"/>
      <c r="D846" s="1333"/>
      <c r="E846" s="1333"/>
      <c r="F846" s="1333"/>
      <c r="G846" s="1333">
        <v>2023.0</v>
      </c>
      <c r="H846" s="1333" t="s">
        <v>1689</v>
      </c>
      <c r="I846" s="1333" t="s">
        <v>4171</v>
      </c>
      <c r="J846" s="1333" t="s">
        <v>1058</v>
      </c>
      <c r="K846" s="1333" t="s">
        <v>4157</v>
      </c>
      <c r="L846" s="1333" t="s">
        <v>1724</v>
      </c>
      <c r="M846" s="1335">
        <v>3.0</v>
      </c>
    </row>
    <row r="847">
      <c r="A847" s="1333"/>
      <c r="B847" s="1333"/>
      <c r="C847" s="1333"/>
      <c r="D847" s="1333"/>
      <c r="E847" s="1333"/>
      <c r="F847" s="1333"/>
      <c r="G847" s="1333">
        <v>2023.0</v>
      </c>
      <c r="H847" s="1333" t="s">
        <v>1689</v>
      </c>
      <c r="I847" s="1333" t="s">
        <v>4171</v>
      </c>
      <c r="J847" s="1333" t="s">
        <v>1058</v>
      </c>
      <c r="K847" s="1333" t="s">
        <v>4165</v>
      </c>
      <c r="L847" s="1333" t="s">
        <v>2480</v>
      </c>
      <c r="M847" s="1335">
        <v>5.0</v>
      </c>
    </row>
    <row r="848">
      <c r="A848" s="1333"/>
      <c r="B848" s="1333"/>
      <c r="C848" s="1333"/>
      <c r="D848" s="1333"/>
      <c r="E848" s="1333"/>
      <c r="F848" s="1333"/>
      <c r="G848" s="1333">
        <v>2023.0</v>
      </c>
      <c r="H848" s="1333" t="s">
        <v>1689</v>
      </c>
      <c r="I848" s="1333" t="s">
        <v>4171</v>
      </c>
      <c r="J848" s="1333" t="s">
        <v>1058</v>
      </c>
      <c r="K848" s="1333" t="s">
        <v>4166</v>
      </c>
      <c r="L848" s="1333" t="s">
        <v>2480</v>
      </c>
      <c r="M848" s="1335">
        <v>1.0</v>
      </c>
    </row>
    <row r="849">
      <c r="A849" s="1333"/>
      <c r="B849" s="1333"/>
      <c r="C849" s="1333"/>
      <c r="D849" s="1333"/>
      <c r="E849" s="1333"/>
      <c r="F849" s="1333"/>
      <c r="G849" s="1333">
        <v>2023.0</v>
      </c>
      <c r="H849" s="1333" t="s">
        <v>1689</v>
      </c>
      <c r="I849" s="1333" t="s">
        <v>4171</v>
      </c>
      <c r="J849" s="1333" t="s">
        <v>1058</v>
      </c>
      <c r="K849" s="1333" t="s">
        <v>4160</v>
      </c>
      <c r="L849" s="1333" t="s">
        <v>2480</v>
      </c>
      <c r="M849" s="1335">
        <v>3.0</v>
      </c>
    </row>
    <row r="850">
      <c r="A850" s="1333"/>
      <c r="B850" s="1333"/>
      <c r="C850" s="1333"/>
      <c r="D850" s="1333"/>
      <c r="E850" s="1333"/>
      <c r="F850" s="1333"/>
      <c r="G850" s="1333">
        <v>2023.0</v>
      </c>
      <c r="H850" s="1333" t="s">
        <v>1689</v>
      </c>
      <c r="I850" s="1333" t="s">
        <v>4171</v>
      </c>
      <c r="J850" s="1333" t="s">
        <v>4161</v>
      </c>
      <c r="K850" s="1333" t="s">
        <v>4167</v>
      </c>
      <c r="L850" s="1333" t="s">
        <v>2480</v>
      </c>
      <c r="M850" s="1335">
        <v>1.0</v>
      </c>
    </row>
    <row r="851">
      <c r="A851" s="1333"/>
      <c r="B851" s="1333"/>
      <c r="C851" s="1333"/>
      <c r="D851" s="1333"/>
      <c r="E851" s="1333"/>
      <c r="F851" s="1333"/>
      <c r="G851" s="1333">
        <v>2023.0</v>
      </c>
      <c r="H851" s="1333" t="s">
        <v>1689</v>
      </c>
      <c r="I851" s="1333" t="s">
        <v>4171</v>
      </c>
      <c r="J851" s="1333" t="s">
        <v>4161</v>
      </c>
      <c r="K851" s="1333" t="s">
        <v>4174</v>
      </c>
      <c r="L851" s="1333" t="s">
        <v>2480</v>
      </c>
      <c r="M851" s="1335">
        <v>1.0</v>
      </c>
    </row>
    <row r="852">
      <c r="A852" s="1333"/>
      <c r="B852" s="1333"/>
      <c r="C852" s="1333"/>
      <c r="D852" s="1333"/>
      <c r="E852" s="1333"/>
      <c r="F852" s="1333"/>
      <c r="G852" s="1333">
        <v>2023.0</v>
      </c>
      <c r="H852" s="1333" t="s">
        <v>1689</v>
      </c>
      <c r="I852" s="1333" t="s">
        <v>4171</v>
      </c>
      <c r="J852" s="1333" t="s">
        <v>4161</v>
      </c>
      <c r="K852" s="1333" t="s">
        <v>1055</v>
      </c>
      <c r="L852" s="1333" t="s">
        <v>1724</v>
      </c>
      <c r="M852" s="1335">
        <v>9.0</v>
      </c>
    </row>
    <row r="853">
      <c r="A853" s="1333"/>
      <c r="B853" s="1333"/>
      <c r="C853" s="1333"/>
      <c r="D853" s="1333"/>
      <c r="E853" s="1333"/>
      <c r="F853" s="1333"/>
      <c r="G853" s="1333">
        <v>2023.0</v>
      </c>
      <c r="H853" s="1333" t="s">
        <v>1689</v>
      </c>
      <c r="I853" s="1333" t="s">
        <v>4171</v>
      </c>
      <c r="J853" s="1333" t="s">
        <v>4161</v>
      </c>
      <c r="K853" s="1333" t="s">
        <v>4161</v>
      </c>
      <c r="L853" s="1333" t="s">
        <v>2480</v>
      </c>
      <c r="M853" s="1335">
        <v>2.0</v>
      </c>
    </row>
    <row r="854">
      <c r="A854" s="1333"/>
      <c r="B854" s="1333"/>
      <c r="C854" s="1333"/>
      <c r="D854" s="1333"/>
      <c r="E854" s="1333"/>
      <c r="F854" s="1333"/>
      <c r="G854" s="1333">
        <v>2023.0</v>
      </c>
      <c r="H854" s="1333" t="s">
        <v>1273</v>
      </c>
      <c r="I854" s="1333" t="s">
        <v>4162</v>
      </c>
      <c r="J854" s="1333" t="s">
        <v>1058</v>
      </c>
      <c r="K854" s="1333" t="s">
        <v>4163</v>
      </c>
      <c r="L854" s="1333" t="s">
        <v>2480</v>
      </c>
      <c r="M854" s="1335">
        <v>3.0</v>
      </c>
    </row>
    <row r="855">
      <c r="A855" s="1333"/>
      <c r="B855" s="1333"/>
      <c r="C855" s="1333"/>
      <c r="D855" s="1333"/>
      <c r="E855" s="1333"/>
      <c r="F855" s="1333"/>
      <c r="G855" s="1333">
        <v>2023.0</v>
      </c>
      <c r="H855" s="1333" t="s">
        <v>1273</v>
      </c>
      <c r="I855" s="1333" t="s">
        <v>4162</v>
      </c>
      <c r="J855" s="1333" t="s">
        <v>1058</v>
      </c>
      <c r="K855" s="1333" t="s">
        <v>4156</v>
      </c>
      <c r="L855" s="1333" t="s">
        <v>2480</v>
      </c>
      <c r="M855" s="1335">
        <v>11.0</v>
      </c>
    </row>
    <row r="856">
      <c r="A856" s="1333"/>
      <c r="B856" s="1333"/>
      <c r="C856" s="1333"/>
      <c r="D856" s="1333"/>
      <c r="E856" s="1333"/>
      <c r="F856" s="1333"/>
      <c r="G856" s="1333">
        <v>2023.0</v>
      </c>
      <c r="H856" s="1333" t="s">
        <v>1273</v>
      </c>
      <c r="I856" s="1333" t="s">
        <v>4162</v>
      </c>
      <c r="J856" s="1333" t="s">
        <v>1058</v>
      </c>
      <c r="K856" s="1333" t="s">
        <v>4157</v>
      </c>
      <c r="L856" s="1333" t="s">
        <v>1724</v>
      </c>
      <c r="M856" s="1335">
        <v>1.0</v>
      </c>
    </row>
    <row r="857">
      <c r="A857" s="1333"/>
      <c r="B857" s="1333"/>
      <c r="C857" s="1333"/>
      <c r="D857" s="1333"/>
      <c r="E857" s="1333"/>
      <c r="F857" s="1333"/>
      <c r="G857" s="1333">
        <v>2023.0</v>
      </c>
      <c r="H857" s="1333" t="s">
        <v>1273</v>
      </c>
      <c r="I857" s="1333" t="s">
        <v>4162</v>
      </c>
      <c r="J857" s="1333" t="s">
        <v>1058</v>
      </c>
      <c r="K857" s="1333" t="s">
        <v>4158</v>
      </c>
      <c r="L857" s="1333" t="s">
        <v>2480</v>
      </c>
      <c r="M857" s="1335">
        <v>5.0</v>
      </c>
    </row>
    <row r="858">
      <c r="A858" s="1333"/>
      <c r="B858" s="1333"/>
      <c r="C858" s="1333"/>
      <c r="D858" s="1333"/>
      <c r="E858" s="1333"/>
      <c r="F858" s="1333"/>
      <c r="G858" s="1333">
        <v>2023.0</v>
      </c>
      <c r="H858" s="1333" t="s">
        <v>1273</v>
      </c>
      <c r="I858" s="1333" t="s">
        <v>4162</v>
      </c>
      <c r="J858" s="1333" t="s">
        <v>1058</v>
      </c>
      <c r="K858" s="1333" t="s">
        <v>4165</v>
      </c>
      <c r="L858" s="1333" t="s">
        <v>2480</v>
      </c>
      <c r="M858" s="1335">
        <v>1.0</v>
      </c>
    </row>
    <row r="859">
      <c r="A859" s="1333"/>
      <c r="B859" s="1333"/>
      <c r="C859" s="1333"/>
      <c r="D859" s="1333"/>
      <c r="E859" s="1333"/>
      <c r="F859" s="1333"/>
      <c r="G859" s="1333">
        <v>2023.0</v>
      </c>
      <c r="H859" s="1333" t="s">
        <v>1273</v>
      </c>
      <c r="I859" s="1333" t="s">
        <v>4162</v>
      </c>
      <c r="J859" s="1333" t="s">
        <v>1058</v>
      </c>
      <c r="K859" s="1333" t="s">
        <v>4166</v>
      </c>
      <c r="L859" s="1333" t="s">
        <v>2480</v>
      </c>
      <c r="M859" s="1335">
        <v>2.0</v>
      </c>
    </row>
    <row r="860">
      <c r="A860" s="1333"/>
      <c r="B860" s="1333"/>
      <c r="C860" s="1333"/>
      <c r="D860" s="1333"/>
      <c r="E860" s="1333"/>
      <c r="F860" s="1333"/>
      <c r="G860" s="1333">
        <v>2023.0</v>
      </c>
      <c r="H860" s="1333" t="s">
        <v>1273</v>
      </c>
      <c r="I860" s="1333" t="s">
        <v>4162</v>
      </c>
      <c r="J860" s="1333" t="s">
        <v>1058</v>
      </c>
      <c r="K860" s="1333" t="s">
        <v>4161</v>
      </c>
      <c r="L860" s="1333" t="s">
        <v>2480</v>
      </c>
      <c r="M860" s="1335">
        <v>1.0</v>
      </c>
    </row>
    <row r="861">
      <c r="A861" s="1333"/>
      <c r="B861" s="1333"/>
      <c r="C861" s="1333"/>
      <c r="D861" s="1333"/>
      <c r="E861" s="1333"/>
      <c r="F861" s="1333"/>
      <c r="G861" s="1333">
        <v>2023.0</v>
      </c>
      <c r="H861" s="1333" t="s">
        <v>1273</v>
      </c>
      <c r="I861" s="1333" t="s">
        <v>4162</v>
      </c>
      <c r="J861" s="1333" t="s">
        <v>1058</v>
      </c>
      <c r="K861" s="1333" t="s">
        <v>4160</v>
      </c>
      <c r="L861" s="1333" t="s">
        <v>2480</v>
      </c>
      <c r="M861" s="1335">
        <v>5.0</v>
      </c>
    </row>
    <row r="862">
      <c r="A862" s="1333"/>
      <c r="B862" s="1333"/>
      <c r="C862" s="1333"/>
      <c r="D862" s="1333"/>
      <c r="E862" s="1333"/>
      <c r="F862" s="1333"/>
      <c r="G862" s="1333">
        <v>2023.0</v>
      </c>
      <c r="H862" s="1333" t="s">
        <v>1273</v>
      </c>
      <c r="I862" s="1333" t="s">
        <v>4162</v>
      </c>
      <c r="J862" s="1333" t="s">
        <v>4161</v>
      </c>
      <c r="K862" s="1333" t="s">
        <v>4174</v>
      </c>
      <c r="L862" s="1333" t="s">
        <v>2480</v>
      </c>
      <c r="M862" s="1335">
        <v>2.0</v>
      </c>
    </row>
    <row r="863">
      <c r="A863" s="1333"/>
      <c r="B863" s="1333"/>
      <c r="C863" s="1333"/>
      <c r="D863" s="1333"/>
      <c r="E863" s="1333"/>
      <c r="F863" s="1333"/>
      <c r="G863" s="1333">
        <v>2023.0</v>
      </c>
      <c r="H863" s="1333" t="s">
        <v>1273</v>
      </c>
      <c r="I863" s="1333" t="s">
        <v>4162</v>
      </c>
      <c r="J863" s="1333" t="s">
        <v>4161</v>
      </c>
      <c r="K863" s="1333" t="s">
        <v>1055</v>
      </c>
      <c r="L863" s="1333" t="s">
        <v>1724</v>
      </c>
      <c r="M863" s="1335">
        <v>20.0</v>
      </c>
    </row>
    <row r="864">
      <c r="A864" s="1333"/>
      <c r="B864" s="1333"/>
      <c r="C864" s="1333"/>
      <c r="D864" s="1333"/>
      <c r="E864" s="1333"/>
      <c r="F864" s="1333"/>
      <c r="G864" s="1333">
        <v>2023.0</v>
      </c>
      <c r="H864" s="1333" t="s">
        <v>1273</v>
      </c>
      <c r="I864" s="1333" t="s">
        <v>4162</v>
      </c>
      <c r="J864" s="1333" t="s">
        <v>4161</v>
      </c>
      <c r="K864" s="1333" t="s">
        <v>4161</v>
      </c>
      <c r="L864" s="1333" t="s">
        <v>2480</v>
      </c>
      <c r="M864" s="1335">
        <v>1.0</v>
      </c>
    </row>
    <row r="865">
      <c r="A865" s="1333"/>
      <c r="B865" s="1333"/>
      <c r="C865" s="1333"/>
      <c r="D865" s="1333"/>
      <c r="E865" s="1333"/>
      <c r="F865" s="1333"/>
      <c r="G865" s="1333">
        <v>2023.0</v>
      </c>
      <c r="H865" s="1333" t="s">
        <v>2118</v>
      </c>
      <c r="I865" s="1333" t="s">
        <v>4173</v>
      </c>
      <c r="J865" s="1333" t="s">
        <v>1058</v>
      </c>
      <c r="K865" s="1333" t="s">
        <v>4163</v>
      </c>
      <c r="L865" s="1333" t="s">
        <v>2480</v>
      </c>
      <c r="M865" s="1335">
        <v>1.0</v>
      </c>
    </row>
    <row r="866">
      <c r="A866" s="1333"/>
      <c r="B866" s="1333"/>
      <c r="C866" s="1333"/>
      <c r="D866" s="1333"/>
      <c r="E866" s="1333"/>
      <c r="F866" s="1333"/>
      <c r="G866" s="1333">
        <v>2023.0</v>
      </c>
      <c r="H866" s="1333" t="s">
        <v>2118</v>
      </c>
      <c r="I866" s="1333" t="s">
        <v>4173</v>
      </c>
      <c r="J866" s="1333" t="s">
        <v>1058</v>
      </c>
      <c r="K866" s="1333" t="s">
        <v>4156</v>
      </c>
      <c r="L866" s="1333" t="s">
        <v>2480</v>
      </c>
      <c r="M866" s="1335">
        <v>15.0</v>
      </c>
    </row>
    <row r="867">
      <c r="A867" s="1333"/>
      <c r="B867" s="1333"/>
      <c r="C867" s="1333"/>
      <c r="D867" s="1333"/>
      <c r="E867" s="1333"/>
      <c r="F867" s="1333"/>
      <c r="G867" s="1333">
        <v>2023.0</v>
      </c>
      <c r="H867" s="1333" t="s">
        <v>2118</v>
      </c>
      <c r="I867" s="1333" t="s">
        <v>4173</v>
      </c>
      <c r="J867" s="1333" t="s">
        <v>1058</v>
      </c>
      <c r="K867" s="1333" t="s">
        <v>4157</v>
      </c>
      <c r="L867" s="1333" t="s">
        <v>1724</v>
      </c>
      <c r="M867" s="1335">
        <v>2.0</v>
      </c>
    </row>
    <row r="868">
      <c r="A868" s="1333"/>
      <c r="B868" s="1333"/>
      <c r="C868" s="1333"/>
      <c r="D868" s="1333"/>
      <c r="E868" s="1333"/>
      <c r="F868" s="1333"/>
      <c r="G868" s="1333">
        <v>2023.0</v>
      </c>
      <c r="H868" s="1333" t="s">
        <v>2118</v>
      </c>
      <c r="I868" s="1333" t="s">
        <v>4173</v>
      </c>
      <c r="J868" s="1333" t="s">
        <v>1058</v>
      </c>
      <c r="K868" s="1333" t="s">
        <v>4158</v>
      </c>
      <c r="L868" s="1333" t="s">
        <v>2480</v>
      </c>
      <c r="M868" s="1335">
        <v>1.0</v>
      </c>
    </row>
    <row r="869">
      <c r="A869" s="1333"/>
      <c r="B869" s="1333"/>
      <c r="C869" s="1333"/>
      <c r="D869" s="1333"/>
      <c r="E869" s="1333"/>
      <c r="F869" s="1333"/>
      <c r="G869" s="1333">
        <v>2023.0</v>
      </c>
      <c r="H869" s="1333" t="s">
        <v>2118</v>
      </c>
      <c r="I869" s="1333" t="s">
        <v>4173</v>
      </c>
      <c r="J869" s="1333" t="s">
        <v>1058</v>
      </c>
      <c r="K869" s="1333" t="s">
        <v>4166</v>
      </c>
      <c r="L869" s="1333" t="s">
        <v>2480</v>
      </c>
      <c r="M869" s="1335">
        <v>1.0</v>
      </c>
    </row>
    <row r="870">
      <c r="A870" s="1333"/>
      <c r="B870" s="1333"/>
      <c r="C870" s="1333"/>
      <c r="D870" s="1333"/>
      <c r="E870" s="1333"/>
      <c r="F870" s="1333"/>
      <c r="G870" s="1333">
        <v>2023.0</v>
      </c>
      <c r="H870" s="1333" t="s">
        <v>2118</v>
      </c>
      <c r="I870" s="1333" t="s">
        <v>4173</v>
      </c>
      <c r="J870" s="1333" t="s">
        <v>1058</v>
      </c>
      <c r="K870" s="1333" t="s">
        <v>4161</v>
      </c>
      <c r="L870" s="1333" t="s">
        <v>2480</v>
      </c>
      <c r="M870" s="1335">
        <v>1.0</v>
      </c>
    </row>
    <row r="871">
      <c r="A871" s="1333"/>
      <c r="B871" s="1333"/>
      <c r="C871" s="1333"/>
      <c r="D871" s="1333"/>
      <c r="E871" s="1333"/>
      <c r="F871" s="1333"/>
      <c r="G871" s="1333">
        <v>2023.0</v>
      </c>
      <c r="H871" s="1333" t="s">
        <v>2118</v>
      </c>
      <c r="I871" s="1333" t="s">
        <v>4173</v>
      </c>
      <c r="J871" s="1333" t="s">
        <v>1058</v>
      </c>
      <c r="K871" s="1333" t="s">
        <v>4160</v>
      </c>
      <c r="L871" s="1333" t="s">
        <v>2480</v>
      </c>
      <c r="M871" s="1335">
        <v>1.0</v>
      </c>
    </row>
    <row r="872">
      <c r="A872" s="1333"/>
      <c r="B872" s="1333"/>
      <c r="C872" s="1333"/>
      <c r="D872" s="1333"/>
      <c r="E872" s="1333"/>
      <c r="F872" s="1333"/>
      <c r="G872" s="1333">
        <v>2023.0</v>
      </c>
      <c r="H872" s="1333" t="s">
        <v>2118</v>
      </c>
      <c r="I872" s="1333" t="s">
        <v>4173</v>
      </c>
      <c r="J872" s="1333" t="s">
        <v>4161</v>
      </c>
      <c r="K872" s="1333" t="s">
        <v>4167</v>
      </c>
      <c r="L872" s="1333" t="s">
        <v>2480</v>
      </c>
      <c r="M872" s="1335">
        <v>1.0</v>
      </c>
    </row>
    <row r="873">
      <c r="A873" s="1333"/>
      <c r="B873" s="1333"/>
      <c r="C873" s="1333"/>
      <c r="D873" s="1333"/>
      <c r="E873" s="1333"/>
      <c r="F873" s="1333"/>
      <c r="G873" s="1333">
        <v>2023.0</v>
      </c>
      <c r="H873" s="1333" t="s">
        <v>2118</v>
      </c>
      <c r="I873" s="1333" t="s">
        <v>4173</v>
      </c>
      <c r="J873" s="1333" t="s">
        <v>4161</v>
      </c>
      <c r="K873" s="1333" t="s">
        <v>1055</v>
      </c>
      <c r="L873" s="1333" t="s">
        <v>1724</v>
      </c>
      <c r="M873" s="1335">
        <v>35.0</v>
      </c>
    </row>
    <row r="874">
      <c r="A874" s="1333"/>
      <c r="B874" s="1333"/>
      <c r="C874" s="1333"/>
      <c r="D874" s="1333"/>
      <c r="E874" s="1333"/>
      <c r="F874" s="1333"/>
      <c r="G874" s="1333">
        <v>2023.0</v>
      </c>
      <c r="H874" s="1333" t="s">
        <v>2118</v>
      </c>
      <c r="I874" s="1333" t="s">
        <v>4173</v>
      </c>
      <c r="J874" s="1333" t="s">
        <v>4161</v>
      </c>
      <c r="K874" s="1333" t="s">
        <v>4161</v>
      </c>
      <c r="L874" s="1333" t="s">
        <v>2480</v>
      </c>
      <c r="M874" s="1335">
        <v>1.0</v>
      </c>
    </row>
    <row r="875">
      <c r="A875" s="1333"/>
      <c r="B875" s="1333"/>
      <c r="C875" s="1333"/>
      <c r="D875" s="1333"/>
      <c r="E875" s="1333"/>
      <c r="F875" s="1333"/>
      <c r="G875" s="1333">
        <v>2023.0</v>
      </c>
      <c r="H875" s="1333" t="s">
        <v>913</v>
      </c>
      <c r="I875" s="1333" t="s">
        <v>4173</v>
      </c>
      <c r="J875" s="1333" t="s">
        <v>1058</v>
      </c>
      <c r="K875" s="1333" t="s">
        <v>4161</v>
      </c>
      <c r="L875" s="1333" t="s">
        <v>2480</v>
      </c>
      <c r="M875" s="1335">
        <v>1.0</v>
      </c>
    </row>
    <row r="876">
      <c r="A876" s="1333"/>
      <c r="B876" s="1333"/>
      <c r="C876" s="1333"/>
      <c r="D876" s="1333"/>
      <c r="E876" s="1333"/>
      <c r="F876" s="1333"/>
      <c r="G876" s="1333">
        <v>2023.0</v>
      </c>
      <c r="H876" s="1333" t="s">
        <v>913</v>
      </c>
      <c r="I876" s="1333" t="s">
        <v>4173</v>
      </c>
      <c r="J876" s="1333" t="s">
        <v>1058</v>
      </c>
      <c r="K876" s="1333" t="s">
        <v>4160</v>
      </c>
      <c r="L876" s="1333" t="s">
        <v>2480</v>
      </c>
      <c r="M876" s="1335">
        <v>4.0</v>
      </c>
    </row>
    <row r="877">
      <c r="A877" s="1333"/>
      <c r="B877" s="1333"/>
      <c r="C877" s="1333"/>
      <c r="D877" s="1333"/>
      <c r="E877" s="1333"/>
      <c r="F877" s="1333"/>
      <c r="G877" s="1333">
        <v>2023.0</v>
      </c>
      <c r="H877" s="1333" t="s">
        <v>913</v>
      </c>
      <c r="I877" s="1333" t="s">
        <v>4173</v>
      </c>
      <c r="J877" s="1333" t="s">
        <v>4161</v>
      </c>
      <c r="K877" s="1333" t="s">
        <v>1055</v>
      </c>
      <c r="L877" s="1333" t="s">
        <v>1724</v>
      </c>
      <c r="M877" s="1335">
        <v>1.0</v>
      </c>
    </row>
    <row r="878">
      <c r="A878" s="1333"/>
      <c r="B878" s="1333"/>
      <c r="C878" s="1333"/>
      <c r="D878" s="1333"/>
      <c r="E878" s="1333"/>
      <c r="F878" s="1333"/>
      <c r="G878" s="1333">
        <v>2023.0</v>
      </c>
      <c r="H878" s="1333" t="s">
        <v>610</v>
      </c>
      <c r="I878" s="1333" t="s">
        <v>4169</v>
      </c>
      <c r="J878" s="1333" t="s">
        <v>1058</v>
      </c>
      <c r="K878" s="1333" t="s">
        <v>4163</v>
      </c>
      <c r="L878" s="1333" t="s">
        <v>2480</v>
      </c>
      <c r="M878" s="1335">
        <v>2.0</v>
      </c>
    </row>
    <row r="879">
      <c r="A879" s="1333"/>
      <c r="B879" s="1333"/>
      <c r="C879" s="1333"/>
      <c r="D879" s="1333"/>
      <c r="E879" s="1333"/>
      <c r="F879" s="1333"/>
      <c r="G879" s="1333">
        <v>2023.0</v>
      </c>
      <c r="H879" s="1333" t="s">
        <v>610</v>
      </c>
      <c r="I879" s="1333" t="s">
        <v>4169</v>
      </c>
      <c r="J879" s="1333" t="s">
        <v>1058</v>
      </c>
      <c r="K879" s="1333" t="s">
        <v>4156</v>
      </c>
      <c r="L879" s="1333" t="s">
        <v>2480</v>
      </c>
      <c r="M879" s="1335">
        <v>4.0</v>
      </c>
    </row>
    <row r="880">
      <c r="A880" s="1333"/>
      <c r="B880" s="1333"/>
      <c r="C880" s="1333"/>
      <c r="D880" s="1333"/>
      <c r="E880" s="1333"/>
      <c r="F880" s="1333"/>
      <c r="G880" s="1333">
        <v>2023.0</v>
      </c>
      <c r="H880" s="1333" t="s">
        <v>610</v>
      </c>
      <c r="I880" s="1333" t="s">
        <v>4169</v>
      </c>
      <c r="J880" s="1333" t="s">
        <v>1058</v>
      </c>
      <c r="K880" s="1333" t="s">
        <v>4160</v>
      </c>
      <c r="L880" s="1333" t="s">
        <v>2480</v>
      </c>
      <c r="M880" s="1335">
        <v>1.0</v>
      </c>
    </row>
    <row r="881">
      <c r="A881" s="1333"/>
      <c r="B881" s="1333"/>
      <c r="C881" s="1333"/>
      <c r="D881" s="1333"/>
      <c r="E881" s="1333"/>
      <c r="F881" s="1333"/>
      <c r="G881" s="1333">
        <v>2023.0</v>
      </c>
      <c r="H881" s="1333" t="s">
        <v>610</v>
      </c>
      <c r="I881" s="1333" t="s">
        <v>4169</v>
      </c>
      <c r="J881" s="1333" t="s">
        <v>4161</v>
      </c>
      <c r="K881" s="1333" t="s">
        <v>1055</v>
      </c>
      <c r="L881" s="1333" t="s">
        <v>1724</v>
      </c>
      <c r="M881" s="1335">
        <v>2.0</v>
      </c>
    </row>
    <row r="882">
      <c r="A882" s="1333"/>
      <c r="B882" s="1333"/>
      <c r="C882" s="1333"/>
      <c r="D882" s="1333"/>
      <c r="E882" s="1333"/>
      <c r="F882" s="1333"/>
      <c r="G882" s="1333">
        <v>2023.0</v>
      </c>
      <c r="H882" s="1333" t="s">
        <v>2119</v>
      </c>
      <c r="I882" s="1333" t="s">
        <v>4169</v>
      </c>
      <c r="J882" s="1333" t="s">
        <v>1058</v>
      </c>
      <c r="K882" s="1333" t="s">
        <v>4156</v>
      </c>
      <c r="L882" s="1333" t="s">
        <v>2480</v>
      </c>
      <c r="M882" s="1335">
        <v>4.0</v>
      </c>
    </row>
    <row r="883">
      <c r="A883" s="1333"/>
      <c r="B883" s="1333"/>
      <c r="C883" s="1333"/>
      <c r="D883" s="1333"/>
      <c r="E883" s="1333"/>
      <c r="F883" s="1333"/>
      <c r="G883" s="1333">
        <v>2023.0</v>
      </c>
      <c r="H883" s="1333" t="s">
        <v>2119</v>
      </c>
      <c r="I883" s="1333" t="s">
        <v>4169</v>
      </c>
      <c r="J883" s="1333" t="s">
        <v>1058</v>
      </c>
      <c r="K883" s="1333" t="s">
        <v>4159</v>
      </c>
      <c r="L883" s="1333" t="s">
        <v>1724</v>
      </c>
      <c r="M883" s="1335">
        <v>1.0</v>
      </c>
    </row>
    <row r="884">
      <c r="A884" s="1333"/>
      <c r="B884" s="1333"/>
      <c r="C884" s="1333"/>
      <c r="D884" s="1333"/>
      <c r="E884" s="1333"/>
      <c r="F884" s="1333"/>
      <c r="G884" s="1333">
        <v>2023.0</v>
      </c>
      <c r="H884" s="1333" t="s">
        <v>2119</v>
      </c>
      <c r="I884" s="1333" t="s">
        <v>4169</v>
      </c>
      <c r="J884" s="1333" t="s">
        <v>1058</v>
      </c>
      <c r="K884" s="1333" t="s">
        <v>4166</v>
      </c>
      <c r="L884" s="1333" t="s">
        <v>2480</v>
      </c>
      <c r="M884" s="1335">
        <v>1.0</v>
      </c>
    </row>
    <row r="885">
      <c r="A885" s="1333"/>
      <c r="B885" s="1333"/>
      <c r="C885" s="1333"/>
      <c r="D885" s="1333"/>
      <c r="E885" s="1333"/>
      <c r="F885" s="1333"/>
      <c r="G885" s="1333">
        <v>2023.0</v>
      </c>
      <c r="H885" s="1333" t="s">
        <v>2119</v>
      </c>
      <c r="I885" s="1333" t="s">
        <v>4169</v>
      </c>
      <c r="J885" s="1333" t="s">
        <v>1058</v>
      </c>
      <c r="K885" s="1333" t="s">
        <v>4161</v>
      </c>
      <c r="L885" s="1333" t="s">
        <v>2480</v>
      </c>
      <c r="M885" s="1335">
        <v>1.0</v>
      </c>
    </row>
    <row r="886">
      <c r="A886" s="1333"/>
      <c r="B886" s="1333"/>
      <c r="C886" s="1333"/>
      <c r="D886" s="1333"/>
      <c r="E886" s="1333"/>
      <c r="F886" s="1333"/>
      <c r="G886" s="1333">
        <v>2023.0</v>
      </c>
      <c r="H886" s="1333" t="s">
        <v>2119</v>
      </c>
      <c r="I886" s="1333" t="s">
        <v>4169</v>
      </c>
      <c r="J886" s="1333" t="s">
        <v>1058</v>
      </c>
      <c r="K886" s="1333" t="s">
        <v>4160</v>
      </c>
      <c r="L886" s="1333" t="s">
        <v>2480</v>
      </c>
      <c r="M886" s="1335">
        <v>2.0</v>
      </c>
    </row>
    <row r="887">
      <c r="A887" s="1333"/>
      <c r="B887" s="1333"/>
      <c r="C887" s="1333"/>
      <c r="D887" s="1333"/>
      <c r="E887" s="1333"/>
      <c r="F887" s="1333"/>
      <c r="G887" s="1333">
        <v>2023.0</v>
      </c>
      <c r="H887" s="1333" t="s">
        <v>2119</v>
      </c>
      <c r="I887" s="1333" t="s">
        <v>4169</v>
      </c>
      <c r="J887" s="1333" t="s">
        <v>4161</v>
      </c>
      <c r="K887" s="1333" t="s">
        <v>1055</v>
      </c>
      <c r="L887" s="1333" t="s">
        <v>1724</v>
      </c>
      <c r="M887" s="1335">
        <v>8.0</v>
      </c>
    </row>
    <row r="888">
      <c r="A888" s="1333"/>
      <c r="B888" s="1333"/>
      <c r="C888" s="1333"/>
      <c r="D888" s="1333"/>
      <c r="E888" s="1333"/>
      <c r="F888" s="1333"/>
      <c r="G888" s="1333">
        <v>2023.0</v>
      </c>
      <c r="H888" s="1333" t="s">
        <v>157</v>
      </c>
      <c r="I888" s="1333" t="s">
        <v>4172</v>
      </c>
      <c r="J888" s="1333" t="s">
        <v>1058</v>
      </c>
      <c r="K888" s="1333" t="s">
        <v>4156</v>
      </c>
      <c r="L888" s="1333" t="s">
        <v>2480</v>
      </c>
      <c r="M888" s="1335">
        <v>116.0</v>
      </c>
    </row>
    <row r="889">
      <c r="A889" s="1333"/>
      <c r="B889" s="1333"/>
      <c r="C889" s="1333"/>
      <c r="D889" s="1333"/>
      <c r="E889" s="1333"/>
      <c r="F889" s="1333"/>
      <c r="G889" s="1333">
        <v>2023.0</v>
      </c>
      <c r="H889" s="1333" t="s">
        <v>157</v>
      </c>
      <c r="I889" s="1333" t="s">
        <v>4172</v>
      </c>
      <c r="J889" s="1333" t="s">
        <v>1058</v>
      </c>
      <c r="K889" s="1333" t="s">
        <v>4157</v>
      </c>
      <c r="L889" s="1333" t="s">
        <v>1724</v>
      </c>
      <c r="M889" s="1335">
        <v>16.0</v>
      </c>
    </row>
    <row r="890">
      <c r="A890" s="1333"/>
      <c r="B890" s="1333"/>
      <c r="C890" s="1333"/>
      <c r="D890" s="1333"/>
      <c r="E890" s="1333"/>
      <c r="F890" s="1333"/>
      <c r="G890" s="1333">
        <v>2023.0</v>
      </c>
      <c r="H890" s="1333" t="s">
        <v>157</v>
      </c>
      <c r="I890" s="1333" t="s">
        <v>4172</v>
      </c>
      <c r="J890" s="1333" t="s">
        <v>1058</v>
      </c>
      <c r="K890" s="1333" t="s">
        <v>4159</v>
      </c>
      <c r="L890" s="1333" t="s">
        <v>1724</v>
      </c>
      <c r="M890" s="1335">
        <v>1.0</v>
      </c>
    </row>
    <row r="891">
      <c r="A891" s="1333"/>
      <c r="B891" s="1333"/>
      <c r="C891" s="1333"/>
      <c r="D891" s="1333"/>
      <c r="E891" s="1333"/>
      <c r="F891" s="1333"/>
      <c r="G891" s="1333">
        <v>2023.0</v>
      </c>
      <c r="H891" s="1333" t="s">
        <v>157</v>
      </c>
      <c r="I891" s="1333" t="s">
        <v>4172</v>
      </c>
      <c r="J891" s="1333" t="s">
        <v>1058</v>
      </c>
      <c r="K891" s="1333" t="s">
        <v>4165</v>
      </c>
      <c r="L891" s="1333" t="s">
        <v>2480</v>
      </c>
      <c r="M891" s="1335">
        <v>2.0</v>
      </c>
    </row>
    <row r="892">
      <c r="A892" s="1333"/>
      <c r="B892" s="1333"/>
      <c r="C892" s="1333"/>
      <c r="D892" s="1333"/>
      <c r="E892" s="1333"/>
      <c r="F892" s="1333"/>
      <c r="G892" s="1333">
        <v>2023.0</v>
      </c>
      <c r="H892" s="1333" t="s">
        <v>157</v>
      </c>
      <c r="I892" s="1333" t="s">
        <v>4172</v>
      </c>
      <c r="J892" s="1333" t="s">
        <v>1058</v>
      </c>
      <c r="K892" s="1333" t="s">
        <v>4166</v>
      </c>
      <c r="L892" s="1333" t="s">
        <v>2480</v>
      </c>
      <c r="M892" s="1335">
        <v>11.0</v>
      </c>
    </row>
    <row r="893">
      <c r="A893" s="1333"/>
      <c r="B893" s="1333"/>
      <c r="C893" s="1333"/>
      <c r="D893" s="1333"/>
      <c r="E893" s="1333"/>
      <c r="F893" s="1333"/>
      <c r="G893" s="1333">
        <v>2023.0</v>
      </c>
      <c r="H893" s="1333" t="s">
        <v>157</v>
      </c>
      <c r="I893" s="1333" t="s">
        <v>4172</v>
      </c>
      <c r="J893" s="1333" t="s">
        <v>1058</v>
      </c>
      <c r="K893" s="1333" t="s">
        <v>4161</v>
      </c>
      <c r="L893" s="1333" t="s">
        <v>2480</v>
      </c>
      <c r="M893" s="1335">
        <v>4.0</v>
      </c>
    </row>
    <row r="894">
      <c r="A894" s="1333"/>
      <c r="B894" s="1333"/>
      <c r="C894" s="1333"/>
      <c r="D894" s="1333"/>
      <c r="E894" s="1333"/>
      <c r="F894" s="1333"/>
      <c r="G894" s="1333">
        <v>2023.0</v>
      </c>
      <c r="H894" s="1333" t="s">
        <v>157</v>
      </c>
      <c r="I894" s="1333" t="s">
        <v>4172</v>
      </c>
      <c r="J894" s="1333" t="s">
        <v>1058</v>
      </c>
      <c r="K894" s="1333" t="s">
        <v>4160</v>
      </c>
      <c r="L894" s="1333" t="s">
        <v>2480</v>
      </c>
      <c r="M894" s="1335">
        <v>22.0</v>
      </c>
    </row>
    <row r="895">
      <c r="A895" s="1333"/>
      <c r="B895" s="1333"/>
      <c r="C895" s="1333"/>
      <c r="D895" s="1333"/>
      <c r="E895" s="1333"/>
      <c r="F895" s="1333"/>
      <c r="G895" s="1333">
        <v>2023.0</v>
      </c>
      <c r="H895" s="1333" t="s">
        <v>157</v>
      </c>
      <c r="I895" s="1333" t="s">
        <v>4172</v>
      </c>
      <c r="J895" s="1333" t="s">
        <v>4161</v>
      </c>
      <c r="K895" s="1333" t="s">
        <v>4167</v>
      </c>
      <c r="L895" s="1333" t="s">
        <v>2480</v>
      </c>
      <c r="M895" s="1335">
        <v>2.0</v>
      </c>
    </row>
    <row r="896">
      <c r="A896" s="1333"/>
      <c r="B896" s="1333"/>
      <c r="C896" s="1333"/>
      <c r="D896" s="1333"/>
      <c r="E896" s="1333"/>
      <c r="F896" s="1333"/>
      <c r="G896" s="1333">
        <v>2023.0</v>
      </c>
      <c r="H896" s="1333" t="s">
        <v>157</v>
      </c>
      <c r="I896" s="1333" t="s">
        <v>4172</v>
      </c>
      <c r="J896" s="1333" t="s">
        <v>4161</v>
      </c>
      <c r="K896" s="1333" t="s">
        <v>1055</v>
      </c>
      <c r="L896" s="1333" t="s">
        <v>1724</v>
      </c>
      <c r="M896" s="1335">
        <v>88.0</v>
      </c>
    </row>
    <row r="897">
      <c r="A897" s="1333"/>
      <c r="B897" s="1333"/>
      <c r="C897" s="1333"/>
      <c r="D897" s="1333"/>
      <c r="E897" s="1333"/>
      <c r="F897" s="1333"/>
      <c r="G897" s="1333">
        <v>2023.0</v>
      </c>
      <c r="H897" s="1333" t="s">
        <v>157</v>
      </c>
      <c r="I897" s="1333" t="s">
        <v>4172</v>
      </c>
      <c r="J897" s="1333" t="s">
        <v>4161</v>
      </c>
      <c r="K897" s="1333" t="s">
        <v>4161</v>
      </c>
      <c r="L897" s="1333" t="s">
        <v>2480</v>
      </c>
      <c r="M897" s="1335">
        <v>4.0</v>
      </c>
    </row>
    <row r="898">
      <c r="A898" s="1333"/>
      <c r="B898" s="1333"/>
      <c r="C898" s="1333"/>
      <c r="D898" s="1333"/>
      <c r="E898" s="1333"/>
      <c r="F898" s="1333"/>
      <c r="G898" s="1333">
        <v>2023.0</v>
      </c>
      <c r="H898" s="1333" t="s">
        <v>1615</v>
      </c>
      <c r="I898" s="1333" t="s">
        <v>4170</v>
      </c>
      <c r="J898" s="1333" t="s">
        <v>1058</v>
      </c>
      <c r="K898" s="1333" t="s">
        <v>4163</v>
      </c>
      <c r="L898" s="1333" t="s">
        <v>2480</v>
      </c>
      <c r="M898" s="1335">
        <v>3.0</v>
      </c>
    </row>
    <row r="899">
      <c r="A899" s="1333"/>
      <c r="B899" s="1333"/>
      <c r="C899" s="1333"/>
      <c r="D899" s="1333"/>
      <c r="E899" s="1333"/>
      <c r="F899" s="1333"/>
      <c r="G899" s="1333">
        <v>2023.0</v>
      </c>
      <c r="H899" s="1333" t="s">
        <v>1615</v>
      </c>
      <c r="I899" s="1333" t="s">
        <v>4170</v>
      </c>
      <c r="J899" s="1333" t="s">
        <v>1058</v>
      </c>
      <c r="K899" s="1333" t="s">
        <v>4156</v>
      </c>
      <c r="L899" s="1333" t="s">
        <v>2480</v>
      </c>
      <c r="M899" s="1335">
        <v>18.0</v>
      </c>
    </row>
    <row r="900">
      <c r="A900" s="1333"/>
      <c r="B900" s="1333"/>
      <c r="C900" s="1333"/>
      <c r="D900" s="1333"/>
      <c r="E900" s="1333"/>
      <c r="F900" s="1333"/>
      <c r="G900" s="1333">
        <v>2023.0</v>
      </c>
      <c r="H900" s="1333" t="s">
        <v>1615</v>
      </c>
      <c r="I900" s="1333" t="s">
        <v>4170</v>
      </c>
      <c r="J900" s="1333" t="s">
        <v>1058</v>
      </c>
      <c r="K900" s="1333" t="s">
        <v>4158</v>
      </c>
      <c r="L900" s="1333" t="s">
        <v>2480</v>
      </c>
      <c r="M900" s="1335">
        <v>1.0</v>
      </c>
    </row>
    <row r="901">
      <c r="A901" s="1333"/>
      <c r="B901" s="1333"/>
      <c r="C901" s="1333"/>
      <c r="D901" s="1333"/>
      <c r="E901" s="1333"/>
      <c r="F901" s="1333"/>
      <c r="G901" s="1333">
        <v>2023.0</v>
      </c>
      <c r="H901" s="1333" t="s">
        <v>1615</v>
      </c>
      <c r="I901" s="1333" t="s">
        <v>4170</v>
      </c>
      <c r="J901" s="1333" t="s">
        <v>1058</v>
      </c>
      <c r="K901" s="1333" t="s">
        <v>4161</v>
      </c>
      <c r="L901" s="1333" t="s">
        <v>2480</v>
      </c>
      <c r="M901" s="1335">
        <v>3.0</v>
      </c>
    </row>
    <row r="902">
      <c r="A902" s="1333"/>
      <c r="B902" s="1333"/>
      <c r="C902" s="1333"/>
      <c r="D902" s="1333"/>
      <c r="E902" s="1333"/>
      <c r="F902" s="1333"/>
      <c r="G902" s="1333">
        <v>2023.0</v>
      </c>
      <c r="H902" s="1333" t="s">
        <v>1615</v>
      </c>
      <c r="I902" s="1333" t="s">
        <v>4170</v>
      </c>
      <c r="J902" s="1333" t="s">
        <v>1058</v>
      </c>
      <c r="K902" s="1333" t="s">
        <v>4160</v>
      </c>
      <c r="L902" s="1333" t="s">
        <v>2480</v>
      </c>
      <c r="M902" s="1335">
        <v>1.0</v>
      </c>
    </row>
    <row r="903">
      <c r="A903" s="1333"/>
      <c r="B903" s="1333"/>
      <c r="C903" s="1333"/>
      <c r="D903" s="1333"/>
      <c r="E903" s="1333"/>
      <c r="F903" s="1333"/>
      <c r="G903" s="1333">
        <v>2023.0</v>
      </c>
      <c r="H903" s="1333" t="s">
        <v>1615</v>
      </c>
      <c r="I903" s="1333" t="s">
        <v>4170</v>
      </c>
      <c r="J903" s="1333" t="s">
        <v>4161</v>
      </c>
      <c r="K903" s="1333" t="s">
        <v>1055</v>
      </c>
      <c r="L903" s="1333" t="s">
        <v>1724</v>
      </c>
      <c r="M903" s="1335">
        <v>3.0</v>
      </c>
    </row>
    <row r="904">
      <c r="A904" s="1333"/>
      <c r="B904" s="1333"/>
      <c r="C904" s="1333"/>
      <c r="D904" s="1333"/>
      <c r="E904" s="1333"/>
      <c r="F904" s="1333"/>
      <c r="G904" s="1333">
        <v>2023.0</v>
      </c>
      <c r="H904" s="1333" t="s">
        <v>990</v>
      </c>
      <c r="I904" s="1333" t="s">
        <v>4155</v>
      </c>
      <c r="J904" s="1333" t="s">
        <v>1058</v>
      </c>
      <c r="K904" s="1333" t="s">
        <v>4156</v>
      </c>
      <c r="L904" s="1333" t="s">
        <v>2480</v>
      </c>
      <c r="M904" s="1335">
        <v>5.0</v>
      </c>
    </row>
    <row r="905">
      <c r="A905" s="1333"/>
      <c r="B905" s="1333"/>
      <c r="C905" s="1333"/>
      <c r="D905" s="1333"/>
      <c r="E905" s="1333"/>
      <c r="F905" s="1333"/>
      <c r="G905" s="1333">
        <v>2023.0</v>
      </c>
      <c r="H905" s="1333" t="s">
        <v>990</v>
      </c>
      <c r="I905" s="1333" t="s">
        <v>4155</v>
      </c>
      <c r="J905" s="1333" t="s">
        <v>1058</v>
      </c>
      <c r="K905" s="1333" t="s">
        <v>4158</v>
      </c>
      <c r="L905" s="1333" t="s">
        <v>2480</v>
      </c>
      <c r="M905" s="1335">
        <v>1.0</v>
      </c>
    </row>
    <row r="906">
      <c r="A906" s="1333"/>
      <c r="B906" s="1333"/>
      <c r="C906" s="1333"/>
      <c r="D906" s="1333"/>
      <c r="E906" s="1333"/>
      <c r="F906" s="1333"/>
      <c r="G906" s="1333">
        <v>2023.0</v>
      </c>
      <c r="H906" s="1333" t="s">
        <v>990</v>
      </c>
      <c r="I906" s="1333" t="s">
        <v>4155</v>
      </c>
      <c r="J906" s="1333" t="s">
        <v>4161</v>
      </c>
      <c r="K906" s="1333" t="s">
        <v>1055</v>
      </c>
      <c r="L906" s="1333" t="s">
        <v>1724</v>
      </c>
      <c r="M906" s="1335">
        <v>6.0</v>
      </c>
    </row>
    <row r="907">
      <c r="A907" s="1333"/>
      <c r="B907" s="1333"/>
      <c r="C907" s="1333"/>
      <c r="D907" s="1333"/>
      <c r="E907" s="1333"/>
      <c r="F907" s="1333"/>
      <c r="G907" s="1333">
        <v>2023.0</v>
      </c>
      <c r="H907" s="1333" t="s">
        <v>990</v>
      </c>
      <c r="I907" s="1333" t="s">
        <v>4155</v>
      </c>
      <c r="J907" s="1333" t="s">
        <v>4161</v>
      </c>
      <c r="K907" s="1333" t="s">
        <v>4161</v>
      </c>
      <c r="L907" s="1333" t="s">
        <v>2480</v>
      </c>
      <c r="M907" s="1335">
        <v>1.0</v>
      </c>
    </row>
    <row r="908">
      <c r="A908" s="1333"/>
      <c r="B908" s="1333"/>
      <c r="C908" s="1333"/>
      <c r="D908" s="1333"/>
      <c r="E908" s="1333"/>
      <c r="F908" s="1333"/>
      <c r="G908" s="1333">
        <v>2023.0</v>
      </c>
      <c r="H908" s="1333" t="s">
        <v>2121</v>
      </c>
      <c r="I908" s="1333" t="s">
        <v>4164</v>
      </c>
      <c r="J908" s="1333" t="s">
        <v>1058</v>
      </c>
      <c r="K908" s="1333" t="s">
        <v>4156</v>
      </c>
      <c r="L908" s="1333" t="s">
        <v>2480</v>
      </c>
      <c r="M908" s="1335">
        <v>38.0</v>
      </c>
    </row>
    <row r="909">
      <c r="A909" s="1333"/>
      <c r="B909" s="1333"/>
      <c r="C909" s="1333"/>
      <c r="D909" s="1333"/>
      <c r="E909" s="1333"/>
      <c r="F909" s="1333"/>
      <c r="G909" s="1333">
        <v>2023.0</v>
      </c>
      <c r="H909" s="1333" t="s">
        <v>2121</v>
      </c>
      <c r="I909" s="1333" t="s">
        <v>4164</v>
      </c>
      <c r="J909" s="1333" t="s">
        <v>1058</v>
      </c>
      <c r="K909" s="1333" t="s">
        <v>4157</v>
      </c>
      <c r="L909" s="1333" t="s">
        <v>1724</v>
      </c>
      <c r="M909" s="1335">
        <v>5.0</v>
      </c>
    </row>
    <row r="910">
      <c r="A910" s="1333"/>
      <c r="B910" s="1333"/>
      <c r="C910" s="1333"/>
      <c r="D910" s="1333"/>
      <c r="E910" s="1333"/>
      <c r="F910" s="1333"/>
      <c r="G910" s="1333">
        <v>2023.0</v>
      </c>
      <c r="H910" s="1333" t="s">
        <v>2121</v>
      </c>
      <c r="I910" s="1333" t="s">
        <v>4164</v>
      </c>
      <c r="J910" s="1333" t="s">
        <v>1058</v>
      </c>
      <c r="K910" s="1333" t="s">
        <v>4159</v>
      </c>
      <c r="L910" s="1333" t="s">
        <v>1724</v>
      </c>
      <c r="M910" s="1335">
        <v>2.0</v>
      </c>
    </row>
    <row r="911">
      <c r="A911" s="1333"/>
      <c r="B911" s="1333"/>
      <c r="C911" s="1333"/>
      <c r="D911" s="1333"/>
      <c r="E911" s="1333"/>
      <c r="F911" s="1333"/>
      <c r="G911" s="1333">
        <v>2023.0</v>
      </c>
      <c r="H911" s="1333" t="s">
        <v>2121</v>
      </c>
      <c r="I911" s="1333" t="s">
        <v>4164</v>
      </c>
      <c r="J911" s="1333" t="s">
        <v>1058</v>
      </c>
      <c r="K911" s="1333" t="s">
        <v>4165</v>
      </c>
      <c r="L911" s="1333" t="s">
        <v>2480</v>
      </c>
      <c r="M911" s="1335">
        <v>1.0</v>
      </c>
    </row>
    <row r="912">
      <c r="A912" s="1333"/>
      <c r="B912" s="1333"/>
      <c r="C912" s="1333"/>
      <c r="D912" s="1333"/>
      <c r="E912" s="1333"/>
      <c r="F912" s="1333"/>
      <c r="G912" s="1333">
        <v>2023.0</v>
      </c>
      <c r="H912" s="1333" t="s">
        <v>2121</v>
      </c>
      <c r="I912" s="1333" t="s">
        <v>4164</v>
      </c>
      <c r="J912" s="1333" t="s">
        <v>1058</v>
      </c>
      <c r="K912" s="1333" t="s">
        <v>4166</v>
      </c>
      <c r="L912" s="1333" t="s">
        <v>2480</v>
      </c>
      <c r="M912" s="1335">
        <v>6.0</v>
      </c>
    </row>
    <row r="913">
      <c r="A913" s="1333"/>
      <c r="B913" s="1333"/>
      <c r="C913" s="1333"/>
      <c r="D913" s="1333"/>
      <c r="E913" s="1333"/>
      <c r="F913" s="1333"/>
      <c r="G913" s="1333">
        <v>2023.0</v>
      </c>
      <c r="H913" s="1333" t="s">
        <v>2121</v>
      </c>
      <c r="I913" s="1333" t="s">
        <v>4164</v>
      </c>
      <c r="J913" s="1333" t="s">
        <v>1058</v>
      </c>
      <c r="K913" s="1333" t="s">
        <v>4160</v>
      </c>
      <c r="L913" s="1333" t="s">
        <v>2480</v>
      </c>
      <c r="M913" s="1335">
        <v>4.0</v>
      </c>
    </row>
    <row r="914">
      <c r="A914" s="1333"/>
      <c r="B914" s="1333"/>
      <c r="C914" s="1333"/>
      <c r="D914" s="1333"/>
      <c r="E914" s="1333"/>
      <c r="F914" s="1333"/>
      <c r="G914" s="1333">
        <v>2023.0</v>
      </c>
      <c r="H914" s="1333" t="s">
        <v>2121</v>
      </c>
      <c r="I914" s="1333" t="s">
        <v>4164</v>
      </c>
      <c r="J914" s="1333" t="s">
        <v>4161</v>
      </c>
      <c r="K914" s="1333" t="s">
        <v>4174</v>
      </c>
      <c r="L914" s="1333" t="s">
        <v>2480</v>
      </c>
      <c r="M914" s="1335">
        <v>1.0</v>
      </c>
    </row>
    <row r="915">
      <c r="A915" s="1333"/>
      <c r="B915" s="1333"/>
      <c r="C915" s="1333"/>
      <c r="D915" s="1333"/>
      <c r="E915" s="1333"/>
      <c r="F915" s="1333"/>
      <c r="G915" s="1333">
        <v>2023.0</v>
      </c>
      <c r="H915" s="1333" t="s">
        <v>2121</v>
      </c>
      <c r="I915" s="1333" t="s">
        <v>4164</v>
      </c>
      <c r="J915" s="1333" t="s">
        <v>4161</v>
      </c>
      <c r="K915" s="1333" t="s">
        <v>1055</v>
      </c>
      <c r="L915" s="1333" t="s">
        <v>1724</v>
      </c>
      <c r="M915" s="1335">
        <v>13.0</v>
      </c>
    </row>
    <row r="916">
      <c r="A916" s="1333"/>
      <c r="B916" s="1333"/>
      <c r="C916" s="1333"/>
      <c r="D916" s="1333"/>
      <c r="E916" s="1333"/>
      <c r="F916" s="1333"/>
      <c r="G916" s="1333">
        <v>2023.0</v>
      </c>
      <c r="H916" s="1333" t="s">
        <v>2121</v>
      </c>
      <c r="I916" s="1333" t="s">
        <v>4164</v>
      </c>
      <c r="J916" s="1333" t="s">
        <v>4161</v>
      </c>
      <c r="K916" s="1333" t="s">
        <v>4161</v>
      </c>
      <c r="L916" s="1333" t="s">
        <v>2480</v>
      </c>
      <c r="M916" s="1335">
        <v>2.0</v>
      </c>
    </row>
    <row r="917">
      <c r="A917" s="1333"/>
      <c r="B917" s="1333"/>
      <c r="C917" s="1333"/>
      <c r="D917" s="1333"/>
      <c r="E917" s="1333"/>
      <c r="F917" s="1333"/>
      <c r="G917" s="1333">
        <v>2023.0</v>
      </c>
      <c r="H917" s="1333" t="s">
        <v>2122</v>
      </c>
      <c r="I917" s="1333" t="s">
        <v>4176</v>
      </c>
      <c r="J917" s="1333" t="s">
        <v>1058</v>
      </c>
      <c r="K917" s="1333" t="s">
        <v>4156</v>
      </c>
      <c r="L917" s="1333" t="s">
        <v>2480</v>
      </c>
      <c r="M917" s="1335">
        <v>10.0</v>
      </c>
    </row>
    <row r="918">
      <c r="A918" s="1333"/>
      <c r="B918" s="1333"/>
      <c r="C918" s="1333"/>
      <c r="D918" s="1333"/>
      <c r="E918" s="1333"/>
      <c r="F918" s="1333"/>
      <c r="G918" s="1333">
        <v>2023.0</v>
      </c>
      <c r="H918" s="1333" t="s">
        <v>2122</v>
      </c>
      <c r="I918" s="1333" t="s">
        <v>4176</v>
      </c>
      <c r="J918" s="1333" t="s">
        <v>1058</v>
      </c>
      <c r="K918" s="1333" t="s">
        <v>4157</v>
      </c>
      <c r="L918" s="1333" t="s">
        <v>1724</v>
      </c>
      <c r="M918" s="1335">
        <v>1.0</v>
      </c>
    </row>
    <row r="919">
      <c r="A919" s="1333"/>
      <c r="B919" s="1333"/>
      <c r="C919" s="1333"/>
      <c r="D919" s="1333"/>
      <c r="E919" s="1333"/>
      <c r="F919" s="1333"/>
      <c r="G919" s="1333">
        <v>2023.0</v>
      </c>
      <c r="H919" s="1333" t="s">
        <v>2122</v>
      </c>
      <c r="I919" s="1333" t="s">
        <v>4176</v>
      </c>
      <c r="J919" s="1333" t="s">
        <v>1058</v>
      </c>
      <c r="K919" s="1333" t="s">
        <v>4165</v>
      </c>
      <c r="L919" s="1333" t="s">
        <v>2480</v>
      </c>
      <c r="M919" s="1335">
        <v>3.0</v>
      </c>
    </row>
    <row r="920">
      <c r="A920" s="1333"/>
      <c r="B920" s="1333"/>
      <c r="C920" s="1333"/>
      <c r="D920" s="1333"/>
      <c r="E920" s="1333"/>
      <c r="F920" s="1333"/>
      <c r="G920" s="1333">
        <v>2023.0</v>
      </c>
      <c r="H920" s="1333" t="s">
        <v>2122</v>
      </c>
      <c r="I920" s="1333" t="s">
        <v>4176</v>
      </c>
      <c r="J920" s="1333" t="s">
        <v>1058</v>
      </c>
      <c r="K920" s="1333" t="s">
        <v>4166</v>
      </c>
      <c r="L920" s="1333" t="s">
        <v>2480</v>
      </c>
      <c r="M920" s="1335">
        <v>1.0</v>
      </c>
    </row>
    <row r="921">
      <c r="A921" s="1333"/>
      <c r="B921" s="1333"/>
      <c r="C921" s="1333"/>
      <c r="D921" s="1333"/>
      <c r="E921" s="1333"/>
      <c r="F921" s="1333"/>
      <c r="G921" s="1333">
        <v>2023.0</v>
      </c>
      <c r="H921" s="1333" t="s">
        <v>2122</v>
      </c>
      <c r="I921" s="1333" t="s">
        <v>4176</v>
      </c>
      <c r="J921" s="1333" t="s">
        <v>1058</v>
      </c>
      <c r="K921" s="1333" t="s">
        <v>4160</v>
      </c>
      <c r="L921" s="1333" t="s">
        <v>2480</v>
      </c>
      <c r="M921" s="1335">
        <v>1.0</v>
      </c>
    </row>
    <row r="922">
      <c r="A922" s="1333"/>
      <c r="B922" s="1333"/>
      <c r="C922" s="1333"/>
      <c r="D922" s="1333"/>
      <c r="E922" s="1333"/>
      <c r="F922" s="1333"/>
      <c r="G922" s="1333">
        <v>2023.0</v>
      </c>
      <c r="H922" s="1333" t="s">
        <v>2122</v>
      </c>
      <c r="I922" s="1333" t="s">
        <v>4176</v>
      </c>
      <c r="J922" s="1333" t="s">
        <v>4161</v>
      </c>
      <c r="K922" s="1333" t="s">
        <v>1055</v>
      </c>
      <c r="L922" s="1333" t="s">
        <v>1724</v>
      </c>
      <c r="M922" s="1335">
        <v>4.0</v>
      </c>
    </row>
    <row r="923">
      <c r="A923" s="1333"/>
      <c r="B923" s="1333"/>
      <c r="C923" s="1333"/>
      <c r="D923" s="1333"/>
      <c r="E923" s="1333"/>
      <c r="F923" s="1333"/>
      <c r="G923" s="1333">
        <v>2023.0</v>
      </c>
      <c r="H923" s="1333" t="s">
        <v>297</v>
      </c>
      <c r="I923" s="1333" t="s">
        <v>4164</v>
      </c>
      <c r="J923" s="1333" t="s">
        <v>1058</v>
      </c>
      <c r="K923" s="1333" t="s">
        <v>4156</v>
      </c>
      <c r="L923" s="1333" t="s">
        <v>2480</v>
      </c>
      <c r="M923" s="1335">
        <v>3.0</v>
      </c>
    </row>
    <row r="924">
      <c r="A924" s="1333"/>
      <c r="B924" s="1333"/>
      <c r="C924" s="1333"/>
      <c r="D924" s="1333"/>
      <c r="E924" s="1333"/>
      <c r="F924" s="1333"/>
      <c r="G924" s="1333">
        <v>2023.0</v>
      </c>
      <c r="H924" s="1333" t="s">
        <v>297</v>
      </c>
      <c r="I924" s="1333" t="s">
        <v>4164</v>
      </c>
      <c r="J924" s="1333" t="s">
        <v>1058</v>
      </c>
      <c r="K924" s="1333" t="s">
        <v>4166</v>
      </c>
      <c r="L924" s="1333" t="s">
        <v>2480</v>
      </c>
      <c r="M924" s="1335">
        <v>1.0</v>
      </c>
    </row>
    <row r="925">
      <c r="A925" s="1333"/>
      <c r="B925" s="1333"/>
      <c r="C925" s="1333"/>
      <c r="D925" s="1333"/>
      <c r="E925" s="1333"/>
      <c r="F925" s="1333"/>
      <c r="G925" s="1333">
        <v>2023.0</v>
      </c>
      <c r="H925" s="1333" t="s">
        <v>297</v>
      </c>
      <c r="I925" s="1333" t="s">
        <v>4164</v>
      </c>
      <c r="J925" s="1333" t="s">
        <v>4161</v>
      </c>
      <c r="K925" s="1333" t="s">
        <v>1055</v>
      </c>
      <c r="L925" s="1333" t="s">
        <v>1724</v>
      </c>
      <c r="M925" s="1335">
        <v>2.0</v>
      </c>
    </row>
    <row r="926">
      <c r="A926" s="1333"/>
      <c r="B926" s="1333"/>
      <c r="C926" s="1333"/>
      <c r="D926" s="1333"/>
      <c r="E926" s="1333"/>
      <c r="F926" s="1333"/>
      <c r="G926" s="1333">
        <v>2023.0</v>
      </c>
      <c r="H926" s="1333" t="s">
        <v>2123</v>
      </c>
      <c r="I926" s="1333" t="s">
        <v>4169</v>
      </c>
      <c r="J926" s="1333" t="s">
        <v>1058</v>
      </c>
      <c r="K926" s="1333" t="s">
        <v>4156</v>
      </c>
      <c r="L926" s="1333" t="s">
        <v>2480</v>
      </c>
      <c r="M926" s="1335">
        <v>11.0</v>
      </c>
    </row>
    <row r="927">
      <c r="A927" s="1333"/>
      <c r="B927" s="1333"/>
      <c r="C927" s="1333"/>
      <c r="D927" s="1333"/>
      <c r="E927" s="1333"/>
      <c r="F927" s="1333"/>
      <c r="G927" s="1333">
        <v>2023.0</v>
      </c>
      <c r="H927" s="1333" t="s">
        <v>2123</v>
      </c>
      <c r="I927" s="1333" t="s">
        <v>4169</v>
      </c>
      <c r="J927" s="1333" t="s">
        <v>1058</v>
      </c>
      <c r="K927" s="1333" t="s">
        <v>4157</v>
      </c>
      <c r="L927" s="1333" t="s">
        <v>1724</v>
      </c>
      <c r="M927" s="1335">
        <v>1.0</v>
      </c>
    </row>
    <row r="928">
      <c r="A928" s="1333"/>
      <c r="B928" s="1333"/>
      <c r="C928" s="1333"/>
      <c r="D928" s="1333"/>
      <c r="E928" s="1333"/>
      <c r="F928" s="1333"/>
      <c r="G928" s="1333">
        <v>2023.0</v>
      </c>
      <c r="H928" s="1333" t="s">
        <v>2123</v>
      </c>
      <c r="I928" s="1333" t="s">
        <v>4169</v>
      </c>
      <c r="J928" s="1333" t="s">
        <v>1058</v>
      </c>
      <c r="K928" s="1333" t="s">
        <v>4166</v>
      </c>
      <c r="L928" s="1333" t="s">
        <v>2480</v>
      </c>
      <c r="M928" s="1335">
        <v>1.0</v>
      </c>
    </row>
    <row r="929">
      <c r="A929" s="1333"/>
      <c r="B929" s="1333"/>
      <c r="C929" s="1333"/>
      <c r="D929" s="1333"/>
      <c r="E929" s="1333"/>
      <c r="F929" s="1333"/>
      <c r="G929" s="1333">
        <v>2023.0</v>
      </c>
      <c r="H929" s="1333" t="s">
        <v>2123</v>
      </c>
      <c r="I929" s="1333" t="s">
        <v>4169</v>
      </c>
      <c r="J929" s="1333" t="s">
        <v>1058</v>
      </c>
      <c r="K929" s="1333" t="s">
        <v>4161</v>
      </c>
      <c r="L929" s="1333" t="s">
        <v>2480</v>
      </c>
      <c r="M929" s="1335">
        <v>3.0</v>
      </c>
    </row>
    <row r="930">
      <c r="A930" s="1333"/>
      <c r="B930" s="1333"/>
      <c r="C930" s="1333"/>
      <c r="D930" s="1333"/>
      <c r="E930" s="1333"/>
      <c r="F930" s="1333"/>
      <c r="G930" s="1333">
        <v>2023.0</v>
      </c>
      <c r="H930" s="1333" t="s">
        <v>2123</v>
      </c>
      <c r="I930" s="1333" t="s">
        <v>4169</v>
      </c>
      <c r="J930" s="1333" t="s">
        <v>1058</v>
      </c>
      <c r="K930" s="1333" t="s">
        <v>4160</v>
      </c>
      <c r="L930" s="1333" t="s">
        <v>2480</v>
      </c>
      <c r="M930" s="1335">
        <v>2.0</v>
      </c>
    </row>
    <row r="931">
      <c r="A931" s="1333"/>
      <c r="B931" s="1333"/>
      <c r="C931" s="1333"/>
      <c r="D931" s="1333"/>
      <c r="E931" s="1333"/>
      <c r="F931" s="1333"/>
      <c r="G931" s="1333">
        <v>2023.0</v>
      </c>
      <c r="H931" s="1333" t="s">
        <v>2123</v>
      </c>
      <c r="I931" s="1333" t="s">
        <v>4169</v>
      </c>
      <c r="J931" s="1333" t="s">
        <v>4161</v>
      </c>
      <c r="K931" s="1333" t="s">
        <v>1055</v>
      </c>
      <c r="L931" s="1333" t="s">
        <v>1724</v>
      </c>
      <c r="M931" s="1335">
        <v>8.0</v>
      </c>
    </row>
    <row r="932">
      <c r="A932" s="1333"/>
      <c r="B932" s="1333"/>
      <c r="C932" s="1333"/>
      <c r="D932" s="1333"/>
      <c r="E932" s="1333"/>
      <c r="F932" s="1333"/>
      <c r="G932" s="1333">
        <v>2023.0</v>
      </c>
      <c r="H932" s="1333" t="s">
        <v>2124</v>
      </c>
      <c r="I932" s="1333" t="s">
        <v>4168</v>
      </c>
      <c r="J932" s="1333" t="s">
        <v>1058</v>
      </c>
      <c r="K932" s="1333" t="s">
        <v>4163</v>
      </c>
      <c r="L932" s="1333" t="s">
        <v>2480</v>
      </c>
      <c r="M932" s="1335">
        <v>4.0</v>
      </c>
    </row>
    <row r="933">
      <c r="A933" s="1333"/>
      <c r="B933" s="1333"/>
      <c r="C933" s="1333"/>
      <c r="D933" s="1333"/>
      <c r="E933" s="1333"/>
      <c r="F933" s="1333"/>
      <c r="G933" s="1333">
        <v>2023.0</v>
      </c>
      <c r="H933" s="1333" t="s">
        <v>2124</v>
      </c>
      <c r="I933" s="1333" t="s">
        <v>4168</v>
      </c>
      <c r="J933" s="1333" t="s">
        <v>1058</v>
      </c>
      <c r="K933" s="1333" t="s">
        <v>4156</v>
      </c>
      <c r="L933" s="1333" t="s">
        <v>2480</v>
      </c>
      <c r="M933" s="1335">
        <v>125.0</v>
      </c>
    </row>
    <row r="934">
      <c r="A934" s="1333"/>
      <c r="B934" s="1333"/>
      <c r="C934" s="1333"/>
      <c r="D934" s="1333"/>
      <c r="E934" s="1333"/>
      <c r="F934" s="1333"/>
      <c r="G934" s="1333">
        <v>2023.0</v>
      </c>
      <c r="H934" s="1333" t="s">
        <v>2124</v>
      </c>
      <c r="I934" s="1333" t="s">
        <v>4168</v>
      </c>
      <c r="J934" s="1333" t="s">
        <v>1058</v>
      </c>
      <c r="K934" s="1333" t="s">
        <v>4157</v>
      </c>
      <c r="L934" s="1333" t="s">
        <v>1724</v>
      </c>
      <c r="M934" s="1335">
        <v>8.0</v>
      </c>
    </row>
    <row r="935">
      <c r="A935" s="1333"/>
      <c r="B935" s="1333"/>
      <c r="C935" s="1333"/>
      <c r="D935" s="1333"/>
      <c r="E935" s="1333"/>
      <c r="F935" s="1333"/>
      <c r="G935" s="1333">
        <v>2023.0</v>
      </c>
      <c r="H935" s="1333" t="s">
        <v>2124</v>
      </c>
      <c r="I935" s="1333" t="s">
        <v>4168</v>
      </c>
      <c r="J935" s="1333" t="s">
        <v>1058</v>
      </c>
      <c r="K935" s="1333" t="s">
        <v>4158</v>
      </c>
      <c r="L935" s="1333" t="s">
        <v>2480</v>
      </c>
      <c r="M935" s="1335">
        <v>3.0</v>
      </c>
    </row>
    <row r="936">
      <c r="A936" s="1333"/>
      <c r="B936" s="1333"/>
      <c r="C936" s="1333"/>
      <c r="D936" s="1333"/>
      <c r="E936" s="1333"/>
      <c r="F936" s="1333"/>
      <c r="G936" s="1333">
        <v>2023.0</v>
      </c>
      <c r="H936" s="1333" t="s">
        <v>2124</v>
      </c>
      <c r="I936" s="1333" t="s">
        <v>4168</v>
      </c>
      <c r="J936" s="1333" t="s">
        <v>1058</v>
      </c>
      <c r="K936" s="1333" t="s">
        <v>4159</v>
      </c>
      <c r="L936" s="1333" t="s">
        <v>1724</v>
      </c>
      <c r="M936" s="1335">
        <v>4.0</v>
      </c>
    </row>
    <row r="937">
      <c r="A937" s="1333"/>
      <c r="B937" s="1333"/>
      <c r="C937" s="1333"/>
      <c r="D937" s="1333"/>
      <c r="E937" s="1333"/>
      <c r="F937" s="1333"/>
      <c r="G937" s="1333">
        <v>2023.0</v>
      </c>
      <c r="H937" s="1333" t="s">
        <v>2124</v>
      </c>
      <c r="I937" s="1333" t="s">
        <v>4168</v>
      </c>
      <c r="J937" s="1333" t="s">
        <v>1058</v>
      </c>
      <c r="K937" s="1333" t="s">
        <v>4165</v>
      </c>
      <c r="L937" s="1333" t="s">
        <v>2480</v>
      </c>
      <c r="M937" s="1335">
        <v>21.0</v>
      </c>
    </row>
    <row r="938">
      <c r="A938" s="1333"/>
      <c r="B938" s="1333"/>
      <c r="C938" s="1333"/>
      <c r="D938" s="1333"/>
      <c r="E938" s="1333"/>
      <c r="F938" s="1333"/>
      <c r="G938" s="1333">
        <v>2023.0</v>
      </c>
      <c r="H938" s="1333" t="s">
        <v>2124</v>
      </c>
      <c r="I938" s="1333" t="s">
        <v>4168</v>
      </c>
      <c r="J938" s="1333" t="s">
        <v>1058</v>
      </c>
      <c r="K938" s="1333" t="s">
        <v>4166</v>
      </c>
      <c r="L938" s="1333" t="s">
        <v>2480</v>
      </c>
      <c r="M938" s="1335">
        <v>15.0</v>
      </c>
    </row>
    <row r="939">
      <c r="A939" s="1333"/>
      <c r="B939" s="1333"/>
      <c r="C939" s="1333"/>
      <c r="D939" s="1333"/>
      <c r="E939" s="1333"/>
      <c r="F939" s="1333"/>
      <c r="G939" s="1333">
        <v>2023.0</v>
      </c>
      <c r="H939" s="1333" t="s">
        <v>2124</v>
      </c>
      <c r="I939" s="1333" t="s">
        <v>4168</v>
      </c>
      <c r="J939" s="1333" t="s">
        <v>1058</v>
      </c>
      <c r="K939" s="1333" t="s">
        <v>4161</v>
      </c>
      <c r="L939" s="1333" t="s">
        <v>2480</v>
      </c>
      <c r="M939" s="1335">
        <v>3.0</v>
      </c>
    </row>
    <row r="940">
      <c r="A940" s="1333"/>
      <c r="B940" s="1333"/>
      <c r="C940" s="1333"/>
      <c r="D940" s="1333"/>
      <c r="E940" s="1333"/>
      <c r="F940" s="1333"/>
      <c r="G940" s="1333">
        <v>2023.0</v>
      </c>
      <c r="H940" s="1333" t="s">
        <v>2124</v>
      </c>
      <c r="I940" s="1333" t="s">
        <v>4168</v>
      </c>
      <c r="J940" s="1333" t="s">
        <v>1058</v>
      </c>
      <c r="K940" s="1333" t="s">
        <v>4160</v>
      </c>
      <c r="L940" s="1333" t="s">
        <v>2480</v>
      </c>
      <c r="M940" s="1335">
        <v>23.0</v>
      </c>
    </row>
    <row r="941">
      <c r="A941" s="1333"/>
      <c r="B941" s="1333"/>
      <c r="C941" s="1333"/>
      <c r="D941" s="1333"/>
      <c r="E941" s="1333"/>
      <c r="F941" s="1333"/>
      <c r="G941" s="1333">
        <v>2023.0</v>
      </c>
      <c r="H941" s="1333" t="s">
        <v>2124</v>
      </c>
      <c r="I941" s="1333" t="s">
        <v>4168</v>
      </c>
      <c r="J941" s="1333" t="s">
        <v>4161</v>
      </c>
      <c r="K941" s="1333" t="s">
        <v>4167</v>
      </c>
      <c r="L941" s="1333" t="s">
        <v>2480</v>
      </c>
      <c r="M941" s="1335">
        <v>6.0</v>
      </c>
    </row>
    <row r="942">
      <c r="A942" s="1333"/>
      <c r="B942" s="1333"/>
      <c r="C942" s="1333"/>
      <c r="D942" s="1333"/>
      <c r="E942" s="1333"/>
      <c r="F942" s="1333"/>
      <c r="G942" s="1333">
        <v>2023.0</v>
      </c>
      <c r="H942" s="1333" t="s">
        <v>2124</v>
      </c>
      <c r="I942" s="1333" t="s">
        <v>4168</v>
      </c>
      <c r="J942" s="1333" t="s">
        <v>4161</v>
      </c>
      <c r="K942" s="1333" t="s">
        <v>1055</v>
      </c>
      <c r="L942" s="1333" t="s">
        <v>1724</v>
      </c>
      <c r="M942" s="1335">
        <v>170.0</v>
      </c>
    </row>
    <row r="943">
      <c r="A943" s="1333"/>
      <c r="B943" s="1333"/>
      <c r="C943" s="1333"/>
      <c r="D943" s="1333"/>
      <c r="E943" s="1333"/>
      <c r="F943" s="1333"/>
      <c r="G943" s="1333">
        <v>2023.0</v>
      </c>
      <c r="H943" s="1333" t="s">
        <v>2124</v>
      </c>
      <c r="I943" s="1333" t="s">
        <v>4168</v>
      </c>
      <c r="J943" s="1333" t="s">
        <v>4161</v>
      </c>
      <c r="K943" s="1333" t="s">
        <v>4161</v>
      </c>
      <c r="L943" s="1333" t="s">
        <v>2480</v>
      </c>
      <c r="M943" s="1335">
        <v>4.0</v>
      </c>
    </row>
    <row r="944">
      <c r="A944" s="1333"/>
      <c r="B944" s="1333"/>
      <c r="C944" s="1333"/>
      <c r="D944" s="1333"/>
      <c r="E944" s="1333"/>
      <c r="F944" s="1333"/>
      <c r="G944" s="1333">
        <v>2023.0</v>
      </c>
      <c r="H944" s="1333" t="s">
        <v>2125</v>
      </c>
      <c r="I944" s="1333" t="s">
        <v>4170</v>
      </c>
      <c r="J944" s="1333" t="s">
        <v>1058</v>
      </c>
      <c r="K944" s="1333" t="s">
        <v>4156</v>
      </c>
      <c r="L944" s="1333" t="s">
        <v>2480</v>
      </c>
      <c r="M944" s="1335">
        <v>3.0</v>
      </c>
    </row>
    <row r="945">
      <c r="A945" s="1333"/>
      <c r="B945" s="1333"/>
      <c r="C945" s="1333"/>
      <c r="D945" s="1333"/>
      <c r="E945" s="1333"/>
      <c r="F945" s="1333"/>
      <c r="G945" s="1333">
        <v>2023.0</v>
      </c>
      <c r="H945" s="1333" t="s">
        <v>2125</v>
      </c>
      <c r="I945" s="1333" t="s">
        <v>4170</v>
      </c>
      <c r="J945" s="1333" t="s">
        <v>4161</v>
      </c>
      <c r="K945" s="1333" t="s">
        <v>1055</v>
      </c>
      <c r="L945" s="1333" t="s">
        <v>1724</v>
      </c>
      <c r="M945" s="1335">
        <v>4.0</v>
      </c>
    </row>
    <row r="946">
      <c r="A946" s="1333"/>
      <c r="B946" s="1333"/>
      <c r="C946" s="1333"/>
      <c r="D946" s="1333"/>
      <c r="E946" s="1333"/>
      <c r="F946" s="1333"/>
      <c r="G946" s="1333">
        <v>2023.0</v>
      </c>
      <c r="H946" s="1333" t="s">
        <v>241</v>
      </c>
      <c r="I946" s="1333" t="s">
        <v>4164</v>
      </c>
      <c r="J946" s="1333" t="s">
        <v>1058</v>
      </c>
      <c r="K946" s="1333" t="s">
        <v>4156</v>
      </c>
      <c r="L946" s="1333" t="s">
        <v>2480</v>
      </c>
      <c r="M946" s="1335">
        <v>43.0</v>
      </c>
    </row>
    <row r="947">
      <c r="A947" s="1333"/>
      <c r="B947" s="1333"/>
      <c r="C947" s="1333"/>
      <c r="D947" s="1333"/>
      <c r="E947" s="1333"/>
      <c r="F947" s="1333"/>
      <c r="G947" s="1333">
        <v>2023.0</v>
      </c>
      <c r="H947" s="1333" t="s">
        <v>241</v>
      </c>
      <c r="I947" s="1333" t="s">
        <v>4164</v>
      </c>
      <c r="J947" s="1333" t="s">
        <v>1058</v>
      </c>
      <c r="K947" s="1333" t="s">
        <v>4157</v>
      </c>
      <c r="L947" s="1333" t="s">
        <v>1724</v>
      </c>
      <c r="M947" s="1335">
        <v>1.0</v>
      </c>
    </row>
    <row r="948">
      <c r="A948" s="1333"/>
      <c r="B948" s="1333"/>
      <c r="C948" s="1333"/>
      <c r="D948" s="1333"/>
      <c r="E948" s="1333"/>
      <c r="F948" s="1333"/>
      <c r="G948" s="1333">
        <v>2023.0</v>
      </c>
      <c r="H948" s="1333" t="s">
        <v>241</v>
      </c>
      <c r="I948" s="1333" t="s">
        <v>4164</v>
      </c>
      <c r="J948" s="1333" t="s">
        <v>1058</v>
      </c>
      <c r="K948" s="1333" t="s">
        <v>4158</v>
      </c>
      <c r="L948" s="1333" t="s">
        <v>2480</v>
      </c>
      <c r="M948" s="1335">
        <v>4.0</v>
      </c>
    </row>
    <row r="949">
      <c r="A949" s="1333"/>
      <c r="B949" s="1333"/>
      <c r="C949" s="1333"/>
      <c r="D949" s="1333"/>
      <c r="E949" s="1333"/>
      <c r="F949" s="1333"/>
      <c r="G949" s="1333">
        <v>2023.0</v>
      </c>
      <c r="H949" s="1333" t="s">
        <v>241</v>
      </c>
      <c r="I949" s="1333" t="s">
        <v>4164</v>
      </c>
      <c r="J949" s="1333" t="s">
        <v>1058</v>
      </c>
      <c r="K949" s="1333" t="s">
        <v>4166</v>
      </c>
      <c r="L949" s="1333" t="s">
        <v>2480</v>
      </c>
      <c r="M949" s="1335">
        <v>2.0</v>
      </c>
    </row>
    <row r="950">
      <c r="A950" s="1333"/>
      <c r="B950" s="1333"/>
      <c r="C950" s="1333"/>
      <c r="D950" s="1333"/>
      <c r="E950" s="1333"/>
      <c r="F950" s="1333"/>
      <c r="G950" s="1333">
        <v>2023.0</v>
      </c>
      <c r="H950" s="1333" t="s">
        <v>241</v>
      </c>
      <c r="I950" s="1333" t="s">
        <v>4164</v>
      </c>
      <c r="J950" s="1333" t="s">
        <v>1058</v>
      </c>
      <c r="K950" s="1333" t="s">
        <v>4160</v>
      </c>
      <c r="L950" s="1333" t="s">
        <v>2480</v>
      </c>
      <c r="M950" s="1335">
        <v>2.0</v>
      </c>
    </row>
    <row r="951">
      <c r="A951" s="1333"/>
      <c r="B951" s="1333"/>
      <c r="C951" s="1333"/>
      <c r="D951" s="1333"/>
      <c r="E951" s="1333"/>
      <c r="F951" s="1333"/>
      <c r="G951" s="1333">
        <v>2023.0</v>
      </c>
      <c r="H951" s="1333" t="s">
        <v>241</v>
      </c>
      <c r="I951" s="1333" t="s">
        <v>4164</v>
      </c>
      <c r="J951" s="1333" t="s">
        <v>4161</v>
      </c>
      <c r="K951" s="1333" t="s">
        <v>1055</v>
      </c>
      <c r="L951" s="1333" t="s">
        <v>1724</v>
      </c>
      <c r="M951" s="1335">
        <v>48.0</v>
      </c>
    </row>
    <row r="952">
      <c r="A952" s="1333"/>
      <c r="B952" s="1333"/>
      <c r="C952" s="1333"/>
      <c r="D952" s="1333"/>
      <c r="E952" s="1333"/>
      <c r="F952" s="1333"/>
      <c r="G952" s="1333">
        <v>2023.0</v>
      </c>
      <c r="H952" s="1333" t="s">
        <v>241</v>
      </c>
      <c r="I952" s="1333" t="s">
        <v>4164</v>
      </c>
      <c r="J952" s="1333" t="s">
        <v>4161</v>
      </c>
      <c r="K952" s="1333" t="s">
        <v>4161</v>
      </c>
      <c r="L952" s="1333" t="s">
        <v>2480</v>
      </c>
      <c r="M952" s="1335">
        <v>1.0</v>
      </c>
    </row>
    <row r="953">
      <c r="A953" s="1333"/>
      <c r="B953" s="1333"/>
      <c r="C953" s="1333"/>
      <c r="D953" s="1333"/>
      <c r="E953" s="1333"/>
      <c r="F953" s="1333"/>
      <c r="G953" s="1333">
        <v>2023.0</v>
      </c>
      <c r="H953" s="1333" t="s">
        <v>2126</v>
      </c>
      <c r="I953" s="1333" t="s">
        <v>4176</v>
      </c>
      <c r="J953" s="1333" t="s">
        <v>1058</v>
      </c>
      <c r="K953" s="1333" t="s">
        <v>4163</v>
      </c>
      <c r="L953" s="1333" t="s">
        <v>2480</v>
      </c>
      <c r="M953" s="1335">
        <v>1.0</v>
      </c>
    </row>
    <row r="954">
      <c r="A954" s="1333"/>
      <c r="B954" s="1333"/>
      <c r="C954" s="1333"/>
      <c r="D954" s="1333"/>
      <c r="E954" s="1333"/>
      <c r="F954" s="1333"/>
      <c r="G954" s="1333">
        <v>2023.0</v>
      </c>
      <c r="H954" s="1333" t="s">
        <v>2126</v>
      </c>
      <c r="I954" s="1333" t="s">
        <v>4176</v>
      </c>
      <c r="J954" s="1333" t="s">
        <v>1058</v>
      </c>
      <c r="K954" s="1333" t="s">
        <v>4156</v>
      </c>
      <c r="L954" s="1333" t="s">
        <v>2480</v>
      </c>
      <c r="M954" s="1335">
        <v>22.0</v>
      </c>
    </row>
    <row r="955">
      <c r="A955" s="1333"/>
      <c r="B955" s="1333"/>
      <c r="C955" s="1333"/>
      <c r="D955" s="1333"/>
      <c r="E955" s="1333"/>
      <c r="F955" s="1333"/>
      <c r="G955" s="1333">
        <v>2023.0</v>
      </c>
      <c r="H955" s="1333" t="s">
        <v>2126</v>
      </c>
      <c r="I955" s="1333" t="s">
        <v>4176</v>
      </c>
      <c r="J955" s="1333" t="s">
        <v>1058</v>
      </c>
      <c r="K955" s="1333" t="s">
        <v>4157</v>
      </c>
      <c r="L955" s="1333" t="s">
        <v>1724</v>
      </c>
      <c r="M955" s="1335">
        <v>2.0</v>
      </c>
    </row>
    <row r="956">
      <c r="A956" s="1333"/>
      <c r="B956" s="1333"/>
      <c r="C956" s="1333"/>
      <c r="D956" s="1333"/>
      <c r="E956" s="1333"/>
      <c r="F956" s="1333"/>
      <c r="G956" s="1333">
        <v>2023.0</v>
      </c>
      <c r="H956" s="1333" t="s">
        <v>2126</v>
      </c>
      <c r="I956" s="1333" t="s">
        <v>4176</v>
      </c>
      <c r="J956" s="1333" t="s">
        <v>1058</v>
      </c>
      <c r="K956" s="1333" t="s">
        <v>4166</v>
      </c>
      <c r="L956" s="1333" t="s">
        <v>2480</v>
      </c>
      <c r="M956" s="1335">
        <v>1.0</v>
      </c>
    </row>
    <row r="957">
      <c r="A957" s="1333"/>
      <c r="B957" s="1333"/>
      <c r="C957" s="1333"/>
      <c r="D957" s="1333"/>
      <c r="E957" s="1333"/>
      <c r="F957" s="1333"/>
      <c r="G957" s="1333">
        <v>2023.0</v>
      </c>
      <c r="H957" s="1333" t="s">
        <v>2126</v>
      </c>
      <c r="I957" s="1333" t="s">
        <v>4176</v>
      </c>
      <c r="J957" s="1333" t="s">
        <v>1058</v>
      </c>
      <c r="K957" s="1333" t="s">
        <v>4160</v>
      </c>
      <c r="L957" s="1333" t="s">
        <v>2480</v>
      </c>
      <c r="M957" s="1335">
        <v>7.0</v>
      </c>
    </row>
    <row r="958">
      <c r="A958" s="1333"/>
      <c r="B958" s="1333"/>
      <c r="C958" s="1333"/>
      <c r="D958" s="1333"/>
      <c r="E958" s="1333"/>
      <c r="F958" s="1333"/>
      <c r="G958" s="1333">
        <v>2023.0</v>
      </c>
      <c r="H958" s="1333" t="s">
        <v>2126</v>
      </c>
      <c r="I958" s="1333" t="s">
        <v>4176</v>
      </c>
      <c r="J958" s="1333" t="s">
        <v>4161</v>
      </c>
      <c r="K958" s="1333" t="s">
        <v>4167</v>
      </c>
      <c r="L958" s="1333" t="s">
        <v>2480</v>
      </c>
      <c r="M958" s="1335">
        <v>2.0</v>
      </c>
    </row>
    <row r="959">
      <c r="A959" s="1333"/>
      <c r="B959" s="1333"/>
      <c r="C959" s="1333"/>
      <c r="D959" s="1333"/>
      <c r="E959" s="1333"/>
      <c r="F959" s="1333"/>
      <c r="G959" s="1333">
        <v>2023.0</v>
      </c>
      <c r="H959" s="1333" t="s">
        <v>2126</v>
      </c>
      <c r="I959" s="1333" t="s">
        <v>4176</v>
      </c>
      <c r="J959" s="1333" t="s">
        <v>4161</v>
      </c>
      <c r="K959" s="1333" t="s">
        <v>1055</v>
      </c>
      <c r="L959" s="1333" t="s">
        <v>1724</v>
      </c>
      <c r="M959" s="1335">
        <v>7.0</v>
      </c>
    </row>
    <row r="960">
      <c r="A960" s="1333"/>
      <c r="B960" s="1333"/>
      <c r="C960" s="1333"/>
      <c r="D960" s="1333"/>
      <c r="E960" s="1333"/>
      <c r="F960" s="1333"/>
      <c r="G960" s="1333">
        <v>2023.0</v>
      </c>
      <c r="H960" s="1333" t="s">
        <v>1377</v>
      </c>
      <c r="I960" s="1333" t="s">
        <v>4155</v>
      </c>
      <c r="J960" s="1333" t="s">
        <v>1058</v>
      </c>
      <c r="K960" s="1333" t="s">
        <v>4163</v>
      </c>
      <c r="L960" s="1333" t="s">
        <v>2480</v>
      </c>
      <c r="M960" s="1335">
        <v>3.0</v>
      </c>
    </row>
    <row r="961">
      <c r="A961" s="1333"/>
      <c r="B961" s="1333"/>
      <c r="C961" s="1333"/>
      <c r="D961" s="1333"/>
      <c r="E961" s="1333"/>
      <c r="F961" s="1333"/>
      <c r="G961" s="1333">
        <v>2023.0</v>
      </c>
      <c r="H961" s="1333" t="s">
        <v>1377</v>
      </c>
      <c r="I961" s="1333" t="s">
        <v>4155</v>
      </c>
      <c r="J961" s="1333" t="s">
        <v>1058</v>
      </c>
      <c r="K961" s="1333" t="s">
        <v>4156</v>
      </c>
      <c r="L961" s="1333" t="s">
        <v>2480</v>
      </c>
      <c r="M961" s="1335">
        <v>11.0</v>
      </c>
    </row>
    <row r="962">
      <c r="A962" s="1333"/>
      <c r="B962" s="1333"/>
      <c r="C962" s="1333"/>
      <c r="D962" s="1333"/>
      <c r="E962" s="1333"/>
      <c r="F962" s="1333"/>
      <c r="G962" s="1333">
        <v>2023.0</v>
      </c>
      <c r="H962" s="1333" t="s">
        <v>1377</v>
      </c>
      <c r="I962" s="1333" t="s">
        <v>4155</v>
      </c>
      <c r="J962" s="1333" t="s">
        <v>1058</v>
      </c>
      <c r="K962" s="1333" t="s">
        <v>4157</v>
      </c>
      <c r="L962" s="1333" t="s">
        <v>1724</v>
      </c>
      <c r="M962" s="1335">
        <v>2.0</v>
      </c>
    </row>
    <row r="963">
      <c r="A963" s="1333"/>
      <c r="B963" s="1333"/>
      <c r="C963" s="1333"/>
      <c r="D963" s="1333"/>
      <c r="E963" s="1333"/>
      <c r="F963" s="1333"/>
      <c r="G963" s="1333">
        <v>2023.0</v>
      </c>
      <c r="H963" s="1333" t="s">
        <v>1377</v>
      </c>
      <c r="I963" s="1333" t="s">
        <v>4155</v>
      </c>
      <c r="J963" s="1333" t="s">
        <v>1058</v>
      </c>
      <c r="K963" s="1333" t="s">
        <v>4158</v>
      </c>
      <c r="L963" s="1333" t="s">
        <v>2480</v>
      </c>
      <c r="M963" s="1335">
        <v>1.0</v>
      </c>
    </row>
    <row r="964">
      <c r="A964" s="1333"/>
      <c r="B964" s="1333"/>
      <c r="C964" s="1333"/>
      <c r="D964" s="1333"/>
      <c r="E964" s="1333"/>
      <c r="F964" s="1333"/>
      <c r="G964" s="1333">
        <v>2023.0</v>
      </c>
      <c r="H964" s="1333" t="s">
        <v>1377</v>
      </c>
      <c r="I964" s="1333" t="s">
        <v>4155</v>
      </c>
      <c r="J964" s="1333" t="s">
        <v>1058</v>
      </c>
      <c r="K964" s="1333" t="s">
        <v>4159</v>
      </c>
      <c r="L964" s="1333" t="s">
        <v>1724</v>
      </c>
      <c r="M964" s="1335">
        <v>1.0</v>
      </c>
    </row>
    <row r="965">
      <c r="A965" s="1333"/>
      <c r="B965" s="1333"/>
      <c r="C965" s="1333"/>
      <c r="D965" s="1333"/>
      <c r="E965" s="1333"/>
      <c r="F965" s="1333"/>
      <c r="G965" s="1333">
        <v>2023.0</v>
      </c>
      <c r="H965" s="1333" t="s">
        <v>1377</v>
      </c>
      <c r="I965" s="1333" t="s">
        <v>4155</v>
      </c>
      <c r="J965" s="1333" t="s">
        <v>1058</v>
      </c>
      <c r="K965" s="1333" t="s">
        <v>4165</v>
      </c>
      <c r="L965" s="1333" t="s">
        <v>2480</v>
      </c>
      <c r="M965" s="1335">
        <v>1.0</v>
      </c>
    </row>
    <row r="966">
      <c r="A966" s="1333"/>
      <c r="B966" s="1333"/>
      <c r="C966" s="1333"/>
      <c r="D966" s="1333"/>
      <c r="E966" s="1333"/>
      <c r="F966" s="1333"/>
      <c r="G966" s="1333">
        <v>2023.0</v>
      </c>
      <c r="H966" s="1333" t="s">
        <v>1377</v>
      </c>
      <c r="I966" s="1333" t="s">
        <v>4155</v>
      </c>
      <c r="J966" s="1333" t="s">
        <v>1058</v>
      </c>
      <c r="K966" s="1333" t="s">
        <v>4160</v>
      </c>
      <c r="L966" s="1333" t="s">
        <v>2480</v>
      </c>
      <c r="M966" s="1335">
        <v>4.0</v>
      </c>
    </row>
    <row r="967">
      <c r="A967" s="1333"/>
      <c r="B967" s="1333"/>
      <c r="C967" s="1333"/>
      <c r="D967" s="1333"/>
      <c r="E967" s="1333"/>
      <c r="F967" s="1333"/>
      <c r="G967" s="1333">
        <v>2023.0</v>
      </c>
      <c r="H967" s="1333" t="s">
        <v>1377</v>
      </c>
      <c r="I967" s="1333" t="s">
        <v>4155</v>
      </c>
      <c r="J967" s="1333" t="s">
        <v>4161</v>
      </c>
      <c r="K967" s="1333" t="s">
        <v>1055</v>
      </c>
      <c r="L967" s="1333" t="s">
        <v>1724</v>
      </c>
      <c r="M967" s="1335">
        <v>10.0</v>
      </c>
    </row>
    <row r="968">
      <c r="A968" s="1333"/>
      <c r="B968" s="1333"/>
      <c r="C968" s="1333"/>
      <c r="D968" s="1333"/>
      <c r="E968" s="1333"/>
      <c r="F968" s="1333"/>
      <c r="G968" s="1333">
        <v>2023.0</v>
      </c>
      <c r="H968" s="1333" t="s">
        <v>1377</v>
      </c>
      <c r="I968" s="1333" t="s">
        <v>4155</v>
      </c>
      <c r="J968" s="1333" t="s">
        <v>4161</v>
      </c>
      <c r="K968" s="1333" t="s">
        <v>4161</v>
      </c>
      <c r="L968" s="1333" t="s">
        <v>2480</v>
      </c>
      <c r="M968" s="1335">
        <v>2.0</v>
      </c>
    </row>
    <row r="969">
      <c r="A969" s="1333"/>
      <c r="B969" s="1333"/>
      <c r="C969" s="1333"/>
      <c r="D969" s="1333"/>
      <c r="E969" s="1333"/>
      <c r="F969" s="1333"/>
      <c r="G969" s="1333">
        <v>2023.0</v>
      </c>
      <c r="H969" s="1333" t="s">
        <v>2127</v>
      </c>
      <c r="I969" s="1333" t="s">
        <v>4176</v>
      </c>
      <c r="J969" s="1333" t="s">
        <v>1058</v>
      </c>
      <c r="K969" s="1333" t="s">
        <v>4163</v>
      </c>
      <c r="L969" s="1333" t="s">
        <v>2480</v>
      </c>
      <c r="M969" s="1335">
        <v>5.0</v>
      </c>
    </row>
    <row r="970">
      <c r="A970" s="1333"/>
      <c r="B970" s="1333"/>
      <c r="C970" s="1333"/>
      <c r="D970" s="1333"/>
      <c r="E970" s="1333"/>
      <c r="F970" s="1333"/>
      <c r="G970" s="1333">
        <v>2023.0</v>
      </c>
      <c r="H970" s="1333" t="s">
        <v>2127</v>
      </c>
      <c r="I970" s="1333" t="s">
        <v>4176</v>
      </c>
      <c r="J970" s="1333" t="s">
        <v>1058</v>
      </c>
      <c r="K970" s="1333" t="s">
        <v>4156</v>
      </c>
      <c r="L970" s="1333" t="s">
        <v>2480</v>
      </c>
      <c r="M970" s="1335">
        <v>51.0</v>
      </c>
    </row>
    <row r="971">
      <c r="A971" s="1333"/>
      <c r="B971" s="1333"/>
      <c r="C971" s="1333"/>
      <c r="D971" s="1333"/>
      <c r="E971" s="1333"/>
      <c r="F971" s="1333"/>
      <c r="G971" s="1333">
        <v>2023.0</v>
      </c>
      <c r="H971" s="1333" t="s">
        <v>2127</v>
      </c>
      <c r="I971" s="1333" t="s">
        <v>4176</v>
      </c>
      <c r="J971" s="1333" t="s">
        <v>1058</v>
      </c>
      <c r="K971" s="1333" t="s">
        <v>4157</v>
      </c>
      <c r="L971" s="1333" t="s">
        <v>1724</v>
      </c>
      <c r="M971" s="1335">
        <v>15.0</v>
      </c>
    </row>
    <row r="972">
      <c r="A972" s="1333"/>
      <c r="B972" s="1333"/>
      <c r="C972" s="1333"/>
      <c r="D972" s="1333"/>
      <c r="E972" s="1333"/>
      <c r="F972" s="1333"/>
      <c r="G972" s="1333">
        <v>2023.0</v>
      </c>
      <c r="H972" s="1333" t="s">
        <v>2127</v>
      </c>
      <c r="I972" s="1333" t="s">
        <v>4176</v>
      </c>
      <c r="J972" s="1333" t="s">
        <v>1058</v>
      </c>
      <c r="K972" s="1333" t="s">
        <v>4166</v>
      </c>
      <c r="L972" s="1333" t="s">
        <v>2480</v>
      </c>
      <c r="M972" s="1335">
        <v>4.0</v>
      </c>
    </row>
    <row r="973">
      <c r="A973" s="1333"/>
      <c r="B973" s="1333"/>
      <c r="C973" s="1333"/>
      <c r="D973" s="1333"/>
      <c r="E973" s="1333"/>
      <c r="F973" s="1333"/>
      <c r="G973" s="1333">
        <v>2023.0</v>
      </c>
      <c r="H973" s="1333" t="s">
        <v>2127</v>
      </c>
      <c r="I973" s="1333" t="s">
        <v>4176</v>
      </c>
      <c r="J973" s="1333" t="s">
        <v>1058</v>
      </c>
      <c r="K973" s="1333" t="s">
        <v>4161</v>
      </c>
      <c r="L973" s="1333" t="s">
        <v>2480</v>
      </c>
      <c r="M973" s="1335">
        <v>5.0</v>
      </c>
    </row>
    <row r="974">
      <c r="A974" s="1333"/>
      <c r="B974" s="1333"/>
      <c r="C974" s="1333"/>
      <c r="D974" s="1333"/>
      <c r="E974" s="1333"/>
      <c r="F974" s="1333"/>
      <c r="G974" s="1333">
        <v>2023.0</v>
      </c>
      <c r="H974" s="1333" t="s">
        <v>2127</v>
      </c>
      <c r="I974" s="1333" t="s">
        <v>4176</v>
      </c>
      <c r="J974" s="1333" t="s">
        <v>1058</v>
      </c>
      <c r="K974" s="1333" t="s">
        <v>4160</v>
      </c>
      <c r="L974" s="1333" t="s">
        <v>2480</v>
      </c>
      <c r="M974" s="1335">
        <v>8.0</v>
      </c>
    </row>
    <row r="975">
      <c r="A975" s="1333"/>
      <c r="B975" s="1333"/>
      <c r="C975" s="1333"/>
      <c r="D975" s="1333"/>
      <c r="E975" s="1333"/>
      <c r="F975" s="1333"/>
      <c r="G975" s="1333">
        <v>2023.0</v>
      </c>
      <c r="H975" s="1333" t="s">
        <v>2127</v>
      </c>
      <c r="I975" s="1333" t="s">
        <v>4176</v>
      </c>
      <c r="J975" s="1333" t="s">
        <v>4161</v>
      </c>
      <c r="K975" s="1333" t="s">
        <v>4167</v>
      </c>
      <c r="L975" s="1333" t="s">
        <v>2480</v>
      </c>
      <c r="M975" s="1335">
        <v>4.0</v>
      </c>
    </row>
    <row r="976">
      <c r="A976" s="1333"/>
      <c r="B976" s="1333"/>
      <c r="C976" s="1333"/>
      <c r="D976" s="1333"/>
      <c r="E976" s="1333"/>
      <c r="F976" s="1333"/>
      <c r="G976" s="1333">
        <v>2023.0</v>
      </c>
      <c r="H976" s="1333" t="s">
        <v>2127</v>
      </c>
      <c r="I976" s="1333" t="s">
        <v>4176</v>
      </c>
      <c r="J976" s="1333" t="s">
        <v>4161</v>
      </c>
      <c r="K976" s="1333" t="s">
        <v>1055</v>
      </c>
      <c r="L976" s="1333" t="s">
        <v>1724</v>
      </c>
      <c r="M976" s="1335">
        <v>24.0</v>
      </c>
    </row>
    <row r="977">
      <c r="A977" s="1333"/>
      <c r="B977" s="1333"/>
      <c r="C977" s="1333"/>
      <c r="D977" s="1333"/>
      <c r="E977" s="1333"/>
      <c r="F977" s="1333"/>
      <c r="G977" s="1333">
        <v>2023.0</v>
      </c>
      <c r="H977" s="1333" t="s">
        <v>2127</v>
      </c>
      <c r="I977" s="1333" t="s">
        <v>4176</v>
      </c>
      <c r="J977" s="1333" t="s">
        <v>4161</v>
      </c>
      <c r="K977" s="1333" t="s">
        <v>4161</v>
      </c>
      <c r="L977" s="1333" t="s">
        <v>2480</v>
      </c>
      <c r="M977" s="1335">
        <v>2.0</v>
      </c>
    </row>
    <row r="978">
      <c r="A978" s="1333"/>
      <c r="B978" s="1333"/>
      <c r="C978" s="1333"/>
      <c r="D978" s="1333"/>
      <c r="E978" s="1333"/>
      <c r="F978" s="1333"/>
      <c r="G978" s="1333">
        <v>2023.0</v>
      </c>
      <c r="H978" s="1333" t="s">
        <v>2128</v>
      </c>
      <c r="I978" s="1333" t="s">
        <v>4170</v>
      </c>
      <c r="J978" s="1333" t="s">
        <v>1058</v>
      </c>
      <c r="K978" s="1333" t="s">
        <v>4156</v>
      </c>
      <c r="L978" s="1333" t="s">
        <v>2480</v>
      </c>
      <c r="M978" s="1335">
        <v>6.0</v>
      </c>
    </row>
    <row r="979">
      <c r="A979" s="1333"/>
      <c r="B979" s="1333"/>
      <c r="C979" s="1333"/>
      <c r="D979" s="1333"/>
      <c r="E979" s="1333"/>
      <c r="F979" s="1333"/>
      <c r="G979" s="1333">
        <v>2023.0</v>
      </c>
      <c r="H979" s="1333" t="s">
        <v>2129</v>
      </c>
      <c r="I979" s="1333" t="s">
        <v>4162</v>
      </c>
      <c r="J979" s="1333" t="s">
        <v>1058</v>
      </c>
      <c r="K979" s="1333" t="s">
        <v>4163</v>
      </c>
      <c r="L979" s="1333" t="s">
        <v>2480</v>
      </c>
      <c r="M979" s="1335">
        <v>1.0</v>
      </c>
    </row>
    <row r="980">
      <c r="A980" s="1333"/>
      <c r="B980" s="1333"/>
      <c r="C980" s="1333"/>
      <c r="D980" s="1333"/>
      <c r="E980" s="1333"/>
      <c r="F980" s="1333"/>
      <c r="G980" s="1333">
        <v>2023.0</v>
      </c>
      <c r="H980" s="1333" t="s">
        <v>2129</v>
      </c>
      <c r="I980" s="1333" t="s">
        <v>4162</v>
      </c>
      <c r="J980" s="1333" t="s">
        <v>1058</v>
      </c>
      <c r="K980" s="1333" t="s">
        <v>4156</v>
      </c>
      <c r="L980" s="1333" t="s">
        <v>2480</v>
      </c>
      <c r="M980" s="1335">
        <v>6.0</v>
      </c>
    </row>
    <row r="981">
      <c r="A981" s="1333"/>
      <c r="B981" s="1333"/>
      <c r="C981" s="1333"/>
      <c r="D981" s="1333"/>
      <c r="E981" s="1333"/>
      <c r="F981" s="1333"/>
      <c r="G981" s="1333">
        <v>2023.0</v>
      </c>
      <c r="H981" s="1333" t="s">
        <v>2129</v>
      </c>
      <c r="I981" s="1333" t="s">
        <v>4162</v>
      </c>
      <c r="J981" s="1333" t="s">
        <v>1058</v>
      </c>
      <c r="K981" s="1333" t="s">
        <v>4159</v>
      </c>
      <c r="L981" s="1333" t="s">
        <v>1724</v>
      </c>
      <c r="M981" s="1335">
        <v>2.0</v>
      </c>
    </row>
    <row r="982">
      <c r="A982" s="1333"/>
      <c r="B982" s="1333"/>
      <c r="C982" s="1333"/>
      <c r="D982" s="1333"/>
      <c r="E982" s="1333"/>
      <c r="F982" s="1333"/>
      <c r="G982" s="1333">
        <v>2023.0</v>
      </c>
      <c r="H982" s="1333" t="s">
        <v>2129</v>
      </c>
      <c r="I982" s="1333" t="s">
        <v>4162</v>
      </c>
      <c r="J982" s="1333" t="s">
        <v>4161</v>
      </c>
      <c r="K982" s="1333" t="s">
        <v>1055</v>
      </c>
      <c r="L982" s="1333" t="s">
        <v>1724</v>
      </c>
      <c r="M982" s="1335">
        <v>11.0</v>
      </c>
    </row>
    <row r="983">
      <c r="A983" s="1333"/>
      <c r="B983" s="1333"/>
      <c r="C983" s="1333"/>
      <c r="D983" s="1333"/>
      <c r="E983" s="1333"/>
      <c r="F983" s="1333"/>
      <c r="G983" s="1333">
        <v>2023.0</v>
      </c>
      <c r="H983" s="1333" t="s">
        <v>2129</v>
      </c>
      <c r="I983" s="1333" t="s">
        <v>4162</v>
      </c>
      <c r="J983" s="1333" t="s">
        <v>4161</v>
      </c>
      <c r="K983" s="1333" t="s">
        <v>4161</v>
      </c>
      <c r="L983" s="1333" t="s">
        <v>2480</v>
      </c>
      <c r="M983" s="1335">
        <v>1.0</v>
      </c>
    </row>
    <row r="984">
      <c r="A984" s="1333"/>
      <c r="B984" s="1333"/>
      <c r="C984" s="1333"/>
      <c r="D984" s="1333"/>
      <c r="E984" s="1333"/>
      <c r="F984" s="1333"/>
      <c r="G984" s="1333">
        <v>2023.0</v>
      </c>
      <c r="H984" s="1333" t="s">
        <v>302</v>
      </c>
      <c r="I984" s="1333" t="s">
        <v>4164</v>
      </c>
      <c r="J984" s="1333" t="s">
        <v>1058</v>
      </c>
      <c r="K984" s="1333" t="s">
        <v>4163</v>
      </c>
      <c r="L984" s="1333" t="s">
        <v>2480</v>
      </c>
      <c r="M984" s="1335">
        <v>3.0</v>
      </c>
    </row>
    <row r="985">
      <c r="A985" s="1333"/>
      <c r="B985" s="1333"/>
      <c r="C985" s="1333"/>
      <c r="D985" s="1333"/>
      <c r="E985" s="1333"/>
      <c r="F985" s="1333"/>
      <c r="G985" s="1333">
        <v>2023.0</v>
      </c>
      <c r="H985" s="1333" t="s">
        <v>302</v>
      </c>
      <c r="I985" s="1333" t="s">
        <v>4164</v>
      </c>
      <c r="J985" s="1333" t="s">
        <v>1058</v>
      </c>
      <c r="K985" s="1333" t="s">
        <v>4156</v>
      </c>
      <c r="L985" s="1333" t="s">
        <v>2480</v>
      </c>
      <c r="M985" s="1335">
        <v>15.0</v>
      </c>
    </row>
    <row r="986">
      <c r="A986" s="1333"/>
      <c r="B986" s="1333"/>
      <c r="C986" s="1333"/>
      <c r="D986" s="1333"/>
      <c r="E986" s="1333"/>
      <c r="F986" s="1333"/>
      <c r="G986" s="1333">
        <v>2023.0</v>
      </c>
      <c r="H986" s="1333" t="s">
        <v>302</v>
      </c>
      <c r="I986" s="1333" t="s">
        <v>4164</v>
      </c>
      <c r="J986" s="1333" t="s">
        <v>1058</v>
      </c>
      <c r="K986" s="1333" t="s">
        <v>4157</v>
      </c>
      <c r="L986" s="1333" t="s">
        <v>1724</v>
      </c>
      <c r="M986" s="1335">
        <v>1.0</v>
      </c>
    </row>
    <row r="987">
      <c r="A987" s="1333"/>
      <c r="B987" s="1333"/>
      <c r="C987" s="1333"/>
      <c r="D987" s="1333"/>
      <c r="E987" s="1333"/>
      <c r="F987" s="1333"/>
      <c r="G987" s="1333">
        <v>2023.0</v>
      </c>
      <c r="H987" s="1333" t="s">
        <v>302</v>
      </c>
      <c r="I987" s="1333" t="s">
        <v>4164</v>
      </c>
      <c r="J987" s="1333" t="s">
        <v>1058</v>
      </c>
      <c r="K987" s="1333" t="s">
        <v>4159</v>
      </c>
      <c r="L987" s="1333" t="s">
        <v>1724</v>
      </c>
      <c r="M987" s="1335">
        <v>4.0</v>
      </c>
    </row>
    <row r="988">
      <c r="A988" s="1333"/>
      <c r="B988" s="1333"/>
      <c r="C988" s="1333"/>
      <c r="D988" s="1333"/>
      <c r="E988" s="1333"/>
      <c r="F988" s="1333"/>
      <c r="G988" s="1333">
        <v>2023.0</v>
      </c>
      <c r="H988" s="1333" t="s">
        <v>302</v>
      </c>
      <c r="I988" s="1333" t="s">
        <v>4164</v>
      </c>
      <c r="J988" s="1333" t="s">
        <v>1058</v>
      </c>
      <c r="K988" s="1333" t="s">
        <v>4161</v>
      </c>
      <c r="L988" s="1333" t="s">
        <v>2480</v>
      </c>
      <c r="M988" s="1335">
        <v>1.0</v>
      </c>
    </row>
    <row r="989">
      <c r="A989" s="1333"/>
      <c r="B989" s="1333"/>
      <c r="C989" s="1333"/>
      <c r="D989" s="1333"/>
      <c r="E989" s="1333"/>
      <c r="F989" s="1333"/>
      <c r="G989" s="1333">
        <v>2023.0</v>
      </c>
      <c r="H989" s="1333" t="s">
        <v>302</v>
      </c>
      <c r="I989" s="1333" t="s">
        <v>4164</v>
      </c>
      <c r="J989" s="1333" t="s">
        <v>4161</v>
      </c>
      <c r="K989" s="1333" t="s">
        <v>1055</v>
      </c>
      <c r="L989" s="1333" t="s">
        <v>1724</v>
      </c>
      <c r="M989" s="1335">
        <v>21.0</v>
      </c>
    </row>
    <row r="990">
      <c r="A990" s="1333"/>
      <c r="B990" s="1333"/>
      <c r="C990" s="1333"/>
      <c r="D990" s="1333"/>
      <c r="E990" s="1333"/>
      <c r="F990" s="1333"/>
      <c r="G990" s="1333">
        <v>2023.0</v>
      </c>
      <c r="H990" s="1333" t="s">
        <v>302</v>
      </c>
      <c r="I990" s="1333" t="s">
        <v>4164</v>
      </c>
      <c r="J990" s="1333" t="s">
        <v>4161</v>
      </c>
      <c r="K990" s="1333" t="s">
        <v>4161</v>
      </c>
      <c r="L990" s="1333" t="s">
        <v>2480</v>
      </c>
      <c r="M990" s="1335">
        <v>1.0</v>
      </c>
    </row>
    <row r="991">
      <c r="A991" s="1333"/>
      <c r="B991" s="1333"/>
      <c r="C991" s="1333"/>
      <c r="D991" s="1333"/>
      <c r="E991" s="1333"/>
      <c r="F991" s="1333"/>
      <c r="G991" s="1333">
        <v>2023.0</v>
      </c>
      <c r="H991" s="1333" t="s">
        <v>1805</v>
      </c>
      <c r="I991" s="1333" t="s">
        <v>4170</v>
      </c>
      <c r="J991" s="1333" t="s">
        <v>1058</v>
      </c>
      <c r="K991" s="1333" t="s">
        <v>4163</v>
      </c>
      <c r="L991" s="1333" t="s">
        <v>2480</v>
      </c>
      <c r="M991" s="1335">
        <v>33.0</v>
      </c>
    </row>
    <row r="992">
      <c r="A992" s="1333"/>
      <c r="B992" s="1333"/>
      <c r="C992" s="1333"/>
      <c r="D992" s="1333"/>
      <c r="E992" s="1333"/>
      <c r="F992" s="1333"/>
      <c r="G992" s="1333">
        <v>2023.0</v>
      </c>
      <c r="H992" s="1333" t="s">
        <v>1805</v>
      </c>
      <c r="I992" s="1333" t="s">
        <v>4170</v>
      </c>
      <c r="J992" s="1333" t="s">
        <v>1058</v>
      </c>
      <c r="K992" s="1333" t="s">
        <v>4156</v>
      </c>
      <c r="L992" s="1333" t="s">
        <v>2480</v>
      </c>
      <c r="M992" s="1335">
        <v>100.0</v>
      </c>
    </row>
    <row r="993">
      <c r="A993" s="1333"/>
      <c r="B993" s="1333"/>
      <c r="C993" s="1333"/>
      <c r="D993" s="1333"/>
      <c r="E993" s="1333"/>
      <c r="F993" s="1333"/>
      <c r="G993" s="1333">
        <v>2023.0</v>
      </c>
      <c r="H993" s="1333" t="s">
        <v>1805</v>
      </c>
      <c r="I993" s="1333" t="s">
        <v>4170</v>
      </c>
      <c r="J993" s="1333" t="s">
        <v>1058</v>
      </c>
      <c r="K993" s="1333" t="s">
        <v>4157</v>
      </c>
      <c r="L993" s="1333" t="s">
        <v>1724</v>
      </c>
      <c r="M993" s="1335">
        <v>9.0</v>
      </c>
    </row>
    <row r="994">
      <c r="A994" s="1333"/>
      <c r="B994" s="1333"/>
      <c r="C994" s="1333"/>
      <c r="D994" s="1333"/>
      <c r="E994" s="1333"/>
      <c r="F994" s="1333"/>
      <c r="G994" s="1333">
        <v>2023.0</v>
      </c>
      <c r="H994" s="1333" t="s">
        <v>1805</v>
      </c>
      <c r="I994" s="1333" t="s">
        <v>4170</v>
      </c>
      <c r="J994" s="1333" t="s">
        <v>1058</v>
      </c>
      <c r="K994" s="1333" t="s">
        <v>4159</v>
      </c>
      <c r="L994" s="1333" t="s">
        <v>1724</v>
      </c>
      <c r="M994" s="1335">
        <v>4.0</v>
      </c>
    </row>
    <row r="995">
      <c r="A995" s="1333"/>
      <c r="B995" s="1333"/>
      <c r="C995" s="1333"/>
      <c r="D995" s="1333"/>
      <c r="E995" s="1333"/>
      <c r="F995" s="1333"/>
      <c r="G995" s="1333">
        <v>2023.0</v>
      </c>
      <c r="H995" s="1333" t="s">
        <v>1805</v>
      </c>
      <c r="I995" s="1333" t="s">
        <v>4170</v>
      </c>
      <c r="J995" s="1333" t="s">
        <v>1058</v>
      </c>
      <c r="K995" s="1333" t="s">
        <v>4165</v>
      </c>
      <c r="L995" s="1333" t="s">
        <v>2480</v>
      </c>
      <c r="M995" s="1335">
        <v>1.0</v>
      </c>
    </row>
    <row r="996">
      <c r="A996" s="1333"/>
      <c r="B996" s="1333"/>
      <c r="C996" s="1333"/>
      <c r="D996" s="1333"/>
      <c r="E996" s="1333"/>
      <c r="F996" s="1333"/>
      <c r="G996" s="1333">
        <v>2023.0</v>
      </c>
      <c r="H996" s="1333" t="s">
        <v>1805</v>
      </c>
      <c r="I996" s="1333" t="s">
        <v>4170</v>
      </c>
      <c r="J996" s="1333" t="s">
        <v>1058</v>
      </c>
      <c r="K996" s="1333" t="s">
        <v>4166</v>
      </c>
      <c r="L996" s="1333" t="s">
        <v>2480</v>
      </c>
      <c r="M996" s="1335">
        <v>5.0</v>
      </c>
    </row>
    <row r="997">
      <c r="A997" s="1333"/>
      <c r="B997" s="1333"/>
      <c r="C997" s="1333"/>
      <c r="D997" s="1333"/>
      <c r="E997" s="1333"/>
      <c r="F997" s="1333"/>
      <c r="G997" s="1333">
        <v>2023.0</v>
      </c>
      <c r="H997" s="1333" t="s">
        <v>1805</v>
      </c>
      <c r="I997" s="1333" t="s">
        <v>4170</v>
      </c>
      <c r="J997" s="1333" t="s">
        <v>1058</v>
      </c>
      <c r="K997" s="1333" t="s">
        <v>4161</v>
      </c>
      <c r="L997" s="1333" t="s">
        <v>2480</v>
      </c>
      <c r="M997" s="1335">
        <v>10.0</v>
      </c>
    </row>
    <row r="998">
      <c r="A998" s="1333"/>
      <c r="B998" s="1333"/>
      <c r="C998" s="1333"/>
      <c r="D998" s="1333"/>
      <c r="E998" s="1333"/>
      <c r="F998" s="1333"/>
      <c r="G998" s="1333">
        <v>2023.0</v>
      </c>
      <c r="H998" s="1333" t="s">
        <v>1805</v>
      </c>
      <c r="I998" s="1333" t="s">
        <v>4170</v>
      </c>
      <c r="J998" s="1333" t="s">
        <v>1058</v>
      </c>
      <c r="K998" s="1333" t="s">
        <v>4160</v>
      </c>
      <c r="L998" s="1333" t="s">
        <v>2480</v>
      </c>
      <c r="M998" s="1335">
        <v>23.0</v>
      </c>
    </row>
    <row r="999">
      <c r="A999" s="1333"/>
      <c r="B999" s="1333"/>
      <c r="C999" s="1333"/>
      <c r="D999" s="1333"/>
      <c r="E999" s="1333"/>
      <c r="F999" s="1333"/>
      <c r="G999" s="1333">
        <v>2023.0</v>
      </c>
      <c r="H999" s="1333" t="s">
        <v>1805</v>
      </c>
      <c r="I999" s="1333" t="s">
        <v>4170</v>
      </c>
      <c r="J999" s="1333" t="s">
        <v>4161</v>
      </c>
      <c r="K999" s="1333" t="s">
        <v>4167</v>
      </c>
      <c r="L999" s="1333" t="s">
        <v>2480</v>
      </c>
      <c r="M999" s="1335">
        <v>1.0</v>
      </c>
    </row>
    <row r="1000">
      <c r="A1000" s="1333"/>
      <c r="B1000" s="1333"/>
      <c r="C1000" s="1333"/>
      <c r="D1000" s="1333"/>
      <c r="E1000" s="1333"/>
      <c r="F1000" s="1333"/>
      <c r="G1000" s="1333">
        <v>2023.0</v>
      </c>
      <c r="H1000" s="1333" t="s">
        <v>1805</v>
      </c>
      <c r="I1000" s="1333" t="s">
        <v>4170</v>
      </c>
      <c r="J1000" s="1333" t="s">
        <v>4161</v>
      </c>
      <c r="K1000" s="1333" t="s">
        <v>4174</v>
      </c>
      <c r="L1000" s="1333" t="s">
        <v>2480</v>
      </c>
      <c r="M1000" s="1335">
        <v>1.0</v>
      </c>
    </row>
    <row r="1001">
      <c r="A1001" s="1333"/>
      <c r="B1001" s="1333"/>
      <c r="C1001" s="1333"/>
      <c r="D1001" s="1333"/>
      <c r="E1001" s="1333"/>
      <c r="F1001" s="1333"/>
      <c r="G1001" s="1333">
        <v>2023.0</v>
      </c>
      <c r="H1001" s="1333" t="s">
        <v>1805</v>
      </c>
      <c r="I1001" s="1333" t="s">
        <v>4170</v>
      </c>
      <c r="J1001" s="1333" t="s">
        <v>4161</v>
      </c>
      <c r="K1001" s="1333" t="s">
        <v>1055</v>
      </c>
      <c r="L1001" s="1333" t="s">
        <v>1724</v>
      </c>
      <c r="M1001" s="1335">
        <v>63.0</v>
      </c>
    </row>
    <row r="1002">
      <c r="A1002" s="1333"/>
      <c r="B1002" s="1333"/>
      <c r="C1002" s="1333"/>
      <c r="D1002" s="1333"/>
      <c r="E1002" s="1333"/>
      <c r="F1002" s="1333"/>
      <c r="G1002" s="1333">
        <v>2023.0</v>
      </c>
      <c r="H1002" s="1333" t="s">
        <v>1805</v>
      </c>
      <c r="I1002" s="1333" t="s">
        <v>4170</v>
      </c>
      <c r="J1002" s="1333" t="s">
        <v>4161</v>
      </c>
      <c r="K1002" s="1333" t="s">
        <v>4161</v>
      </c>
      <c r="L1002" s="1333" t="s">
        <v>2480</v>
      </c>
      <c r="M1002" s="1335">
        <v>4.0</v>
      </c>
    </row>
    <row r="1003">
      <c r="A1003" s="1333"/>
      <c r="B1003" s="1333"/>
      <c r="C1003" s="1333"/>
      <c r="D1003" s="1333"/>
      <c r="E1003" s="1333"/>
      <c r="F1003" s="1333"/>
      <c r="G1003" s="1333">
        <v>2023.0</v>
      </c>
      <c r="H1003" s="1333" t="s">
        <v>2131</v>
      </c>
      <c r="I1003" s="1333" t="s">
        <v>4155</v>
      </c>
      <c r="J1003" s="1333" t="s">
        <v>1058</v>
      </c>
      <c r="K1003" s="1333" t="s">
        <v>4156</v>
      </c>
      <c r="L1003" s="1333" t="s">
        <v>2480</v>
      </c>
      <c r="M1003" s="1335">
        <v>2.0</v>
      </c>
    </row>
    <row r="1004">
      <c r="A1004" s="1333"/>
      <c r="B1004" s="1333"/>
      <c r="C1004" s="1333"/>
      <c r="D1004" s="1333"/>
      <c r="E1004" s="1333"/>
      <c r="F1004" s="1333"/>
      <c r="G1004" s="1333">
        <v>2023.0</v>
      </c>
      <c r="H1004" s="1333" t="s">
        <v>2131</v>
      </c>
      <c r="I1004" s="1333" t="s">
        <v>4155</v>
      </c>
      <c r="J1004" s="1333" t="s">
        <v>1058</v>
      </c>
      <c r="K1004" s="1333" t="s">
        <v>4160</v>
      </c>
      <c r="L1004" s="1333" t="s">
        <v>2480</v>
      </c>
      <c r="M1004" s="1335">
        <v>4.0</v>
      </c>
    </row>
    <row r="1005">
      <c r="A1005" s="1333"/>
      <c r="B1005" s="1333"/>
      <c r="C1005" s="1333"/>
      <c r="D1005" s="1333"/>
      <c r="E1005" s="1333"/>
      <c r="F1005" s="1333"/>
      <c r="G1005" s="1333">
        <v>2023.0</v>
      </c>
      <c r="H1005" s="1333" t="s">
        <v>2131</v>
      </c>
      <c r="I1005" s="1333" t="s">
        <v>4155</v>
      </c>
      <c r="J1005" s="1333" t="s">
        <v>4161</v>
      </c>
      <c r="K1005" s="1333" t="s">
        <v>1055</v>
      </c>
      <c r="L1005" s="1333" t="s">
        <v>1724</v>
      </c>
      <c r="M1005" s="1335">
        <v>6.0</v>
      </c>
    </row>
    <row r="1006">
      <c r="A1006" s="1333"/>
      <c r="B1006" s="1333"/>
      <c r="C1006" s="1333"/>
      <c r="D1006" s="1333"/>
      <c r="E1006" s="1333"/>
      <c r="F1006" s="1333"/>
      <c r="G1006" s="1333">
        <v>2023.0</v>
      </c>
      <c r="H1006" s="1333" t="s">
        <v>2132</v>
      </c>
      <c r="I1006" s="1333" t="s">
        <v>4170</v>
      </c>
      <c r="J1006" s="1333" t="s">
        <v>1058</v>
      </c>
      <c r="K1006" s="1333" t="s">
        <v>4163</v>
      </c>
      <c r="L1006" s="1333" t="s">
        <v>2480</v>
      </c>
      <c r="M1006" s="1335">
        <v>22.0</v>
      </c>
    </row>
    <row r="1007">
      <c r="A1007" s="1333"/>
      <c r="B1007" s="1333"/>
      <c r="C1007" s="1333"/>
      <c r="D1007" s="1333"/>
      <c r="E1007" s="1333"/>
      <c r="F1007" s="1333"/>
      <c r="G1007" s="1333">
        <v>2023.0</v>
      </c>
      <c r="H1007" s="1333" t="s">
        <v>2132</v>
      </c>
      <c r="I1007" s="1333" t="s">
        <v>4170</v>
      </c>
      <c r="J1007" s="1333" t="s">
        <v>1058</v>
      </c>
      <c r="K1007" s="1333" t="s">
        <v>4156</v>
      </c>
      <c r="L1007" s="1333" t="s">
        <v>2480</v>
      </c>
      <c r="M1007" s="1335">
        <v>36.0</v>
      </c>
    </row>
    <row r="1008">
      <c r="A1008" s="1333"/>
      <c r="B1008" s="1333"/>
      <c r="C1008" s="1333"/>
      <c r="D1008" s="1333"/>
      <c r="E1008" s="1333"/>
      <c r="F1008" s="1333"/>
      <c r="G1008" s="1333">
        <v>2023.0</v>
      </c>
      <c r="H1008" s="1333" t="s">
        <v>2132</v>
      </c>
      <c r="I1008" s="1333" t="s">
        <v>4170</v>
      </c>
      <c r="J1008" s="1333" t="s">
        <v>1058</v>
      </c>
      <c r="K1008" s="1333" t="s">
        <v>4157</v>
      </c>
      <c r="L1008" s="1333" t="s">
        <v>1724</v>
      </c>
      <c r="M1008" s="1335">
        <v>5.0</v>
      </c>
    </row>
    <row r="1009">
      <c r="A1009" s="1333"/>
      <c r="B1009" s="1333"/>
      <c r="C1009" s="1333"/>
      <c r="D1009" s="1333"/>
      <c r="E1009" s="1333"/>
      <c r="F1009" s="1333"/>
      <c r="G1009" s="1333">
        <v>2023.0</v>
      </c>
      <c r="H1009" s="1333" t="s">
        <v>2132</v>
      </c>
      <c r="I1009" s="1333" t="s">
        <v>4170</v>
      </c>
      <c r="J1009" s="1333" t="s">
        <v>1058</v>
      </c>
      <c r="K1009" s="1333" t="s">
        <v>4165</v>
      </c>
      <c r="L1009" s="1333" t="s">
        <v>2480</v>
      </c>
      <c r="M1009" s="1335">
        <v>6.0</v>
      </c>
    </row>
    <row r="1010">
      <c r="A1010" s="1333"/>
      <c r="B1010" s="1333"/>
      <c r="C1010" s="1333"/>
      <c r="D1010" s="1333"/>
      <c r="E1010" s="1333"/>
      <c r="F1010" s="1333"/>
      <c r="G1010" s="1333">
        <v>2023.0</v>
      </c>
      <c r="H1010" s="1333" t="s">
        <v>2132</v>
      </c>
      <c r="I1010" s="1333" t="s">
        <v>4170</v>
      </c>
      <c r="J1010" s="1333" t="s">
        <v>1058</v>
      </c>
      <c r="K1010" s="1333" t="s">
        <v>4166</v>
      </c>
      <c r="L1010" s="1333" t="s">
        <v>2480</v>
      </c>
      <c r="M1010" s="1335">
        <v>3.0</v>
      </c>
    </row>
    <row r="1011">
      <c r="A1011" s="1333"/>
      <c r="B1011" s="1333"/>
      <c r="C1011" s="1333"/>
      <c r="D1011" s="1333"/>
      <c r="E1011" s="1333"/>
      <c r="F1011" s="1333"/>
      <c r="G1011" s="1333">
        <v>2023.0</v>
      </c>
      <c r="H1011" s="1333" t="s">
        <v>2132</v>
      </c>
      <c r="I1011" s="1333" t="s">
        <v>4170</v>
      </c>
      <c r="J1011" s="1333" t="s">
        <v>1058</v>
      </c>
      <c r="K1011" s="1333" t="s">
        <v>4161</v>
      </c>
      <c r="L1011" s="1333" t="s">
        <v>2480</v>
      </c>
      <c r="M1011" s="1335">
        <v>4.0</v>
      </c>
    </row>
    <row r="1012">
      <c r="A1012" s="1333"/>
      <c r="B1012" s="1333"/>
      <c r="C1012" s="1333"/>
      <c r="D1012" s="1333"/>
      <c r="E1012" s="1333"/>
      <c r="F1012" s="1333"/>
      <c r="G1012" s="1333">
        <v>2023.0</v>
      </c>
      <c r="H1012" s="1333" t="s">
        <v>2132</v>
      </c>
      <c r="I1012" s="1333" t="s">
        <v>4170</v>
      </c>
      <c r="J1012" s="1333" t="s">
        <v>1058</v>
      </c>
      <c r="K1012" s="1333" t="s">
        <v>4160</v>
      </c>
      <c r="L1012" s="1333" t="s">
        <v>2480</v>
      </c>
      <c r="M1012" s="1335">
        <v>9.0</v>
      </c>
    </row>
    <row r="1013">
      <c r="A1013" s="1333"/>
      <c r="B1013" s="1333"/>
      <c r="C1013" s="1333"/>
      <c r="D1013" s="1333"/>
      <c r="E1013" s="1333"/>
      <c r="F1013" s="1333"/>
      <c r="G1013" s="1333">
        <v>2023.0</v>
      </c>
      <c r="H1013" s="1333" t="s">
        <v>2132</v>
      </c>
      <c r="I1013" s="1333" t="s">
        <v>4170</v>
      </c>
      <c r="J1013" s="1333" t="s">
        <v>4161</v>
      </c>
      <c r="K1013" s="1333" t="s">
        <v>4167</v>
      </c>
      <c r="L1013" s="1333" t="s">
        <v>2480</v>
      </c>
      <c r="M1013" s="1335">
        <v>8.0</v>
      </c>
    </row>
    <row r="1014">
      <c r="A1014" s="1333"/>
      <c r="B1014" s="1333"/>
      <c r="C1014" s="1333"/>
      <c r="D1014" s="1333"/>
      <c r="E1014" s="1333"/>
      <c r="F1014" s="1333"/>
      <c r="G1014" s="1333">
        <v>2023.0</v>
      </c>
      <c r="H1014" s="1333" t="s">
        <v>2132</v>
      </c>
      <c r="I1014" s="1333" t="s">
        <v>4170</v>
      </c>
      <c r="J1014" s="1333" t="s">
        <v>4161</v>
      </c>
      <c r="K1014" s="1333" t="s">
        <v>1055</v>
      </c>
      <c r="L1014" s="1333" t="s">
        <v>1724</v>
      </c>
      <c r="M1014" s="1335">
        <v>28.0</v>
      </c>
    </row>
    <row r="1015">
      <c r="A1015" s="1333"/>
      <c r="B1015" s="1333"/>
      <c r="C1015" s="1333"/>
      <c r="D1015" s="1333"/>
      <c r="E1015" s="1333"/>
      <c r="F1015" s="1333"/>
      <c r="G1015" s="1333">
        <v>2023.0</v>
      </c>
      <c r="H1015" s="1333" t="s">
        <v>2132</v>
      </c>
      <c r="I1015" s="1333" t="s">
        <v>4170</v>
      </c>
      <c r="J1015" s="1333" t="s">
        <v>4161</v>
      </c>
      <c r="K1015" s="1333" t="s">
        <v>4161</v>
      </c>
      <c r="L1015" s="1333" t="s">
        <v>2480</v>
      </c>
      <c r="M1015" s="1335">
        <v>3.0</v>
      </c>
    </row>
    <row r="1016">
      <c r="A1016" s="1333"/>
      <c r="B1016" s="1333"/>
      <c r="C1016" s="1333"/>
      <c r="D1016" s="1333"/>
      <c r="E1016" s="1333"/>
      <c r="F1016" s="1333"/>
      <c r="G1016" s="1333">
        <v>2023.0</v>
      </c>
      <c r="H1016" s="1333" t="s">
        <v>1167</v>
      </c>
      <c r="I1016" s="1333" t="s">
        <v>4155</v>
      </c>
      <c r="J1016" s="1333" t="s">
        <v>1058</v>
      </c>
      <c r="K1016" s="1333" t="s">
        <v>4156</v>
      </c>
      <c r="L1016" s="1333" t="s">
        <v>2480</v>
      </c>
      <c r="M1016" s="1335">
        <v>11.0</v>
      </c>
    </row>
    <row r="1017">
      <c r="A1017" s="1333"/>
      <c r="B1017" s="1333"/>
      <c r="C1017" s="1333"/>
      <c r="D1017" s="1333"/>
      <c r="E1017" s="1333"/>
      <c r="F1017" s="1333"/>
      <c r="G1017" s="1333">
        <v>2023.0</v>
      </c>
      <c r="H1017" s="1333" t="s">
        <v>1167</v>
      </c>
      <c r="I1017" s="1333" t="s">
        <v>4155</v>
      </c>
      <c r="J1017" s="1333" t="s">
        <v>1058</v>
      </c>
      <c r="K1017" s="1333" t="s">
        <v>4160</v>
      </c>
      <c r="L1017" s="1333" t="s">
        <v>2480</v>
      </c>
      <c r="M1017" s="1335">
        <v>1.0</v>
      </c>
    </row>
    <row r="1018">
      <c r="A1018" s="1333"/>
      <c r="B1018" s="1333"/>
      <c r="C1018" s="1333"/>
      <c r="D1018" s="1333"/>
      <c r="E1018" s="1333"/>
      <c r="F1018" s="1333"/>
      <c r="G1018" s="1333">
        <v>2023.0</v>
      </c>
      <c r="H1018" s="1333" t="s">
        <v>1167</v>
      </c>
      <c r="I1018" s="1333" t="s">
        <v>4155</v>
      </c>
      <c r="J1018" s="1333" t="s">
        <v>4161</v>
      </c>
      <c r="K1018" s="1333" t="s">
        <v>1055</v>
      </c>
      <c r="L1018" s="1333" t="s">
        <v>1724</v>
      </c>
      <c r="M1018" s="1335">
        <v>2.0</v>
      </c>
    </row>
    <row r="1019">
      <c r="A1019" s="1333"/>
      <c r="B1019" s="1333"/>
      <c r="C1019" s="1333"/>
      <c r="D1019" s="1333"/>
      <c r="E1019" s="1333"/>
      <c r="F1019" s="1333"/>
      <c r="G1019" s="1333">
        <v>2023.0</v>
      </c>
      <c r="H1019" s="1333" t="s">
        <v>2135</v>
      </c>
      <c r="I1019" s="1333" t="s">
        <v>4162</v>
      </c>
      <c r="J1019" s="1333" t="s">
        <v>1058</v>
      </c>
      <c r="K1019" s="1333" t="s">
        <v>4156</v>
      </c>
      <c r="L1019" s="1333" t="s">
        <v>2480</v>
      </c>
      <c r="M1019" s="1335">
        <v>2.0</v>
      </c>
    </row>
    <row r="1020">
      <c r="A1020" s="1333"/>
      <c r="B1020" s="1333"/>
      <c r="C1020" s="1333"/>
      <c r="D1020" s="1333"/>
      <c r="E1020" s="1333"/>
      <c r="F1020" s="1333"/>
      <c r="G1020" s="1333">
        <v>2023.0</v>
      </c>
      <c r="H1020" s="1333" t="s">
        <v>2135</v>
      </c>
      <c r="I1020" s="1333" t="s">
        <v>4162</v>
      </c>
      <c r="J1020" s="1333" t="s">
        <v>1058</v>
      </c>
      <c r="K1020" s="1333" t="s">
        <v>4159</v>
      </c>
      <c r="L1020" s="1333" t="s">
        <v>1724</v>
      </c>
      <c r="M1020" s="1335">
        <v>1.0</v>
      </c>
    </row>
    <row r="1021">
      <c r="A1021" s="1333"/>
      <c r="B1021" s="1333"/>
      <c r="C1021" s="1333"/>
      <c r="D1021" s="1333"/>
      <c r="E1021" s="1333"/>
      <c r="F1021" s="1333"/>
      <c r="G1021" s="1333">
        <v>2023.0</v>
      </c>
      <c r="H1021" s="1333" t="s">
        <v>2135</v>
      </c>
      <c r="I1021" s="1333" t="s">
        <v>4162</v>
      </c>
      <c r="J1021" s="1333" t="s">
        <v>4161</v>
      </c>
      <c r="K1021" s="1333" t="s">
        <v>1055</v>
      </c>
      <c r="L1021" s="1333" t="s">
        <v>1724</v>
      </c>
      <c r="M1021" s="1335">
        <v>7.0</v>
      </c>
    </row>
    <row r="1022">
      <c r="A1022" s="1333"/>
      <c r="B1022" s="1333"/>
      <c r="C1022" s="1333"/>
      <c r="D1022" s="1333"/>
      <c r="E1022" s="1333"/>
      <c r="F1022" s="1333"/>
      <c r="G1022" s="1333">
        <v>2023.0</v>
      </c>
      <c r="H1022" s="1333" t="s">
        <v>2136</v>
      </c>
      <c r="I1022" s="1333" t="s">
        <v>4168</v>
      </c>
      <c r="J1022" s="1333" t="s">
        <v>1058</v>
      </c>
      <c r="K1022" s="1333" t="s">
        <v>4156</v>
      </c>
      <c r="L1022" s="1333" t="s">
        <v>2480</v>
      </c>
      <c r="M1022" s="1335">
        <v>1.0</v>
      </c>
    </row>
    <row r="1023">
      <c r="A1023" s="1333"/>
      <c r="B1023" s="1333"/>
      <c r="C1023" s="1333"/>
      <c r="D1023" s="1333"/>
      <c r="E1023" s="1333"/>
      <c r="F1023" s="1333"/>
      <c r="G1023" s="1333">
        <v>2023.0</v>
      </c>
      <c r="H1023" s="1333" t="s">
        <v>2136</v>
      </c>
      <c r="I1023" s="1333" t="s">
        <v>4168</v>
      </c>
      <c r="J1023" s="1333" t="s">
        <v>4161</v>
      </c>
      <c r="K1023" s="1333" t="s">
        <v>1055</v>
      </c>
      <c r="L1023" s="1333" t="s">
        <v>1724</v>
      </c>
      <c r="M1023" s="1335">
        <v>2.0</v>
      </c>
    </row>
    <row r="1024">
      <c r="A1024" s="1333"/>
      <c r="B1024" s="1333"/>
      <c r="C1024" s="1333"/>
      <c r="D1024" s="1333"/>
      <c r="E1024" s="1333"/>
      <c r="F1024" s="1333"/>
      <c r="G1024" s="1333">
        <v>2023.0</v>
      </c>
      <c r="H1024" s="1333" t="s">
        <v>1131</v>
      </c>
      <c r="I1024" s="1333" t="s">
        <v>4173</v>
      </c>
      <c r="J1024" s="1333" t="s">
        <v>1058</v>
      </c>
      <c r="K1024" s="1333" t="s">
        <v>4163</v>
      </c>
      <c r="L1024" s="1333" t="s">
        <v>2480</v>
      </c>
      <c r="M1024" s="1335">
        <v>2.0</v>
      </c>
    </row>
    <row r="1025">
      <c r="A1025" s="1333"/>
      <c r="B1025" s="1333"/>
      <c r="C1025" s="1333"/>
      <c r="D1025" s="1333"/>
      <c r="E1025" s="1333"/>
      <c r="F1025" s="1333"/>
      <c r="G1025" s="1333">
        <v>2023.0</v>
      </c>
      <c r="H1025" s="1333" t="s">
        <v>1131</v>
      </c>
      <c r="I1025" s="1333" t="s">
        <v>4173</v>
      </c>
      <c r="J1025" s="1333" t="s">
        <v>1058</v>
      </c>
      <c r="K1025" s="1333" t="s">
        <v>4156</v>
      </c>
      <c r="L1025" s="1333" t="s">
        <v>2480</v>
      </c>
      <c r="M1025" s="1335">
        <v>21.0</v>
      </c>
    </row>
    <row r="1026">
      <c r="A1026" s="1333"/>
      <c r="B1026" s="1333"/>
      <c r="C1026" s="1333"/>
      <c r="D1026" s="1333"/>
      <c r="E1026" s="1333"/>
      <c r="F1026" s="1333"/>
      <c r="G1026" s="1333">
        <v>2023.0</v>
      </c>
      <c r="H1026" s="1333" t="s">
        <v>1131</v>
      </c>
      <c r="I1026" s="1333" t="s">
        <v>4173</v>
      </c>
      <c r="J1026" s="1333" t="s">
        <v>1058</v>
      </c>
      <c r="K1026" s="1333" t="s">
        <v>4157</v>
      </c>
      <c r="L1026" s="1333" t="s">
        <v>1724</v>
      </c>
      <c r="M1026" s="1335">
        <v>3.0</v>
      </c>
    </row>
    <row r="1027">
      <c r="A1027" s="1333"/>
      <c r="B1027" s="1333"/>
      <c r="C1027" s="1333"/>
      <c r="D1027" s="1333"/>
      <c r="E1027" s="1333"/>
      <c r="F1027" s="1333"/>
      <c r="G1027" s="1333">
        <v>2023.0</v>
      </c>
      <c r="H1027" s="1333" t="s">
        <v>1131</v>
      </c>
      <c r="I1027" s="1333" t="s">
        <v>4173</v>
      </c>
      <c r="J1027" s="1333" t="s">
        <v>1058</v>
      </c>
      <c r="K1027" s="1333" t="s">
        <v>4166</v>
      </c>
      <c r="L1027" s="1333" t="s">
        <v>2480</v>
      </c>
      <c r="M1027" s="1335">
        <v>2.0</v>
      </c>
    </row>
    <row r="1028">
      <c r="A1028" s="1333"/>
      <c r="B1028" s="1333"/>
      <c r="C1028" s="1333"/>
      <c r="D1028" s="1333"/>
      <c r="E1028" s="1333"/>
      <c r="F1028" s="1333"/>
      <c r="G1028" s="1333">
        <v>2023.0</v>
      </c>
      <c r="H1028" s="1333" t="s">
        <v>1131</v>
      </c>
      <c r="I1028" s="1333" t="s">
        <v>4173</v>
      </c>
      <c r="J1028" s="1333" t="s">
        <v>1058</v>
      </c>
      <c r="K1028" s="1333" t="s">
        <v>4161</v>
      </c>
      <c r="L1028" s="1333" t="s">
        <v>2480</v>
      </c>
      <c r="M1028" s="1335">
        <v>1.0</v>
      </c>
    </row>
    <row r="1029">
      <c r="A1029" s="1333"/>
      <c r="B1029" s="1333"/>
      <c r="C1029" s="1333"/>
      <c r="D1029" s="1333"/>
      <c r="E1029" s="1333"/>
      <c r="F1029" s="1333"/>
      <c r="G1029" s="1333">
        <v>2023.0</v>
      </c>
      <c r="H1029" s="1333" t="s">
        <v>1131</v>
      </c>
      <c r="I1029" s="1333" t="s">
        <v>4173</v>
      </c>
      <c r="J1029" s="1333" t="s">
        <v>4161</v>
      </c>
      <c r="K1029" s="1333" t="s">
        <v>1055</v>
      </c>
      <c r="L1029" s="1333" t="s">
        <v>1724</v>
      </c>
      <c r="M1029" s="1335">
        <v>37.0</v>
      </c>
    </row>
    <row r="1030">
      <c r="A1030" s="1333"/>
      <c r="B1030" s="1333"/>
      <c r="C1030" s="1333"/>
      <c r="D1030" s="1333"/>
      <c r="E1030" s="1333"/>
      <c r="F1030" s="1333"/>
      <c r="G1030" s="1333">
        <v>2023.0</v>
      </c>
      <c r="H1030" s="1333" t="s">
        <v>1131</v>
      </c>
      <c r="I1030" s="1333" t="s">
        <v>4173</v>
      </c>
      <c r="J1030" s="1333" t="s">
        <v>4161</v>
      </c>
      <c r="K1030" s="1333" t="s">
        <v>4161</v>
      </c>
      <c r="L1030" s="1333" t="s">
        <v>2480</v>
      </c>
      <c r="M1030" s="1335">
        <v>2.0</v>
      </c>
    </row>
    <row r="1031">
      <c r="A1031" s="1333"/>
      <c r="B1031" s="1333"/>
      <c r="C1031" s="1333"/>
      <c r="D1031" s="1333"/>
      <c r="E1031" s="1333"/>
      <c r="F1031" s="1333"/>
      <c r="G1031" s="1333">
        <v>2023.0</v>
      </c>
      <c r="H1031" s="1333" t="s">
        <v>2137</v>
      </c>
      <c r="I1031" s="1333" t="s">
        <v>4176</v>
      </c>
      <c r="J1031" s="1333" t="s">
        <v>1058</v>
      </c>
      <c r="K1031" s="1333" t="s">
        <v>4156</v>
      </c>
      <c r="L1031" s="1333" t="s">
        <v>2480</v>
      </c>
      <c r="M1031" s="1335">
        <v>9.0</v>
      </c>
    </row>
    <row r="1032">
      <c r="A1032" s="1333"/>
      <c r="B1032" s="1333"/>
      <c r="C1032" s="1333"/>
      <c r="D1032" s="1333"/>
      <c r="E1032" s="1333"/>
      <c r="F1032" s="1333"/>
      <c r="G1032" s="1333">
        <v>2023.0</v>
      </c>
      <c r="H1032" s="1333" t="s">
        <v>2137</v>
      </c>
      <c r="I1032" s="1333" t="s">
        <v>4176</v>
      </c>
      <c r="J1032" s="1333" t="s">
        <v>1058</v>
      </c>
      <c r="K1032" s="1333" t="s">
        <v>4165</v>
      </c>
      <c r="L1032" s="1333" t="s">
        <v>2480</v>
      </c>
      <c r="M1032" s="1335">
        <v>1.0</v>
      </c>
    </row>
    <row r="1033">
      <c r="A1033" s="1333"/>
      <c r="B1033" s="1333"/>
      <c r="C1033" s="1333"/>
      <c r="D1033" s="1333"/>
      <c r="E1033" s="1333"/>
      <c r="F1033" s="1333"/>
      <c r="G1033" s="1333">
        <v>2023.0</v>
      </c>
      <c r="H1033" s="1333" t="s">
        <v>2137</v>
      </c>
      <c r="I1033" s="1333" t="s">
        <v>4176</v>
      </c>
      <c r="J1033" s="1333" t="s">
        <v>1058</v>
      </c>
      <c r="K1033" s="1333" t="s">
        <v>4166</v>
      </c>
      <c r="L1033" s="1333" t="s">
        <v>2480</v>
      </c>
      <c r="M1033" s="1335">
        <v>1.0</v>
      </c>
    </row>
    <row r="1034">
      <c r="A1034" s="1333"/>
      <c r="B1034" s="1333"/>
      <c r="C1034" s="1333"/>
      <c r="D1034" s="1333"/>
      <c r="E1034" s="1333"/>
      <c r="F1034" s="1333"/>
      <c r="G1034" s="1333">
        <v>2023.0</v>
      </c>
      <c r="H1034" s="1333" t="s">
        <v>2137</v>
      </c>
      <c r="I1034" s="1333" t="s">
        <v>4176</v>
      </c>
      <c r="J1034" s="1333" t="s">
        <v>1058</v>
      </c>
      <c r="K1034" s="1333" t="s">
        <v>4160</v>
      </c>
      <c r="L1034" s="1333" t="s">
        <v>2480</v>
      </c>
      <c r="M1034" s="1335">
        <v>6.0</v>
      </c>
    </row>
    <row r="1035">
      <c r="A1035" s="1333"/>
      <c r="B1035" s="1333"/>
      <c r="C1035" s="1333"/>
      <c r="D1035" s="1333"/>
      <c r="E1035" s="1333"/>
      <c r="F1035" s="1333"/>
      <c r="G1035" s="1333">
        <v>2023.0</v>
      </c>
      <c r="H1035" s="1333" t="s">
        <v>2137</v>
      </c>
      <c r="I1035" s="1333" t="s">
        <v>4176</v>
      </c>
      <c r="J1035" s="1333" t="s">
        <v>4161</v>
      </c>
      <c r="K1035" s="1333" t="s">
        <v>1055</v>
      </c>
      <c r="L1035" s="1333" t="s">
        <v>1724</v>
      </c>
      <c r="M1035" s="1335">
        <v>6.0</v>
      </c>
    </row>
    <row r="1036">
      <c r="A1036" s="1333"/>
      <c r="B1036" s="1333"/>
      <c r="C1036" s="1333"/>
      <c r="D1036" s="1333"/>
      <c r="E1036" s="1333"/>
      <c r="F1036" s="1333"/>
      <c r="G1036" s="1333">
        <v>2023.0</v>
      </c>
      <c r="H1036" s="1333" t="s">
        <v>2138</v>
      </c>
      <c r="I1036" s="1333" t="s">
        <v>4169</v>
      </c>
      <c r="J1036" s="1333" t="s">
        <v>1058</v>
      </c>
      <c r="K1036" s="1333" t="s">
        <v>4156</v>
      </c>
      <c r="L1036" s="1333" t="s">
        <v>2480</v>
      </c>
      <c r="M1036" s="1335">
        <v>3.0</v>
      </c>
    </row>
    <row r="1037">
      <c r="A1037" s="1333"/>
      <c r="B1037" s="1333"/>
      <c r="C1037" s="1333"/>
      <c r="D1037" s="1333"/>
      <c r="E1037" s="1333"/>
      <c r="F1037" s="1333"/>
      <c r="G1037" s="1333">
        <v>2023.0</v>
      </c>
      <c r="H1037" s="1333" t="s">
        <v>2138</v>
      </c>
      <c r="I1037" s="1333" t="s">
        <v>4169</v>
      </c>
      <c r="J1037" s="1333" t="s">
        <v>1058</v>
      </c>
      <c r="K1037" s="1333" t="s">
        <v>4166</v>
      </c>
      <c r="L1037" s="1333" t="s">
        <v>2480</v>
      </c>
      <c r="M1037" s="1335">
        <v>1.0</v>
      </c>
    </row>
    <row r="1038">
      <c r="A1038" s="1333"/>
      <c r="B1038" s="1333"/>
      <c r="C1038" s="1333"/>
      <c r="D1038" s="1333"/>
      <c r="E1038" s="1333"/>
      <c r="F1038" s="1333"/>
      <c r="G1038" s="1333">
        <v>2023.0</v>
      </c>
      <c r="H1038" s="1333" t="s">
        <v>2138</v>
      </c>
      <c r="I1038" s="1333" t="s">
        <v>4169</v>
      </c>
      <c r="J1038" s="1333" t="s">
        <v>1058</v>
      </c>
      <c r="K1038" s="1333" t="s">
        <v>4160</v>
      </c>
      <c r="L1038" s="1333" t="s">
        <v>2480</v>
      </c>
      <c r="M1038" s="1335">
        <v>1.0</v>
      </c>
    </row>
    <row r="1039">
      <c r="A1039" s="1333"/>
      <c r="B1039" s="1333"/>
      <c r="C1039" s="1333"/>
      <c r="D1039" s="1333"/>
      <c r="E1039" s="1333"/>
      <c r="F1039" s="1333"/>
      <c r="G1039" s="1333">
        <v>2023.0</v>
      </c>
      <c r="H1039" s="1333" t="s">
        <v>2138</v>
      </c>
      <c r="I1039" s="1333" t="s">
        <v>4169</v>
      </c>
      <c r="J1039" s="1333" t="s">
        <v>4161</v>
      </c>
      <c r="K1039" s="1333" t="s">
        <v>1055</v>
      </c>
      <c r="L1039" s="1333" t="s">
        <v>1724</v>
      </c>
      <c r="M1039" s="1335">
        <v>4.0</v>
      </c>
    </row>
    <row r="1040">
      <c r="A1040" s="1333"/>
      <c r="B1040" s="1333"/>
      <c r="C1040" s="1333"/>
      <c r="D1040" s="1333"/>
      <c r="E1040" s="1333"/>
      <c r="F1040" s="1333"/>
      <c r="G1040" s="1333">
        <v>2023.0</v>
      </c>
      <c r="H1040" s="1333" t="s">
        <v>2139</v>
      </c>
      <c r="I1040" s="1333" t="s">
        <v>4155</v>
      </c>
      <c r="J1040" s="1333" t="s">
        <v>1058</v>
      </c>
      <c r="K1040" s="1333" t="s">
        <v>4163</v>
      </c>
      <c r="L1040" s="1333" t="s">
        <v>2480</v>
      </c>
      <c r="M1040" s="1335">
        <v>5.0</v>
      </c>
    </row>
    <row r="1041">
      <c r="A1041" s="1333"/>
      <c r="B1041" s="1333"/>
      <c r="C1041" s="1333"/>
      <c r="D1041" s="1333"/>
      <c r="E1041" s="1333"/>
      <c r="F1041" s="1333"/>
      <c r="G1041" s="1333">
        <v>2023.0</v>
      </c>
      <c r="H1041" s="1333" t="s">
        <v>2139</v>
      </c>
      <c r="I1041" s="1333" t="s">
        <v>4155</v>
      </c>
      <c r="J1041" s="1333" t="s">
        <v>1058</v>
      </c>
      <c r="K1041" s="1333" t="s">
        <v>4156</v>
      </c>
      <c r="L1041" s="1333" t="s">
        <v>2480</v>
      </c>
      <c r="M1041" s="1335">
        <v>9.0</v>
      </c>
    </row>
    <row r="1042">
      <c r="A1042" s="1333"/>
      <c r="B1042" s="1333"/>
      <c r="C1042" s="1333"/>
      <c r="D1042" s="1333"/>
      <c r="E1042" s="1333"/>
      <c r="F1042" s="1333"/>
      <c r="G1042" s="1333">
        <v>2023.0</v>
      </c>
      <c r="H1042" s="1333" t="s">
        <v>2139</v>
      </c>
      <c r="I1042" s="1333" t="s">
        <v>4155</v>
      </c>
      <c r="J1042" s="1333" t="s">
        <v>1058</v>
      </c>
      <c r="K1042" s="1333" t="s">
        <v>4157</v>
      </c>
      <c r="L1042" s="1333" t="s">
        <v>1724</v>
      </c>
      <c r="M1042" s="1335">
        <v>1.0</v>
      </c>
    </row>
    <row r="1043">
      <c r="A1043" s="1333"/>
      <c r="B1043" s="1333"/>
      <c r="C1043" s="1333"/>
      <c r="D1043" s="1333"/>
      <c r="E1043" s="1333"/>
      <c r="F1043" s="1333"/>
      <c r="G1043" s="1333">
        <v>2023.0</v>
      </c>
      <c r="H1043" s="1333" t="s">
        <v>2139</v>
      </c>
      <c r="I1043" s="1333" t="s">
        <v>4155</v>
      </c>
      <c r="J1043" s="1333" t="s">
        <v>1058</v>
      </c>
      <c r="K1043" s="1333" t="s">
        <v>4158</v>
      </c>
      <c r="L1043" s="1333" t="s">
        <v>2480</v>
      </c>
      <c r="M1043" s="1335">
        <v>1.0</v>
      </c>
    </row>
    <row r="1044">
      <c r="A1044" s="1333"/>
      <c r="B1044" s="1333"/>
      <c r="C1044" s="1333"/>
      <c r="D1044" s="1333"/>
      <c r="E1044" s="1333"/>
      <c r="F1044" s="1333"/>
      <c r="G1044" s="1333">
        <v>2023.0</v>
      </c>
      <c r="H1044" s="1333" t="s">
        <v>2139</v>
      </c>
      <c r="I1044" s="1333" t="s">
        <v>4155</v>
      </c>
      <c r="J1044" s="1333" t="s">
        <v>1058</v>
      </c>
      <c r="K1044" s="1333" t="s">
        <v>4159</v>
      </c>
      <c r="L1044" s="1333" t="s">
        <v>1724</v>
      </c>
      <c r="M1044" s="1335">
        <v>2.0</v>
      </c>
    </row>
    <row r="1045">
      <c r="A1045" s="1333"/>
      <c r="B1045" s="1333"/>
      <c r="C1045" s="1333"/>
      <c r="D1045" s="1333"/>
      <c r="E1045" s="1333"/>
      <c r="F1045" s="1333"/>
      <c r="G1045" s="1333">
        <v>2023.0</v>
      </c>
      <c r="H1045" s="1333" t="s">
        <v>2139</v>
      </c>
      <c r="I1045" s="1333" t="s">
        <v>4155</v>
      </c>
      <c r="J1045" s="1333" t="s">
        <v>4161</v>
      </c>
      <c r="K1045" s="1333" t="s">
        <v>1055</v>
      </c>
      <c r="L1045" s="1333" t="s">
        <v>1724</v>
      </c>
      <c r="M1045" s="1335">
        <v>19.0</v>
      </c>
    </row>
    <row r="1046">
      <c r="A1046" s="1333"/>
      <c r="B1046" s="1333"/>
      <c r="C1046" s="1333"/>
      <c r="D1046" s="1333"/>
      <c r="E1046" s="1333"/>
      <c r="F1046" s="1333"/>
      <c r="G1046" s="1333">
        <v>2023.0</v>
      </c>
      <c r="H1046" s="1333" t="s">
        <v>2139</v>
      </c>
      <c r="I1046" s="1333" t="s">
        <v>4155</v>
      </c>
      <c r="J1046" s="1333" t="s">
        <v>4161</v>
      </c>
      <c r="K1046" s="1333" t="s">
        <v>4161</v>
      </c>
      <c r="L1046" s="1333" t="s">
        <v>2480</v>
      </c>
      <c r="M1046" s="1335">
        <v>3.0</v>
      </c>
    </row>
    <row r="1047">
      <c r="A1047" s="1333"/>
      <c r="B1047" s="1333"/>
      <c r="C1047" s="1333"/>
      <c r="D1047" s="1333"/>
      <c r="E1047" s="1333"/>
      <c r="F1047" s="1333"/>
      <c r="G1047" s="1333">
        <v>2023.0</v>
      </c>
      <c r="H1047" s="1333" t="s">
        <v>1168</v>
      </c>
      <c r="I1047" s="1333" t="s">
        <v>4164</v>
      </c>
      <c r="J1047" s="1333" t="s">
        <v>1058</v>
      </c>
      <c r="K1047" s="1333" t="s">
        <v>4156</v>
      </c>
      <c r="L1047" s="1333" t="s">
        <v>2480</v>
      </c>
      <c r="M1047" s="1335">
        <v>4.0</v>
      </c>
    </row>
    <row r="1048">
      <c r="A1048" s="1333"/>
      <c r="B1048" s="1333"/>
      <c r="C1048" s="1333"/>
      <c r="D1048" s="1333"/>
      <c r="E1048" s="1333"/>
      <c r="F1048" s="1333"/>
      <c r="G1048" s="1333">
        <v>2023.0</v>
      </c>
      <c r="H1048" s="1333" t="s">
        <v>1168</v>
      </c>
      <c r="I1048" s="1333" t="s">
        <v>4164</v>
      </c>
      <c r="J1048" s="1333" t="s">
        <v>4161</v>
      </c>
      <c r="K1048" s="1333" t="s">
        <v>1055</v>
      </c>
      <c r="L1048" s="1333" t="s">
        <v>1724</v>
      </c>
      <c r="M1048" s="1335">
        <v>8.0</v>
      </c>
    </row>
    <row r="1049">
      <c r="A1049" s="1333"/>
      <c r="B1049" s="1333"/>
      <c r="C1049" s="1333"/>
      <c r="D1049" s="1333"/>
      <c r="E1049" s="1333"/>
      <c r="F1049" s="1333"/>
      <c r="G1049" s="1333">
        <v>2023.0</v>
      </c>
      <c r="H1049" s="1333" t="s">
        <v>2140</v>
      </c>
      <c r="I1049" s="1333" t="s">
        <v>4164</v>
      </c>
      <c r="J1049" s="1333" t="s">
        <v>1058</v>
      </c>
      <c r="K1049" s="1333" t="s">
        <v>4156</v>
      </c>
      <c r="L1049" s="1333" t="s">
        <v>2480</v>
      </c>
      <c r="M1049" s="1335">
        <v>4.0</v>
      </c>
    </row>
    <row r="1050">
      <c r="A1050" s="1333"/>
      <c r="B1050" s="1333"/>
      <c r="C1050" s="1333"/>
      <c r="D1050" s="1333"/>
      <c r="E1050" s="1333"/>
      <c r="F1050" s="1333"/>
      <c r="G1050" s="1333">
        <v>2023.0</v>
      </c>
      <c r="H1050" s="1333" t="s">
        <v>2140</v>
      </c>
      <c r="I1050" s="1333" t="s">
        <v>4164</v>
      </c>
      <c r="J1050" s="1333" t="s">
        <v>1058</v>
      </c>
      <c r="K1050" s="1333" t="s">
        <v>4159</v>
      </c>
      <c r="L1050" s="1333" t="s">
        <v>1724</v>
      </c>
      <c r="M1050" s="1335">
        <v>4.0</v>
      </c>
    </row>
    <row r="1051">
      <c r="A1051" s="1333"/>
      <c r="B1051" s="1333"/>
      <c r="C1051" s="1333"/>
      <c r="D1051" s="1333"/>
      <c r="E1051" s="1333"/>
      <c r="F1051" s="1333"/>
      <c r="G1051" s="1333">
        <v>2023.0</v>
      </c>
      <c r="H1051" s="1333" t="s">
        <v>2140</v>
      </c>
      <c r="I1051" s="1333" t="s">
        <v>4164</v>
      </c>
      <c r="J1051" s="1333" t="s">
        <v>4161</v>
      </c>
      <c r="K1051" s="1333" t="s">
        <v>1055</v>
      </c>
      <c r="L1051" s="1333" t="s">
        <v>1724</v>
      </c>
      <c r="M1051" s="1335">
        <v>2.0</v>
      </c>
    </row>
    <row r="1052">
      <c r="A1052" s="1333"/>
      <c r="B1052" s="1333"/>
      <c r="C1052" s="1333"/>
      <c r="D1052" s="1333"/>
      <c r="E1052" s="1333"/>
      <c r="F1052" s="1333"/>
      <c r="G1052" s="1333">
        <v>2023.0</v>
      </c>
      <c r="H1052" s="1333" t="s">
        <v>2140</v>
      </c>
      <c r="I1052" s="1333" t="s">
        <v>4164</v>
      </c>
      <c r="J1052" s="1333" t="s">
        <v>4161</v>
      </c>
      <c r="K1052" s="1333" t="s">
        <v>4161</v>
      </c>
      <c r="L1052" s="1333" t="s">
        <v>2480</v>
      </c>
      <c r="M1052" s="1335">
        <v>2.0</v>
      </c>
    </row>
    <row r="1053">
      <c r="A1053" s="1333"/>
      <c r="B1053" s="1333"/>
      <c r="C1053" s="1333"/>
      <c r="D1053" s="1333"/>
      <c r="E1053" s="1333"/>
      <c r="F1053" s="1333"/>
      <c r="G1053" s="1333">
        <v>2023.0</v>
      </c>
      <c r="H1053" s="1333" t="s">
        <v>2142</v>
      </c>
      <c r="I1053" s="1333" t="s">
        <v>4164</v>
      </c>
      <c r="J1053" s="1333" t="s">
        <v>1058</v>
      </c>
      <c r="K1053" s="1333" t="s">
        <v>4156</v>
      </c>
      <c r="L1053" s="1333" t="s">
        <v>2480</v>
      </c>
      <c r="M1053" s="1335">
        <v>15.0</v>
      </c>
    </row>
    <row r="1054">
      <c r="A1054" s="1333"/>
      <c r="B1054" s="1333"/>
      <c r="C1054" s="1333"/>
      <c r="D1054" s="1333"/>
      <c r="E1054" s="1333"/>
      <c r="F1054" s="1333"/>
      <c r="G1054" s="1333">
        <v>2023.0</v>
      </c>
      <c r="H1054" s="1333" t="s">
        <v>2142</v>
      </c>
      <c r="I1054" s="1333" t="s">
        <v>4164</v>
      </c>
      <c r="J1054" s="1333" t="s">
        <v>1058</v>
      </c>
      <c r="K1054" s="1333" t="s">
        <v>4157</v>
      </c>
      <c r="L1054" s="1333" t="s">
        <v>1724</v>
      </c>
      <c r="M1054" s="1335">
        <v>1.0</v>
      </c>
    </row>
    <row r="1055">
      <c r="A1055" s="1333"/>
      <c r="B1055" s="1333"/>
      <c r="C1055" s="1333"/>
      <c r="D1055" s="1333"/>
      <c r="E1055" s="1333"/>
      <c r="F1055" s="1333"/>
      <c r="G1055" s="1333">
        <v>2023.0</v>
      </c>
      <c r="H1055" s="1333" t="s">
        <v>2142</v>
      </c>
      <c r="I1055" s="1333" t="s">
        <v>4164</v>
      </c>
      <c r="J1055" s="1333" t="s">
        <v>1058</v>
      </c>
      <c r="K1055" s="1333" t="s">
        <v>4158</v>
      </c>
      <c r="L1055" s="1333" t="s">
        <v>2480</v>
      </c>
      <c r="M1055" s="1335">
        <v>2.0</v>
      </c>
    </row>
    <row r="1056">
      <c r="A1056" s="1333"/>
      <c r="B1056" s="1333"/>
      <c r="C1056" s="1333"/>
      <c r="D1056" s="1333"/>
      <c r="E1056" s="1333"/>
      <c r="F1056" s="1333"/>
      <c r="G1056" s="1333">
        <v>2023.0</v>
      </c>
      <c r="H1056" s="1333" t="s">
        <v>2142</v>
      </c>
      <c r="I1056" s="1333" t="s">
        <v>4164</v>
      </c>
      <c r="J1056" s="1333" t="s">
        <v>1058</v>
      </c>
      <c r="K1056" s="1333" t="s">
        <v>4165</v>
      </c>
      <c r="L1056" s="1333" t="s">
        <v>2480</v>
      </c>
      <c r="M1056" s="1335">
        <v>4.0</v>
      </c>
    </row>
    <row r="1057">
      <c r="A1057" s="1333"/>
      <c r="B1057" s="1333"/>
      <c r="C1057" s="1333"/>
      <c r="D1057" s="1333"/>
      <c r="E1057" s="1333"/>
      <c r="F1057" s="1333"/>
      <c r="G1057" s="1333">
        <v>2023.0</v>
      </c>
      <c r="H1057" s="1333" t="s">
        <v>2142</v>
      </c>
      <c r="I1057" s="1333" t="s">
        <v>4164</v>
      </c>
      <c r="J1057" s="1333" t="s">
        <v>1058</v>
      </c>
      <c r="K1057" s="1333" t="s">
        <v>4166</v>
      </c>
      <c r="L1057" s="1333" t="s">
        <v>2480</v>
      </c>
      <c r="M1057" s="1335">
        <v>3.0</v>
      </c>
    </row>
    <row r="1058">
      <c r="A1058" s="1333"/>
      <c r="B1058" s="1333"/>
      <c r="C1058" s="1333"/>
      <c r="D1058" s="1333"/>
      <c r="E1058" s="1333"/>
      <c r="F1058" s="1333"/>
      <c r="G1058" s="1333">
        <v>2023.0</v>
      </c>
      <c r="H1058" s="1333" t="s">
        <v>2142</v>
      </c>
      <c r="I1058" s="1333" t="s">
        <v>4164</v>
      </c>
      <c r="J1058" s="1333" t="s">
        <v>1058</v>
      </c>
      <c r="K1058" s="1333" t="s">
        <v>4160</v>
      </c>
      <c r="L1058" s="1333" t="s">
        <v>2480</v>
      </c>
      <c r="M1058" s="1335">
        <v>1.0</v>
      </c>
    </row>
    <row r="1059">
      <c r="A1059" s="1333"/>
      <c r="B1059" s="1333"/>
      <c r="C1059" s="1333"/>
      <c r="D1059" s="1333"/>
      <c r="E1059" s="1333"/>
      <c r="F1059" s="1333"/>
      <c r="G1059" s="1333">
        <v>2023.0</v>
      </c>
      <c r="H1059" s="1333" t="s">
        <v>2142</v>
      </c>
      <c r="I1059" s="1333" t="s">
        <v>4164</v>
      </c>
      <c r="J1059" s="1333" t="s">
        <v>4161</v>
      </c>
      <c r="K1059" s="1333" t="s">
        <v>1055</v>
      </c>
      <c r="L1059" s="1333" t="s">
        <v>1724</v>
      </c>
      <c r="M1059" s="1335">
        <v>11.0</v>
      </c>
    </row>
    <row r="1060">
      <c r="A1060" s="1333"/>
      <c r="B1060" s="1333"/>
      <c r="C1060" s="1333"/>
      <c r="D1060" s="1333"/>
      <c r="E1060" s="1333"/>
      <c r="F1060" s="1333"/>
      <c r="G1060" s="1333">
        <v>2023.0</v>
      </c>
      <c r="H1060" s="1333" t="s">
        <v>2142</v>
      </c>
      <c r="I1060" s="1333" t="s">
        <v>4164</v>
      </c>
      <c r="J1060" s="1333" t="s">
        <v>4161</v>
      </c>
      <c r="K1060" s="1333" t="s">
        <v>4161</v>
      </c>
      <c r="L1060" s="1333" t="s">
        <v>2480</v>
      </c>
      <c r="M1060" s="1335">
        <v>5.0</v>
      </c>
    </row>
    <row r="1061">
      <c r="A1061" s="1333"/>
      <c r="B1061" s="1333"/>
      <c r="C1061" s="1333"/>
      <c r="D1061" s="1333"/>
      <c r="E1061" s="1333"/>
      <c r="F1061" s="1333"/>
      <c r="G1061" s="1333">
        <v>2023.0</v>
      </c>
      <c r="H1061" s="1333" t="s">
        <v>2143</v>
      </c>
      <c r="I1061" s="1333" t="s">
        <v>4168</v>
      </c>
      <c r="J1061" s="1333" t="s">
        <v>1058</v>
      </c>
      <c r="K1061" s="1333" t="s">
        <v>4156</v>
      </c>
      <c r="L1061" s="1333" t="s">
        <v>2480</v>
      </c>
      <c r="M1061" s="1335">
        <v>18.0</v>
      </c>
    </row>
    <row r="1062">
      <c r="A1062" s="1333"/>
      <c r="B1062" s="1333"/>
      <c r="C1062" s="1333"/>
      <c r="D1062" s="1333"/>
      <c r="E1062" s="1333"/>
      <c r="F1062" s="1333"/>
      <c r="G1062" s="1333">
        <v>2023.0</v>
      </c>
      <c r="H1062" s="1333" t="s">
        <v>2143</v>
      </c>
      <c r="I1062" s="1333" t="s">
        <v>4168</v>
      </c>
      <c r="J1062" s="1333" t="s">
        <v>1058</v>
      </c>
      <c r="K1062" s="1333" t="s">
        <v>4158</v>
      </c>
      <c r="L1062" s="1333" t="s">
        <v>2480</v>
      </c>
      <c r="M1062" s="1335">
        <v>2.0</v>
      </c>
    </row>
    <row r="1063">
      <c r="A1063" s="1333"/>
      <c r="B1063" s="1333"/>
      <c r="C1063" s="1333"/>
      <c r="D1063" s="1333"/>
      <c r="E1063" s="1333"/>
      <c r="F1063" s="1333"/>
      <c r="G1063" s="1333">
        <v>2023.0</v>
      </c>
      <c r="H1063" s="1333" t="s">
        <v>2143</v>
      </c>
      <c r="I1063" s="1333" t="s">
        <v>4168</v>
      </c>
      <c r="J1063" s="1333" t="s">
        <v>1058</v>
      </c>
      <c r="K1063" s="1333" t="s">
        <v>4165</v>
      </c>
      <c r="L1063" s="1333" t="s">
        <v>2480</v>
      </c>
      <c r="M1063" s="1335">
        <v>1.0</v>
      </c>
    </row>
    <row r="1064">
      <c r="A1064" s="1333"/>
      <c r="B1064" s="1333"/>
      <c r="C1064" s="1333"/>
      <c r="D1064" s="1333"/>
      <c r="E1064" s="1333"/>
      <c r="F1064" s="1333"/>
      <c r="G1064" s="1333">
        <v>2023.0</v>
      </c>
      <c r="H1064" s="1333" t="s">
        <v>2143</v>
      </c>
      <c r="I1064" s="1333" t="s">
        <v>4168</v>
      </c>
      <c r="J1064" s="1333" t="s">
        <v>1058</v>
      </c>
      <c r="K1064" s="1333" t="s">
        <v>4160</v>
      </c>
      <c r="L1064" s="1333" t="s">
        <v>2480</v>
      </c>
      <c r="M1064" s="1335">
        <v>7.0</v>
      </c>
    </row>
    <row r="1065">
      <c r="A1065" s="1333"/>
      <c r="B1065" s="1333"/>
      <c r="C1065" s="1333"/>
      <c r="D1065" s="1333"/>
      <c r="E1065" s="1333"/>
      <c r="F1065" s="1333"/>
      <c r="G1065" s="1333">
        <v>2023.0</v>
      </c>
      <c r="H1065" s="1333" t="s">
        <v>2143</v>
      </c>
      <c r="I1065" s="1333" t="s">
        <v>4168</v>
      </c>
      <c r="J1065" s="1333" t="s">
        <v>4161</v>
      </c>
      <c r="K1065" s="1333" t="s">
        <v>1055</v>
      </c>
      <c r="L1065" s="1333" t="s">
        <v>1724</v>
      </c>
      <c r="M1065" s="1335">
        <v>16.0</v>
      </c>
    </row>
    <row r="1066">
      <c r="A1066" s="1333"/>
      <c r="B1066" s="1333"/>
      <c r="C1066" s="1333"/>
      <c r="D1066" s="1333"/>
      <c r="E1066" s="1333"/>
      <c r="F1066" s="1333"/>
      <c r="G1066" s="1333">
        <v>2023.0</v>
      </c>
      <c r="H1066" s="1333" t="s">
        <v>2143</v>
      </c>
      <c r="I1066" s="1333" t="s">
        <v>4168</v>
      </c>
      <c r="J1066" s="1333" t="s">
        <v>4161</v>
      </c>
      <c r="K1066" s="1333" t="s">
        <v>4161</v>
      </c>
      <c r="L1066" s="1333" t="s">
        <v>2480</v>
      </c>
      <c r="M1066" s="1335">
        <v>1.0</v>
      </c>
    </row>
    <row r="1067">
      <c r="A1067" s="1333"/>
      <c r="B1067" s="1333"/>
      <c r="C1067" s="1333"/>
      <c r="D1067" s="1333"/>
      <c r="E1067" s="1333"/>
      <c r="F1067" s="1333"/>
      <c r="G1067" s="1333">
        <v>2023.0</v>
      </c>
      <c r="H1067" s="1333" t="s">
        <v>2144</v>
      </c>
      <c r="I1067" s="1333" t="s">
        <v>4173</v>
      </c>
      <c r="J1067" s="1333" t="s">
        <v>1058</v>
      </c>
      <c r="K1067" s="1333" t="s">
        <v>4156</v>
      </c>
      <c r="L1067" s="1333" t="s">
        <v>2480</v>
      </c>
      <c r="M1067" s="1335">
        <v>3.0</v>
      </c>
    </row>
    <row r="1068">
      <c r="A1068" s="1333"/>
      <c r="B1068" s="1333"/>
      <c r="C1068" s="1333"/>
      <c r="D1068" s="1333"/>
      <c r="E1068" s="1333"/>
      <c r="F1068" s="1333"/>
      <c r="G1068" s="1333">
        <v>2023.0</v>
      </c>
      <c r="H1068" s="1333" t="s">
        <v>2144</v>
      </c>
      <c r="I1068" s="1333" t="s">
        <v>4173</v>
      </c>
      <c r="J1068" s="1333" t="s">
        <v>1058</v>
      </c>
      <c r="K1068" s="1333" t="s">
        <v>4157</v>
      </c>
      <c r="L1068" s="1333" t="s">
        <v>1724</v>
      </c>
      <c r="M1068" s="1335">
        <v>1.0</v>
      </c>
    </row>
    <row r="1069">
      <c r="A1069" s="1333"/>
      <c r="B1069" s="1333"/>
      <c r="C1069" s="1333"/>
      <c r="D1069" s="1333"/>
      <c r="E1069" s="1333"/>
      <c r="F1069" s="1333"/>
      <c r="G1069" s="1333">
        <v>2023.0</v>
      </c>
      <c r="H1069" s="1333" t="s">
        <v>2144</v>
      </c>
      <c r="I1069" s="1333" t="s">
        <v>4173</v>
      </c>
      <c r="J1069" s="1333" t="s">
        <v>1058</v>
      </c>
      <c r="K1069" s="1333" t="s">
        <v>4160</v>
      </c>
      <c r="L1069" s="1333" t="s">
        <v>2480</v>
      </c>
      <c r="M1069" s="1335">
        <v>1.0</v>
      </c>
    </row>
    <row r="1070">
      <c r="A1070" s="1333"/>
      <c r="B1070" s="1333"/>
      <c r="C1070" s="1333"/>
      <c r="D1070" s="1333"/>
      <c r="E1070" s="1333"/>
      <c r="F1070" s="1333"/>
      <c r="G1070" s="1333">
        <v>2023.0</v>
      </c>
      <c r="H1070" s="1333" t="s">
        <v>2144</v>
      </c>
      <c r="I1070" s="1333" t="s">
        <v>4173</v>
      </c>
      <c r="J1070" s="1333" t="s">
        <v>4161</v>
      </c>
      <c r="K1070" s="1333" t="s">
        <v>1055</v>
      </c>
      <c r="L1070" s="1333" t="s">
        <v>1724</v>
      </c>
      <c r="M1070" s="1335">
        <v>4.0</v>
      </c>
    </row>
    <row r="1071">
      <c r="A1071" s="1333"/>
      <c r="B1071" s="1333"/>
      <c r="C1071" s="1333"/>
      <c r="D1071" s="1333"/>
      <c r="E1071" s="1333"/>
      <c r="F1071" s="1333"/>
      <c r="G1071" s="1333">
        <v>2023.0</v>
      </c>
      <c r="H1071" s="1333" t="s">
        <v>2146</v>
      </c>
      <c r="I1071" s="1333" t="s">
        <v>4169</v>
      </c>
      <c r="J1071" s="1333" t="s">
        <v>1058</v>
      </c>
      <c r="K1071" s="1333" t="s">
        <v>4163</v>
      </c>
      <c r="L1071" s="1333" t="s">
        <v>2480</v>
      </c>
      <c r="M1071" s="1335">
        <v>4.0</v>
      </c>
    </row>
    <row r="1072">
      <c r="A1072" s="1333"/>
      <c r="B1072" s="1333"/>
      <c r="C1072" s="1333"/>
      <c r="D1072" s="1333"/>
      <c r="E1072" s="1333"/>
      <c r="F1072" s="1333"/>
      <c r="G1072" s="1333">
        <v>2023.0</v>
      </c>
      <c r="H1072" s="1333" t="s">
        <v>2146</v>
      </c>
      <c r="I1072" s="1333" t="s">
        <v>4169</v>
      </c>
      <c r="J1072" s="1333" t="s">
        <v>1058</v>
      </c>
      <c r="K1072" s="1333" t="s">
        <v>4156</v>
      </c>
      <c r="L1072" s="1333" t="s">
        <v>2480</v>
      </c>
      <c r="M1072" s="1335">
        <v>14.0</v>
      </c>
    </row>
    <row r="1073">
      <c r="A1073" s="1333"/>
      <c r="B1073" s="1333"/>
      <c r="C1073" s="1333"/>
      <c r="D1073" s="1333"/>
      <c r="E1073" s="1333"/>
      <c r="F1073" s="1333"/>
      <c r="G1073" s="1333">
        <v>2023.0</v>
      </c>
      <c r="H1073" s="1333" t="s">
        <v>2146</v>
      </c>
      <c r="I1073" s="1333" t="s">
        <v>4169</v>
      </c>
      <c r="J1073" s="1333" t="s">
        <v>1058</v>
      </c>
      <c r="K1073" s="1333" t="s">
        <v>4165</v>
      </c>
      <c r="L1073" s="1333" t="s">
        <v>2480</v>
      </c>
      <c r="M1073" s="1335">
        <v>1.0</v>
      </c>
    </row>
    <row r="1074">
      <c r="A1074" s="1333"/>
      <c r="B1074" s="1333"/>
      <c r="C1074" s="1333"/>
      <c r="D1074" s="1333"/>
      <c r="E1074" s="1333"/>
      <c r="F1074" s="1333"/>
      <c r="G1074" s="1333">
        <v>2023.0</v>
      </c>
      <c r="H1074" s="1333" t="s">
        <v>2146</v>
      </c>
      <c r="I1074" s="1333" t="s">
        <v>4169</v>
      </c>
      <c r="J1074" s="1333" t="s">
        <v>1058</v>
      </c>
      <c r="K1074" s="1333" t="s">
        <v>4166</v>
      </c>
      <c r="L1074" s="1333" t="s">
        <v>2480</v>
      </c>
      <c r="M1074" s="1335">
        <v>1.0</v>
      </c>
    </row>
    <row r="1075">
      <c r="A1075" s="1333"/>
      <c r="B1075" s="1333"/>
      <c r="C1075" s="1333"/>
      <c r="D1075" s="1333"/>
      <c r="E1075" s="1333"/>
      <c r="F1075" s="1333"/>
      <c r="G1075" s="1333">
        <v>2023.0</v>
      </c>
      <c r="H1075" s="1333" t="s">
        <v>2146</v>
      </c>
      <c r="I1075" s="1333" t="s">
        <v>4169</v>
      </c>
      <c r="J1075" s="1333" t="s">
        <v>1058</v>
      </c>
      <c r="K1075" s="1333" t="s">
        <v>4160</v>
      </c>
      <c r="L1075" s="1333" t="s">
        <v>2480</v>
      </c>
      <c r="M1075" s="1335">
        <v>4.0</v>
      </c>
    </row>
    <row r="1076">
      <c r="A1076" s="1333"/>
      <c r="B1076" s="1333"/>
      <c r="C1076" s="1333"/>
      <c r="D1076" s="1333"/>
      <c r="E1076" s="1333"/>
      <c r="F1076" s="1333"/>
      <c r="G1076" s="1333">
        <v>2023.0</v>
      </c>
      <c r="H1076" s="1333" t="s">
        <v>2146</v>
      </c>
      <c r="I1076" s="1333" t="s">
        <v>4169</v>
      </c>
      <c r="J1076" s="1333" t="s">
        <v>4161</v>
      </c>
      <c r="K1076" s="1333" t="s">
        <v>4167</v>
      </c>
      <c r="L1076" s="1333" t="s">
        <v>2480</v>
      </c>
      <c r="M1076" s="1335">
        <v>1.0</v>
      </c>
    </row>
    <row r="1077">
      <c r="A1077" s="1333"/>
      <c r="B1077" s="1333"/>
      <c r="C1077" s="1333"/>
      <c r="D1077" s="1333"/>
      <c r="E1077" s="1333"/>
      <c r="F1077" s="1333"/>
      <c r="G1077" s="1333">
        <v>2023.0</v>
      </c>
      <c r="H1077" s="1333" t="s">
        <v>2146</v>
      </c>
      <c r="I1077" s="1333" t="s">
        <v>4169</v>
      </c>
      <c r="J1077" s="1333" t="s">
        <v>4161</v>
      </c>
      <c r="K1077" s="1333" t="s">
        <v>1055</v>
      </c>
      <c r="L1077" s="1333" t="s">
        <v>1724</v>
      </c>
      <c r="M1077" s="1335">
        <v>13.0</v>
      </c>
    </row>
    <row r="1078">
      <c r="A1078" s="1333"/>
      <c r="B1078" s="1333"/>
      <c r="C1078" s="1333"/>
      <c r="D1078" s="1333"/>
      <c r="E1078" s="1333"/>
      <c r="F1078" s="1333"/>
      <c r="G1078" s="1333">
        <v>2023.0</v>
      </c>
      <c r="H1078" s="1333" t="s">
        <v>2146</v>
      </c>
      <c r="I1078" s="1333" t="s">
        <v>4169</v>
      </c>
      <c r="J1078" s="1333" t="s">
        <v>4161</v>
      </c>
      <c r="K1078" s="1333" t="s">
        <v>4161</v>
      </c>
      <c r="L1078" s="1333" t="s">
        <v>2480</v>
      </c>
      <c r="M1078" s="1335">
        <v>1.0</v>
      </c>
    </row>
    <row r="1079">
      <c r="A1079" s="1333"/>
      <c r="B1079" s="1333"/>
      <c r="C1079" s="1333"/>
      <c r="D1079" s="1333"/>
      <c r="E1079" s="1333"/>
      <c r="F1079" s="1333"/>
      <c r="G1079" s="1333">
        <v>2023.0</v>
      </c>
      <c r="H1079" s="1333" t="s">
        <v>168</v>
      </c>
      <c r="I1079" s="1333" t="s">
        <v>4164</v>
      </c>
      <c r="J1079" s="1333" t="s">
        <v>1058</v>
      </c>
      <c r="K1079" s="1333" t="s">
        <v>4156</v>
      </c>
      <c r="L1079" s="1333" t="s">
        <v>2480</v>
      </c>
      <c r="M1079" s="1335">
        <v>12.0</v>
      </c>
    </row>
    <row r="1080">
      <c r="A1080" s="1333"/>
      <c r="B1080" s="1333"/>
      <c r="C1080" s="1333"/>
      <c r="D1080" s="1333"/>
      <c r="E1080" s="1333"/>
      <c r="F1080" s="1333"/>
      <c r="G1080" s="1333">
        <v>2023.0</v>
      </c>
      <c r="H1080" s="1333" t="s">
        <v>168</v>
      </c>
      <c r="I1080" s="1333" t="s">
        <v>4164</v>
      </c>
      <c r="J1080" s="1333" t="s">
        <v>1058</v>
      </c>
      <c r="K1080" s="1333" t="s">
        <v>4157</v>
      </c>
      <c r="L1080" s="1333" t="s">
        <v>1724</v>
      </c>
      <c r="M1080" s="1335">
        <v>1.0</v>
      </c>
    </row>
    <row r="1081">
      <c r="A1081" s="1333"/>
      <c r="B1081" s="1333"/>
      <c r="C1081" s="1333"/>
      <c r="D1081" s="1333"/>
      <c r="E1081" s="1333"/>
      <c r="F1081" s="1333"/>
      <c r="G1081" s="1333">
        <v>2023.0</v>
      </c>
      <c r="H1081" s="1333" t="s">
        <v>168</v>
      </c>
      <c r="I1081" s="1333" t="s">
        <v>4164</v>
      </c>
      <c r="J1081" s="1333" t="s">
        <v>1058</v>
      </c>
      <c r="K1081" s="1333" t="s">
        <v>4158</v>
      </c>
      <c r="L1081" s="1333" t="s">
        <v>2480</v>
      </c>
      <c r="M1081" s="1335">
        <v>1.0</v>
      </c>
    </row>
    <row r="1082">
      <c r="A1082" s="1333"/>
      <c r="B1082" s="1333"/>
      <c r="C1082" s="1333"/>
      <c r="D1082" s="1333"/>
      <c r="E1082" s="1333"/>
      <c r="F1082" s="1333"/>
      <c r="G1082" s="1333">
        <v>2023.0</v>
      </c>
      <c r="H1082" s="1333" t="s">
        <v>168</v>
      </c>
      <c r="I1082" s="1333" t="s">
        <v>4164</v>
      </c>
      <c r="J1082" s="1333" t="s">
        <v>1058</v>
      </c>
      <c r="K1082" s="1333" t="s">
        <v>4160</v>
      </c>
      <c r="L1082" s="1333" t="s">
        <v>2480</v>
      </c>
      <c r="M1082" s="1335">
        <v>1.0</v>
      </c>
    </row>
    <row r="1083">
      <c r="A1083" s="1333"/>
      <c r="B1083" s="1333"/>
      <c r="C1083" s="1333"/>
      <c r="D1083" s="1333"/>
      <c r="E1083" s="1333"/>
      <c r="F1083" s="1333"/>
      <c r="G1083" s="1333">
        <v>2023.0</v>
      </c>
      <c r="H1083" s="1333" t="s">
        <v>168</v>
      </c>
      <c r="I1083" s="1333" t="s">
        <v>4164</v>
      </c>
      <c r="J1083" s="1333" t="s">
        <v>4161</v>
      </c>
      <c r="K1083" s="1333" t="s">
        <v>1055</v>
      </c>
      <c r="L1083" s="1333" t="s">
        <v>1724</v>
      </c>
      <c r="M1083" s="1335">
        <v>12.0</v>
      </c>
    </row>
    <row r="1084">
      <c r="A1084" s="1333"/>
      <c r="B1084" s="1333"/>
      <c r="C1084" s="1333"/>
      <c r="D1084" s="1333"/>
      <c r="E1084" s="1333"/>
      <c r="F1084" s="1333"/>
      <c r="G1084" s="1333">
        <v>2023.0</v>
      </c>
      <c r="H1084" s="1333" t="s">
        <v>168</v>
      </c>
      <c r="I1084" s="1333" t="s">
        <v>4164</v>
      </c>
      <c r="J1084" s="1333" t="s">
        <v>4161</v>
      </c>
      <c r="K1084" s="1333" t="s">
        <v>4161</v>
      </c>
      <c r="L1084" s="1333" t="s">
        <v>2480</v>
      </c>
      <c r="M1084" s="1335">
        <v>1.0</v>
      </c>
    </row>
    <row r="1085">
      <c r="A1085" s="1333"/>
      <c r="B1085" s="1333"/>
      <c r="C1085" s="1333"/>
      <c r="D1085" s="1333"/>
      <c r="E1085" s="1333"/>
      <c r="F1085" s="1333"/>
      <c r="G1085" s="1333">
        <v>2023.0</v>
      </c>
      <c r="H1085" s="1333" t="s">
        <v>1011</v>
      </c>
      <c r="I1085" s="1333" t="s">
        <v>4170</v>
      </c>
      <c r="J1085" s="1333" t="s">
        <v>1058</v>
      </c>
      <c r="K1085" s="1333" t="s">
        <v>4163</v>
      </c>
      <c r="L1085" s="1333" t="s">
        <v>2480</v>
      </c>
      <c r="M1085" s="1335">
        <v>1.0</v>
      </c>
    </row>
    <row r="1086">
      <c r="A1086" s="1333"/>
      <c r="B1086" s="1333"/>
      <c r="C1086" s="1333"/>
      <c r="D1086" s="1333"/>
      <c r="E1086" s="1333"/>
      <c r="F1086" s="1333"/>
      <c r="G1086" s="1333">
        <v>2023.0</v>
      </c>
      <c r="H1086" s="1333" t="s">
        <v>1011</v>
      </c>
      <c r="I1086" s="1333" t="s">
        <v>4170</v>
      </c>
      <c r="J1086" s="1333" t="s">
        <v>1058</v>
      </c>
      <c r="K1086" s="1333" t="s">
        <v>4156</v>
      </c>
      <c r="L1086" s="1333" t="s">
        <v>2480</v>
      </c>
      <c r="M1086" s="1335">
        <v>1.0</v>
      </c>
    </row>
    <row r="1087">
      <c r="A1087" s="1333"/>
      <c r="B1087" s="1333"/>
      <c r="C1087" s="1333"/>
      <c r="D1087" s="1333"/>
      <c r="E1087" s="1333"/>
      <c r="F1087" s="1333"/>
      <c r="G1087" s="1333">
        <v>2023.0</v>
      </c>
      <c r="H1087" s="1333" t="s">
        <v>1011</v>
      </c>
      <c r="I1087" s="1333" t="s">
        <v>4170</v>
      </c>
      <c r="J1087" s="1333" t="s">
        <v>4161</v>
      </c>
      <c r="K1087" s="1333" t="s">
        <v>1055</v>
      </c>
      <c r="L1087" s="1333" t="s">
        <v>1724</v>
      </c>
      <c r="M1087" s="1335">
        <v>4.0</v>
      </c>
    </row>
    <row r="1088">
      <c r="A1088" s="1333"/>
      <c r="B1088" s="1333"/>
      <c r="C1088" s="1333"/>
      <c r="D1088" s="1333"/>
      <c r="E1088" s="1333"/>
      <c r="F1088" s="1333"/>
      <c r="G1088" s="1333">
        <v>2023.0</v>
      </c>
      <c r="H1088" s="1333" t="s">
        <v>1012</v>
      </c>
      <c r="I1088" s="1333" t="s">
        <v>4155</v>
      </c>
      <c r="J1088" s="1333" t="s">
        <v>1058</v>
      </c>
      <c r="K1088" s="1333" t="s">
        <v>4163</v>
      </c>
      <c r="L1088" s="1333" t="s">
        <v>2480</v>
      </c>
      <c r="M1088" s="1335">
        <v>13.0</v>
      </c>
    </row>
    <row r="1089">
      <c r="A1089" s="1333"/>
      <c r="B1089" s="1333"/>
      <c r="C1089" s="1333"/>
      <c r="D1089" s="1333"/>
      <c r="E1089" s="1333"/>
      <c r="F1089" s="1333"/>
      <c r="G1089" s="1333">
        <v>2023.0</v>
      </c>
      <c r="H1089" s="1333" t="s">
        <v>1012</v>
      </c>
      <c r="I1089" s="1333" t="s">
        <v>4155</v>
      </c>
      <c r="J1089" s="1333" t="s">
        <v>1058</v>
      </c>
      <c r="K1089" s="1333" t="s">
        <v>4156</v>
      </c>
      <c r="L1089" s="1333" t="s">
        <v>2480</v>
      </c>
      <c r="M1089" s="1335">
        <v>83.0</v>
      </c>
    </row>
    <row r="1090">
      <c r="A1090" s="1333"/>
      <c r="B1090" s="1333"/>
      <c r="C1090" s="1333"/>
      <c r="D1090" s="1333"/>
      <c r="E1090" s="1333"/>
      <c r="F1090" s="1333"/>
      <c r="G1090" s="1333">
        <v>2023.0</v>
      </c>
      <c r="H1090" s="1333" t="s">
        <v>1012</v>
      </c>
      <c r="I1090" s="1333" t="s">
        <v>4155</v>
      </c>
      <c r="J1090" s="1333" t="s">
        <v>1058</v>
      </c>
      <c r="K1090" s="1333" t="s">
        <v>4157</v>
      </c>
      <c r="L1090" s="1333" t="s">
        <v>1724</v>
      </c>
      <c r="M1090" s="1335">
        <v>11.0</v>
      </c>
    </row>
    <row r="1091">
      <c r="A1091" s="1333"/>
      <c r="B1091" s="1333"/>
      <c r="C1091" s="1333"/>
      <c r="D1091" s="1333"/>
      <c r="E1091" s="1333"/>
      <c r="F1091" s="1333"/>
      <c r="G1091" s="1333">
        <v>2023.0</v>
      </c>
      <c r="H1091" s="1333" t="s">
        <v>1012</v>
      </c>
      <c r="I1091" s="1333" t="s">
        <v>4155</v>
      </c>
      <c r="J1091" s="1333" t="s">
        <v>1058</v>
      </c>
      <c r="K1091" s="1333" t="s">
        <v>4158</v>
      </c>
      <c r="L1091" s="1333" t="s">
        <v>2480</v>
      </c>
      <c r="M1091" s="1335">
        <v>2.0</v>
      </c>
    </row>
    <row r="1092">
      <c r="A1092" s="1333"/>
      <c r="B1092" s="1333"/>
      <c r="C1092" s="1333"/>
      <c r="D1092" s="1333"/>
      <c r="E1092" s="1333"/>
      <c r="F1092" s="1333"/>
      <c r="G1092" s="1333">
        <v>2023.0</v>
      </c>
      <c r="H1092" s="1333" t="s">
        <v>1012</v>
      </c>
      <c r="I1092" s="1333" t="s">
        <v>4155</v>
      </c>
      <c r="J1092" s="1333" t="s">
        <v>1058</v>
      </c>
      <c r="K1092" s="1333" t="s">
        <v>4159</v>
      </c>
      <c r="L1092" s="1333" t="s">
        <v>1724</v>
      </c>
      <c r="M1092" s="1335">
        <v>1.0</v>
      </c>
    </row>
    <row r="1093">
      <c r="A1093" s="1333"/>
      <c r="B1093" s="1333"/>
      <c r="C1093" s="1333"/>
      <c r="D1093" s="1333"/>
      <c r="E1093" s="1333"/>
      <c r="F1093" s="1333"/>
      <c r="G1093" s="1333">
        <v>2023.0</v>
      </c>
      <c r="H1093" s="1333" t="s">
        <v>1012</v>
      </c>
      <c r="I1093" s="1333" t="s">
        <v>4155</v>
      </c>
      <c r="J1093" s="1333" t="s">
        <v>1058</v>
      </c>
      <c r="K1093" s="1333" t="s">
        <v>4165</v>
      </c>
      <c r="L1093" s="1333" t="s">
        <v>2480</v>
      </c>
      <c r="M1093" s="1335">
        <v>4.0</v>
      </c>
    </row>
    <row r="1094">
      <c r="A1094" s="1333"/>
      <c r="B1094" s="1333"/>
      <c r="C1094" s="1333"/>
      <c r="D1094" s="1333"/>
      <c r="E1094" s="1333"/>
      <c r="F1094" s="1333"/>
      <c r="G1094" s="1333">
        <v>2023.0</v>
      </c>
      <c r="H1094" s="1333" t="s">
        <v>1012</v>
      </c>
      <c r="I1094" s="1333" t="s">
        <v>4155</v>
      </c>
      <c r="J1094" s="1333" t="s">
        <v>1058</v>
      </c>
      <c r="K1094" s="1333" t="s">
        <v>4166</v>
      </c>
      <c r="L1094" s="1333" t="s">
        <v>2480</v>
      </c>
      <c r="M1094" s="1335">
        <v>7.0</v>
      </c>
    </row>
    <row r="1095">
      <c r="A1095" s="1333"/>
      <c r="B1095" s="1333"/>
      <c r="C1095" s="1333"/>
      <c r="D1095" s="1333"/>
      <c r="E1095" s="1333"/>
      <c r="F1095" s="1333"/>
      <c r="G1095" s="1333">
        <v>2023.0</v>
      </c>
      <c r="H1095" s="1333" t="s">
        <v>1012</v>
      </c>
      <c r="I1095" s="1333" t="s">
        <v>4155</v>
      </c>
      <c r="J1095" s="1333" t="s">
        <v>1058</v>
      </c>
      <c r="K1095" s="1333" t="s">
        <v>4160</v>
      </c>
      <c r="L1095" s="1333" t="s">
        <v>2480</v>
      </c>
      <c r="M1095" s="1335">
        <v>15.0</v>
      </c>
    </row>
    <row r="1096">
      <c r="A1096" s="1333"/>
      <c r="B1096" s="1333"/>
      <c r="C1096" s="1333"/>
      <c r="D1096" s="1333"/>
      <c r="E1096" s="1333"/>
      <c r="F1096" s="1333"/>
      <c r="G1096" s="1333">
        <v>2023.0</v>
      </c>
      <c r="H1096" s="1333" t="s">
        <v>1012</v>
      </c>
      <c r="I1096" s="1333" t="s">
        <v>4155</v>
      </c>
      <c r="J1096" s="1333" t="s">
        <v>4161</v>
      </c>
      <c r="K1096" s="1333" t="s">
        <v>4167</v>
      </c>
      <c r="L1096" s="1333" t="s">
        <v>2480</v>
      </c>
      <c r="M1096" s="1335">
        <v>3.0</v>
      </c>
    </row>
    <row r="1097">
      <c r="A1097" s="1333"/>
      <c r="B1097" s="1333"/>
      <c r="C1097" s="1333"/>
      <c r="D1097" s="1333"/>
      <c r="E1097" s="1333"/>
      <c r="F1097" s="1333"/>
      <c r="G1097" s="1333">
        <v>2023.0</v>
      </c>
      <c r="H1097" s="1333" t="s">
        <v>1012</v>
      </c>
      <c r="I1097" s="1333" t="s">
        <v>4155</v>
      </c>
      <c r="J1097" s="1333" t="s">
        <v>4161</v>
      </c>
      <c r="K1097" s="1333" t="s">
        <v>1055</v>
      </c>
      <c r="L1097" s="1333" t="s">
        <v>1724</v>
      </c>
      <c r="M1097" s="1335">
        <v>104.0</v>
      </c>
    </row>
    <row r="1098">
      <c r="A1098" s="1333"/>
      <c r="B1098" s="1333"/>
      <c r="C1098" s="1333"/>
      <c r="D1098" s="1333"/>
      <c r="E1098" s="1333"/>
      <c r="F1098" s="1333"/>
      <c r="G1098" s="1333">
        <v>2023.0</v>
      </c>
      <c r="H1098" s="1333" t="s">
        <v>1012</v>
      </c>
      <c r="I1098" s="1333" t="s">
        <v>4155</v>
      </c>
      <c r="J1098" s="1333" t="s">
        <v>4161</v>
      </c>
      <c r="K1098" s="1333" t="s">
        <v>4161</v>
      </c>
      <c r="L1098" s="1333" t="s">
        <v>2480</v>
      </c>
      <c r="M1098" s="1335">
        <v>9.0</v>
      </c>
    </row>
    <row r="1099">
      <c r="A1099" s="1333"/>
      <c r="B1099" s="1333"/>
      <c r="C1099" s="1333"/>
      <c r="D1099" s="1333"/>
      <c r="E1099" s="1333"/>
      <c r="F1099" s="1333"/>
      <c r="G1099" s="1333">
        <v>2023.0</v>
      </c>
      <c r="H1099" s="1333" t="s">
        <v>2149</v>
      </c>
      <c r="I1099" s="1333" t="s">
        <v>4176</v>
      </c>
      <c r="J1099" s="1333" t="s">
        <v>1058</v>
      </c>
      <c r="K1099" s="1333" t="s">
        <v>4156</v>
      </c>
      <c r="L1099" s="1333" t="s">
        <v>2480</v>
      </c>
      <c r="M1099" s="1335">
        <v>4.0</v>
      </c>
    </row>
    <row r="1100">
      <c r="A1100" s="1333"/>
      <c r="B1100" s="1333"/>
      <c r="C1100" s="1333"/>
      <c r="D1100" s="1333"/>
      <c r="E1100" s="1333"/>
      <c r="F1100" s="1333"/>
      <c r="G1100" s="1333">
        <v>2023.0</v>
      </c>
      <c r="H1100" s="1333" t="s">
        <v>2149</v>
      </c>
      <c r="I1100" s="1333" t="s">
        <v>4176</v>
      </c>
      <c r="J1100" s="1333" t="s">
        <v>1058</v>
      </c>
      <c r="K1100" s="1333" t="s">
        <v>4160</v>
      </c>
      <c r="L1100" s="1333" t="s">
        <v>2480</v>
      </c>
      <c r="M1100" s="1335">
        <v>1.0</v>
      </c>
    </row>
    <row r="1101">
      <c r="A1101" s="1333"/>
      <c r="B1101" s="1333"/>
      <c r="C1101" s="1333"/>
      <c r="D1101" s="1333"/>
      <c r="E1101" s="1333"/>
      <c r="F1101" s="1333"/>
      <c r="G1101" s="1333">
        <v>2023.0</v>
      </c>
      <c r="H1101" s="1333" t="s">
        <v>2150</v>
      </c>
      <c r="I1101" s="1333" t="s">
        <v>4168</v>
      </c>
      <c r="J1101" s="1333" t="s">
        <v>1058</v>
      </c>
      <c r="K1101" s="1333" t="s">
        <v>4156</v>
      </c>
      <c r="L1101" s="1333" t="s">
        <v>2480</v>
      </c>
      <c r="M1101" s="1335">
        <v>8.0</v>
      </c>
    </row>
    <row r="1102">
      <c r="A1102" s="1333"/>
      <c r="B1102" s="1333"/>
      <c r="C1102" s="1333"/>
      <c r="D1102" s="1333"/>
      <c r="E1102" s="1333"/>
      <c r="F1102" s="1333"/>
      <c r="G1102" s="1333">
        <v>2023.0</v>
      </c>
      <c r="H1102" s="1333" t="s">
        <v>2150</v>
      </c>
      <c r="I1102" s="1333" t="s">
        <v>4168</v>
      </c>
      <c r="J1102" s="1333" t="s">
        <v>1058</v>
      </c>
      <c r="K1102" s="1333" t="s">
        <v>4165</v>
      </c>
      <c r="L1102" s="1333" t="s">
        <v>2480</v>
      </c>
      <c r="M1102" s="1335">
        <v>3.0</v>
      </c>
    </row>
    <row r="1103">
      <c r="A1103" s="1333"/>
      <c r="B1103" s="1333"/>
      <c r="C1103" s="1333"/>
      <c r="D1103" s="1333"/>
      <c r="E1103" s="1333"/>
      <c r="F1103" s="1333"/>
      <c r="G1103" s="1333">
        <v>2023.0</v>
      </c>
      <c r="H1103" s="1333" t="s">
        <v>2150</v>
      </c>
      <c r="I1103" s="1333" t="s">
        <v>4168</v>
      </c>
      <c r="J1103" s="1333" t="s">
        <v>1058</v>
      </c>
      <c r="K1103" s="1333" t="s">
        <v>4161</v>
      </c>
      <c r="L1103" s="1333" t="s">
        <v>2480</v>
      </c>
      <c r="M1103" s="1335">
        <v>2.0</v>
      </c>
    </row>
    <row r="1104">
      <c r="A1104" s="1333"/>
      <c r="B1104" s="1333"/>
      <c r="C1104" s="1333"/>
      <c r="D1104" s="1333"/>
      <c r="E1104" s="1333"/>
      <c r="F1104" s="1333"/>
      <c r="G1104" s="1333">
        <v>2023.0</v>
      </c>
      <c r="H1104" s="1333" t="s">
        <v>2150</v>
      </c>
      <c r="I1104" s="1333" t="s">
        <v>4168</v>
      </c>
      <c r="J1104" s="1333" t="s">
        <v>1058</v>
      </c>
      <c r="K1104" s="1333" t="s">
        <v>4160</v>
      </c>
      <c r="L1104" s="1333" t="s">
        <v>2480</v>
      </c>
      <c r="M1104" s="1335">
        <v>2.0</v>
      </c>
    </row>
    <row r="1105">
      <c r="A1105" s="1333"/>
      <c r="B1105" s="1333"/>
      <c r="C1105" s="1333"/>
      <c r="D1105" s="1333"/>
      <c r="E1105" s="1333"/>
      <c r="F1105" s="1333"/>
      <c r="G1105" s="1333">
        <v>2023.0</v>
      </c>
      <c r="H1105" s="1333" t="s">
        <v>2150</v>
      </c>
      <c r="I1105" s="1333" t="s">
        <v>4168</v>
      </c>
      <c r="J1105" s="1333" t="s">
        <v>4161</v>
      </c>
      <c r="K1105" s="1333" t="s">
        <v>1055</v>
      </c>
      <c r="L1105" s="1333" t="s">
        <v>1724</v>
      </c>
      <c r="M1105" s="1335">
        <v>16.0</v>
      </c>
    </row>
    <row r="1106">
      <c r="A1106" s="1333"/>
      <c r="B1106" s="1333"/>
      <c r="C1106" s="1333"/>
      <c r="D1106" s="1333"/>
      <c r="E1106" s="1333"/>
      <c r="F1106" s="1333"/>
      <c r="G1106" s="1333">
        <v>2023.0</v>
      </c>
      <c r="H1106" s="1333" t="s">
        <v>628</v>
      </c>
      <c r="I1106" s="1333" t="s">
        <v>4169</v>
      </c>
      <c r="J1106" s="1333" t="s">
        <v>1058</v>
      </c>
      <c r="K1106" s="1333" t="s">
        <v>4156</v>
      </c>
      <c r="L1106" s="1333" t="s">
        <v>2480</v>
      </c>
      <c r="M1106" s="1335">
        <v>11.0</v>
      </c>
    </row>
    <row r="1107">
      <c r="A1107" s="1333"/>
      <c r="B1107" s="1333"/>
      <c r="C1107" s="1333"/>
      <c r="D1107" s="1333"/>
      <c r="E1107" s="1333"/>
      <c r="F1107" s="1333"/>
      <c r="G1107" s="1333">
        <v>2023.0</v>
      </c>
      <c r="H1107" s="1333" t="s">
        <v>628</v>
      </c>
      <c r="I1107" s="1333" t="s">
        <v>4169</v>
      </c>
      <c r="J1107" s="1333" t="s">
        <v>4161</v>
      </c>
      <c r="K1107" s="1333" t="s">
        <v>4167</v>
      </c>
      <c r="L1107" s="1333" t="s">
        <v>2480</v>
      </c>
      <c r="M1107" s="1335">
        <v>1.0</v>
      </c>
    </row>
    <row r="1108">
      <c r="A1108" s="1333"/>
      <c r="B1108" s="1333"/>
      <c r="C1108" s="1333"/>
      <c r="D1108" s="1333"/>
      <c r="E1108" s="1333"/>
      <c r="F1108" s="1333"/>
      <c r="G1108" s="1333">
        <v>2023.0</v>
      </c>
      <c r="H1108" s="1333" t="s">
        <v>628</v>
      </c>
      <c r="I1108" s="1333" t="s">
        <v>4169</v>
      </c>
      <c r="J1108" s="1333" t="s">
        <v>4161</v>
      </c>
      <c r="K1108" s="1333" t="s">
        <v>1055</v>
      </c>
      <c r="L1108" s="1333" t="s">
        <v>1724</v>
      </c>
      <c r="M1108" s="1335">
        <v>13.0</v>
      </c>
    </row>
    <row r="1109">
      <c r="A1109" s="1333"/>
      <c r="B1109" s="1333"/>
      <c r="C1109" s="1333"/>
      <c r="D1109" s="1333"/>
      <c r="E1109" s="1333"/>
      <c r="F1109" s="1333"/>
      <c r="G1109" s="1333">
        <v>2023.0</v>
      </c>
      <c r="H1109" s="1333" t="s">
        <v>2151</v>
      </c>
      <c r="I1109" s="1333" t="s">
        <v>4162</v>
      </c>
      <c r="J1109" s="1333" t="s">
        <v>4161</v>
      </c>
      <c r="K1109" s="1333" t="s">
        <v>1055</v>
      </c>
      <c r="L1109" s="1333" t="s">
        <v>1724</v>
      </c>
      <c r="M1109" s="1335">
        <v>3.0</v>
      </c>
    </row>
    <row r="1110">
      <c r="A1110" s="1333"/>
      <c r="B1110" s="1333"/>
      <c r="C1110" s="1333"/>
      <c r="D1110" s="1333"/>
      <c r="E1110" s="1333"/>
      <c r="F1110" s="1333"/>
      <c r="G1110" s="1333">
        <v>2023.0</v>
      </c>
      <c r="H1110" s="1333" t="s">
        <v>2153</v>
      </c>
      <c r="I1110" s="1333" t="s">
        <v>4162</v>
      </c>
      <c r="J1110" s="1333" t="s">
        <v>1058</v>
      </c>
      <c r="K1110" s="1333" t="s">
        <v>4158</v>
      </c>
      <c r="L1110" s="1333" t="s">
        <v>2480</v>
      </c>
      <c r="M1110" s="1335">
        <v>1.0</v>
      </c>
    </row>
    <row r="1111">
      <c r="A1111" s="1333"/>
      <c r="B1111" s="1333"/>
      <c r="C1111" s="1333"/>
      <c r="D1111" s="1333"/>
      <c r="E1111" s="1333"/>
      <c r="F1111" s="1333"/>
      <c r="G1111" s="1333">
        <v>2023.0</v>
      </c>
      <c r="H1111" s="1333" t="s">
        <v>2153</v>
      </c>
      <c r="I1111" s="1333" t="s">
        <v>4162</v>
      </c>
      <c r="J1111" s="1333" t="s">
        <v>1058</v>
      </c>
      <c r="K1111" s="1333" t="s">
        <v>4159</v>
      </c>
      <c r="L1111" s="1333" t="s">
        <v>1724</v>
      </c>
      <c r="M1111" s="1335">
        <v>2.0</v>
      </c>
    </row>
    <row r="1112">
      <c r="A1112" s="1333"/>
      <c r="B1112" s="1333"/>
      <c r="C1112" s="1333"/>
      <c r="D1112" s="1333"/>
      <c r="E1112" s="1333"/>
      <c r="F1112" s="1333"/>
      <c r="G1112" s="1333">
        <v>2023.0</v>
      </c>
      <c r="H1112" s="1333" t="s">
        <v>2154</v>
      </c>
      <c r="I1112" s="1333" t="s">
        <v>4170</v>
      </c>
      <c r="J1112" s="1333" t="s">
        <v>1058</v>
      </c>
      <c r="K1112" s="1333" t="s">
        <v>4156</v>
      </c>
      <c r="L1112" s="1333" t="s">
        <v>2480</v>
      </c>
      <c r="M1112" s="1335">
        <v>4.0</v>
      </c>
    </row>
    <row r="1113">
      <c r="A1113" s="1333"/>
      <c r="B1113" s="1333"/>
      <c r="C1113" s="1333"/>
      <c r="D1113" s="1333"/>
      <c r="E1113" s="1333"/>
      <c r="F1113" s="1333"/>
      <c r="G1113" s="1333">
        <v>2023.0</v>
      </c>
      <c r="H1113" s="1333" t="s">
        <v>2154</v>
      </c>
      <c r="I1113" s="1333" t="s">
        <v>4170</v>
      </c>
      <c r="J1113" s="1333" t="s">
        <v>4161</v>
      </c>
      <c r="K1113" s="1333" t="s">
        <v>1055</v>
      </c>
      <c r="L1113" s="1333" t="s">
        <v>1724</v>
      </c>
      <c r="M1113" s="1335">
        <v>4.0</v>
      </c>
    </row>
    <row r="1114">
      <c r="A1114" s="1333"/>
      <c r="B1114" s="1333"/>
      <c r="C1114" s="1333"/>
      <c r="D1114" s="1333"/>
      <c r="E1114" s="1333"/>
      <c r="F1114" s="1333"/>
      <c r="G1114" s="1333">
        <v>2023.0</v>
      </c>
      <c r="H1114" s="1333" t="s">
        <v>265</v>
      </c>
      <c r="I1114" s="1333" t="s">
        <v>4176</v>
      </c>
      <c r="J1114" s="1333" t="s">
        <v>1058</v>
      </c>
      <c r="K1114" s="1333" t="s">
        <v>4163</v>
      </c>
      <c r="L1114" s="1333" t="s">
        <v>2480</v>
      </c>
      <c r="M1114" s="1335">
        <v>49.0</v>
      </c>
    </row>
    <row r="1115">
      <c r="A1115" s="1333"/>
      <c r="B1115" s="1333"/>
      <c r="C1115" s="1333"/>
      <c r="D1115" s="1333"/>
      <c r="E1115" s="1333"/>
      <c r="F1115" s="1333"/>
      <c r="G1115" s="1333">
        <v>2023.0</v>
      </c>
      <c r="H1115" s="1333" t="s">
        <v>265</v>
      </c>
      <c r="I1115" s="1333" t="s">
        <v>4176</v>
      </c>
      <c r="J1115" s="1333" t="s">
        <v>1058</v>
      </c>
      <c r="K1115" s="1333" t="s">
        <v>4156</v>
      </c>
      <c r="L1115" s="1333" t="s">
        <v>2480</v>
      </c>
      <c r="M1115" s="1335">
        <v>498.0</v>
      </c>
    </row>
    <row r="1116">
      <c r="A1116" s="1333"/>
      <c r="B1116" s="1333"/>
      <c r="C1116" s="1333"/>
      <c r="D1116" s="1333"/>
      <c r="E1116" s="1333"/>
      <c r="F1116" s="1333"/>
      <c r="G1116" s="1333">
        <v>2023.0</v>
      </c>
      <c r="H1116" s="1333" t="s">
        <v>265</v>
      </c>
      <c r="I1116" s="1333" t="s">
        <v>4176</v>
      </c>
      <c r="J1116" s="1333" t="s">
        <v>1058</v>
      </c>
      <c r="K1116" s="1333" t="s">
        <v>4157</v>
      </c>
      <c r="L1116" s="1333" t="s">
        <v>1724</v>
      </c>
      <c r="M1116" s="1335">
        <v>90.0</v>
      </c>
    </row>
    <row r="1117">
      <c r="A1117" s="1333"/>
      <c r="B1117" s="1333"/>
      <c r="C1117" s="1333"/>
      <c r="D1117" s="1333"/>
      <c r="E1117" s="1333"/>
      <c r="F1117" s="1333"/>
      <c r="G1117" s="1333">
        <v>2023.0</v>
      </c>
      <c r="H1117" s="1333" t="s">
        <v>265</v>
      </c>
      <c r="I1117" s="1333" t="s">
        <v>4176</v>
      </c>
      <c r="J1117" s="1333" t="s">
        <v>1058</v>
      </c>
      <c r="K1117" s="1333" t="s">
        <v>4158</v>
      </c>
      <c r="L1117" s="1333" t="s">
        <v>2480</v>
      </c>
      <c r="M1117" s="1335">
        <v>1.0</v>
      </c>
    </row>
    <row r="1118">
      <c r="A1118" s="1333"/>
      <c r="B1118" s="1333"/>
      <c r="C1118" s="1333"/>
      <c r="D1118" s="1333"/>
      <c r="E1118" s="1333"/>
      <c r="F1118" s="1333"/>
      <c r="G1118" s="1333">
        <v>2023.0</v>
      </c>
      <c r="H1118" s="1333" t="s">
        <v>265</v>
      </c>
      <c r="I1118" s="1333" t="s">
        <v>4176</v>
      </c>
      <c r="J1118" s="1333" t="s">
        <v>1058</v>
      </c>
      <c r="K1118" s="1333" t="s">
        <v>4159</v>
      </c>
      <c r="L1118" s="1333" t="s">
        <v>1724</v>
      </c>
      <c r="M1118" s="1335">
        <v>11.0</v>
      </c>
    </row>
    <row r="1119">
      <c r="A1119" s="1333"/>
      <c r="B1119" s="1333"/>
      <c r="C1119" s="1333"/>
      <c r="D1119" s="1333"/>
      <c r="E1119" s="1333"/>
      <c r="F1119" s="1333"/>
      <c r="G1119" s="1333">
        <v>2023.0</v>
      </c>
      <c r="H1119" s="1333" t="s">
        <v>265</v>
      </c>
      <c r="I1119" s="1333" t="s">
        <v>4176</v>
      </c>
      <c r="J1119" s="1333" t="s">
        <v>1058</v>
      </c>
      <c r="K1119" s="1333" t="s">
        <v>4165</v>
      </c>
      <c r="L1119" s="1333" t="s">
        <v>2480</v>
      </c>
      <c r="M1119" s="1335">
        <v>4.0</v>
      </c>
    </row>
    <row r="1120">
      <c r="A1120" s="1333"/>
      <c r="B1120" s="1333"/>
      <c r="C1120" s="1333"/>
      <c r="D1120" s="1333"/>
      <c r="E1120" s="1333"/>
      <c r="F1120" s="1333"/>
      <c r="G1120" s="1333">
        <v>2023.0</v>
      </c>
      <c r="H1120" s="1333" t="s">
        <v>265</v>
      </c>
      <c r="I1120" s="1333" t="s">
        <v>4176</v>
      </c>
      <c r="J1120" s="1333" t="s">
        <v>1058</v>
      </c>
      <c r="K1120" s="1333" t="s">
        <v>4166</v>
      </c>
      <c r="L1120" s="1333" t="s">
        <v>2480</v>
      </c>
      <c r="M1120" s="1335">
        <v>30.0</v>
      </c>
    </row>
    <row r="1121">
      <c r="A1121" s="1333"/>
      <c r="B1121" s="1333"/>
      <c r="C1121" s="1333"/>
      <c r="D1121" s="1333"/>
      <c r="E1121" s="1333"/>
      <c r="F1121" s="1333"/>
      <c r="G1121" s="1333">
        <v>2023.0</v>
      </c>
      <c r="H1121" s="1333" t="s">
        <v>265</v>
      </c>
      <c r="I1121" s="1333" t="s">
        <v>4176</v>
      </c>
      <c r="J1121" s="1333" t="s">
        <v>1058</v>
      </c>
      <c r="K1121" s="1333" t="s">
        <v>4161</v>
      </c>
      <c r="L1121" s="1333" t="s">
        <v>2480</v>
      </c>
      <c r="M1121" s="1335">
        <v>17.0</v>
      </c>
    </row>
    <row r="1122">
      <c r="A1122" s="1333"/>
      <c r="B1122" s="1333"/>
      <c r="C1122" s="1333"/>
      <c r="D1122" s="1333"/>
      <c r="E1122" s="1333"/>
      <c r="F1122" s="1333"/>
      <c r="G1122" s="1333">
        <v>2023.0</v>
      </c>
      <c r="H1122" s="1333" t="s">
        <v>265</v>
      </c>
      <c r="I1122" s="1333" t="s">
        <v>4176</v>
      </c>
      <c r="J1122" s="1333" t="s">
        <v>1058</v>
      </c>
      <c r="K1122" s="1333" t="s">
        <v>4160</v>
      </c>
      <c r="L1122" s="1333" t="s">
        <v>2480</v>
      </c>
      <c r="M1122" s="1335">
        <v>114.0</v>
      </c>
    </row>
    <row r="1123">
      <c r="A1123" s="1333"/>
      <c r="B1123" s="1333"/>
      <c r="C1123" s="1333"/>
      <c r="D1123" s="1333"/>
      <c r="E1123" s="1333"/>
      <c r="F1123" s="1333"/>
      <c r="G1123" s="1333">
        <v>2023.0</v>
      </c>
      <c r="H1123" s="1333" t="s">
        <v>265</v>
      </c>
      <c r="I1123" s="1333" t="s">
        <v>4176</v>
      </c>
      <c r="J1123" s="1333" t="s">
        <v>4161</v>
      </c>
      <c r="K1123" s="1333" t="s">
        <v>4167</v>
      </c>
      <c r="L1123" s="1333" t="s">
        <v>2480</v>
      </c>
      <c r="M1123" s="1335">
        <v>19.0</v>
      </c>
    </row>
    <row r="1124">
      <c r="A1124" s="1333"/>
      <c r="B1124" s="1333"/>
      <c r="C1124" s="1333"/>
      <c r="D1124" s="1333"/>
      <c r="E1124" s="1333"/>
      <c r="F1124" s="1333"/>
      <c r="G1124" s="1333">
        <v>2023.0</v>
      </c>
      <c r="H1124" s="1333" t="s">
        <v>265</v>
      </c>
      <c r="I1124" s="1333" t="s">
        <v>4176</v>
      </c>
      <c r="J1124" s="1333" t="s">
        <v>4161</v>
      </c>
      <c r="K1124" s="1333" t="s">
        <v>4174</v>
      </c>
      <c r="L1124" s="1333" t="s">
        <v>2480</v>
      </c>
      <c r="M1124" s="1335">
        <v>1.0</v>
      </c>
    </row>
    <row r="1125">
      <c r="A1125" s="1333"/>
      <c r="B1125" s="1333"/>
      <c r="C1125" s="1333"/>
      <c r="D1125" s="1333"/>
      <c r="E1125" s="1333"/>
      <c r="F1125" s="1333"/>
      <c r="G1125" s="1333">
        <v>2023.0</v>
      </c>
      <c r="H1125" s="1333" t="s">
        <v>265</v>
      </c>
      <c r="I1125" s="1333" t="s">
        <v>4176</v>
      </c>
      <c r="J1125" s="1333" t="s">
        <v>4161</v>
      </c>
      <c r="K1125" s="1333" t="s">
        <v>1055</v>
      </c>
      <c r="L1125" s="1333" t="s">
        <v>1724</v>
      </c>
      <c r="M1125" s="1335">
        <v>220.0</v>
      </c>
    </row>
    <row r="1126">
      <c r="A1126" s="1333"/>
      <c r="B1126" s="1333"/>
      <c r="C1126" s="1333"/>
      <c r="D1126" s="1333"/>
      <c r="E1126" s="1333"/>
      <c r="F1126" s="1333"/>
      <c r="G1126" s="1333">
        <v>2023.0</v>
      </c>
      <c r="H1126" s="1333" t="s">
        <v>265</v>
      </c>
      <c r="I1126" s="1333" t="s">
        <v>4176</v>
      </c>
      <c r="J1126" s="1333" t="s">
        <v>4161</v>
      </c>
      <c r="K1126" s="1333" t="s">
        <v>4161</v>
      </c>
      <c r="L1126" s="1333" t="s">
        <v>2480</v>
      </c>
      <c r="M1126" s="1335">
        <v>19.0</v>
      </c>
    </row>
    <row r="1127">
      <c r="A1127" s="1333"/>
      <c r="B1127" s="1333"/>
      <c r="C1127" s="1333"/>
      <c r="D1127" s="1333"/>
      <c r="E1127" s="1333"/>
      <c r="F1127" s="1333"/>
      <c r="G1127" s="1333">
        <v>2023.0</v>
      </c>
      <c r="H1127" s="1333" t="s">
        <v>526</v>
      </c>
      <c r="I1127" s="1333" t="s">
        <v>4169</v>
      </c>
      <c r="J1127" s="1333" t="s">
        <v>1058</v>
      </c>
      <c r="K1127" s="1333" t="s">
        <v>4163</v>
      </c>
      <c r="L1127" s="1333" t="s">
        <v>2480</v>
      </c>
      <c r="M1127" s="1335">
        <v>24.0</v>
      </c>
    </row>
    <row r="1128">
      <c r="A1128" s="1333"/>
      <c r="B1128" s="1333"/>
      <c r="C1128" s="1333"/>
      <c r="D1128" s="1333"/>
      <c r="E1128" s="1333"/>
      <c r="F1128" s="1333"/>
      <c r="G1128" s="1333">
        <v>2023.0</v>
      </c>
      <c r="H1128" s="1333" t="s">
        <v>526</v>
      </c>
      <c r="I1128" s="1333" t="s">
        <v>4169</v>
      </c>
      <c r="J1128" s="1333" t="s">
        <v>1058</v>
      </c>
      <c r="K1128" s="1333" t="s">
        <v>4156</v>
      </c>
      <c r="L1128" s="1333" t="s">
        <v>2480</v>
      </c>
      <c r="M1128" s="1335">
        <v>155.0</v>
      </c>
    </row>
    <row r="1129">
      <c r="A1129" s="1333"/>
      <c r="B1129" s="1333"/>
      <c r="C1129" s="1333"/>
      <c r="D1129" s="1333"/>
      <c r="E1129" s="1333"/>
      <c r="F1129" s="1333"/>
      <c r="G1129" s="1333">
        <v>2023.0</v>
      </c>
      <c r="H1129" s="1333" t="s">
        <v>526</v>
      </c>
      <c r="I1129" s="1333" t="s">
        <v>4169</v>
      </c>
      <c r="J1129" s="1333" t="s">
        <v>1058</v>
      </c>
      <c r="K1129" s="1333" t="s">
        <v>4157</v>
      </c>
      <c r="L1129" s="1333" t="s">
        <v>1724</v>
      </c>
      <c r="M1129" s="1335">
        <v>3.0</v>
      </c>
    </row>
    <row r="1130">
      <c r="A1130" s="1333"/>
      <c r="B1130" s="1333"/>
      <c r="C1130" s="1333"/>
      <c r="D1130" s="1333"/>
      <c r="E1130" s="1333"/>
      <c r="F1130" s="1333"/>
      <c r="G1130" s="1333">
        <v>2023.0</v>
      </c>
      <c r="H1130" s="1333" t="s">
        <v>526</v>
      </c>
      <c r="I1130" s="1333" t="s">
        <v>4169</v>
      </c>
      <c r="J1130" s="1333" t="s">
        <v>1058</v>
      </c>
      <c r="K1130" s="1333" t="s">
        <v>4158</v>
      </c>
      <c r="L1130" s="1333" t="s">
        <v>2480</v>
      </c>
      <c r="M1130" s="1335">
        <v>4.0</v>
      </c>
    </row>
    <row r="1131">
      <c r="A1131" s="1333"/>
      <c r="B1131" s="1333"/>
      <c r="C1131" s="1333"/>
      <c r="D1131" s="1333"/>
      <c r="E1131" s="1333"/>
      <c r="F1131" s="1333"/>
      <c r="G1131" s="1333">
        <v>2023.0</v>
      </c>
      <c r="H1131" s="1333" t="s">
        <v>526</v>
      </c>
      <c r="I1131" s="1333" t="s">
        <v>4169</v>
      </c>
      <c r="J1131" s="1333" t="s">
        <v>1058</v>
      </c>
      <c r="K1131" s="1333" t="s">
        <v>4159</v>
      </c>
      <c r="L1131" s="1333" t="s">
        <v>1724</v>
      </c>
      <c r="M1131" s="1335">
        <v>5.0</v>
      </c>
    </row>
    <row r="1132">
      <c r="A1132" s="1333"/>
      <c r="B1132" s="1333"/>
      <c r="C1132" s="1333"/>
      <c r="D1132" s="1333"/>
      <c r="E1132" s="1333"/>
      <c r="F1132" s="1333"/>
      <c r="G1132" s="1333">
        <v>2023.0</v>
      </c>
      <c r="H1132" s="1333" t="s">
        <v>526</v>
      </c>
      <c r="I1132" s="1333" t="s">
        <v>4169</v>
      </c>
      <c r="J1132" s="1333" t="s">
        <v>1058</v>
      </c>
      <c r="K1132" s="1333" t="s">
        <v>4165</v>
      </c>
      <c r="L1132" s="1333" t="s">
        <v>2480</v>
      </c>
      <c r="M1132" s="1335">
        <v>3.0</v>
      </c>
    </row>
    <row r="1133">
      <c r="A1133" s="1333"/>
      <c r="B1133" s="1333"/>
      <c r="C1133" s="1333"/>
      <c r="D1133" s="1333"/>
      <c r="E1133" s="1333"/>
      <c r="F1133" s="1333"/>
      <c r="G1133" s="1333">
        <v>2023.0</v>
      </c>
      <c r="H1133" s="1333" t="s">
        <v>526</v>
      </c>
      <c r="I1133" s="1333" t="s">
        <v>4169</v>
      </c>
      <c r="J1133" s="1333" t="s">
        <v>1058</v>
      </c>
      <c r="K1133" s="1333" t="s">
        <v>4166</v>
      </c>
      <c r="L1133" s="1333" t="s">
        <v>2480</v>
      </c>
      <c r="M1133" s="1335">
        <v>7.0</v>
      </c>
    </row>
    <row r="1134">
      <c r="A1134" s="1333"/>
      <c r="B1134" s="1333"/>
      <c r="C1134" s="1333"/>
      <c r="D1134" s="1333"/>
      <c r="E1134" s="1333"/>
      <c r="F1134" s="1333"/>
      <c r="G1134" s="1333">
        <v>2023.0</v>
      </c>
      <c r="H1134" s="1333" t="s">
        <v>526</v>
      </c>
      <c r="I1134" s="1333" t="s">
        <v>4169</v>
      </c>
      <c r="J1134" s="1333" t="s">
        <v>1058</v>
      </c>
      <c r="K1134" s="1333" t="s">
        <v>4161</v>
      </c>
      <c r="L1134" s="1333" t="s">
        <v>2480</v>
      </c>
      <c r="M1134" s="1335">
        <v>9.0</v>
      </c>
    </row>
    <row r="1135">
      <c r="A1135" s="1333"/>
      <c r="B1135" s="1333"/>
      <c r="C1135" s="1333"/>
      <c r="D1135" s="1333"/>
      <c r="E1135" s="1333"/>
      <c r="F1135" s="1333"/>
      <c r="G1135" s="1333">
        <v>2023.0</v>
      </c>
      <c r="H1135" s="1333" t="s">
        <v>526</v>
      </c>
      <c r="I1135" s="1333" t="s">
        <v>4169</v>
      </c>
      <c r="J1135" s="1333" t="s">
        <v>1058</v>
      </c>
      <c r="K1135" s="1333" t="s">
        <v>4160</v>
      </c>
      <c r="L1135" s="1333" t="s">
        <v>2480</v>
      </c>
      <c r="M1135" s="1335">
        <v>15.0</v>
      </c>
    </row>
    <row r="1136">
      <c r="A1136" s="1333"/>
      <c r="B1136" s="1333"/>
      <c r="C1136" s="1333"/>
      <c r="D1136" s="1333"/>
      <c r="E1136" s="1333"/>
      <c r="F1136" s="1333"/>
      <c r="G1136" s="1333">
        <v>2023.0</v>
      </c>
      <c r="H1136" s="1333" t="s">
        <v>526</v>
      </c>
      <c r="I1136" s="1333" t="s">
        <v>4169</v>
      </c>
      <c r="J1136" s="1333" t="s">
        <v>4161</v>
      </c>
      <c r="K1136" s="1333" t="s">
        <v>4167</v>
      </c>
      <c r="L1136" s="1333" t="s">
        <v>2480</v>
      </c>
      <c r="M1136" s="1335">
        <v>3.0</v>
      </c>
    </row>
    <row r="1137">
      <c r="A1137" s="1333"/>
      <c r="B1137" s="1333"/>
      <c r="C1137" s="1333"/>
      <c r="D1137" s="1333"/>
      <c r="E1137" s="1333"/>
      <c r="F1137" s="1333"/>
      <c r="G1137" s="1333">
        <v>2023.0</v>
      </c>
      <c r="H1137" s="1333" t="s">
        <v>526</v>
      </c>
      <c r="I1137" s="1333" t="s">
        <v>4169</v>
      </c>
      <c r="J1137" s="1333" t="s">
        <v>4161</v>
      </c>
      <c r="K1137" s="1333" t="s">
        <v>4174</v>
      </c>
      <c r="L1137" s="1333" t="s">
        <v>2480</v>
      </c>
      <c r="M1137" s="1335">
        <v>1.0</v>
      </c>
    </row>
    <row r="1138">
      <c r="A1138" s="1333"/>
      <c r="B1138" s="1333"/>
      <c r="C1138" s="1333"/>
      <c r="D1138" s="1333"/>
      <c r="E1138" s="1333"/>
      <c r="F1138" s="1333"/>
      <c r="G1138" s="1333">
        <v>2023.0</v>
      </c>
      <c r="H1138" s="1333" t="s">
        <v>526</v>
      </c>
      <c r="I1138" s="1333" t="s">
        <v>4169</v>
      </c>
      <c r="J1138" s="1333" t="s">
        <v>4161</v>
      </c>
      <c r="K1138" s="1333" t="s">
        <v>1055</v>
      </c>
      <c r="L1138" s="1333" t="s">
        <v>1724</v>
      </c>
      <c r="M1138" s="1335">
        <v>127.0</v>
      </c>
    </row>
    <row r="1139">
      <c r="A1139" s="1333"/>
      <c r="B1139" s="1333"/>
      <c r="C1139" s="1333"/>
      <c r="D1139" s="1333"/>
      <c r="E1139" s="1333"/>
      <c r="F1139" s="1333"/>
      <c r="G1139" s="1333">
        <v>2023.0</v>
      </c>
      <c r="H1139" s="1333" t="s">
        <v>526</v>
      </c>
      <c r="I1139" s="1333" t="s">
        <v>4169</v>
      </c>
      <c r="J1139" s="1333" t="s">
        <v>4161</v>
      </c>
      <c r="K1139" s="1333" t="s">
        <v>4161</v>
      </c>
      <c r="L1139" s="1333" t="s">
        <v>2480</v>
      </c>
      <c r="M1139" s="1335">
        <v>7.0</v>
      </c>
    </row>
    <row r="1140">
      <c r="A1140" s="1333"/>
      <c r="B1140" s="1333"/>
      <c r="C1140" s="1333"/>
      <c r="D1140" s="1333"/>
      <c r="E1140" s="1333"/>
      <c r="F1140" s="1333"/>
      <c r="G1140" s="1333">
        <v>2023.0</v>
      </c>
      <c r="H1140" s="1333" t="s">
        <v>2156</v>
      </c>
      <c r="I1140" s="1333" t="s">
        <v>4170</v>
      </c>
      <c r="J1140" s="1333" t="s">
        <v>1058</v>
      </c>
      <c r="K1140" s="1333" t="s">
        <v>4163</v>
      </c>
      <c r="L1140" s="1333" t="s">
        <v>2480</v>
      </c>
      <c r="M1140" s="1335">
        <v>1.0</v>
      </c>
    </row>
    <row r="1141">
      <c r="A1141" s="1333"/>
      <c r="B1141" s="1333"/>
      <c r="C1141" s="1333"/>
      <c r="D1141" s="1333"/>
      <c r="E1141" s="1333"/>
      <c r="F1141" s="1333"/>
      <c r="G1141" s="1333">
        <v>2023.0</v>
      </c>
      <c r="H1141" s="1333" t="s">
        <v>2156</v>
      </c>
      <c r="I1141" s="1333" t="s">
        <v>4170</v>
      </c>
      <c r="J1141" s="1333" t="s">
        <v>1058</v>
      </c>
      <c r="K1141" s="1333" t="s">
        <v>4156</v>
      </c>
      <c r="L1141" s="1333" t="s">
        <v>2480</v>
      </c>
      <c r="M1141" s="1335">
        <v>1.0</v>
      </c>
    </row>
    <row r="1142">
      <c r="A1142" s="1333"/>
      <c r="B1142" s="1333"/>
      <c r="C1142" s="1333"/>
      <c r="D1142" s="1333"/>
      <c r="E1142" s="1333"/>
      <c r="F1142" s="1333"/>
      <c r="G1142" s="1333">
        <v>2023.0</v>
      </c>
      <c r="H1142" s="1333" t="s">
        <v>2156</v>
      </c>
      <c r="I1142" s="1333" t="s">
        <v>4170</v>
      </c>
      <c r="J1142" s="1333" t="s">
        <v>1058</v>
      </c>
      <c r="K1142" s="1333" t="s">
        <v>4166</v>
      </c>
      <c r="L1142" s="1333" t="s">
        <v>2480</v>
      </c>
      <c r="M1142" s="1335">
        <v>1.0</v>
      </c>
    </row>
    <row r="1143">
      <c r="A1143" s="1333"/>
      <c r="B1143" s="1333"/>
      <c r="C1143" s="1333"/>
      <c r="D1143" s="1333"/>
      <c r="E1143" s="1333"/>
      <c r="F1143" s="1333"/>
      <c r="G1143" s="1333">
        <v>2023.0</v>
      </c>
      <c r="H1143" s="1333" t="s">
        <v>2156</v>
      </c>
      <c r="I1143" s="1333" t="s">
        <v>4170</v>
      </c>
      <c r="J1143" s="1333" t="s">
        <v>1058</v>
      </c>
      <c r="K1143" s="1333" t="s">
        <v>4160</v>
      </c>
      <c r="L1143" s="1333" t="s">
        <v>2480</v>
      </c>
      <c r="M1143" s="1335">
        <v>1.0</v>
      </c>
    </row>
    <row r="1144">
      <c r="A1144" s="1333"/>
      <c r="B1144" s="1333"/>
      <c r="C1144" s="1333"/>
      <c r="D1144" s="1333"/>
      <c r="E1144" s="1333"/>
      <c r="F1144" s="1333"/>
      <c r="G1144" s="1333">
        <v>2023.0</v>
      </c>
      <c r="H1144" s="1333" t="s">
        <v>2156</v>
      </c>
      <c r="I1144" s="1333" t="s">
        <v>4170</v>
      </c>
      <c r="J1144" s="1333" t="s">
        <v>4161</v>
      </c>
      <c r="K1144" s="1333" t="s">
        <v>4167</v>
      </c>
      <c r="L1144" s="1333" t="s">
        <v>2480</v>
      </c>
      <c r="M1144" s="1335">
        <v>1.0</v>
      </c>
    </row>
    <row r="1145">
      <c r="A1145" s="1333"/>
      <c r="B1145" s="1333"/>
      <c r="C1145" s="1333"/>
      <c r="D1145" s="1333"/>
      <c r="E1145" s="1333"/>
      <c r="F1145" s="1333"/>
      <c r="G1145" s="1333">
        <v>2023.0</v>
      </c>
      <c r="H1145" s="1333" t="s">
        <v>2156</v>
      </c>
      <c r="I1145" s="1333" t="s">
        <v>4170</v>
      </c>
      <c r="J1145" s="1333" t="s">
        <v>4161</v>
      </c>
      <c r="K1145" s="1333" t="s">
        <v>1055</v>
      </c>
      <c r="L1145" s="1333" t="s">
        <v>1724</v>
      </c>
      <c r="M1145" s="1335">
        <v>1.0</v>
      </c>
    </row>
    <row r="1146">
      <c r="A1146" s="1333"/>
      <c r="B1146" s="1333"/>
      <c r="C1146" s="1333"/>
      <c r="D1146" s="1333"/>
      <c r="E1146" s="1333"/>
      <c r="F1146" s="1333"/>
      <c r="G1146" s="1333">
        <v>2023.0</v>
      </c>
      <c r="H1146" s="1333" t="s">
        <v>2157</v>
      </c>
      <c r="I1146" s="1333" t="s">
        <v>4169</v>
      </c>
      <c r="J1146" s="1333" t="s">
        <v>4161</v>
      </c>
      <c r="K1146" s="1333" t="s">
        <v>4174</v>
      </c>
      <c r="L1146" s="1333" t="s">
        <v>2480</v>
      </c>
      <c r="M1146" s="1335">
        <v>1.0</v>
      </c>
    </row>
    <row r="1147">
      <c r="A1147" s="1333"/>
      <c r="B1147" s="1333"/>
      <c r="C1147" s="1333"/>
      <c r="D1147" s="1333"/>
      <c r="E1147" s="1333"/>
      <c r="F1147" s="1333"/>
      <c r="G1147" s="1333">
        <v>2023.0</v>
      </c>
      <c r="H1147" s="1333" t="s">
        <v>2159</v>
      </c>
      <c r="I1147" s="1333" t="s">
        <v>4155</v>
      </c>
      <c r="J1147" s="1333" t="s">
        <v>1058</v>
      </c>
      <c r="K1147" s="1333" t="s">
        <v>4156</v>
      </c>
      <c r="L1147" s="1333" t="s">
        <v>2480</v>
      </c>
      <c r="M1147" s="1335">
        <v>10.0</v>
      </c>
    </row>
    <row r="1148">
      <c r="A1148" s="1333"/>
      <c r="B1148" s="1333"/>
      <c r="C1148" s="1333"/>
      <c r="D1148" s="1333"/>
      <c r="E1148" s="1333"/>
      <c r="F1148" s="1333"/>
      <c r="G1148" s="1333">
        <v>2023.0</v>
      </c>
      <c r="H1148" s="1333" t="s">
        <v>2159</v>
      </c>
      <c r="I1148" s="1333" t="s">
        <v>4155</v>
      </c>
      <c r="J1148" s="1333" t="s">
        <v>1058</v>
      </c>
      <c r="K1148" s="1333" t="s">
        <v>4166</v>
      </c>
      <c r="L1148" s="1333" t="s">
        <v>2480</v>
      </c>
      <c r="M1148" s="1335">
        <v>1.0</v>
      </c>
    </row>
    <row r="1149">
      <c r="A1149" s="1333"/>
      <c r="B1149" s="1333"/>
      <c r="C1149" s="1333"/>
      <c r="D1149" s="1333"/>
      <c r="E1149" s="1333"/>
      <c r="F1149" s="1333"/>
      <c r="G1149" s="1333">
        <v>2023.0</v>
      </c>
      <c r="H1149" s="1333" t="s">
        <v>2159</v>
      </c>
      <c r="I1149" s="1333" t="s">
        <v>4155</v>
      </c>
      <c r="J1149" s="1333" t="s">
        <v>1058</v>
      </c>
      <c r="K1149" s="1333" t="s">
        <v>4160</v>
      </c>
      <c r="L1149" s="1333" t="s">
        <v>2480</v>
      </c>
      <c r="M1149" s="1335">
        <v>2.0</v>
      </c>
    </row>
    <row r="1150">
      <c r="A1150" s="1333"/>
      <c r="B1150" s="1333"/>
      <c r="C1150" s="1333"/>
      <c r="D1150" s="1333"/>
      <c r="E1150" s="1333"/>
      <c r="F1150" s="1333"/>
      <c r="G1150" s="1333">
        <v>2023.0</v>
      </c>
      <c r="H1150" s="1333" t="s">
        <v>2159</v>
      </c>
      <c r="I1150" s="1333" t="s">
        <v>4155</v>
      </c>
      <c r="J1150" s="1333" t="s">
        <v>4161</v>
      </c>
      <c r="K1150" s="1333" t="s">
        <v>4167</v>
      </c>
      <c r="L1150" s="1333" t="s">
        <v>2480</v>
      </c>
      <c r="M1150" s="1335">
        <v>5.0</v>
      </c>
    </row>
    <row r="1151">
      <c r="A1151" s="1333"/>
      <c r="B1151" s="1333"/>
      <c r="C1151" s="1333"/>
      <c r="D1151" s="1333"/>
      <c r="E1151" s="1333"/>
      <c r="F1151" s="1333"/>
      <c r="G1151" s="1333">
        <v>2023.0</v>
      </c>
      <c r="H1151" s="1333" t="s">
        <v>2159</v>
      </c>
      <c r="I1151" s="1333" t="s">
        <v>4155</v>
      </c>
      <c r="J1151" s="1333" t="s">
        <v>4161</v>
      </c>
      <c r="K1151" s="1333" t="s">
        <v>1055</v>
      </c>
      <c r="L1151" s="1333" t="s">
        <v>1724</v>
      </c>
      <c r="M1151" s="1335">
        <v>1.0</v>
      </c>
    </row>
    <row r="1152">
      <c r="A1152" s="1333"/>
      <c r="B1152" s="1333"/>
      <c r="C1152" s="1333"/>
      <c r="D1152" s="1333"/>
      <c r="E1152" s="1333"/>
      <c r="F1152" s="1333"/>
      <c r="G1152" s="1333">
        <v>2023.0</v>
      </c>
      <c r="H1152" s="1333" t="s">
        <v>2160</v>
      </c>
      <c r="I1152" s="1333" t="s">
        <v>4162</v>
      </c>
      <c r="J1152" s="1333" t="s">
        <v>1058</v>
      </c>
      <c r="K1152" s="1333" t="s">
        <v>4163</v>
      </c>
      <c r="L1152" s="1333" t="s">
        <v>2480</v>
      </c>
      <c r="M1152" s="1335">
        <v>7.0</v>
      </c>
    </row>
    <row r="1153">
      <c r="A1153" s="1333"/>
      <c r="B1153" s="1333"/>
      <c r="C1153" s="1333"/>
      <c r="D1153" s="1333"/>
      <c r="E1153" s="1333"/>
      <c r="F1153" s="1333"/>
      <c r="G1153" s="1333">
        <v>2023.0</v>
      </c>
      <c r="H1153" s="1333" t="s">
        <v>2160</v>
      </c>
      <c r="I1153" s="1333" t="s">
        <v>4162</v>
      </c>
      <c r="J1153" s="1333" t="s">
        <v>1058</v>
      </c>
      <c r="K1153" s="1333" t="s">
        <v>4156</v>
      </c>
      <c r="L1153" s="1333" t="s">
        <v>2480</v>
      </c>
      <c r="M1153" s="1335">
        <v>24.0</v>
      </c>
    </row>
    <row r="1154">
      <c r="A1154" s="1333"/>
      <c r="B1154" s="1333"/>
      <c r="C1154" s="1333"/>
      <c r="D1154" s="1333"/>
      <c r="E1154" s="1333"/>
      <c r="F1154" s="1333"/>
      <c r="G1154" s="1333">
        <v>2023.0</v>
      </c>
      <c r="H1154" s="1333" t="s">
        <v>2160</v>
      </c>
      <c r="I1154" s="1333" t="s">
        <v>4162</v>
      </c>
      <c r="J1154" s="1333" t="s">
        <v>1058</v>
      </c>
      <c r="K1154" s="1333" t="s">
        <v>4157</v>
      </c>
      <c r="L1154" s="1333" t="s">
        <v>1724</v>
      </c>
      <c r="M1154" s="1335">
        <v>4.0</v>
      </c>
    </row>
    <row r="1155">
      <c r="A1155" s="1333"/>
      <c r="B1155" s="1333"/>
      <c r="C1155" s="1333"/>
      <c r="D1155" s="1333"/>
      <c r="E1155" s="1333"/>
      <c r="F1155" s="1333"/>
      <c r="G1155" s="1333">
        <v>2023.0</v>
      </c>
      <c r="H1155" s="1333" t="s">
        <v>2160</v>
      </c>
      <c r="I1155" s="1333" t="s">
        <v>4162</v>
      </c>
      <c r="J1155" s="1333" t="s">
        <v>1058</v>
      </c>
      <c r="K1155" s="1333" t="s">
        <v>4158</v>
      </c>
      <c r="L1155" s="1333" t="s">
        <v>2480</v>
      </c>
      <c r="M1155" s="1335">
        <v>3.0</v>
      </c>
    </row>
    <row r="1156">
      <c r="A1156" s="1333"/>
      <c r="B1156" s="1333"/>
      <c r="C1156" s="1333"/>
      <c r="D1156" s="1333"/>
      <c r="E1156" s="1333"/>
      <c r="F1156" s="1333"/>
      <c r="G1156" s="1333">
        <v>2023.0</v>
      </c>
      <c r="H1156" s="1333" t="s">
        <v>2160</v>
      </c>
      <c r="I1156" s="1333" t="s">
        <v>4162</v>
      </c>
      <c r="J1156" s="1333" t="s">
        <v>1058</v>
      </c>
      <c r="K1156" s="1333" t="s">
        <v>4166</v>
      </c>
      <c r="L1156" s="1333" t="s">
        <v>2480</v>
      </c>
      <c r="M1156" s="1335">
        <v>1.0</v>
      </c>
    </row>
    <row r="1157">
      <c r="A1157" s="1333"/>
      <c r="B1157" s="1333"/>
      <c r="C1157" s="1333"/>
      <c r="D1157" s="1333"/>
      <c r="E1157" s="1333"/>
      <c r="F1157" s="1333"/>
      <c r="G1157" s="1333">
        <v>2023.0</v>
      </c>
      <c r="H1157" s="1333" t="s">
        <v>2160</v>
      </c>
      <c r="I1157" s="1333" t="s">
        <v>4162</v>
      </c>
      <c r="J1157" s="1333" t="s">
        <v>1058</v>
      </c>
      <c r="K1157" s="1333" t="s">
        <v>4160</v>
      </c>
      <c r="L1157" s="1333" t="s">
        <v>2480</v>
      </c>
      <c r="M1157" s="1335">
        <v>9.0</v>
      </c>
    </row>
    <row r="1158">
      <c r="A1158" s="1333"/>
      <c r="B1158" s="1333"/>
      <c r="C1158" s="1333"/>
      <c r="D1158" s="1333"/>
      <c r="E1158" s="1333"/>
      <c r="F1158" s="1333"/>
      <c r="G1158" s="1333">
        <v>2023.0</v>
      </c>
      <c r="H1158" s="1333" t="s">
        <v>2160</v>
      </c>
      <c r="I1158" s="1333" t="s">
        <v>4162</v>
      </c>
      <c r="J1158" s="1333" t="s">
        <v>4161</v>
      </c>
      <c r="K1158" s="1333" t="s">
        <v>4167</v>
      </c>
      <c r="L1158" s="1333" t="s">
        <v>2480</v>
      </c>
      <c r="M1158" s="1335">
        <v>1.0</v>
      </c>
    </row>
    <row r="1159">
      <c r="A1159" s="1333"/>
      <c r="B1159" s="1333"/>
      <c r="C1159" s="1333"/>
      <c r="D1159" s="1333"/>
      <c r="E1159" s="1333"/>
      <c r="F1159" s="1333"/>
      <c r="G1159" s="1333">
        <v>2023.0</v>
      </c>
      <c r="H1159" s="1333" t="s">
        <v>2160</v>
      </c>
      <c r="I1159" s="1333" t="s">
        <v>4162</v>
      </c>
      <c r="J1159" s="1333" t="s">
        <v>4161</v>
      </c>
      <c r="K1159" s="1333" t="s">
        <v>1055</v>
      </c>
      <c r="L1159" s="1333" t="s">
        <v>1724</v>
      </c>
      <c r="M1159" s="1335">
        <v>52.0</v>
      </c>
    </row>
    <row r="1160">
      <c r="A1160" s="1333"/>
      <c r="B1160" s="1333"/>
      <c r="C1160" s="1333"/>
      <c r="D1160" s="1333"/>
      <c r="E1160" s="1333"/>
      <c r="F1160" s="1333"/>
      <c r="G1160" s="1333">
        <v>2023.0</v>
      </c>
      <c r="H1160" s="1333" t="s">
        <v>355</v>
      </c>
      <c r="I1160" s="1333" t="s">
        <v>4173</v>
      </c>
      <c r="J1160" s="1333" t="s">
        <v>1058</v>
      </c>
      <c r="K1160" s="1333" t="s">
        <v>4163</v>
      </c>
      <c r="L1160" s="1333" t="s">
        <v>2480</v>
      </c>
      <c r="M1160" s="1335">
        <v>17.0</v>
      </c>
    </row>
    <row r="1161">
      <c r="A1161" s="1333"/>
      <c r="B1161" s="1333"/>
      <c r="C1161" s="1333"/>
      <c r="D1161" s="1333"/>
      <c r="E1161" s="1333"/>
      <c r="F1161" s="1333"/>
      <c r="G1161" s="1333">
        <v>2023.0</v>
      </c>
      <c r="H1161" s="1333" t="s">
        <v>355</v>
      </c>
      <c r="I1161" s="1333" t="s">
        <v>4173</v>
      </c>
      <c r="J1161" s="1333" t="s">
        <v>1058</v>
      </c>
      <c r="K1161" s="1333" t="s">
        <v>4156</v>
      </c>
      <c r="L1161" s="1333" t="s">
        <v>2480</v>
      </c>
      <c r="M1161" s="1335">
        <v>148.0</v>
      </c>
    </row>
    <row r="1162">
      <c r="A1162" s="1333"/>
      <c r="B1162" s="1333"/>
      <c r="C1162" s="1333"/>
      <c r="D1162" s="1333"/>
      <c r="E1162" s="1333"/>
      <c r="F1162" s="1333"/>
      <c r="G1162" s="1333">
        <v>2023.0</v>
      </c>
      <c r="H1162" s="1333" t="s">
        <v>355</v>
      </c>
      <c r="I1162" s="1333" t="s">
        <v>4173</v>
      </c>
      <c r="J1162" s="1333" t="s">
        <v>1058</v>
      </c>
      <c r="K1162" s="1333" t="s">
        <v>4157</v>
      </c>
      <c r="L1162" s="1333" t="s">
        <v>1724</v>
      </c>
      <c r="M1162" s="1335">
        <v>30.0</v>
      </c>
    </row>
    <row r="1163">
      <c r="A1163" s="1333"/>
      <c r="B1163" s="1333"/>
      <c r="C1163" s="1333"/>
      <c r="D1163" s="1333"/>
      <c r="E1163" s="1333"/>
      <c r="F1163" s="1333"/>
      <c r="G1163" s="1333">
        <v>2023.0</v>
      </c>
      <c r="H1163" s="1333" t="s">
        <v>355</v>
      </c>
      <c r="I1163" s="1333" t="s">
        <v>4173</v>
      </c>
      <c r="J1163" s="1333" t="s">
        <v>1058</v>
      </c>
      <c r="K1163" s="1333" t="s">
        <v>4158</v>
      </c>
      <c r="L1163" s="1333" t="s">
        <v>2480</v>
      </c>
      <c r="M1163" s="1335">
        <v>9.0</v>
      </c>
    </row>
    <row r="1164">
      <c r="A1164" s="1333"/>
      <c r="B1164" s="1333"/>
      <c r="C1164" s="1333"/>
      <c r="D1164" s="1333"/>
      <c r="E1164" s="1333"/>
      <c r="F1164" s="1333"/>
      <c r="G1164" s="1333">
        <v>2023.0</v>
      </c>
      <c r="H1164" s="1333" t="s">
        <v>355</v>
      </c>
      <c r="I1164" s="1333" t="s">
        <v>4173</v>
      </c>
      <c r="J1164" s="1333" t="s">
        <v>1058</v>
      </c>
      <c r="K1164" s="1333" t="s">
        <v>4159</v>
      </c>
      <c r="L1164" s="1333" t="s">
        <v>1724</v>
      </c>
      <c r="M1164" s="1335">
        <v>3.0</v>
      </c>
    </row>
    <row r="1165">
      <c r="A1165" s="1333"/>
      <c r="B1165" s="1333"/>
      <c r="C1165" s="1333"/>
      <c r="D1165" s="1333"/>
      <c r="E1165" s="1333"/>
      <c r="F1165" s="1333"/>
      <c r="G1165" s="1333">
        <v>2023.0</v>
      </c>
      <c r="H1165" s="1333" t="s">
        <v>355</v>
      </c>
      <c r="I1165" s="1333" t="s">
        <v>4173</v>
      </c>
      <c r="J1165" s="1333" t="s">
        <v>1058</v>
      </c>
      <c r="K1165" s="1333" t="s">
        <v>4165</v>
      </c>
      <c r="L1165" s="1333" t="s">
        <v>2480</v>
      </c>
      <c r="M1165" s="1335">
        <v>8.0</v>
      </c>
    </row>
    <row r="1166">
      <c r="A1166" s="1333"/>
      <c r="B1166" s="1333"/>
      <c r="C1166" s="1333"/>
      <c r="D1166" s="1333"/>
      <c r="E1166" s="1333"/>
      <c r="F1166" s="1333"/>
      <c r="G1166" s="1333">
        <v>2023.0</v>
      </c>
      <c r="H1166" s="1333" t="s">
        <v>355</v>
      </c>
      <c r="I1166" s="1333" t="s">
        <v>4173</v>
      </c>
      <c r="J1166" s="1333" t="s">
        <v>1058</v>
      </c>
      <c r="K1166" s="1333" t="s">
        <v>4166</v>
      </c>
      <c r="L1166" s="1333" t="s">
        <v>2480</v>
      </c>
      <c r="M1166" s="1335">
        <v>32.0</v>
      </c>
    </row>
    <row r="1167">
      <c r="A1167" s="1333"/>
      <c r="B1167" s="1333"/>
      <c r="C1167" s="1333"/>
      <c r="D1167" s="1333"/>
      <c r="E1167" s="1333"/>
      <c r="F1167" s="1333"/>
      <c r="G1167" s="1333">
        <v>2023.0</v>
      </c>
      <c r="H1167" s="1333" t="s">
        <v>355</v>
      </c>
      <c r="I1167" s="1333" t="s">
        <v>4173</v>
      </c>
      <c r="J1167" s="1333" t="s">
        <v>1058</v>
      </c>
      <c r="K1167" s="1333" t="s">
        <v>4161</v>
      </c>
      <c r="L1167" s="1333" t="s">
        <v>2480</v>
      </c>
      <c r="M1167" s="1335">
        <v>2.0</v>
      </c>
    </row>
    <row r="1168">
      <c r="A1168" s="1333"/>
      <c r="B1168" s="1333"/>
      <c r="C1168" s="1333"/>
      <c r="D1168" s="1333"/>
      <c r="E1168" s="1333"/>
      <c r="F1168" s="1333"/>
      <c r="G1168" s="1333">
        <v>2023.0</v>
      </c>
      <c r="H1168" s="1333" t="s">
        <v>355</v>
      </c>
      <c r="I1168" s="1333" t="s">
        <v>4173</v>
      </c>
      <c r="J1168" s="1333" t="s">
        <v>1058</v>
      </c>
      <c r="K1168" s="1333" t="s">
        <v>4160</v>
      </c>
      <c r="L1168" s="1333" t="s">
        <v>2480</v>
      </c>
      <c r="M1168" s="1335">
        <v>28.0</v>
      </c>
    </row>
    <row r="1169">
      <c r="A1169" s="1333"/>
      <c r="B1169" s="1333"/>
      <c r="C1169" s="1333"/>
      <c r="D1169" s="1333"/>
      <c r="E1169" s="1333"/>
      <c r="F1169" s="1333"/>
      <c r="G1169" s="1333">
        <v>2023.0</v>
      </c>
      <c r="H1169" s="1333" t="s">
        <v>355</v>
      </c>
      <c r="I1169" s="1333" t="s">
        <v>4173</v>
      </c>
      <c r="J1169" s="1333" t="s">
        <v>4161</v>
      </c>
      <c r="K1169" s="1333" t="s">
        <v>4167</v>
      </c>
      <c r="L1169" s="1333" t="s">
        <v>2480</v>
      </c>
      <c r="M1169" s="1335">
        <v>3.0</v>
      </c>
    </row>
    <row r="1170">
      <c r="A1170" s="1333"/>
      <c r="B1170" s="1333"/>
      <c r="C1170" s="1333"/>
      <c r="D1170" s="1333"/>
      <c r="E1170" s="1333"/>
      <c r="F1170" s="1333"/>
      <c r="G1170" s="1333">
        <v>2023.0</v>
      </c>
      <c r="H1170" s="1333" t="s">
        <v>355</v>
      </c>
      <c r="I1170" s="1333" t="s">
        <v>4173</v>
      </c>
      <c r="J1170" s="1333" t="s">
        <v>4161</v>
      </c>
      <c r="K1170" s="1333" t="s">
        <v>4174</v>
      </c>
      <c r="L1170" s="1333" t="s">
        <v>2480</v>
      </c>
      <c r="M1170" s="1335">
        <v>2.0</v>
      </c>
    </row>
    <row r="1171">
      <c r="A1171" s="1333"/>
      <c r="B1171" s="1333"/>
      <c r="C1171" s="1333"/>
      <c r="D1171" s="1333"/>
      <c r="E1171" s="1333"/>
      <c r="F1171" s="1333"/>
      <c r="G1171" s="1333">
        <v>2023.0</v>
      </c>
      <c r="H1171" s="1333" t="s">
        <v>355</v>
      </c>
      <c r="I1171" s="1333" t="s">
        <v>4173</v>
      </c>
      <c r="J1171" s="1333" t="s">
        <v>4161</v>
      </c>
      <c r="K1171" s="1333" t="s">
        <v>1055</v>
      </c>
      <c r="L1171" s="1333" t="s">
        <v>1724</v>
      </c>
      <c r="M1171" s="1335">
        <v>148.0</v>
      </c>
    </row>
    <row r="1172">
      <c r="A1172" s="1333"/>
      <c r="B1172" s="1333"/>
      <c r="C1172" s="1333"/>
      <c r="D1172" s="1333"/>
      <c r="E1172" s="1333"/>
      <c r="F1172" s="1333"/>
      <c r="G1172" s="1333">
        <v>2023.0</v>
      </c>
      <c r="H1172" s="1333" t="s">
        <v>355</v>
      </c>
      <c r="I1172" s="1333" t="s">
        <v>4173</v>
      </c>
      <c r="J1172" s="1333" t="s">
        <v>4161</v>
      </c>
      <c r="K1172" s="1333" t="s">
        <v>4161</v>
      </c>
      <c r="L1172" s="1333" t="s">
        <v>2480</v>
      </c>
      <c r="M1172" s="1335">
        <v>12.0</v>
      </c>
    </row>
    <row r="1173">
      <c r="A1173" s="1333"/>
      <c r="B1173" s="1333"/>
      <c r="C1173" s="1333"/>
      <c r="D1173" s="1333"/>
      <c r="E1173" s="1333"/>
      <c r="F1173" s="1333"/>
      <c r="G1173" s="1333">
        <v>2023.0</v>
      </c>
      <c r="H1173" s="1333" t="s">
        <v>376</v>
      </c>
      <c r="I1173" s="1333" t="s">
        <v>4164</v>
      </c>
      <c r="J1173" s="1333" t="s">
        <v>1058</v>
      </c>
      <c r="K1173" s="1333" t="s">
        <v>4163</v>
      </c>
      <c r="L1173" s="1333" t="s">
        <v>2480</v>
      </c>
      <c r="M1173" s="1335">
        <v>1.0</v>
      </c>
    </row>
    <row r="1174">
      <c r="A1174" s="1333"/>
      <c r="B1174" s="1333"/>
      <c r="C1174" s="1333"/>
      <c r="D1174" s="1333"/>
      <c r="E1174" s="1333"/>
      <c r="F1174" s="1333"/>
      <c r="G1174" s="1333">
        <v>2023.0</v>
      </c>
      <c r="H1174" s="1333" t="s">
        <v>376</v>
      </c>
      <c r="I1174" s="1333" t="s">
        <v>4164</v>
      </c>
      <c r="J1174" s="1333" t="s">
        <v>1058</v>
      </c>
      <c r="K1174" s="1333" t="s">
        <v>4156</v>
      </c>
      <c r="L1174" s="1333" t="s">
        <v>2480</v>
      </c>
      <c r="M1174" s="1335">
        <v>2.0</v>
      </c>
    </row>
    <row r="1175">
      <c r="A1175" s="1333"/>
      <c r="B1175" s="1333"/>
      <c r="C1175" s="1333"/>
      <c r="D1175" s="1333"/>
      <c r="E1175" s="1333"/>
      <c r="F1175" s="1333"/>
      <c r="G1175" s="1333">
        <v>2023.0</v>
      </c>
      <c r="H1175" s="1333" t="s">
        <v>376</v>
      </c>
      <c r="I1175" s="1333" t="s">
        <v>4164</v>
      </c>
      <c r="J1175" s="1333" t="s">
        <v>1058</v>
      </c>
      <c r="K1175" s="1333" t="s">
        <v>4157</v>
      </c>
      <c r="L1175" s="1333" t="s">
        <v>1724</v>
      </c>
      <c r="M1175" s="1335">
        <v>4.0</v>
      </c>
    </row>
    <row r="1176">
      <c r="A1176" s="1333"/>
      <c r="B1176" s="1333"/>
      <c r="C1176" s="1333"/>
      <c r="D1176" s="1333"/>
      <c r="E1176" s="1333"/>
      <c r="F1176" s="1333"/>
      <c r="G1176" s="1333">
        <v>2023.0</v>
      </c>
      <c r="H1176" s="1333" t="s">
        <v>376</v>
      </c>
      <c r="I1176" s="1333" t="s">
        <v>4164</v>
      </c>
      <c r="J1176" s="1333" t="s">
        <v>1058</v>
      </c>
      <c r="K1176" s="1333" t="s">
        <v>4159</v>
      </c>
      <c r="L1176" s="1333" t="s">
        <v>1724</v>
      </c>
      <c r="M1176" s="1335">
        <v>4.0</v>
      </c>
    </row>
    <row r="1177">
      <c r="A1177" s="1333"/>
      <c r="B1177" s="1333"/>
      <c r="C1177" s="1333"/>
      <c r="D1177" s="1333"/>
      <c r="E1177" s="1333"/>
      <c r="F1177" s="1333"/>
      <c r="G1177" s="1333">
        <v>2023.0</v>
      </c>
      <c r="H1177" s="1333" t="s">
        <v>376</v>
      </c>
      <c r="I1177" s="1333" t="s">
        <v>4164</v>
      </c>
      <c r="J1177" s="1333" t="s">
        <v>1058</v>
      </c>
      <c r="K1177" s="1333" t="s">
        <v>4166</v>
      </c>
      <c r="L1177" s="1333" t="s">
        <v>2480</v>
      </c>
      <c r="M1177" s="1335">
        <v>1.0</v>
      </c>
    </row>
    <row r="1178">
      <c r="A1178" s="1333"/>
      <c r="B1178" s="1333"/>
      <c r="C1178" s="1333"/>
      <c r="D1178" s="1333"/>
      <c r="E1178" s="1333"/>
      <c r="F1178" s="1333"/>
      <c r="G1178" s="1333">
        <v>2023.0</v>
      </c>
      <c r="H1178" s="1333" t="s">
        <v>376</v>
      </c>
      <c r="I1178" s="1333" t="s">
        <v>4164</v>
      </c>
      <c r="J1178" s="1333" t="s">
        <v>1058</v>
      </c>
      <c r="K1178" s="1333" t="s">
        <v>4160</v>
      </c>
      <c r="L1178" s="1333" t="s">
        <v>2480</v>
      </c>
      <c r="M1178" s="1335">
        <v>1.0</v>
      </c>
    </row>
    <row r="1179">
      <c r="A1179" s="1333"/>
      <c r="B1179" s="1333"/>
      <c r="C1179" s="1333"/>
      <c r="D1179" s="1333"/>
      <c r="E1179" s="1333"/>
      <c r="F1179" s="1333"/>
      <c r="G1179" s="1333">
        <v>2023.0</v>
      </c>
      <c r="H1179" s="1333" t="s">
        <v>376</v>
      </c>
      <c r="I1179" s="1333" t="s">
        <v>4164</v>
      </c>
      <c r="J1179" s="1333" t="s">
        <v>4161</v>
      </c>
      <c r="K1179" s="1333" t="s">
        <v>1055</v>
      </c>
      <c r="L1179" s="1333" t="s">
        <v>1724</v>
      </c>
      <c r="M1179" s="1335">
        <v>11.0</v>
      </c>
    </row>
    <row r="1180">
      <c r="A1180" s="1333"/>
      <c r="B1180" s="1333"/>
      <c r="C1180" s="1333"/>
      <c r="D1180" s="1333"/>
      <c r="E1180" s="1333"/>
      <c r="F1180" s="1333"/>
      <c r="G1180" s="1333">
        <v>2023.0</v>
      </c>
      <c r="H1180" s="1333" t="s">
        <v>2161</v>
      </c>
      <c r="I1180" s="1333" t="s">
        <v>4164</v>
      </c>
      <c r="J1180" s="1333" t="s">
        <v>1058</v>
      </c>
      <c r="K1180" s="1333" t="s">
        <v>4156</v>
      </c>
      <c r="L1180" s="1333" t="s">
        <v>2480</v>
      </c>
      <c r="M1180" s="1335">
        <v>4.0</v>
      </c>
    </row>
    <row r="1181">
      <c r="A1181" s="1333"/>
      <c r="B1181" s="1333"/>
      <c r="C1181" s="1333"/>
      <c r="D1181" s="1333"/>
      <c r="E1181" s="1333"/>
      <c r="F1181" s="1333"/>
      <c r="G1181" s="1333">
        <v>2023.0</v>
      </c>
      <c r="H1181" s="1333" t="s">
        <v>2161</v>
      </c>
      <c r="I1181" s="1333" t="s">
        <v>4164</v>
      </c>
      <c r="J1181" s="1333" t="s">
        <v>1058</v>
      </c>
      <c r="K1181" s="1333" t="s">
        <v>4157</v>
      </c>
      <c r="L1181" s="1333" t="s">
        <v>1724</v>
      </c>
      <c r="M1181" s="1335">
        <v>2.0</v>
      </c>
    </row>
    <row r="1182">
      <c r="A1182" s="1333"/>
      <c r="B1182" s="1333"/>
      <c r="C1182" s="1333"/>
      <c r="D1182" s="1333"/>
      <c r="E1182" s="1333"/>
      <c r="F1182" s="1333"/>
      <c r="G1182" s="1333">
        <v>2023.0</v>
      </c>
      <c r="H1182" s="1333" t="s">
        <v>2161</v>
      </c>
      <c r="I1182" s="1333" t="s">
        <v>4164</v>
      </c>
      <c r="J1182" s="1333" t="s">
        <v>1058</v>
      </c>
      <c r="K1182" s="1333" t="s">
        <v>4158</v>
      </c>
      <c r="L1182" s="1333" t="s">
        <v>2480</v>
      </c>
      <c r="M1182" s="1335">
        <v>2.0</v>
      </c>
    </row>
    <row r="1183">
      <c r="A1183" s="1333"/>
      <c r="B1183" s="1333"/>
      <c r="C1183" s="1333"/>
      <c r="D1183" s="1333"/>
      <c r="E1183" s="1333"/>
      <c r="F1183" s="1333"/>
      <c r="G1183" s="1333">
        <v>2023.0</v>
      </c>
      <c r="H1183" s="1333" t="s">
        <v>2161</v>
      </c>
      <c r="I1183" s="1333" t="s">
        <v>4164</v>
      </c>
      <c r="J1183" s="1333" t="s">
        <v>1058</v>
      </c>
      <c r="K1183" s="1333" t="s">
        <v>4166</v>
      </c>
      <c r="L1183" s="1333" t="s">
        <v>2480</v>
      </c>
      <c r="M1183" s="1335">
        <v>1.0</v>
      </c>
    </row>
    <row r="1184">
      <c r="A1184" s="1333"/>
      <c r="B1184" s="1333"/>
      <c r="C1184" s="1333"/>
      <c r="D1184" s="1333"/>
      <c r="E1184" s="1333"/>
      <c r="F1184" s="1333"/>
      <c r="G1184" s="1333">
        <v>2023.0</v>
      </c>
      <c r="H1184" s="1333" t="s">
        <v>2161</v>
      </c>
      <c r="I1184" s="1333" t="s">
        <v>4164</v>
      </c>
      <c r="J1184" s="1333" t="s">
        <v>1058</v>
      </c>
      <c r="K1184" s="1333" t="s">
        <v>4160</v>
      </c>
      <c r="L1184" s="1333" t="s">
        <v>2480</v>
      </c>
      <c r="M1184" s="1335">
        <v>2.0</v>
      </c>
    </row>
    <row r="1185">
      <c r="A1185" s="1333"/>
      <c r="B1185" s="1333"/>
      <c r="C1185" s="1333"/>
      <c r="D1185" s="1333"/>
      <c r="E1185" s="1333"/>
      <c r="F1185" s="1333"/>
      <c r="G1185" s="1333">
        <v>2023.0</v>
      </c>
      <c r="H1185" s="1333" t="s">
        <v>2161</v>
      </c>
      <c r="I1185" s="1333" t="s">
        <v>4164</v>
      </c>
      <c r="J1185" s="1333" t="s">
        <v>4161</v>
      </c>
      <c r="K1185" s="1333" t="s">
        <v>1055</v>
      </c>
      <c r="L1185" s="1333" t="s">
        <v>1724</v>
      </c>
      <c r="M1185" s="1335">
        <v>14.0</v>
      </c>
    </row>
    <row r="1186">
      <c r="A1186" s="1333"/>
      <c r="B1186" s="1333"/>
      <c r="C1186" s="1333"/>
      <c r="D1186" s="1333"/>
      <c r="E1186" s="1333"/>
      <c r="F1186" s="1333"/>
      <c r="G1186" s="1333">
        <v>2023.0</v>
      </c>
      <c r="H1186" s="1333" t="s">
        <v>2162</v>
      </c>
      <c r="I1186" s="1333" t="s">
        <v>4155</v>
      </c>
      <c r="J1186" s="1333" t="s">
        <v>1058</v>
      </c>
      <c r="K1186" s="1333" t="s">
        <v>4163</v>
      </c>
      <c r="L1186" s="1333" t="s">
        <v>2480</v>
      </c>
      <c r="M1186" s="1335">
        <v>1.0</v>
      </c>
    </row>
    <row r="1187">
      <c r="A1187" s="1333"/>
      <c r="B1187" s="1333"/>
      <c r="C1187" s="1333"/>
      <c r="D1187" s="1333"/>
      <c r="E1187" s="1333"/>
      <c r="F1187" s="1333"/>
      <c r="G1187" s="1333">
        <v>2023.0</v>
      </c>
      <c r="H1187" s="1333" t="s">
        <v>2162</v>
      </c>
      <c r="I1187" s="1333" t="s">
        <v>4155</v>
      </c>
      <c r="J1187" s="1333" t="s">
        <v>1058</v>
      </c>
      <c r="K1187" s="1333" t="s">
        <v>4156</v>
      </c>
      <c r="L1187" s="1333" t="s">
        <v>2480</v>
      </c>
      <c r="M1187" s="1335">
        <v>13.0</v>
      </c>
    </row>
    <row r="1188">
      <c r="A1188" s="1333"/>
      <c r="B1188" s="1333"/>
      <c r="C1188" s="1333"/>
      <c r="D1188" s="1333"/>
      <c r="E1188" s="1333"/>
      <c r="F1188" s="1333"/>
      <c r="G1188" s="1333">
        <v>2023.0</v>
      </c>
      <c r="H1188" s="1333" t="s">
        <v>2162</v>
      </c>
      <c r="I1188" s="1333" t="s">
        <v>4155</v>
      </c>
      <c r="J1188" s="1333" t="s">
        <v>1058</v>
      </c>
      <c r="K1188" s="1333" t="s">
        <v>4158</v>
      </c>
      <c r="L1188" s="1333" t="s">
        <v>2480</v>
      </c>
      <c r="M1188" s="1335">
        <v>1.0</v>
      </c>
    </row>
    <row r="1189">
      <c r="A1189" s="1333"/>
      <c r="B1189" s="1333"/>
      <c r="C1189" s="1333"/>
      <c r="D1189" s="1333"/>
      <c r="E1189" s="1333"/>
      <c r="F1189" s="1333"/>
      <c r="G1189" s="1333">
        <v>2023.0</v>
      </c>
      <c r="H1189" s="1333" t="s">
        <v>2162</v>
      </c>
      <c r="I1189" s="1333" t="s">
        <v>4155</v>
      </c>
      <c r="J1189" s="1333" t="s">
        <v>1058</v>
      </c>
      <c r="K1189" s="1333" t="s">
        <v>4160</v>
      </c>
      <c r="L1189" s="1333" t="s">
        <v>2480</v>
      </c>
      <c r="M1189" s="1335">
        <v>2.0</v>
      </c>
    </row>
    <row r="1190">
      <c r="A1190" s="1333"/>
      <c r="B1190" s="1333"/>
      <c r="C1190" s="1333"/>
      <c r="D1190" s="1333"/>
      <c r="E1190" s="1333"/>
      <c r="F1190" s="1333"/>
      <c r="G1190" s="1333">
        <v>2023.0</v>
      </c>
      <c r="H1190" s="1333" t="s">
        <v>2162</v>
      </c>
      <c r="I1190" s="1333" t="s">
        <v>4155</v>
      </c>
      <c r="J1190" s="1333" t="s">
        <v>4161</v>
      </c>
      <c r="K1190" s="1333" t="s">
        <v>4174</v>
      </c>
      <c r="L1190" s="1333" t="s">
        <v>2480</v>
      </c>
      <c r="M1190" s="1335">
        <v>1.0</v>
      </c>
    </row>
    <row r="1191">
      <c r="A1191" s="1333"/>
      <c r="B1191" s="1333"/>
      <c r="C1191" s="1333"/>
      <c r="D1191" s="1333"/>
      <c r="E1191" s="1333"/>
      <c r="F1191" s="1333"/>
      <c r="G1191" s="1333">
        <v>2023.0</v>
      </c>
      <c r="H1191" s="1333" t="s">
        <v>2162</v>
      </c>
      <c r="I1191" s="1333" t="s">
        <v>4155</v>
      </c>
      <c r="J1191" s="1333" t="s">
        <v>4161</v>
      </c>
      <c r="K1191" s="1333" t="s">
        <v>1055</v>
      </c>
      <c r="L1191" s="1333" t="s">
        <v>1724</v>
      </c>
      <c r="M1191" s="1335">
        <v>6.0</v>
      </c>
    </row>
    <row r="1192">
      <c r="A1192" s="1333"/>
      <c r="B1192" s="1333"/>
      <c r="C1192" s="1333"/>
      <c r="D1192" s="1333"/>
      <c r="E1192" s="1333"/>
      <c r="F1192" s="1333"/>
      <c r="G1192" s="1333">
        <v>2023.0</v>
      </c>
      <c r="H1192" s="1333" t="s">
        <v>2162</v>
      </c>
      <c r="I1192" s="1333" t="s">
        <v>4155</v>
      </c>
      <c r="J1192" s="1333" t="s">
        <v>4161</v>
      </c>
      <c r="K1192" s="1333" t="s">
        <v>4161</v>
      </c>
      <c r="L1192" s="1333" t="s">
        <v>2480</v>
      </c>
      <c r="M1192" s="1335">
        <v>2.0</v>
      </c>
    </row>
    <row r="1193">
      <c r="A1193" s="1333"/>
      <c r="B1193" s="1333"/>
      <c r="C1193" s="1333"/>
      <c r="D1193" s="1333"/>
      <c r="E1193" s="1333"/>
      <c r="F1193" s="1333"/>
      <c r="G1193" s="1333">
        <v>2023.0</v>
      </c>
      <c r="H1193" s="1333" t="s">
        <v>2164</v>
      </c>
      <c r="I1193" s="1333" t="s">
        <v>4162</v>
      </c>
      <c r="J1193" s="1333" t="s">
        <v>4161</v>
      </c>
      <c r="K1193" s="1333" t="s">
        <v>1055</v>
      </c>
      <c r="L1193" s="1333" t="s">
        <v>1724</v>
      </c>
      <c r="M1193" s="1335">
        <v>4.0</v>
      </c>
    </row>
    <row r="1194">
      <c r="A1194" s="1333"/>
      <c r="B1194" s="1333"/>
      <c r="C1194" s="1333"/>
      <c r="D1194" s="1333"/>
      <c r="E1194" s="1333"/>
      <c r="F1194" s="1333"/>
      <c r="G1194" s="1333">
        <v>2023.0</v>
      </c>
      <c r="H1194" s="1333" t="s">
        <v>2166</v>
      </c>
      <c r="I1194" s="1333" t="s">
        <v>4171</v>
      </c>
      <c r="J1194" s="1333" t="s">
        <v>1058</v>
      </c>
      <c r="K1194" s="1333" t="s">
        <v>4163</v>
      </c>
      <c r="L1194" s="1333" t="s">
        <v>2480</v>
      </c>
      <c r="M1194" s="1335">
        <v>2.0</v>
      </c>
    </row>
    <row r="1195">
      <c r="A1195" s="1333"/>
      <c r="B1195" s="1333"/>
      <c r="C1195" s="1333"/>
      <c r="D1195" s="1333"/>
      <c r="E1195" s="1333"/>
      <c r="F1195" s="1333"/>
      <c r="G1195" s="1333">
        <v>2023.0</v>
      </c>
      <c r="H1195" s="1333" t="s">
        <v>2166</v>
      </c>
      <c r="I1195" s="1333" t="s">
        <v>4171</v>
      </c>
      <c r="J1195" s="1333" t="s">
        <v>1058</v>
      </c>
      <c r="K1195" s="1333" t="s">
        <v>4156</v>
      </c>
      <c r="L1195" s="1333" t="s">
        <v>2480</v>
      </c>
      <c r="M1195" s="1335">
        <v>1.0</v>
      </c>
    </row>
    <row r="1196">
      <c r="A1196" s="1333"/>
      <c r="B1196" s="1333"/>
      <c r="C1196" s="1333"/>
      <c r="D1196" s="1333"/>
      <c r="E1196" s="1333"/>
      <c r="F1196" s="1333"/>
      <c r="G1196" s="1333">
        <v>2023.0</v>
      </c>
      <c r="H1196" s="1333" t="s">
        <v>2166</v>
      </c>
      <c r="I1196" s="1333" t="s">
        <v>4171</v>
      </c>
      <c r="J1196" s="1333" t="s">
        <v>1058</v>
      </c>
      <c r="K1196" s="1333" t="s">
        <v>4165</v>
      </c>
      <c r="L1196" s="1333" t="s">
        <v>2480</v>
      </c>
      <c r="M1196" s="1335">
        <v>1.0</v>
      </c>
    </row>
    <row r="1197">
      <c r="A1197" s="1333"/>
      <c r="B1197" s="1333"/>
      <c r="C1197" s="1333"/>
      <c r="D1197" s="1333"/>
      <c r="E1197" s="1333"/>
      <c r="F1197" s="1333"/>
      <c r="G1197" s="1333">
        <v>2023.0</v>
      </c>
      <c r="H1197" s="1333" t="s">
        <v>2166</v>
      </c>
      <c r="I1197" s="1333" t="s">
        <v>4171</v>
      </c>
      <c r="J1197" s="1333" t="s">
        <v>1058</v>
      </c>
      <c r="K1197" s="1333" t="s">
        <v>4161</v>
      </c>
      <c r="L1197" s="1333" t="s">
        <v>2480</v>
      </c>
      <c r="M1197" s="1335">
        <v>1.0</v>
      </c>
    </row>
    <row r="1198">
      <c r="A1198" s="1333"/>
      <c r="B1198" s="1333"/>
      <c r="C1198" s="1333"/>
      <c r="D1198" s="1333"/>
      <c r="E1198" s="1333"/>
      <c r="F1198" s="1333"/>
      <c r="G1198" s="1333">
        <v>2023.0</v>
      </c>
      <c r="H1198" s="1333" t="s">
        <v>2166</v>
      </c>
      <c r="I1198" s="1333" t="s">
        <v>4171</v>
      </c>
      <c r="J1198" s="1333" t="s">
        <v>1058</v>
      </c>
      <c r="K1198" s="1333" t="s">
        <v>4160</v>
      </c>
      <c r="L1198" s="1333" t="s">
        <v>2480</v>
      </c>
      <c r="M1198" s="1335">
        <v>3.0</v>
      </c>
    </row>
    <row r="1199">
      <c r="A1199" s="1333"/>
      <c r="B1199" s="1333"/>
      <c r="C1199" s="1333"/>
      <c r="D1199" s="1333"/>
      <c r="E1199" s="1333"/>
      <c r="F1199" s="1333"/>
      <c r="G1199" s="1333">
        <v>2023.0</v>
      </c>
      <c r="H1199" s="1333" t="s">
        <v>2166</v>
      </c>
      <c r="I1199" s="1333" t="s">
        <v>4171</v>
      </c>
      <c r="J1199" s="1333" t="s">
        <v>4161</v>
      </c>
      <c r="K1199" s="1333" t="s">
        <v>1055</v>
      </c>
      <c r="L1199" s="1333" t="s">
        <v>1724</v>
      </c>
      <c r="M1199" s="1335">
        <v>6.0</v>
      </c>
    </row>
    <row r="1200">
      <c r="A1200" s="1333"/>
      <c r="B1200" s="1333"/>
      <c r="C1200" s="1333"/>
      <c r="D1200" s="1333"/>
      <c r="E1200" s="1333"/>
      <c r="F1200" s="1333"/>
      <c r="G1200" s="1333">
        <v>2023.0</v>
      </c>
      <c r="H1200" s="1333" t="s">
        <v>2167</v>
      </c>
      <c r="I1200" s="1333" t="s">
        <v>4171</v>
      </c>
      <c r="J1200" s="1333" t="s">
        <v>1058</v>
      </c>
      <c r="K1200" s="1333" t="s">
        <v>4156</v>
      </c>
      <c r="L1200" s="1333" t="s">
        <v>2480</v>
      </c>
      <c r="M1200" s="1335">
        <v>16.0</v>
      </c>
    </row>
    <row r="1201">
      <c r="A1201" s="1333"/>
      <c r="B1201" s="1333"/>
      <c r="C1201" s="1333"/>
      <c r="D1201" s="1333"/>
      <c r="E1201" s="1333"/>
      <c r="F1201" s="1333"/>
      <c r="G1201" s="1333">
        <v>2023.0</v>
      </c>
      <c r="H1201" s="1333" t="s">
        <v>2167</v>
      </c>
      <c r="I1201" s="1333" t="s">
        <v>4171</v>
      </c>
      <c r="J1201" s="1333" t="s">
        <v>1058</v>
      </c>
      <c r="K1201" s="1333" t="s">
        <v>4160</v>
      </c>
      <c r="L1201" s="1333" t="s">
        <v>2480</v>
      </c>
      <c r="M1201" s="1335">
        <v>7.0</v>
      </c>
    </row>
    <row r="1202">
      <c r="A1202" s="1333"/>
      <c r="B1202" s="1333"/>
      <c r="C1202" s="1333"/>
      <c r="D1202" s="1333"/>
      <c r="E1202" s="1333"/>
      <c r="F1202" s="1333"/>
      <c r="G1202" s="1333">
        <v>2023.0</v>
      </c>
      <c r="H1202" s="1333" t="s">
        <v>2167</v>
      </c>
      <c r="I1202" s="1333" t="s">
        <v>4171</v>
      </c>
      <c r="J1202" s="1333" t="s">
        <v>4161</v>
      </c>
      <c r="K1202" s="1333" t="s">
        <v>1055</v>
      </c>
      <c r="L1202" s="1333" t="s">
        <v>1724</v>
      </c>
      <c r="M1202" s="1335">
        <v>12.0</v>
      </c>
    </row>
    <row r="1203">
      <c r="A1203" s="1333"/>
      <c r="B1203" s="1333"/>
      <c r="C1203" s="1333"/>
      <c r="D1203" s="1333"/>
      <c r="E1203" s="1333"/>
      <c r="F1203" s="1333"/>
      <c r="G1203" s="1333">
        <v>2023.0</v>
      </c>
      <c r="H1203" s="1333" t="s">
        <v>2168</v>
      </c>
      <c r="I1203" s="1333" t="s">
        <v>4155</v>
      </c>
      <c r="J1203" s="1333" t="s">
        <v>1058</v>
      </c>
      <c r="K1203" s="1333" t="s">
        <v>4156</v>
      </c>
      <c r="L1203" s="1333" t="s">
        <v>2480</v>
      </c>
      <c r="M1203" s="1335">
        <v>33.0</v>
      </c>
    </row>
    <row r="1204">
      <c r="A1204" s="1333"/>
      <c r="B1204" s="1333"/>
      <c r="C1204" s="1333"/>
      <c r="D1204" s="1333"/>
      <c r="E1204" s="1333"/>
      <c r="F1204" s="1333"/>
      <c r="G1204" s="1333">
        <v>2023.0</v>
      </c>
      <c r="H1204" s="1333" t="s">
        <v>2168</v>
      </c>
      <c r="I1204" s="1333" t="s">
        <v>4155</v>
      </c>
      <c r="J1204" s="1333" t="s">
        <v>1058</v>
      </c>
      <c r="K1204" s="1333" t="s">
        <v>4157</v>
      </c>
      <c r="L1204" s="1333" t="s">
        <v>1724</v>
      </c>
      <c r="M1204" s="1335">
        <v>2.0</v>
      </c>
    </row>
    <row r="1205">
      <c r="A1205" s="1333"/>
      <c r="B1205" s="1333"/>
      <c r="C1205" s="1333"/>
      <c r="D1205" s="1333"/>
      <c r="E1205" s="1333"/>
      <c r="F1205" s="1333"/>
      <c r="G1205" s="1333">
        <v>2023.0</v>
      </c>
      <c r="H1205" s="1333" t="s">
        <v>2168</v>
      </c>
      <c r="I1205" s="1333" t="s">
        <v>4155</v>
      </c>
      <c r="J1205" s="1333" t="s">
        <v>1058</v>
      </c>
      <c r="K1205" s="1333" t="s">
        <v>4159</v>
      </c>
      <c r="L1205" s="1333" t="s">
        <v>1724</v>
      </c>
      <c r="M1205" s="1335">
        <v>1.0</v>
      </c>
    </row>
    <row r="1206">
      <c r="A1206" s="1333"/>
      <c r="B1206" s="1333"/>
      <c r="C1206" s="1333"/>
      <c r="D1206" s="1333"/>
      <c r="E1206" s="1333"/>
      <c r="F1206" s="1333"/>
      <c r="G1206" s="1333">
        <v>2023.0</v>
      </c>
      <c r="H1206" s="1333" t="s">
        <v>2168</v>
      </c>
      <c r="I1206" s="1333" t="s">
        <v>4155</v>
      </c>
      <c r="J1206" s="1333" t="s">
        <v>1058</v>
      </c>
      <c r="K1206" s="1333" t="s">
        <v>4165</v>
      </c>
      <c r="L1206" s="1333" t="s">
        <v>2480</v>
      </c>
      <c r="M1206" s="1335">
        <v>3.0</v>
      </c>
    </row>
    <row r="1207">
      <c r="A1207" s="1333"/>
      <c r="B1207" s="1333"/>
      <c r="C1207" s="1333"/>
      <c r="D1207" s="1333"/>
      <c r="E1207" s="1333"/>
      <c r="F1207" s="1333"/>
      <c r="G1207" s="1333">
        <v>2023.0</v>
      </c>
      <c r="H1207" s="1333" t="s">
        <v>2168</v>
      </c>
      <c r="I1207" s="1333" t="s">
        <v>4155</v>
      </c>
      <c r="J1207" s="1333" t="s">
        <v>1058</v>
      </c>
      <c r="K1207" s="1333" t="s">
        <v>4160</v>
      </c>
      <c r="L1207" s="1333" t="s">
        <v>2480</v>
      </c>
      <c r="M1207" s="1335">
        <v>6.0</v>
      </c>
    </row>
    <row r="1208">
      <c r="A1208" s="1333"/>
      <c r="B1208" s="1333"/>
      <c r="C1208" s="1333"/>
      <c r="D1208" s="1333"/>
      <c r="E1208" s="1333"/>
      <c r="F1208" s="1333"/>
      <c r="G1208" s="1333">
        <v>2023.0</v>
      </c>
      <c r="H1208" s="1333" t="s">
        <v>2168</v>
      </c>
      <c r="I1208" s="1333" t="s">
        <v>4155</v>
      </c>
      <c r="J1208" s="1333" t="s">
        <v>4161</v>
      </c>
      <c r="K1208" s="1333" t="s">
        <v>4167</v>
      </c>
      <c r="L1208" s="1333" t="s">
        <v>2480</v>
      </c>
      <c r="M1208" s="1335">
        <v>2.0</v>
      </c>
    </row>
    <row r="1209">
      <c r="A1209" s="1333"/>
      <c r="B1209" s="1333"/>
      <c r="C1209" s="1333"/>
      <c r="D1209" s="1333"/>
      <c r="E1209" s="1333"/>
      <c r="F1209" s="1333"/>
      <c r="G1209" s="1333">
        <v>2023.0</v>
      </c>
      <c r="H1209" s="1333" t="s">
        <v>2168</v>
      </c>
      <c r="I1209" s="1333" t="s">
        <v>4155</v>
      </c>
      <c r="J1209" s="1333" t="s">
        <v>4161</v>
      </c>
      <c r="K1209" s="1333" t="s">
        <v>1055</v>
      </c>
      <c r="L1209" s="1333" t="s">
        <v>1724</v>
      </c>
      <c r="M1209" s="1335">
        <v>33.0</v>
      </c>
    </row>
    <row r="1210">
      <c r="A1210" s="1333"/>
      <c r="B1210" s="1333"/>
      <c r="C1210" s="1333"/>
      <c r="D1210" s="1333"/>
      <c r="E1210" s="1333"/>
      <c r="F1210" s="1333"/>
      <c r="G1210" s="1333">
        <v>2023.0</v>
      </c>
      <c r="H1210" s="1333" t="s">
        <v>2168</v>
      </c>
      <c r="I1210" s="1333" t="s">
        <v>4155</v>
      </c>
      <c r="J1210" s="1333" t="s">
        <v>4161</v>
      </c>
      <c r="K1210" s="1333" t="s">
        <v>4161</v>
      </c>
      <c r="L1210" s="1333" t="s">
        <v>2480</v>
      </c>
      <c r="M1210" s="1335">
        <v>4.0</v>
      </c>
    </row>
    <row r="1211">
      <c r="A1211" s="1333"/>
      <c r="B1211" s="1333"/>
      <c r="C1211" s="1333"/>
      <c r="D1211" s="1333"/>
      <c r="E1211" s="1333"/>
      <c r="F1211" s="1333"/>
      <c r="G1211" s="1333">
        <v>2023.0</v>
      </c>
      <c r="H1211" s="1333" t="s">
        <v>2169</v>
      </c>
      <c r="I1211" s="1333" t="s">
        <v>4171</v>
      </c>
      <c r="J1211" s="1333" t="s">
        <v>1058</v>
      </c>
      <c r="K1211" s="1333" t="s">
        <v>4163</v>
      </c>
      <c r="L1211" s="1333" t="s">
        <v>2480</v>
      </c>
      <c r="M1211" s="1335">
        <v>5.0</v>
      </c>
    </row>
    <row r="1212">
      <c r="A1212" s="1333"/>
      <c r="B1212" s="1333"/>
      <c r="C1212" s="1333"/>
      <c r="D1212" s="1333"/>
      <c r="E1212" s="1333"/>
      <c r="F1212" s="1333"/>
      <c r="G1212" s="1333">
        <v>2023.0</v>
      </c>
      <c r="H1212" s="1333" t="s">
        <v>2169</v>
      </c>
      <c r="I1212" s="1333" t="s">
        <v>4171</v>
      </c>
      <c r="J1212" s="1333" t="s">
        <v>1058</v>
      </c>
      <c r="K1212" s="1333" t="s">
        <v>4156</v>
      </c>
      <c r="L1212" s="1333" t="s">
        <v>2480</v>
      </c>
      <c r="M1212" s="1335">
        <v>31.0</v>
      </c>
    </row>
    <row r="1213">
      <c r="A1213" s="1333"/>
      <c r="B1213" s="1333"/>
      <c r="C1213" s="1333"/>
      <c r="D1213" s="1333"/>
      <c r="E1213" s="1333"/>
      <c r="F1213" s="1333"/>
      <c r="G1213" s="1333">
        <v>2023.0</v>
      </c>
      <c r="H1213" s="1333" t="s">
        <v>2169</v>
      </c>
      <c r="I1213" s="1333" t="s">
        <v>4171</v>
      </c>
      <c r="J1213" s="1333" t="s">
        <v>1058</v>
      </c>
      <c r="K1213" s="1333" t="s">
        <v>4157</v>
      </c>
      <c r="L1213" s="1333" t="s">
        <v>1724</v>
      </c>
      <c r="M1213" s="1335">
        <v>1.0</v>
      </c>
    </row>
    <row r="1214">
      <c r="A1214" s="1333"/>
      <c r="B1214" s="1333"/>
      <c r="C1214" s="1333"/>
      <c r="D1214" s="1333"/>
      <c r="E1214" s="1333"/>
      <c r="F1214" s="1333"/>
      <c r="G1214" s="1333">
        <v>2023.0</v>
      </c>
      <c r="H1214" s="1333" t="s">
        <v>2169</v>
      </c>
      <c r="I1214" s="1333" t="s">
        <v>4171</v>
      </c>
      <c r="J1214" s="1333" t="s">
        <v>1058</v>
      </c>
      <c r="K1214" s="1333" t="s">
        <v>4165</v>
      </c>
      <c r="L1214" s="1333" t="s">
        <v>2480</v>
      </c>
      <c r="M1214" s="1335">
        <v>5.0</v>
      </c>
    </row>
    <row r="1215">
      <c r="A1215" s="1333"/>
      <c r="B1215" s="1333"/>
      <c r="C1215" s="1333"/>
      <c r="D1215" s="1333"/>
      <c r="E1215" s="1333"/>
      <c r="F1215" s="1333"/>
      <c r="G1215" s="1333">
        <v>2023.0</v>
      </c>
      <c r="H1215" s="1333" t="s">
        <v>2169</v>
      </c>
      <c r="I1215" s="1333" t="s">
        <v>4171</v>
      </c>
      <c r="J1215" s="1333" t="s">
        <v>1058</v>
      </c>
      <c r="K1215" s="1333" t="s">
        <v>4166</v>
      </c>
      <c r="L1215" s="1333" t="s">
        <v>2480</v>
      </c>
      <c r="M1215" s="1335">
        <v>2.0</v>
      </c>
    </row>
    <row r="1216">
      <c r="A1216" s="1333"/>
      <c r="B1216" s="1333"/>
      <c r="C1216" s="1333"/>
      <c r="D1216" s="1333"/>
      <c r="E1216" s="1333"/>
      <c r="F1216" s="1333"/>
      <c r="G1216" s="1333">
        <v>2023.0</v>
      </c>
      <c r="H1216" s="1333" t="s">
        <v>2169</v>
      </c>
      <c r="I1216" s="1333" t="s">
        <v>4171</v>
      </c>
      <c r="J1216" s="1333" t="s">
        <v>1058</v>
      </c>
      <c r="K1216" s="1333" t="s">
        <v>4161</v>
      </c>
      <c r="L1216" s="1333" t="s">
        <v>2480</v>
      </c>
      <c r="M1216" s="1335">
        <v>3.0</v>
      </c>
    </row>
    <row r="1217">
      <c r="A1217" s="1333"/>
      <c r="B1217" s="1333"/>
      <c r="C1217" s="1333"/>
      <c r="D1217" s="1333"/>
      <c r="E1217" s="1333"/>
      <c r="F1217" s="1333"/>
      <c r="G1217" s="1333">
        <v>2023.0</v>
      </c>
      <c r="H1217" s="1333" t="s">
        <v>2169</v>
      </c>
      <c r="I1217" s="1333" t="s">
        <v>4171</v>
      </c>
      <c r="J1217" s="1333" t="s">
        <v>1058</v>
      </c>
      <c r="K1217" s="1333" t="s">
        <v>4160</v>
      </c>
      <c r="L1217" s="1333" t="s">
        <v>2480</v>
      </c>
      <c r="M1217" s="1335">
        <v>10.0</v>
      </c>
    </row>
    <row r="1218">
      <c r="A1218" s="1333"/>
      <c r="B1218" s="1333"/>
      <c r="C1218" s="1333"/>
      <c r="D1218" s="1333"/>
      <c r="E1218" s="1333"/>
      <c r="F1218" s="1333"/>
      <c r="G1218" s="1333">
        <v>2023.0</v>
      </c>
      <c r="H1218" s="1333" t="s">
        <v>2169</v>
      </c>
      <c r="I1218" s="1333" t="s">
        <v>4171</v>
      </c>
      <c r="J1218" s="1333" t="s">
        <v>4161</v>
      </c>
      <c r="K1218" s="1333" t="s">
        <v>1055</v>
      </c>
      <c r="L1218" s="1333" t="s">
        <v>1724</v>
      </c>
      <c r="M1218" s="1335">
        <v>22.0</v>
      </c>
    </row>
    <row r="1219">
      <c r="A1219" s="1333"/>
      <c r="B1219" s="1333"/>
      <c r="C1219" s="1333"/>
      <c r="D1219" s="1333"/>
      <c r="E1219" s="1333"/>
      <c r="F1219" s="1333"/>
      <c r="G1219" s="1333">
        <v>2023.0</v>
      </c>
      <c r="H1219" s="1333" t="s">
        <v>175</v>
      </c>
      <c r="I1219" s="1333" t="s">
        <v>4172</v>
      </c>
      <c r="J1219" s="1333" t="s">
        <v>1058</v>
      </c>
      <c r="K1219" s="1333" t="s">
        <v>4163</v>
      </c>
      <c r="L1219" s="1333" t="s">
        <v>2480</v>
      </c>
      <c r="M1219" s="1335">
        <v>1.0</v>
      </c>
    </row>
    <row r="1220">
      <c r="A1220" s="1333"/>
      <c r="B1220" s="1333"/>
      <c r="C1220" s="1333"/>
      <c r="D1220" s="1333"/>
      <c r="E1220" s="1333"/>
      <c r="F1220" s="1333"/>
      <c r="G1220" s="1333">
        <v>2023.0</v>
      </c>
      <c r="H1220" s="1333" t="s">
        <v>175</v>
      </c>
      <c r="I1220" s="1333" t="s">
        <v>4172</v>
      </c>
      <c r="J1220" s="1333" t="s">
        <v>1058</v>
      </c>
      <c r="K1220" s="1333" t="s">
        <v>4156</v>
      </c>
      <c r="L1220" s="1333" t="s">
        <v>2480</v>
      </c>
      <c r="M1220" s="1335">
        <v>7.0</v>
      </c>
    </row>
    <row r="1221">
      <c r="A1221" s="1333"/>
      <c r="B1221" s="1333"/>
      <c r="C1221" s="1333"/>
      <c r="D1221" s="1333"/>
      <c r="E1221" s="1333"/>
      <c r="F1221" s="1333"/>
      <c r="G1221" s="1333">
        <v>2023.0</v>
      </c>
      <c r="H1221" s="1333" t="s">
        <v>175</v>
      </c>
      <c r="I1221" s="1333" t="s">
        <v>4172</v>
      </c>
      <c r="J1221" s="1333" t="s">
        <v>1058</v>
      </c>
      <c r="K1221" s="1333" t="s">
        <v>4157</v>
      </c>
      <c r="L1221" s="1333" t="s">
        <v>1724</v>
      </c>
      <c r="M1221" s="1335">
        <v>1.0</v>
      </c>
    </row>
    <row r="1222">
      <c r="A1222" s="1333"/>
      <c r="B1222" s="1333"/>
      <c r="C1222" s="1333"/>
      <c r="D1222" s="1333"/>
      <c r="E1222" s="1333"/>
      <c r="F1222" s="1333"/>
      <c r="G1222" s="1333">
        <v>2023.0</v>
      </c>
      <c r="H1222" s="1333" t="s">
        <v>175</v>
      </c>
      <c r="I1222" s="1333" t="s">
        <v>4172</v>
      </c>
      <c r="J1222" s="1333" t="s">
        <v>1058</v>
      </c>
      <c r="K1222" s="1333" t="s">
        <v>4166</v>
      </c>
      <c r="L1222" s="1333" t="s">
        <v>2480</v>
      </c>
      <c r="M1222" s="1335">
        <v>4.0</v>
      </c>
    </row>
    <row r="1223">
      <c r="A1223" s="1333"/>
      <c r="B1223" s="1333"/>
      <c r="C1223" s="1333"/>
      <c r="D1223" s="1333"/>
      <c r="E1223" s="1333"/>
      <c r="F1223" s="1333"/>
      <c r="G1223" s="1333">
        <v>2023.0</v>
      </c>
      <c r="H1223" s="1333" t="s">
        <v>175</v>
      </c>
      <c r="I1223" s="1333" t="s">
        <v>4172</v>
      </c>
      <c r="J1223" s="1333" t="s">
        <v>1058</v>
      </c>
      <c r="K1223" s="1333" t="s">
        <v>4161</v>
      </c>
      <c r="L1223" s="1333" t="s">
        <v>2480</v>
      </c>
      <c r="M1223" s="1335">
        <v>1.0</v>
      </c>
    </row>
    <row r="1224">
      <c r="A1224" s="1333"/>
      <c r="B1224" s="1333"/>
      <c r="C1224" s="1333"/>
      <c r="D1224" s="1333"/>
      <c r="E1224" s="1333"/>
      <c r="F1224" s="1333"/>
      <c r="G1224" s="1333">
        <v>2023.0</v>
      </c>
      <c r="H1224" s="1333" t="s">
        <v>175</v>
      </c>
      <c r="I1224" s="1333" t="s">
        <v>4172</v>
      </c>
      <c r="J1224" s="1333" t="s">
        <v>1058</v>
      </c>
      <c r="K1224" s="1333" t="s">
        <v>4160</v>
      </c>
      <c r="L1224" s="1333" t="s">
        <v>2480</v>
      </c>
      <c r="M1224" s="1335">
        <v>1.0</v>
      </c>
    </row>
    <row r="1225">
      <c r="A1225" s="1333"/>
      <c r="B1225" s="1333"/>
      <c r="C1225" s="1333"/>
      <c r="D1225" s="1333"/>
      <c r="E1225" s="1333"/>
      <c r="F1225" s="1333"/>
      <c r="G1225" s="1333">
        <v>2023.0</v>
      </c>
      <c r="H1225" s="1333" t="s">
        <v>175</v>
      </c>
      <c r="I1225" s="1333" t="s">
        <v>4172</v>
      </c>
      <c r="J1225" s="1333" t="s">
        <v>4161</v>
      </c>
      <c r="K1225" s="1333" t="s">
        <v>1055</v>
      </c>
      <c r="L1225" s="1333" t="s">
        <v>1724</v>
      </c>
      <c r="M1225" s="1335">
        <v>13.0</v>
      </c>
    </row>
    <row r="1226">
      <c r="A1226" s="1333"/>
      <c r="B1226" s="1333"/>
      <c r="C1226" s="1333"/>
      <c r="D1226" s="1333"/>
      <c r="E1226" s="1333"/>
      <c r="F1226" s="1333"/>
      <c r="G1226" s="1333">
        <v>2023.0</v>
      </c>
      <c r="H1226" s="1333" t="s">
        <v>2170</v>
      </c>
      <c r="I1226" s="1333" t="s">
        <v>4172</v>
      </c>
      <c r="J1226" s="1333" t="s">
        <v>1058</v>
      </c>
      <c r="K1226" s="1333" t="s">
        <v>4163</v>
      </c>
      <c r="L1226" s="1333" t="s">
        <v>2480</v>
      </c>
      <c r="M1226" s="1335">
        <v>3.0</v>
      </c>
    </row>
    <row r="1227">
      <c r="A1227" s="1333"/>
      <c r="B1227" s="1333"/>
      <c r="C1227" s="1333"/>
      <c r="D1227" s="1333"/>
      <c r="E1227" s="1333"/>
      <c r="F1227" s="1333"/>
      <c r="G1227" s="1333">
        <v>2023.0</v>
      </c>
      <c r="H1227" s="1333" t="s">
        <v>2170</v>
      </c>
      <c r="I1227" s="1333" t="s">
        <v>4172</v>
      </c>
      <c r="J1227" s="1333" t="s">
        <v>1058</v>
      </c>
      <c r="K1227" s="1333" t="s">
        <v>4156</v>
      </c>
      <c r="L1227" s="1333" t="s">
        <v>2480</v>
      </c>
      <c r="M1227" s="1335">
        <v>8.0</v>
      </c>
    </row>
    <row r="1228">
      <c r="A1228" s="1333"/>
      <c r="B1228" s="1333"/>
      <c r="C1228" s="1333"/>
      <c r="D1228" s="1333"/>
      <c r="E1228" s="1333"/>
      <c r="F1228" s="1333"/>
      <c r="G1228" s="1333">
        <v>2023.0</v>
      </c>
      <c r="H1228" s="1333" t="s">
        <v>2170</v>
      </c>
      <c r="I1228" s="1333" t="s">
        <v>4172</v>
      </c>
      <c r="J1228" s="1333" t="s">
        <v>1058</v>
      </c>
      <c r="K1228" s="1333" t="s">
        <v>4159</v>
      </c>
      <c r="L1228" s="1333" t="s">
        <v>1724</v>
      </c>
      <c r="M1228" s="1335">
        <v>1.0</v>
      </c>
    </row>
    <row r="1229">
      <c r="A1229" s="1333"/>
      <c r="B1229" s="1333"/>
      <c r="C1229" s="1333"/>
      <c r="D1229" s="1333"/>
      <c r="E1229" s="1333"/>
      <c r="F1229" s="1333"/>
      <c r="G1229" s="1333">
        <v>2023.0</v>
      </c>
      <c r="H1229" s="1333" t="s">
        <v>2170</v>
      </c>
      <c r="I1229" s="1333" t="s">
        <v>4172</v>
      </c>
      <c r="J1229" s="1333" t="s">
        <v>1058</v>
      </c>
      <c r="K1229" s="1333" t="s">
        <v>4165</v>
      </c>
      <c r="L1229" s="1333" t="s">
        <v>2480</v>
      </c>
      <c r="M1229" s="1335">
        <v>1.0</v>
      </c>
    </row>
    <row r="1230">
      <c r="A1230" s="1333"/>
      <c r="B1230" s="1333"/>
      <c r="C1230" s="1333"/>
      <c r="D1230" s="1333"/>
      <c r="E1230" s="1333"/>
      <c r="F1230" s="1333"/>
      <c r="G1230" s="1333">
        <v>2023.0</v>
      </c>
      <c r="H1230" s="1333" t="s">
        <v>2170</v>
      </c>
      <c r="I1230" s="1333" t="s">
        <v>4172</v>
      </c>
      <c r="J1230" s="1333" t="s">
        <v>1058</v>
      </c>
      <c r="K1230" s="1333" t="s">
        <v>4166</v>
      </c>
      <c r="L1230" s="1333" t="s">
        <v>2480</v>
      </c>
      <c r="M1230" s="1335">
        <v>1.0</v>
      </c>
    </row>
    <row r="1231">
      <c r="A1231" s="1333"/>
      <c r="B1231" s="1333"/>
      <c r="C1231" s="1333"/>
      <c r="D1231" s="1333"/>
      <c r="E1231" s="1333"/>
      <c r="F1231" s="1333"/>
      <c r="G1231" s="1333">
        <v>2023.0</v>
      </c>
      <c r="H1231" s="1333" t="s">
        <v>2170</v>
      </c>
      <c r="I1231" s="1333" t="s">
        <v>4172</v>
      </c>
      <c r="J1231" s="1333" t="s">
        <v>4161</v>
      </c>
      <c r="K1231" s="1333" t="s">
        <v>4167</v>
      </c>
      <c r="L1231" s="1333" t="s">
        <v>2480</v>
      </c>
      <c r="M1231" s="1335">
        <v>3.0</v>
      </c>
    </row>
    <row r="1232">
      <c r="A1232" s="1333"/>
      <c r="B1232" s="1333"/>
      <c r="C1232" s="1333"/>
      <c r="D1232" s="1333"/>
      <c r="E1232" s="1333"/>
      <c r="F1232" s="1333"/>
      <c r="G1232" s="1333">
        <v>2023.0</v>
      </c>
      <c r="H1232" s="1333" t="s">
        <v>1669</v>
      </c>
      <c r="I1232" s="1333" t="s">
        <v>4162</v>
      </c>
      <c r="J1232" s="1333" t="s">
        <v>1058</v>
      </c>
      <c r="K1232" s="1333" t="s">
        <v>4156</v>
      </c>
      <c r="L1232" s="1333" t="s">
        <v>2480</v>
      </c>
      <c r="M1232" s="1335">
        <v>6.0</v>
      </c>
    </row>
    <row r="1233">
      <c r="A1233" s="1333"/>
      <c r="B1233" s="1333"/>
      <c r="C1233" s="1333"/>
      <c r="D1233" s="1333"/>
      <c r="E1233" s="1333"/>
      <c r="F1233" s="1333"/>
      <c r="G1233" s="1333">
        <v>2023.0</v>
      </c>
      <c r="H1233" s="1333" t="s">
        <v>1669</v>
      </c>
      <c r="I1233" s="1333" t="s">
        <v>4162</v>
      </c>
      <c r="J1233" s="1333" t="s">
        <v>1058</v>
      </c>
      <c r="K1233" s="1333" t="s">
        <v>4158</v>
      </c>
      <c r="L1233" s="1333" t="s">
        <v>2480</v>
      </c>
      <c r="M1233" s="1335">
        <v>4.0</v>
      </c>
    </row>
    <row r="1234">
      <c r="A1234" s="1333"/>
      <c r="B1234" s="1333"/>
      <c r="C1234" s="1333"/>
      <c r="D1234" s="1333"/>
      <c r="E1234" s="1333"/>
      <c r="F1234" s="1333"/>
      <c r="G1234" s="1333">
        <v>2023.0</v>
      </c>
      <c r="H1234" s="1333" t="s">
        <v>1669</v>
      </c>
      <c r="I1234" s="1333" t="s">
        <v>4162</v>
      </c>
      <c r="J1234" s="1333" t="s">
        <v>1058</v>
      </c>
      <c r="K1234" s="1333" t="s">
        <v>4166</v>
      </c>
      <c r="L1234" s="1333" t="s">
        <v>2480</v>
      </c>
      <c r="M1234" s="1335">
        <v>1.0</v>
      </c>
    </row>
    <row r="1235">
      <c r="A1235" s="1333"/>
      <c r="B1235" s="1333"/>
      <c r="C1235" s="1333"/>
      <c r="D1235" s="1333"/>
      <c r="E1235" s="1333"/>
      <c r="F1235" s="1333"/>
      <c r="G1235" s="1333">
        <v>2023.0</v>
      </c>
      <c r="H1235" s="1333" t="s">
        <v>1669</v>
      </c>
      <c r="I1235" s="1333" t="s">
        <v>4162</v>
      </c>
      <c r="J1235" s="1333" t="s">
        <v>1058</v>
      </c>
      <c r="K1235" s="1333" t="s">
        <v>4161</v>
      </c>
      <c r="L1235" s="1333" t="s">
        <v>2480</v>
      </c>
      <c r="M1235" s="1335">
        <v>1.0</v>
      </c>
    </row>
    <row r="1236">
      <c r="A1236" s="1333"/>
      <c r="B1236" s="1333"/>
      <c r="C1236" s="1333"/>
      <c r="D1236" s="1333"/>
      <c r="E1236" s="1333"/>
      <c r="F1236" s="1333"/>
      <c r="G1236" s="1333">
        <v>2023.0</v>
      </c>
      <c r="H1236" s="1333" t="s">
        <v>1669</v>
      </c>
      <c r="I1236" s="1333" t="s">
        <v>4162</v>
      </c>
      <c r="J1236" s="1333" t="s">
        <v>1058</v>
      </c>
      <c r="K1236" s="1333" t="s">
        <v>4160</v>
      </c>
      <c r="L1236" s="1333" t="s">
        <v>2480</v>
      </c>
      <c r="M1236" s="1335">
        <v>1.0</v>
      </c>
    </row>
    <row r="1237">
      <c r="A1237" s="1333"/>
      <c r="B1237" s="1333"/>
      <c r="C1237" s="1333"/>
      <c r="D1237" s="1333"/>
      <c r="E1237" s="1333"/>
      <c r="F1237" s="1333"/>
      <c r="G1237" s="1333">
        <v>2023.0</v>
      </c>
      <c r="H1237" s="1333" t="s">
        <v>1669</v>
      </c>
      <c r="I1237" s="1333" t="s">
        <v>4162</v>
      </c>
      <c r="J1237" s="1333" t="s">
        <v>4161</v>
      </c>
      <c r="K1237" s="1333" t="s">
        <v>4167</v>
      </c>
      <c r="L1237" s="1333" t="s">
        <v>2480</v>
      </c>
      <c r="M1237" s="1335">
        <v>1.0</v>
      </c>
    </row>
    <row r="1238">
      <c r="A1238" s="1333"/>
      <c r="B1238" s="1333"/>
      <c r="C1238" s="1333"/>
      <c r="D1238" s="1333"/>
      <c r="E1238" s="1333"/>
      <c r="F1238" s="1333"/>
      <c r="G1238" s="1333">
        <v>2023.0</v>
      </c>
      <c r="H1238" s="1333" t="s">
        <v>1669</v>
      </c>
      <c r="I1238" s="1333" t="s">
        <v>4162</v>
      </c>
      <c r="J1238" s="1333" t="s">
        <v>4161</v>
      </c>
      <c r="K1238" s="1333" t="s">
        <v>4174</v>
      </c>
      <c r="L1238" s="1333" t="s">
        <v>2480</v>
      </c>
      <c r="M1238" s="1335">
        <v>1.0</v>
      </c>
    </row>
    <row r="1239">
      <c r="A1239" s="1333"/>
      <c r="B1239" s="1333"/>
      <c r="C1239" s="1333"/>
      <c r="D1239" s="1333"/>
      <c r="E1239" s="1333"/>
      <c r="F1239" s="1333"/>
      <c r="G1239" s="1333">
        <v>2023.0</v>
      </c>
      <c r="H1239" s="1333" t="s">
        <v>1669</v>
      </c>
      <c r="I1239" s="1333" t="s">
        <v>4162</v>
      </c>
      <c r="J1239" s="1333" t="s">
        <v>4161</v>
      </c>
      <c r="K1239" s="1333" t="s">
        <v>1055</v>
      </c>
      <c r="L1239" s="1333" t="s">
        <v>1724</v>
      </c>
      <c r="M1239" s="1335">
        <v>10.0</v>
      </c>
    </row>
    <row r="1240">
      <c r="A1240" s="1333"/>
      <c r="B1240" s="1333"/>
      <c r="C1240" s="1333"/>
      <c r="D1240" s="1333"/>
      <c r="E1240" s="1333"/>
      <c r="F1240" s="1333"/>
      <c r="G1240" s="1333">
        <v>2023.0</v>
      </c>
      <c r="H1240" s="1333" t="s">
        <v>119</v>
      </c>
      <c r="I1240" s="1333" t="s">
        <v>4173</v>
      </c>
      <c r="J1240" s="1333" t="s">
        <v>1058</v>
      </c>
      <c r="K1240" s="1333" t="s">
        <v>4163</v>
      </c>
      <c r="L1240" s="1333" t="s">
        <v>2480</v>
      </c>
      <c r="M1240" s="1335">
        <v>4.0</v>
      </c>
    </row>
    <row r="1241">
      <c r="A1241" s="1333"/>
      <c r="B1241" s="1333"/>
      <c r="C1241" s="1333"/>
      <c r="D1241" s="1333"/>
      <c r="E1241" s="1333"/>
      <c r="F1241" s="1333"/>
      <c r="G1241" s="1333">
        <v>2023.0</v>
      </c>
      <c r="H1241" s="1333" t="s">
        <v>119</v>
      </c>
      <c r="I1241" s="1333" t="s">
        <v>4173</v>
      </c>
      <c r="J1241" s="1333" t="s">
        <v>1058</v>
      </c>
      <c r="K1241" s="1333" t="s">
        <v>4156</v>
      </c>
      <c r="L1241" s="1333" t="s">
        <v>2480</v>
      </c>
      <c r="M1241" s="1335">
        <v>2.0</v>
      </c>
    </row>
    <row r="1242">
      <c r="A1242" s="1333"/>
      <c r="B1242" s="1333"/>
      <c r="C1242" s="1333"/>
      <c r="D1242" s="1333"/>
      <c r="E1242" s="1333"/>
      <c r="F1242" s="1333"/>
      <c r="G1242" s="1333">
        <v>2023.0</v>
      </c>
      <c r="H1242" s="1333" t="s">
        <v>119</v>
      </c>
      <c r="I1242" s="1333" t="s">
        <v>4173</v>
      </c>
      <c r="J1242" s="1333" t="s">
        <v>1058</v>
      </c>
      <c r="K1242" s="1333" t="s">
        <v>4166</v>
      </c>
      <c r="L1242" s="1333" t="s">
        <v>2480</v>
      </c>
      <c r="M1242" s="1335">
        <v>1.0</v>
      </c>
    </row>
    <row r="1243">
      <c r="A1243" s="1333"/>
      <c r="B1243" s="1333"/>
      <c r="C1243" s="1333"/>
      <c r="D1243" s="1333"/>
      <c r="E1243" s="1333"/>
      <c r="F1243" s="1333"/>
      <c r="G1243" s="1333">
        <v>2023.0</v>
      </c>
      <c r="H1243" s="1333" t="s">
        <v>119</v>
      </c>
      <c r="I1243" s="1333" t="s">
        <v>4173</v>
      </c>
      <c r="J1243" s="1333" t="s">
        <v>4161</v>
      </c>
      <c r="K1243" s="1333" t="s">
        <v>1055</v>
      </c>
      <c r="L1243" s="1333" t="s">
        <v>1724</v>
      </c>
      <c r="M1243" s="1335">
        <v>12.0</v>
      </c>
    </row>
    <row r="1244">
      <c r="A1244" s="1333"/>
      <c r="B1244" s="1333"/>
      <c r="C1244" s="1333"/>
      <c r="D1244" s="1333"/>
      <c r="E1244" s="1333"/>
      <c r="F1244" s="1333"/>
      <c r="G1244" s="1333">
        <v>2023.0</v>
      </c>
      <c r="H1244" s="1333" t="s">
        <v>119</v>
      </c>
      <c r="I1244" s="1333" t="s">
        <v>4173</v>
      </c>
      <c r="J1244" s="1333" t="s">
        <v>4161</v>
      </c>
      <c r="K1244" s="1333" t="s">
        <v>4161</v>
      </c>
      <c r="L1244" s="1333" t="s">
        <v>2480</v>
      </c>
      <c r="M1244" s="1335">
        <v>2.0</v>
      </c>
    </row>
    <row r="1245">
      <c r="A1245" s="1333"/>
      <c r="B1245" s="1333"/>
      <c r="C1245" s="1333"/>
      <c r="D1245" s="1333"/>
      <c r="E1245" s="1333"/>
      <c r="F1245" s="1333"/>
      <c r="G1245" s="1333">
        <v>2023.0</v>
      </c>
      <c r="H1245" s="1333" t="s">
        <v>2172</v>
      </c>
      <c r="I1245" s="1333" t="s">
        <v>4168</v>
      </c>
      <c r="J1245" s="1333" t="s">
        <v>1058</v>
      </c>
      <c r="K1245" s="1333" t="s">
        <v>4163</v>
      </c>
      <c r="L1245" s="1333" t="s">
        <v>2480</v>
      </c>
      <c r="M1245" s="1335">
        <v>2.0</v>
      </c>
    </row>
    <row r="1246">
      <c r="A1246" s="1333"/>
      <c r="B1246" s="1333"/>
      <c r="C1246" s="1333"/>
      <c r="D1246" s="1333"/>
      <c r="E1246" s="1333"/>
      <c r="F1246" s="1333"/>
      <c r="G1246" s="1333">
        <v>2023.0</v>
      </c>
      <c r="H1246" s="1333" t="s">
        <v>2172</v>
      </c>
      <c r="I1246" s="1333" t="s">
        <v>4168</v>
      </c>
      <c r="J1246" s="1333" t="s">
        <v>1058</v>
      </c>
      <c r="K1246" s="1333" t="s">
        <v>4156</v>
      </c>
      <c r="L1246" s="1333" t="s">
        <v>2480</v>
      </c>
      <c r="M1246" s="1335">
        <v>115.0</v>
      </c>
    </row>
    <row r="1247">
      <c r="A1247" s="1333"/>
      <c r="B1247" s="1333"/>
      <c r="C1247" s="1333"/>
      <c r="D1247" s="1333"/>
      <c r="E1247" s="1333"/>
      <c r="F1247" s="1333"/>
      <c r="G1247" s="1333">
        <v>2023.0</v>
      </c>
      <c r="H1247" s="1333" t="s">
        <v>2172</v>
      </c>
      <c r="I1247" s="1333" t="s">
        <v>4168</v>
      </c>
      <c r="J1247" s="1333" t="s">
        <v>1058</v>
      </c>
      <c r="K1247" s="1333" t="s">
        <v>4157</v>
      </c>
      <c r="L1247" s="1333" t="s">
        <v>1724</v>
      </c>
      <c r="M1247" s="1335">
        <v>4.0</v>
      </c>
    </row>
    <row r="1248">
      <c r="A1248" s="1333"/>
      <c r="B1248" s="1333"/>
      <c r="C1248" s="1333"/>
      <c r="D1248" s="1333"/>
      <c r="E1248" s="1333"/>
      <c r="F1248" s="1333"/>
      <c r="G1248" s="1333">
        <v>2023.0</v>
      </c>
      <c r="H1248" s="1333" t="s">
        <v>2172</v>
      </c>
      <c r="I1248" s="1333" t="s">
        <v>4168</v>
      </c>
      <c r="J1248" s="1333" t="s">
        <v>1058</v>
      </c>
      <c r="K1248" s="1333" t="s">
        <v>4158</v>
      </c>
      <c r="L1248" s="1333" t="s">
        <v>2480</v>
      </c>
      <c r="M1248" s="1335">
        <v>4.0</v>
      </c>
    </row>
    <row r="1249">
      <c r="A1249" s="1333"/>
      <c r="B1249" s="1333"/>
      <c r="C1249" s="1333"/>
      <c r="D1249" s="1333"/>
      <c r="E1249" s="1333"/>
      <c r="F1249" s="1333"/>
      <c r="G1249" s="1333">
        <v>2023.0</v>
      </c>
      <c r="H1249" s="1333" t="s">
        <v>2172</v>
      </c>
      <c r="I1249" s="1333" t="s">
        <v>4168</v>
      </c>
      <c r="J1249" s="1333" t="s">
        <v>1058</v>
      </c>
      <c r="K1249" s="1333" t="s">
        <v>4159</v>
      </c>
      <c r="L1249" s="1333" t="s">
        <v>1724</v>
      </c>
      <c r="M1249" s="1335">
        <v>1.0</v>
      </c>
    </row>
    <row r="1250">
      <c r="A1250" s="1333"/>
      <c r="B1250" s="1333"/>
      <c r="C1250" s="1333"/>
      <c r="D1250" s="1333"/>
      <c r="E1250" s="1333"/>
      <c r="F1250" s="1333"/>
      <c r="G1250" s="1333">
        <v>2023.0</v>
      </c>
      <c r="H1250" s="1333" t="s">
        <v>2172</v>
      </c>
      <c r="I1250" s="1333" t="s">
        <v>4168</v>
      </c>
      <c r="J1250" s="1333" t="s">
        <v>1058</v>
      </c>
      <c r="K1250" s="1333" t="s">
        <v>4165</v>
      </c>
      <c r="L1250" s="1333" t="s">
        <v>2480</v>
      </c>
      <c r="M1250" s="1335">
        <v>3.0</v>
      </c>
    </row>
    <row r="1251">
      <c r="A1251" s="1333"/>
      <c r="B1251" s="1333"/>
      <c r="C1251" s="1333"/>
      <c r="D1251" s="1333"/>
      <c r="E1251" s="1333"/>
      <c r="F1251" s="1333"/>
      <c r="G1251" s="1333">
        <v>2023.0</v>
      </c>
      <c r="H1251" s="1333" t="s">
        <v>2172</v>
      </c>
      <c r="I1251" s="1333" t="s">
        <v>4168</v>
      </c>
      <c r="J1251" s="1333" t="s">
        <v>1058</v>
      </c>
      <c r="K1251" s="1333" t="s">
        <v>4166</v>
      </c>
      <c r="L1251" s="1333" t="s">
        <v>2480</v>
      </c>
      <c r="M1251" s="1335">
        <v>3.0</v>
      </c>
    </row>
    <row r="1252">
      <c r="A1252" s="1333"/>
      <c r="B1252" s="1333"/>
      <c r="C1252" s="1333"/>
      <c r="D1252" s="1333"/>
      <c r="E1252" s="1333"/>
      <c r="F1252" s="1333"/>
      <c r="G1252" s="1333">
        <v>2023.0</v>
      </c>
      <c r="H1252" s="1333" t="s">
        <v>2172</v>
      </c>
      <c r="I1252" s="1333" t="s">
        <v>4168</v>
      </c>
      <c r="J1252" s="1333" t="s">
        <v>1058</v>
      </c>
      <c r="K1252" s="1333" t="s">
        <v>4161</v>
      </c>
      <c r="L1252" s="1333" t="s">
        <v>2480</v>
      </c>
      <c r="M1252" s="1335">
        <v>4.0</v>
      </c>
    </row>
    <row r="1253">
      <c r="A1253" s="1333"/>
      <c r="B1253" s="1333"/>
      <c r="C1253" s="1333"/>
      <c r="D1253" s="1333"/>
      <c r="E1253" s="1333"/>
      <c r="F1253" s="1333"/>
      <c r="G1253" s="1333">
        <v>2023.0</v>
      </c>
      <c r="H1253" s="1333" t="s">
        <v>2172</v>
      </c>
      <c r="I1253" s="1333" t="s">
        <v>4168</v>
      </c>
      <c r="J1253" s="1333" t="s">
        <v>1058</v>
      </c>
      <c r="K1253" s="1333" t="s">
        <v>4160</v>
      </c>
      <c r="L1253" s="1333" t="s">
        <v>2480</v>
      </c>
      <c r="M1253" s="1335">
        <v>6.0</v>
      </c>
    </row>
    <row r="1254">
      <c r="A1254" s="1333"/>
      <c r="B1254" s="1333"/>
      <c r="C1254" s="1333"/>
      <c r="D1254" s="1333"/>
      <c r="E1254" s="1333"/>
      <c r="F1254" s="1333"/>
      <c r="G1254" s="1333">
        <v>2023.0</v>
      </c>
      <c r="H1254" s="1333" t="s">
        <v>2172</v>
      </c>
      <c r="I1254" s="1333" t="s">
        <v>4168</v>
      </c>
      <c r="J1254" s="1333" t="s">
        <v>4161</v>
      </c>
      <c r="K1254" s="1333" t="s">
        <v>4167</v>
      </c>
      <c r="L1254" s="1333" t="s">
        <v>2480</v>
      </c>
      <c r="M1254" s="1335">
        <v>2.0</v>
      </c>
    </row>
    <row r="1255">
      <c r="A1255" s="1333"/>
      <c r="B1255" s="1333"/>
      <c r="C1255" s="1333"/>
      <c r="D1255" s="1333"/>
      <c r="E1255" s="1333"/>
      <c r="F1255" s="1333"/>
      <c r="G1255" s="1333">
        <v>2023.0</v>
      </c>
      <c r="H1255" s="1333" t="s">
        <v>2172</v>
      </c>
      <c r="I1255" s="1333" t="s">
        <v>4168</v>
      </c>
      <c r="J1255" s="1333" t="s">
        <v>4161</v>
      </c>
      <c r="K1255" s="1333" t="s">
        <v>1055</v>
      </c>
      <c r="L1255" s="1333" t="s">
        <v>1724</v>
      </c>
      <c r="M1255" s="1335">
        <v>67.0</v>
      </c>
    </row>
    <row r="1256">
      <c r="A1256" s="1333"/>
      <c r="B1256" s="1333"/>
      <c r="C1256" s="1333"/>
      <c r="D1256" s="1333"/>
      <c r="E1256" s="1333"/>
      <c r="F1256" s="1333"/>
      <c r="G1256" s="1333">
        <v>2023.0</v>
      </c>
      <c r="H1256" s="1333" t="s">
        <v>2172</v>
      </c>
      <c r="I1256" s="1333" t="s">
        <v>4168</v>
      </c>
      <c r="J1256" s="1333" t="s">
        <v>4161</v>
      </c>
      <c r="K1256" s="1333" t="s">
        <v>4161</v>
      </c>
      <c r="L1256" s="1333" t="s">
        <v>2480</v>
      </c>
      <c r="M1256" s="1335">
        <v>7.0</v>
      </c>
    </row>
    <row r="1257">
      <c r="A1257" s="1333"/>
      <c r="B1257" s="1333"/>
      <c r="C1257" s="1333"/>
      <c r="D1257" s="1333"/>
      <c r="E1257" s="1333"/>
      <c r="F1257" s="1333"/>
      <c r="G1257" s="1333">
        <v>2023.0</v>
      </c>
      <c r="H1257" s="1333" t="s">
        <v>2173</v>
      </c>
      <c r="I1257" s="1333" t="s">
        <v>4172</v>
      </c>
      <c r="J1257" s="1333" t="s">
        <v>1058</v>
      </c>
      <c r="K1257" s="1333" t="s">
        <v>4156</v>
      </c>
      <c r="L1257" s="1333" t="s">
        <v>2480</v>
      </c>
      <c r="M1257" s="1335">
        <v>19.0</v>
      </c>
    </row>
    <row r="1258">
      <c r="A1258" s="1333"/>
      <c r="B1258" s="1333"/>
      <c r="C1258" s="1333"/>
      <c r="D1258" s="1333"/>
      <c r="E1258" s="1333"/>
      <c r="F1258" s="1333"/>
      <c r="G1258" s="1333">
        <v>2023.0</v>
      </c>
      <c r="H1258" s="1333" t="s">
        <v>2173</v>
      </c>
      <c r="I1258" s="1333" t="s">
        <v>4172</v>
      </c>
      <c r="J1258" s="1333" t="s">
        <v>1058</v>
      </c>
      <c r="K1258" s="1333" t="s">
        <v>4157</v>
      </c>
      <c r="L1258" s="1333" t="s">
        <v>1724</v>
      </c>
      <c r="M1258" s="1335">
        <v>14.0</v>
      </c>
    </row>
    <row r="1259">
      <c r="A1259" s="1333"/>
      <c r="B1259" s="1333"/>
      <c r="C1259" s="1333"/>
      <c r="D1259" s="1333"/>
      <c r="E1259" s="1333"/>
      <c r="F1259" s="1333"/>
      <c r="G1259" s="1333">
        <v>2023.0</v>
      </c>
      <c r="H1259" s="1333" t="s">
        <v>2173</v>
      </c>
      <c r="I1259" s="1333" t="s">
        <v>4172</v>
      </c>
      <c r="J1259" s="1333" t="s">
        <v>1058</v>
      </c>
      <c r="K1259" s="1333" t="s">
        <v>4161</v>
      </c>
      <c r="L1259" s="1333" t="s">
        <v>2480</v>
      </c>
      <c r="M1259" s="1335">
        <v>1.0</v>
      </c>
    </row>
    <row r="1260">
      <c r="A1260" s="1333"/>
      <c r="B1260" s="1333"/>
      <c r="C1260" s="1333"/>
      <c r="D1260" s="1333"/>
      <c r="E1260" s="1333"/>
      <c r="F1260" s="1333"/>
      <c r="G1260" s="1333">
        <v>2023.0</v>
      </c>
      <c r="H1260" s="1333" t="s">
        <v>2173</v>
      </c>
      <c r="I1260" s="1333" t="s">
        <v>4172</v>
      </c>
      <c r="J1260" s="1333" t="s">
        <v>4161</v>
      </c>
      <c r="K1260" s="1333" t="s">
        <v>1055</v>
      </c>
      <c r="L1260" s="1333" t="s">
        <v>1724</v>
      </c>
      <c r="M1260" s="1335">
        <v>7.0</v>
      </c>
    </row>
    <row r="1261">
      <c r="A1261" s="1333"/>
      <c r="B1261" s="1333"/>
      <c r="C1261" s="1333"/>
      <c r="D1261" s="1333"/>
      <c r="E1261" s="1333"/>
      <c r="F1261" s="1333"/>
      <c r="G1261" s="1333">
        <v>2023.0</v>
      </c>
      <c r="H1261" s="1333" t="s">
        <v>649</v>
      </c>
      <c r="I1261" s="1333" t="s">
        <v>4170</v>
      </c>
      <c r="J1261" s="1333" t="s">
        <v>1058</v>
      </c>
      <c r="K1261" s="1333" t="s">
        <v>4156</v>
      </c>
      <c r="L1261" s="1333" t="s">
        <v>2480</v>
      </c>
      <c r="M1261" s="1335">
        <v>1.0</v>
      </c>
    </row>
    <row r="1262">
      <c r="A1262" s="1333"/>
      <c r="B1262" s="1333"/>
      <c r="C1262" s="1333"/>
      <c r="D1262" s="1333"/>
      <c r="E1262" s="1333"/>
      <c r="F1262" s="1333"/>
      <c r="G1262" s="1333">
        <v>2023.0</v>
      </c>
      <c r="H1262" s="1333" t="s">
        <v>649</v>
      </c>
      <c r="I1262" s="1333" t="s">
        <v>4170</v>
      </c>
      <c r="J1262" s="1333" t="s">
        <v>1058</v>
      </c>
      <c r="K1262" s="1333" t="s">
        <v>4160</v>
      </c>
      <c r="L1262" s="1333" t="s">
        <v>2480</v>
      </c>
      <c r="M1262" s="1335">
        <v>1.0</v>
      </c>
    </row>
    <row r="1263">
      <c r="A1263" s="1333"/>
      <c r="B1263" s="1333"/>
      <c r="C1263" s="1333"/>
      <c r="D1263" s="1333"/>
      <c r="E1263" s="1333"/>
      <c r="F1263" s="1333"/>
      <c r="G1263" s="1333">
        <v>2023.0</v>
      </c>
      <c r="H1263" s="1333" t="s">
        <v>649</v>
      </c>
      <c r="I1263" s="1333" t="s">
        <v>4170</v>
      </c>
      <c r="J1263" s="1333" t="s">
        <v>4161</v>
      </c>
      <c r="K1263" s="1333" t="s">
        <v>1055</v>
      </c>
      <c r="L1263" s="1333" t="s">
        <v>1724</v>
      </c>
      <c r="M1263" s="1335">
        <v>4.0</v>
      </c>
    </row>
    <row r="1264">
      <c r="A1264" s="1333"/>
      <c r="B1264" s="1333"/>
      <c r="C1264" s="1333"/>
      <c r="D1264" s="1333"/>
      <c r="E1264" s="1333"/>
      <c r="F1264" s="1333"/>
      <c r="G1264" s="1333">
        <v>2023.0</v>
      </c>
      <c r="H1264" s="1333" t="s">
        <v>1020</v>
      </c>
      <c r="I1264" s="1333" t="s">
        <v>4169</v>
      </c>
      <c r="J1264" s="1333" t="s">
        <v>1058</v>
      </c>
      <c r="K1264" s="1333" t="s">
        <v>4163</v>
      </c>
      <c r="L1264" s="1333" t="s">
        <v>2480</v>
      </c>
      <c r="M1264" s="1335">
        <v>10.0</v>
      </c>
    </row>
    <row r="1265">
      <c r="A1265" s="1333"/>
      <c r="B1265" s="1333"/>
      <c r="C1265" s="1333"/>
      <c r="D1265" s="1333"/>
      <c r="E1265" s="1333"/>
      <c r="F1265" s="1333"/>
      <c r="G1265" s="1333">
        <v>2023.0</v>
      </c>
      <c r="H1265" s="1333" t="s">
        <v>1020</v>
      </c>
      <c r="I1265" s="1333" t="s">
        <v>4169</v>
      </c>
      <c r="J1265" s="1333" t="s">
        <v>1058</v>
      </c>
      <c r="K1265" s="1333" t="s">
        <v>4156</v>
      </c>
      <c r="L1265" s="1333" t="s">
        <v>2480</v>
      </c>
      <c r="M1265" s="1335">
        <v>81.0</v>
      </c>
    </row>
    <row r="1266">
      <c r="A1266" s="1333"/>
      <c r="B1266" s="1333"/>
      <c r="C1266" s="1333"/>
      <c r="D1266" s="1333"/>
      <c r="E1266" s="1333"/>
      <c r="F1266" s="1333"/>
      <c r="G1266" s="1333">
        <v>2023.0</v>
      </c>
      <c r="H1266" s="1333" t="s">
        <v>1020</v>
      </c>
      <c r="I1266" s="1333" t="s">
        <v>4169</v>
      </c>
      <c r="J1266" s="1333" t="s">
        <v>1058</v>
      </c>
      <c r="K1266" s="1333" t="s">
        <v>4157</v>
      </c>
      <c r="L1266" s="1333" t="s">
        <v>1724</v>
      </c>
      <c r="M1266" s="1335">
        <v>4.0</v>
      </c>
    </row>
    <row r="1267">
      <c r="A1267" s="1333"/>
      <c r="B1267" s="1333"/>
      <c r="C1267" s="1333"/>
      <c r="D1267" s="1333"/>
      <c r="E1267" s="1333"/>
      <c r="F1267" s="1333"/>
      <c r="G1267" s="1333">
        <v>2023.0</v>
      </c>
      <c r="H1267" s="1333" t="s">
        <v>1020</v>
      </c>
      <c r="I1267" s="1333" t="s">
        <v>4169</v>
      </c>
      <c r="J1267" s="1333" t="s">
        <v>1058</v>
      </c>
      <c r="K1267" s="1333" t="s">
        <v>4158</v>
      </c>
      <c r="L1267" s="1333" t="s">
        <v>2480</v>
      </c>
      <c r="M1267" s="1335">
        <v>2.0</v>
      </c>
    </row>
    <row r="1268">
      <c r="A1268" s="1333"/>
      <c r="B1268" s="1333"/>
      <c r="C1268" s="1333"/>
      <c r="D1268" s="1333"/>
      <c r="E1268" s="1333"/>
      <c r="F1268" s="1333"/>
      <c r="G1268" s="1333">
        <v>2023.0</v>
      </c>
      <c r="H1268" s="1333" t="s">
        <v>1020</v>
      </c>
      <c r="I1268" s="1333" t="s">
        <v>4169</v>
      </c>
      <c r="J1268" s="1333" t="s">
        <v>1058</v>
      </c>
      <c r="K1268" s="1333" t="s">
        <v>4159</v>
      </c>
      <c r="L1268" s="1333" t="s">
        <v>1724</v>
      </c>
      <c r="M1268" s="1335">
        <v>2.0</v>
      </c>
    </row>
    <row r="1269">
      <c r="A1269" s="1333"/>
      <c r="B1269" s="1333"/>
      <c r="C1269" s="1333"/>
      <c r="D1269" s="1333"/>
      <c r="E1269" s="1333"/>
      <c r="F1269" s="1333"/>
      <c r="G1269" s="1333">
        <v>2023.0</v>
      </c>
      <c r="H1269" s="1333" t="s">
        <v>1020</v>
      </c>
      <c r="I1269" s="1333" t="s">
        <v>4169</v>
      </c>
      <c r="J1269" s="1333" t="s">
        <v>1058</v>
      </c>
      <c r="K1269" s="1333" t="s">
        <v>4165</v>
      </c>
      <c r="L1269" s="1333" t="s">
        <v>2480</v>
      </c>
      <c r="M1269" s="1335">
        <v>2.0</v>
      </c>
    </row>
    <row r="1270">
      <c r="A1270" s="1333"/>
      <c r="B1270" s="1333"/>
      <c r="C1270" s="1333"/>
      <c r="D1270" s="1333"/>
      <c r="E1270" s="1333"/>
      <c r="F1270" s="1333"/>
      <c r="G1270" s="1333">
        <v>2023.0</v>
      </c>
      <c r="H1270" s="1333" t="s">
        <v>1020</v>
      </c>
      <c r="I1270" s="1333" t="s">
        <v>4169</v>
      </c>
      <c r="J1270" s="1333" t="s">
        <v>1058</v>
      </c>
      <c r="K1270" s="1333" t="s">
        <v>4166</v>
      </c>
      <c r="L1270" s="1333" t="s">
        <v>2480</v>
      </c>
      <c r="M1270" s="1335">
        <v>6.0</v>
      </c>
    </row>
    <row r="1271">
      <c r="A1271" s="1333"/>
      <c r="B1271" s="1333"/>
      <c r="C1271" s="1333"/>
      <c r="D1271" s="1333"/>
      <c r="E1271" s="1333"/>
      <c r="F1271" s="1333"/>
      <c r="G1271" s="1333">
        <v>2023.0</v>
      </c>
      <c r="H1271" s="1333" t="s">
        <v>1020</v>
      </c>
      <c r="I1271" s="1333" t="s">
        <v>4169</v>
      </c>
      <c r="J1271" s="1333" t="s">
        <v>1058</v>
      </c>
      <c r="K1271" s="1333" t="s">
        <v>4161</v>
      </c>
      <c r="L1271" s="1333" t="s">
        <v>2480</v>
      </c>
      <c r="M1271" s="1335">
        <v>5.0</v>
      </c>
    </row>
    <row r="1272">
      <c r="A1272" s="1333"/>
      <c r="B1272" s="1333"/>
      <c r="C1272" s="1333"/>
      <c r="D1272" s="1333"/>
      <c r="E1272" s="1333"/>
      <c r="F1272" s="1333"/>
      <c r="G1272" s="1333">
        <v>2023.0</v>
      </c>
      <c r="H1272" s="1333" t="s">
        <v>1020</v>
      </c>
      <c r="I1272" s="1333" t="s">
        <v>4169</v>
      </c>
      <c r="J1272" s="1333" t="s">
        <v>1058</v>
      </c>
      <c r="K1272" s="1333" t="s">
        <v>4160</v>
      </c>
      <c r="L1272" s="1333" t="s">
        <v>2480</v>
      </c>
      <c r="M1272" s="1335">
        <v>15.0</v>
      </c>
    </row>
    <row r="1273">
      <c r="A1273" s="1333"/>
      <c r="B1273" s="1333"/>
      <c r="C1273" s="1333"/>
      <c r="D1273" s="1333"/>
      <c r="E1273" s="1333"/>
      <c r="F1273" s="1333"/>
      <c r="G1273" s="1333">
        <v>2023.0</v>
      </c>
      <c r="H1273" s="1333" t="s">
        <v>1020</v>
      </c>
      <c r="I1273" s="1333" t="s">
        <v>4169</v>
      </c>
      <c r="J1273" s="1333" t="s">
        <v>4161</v>
      </c>
      <c r="K1273" s="1333" t="s">
        <v>4167</v>
      </c>
      <c r="L1273" s="1333" t="s">
        <v>2480</v>
      </c>
      <c r="M1273" s="1335">
        <v>5.0</v>
      </c>
    </row>
    <row r="1274">
      <c r="A1274" s="1333"/>
      <c r="B1274" s="1333"/>
      <c r="C1274" s="1333"/>
      <c r="D1274" s="1333"/>
      <c r="E1274" s="1333"/>
      <c r="F1274" s="1333"/>
      <c r="G1274" s="1333">
        <v>2023.0</v>
      </c>
      <c r="H1274" s="1333" t="s">
        <v>1020</v>
      </c>
      <c r="I1274" s="1333" t="s">
        <v>4169</v>
      </c>
      <c r="J1274" s="1333" t="s">
        <v>4161</v>
      </c>
      <c r="K1274" s="1333" t="s">
        <v>1055</v>
      </c>
      <c r="L1274" s="1333" t="s">
        <v>1724</v>
      </c>
      <c r="M1274" s="1335">
        <v>59.0</v>
      </c>
    </row>
    <row r="1275">
      <c r="A1275" s="1333"/>
      <c r="B1275" s="1333"/>
      <c r="C1275" s="1333"/>
      <c r="D1275" s="1333"/>
      <c r="E1275" s="1333"/>
      <c r="F1275" s="1333"/>
      <c r="G1275" s="1333">
        <v>2023.0</v>
      </c>
      <c r="H1275" s="1333" t="s">
        <v>1020</v>
      </c>
      <c r="I1275" s="1333" t="s">
        <v>4169</v>
      </c>
      <c r="J1275" s="1333" t="s">
        <v>4161</v>
      </c>
      <c r="K1275" s="1333" t="s">
        <v>4161</v>
      </c>
      <c r="L1275" s="1333" t="s">
        <v>2480</v>
      </c>
      <c r="M1275" s="1335">
        <v>2.0</v>
      </c>
    </row>
    <row r="1276">
      <c r="A1276" s="1333"/>
      <c r="B1276" s="1333"/>
      <c r="C1276" s="1333"/>
      <c r="D1276" s="1333"/>
      <c r="E1276" s="1333"/>
      <c r="F1276" s="1333"/>
      <c r="G1276" s="1333">
        <v>2023.0</v>
      </c>
      <c r="H1276" s="1333" t="s">
        <v>2174</v>
      </c>
      <c r="I1276" s="1333" t="s">
        <v>4169</v>
      </c>
      <c r="J1276" s="1333" t="s">
        <v>1058</v>
      </c>
      <c r="K1276" s="1333" t="s">
        <v>4163</v>
      </c>
      <c r="L1276" s="1333" t="s">
        <v>2480</v>
      </c>
      <c r="M1276" s="1335">
        <v>6.0</v>
      </c>
    </row>
    <row r="1277">
      <c r="A1277" s="1333"/>
      <c r="B1277" s="1333"/>
      <c r="C1277" s="1333"/>
      <c r="D1277" s="1333"/>
      <c r="E1277" s="1333"/>
      <c r="F1277" s="1333"/>
      <c r="G1277" s="1333">
        <v>2023.0</v>
      </c>
      <c r="H1277" s="1333" t="s">
        <v>2174</v>
      </c>
      <c r="I1277" s="1333" t="s">
        <v>4169</v>
      </c>
      <c r="J1277" s="1333" t="s">
        <v>1058</v>
      </c>
      <c r="K1277" s="1333" t="s">
        <v>4156</v>
      </c>
      <c r="L1277" s="1333" t="s">
        <v>2480</v>
      </c>
      <c r="M1277" s="1335">
        <v>11.0</v>
      </c>
    </row>
    <row r="1278">
      <c r="A1278" s="1333"/>
      <c r="B1278" s="1333"/>
      <c r="C1278" s="1333"/>
      <c r="D1278" s="1333"/>
      <c r="E1278" s="1333"/>
      <c r="F1278" s="1333"/>
      <c r="G1278" s="1333">
        <v>2023.0</v>
      </c>
      <c r="H1278" s="1333" t="s">
        <v>2174</v>
      </c>
      <c r="I1278" s="1333" t="s">
        <v>4169</v>
      </c>
      <c r="J1278" s="1333" t="s">
        <v>1058</v>
      </c>
      <c r="K1278" s="1333" t="s">
        <v>4165</v>
      </c>
      <c r="L1278" s="1333" t="s">
        <v>2480</v>
      </c>
      <c r="M1278" s="1335">
        <v>1.0</v>
      </c>
    </row>
    <row r="1279">
      <c r="A1279" s="1333"/>
      <c r="B1279" s="1333"/>
      <c r="C1279" s="1333"/>
      <c r="D1279" s="1333"/>
      <c r="E1279" s="1333"/>
      <c r="F1279" s="1333"/>
      <c r="G1279" s="1333">
        <v>2023.0</v>
      </c>
      <c r="H1279" s="1333" t="s">
        <v>2174</v>
      </c>
      <c r="I1279" s="1333" t="s">
        <v>4169</v>
      </c>
      <c r="J1279" s="1333" t="s">
        <v>1058</v>
      </c>
      <c r="K1279" s="1333" t="s">
        <v>4166</v>
      </c>
      <c r="L1279" s="1333" t="s">
        <v>2480</v>
      </c>
      <c r="M1279" s="1335">
        <v>1.0</v>
      </c>
    </row>
    <row r="1280">
      <c r="A1280" s="1333"/>
      <c r="B1280" s="1333"/>
      <c r="C1280" s="1333"/>
      <c r="D1280" s="1333"/>
      <c r="E1280" s="1333"/>
      <c r="F1280" s="1333"/>
      <c r="G1280" s="1333">
        <v>2023.0</v>
      </c>
      <c r="H1280" s="1333" t="s">
        <v>2174</v>
      </c>
      <c r="I1280" s="1333" t="s">
        <v>4169</v>
      </c>
      <c r="J1280" s="1333" t="s">
        <v>4161</v>
      </c>
      <c r="K1280" s="1333" t="s">
        <v>1055</v>
      </c>
      <c r="L1280" s="1333" t="s">
        <v>1724</v>
      </c>
      <c r="M1280" s="1335">
        <v>7.0</v>
      </c>
    </row>
    <row r="1281">
      <c r="A1281" s="1333"/>
      <c r="B1281" s="1333"/>
      <c r="C1281" s="1333"/>
      <c r="D1281" s="1333"/>
      <c r="E1281" s="1333"/>
      <c r="F1281" s="1333"/>
      <c r="G1281" s="1333">
        <v>2023.0</v>
      </c>
      <c r="H1281" s="1333" t="s">
        <v>2176</v>
      </c>
      <c r="I1281" s="1333" t="s">
        <v>4168</v>
      </c>
      <c r="J1281" s="1333" t="s">
        <v>1058</v>
      </c>
      <c r="K1281" s="1333" t="s">
        <v>4156</v>
      </c>
      <c r="L1281" s="1333" t="s">
        <v>2480</v>
      </c>
      <c r="M1281" s="1335">
        <v>9.0</v>
      </c>
    </row>
    <row r="1282">
      <c r="A1282" s="1333"/>
      <c r="B1282" s="1333"/>
      <c r="C1282" s="1333"/>
      <c r="D1282" s="1333"/>
      <c r="E1282" s="1333"/>
      <c r="F1282" s="1333"/>
      <c r="G1282" s="1333">
        <v>2023.0</v>
      </c>
      <c r="H1282" s="1333" t="s">
        <v>2176</v>
      </c>
      <c r="I1282" s="1333" t="s">
        <v>4168</v>
      </c>
      <c r="J1282" s="1333" t="s">
        <v>1058</v>
      </c>
      <c r="K1282" s="1333" t="s">
        <v>4165</v>
      </c>
      <c r="L1282" s="1333" t="s">
        <v>2480</v>
      </c>
      <c r="M1282" s="1335">
        <v>4.0</v>
      </c>
    </row>
    <row r="1283">
      <c r="A1283" s="1333"/>
      <c r="B1283" s="1333"/>
      <c r="C1283" s="1333"/>
      <c r="D1283" s="1333"/>
      <c r="E1283" s="1333"/>
      <c r="F1283" s="1333"/>
      <c r="G1283" s="1333">
        <v>2023.0</v>
      </c>
      <c r="H1283" s="1333" t="s">
        <v>2176</v>
      </c>
      <c r="I1283" s="1333" t="s">
        <v>4168</v>
      </c>
      <c r="J1283" s="1333" t="s">
        <v>4161</v>
      </c>
      <c r="K1283" s="1333" t="s">
        <v>1055</v>
      </c>
      <c r="L1283" s="1333" t="s">
        <v>1724</v>
      </c>
      <c r="M1283" s="1335">
        <v>12.0</v>
      </c>
    </row>
    <row r="1284">
      <c r="A1284" s="1333"/>
      <c r="B1284" s="1333"/>
      <c r="C1284" s="1333"/>
      <c r="D1284" s="1333"/>
      <c r="E1284" s="1333"/>
      <c r="F1284" s="1333"/>
      <c r="G1284" s="1333">
        <v>2023.0</v>
      </c>
      <c r="H1284" s="1333" t="s">
        <v>627</v>
      </c>
      <c r="I1284" s="1333" t="s">
        <v>4173</v>
      </c>
      <c r="J1284" s="1333" t="s">
        <v>1058</v>
      </c>
      <c r="K1284" s="1333" t="s">
        <v>4163</v>
      </c>
      <c r="L1284" s="1333" t="s">
        <v>2480</v>
      </c>
      <c r="M1284" s="1335">
        <v>8.0</v>
      </c>
    </row>
    <row r="1285">
      <c r="A1285" s="1333"/>
      <c r="B1285" s="1333"/>
      <c r="C1285" s="1333"/>
      <c r="D1285" s="1333"/>
      <c r="E1285" s="1333"/>
      <c r="F1285" s="1333"/>
      <c r="G1285" s="1333">
        <v>2023.0</v>
      </c>
      <c r="H1285" s="1333" t="s">
        <v>627</v>
      </c>
      <c r="I1285" s="1333" t="s">
        <v>4173</v>
      </c>
      <c r="J1285" s="1333" t="s">
        <v>1058</v>
      </c>
      <c r="K1285" s="1333" t="s">
        <v>4156</v>
      </c>
      <c r="L1285" s="1333" t="s">
        <v>2480</v>
      </c>
      <c r="M1285" s="1335">
        <v>55.0</v>
      </c>
    </row>
    <row r="1286">
      <c r="A1286" s="1333"/>
      <c r="B1286" s="1333"/>
      <c r="C1286" s="1333"/>
      <c r="D1286" s="1333"/>
      <c r="E1286" s="1333"/>
      <c r="F1286" s="1333"/>
      <c r="G1286" s="1333">
        <v>2023.0</v>
      </c>
      <c r="H1286" s="1333" t="s">
        <v>627</v>
      </c>
      <c r="I1286" s="1333" t="s">
        <v>4173</v>
      </c>
      <c r="J1286" s="1333" t="s">
        <v>1058</v>
      </c>
      <c r="K1286" s="1333" t="s">
        <v>4157</v>
      </c>
      <c r="L1286" s="1333" t="s">
        <v>1724</v>
      </c>
      <c r="M1286" s="1335">
        <v>8.0</v>
      </c>
    </row>
    <row r="1287">
      <c r="A1287" s="1333"/>
      <c r="B1287" s="1333"/>
      <c r="C1287" s="1333"/>
      <c r="D1287" s="1333"/>
      <c r="E1287" s="1333"/>
      <c r="F1287" s="1333"/>
      <c r="G1287" s="1333">
        <v>2023.0</v>
      </c>
      <c r="H1287" s="1333" t="s">
        <v>627</v>
      </c>
      <c r="I1287" s="1333" t="s">
        <v>4173</v>
      </c>
      <c r="J1287" s="1333" t="s">
        <v>1058</v>
      </c>
      <c r="K1287" s="1333" t="s">
        <v>4158</v>
      </c>
      <c r="L1287" s="1333" t="s">
        <v>2480</v>
      </c>
      <c r="M1287" s="1335">
        <v>4.0</v>
      </c>
    </row>
    <row r="1288">
      <c r="A1288" s="1333"/>
      <c r="B1288" s="1333"/>
      <c r="C1288" s="1333"/>
      <c r="D1288" s="1333"/>
      <c r="E1288" s="1333"/>
      <c r="F1288" s="1333"/>
      <c r="G1288" s="1333">
        <v>2023.0</v>
      </c>
      <c r="H1288" s="1333" t="s">
        <v>627</v>
      </c>
      <c r="I1288" s="1333" t="s">
        <v>4173</v>
      </c>
      <c r="J1288" s="1333" t="s">
        <v>1058</v>
      </c>
      <c r="K1288" s="1333" t="s">
        <v>4165</v>
      </c>
      <c r="L1288" s="1333" t="s">
        <v>2480</v>
      </c>
      <c r="M1288" s="1335">
        <v>3.0</v>
      </c>
    </row>
    <row r="1289">
      <c r="A1289" s="1333"/>
      <c r="B1289" s="1333"/>
      <c r="C1289" s="1333"/>
      <c r="D1289" s="1333"/>
      <c r="E1289" s="1333"/>
      <c r="F1289" s="1333"/>
      <c r="G1289" s="1333">
        <v>2023.0</v>
      </c>
      <c r="H1289" s="1333" t="s">
        <v>627</v>
      </c>
      <c r="I1289" s="1333" t="s">
        <v>4173</v>
      </c>
      <c r="J1289" s="1333" t="s">
        <v>1058</v>
      </c>
      <c r="K1289" s="1333" t="s">
        <v>4166</v>
      </c>
      <c r="L1289" s="1333" t="s">
        <v>2480</v>
      </c>
      <c r="M1289" s="1335">
        <v>6.0</v>
      </c>
    </row>
    <row r="1290">
      <c r="A1290" s="1333"/>
      <c r="B1290" s="1333"/>
      <c r="C1290" s="1333"/>
      <c r="D1290" s="1333"/>
      <c r="E1290" s="1333"/>
      <c r="F1290" s="1333"/>
      <c r="G1290" s="1333">
        <v>2023.0</v>
      </c>
      <c r="H1290" s="1333" t="s">
        <v>627</v>
      </c>
      <c r="I1290" s="1333" t="s">
        <v>4173</v>
      </c>
      <c r="J1290" s="1333" t="s">
        <v>1058</v>
      </c>
      <c r="K1290" s="1333" t="s">
        <v>4161</v>
      </c>
      <c r="L1290" s="1333" t="s">
        <v>2480</v>
      </c>
      <c r="M1290" s="1335">
        <v>2.0</v>
      </c>
    </row>
    <row r="1291">
      <c r="A1291" s="1333"/>
      <c r="B1291" s="1333"/>
      <c r="C1291" s="1333"/>
      <c r="D1291" s="1333"/>
      <c r="E1291" s="1333"/>
      <c r="F1291" s="1333"/>
      <c r="G1291" s="1333">
        <v>2023.0</v>
      </c>
      <c r="H1291" s="1333" t="s">
        <v>627</v>
      </c>
      <c r="I1291" s="1333" t="s">
        <v>4173</v>
      </c>
      <c r="J1291" s="1333" t="s">
        <v>1058</v>
      </c>
      <c r="K1291" s="1333" t="s">
        <v>4160</v>
      </c>
      <c r="L1291" s="1333" t="s">
        <v>2480</v>
      </c>
      <c r="M1291" s="1335">
        <v>12.0</v>
      </c>
    </row>
    <row r="1292">
      <c r="A1292" s="1333"/>
      <c r="B1292" s="1333"/>
      <c r="C1292" s="1333"/>
      <c r="D1292" s="1333"/>
      <c r="E1292" s="1333"/>
      <c r="F1292" s="1333"/>
      <c r="G1292" s="1333">
        <v>2023.0</v>
      </c>
      <c r="H1292" s="1333" t="s">
        <v>627</v>
      </c>
      <c r="I1292" s="1333" t="s">
        <v>4173</v>
      </c>
      <c r="J1292" s="1333" t="s">
        <v>4161</v>
      </c>
      <c r="K1292" s="1333" t="s">
        <v>1055</v>
      </c>
      <c r="L1292" s="1333" t="s">
        <v>1724</v>
      </c>
      <c r="M1292" s="1335">
        <v>100.0</v>
      </c>
    </row>
    <row r="1293">
      <c r="A1293" s="1333"/>
      <c r="B1293" s="1333"/>
      <c r="C1293" s="1333"/>
      <c r="D1293" s="1333"/>
      <c r="E1293" s="1333"/>
      <c r="F1293" s="1333"/>
      <c r="G1293" s="1333">
        <v>2023.0</v>
      </c>
      <c r="H1293" s="1333" t="s">
        <v>627</v>
      </c>
      <c r="I1293" s="1333" t="s">
        <v>4173</v>
      </c>
      <c r="J1293" s="1333" t="s">
        <v>4161</v>
      </c>
      <c r="K1293" s="1333" t="s">
        <v>4161</v>
      </c>
      <c r="L1293" s="1333" t="s">
        <v>2480</v>
      </c>
      <c r="M1293" s="1335">
        <v>7.0</v>
      </c>
    </row>
    <row r="1294">
      <c r="A1294" s="1333"/>
      <c r="B1294" s="1333"/>
      <c r="C1294" s="1333"/>
      <c r="D1294" s="1333"/>
      <c r="E1294" s="1333"/>
      <c r="F1294" s="1333"/>
      <c r="G1294" s="1333">
        <v>2023.0</v>
      </c>
      <c r="H1294" s="1333" t="s">
        <v>1021</v>
      </c>
      <c r="I1294" s="1333" t="s">
        <v>4171</v>
      </c>
      <c r="J1294" s="1333" t="s">
        <v>1058</v>
      </c>
      <c r="K1294" s="1333" t="s">
        <v>4163</v>
      </c>
      <c r="L1294" s="1333" t="s">
        <v>2480</v>
      </c>
      <c r="M1294" s="1335">
        <v>6.0</v>
      </c>
    </row>
    <row r="1295">
      <c r="A1295" s="1333"/>
      <c r="B1295" s="1333"/>
      <c r="C1295" s="1333"/>
      <c r="D1295" s="1333"/>
      <c r="E1295" s="1333"/>
      <c r="F1295" s="1333"/>
      <c r="G1295" s="1333">
        <v>2023.0</v>
      </c>
      <c r="H1295" s="1333" t="s">
        <v>1021</v>
      </c>
      <c r="I1295" s="1333" t="s">
        <v>4171</v>
      </c>
      <c r="J1295" s="1333" t="s">
        <v>1058</v>
      </c>
      <c r="K1295" s="1333" t="s">
        <v>4156</v>
      </c>
      <c r="L1295" s="1333" t="s">
        <v>2480</v>
      </c>
      <c r="M1295" s="1335">
        <v>10.0</v>
      </c>
    </row>
    <row r="1296">
      <c r="A1296" s="1333"/>
      <c r="B1296" s="1333"/>
      <c r="C1296" s="1333"/>
      <c r="D1296" s="1333"/>
      <c r="E1296" s="1333"/>
      <c r="F1296" s="1333"/>
      <c r="G1296" s="1333">
        <v>2023.0</v>
      </c>
      <c r="H1296" s="1333" t="s">
        <v>1021</v>
      </c>
      <c r="I1296" s="1333" t="s">
        <v>4171</v>
      </c>
      <c r="J1296" s="1333" t="s">
        <v>1058</v>
      </c>
      <c r="K1296" s="1333" t="s">
        <v>4165</v>
      </c>
      <c r="L1296" s="1333" t="s">
        <v>2480</v>
      </c>
      <c r="M1296" s="1335">
        <v>2.0</v>
      </c>
    </row>
    <row r="1297">
      <c r="A1297" s="1333"/>
      <c r="B1297" s="1333"/>
      <c r="C1297" s="1333"/>
      <c r="D1297" s="1333"/>
      <c r="E1297" s="1333"/>
      <c r="F1297" s="1333"/>
      <c r="G1297" s="1333">
        <v>2023.0</v>
      </c>
      <c r="H1297" s="1333" t="s">
        <v>1021</v>
      </c>
      <c r="I1297" s="1333" t="s">
        <v>4171</v>
      </c>
      <c r="J1297" s="1333" t="s">
        <v>1058</v>
      </c>
      <c r="K1297" s="1333" t="s">
        <v>4166</v>
      </c>
      <c r="L1297" s="1333" t="s">
        <v>2480</v>
      </c>
      <c r="M1297" s="1335">
        <v>1.0</v>
      </c>
    </row>
    <row r="1298">
      <c r="A1298" s="1333"/>
      <c r="B1298" s="1333"/>
      <c r="C1298" s="1333"/>
      <c r="D1298" s="1333"/>
      <c r="E1298" s="1333"/>
      <c r="F1298" s="1333"/>
      <c r="G1298" s="1333">
        <v>2023.0</v>
      </c>
      <c r="H1298" s="1333" t="s">
        <v>1021</v>
      </c>
      <c r="I1298" s="1333" t="s">
        <v>4171</v>
      </c>
      <c r="J1298" s="1333" t="s">
        <v>1058</v>
      </c>
      <c r="K1298" s="1333" t="s">
        <v>4160</v>
      </c>
      <c r="L1298" s="1333" t="s">
        <v>2480</v>
      </c>
      <c r="M1298" s="1335">
        <v>5.0</v>
      </c>
    </row>
    <row r="1299">
      <c r="A1299" s="1333"/>
      <c r="B1299" s="1333"/>
      <c r="C1299" s="1333"/>
      <c r="D1299" s="1333"/>
      <c r="E1299" s="1333"/>
      <c r="F1299" s="1333"/>
      <c r="G1299" s="1333">
        <v>2023.0</v>
      </c>
      <c r="H1299" s="1333" t="s">
        <v>1021</v>
      </c>
      <c r="I1299" s="1333" t="s">
        <v>4171</v>
      </c>
      <c r="J1299" s="1333" t="s">
        <v>4161</v>
      </c>
      <c r="K1299" s="1333" t="s">
        <v>1055</v>
      </c>
      <c r="L1299" s="1333" t="s">
        <v>1724</v>
      </c>
      <c r="M1299" s="1335">
        <v>3.0</v>
      </c>
    </row>
    <row r="1300">
      <c r="A1300" s="1333"/>
      <c r="B1300" s="1333"/>
      <c r="C1300" s="1333"/>
      <c r="D1300" s="1333"/>
      <c r="E1300" s="1333"/>
      <c r="F1300" s="1333"/>
      <c r="G1300" s="1333">
        <v>2023.0</v>
      </c>
      <c r="H1300" s="1333" t="s">
        <v>2177</v>
      </c>
      <c r="I1300" s="1333" t="s">
        <v>4162</v>
      </c>
      <c r="J1300" s="1333" t="s">
        <v>1058</v>
      </c>
      <c r="K1300" s="1333" t="s">
        <v>4156</v>
      </c>
      <c r="L1300" s="1333" t="s">
        <v>2480</v>
      </c>
      <c r="M1300" s="1335">
        <v>1.0</v>
      </c>
    </row>
    <row r="1301">
      <c r="A1301" s="1333"/>
      <c r="B1301" s="1333"/>
      <c r="C1301" s="1333"/>
      <c r="D1301" s="1333"/>
      <c r="E1301" s="1333"/>
      <c r="F1301" s="1333"/>
      <c r="G1301" s="1333">
        <v>2023.0</v>
      </c>
      <c r="H1301" s="1333" t="s">
        <v>2177</v>
      </c>
      <c r="I1301" s="1333" t="s">
        <v>4162</v>
      </c>
      <c r="J1301" s="1333" t="s">
        <v>1058</v>
      </c>
      <c r="K1301" s="1333" t="s">
        <v>4158</v>
      </c>
      <c r="L1301" s="1333" t="s">
        <v>2480</v>
      </c>
      <c r="M1301" s="1335">
        <v>2.0</v>
      </c>
    </row>
    <row r="1302">
      <c r="A1302" s="1333"/>
      <c r="B1302" s="1333"/>
      <c r="C1302" s="1333"/>
      <c r="D1302" s="1333"/>
      <c r="E1302" s="1333"/>
      <c r="F1302" s="1333"/>
      <c r="G1302" s="1333">
        <v>2023.0</v>
      </c>
      <c r="H1302" s="1333" t="s">
        <v>2178</v>
      </c>
      <c r="I1302" s="1333" t="s">
        <v>4176</v>
      </c>
      <c r="J1302" s="1333" t="s">
        <v>1058</v>
      </c>
      <c r="K1302" s="1333" t="s">
        <v>4156</v>
      </c>
      <c r="L1302" s="1333" t="s">
        <v>2480</v>
      </c>
      <c r="M1302" s="1335">
        <v>30.0</v>
      </c>
    </row>
    <row r="1303">
      <c r="A1303" s="1333"/>
      <c r="B1303" s="1333"/>
      <c r="C1303" s="1333"/>
      <c r="D1303" s="1333"/>
      <c r="E1303" s="1333"/>
      <c r="F1303" s="1333"/>
      <c r="G1303" s="1333">
        <v>2023.0</v>
      </c>
      <c r="H1303" s="1333" t="s">
        <v>2178</v>
      </c>
      <c r="I1303" s="1333" t="s">
        <v>4176</v>
      </c>
      <c r="J1303" s="1333" t="s">
        <v>1058</v>
      </c>
      <c r="K1303" s="1333" t="s">
        <v>4157</v>
      </c>
      <c r="L1303" s="1333" t="s">
        <v>1724</v>
      </c>
      <c r="M1303" s="1335">
        <v>2.0</v>
      </c>
    </row>
    <row r="1304">
      <c r="A1304" s="1333"/>
      <c r="B1304" s="1333"/>
      <c r="C1304" s="1333"/>
      <c r="D1304" s="1333"/>
      <c r="E1304" s="1333"/>
      <c r="F1304" s="1333"/>
      <c r="G1304" s="1333">
        <v>2023.0</v>
      </c>
      <c r="H1304" s="1333" t="s">
        <v>2178</v>
      </c>
      <c r="I1304" s="1333" t="s">
        <v>4176</v>
      </c>
      <c r="J1304" s="1333" t="s">
        <v>1058</v>
      </c>
      <c r="K1304" s="1333" t="s">
        <v>4158</v>
      </c>
      <c r="L1304" s="1333" t="s">
        <v>2480</v>
      </c>
      <c r="M1304" s="1335">
        <v>2.0</v>
      </c>
    </row>
    <row r="1305">
      <c r="A1305" s="1333"/>
      <c r="B1305" s="1333"/>
      <c r="C1305" s="1333"/>
      <c r="D1305" s="1333"/>
      <c r="E1305" s="1333"/>
      <c r="F1305" s="1333"/>
      <c r="G1305" s="1333">
        <v>2023.0</v>
      </c>
      <c r="H1305" s="1333" t="s">
        <v>2178</v>
      </c>
      <c r="I1305" s="1333" t="s">
        <v>4176</v>
      </c>
      <c r="J1305" s="1333" t="s">
        <v>1058</v>
      </c>
      <c r="K1305" s="1333" t="s">
        <v>4166</v>
      </c>
      <c r="L1305" s="1333" t="s">
        <v>2480</v>
      </c>
      <c r="M1305" s="1335">
        <v>1.0</v>
      </c>
    </row>
    <row r="1306">
      <c r="A1306" s="1333"/>
      <c r="B1306" s="1333"/>
      <c r="C1306" s="1333"/>
      <c r="D1306" s="1333"/>
      <c r="E1306" s="1333"/>
      <c r="F1306" s="1333"/>
      <c r="G1306" s="1333">
        <v>2023.0</v>
      </c>
      <c r="H1306" s="1333" t="s">
        <v>2178</v>
      </c>
      <c r="I1306" s="1333" t="s">
        <v>4176</v>
      </c>
      <c r="J1306" s="1333" t="s">
        <v>1058</v>
      </c>
      <c r="K1306" s="1333" t="s">
        <v>4161</v>
      </c>
      <c r="L1306" s="1333" t="s">
        <v>2480</v>
      </c>
      <c r="M1306" s="1335">
        <v>2.0</v>
      </c>
    </row>
    <row r="1307">
      <c r="A1307" s="1333"/>
      <c r="B1307" s="1333"/>
      <c r="C1307" s="1333"/>
      <c r="D1307" s="1333"/>
      <c r="E1307" s="1333"/>
      <c r="F1307" s="1333"/>
      <c r="G1307" s="1333">
        <v>2023.0</v>
      </c>
      <c r="H1307" s="1333" t="s">
        <v>2178</v>
      </c>
      <c r="I1307" s="1333" t="s">
        <v>4176</v>
      </c>
      <c r="J1307" s="1333" t="s">
        <v>1058</v>
      </c>
      <c r="K1307" s="1333" t="s">
        <v>4160</v>
      </c>
      <c r="L1307" s="1333" t="s">
        <v>2480</v>
      </c>
      <c r="M1307" s="1335">
        <v>2.0</v>
      </c>
    </row>
    <row r="1308">
      <c r="A1308" s="1333"/>
      <c r="B1308" s="1333"/>
      <c r="C1308" s="1333"/>
      <c r="D1308" s="1333"/>
      <c r="E1308" s="1333"/>
      <c r="F1308" s="1333"/>
      <c r="G1308" s="1333">
        <v>2023.0</v>
      </c>
      <c r="H1308" s="1333" t="s">
        <v>2178</v>
      </c>
      <c r="I1308" s="1333" t="s">
        <v>4176</v>
      </c>
      <c r="J1308" s="1333" t="s">
        <v>4161</v>
      </c>
      <c r="K1308" s="1333" t="s">
        <v>4167</v>
      </c>
      <c r="L1308" s="1333" t="s">
        <v>2480</v>
      </c>
      <c r="M1308" s="1335">
        <v>1.0</v>
      </c>
    </row>
    <row r="1309">
      <c r="A1309" s="1333"/>
      <c r="B1309" s="1333"/>
      <c r="C1309" s="1333"/>
      <c r="D1309" s="1333"/>
      <c r="E1309" s="1333"/>
      <c r="F1309" s="1333"/>
      <c r="G1309" s="1333">
        <v>2023.0</v>
      </c>
      <c r="H1309" s="1333" t="s">
        <v>2178</v>
      </c>
      <c r="I1309" s="1333" t="s">
        <v>4176</v>
      </c>
      <c r="J1309" s="1333" t="s">
        <v>4161</v>
      </c>
      <c r="K1309" s="1333" t="s">
        <v>1055</v>
      </c>
      <c r="L1309" s="1333" t="s">
        <v>1724</v>
      </c>
      <c r="M1309" s="1335">
        <v>33.0</v>
      </c>
    </row>
    <row r="1310">
      <c r="A1310" s="1333"/>
      <c r="B1310" s="1333"/>
      <c r="C1310" s="1333"/>
      <c r="D1310" s="1333"/>
      <c r="E1310" s="1333"/>
      <c r="F1310" s="1333"/>
      <c r="G1310" s="1333">
        <v>2023.0</v>
      </c>
      <c r="H1310" s="1333" t="s">
        <v>2178</v>
      </c>
      <c r="I1310" s="1333" t="s">
        <v>4176</v>
      </c>
      <c r="J1310" s="1333" t="s">
        <v>4161</v>
      </c>
      <c r="K1310" s="1333" t="s">
        <v>4161</v>
      </c>
      <c r="L1310" s="1333" t="s">
        <v>2480</v>
      </c>
      <c r="M1310" s="1335">
        <v>1.0</v>
      </c>
    </row>
    <row r="1311">
      <c r="A1311" s="1333"/>
      <c r="B1311" s="1333"/>
      <c r="C1311" s="1333"/>
      <c r="D1311" s="1333"/>
      <c r="E1311" s="1333"/>
      <c r="F1311" s="1333"/>
      <c r="G1311" s="1333">
        <v>2023.0</v>
      </c>
      <c r="H1311" s="1333" t="s">
        <v>1703</v>
      </c>
      <c r="I1311" s="1333" t="s">
        <v>4155</v>
      </c>
      <c r="J1311" s="1333" t="s">
        <v>1058</v>
      </c>
      <c r="K1311" s="1333" t="s">
        <v>4163</v>
      </c>
      <c r="L1311" s="1333" t="s">
        <v>2480</v>
      </c>
      <c r="M1311" s="1335">
        <v>1.0</v>
      </c>
    </row>
    <row r="1312">
      <c r="A1312" s="1333"/>
      <c r="B1312" s="1333"/>
      <c r="C1312" s="1333"/>
      <c r="D1312" s="1333"/>
      <c r="E1312" s="1333"/>
      <c r="F1312" s="1333"/>
      <c r="G1312" s="1333">
        <v>2023.0</v>
      </c>
      <c r="H1312" s="1333" t="s">
        <v>1703</v>
      </c>
      <c r="I1312" s="1333" t="s">
        <v>4155</v>
      </c>
      <c r="J1312" s="1333" t="s">
        <v>1058</v>
      </c>
      <c r="K1312" s="1333" t="s">
        <v>4156</v>
      </c>
      <c r="L1312" s="1333" t="s">
        <v>2480</v>
      </c>
      <c r="M1312" s="1335">
        <v>20.0</v>
      </c>
    </row>
    <row r="1313">
      <c r="A1313" s="1333"/>
      <c r="B1313" s="1333"/>
      <c r="C1313" s="1333"/>
      <c r="D1313" s="1333"/>
      <c r="E1313" s="1333"/>
      <c r="F1313" s="1333"/>
      <c r="G1313" s="1333">
        <v>2023.0</v>
      </c>
      <c r="H1313" s="1333" t="s">
        <v>1703</v>
      </c>
      <c r="I1313" s="1333" t="s">
        <v>4155</v>
      </c>
      <c r="J1313" s="1333" t="s">
        <v>1058</v>
      </c>
      <c r="K1313" s="1333" t="s">
        <v>4166</v>
      </c>
      <c r="L1313" s="1333" t="s">
        <v>2480</v>
      </c>
      <c r="M1313" s="1335">
        <v>2.0</v>
      </c>
    </row>
    <row r="1314">
      <c r="A1314" s="1333"/>
      <c r="B1314" s="1333"/>
      <c r="C1314" s="1333"/>
      <c r="D1314" s="1333"/>
      <c r="E1314" s="1333"/>
      <c r="F1314" s="1333"/>
      <c r="G1314" s="1333">
        <v>2023.0</v>
      </c>
      <c r="H1314" s="1333" t="s">
        <v>1703</v>
      </c>
      <c r="I1314" s="1333" t="s">
        <v>4155</v>
      </c>
      <c r="J1314" s="1333" t="s">
        <v>4161</v>
      </c>
      <c r="K1314" s="1333" t="s">
        <v>1055</v>
      </c>
      <c r="L1314" s="1333" t="s">
        <v>1724</v>
      </c>
      <c r="M1314" s="1335">
        <v>9.0</v>
      </c>
    </row>
    <row r="1315">
      <c r="A1315" s="1333"/>
      <c r="B1315" s="1333"/>
      <c r="C1315" s="1333"/>
      <c r="D1315" s="1333"/>
      <c r="E1315" s="1333"/>
      <c r="F1315" s="1333"/>
      <c r="G1315" s="1333">
        <v>2023.0</v>
      </c>
      <c r="H1315" s="1333" t="s">
        <v>2179</v>
      </c>
      <c r="I1315" s="1333" t="s">
        <v>4170</v>
      </c>
      <c r="J1315" s="1333" t="s">
        <v>1058</v>
      </c>
      <c r="K1315" s="1333" t="s">
        <v>4163</v>
      </c>
      <c r="L1315" s="1333" t="s">
        <v>2480</v>
      </c>
      <c r="M1315" s="1335">
        <v>4.0</v>
      </c>
    </row>
    <row r="1316">
      <c r="A1316" s="1333"/>
      <c r="B1316" s="1333"/>
      <c r="C1316" s="1333"/>
      <c r="D1316" s="1333"/>
      <c r="E1316" s="1333"/>
      <c r="F1316" s="1333"/>
      <c r="G1316" s="1333">
        <v>2023.0</v>
      </c>
      <c r="H1316" s="1333" t="s">
        <v>2179</v>
      </c>
      <c r="I1316" s="1333" t="s">
        <v>4170</v>
      </c>
      <c r="J1316" s="1333" t="s">
        <v>1058</v>
      </c>
      <c r="K1316" s="1333" t="s">
        <v>4160</v>
      </c>
      <c r="L1316" s="1333" t="s">
        <v>2480</v>
      </c>
      <c r="M1316" s="1335">
        <v>1.0</v>
      </c>
    </row>
    <row r="1317">
      <c r="A1317" s="1333"/>
      <c r="B1317" s="1333"/>
      <c r="C1317" s="1333"/>
      <c r="D1317" s="1333"/>
      <c r="E1317" s="1333"/>
      <c r="F1317" s="1333"/>
      <c r="G1317" s="1333">
        <v>2023.0</v>
      </c>
      <c r="H1317" s="1333" t="s">
        <v>2179</v>
      </c>
      <c r="I1317" s="1333" t="s">
        <v>4170</v>
      </c>
      <c r="J1317" s="1333" t="s">
        <v>4161</v>
      </c>
      <c r="K1317" s="1333" t="s">
        <v>1055</v>
      </c>
      <c r="L1317" s="1333" t="s">
        <v>1724</v>
      </c>
      <c r="M1317" s="1335">
        <v>2.0</v>
      </c>
    </row>
    <row r="1318">
      <c r="A1318" s="1333"/>
      <c r="B1318" s="1333"/>
      <c r="C1318" s="1333"/>
      <c r="D1318" s="1333"/>
      <c r="E1318" s="1333"/>
      <c r="F1318" s="1333"/>
      <c r="G1318" s="1333">
        <v>2023.0</v>
      </c>
      <c r="H1318" s="1333" t="s">
        <v>2179</v>
      </c>
      <c r="I1318" s="1333" t="s">
        <v>4170</v>
      </c>
      <c r="J1318" s="1333" t="s">
        <v>4161</v>
      </c>
      <c r="K1318" s="1333" t="s">
        <v>4161</v>
      </c>
      <c r="L1318" s="1333" t="s">
        <v>2480</v>
      </c>
      <c r="M1318" s="1335">
        <v>1.0</v>
      </c>
    </row>
    <row r="1319">
      <c r="A1319" s="1333"/>
      <c r="B1319" s="1333"/>
      <c r="C1319" s="1333"/>
      <c r="D1319" s="1333"/>
      <c r="E1319" s="1333"/>
      <c r="F1319" s="1333"/>
      <c r="G1319" s="1333">
        <v>2023.0</v>
      </c>
      <c r="H1319" s="1333" t="s">
        <v>2181</v>
      </c>
      <c r="I1319" s="1333" t="s">
        <v>4169</v>
      </c>
      <c r="J1319" s="1333" t="s">
        <v>1058</v>
      </c>
      <c r="K1319" s="1333" t="s">
        <v>4156</v>
      </c>
      <c r="L1319" s="1333" t="s">
        <v>2480</v>
      </c>
      <c r="M1319" s="1335">
        <v>6.0</v>
      </c>
    </row>
    <row r="1320">
      <c r="A1320" s="1333"/>
      <c r="B1320" s="1333"/>
      <c r="C1320" s="1333"/>
      <c r="D1320" s="1333"/>
      <c r="E1320" s="1333"/>
      <c r="F1320" s="1333"/>
      <c r="G1320" s="1333">
        <v>2023.0</v>
      </c>
      <c r="H1320" s="1333" t="s">
        <v>2181</v>
      </c>
      <c r="I1320" s="1333" t="s">
        <v>4169</v>
      </c>
      <c r="J1320" s="1333" t="s">
        <v>4161</v>
      </c>
      <c r="K1320" s="1333" t="s">
        <v>4167</v>
      </c>
      <c r="L1320" s="1333" t="s">
        <v>2480</v>
      </c>
      <c r="M1320" s="1335">
        <v>1.0</v>
      </c>
    </row>
    <row r="1321">
      <c r="A1321" s="1333"/>
      <c r="B1321" s="1333"/>
      <c r="C1321" s="1333"/>
      <c r="D1321" s="1333"/>
      <c r="E1321" s="1333"/>
      <c r="F1321" s="1333"/>
      <c r="G1321" s="1333">
        <v>2023.0</v>
      </c>
      <c r="H1321" s="1333" t="s">
        <v>2181</v>
      </c>
      <c r="I1321" s="1333" t="s">
        <v>4169</v>
      </c>
      <c r="J1321" s="1333" t="s">
        <v>4161</v>
      </c>
      <c r="K1321" s="1333" t="s">
        <v>1055</v>
      </c>
      <c r="L1321" s="1333" t="s">
        <v>1724</v>
      </c>
      <c r="M1321" s="1335">
        <v>5.0</v>
      </c>
    </row>
    <row r="1322">
      <c r="A1322" s="1333"/>
      <c r="B1322" s="1333"/>
      <c r="C1322" s="1333"/>
      <c r="D1322" s="1333"/>
      <c r="E1322" s="1333"/>
      <c r="F1322" s="1333"/>
      <c r="G1322" s="1333">
        <v>2023.0</v>
      </c>
      <c r="H1322" s="1333" t="s">
        <v>2181</v>
      </c>
      <c r="I1322" s="1333" t="s">
        <v>4169</v>
      </c>
      <c r="J1322" s="1333" t="s">
        <v>4161</v>
      </c>
      <c r="K1322" s="1333" t="s">
        <v>4161</v>
      </c>
      <c r="L1322" s="1333" t="s">
        <v>2480</v>
      </c>
      <c r="M1322" s="1335">
        <v>2.0</v>
      </c>
    </row>
    <row r="1323">
      <c r="A1323" s="1333"/>
      <c r="B1323" s="1333"/>
      <c r="C1323" s="1333"/>
      <c r="D1323" s="1333"/>
      <c r="E1323" s="1333"/>
      <c r="F1323" s="1333"/>
      <c r="G1323" s="1333">
        <v>2023.0</v>
      </c>
      <c r="H1323" s="1333" t="s">
        <v>2182</v>
      </c>
      <c r="I1323" s="1333" t="s">
        <v>4168</v>
      </c>
      <c r="J1323" s="1333" t="s">
        <v>1058</v>
      </c>
      <c r="K1323" s="1333" t="s">
        <v>4156</v>
      </c>
      <c r="L1323" s="1333" t="s">
        <v>2480</v>
      </c>
      <c r="M1323" s="1335">
        <v>9.0</v>
      </c>
    </row>
    <row r="1324">
      <c r="A1324" s="1333"/>
      <c r="B1324" s="1333"/>
      <c r="C1324" s="1333"/>
      <c r="D1324" s="1333"/>
      <c r="E1324" s="1333"/>
      <c r="F1324" s="1333"/>
      <c r="G1324" s="1333">
        <v>2023.0</v>
      </c>
      <c r="H1324" s="1333" t="s">
        <v>2182</v>
      </c>
      <c r="I1324" s="1333" t="s">
        <v>4168</v>
      </c>
      <c r="J1324" s="1333" t="s">
        <v>1058</v>
      </c>
      <c r="K1324" s="1333" t="s">
        <v>4157</v>
      </c>
      <c r="L1324" s="1333" t="s">
        <v>1724</v>
      </c>
      <c r="M1324" s="1335">
        <v>1.0</v>
      </c>
    </row>
    <row r="1325">
      <c r="A1325" s="1333"/>
      <c r="B1325" s="1333"/>
      <c r="C1325" s="1333"/>
      <c r="D1325" s="1333"/>
      <c r="E1325" s="1333"/>
      <c r="F1325" s="1333"/>
      <c r="G1325" s="1333">
        <v>2023.0</v>
      </c>
      <c r="H1325" s="1333" t="s">
        <v>2182</v>
      </c>
      <c r="I1325" s="1333" t="s">
        <v>4168</v>
      </c>
      <c r="J1325" s="1333" t="s">
        <v>1058</v>
      </c>
      <c r="K1325" s="1333" t="s">
        <v>4158</v>
      </c>
      <c r="L1325" s="1333" t="s">
        <v>2480</v>
      </c>
      <c r="M1325" s="1335">
        <v>1.0</v>
      </c>
    </row>
    <row r="1326">
      <c r="A1326" s="1333"/>
      <c r="B1326" s="1333"/>
      <c r="C1326" s="1333"/>
      <c r="D1326" s="1333"/>
      <c r="E1326" s="1333"/>
      <c r="F1326" s="1333"/>
      <c r="G1326" s="1333">
        <v>2023.0</v>
      </c>
      <c r="H1326" s="1333" t="s">
        <v>2182</v>
      </c>
      <c r="I1326" s="1333" t="s">
        <v>4168</v>
      </c>
      <c r="J1326" s="1333" t="s">
        <v>1058</v>
      </c>
      <c r="K1326" s="1333" t="s">
        <v>4160</v>
      </c>
      <c r="L1326" s="1333" t="s">
        <v>2480</v>
      </c>
      <c r="M1326" s="1335">
        <v>1.0</v>
      </c>
    </row>
    <row r="1327">
      <c r="A1327" s="1333"/>
      <c r="B1327" s="1333"/>
      <c r="C1327" s="1333"/>
      <c r="D1327" s="1333"/>
      <c r="E1327" s="1333"/>
      <c r="F1327" s="1333"/>
      <c r="G1327" s="1333">
        <v>2023.0</v>
      </c>
      <c r="H1327" s="1333" t="s">
        <v>2182</v>
      </c>
      <c r="I1327" s="1333" t="s">
        <v>4168</v>
      </c>
      <c r="J1327" s="1333" t="s">
        <v>4161</v>
      </c>
      <c r="K1327" s="1333" t="s">
        <v>1055</v>
      </c>
      <c r="L1327" s="1333" t="s">
        <v>1724</v>
      </c>
      <c r="M1327" s="1335">
        <v>11.0</v>
      </c>
    </row>
    <row r="1328">
      <c r="A1328" s="1333"/>
      <c r="B1328" s="1333"/>
      <c r="C1328" s="1333"/>
      <c r="D1328" s="1333"/>
      <c r="E1328" s="1333"/>
      <c r="F1328" s="1333"/>
      <c r="G1328" s="1333">
        <v>2023.0</v>
      </c>
      <c r="H1328" s="1333" t="s">
        <v>2183</v>
      </c>
      <c r="I1328" s="1333" t="s">
        <v>4171</v>
      </c>
      <c r="J1328" s="1333" t="s">
        <v>1058</v>
      </c>
      <c r="K1328" s="1333" t="s">
        <v>4156</v>
      </c>
      <c r="L1328" s="1333" t="s">
        <v>2480</v>
      </c>
      <c r="M1328" s="1335">
        <v>1.0</v>
      </c>
    </row>
    <row r="1329">
      <c r="A1329" s="1333"/>
      <c r="B1329" s="1333"/>
      <c r="C1329" s="1333"/>
      <c r="D1329" s="1333"/>
      <c r="E1329" s="1333"/>
      <c r="F1329" s="1333"/>
      <c r="G1329" s="1333">
        <v>2023.0</v>
      </c>
      <c r="H1329" s="1333" t="s">
        <v>2183</v>
      </c>
      <c r="I1329" s="1333" t="s">
        <v>4171</v>
      </c>
      <c r="J1329" s="1333" t="s">
        <v>1058</v>
      </c>
      <c r="K1329" s="1333" t="s">
        <v>4160</v>
      </c>
      <c r="L1329" s="1333" t="s">
        <v>2480</v>
      </c>
      <c r="M1329" s="1335">
        <v>2.0</v>
      </c>
    </row>
    <row r="1330">
      <c r="A1330" s="1333"/>
      <c r="B1330" s="1333"/>
      <c r="C1330" s="1333"/>
      <c r="D1330" s="1333"/>
      <c r="E1330" s="1333"/>
      <c r="F1330" s="1333"/>
      <c r="G1330" s="1333">
        <v>2023.0</v>
      </c>
      <c r="H1330" s="1333" t="s">
        <v>2183</v>
      </c>
      <c r="I1330" s="1333" t="s">
        <v>4171</v>
      </c>
      <c r="J1330" s="1333" t="s">
        <v>4161</v>
      </c>
      <c r="K1330" s="1333" t="s">
        <v>4167</v>
      </c>
      <c r="L1330" s="1333" t="s">
        <v>2480</v>
      </c>
      <c r="M1330" s="1335">
        <v>1.0</v>
      </c>
    </row>
    <row r="1331">
      <c r="A1331" s="1333"/>
      <c r="B1331" s="1333"/>
      <c r="C1331" s="1333"/>
      <c r="D1331" s="1333"/>
      <c r="E1331" s="1333"/>
      <c r="F1331" s="1333"/>
      <c r="G1331" s="1333">
        <v>2023.0</v>
      </c>
      <c r="H1331" s="1333" t="s">
        <v>2183</v>
      </c>
      <c r="I1331" s="1333" t="s">
        <v>4171</v>
      </c>
      <c r="J1331" s="1333" t="s">
        <v>4161</v>
      </c>
      <c r="K1331" s="1333" t="s">
        <v>1055</v>
      </c>
      <c r="L1331" s="1333" t="s">
        <v>1724</v>
      </c>
      <c r="M1331" s="1335">
        <v>15.0</v>
      </c>
    </row>
    <row r="1332">
      <c r="A1332" s="1333"/>
      <c r="B1332" s="1333"/>
      <c r="C1332" s="1333"/>
      <c r="D1332" s="1333"/>
      <c r="E1332" s="1333"/>
      <c r="F1332" s="1333"/>
      <c r="G1332" s="1333">
        <v>2023.0</v>
      </c>
      <c r="H1332" s="1333" t="s">
        <v>2183</v>
      </c>
      <c r="I1332" s="1333" t="s">
        <v>4171</v>
      </c>
      <c r="J1332" s="1333" t="s">
        <v>4161</v>
      </c>
      <c r="K1332" s="1333" t="s">
        <v>4161</v>
      </c>
      <c r="L1332" s="1333" t="s">
        <v>2480</v>
      </c>
      <c r="M1332" s="1335">
        <v>1.0</v>
      </c>
    </row>
    <row r="1333">
      <c r="A1333" s="1333"/>
      <c r="B1333" s="1333"/>
      <c r="C1333" s="1333"/>
      <c r="D1333" s="1333"/>
      <c r="E1333" s="1333"/>
      <c r="F1333" s="1333"/>
      <c r="G1333" s="1333"/>
      <c r="H1333" s="1333" t="s">
        <v>2161</v>
      </c>
      <c r="I1333" s="1333" t="s">
        <v>4164</v>
      </c>
      <c r="J1333" s="1333" t="s">
        <v>1058</v>
      </c>
      <c r="K1333" s="1333" t="s">
        <v>4166</v>
      </c>
      <c r="L1333" s="1333" t="s">
        <v>2480</v>
      </c>
      <c r="M1333" s="1335">
        <v>2.0</v>
      </c>
    </row>
    <row r="1334">
      <c r="A1334" s="1333"/>
      <c r="B1334" s="1333"/>
      <c r="C1334" s="1333"/>
      <c r="D1334" s="1333"/>
      <c r="E1334" s="1333"/>
      <c r="F1334" s="1333"/>
      <c r="G1334" s="1333"/>
      <c r="H1334" s="1333" t="s">
        <v>2161</v>
      </c>
      <c r="I1334" s="1333" t="s">
        <v>4164</v>
      </c>
      <c r="J1334" s="1333" t="s">
        <v>1058</v>
      </c>
      <c r="K1334" s="1333" t="s">
        <v>4160</v>
      </c>
      <c r="L1334" s="1333" t="s">
        <v>2480</v>
      </c>
      <c r="M1334" s="1335">
        <v>3.0</v>
      </c>
    </row>
    <row r="1335">
      <c r="A1335" s="1333"/>
      <c r="B1335" s="1333"/>
      <c r="C1335" s="1333"/>
      <c r="D1335" s="1333"/>
      <c r="E1335" s="1333"/>
      <c r="F1335" s="1333"/>
      <c r="G1335" s="1333"/>
      <c r="H1335" s="1333" t="s">
        <v>2161</v>
      </c>
      <c r="I1335" s="1333" t="s">
        <v>4164</v>
      </c>
      <c r="J1335" s="1333" t="s">
        <v>4161</v>
      </c>
      <c r="K1335" s="1333" t="s">
        <v>1055</v>
      </c>
      <c r="L1335" s="1333" t="s">
        <v>1724</v>
      </c>
      <c r="M1335" s="1335">
        <v>14.0</v>
      </c>
    </row>
    <row r="1336">
      <c r="A1336" s="1333"/>
      <c r="B1336" s="1333"/>
      <c r="C1336" s="1333"/>
      <c r="D1336" s="1333"/>
      <c r="E1336" s="1333"/>
      <c r="F1336" s="1333"/>
      <c r="G1336" s="1333"/>
      <c r="H1336" s="1333" t="s">
        <v>2161</v>
      </c>
      <c r="I1336" s="1333" t="s">
        <v>4164</v>
      </c>
      <c r="J1336" s="1333" t="s">
        <v>4161</v>
      </c>
      <c r="K1336" s="1333" t="s">
        <v>4161</v>
      </c>
      <c r="L1336" s="1333" t="s">
        <v>2480</v>
      </c>
      <c r="M1336" s="1335">
        <v>2.0</v>
      </c>
    </row>
    <row r="1337">
      <c r="A1337" s="1333"/>
      <c r="B1337" s="1333"/>
      <c r="C1337" s="1333"/>
      <c r="D1337" s="1333"/>
      <c r="E1337" s="1333"/>
      <c r="F1337" s="1333"/>
      <c r="G1337" s="1333"/>
      <c r="H1337" s="1333" t="s">
        <v>2162</v>
      </c>
      <c r="I1337" s="1333" t="s">
        <v>4155</v>
      </c>
      <c r="J1337" s="1333" t="s">
        <v>1058</v>
      </c>
      <c r="K1337" s="1333" t="s">
        <v>4163</v>
      </c>
      <c r="L1337" s="1333" t="s">
        <v>2480</v>
      </c>
      <c r="M1337" s="1335">
        <v>1.0</v>
      </c>
    </row>
    <row r="1338">
      <c r="A1338" s="1333"/>
      <c r="B1338" s="1333"/>
      <c r="C1338" s="1333"/>
      <c r="D1338" s="1333"/>
      <c r="E1338" s="1333"/>
      <c r="F1338" s="1333"/>
      <c r="G1338" s="1333"/>
      <c r="H1338" s="1333" t="s">
        <v>2162</v>
      </c>
      <c r="I1338" s="1333" t="s">
        <v>4155</v>
      </c>
      <c r="J1338" s="1333" t="s">
        <v>1058</v>
      </c>
      <c r="K1338" s="1333" t="s">
        <v>4156</v>
      </c>
      <c r="L1338" s="1333" t="s">
        <v>2480</v>
      </c>
      <c r="M1338" s="1335">
        <v>33.0</v>
      </c>
    </row>
    <row r="1339">
      <c r="A1339" s="1333"/>
      <c r="B1339" s="1333"/>
      <c r="C1339" s="1333"/>
      <c r="D1339" s="1333"/>
      <c r="E1339" s="1333"/>
      <c r="F1339" s="1333"/>
      <c r="G1339" s="1333"/>
      <c r="H1339" s="1333" t="s">
        <v>2162</v>
      </c>
      <c r="I1339" s="1333" t="s">
        <v>4155</v>
      </c>
      <c r="J1339" s="1333" t="s">
        <v>1058</v>
      </c>
      <c r="K1339" s="1333" t="s">
        <v>4157</v>
      </c>
      <c r="L1339" s="1333" t="s">
        <v>1724</v>
      </c>
      <c r="M1339" s="1335">
        <v>1.0</v>
      </c>
    </row>
    <row r="1340">
      <c r="A1340" s="1333"/>
      <c r="B1340" s="1333"/>
      <c r="C1340" s="1333"/>
      <c r="D1340" s="1333"/>
      <c r="E1340" s="1333"/>
      <c r="F1340" s="1333"/>
      <c r="G1340" s="1333"/>
      <c r="H1340" s="1333" t="s">
        <v>2162</v>
      </c>
      <c r="I1340" s="1333" t="s">
        <v>4155</v>
      </c>
      <c r="J1340" s="1333" t="s">
        <v>1058</v>
      </c>
      <c r="K1340" s="1333" t="s">
        <v>4158</v>
      </c>
      <c r="L1340" s="1333" t="s">
        <v>2480</v>
      </c>
      <c r="M1340" s="1335">
        <v>2.0</v>
      </c>
    </row>
    <row r="1341">
      <c r="A1341" s="1333"/>
      <c r="B1341" s="1333"/>
      <c r="C1341" s="1333"/>
      <c r="D1341" s="1333"/>
      <c r="E1341" s="1333"/>
      <c r="F1341" s="1333"/>
      <c r="G1341" s="1333"/>
      <c r="H1341" s="1333" t="s">
        <v>2162</v>
      </c>
      <c r="I1341" s="1333" t="s">
        <v>4155</v>
      </c>
      <c r="J1341" s="1333" t="s">
        <v>1058</v>
      </c>
      <c r="K1341" s="1333" t="s">
        <v>4159</v>
      </c>
      <c r="L1341" s="1333" t="s">
        <v>1724</v>
      </c>
      <c r="M1341" s="1335">
        <v>2.0</v>
      </c>
    </row>
    <row r="1342">
      <c r="A1342" s="1333"/>
      <c r="B1342" s="1333"/>
      <c r="C1342" s="1333"/>
      <c r="D1342" s="1333"/>
      <c r="E1342" s="1333"/>
      <c r="F1342" s="1333"/>
      <c r="G1342" s="1333"/>
      <c r="H1342" s="1333" t="s">
        <v>2162</v>
      </c>
      <c r="I1342" s="1333" t="s">
        <v>4155</v>
      </c>
      <c r="J1342" s="1333" t="s">
        <v>1058</v>
      </c>
      <c r="K1342" s="1333" t="s">
        <v>4165</v>
      </c>
      <c r="L1342" s="1333" t="s">
        <v>2480</v>
      </c>
      <c r="M1342" s="1335">
        <v>2.0</v>
      </c>
    </row>
    <row r="1343">
      <c r="A1343" s="1333"/>
      <c r="B1343" s="1333"/>
      <c r="C1343" s="1333"/>
      <c r="D1343" s="1333"/>
      <c r="E1343" s="1333"/>
      <c r="F1343" s="1333"/>
      <c r="G1343" s="1333"/>
      <c r="H1343" s="1333" t="s">
        <v>2162</v>
      </c>
      <c r="I1343" s="1333" t="s">
        <v>4155</v>
      </c>
      <c r="J1343" s="1333" t="s">
        <v>1058</v>
      </c>
      <c r="K1343" s="1333" t="s">
        <v>4166</v>
      </c>
      <c r="L1343" s="1333" t="s">
        <v>2480</v>
      </c>
      <c r="M1343" s="1335">
        <v>2.0</v>
      </c>
    </row>
    <row r="1344">
      <c r="A1344" s="1333"/>
      <c r="B1344" s="1333"/>
      <c r="C1344" s="1333"/>
      <c r="D1344" s="1333"/>
      <c r="E1344" s="1333"/>
      <c r="F1344" s="1333"/>
      <c r="G1344" s="1333"/>
      <c r="H1344" s="1333" t="s">
        <v>2162</v>
      </c>
      <c r="I1344" s="1333" t="s">
        <v>4155</v>
      </c>
      <c r="J1344" s="1333" t="s">
        <v>1058</v>
      </c>
      <c r="K1344" s="1333" t="s">
        <v>4161</v>
      </c>
      <c r="L1344" s="1333" t="s">
        <v>2480</v>
      </c>
      <c r="M1344" s="1335">
        <v>1.0</v>
      </c>
    </row>
    <row r="1345">
      <c r="A1345" s="1333"/>
      <c r="B1345" s="1333"/>
      <c r="C1345" s="1333"/>
      <c r="D1345" s="1333"/>
      <c r="E1345" s="1333"/>
      <c r="F1345" s="1333"/>
      <c r="G1345" s="1333"/>
      <c r="H1345" s="1333" t="s">
        <v>2162</v>
      </c>
      <c r="I1345" s="1333" t="s">
        <v>4155</v>
      </c>
      <c r="J1345" s="1333" t="s">
        <v>1058</v>
      </c>
      <c r="K1345" s="1333" t="s">
        <v>4160</v>
      </c>
      <c r="L1345" s="1333" t="s">
        <v>2480</v>
      </c>
      <c r="M1345" s="1335">
        <v>3.0</v>
      </c>
    </row>
    <row r="1346">
      <c r="A1346" s="1333"/>
      <c r="B1346" s="1333"/>
      <c r="C1346" s="1333"/>
      <c r="D1346" s="1333"/>
      <c r="E1346" s="1333"/>
      <c r="F1346" s="1333"/>
      <c r="G1346" s="1333"/>
      <c r="H1346" s="1333" t="s">
        <v>2162</v>
      </c>
      <c r="I1346" s="1333" t="s">
        <v>4155</v>
      </c>
      <c r="J1346" s="1333" t="s">
        <v>4161</v>
      </c>
      <c r="K1346" s="1333" t="s">
        <v>1055</v>
      </c>
      <c r="L1346" s="1333" t="s">
        <v>1724</v>
      </c>
      <c r="M1346" s="1335">
        <v>38.0</v>
      </c>
    </row>
    <row r="1347">
      <c r="A1347" s="1333"/>
      <c r="B1347" s="1333"/>
      <c r="C1347" s="1333"/>
      <c r="D1347" s="1333"/>
      <c r="E1347" s="1333"/>
      <c r="F1347" s="1333"/>
      <c r="G1347" s="1333"/>
      <c r="H1347" s="1333" t="s">
        <v>2162</v>
      </c>
      <c r="I1347" s="1333" t="s">
        <v>4155</v>
      </c>
      <c r="J1347" s="1333" t="s">
        <v>4161</v>
      </c>
      <c r="K1347" s="1333" t="s">
        <v>4161</v>
      </c>
      <c r="L1347" s="1333" t="s">
        <v>2480</v>
      </c>
      <c r="M1347" s="1335">
        <v>2.0</v>
      </c>
    </row>
    <row r="1348">
      <c r="A1348" s="1333"/>
      <c r="B1348" s="1333"/>
      <c r="C1348" s="1333"/>
      <c r="D1348" s="1333"/>
      <c r="E1348" s="1333"/>
      <c r="F1348" s="1333"/>
      <c r="G1348" s="1333"/>
      <c r="H1348" s="1333" t="s">
        <v>2164</v>
      </c>
      <c r="I1348" s="1333" t="s">
        <v>4162</v>
      </c>
      <c r="J1348" s="1333" t="s">
        <v>1058</v>
      </c>
      <c r="K1348" s="1333" t="s">
        <v>4158</v>
      </c>
      <c r="L1348" s="1333" t="s">
        <v>2480</v>
      </c>
      <c r="M1348" s="1335">
        <v>1.0</v>
      </c>
    </row>
    <row r="1349">
      <c r="A1349" s="1333"/>
      <c r="B1349" s="1333"/>
      <c r="C1349" s="1333"/>
      <c r="D1349" s="1333"/>
      <c r="E1349" s="1333"/>
      <c r="F1349" s="1333"/>
      <c r="G1349" s="1333"/>
      <c r="H1349" s="1333" t="s">
        <v>2164</v>
      </c>
      <c r="I1349" s="1333" t="s">
        <v>4162</v>
      </c>
      <c r="J1349" s="1333" t="s">
        <v>4161</v>
      </c>
      <c r="K1349" s="1333" t="s">
        <v>1055</v>
      </c>
      <c r="L1349" s="1333" t="s">
        <v>1724</v>
      </c>
      <c r="M1349" s="1335">
        <v>7.0</v>
      </c>
    </row>
    <row r="1350">
      <c r="A1350" s="1333"/>
      <c r="B1350" s="1333"/>
      <c r="C1350" s="1333"/>
      <c r="D1350" s="1333"/>
      <c r="E1350" s="1333"/>
      <c r="F1350" s="1333"/>
      <c r="G1350" s="1333"/>
      <c r="H1350" s="1333" t="s">
        <v>2166</v>
      </c>
      <c r="I1350" s="1333" t="s">
        <v>4171</v>
      </c>
      <c r="J1350" s="1333" t="s">
        <v>1058</v>
      </c>
      <c r="K1350" s="1333" t="s">
        <v>4163</v>
      </c>
      <c r="L1350" s="1333" t="s">
        <v>2480</v>
      </c>
      <c r="M1350" s="1335">
        <v>2.0</v>
      </c>
    </row>
    <row r="1351">
      <c r="A1351" s="1333"/>
      <c r="B1351" s="1333"/>
      <c r="C1351" s="1333"/>
      <c r="D1351" s="1333"/>
      <c r="E1351" s="1333"/>
      <c r="F1351" s="1333"/>
      <c r="G1351" s="1333"/>
      <c r="H1351" s="1333" t="s">
        <v>2166</v>
      </c>
      <c r="I1351" s="1333" t="s">
        <v>4171</v>
      </c>
      <c r="J1351" s="1333" t="s">
        <v>1058</v>
      </c>
      <c r="K1351" s="1333" t="s">
        <v>4156</v>
      </c>
      <c r="L1351" s="1333" t="s">
        <v>2480</v>
      </c>
      <c r="M1351" s="1335">
        <v>13.0</v>
      </c>
    </row>
    <row r="1352">
      <c r="A1352" s="1333"/>
      <c r="B1352" s="1333"/>
      <c r="C1352" s="1333"/>
      <c r="D1352" s="1333"/>
      <c r="E1352" s="1333"/>
      <c r="F1352" s="1333"/>
      <c r="G1352" s="1333"/>
      <c r="H1352" s="1333" t="s">
        <v>2166</v>
      </c>
      <c r="I1352" s="1333" t="s">
        <v>4171</v>
      </c>
      <c r="J1352" s="1333" t="s">
        <v>1058</v>
      </c>
      <c r="K1352" s="1333" t="s">
        <v>4161</v>
      </c>
      <c r="L1352" s="1333" t="s">
        <v>2480</v>
      </c>
      <c r="M1352" s="1335">
        <v>1.0</v>
      </c>
    </row>
    <row r="1353">
      <c r="A1353" s="1333"/>
      <c r="B1353" s="1333"/>
      <c r="C1353" s="1333"/>
      <c r="D1353" s="1333"/>
      <c r="E1353" s="1333"/>
      <c r="F1353" s="1333"/>
      <c r="G1353" s="1333"/>
      <c r="H1353" s="1333" t="s">
        <v>2166</v>
      </c>
      <c r="I1353" s="1333" t="s">
        <v>4171</v>
      </c>
      <c r="J1353" s="1333" t="s">
        <v>1058</v>
      </c>
      <c r="K1353" s="1333" t="s">
        <v>4160</v>
      </c>
      <c r="L1353" s="1333" t="s">
        <v>2480</v>
      </c>
      <c r="M1353" s="1335">
        <v>1.0</v>
      </c>
    </row>
    <row r="1354">
      <c r="A1354" s="1333"/>
      <c r="B1354" s="1333"/>
      <c r="C1354" s="1333"/>
      <c r="D1354" s="1333"/>
      <c r="E1354" s="1333"/>
      <c r="F1354" s="1333"/>
      <c r="G1354" s="1333"/>
      <c r="H1354" s="1333" t="s">
        <v>2166</v>
      </c>
      <c r="I1354" s="1333" t="s">
        <v>4171</v>
      </c>
      <c r="J1354" s="1333" t="s">
        <v>4161</v>
      </c>
      <c r="K1354" s="1333" t="s">
        <v>4167</v>
      </c>
      <c r="L1354" s="1333" t="s">
        <v>2480</v>
      </c>
      <c r="M1354" s="1335">
        <v>1.0</v>
      </c>
    </row>
    <row r="1355">
      <c r="A1355" s="1333"/>
      <c r="B1355" s="1333"/>
      <c r="C1355" s="1333"/>
      <c r="D1355" s="1333"/>
      <c r="E1355" s="1333"/>
      <c r="F1355" s="1333"/>
      <c r="G1355" s="1333"/>
      <c r="H1355" s="1333" t="s">
        <v>2166</v>
      </c>
      <c r="I1355" s="1333" t="s">
        <v>4171</v>
      </c>
      <c r="J1355" s="1333" t="s">
        <v>4161</v>
      </c>
      <c r="K1355" s="1333" t="s">
        <v>1055</v>
      </c>
      <c r="L1355" s="1333" t="s">
        <v>1724</v>
      </c>
      <c r="M1355" s="1335">
        <v>12.0</v>
      </c>
    </row>
    <row r="1356">
      <c r="A1356" s="1333"/>
      <c r="B1356" s="1333"/>
      <c r="C1356" s="1333"/>
      <c r="D1356" s="1333"/>
      <c r="E1356" s="1333"/>
      <c r="F1356" s="1333"/>
      <c r="G1356" s="1333"/>
      <c r="H1356" s="1333" t="s">
        <v>2166</v>
      </c>
      <c r="I1356" s="1333" t="s">
        <v>4171</v>
      </c>
      <c r="J1356" s="1333" t="s">
        <v>4161</v>
      </c>
      <c r="K1356" s="1333" t="s">
        <v>4161</v>
      </c>
      <c r="L1356" s="1333" t="s">
        <v>2480</v>
      </c>
      <c r="M1356" s="1335">
        <v>1.0</v>
      </c>
    </row>
    <row r="1357">
      <c r="A1357" s="1333"/>
      <c r="B1357" s="1333"/>
      <c r="C1357" s="1333"/>
      <c r="D1357" s="1333"/>
      <c r="E1357" s="1333"/>
      <c r="F1357" s="1333"/>
      <c r="G1357" s="1333"/>
      <c r="H1357" s="1333" t="s">
        <v>2167</v>
      </c>
      <c r="I1357" s="1333" t="s">
        <v>4171</v>
      </c>
      <c r="J1357" s="1333" t="s">
        <v>1058</v>
      </c>
      <c r="K1357" s="1333" t="s">
        <v>4163</v>
      </c>
      <c r="L1357" s="1333" t="s">
        <v>2480</v>
      </c>
      <c r="M1357" s="1335">
        <v>3.0</v>
      </c>
    </row>
    <row r="1358">
      <c r="A1358" s="1333"/>
      <c r="B1358" s="1333"/>
      <c r="C1358" s="1333"/>
      <c r="D1358" s="1333"/>
      <c r="E1358" s="1333"/>
      <c r="F1358" s="1333"/>
      <c r="G1358" s="1333"/>
      <c r="H1358" s="1333" t="s">
        <v>2167</v>
      </c>
      <c r="I1358" s="1333" t="s">
        <v>4171</v>
      </c>
      <c r="J1358" s="1333" t="s">
        <v>1058</v>
      </c>
      <c r="K1358" s="1333" t="s">
        <v>4156</v>
      </c>
      <c r="L1358" s="1333" t="s">
        <v>2480</v>
      </c>
      <c r="M1358" s="1335">
        <v>16.0</v>
      </c>
    </row>
    <row r="1359">
      <c r="A1359" s="1333"/>
      <c r="B1359" s="1333"/>
      <c r="C1359" s="1333"/>
      <c r="D1359" s="1333"/>
      <c r="E1359" s="1333"/>
      <c r="F1359" s="1333"/>
      <c r="G1359" s="1333"/>
      <c r="H1359" s="1333" t="s">
        <v>2167</v>
      </c>
      <c r="I1359" s="1333" t="s">
        <v>4171</v>
      </c>
      <c r="J1359" s="1333" t="s">
        <v>1058</v>
      </c>
      <c r="K1359" s="1333" t="s">
        <v>4158</v>
      </c>
      <c r="L1359" s="1333" t="s">
        <v>2480</v>
      </c>
      <c r="M1359" s="1335">
        <v>2.0</v>
      </c>
    </row>
    <row r="1360">
      <c r="A1360" s="1333"/>
      <c r="B1360" s="1333"/>
      <c r="C1360" s="1333"/>
      <c r="D1360" s="1333"/>
      <c r="E1360" s="1333"/>
      <c r="F1360" s="1333"/>
      <c r="G1360" s="1333"/>
      <c r="H1360" s="1333" t="s">
        <v>2167</v>
      </c>
      <c r="I1360" s="1333" t="s">
        <v>4171</v>
      </c>
      <c r="J1360" s="1333" t="s">
        <v>1058</v>
      </c>
      <c r="K1360" s="1333" t="s">
        <v>4160</v>
      </c>
      <c r="L1360" s="1333" t="s">
        <v>2480</v>
      </c>
      <c r="M1360" s="1335">
        <v>1.0</v>
      </c>
    </row>
    <row r="1361">
      <c r="A1361" s="1333"/>
      <c r="B1361" s="1333"/>
      <c r="C1361" s="1333"/>
      <c r="D1361" s="1333"/>
      <c r="E1361" s="1333"/>
      <c r="F1361" s="1333"/>
      <c r="G1361" s="1333"/>
      <c r="H1361" s="1333" t="s">
        <v>2167</v>
      </c>
      <c r="I1361" s="1333" t="s">
        <v>4171</v>
      </c>
      <c r="J1361" s="1333" t="s">
        <v>4161</v>
      </c>
      <c r="K1361" s="1333" t="s">
        <v>4167</v>
      </c>
      <c r="L1361" s="1333" t="s">
        <v>2480</v>
      </c>
      <c r="M1361" s="1335">
        <v>2.0</v>
      </c>
    </row>
    <row r="1362">
      <c r="A1362" s="1333"/>
      <c r="B1362" s="1333"/>
      <c r="C1362" s="1333"/>
      <c r="D1362" s="1333"/>
      <c r="E1362" s="1333"/>
      <c r="F1362" s="1333"/>
      <c r="G1362" s="1333"/>
      <c r="H1362" s="1333" t="s">
        <v>2167</v>
      </c>
      <c r="I1362" s="1333" t="s">
        <v>4171</v>
      </c>
      <c r="J1362" s="1333" t="s">
        <v>4161</v>
      </c>
      <c r="K1362" s="1333" t="s">
        <v>1055</v>
      </c>
      <c r="L1362" s="1333" t="s">
        <v>1724</v>
      </c>
      <c r="M1362" s="1335">
        <v>17.0</v>
      </c>
    </row>
    <row r="1363">
      <c r="A1363" s="1333"/>
      <c r="B1363" s="1333"/>
      <c r="C1363" s="1333"/>
      <c r="D1363" s="1333"/>
      <c r="E1363" s="1333"/>
      <c r="F1363" s="1333"/>
      <c r="G1363" s="1333"/>
      <c r="H1363" s="1333" t="s">
        <v>2168</v>
      </c>
      <c r="I1363" s="1333" t="s">
        <v>4155</v>
      </c>
      <c r="J1363" s="1333" t="s">
        <v>1058</v>
      </c>
      <c r="K1363" s="1333" t="s">
        <v>4163</v>
      </c>
      <c r="L1363" s="1333" t="s">
        <v>2480</v>
      </c>
      <c r="M1363" s="1335">
        <v>4.0</v>
      </c>
    </row>
    <row r="1364">
      <c r="A1364" s="1333"/>
      <c r="B1364" s="1333"/>
      <c r="C1364" s="1333"/>
      <c r="D1364" s="1333"/>
      <c r="E1364" s="1333"/>
      <c r="F1364" s="1333"/>
      <c r="G1364" s="1333"/>
      <c r="H1364" s="1333" t="s">
        <v>2168</v>
      </c>
      <c r="I1364" s="1333" t="s">
        <v>4155</v>
      </c>
      <c r="J1364" s="1333" t="s">
        <v>1058</v>
      </c>
      <c r="K1364" s="1333" t="s">
        <v>4156</v>
      </c>
      <c r="L1364" s="1333" t="s">
        <v>2480</v>
      </c>
      <c r="M1364" s="1335">
        <v>55.0</v>
      </c>
    </row>
    <row r="1365">
      <c r="A1365" s="1333"/>
      <c r="B1365" s="1333"/>
      <c r="C1365" s="1333"/>
      <c r="D1365" s="1333"/>
      <c r="E1365" s="1333"/>
      <c r="F1365" s="1333"/>
      <c r="G1365" s="1333"/>
      <c r="H1365" s="1333" t="s">
        <v>2168</v>
      </c>
      <c r="I1365" s="1333" t="s">
        <v>4155</v>
      </c>
      <c r="J1365" s="1333" t="s">
        <v>1058</v>
      </c>
      <c r="K1365" s="1333" t="s">
        <v>4157</v>
      </c>
      <c r="L1365" s="1333" t="s">
        <v>1724</v>
      </c>
      <c r="M1365" s="1335">
        <v>5.0</v>
      </c>
    </row>
    <row r="1366">
      <c r="A1366" s="1333"/>
      <c r="B1366" s="1333"/>
      <c r="C1366" s="1333"/>
      <c r="D1366" s="1333"/>
      <c r="E1366" s="1333"/>
      <c r="F1366" s="1333"/>
      <c r="G1366" s="1333"/>
      <c r="H1366" s="1333" t="s">
        <v>2168</v>
      </c>
      <c r="I1366" s="1333" t="s">
        <v>4155</v>
      </c>
      <c r="J1366" s="1333" t="s">
        <v>1058</v>
      </c>
      <c r="K1366" s="1333" t="s">
        <v>4158</v>
      </c>
      <c r="L1366" s="1333" t="s">
        <v>2480</v>
      </c>
      <c r="M1366" s="1335">
        <v>3.0</v>
      </c>
    </row>
    <row r="1367">
      <c r="A1367" s="1333"/>
      <c r="B1367" s="1333"/>
      <c r="C1367" s="1333"/>
      <c r="D1367" s="1333"/>
      <c r="E1367" s="1333"/>
      <c r="F1367" s="1333"/>
      <c r="G1367" s="1333"/>
      <c r="H1367" s="1333" t="s">
        <v>2168</v>
      </c>
      <c r="I1367" s="1333" t="s">
        <v>4155</v>
      </c>
      <c r="J1367" s="1333" t="s">
        <v>1058</v>
      </c>
      <c r="K1367" s="1333" t="s">
        <v>4165</v>
      </c>
      <c r="L1367" s="1333" t="s">
        <v>2480</v>
      </c>
      <c r="M1367" s="1335">
        <v>3.0</v>
      </c>
    </row>
    <row r="1368">
      <c r="A1368" s="1333"/>
      <c r="B1368" s="1333"/>
      <c r="C1368" s="1333"/>
      <c r="D1368" s="1333"/>
      <c r="E1368" s="1333"/>
      <c r="F1368" s="1333"/>
      <c r="G1368" s="1333"/>
      <c r="H1368" s="1333" t="s">
        <v>2168</v>
      </c>
      <c r="I1368" s="1333" t="s">
        <v>4155</v>
      </c>
      <c r="J1368" s="1333" t="s">
        <v>1058</v>
      </c>
      <c r="K1368" s="1333" t="s">
        <v>4166</v>
      </c>
      <c r="L1368" s="1333" t="s">
        <v>2480</v>
      </c>
      <c r="M1368" s="1335">
        <v>1.0</v>
      </c>
    </row>
    <row r="1369">
      <c r="A1369" s="1333"/>
      <c r="B1369" s="1333"/>
      <c r="C1369" s="1333"/>
      <c r="D1369" s="1333"/>
      <c r="E1369" s="1333"/>
      <c r="F1369" s="1333"/>
      <c r="G1369" s="1333"/>
      <c r="H1369" s="1333" t="s">
        <v>2168</v>
      </c>
      <c r="I1369" s="1333" t="s">
        <v>4155</v>
      </c>
      <c r="J1369" s="1333" t="s">
        <v>1058</v>
      </c>
      <c r="K1369" s="1333" t="s">
        <v>4160</v>
      </c>
      <c r="L1369" s="1333" t="s">
        <v>2480</v>
      </c>
      <c r="M1369" s="1335">
        <v>11.0</v>
      </c>
    </row>
    <row r="1370">
      <c r="A1370" s="1333"/>
      <c r="B1370" s="1333"/>
      <c r="C1370" s="1333"/>
      <c r="D1370" s="1333"/>
      <c r="E1370" s="1333"/>
      <c r="F1370" s="1333"/>
      <c r="G1370" s="1333"/>
      <c r="H1370" s="1333" t="s">
        <v>2168</v>
      </c>
      <c r="I1370" s="1333" t="s">
        <v>4155</v>
      </c>
      <c r="J1370" s="1333" t="s">
        <v>4161</v>
      </c>
      <c r="K1370" s="1333" t="s">
        <v>4167</v>
      </c>
      <c r="L1370" s="1333" t="s">
        <v>2480</v>
      </c>
      <c r="M1370" s="1335">
        <v>8.0</v>
      </c>
    </row>
    <row r="1371">
      <c r="A1371" s="1333"/>
      <c r="B1371" s="1333"/>
      <c r="C1371" s="1333"/>
      <c r="D1371" s="1333"/>
      <c r="E1371" s="1333"/>
      <c r="F1371" s="1333"/>
      <c r="G1371" s="1333"/>
      <c r="H1371" s="1333" t="s">
        <v>2168</v>
      </c>
      <c r="I1371" s="1333" t="s">
        <v>4155</v>
      </c>
      <c r="J1371" s="1333" t="s">
        <v>4161</v>
      </c>
      <c r="K1371" s="1333" t="s">
        <v>1055</v>
      </c>
      <c r="L1371" s="1333" t="s">
        <v>1724</v>
      </c>
      <c r="M1371" s="1335">
        <v>44.0</v>
      </c>
    </row>
    <row r="1372">
      <c r="A1372" s="1333"/>
      <c r="B1372" s="1333"/>
      <c r="C1372" s="1333"/>
      <c r="D1372" s="1333"/>
      <c r="E1372" s="1333"/>
      <c r="F1372" s="1333"/>
      <c r="G1372" s="1333"/>
      <c r="H1372" s="1333" t="s">
        <v>2168</v>
      </c>
      <c r="I1372" s="1333" t="s">
        <v>4155</v>
      </c>
      <c r="J1372" s="1333" t="s">
        <v>4161</v>
      </c>
      <c r="K1372" s="1333" t="s">
        <v>4161</v>
      </c>
      <c r="L1372" s="1333" t="s">
        <v>2480</v>
      </c>
      <c r="M1372" s="1335">
        <v>4.0</v>
      </c>
    </row>
    <row r="1373">
      <c r="A1373" s="1333"/>
      <c r="B1373" s="1333"/>
      <c r="C1373" s="1333"/>
      <c r="D1373" s="1333"/>
      <c r="E1373" s="1333"/>
      <c r="F1373" s="1333"/>
      <c r="G1373" s="1333"/>
      <c r="H1373" s="1333" t="s">
        <v>2169</v>
      </c>
      <c r="I1373" s="1333" t="s">
        <v>4171</v>
      </c>
      <c r="J1373" s="1333" t="s">
        <v>1058</v>
      </c>
      <c r="K1373" s="1333" t="s">
        <v>4163</v>
      </c>
      <c r="L1373" s="1333" t="s">
        <v>2480</v>
      </c>
      <c r="M1373" s="1335">
        <v>4.0</v>
      </c>
    </row>
    <row r="1374">
      <c r="A1374" s="1333"/>
      <c r="B1374" s="1333"/>
      <c r="C1374" s="1333"/>
      <c r="D1374" s="1333"/>
      <c r="E1374" s="1333"/>
      <c r="F1374" s="1333"/>
      <c r="G1374" s="1333"/>
      <c r="H1374" s="1333" t="s">
        <v>2169</v>
      </c>
      <c r="I1374" s="1333" t="s">
        <v>4171</v>
      </c>
      <c r="J1374" s="1333" t="s">
        <v>1058</v>
      </c>
      <c r="K1374" s="1333" t="s">
        <v>4156</v>
      </c>
      <c r="L1374" s="1333" t="s">
        <v>2480</v>
      </c>
      <c r="M1374" s="1335">
        <v>52.0</v>
      </c>
    </row>
    <row r="1375">
      <c r="A1375" s="1333"/>
      <c r="B1375" s="1333"/>
      <c r="C1375" s="1333"/>
      <c r="D1375" s="1333"/>
      <c r="E1375" s="1333"/>
      <c r="F1375" s="1333"/>
      <c r="G1375" s="1333"/>
      <c r="H1375" s="1333" t="s">
        <v>2169</v>
      </c>
      <c r="I1375" s="1333" t="s">
        <v>4171</v>
      </c>
      <c r="J1375" s="1333" t="s">
        <v>1058</v>
      </c>
      <c r="K1375" s="1333" t="s">
        <v>4157</v>
      </c>
      <c r="L1375" s="1333" t="s">
        <v>1724</v>
      </c>
      <c r="M1375" s="1335">
        <v>2.0</v>
      </c>
    </row>
    <row r="1376">
      <c r="A1376" s="1333"/>
      <c r="B1376" s="1333"/>
      <c r="C1376" s="1333"/>
      <c r="D1376" s="1333"/>
      <c r="E1376" s="1333"/>
      <c r="F1376" s="1333"/>
      <c r="G1376" s="1333"/>
      <c r="H1376" s="1333" t="s">
        <v>2169</v>
      </c>
      <c r="I1376" s="1333" t="s">
        <v>4171</v>
      </c>
      <c r="J1376" s="1333" t="s">
        <v>1058</v>
      </c>
      <c r="K1376" s="1333" t="s">
        <v>4158</v>
      </c>
      <c r="L1376" s="1333" t="s">
        <v>2480</v>
      </c>
      <c r="M1376" s="1335">
        <v>3.0</v>
      </c>
    </row>
    <row r="1377">
      <c r="A1377" s="1333"/>
      <c r="B1377" s="1333"/>
      <c r="C1377" s="1333"/>
      <c r="D1377" s="1333"/>
      <c r="E1377" s="1333"/>
      <c r="F1377" s="1333"/>
      <c r="G1377" s="1333"/>
      <c r="H1377" s="1333" t="s">
        <v>2169</v>
      </c>
      <c r="I1377" s="1333" t="s">
        <v>4171</v>
      </c>
      <c r="J1377" s="1333" t="s">
        <v>1058</v>
      </c>
      <c r="K1377" s="1333" t="s">
        <v>4159</v>
      </c>
      <c r="L1377" s="1333" t="s">
        <v>1724</v>
      </c>
      <c r="M1377" s="1335">
        <v>2.0</v>
      </c>
    </row>
    <row r="1378">
      <c r="A1378" s="1333"/>
      <c r="B1378" s="1333"/>
      <c r="C1378" s="1333"/>
      <c r="D1378" s="1333"/>
      <c r="E1378" s="1333"/>
      <c r="F1378" s="1333"/>
      <c r="G1378" s="1333"/>
      <c r="H1378" s="1333" t="s">
        <v>2169</v>
      </c>
      <c r="I1378" s="1333" t="s">
        <v>4171</v>
      </c>
      <c r="J1378" s="1333" t="s">
        <v>1058</v>
      </c>
      <c r="K1378" s="1333" t="s">
        <v>4165</v>
      </c>
      <c r="L1378" s="1333" t="s">
        <v>2480</v>
      </c>
      <c r="M1378" s="1335">
        <v>6.0</v>
      </c>
    </row>
    <row r="1379">
      <c r="A1379" s="1333"/>
      <c r="B1379" s="1333"/>
      <c r="C1379" s="1333"/>
      <c r="D1379" s="1333"/>
      <c r="E1379" s="1333"/>
      <c r="F1379" s="1333"/>
      <c r="G1379" s="1333"/>
      <c r="H1379" s="1333" t="s">
        <v>2169</v>
      </c>
      <c r="I1379" s="1333" t="s">
        <v>4171</v>
      </c>
      <c r="J1379" s="1333" t="s">
        <v>1058</v>
      </c>
      <c r="K1379" s="1333" t="s">
        <v>4166</v>
      </c>
      <c r="L1379" s="1333" t="s">
        <v>2480</v>
      </c>
      <c r="M1379" s="1335">
        <v>6.0</v>
      </c>
    </row>
    <row r="1380">
      <c r="A1380" s="1333"/>
      <c r="B1380" s="1333"/>
      <c r="C1380" s="1333"/>
      <c r="D1380" s="1333"/>
      <c r="E1380" s="1333"/>
      <c r="F1380" s="1333"/>
      <c r="G1380" s="1333"/>
      <c r="H1380" s="1333" t="s">
        <v>2169</v>
      </c>
      <c r="I1380" s="1333" t="s">
        <v>4171</v>
      </c>
      <c r="J1380" s="1333" t="s">
        <v>1058</v>
      </c>
      <c r="K1380" s="1333" t="s">
        <v>4160</v>
      </c>
      <c r="L1380" s="1333" t="s">
        <v>2480</v>
      </c>
      <c r="M1380" s="1335">
        <v>10.0</v>
      </c>
    </row>
    <row r="1381">
      <c r="A1381" s="1333"/>
      <c r="B1381" s="1333"/>
      <c r="C1381" s="1333"/>
      <c r="D1381" s="1333"/>
      <c r="E1381" s="1333"/>
      <c r="F1381" s="1333"/>
      <c r="G1381" s="1333"/>
      <c r="H1381" s="1333" t="s">
        <v>2169</v>
      </c>
      <c r="I1381" s="1333" t="s">
        <v>4171</v>
      </c>
      <c r="J1381" s="1333" t="s">
        <v>4161</v>
      </c>
      <c r="K1381" s="1333" t="s">
        <v>1055</v>
      </c>
      <c r="L1381" s="1333" t="s">
        <v>1724</v>
      </c>
      <c r="M1381" s="1335">
        <v>36.0</v>
      </c>
    </row>
    <row r="1382">
      <c r="A1382" s="1333"/>
      <c r="B1382" s="1333"/>
      <c r="C1382" s="1333"/>
      <c r="D1382" s="1333"/>
      <c r="E1382" s="1333"/>
      <c r="F1382" s="1333"/>
      <c r="G1382" s="1333"/>
      <c r="H1382" s="1333" t="s">
        <v>2169</v>
      </c>
      <c r="I1382" s="1333" t="s">
        <v>4171</v>
      </c>
      <c r="J1382" s="1333" t="s">
        <v>4161</v>
      </c>
      <c r="K1382" s="1333" t="s">
        <v>4161</v>
      </c>
      <c r="L1382" s="1333" t="s">
        <v>2480</v>
      </c>
      <c r="M1382" s="1335">
        <v>4.0</v>
      </c>
    </row>
    <row r="1383">
      <c r="A1383" s="1333"/>
      <c r="B1383" s="1333"/>
      <c r="C1383" s="1333"/>
      <c r="D1383" s="1333"/>
      <c r="E1383" s="1333"/>
      <c r="F1383" s="1333"/>
      <c r="G1383" s="1333"/>
      <c r="H1383" s="1333" t="s">
        <v>175</v>
      </c>
      <c r="I1383" s="1333" t="s">
        <v>4172</v>
      </c>
      <c r="J1383" s="1333" t="s">
        <v>1058</v>
      </c>
      <c r="K1383" s="1333" t="s">
        <v>4156</v>
      </c>
      <c r="L1383" s="1333" t="s">
        <v>2480</v>
      </c>
      <c r="M1383" s="1335">
        <v>15.0</v>
      </c>
    </row>
    <row r="1384">
      <c r="A1384" s="1333"/>
      <c r="B1384" s="1333"/>
      <c r="C1384" s="1333"/>
      <c r="D1384" s="1333"/>
      <c r="E1384" s="1333"/>
      <c r="F1384" s="1333"/>
      <c r="G1384" s="1333"/>
      <c r="H1384" s="1333" t="s">
        <v>175</v>
      </c>
      <c r="I1384" s="1333" t="s">
        <v>4172</v>
      </c>
      <c r="J1384" s="1333" t="s">
        <v>1058</v>
      </c>
      <c r="K1384" s="1333" t="s">
        <v>4157</v>
      </c>
      <c r="L1384" s="1333" t="s">
        <v>1724</v>
      </c>
      <c r="M1384" s="1335">
        <v>3.0</v>
      </c>
    </row>
    <row r="1385">
      <c r="A1385" s="1333"/>
      <c r="B1385" s="1333"/>
      <c r="C1385" s="1333"/>
      <c r="D1385" s="1333"/>
      <c r="E1385" s="1333"/>
      <c r="F1385" s="1333"/>
      <c r="G1385" s="1333"/>
      <c r="H1385" s="1333" t="s">
        <v>175</v>
      </c>
      <c r="I1385" s="1333" t="s">
        <v>4172</v>
      </c>
      <c r="J1385" s="1333" t="s">
        <v>1058</v>
      </c>
      <c r="K1385" s="1333" t="s">
        <v>4160</v>
      </c>
      <c r="L1385" s="1333" t="s">
        <v>2480</v>
      </c>
      <c r="M1385" s="1335">
        <v>1.0</v>
      </c>
    </row>
    <row r="1386">
      <c r="A1386" s="1333"/>
      <c r="B1386" s="1333"/>
      <c r="C1386" s="1333"/>
      <c r="D1386" s="1333"/>
      <c r="E1386" s="1333"/>
      <c r="F1386" s="1333"/>
      <c r="G1386" s="1333"/>
      <c r="H1386" s="1333" t="s">
        <v>175</v>
      </c>
      <c r="I1386" s="1333" t="s">
        <v>4172</v>
      </c>
      <c r="J1386" s="1333" t="s">
        <v>4161</v>
      </c>
      <c r="K1386" s="1333" t="s">
        <v>1055</v>
      </c>
      <c r="L1386" s="1333" t="s">
        <v>1724</v>
      </c>
      <c r="M1386" s="1335">
        <v>15.0</v>
      </c>
    </row>
    <row r="1387">
      <c r="A1387" s="1333"/>
      <c r="B1387" s="1333"/>
      <c r="C1387" s="1333"/>
      <c r="D1387" s="1333"/>
      <c r="E1387" s="1333"/>
      <c r="F1387" s="1333"/>
      <c r="G1387" s="1333"/>
      <c r="H1387" s="1333" t="s">
        <v>2170</v>
      </c>
      <c r="I1387" s="1333" t="s">
        <v>4172</v>
      </c>
      <c r="J1387" s="1333" t="s">
        <v>1058</v>
      </c>
      <c r="K1387" s="1333" t="s">
        <v>4156</v>
      </c>
      <c r="L1387" s="1333" t="s">
        <v>2480</v>
      </c>
      <c r="M1387" s="1335">
        <v>12.0</v>
      </c>
    </row>
    <row r="1388">
      <c r="A1388" s="1333"/>
      <c r="B1388" s="1333"/>
      <c r="C1388" s="1333"/>
      <c r="D1388" s="1333"/>
      <c r="E1388" s="1333"/>
      <c r="F1388" s="1333"/>
      <c r="G1388" s="1333"/>
      <c r="H1388" s="1333" t="s">
        <v>2170</v>
      </c>
      <c r="I1388" s="1333" t="s">
        <v>4172</v>
      </c>
      <c r="J1388" s="1333" t="s">
        <v>1058</v>
      </c>
      <c r="K1388" s="1333" t="s">
        <v>4157</v>
      </c>
      <c r="L1388" s="1333" t="s">
        <v>1724</v>
      </c>
      <c r="M1388" s="1335">
        <v>1.0</v>
      </c>
    </row>
    <row r="1389">
      <c r="A1389" s="1333"/>
      <c r="B1389" s="1333"/>
      <c r="C1389" s="1333"/>
      <c r="D1389" s="1333"/>
      <c r="E1389" s="1333"/>
      <c r="F1389" s="1333"/>
      <c r="G1389" s="1333"/>
      <c r="H1389" s="1333" t="s">
        <v>2170</v>
      </c>
      <c r="I1389" s="1333" t="s">
        <v>4172</v>
      </c>
      <c r="J1389" s="1333" t="s">
        <v>1058</v>
      </c>
      <c r="K1389" s="1333" t="s">
        <v>4165</v>
      </c>
      <c r="L1389" s="1333" t="s">
        <v>2480</v>
      </c>
      <c r="M1389" s="1335">
        <v>1.0</v>
      </c>
    </row>
    <row r="1390">
      <c r="A1390" s="1333"/>
      <c r="B1390" s="1333"/>
      <c r="C1390" s="1333"/>
      <c r="D1390" s="1333"/>
      <c r="E1390" s="1333"/>
      <c r="F1390" s="1333"/>
      <c r="G1390" s="1333"/>
      <c r="H1390" s="1333" t="s">
        <v>2170</v>
      </c>
      <c r="I1390" s="1333" t="s">
        <v>4172</v>
      </c>
      <c r="J1390" s="1333" t="s">
        <v>1058</v>
      </c>
      <c r="K1390" s="1333" t="s">
        <v>4166</v>
      </c>
      <c r="L1390" s="1333" t="s">
        <v>2480</v>
      </c>
      <c r="M1390" s="1335">
        <v>3.0</v>
      </c>
    </row>
    <row r="1391">
      <c r="A1391" s="1333"/>
      <c r="B1391" s="1333"/>
      <c r="C1391" s="1333"/>
      <c r="D1391" s="1333"/>
      <c r="E1391" s="1333"/>
      <c r="F1391" s="1333"/>
      <c r="G1391" s="1333"/>
      <c r="H1391" s="1333" t="s">
        <v>2170</v>
      </c>
      <c r="I1391" s="1333" t="s">
        <v>4172</v>
      </c>
      <c r="J1391" s="1333" t="s">
        <v>1058</v>
      </c>
      <c r="K1391" s="1333" t="s">
        <v>4160</v>
      </c>
      <c r="L1391" s="1333" t="s">
        <v>2480</v>
      </c>
      <c r="M1391" s="1335">
        <v>2.0</v>
      </c>
    </row>
    <row r="1392">
      <c r="A1392" s="1333"/>
      <c r="B1392" s="1333"/>
      <c r="C1392" s="1333"/>
      <c r="D1392" s="1333"/>
      <c r="E1392" s="1333"/>
      <c r="F1392" s="1333"/>
      <c r="G1392" s="1333"/>
      <c r="H1392" s="1333" t="s">
        <v>2170</v>
      </c>
      <c r="I1392" s="1333" t="s">
        <v>4172</v>
      </c>
      <c r="J1392" s="1333" t="s">
        <v>4161</v>
      </c>
      <c r="K1392" s="1333" t="s">
        <v>1055</v>
      </c>
      <c r="L1392" s="1333" t="s">
        <v>1724</v>
      </c>
      <c r="M1392" s="1335">
        <v>7.0</v>
      </c>
    </row>
    <row r="1393">
      <c r="A1393" s="1333"/>
      <c r="B1393" s="1333"/>
      <c r="C1393" s="1333"/>
      <c r="D1393" s="1333"/>
      <c r="E1393" s="1333"/>
      <c r="F1393" s="1333"/>
      <c r="G1393" s="1333"/>
      <c r="H1393" s="1333" t="s">
        <v>1669</v>
      </c>
      <c r="I1393" s="1333" t="s">
        <v>4162</v>
      </c>
      <c r="J1393" s="1333" t="s">
        <v>1058</v>
      </c>
      <c r="K1393" s="1333" t="s">
        <v>4163</v>
      </c>
      <c r="L1393" s="1333" t="s">
        <v>2480</v>
      </c>
      <c r="M1393" s="1335">
        <v>1.0</v>
      </c>
    </row>
    <row r="1394">
      <c r="A1394" s="1333"/>
      <c r="B1394" s="1333"/>
      <c r="C1394" s="1333"/>
      <c r="D1394" s="1333"/>
      <c r="E1394" s="1333"/>
      <c r="F1394" s="1333"/>
      <c r="G1394" s="1333"/>
      <c r="H1394" s="1333" t="s">
        <v>1669</v>
      </c>
      <c r="I1394" s="1333" t="s">
        <v>4162</v>
      </c>
      <c r="J1394" s="1333" t="s">
        <v>1058</v>
      </c>
      <c r="K1394" s="1333" t="s">
        <v>4156</v>
      </c>
      <c r="L1394" s="1333" t="s">
        <v>2480</v>
      </c>
      <c r="M1394" s="1335">
        <v>9.0</v>
      </c>
    </row>
    <row r="1395">
      <c r="A1395" s="1333"/>
      <c r="B1395" s="1333"/>
      <c r="C1395" s="1333"/>
      <c r="D1395" s="1333"/>
      <c r="E1395" s="1333"/>
      <c r="F1395" s="1333"/>
      <c r="G1395" s="1333"/>
      <c r="H1395" s="1333" t="s">
        <v>1669</v>
      </c>
      <c r="I1395" s="1333" t="s">
        <v>4162</v>
      </c>
      <c r="J1395" s="1333" t="s">
        <v>1058</v>
      </c>
      <c r="K1395" s="1333" t="s">
        <v>4158</v>
      </c>
      <c r="L1395" s="1333" t="s">
        <v>2480</v>
      </c>
      <c r="M1395" s="1335">
        <v>1.0</v>
      </c>
    </row>
    <row r="1396">
      <c r="A1396" s="1333"/>
      <c r="B1396" s="1333"/>
      <c r="C1396" s="1333"/>
      <c r="D1396" s="1333"/>
      <c r="E1396" s="1333"/>
      <c r="F1396" s="1333"/>
      <c r="G1396" s="1333"/>
      <c r="H1396" s="1333" t="s">
        <v>1669</v>
      </c>
      <c r="I1396" s="1333" t="s">
        <v>4162</v>
      </c>
      <c r="J1396" s="1333" t="s">
        <v>1058</v>
      </c>
      <c r="K1396" s="1333" t="s">
        <v>4165</v>
      </c>
      <c r="L1396" s="1333" t="s">
        <v>2480</v>
      </c>
      <c r="M1396" s="1335">
        <v>4.0</v>
      </c>
    </row>
    <row r="1397">
      <c r="A1397" s="1333"/>
      <c r="B1397" s="1333"/>
      <c r="C1397" s="1333"/>
      <c r="D1397" s="1333"/>
      <c r="E1397" s="1333"/>
      <c r="F1397" s="1333"/>
      <c r="G1397" s="1333"/>
      <c r="H1397" s="1333" t="s">
        <v>1669</v>
      </c>
      <c r="I1397" s="1333" t="s">
        <v>4162</v>
      </c>
      <c r="J1397" s="1333" t="s">
        <v>1058</v>
      </c>
      <c r="K1397" s="1333" t="s">
        <v>4161</v>
      </c>
      <c r="L1397" s="1333" t="s">
        <v>2480</v>
      </c>
      <c r="M1397" s="1335">
        <v>2.0</v>
      </c>
    </row>
    <row r="1398">
      <c r="A1398" s="1333"/>
      <c r="B1398" s="1333"/>
      <c r="C1398" s="1333"/>
      <c r="D1398" s="1333"/>
      <c r="E1398" s="1333"/>
      <c r="F1398" s="1333"/>
      <c r="G1398" s="1333"/>
      <c r="H1398" s="1333" t="s">
        <v>1669</v>
      </c>
      <c r="I1398" s="1333" t="s">
        <v>4162</v>
      </c>
      <c r="J1398" s="1333" t="s">
        <v>1058</v>
      </c>
      <c r="K1398" s="1333" t="s">
        <v>4160</v>
      </c>
      <c r="L1398" s="1333" t="s">
        <v>2480</v>
      </c>
      <c r="M1398" s="1335">
        <v>1.0</v>
      </c>
    </row>
    <row r="1399">
      <c r="A1399" s="1333"/>
      <c r="B1399" s="1333"/>
      <c r="C1399" s="1333"/>
      <c r="D1399" s="1333"/>
      <c r="E1399" s="1333"/>
      <c r="F1399" s="1333"/>
      <c r="G1399" s="1333"/>
      <c r="H1399" s="1333" t="s">
        <v>1669</v>
      </c>
      <c r="I1399" s="1333" t="s">
        <v>4162</v>
      </c>
      <c r="J1399" s="1333" t="s">
        <v>4161</v>
      </c>
      <c r="K1399" s="1333" t="s">
        <v>4174</v>
      </c>
      <c r="L1399" s="1333" t="s">
        <v>2480</v>
      </c>
      <c r="M1399" s="1335">
        <v>1.0</v>
      </c>
    </row>
    <row r="1400">
      <c r="A1400" s="1333"/>
      <c r="B1400" s="1333"/>
      <c r="C1400" s="1333"/>
      <c r="D1400" s="1333"/>
      <c r="E1400" s="1333"/>
      <c r="F1400" s="1333"/>
      <c r="G1400" s="1333"/>
      <c r="H1400" s="1333" t="s">
        <v>1669</v>
      </c>
      <c r="I1400" s="1333" t="s">
        <v>4162</v>
      </c>
      <c r="J1400" s="1333" t="s">
        <v>4161</v>
      </c>
      <c r="K1400" s="1333" t="s">
        <v>1055</v>
      </c>
      <c r="L1400" s="1333" t="s">
        <v>1724</v>
      </c>
      <c r="M1400" s="1335">
        <v>8.0</v>
      </c>
    </row>
    <row r="1401">
      <c r="A1401" s="1333"/>
      <c r="B1401" s="1333"/>
      <c r="C1401" s="1333"/>
      <c r="D1401" s="1333"/>
      <c r="E1401" s="1333"/>
      <c r="F1401" s="1333"/>
      <c r="G1401" s="1333"/>
      <c r="H1401" s="1333" t="s">
        <v>119</v>
      </c>
      <c r="I1401" s="1333" t="s">
        <v>4173</v>
      </c>
      <c r="J1401" s="1333" t="s">
        <v>1058</v>
      </c>
      <c r="K1401" s="1333" t="s">
        <v>4163</v>
      </c>
      <c r="L1401" s="1333" t="s">
        <v>2480</v>
      </c>
      <c r="M1401" s="1335">
        <v>2.0</v>
      </c>
    </row>
    <row r="1402">
      <c r="A1402" s="1333"/>
      <c r="B1402" s="1333"/>
      <c r="C1402" s="1333"/>
      <c r="D1402" s="1333"/>
      <c r="E1402" s="1333"/>
      <c r="F1402" s="1333"/>
      <c r="G1402" s="1333"/>
      <c r="H1402" s="1333" t="s">
        <v>119</v>
      </c>
      <c r="I1402" s="1333" t="s">
        <v>4173</v>
      </c>
      <c r="J1402" s="1333" t="s">
        <v>1058</v>
      </c>
      <c r="K1402" s="1333" t="s">
        <v>4156</v>
      </c>
      <c r="L1402" s="1333" t="s">
        <v>2480</v>
      </c>
      <c r="M1402" s="1335">
        <v>13.0</v>
      </c>
    </row>
    <row r="1403">
      <c r="A1403" s="1333"/>
      <c r="B1403" s="1333"/>
      <c r="C1403" s="1333"/>
      <c r="D1403" s="1333"/>
      <c r="E1403" s="1333"/>
      <c r="F1403" s="1333"/>
      <c r="G1403" s="1333"/>
      <c r="H1403" s="1333" t="s">
        <v>119</v>
      </c>
      <c r="I1403" s="1333" t="s">
        <v>4173</v>
      </c>
      <c r="J1403" s="1333" t="s">
        <v>1058</v>
      </c>
      <c r="K1403" s="1333" t="s">
        <v>4157</v>
      </c>
      <c r="L1403" s="1333" t="s">
        <v>1724</v>
      </c>
      <c r="M1403" s="1335">
        <v>4.0</v>
      </c>
    </row>
    <row r="1404">
      <c r="A1404" s="1333"/>
      <c r="B1404" s="1333"/>
      <c r="C1404" s="1333"/>
      <c r="D1404" s="1333"/>
      <c r="E1404" s="1333"/>
      <c r="F1404" s="1333"/>
      <c r="G1404" s="1333"/>
      <c r="H1404" s="1333" t="s">
        <v>119</v>
      </c>
      <c r="I1404" s="1333" t="s">
        <v>4173</v>
      </c>
      <c r="J1404" s="1333" t="s">
        <v>4161</v>
      </c>
      <c r="K1404" s="1333" t="s">
        <v>1055</v>
      </c>
      <c r="L1404" s="1333" t="s">
        <v>1724</v>
      </c>
      <c r="M1404" s="1335">
        <v>22.0</v>
      </c>
    </row>
    <row r="1405">
      <c r="A1405" s="1333"/>
      <c r="B1405" s="1333"/>
      <c r="C1405" s="1333"/>
      <c r="D1405" s="1333"/>
      <c r="E1405" s="1333"/>
      <c r="F1405" s="1333"/>
      <c r="G1405" s="1333"/>
      <c r="H1405" s="1333" t="s">
        <v>2172</v>
      </c>
      <c r="I1405" s="1333" t="s">
        <v>4168</v>
      </c>
      <c r="J1405" s="1333" t="s">
        <v>1058</v>
      </c>
      <c r="K1405" s="1333" t="s">
        <v>4163</v>
      </c>
      <c r="L1405" s="1333" t="s">
        <v>2480</v>
      </c>
      <c r="M1405" s="1335">
        <v>6.0</v>
      </c>
    </row>
    <row r="1406">
      <c r="A1406" s="1333"/>
      <c r="B1406" s="1333"/>
      <c r="C1406" s="1333"/>
      <c r="D1406" s="1333"/>
      <c r="E1406" s="1333"/>
      <c r="F1406" s="1333"/>
      <c r="G1406" s="1333"/>
      <c r="H1406" s="1333" t="s">
        <v>2172</v>
      </c>
      <c r="I1406" s="1333" t="s">
        <v>4168</v>
      </c>
      <c r="J1406" s="1333" t="s">
        <v>1058</v>
      </c>
      <c r="K1406" s="1333" t="s">
        <v>4156</v>
      </c>
      <c r="L1406" s="1333" t="s">
        <v>2480</v>
      </c>
      <c r="M1406" s="1335">
        <v>135.0</v>
      </c>
    </row>
    <row r="1407">
      <c r="A1407" s="1333"/>
      <c r="B1407" s="1333"/>
      <c r="C1407" s="1333"/>
      <c r="D1407" s="1333"/>
      <c r="E1407" s="1333"/>
      <c r="F1407" s="1333"/>
      <c r="G1407" s="1333"/>
      <c r="H1407" s="1333" t="s">
        <v>2172</v>
      </c>
      <c r="I1407" s="1333" t="s">
        <v>4168</v>
      </c>
      <c r="J1407" s="1333" t="s">
        <v>1058</v>
      </c>
      <c r="K1407" s="1333" t="s">
        <v>4157</v>
      </c>
      <c r="L1407" s="1333" t="s">
        <v>1724</v>
      </c>
      <c r="M1407" s="1335">
        <v>1.0</v>
      </c>
    </row>
    <row r="1408">
      <c r="A1408" s="1333"/>
      <c r="B1408" s="1333"/>
      <c r="C1408" s="1333"/>
      <c r="D1408" s="1333"/>
      <c r="E1408" s="1333"/>
      <c r="F1408" s="1333"/>
      <c r="G1408" s="1333"/>
      <c r="H1408" s="1333" t="s">
        <v>2172</v>
      </c>
      <c r="I1408" s="1333" t="s">
        <v>4168</v>
      </c>
      <c r="J1408" s="1333" t="s">
        <v>1058</v>
      </c>
      <c r="K1408" s="1333" t="s">
        <v>4158</v>
      </c>
      <c r="L1408" s="1333" t="s">
        <v>2480</v>
      </c>
      <c r="M1408" s="1335">
        <v>3.0</v>
      </c>
    </row>
    <row r="1409">
      <c r="A1409" s="1333"/>
      <c r="B1409" s="1333"/>
      <c r="C1409" s="1333"/>
      <c r="D1409" s="1333"/>
      <c r="E1409" s="1333"/>
      <c r="F1409" s="1333"/>
      <c r="G1409" s="1333"/>
      <c r="H1409" s="1333" t="s">
        <v>2172</v>
      </c>
      <c r="I1409" s="1333" t="s">
        <v>4168</v>
      </c>
      <c r="J1409" s="1333" t="s">
        <v>1058</v>
      </c>
      <c r="K1409" s="1333" t="s">
        <v>4159</v>
      </c>
      <c r="L1409" s="1333" t="s">
        <v>1724</v>
      </c>
      <c r="M1409" s="1335">
        <v>2.0</v>
      </c>
    </row>
    <row r="1410">
      <c r="A1410" s="1333"/>
      <c r="B1410" s="1333"/>
      <c r="C1410" s="1333"/>
      <c r="D1410" s="1333"/>
      <c r="E1410" s="1333"/>
      <c r="F1410" s="1333"/>
      <c r="G1410" s="1333"/>
      <c r="H1410" s="1333" t="s">
        <v>2172</v>
      </c>
      <c r="I1410" s="1333" t="s">
        <v>4168</v>
      </c>
      <c r="J1410" s="1333" t="s">
        <v>1058</v>
      </c>
      <c r="K1410" s="1333" t="s">
        <v>4165</v>
      </c>
      <c r="L1410" s="1333" t="s">
        <v>2480</v>
      </c>
      <c r="M1410" s="1335">
        <v>5.0</v>
      </c>
    </row>
    <row r="1411">
      <c r="A1411" s="1333"/>
      <c r="B1411" s="1333"/>
      <c r="C1411" s="1333"/>
      <c r="D1411" s="1333"/>
      <c r="E1411" s="1333"/>
      <c r="F1411" s="1333"/>
      <c r="G1411" s="1333"/>
      <c r="H1411" s="1333" t="s">
        <v>2172</v>
      </c>
      <c r="I1411" s="1333" t="s">
        <v>4168</v>
      </c>
      <c r="J1411" s="1333" t="s">
        <v>1058</v>
      </c>
      <c r="K1411" s="1333" t="s">
        <v>4166</v>
      </c>
      <c r="L1411" s="1333" t="s">
        <v>2480</v>
      </c>
      <c r="M1411" s="1335">
        <v>10.0</v>
      </c>
    </row>
    <row r="1412">
      <c r="A1412" s="1333"/>
      <c r="B1412" s="1333"/>
      <c r="C1412" s="1333"/>
      <c r="D1412" s="1333"/>
      <c r="E1412" s="1333"/>
      <c r="F1412" s="1333"/>
      <c r="G1412" s="1333"/>
      <c r="H1412" s="1333" t="s">
        <v>2172</v>
      </c>
      <c r="I1412" s="1333" t="s">
        <v>4168</v>
      </c>
      <c r="J1412" s="1333" t="s">
        <v>1058</v>
      </c>
      <c r="K1412" s="1333" t="s">
        <v>4161</v>
      </c>
      <c r="L1412" s="1333" t="s">
        <v>2480</v>
      </c>
      <c r="M1412" s="1335">
        <v>1.0</v>
      </c>
    </row>
    <row r="1413">
      <c r="A1413" s="1333"/>
      <c r="B1413" s="1333"/>
      <c r="C1413" s="1333"/>
      <c r="D1413" s="1333"/>
      <c r="E1413" s="1333"/>
      <c r="F1413" s="1333"/>
      <c r="G1413" s="1333"/>
      <c r="H1413" s="1333" t="s">
        <v>2172</v>
      </c>
      <c r="I1413" s="1333" t="s">
        <v>4168</v>
      </c>
      <c r="J1413" s="1333" t="s">
        <v>1058</v>
      </c>
      <c r="K1413" s="1333" t="s">
        <v>4160</v>
      </c>
      <c r="L1413" s="1333" t="s">
        <v>2480</v>
      </c>
      <c r="M1413" s="1335">
        <v>4.0</v>
      </c>
    </row>
    <row r="1414">
      <c r="A1414" s="1333"/>
      <c r="B1414" s="1333"/>
      <c r="C1414" s="1333"/>
      <c r="D1414" s="1333"/>
      <c r="E1414" s="1333"/>
      <c r="F1414" s="1333"/>
      <c r="G1414" s="1333"/>
      <c r="H1414" s="1333" t="s">
        <v>2172</v>
      </c>
      <c r="I1414" s="1333" t="s">
        <v>4168</v>
      </c>
      <c r="J1414" s="1333" t="s">
        <v>4161</v>
      </c>
      <c r="K1414" s="1333" t="s">
        <v>4167</v>
      </c>
      <c r="L1414" s="1333" t="s">
        <v>2480</v>
      </c>
      <c r="M1414" s="1335">
        <v>1.0</v>
      </c>
    </row>
    <row r="1415">
      <c r="A1415" s="1333"/>
      <c r="B1415" s="1333"/>
      <c r="C1415" s="1333"/>
      <c r="D1415" s="1333"/>
      <c r="E1415" s="1333"/>
      <c r="F1415" s="1333"/>
      <c r="G1415" s="1333"/>
      <c r="H1415" s="1333" t="s">
        <v>2172</v>
      </c>
      <c r="I1415" s="1333" t="s">
        <v>4168</v>
      </c>
      <c r="J1415" s="1333" t="s">
        <v>4161</v>
      </c>
      <c r="K1415" s="1333" t="s">
        <v>1055</v>
      </c>
      <c r="L1415" s="1333" t="s">
        <v>1724</v>
      </c>
      <c r="M1415" s="1335">
        <v>150.0</v>
      </c>
    </row>
    <row r="1416">
      <c r="A1416" s="1333"/>
      <c r="B1416" s="1333"/>
      <c r="C1416" s="1333"/>
      <c r="D1416" s="1333"/>
      <c r="E1416" s="1333"/>
      <c r="F1416" s="1333"/>
      <c r="G1416" s="1333"/>
      <c r="H1416" s="1333" t="s">
        <v>2172</v>
      </c>
      <c r="I1416" s="1333" t="s">
        <v>4168</v>
      </c>
      <c r="J1416" s="1333" t="s">
        <v>4161</v>
      </c>
      <c r="K1416" s="1333" t="s">
        <v>4161</v>
      </c>
      <c r="L1416" s="1333" t="s">
        <v>2480</v>
      </c>
      <c r="M1416" s="1335">
        <v>3.0</v>
      </c>
    </row>
    <row r="1417">
      <c r="A1417" s="1333"/>
      <c r="B1417" s="1333"/>
      <c r="C1417" s="1333"/>
      <c r="D1417" s="1333"/>
      <c r="E1417" s="1333"/>
      <c r="F1417" s="1333"/>
      <c r="G1417" s="1333"/>
      <c r="H1417" s="1333" t="s">
        <v>2173</v>
      </c>
      <c r="I1417" s="1333" t="s">
        <v>4172</v>
      </c>
      <c r="J1417" s="1333" t="s">
        <v>1058</v>
      </c>
      <c r="K1417" s="1333" t="s">
        <v>4156</v>
      </c>
      <c r="L1417" s="1333" t="s">
        <v>2480</v>
      </c>
      <c r="M1417" s="1335">
        <v>11.0</v>
      </c>
    </row>
    <row r="1418">
      <c r="A1418" s="1333"/>
      <c r="B1418" s="1333"/>
      <c r="C1418" s="1333"/>
      <c r="D1418" s="1333"/>
      <c r="E1418" s="1333"/>
      <c r="F1418" s="1333"/>
      <c r="G1418" s="1333"/>
      <c r="H1418" s="1333" t="s">
        <v>2173</v>
      </c>
      <c r="I1418" s="1333" t="s">
        <v>4172</v>
      </c>
      <c r="J1418" s="1333" t="s">
        <v>1058</v>
      </c>
      <c r="K1418" s="1333" t="s">
        <v>4157</v>
      </c>
      <c r="L1418" s="1333" t="s">
        <v>1724</v>
      </c>
      <c r="M1418" s="1335">
        <v>5.0</v>
      </c>
    </row>
    <row r="1419">
      <c r="A1419" s="1333"/>
      <c r="B1419" s="1333"/>
      <c r="C1419" s="1333"/>
      <c r="D1419" s="1333"/>
      <c r="E1419" s="1333"/>
      <c r="F1419" s="1333"/>
      <c r="G1419" s="1333"/>
      <c r="H1419" s="1333" t="s">
        <v>2173</v>
      </c>
      <c r="I1419" s="1333" t="s">
        <v>4172</v>
      </c>
      <c r="J1419" s="1333" t="s">
        <v>1058</v>
      </c>
      <c r="K1419" s="1333" t="s">
        <v>4165</v>
      </c>
      <c r="L1419" s="1333" t="s">
        <v>2480</v>
      </c>
      <c r="M1419" s="1335">
        <v>2.0</v>
      </c>
    </row>
    <row r="1420">
      <c r="A1420" s="1333"/>
      <c r="B1420" s="1333"/>
      <c r="C1420" s="1333"/>
      <c r="D1420" s="1333"/>
      <c r="E1420" s="1333"/>
      <c r="F1420" s="1333"/>
      <c r="G1420" s="1333"/>
      <c r="H1420" s="1333" t="s">
        <v>2173</v>
      </c>
      <c r="I1420" s="1333" t="s">
        <v>4172</v>
      </c>
      <c r="J1420" s="1333" t="s">
        <v>1058</v>
      </c>
      <c r="K1420" s="1333" t="s">
        <v>4160</v>
      </c>
      <c r="L1420" s="1333" t="s">
        <v>2480</v>
      </c>
      <c r="M1420" s="1335">
        <v>1.0</v>
      </c>
    </row>
    <row r="1421">
      <c r="A1421" s="1333"/>
      <c r="B1421" s="1333"/>
      <c r="C1421" s="1333"/>
      <c r="D1421" s="1333"/>
      <c r="E1421" s="1333"/>
      <c r="F1421" s="1333"/>
      <c r="G1421" s="1333"/>
      <c r="H1421" s="1333" t="s">
        <v>2173</v>
      </c>
      <c r="I1421" s="1333" t="s">
        <v>4172</v>
      </c>
      <c r="J1421" s="1333" t="s">
        <v>4161</v>
      </c>
      <c r="K1421" s="1333" t="s">
        <v>1055</v>
      </c>
      <c r="L1421" s="1333" t="s">
        <v>1724</v>
      </c>
      <c r="M1421" s="1335">
        <v>19.0</v>
      </c>
    </row>
    <row r="1422">
      <c r="A1422" s="1333"/>
      <c r="B1422" s="1333"/>
      <c r="C1422" s="1333"/>
      <c r="D1422" s="1333"/>
      <c r="E1422" s="1333"/>
      <c r="F1422" s="1333"/>
      <c r="G1422" s="1333"/>
      <c r="H1422" s="1333" t="s">
        <v>649</v>
      </c>
      <c r="I1422" s="1333" t="s">
        <v>4170</v>
      </c>
      <c r="J1422" s="1333" t="s">
        <v>1058</v>
      </c>
      <c r="K1422" s="1333" t="s">
        <v>4156</v>
      </c>
      <c r="L1422" s="1333" t="s">
        <v>2480</v>
      </c>
      <c r="M1422" s="1335">
        <v>6.0</v>
      </c>
    </row>
    <row r="1423">
      <c r="A1423" s="1333"/>
      <c r="B1423" s="1333"/>
      <c r="C1423" s="1333"/>
      <c r="D1423" s="1333"/>
      <c r="E1423" s="1333"/>
      <c r="F1423" s="1333"/>
      <c r="G1423" s="1333"/>
      <c r="H1423" s="1333" t="s">
        <v>1020</v>
      </c>
      <c r="I1423" s="1333" t="s">
        <v>4169</v>
      </c>
      <c r="J1423" s="1333" t="s">
        <v>1058</v>
      </c>
      <c r="K1423" s="1333" t="s">
        <v>4163</v>
      </c>
      <c r="L1423" s="1333" t="s">
        <v>2480</v>
      </c>
      <c r="M1423" s="1335">
        <v>10.0</v>
      </c>
    </row>
    <row r="1424">
      <c r="A1424" s="1333"/>
      <c r="B1424" s="1333"/>
      <c r="C1424" s="1333"/>
      <c r="D1424" s="1333"/>
      <c r="E1424" s="1333"/>
      <c r="F1424" s="1333"/>
      <c r="G1424" s="1333"/>
      <c r="H1424" s="1333" t="s">
        <v>1020</v>
      </c>
      <c r="I1424" s="1333" t="s">
        <v>4169</v>
      </c>
      <c r="J1424" s="1333" t="s">
        <v>1058</v>
      </c>
      <c r="K1424" s="1333" t="s">
        <v>4156</v>
      </c>
      <c r="L1424" s="1333" t="s">
        <v>2480</v>
      </c>
      <c r="M1424" s="1335">
        <v>121.0</v>
      </c>
    </row>
    <row r="1425">
      <c r="A1425" s="1333"/>
      <c r="B1425" s="1333"/>
      <c r="C1425" s="1333"/>
      <c r="D1425" s="1333"/>
      <c r="E1425" s="1333"/>
      <c r="F1425" s="1333"/>
      <c r="G1425" s="1333"/>
      <c r="H1425" s="1333" t="s">
        <v>1020</v>
      </c>
      <c r="I1425" s="1333" t="s">
        <v>4169</v>
      </c>
      <c r="J1425" s="1333" t="s">
        <v>1058</v>
      </c>
      <c r="K1425" s="1333" t="s">
        <v>4157</v>
      </c>
      <c r="L1425" s="1333" t="s">
        <v>1724</v>
      </c>
      <c r="M1425" s="1335">
        <v>3.0</v>
      </c>
    </row>
    <row r="1426">
      <c r="A1426" s="1333"/>
      <c r="B1426" s="1333"/>
      <c r="C1426" s="1333"/>
      <c r="D1426" s="1333"/>
      <c r="E1426" s="1333"/>
      <c r="F1426" s="1333"/>
      <c r="G1426" s="1333"/>
      <c r="H1426" s="1333" t="s">
        <v>1020</v>
      </c>
      <c r="I1426" s="1333" t="s">
        <v>4169</v>
      </c>
      <c r="J1426" s="1333" t="s">
        <v>1058</v>
      </c>
      <c r="K1426" s="1333" t="s">
        <v>4158</v>
      </c>
      <c r="L1426" s="1333" t="s">
        <v>2480</v>
      </c>
      <c r="M1426" s="1335">
        <v>3.0</v>
      </c>
    </row>
    <row r="1427">
      <c r="A1427" s="1333"/>
      <c r="B1427" s="1333"/>
      <c r="C1427" s="1333"/>
      <c r="D1427" s="1333"/>
      <c r="E1427" s="1333"/>
      <c r="F1427" s="1333"/>
      <c r="G1427" s="1333"/>
      <c r="H1427" s="1333" t="s">
        <v>1020</v>
      </c>
      <c r="I1427" s="1333" t="s">
        <v>4169</v>
      </c>
      <c r="J1427" s="1333" t="s">
        <v>1058</v>
      </c>
      <c r="K1427" s="1333" t="s">
        <v>4159</v>
      </c>
      <c r="L1427" s="1333" t="s">
        <v>1724</v>
      </c>
      <c r="M1427" s="1335">
        <v>3.0</v>
      </c>
    </row>
    <row r="1428">
      <c r="A1428" s="1333"/>
      <c r="B1428" s="1333"/>
      <c r="C1428" s="1333"/>
      <c r="D1428" s="1333"/>
      <c r="E1428" s="1333"/>
      <c r="F1428" s="1333"/>
      <c r="G1428" s="1333"/>
      <c r="H1428" s="1333" t="s">
        <v>1020</v>
      </c>
      <c r="I1428" s="1333" t="s">
        <v>4169</v>
      </c>
      <c r="J1428" s="1333" t="s">
        <v>1058</v>
      </c>
      <c r="K1428" s="1333" t="s">
        <v>4165</v>
      </c>
      <c r="L1428" s="1333" t="s">
        <v>2480</v>
      </c>
      <c r="M1428" s="1335">
        <v>3.0</v>
      </c>
    </row>
    <row r="1429">
      <c r="A1429" s="1333"/>
      <c r="B1429" s="1333"/>
      <c r="C1429" s="1333"/>
      <c r="D1429" s="1333"/>
      <c r="E1429" s="1333"/>
      <c r="F1429" s="1333"/>
      <c r="G1429" s="1333"/>
      <c r="H1429" s="1333" t="s">
        <v>1020</v>
      </c>
      <c r="I1429" s="1333" t="s">
        <v>4169</v>
      </c>
      <c r="J1429" s="1333" t="s">
        <v>1058</v>
      </c>
      <c r="K1429" s="1333" t="s">
        <v>4166</v>
      </c>
      <c r="L1429" s="1333" t="s">
        <v>2480</v>
      </c>
      <c r="M1429" s="1335">
        <v>5.0</v>
      </c>
    </row>
    <row r="1430">
      <c r="A1430" s="1333"/>
      <c r="B1430" s="1333"/>
      <c r="C1430" s="1333"/>
      <c r="D1430" s="1333"/>
      <c r="E1430" s="1333"/>
      <c r="F1430" s="1333"/>
      <c r="G1430" s="1333"/>
      <c r="H1430" s="1333" t="s">
        <v>1020</v>
      </c>
      <c r="I1430" s="1333" t="s">
        <v>4169</v>
      </c>
      <c r="J1430" s="1333" t="s">
        <v>1058</v>
      </c>
      <c r="K1430" s="1333" t="s">
        <v>4160</v>
      </c>
      <c r="L1430" s="1333" t="s">
        <v>2480</v>
      </c>
      <c r="M1430" s="1335">
        <v>19.0</v>
      </c>
    </row>
    <row r="1431">
      <c r="A1431" s="1333"/>
      <c r="B1431" s="1333"/>
      <c r="C1431" s="1333"/>
      <c r="D1431" s="1333"/>
      <c r="E1431" s="1333"/>
      <c r="F1431" s="1333"/>
      <c r="G1431" s="1333"/>
      <c r="H1431" s="1333" t="s">
        <v>1020</v>
      </c>
      <c r="I1431" s="1333" t="s">
        <v>4169</v>
      </c>
      <c r="J1431" s="1333" t="s">
        <v>4161</v>
      </c>
      <c r="K1431" s="1333" t="s">
        <v>4167</v>
      </c>
      <c r="L1431" s="1333" t="s">
        <v>2480</v>
      </c>
      <c r="M1431" s="1335">
        <v>2.0</v>
      </c>
    </row>
    <row r="1432">
      <c r="A1432" s="1333"/>
      <c r="B1432" s="1333"/>
      <c r="C1432" s="1333"/>
      <c r="D1432" s="1333"/>
      <c r="E1432" s="1333"/>
      <c r="F1432" s="1333"/>
      <c r="G1432" s="1333"/>
      <c r="H1432" s="1333" t="s">
        <v>1020</v>
      </c>
      <c r="I1432" s="1333" t="s">
        <v>4169</v>
      </c>
      <c r="J1432" s="1333" t="s">
        <v>4161</v>
      </c>
      <c r="K1432" s="1333" t="s">
        <v>4174</v>
      </c>
      <c r="L1432" s="1333" t="s">
        <v>2480</v>
      </c>
      <c r="M1432" s="1335">
        <v>1.0</v>
      </c>
    </row>
    <row r="1433">
      <c r="A1433" s="1333"/>
      <c r="B1433" s="1333"/>
      <c r="C1433" s="1333"/>
      <c r="D1433" s="1333"/>
      <c r="E1433" s="1333"/>
      <c r="F1433" s="1333"/>
      <c r="G1433" s="1333"/>
      <c r="H1433" s="1333" t="s">
        <v>1020</v>
      </c>
      <c r="I1433" s="1333" t="s">
        <v>4169</v>
      </c>
      <c r="J1433" s="1333" t="s">
        <v>4161</v>
      </c>
      <c r="K1433" s="1333" t="s">
        <v>1055</v>
      </c>
      <c r="L1433" s="1333" t="s">
        <v>1724</v>
      </c>
      <c r="M1433" s="1335">
        <v>109.0</v>
      </c>
    </row>
    <row r="1434">
      <c r="A1434" s="1333"/>
      <c r="B1434" s="1333"/>
      <c r="C1434" s="1333"/>
      <c r="D1434" s="1333"/>
      <c r="E1434" s="1333"/>
      <c r="F1434" s="1333"/>
      <c r="G1434" s="1333"/>
      <c r="H1434" s="1333" t="s">
        <v>1020</v>
      </c>
      <c r="I1434" s="1333" t="s">
        <v>4169</v>
      </c>
      <c r="J1434" s="1333" t="s">
        <v>4161</v>
      </c>
      <c r="K1434" s="1333" t="s">
        <v>4161</v>
      </c>
      <c r="L1434" s="1333" t="s">
        <v>2480</v>
      </c>
      <c r="M1434" s="1335">
        <v>2.0</v>
      </c>
    </row>
    <row r="1435">
      <c r="A1435" s="1333"/>
      <c r="B1435" s="1333"/>
      <c r="C1435" s="1333"/>
      <c r="D1435" s="1333"/>
      <c r="E1435" s="1333"/>
      <c r="F1435" s="1333"/>
      <c r="G1435" s="1333"/>
      <c r="H1435" s="1333" t="s">
        <v>2174</v>
      </c>
      <c r="I1435" s="1333" t="s">
        <v>4169</v>
      </c>
      <c r="J1435" s="1333" t="s">
        <v>1058</v>
      </c>
      <c r="K1435" s="1333" t="s">
        <v>4156</v>
      </c>
      <c r="L1435" s="1333" t="s">
        <v>2480</v>
      </c>
      <c r="M1435" s="1335">
        <v>22.0</v>
      </c>
    </row>
    <row r="1436">
      <c r="A1436" s="1333"/>
      <c r="B1436" s="1333"/>
      <c r="C1436" s="1333"/>
      <c r="D1436" s="1333"/>
      <c r="E1436" s="1333"/>
      <c r="F1436" s="1333"/>
      <c r="G1436" s="1333"/>
      <c r="H1436" s="1333" t="s">
        <v>2174</v>
      </c>
      <c r="I1436" s="1333" t="s">
        <v>4169</v>
      </c>
      <c r="J1436" s="1333" t="s">
        <v>1058</v>
      </c>
      <c r="K1436" s="1333" t="s">
        <v>4157</v>
      </c>
      <c r="L1436" s="1333" t="s">
        <v>1724</v>
      </c>
      <c r="M1436" s="1335">
        <v>2.0</v>
      </c>
    </row>
    <row r="1437">
      <c r="A1437" s="1333"/>
      <c r="B1437" s="1333"/>
      <c r="C1437" s="1333"/>
      <c r="D1437" s="1333"/>
      <c r="E1437" s="1333"/>
      <c r="F1437" s="1333"/>
      <c r="G1437" s="1333"/>
      <c r="H1437" s="1333" t="s">
        <v>2174</v>
      </c>
      <c r="I1437" s="1333" t="s">
        <v>4169</v>
      </c>
      <c r="J1437" s="1333" t="s">
        <v>1058</v>
      </c>
      <c r="K1437" s="1333" t="s">
        <v>4165</v>
      </c>
      <c r="L1437" s="1333" t="s">
        <v>2480</v>
      </c>
      <c r="M1437" s="1335">
        <v>2.0</v>
      </c>
    </row>
    <row r="1438">
      <c r="A1438" s="1333"/>
      <c r="B1438" s="1333"/>
      <c r="C1438" s="1333"/>
      <c r="D1438" s="1333"/>
      <c r="E1438" s="1333"/>
      <c r="F1438" s="1333"/>
      <c r="G1438" s="1333"/>
      <c r="H1438" s="1333" t="s">
        <v>2174</v>
      </c>
      <c r="I1438" s="1333" t="s">
        <v>4169</v>
      </c>
      <c r="J1438" s="1333" t="s">
        <v>1058</v>
      </c>
      <c r="K1438" s="1333" t="s">
        <v>4160</v>
      </c>
      <c r="L1438" s="1333" t="s">
        <v>2480</v>
      </c>
      <c r="M1438" s="1335">
        <v>1.0</v>
      </c>
    </row>
    <row r="1439">
      <c r="A1439" s="1333"/>
      <c r="B1439" s="1333"/>
      <c r="C1439" s="1333"/>
      <c r="D1439" s="1333"/>
      <c r="E1439" s="1333"/>
      <c r="F1439" s="1333"/>
      <c r="G1439" s="1333"/>
      <c r="H1439" s="1333" t="s">
        <v>2174</v>
      </c>
      <c r="I1439" s="1333" t="s">
        <v>4169</v>
      </c>
      <c r="J1439" s="1333" t="s">
        <v>4161</v>
      </c>
      <c r="K1439" s="1333" t="s">
        <v>1055</v>
      </c>
      <c r="L1439" s="1333" t="s">
        <v>1724</v>
      </c>
      <c r="M1439" s="1335">
        <v>12.0</v>
      </c>
    </row>
    <row r="1440">
      <c r="A1440" s="1333"/>
      <c r="B1440" s="1333"/>
      <c r="C1440" s="1333"/>
      <c r="D1440" s="1333"/>
      <c r="E1440" s="1333"/>
      <c r="F1440" s="1333"/>
      <c r="G1440" s="1333"/>
      <c r="H1440" s="1333" t="s">
        <v>2176</v>
      </c>
      <c r="I1440" s="1333" t="s">
        <v>4168</v>
      </c>
      <c r="J1440" s="1333" t="s">
        <v>1058</v>
      </c>
      <c r="K1440" s="1333" t="s">
        <v>4156</v>
      </c>
      <c r="L1440" s="1333" t="s">
        <v>2480</v>
      </c>
      <c r="M1440" s="1335">
        <v>12.0</v>
      </c>
    </row>
    <row r="1441">
      <c r="A1441" s="1333"/>
      <c r="B1441" s="1333"/>
      <c r="C1441" s="1333"/>
      <c r="D1441" s="1333"/>
      <c r="E1441" s="1333"/>
      <c r="F1441" s="1333"/>
      <c r="G1441" s="1333"/>
      <c r="H1441" s="1333" t="s">
        <v>2176</v>
      </c>
      <c r="I1441" s="1333" t="s">
        <v>4168</v>
      </c>
      <c r="J1441" s="1333" t="s">
        <v>1058</v>
      </c>
      <c r="K1441" s="1333" t="s">
        <v>4158</v>
      </c>
      <c r="L1441" s="1333" t="s">
        <v>2480</v>
      </c>
      <c r="M1441" s="1335">
        <v>1.0</v>
      </c>
    </row>
    <row r="1442">
      <c r="A1442" s="1333"/>
      <c r="B1442" s="1333"/>
      <c r="C1442" s="1333"/>
      <c r="D1442" s="1333"/>
      <c r="E1442" s="1333"/>
      <c r="F1442" s="1333"/>
      <c r="G1442" s="1333"/>
      <c r="H1442" s="1333" t="s">
        <v>2176</v>
      </c>
      <c r="I1442" s="1333" t="s">
        <v>4168</v>
      </c>
      <c r="J1442" s="1333" t="s">
        <v>4161</v>
      </c>
      <c r="K1442" s="1333" t="s">
        <v>1055</v>
      </c>
      <c r="L1442" s="1333" t="s">
        <v>1724</v>
      </c>
      <c r="M1442" s="1335">
        <v>9.0</v>
      </c>
    </row>
    <row r="1443">
      <c r="A1443" s="1333"/>
      <c r="B1443" s="1333"/>
      <c r="C1443" s="1333"/>
      <c r="D1443" s="1333"/>
      <c r="E1443" s="1333"/>
      <c r="F1443" s="1333"/>
      <c r="G1443" s="1333"/>
      <c r="H1443" s="1333" t="s">
        <v>627</v>
      </c>
      <c r="I1443" s="1333" t="s">
        <v>4173</v>
      </c>
      <c r="J1443" s="1333" t="s">
        <v>1058</v>
      </c>
      <c r="K1443" s="1333" t="s">
        <v>4163</v>
      </c>
      <c r="L1443" s="1333" t="s">
        <v>2480</v>
      </c>
      <c r="M1443" s="1335">
        <v>5.0</v>
      </c>
    </row>
    <row r="1444">
      <c r="A1444" s="1333"/>
      <c r="B1444" s="1333"/>
      <c r="C1444" s="1333"/>
      <c r="D1444" s="1333"/>
      <c r="E1444" s="1333"/>
      <c r="F1444" s="1333"/>
      <c r="G1444" s="1333"/>
      <c r="H1444" s="1333" t="s">
        <v>627</v>
      </c>
      <c r="I1444" s="1333" t="s">
        <v>4173</v>
      </c>
      <c r="J1444" s="1333" t="s">
        <v>1058</v>
      </c>
      <c r="K1444" s="1333" t="s">
        <v>4156</v>
      </c>
      <c r="L1444" s="1333" t="s">
        <v>2480</v>
      </c>
      <c r="M1444" s="1335">
        <v>36.0</v>
      </c>
    </row>
    <row r="1445">
      <c r="A1445" s="1333"/>
      <c r="B1445" s="1333"/>
      <c r="C1445" s="1333"/>
      <c r="D1445" s="1333"/>
      <c r="E1445" s="1333"/>
      <c r="F1445" s="1333"/>
      <c r="G1445" s="1333"/>
      <c r="H1445" s="1333" t="s">
        <v>627</v>
      </c>
      <c r="I1445" s="1333" t="s">
        <v>4173</v>
      </c>
      <c r="J1445" s="1333" t="s">
        <v>1058</v>
      </c>
      <c r="K1445" s="1333" t="s">
        <v>4157</v>
      </c>
      <c r="L1445" s="1333" t="s">
        <v>1724</v>
      </c>
      <c r="M1445" s="1335">
        <v>8.0</v>
      </c>
    </row>
    <row r="1446">
      <c r="A1446" s="1333"/>
      <c r="B1446" s="1333"/>
      <c r="C1446" s="1333"/>
      <c r="D1446" s="1333"/>
      <c r="E1446" s="1333"/>
      <c r="F1446" s="1333"/>
      <c r="G1446" s="1333"/>
      <c r="H1446" s="1333" t="s">
        <v>627</v>
      </c>
      <c r="I1446" s="1333" t="s">
        <v>4173</v>
      </c>
      <c r="J1446" s="1333" t="s">
        <v>1058</v>
      </c>
      <c r="K1446" s="1333" t="s">
        <v>4158</v>
      </c>
      <c r="L1446" s="1333" t="s">
        <v>2480</v>
      </c>
      <c r="M1446" s="1335">
        <v>5.0</v>
      </c>
    </row>
    <row r="1447">
      <c r="A1447" s="1333"/>
      <c r="B1447" s="1333"/>
      <c r="C1447" s="1333"/>
      <c r="D1447" s="1333"/>
      <c r="E1447" s="1333"/>
      <c r="F1447" s="1333"/>
      <c r="G1447" s="1333"/>
      <c r="H1447" s="1333" t="s">
        <v>627</v>
      </c>
      <c r="I1447" s="1333" t="s">
        <v>4173</v>
      </c>
      <c r="J1447" s="1333" t="s">
        <v>1058</v>
      </c>
      <c r="K1447" s="1333" t="s">
        <v>4165</v>
      </c>
      <c r="L1447" s="1333" t="s">
        <v>2480</v>
      </c>
      <c r="M1447" s="1335">
        <v>4.0</v>
      </c>
    </row>
    <row r="1448">
      <c r="A1448" s="1333"/>
      <c r="B1448" s="1333"/>
      <c r="C1448" s="1333"/>
      <c r="D1448" s="1333"/>
      <c r="E1448" s="1333"/>
      <c r="F1448" s="1333"/>
      <c r="G1448" s="1333"/>
      <c r="H1448" s="1333" t="s">
        <v>627</v>
      </c>
      <c r="I1448" s="1333" t="s">
        <v>4173</v>
      </c>
      <c r="J1448" s="1333" t="s">
        <v>1058</v>
      </c>
      <c r="K1448" s="1333" t="s">
        <v>4166</v>
      </c>
      <c r="L1448" s="1333" t="s">
        <v>2480</v>
      </c>
      <c r="M1448" s="1335">
        <v>7.0</v>
      </c>
    </row>
    <row r="1449">
      <c r="A1449" s="1333"/>
      <c r="B1449" s="1333"/>
      <c r="C1449" s="1333"/>
      <c r="D1449" s="1333"/>
      <c r="E1449" s="1333"/>
      <c r="F1449" s="1333"/>
      <c r="G1449" s="1333"/>
      <c r="H1449" s="1333" t="s">
        <v>627</v>
      </c>
      <c r="I1449" s="1333" t="s">
        <v>4173</v>
      </c>
      <c r="J1449" s="1333" t="s">
        <v>1058</v>
      </c>
      <c r="K1449" s="1333" t="s">
        <v>4160</v>
      </c>
      <c r="L1449" s="1333" t="s">
        <v>2480</v>
      </c>
      <c r="M1449" s="1335">
        <v>23.0</v>
      </c>
    </row>
    <row r="1450">
      <c r="A1450" s="1333"/>
      <c r="B1450" s="1333"/>
      <c r="C1450" s="1333"/>
      <c r="D1450" s="1333"/>
      <c r="E1450" s="1333"/>
      <c r="F1450" s="1333"/>
      <c r="G1450" s="1333"/>
      <c r="H1450" s="1333" t="s">
        <v>627</v>
      </c>
      <c r="I1450" s="1333" t="s">
        <v>4173</v>
      </c>
      <c r="J1450" s="1333" t="s">
        <v>4161</v>
      </c>
      <c r="K1450" s="1333" t="s">
        <v>4167</v>
      </c>
      <c r="L1450" s="1333" t="s">
        <v>2480</v>
      </c>
      <c r="M1450" s="1335">
        <v>1.0</v>
      </c>
    </row>
    <row r="1451">
      <c r="A1451" s="1333"/>
      <c r="B1451" s="1333"/>
      <c r="C1451" s="1333"/>
      <c r="D1451" s="1333"/>
      <c r="E1451" s="1333"/>
      <c r="F1451" s="1333"/>
      <c r="G1451" s="1333"/>
      <c r="H1451" s="1333" t="s">
        <v>627</v>
      </c>
      <c r="I1451" s="1333" t="s">
        <v>4173</v>
      </c>
      <c r="J1451" s="1333" t="s">
        <v>4161</v>
      </c>
      <c r="K1451" s="1333" t="s">
        <v>1055</v>
      </c>
      <c r="L1451" s="1333" t="s">
        <v>1724</v>
      </c>
      <c r="M1451" s="1335">
        <v>79.0</v>
      </c>
    </row>
    <row r="1452">
      <c r="A1452" s="1333"/>
      <c r="B1452" s="1333"/>
      <c r="C1452" s="1333"/>
      <c r="D1452" s="1333"/>
      <c r="E1452" s="1333"/>
      <c r="F1452" s="1333"/>
      <c r="G1452" s="1333"/>
      <c r="H1452" s="1333" t="s">
        <v>627</v>
      </c>
      <c r="I1452" s="1333" t="s">
        <v>4173</v>
      </c>
      <c r="J1452" s="1333" t="s">
        <v>4161</v>
      </c>
      <c r="K1452" s="1333" t="s">
        <v>4161</v>
      </c>
      <c r="L1452" s="1333" t="s">
        <v>2480</v>
      </c>
      <c r="M1452" s="1335">
        <v>8.0</v>
      </c>
    </row>
    <row r="1453">
      <c r="A1453" s="1333"/>
      <c r="B1453" s="1333"/>
      <c r="C1453" s="1333"/>
      <c r="D1453" s="1333"/>
      <c r="E1453" s="1333"/>
      <c r="F1453" s="1333"/>
      <c r="G1453" s="1333"/>
      <c r="H1453" s="1333" t="s">
        <v>1021</v>
      </c>
      <c r="I1453" s="1333" t="s">
        <v>4171</v>
      </c>
      <c r="J1453" s="1333" t="s">
        <v>1058</v>
      </c>
      <c r="K1453" s="1333" t="s">
        <v>4156</v>
      </c>
      <c r="L1453" s="1333" t="s">
        <v>2480</v>
      </c>
      <c r="M1453" s="1335">
        <v>15.0</v>
      </c>
    </row>
    <row r="1454">
      <c r="A1454" s="1333"/>
      <c r="B1454" s="1333"/>
      <c r="C1454" s="1333"/>
      <c r="D1454" s="1333"/>
      <c r="E1454" s="1333"/>
      <c r="F1454" s="1333"/>
      <c r="G1454" s="1333"/>
      <c r="H1454" s="1333" t="s">
        <v>1021</v>
      </c>
      <c r="I1454" s="1333" t="s">
        <v>4171</v>
      </c>
      <c r="J1454" s="1333" t="s">
        <v>1058</v>
      </c>
      <c r="K1454" s="1333" t="s">
        <v>4157</v>
      </c>
      <c r="L1454" s="1333" t="s">
        <v>1724</v>
      </c>
      <c r="M1454" s="1335">
        <v>7.0</v>
      </c>
    </row>
    <row r="1455">
      <c r="A1455" s="1333"/>
      <c r="B1455" s="1333"/>
      <c r="C1455" s="1333"/>
      <c r="D1455" s="1333"/>
      <c r="E1455" s="1333"/>
      <c r="F1455" s="1333"/>
      <c r="G1455" s="1333"/>
      <c r="H1455" s="1333" t="s">
        <v>1021</v>
      </c>
      <c r="I1455" s="1333" t="s">
        <v>4171</v>
      </c>
      <c r="J1455" s="1333" t="s">
        <v>1058</v>
      </c>
      <c r="K1455" s="1333" t="s">
        <v>4165</v>
      </c>
      <c r="L1455" s="1333" t="s">
        <v>2480</v>
      </c>
      <c r="M1455" s="1335">
        <v>3.0</v>
      </c>
    </row>
    <row r="1456">
      <c r="A1456" s="1333"/>
      <c r="B1456" s="1333"/>
      <c r="C1456" s="1333"/>
      <c r="D1456" s="1333"/>
      <c r="E1456" s="1333"/>
      <c r="F1456" s="1333"/>
      <c r="G1456" s="1333"/>
      <c r="H1456" s="1333" t="s">
        <v>1021</v>
      </c>
      <c r="I1456" s="1333" t="s">
        <v>4171</v>
      </c>
      <c r="J1456" s="1333" t="s">
        <v>1058</v>
      </c>
      <c r="K1456" s="1333" t="s">
        <v>4166</v>
      </c>
      <c r="L1456" s="1333" t="s">
        <v>2480</v>
      </c>
      <c r="M1456" s="1335">
        <v>3.0</v>
      </c>
    </row>
    <row r="1457">
      <c r="A1457" s="1333"/>
      <c r="B1457" s="1333"/>
      <c r="C1457" s="1333"/>
      <c r="D1457" s="1333"/>
      <c r="E1457" s="1333"/>
      <c r="F1457" s="1333"/>
      <c r="G1457" s="1333"/>
      <c r="H1457" s="1333" t="s">
        <v>1021</v>
      </c>
      <c r="I1457" s="1333" t="s">
        <v>4171</v>
      </c>
      <c r="J1457" s="1333" t="s">
        <v>1058</v>
      </c>
      <c r="K1457" s="1333" t="s">
        <v>4160</v>
      </c>
      <c r="L1457" s="1333" t="s">
        <v>2480</v>
      </c>
      <c r="M1457" s="1335">
        <v>3.0</v>
      </c>
    </row>
    <row r="1458">
      <c r="A1458" s="1333"/>
      <c r="B1458" s="1333"/>
      <c r="C1458" s="1333"/>
      <c r="D1458" s="1333"/>
      <c r="E1458" s="1333"/>
      <c r="F1458" s="1333"/>
      <c r="G1458" s="1333"/>
      <c r="H1458" s="1333" t="s">
        <v>1021</v>
      </c>
      <c r="I1458" s="1333" t="s">
        <v>4171</v>
      </c>
      <c r="J1458" s="1333" t="s">
        <v>4161</v>
      </c>
      <c r="K1458" s="1333" t="s">
        <v>4167</v>
      </c>
      <c r="L1458" s="1333" t="s">
        <v>2480</v>
      </c>
      <c r="M1458" s="1335">
        <v>2.0</v>
      </c>
    </row>
    <row r="1459">
      <c r="A1459" s="1333"/>
      <c r="B1459" s="1333"/>
      <c r="C1459" s="1333"/>
      <c r="D1459" s="1333"/>
      <c r="E1459" s="1333"/>
      <c r="F1459" s="1333"/>
      <c r="G1459" s="1333"/>
      <c r="H1459" s="1333" t="s">
        <v>1021</v>
      </c>
      <c r="I1459" s="1333" t="s">
        <v>4171</v>
      </c>
      <c r="J1459" s="1333" t="s">
        <v>4161</v>
      </c>
      <c r="K1459" s="1333" t="s">
        <v>4174</v>
      </c>
      <c r="L1459" s="1333" t="s">
        <v>2480</v>
      </c>
      <c r="M1459" s="1335">
        <v>3.0</v>
      </c>
    </row>
    <row r="1460">
      <c r="A1460" s="1333"/>
      <c r="B1460" s="1333"/>
      <c r="C1460" s="1333"/>
      <c r="D1460" s="1333"/>
      <c r="E1460" s="1333"/>
      <c r="F1460" s="1333"/>
      <c r="G1460" s="1333"/>
      <c r="H1460" s="1333" t="s">
        <v>1021</v>
      </c>
      <c r="I1460" s="1333" t="s">
        <v>4171</v>
      </c>
      <c r="J1460" s="1333" t="s">
        <v>4161</v>
      </c>
      <c r="K1460" s="1333" t="s">
        <v>1055</v>
      </c>
      <c r="L1460" s="1333" t="s">
        <v>1724</v>
      </c>
      <c r="M1460" s="1335">
        <v>17.0</v>
      </c>
    </row>
    <row r="1461">
      <c r="A1461" s="1333"/>
      <c r="B1461" s="1333"/>
      <c r="C1461" s="1333"/>
      <c r="D1461" s="1333"/>
      <c r="E1461" s="1333"/>
      <c r="F1461" s="1333"/>
      <c r="G1461" s="1333"/>
      <c r="H1461" s="1333" t="s">
        <v>2177</v>
      </c>
      <c r="I1461" s="1333" t="s">
        <v>4162</v>
      </c>
      <c r="J1461" s="1333" t="s">
        <v>1058</v>
      </c>
      <c r="K1461" s="1333" t="s">
        <v>4156</v>
      </c>
      <c r="L1461" s="1333" t="s">
        <v>2480</v>
      </c>
      <c r="M1461" s="1335">
        <v>7.0</v>
      </c>
    </row>
    <row r="1462">
      <c r="A1462" s="1333"/>
      <c r="B1462" s="1333"/>
      <c r="C1462" s="1333"/>
      <c r="D1462" s="1333"/>
      <c r="E1462" s="1333"/>
      <c r="F1462" s="1333"/>
      <c r="G1462" s="1333"/>
      <c r="H1462" s="1333" t="s">
        <v>2177</v>
      </c>
      <c r="I1462" s="1333" t="s">
        <v>4162</v>
      </c>
      <c r="J1462" s="1333" t="s">
        <v>1058</v>
      </c>
      <c r="K1462" s="1333" t="s">
        <v>4158</v>
      </c>
      <c r="L1462" s="1333" t="s">
        <v>2480</v>
      </c>
      <c r="M1462" s="1335">
        <v>2.0</v>
      </c>
    </row>
    <row r="1463">
      <c r="A1463" s="1333"/>
      <c r="B1463" s="1333"/>
      <c r="C1463" s="1333"/>
      <c r="D1463" s="1333"/>
      <c r="E1463" s="1333"/>
      <c r="F1463" s="1333"/>
      <c r="G1463" s="1333"/>
      <c r="H1463" s="1333" t="s">
        <v>2177</v>
      </c>
      <c r="I1463" s="1333" t="s">
        <v>4162</v>
      </c>
      <c r="J1463" s="1333" t="s">
        <v>4161</v>
      </c>
      <c r="K1463" s="1333" t="s">
        <v>1055</v>
      </c>
      <c r="L1463" s="1333" t="s">
        <v>1724</v>
      </c>
      <c r="M1463" s="1335">
        <v>4.0</v>
      </c>
    </row>
    <row r="1464">
      <c r="A1464" s="1333"/>
      <c r="B1464" s="1333"/>
      <c r="C1464" s="1333"/>
      <c r="D1464" s="1333"/>
      <c r="E1464" s="1333"/>
      <c r="F1464" s="1333"/>
      <c r="G1464" s="1333"/>
      <c r="H1464" s="1333" t="s">
        <v>2178</v>
      </c>
      <c r="I1464" s="1333" t="s">
        <v>4176</v>
      </c>
      <c r="J1464" s="1333" t="s">
        <v>1058</v>
      </c>
      <c r="K1464" s="1333" t="s">
        <v>4163</v>
      </c>
      <c r="L1464" s="1333" t="s">
        <v>2480</v>
      </c>
      <c r="M1464" s="1335">
        <v>1.0</v>
      </c>
    </row>
    <row r="1465">
      <c r="A1465" s="1333"/>
      <c r="B1465" s="1333"/>
      <c r="C1465" s="1333"/>
      <c r="D1465" s="1333"/>
      <c r="E1465" s="1333"/>
      <c r="F1465" s="1333"/>
      <c r="G1465" s="1333"/>
      <c r="H1465" s="1333" t="s">
        <v>2178</v>
      </c>
      <c r="I1465" s="1333" t="s">
        <v>4176</v>
      </c>
      <c r="J1465" s="1333" t="s">
        <v>1058</v>
      </c>
      <c r="K1465" s="1333" t="s">
        <v>4156</v>
      </c>
      <c r="L1465" s="1333" t="s">
        <v>2480</v>
      </c>
      <c r="M1465" s="1335">
        <v>30.0</v>
      </c>
    </row>
    <row r="1466">
      <c r="A1466" s="1333"/>
      <c r="B1466" s="1333"/>
      <c r="C1466" s="1333"/>
      <c r="D1466" s="1333"/>
      <c r="E1466" s="1333"/>
      <c r="F1466" s="1333"/>
      <c r="G1466" s="1333"/>
      <c r="H1466" s="1333" t="s">
        <v>2178</v>
      </c>
      <c r="I1466" s="1333" t="s">
        <v>4176</v>
      </c>
      <c r="J1466" s="1333" t="s">
        <v>1058</v>
      </c>
      <c r="K1466" s="1333" t="s">
        <v>4157</v>
      </c>
      <c r="L1466" s="1333" t="s">
        <v>1724</v>
      </c>
      <c r="M1466" s="1335">
        <v>3.0</v>
      </c>
    </row>
    <row r="1467">
      <c r="A1467" s="1333"/>
      <c r="B1467" s="1333"/>
      <c r="C1467" s="1333"/>
      <c r="D1467" s="1333"/>
      <c r="E1467" s="1333"/>
      <c r="F1467" s="1333"/>
      <c r="G1467" s="1333"/>
      <c r="H1467" s="1333" t="s">
        <v>2178</v>
      </c>
      <c r="I1467" s="1333" t="s">
        <v>4176</v>
      </c>
      <c r="J1467" s="1333" t="s">
        <v>1058</v>
      </c>
      <c r="K1467" s="1333" t="s">
        <v>4158</v>
      </c>
      <c r="L1467" s="1333" t="s">
        <v>2480</v>
      </c>
      <c r="M1467" s="1335">
        <v>4.0</v>
      </c>
    </row>
    <row r="1468">
      <c r="A1468" s="1333"/>
      <c r="B1468" s="1333"/>
      <c r="C1468" s="1333"/>
      <c r="D1468" s="1333"/>
      <c r="E1468" s="1333"/>
      <c r="F1468" s="1333"/>
      <c r="G1468" s="1333"/>
      <c r="H1468" s="1333" t="s">
        <v>2178</v>
      </c>
      <c r="I1468" s="1333" t="s">
        <v>4176</v>
      </c>
      <c r="J1468" s="1333" t="s">
        <v>1058</v>
      </c>
      <c r="K1468" s="1333" t="s">
        <v>4165</v>
      </c>
      <c r="L1468" s="1333" t="s">
        <v>2480</v>
      </c>
      <c r="M1468" s="1335">
        <v>4.0</v>
      </c>
    </row>
    <row r="1469">
      <c r="A1469" s="1333"/>
      <c r="B1469" s="1333"/>
      <c r="C1469" s="1333"/>
      <c r="D1469" s="1333"/>
      <c r="E1469" s="1333"/>
      <c r="F1469" s="1333"/>
      <c r="G1469" s="1333"/>
      <c r="H1469" s="1333" t="s">
        <v>2178</v>
      </c>
      <c r="I1469" s="1333" t="s">
        <v>4176</v>
      </c>
      <c r="J1469" s="1333" t="s">
        <v>1058</v>
      </c>
      <c r="K1469" s="1333" t="s">
        <v>4166</v>
      </c>
      <c r="L1469" s="1333" t="s">
        <v>2480</v>
      </c>
      <c r="M1469" s="1335">
        <v>5.0</v>
      </c>
    </row>
    <row r="1470">
      <c r="A1470" s="1333"/>
      <c r="B1470" s="1333"/>
      <c r="C1470" s="1333"/>
      <c r="D1470" s="1333"/>
      <c r="E1470" s="1333"/>
      <c r="F1470" s="1333"/>
      <c r="G1470" s="1333"/>
      <c r="H1470" s="1333" t="s">
        <v>2178</v>
      </c>
      <c r="I1470" s="1333" t="s">
        <v>4176</v>
      </c>
      <c r="J1470" s="1333" t="s">
        <v>1058</v>
      </c>
      <c r="K1470" s="1333" t="s">
        <v>4160</v>
      </c>
      <c r="L1470" s="1333" t="s">
        <v>2480</v>
      </c>
      <c r="M1470" s="1335">
        <v>5.0</v>
      </c>
    </row>
    <row r="1471">
      <c r="A1471" s="1333"/>
      <c r="B1471" s="1333"/>
      <c r="C1471" s="1333"/>
      <c r="D1471" s="1333"/>
      <c r="E1471" s="1333"/>
      <c r="F1471" s="1333"/>
      <c r="G1471" s="1333"/>
      <c r="H1471" s="1333" t="s">
        <v>2178</v>
      </c>
      <c r="I1471" s="1333" t="s">
        <v>4176</v>
      </c>
      <c r="J1471" s="1333" t="s">
        <v>4161</v>
      </c>
      <c r="K1471" s="1333" t="s">
        <v>1055</v>
      </c>
      <c r="L1471" s="1333" t="s">
        <v>1724</v>
      </c>
      <c r="M1471" s="1335">
        <v>34.0</v>
      </c>
    </row>
    <row r="1472">
      <c r="A1472" s="1333"/>
      <c r="B1472" s="1333"/>
      <c r="C1472" s="1333"/>
      <c r="D1472" s="1333"/>
      <c r="E1472" s="1333"/>
      <c r="F1472" s="1333"/>
      <c r="G1472" s="1333"/>
      <c r="H1472" s="1333" t="s">
        <v>1703</v>
      </c>
      <c r="I1472" s="1333" t="s">
        <v>4155</v>
      </c>
      <c r="J1472" s="1333" t="s">
        <v>1058</v>
      </c>
      <c r="K1472" s="1333" t="s">
        <v>4156</v>
      </c>
      <c r="L1472" s="1333" t="s">
        <v>2480</v>
      </c>
      <c r="M1472" s="1335">
        <v>8.0</v>
      </c>
    </row>
    <row r="1473">
      <c r="A1473" s="1333"/>
      <c r="B1473" s="1333"/>
      <c r="C1473" s="1333"/>
      <c r="D1473" s="1333"/>
      <c r="E1473" s="1333"/>
      <c r="F1473" s="1333"/>
      <c r="G1473" s="1333"/>
      <c r="H1473" s="1333" t="s">
        <v>1703</v>
      </c>
      <c r="I1473" s="1333" t="s">
        <v>4155</v>
      </c>
      <c r="J1473" s="1333" t="s">
        <v>1058</v>
      </c>
      <c r="K1473" s="1333" t="s">
        <v>4157</v>
      </c>
      <c r="L1473" s="1333" t="s">
        <v>1724</v>
      </c>
      <c r="M1473" s="1335">
        <v>1.0</v>
      </c>
    </row>
    <row r="1474">
      <c r="A1474" s="1367"/>
      <c r="B1474" s="1367"/>
      <c r="C1474" s="1367"/>
      <c r="D1474" s="1367"/>
      <c r="E1474" s="1367"/>
      <c r="F1474" s="1367"/>
      <c r="G1474" s="1367"/>
      <c r="H1474" s="1333" t="s">
        <v>1703</v>
      </c>
      <c r="I1474" s="1333" t="s">
        <v>4155</v>
      </c>
      <c r="J1474" s="1333" t="s">
        <v>1058</v>
      </c>
      <c r="K1474" s="1333" t="s">
        <v>4158</v>
      </c>
      <c r="L1474" s="1333" t="s">
        <v>2480</v>
      </c>
      <c r="M1474" s="1335">
        <v>8.0</v>
      </c>
    </row>
    <row r="1475">
      <c r="A1475" s="1367"/>
      <c r="B1475" s="1367"/>
      <c r="C1475" s="1367"/>
      <c r="D1475" s="1367"/>
      <c r="E1475" s="1367"/>
      <c r="F1475" s="1367"/>
      <c r="G1475" s="1367"/>
      <c r="H1475" s="1368" t="s">
        <v>1703</v>
      </c>
      <c r="I1475" s="1368" t="s">
        <v>4155</v>
      </c>
      <c r="J1475" s="1368" t="s">
        <v>1058</v>
      </c>
      <c r="K1475" s="1333" t="s">
        <v>4159</v>
      </c>
      <c r="L1475" s="1333" t="s">
        <v>1724</v>
      </c>
      <c r="M1475" s="1335">
        <v>1.0</v>
      </c>
      <c r="N1475" s="1045"/>
      <c r="O1475" s="1045"/>
      <c r="P1475" s="1045"/>
      <c r="Q1475" s="1045"/>
      <c r="R1475" s="1045"/>
      <c r="S1475" s="1045"/>
      <c r="T1475" s="1045"/>
      <c r="U1475" s="1045"/>
      <c r="V1475" s="1045"/>
      <c r="W1475" s="1045"/>
      <c r="X1475" s="1045"/>
      <c r="Y1475" s="1045"/>
      <c r="Z1475" s="1045"/>
      <c r="AA1475" s="1045"/>
      <c r="AB1475" s="1045"/>
      <c r="AC1475" s="1045"/>
      <c r="AD1475" s="1045"/>
      <c r="AE1475" s="1045"/>
      <c r="AF1475" s="1045"/>
    </row>
    <row r="1476">
      <c r="A1476" s="1367"/>
      <c r="B1476" s="1367"/>
      <c r="C1476" s="1367"/>
      <c r="D1476" s="1367"/>
      <c r="E1476" s="1367"/>
      <c r="F1476" s="1367"/>
      <c r="G1476" s="1367"/>
      <c r="H1476" s="1333" t="s">
        <v>1703</v>
      </c>
      <c r="I1476" s="1333" t="s">
        <v>4155</v>
      </c>
      <c r="J1476" s="1333" t="s">
        <v>1058</v>
      </c>
      <c r="K1476" s="1333" t="s">
        <v>4166</v>
      </c>
      <c r="L1476" s="1333" t="s">
        <v>2480</v>
      </c>
      <c r="M1476" s="1335">
        <v>1.0</v>
      </c>
      <c r="O1476" s="1045"/>
      <c r="P1476" s="1045"/>
      <c r="Q1476" s="1045"/>
      <c r="R1476" s="1045"/>
      <c r="S1476" s="1045"/>
      <c r="T1476" s="1045"/>
      <c r="U1476" s="1045"/>
      <c r="V1476" s="1045"/>
      <c r="W1476" s="1045"/>
      <c r="X1476" s="1045"/>
      <c r="Y1476" s="1045"/>
      <c r="Z1476" s="1045"/>
      <c r="AA1476" s="1045"/>
      <c r="AB1476" s="1045"/>
      <c r="AC1476" s="1045"/>
      <c r="AD1476" s="1045"/>
      <c r="AE1476" s="1045"/>
      <c r="AF1476" s="1045"/>
    </row>
    <row r="1477">
      <c r="A1477" s="1367"/>
      <c r="B1477" s="1367"/>
      <c r="C1477" s="1367"/>
      <c r="D1477" s="1367"/>
      <c r="E1477" s="1367"/>
      <c r="F1477" s="1367"/>
      <c r="G1477" s="1367"/>
      <c r="H1477" s="1333" t="s">
        <v>1703</v>
      </c>
      <c r="I1477" s="1333" t="s">
        <v>4155</v>
      </c>
      <c r="J1477" s="1333" t="s">
        <v>1058</v>
      </c>
      <c r="K1477" s="1333" t="s">
        <v>4160</v>
      </c>
      <c r="L1477" s="1333" t="s">
        <v>2480</v>
      </c>
      <c r="M1477" s="1335">
        <v>2.0</v>
      </c>
      <c r="O1477" s="1045"/>
      <c r="P1477" s="1045"/>
      <c r="Q1477" s="1045"/>
      <c r="R1477" s="1045"/>
      <c r="S1477" s="1045"/>
      <c r="T1477" s="1045"/>
      <c r="U1477" s="1045"/>
      <c r="V1477" s="1045"/>
      <c r="W1477" s="1045"/>
      <c r="X1477" s="1045"/>
      <c r="Y1477" s="1045"/>
      <c r="Z1477" s="1045"/>
      <c r="AA1477" s="1045"/>
      <c r="AB1477" s="1045"/>
      <c r="AC1477" s="1045"/>
      <c r="AD1477" s="1045"/>
      <c r="AE1477" s="1045"/>
      <c r="AF1477" s="1045"/>
    </row>
    <row r="1478">
      <c r="A1478" s="1367"/>
      <c r="B1478" s="1367"/>
      <c r="C1478" s="1367"/>
      <c r="D1478" s="1367"/>
      <c r="E1478" s="1367"/>
      <c r="F1478" s="1367"/>
      <c r="G1478" s="1367"/>
      <c r="H1478" s="1333" t="s">
        <v>1703</v>
      </c>
      <c r="I1478" s="1333" t="s">
        <v>4155</v>
      </c>
      <c r="J1478" s="1333" t="s">
        <v>4161</v>
      </c>
      <c r="K1478" s="1333" t="s">
        <v>1055</v>
      </c>
      <c r="L1478" s="1333" t="s">
        <v>1724</v>
      </c>
      <c r="M1478" s="1335">
        <v>21.0</v>
      </c>
      <c r="O1478" s="1045"/>
      <c r="P1478" s="1045"/>
      <c r="Q1478" s="1045"/>
      <c r="R1478" s="1045"/>
      <c r="S1478" s="1045"/>
      <c r="T1478" s="1045"/>
      <c r="U1478" s="1045"/>
      <c r="V1478" s="1045"/>
      <c r="W1478" s="1045"/>
      <c r="X1478" s="1045"/>
      <c r="Y1478" s="1045"/>
      <c r="Z1478" s="1045"/>
      <c r="AA1478" s="1045"/>
      <c r="AB1478" s="1045"/>
      <c r="AC1478" s="1045"/>
      <c r="AD1478" s="1045"/>
      <c r="AE1478" s="1045"/>
      <c r="AF1478" s="1045"/>
    </row>
    <row r="1479">
      <c r="A1479" s="1367"/>
      <c r="B1479" s="1367"/>
      <c r="C1479" s="1367"/>
      <c r="D1479" s="1367"/>
      <c r="E1479" s="1367"/>
      <c r="F1479" s="1367"/>
      <c r="G1479" s="1367"/>
      <c r="H1479" s="1333" t="s">
        <v>1703</v>
      </c>
      <c r="I1479" s="1333" t="s">
        <v>4155</v>
      </c>
      <c r="J1479" s="1333" t="s">
        <v>4161</v>
      </c>
      <c r="K1479" s="1333" t="s">
        <v>4161</v>
      </c>
      <c r="L1479" s="1333" t="s">
        <v>2480</v>
      </c>
      <c r="M1479" s="1335">
        <v>2.0</v>
      </c>
      <c r="O1479" s="1045"/>
      <c r="P1479" s="1045"/>
      <c r="Q1479" s="1045"/>
      <c r="R1479" s="1045"/>
      <c r="S1479" s="1045"/>
      <c r="T1479" s="1045"/>
      <c r="U1479" s="1045"/>
      <c r="V1479" s="1045"/>
      <c r="W1479" s="1045"/>
      <c r="X1479" s="1045"/>
      <c r="Y1479" s="1045"/>
      <c r="Z1479" s="1045"/>
      <c r="AA1479" s="1045"/>
      <c r="AB1479" s="1045"/>
      <c r="AC1479" s="1045"/>
      <c r="AD1479" s="1045"/>
      <c r="AE1479" s="1045"/>
      <c r="AF1479" s="1045"/>
    </row>
    <row r="1480">
      <c r="A1480" s="1367"/>
      <c r="B1480" s="1367"/>
      <c r="C1480" s="1367"/>
      <c r="D1480" s="1367"/>
      <c r="E1480" s="1367"/>
      <c r="F1480" s="1367"/>
      <c r="G1480" s="1367"/>
      <c r="H1480" s="1333" t="s">
        <v>2179</v>
      </c>
      <c r="I1480" s="1333" t="s">
        <v>4170</v>
      </c>
      <c r="J1480" s="1333" t="s">
        <v>1058</v>
      </c>
      <c r="K1480" s="1333" t="s">
        <v>4163</v>
      </c>
      <c r="L1480" s="1333" t="s">
        <v>2480</v>
      </c>
      <c r="M1480" s="1335">
        <v>2.0</v>
      </c>
      <c r="O1480" s="1045"/>
      <c r="P1480" s="1045"/>
      <c r="Q1480" s="1045"/>
      <c r="R1480" s="1045"/>
      <c r="S1480" s="1045"/>
      <c r="T1480" s="1045"/>
      <c r="U1480" s="1045"/>
      <c r="V1480" s="1045"/>
      <c r="W1480" s="1045"/>
      <c r="X1480" s="1045"/>
      <c r="Y1480" s="1045"/>
      <c r="Z1480" s="1045"/>
      <c r="AA1480" s="1045"/>
      <c r="AB1480" s="1045"/>
      <c r="AC1480" s="1045"/>
      <c r="AD1480" s="1045"/>
      <c r="AE1480" s="1045"/>
      <c r="AF1480" s="1045"/>
    </row>
    <row r="1481">
      <c r="A1481" s="1367"/>
      <c r="B1481" s="1367"/>
      <c r="C1481" s="1367"/>
      <c r="D1481" s="1367"/>
      <c r="E1481" s="1367"/>
      <c r="F1481" s="1367"/>
      <c r="G1481" s="1367"/>
      <c r="H1481" s="1333" t="s">
        <v>2179</v>
      </c>
      <c r="I1481" s="1333" t="s">
        <v>4170</v>
      </c>
      <c r="J1481" s="1333" t="s">
        <v>1058</v>
      </c>
      <c r="K1481" s="1333" t="s">
        <v>4156</v>
      </c>
      <c r="L1481" s="1333" t="s">
        <v>2480</v>
      </c>
      <c r="M1481" s="1335">
        <v>1.0</v>
      </c>
      <c r="O1481" s="1045"/>
      <c r="P1481" s="1045"/>
      <c r="Q1481" s="1045"/>
      <c r="R1481" s="1045"/>
      <c r="S1481" s="1045"/>
      <c r="T1481" s="1045"/>
      <c r="U1481" s="1045"/>
      <c r="V1481" s="1045"/>
      <c r="W1481" s="1045"/>
      <c r="X1481" s="1045"/>
      <c r="Y1481" s="1045"/>
      <c r="Z1481" s="1045"/>
      <c r="AA1481" s="1045"/>
      <c r="AB1481" s="1045"/>
      <c r="AC1481" s="1045"/>
      <c r="AD1481" s="1045"/>
      <c r="AE1481" s="1045"/>
      <c r="AF1481" s="1045"/>
    </row>
    <row r="1482">
      <c r="A1482" s="1367"/>
      <c r="B1482" s="1367"/>
      <c r="C1482" s="1367"/>
      <c r="D1482" s="1367"/>
      <c r="E1482" s="1367"/>
      <c r="F1482" s="1367"/>
      <c r="G1482" s="1367"/>
      <c r="H1482" s="1333" t="s">
        <v>2179</v>
      </c>
      <c r="I1482" s="1333" t="s">
        <v>4170</v>
      </c>
      <c r="J1482" s="1333" t="s">
        <v>1058</v>
      </c>
      <c r="K1482" s="1333" t="s">
        <v>4160</v>
      </c>
      <c r="L1482" s="1333" t="s">
        <v>2480</v>
      </c>
      <c r="M1482" s="1335">
        <v>1.0</v>
      </c>
      <c r="O1482" s="1045"/>
      <c r="P1482" s="1045"/>
      <c r="Q1482" s="1045"/>
      <c r="R1482" s="1045"/>
      <c r="S1482" s="1045"/>
      <c r="T1482" s="1045"/>
      <c r="U1482" s="1045"/>
      <c r="V1482" s="1045"/>
      <c r="W1482" s="1045"/>
      <c r="X1482" s="1045"/>
      <c r="Y1482" s="1045"/>
      <c r="Z1482" s="1045"/>
      <c r="AA1482" s="1045"/>
      <c r="AB1482" s="1045"/>
      <c r="AC1482" s="1045"/>
      <c r="AD1482" s="1045"/>
      <c r="AE1482" s="1045"/>
      <c r="AF1482" s="1045"/>
    </row>
    <row r="1483">
      <c r="A1483" s="1367"/>
      <c r="B1483" s="1367"/>
      <c r="C1483" s="1367"/>
      <c r="D1483" s="1367"/>
      <c r="E1483" s="1367"/>
      <c r="F1483" s="1367"/>
      <c r="G1483" s="1367"/>
      <c r="H1483" s="1333" t="s">
        <v>2179</v>
      </c>
      <c r="I1483" s="1333" t="s">
        <v>4170</v>
      </c>
      <c r="J1483" s="1333" t="s">
        <v>4161</v>
      </c>
      <c r="K1483" s="1333" t="s">
        <v>1055</v>
      </c>
      <c r="L1483" s="1333" t="s">
        <v>1724</v>
      </c>
      <c r="M1483" s="1335">
        <v>5.0</v>
      </c>
      <c r="O1483" s="1045"/>
      <c r="P1483" s="1045"/>
      <c r="Q1483" s="1045"/>
      <c r="R1483" s="1045"/>
      <c r="S1483" s="1045"/>
      <c r="T1483" s="1045"/>
      <c r="U1483" s="1045"/>
      <c r="V1483" s="1045"/>
      <c r="W1483" s="1045"/>
      <c r="X1483" s="1045"/>
      <c r="Y1483" s="1045"/>
      <c r="Z1483" s="1045"/>
      <c r="AA1483" s="1045"/>
      <c r="AB1483" s="1045"/>
      <c r="AC1483" s="1045"/>
      <c r="AD1483" s="1045"/>
      <c r="AE1483" s="1045"/>
      <c r="AF1483" s="1045"/>
    </row>
    <row r="1484">
      <c r="A1484" s="1367"/>
      <c r="B1484" s="1367"/>
      <c r="C1484" s="1367"/>
      <c r="D1484" s="1367"/>
      <c r="E1484" s="1367"/>
      <c r="F1484" s="1367"/>
      <c r="G1484" s="1367"/>
      <c r="H1484" s="1333" t="s">
        <v>2181</v>
      </c>
      <c r="I1484" s="1333" t="s">
        <v>4169</v>
      </c>
      <c r="J1484" s="1333" t="s">
        <v>1058</v>
      </c>
      <c r="K1484" s="1333" t="s">
        <v>4156</v>
      </c>
      <c r="L1484" s="1333" t="s">
        <v>2480</v>
      </c>
      <c r="M1484" s="1335">
        <v>23.0</v>
      </c>
      <c r="O1484" s="1045"/>
      <c r="P1484" s="1045"/>
      <c r="Q1484" s="1045"/>
      <c r="R1484" s="1045"/>
      <c r="S1484" s="1045"/>
      <c r="T1484" s="1045"/>
      <c r="U1484" s="1045"/>
      <c r="V1484" s="1045"/>
      <c r="W1484" s="1045"/>
      <c r="X1484" s="1045"/>
      <c r="Y1484" s="1045"/>
      <c r="Z1484" s="1045"/>
      <c r="AA1484" s="1045"/>
      <c r="AB1484" s="1045"/>
      <c r="AC1484" s="1045"/>
      <c r="AD1484" s="1045"/>
      <c r="AE1484" s="1045"/>
      <c r="AF1484" s="1045"/>
    </row>
    <row r="1485">
      <c r="A1485" s="1367"/>
      <c r="B1485" s="1367"/>
      <c r="C1485" s="1367"/>
      <c r="D1485" s="1367"/>
      <c r="E1485" s="1367"/>
      <c r="F1485" s="1367"/>
      <c r="G1485" s="1367"/>
      <c r="H1485" s="1333" t="s">
        <v>2181</v>
      </c>
      <c r="I1485" s="1333" t="s">
        <v>4169</v>
      </c>
      <c r="J1485" s="1333" t="s">
        <v>1058</v>
      </c>
      <c r="K1485" s="1333" t="s">
        <v>4157</v>
      </c>
      <c r="L1485" s="1333" t="s">
        <v>1724</v>
      </c>
      <c r="M1485" s="1335">
        <v>1.0</v>
      </c>
      <c r="O1485" s="1045"/>
      <c r="P1485" s="1045"/>
      <c r="Q1485" s="1045"/>
      <c r="R1485" s="1045"/>
      <c r="S1485" s="1045"/>
      <c r="T1485" s="1045"/>
      <c r="U1485" s="1045"/>
      <c r="V1485" s="1045"/>
      <c r="W1485" s="1045"/>
      <c r="X1485" s="1045"/>
      <c r="Y1485" s="1045"/>
      <c r="Z1485" s="1045"/>
      <c r="AA1485" s="1045"/>
      <c r="AB1485" s="1045"/>
      <c r="AC1485" s="1045"/>
      <c r="AD1485" s="1045"/>
      <c r="AE1485" s="1045"/>
      <c r="AF1485" s="1045"/>
    </row>
    <row r="1486">
      <c r="A1486" s="1367"/>
      <c r="B1486" s="1367"/>
      <c r="C1486" s="1367"/>
      <c r="D1486" s="1367"/>
      <c r="E1486" s="1367"/>
      <c r="F1486" s="1367"/>
      <c r="G1486" s="1367"/>
      <c r="H1486" s="1333" t="s">
        <v>2181</v>
      </c>
      <c r="I1486" s="1333" t="s">
        <v>4169</v>
      </c>
      <c r="J1486" s="1333" t="s">
        <v>1058</v>
      </c>
      <c r="K1486" s="1333" t="s">
        <v>4160</v>
      </c>
      <c r="L1486" s="1333" t="s">
        <v>2480</v>
      </c>
      <c r="M1486" s="1335">
        <v>2.0</v>
      </c>
      <c r="O1486" s="1045"/>
      <c r="P1486" s="1045"/>
      <c r="Q1486" s="1045"/>
      <c r="R1486" s="1045"/>
      <c r="S1486" s="1045"/>
      <c r="T1486" s="1045"/>
      <c r="U1486" s="1045"/>
      <c r="V1486" s="1045"/>
      <c r="W1486" s="1045"/>
      <c r="X1486" s="1045"/>
      <c r="Y1486" s="1045"/>
      <c r="Z1486" s="1045"/>
      <c r="AA1486" s="1045"/>
      <c r="AB1486" s="1045"/>
      <c r="AC1486" s="1045"/>
      <c r="AD1486" s="1045"/>
      <c r="AE1486" s="1045"/>
      <c r="AF1486" s="1045"/>
    </row>
    <row r="1487">
      <c r="A1487" s="1367"/>
      <c r="B1487" s="1367"/>
      <c r="C1487" s="1367"/>
      <c r="D1487" s="1367"/>
      <c r="E1487" s="1367"/>
      <c r="F1487" s="1367"/>
      <c r="G1487" s="1367"/>
      <c r="H1487" s="1333" t="s">
        <v>2181</v>
      </c>
      <c r="I1487" s="1333" t="s">
        <v>4169</v>
      </c>
      <c r="J1487" s="1333" t="s">
        <v>4161</v>
      </c>
      <c r="K1487" s="1333" t="s">
        <v>1055</v>
      </c>
      <c r="L1487" s="1333" t="s">
        <v>1724</v>
      </c>
      <c r="M1487" s="1335">
        <v>10.0</v>
      </c>
      <c r="O1487" s="1045"/>
      <c r="P1487" s="1045"/>
      <c r="Q1487" s="1045"/>
      <c r="R1487" s="1045"/>
      <c r="S1487" s="1045"/>
      <c r="T1487" s="1045"/>
      <c r="U1487" s="1045"/>
      <c r="V1487" s="1045"/>
      <c r="W1487" s="1045"/>
      <c r="X1487" s="1045"/>
      <c r="Y1487" s="1045"/>
      <c r="Z1487" s="1045"/>
      <c r="AA1487" s="1045"/>
      <c r="AB1487" s="1045"/>
      <c r="AC1487" s="1045"/>
      <c r="AD1487" s="1045"/>
      <c r="AE1487" s="1045"/>
      <c r="AF1487" s="1045"/>
    </row>
    <row r="1488">
      <c r="A1488" s="1367"/>
      <c r="B1488" s="1367"/>
      <c r="C1488" s="1367"/>
      <c r="D1488" s="1367"/>
      <c r="E1488" s="1367"/>
      <c r="F1488" s="1367"/>
      <c r="G1488" s="1367"/>
      <c r="H1488" s="1333" t="s">
        <v>2182</v>
      </c>
      <c r="I1488" s="1333" t="s">
        <v>4168</v>
      </c>
      <c r="J1488" s="1333" t="s">
        <v>1058</v>
      </c>
      <c r="K1488" s="1333" t="s">
        <v>4156</v>
      </c>
      <c r="L1488" s="1333" t="s">
        <v>2480</v>
      </c>
      <c r="M1488" s="1335">
        <v>4.0</v>
      </c>
      <c r="O1488" s="1045"/>
      <c r="P1488" s="1045"/>
      <c r="Q1488" s="1045"/>
      <c r="R1488" s="1045"/>
      <c r="S1488" s="1045"/>
      <c r="T1488" s="1045"/>
      <c r="U1488" s="1045"/>
      <c r="V1488" s="1045"/>
      <c r="W1488" s="1045"/>
      <c r="X1488" s="1045"/>
      <c r="Y1488" s="1045"/>
      <c r="Z1488" s="1045"/>
      <c r="AA1488" s="1045"/>
      <c r="AB1488" s="1045"/>
      <c r="AC1488" s="1045"/>
      <c r="AD1488" s="1045"/>
      <c r="AE1488" s="1045"/>
      <c r="AF1488" s="1045"/>
    </row>
    <row r="1489">
      <c r="A1489" s="1367"/>
      <c r="B1489" s="1367"/>
      <c r="C1489" s="1367"/>
      <c r="D1489" s="1367"/>
      <c r="E1489" s="1367"/>
      <c r="F1489" s="1367"/>
      <c r="G1489" s="1367"/>
      <c r="H1489" s="1333" t="s">
        <v>2182</v>
      </c>
      <c r="I1489" s="1333" t="s">
        <v>4168</v>
      </c>
      <c r="J1489" s="1333" t="s">
        <v>1058</v>
      </c>
      <c r="K1489" s="1333" t="s">
        <v>4160</v>
      </c>
      <c r="L1489" s="1333" t="s">
        <v>2480</v>
      </c>
      <c r="M1489" s="1335">
        <v>1.0</v>
      </c>
      <c r="O1489" s="1045"/>
      <c r="P1489" s="1045"/>
      <c r="Q1489" s="1045"/>
      <c r="R1489" s="1045"/>
      <c r="S1489" s="1045"/>
      <c r="T1489" s="1045"/>
      <c r="U1489" s="1045"/>
      <c r="V1489" s="1045"/>
      <c r="W1489" s="1045"/>
      <c r="X1489" s="1045"/>
      <c r="Y1489" s="1045"/>
      <c r="Z1489" s="1045"/>
      <c r="AA1489" s="1045"/>
      <c r="AB1489" s="1045"/>
      <c r="AC1489" s="1045"/>
      <c r="AD1489" s="1045"/>
      <c r="AE1489" s="1045"/>
      <c r="AF1489" s="1045"/>
    </row>
    <row r="1490">
      <c r="A1490" s="1367"/>
      <c r="B1490" s="1367"/>
      <c r="C1490" s="1367"/>
      <c r="D1490" s="1367"/>
      <c r="E1490" s="1367"/>
      <c r="F1490" s="1367"/>
      <c r="G1490" s="1367"/>
      <c r="H1490" s="1333" t="s">
        <v>2182</v>
      </c>
      <c r="I1490" s="1333" t="s">
        <v>4168</v>
      </c>
      <c r="J1490" s="1333" t="s">
        <v>4161</v>
      </c>
      <c r="K1490" s="1333" t="s">
        <v>1055</v>
      </c>
      <c r="L1490" s="1333" t="s">
        <v>1724</v>
      </c>
      <c r="M1490" s="1335">
        <v>21.0</v>
      </c>
      <c r="O1490" s="1045"/>
      <c r="P1490" s="1045"/>
      <c r="Q1490" s="1045"/>
      <c r="R1490" s="1045"/>
      <c r="S1490" s="1045"/>
      <c r="T1490" s="1045"/>
      <c r="U1490" s="1045"/>
      <c r="V1490" s="1045"/>
      <c r="W1490" s="1045"/>
      <c r="X1490" s="1045"/>
      <c r="Y1490" s="1045"/>
      <c r="Z1490" s="1045"/>
      <c r="AA1490" s="1045"/>
      <c r="AB1490" s="1045"/>
      <c r="AC1490" s="1045"/>
      <c r="AD1490" s="1045"/>
      <c r="AE1490" s="1045"/>
      <c r="AF1490" s="1045"/>
    </row>
    <row r="1491">
      <c r="A1491" s="1367"/>
      <c r="B1491" s="1367"/>
      <c r="C1491" s="1367"/>
      <c r="D1491" s="1367"/>
      <c r="E1491" s="1367"/>
      <c r="F1491" s="1367"/>
      <c r="G1491" s="1367"/>
      <c r="H1491" s="1333" t="s">
        <v>2183</v>
      </c>
      <c r="I1491" s="1333" t="s">
        <v>4171</v>
      </c>
      <c r="J1491" s="1333" t="s">
        <v>1058</v>
      </c>
      <c r="K1491" s="1333" t="s">
        <v>4156</v>
      </c>
      <c r="L1491" s="1333" t="s">
        <v>2480</v>
      </c>
      <c r="M1491" s="1335">
        <v>6.0</v>
      </c>
      <c r="O1491" s="1045"/>
      <c r="P1491" s="1045"/>
      <c r="Q1491" s="1045"/>
      <c r="R1491" s="1045"/>
      <c r="S1491" s="1045"/>
      <c r="T1491" s="1045"/>
      <c r="U1491" s="1045"/>
      <c r="V1491" s="1045"/>
      <c r="W1491" s="1045"/>
      <c r="X1491" s="1045"/>
      <c r="Y1491" s="1045"/>
      <c r="Z1491" s="1045"/>
      <c r="AA1491" s="1045"/>
      <c r="AB1491" s="1045"/>
      <c r="AC1491" s="1045"/>
      <c r="AD1491" s="1045"/>
      <c r="AE1491" s="1045"/>
      <c r="AF1491" s="1045"/>
    </row>
    <row r="1492">
      <c r="A1492" s="1367"/>
      <c r="B1492" s="1367"/>
      <c r="C1492" s="1367"/>
      <c r="D1492" s="1367"/>
      <c r="E1492" s="1367"/>
      <c r="F1492" s="1367"/>
      <c r="G1492" s="1367"/>
      <c r="H1492" s="1333" t="s">
        <v>2183</v>
      </c>
      <c r="I1492" s="1333" t="s">
        <v>4171</v>
      </c>
      <c r="J1492" s="1333" t="s">
        <v>1058</v>
      </c>
      <c r="K1492" s="1333" t="s">
        <v>4161</v>
      </c>
      <c r="L1492" s="1333" t="s">
        <v>2480</v>
      </c>
      <c r="M1492" s="1335">
        <v>2.0</v>
      </c>
      <c r="O1492" s="1045"/>
      <c r="P1492" s="1045"/>
      <c r="Q1492" s="1045"/>
      <c r="R1492" s="1045"/>
      <c r="S1492" s="1045"/>
      <c r="T1492" s="1045"/>
      <c r="U1492" s="1045"/>
      <c r="V1492" s="1045"/>
      <c r="W1492" s="1045"/>
      <c r="X1492" s="1045"/>
      <c r="Y1492" s="1045"/>
      <c r="Z1492" s="1045"/>
      <c r="AA1492" s="1045"/>
      <c r="AB1492" s="1045"/>
      <c r="AC1492" s="1045"/>
      <c r="AD1492" s="1045"/>
      <c r="AE1492" s="1045"/>
      <c r="AF1492" s="1045"/>
    </row>
    <row r="1493">
      <c r="A1493" s="1367"/>
      <c r="B1493" s="1367"/>
      <c r="C1493" s="1367"/>
      <c r="D1493" s="1367"/>
      <c r="E1493" s="1367"/>
      <c r="F1493" s="1367"/>
      <c r="G1493" s="1367"/>
      <c r="H1493" s="1333" t="s">
        <v>2183</v>
      </c>
      <c r="I1493" s="1333" t="s">
        <v>4171</v>
      </c>
      <c r="J1493" s="1333" t="s">
        <v>4161</v>
      </c>
      <c r="K1493" s="1333" t="s">
        <v>1055</v>
      </c>
      <c r="L1493" s="1333" t="s">
        <v>1724</v>
      </c>
      <c r="M1493" s="1335">
        <v>21.0</v>
      </c>
      <c r="O1493" s="1045"/>
      <c r="P1493" s="1045"/>
      <c r="Q1493" s="1045"/>
      <c r="R1493" s="1045"/>
      <c r="S1493" s="1045"/>
      <c r="T1493" s="1045"/>
      <c r="U1493" s="1045"/>
      <c r="V1493" s="1045"/>
      <c r="W1493" s="1045"/>
      <c r="X1493" s="1045"/>
      <c r="Y1493" s="1045"/>
      <c r="Z1493" s="1045"/>
      <c r="AA1493" s="1045"/>
      <c r="AB1493" s="1045"/>
      <c r="AC1493" s="1045"/>
      <c r="AD1493" s="1045"/>
      <c r="AE1493" s="1045"/>
      <c r="AF1493" s="1045"/>
    </row>
    <row r="1494">
      <c r="A1494" s="1367"/>
      <c r="B1494" s="1367"/>
      <c r="C1494" s="1367"/>
      <c r="D1494" s="1367"/>
      <c r="E1494" s="1367"/>
      <c r="F1494" s="1367"/>
      <c r="G1494" s="1367"/>
      <c r="H1494" s="1333" t="s">
        <v>2183</v>
      </c>
      <c r="I1494" s="1333" t="s">
        <v>4171</v>
      </c>
      <c r="J1494" s="1333" t="s">
        <v>4161</v>
      </c>
      <c r="K1494" s="1333" t="s">
        <v>4161</v>
      </c>
      <c r="L1494" s="1333" t="s">
        <v>2480</v>
      </c>
      <c r="M1494" s="1335">
        <v>1.0</v>
      </c>
      <c r="O1494" s="1045"/>
      <c r="P1494" s="1045"/>
      <c r="Q1494" s="1045"/>
      <c r="R1494" s="1045"/>
      <c r="S1494" s="1045"/>
      <c r="T1494" s="1045"/>
      <c r="U1494" s="1045"/>
      <c r="V1494" s="1045"/>
      <c r="W1494" s="1045"/>
      <c r="X1494" s="1045"/>
      <c r="Y1494" s="1045"/>
      <c r="Z1494" s="1045"/>
      <c r="AA1494" s="1045"/>
      <c r="AB1494" s="1045"/>
      <c r="AC1494" s="1045"/>
      <c r="AD1494" s="1045"/>
      <c r="AE1494" s="1045"/>
      <c r="AF1494" s="1045"/>
    </row>
    <row r="1495">
      <c r="A1495" s="1367"/>
      <c r="B1495" s="1367"/>
      <c r="C1495" s="1367"/>
      <c r="D1495" s="1367"/>
      <c r="E1495" s="1367"/>
      <c r="F1495" s="1367"/>
      <c r="G1495" s="1367"/>
      <c r="H1495" s="1367"/>
      <c r="I1495" s="1367"/>
      <c r="J1495" s="1367"/>
      <c r="K1495" s="1367"/>
      <c r="L1495" s="1367"/>
      <c r="M1495" s="1010"/>
      <c r="O1495" s="1045"/>
      <c r="P1495" s="1045"/>
      <c r="Q1495" s="1045"/>
      <c r="R1495" s="1045"/>
      <c r="S1495" s="1045"/>
      <c r="T1495" s="1045"/>
      <c r="U1495" s="1045"/>
      <c r="V1495" s="1045"/>
      <c r="W1495" s="1045"/>
      <c r="X1495" s="1045"/>
      <c r="Y1495" s="1045"/>
      <c r="Z1495" s="1045"/>
      <c r="AA1495" s="1045"/>
      <c r="AB1495" s="1045"/>
      <c r="AC1495" s="1045"/>
      <c r="AD1495" s="1045"/>
      <c r="AE1495" s="1045"/>
      <c r="AF1495" s="1045"/>
    </row>
    <row r="1496">
      <c r="A1496" s="1369" t="s">
        <v>4225</v>
      </c>
      <c r="B1496" s="1370"/>
      <c r="C1496" s="1370"/>
      <c r="D1496" s="1370"/>
      <c r="E1496" s="1370"/>
      <c r="F1496" s="1370"/>
      <c r="G1496" s="1369" t="s">
        <v>1043</v>
      </c>
      <c r="H1496" s="1371">
        <v>45441.0</v>
      </c>
      <c r="I1496" s="1370"/>
      <c r="J1496" s="1370" t="s">
        <v>769</v>
      </c>
      <c r="K1496" s="1371">
        <v>45291.0</v>
      </c>
      <c r="L1496" s="1370"/>
      <c r="M1496" s="1372"/>
      <c r="N1496" s="276"/>
      <c r="O1496" s="276"/>
      <c r="P1496" s="276"/>
      <c r="Q1496" s="276"/>
      <c r="R1496" s="276"/>
      <c r="S1496" s="276"/>
      <c r="T1496" s="276"/>
      <c r="U1496" s="276"/>
      <c r="V1496" s="276"/>
      <c r="W1496" s="276"/>
      <c r="X1496" s="276"/>
      <c r="Y1496" s="276"/>
      <c r="Z1496" s="276"/>
      <c r="AA1496" s="276"/>
      <c r="AB1496" s="276"/>
      <c r="AC1496" s="276"/>
      <c r="AD1496" s="276"/>
      <c r="AE1496" s="276"/>
      <c r="AF1496" s="276"/>
    </row>
    <row r="1497">
      <c r="A1497" s="1367"/>
      <c r="B1497" s="1367"/>
      <c r="C1497" s="1367"/>
      <c r="D1497" s="1367"/>
      <c r="E1497" s="1367"/>
      <c r="F1497" s="1367"/>
      <c r="G1497" s="1367"/>
      <c r="H1497" s="1367"/>
      <c r="I1497" s="1367"/>
      <c r="J1497" s="1367"/>
      <c r="K1497" s="1367"/>
      <c r="L1497" s="1367"/>
      <c r="M1497" s="1010"/>
    </row>
    <row r="1498">
      <c r="A1498" s="1373" t="s">
        <v>954</v>
      </c>
      <c r="B1498" s="1374">
        <f t="shared" ref="B1498:B1701" si="17">sumif($E$1500:$E$2313,A1498,$H$1500:$H$2313)</f>
        <v>70</v>
      </c>
      <c r="C1498" s="1367"/>
      <c r="D1498" s="1367"/>
      <c r="E1498" s="1367"/>
      <c r="F1498" s="1367"/>
      <c r="G1498" s="1367"/>
      <c r="H1498" s="1367"/>
      <c r="I1498" s="1367"/>
      <c r="J1498" s="1367"/>
      <c r="K1498" s="1367"/>
      <c r="L1498" s="1367"/>
      <c r="M1498" s="1010"/>
    </row>
    <row r="1499">
      <c r="A1499" s="1375" t="s">
        <v>2005</v>
      </c>
      <c r="B1499" s="1374">
        <f t="shared" si="17"/>
        <v>41</v>
      </c>
      <c r="C1499" s="1367"/>
      <c r="D1499" s="1367" t="s">
        <v>4226</v>
      </c>
      <c r="E1499" s="1367" t="s">
        <v>172</v>
      </c>
      <c r="F1499" s="1367" t="s">
        <v>2474</v>
      </c>
      <c r="G1499" s="1367" t="s">
        <v>4227</v>
      </c>
      <c r="H1499" s="1367" t="s">
        <v>4228</v>
      </c>
      <c r="I1499" s="1367" t="s">
        <v>4229</v>
      </c>
      <c r="J1499" s="1367"/>
      <c r="K1499" s="1367"/>
      <c r="L1499" s="1367"/>
      <c r="M1499" s="1010"/>
    </row>
    <row r="1500">
      <c r="A1500" s="1375" t="s">
        <v>2006</v>
      </c>
      <c r="B1500" s="1374">
        <f t="shared" si="17"/>
        <v>330</v>
      </c>
      <c r="C1500" s="1367"/>
      <c r="D1500" s="1367">
        <v>2023.0</v>
      </c>
      <c r="E1500" s="1367" t="s">
        <v>954</v>
      </c>
      <c r="F1500" s="1367" t="s">
        <v>4155</v>
      </c>
      <c r="G1500" s="1367" t="s">
        <v>4230</v>
      </c>
      <c r="H1500" s="1367">
        <v>13.0</v>
      </c>
      <c r="I1500" s="1367">
        <v>13.0</v>
      </c>
      <c r="J1500" s="1367"/>
      <c r="K1500" s="1367"/>
      <c r="L1500" s="1367"/>
      <c r="M1500" s="1010"/>
    </row>
    <row r="1501">
      <c r="A1501" s="1375" t="s">
        <v>2007</v>
      </c>
      <c r="B1501" s="1374">
        <f t="shared" si="17"/>
        <v>90</v>
      </c>
      <c r="C1501" s="1367"/>
      <c r="D1501" s="1367">
        <v>2023.0</v>
      </c>
      <c r="E1501" s="1367" t="s">
        <v>954</v>
      </c>
      <c r="F1501" s="1367" t="s">
        <v>4155</v>
      </c>
      <c r="G1501" s="1367" t="s">
        <v>4231</v>
      </c>
      <c r="H1501" s="1367">
        <v>37.0</v>
      </c>
      <c r="I1501" s="1367">
        <v>38.0</v>
      </c>
      <c r="J1501" s="1367"/>
      <c r="K1501" s="1367"/>
      <c r="L1501" s="1367"/>
      <c r="M1501" s="1010"/>
    </row>
    <row r="1502">
      <c r="A1502" s="1375" t="s">
        <v>2008</v>
      </c>
      <c r="B1502" s="1374">
        <f t="shared" si="17"/>
        <v>15</v>
      </c>
      <c r="C1502" s="1367"/>
      <c r="D1502" s="1367">
        <v>2023.0</v>
      </c>
      <c r="E1502" s="1367" t="s">
        <v>954</v>
      </c>
      <c r="F1502" s="1367" t="s">
        <v>4155</v>
      </c>
      <c r="G1502" s="1367" t="s">
        <v>1086</v>
      </c>
      <c r="H1502" s="1367">
        <v>12.0</v>
      </c>
      <c r="I1502" s="1367">
        <v>12.0</v>
      </c>
      <c r="J1502" s="1367"/>
      <c r="K1502" s="1367"/>
      <c r="L1502" s="1367"/>
      <c r="M1502" s="1010"/>
    </row>
    <row r="1503">
      <c r="A1503" s="1375" t="s">
        <v>1783</v>
      </c>
      <c r="B1503" s="1374">
        <f t="shared" si="17"/>
        <v>6</v>
      </c>
      <c r="C1503" s="1367"/>
      <c r="D1503" s="1367">
        <v>2023.0</v>
      </c>
      <c r="E1503" s="1367" t="s">
        <v>954</v>
      </c>
      <c r="F1503" s="1367" t="s">
        <v>4155</v>
      </c>
      <c r="G1503" s="1367" t="s">
        <v>1715</v>
      </c>
      <c r="H1503" s="1367">
        <v>8.0</v>
      </c>
      <c r="I1503" s="1367">
        <v>8.0</v>
      </c>
      <c r="J1503" s="1367"/>
      <c r="K1503" s="1367"/>
      <c r="L1503" s="1367"/>
      <c r="M1503" s="1010"/>
    </row>
    <row r="1504">
      <c r="A1504" s="1375" t="s">
        <v>2010</v>
      </c>
      <c r="B1504" s="1374">
        <f t="shared" si="17"/>
        <v>247</v>
      </c>
      <c r="C1504" s="1367"/>
      <c r="D1504" s="1367">
        <v>2023.0</v>
      </c>
      <c r="E1504" s="1367" t="s">
        <v>2005</v>
      </c>
      <c r="F1504" s="1367" t="s">
        <v>4162</v>
      </c>
      <c r="G1504" s="1367" t="s">
        <v>4231</v>
      </c>
      <c r="H1504" s="1367">
        <v>11.0</v>
      </c>
      <c r="I1504" s="1367">
        <v>12.0</v>
      </c>
      <c r="J1504" s="1367"/>
      <c r="K1504" s="1367"/>
      <c r="L1504" s="1367"/>
      <c r="M1504" s="1010"/>
    </row>
    <row r="1505">
      <c r="A1505" s="1375" t="s">
        <v>2011</v>
      </c>
      <c r="B1505" s="1374">
        <f t="shared" si="17"/>
        <v>39</v>
      </c>
      <c r="C1505" s="1367"/>
      <c r="D1505" s="1367">
        <v>2023.0</v>
      </c>
      <c r="E1505" s="1367" t="s">
        <v>2005</v>
      </c>
      <c r="F1505" s="1367" t="s">
        <v>4162</v>
      </c>
      <c r="G1505" s="1367" t="s">
        <v>1086</v>
      </c>
      <c r="H1505" s="1367">
        <v>26.0</v>
      </c>
      <c r="I1505" s="1367">
        <v>26.0</v>
      </c>
      <c r="J1505" s="1367"/>
      <c r="K1505" s="1367"/>
      <c r="L1505" s="1367"/>
      <c r="M1505" s="1010"/>
    </row>
    <row r="1506">
      <c r="A1506" s="1375" t="s">
        <v>2012</v>
      </c>
      <c r="B1506" s="1374">
        <f t="shared" si="17"/>
        <v>12</v>
      </c>
      <c r="C1506" s="1367"/>
      <c r="D1506" s="1367">
        <v>2023.0</v>
      </c>
      <c r="E1506" s="1367" t="s">
        <v>2005</v>
      </c>
      <c r="F1506" s="1367" t="s">
        <v>4162</v>
      </c>
      <c r="G1506" s="1367" t="s">
        <v>1715</v>
      </c>
      <c r="H1506" s="1367">
        <v>4.0</v>
      </c>
      <c r="I1506" s="1367">
        <v>4.0</v>
      </c>
      <c r="J1506" s="1367"/>
      <c r="K1506" s="1367"/>
      <c r="L1506" s="1367"/>
      <c r="M1506" s="1010"/>
    </row>
    <row r="1507">
      <c r="A1507" s="1375" t="s">
        <v>2013</v>
      </c>
      <c r="B1507" s="1374">
        <f t="shared" si="17"/>
        <v>52</v>
      </c>
      <c r="C1507" s="1367"/>
      <c r="D1507" s="1367">
        <v>2023.0</v>
      </c>
      <c r="E1507" s="1367" t="s">
        <v>2006</v>
      </c>
      <c r="F1507" s="1367" t="s">
        <v>4164</v>
      </c>
      <c r="G1507" s="1367" t="s">
        <v>4230</v>
      </c>
      <c r="H1507" s="1367">
        <v>81.0</v>
      </c>
      <c r="I1507" s="1367">
        <v>91.0</v>
      </c>
      <c r="J1507" s="1367"/>
      <c r="K1507" s="1367"/>
      <c r="L1507" s="1367"/>
      <c r="M1507" s="1010"/>
    </row>
    <row r="1508">
      <c r="A1508" s="1375" t="s">
        <v>2014</v>
      </c>
      <c r="B1508" s="1374">
        <f t="shared" si="17"/>
        <v>91</v>
      </c>
      <c r="C1508" s="1367"/>
      <c r="D1508" s="1367">
        <v>2023.0</v>
      </c>
      <c r="E1508" s="1367" t="s">
        <v>2006</v>
      </c>
      <c r="F1508" s="1367" t="s">
        <v>4164</v>
      </c>
      <c r="G1508" s="1367" t="s">
        <v>4231</v>
      </c>
      <c r="H1508" s="1367">
        <v>152.0</v>
      </c>
      <c r="I1508" s="1367">
        <v>158.0</v>
      </c>
      <c r="J1508" s="1367"/>
      <c r="K1508" s="1367"/>
      <c r="L1508" s="1367"/>
      <c r="M1508" s="1010"/>
    </row>
    <row r="1509">
      <c r="A1509" s="1375" t="s">
        <v>2016</v>
      </c>
      <c r="B1509" s="1374">
        <f t="shared" si="17"/>
        <v>113</v>
      </c>
      <c r="C1509" s="1367"/>
      <c r="D1509" s="1367">
        <v>2023.0</v>
      </c>
      <c r="E1509" s="1367" t="s">
        <v>2006</v>
      </c>
      <c r="F1509" s="1367" t="s">
        <v>4164</v>
      </c>
      <c r="G1509" s="1367" t="s">
        <v>1086</v>
      </c>
      <c r="H1509" s="1367">
        <v>75.0</v>
      </c>
      <c r="I1509" s="1367">
        <v>76.0</v>
      </c>
      <c r="J1509" s="1367"/>
      <c r="K1509" s="1367"/>
      <c r="L1509" s="1367"/>
      <c r="M1509" s="1010"/>
    </row>
    <row r="1510">
      <c r="A1510" s="1375" t="s">
        <v>1027</v>
      </c>
      <c r="B1510" s="1374">
        <f t="shared" si="17"/>
        <v>906</v>
      </c>
      <c r="C1510" s="1367"/>
      <c r="D1510" s="1367">
        <v>2023.0</v>
      </c>
      <c r="E1510" s="1367" t="s">
        <v>2006</v>
      </c>
      <c r="F1510" s="1367" t="s">
        <v>4164</v>
      </c>
      <c r="G1510" s="1367" t="s">
        <v>1715</v>
      </c>
      <c r="H1510" s="1367">
        <v>22.0</v>
      </c>
      <c r="I1510" s="1367">
        <v>23.0</v>
      </c>
      <c r="J1510" s="1367"/>
      <c r="K1510" s="1367"/>
      <c r="L1510" s="1367"/>
      <c r="M1510" s="1010"/>
    </row>
    <row r="1511">
      <c r="A1511" s="1375" t="s">
        <v>267</v>
      </c>
      <c r="B1511" s="1374">
        <f t="shared" si="17"/>
        <v>5652</v>
      </c>
      <c r="C1511" s="1367"/>
      <c r="D1511" s="1367">
        <v>2023.0</v>
      </c>
      <c r="E1511" s="1367" t="s">
        <v>2007</v>
      </c>
      <c r="F1511" s="1367" t="s">
        <v>4168</v>
      </c>
      <c r="G1511" s="1367" t="s">
        <v>4231</v>
      </c>
      <c r="H1511" s="1367">
        <v>45.0</v>
      </c>
      <c r="I1511" s="1367">
        <v>45.0</v>
      </c>
      <c r="J1511" s="1367"/>
      <c r="K1511" s="1367"/>
      <c r="L1511" s="1367"/>
      <c r="M1511" s="1010"/>
    </row>
    <row r="1512">
      <c r="A1512" s="1375" t="s">
        <v>2017</v>
      </c>
      <c r="B1512" s="1374">
        <f t="shared" si="17"/>
        <v>8</v>
      </c>
      <c r="C1512" s="1367"/>
      <c r="D1512" s="1367">
        <v>2023.0</v>
      </c>
      <c r="E1512" s="1367" t="s">
        <v>2007</v>
      </c>
      <c r="F1512" s="1367" t="s">
        <v>4168</v>
      </c>
      <c r="G1512" s="1367" t="s">
        <v>1086</v>
      </c>
      <c r="H1512" s="1367">
        <v>44.0</v>
      </c>
      <c r="I1512" s="1367">
        <v>46.0</v>
      </c>
      <c r="J1512" s="1367"/>
      <c r="K1512" s="1367"/>
      <c r="L1512" s="1367"/>
      <c r="M1512" s="1010"/>
    </row>
    <row r="1513">
      <c r="A1513" s="1375" t="s">
        <v>2019</v>
      </c>
      <c r="B1513" s="1374">
        <f t="shared" si="17"/>
        <v>44</v>
      </c>
      <c r="C1513" s="1367"/>
      <c r="D1513" s="1367">
        <v>2023.0</v>
      </c>
      <c r="E1513" s="1367" t="s">
        <v>2007</v>
      </c>
      <c r="F1513" s="1367" t="s">
        <v>4168</v>
      </c>
      <c r="G1513" s="1367" t="s">
        <v>1715</v>
      </c>
      <c r="H1513" s="1367">
        <v>1.0</v>
      </c>
      <c r="I1513" s="1367">
        <v>1.0</v>
      </c>
      <c r="J1513" s="1367"/>
      <c r="K1513" s="1367"/>
      <c r="L1513" s="1367"/>
      <c r="M1513" s="1010"/>
    </row>
    <row r="1514">
      <c r="A1514" s="1375" t="s">
        <v>2020</v>
      </c>
      <c r="B1514" s="1374">
        <f t="shared" si="17"/>
        <v>234</v>
      </c>
      <c r="C1514" s="1367"/>
      <c r="D1514" s="1367">
        <v>2023.0</v>
      </c>
      <c r="E1514" s="1367" t="s">
        <v>2008</v>
      </c>
      <c r="F1514" s="1367" t="s">
        <v>4169</v>
      </c>
      <c r="G1514" s="1367" t="s">
        <v>4231</v>
      </c>
      <c r="H1514" s="1367">
        <v>11.0</v>
      </c>
      <c r="I1514" s="1367">
        <v>11.0</v>
      </c>
      <c r="J1514" s="1367"/>
      <c r="K1514" s="1367"/>
      <c r="L1514" s="1367"/>
      <c r="M1514" s="1010"/>
    </row>
    <row r="1515">
      <c r="A1515" s="1375" t="s">
        <v>2021</v>
      </c>
      <c r="B1515" s="1374">
        <f t="shared" si="17"/>
        <v>433</v>
      </c>
      <c r="C1515" s="1367"/>
      <c r="D1515" s="1367">
        <v>2023.0</v>
      </c>
      <c r="E1515" s="1367" t="s">
        <v>2008</v>
      </c>
      <c r="F1515" s="1367" t="s">
        <v>4169</v>
      </c>
      <c r="G1515" s="1367" t="s">
        <v>1086</v>
      </c>
      <c r="H1515" s="1367">
        <v>4.0</v>
      </c>
      <c r="I1515" s="1367">
        <v>5.0</v>
      </c>
      <c r="J1515" s="1367"/>
      <c r="K1515" s="1367"/>
      <c r="L1515" s="1367"/>
      <c r="M1515" s="1010"/>
    </row>
    <row r="1516">
      <c r="A1516" s="1375" t="s">
        <v>2022</v>
      </c>
      <c r="B1516" s="1374">
        <f t="shared" si="17"/>
        <v>194</v>
      </c>
      <c r="C1516" s="1367"/>
      <c r="D1516" s="1367">
        <v>2023.0</v>
      </c>
      <c r="E1516" s="1367" t="s">
        <v>1783</v>
      </c>
      <c r="F1516" s="1367" t="s">
        <v>4170</v>
      </c>
      <c r="G1516" s="1367" t="s">
        <v>4231</v>
      </c>
      <c r="H1516" s="1367">
        <v>5.0</v>
      </c>
      <c r="I1516" s="1367">
        <v>5.0</v>
      </c>
      <c r="J1516" s="1367"/>
      <c r="K1516" s="1367"/>
      <c r="L1516" s="1367"/>
      <c r="M1516" s="1010"/>
    </row>
    <row r="1517">
      <c r="A1517" s="1375" t="s">
        <v>2023</v>
      </c>
      <c r="B1517" s="1374">
        <f t="shared" si="17"/>
        <v>8</v>
      </c>
      <c r="C1517" s="1367"/>
      <c r="D1517" s="1367">
        <v>2023.0</v>
      </c>
      <c r="E1517" s="1367" t="s">
        <v>1783</v>
      </c>
      <c r="F1517" s="1367" t="s">
        <v>4170</v>
      </c>
      <c r="G1517" s="1367" t="s">
        <v>1086</v>
      </c>
      <c r="H1517" s="1367">
        <v>1.0</v>
      </c>
      <c r="I1517" s="1367">
        <v>1.0</v>
      </c>
      <c r="J1517" s="1367"/>
      <c r="K1517" s="1367"/>
      <c r="L1517" s="1367"/>
      <c r="M1517" s="1010"/>
    </row>
    <row r="1518">
      <c r="A1518" s="1375" t="s">
        <v>543</v>
      </c>
      <c r="B1518" s="1374">
        <f t="shared" si="17"/>
        <v>72</v>
      </c>
      <c r="C1518" s="1367"/>
      <c r="D1518" s="1367">
        <v>2023.0</v>
      </c>
      <c r="E1518" s="1367" t="s">
        <v>2010</v>
      </c>
      <c r="F1518" s="1367" t="s">
        <v>4171</v>
      </c>
      <c r="G1518" s="1367" t="s">
        <v>4230</v>
      </c>
      <c r="H1518" s="1367">
        <v>8.0</v>
      </c>
      <c r="I1518" s="1367">
        <v>8.0</v>
      </c>
      <c r="J1518" s="1367"/>
      <c r="K1518" s="1367"/>
      <c r="L1518" s="1367"/>
      <c r="M1518" s="1010"/>
    </row>
    <row r="1519">
      <c r="A1519" s="1375" t="s">
        <v>706</v>
      </c>
      <c r="B1519" s="1374">
        <f t="shared" si="17"/>
        <v>137</v>
      </c>
      <c r="C1519" s="1367"/>
      <c r="D1519" s="1367">
        <v>2023.0</v>
      </c>
      <c r="E1519" s="1367" t="s">
        <v>2010</v>
      </c>
      <c r="F1519" s="1367" t="s">
        <v>4171</v>
      </c>
      <c r="G1519" s="1367" t="s">
        <v>4231</v>
      </c>
      <c r="H1519" s="1367">
        <v>30.0</v>
      </c>
      <c r="I1519" s="1367">
        <v>30.0</v>
      </c>
      <c r="J1519" s="1367"/>
      <c r="K1519" s="1367"/>
      <c r="L1519" s="1367"/>
      <c r="M1519" s="1010"/>
    </row>
    <row r="1520">
      <c r="A1520" s="1375" t="s">
        <v>2027</v>
      </c>
      <c r="B1520" s="1374">
        <f t="shared" si="17"/>
        <v>22</v>
      </c>
      <c r="C1520" s="1367"/>
      <c r="D1520" s="1367">
        <v>2023.0</v>
      </c>
      <c r="E1520" s="1367" t="s">
        <v>2010</v>
      </c>
      <c r="F1520" s="1367" t="s">
        <v>4171</v>
      </c>
      <c r="G1520" s="1367" t="s">
        <v>1086</v>
      </c>
      <c r="H1520" s="1367">
        <v>200.0</v>
      </c>
      <c r="I1520" s="1367">
        <v>203.0</v>
      </c>
      <c r="J1520" s="1367"/>
      <c r="K1520" s="1367"/>
      <c r="L1520" s="1367"/>
      <c r="M1520" s="1010"/>
    </row>
    <row r="1521">
      <c r="A1521" s="1375" t="s">
        <v>1034</v>
      </c>
      <c r="B1521" s="1374">
        <f t="shared" si="17"/>
        <v>94</v>
      </c>
      <c r="C1521" s="1367"/>
      <c r="D1521" s="1367">
        <v>2023.0</v>
      </c>
      <c r="E1521" s="1367" t="s">
        <v>2010</v>
      </c>
      <c r="F1521" s="1367" t="s">
        <v>4171</v>
      </c>
      <c r="G1521" s="1367" t="s">
        <v>4232</v>
      </c>
      <c r="H1521" s="1367">
        <v>1.0</v>
      </c>
      <c r="I1521" s="1367">
        <v>1.0</v>
      </c>
      <c r="J1521" s="1367"/>
      <c r="K1521" s="1367"/>
      <c r="L1521" s="1367"/>
      <c r="M1521" s="1010"/>
    </row>
    <row r="1522">
      <c r="A1522" s="1375" t="s">
        <v>93</v>
      </c>
      <c r="B1522" s="1374">
        <f t="shared" si="17"/>
        <v>26</v>
      </c>
      <c r="C1522" s="1367"/>
      <c r="D1522" s="1367">
        <v>2023.0</v>
      </c>
      <c r="E1522" s="1367" t="s">
        <v>2010</v>
      </c>
      <c r="F1522" s="1367" t="s">
        <v>4171</v>
      </c>
      <c r="G1522" s="1367" t="s">
        <v>1715</v>
      </c>
      <c r="H1522" s="1367">
        <v>8.0</v>
      </c>
      <c r="I1522" s="1367">
        <v>8.0</v>
      </c>
      <c r="J1522" s="1367"/>
      <c r="K1522" s="1367"/>
      <c r="L1522" s="1367"/>
      <c r="M1522" s="1010"/>
    </row>
    <row r="1523">
      <c r="A1523" s="1375" t="s">
        <v>2029</v>
      </c>
      <c r="B1523" s="1374">
        <f t="shared" si="17"/>
        <v>92</v>
      </c>
      <c r="C1523" s="1367"/>
      <c r="D1523" s="1367">
        <v>2023.0</v>
      </c>
      <c r="E1523" s="1367" t="s">
        <v>2011</v>
      </c>
      <c r="F1523" s="1367" t="s">
        <v>4172</v>
      </c>
      <c r="G1523" s="1367" t="s">
        <v>4230</v>
      </c>
      <c r="H1523" s="1367">
        <v>3.0</v>
      </c>
      <c r="I1523" s="1367">
        <v>3.0</v>
      </c>
      <c r="J1523" s="1367"/>
      <c r="K1523" s="1367"/>
      <c r="L1523" s="1367"/>
      <c r="M1523" s="1010"/>
    </row>
    <row r="1524">
      <c r="A1524" s="1375" t="s">
        <v>1149</v>
      </c>
      <c r="B1524" s="1374">
        <f t="shared" si="17"/>
        <v>1038</v>
      </c>
      <c r="C1524" s="1367"/>
      <c r="D1524" s="1367">
        <v>2023.0</v>
      </c>
      <c r="E1524" s="1367" t="s">
        <v>2011</v>
      </c>
      <c r="F1524" s="1367" t="s">
        <v>4172</v>
      </c>
      <c r="G1524" s="1367" t="s">
        <v>4231</v>
      </c>
      <c r="H1524" s="1367">
        <v>16.0</v>
      </c>
      <c r="I1524" s="1367">
        <v>16.0</v>
      </c>
      <c r="J1524" s="1367"/>
      <c r="K1524" s="1367"/>
      <c r="L1524" s="1367"/>
      <c r="M1524" s="1010"/>
    </row>
    <row r="1525">
      <c r="A1525" s="1375" t="s">
        <v>2031</v>
      </c>
      <c r="B1525" s="1374">
        <f t="shared" si="17"/>
        <v>41</v>
      </c>
      <c r="C1525" s="1367"/>
      <c r="D1525" s="1367">
        <v>2023.0</v>
      </c>
      <c r="E1525" s="1367" t="s">
        <v>2011</v>
      </c>
      <c r="F1525" s="1367" t="s">
        <v>4172</v>
      </c>
      <c r="G1525" s="1367" t="s">
        <v>1086</v>
      </c>
      <c r="H1525" s="1367">
        <v>15.0</v>
      </c>
      <c r="I1525" s="1367">
        <v>15.0</v>
      </c>
      <c r="J1525" s="1367"/>
      <c r="K1525" s="1367"/>
      <c r="L1525" s="1367"/>
      <c r="M1525" s="1010"/>
    </row>
    <row r="1526">
      <c r="A1526" s="1375" t="s">
        <v>2032</v>
      </c>
      <c r="B1526" s="1374">
        <f t="shared" si="17"/>
        <v>4</v>
      </c>
      <c r="C1526" s="1367"/>
      <c r="D1526" s="1367">
        <v>2023.0</v>
      </c>
      <c r="E1526" s="1367" t="s">
        <v>2011</v>
      </c>
      <c r="F1526" s="1367" t="s">
        <v>4172</v>
      </c>
      <c r="G1526" s="1367" t="s">
        <v>1715</v>
      </c>
      <c r="H1526" s="1367">
        <v>5.0</v>
      </c>
      <c r="I1526" s="1367">
        <v>5.0</v>
      </c>
      <c r="J1526" s="1367"/>
      <c r="K1526" s="1367"/>
      <c r="L1526" s="1367"/>
      <c r="M1526" s="1010"/>
    </row>
    <row r="1527">
      <c r="A1527" s="1375" t="s">
        <v>708</v>
      </c>
      <c r="B1527" s="1374">
        <f t="shared" si="17"/>
        <v>76</v>
      </c>
      <c r="C1527" s="1367"/>
      <c r="D1527" s="1367">
        <v>2023.0</v>
      </c>
      <c r="E1527" s="1367" t="s">
        <v>2012</v>
      </c>
      <c r="F1527" s="1367" t="s">
        <v>4170</v>
      </c>
      <c r="G1527" s="1367" t="s">
        <v>1086</v>
      </c>
      <c r="H1527" s="1367">
        <v>12.0</v>
      </c>
      <c r="I1527" s="1367">
        <v>12.0</v>
      </c>
      <c r="J1527" s="1367"/>
      <c r="K1527" s="1367"/>
      <c r="L1527" s="1367"/>
      <c r="M1527" s="1010"/>
    </row>
    <row r="1528">
      <c r="A1528" s="1375" t="s">
        <v>98</v>
      </c>
      <c r="B1528" s="1374">
        <f t="shared" si="17"/>
        <v>58</v>
      </c>
      <c r="C1528" s="1367"/>
      <c r="D1528" s="1367">
        <v>2023.0</v>
      </c>
      <c r="E1528" s="1367" t="s">
        <v>2013</v>
      </c>
      <c r="F1528" s="1367" t="s">
        <v>4171</v>
      </c>
      <c r="G1528" s="1367" t="s">
        <v>4230</v>
      </c>
      <c r="H1528" s="1367">
        <v>1.0</v>
      </c>
      <c r="I1528" s="1367">
        <v>1.0</v>
      </c>
      <c r="J1528" s="1367"/>
      <c r="K1528" s="1367"/>
      <c r="L1528" s="1367"/>
      <c r="M1528" s="1010"/>
    </row>
    <row r="1529">
      <c r="A1529" s="1375" t="s">
        <v>101</v>
      </c>
      <c r="B1529" s="1374">
        <f t="shared" si="17"/>
        <v>157</v>
      </c>
      <c r="C1529" s="1367"/>
      <c r="D1529" s="1367">
        <v>2023.0</v>
      </c>
      <c r="E1529" s="1367" t="s">
        <v>2013</v>
      </c>
      <c r="F1529" s="1367" t="s">
        <v>4171</v>
      </c>
      <c r="G1529" s="1367" t="s">
        <v>4231</v>
      </c>
      <c r="H1529" s="1367">
        <v>29.0</v>
      </c>
      <c r="I1529" s="1367">
        <v>34.0</v>
      </c>
      <c r="J1529" s="1367"/>
      <c r="K1529" s="1367"/>
      <c r="L1529" s="1367"/>
      <c r="M1529" s="1010"/>
    </row>
    <row r="1530">
      <c r="A1530" s="1375" t="s">
        <v>2034</v>
      </c>
      <c r="B1530" s="1374">
        <f t="shared" si="17"/>
        <v>35</v>
      </c>
      <c r="C1530" s="1367"/>
      <c r="D1530" s="1367">
        <v>2023.0</v>
      </c>
      <c r="E1530" s="1367" t="s">
        <v>2013</v>
      </c>
      <c r="F1530" s="1367" t="s">
        <v>4171</v>
      </c>
      <c r="G1530" s="1367" t="s">
        <v>1086</v>
      </c>
      <c r="H1530" s="1367">
        <v>20.0</v>
      </c>
      <c r="I1530" s="1367">
        <v>20.0</v>
      </c>
      <c r="J1530" s="1367"/>
      <c r="K1530" s="1367"/>
      <c r="L1530" s="1367"/>
      <c r="M1530" s="1010"/>
    </row>
    <row r="1531">
      <c r="A1531" s="1375" t="s">
        <v>112</v>
      </c>
      <c r="B1531" s="1374">
        <f t="shared" si="17"/>
        <v>25</v>
      </c>
      <c r="C1531" s="1367"/>
      <c r="D1531" s="1367">
        <v>2023.0</v>
      </c>
      <c r="E1531" s="1367" t="s">
        <v>2013</v>
      </c>
      <c r="F1531" s="1367" t="s">
        <v>4171</v>
      </c>
      <c r="G1531" s="1367" t="s">
        <v>4232</v>
      </c>
      <c r="H1531" s="1367">
        <v>1.0</v>
      </c>
      <c r="I1531" s="1367">
        <v>1.0</v>
      </c>
      <c r="J1531" s="1367"/>
      <c r="K1531" s="1367"/>
      <c r="L1531" s="1367"/>
      <c r="M1531" s="1010"/>
    </row>
    <row r="1532">
      <c r="A1532" s="1375" t="s">
        <v>2036</v>
      </c>
      <c r="B1532" s="1374">
        <f t="shared" si="17"/>
        <v>3</v>
      </c>
      <c r="C1532" s="1367"/>
      <c r="D1532" s="1367">
        <v>2023.0</v>
      </c>
      <c r="E1532" s="1367" t="s">
        <v>2013</v>
      </c>
      <c r="F1532" s="1367" t="s">
        <v>4171</v>
      </c>
      <c r="G1532" s="1367" t="s">
        <v>1715</v>
      </c>
      <c r="H1532" s="1367">
        <v>1.0</v>
      </c>
      <c r="I1532" s="1367">
        <v>1.0</v>
      </c>
      <c r="J1532" s="1367"/>
      <c r="K1532" s="1367"/>
      <c r="L1532" s="1367"/>
      <c r="M1532" s="1010"/>
    </row>
    <row r="1533">
      <c r="A1533" s="1375" t="s">
        <v>2037</v>
      </c>
      <c r="B1533" s="1374">
        <f t="shared" si="17"/>
        <v>18</v>
      </c>
      <c r="C1533" s="1367"/>
      <c r="D1533" s="1367">
        <v>2023.0</v>
      </c>
      <c r="E1533" s="1367" t="s">
        <v>2014</v>
      </c>
      <c r="F1533" s="1367" t="s">
        <v>4173</v>
      </c>
      <c r="G1533" s="1367" t="s">
        <v>4230</v>
      </c>
      <c r="H1533" s="1367">
        <v>7.0</v>
      </c>
      <c r="I1533" s="1367">
        <v>7.0</v>
      </c>
      <c r="J1533" s="1367"/>
      <c r="K1533" s="1367"/>
      <c r="L1533" s="1367"/>
      <c r="M1533" s="1010"/>
    </row>
    <row r="1534">
      <c r="A1534" s="1375" t="s">
        <v>405</v>
      </c>
      <c r="B1534" s="1374">
        <f t="shared" si="17"/>
        <v>602</v>
      </c>
      <c r="C1534" s="1367"/>
      <c r="D1534" s="1367">
        <v>2023.0</v>
      </c>
      <c r="E1534" s="1367" t="s">
        <v>2014</v>
      </c>
      <c r="F1534" s="1367" t="s">
        <v>4173</v>
      </c>
      <c r="G1534" s="1367" t="s">
        <v>4231</v>
      </c>
      <c r="H1534" s="1367">
        <v>22.0</v>
      </c>
      <c r="I1534" s="1367">
        <v>22.0</v>
      </c>
      <c r="J1534" s="1367"/>
      <c r="K1534" s="1367"/>
      <c r="L1534" s="1367"/>
      <c r="M1534" s="1010"/>
    </row>
    <row r="1535">
      <c r="A1535" s="1375" t="s">
        <v>2038</v>
      </c>
      <c r="B1535" s="1374">
        <f t="shared" si="17"/>
        <v>15</v>
      </c>
      <c r="C1535" s="1367"/>
      <c r="D1535" s="1367">
        <v>2023.0</v>
      </c>
      <c r="E1535" s="1367" t="s">
        <v>2014</v>
      </c>
      <c r="F1535" s="1367" t="s">
        <v>4173</v>
      </c>
      <c r="G1535" s="1367" t="s">
        <v>1086</v>
      </c>
      <c r="H1535" s="1367">
        <v>55.0</v>
      </c>
      <c r="I1535" s="1367">
        <v>55.0</v>
      </c>
      <c r="J1535" s="1367"/>
      <c r="K1535" s="1367"/>
      <c r="L1535" s="1367"/>
      <c r="M1535" s="1010"/>
    </row>
    <row r="1536">
      <c r="A1536" s="1375" t="s">
        <v>36</v>
      </c>
      <c r="B1536" s="1374">
        <f t="shared" si="17"/>
        <v>35</v>
      </c>
      <c r="C1536" s="1367"/>
      <c r="D1536" s="1367">
        <v>2023.0</v>
      </c>
      <c r="E1536" s="1367" t="s">
        <v>2014</v>
      </c>
      <c r="F1536" s="1367" t="s">
        <v>4173</v>
      </c>
      <c r="G1536" s="1367" t="s">
        <v>1715</v>
      </c>
      <c r="H1536" s="1367">
        <v>7.0</v>
      </c>
      <c r="I1536" s="1367">
        <v>7.0</v>
      </c>
      <c r="J1536" s="1367"/>
      <c r="K1536" s="1367"/>
      <c r="L1536" s="1367"/>
      <c r="M1536" s="1010"/>
    </row>
    <row r="1537">
      <c r="A1537" s="1375" t="s">
        <v>2039</v>
      </c>
      <c r="B1537" s="1374">
        <f t="shared" si="17"/>
        <v>355</v>
      </c>
      <c r="C1537" s="1367"/>
      <c r="D1537" s="1367">
        <v>2023.0</v>
      </c>
      <c r="E1537" s="1367" t="s">
        <v>2015</v>
      </c>
      <c r="F1537" s="1367" t="s">
        <v>4169</v>
      </c>
      <c r="G1537" s="1367" t="s">
        <v>4231</v>
      </c>
      <c r="H1537" s="1367">
        <v>14.0</v>
      </c>
      <c r="I1537" s="1367">
        <v>14.0</v>
      </c>
      <c r="J1537" s="1367"/>
      <c r="K1537" s="1367"/>
      <c r="L1537" s="1367"/>
      <c r="M1537" s="1010"/>
    </row>
    <row r="1538">
      <c r="A1538" s="1375" t="s">
        <v>964</v>
      </c>
      <c r="B1538" s="1374">
        <f t="shared" si="17"/>
        <v>47</v>
      </c>
      <c r="C1538" s="1367"/>
      <c r="D1538" s="1367">
        <v>2023.0</v>
      </c>
      <c r="E1538" s="1367" t="s">
        <v>2015</v>
      </c>
      <c r="F1538" s="1367" t="s">
        <v>4169</v>
      </c>
      <c r="G1538" s="1367" t="s">
        <v>1086</v>
      </c>
      <c r="H1538" s="1367">
        <v>5.0</v>
      </c>
      <c r="I1538" s="1367">
        <v>5.0</v>
      </c>
      <c r="J1538" s="1367"/>
      <c r="K1538" s="1367"/>
      <c r="L1538" s="1367"/>
      <c r="M1538" s="1010"/>
    </row>
    <row r="1539">
      <c r="A1539" s="1375" t="s">
        <v>2042</v>
      </c>
      <c r="B1539" s="1374">
        <f t="shared" si="17"/>
        <v>116</v>
      </c>
      <c r="C1539" s="1367"/>
      <c r="D1539" s="1367">
        <v>2023.0</v>
      </c>
      <c r="E1539" s="1367" t="s">
        <v>2016</v>
      </c>
      <c r="F1539" s="1367" t="s">
        <v>4168</v>
      </c>
      <c r="G1539" s="1367" t="s">
        <v>4230</v>
      </c>
      <c r="H1539" s="1367">
        <v>6.0</v>
      </c>
      <c r="I1539" s="1367">
        <v>6.0</v>
      </c>
      <c r="J1539" s="1367"/>
      <c r="K1539" s="1367"/>
      <c r="L1539" s="1367"/>
      <c r="M1539" s="1010"/>
    </row>
    <row r="1540">
      <c r="A1540" s="1375" t="s">
        <v>2043</v>
      </c>
      <c r="B1540" s="1374">
        <f t="shared" si="17"/>
        <v>219</v>
      </c>
      <c r="C1540" s="1367"/>
      <c r="D1540" s="1367">
        <v>2023.0</v>
      </c>
      <c r="E1540" s="1367" t="s">
        <v>2016</v>
      </c>
      <c r="F1540" s="1367" t="s">
        <v>4168</v>
      </c>
      <c r="G1540" s="1367" t="s">
        <v>4231</v>
      </c>
      <c r="H1540" s="1367">
        <v>18.0</v>
      </c>
      <c r="I1540" s="1367">
        <v>18.0</v>
      </c>
      <c r="J1540" s="1367"/>
      <c r="K1540" s="1367"/>
      <c r="L1540" s="1367"/>
      <c r="M1540" s="1010"/>
    </row>
    <row r="1541">
      <c r="A1541" s="1375" t="s">
        <v>1900</v>
      </c>
      <c r="B1541" s="1374">
        <f t="shared" si="17"/>
        <v>8</v>
      </c>
      <c r="C1541" s="1367"/>
      <c r="D1541" s="1367">
        <v>2023.0</v>
      </c>
      <c r="E1541" s="1367" t="s">
        <v>2016</v>
      </c>
      <c r="F1541" s="1367" t="s">
        <v>4168</v>
      </c>
      <c r="G1541" s="1367" t="s">
        <v>1086</v>
      </c>
      <c r="H1541" s="1367">
        <v>88.0</v>
      </c>
      <c r="I1541" s="1367">
        <v>91.0</v>
      </c>
      <c r="J1541" s="1367"/>
      <c r="K1541" s="1367"/>
      <c r="L1541" s="1367"/>
      <c r="M1541" s="1010"/>
    </row>
    <row r="1542">
      <c r="A1542" s="1375" t="s">
        <v>2047</v>
      </c>
      <c r="B1542" s="1374">
        <f t="shared" si="17"/>
        <v>18</v>
      </c>
      <c r="C1542" s="1367"/>
      <c r="D1542" s="1367">
        <v>2023.0</v>
      </c>
      <c r="E1542" s="1367" t="s">
        <v>2016</v>
      </c>
      <c r="F1542" s="1367" t="s">
        <v>4168</v>
      </c>
      <c r="G1542" s="1367" t="s">
        <v>1715</v>
      </c>
      <c r="H1542" s="1367">
        <v>1.0</v>
      </c>
      <c r="I1542" s="1367">
        <v>1.0</v>
      </c>
      <c r="J1542" s="1367"/>
      <c r="K1542" s="1367"/>
      <c r="L1542" s="1367"/>
      <c r="M1542" s="1010"/>
    </row>
    <row r="1543">
      <c r="A1543" s="1375" t="s">
        <v>2050</v>
      </c>
      <c r="B1543" s="1374">
        <f t="shared" si="17"/>
        <v>27</v>
      </c>
      <c r="C1543" s="1367"/>
      <c r="D1543" s="1367">
        <v>2023.0</v>
      </c>
      <c r="E1543" s="1367" t="s">
        <v>1027</v>
      </c>
      <c r="F1543" s="1367" t="s">
        <v>4173</v>
      </c>
      <c r="G1543" s="1367" t="s">
        <v>4230</v>
      </c>
      <c r="H1543" s="1367">
        <v>357.0</v>
      </c>
      <c r="I1543" s="1367">
        <v>372.0</v>
      </c>
      <c r="J1543" s="1367"/>
      <c r="K1543" s="1367"/>
      <c r="L1543" s="1367"/>
      <c r="M1543" s="1010"/>
    </row>
    <row r="1544">
      <c r="A1544" s="1375" t="s">
        <v>130</v>
      </c>
      <c r="B1544" s="1374">
        <f t="shared" si="17"/>
        <v>3426</v>
      </c>
      <c r="C1544" s="1367"/>
      <c r="D1544" s="1367">
        <v>2023.0</v>
      </c>
      <c r="E1544" s="1367" t="s">
        <v>1027</v>
      </c>
      <c r="F1544" s="1367" t="s">
        <v>4173</v>
      </c>
      <c r="G1544" s="1367" t="s">
        <v>4231</v>
      </c>
      <c r="H1544" s="1367">
        <v>195.0</v>
      </c>
      <c r="I1544" s="1367">
        <v>195.0</v>
      </c>
      <c r="J1544" s="1367"/>
      <c r="K1544" s="1367"/>
      <c r="L1544" s="1367"/>
      <c r="M1544" s="1010"/>
    </row>
    <row r="1545">
      <c r="A1545" s="1375" t="s">
        <v>562</v>
      </c>
      <c r="B1545" s="1374">
        <f t="shared" si="17"/>
        <v>18</v>
      </c>
      <c r="C1545" s="1367"/>
      <c r="D1545" s="1367">
        <v>2023.0</v>
      </c>
      <c r="E1545" s="1367" t="s">
        <v>1027</v>
      </c>
      <c r="F1545" s="1367" t="s">
        <v>4173</v>
      </c>
      <c r="G1545" s="1367" t="s">
        <v>71</v>
      </c>
      <c r="H1545" s="1367">
        <v>8.0</v>
      </c>
      <c r="I1545" s="1367">
        <v>8.0</v>
      </c>
      <c r="J1545" s="1367"/>
      <c r="K1545" s="1367"/>
      <c r="L1545" s="1367"/>
      <c r="M1545" s="1010"/>
    </row>
    <row r="1546">
      <c r="A1546" s="1375" t="s">
        <v>2052</v>
      </c>
      <c r="B1546" s="1374">
        <f t="shared" si="17"/>
        <v>64</v>
      </c>
      <c r="C1546" s="1367"/>
      <c r="D1546" s="1367">
        <v>2023.0</v>
      </c>
      <c r="E1546" s="1367" t="s">
        <v>1027</v>
      </c>
      <c r="F1546" s="1367" t="s">
        <v>4173</v>
      </c>
      <c r="G1546" s="1367" t="s">
        <v>1086</v>
      </c>
      <c r="H1546" s="1367">
        <v>222.0</v>
      </c>
      <c r="I1546" s="1367">
        <v>224.0</v>
      </c>
      <c r="J1546" s="1367"/>
      <c r="K1546" s="1367"/>
      <c r="L1546" s="1367"/>
      <c r="M1546" s="1010"/>
    </row>
    <row r="1547">
      <c r="A1547" s="1375" t="s">
        <v>485</v>
      </c>
      <c r="B1547" s="1374">
        <f t="shared" si="17"/>
        <v>932</v>
      </c>
      <c r="C1547" s="1367"/>
      <c r="D1547" s="1367">
        <v>2023.0</v>
      </c>
      <c r="E1547" s="1367" t="s">
        <v>1027</v>
      </c>
      <c r="F1547" s="1367" t="s">
        <v>4173</v>
      </c>
      <c r="G1547" s="1367" t="s">
        <v>1715</v>
      </c>
      <c r="H1547" s="1367">
        <v>124.0</v>
      </c>
      <c r="I1547" s="1367">
        <v>137.0</v>
      </c>
      <c r="J1547" s="1367"/>
      <c r="K1547" s="1367"/>
      <c r="L1547" s="1367"/>
      <c r="M1547" s="1010"/>
    </row>
    <row r="1548">
      <c r="A1548" s="1375" t="s">
        <v>2531</v>
      </c>
      <c r="B1548" s="1374">
        <f t="shared" si="17"/>
        <v>39</v>
      </c>
      <c r="C1548" s="1367"/>
      <c r="D1548" s="1367">
        <v>2023.0</v>
      </c>
      <c r="E1548" s="1367" t="s">
        <v>267</v>
      </c>
      <c r="F1548" s="1367" t="s">
        <v>4171</v>
      </c>
      <c r="G1548" s="1367" t="s">
        <v>4230</v>
      </c>
      <c r="H1548" s="1367">
        <v>506.0</v>
      </c>
      <c r="I1548" s="1367">
        <v>515.0</v>
      </c>
      <c r="J1548" s="1367"/>
      <c r="K1548" s="1367"/>
      <c r="L1548" s="1367"/>
      <c r="M1548" s="1010"/>
    </row>
    <row r="1549">
      <c r="A1549" s="1375" t="s">
        <v>2057</v>
      </c>
      <c r="B1549" s="1374">
        <f t="shared" si="17"/>
        <v>43</v>
      </c>
      <c r="C1549" s="1367"/>
      <c r="D1549" s="1367">
        <v>2023.0</v>
      </c>
      <c r="E1549" s="1367" t="s">
        <v>267</v>
      </c>
      <c r="F1549" s="1367" t="s">
        <v>4171</v>
      </c>
      <c r="G1549" s="1367" t="s">
        <v>4231</v>
      </c>
      <c r="H1549" s="1367">
        <v>600.0</v>
      </c>
      <c r="I1549" s="1367">
        <v>621.0</v>
      </c>
      <c r="J1549" s="1367"/>
      <c r="K1549" s="1367"/>
      <c r="L1549" s="1367"/>
      <c r="M1549" s="1010"/>
    </row>
    <row r="1550">
      <c r="A1550" s="1375" t="s">
        <v>2059</v>
      </c>
      <c r="B1550" s="1374">
        <f t="shared" si="17"/>
        <v>17</v>
      </c>
      <c r="C1550" s="1367"/>
      <c r="D1550" s="1367">
        <v>2023.0</v>
      </c>
      <c r="E1550" s="1367" t="s">
        <v>267</v>
      </c>
      <c r="F1550" s="1367" t="s">
        <v>4171</v>
      </c>
      <c r="G1550" s="1367" t="s">
        <v>71</v>
      </c>
      <c r="H1550" s="1367">
        <v>16.0</v>
      </c>
      <c r="I1550" s="1367">
        <v>16.0</v>
      </c>
      <c r="J1550" s="1367"/>
      <c r="K1550" s="1367"/>
      <c r="L1550" s="1367"/>
      <c r="M1550" s="1010"/>
    </row>
    <row r="1551">
      <c r="A1551" s="1375" t="s">
        <v>433</v>
      </c>
      <c r="B1551" s="1374">
        <f t="shared" si="17"/>
        <v>68</v>
      </c>
      <c r="C1551" s="1367"/>
      <c r="D1551" s="1367">
        <v>2023.0</v>
      </c>
      <c r="E1551" s="1367" t="s">
        <v>267</v>
      </c>
      <c r="F1551" s="1367" t="s">
        <v>4171</v>
      </c>
      <c r="G1551" s="1367" t="s">
        <v>1086</v>
      </c>
      <c r="H1551" s="1367">
        <v>4236.0</v>
      </c>
      <c r="I1551" s="1367">
        <v>4347.0</v>
      </c>
      <c r="J1551" s="1367"/>
      <c r="K1551" s="1367"/>
      <c r="L1551" s="1367"/>
      <c r="M1551" s="1010"/>
    </row>
    <row r="1552">
      <c r="A1552" s="1375" t="s">
        <v>2061</v>
      </c>
      <c r="B1552" s="1374">
        <f t="shared" si="17"/>
        <v>68</v>
      </c>
      <c r="C1552" s="1367"/>
      <c r="D1552" s="1367">
        <v>2023.0</v>
      </c>
      <c r="E1552" s="1367" t="s">
        <v>267</v>
      </c>
      <c r="F1552" s="1367" t="s">
        <v>4171</v>
      </c>
      <c r="G1552" s="1367" t="s">
        <v>4232</v>
      </c>
      <c r="H1552" s="1367">
        <v>1.0</v>
      </c>
      <c r="I1552" s="1367">
        <v>1.0</v>
      </c>
      <c r="J1552" s="1367"/>
      <c r="K1552" s="1367"/>
      <c r="L1552" s="1367"/>
      <c r="M1552" s="1010"/>
    </row>
    <row r="1553">
      <c r="A1553" s="1375" t="s">
        <v>2062</v>
      </c>
      <c r="B1553" s="1374">
        <f t="shared" si="17"/>
        <v>480</v>
      </c>
      <c r="C1553" s="1367"/>
      <c r="D1553" s="1367">
        <v>2023.0</v>
      </c>
      <c r="E1553" s="1367" t="s">
        <v>267</v>
      </c>
      <c r="F1553" s="1367" t="s">
        <v>4171</v>
      </c>
      <c r="G1553" s="1367" t="s">
        <v>1715</v>
      </c>
      <c r="H1553" s="1367">
        <v>293.0</v>
      </c>
      <c r="I1553" s="1367">
        <v>305.0</v>
      </c>
      <c r="J1553" s="1367"/>
      <c r="K1553" s="1367"/>
      <c r="L1553" s="1367"/>
      <c r="M1553" s="1010"/>
    </row>
    <row r="1554">
      <c r="A1554" s="1375" t="s">
        <v>717</v>
      </c>
      <c r="B1554" s="1374">
        <f t="shared" si="17"/>
        <v>9</v>
      </c>
      <c r="C1554" s="1367"/>
      <c r="D1554" s="1367">
        <v>2023.0</v>
      </c>
      <c r="E1554" s="1367" t="s">
        <v>2017</v>
      </c>
      <c r="F1554" s="1367" t="s">
        <v>4173</v>
      </c>
      <c r="G1554" s="1367" t="s">
        <v>4231</v>
      </c>
      <c r="H1554" s="1367">
        <v>5.0</v>
      </c>
      <c r="I1554" s="1367">
        <v>5.0</v>
      </c>
      <c r="J1554" s="1367"/>
      <c r="K1554" s="1367"/>
      <c r="L1554" s="1367"/>
      <c r="M1554" s="1010"/>
    </row>
    <row r="1555">
      <c r="A1555" s="1375" t="s">
        <v>415</v>
      </c>
      <c r="B1555" s="1374">
        <f t="shared" si="17"/>
        <v>2490</v>
      </c>
      <c r="C1555" s="1367"/>
      <c r="D1555" s="1367">
        <v>2023.0</v>
      </c>
      <c r="E1555" s="1367" t="s">
        <v>2017</v>
      </c>
      <c r="F1555" s="1367" t="s">
        <v>4173</v>
      </c>
      <c r="G1555" s="1367" t="s">
        <v>1086</v>
      </c>
      <c r="H1555" s="1367">
        <v>3.0</v>
      </c>
      <c r="I1555" s="1367">
        <v>3.0</v>
      </c>
      <c r="J1555" s="1367"/>
      <c r="K1555" s="1367"/>
      <c r="L1555" s="1367"/>
      <c r="M1555" s="1010"/>
    </row>
    <row r="1556">
      <c r="A1556" s="1375" t="s">
        <v>969</v>
      </c>
      <c r="B1556" s="1374">
        <f t="shared" si="17"/>
        <v>295</v>
      </c>
      <c r="C1556" s="1367"/>
      <c r="D1556" s="1367">
        <v>2023.0</v>
      </c>
      <c r="E1556" s="1367" t="s">
        <v>2019</v>
      </c>
      <c r="F1556" s="1367" t="s">
        <v>4173</v>
      </c>
      <c r="G1556" s="1367" t="s">
        <v>4230</v>
      </c>
      <c r="H1556" s="1367">
        <v>4.0</v>
      </c>
      <c r="I1556" s="1367">
        <v>4.0</v>
      </c>
      <c r="J1556" s="1367"/>
      <c r="K1556" s="1367"/>
      <c r="L1556" s="1367"/>
      <c r="M1556" s="1010"/>
    </row>
    <row r="1557">
      <c r="A1557" s="1375" t="s">
        <v>2064</v>
      </c>
      <c r="B1557" s="1374">
        <f t="shared" si="17"/>
        <v>78</v>
      </c>
      <c r="C1557" s="1367"/>
      <c r="D1557" s="1367">
        <v>2023.0</v>
      </c>
      <c r="E1557" s="1367" t="s">
        <v>2019</v>
      </c>
      <c r="F1557" s="1367" t="s">
        <v>4173</v>
      </c>
      <c r="G1557" s="1367" t="s">
        <v>4231</v>
      </c>
      <c r="H1557" s="1367">
        <v>34.0</v>
      </c>
      <c r="I1557" s="1367">
        <v>34.0</v>
      </c>
      <c r="J1557" s="1367"/>
      <c r="K1557" s="1367"/>
      <c r="L1557" s="1367"/>
      <c r="M1557" s="1010"/>
    </row>
    <row r="1558">
      <c r="A1558" s="1375" t="s">
        <v>2065</v>
      </c>
      <c r="B1558" s="1374">
        <f t="shared" si="17"/>
        <v>11</v>
      </c>
      <c r="C1558" s="1367"/>
      <c r="D1558" s="1367">
        <v>2023.0</v>
      </c>
      <c r="E1558" s="1367" t="s">
        <v>2019</v>
      </c>
      <c r="F1558" s="1367" t="s">
        <v>4173</v>
      </c>
      <c r="G1558" s="1367" t="s">
        <v>1086</v>
      </c>
      <c r="H1558" s="1367">
        <v>3.0</v>
      </c>
      <c r="I1558" s="1367">
        <v>3.0</v>
      </c>
      <c r="J1558" s="1367"/>
      <c r="K1558" s="1367"/>
      <c r="L1558" s="1367"/>
      <c r="M1558" s="1010"/>
    </row>
    <row r="1559">
      <c r="A1559" s="1375" t="s">
        <v>574</v>
      </c>
      <c r="B1559" s="1374">
        <f t="shared" si="17"/>
        <v>17</v>
      </c>
      <c r="C1559" s="1367"/>
      <c r="D1559" s="1367">
        <v>2023.0</v>
      </c>
      <c r="E1559" s="1367" t="s">
        <v>2019</v>
      </c>
      <c r="F1559" s="1367" t="s">
        <v>4173</v>
      </c>
      <c r="G1559" s="1367" t="s">
        <v>1715</v>
      </c>
      <c r="H1559" s="1367">
        <v>3.0</v>
      </c>
      <c r="I1559" s="1367">
        <v>3.0</v>
      </c>
      <c r="J1559" s="1367"/>
      <c r="K1559" s="1367"/>
      <c r="L1559" s="1367"/>
      <c r="M1559" s="1010"/>
    </row>
    <row r="1560">
      <c r="A1560" s="1375" t="s">
        <v>135</v>
      </c>
      <c r="B1560" s="1374">
        <f t="shared" si="17"/>
        <v>23</v>
      </c>
      <c r="C1560" s="1367"/>
      <c r="D1560" s="1367">
        <v>2023.0</v>
      </c>
      <c r="E1560" s="1367" t="s">
        <v>2020</v>
      </c>
      <c r="F1560" s="1367" t="s">
        <v>4155</v>
      </c>
      <c r="G1560" s="1367" t="s">
        <v>4230</v>
      </c>
      <c r="H1560" s="1367">
        <v>105.0</v>
      </c>
      <c r="I1560" s="1367">
        <v>113.0</v>
      </c>
      <c r="J1560" s="1367"/>
      <c r="K1560" s="1367"/>
      <c r="L1560" s="1367"/>
      <c r="M1560" s="1010"/>
    </row>
    <row r="1561">
      <c r="A1561" s="1375" t="s">
        <v>575</v>
      </c>
      <c r="B1561" s="1374">
        <f t="shared" si="17"/>
        <v>22</v>
      </c>
      <c r="C1561" s="1367"/>
      <c r="D1561" s="1367">
        <v>2023.0</v>
      </c>
      <c r="E1561" s="1367" t="s">
        <v>2020</v>
      </c>
      <c r="F1561" s="1367" t="s">
        <v>4155</v>
      </c>
      <c r="G1561" s="1367" t="s">
        <v>4231</v>
      </c>
      <c r="H1561" s="1367">
        <v>95.0</v>
      </c>
      <c r="I1561" s="1367">
        <v>109.0</v>
      </c>
      <c r="J1561" s="1367"/>
      <c r="K1561" s="1367"/>
      <c r="L1561" s="1367"/>
      <c r="M1561" s="1010"/>
    </row>
    <row r="1562">
      <c r="A1562" s="1375" t="s">
        <v>527</v>
      </c>
      <c r="B1562" s="1374">
        <f t="shared" si="17"/>
        <v>441</v>
      </c>
      <c r="C1562" s="1367"/>
      <c r="D1562" s="1367">
        <v>2023.0</v>
      </c>
      <c r="E1562" s="1367" t="s">
        <v>2020</v>
      </c>
      <c r="F1562" s="1367" t="s">
        <v>4155</v>
      </c>
      <c r="G1562" s="1367" t="s">
        <v>1086</v>
      </c>
      <c r="H1562" s="1367">
        <v>12.0</v>
      </c>
      <c r="I1562" s="1367">
        <v>12.0</v>
      </c>
      <c r="J1562" s="1367"/>
      <c r="K1562" s="1367"/>
      <c r="L1562" s="1367"/>
      <c r="M1562" s="1010"/>
    </row>
    <row r="1563">
      <c r="A1563" s="1375" t="s">
        <v>2068</v>
      </c>
      <c r="B1563" s="1374">
        <f t="shared" si="17"/>
        <v>27</v>
      </c>
      <c r="C1563" s="1367"/>
      <c r="D1563" s="1367">
        <v>2023.0</v>
      </c>
      <c r="E1563" s="1367" t="s">
        <v>2020</v>
      </c>
      <c r="F1563" s="1367" t="s">
        <v>4155</v>
      </c>
      <c r="G1563" s="1367" t="s">
        <v>1715</v>
      </c>
      <c r="H1563" s="1367">
        <v>22.0</v>
      </c>
      <c r="I1563" s="1367">
        <v>23.0</v>
      </c>
      <c r="J1563" s="1367"/>
      <c r="K1563" s="1367"/>
      <c r="L1563" s="1367"/>
      <c r="M1563" s="1010"/>
    </row>
    <row r="1564">
      <c r="A1564" s="1375" t="s">
        <v>2069</v>
      </c>
      <c r="B1564" s="1374">
        <f t="shared" si="17"/>
        <v>115</v>
      </c>
      <c r="C1564" s="1367"/>
      <c r="D1564" s="1367">
        <v>2023.0</v>
      </c>
      <c r="E1564" s="1367" t="s">
        <v>2021</v>
      </c>
      <c r="F1564" s="1367" t="s">
        <v>4172</v>
      </c>
      <c r="G1564" s="1367" t="s">
        <v>4230</v>
      </c>
      <c r="H1564" s="1367">
        <v>46.0</v>
      </c>
      <c r="I1564" s="1367">
        <v>46.0</v>
      </c>
      <c r="J1564" s="1367"/>
      <c r="K1564" s="1367"/>
      <c r="L1564" s="1367"/>
      <c r="M1564" s="1010"/>
    </row>
    <row r="1565">
      <c r="A1565" s="1375" t="s">
        <v>2070</v>
      </c>
      <c r="B1565" s="1374">
        <f t="shared" si="17"/>
        <v>38</v>
      </c>
      <c r="C1565" s="1367"/>
      <c r="D1565" s="1367">
        <v>2023.0</v>
      </c>
      <c r="E1565" s="1367" t="s">
        <v>2021</v>
      </c>
      <c r="F1565" s="1367" t="s">
        <v>4172</v>
      </c>
      <c r="G1565" s="1367" t="s">
        <v>4231</v>
      </c>
      <c r="H1565" s="1367">
        <v>142.0</v>
      </c>
      <c r="I1565" s="1367">
        <v>152.0</v>
      </c>
      <c r="J1565" s="1367"/>
      <c r="K1565" s="1367"/>
      <c r="L1565" s="1367"/>
      <c r="M1565" s="1010"/>
    </row>
    <row r="1566">
      <c r="A1566" s="1375" t="s">
        <v>2071</v>
      </c>
      <c r="B1566" s="1374">
        <f t="shared" si="17"/>
        <v>766</v>
      </c>
      <c r="C1566" s="1367"/>
      <c r="D1566" s="1367">
        <v>2023.0</v>
      </c>
      <c r="E1566" s="1367" t="s">
        <v>2021</v>
      </c>
      <c r="F1566" s="1367" t="s">
        <v>4172</v>
      </c>
      <c r="G1566" s="1367" t="s">
        <v>1086</v>
      </c>
      <c r="H1566" s="1367">
        <v>187.0</v>
      </c>
      <c r="I1566" s="1367">
        <v>191.0</v>
      </c>
      <c r="J1566" s="1367"/>
      <c r="K1566" s="1367"/>
      <c r="L1566" s="1367"/>
      <c r="M1566" s="1010"/>
    </row>
    <row r="1567">
      <c r="A1567" s="1375" t="s">
        <v>2072</v>
      </c>
      <c r="B1567" s="1374">
        <f t="shared" si="17"/>
        <v>24</v>
      </c>
      <c r="C1567" s="1367"/>
      <c r="D1567" s="1367">
        <v>2023.0</v>
      </c>
      <c r="E1567" s="1367" t="s">
        <v>2021</v>
      </c>
      <c r="F1567" s="1367" t="s">
        <v>4172</v>
      </c>
      <c r="G1567" s="1367" t="s">
        <v>4232</v>
      </c>
      <c r="H1567" s="1367">
        <v>1.0</v>
      </c>
      <c r="I1567" s="1367">
        <v>1.0</v>
      </c>
      <c r="J1567" s="1367"/>
      <c r="K1567" s="1367"/>
      <c r="L1567" s="1367"/>
      <c r="M1567" s="1010"/>
    </row>
    <row r="1568">
      <c r="A1568" s="1375" t="s">
        <v>2073</v>
      </c>
      <c r="B1568" s="1374">
        <f t="shared" si="17"/>
        <v>52</v>
      </c>
      <c r="C1568" s="1367"/>
      <c r="D1568" s="1367">
        <v>2023.0</v>
      </c>
      <c r="E1568" s="1367" t="s">
        <v>2021</v>
      </c>
      <c r="F1568" s="1367" t="s">
        <v>4172</v>
      </c>
      <c r="G1568" s="1367" t="s">
        <v>1715</v>
      </c>
      <c r="H1568" s="1367">
        <v>57.0</v>
      </c>
      <c r="I1568" s="1367">
        <v>57.0</v>
      </c>
      <c r="J1568" s="1367"/>
      <c r="K1568" s="1367"/>
      <c r="L1568" s="1367"/>
      <c r="M1568" s="1010"/>
    </row>
    <row r="1569">
      <c r="A1569" s="1375" t="s">
        <v>2075</v>
      </c>
      <c r="B1569" s="1374">
        <f t="shared" si="17"/>
        <v>6</v>
      </c>
      <c r="C1569" s="1367"/>
      <c r="D1569" s="1367">
        <v>2023.0</v>
      </c>
      <c r="E1569" s="1367" t="s">
        <v>2022</v>
      </c>
      <c r="F1569" s="1367" t="s">
        <v>4173</v>
      </c>
      <c r="G1569" s="1367" t="s">
        <v>4230</v>
      </c>
      <c r="H1569" s="1367">
        <v>47.0</v>
      </c>
      <c r="I1569" s="1367">
        <v>47.0</v>
      </c>
      <c r="J1569" s="1367"/>
      <c r="K1569" s="1367"/>
      <c r="L1569" s="1367"/>
      <c r="M1569" s="1010"/>
    </row>
    <row r="1570">
      <c r="A1570" s="1375" t="s">
        <v>2076</v>
      </c>
      <c r="B1570" s="1374">
        <f t="shared" si="17"/>
        <v>13</v>
      </c>
      <c r="C1570" s="1367"/>
      <c r="D1570" s="1367">
        <v>2023.0</v>
      </c>
      <c r="E1570" s="1367" t="s">
        <v>2022</v>
      </c>
      <c r="F1570" s="1367" t="s">
        <v>4173</v>
      </c>
      <c r="G1570" s="1367" t="s">
        <v>4231</v>
      </c>
      <c r="H1570" s="1367">
        <v>51.0</v>
      </c>
      <c r="I1570" s="1367">
        <v>57.0</v>
      </c>
      <c r="J1570" s="1367"/>
      <c r="K1570" s="1367"/>
      <c r="L1570" s="1367"/>
      <c r="M1570" s="1010"/>
    </row>
    <row r="1571">
      <c r="A1571" s="1375" t="s">
        <v>975</v>
      </c>
      <c r="B1571" s="1374">
        <f t="shared" si="17"/>
        <v>93</v>
      </c>
      <c r="C1571" s="1367"/>
      <c r="D1571" s="1367">
        <v>2023.0</v>
      </c>
      <c r="E1571" s="1367" t="s">
        <v>2022</v>
      </c>
      <c r="F1571" s="1367" t="s">
        <v>4173</v>
      </c>
      <c r="G1571" s="1367" t="s">
        <v>1086</v>
      </c>
      <c r="H1571" s="1367">
        <v>72.0</v>
      </c>
      <c r="I1571" s="1367">
        <v>72.0</v>
      </c>
      <c r="J1571" s="1367"/>
      <c r="K1571" s="1367"/>
      <c r="L1571" s="1367"/>
      <c r="M1571" s="1010"/>
    </row>
    <row r="1572">
      <c r="A1572" s="1375" t="s">
        <v>1072</v>
      </c>
      <c r="B1572" s="1374">
        <f t="shared" si="17"/>
        <v>144</v>
      </c>
      <c r="C1572" s="1367"/>
      <c r="D1572" s="1367">
        <v>2023.0</v>
      </c>
      <c r="E1572" s="1367" t="s">
        <v>2022</v>
      </c>
      <c r="F1572" s="1367" t="s">
        <v>4173</v>
      </c>
      <c r="G1572" s="1367" t="s">
        <v>4232</v>
      </c>
      <c r="H1572" s="1367"/>
      <c r="I1572" s="1367">
        <v>1.0</v>
      </c>
      <c r="J1572" s="1367"/>
      <c r="K1572" s="1367"/>
      <c r="L1572" s="1367"/>
      <c r="M1572" s="1010"/>
    </row>
    <row r="1573">
      <c r="A1573" s="1375" t="s">
        <v>2078</v>
      </c>
      <c r="B1573" s="1374">
        <f t="shared" si="17"/>
        <v>269</v>
      </c>
      <c r="C1573" s="1367"/>
      <c r="D1573" s="1367">
        <v>2023.0</v>
      </c>
      <c r="E1573" s="1367" t="s">
        <v>2022</v>
      </c>
      <c r="F1573" s="1367" t="s">
        <v>4173</v>
      </c>
      <c r="G1573" s="1367" t="s">
        <v>1715</v>
      </c>
      <c r="H1573" s="1367">
        <v>24.0</v>
      </c>
      <c r="I1573" s="1367">
        <v>24.0</v>
      </c>
      <c r="J1573" s="1367"/>
      <c r="K1573" s="1367"/>
      <c r="L1573" s="1367"/>
      <c r="M1573" s="1010"/>
    </row>
    <row r="1574">
      <c r="A1574" s="1375" t="s">
        <v>1539</v>
      </c>
      <c r="B1574" s="1374">
        <f t="shared" si="17"/>
        <v>255</v>
      </c>
      <c r="C1574" s="1367"/>
      <c r="D1574" s="1367">
        <v>2023.0</v>
      </c>
      <c r="E1574" s="1367" t="s">
        <v>2023</v>
      </c>
      <c r="F1574" s="1367" t="s">
        <v>4175</v>
      </c>
      <c r="G1574" s="1367" t="s">
        <v>4231</v>
      </c>
      <c r="H1574" s="1367">
        <v>6.0</v>
      </c>
      <c r="I1574" s="1367">
        <v>6.0</v>
      </c>
      <c r="J1574" s="1367"/>
      <c r="K1574" s="1367"/>
      <c r="L1574" s="1367"/>
      <c r="M1574" s="1010"/>
    </row>
    <row r="1575">
      <c r="A1575" s="1375" t="s">
        <v>139</v>
      </c>
      <c r="B1575" s="1374">
        <f t="shared" si="17"/>
        <v>166</v>
      </c>
      <c r="C1575" s="1367"/>
      <c r="D1575" s="1367">
        <v>2023.0</v>
      </c>
      <c r="E1575" s="1367" t="s">
        <v>2023</v>
      </c>
      <c r="F1575" s="1367" t="s">
        <v>4175</v>
      </c>
      <c r="G1575" s="1367" t="s">
        <v>1086</v>
      </c>
      <c r="H1575" s="1367">
        <v>2.0</v>
      </c>
      <c r="I1575" s="1367">
        <v>2.0</v>
      </c>
      <c r="J1575" s="1367"/>
      <c r="K1575" s="1367"/>
      <c r="L1575" s="1367"/>
      <c r="M1575" s="1010"/>
    </row>
    <row r="1576">
      <c r="A1576" s="1375" t="s">
        <v>586</v>
      </c>
      <c r="B1576" s="1374">
        <f t="shared" si="17"/>
        <v>20</v>
      </c>
      <c r="C1576" s="1367"/>
      <c r="D1576" s="1367">
        <v>2023.0</v>
      </c>
      <c r="E1576" s="1367" t="s">
        <v>543</v>
      </c>
      <c r="F1576" s="1367" t="s">
        <v>4168</v>
      </c>
      <c r="G1576" s="1367" t="s">
        <v>4231</v>
      </c>
      <c r="H1576" s="1367">
        <v>1.0</v>
      </c>
      <c r="I1576" s="1367">
        <v>1.0</v>
      </c>
      <c r="J1576" s="1367"/>
      <c r="K1576" s="1367"/>
      <c r="L1576" s="1367"/>
      <c r="M1576" s="1010"/>
    </row>
    <row r="1577">
      <c r="A1577" s="1375" t="s">
        <v>2080</v>
      </c>
      <c r="B1577" s="1374">
        <f t="shared" si="17"/>
        <v>10</v>
      </c>
      <c r="C1577" s="1367"/>
      <c r="D1577" s="1367">
        <v>2023.0</v>
      </c>
      <c r="E1577" s="1367" t="s">
        <v>543</v>
      </c>
      <c r="F1577" s="1367" t="s">
        <v>4168</v>
      </c>
      <c r="G1577" s="1367" t="s">
        <v>1086</v>
      </c>
      <c r="H1577" s="1367">
        <v>67.0</v>
      </c>
      <c r="I1577" s="1367">
        <v>67.0</v>
      </c>
      <c r="J1577" s="1367"/>
      <c r="K1577" s="1367"/>
      <c r="L1577" s="1367"/>
      <c r="M1577" s="1010"/>
    </row>
    <row r="1578">
      <c r="A1578" s="1375" t="s">
        <v>721</v>
      </c>
      <c r="B1578" s="1374">
        <f t="shared" si="17"/>
        <v>93</v>
      </c>
      <c r="C1578" s="1367"/>
      <c r="D1578" s="1367">
        <v>2023.0</v>
      </c>
      <c r="E1578" s="1367" t="s">
        <v>543</v>
      </c>
      <c r="F1578" s="1367" t="s">
        <v>4168</v>
      </c>
      <c r="G1578" s="1367" t="s">
        <v>1715</v>
      </c>
      <c r="H1578" s="1367">
        <v>4.0</v>
      </c>
      <c r="I1578" s="1367">
        <v>4.0</v>
      </c>
      <c r="J1578" s="1367"/>
      <c r="K1578" s="1367"/>
      <c r="L1578" s="1367"/>
      <c r="M1578" s="1010"/>
    </row>
    <row r="1579">
      <c r="A1579" s="1375" t="s">
        <v>218</v>
      </c>
      <c r="B1579" s="1374">
        <f t="shared" si="17"/>
        <v>3992</v>
      </c>
      <c r="C1579" s="1367"/>
      <c r="D1579" s="1367">
        <v>2023.0</v>
      </c>
      <c r="E1579" s="1367" t="s">
        <v>706</v>
      </c>
      <c r="F1579" s="1367" t="s">
        <v>4169</v>
      </c>
      <c r="G1579" s="1367" t="s">
        <v>4230</v>
      </c>
      <c r="H1579" s="1367">
        <v>15.0</v>
      </c>
      <c r="I1579" s="1367">
        <v>15.0</v>
      </c>
      <c r="J1579" s="1367"/>
      <c r="K1579" s="1367"/>
      <c r="L1579" s="1367"/>
      <c r="M1579" s="1010"/>
    </row>
    <row r="1580">
      <c r="A1580" s="1375" t="s">
        <v>775</v>
      </c>
      <c r="B1580" s="1374">
        <f t="shared" si="17"/>
        <v>94</v>
      </c>
      <c r="C1580" s="1367"/>
      <c r="D1580" s="1367">
        <v>2023.0</v>
      </c>
      <c r="E1580" s="1367" t="s">
        <v>706</v>
      </c>
      <c r="F1580" s="1367" t="s">
        <v>4169</v>
      </c>
      <c r="G1580" s="1367" t="s">
        <v>4231</v>
      </c>
      <c r="H1580" s="1367">
        <v>67.0</v>
      </c>
      <c r="I1580" s="1367">
        <v>67.0</v>
      </c>
      <c r="J1580" s="1367"/>
      <c r="K1580" s="1367"/>
      <c r="L1580" s="1367"/>
      <c r="M1580" s="1010"/>
    </row>
    <row r="1581">
      <c r="A1581" s="1375" t="s">
        <v>2082</v>
      </c>
      <c r="B1581" s="1374">
        <f t="shared" si="17"/>
        <v>11</v>
      </c>
      <c r="C1581" s="1367"/>
      <c r="D1581" s="1367">
        <v>2023.0</v>
      </c>
      <c r="E1581" s="1367" t="s">
        <v>706</v>
      </c>
      <c r="F1581" s="1367" t="s">
        <v>4169</v>
      </c>
      <c r="G1581" s="1367" t="s">
        <v>1086</v>
      </c>
      <c r="H1581" s="1367">
        <v>42.0</v>
      </c>
      <c r="I1581" s="1367">
        <v>42.0</v>
      </c>
      <c r="J1581" s="1367"/>
      <c r="K1581" s="1367"/>
      <c r="L1581" s="1367"/>
      <c r="M1581" s="1010"/>
    </row>
    <row r="1582">
      <c r="A1582" s="1375" t="s">
        <v>980</v>
      </c>
      <c r="B1582" s="1374">
        <f t="shared" si="17"/>
        <v>2</v>
      </c>
      <c r="C1582" s="1367"/>
      <c r="D1582" s="1367">
        <v>2023.0</v>
      </c>
      <c r="E1582" s="1367" t="s">
        <v>706</v>
      </c>
      <c r="F1582" s="1367" t="s">
        <v>4169</v>
      </c>
      <c r="G1582" s="1367" t="s">
        <v>1715</v>
      </c>
      <c r="H1582" s="1367">
        <v>13.0</v>
      </c>
      <c r="I1582" s="1367">
        <v>13.0</v>
      </c>
      <c r="J1582" s="1367"/>
      <c r="K1582" s="1367"/>
      <c r="L1582" s="1367"/>
      <c r="M1582" s="1010"/>
    </row>
    <row r="1583">
      <c r="A1583" s="1375" t="s">
        <v>2083</v>
      </c>
      <c r="B1583" s="1374">
        <f t="shared" si="17"/>
        <v>294</v>
      </c>
      <c r="C1583" s="1367"/>
      <c r="D1583" s="1367">
        <v>2023.0</v>
      </c>
      <c r="E1583" s="1367" t="s">
        <v>2027</v>
      </c>
      <c r="F1583" s="1367" t="s">
        <v>4173</v>
      </c>
      <c r="G1583" s="1367" t="s">
        <v>4230</v>
      </c>
      <c r="H1583" s="1367">
        <v>2.0</v>
      </c>
      <c r="I1583" s="1367">
        <v>4.0</v>
      </c>
      <c r="J1583" s="1367"/>
      <c r="K1583" s="1367"/>
      <c r="L1583" s="1367"/>
      <c r="M1583" s="1010"/>
    </row>
    <row r="1584">
      <c r="A1584" s="1375" t="s">
        <v>2084</v>
      </c>
      <c r="B1584" s="1374">
        <f t="shared" si="17"/>
        <v>5</v>
      </c>
      <c r="C1584" s="1367"/>
      <c r="D1584" s="1367">
        <v>2023.0</v>
      </c>
      <c r="E1584" s="1367" t="s">
        <v>2027</v>
      </c>
      <c r="F1584" s="1367" t="s">
        <v>4173</v>
      </c>
      <c r="G1584" s="1367" t="s">
        <v>4231</v>
      </c>
      <c r="H1584" s="1367">
        <v>12.0</v>
      </c>
      <c r="I1584" s="1367">
        <v>12.0</v>
      </c>
      <c r="J1584" s="1367"/>
      <c r="K1584" s="1367"/>
      <c r="L1584" s="1367"/>
      <c r="M1584" s="1010"/>
    </row>
    <row r="1585">
      <c r="A1585" s="1375" t="s">
        <v>722</v>
      </c>
      <c r="B1585" s="1374">
        <f t="shared" si="17"/>
        <v>275</v>
      </c>
      <c r="C1585" s="1367"/>
      <c r="D1585" s="1367">
        <v>2023.0</v>
      </c>
      <c r="E1585" s="1367" t="s">
        <v>2027</v>
      </c>
      <c r="F1585" s="1367" t="s">
        <v>4173</v>
      </c>
      <c r="G1585" s="1367" t="s">
        <v>1086</v>
      </c>
      <c r="H1585" s="1367">
        <v>6.0</v>
      </c>
      <c r="I1585" s="1367">
        <v>6.0</v>
      </c>
      <c r="J1585" s="1367"/>
      <c r="K1585" s="1367"/>
      <c r="L1585" s="1367"/>
      <c r="M1585" s="1010"/>
    </row>
    <row r="1586">
      <c r="A1586" s="1375" t="s">
        <v>480</v>
      </c>
      <c r="B1586" s="1374">
        <f t="shared" si="17"/>
        <v>1647</v>
      </c>
      <c r="C1586" s="1367"/>
      <c r="D1586" s="1367">
        <v>2023.0</v>
      </c>
      <c r="E1586" s="1367" t="s">
        <v>2027</v>
      </c>
      <c r="F1586" s="1367" t="s">
        <v>4173</v>
      </c>
      <c r="G1586" s="1367" t="s">
        <v>1715</v>
      </c>
      <c r="H1586" s="1367">
        <v>2.0</v>
      </c>
      <c r="I1586" s="1367">
        <v>6.0</v>
      </c>
      <c r="J1586" s="1367"/>
      <c r="K1586" s="1367"/>
      <c r="L1586" s="1367"/>
      <c r="M1586" s="1010"/>
    </row>
    <row r="1587">
      <c r="A1587" s="1375" t="s">
        <v>1445</v>
      </c>
      <c r="B1587" s="1374">
        <f t="shared" si="17"/>
        <v>96</v>
      </c>
      <c r="C1587" s="1367"/>
      <c r="D1587" s="1367">
        <v>2023.0</v>
      </c>
      <c r="E1587" s="1367" t="s">
        <v>2028</v>
      </c>
      <c r="F1587" s="1367" t="s">
        <v>4173</v>
      </c>
      <c r="G1587" s="1367" t="s">
        <v>4230</v>
      </c>
      <c r="H1587" s="1367">
        <v>6.0</v>
      </c>
      <c r="I1587" s="1367">
        <v>6.0</v>
      </c>
      <c r="J1587" s="1367"/>
      <c r="K1587" s="1367"/>
      <c r="L1587" s="1367"/>
      <c r="M1587" s="1010"/>
    </row>
    <row r="1588">
      <c r="A1588" s="1375" t="s">
        <v>2087</v>
      </c>
      <c r="B1588" s="1374">
        <f t="shared" si="17"/>
        <v>68</v>
      </c>
      <c r="C1588" s="1367"/>
      <c r="D1588" s="1367">
        <v>2023.0</v>
      </c>
      <c r="E1588" s="1367" t="s">
        <v>2028</v>
      </c>
      <c r="F1588" s="1367" t="s">
        <v>4173</v>
      </c>
      <c r="G1588" s="1367" t="s">
        <v>4231</v>
      </c>
      <c r="H1588" s="1367">
        <v>40.0</v>
      </c>
      <c r="I1588" s="1367">
        <v>40.0</v>
      </c>
      <c r="J1588" s="1367"/>
      <c r="K1588" s="1367"/>
      <c r="L1588" s="1367"/>
      <c r="M1588" s="1010"/>
    </row>
    <row r="1589">
      <c r="A1589" s="1375" t="s">
        <v>2088</v>
      </c>
      <c r="B1589" s="1374">
        <f t="shared" si="17"/>
        <v>133</v>
      </c>
      <c r="C1589" s="1367"/>
      <c r="D1589" s="1367">
        <v>2023.0</v>
      </c>
      <c r="E1589" s="1367" t="s">
        <v>2028</v>
      </c>
      <c r="F1589" s="1367" t="s">
        <v>4173</v>
      </c>
      <c r="G1589" s="1367" t="s">
        <v>1086</v>
      </c>
      <c r="H1589" s="1367">
        <v>27.0</v>
      </c>
      <c r="I1589" s="1367">
        <v>27.0</v>
      </c>
      <c r="J1589" s="1367"/>
      <c r="K1589" s="1367"/>
      <c r="L1589" s="1367"/>
      <c r="M1589" s="1010"/>
    </row>
    <row r="1590">
      <c r="A1590" s="1375" t="s">
        <v>1099</v>
      </c>
      <c r="B1590" s="1374">
        <f t="shared" si="17"/>
        <v>119</v>
      </c>
      <c r="C1590" s="1367"/>
      <c r="D1590" s="1367">
        <v>2023.0</v>
      </c>
      <c r="E1590" s="1367" t="s">
        <v>1034</v>
      </c>
      <c r="F1590" s="1367" t="s">
        <v>4173</v>
      </c>
      <c r="G1590" s="1367" t="s">
        <v>4230</v>
      </c>
      <c r="H1590" s="1367">
        <v>5.0</v>
      </c>
      <c r="I1590" s="1367">
        <v>5.0</v>
      </c>
      <c r="J1590" s="1367"/>
      <c r="K1590" s="1367"/>
      <c r="L1590" s="1367"/>
      <c r="M1590" s="1010"/>
    </row>
    <row r="1591">
      <c r="A1591" s="1375" t="s">
        <v>141</v>
      </c>
      <c r="B1591" s="1374">
        <f t="shared" si="17"/>
        <v>18</v>
      </c>
      <c r="C1591" s="1367"/>
      <c r="D1591" s="1367">
        <v>2023.0</v>
      </c>
      <c r="E1591" s="1367" t="s">
        <v>1034</v>
      </c>
      <c r="F1591" s="1367" t="s">
        <v>4173</v>
      </c>
      <c r="G1591" s="1367" t="s">
        <v>4231</v>
      </c>
      <c r="H1591" s="1367">
        <v>9.0</v>
      </c>
      <c r="I1591" s="1367">
        <v>9.0</v>
      </c>
      <c r="J1591" s="1367"/>
      <c r="K1591" s="1367"/>
      <c r="L1591" s="1367"/>
      <c r="M1591" s="1010"/>
    </row>
    <row r="1592">
      <c r="A1592" s="1375" t="s">
        <v>283</v>
      </c>
      <c r="B1592" s="1374">
        <f t="shared" si="17"/>
        <v>58</v>
      </c>
      <c r="C1592" s="1367"/>
      <c r="D1592" s="1367">
        <v>2023.0</v>
      </c>
      <c r="E1592" s="1367" t="s">
        <v>1034</v>
      </c>
      <c r="F1592" s="1367" t="s">
        <v>4173</v>
      </c>
      <c r="G1592" s="1367" t="s">
        <v>1086</v>
      </c>
      <c r="H1592" s="1367">
        <v>75.0</v>
      </c>
      <c r="I1592" s="1367">
        <v>77.0</v>
      </c>
      <c r="J1592" s="1367"/>
      <c r="K1592" s="1367"/>
      <c r="L1592" s="1367"/>
      <c r="M1592" s="1010"/>
    </row>
    <row r="1593">
      <c r="A1593" s="1375" t="s">
        <v>2090</v>
      </c>
      <c r="B1593" s="1374">
        <f t="shared" si="17"/>
        <v>118</v>
      </c>
      <c r="C1593" s="1367"/>
      <c r="D1593" s="1367">
        <v>2023.0</v>
      </c>
      <c r="E1593" s="1367" t="s">
        <v>1034</v>
      </c>
      <c r="F1593" s="1367" t="s">
        <v>4173</v>
      </c>
      <c r="G1593" s="1367" t="s">
        <v>1715</v>
      </c>
      <c r="H1593" s="1367">
        <v>5.0</v>
      </c>
      <c r="I1593" s="1367">
        <v>5.0</v>
      </c>
      <c r="J1593" s="1367"/>
      <c r="K1593" s="1367"/>
      <c r="L1593" s="1367"/>
      <c r="M1593" s="1010"/>
    </row>
    <row r="1594">
      <c r="A1594" s="1375" t="s">
        <v>1860</v>
      </c>
      <c r="B1594" s="1374">
        <f t="shared" si="17"/>
        <v>117</v>
      </c>
      <c r="C1594" s="1367"/>
      <c r="D1594" s="1367">
        <v>2023.0</v>
      </c>
      <c r="E1594" s="1367" t="s">
        <v>93</v>
      </c>
      <c r="F1594" s="1367" t="s">
        <v>4171</v>
      </c>
      <c r="G1594" s="1367" t="s">
        <v>4231</v>
      </c>
      <c r="H1594" s="1367">
        <v>2.0</v>
      </c>
      <c r="I1594" s="1367">
        <v>2.0</v>
      </c>
      <c r="J1594" s="1367"/>
      <c r="K1594" s="1367"/>
      <c r="L1594" s="1367"/>
      <c r="M1594" s="1010"/>
    </row>
    <row r="1595">
      <c r="A1595" s="1375" t="s">
        <v>2093</v>
      </c>
      <c r="B1595" s="1374">
        <f t="shared" si="17"/>
        <v>1</v>
      </c>
      <c r="C1595" s="1367"/>
      <c r="D1595" s="1367">
        <v>2023.0</v>
      </c>
      <c r="E1595" s="1367" t="s">
        <v>93</v>
      </c>
      <c r="F1595" s="1367" t="s">
        <v>4171</v>
      </c>
      <c r="G1595" s="1367" t="s">
        <v>1086</v>
      </c>
      <c r="H1595" s="1367">
        <v>20.0</v>
      </c>
      <c r="I1595" s="1367">
        <v>20.0</v>
      </c>
      <c r="J1595" s="1367"/>
      <c r="K1595" s="1367"/>
      <c r="L1595" s="1367"/>
      <c r="M1595" s="1010"/>
    </row>
    <row r="1596">
      <c r="A1596" s="1375" t="s">
        <v>2094</v>
      </c>
      <c r="B1596" s="1374">
        <f t="shared" si="17"/>
        <v>19</v>
      </c>
      <c r="C1596" s="1367"/>
      <c r="D1596" s="1367">
        <v>2023.0</v>
      </c>
      <c r="E1596" s="1367" t="s">
        <v>93</v>
      </c>
      <c r="F1596" s="1367" t="s">
        <v>4171</v>
      </c>
      <c r="G1596" s="1367" t="s">
        <v>1715</v>
      </c>
      <c r="H1596" s="1367">
        <v>4.0</v>
      </c>
      <c r="I1596" s="1367">
        <v>4.0</v>
      </c>
      <c r="J1596" s="1367"/>
      <c r="K1596" s="1367"/>
      <c r="L1596" s="1367"/>
      <c r="M1596" s="1010"/>
    </row>
    <row r="1597">
      <c r="A1597" s="1375" t="s">
        <v>142</v>
      </c>
      <c r="B1597" s="1374">
        <f t="shared" si="17"/>
        <v>30</v>
      </c>
      <c r="C1597" s="1367"/>
      <c r="D1597" s="1367">
        <v>2023.0</v>
      </c>
      <c r="E1597" s="1367" t="s">
        <v>2029</v>
      </c>
      <c r="F1597" s="1367" t="s">
        <v>4169</v>
      </c>
      <c r="G1597" s="1367" t="s">
        <v>4230</v>
      </c>
      <c r="H1597" s="1367">
        <v>2.0</v>
      </c>
      <c r="I1597" s="1367">
        <v>4.0</v>
      </c>
      <c r="J1597" s="1367"/>
      <c r="K1597" s="1367"/>
      <c r="L1597" s="1367"/>
      <c r="M1597" s="1010"/>
    </row>
    <row r="1598">
      <c r="A1598" s="1375" t="s">
        <v>593</v>
      </c>
      <c r="B1598" s="1374">
        <f t="shared" si="17"/>
        <v>58</v>
      </c>
      <c r="C1598" s="1367"/>
      <c r="D1598" s="1367">
        <v>2023.0</v>
      </c>
      <c r="E1598" s="1367" t="s">
        <v>2029</v>
      </c>
      <c r="F1598" s="1367" t="s">
        <v>4169</v>
      </c>
      <c r="G1598" s="1367" t="s">
        <v>4231</v>
      </c>
      <c r="H1598" s="1367">
        <v>82.0</v>
      </c>
      <c r="I1598" s="1367">
        <v>88.0</v>
      </c>
      <c r="J1598" s="1367"/>
      <c r="K1598" s="1367"/>
      <c r="L1598" s="1367"/>
      <c r="M1598" s="1010"/>
    </row>
    <row r="1599">
      <c r="A1599" s="1375" t="s">
        <v>143</v>
      </c>
      <c r="B1599" s="1374">
        <f t="shared" si="17"/>
        <v>328</v>
      </c>
      <c r="C1599" s="1367"/>
      <c r="D1599" s="1367">
        <v>2023.0</v>
      </c>
      <c r="E1599" s="1367" t="s">
        <v>2029</v>
      </c>
      <c r="F1599" s="1367" t="s">
        <v>4169</v>
      </c>
      <c r="G1599" s="1367" t="s">
        <v>1086</v>
      </c>
      <c r="H1599" s="1367">
        <v>7.0</v>
      </c>
      <c r="I1599" s="1367">
        <v>7.0</v>
      </c>
      <c r="J1599" s="1367"/>
      <c r="K1599" s="1367"/>
      <c r="L1599" s="1367"/>
      <c r="M1599" s="1010"/>
    </row>
    <row r="1600">
      <c r="A1600" s="1375" t="s">
        <v>2095</v>
      </c>
      <c r="B1600" s="1374">
        <f t="shared" si="17"/>
        <v>26</v>
      </c>
      <c r="C1600" s="1367"/>
      <c r="D1600" s="1367">
        <v>2023.0</v>
      </c>
      <c r="E1600" s="1367" t="s">
        <v>2029</v>
      </c>
      <c r="F1600" s="1367" t="s">
        <v>4169</v>
      </c>
      <c r="G1600" s="1367" t="s">
        <v>1715</v>
      </c>
      <c r="H1600" s="1367">
        <v>1.0</v>
      </c>
      <c r="I1600" s="1367">
        <v>1.0</v>
      </c>
      <c r="J1600" s="1367"/>
      <c r="K1600" s="1367"/>
      <c r="L1600" s="1367"/>
      <c r="M1600" s="1010"/>
    </row>
    <row r="1601">
      <c r="A1601" s="1375" t="s">
        <v>2096</v>
      </c>
      <c r="B1601" s="1374">
        <f t="shared" si="17"/>
        <v>197</v>
      </c>
      <c r="C1601" s="1367"/>
      <c r="D1601" s="1367">
        <v>2023.0</v>
      </c>
      <c r="E1601" s="1367" t="s">
        <v>1149</v>
      </c>
      <c r="F1601" s="1367" t="s">
        <v>4168</v>
      </c>
      <c r="G1601" s="1367" t="s">
        <v>4230</v>
      </c>
      <c r="H1601" s="1367">
        <v>3.0</v>
      </c>
      <c r="I1601" s="1367">
        <v>3.0</v>
      </c>
      <c r="J1601" s="1367"/>
      <c r="K1601" s="1367"/>
      <c r="L1601" s="1367"/>
      <c r="M1601" s="1010"/>
    </row>
    <row r="1602">
      <c r="A1602" s="1375" t="s">
        <v>288</v>
      </c>
      <c r="B1602" s="1374">
        <f t="shared" si="17"/>
        <v>472</v>
      </c>
      <c r="C1602" s="1367"/>
      <c r="D1602" s="1367">
        <v>2023.0</v>
      </c>
      <c r="E1602" s="1367" t="s">
        <v>1149</v>
      </c>
      <c r="F1602" s="1367" t="s">
        <v>4168</v>
      </c>
      <c r="G1602" s="1367" t="s">
        <v>4231</v>
      </c>
      <c r="H1602" s="1367">
        <v>34.0</v>
      </c>
      <c r="I1602" s="1367">
        <v>34.0</v>
      </c>
      <c r="J1602" s="1367"/>
      <c r="K1602" s="1367"/>
      <c r="L1602" s="1367"/>
      <c r="M1602" s="1010"/>
    </row>
    <row r="1603">
      <c r="A1603" s="1375" t="s">
        <v>598</v>
      </c>
      <c r="B1603" s="1374">
        <f t="shared" si="17"/>
        <v>28</v>
      </c>
      <c r="C1603" s="1367"/>
      <c r="D1603" s="1367">
        <v>2023.0</v>
      </c>
      <c r="E1603" s="1367" t="s">
        <v>1149</v>
      </c>
      <c r="F1603" s="1367" t="s">
        <v>4168</v>
      </c>
      <c r="G1603" s="1367" t="s">
        <v>1086</v>
      </c>
      <c r="H1603" s="1367">
        <v>977.0</v>
      </c>
      <c r="I1603" s="1367">
        <v>1002.0</v>
      </c>
      <c r="J1603" s="1367"/>
      <c r="K1603" s="1367"/>
      <c r="L1603" s="1367"/>
      <c r="M1603" s="1010"/>
    </row>
    <row r="1604">
      <c r="A1604" s="1375" t="s">
        <v>2097</v>
      </c>
      <c r="B1604" s="1374">
        <f t="shared" si="17"/>
        <v>30</v>
      </c>
      <c r="C1604" s="1367"/>
      <c r="D1604" s="1367">
        <v>2023.0</v>
      </c>
      <c r="E1604" s="1367" t="s">
        <v>1149</v>
      </c>
      <c r="F1604" s="1367" t="s">
        <v>4168</v>
      </c>
      <c r="G1604" s="1367" t="s">
        <v>4232</v>
      </c>
      <c r="H1604" s="1367">
        <v>1.0</v>
      </c>
      <c r="I1604" s="1367">
        <v>1.0</v>
      </c>
      <c r="J1604" s="1367"/>
      <c r="K1604" s="1367"/>
      <c r="L1604" s="1367"/>
      <c r="M1604" s="1010"/>
    </row>
    <row r="1605">
      <c r="A1605" s="1375" t="s">
        <v>2098</v>
      </c>
      <c r="B1605" s="1374">
        <f t="shared" si="17"/>
        <v>173</v>
      </c>
      <c r="C1605" s="1367"/>
      <c r="D1605" s="1367">
        <v>2023.0</v>
      </c>
      <c r="E1605" s="1367" t="s">
        <v>1149</v>
      </c>
      <c r="F1605" s="1367" t="s">
        <v>4168</v>
      </c>
      <c r="G1605" s="1367" t="s">
        <v>1715</v>
      </c>
      <c r="H1605" s="1367">
        <v>23.0</v>
      </c>
      <c r="I1605" s="1367">
        <v>23.0</v>
      </c>
      <c r="J1605" s="1367"/>
      <c r="K1605" s="1367"/>
      <c r="L1605" s="1367"/>
      <c r="M1605" s="1010"/>
    </row>
    <row r="1606">
      <c r="A1606" s="1375" t="s">
        <v>727</v>
      </c>
      <c r="B1606" s="1374">
        <f t="shared" si="17"/>
        <v>64</v>
      </c>
      <c r="C1606" s="1367"/>
      <c r="D1606" s="1367">
        <v>2023.0</v>
      </c>
      <c r="E1606" s="1367" t="s">
        <v>2031</v>
      </c>
      <c r="F1606" s="1367" t="s">
        <v>4155</v>
      </c>
      <c r="G1606" s="1367" t="s">
        <v>4230</v>
      </c>
      <c r="H1606" s="1367">
        <v>9.0</v>
      </c>
      <c r="I1606" s="1367">
        <v>9.0</v>
      </c>
      <c r="J1606" s="1367"/>
      <c r="K1606" s="1367"/>
      <c r="L1606" s="1367"/>
      <c r="M1606" s="1010"/>
    </row>
    <row r="1607">
      <c r="A1607" s="1375" t="s">
        <v>2100</v>
      </c>
      <c r="B1607" s="1374">
        <f t="shared" si="17"/>
        <v>158</v>
      </c>
      <c r="C1607" s="1367"/>
      <c r="D1607" s="1367">
        <v>2023.0</v>
      </c>
      <c r="E1607" s="1367" t="s">
        <v>2031</v>
      </c>
      <c r="F1607" s="1367" t="s">
        <v>4155</v>
      </c>
      <c r="G1607" s="1367" t="s">
        <v>4231</v>
      </c>
      <c r="H1607" s="1367">
        <v>11.0</v>
      </c>
      <c r="I1607" s="1367">
        <v>11.0</v>
      </c>
      <c r="J1607" s="1367"/>
      <c r="K1607" s="1367"/>
      <c r="L1607" s="1367"/>
      <c r="M1607" s="1010"/>
    </row>
    <row r="1608">
      <c r="A1608" s="1375" t="s">
        <v>2101</v>
      </c>
      <c r="B1608" s="1374">
        <f t="shared" si="17"/>
        <v>20</v>
      </c>
      <c r="C1608" s="1367"/>
      <c r="D1608" s="1367">
        <v>2023.0</v>
      </c>
      <c r="E1608" s="1367" t="s">
        <v>2031</v>
      </c>
      <c r="F1608" s="1367" t="s">
        <v>4155</v>
      </c>
      <c r="G1608" s="1367" t="s">
        <v>1086</v>
      </c>
      <c r="H1608" s="1367">
        <v>18.0</v>
      </c>
      <c r="I1608" s="1367">
        <v>18.0</v>
      </c>
      <c r="J1608" s="1367"/>
      <c r="K1608" s="1367"/>
      <c r="L1608" s="1367"/>
      <c r="M1608" s="1010"/>
    </row>
    <row r="1609">
      <c r="A1609" s="1375" t="s">
        <v>2103</v>
      </c>
      <c r="B1609" s="1374">
        <f t="shared" si="17"/>
        <v>165</v>
      </c>
      <c r="C1609" s="1367"/>
      <c r="D1609" s="1367">
        <v>2023.0</v>
      </c>
      <c r="E1609" s="1367" t="s">
        <v>2031</v>
      </c>
      <c r="F1609" s="1367" t="s">
        <v>4155</v>
      </c>
      <c r="G1609" s="1367" t="s">
        <v>1715</v>
      </c>
      <c r="H1609" s="1367">
        <v>3.0</v>
      </c>
      <c r="I1609" s="1367">
        <v>3.0</v>
      </c>
      <c r="J1609" s="1367"/>
      <c r="K1609" s="1367"/>
      <c r="L1609" s="1367"/>
      <c r="M1609" s="1010"/>
    </row>
    <row r="1610">
      <c r="A1610" s="1375" t="s">
        <v>144</v>
      </c>
      <c r="B1610" s="1374">
        <f t="shared" si="17"/>
        <v>182</v>
      </c>
      <c r="C1610" s="1367"/>
      <c r="D1610" s="1367">
        <v>2023.0</v>
      </c>
      <c r="E1610" s="1367" t="s">
        <v>2032</v>
      </c>
      <c r="F1610" s="1367" t="s">
        <v>4170</v>
      </c>
      <c r="G1610" s="1367" t="s">
        <v>4231</v>
      </c>
      <c r="H1610" s="1367">
        <v>3.0</v>
      </c>
      <c r="I1610" s="1367">
        <v>3.0</v>
      </c>
      <c r="J1610" s="1367"/>
      <c r="K1610" s="1367"/>
      <c r="L1610" s="1367"/>
      <c r="M1610" s="1010"/>
    </row>
    <row r="1611">
      <c r="A1611" s="1375" t="s">
        <v>2104</v>
      </c>
      <c r="B1611" s="1374">
        <f t="shared" si="17"/>
        <v>41</v>
      </c>
      <c r="C1611" s="1367"/>
      <c r="D1611" s="1367">
        <v>2023.0</v>
      </c>
      <c r="E1611" s="1367" t="s">
        <v>2032</v>
      </c>
      <c r="F1611" s="1367" t="s">
        <v>4170</v>
      </c>
      <c r="G1611" s="1367" t="s">
        <v>1715</v>
      </c>
      <c r="H1611" s="1367">
        <v>1.0</v>
      </c>
      <c r="I1611" s="1367">
        <v>1.0</v>
      </c>
      <c r="J1611" s="1367"/>
      <c r="K1611" s="1367"/>
      <c r="L1611" s="1367"/>
      <c r="M1611" s="1010"/>
    </row>
    <row r="1612">
      <c r="A1612" s="1375" t="s">
        <v>2105</v>
      </c>
      <c r="B1612" s="1374">
        <f t="shared" si="17"/>
        <v>27</v>
      </c>
      <c r="C1612" s="1367"/>
      <c r="D1612" s="1367">
        <v>2023.0</v>
      </c>
      <c r="E1612" s="1367" t="s">
        <v>708</v>
      </c>
      <c r="F1612" s="1367" t="s">
        <v>4155</v>
      </c>
      <c r="G1612" s="1367" t="s">
        <v>4230</v>
      </c>
      <c r="H1612" s="1367">
        <v>11.0</v>
      </c>
      <c r="I1612" s="1367">
        <v>11.0</v>
      </c>
      <c r="J1612" s="1367"/>
      <c r="K1612" s="1367"/>
      <c r="L1612" s="1367"/>
      <c r="M1612" s="1010"/>
    </row>
    <row r="1613">
      <c r="A1613" s="1375" t="s">
        <v>2106</v>
      </c>
      <c r="B1613" s="1374">
        <f t="shared" si="17"/>
        <v>25</v>
      </c>
      <c r="C1613" s="1367"/>
      <c r="D1613" s="1367">
        <v>2023.0</v>
      </c>
      <c r="E1613" s="1367" t="s">
        <v>708</v>
      </c>
      <c r="F1613" s="1367" t="s">
        <v>4155</v>
      </c>
      <c r="G1613" s="1367" t="s">
        <v>4231</v>
      </c>
      <c r="H1613" s="1367">
        <v>48.0</v>
      </c>
      <c r="I1613" s="1367">
        <v>48.0</v>
      </c>
      <c r="J1613" s="1367"/>
      <c r="K1613" s="1367"/>
      <c r="L1613" s="1367"/>
      <c r="M1613" s="1010"/>
    </row>
    <row r="1614">
      <c r="A1614" s="1375" t="s">
        <v>147</v>
      </c>
      <c r="B1614" s="1374">
        <f t="shared" si="17"/>
        <v>7</v>
      </c>
      <c r="C1614" s="1367"/>
      <c r="D1614" s="1367">
        <v>2023.0</v>
      </c>
      <c r="E1614" s="1367" t="s">
        <v>708</v>
      </c>
      <c r="F1614" s="1367" t="s">
        <v>4155</v>
      </c>
      <c r="G1614" s="1367" t="s">
        <v>1086</v>
      </c>
      <c r="H1614" s="1367">
        <v>5.0</v>
      </c>
      <c r="I1614" s="1367">
        <v>5.0</v>
      </c>
      <c r="J1614" s="1367"/>
      <c r="K1614" s="1367"/>
      <c r="L1614" s="1367"/>
      <c r="M1614" s="1010"/>
    </row>
    <row r="1615">
      <c r="A1615" s="1375" t="s">
        <v>505</v>
      </c>
      <c r="B1615" s="1374">
        <f t="shared" si="17"/>
        <v>16</v>
      </c>
      <c r="C1615" s="1367"/>
      <c r="D1615" s="1367">
        <v>2023.0</v>
      </c>
      <c r="E1615" s="1367" t="s">
        <v>708</v>
      </c>
      <c r="F1615" s="1367" t="s">
        <v>4155</v>
      </c>
      <c r="G1615" s="1367" t="s">
        <v>1715</v>
      </c>
      <c r="H1615" s="1367">
        <v>12.0</v>
      </c>
      <c r="I1615" s="1367">
        <v>12.0</v>
      </c>
      <c r="J1615" s="1367"/>
      <c r="K1615" s="1367"/>
      <c r="L1615" s="1367"/>
      <c r="M1615" s="1010"/>
    </row>
    <row r="1616">
      <c r="A1616" s="1375" t="s">
        <v>508</v>
      </c>
      <c r="B1616" s="1374">
        <f t="shared" si="17"/>
        <v>95</v>
      </c>
      <c r="C1616" s="1367"/>
      <c r="D1616" s="1367">
        <v>2023.0</v>
      </c>
      <c r="E1616" s="1367" t="s">
        <v>2033</v>
      </c>
      <c r="F1616" s="1367" t="s">
        <v>4170</v>
      </c>
      <c r="G1616" s="1367" t="s">
        <v>4231</v>
      </c>
      <c r="H1616" s="1367">
        <v>5.0</v>
      </c>
      <c r="I1616" s="1367">
        <v>5.0</v>
      </c>
      <c r="J1616" s="1367"/>
      <c r="K1616" s="1367"/>
      <c r="L1616" s="1367"/>
      <c r="M1616" s="1010"/>
    </row>
    <row r="1617">
      <c r="A1617" s="1375" t="s">
        <v>148</v>
      </c>
      <c r="B1617" s="1374">
        <f t="shared" si="17"/>
        <v>33</v>
      </c>
      <c r="C1617" s="1367"/>
      <c r="D1617" s="1367">
        <v>2023.0</v>
      </c>
      <c r="E1617" s="1367" t="s">
        <v>2033</v>
      </c>
      <c r="F1617" s="1367" t="s">
        <v>4170</v>
      </c>
      <c r="G1617" s="1367" t="s">
        <v>1086</v>
      </c>
      <c r="H1617" s="1367">
        <v>17.0</v>
      </c>
      <c r="I1617" s="1367">
        <v>17.0</v>
      </c>
      <c r="J1617" s="1367"/>
      <c r="K1617" s="1367"/>
      <c r="L1617" s="1367"/>
      <c r="M1617" s="1010"/>
    </row>
    <row r="1618">
      <c r="A1618" s="1375" t="s">
        <v>2107</v>
      </c>
      <c r="B1618" s="1374">
        <f t="shared" si="17"/>
        <v>6</v>
      </c>
      <c r="C1618" s="1367"/>
      <c r="D1618" s="1367">
        <v>2023.0</v>
      </c>
      <c r="E1618" s="1367" t="s">
        <v>98</v>
      </c>
      <c r="F1618" s="1367" t="s">
        <v>4172</v>
      </c>
      <c r="G1618" s="1367" t="s">
        <v>4231</v>
      </c>
      <c r="H1618" s="1367">
        <v>39.0</v>
      </c>
      <c r="I1618" s="1367">
        <v>39.0</v>
      </c>
      <c r="J1618" s="1367"/>
      <c r="K1618" s="1367"/>
      <c r="L1618" s="1367"/>
      <c r="M1618" s="1010"/>
    </row>
    <row r="1619">
      <c r="A1619" s="1375" t="s">
        <v>2108</v>
      </c>
      <c r="B1619" s="1374">
        <f t="shared" si="17"/>
        <v>20</v>
      </c>
      <c r="C1619" s="1367"/>
      <c r="D1619" s="1367">
        <v>2023.0</v>
      </c>
      <c r="E1619" s="1367" t="s">
        <v>98</v>
      </c>
      <c r="F1619" s="1367" t="s">
        <v>4172</v>
      </c>
      <c r="G1619" s="1367" t="s">
        <v>1086</v>
      </c>
      <c r="H1619" s="1367">
        <v>10.0</v>
      </c>
      <c r="I1619" s="1367">
        <v>10.0</v>
      </c>
      <c r="J1619" s="1367"/>
      <c r="K1619" s="1367"/>
      <c r="L1619" s="1367"/>
      <c r="M1619" s="1010"/>
    </row>
    <row r="1620">
      <c r="A1620" s="1375" t="s">
        <v>2109</v>
      </c>
      <c r="B1620" s="1374">
        <f t="shared" si="17"/>
        <v>12</v>
      </c>
      <c r="C1620" s="1367"/>
      <c r="D1620" s="1367">
        <v>2023.0</v>
      </c>
      <c r="E1620" s="1367" t="s">
        <v>98</v>
      </c>
      <c r="F1620" s="1367" t="s">
        <v>4172</v>
      </c>
      <c r="G1620" s="1367" t="s">
        <v>1715</v>
      </c>
      <c r="H1620" s="1367">
        <v>9.0</v>
      </c>
      <c r="I1620" s="1367">
        <v>9.0</v>
      </c>
      <c r="J1620" s="1367"/>
      <c r="K1620" s="1367"/>
      <c r="L1620" s="1367"/>
      <c r="M1620" s="1010"/>
    </row>
    <row r="1621">
      <c r="A1621" s="1375" t="s">
        <v>2111</v>
      </c>
      <c r="B1621" s="1374">
        <f t="shared" si="17"/>
        <v>1145</v>
      </c>
      <c r="C1621" s="1367"/>
      <c r="D1621" s="1367">
        <v>2023.0</v>
      </c>
      <c r="E1621" s="1367" t="s">
        <v>101</v>
      </c>
      <c r="F1621" s="1367" t="s">
        <v>4155</v>
      </c>
      <c r="G1621" s="1367" t="s">
        <v>4230</v>
      </c>
      <c r="H1621" s="1367">
        <v>46.0</v>
      </c>
      <c r="I1621" s="1367">
        <v>47.0</v>
      </c>
      <c r="J1621" s="1367"/>
      <c r="K1621" s="1367"/>
      <c r="L1621" s="1367"/>
      <c r="M1621" s="1010"/>
    </row>
    <row r="1622">
      <c r="A1622" s="1375" t="s">
        <v>153</v>
      </c>
      <c r="B1622" s="1374">
        <f t="shared" si="17"/>
        <v>31</v>
      </c>
      <c r="C1622" s="1367"/>
      <c r="D1622" s="1367">
        <v>2023.0</v>
      </c>
      <c r="E1622" s="1367" t="s">
        <v>101</v>
      </c>
      <c r="F1622" s="1367" t="s">
        <v>4155</v>
      </c>
      <c r="G1622" s="1367" t="s">
        <v>4231</v>
      </c>
      <c r="H1622" s="1367">
        <v>66.0</v>
      </c>
      <c r="I1622" s="1367">
        <v>70.0</v>
      </c>
      <c r="J1622" s="1367"/>
      <c r="K1622" s="1367"/>
      <c r="L1622" s="1367"/>
      <c r="M1622" s="1010"/>
    </row>
    <row r="1623">
      <c r="A1623" s="1375" t="s">
        <v>2116</v>
      </c>
      <c r="B1623" s="1374">
        <f t="shared" si="17"/>
        <v>181</v>
      </c>
      <c r="C1623" s="1367"/>
      <c r="D1623" s="1367">
        <v>2023.0</v>
      </c>
      <c r="E1623" s="1367" t="s">
        <v>101</v>
      </c>
      <c r="F1623" s="1367" t="s">
        <v>4155</v>
      </c>
      <c r="G1623" s="1367" t="s">
        <v>1086</v>
      </c>
      <c r="H1623" s="1367">
        <v>39.0</v>
      </c>
      <c r="I1623" s="1367">
        <v>39.0</v>
      </c>
      <c r="J1623" s="1367"/>
      <c r="K1623" s="1367"/>
      <c r="L1623" s="1367"/>
      <c r="M1623" s="1010"/>
    </row>
    <row r="1624">
      <c r="A1624" s="1375" t="s">
        <v>2117</v>
      </c>
      <c r="B1624" s="1374">
        <f t="shared" si="17"/>
        <v>149</v>
      </c>
      <c r="C1624" s="1367"/>
      <c r="D1624" s="1367">
        <v>2023.0</v>
      </c>
      <c r="E1624" s="1367" t="s">
        <v>101</v>
      </c>
      <c r="F1624" s="1367" t="s">
        <v>4155</v>
      </c>
      <c r="G1624" s="1367" t="s">
        <v>1715</v>
      </c>
      <c r="H1624" s="1367">
        <v>6.0</v>
      </c>
      <c r="I1624" s="1367">
        <v>6.0</v>
      </c>
      <c r="J1624" s="1367"/>
      <c r="K1624" s="1367"/>
      <c r="L1624" s="1367"/>
      <c r="M1624" s="1010"/>
    </row>
    <row r="1625">
      <c r="A1625" s="1375" t="s">
        <v>2113</v>
      </c>
      <c r="B1625" s="1374">
        <f t="shared" si="17"/>
        <v>28</v>
      </c>
      <c r="C1625" s="1367"/>
      <c r="D1625" s="1367">
        <v>2023.0</v>
      </c>
      <c r="E1625" s="1367" t="s">
        <v>2034</v>
      </c>
      <c r="F1625" s="1367" t="s">
        <v>4170</v>
      </c>
      <c r="G1625" s="1367" t="s">
        <v>4230</v>
      </c>
      <c r="H1625" s="1367">
        <v>2.0</v>
      </c>
      <c r="I1625" s="1367">
        <v>2.0</v>
      </c>
      <c r="J1625" s="1367"/>
      <c r="K1625" s="1367"/>
      <c r="L1625" s="1367"/>
      <c r="M1625" s="1010"/>
    </row>
    <row r="1626">
      <c r="A1626" s="1375" t="s">
        <v>2114</v>
      </c>
      <c r="B1626" s="1374">
        <f t="shared" si="17"/>
        <v>531</v>
      </c>
      <c r="C1626" s="1367"/>
      <c r="D1626" s="1367">
        <v>2023.0</v>
      </c>
      <c r="E1626" s="1367" t="s">
        <v>2034</v>
      </c>
      <c r="F1626" s="1367" t="s">
        <v>4170</v>
      </c>
      <c r="G1626" s="1367" t="s">
        <v>4231</v>
      </c>
      <c r="H1626" s="1367">
        <v>21.0</v>
      </c>
      <c r="I1626" s="1367">
        <v>21.0</v>
      </c>
      <c r="J1626" s="1367"/>
      <c r="K1626" s="1367"/>
      <c r="L1626" s="1367"/>
      <c r="M1626" s="1010"/>
    </row>
    <row r="1627">
      <c r="A1627" s="1375" t="s">
        <v>1689</v>
      </c>
      <c r="B1627" s="1374">
        <f t="shared" si="17"/>
        <v>189</v>
      </c>
      <c r="C1627" s="1367"/>
      <c r="D1627" s="1367">
        <v>2023.0</v>
      </c>
      <c r="E1627" s="1367" t="s">
        <v>2034</v>
      </c>
      <c r="F1627" s="1367" t="s">
        <v>4170</v>
      </c>
      <c r="G1627" s="1367" t="s">
        <v>1086</v>
      </c>
      <c r="H1627" s="1367">
        <v>9.0</v>
      </c>
      <c r="I1627" s="1367">
        <v>9.0</v>
      </c>
      <c r="J1627" s="1367"/>
      <c r="K1627" s="1367"/>
      <c r="L1627" s="1367"/>
      <c r="M1627" s="1010"/>
    </row>
    <row r="1628">
      <c r="A1628" s="1375" t="s">
        <v>1273</v>
      </c>
      <c r="B1628" s="1374">
        <f t="shared" si="17"/>
        <v>361</v>
      </c>
      <c r="C1628" s="1367"/>
      <c r="D1628" s="1367">
        <v>2023.0</v>
      </c>
      <c r="E1628" s="1367" t="s">
        <v>2034</v>
      </c>
      <c r="F1628" s="1367" t="s">
        <v>4170</v>
      </c>
      <c r="G1628" s="1367" t="s">
        <v>1715</v>
      </c>
      <c r="H1628" s="1367">
        <v>3.0</v>
      </c>
      <c r="I1628" s="1367">
        <v>3.0</v>
      </c>
      <c r="J1628" s="1367"/>
      <c r="K1628" s="1367"/>
      <c r="L1628" s="1367"/>
      <c r="M1628" s="1010"/>
    </row>
    <row r="1629">
      <c r="A1629" s="1375" t="s">
        <v>2118</v>
      </c>
      <c r="B1629" s="1374">
        <f t="shared" si="17"/>
        <v>33</v>
      </c>
      <c r="C1629" s="1367"/>
      <c r="D1629" s="1367">
        <v>2023.0</v>
      </c>
      <c r="E1629" s="1367" t="s">
        <v>112</v>
      </c>
      <c r="F1629" s="1367" t="s">
        <v>4169</v>
      </c>
      <c r="G1629" s="1367" t="s">
        <v>4231</v>
      </c>
      <c r="H1629" s="1367">
        <v>25.0</v>
      </c>
      <c r="I1629" s="1367">
        <v>27.0</v>
      </c>
      <c r="J1629" s="1367"/>
      <c r="K1629" s="1367"/>
      <c r="L1629" s="1367"/>
      <c r="M1629" s="1010"/>
    </row>
    <row r="1630">
      <c r="A1630" s="1375" t="s">
        <v>610</v>
      </c>
      <c r="B1630" s="1374">
        <f t="shared" si="17"/>
        <v>34</v>
      </c>
      <c r="C1630" s="1367"/>
      <c r="D1630" s="1367">
        <v>2023.0</v>
      </c>
      <c r="E1630" s="1367" t="s">
        <v>2035</v>
      </c>
      <c r="F1630" s="1367" t="s">
        <v>4170</v>
      </c>
      <c r="G1630" s="1367" t="s">
        <v>1086</v>
      </c>
      <c r="H1630" s="1367">
        <v>9.0</v>
      </c>
      <c r="I1630" s="1367">
        <v>9.0</v>
      </c>
      <c r="J1630" s="1367"/>
      <c r="K1630" s="1367"/>
      <c r="L1630" s="1367"/>
      <c r="M1630" s="1010"/>
    </row>
    <row r="1631">
      <c r="A1631" s="1375" t="s">
        <v>2119</v>
      </c>
      <c r="B1631" s="1374">
        <f t="shared" si="17"/>
        <v>90</v>
      </c>
      <c r="C1631" s="1367"/>
      <c r="D1631" s="1367">
        <v>2023.0</v>
      </c>
      <c r="E1631" s="1367" t="s">
        <v>2036</v>
      </c>
      <c r="F1631" s="1367" t="s">
        <v>4162</v>
      </c>
      <c r="G1631" s="1367" t="s">
        <v>1086</v>
      </c>
      <c r="H1631" s="1367">
        <v>3.0</v>
      </c>
      <c r="I1631" s="1367">
        <v>3.0</v>
      </c>
      <c r="J1631" s="1367"/>
      <c r="K1631" s="1367"/>
      <c r="L1631" s="1367"/>
      <c r="M1631" s="1010"/>
    </row>
    <row r="1632">
      <c r="A1632" s="1375" t="s">
        <v>157</v>
      </c>
      <c r="B1632" s="1374">
        <f t="shared" si="17"/>
        <v>393</v>
      </c>
      <c r="C1632" s="1367"/>
      <c r="D1632" s="1367">
        <v>2023.0</v>
      </c>
      <c r="E1632" s="1367" t="s">
        <v>2037</v>
      </c>
      <c r="F1632" s="1367" t="s">
        <v>4169</v>
      </c>
      <c r="G1632" s="1367" t="s">
        <v>4231</v>
      </c>
      <c r="H1632" s="1367">
        <v>15.0</v>
      </c>
      <c r="I1632" s="1367">
        <v>15.0</v>
      </c>
      <c r="J1632" s="1367"/>
      <c r="K1632" s="1367"/>
      <c r="L1632" s="1367"/>
      <c r="M1632" s="1010"/>
    </row>
    <row r="1633">
      <c r="A1633" s="1375" t="s">
        <v>1615</v>
      </c>
      <c r="B1633" s="1374">
        <f t="shared" si="17"/>
        <v>79</v>
      </c>
      <c r="C1633" s="1367"/>
      <c r="D1633" s="1367">
        <v>2023.0</v>
      </c>
      <c r="E1633" s="1367" t="s">
        <v>2037</v>
      </c>
      <c r="F1633" s="1367" t="s">
        <v>4169</v>
      </c>
      <c r="G1633" s="1367" t="s">
        <v>1086</v>
      </c>
      <c r="H1633" s="1367">
        <v>3.0</v>
      </c>
      <c r="I1633" s="1367">
        <v>3.0</v>
      </c>
      <c r="J1633" s="1367"/>
      <c r="K1633" s="1367"/>
      <c r="L1633" s="1367"/>
      <c r="M1633" s="1010"/>
    </row>
    <row r="1634">
      <c r="A1634" s="1375" t="s">
        <v>2121</v>
      </c>
      <c r="B1634" s="1374">
        <f t="shared" si="17"/>
        <v>174</v>
      </c>
      <c r="C1634" s="1367"/>
      <c r="D1634" s="1367">
        <v>2023.0</v>
      </c>
      <c r="E1634" s="1367" t="s">
        <v>405</v>
      </c>
      <c r="F1634" s="1367" t="s">
        <v>4176</v>
      </c>
      <c r="G1634" s="1367" t="s">
        <v>4230</v>
      </c>
      <c r="H1634" s="1367">
        <v>155.0</v>
      </c>
      <c r="I1634" s="1367">
        <v>160.0</v>
      </c>
      <c r="J1634" s="1367"/>
      <c r="K1634" s="1367"/>
      <c r="L1634" s="1367"/>
      <c r="M1634" s="1010"/>
    </row>
    <row r="1635">
      <c r="A1635" s="1375" t="s">
        <v>2122</v>
      </c>
      <c r="B1635" s="1374">
        <f t="shared" si="17"/>
        <v>83</v>
      </c>
      <c r="C1635" s="1367"/>
      <c r="D1635" s="1367">
        <v>2023.0</v>
      </c>
      <c r="E1635" s="1367" t="s">
        <v>405</v>
      </c>
      <c r="F1635" s="1367" t="s">
        <v>4176</v>
      </c>
      <c r="G1635" s="1367" t="s">
        <v>4231</v>
      </c>
      <c r="H1635" s="1367">
        <v>214.0</v>
      </c>
      <c r="I1635" s="1367">
        <v>216.0</v>
      </c>
      <c r="J1635" s="1367"/>
      <c r="K1635" s="1367"/>
      <c r="L1635" s="1367"/>
      <c r="M1635" s="1010"/>
    </row>
    <row r="1636">
      <c r="A1636" s="1375" t="s">
        <v>297</v>
      </c>
      <c r="B1636" s="1374">
        <f t="shared" si="17"/>
        <v>24</v>
      </c>
      <c r="C1636" s="1367"/>
      <c r="D1636" s="1367">
        <v>2023.0</v>
      </c>
      <c r="E1636" s="1367" t="s">
        <v>405</v>
      </c>
      <c r="F1636" s="1367" t="s">
        <v>4176</v>
      </c>
      <c r="G1636" s="1367" t="s">
        <v>71</v>
      </c>
      <c r="H1636" s="1367">
        <v>2.0</v>
      </c>
      <c r="I1636" s="1367">
        <v>2.0</v>
      </c>
      <c r="J1636" s="1367"/>
      <c r="K1636" s="1367"/>
      <c r="L1636" s="1367"/>
      <c r="M1636" s="1010"/>
    </row>
    <row r="1637">
      <c r="A1637" s="1375" t="s">
        <v>2123</v>
      </c>
      <c r="B1637" s="1374">
        <f t="shared" si="17"/>
        <v>105</v>
      </c>
      <c r="C1637" s="1367"/>
      <c r="D1637" s="1367">
        <v>2023.0</v>
      </c>
      <c r="E1637" s="1367" t="s">
        <v>405</v>
      </c>
      <c r="F1637" s="1367" t="s">
        <v>4176</v>
      </c>
      <c r="G1637" s="1367" t="s">
        <v>1086</v>
      </c>
      <c r="H1637" s="1367">
        <v>190.0</v>
      </c>
      <c r="I1637" s="1367">
        <v>190.0</v>
      </c>
      <c r="J1637" s="1367"/>
      <c r="K1637" s="1367"/>
      <c r="L1637" s="1367"/>
      <c r="M1637" s="1010"/>
    </row>
    <row r="1638">
      <c r="A1638" s="1375" t="s">
        <v>2124</v>
      </c>
      <c r="B1638" s="1374">
        <f t="shared" si="17"/>
        <v>894</v>
      </c>
      <c r="C1638" s="1367"/>
      <c r="D1638" s="1367">
        <v>2023.0</v>
      </c>
      <c r="E1638" s="1367" t="s">
        <v>405</v>
      </c>
      <c r="F1638" s="1367" t="s">
        <v>4176</v>
      </c>
      <c r="G1638" s="1367" t="s">
        <v>4232</v>
      </c>
      <c r="H1638" s="1367">
        <v>5.0</v>
      </c>
      <c r="I1638" s="1367">
        <v>5.0</v>
      </c>
      <c r="J1638" s="1367"/>
      <c r="K1638" s="1367"/>
      <c r="L1638" s="1367"/>
      <c r="M1638" s="1010"/>
    </row>
    <row r="1639">
      <c r="A1639" s="1375" t="s">
        <v>2125</v>
      </c>
      <c r="B1639" s="1374">
        <f t="shared" si="17"/>
        <v>33</v>
      </c>
      <c r="C1639" s="1367"/>
      <c r="D1639" s="1367">
        <v>2023.0</v>
      </c>
      <c r="E1639" s="1367" t="s">
        <v>405</v>
      </c>
      <c r="F1639" s="1367" t="s">
        <v>4176</v>
      </c>
      <c r="G1639" s="1367" t="s">
        <v>1715</v>
      </c>
      <c r="H1639" s="1367">
        <v>36.0</v>
      </c>
      <c r="I1639" s="1367">
        <v>38.0</v>
      </c>
      <c r="J1639" s="1367"/>
      <c r="K1639" s="1367"/>
      <c r="L1639" s="1367"/>
      <c r="M1639" s="1010"/>
    </row>
    <row r="1640">
      <c r="A1640" s="1375" t="s">
        <v>241</v>
      </c>
      <c r="B1640" s="1374">
        <f t="shared" si="17"/>
        <v>126</v>
      </c>
      <c r="C1640" s="1367"/>
      <c r="D1640" s="1367">
        <v>2023.0</v>
      </c>
      <c r="E1640" s="1367" t="s">
        <v>2038</v>
      </c>
      <c r="F1640" s="1367" t="s">
        <v>4170</v>
      </c>
      <c r="G1640" s="1367" t="s">
        <v>4231</v>
      </c>
      <c r="H1640" s="1367">
        <v>3.0</v>
      </c>
      <c r="I1640" s="1367">
        <v>3.0</v>
      </c>
      <c r="J1640" s="1367"/>
      <c r="K1640" s="1367"/>
      <c r="L1640" s="1367"/>
      <c r="M1640" s="1010"/>
    </row>
    <row r="1641">
      <c r="A1641" s="1375" t="s">
        <v>2522</v>
      </c>
      <c r="B1641" s="1374">
        <f t="shared" si="17"/>
        <v>12</v>
      </c>
      <c r="C1641" s="1367"/>
      <c r="D1641" s="1367">
        <v>2023.0</v>
      </c>
      <c r="E1641" s="1367" t="s">
        <v>2038</v>
      </c>
      <c r="F1641" s="1367" t="s">
        <v>4170</v>
      </c>
      <c r="G1641" s="1367" t="s">
        <v>1086</v>
      </c>
      <c r="H1641" s="1367">
        <v>12.0</v>
      </c>
      <c r="I1641" s="1367">
        <v>12.0</v>
      </c>
      <c r="J1641" s="1367"/>
      <c r="K1641" s="1367"/>
      <c r="L1641" s="1367"/>
      <c r="M1641" s="1010"/>
    </row>
    <row r="1642">
      <c r="A1642" s="1375" t="s">
        <v>2126</v>
      </c>
      <c r="B1642" s="1374">
        <f t="shared" si="17"/>
        <v>93</v>
      </c>
      <c r="C1642" s="1367"/>
      <c r="D1642" s="1367">
        <v>2023.0</v>
      </c>
      <c r="E1642" s="1367" t="s">
        <v>36</v>
      </c>
      <c r="F1642" s="1367" t="s">
        <v>4172</v>
      </c>
      <c r="G1642" s="1367" t="s">
        <v>4230</v>
      </c>
      <c r="H1642" s="1367">
        <v>21.0</v>
      </c>
      <c r="I1642" s="1367">
        <v>21.0</v>
      </c>
      <c r="J1642" s="1367"/>
      <c r="K1642" s="1367"/>
      <c r="L1642" s="1367"/>
      <c r="M1642" s="1010"/>
    </row>
    <row r="1643">
      <c r="A1643" s="1375" t="s">
        <v>1377</v>
      </c>
      <c r="B1643" s="1374">
        <f t="shared" si="17"/>
        <v>21</v>
      </c>
      <c r="C1643" s="1367"/>
      <c r="D1643" s="1367">
        <v>2023.0</v>
      </c>
      <c r="E1643" s="1367" t="s">
        <v>36</v>
      </c>
      <c r="F1643" s="1367" t="s">
        <v>4172</v>
      </c>
      <c r="G1643" s="1367" t="s">
        <v>4231</v>
      </c>
      <c r="H1643" s="1367">
        <v>7.0</v>
      </c>
      <c r="I1643" s="1367">
        <v>7.0</v>
      </c>
      <c r="J1643" s="1367"/>
      <c r="K1643" s="1367"/>
      <c r="L1643" s="1367"/>
      <c r="M1643" s="1010"/>
    </row>
    <row r="1644">
      <c r="A1644" s="1375" t="s">
        <v>2127</v>
      </c>
      <c r="B1644" s="1374">
        <f t="shared" si="17"/>
        <v>407</v>
      </c>
      <c r="C1644" s="1367"/>
      <c r="D1644" s="1367">
        <v>2023.0</v>
      </c>
      <c r="E1644" s="1367" t="s">
        <v>36</v>
      </c>
      <c r="F1644" s="1367" t="s">
        <v>4172</v>
      </c>
      <c r="G1644" s="1367" t="s">
        <v>1086</v>
      </c>
      <c r="H1644" s="1367">
        <v>5.0</v>
      </c>
      <c r="I1644" s="1367">
        <v>5.0</v>
      </c>
      <c r="J1644" s="1367"/>
      <c r="K1644" s="1367"/>
      <c r="L1644" s="1367"/>
      <c r="M1644" s="1010"/>
    </row>
    <row r="1645">
      <c r="A1645" s="1375" t="s">
        <v>2128</v>
      </c>
      <c r="B1645" s="1374">
        <f t="shared" si="17"/>
        <v>30</v>
      </c>
      <c r="C1645" s="1367"/>
      <c r="D1645" s="1367">
        <v>2023.0</v>
      </c>
      <c r="E1645" s="1367" t="s">
        <v>36</v>
      </c>
      <c r="F1645" s="1367" t="s">
        <v>4172</v>
      </c>
      <c r="G1645" s="1367" t="s">
        <v>1715</v>
      </c>
      <c r="H1645" s="1367">
        <v>2.0</v>
      </c>
      <c r="I1645" s="1367">
        <v>2.0</v>
      </c>
      <c r="J1645" s="1367"/>
      <c r="K1645" s="1367"/>
      <c r="L1645" s="1367"/>
      <c r="M1645" s="1010"/>
    </row>
    <row r="1646">
      <c r="A1646" s="1375" t="s">
        <v>2129</v>
      </c>
      <c r="B1646" s="1374">
        <f t="shared" si="17"/>
        <v>29</v>
      </c>
      <c r="C1646" s="1367"/>
      <c r="D1646" s="1367">
        <v>2023.0</v>
      </c>
      <c r="E1646" s="1367" t="s">
        <v>2039</v>
      </c>
      <c r="F1646" s="1367" t="s">
        <v>4171</v>
      </c>
      <c r="G1646" s="1367" t="s">
        <v>4230</v>
      </c>
      <c r="H1646" s="1367">
        <v>5.0</v>
      </c>
      <c r="I1646" s="1367">
        <v>5.0</v>
      </c>
      <c r="J1646" s="1367"/>
      <c r="K1646" s="1367"/>
      <c r="L1646" s="1367"/>
      <c r="M1646" s="1010"/>
    </row>
    <row r="1647">
      <c r="A1647" s="1375" t="s">
        <v>302</v>
      </c>
      <c r="B1647" s="1374">
        <f t="shared" si="17"/>
        <v>103</v>
      </c>
      <c r="C1647" s="1367"/>
      <c r="D1647" s="1367">
        <v>2023.0</v>
      </c>
      <c r="E1647" s="1367" t="s">
        <v>2039</v>
      </c>
      <c r="F1647" s="1367" t="s">
        <v>4171</v>
      </c>
      <c r="G1647" s="1367" t="s">
        <v>4231</v>
      </c>
      <c r="H1647" s="1367">
        <v>133.0</v>
      </c>
      <c r="I1647" s="1367">
        <v>138.0</v>
      </c>
      <c r="J1647" s="1367"/>
      <c r="K1647" s="1367"/>
      <c r="L1647" s="1367"/>
      <c r="M1647" s="1010"/>
    </row>
    <row r="1648">
      <c r="A1648" s="1375" t="s">
        <v>1805</v>
      </c>
      <c r="B1648" s="1374">
        <f t="shared" si="17"/>
        <v>462</v>
      </c>
      <c r="C1648" s="1367"/>
      <c r="D1648" s="1367">
        <v>2023.0</v>
      </c>
      <c r="E1648" s="1367" t="s">
        <v>2039</v>
      </c>
      <c r="F1648" s="1367" t="s">
        <v>4171</v>
      </c>
      <c r="G1648" s="1367" t="s">
        <v>71</v>
      </c>
      <c r="H1648" s="1367">
        <v>2.0</v>
      </c>
      <c r="I1648" s="1367">
        <v>2.0</v>
      </c>
      <c r="J1648" s="1367"/>
      <c r="K1648" s="1367"/>
      <c r="L1648" s="1367"/>
      <c r="M1648" s="1010"/>
    </row>
    <row r="1649">
      <c r="A1649" s="1375" t="s">
        <v>2131</v>
      </c>
      <c r="B1649" s="1374">
        <f t="shared" si="17"/>
        <v>21</v>
      </c>
      <c r="C1649" s="1367"/>
      <c r="D1649" s="1367">
        <v>2023.0</v>
      </c>
      <c r="E1649" s="1367" t="s">
        <v>2039</v>
      </c>
      <c r="F1649" s="1367" t="s">
        <v>4171</v>
      </c>
      <c r="G1649" s="1367" t="s">
        <v>1086</v>
      </c>
      <c r="H1649" s="1367">
        <v>204.0</v>
      </c>
      <c r="I1649" s="1367">
        <v>208.0</v>
      </c>
      <c r="J1649" s="1367"/>
      <c r="K1649" s="1367"/>
      <c r="L1649" s="1367"/>
      <c r="M1649" s="1010"/>
    </row>
    <row r="1650">
      <c r="A1650" s="1375" t="s">
        <v>2132</v>
      </c>
      <c r="B1650" s="1374">
        <f t="shared" si="17"/>
        <v>241</v>
      </c>
      <c r="C1650" s="1367"/>
      <c r="D1650" s="1367">
        <v>2023.0</v>
      </c>
      <c r="E1650" s="1367" t="s">
        <v>2039</v>
      </c>
      <c r="F1650" s="1367" t="s">
        <v>4171</v>
      </c>
      <c r="G1650" s="1367" t="s">
        <v>1715</v>
      </c>
      <c r="H1650" s="1367">
        <v>11.0</v>
      </c>
      <c r="I1650" s="1367">
        <v>11.0</v>
      </c>
      <c r="J1650" s="1367"/>
      <c r="K1650" s="1367"/>
      <c r="L1650" s="1367"/>
      <c r="M1650" s="1010"/>
    </row>
    <row r="1651">
      <c r="A1651" s="1375" t="s">
        <v>2134</v>
      </c>
      <c r="B1651" s="1374">
        <f t="shared" si="17"/>
        <v>14</v>
      </c>
      <c r="C1651" s="1367"/>
      <c r="D1651" s="1367">
        <v>2023.0</v>
      </c>
      <c r="E1651" s="1367" t="s">
        <v>964</v>
      </c>
      <c r="F1651" s="1367" t="s">
        <v>4169</v>
      </c>
      <c r="G1651" s="1367" t="s">
        <v>4231</v>
      </c>
      <c r="H1651" s="1367">
        <v>25.0</v>
      </c>
      <c r="I1651" s="1367">
        <v>27.0</v>
      </c>
      <c r="J1651" s="1367"/>
      <c r="K1651" s="1367"/>
      <c r="L1651" s="1367"/>
      <c r="M1651" s="1010"/>
    </row>
    <row r="1652">
      <c r="A1652" s="1375" t="s">
        <v>1167</v>
      </c>
      <c r="B1652" s="1374">
        <f t="shared" si="17"/>
        <v>39</v>
      </c>
      <c r="C1652" s="1367"/>
      <c r="D1652" s="1367">
        <v>2023.0</v>
      </c>
      <c r="E1652" s="1367" t="s">
        <v>964</v>
      </c>
      <c r="F1652" s="1367" t="s">
        <v>4169</v>
      </c>
      <c r="G1652" s="1367" t="s">
        <v>1086</v>
      </c>
      <c r="H1652" s="1367">
        <v>21.0</v>
      </c>
      <c r="I1652" s="1367">
        <v>21.0</v>
      </c>
      <c r="J1652" s="1367"/>
      <c r="K1652" s="1367"/>
      <c r="L1652" s="1367"/>
      <c r="M1652" s="1010"/>
    </row>
    <row r="1653">
      <c r="A1653" s="1375" t="s">
        <v>2135</v>
      </c>
      <c r="B1653" s="1374">
        <f t="shared" si="17"/>
        <v>33</v>
      </c>
      <c r="C1653" s="1367"/>
      <c r="D1653" s="1367">
        <v>2023.0</v>
      </c>
      <c r="E1653" s="1367" t="s">
        <v>964</v>
      </c>
      <c r="F1653" s="1367" t="s">
        <v>4169</v>
      </c>
      <c r="G1653" s="1367" t="s">
        <v>1715</v>
      </c>
      <c r="H1653" s="1367">
        <v>1.0</v>
      </c>
      <c r="I1653" s="1367">
        <v>1.0</v>
      </c>
      <c r="J1653" s="1367"/>
      <c r="K1653" s="1367"/>
      <c r="L1653" s="1367"/>
      <c r="M1653" s="1010"/>
    </row>
    <row r="1654">
      <c r="A1654" s="1375" t="s">
        <v>1879</v>
      </c>
      <c r="B1654" s="1374">
        <f t="shared" si="17"/>
        <v>1</v>
      </c>
      <c r="C1654" s="1367"/>
      <c r="D1654" s="1367">
        <v>2023.0</v>
      </c>
      <c r="E1654" s="1367" t="s">
        <v>2041</v>
      </c>
      <c r="F1654" s="1367" t="s">
        <v>4162</v>
      </c>
      <c r="G1654" s="1367" t="s">
        <v>4231</v>
      </c>
      <c r="H1654" s="1367">
        <v>3.0</v>
      </c>
      <c r="I1654" s="1367">
        <v>3.0</v>
      </c>
      <c r="J1654" s="1367"/>
      <c r="K1654" s="1367"/>
      <c r="L1654" s="1367"/>
      <c r="M1654" s="1010"/>
    </row>
    <row r="1655">
      <c r="A1655" s="1375" t="s">
        <v>1131</v>
      </c>
      <c r="B1655" s="1374">
        <f t="shared" si="17"/>
        <v>36</v>
      </c>
      <c r="C1655" s="1367"/>
      <c r="D1655" s="1367">
        <v>2023.0</v>
      </c>
      <c r="E1655" s="1367" t="s">
        <v>2041</v>
      </c>
      <c r="F1655" s="1367" t="s">
        <v>4162</v>
      </c>
      <c r="G1655" s="1367" t="s">
        <v>1086</v>
      </c>
      <c r="H1655" s="1367">
        <v>6.0</v>
      </c>
      <c r="I1655" s="1367">
        <v>6.0</v>
      </c>
      <c r="J1655" s="1367"/>
      <c r="K1655" s="1367"/>
      <c r="L1655" s="1367"/>
      <c r="M1655" s="1010"/>
    </row>
    <row r="1656">
      <c r="A1656" s="1375" t="s">
        <v>2137</v>
      </c>
      <c r="B1656" s="1374">
        <f t="shared" si="17"/>
        <v>122</v>
      </c>
      <c r="C1656" s="1367"/>
      <c r="D1656" s="1367">
        <v>2023.0</v>
      </c>
      <c r="E1656" s="1367" t="s">
        <v>2042</v>
      </c>
      <c r="F1656" s="1367" t="s">
        <v>4176</v>
      </c>
      <c r="G1656" s="1367" t="s">
        <v>4230</v>
      </c>
      <c r="H1656" s="1367">
        <v>4.0</v>
      </c>
      <c r="I1656" s="1367">
        <v>4.0</v>
      </c>
      <c r="J1656" s="1367"/>
      <c r="K1656" s="1367"/>
      <c r="L1656" s="1367"/>
      <c r="M1656" s="1010"/>
    </row>
    <row r="1657">
      <c r="A1657" s="1375" t="s">
        <v>2138</v>
      </c>
      <c r="B1657" s="1374">
        <f t="shared" si="17"/>
        <v>24</v>
      </c>
      <c r="C1657" s="1367"/>
      <c r="D1657" s="1367">
        <v>2023.0</v>
      </c>
      <c r="E1657" s="1367" t="s">
        <v>2042</v>
      </c>
      <c r="F1657" s="1367" t="s">
        <v>4176</v>
      </c>
      <c r="G1657" s="1367" t="s">
        <v>4231</v>
      </c>
      <c r="H1657" s="1367">
        <v>63.0</v>
      </c>
      <c r="I1657" s="1367">
        <v>64.0</v>
      </c>
      <c r="J1657" s="1367"/>
      <c r="K1657" s="1367"/>
      <c r="L1657" s="1367"/>
      <c r="M1657" s="1010"/>
    </row>
    <row r="1658">
      <c r="A1658" s="1375" t="s">
        <v>2139</v>
      </c>
      <c r="B1658" s="1374">
        <f t="shared" si="17"/>
        <v>69</v>
      </c>
      <c r="C1658" s="1367"/>
      <c r="D1658" s="1367">
        <v>2023.0</v>
      </c>
      <c r="E1658" s="1367" t="s">
        <v>2042</v>
      </c>
      <c r="F1658" s="1367" t="s">
        <v>4176</v>
      </c>
      <c r="G1658" s="1367" t="s">
        <v>71</v>
      </c>
      <c r="H1658" s="1367">
        <v>1.0</v>
      </c>
      <c r="I1658" s="1367">
        <v>1.0</v>
      </c>
      <c r="J1658" s="1367"/>
      <c r="K1658" s="1367"/>
      <c r="L1658" s="1367"/>
      <c r="M1658" s="1010"/>
    </row>
    <row r="1659">
      <c r="A1659" s="1375" t="s">
        <v>1168</v>
      </c>
      <c r="B1659" s="1374">
        <f t="shared" si="17"/>
        <v>26</v>
      </c>
      <c r="C1659" s="1367"/>
      <c r="D1659" s="1367">
        <v>2023.0</v>
      </c>
      <c r="E1659" s="1367" t="s">
        <v>2042</v>
      </c>
      <c r="F1659" s="1367" t="s">
        <v>4176</v>
      </c>
      <c r="G1659" s="1367" t="s">
        <v>1086</v>
      </c>
      <c r="H1659" s="1367">
        <v>33.0</v>
      </c>
      <c r="I1659" s="1367">
        <v>33.0</v>
      </c>
      <c r="J1659" s="1367"/>
      <c r="K1659" s="1367"/>
      <c r="L1659" s="1367"/>
      <c r="M1659" s="1010"/>
    </row>
    <row r="1660">
      <c r="A1660" s="1375" t="s">
        <v>2140</v>
      </c>
      <c r="B1660" s="1374">
        <f t="shared" si="17"/>
        <v>15</v>
      </c>
      <c r="C1660" s="1367"/>
      <c r="D1660" s="1367">
        <v>2023.0</v>
      </c>
      <c r="E1660" s="1367" t="s">
        <v>2042</v>
      </c>
      <c r="F1660" s="1367" t="s">
        <v>4176</v>
      </c>
      <c r="G1660" s="1367" t="s">
        <v>1715</v>
      </c>
      <c r="H1660" s="1367">
        <v>15.0</v>
      </c>
      <c r="I1660" s="1367">
        <v>15.0</v>
      </c>
      <c r="J1660" s="1367"/>
      <c r="K1660" s="1367"/>
      <c r="L1660" s="1367"/>
      <c r="M1660" s="1010"/>
    </row>
    <row r="1661">
      <c r="A1661" s="1375" t="s">
        <v>2142</v>
      </c>
      <c r="B1661" s="1374">
        <f t="shared" si="17"/>
        <v>48</v>
      </c>
      <c r="C1661" s="1367"/>
      <c r="D1661" s="1367">
        <v>2023.0</v>
      </c>
      <c r="E1661" s="1367" t="s">
        <v>2043</v>
      </c>
      <c r="F1661" s="1367" t="s">
        <v>4173</v>
      </c>
      <c r="G1661" s="1367" t="s">
        <v>4230</v>
      </c>
      <c r="H1661" s="1367">
        <v>64.0</v>
      </c>
      <c r="I1661" s="1367">
        <v>65.0</v>
      </c>
      <c r="J1661" s="1367"/>
      <c r="K1661" s="1367"/>
      <c r="L1661" s="1367"/>
      <c r="M1661" s="1010"/>
    </row>
    <row r="1662">
      <c r="A1662" s="1375" t="s">
        <v>2143</v>
      </c>
      <c r="B1662" s="1374">
        <f t="shared" si="17"/>
        <v>235</v>
      </c>
      <c r="C1662" s="1367"/>
      <c r="D1662" s="1367">
        <v>2023.0</v>
      </c>
      <c r="E1662" s="1367" t="s">
        <v>2043</v>
      </c>
      <c r="F1662" s="1367" t="s">
        <v>4173</v>
      </c>
      <c r="G1662" s="1367" t="s">
        <v>4231</v>
      </c>
      <c r="H1662" s="1367">
        <v>92.0</v>
      </c>
      <c r="I1662" s="1367">
        <v>93.0</v>
      </c>
      <c r="J1662" s="1367"/>
      <c r="K1662" s="1367"/>
      <c r="L1662" s="1367"/>
      <c r="M1662" s="1010"/>
    </row>
    <row r="1663">
      <c r="A1663" s="1375" t="s">
        <v>2146</v>
      </c>
      <c r="B1663" s="1374">
        <f t="shared" si="17"/>
        <v>108</v>
      </c>
      <c r="C1663" s="1367"/>
      <c r="D1663" s="1367">
        <v>2023.0</v>
      </c>
      <c r="E1663" s="1367" t="s">
        <v>2043</v>
      </c>
      <c r="F1663" s="1367" t="s">
        <v>4173</v>
      </c>
      <c r="G1663" s="1367" t="s">
        <v>1086</v>
      </c>
      <c r="H1663" s="1367">
        <v>38.0</v>
      </c>
      <c r="I1663" s="1367">
        <v>38.0</v>
      </c>
      <c r="J1663" s="1367"/>
      <c r="K1663" s="1367"/>
      <c r="L1663" s="1010"/>
    </row>
    <row r="1664">
      <c r="A1664" s="1375" t="s">
        <v>168</v>
      </c>
      <c r="B1664" s="1374">
        <f t="shared" si="17"/>
        <v>67</v>
      </c>
      <c r="C1664" s="1367"/>
      <c r="D1664" s="1367">
        <v>2023.0</v>
      </c>
      <c r="E1664" s="1367" t="s">
        <v>2043</v>
      </c>
      <c r="F1664" s="1367" t="s">
        <v>4173</v>
      </c>
      <c r="G1664" s="1367" t="s">
        <v>1715</v>
      </c>
      <c r="H1664" s="1367">
        <v>25.0</v>
      </c>
      <c r="I1664" s="1367">
        <v>25.0</v>
      </c>
      <c r="J1664" s="1367"/>
      <c r="K1664" s="1367"/>
      <c r="L1664" s="1367"/>
      <c r="M1664" s="1010"/>
    </row>
    <row r="1665">
      <c r="A1665" s="1375" t="s">
        <v>1011</v>
      </c>
      <c r="B1665" s="1374">
        <f t="shared" si="17"/>
        <v>10</v>
      </c>
      <c r="C1665" s="1367"/>
      <c r="D1665" s="1367">
        <v>2023.0</v>
      </c>
      <c r="E1665" s="1367" t="s">
        <v>2044</v>
      </c>
      <c r="F1665" s="1367" t="s">
        <v>4169</v>
      </c>
      <c r="G1665" s="1367" t="s">
        <v>4231</v>
      </c>
      <c r="H1665" s="1367">
        <v>3.0</v>
      </c>
      <c r="I1665" s="1367">
        <v>3.0</v>
      </c>
      <c r="J1665" s="1367"/>
      <c r="K1665" s="1367"/>
      <c r="L1665" s="1367"/>
      <c r="M1665" s="1010"/>
    </row>
    <row r="1666">
      <c r="A1666" s="1375" t="s">
        <v>1012</v>
      </c>
      <c r="B1666" s="1374">
        <f t="shared" si="17"/>
        <v>523</v>
      </c>
      <c r="C1666" s="1367"/>
      <c r="D1666" s="1367">
        <v>2023.0</v>
      </c>
      <c r="E1666" s="1367" t="s">
        <v>2044</v>
      </c>
      <c r="F1666" s="1367" t="s">
        <v>4169</v>
      </c>
      <c r="G1666" s="1367" t="s">
        <v>1086</v>
      </c>
      <c r="H1666" s="1367">
        <v>2.0</v>
      </c>
      <c r="I1666" s="1367">
        <v>2.0</v>
      </c>
      <c r="J1666" s="1367"/>
      <c r="K1666" s="1367"/>
      <c r="L1666" s="1367"/>
      <c r="M1666" s="1010"/>
    </row>
    <row r="1667">
      <c r="A1667" s="1375" t="s">
        <v>2149</v>
      </c>
      <c r="B1667" s="1374">
        <f t="shared" si="17"/>
        <v>24</v>
      </c>
      <c r="C1667" s="1367"/>
      <c r="D1667" s="1367">
        <v>2023.0</v>
      </c>
      <c r="E1667" s="1367" t="s">
        <v>2046</v>
      </c>
      <c r="F1667" s="1367" t="s">
        <v>4162</v>
      </c>
      <c r="G1667" s="1367" t="s">
        <v>4231</v>
      </c>
      <c r="H1667" s="1367">
        <v>2.0</v>
      </c>
      <c r="I1667" s="1367">
        <v>2.0</v>
      </c>
      <c r="J1667" s="1367"/>
      <c r="K1667" s="1367"/>
      <c r="L1667" s="1367"/>
      <c r="M1667" s="1010"/>
    </row>
    <row r="1668">
      <c r="A1668" s="1375" t="s">
        <v>2150</v>
      </c>
      <c r="B1668" s="1374">
        <f t="shared" si="17"/>
        <v>133</v>
      </c>
      <c r="C1668" s="1367"/>
      <c r="D1668" s="1367">
        <v>2023.0</v>
      </c>
      <c r="E1668" s="1367" t="s">
        <v>2046</v>
      </c>
      <c r="F1668" s="1367" t="s">
        <v>4162</v>
      </c>
      <c r="G1668" s="1367" t="s">
        <v>1086</v>
      </c>
      <c r="H1668" s="1367">
        <v>3.0</v>
      </c>
      <c r="I1668" s="1367">
        <v>3.0</v>
      </c>
      <c r="J1668" s="1367"/>
      <c r="K1668" s="1367"/>
      <c r="L1668" s="1367"/>
      <c r="M1668" s="1010"/>
    </row>
    <row r="1669">
      <c r="A1669" s="1375" t="s">
        <v>628</v>
      </c>
      <c r="B1669" s="1374">
        <f t="shared" si="17"/>
        <v>31</v>
      </c>
      <c r="C1669" s="1367"/>
      <c r="D1669" s="1367">
        <v>2023.0</v>
      </c>
      <c r="E1669" s="1367" t="s">
        <v>1900</v>
      </c>
      <c r="F1669" s="1367" t="s">
        <v>4162</v>
      </c>
      <c r="G1669" s="1367" t="s">
        <v>1086</v>
      </c>
      <c r="H1669" s="1367">
        <v>8.0</v>
      </c>
      <c r="I1669" s="1367">
        <v>8.0</v>
      </c>
      <c r="J1669" s="1367"/>
      <c r="K1669" s="1367"/>
      <c r="L1669" s="1367"/>
      <c r="M1669" s="1010"/>
    </row>
    <row r="1670">
      <c r="A1670" s="1375" t="s">
        <v>2154</v>
      </c>
      <c r="B1670" s="1374">
        <f t="shared" si="17"/>
        <v>29</v>
      </c>
      <c r="C1670" s="1367"/>
      <c r="D1670" s="1367">
        <v>2023.0</v>
      </c>
      <c r="E1670" s="1367" t="s">
        <v>2047</v>
      </c>
      <c r="F1670" s="1367" t="s">
        <v>4170</v>
      </c>
      <c r="G1670" s="1367" t="s">
        <v>4231</v>
      </c>
      <c r="H1670" s="1367">
        <v>6.0</v>
      </c>
      <c r="I1670" s="1367">
        <v>10.0</v>
      </c>
      <c r="J1670" s="1367"/>
      <c r="K1670" s="1367"/>
      <c r="L1670" s="1367"/>
      <c r="M1670" s="1010"/>
    </row>
    <row r="1671">
      <c r="A1671" s="1375" t="s">
        <v>265</v>
      </c>
      <c r="B1671" s="1374">
        <f t="shared" si="17"/>
        <v>3901</v>
      </c>
      <c r="C1671" s="1367"/>
      <c r="D1671" s="1367">
        <v>2023.0</v>
      </c>
      <c r="E1671" s="1367" t="s">
        <v>2047</v>
      </c>
      <c r="F1671" s="1367" t="s">
        <v>4170</v>
      </c>
      <c r="G1671" s="1367" t="s">
        <v>1086</v>
      </c>
      <c r="H1671" s="1367">
        <v>12.0</v>
      </c>
      <c r="I1671" s="1367">
        <v>12.0</v>
      </c>
      <c r="J1671" s="1367"/>
      <c r="K1671" s="1367"/>
      <c r="L1671" s="1367"/>
      <c r="M1671" s="1010"/>
    </row>
    <row r="1672">
      <c r="A1672" s="1375" t="s">
        <v>526</v>
      </c>
      <c r="B1672" s="1374">
        <f t="shared" si="17"/>
        <v>1017</v>
      </c>
      <c r="C1672" s="1367"/>
      <c r="D1672" s="1367">
        <v>2023.0</v>
      </c>
      <c r="E1672" s="1367" t="s">
        <v>2049</v>
      </c>
      <c r="F1672" s="1367" t="s">
        <v>4175</v>
      </c>
      <c r="G1672" s="1367" t="s">
        <v>4231</v>
      </c>
      <c r="H1672" s="1367">
        <v>1.0</v>
      </c>
      <c r="I1672" s="1367">
        <v>1.0</v>
      </c>
      <c r="J1672" s="1367"/>
      <c r="K1672" s="1367"/>
      <c r="L1672" s="1367"/>
      <c r="M1672" s="1010"/>
    </row>
    <row r="1673">
      <c r="A1673" s="1375" t="s">
        <v>2156</v>
      </c>
      <c r="B1673" s="1374">
        <f t="shared" si="17"/>
        <v>59</v>
      </c>
      <c r="C1673" s="1367"/>
      <c r="D1673" s="1367">
        <v>2023.0</v>
      </c>
      <c r="E1673" s="1367" t="s">
        <v>2049</v>
      </c>
      <c r="F1673" s="1367" t="s">
        <v>4175</v>
      </c>
      <c r="G1673" s="1367" t="s">
        <v>1086</v>
      </c>
      <c r="H1673" s="1367">
        <v>5.0</v>
      </c>
      <c r="I1673" s="1367">
        <v>5.0</v>
      </c>
      <c r="J1673" s="1367"/>
      <c r="K1673" s="1367"/>
      <c r="L1673" s="1367"/>
      <c r="M1673" s="1010"/>
    </row>
    <row r="1674">
      <c r="A1674" s="1375" t="s">
        <v>2159</v>
      </c>
      <c r="B1674" s="1374">
        <f t="shared" si="17"/>
        <v>75</v>
      </c>
      <c r="C1674" s="1367"/>
      <c r="D1674" s="1367">
        <v>2023.0</v>
      </c>
      <c r="E1674" s="1367" t="s">
        <v>2049</v>
      </c>
      <c r="F1674" s="1367" t="s">
        <v>4175</v>
      </c>
      <c r="G1674" s="1367" t="s">
        <v>4232</v>
      </c>
      <c r="H1674" s="1367">
        <v>1.0</v>
      </c>
      <c r="I1674" s="1367">
        <v>1.0</v>
      </c>
      <c r="J1674" s="1367"/>
      <c r="K1674" s="1367"/>
      <c r="L1674" s="1367"/>
      <c r="M1674" s="1010"/>
    </row>
    <row r="1675">
      <c r="A1675" s="1375" t="s">
        <v>2160</v>
      </c>
      <c r="B1675" s="1374">
        <f t="shared" si="17"/>
        <v>392</v>
      </c>
      <c r="C1675" s="1367"/>
      <c r="D1675" s="1367">
        <v>2023.0</v>
      </c>
      <c r="E1675" s="1367" t="s">
        <v>2050</v>
      </c>
      <c r="F1675" s="1367" t="s">
        <v>4170</v>
      </c>
      <c r="G1675" s="1367" t="s">
        <v>4231</v>
      </c>
      <c r="H1675" s="1367">
        <v>9.0</v>
      </c>
      <c r="I1675" s="1367">
        <v>9.0</v>
      </c>
      <c r="J1675" s="1367"/>
      <c r="K1675" s="1367"/>
      <c r="L1675" s="1367"/>
      <c r="M1675" s="1010"/>
    </row>
    <row r="1676">
      <c r="A1676" s="1375" t="s">
        <v>355</v>
      </c>
      <c r="B1676" s="1374">
        <f t="shared" si="17"/>
        <v>931</v>
      </c>
      <c r="C1676" s="1367"/>
      <c r="D1676" s="1367">
        <v>2023.0</v>
      </c>
      <c r="E1676" s="1367" t="s">
        <v>2050</v>
      </c>
      <c r="F1676" s="1367" t="s">
        <v>4170</v>
      </c>
      <c r="G1676" s="1367" t="s">
        <v>1086</v>
      </c>
      <c r="H1676" s="1367">
        <v>18.0</v>
      </c>
      <c r="I1676" s="1367">
        <v>21.0</v>
      </c>
      <c r="J1676" s="1367"/>
      <c r="K1676" s="1367"/>
      <c r="L1676" s="1367"/>
      <c r="M1676" s="1010"/>
    </row>
    <row r="1677">
      <c r="A1677" s="1375" t="s">
        <v>376</v>
      </c>
      <c r="B1677" s="1374">
        <f t="shared" si="17"/>
        <v>43</v>
      </c>
      <c r="C1677" s="1367"/>
      <c r="D1677" s="1367">
        <v>2023.0</v>
      </c>
      <c r="E1677" s="1367" t="s">
        <v>130</v>
      </c>
      <c r="F1677" s="1367" t="s">
        <v>4176</v>
      </c>
      <c r="G1677" s="1367" t="s">
        <v>4230</v>
      </c>
      <c r="H1677" s="1367">
        <v>1462.0</v>
      </c>
      <c r="I1677" s="1367">
        <v>1508.0</v>
      </c>
      <c r="J1677" s="1367"/>
      <c r="K1677" s="1367"/>
      <c r="L1677" s="1367"/>
      <c r="M1677" s="1010"/>
    </row>
    <row r="1678">
      <c r="A1678" s="1375" t="s">
        <v>2161</v>
      </c>
      <c r="B1678" s="1374">
        <f t="shared" si="17"/>
        <v>59</v>
      </c>
      <c r="C1678" s="1367"/>
      <c r="D1678" s="1367">
        <v>2023.0</v>
      </c>
      <c r="E1678" s="1367" t="s">
        <v>130</v>
      </c>
      <c r="F1678" s="1367" t="s">
        <v>4176</v>
      </c>
      <c r="G1678" s="1367" t="s">
        <v>4231</v>
      </c>
      <c r="H1678" s="1367">
        <v>257.0</v>
      </c>
      <c r="I1678" s="1367">
        <v>259.0</v>
      </c>
      <c r="J1678" s="1367"/>
      <c r="K1678" s="1367"/>
      <c r="L1678" s="1367"/>
      <c r="M1678" s="1010"/>
    </row>
    <row r="1679">
      <c r="A1679" s="1375" t="s">
        <v>2162</v>
      </c>
      <c r="B1679" s="1374">
        <f t="shared" si="17"/>
        <v>100</v>
      </c>
      <c r="C1679" s="1367"/>
      <c r="D1679" s="1367">
        <v>2023.0</v>
      </c>
      <c r="E1679" s="1367" t="s">
        <v>130</v>
      </c>
      <c r="F1679" s="1367" t="s">
        <v>4176</v>
      </c>
      <c r="G1679" s="1367" t="s">
        <v>71</v>
      </c>
      <c r="H1679" s="1367">
        <v>53.0</v>
      </c>
      <c r="I1679" s="1367">
        <v>53.0</v>
      </c>
      <c r="J1679" s="1367"/>
      <c r="K1679" s="1367"/>
      <c r="L1679" s="1367"/>
      <c r="M1679" s="1010"/>
    </row>
    <row r="1680">
      <c r="A1680" s="1375" t="s">
        <v>2166</v>
      </c>
      <c r="B1680" s="1374">
        <f t="shared" si="17"/>
        <v>96</v>
      </c>
      <c r="C1680" s="1367"/>
      <c r="D1680" s="1367">
        <v>2023.0</v>
      </c>
      <c r="E1680" s="1367" t="s">
        <v>130</v>
      </c>
      <c r="F1680" s="1367" t="s">
        <v>4176</v>
      </c>
      <c r="G1680" s="1367" t="s">
        <v>1086</v>
      </c>
      <c r="H1680" s="1367">
        <v>1449.0</v>
      </c>
      <c r="I1680" s="1367">
        <v>1464.0</v>
      </c>
      <c r="J1680" s="1367"/>
      <c r="K1680" s="1367"/>
      <c r="L1680" s="1367"/>
      <c r="M1680" s="1010"/>
    </row>
    <row r="1681">
      <c r="A1681" s="1375" t="s">
        <v>2167</v>
      </c>
      <c r="B1681" s="1374">
        <f t="shared" si="17"/>
        <v>153</v>
      </c>
      <c r="C1681" s="1367"/>
      <c r="D1681" s="1367">
        <v>2023.0</v>
      </c>
      <c r="E1681" s="1367" t="s">
        <v>130</v>
      </c>
      <c r="F1681" s="1367" t="s">
        <v>4176</v>
      </c>
      <c r="G1681" s="1367" t="s">
        <v>4232</v>
      </c>
      <c r="H1681" s="1367">
        <v>4.0</v>
      </c>
      <c r="I1681" s="1367">
        <v>4.0</v>
      </c>
      <c r="J1681" s="1367"/>
      <c r="K1681" s="1367"/>
      <c r="L1681" s="1367"/>
      <c r="M1681" s="1010"/>
    </row>
    <row r="1682">
      <c r="A1682" s="1375" t="s">
        <v>2168</v>
      </c>
      <c r="B1682" s="1374">
        <f t="shared" si="17"/>
        <v>106</v>
      </c>
      <c r="C1682" s="1367"/>
      <c r="D1682" s="1367">
        <v>2023.0</v>
      </c>
      <c r="E1682" s="1367" t="s">
        <v>130</v>
      </c>
      <c r="F1682" s="1367" t="s">
        <v>4176</v>
      </c>
      <c r="G1682" s="1367" t="s">
        <v>1715</v>
      </c>
      <c r="H1682" s="1367">
        <v>201.0</v>
      </c>
      <c r="I1682" s="1367">
        <v>203.0</v>
      </c>
      <c r="J1682" s="1367"/>
      <c r="K1682" s="1367"/>
      <c r="L1682" s="1367"/>
      <c r="M1682" s="1010"/>
    </row>
    <row r="1683">
      <c r="A1683" s="1375" t="s">
        <v>2169</v>
      </c>
      <c r="B1683" s="1374">
        <f t="shared" si="17"/>
        <v>249</v>
      </c>
      <c r="C1683" s="1367"/>
      <c r="D1683" s="1367">
        <v>2023.0</v>
      </c>
      <c r="E1683" s="1367" t="s">
        <v>562</v>
      </c>
      <c r="F1683" s="1367" t="s">
        <v>4162</v>
      </c>
      <c r="G1683" s="1367" t="s">
        <v>4231</v>
      </c>
      <c r="H1683" s="1367">
        <v>2.0</v>
      </c>
      <c r="I1683" s="1367">
        <v>2.0</v>
      </c>
      <c r="J1683" s="1367"/>
      <c r="K1683" s="1367"/>
      <c r="L1683" s="1367"/>
      <c r="M1683" s="1010"/>
    </row>
    <row r="1684">
      <c r="A1684" s="1375" t="s">
        <v>175</v>
      </c>
      <c r="B1684" s="1374">
        <f t="shared" si="17"/>
        <v>49</v>
      </c>
      <c r="C1684" s="1367"/>
      <c r="D1684" s="1367">
        <v>2023.0</v>
      </c>
      <c r="E1684" s="1367" t="s">
        <v>562</v>
      </c>
      <c r="F1684" s="1367" t="s">
        <v>4162</v>
      </c>
      <c r="G1684" s="1367" t="s">
        <v>1086</v>
      </c>
      <c r="H1684" s="1367">
        <v>16.0</v>
      </c>
      <c r="I1684" s="1367">
        <v>16.0</v>
      </c>
      <c r="J1684" s="1367"/>
      <c r="K1684" s="1367"/>
      <c r="L1684" s="1367"/>
      <c r="M1684" s="1010"/>
    </row>
    <row r="1685">
      <c r="A1685" s="1375" t="s">
        <v>2170</v>
      </c>
      <c r="B1685" s="1374">
        <f t="shared" si="17"/>
        <v>35</v>
      </c>
      <c r="C1685" s="1367"/>
      <c r="D1685" s="1367">
        <v>2023.0</v>
      </c>
      <c r="E1685" s="1367" t="s">
        <v>2052</v>
      </c>
      <c r="F1685" s="1367" t="s">
        <v>4170</v>
      </c>
      <c r="G1685" s="1367" t="s">
        <v>4231</v>
      </c>
      <c r="H1685" s="1367">
        <v>5.0</v>
      </c>
      <c r="I1685" s="1367">
        <v>5.0</v>
      </c>
      <c r="J1685" s="1367"/>
      <c r="K1685" s="1367"/>
      <c r="L1685" s="1367"/>
      <c r="M1685" s="1010"/>
    </row>
    <row r="1686">
      <c r="A1686" s="1375" t="s">
        <v>1669</v>
      </c>
      <c r="B1686" s="1374">
        <f t="shared" si="17"/>
        <v>28</v>
      </c>
      <c r="C1686" s="1367"/>
      <c r="D1686" s="1367">
        <v>2023.0</v>
      </c>
      <c r="E1686" s="1367" t="s">
        <v>2052</v>
      </c>
      <c r="F1686" s="1367" t="s">
        <v>4170</v>
      </c>
      <c r="G1686" s="1367" t="s">
        <v>1086</v>
      </c>
      <c r="H1686" s="1367">
        <v>59.0</v>
      </c>
      <c r="I1686" s="1367">
        <v>60.0</v>
      </c>
      <c r="J1686" s="1367"/>
      <c r="K1686" s="1367"/>
      <c r="L1686" s="1367"/>
      <c r="M1686" s="1010"/>
    </row>
    <row r="1687">
      <c r="A1687" s="1375" t="s">
        <v>119</v>
      </c>
      <c r="B1687" s="1374">
        <f t="shared" si="17"/>
        <v>48</v>
      </c>
      <c r="C1687" s="1367"/>
      <c r="D1687" s="1367">
        <v>2023.0</v>
      </c>
      <c r="E1687" s="1367" t="s">
        <v>407</v>
      </c>
      <c r="F1687" s="1367" t="s">
        <v>4155</v>
      </c>
      <c r="G1687" s="1367" t="s">
        <v>4231</v>
      </c>
      <c r="H1687" s="1367">
        <v>1.0</v>
      </c>
      <c r="I1687" s="1367">
        <v>1.0</v>
      </c>
      <c r="J1687" s="1367"/>
      <c r="K1687" s="1367"/>
      <c r="L1687" s="1367"/>
      <c r="M1687" s="1010"/>
    </row>
    <row r="1688">
      <c r="A1688" s="1375" t="s">
        <v>2172</v>
      </c>
      <c r="B1688" s="1374">
        <f t="shared" si="17"/>
        <v>776</v>
      </c>
      <c r="C1688" s="1367"/>
      <c r="D1688" s="1367">
        <v>2023.0</v>
      </c>
      <c r="E1688" s="1367" t="s">
        <v>485</v>
      </c>
      <c r="F1688" s="1367" t="s">
        <v>4176</v>
      </c>
      <c r="G1688" s="1367" t="s">
        <v>4230</v>
      </c>
      <c r="H1688" s="1367">
        <v>282.0</v>
      </c>
      <c r="I1688" s="1367">
        <v>291.0</v>
      </c>
      <c r="J1688" s="1367"/>
      <c r="K1688" s="1367"/>
      <c r="L1688" s="1367"/>
      <c r="M1688" s="1010"/>
    </row>
    <row r="1689">
      <c r="A1689" s="1375" t="s">
        <v>2173</v>
      </c>
      <c r="B1689" s="1374">
        <f t="shared" si="17"/>
        <v>148</v>
      </c>
      <c r="C1689" s="1367"/>
      <c r="D1689" s="1367">
        <v>2023.0</v>
      </c>
      <c r="E1689" s="1367" t="s">
        <v>485</v>
      </c>
      <c r="F1689" s="1367" t="s">
        <v>4176</v>
      </c>
      <c r="G1689" s="1367" t="s">
        <v>4231</v>
      </c>
      <c r="H1689" s="1367">
        <v>271.0</v>
      </c>
      <c r="I1689" s="1367">
        <v>276.0</v>
      </c>
      <c r="J1689" s="1367"/>
      <c r="K1689" s="1367"/>
      <c r="L1689" s="1367"/>
      <c r="M1689" s="1010"/>
    </row>
    <row r="1690">
      <c r="A1690" s="1375" t="s">
        <v>649</v>
      </c>
      <c r="B1690" s="1374">
        <f t="shared" si="17"/>
        <v>28</v>
      </c>
      <c r="C1690" s="1367"/>
      <c r="D1690" s="1367">
        <v>2023.0</v>
      </c>
      <c r="E1690" s="1367" t="s">
        <v>485</v>
      </c>
      <c r="F1690" s="1367" t="s">
        <v>4176</v>
      </c>
      <c r="G1690" s="1367" t="s">
        <v>71</v>
      </c>
      <c r="H1690" s="1367">
        <v>23.0</v>
      </c>
      <c r="I1690" s="1367">
        <v>23.0</v>
      </c>
      <c r="J1690" s="1367"/>
      <c r="K1690" s="1367"/>
      <c r="L1690" s="1367"/>
      <c r="M1690" s="1010"/>
    </row>
    <row r="1691">
      <c r="A1691" s="1375" t="s">
        <v>1020</v>
      </c>
      <c r="B1691" s="1374">
        <f t="shared" si="17"/>
        <v>506</v>
      </c>
      <c r="C1691" s="1367"/>
      <c r="D1691" s="1367">
        <v>2023.0</v>
      </c>
      <c r="E1691" s="1367" t="s">
        <v>485</v>
      </c>
      <c r="F1691" s="1367" t="s">
        <v>4176</v>
      </c>
      <c r="G1691" s="1367" t="s">
        <v>1086</v>
      </c>
      <c r="H1691" s="1367">
        <v>289.0</v>
      </c>
      <c r="I1691" s="1367">
        <v>303.0</v>
      </c>
      <c r="J1691" s="1367"/>
      <c r="K1691" s="1367"/>
      <c r="L1691" s="1367"/>
      <c r="M1691" s="1010"/>
    </row>
    <row r="1692">
      <c r="A1692" s="1375" t="s">
        <v>2174</v>
      </c>
      <c r="B1692" s="1374">
        <f t="shared" si="17"/>
        <v>34</v>
      </c>
      <c r="C1692" s="1367"/>
      <c r="D1692" s="1367">
        <v>2023.0</v>
      </c>
      <c r="E1692" s="1367" t="s">
        <v>485</v>
      </c>
      <c r="F1692" s="1367" t="s">
        <v>4176</v>
      </c>
      <c r="G1692" s="1367" t="s">
        <v>4232</v>
      </c>
      <c r="H1692" s="1367">
        <v>1.0</v>
      </c>
      <c r="I1692" s="1367">
        <v>1.0</v>
      </c>
      <c r="J1692" s="1367"/>
      <c r="K1692" s="1367"/>
      <c r="L1692" s="1367"/>
      <c r="M1692" s="1010"/>
    </row>
    <row r="1693">
      <c r="A1693" s="1375" t="s">
        <v>2176</v>
      </c>
      <c r="B1693" s="1374">
        <f t="shared" si="17"/>
        <v>88</v>
      </c>
      <c r="C1693" s="1367"/>
      <c r="D1693" s="1367">
        <v>2023.0</v>
      </c>
      <c r="E1693" s="1367" t="s">
        <v>485</v>
      </c>
      <c r="F1693" s="1367" t="s">
        <v>4176</v>
      </c>
      <c r="G1693" s="1367" t="s">
        <v>1715</v>
      </c>
      <c r="H1693" s="1367">
        <v>66.0</v>
      </c>
      <c r="I1693" s="1367">
        <v>69.0</v>
      </c>
      <c r="J1693" s="1367"/>
      <c r="K1693" s="1367"/>
      <c r="L1693" s="1367"/>
      <c r="M1693" s="1010"/>
    </row>
    <row r="1694">
      <c r="A1694" s="1375" t="s">
        <v>627</v>
      </c>
      <c r="B1694" s="1374">
        <f t="shared" si="17"/>
        <v>316</v>
      </c>
      <c r="C1694" s="1367"/>
      <c r="D1694" s="1367">
        <v>2023.0</v>
      </c>
      <c r="E1694" s="1367" t="s">
        <v>2531</v>
      </c>
      <c r="F1694" s="1367" t="s">
        <v>4171</v>
      </c>
      <c r="G1694" s="1367" t="s">
        <v>4230</v>
      </c>
      <c r="H1694" s="1367">
        <v>9.0</v>
      </c>
      <c r="I1694" s="1367">
        <v>9.0</v>
      </c>
      <c r="J1694" s="1367"/>
      <c r="K1694" s="1367"/>
      <c r="L1694" s="1367"/>
      <c r="M1694" s="1010"/>
    </row>
    <row r="1695">
      <c r="A1695" s="1375" t="s">
        <v>1021</v>
      </c>
      <c r="B1695" s="1374">
        <f t="shared" si="17"/>
        <v>91</v>
      </c>
      <c r="C1695" s="1367"/>
      <c r="D1695" s="1367">
        <v>2023.0</v>
      </c>
      <c r="E1695" s="1367" t="s">
        <v>2531</v>
      </c>
      <c r="F1695" s="1367" t="s">
        <v>4171</v>
      </c>
      <c r="G1695" s="1367" t="s">
        <v>4231</v>
      </c>
      <c r="H1695" s="1367">
        <v>15.0</v>
      </c>
      <c r="I1695" s="1367">
        <v>17.0</v>
      </c>
      <c r="J1695" s="1367"/>
      <c r="K1695" s="1367"/>
      <c r="L1695" s="1367"/>
      <c r="M1695" s="1010"/>
    </row>
    <row r="1696">
      <c r="A1696" s="1375" t="s">
        <v>2177</v>
      </c>
      <c r="B1696" s="1374">
        <f t="shared" si="17"/>
        <v>8</v>
      </c>
      <c r="C1696" s="1367"/>
      <c r="D1696" s="1367">
        <v>2023.0</v>
      </c>
      <c r="E1696" s="1367" t="s">
        <v>2531</v>
      </c>
      <c r="F1696" s="1367" t="s">
        <v>4171</v>
      </c>
      <c r="G1696" s="1367" t="s">
        <v>1086</v>
      </c>
      <c r="H1696" s="1367">
        <v>13.0</v>
      </c>
      <c r="I1696" s="1367">
        <v>13.0</v>
      </c>
      <c r="J1696" s="1367"/>
      <c r="K1696" s="1367"/>
      <c r="L1696" s="1367"/>
      <c r="M1696" s="1010"/>
    </row>
    <row r="1697">
      <c r="A1697" s="1375" t="s">
        <v>2178</v>
      </c>
      <c r="B1697" s="1374">
        <f t="shared" si="17"/>
        <v>87</v>
      </c>
      <c r="C1697" s="1367"/>
      <c r="D1697" s="1367">
        <v>2023.0</v>
      </c>
      <c r="E1697" s="1367" t="s">
        <v>2531</v>
      </c>
      <c r="F1697" s="1367" t="s">
        <v>4171</v>
      </c>
      <c r="G1697" s="1367" t="s">
        <v>1715</v>
      </c>
      <c r="H1697" s="1367">
        <v>2.0</v>
      </c>
      <c r="I1697" s="1367">
        <v>2.0</v>
      </c>
      <c r="J1697" s="1367"/>
      <c r="K1697" s="1367"/>
      <c r="L1697" s="1367"/>
      <c r="M1697" s="1010"/>
    </row>
    <row r="1698">
      <c r="A1698" s="1375" t="s">
        <v>1703</v>
      </c>
      <c r="B1698" s="1374">
        <f t="shared" si="17"/>
        <v>87</v>
      </c>
      <c r="C1698" s="1367"/>
      <c r="D1698" s="1367">
        <v>2023.0</v>
      </c>
      <c r="E1698" s="1367" t="s">
        <v>2056</v>
      </c>
      <c r="F1698" s="1367" t="s">
        <v>4170</v>
      </c>
      <c r="G1698" s="1367" t="s">
        <v>4231</v>
      </c>
      <c r="H1698" s="1367">
        <v>2.0</v>
      </c>
      <c r="I1698" s="1367">
        <v>2.0</v>
      </c>
      <c r="J1698" s="1367"/>
      <c r="K1698" s="1367"/>
      <c r="L1698" s="1367"/>
      <c r="M1698" s="1010"/>
    </row>
    <row r="1699">
      <c r="A1699" s="1375" t="s">
        <v>2181</v>
      </c>
      <c r="B1699" s="1374">
        <f t="shared" si="17"/>
        <v>80</v>
      </c>
      <c r="C1699" s="1367"/>
      <c r="D1699" s="1367">
        <v>2023.0</v>
      </c>
      <c r="E1699" s="1367" t="s">
        <v>2056</v>
      </c>
      <c r="F1699" s="1367" t="s">
        <v>4170</v>
      </c>
      <c r="G1699" s="1367" t="s">
        <v>1086</v>
      </c>
      <c r="H1699" s="1367">
        <v>1.0</v>
      </c>
      <c r="I1699" s="1367">
        <v>1.0</v>
      </c>
      <c r="J1699" s="1367"/>
      <c r="K1699" s="1367"/>
      <c r="L1699" s="1367"/>
      <c r="M1699" s="1010"/>
    </row>
    <row r="1700">
      <c r="A1700" s="1375" t="s">
        <v>2182</v>
      </c>
      <c r="B1700" s="1374">
        <f t="shared" si="17"/>
        <v>36</v>
      </c>
      <c r="C1700" s="1367"/>
      <c r="D1700" s="1367">
        <v>2023.0</v>
      </c>
      <c r="E1700" s="1367" t="s">
        <v>2056</v>
      </c>
      <c r="F1700" s="1367" t="s">
        <v>4170</v>
      </c>
      <c r="G1700" s="1367" t="s">
        <v>1715</v>
      </c>
      <c r="H1700" s="1367">
        <v>1.0</v>
      </c>
      <c r="I1700" s="1367">
        <v>1.0</v>
      </c>
      <c r="J1700" s="1367"/>
      <c r="K1700" s="1367"/>
      <c r="L1700" s="1367"/>
      <c r="M1700" s="1010"/>
    </row>
    <row r="1701">
      <c r="A1701" s="1375" t="s">
        <v>2183</v>
      </c>
      <c r="B1701" s="1374">
        <f t="shared" si="17"/>
        <v>79</v>
      </c>
      <c r="C1701" s="1367"/>
      <c r="D1701" s="1367">
        <v>2023.0</v>
      </c>
      <c r="E1701" s="1367" t="s">
        <v>2057</v>
      </c>
      <c r="F1701" s="1367" t="s">
        <v>4171</v>
      </c>
      <c r="G1701" s="1367" t="s">
        <v>71</v>
      </c>
      <c r="H1701" s="1367">
        <v>1.0</v>
      </c>
      <c r="I1701" s="1367">
        <v>1.0</v>
      </c>
      <c r="J1701" s="1367"/>
      <c r="K1701" s="1367"/>
      <c r="L1701" s="1367"/>
      <c r="M1701" s="1010"/>
    </row>
    <row r="1702">
      <c r="A1702" s="1376" t="s">
        <v>2395</v>
      </c>
      <c r="B1702" s="1377">
        <f>SUM(B1498:B1701)</f>
        <v>49231</v>
      </c>
      <c r="C1702" s="1367"/>
      <c r="D1702" s="1367">
        <v>2023.0</v>
      </c>
      <c r="E1702" s="1367" t="s">
        <v>2057</v>
      </c>
      <c r="F1702" s="1367" t="s">
        <v>4171</v>
      </c>
      <c r="G1702" s="1367" t="s">
        <v>1086</v>
      </c>
      <c r="H1702" s="1367">
        <v>41.0</v>
      </c>
      <c r="I1702" s="1367">
        <v>41.0</v>
      </c>
      <c r="J1702" s="1367"/>
      <c r="K1702" s="1367"/>
      <c r="L1702" s="1367"/>
      <c r="M1702" s="1010"/>
    </row>
    <row r="1703">
      <c r="A1703" s="1367"/>
      <c r="B1703" s="1367"/>
      <c r="C1703" s="1367"/>
      <c r="D1703" s="1367">
        <v>2023.0</v>
      </c>
      <c r="E1703" s="1367" t="s">
        <v>2057</v>
      </c>
      <c r="F1703" s="1367" t="s">
        <v>4171</v>
      </c>
      <c r="G1703" s="1367" t="s">
        <v>1715</v>
      </c>
      <c r="H1703" s="1367">
        <v>1.0</v>
      </c>
      <c r="I1703" s="1367">
        <v>1.0</v>
      </c>
      <c r="J1703" s="1367"/>
      <c r="K1703" s="1367"/>
      <c r="L1703" s="1367"/>
      <c r="M1703" s="1010"/>
    </row>
    <row r="1704">
      <c r="A1704" s="1367"/>
      <c r="B1704" s="1367"/>
      <c r="C1704" s="1367"/>
      <c r="D1704" s="1367">
        <v>2023.0</v>
      </c>
      <c r="E1704" s="1367" t="s">
        <v>2059</v>
      </c>
      <c r="F1704" s="1367" t="s">
        <v>4170</v>
      </c>
      <c r="G1704" s="1367" t="s">
        <v>4230</v>
      </c>
      <c r="H1704" s="1367">
        <v>6.0</v>
      </c>
      <c r="I1704" s="1367">
        <v>6.0</v>
      </c>
      <c r="J1704" s="1367"/>
      <c r="K1704" s="1367"/>
      <c r="L1704" s="1367"/>
      <c r="M1704" s="1010"/>
    </row>
    <row r="1705">
      <c r="A1705" s="1367"/>
      <c r="B1705" s="1367"/>
      <c r="C1705" s="1367"/>
      <c r="D1705" s="1367">
        <v>2023.0</v>
      </c>
      <c r="E1705" s="1367" t="s">
        <v>2059</v>
      </c>
      <c r="F1705" s="1367" t="s">
        <v>4170</v>
      </c>
      <c r="G1705" s="1367" t="s">
        <v>4231</v>
      </c>
      <c r="H1705" s="1367">
        <v>9.0</v>
      </c>
      <c r="I1705" s="1367">
        <v>9.0</v>
      </c>
      <c r="J1705" s="1367"/>
      <c r="K1705" s="1367"/>
      <c r="L1705" s="1367"/>
      <c r="M1705" s="1010"/>
    </row>
    <row r="1706">
      <c r="A1706" s="1367"/>
      <c r="B1706" s="1367"/>
      <c r="C1706" s="1367"/>
      <c r="D1706" s="1367">
        <v>2023.0</v>
      </c>
      <c r="E1706" s="1367" t="s">
        <v>2059</v>
      </c>
      <c r="F1706" s="1367" t="s">
        <v>4170</v>
      </c>
      <c r="G1706" s="1367" t="s">
        <v>1086</v>
      </c>
      <c r="H1706" s="1367">
        <v>1.0</v>
      </c>
      <c r="I1706" s="1367">
        <v>1.0</v>
      </c>
      <c r="J1706" s="1367"/>
      <c r="K1706" s="1367"/>
      <c r="L1706" s="1367"/>
      <c r="M1706" s="1010"/>
    </row>
    <row r="1707">
      <c r="A1707" s="1367"/>
      <c r="B1707" s="1367"/>
      <c r="C1707" s="1367"/>
      <c r="D1707" s="1367">
        <v>2023.0</v>
      </c>
      <c r="E1707" s="1367" t="s">
        <v>2059</v>
      </c>
      <c r="F1707" s="1367" t="s">
        <v>4170</v>
      </c>
      <c r="G1707" s="1367" t="s">
        <v>1715</v>
      </c>
      <c r="H1707" s="1367">
        <v>1.0</v>
      </c>
      <c r="I1707" s="1367">
        <v>1.0</v>
      </c>
      <c r="J1707" s="1367"/>
      <c r="K1707" s="1367"/>
      <c r="L1707" s="1367"/>
      <c r="M1707" s="1010"/>
    </row>
    <row r="1708">
      <c r="A1708" s="1367"/>
      <c r="B1708" s="1367"/>
      <c r="C1708" s="1367"/>
      <c r="D1708" s="1367">
        <v>2023.0</v>
      </c>
      <c r="E1708" s="1367" t="s">
        <v>433</v>
      </c>
      <c r="F1708" s="1367" t="s">
        <v>4168</v>
      </c>
      <c r="G1708" s="1367" t="s">
        <v>4231</v>
      </c>
      <c r="H1708" s="1367">
        <v>4.0</v>
      </c>
      <c r="I1708" s="1367">
        <v>4.0</v>
      </c>
      <c r="J1708" s="1367"/>
      <c r="K1708" s="1367"/>
      <c r="L1708" s="1367"/>
      <c r="M1708" s="1010"/>
    </row>
    <row r="1709">
      <c r="A1709" s="1367"/>
      <c r="B1709" s="1367"/>
      <c r="C1709" s="1367"/>
      <c r="D1709" s="1367">
        <v>2023.0</v>
      </c>
      <c r="E1709" s="1367" t="s">
        <v>433</v>
      </c>
      <c r="F1709" s="1367" t="s">
        <v>4168</v>
      </c>
      <c r="G1709" s="1367" t="s">
        <v>1086</v>
      </c>
      <c r="H1709" s="1367">
        <v>63.0</v>
      </c>
      <c r="I1709" s="1367">
        <v>63.0</v>
      </c>
      <c r="J1709" s="1367"/>
      <c r="K1709" s="1367"/>
      <c r="L1709" s="1367"/>
      <c r="M1709" s="1010"/>
    </row>
    <row r="1710">
      <c r="A1710" s="1367"/>
      <c r="B1710" s="1367"/>
      <c r="C1710" s="1367"/>
      <c r="D1710" s="1367">
        <v>2023.0</v>
      </c>
      <c r="E1710" s="1367" t="s">
        <v>433</v>
      </c>
      <c r="F1710" s="1367" t="s">
        <v>4168</v>
      </c>
      <c r="G1710" s="1367" t="s">
        <v>1715</v>
      </c>
      <c r="H1710" s="1367">
        <v>1.0</v>
      </c>
      <c r="I1710" s="1367">
        <v>1.0</v>
      </c>
      <c r="J1710" s="1367"/>
      <c r="K1710" s="1367"/>
      <c r="L1710" s="1367"/>
      <c r="M1710" s="1010"/>
    </row>
    <row r="1711">
      <c r="A1711" s="1367"/>
      <c r="B1711" s="1367"/>
      <c r="C1711" s="1367"/>
      <c r="D1711" s="1367">
        <v>2023.0</v>
      </c>
      <c r="E1711" s="1367" t="s">
        <v>2061</v>
      </c>
      <c r="F1711" s="1367" t="s">
        <v>4169</v>
      </c>
      <c r="G1711" s="1367" t="s">
        <v>4230</v>
      </c>
      <c r="H1711" s="1367">
        <v>1.0</v>
      </c>
      <c r="I1711" s="1367">
        <v>1.0</v>
      </c>
      <c r="J1711" s="1367"/>
      <c r="K1711" s="1367"/>
      <c r="L1711" s="1367"/>
      <c r="M1711" s="1010"/>
    </row>
    <row r="1712">
      <c r="A1712" s="1367"/>
      <c r="B1712" s="1367"/>
      <c r="C1712" s="1367"/>
      <c r="D1712" s="1367">
        <v>2023.0</v>
      </c>
      <c r="E1712" s="1367" t="s">
        <v>2061</v>
      </c>
      <c r="F1712" s="1367" t="s">
        <v>4169</v>
      </c>
      <c r="G1712" s="1367" t="s">
        <v>4231</v>
      </c>
      <c r="H1712" s="1367">
        <v>43.0</v>
      </c>
      <c r="I1712" s="1367">
        <v>43.0</v>
      </c>
      <c r="J1712" s="1367"/>
      <c r="K1712" s="1367"/>
      <c r="L1712" s="1367"/>
      <c r="M1712" s="1010"/>
    </row>
    <row r="1713">
      <c r="A1713" s="1367"/>
      <c r="B1713" s="1367"/>
      <c r="C1713" s="1367"/>
      <c r="D1713" s="1367">
        <v>2023.0</v>
      </c>
      <c r="E1713" s="1367" t="s">
        <v>2061</v>
      </c>
      <c r="F1713" s="1367" t="s">
        <v>4169</v>
      </c>
      <c r="G1713" s="1367" t="s">
        <v>1086</v>
      </c>
      <c r="H1713" s="1367">
        <v>19.0</v>
      </c>
      <c r="I1713" s="1367">
        <v>20.0</v>
      </c>
      <c r="J1713" s="1367"/>
      <c r="K1713" s="1367"/>
      <c r="L1713" s="1367"/>
      <c r="M1713" s="1010"/>
    </row>
    <row r="1714">
      <c r="A1714" s="1367"/>
      <c r="B1714" s="1367"/>
      <c r="C1714" s="1367"/>
      <c r="D1714" s="1367">
        <v>2023.0</v>
      </c>
      <c r="E1714" s="1367" t="s">
        <v>2061</v>
      </c>
      <c r="F1714" s="1367" t="s">
        <v>4169</v>
      </c>
      <c r="G1714" s="1367" t="s">
        <v>1715</v>
      </c>
      <c r="H1714" s="1367">
        <v>5.0</v>
      </c>
      <c r="I1714" s="1367">
        <v>5.0</v>
      </c>
      <c r="J1714" s="1367"/>
      <c r="K1714" s="1367"/>
      <c r="L1714" s="1367"/>
      <c r="M1714" s="1010"/>
    </row>
    <row r="1715">
      <c r="A1715" s="1367"/>
      <c r="B1715" s="1367"/>
      <c r="C1715" s="1367"/>
      <c r="D1715" s="1367">
        <v>2023.0</v>
      </c>
      <c r="E1715" s="1367" t="s">
        <v>2062</v>
      </c>
      <c r="F1715" s="1367" t="s">
        <v>4162</v>
      </c>
      <c r="G1715" s="1367" t="s">
        <v>4230</v>
      </c>
      <c r="H1715" s="1367">
        <v>41.0</v>
      </c>
      <c r="I1715" s="1367">
        <v>41.0</v>
      </c>
      <c r="J1715" s="1367"/>
      <c r="K1715" s="1367"/>
      <c r="L1715" s="1367"/>
      <c r="M1715" s="1010"/>
    </row>
    <row r="1716">
      <c r="A1716" s="1367"/>
      <c r="B1716" s="1367"/>
      <c r="C1716" s="1367"/>
      <c r="D1716" s="1367">
        <v>2023.0</v>
      </c>
      <c r="E1716" s="1367" t="s">
        <v>2062</v>
      </c>
      <c r="F1716" s="1367" t="s">
        <v>4162</v>
      </c>
      <c r="G1716" s="1367" t="s">
        <v>4231</v>
      </c>
      <c r="H1716" s="1367">
        <v>120.0</v>
      </c>
      <c r="I1716" s="1367">
        <v>121.0</v>
      </c>
      <c r="J1716" s="1367"/>
      <c r="K1716" s="1367"/>
      <c r="L1716" s="1367"/>
      <c r="M1716" s="1010"/>
    </row>
    <row r="1717">
      <c r="A1717" s="1367"/>
      <c r="B1717" s="1367"/>
      <c r="C1717" s="1367"/>
      <c r="D1717" s="1367">
        <v>2023.0</v>
      </c>
      <c r="E1717" s="1367" t="s">
        <v>2062</v>
      </c>
      <c r="F1717" s="1367" t="s">
        <v>4162</v>
      </c>
      <c r="G1717" s="1367" t="s">
        <v>1086</v>
      </c>
      <c r="H1717" s="1367">
        <v>287.0</v>
      </c>
      <c r="I1717" s="1367">
        <v>290.0</v>
      </c>
      <c r="J1717" s="1367"/>
      <c r="K1717" s="1367"/>
      <c r="L1717" s="1367"/>
      <c r="M1717" s="1010"/>
    </row>
    <row r="1718">
      <c r="A1718" s="1367"/>
      <c r="B1718" s="1367"/>
      <c r="C1718" s="1367"/>
      <c r="D1718" s="1367">
        <v>2023.0</v>
      </c>
      <c r="E1718" s="1367" t="s">
        <v>2062</v>
      </c>
      <c r="F1718" s="1367" t="s">
        <v>4162</v>
      </c>
      <c r="G1718" s="1367" t="s">
        <v>1715</v>
      </c>
      <c r="H1718" s="1367">
        <v>32.0</v>
      </c>
      <c r="I1718" s="1367">
        <v>33.0</v>
      </c>
      <c r="J1718" s="1367"/>
      <c r="K1718" s="1367"/>
      <c r="L1718" s="1367"/>
      <c r="M1718" s="1010"/>
    </row>
    <row r="1719">
      <c r="A1719" s="1367"/>
      <c r="B1719" s="1367"/>
      <c r="C1719" s="1367"/>
      <c r="D1719" s="1367">
        <v>2023.0</v>
      </c>
      <c r="E1719" s="1367" t="s">
        <v>717</v>
      </c>
      <c r="F1719" s="1367" t="s">
        <v>4171</v>
      </c>
      <c r="G1719" s="1367" t="s">
        <v>4231</v>
      </c>
      <c r="H1719" s="1367">
        <v>1.0</v>
      </c>
      <c r="I1719" s="1367">
        <v>1.0</v>
      </c>
      <c r="J1719" s="1367"/>
      <c r="K1719" s="1367"/>
      <c r="L1719" s="1367"/>
      <c r="M1719" s="1010"/>
    </row>
    <row r="1720">
      <c r="A1720" s="1367"/>
      <c r="B1720" s="1367"/>
      <c r="C1720" s="1367"/>
      <c r="D1720" s="1367">
        <v>2023.0</v>
      </c>
      <c r="E1720" s="1367" t="s">
        <v>717</v>
      </c>
      <c r="F1720" s="1367" t="s">
        <v>4171</v>
      </c>
      <c r="G1720" s="1367" t="s">
        <v>1086</v>
      </c>
      <c r="H1720" s="1367">
        <v>8.0</v>
      </c>
      <c r="I1720" s="1367">
        <v>8.0</v>
      </c>
      <c r="J1720" s="1367"/>
      <c r="K1720" s="1367"/>
      <c r="L1720" s="1367"/>
      <c r="M1720" s="1010"/>
    </row>
    <row r="1721">
      <c r="A1721" s="1367"/>
      <c r="B1721" s="1367"/>
      <c r="C1721" s="1367"/>
      <c r="D1721" s="1367">
        <v>2023.0</v>
      </c>
      <c r="E1721" s="1367" t="s">
        <v>969</v>
      </c>
      <c r="F1721" s="1367" t="s">
        <v>4176</v>
      </c>
      <c r="G1721" s="1367" t="s">
        <v>4230</v>
      </c>
      <c r="H1721" s="1367">
        <v>37.0</v>
      </c>
      <c r="I1721" s="1367">
        <v>37.0</v>
      </c>
      <c r="J1721" s="1367"/>
      <c r="K1721" s="1367"/>
      <c r="L1721" s="1367"/>
      <c r="M1721" s="1010"/>
    </row>
    <row r="1722">
      <c r="A1722" s="1367"/>
      <c r="B1722" s="1367"/>
      <c r="C1722" s="1367"/>
      <c r="D1722" s="1367">
        <v>2023.0</v>
      </c>
      <c r="E1722" s="1367" t="s">
        <v>969</v>
      </c>
      <c r="F1722" s="1367" t="s">
        <v>4176</v>
      </c>
      <c r="G1722" s="1367" t="s">
        <v>4231</v>
      </c>
      <c r="H1722" s="1367">
        <v>120.0</v>
      </c>
      <c r="I1722" s="1367">
        <v>120.0</v>
      </c>
      <c r="J1722" s="1367"/>
      <c r="K1722" s="1367"/>
      <c r="L1722" s="1367"/>
      <c r="M1722" s="1010"/>
    </row>
    <row r="1723">
      <c r="A1723" s="1367"/>
      <c r="B1723" s="1367"/>
      <c r="C1723" s="1367"/>
      <c r="D1723" s="1367">
        <v>2023.0</v>
      </c>
      <c r="E1723" s="1367" t="s">
        <v>969</v>
      </c>
      <c r="F1723" s="1367" t="s">
        <v>4176</v>
      </c>
      <c r="G1723" s="1367" t="s">
        <v>1086</v>
      </c>
      <c r="H1723" s="1367">
        <v>103.0</v>
      </c>
      <c r="I1723" s="1367">
        <v>103.0</v>
      </c>
      <c r="J1723" s="1367"/>
      <c r="K1723" s="1367"/>
      <c r="L1723" s="1367"/>
      <c r="M1723" s="1010"/>
    </row>
    <row r="1724">
      <c r="A1724" s="1367"/>
      <c r="B1724" s="1367"/>
      <c r="C1724" s="1367"/>
      <c r="D1724" s="1367">
        <v>2023.0</v>
      </c>
      <c r="E1724" s="1367" t="s">
        <v>969</v>
      </c>
      <c r="F1724" s="1367" t="s">
        <v>4176</v>
      </c>
      <c r="G1724" s="1367" t="s">
        <v>1715</v>
      </c>
      <c r="H1724" s="1367">
        <v>35.0</v>
      </c>
      <c r="I1724" s="1367">
        <v>35.0</v>
      </c>
      <c r="J1724" s="1367"/>
      <c r="K1724" s="1367"/>
      <c r="L1724" s="1367"/>
      <c r="M1724" s="1010"/>
    </row>
    <row r="1725">
      <c r="A1725" s="1367"/>
      <c r="B1725" s="1367"/>
      <c r="C1725" s="1367"/>
      <c r="D1725" s="1367">
        <v>2023.0</v>
      </c>
      <c r="E1725" s="1367" t="s">
        <v>415</v>
      </c>
      <c r="F1725" s="1367" t="s">
        <v>4175</v>
      </c>
      <c r="G1725" s="1367" t="s">
        <v>4230</v>
      </c>
      <c r="H1725" s="1367">
        <v>100.0</v>
      </c>
      <c r="I1725" s="1367">
        <v>108.0</v>
      </c>
      <c r="J1725" s="1367"/>
      <c r="K1725" s="1367"/>
      <c r="L1725" s="1367"/>
      <c r="M1725" s="1010"/>
    </row>
    <row r="1726">
      <c r="A1726" s="1367"/>
      <c r="B1726" s="1367"/>
      <c r="C1726" s="1367"/>
      <c r="D1726" s="1367">
        <v>2023.0</v>
      </c>
      <c r="E1726" s="1367" t="s">
        <v>415</v>
      </c>
      <c r="F1726" s="1367" t="s">
        <v>4175</v>
      </c>
      <c r="G1726" s="1367" t="s">
        <v>4231</v>
      </c>
      <c r="H1726" s="1367">
        <v>156.0</v>
      </c>
      <c r="I1726" s="1367">
        <v>168.0</v>
      </c>
      <c r="J1726" s="1367"/>
      <c r="K1726" s="1367"/>
      <c r="L1726" s="1367"/>
      <c r="M1726" s="1010"/>
    </row>
    <row r="1727">
      <c r="A1727" s="1367"/>
      <c r="B1727" s="1367"/>
      <c r="C1727" s="1367"/>
      <c r="D1727" s="1367">
        <v>2023.0</v>
      </c>
      <c r="E1727" s="1367" t="s">
        <v>415</v>
      </c>
      <c r="F1727" s="1367" t="s">
        <v>4175</v>
      </c>
      <c r="G1727" s="1367" t="s">
        <v>71</v>
      </c>
      <c r="H1727" s="1367">
        <v>10.0</v>
      </c>
      <c r="I1727" s="1367">
        <v>10.0</v>
      </c>
      <c r="J1727" s="1367"/>
      <c r="K1727" s="1367"/>
      <c r="L1727" s="1367"/>
      <c r="M1727" s="1010"/>
    </row>
    <row r="1728">
      <c r="A1728" s="1367"/>
      <c r="B1728" s="1367"/>
      <c r="C1728" s="1367"/>
      <c r="D1728" s="1367">
        <v>2023.0</v>
      </c>
      <c r="E1728" s="1367" t="s">
        <v>415</v>
      </c>
      <c r="F1728" s="1367" t="s">
        <v>4175</v>
      </c>
      <c r="G1728" s="1367" t="s">
        <v>1086</v>
      </c>
      <c r="H1728" s="1367">
        <v>2161.0</v>
      </c>
      <c r="I1728" s="1367">
        <v>2234.0</v>
      </c>
      <c r="J1728" s="1367"/>
      <c r="K1728" s="1367"/>
      <c r="L1728" s="1367"/>
      <c r="M1728" s="1010"/>
    </row>
    <row r="1729">
      <c r="A1729" s="1367"/>
      <c r="B1729" s="1367"/>
      <c r="C1729" s="1367"/>
      <c r="D1729" s="1367">
        <v>2023.0</v>
      </c>
      <c r="E1729" s="1367" t="s">
        <v>415</v>
      </c>
      <c r="F1729" s="1367" t="s">
        <v>4175</v>
      </c>
      <c r="G1729" s="1367" t="s">
        <v>4232</v>
      </c>
      <c r="H1729" s="1367">
        <v>11.0</v>
      </c>
      <c r="I1729" s="1367">
        <v>11.0</v>
      </c>
      <c r="J1729" s="1367"/>
      <c r="K1729" s="1367"/>
      <c r="L1729" s="1367"/>
      <c r="M1729" s="1010"/>
    </row>
    <row r="1730">
      <c r="A1730" s="1367"/>
      <c r="B1730" s="1367"/>
      <c r="C1730" s="1367"/>
      <c r="D1730" s="1367">
        <v>2023.0</v>
      </c>
      <c r="E1730" s="1367" t="s">
        <v>415</v>
      </c>
      <c r="F1730" s="1367" t="s">
        <v>4175</v>
      </c>
      <c r="G1730" s="1367" t="s">
        <v>1715</v>
      </c>
      <c r="H1730" s="1367">
        <v>52.0</v>
      </c>
      <c r="I1730" s="1367">
        <v>52.0</v>
      </c>
      <c r="J1730" s="1367"/>
      <c r="K1730" s="1367"/>
      <c r="L1730" s="1367"/>
      <c r="M1730" s="1010"/>
    </row>
    <row r="1731">
      <c r="A1731" s="1367"/>
      <c r="B1731" s="1367"/>
      <c r="C1731" s="1367"/>
      <c r="D1731" s="1367">
        <v>2023.0</v>
      </c>
      <c r="E1731" s="1367" t="s">
        <v>2064</v>
      </c>
      <c r="F1731" s="1367" t="s">
        <v>4176</v>
      </c>
      <c r="G1731" s="1367" t="s">
        <v>4231</v>
      </c>
      <c r="H1731" s="1367">
        <v>46.0</v>
      </c>
      <c r="I1731" s="1367">
        <v>49.0</v>
      </c>
      <c r="J1731" s="1367"/>
      <c r="K1731" s="1367"/>
      <c r="L1731" s="1367"/>
      <c r="M1731" s="1010"/>
    </row>
    <row r="1732">
      <c r="A1732" s="1367"/>
      <c r="B1732" s="1367"/>
      <c r="C1732" s="1367"/>
      <c r="D1732" s="1367">
        <v>2023.0</v>
      </c>
      <c r="E1732" s="1367" t="s">
        <v>2064</v>
      </c>
      <c r="F1732" s="1367" t="s">
        <v>4176</v>
      </c>
      <c r="G1732" s="1367" t="s">
        <v>71</v>
      </c>
      <c r="H1732" s="1367">
        <v>1.0</v>
      </c>
      <c r="I1732" s="1367">
        <v>1.0</v>
      </c>
      <c r="J1732" s="1367"/>
      <c r="K1732" s="1367"/>
      <c r="L1732" s="1367"/>
      <c r="M1732" s="1010"/>
    </row>
    <row r="1733">
      <c r="A1733" s="1367"/>
      <c r="B1733" s="1367"/>
      <c r="C1733" s="1367"/>
      <c r="D1733" s="1367">
        <v>2023.0</v>
      </c>
      <c r="E1733" s="1367" t="s">
        <v>2064</v>
      </c>
      <c r="F1733" s="1367" t="s">
        <v>4176</v>
      </c>
      <c r="G1733" s="1367" t="s">
        <v>1086</v>
      </c>
      <c r="H1733" s="1367">
        <v>25.0</v>
      </c>
      <c r="I1733" s="1367">
        <v>25.0</v>
      </c>
      <c r="J1733" s="1367"/>
      <c r="K1733" s="1367"/>
      <c r="L1733" s="1367"/>
      <c r="M1733" s="1010"/>
    </row>
    <row r="1734">
      <c r="A1734" s="1367"/>
      <c r="B1734" s="1367"/>
      <c r="C1734" s="1367"/>
      <c r="D1734" s="1367">
        <v>2023.0</v>
      </c>
      <c r="E1734" s="1367" t="s">
        <v>2064</v>
      </c>
      <c r="F1734" s="1367" t="s">
        <v>4176</v>
      </c>
      <c r="G1734" s="1367" t="s">
        <v>1715</v>
      </c>
      <c r="H1734" s="1367">
        <v>6.0</v>
      </c>
      <c r="I1734" s="1367">
        <v>6.0</v>
      </c>
      <c r="J1734" s="1367"/>
      <c r="K1734" s="1367"/>
      <c r="L1734" s="1367"/>
      <c r="M1734" s="1010"/>
    </row>
    <row r="1735">
      <c r="A1735" s="1367"/>
      <c r="B1735" s="1367"/>
      <c r="C1735" s="1367"/>
      <c r="D1735" s="1367">
        <v>2023.0</v>
      </c>
      <c r="E1735" s="1367" t="s">
        <v>2065</v>
      </c>
      <c r="F1735" s="1367" t="s">
        <v>4173</v>
      </c>
      <c r="G1735" s="1367" t="s">
        <v>4230</v>
      </c>
      <c r="H1735" s="1367">
        <v>5.0</v>
      </c>
      <c r="I1735" s="1367">
        <v>5.0</v>
      </c>
      <c r="J1735" s="1367"/>
      <c r="K1735" s="1367"/>
      <c r="L1735" s="1367"/>
      <c r="M1735" s="1010"/>
    </row>
    <row r="1736">
      <c r="A1736" s="1367"/>
      <c r="B1736" s="1367"/>
      <c r="C1736" s="1367"/>
      <c r="D1736" s="1367">
        <v>2023.0</v>
      </c>
      <c r="E1736" s="1367" t="s">
        <v>2065</v>
      </c>
      <c r="F1736" s="1367" t="s">
        <v>4173</v>
      </c>
      <c r="G1736" s="1367" t="s">
        <v>4231</v>
      </c>
      <c r="H1736" s="1367">
        <v>4.0</v>
      </c>
      <c r="I1736" s="1367">
        <v>4.0</v>
      </c>
      <c r="J1736" s="1367"/>
      <c r="K1736" s="1367"/>
      <c r="L1736" s="1367"/>
      <c r="M1736" s="1010"/>
    </row>
    <row r="1737">
      <c r="A1737" s="1367"/>
      <c r="B1737" s="1367"/>
      <c r="C1737" s="1367"/>
      <c r="D1737" s="1367">
        <v>2023.0</v>
      </c>
      <c r="E1737" s="1367" t="s">
        <v>2065</v>
      </c>
      <c r="F1737" s="1367" t="s">
        <v>4173</v>
      </c>
      <c r="G1737" s="1367" t="s">
        <v>1715</v>
      </c>
      <c r="H1737" s="1367">
        <v>2.0</v>
      </c>
      <c r="I1737" s="1367">
        <v>2.0</v>
      </c>
      <c r="J1737" s="1367"/>
      <c r="K1737" s="1367"/>
      <c r="L1737" s="1367"/>
      <c r="M1737" s="1010"/>
    </row>
    <row r="1738">
      <c r="A1738" s="1367"/>
      <c r="B1738" s="1367"/>
      <c r="C1738" s="1367"/>
      <c r="D1738" s="1367">
        <v>2023.0</v>
      </c>
      <c r="E1738" s="1367" t="s">
        <v>574</v>
      </c>
      <c r="F1738" s="1367" t="s">
        <v>4176</v>
      </c>
      <c r="G1738" s="1367" t="s">
        <v>4231</v>
      </c>
      <c r="H1738" s="1367">
        <v>15.0</v>
      </c>
      <c r="I1738" s="1367">
        <v>16.0</v>
      </c>
      <c r="J1738" s="1367"/>
      <c r="K1738" s="1367"/>
      <c r="L1738" s="1367"/>
      <c r="M1738" s="1010"/>
    </row>
    <row r="1739">
      <c r="A1739" s="1367"/>
      <c r="B1739" s="1367"/>
      <c r="C1739" s="1367"/>
      <c r="D1739" s="1367">
        <v>2023.0</v>
      </c>
      <c r="E1739" s="1367" t="s">
        <v>574</v>
      </c>
      <c r="F1739" s="1367" t="s">
        <v>4176</v>
      </c>
      <c r="G1739" s="1367" t="s">
        <v>1086</v>
      </c>
      <c r="H1739" s="1367">
        <v>2.0</v>
      </c>
      <c r="I1739" s="1367">
        <v>2.0</v>
      </c>
      <c r="J1739" s="1367"/>
      <c r="K1739" s="1367"/>
      <c r="L1739" s="1367"/>
      <c r="M1739" s="1010"/>
    </row>
    <row r="1740">
      <c r="A1740" s="1367"/>
      <c r="B1740" s="1367"/>
      <c r="C1740" s="1367"/>
      <c r="D1740" s="1367">
        <v>2023.0</v>
      </c>
      <c r="E1740" s="1367" t="s">
        <v>135</v>
      </c>
      <c r="F1740" s="1367" t="s">
        <v>4173</v>
      </c>
      <c r="G1740" s="1367" t="s">
        <v>4230</v>
      </c>
      <c r="H1740" s="1367">
        <v>2.0</v>
      </c>
      <c r="I1740" s="1367">
        <v>2.0</v>
      </c>
      <c r="J1740" s="1367"/>
      <c r="K1740" s="1367"/>
      <c r="L1740" s="1367"/>
      <c r="M1740" s="1010"/>
    </row>
    <row r="1741">
      <c r="A1741" s="1367"/>
      <c r="B1741" s="1367"/>
      <c r="C1741" s="1367"/>
      <c r="D1741" s="1367">
        <v>2023.0</v>
      </c>
      <c r="E1741" s="1367" t="s">
        <v>135</v>
      </c>
      <c r="F1741" s="1367" t="s">
        <v>4173</v>
      </c>
      <c r="G1741" s="1367" t="s">
        <v>4231</v>
      </c>
      <c r="H1741" s="1367">
        <v>7.0</v>
      </c>
      <c r="I1741" s="1367">
        <v>7.0</v>
      </c>
      <c r="J1741" s="1367"/>
      <c r="K1741" s="1367"/>
      <c r="L1741" s="1367"/>
      <c r="M1741" s="1010"/>
    </row>
    <row r="1742">
      <c r="A1742" s="1367"/>
      <c r="B1742" s="1367"/>
      <c r="C1742" s="1367"/>
      <c r="D1742" s="1367">
        <v>2023.0</v>
      </c>
      <c r="E1742" s="1367" t="s">
        <v>135</v>
      </c>
      <c r="F1742" s="1367" t="s">
        <v>4173</v>
      </c>
      <c r="G1742" s="1367" t="s">
        <v>1086</v>
      </c>
      <c r="H1742" s="1367">
        <v>9.0</v>
      </c>
      <c r="I1742" s="1367">
        <v>9.0</v>
      </c>
      <c r="J1742" s="1367"/>
      <c r="K1742" s="1367"/>
      <c r="L1742" s="1367"/>
      <c r="M1742" s="1010"/>
    </row>
    <row r="1743">
      <c r="A1743" s="1367"/>
      <c r="B1743" s="1367"/>
      <c r="C1743" s="1367"/>
      <c r="D1743" s="1367">
        <v>2023.0</v>
      </c>
      <c r="E1743" s="1367" t="s">
        <v>135</v>
      </c>
      <c r="F1743" s="1367" t="s">
        <v>4173</v>
      </c>
      <c r="G1743" s="1367" t="s">
        <v>1715</v>
      </c>
      <c r="H1743" s="1367">
        <v>5.0</v>
      </c>
      <c r="I1743" s="1367">
        <v>5.0</v>
      </c>
      <c r="J1743" s="1367"/>
      <c r="K1743" s="1367"/>
      <c r="L1743" s="1367"/>
      <c r="M1743" s="1010"/>
    </row>
    <row r="1744">
      <c r="A1744" s="1367"/>
      <c r="B1744" s="1367"/>
      <c r="C1744" s="1367"/>
      <c r="D1744" s="1367">
        <v>2023.0</v>
      </c>
      <c r="E1744" s="1367" t="s">
        <v>2066</v>
      </c>
      <c r="F1744" s="1367" t="s">
        <v>4169</v>
      </c>
      <c r="G1744" s="1367" t="s">
        <v>4231</v>
      </c>
      <c r="H1744" s="1367">
        <v>13.0</v>
      </c>
      <c r="I1744" s="1367">
        <v>13.0</v>
      </c>
      <c r="J1744" s="1367"/>
      <c r="K1744" s="1367"/>
      <c r="L1744" s="1367"/>
      <c r="M1744" s="1010"/>
    </row>
    <row r="1745">
      <c r="A1745" s="1367"/>
      <c r="B1745" s="1367"/>
      <c r="C1745" s="1367"/>
      <c r="D1745" s="1367">
        <v>2023.0</v>
      </c>
      <c r="E1745" s="1367" t="s">
        <v>2066</v>
      </c>
      <c r="F1745" s="1367" t="s">
        <v>4169</v>
      </c>
      <c r="G1745" s="1367" t="s">
        <v>1086</v>
      </c>
      <c r="H1745" s="1367">
        <v>3.0</v>
      </c>
      <c r="I1745" s="1367">
        <v>5.0</v>
      </c>
      <c r="J1745" s="1367"/>
      <c r="K1745" s="1367"/>
      <c r="L1745" s="1367"/>
      <c r="M1745" s="1010"/>
    </row>
    <row r="1746">
      <c r="A1746" s="1367"/>
      <c r="B1746" s="1367"/>
      <c r="C1746" s="1367"/>
      <c r="D1746" s="1367">
        <v>2023.0</v>
      </c>
      <c r="E1746" s="1367" t="s">
        <v>2066</v>
      </c>
      <c r="F1746" s="1367" t="s">
        <v>4169</v>
      </c>
      <c r="G1746" s="1367" t="s">
        <v>1715</v>
      </c>
      <c r="H1746" s="1367">
        <v>1.0</v>
      </c>
      <c r="I1746" s="1367">
        <v>1.0</v>
      </c>
      <c r="J1746" s="1367"/>
      <c r="K1746" s="1367"/>
      <c r="L1746" s="1367"/>
      <c r="M1746" s="1010"/>
    </row>
    <row r="1747">
      <c r="A1747" s="1367"/>
      <c r="B1747" s="1367"/>
      <c r="C1747" s="1367"/>
      <c r="D1747" s="1367">
        <v>2023.0</v>
      </c>
      <c r="E1747" s="1367" t="s">
        <v>575</v>
      </c>
      <c r="F1747" s="1367" t="s">
        <v>4170</v>
      </c>
      <c r="G1747" s="1367" t="s">
        <v>4231</v>
      </c>
      <c r="H1747" s="1367">
        <v>5.0</v>
      </c>
      <c r="I1747" s="1367">
        <v>5.0</v>
      </c>
      <c r="J1747" s="1367"/>
      <c r="K1747" s="1367"/>
      <c r="L1747" s="1367"/>
      <c r="M1747" s="1010"/>
    </row>
    <row r="1748">
      <c r="A1748" s="1367"/>
      <c r="B1748" s="1367"/>
      <c r="C1748" s="1367"/>
      <c r="D1748" s="1367">
        <v>2023.0</v>
      </c>
      <c r="E1748" s="1367" t="s">
        <v>575</v>
      </c>
      <c r="F1748" s="1367" t="s">
        <v>4170</v>
      </c>
      <c r="G1748" s="1367" t="s">
        <v>1086</v>
      </c>
      <c r="H1748" s="1367">
        <v>14.0</v>
      </c>
      <c r="I1748" s="1367">
        <v>14.0</v>
      </c>
      <c r="J1748" s="1367"/>
      <c r="K1748" s="1367"/>
      <c r="L1748" s="1367"/>
      <c r="M1748" s="1010"/>
    </row>
    <row r="1749">
      <c r="A1749" s="1367"/>
      <c r="B1749" s="1367"/>
      <c r="C1749" s="1367"/>
      <c r="D1749" s="1367">
        <v>2023.0</v>
      </c>
      <c r="E1749" s="1367" t="s">
        <v>575</v>
      </c>
      <c r="F1749" s="1367" t="s">
        <v>4170</v>
      </c>
      <c r="G1749" s="1367" t="s">
        <v>1715</v>
      </c>
      <c r="H1749" s="1367">
        <v>3.0</v>
      </c>
      <c r="I1749" s="1367">
        <v>3.0</v>
      </c>
      <c r="J1749" s="1367"/>
      <c r="K1749" s="1367"/>
      <c r="L1749" s="1367"/>
      <c r="M1749" s="1010"/>
    </row>
    <row r="1750">
      <c r="A1750" s="1367"/>
      <c r="B1750" s="1367"/>
      <c r="C1750" s="1367"/>
      <c r="D1750" s="1367">
        <v>2023.0</v>
      </c>
      <c r="E1750" s="1367" t="s">
        <v>527</v>
      </c>
      <c r="F1750" s="1367" t="s">
        <v>4172</v>
      </c>
      <c r="G1750" s="1367" t="s">
        <v>4230</v>
      </c>
      <c r="H1750" s="1367">
        <v>131.0</v>
      </c>
      <c r="I1750" s="1367">
        <v>135.0</v>
      </c>
      <c r="J1750" s="1367"/>
      <c r="K1750" s="1367"/>
      <c r="L1750" s="1367"/>
      <c r="M1750" s="1010"/>
    </row>
    <row r="1751">
      <c r="A1751" s="1367"/>
      <c r="B1751" s="1367"/>
      <c r="C1751" s="1367"/>
      <c r="D1751" s="1367">
        <v>2023.0</v>
      </c>
      <c r="E1751" s="1367" t="s">
        <v>527</v>
      </c>
      <c r="F1751" s="1367" t="s">
        <v>4172</v>
      </c>
      <c r="G1751" s="1367" t="s">
        <v>4231</v>
      </c>
      <c r="H1751" s="1367">
        <v>64.0</v>
      </c>
      <c r="I1751" s="1367">
        <v>64.0</v>
      </c>
      <c r="J1751" s="1367"/>
      <c r="K1751" s="1367"/>
      <c r="L1751" s="1367"/>
      <c r="M1751" s="1010"/>
    </row>
    <row r="1752">
      <c r="A1752" s="1367"/>
      <c r="B1752" s="1367"/>
      <c r="C1752" s="1367"/>
      <c r="D1752" s="1367">
        <v>2023.0</v>
      </c>
      <c r="E1752" s="1367" t="s">
        <v>527</v>
      </c>
      <c r="F1752" s="1367" t="s">
        <v>4172</v>
      </c>
      <c r="G1752" s="1367" t="s">
        <v>71</v>
      </c>
      <c r="H1752" s="1367">
        <v>20.0</v>
      </c>
      <c r="I1752" s="1367">
        <v>24.0</v>
      </c>
      <c r="J1752" s="1367"/>
      <c r="K1752" s="1367"/>
      <c r="L1752" s="1367"/>
      <c r="M1752" s="1010"/>
    </row>
    <row r="1753">
      <c r="A1753" s="1367"/>
      <c r="B1753" s="1367"/>
      <c r="C1753" s="1367"/>
      <c r="D1753" s="1367">
        <v>2023.0</v>
      </c>
      <c r="E1753" s="1367" t="s">
        <v>527</v>
      </c>
      <c r="F1753" s="1367" t="s">
        <v>4172</v>
      </c>
      <c r="G1753" s="1367" t="s">
        <v>1086</v>
      </c>
      <c r="H1753" s="1367">
        <v>201.0</v>
      </c>
      <c r="I1753" s="1367">
        <v>202.0</v>
      </c>
      <c r="J1753" s="1367"/>
      <c r="K1753" s="1367"/>
      <c r="L1753" s="1367"/>
      <c r="M1753" s="1010"/>
    </row>
    <row r="1754">
      <c r="A1754" s="1367"/>
      <c r="B1754" s="1367"/>
      <c r="C1754" s="1367"/>
      <c r="D1754" s="1367">
        <v>2023.0</v>
      </c>
      <c r="E1754" s="1367" t="s">
        <v>527</v>
      </c>
      <c r="F1754" s="1367" t="s">
        <v>4172</v>
      </c>
      <c r="G1754" s="1367" t="s">
        <v>1715</v>
      </c>
      <c r="H1754" s="1367">
        <v>25.0</v>
      </c>
      <c r="I1754" s="1367">
        <v>25.0</v>
      </c>
      <c r="J1754" s="1367"/>
      <c r="K1754" s="1367"/>
      <c r="L1754" s="1367"/>
      <c r="M1754" s="1010"/>
    </row>
    <row r="1755">
      <c r="A1755" s="1367"/>
      <c r="B1755" s="1367"/>
      <c r="C1755" s="1367"/>
      <c r="D1755" s="1367">
        <v>2023.0</v>
      </c>
      <c r="E1755" s="1367" t="s">
        <v>136</v>
      </c>
      <c r="F1755" s="1367" t="s">
        <v>4155</v>
      </c>
      <c r="G1755" s="1367" t="s">
        <v>4231</v>
      </c>
      <c r="H1755" s="1367">
        <v>6.0</v>
      </c>
      <c r="I1755" s="1367">
        <v>6.0</v>
      </c>
      <c r="J1755" s="1367"/>
      <c r="K1755" s="1367"/>
      <c r="L1755" s="1367"/>
      <c r="M1755" s="1010"/>
    </row>
    <row r="1756">
      <c r="A1756" s="1367"/>
      <c r="B1756" s="1367"/>
      <c r="C1756" s="1367"/>
      <c r="D1756" s="1367">
        <v>2023.0</v>
      </c>
      <c r="E1756" s="1367" t="s">
        <v>2068</v>
      </c>
      <c r="F1756" s="1367" t="s">
        <v>4173</v>
      </c>
      <c r="G1756" s="1367" t="s">
        <v>4230</v>
      </c>
      <c r="H1756" s="1367">
        <v>7.0</v>
      </c>
      <c r="I1756" s="1367">
        <v>7.0</v>
      </c>
      <c r="J1756" s="1367"/>
      <c r="K1756" s="1367"/>
      <c r="L1756" s="1367"/>
      <c r="M1756" s="1010"/>
    </row>
    <row r="1757">
      <c r="A1757" s="1367"/>
      <c r="B1757" s="1367"/>
      <c r="C1757" s="1367"/>
      <c r="D1757" s="1367">
        <v>2023.0</v>
      </c>
      <c r="E1757" s="1367" t="s">
        <v>2068</v>
      </c>
      <c r="F1757" s="1367" t="s">
        <v>4173</v>
      </c>
      <c r="G1757" s="1367" t="s">
        <v>4231</v>
      </c>
      <c r="H1757" s="1367">
        <v>16.0</v>
      </c>
      <c r="I1757" s="1367">
        <v>16.0</v>
      </c>
      <c r="J1757" s="1367"/>
      <c r="K1757" s="1367"/>
      <c r="L1757" s="1367"/>
      <c r="M1757" s="1010"/>
    </row>
    <row r="1758">
      <c r="A1758" s="1367"/>
      <c r="B1758" s="1367"/>
      <c r="C1758" s="1367"/>
      <c r="D1758" s="1367">
        <v>2023.0</v>
      </c>
      <c r="E1758" s="1367" t="s">
        <v>2068</v>
      </c>
      <c r="F1758" s="1367" t="s">
        <v>4173</v>
      </c>
      <c r="G1758" s="1367" t="s">
        <v>1715</v>
      </c>
      <c r="H1758" s="1367">
        <v>4.0</v>
      </c>
      <c r="I1758" s="1367">
        <v>4.0</v>
      </c>
      <c r="J1758" s="1367"/>
      <c r="K1758" s="1367"/>
      <c r="L1758" s="1367"/>
      <c r="M1758" s="1010"/>
    </row>
    <row r="1759">
      <c r="A1759" s="1367"/>
      <c r="B1759" s="1367"/>
      <c r="C1759" s="1367"/>
      <c r="D1759" s="1367">
        <v>2023.0</v>
      </c>
      <c r="E1759" s="1367" t="s">
        <v>2069</v>
      </c>
      <c r="F1759" s="1367" t="s">
        <v>4171</v>
      </c>
      <c r="G1759" s="1367" t="s">
        <v>4231</v>
      </c>
      <c r="H1759" s="1367">
        <v>4.0</v>
      </c>
      <c r="I1759" s="1367">
        <v>4.0</v>
      </c>
      <c r="J1759" s="1367"/>
      <c r="K1759" s="1367"/>
      <c r="L1759" s="1367"/>
      <c r="M1759" s="1010"/>
    </row>
    <row r="1760">
      <c r="A1760" s="1367"/>
      <c r="B1760" s="1367"/>
      <c r="C1760" s="1367"/>
      <c r="D1760" s="1367">
        <v>2023.0</v>
      </c>
      <c r="E1760" s="1367" t="s">
        <v>2069</v>
      </c>
      <c r="F1760" s="1367" t="s">
        <v>4171</v>
      </c>
      <c r="G1760" s="1367" t="s">
        <v>1086</v>
      </c>
      <c r="H1760" s="1367">
        <v>111.0</v>
      </c>
      <c r="I1760" s="1367">
        <v>111.0</v>
      </c>
      <c r="J1760" s="1367"/>
      <c r="K1760" s="1367"/>
      <c r="L1760" s="1367"/>
      <c r="M1760" s="1010"/>
    </row>
    <row r="1761">
      <c r="A1761" s="1367"/>
      <c r="B1761" s="1367"/>
      <c r="C1761" s="1367"/>
      <c r="D1761" s="1367">
        <v>2023.0</v>
      </c>
      <c r="E1761" s="1367" t="s">
        <v>2070</v>
      </c>
      <c r="F1761" s="1367" t="s">
        <v>4162</v>
      </c>
      <c r="G1761" s="1367" t="s">
        <v>4230</v>
      </c>
      <c r="H1761" s="1367">
        <v>3.0</v>
      </c>
      <c r="I1761" s="1367">
        <v>3.0</v>
      </c>
      <c r="J1761" s="1367"/>
      <c r="K1761" s="1367"/>
      <c r="L1761" s="1367"/>
      <c r="M1761" s="1010"/>
    </row>
    <row r="1762">
      <c r="A1762" s="1367"/>
      <c r="B1762" s="1367"/>
      <c r="C1762" s="1367"/>
      <c r="D1762" s="1367">
        <v>2023.0</v>
      </c>
      <c r="E1762" s="1367" t="s">
        <v>2070</v>
      </c>
      <c r="F1762" s="1367" t="s">
        <v>4162</v>
      </c>
      <c r="G1762" s="1367" t="s">
        <v>4231</v>
      </c>
      <c r="H1762" s="1367">
        <v>6.0</v>
      </c>
      <c r="I1762" s="1367">
        <v>6.0</v>
      </c>
      <c r="J1762" s="1367"/>
      <c r="K1762" s="1367"/>
      <c r="L1762" s="1367"/>
      <c r="M1762" s="1010"/>
    </row>
    <row r="1763">
      <c r="A1763" s="1367"/>
      <c r="B1763" s="1367"/>
      <c r="C1763" s="1367"/>
      <c r="D1763" s="1367">
        <v>2023.0</v>
      </c>
      <c r="E1763" s="1367" t="s">
        <v>2070</v>
      </c>
      <c r="F1763" s="1367" t="s">
        <v>4162</v>
      </c>
      <c r="G1763" s="1367" t="s">
        <v>1086</v>
      </c>
      <c r="H1763" s="1367">
        <v>29.0</v>
      </c>
      <c r="I1763" s="1367">
        <v>29.0</v>
      </c>
      <c r="J1763" s="1367"/>
      <c r="K1763" s="1367"/>
      <c r="L1763" s="1367"/>
      <c r="M1763" s="1010"/>
    </row>
    <row r="1764">
      <c r="A1764" s="1367"/>
      <c r="B1764" s="1367"/>
      <c r="C1764" s="1367"/>
      <c r="D1764" s="1367">
        <v>2023.0</v>
      </c>
      <c r="E1764" s="1367" t="s">
        <v>2071</v>
      </c>
      <c r="F1764" s="1367" t="s">
        <v>4172</v>
      </c>
      <c r="G1764" s="1367" t="s">
        <v>4230</v>
      </c>
      <c r="H1764" s="1367">
        <v>190.0</v>
      </c>
      <c r="I1764" s="1367">
        <v>190.0</v>
      </c>
      <c r="J1764" s="1367"/>
      <c r="K1764" s="1367"/>
      <c r="L1764" s="1367"/>
      <c r="M1764" s="1010"/>
    </row>
    <row r="1765">
      <c r="A1765" s="1367"/>
      <c r="B1765" s="1367"/>
      <c r="C1765" s="1367"/>
      <c r="D1765" s="1367">
        <v>2023.0</v>
      </c>
      <c r="E1765" s="1367" t="s">
        <v>2071</v>
      </c>
      <c r="F1765" s="1367" t="s">
        <v>4172</v>
      </c>
      <c r="G1765" s="1367" t="s">
        <v>4231</v>
      </c>
      <c r="H1765" s="1367">
        <v>251.0</v>
      </c>
      <c r="I1765" s="1367">
        <v>255.0</v>
      </c>
      <c r="J1765" s="1367"/>
      <c r="K1765" s="1367"/>
      <c r="L1765" s="1367"/>
      <c r="M1765" s="1010"/>
    </row>
    <row r="1766">
      <c r="A1766" s="1367"/>
      <c r="B1766" s="1367"/>
      <c r="C1766" s="1367"/>
      <c r="D1766" s="1367">
        <v>2023.0</v>
      </c>
      <c r="E1766" s="1367" t="s">
        <v>2071</v>
      </c>
      <c r="F1766" s="1367" t="s">
        <v>4172</v>
      </c>
      <c r="G1766" s="1367" t="s">
        <v>71</v>
      </c>
      <c r="H1766" s="1367">
        <v>2.0</v>
      </c>
      <c r="I1766" s="1367">
        <v>2.0</v>
      </c>
      <c r="J1766" s="1367"/>
      <c r="K1766" s="1367"/>
      <c r="L1766" s="1367"/>
      <c r="M1766" s="1010"/>
    </row>
    <row r="1767">
      <c r="A1767" s="1367"/>
      <c r="B1767" s="1367"/>
      <c r="C1767" s="1367"/>
      <c r="D1767" s="1367">
        <v>2023.0</v>
      </c>
      <c r="E1767" s="1367" t="s">
        <v>2071</v>
      </c>
      <c r="F1767" s="1367" t="s">
        <v>4172</v>
      </c>
      <c r="G1767" s="1367" t="s">
        <v>1086</v>
      </c>
      <c r="H1767" s="1367">
        <v>278.0</v>
      </c>
      <c r="I1767" s="1367">
        <v>288.0</v>
      </c>
      <c r="J1767" s="1367"/>
      <c r="K1767" s="1367"/>
      <c r="L1767" s="1367"/>
      <c r="M1767" s="1010"/>
    </row>
    <row r="1768">
      <c r="A1768" s="1367"/>
      <c r="B1768" s="1367"/>
      <c r="C1768" s="1367"/>
      <c r="D1768" s="1367">
        <v>2023.0</v>
      </c>
      <c r="E1768" s="1367" t="s">
        <v>2071</v>
      </c>
      <c r="F1768" s="1367" t="s">
        <v>4172</v>
      </c>
      <c r="G1768" s="1367" t="s">
        <v>4232</v>
      </c>
      <c r="H1768" s="1367">
        <v>2.0</v>
      </c>
      <c r="I1768" s="1367">
        <v>2.0</v>
      </c>
      <c r="J1768" s="1367"/>
      <c r="K1768" s="1367"/>
      <c r="L1768" s="1367"/>
      <c r="M1768" s="1010"/>
    </row>
    <row r="1769">
      <c r="A1769" s="1367"/>
      <c r="B1769" s="1367"/>
      <c r="C1769" s="1367"/>
      <c r="D1769" s="1367">
        <v>2023.0</v>
      </c>
      <c r="E1769" s="1367" t="s">
        <v>2071</v>
      </c>
      <c r="F1769" s="1367" t="s">
        <v>4172</v>
      </c>
      <c r="G1769" s="1367" t="s">
        <v>1715</v>
      </c>
      <c r="H1769" s="1367">
        <v>43.0</v>
      </c>
      <c r="I1769" s="1367">
        <v>43.0</v>
      </c>
      <c r="J1769" s="1367"/>
      <c r="K1769" s="1367"/>
      <c r="L1769" s="1367"/>
      <c r="M1769" s="1010"/>
    </row>
    <row r="1770">
      <c r="A1770" s="1367"/>
      <c r="B1770" s="1367"/>
      <c r="C1770" s="1367"/>
      <c r="D1770" s="1367">
        <v>2023.0</v>
      </c>
      <c r="E1770" s="1367" t="s">
        <v>2072</v>
      </c>
      <c r="F1770" s="1367" t="s">
        <v>4170</v>
      </c>
      <c r="G1770" s="1367" t="s">
        <v>4230</v>
      </c>
      <c r="H1770" s="1367">
        <v>2.0</v>
      </c>
      <c r="I1770" s="1367">
        <v>2.0</v>
      </c>
      <c r="J1770" s="1367"/>
      <c r="K1770" s="1367"/>
      <c r="L1770" s="1367"/>
      <c r="M1770" s="1010"/>
    </row>
    <row r="1771">
      <c r="A1771" s="1367"/>
      <c r="B1771" s="1367"/>
      <c r="C1771" s="1367"/>
      <c r="D1771" s="1367">
        <v>2023.0</v>
      </c>
      <c r="E1771" s="1367" t="s">
        <v>2072</v>
      </c>
      <c r="F1771" s="1367" t="s">
        <v>4170</v>
      </c>
      <c r="G1771" s="1367" t="s">
        <v>4231</v>
      </c>
      <c r="H1771" s="1367">
        <v>4.0</v>
      </c>
      <c r="I1771" s="1367">
        <v>4.0</v>
      </c>
      <c r="J1771" s="1367"/>
      <c r="K1771" s="1367"/>
      <c r="L1771" s="1367"/>
      <c r="M1771" s="1010"/>
    </row>
    <row r="1772">
      <c r="A1772" s="1367"/>
      <c r="B1772" s="1367"/>
      <c r="C1772" s="1367"/>
      <c r="D1772" s="1367">
        <v>2023.0</v>
      </c>
      <c r="E1772" s="1367" t="s">
        <v>2072</v>
      </c>
      <c r="F1772" s="1367" t="s">
        <v>4170</v>
      </c>
      <c r="G1772" s="1367" t="s">
        <v>1086</v>
      </c>
      <c r="H1772" s="1367">
        <v>12.0</v>
      </c>
      <c r="I1772" s="1367">
        <v>12.0</v>
      </c>
      <c r="J1772" s="1367"/>
      <c r="K1772" s="1367"/>
      <c r="L1772" s="1367"/>
      <c r="M1772" s="1010"/>
    </row>
    <row r="1773">
      <c r="A1773" s="1367"/>
      <c r="B1773" s="1367"/>
      <c r="C1773" s="1367"/>
      <c r="D1773" s="1367">
        <v>2023.0</v>
      </c>
      <c r="E1773" s="1367" t="s">
        <v>2072</v>
      </c>
      <c r="F1773" s="1367" t="s">
        <v>4170</v>
      </c>
      <c r="G1773" s="1367" t="s">
        <v>1715</v>
      </c>
      <c r="H1773" s="1367">
        <v>6.0</v>
      </c>
      <c r="I1773" s="1367">
        <v>6.0</v>
      </c>
      <c r="J1773" s="1367"/>
      <c r="K1773" s="1367"/>
      <c r="L1773" s="1367"/>
      <c r="M1773" s="1010"/>
    </row>
    <row r="1774">
      <c r="A1774" s="1367"/>
      <c r="B1774" s="1367"/>
      <c r="C1774" s="1367"/>
      <c r="D1774" s="1367">
        <v>2023.0</v>
      </c>
      <c r="E1774" s="1367" t="s">
        <v>2073</v>
      </c>
      <c r="F1774" s="1367" t="s">
        <v>4171</v>
      </c>
      <c r="G1774" s="1367" t="s">
        <v>4230</v>
      </c>
      <c r="H1774" s="1367">
        <v>1.0</v>
      </c>
      <c r="I1774" s="1367">
        <v>1.0</v>
      </c>
      <c r="J1774" s="1367"/>
      <c r="K1774" s="1367"/>
      <c r="L1774" s="1367"/>
      <c r="M1774" s="1010"/>
    </row>
    <row r="1775">
      <c r="A1775" s="1367"/>
      <c r="B1775" s="1367"/>
      <c r="C1775" s="1367"/>
      <c r="D1775" s="1367">
        <v>2023.0</v>
      </c>
      <c r="E1775" s="1367" t="s">
        <v>2073</v>
      </c>
      <c r="F1775" s="1367" t="s">
        <v>4171</v>
      </c>
      <c r="G1775" s="1367" t="s">
        <v>4231</v>
      </c>
      <c r="H1775" s="1367">
        <v>35.0</v>
      </c>
      <c r="I1775" s="1367">
        <v>36.0</v>
      </c>
      <c r="J1775" s="1367"/>
      <c r="K1775" s="1367"/>
      <c r="L1775" s="1367"/>
      <c r="M1775" s="1010"/>
    </row>
    <row r="1776">
      <c r="A1776" s="1367"/>
      <c r="B1776" s="1367"/>
      <c r="C1776" s="1367"/>
      <c r="D1776" s="1367">
        <v>2023.0</v>
      </c>
      <c r="E1776" s="1367" t="s">
        <v>2073</v>
      </c>
      <c r="F1776" s="1367" t="s">
        <v>4171</v>
      </c>
      <c r="G1776" s="1367" t="s">
        <v>1086</v>
      </c>
      <c r="H1776" s="1367">
        <v>15.0</v>
      </c>
      <c r="I1776" s="1367">
        <v>15.0</v>
      </c>
      <c r="J1776" s="1367"/>
      <c r="K1776" s="1367"/>
      <c r="L1776" s="1367"/>
      <c r="M1776" s="1010"/>
    </row>
    <row r="1777">
      <c r="A1777" s="1367"/>
      <c r="B1777" s="1367"/>
      <c r="C1777" s="1367"/>
      <c r="D1777" s="1367">
        <v>2023.0</v>
      </c>
      <c r="E1777" s="1367" t="s">
        <v>2073</v>
      </c>
      <c r="F1777" s="1367" t="s">
        <v>4171</v>
      </c>
      <c r="G1777" s="1367" t="s">
        <v>1715</v>
      </c>
      <c r="H1777" s="1367">
        <v>1.0</v>
      </c>
      <c r="I1777" s="1367">
        <v>1.0</v>
      </c>
      <c r="J1777" s="1367"/>
      <c r="K1777" s="1367"/>
      <c r="L1777" s="1367"/>
      <c r="M1777" s="1010"/>
    </row>
    <row r="1778">
      <c r="A1778" s="1367"/>
      <c r="B1778" s="1367"/>
      <c r="C1778" s="1367"/>
      <c r="D1778" s="1367">
        <v>2023.0</v>
      </c>
      <c r="E1778" s="1367" t="s">
        <v>2075</v>
      </c>
      <c r="F1778" s="1367" t="s">
        <v>4171</v>
      </c>
      <c r="G1778" s="1367" t="s">
        <v>4230</v>
      </c>
      <c r="H1778" s="1367">
        <v>1.0</v>
      </c>
      <c r="I1778" s="1367">
        <v>1.0</v>
      </c>
      <c r="J1778" s="1367"/>
      <c r="K1778" s="1367"/>
      <c r="L1778" s="1367"/>
      <c r="M1778" s="1010"/>
    </row>
    <row r="1779">
      <c r="A1779" s="1367"/>
      <c r="B1779" s="1367"/>
      <c r="C1779" s="1367"/>
      <c r="D1779" s="1367">
        <v>2023.0</v>
      </c>
      <c r="E1779" s="1367" t="s">
        <v>2075</v>
      </c>
      <c r="F1779" s="1367" t="s">
        <v>4171</v>
      </c>
      <c r="G1779" s="1367" t="s">
        <v>1086</v>
      </c>
      <c r="H1779" s="1367">
        <v>5.0</v>
      </c>
      <c r="I1779" s="1367">
        <v>5.0</v>
      </c>
      <c r="J1779" s="1367"/>
      <c r="K1779" s="1367"/>
      <c r="L1779" s="1367"/>
      <c r="M1779" s="1010"/>
    </row>
    <row r="1780">
      <c r="A1780" s="1367"/>
      <c r="B1780" s="1367"/>
      <c r="C1780" s="1367"/>
      <c r="D1780" s="1367">
        <v>2023.0</v>
      </c>
      <c r="E1780" s="1367" t="s">
        <v>2076</v>
      </c>
      <c r="F1780" s="1367" t="s">
        <v>4171</v>
      </c>
      <c r="G1780" s="1367" t="s">
        <v>4231</v>
      </c>
      <c r="H1780" s="1367">
        <v>5.0</v>
      </c>
      <c r="I1780" s="1367">
        <v>5.0</v>
      </c>
      <c r="J1780" s="1367"/>
      <c r="K1780" s="1367"/>
      <c r="L1780" s="1367"/>
      <c r="M1780" s="1010"/>
    </row>
    <row r="1781">
      <c r="A1781" s="1367"/>
      <c r="B1781" s="1367"/>
      <c r="C1781" s="1367"/>
      <c r="D1781" s="1367">
        <v>2023.0</v>
      </c>
      <c r="E1781" s="1367" t="s">
        <v>2076</v>
      </c>
      <c r="F1781" s="1367" t="s">
        <v>4171</v>
      </c>
      <c r="G1781" s="1367" t="s">
        <v>1086</v>
      </c>
      <c r="H1781" s="1367">
        <v>7.0</v>
      </c>
      <c r="I1781" s="1367">
        <v>7.0</v>
      </c>
      <c r="J1781" s="1367"/>
      <c r="K1781" s="1367"/>
      <c r="L1781" s="1367"/>
      <c r="M1781" s="1010"/>
    </row>
    <row r="1782">
      <c r="A1782" s="1367"/>
      <c r="B1782" s="1367"/>
      <c r="C1782" s="1367"/>
      <c r="D1782" s="1367">
        <v>2023.0</v>
      </c>
      <c r="E1782" s="1367" t="s">
        <v>2076</v>
      </c>
      <c r="F1782" s="1367" t="s">
        <v>4171</v>
      </c>
      <c r="G1782" s="1367" t="s">
        <v>1715</v>
      </c>
      <c r="H1782" s="1367">
        <v>1.0</v>
      </c>
      <c r="I1782" s="1367">
        <v>1.0</v>
      </c>
      <c r="J1782" s="1367"/>
      <c r="K1782" s="1367"/>
      <c r="L1782" s="1367"/>
      <c r="M1782" s="1010"/>
    </row>
    <row r="1783">
      <c r="A1783" s="1367"/>
      <c r="B1783" s="1367"/>
      <c r="C1783" s="1367"/>
      <c r="D1783" s="1367">
        <v>2023.0</v>
      </c>
      <c r="E1783" s="1367" t="s">
        <v>975</v>
      </c>
      <c r="F1783" s="1367" t="s">
        <v>4170</v>
      </c>
      <c r="G1783" s="1367" t="s">
        <v>4230</v>
      </c>
      <c r="H1783" s="1367">
        <v>1.0</v>
      </c>
      <c r="I1783" s="1367">
        <v>1.0</v>
      </c>
      <c r="J1783" s="1367"/>
      <c r="K1783" s="1367"/>
      <c r="L1783" s="1367"/>
      <c r="M1783" s="1010"/>
    </row>
    <row r="1784">
      <c r="A1784" s="1367"/>
      <c r="B1784" s="1367"/>
      <c r="C1784" s="1367"/>
      <c r="D1784" s="1367">
        <v>2023.0</v>
      </c>
      <c r="E1784" s="1367" t="s">
        <v>975</v>
      </c>
      <c r="F1784" s="1367" t="s">
        <v>4170</v>
      </c>
      <c r="G1784" s="1367" t="s">
        <v>4231</v>
      </c>
      <c r="H1784" s="1367">
        <v>52.0</v>
      </c>
      <c r="I1784" s="1367">
        <v>52.0</v>
      </c>
      <c r="J1784" s="1367"/>
      <c r="K1784" s="1367"/>
      <c r="L1784" s="1367"/>
      <c r="M1784" s="1010"/>
    </row>
    <row r="1785">
      <c r="A1785" s="1367"/>
      <c r="B1785" s="1367"/>
      <c r="C1785" s="1367"/>
      <c r="D1785" s="1367">
        <v>2023.0</v>
      </c>
      <c r="E1785" s="1367" t="s">
        <v>975</v>
      </c>
      <c r="F1785" s="1367" t="s">
        <v>4170</v>
      </c>
      <c r="G1785" s="1367" t="s">
        <v>1086</v>
      </c>
      <c r="H1785" s="1367">
        <v>35.0</v>
      </c>
      <c r="I1785" s="1367">
        <v>35.0</v>
      </c>
      <c r="J1785" s="1367"/>
      <c r="K1785" s="1367"/>
      <c r="L1785" s="1367"/>
      <c r="M1785" s="1010"/>
    </row>
    <row r="1786">
      <c r="A1786" s="1367"/>
      <c r="B1786" s="1367"/>
      <c r="C1786" s="1367"/>
      <c r="D1786" s="1367">
        <v>2023.0</v>
      </c>
      <c r="E1786" s="1367" t="s">
        <v>975</v>
      </c>
      <c r="F1786" s="1367" t="s">
        <v>4170</v>
      </c>
      <c r="G1786" s="1367" t="s">
        <v>1715</v>
      </c>
      <c r="H1786" s="1367">
        <v>5.0</v>
      </c>
      <c r="I1786" s="1367">
        <v>5.0</v>
      </c>
      <c r="J1786" s="1367"/>
      <c r="K1786" s="1367"/>
      <c r="L1786" s="1367"/>
      <c r="M1786" s="1010"/>
    </row>
    <row r="1787">
      <c r="A1787" s="1367"/>
      <c r="B1787" s="1367"/>
      <c r="C1787" s="1367"/>
      <c r="D1787" s="1367">
        <v>2023.0</v>
      </c>
      <c r="E1787" s="1367" t="s">
        <v>1072</v>
      </c>
      <c r="F1787" s="1367" t="s">
        <v>4176</v>
      </c>
      <c r="G1787" s="1367" t="s">
        <v>4230</v>
      </c>
      <c r="H1787" s="1367">
        <v>9.0</v>
      </c>
      <c r="I1787" s="1367">
        <v>9.0</v>
      </c>
      <c r="J1787" s="1367"/>
      <c r="K1787" s="1367"/>
      <c r="L1787" s="1367"/>
      <c r="M1787" s="1010"/>
    </row>
    <row r="1788">
      <c r="A1788" s="1367"/>
      <c r="B1788" s="1367"/>
      <c r="C1788" s="1367"/>
      <c r="D1788" s="1367">
        <v>2023.0</v>
      </c>
      <c r="E1788" s="1367" t="s">
        <v>1072</v>
      </c>
      <c r="F1788" s="1367" t="s">
        <v>4176</v>
      </c>
      <c r="G1788" s="1367" t="s">
        <v>4231</v>
      </c>
      <c r="H1788" s="1367">
        <v>87.0</v>
      </c>
      <c r="I1788" s="1367">
        <v>89.0</v>
      </c>
      <c r="J1788" s="1367"/>
      <c r="K1788" s="1367"/>
      <c r="L1788" s="1367"/>
      <c r="M1788" s="1010"/>
    </row>
    <row r="1789">
      <c r="A1789" s="1367"/>
      <c r="B1789" s="1367"/>
      <c r="C1789" s="1367"/>
      <c r="D1789" s="1367">
        <v>2023.0</v>
      </c>
      <c r="E1789" s="1367" t="s">
        <v>1072</v>
      </c>
      <c r="F1789" s="1367" t="s">
        <v>4176</v>
      </c>
      <c r="G1789" s="1367" t="s">
        <v>1086</v>
      </c>
      <c r="H1789" s="1367">
        <v>22.0</v>
      </c>
      <c r="I1789" s="1367">
        <v>22.0</v>
      </c>
      <c r="J1789" s="1367"/>
      <c r="K1789" s="1367"/>
      <c r="L1789" s="1367"/>
      <c r="M1789" s="1010"/>
    </row>
    <row r="1790">
      <c r="A1790" s="1367"/>
      <c r="B1790" s="1367"/>
      <c r="C1790" s="1367"/>
      <c r="D1790" s="1367">
        <v>2023.0</v>
      </c>
      <c r="E1790" s="1367" t="s">
        <v>1072</v>
      </c>
      <c r="F1790" s="1367" t="s">
        <v>4176</v>
      </c>
      <c r="G1790" s="1367" t="s">
        <v>4232</v>
      </c>
      <c r="H1790" s="1367">
        <v>1.0</v>
      </c>
      <c r="I1790" s="1367">
        <v>1.0</v>
      </c>
      <c r="J1790" s="1367"/>
      <c r="K1790" s="1367"/>
      <c r="L1790" s="1367"/>
      <c r="M1790" s="1010"/>
    </row>
    <row r="1791">
      <c r="A1791" s="1367"/>
      <c r="B1791" s="1367"/>
      <c r="C1791" s="1367"/>
      <c r="D1791" s="1367">
        <v>2023.0</v>
      </c>
      <c r="E1791" s="1367" t="s">
        <v>1072</v>
      </c>
      <c r="F1791" s="1367" t="s">
        <v>4176</v>
      </c>
      <c r="G1791" s="1367" t="s">
        <v>1715</v>
      </c>
      <c r="H1791" s="1367">
        <v>25.0</v>
      </c>
      <c r="I1791" s="1367">
        <v>25.0</v>
      </c>
      <c r="J1791" s="1367"/>
      <c r="K1791" s="1367"/>
      <c r="L1791" s="1367"/>
      <c r="M1791" s="1010"/>
    </row>
    <row r="1792">
      <c r="A1792" s="1367"/>
      <c r="B1792" s="1367"/>
      <c r="C1792" s="1367"/>
      <c r="D1792" s="1367">
        <v>2023.0</v>
      </c>
      <c r="E1792" s="1367" t="s">
        <v>2078</v>
      </c>
      <c r="F1792" s="1367" t="s">
        <v>4155</v>
      </c>
      <c r="G1792" s="1367" t="s">
        <v>4230</v>
      </c>
      <c r="H1792" s="1367">
        <v>71.0</v>
      </c>
      <c r="I1792" s="1367">
        <v>71.0</v>
      </c>
      <c r="J1792" s="1367"/>
      <c r="K1792" s="1367"/>
      <c r="L1792" s="1367"/>
      <c r="M1792" s="1010"/>
    </row>
    <row r="1793">
      <c r="A1793" s="1367"/>
      <c r="B1793" s="1367"/>
      <c r="C1793" s="1367"/>
      <c r="D1793" s="1367">
        <v>2023.0</v>
      </c>
      <c r="E1793" s="1367" t="s">
        <v>2078</v>
      </c>
      <c r="F1793" s="1367" t="s">
        <v>4155</v>
      </c>
      <c r="G1793" s="1367" t="s">
        <v>4231</v>
      </c>
      <c r="H1793" s="1367">
        <v>87.0</v>
      </c>
      <c r="I1793" s="1367">
        <v>89.0</v>
      </c>
      <c r="J1793" s="1367"/>
      <c r="K1793" s="1367"/>
      <c r="L1793" s="1367"/>
      <c r="M1793" s="1010"/>
    </row>
    <row r="1794">
      <c r="A1794" s="1367"/>
      <c r="B1794" s="1367"/>
      <c r="C1794" s="1367"/>
      <c r="D1794" s="1367">
        <v>2023.0</v>
      </c>
      <c r="E1794" s="1367" t="s">
        <v>2078</v>
      </c>
      <c r="F1794" s="1367" t="s">
        <v>4155</v>
      </c>
      <c r="G1794" s="1367" t="s">
        <v>1086</v>
      </c>
      <c r="H1794" s="1367">
        <v>77.0</v>
      </c>
      <c r="I1794" s="1367">
        <v>77.0</v>
      </c>
      <c r="J1794" s="1367"/>
      <c r="K1794" s="1367"/>
      <c r="L1794" s="1367"/>
      <c r="M1794" s="1010"/>
    </row>
    <row r="1795">
      <c r="A1795" s="1367"/>
      <c r="B1795" s="1367"/>
      <c r="C1795" s="1367"/>
      <c r="D1795" s="1367">
        <v>2023.0</v>
      </c>
      <c r="E1795" s="1367" t="s">
        <v>2078</v>
      </c>
      <c r="F1795" s="1367" t="s">
        <v>4155</v>
      </c>
      <c r="G1795" s="1367" t="s">
        <v>1715</v>
      </c>
      <c r="H1795" s="1367">
        <v>34.0</v>
      </c>
      <c r="I1795" s="1367">
        <v>34.0</v>
      </c>
      <c r="J1795" s="1367"/>
      <c r="K1795" s="1367"/>
      <c r="L1795" s="1367"/>
      <c r="M1795" s="1010"/>
    </row>
    <row r="1796">
      <c r="A1796" s="1367"/>
      <c r="B1796" s="1367"/>
      <c r="C1796" s="1367"/>
      <c r="D1796" s="1367">
        <v>2023.0</v>
      </c>
      <c r="E1796" s="1367" t="s">
        <v>2079</v>
      </c>
      <c r="F1796" s="1367" t="s">
        <v>4173</v>
      </c>
      <c r="G1796" s="1367" t="s">
        <v>4230</v>
      </c>
      <c r="H1796" s="1367">
        <v>6.0</v>
      </c>
      <c r="I1796" s="1367">
        <v>6.0</v>
      </c>
      <c r="J1796" s="1367"/>
      <c r="K1796" s="1367"/>
      <c r="L1796" s="1367"/>
      <c r="M1796" s="1010"/>
    </row>
    <row r="1797">
      <c r="A1797" s="1367"/>
      <c r="B1797" s="1367"/>
      <c r="C1797" s="1367"/>
      <c r="D1797" s="1367">
        <v>2023.0</v>
      </c>
      <c r="E1797" s="1367" t="s">
        <v>2079</v>
      </c>
      <c r="F1797" s="1367" t="s">
        <v>4173</v>
      </c>
      <c r="G1797" s="1367" t="s">
        <v>4231</v>
      </c>
      <c r="H1797" s="1367">
        <v>8.0</v>
      </c>
      <c r="I1797" s="1367">
        <v>8.0</v>
      </c>
      <c r="J1797" s="1367"/>
      <c r="K1797" s="1367"/>
      <c r="L1797" s="1367"/>
      <c r="M1797" s="1010"/>
    </row>
    <row r="1798">
      <c r="A1798" s="1367"/>
      <c r="B1798" s="1367"/>
      <c r="C1798" s="1367"/>
      <c r="D1798" s="1367">
        <v>2023.0</v>
      </c>
      <c r="E1798" s="1367" t="s">
        <v>2079</v>
      </c>
      <c r="F1798" s="1367" t="s">
        <v>4173</v>
      </c>
      <c r="G1798" s="1367" t="s">
        <v>71</v>
      </c>
      <c r="H1798" s="1367">
        <v>3.0</v>
      </c>
      <c r="I1798" s="1367">
        <v>3.0</v>
      </c>
      <c r="J1798" s="1367"/>
      <c r="K1798" s="1367"/>
      <c r="L1798" s="1367"/>
      <c r="M1798" s="1010"/>
    </row>
    <row r="1799">
      <c r="A1799" s="1367"/>
      <c r="B1799" s="1367"/>
      <c r="C1799" s="1367"/>
      <c r="D1799" s="1367">
        <v>2023.0</v>
      </c>
      <c r="E1799" s="1367" t="s">
        <v>2079</v>
      </c>
      <c r="F1799" s="1367" t="s">
        <v>4173</v>
      </c>
      <c r="G1799" s="1367" t="s">
        <v>1086</v>
      </c>
      <c r="H1799" s="1367">
        <v>5.0</v>
      </c>
      <c r="I1799" s="1367">
        <v>5.0</v>
      </c>
      <c r="J1799" s="1367"/>
      <c r="K1799" s="1367"/>
      <c r="L1799" s="1367"/>
      <c r="M1799" s="1010"/>
    </row>
    <row r="1800">
      <c r="A1800" s="1367"/>
      <c r="B1800" s="1367"/>
      <c r="C1800" s="1367"/>
      <c r="D1800" s="1367">
        <v>2023.0</v>
      </c>
      <c r="E1800" s="1367" t="s">
        <v>1539</v>
      </c>
      <c r="F1800" s="1367" t="s">
        <v>4171</v>
      </c>
      <c r="G1800" s="1367" t="s">
        <v>4230</v>
      </c>
      <c r="H1800" s="1367">
        <v>17.0</v>
      </c>
      <c r="I1800" s="1367">
        <v>17.0</v>
      </c>
      <c r="J1800" s="1367"/>
      <c r="K1800" s="1367"/>
      <c r="L1800" s="1367"/>
      <c r="M1800" s="1010"/>
    </row>
    <row r="1801">
      <c r="A1801" s="1367"/>
      <c r="B1801" s="1367"/>
      <c r="C1801" s="1367"/>
      <c r="D1801" s="1367">
        <v>2023.0</v>
      </c>
      <c r="E1801" s="1367" t="s">
        <v>1539</v>
      </c>
      <c r="F1801" s="1367" t="s">
        <v>4171</v>
      </c>
      <c r="G1801" s="1367" t="s">
        <v>4231</v>
      </c>
      <c r="H1801" s="1367">
        <v>77.0</v>
      </c>
      <c r="I1801" s="1367">
        <v>77.0</v>
      </c>
      <c r="J1801" s="1367"/>
      <c r="K1801" s="1367"/>
      <c r="L1801" s="1367"/>
      <c r="M1801" s="1010"/>
    </row>
    <row r="1802">
      <c r="A1802" s="1367"/>
      <c r="B1802" s="1367"/>
      <c r="C1802" s="1367"/>
      <c r="D1802" s="1367">
        <v>2023.0</v>
      </c>
      <c r="E1802" s="1367" t="s">
        <v>1539</v>
      </c>
      <c r="F1802" s="1367" t="s">
        <v>4171</v>
      </c>
      <c r="G1802" s="1367" t="s">
        <v>1086</v>
      </c>
      <c r="H1802" s="1367">
        <v>146.0</v>
      </c>
      <c r="I1802" s="1367">
        <v>152.0</v>
      </c>
      <c r="J1802" s="1367"/>
      <c r="K1802" s="1367"/>
      <c r="L1802" s="1367"/>
      <c r="M1802" s="1010"/>
    </row>
    <row r="1803">
      <c r="A1803" s="1367"/>
      <c r="B1803" s="1367"/>
      <c r="C1803" s="1367"/>
      <c r="D1803" s="1367">
        <v>2023.0</v>
      </c>
      <c r="E1803" s="1367" t="s">
        <v>1539</v>
      </c>
      <c r="F1803" s="1367" t="s">
        <v>4171</v>
      </c>
      <c r="G1803" s="1367" t="s">
        <v>1715</v>
      </c>
      <c r="H1803" s="1367">
        <v>15.0</v>
      </c>
      <c r="I1803" s="1367">
        <v>15.0</v>
      </c>
      <c r="J1803" s="1367"/>
      <c r="K1803" s="1367"/>
      <c r="L1803" s="1367"/>
      <c r="M1803" s="1010"/>
    </row>
    <row r="1804">
      <c r="A1804" s="1367"/>
      <c r="B1804" s="1367"/>
      <c r="C1804" s="1367"/>
      <c r="D1804" s="1367">
        <v>2023.0</v>
      </c>
      <c r="E1804" s="1367" t="s">
        <v>139</v>
      </c>
      <c r="F1804" s="1367" t="s">
        <v>4170</v>
      </c>
      <c r="G1804" s="1367" t="s">
        <v>4230</v>
      </c>
      <c r="H1804" s="1367">
        <v>4.0</v>
      </c>
      <c r="I1804" s="1367">
        <v>4.0</v>
      </c>
      <c r="J1804" s="1367"/>
      <c r="K1804" s="1367"/>
      <c r="L1804" s="1367"/>
      <c r="M1804" s="1010"/>
    </row>
    <row r="1805">
      <c r="A1805" s="1367"/>
      <c r="B1805" s="1367"/>
      <c r="C1805" s="1367"/>
      <c r="D1805" s="1367">
        <v>2023.0</v>
      </c>
      <c r="E1805" s="1367" t="s">
        <v>139</v>
      </c>
      <c r="F1805" s="1367" t="s">
        <v>4170</v>
      </c>
      <c r="G1805" s="1367" t="s">
        <v>4231</v>
      </c>
      <c r="H1805" s="1367">
        <v>23.0</v>
      </c>
      <c r="I1805" s="1367">
        <v>23.0</v>
      </c>
      <c r="J1805" s="1367"/>
      <c r="K1805" s="1367"/>
      <c r="L1805" s="1367"/>
      <c r="M1805" s="1010"/>
    </row>
    <row r="1806">
      <c r="A1806" s="1367"/>
      <c r="B1806" s="1367"/>
      <c r="C1806" s="1367"/>
      <c r="D1806" s="1367">
        <v>2023.0</v>
      </c>
      <c r="E1806" s="1367" t="s">
        <v>139</v>
      </c>
      <c r="F1806" s="1367" t="s">
        <v>4170</v>
      </c>
      <c r="G1806" s="1367" t="s">
        <v>1086</v>
      </c>
      <c r="H1806" s="1367">
        <v>135.0</v>
      </c>
      <c r="I1806" s="1367">
        <v>141.0</v>
      </c>
      <c r="J1806" s="1367"/>
      <c r="K1806" s="1367"/>
      <c r="L1806" s="1367"/>
      <c r="M1806" s="1010"/>
    </row>
    <row r="1807">
      <c r="A1807" s="1367"/>
      <c r="B1807" s="1367"/>
      <c r="C1807" s="1367"/>
      <c r="D1807" s="1367">
        <v>2023.0</v>
      </c>
      <c r="E1807" s="1367" t="s">
        <v>139</v>
      </c>
      <c r="F1807" s="1367" t="s">
        <v>4170</v>
      </c>
      <c r="G1807" s="1367" t="s">
        <v>1715</v>
      </c>
      <c r="H1807" s="1367">
        <v>4.0</v>
      </c>
      <c r="I1807" s="1367">
        <v>4.0</v>
      </c>
      <c r="J1807" s="1367"/>
      <c r="K1807" s="1367"/>
      <c r="L1807" s="1367"/>
      <c r="M1807" s="1010"/>
    </row>
    <row r="1808">
      <c r="A1808" s="1367"/>
      <c r="B1808" s="1367"/>
      <c r="C1808" s="1367"/>
      <c r="D1808" s="1367">
        <v>2023.0</v>
      </c>
      <c r="E1808" s="1367" t="s">
        <v>586</v>
      </c>
      <c r="F1808" s="1367" t="s">
        <v>4170</v>
      </c>
      <c r="G1808" s="1367" t="s">
        <v>4231</v>
      </c>
      <c r="H1808" s="1367">
        <v>6.0</v>
      </c>
      <c r="I1808" s="1367">
        <v>6.0</v>
      </c>
      <c r="J1808" s="1367"/>
      <c r="K1808" s="1367"/>
      <c r="L1808" s="1367"/>
      <c r="M1808" s="1010"/>
    </row>
    <row r="1809">
      <c r="A1809" s="1367"/>
      <c r="B1809" s="1367"/>
      <c r="C1809" s="1367"/>
      <c r="D1809" s="1367">
        <v>2023.0</v>
      </c>
      <c r="E1809" s="1367" t="s">
        <v>586</v>
      </c>
      <c r="F1809" s="1367" t="s">
        <v>4170</v>
      </c>
      <c r="G1809" s="1367" t="s">
        <v>1086</v>
      </c>
      <c r="H1809" s="1367">
        <v>11.0</v>
      </c>
      <c r="I1809" s="1367">
        <v>11.0</v>
      </c>
      <c r="J1809" s="1367"/>
      <c r="K1809" s="1367"/>
      <c r="L1809" s="1367"/>
      <c r="M1809" s="1010"/>
    </row>
    <row r="1810">
      <c r="A1810" s="1367"/>
      <c r="B1810" s="1367"/>
      <c r="C1810" s="1367"/>
      <c r="D1810" s="1367">
        <v>2023.0</v>
      </c>
      <c r="E1810" s="1367" t="s">
        <v>586</v>
      </c>
      <c r="F1810" s="1367" t="s">
        <v>4170</v>
      </c>
      <c r="G1810" s="1367" t="s">
        <v>1715</v>
      </c>
      <c r="H1810" s="1367">
        <v>3.0</v>
      </c>
      <c r="I1810" s="1367">
        <v>3.0</v>
      </c>
      <c r="J1810" s="1367"/>
      <c r="K1810" s="1367"/>
      <c r="L1810" s="1367"/>
      <c r="M1810" s="1010"/>
    </row>
    <row r="1811">
      <c r="A1811" s="1367"/>
      <c r="B1811" s="1367"/>
      <c r="C1811" s="1367"/>
      <c r="D1811" s="1367">
        <v>2023.0</v>
      </c>
      <c r="E1811" s="1367" t="s">
        <v>497</v>
      </c>
      <c r="F1811" s="1367" t="s">
        <v>4173</v>
      </c>
      <c r="G1811" s="1367" t="s">
        <v>4231</v>
      </c>
      <c r="H1811" s="1367">
        <v>9.0</v>
      </c>
      <c r="I1811" s="1367">
        <v>9.0</v>
      </c>
      <c r="J1811" s="1367"/>
      <c r="K1811" s="1367"/>
      <c r="L1811" s="1367"/>
      <c r="M1811" s="1010"/>
    </row>
    <row r="1812">
      <c r="A1812" s="1367"/>
      <c r="B1812" s="1367"/>
      <c r="C1812" s="1367"/>
      <c r="D1812" s="1367">
        <v>2023.0</v>
      </c>
      <c r="E1812" s="1367" t="s">
        <v>2080</v>
      </c>
      <c r="F1812" s="1367" t="s">
        <v>4170</v>
      </c>
      <c r="G1812" s="1367" t="s">
        <v>4231</v>
      </c>
      <c r="H1812" s="1367">
        <v>1.0</v>
      </c>
      <c r="I1812" s="1367">
        <v>1.0</v>
      </c>
      <c r="J1812" s="1367"/>
      <c r="K1812" s="1367"/>
      <c r="L1812" s="1367"/>
      <c r="M1812" s="1010"/>
    </row>
    <row r="1813">
      <c r="A1813" s="1367"/>
      <c r="B1813" s="1367"/>
      <c r="C1813" s="1367"/>
      <c r="D1813" s="1367">
        <v>2023.0</v>
      </c>
      <c r="E1813" s="1367" t="s">
        <v>2080</v>
      </c>
      <c r="F1813" s="1367" t="s">
        <v>4170</v>
      </c>
      <c r="G1813" s="1367" t="s">
        <v>1086</v>
      </c>
      <c r="H1813" s="1367">
        <v>9.0</v>
      </c>
      <c r="I1813" s="1367">
        <v>9.0</v>
      </c>
      <c r="J1813" s="1367"/>
      <c r="K1813" s="1367"/>
      <c r="L1813" s="1367"/>
      <c r="M1813" s="1010"/>
    </row>
    <row r="1814">
      <c r="A1814" s="1367"/>
      <c r="B1814" s="1367"/>
      <c r="C1814" s="1367"/>
      <c r="D1814" s="1367">
        <v>2023.0</v>
      </c>
      <c r="E1814" s="1367" t="s">
        <v>1915</v>
      </c>
      <c r="F1814" s="1367" t="s">
        <v>4169</v>
      </c>
      <c r="G1814" s="1367" t="s">
        <v>4231</v>
      </c>
      <c r="H1814" s="1367">
        <v>9.0</v>
      </c>
      <c r="I1814" s="1367">
        <v>9.0</v>
      </c>
      <c r="J1814" s="1367"/>
      <c r="K1814" s="1367"/>
      <c r="L1814" s="1367"/>
      <c r="M1814" s="1010"/>
    </row>
    <row r="1815">
      <c r="A1815" s="1367"/>
      <c r="B1815" s="1367"/>
      <c r="C1815" s="1367"/>
      <c r="D1815" s="1367">
        <v>2023.0</v>
      </c>
      <c r="E1815" s="1367" t="s">
        <v>1915</v>
      </c>
      <c r="F1815" s="1367" t="s">
        <v>4169</v>
      </c>
      <c r="G1815" s="1367" t="s">
        <v>1086</v>
      </c>
      <c r="H1815" s="1367">
        <v>1.0</v>
      </c>
      <c r="I1815" s="1367">
        <v>1.0</v>
      </c>
      <c r="J1815" s="1367"/>
      <c r="K1815" s="1367"/>
      <c r="L1815" s="1367"/>
      <c r="M1815" s="1010"/>
    </row>
    <row r="1816">
      <c r="A1816" s="1367"/>
      <c r="B1816" s="1367"/>
      <c r="C1816" s="1367"/>
      <c r="D1816" s="1367">
        <v>2023.0</v>
      </c>
      <c r="E1816" s="1367" t="s">
        <v>721</v>
      </c>
      <c r="F1816" s="1367" t="s">
        <v>4164</v>
      </c>
      <c r="G1816" s="1367" t="s">
        <v>4230</v>
      </c>
      <c r="H1816" s="1367">
        <v>2.0</v>
      </c>
      <c r="I1816" s="1367">
        <v>2.0</v>
      </c>
      <c r="J1816" s="1367"/>
      <c r="K1816" s="1367"/>
      <c r="L1816" s="1367"/>
      <c r="M1816" s="1010"/>
    </row>
    <row r="1817">
      <c r="A1817" s="1367"/>
      <c r="B1817" s="1367"/>
      <c r="C1817" s="1367"/>
      <c r="D1817" s="1367">
        <v>2023.0</v>
      </c>
      <c r="E1817" s="1367" t="s">
        <v>721</v>
      </c>
      <c r="F1817" s="1367" t="s">
        <v>4164</v>
      </c>
      <c r="G1817" s="1367" t="s">
        <v>4231</v>
      </c>
      <c r="H1817" s="1367">
        <v>84.0</v>
      </c>
      <c r="I1817" s="1367">
        <v>86.0</v>
      </c>
      <c r="J1817" s="1367"/>
      <c r="K1817" s="1367"/>
      <c r="L1817" s="1367"/>
      <c r="M1817" s="1010"/>
    </row>
    <row r="1818">
      <c r="A1818" s="1367"/>
      <c r="B1818" s="1367"/>
      <c r="C1818" s="1367"/>
      <c r="D1818" s="1367">
        <v>2023.0</v>
      </c>
      <c r="E1818" s="1367" t="s">
        <v>721</v>
      </c>
      <c r="F1818" s="1367" t="s">
        <v>4164</v>
      </c>
      <c r="G1818" s="1367" t="s">
        <v>1086</v>
      </c>
      <c r="H1818" s="1367">
        <v>5.0</v>
      </c>
      <c r="I1818" s="1367">
        <v>5.0</v>
      </c>
      <c r="J1818" s="1367"/>
      <c r="K1818" s="1367"/>
      <c r="L1818" s="1367"/>
      <c r="M1818" s="1010"/>
    </row>
    <row r="1819">
      <c r="A1819" s="1367"/>
      <c r="B1819" s="1367"/>
      <c r="C1819" s="1367"/>
      <c r="D1819" s="1367">
        <v>2023.0</v>
      </c>
      <c r="E1819" s="1367" t="s">
        <v>721</v>
      </c>
      <c r="F1819" s="1367" t="s">
        <v>4164</v>
      </c>
      <c r="G1819" s="1367" t="s">
        <v>4232</v>
      </c>
      <c r="H1819" s="1367">
        <v>1.0</v>
      </c>
      <c r="I1819" s="1367">
        <v>1.0</v>
      </c>
      <c r="J1819" s="1367"/>
      <c r="K1819" s="1367"/>
      <c r="L1819" s="1367"/>
      <c r="M1819" s="1010"/>
    </row>
    <row r="1820">
      <c r="A1820" s="1367"/>
      <c r="B1820" s="1367"/>
      <c r="C1820" s="1367"/>
      <c r="D1820" s="1367">
        <v>2023.0</v>
      </c>
      <c r="E1820" s="1367" t="s">
        <v>721</v>
      </c>
      <c r="F1820" s="1367" t="s">
        <v>4164</v>
      </c>
      <c r="G1820" s="1367" t="s">
        <v>1715</v>
      </c>
      <c r="H1820" s="1367">
        <v>1.0</v>
      </c>
      <c r="I1820" s="1367">
        <v>1.0</v>
      </c>
      <c r="J1820" s="1367"/>
      <c r="K1820" s="1367"/>
      <c r="L1820" s="1367"/>
      <c r="M1820" s="1010"/>
    </row>
    <row r="1821">
      <c r="A1821" s="1367"/>
      <c r="B1821" s="1367"/>
      <c r="C1821" s="1367"/>
      <c r="D1821" s="1367">
        <v>2023.0</v>
      </c>
      <c r="E1821" s="1367" t="s">
        <v>218</v>
      </c>
      <c r="F1821" s="1367" t="s">
        <v>4172</v>
      </c>
      <c r="G1821" s="1367" t="s">
        <v>4230</v>
      </c>
      <c r="H1821" s="1367">
        <v>1557.0</v>
      </c>
      <c r="I1821" s="1367">
        <v>1568.0</v>
      </c>
      <c r="J1821" s="1367"/>
      <c r="K1821" s="1367"/>
      <c r="L1821" s="1367"/>
      <c r="M1821" s="1010"/>
    </row>
    <row r="1822">
      <c r="A1822" s="1367"/>
      <c r="B1822" s="1367"/>
      <c r="C1822" s="1367"/>
      <c r="D1822" s="1367">
        <v>2023.0</v>
      </c>
      <c r="E1822" s="1367" t="s">
        <v>218</v>
      </c>
      <c r="F1822" s="1367" t="s">
        <v>4172</v>
      </c>
      <c r="G1822" s="1367" t="s">
        <v>4231</v>
      </c>
      <c r="H1822" s="1367">
        <v>431.0</v>
      </c>
      <c r="I1822" s="1367">
        <v>432.0</v>
      </c>
      <c r="J1822" s="1367"/>
      <c r="K1822" s="1367"/>
      <c r="L1822" s="1367"/>
      <c r="M1822" s="1010"/>
    </row>
    <row r="1823">
      <c r="A1823" s="1367"/>
      <c r="B1823" s="1367"/>
      <c r="C1823" s="1367"/>
      <c r="D1823" s="1367">
        <v>2023.0</v>
      </c>
      <c r="E1823" s="1367" t="s">
        <v>218</v>
      </c>
      <c r="F1823" s="1367" t="s">
        <v>4172</v>
      </c>
      <c r="G1823" s="1367" t="s">
        <v>71</v>
      </c>
      <c r="H1823" s="1367">
        <v>17.0</v>
      </c>
      <c r="I1823" s="1367">
        <v>17.0</v>
      </c>
      <c r="J1823" s="1367"/>
      <c r="K1823" s="1367"/>
      <c r="L1823" s="1367"/>
      <c r="M1823" s="1010"/>
    </row>
    <row r="1824">
      <c r="A1824" s="1367"/>
      <c r="B1824" s="1367"/>
      <c r="C1824" s="1367"/>
      <c r="D1824" s="1367">
        <v>2023.0</v>
      </c>
      <c r="E1824" s="1367" t="s">
        <v>218</v>
      </c>
      <c r="F1824" s="1367" t="s">
        <v>4172</v>
      </c>
      <c r="G1824" s="1367" t="s">
        <v>1086</v>
      </c>
      <c r="H1824" s="1367">
        <v>1789.0</v>
      </c>
      <c r="I1824" s="1367">
        <v>1802.0</v>
      </c>
      <c r="J1824" s="1367"/>
      <c r="K1824" s="1367"/>
      <c r="L1824" s="1367"/>
      <c r="M1824" s="1010"/>
    </row>
    <row r="1825">
      <c r="A1825" s="1367"/>
      <c r="B1825" s="1367"/>
      <c r="C1825" s="1367"/>
      <c r="D1825" s="1367">
        <v>2023.0</v>
      </c>
      <c r="E1825" s="1367" t="s">
        <v>218</v>
      </c>
      <c r="F1825" s="1367" t="s">
        <v>4172</v>
      </c>
      <c r="G1825" s="1367" t="s">
        <v>1715</v>
      </c>
      <c r="H1825" s="1367">
        <v>198.0</v>
      </c>
      <c r="I1825" s="1367">
        <v>199.0</v>
      </c>
      <c r="J1825" s="1367"/>
      <c r="K1825" s="1367"/>
      <c r="L1825" s="1367"/>
      <c r="M1825" s="1010"/>
    </row>
    <row r="1826">
      <c r="A1826" s="1367"/>
      <c r="B1826" s="1367"/>
      <c r="C1826" s="1367"/>
      <c r="D1826" s="1367">
        <v>2023.0</v>
      </c>
      <c r="E1826" s="1367" t="s">
        <v>775</v>
      </c>
      <c r="F1826" s="1367" t="s">
        <v>4155</v>
      </c>
      <c r="G1826" s="1367" t="s">
        <v>4230</v>
      </c>
      <c r="H1826" s="1367">
        <v>13.0</v>
      </c>
      <c r="I1826" s="1367">
        <v>15.0</v>
      </c>
      <c r="J1826" s="1367"/>
      <c r="K1826" s="1367"/>
      <c r="L1826" s="1367"/>
      <c r="M1826" s="1010"/>
    </row>
    <row r="1827">
      <c r="A1827" s="1367"/>
      <c r="B1827" s="1367"/>
      <c r="C1827" s="1367"/>
      <c r="D1827" s="1367">
        <v>2023.0</v>
      </c>
      <c r="E1827" s="1367" t="s">
        <v>775</v>
      </c>
      <c r="F1827" s="1367" t="s">
        <v>4155</v>
      </c>
      <c r="G1827" s="1367" t="s">
        <v>4231</v>
      </c>
      <c r="H1827" s="1367">
        <v>51.0</v>
      </c>
      <c r="I1827" s="1367">
        <v>52.0</v>
      </c>
      <c r="J1827" s="1367"/>
      <c r="K1827" s="1367"/>
      <c r="L1827" s="1367"/>
      <c r="M1827" s="1010"/>
    </row>
    <row r="1828">
      <c r="A1828" s="1367"/>
      <c r="B1828" s="1367"/>
      <c r="C1828" s="1367"/>
      <c r="D1828" s="1367">
        <v>2023.0</v>
      </c>
      <c r="E1828" s="1367" t="s">
        <v>775</v>
      </c>
      <c r="F1828" s="1367" t="s">
        <v>4155</v>
      </c>
      <c r="G1828" s="1367" t="s">
        <v>1086</v>
      </c>
      <c r="H1828" s="1367">
        <v>25.0</v>
      </c>
      <c r="I1828" s="1367">
        <v>27.0</v>
      </c>
      <c r="J1828" s="1367"/>
      <c r="K1828" s="1367"/>
      <c r="L1828" s="1367"/>
      <c r="M1828" s="1010"/>
    </row>
    <row r="1829">
      <c r="A1829" s="1367"/>
      <c r="B1829" s="1367"/>
      <c r="C1829" s="1367"/>
      <c r="D1829" s="1367">
        <v>2023.0</v>
      </c>
      <c r="E1829" s="1367" t="s">
        <v>775</v>
      </c>
      <c r="F1829" s="1367" t="s">
        <v>4155</v>
      </c>
      <c r="G1829" s="1367" t="s">
        <v>1715</v>
      </c>
      <c r="H1829" s="1367">
        <v>5.0</v>
      </c>
      <c r="I1829" s="1367">
        <v>5.0</v>
      </c>
      <c r="J1829" s="1367"/>
      <c r="K1829" s="1367"/>
      <c r="L1829" s="1367"/>
      <c r="M1829" s="1010"/>
    </row>
    <row r="1830">
      <c r="A1830" s="1367"/>
      <c r="B1830" s="1367"/>
      <c r="C1830" s="1367"/>
      <c r="D1830" s="1367">
        <v>2023.0</v>
      </c>
      <c r="E1830" s="1367" t="s">
        <v>2082</v>
      </c>
      <c r="F1830" s="1367" t="s">
        <v>4170</v>
      </c>
      <c r="G1830" s="1367" t="s">
        <v>4231</v>
      </c>
      <c r="H1830" s="1367">
        <v>4.0</v>
      </c>
      <c r="I1830" s="1367">
        <v>4.0</v>
      </c>
      <c r="J1830" s="1367"/>
      <c r="K1830" s="1367"/>
      <c r="L1830" s="1367"/>
      <c r="M1830" s="1010"/>
    </row>
    <row r="1831">
      <c r="A1831" s="1367"/>
      <c r="B1831" s="1367"/>
      <c r="C1831" s="1367"/>
      <c r="D1831" s="1367">
        <v>2023.0</v>
      </c>
      <c r="E1831" s="1367" t="s">
        <v>2082</v>
      </c>
      <c r="F1831" s="1367" t="s">
        <v>4170</v>
      </c>
      <c r="G1831" s="1367" t="s">
        <v>1086</v>
      </c>
      <c r="H1831" s="1367">
        <v>7.0</v>
      </c>
      <c r="I1831" s="1367">
        <v>7.0</v>
      </c>
      <c r="J1831" s="1367"/>
      <c r="K1831" s="1367"/>
      <c r="L1831" s="1367"/>
      <c r="M1831" s="1010"/>
    </row>
    <row r="1832">
      <c r="A1832" s="1367"/>
      <c r="B1832" s="1367"/>
      <c r="C1832" s="1367"/>
      <c r="D1832" s="1367">
        <v>2023.0</v>
      </c>
      <c r="E1832" s="1367" t="s">
        <v>980</v>
      </c>
      <c r="F1832" s="1367" t="s">
        <v>4169</v>
      </c>
      <c r="G1832" s="1367" t="s">
        <v>4230</v>
      </c>
      <c r="H1832" s="1367">
        <v>1.0</v>
      </c>
      <c r="I1832" s="1367">
        <v>1.0</v>
      </c>
      <c r="J1832" s="1367"/>
      <c r="K1832" s="1367"/>
      <c r="L1832" s="1367"/>
      <c r="M1832" s="1010"/>
    </row>
    <row r="1833">
      <c r="A1833" s="1367"/>
      <c r="B1833" s="1367"/>
      <c r="C1833" s="1367"/>
      <c r="D1833" s="1367">
        <v>2023.0</v>
      </c>
      <c r="E1833" s="1367" t="s">
        <v>980</v>
      </c>
      <c r="F1833" s="1367" t="s">
        <v>4169</v>
      </c>
      <c r="G1833" s="1367" t="s">
        <v>4231</v>
      </c>
      <c r="H1833" s="1367">
        <v>1.0</v>
      </c>
      <c r="I1833" s="1367">
        <v>1.0</v>
      </c>
      <c r="J1833" s="1367"/>
      <c r="K1833" s="1367"/>
      <c r="L1833" s="1367"/>
      <c r="M1833" s="1010"/>
    </row>
    <row r="1834">
      <c r="A1834" s="1367"/>
      <c r="B1834" s="1367"/>
      <c r="C1834" s="1367"/>
      <c r="D1834" s="1367">
        <v>2023.0</v>
      </c>
      <c r="E1834" s="1367" t="s">
        <v>2083</v>
      </c>
      <c r="F1834" s="1367" t="s">
        <v>4173</v>
      </c>
      <c r="G1834" s="1367" t="s">
        <v>4230</v>
      </c>
      <c r="H1834" s="1367">
        <v>28.0</v>
      </c>
      <c r="I1834" s="1367">
        <v>28.0</v>
      </c>
      <c r="J1834" s="1367"/>
      <c r="K1834" s="1367"/>
      <c r="L1834" s="1367"/>
      <c r="M1834" s="1010"/>
    </row>
    <row r="1835">
      <c r="A1835" s="1367"/>
      <c r="B1835" s="1367"/>
      <c r="C1835" s="1367"/>
      <c r="D1835" s="1367">
        <v>2023.0</v>
      </c>
      <c r="E1835" s="1367" t="s">
        <v>2083</v>
      </c>
      <c r="F1835" s="1367" t="s">
        <v>4173</v>
      </c>
      <c r="G1835" s="1367" t="s">
        <v>4231</v>
      </c>
      <c r="H1835" s="1367">
        <v>62.0</v>
      </c>
      <c r="I1835" s="1367">
        <v>62.0</v>
      </c>
      <c r="J1835" s="1367"/>
      <c r="K1835" s="1367"/>
      <c r="L1835" s="1367"/>
      <c r="M1835" s="1010"/>
    </row>
    <row r="1836">
      <c r="A1836" s="1367"/>
      <c r="B1836" s="1367"/>
      <c r="C1836" s="1367"/>
      <c r="D1836" s="1367">
        <v>2023.0</v>
      </c>
      <c r="E1836" s="1367" t="s">
        <v>2083</v>
      </c>
      <c r="F1836" s="1367" t="s">
        <v>4173</v>
      </c>
      <c r="G1836" s="1367" t="s">
        <v>1086</v>
      </c>
      <c r="H1836" s="1367">
        <v>191.0</v>
      </c>
      <c r="I1836" s="1367">
        <v>193.0</v>
      </c>
      <c r="J1836" s="1367"/>
      <c r="K1836" s="1367"/>
      <c r="L1836" s="1367"/>
      <c r="M1836" s="1010"/>
    </row>
    <row r="1837">
      <c r="A1837" s="1367"/>
      <c r="B1837" s="1367"/>
      <c r="C1837" s="1367"/>
      <c r="D1837" s="1367">
        <v>2023.0</v>
      </c>
      <c r="E1837" s="1367" t="s">
        <v>2083</v>
      </c>
      <c r="F1837" s="1367" t="s">
        <v>4173</v>
      </c>
      <c r="G1837" s="1367" t="s">
        <v>1715</v>
      </c>
      <c r="H1837" s="1367">
        <v>13.0</v>
      </c>
      <c r="I1837" s="1367">
        <v>13.0</v>
      </c>
      <c r="J1837" s="1367"/>
      <c r="K1837" s="1367"/>
      <c r="L1837" s="1367"/>
      <c r="M1837" s="1010"/>
    </row>
    <row r="1838">
      <c r="A1838" s="1367"/>
      <c r="B1838" s="1367"/>
      <c r="C1838" s="1367"/>
      <c r="D1838" s="1367">
        <v>2023.0</v>
      </c>
      <c r="E1838" s="1367" t="s">
        <v>2084</v>
      </c>
      <c r="F1838" s="1367" t="s">
        <v>4170</v>
      </c>
      <c r="G1838" s="1367" t="s">
        <v>4231</v>
      </c>
      <c r="H1838" s="1367">
        <v>4.0</v>
      </c>
      <c r="I1838" s="1367">
        <v>8.0</v>
      </c>
      <c r="J1838" s="1367"/>
      <c r="K1838" s="1367"/>
      <c r="L1838" s="1367"/>
      <c r="M1838" s="1010"/>
    </row>
    <row r="1839">
      <c r="A1839" s="1367"/>
      <c r="B1839" s="1367"/>
      <c r="C1839" s="1367"/>
      <c r="D1839" s="1367">
        <v>2023.0</v>
      </c>
      <c r="E1839" s="1367" t="s">
        <v>2084</v>
      </c>
      <c r="F1839" s="1367" t="s">
        <v>4170</v>
      </c>
      <c r="G1839" s="1367" t="s">
        <v>1086</v>
      </c>
      <c r="H1839" s="1367">
        <v>1.0</v>
      </c>
      <c r="I1839" s="1367">
        <v>1.0</v>
      </c>
      <c r="J1839" s="1367"/>
      <c r="K1839" s="1367"/>
      <c r="L1839" s="1367"/>
      <c r="M1839" s="1010"/>
    </row>
    <row r="1840">
      <c r="A1840" s="1367"/>
      <c r="B1840" s="1367"/>
      <c r="C1840" s="1367"/>
      <c r="D1840" s="1367">
        <v>2023.0</v>
      </c>
      <c r="E1840" s="1367" t="s">
        <v>722</v>
      </c>
      <c r="F1840" s="1367" t="s">
        <v>4155</v>
      </c>
      <c r="G1840" s="1367" t="s">
        <v>4230</v>
      </c>
      <c r="H1840" s="1367">
        <v>27.0</v>
      </c>
      <c r="I1840" s="1367">
        <v>27.0</v>
      </c>
      <c r="J1840" s="1367"/>
      <c r="K1840" s="1367"/>
      <c r="L1840" s="1367"/>
      <c r="M1840" s="1010"/>
    </row>
    <row r="1841">
      <c r="A1841" s="1367"/>
      <c r="B1841" s="1367"/>
      <c r="C1841" s="1367"/>
      <c r="D1841" s="1367">
        <v>2023.0</v>
      </c>
      <c r="E1841" s="1367" t="s">
        <v>722</v>
      </c>
      <c r="F1841" s="1367" t="s">
        <v>4155</v>
      </c>
      <c r="G1841" s="1367" t="s">
        <v>4231</v>
      </c>
      <c r="H1841" s="1367">
        <v>206.0</v>
      </c>
      <c r="I1841" s="1367">
        <v>210.0</v>
      </c>
      <c r="J1841" s="1367"/>
      <c r="K1841" s="1367"/>
      <c r="L1841" s="1367"/>
      <c r="M1841" s="1010"/>
    </row>
    <row r="1842">
      <c r="A1842" s="1367"/>
      <c r="B1842" s="1367"/>
      <c r="C1842" s="1367"/>
      <c r="D1842" s="1367">
        <v>2023.0</v>
      </c>
      <c r="E1842" s="1367" t="s">
        <v>722</v>
      </c>
      <c r="F1842" s="1367" t="s">
        <v>4155</v>
      </c>
      <c r="G1842" s="1367" t="s">
        <v>1086</v>
      </c>
      <c r="H1842" s="1367">
        <v>21.0</v>
      </c>
      <c r="I1842" s="1367">
        <v>21.0</v>
      </c>
      <c r="J1842" s="1367"/>
      <c r="K1842" s="1367"/>
      <c r="L1842" s="1367"/>
      <c r="M1842" s="1010"/>
    </row>
    <row r="1843">
      <c r="A1843" s="1367"/>
      <c r="B1843" s="1367"/>
      <c r="C1843" s="1367"/>
      <c r="D1843" s="1367">
        <v>2023.0</v>
      </c>
      <c r="E1843" s="1367" t="s">
        <v>722</v>
      </c>
      <c r="F1843" s="1367" t="s">
        <v>4155</v>
      </c>
      <c r="G1843" s="1367" t="s">
        <v>1715</v>
      </c>
      <c r="H1843" s="1367">
        <v>21.0</v>
      </c>
      <c r="I1843" s="1367">
        <v>21.0</v>
      </c>
      <c r="J1843" s="1367"/>
      <c r="K1843" s="1367"/>
      <c r="L1843" s="1367"/>
      <c r="M1843" s="1010"/>
    </row>
    <row r="1844">
      <c r="A1844" s="1367"/>
      <c r="B1844" s="1367"/>
      <c r="C1844" s="1367"/>
      <c r="D1844" s="1367">
        <v>2023.0</v>
      </c>
      <c r="E1844" s="1367" t="s">
        <v>480</v>
      </c>
      <c r="F1844" s="1367" t="s">
        <v>4168</v>
      </c>
      <c r="G1844" s="1367" t="s">
        <v>4230</v>
      </c>
      <c r="H1844" s="1367">
        <v>3.0</v>
      </c>
      <c r="I1844" s="1367">
        <v>3.0</v>
      </c>
      <c r="J1844" s="1367"/>
      <c r="K1844" s="1367"/>
      <c r="L1844" s="1367"/>
      <c r="M1844" s="1010"/>
    </row>
    <row r="1845">
      <c r="A1845" s="1367"/>
      <c r="B1845" s="1367"/>
      <c r="C1845" s="1367"/>
      <c r="D1845" s="1367">
        <v>2023.0</v>
      </c>
      <c r="E1845" s="1367" t="s">
        <v>480</v>
      </c>
      <c r="F1845" s="1367" t="s">
        <v>4168</v>
      </c>
      <c r="G1845" s="1367" t="s">
        <v>4231</v>
      </c>
      <c r="H1845" s="1367">
        <v>32.0</v>
      </c>
      <c r="I1845" s="1367">
        <v>32.0</v>
      </c>
      <c r="J1845" s="1367"/>
      <c r="K1845" s="1367"/>
      <c r="L1845" s="1367"/>
      <c r="M1845" s="1010"/>
    </row>
    <row r="1846">
      <c r="A1846" s="1367"/>
      <c r="B1846" s="1367"/>
      <c r="C1846" s="1367"/>
      <c r="D1846" s="1367">
        <v>2023.0</v>
      </c>
      <c r="E1846" s="1367" t="s">
        <v>480</v>
      </c>
      <c r="F1846" s="1367" t="s">
        <v>4168</v>
      </c>
      <c r="G1846" s="1367" t="s">
        <v>1086</v>
      </c>
      <c r="H1846" s="1367">
        <v>1596.0</v>
      </c>
      <c r="I1846" s="1367">
        <v>1626.0</v>
      </c>
      <c r="J1846" s="1367"/>
      <c r="K1846" s="1367"/>
      <c r="L1846" s="1367"/>
      <c r="M1846" s="1010"/>
    </row>
    <row r="1847">
      <c r="A1847" s="1367"/>
      <c r="B1847" s="1367"/>
      <c r="C1847" s="1367"/>
      <c r="D1847" s="1367">
        <v>2023.0</v>
      </c>
      <c r="E1847" s="1367" t="s">
        <v>480</v>
      </c>
      <c r="F1847" s="1367" t="s">
        <v>4168</v>
      </c>
      <c r="G1847" s="1367" t="s">
        <v>4232</v>
      </c>
      <c r="H1847" s="1367">
        <v>1.0</v>
      </c>
      <c r="I1847" s="1367">
        <v>1.0</v>
      </c>
      <c r="J1847" s="1367"/>
      <c r="K1847" s="1367"/>
      <c r="L1847" s="1367"/>
      <c r="M1847" s="1010"/>
    </row>
    <row r="1848">
      <c r="A1848" s="1367"/>
      <c r="B1848" s="1367"/>
      <c r="C1848" s="1367"/>
      <c r="D1848" s="1367">
        <v>2023.0</v>
      </c>
      <c r="E1848" s="1367" t="s">
        <v>480</v>
      </c>
      <c r="F1848" s="1367" t="s">
        <v>4168</v>
      </c>
      <c r="G1848" s="1367" t="s">
        <v>1715</v>
      </c>
      <c r="H1848" s="1367">
        <v>15.0</v>
      </c>
      <c r="I1848" s="1367">
        <v>15.0</v>
      </c>
      <c r="J1848" s="1367"/>
      <c r="K1848" s="1367"/>
      <c r="L1848" s="1367"/>
      <c r="M1848" s="1010"/>
    </row>
    <row r="1849">
      <c r="A1849" s="1367"/>
      <c r="B1849" s="1367"/>
      <c r="C1849" s="1367"/>
      <c r="D1849" s="1367">
        <v>2023.0</v>
      </c>
      <c r="E1849" s="1367" t="s">
        <v>1445</v>
      </c>
      <c r="F1849" s="1367" t="s">
        <v>4173</v>
      </c>
      <c r="G1849" s="1367" t="s">
        <v>4230</v>
      </c>
      <c r="H1849" s="1367">
        <v>8.0</v>
      </c>
      <c r="I1849" s="1367">
        <v>8.0</v>
      </c>
      <c r="J1849" s="1367"/>
      <c r="K1849" s="1367"/>
      <c r="L1849" s="1367"/>
      <c r="M1849" s="1010"/>
    </row>
    <row r="1850">
      <c r="A1850" s="1367"/>
      <c r="B1850" s="1367"/>
      <c r="C1850" s="1367"/>
      <c r="D1850" s="1367">
        <v>2023.0</v>
      </c>
      <c r="E1850" s="1367" t="s">
        <v>1445</v>
      </c>
      <c r="F1850" s="1367" t="s">
        <v>4173</v>
      </c>
      <c r="G1850" s="1367" t="s">
        <v>4231</v>
      </c>
      <c r="H1850" s="1367">
        <v>53.0</v>
      </c>
      <c r="I1850" s="1367">
        <v>53.0</v>
      </c>
      <c r="J1850" s="1367"/>
      <c r="K1850" s="1367"/>
      <c r="L1850" s="1367"/>
      <c r="M1850" s="1010"/>
    </row>
    <row r="1851">
      <c r="A1851" s="1367"/>
      <c r="B1851" s="1367"/>
      <c r="C1851" s="1367"/>
      <c r="D1851" s="1367">
        <v>2023.0</v>
      </c>
      <c r="E1851" s="1367" t="s">
        <v>1445</v>
      </c>
      <c r="F1851" s="1367" t="s">
        <v>4173</v>
      </c>
      <c r="G1851" s="1367" t="s">
        <v>1086</v>
      </c>
      <c r="H1851" s="1367">
        <v>31.0</v>
      </c>
      <c r="I1851" s="1367">
        <v>31.0</v>
      </c>
      <c r="J1851" s="1367"/>
      <c r="K1851" s="1367"/>
      <c r="L1851" s="1367"/>
      <c r="M1851" s="1010"/>
    </row>
    <row r="1852">
      <c r="A1852" s="1367"/>
      <c r="B1852" s="1367"/>
      <c r="C1852" s="1367"/>
      <c r="D1852" s="1367">
        <v>2023.0</v>
      </c>
      <c r="E1852" s="1367" t="s">
        <v>1445</v>
      </c>
      <c r="F1852" s="1367" t="s">
        <v>4173</v>
      </c>
      <c r="G1852" s="1367" t="s">
        <v>1715</v>
      </c>
      <c r="H1852" s="1367">
        <v>4.0</v>
      </c>
      <c r="I1852" s="1367">
        <v>4.0</v>
      </c>
      <c r="J1852" s="1367"/>
      <c r="K1852" s="1367"/>
      <c r="L1852" s="1367"/>
      <c r="M1852" s="1010"/>
    </row>
    <row r="1853">
      <c r="A1853" s="1367"/>
      <c r="B1853" s="1367"/>
      <c r="C1853" s="1367"/>
      <c r="D1853" s="1367">
        <v>2023.0</v>
      </c>
      <c r="E1853" s="1367" t="s">
        <v>2087</v>
      </c>
      <c r="F1853" s="1367" t="s">
        <v>4170</v>
      </c>
      <c r="G1853" s="1367" t="s">
        <v>4231</v>
      </c>
      <c r="H1853" s="1367">
        <v>16.0</v>
      </c>
      <c r="I1853" s="1367">
        <v>16.0</v>
      </c>
      <c r="J1853" s="1367"/>
      <c r="K1853" s="1367"/>
      <c r="L1853" s="1367"/>
      <c r="M1853" s="1010"/>
    </row>
    <row r="1854">
      <c r="A1854" s="1367"/>
      <c r="B1854" s="1367"/>
      <c r="C1854" s="1367"/>
      <c r="D1854" s="1367">
        <v>2023.0</v>
      </c>
      <c r="E1854" s="1367" t="s">
        <v>2087</v>
      </c>
      <c r="F1854" s="1367" t="s">
        <v>4170</v>
      </c>
      <c r="G1854" s="1367" t="s">
        <v>1086</v>
      </c>
      <c r="H1854" s="1367">
        <v>49.0</v>
      </c>
      <c r="I1854" s="1367">
        <v>50.0</v>
      </c>
      <c r="J1854" s="1367"/>
      <c r="K1854" s="1367"/>
      <c r="L1854" s="1367"/>
      <c r="M1854" s="1010"/>
    </row>
    <row r="1855">
      <c r="A1855" s="1367"/>
      <c r="B1855" s="1367"/>
      <c r="C1855" s="1367"/>
      <c r="D1855" s="1367">
        <v>2023.0</v>
      </c>
      <c r="E1855" s="1367" t="s">
        <v>2087</v>
      </c>
      <c r="F1855" s="1367" t="s">
        <v>4170</v>
      </c>
      <c r="G1855" s="1367" t="s">
        <v>1715</v>
      </c>
      <c r="H1855" s="1367">
        <v>3.0</v>
      </c>
      <c r="I1855" s="1367">
        <v>3.0</v>
      </c>
      <c r="J1855" s="1367"/>
      <c r="K1855" s="1367"/>
      <c r="L1855" s="1367"/>
      <c r="M1855" s="1010"/>
    </row>
    <row r="1856">
      <c r="A1856" s="1367"/>
      <c r="B1856" s="1367"/>
      <c r="C1856" s="1367"/>
      <c r="D1856" s="1367">
        <v>2023.0</v>
      </c>
      <c r="E1856" s="1367" t="s">
        <v>2088</v>
      </c>
      <c r="F1856" s="1367" t="s">
        <v>4176</v>
      </c>
      <c r="G1856" s="1367" t="s">
        <v>4231</v>
      </c>
      <c r="H1856" s="1367">
        <v>98.0</v>
      </c>
      <c r="I1856" s="1367">
        <v>103.0</v>
      </c>
      <c r="J1856" s="1367"/>
      <c r="K1856" s="1367"/>
      <c r="L1856" s="1367"/>
      <c r="M1856" s="1010"/>
    </row>
    <row r="1857">
      <c r="A1857" s="1367"/>
      <c r="B1857" s="1367"/>
      <c r="C1857" s="1367"/>
      <c r="D1857" s="1367">
        <v>2023.0</v>
      </c>
      <c r="E1857" s="1367" t="s">
        <v>2088</v>
      </c>
      <c r="F1857" s="1367" t="s">
        <v>4176</v>
      </c>
      <c r="G1857" s="1367" t="s">
        <v>1086</v>
      </c>
      <c r="H1857" s="1367">
        <v>27.0</v>
      </c>
      <c r="I1857" s="1367">
        <v>27.0</v>
      </c>
      <c r="J1857" s="1367"/>
      <c r="K1857" s="1367"/>
      <c r="L1857" s="1367"/>
      <c r="M1857" s="1010"/>
    </row>
    <row r="1858">
      <c r="A1858" s="1367"/>
      <c r="B1858" s="1367"/>
      <c r="C1858" s="1367"/>
      <c r="D1858" s="1367">
        <v>2023.0</v>
      </c>
      <c r="E1858" s="1367" t="s">
        <v>2088</v>
      </c>
      <c r="F1858" s="1367" t="s">
        <v>4176</v>
      </c>
      <c r="G1858" s="1367" t="s">
        <v>1715</v>
      </c>
      <c r="H1858" s="1367">
        <v>8.0</v>
      </c>
      <c r="I1858" s="1367">
        <v>8.0</v>
      </c>
      <c r="J1858" s="1367"/>
      <c r="K1858" s="1367"/>
      <c r="L1858" s="1367"/>
      <c r="M1858" s="1010"/>
    </row>
    <row r="1859">
      <c r="A1859" s="1367"/>
      <c r="B1859" s="1367"/>
      <c r="C1859" s="1367"/>
      <c r="D1859" s="1367">
        <v>2023.0</v>
      </c>
      <c r="E1859" s="1367" t="s">
        <v>1099</v>
      </c>
      <c r="F1859" s="1367" t="s">
        <v>4155</v>
      </c>
      <c r="G1859" s="1367" t="s">
        <v>4230</v>
      </c>
      <c r="H1859" s="1367">
        <v>10.0</v>
      </c>
      <c r="I1859" s="1367">
        <v>10.0</v>
      </c>
      <c r="J1859" s="1367"/>
      <c r="K1859" s="1367"/>
      <c r="L1859" s="1367"/>
      <c r="M1859" s="1010"/>
    </row>
    <row r="1860">
      <c r="A1860" s="1367"/>
      <c r="B1860" s="1367"/>
      <c r="C1860" s="1367"/>
      <c r="D1860" s="1367">
        <v>2023.0</v>
      </c>
      <c r="E1860" s="1367" t="s">
        <v>1099</v>
      </c>
      <c r="F1860" s="1367" t="s">
        <v>4155</v>
      </c>
      <c r="G1860" s="1367" t="s">
        <v>4231</v>
      </c>
      <c r="H1860" s="1367">
        <v>80.0</v>
      </c>
      <c r="I1860" s="1367">
        <v>80.0</v>
      </c>
      <c r="J1860" s="1367"/>
      <c r="K1860" s="1367"/>
      <c r="L1860" s="1367"/>
      <c r="M1860" s="1010"/>
    </row>
    <row r="1861">
      <c r="A1861" s="1367"/>
      <c r="B1861" s="1367"/>
      <c r="C1861" s="1367"/>
      <c r="D1861" s="1367">
        <v>2023.0</v>
      </c>
      <c r="E1861" s="1367" t="s">
        <v>1099</v>
      </c>
      <c r="F1861" s="1367" t="s">
        <v>4155</v>
      </c>
      <c r="G1861" s="1367" t="s">
        <v>1086</v>
      </c>
      <c r="H1861" s="1367">
        <v>15.0</v>
      </c>
      <c r="I1861" s="1367">
        <v>15.0</v>
      </c>
      <c r="J1861" s="1367"/>
      <c r="K1861" s="1367"/>
      <c r="L1861" s="1367"/>
      <c r="M1861" s="1010"/>
    </row>
    <row r="1862">
      <c r="A1862" s="1367"/>
      <c r="B1862" s="1367"/>
      <c r="C1862" s="1367"/>
      <c r="D1862" s="1367">
        <v>2023.0</v>
      </c>
      <c r="E1862" s="1367" t="s">
        <v>1099</v>
      </c>
      <c r="F1862" s="1367" t="s">
        <v>4155</v>
      </c>
      <c r="G1862" s="1367" t="s">
        <v>1715</v>
      </c>
      <c r="H1862" s="1367">
        <v>14.0</v>
      </c>
      <c r="I1862" s="1367">
        <v>14.0</v>
      </c>
      <c r="J1862" s="1367"/>
      <c r="K1862" s="1367"/>
      <c r="L1862" s="1367"/>
      <c r="M1862" s="1010"/>
    </row>
    <row r="1863">
      <c r="A1863" s="1367"/>
      <c r="B1863" s="1367"/>
      <c r="C1863" s="1367"/>
      <c r="D1863" s="1367">
        <v>2023.0</v>
      </c>
      <c r="E1863" s="1367" t="s">
        <v>141</v>
      </c>
      <c r="F1863" s="1367" t="s">
        <v>4164</v>
      </c>
      <c r="G1863" s="1367" t="s">
        <v>4230</v>
      </c>
      <c r="H1863" s="1367">
        <v>1.0</v>
      </c>
      <c r="I1863" s="1367">
        <v>1.0</v>
      </c>
      <c r="J1863" s="1367"/>
      <c r="K1863" s="1367"/>
      <c r="L1863" s="1367"/>
      <c r="M1863" s="1010"/>
    </row>
    <row r="1864">
      <c r="A1864" s="1367"/>
      <c r="B1864" s="1367"/>
      <c r="C1864" s="1367"/>
      <c r="D1864" s="1367">
        <v>2023.0</v>
      </c>
      <c r="E1864" s="1367" t="s">
        <v>141</v>
      </c>
      <c r="F1864" s="1367" t="s">
        <v>4164</v>
      </c>
      <c r="G1864" s="1367" t="s">
        <v>4231</v>
      </c>
      <c r="H1864" s="1367">
        <v>15.0</v>
      </c>
      <c r="I1864" s="1367">
        <v>15.0</v>
      </c>
      <c r="J1864" s="1367"/>
      <c r="K1864" s="1367"/>
      <c r="L1864" s="1367"/>
      <c r="M1864" s="1010"/>
    </row>
    <row r="1865">
      <c r="A1865" s="1367"/>
      <c r="B1865" s="1367"/>
      <c r="C1865" s="1367"/>
      <c r="D1865" s="1367">
        <v>2023.0</v>
      </c>
      <c r="E1865" s="1367" t="s">
        <v>141</v>
      </c>
      <c r="F1865" s="1367" t="s">
        <v>4164</v>
      </c>
      <c r="G1865" s="1367" t="s">
        <v>1086</v>
      </c>
      <c r="H1865" s="1367">
        <v>2.0</v>
      </c>
      <c r="I1865" s="1367">
        <v>2.0</v>
      </c>
      <c r="J1865" s="1367"/>
      <c r="K1865" s="1367"/>
      <c r="L1865" s="1367"/>
      <c r="M1865" s="1010"/>
    </row>
    <row r="1866">
      <c r="A1866" s="1367"/>
      <c r="B1866" s="1367"/>
      <c r="C1866" s="1367"/>
      <c r="D1866" s="1367">
        <v>2023.0</v>
      </c>
      <c r="E1866" s="1367" t="s">
        <v>283</v>
      </c>
      <c r="F1866" s="1367" t="s">
        <v>4162</v>
      </c>
      <c r="G1866" s="1367" t="s">
        <v>4230</v>
      </c>
      <c r="H1866" s="1367">
        <v>4.0</v>
      </c>
      <c r="I1866" s="1367">
        <v>4.0</v>
      </c>
      <c r="J1866" s="1367"/>
      <c r="K1866" s="1367"/>
      <c r="L1866" s="1367"/>
      <c r="M1866" s="1010"/>
    </row>
    <row r="1867">
      <c r="A1867" s="1367"/>
      <c r="B1867" s="1367"/>
      <c r="C1867" s="1367"/>
      <c r="D1867" s="1367">
        <v>2023.0</v>
      </c>
      <c r="E1867" s="1367" t="s">
        <v>283</v>
      </c>
      <c r="F1867" s="1367" t="s">
        <v>4162</v>
      </c>
      <c r="G1867" s="1367" t="s">
        <v>4231</v>
      </c>
      <c r="H1867" s="1367">
        <v>19.0</v>
      </c>
      <c r="I1867" s="1367">
        <v>19.0</v>
      </c>
      <c r="J1867" s="1367"/>
      <c r="K1867" s="1367"/>
      <c r="L1867" s="1367"/>
      <c r="M1867" s="1010"/>
    </row>
    <row r="1868">
      <c r="A1868" s="1367"/>
      <c r="B1868" s="1367"/>
      <c r="C1868" s="1367"/>
      <c r="D1868" s="1367">
        <v>2023.0</v>
      </c>
      <c r="E1868" s="1367" t="s">
        <v>283</v>
      </c>
      <c r="F1868" s="1367" t="s">
        <v>4162</v>
      </c>
      <c r="G1868" s="1367" t="s">
        <v>1086</v>
      </c>
      <c r="H1868" s="1367">
        <v>31.0</v>
      </c>
      <c r="I1868" s="1367">
        <v>31.0</v>
      </c>
      <c r="J1868" s="1367"/>
      <c r="K1868" s="1367"/>
      <c r="L1868" s="1367"/>
      <c r="M1868" s="1010"/>
    </row>
    <row r="1869">
      <c r="A1869" s="1367"/>
      <c r="B1869" s="1367"/>
      <c r="C1869" s="1367"/>
      <c r="D1869" s="1367">
        <v>2023.0</v>
      </c>
      <c r="E1869" s="1367" t="s">
        <v>283</v>
      </c>
      <c r="F1869" s="1367" t="s">
        <v>4162</v>
      </c>
      <c r="G1869" s="1367" t="s">
        <v>1715</v>
      </c>
      <c r="H1869" s="1367">
        <v>4.0</v>
      </c>
      <c r="I1869" s="1367">
        <v>4.0</v>
      </c>
      <c r="J1869" s="1367"/>
      <c r="K1869" s="1367"/>
      <c r="L1869" s="1367"/>
      <c r="M1869" s="1010"/>
    </row>
    <row r="1870">
      <c r="A1870" s="1367"/>
      <c r="B1870" s="1367"/>
      <c r="C1870" s="1367"/>
      <c r="D1870" s="1367">
        <v>2023.0</v>
      </c>
      <c r="E1870" s="1367" t="s">
        <v>2089</v>
      </c>
      <c r="F1870" s="1367" t="s">
        <v>4175</v>
      </c>
      <c r="G1870" s="1367" t="s">
        <v>4231</v>
      </c>
      <c r="H1870" s="1367">
        <v>6.0</v>
      </c>
      <c r="I1870" s="1367">
        <v>7.0</v>
      </c>
      <c r="J1870" s="1367"/>
      <c r="K1870" s="1367"/>
      <c r="L1870" s="1367"/>
      <c r="M1870" s="1010"/>
    </row>
    <row r="1871">
      <c r="A1871" s="1367"/>
      <c r="B1871" s="1367"/>
      <c r="C1871" s="1367"/>
      <c r="D1871" s="1367">
        <v>2023.0</v>
      </c>
      <c r="E1871" s="1367" t="s">
        <v>2089</v>
      </c>
      <c r="F1871" s="1367" t="s">
        <v>4175</v>
      </c>
      <c r="G1871" s="1367" t="s">
        <v>1086</v>
      </c>
      <c r="H1871" s="1367">
        <v>1.0</v>
      </c>
      <c r="I1871" s="1367">
        <v>1.0</v>
      </c>
      <c r="J1871" s="1367"/>
      <c r="K1871" s="1367"/>
      <c r="L1871" s="1367"/>
      <c r="M1871" s="1010"/>
    </row>
    <row r="1872">
      <c r="A1872" s="1367"/>
      <c r="B1872" s="1367"/>
      <c r="C1872" s="1367"/>
      <c r="D1872" s="1367">
        <v>2023.0</v>
      </c>
      <c r="E1872" s="1367" t="s">
        <v>2090</v>
      </c>
      <c r="F1872" s="1367" t="s">
        <v>4176</v>
      </c>
      <c r="G1872" s="1367" t="s">
        <v>4230</v>
      </c>
      <c r="H1872" s="1367">
        <v>14.0</v>
      </c>
      <c r="I1872" s="1367">
        <v>14.0</v>
      </c>
      <c r="J1872" s="1367"/>
      <c r="K1872" s="1367"/>
      <c r="L1872" s="1367"/>
      <c r="M1872" s="1010"/>
    </row>
    <row r="1873">
      <c r="A1873" s="1367"/>
      <c r="B1873" s="1367"/>
      <c r="C1873" s="1367"/>
      <c r="D1873" s="1367">
        <v>2023.0</v>
      </c>
      <c r="E1873" s="1367" t="s">
        <v>2090</v>
      </c>
      <c r="F1873" s="1367" t="s">
        <v>4176</v>
      </c>
      <c r="G1873" s="1367" t="s">
        <v>4231</v>
      </c>
      <c r="H1873" s="1367">
        <v>56.0</v>
      </c>
      <c r="I1873" s="1367">
        <v>56.0</v>
      </c>
      <c r="J1873" s="1367"/>
      <c r="K1873" s="1367"/>
      <c r="L1873" s="1367"/>
      <c r="M1873" s="1010"/>
    </row>
    <row r="1874">
      <c r="A1874" s="1367"/>
      <c r="B1874" s="1367"/>
      <c r="C1874" s="1367"/>
      <c r="D1874" s="1367">
        <v>2023.0</v>
      </c>
      <c r="E1874" s="1367" t="s">
        <v>2090</v>
      </c>
      <c r="F1874" s="1367" t="s">
        <v>4176</v>
      </c>
      <c r="G1874" s="1367" t="s">
        <v>1086</v>
      </c>
      <c r="H1874" s="1367">
        <v>33.0</v>
      </c>
      <c r="I1874" s="1367">
        <v>33.0</v>
      </c>
      <c r="J1874" s="1367"/>
      <c r="K1874" s="1367"/>
      <c r="L1874" s="1367"/>
      <c r="M1874" s="1010"/>
    </row>
    <row r="1875">
      <c r="A1875" s="1367"/>
      <c r="B1875" s="1367"/>
      <c r="C1875" s="1367"/>
      <c r="D1875" s="1367">
        <v>2023.0</v>
      </c>
      <c r="E1875" s="1367" t="s">
        <v>2090</v>
      </c>
      <c r="F1875" s="1367" t="s">
        <v>4176</v>
      </c>
      <c r="G1875" s="1367" t="s">
        <v>1715</v>
      </c>
      <c r="H1875" s="1367">
        <v>15.0</v>
      </c>
      <c r="I1875" s="1367">
        <v>15.0</v>
      </c>
      <c r="J1875" s="1367"/>
      <c r="K1875" s="1367"/>
      <c r="L1875" s="1367"/>
      <c r="M1875" s="1010"/>
    </row>
    <row r="1876">
      <c r="A1876" s="1367"/>
      <c r="B1876" s="1367"/>
      <c r="C1876" s="1367"/>
      <c r="D1876" s="1367">
        <v>2023.0</v>
      </c>
      <c r="E1876" s="1367" t="s">
        <v>1860</v>
      </c>
      <c r="F1876" s="1367" t="s">
        <v>4170</v>
      </c>
      <c r="G1876" s="1367" t="s">
        <v>4230</v>
      </c>
      <c r="H1876" s="1367">
        <v>4.0</v>
      </c>
      <c r="I1876" s="1367">
        <v>4.0</v>
      </c>
      <c r="J1876" s="1367"/>
      <c r="K1876" s="1367"/>
      <c r="L1876" s="1367"/>
      <c r="M1876" s="1010"/>
    </row>
    <row r="1877">
      <c r="A1877" s="1367"/>
      <c r="B1877" s="1367"/>
      <c r="C1877" s="1367"/>
      <c r="D1877" s="1367">
        <v>2023.0</v>
      </c>
      <c r="E1877" s="1367" t="s">
        <v>1860</v>
      </c>
      <c r="F1877" s="1367" t="s">
        <v>4170</v>
      </c>
      <c r="G1877" s="1367" t="s">
        <v>4231</v>
      </c>
      <c r="H1877" s="1367">
        <v>76.0</v>
      </c>
      <c r="I1877" s="1367">
        <v>79.0</v>
      </c>
      <c r="J1877" s="1367"/>
      <c r="K1877" s="1367"/>
      <c r="L1877" s="1367"/>
      <c r="M1877" s="1010"/>
    </row>
    <row r="1878">
      <c r="A1878" s="1367"/>
      <c r="B1878" s="1367"/>
      <c r="C1878" s="1367"/>
      <c r="D1878" s="1367">
        <v>2023.0</v>
      </c>
      <c r="E1878" s="1367" t="s">
        <v>1860</v>
      </c>
      <c r="F1878" s="1367" t="s">
        <v>4170</v>
      </c>
      <c r="G1878" s="1367" t="s">
        <v>1086</v>
      </c>
      <c r="H1878" s="1367">
        <v>33.0</v>
      </c>
      <c r="I1878" s="1367">
        <v>33.0</v>
      </c>
      <c r="J1878" s="1367"/>
      <c r="K1878" s="1367"/>
      <c r="L1878" s="1367"/>
      <c r="M1878" s="1010"/>
    </row>
    <row r="1879">
      <c r="A1879" s="1367"/>
      <c r="B1879" s="1367"/>
      <c r="C1879" s="1367"/>
      <c r="D1879" s="1367">
        <v>2023.0</v>
      </c>
      <c r="E1879" s="1367" t="s">
        <v>1860</v>
      </c>
      <c r="F1879" s="1367" t="s">
        <v>4170</v>
      </c>
      <c r="G1879" s="1367" t="s">
        <v>1715</v>
      </c>
      <c r="H1879" s="1367">
        <v>4.0</v>
      </c>
      <c r="I1879" s="1367">
        <v>4.0</v>
      </c>
      <c r="J1879" s="1367"/>
      <c r="K1879" s="1367"/>
      <c r="L1879" s="1367"/>
      <c r="M1879" s="1010"/>
    </row>
    <row r="1880">
      <c r="A1880" s="1367"/>
      <c r="B1880" s="1367"/>
      <c r="C1880" s="1367"/>
      <c r="D1880" s="1367">
        <v>2023.0</v>
      </c>
      <c r="E1880" s="1367" t="s">
        <v>2093</v>
      </c>
      <c r="F1880" s="1367" t="s">
        <v>4162</v>
      </c>
      <c r="G1880" s="1367" t="s">
        <v>1086</v>
      </c>
      <c r="H1880" s="1367">
        <v>1.0</v>
      </c>
      <c r="I1880" s="1367">
        <v>1.0</v>
      </c>
      <c r="J1880" s="1367"/>
      <c r="K1880" s="1367"/>
      <c r="L1880" s="1367"/>
      <c r="M1880" s="1010"/>
    </row>
    <row r="1881">
      <c r="A1881" s="1367"/>
      <c r="B1881" s="1367"/>
      <c r="C1881" s="1367"/>
      <c r="D1881" s="1367">
        <v>2023.0</v>
      </c>
      <c r="E1881" s="1367" t="s">
        <v>2094</v>
      </c>
      <c r="F1881" s="1367" t="s">
        <v>4169</v>
      </c>
      <c r="G1881" s="1367" t="s">
        <v>4231</v>
      </c>
      <c r="H1881" s="1367">
        <v>17.0</v>
      </c>
      <c r="I1881" s="1367">
        <v>17.0</v>
      </c>
      <c r="J1881" s="1367"/>
      <c r="K1881" s="1367"/>
      <c r="L1881" s="1367"/>
      <c r="M1881" s="1010"/>
    </row>
    <row r="1882">
      <c r="A1882" s="1367"/>
      <c r="B1882" s="1367"/>
      <c r="C1882" s="1367"/>
      <c r="D1882" s="1367">
        <v>2023.0</v>
      </c>
      <c r="E1882" s="1367" t="s">
        <v>2094</v>
      </c>
      <c r="F1882" s="1367" t="s">
        <v>4169</v>
      </c>
      <c r="G1882" s="1367" t="s">
        <v>1086</v>
      </c>
      <c r="H1882" s="1367">
        <v>1.0</v>
      </c>
      <c r="I1882" s="1367">
        <v>1.0</v>
      </c>
      <c r="J1882" s="1367"/>
      <c r="K1882" s="1367"/>
      <c r="L1882" s="1367"/>
      <c r="M1882" s="1010"/>
    </row>
    <row r="1883">
      <c r="A1883" s="1367"/>
      <c r="B1883" s="1367"/>
      <c r="C1883" s="1367"/>
      <c r="D1883" s="1367">
        <v>2023.0</v>
      </c>
      <c r="E1883" s="1367" t="s">
        <v>2094</v>
      </c>
      <c r="F1883" s="1367" t="s">
        <v>4169</v>
      </c>
      <c r="G1883" s="1367" t="s">
        <v>1715</v>
      </c>
      <c r="H1883" s="1367">
        <v>1.0</v>
      </c>
      <c r="I1883" s="1367">
        <v>1.0</v>
      </c>
      <c r="J1883" s="1367"/>
      <c r="K1883" s="1367"/>
      <c r="L1883" s="1367"/>
      <c r="M1883" s="1010"/>
    </row>
    <row r="1884">
      <c r="A1884" s="1367"/>
      <c r="B1884" s="1367"/>
      <c r="C1884" s="1367"/>
      <c r="D1884" s="1367">
        <v>2023.0</v>
      </c>
      <c r="E1884" s="1367" t="s">
        <v>142</v>
      </c>
      <c r="F1884" s="1367" t="s">
        <v>4171</v>
      </c>
      <c r="G1884" s="1367" t="s">
        <v>4230</v>
      </c>
      <c r="H1884" s="1367">
        <v>1.0</v>
      </c>
      <c r="I1884" s="1367">
        <v>1.0</v>
      </c>
      <c r="J1884" s="1367"/>
      <c r="K1884" s="1367"/>
      <c r="L1884" s="1367"/>
      <c r="M1884" s="1010"/>
    </row>
    <row r="1885">
      <c r="A1885" s="1367"/>
      <c r="B1885" s="1367"/>
      <c r="C1885" s="1367"/>
      <c r="D1885" s="1367">
        <v>2023.0</v>
      </c>
      <c r="E1885" s="1367" t="s">
        <v>142</v>
      </c>
      <c r="F1885" s="1367" t="s">
        <v>4171</v>
      </c>
      <c r="G1885" s="1367" t="s">
        <v>4231</v>
      </c>
      <c r="H1885" s="1367">
        <v>2.0</v>
      </c>
      <c r="I1885" s="1367">
        <v>2.0</v>
      </c>
      <c r="J1885" s="1367"/>
      <c r="K1885" s="1367"/>
      <c r="L1885" s="1367"/>
      <c r="M1885" s="1010"/>
    </row>
    <row r="1886">
      <c r="A1886" s="1367"/>
      <c r="B1886" s="1367"/>
      <c r="C1886" s="1367"/>
      <c r="D1886" s="1367">
        <v>2023.0</v>
      </c>
      <c r="E1886" s="1367" t="s">
        <v>142</v>
      </c>
      <c r="F1886" s="1367" t="s">
        <v>4171</v>
      </c>
      <c r="G1886" s="1367" t="s">
        <v>1086</v>
      </c>
      <c r="H1886" s="1367">
        <v>25.0</v>
      </c>
      <c r="I1886" s="1367">
        <v>25.0</v>
      </c>
      <c r="J1886" s="1367"/>
      <c r="K1886" s="1367"/>
      <c r="L1886" s="1367"/>
      <c r="M1886" s="1010"/>
    </row>
    <row r="1887">
      <c r="A1887" s="1367"/>
      <c r="B1887" s="1367"/>
      <c r="C1887" s="1367"/>
      <c r="D1887" s="1367">
        <v>2023.0</v>
      </c>
      <c r="E1887" s="1367" t="s">
        <v>142</v>
      </c>
      <c r="F1887" s="1367" t="s">
        <v>4171</v>
      </c>
      <c r="G1887" s="1367" t="s">
        <v>1715</v>
      </c>
      <c r="H1887" s="1367">
        <v>2.0</v>
      </c>
      <c r="I1887" s="1367">
        <v>2.0</v>
      </c>
      <c r="J1887" s="1367"/>
      <c r="K1887" s="1367"/>
      <c r="L1887" s="1367"/>
      <c r="M1887" s="1010"/>
    </row>
    <row r="1888">
      <c r="A1888" s="1367"/>
      <c r="B1888" s="1367"/>
      <c r="C1888" s="1367"/>
      <c r="D1888" s="1367">
        <v>2023.0</v>
      </c>
      <c r="E1888" s="1367" t="s">
        <v>593</v>
      </c>
      <c r="F1888" s="1367" t="s">
        <v>4164</v>
      </c>
      <c r="G1888" s="1367" t="s">
        <v>4230</v>
      </c>
      <c r="H1888" s="1367">
        <v>11.0</v>
      </c>
      <c r="I1888" s="1367">
        <v>11.0</v>
      </c>
      <c r="J1888" s="1367"/>
      <c r="K1888" s="1367"/>
      <c r="L1888" s="1367"/>
      <c r="M1888" s="1010"/>
    </row>
    <row r="1889">
      <c r="A1889" s="1367"/>
      <c r="B1889" s="1367"/>
      <c r="C1889" s="1367"/>
      <c r="D1889" s="1367">
        <v>2023.0</v>
      </c>
      <c r="E1889" s="1367" t="s">
        <v>593</v>
      </c>
      <c r="F1889" s="1367" t="s">
        <v>4164</v>
      </c>
      <c r="G1889" s="1367" t="s">
        <v>4231</v>
      </c>
      <c r="H1889" s="1367">
        <v>37.0</v>
      </c>
      <c r="I1889" s="1367">
        <v>38.0</v>
      </c>
      <c r="J1889" s="1367"/>
      <c r="K1889" s="1367"/>
      <c r="L1889" s="1367"/>
      <c r="M1889" s="1010"/>
    </row>
    <row r="1890">
      <c r="A1890" s="1367"/>
      <c r="B1890" s="1367"/>
      <c r="C1890" s="1367"/>
      <c r="D1890" s="1367">
        <v>2023.0</v>
      </c>
      <c r="E1890" s="1367" t="s">
        <v>593</v>
      </c>
      <c r="F1890" s="1367" t="s">
        <v>4164</v>
      </c>
      <c r="G1890" s="1367" t="s">
        <v>1086</v>
      </c>
      <c r="H1890" s="1367">
        <v>5.0</v>
      </c>
      <c r="I1890" s="1367">
        <v>5.0</v>
      </c>
      <c r="J1890" s="1367"/>
      <c r="K1890" s="1367"/>
      <c r="L1890" s="1367"/>
      <c r="M1890" s="1010"/>
    </row>
    <row r="1891">
      <c r="A1891" s="1367"/>
      <c r="B1891" s="1367"/>
      <c r="C1891" s="1367"/>
      <c r="D1891" s="1367">
        <v>2023.0</v>
      </c>
      <c r="E1891" s="1367" t="s">
        <v>593</v>
      </c>
      <c r="F1891" s="1367" t="s">
        <v>4164</v>
      </c>
      <c r="G1891" s="1367" t="s">
        <v>1715</v>
      </c>
      <c r="H1891" s="1367">
        <v>5.0</v>
      </c>
      <c r="I1891" s="1367">
        <v>7.0</v>
      </c>
      <c r="J1891" s="1367"/>
      <c r="K1891" s="1367"/>
      <c r="L1891" s="1367"/>
      <c r="M1891" s="1010"/>
    </row>
    <row r="1892">
      <c r="A1892" s="1367"/>
      <c r="B1892" s="1367"/>
      <c r="C1892" s="1367"/>
      <c r="D1892" s="1367">
        <v>2023.0</v>
      </c>
      <c r="E1892" s="1367" t="s">
        <v>594</v>
      </c>
      <c r="F1892" s="1367" t="s">
        <v>4175</v>
      </c>
      <c r="G1892" s="1367" t="s">
        <v>1086</v>
      </c>
      <c r="H1892" s="1367">
        <v>1.0</v>
      </c>
      <c r="I1892" s="1367">
        <v>1.0</v>
      </c>
      <c r="J1892" s="1367"/>
      <c r="K1892" s="1367"/>
      <c r="L1892" s="1367"/>
      <c r="M1892" s="1010"/>
    </row>
    <row r="1893">
      <c r="A1893" s="1367"/>
      <c r="B1893" s="1367"/>
      <c r="C1893" s="1367"/>
      <c r="D1893" s="1367">
        <v>2023.0</v>
      </c>
      <c r="E1893" s="1367" t="s">
        <v>143</v>
      </c>
      <c r="F1893" s="1367" t="s">
        <v>4164</v>
      </c>
      <c r="G1893" s="1367" t="s">
        <v>4230</v>
      </c>
      <c r="H1893" s="1367">
        <v>201.0</v>
      </c>
      <c r="I1893" s="1367">
        <v>201.0</v>
      </c>
      <c r="J1893" s="1367"/>
      <c r="K1893" s="1367"/>
      <c r="L1893" s="1367"/>
      <c r="M1893" s="1010"/>
    </row>
    <row r="1894">
      <c r="A1894" s="1367"/>
      <c r="B1894" s="1367"/>
      <c r="C1894" s="1367"/>
      <c r="D1894" s="1367">
        <v>2023.0</v>
      </c>
      <c r="E1894" s="1367" t="s">
        <v>143</v>
      </c>
      <c r="F1894" s="1367" t="s">
        <v>4164</v>
      </c>
      <c r="G1894" s="1367" t="s">
        <v>4231</v>
      </c>
      <c r="H1894" s="1367">
        <v>54.0</v>
      </c>
      <c r="I1894" s="1367">
        <v>56.0</v>
      </c>
      <c r="J1894" s="1367"/>
      <c r="K1894" s="1367"/>
      <c r="L1894" s="1367"/>
      <c r="M1894" s="1010"/>
    </row>
    <row r="1895">
      <c r="A1895" s="1367"/>
      <c r="B1895" s="1367"/>
      <c r="C1895" s="1367"/>
      <c r="D1895" s="1367">
        <v>2023.0</v>
      </c>
      <c r="E1895" s="1367" t="s">
        <v>143</v>
      </c>
      <c r="F1895" s="1367" t="s">
        <v>4164</v>
      </c>
      <c r="G1895" s="1367" t="s">
        <v>1086</v>
      </c>
      <c r="H1895" s="1367">
        <v>49.0</v>
      </c>
      <c r="I1895" s="1367">
        <v>49.0</v>
      </c>
      <c r="J1895" s="1367"/>
      <c r="K1895" s="1367"/>
      <c r="L1895" s="1367"/>
      <c r="M1895" s="1010"/>
    </row>
    <row r="1896">
      <c r="A1896" s="1367"/>
      <c r="B1896" s="1367"/>
      <c r="C1896" s="1367"/>
      <c r="D1896" s="1367">
        <v>2023.0</v>
      </c>
      <c r="E1896" s="1367" t="s">
        <v>143</v>
      </c>
      <c r="F1896" s="1367" t="s">
        <v>4164</v>
      </c>
      <c r="G1896" s="1367" t="s">
        <v>1715</v>
      </c>
      <c r="H1896" s="1367">
        <v>24.0</v>
      </c>
      <c r="I1896" s="1367">
        <v>24.0</v>
      </c>
      <c r="J1896" s="1367"/>
      <c r="K1896" s="1367"/>
      <c r="L1896" s="1367"/>
      <c r="M1896" s="1010"/>
    </row>
    <row r="1897">
      <c r="A1897" s="1367"/>
      <c r="B1897" s="1367"/>
      <c r="C1897" s="1367"/>
      <c r="D1897" s="1367">
        <v>2023.0</v>
      </c>
      <c r="E1897" s="1367" t="s">
        <v>2095</v>
      </c>
      <c r="F1897" s="1367" t="s">
        <v>4168</v>
      </c>
      <c r="G1897" s="1367" t="s">
        <v>1086</v>
      </c>
      <c r="H1897" s="1367">
        <v>26.0</v>
      </c>
      <c r="I1897" s="1367">
        <v>26.0</v>
      </c>
      <c r="J1897" s="1367"/>
      <c r="K1897" s="1367"/>
      <c r="L1897" s="1367"/>
      <c r="M1897" s="1010"/>
    </row>
    <row r="1898">
      <c r="A1898" s="1367"/>
      <c r="B1898" s="1367"/>
      <c r="C1898" s="1367"/>
      <c r="D1898" s="1367">
        <v>2023.0</v>
      </c>
      <c r="E1898" s="1367" t="s">
        <v>2096</v>
      </c>
      <c r="F1898" s="1367" t="s">
        <v>4168</v>
      </c>
      <c r="G1898" s="1367" t="s">
        <v>4230</v>
      </c>
      <c r="H1898" s="1367">
        <v>1.0</v>
      </c>
      <c r="I1898" s="1367">
        <v>1.0</v>
      </c>
      <c r="J1898" s="1367"/>
      <c r="K1898" s="1367"/>
      <c r="L1898" s="1367"/>
      <c r="M1898" s="1010"/>
    </row>
    <row r="1899">
      <c r="A1899" s="1367"/>
      <c r="B1899" s="1367"/>
      <c r="C1899" s="1367"/>
      <c r="D1899" s="1367">
        <v>2023.0</v>
      </c>
      <c r="E1899" s="1367" t="s">
        <v>2096</v>
      </c>
      <c r="F1899" s="1367" t="s">
        <v>4168</v>
      </c>
      <c r="G1899" s="1367" t="s">
        <v>4231</v>
      </c>
      <c r="H1899" s="1367">
        <v>9.0</v>
      </c>
      <c r="I1899" s="1367">
        <v>9.0</v>
      </c>
      <c r="J1899" s="1367"/>
      <c r="K1899" s="1367"/>
      <c r="L1899" s="1367"/>
      <c r="M1899" s="1010"/>
    </row>
    <row r="1900">
      <c r="A1900" s="1367"/>
      <c r="B1900" s="1367"/>
      <c r="C1900" s="1367"/>
      <c r="D1900" s="1367">
        <v>2023.0</v>
      </c>
      <c r="E1900" s="1367" t="s">
        <v>2096</v>
      </c>
      <c r="F1900" s="1367" t="s">
        <v>4168</v>
      </c>
      <c r="G1900" s="1367" t="s">
        <v>1086</v>
      </c>
      <c r="H1900" s="1367">
        <v>177.0</v>
      </c>
      <c r="I1900" s="1367">
        <v>185.0</v>
      </c>
      <c r="J1900" s="1367"/>
      <c r="K1900" s="1367"/>
      <c r="L1900" s="1367"/>
      <c r="M1900" s="1010"/>
    </row>
    <row r="1901">
      <c r="A1901" s="1367"/>
      <c r="B1901" s="1367"/>
      <c r="C1901" s="1367"/>
      <c r="D1901" s="1367">
        <v>2023.0</v>
      </c>
      <c r="E1901" s="1367" t="s">
        <v>2096</v>
      </c>
      <c r="F1901" s="1367" t="s">
        <v>4168</v>
      </c>
      <c r="G1901" s="1367" t="s">
        <v>1715</v>
      </c>
      <c r="H1901" s="1367">
        <v>10.0</v>
      </c>
      <c r="I1901" s="1367">
        <v>10.0</v>
      </c>
      <c r="J1901" s="1367"/>
      <c r="K1901" s="1367"/>
      <c r="L1901" s="1367"/>
      <c r="M1901" s="1010"/>
    </row>
    <row r="1902">
      <c r="A1902" s="1367"/>
      <c r="B1902" s="1367"/>
      <c r="C1902" s="1367"/>
      <c r="D1902" s="1367">
        <v>2023.0</v>
      </c>
      <c r="E1902" s="1367" t="s">
        <v>288</v>
      </c>
      <c r="F1902" s="1367" t="s">
        <v>4176</v>
      </c>
      <c r="G1902" s="1367" t="s">
        <v>4230</v>
      </c>
      <c r="H1902" s="1367">
        <v>20.0</v>
      </c>
      <c r="I1902" s="1367">
        <v>20.0</v>
      </c>
      <c r="J1902" s="1367"/>
      <c r="K1902" s="1367"/>
      <c r="L1902" s="1367"/>
      <c r="M1902" s="1010"/>
    </row>
    <row r="1903">
      <c r="A1903" s="1367"/>
      <c r="B1903" s="1367"/>
      <c r="C1903" s="1367"/>
      <c r="D1903" s="1367">
        <v>2023.0</v>
      </c>
      <c r="E1903" s="1367" t="s">
        <v>288</v>
      </c>
      <c r="F1903" s="1367" t="s">
        <v>4176</v>
      </c>
      <c r="G1903" s="1367" t="s">
        <v>4231</v>
      </c>
      <c r="H1903" s="1367">
        <v>279.0</v>
      </c>
      <c r="I1903" s="1367">
        <v>284.0</v>
      </c>
      <c r="J1903" s="1367"/>
      <c r="K1903" s="1367"/>
      <c r="L1903" s="1367"/>
      <c r="M1903" s="1010"/>
    </row>
    <row r="1904">
      <c r="A1904" s="1367"/>
      <c r="B1904" s="1367"/>
      <c r="C1904" s="1367"/>
      <c r="D1904" s="1367">
        <v>2023.0</v>
      </c>
      <c r="E1904" s="1367" t="s">
        <v>288</v>
      </c>
      <c r="F1904" s="1367" t="s">
        <v>4176</v>
      </c>
      <c r="G1904" s="1367" t="s">
        <v>1086</v>
      </c>
      <c r="H1904" s="1367">
        <v>122.0</v>
      </c>
      <c r="I1904" s="1367">
        <v>122.0</v>
      </c>
      <c r="J1904" s="1367"/>
      <c r="K1904" s="1367"/>
      <c r="L1904" s="1367"/>
      <c r="M1904" s="1010"/>
    </row>
    <row r="1905">
      <c r="A1905" s="1367"/>
      <c r="B1905" s="1367"/>
      <c r="C1905" s="1367"/>
      <c r="D1905" s="1367">
        <v>2023.0</v>
      </c>
      <c r="E1905" s="1367" t="s">
        <v>288</v>
      </c>
      <c r="F1905" s="1367" t="s">
        <v>4176</v>
      </c>
      <c r="G1905" s="1367" t="s">
        <v>4232</v>
      </c>
      <c r="H1905" s="1367">
        <v>1.0</v>
      </c>
      <c r="I1905" s="1367">
        <v>1.0</v>
      </c>
      <c r="J1905" s="1367"/>
      <c r="K1905" s="1367"/>
      <c r="L1905" s="1367"/>
      <c r="M1905" s="1010"/>
    </row>
    <row r="1906">
      <c r="A1906" s="1367"/>
      <c r="B1906" s="1367"/>
      <c r="C1906" s="1367"/>
      <c r="D1906" s="1367">
        <v>2023.0</v>
      </c>
      <c r="E1906" s="1367" t="s">
        <v>288</v>
      </c>
      <c r="F1906" s="1367" t="s">
        <v>4176</v>
      </c>
      <c r="G1906" s="1367" t="s">
        <v>1715</v>
      </c>
      <c r="H1906" s="1367">
        <v>50.0</v>
      </c>
      <c r="I1906" s="1367">
        <v>50.0</v>
      </c>
      <c r="J1906" s="1367"/>
      <c r="K1906" s="1367"/>
      <c r="L1906" s="1367"/>
      <c r="M1906" s="1010"/>
    </row>
    <row r="1907">
      <c r="A1907" s="1367"/>
      <c r="B1907" s="1367"/>
      <c r="C1907" s="1367"/>
      <c r="D1907" s="1367">
        <v>2023.0</v>
      </c>
      <c r="E1907" s="1367" t="s">
        <v>598</v>
      </c>
      <c r="F1907" s="1367" t="s">
        <v>4169</v>
      </c>
      <c r="G1907" s="1367" t="s">
        <v>4230</v>
      </c>
      <c r="H1907" s="1367">
        <v>1.0</v>
      </c>
      <c r="I1907" s="1367">
        <v>1.0</v>
      </c>
      <c r="J1907" s="1367"/>
      <c r="K1907" s="1367"/>
      <c r="L1907" s="1367"/>
      <c r="M1907" s="1010"/>
    </row>
    <row r="1908">
      <c r="A1908" s="1367"/>
      <c r="B1908" s="1367"/>
      <c r="C1908" s="1367"/>
      <c r="D1908" s="1367">
        <v>2023.0</v>
      </c>
      <c r="E1908" s="1367" t="s">
        <v>598</v>
      </c>
      <c r="F1908" s="1367" t="s">
        <v>4169</v>
      </c>
      <c r="G1908" s="1367" t="s">
        <v>4231</v>
      </c>
      <c r="H1908" s="1367">
        <v>10.0</v>
      </c>
      <c r="I1908" s="1367">
        <v>10.0</v>
      </c>
      <c r="J1908" s="1367"/>
      <c r="K1908" s="1367"/>
      <c r="L1908" s="1367"/>
      <c r="M1908" s="1010"/>
    </row>
    <row r="1909">
      <c r="A1909" s="1367"/>
      <c r="B1909" s="1367"/>
      <c r="C1909" s="1367"/>
      <c r="D1909" s="1367">
        <v>2023.0</v>
      </c>
      <c r="E1909" s="1367" t="s">
        <v>598</v>
      </c>
      <c r="F1909" s="1367" t="s">
        <v>4169</v>
      </c>
      <c r="G1909" s="1367" t="s">
        <v>1086</v>
      </c>
      <c r="H1909" s="1367">
        <v>12.0</v>
      </c>
      <c r="I1909" s="1367">
        <v>12.0</v>
      </c>
      <c r="J1909" s="1367"/>
      <c r="K1909" s="1367"/>
      <c r="L1909" s="1367"/>
      <c r="M1909" s="1010"/>
    </row>
    <row r="1910">
      <c r="A1910" s="1367"/>
      <c r="B1910" s="1367"/>
      <c r="C1910" s="1367"/>
      <c r="D1910" s="1367">
        <v>2023.0</v>
      </c>
      <c r="E1910" s="1367" t="s">
        <v>598</v>
      </c>
      <c r="F1910" s="1367" t="s">
        <v>4169</v>
      </c>
      <c r="G1910" s="1367" t="s">
        <v>1715</v>
      </c>
      <c r="H1910" s="1367">
        <v>5.0</v>
      </c>
      <c r="I1910" s="1367">
        <v>5.0</v>
      </c>
      <c r="J1910" s="1367"/>
      <c r="K1910" s="1367"/>
      <c r="L1910" s="1367"/>
      <c r="M1910" s="1010"/>
    </row>
    <row r="1911">
      <c r="A1911" s="1367"/>
      <c r="B1911" s="1367"/>
      <c r="C1911" s="1367"/>
      <c r="D1911" s="1367">
        <v>2023.0</v>
      </c>
      <c r="E1911" s="1367" t="s">
        <v>2097</v>
      </c>
      <c r="F1911" s="1367" t="s">
        <v>4171</v>
      </c>
      <c r="G1911" s="1367" t="s">
        <v>4231</v>
      </c>
      <c r="H1911" s="1367">
        <v>3.0</v>
      </c>
      <c r="I1911" s="1367">
        <v>3.0</v>
      </c>
      <c r="J1911" s="1367"/>
      <c r="K1911" s="1367"/>
      <c r="L1911" s="1367"/>
      <c r="M1911" s="1010"/>
    </row>
    <row r="1912">
      <c r="A1912" s="1367"/>
      <c r="B1912" s="1367"/>
      <c r="C1912" s="1367"/>
      <c r="D1912" s="1367">
        <v>2023.0</v>
      </c>
      <c r="E1912" s="1367" t="s">
        <v>2097</v>
      </c>
      <c r="F1912" s="1367" t="s">
        <v>4171</v>
      </c>
      <c r="G1912" s="1367" t="s">
        <v>1086</v>
      </c>
      <c r="H1912" s="1367">
        <v>26.0</v>
      </c>
      <c r="I1912" s="1367">
        <v>26.0</v>
      </c>
      <c r="J1912" s="1367"/>
      <c r="K1912" s="1367"/>
      <c r="L1912" s="1367"/>
      <c r="M1912" s="1010"/>
    </row>
    <row r="1913">
      <c r="A1913" s="1367"/>
      <c r="B1913" s="1367"/>
      <c r="C1913" s="1367"/>
      <c r="D1913" s="1367">
        <v>2023.0</v>
      </c>
      <c r="E1913" s="1367" t="s">
        <v>2097</v>
      </c>
      <c r="F1913" s="1367" t="s">
        <v>4171</v>
      </c>
      <c r="G1913" s="1367" t="s">
        <v>1715</v>
      </c>
      <c r="H1913" s="1367">
        <v>1.0</v>
      </c>
      <c r="I1913" s="1367">
        <v>1.0</v>
      </c>
      <c r="J1913" s="1367"/>
      <c r="K1913" s="1367"/>
      <c r="L1913" s="1367"/>
      <c r="M1913" s="1010"/>
    </row>
    <row r="1914">
      <c r="A1914" s="1367"/>
      <c r="B1914" s="1367"/>
      <c r="C1914" s="1367"/>
      <c r="D1914" s="1367">
        <v>2023.0</v>
      </c>
      <c r="E1914" s="1367" t="s">
        <v>2098</v>
      </c>
      <c r="F1914" s="1367" t="s">
        <v>4176</v>
      </c>
      <c r="G1914" s="1367" t="s">
        <v>4230</v>
      </c>
      <c r="H1914" s="1367">
        <v>69.0</v>
      </c>
      <c r="I1914" s="1367">
        <v>72.0</v>
      </c>
      <c r="J1914" s="1367"/>
      <c r="K1914" s="1367"/>
      <c r="L1914" s="1367"/>
      <c r="M1914" s="1010"/>
    </row>
    <row r="1915">
      <c r="A1915" s="1367"/>
      <c r="B1915" s="1367"/>
      <c r="C1915" s="1367"/>
      <c r="D1915" s="1367">
        <v>2023.0</v>
      </c>
      <c r="E1915" s="1367" t="s">
        <v>2098</v>
      </c>
      <c r="F1915" s="1367" t="s">
        <v>4176</v>
      </c>
      <c r="G1915" s="1367" t="s">
        <v>4231</v>
      </c>
      <c r="H1915" s="1367">
        <v>43.0</v>
      </c>
      <c r="I1915" s="1367">
        <v>43.0</v>
      </c>
      <c r="J1915" s="1367"/>
      <c r="K1915" s="1367"/>
      <c r="L1915" s="1367"/>
      <c r="M1915" s="1010"/>
    </row>
    <row r="1916">
      <c r="A1916" s="1367"/>
      <c r="B1916" s="1367"/>
      <c r="C1916" s="1367"/>
      <c r="D1916" s="1367">
        <v>2023.0</v>
      </c>
      <c r="E1916" s="1367" t="s">
        <v>2098</v>
      </c>
      <c r="F1916" s="1367" t="s">
        <v>4176</v>
      </c>
      <c r="G1916" s="1367" t="s">
        <v>1086</v>
      </c>
      <c r="H1916" s="1367">
        <v>53.0</v>
      </c>
      <c r="I1916" s="1367">
        <v>53.0</v>
      </c>
      <c r="J1916" s="1367"/>
      <c r="K1916" s="1367"/>
      <c r="L1916" s="1367"/>
      <c r="M1916" s="1010"/>
    </row>
    <row r="1917">
      <c r="A1917" s="1367"/>
      <c r="B1917" s="1367"/>
      <c r="C1917" s="1367"/>
      <c r="D1917" s="1367">
        <v>2023.0</v>
      </c>
      <c r="E1917" s="1367" t="s">
        <v>2098</v>
      </c>
      <c r="F1917" s="1367" t="s">
        <v>4176</v>
      </c>
      <c r="G1917" s="1367" t="s">
        <v>1715</v>
      </c>
      <c r="H1917" s="1367">
        <v>8.0</v>
      </c>
      <c r="I1917" s="1367">
        <v>8.0</v>
      </c>
      <c r="J1917" s="1367"/>
      <c r="K1917" s="1367"/>
      <c r="L1917" s="1367"/>
      <c r="M1917" s="1010"/>
    </row>
    <row r="1918">
      <c r="A1918" s="1367"/>
      <c r="B1918" s="1367"/>
      <c r="C1918" s="1367"/>
      <c r="D1918" s="1367">
        <v>2023.0</v>
      </c>
      <c r="E1918" s="1367" t="s">
        <v>727</v>
      </c>
      <c r="F1918" s="1367" t="s">
        <v>4171</v>
      </c>
      <c r="G1918" s="1367" t="s">
        <v>4231</v>
      </c>
      <c r="H1918" s="1367">
        <v>33.0</v>
      </c>
      <c r="I1918" s="1367">
        <v>33.0</v>
      </c>
      <c r="J1918" s="1367"/>
      <c r="K1918" s="1367"/>
      <c r="L1918" s="1367"/>
      <c r="M1918" s="1010"/>
    </row>
    <row r="1919">
      <c r="A1919" s="1367"/>
      <c r="B1919" s="1367"/>
      <c r="C1919" s="1367"/>
      <c r="D1919" s="1367">
        <v>2023.0</v>
      </c>
      <c r="E1919" s="1367" t="s">
        <v>727</v>
      </c>
      <c r="F1919" s="1367" t="s">
        <v>4171</v>
      </c>
      <c r="G1919" s="1367" t="s">
        <v>71</v>
      </c>
      <c r="H1919" s="1367">
        <v>2.0</v>
      </c>
      <c r="I1919" s="1367">
        <v>2.0</v>
      </c>
      <c r="J1919" s="1367"/>
      <c r="K1919" s="1367"/>
      <c r="L1919" s="1367"/>
      <c r="M1919" s="1010"/>
    </row>
    <row r="1920">
      <c r="A1920" s="1367"/>
      <c r="B1920" s="1367"/>
      <c r="C1920" s="1367"/>
      <c r="D1920" s="1367">
        <v>2023.0</v>
      </c>
      <c r="E1920" s="1367" t="s">
        <v>727</v>
      </c>
      <c r="F1920" s="1367" t="s">
        <v>4171</v>
      </c>
      <c r="G1920" s="1367" t="s">
        <v>1086</v>
      </c>
      <c r="H1920" s="1367">
        <v>27.0</v>
      </c>
      <c r="I1920" s="1367">
        <v>27.0</v>
      </c>
      <c r="J1920" s="1367"/>
      <c r="K1920" s="1367"/>
      <c r="L1920" s="1367"/>
      <c r="M1920" s="1010"/>
    </row>
    <row r="1921">
      <c r="A1921" s="1367"/>
      <c r="B1921" s="1367"/>
      <c r="C1921" s="1367"/>
      <c r="D1921" s="1367">
        <v>2023.0</v>
      </c>
      <c r="E1921" s="1367" t="s">
        <v>727</v>
      </c>
      <c r="F1921" s="1367" t="s">
        <v>4171</v>
      </c>
      <c r="G1921" s="1367" t="s">
        <v>1715</v>
      </c>
      <c r="H1921" s="1367">
        <v>2.0</v>
      </c>
      <c r="I1921" s="1367">
        <v>3.0</v>
      </c>
      <c r="J1921" s="1367"/>
      <c r="K1921" s="1367"/>
      <c r="L1921" s="1367"/>
      <c r="M1921" s="1010"/>
    </row>
    <row r="1922">
      <c r="A1922" s="1367"/>
      <c r="B1922" s="1367"/>
      <c r="C1922" s="1367"/>
      <c r="D1922" s="1367">
        <v>2023.0</v>
      </c>
      <c r="E1922" s="1367" t="s">
        <v>2099</v>
      </c>
      <c r="F1922" s="1367" t="s">
        <v>4168</v>
      </c>
      <c r="G1922" s="1367" t="s">
        <v>4231</v>
      </c>
      <c r="H1922" s="1367">
        <v>3.0</v>
      </c>
      <c r="I1922" s="1367">
        <v>3.0</v>
      </c>
      <c r="J1922" s="1367"/>
      <c r="K1922" s="1367"/>
      <c r="L1922" s="1367"/>
      <c r="M1922" s="1010"/>
    </row>
    <row r="1923">
      <c r="A1923" s="1367"/>
      <c r="B1923" s="1367"/>
      <c r="C1923" s="1367"/>
      <c r="D1923" s="1367">
        <v>2023.0</v>
      </c>
      <c r="E1923" s="1367" t="s">
        <v>474</v>
      </c>
      <c r="F1923" s="1367" t="s">
        <v>4169</v>
      </c>
      <c r="G1923" s="1367" t="s">
        <v>4231</v>
      </c>
      <c r="H1923" s="1367">
        <v>4.0</v>
      </c>
      <c r="I1923" s="1367">
        <v>4.0</v>
      </c>
      <c r="J1923" s="1367"/>
      <c r="K1923" s="1367"/>
      <c r="L1923" s="1367"/>
      <c r="M1923" s="1010"/>
    </row>
    <row r="1924">
      <c r="A1924" s="1367"/>
      <c r="B1924" s="1367"/>
      <c r="C1924" s="1367"/>
      <c r="D1924" s="1367">
        <v>2023.0</v>
      </c>
      <c r="E1924" s="1367" t="s">
        <v>2100</v>
      </c>
      <c r="F1924" s="1367" t="s">
        <v>4171</v>
      </c>
      <c r="G1924" s="1367" t="s">
        <v>4230</v>
      </c>
      <c r="H1924" s="1367">
        <v>3.0</v>
      </c>
      <c r="I1924" s="1367">
        <v>3.0</v>
      </c>
      <c r="J1924" s="1367"/>
      <c r="K1924" s="1367"/>
      <c r="L1924" s="1367"/>
      <c r="M1924" s="1010"/>
    </row>
    <row r="1925">
      <c r="A1925" s="1367"/>
      <c r="B1925" s="1367"/>
      <c r="C1925" s="1367"/>
      <c r="D1925" s="1367">
        <v>2023.0</v>
      </c>
      <c r="E1925" s="1367" t="s">
        <v>2100</v>
      </c>
      <c r="F1925" s="1367" t="s">
        <v>4171</v>
      </c>
      <c r="G1925" s="1367" t="s">
        <v>4231</v>
      </c>
      <c r="H1925" s="1367">
        <v>59.0</v>
      </c>
      <c r="I1925" s="1367">
        <v>62.0</v>
      </c>
      <c r="J1925" s="1367"/>
      <c r="K1925" s="1367"/>
      <c r="L1925" s="1367"/>
      <c r="M1925" s="1010"/>
    </row>
    <row r="1926">
      <c r="A1926" s="1367"/>
      <c r="B1926" s="1367"/>
      <c r="C1926" s="1367"/>
      <c r="D1926" s="1367">
        <v>2023.0</v>
      </c>
      <c r="E1926" s="1367" t="s">
        <v>2100</v>
      </c>
      <c r="F1926" s="1367" t="s">
        <v>4171</v>
      </c>
      <c r="G1926" s="1367" t="s">
        <v>1086</v>
      </c>
      <c r="H1926" s="1367">
        <v>95.0</v>
      </c>
      <c r="I1926" s="1367">
        <v>105.0</v>
      </c>
      <c r="J1926" s="1367"/>
      <c r="K1926" s="1367"/>
      <c r="L1926" s="1367"/>
      <c r="M1926" s="1010"/>
    </row>
    <row r="1927">
      <c r="A1927" s="1367"/>
      <c r="B1927" s="1367"/>
      <c r="C1927" s="1367"/>
      <c r="D1927" s="1367">
        <v>2023.0</v>
      </c>
      <c r="E1927" s="1367" t="s">
        <v>2100</v>
      </c>
      <c r="F1927" s="1367" t="s">
        <v>4171</v>
      </c>
      <c r="G1927" s="1367" t="s">
        <v>1715</v>
      </c>
      <c r="H1927" s="1367">
        <v>1.0</v>
      </c>
      <c r="I1927" s="1367">
        <v>1.0</v>
      </c>
      <c r="J1927" s="1367"/>
      <c r="K1927" s="1367"/>
      <c r="L1927" s="1367"/>
      <c r="M1927" s="1010"/>
    </row>
    <row r="1928">
      <c r="A1928" s="1367"/>
      <c r="B1928" s="1367"/>
      <c r="C1928" s="1367"/>
      <c r="D1928" s="1367">
        <v>2023.0</v>
      </c>
      <c r="E1928" s="1367" t="s">
        <v>2101</v>
      </c>
      <c r="F1928" s="1367" t="s">
        <v>4162</v>
      </c>
      <c r="G1928" s="1367" t="s">
        <v>4231</v>
      </c>
      <c r="H1928" s="1367">
        <v>11.0</v>
      </c>
      <c r="I1928" s="1367">
        <v>11.0</v>
      </c>
      <c r="J1928" s="1367"/>
      <c r="K1928" s="1367"/>
      <c r="L1928" s="1367"/>
      <c r="M1928" s="1010"/>
    </row>
    <row r="1929">
      <c r="A1929" s="1367"/>
      <c r="B1929" s="1367"/>
      <c r="C1929" s="1367"/>
      <c r="D1929" s="1367">
        <v>2023.0</v>
      </c>
      <c r="E1929" s="1367" t="s">
        <v>2101</v>
      </c>
      <c r="F1929" s="1367" t="s">
        <v>4162</v>
      </c>
      <c r="G1929" s="1367" t="s">
        <v>1086</v>
      </c>
      <c r="H1929" s="1367">
        <v>9.0</v>
      </c>
      <c r="I1929" s="1367">
        <v>11.0</v>
      </c>
      <c r="J1929" s="1367"/>
      <c r="K1929" s="1367"/>
      <c r="L1929" s="1367"/>
      <c r="M1929" s="1010"/>
    </row>
    <row r="1930">
      <c r="A1930" s="1367"/>
      <c r="B1930" s="1367"/>
      <c r="C1930" s="1367"/>
      <c r="D1930" s="1367">
        <v>2023.0</v>
      </c>
      <c r="E1930" s="1367" t="s">
        <v>2102</v>
      </c>
      <c r="F1930" s="1367" t="s">
        <v>4171</v>
      </c>
      <c r="G1930" s="1367" t="s">
        <v>4231</v>
      </c>
      <c r="H1930" s="1367">
        <v>4.0</v>
      </c>
      <c r="I1930" s="1367">
        <v>4.0</v>
      </c>
      <c r="J1930" s="1367"/>
      <c r="K1930" s="1367"/>
      <c r="L1930" s="1367"/>
      <c r="M1930" s="1010"/>
    </row>
    <row r="1931">
      <c r="A1931" s="1367"/>
      <c r="B1931" s="1367"/>
      <c r="C1931" s="1367"/>
      <c r="D1931" s="1367">
        <v>2023.0</v>
      </c>
      <c r="E1931" s="1367" t="s">
        <v>2102</v>
      </c>
      <c r="F1931" s="1367" t="s">
        <v>4171</v>
      </c>
      <c r="G1931" s="1367" t="s">
        <v>1086</v>
      </c>
      <c r="H1931" s="1367">
        <v>10.0</v>
      </c>
      <c r="I1931" s="1367">
        <v>10.0</v>
      </c>
      <c r="J1931" s="1367"/>
      <c r="K1931" s="1367"/>
      <c r="L1931" s="1367"/>
      <c r="M1931" s="1010"/>
    </row>
    <row r="1932">
      <c r="A1932" s="1367"/>
      <c r="B1932" s="1367"/>
      <c r="C1932" s="1367"/>
      <c r="D1932" s="1367">
        <v>2023.0</v>
      </c>
      <c r="E1932" s="1367" t="s">
        <v>2103</v>
      </c>
      <c r="F1932" s="1367" t="s">
        <v>4168</v>
      </c>
      <c r="G1932" s="1367" t="s">
        <v>4230</v>
      </c>
      <c r="H1932" s="1367">
        <v>2.0</v>
      </c>
      <c r="I1932" s="1367">
        <v>2.0</v>
      </c>
      <c r="J1932" s="1367"/>
      <c r="K1932" s="1367"/>
      <c r="L1932" s="1367"/>
      <c r="M1932" s="1010"/>
    </row>
    <row r="1933">
      <c r="A1933" s="1367"/>
      <c r="B1933" s="1367"/>
      <c r="C1933" s="1367"/>
      <c r="D1933" s="1367">
        <v>2023.0</v>
      </c>
      <c r="E1933" s="1367" t="s">
        <v>2103</v>
      </c>
      <c r="F1933" s="1367" t="s">
        <v>4168</v>
      </c>
      <c r="G1933" s="1367" t="s">
        <v>4231</v>
      </c>
      <c r="H1933" s="1367">
        <v>15.0</v>
      </c>
      <c r="I1933" s="1367">
        <v>15.0</v>
      </c>
      <c r="J1933" s="1367"/>
      <c r="K1933" s="1367"/>
      <c r="L1933" s="1367"/>
      <c r="M1933" s="1010"/>
    </row>
    <row r="1934">
      <c r="A1934" s="1367"/>
      <c r="B1934" s="1367"/>
      <c r="C1934" s="1367"/>
      <c r="D1934" s="1367">
        <v>2023.0</v>
      </c>
      <c r="E1934" s="1367" t="s">
        <v>2103</v>
      </c>
      <c r="F1934" s="1367" t="s">
        <v>4168</v>
      </c>
      <c r="G1934" s="1367" t="s">
        <v>1086</v>
      </c>
      <c r="H1934" s="1367">
        <v>141.0</v>
      </c>
      <c r="I1934" s="1367">
        <v>143.0</v>
      </c>
      <c r="J1934" s="1367"/>
      <c r="K1934" s="1367"/>
      <c r="L1934" s="1367"/>
      <c r="M1934" s="1010"/>
    </row>
    <row r="1935">
      <c r="A1935" s="1367"/>
      <c r="B1935" s="1367"/>
      <c r="C1935" s="1367"/>
      <c r="D1935" s="1367">
        <v>2023.0</v>
      </c>
      <c r="E1935" s="1367" t="s">
        <v>2103</v>
      </c>
      <c r="F1935" s="1367" t="s">
        <v>4168</v>
      </c>
      <c r="G1935" s="1367" t="s">
        <v>1715</v>
      </c>
      <c r="H1935" s="1367">
        <v>7.0</v>
      </c>
      <c r="I1935" s="1367">
        <v>7.0</v>
      </c>
      <c r="J1935" s="1367"/>
      <c r="K1935" s="1367"/>
      <c r="L1935" s="1367"/>
      <c r="M1935" s="1010"/>
    </row>
    <row r="1936">
      <c r="A1936" s="1367"/>
      <c r="B1936" s="1367"/>
      <c r="C1936" s="1367"/>
      <c r="D1936" s="1367">
        <v>2023.0</v>
      </c>
      <c r="E1936" s="1367" t="s">
        <v>728</v>
      </c>
      <c r="F1936" s="1367" t="s">
        <v>4169</v>
      </c>
      <c r="G1936" s="1367" t="s">
        <v>4230</v>
      </c>
      <c r="H1936" s="1367">
        <v>1.0</v>
      </c>
      <c r="I1936" s="1367">
        <v>1.0</v>
      </c>
      <c r="J1936" s="1367"/>
      <c r="K1936" s="1367"/>
      <c r="L1936" s="1367"/>
      <c r="M1936" s="1010"/>
    </row>
    <row r="1937">
      <c r="A1937" s="1367"/>
      <c r="B1937" s="1367"/>
      <c r="C1937" s="1367"/>
      <c r="D1937" s="1367">
        <v>2023.0</v>
      </c>
      <c r="E1937" s="1367" t="s">
        <v>728</v>
      </c>
      <c r="F1937" s="1367" t="s">
        <v>4169</v>
      </c>
      <c r="G1937" s="1367" t="s">
        <v>4231</v>
      </c>
      <c r="H1937" s="1367">
        <v>10.0</v>
      </c>
      <c r="I1937" s="1367">
        <v>10.0</v>
      </c>
      <c r="J1937" s="1367"/>
      <c r="K1937" s="1367"/>
      <c r="L1937" s="1367"/>
      <c r="M1937" s="1010"/>
    </row>
    <row r="1938">
      <c r="A1938" s="1367"/>
      <c r="B1938" s="1367"/>
      <c r="C1938" s="1367"/>
      <c r="D1938" s="1367">
        <v>2023.0</v>
      </c>
      <c r="E1938" s="1367" t="s">
        <v>728</v>
      </c>
      <c r="F1938" s="1367" t="s">
        <v>4169</v>
      </c>
      <c r="G1938" s="1367" t="s">
        <v>1086</v>
      </c>
      <c r="H1938" s="1367">
        <v>11.0</v>
      </c>
      <c r="I1938" s="1367">
        <v>11.0</v>
      </c>
      <c r="J1938" s="1367"/>
      <c r="K1938" s="1367"/>
      <c r="L1938" s="1367"/>
      <c r="M1938" s="1010"/>
    </row>
    <row r="1939">
      <c r="A1939" s="1367"/>
      <c r="B1939" s="1367"/>
      <c r="C1939" s="1367"/>
      <c r="D1939" s="1367">
        <v>2023.0</v>
      </c>
      <c r="E1939" s="1367" t="s">
        <v>728</v>
      </c>
      <c r="F1939" s="1367" t="s">
        <v>4169</v>
      </c>
      <c r="G1939" s="1367" t="s">
        <v>1715</v>
      </c>
      <c r="H1939" s="1367">
        <v>1.0</v>
      </c>
      <c r="I1939" s="1367">
        <v>1.0</v>
      </c>
      <c r="J1939" s="1367"/>
      <c r="K1939" s="1367"/>
      <c r="L1939" s="1367"/>
      <c r="M1939" s="1010"/>
    </row>
    <row r="1940">
      <c r="A1940" s="1367"/>
      <c r="B1940" s="1367"/>
      <c r="C1940" s="1367"/>
      <c r="D1940" s="1367">
        <v>2023.0</v>
      </c>
      <c r="E1940" s="1367" t="s">
        <v>144</v>
      </c>
      <c r="F1940" s="1367" t="s">
        <v>4155</v>
      </c>
      <c r="G1940" s="1367" t="s">
        <v>4230</v>
      </c>
      <c r="H1940" s="1367">
        <v>54.0</v>
      </c>
      <c r="I1940" s="1367">
        <v>55.0</v>
      </c>
      <c r="J1940" s="1367"/>
      <c r="K1940" s="1367"/>
      <c r="L1940" s="1367"/>
      <c r="M1940" s="1010"/>
    </row>
    <row r="1941">
      <c r="A1941" s="1367"/>
      <c r="B1941" s="1367"/>
      <c r="C1941" s="1367"/>
      <c r="D1941" s="1367">
        <v>2023.0</v>
      </c>
      <c r="E1941" s="1367" t="s">
        <v>144</v>
      </c>
      <c r="F1941" s="1367" t="s">
        <v>4155</v>
      </c>
      <c r="G1941" s="1367" t="s">
        <v>4231</v>
      </c>
      <c r="H1941" s="1367">
        <v>87.0</v>
      </c>
      <c r="I1941" s="1367">
        <v>91.0</v>
      </c>
      <c r="J1941" s="1367"/>
      <c r="K1941" s="1367"/>
      <c r="L1941" s="1367"/>
      <c r="M1941" s="1010"/>
    </row>
    <row r="1942">
      <c r="A1942" s="1367"/>
      <c r="B1942" s="1367"/>
      <c r="C1942" s="1367"/>
      <c r="D1942" s="1367">
        <v>2023.0</v>
      </c>
      <c r="E1942" s="1367" t="s">
        <v>144</v>
      </c>
      <c r="F1942" s="1367" t="s">
        <v>4155</v>
      </c>
      <c r="G1942" s="1367" t="s">
        <v>71</v>
      </c>
      <c r="H1942" s="1367">
        <v>1.0</v>
      </c>
      <c r="I1942" s="1367">
        <v>1.0</v>
      </c>
      <c r="J1942" s="1367"/>
      <c r="K1942" s="1367"/>
      <c r="L1942" s="1367"/>
      <c r="M1942" s="1010"/>
    </row>
    <row r="1943">
      <c r="A1943" s="1367"/>
      <c r="B1943" s="1367"/>
      <c r="C1943" s="1367"/>
      <c r="D1943" s="1367">
        <v>2023.0</v>
      </c>
      <c r="E1943" s="1367" t="s">
        <v>144</v>
      </c>
      <c r="F1943" s="1367" t="s">
        <v>4155</v>
      </c>
      <c r="G1943" s="1367" t="s">
        <v>1086</v>
      </c>
      <c r="H1943" s="1367">
        <v>10.0</v>
      </c>
      <c r="I1943" s="1367">
        <v>10.0</v>
      </c>
      <c r="J1943" s="1367"/>
      <c r="K1943" s="1367"/>
      <c r="L1943" s="1367"/>
      <c r="M1943" s="1010"/>
    </row>
    <row r="1944">
      <c r="A1944" s="1367"/>
      <c r="B1944" s="1367"/>
      <c r="C1944" s="1367"/>
      <c r="D1944" s="1367">
        <v>2023.0</v>
      </c>
      <c r="E1944" s="1367" t="s">
        <v>144</v>
      </c>
      <c r="F1944" s="1367" t="s">
        <v>4155</v>
      </c>
      <c r="G1944" s="1367" t="s">
        <v>4232</v>
      </c>
      <c r="H1944" s="1367">
        <v>1.0</v>
      </c>
      <c r="I1944" s="1367">
        <v>1.0</v>
      </c>
      <c r="J1944" s="1367"/>
      <c r="K1944" s="1367"/>
      <c r="L1944" s="1367"/>
      <c r="M1944" s="1010"/>
    </row>
    <row r="1945">
      <c r="A1945" s="1367"/>
      <c r="B1945" s="1367"/>
      <c r="C1945" s="1367"/>
      <c r="D1945" s="1367">
        <v>2023.0</v>
      </c>
      <c r="E1945" s="1367" t="s">
        <v>144</v>
      </c>
      <c r="F1945" s="1367" t="s">
        <v>4155</v>
      </c>
      <c r="G1945" s="1367" t="s">
        <v>1715</v>
      </c>
      <c r="H1945" s="1367">
        <v>29.0</v>
      </c>
      <c r="I1945" s="1367">
        <v>30.0</v>
      </c>
      <c r="J1945" s="1367"/>
      <c r="K1945" s="1367"/>
      <c r="L1945" s="1367"/>
      <c r="M1945" s="1010"/>
    </row>
    <row r="1946">
      <c r="A1946" s="1367"/>
      <c r="B1946" s="1367"/>
      <c r="C1946" s="1367"/>
      <c r="D1946" s="1367">
        <v>2023.0</v>
      </c>
      <c r="E1946" s="1367" t="s">
        <v>2104</v>
      </c>
      <c r="F1946" s="1367" t="s">
        <v>4170</v>
      </c>
      <c r="G1946" s="1367" t="s">
        <v>4230</v>
      </c>
      <c r="H1946" s="1367">
        <v>1.0</v>
      </c>
      <c r="I1946" s="1367">
        <v>1.0</v>
      </c>
      <c r="J1946" s="1367"/>
      <c r="K1946" s="1367"/>
      <c r="L1946" s="1367"/>
      <c r="M1946" s="1010"/>
    </row>
    <row r="1947">
      <c r="A1947" s="1367"/>
      <c r="B1947" s="1367"/>
      <c r="C1947" s="1367"/>
      <c r="D1947" s="1367">
        <v>2023.0</v>
      </c>
      <c r="E1947" s="1367" t="s">
        <v>2104</v>
      </c>
      <c r="F1947" s="1367" t="s">
        <v>4170</v>
      </c>
      <c r="G1947" s="1367" t="s">
        <v>4231</v>
      </c>
      <c r="H1947" s="1367">
        <v>9.0</v>
      </c>
      <c r="I1947" s="1367">
        <v>12.0</v>
      </c>
      <c r="J1947" s="1367"/>
      <c r="K1947" s="1367"/>
      <c r="L1947" s="1367"/>
      <c r="M1947" s="1010"/>
    </row>
    <row r="1948">
      <c r="A1948" s="1367"/>
      <c r="B1948" s="1367"/>
      <c r="C1948" s="1367"/>
      <c r="D1948" s="1367">
        <v>2023.0</v>
      </c>
      <c r="E1948" s="1367" t="s">
        <v>2104</v>
      </c>
      <c r="F1948" s="1367" t="s">
        <v>4170</v>
      </c>
      <c r="G1948" s="1367" t="s">
        <v>1086</v>
      </c>
      <c r="H1948" s="1367">
        <v>30.0</v>
      </c>
      <c r="I1948" s="1367">
        <v>40.0</v>
      </c>
      <c r="J1948" s="1367"/>
      <c r="K1948" s="1367"/>
      <c r="L1948" s="1367"/>
      <c r="M1948" s="1010"/>
    </row>
    <row r="1949">
      <c r="A1949" s="1367"/>
      <c r="B1949" s="1367"/>
      <c r="C1949" s="1367"/>
      <c r="D1949" s="1367">
        <v>2023.0</v>
      </c>
      <c r="E1949" s="1367" t="s">
        <v>2104</v>
      </c>
      <c r="F1949" s="1367" t="s">
        <v>4170</v>
      </c>
      <c r="G1949" s="1367" t="s">
        <v>1715</v>
      </c>
      <c r="H1949" s="1367">
        <v>1.0</v>
      </c>
      <c r="I1949" s="1367">
        <v>1.0</v>
      </c>
      <c r="J1949" s="1367"/>
      <c r="K1949" s="1367"/>
      <c r="L1949" s="1367"/>
      <c r="M1949" s="1010"/>
    </row>
    <row r="1950">
      <c r="A1950" s="1367"/>
      <c r="B1950" s="1367"/>
      <c r="C1950" s="1367"/>
      <c r="D1950" s="1367">
        <v>2023.0</v>
      </c>
      <c r="E1950" s="1367" t="s">
        <v>2105</v>
      </c>
      <c r="F1950" s="1367" t="s">
        <v>4173</v>
      </c>
      <c r="G1950" s="1367" t="s">
        <v>4230</v>
      </c>
      <c r="H1950" s="1367">
        <v>2.0</v>
      </c>
      <c r="I1950" s="1367">
        <v>2.0</v>
      </c>
      <c r="J1950" s="1367"/>
      <c r="K1950" s="1367"/>
      <c r="L1950" s="1367"/>
      <c r="M1950" s="1010"/>
    </row>
    <row r="1951">
      <c r="A1951" s="1367"/>
      <c r="B1951" s="1367"/>
      <c r="C1951" s="1367"/>
      <c r="D1951" s="1367">
        <v>2023.0</v>
      </c>
      <c r="E1951" s="1367" t="s">
        <v>2105</v>
      </c>
      <c r="F1951" s="1367" t="s">
        <v>4173</v>
      </c>
      <c r="G1951" s="1367" t="s">
        <v>4231</v>
      </c>
      <c r="H1951" s="1367">
        <v>14.0</v>
      </c>
      <c r="I1951" s="1367">
        <v>14.0</v>
      </c>
      <c r="J1951" s="1367"/>
      <c r="K1951" s="1367"/>
      <c r="L1951" s="1367"/>
      <c r="M1951" s="1010"/>
    </row>
    <row r="1952">
      <c r="A1952" s="1367"/>
      <c r="B1952" s="1367"/>
      <c r="C1952" s="1367"/>
      <c r="D1952" s="1367">
        <v>2023.0</v>
      </c>
      <c r="E1952" s="1367" t="s">
        <v>2105</v>
      </c>
      <c r="F1952" s="1367" t="s">
        <v>4173</v>
      </c>
      <c r="G1952" s="1367" t="s">
        <v>1086</v>
      </c>
      <c r="H1952" s="1367">
        <v>5.0</v>
      </c>
      <c r="I1952" s="1367">
        <v>5.0</v>
      </c>
      <c r="J1952" s="1367"/>
      <c r="K1952" s="1367"/>
      <c r="L1952" s="1367"/>
      <c r="M1952" s="1010"/>
    </row>
    <row r="1953">
      <c r="A1953" s="1367"/>
      <c r="B1953" s="1367"/>
      <c r="C1953" s="1367"/>
      <c r="D1953" s="1367">
        <v>2023.0</v>
      </c>
      <c r="E1953" s="1367" t="s">
        <v>2105</v>
      </c>
      <c r="F1953" s="1367" t="s">
        <v>4173</v>
      </c>
      <c r="G1953" s="1367" t="s">
        <v>1715</v>
      </c>
      <c r="H1953" s="1367">
        <v>6.0</v>
      </c>
      <c r="I1953" s="1367">
        <v>6.0</v>
      </c>
      <c r="J1953" s="1367"/>
      <c r="K1953" s="1367"/>
      <c r="L1953" s="1367"/>
      <c r="M1953" s="1010"/>
    </row>
    <row r="1954">
      <c r="A1954" s="1367"/>
      <c r="B1954" s="1367"/>
      <c r="C1954" s="1367"/>
      <c r="D1954" s="1367">
        <v>2023.0</v>
      </c>
      <c r="E1954" s="1367" t="s">
        <v>729</v>
      </c>
      <c r="F1954" s="1367" t="s">
        <v>4171</v>
      </c>
      <c r="G1954" s="1367" t="s">
        <v>1086</v>
      </c>
      <c r="H1954" s="1367">
        <v>18.0</v>
      </c>
      <c r="I1954" s="1367">
        <v>18.0</v>
      </c>
      <c r="J1954" s="1367"/>
      <c r="K1954" s="1367"/>
      <c r="L1954" s="1367"/>
      <c r="M1954" s="1010"/>
    </row>
    <row r="1955">
      <c r="A1955" s="1367"/>
      <c r="B1955" s="1367"/>
      <c r="C1955" s="1367"/>
      <c r="D1955" s="1367">
        <v>2023.0</v>
      </c>
      <c r="E1955" s="1367" t="s">
        <v>729</v>
      </c>
      <c r="F1955" s="1367" t="s">
        <v>4171</v>
      </c>
      <c r="G1955" s="1367" t="s">
        <v>1715</v>
      </c>
      <c r="H1955" s="1367">
        <v>7.0</v>
      </c>
      <c r="I1955" s="1367">
        <v>7.0</v>
      </c>
      <c r="J1955" s="1367"/>
      <c r="K1955" s="1367"/>
      <c r="L1955" s="1367"/>
      <c r="M1955" s="1010"/>
    </row>
    <row r="1956">
      <c r="A1956" s="1367"/>
      <c r="B1956" s="1367"/>
      <c r="C1956" s="1367"/>
      <c r="D1956" s="1367">
        <v>2023.0</v>
      </c>
      <c r="E1956" s="1367" t="s">
        <v>2106</v>
      </c>
      <c r="F1956" s="1367" t="s">
        <v>4171</v>
      </c>
      <c r="G1956" s="1367" t="s">
        <v>4230</v>
      </c>
      <c r="H1956" s="1367">
        <v>3.0</v>
      </c>
      <c r="I1956" s="1367">
        <v>3.0</v>
      </c>
      <c r="J1956" s="1367"/>
      <c r="K1956" s="1367"/>
      <c r="L1956" s="1367"/>
      <c r="M1956" s="1010"/>
    </row>
    <row r="1957">
      <c r="A1957" s="1367"/>
      <c r="B1957" s="1367"/>
      <c r="C1957" s="1367"/>
      <c r="D1957" s="1367">
        <v>2023.0</v>
      </c>
      <c r="E1957" s="1367" t="s">
        <v>2106</v>
      </c>
      <c r="F1957" s="1367" t="s">
        <v>4171</v>
      </c>
      <c r="G1957" s="1367" t="s">
        <v>4231</v>
      </c>
      <c r="H1957" s="1367">
        <v>9.0</v>
      </c>
      <c r="I1957" s="1367">
        <v>9.0</v>
      </c>
      <c r="J1957" s="1367"/>
      <c r="K1957" s="1367"/>
      <c r="L1957" s="1367"/>
      <c r="M1957" s="1010"/>
    </row>
    <row r="1958">
      <c r="A1958" s="1367"/>
      <c r="B1958" s="1367"/>
      <c r="C1958" s="1367"/>
      <c r="D1958" s="1367">
        <v>2023.0</v>
      </c>
      <c r="E1958" s="1367" t="s">
        <v>2106</v>
      </c>
      <c r="F1958" s="1367" t="s">
        <v>4171</v>
      </c>
      <c r="G1958" s="1367" t="s">
        <v>1086</v>
      </c>
      <c r="H1958" s="1367">
        <v>13.0</v>
      </c>
      <c r="I1958" s="1367">
        <v>13.0</v>
      </c>
      <c r="J1958" s="1367"/>
      <c r="K1958" s="1367"/>
      <c r="L1958" s="1367"/>
      <c r="M1958" s="1010"/>
    </row>
    <row r="1959">
      <c r="A1959" s="1367"/>
      <c r="B1959" s="1367"/>
      <c r="C1959" s="1367"/>
      <c r="D1959" s="1367">
        <v>2023.0</v>
      </c>
      <c r="E1959" s="1367" t="s">
        <v>147</v>
      </c>
      <c r="F1959" s="1367" t="s">
        <v>4173</v>
      </c>
      <c r="G1959" s="1367" t="s">
        <v>4230</v>
      </c>
      <c r="H1959" s="1367">
        <v>3.0</v>
      </c>
      <c r="I1959" s="1367">
        <v>3.0</v>
      </c>
      <c r="J1959" s="1367"/>
      <c r="K1959" s="1367"/>
      <c r="L1959" s="1367"/>
      <c r="M1959" s="1010"/>
    </row>
    <row r="1960">
      <c r="A1960" s="1367"/>
      <c r="B1960" s="1367"/>
      <c r="C1960" s="1367"/>
      <c r="D1960" s="1367">
        <v>2023.0</v>
      </c>
      <c r="E1960" s="1367" t="s">
        <v>147</v>
      </c>
      <c r="F1960" s="1367" t="s">
        <v>4173</v>
      </c>
      <c r="G1960" s="1367" t="s">
        <v>4231</v>
      </c>
      <c r="H1960" s="1367">
        <v>3.0</v>
      </c>
      <c r="I1960" s="1367">
        <v>3.0</v>
      </c>
      <c r="J1960" s="1367"/>
      <c r="K1960" s="1367"/>
      <c r="L1960" s="1367"/>
      <c r="M1960" s="1010"/>
    </row>
    <row r="1961">
      <c r="A1961" s="1367"/>
      <c r="B1961" s="1367"/>
      <c r="C1961" s="1367"/>
      <c r="D1961" s="1367">
        <v>2023.0</v>
      </c>
      <c r="E1961" s="1367" t="s">
        <v>147</v>
      </c>
      <c r="F1961" s="1367" t="s">
        <v>4173</v>
      </c>
      <c r="G1961" s="1367" t="s">
        <v>1086</v>
      </c>
      <c r="H1961" s="1367">
        <v>1.0</v>
      </c>
      <c r="I1961" s="1367">
        <v>1.0</v>
      </c>
      <c r="J1961" s="1367"/>
      <c r="K1961" s="1367"/>
      <c r="L1961" s="1367"/>
      <c r="M1961" s="1010"/>
    </row>
    <row r="1962">
      <c r="A1962" s="1367"/>
      <c r="B1962" s="1367"/>
      <c r="C1962" s="1367"/>
      <c r="D1962" s="1367">
        <v>2023.0</v>
      </c>
      <c r="E1962" s="1367" t="s">
        <v>505</v>
      </c>
      <c r="F1962" s="1367" t="s">
        <v>4173</v>
      </c>
      <c r="G1962" s="1367" t="s">
        <v>4230</v>
      </c>
      <c r="H1962" s="1367">
        <v>1.0</v>
      </c>
      <c r="I1962" s="1367">
        <v>1.0</v>
      </c>
      <c r="J1962" s="1367"/>
      <c r="K1962" s="1367"/>
      <c r="L1962" s="1367"/>
      <c r="M1962" s="1010"/>
    </row>
    <row r="1963">
      <c r="A1963" s="1367"/>
      <c r="B1963" s="1367"/>
      <c r="C1963" s="1367"/>
      <c r="D1963" s="1367">
        <v>2023.0</v>
      </c>
      <c r="E1963" s="1367" t="s">
        <v>505</v>
      </c>
      <c r="F1963" s="1367" t="s">
        <v>4173</v>
      </c>
      <c r="G1963" s="1367" t="s">
        <v>4231</v>
      </c>
      <c r="H1963" s="1367">
        <v>12.0</v>
      </c>
      <c r="I1963" s="1367">
        <v>12.0</v>
      </c>
      <c r="J1963" s="1367"/>
      <c r="K1963" s="1367"/>
      <c r="L1963" s="1367"/>
      <c r="M1963" s="1010"/>
    </row>
    <row r="1964">
      <c r="A1964" s="1367"/>
      <c r="B1964" s="1367"/>
      <c r="C1964" s="1367"/>
      <c r="D1964" s="1367">
        <v>2023.0</v>
      </c>
      <c r="E1964" s="1367" t="s">
        <v>505</v>
      </c>
      <c r="F1964" s="1367" t="s">
        <v>4173</v>
      </c>
      <c r="G1964" s="1367" t="s">
        <v>1086</v>
      </c>
      <c r="H1964" s="1367">
        <v>3.0</v>
      </c>
      <c r="I1964" s="1367">
        <v>3.0</v>
      </c>
      <c r="J1964" s="1367"/>
      <c r="K1964" s="1367"/>
      <c r="L1964" s="1367"/>
      <c r="M1964" s="1010"/>
    </row>
    <row r="1965">
      <c r="A1965" s="1367"/>
      <c r="B1965" s="1367"/>
      <c r="C1965" s="1367"/>
      <c r="D1965" s="1367">
        <v>2023.0</v>
      </c>
      <c r="E1965" s="1367" t="s">
        <v>508</v>
      </c>
      <c r="F1965" s="1367" t="s">
        <v>4172</v>
      </c>
      <c r="G1965" s="1367" t="s">
        <v>4230</v>
      </c>
      <c r="H1965" s="1367">
        <v>8.0</v>
      </c>
      <c r="I1965" s="1367">
        <v>8.0</v>
      </c>
      <c r="J1965" s="1367"/>
      <c r="K1965" s="1367"/>
      <c r="L1965" s="1367"/>
      <c r="M1965" s="1010"/>
    </row>
    <row r="1966">
      <c r="A1966" s="1367"/>
      <c r="B1966" s="1367"/>
      <c r="C1966" s="1367"/>
      <c r="D1966" s="1367">
        <v>2023.0</v>
      </c>
      <c r="E1966" s="1367" t="s">
        <v>508</v>
      </c>
      <c r="F1966" s="1367" t="s">
        <v>4172</v>
      </c>
      <c r="G1966" s="1367" t="s">
        <v>4231</v>
      </c>
      <c r="H1966" s="1367">
        <v>48.0</v>
      </c>
      <c r="I1966" s="1367">
        <v>49.0</v>
      </c>
      <c r="J1966" s="1367"/>
      <c r="K1966" s="1367"/>
      <c r="L1966" s="1367"/>
      <c r="M1966" s="1010"/>
    </row>
    <row r="1967">
      <c r="A1967" s="1367"/>
      <c r="B1967" s="1367"/>
      <c r="C1967" s="1367"/>
      <c r="D1967" s="1367">
        <v>2023.0</v>
      </c>
      <c r="E1967" s="1367" t="s">
        <v>508</v>
      </c>
      <c r="F1967" s="1367" t="s">
        <v>4172</v>
      </c>
      <c r="G1967" s="1367" t="s">
        <v>1086</v>
      </c>
      <c r="H1967" s="1367">
        <v>31.0</v>
      </c>
      <c r="I1967" s="1367">
        <v>48.0</v>
      </c>
      <c r="J1967" s="1367"/>
      <c r="K1967" s="1367"/>
      <c r="L1967" s="1367"/>
      <c r="M1967" s="1010"/>
    </row>
    <row r="1968">
      <c r="A1968" s="1367"/>
      <c r="B1968" s="1367"/>
      <c r="C1968" s="1367"/>
      <c r="D1968" s="1367">
        <v>2023.0</v>
      </c>
      <c r="E1968" s="1367" t="s">
        <v>508</v>
      </c>
      <c r="F1968" s="1367" t="s">
        <v>4172</v>
      </c>
      <c r="G1968" s="1367" t="s">
        <v>1715</v>
      </c>
      <c r="H1968" s="1367">
        <v>8.0</v>
      </c>
      <c r="I1968" s="1367">
        <v>8.0</v>
      </c>
      <c r="J1968" s="1367"/>
      <c r="K1968" s="1367"/>
      <c r="L1968" s="1367"/>
      <c r="M1968" s="1010"/>
    </row>
    <row r="1969">
      <c r="A1969" s="1367"/>
      <c r="B1969" s="1367"/>
      <c r="C1969" s="1367"/>
      <c r="D1969" s="1367">
        <v>2023.0</v>
      </c>
      <c r="E1969" s="1367" t="s">
        <v>148</v>
      </c>
      <c r="F1969" s="1367" t="s">
        <v>4173</v>
      </c>
      <c r="G1969" s="1367" t="s">
        <v>4230</v>
      </c>
      <c r="H1969" s="1367">
        <v>7.0</v>
      </c>
      <c r="I1969" s="1367">
        <v>7.0</v>
      </c>
      <c r="J1969" s="1367"/>
      <c r="K1969" s="1367"/>
      <c r="L1969" s="1367"/>
      <c r="M1969" s="1010"/>
    </row>
    <row r="1970">
      <c r="A1970" s="1367"/>
      <c r="B1970" s="1367"/>
      <c r="C1970" s="1367"/>
      <c r="D1970" s="1367">
        <v>2023.0</v>
      </c>
      <c r="E1970" s="1367" t="s">
        <v>148</v>
      </c>
      <c r="F1970" s="1367" t="s">
        <v>4173</v>
      </c>
      <c r="G1970" s="1367" t="s">
        <v>4231</v>
      </c>
      <c r="H1970" s="1367">
        <v>12.0</v>
      </c>
      <c r="I1970" s="1367">
        <v>12.0</v>
      </c>
      <c r="J1970" s="1367"/>
      <c r="K1970" s="1367"/>
      <c r="L1970" s="1367"/>
      <c r="M1970" s="1010"/>
    </row>
    <row r="1971">
      <c r="A1971" s="1367"/>
      <c r="B1971" s="1367"/>
      <c r="C1971" s="1367"/>
      <c r="D1971" s="1367">
        <v>2023.0</v>
      </c>
      <c r="E1971" s="1367" t="s">
        <v>148</v>
      </c>
      <c r="F1971" s="1367" t="s">
        <v>4173</v>
      </c>
      <c r="G1971" s="1367" t="s">
        <v>1086</v>
      </c>
      <c r="H1971" s="1367">
        <v>14.0</v>
      </c>
      <c r="I1971" s="1367">
        <v>14.0</v>
      </c>
      <c r="J1971" s="1367"/>
      <c r="K1971" s="1367"/>
      <c r="L1971" s="1367"/>
      <c r="M1971" s="1010"/>
    </row>
    <row r="1972">
      <c r="A1972" s="1367"/>
      <c r="B1972" s="1367"/>
      <c r="C1972" s="1367"/>
      <c r="D1972" s="1367">
        <v>2023.0</v>
      </c>
      <c r="E1972" s="1367" t="s">
        <v>2107</v>
      </c>
      <c r="F1972" s="1367" t="s">
        <v>4170</v>
      </c>
      <c r="G1972" s="1367" t="s">
        <v>4231</v>
      </c>
      <c r="H1972" s="1367">
        <v>5.0</v>
      </c>
      <c r="I1972" s="1367">
        <v>5.0</v>
      </c>
      <c r="J1972" s="1367"/>
      <c r="K1972" s="1367"/>
      <c r="L1972" s="1367"/>
      <c r="M1972" s="1010"/>
    </row>
    <row r="1973">
      <c r="A1973" s="1367"/>
      <c r="B1973" s="1367"/>
      <c r="C1973" s="1367"/>
      <c r="D1973" s="1367">
        <v>2023.0</v>
      </c>
      <c r="E1973" s="1367" t="s">
        <v>2107</v>
      </c>
      <c r="F1973" s="1367" t="s">
        <v>4170</v>
      </c>
      <c r="G1973" s="1367" t="s">
        <v>1086</v>
      </c>
      <c r="H1973" s="1367">
        <v>1.0</v>
      </c>
      <c r="I1973" s="1367">
        <v>1.0</v>
      </c>
      <c r="J1973" s="1367"/>
      <c r="K1973" s="1367"/>
      <c r="L1973" s="1367"/>
      <c r="M1973" s="1010"/>
    </row>
    <row r="1974">
      <c r="A1974" s="1367"/>
      <c r="B1974" s="1367"/>
      <c r="C1974" s="1367"/>
      <c r="D1974" s="1367">
        <v>2023.0</v>
      </c>
      <c r="E1974" s="1367" t="s">
        <v>2108</v>
      </c>
      <c r="F1974" s="1367" t="s">
        <v>4168</v>
      </c>
      <c r="G1974" s="1367" t="s">
        <v>4231</v>
      </c>
      <c r="H1974" s="1367">
        <v>5.0</v>
      </c>
      <c r="I1974" s="1367">
        <v>5.0</v>
      </c>
      <c r="J1974" s="1367"/>
      <c r="K1974" s="1367"/>
      <c r="L1974" s="1367"/>
      <c r="M1974" s="1010"/>
    </row>
    <row r="1975">
      <c r="A1975" s="1367"/>
      <c r="B1975" s="1367"/>
      <c r="C1975" s="1367"/>
      <c r="D1975" s="1367">
        <v>2023.0</v>
      </c>
      <c r="E1975" s="1367" t="s">
        <v>2108</v>
      </c>
      <c r="F1975" s="1367" t="s">
        <v>4168</v>
      </c>
      <c r="G1975" s="1367" t="s">
        <v>1086</v>
      </c>
      <c r="H1975" s="1367">
        <v>15.0</v>
      </c>
      <c r="I1975" s="1367">
        <v>15.0</v>
      </c>
      <c r="J1975" s="1367"/>
      <c r="K1975" s="1367"/>
      <c r="L1975" s="1367"/>
      <c r="M1975" s="1010"/>
    </row>
    <row r="1976">
      <c r="A1976" s="1367"/>
      <c r="B1976" s="1367"/>
      <c r="C1976" s="1367"/>
      <c r="D1976" s="1367">
        <v>2023.0</v>
      </c>
      <c r="E1976" s="1367" t="s">
        <v>2109</v>
      </c>
      <c r="F1976" s="1367" t="s">
        <v>4173</v>
      </c>
      <c r="G1976" s="1367" t="s">
        <v>4231</v>
      </c>
      <c r="H1976" s="1367">
        <v>3.0</v>
      </c>
      <c r="I1976" s="1367">
        <v>3.0</v>
      </c>
      <c r="J1976" s="1367"/>
      <c r="K1976" s="1367"/>
      <c r="L1976" s="1367"/>
      <c r="M1976" s="1010"/>
    </row>
    <row r="1977">
      <c r="A1977" s="1367"/>
      <c r="B1977" s="1367"/>
      <c r="C1977" s="1367"/>
      <c r="D1977" s="1367">
        <v>2023.0</v>
      </c>
      <c r="E1977" s="1367" t="s">
        <v>2109</v>
      </c>
      <c r="F1977" s="1367" t="s">
        <v>4173</v>
      </c>
      <c r="G1977" s="1367" t="s">
        <v>1086</v>
      </c>
      <c r="H1977" s="1367">
        <v>8.0</v>
      </c>
      <c r="I1977" s="1367">
        <v>8.0</v>
      </c>
      <c r="J1977" s="1367"/>
      <c r="K1977" s="1367"/>
      <c r="L1977" s="1367"/>
      <c r="M1977" s="1010"/>
    </row>
    <row r="1978">
      <c r="A1978" s="1367"/>
      <c r="B1978" s="1367"/>
      <c r="C1978" s="1367"/>
      <c r="D1978" s="1367">
        <v>2023.0</v>
      </c>
      <c r="E1978" s="1367" t="s">
        <v>2109</v>
      </c>
      <c r="F1978" s="1367" t="s">
        <v>4173</v>
      </c>
      <c r="G1978" s="1367" t="s">
        <v>1715</v>
      </c>
      <c r="H1978" s="1367">
        <v>1.0</v>
      </c>
      <c r="I1978" s="1367">
        <v>1.0</v>
      </c>
      <c r="J1978" s="1367"/>
      <c r="K1978" s="1367"/>
      <c r="L1978" s="1367"/>
      <c r="M1978" s="1010"/>
    </row>
    <row r="1979">
      <c r="A1979" s="1367"/>
      <c r="B1979" s="1367"/>
      <c r="C1979" s="1367"/>
      <c r="D1979" s="1367">
        <v>2023.0</v>
      </c>
      <c r="E1979" s="1367" t="s">
        <v>2111</v>
      </c>
      <c r="F1979" s="1367" t="s">
        <v>4170</v>
      </c>
      <c r="G1979" s="1367" t="s">
        <v>4230</v>
      </c>
      <c r="H1979" s="1367">
        <v>134.0</v>
      </c>
      <c r="I1979" s="1367">
        <v>137.0</v>
      </c>
      <c r="J1979" s="1367"/>
      <c r="K1979" s="1367"/>
      <c r="L1979" s="1367"/>
      <c r="M1979" s="1010"/>
    </row>
    <row r="1980">
      <c r="A1980" s="1367"/>
      <c r="B1980" s="1367"/>
      <c r="C1980" s="1367"/>
      <c r="D1980" s="1367">
        <v>2023.0</v>
      </c>
      <c r="E1980" s="1367" t="s">
        <v>2111</v>
      </c>
      <c r="F1980" s="1367" t="s">
        <v>4170</v>
      </c>
      <c r="G1980" s="1367" t="s">
        <v>4231</v>
      </c>
      <c r="H1980" s="1367">
        <v>237.0</v>
      </c>
      <c r="I1980" s="1367">
        <v>245.0</v>
      </c>
      <c r="J1980" s="1367"/>
      <c r="K1980" s="1367"/>
      <c r="L1980" s="1367"/>
      <c r="M1980" s="1010"/>
    </row>
    <row r="1981">
      <c r="A1981" s="1367"/>
      <c r="B1981" s="1367"/>
      <c r="C1981" s="1367"/>
      <c r="D1981" s="1367">
        <v>2023.0</v>
      </c>
      <c r="E1981" s="1367" t="s">
        <v>2111</v>
      </c>
      <c r="F1981" s="1367" t="s">
        <v>4170</v>
      </c>
      <c r="G1981" s="1367" t="s">
        <v>71</v>
      </c>
      <c r="H1981" s="1367">
        <v>1.0</v>
      </c>
      <c r="I1981" s="1367">
        <v>1.0</v>
      </c>
      <c r="J1981" s="1367"/>
      <c r="K1981" s="1367"/>
      <c r="L1981" s="1367"/>
      <c r="M1981" s="1010"/>
    </row>
    <row r="1982">
      <c r="A1982" s="1367"/>
      <c r="B1982" s="1367"/>
      <c r="C1982" s="1367"/>
      <c r="D1982" s="1367">
        <v>2023.0</v>
      </c>
      <c r="E1982" s="1367" t="s">
        <v>2111</v>
      </c>
      <c r="F1982" s="1367" t="s">
        <v>4170</v>
      </c>
      <c r="G1982" s="1367" t="s">
        <v>1086</v>
      </c>
      <c r="H1982" s="1367">
        <v>705.0</v>
      </c>
      <c r="I1982" s="1367">
        <v>725.0</v>
      </c>
      <c r="J1982" s="1367"/>
      <c r="K1982" s="1367"/>
      <c r="L1982" s="1367"/>
      <c r="M1982" s="1010"/>
    </row>
    <row r="1983">
      <c r="A1983" s="1367"/>
      <c r="B1983" s="1367"/>
      <c r="C1983" s="1367"/>
      <c r="D1983" s="1367">
        <v>2023.0</v>
      </c>
      <c r="E1983" s="1367" t="s">
        <v>2111</v>
      </c>
      <c r="F1983" s="1367" t="s">
        <v>4170</v>
      </c>
      <c r="G1983" s="1367" t="s">
        <v>4232</v>
      </c>
      <c r="H1983" s="1367">
        <v>1.0</v>
      </c>
      <c r="I1983" s="1367">
        <v>1.0</v>
      </c>
      <c r="J1983" s="1367"/>
      <c r="K1983" s="1367"/>
      <c r="L1983" s="1367"/>
      <c r="M1983" s="1010"/>
    </row>
    <row r="1984">
      <c r="A1984" s="1367"/>
      <c r="B1984" s="1367"/>
      <c r="C1984" s="1367"/>
      <c r="D1984" s="1367">
        <v>2023.0</v>
      </c>
      <c r="E1984" s="1367" t="s">
        <v>2111</v>
      </c>
      <c r="F1984" s="1367" t="s">
        <v>4170</v>
      </c>
      <c r="G1984" s="1367" t="s">
        <v>1715</v>
      </c>
      <c r="H1984" s="1367">
        <v>67.0</v>
      </c>
      <c r="I1984" s="1367">
        <v>69.0</v>
      </c>
      <c r="J1984" s="1367"/>
      <c r="K1984" s="1367"/>
      <c r="L1984" s="1367"/>
      <c r="M1984" s="1010"/>
    </row>
    <row r="1985">
      <c r="A1985" s="1367"/>
      <c r="B1985" s="1367"/>
      <c r="C1985" s="1367"/>
      <c r="D1985" s="1367">
        <v>2023.0</v>
      </c>
      <c r="E1985" s="1367" t="s">
        <v>2112</v>
      </c>
      <c r="F1985" s="1367" t="s">
        <v>4170</v>
      </c>
      <c r="G1985" s="1367" t="s">
        <v>1086</v>
      </c>
      <c r="H1985" s="1367">
        <v>8.0</v>
      </c>
      <c r="I1985" s="1367">
        <v>8.0</v>
      </c>
      <c r="J1985" s="1367"/>
      <c r="K1985" s="1367"/>
      <c r="L1985" s="1367"/>
      <c r="M1985" s="1010"/>
    </row>
    <row r="1986">
      <c r="A1986" s="1367"/>
      <c r="B1986" s="1367"/>
      <c r="C1986" s="1367"/>
      <c r="D1986" s="1367">
        <v>2023.0</v>
      </c>
      <c r="E1986" s="1367" t="s">
        <v>151</v>
      </c>
      <c r="F1986" s="1367" t="s">
        <v>4173</v>
      </c>
      <c r="G1986" s="1367" t="s">
        <v>4231</v>
      </c>
      <c r="H1986" s="1367">
        <v>2.0</v>
      </c>
      <c r="I1986" s="1367">
        <v>2.0</v>
      </c>
      <c r="J1986" s="1367"/>
      <c r="K1986" s="1367"/>
      <c r="L1986" s="1367"/>
      <c r="M1986" s="1010"/>
    </row>
    <row r="1987">
      <c r="A1987" s="1367"/>
      <c r="B1987" s="1367"/>
      <c r="C1987" s="1367"/>
      <c r="D1987" s="1367">
        <v>2023.0</v>
      </c>
      <c r="E1987" s="1367" t="s">
        <v>151</v>
      </c>
      <c r="F1987" s="1367" t="s">
        <v>4173</v>
      </c>
      <c r="G1987" s="1367" t="s">
        <v>1086</v>
      </c>
      <c r="H1987" s="1367">
        <v>5.0</v>
      </c>
      <c r="I1987" s="1367">
        <v>5.0</v>
      </c>
      <c r="J1987" s="1367"/>
      <c r="K1987" s="1367"/>
      <c r="L1987" s="1367"/>
      <c r="M1987" s="1010"/>
    </row>
    <row r="1988">
      <c r="A1988" s="1367"/>
      <c r="B1988" s="1367"/>
      <c r="C1988" s="1367"/>
      <c r="D1988" s="1367">
        <v>2023.0</v>
      </c>
      <c r="E1988" s="1367" t="s">
        <v>153</v>
      </c>
      <c r="F1988" s="1367" t="s">
        <v>4155</v>
      </c>
      <c r="G1988" s="1367" t="s">
        <v>4230</v>
      </c>
      <c r="H1988" s="1367">
        <v>9.0</v>
      </c>
      <c r="I1988" s="1367">
        <v>9.0</v>
      </c>
      <c r="J1988" s="1367"/>
      <c r="K1988" s="1367"/>
      <c r="L1988" s="1367"/>
      <c r="M1988" s="1010"/>
    </row>
    <row r="1989">
      <c r="A1989" s="1367"/>
      <c r="B1989" s="1367"/>
      <c r="C1989" s="1367"/>
      <c r="D1989" s="1367">
        <v>2023.0</v>
      </c>
      <c r="E1989" s="1367" t="s">
        <v>153</v>
      </c>
      <c r="F1989" s="1367" t="s">
        <v>4155</v>
      </c>
      <c r="G1989" s="1367" t="s">
        <v>4231</v>
      </c>
      <c r="H1989" s="1367">
        <v>20.0</v>
      </c>
      <c r="I1989" s="1367">
        <v>20.0</v>
      </c>
      <c r="J1989" s="1367"/>
      <c r="K1989" s="1367"/>
      <c r="L1989" s="1367"/>
      <c r="M1989" s="1010"/>
    </row>
    <row r="1990">
      <c r="A1990" s="1367"/>
      <c r="B1990" s="1367"/>
      <c r="C1990" s="1367"/>
      <c r="D1990" s="1367">
        <v>2023.0</v>
      </c>
      <c r="E1990" s="1367" t="s">
        <v>153</v>
      </c>
      <c r="F1990" s="1367" t="s">
        <v>4155</v>
      </c>
      <c r="G1990" s="1367" t="s">
        <v>1715</v>
      </c>
      <c r="H1990" s="1367">
        <v>2.0</v>
      </c>
      <c r="I1990" s="1367">
        <v>2.0</v>
      </c>
      <c r="J1990" s="1367"/>
      <c r="K1990" s="1367"/>
      <c r="L1990" s="1367"/>
      <c r="M1990" s="1010"/>
    </row>
    <row r="1991">
      <c r="A1991" s="1367"/>
      <c r="B1991" s="1367"/>
      <c r="C1991" s="1367"/>
      <c r="D1991" s="1367">
        <v>2023.0</v>
      </c>
      <c r="E1991" s="1367" t="s">
        <v>510</v>
      </c>
      <c r="F1991" s="1367" t="s">
        <v>4162</v>
      </c>
      <c r="G1991" s="1367" t="s">
        <v>1086</v>
      </c>
      <c r="H1991" s="1367">
        <v>8.0</v>
      </c>
      <c r="I1991" s="1367">
        <v>8.0</v>
      </c>
      <c r="J1991" s="1367"/>
      <c r="K1991" s="1367"/>
      <c r="L1991" s="1367"/>
      <c r="M1991" s="1010"/>
    </row>
    <row r="1992">
      <c r="A1992" s="1367"/>
      <c r="B1992" s="1367"/>
      <c r="C1992" s="1367"/>
      <c r="D1992" s="1367">
        <v>2023.0</v>
      </c>
      <c r="E1992" s="1367" t="s">
        <v>735</v>
      </c>
      <c r="F1992" s="1367" t="s">
        <v>4162</v>
      </c>
      <c r="G1992" s="1367" t="s">
        <v>1086</v>
      </c>
      <c r="H1992" s="1367">
        <v>3.0</v>
      </c>
      <c r="I1992" s="1367">
        <v>3.0</v>
      </c>
      <c r="J1992" s="1367"/>
      <c r="K1992" s="1367"/>
      <c r="L1992" s="1367"/>
      <c r="M1992" s="1010"/>
    </row>
    <row r="1993">
      <c r="A1993" s="1367"/>
      <c r="B1993" s="1367"/>
      <c r="C1993" s="1367"/>
      <c r="D1993" s="1367">
        <v>2023.0</v>
      </c>
      <c r="E1993" s="1367" t="s">
        <v>2116</v>
      </c>
      <c r="F1993" s="1367" t="s">
        <v>4172</v>
      </c>
      <c r="G1993" s="1367" t="s">
        <v>4230</v>
      </c>
      <c r="H1993" s="1367">
        <v>32.0</v>
      </c>
      <c r="I1993" s="1367">
        <v>32.0</v>
      </c>
      <c r="J1993" s="1367"/>
      <c r="K1993" s="1367"/>
      <c r="L1993" s="1367"/>
      <c r="M1993" s="1010"/>
    </row>
    <row r="1994">
      <c r="A1994" s="1367"/>
      <c r="B1994" s="1367"/>
      <c r="C1994" s="1367"/>
      <c r="D1994" s="1367">
        <v>2023.0</v>
      </c>
      <c r="E1994" s="1367" t="s">
        <v>2116</v>
      </c>
      <c r="F1994" s="1367" t="s">
        <v>4172</v>
      </c>
      <c r="G1994" s="1367" t="s">
        <v>4231</v>
      </c>
      <c r="H1994" s="1367">
        <v>40.0</v>
      </c>
      <c r="I1994" s="1367">
        <v>40.0</v>
      </c>
      <c r="J1994" s="1367"/>
      <c r="K1994" s="1367"/>
      <c r="L1994" s="1367"/>
      <c r="M1994" s="1010"/>
    </row>
    <row r="1995">
      <c r="A1995" s="1367"/>
      <c r="B1995" s="1367"/>
      <c r="C1995" s="1367"/>
      <c r="D1995" s="1367">
        <v>2023.0</v>
      </c>
      <c r="E1995" s="1367" t="s">
        <v>2116</v>
      </c>
      <c r="F1995" s="1367" t="s">
        <v>4172</v>
      </c>
      <c r="G1995" s="1367" t="s">
        <v>1086</v>
      </c>
      <c r="H1995" s="1367">
        <v>96.0</v>
      </c>
      <c r="I1995" s="1367">
        <v>102.0</v>
      </c>
      <c r="J1995" s="1367"/>
      <c r="K1995" s="1367"/>
      <c r="L1995" s="1367"/>
      <c r="M1995" s="1010"/>
    </row>
    <row r="1996">
      <c r="A1996" s="1367"/>
      <c r="B1996" s="1367"/>
      <c r="C1996" s="1367"/>
      <c r="D1996" s="1367">
        <v>2023.0</v>
      </c>
      <c r="E1996" s="1367" t="s">
        <v>2116</v>
      </c>
      <c r="F1996" s="1367" t="s">
        <v>4172</v>
      </c>
      <c r="G1996" s="1367" t="s">
        <v>1715</v>
      </c>
      <c r="H1996" s="1367">
        <v>13.0</v>
      </c>
      <c r="I1996" s="1367">
        <v>13.0</v>
      </c>
      <c r="J1996" s="1367"/>
      <c r="K1996" s="1367"/>
      <c r="L1996" s="1367"/>
      <c r="M1996" s="1010"/>
    </row>
    <row r="1997">
      <c r="A1997" s="1367"/>
      <c r="B1997" s="1367"/>
      <c r="C1997" s="1367"/>
      <c r="D1997" s="1367">
        <v>2023.0</v>
      </c>
      <c r="E1997" s="1367" t="s">
        <v>2117</v>
      </c>
      <c r="F1997" s="1367" t="s">
        <v>4171</v>
      </c>
      <c r="G1997" s="1367" t="s">
        <v>4231</v>
      </c>
      <c r="H1997" s="1367">
        <v>2.0</v>
      </c>
      <c r="I1997" s="1367">
        <v>3.0</v>
      </c>
      <c r="J1997" s="1367"/>
      <c r="K1997" s="1367"/>
      <c r="L1997" s="1367"/>
      <c r="M1997" s="1010"/>
    </row>
    <row r="1998">
      <c r="A1998" s="1367"/>
      <c r="B1998" s="1367"/>
      <c r="C1998" s="1367"/>
      <c r="D1998" s="1367">
        <v>2023.0</v>
      </c>
      <c r="E1998" s="1367" t="s">
        <v>2117</v>
      </c>
      <c r="F1998" s="1367" t="s">
        <v>4171</v>
      </c>
      <c r="G1998" s="1367" t="s">
        <v>1086</v>
      </c>
      <c r="H1998" s="1367">
        <v>141.0</v>
      </c>
      <c r="I1998" s="1367">
        <v>146.0</v>
      </c>
      <c r="J1998" s="1367"/>
      <c r="K1998" s="1367"/>
      <c r="L1998" s="1367"/>
      <c r="M1998" s="1010"/>
    </row>
    <row r="1999">
      <c r="A1999" s="1367"/>
      <c r="B1999" s="1367"/>
      <c r="C1999" s="1367"/>
      <c r="D1999" s="1367">
        <v>2023.0</v>
      </c>
      <c r="E1999" s="1367" t="s">
        <v>2117</v>
      </c>
      <c r="F1999" s="1367" t="s">
        <v>4171</v>
      </c>
      <c r="G1999" s="1367" t="s">
        <v>1715</v>
      </c>
      <c r="H1999" s="1367">
        <v>6.0</v>
      </c>
      <c r="I1999" s="1367">
        <v>6.0</v>
      </c>
      <c r="J1999" s="1367"/>
      <c r="K1999" s="1367"/>
      <c r="L1999" s="1367"/>
      <c r="M1999" s="1010"/>
    </row>
    <row r="2000">
      <c r="A2000" s="1367"/>
      <c r="B2000" s="1367"/>
      <c r="C2000" s="1367"/>
      <c r="D2000" s="1367">
        <v>2023.0</v>
      </c>
      <c r="E2000" s="1367" t="s">
        <v>2113</v>
      </c>
      <c r="F2000" s="1367" t="s">
        <v>4162</v>
      </c>
      <c r="G2000" s="1367" t="s">
        <v>4231</v>
      </c>
      <c r="H2000" s="1367">
        <v>13.0</v>
      </c>
      <c r="I2000" s="1367">
        <v>13.0</v>
      </c>
      <c r="J2000" s="1367"/>
      <c r="K2000" s="1367"/>
      <c r="L2000" s="1367"/>
      <c r="M2000" s="1010"/>
    </row>
    <row r="2001">
      <c r="A2001" s="1367"/>
      <c r="B2001" s="1367"/>
      <c r="C2001" s="1367"/>
      <c r="D2001" s="1367">
        <v>2023.0</v>
      </c>
      <c r="E2001" s="1367" t="s">
        <v>2113</v>
      </c>
      <c r="F2001" s="1367" t="s">
        <v>4162</v>
      </c>
      <c r="G2001" s="1367" t="s">
        <v>1086</v>
      </c>
      <c r="H2001" s="1367">
        <v>14.0</v>
      </c>
      <c r="I2001" s="1367">
        <v>15.0</v>
      </c>
      <c r="J2001" s="1367"/>
      <c r="K2001" s="1367"/>
      <c r="L2001" s="1367"/>
      <c r="M2001" s="1010"/>
    </row>
    <row r="2002">
      <c r="A2002" s="1367"/>
      <c r="B2002" s="1367"/>
      <c r="C2002" s="1367"/>
      <c r="D2002" s="1367">
        <v>2023.0</v>
      </c>
      <c r="E2002" s="1367" t="s">
        <v>2113</v>
      </c>
      <c r="F2002" s="1367" t="s">
        <v>4162</v>
      </c>
      <c r="G2002" s="1367" t="s">
        <v>1715</v>
      </c>
      <c r="H2002" s="1367">
        <v>1.0</v>
      </c>
      <c r="I2002" s="1367">
        <v>1.0</v>
      </c>
      <c r="J2002" s="1367"/>
      <c r="K2002" s="1367"/>
      <c r="L2002" s="1367"/>
      <c r="M2002" s="1010"/>
    </row>
    <row r="2003">
      <c r="A2003" s="1367"/>
      <c r="B2003" s="1367"/>
      <c r="C2003" s="1367"/>
      <c r="D2003" s="1367">
        <v>2023.0</v>
      </c>
      <c r="E2003" s="1367" t="s">
        <v>2114</v>
      </c>
      <c r="F2003" s="1367" t="s">
        <v>4173</v>
      </c>
      <c r="G2003" s="1367" t="s">
        <v>4230</v>
      </c>
      <c r="H2003" s="1367">
        <v>171.0</v>
      </c>
      <c r="I2003" s="1367">
        <v>178.0</v>
      </c>
      <c r="J2003" s="1367"/>
      <c r="K2003" s="1367"/>
      <c r="L2003" s="1367"/>
      <c r="M2003" s="1010"/>
    </row>
    <row r="2004">
      <c r="A2004" s="1367"/>
      <c r="B2004" s="1367"/>
      <c r="C2004" s="1367"/>
      <c r="D2004" s="1367">
        <v>2023.0</v>
      </c>
      <c r="E2004" s="1367" t="s">
        <v>2114</v>
      </c>
      <c r="F2004" s="1367" t="s">
        <v>4173</v>
      </c>
      <c r="G2004" s="1367" t="s">
        <v>4231</v>
      </c>
      <c r="H2004" s="1367">
        <v>139.0</v>
      </c>
      <c r="I2004" s="1367">
        <v>185.0</v>
      </c>
      <c r="J2004" s="1367"/>
      <c r="K2004" s="1367"/>
      <c r="L2004" s="1367"/>
      <c r="M2004" s="1010"/>
    </row>
    <row r="2005">
      <c r="A2005" s="1367"/>
      <c r="B2005" s="1367"/>
      <c r="C2005" s="1367"/>
      <c r="D2005" s="1367">
        <v>2023.0</v>
      </c>
      <c r="E2005" s="1367" t="s">
        <v>2114</v>
      </c>
      <c r="F2005" s="1367" t="s">
        <v>4173</v>
      </c>
      <c r="G2005" s="1367" t="s">
        <v>1086</v>
      </c>
      <c r="H2005" s="1367">
        <v>203.0</v>
      </c>
      <c r="I2005" s="1367">
        <v>209.0</v>
      </c>
      <c r="J2005" s="1367"/>
      <c r="K2005" s="1367"/>
      <c r="L2005" s="1367"/>
      <c r="M2005" s="1010"/>
    </row>
    <row r="2006">
      <c r="A2006" s="1367"/>
      <c r="B2006" s="1367"/>
      <c r="C2006" s="1367"/>
      <c r="D2006" s="1367">
        <v>2023.0</v>
      </c>
      <c r="E2006" s="1367" t="s">
        <v>2114</v>
      </c>
      <c r="F2006" s="1367" t="s">
        <v>4173</v>
      </c>
      <c r="G2006" s="1367" t="s">
        <v>1715</v>
      </c>
      <c r="H2006" s="1367">
        <v>18.0</v>
      </c>
      <c r="I2006" s="1367">
        <v>21.0</v>
      </c>
      <c r="J2006" s="1367"/>
      <c r="K2006" s="1367"/>
      <c r="L2006" s="1367"/>
      <c r="M2006" s="1010"/>
    </row>
    <row r="2007">
      <c r="A2007" s="1367"/>
      <c r="B2007" s="1367"/>
      <c r="C2007" s="1367"/>
      <c r="D2007" s="1367">
        <v>2023.0</v>
      </c>
      <c r="E2007" s="1367" t="s">
        <v>2115</v>
      </c>
      <c r="F2007" s="1367" t="s">
        <v>4168</v>
      </c>
      <c r="G2007" s="1367" t="s">
        <v>4231</v>
      </c>
      <c r="H2007" s="1367">
        <v>3.0</v>
      </c>
      <c r="I2007" s="1367">
        <v>3.0</v>
      </c>
      <c r="J2007" s="1367"/>
      <c r="K2007" s="1367"/>
      <c r="L2007" s="1367"/>
      <c r="M2007" s="1010"/>
    </row>
    <row r="2008">
      <c r="A2008" s="1367"/>
      <c r="B2008" s="1367"/>
      <c r="C2008" s="1367"/>
      <c r="D2008" s="1367">
        <v>2023.0</v>
      </c>
      <c r="E2008" s="1367" t="s">
        <v>1689</v>
      </c>
      <c r="F2008" s="1367" t="s">
        <v>4171</v>
      </c>
      <c r="G2008" s="1367" t="s">
        <v>4230</v>
      </c>
      <c r="H2008" s="1367">
        <v>9.0</v>
      </c>
      <c r="I2008" s="1367">
        <v>9.0</v>
      </c>
      <c r="J2008" s="1367"/>
      <c r="K2008" s="1367"/>
      <c r="L2008" s="1367"/>
      <c r="M2008" s="1010"/>
    </row>
    <row r="2009">
      <c r="A2009" s="1367"/>
      <c r="B2009" s="1367"/>
      <c r="C2009" s="1367"/>
      <c r="D2009" s="1367">
        <v>2023.0</v>
      </c>
      <c r="E2009" s="1367" t="s">
        <v>1689</v>
      </c>
      <c r="F2009" s="1367" t="s">
        <v>4171</v>
      </c>
      <c r="G2009" s="1367" t="s">
        <v>4231</v>
      </c>
      <c r="H2009" s="1367">
        <v>44.0</v>
      </c>
      <c r="I2009" s="1367">
        <v>44.0</v>
      </c>
      <c r="J2009" s="1367"/>
      <c r="K2009" s="1367"/>
      <c r="L2009" s="1367"/>
      <c r="M2009" s="1010"/>
    </row>
    <row r="2010">
      <c r="A2010" s="1367"/>
      <c r="B2010" s="1367"/>
      <c r="C2010" s="1367"/>
      <c r="D2010" s="1367">
        <v>2023.0</v>
      </c>
      <c r="E2010" s="1367" t="s">
        <v>1689</v>
      </c>
      <c r="F2010" s="1367" t="s">
        <v>4171</v>
      </c>
      <c r="G2010" s="1367" t="s">
        <v>1086</v>
      </c>
      <c r="H2010" s="1367">
        <v>129.0</v>
      </c>
      <c r="I2010" s="1367">
        <v>131.0</v>
      </c>
      <c r="J2010" s="1367"/>
      <c r="K2010" s="1367"/>
      <c r="L2010" s="1367"/>
      <c r="M2010" s="1010"/>
    </row>
    <row r="2011">
      <c r="A2011" s="1367"/>
      <c r="B2011" s="1367"/>
      <c r="C2011" s="1367"/>
      <c r="D2011" s="1367">
        <v>2023.0</v>
      </c>
      <c r="E2011" s="1367" t="s">
        <v>1689</v>
      </c>
      <c r="F2011" s="1367" t="s">
        <v>4171</v>
      </c>
      <c r="G2011" s="1367" t="s">
        <v>1715</v>
      </c>
      <c r="H2011" s="1367">
        <v>7.0</v>
      </c>
      <c r="I2011" s="1367">
        <v>7.0</v>
      </c>
      <c r="J2011" s="1367"/>
      <c r="K2011" s="1367"/>
      <c r="L2011" s="1367"/>
      <c r="M2011" s="1010"/>
    </row>
    <row r="2012">
      <c r="A2012" s="1367"/>
      <c r="B2012" s="1367"/>
      <c r="C2012" s="1367"/>
      <c r="D2012" s="1367">
        <v>2023.0</v>
      </c>
      <c r="E2012" s="1367" t="s">
        <v>737</v>
      </c>
      <c r="F2012" s="1367" t="s">
        <v>4162</v>
      </c>
      <c r="G2012" s="1367" t="s">
        <v>1086</v>
      </c>
      <c r="H2012" s="1367">
        <v>7.0</v>
      </c>
      <c r="I2012" s="1367">
        <v>7.0</v>
      </c>
      <c r="J2012" s="1367"/>
      <c r="K2012" s="1367"/>
      <c r="L2012" s="1367"/>
      <c r="M2012" s="1010"/>
    </row>
    <row r="2013">
      <c r="A2013" s="1367"/>
      <c r="B2013" s="1367"/>
      <c r="C2013" s="1367"/>
      <c r="D2013" s="1367">
        <v>2023.0</v>
      </c>
      <c r="E2013" s="1367" t="s">
        <v>1273</v>
      </c>
      <c r="F2013" s="1367" t="s">
        <v>4162</v>
      </c>
      <c r="G2013" s="1367" t="s">
        <v>4230</v>
      </c>
      <c r="H2013" s="1367">
        <v>30.0</v>
      </c>
      <c r="I2013" s="1367">
        <v>31.0</v>
      </c>
      <c r="J2013" s="1367"/>
      <c r="K2013" s="1367"/>
      <c r="L2013" s="1367"/>
      <c r="M2013" s="1010"/>
    </row>
    <row r="2014">
      <c r="A2014" s="1367"/>
      <c r="B2014" s="1367"/>
      <c r="C2014" s="1367"/>
      <c r="D2014" s="1367">
        <v>2023.0</v>
      </c>
      <c r="E2014" s="1367" t="s">
        <v>1273</v>
      </c>
      <c r="F2014" s="1367" t="s">
        <v>4162</v>
      </c>
      <c r="G2014" s="1367" t="s">
        <v>4231</v>
      </c>
      <c r="H2014" s="1367">
        <v>77.0</v>
      </c>
      <c r="I2014" s="1367">
        <v>77.0</v>
      </c>
      <c r="J2014" s="1367"/>
      <c r="K2014" s="1367"/>
      <c r="L2014" s="1367"/>
      <c r="M2014" s="1010"/>
    </row>
    <row r="2015">
      <c r="A2015" s="1367"/>
      <c r="B2015" s="1367"/>
      <c r="C2015" s="1367"/>
      <c r="D2015" s="1367">
        <v>2023.0</v>
      </c>
      <c r="E2015" s="1367" t="s">
        <v>1273</v>
      </c>
      <c r="F2015" s="1367" t="s">
        <v>4162</v>
      </c>
      <c r="G2015" s="1367" t="s">
        <v>1086</v>
      </c>
      <c r="H2015" s="1367">
        <v>236.0</v>
      </c>
      <c r="I2015" s="1367">
        <v>247.0</v>
      </c>
      <c r="J2015" s="1367"/>
      <c r="K2015" s="1367"/>
      <c r="L2015" s="1367"/>
      <c r="M2015" s="1010"/>
    </row>
    <row r="2016">
      <c r="A2016" s="1367"/>
      <c r="B2016" s="1367"/>
      <c r="C2016" s="1367"/>
      <c r="D2016" s="1367">
        <v>2023.0</v>
      </c>
      <c r="E2016" s="1367" t="s">
        <v>1273</v>
      </c>
      <c r="F2016" s="1367" t="s">
        <v>4162</v>
      </c>
      <c r="G2016" s="1367" t="s">
        <v>4232</v>
      </c>
      <c r="H2016" s="1367">
        <v>1.0</v>
      </c>
      <c r="I2016" s="1367">
        <v>1.0</v>
      </c>
      <c r="J2016" s="1367"/>
      <c r="K2016" s="1367"/>
      <c r="L2016" s="1367"/>
      <c r="M2016" s="1010"/>
    </row>
    <row r="2017">
      <c r="A2017" s="1367"/>
      <c r="B2017" s="1367"/>
      <c r="C2017" s="1367"/>
      <c r="D2017" s="1367">
        <v>2023.0</v>
      </c>
      <c r="E2017" s="1367" t="s">
        <v>1273</v>
      </c>
      <c r="F2017" s="1367" t="s">
        <v>4162</v>
      </c>
      <c r="G2017" s="1367" t="s">
        <v>1715</v>
      </c>
      <c r="H2017" s="1367">
        <v>17.0</v>
      </c>
      <c r="I2017" s="1367">
        <v>20.0</v>
      </c>
      <c r="J2017" s="1367"/>
      <c r="K2017" s="1367"/>
      <c r="L2017" s="1367"/>
      <c r="M2017" s="1010"/>
    </row>
    <row r="2018">
      <c r="A2018" s="1367"/>
      <c r="B2018" s="1367"/>
      <c r="C2018" s="1367"/>
      <c r="D2018" s="1367">
        <v>2023.0</v>
      </c>
      <c r="E2018" s="1367" t="s">
        <v>2118</v>
      </c>
      <c r="F2018" s="1367" t="s">
        <v>4173</v>
      </c>
      <c r="G2018" s="1367" t="s">
        <v>4230</v>
      </c>
      <c r="H2018" s="1367">
        <v>11.0</v>
      </c>
      <c r="I2018" s="1367">
        <v>11.0</v>
      </c>
      <c r="J2018" s="1367"/>
      <c r="K2018" s="1367"/>
      <c r="L2018" s="1367"/>
      <c r="M2018" s="1010"/>
    </row>
    <row r="2019">
      <c r="A2019" s="1367"/>
      <c r="B2019" s="1367"/>
      <c r="C2019" s="1367"/>
      <c r="D2019" s="1367">
        <v>2023.0</v>
      </c>
      <c r="E2019" s="1367" t="s">
        <v>2118</v>
      </c>
      <c r="F2019" s="1367" t="s">
        <v>4173</v>
      </c>
      <c r="G2019" s="1367" t="s">
        <v>4231</v>
      </c>
      <c r="H2019" s="1367">
        <v>14.0</v>
      </c>
      <c r="I2019" s="1367">
        <v>14.0</v>
      </c>
      <c r="J2019" s="1367"/>
      <c r="K2019" s="1367"/>
      <c r="L2019" s="1367"/>
      <c r="M2019" s="1010"/>
    </row>
    <row r="2020">
      <c r="A2020" s="1367"/>
      <c r="B2020" s="1367"/>
      <c r="C2020" s="1367"/>
      <c r="D2020" s="1367">
        <v>2023.0</v>
      </c>
      <c r="E2020" s="1367" t="s">
        <v>2118</v>
      </c>
      <c r="F2020" s="1367" t="s">
        <v>4173</v>
      </c>
      <c r="G2020" s="1367" t="s">
        <v>1086</v>
      </c>
      <c r="H2020" s="1367">
        <v>5.0</v>
      </c>
      <c r="I2020" s="1367">
        <v>5.0</v>
      </c>
      <c r="J2020" s="1367"/>
      <c r="K2020" s="1367"/>
      <c r="L2020" s="1367"/>
      <c r="M2020" s="1010"/>
    </row>
    <row r="2021">
      <c r="A2021" s="1367"/>
      <c r="B2021" s="1367"/>
      <c r="C2021" s="1367"/>
      <c r="D2021" s="1367">
        <v>2023.0</v>
      </c>
      <c r="E2021" s="1367" t="s">
        <v>2118</v>
      </c>
      <c r="F2021" s="1367" t="s">
        <v>4173</v>
      </c>
      <c r="G2021" s="1367" t="s">
        <v>1715</v>
      </c>
      <c r="H2021" s="1367">
        <v>3.0</v>
      </c>
      <c r="I2021" s="1367">
        <v>3.0</v>
      </c>
      <c r="J2021" s="1367"/>
      <c r="K2021" s="1367"/>
      <c r="L2021" s="1367"/>
      <c r="M2021" s="1010"/>
    </row>
    <row r="2022">
      <c r="A2022" s="1367"/>
      <c r="B2022" s="1367"/>
      <c r="C2022" s="1367"/>
      <c r="D2022" s="1367">
        <v>2023.0</v>
      </c>
      <c r="E2022" s="1367" t="s">
        <v>913</v>
      </c>
      <c r="F2022" s="1367" t="s">
        <v>4173</v>
      </c>
      <c r="G2022" s="1367" t="s">
        <v>4231</v>
      </c>
      <c r="H2022" s="1367">
        <v>1.0</v>
      </c>
      <c r="I2022" s="1367">
        <v>1.0</v>
      </c>
      <c r="J2022" s="1367"/>
      <c r="K2022" s="1367"/>
      <c r="L2022" s="1367"/>
      <c r="M2022" s="1010"/>
    </row>
    <row r="2023">
      <c r="A2023" s="1367"/>
      <c r="B2023" s="1367"/>
      <c r="C2023" s="1367"/>
      <c r="D2023" s="1367">
        <v>2023.0</v>
      </c>
      <c r="E2023" s="1367" t="s">
        <v>610</v>
      </c>
      <c r="F2023" s="1367" t="s">
        <v>4169</v>
      </c>
      <c r="G2023" s="1367" t="s">
        <v>4230</v>
      </c>
      <c r="H2023" s="1367">
        <v>1.0</v>
      </c>
      <c r="I2023" s="1367">
        <v>1.0</v>
      </c>
      <c r="J2023" s="1367"/>
      <c r="K2023" s="1367"/>
      <c r="L2023" s="1367"/>
      <c r="M2023" s="1010"/>
    </row>
    <row r="2024">
      <c r="A2024" s="1367"/>
      <c r="B2024" s="1367"/>
      <c r="C2024" s="1367"/>
      <c r="D2024" s="1367">
        <v>2023.0</v>
      </c>
      <c r="E2024" s="1367" t="s">
        <v>610</v>
      </c>
      <c r="F2024" s="1367" t="s">
        <v>4169</v>
      </c>
      <c r="G2024" s="1367" t="s">
        <v>4231</v>
      </c>
      <c r="H2024" s="1367">
        <v>13.0</v>
      </c>
      <c r="I2024" s="1367">
        <v>14.0</v>
      </c>
      <c r="J2024" s="1367"/>
      <c r="K2024" s="1367"/>
      <c r="L2024" s="1367"/>
      <c r="M2024" s="1010"/>
    </row>
    <row r="2025">
      <c r="A2025" s="1367"/>
      <c r="B2025" s="1367"/>
      <c r="C2025" s="1367"/>
      <c r="D2025" s="1367">
        <v>2023.0</v>
      </c>
      <c r="E2025" s="1367" t="s">
        <v>610</v>
      </c>
      <c r="F2025" s="1367" t="s">
        <v>4169</v>
      </c>
      <c r="G2025" s="1367" t="s">
        <v>1086</v>
      </c>
      <c r="H2025" s="1367">
        <v>18.0</v>
      </c>
      <c r="I2025" s="1367">
        <v>18.0</v>
      </c>
      <c r="J2025" s="1367"/>
      <c r="K2025" s="1367"/>
      <c r="L2025" s="1367"/>
      <c r="M2025" s="1010"/>
    </row>
    <row r="2026">
      <c r="A2026" s="1367"/>
      <c r="B2026" s="1367"/>
      <c r="C2026" s="1367"/>
      <c r="D2026" s="1367">
        <v>2023.0</v>
      </c>
      <c r="E2026" s="1367" t="s">
        <v>610</v>
      </c>
      <c r="F2026" s="1367" t="s">
        <v>4169</v>
      </c>
      <c r="G2026" s="1367" t="s">
        <v>1715</v>
      </c>
      <c r="H2026" s="1367">
        <v>2.0</v>
      </c>
      <c r="I2026" s="1367">
        <v>2.0</v>
      </c>
      <c r="J2026" s="1367"/>
      <c r="K2026" s="1367"/>
      <c r="L2026" s="1367"/>
      <c r="M2026" s="1010"/>
    </row>
    <row r="2027">
      <c r="A2027" s="1367"/>
      <c r="B2027" s="1367"/>
      <c r="C2027" s="1367"/>
      <c r="D2027" s="1367">
        <v>2023.0</v>
      </c>
      <c r="E2027" s="1367" t="s">
        <v>2119</v>
      </c>
      <c r="F2027" s="1367" t="s">
        <v>4169</v>
      </c>
      <c r="G2027" s="1367" t="s">
        <v>4230</v>
      </c>
      <c r="H2027" s="1367">
        <v>1.0</v>
      </c>
      <c r="I2027" s="1367">
        <v>1.0</v>
      </c>
      <c r="J2027" s="1367"/>
      <c r="K2027" s="1367"/>
      <c r="L2027" s="1367"/>
      <c r="M2027" s="1010"/>
    </row>
    <row r="2028">
      <c r="A2028" s="1367"/>
      <c r="B2028" s="1367"/>
      <c r="C2028" s="1367"/>
      <c r="D2028" s="1367">
        <v>2023.0</v>
      </c>
      <c r="E2028" s="1367" t="s">
        <v>2119</v>
      </c>
      <c r="F2028" s="1367" t="s">
        <v>4169</v>
      </c>
      <c r="G2028" s="1367" t="s">
        <v>4231</v>
      </c>
      <c r="H2028" s="1367">
        <v>67.0</v>
      </c>
      <c r="I2028" s="1367">
        <v>68.0</v>
      </c>
      <c r="J2028" s="1367"/>
      <c r="K2028" s="1367"/>
      <c r="L2028" s="1367"/>
      <c r="M2028" s="1010"/>
    </row>
    <row r="2029">
      <c r="A2029" s="1367"/>
      <c r="B2029" s="1367"/>
      <c r="C2029" s="1367"/>
      <c r="D2029" s="1367">
        <v>2023.0</v>
      </c>
      <c r="E2029" s="1367" t="s">
        <v>2119</v>
      </c>
      <c r="F2029" s="1367" t="s">
        <v>4169</v>
      </c>
      <c r="G2029" s="1367" t="s">
        <v>1086</v>
      </c>
      <c r="H2029" s="1367">
        <v>14.0</v>
      </c>
      <c r="I2029" s="1367">
        <v>14.0</v>
      </c>
      <c r="J2029" s="1367"/>
      <c r="K2029" s="1367"/>
      <c r="L2029" s="1367"/>
      <c r="M2029" s="1010"/>
    </row>
    <row r="2030">
      <c r="A2030" s="1367"/>
      <c r="B2030" s="1367"/>
      <c r="C2030" s="1367"/>
      <c r="D2030" s="1367">
        <v>2023.0</v>
      </c>
      <c r="E2030" s="1367" t="s">
        <v>2119</v>
      </c>
      <c r="F2030" s="1367" t="s">
        <v>4169</v>
      </c>
      <c r="G2030" s="1367" t="s">
        <v>1715</v>
      </c>
      <c r="H2030" s="1367">
        <v>8.0</v>
      </c>
      <c r="I2030" s="1367">
        <v>8.0</v>
      </c>
      <c r="J2030" s="1367"/>
      <c r="K2030" s="1367"/>
      <c r="L2030" s="1367"/>
      <c r="M2030" s="1010"/>
    </row>
    <row r="2031">
      <c r="A2031" s="1367"/>
      <c r="B2031" s="1367"/>
      <c r="C2031" s="1367"/>
      <c r="D2031" s="1367">
        <v>2023.0</v>
      </c>
      <c r="E2031" s="1367" t="s">
        <v>157</v>
      </c>
      <c r="F2031" s="1367" t="s">
        <v>4172</v>
      </c>
      <c r="G2031" s="1367" t="s">
        <v>4230</v>
      </c>
      <c r="H2031" s="1367">
        <v>57.0</v>
      </c>
      <c r="I2031" s="1367">
        <v>58.0</v>
      </c>
      <c r="J2031" s="1367"/>
      <c r="K2031" s="1367"/>
      <c r="L2031" s="1367"/>
      <c r="M2031" s="1010"/>
    </row>
    <row r="2032">
      <c r="A2032" s="1367"/>
      <c r="B2032" s="1367"/>
      <c r="C2032" s="1367"/>
      <c r="D2032" s="1367">
        <v>2023.0</v>
      </c>
      <c r="E2032" s="1367" t="s">
        <v>157</v>
      </c>
      <c r="F2032" s="1367" t="s">
        <v>4172</v>
      </c>
      <c r="G2032" s="1367" t="s">
        <v>4231</v>
      </c>
      <c r="H2032" s="1367">
        <v>177.0</v>
      </c>
      <c r="I2032" s="1367">
        <v>177.0</v>
      </c>
      <c r="J2032" s="1367"/>
      <c r="K2032" s="1367"/>
      <c r="L2032" s="1367"/>
      <c r="M2032" s="1010"/>
    </row>
    <row r="2033">
      <c r="A2033" s="1367"/>
      <c r="B2033" s="1367"/>
      <c r="C2033" s="1367"/>
      <c r="D2033" s="1367">
        <v>2023.0</v>
      </c>
      <c r="E2033" s="1367" t="s">
        <v>157</v>
      </c>
      <c r="F2033" s="1367" t="s">
        <v>4172</v>
      </c>
      <c r="G2033" s="1367" t="s">
        <v>1086</v>
      </c>
      <c r="H2033" s="1367">
        <v>118.0</v>
      </c>
      <c r="I2033" s="1367">
        <v>118.0</v>
      </c>
      <c r="J2033" s="1367"/>
      <c r="K2033" s="1367"/>
      <c r="L2033" s="1367"/>
      <c r="M2033" s="1010"/>
    </row>
    <row r="2034">
      <c r="A2034" s="1367"/>
      <c r="B2034" s="1367"/>
      <c r="C2034" s="1367"/>
      <c r="D2034" s="1367">
        <v>2023.0</v>
      </c>
      <c r="E2034" s="1367" t="s">
        <v>157</v>
      </c>
      <c r="F2034" s="1367" t="s">
        <v>4172</v>
      </c>
      <c r="G2034" s="1367" t="s">
        <v>1715</v>
      </c>
      <c r="H2034" s="1367">
        <v>41.0</v>
      </c>
      <c r="I2034" s="1367">
        <v>41.0</v>
      </c>
      <c r="J2034" s="1367"/>
      <c r="K2034" s="1367"/>
      <c r="L2034" s="1367"/>
      <c r="M2034" s="1010"/>
    </row>
    <row r="2035">
      <c r="A2035" s="1367"/>
      <c r="B2035" s="1367"/>
      <c r="C2035" s="1367"/>
      <c r="D2035" s="1367">
        <v>2023.0</v>
      </c>
      <c r="E2035" s="1367" t="s">
        <v>1615</v>
      </c>
      <c r="F2035" s="1367" t="s">
        <v>4170</v>
      </c>
      <c r="G2035" s="1367" t="s">
        <v>4230</v>
      </c>
      <c r="H2035" s="1367">
        <v>5.0</v>
      </c>
      <c r="I2035" s="1367">
        <v>5.0</v>
      </c>
      <c r="J2035" s="1367"/>
      <c r="K2035" s="1367"/>
      <c r="L2035" s="1367"/>
      <c r="M2035" s="1010"/>
    </row>
    <row r="2036">
      <c r="A2036" s="1367"/>
      <c r="B2036" s="1367"/>
      <c r="C2036" s="1367"/>
      <c r="D2036" s="1367">
        <v>2023.0</v>
      </c>
      <c r="E2036" s="1367" t="s">
        <v>1615</v>
      </c>
      <c r="F2036" s="1367" t="s">
        <v>4170</v>
      </c>
      <c r="G2036" s="1367" t="s">
        <v>4231</v>
      </c>
      <c r="H2036" s="1367">
        <v>14.0</v>
      </c>
      <c r="I2036" s="1367">
        <v>18.0</v>
      </c>
      <c r="J2036" s="1367"/>
      <c r="K2036" s="1367"/>
      <c r="L2036" s="1367"/>
      <c r="M2036" s="1010"/>
    </row>
    <row r="2037">
      <c r="A2037" s="1367"/>
      <c r="B2037" s="1367"/>
      <c r="C2037" s="1367"/>
      <c r="D2037" s="1367">
        <v>2023.0</v>
      </c>
      <c r="E2037" s="1367" t="s">
        <v>1615</v>
      </c>
      <c r="F2037" s="1367" t="s">
        <v>4170</v>
      </c>
      <c r="G2037" s="1367" t="s">
        <v>71</v>
      </c>
      <c r="H2037" s="1367">
        <v>4.0</v>
      </c>
      <c r="I2037" s="1367">
        <v>4.0</v>
      </c>
      <c r="J2037" s="1367"/>
      <c r="K2037" s="1367"/>
      <c r="L2037" s="1367"/>
      <c r="M2037" s="1010"/>
    </row>
    <row r="2038">
      <c r="A2038" s="1367"/>
      <c r="B2038" s="1367"/>
      <c r="C2038" s="1367"/>
      <c r="D2038" s="1367">
        <v>2023.0</v>
      </c>
      <c r="E2038" s="1367" t="s">
        <v>1615</v>
      </c>
      <c r="F2038" s="1367" t="s">
        <v>4170</v>
      </c>
      <c r="G2038" s="1367" t="s">
        <v>1086</v>
      </c>
      <c r="H2038" s="1367">
        <v>53.0</v>
      </c>
      <c r="I2038" s="1367">
        <v>54.0</v>
      </c>
      <c r="J2038" s="1367"/>
      <c r="K2038" s="1367"/>
      <c r="L2038" s="1367"/>
      <c r="M2038" s="1010"/>
    </row>
    <row r="2039">
      <c r="A2039" s="1367"/>
      <c r="B2039" s="1367"/>
      <c r="C2039" s="1367"/>
      <c r="D2039" s="1367">
        <v>2023.0</v>
      </c>
      <c r="E2039" s="1367" t="s">
        <v>1615</v>
      </c>
      <c r="F2039" s="1367" t="s">
        <v>4170</v>
      </c>
      <c r="G2039" s="1367" t="s">
        <v>1715</v>
      </c>
      <c r="H2039" s="1367">
        <v>3.0</v>
      </c>
      <c r="I2039" s="1367">
        <v>3.0</v>
      </c>
      <c r="J2039" s="1367"/>
      <c r="K2039" s="1367"/>
      <c r="L2039" s="1367"/>
      <c r="M2039" s="1010"/>
    </row>
    <row r="2040">
      <c r="A2040" s="1367"/>
      <c r="B2040" s="1367"/>
      <c r="C2040" s="1367"/>
      <c r="D2040" s="1367">
        <v>2023.0</v>
      </c>
      <c r="E2040" s="1367" t="s">
        <v>990</v>
      </c>
      <c r="F2040" s="1367" t="s">
        <v>4155</v>
      </c>
      <c r="G2040" s="1367" t="s">
        <v>4230</v>
      </c>
      <c r="H2040" s="1367">
        <v>5.0</v>
      </c>
      <c r="I2040" s="1367">
        <v>5.0</v>
      </c>
      <c r="J2040" s="1367"/>
      <c r="K2040" s="1367"/>
      <c r="L2040" s="1367"/>
      <c r="M2040" s="1010"/>
    </row>
    <row r="2041">
      <c r="A2041" s="1367"/>
      <c r="B2041" s="1367"/>
      <c r="C2041" s="1367"/>
      <c r="D2041" s="1367">
        <v>2023.0</v>
      </c>
      <c r="E2041" s="1367" t="s">
        <v>990</v>
      </c>
      <c r="F2041" s="1367" t="s">
        <v>4155</v>
      </c>
      <c r="G2041" s="1367" t="s">
        <v>4231</v>
      </c>
      <c r="H2041" s="1367">
        <v>13.0</v>
      </c>
      <c r="I2041" s="1367">
        <v>13.0</v>
      </c>
      <c r="J2041" s="1367"/>
      <c r="K2041" s="1367"/>
      <c r="L2041" s="1367"/>
      <c r="M2041" s="1010"/>
    </row>
    <row r="2042">
      <c r="A2042" s="1367"/>
      <c r="B2042" s="1367"/>
      <c r="C2042" s="1367"/>
      <c r="D2042" s="1367">
        <v>2023.0</v>
      </c>
      <c r="E2042" s="1367" t="s">
        <v>990</v>
      </c>
      <c r="F2042" s="1367" t="s">
        <v>4155</v>
      </c>
      <c r="G2042" s="1367" t="s">
        <v>1086</v>
      </c>
      <c r="H2042" s="1367">
        <v>5.0</v>
      </c>
      <c r="I2042" s="1367">
        <v>5.0</v>
      </c>
      <c r="J2042" s="1367"/>
      <c r="K2042" s="1367"/>
      <c r="L2042" s="1367"/>
      <c r="M2042" s="1010"/>
    </row>
    <row r="2043">
      <c r="A2043" s="1367"/>
      <c r="B2043" s="1367"/>
      <c r="C2043" s="1367"/>
      <c r="D2043" s="1367">
        <v>2023.0</v>
      </c>
      <c r="E2043" s="1367" t="s">
        <v>2120</v>
      </c>
      <c r="F2043" s="1367" t="s">
        <v>4170</v>
      </c>
      <c r="G2043" s="1367" t="s">
        <v>4231</v>
      </c>
      <c r="H2043" s="1367">
        <v>2.0</v>
      </c>
      <c r="I2043" s="1367">
        <v>2.0</v>
      </c>
      <c r="J2043" s="1367"/>
      <c r="K2043" s="1367"/>
      <c r="L2043" s="1367"/>
      <c r="M2043" s="1010"/>
    </row>
    <row r="2044">
      <c r="A2044" s="1367"/>
      <c r="B2044" s="1367"/>
      <c r="C2044" s="1367"/>
      <c r="D2044" s="1367">
        <v>2023.0</v>
      </c>
      <c r="E2044" s="1367" t="s">
        <v>2120</v>
      </c>
      <c r="F2044" s="1367" t="s">
        <v>4170</v>
      </c>
      <c r="G2044" s="1367" t="s">
        <v>1086</v>
      </c>
      <c r="H2044" s="1367">
        <v>2.0</v>
      </c>
      <c r="I2044" s="1367">
        <v>2.0</v>
      </c>
      <c r="J2044" s="1367"/>
      <c r="K2044" s="1367"/>
      <c r="L2044" s="1367"/>
      <c r="M2044" s="1010"/>
    </row>
    <row r="2045">
      <c r="A2045" s="1367"/>
      <c r="B2045" s="1367"/>
      <c r="C2045" s="1367"/>
      <c r="D2045" s="1367">
        <v>2023.0</v>
      </c>
      <c r="E2045" s="1367" t="s">
        <v>2120</v>
      </c>
      <c r="F2045" s="1367" t="s">
        <v>4170</v>
      </c>
      <c r="G2045" s="1367" t="s">
        <v>1715</v>
      </c>
      <c r="H2045" s="1367">
        <v>2.0</v>
      </c>
      <c r="I2045" s="1367">
        <v>2.0</v>
      </c>
      <c r="J2045" s="1367"/>
      <c r="K2045" s="1367"/>
      <c r="L2045" s="1367"/>
      <c r="M2045" s="1010"/>
    </row>
    <row r="2046">
      <c r="A2046" s="1367"/>
      <c r="B2046" s="1367"/>
      <c r="C2046" s="1367"/>
      <c r="D2046" s="1367">
        <v>2023.0</v>
      </c>
      <c r="E2046" s="1367" t="s">
        <v>2121</v>
      </c>
      <c r="F2046" s="1367" t="s">
        <v>4164</v>
      </c>
      <c r="G2046" s="1367" t="s">
        <v>4230</v>
      </c>
      <c r="H2046" s="1367">
        <v>73.0</v>
      </c>
      <c r="I2046" s="1367">
        <v>76.0</v>
      </c>
      <c r="J2046" s="1367"/>
      <c r="K2046" s="1367"/>
      <c r="L2046" s="1367"/>
      <c r="M2046" s="1010"/>
    </row>
    <row r="2047">
      <c r="A2047" s="1367"/>
      <c r="B2047" s="1367"/>
      <c r="C2047" s="1367"/>
      <c r="D2047" s="1367">
        <v>2023.0</v>
      </c>
      <c r="E2047" s="1367" t="s">
        <v>2121</v>
      </c>
      <c r="F2047" s="1367" t="s">
        <v>4164</v>
      </c>
      <c r="G2047" s="1367" t="s">
        <v>4231</v>
      </c>
      <c r="H2047" s="1367">
        <v>60.0</v>
      </c>
      <c r="I2047" s="1367">
        <v>60.0</v>
      </c>
      <c r="J2047" s="1367"/>
      <c r="K2047" s="1367"/>
      <c r="L2047" s="1367"/>
      <c r="M2047" s="1010"/>
    </row>
    <row r="2048">
      <c r="A2048" s="1367"/>
      <c r="B2048" s="1367"/>
      <c r="C2048" s="1367"/>
      <c r="D2048" s="1367">
        <v>2023.0</v>
      </c>
      <c r="E2048" s="1367" t="s">
        <v>2121</v>
      </c>
      <c r="F2048" s="1367" t="s">
        <v>4164</v>
      </c>
      <c r="G2048" s="1367" t="s">
        <v>1086</v>
      </c>
      <c r="H2048" s="1367">
        <v>27.0</v>
      </c>
      <c r="I2048" s="1367">
        <v>27.0</v>
      </c>
      <c r="J2048" s="1367"/>
      <c r="K2048" s="1367"/>
      <c r="L2048" s="1367"/>
      <c r="M2048" s="1010"/>
    </row>
    <row r="2049">
      <c r="A2049" s="1367"/>
      <c r="B2049" s="1367"/>
      <c r="C2049" s="1367"/>
      <c r="D2049" s="1367">
        <v>2023.0</v>
      </c>
      <c r="E2049" s="1367" t="s">
        <v>2121</v>
      </c>
      <c r="F2049" s="1367" t="s">
        <v>4164</v>
      </c>
      <c r="G2049" s="1367" t="s">
        <v>1715</v>
      </c>
      <c r="H2049" s="1367">
        <v>14.0</v>
      </c>
      <c r="I2049" s="1367">
        <v>14.0</v>
      </c>
      <c r="J2049" s="1367"/>
      <c r="K2049" s="1367"/>
      <c r="L2049" s="1367"/>
      <c r="M2049" s="1010"/>
    </row>
    <row r="2050">
      <c r="A2050" s="1367"/>
      <c r="B2050" s="1367"/>
      <c r="C2050" s="1367"/>
      <c r="D2050" s="1367">
        <v>2023.0</v>
      </c>
      <c r="E2050" s="1367" t="s">
        <v>2122</v>
      </c>
      <c r="F2050" s="1367" t="s">
        <v>4176</v>
      </c>
      <c r="G2050" s="1367" t="s">
        <v>4230</v>
      </c>
      <c r="H2050" s="1367">
        <v>22.0</v>
      </c>
      <c r="I2050" s="1367">
        <v>23.0</v>
      </c>
      <c r="J2050" s="1367"/>
      <c r="K2050" s="1367"/>
      <c r="L2050" s="1367"/>
      <c r="M2050" s="1010"/>
    </row>
    <row r="2051">
      <c r="A2051" s="1367"/>
      <c r="B2051" s="1367"/>
      <c r="C2051" s="1367"/>
      <c r="D2051" s="1367">
        <v>2023.0</v>
      </c>
      <c r="E2051" s="1367" t="s">
        <v>2122</v>
      </c>
      <c r="F2051" s="1367" t="s">
        <v>4176</v>
      </c>
      <c r="G2051" s="1367" t="s">
        <v>4231</v>
      </c>
      <c r="H2051" s="1367">
        <v>31.0</v>
      </c>
      <c r="I2051" s="1367">
        <v>31.0</v>
      </c>
      <c r="J2051" s="1367"/>
      <c r="K2051" s="1367"/>
      <c r="L2051" s="1367"/>
      <c r="M2051" s="1010"/>
    </row>
    <row r="2052">
      <c r="A2052" s="1367"/>
      <c r="B2052" s="1367"/>
      <c r="C2052" s="1367"/>
      <c r="D2052" s="1367">
        <v>2023.0</v>
      </c>
      <c r="E2052" s="1367" t="s">
        <v>2122</v>
      </c>
      <c r="F2052" s="1367" t="s">
        <v>4176</v>
      </c>
      <c r="G2052" s="1367" t="s">
        <v>1086</v>
      </c>
      <c r="H2052" s="1367">
        <v>23.0</v>
      </c>
      <c r="I2052" s="1367">
        <v>23.0</v>
      </c>
      <c r="J2052" s="1367"/>
      <c r="K2052" s="1367"/>
      <c r="L2052" s="1367"/>
      <c r="M2052" s="1010"/>
    </row>
    <row r="2053">
      <c r="A2053" s="1367"/>
      <c r="B2053" s="1367"/>
      <c r="C2053" s="1367"/>
      <c r="D2053" s="1367">
        <v>2023.0</v>
      </c>
      <c r="E2053" s="1367" t="s">
        <v>2122</v>
      </c>
      <c r="F2053" s="1367" t="s">
        <v>4176</v>
      </c>
      <c r="G2053" s="1367" t="s">
        <v>1715</v>
      </c>
      <c r="H2053" s="1367">
        <v>7.0</v>
      </c>
      <c r="I2053" s="1367">
        <v>8.0</v>
      </c>
      <c r="J2053" s="1367"/>
      <c r="K2053" s="1367"/>
      <c r="L2053" s="1367"/>
      <c r="M2053" s="1010"/>
    </row>
    <row r="2054">
      <c r="A2054" s="1367"/>
      <c r="B2054" s="1367"/>
      <c r="C2054" s="1367"/>
      <c r="D2054" s="1367">
        <v>2023.0</v>
      </c>
      <c r="E2054" s="1367" t="s">
        <v>297</v>
      </c>
      <c r="F2054" s="1367" t="s">
        <v>4164</v>
      </c>
      <c r="G2054" s="1367" t="s">
        <v>4230</v>
      </c>
      <c r="H2054" s="1367">
        <v>7.0</v>
      </c>
      <c r="I2054" s="1367">
        <v>7.0</v>
      </c>
      <c r="J2054" s="1367"/>
      <c r="K2054" s="1367"/>
      <c r="L2054" s="1367"/>
      <c r="M2054" s="1010"/>
    </row>
    <row r="2055">
      <c r="A2055" s="1367"/>
      <c r="B2055" s="1367"/>
      <c r="C2055" s="1367"/>
      <c r="D2055" s="1367">
        <v>2023.0</v>
      </c>
      <c r="E2055" s="1367" t="s">
        <v>297</v>
      </c>
      <c r="F2055" s="1367" t="s">
        <v>4164</v>
      </c>
      <c r="G2055" s="1367" t="s">
        <v>4231</v>
      </c>
      <c r="H2055" s="1367">
        <v>15.0</v>
      </c>
      <c r="I2055" s="1367">
        <v>16.0</v>
      </c>
      <c r="J2055" s="1367"/>
      <c r="K2055" s="1367"/>
      <c r="L2055" s="1367"/>
      <c r="M2055" s="1010"/>
    </row>
    <row r="2056">
      <c r="A2056" s="1367"/>
      <c r="B2056" s="1367"/>
      <c r="C2056" s="1367"/>
      <c r="D2056" s="1367">
        <v>2023.0</v>
      </c>
      <c r="E2056" s="1367" t="s">
        <v>297</v>
      </c>
      <c r="F2056" s="1367" t="s">
        <v>4164</v>
      </c>
      <c r="G2056" s="1367" t="s">
        <v>1715</v>
      </c>
      <c r="H2056" s="1367">
        <v>2.0</v>
      </c>
      <c r="I2056" s="1367">
        <v>2.0</v>
      </c>
      <c r="J2056" s="1367"/>
      <c r="K2056" s="1367"/>
      <c r="L2056" s="1367"/>
      <c r="M2056" s="1010"/>
    </row>
    <row r="2057">
      <c r="A2057" s="1367"/>
      <c r="B2057" s="1367"/>
      <c r="C2057" s="1367"/>
      <c r="D2057" s="1367">
        <v>2023.0</v>
      </c>
      <c r="E2057" s="1367" t="s">
        <v>2123</v>
      </c>
      <c r="F2057" s="1367" t="s">
        <v>4169</v>
      </c>
      <c r="G2057" s="1367" t="s">
        <v>4230</v>
      </c>
      <c r="H2057" s="1367">
        <v>6.0</v>
      </c>
      <c r="I2057" s="1367">
        <v>7.0</v>
      </c>
      <c r="J2057" s="1367"/>
      <c r="K2057" s="1367"/>
      <c r="L2057" s="1367"/>
      <c r="M2057" s="1010"/>
    </row>
    <row r="2058">
      <c r="A2058" s="1367"/>
      <c r="B2058" s="1367"/>
      <c r="C2058" s="1367"/>
      <c r="D2058" s="1367">
        <v>2023.0</v>
      </c>
      <c r="E2058" s="1367" t="s">
        <v>2123</v>
      </c>
      <c r="F2058" s="1367" t="s">
        <v>4169</v>
      </c>
      <c r="G2058" s="1367" t="s">
        <v>4231</v>
      </c>
      <c r="H2058" s="1367">
        <v>26.0</v>
      </c>
      <c r="I2058" s="1367">
        <v>26.0</v>
      </c>
      <c r="J2058" s="1367"/>
      <c r="K2058" s="1367"/>
      <c r="L2058" s="1367"/>
      <c r="M2058" s="1010"/>
    </row>
    <row r="2059">
      <c r="A2059" s="1367"/>
      <c r="B2059" s="1367"/>
      <c r="C2059" s="1367"/>
      <c r="D2059" s="1367">
        <v>2023.0</v>
      </c>
      <c r="E2059" s="1367" t="s">
        <v>2123</v>
      </c>
      <c r="F2059" s="1367" t="s">
        <v>4169</v>
      </c>
      <c r="G2059" s="1367" t="s">
        <v>1086</v>
      </c>
      <c r="H2059" s="1367">
        <v>66.0</v>
      </c>
      <c r="I2059" s="1367">
        <v>66.0</v>
      </c>
      <c r="J2059" s="1367"/>
      <c r="K2059" s="1367"/>
      <c r="L2059" s="1367"/>
      <c r="M2059" s="1010"/>
    </row>
    <row r="2060">
      <c r="A2060" s="1367"/>
      <c r="B2060" s="1367"/>
      <c r="C2060" s="1367"/>
      <c r="D2060" s="1367">
        <v>2023.0</v>
      </c>
      <c r="E2060" s="1367" t="s">
        <v>2123</v>
      </c>
      <c r="F2060" s="1367" t="s">
        <v>4169</v>
      </c>
      <c r="G2060" s="1367" t="s">
        <v>1715</v>
      </c>
      <c r="H2060" s="1367">
        <v>7.0</v>
      </c>
      <c r="I2060" s="1367">
        <v>7.0</v>
      </c>
      <c r="J2060" s="1367"/>
      <c r="K2060" s="1367"/>
      <c r="L2060" s="1367"/>
      <c r="M2060" s="1010"/>
    </row>
    <row r="2061">
      <c r="A2061" s="1367"/>
      <c r="B2061" s="1367"/>
      <c r="C2061" s="1367"/>
      <c r="D2061" s="1367">
        <v>2023.0</v>
      </c>
      <c r="E2061" s="1367" t="s">
        <v>2124</v>
      </c>
      <c r="F2061" s="1367" t="s">
        <v>4168</v>
      </c>
      <c r="G2061" s="1367" t="s">
        <v>4230</v>
      </c>
      <c r="H2061" s="1367">
        <v>34.0</v>
      </c>
      <c r="I2061" s="1367">
        <v>36.0</v>
      </c>
      <c r="J2061" s="1367"/>
      <c r="K2061" s="1367"/>
      <c r="L2061" s="1367"/>
      <c r="M2061" s="1010"/>
    </row>
    <row r="2062">
      <c r="A2062" s="1367"/>
      <c r="B2062" s="1367"/>
      <c r="C2062" s="1367"/>
      <c r="D2062" s="1367">
        <v>2023.0</v>
      </c>
      <c r="E2062" s="1367" t="s">
        <v>2124</v>
      </c>
      <c r="F2062" s="1367" t="s">
        <v>4168</v>
      </c>
      <c r="G2062" s="1367" t="s">
        <v>4231</v>
      </c>
      <c r="H2062" s="1367">
        <v>140.0</v>
      </c>
      <c r="I2062" s="1367">
        <v>147.0</v>
      </c>
      <c r="J2062" s="1367"/>
      <c r="K2062" s="1367"/>
      <c r="L2062" s="1367"/>
      <c r="M2062" s="1010"/>
    </row>
    <row r="2063">
      <c r="A2063" s="1367"/>
      <c r="B2063" s="1367"/>
      <c r="C2063" s="1367"/>
      <c r="D2063" s="1367">
        <v>2023.0</v>
      </c>
      <c r="E2063" s="1367" t="s">
        <v>2124</v>
      </c>
      <c r="F2063" s="1367" t="s">
        <v>4168</v>
      </c>
      <c r="G2063" s="1367" t="s">
        <v>71</v>
      </c>
      <c r="H2063" s="1367">
        <v>1.0</v>
      </c>
      <c r="I2063" s="1367">
        <v>1.0</v>
      </c>
      <c r="J2063" s="1367"/>
      <c r="K2063" s="1367"/>
      <c r="L2063" s="1367"/>
      <c r="M2063" s="1010"/>
    </row>
    <row r="2064">
      <c r="A2064" s="1367"/>
      <c r="B2064" s="1367"/>
      <c r="C2064" s="1367"/>
      <c r="D2064" s="1367">
        <v>2023.0</v>
      </c>
      <c r="E2064" s="1367" t="s">
        <v>2124</v>
      </c>
      <c r="F2064" s="1367" t="s">
        <v>4168</v>
      </c>
      <c r="G2064" s="1367" t="s">
        <v>1086</v>
      </c>
      <c r="H2064" s="1367">
        <v>686.0</v>
      </c>
      <c r="I2064" s="1367">
        <v>713.0</v>
      </c>
      <c r="J2064" s="1367"/>
      <c r="K2064" s="1367"/>
      <c r="L2064" s="1367"/>
      <c r="M2064" s="1010"/>
    </row>
    <row r="2065">
      <c r="A2065" s="1367"/>
      <c r="B2065" s="1367"/>
      <c r="C2065" s="1367"/>
      <c r="D2065" s="1367">
        <v>2023.0</v>
      </c>
      <c r="E2065" s="1367" t="s">
        <v>2124</v>
      </c>
      <c r="F2065" s="1367" t="s">
        <v>4168</v>
      </c>
      <c r="G2065" s="1367" t="s">
        <v>1715</v>
      </c>
      <c r="H2065" s="1367">
        <v>33.0</v>
      </c>
      <c r="I2065" s="1367">
        <v>33.0</v>
      </c>
      <c r="J2065" s="1367"/>
      <c r="K2065" s="1367"/>
      <c r="L2065" s="1367"/>
      <c r="M2065" s="1010"/>
    </row>
    <row r="2066">
      <c r="A2066" s="1367"/>
      <c r="B2066" s="1367"/>
      <c r="C2066" s="1367"/>
      <c r="D2066" s="1367">
        <v>2023.0</v>
      </c>
      <c r="E2066" s="1367" t="s">
        <v>2125</v>
      </c>
      <c r="F2066" s="1367" t="s">
        <v>4170</v>
      </c>
      <c r="G2066" s="1367" t="s">
        <v>4230</v>
      </c>
      <c r="H2066" s="1367">
        <v>4.0</v>
      </c>
      <c r="I2066" s="1367">
        <v>4.0</v>
      </c>
      <c r="J2066" s="1367"/>
      <c r="K2066" s="1367"/>
      <c r="L2066" s="1367"/>
      <c r="M2066" s="1010"/>
    </row>
    <row r="2067">
      <c r="A2067" s="1367"/>
      <c r="B2067" s="1367"/>
      <c r="C2067" s="1367"/>
      <c r="D2067" s="1367">
        <v>2023.0</v>
      </c>
      <c r="E2067" s="1367" t="s">
        <v>2125</v>
      </c>
      <c r="F2067" s="1367" t="s">
        <v>4170</v>
      </c>
      <c r="G2067" s="1367" t="s">
        <v>4231</v>
      </c>
      <c r="H2067" s="1367">
        <v>12.0</v>
      </c>
      <c r="I2067" s="1367">
        <v>12.0</v>
      </c>
      <c r="J2067" s="1367"/>
      <c r="K2067" s="1367"/>
      <c r="L2067" s="1367"/>
      <c r="M2067" s="1010"/>
    </row>
    <row r="2068">
      <c r="A2068" s="1367"/>
      <c r="B2068" s="1367"/>
      <c r="C2068" s="1367"/>
      <c r="D2068" s="1367">
        <v>2023.0</v>
      </c>
      <c r="E2068" s="1367" t="s">
        <v>2125</v>
      </c>
      <c r="F2068" s="1367" t="s">
        <v>4170</v>
      </c>
      <c r="G2068" s="1367" t="s">
        <v>1086</v>
      </c>
      <c r="H2068" s="1367">
        <v>16.0</v>
      </c>
      <c r="I2068" s="1367">
        <v>17.0</v>
      </c>
      <c r="J2068" s="1367"/>
      <c r="K2068" s="1367"/>
      <c r="L2068" s="1367"/>
      <c r="M2068" s="1010"/>
    </row>
    <row r="2069">
      <c r="A2069" s="1367"/>
      <c r="B2069" s="1367"/>
      <c r="C2069" s="1367"/>
      <c r="D2069" s="1367">
        <v>2023.0</v>
      </c>
      <c r="E2069" s="1367" t="s">
        <v>2125</v>
      </c>
      <c r="F2069" s="1367" t="s">
        <v>4170</v>
      </c>
      <c r="G2069" s="1367" t="s">
        <v>1715</v>
      </c>
      <c r="H2069" s="1367">
        <v>1.0</v>
      </c>
      <c r="I2069" s="1367">
        <v>1.0</v>
      </c>
      <c r="J2069" s="1367"/>
      <c r="K2069" s="1367"/>
      <c r="L2069" s="1367"/>
      <c r="M2069" s="1010"/>
    </row>
    <row r="2070">
      <c r="A2070" s="1367"/>
      <c r="B2070" s="1367"/>
      <c r="C2070" s="1367"/>
      <c r="D2070" s="1367">
        <v>2023.0</v>
      </c>
      <c r="E2070" s="1367" t="s">
        <v>1127</v>
      </c>
      <c r="F2070" s="1367" t="s">
        <v>4170</v>
      </c>
      <c r="G2070" s="1367" t="s">
        <v>4231</v>
      </c>
      <c r="H2070" s="1367">
        <v>1.0</v>
      </c>
      <c r="I2070" s="1367">
        <v>1.0</v>
      </c>
      <c r="J2070" s="1367"/>
      <c r="K2070" s="1367"/>
      <c r="L2070" s="1367"/>
      <c r="M2070" s="1010"/>
    </row>
    <row r="2071">
      <c r="A2071" s="1367"/>
      <c r="B2071" s="1367"/>
      <c r="C2071" s="1367"/>
      <c r="D2071" s="1367">
        <v>2023.0</v>
      </c>
      <c r="E2071" s="1367" t="s">
        <v>241</v>
      </c>
      <c r="F2071" s="1367" t="s">
        <v>4164</v>
      </c>
      <c r="G2071" s="1367" t="s">
        <v>4230</v>
      </c>
      <c r="H2071" s="1367">
        <v>27.0</v>
      </c>
      <c r="I2071" s="1367">
        <v>27.0</v>
      </c>
      <c r="J2071" s="1367"/>
      <c r="K2071" s="1367"/>
      <c r="L2071" s="1367"/>
      <c r="M2071" s="1010"/>
    </row>
    <row r="2072">
      <c r="A2072" s="1367"/>
      <c r="B2072" s="1367"/>
      <c r="C2072" s="1367"/>
      <c r="D2072" s="1367">
        <v>2023.0</v>
      </c>
      <c r="E2072" s="1367" t="s">
        <v>241</v>
      </c>
      <c r="F2072" s="1367" t="s">
        <v>4164</v>
      </c>
      <c r="G2072" s="1367" t="s">
        <v>4231</v>
      </c>
      <c r="H2072" s="1367">
        <v>85.0</v>
      </c>
      <c r="I2072" s="1367">
        <v>94.0</v>
      </c>
      <c r="J2072" s="1367"/>
      <c r="K2072" s="1367"/>
      <c r="L2072" s="1367"/>
      <c r="M2072" s="1010"/>
    </row>
    <row r="2073">
      <c r="A2073" s="1367"/>
      <c r="B2073" s="1367"/>
      <c r="C2073" s="1367"/>
      <c r="D2073" s="1367">
        <v>2023.0</v>
      </c>
      <c r="E2073" s="1367" t="s">
        <v>241</v>
      </c>
      <c r="F2073" s="1367" t="s">
        <v>4164</v>
      </c>
      <c r="G2073" s="1367" t="s">
        <v>1086</v>
      </c>
      <c r="H2073" s="1367">
        <v>3.0</v>
      </c>
      <c r="I2073" s="1367">
        <v>3.0</v>
      </c>
      <c r="J2073" s="1367"/>
      <c r="K2073" s="1367"/>
      <c r="L2073" s="1367"/>
      <c r="M2073" s="1010"/>
    </row>
    <row r="2074">
      <c r="A2074" s="1367"/>
      <c r="B2074" s="1367"/>
      <c r="C2074" s="1367"/>
      <c r="D2074" s="1367">
        <v>2023.0</v>
      </c>
      <c r="E2074" s="1367" t="s">
        <v>241</v>
      </c>
      <c r="F2074" s="1367" t="s">
        <v>4164</v>
      </c>
      <c r="G2074" s="1367" t="s">
        <v>1715</v>
      </c>
      <c r="H2074" s="1367">
        <v>11.0</v>
      </c>
      <c r="I2074" s="1367">
        <v>11.0</v>
      </c>
      <c r="J2074" s="1367"/>
      <c r="K2074" s="1367"/>
      <c r="L2074" s="1367"/>
      <c r="M2074" s="1010"/>
    </row>
    <row r="2075">
      <c r="A2075" s="1367"/>
      <c r="B2075" s="1367"/>
      <c r="C2075" s="1367"/>
      <c r="D2075" s="1367">
        <v>2023.0</v>
      </c>
      <c r="E2075" s="1367" t="s">
        <v>2126</v>
      </c>
      <c r="F2075" s="1367" t="s">
        <v>4176</v>
      </c>
      <c r="G2075" s="1367" t="s">
        <v>4230</v>
      </c>
      <c r="H2075" s="1367">
        <v>3.0</v>
      </c>
      <c r="I2075" s="1367">
        <v>3.0</v>
      </c>
      <c r="J2075" s="1367"/>
      <c r="K2075" s="1367"/>
      <c r="L2075" s="1367"/>
      <c r="M2075" s="1010"/>
    </row>
    <row r="2076">
      <c r="A2076" s="1367"/>
      <c r="B2076" s="1367"/>
      <c r="C2076" s="1367"/>
      <c r="D2076" s="1367">
        <v>2023.0</v>
      </c>
      <c r="E2076" s="1367" t="s">
        <v>2126</v>
      </c>
      <c r="F2076" s="1367" t="s">
        <v>4176</v>
      </c>
      <c r="G2076" s="1367" t="s">
        <v>4231</v>
      </c>
      <c r="H2076" s="1367">
        <v>55.0</v>
      </c>
      <c r="I2076" s="1367">
        <v>55.0</v>
      </c>
      <c r="J2076" s="1367"/>
      <c r="K2076" s="1367"/>
      <c r="L2076" s="1367"/>
      <c r="M2076" s="1010"/>
    </row>
    <row r="2077">
      <c r="A2077" s="1367"/>
      <c r="B2077" s="1367"/>
      <c r="C2077" s="1367"/>
      <c r="D2077" s="1367">
        <v>2023.0</v>
      </c>
      <c r="E2077" s="1367" t="s">
        <v>2126</v>
      </c>
      <c r="F2077" s="1367" t="s">
        <v>4176</v>
      </c>
      <c r="G2077" s="1367" t="s">
        <v>1086</v>
      </c>
      <c r="H2077" s="1367">
        <v>29.0</v>
      </c>
      <c r="I2077" s="1367">
        <v>30.0</v>
      </c>
      <c r="J2077" s="1367"/>
      <c r="K2077" s="1367"/>
      <c r="L2077" s="1367"/>
      <c r="M2077" s="1010"/>
    </row>
    <row r="2078">
      <c r="A2078" s="1367"/>
      <c r="B2078" s="1367"/>
      <c r="C2078" s="1367"/>
      <c r="D2078" s="1367">
        <v>2023.0</v>
      </c>
      <c r="E2078" s="1367" t="s">
        <v>2126</v>
      </c>
      <c r="F2078" s="1367" t="s">
        <v>4176</v>
      </c>
      <c r="G2078" s="1367" t="s">
        <v>1715</v>
      </c>
      <c r="H2078" s="1367">
        <v>6.0</v>
      </c>
      <c r="I2078" s="1367">
        <v>6.0</v>
      </c>
      <c r="J2078" s="1367"/>
      <c r="K2078" s="1367"/>
      <c r="L2078" s="1367"/>
      <c r="M2078" s="1010"/>
    </row>
    <row r="2079">
      <c r="A2079" s="1367"/>
      <c r="B2079" s="1367"/>
      <c r="C2079" s="1367"/>
      <c r="D2079" s="1367">
        <v>2023.0</v>
      </c>
      <c r="E2079" s="1367" t="s">
        <v>1377</v>
      </c>
      <c r="F2079" s="1367" t="s">
        <v>4155</v>
      </c>
      <c r="G2079" s="1367" t="s">
        <v>4230</v>
      </c>
      <c r="H2079" s="1367">
        <v>5.0</v>
      </c>
      <c r="I2079" s="1367">
        <v>5.0</v>
      </c>
      <c r="J2079" s="1367"/>
      <c r="K2079" s="1367"/>
      <c r="L2079" s="1367"/>
      <c r="M2079" s="1010"/>
    </row>
    <row r="2080">
      <c r="A2080" s="1367"/>
      <c r="B2080" s="1367"/>
      <c r="C2080" s="1367"/>
      <c r="D2080" s="1367">
        <v>2023.0</v>
      </c>
      <c r="E2080" s="1367" t="s">
        <v>1377</v>
      </c>
      <c r="F2080" s="1367" t="s">
        <v>4155</v>
      </c>
      <c r="G2080" s="1367" t="s">
        <v>4231</v>
      </c>
      <c r="H2080" s="1367">
        <v>10.0</v>
      </c>
      <c r="I2080" s="1367">
        <v>10.0</v>
      </c>
      <c r="J2080" s="1367"/>
      <c r="K2080" s="1367"/>
      <c r="L2080" s="1367"/>
      <c r="M2080" s="1010"/>
    </row>
    <row r="2081">
      <c r="A2081" s="1367"/>
      <c r="B2081" s="1367"/>
      <c r="C2081" s="1367"/>
      <c r="D2081" s="1367">
        <v>2023.0</v>
      </c>
      <c r="E2081" s="1367" t="s">
        <v>1377</v>
      </c>
      <c r="F2081" s="1367" t="s">
        <v>4155</v>
      </c>
      <c r="G2081" s="1367" t="s">
        <v>1086</v>
      </c>
      <c r="H2081" s="1367">
        <v>4.0</v>
      </c>
      <c r="I2081" s="1367">
        <v>4.0</v>
      </c>
      <c r="J2081" s="1367"/>
      <c r="K2081" s="1367"/>
      <c r="L2081" s="1367"/>
      <c r="M2081" s="1010"/>
    </row>
    <row r="2082">
      <c r="A2082" s="1367"/>
      <c r="B2082" s="1367"/>
      <c r="C2082" s="1367"/>
      <c r="D2082" s="1367">
        <v>2023.0</v>
      </c>
      <c r="E2082" s="1367" t="s">
        <v>1377</v>
      </c>
      <c r="F2082" s="1367" t="s">
        <v>4155</v>
      </c>
      <c r="G2082" s="1367" t="s">
        <v>1715</v>
      </c>
      <c r="H2082" s="1367">
        <v>2.0</v>
      </c>
      <c r="I2082" s="1367">
        <v>2.0</v>
      </c>
      <c r="J2082" s="1367"/>
      <c r="K2082" s="1367"/>
      <c r="L2082" s="1367"/>
      <c r="M2082" s="1010"/>
    </row>
    <row r="2083">
      <c r="A2083" s="1367"/>
      <c r="B2083" s="1367"/>
      <c r="C2083" s="1367"/>
      <c r="D2083" s="1367">
        <v>2023.0</v>
      </c>
      <c r="E2083" s="1367" t="s">
        <v>2127</v>
      </c>
      <c r="F2083" s="1367" t="s">
        <v>4176</v>
      </c>
      <c r="G2083" s="1367" t="s">
        <v>4230</v>
      </c>
      <c r="H2083" s="1367">
        <v>3.0</v>
      </c>
      <c r="I2083" s="1367">
        <v>3.0</v>
      </c>
      <c r="J2083" s="1367"/>
      <c r="K2083" s="1367"/>
      <c r="L2083" s="1367"/>
      <c r="M2083" s="1010"/>
    </row>
    <row r="2084">
      <c r="A2084" s="1367"/>
      <c r="B2084" s="1367"/>
      <c r="C2084" s="1367"/>
      <c r="D2084" s="1367">
        <v>2023.0</v>
      </c>
      <c r="E2084" s="1367" t="s">
        <v>2127</v>
      </c>
      <c r="F2084" s="1367" t="s">
        <v>4176</v>
      </c>
      <c r="G2084" s="1367" t="s">
        <v>4231</v>
      </c>
      <c r="H2084" s="1367">
        <v>287.0</v>
      </c>
      <c r="I2084" s="1367">
        <v>300.0</v>
      </c>
      <c r="J2084" s="1367"/>
      <c r="K2084" s="1367"/>
      <c r="L2084" s="1367"/>
      <c r="M2084" s="1010"/>
    </row>
    <row r="2085">
      <c r="A2085" s="1367"/>
      <c r="B2085" s="1367"/>
      <c r="C2085" s="1367"/>
      <c r="D2085" s="1367">
        <v>2023.0</v>
      </c>
      <c r="E2085" s="1367" t="s">
        <v>2127</v>
      </c>
      <c r="F2085" s="1367" t="s">
        <v>4176</v>
      </c>
      <c r="G2085" s="1367" t="s">
        <v>71</v>
      </c>
      <c r="H2085" s="1367">
        <v>1.0</v>
      </c>
      <c r="I2085" s="1367">
        <v>1.0</v>
      </c>
      <c r="J2085" s="1367"/>
      <c r="K2085" s="1367"/>
      <c r="L2085" s="1367"/>
      <c r="M2085" s="1010"/>
    </row>
    <row r="2086">
      <c r="A2086" s="1367"/>
      <c r="B2086" s="1367"/>
      <c r="C2086" s="1367"/>
      <c r="D2086" s="1367">
        <v>2023.0</v>
      </c>
      <c r="E2086" s="1367" t="s">
        <v>2127</v>
      </c>
      <c r="F2086" s="1367" t="s">
        <v>4176</v>
      </c>
      <c r="G2086" s="1367" t="s">
        <v>1086</v>
      </c>
      <c r="H2086" s="1367">
        <v>91.0</v>
      </c>
      <c r="I2086" s="1367">
        <v>96.0</v>
      </c>
      <c r="J2086" s="1367"/>
      <c r="K2086" s="1367"/>
      <c r="L2086" s="1367"/>
      <c r="M2086" s="1010"/>
    </row>
    <row r="2087">
      <c r="A2087" s="1367"/>
      <c r="B2087" s="1367"/>
      <c r="C2087" s="1367"/>
      <c r="D2087" s="1367">
        <v>2023.0</v>
      </c>
      <c r="E2087" s="1367" t="s">
        <v>2127</v>
      </c>
      <c r="F2087" s="1367" t="s">
        <v>4176</v>
      </c>
      <c r="G2087" s="1367" t="s">
        <v>1715</v>
      </c>
      <c r="H2087" s="1367">
        <v>25.0</v>
      </c>
      <c r="I2087" s="1367">
        <v>26.0</v>
      </c>
      <c r="J2087" s="1367"/>
      <c r="K2087" s="1367"/>
      <c r="L2087" s="1367"/>
      <c r="M2087" s="1010"/>
    </row>
    <row r="2088">
      <c r="A2088" s="1367"/>
      <c r="B2088" s="1367"/>
      <c r="C2088" s="1367"/>
      <c r="D2088" s="1367">
        <v>2023.0</v>
      </c>
      <c r="E2088" s="1367" t="s">
        <v>2128</v>
      </c>
      <c r="F2088" s="1367" t="s">
        <v>4170</v>
      </c>
      <c r="G2088" s="1367" t="s">
        <v>4231</v>
      </c>
      <c r="H2088" s="1367">
        <v>2.0</v>
      </c>
      <c r="I2088" s="1367">
        <v>2.0</v>
      </c>
      <c r="J2088" s="1367"/>
      <c r="K2088" s="1367"/>
      <c r="L2088" s="1367"/>
      <c r="M2088" s="1010"/>
    </row>
    <row r="2089">
      <c r="A2089" s="1367"/>
      <c r="B2089" s="1367"/>
      <c r="C2089" s="1367"/>
      <c r="D2089" s="1367">
        <v>2023.0</v>
      </c>
      <c r="E2089" s="1367" t="s">
        <v>2128</v>
      </c>
      <c r="F2089" s="1367" t="s">
        <v>4170</v>
      </c>
      <c r="G2089" s="1367" t="s">
        <v>1086</v>
      </c>
      <c r="H2089" s="1367">
        <v>28.0</v>
      </c>
      <c r="I2089" s="1367">
        <v>28.0</v>
      </c>
      <c r="J2089" s="1367"/>
      <c r="K2089" s="1367"/>
      <c r="L2089" s="1367"/>
      <c r="M2089" s="1010"/>
    </row>
    <row r="2090">
      <c r="A2090" s="1367"/>
      <c r="B2090" s="1367"/>
      <c r="C2090" s="1367"/>
      <c r="D2090" s="1367">
        <v>2023.0</v>
      </c>
      <c r="E2090" s="1367" t="s">
        <v>2129</v>
      </c>
      <c r="F2090" s="1367" t="s">
        <v>4162</v>
      </c>
      <c r="G2090" s="1367" t="s">
        <v>4230</v>
      </c>
      <c r="H2090" s="1367">
        <v>2.0</v>
      </c>
      <c r="I2090" s="1367">
        <v>2.0</v>
      </c>
      <c r="J2090" s="1367"/>
      <c r="K2090" s="1367"/>
      <c r="L2090" s="1367"/>
      <c r="M2090" s="1010"/>
    </row>
    <row r="2091">
      <c r="A2091" s="1367"/>
      <c r="B2091" s="1367"/>
      <c r="C2091" s="1367"/>
      <c r="D2091" s="1367">
        <v>2023.0</v>
      </c>
      <c r="E2091" s="1367" t="s">
        <v>2129</v>
      </c>
      <c r="F2091" s="1367" t="s">
        <v>4162</v>
      </c>
      <c r="G2091" s="1367" t="s">
        <v>4231</v>
      </c>
      <c r="H2091" s="1367">
        <v>3.0</v>
      </c>
      <c r="I2091" s="1367">
        <v>3.0</v>
      </c>
      <c r="J2091" s="1367"/>
      <c r="K2091" s="1367"/>
      <c r="L2091" s="1367"/>
      <c r="M2091" s="1010"/>
    </row>
    <row r="2092">
      <c r="A2092" s="1367"/>
      <c r="B2092" s="1367"/>
      <c r="C2092" s="1367"/>
      <c r="D2092" s="1367">
        <v>2023.0</v>
      </c>
      <c r="E2092" s="1367" t="s">
        <v>2129</v>
      </c>
      <c r="F2092" s="1367" t="s">
        <v>4162</v>
      </c>
      <c r="G2092" s="1367" t="s">
        <v>1086</v>
      </c>
      <c r="H2092" s="1367">
        <v>23.0</v>
      </c>
      <c r="I2092" s="1367">
        <v>23.0</v>
      </c>
      <c r="J2092" s="1367"/>
      <c r="K2092" s="1367"/>
      <c r="L2092" s="1367"/>
      <c r="M2092" s="1010"/>
    </row>
    <row r="2093">
      <c r="A2093" s="1367"/>
      <c r="B2093" s="1367"/>
      <c r="C2093" s="1367"/>
      <c r="D2093" s="1367">
        <v>2023.0</v>
      </c>
      <c r="E2093" s="1367" t="s">
        <v>2129</v>
      </c>
      <c r="F2093" s="1367" t="s">
        <v>4162</v>
      </c>
      <c r="G2093" s="1367" t="s">
        <v>1715</v>
      </c>
      <c r="H2093" s="1367">
        <v>1.0</v>
      </c>
      <c r="I2093" s="1367">
        <v>1.0</v>
      </c>
      <c r="J2093" s="1367"/>
      <c r="K2093" s="1367"/>
      <c r="L2093" s="1367"/>
      <c r="M2093" s="1010"/>
    </row>
    <row r="2094">
      <c r="A2094" s="1367"/>
      <c r="B2094" s="1367"/>
      <c r="C2094" s="1367"/>
      <c r="D2094" s="1367">
        <v>2023.0</v>
      </c>
      <c r="E2094" s="1367" t="s">
        <v>302</v>
      </c>
      <c r="F2094" s="1367" t="s">
        <v>4164</v>
      </c>
      <c r="G2094" s="1367" t="s">
        <v>4230</v>
      </c>
      <c r="H2094" s="1367">
        <v>15.0</v>
      </c>
      <c r="I2094" s="1367">
        <v>15.0</v>
      </c>
      <c r="J2094" s="1367"/>
      <c r="K2094" s="1367"/>
      <c r="L2094" s="1367"/>
      <c r="M2094" s="1010"/>
    </row>
    <row r="2095">
      <c r="A2095" s="1367"/>
      <c r="B2095" s="1367"/>
      <c r="C2095" s="1367"/>
      <c r="D2095" s="1367">
        <v>2023.0</v>
      </c>
      <c r="E2095" s="1367" t="s">
        <v>302</v>
      </c>
      <c r="F2095" s="1367" t="s">
        <v>4164</v>
      </c>
      <c r="G2095" s="1367" t="s">
        <v>4231</v>
      </c>
      <c r="H2095" s="1367">
        <v>75.0</v>
      </c>
      <c r="I2095" s="1367">
        <v>76.0</v>
      </c>
      <c r="J2095" s="1367"/>
      <c r="K2095" s="1367"/>
      <c r="L2095" s="1367"/>
      <c r="M2095" s="1010"/>
    </row>
    <row r="2096">
      <c r="A2096" s="1367"/>
      <c r="B2096" s="1367"/>
      <c r="C2096" s="1367"/>
      <c r="D2096" s="1367">
        <v>2023.0</v>
      </c>
      <c r="E2096" s="1367" t="s">
        <v>302</v>
      </c>
      <c r="F2096" s="1367" t="s">
        <v>4164</v>
      </c>
      <c r="G2096" s="1367" t="s">
        <v>1086</v>
      </c>
      <c r="H2096" s="1367">
        <v>6.0</v>
      </c>
      <c r="I2096" s="1367">
        <v>6.0</v>
      </c>
      <c r="J2096" s="1367"/>
      <c r="K2096" s="1367"/>
      <c r="L2096" s="1367"/>
      <c r="M2096" s="1010"/>
    </row>
    <row r="2097">
      <c r="A2097" s="1367"/>
      <c r="B2097" s="1367"/>
      <c r="C2097" s="1367"/>
      <c r="D2097" s="1367">
        <v>2023.0</v>
      </c>
      <c r="E2097" s="1367" t="s">
        <v>302</v>
      </c>
      <c r="F2097" s="1367" t="s">
        <v>4164</v>
      </c>
      <c r="G2097" s="1367" t="s">
        <v>1715</v>
      </c>
      <c r="H2097" s="1367">
        <v>7.0</v>
      </c>
      <c r="I2097" s="1367">
        <v>7.0</v>
      </c>
      <c r="J2097" s="1367"/>
      <c r="K2097" s="1367"/>
      <c r="L2097" s="1367"/>
      <c r="M2097" s="1010"/>
    </row>
    <row r="2098">
      <c r="A2098" s="1367"/>
      <c r="B2098" s="1367"/>
      <c r="C2098" s="1367"/>
      <c r="D2098" s="1367">
        <v>2023.0</v>
      </c>
      <c r="E2098" s="1367" t="s">
        <v>1805</v>
      </c>
      <c r="F2098" s="1367" t="s">
        <v>4170</v>
      </c>
      <c r="G2098" s="1367" t="s">
        <v>4230</v>
      </c>
      <c r="H2098" s="1367">
        <v>69.0</v>
      </c>
      <c r="I2098" s="1367">
        <v>69.0</v>
      </c>
      <c r="J2098" s="1367"/>
      <c r="K2098" s="1367"/>
      <c r="L2098" s="1367"/>
      <c r="M2098" s="1010"/>
    </row>
    <row r="2099">
      <c r="A2099" s="1367"/>
      <c r="B2099" s="1367"/>
      <c r="C2099" s="1367"/>
      <c r="D2099" s="1367">
        <v>2023.0</v>
      </c>
      <c r="E2099" s="1367" t="s">
        <v>1805</v>
      </c>
      <c r="F2099" s="1367" t="s">
        <v>4170</v>
      </c>
      <c r="G2099" s="1367" t="s">
        <v>4231</v>
      </c>
      <c r="H2099" s="1367">
        <v>113.0</v>
      </c>
      <c r="I2099" s="1367">
        <v>115.0</v>
      </c>
      <c r="J2099" s="1367"/>
      <c r="K2099" s="1367"/>
      <c r="L2099" s="1367"/>
      <c r="M2099" s="1010"/>
    </row>
    <row r="2100">
      <c r="A2100" s="1367"/>
      <c r="B2100" s="1367"/>
      <c r="C2100" s="1367"/>
      <c r="D2100" s="1367">
        <v>2023.0</v>
      </c>
      <c r="E2100" s="1367" t="s">
        <v>1805</v>
      </c>
      <c r="F2100" s="1367" t="s">
        <v>4170</v>
      </c>
      <c r="G2100" s="1367" t="s">
        <v>71</v>
      </c>
      <c r="H2100" s="1367">
        <v>12.0</v>
      </c>
      <c r="I2100" s="1367">
        <v>12.0</v>
      </c>
      <c r="J2100" s="1367"/>
      <c r="K2100" s="1367"/>
      <c r="L2100" s="1367"/>
      <c r="M2100" s="1010"/>
    </row>
    <row r="2101">
      <c r="A2101" s="1367"/>
      <c r="B2101" s="1367"/>
      <c r="C2101" s="1367"/>
      <c r="D2101" s="1367">
        <v>2023.0</v>
      </c>
      <c r="E2101" s="1367" t="s">
        <v>1805</v>
      </c>
      <c r="F2101" s="1367" t="s">
        <v>4170</v>
      </c>
      <c r="G2101" s="1367" t="s">
        <v>1086</v>
      </c>
      <c r="H2101" s="1367">
        <v>236.0</v>
      </c>
      <c r="I2101" s="1367">
        <v>236.0</v>
      </c>
      <c r="J2101" s="1367"/>
      <c r="K2101" s="1367"/>
      <c r="L2101" s="1367"/>
      <c r="M2101" s="1010"/>
    </row>
    <row r="2102">
      <c r="A2102" s="1367"/>
      <c r="B2102" s="1367"/>
      <c r="C2102" s="1367"/>
      <c r="D2102" s="1367">
        <v>2023.0</v>
      </c>
      <c r="E2102" s="1367" t="s">
        <v>1805</v>
      </c>
      <c r="F2102" s="1367" t="s">
        <v>4170</v>
      </c>
      <c r="G2102" s="1367" t="s">
        <v>1715</v>
      </c>
      <c r="H2102" s="1367">
        <v>32.0</v>
      </c>
      <c r="I2102" s="1367">
        <v>35.0</v>
      </c>
      <c r="J2102" s="1367"/>
      <c r="K2102" s="1367"/>
      <c r="L2102" s="1367"/>
      <c r="M2102" s="1010"/>
    </row>
    <row r="2103">
      <c r="A2103" s="1367"/>
      <c r="B2103" s="1367"/>
      <c r="C2103" s="1367"/>
      <c r="D2103" s="1367">
        <v>2023.0</v>
      </c>
      <c r="E2103" s="1367" t="s">
        <v>2130</v>
      </c>
      <c r="F2103" s="1367" t="s">
        <v>4175</v>
      </c>
      <c r="G2103" s="1367" t="s">
        <v>1086</v>
      </c>
      <c r="H2103" s="1367">
        <v>1.0</v>
      </c>
      <c r="I2103" s="1367">
        <v>1.0</v>
      </c>
      <c r="J2103" s="1367"/>
      <c r="K2103" s="1367"/>
      <c r="L2103" s="1367"/>
      <c r="M2103" s="1010"/>
    </row>
    <row r="2104">
      <c r="A2104" s="1367"/>
      <c r="B2104" s="1367"/>
      <c r="C2104" s="1367"/>
      <c r="D2104" s="1367">
        <v>2023.0</v>
      </c>
      <c r="E2104" s="1367" t="s">
        <v>2131</v>
      </c>
      <c r="F2104" s="1367" t="s">
        <v>4155</v>
      </c>
      <c r="G2104" s="1367" t="s">
        <v>4231</v>
      </c>
      <c r="H2104" s="1367">
        <v>20.0</v>
      </c>
      <c r="I2104" s="1367">
        <v>20.0</v>
      </c>
      <c r="J2104" s="1367"/>
      <c r="K2104" s="1367"/>
      <c r="L2104" s="1367"/>
      <c r="M2104" s="1010"/>
    </row>
    <row r="2105">
      <c r="A2105" s="1367"/>
      <c r="B2105" s="1367"/>
      <c r="C2105" s="1367"/>
      <c r="D2105" s="1367">
        <v>2023.0</v>
      </c>
      <c r="E2105" s="1367" t="s">
        <v>2131</v>
      </c>
      <c r="F2105" s="1367" t="s">
        <v>4155</v>
      </c>
      <c r="G2105" s="1367" t="s">
        <v>1086</v>
      </c>
      <c r="H2105" s="1367">
        <v>1.0</v>
      </c>
      <c r="I2105" s="1367">
        <v>1.0</v>
      </c>
      <c r="J2105" s="1367"/>
      <c r="K2105" s="1367"/>
      <c r="L2105" s="1367"/>
      <c r="M2105" s="1010"/>
    </row>
    <row r="2106">
      <c r="A2106" s="1367"/>
      <c r="B2106" s="1367"/>
      <c r="C2106" s="1367"/>
      <c r="D2106" s="1367">
        <v>2023.0</v>
      </c>
      <c r="E2106" s="1367" t="s">
        <v>2132</v>
      </c>
      <c r="F2106" s="1367" t="s">
        <v>4170</v>
      </c>
      <c r="G2106" s="1367" t="s">
        <v>4230</v>
      </c>
      <c r="H2106" s="1367">
        <v>12.0</v>
      </c>
      <c r="I2106" s="1367">
        <v>12.0</v>
      </c>
      <c r="J2106" s="1367"/>
      <c r="K2106" s="1367"/>
      <c r="L2106" s="1367"/>
      <c r="M2106" s="1010"/>
    </row>
    <row r="2107">
      <c r="A2107" s="1367"/>
      <c r="B2107" s="1367"/>
      <c r="C2107" s="1367"/>
      <c r="D2107" s="1367">
        <v>2023.0</v>
      </c>
      <c r="E2107" s="1367" t="s">
        <v>2132</v>
      </c>
      <c r="F2107" s="1367" t="s">
        <v>4170</v>
      </c>
      <c r="G2107" s="1367" t="s">
        <v>4231</v>
      </c>
      <c r="H2107" s="1367">
        <v>110.0</v>
      </c>
      <c r="I2107" s="1367">
        <v>117.0</v>
      </c>
      <c r="J2107" s="1367"/>
      <c r="K2107" s="1367"/>
      <c r="L2107" s="1367"/>
      <c r="M2107" s="1010"/>
    </row>
    <row r="2108">
      <c r="A2108" s="1367"/>
      <c r="B2108" s="1367"/>
      <c r="C2108" s="1367"/>
      <c r="D2108" s="1367">
        <v>2023.0</v>
      </c>
      <c r="E2108" s="1367" t="s">
        <v>2132</v>
      </c>
      <c r="F2108" s="1367" t="s">
        <v>4170</v>
      </c>
      <c r="G2108" s="1367" t="s">
        <v>1086</v>
      </c>
      <c r="H2108" s="1367">
        <v>98.0</v>
      </c>
      <c r="I2108" s="1367">
        <v>99.0</v>
      </c>
      <c r="J2108" s="1367"/>
      <c r="K2108" s="1367"/>
      <c r="L2108" s="1367"/>
      <c r="M2108" s="1010"/>
    </row>
    <row r="2109">
      <c r="A2109" s="1367"/>
      <c r="B2109" s="1367"/>
      <c r="C2109" s="1367"/>
      <c r="D2109" s="1367">
        <v>2023.0</v>
      </c>
      <c r="E2109" s="1367" t="s">
        <v>2132</v>
      </c>
      <c r="F2109" s="1367" t="s">
        <v>4170</v>
      </c>
      <c r="G2109" s="1367" t="s">
        <v>1715</v>
      </c>
      <c r="H2109" s="1367">
        <v>21.0</v>
      </c>
      <c r="I2109" s="1367">
        <v>21.0</v>
      </c>
      <c r="J2109" s="1367"/>
      <c r="K2109" s="1367"/>
      <c r="L2109" s="1367"/>
      <c r="M2109" s="1010"/>
    </row>
    <row r="2110">
      <c r="A2110" s="1367"/>
      <c r="B2110" s="1367"/>
      <c r="C2110" s="1367"/>
      <c r="D2110" s="1367">
        <v>2023.0</v>
      </c>
      <c r="E2110" s="1367" t="s">
        <v>2133</v>
      </c>
      <c r="F2110" s="1367" t="s">
        <v>4162</v>
      </c>
      <c r="G2110" s="1367" t="s">
        <v>4231</v>
      </c>
      <c r="H2110" s="1367">
        <v>3.0</v>
      </c>
      <c r="I2110" s="1367">
        <v>3.0</v>
      </c>
      <c r="J2110" s="1367"/>
      <c r="K2110" s="1367"/>
      <c r="L2110" s="1367"/>
      <c r="M2110" s="1010"/>
    </row>
    <row r="2111">
      <c r="A2111" s="1367"/>
      <c r="B2111" s="1367"/>
      <c r="C2111" s="1367"/>
      <c r="D2111" s="1367">
        <v>2023.0</v>
      </c>
      <c r="E2111" s="1367" t="s">
        <v>2133</v>
      </c>
      <c r="F2111" s="1367" t="s">
        <v>4162</v>
      </c>
      <c r="G2111" s="1367" t="s">
        <v>1086</v>
      </c>
      <c r="H2111" s="1367">
        <v>14.0</v>
      </c>
      <c r="I2111" s="1367">
        <v>14.0</v>
      </c>
      <c r="J2111" s="1367"/>
      <c r="K2111" s="1367"/>
      <c r="L2111" s="1367"/>
      <c r="M2111" s="1010"/>
    </row>
    <row r="2112">
      <c r="A2112" s="1367"/>
      <c r="B2112" s="1367"/>
      <c r="C2112" s="1367"/>
      <c r="D2112" s="1367">
        <v>2023.0</v>
      </c>
      <c r="E2112" s="1367" t="s">
        <v>2134</v>
      </c>
      <c r="F2112" s="1367" t="s">
        <v>4171</v>
      </c>
      <c r="G2112" s="1367" t="s">
        <v>4231</v>
      </c>
      <c r="H2112" s="1367">
        <v>9.0</v>
      </c>
      <c r="I2112" s="1367">
        <v>9.0</v>
      </c>
      <c r="J2112" s="1367"/>
      <c r="K2112" s="1367"/>
      <c r="L2112" s="1367"/>
      <c r="M2112" s="1010"/>
    </row>
    <row r="2113">
      <c r="A2113" s="1367"/>
      <c r="B2113" s="1367"/>
      <c r="C2113" s="1367"/>
      <c r="D2113" s="1367">
        <v>2023.0</v>
      </c>
      <c r="E2113" s="1367" t="s">
        <v>2134</v>
      </c>
      <c r="F2113" s="1367" t="s">
        <v>4171</v>
      </c>
      <c r="G2113" s="1367" t="s">
        <v>1086</v>
      </c>
      <c r="H2113" s="1367">
        <v>4.0</v>
      </c>
      <c r="I2113" s="1367">
        <v>4.0</v>
      </c>
      <c r="J2113" s="1367"/>
      <c r="K2113" s="1367"/>
      <c r="L2113" s="1367"/>
      <c r="M2113" s="1010"/>
    </row>
    <row r="2114">
      <c r="A2114" s="1367"/>
      <c r="B2114" s="1367"/>
      <c r="C2114" s="1367"/>
      <c r="D2114" s="1367">
        <v>2023.0</v>
      </c>
      <c r="E2114" s="1367" t="s">
        <v>2134</v>
      </c>
      <c r="F2114" s="1367" t="s">
        <v>4171</v>
      </c>
      <c r="G2114" s="1367" t="s">
        <v>1715</v>
      </c>
      <c r="H2114" s="1367">
        <v>1.0</v>
      </c>
      <c r="I2114" s="1367">
        <v>1.0</v>
      </c>
      <c r="J2114" s="1367"/>
      <c r="K2114" s="1367"/>
      <c r="L2114" s="1367"/>
      <c r="M2114" s="1010"/>
    </row>
    <row r="2115">
      <c r="A2115" s="1367"/>
      <c r="B2115" s="1367"/>
      <c r="C2115" s="1367"/>
      <c r="D2115" s="1367">
        <v>2023.0</v>
      </c>
      <c r="E2115" s="1367" t="s">
        <v>1167</v>
      </c>
      <c r="F2115" s="1367" t="s">
        <v>4155</v>
      </c>
      <c r="G2115" s="1367" t="s">
        <v>4230</v>
      </c>
      <c r="H2115" s="1367">
        <v>11.0</v>
      </c>
      <c r="I2115" s="1367">
        <v>11.0</v>
      </c>
      <c r="J2115" s="1367"/>
      <c r="K2115" s="1367"/>
      <c r="L2115" s="1367"/>
      <c r="M2115" s="1010"/>
    </row>
    <row r="2116">
      <c r="A2116" s="1367"/>
      <c r="B2116" s="1367"/>
      <c r="C2116" s="1367"/>
      <c r="D2116" s="1367">
        <v>2023.0</v>
      </c>
      <c r="E2116" s="1367" t="s">
        <v>1167</v>
      </c>
      <c r="F2116" s="1367" t="s">
        <v>4155</v>
      </c>
      <c r="G2116" s="1367" t="s">
        <v>4231</v>
      </c>
      <c r="H2116" s="1367">
        <v>15.0</v>
      </c>
      <c r="I2116" s="1367">
        <v>15.0</v>
      </c>
      <c r="J2116" s="1367"/>
      <c r="K2116" s="1367"/>
      <c r="L2116" s="1367"/>
      <c r="M2116" s="1010"/>
    </row>
    <row r="2117">
      <c r="A2117" s="1367"/>
      <c r="B2117" s="1367"/>
      <c r="C2117" s="1367"/>
      <c r="D2117" s="1367">
        <v>2023.0</v>
      </c>
      <c r="E2117" s="1367" t="s">
        <v>1167</v>
      </c>
      <c r="F2117" s="1367" t="s">
        <v>4155</v>
      </c>
      <c r="G2117" s="1367" t="s">
        <v>1715</v>
      </c>
      <c r="H2117" s="1367">
        <v>13.0</v>
      </c>
      <c r="I2117" s="1367">
        <v>13.0</v>
      </c>
      <c r="J2117" s="1367"/>
      <c r="K2117" s="1367"/>
      <c r="L2117" s="1367"/>
      <c r="M2117" s="1010"/>
    </row>
    <row r="2118">
      <c r="A2118" s="1367"/>
      <c r="B2118" s="1367"/>
      <c r="C2118" s="1367"/>
      <c r="D2118" s="1367">
        <v>2023.0</v>
      </c>
      <c r="E2118" s="1367" t="s">
        <v>2135</v>
      </c>
      <c r="F2118" s="1367" t="s">
        <v>4162</v>
      </c>
      <c r="G2118" s="1367" t="s">
        <v>4231</v>
      </c>
      <c r="H2118" s="1367">
        <v>2.0</v>
      </c>
      <c r="I2118" s="1367">
        <v>2.0</v>
      </c>
      <c r="J2118" s="1367"/>
      <c r="K2118" s="1367"/>
      <c r="L2118" s="1367"/>
      <c r="M2118" s="1010"/>
    </row>
    <row r="2119">
      <c r="A2119" s="1367"/>
      <c r="B2119" s="1367"/>
      <c r="C2119" s="1367"/>
      <c r="D2119" s="1367">
        <v>2023.0</v>
      </c>
      <c r="E2119" s="1367" t="s">
        <v>2135</v>
      </c>
      <c r="F2119" s="1367" t="s">
        <v>4162</v>
      </c>
      <c r="G2119" s="1367" t="s">
        <v>1086</v>
      </c>
      <c r="H2119" s="1367">
        <v>30.0</v>
      </c>
      <c r="I2119" s="1367">
        <v>30.0</v>
      </c>
      <c r="J2119" s="1367"/>
      <c r="K2119" s="1367"/>
      <c r="L2119" s="1367"/>
      <c r="M2119" s="1010"/>
    </row>
    <row r="2120">
      <c r="A2120" s="1367"/>
      <c r="B2120" s="1367"/>
      <c r="C2120" s="1367"/>
      <c r="D2120" s="1367">
        <v>2023.0</v>
      </c>
      <c r="E2120" s="1367" t="s">
        <v>2135</v>
      </c>
      <c r="F2120" s="1367" t="s">
        <v>4162</v>
      </c>
      <c r="G2120" s="1367" t="s">
        <v>1715</v>
      </c>
      <c r="H2120" s="1367">
        <v>1.0</v>
      </c>
      <c r="I2120" s="1367">
        <v>1.0</v>
      </c>
      <c r="J2120" s="1367"/>
      <c r="K2120" s="1367"/>
      <c r="L2120" s="1367"/>
      <c r="M2120" s="1010"/>
    </row>
    <row r="2121">
      <c r="A2121" s="1367"/>
      <c r="B2121" s="1367"/>
      <c r="C2121" s="1367"/>
      <c r="D2121" s="1367">
        <v>2023.0</v>
      </c>
      <c r="E2121" s="1367" t="s">
        <v>2136</v>
      </c>
      <c r="F2121" s="1367" t="s">
        <v>4168</v>
      </c>
      <c r="G2121" s="1367" t="s">
        <v>4231</v>
      </c>
      <c r="H2121" s="1367">
        <v>3.0</v>
      </c>
      <c r="I2121" s="1367">
        <v>3.0</v>
      </c>
      <c r="J2121" s="1367"/>
      <c r="K2121" s="1367"/>
      <c r="L2121" s="1367"/>
      <c r="M2121" s="1010"/>
    </row>
    <row r="2122">
      <c r="A2122" s="1367"/>
      <c r="B2122" s="1367"/>
      <c r="C2122" s="1367"/>
      <c r="D2122" s="1367">
        <v>2023.0</v>
      </c>
      <c r="E2122" s="1367" t="s">
        <v>2136</v>
      </c>
      <c r="F2122" s="1367" t="s">
        <v>4168</v>
      </c>
      <c r="G2122" s="1367" t="s">
        <v>1086</v>
      </c>
      <c r="H2122" s="1367">
        <v>12.0</v>
      </c>
      <c r="I2122" s="1367">
        <v>12.0</v>
      </c>
      <c r="J2122" s="1367"/>
      <c r="K2122" s="1367"/>
      <c r="L2122" s="1367"/>
      <c r="M2122" s="1010"/>
    </row>
    <row r="2123">
      <c r="A2123" s="1367"/>
      <c r="B2123" s="1367"/>
      <c r="C2123" s="1367"/>
      <c r="D2123" s="1367">
        <v>2023.0</v>
      </c>
      <c r="E2123" s="1367" t="s">
        <v>2136</v>
      </c>
      <c r="F2123" s="1367" t="s">
        <v>4168</v>
      </c>
      <c r="G2123" s="1367" t="s">
        <v>1715</v>
      </c>
      <c r="H2123" s="1367">
        <v>1.0</v>
      </c>
      <c r="I2123" s="1367">
        <v>1.0</v>
      </c>
      <c r="J2123" s="1367"/>
      <c r="K2123" s="1367"/>
      <c r="L2123" s="1367"/>
      <c r="M2123" s="1010"/>
    </row>
    <row r="2124">
      <c r="A2124" s="1367"/>
      <c r="B2124" s="1367"/>
      <c r="C2124" s="1367"/>
      <c r="D2124" s="1367">
        <v>2023.0</v>
      </c>
      <c r="E2124" s="1367" t="s">
        <v>1879</v>
      </c>
      <c r="F2124" s="1367" t="s">
        <v>4170</v>
      </c>
      <c r="G2124" s="1367" t="s">
        <v>4231</v>
      </c>
      <c r="H2124" s="1367">
        <v>1.0</v>
      </c>
      <c r="I2124" s="1367">
        <v>1.0</v>
      </c>
      <c r="J2124" s="1367"/>
      <c r="K2124" s="1367"/>
      <c r="L2124" s="1367"/>
      <c r="M2124" s="1010"/>
    </row>
    <row r="2125">
      <c r="A2125" s="1367"/>
      <c r="B2125" s="1367"/>
      <c r="C2125" s="1367"/>
      <c r="D2125" s="1367">
        <v>2023.0</v>
      </c>
      <c r="E2125" s="1367" t="s">
        <v>1131</v>
      </c>
      <c r="F2125" s="1367" t="s">
        <v>4173</v>
      </c>
      <c r="G2125" s="1367" t="s">
        <v>4230</v>
      </c>
      <c r="H2125" s="1367">
        <v>4.0</v>
      </c>
      <c r="I2125" s="1367">
        <v>4.0</v>
      </c>
      <c r="J2125" s="1367"/>
      <c r="K2125" s="1367"/>
      <c r="L2125" s="1367"/>
      <c r="M2125" s="1010"/>
    </row>
    <row r="2126">
      <c r="A2126" s="1367"/>
      <c r="B2126" s="1367"/>
      <c r="C2126" s="1367"/>
      <c r="D2126" s="1367">
        <v>2023.0</v>
      </c>
      <c r="E2126" s="1367" t="s">
        <v>1131</v>
      </c>
      <c r="F2126" s="1367" t="s">
        <v>4173</v>
      </c>
      <c r="G2126" s="1367" t="s">
        <v>4231</v>
      </c>
      <c r="H2126" s="1367">
        <v>18.0</v>
      </c>
      <c r="I2126" s="1367">
        <v>18.0</v>
      </c>
      <c r="J2126" s="1367"/>
      <c r="K2126" s="1367"/>
      <c r="L2126" s="1367"/>
      <c r="M2126" s="1010"/>
    </row>
    <row r="2127">
      <c r="A2127" s="1367"/>
      <c r="B2127" s="1367"/>
      <c r="C2127" s="1367"/>
      <c r="D2127" s="1367">
        <v>2023.0</v>
      </c>
      <c r="E2127" s="1367" t="s">
        <v>1131</v>
      </c>
      <c r="F2127" s="1367" t="s">
        <v>4173</v>
      </c>
      <c r="G2127" s="1367" t="s">
        <v>1086</v>
      </c>
      <c r="H2127" s="1367">
        <v>10.0</v>
      </c>
      <c r="I2127" s="1367">
        <v>10.0</v>
      </c>
      <c r="J2127" s="1367"/>
      <c r="K2127" s="1367"/>
      <c r="L2127" s="1367"/>
      <c r="M2127" s="1010"/>
    </row>
    <row r="2128">
      <c r="A2128" s="1367"/>
      <c r="B2128" s="1367"/>
      <c r="C2128" s="1367"/>
      <c r="D2128" s="1367">
        <v>2023.0</v>
      </c>
      <c r="E2128" s="1367" t="s">
        <v>1131</v>
      </c>
      <c r="F2128" s="1367" t="s">
        <v>4173</v>
      </c>
      <c r="G2128" s="1367" t="s">
        <v>1715</v>
      </c>
      <c r="H2128" s="1367">
        <v>4.0</v>
      </c>
      <c r="I2128" s="1367">
        <v>4.0</v>
      </c>
      <c r="J2128" s="1367"/>
      <c r="K2128" s="1367"/>
      <c r="L2128" s="1367"/>
      <c r="M2128" s="1010"/>
    </row>
    <row r="2129">
      <c r="A2129" s="1367"/>
      <c r="B2129" s="1367"/>
      <c r="C2129" s="1367"/>
      <c r="D2129" s="1367">
        <v>2023.0</v>
      </c>
      <c r="E2129" s="1367" t="s">
        <v>2137</v>
      </c>
      <c r="F2129" s="1367" t="s">
        <v>4176</v>
      </c>
      <c r="G2129" s="1367" t="s">
        <v>4230</v>
      </c>
      <c r="H2129" s="1367">
        <v>25.0</v>
      </c>
      <c r="I2129" s="1367">
        <v>25.0</v>
      </c>
      <c r="J2129" s="1367"/>
      <c r="K2129" s="1367"/>
      <c r="L2129" s="1367"/>
      <c r="M2129" s="1010"/>
    </row>
    <row r="2130">
      <c r="A2130" s="1367"/>
      <c r="B2130" s="1367"/>
      <c r="C2130" s="1367"/>
      <c r="D2130" s="1367">
        <v>2023.0</v>
      </c>
      <c r="E2130" s="1367" t="s">
        <v>2137</v>
      </c>
      <c r="F2130" s="1367" t="s">
        <v>4176</v>
      </c>
      <c r="G2130" s="1367" t="s">
        <v>4231</v>
      </c>
      <c r="H2130" s="1367">
        <v>52.0</v>
      </c>
      <c r="I2130" s="1367">
        <v>52.0</v>
      </c>
      <c r="J2130" s="1367"/>
      <c r="K2130" s="1367"/>
      <c r="L2130" s="1367"/>
      <c r="M2130" s="1010"/>
    </row>
    <row r="2131">
      <c r="A2131" s="1367"/>
      <c r="B2131" s="1367"/>
      <c r="C2131" s="1367"/>
      <c r="D2131" s="1367">
        <v>2023.0</v>
      </c>
      <c r="E2131" s="1367" t="s">
        <v>2137</v>
      </c>
      <c r="F2131" s="1367" t="s">
        <v>4176</v>
      </c>
      <c r="G2131" s="1367" t="s">
        <v>1086</v>
      </c>
      <c r="H2131" s="1367">
        <v>37.0</v>
      </c>
      <c r="I2131" s="1367">
        <v>38.0</v>
      </c>
      <c r="J2131" s="1367"/>
      <c r="K2131" s="1367"/>
      <c r="L2131" s="1367"/>
      <c r="M2131" s="1010"/>
    </row>
    <row r="2132">
      <c r="A2132" s="1367"/>
      <c r="B2132" s="1367"/>
      <c r="C2132" s="1367"/>
      <c r="D2132" s="1367">
        <v>2023.0</v>
      </c>
      <c r="E2132" s="1367" t="s">
        <v>2137</v>
      </c>
      <c r="F2132" s="1367" t="s">
        <v>4176</v>
      </c>
      <c r="G2132" s="1367" t="s">
        <v>4232</v>
      </c>
      <c r="H2132" s="1367">
        <v>1.0</v>
      </c>
      <c r="I2132" s="1367">
        <v>1.0</v>
      </c>
      <c r="J2132" s="1367"/>
      <c r="K2132" s="1367"/>
      <c r="L2132" s="1367"/>
      <c r="M2132" s="1010"/>
    </row>
    <row r="2133">
      <c r="A2133" s="1367"/>
      <c r="B2133" s="1367"/>
      <c r="C2133" s="1367"/>
      <c r="D2133" s="1367">
        <v>2023.0</v>
      </c>
      <c r="E2133" s="1367" t="s">
        <v>2137</v>
      </c>
      <c r="F2133" s="1367" t="s">
        <v>4176</v>
      </c>
      <c r="G2133" s="1367" t="s">
        <v>1715</v>
      </c>
      <c r="H2133" s="1367">
        <v>7.0</v>
      </c>
      <c r="I2133" s="1367">
        <v>7.0</v>
      </c>
      <c r="J2133" s="1367"/>
      <c r="K2133" s="1367"/>
      <c r="L2133" s="1367"/>
      <c r="M2133" s="1010"/>
    </row>
    <row r="2134">
      <c r="A2134" s="1367"/>
      <c r="B2134" s="1367"/>
      <c r="C2134" s="1367"/>
      <c r="D2134" s="1367">
        <v>2023.0</v>
      </c>
      <c r="E2134" s="1367" t="s">
        <v>2138</v>
      </c>
      <c r="F2134" s="1367" t="s">
        <v>4169</v>
      </c>
      <c r="G2134" s="1367" t="s">
        <v>4231</v>
      </c>
      <c r="H2134" s="1367">
        <v>14.0</v>
      </c>
      <c r="I2134" s="1367">
        <v>14.0</v>
      </c>
      <c r="J2134" s="1367"/>
      <c r="K2134" s="1367"/>
      <c r="L2134" s="1367"/>
      <c r="M2134" s="1010"/>
    </row>
    <row r="2135">
      <c r="A2135" s="1367"/>
      <c r="B2135" s="1367"/>
      <c r="C2135" s="1367"/>
      <c r="D2135" s="1367">
        <v>2023.0</v>
      </c>
      <c r="E2135" s="1367" t="s">
        <v>2138</v>
      </c>
      <c r="F2135" s="1367" t="s">
        <v>4169</v>
      </c>
      <c r="G2135" s="1367" t="s">
        <v>1086</v>
      </c>
      <c r="H2135" s="1367">
        <v>7.0</v>
      </c>
      <c r="I2135" s="1367">
        <v>10.0</v>
      </c>
      <c r="J2135" s="1367"/>
      <c r="K2135" s="1367"/>
      <c r="L2135" s="1367"/>
      <c r="M2135" s="1010"/>
    </row>
    <row r="2136">
      <c r="A2136" s="1367"/>
      <c r="B2136" s="1367"/>
      <c r="C2136" s="1367"/>
      <c r="D2136" s="1367">
        <v>2023.0</v>
      </c>
      <c r="E2136" s="1367" t="s">
        <v>2138</v>
      </c>
      <c r="F2136" s="1367" t="s">
        <v>4169</v>
      </c>
      <c r="G2136" s="1367" t="s">
        <v>1715</v>
      </c>
      <c r="H2136" s="1367">
        <v>3.0</v>
      </c>
      <c r="I2136" s="1367">
        <v>3.0</v>
      </c>
      <c r="J2136" s="1367"/>
      <c r="K2136" s="1367"/>
      <c r="L2136" s="1367"/>
      <c r="M2136" s="1010"/>
    </row>
    <row r="2137">
      <c r="A2137" s="1367"/>
      <c r="B2137" s="1367"/>
      <c r="C2137" s="1367"/>
      <c r="D2137" s="1367">
        <v>2023.0</v>
      </c>
      <c r="E2137" s="1367" t="s">
        <v>2139</v>
      </c>
      <c r="F2137" s="1367" t="s">
        <v>4155</v>
      </c>
      <c r="G2137" s="1367" t="s">
        <v>4230</v>
      </c>
      <c r="H2137" s="1367">
        <v>14.0</v>
      </c>
      <c r="I2137" s="1367">
        <v>14.0</v>
      </c>
      <c r="J2137" s="1367"/>
      <c r="K2137" s="1367"/>
      <c r="L2137" s="1367"/>
      <c r="M2137" s="1010"/>
    </row>
    <row r="2138">
      <c r="A2138" s="1367"/>
      <c r="B2138" s="1367"/>
      <c r="C2138" s="1367"/>
      <c r="D2138" s="1367">
        <v>2023.0</v>
      </c>
      <c r="E2138" s="1367" t="s">
        <v>2139</v>
      </c>
      <c r="F2138" s="1367" t="s">
        <v>4155</v>
      </c>
      <c r="G2138" s="1367" t="s">
        <v>4231</v>
      </c>
      <c r="H2138" s="1367">
        <v>37.0</v>
      </c>
      <c r="I2138" s="1367">
        <v>37.0</v>
      </c>
      <c r="J2138" s="1367"/>
      <c r="K2138" s="1367"/>
      <c r="L2138" s="1367"/>
      <c r="M2138" s="1010"/>
    </row>
    <row r="2139">
      <c r="A2139" s="1367"/>
      <c r="B2139" s="1367"/>
      <c r="C2139" s="1367"/>
      <c r="D2139" s="1367">
        <v>2023.0</v>
      </c>
      <c r="E2139" s="1367" t="s">
        <v>2139</v>
      </c>
      <c r="F2139" s="1367" t="s">
        <v>4155</v>
      </c>
      <c r="G2139" s="1367" t="s">
        <v>1086</v>
      </c>
      <c r="H2139" s="1367">
        <v>13.0</v>
      </c>
      <c r="I2139" s="1367">
        <v>13.0</v>
      </c>
      <c r="J2139" s="1367"/>
      <c r="K2139" s="1367"/>
      <c r="L2139" s="1367"/>
      <c r="M2139" s="1010"/>
    </row>
    <row r="2140">
      <c r="A2140" s="1367"/>
      <c r="B2140" s="1367"/>
      <c r="C2140" s="1367"/>
      <c r="D2140" s="1367">
        <v>2023.0</v>
      </c>
      <c r="E2140" s="1367" t="s">
        <v>2139</v>
      </c>
      <c r="F2140" s="1367" t="s">
        <v>4155</v>
      </c>
      <c r="G2140" s="1367" t="s">
        <v>1715</v>
      </c>
      <c r="H2140" s="1367">
        <v>5.0</v>
      </c>
      <c r="I2140" s="1367">
        <v>5.0</v>
      </c>
      <c r="J2140" s="1367"/>
      <c r="K2140" s="1367"/>
      <c r="L2140" s="1367"/>
      <c r="M2140" s="1010"/>
    </row>
    <row r="2141">
      <c r="A2141" s="1367"/>
      <c r="B2141" s="1367"/>
      <c r="C2141" s="1367"/>
      <c r="D2141" s="1367">
        <v>2023.0</v>
      </c>
      <c r="E2141" s="1367" t="s">
        <v>1168</v>
      </c>
      <c r="F2141" s="1367" t="s">
        <v>4164</v>
      </c>
      <c r="G2141" s="1367" t="s">
        <v>4231</v>
      </c>
      <c r="H2141" s="1367">
        <v>23.0</v>
      </c>
      <c r="I2141" s="1367">
        <v>23.0</v>
      </c>
      <c r="J2141" s="1367"/>
      <c r="K2141" s="1367"/>
      <c r="L2141" s="1367"/>
      <c r="M2141" s="1010"/>
    </row>
    <row r="2142">
      <c r="A2142" s="1367"/>
      <c r="B2142" s="1367"/>
      <c r="C2142" s="1367"/>
      <c r="D2142" s="1367">
        <v>2023.0</v>
      </c>
      <c r="E2142" s="1367" t="s">
        <v>1168</v>
      </c>
      <c r="F2142" s="1367" t="s">
        <v>4164</v>
      </c>
      <c r="G2142" s="1367" t="s">
        <v>1715</v>
      </c>
      <c r="H2142" s="1367">
        <v>3.0</v>
      </c>
      <c r="I2142" s="1367">
        <v>3.0</v>
      </c>
      <c r="J2142" s="1367"/>
      <c r="K2142" s="1367"/>
      <c r="L2142" s="1367"/>
      <c r="M2142" s="1010"/>
    </row>
    <row r="2143">
      <c r="A2143" s="1367"/>
      <c r="B2143" s="1367"/>
      <c r="C2143" s="1367"/>
      <c r="D2143" s="1367">
        <v>2023.0</v>
      </c>
      <c r="E2143" s="1367" t="s">
        <v>2140</v>
      </c>
      <c r="F2143" s="1367" t="s">
        <v>4164</v>
      </c>
      <c r="G2143" s="1367" t="s">
        <v>4230</v>
      </c>
      <c r="H2143" s="1367">
        <v>4.0</v>
      </c>
      <c r="I2143" s="1367">
        <v>4.0</v>
      </c>
      <c r="J2143" s="1367"/>
      <c r="K2143" s="1367"/>
      <c r="L2143" s="1367"/>
      <c r="M2143" s="1010"/>
    </row>
    <row r="2144">
      <c r="A2144" s="1367"/>
      <c r="B2144" s="1367"/>
      <c r="C2144" s="1367"/>
      <c r="D2144" s="1367">
        <v>2023.0</v>
      </c>
      <c r="E2144" s="1367" t="s">
        <v>2140</v>
      </c>
      <c r="F2144" s="1367" t="s">
        <v>4164</v>
      </c>
      <c r="G2144" s="1367" t="s">
        <v>4231</v>
      </c>
      <c r="H2144" s="1367">
        <v>11.0</v>
      </c>
      <c r="I2144" s="1367">
        <v>11.0</v>
      </c>
      <c r="J2144" s="1367"/>
      <c r="K2144" s="1367"/>
      <c r="L2144" s="1367"/>
      <c r="M2144" s="1010"/>
    </row>
    <row r="2145">
      <c r="A2145" s="1367"/>
      <c r="B2145" s="1367"/>
      <c r="C2145" s="1367"/>
      <c r="D2145" s="1367">
        <v>2023.0</v>
      </c>
      <c r="E2145" s="1367" t="s">
        <v>2142</v>
      </c>
      <c r="F2145" s="1367" t="s">
        <v>4164</v>
      </c>
      <c r="G2145" s="1367" t="s">
        <v>4230</v>
      </c>
      <c r="H2145" s="1367">
        <v>2.0</v>
      </c>
      <c r="I2145" s="1367">
        <v>2.0</v>
      </c>
      <c r="J2145" s="1367"/>
      <c r="K2145" s="1367"/>
      <c r="L2145" s="1367"/>
      <c r="M2145" s="1010"/>
    </row>
    <row r="2146">
      <c r="A2146" s="1367"/>
      <c r="B2146" s="1367"/>
      <c r="C2146" s="1367"/>
      <c r="D2146" s="1367">
        <v>2023.0</v>
      </c>
      <c r="E2146" s="1367" t="s">
        <v>2142</v>
      </c>
      <c r="F2146" s="1367" t="s">
        <v>4164</v>
      </c>
      <c r="G2146" s="1367" t="s">
        <v>4231</v>
      </c>
      <c r="H2146" s="1367">
        <v>39.0</v>
      </c>
      <c r="I2146" s="1367">
        <v>39.0</v>
      </c>
      <c r="J2146" s="1367"/>
      <c r="K2146" s="1367"/>
      <c r="L2146" s="1367"/>
      <c r="M2146" s="1010"/>
    </row>
    <row r="2147">
      <c r="A2147" s="1367"/>
      <c r="B2147" s="1367"/>
      <c r="C2147" s="1367"/>
      <c r="D2147" s="1367">
        <v>2023.0</v>
      </c>
      <c r="E2147" s="1367" t="s">
        <v>2142</v>
      </c>
      <c r="F2147" s="1367" t="s">
        <v>4164</v>
      </c>
      <c r="G2147" s="1367" t="s">
        <v>1086</v>
      </c>
      <c r="H2147" s="1367">
        <v>1.0</v>
      </c>
      <c r="I2147" s="1367">
        <v>1.0</v>
      </c>
      <c r="J2147" s="1367"/>
      <c r="K2147" s="1367"/>
      <c r="L2147" s="1367"/>
      <c r="M2147" s="1010"/>
    </row>
    <row r="2148">
      <c r="A2148" s="1367"/>
      <c r="B2148" s="1367"/>
      <c r="C2148" s="1367"/>
      <c r="D2148" s="1367">
        <v>2023.0</v>
      </c>
      <c r="E2148" s="1367" t="s">
        <v>2142</v>
      </c>
      <c r="F2148" s="1367" t="s">
        <v>4164</v>
      </c>
      <c r="G2148" s="1367" t="s">
        <v>1715</v>
      </c>
      <c r="H2148" s="1367">
        <v>6.0</v>
      </c>
      <c r="I2148" s="1367">
        <v>6.0</v>
      </c>
      <c r="J2148" s="1367"/>
      <c r="K2148" s="1367"/>
      <c r="L2148" s="1367"/>
      <c r="M2148" s="1010"/>
    </row>
    <row r="2149">
      <c r="A2149" s="1367"/>
      <c r="B2149" s="1367"/>
      <c r="C2149" s="1367"/>
      <c r="D2149" s="1367">
        <v>2023.0</v>
      </c>
      <c r="E2149" s="1367" t="s">
        <v>2143</v>
      </c>
      <c r="F2149" s="1367" t="s">
        <v>4168</v>
      </c>
      <c r="G2149" s="1367" t="s">
        <v>4230</v>
      </c>
      <c r="H2149" s="1367">
        <v>3.0</v>
      </c>
      <c r="I2149" s="1367">
        <v>3.0</v>
      </c>
      <c r="J2149" s="1367"/>
      <c r="K2149" s="1367"/>
      <c r="L2149" s="1367"/>
      <c r="M2149" s="1010"/>
    </row>
    <row r="2150">
      <c r="A2150" s="1367"/>
      <c r="B2150" s="1367"/>
      <c r="C2150" s="1367"/>
      <c r="D2150" s="1367">
        <v>2023.0</v>
      </c>
      <c r="E2150" s="1367" t="s">
        <v>2143</v>
      </c>
      <c r="F2150" s="1367" t="s">
        <v>4168</v>
      </c>
      <c r="G2150" s="1367" t="s">
        <v>4231</v>
      </c>
      <c r="H2150" s="1367">
        <v>51.0</v>
      </c>
      <c r="I2150" s="1367">
        <v>51.0</v>
      </c>
      <c r="J2150" s="1367"/>
      <c r="K2150" s="1367"/>
      <c r="L2150" s="1367"/>
      <c r="M2150" s="1010"/>
    </row>
    <row r="2151">
      <c r="A2151" s="1367"/>
      <c r="B2151" s="1367"/>
      <c r="C2151" s="1367"/>
      <c r="D2151" s="1367">
        <v>2023.0</v>
      </c>
      <c r="E2151" s="1367" t="s">
        <v>2143</v>
      </c>
      <c r="F2151" s="1367" t="s">
        <v>4168</v>
      </c>
      <c r="G2151" s="1367" t="s">
        <v>1086</v>
      </c>
      <c r="H2151" s="1367">
        <v>171.0</v>
      </c>
      <c r="I2151" s="1367">
        <v>177.0</v>
      </c>
      <c r="J2151" s="1367"/>
      <c r="K2151" s="1367"/>
      <c r="L2151" s="1367"/>
      <c r="M2151" s="1010"/>
    </row>
    <row r="2152">
      <c r="A2152" s="1367"/>
      <c r="B2152" s="1367"/>
      <c r="C2152" s="1367"/>
      <c r="D2152" s="1367">
        <v>2023.0</v>
      </c>
      <c r="E2152" s="1367" t="s">
        <v>2143</v>
      </c>
      <c r="F2152" s="1367" t="s">
        <v>4168</v>
      </c>
      <c r="G2152" s="1367" t="s">
        <v>1715</v>
      </c>
      <c r="H2152" s="1367">
        <v>10.0</v>
      </c>
      <c r="I2152" s="1367">
        <v>10.0</v>
      </c>
      <c r="J2152" s="1367"/>
      <c r="K2152" s="1367"/>
      <c r="L2152" s="1367"/>
      <c r="M2152" s="1010"/>
    </row>
    <row r="2153">
      <c r="A2153" s="1367"/>
      <c r="B2153" s="1367"/>
      <c r="C2153" s="1367"/>
      <c r="D2153" s="1367">
        <v>2023.0</v>
      </c>
      <c r="E2153" s="1367" t="s">
        <v>2144</v>
      </c>
      <c r="F2153" s="1367" t="s">
        <v>4173</v>
      </c>
      <c r="G2153" s="1367" t="s">
        <v>4231</v>
      </c>
      <c r="H2153" s="1367">
        <v>3.0</v>
      </c>
      <c r="I2153" s="1367">
        <v>3.0</v>
      </c>
      <c r="J2153" s="1367"/>
      <c r="K2153" s="1367"/>
      <c r="L2153" s="1367"/>
      <c r="M2153" s="1010"/>
    </row>
    <row r="2154">
      <c r="A2154" s="1367"/>
      <c r="B2154" s="1367"/>
      <c r="C2154" s="1367"/>
      <c r="D2154" s="1367">
        <v>2023.0</v>
      </c>
      <c r="E2154" s="1367" t="s">
        <v>2144</v>
      </c>
      <c r="F2154" s="1367" t="s">
        <v>4173</v>
      </c>
      <c r="G2154" s="1367" t="s">
        <v>1086</v>
      </c>
      <c r="H2154" s="1367">
        <v>1.0</v>
      </c>
      <c r="I2154" s="1367">
        <v>1.0</v>
      </c>
      <c r="J2154" s="1367"/>
      <c r="K2154" s="1367"/>
      <c r="L2154" s="1367"/>
      <c r="M2154" s="1010"/>
    </row>
    <row r="2155">
      <c r="A2155" s="1367"/>
      <c r="B2155" s="1367"/>
      <c r="C2155" s="1367"/>
      <c r="D2155" s="1367">
        <v>2023.0</v>
      </c>
      <c r="E2155" s="1367" t="s">
        <v>2145</v>
      </c>
      <c r="F2155" s="1367" t="s">
        <v>4162</v>
      </c>
      <c r="G2155" s="1367" t="s">
        <v>4231</v>
      </c>
      <c r="H2155" s="1367">
        <v>1.0</v>
      </c>
      <c r="I2155" s="1367">
        <v>1.0</v>
      </c>
      <c r="J2155" s="1367"/>
      <c r="K2155" s="1367"/>
      <c r="L2155" s="1367"/>
      <c r="M2155" s="1010"/>
    </row>
    <row r="2156">
      <c r="A2156" s="1367"/>
      <c r="B2156" s="1367"/>
      <c r="C2156" s="1367"/>
      <c r="D2156" s="1367">
        <v>2023.0</v>
      </c>
      <c r="E2156" s="1367" t="s">
        <v>2146</v>
      </c>
      <c r="F2156" s="1367" t="s">
        <v>4169</v>
      </c>
      <c r="G2156" s="1367" t="s">
        <v>4230</v>
      </c>
      <c r="H2156" s="1367">
        <v>5.0</v>
      </c>
      <c r="I2156" s="1367">
        <v>5.0</v>
      </c>
      <c r="J2156" s="1367"/>
      <c r="K2156" s="1367"/>
      <c r="L2156" s="1367"/>
      <c r="M2156" s="1010"/>
    </row>
    <row r="2157">
      <c r="A2157" s="1367"/>
      <c r="B2157" s="1367"/>
      <c r="C2157" s="1367"/>
      <c r="D2157" s="1367">
        <v>2023.0</v>
      </c>
      <c r="E2157" s="1367" t="s">
        <v>2146</v>
      </c>
      <c r="F2157" s="1367" t="s">
        <v>4169</v>
      </c>
      <c r="G2157" s="1367" t="s">
        <v>4231</v>
      </c>
      <c r="H2157" s="1367">
        <v>35.0</v>
      </c>
      <c r="I2157" s="1367">
        <v>35.0</v>
      </c>
      <c r="J2157" s="1367"/>
      <c r="K2157" s="1367"/>
      <c r="L2157" s="1367"/>
      <c r="M2157" s="1010"/>
    </row>
    <row r="2158">
      <c r="A2158" s="1367"/>
      <c r="B2158" s="1367"/>
      <c r="C2158" s="1367"/>
      <c r="D2158" s="1367">
        <v>2023.0</v>
      </c>
      <c r="E2158" s="1367" t="s">
        <v>2146</v>
      </c>
      <c r="F2158" s="1367" t="s">
        <v>4169</v>
      </c>
      <c r="G2158" s="1367" t="s">
        <v>1086</v>
      </c>
      <c r="H2158" s="1367">
        <v>66.0</v>
      </c>
      <c r="I2158" s="1367">
        <v>66.0</v>
      </c>
      <c r="J2158" s="1367"/>
      <c r="K2158" s="1367"/>
      <c r="L2158" s="1367"/>
      <c r="M2158" s="1010"/>
    </row>
    <row r="2159">
      <c r="A2159" s="1367"/>
      <c r="B2159" s="1367"/>
      <c r="C2159" s="1367"/>
      <c r="D2159" s="1367">
        <v>2023.0</v>
      </c>
      <c r="E2159" s="1367" t="s">
        <v>2146</v>
      </c>
      <c r="F2159" s="1367" t="s">
        <v>4169</v>
      </c>
      <c r="G2159" s="1367" t="s">
        <v>1715</v>
      </c>
      <c r="H2159" s="1367">
        <v>2.0</v>
      </c>
      <c r="I2159" s="1367">
        <v>2.0</v>
      </c>
      <c r="J2159" s="1367"/>
      <c r="K2159" s="1367"/>
      <c r="L2159" s="1367"/>
      <c r="M2159" s="1010"/>
    </row>
    <row r="2160">
      <c r="A2160" s="1367"/>
      <c r="B2160" s="1367"/>
      <c r="C2160" s="1367"/>
      <c r="D2160" s="1367">
        <v>2023.0</v>
      </c>
      <c r="E2160" s="1367" t="s">
        <v>2148</v>
      </c>
      <c r="F2160" s="1367" t="s">
        <v>4169</v>
      </c>
      <c r="G2160" s="1367" t="s">
        <v>4231</v>
      </c>
      <c r="H2160" s="1367">
        <v>2.0</v>
      </c>
      <c r="I2160" s="1367">
        <v>2.0</v>
      </c>
      <c r="J2160" s="1367"/>
      <c r="K2160" s="1367"/>
      <c r="L2160" s="1367"/>
      <c r="M2160" s="1010"/>
    </row>
    <row r="2161">
      <c r="A2161" s="1367"/>
      <c r="B2161" s="1367"/>
      <c r="C2161" s="1367"/>
      <c r="D2161" s="1367">
        <v>2023.0</v>
      </c>
      <c r="E2161" s="1367" t="s">
        <v>168</v>
      </c>
      <c r="F2161" s="1367" t="s">
        <v>4164</v>
      </c>
      <c r="G2161" s="1367" t="s">
        <v>4230</v>
      </c>
      <c r="H2161" s="1367">
        <v>26.0</v>
      </c>
      <c r="I2161" s="1367">
        <v>26.0</v>
      </c>
      <c r="J2161" s="1367"/>
      <c r="K2161" s="1367"/>
      <c r="L2161" s="1367"/>
      <c r="M2161" s="1010"/>
    </row>
    <row r="2162">
      <c r="A2162" s="1367"/>
      <c r="B2162" s="1367"/>
      <c r="C2162" s="1367"/>
      <c r="D2162" s="1367">
        <v>2023.0</v>
      </c>
      <c r="E2162" s="1367" t="s">
        <v>168</v>
      </c>
      <c r="F2162" s="1367" t="s">
        <v>4164</v>
      </c>
      <c r="G2162" s="1367" t="s">
        <v>4231</v>
      </c>
      <c r="H2162" s="1367">
        <v>17.0</v>
      </c>
      <c r="I2162" s="1367">
        <v>18.0</v>
      </c>
      <c r="J2162" s="1367"/>
      <c r="K2162" s="1367"/>
      <c r="L2162" s="1367"/>
      <c r="M2162" s="1010"/>
    </row>
    <row r="2163">
      <c r="A2163" s="1367"/>
      <c r="B2163" s="1367"/>
      <c r="C2163" s="1367"/>
      <c r="D2163" s="1367">
        <v>2023.0</v>
      </c>
      <c r="E2163" s="1367" t="s">
        <v>168</v>
      </c>
      <c r="F2163" s="1367" t="s">
        <v>4164</v>
      </c>
      <c r="G2163" s="1367" t="s">
        <v>71</v>
      </c>
      <c r="H2163" s="1367">
        <v>4.0</v>
      </c>
      <c r="I2163" s="1367">
        <v>4.0</v>
      </c>
      <c r="J2163" s="1367"/>
      <c r="K2163" s="1367"/>
      <c r="L2163" s="1367"/>
      <c r="M2163" s="1010"/>
    </row>
    <row r="2164">
      <c r="A2164" s="1367"/>
      <c r="B2164" s="1367"/>
      <c r="C2164" s="1367"/>
      <c r="D2164" s="1367">
        <v>2023.0</v>
      </c>
      <c r="E2164" s="1367" t="s">
        <v>168</v>
      </c>
      <c r="F2164" s="1367" t="s">
        <v>4164</v>
      </c>
      <c r="G2164" s="1367" t="s">
        <v>1086</v>
      </c>
      <c r="H2164" s="1367">
        <v>15.0</v>
      </c>
      <c r="I2164" s="1367">
        <v>15.0</v>
      </c>
      <c r="J2164" s="1367"/>
      <c r="K2164" s="1367"/>
      <c r="L2164" s="1367"/>
      <c r="M2164" s="1010"/>
    </row>
    <row r="2165">
      <c r="A2165" s="1367"/>
      <c r="B2165" s="1367"/>
      <c r="C2165" s="1367"/>
      <c r="D2165" s="1367">
        <v>2023.0</v>
      </c>
      <c r="E2165" s="1367" t="s">
        <v>168</v>
      </c>
      <c r="F2165" s="1367" t="s">
        <v>4164</v>
      </c>
      <c r="G2165" s="1367" t="s">
        <v>1715</v>
      </c>
      <c r="H2165" s="1367">
        <v>5.0</v>
      </c>
      <c r="I2165" s="1367">
        <v>5.0</v>
      </c>
      <c r="J2165" s="1367"/>
      <c r="K2165" s="1367"/>
      <c r="L2165" s="1367"/>
      <c r="M2165" s="1010"/>
    </row>
    <row r="2166">
      <c r="A2166" s="1367"/>
      <c r="B2166" s="1367"/>
      <c r="C2166" s="1367"/>
      <c r="D2166" s="1367">
        <v>2023.0</v>
      </c>
      <c r="E2166" s="1367" t="s">
        <v>1011</v>
      </c>
      <c r="F2166" s="1367" t="s">
        <v>4170</v>
      </c>
      <c r="G2166" s="1367" t="s">
        <v>4231</v>
      </c>
      <c r="H2166" s="1367">
        <v>9.0</v>
      </c>
      <c r="I2166" s="1367">
        <v>9.0</v>
      </c>
      <c r="J2166" s="1367"/>
      <c r="K2166" s="1367"/>
      <c r="L2166" s="1367"/>
      <c r="M2166" s="1010"/>
    </row>
    <row r="2167">
      <c r="A2167" s="1367"/>
      <c r="B2167" s="1367"/>
      <c r="C2167" s="1367"/>
      <c r="D2167" s="1367">
        <v>2023.0</v>
      </c>
      <c r="E2167" s="1367" t="s">
        <v>1011</v>
      </c>
      <c r="F2167" s="1367" t="s">
        <v>4170</v>
      </c>
      <c r="G2167" s="1367" t="s">
        <v>1086</v>
      </c>
      <c r="H2167" s="1367">
        <v>1.0</v>
      </c>
      <c r="I2167" s="1367">
        <v>1.0</v>
      </c>
      <c r="J2167" s="1367"/>
      <c r="K2167" s="1367"/>
      <c r="L2167" s="1367"/>
      <c r="M2167" s="1010"/>
    </row>
    <row r="2168">
      <c r="A2168" s="1367"/>
      <c r="B2168" s="1367"/>
      <c r="C2168" s="1367"/>
      <c r="D2168" s="1367">
        <v>2023.0</v>
      </c>
      <c r="E2168" s="1367" t="s">
        <v>1012</v>
      </c>
      <c r="F2168" s="1367" t="s">
        <v>4155</v>
      </c>
      <c r="G2168" s="1367" t="s">
        <v>4230</v>
      </c>
      <c r="H2168" s="1367">
        <v>140.0</v>
      </c>
      <c r="I2168" s="1367">
        <v>140.0</v>
      </c>
      <c r="J2168" s="1367"/>
      <c r="K2168" s="1367"/>
      <c r="L2168" s="1367"/>
      <c r="M2168" s="1010"/>
    </row>
    <row r="2169">
      <c r="A2169" s="1367"/>
      <c r="B2169" s="1367"/>
      <c r="C2169" s="1367"/>
      <c r="D2169" s="1367">
        <v>2023.0</v>
      </c>
      <c r="E2169" s="1367" t="s">
        <v>1012</v>
      </c>
      <c r="F2169" s="1367" t="s">
        <v>4155</v>
      </c>
      <c r="G2169" s="1367" t="s">
        <v>4231</v>
      </c>
      <c r="H2169" s="1367">
        <v>187.0</v>
      </c>
      <c r="I2169" s="1367">
        <v>190.0</v>
      </c>
      <c r="J2169" s="1367"/>
      <c r="K2169" s="1367"/>
      <c r="L2169" s="1367"/>
      <c r="M2169" s="1010"/>
    </row>
    <row r="2170">
      <c r="A2170" s="1367"/>
      <c r="B2170" s="1367"/>
      <c r="C2170" s="1367"/>
      <c r="D2170" s="1367">
        <v>2023.0</v>
      </c>
      <c r="E2170" s="1367" t="s">
        <v>1012</v>
      </c>
      <c r="F2170" s="1367" t="s">
        <v>4155</v>
      </c>
      <c r="G2170" s="1367" t="s">
        <v>1086</v>
      </c>
      <c r="H2170" s="1367">
        <v>154.0</v>
      </c>
      <c r="I2170" s="1367">
        <v>161.0</v>
      </c>
      <c r="J2170" s="1367"/>
      <c r="K2170" s="1367"/>
      <c r="L2170" s="1367"/>
      <c r="M2170" s="1010"/>
    </row>
    <row r="2171">
      <c r="A2171" s="1367"/>
      <c r="B2171" s="1367"/>
      <c r="C2171" s="1367"/>
      <c r="D2171" s="1367">
        <v>2023.0</v>
      </c>
      <c r="E2171" s="1367" t="s">
        <v>1012</v>
      </c>
      <c r="F2171" s="1367" t="s">
        <v>4155</v>
      </c>
      <c r="G2171" s="1367" t="s">
        <v>1715</v>
      </c>
      <c r="H2171" s="1367">
        <v>42.0</v>
      </c>
      <c r="I2171" s="1367">
        <v>43.0</v>
      </c>
      <c r="J2171" s="1367"/>
      <c r="K2171" s="1367"/>
      <c r="L2171" s="1367"/>
      <c r="M2171" s="1010"/>
    </row>
    <row r="2172">
      <c r="A2172" s="1367"/>
      <c r="B2172" s="1367"/>
      <c r="C2172" s="1367"/>
      <c r="D2172" s="1367">
        <v>2023.0</v>
      </c>
      <c r="E2172" s="1367" t="s">
        <v>2149</v>
      </c>
      <c r="F2172" s="1367" t="s">
        <v>4176</v>
      </c>
      <c r="G2172" s="1367" t="s">
        <v>4231</v>
      </c>
      <c r="H2172" s="1367">
        <v>13.0</v>
      </c>
      <c r="I2172" s="1367">
        <v>13.0</v>
      </c>
      <c r="J2172" s="1367"/>
      <c r="K2172" s="1367"/>
      <c r="L2172" s="1367"/>
      <c r="M2172" s="1010"/>
    </row>
    <row r="2173">
      <c r="A2173" s="1367"/>
      <c r="B2173" s="1367"/>
      <c r="C2173" s="1367"/>
      <c r="D2173" s="1367">
        <v>2023.0</v>
      </c>
      <c r="E2173" s="1367" t="s">
        <v>2149</v>
      </c>
      <c r="F2173" s="1367" t="s">
        <v>4176</v>
      </c>
      <c r="G2173" s="1367" t="s">
        <v>1086</v>
      </c>
      <c r="H2173" s="1367">
        <v>6.0</v>
      </c>
      <c r="I2173" s="1367">
        <v>6.0</v>
      </c>
      <c r="J2173" s="1367"/>
      <c r="K2173" s="1367"/>
      <c r="L2173" s="1367"/>
      <c r="M2173" s="1010"/>
    </row>
    <row r="2174">
      <c r="A2174" s="1367"/>
      <c r="B2174" s="1367"/>
      <c r="C2174" s="1367"/>
      <c r="D2174" s="1367">
        <v>2023.0</v>
      </c>
      <c r="E2174" s="1367" t="s">
        <v>2149</v>
      </c>
      <c r="F2174" s="1367" t="s">
        <v>4176</v>
      </c>
      <c r="G2174" s="1367" t="s">
        <v>1715</v>
      </c>
      <c r="H2174" s="1367">
        <v>5.0</v>
      </c>
      <c r="I2174" s="1367">
        <v>5.0</v>
      </c>
      <c r="J2174" s="1367"/>
      <c r="K2174" s="1367"/>
      <c r="L2174" s="1367"/>
      <c r="M2174" s="1010"/>
    </row>
    <row r="2175">
      <c r="A2175" s="1367"/>
      <c r="B2175" s="1367"/>
      <c r="C2175" s="1367"/>
      <c r="D2175" s="1367">
        <v>2023.0</v>
      </c>
      <c r="E2175" s="1367" t="s">
        <v>2150</v>
      </c>
      <c r="F2175" s="1367" t="s">
        <v>4168</v>
      </c>
      <c r="G2175" s="1367" t="s">
        <v>4231</v>
      </c>
      <c r="H2175" s="1367">
        <v>3.0</v>
      </c>
      <c r="I2175" s="1367">
        <v>3.0</v>
      </c>
      <c r="J2175" s="1367"/>
      <c r="K2175" s="1367"/>
      <c r="L2175" s="1367"/>
      <c r="M2175" s="1010"/>
    </row>
    <row r="2176">
      <c r="A2176" s="1367"/>
      <c r="B2176" s="1367"/>
      <c r="C2176" s="1367"/>
      <c r="D2176" s="1367">
        <v>2023.0</v>
      </c>
      <c r="E2176" s="1367" t="s">
        <v>2150</v>
      </c>
      <c r="F2176" s="1367" t="s">
        <v>4168</v>
      </c>
      <c r="G2176" s="1367" t="s">
        <v>1086</v>
      </c>
      <c r="H2176" s="1367">
        <v>129.0</v>
      </c>
      <c r="I2176" s="1367">
        <v>131.0</v>
      </c>
      <c r="J2176" s="1367"/>
      <c r="K2176" s="1367"/>
      <c r="L2176" s="1367"/>
      <c r="M2176" s="1010"/>
    </row>
    <row r="2177">
      <c r="A2177" s="1367"/>
      <c r="B2177" s="1367"/>
      <c r="C2177" s="1367"/>
      <c r="D2177" s="1367">
        <v>2023.0</v>
      </c>
      <c r="E2177" s="1367" t="s">
        <v>2150</v>
      </c>
      <c r="F2177" s="1367" t="s">
        <v>4168</v>
      </c>
      <c r="G2177" s="1367" t="s">
        <v>1715</v>
      </c>
      <c r="H2177" s="1367">
        <v>1.0</v>
      </c>
      <c r="I2177" s="1367">
        <v>1.0</v>
      </c>
      <c r="J2177" s="1367"/>
      <c r="K2177" s="1367"/>
      <c r="L2177" s="1367"/>
      <c r="M2177" s="1010"/>
    </row>
    <row r="2178">
      <c r="A2178" s="1367"/>
      <c r="B2178" s="1367"/>
      <c r="C2178" s="1367"/>
      <c r="D2178" s="1367">
        <v>2023.0</v>
      </c>
      <c r="E2178" s="1367" t="s">
        <v>628</v>
      </c>
      <c r="F2178" s="1367" t="s">
        <v>4169</v>
      </c>
      <c r="G2178" s="1367" t="s">
        <v>4230</v>
      </c>
      <c r="H2178" s="1367">
        <v>1.0</v>
      </c>
      <c r="I2178" s="1367">
        <v>1.0</v>
      </c>
      <c r="J2178" s="1367"/>
      <c r="K2178" s="1367"/>
      <c r="L2178" s="1367"/>
      <c r="M2178" s="1010"/>
    </row>
    <row r="2179">
      <c r="A2179" s="1367"/>
      <c r="B2179" s="1367"/>
      <c r="C2179" s="1367"/>
      <c r="D2179" s="1367">
        <v>2023.0</v>
      </c>
      <c r="E2179" s="1367" t="s">
        <v>628</v>
      </c>
      <c r="F2179" s="1367" t="s">
        <v>4169</v>
      </c>
      <c r="G2179" s="1367" t="s">
        <v>4231</v>
      </c>
      <c r="H2179" s="1367">
        <v>23.0</v>
      </c>
      <c r="I2179" s="1367">
        <v>24.0</v>
      </c>
      <c r="J2179" s="1367"/>
      <c r="K2179" s="1367"/>
      <c r="L2179" s="1367"/>
      <c r="M2179" s="1010"/>
    </row>
    <row r="2180">
      <c r="A2180" s="1367"/>
      <c r="B2180" s="1367"/>
      <c r="C2180" s="1367"/>
      <c r="D2180" s="1367">
        <v>2023.0</v>
      </c>
      <c r="E2180" s="1367" t="s">
        <v>628</v>
      </c>
      <c r="F2180" s="1367" t="s">
        <v>4169</v>
      </c>
      <c r="G2180" s="1367" t="s">
        <v>1086</v>
      </c>
      <c r="H2180" s="1367">
        <v>6.0</v>
      </c>
      <c r="I2180" s="1367">
        <v>6.0</v>
      </c>
      <c r="J2180" s="1367"/>
      <c r="K2180" s="1367"/>
      <c r="L2180" s="1367"/>
      <c r="M2180" s="1010"/>
    </row>
    <row r="2181">
      <c r="A2181" s="1367"/>
      <c r="B2181" s="1367"/>
      <c r="C2181" s="1367"/>
      <c r="D2181" s="1367">
        <v>2023.0</v>
      </c>
      <c r="E2181" s="1367" t="s">
        <v>628</v>
      </c>
      <c r="F2181" s="1367" t="s">
        <v>4169</v>
      </c>
      <c r="G2181" s="1367" t="s">
        <v>1715</v>
      </c>
      <c r="H2181" s="1367">
        <v>1.0</v>
      </c>
      <c r="I2181" s="1367">
        <v>1.0</v>
      </c>
      <c r="J2181" s="1367"/>
      <c r="K2181" s="1367"/>
      <c r="L2181" s="1367"/>
      <c r="M2181" s="1010"/>
    </row>
    <row r="2182">
      <c r="A2182" s="1367"/>
      <c r="B2182" s="1367"/>
      <c r="C2182" s="1367"/>
      <c r="D2182" s="1367">
        <v>2023.0</v>
      </c>
      <c r="E2182" s="1367" t="s">
        <v>2151</v>
      </c>
      <c r="F2182" s="1367" t="s">
        <v>4162</v>
      </c>
      <c r="G2182" s="1367" t="s">
        <v>1086</v>
      </c>
      <c r="H2182" s="1367">
        <v>1.0</v>
      </c>
      <c r="I2182" s="1367">
        <v>1.0</v>
      </c>
      <c r="J2182" s="1367"/>
      <c r="K2182" s="1367"/>
      <c r="L2182" s="1367"/>
      <c r="M2182" s="1010"/>
    </row>
    <row r="2183">
      <c r="A2183" s="1367"/>
      <c r="B2183" s="1367"/>
      <c r="C2183" s="1367"/>
      <c r="D2183" s="1367">
        <v>2023.0</v>
      </c>
      <c r="E2183" s="1367" t="s">
        <v>2153</v>
      </c>
      <c r="F2183" s="1367" t="s">
        <v>4162</v>
      </c>
      <c r="G2183" s="1367" t="s">
        <v>1086</v>
      </c>
      <c r="H2183" s="1367">
        <v>18.0</v>
      </c>
      <c r="I2183" s="1367">
        <v>18.0</v>
      </c>
      <c r="J2183" s="1367"/>
      <c r="K2183" s="1367"/>
      <c r="L2183" s="1367"/>
      <c r="M2183" s="1010"/>
    </row>
    <row r="2184">
      <c r="A2184" s="1367"/>
      <c r="B2184" s="1367"/>
      <c r="C2184" s="1367"/>
      <c r="D2184" s="1367">
        <v>2023.0</v>
      </c>
      <c r="E2184" s="1367" t="s">
        <v>2154</v>
      </c>
      <c r="F2184" s="1367" t="s">
        <v>4170</v>
      </c>
      <c r="G2184" s="1367" t="s">
        <v>4230</v>
      </c>
      <c r="H2184" s="1367">
        <v>6.0</v>
      </c>
      <c r="I2184" s="1367">
        <v>7.0</v>
      </c>
      <c r="J2184" s="1367"/>
      <c r="K2184" s="1367"/>
      <c r="L2184" s="1367"/>
      <c r="M2184" s="1010"/>
    </row>
    <row r="2185">
      <c r="A2185" s="1367"/>
      <c r="B2185" s="1367"/>
      <c r="C2185" s="1367"/>
      <c r="D2185" s="1367">
        <v>2023.0</v>
      </c>
      <c r="E2185" s="1367" t="s">
        <v>2154</v>
      </c>
      <c r="F2185" s="1367" t="s">
        <v>4170</v>
      </c>
      <c r="G2185" s="1367" t="s">
        <v>4231</v>
      </c>
      <c r="H2185" s="1367">
        <v>7.0</v>
      </c>
      <c r="I2185" s="1367">
        <v>7.0</v>
      </c>
      <c r="J2185" s="1367"/>
      <c r="K2185" s="1367"/>
      <c r="L2185" s="1367"/>
      <c r="M2185" s="1010"/>
    </row>
    <row r="2186">
      <c r="A2186" s="1367"/>
      <c r="B2186" s="1367"/>
      <c r="C2186" s="1367"/>
      <c r="D2186" s="1367">
        <v>2023.0</v>
      </c>
      <c r="E2186" s="1367" t="s">
        <v>2154</v>
      </c>
      <c r="F2186" s="1367" t="s">
        <v>4170</v>
      </c>
      <c r="G2186" s="1367" t="s">
        <v>1086</v>
      </c>
      <c r="H2186" s="1367">
        <v>13.0</v>
      </c>
      <c r="I2186" s="1367">
        <v>13.0</v>
      </c>
      <c r="J2186" s="1367"/>
      <c r="K2186" s="1367"/>
      <c r="L2186" s="1367"/>
      <c r="M2186" s="1010"/>
    </row>
    <row r="2187">
      <c r="A2187" s="1367"/>
      <c r="B2187" s="1367"/>
      <c r="C2187" s="1367"/>
      <c r="D2187" s="1367">
        <v>2023.0</v>
      </c>
      <c r="E2187" s="1367" t="s">
        <v>2154</v>
      </c>
      <c r="F2187" s="1367" t="s">
        <v>4170</v>
      </c>
      <c r="G2187" s="1367" t="s">
        <v>1715</v>
      </c>
      <c r="H2187" s="1367">
        <v>3.0</v>
      </c>
      <c r="I2187" s="1367">
        <v>3.0</v>
      </c>
      <c r="J2187" s="1367"/>
      <c r="K2187" s="1367"/>
      <c r="L2187" s="1367"/>
      <c r="M2187" s="1010"/>
    </row>
    <row r="2188">
      <c r="A2188" s="1367"/>
      <c r="B2188" s="1367"/>
      <c r="C2188" s="1367"/>
      <c r="D2188" s="1367">
        <v>2023.0</v>
      </c>
      <c r="E2188" s="1367" t="s">
        <v>265</v>
      </c>
      <c r="F2188" s="1367" t="s">
        <v>4176</v>
      </c>
      <c r="G2188" s="1367" t="s">
        <v>4230</v>
      </c>
      <c r="H2188" s="1367">
        <v>1315.0</v>
      </c>
      <c r="I2188" s="1367">
        <v>1342.0</v>
      </c>
      <c r="J2188" s="1367"/>
      <c r="K2188" s="1367"/>
      <c r="L2188" s="1367"/>
      <c r="M2188" s="1010"/>
    </row>
    <row r="2189">
      <c r="A2189" s="1367"/>
      <c r="B2189" s="1367"/>
      <c r="C2189" s="1367"/>
      <c r="D2189" s="1367">
        <v>2023.0</v>
      </c>
      <c r="E2189" s="1367" t="s">
        <v>265</v>
      </c>
      <c r="F2189" s="1367" t="s">
        <v>4176</v>
      </c>
      <c r="G2189" s="1367" t="s">
        <v>4231</v>
      </c>
      <c r="H2189" s="1367">
        <v>805.0</v>
      </c>
      <c r="I2189" s="1367">
        <v>812.0</v>
      </c>
      <c r="J2189" s="1367"/>
      <c r="K2189" s="1367"/>
      <c r="L2189" s="1367"/>
      <c r="M2189" s="1010"/>
    </row>
    <row r="2190">
      <c r="A2190" s="1367"/>
      <c r="B2190" s="1367"/>
      <c r="C2190" s="1367"/>
      <c r="D2190" s="1367">
        <v>2023.0</v>
      </c>
      <c r="E2190" s="1367" t="s">
        <v>265</v>
      </c>
      <c r="F2190" s="1367" t="s">
        <v>4176</v>
      </c>
      <c r="G2190" s="1367" t="s">
        <v>71</v>
      </c>
      <c r="H2190" s="1367">
        <v>24.0</v>
      </c>
      <c r="I2190" s="1367">
        <v>24.0</v>
      </c>
      <c r="J2190" s="1367"/>
      <c r="K2190" s="1367"/>
      <c r="L2190" s="1367"/>
      <c r="M2190" s="1010"/>
    </row>
    <row r="2191">
      <c r="A2191" s="1367"/>
      <c r="B2191" s="1367"/>
      <c r="C2191" s="1367"/>
      <c r="D2191" s="1367">
        <v>2023.0</v>
      </c>
      <c r="E2191" s="1367" t="s">
        <v>265</v>
      </c>
      <c r="F2191" s="1367" t="s">
        <v>4176</v>
      </c>
      <c r="G2191" s="1367" t="s">
        <v>1086</v>
      </c>
      <c r="H2191" s="1367">
        <v>1439.0</v>
      </c>
      <c r="I2191" s="1367">
        <v>1463.0</v>
      </c>
      <c r="J2191" s="1367"/>
      <c r="K2191" s="1367"/>
      <c r="L2191" s="1367"/>
      <c r="M2191" s="1010"/>
    </row>
    <row r="2192">
      <c r="A2192" s="1367"/>
      <c r="B2192" s="1367"/>
      <c r="C2192" s="1367"/>
      <c r="D2192" s="1367">
        <v>2023.0</v>
      </c>
      <c r="E2192" s="1367" t="s">
        <v>265</v>
      </c>
      <c r="F2192" s="1367" t="s">
        <v>4176</v>
      </c>
      <c r="G2192" s="1367" t="s">
        <v>4232</v>
      </c>
      <c r="H2192" s="1367">
        <v>6.0</v>
      </c>
      <c r="I2192" s="1367">
        <v>6.0</v>
      </c>
      <c r="J2192" s="1367"/>
      <c r="K2192" s="1367"/>
      <c r="L2192" s="1367"/>
      <c r="M2192" s="1010"/>
    </row>
    <row r="2193">
      <c r="A2193" s="1367"/>
      <c r="B2193" s="1367"/>
      <c r="C2193" s="1367"/>
      <c r="D2193" s="1367">
        <v>2023.0</v>
      </c>
      <c r="E2193" s="1367" t="s">
        <v>265</v>
      </c>
      <c r="F2193" s="1367" t="s">
        <v>4176</v>
      </c>
      <c r="G2193" s="1367" t="s">
        <v>1715</v>
      </c>
      <c r="H2193" s="1367">
        <v>312.0</v>
      </c>
      <c r="I2193" s="1367">
        <v>313.0</v>
      </c>
      <c r="J2193" s="1367"/>
      <c r="K2193" s="1367"/>
      <c r="L2193" s="1367"/>
      <c r="M2193" s="1010"/>
    </row>
    <row r="2194">
      <c r="A2194" s="1367"/>
      <c r="B2194" s="1367"/>
      <c r="C2194" s="1367"/>
      <c r="D2194" s="1367">
        <v>2023.0</v>
      </c>
      <c r="E2194" s="1367" t="s">
        <v>526</v>
      </c>
      <c r="F2194" s="1367" t="s">
        <v>4169</v>
      </c>
      <c r="G2194" s="1367" t="s">
        <v>4230</v>
      </c>
      <c r="H2194" s="1367">
        <v>128.0</v>
      </c>
      <c r="I2194" s="1367">
        <v>133.0</v>
      </c>
      <c r="J2194" s="1367"/>
      <c r="K2194" s="1367"/>
      <c r="L2194" s="1367"/>
      <c r="M2194" s="1010"/>
    </row>
    <row r="2195">
      <c r="A2195" s="1367"/>
      <c r="B2195" s="1367"/>
      <c r="C2195" s="1367"/>
      <c r="D2195" s="1367">
        <v>2023.0</v>
      </c>
      <c r="E2195" s="1367" t="s">
        <v>526</v>
      </c>
      <c r="F2195" s="1367" t="s">
        <v>4169</v>
      </c>
      <c r="G2195" s="1367" t="s">
        <v>4231</v>
      </c>
      <c r="H2195" s="1367">
        <v>400.0</v>
      </c>
      <c r="I2195" s="1367">
        <v>417.0</v>
      </c>
      <c r="J2195" s="1367"/>
      <c r="K2195" s="1367"/>
      <c r="L2195" s="1367"/>
      <c r="M2195" s="1010"/>
    </row>
    <row r="2196">
      <c r="A2196" s="1367"/>
      <c r="B2196" s="1367"/>
      <c r="C2196" s="1367"/>
      <c r="D2196" s="1367">
        <v>2023.0</v>
      </c>
      <c r="E2196" s="1367" t="s">
        <v>526</v>
      </c>
      <c r="F2196" s="1367" t="s">
        <v>4169</v>
      </c>
      <c r="G2196" s="1367" t="s">
        <v>71</v>
      </c>
      <c r="H2196" s="1367">
        <v>2.0</v>
      </c>
      <c r="I2196" s="1367">
        <v>2.0</v>
      </c>
      <c r="J2196" s="1367"/>
      <c r="K2196" s="1367"/>
      <c r="L2196" s="1367"/>
      <c r="M2196" s="1010"/>
    </row>
    <row r="2197">
      <c r="A2197" s="1367"/>
      <c r="B2197" s="1367"/>
      <c r="C2197" s="1367"/>
      <c r="D2197" s="1367">
        <v>2023.0</v>
      </c>
      <c r="E2197" s="1367" t="s">
        <v>526</v>
      </c>
      <c r="F2197" s="1367" t="s">
        <v>4169</v>
      </c>
      <c r="G2197" s="1367" t="s">
        <v>1086</v>
      </c>
      <c r="H2197" s="1367">
        <v>422.0</v>
      </c>
      <c r="I2197" s="1367">
        <v>446.0</v>
      </c>
      <c r="J2197" s="1367"/>
      <c r="K2197" s="1367"/>
      <c r="L2197" s="1367"/>
      <c r="M2197" s="1010"/>
    </row>
    <row r="2198">
      <c r="A2198" s="1367"/>
      <c r="B2198" s="1367"/>
      <c r="C2198" s="1367"/>
      <c r="D2198" s="1367">
        <v>2023.0</v>
      </c>
      <c r="E2198" s="1367" t="s">
        <v>526</v>
      </c>
      <c r="F2198" s="1367" t="s">
        <v>4169</v>
      </c>
      <c r="G2198" s="1367" t="s">
        <v>1715</v>
      </c>
      <c r="H2198" s="1367">
        <v>65.0</v>
      </c>
      <c r="I2198" s="1367">
        <v>65.0</v>
      </c>
      <c r="J2198" s="1367"/>
      <c r="K2198" s="1367"/>
      <c r="L2198" s="1367"/>
      <c r="M2198" s="1010"/>
    </row>
    <row r="2199">
      <c r="A2199" s="1367"/>
      <c r="B2199" s="1367"/>
      <c r="C2199" s="1367"/>
      <c r="D2199" s="1367">
        <v>2023.0</v>
      </c>
      <c r="E2199" s="1367" t="s">
        <v>2156</v>
      </c>
      <c r="F2199" s="1367" t="s">
        <v>4170</v>
      </c>
      <c r="G2199" s="1367" t="s">
        <v>4230</v>
      </c>
      <c r="H2199" s="1367">
        <v>9.0</v>
      </c>
      <c r="I2199" s="1367">
        <v>9.0</v>
      </c>
      <c r="J2199" s="1367"/>
      <c r="K2199" s="1367"/>
      <c r="L2199" s="1367"/>
      <c r="M2199" s="1010"/>
    </row>
    <row r="2200">
      <c r="A2200" s="1367"/>
      <c r="B2200" s="1367"/>
      <c r="C2200" s="1367"/>
      <c r="D2200" s="1367">
        <v>2023.0</v>
      </c>
      <c r="E2200" s="1367" t="s">
        <v>2156</v>
      </c>
      <c r="F2200" s="1367" t="s">
        <v>4170</v>
      </c>
      <c r="G2200" s="1367" t="s">
        <v>4231</v>
      </c>
      <c r="H2200" s="1367">
        <v>10.0</v>
      </c>
      <c r="I2200" s="1367">
        <v>17.0</v>
      </c>
      <c r="J2200" s="1367"/>
      <c r="K2200" s="1367"/>
      <c r="L2200" s="1367"/>
      <c r="M2200" s="1010"/>
    </row>
    <row r="2201">
      <c r="A2201" s="1367"/>
      <c r="B2201" s="1367"/>
      <c r="C2201" s="1367"/>
      <c r="D2201" s="1367">
        <v>2023.0</v>
      </c>
      <c r="E2201" s="1367" t="s">
        <v>2156</v>
      </c>
      <c r="F2201" s="1367" t="s">
        <v>4170</v>
      </c>
      <c r="G2201" s="1367" t="s">
        <v>1086</v>
      </c>
      <c r="H2201" s="1367">
        <v>37.0</v>
      </c>
      <c r="I2201" s="1367">
        <v>41.0</v>
      </c>
      <c r="J2201" s="1367"/>
      <c r="K2201" s="1367"/>
      <c r="L2201" s="1367"/>
      <c r="M2201" s="1010"/>
    </row>
    <row r="2202">
      <c r="A2202" s="1367"/>
      <c r="B2202" s="1367"/>
      <c r="C2202" s="1367"/>
      <c r="D2202" s="1367">
        <v>2023.0</v>
      </c>
      <c r="E2202" s="1367" t="s">
        <v>2156</v>
      </c>
      <c r="F2202" s="1367" t="s">
        <v>4170</v>
      </c>
      <c r="G2202" s="1367" t="s">
        <v>1715</v>
      </c>
      <c r="H2202" s="1367">
        <v>3.0</v>
      </c>
      <c r="I2202" s="1367">
        <v>3.0</v>
      </c>
      <c r="J2202" s="1367"/>
      <c r="K2202" s="1367"/>
      <c r="L2202" s="1367"/>
      <c r="M2202" s="1010"/>
    </row>
    <row r="2203">
      <c r="A2203" s="1367"/>
      <c r="B2203" s="1367"/>
      <c r="C2203" s="1367"/>
      <c r="D2203" s="1367">
        <v>2023.0</v>
      </c>
      <c r="E2203" s="1367" t="s">
        <v>2159</v>
      </c>
      <c r="F2203" s="1367" t="s">
        <v>4155</v>
      </c>
      <c r="G2203" s="1367" t="s">
        <v>4230</v>
      </c>
      <c r="H2203" s="1367">
        <v>16.0</v>
      </c>
      <c r="I2203" s="1367">
        <v>18.0</v>
      </c>
      <c r="J2203" s="1367"/>
      <c r="K2203" s="1367"/>
      <c r="L2203" s="1367"/>
      <c r="M2203" s="1010"/>
    </row>
    <row r="2204">
      <c r="A2204" s="1367"/>
      <c r="B2204" s="1367"/>
      <c r="C2204" s="1367"/>
      <c r="D2204" s="1367">
        <v>2023.0</v>
      </c>
      <c r="E2204" s="1367" t="s">
        <v>2159</v>
      </c>
      <c r="F2204" s="1367" t="s">
        <v>4155</v>
      </c>
      <c r="G2204" s="1367" t="s">
        <v>4231</v>
      </c>
      <c r="H2204" s="1367">
        <v>5.0</v>
      </c>
      <c r="I2204" s="1367">
        <v>6.0</v>
      </c>
      <c r="J2204" s="1367"/>
      <c r="K2204" s="1367"/>
      <c r="L2204" s="1367"/>
      <c r="M2204" s="1010"/>
    </row>
    <row r="2205">
      <c r="A2205" s="1367"/>
      <c r="B2205" s="1367"/>
      <c r="C2205" s="1367"/>
      <c r="D2205" s="1367">
        <v>2023.0</v>
      </c>
      <c r="E2205" s="1367" t="s">
        <v>2159</v>
      </c>
      <c r="F2205" s="1367" t="s">
        <v>4155</v>
      </c>
      <c r="G2205" s="1367" t="s">
        <v>1086</v>
      </c>
      <c r="H2205" s="1367">
        <v>40.0</v>
      </c>
      <c r="I2205" s="1367">
        <v>40.0</v>
      </c>
      <c r="J2205" s="1367"/>
      <c r="K2205" s="1367"/>
      <c r="L2205" s="1367"/>
      <c r="M2205" s="1010"/>
    </row>
    <row r="2206">
      <c r="A2206" s="1367"/>
      <c r="B2206" s="1367"/>
      <c r="C2206" s="1367"/>
      <c r="D2206" s="1367">
        <v>2023.0</v>
      </c>
      <c r="E2206" s="1367" t="s">
        <v>2159</v>
      </c>
      <c r="F2206" s="1367" t="s">
        <v>4155</v>
      </c>
      <c r="G2206" s="1367" t="s">
        <v>1715</v>
      </c>
      <c r="H2206" s="1367">
        <v>14.0</v>
      </c>
      <c r="I2206" s="1367">
        <v>17.0</v>
      </c>
      <c r="J2206" s="1367"/>
      <c r="K2206" s="1367"/>
      <c r="L2206" s="1367"/>
      <c r="M2206" s="1010"/>
    </row>
    <row r="2207">
      <c r="A2207" s="1367"/>
      <c r="B2207" s="1367"/>
      <c r="C2207" s="1367"/>
      <c r="D2207" s="1367">
        <v>2023.0</v>
      </c>
      <c r="E2207" s="1367" t="s">
        <v>2160</v>
      </c>
      <c r="F2207" s="1367" t="s">
        <v>4162</v>
      </c>
      <c r="G2207" s="1367" t="s">
        <v>4230</v>
      </c>
      <c r="H2207" s="1367">
        <v>15.0</v>
      </c>
      <c r="I2207" s="1367">
        <v>15.0</v>
      </c>
      <c r="J2207" s="1367"/>
      <c r="K2207" s="1367"/>
      <c r="L2207" s="1367"/>
      <c r="M2207" s="1010"/>
    </row>
    <row r="2208">
      <c r="A2208" s="1367"/>
      <c r="B2208" s="1367"/>
      <c r="C2208" s="1367"/>
      <c r="D2208" s="1367">
        <v>2023.0</v>
      </c>
      <c r="E2208" s="1367" t="s">
        <v>2160</v>
      </c>
      <c r="F2208" s="1367" t="s">
        <v>4162</v>
      </c>
      <c r="G2208" s="1367" t="s">
        <v>4231</v>
      </c>
      <c r="H2208" s="1367">
        <v>112.0</v>
      </c>
      <c r="I2208" s="1367">
        <v>113.0</v>
      </c>
      <c r="J2208" s="1367"/>
      <c r="K2208" s="1367"/>
      <c r="L2208" s="1367"/>
      <c r="M2208" s="1010"/>
    </row>
    <row r="2209">
      <c r="A2209" s="1367"/>
      <c r="B2209" s="1367"/>
      <c r="C2209" s="1367"/>
      <c r="D2209" s="1367">
        <v>2023.0</v>
      </c>
      <c r="E2209" s="1367" t="s">
        <v>2160</v>
      </c>
      <c r="F2209" s="1367" t="s">
        <v>4162</v>
      </c>
      <c r="G2209" s="1367" t="s">
        <v>71</v>
      </c>
      <c r="H2209" s="1367">
        <v>5.0</v>
      </c>
      <c r="I2209" s="1367">
        <v>5.0</v>
      </c>
      <c r="J2209" s="1367"/>
      <c r="K2209" s="1367"/>
      <c r="L2209" s="1367"/>
      <c r="M2209" s="1010"/>
    </row>
    <row r="2210">
      <c r="A2210" s="1367"/>
      <c r="B2210" s="1367"/>
      <c r="C2210" s="1367"/>
      <c r="D2210" s="1367">
        <v>2023.0</v>
      </c>
      <c r="E2210" s="1367" t="s">
        <v>2160</v>
      </c>
      <c r="F2210" s="1367" t="s">
        <v>4162</v>
      </c>
      <c r="G2210" s="1367" t="s">
        <v>1086</v>
      </c>
      <c r="H2210" s="1367">
        <v>243.0</v>
      </c>
      <c r="I2210" s="1367">
        <v>247.0</v>
      </c>
      <c r="J2210" s="1367"/>
      <c r="K2210" s="1367"/>
      <c r="L2210" s="1367"/>
      <c r="M2210" s="1010"/>
    </row>
    <row r="2211">
      <c r="A2211" s="1367"/>
      <c r="B2211" s="1367"/>
      <c r="C2211" s="1367"/>
      <c r="D2211" s="1367">
        <v>2023.0</v>
      </c>
      <c r="E2211" s="1367" t="s">
        <v>2160</v>
      </c>
      <c r="F2211" s="1367" t="s">
        <v>4162</v>
      </c>
      <c r="G2211" s="1367" t="s">
        <v>1715</v>
      </c>
      <c r="H2211" s="1367">
        <v>17.0</v>
      </c>
      <c r="I2211" s="1367">
        <v>17.0</v>
      </c>
      <c r="J2211" s="1367"/>
      <c r="K2211" s="1367"/>
      <c r="L2211" s="1367"/>
      <c r="M2211" s="1010"/>
    </row>
    <row r="2212">
      <c r="A2212" s="1367"/>
      <c r="B2212" s="1367"/>
      <c r="C2212" s="1367"/>
      <c r="D2212" s="1367">
        <v>2023.0</v>
      </c>
      <c r="E2212" s="1367" t="s">
        <v>355</v>
      </c>
      <c r="F2212" s="1367" t="s">
        <v>4173</v>
      </c>
      <c r="G2212" s="1367" t="s">
        <v>4230</v>
      </c>
      <c r="H2212" s="1367">
        <v>212.0</v>
      </c>
      <c r="I2212" s="1367">
        <v>213.0</v>
      </c>
      <c r="J2212" s="1367"/>
      <c r="K2212" s="1367"/>
      <c r="L2212" s="1367"/>
      <c r="M2212" s="1010"/>
    </row>
    <row r="2213">
      <c r="A2213" s="1367"/>
      <c r="B2213" s="1367"/>
      <c r="C2213" s="1367"/>
      <c r="D2213" s="1367">
        <v>2023.0</v>
      </c>
      <c r="E2213" s="1367" t="s">
        <v>355</v>
      </c>
      <c r="F2213" s="1367" t="s">
        <v>4173</v>
      </c>
      <c r="G2213" s="1367" t="s">
        <v>4231</v>
      </c>
      <c r="H2213" s="1367">
        <v>139.0</v>
      </c>
      <c r="I2213" s="1367">
        <v>141.0</v>
      </c>
      <c r="J2213" s="1367"/>
      <c r="K2213" s="1367"/>
      <c r="L2213" s="1367"/>
      <c r="M2213" s="1010"/>
    </row>
    <row r="2214">
      <c r="A2214" s="1367"/>
      <c r="B2214" s="1367"/>
      <c r="C2214" s="1367"/>
      <c r="D2214" s="1367">
        <v>2023.0</v>
      </c>
      <c r="E2214" s="1367" t="s">
        <v>355</v>
      </c>
      <c r="F2214" s="1367" t="s">
        <v>4173</v>
      </c>
      <c r="G2214" s="1367" t="s">
        <v>71</v>
      </c>
      <c r="H2214" s="1367">
        <v>7.0</v>
      </c>
      <c r="I2214" s="1367">
        <v>7.0</v>
      </c>
      <c r="J2214" s="1367"/>
      <c r="K2214" s="1367"/>
      <c r="L2214" s="1367"/>
      <c r="M2214" s="1010"/>
    </row>
    <row r="2215">
      <c r="A2215" s="1367"/>
      <c r="B2215" s="1367"/>
      <c r="C2215" s="1367"/>
      <c r="D2215" s="1367">
        <v>2023.0</v>
      </c>
      <c r="E2215" s="1367" t="s">
        <v>355</v>
      </c>
      <c r="F2215" s="1367" t="s">
        <v>4173</v>
      </c>
      <c r="G2215" s="1367" t="s">
        <v>1086</v>
      </c>
      <c r="H2215" s="1367">
        <v>522.0</v>
      </c>
      <c r="I2215" s="1367">
        <v>527.0</v>
      </c>
      <c r="J2215" s="1367"/>
      <c r="K2215" s="1367"/>
      <c r="L2215" s="1367"/>
      <c r="M2215" s="1010"/>
    </row>
    <row r="2216">
      <c r="A2216" s="1367"/>
      <c r="B2216" s="1367"/>
      <c r="C2216" s="1367"/>
      <c r="D2216" s="1367">
        <v>2023.0</v>
      </c>
      <c r="E2216" s="1367" t="s">
        <v>355</v>
      </c>
      <c r="F2216" s="1367" t="s">
        <v>4173</v>
      </c>
      <c r="G2216" s="1367" t="s">
        <v>1715</v>
      </c>
      <c r="H2216" s="1367">
        <v>51.0</v>
      </c>
      <c r="I2216" s="1367">
        <v>51.0</v>
      </c>
      <c r="J2216" s="1367"/>
      <c r="K2216" s="1367"/>
      <c r="L2216" s="1367"/>
      <c r="M2216" s="1010"/>
    </row>
    <row r="2217">
      <c r="A2217" s="1367"/>
      <c r="B2217" s="1367"/>
      <c r="C2217" s="1367"/>
      <c r="D2217" s="1367">
        <v>2023.0</v>
      </c>
      <c r="E2217" s="1367" t="s">
        <v>376</v>
      </c>
      <c r="F2217" s="1367" t="s">
        <v>4164</v>
      </c>
      <c r="G2217" s="1367" t="s">
        <v>4231</v>
      </c>
      <c r="H2217" s="1367">
        <v>31.0</v>
      </c>
      <c r="I2217" s="1367">
        <v>34.0</v>
      </c>
      <c r="J2217" s="1367"/>
      <c r="K2217" s="1367"/>
      <c r="L2217" s="1367"/>
      <c r="M2217" s="1010"/>
    </row>
    <row r="2218">
      <c r="A2218" s="1367"/>
      <c r="B2218" s="1367"/>
      <c r="C2218" s="1367"/>
      <c r="D2218" s="1367">
        <v>2023.0</v>
      </c>
      <c r="E2218" s="1367" t="s">
        <v>376</v>
      </c>
      <c r="F2218" s="1367" t="s">
        <v>4164</v>
      </c>
      <c r="G2218" s="1367" t="s">
        <v>1086</v>
      </c>
      <c r="H2218" s="1367">
        <v>5.0</v>
      </c>
      <c r="I2218" s="1367">
        <v>5.0</v>
      </c>
      <c r="J2218" s="1367"/>
      <c r="K2218" s="1367"/>
      <c r="L2218" s="1367"/>
      <c r="M2218" s="1010"/>
    </row>
    <row r="2219">
      <c r="A2219" s="1367"/>
      <c r="B2219" s="1367"/>
      <c r="C2219" s="1367"/>
      <c r="D2219" s="1367">
        <v>2023.0</v>
      </c>
      <c r="E2219" s="1367" t="s">
        <v>376</v>
      </c>
      <c r="F2219" s="1367" t="s">
        <v>4164</v>
      </c>
      <c r="G2219" s="1367" t="s">
        <v>1715</v>
      </c>
      <c r="H2219" s="1367">
        <v>7.0</v>
      </c>
      <c r="I2219" s="1367">
        <v>7.0</v>
      </c>
      <c r="J2219" s="1367"/>
      <c r="K2219" s="1367"/>
      <c r="L2219" s="1367"/>
      <c r="M2219" s="1010"/>
    </row>
    <row r="2220">
      <c r="A2220" s="1367"/>
      <c r="B2220" s="1367"/>
      <c r="C2220" s="1367"/>
      <c r="D2220" s="1367">
        <v>2023.0</v>
      </c>
      <c r="E2220" s="1367" t="s">
        <v>2161</v>
      </c>
      <c r="F2220" s="1367" t="s">
        <v>4164</v>
      </c>
      <c r="G2220" s="1367" t="s">
        <v>4230</v>
      </c>
      <c r="H2220" s="1367">
        <v>11.0</v>
      </c>
      <c r="I2220" s="1367">
        <v>11.0</v>
      </c>
      <c r="J2220" s="1367"/>
      <c r="K2220" s="1367"/>
      <c r="L2220" s="1367"/>
      <c r="M2220" s="1010"/>
    </row>
    <row r="2221">
      <c r="A2221" s="1367"/>
      <c r="B2221" s="1367"/>
      <c r="C2221" s="1367"/>
      <c r="D2221" s="1367">
        <v>2023.0</v>
      </c>
      <c r="E2221" s="1367" t="s">
        <v>2161</v>
      </c>
      <c r="F2221" s="1367" t="s">
        <v>4164</v>
      </c>
      <c r="G2221" s="1367" t="s">
        <v>4231</v>
      </c>
      <c r="H2221" s="1367">
        <v>32.0</v>
      </c>
      <c r="I2221" s="1367">
        <v>33.0</v>
      </c>
      <c r="J2221" s="1367"/>
      <c r="K2221" s="1367"/>
      <c r="L2221" s="1367"/>
      <c r="M2221" s="1010"/>
    </row>
    <row r="2222">
      <c r="A2222" s="1367"/>
      <c r="B2222" s="1367"/>
      <c r="C2222" s="1367"/>
      <c r="D2222" s="1367">
        <v>2023.0</v>
      </c>
      <c r="E2222" s="1367" t="s">
        <v>2161</v>
      </c>
      <c r="F2222" s="1367" t="s">
        <v>4164</v>
      </c>
      <c r="G2222" s="1367" t="s">
        <v>1086</v>
      </c>
      <c r="H2222" s="1367">
        <v>14.0</v>
      </c>
      <c r="I2222" s="1367">
        <v>14.0</v>
      </c>
      <c r="J2222" s="1367"/>
      <c r="K2222" s="1367"/>
      <c r="L2222" s="1367"/>
      <c r="M2222" s="1010"/>
    </row>
    <row r="2223">
      <c r="A2223" s="1367"/>
      <c r="B2223" s="1367"/>
      <c r="C2223" s="1367"/>
      <c r="D2223" s="1367">
        <v>2023.0</v>
      </c>
      <c r="E2223" s="1367" t="s">
        <v>2161</v>
      </c>
      <c r="F2223" s="1367" t="s">
        <v>4164</v>
      </c>
      <c r="G2223" s="1367" t="s">
        <v>1715</v>
      </c>
      <c r="H2223" s="1367">
        <v>2.0</v>
      </c>
      <c r="I2223" s="1367">
        <v>2.0</v>
      </c>
      <c r="J2223" s="1367"/>
      <c r="K2223" s="1367"/>
      <c r="L2223" s="1367"/>
      <c r="M2223" s="1010"/>
    </row>
    <row r="2224">
      <c r="A2224" s="1367"/>
      <c r="B2224" s="1367"/>
      <c r="C2224" s="1367"/>
      <c r="D2224" s="1367">
        <v>2023.0</v>
      </c>
      <c r="E2224" s="1367" t="s">
        <v>2162</v>
      </c>
      <c r="F2224" s="1367" t="s">
        <v>4155</v>
      </c>
      <c r="G2224" s="1367" t="s">
        <v>4230</v>
      </c>
      <c r="H2224" s="1367">
        <v>6.0</v>
      </c>
      <c r="I2224" s="1367">
        <v>6.0</v>
      </c>
      <c r="J2224" s="1367"/>
      <c r="K2224" s="1367"/>
      <c r="L2224" s="1367"/>
      <c r="M2224" s="1010"/>
    </row>
    <row r="2225">
      <c r="A2225" s="1367"/>
      <c r="B2225" s="1367"/>
      <c r="C2225" s="1367"/>
      <c r="D2225" s="1367">
        <v>2023.0</v>
      </c>
      <c r="E2225" s="1367" t="s">
        <v>2162</v>
      </c>
      <c r="F2225" s="1367" t="s">
        <v>4155</v>
      </c>
      <c r="G2225" s="1367" t="s">
        <v>4231</v>
      </c>
      <c r="H2225" s="1367">
        <v>68.0</v>
      </c>
      <c r="I2225" s="1367">
        <v>68.0</v>
      </c>
      <c r="J2225" s="1367"/>
      <c r="K2225" s="1367"/>
      <c r="L2225" s="1367"/>
      <c r="M2225" s="1010"/>
    </row>
    <row r="2226">
      <c r="A2226" s="1367"/>
      <c r="B2226" s="1367"/>
      <c r="C2226" s="1367"/>
      <c r="D2226" s="1367">
        <v>2023.0</v>
      </c>
      <c r="E2226" s="1367" t="s">
        <v>2162</v>
      </c>
      <c r="F2226" s="1367" t="s">
        <v>4155</v>
      </c>
      <c r="G2226" s="1367" t="s">
        <v>1086</v>
      </c>
      <c r="H2226" s="1367">
        <v>4.0</v>
      </c>
      <c r="I2226" s="1367">
        <v>4.0</v>
      </c>
      <c r="J2226" s="1367"/>
      <c r="K2226" s="1367"/>
      <c r="L2226" s="1367"/>
      <c r="M2226" s="1010"/>
    </row>
    <row r="2227">
      <c r="A2227" s="1367"/>
      <c r="B2227" s="1367"/>
      <c r="C2227" s="1367"/>
      <c r="D2227" s="1367">
        <v>2023.0</v>
      </c>
      <c r="E2227" s="1367" t="s">
        <v>2162</v>
      </c>
      <c r="F2227" s="1367" t="s">
        <v>4155</v>
      </c>
      <c r="G2227" s="1367" t="s">
        <v>1715</v>
      </c>
      <c r="H2227" s="1367">
        <v>22.0</v>
      </c>
      <c r="I2227" s="1367">
        <v>22.0</v>
      </c>
      <c r="J2227" s="1367"/>
      <c r="K2227" s="1367"/>
      <c r="L2227" s="1367"/>
      <c r="M2227" s="1010"/>
    </row>
    <row r="2228">
      <c r="A2228" s="1367"/>
      <c r="B2228" s="1367"/>
      <c r="C2228" s="1367"/>
      <c r="D2228" s="1367">
        <v>2023.0</v>
      </c>
      <c r="E2228" s="1367" t="s">
        <v>2164</v>
      </c>
      <c r="F2228" s="1367" t="s">
        <v>4162</v>
      </c>
      <c r="G2228" s="1367" t="s">
        <v>4231</v>
      </c>
      <c r="H2228" s="1367">
        <v>3.0</v>
      </c>
      <c r="I2228" s="1367">
        <v>3.0</v>
      </c>
      <c r="J2228" s="1367"/>
      <c r="K2228" s="1367"/>
      <c r="L2228" s="1367"/>
      <c r="M2228" s="1010"/>
    </row>
    <row r="2229">
      <c r="A2229" s="1367"/>
      <c r="B2229" s="1367"/>
      <c r="C2229" s="1367"/>
      <c r="D2229" s="1367">
        <v>2023.0</v>
      </c>
      <c r="E2229" s="1367" t="s">
        <v>2164</v>
      </c>
      <c r="F2229" s="1367" t="s">
        <v>4162</v>
      </c>
      <c r="G2229" s="1367" t="s">
        <v>1086</v>
      </c>
      <c r="H2229" s="1367">
        <v>8.0</v>
      </c>
      <c r="I2229" s="1367">
        <v>8.0</v>
      </c>
      <c r="J2229" s="1367"/>
      <c r="K2229" s="1367"/>
      <c r="L2229" s="1367"/>
      <c r="M2229" s="1010"/>
    </row>
    <row r="2230">
      <c r="A2230" s="1367"/>
      <c r="B2230" s="1367"/>
      <c r="C2230" s="1367"/>
      <c r="D2230" s="1367">
        <v>2023.0</v>
      </c>
      <c r="E2230" s="1367" t="s">
        <v>2166</v>
      </c>
      <c r="F2230" s="1367" t="s">
        <v>4171</v>
      </c>
      <c r="G2230" s="1367" t="s">
        <v>4231</v>
      </c>
      <c r="H2230" s="1367">
        <v>4.0</v>
      </c>
      <c r="I2230" s="1367">
        <v>5.0</v>
      </c>
      <c r="J2230" s="1367"/>
      <c r="K2230" s="1367"/>
      <c r="L2230" s="1367"/>
      <c r="M2230" s="1010"/>
    </row>
    <row r="2231">
      <c r="A2231" s="1367"/>
      <c r="B2231" s="1367"/>
      <c r="C2231" s="1367"/>
      <c r="D2231" s="1367">
        <v>2023.0</v>
      </c>
      <c r="E2231" s="1367" t="s">
        <v>2166</v>
      </c>
      <c r="F2231" s="1367" t="s">
        <v>4171</v>
      </c>
      <c r="G2231" s="1367" t="s">
        <v>1086</v>
      </c>
      <c r="H2231" s="1367">
        <v>92.0</v>
      </c>
      <c r="I2231" s="1367">
        <v>92.0</v>
      </c>
      <c r="J2231" s="1367"/>
      <c r="K2231" s="1367"/>
      <c r="L2231" s="1367"/>
      <c r="M2231" s="1010"/>
    </row>
    <row r="2232">
      <c r="A2232" s="1367"/>
      <c r="B2232" s="1367"/>
      <c r="C2232" s="1367"/>
      <c r="D2232" s="1367">
        <v>2023.0</v>
      </c>
      <c r="E2232" s="1367" t="s">
        <v>2167</v>
      </c>
      <c r="F2232" s="1367" t="s">
        <v>4171</v>
      </c>
      <c r="G2232" s="1367" t="s">
        <v>4230</v>
      </c>
      <c r="H2232" s="1367">
        <v>4.0</v>
      </c>
      <c r="I2232" s="1367">
        <v>4.0</v>
      </c>
      <c r="J2232" s="1367"/>
      <c r="K2232" s="1367"/>
      <c r="L2232" s="1367"/>
      <c r="M2232" s="1010"/>
    </row>
    <row r="2233">
      <c r="A2233" s="1367"/>
      <c r="B2233" s="1367"/>
      <c r="C2233" s="1367"/>
      <c r="D2233" s="1367">
        <v>2023.0</v>
      </c>
      <c r="E2233" s="1367" t="s">
        <v>2167</v>
      </c>
      <c r="F2233" s="1367" t="s">
        <v>4171</v>
      </c>
      <c r="G2233" s="1367" t="s">
        <v>4231</v>
      </c>
      <c r="H2233" s="1367">
        <v>6.0</v>
      </c>
      <c r="I2233" s="1367">
        <v>6.0</v>
      </c>
      <c r="J2233" s="1367"/>
      <c r="K2233" s="1367"/>
      <c r="L2233" s="1367"/>
      <c r="M2233" s="1010"/>
    </row>
    <row r="2234">
      <c r="A2234" s="1367"/>
      <c r="B2234" s="1367"/>
      <c r="C2234" s="1367"/>
      <c r="D2234" s="1367">
        <v>2023.0</v>
      </c>
      <c r="E2234" s="1367" t="s">
        <v>2167</v>
      </c>
      <c r="F2234" s="1367" t="s">
        <v>4171</v>
      </c>
      <c r="G2234" s="1367" t="s">
        <v>1086</v>
      </c>
      <c r="H2234" s="1367">
        <v>140.0</v>
      </c>
      <c r="I2234" s="1367">
        <v>142.0</v>
      </c>
      <c r="J2234" s="1367"/>
      <c r="K2234" s="1367"/>
      <c r="L2234" s="1367"/>
      <c r="M2234" s="1010"/>
    </row>
    <row r="2235">
      <c r="A2235" s="1367"/>
      <c r="B2235" s="1367"/>
      <c r="C2235" s="1367"/>
      <c r="D2235" s="1367">
        <v>2023.0</v>
      </c>
      <c r="E2235" s="1367" t="s">
        <v>2167</v>
      </c>
      <c r="F2235" s="1367" t="s">
        <v>4171</v>
      </c>
      <c r="G2235" s="1367" t="s">
        <v>1715</v>
      </c>
      <c r="H2235" s="1367">
        <v>3.0</v>
      </c>
      <c r="I2235" s="1367">
        <v>3.0</v>
      </c>
      <c r="J2235" s="1367"/>
      <c r="K2235" s="1367"/>
      <c r="L2235" s="1367"/>
      <c r="M2235" s="1010"/>
    </row>
    <row r="2236">
      <c r="A2236" s="1367"/>
      <c r="B2236" s="1367"/>
      <c r="C2236" s="1367"/>
      <c r="D2236" s="1367">
        <v>2023.0</v>
      </c>
      <c r="E2236" s="1367" t="s">
        <v>2168</v>
      </c>
      <c r="F2236" s="1367" t="s">
        <v>4155</v>
      </c>
      <c r="G2236" s="1367" t="s">
        <v>4230</v>
      </c>
      <c r="H2236" s="1367">
        <v>14.0</v>
      </c>
      <c r="I2236" s="1367">
        <v>14.0</v>
      </c>
      <c r="J2236" s="1367"/>
      <c r="K2236" s="1367"/>
      <c r="L2236" s="1367"/>
      <c r="M2236" s="1010"/>
    </row>
    <row r="2237">
      <c r="A2237" s="1367"/>
      <c r="B2237" s="1367"/>
      <c r="C2237" s="1367"/>
      <c r="D2237" s="1367">
        <v>2023.0</v>
      </c>
      <c r="E2237" s="1367" t="s">
        <v>2168</v>
      </c>
      <c r="F2237" s="1367" t="s">
        <v>4155</v>
      </c>
      <c r="G2237" s="1367" t="s">
        <v>4231</v>
      </c>
      <c r="H2237" s="1367">
        <v>63.0</v>
      </c>
      <c r="I2237" s="1367">
        <v>63.0</v>
      </c>
      <c r="J2237" s="1367"/>
      <c r="K2237" s="1367"/>
      <c r="L2237" s="1367"/>
      <c r="M2237" s="1010"/>
    </row>
    <row r="2238">
      <c r="A2238" s="1367"/>
      <c r="B2238" s="1367"/>
      <c r="C2238" s="1367"/>
      <c r="D2238" s="1367">
        <v>2023.0</v>
      </c>
      <c r="E2238" s="1367" t="s">
        <v>2168</v>
      </c>
      <c r="F2238" s="1367" t="s">
        <v>4155</v>
      </c>
      <c r="G2238" s="1367" t="s">
        <v>71</v>
      </c>
      <c r="H2238" s="1367">
        <v>2.0</v>
      </c>
      <c r="I2238" s="1367">
        <v>2.0</v>
      </c>
      <c r="J2238" s="1367"/>
      <c r="K2238" s="1367"/>
      <c r="L2238" s="1367"/>
      <c r="M2238" s="1010"/>
    </row>
    <row r="2239">
      <c r="A2239" s="1367"/>
      <c r="B2239" s="1367"/>
      <c r="C2239" s="1367"/>
      <c r="D2239" s="1367">
        <v>2023.0</v>
      </c>
      <c r="E2239" s="1367" t="s">
        <v>2168</v>
      </c>
      <c r="F2239" s="1367" t="s">
        <v>4155</v>
      </c>
      <c r="G2239" s="1367" t="s">
        <v>1086</v>
      </c>
      <c r="H2239" s="1367">
        <v>13.0</v>
      </c>
      <c r="I2239" s="1367">
        <v>13.0</v>
      </c>
      <c r="J2239" s="1367"/>
      <c r="K2239" s="1367"/>
      <c r="L2239" s="1367"/>
      <c r="M2239" s="1010"/>
    </row>
    <row r="2240">
      <c r="A2240" s="1367"/>
      <c r="B2240" s="1367"/>
      <c r="C2240" s="1367"/>
      <c r="D2240" s="1367">
        <v>2023.0</v>
      </c>
      <c r="E2240" s="1367" t="s">
        <v>2168</v>
      </c>
      <c r="F2240" s="1367" t="s">
        <v>4155</v>
      </c>
      <c r="G2240" s="1367" t="s">
        <v>1715</v>
      </c>
      <c r="H2240" s="1367">
        <v>14.0</v>
      </c>
      <c r="I2240" s="1367">
        <v>14.0</v>
      </c>
      <c r="J2240" s="1367"/>
      <c r="K2240" s="1367"/>
      <c r="L2240" s="1367"/>
      <c r="M2240" s="1010"/>
    </row>
    <row r="2241">
      <c r="A2241" s="1367"/>
      <c r="B2241" s="1367"/>
      <c r="C2241" s="1367"/>
      <c r="D2241" s="1367">
        <v>2023.0</v>
      </c>
      <c r="E2241" s="1367" t="s">
        <v>2169</v>
      </c>
      <c r="F2241" s="1367" t="s">
        <v>4171</v>
      </c>
      <c r="G2241" s="1367" t="s">
        <v>4230</v>
      </c>
      <c r="H2241" s="1367">
        <v>19.0</v>
      </c>
      <c r="I2241" s="1367">
        <v>19.0</v>
      </c>
      <c r="J2241" s="1367"/>
      <c r="K2241" s="1367"/>
      <c r="L2241" s="1367"/>
      <c r="M2241" s="1010"/>
    </row>
    <row r="2242">
      <c r="A2242" s="1367"/>
      <c r="B2242" s="1367"/>
      <c r="C2242" s="1367"/>
      <c r="D2242" s="1367">
        <v>2023.0</v>
      </c>
      <c r="E2242" s="1367" t="s">
        <v>2169</v>
      </c>
      <c r="F2242" s="1367" t="s">
        <v>4171</v>
      </c>
      <c r="G2242" s="1367" t="s">
        <v>4231</v>
      </c>
      <c r="H2242" s="1367">
        <v>42.0</v>
      </c>
      <c r="I2242" s="1367">
        <v>42.0</v>
      </c>
      <c r="J2242" s="1367"/>
      <c r="K2242" s="1367"/>
      <c r="L2242" s="1367"/>
      <c r="M2242" s="1010"/>
    </row>
    <row r="2243">
      <c r="A2243" s="1367"/>
      <c r="B2243" s="1367"/>
      <c r="C2243" s="1367"/>
      <c r="D2243" s="1367">
        <v>2023.0</v>
      </c>
      <c r="E2243" s="1367" t="s">
        <v>2169</v>
      </c>
      <c r="F2243" s="1367" t="s">
        <v>4171</v>
      </c>
      <c r="G2243" s="1367" t="s">
        <v>1086</v>
      </c>
      <c r="H2243" s="1367">
        <v>178.0</v>
      </c>
      <c r="I2243" s="1367">
        <v>179.0</v>
      </c>
      <c r="J2243" s="1367"/>
      <c r="K2243" s="1367"/>
      <c r="L2243" s="1367"/>
      <c r="M2243" s="1010"/>
    </row>
    <row r="2244">
      <c r="A2244" s="1367"/>
      <c r="B2244" s="1367"/>
      <c r="C2244" s="1367"/>
      <c r="D2244" s="1367">
        <v>2023.0</v>
      </c>
      <c r="E2244" s="1367" t="s">
        <v>2169</v>
      </c>
      <c r="F2244" s="1367" t="s">
        <v>4171</v>
      </c>
      <c r="G2244" s="1367" t="s">
        <v>1715</v>
      </c>
      <c r="H2244" s="1367">
        <v>10.0</v>
      </c>
      <c r="I2244" s="1367">
        <v>11.0</v>
      </c>
      <c r="J2244" s="1367"/>
      <c r="K2244" s="1367"/>
      <c r="L2244" s="1367"/>
      <c r="M2244" s="1010"/>
    </row>
    <row r="2245">
      <c r="A2245" s="1367"/>
      <c r="B2245" s="1367"/>
      <c r="C2245" s="1367"/>
      <c r="D2245" s="1367">
        <v>2023.0</v>
      </c>
      <c r="E2245" s="1367" t="s">
        <v>175</v>
      </c>
      <c r="F2245" s="1367" t="s">
        <v>4172</v>
      </c>
      <c r="G2245" s="1367" t="s">
        <v>4230</v>
      </c>
      <c r="H2245" s="1367">
        <v>17.0</v>
      </c>
      <c r="I2245" s="1367">
        <v>18.0</v>
      </c>
      <c r="J2245" s="1367"/>
      <c r="K2245" s="1367"/>
      <c r="L2245" s="1367"/>
      <c r="M2245" s="1010"/>
    </row>
    <row r="2246">
      <c r="A2246" s="1367"/>
      <c r="B2246" s="1367"/>
      <c r="C2246" s="1367"/>
      <c r="D2246" s="1367">
        <v>2023.0</v>
      </c>
      <c r="E2246" s="1367" t="s">
        <v>175</v>
      </c>
      <c r="F2246" s="1367" t="s">
        <v>4172</v>
      </c>
      <c r="G2246" s="1367" t="s">
        <v>4231</v>
      </c>
      <c r="H2246" s="1367">
        <v>21.0</v>
      </c>
      <c r="I2246" s="1367">
        <v>22.0</v>
      </c>
      <c r="J2246" s="1367"/>
      <c r="K2246" s="1367"/>
      <c r="L2246" s="1367"/>
      <c r="M2246" s="1010"/>
    </row>
    <row r="2247">
      <c r="A2247" s="1367"/>
      <c r="B2247" s="1367"/>
      <c r="C2247" s="1367"/>
      <c r="D2247" s="1367">
        <v>2023.0</v>
      </c>
      <c r="E2247" s="1367" t="s">
        <v>175</v>
      </c>
      <c r="F2247" s="1367" t="s">
        <v>4172</v>
      </c>
      <c r="G2247" s="1367" t="s">
        <v>1086</v>
      </c>
      <c r="H2247" s="1367">
        <v>9.0</v>
      </c>
      <c r="I2247" s="1367">
        <v>9.0</v>
      </c>
      <c r="J2247" s="1367"/>
      <c r="K2247" s="1367"/>
      <c r="L2247" s="1367"/>
      <c r="M2247" s="1010"/>
    </row>
    <row r="2248">
      <c r="A2248" s="1367"/>
      <c r="B2248" s="1367"/>
      <c r="C2248" s="1367"/>
      <c r="D2248" s="1367">
        <v>2023.0</v>
      </c>
      <c r="E2248" s="1367" t="s">
        <v>175</v>
      </c>
      <c r="F2248" s="1367" t="s">
        <v>4172</v>
      </c>
      <c r="G2248" s="1367" t="s">
        <v>1715</v>
      </c>
      <c r="H2248" s="1367">
        <v>2.0</v>
      </c>
      <c r="I2248" s="1367">
        <v>3.0</v>
      </c>
      <c r="J2248" s="1367"/>
      <c r="K2248" s="1367"/>
      <c r="L2248" s="1367"/>
      <c r="M2248" s="1010"/>
    </row>
    <row r="2249">
      <c r="A2249" s="1367"/>
      <c r="B2249" s="1367"/>
      <c r="C2249" s="1367"/>
      <c r="D2249" s="1367">
        <v>2023.0</v>
      </c>
      <c r="E2249" s="1367" t="s">
        <v>2170</v>
      </c>
      <c r="F2249" s="1367" t="s">
        <v>4172</v>
      </c>
      <c r="G2249" s="1367" t="s">
        <v>4230</v>
      </c>
      <c r="H2249" s="1367">
        <v>8.0</v>
      </c>
      <c r="I2249" s="1367">
        <v>8.0</v>
      </c>
      <c r="J2249" s="1367"/>
      <c r="K2249" s="1367"/>
      <c r="L2249" s="1367"/>
      <c r="M2249" s="1010"/>
    </row>
    <row r="2250">
      <c r="A2250" s="1367"/>
      <c r="B2250" s="1367"/>
      <c r="C2250" s="1367"/>
      <c r="D2250" s="1367">
        <v>2023.0</v>
      </c>
      <c r="E2250" s="1367" t="s">
        <v>2170</v>
      </c>
      <c r="F2250" s="1367" t="s">
        <v>4172</v>
      </c>
      <c r="G2250" s="1367" t="s">
        <v>4231</v>
      </c>
      <c r="H2250" s="1367">
        <v>6.0</v>
      </c>
      <c r="I2250" s="1367">
        <v>6.0</v>
      </c>
      <c r="J2250" s="1367"/>
      <c r="K2250" s="1367"/>
      <c r="L2250" s="1367"/>
      <c r="M2250" s="1010"/>
    </row>
    <row r="2251">
      <c r="A2251" s="1367"/>
      <c r="B2251" s="1367"/>
      <c r="C2251" s="1367"/>
      <c r="D2251" s="1367">
        <v>2023.0</v>
      </c>
      <c r="E2251" s="1367" t="s">
        <v>2170</v>
      </c>
      <c r="F2251" s="1367" t="s">
        <v>4172</v>
      </c>
      <c r="G2251" s="1367" t="s">
        <v>71</v>
      </c>
      <c r="H2251" s="1367">
        <v>1.0</v>
      </c>
      <c r="I2251" s="1367">
        <v>1.0</v>
      </c>
      <c r="J2251" s="1367"/>
      <c r="K2251" s="1367"/>
      <c r="L2251" s="1367"/>
      <c r="M2251" s="1010"/>
    </row>
    <row r="2252">
      <c r="A2252" s="1367"/>
      <c r="B2252" s="1367"/>
      <c r="C2252" s="1367"/>
      <c r="D2252" s="1367">
        <v>2023.0</v>
      </c>
      <c r="E2252" s="1367" t="s">
        <v>2170</v>
      </c>
      <c r="F2252" s="1367" t="s">
        <v>4172</v>
      </c>
      <c r="G2252" s="1367" t="s">
        <v>1086</v>
      </c>
      <c r="H2252" s="1367">
        <v>16.0</v>
      </c>
      <c r="I2252" s="1367">
        <v>16.0</v>
      </c>
      <c r="J2252" s="1367"/>
      <c r="K2252" s="1367"/>
      <c r="L2252" s="1367"/>
      <c r="M2252" s="1010"/>
    </row>
    <row r="2253">
      <c r="A2253" s="1367"/>
      <c r="B2253" s="1367"/>
      <c r="C2253" s="1367"/>
      <c r="D2253" s="1367">
        <v>2023.0</v>
      </c>
      <c r="E2253" s="1367" t="s">
        <v>2170</v>
      </c>
      <c r="F2253" s="1367" t="s">
        <v>4172</v>
      </c>
      <c r="G2253" s="1367" t="s">
        <v>1715</v>
      </c>
      <c r="H2253" s="1367">
        <v>4.0</v>
      </c>
      <c r="I2253" s="1367">
        <v>4.0</v>
      </c>
      <c r="J2253" s="1367"/>
      <c r="K2253" s="1367"/>
      <c r="L2253" s="1367"/>
      <c r="M2253" s="1010"/>
    </row>
    <row r="2254">
      <c r="A2254" s="1367"/>
      <c r="B2254" s="1367"/>
      <c r="C2254" s="1367"/>
      <c r="D2254" s="1367">
        <v>2023.0</v>
      </c>
      <c r="E2254" s="1367" t="s">
        <v>1669</v>
      </c>
      <c r="F2254" s="1367" t="s">
        <v>4162</v>
      </c>
      <c r="G2254" s="1367" t="s">
        <v>4230</v>
      </c>
      <c r="H2254" s="1367">
        <v>5.0</v>
      </c>
      <c r="I2254" s="1367">
        <v>5.0</v>
      </c>
      <c r="J2254" s="1367"/>
      <c r="K2254" s="1367"/>
      <c r="L2254" s="1367"/>
      <c r="M2254" s="1010"/>
    </row>
    <row r="2255">
      <c r="A2255" s="1367"/>
      <c r="B2255" s="1367"/>
      <c r="C2255" s="1367"/>
      <c r="D2255" s="1367">
        <v>2023.0</v>
      </c>
      <c r="E2255" s="1367" t="s">
        <v>1669</v>
      </c>
      <c r="F2255" s="1367" t="s">
        <v>4162</v>
      </c>
      <c r="G2255" s="1367" t="s">
        <v>4231</v>
      </c>
      <c r="H2255" s="1367">
        <v>10.0</v>
      </c>
      <c r="I2255" s="1367">
        <v>10.0</v>
      </c>
      <c r="J2255" s="1367"/>
      <c r="K2255" s="1367"/>
      <c r="L2255" s="1367"/>
      <c r="M2255" s="1010"/>
    </row>
    <row r="2256">
      <c r="A2256" s="1367"/>
      <c r="B2256" s="1367"/>
      <c r="C2256" s="1367"/>
      <c r="D2256" s="1367">
        <v>2023.0</v>
      </c>
      <c r="E2256" s="1367" t="s">
        <v>1669</v>
      </c>
      <c r="F2256" s="1367" t="s">
        <v>4162</v>
      </c>
      <c r="G2256" s="1367" t="s">
        <v>1086</v>
      </c>
      <c r="H2256" s="1367">
        <v>13.0</v>
      </c>
      <c r="I2256" s="1367">
        <v>13.0</v>
      </c>
      <c r="J2256" s="1367"/>
      <c r="K2256" s="1367"/>
      <c r="L2256" s="1367"/>
      <c r="M2256" s="1010"/>
    </row>
    <row r="2257">
      <c r="A2257" s="1367"/>
      <c r="B2257" s="1367"/>
      <c r="C2257" s="1367"/>
      <c r="D2257" s="1367">
        <v>2023.0</v>
      </c>
      <c r="E2257" s="1367" t="s">
        <v>119</v>
      </c>
      <c r="F2257" s="1367" t="s">
        <v>4173</v>
      </c>
      <c r="G2257" s="1367" t="s">
        <v>4230</v>
      </c>
      <c r="H2257" s="1367">
        <v>22.0</v>
      </c>
      <c r="I2257" s="1367">
        <v>22.0</v>
      </c>
      <c r="J2257" s="1367"/>
      <c r="K2257" s="1367"/>
      <c r="L2257" s="1367"/>
      <c r="M2257" s="1010"/>
    </row>
    <row r="2258">
      <c r="A2258" s="1367"/>
      <c r="B2258" s="1367"/>
      <c r="C2258" s="1367"/>
      <c r="D2258" s="1367">
        <v>2023.0</v>
      </c>
      <c r="E2258" s="1367" t="s">
        <v>119</v>
      </c>
      <c r="F2258" s="1367" t="s">
        <v>4173</v>
      </c>
      <c r="G2258" s="1367" t="s">
        <v>4231</v>
      </c>
      <c r="H2258" s="1367">
        <v>6.0</v>
      </c>
      <c r="I2258" s="1367">
        <v>6.0</v>
      </c>
      <c r="J2258" s="1367"/>
      <c r="K2258" s="1367"/>
      <c r="L2258" s="1367"/>
      <c r="M2258" s="1010"/>
    </row>
    <row r="2259">
      <c r="A2259" s="1367"/>
      <c r="B2259" s="1367"/>
      <c r="C2259" s="1367"/>
      <c r="D2259" s="1367">
        <v>2023.0</v>
      </c>
      <c r="E2259" s="1367" t="s">
        <v>119</v>
      </c>
      <c r="F2259" s="1367" t="s">
        <v>4173</v>
      </c>
      <c r="G2259" s="1367" t="s">
        <v>1086</v>
      </c>
      <c r="H2259" s="1367">
        <v>18.0</v>
      </c>
      <c r="I2259" s="1367">
        <v>18.0</v>
      </c>
      <c r="J2259" s="1367"/>
      <c r="K2259" s="1367"/>
      <c r="L2259" s="1367"/>
      <c r="M2259" s="1010"/>
    </row>
    <row r="2260">
      <c r="A2260" s="1367"/>
      <c r="B2260" s="1367"/>
      <c r="C2260" s="1367"/>
      <c r="D2260" s="1367">
        <v>2023.0</v>
      </c>
      <c r="E2260" s="1367" t="s">
        <v>119</v>
      </c>
      <c r="F2260" s="1367" t="s">
        <v>4173</v>
      </c>
      <c r="G2260" s="1367" t="s">
        <v>1715</v>
      </c>
      <c r="H2260" s="1367">
        <v>2.0</v>
      </c>
      <c r="I2260" s="1367">
        <v>2.0</v>
      </c>
      <c r="J2260" s="1367"/>
      <c r="K2260" s="1367"/>
      <c r="L2260" s="1367"/>
      <c r="M2260" s="1010"/>
    </row>
    <row r="2261">
      <c r="A2261" s="1367"/>
      <c r="B2261" s="1367"/>
      <c r="C2261" s="1367"/>
      <c r="D2261" s="1367">
        <v>2023.0</v>
      </c>
      <c r="E2261" s="1367" t="s">
        <v>2172</v>
      </c>
      <c r="F2261" s="1367" t="s">
        <v>4168</v>
      </c>
      <c r="G2261" s="1367" t="s">
        <v>4231</v>
      </c>
      <c r="H2261" s="1367">
        <v>10.0</v>
      </c>
      <c r="I2261" s="1367">
        <v>10.0</v>
      </c>
      <c r="J2261" s="1367"/>
      <c r="K2261" s="1367"/>
      <c r="L2261" s="1367"/>
      <c r="M2261" s="1010"/>
    </row>
    <row r="2262">
      <c r="A2262" s="1367"/>
      <c r="B2262" s="1367"/>
      <c r="C2262" s="1367"/>
      <c r="D2262" s="1367">
        <v>2023.0</v>
      </c>
      <c r="E2262" s="1367" t="s">
        <v>2172</v>
      </c>
      <c r="F2262" s="1367" t="s">
        <v>4168</v>
      </c>
      <c r="G2262" s="1367" t="s">
        <v>1086</v>
      </c>
      <c r="H2262" s="1367">
        <v>758.0</v>
      </c>
      <c r="I2262" s="1367">
        <v>793.0</v>
      </c>
      <c r="J2262" s="1367"/>
      <c r="K2262" s="1367"/>
      <c r="L2262" s="1367"/>
      <c r="M2262" s="1010"/>
    </row>
    <row r="2263">
      <c r="A2263" s="1367"/>
      <c r="B2263" s="1367"/>
      <c r="C2263" s="1367"/>
      <c r="D2263" s="1367">
        <v>2023.0</v>
      </c>
      <c r="E2263" s="1367" t="s">
        <v>2172</v>
      </c>
      <c r="F2263" s="1367" t="s">
        <v>4168</v>
      </c>
      <c r="G2263" s="1367" t="s">
        <v>1715</v>
      </c>
      <c r="H2263" s="1367">
        <v>8.0</v>
      </c>
      <c r="I2263" s="1367">
        <v>8.0</v>
      </c>
      <c r="J2263" s="1367"/>
      <c r="K2263" s="1367"/>
      <c r="L2263" s="1367"/>
      <c r="M2263" s="1010"/>
    </row>
    <row r="2264">
      <c r="A2264" s="1367"/>
      <c r="B2264" s="1367"/>
      <c r="C2264" s="1367"/>
      <c r="D2264" s="1367">
        <v>2023.0</v>
      </c>
      <c r="E2264" s="1367" t="s">
        <v>2173</v>
      </c>
      <c r="F2264" s="1367" t="s">
        <v>4172</v>
      </c>
      <c r="G2264" s="1367" t="s">
        <v>4230</v>
      </c>
      <c r="H2264" s="1367">
        <v>24.0</v>
      </c>
      <c r="I2264" s="1367">
        <v>24.0</v>
      </c>
      <c r="J2264" s="1367"/>
      <c r="K2264" s="1367"/>
      <c r="L2264" s="1367"/>
      <c r="M2264" s="1010"/>
    </row>
    <row r="2265">
      <c r="A2265" s="1367"/>
      <c r="B2265" s="1367"/>
      <c r="C2265" s="1367"/>
      <c r="D2265" s="1367">
        <v>2023.0</v>
      </c>
      <c r="E2265" s="1367" t="s">
        <v>2173</v>
      </c>
      <c r="F2265" s="1367" t="s">
        <v>4172</v>
      </c>
      <c r="G2265" s="1367" t="s">
        <v>4231</v>
      </c>
      <c r="H2265" s="1367">
        <v>19.0</v>
      </c>
      <c r="I2265" s="1367">
        <v>19.0</v>
      </c>
      <c r="J2265" s="1367"/>
      <c r="K2265" s="1367"/>
      <c r="L2265" s="1367"/>
      <c r="M2265" s="1010"/>
    </row>
    <row r="2266">
      <c r="A2266" s="1367"/>
      <c r="B2266" s="1367"/>
      <c r="C2266" s="1367"/>
      <c r="D2266" s="1367">
        <v>2023.0</v>
      </c>
      <c r="E2266" s="1367" t="s">
        <v>2173</v>
      </c>
      <c r="F2266" s="1367" t="s">
        <v>4172</v>
      </c>
      <c r="G2266" s="1367" t="s">
        <v>1086</v>
      </c>
      <c r="H2266" s="1367">
        <v>105.0</v>
      </c>
      <c r="I2266" s="1367">
        <v>107.0</v>
      </c>
      <c r="J2266" s="1367"/>
      <c r="K2266" s="1367"/>
      <c r="L2266" s="1367"/>
      <c r="M2266" s="1010"/>
    </row>
    <row r="2267">
      <c r="A2267" s="1367"/>
      <c r="B2267" s="1367"/>
      <c r="C2267" s="1367"/>
      <c r="D2267" s="1367">
        <v>2023.0</v>
      </c>
      <c r="E2267" s="1367" t="s">
        <v>649</v>
      </c>
      <c r="F2267" s="1367" t="s">
        <v>4170</v>
      </c>
      <c r="G2267" s="1367" t="s">
        <v>4231</v>
      </c>
      <c r="H2267" s="1367">
        <v>11.0</v>
      </c>
      <c r="I2267" s="1367">
        <v>11.0</v>
      </c>
      <c r="J2267" s="1367"/>
      <c r="K2267" s="1367"/>
      <c r="L2267" s="1367"/>
      <c r="M2267" s="1010"/>
    </row>
    <row r="2268">
      <c r="A2268" s="1367"/>
      <c r="B2268" s="1367"/>
      <c r="C2268" s="1367"/>
      <c r="D2268" s="1367">
        <v>2023.0</v>
      </c>
      <c r="E2268" s="1367" t="s">
        <v>649</v>
      </c>
      <c r="F2268" s="1367" t="s">
        <v>4170</v>
      </c>
      <c r="G2268" s="1367" t="s">
        <v>1086</v>
      </c>
      <c r="H2268" s="1367">
        <v>15.0</v>
      </c>
      <c r="I2268" s="1367">
        <v>15.0</v>
      </c>
      <c r="J2268" s="1367"/>
      <c r="K2268" s="1367"/>
      <c r="L2268" s="1367"/>
      <c r="M2268" s="1010"/>
    </row>
    <row r="2269">
      <c r="A2269" s="1367"/>
      <c r="B2269" s="1367"/>
      <c r="C2269" s="1367"/>
      <c r="D2269" s="1367">
        <v>2023.0</v>
      </c>
      <c r="E2269" s="1367" t="s">
        <v>649</v>
      </c>
      <c r="F2269" s="1367" t="s">
        <v>4170</v>
      </c>
      <c r="G2269" s="1367" t="s">
        <v>1715</v>
      </c>
      <c r="H2269" s="1367">
        <v>2.0</v>
      </c>
      <c r="I2269" s="1367">
        <v>2.0</v>
      </c>
      <c r="J2269" s="1367"/>
      <c r="K2269" s="1367"/>
      <c r="L2269" s="1367"/>
      <c r="M2269" s="1010"/>
    </row>
    <row r="2270">
      <c r="A2270" s="1367"/>
      <c r="B2270" s="1367"/>
      <c r="C2270" s="1367"/>
      <c r="D2270" s="1367">
        <v>2023.0</v>
      </c>
      <c r="E2270" s="1367" t="s">
        <v>1020</v>
      </c>
      <c r="F2270" s="1367" t="s">
        <v>4169</v>
      </c>
      <c r="G2270" s="1367" t="s">
        <v>4230</v>
      </c>
      <c r="H2270" s="1367">
        <v>79.0</v>
      </c>
      <c r="I2270" s="1367">
        <v>79.0</v>
      </c>
      <c r="J2270" s="1367"/>
      <c r="K2270" s="1367"/>
      <c r="L2270" s="1367"/>
      <c r="M2270" s="1010"/>
    </row>
    <row r="2271">
      <c r="A2271" s="1367"/>
      <c r="B2271" s="1367"/>
      <c r="C2271" s="1367"/>
      <c r="D2271" s="1367">
        <v>2023.0</v>
      </c>
      <c r="E2271" s="1367" t="s">
        <v>1020</v>
      </c>
      <c r="F2271" s="1367" t="s">
        <v>4169</v>
      </c>
      <c r="G2271" s="1367" t="s">
        <v>4231</v>
      </c>
      <c r="H2271" s="1367">
        <v>207.0</v>
      </c>
      <c r="I2271" s="1367">
        <v>216.0</v>
      </c>
      <c r="J2271" s="1367"/>
      <c r="K2271" s="1367"/>
      <c r="L2271" s="1367"/>
      <c r="M2271" s="1010"/>
    </row>
    <row r="2272">
      <c r="A2272" s="1367"/>
      <c r="B2272" s="1367"/>
      <c r="C2272" s="1367"/>
      <c r="D2272" s="1367">
        <v>2023.0</v>
      </c>
      <c r="E2272" s="1367" t="s">
        <v>1020</v>
      </c>
      <c r="F2272" s="1367" t="s">
        <v>4169</v>
      </c>
      <c r="G2272" s="1367" t="s">
        <v>1086</v>
      </c>
      <c r="H2272" s="1367">
        <v>132.0</v>
      </c>
      <c r="I2272" s="1367">
        <v>140.0</v>
      </c>
      <c r="J2272" s="1367"/>
      <c r="K2272" s="1367"/>
      <c r="L2272" s="1367"/>
      <c r="M2272" s="1010"/>
    </row>
    <row r="2273">
      <c r="A2273" s="1367"/>
      <c r="B2273" s="1367"/>
      <c r="C2273" s="1367"/>
      <c r="D2273" s="1367">
        <v>2023.0</v>
      </c>
      <c r="E2273" s="1367" t="s">
        <v>1020</v>
      </c>
      <c r="F2273" s="1367" t="s">
        <v>4169</v>
      </c>
      <c r="G2273" s="1367" t="s">
        <v>4232</v>
      </c>
      <c r="H2273" s="1367">
        <v>2.0</v>
      </c>
      <c r="I2273" s="1367">
        <v>2.0</v>
      </c>
      <c r="J2273" s="1367"/>
      <c r="K2273" s="1367"/>
      <c r="L2273" s="1367"/>
      <c r="M2273" s="1010"/>
    </row>
    <row r="2274">
      <c r="A2274" s="1367"/>
      <c r="B2274" s="1367"/>
      <c r="C2274" s="1367"/>
      <c r="D2274" s="1367">
        <v>2023.0</v>
      </c>
      <c r="E2274" s="1367" t="s">
        <v>1020</v>
      </c>
      <c r="F2274" s="1367" t="s">
        <v>4169</v>
      </c>
      <c r="G2274" s="1367" t="s">
        <v>1715</v>
      </c>
      <c r="H2274" s="1367">
        <v>86.0</v>
      </c>
      <c r="I2274" s="1367">
        <v>87.0</v>
      </c>
      <c r="J2274" s="1367"/>
      <c r="K2274" s="1367"/>
      <c r="L2274" s="1367"/>
      <c r="M2274" s="1010"/>
    </row>
    <row r="2275">
      <c r="A2275" s="1367"/>
      <c r="B2275" s="1367"/>
      <c r="C2275" s="1367"/>
      <c r="D2275" s="1367">
        <v>2023.0</v>
      </c>
      <c r="E2275" s="1367" t="s">
        <v>2174</v>
      </c>
      <c r="F2275" s="1367" t="s">
        <v>4169</v>
      </c>
      <c r="G2275" s="1367" t="s">
        <v>4230</v>
      </c>
      <c r="H2275" s="1367">
        <v>1.0</v>
      </c>
      <c r="I2275" s="1367">
        <v>1.0</v>
      </c>
      <c r="J2275" s="1367"/>
      <c r="K2275" s="1367"/>
      <c r="L2275" s="1367"/>
      <c r="M2275" s="1010"/>
    </row>
    <row r="2276">
      <c r="A2276" s="1367"/>
      <c r="B2276" s="1367"/>
      <c r="C2276" s="1367"/>
      <c r="D2276" s="1367">
        <v>2023.0</v>
      </c>
      <c r="E2276" s="1367" t="s">
        <v>2174</v>
      </c>
      <c r="F2276" s="1367" t="s">
        <v>4169</v>
      </c>
      <c r="G2276" s="1367" t="s">
        <v>4231</v>
      </c>
      <c r="H2276" s="1367">
        <v>22.0</v>
      </c>
      <c r="I2276" s="1367">
        <v>22.0</v>
      </c>
      <c r="J2276" s="1367"/>
      <c r="K2276" s="1367"/>
      <c r="L2276" s="1367"/>
      <c r="M2276" s="1010"/>
    </row>
    <row r="2277">
      <c r="A2277" s="1367"/>
      <c r="B2277" s="1367"/>
      <c r="C2277" s="1367"/>
      <c r="D2277" s="1367">
        <v>2023.0</v>
      </c>
      <c r="E2277" s="1367" t="s">
        <v>2174</v>
      </c>
      <c r="F2277" s="1367" t="s">
        <v>4169</v>
      </c>
      <c r="G2277" s="1367" t="s">
        <v>1086</v>
      </c>
      <c r="H2277" s="1367">
        <v>5.0</v>
      </c>
      <c r="I2277" s="1367">
        <v>5.0</v>
      </c>
      <c r="J2277" s="1367"/>
      <c r="K2277" s="1367"/>
      <c r="L2277" s="1367"/>
      <c r="M2277" s="1010"/>
    </row>
    <row r="2278">
      <c r="A2278" s="1367"/>
      <c r="B2278" s="1367"/>
      <c r="C2278" s="1367"/>
      <c r="D2278" s="1367">
        <v>2023.0</v>
      </c>
      <c r="E2278" s="1367" t="s">
        <v>2174</v>
      </c>
      <c r="F2278" s="1367" t="s">
        <v>4169</v>
      </c>
      <c r="G2278" s="1367" t="s">
        <v>4232</v>
      </c>
      <c r="H2278" s="1367">
        <v>1.0</v>
      </c>
      <c r="I2278" s="1367">
        <v>1.0</v>
      </c>
      <c r="J2278" s="1367"/>
      <c r="K2278" s="1367"/>
      <c r="L2278" s="1367"/>
      <c r="M2278" s="1010"/>
    </row>
    <row r="2279">
      <c r="A2279" s="1367"/>
      <c r="B2279" s="1367"/>
      <c r="C2279" s="1367"/>
      <c r="D2279" s="1367">
        <v>2023.0</v>
      </c>
      <c r="E2279" s="1367" t="s">
        <v>2174</v>
      </c>
      <c r="F2279" s="1367" t="s">
        <v>4169</v>
      </c>
      <c r="G2279" s="1367" t="s">
        <v>1715</v>
      </c>
      <c r="H2279" s="1367">
        <v>5.0</v>
      </c>
      <c r="I2279" s="1367">
        <v>5.0</v>
      </c>
      <c r="J2279" s="1367"/>
      <c r="K2279" s="1367"/>
      <c r="L2279" s="1367"/>
      <c r="M2279" s="1010"/>
    </row>
    <row r="2280">
      <c r="A2280" s="1367"/>
      <c r="B2280" s="1367"/>
      <c r="C2280" s="1367"/>
      <c r="D2280" s="1367">
        <v>2023.0</v>
      </c>
      <c r="E2280" s="1367" t="s">
        <v>2176</v>
      </c>
      <c r="F2280" s="1367" t="s">
        <v>4168</v>
      </c>
      <c r="G2280" s="1367" t="s">
        <v>4231</v>
      </c>
      <c r="H2280" s="1367"/>
      <c r="I2280" s="1367">
        <v>1.0</v>
      </c>
      <c r="J2280" s="1367"/>
      <c r="K2280" s="1367"/>
      <c r="L2280" s="1367"/>
      <c r="M2280" s="1010"/>
    </row>
    <row r="2281">
      <c r="A2281" s="1367"/>
      <c r="B2281" s="1367"/>
      <c r="C2281" s="1367"/>
      <c r="D2281" s="1367">
        <v>2023.0</v>
      </c>
      <c r="E2281" s="1367" t="s">
        <v>2176</v>
      </c>
      <c r="F2281" s="1367" t="s">
        <v>4168</v>
      </c>
      <c r="G2281" s="1367" t="s">
        <v>1086</v>
      </c>
      <c r="H2281" s="1367">
        <v>85.0</v>
      </c>
      <c r="I2281" s="1367">
        <v>93.0</v>
      </c>
      <c r="J2281" s="1367"/>
      <c r="K2281" s="1367"/>
      <c r="L2281" s="1367"/>
      <c r="M2281" s="1010"/>
    </row>
    <row r="2282">
      <c r="A2282" s="1367"/>
      <c r="B2282" s="1367"/>
      <c r="C2282" s="1367"/>
      <c r="D2282" s="1367">
        <v>2023.0</v>
      </c>
      <c r="E2282" s="1367" t="s">
        <v>2176</v>
      </c>
      <c r="F2282" s="1367" t="s">
        <v>4168</v>
      </c>
      <c r="G2282" s="1367" t="s">
        <v>1715</v>
      </c>
      <c r="H2282" s="1367">
        <v>3.0</v>
      </c>
      <c r="I2282" s="1367">
        <v>3.0</v>
      </c>
      <c r="J2282" s="1367"/>
      <c r="K2282" s="1367"/>
      <c r="L2282" s="1367"/>
      <c r="M2282" s="1010"/>
    </row>
    <row r="2283">
      <c r="A2283" s="1367"/>
      <c r="B2283" s="1367"/>
      <c r="C2283" s="1367"/>
      <c r="D2283" s="1367">
        <v>2023.0</v>
      </c>
      <c r="E2283" s="1367" t="s">
        <v>627</v>
      </c>
      <c r="F2283" s="1367" t="s">
        <v>4173</v>
      </c>
      <c r="G2283" s="1367" t="s">
        <v>4230</v>
      </c>
      <c r="H2283" s="1367">
        <v>37.0</v>
      </c>
      <c r="I2283" s="1367">
        <v>37.0</v>
      </c>
      <c r="J2283" s="1367"/>
      <c r="K2283" s="1367"/>
      <c r="L2283" s="1367"/>
      <c r="M2283" s="1010"/>
    </row>
    <row r="2284">
      <c r="A2284" s="1367"/>
      <c r="B2284" s="1367"/>
      <c r="C2284" s="1367"/>
      <c r="D2284" s="1367">
        <v>2023.0</v>
      </c>
      <c r="E2284" s="1367" t="s">
        <v>627</v>
      </c>
      <c r="F2284" s="1367" t="s">
        <v>4173</v>
      </c>
      <c r="G2284" s="1367" t="s">
        <v>4231</v>
      </c>
      <c r="H2284" s="1367">
        <v>119.0</v>
      </c>
      <c r="I2284" s="1367">
        <v>124.0</v>
      </c>
      <c r="J2284" s="1367"/>
      <c r="K2284" s="1367"/>
      <c r="L2284" s="1367"/>
      <c r="M2284" s="1010"/>
    </row>
    <row r="2285">
      <c r="A2285" s="1367"/>
      <c r="B2285" s="1367"/>
      <c r="C2285" s="1367"/>
      <c r="D2285" s="1367">
        <v>2023.0</v>
      </c>
      <c r="E2285" s="1367" t="s">
        <v>627</v>
      </c>
      <c r="F2285" s="1367" t="s">
        <v>4173</v>
      </c>
      <c r="G2285" s="1367" t="s">
        <v>71</v>
      </c>
      <c r="H2285" s="1367">
        <v>10.0</v>
      </c>
      <c r="I2285" s="1367">
        <v>10.0</v>
      </c>
      <c r="J2285" s="1367"/>
      <c r="K2285" s="1367"/>
      <c r="L2285" s="1367"/>
      <c r="M2285" s="1010"/>
    </row>
    <row r="2286">
      <c r="A2286" s="1367"/>
      <c r="B2286" s="1367"/>
      <c r="C2286" s="1367"/>
      <c r="D2286" s="1367">
        <v>2023.0</v>
      </c>
      <c r="E2286" s="1367" t="s">
        <v>627</v>
      </c>
      <c r="F2286" s="1367" t="s">
        <v>4173</v>
      </c>
      <c r="G2286" s="1367" t="s">
        <v>1086</v>
      </c>
      <c r="H2286" s="1367">
        <v>133.0</v>
      </c>
      <c r="I2286" s="1367">
        <v>133.0</v>
      </c>
      <c r="J2286" s="1367"/>
      <c r="K2286" s="1367"/>
      <c r="L2286" s="1367"/>
      <c r="M2286" s="1010"/>
    </row>
    <row r="2287">
      <c r="A2287" s="1367"/>
      <c r="B2287" s="1367"/>
      <c r="C2287" s="1367"/>
      <c r="D2287" s="1367">
        <v>2023.0</v>
      </c>
      <c r="E2287" s="1367" t="s">
        <v>627</v>
      </c>
      <c r="F2287" s="1367" t="s">
        <v>4173</v>
      </c>
      <c r="G2287" s="1367" t="s">
        <v>1715</v>
      </c>
      <c r="H2287" s="1367">
        <v>17.0</v>
      </c>
      <c r="I2287" s="1367">
        <v>17.0</v>
      </c>
      <c r="J2287" s="1367"/>
      <c r="K2287" s="1367"/>
      <c r="L2287" s="1367"/>
      <c r="M2287" s="1010"/>
    </row>
    <row r="2288">
      <c r="A2288" s="1367"/>
      <c r="B2288" s="1367"/>
      <c r="C2288" s="1367"/>
      <c r="D2288" s="1367">
        <v>2023.0</v>
      </c>
      <c r="E2288" s="1367" t="s">
        <v>1021</v>
      </c>
      <c r="F2288" s="1367" t="s">
        <v>4171</v>
      </c>
      <c r="G2288" s="1367" t="s">
        <v>4231</v>
      </c>
      <c r="H2288" s="1367">
        <v>27.0</v>
      </c>
      <c r="I2288" s="1367">
        <v>27.0</v>
      </c>
      <c r="J2288" s="1367"/>
      <c r="K2288" s="1367"/>
      <c r="L2288" s="1367"/>
      <c r="M2288" s="1010"/>
    </row>
    <row r="2289">
      <c r="A2289" s="1367"/>
      <c r="B2289" s="1367"/>
      <c r="C2289" s="1367"/>
      <c r="D2289" s="1367">
        <v>2023.0</v>
      </c>
      <c r="E2289" s="1367" t="s">
        <v>1021</v>
      </c>
      <c r="F2289" s="1367" t="s">
        <v>4171</v>
      </c>
      <c r="G2289" s="1367" t="s">
        <v>1086</v>
      </c>
      <c r="H2289" s="1367">
        <v>61.0</v>
      </c>
      <c r="I2289" s="1367">
        <v>63.0</v>
      </c>
      <c r="J2289" s="1367"/>
      <c r="K2289" s="1367"/>
      <c r="L2289" s="1367"/>
      <c r="M2289" s="1010"/>
    </row>
    <row r="2290">
      <c r="A2290" s="1367"/>
      <c r="B2290" s="1367"/>
      <c r="C2290" s="1367"/>
      <c r="D2290" s="1367">
        <v>2023.0</v>
      </c>
      <c r="E2290" s="1367" t="s">
        <v>1021</v>
      </c>
      <c r="F2290" s="1367" t="s">
        <v>4171</v>
      </c>
      <c r="G2290" s="1367" t="s">
        <v>1715</v>
      </c>
      <c r="H2290" s="1367">
        <v>3.0</v>
      </c>
      <c r="I2290" s="1367">
        <v>3.0</v>
      </c>
      <c r="J2290" s="1367"/>
      <c r="K2290" s="1367"/>
      <c r="L2290" s="1367"/>
      <c r="M2290" s="1010"/>
    </row>
    <row r="2291">
      <c r="A2291" s="1367"/>
      <c r="B2291" s="1367"/>
      <c r="C2291" s="1367"/>
      <c r="D2291" s="1367">
        <v>2023.0</v>
      </c>
      <c r="E2291" s="1367" t="s">
        <v>2177</v>
      </c>
      <c r="F2291" s="1367" t="s">
        <v>4162</v>
      </c>
      <c r="G2291" s="1367" t="s">
        <v>4231</v>
      </c>
      <c r="H2291" s="1367">
        <v>1.0</v>
      </c>
      <c r="I2291" s="1367">
        <v>1.0</v>
      </c>
      <c r="J2291" s="1367"/>
      <c r="K2291" s="1367"/>
      <c r="L2291" s="1367"/>
      <c r="M2291" s="1010"/>
    </row>
    <row r="2292">
      <c r="A2292" s="1367"/>
      <c r="B2292" s="1367"/>
      <c r="C2292" s="1367"/>
      <c r="D2292" s="1367">
        <v>2023.0</v>
      </c>
      <c r="E2292" s="1367" t="s">
        <v>2177</v>
      </c>
      <c r="F2292" s="1367" t="s">
        <v>4162</v>
      </c>
      <c r="G2292" s="1367" t="s">
        <v>1086</v>
      </c>
      <c r="H2292" s="1367">
        <v>7.0</v>
      </c>
      <c r="I2292" s="1367">
        <v>7.0</v>
      </c>
      <c r="J2292" s="1367"/>
      <c r="K2292" s="1367"/>
      <c r="L2292" s="1367"/>
      <c r="M2292" s="1010"/>
    </row>
    <row r="2293">
      <c r="A2293" s="1367"/>
      <c r="B2293" s="1367"/>
      <c r="C2293" s="1367"/>
      <c r="D2293" s="1367">
        <v>2023.0</v>
      </c>
      <c r="E2293" s="1367" t="s">
        <v>2178</v>
      </c>
      <c r="F2293" s="1367" t="s">
        <v>4176</v>
      </c>
      <c r="G2293" s="1367" t="s">
        <v>4231</v>
      </c>
      <c r="H2293" s="1367">
        <v>72.0</v>
      </c>
      <c r="I2293" s="1367">
        <v>74.0</v>
      </c>
      <c r="J2293" s="1367"/>
      <c r="K2293" s="1367"/>
      <c r="L2293" s="1367"/>
      <c r="M2293" s="1010"/>
    </row>
    <row r="2294">
      <c r="A2294" s="1367"/>
      <c r="B2294" s="1367"/>
      <c r="C2294" s="1367"/>
      <c r="D2294" s="1367">
        <v>2023.0</v>
      </c>
      <c r="E2294" s="1367" t="s">
        <v>2178</v>
      </c>
      <c r="F2294" s="1367" t="s">
        <v>4176</v>
      </c>
      <c r="G2294" s="1367" t="s">
        <v>1086</v>
      </c>
      <c r="H2294" s="1367">
        <v>13.0</v>
      </c>
      <c r="I2294" s="1367">
        <v>13.0</v>
      </c>
      <c r="J2294" s="1367"/>
      <c r="K2294" s="1367"/>
      <c r="L2294" s="1367"/>
      <c r="M2294" s="1010"/>
    </row>
    <row r="2295">
      <c r="A2295" s="1367"/>
      <c r="B2295" s="1367"/>
      <c r="C2295" s="1367"/>
      <c r="D2295" s="1367">
        <v>2023.0</v>
      </c>
      <c r="E2295" s="1367" t="s">
        <v>2178</v>
      </c>
      <c r="F2295" s="1367" t="s">
        <v>4176</v>
      </c>
      <c r="G2295" s="1367" t="s">
        <v>1715</v>
      </c>
      <c r="H2295" s="1367">
        <v>2.0</v>
      </c>
      <c r="I2295" s="1367">
        <v>2.0</v>
      </c>
      <c r="J2295" s="1367"/>
      <c r="K2295" s="1367"/>
      <c r="L2295" s="1367"/>
      <c r="M2295" s="1010"/>
    </row>
    <row r="2296">
      <c r="A2296" s="1367"/>
      <c r="B2296" s="1367"/>
      <c r="C2296" s="1367"/>
      <c r="D2296" s="1367">
        <v>2023.0</v>
      </c>
      <c r="E2296" s="1367" t="s">
        <v>1703</v>
      </c>
      <c r="F2296" s="1367" t="s">
        <v>4155</v>
      </c>
      <c r="G2296" s="1367" t="s">
        <v>4230</v>
      </c>
      <c r="H2296" s="1367">
        <v>5.0</v>
      </c>
      <c r="I2296" s="1367">
        <v>5.0</v>
      </c>
      <c r="J2296" s="1367"/>
      <c r="K2296" s="1367"/>
      <c r="L2296" s="1367"/>
      <c r="M2296" s="1010"/>
    </row>
    <row r="2297">
      <c r="A2297" s="1367"/>
      <c r="B2297" s="1367"/>
      <c r="C2297" s="1367"/>
      <c r="D2297" s="1367">
        <v>2023.0</v>
      </c>
      <c r="E2297" s="1367" t="s">
        <v>1703</v>
      </c>
      <c r="F2297" s="1367" t="s">
        <v>4155</v>
      </c>
      <c r="G2297" s="1367" t="s">
        <v>4231</v>
      </c>
      <c r="H2297" s="1367">
        <v>64.0</v>
      </c>
      <c r="I2297" s="1367">
        <v>64.0</v>
      </c>
      <c r="J2297" s="1367"/>
      <c r="K2297" s="1367"/>
      <c r="L2297" s="1367"/>
      <c r="M2297" s="1010"/>
    </row>
    <row r="2298">
      <c r="A2298" s="1367"/>
      <c r="B2298" s="1367"/>
      <c r="C2298" s="1367"/>
      <c r="D2298" s="1367">
        <v>2023.0</v>
      </c>
      <c r="E2298" s="1367" t="s">
        <v>1703</v>
      </c>
      <c r="F2298" s="1367" t="s">
        <v>4155</v>
      </c>
      <c r="G2298" s="1367" t="s">
        <v>1086</v>
      </c>
      <c r="H2298" s="1367">
        <v>15.0</v>
      </c>
      <c r="I2298" s="1367">
        <v>15.0</v>
      </c>
      <c r="J2298" s="1367"/>
      <c r="K2298" s="1367"/>
      <c r="L2298" s="1367"/>
      <c r="M2298" s="1010"/>
    </row>
    <row r="2299">
      <c r="A2299" s="1367"/>
      <c r="B2299" s="1367"/>
      <c r="C2299" s="1367"/>
      <c r="D2299" s="1367">
        <v>2023.0</v>
      </c>
      <c r="E2299" s="1367" t="s">
        <v>1703</v>
      </c>
      <c r="F2299" s="1367" t="s">
        <v>4155</v>
      </c>
      <c r="G2299" s="1367" t="s">
        <v>1715</v>
      </c>
      <c r="H2299" s="1367">
        <v>3.0</v>
      </c>
      <c r="I2299" s="1367">
        <v>3.0</v>
      </c>
      <c r="J2299" s="1367"/>
      <c r="K2299" s="1367"/>
      <c r="L2299" s="1367"/>
      <c r="M2299" s="1010"/>
    </row>
    <row r="2300">
      <c r="A2300" s="1367"/>
      <c r="B2300" s="1367"/>
      <c r="C2300" s="1367"/>
      <c r="D2300" s="1367">
        <v>2023.0</v>
      </c>
      <c r="E2300" s="1367" t="s">
        <v>2179</v>
      </c>
      <c r="F2300" s="1367" t="s">
        <v>4170</v>
      </c>
      <c r="G2300" s="1367" t="s">
        <v>4230</v>
      </c>
      <c r="H2300" s="1367">
        <v>2.0</v>
      </c>
      <c r="I2300" s="1367">
        <v>2.0</v>
      </c>
      <c r="J2300" s="1367"/>
      <c r="K2300" s="1367"/>
      <c r="L2300" s="1367"/>
      <c r="M2300" s="1010"/>
    </row>
    <row r="2301">
      <c r="A2301" s="1367"/>
      <c r="B2301" s="1367"/>
      <c r="C2301" s="1367"/>
      <c r="D2301" s="1367">
        <v>2023.0</v>
      </c>
      <c r="E2301" s="1367" t="s">
        <v>2179</v>
      </c>
      <c r="F2301" s="1367" t="s">
        <v>4170</v>
      </c>
      <c r="G2301" s="1367" t="s">
        <v>4231</v>
      </c>
      <c r="H2301" s="1367">
        <v>4.0</v>
      </c>
      <c r="I2301" s="1367">
        <v>4.0</v>
      </c>
      <c r="J2301" s="1367"/>
      <c r="K2301" s="1367"/>
      <c r="L2301" s="1367"/>
      <c r="M2301" s="1010"/>
    </row>
    <row r="2302">
      <c r="A2302" s="1367"/>
      <c r="B2302" s="1367"/>
      <c r="C2302" s="1367"/>
      <c r="D2302" s="1367">
        <v>2023.0</v>
      </c>
      <c r="E2302" s="1367" t="s">
        <v>2179</v>
      </c>
      <c r="F2302" s="1367" t="s">
        <v>4170</v>
      </c>
      <c r="G2302" s="1367" t="s">
        <v>1086</v>
      </c>
      <c r="H2302" s="1367">
        <v>14.0</v>
      </c>
      <c r="I2302" s="1367">
        <v>14.0</v>
      </c>
      <c r="J2302" s="1367"/>
      <c r="K2302" s="1367"/>
      <c r="L2302" s="1367"/>
      <c r="M2302" s="1010"/>
    </row>
    <row r="2303">
      <c r="A2303" s="1367"/>
      <c r="B2303" s="1367"/>
      <c r="C2303" s="1367"/>
      <c r="D2303" s="1367">
        <v>2023.0</v>
      </c>
      <c r="E2303" s="1367" t="s">
        <v>2181</v>
      </c>
      <c r="F2303" s="1367" t="s">
        <v>4169</v>
      </c>
      <c r="G2303" s="1367" t="s">
        <v>4231</v>
      </c>
      <c r="H2303" s="1367">
        <v>61.0</v>
      </c>
      <c r="I2303" s="1367">
        <v>66.0</v>
      </c>
      <c r="J2303" s="1367"/>
      <c r="K2303" s="1367"/>
      <c r="L2303" s="1367"/>
      <c r="M2303" s="1010"/>
    </row>
    <row r="2304">
      <c r="A2304" s="1367"/>
      <c r="B2304" s="1367"/>
      <c r="C2304" s="1367"/>
      <c r="D2304" s="1367">
        <v>2023.0</v>
      </c>
      <c r="E2304" s="1367" t="s">
        <v>2181</v>
      </c>
      <c r="F2304" s="1367" t="s">
        <v>4169</v>
      </c>
      <c r="G2304" s="1367" t="s">
        <v>1086</v>
      </c>
      <c r="H2304" s="1367">
        <v>15.0</v>
      </c>
      <c r="I2304" s="1367">
        <v>15.0</v>
      </c>
      <c r="J2304" s="1367"/>
      <c r="K2304" s="1367"/>
      <c r="L2304" s="1367"/>
      <c r="M2304" s="1010"/>
    </row>
    <row r="2305">
      <c r="A2305" s="1367"/>
      <c r="B2305" s="1367"/>
      <c r="C2305" s="1367"/>
      <c r="D2305" s="1367">
        <v>2023.0</v>
      </c>
      <c r="E2305" s="1367" t="s">
        <v>2181</v>
      </c>
      <c r="F2305" s="1367" t="s">
        <v>4169</v>
      </c>
      <c r="G2305" s="1367" t="s">
        <v>1715</v>
      </c>
      <c r="H2305" s="1367">
        <v>4.0</v>
      </c>
      <c r="I2305" s="1367">
        <v>4.0</v>
      </c>
      <c r="J2305" s="1367"/>
      <c r="K2305" s="1367"/>
      <c r="L2305" s="1367"/>
      <c r="M2305" s="1010"/>
    </row>
    <row r="2306">
      <c r="A2306" s="1367"/>
      <c r="B2306" s="1367"/>
      <c r="C2306" s="1367"/>
      <c r="D2306" s="1367">
        <v>2023.0</v>
      </c>
      <c r="E2306" s="1367" t="s">
        <v>2182</v>
      </c>
      <c r="F2306" s="1367" t="s">
        <v>4168</v>
      </c>
      <c r="G2306" s="1367" t="s">
        <v>1086</v>
      </c>
      <c r="H2306" s="1367">
        <v>35.0</v>
      </c>
      <c r="I2306" s="1367">
        <v>35.0</v>
      </c>
      <c r="J2306" s="1367"/>
      <c r="K2306" s="1367"/>
      <c r="L2306" s="1367"/>
      <c r="M2306" s="1010"/>
    </row>
    <row r="2307">
      <c r="A2307" s="1367"/>
      <c r="B2307" s="1367"/>
      <c r="C2307" s="1367"/>
      <c r="D2307" s="1367">
        <v>2023.0</v>
      </c>
      <c r="E2307" s="1367" t="s">
        <v>2182</v>
      </c>
      <c r="F2307" s="1367" t="s">
        <v>4168</v>
      </c>
      <c r="G2307" s="1367" t="s">
        <v>1715</v>
      </c>
      <c r="H2307" s="1367">
        <v>1.0</v>
      </c>
      <c r="I2307" s="1367">
        <v>1.0</v>
      </c>
      <c r="J2307" s="1367"/>
      <c r="K2307" s="1367"/>
      <c r="L2307" s="1367"/>
      <c r="M2307" s="1010"/>
    </row>
    <row r="2308">
      <c r="A2308" s="1367"/>
      <c r="B2308" s="1367"/>
      <c r="C2308" s="1367"/>
      <c r="D2308" s="1367">
        <v>2023.0</v>
      </c>
      <c r="E2308" s="1367" t="s">
        <v>2183</v>
      </c>
      <c r="F2308" s="1367" t="s">
        <v>4171</v>
      </c>
      <c r="G2308" s="1367" t="s">
        <v>4230</v>
      </c>
      <c r="H2308" s="1367">
        <v>3.0</v>
      </c>
      <c r="I2308" s="1367">
        <v>3.0</v>
      </c>
      <c r="J2308" s="1367"/>
      <c r="K2308" s="1367"/>
      <c r="L2308" s="1367"/>
      <c r="M2308" s="1010"/>
    </row>
    <row r="2309">
      <c r="A2309" s="1367"/>
      <c r="B2309" s="1367"/>
      <c r="C2309" s="1367"/>
      <c r="D2309" s="1367">
        <v>2023.0</v>
      </c>
      <c r="E2309" s="1367" t="s">
        <v>2183</v>
      </c>
      <c r="F2309" s="1367" t="s">
        <v>4171</v>
      </c>
      <c r="G2309" s="1367" t="s">
        <v>4231</v>
      </c>
      <c r="H2309" s="1367">
        <v>1.0</v>
      </c>
      <c r="I2309" s="1367">
        <v>1.0</v>
      </c>
      <c r="J2309" s="1367"/>
      <c r="K2309" s="1367"/>
      <c r="L2309" s="1367"/>
      <c r="M2309" s="1010"/>
    </row>
    <row r="2310">
      <c r="A2310" s="1367"/>
      <c r="B2310" s="1367"/>
      <c r="C2310" s="1367"/>
      <c r="D2310" s="1367">
        <v>2023.0</v>
      </c>
      <c r="E2310" s="1367" t="s">
        <v>2183</v>
      </c>
      <c r="F2310" s="1367" t="s">
        <v>4171</v>
      </c>
      <c r="G2310" s="1367" t="s">
        <v>1086</v>
      </c>
      <c r="H2310" s="1367">
        <v>75.0</v>
      </c>
      <c r="I2310" s="1367">
        <v>75.0</v>
      </c>
      <c r="J2310" s="1367"/>
      <c r="K2310" s="1367"/>
      <c r="L2310" s="1367"/>
      <c r="M2310" s="1010"/>
    </row>
    <row r="2311">
      <c r="A2311" s="1367"/>
      <c r="B2311" s="1367"/>
      <c r="C2311" s="1367"/>
      <c r="D2311" s="1367">
        <v>2023.0</v>
      </c>
      <c r="E2311" s="1367" t="s">
        <v>2522</v>
      </c>
      <c r="F2311" s="1367" t="s">
        <v>2522</v>
      </c>
      <c r="G2311" s="1367" t="s">
        <v>4230</v>
      </c>
      <c r="H2311" s="1367">
        <v>4.0</v>
      </c>
      <c r="I2311" s="1367">
        <v>4.0</v>
      </c>
      <c r="J2311" s="1367"/>
      <c r="K2311" s="1367"/>
      <c r="L2311" s="1367"/>
      <c r="M2311" s="1010"/>
    </row>
    <row r="2312">
      <c r="A2312" s="1367"/>
      <c r="B2312" s="1367"/>
      <c r="C2312" s="1367"/>
      <c r="D2312" s="1367">
        <v>2023.0</v>
      </c>
      <c r="E2312" s="1367" t="s">
        <v>2522</v>
      </c>
      <c r="F2312" s="1367" t="s">
        <v>2522</v>
      </c>
      <c r="G2312" s="1367" t="s">
        <v>4231</v>
      </c>
      <c r="H2312" s="1367">
        <v>7.0</v>
      </c>
      <c r="I2312" s="1367">
        <v>7.0</v>
      </c>
      <c r="J2312" s="1367"/>
      <c r="K2312" s="1367"/>
      <c r="L2312" s="1367"/>
      <c r="M2312" s="1010"/>
    </row>
    <row r="2313">
      <c r="A2313" s="1367"/>
      <c r="B2313" s="1367"/>
      <c r="C2313" s="1367"/>
      <c r="D2313" s="1367">
        <v>2023.0</v>
      </c>
      <c r="E2313" s="1367" t="s">
        <v>2522</v>
      </c>
      <c r="F2313" s="1367" t="s">
        <v>2522</v>
      </c>
      <c r="G2313" s="1367" t="s">
        <v>1715</v>
      </c>
      <c r="H2313" s="1367">
        <v>1.0</v>
      </c>
      <c r="I2313" s="1367">
        <v>1.0</v>
      </c>
      <c r="J2313" s="1367"/>
      <c r="K2313" s="1367"/>
      <c r="L2313" s="1367"/>
      <c r="M2313" s="1010"/>
    </row>
    <row r="2314">
      <c r="A2314" s="1367"/>
      <c r="B2314" s="1367"/>
      <c r="C2314" s="1367"/>
      <c r="D2314" s="1367"/>
      <c r="E2314" s="1367"/>
      <c r="F2314" s="1367"/>
      <c r="G2314" s="1367"/>
      <c r="H2314" s="1367"/>
      <c r="I2314" s="1367"/>
      <c r="J2314" s="1367"/>
      <c r="K2314" s="1367"/>
      <c r="L2314" s="1367"/>
      <c r="M2314" s="1010"/>
    </row>
    <row r="2315">
      <c r="A2315" s="1367"/>
      <c r="B2315" s="1367"/>
      <c r="C2315" s="1367"/>
      <c r="D2315" s="1367"/>
      <c r="E2315" s="1367"/>
      <c r="F2315" s="1367"/>
      <c r="G2315" s="1367"/>
      <c r="H2315" s="1367"/>
      <c r="I2315" s="1367"/>
      <c r="J2315" s="1367"/>
      <c r="K2315" s="1367"/>
      <c r="L2315" s="1367"/>
      <c r="M2315" s="1010"/>
    </row>
    <row r="2316">
      <c r="A2316" s="1367"/>
      <c r="B2316" s="1367"/>
      <c r="C2316" s="1367"/>
      <c r="D2316" s="1367"/>
      <c r="E2316" s="1367"/>
      <c r="F2316" s="1367"/>
      <c r="G2316" s="1367"/>
      <c r="H2316" s="1367"/>
      <c r="I2316" s="1367"/>
      <c r="J2316" s="1367"/>
      <c r="K2316" s="1367"/>
      <c r="L2316" s="1367"/>
      <c r="M2316" s="1010"/>
    </row>
    <row r="2317">
      <c r="A2317" s="1369" t="s">
        <v>792</v>
      </c>
      <c r="B2317" s="1370"/>
      <c r="C2317" s="1370"/>
      <c r="D2317" s="1370"/>
      <c r="E2317" s="1370"/>
      <c r="F2317" s="1370"/>
      <c r="G2317" s="1369" t="s">
        <v>767</v>
      </c>
      <c r="H2317" s="1378">
        <v>45448.0</v>
      </c>
      <c r="I2317" s="1369" t="s">
        <v>1044</v>
      </c>
      <c r="J2317" s="1378">
        <v>45169.0</v>
      </c>
      <c r="K2317" s="1370"/>
      <c r="L2317" s="1370"/>
      <c r="M2317" s="1372"/>
      <c r="N2317" s="276"/>
    </row>
    <row r="2318">
      <c r="A2318" s="1367"/>
      <c r="B2318" s="1379"/>
      <c r="C2318" s="1367"/>
      <c r="D2318" s="1367"/>
      <c r="E2318" s="1367"/>
      <c r="F2318" s="1367"/>
      <c r="G2318" s="1367"/>
      <c r="H2318" s="1367"/>
      <c r="I2318" s="1367"/>
      <c r="J2318" s="1367"/>
      <c r="K2318" s="1367"/>
      <c r="L2318" s="1367"/>
      <c r="M2318" s="1010"/>
    </row>
    <row r="2319">
      <c r="A2319" s="1373" t="s">
        <v>954</v>
      </c>
      <c r="B2319" s="1380">
        <f t="shared" ref="B2319:B2520" si="18">sumif($D$2319:$D$2693,A2319,$E$2319:$E$2693)</f>
        <v>17</v>
      </c>
      <c r="C2319" s="1367"/>
      <c r="D2319" s="1381" t="s">
        <v>954</v>
      </c>
      <c r="E2319" s="1165">
        <v>5.0</v>
      </c>
      <c r="F2319" s="1367"/>
      <c r="G2319" s="1367" t="s">
        <v>954</v>
      </c>
      <c r="H2319" s="1367" t="s">
        <v>4155</v>
      </c>
      <c r="I2319" s="1367" t="s">
        <v>4233</v>
      </c>
      <c r="J2319" s="1367">
        <v>5.0</v>
      </c>
      <c r="K2319" s="1367"/>
      <c r="L2319" s="1367"/>
      <c r="M2319" s="1010"/>
    </row>
    <row r="2320">
      <c r="A2320" s="1375" t="s">
        <v>2005</v>
      </c>
      <c r="B2320" s="1380">
        <f t="shared" si="18"/>
        <v>3</v>
      </c>
      <c r="C2320" s="1367"/>
      <c r="D2320" s="1381" t="s">
        <v>954</v>
      </c>
      <c r="E2320" s="1165">
        <v>12.0</v>
      </c>
      <c r="F2320" s="1367"/>
      <c r="G2320" s="1367" t="s">
        <v>954</v>
      </c>
      <c r="H2320" s="1367" t="s">
        <v>4155</v>
      </c>
      <c r="I2320" s="1367" t="s">
        <v>4234</v>
      </c>
      <c r="J2320" s="1367">
        <v>12.0</v>
      </c>
      <c r="K2320" s="1367"/>
      <c r="L2320" s="1367"/>
      <c r="M2320" s="1010"/>
    </row>
    <row r="2321">
      <c r="A2321" s="1375" t="s">
        <v>2006</v>
      </c>
      <c r="B2321" s="1380">
        <f t="shared" si="18"/>
        <v>23</v>
      </c>
      <c r="C2321" s="1367"/>
      <c r="D2321" s="1381" t="s">
        <v>2005</v>
      </c>
      <c r="E2321" s="1165">
        <v>3.0</v>
      </c>
      <c r="F2321" s="1367"/>
      <c r="G2321" s="1367" t="s">
        <v>2005</v>
      </c>
      <c r="H2321" s="1367" t="s">
        <v>4162</v>
      </c>
      <c r="I2321" s="1367" t="s">
        <v>4233</v>
      </c>
      <c r="J2321" s="1367">
        <v>3.0</v>
      </c>
      <c r="K2321" s="1367"/>
      <c r="L2321" s="1367"/>
      <c r="M2321" s="1010"/>
    </row>
    <row r="2322">
      <c r="A2322" s="1375" t="s">
        <v>2007</v>
      </c>
      <c r="B2322" s="1380">
        <f t="shared" si="18"/>
        <v>5</v>
      </c>
      <c r="C2322" s="1367"/>
      <c r="D2322" s="1381" t="s">
        <v>2006</v>
      </c>
      <c r="E2322" s="1165">
        <v>11.0</v>
      </c>
      <c r="F2322" s="1367"/>
      <c r="G2322" s="1367" t="s">
        <v>2006</v>
      </c>
      <c r="H2322" s="1367" t="s">
        <v>4164</v>
      </c>
      <c r="I2322" s="1367" t="s">
        <v>4233</v>
      </c>
      <c r="J2322" s="1367">
        <v>11.0</v>
      </c>
      <c r="K2322" s="1367"/>
      <c r="L2322" s="1367"/>
      <c r="M2322" s="1010"/>
    </row>
    <row r="2323">
      <c r="A2323" s="1375" t="s">
        <v>2008</v>
      </c>
      <c r="B2323" s="1380">
        <f t="shared" si="18"/>
        <v>3</v>
      </c>
      <c r="C2323" s="1367"/>
      <c r="D2323" s="1381" t="s">
        <v>2006</v>
      </c>
      <c r="E2323" s="1165">
        <v>12.0</v>
      </c>
      <c r="F2323" s="1367"/>
      <c r="G2323" s="1367" t="s">
        <v>2006</v>
      </c>
      <c r="H2323" s="1367" t="s">
        <v>4164</v>
      </c>
      <c r="I2323" s="1367" t="s">
        <v>4234</v>
      </c>
      <c r="J2323" s="1367">
        <v>12.0</v>
      </c>
      <c r="K2323" s="1367"/>
      <c r="L2323" s="1367"/>
      <c r="M2323" s="1010"/>
    </row>
    <row r="2324">
      <c r="A2324" s="1375" t="s">
        <v>2010</v>
      </c>
      <c r="B2324" s="1380">
        <f t="shared" si="18"/>
        <v>38</v>
      </c>
      <c r="C2324" s="1367"/>
      <c r="D2324" s="1381" t="s">
        <v>2007</v>
      </c>
      <c r="E2324" s="1165">
        <v>4.0</v>
      </c>
      <c r="F2324" s="1367"/>
      <c r="G2324" s="1367" t="s">
        <v>2007</v>
      </c>
      <c r="H2324" s="1367" t="s">
        <v>4168</v>
      </c>
      <c r="I2324" s="1367" t="s">
        <v>4233</v>
      </c>
      <c r="J2324" s="1367">
        <v>4.0</v>
      </c>
      <c r="K2324" s="1367"/>
      <c r="L2324" s="1367"/>
      <c r="M2324" s="1010"/>
    </row>
    <row r="2325">
      <c r="A2325" s="1375" t="s">
        <v>2012</v>
      </c>
      <c r="B2325" s="1380">
        <f t="shared" si="18"/>
        <v>5</v>
      </c>
      <c r="C2325" s="1367"/>
      <c r="D2325" s="1381" t="s">
        <v>2007</v>
      </c>
      <c r="E2325" s="1165">
        <v>1.0</v>
      </c>
      <c r="F2325" s="1367"/>
      <c r="G2325" s="1367" t="s">
        <v>2007</v>
      </c>
      <c r="H2325" s="1367" t="s">
        <v>4168</v>
      </c>
      <c r="I2325" s="1367" t="s">
        <v>4234</v>
      </c>
      <c r="J2325" s="1367">
        <v>1.0</v>
      </c>
      <c r="K2325" s="1367"/>
      <c r="L2325" s="1367"/>
      <c r="M2325" s="1010"/>
    </row>
    <row r="2326">
      <c r="A2326" s="1375" t="s">
        <v>2013</v>
      </c>
      <c r="B2326" s="1380">
        <f t="shared" si="18"/>
        <v>9</v>
      </c>
      <c r="C2326" s="1367"/>
      <c r="D2326" s="1381" t="s">
        <v>2008</v>
      </c>
      <c r="E2326" s="1165">
        <v>3.0</v>
      </c>
      <c r="F2326" s="1367"/>
      <c r="G2326" s="1367" t="s">
        <v>2008</v>
      </c>
      <c r="H2326" s="1367" t="s">
        <v>4169</v>
      </c>
      <c r="I2326" s="1367" t="s">
        <v>4234</v>
      </c>
      <c r="J2326" s="1367">
        <v>3.0</v>
      </c>
      <c r="K2326" s="1367"/>
      <c r="L2326" s="1367"/>
      <c r="M2326" s="1010"/>
    </row>
    <row r="2327">
      <c r="A2327" s="1375" t="s">
        <v>2014</v>
      </c>
      <c r="B2327" s="1380">
        <f t="shared" si="18"/>
        <v>30</v>
      </c>
      <c r="C2327" s="1367"/>
      <c r="D2327" s="1381" t="s">
        <v>2010</v>
      </c>
      <c r="E2327" s="1165">
        <v>19.0</v>
      </c>
      <c r="F2327" s="1367"/>
      <c r="G2327" s="1367" t="s">
        <v>2010</v>
      </c>
      <c r="H2327" s="1367" t="s">
        <v>4171</v>
      </c>
      <c r="I2327" s="1367" t="s">
        <v>4233</v>
      </c>
      <c r="J2327" s="1367">
        <v>19.0</v>
      </c>
      <c r="K2327" s="1367"/>
      <c r="L2327" s="1367"/>
      <c r="M2327" s="1010"/>
    </row>
    <row r="2328">
      <c r="A2328" s="1375" t="s">
        <v>2016</v>
      </c>
      <c r="B2328" s="1380">
        <f t="shared" si="18"/>
        <v>20</v>
      </c>
      <c r="C2328" s="1367"/>
      <c r="D2328" s="1381" t="s">
        <v>2010</v>
      </c>
      <c r="E2328" s="1165">
        <v>19.0</v>
      </c>
      <c r="F2328" s="1367"/>
      <c r="G2328" s="1367" t="s">
        <v>2010</v>
      </c>
      <c r="H2328" s="1367" t="s">
        <v>4171</v>
      </c>
      <c r="I2328" s="1367" t="s">
        <v>4234</v>
      </c>
      <c r="J2328" s="1367">
        <v>19.0</v>
      </c>
      <c r="K2328" s="1367"/>
      <c r="L2328" s="1367"/>
      <c r="M2328" s="1010"/>
      <c r="Q2328" s="1045"/>
      <c r="R2328" s="1045"/>
      <c r="S2328" s="1045"/>
      <c r="T2328" s="1045"/>
      <c r="U2328" s="1045"/>
      <c r="V2328" s="1045"/>
      <c r="W2328" s="1045"/>
      <c r="X2328" s="1045"/>
      <c r="Y2328" s="1045"/>
      <c r="Z2328" s="1045"/>
      <c r="AA2328" s="1045"/>
      <c r="AB2328" s="1045"/>
      <c r="AC2328" s="1045"/>
      <c r="AD2328" s="1045"/>
      <c r="AE2328" s="1045"/>
      <c r="AF2328" s="1045"/>
    </row>
    <row r="2329">
      <c r="A2329" s="1375" t="s">
        <v>1027</v>
      </c>
      <c r="B2329" s="1380">
        <f t="shared" si="18"/>
        <v>137</v>
      </c>
      <c r="C2329" s="1367"/>
      <c r="D2329" s="1381" t="s">
        <v>2011</v>
      </c>
      <c r="E2329" s="1165">
        <v>1.0</v>
      </c>
      <c r="F2329" s="1367"/>
      <c r="G2329" s="1367" t="s">
        <v>2011</v>
      </c>
      <c r="H2329" s="1367" t="s">
        <v>4172</v>
      </c>
      <c r="I2329" s="1367" t="s">
        <v>4233</v>
      </c>
      <c r="J2329" s="1367">
        <v>1.0</v>
      </c>
      <c r="K2329" s="1367"/>
      <c r="L2329" s="1367"/>
      <c r="M2329" s="1010"/>
      <c r="Q2329" s="1045"/>
      <c r="R2329" s="1045"/>
      <c r="S2329" s="1045"/>
      <c r="T2329" s="1045"/>
      <c r="U2329" s="1045"/>
      <c r="V2329" s="1045"/>
      <c r="W2329" s="1045"/>
      <c r="X2329" s="1045"/>
      <c r="Y2329" s="1045"/>
      <c r="Z2329" s="1045"/>
      <c r="AA2329" s="1045"/>
      <c r="AB2329" s="1045"/>
      <c r="AC2329" s="1045"/>
      <c r="AD2329" s="1045"/>
      <c r="AE2329" s="1045"/>
      <c r="AF2329" s="1045"/>
    </row>
    <row r="2330">
      <c r="A2330" s="1375" t="s">
        <v>267</v>
      </c>
      <c r="B2330" s="1380">
        <f t="shared" si="18"/>
        <v>672</v>
      </c>
      <c r="C2330" s="1367"/>
      <c r="D2330" s="1381" t="s">
        <v>2011</v>
      </c>
      <c r="E2330" s="1165">
        <v>1.0</v>
      </c>
      <c r="F2330" s="1367"/>
      <c r="G2330" s="1367" t="s">
        <v>2011</v>
      </c>
      <c r="H2330" s="1367" t="s">
        <v>4172</v>
      </c>
      <c r="I2330" s="1367" t="s">
        <v>4234</v>
      </c>
      <c r="J2330" s="1367">
        <v>1.0</v>
      </c>
      <c r="K2330" s="1367"/>
      <c r="L2330" s="1367"/>
      <c r="M2330" s="1010"/>
      <c r="Q2330" s="1045"/>
      <c r="R2330" s="1045"/>
      <c r="S2330" s="1045"/>
      <c r="T2330" s="1045"/>
      <c r="U2330" s="1045"/>
      <c r="V2330" s="1045"/>
      <c r="W2330" s="1045"/>
      <c r="X2330" s="1045"/>
      <c r="Y2330" s="1045"/>
      <c r="Z2330" s="1045"/>
      <c r="AA2330" s="1045"/>
      <c r="AB2330" s="1045"/>
      <c r="AC2330" s="1045"/>
      <c r="AD2330" s="1045"/>
      <c r="AE2330" s="1045"/>
      <c r="AF2330" s="1045"/>
    </row>
    <row r="2331">
      <c r="A2331" s="1375" t="s">
        <v>2017</v>
      </c>
      <c r="B2331" s="1380">
        <f t="shared" si="18"/>
        <v>1</v>
      </c>
      <c r="C2331" s="1367"/>
      <c r="D2331" s="1381" t="s">
        <v>2012</v>
      </c>
      <c r="E2331" s="1165">
        <v>3.0</v>
      </c>
      <c r="F2331" s="1367"/>
      <c r="G2331" s="1367" t="s">
        <v>2012</v>
      </c>
      <c r="H2331" s="1367" t="s">
        <v>4170</v>
      </c>
      <c r="I2331" s="1367" t="s">
        <v>4233</v>
      </c>
      <c r="J2331" s="1367">
        <v>3.0</v>
      </c>
      <c r="K2331" s="1367"/>
      <c r="L2331" s="1367"/>
      <c r="M2331" s="1010"/>
      <c r="Q2331" s="1045"/>
      <c r="R2331" s="1045"/>
      <c r="S2331" s="1045"/>
      <c r="T2331" s="1045"/>
      <c r="U2331" s="1045"/>
      <c r="V2331" s="1045"/>
      <c r="W2331" s="1045"/>
      <c r="X2331" s="1045"/>
      <c r="Y2331" s="1045"/>
      <c r="Z2331" s="1045"/>
      <c r="AA2331" s="1045"/>
      <c r="AB2331" s="1045"/>
      <c r="AC2331" s="1045"/>
      <c r="AD2331" s="1045"/>
      <c r="AE2331" s="1045"/>
      <c r="AF2331" s="1045"/>
    </row>
    <row r="2332">
      <c r="A2332" s="1375" t="s">
        <v>2019</v>
      </c>
      <c r="B2332" s="1380">
        <f t="shared" si="18"/>
        <v>10</v>
      </c>
      <c r="C2332" s="1367"/>
      <c r="D2332" s="1381" t="s">
        <v>2012</v>
      </c>
      <c r="E2332" s="1165">
        <v>2.0</v>
      </c>
      <c r="F2332" s="1367"/>
      <c r="G2332" s="1367" t="s">
        <v>2012</v>
      </c>
      <c r="H2332" s="1367" t="s">
        <v>4170</v>
      </c>
      <c r="I2332" s="1367" t="s">
        <v>4234</v>
      </c>
      <c r="J2332" s="1367">
        <v>2.0</v>
      </c>
      <c r="K2332" s="1367"/>
      <c r="L2332" s="1367"/>
      <c r="M2332" s="1010"/>
      <c r="Q2332" s="1045"/>
      <c r="R2332" s="1045"/>
      <c r="S2332" s="1045"/>
      <c r="T2332" s="1045"/>
      <c r="U2332" s="1045"/>
      <c r="V2332" s="1045"/>
      <c r="W2332" s="1045"/>
      <c r="X2332" s="1045"/>
      <c r="Y2332" s="1045"/>
      <c r="Z2332" s="1045"/>
      <c r="AA2332" s="1045"/>
      <c r="AB2332" s="1045"/>
      <c r="AC2332" s="1045"/>
      <c r="AD2332" s="1045"/>
      <c r="AE2332" s="1045"/>
      <c r="AF2332" s="1045"/>
    </row>
    <row r="2333">
      <c r="A2333" s="1375" t="s">
        <v>2020</v>
      </c>
      <c r="B2333" s="1380">
        <f t="shared" si="18"/>
        <v>18</v>
      </c>
      <c r="C2333" s="1367"/>
      <c r="D2333" s="1381" t="s">
        <v>2013</v>
      </c>
      <c r="E2333" s="1165">
        <v>3.0</v>
      </c>
      <c r="F2333" s="1367"/>
      <c r="G2333" s="1367" t="s">
        <v>2013</v>
      </c>
      <c r="H2333" s="1367" t="s">
        <v>4171</v>
      </c>
      <c r="I2333" s="1367" t="s">
        <v>4233</v>
      </c>
      <c r="J2333" s="1367">
        <v>3.0</v>
      </c>
      <c r="K2333" s="1367"/>
      <c r="L2333" s="1367"/>
      <c r="M2333" s="1010"/>
      <c r="Q2333" s="1045"/>
      <c r="R2333" s="1045"/>
      <c r="S2333" s="1045"/>
      <c r="T2333" s="1045"/>
      <c r="U2333" s="1045"/>
      <c r="V2333" s="1045"/>
      <c r="W2333" s="1045"/>
      <c r="X2333" s="1045"/>
      <c r="Y2333" s="1045"/>
      <c r="Z2333" s="1045"/>
      <c r="AA2333" s="1045"/>
      <c r="AB2333" s="1045"/>
      <c r="AC2333" s="1045"/>
      <c r="AD2333" s="1045"/>
      <c r="AE2333" s="1045"/>
      <c r="AF2333" s="1045"/>
    </row>
    <row r="2334">
      <c r="A2334" s="1375" t="s">
        <v>2021</v>
      </c>
      <c r="B2334" s="1380">
        <f t="shared" si="18"/>
        <v>25</v>
      </c>
      <c r="C2334" s="1367"/>
      <c r="D2334" s="1381" t="s">
        <v>2013</v>
      </c>
      <c r="E2334" s="1165">
        <v>6.0</v>
      </c>
      <c r="F2334" s="1367"/>
      <c r="G2334" s="1367" t="s">
        <v>2013</v>
      </c>
      <c r="H2334" s="1367" t="s">
        <v>4171</v>
      </c>
      <c r="I2334" s="1367" t="s">
        <v>4234</v>
      </c>
      <c r="J2334" s="1367">
        <v>6.0</v>
      </c>
      <c r="K2334" s="1367"/>
      <c r="L2334" s="1367"/>
      <c r="M2334" s="1010"/>
      <c r="Q2334" s="1045"/>
      <c r="R2334" s="1045"/>
      <c r="S2334" s="1045"/>
      <c r="T2334" s="1045"/>
      <c r="U2334" s="1045"/>
      <c r="V2334" s="1045"/>
      <c r="W2334" s="1045"/>
      <c r="X2334" s="1045"/>
      <c r="Y2334" s="1045"/>
      <c r="Z2334" s="1045"/>
      <c r="AA2334" s="1045"/>
      <c r="AB2334" s="1045"/>
      <c r="AC2334" s="1045"/>
      <c r="AD2334" s="1045"/>
      <c r="AE2334" s="1045"/>
      <c r="AF2334" s="1045"/>
    </row>
    <row r="2335">
      <c r="A2335" s="1375" t="s">
        <v>2022</v>
      </c>
      <c r="B2335" s="1380">
        <f t="shared" si="18"/>
        <v>26</v>
      </c>
      <c r="C2335" s="1367"/>
      <c r="D2335" s="1381" t="s">
        <v>2014</v>
      </c>
      <c r="E2335" s="1165">
        <v>4.0</v>
      </c>
      <c r="F2335" s="1367"/>
      <c r="G2335" s="1367" t="s">
        <v>2014</v>
      </c>
      <c r="H2335" s="1367" t="s">
        <v>4173</v>
      </c>
      <c r="I2335" s="1367" t="s">
        <v>4233</v>
      </c>
      <c r="J2335" s="1367">
        <v>4.0</v>
      </c>
      <c r="K2335" s="1367"/>
      <c r="L2335" s="1367"/>
      <c r="M2335" s="1010"/>
    </row>
    <row r="2336">
      <c r="A2336" s="1375" t="s">
        <v>543</v>
      </c>
      <c r="B2336" s="1380">
        <f t="shared" si="18"/>
        <v>3</v>
      </c>
      <c r="C2336" s="1367"/>
      <c r="D2336" s="1381" t="s">
        <v>2014</v>
      </c>
      <c r="E2336" s="1165">
        <v>26.0</v>
      </c>
      <c r="F2336" s="1367"/>
      <c r="G2336" s="1367" t="s">
        <v>2014</v>
      </c>
      <c r="H2336" s="1367" t="s">
        <v>4173</v>
      </c>
      <c r="I2336" s="1367" t="s">
        <v>4234</v>
      </c>
      <c r="J2336" s="1367">
        <v>26.0</v>
      </c>
      <c r="K2336" s="1367"/>
      <c r="L2336" s="1367"/>
      <c r="M2336" s="1010"/>
    </row>
    <row r="2337">
      <c r="A2337" s="1375" t="s">
        <v>706</v>
      </c>
      <c r="B2337" s="1380">
        <f t="shared" si="18"/>
        <v>15</v>
      </c>
      <c r="C2337" s="1367"/>
      <c r="D2337" s="1381" t="s">
        <v>2016</v>
      </c>
      <c r="E2337" s="1165">
        <v>9.0</v>
      </c>
      <c r="F2337" s="1367"/>
      <c r="G2337" s="1367" t="s">
        <v>2016</v>
      </c>
      <c r="H2337" s="1367" t="s">
        <v>4168</v>
      </c>
      <c r="I2337" s="1367" t="s">
        <v>4233</v>
      </c>
      <c r="J2337" s="1367">
        <v>9.0</v>
      </c>
      <c r="K2337" s="1367"/>
      <c r="L2337" s="1367"/>
      <c r="M2337" s="1010"/>
    </row>
    <row r="2338">
      <c r="A2338" s="1375" t="s">
        <v>2027</v>
      </c>
      <c r="B2338" s="1380">
        <f t="shared" si="18"/>
        <v>4</v>
      </c>
      <c r="C2338" s="1367"/>
      <c r="D2338" s="1381" t="s">
        <v>2016</v>
      </c>
      <c r="E2338" s="1165">
        <v>11.0</v>
      </c>
      <c r="F2338" s="1367"/>
      <c r="G2338" s="1367" t="s">
        <v>2016</v>
      </c>
      <c r="H2338" s="1367" t="s">
        <v>4168</v>
      </c>
      <c r="I2338" s="1367" t="s">
        <v>4234</v>
      </c>
      <c r="J2338" s="1367">
        <v>11.0</v>
      </c>
      <c r="K2338" s="1367"/>
      <c r="L2338" s="1367"/>
      <c r="M2338" s="1010"/>
    </row>
    <row r="2339">
      <c r="A2339" s="1375" t="s">
        <v>2028</v>
      </c>
      <c r="B2339" s="1380">
        <f t="shared" si="18"/>
        <v>19</v>
      </c>
      <c r="C2339" s="1367"/>
      <c r="D2339" s="1381" t="s">
        <v>1027</v>
      </c>
      <c r="E2339" s="1165">
        <v>41.0</v>
      </c>
      <c r="F2339" s="1367"/>
      <c r="G2339" s="1367" t="s">
        <v>1027</v>
      </c>
      <c r="H2339" s="1367" t="s">
        <v>4173</v>
      </c>
      <c r="I2339" s="1367" t="s">
        <v>4233</v>
      </c>
      <c r="J2339" s="1367">
        <v>41.0</v>
      </c>
      <c r="K2339" s="1367"/>
      <c r="L2339" s="1367"/>
      <c r="M2339" s="1010"/>
    </row>
    <row r="2340">
      <c r="A2340" s="1375" t="s">
        <v>1034</v>
      </c>
      <c r="B2340" s="1380">
        <f t="shared" si="18"/>
        <v>8</v>
      </c>
      <c r="C2340" s="1367"/>
      <c r="D2340" s="1381" t="s">
        <v>1027</v>
      </c>
      <c r="E2340" s="1165">
        <v>96.0</v>
      </c>
      <c r="F2340" s="1367"/>
      <c r="G2340" s="1367" t="s">
        <v>1027</v>
      </c>
      <c r="H2340" s="1367" t="s">
        <v>4173</v>
      </c>
      <c r="I2340" s="1367" t="s">
        <v>4234</v>
      </c>
      <c r="J2340" s="1367">
        <v>96.0</v>
      </c>
      <c r="K2340" s="1367"/>
      <c r="L2340" s="1367"/>
      <c r="M2340" s="1010"/>
    </row>
    <row r="2341">
      <c r="A2341" s="1375" t="s">
        <v>93</v>
      </c>
      <c r="B2341" s="1380">
        <f t="shared" si="18"/>
        <v>6</v>
      </c>
      <c r="C2341" s="1367"/>
      <c r="D2341" s="1381" t="s">
        <v>267</v>
      </c>
      <c r="E2341" s="1165">
        <v>255.0</v>
      </c>
      <c r="F2341" s="1367"/>
      <c r="G2341" s="1367" t="s">
        <v>267</v>
      </c>
      <c r="H2341" s="1367" t="s">
        <v>4171</v>
      </c>
      <c r="I2341" s="1367" t="s">
        <v>4233</v>
      </c>
      <c r="J2341" s="1367">
        <v>255.0</v>
      </c>
      <c r="K2341" s="1367"/>
      <c r="L2341" s="1367"/>
      <c r="M2341" s="1010"/>
    </row>
    <row r="2342">
      <c r="A2342" s="1375" t="s">
        <v>2029</v>
      </c>
      <c r="B2342" s="1380">
        <f t="shared" si="18"/>
        <v>9</v>
      </c>
      <c r="C2342" s="1367"/>
      <c r="D2342" s="1381" t="s">
        <v>267</v>
      </c>
      <c r="E2342" s="1165">
        <v>417.0</v>
      </c>
      <c r="F2342" s="1367"/>
      <c r="G2342" s="1367" t="s">
        <v>267</v>
      </c>
      <c r="H2342" s="1367" t="s">
        <v>4171</v>
      </c>
      <c r="I2342" s="1367" t="s">
        <v>4234</v>
      </c>
      <c r="J2342" s="1367">
        <v>417.0</v>
      </c>
      <c r="K2342" s="1367"/>
      <c r="L2342" s="1367"/>
      <c r="M2342" s="1010"/>
    </row>
    <row r="2343">
      <c r="A2343" s="1375" t="s">
        <v>1149</v>
      </c>
      <c r="B2343" s="1380">
        <f t="shared" si="18"/>
        <v>52</v>
      </c>
      <c r="C2343" s="1367"/>
      <c r="D2343" s="1381" t="s">
        <v>2017</v>
      </c>
      <c r="E2343" s="1165">
        <v>1.0</v>
      </c>
      <c r="F2343" s="1367"/>
      <c r="G2343" s="1367" t="s">
        <v>2017</v>
      </c>
      <c r="H2343" s="1367" t="s">
        <v>4173</v>
      </c>
      <c r="I2343" s="1367" t="s">
        <v>4233</v>
      </c>
      <c r="J2343" s="1367">
        <v>1.0</v>
      </c>
      <c r="K2343" s="1367"/>
      <c r="L2343" s="1367"/>
      <c r="M2343" s="1010"/>
    </row>
    <row r="2344">
      <c r="A2344" s="1375" t="s">
        <v>2031</v>
      </c>
      <c r="B2344" s="1380">
        <f t="shared" si="18"/>
        <v>4</v>
      </c>
      <c r="C2344" s="1367"/>
      <c r="D2344" s="1381" t="s">
        <v>2019</v>
      </c>
      <c r="E2344" s="1165">
        <v>4.0</v>
      </c>
      <c r="F2344" s="1367"/>
      <c r="G2344" s="1367" t="s">
        <v>2019</v>
      </c>
      <c r="H2344" s="1367" t="s">
        <v>4173</v>
      </c>
      <c r="I2344" s="1367" t="s">
        <v>4233</v>
      </c>
      <c r="J2344" s="1367">
        <v>4.0</v>
      </c>
      <c r="K2344" s="1367"/>
      <c r="L2344" s="1367"/>
      <c r="M2344" s="1010"/>
    </row>
    <row r="2345">
      <c r="A2345" s="1375" t="s">
        <v>2032</v>
      </c>
      <c r="B2345" s="1380">
        <f t="shared" si="18"/>
        <v>1</v>
      </c>
      <c r="C2345" s="1367"/>
      <c r="D2345" s="1381" t="s">
        <v>2019</v>
      </c>
      <c r="E2345" s="1165">
        <v>6.0</v>
      </c>
      <c r="F2345" s="1367"/>
      <c r="G2345" s="1367" t="s">
        <v>2019</v>
      </c>
      <c r="H2345" s="1367" t="s">
        <v>4173</v>
      </c>
      <c r="I2345" s="1367" t="s">
        <v>4234</v>
      </c>
      <c r="J2345" s="1367">
        <v>6.0</v>
      </c>
      <c r="K2345" s="1367"/>
      <c r="L2345" s="1367"/>
      <c r="M2345" s="1010"/>
    </row>
    <row r="2346">
      <c r="A2346" s="1375" t="s">
        <v>708</v>
      </c>
      <c r="B2346" s="1380">
        <f t="shared" si="18"/>
        <v>3</v>
      </c>
      <c r="C2346" s="1367"/>
      <c r="D2346" s="1381" t="s">
        <v>2020</v>
      </c>
      <c r="E2346" s="1165">
        <v>11.0</v>
      </c>
      <c r="F2346" s="1367"/>
      <c r="G2346" s="1367" t="s">
        <v>2020</v>
      </c>
      <c r="H2346" s="1367" t="s">
        <v>4155</v>
      </c>
      <c r="I2346" s="1367" t="s">
        <v>4233</v>
      </c>
      <c r="J2346" s="1367">
        <v>11.0</v>
      </c>
      <c r="K2346" s="1367"/>
      <c r="L2346" s="1367"/>
      <c r="M2346" s="1010"/>
    </row>
    <row r="2347">
      <c r="A2347" s="1375" t="s">
        <v>2033</v>
      </c>
      <c r="B2347" s="1380">
        <f t="shared" si="18"/>
        <v>3</v>
      </c>
      <c r="C2347" s="1367"/>
      <c r="D2347" s="1381" t="s">
        <v>2020</v>
      </c>
      <c r="E2347" s="1165">
        <v>7.0</v>
      </c>
      <c r="F2347" s="1367"/>
      <c r="G2347" s="1367" t="s">
        <v>2020</v>
      </c>
      <c r="H2347" s="1367" t="s">
        <v>4155</v>
      </c>
      <c r="I2347" s="1367" t="s">
        <v>4234</v>
      </c>
      <c r="J2347" s="1367">
        <v>7.0</v>
      </c>
      <c r="K2347" s="1367"/>
      <c r="L2347" s="1367"/>
      <c r="M2347" s="1010"/>
    </row>
    <row r="2348">
      <c r="A2348" s="1375" t="s">
        <v>98</v>
      </c>
      <c r="B2348" s="1380">
        <f t="shared" si="18"/>
        <v>2</v>
      </c>
      <c r="C2348" s="1367"/>
      <c r="D2348" s="1381" t="s">
        <v>2021</v>
      </c>
      <c r="E2348" s="1165">
        <v>20.0</v>
      </c>
      <c r="F2348" s="1367"/>
      <c r="G2348" s="1367" t="s">
        <v>2021</v>
      </c>
      <c r="H2348" s="1367" t="s">
        <v>4172</v>
      </c>
      <c r="I2348" s="1367" t="s">
        <v>4233</v>
      </c>
      <c r="J2348" s="1367">
        <v>20.0</v>
      </c>
      <c r="K2348" s="1367"/>
      <c r="L2348" s="1367"/>
      <c r="M2348" s="1010"/>
    </row>
    <row r="2349">
      <c r="A2349" s="1375" t="s">
        <v>101</v>
      </c>
      <c r="B2349" s="1380">
        <f t="shared" si="18"/>
        <v>14</v>
      </c>
      <c r="C2349" s="1367"/>
      <c r="D2349" s="1381" t="s">
        <v>2021</v>
      </c>
      <c r="E2349" s="1165">
        <v>5.0</v>
      </c>
      <c r="F2349" s="1367"/>
      <c r="G2349" s="1367" t="s">
        <v>2021</v>
      </c>
      <c r="H2349" s="1367" t="s">
        <v>4172</v>
      </c>
      <c r="I2349" s="1367" t="s">
        <v>4234</v>
      </c>
      <c r="J2349" s="1367">
        <v>5.0</v>
      </c>
      <c r="K2349" s="1367"/>
      <c r="L2349" s="1367"/>
      <c r="M2349" s="1010"/>
    </row>
    <row r="2350">
      <c r="A2350" s="1375" t="s">
        <v>2034</v>
      </c>
      <c r="B2350" s="1380">
        <f t="shared" si="18"/>
        <v>3</v>
      </c>
      <c r="C2350" s="1367"/>
      <c r="D2350" s="1381" t="s">
        <v>2022</v>
      </c>
      <c r="E2350" s="1165">
        <v>10.0</v>
      </c>
      <c r="F2350" s="1367"/>
      <c r="G2350" s="1367" t="s">
        <v>2022</v>
      </c>
      <c r="H2350" s="1367" t="s">
        <v>4173</v>
      </c>
      <c r="I2350" s="1367" t="s">
        <v>4233</v>
      </c>
      <c r="J2350" s="1367">
        <v>10.0</v>
      </c>
      <c r="K2350" s="1367"/>
      <c r="L2350" s="1367"/>
      <c r="M2350" s="1010"/>
    </row>
    <row r="2351">
      <c r="A2351" s="1375" t="s">
        <v>2037</v>
      </c>
      <c r="B2351" s="1380">
        <f t="shared" si="18"/>
        <v>2</v>
      </c>
      <c r="C2351" s="1367"/>
      <c r="D2351" s="1381" t="s">
        <v>2022</v>
      </c>
      <c r="E2351" s="1165">
        <v>16.0</v>
      </c>
      <c r="F2351" s="1367"/>
      <c r="G2351" s="1367" t="s">
        <v>2022</v>
      </c>
      <c r="H2351" s="1367" t="s">
        <v>4173</v>
      </c>
      <c r="I2351" s="1367" t="s">
        <v>4234</v>
      </c>
      <c r="J2351" s="1367">
        <v>16.0</v>
      </c>
      <c r="K2351" s="1367"/>
      <c r="L2351" s="1367"/>
      <c r="M2351" s="1010"/>
    </row>
    <row r="2352">
      <c r="A2352" s="1375" t="s">
        <v>405</v>
      </c>
      <c r="B2352" s="1380">
        <f t="shared" si="18"/>
        <v>35</v>
      </c>
      <c r="C2352" s="1367"/>
      <c r="D2352" s="1381" t="s">
        <v>2025</v>
      </c>
      <c r="E2352" s="1165">
        <v>1.0</v>
      </c>
      <c r="F2352" s="1367"/>
      <c r="G2352" s="1367" t="s">
        <v>2025</v>
      </c>
      <c r="H2352" s="1367" t="s">
        <v>4170</v>
      </c>
      <c r="I2352" s="1367" t="s">
        <v>4233</v>
      </c>
      <c r="J2352" s="1367">
        <v>1.0</v>
      </c>
      <c r="K2352" s="1367"/>
      <c r="L2352" s="1367"/>
      <c r="M2352" s="1010"/>
    </row>
    <row r="2353">
      <c r="A2353" s="1375" t="s">
        <v>36</v>
      </c>
      <c r="B2353" s="1380">
        <f t="shared" si="18"/>
        <v>1</v>
      </c>
      <c r="C2353" s="1367"/>
      <c r="D2353" s="1381" t="s">
        <v>543</v>
      </c>
      <c r="E2353" s="1165">
        <v>1.0</v>
      </c>
      <c r="F2353" s="1367"/>
      <c r="G2353" s="1367" t="s">
        <v>543</v>
      </c>
      <c r="H2353" s="1367" t="s">
        <v>4168</v>
      </c>
      <c r="I2353" s="1367" t="s">
        <v>4233</v>
      </c>
      <c r="J2353" s="1367">
        <v>1.0</v>
      </c>
      <c r="K2353" s="1367"/>
      <c r="L2353" s="1367"/>
      <c r="M2353" s="1010"/>
    </row>
    <row r="2354">
      <c r="A2354" s="1375" t="s">
        <v>2039</v>
      </c>
      <c r="B2354" s="1380">
        <f t="shared" si="18"/>
        <v>39</v>
      </c>
      <c r="C2354" s="1367"/>
      <c r="D2354" s="1381" t="s">
        <v>543</v>
      </c>
      <c r="E2354" s="1165">
        <v>2.0</v>
      </c>
      <c r="F2354" s="1367"/>
      <c r="G2354" s="1367" t="s">
        <v>543</v>
      </c>
      <c r="H2354" s="1367" t="s">
        <v>4168</v>
      </c>
      <c r="I2354" s="1367" t="s">
        <v>4234</v>
      </c>
      <c r="J2354" s="1367">
        <v>2.0</v>
      </c>
      <c r="K2354" s="1367"/>
      <c r="L2354" s="1367"/>
      <c r="M2354" s="1010"/>
    </row>
    <row r="2355">
      <c r="A2355" s="1375" t="s">
        <v>964</v>
      </c>
      <c r="B2355" s="1380">
        <f t="shared" si="18"/>
        <v>8</v>
      </c>
      <c r="C2355" s="1367"/>
      <c r="D2355" s="1381" t="s">
        <v>706</v>
      </c>
      <c r="E2355" s="1165">
        <v>2.0</v>
      </c>
      <c r="F2355" s="1367"/>
      <c r="G2355" s="1367" t="s">
        <v>706</v>
      </c>
      <c r="H2355" s="1367" t="s">
        <v>4169</v>
      </c>
      <c r="I2355" s="1367" t="s">
        <v>4233</v>
      </c>
      <c r="J2355" s="1367">
        <v>2.0</v>
      </c>
      <c r="K2355" s="1367"/>
      <c r="L2355" s="1367"/>
      <c r="M2355" s="1010"/>
    </row>
    <row r="2356">
      <c r="A2356" s="1375" t="s">
        <v>2042</v>
      </c>
      <c r="B2356" s="1380">
        <f t="shared" si="18"/>
        <v>8</v>
      </c>
      <c r="C2356" s="1367"/>
      <c r="D2356" s="1381" t="s">
        <v>706</v>
      </c>
      <c r="E2356" s="1165">
        <v>13.0</v>
      </c>
      <c r="F2356" s="1367"/>
      <c r="G2356" s="1367" t="s">
        <v>706</v>
      </c>
      <c r="H2356" s="1367" t="s">
        <v>4169</v>
      </c>
      <c r="I2356" s="1367" t="s">
        <v>4234</v>
      </c>
      <c r="J2356" s="1367">
        <v>13.0</v>
      </c>
      <c r="K2356" s="1367"/>
      <c r="L2356" s="1367"/>
      <c r="M2356" s="1010"/>
    </row>
    <row r="2357">
      <c r="A2357" s="1375" t="s">
        <v>2043</v>
      </c>
      <c r="B2357" s="1380">
        <f t="shared" si="18"/>
        <v>6</v>
      </c>
      <c r="C2357" s="1367"/>
      <c r="D2357" s="1381" t="s">
        <v>2027</v>
      </c>
      <c r="E2357" s="1165">
        <v>1.0</v>
      </c>
      <c r="F2357" s="1367"/>
      <c r="G2357" s="1367" t="s">
        <v>2027</v>
      </c>
      <c r="H2357" s="1367" t="s">
        <v>4173</v>
      </c>
      <c r="I2357" s="1367" t="s">
        <v>4233</v>
      </c>
      <c r="J2357" s="1367">
        <v>1.0</v>
      </c>
      <c r="K2357" s="1367"/>
      <c r="L2357" s="1367"/>
      <c r="M2357" s="1010"/>
    </row>
    <row r="2358">
      <c r="A2358" s="1375" t="s">
        <v>2046</v>
      </c>
      <c r="B2358" s="1380">
        <f t="shared" si="18"/>
        <v>0</v>
      </c>
      <c r="C2358" s="1367"/>
      <c r="D2358" s="1381" t="s">
        <v>2027</v>
      </c>
      <c r="E2358" s="1165">
        <v>3.0</v>
      </c>
      <c r="F2358" s="1367"/>
      <c r="G2358" s="1367" t="s">
        <v>2027</v>
      </c>
      <c r="H2358" s="1367" t="s">
        <v>4173</v>
      </c>
      <c r="I2358" s="1367" t="s">
        <v>4234</v>
      </c>
      <c r="J2358" s="1367">
        <v>3.0</v>
      </c>
      <c r="K2358" s="1367"/>
      <c r="L2358" s="1367"/>
      <c r="M2358" s="1010"/>
    </row>
    <row r="2359">
      <c r="A2359" s="1375" t="s">
        <v>1900</v>
      </c>
      <c r="B2359" s="1380">
        <f t="shared" si="18"/>
        <v>1</v>
      </c>
      <c r="C2359" s="1367"/>
      <c r="D2359" s="1381" t="s">
        <v>2028</v>
      </c>
      <c r="E2359" s="1165">
        <v>8.0</v>
      </c>
      <c r="F2359" s="1367"/>
      <c r="G2359" s="1367" t="s">
        <v>2028</v>
      </c>
      <c r="H2359" s="1367" t="s">
        <v>4173</v>
      </c>
      <c r="I2359" s="1367" t="s">
        <v>4233</v>
      </c>
      <c r="J2359" s="1367">
        <v>8.0</v>
      </c>
      <c r="K2359" s="1367"/>
      <c r="L2359" s="1367"/>
      <c r="M2359" s="1010"/>
    </row>
    <row r="2360">
      <c r="A2360" s="1375" t="s">
        <v>2050</v>
      </c>
      <c r="B2360" s="1380">
        <f t="shared" si="18"/>
        <v>7</v>
      </c>
      <c r="C2360" s="1367"/>
      <c r="D2360" s="1381" t="s">
        <v>2028</v>
      </c>
      <c r="E2360" s="1165">
        <v>11.0</v>
      </c>
      <c r="F2360" s="1367"/>
      <c r="G2360" s="1367" t="s">
        <v>2028</v>
      </c>
      <c r="H2360" s="1367" t="s">
        <v>4173</v>
      </c>
      <c r="I2360" s="1367" t="s">
        <v>4234</v>
      </c>
      <c r="J2360" s="1367">
        <v>11.0</v>
      </c>
      <c r="K2360" s="1367"/>
      <c r="L2360" s="1367"/>
      <c r="M2360" s="1010"/>
    </row>
    <row r="2361">
      <c r="A2361" s="1375" t="s">
        <v>130</v>
      </c>
      <c r="B2361" s="1380">
        <f t="shared" si="18"/>
        <v>206</v>
      </c>
      <c r="C2361" s="1367"/>
      <c r="D2361" s="1381" t="s">
        <v>1034</v>
      </c>
      <c r="E2361" s="1165">
        <v>3.0</v>
      </c>
      <c r="F2361" s="1367"/>
      <c r="G2361" s="1367" t="s">
        <v>1034</v>
      </c>
      <c r="H2361" s="1367" t="s">
        <v>4173</v>
      </c>
      <c r="I2361" s="1367" t="s">
        <v>4233</v>
      </c>
      <c r="J2361" s="1367">
        <v>3.0</v>
      </c>
      <c r="K2361" s="1367"/>
      <c r="L2361" s="1367"/>
      <c r="M2361" s="1010"/>
    </row>
    <row r="2362">
      <c r="A2362" s="1375" t="s">
        <v>562</v>
      </c>
      <c r="B2362" s="1380">
        <f t="shared" si="18"/>
        <v>0</v>
      </c>
      <c r="C2362" s="1367"/>
      <c r="D2362" s="1381" t="s">
        <v>1034</v>
      </c>
      <c r="E2362" s="1165">
        <v>5.0</v>
      </c>
      <c r="F2362" s="1367"/>
      <c r="G2362" s="1367" t="s">
        <v>1034</v>
      </c>
      <c r="H2362" s="1367" t="s">
        <v>4173</v>
      </c>
      <c r="I2362" s="1367" t="s">
        <v>4234</v>
      </c>
      <c r="J2362" s="1367">
        <v>5.0</v>
      </c>
      <c r="K2362" s="1367"/>
      <c r="L2362" s="1367"/>
      <c r="M2362" s="1010"/>
    </row>
    <row r="2363">
      <c r="A2363" s="1375" t="s">
        <v>2052</v>
      </c>
      <c r="B2363" s="1380">
        <f t="shared" si="18"/>
        <v>2</v>
      </c>
      <c r="C2363" s="1367"/>
      <c r="D2363" s="1381" t="s">
        <v>93</v>
      </c>
      <c r="E2363" s="1165">
        <v>4.0</v>
      </c>
      <c r="F2363" s="1367"/>
      <c r="G2363" s="1367" t="s">
        <v>93</v>
      </c>
      <c r="H2363" s="1367" t="s">
        <v>4171</v>
      </c>
      <c r="I2363" s="1367" t="s">
        <v>4233</v>
      </c>
      <c r="J2363" s="1367">
        <v>4.0</v>
      </c>
      <c r="K2363" s="1367"/>
      <c r="L2363" s="1367"/>
      <c r="M2363" s="1010"/>
    </row>
    <row r="2364">
      <c r="A2364" s="1375" t="s">
        <v>485</v>
      </c>
      <c r="B2364" s="1380">
        <f t="shared" si="18"/>
        <v>79</v>
      </c>
      <c r="C2364" s="1367"/>
      <c r="D2364" s="1381" t="s">
        <v>93</v>
      </c>
      <c r="E2364" s="1165">
        <v>2.0</v>
      </c>
      <c r="F2364" s="1367"/>
      <c r="G2364" s="1367" t="s">
        <v>93</v>
      </c>
      <c r="H2364" s="1367" t="s">
        <v>4171</v>
      </c>
      <c r="I2364" s="1367" t="s">
        <v>4234</v>
      </c>
      <c r="J2364" s="1367">
        <v>2.0</v>
      </c>
      <c r="K2364" s="1367"/>
      <c r="L2364" s="1367"/>
      <c r="M2364" s="1010"/>
    </row>
    <row r="2365">
      <c r="A2365" s="1375" t="s">
        <v>2531</v>
      </c>
      <c r="B2365" s="1380">
        <f t="shared" si="18"/>
        <v>8</v>
      </c>
      <c r="C2365" s="1367"/>
      <c r="D2365" s="1381" t="s">
        <v>2029</v>
      </c>
      <c r="E2365" s="1165">
        <v>2.0</v>
      </c>
      <c r="F2365" s="1367"/>
      <c r="G2365" s="1367" t="s">
        <v>2029</v>
      </c>
      <c r="H2365" s="1367" t="s">
        <v>4169</v>
      </c>
      <c r="I2365" s="1367" t="s">
        <v>4233</v>
      </c>
      <c r="J2365" s="1367">
        <v>2.0</v>
      </c>
      <c r="K2365" s="1367"/>
      <c r="L2365" s="1367"/>
      <c r="M2365" s="1010"/>
    </row>
    <row r="2366">
      <c r="A2366" s="1375" t="s">
        <v>2057</v>
      </c>
      <c r="B2366" s="1380">
        <f t="shared" si="18"/>
        <v>0</v>
      </c>
      <c r="C2366" s="1367"/>
      <c r="D2366" s="1381" t="s">
        <v>2029</v>
      </c>
      <c r="E2366" s="1165">
        <v>7.0</v>
      </c>
      <c r="F2366" s="1367"/>
      <c r="G2366" s="1367" t="s">
        <v>2029</v>
      </c>
      <c r="H2366" s="1367" t="s">
        <v>4169</v>
      </c>
      <c r="I2366" s="1367" t="s">
        <v>4234</v>
      </c>
      <c r="J2366" s="1367">
        <v>7.0</v>
      </c>
      <c r="K2366" s="1367"/>
      <c r="L2366" s="1367"/>
      <c r="M2366" s="1010"/>
    </row>
    <row r="2367">
      <c r="A2367" s="1375" t="s">
        <v>2059</v>
      </c>
      <c r="B2367" s="1380">
        <f t="shared" si="18"/>
        <v>0</v>
      </c>
      <c r="C2367" s="1367"/>
      <c r="D2367" s="1381" t="s">
        <v>1149</v>
      </c>
      <c r="E2367" s="1165">
        <v>45.0</v>
      </c>
      <c r="F2367" s="1367"/>
      <c r="G2367" s="1367" t="s">
        <v>1149</v>
      </c>
      <c r="H2367" s="1367" t="s">
        <v>4168</v>
      </c>
      <c r="I2367" s="1367" t="s">
        <v>4233</v>
      </c>
      <c r="J2367" s="1367">
        <v>45.0</v>
      </c>
      <c r="K2367" s="1367"/>
      <c r="L2367" s="1367"/>
      <c r="M2367" s="1010"/>
    </row>
    <row r="2368">
      <c r="A2368" s="1375" t="s">
        <v>433</v>
      </c>
      <c r="B2368" s="1380">
        <f t="shared" si="18"/>
        <v>14</v>
      </c>
      <c r="C2368" s="1367"/>
      <c r="D2368" s="1381" t="s">
        <v>1149</v>
      </c>
      <c r="E2368" s="1165">
        <v>7.0</v>
      </c>
      <c r="F2368" s="1367"/>
      <c r="G2368" s="1367" t="s">
        <v>1149</v>
      </c>
      <c r="H2368" s="1367" t="s">
        <v>4168</v>
      </c>
      <c r="I2368" s="1367" t="s">
        <v>4234</v>
      </c>
      <c r="J2368" s="1367">
        <v>7.0</v>
      </c>
      <c r="K2368" s="1367"/>
      <c r="L2368" s="1367"/>
      <c r="M2368" s="1010"/>
    </row>
    <row r="2369">
      <c r="A2369" s="1375" t="s">
        <v>2061</v>
      </c>
      <c r="B2369" s="1380">
        <f t="shared" si="18"/>
        <v>8</v>
      </c>
      <c r="C2369" s="1367"/>
      <c r="D2369" s="1381" t="s">
        <v>2031</v>
      </c>
      <c r="E2369" s="1165">
        <v>3.0</v>
      </c>
      <c r="F2369" s="1367"/>
      <c r="G2369" s="1367" t="s">
        <v>2031</v>
      </c>
      <c r="H2369" s="1367" t="s">
        <v>4155</v>
      </c>
      <c r="I2369" s="1367" t="s">
        <v>4233</v>
      </c>
      <c r="J2369" s="1367">
        <v>3.0</v>
      </c>
      <c r="K2369" s="1367"/>
      <c r="L2369" s="1367"/>
      <c r="M2369" s="1010"/>
    </row>
    <row r="2370">
      <c r="A2370" s="1375" t="s">
        <v>2062</v>
      </c>
      <c r="B2370" s="1380">
        <f t="shared" si="18"/>
        <v>72</v>
      </c>
      <c r="C2370" s="1367"/>
      <c r="D2370" s="1381" t="s">
        <v>2031</v>
      </c>
      <c r="E2370" s="1165">
        <v>1.0</v>
      </c>
      <c r="F2370" s="1367"/>
      <c r="G2370" s="1367" t="s">
        <v>2031</v>
      </c>
      <c r="H2370" s="1367" t="s">
        <v>4155</v>
      </c>
      <c r="I2370" s="1367" t="s">
        <v>4234</v>
      </c>
      <c r="J2370" s="1367">
        <v>1.0</v>
      </c>
      <c r="K2370" s="1367"/>
      <c r="L2370" s="1367"/>
      <c r="M2370" s="1010"/>
    </row>
    <row r="2371">
      <c r="A2371" s="1375" t="s">
        <v>415</v>
      </c>
      <c r="B2371" s="1380">
        <f t="shared" si="18"/>
        <v>108</v>
      </c>
      <c r="C2371" s="1367"/>
      <c r="D2371" s="1381" t="s">
        <v>2032</v>
      </c>
      <c r="E2371" s="1165">
        <v>1.0</v>
      </c>
      <c r="F2371" s="1367"/>
      <c r="G2371" s="1367" t="s">
        <v>2032</v>
      </c>
      <c r="H2371" s="1367" t="s">
        <v>4170</v>
      </c>
      <c r="I2371" s="1367" t="s">
        <v>4233</v>
      </c>
      <c r="J2371" s="1367">
        <v>1.0</v>
      </c>
      <c r="K2371" s="1367"/>
      <c r="L2371" s="1367"/>
      <c r="M2371" s="1010"/>
    </row>
    <row r="2372">
      <c r="A2372" s="1375" t="s">
        <v>969</v>
      </c>
      <c r="B2372" s="1380">
        <f t="shared" si="18"/>
        <v>14</v>
      </c>
      <c r="C2372" s="1367"/>
      <c r="D2372" s="1381" t="s">
        <v>708</v>
      </c>
      <c r="E2372" s="1165">
        <v>2.0</v>
      </c>
      <c r="F2372" s="1367"/>
      <c r="G2372" s="1367" t="s">
        <v>708</v>
      </c>
      <c r="H2372" s="1367" t="s">
        <v>4155</v>
      </c>
      <c r="I2372" s="1367" t="s">
        <v>4233</v>
      </c>
      <c r="J2372" s="1367">
        <v>2.0</v>
      </c>
      <c r="K2372" s="1367"/>
      <c r="L2372" s="1367"/>
      <c r="M2372" s="1010"/>
    </row>
    <row r="2373">
      <c r="A2373" s="1375" t="s">
        <v>2064</v>
      </c>
      <c r="B2373" s="1380">
        <f t="shared" si="18"/>
        <v>8</v>
      </c>
      <c r="C2373" s="1367"/>
      <c r="D2373" s="1381" t="s">
        <v>708</v>
      </c>
      <c r="E2373" s="1165">
        <v>1.0</v>
      </c>
      <c r="F2373" s="1367"/>
      <c r="G2373" s="1367" t="s">
        <v>708</v>
      </c>
      <c r="H2373" s="1367" t="s">
        <v>4155</v>
      </c>
      <c r="I2373" s="1367" t="s">
        <v>4234</v>
      </c>
      <c r="J2373" s="1367">
        <v>1.0</v>
      </c>
      <c r="K2373" s="1367"/>
      <c r="L2373" s="1367"/>
      <c r="M2373" s="1010"/>
    </row>
    <row r="2374">
      <c r="A2374" s="1375" t="s">
        <v>2065</v>
      </c>
      <c r="B2374" s="1380">
        <f t="shared" si="18"/>
        <v>9</v>
      </c>
      <c r="C2374" s="1367"/>
      <c r="D2374" s="1381" t="s">
        <v>2033</v>
      </c>
      <c r="E2374" s="1165">
        <v>1.0</v>
      </c>
      <c r="F2374" s="1367"/>
      <c r="G2374" s="1367" t="s">
        <v>2033</v>
      </c>
      <c r="H2374" s="1367" t="s">
        <v>4170</v>
      </c>
      <c r="I2374" s="1367" t="s">
        <v>4233</v>
      </c>
      <c r="J2374" s="1367">
        <v>1.0</v>
      </c>
      <c r="K2374" s="1367"/>
      <c r="L2374" s="1367"/>
      <c r="M2374" s="1010"/>
    </row>
    <row r="2375">
      <c r="A2375" s="1375" t="s">
        <v>574</v>
      </c>
      <c r="B2375" s="1380">
        <f t="shared" si="18"/>
        <v>9</v>
      </c>
      <c r="C2375" s="1367"/>
      <c r="D2375" s="1381" t="s">
        <v>2033</v>
      </c>
      <c r="E2375" s="1165">
        <v>2.0</v>
      </c>
      <c r="F2375" s="1367"/>
      <c r="G2375" s="1367" t="s">
        <v>2033</v>
      </c>
      <c r="H2375" s="1367" t="s">
        <v>4170</v>
      </c>
      <c r="I2375" s="1367" t="s">
        <v>4234</v>
      </c>
      <c r="J2375" s="1367">
        <v>2.0</v>
      </c>
      <c r="K2375" s="1367"/>
      <c r="L2375" s="1367"/>
      <c r="M2375" s="1010"/>
    </row>
    <row r="2376">
      <c r="A2376" s="1375" t="s">
        <v>135</v>
      </c>
      <c r="B2376" s="1380">
        <f t="shared" si="18"/>
        <v>3</v>
      </c>
      <c r="C2376" s="1367"/>
      <c r="D2376" s="1381" t="s">
        <v>98</v>
      </c>
      <c r="E2376" s="1165">
        <v>2.0</v>
      </c>
      <c r="F2376" s="1367"/>
      <c r="G2376" s="1367" t="s">
        <v>98</v>
      </c>
      <c r="H2376" s="1367" t="s">
        <v>4172</v>
      </c>
      <c r="I2376" s="1367" t="s">
        <v>4233</v>
      </c>
      <c r="J2376" s="1367">
        <v>2.0</v>
      </c>
      <c r="K2376" s="1367"/>
      <c r="L2376" s="1367"/>
      <c r="M2376" s="1010"/>
    </row>
    <row r="2377">
      <c r="A2377" s="1375" t="s">
        <v>527</v>
      </c>
      <c r="B2377" s="1380">
        <f t="shared" si="18"/>
        <v>8</v>
      </c>
      <c r="C2377" s="1367"/>
      <c r="D2377" s="1381" t="s">
        <v>101</v>
      </c>
      <c r="E2377" s="1165">
        <v>4.0</v>
      </c>
      <c r="F2377" s="1367"/>
      <c r="G2377" s="1367" t="s">
        <v>101</v>
      </c>
      <c r="H2377" s="1367" t="s">
        <v>4155</v>
      </c>
      <c r="I2377" s="1367" t="s">
        <v>4233</v>
      </c>
      <c r="J2377" s="1367">
        <v>4.0</v>
      </c>
      <c r="K2377" s="1367"/>
      <c r="L2377" s="1367"/>
      <c r="M2377" s="1010"/>
    </row>
    <row r="2378">
      <c r="A2378" s="1375" t="s">
        <v>136</v>
      </c>
      <c r="B2378" s="1380">
        <f t="shared" si="18"/>
        <v>2</v>
      </c>
      <c r="C2378" s="1367"/>
      <c r="D2378" s="1381" t="s">
        <v>101</v>
      </c>
      <c r="E2378" s="1165">
        <v>10.0</v>
      </c>
      <c r="F2378" s="1367"/>
      <c r="G2378" s="1367" t="s">
        <v>101</v>
      </c>
      <c r="H2378" s="1367" t="s">
        <v>4155</v>
      </c>
      <c r="I2378" s="1367" t="s">
        <v>4234</v>
      </c>
      <c r="J2378" s="1367">
        <v>10.0</v>
      </c>
      <c r="K2378" s="1367"/>
      <c r="L2378" s="1367"/>
      <c r="M2378" s="1010"/>
    </row>
    <row r="2379">
      <c r="A2379" s="1375" t="s">
        <v>2068</v>
      </c>
      <c r="B2379" s="1380">
        <f t="shared" si="18"/>
        <v>8</v>
      </c>
      <c r="C2379" s="1367"/>
      <c r="D2379" s="1381" t="s">
        <v>2034</v>
      </c>
      <c r="E2379" s="1165">
        <v>3.0</v>
      </c>
      <c r="F2379" s="1367"/>
      <c r="G2379" s="1367" t="s">
        <v>2034</v>
      </c>
      <c r="H2379" s="1367" t="s">
        <v>4170</v>
      </c>
      <c r="I2379" s="1367" t="s">
        <v>4233</v>
      </c>
      <c r="J2379" s="1367">
        <v>3.0</v>
      </c>
      <c r="K2379" s="1367"/>
      <c r="L2379" s="1367"/>
      <c r="M2379" s="1010"/>
    </row>
    <row r="2380">
      <c r="A2380" s="1375" t="s">
        <v>2069</v>
      </c>
      <c r="B2380" s="1380">
        <f t="shared" si="18"/>
        <v>19</v>
      </c>
      <c r="C2380" s="1367"/>
      <c r="D2380" s="1381" t="s">
        <v>112</v>
      </c>
      <c r="E2380" s="1165">
        <v>3.0</v>
      </c>
      <c r="F2380" s="1367"/>
      <c r="G2380" s="1367" t="s">
        <v>112</v>
      </c>
      <c r="H2380" s="1367" t="s">
        <v>4169</v>
      </c>
      <c r="I2380" s="1367" t="s">
        <v>4234</v>
      </c>
      <c r="J2380" s="1367">
        <v>3.0</v>
      </c>
      <c r="K2380" s="1367"/>
      <c r="L2380" s="1367"/>
      <c r="M2380" s="1010"/>
    </row>
    <row r="2381">
      <c r="A2381" s="1375" t="s">
        <v>2070</v>
      </c>
      <c r="B2381" s="1380">
        <f t="shared" si="18"/>
        <v>0</v>
      </c>
      <c r="C2381" s="1367"/>
      <c r="D2381" s="1381" t="s">
        <v>2036</v>
      </c>
      <c r="E2381" s="1165">
        <v>3.0</v>
      </c>
      <c r="F2381" s="1367"/>
      <c r="G2381" s="1367" t="s">
        <v>2036</v>
      </c>
      <c r="H2381" s="1367" t="s">
        <v>4162</v>
      </c>
      <c r="I2381" s="1367" t="s">
        <v>4234</v>
      </c>
      <c r="J2381" s="1367">
        <v>3.0</v>
      </c>
      <c r="K2381" s="1367"/>
      <c r="L2381" s="1367"/>
      <c r="M2381" s="1010"/>
    </row>
    <row r="2382">
      <c r="A2382" s="1375" t="s">
        <v>2071</v>
      </c>
      <c r="B2382" s="1380">
        <f t="shared" si="18"/>
        <v>36</v>
      </c>
      <c r="C2382" s="1367"/>
      <c r="D2382" s="1381" t="s">
        <v>2037</v>
      </c>
      <c r="E2382" s="1165">
        <v>1.0</v>
      </c>
      <c r="F2382" s="1367"/>
      <c r="G2382" s="1367" t="s">
        <v>2037</v>
      </c>
      <c r="H2382" s="1367" t="s">
        <v>4169</v>
      </c>
      <c r="I2382" s="1367" t="s">
        <v>4233</v>
      </c>
      <c r="J2382" s="1367">
        <v>1.0</v>
      </c>
      <c r="K2382" s="1367"/>
      <c r="L2382" s="1367"/>
      <c r="M2382" s="1010"/>
    </row>
    <row r="2383">
      <c r="A2383" s="1375" t="s">
        <v>2072</v>
      </c>
      <c r="B2383" s="1380">
        <f t="shared" si="18"/>
        <v>1</v>
      </c>
      <c r="C2383" s="1367"/>
      <c r="D2383" s="1381" t="s">
        <v>2037</v>
      </c>
      <c r="E2383" s="1165">
        <v>1.0</v>
      </c>
      <c r="F2383" s="1367"/>
      <c r="G2383" s="1367" t="s">
        <v>2037</v>
      </c>
      <c r="H2383" s="1367" t="s">
        <v>4169</v>
      </c>
      <c r="I2383" s="1367" t="s">
        <v>4234</v>
      </c>
      <c r="J2383" s="1367">
        <v>1.0</v>
      </c>
      <c r="K2383" s="1367"/>
      <c r="L2383" s="1367"/>
      <c r="M2383" s="1010"/>
    </row>
    <row r="2384">
      <c r="A2384" s="1375" t="s">
        <v>2073</v>
      </c>
      <c r="B2384" s="1380">
        <f t="shared" si="18"/>
        <v>0</v>
      </c>
      <c r="C2384" s="1367"/>
      <c r="D2384" s="1381" t="s">
        <v>405</v>
      </c>
      <c r="E2384" s="1165">
        <v>27.0</v>
      </c>
      <c r="F2384" s="1367"/>
      <c r="G2384" s="1367" t="s">
        <v>405</v>
      </c>
      <c r="H2384" s="1367" t="s">
        <v>4176</v>
      </c>
      <c r="I2384" s="1367" t="s">
        <v>4233</v>
      </c>
      <c r="J2384" s="1367">
        <v>27.0</v>
      </c>
      <c r="K2384" s="1367"/>
      <c r="L2384" s="1367"/>
      <c r="M2384" s="1010"/>
    </row>
    <row r="2385">
      <c r="A2385" s="1375" t="s">
        <v>2075</v>
      </c>
      <c r="B2385" s="1380">
        <f t="shared" si="18"/>
        <v>3</v>
      </c>
      <c r="C2385" s="1367"/>
      <c r="D2385" s="1381" t="s">
        <v>405</v>
      </c>
      <c r="E2385" s="1165">
        <v>8.0</v>
      </c>
      <c r="F2385" s="1367"/>
      <c r="G2385" s="1367" t="s">
        <v>405</v>
      </c>
      <c r="H2385" s="1367" t="s">
        <v>4176</v>
      </c>
      <c r="I2385" s="1367" t="s">
        <v>4234</v>
      </c>
      <c r="J2385" s="1367">
        <v>8.0</v>
      </c>
      <c r="K2385" s="1367"/>
      <c r="L2385" s="1367"/>
      <c r="M2385" s="1010"/>
    </row>
    <row r="2386">
      <c r="A2386" s="1375" t="s">
        <v>2076</v>
      </c>
      <c r="B2386" s="1380">
        <f t="shared" si="18"/>
        <v>6</v>
      </c>
      <c r="C2386" s="1367"/>
      <c r="D2386" s="1381" t="s">
        <v>2038</v>
      </c>
      <c r="E2386" s="1165">
        <v>1.0</v>
      </c>
      <c r="F2386" s="1367"/>
      <c r="G2386" s="1367" t="s">
        <v>2038</v>
      </c>
      <c r="H2386" s="1367" t="s">
        <v>4170</v>
      </c>
      <c r="I2386" s="1367" t="s">
        <v>4234</v>
      </c>
      <c r="J2386" s="1367">
        <v>1.0</v>
      </c>
      <c r="K2386" s="1367"/>
      <c r="L2386" s="1367"/>
      <c r="M2386" s="1010"/>
    </row>
    <row r="2387">
      <c r="A2387" s="1375" t="s">
        <v>975</v>
      </c>
      <c r="B2387" s="1380">
        <f t="shared" si="18"/>
        <v>12</v>
      </c>
      <c r="C2387" s="1367"/>
      <c r="D2387" s="1381" t="s">
        <v>36</v>
      </c>
      <c r="E2387" s="1165">
        <v>1.0</v>
      </c>
      <c r="F2387" s="1367"/>
      <c r="G2387" s="1367" t="s">
        <v>36</v>
      </c>
      <c r="H2387" s="1367" t="s">
        <v>4172</v>
      </c>
      <c r="I2387" s="1367" t="s">
        <v>4233</v>
      </c>
      <c r="J2387" s="1367">
        <v>1.0</v>
      </c>
      <c r="K2387" s="1367"/>
      <c r="L2387" s="1367"/>
      <c r="M2387" s="1010"/>
    </row>
    <row r="2388">
      <c r="A2388" s="1375" t="s">
        <v>1072</v>
      </c>
      <c r="B2388" s="1380">
        <f t="shared" si="18"/>
        <v>33</v>
      </c>
      <c r="C2388" s="1367"/>
      <c r="D2388" s="1381" t="s">
        <v>2039</v>
      </c>
      <c r="E2388" s="1165">
        <v>10.0</v>
      </c>
      <c r="F2388" s="1367"/>
      <c r="G2388" s="1367" t="s">
        <v>2039</v>
      </c>
      <c r="H2388" s="1367" t="s">
        <v>4171</v>
      </c>
      <c r="I2388" s="1367" t="s">
        <v>4233</v>
      </c>
      <c r="J2388" s="1367">
        <v>10.0</v>
      </c>
      <c r="K2388" s="1367"/>
      <c r="L2388" s="1367"/>
      <c r="M2388" s="1010"/>
    </row>
    <row r="2389">
      <c r="A2389" s="1375" t="s">
        <v>2078</v>
      </c>
      <c r="B2389" s="1380">
        <f t="shared" si="18"/>
        <v>57</v>
      </c>
      <c r="C2389" s="1367"/>
      <c r="D2389" s="1381" t="s">
        <v>2039</v>
      </c>
      <c r="E2389" s="1165">
        <v>29.0</v>
      </c>
      <c r="F2389" s="1367"/>
      <c r="G2389" s="1367" t="s">
        <v>2039</v>
      </c>
      <c r="H2389" s="1367" t="s">
        <v>4171</v>
      </c>
      <c r="I2389" s="1367" t="s">
        <v>4234</v>
      </c>
      <c r="J2389" s="1367">
        <v>29.0</v>
      </c>
      <c r="K2389" s="1367"/>
      <c r="L2389" s="1367"/>
      <c r="M2389" s="1010"/>
    </row>
    <row r="2390">
      <c r="A2390" s="1375" t="s">
        <v>2079</v>
      </c>
      <c r="B2390" s="1380">
        <f t="shared" si="18"/>
        <v>2</v>
      </c>
      <c r="C2390" s="1367"/>
      <c r="D2390" s="1381" t="s">
        <v>964</v>
      </c>
      <c r="E2390" s="1165">
        <v>6.0</v>
      </c>
      <c r="F2390" s="1367"/>
      <c r="G2390" s="1367" t="s">
        <v>964</v>
      </c>
      <c r="H2390" s="1367" t="s">
        <v>4169</v>
      </c>
      <c r="I2390" s="1367" t="s">
        <v>4233</v>
      </c>
      <c r="J2390" s="1367">
        <v>6.0</v>
      </c>
      <c r="K2390" s="1367"/>
      <c r="L2390" s="1367"/>
      <c r="M2390" s="1010"/>
    </row>
    <row r="2391">
      <c r="A2391" s="1375" t="s">
        <v>1539</v>
      </c>
      <c r="B2391" s="1380">
        <f t="shared" si="18"/>
        <v>13</v>
      </c>
      <c r="C2391" s="1367"/>
      <c r="D2391" s="1381" t="s">
        <v>964</v>
      </c>
      <c r="E2391" s="1165">
        <v>2.0</v>
      </c>
      <c r="F2391" s="1367"/>
      <c r="G2391" s="1367" t="s">
        <v>964</v>
      </c>
      <c r="H2391" s="1367" t="s">
        <v>4169</v>
      </c>
      <c r="I2391" s="1367" t="s">
        <v>4234</v>
      </c>
      <c r="J2391" s="1367">
        <v>2.0</v>
      </c>
      <c r="K2391" s="1367"/>
      <c r="L2391" s="1367"/>
      <c r="M2391" s="1010"/>
    </row>
    <row r="2392">
      <c r="A2392" s="1375" t="s">
        <v>139</v>
      </c>
      <c r="B2392" s="1380">
        <f t="shared" si="18"/>
        <v>13</v>
      </c>
      <c r="C2392" s="1367"/>
      <c r="D2392" s="1381" t="s">
        <v>2042</v>
      </c>
      <c r="E2392" s="1165">
        <v>3.0</v>
      </c>
      <c r="F2392" s="1367"/>
      <c r="G2392" s="1367" t="s">
        <v>2042</v>
      </c>
      <c r="H2392" s="1367" t="s">
        <v>4176</v>
      </c>
      <c r="I2392" s="1367" t="s">
        <v>4233</v>
      </c>
      <c r="J2392" s="1367">
        <v>3.0</v>
      </c>
      <c r="K2392" s="1367"/>
      <c r="L2392" s="1367"/>
      <c r="M2392" s="1010"/>
    </row>
    <row r="2393">
      <c r="A2393" s="1375" t="s">
        <v>586</v>
      </c>
      <c r="B2393" s="1380">
        <f t="shared" si="18"/>
        <v>0</v>
      </c>
      <c r="C2393" s="1367"/>
      <c r="D2393" s="1381" t="s">
        <v>2042</v>
      </c>
      <c r="E2393" s="1165">
        <v>5.0</v>
      </c>
      <c r="F2393" s="1367"/>
      <c r="G2393" s="1367" t="s">
        <v>2042</v>
      </c>
      <c r="H2393" s="1367" t="s">
        <v>4176</v>
      </c>
      <c r="I2393" s="1367" t="s">
        <v>4234</v>
      </c>
      <c r="J2393" s="1367">
        <v>5.0</v>
      </c>
      <c r="K2393" s="1367"/>
      <c r="L2393" s="1367"/>
      <c r="M2393" s="1010"/>
    </row>
    <row r="2394">
      <c r="A2394" s="1375" t="s">
        <v>497</v>
      </c>
      <c r="B2394" s="1380">
        <f t="shared" si="18"/>
        <v>2</v>
      </c>
      <c r="C2394" s="1367"/>
      <c r="D2394" s="1381" t="s">
        <v>2043</v>
      </c>
      <c r="E2394" s="1165">
        <v>2.0</v>
      </c>
      <c r="F2394" s="1367"/>
      <c r="G2394" s="1367" t="s">
        <v>2043</v>
      </c>
      <c r="H2394" s="1367" t="s">
        <v>4173</v>
      </c>
      <c r="I2394" s="1367" t="s">
        <v>4233</v>
      </c>
      <c r="J2394" s="1367">
        <v>2.0</v>
      </c>
      <c r="K2394" s="1367"/>
      <c r="L2394" s="1367"/>
      <c r="M2394" s="1010"/>
    </row>
    <row r="2395">
      <c r="A2395" s="1375" t="s">
        <v>1915</v>
      </c>
      <c r="B2395" s="1380">
        <f t="shared" si="18"/>
        <v>0</v>
      </c>
      <c r="C2395" s="1367"/>
      <c r="D2395" s="1381" t="s">
        <v>2043</v>
      </c>
      <c r="E2395" s="1165">
        <v>4.0</v>
      </c>
      <c r="F2395" s="1367"/>
      <c r="G2395" s="1367" t="s">
        <v>2043</v>
      </c>
      <c r="H2395" s="1367" t="s">
        <v>4173</v>
      </c>
      <c r="I2395" s="1367" t="s">
        <v>4234</v>
      </c>
      <c r="J2395" s="1367">
        <v>4.0</v>
      </c>
      <c r="K2395" s="1367"/>
      <c r="L2395" s="1367"/>
      <c r="M2395" s="1010"/>
    </row>
    <row r="2396">
      <c r="A2396" s="1375" t="s">
        <v>721</v>
      </c>
      <c r="B2396" s="1380">
        <f t="shared" si="18"/>
        <v>9</v>
      </c>
      <c r="C2396" s="1367"/>
      <c r="D2396" s="1381" t="s">
        <v>2044</v>
      </c>
      <c r="E2396" s="1165">
        <v>1.0</v>
      </c>
      <c r="F2396" s="1367"/>
      <c r="G2396" s="1367" t="s">
        <v>2044</v>
      </c>
      <c r="H2396" s="1367" t="s">
        <v>4169</v>
      </c>
      <c r="I2396" s="1367" t="s">
        <v>4234</v>
      </c>
      <c r="J2396" s="1367">
        <v>1.0</v>
      </c>
      <c r="K2396" s="1367"/>
      <c r="L2396" s="1367"/>
      <c r="M2396" s="1010"/>
    </row>
    <row r="2397">
      <c r="A2397" s="1375" t="s">
        <v>218</v>
      </c>
      <c r="B2397" s="1380">
        <f t="shared" si="18"/>
        <v>411</v>
      </c>
      <c r="C2397" s="1367"/>
      <c r="D2397" s="1381" t="s">
        <v>1900</v>
      </c>
      <c r="E2397" s="1165">
        <v>1.0</v>
      </c>
      <c r="F2397" s="1367"/>
      <c r="G2397" s="1367" t="s">
        <v>1900</v>
      </c>
      <c r="H2397" s="1367" t="s">
        <v>4162</v>
      </c>
      <c r="I2397" s="1367" t="s">
        <v>4233</v>
      </c>
      <c r="J2397" s="1367">
        <v>1.0</v>
      </c>
      <c r="K2397" s="1367"/>
      <c r="L2397" s="1367"/>
      <c r="M2397" s="1010"/>
    </row>
    <row r="2398">
      <c r="A2398" s="1375" t="s">
        <v>775</v>
      </c>
      <c r="B2398" s="1380">
        <f t="shared" si="18"/>
        <v>14</v>
      </c>
      <c r="C2398" s="1367"/>
      <c r="D2398" s="1381" t="s">
        <v>2047</v>
      </c>
      <c r="E2398" s="1165">
        <v>1.0</v>
      </c>
      <c r="F2398" s="1367"/>
      <c r="G2398" s="1367" t="s">
        <v>2047</v>
      </c>
      <c r="H2398" s="1367" t="s">
        <v>4170</v>
      </c>
      <c r="I2398" s="1367" t="s">
        <v>4234</v>
      </c>
      <c r="J2398" s="1367">
        <v>1.0</v>
      </c>
      <c r="K2398" s="1367"/>
      <c r="L2398" s="1367"/>
      <c r="M2398" s="1010"/>
    </row>
    <row r="2399">
      <c r="A2399" s="1375" t="s">
        <v>980</v>
      </c>
      <c r="B2399" s="1380">
        <f t="shared" si="18"/>
        <v>2</v>
      </c>
      <c r="C2399" s="1367"/>
      <c r="D2399" s="1381" t="s">
        <v>2050</v>
      </c>
      <c r="E2399" s="1165">
        <v>3.0</v>
      </c>
      <c r="F2399" s="1367"/>
      <c r="G2399" s="1367" t="s">
        <v>2050</v>
      </c>
      <c r="H2399" s="1367" t="s">
        <v>4170</v>
      </c>
      <c r="I2399" s="1367" t="s">
        <v>4233</v>
      </c>
      <c r="J2399" s="1367">
        <v>3.0</v>
      </c>
      <c r="K2399" s="1367"/>
      <c r="L2399" s="1367"/>
      <c r="M2399" s="1010"/>
    </row>
    <row r="2400">
      <c r="A2400" s="1375" t="s">
        <v>2083</v>
      </c>
      <c r="B2400" s="1380">
        <f t="shared" si="18"/>
        <v>25</v>
      </c>
      <c r="C2400" s="1367"/>
      <c r="D2400" s="1381" t="s">
        <v>2050</v>
      </c>
      <c r="E2400" s="1165">
        <v>4.0</v>
      </c>
      <c r="F2400" s="1367"/>
      <c r="G2400" s="1367" t="s">
        <v>2050</v>
      </c>
      <c r="H2400" s="1367" t="s">
        <v>4170</v>
      </c>
      <c r="I2400" s="1367" t="s">
        <v>4234</v>
      </c>
      <c r="J2400" s="1367">
        <v>4.0</v>
      </c>
      <c r="K2400" s="1367"/>
      <c r="L2400" s="1367"/>
      <c r="M2400" s="1010"/>
    </row>
    <row r="2401">
      <c r="A2401" s="1375" t="s">
        <v>722</v>
      </c>
      <c r="B2401" s="1380">
        <f t="shared" si="18"/>
        <v>36</v>
      </c>
      <c r="C2401" s="1367"/>
      <c r="D2401" s="1381" t="s">
        <v>130</v>
      </c>
      <c r="E2401" s="1165">
        <v>121.0</v>
      </c>
      <c r="F2401" s="1367"/>
      <c r="G2401" s="1367" t="s">
        <v>130</v>
      </c>
      <c r="H2401" s="1367" t="s">
        <v>4176</v>
      </c>
      <c r="I2401" s="1367" t="s">
        <v>4233</v>
      </c>
      <c r="J2401" s="1367">
        <v>121.0</v>
      </c>
      <c r="K2401" s="1367"/>
      <c r="L2401" s="1367"/>
      <c r="M2401" s="1010"/>
    </row>
    <row r="2402">
      <c r="A2402" s="1375" t="s">
        <v>480</v>
      </c>
      <c r="B2402" s="1380">
        <f t="shared" si="18"/>
        <v>27</v>
      </c>
      <c r="C2402" s="1367"/>
      <c r="D2402" s="1381" t="s">
        <v>130</v>
      </c>
      <c r="E2402" s="1165">
        <v>85.0</v>
      </c>
      <c r="F2402" s="1367"/>
      <c r="G2402" s="1367" t="s">
        <v>130</v>
      </c>
      <c r="H2402" s="1367" t="s">
        <v>4176</v>
      </c>
      <c r="I2402" s="1367" t="s">
        <v>4234</v>
      </c>
      <c r="J2402" s="1367">
        <v>85.0</v>
      </c>
      <c r="K2402" s="1367"/>
      <c r="L2402" s="1367"/>
      <c r="M2402" s="1010"/>
    </row>
    <row r="2403">
      <c r="A2403" s="1375" t="s">
        <v>1445</v>
      </c>
      <c r="B2403" s="1380">
        <f t="shared" si="18"/>
        <v>23</v>
      </c>
      <c r="C2403" s="1367"/>
      <c r="D2403" s="1381" t="s">
        <v>2052</v>
      </c>
      <c r="E2403" s="1165">
        <v>2.0</v>
      </c>
      <c r="F2403" s="1367"/>
      <c r="G2403" s="1367" t="s">
        <v>2052</v>
      </c>
      <c r="H2403" s="1367" t="s">
        <v>4170</v>
      </c>
      <c r="I2403" s="1367" t="s">
        <v>4233</v>
      </c>
      <c r="J2403" s="1367">
        <v>2.0</v>
      </c>
      <c r="K2403" s="1367"/>
      <c r="L2403" s="1367"/>
      <c r="M2403" s="1010"/>
    </row>
    <row r="2404">
      <c r="A2404" s="1375" t="s">
        <v>2087</v>
      </c>
      <c r="B2404" s="1380">
        <f t="shared" si="18"/>
        <v>9</v>
      </c>
      <c r="C2404" s="1367"/>
      <c r="D2404" s="1381" t="s">
        <v>485</v>
      </c>
      <c r="E2404" s="1165">
        <v>40.0</v>
      </c>
      <c r="F2404" s="1367"/>
      <c r="G2404" s="1367" t="s">
        <v>485</v>
      </c>
      <c r="H2404" s="1367" t="s">
        <v>4176</v>
      </c>
      <c r="I2404" s="1367" t="s">
        <v>4233</v>
      </c>
      <c r="J2404" s="1367">
        <v>40.0</v>
      </c>
      <c r="K2404" s="1367"/>
      <c r="L2404" s="1367"/>
      <c r="M2404" s="1010"/>
    </row>
    <row r="2405">
      <c r="A2405" s="1375" t="s">
        <v>2088</v>
      </c>
      <c r="B2405" s="1380">
        <f t="shared" si="18"/>
        <v>11</v>
      </c>
      <c r="C2405" s="1367"/>
      <c r="D2405" s="1381" t="s">
        <v>485</v>
      </c>
      <c r="E2405" s="1165">
        <v>39.0</v>
      </c>
      <c r="F2405" s="1367"/>
      <c r="G2405" s="1367" t="s">
        <v>485</v>
      </c>
      <c r="H2405" s="1367" t="s">
        <v>4176</v>
      </c>
      <c r="I2405" s="1367" t="s">
        <v>4234</v>
      </c>
      <c r="J2405" s="1367">
        <v>39.0</v>
      </c>
      <c r="K2405" s="1367"/>
      <c r="L2405" s="1367"/>
      <c r="M2405" s="1010"/>
    </row>
    <row r="2406">
      <c r="A2406" s="1375" t="s">
        <v>1099</v>
      </c>
      <c r="B2406" s="1380">
        <f t="shared" si="18"/>
        <v>15</v>
      </c>
      <c r="C2406" s="1367"/>
      <c r="D2406" s="1381" t="s">
        <v>2531</v>
      </c>
      <c r="E2406" s="1165">
        <v>5.0</v>
      </c>
      <c r="F2406" s="1367"/>
      <c r="G2406" s="1367" t="s">
        <v>2531</v>
      </c>
      <c r="H2406" s="1367" t="s">
        <v>4171</v>
      </c>
      <c r="I2406" s="1367" t="s">
        <v>4233</v>
      </c>
      <c r="J2406" s="1367">
        <v>5.0</v>
      </c>
      <c r="K2406" s="1367"/>
      <c r="L2406" s="1367"/>
      <c r="M2406" s="1010"/>
    </row>
    <row r="2407">
      <c r="A2407" s="1375" t="s">
        <v>141</v>
      </c>
      <c r="B2407" s="1380">
        <f t="shared" si="18"/>
        <v>6</v>
      </c>
      <c r="C2407" s="1367"/>
      <c r="D2407" s="1381" t="s">
        <v>2531</v>
      </c>
      <c r="E2407" s="1165">
        <v>3.0</v>
      </c>
      <c r="F2407" s="1367"/>
      <c r="G2407" s="1367" t="s">
        <v>2531</v>
      </c>
      <c r="H2407" s="1367" t="s">
        <v>4171</v>
      </c>
      <c r="I2407" s="1367" t="s">
        <v>4234</v>
      </c>
      <c r="J2407" s="1367">
        <v>3.0</v>
      </c>
      <c r="K2407" s="1367"/>
      <c r="L2407" s="1367"/>
      <c r="M2407" s="1010"/>
    </row>
    <row r="2408">
      <c r="A2408" s="1375" t="s">
        <v>283</v>
      </c>
      <c r="B2408" s="1380">
        <f t="shared" si="18"/>
        <v>5</v>
      </c>
      <c r="C2408" s="1367"/>
      <c r="D2408" s="1381" t="s">
        <v>433</v>
      </c>
      <c r="E2408" s="1165">
        <v>8.0</v>
      </c>
      <c r="F2408" s="1367"/>
      <c r="G2408" s="1367" t="s">
        <v>433</v>
      </c>
      <c r="H2408" s="1367" t="s">
        <v>4168</v>
      </c>
      <c r="I2408" s="1367" t="s">
        <v>4233</v>
      </c>
      <c r="J2408" s="1367">
        <v>8.0</v>
      </c>
      <c r="K2408" s="1367"/>
      <c r="L2408" s="1367"/>
      <c r="M2408" s="1010"/>
    </row>
    <row r="2409">
      <c r="A2409" s="1375" t="s">
        <v>2090</v>
      </c>
      <c r="B2409" s="1380">
        <f t="shared" si="18"/>
        <v>21</v>
      </c>
      <c r="C2409" s="1367"/>
      <c r="D2409" s="1381" t="s">
        <v>433</v>
      </c>
      <c r="E2409" s="1165">
        <v>6.0</v>
      </c>
      <c r="F2409" s="1367"/>
      <c r="G2409" s="1367" t="s">
        <v>433</v>
      </c>
      <c r="H2409" s="1367" t="s">
        <v>4168</v>
      </c>
      <c r="I2409" s="1367" t="s">
        <v>4234</v>
      </c>
      <c r="J2409" s="1367">
        <v>6.0</v>
      </c>
      <c r="K2409" s="1367"/>
      <c r="L2409" s="1367"/>
      <c r="M2409" s="1010"/>
    </row>
    <row r="2410">
      <c r="A2410" s="1375" t="s">
        <v>1860</v>
      </c>
      <c r="B2410" s="1380">
        <f t="shared" si="18"/>
        <v>14</v>
      </c>
      <c r="C2410" s="1367"/>
      <c r="D2410" s="1381" t="s">
        <v>2061</v>
      </c>
      <c r="E2410" s="1165">
        <v>2.0</v>
      </c>
      <c r="F2410" s="1367"/>
      <c r="G2410" s="1367" t="s">
        <v>2061</v>
      </c>
      <c r="H2410" s="1367" t="s">
        <v>4169</v>
      </c>
      <c r="I2410" s="1367" t="s">
        <v>4233</v>
      </c>
      <c r="J2410" s="1367">
        <v>2.0</v>
      </c>
      <c r="K2410" s="1367"/>
      <c r="L2410" s="1367"/>
      <c r="M2410" s="1010"/>
    </row>
    <row r="2411">
      <c r="A2411" s="1375" t="s">
        <v>2093</v>
      </c>
      <c r="B2411" s="1380">
        <f t="shared" si="18"/>
        <v>0</v>
      </c>
      <c r="C2411" s="1367"/>
      <c r="D2411" s="1381" t="s">
        <v>2061</v>
      </c>
      <c r="E2411" s="1165">
        <v>6.0</v>
      </c>
      <c r="F2411" s="1367"/>
      <c r="G2411" s="1367" t="s">
        <v>2061</v>
      </c>
      <c r="H2411" s="1367" t="s">
        <v>4169</v>
      </c>
      <c r="I2411" s="1367" t="s">
        <v>4234</v>
      </c>
      <c r="J2411" s="1367">
        <v>6.0</v>
      </c>
      <c r="K2411" s="1367"/>
      <c r="L2411" s="1367"/>
      <c r="M2411" s="1010"/>
    </row>
    <row r="2412">
      <c r="A2412" s="1375" t="s">
        <v>2094</v>
      </c>
      <c r="B2412" s="1380">
        <f t="shared" si="18"/>
        <v>3</v>
      </c>
      <c r="C2412" s="1367"/>
      <c r="D2412" s="1381" t="s">
        <v>2062</v>
      </c>
      <c r="E2412" s="1165">
        <v>25.0</v>
      </c>
      <c r="F2412" s="1367"/>
      <c r="G2412" s="1367" t="s">
        <v>2062</v>
      </c>
      <c r="H2412" s="1367" t="s">
        <v>4162</v>
      </c>
      <c r="I2412" s="1367" t="s">
        <v>4233</v>
      </c>
      <c r="J2412" s="1367">
        <v>25.0</v>
      </c>
      <c r="K2412" s="1367"/>
      <c r="L2412" s="1367"/>
      <c r="M2412" s="1010"/>
    </row>
    <row r="2413">
      <c r="A2413" s="1375" t="s">
        <v>142</v>
      </c>
      <c r="B2413" s="1380">
        <f t="shared" si="18"/>
        <v>1</v>
      </c>
      <c r="C2413" s="1367"/>
      <c r="D2413" s="1381" t="s">
        <v>2062</v>
      </c>
      <c r="E2413" s="1165">
        <v>47.0</v>
      </c>
      <c r="F2413" s="1367"/>
      <c r="G2413" s="1367" t="s">
        <v>2062</v>
      </c>
      <c r="H2413" s="1367" t="s">
        <v>4162</v>
      </c>
      <c r="I2413" s="1367" t="s">
        <v>4234</v>
      </c>
      <c r="J2413" s="1367">
        <v>47.0</v>
      </c>
      <c r="K2413" s="1367"/>
      <c r="L2413" s="1367"/>
      <c r="M2413" s="1010"/>
    </row>
    <row r="2414">
      <c r="A2414" s="1375" t="s">
        <v>593</v>
      </c>
      <c r="B2414" s="1380">
        <f t="shared" si="18"/>
        <v>13</v>
      </c>
      <c r="C2414" s="1367"/>
      <c r="D2414" s="1381" t="s">
        <v>969</v>
      </c>
      <c r="E2414" s="1165">
        <v>13.0</v>
      </c>
      <c r="F2414" s="1367"/>
      <c r="G2414" s="1367" t="s">
        <v>969</v>
      </c>
      <c r="H2414" s="1367" t="s">
        <v>4176</v>
      </c>
      <c r="I2414" s="1367" t="s">
        <v>4233</v>
      </c>
      <c r="J2414" s="1367">
        <v>13.0</v>
      </c>
      <c r="K2414" s="1367"/>
      <c r="L2414" s="1367"/>
      <c r="M2414" s="1010"/>
    </row>
    <row r="2415">
      <c r="A2415" s="1375" t="s">
        <v>143</v>
      </c>
      <c r="B2415" s="1380">
        <f t="shared" si="18"/>
        <v>121</v>
      </c>
      <c r="C2415" s="1367"/>
      <c r="D2415" s="1381" t="s">
        <v>969</v>
      </c>
      <c r="E2415" s="1165">
        <v>1.0</v>
      </c>
      <c r="F2415" s="1367"/>
      <c r="G2415" s="1367" t="s">
        <v>969</v>
      </c>
      <c r="H2415" s="1367" t="s">
        <v>4176</v>
      </c>
      <c r="I2415" s="1367" t="s">
        <v>4234</v>
      </c>
      <c r="J2415" s="1367">
        <v>1.0</v>
      </c>
      <c r="K2415" s="1367"/>
      <c r="L2415" s="1367"/>
      <c r="M2415" s="1010"/>
    </row>
    <row r="2416">
      <c r="A2416" s="1375" t="s">
        <v>2095</v>
      </c>
      <c r="B2416" s="1380">
        <f t="shared" si="18"/>
        <v>3</v>
      </c>
      <c r="C2416" s="1367"/>
      <c r="D2416" s="1381" t="s">
        <v>415</v>
      </c>
      <c r="E2416" s="1165">
        <v>48.0</v>
      </c>
      <c r="F2416" s="1367"/>
      <c r="G2416" s="1367" t="s">
        <v>415</v>
      </c>
      <c r="H2416" s="1367" t="s">
        <v>4175</v>
      </c>
      <c r="I2416" s="1367" t="s">
        <v>4233</v>
      </c>
      <c r="J2416" s="1367">
        <v>48.0</v>
      </c>
      <c r="K2416" s="1367"/>
      <c r="L2416" s="1367"/>
      <c r="M2416" s="1010"/>
    </row>
    <row r="2417">
      <c r="A2417" s="1375" t="s">
        <v>2096</v>
      </c>
      <c r="B2417" s="1380">
        <f t="shared" si="18"/>
        <v>24</v>
      </c>
      <c r="C2417" s="1367"/>
      <c r="D2417" s="1381" t="s">
        <v>415</v>
      </c>
      <c r="E2417" s="1165">
        <v>60.0</v>
      </c>
      <c r="F2417" s="1367"/>
      <c r="G2417" s="1367" t="s">
        <v>415</v>
      </c>
      <c r="H2417" s="1367" t="s">
        <v>4175</v>
      </c>
      <c r="I2417" s="1367" t="s">
        <v>4234</v>
      </c>
      <c r="J2417" s="1367">
        <v>60.0</v>
      </c>
      <c r="K2417" s="1367"/>
      <c r="L2417" s="1367"/>
      <c r="M2417" s="1010"/>
    </row>
    <row r="2418">
      <c r="A2418" s="1375" t="s">
        <v>288</v>
      </c>
      <c r="B2418" s="1380">
        <f t="shared" si="18"/>
        <v>24</v>
      </c>
      <c r="C2418" s="1367"/>
      <c r="D2418" s="1381" t="s">
        <v>2064</v>
      </c>
      <c r="E2418" s="1165">
        <v>8.0</v>
      </c>
      <c r="F2418" s="1367"/>
      <c r="G2418" s="1367" t="s">
        <v>2064</v>
      </c>
      <c r="H2418" s="1367" t="s">
        <v>4176</v>
      </c>
      <c r="I2418" s="1367" t="s">
        <v>4233</v>
      </c>
      <c r="J2418" s="1367">
        <v>8.0</v>
      </c>
      <c r="K2418" s="1367"/>
      <c r="L2418" s="1367"/>
      <c r="M2418" s="1010"/>
    </row>
    <row r="2419">
      <c r="A2419" s="1375" t="s">
        <v>598</v>
      </c>
      <c r="B2419" s="1380">
        <f t="shared" si="18"/>
        <v>9</v>
      </c>
      <c r="C2419" s="1367"/>
      <c r="D2419" s="1381" t="s">
        <v>2065</v>
      </c>
      <c r="E2419" s="1165">
        <v>3.0</v>
      </c>
      <c r="F2419" s="1367"/>
      <c r="G2419" s="1367" t="s">
        <v>2065</v>
      </c>
      <c r="H2419" s="1367" t="s">
        <v>4173</v>
      </c>
      <c r="I2419" s="1367" t="s">
        <v>4233</v>
      </c>
      <c r="J2419" s="1367">
        <v>3.0</v>
      </c>
      <c r="K2419" s="1367"/>
      <c r="L2419" s="1367"/>
      <c r="M2419" s="1010"/>
    </row>
    <row r="2420">
      <c r="A2420" s="1375" t="s">
        <v>2097</v>
      </c>
      <c r="B2420" s="1380">
        <f t="shared" si="18"/>
        <v>7</v>
      </c>
      <c r="C2420" s="1367"/>
      <c r="D2420" s="1381" t="s">
        <v>2065</v>
      </c>
      <c r="E2420" s="1165">
        <v>6.0</v>
      </c>
      <c r="F2420" s="1367"/>
      <c r="G2420" s="1367" t="s">
        <v>2065</v>
      </c>
      <c r="H2420" s="1367" t="s">
        <v>4173</v>
      </c>
      <c r="I2420" s="1367" t="s">
        <v>4234</v>
      </c>
      <c r="J2420" s="1367">
        <v>6.0</v>
      </c>
      <c r="K2420" s="1367"/>
      <c r="L2420" s="1367"/>
      <c r="M2420" s="1010"/>
    </row>
    <row r="2421">
      <c r="A2421" s="1375" t="s">
        <v>2098</v>
      </c>
      <c r="B2421" s="1380">
        <f t="shared" si="18"/>
        <v>6</v>
      </c>
      <c r="C2421" s="1367"/>
      <c r="D2421" s="1381" t="s">
        <v>574</v>
      </c>
      <c r="E2421" s="1165">
        <v>6.0</v>
      </c>
      <c r="F2421" s="1367"/>
      <c r="G2421" s="1367" t="s">
        <v>574</v>
      </c>
      <c r="H2421" s="1367" t="s">
        <v>4176</v>
      </c>
      <c r="I2421" s="1367" t="s">
        <v>4233</v>
      </c>
      <c r="J2421" s="1367">
        <v>6.0</v>
      </c>
      <c r="K2421" s="1367"/>
      <c r="L2421" s="1367"/>
      <c r="M2421" s="1010"/>
    </row>
    <row r="2422">
      <c r="A2422" s="1375" t="s">
        <v>727</v>
      </c>
      <c r="B2422" s="1380">
        <f t="shared" si="18"/>
        <v>3</v>
      </c>
      <c r="C2422" s="1367"/>
      <c r="D2422" s="1381" t="s">
        <v>574</v>
      </c>
      <c r="E2422" s="1165">
        <v>3.0</v>
      </c>
      <c r="F2422" s="1367"/>
      <c r="G2422" s="1367" t="s">
        <v>574</v>
      </c>
      <c r="H2422" s="1367" t="s">
        <v>4176</v>
      </c>
      <c r="I2422" s="1367" t="s">
        <v>4234</v>
      </c>
      <c r="J2422" s="1367">
        <v>3.0</v>
      </c>
      <c r="K2422" s="1367"/>
      <c r="L2422" s="1367"/>
      <c r="M2422" s="1010"/>
    </row>
    <row r="2423">
      <c r="A2423" s="1375" t="s">
        <v>2100</v>
      </c>
      <c r="B2423" s="1380">
        <f t="shared" si="18"/>
        <v>7</v>
      </c>
      <c r="C2423" s="1367"/>
      <c r="D2423" s="1381" t="s">
        <v>135</v>
      </c>
      <c r="E2423" s="1165">
        <v>1.0</v>
      </c>
      <c r="F2423" s="1367"/>
      <c r="G2423" s="1367" t="s">
        <v>135</v>
      </c>
      <c r="H2423" s="1367" t="s">
        <v>4173</v>
      </c>
      <c r="I2423" s="1367" t="s">
        <v>4233</v>
      </c>
      <c r="J2423" s="1367">
        <v>1.0</v>
      </c>
      <c r="K2423" s="1367"/>
      <c r="L2423" s="1367"/>
      <c r="M2423" s="1010"/>
    </row>
    <row r="2424">
      <c r="A2424" s="1375" t="s">
        <v>2101</v>
      </c>
      <c r="B2424" s="1380">
        <f t="shared" si="18"/>
        <v>1</v>
      </c>
      <c r="C2424" s="1367"/>
      <c r="D2424" s="1381" t="s">
        <v>135</v>
      </c>
      <c r="E2424" s="1165">
        <v>2.0</v>
      </c>
      <c r="F2424" s="1367"/>
      <c r="G2424" s="1367" t="s">
        <v>135</v>
      </c>
      <c r="H2424" s="1367" t="s">
        <v>4173</v>
      </c>
      <c r="I2424" s="1367" t="s">
        <v>4234</v>
      </c>
      <c r="J2424" s="1367">
        <v>2.0</v>
      </c>
      <c r="K2424" s="1367"/>
      <c r="L2424" s="1367"/>
      <c r="M2424" s="1010"/>
    </row>
    <row r="2425">
      <c r="A2425" s="1375" t="s">
        <v>2103</v>
      </c>
      <c r="B2425" s="1380">
        <f t="shared" si="18"/>
        <v>5</v>
      </c>
      <c r="C2425" s="1367"/>
      <c r="D2425" s="1381" t="s">
        <v>2067</v>
      </c>
      <c r="E2425" s="1165">
        <v>3.0</v>
      </c>
      <c r="F2425" s="1367"/>
      <c r="G2425" s="1367" t="s">
        <v>2067</v>
      </c>
      <c r="H2425" s="1367" t="s">
        <v>4169</v>
      </c>
      <c r="I2425" s="1367" t="s">
        <v>4234</v>
      </c>
      <c r="J2425" s="1367">
        <v>3.0</v>
      </c>
      <c r="K2425" s="1367"/>
      <c r="L2425" s="1367"/>
      <c r="M2425" s="1010"/>
    </row>
    <row r="2426">
      <c r="A2426" s="1375" t="s">
        <v>729</v>
      </c>
      <c r="B2426" s="1380">
        <f t="shared" si="18"/>
        <v>2</v>
      </c>
      <c r="C2426" s="1367"/>
      <c r="D2426" s="1381" t="s">
        <v>527</v>
      </c>
      <c r="E2426" s="1165">
        <v>3.0</v>
      </c>
      <c r="F2426" s="1367"/>
      <c r="G2426" s="1367" t="s">
        <v>527</v>
      </c>
      <c r="H2426" s="1367" t="s">
        <v>4172</v>
      </c>
      <c r="I2426" s="1367" t="s">
        <v>4233</v>
      </c>
      <c r="J2426" s="1367">
        <v>3.0</v>
      </c>
      <c r="K2426" s="1367"/>
      <c r="L2426" s="1367"/>
      <c r="M2426" s="1010"/>
    </row>
    <row r="2427">
      <c r="A2427" s="1375" t="s">
        <v>144</v>
      </c>
      <c r="B2427" s="1380">
        <f t="shared" si="18"/>
        <v>32</v>
      </c>
      <c r="C2427" s="1367"/>
      <c r="D2427" s="1381" t="s">
        <v>527</v>
      </c>
      <c r="E2427" s="1165">
        <v>5.0</v>
      </c>
      <c r="F2427" s="1367"/>
      <c r="G2427" s="1367" t="s">
        <v>527</v>
      </c>
      <c r="H2427" s="1367" t="s">
        <v>4172</v>
      </c>
      <c r="I2427" s="1367" t="s">
        <v>4234</v>
      </c>
      <c r="J2427" s="1367">
        <v>5.0</v>
      </c>
      <c r="K2427" s="1367"/>
      <c r="L2427" s="1367"/>
      <c r="M2427" s="1010"/>
    </row>
    <row r="2428">
      <c r="A2428" s="1375" t="s">
        <v>2104</v>
      </c>
      <c r="B2428" s="1380">
        <f t="shared" si="18"/>
        <v>3</v>
      </c>
      <c r="C2428" s="1367"/>
      <c r="D2428" s="1381" t="s">
        <v>136</v>
      </c>
      <c r="E2428" s="1165">
        <v>2.0</v>
      </c>
      <c r="F2428" s="1367"/>
      <c r="G2428" s="1367" t="s">
        <v>136</v>
      </c>
      <c r="H2428" s="1367" t="s">
        <v>4155</v>
      </c>
      <c r="I2428" s="1367" t="s">
        <v>4234</v>
      </c>
      <c r="J2428" s="1367">
        <v>2.0</v>
      </c>
      <c r="K2428" s="1367"/>
      <c r="L2428" s="1367"/>
      <c r="M2428" s="1010"/>
    </row>
    <row r="2429">
      <c r="A2429" s="1375" t="s">
        <v>2105</v>
      </c>
      <c r="B2429" s="1380">
        <f t="shared" si="18"/>
        <v>13</v>
      </c>
      <c r="C2429" s="1367"/>
      <c r="D2429" s="1381" t="s">
        <v>2068</v>
      </c>
      <c r="E2429" s="1165">
        <v>1.0</v>
      </c>
      <c r="F2429" s="1367"/>
      <c r="G2429" s="1367" t="s">
        <v>2068</v>
      </c>
      <c r="H2429" s="1367" t="s">
        <v>4173</v>
      </c>
      <c r="I2429" s="1367" t="s">
        <v>4233</v>
      </c>
      <c r="J2429" s="1367">
        <v>1.0</v>
      </c>
      <c r="K2429" s="1367"/>
      <c r="L2429" s="1367"/>
      <c r="M2429" s="1010"/>
    </row>
    <row r="2430">
      <c r="A2430" s="1375" t="s">
        <v>2106</v>
      </c>
      <c r="B2430" s="1380">
        <f t="shared" si="18"/>
        <v>1</v>
      </c>
      <c r="C2430" s="1367"/>
      <c r="D2430" s="1381" t="s">
        <v>2068</v>
      </c>
      <c r="E2430" s="1165">
        <v>7.0</v>
      </c>
      <c r="F2430" s="1367"/>
      <c r="G2430" s="1367" t="s">
        <v>2068</v>
      </c>
      <c r="H2430" s="1367" t="s">
        <v>4173</v>
      </c>
      <c r="I2430" s="1367" t="s">
        <v>4234</v>
      </c>
      <c r="J2430" s="1367">
        <v>7.0</v>
      </c>
      <c r="K2430" s="1367"/>
      <c r="L2430" s="1367"/>
      <c r="M2430" s="1010"/>
    </row>
    <row r="2431">
      <c r="A2431" s="1375" t="s">
        <v>147</v>
      </c>
      <c r="B2431" s="1380">
        <f t="shared" si="18"/>
        <v>2</v>
      </c>
      <c r="C2431" s="1367"/>
      <c r="D2431" s="1381" t="s">
        <v>2069</v>
      </c>
      <c r="E2431" s="1165">
        <v>11.0</v>
      </c>
      <c r="F2431" s="1367"/>
      <c r="G2431" s="1367" t="s">
        <v>2069</v>
      </c>
      <c r="H2431" s="1367" t="s">
        <v>4171</v>
      </c>
      <c r="I2431" s="1367" t="s">
        <v>4233</v>
      </c>
      <c r="J2431" s="1367">
        <v>11.0</v>
      </c>
      <c r="K2431" s="1367"/>
      <c r="L2431" s="1367"/>
      <c r="M2431" s="1010"/>
    </row>
    <row r="2432">
      <c r="A2432" s="1375" t="s">
        <v>505</v>
      </c>
      <c r="B2432" s="1380">
        <f t="shared" si="18"/>
        <v>1</v>
      </c>
      <c r="C2432" s="1367"/>
      <c r="D2432" s="1381" t="s">
        <v>2069</v>
      </c>
      <c r="E2432" s="1165">
        <v>8.0</v>
      </c>
      <c r="F2432" s="1367"/>
      <c r="G2432" s="1367" t="s">
        <v>2069</v>
      </c>
      <c r="H2432" s="1367" t="s">
        <v>4171</v>
      </c>
      <c r="I2432" s="1367" t="s">
        <v>4234</v>
      </c>
      <c r="J2432" s="1367">
        <v>8.0</v>
      </c>
      <c r="K2432" s="1367"/>
      <c r="L2432" s="1367"/>
      <c r="M2432" s="1010"/>
    </row>
    <row r="2433">
      <c r="A2433" s="1375" t="s">
        <v>508</v>
      </c>
      <c r="B2433" s="1380">
        <f t="shared" si="18"/>
        <v>8</v>
      </c>
      <c r="C2433" s="1367"/>
      <c r="D2433" s="1381" t="s">
        <v>2071</v>
      </c>
      <c r="E2433" s="1165">
        <v>18.0</v>
      </c>
      <c r="F2433" s="1367"/>
      <c r="G2433" s="1367" t="s">
        <v>2071</v>
      </c>
      <c r="H2433" s="1367" t="s">
        <v>4172</v>
      </c>
      <c r="I2433" s="1367" t="s">
        <v>4233</v>
      </c>
      <c r="J2433" s="1367">
        <v>18.0</v>
      </c>
      <c r="K2433" s="1367"/>
      <c r="L2433" s="1367"/>
      <c r="M2433" s="1010"/>
    </row>
    <row r="2434">
      <c r="A2434" s="1375" t="s">
        <v>148</v>
      </c>
      <c r="B2434" s="1380">
        <f t="shared" si="18"/>
        <v>11</v>
      </c>
      <c r="C2434" s="1367"/>
      <c r="D2434" s="1381" t="s">
        <v>2071</v>
      </c>
      <c r="E2434" s="1165">
        <v>18.0</v>
      </c>
      <c r="F2434" s="1367"/>
      <c r="G2434" s="1367" t="s">
        <v>2071</v>
      </c>
      <c r="H2434" s="1367" t="s">
        <v>4172</v>
      </c>
      <c r="I2434" s="1367" t="s">
        <v>4234</v>
      </c>
      <c r="J2434" s="1367">
        <v>18.0</v>
      </c>
      <c r="K2434" s="1367"/>
      <c r="L2434" s="1367"/>
      <c r="M2434" s="1010"/>
    </row>
    <row r="2435">
      <c r="A2435" s="1375" t="s">
        <v>2108</v>
      </c>
      <c r="B2435" s="1380">
        <f t="shared" si="18"/>
        <v>0</v>
      </c>
      <c r="C2435" s="1367"/>
      <c r="D2435" s="1381" t="s">
        <v>2072</v>
      </c>
      <c r="E2435" s="1165">
        <v>1.0</v>
      </c>
      <c r="F2435" s="1367"/>
      <c r="G2435" s="1367" t="s">
        <v>2072</v>
      </c>
      <c r="H2435" s="1367" t="s">
        <v>4170</v>
      </c>
      <c r="I2435" s="1367" t="s">
        <v>4234</v>
      </c>
      <c r="J2435" s="1367">
        <v>1.0</v>
      </c>
      <c r="K2435" s="1367"/>
      <c r="L2435" s="1367"/>
      <c r="M2435" s="1010"/>
    </row>
    <row r="2436">
      <c r="A2436" s="1375" t="s">
        <v>2109</v>
      </c>
      <c r="B2436" s="1380">
        <f t="shared" si="18"/>
        <v>10</v>
      </c>
      <c r="C2436" s="1367"/>
      <c r="D2436" s="1381" t="s">
        <v>2075</v>
      </c>
      <c r="E2436" s="1165">
        <v>3.0</v>
      </c>
      <c r="F2436" s="1367"/>
      <c r="G2436" s="1367" t="s">
        <v>2075</v>
      </c>
      <c r="H2436" s="1367" t="s">
        <v>4171</v>
      </c>
      <c r="I2436" s="1367" t="s">
        <v>4233</v>
      </c>
      <c r="J2436" s="1367">
        <v>3.0</v>
      </c>
      <c r="K2436" s="1367"/>
      <c r="L2436" s="1367"/>
      <c r="M2436" s="1010"/>
    </row>
    <row r="2437">
      <c r="A2437" s="1375" t="s">
        <v>2111</v>
      </c>
      <c r="B2437" s="1380">
        <f t="shared" si="18"/>
        <v>125</v>
      </c>
      <c r="C2437" s="1367"/>
      <c r="D2437" s="1381" t="s">
        <v>2076</v>
      </c>
      <c r="E2437" s="1165">
        <v>1.0</v>
      </c>
      <c r="F2437" s="1367"/>
      <c r="G2437" s="1367" t="s">
        <v>2076</v>
      </c>
      <c r="H2437" s="1367" t="s">
        <v>4171</v>
      </c>
      <c r="I2437" s="1367" t="s">
        <v>4233</v>
      </c>
      <c r="J2437" s="1367">
        <v>1.0</v>
      </c>
      <c r="K2437" s="1367"/>
      <c r="L2437" s="1367"/>
      <c r="M2437" s="1010"/>
    </row>
    <row r="2438">
      <c r="A2438" s="1375" t="s">
        <v>2112</v>
      </c>
      <c r="B2438" s="1380">
        <f t="shared" si="18"/>
        <v>4</v>
      </c>
      <c r="C2438" s="1367"/>
      <c r="D2438" s="1381" t="s">
        <v>2076</v>
      </c>
      <c r="E2438" s="1165">
        <v>5.0</v>
      </c>
      <c r="F2438" s="1367"/>
      <c r="G2438" s="1367" t="s">
        <v>2076</v>
      </c>
      <c r="H2438" s="1367" t="s">
        <v>4171</v>
      </c>
      <c r="I2438" s="1367" t="s">
        <v>4234</v>
      </c>
      <c r="J2438" s="1367">
        <v>5.0</v>
      </c>
      <c r="K2438" s="1367"/>
      <c r="L2438" s="1367"/>
      <c r="M2438" s="1010"/>
    </row>
    <row r="2439">
      <c r="A2439" s="1375" t="s">
        <v>151</v>
      </c>
      <c r="B2439" s="1380">
        <f t="shared" si="18"/>
        <v>2</v>
      </c>
      <c r="C2439" s="1367"/>
      <c r="D2439" s="1381" t="s">
        <v>975</v>
      </c>
      <c r="E2439" s="1165">
        <v>5.0</v>
      </c>
      <c r="F2439" s="1367"/>
      <c r="G2439" s="1367" t="s">
        <v>975</v>
      </c>
      <c r="H2439" s="1367" t="s">
        <v>4170</v>
      </c>
      <c r="I2439" s="1367" t="s">
        <v>4233</v>
      </c>
      <c r="J2439" s="1367">
        <v>5.0</v>
      </c>
      <c r="K2439" s="1367"/>
      <c r="L2439" s="1367"/>
      <c r="M2439" s="1010"/>
    </row>
    <row r="2440">
      <c r="A2440" s="1375" t="s">
        <v>153</v>
      </c>
      <c r="B2440" s="1380">
        <f t="shared" si="18"/>
        <v>2</v>
      </c>
      <c r="C2440" s="1367"/>
      <c r="D2440" s="1381" t="s">
        <v>975</v>
      </c>
      <c r="E2440" s="1165">
        <v>7.0</v>
      </c>
      <c r="F2440" s="1367"/>
      <c r="G2440" s="1367" t="s">
        <v>975</v>
      </c>
      <c r="H2440" s="1367" t="s">
        <v>4170</v>
      </c>
      <c r="I2440" s="1367" t="s">
        <v>4234</v>
      </c>
      <c r="J2440" s="1367">
        <v>7.0</v>
      </c>
      <c r="K2440" s="1367"/>
      <c r="L2440" s="1367"/>
      <c r="M2440" s="1010"/>
    </row>
    <row r="2441">
      <c r="A2441" s="1375" t="s">
        <v>2116</v>
      </c>
      <c r="B2441" s="1380">
        <f t="shared" si="18"/>
        <v>3</v>
      </c>
      <c r="C2441" s="1367"/>
      <c r="D2441" s="1381" t="s">
        <v>1072</v>
      </c>
      <c r="E2441" s="1165">
        <v>20.0</v>
      </c>
      <c r="F2441" s="1367"/>
      <c r="G2441" s="1367" t="s">
        <v>1072</v>
      </c>
      <c r="H2441" s="1367" t="s">
        <v>4176</v>
      </c>
      <c r="I2441" s="1367" t="s">
        <v>4233</v>
      </c>
      <c r="J2441" s="1367">
        <v>20.0</v>
      </c>
      <c r="K2441" s="1367"/>
      <c r="L2441" s="1367"/>
      <c r="M2441" s="1010"/>
    </row>
    <row r="2442">
      <c r="A2442" s="1375" t="s">
        <v>2117</v>
      </c>
      <c r="B2442" s="1380">
        <f t="shared" si="18"/>
        <v>12</v>
      </c>
      <c r="C2442" s="1367"/>
      <c r="D2442" s="1381" t="s">
        <v>1072</v>
      </c>
      <c r="E2442" s="1165">
        <v>13.0</v>
      </c>
      <c r="F2442" s="1367"/>
      <c r="G2442" s="1367" t="s">
        <v>1072</v>
      </c>
      <c r="H2442" s="1367" t="s">
        <v>4176</v>
      </c>
      <c r="I2442" s="1367" t="s">
        <v>4234</v>
      </c>
      <c r="J2442" s="1367">
        <v>13.0</v>
      </c>
      <c r="K2442" s="1367"/>
      <c r="L2442" s="1367"/>
      <c r="M2442" s="1010"/>
    </row>
    <row r="2443">
      <c r="A2443" s="1375" t="s">
        <v>2113</v>
      </c>
      <c r="B2443" s="1380">
        <f t="shared" si="18"/>
        <v>12</v>
      </c>
      <c r="C2443" s="1367"/>
      <c r="D2443" s="1381" t="s">
        <v>2078</v>
      </c>
      <c r="E2443" s="1165">
        <v>17.0</v>
      </c>
      <c r="F2443" s="1367"/>
      <c r="G2443" s="1367" t="s">
        <v>2078</v>
      </c>
      <c r="H2443" s="1367" t="s">
        <v>4155</v>
      </c>
      <c r="I2443" s="1367" t="s">
        <v>4233</v>
      </c>
      <c r="J2443" s="1367">
        <v>17.0</v>
      </c>
      <c r="K2443" s="1367"/>
      <c r="L2443" s="1367"/>
      <c r="M2443" s="1010"/>
    </row>
    <row r="2444">
      <c r="A2444" s="1375" t="s">
        <v>2114</v>
      </c>
      <c r="B2444" s="1380">
        <f t="shared" si="18"/>
        <v>87</v>
      </c>
      <c r="C2444" s="1367"/>
      <c r="D2444" s="1381" t="s">
        <v>2078</v>
      </c>
      <c r="E2444" s="1165">
        <v>40.0</v>
      </c>
      <c r="F2444" s="1367"/>
      <c r="G2444" s="1367" t="s">
        <v>2078</v>
      </c>
      <c r="H2444" s="1367" t="s">
        <v>4155</v>
      </c>
      <c r="I2444" s="1367" t="s">
        <v>4234</v>
      </c>
      <c r="J2444" s="1367">
        <v>40.0</v>
      </c>
      <c r="K2444" s="1367"/>
      <c r="L2444" s="1367"/>
      <c r="M2444" s="1010"/>
    </row>
    <row r="2445">
      <c r="A2445" s="1375" t="s">
        <v>1689</v>
      </c>
      <c r="B2445" s="1380">
        <f t="shared" si="18"/>
        <v>13</v>
      </c>
      <c r="C2445" s="1367"/>
      <c r="D2445" s="1381" t="s">
        <v>2079</v>
      </c>
      <c r="E2445" s="1165">
        <v>2.0</v>
      </c>
      <c r="F2445" s="1367"/>
      <c r="G2445" s="1367" t="s">
        <v>2079</v>
      </c>
      <c r="H2445" s="1367" t="s">
        <v>4173</v>
      </c>
      <c r="I2445" s="1367" t="s">
        <v>4234</v>
      </c>
      <c r="J2445" s="1367">
        <v>2.0</v>
      </c>
      <c r="K2445" s="1367"/>
      <c r="L2445" s="1367"/>
      <c r="M2445" s="1010"/>
    </row>
    <row r="2446">
      <c r="A2446" s="1375" t="s">
        <v>1273</v>
      </c>
      <c r="B2446" s="1380">
        <f t="shared" si="18"/>
        <v>23</v>
      </c>
      <c r="C2446" s="1367"/>
      <c r="D2446" s="1381" t="s">
        <v>1539</v>
      </c>
      <c r="E2446" s="1165">
        <v>4.0</v>
      </c>
      <c r="F2446" s="1367"/>
      <c r="G2446" s="1367" t="s">
        <v>1539</v>
      </c>
      <c r="H2446" s="1367" t="s">
        <v>4171</v>
      </c>
      <c r="I2446" s="1367" t="s">
        <v>4233</v>
      </c>
      <c r="J2446" s="1367">
        <v>4.0</v>
      </c>
      <c r="K2446" s="1367"/>
      <c r="L2446" s="1367"/>
      <c r="M2446" s="1010"/>
    </row>
    <row r="2447">
      <c r="A2447" s="1375" t="s">
        <v>2118</v>
      </c>
      <c r="B2447" s="1380">
        <f t="shared" si="18"/>
        <v>17</v>
      </c>
      <c r="C2447" s="1367"/>
      <c r="D2447" s="1381" t="s">
        <v>1539</v>
      </c>
      <c r="E2447" s="1165">
        <v>9.0</v>
      </c>
      <c r="F2447" s="1367"/>
      <c r="G2447" s="1367" t="s">
        <v>1539</v>
      </c>
      <c r="H2447" s="1367" t="s">
        <v>4171</v>
      </c>
      <c r="I2447" s="1367" t="s">
        <v>4234</v>
      </c>
      <c r="J2447" s="1367">
        <v>9.0</v>
      </c>
      <c r="K2447" s="1367"/>
      <c r="L2447" s="1367"/>
      <c r="M2447" s="1010"/>
    </row>
    <row r="2448">
      <c r="A2448" s="1375" t="s">
        <v>913</v>
      </c>
      <c r="B2448" s="1380">
        <f t="shared" si="18"/>
        <v>5</v>
      </c>
      <c r="C2448" s="1367"/>
      <c r="D2448" s="1381" t="s">
        <v>139</v>
      </c>
      <c r="E2448" s="1165">
        <v>11.0</v>
      </c>
      <c r="F2448" s="1367"/>
      <c r="G2448" s="1367" t="s">
        <v>139</v>
      </c>
      <c r="H2448" s="1367" t="s">
        <v>4170</v>
      </c>
      <c r="I2448" s="1367" t="s">
        <v>4233</v>
      </c>
      <c r="J2448" s="1367">
        <v>11.0</v>
      </c>
      <c r="K2448" s="1367"/>
      <c r="L2448" s="1367"/>
      <c r="M2448" s="1010"/>
    </row>
    <row r="2449">
      <c r="A2449" s="1375" t="s">
        <v>2119</v>
      </c>
      <c r="B2449" s="1380">
        <f t="shared" si="18"/>
        <v>2</v>
      </c>
      <c r="C2449" s="1367"/>
      <c r="D2449" s="1381" t="s">
        <v>139</v>
      </c>
      <c r="E2449" s="1165">
        <v>2.0</v>
      </c>
      <c r="F2449" s="1367"/>
      <c r="G2449" s="1367" t="s">
        <v>139</v>
      </c>
      <c r="H2449" s="1367" t="s">
        <v>4170</v>
      </c>
      <c r="I2449" s="1367" t="s">
        <v>4234</v>
      </c>
      <c r="J2449" s="1367">
        <v>2.0</v>
      </c>
      <c r="K2449" s="1367"/>
      <c r="L2449" s="1367"/>
      <c r="M2449" s="1010"/>
    </row>
    <row r="2450">
      <c r="A2450" s="1375" t="s">
        <v>157</v>
      </c>
      <c r="B2450" s="1380">
        <f t="shared" si="18"/>
        <v>98</v>
      </c>
      <c r="C2450" s="1367"/>
      <c r="D2450" s="1381" t="s">
        <v>497</v>
      </c>
      <c r="E2450" s="1165">
        <v>1.0</v>
      </c>
      <c r="F2450" s="1367"/>
      <c r="G2450" s="1367" t="s">
        <v>497</v>
      </c>
      <c r="H2450" s="1367" t="s">
        <v>4173</v>
      </c>
      <c r="I2450" s="1367" t="s">
        <v>4233</v>
      </c>
      <c r="J2450" s="1367">
        <v>1.0</v>
      </c>
      <c r="K2450" s="1367"/>
      <c r="L2450" s="1367"/>
      <c r="M2450" s="1010"/>
    </row>
    <row r="2451">
      <c r="A2451" s="1375" t="s">
        <v>1615</v>
      </c>
      <c r="B2451" s="1380">
        <f t="shared" si="18"/>
        <v>11</v>
      </c>
      <c r="C2451" s="1367"/>
      <c r="D2451" s="1381" t="s">
        <v>497</v>
      </c>
      <c r="E2451" s="1165">
        <v>1.0</v>
      </c>
      <c r="F2451" s="1367"/>
      <c r="G2451" s="1367" t="s">
        <v>497</v>
      </c>
      <c r="H2451" s="1367" t="s">
        <v>4173</v>
      </c>
      <c r="I2451" s="1367" t="s">
        <v>4234</v>
      </c>
      <c r="J2451" s="1367">
        <v>1.0</v>
      </c>
      <c r="K2451" s="1367"/>
      <c r="L2451" s="1367"/>
      <c r="M2451" s="1010"/>
    </row>
    <row r="2452">
      <c r="A2452" s="1375" t="s">
        <v>990</v>
      </c>
      <c r="B2452" s="1380">
        <f t="shared" si="18"/>
        <v>1</v>
      </c>
      <c r="C2452" s="1367"/>
      <c r="D2452" s="1381" t="s">
        <v>2080</v>
      </c>
      <c r="E2452" s="1165">
        <v>1.0</v>
      </c>
      <c r="F2452" s="1367"/>
      <c r="G2452" s="1367" t="s">
        <v>2080</v>
      </c>
      <c r="H2452" s="1367" t="s">
        <v>4170</v>
      </c>
      <c r="I2452" s="1367" t="s">
        <v>4234</v>
      </c>
      <c r="J2452" s="1367">
        <v>1.0</v>
      </c>
      <c r="K2452" s="1367"/>
      <c r="L2452" s="1367"/>
      <c r="M2452" s="1010"/>
    </row>
    <row r="2453">
      <c r="A2453" s="1375" t="s">
        <v>2121</v>
      </c>
      <c r="B2453" s="1380">
        <f t="shared" si="18"/>
        <v>25</v>
      </c>
      <c r="C2453" s="1367"/>
      <c r="D2453" s="1381" t="s">
        <v>721</v>
      </c>
      <c r="E2453" s="1165">
        <v>4.0</v>
      </c>
      <c r="F2453" s="1367"/>
      <c r="G2453" s="1367" t="s">
        <v>721</v>
      </c>
      <c r="H2453" s="1367" t="s">
        <v>4164</v>
      </c>
      <c r="I2453" s="1367" t="s">
        <v>4233</v>
      </c>
      <c r="J2453" s="1367">
        <v>4.0</v>
      </c>
      <c r="K2453" s="1367"/>
      <c r="L2453" s="1367"/>
      <c r="M2453" s="1010"/>
    </row>
    <row r="2454">
      <c r="A2454" s="1375" t="s">
        <v>2122</v>
      </c>
      <c r="B2454" s="1380">
        <f t="shared" si="18"/>
        <v>7</v>
      </c>
      <c r="C2454" s="1367"/>
      <c r="D2454" s="1381" t="s">
        <v>721</v>
      </c>
      <c r="E2454" s="1165">
        <v>5.0</v>
      </c>
      <c r="F2454" s="1367"/>
      <c r="G2454" s="1367" t="s">
        <v>721</v>
      </c>
      <c r="H2454" s="1367" t="s">
        <v>4164</v>
      </c>
      <c r="I2454" s="1367" t="s">
        <v>4234</v>
      </c>
      <c r="J2454" s="1367">
        <v>5.0</v>
      </c>
      <c r="K2454" s="1367"/>
      <c r="L2454" s="1367"/>
      <c r="M2454" s="1010"/>
    </row>
    <row r="2455">
      <c r="A2455" s="1375" t="s">
        <v>297</v>
      </c>
      <c r="B2455" s="1380">
        <f t="shared" si="18"/>
        <v>0</v>
      </c>
      <c r="C2455" s="1367"/>
      <c r="D2455" s="1381" t="s">
        <v>218</v>
      </c>
      <c r="E2455" s="1165">
        <v>172.0</v>
      </c>
      <c r="F2455" s="1367"/>
      <c r="G2455" s="1367" t="s">
        <v>218</v>
      </c>
      <c r="H2455" s="1367" t="s">
        <v>4172</v>
      </c>
      <c r="I2455" s="1367" t="s">
        <v>4233</v>
      </c>
      <c r="J2455" s="1367">
        <v>172.0</v>
      </c>
      <c r="K2455" s="1367"/>
      <c r="L2455" s="1367"/>
      <c r="M2455" s="1010"/>
    </row>
    <row r="2456">
      <c r="A2456" s="1375" t="s">
        <v>2123</v>
      </c>
      <c r="B2456" s="1380">
        <f t="shared" si="18"/>
        <v>4</v>
      </c>
      <c r="C2456" s="1367"/>
      <c r="D2456" s="1381" t="s">
        <v>218</v>
      </c>
      <c r="E2456" s="1165">
        <v>239.0</v>
      </c>
      <c r="F2456" s="1367"/>
      <c r="G2456" s="1367" t="s">
        <v>218</v>
      </c>
      <c r="H2456" s="1367" t="s">
        <v>4172</v>
      </c>
      <c r="I2456" s="1367" t="s">
        <v>4234</v>
      </c>
      <c r="J2456" s="1367">
        <v>239.0</v>
      </c>
      <c r="K2456" s="1367"/>
      <c r="L2456" s="1367"/>
      <c r="M2456" s="1010"/>
    </row>
    <row r="2457">
      <c r="A2457" s="1375" t="s">
        <v>2124</v>
      </c>
      <c r="B2457" s="1380">
        <f t="shared" si="18"/>
        <v>84</v>
      </c>
      <c r="C2457" s="1367"/>
      <c r="D2457" s="1381" t="s">
        <v>775</v>
      </c>
      <c r="E2457" s="1165">
        <v>9.0</v>
      </c>
      <c r="F2457" s="1367"/>
      <c r="G2457" s="1367" t="s">
        <v>775</v>
      </c>
      <c r="H2457" s="1367" t="s">
        <v>4155</v>
      </c>
      <c r="I2457" s="1367" t="s">
        <v>4233</v>
      </c>
      <c r="J2457" s="1367">
        <v>9.0</v>
      </c>
      <c r="K2457" s="1367"/>
      <c r="L2457" s="1367"/>
      <c r="M2457" s="1010"/>
    </row>
    <row r="2458">
      <c r="A2458" s="1375" t="s">
        <v>241</v>
      </c>
      <c r="B2458" s="1380">
        <f t="shared" si="18"/>
        <v>28</v>
      </c>
      <c r="C2458" s="1367"/>
      <c r="D2458" s="1381" t="s">
        <v>775</v>
      </c>
      <c r="E2458" s="1165">
        <v>5.0</v>
      </c>
      <c r="F2458" s="1367"/>
      <c r="G2458" s="1367" t="s">
        <v>775</v>
      </c>
      <c r="H2458" s="1367" t="s">
        <v>4155</v>
      </c>
      <c r="I2458" s="1367" t="s">
        <v>4234</v>
      </c>
      <c r="J2458" s="1367">
        <v>5.0</v>
      </c>
      <c r="K2458" s="1367"/>
      <c r="L2458" s="1367"/>
      <c r="M2458" s="1010"/>
    </row>
    <row r="2459">
      <c r="A2459" s="1375" t="s">
        <v>2126</v>
      </c>
      <c r="B2459" s="1380">
        <f t="shared" si="18"/>
        <v>14</v>
      </c>
      <c r="C2459" s="1367"/>
      <c r="D2459" s="1381" t="s">
        <v>980</v>
      </c>
      <c r="E2459" s="1165">
        <v>1.0</v>
      </c>
      <c r="F2459" s="1367"/>
      <c r="G2459" s="1367" t="s">
        <v>980</v>
      </c>
      <c r="H2459" s="1367" t="s">
        <v>4169</v>
      </c>
      <c r="I2459" s="1367" t="s">
        <v>4233</v>
      </c>
      <c r="J2459" s="1367">
        <v>1.0</v>
      </c>
      <c r="K2459" s="1367"/>
      <c r="L2459" s="1367"/>
      <c r="M2459" s="1010"/>
    </row>
    <row r="2460">
      <c r="A2460" s="1375" t="s">
        <v>1377</v>
      </c>
      <c r="B2460" s="1380">
        <f t="shared" si="18"/>
        <v>11</v>
      </c>
      <c r="C2460" s="1367"/>
      <c r="D2460" s="1381" t="s">
        <v>980</v>
      </c>
      <c r="E2460" s="1165">
        <v>1.0</v>
      </c>
      <c r="F2460" s="1367"/>
      <c r="G2460" s="1367" t="s">
        <v>980</v>
      </c>
      <c r="H2460" s="1367" t="s">
        <v>4169</v>
      </c>
      <c r="I2460" s="1367" t="s">
        <v>4234</v>
      </c>
      <c r="J2460" s="1367">
        <v>1.0</v>
      </c>
      <c r="K2460" s="1367"/>
      <c r="L2460" s="1367"/>
      <c r="M2460" s="1010"/>
    </row>
    <row r="2461">
      <c r="A2461" s="1375" t="s">
        <v>2127</v>
      </c>
      <c r="B2461" s="1380">
        <f t="shared" si="18"/>
        <v>37</v>
      </c>
      <c r="C2461" s="1367"/>
      <c r="D2461" s="1381" t="s">
        <v>2083</v>
      </c>
      <c r="E2461" s="1165">
        <v>11.0</v>
      </c>
      <c r="F2461" s="1367"/>
      <c r="G2461" s="1367" t="s">
        <v>2083</v>
      </c>
      <c r="H2461" s="1367" t="s">
        <v>4173</v>
      </c>
      <c r="I2461" s="1367" t="s">
        <v>4233</v>
      </c>
      <c r="J2461" s="1367">
        <v>11.0</v>
      </c>
      <c r="K2461" s="1367"/>
      <c r="L2461" s="1367"/>
      <c r="M2461" s="1010"/>
    </row>
    <row r="2462">
      <c r="A2462" s="1375" t="s">
        <v>2128</v>
      </c>
      <c r="B2462" s="1380">
        <f t="shared" si="18"/>
        <v>3</v>
      </c>
      <c r="C2462" s="1367"/>
      <c r="D2462" s="1381" t="s">
        <v>2083</v>
      </c>
      <c r="E2462" s="1165">
        <v>14.0</v>
      </c>
      <c r="F2462" s="1367"/>
      <c r="G2462" s="1367" t="s">
        <v>2083</v>
      </c>
      <c r="H2462" s="1367" t="s">
        <v>4173</v>
      </c>
      <c r="I2462" s="1367" t="s">
        <v>4234</v>
      </c>
      <c r="J2462" s="1367">
        <v>14.0</v>
      </c>
      <c r="K2462" s="1367"/>
      <c r="L2462" s="1367"/>
      <c r="M2462" s="1010"/>
    </row>
    <row r="2463">
      <c r="A2463" s="1375" t="s">
        <v>2129</v>
      </c>
      <c r="B2463" s="1380">
        <f t="shared" si="18"/>
        <v>11</v>
      </c>
      <c r="C2463" s="1367"/>
      <c r="D2463" s="1381" t="s">
        <v>2084</v>
      </c>
      <c r="E2463" s="1165">
        <v>1.0</v>
      </c>
      <c r="F2463" s="1367"/>
      <c r="G2463" s="1367" t="s">
        <v>2084</v>
      </c>
      <c r="H2463" s="1367" t="s">
        <v>4170</v>
      </c>
      <c r="I2463" s="1367" t="s">
        <v>4234</v>
      </c>
      <c r="J2463" s="1367">
        <v>1.0</v>
      </c>
      <c r="K2463" s="1367"/>
      <c r="L2463" s="1367"/>
      <c r="M2463" s="1010"/>
    </row>
    <row r="2464">
      <c r="A2464" s="1375" t="s">
        <v>302</v>
      </c>
      <c r="B2464" s="1380">
        <f t="shared" si="18"/>
        <v>6</v>
      </c>
      <c r="C2464" s="1367"/>
      <c r="D2464" s="1381" t="s">
        <v>722</v>
      </c>
      <c r="E2464" s="1165">
        <v>17.0</v>
      </c>
      <c r="F2464" s="1367"/>
      <c r="G2464" s="1367" t="s">
        <v>722</v>
      </c>
      <c r="H2464" s="1367" t="s">
        <v>4155</v>
      </c>
      <c r="I2464" s="1367" t="s">
        <v>4233</v>
      </c>
      <c r="J2464" s="1367">
        <v>17.0</v>
      </c>
      <c r="K2464" s="1367"/>
      <c r="L2464" s="1367"/>
      <c r="M2464" s="1010"/>
    </row>
    <row r="2465">
      <c r="A2465" s="1375" t="s">
        <v>1805</v>
      </c>
      <c r="B2465" s="1380">
        <f t="shared" si="18"/>
        <v>95</v>
      </c>
      <c r="C2465" s="1367"/>
      <c r="D2465" s="1381" t="s">
        <v>722</v>
      </c>
      <c r="E2465" s="1165">
        <v>19.0</v>
      </c>
      <c r="F2465" s="1367"/>
      <c r="G2465" s="1367" t="s">
        <v>722</v>
      </c>
      <c r="H2465" s="1367" t="s">
        <v>4155</v>
      </c>
      <c r="I2465" s="1367" t="s">
        <v>4234</v>
      </c>
      <c r="J2465" s="1367">
        <v>19.0</v>
      </c>
      <c r="K2465" s="1367"/>
      <c r="L2465" s="1367"/>
      <c r="M2465" s="1010"/>
    </row>
    <row r="2466">
      <c r="A2466" s="1375" t="s">
        <v>2131</v>
      </c>
      <c r="B2466" s="1380">
        <f t="shared" si="18"/>
        <v>4</v>
      </c>
      <c r="C2466" s="1367"/>
      <c r="D2466" s="1381" t="s">
        <v>480</v>
      </c>
      <c r="E2466" s="1165">
        <v>19.0</v>
      </c>
      <c r="F2466" s="1367"/>
      <c r="G2466" s="1367" t="s">
        <v>480</v>
      </c>
      <c r="H2466" s="1367" t="s">
        <v>4168</v>
      </c>
      <c r="I2466" s="1367" t="s">
        <v>4233</v>
      </c>
      <c r="J2466" s="1367">
        <v>19.0</v>
      </c>
      <c r="K2466" s="1367"/>
      <c r="L2466" s="1367"/>
      <c r="M2466" s="1010"/>
    </row>
    <row r="2467">
      <c r="A2467" s="1375" t="s">
        <v>2132</v>
      </c>
      <c r="B2467" s="1380">
        <f t="shared" si="18"/>
        <v>36</v>
      </c>
      <c r="C2467" s="1367"/>
      <c r="D2467" s="1381" t="s">
        <v>480</v>
      </c>
      <c r="E2467" s="1165">
        <v>8.0</v>
      </c>
      <c r="F2467" s="1367"/>
      <c r="G2467" s="1367" t="s">
        <v>480</v>
      </c>
      <c r="H2467" s="1367" t="s">
        <v>4168</v>
      </c>
      <c r="I2467" s="1367" t="s">
        <v>4234</v>
      </c>
      <c r="J2467" s="1367">
        <v>8.0</v>
      </c>
      <c r="K2467" s="1367"/>
      <c r="L2467" s="1367"/>
      <c r="M2467" s="1010"/>
    </row>
    <row r="2468">
      <c r="A2468" s="1375" t="s">
        <v>2133</v>
      </c>
      <c r="B2468" s="1380">
        <f t="shared" si="18"/>
        <v>0</v>
      </c>
      <c r="C2468" s="1367"/>
      <c r="D2468" s="1381" t="s">
        <v>1445</v>
      </c>
      <c r="E2468" s="1165">
        <v>11.0</v>
      </c>
      <c r="F2468" s="1367"/>
      <c r="G2468" s="1367" t="s">
        <v>1445</v>
      </c>
      <c r="H2468" s="1367" t="s">
        <v>4173</v>
      </c>
      <c r="I2468" s="1367" t="s">
        <v>4233</v>
      </c>
      <c r="J2468" s="1367">
        <v>11.0</v>
      </c>
      <c r="K2468" s="1367"/>
      <c r="L2468" s="1367"/>
      <c r="M2468" s="1010"/>
    </row>
    <row r="2469">
      <c r="A2469" s="1375" t="s">
        <v>2134</v>
      </c>
      <c r="B2469" s="1380">
        <f t="shared" si="18"/>
        <v>0</v>
      </c>
      <c r="C2469" s="1367"/>
      <c r="D2469" s="1381" t="s">
        <v>1445</v>
      </c>
      <c r="E2469" s="1165">
        <v>12.0</v>
      </c>
      <c r="F2469" s="1367"/>
      <c r="G2469" s="1367" t="s">
        <v>1445</v>
      </c>
      <c r="H2469" s="1367" t="s">
        <v>4173</v>
      </c>
      <c r="I2469" s="1367" t="s">
        <v>4234</v>
      </c>
      <c r="J2469" s="1367">
        <v>12.0</v>
      </c>
      <c r="K2469" s="1367"/>
      <c r="L2469" s="1367"/>
      <c r="M2469" s="1010"/>
    </row>
    <row r="2470">
      <c r="A2470" s="1375" t="s">
        <v>1167</v>
      </c>
      <c r="B2470" s="1380">
        <f t="shared" si="18"/>
        <v>2</v>
      </c>
      <c r="C2470" s="1367"/>
      <c r="D2470" s="1381" t="s">
        <v>2087</v>
      </c>
      <c r="E2470" s="1165">
        <v>3.0</v>
      </c>
      <c r="F2470" s="1367"/>
      <c r="G2470" s="1367" t="s">
        <v>2087</v>
      </c>
      <c r="H2470" s="1367" t="s">
        <v>4170</v>
      </c>
      <c r="I2470" s="1367" t="s">
        <v>4233</v>
      </c>
      <c r="J2470" s="1367">
        <v>3.0</v>
      </c>
      <c r="K2470" s="1367"/>
      <c r="L2470" s="1367"/>
      <c r="M2470" s="1010"/>
    </row>
    <row r="2471">
      <c r="A2471" s="1375" t="s">
        <v>2135</v>
      </c>
      <c r="B2471" s="1380">
        <f t="shared" si="18"/>
        <v>5</v>
      </c>
      <c r="C2471" s="1367"/>
      <c r="D2471" s="1381" t="s">
        <v>2087</v>
      </c>
      <c r="E2471" s="1165">
        <v>6.0</v>
      </c>
      <c r="F2471" s="1367"/>
      <c r="G2471" s="1367" t="s">
        <v>2087</v>
      </c>
      <c r="H2471" s="1367" t="s">
        <v>4170</v>
      </c>
      <c r="I2471" s="1367" t="s">
        <v>4234</v>
      </c>
      <c r="J2471" s="1367">
        <v>6.0</v>
      </c>
      <c r="K2471" s="1367"/>
      <c r="L2471" s="1367"/>
      <c r="M2471" s="1010"/>
    </row>
    <row r="2472">
      <c r="A2472" s="1375" t="s">
        <v>1131</v>
      </c>
      <c r="B2472" s="1380">
        <f t="shared" si="18"/>
        <v>19</v>
      </c>
      <c r="C2472" s="1367"/>
      <c r="D2472" s="1381" t="s">
        <v>2088</v>
      </c>
      <c r="E2472" s="1165">
        <v>9.0</v>
      </c>
      <c r="F2472" s="1367"/>
      <c r="G2472" s="1367" t="s">
        <v>2088</v>
      </c>
      <c r="H2472" s="1367" t="s">
        <v>4176</v>
      </c>
      <c r="I2472" s="1367" t="s">
        <v>4233</v>
      </c>
      <c r="J2472" s="1367">
        <v>9.0</v>
      </c>
      <c r="K2472" s="1367"/>
      <c r="L2472" s="1367"/>
      <c r="M2472" s="1010"/>
    </row>
    <row r="2473">
      <c r="A2473" s="1375" t="s">
        <v>2137</v>
      </c>
      <c r="B2473" s="1380">
        <f t="shared" si="18"/>
        <v>4</v>
      </c>
      <c r="C2473" s="1367"/>
      <c r="D2473" s="1381" t="s">
        <v>2088</v>
      </c>
      <c r="E2473" s="1165">
        <v>2.0</v>
      </c>
      <c r="F2473" s="1367"/>
      <c r="G2473" s="1367" t="s">
        <v>2088</v>
      </c>
      <c r="H2473" s="1367" t="s">
        <v>4176</v>
      </c>
      <c r="I2473" s="1367" t="s">
        <v>4234</v>
      </c>
      <c r="J2473" s="1367">
        <v>2.0</v>
      </c>
      <c r="K2473" s="1367"/>
      <c r="L2473" s="1367"/>
      <c r="M2473" s="1010"/>
    </row>
    <row r="2474">
      <c r="A2474" s="1375" t="s">
        <v>2138</v>
      </c>
      <c r="B2474" s="1380">
        <f t="shared" si="18"/>
        <v>4</v>
      </c>
      <c r="C2474" s="1367"/>
      <c r="D2474" s="1381" t="s">
        <v>1099</v>
      </c>
      <c r="E2474" s="1165">
        <v>3.0</v>
      </c>
      <c r="F2474" s="1367"/>
      <c r="G2474" s="1367" t="s">
        <v>1099</v>
      </c>
      <c r="H2474" s="1367" t="s">
        <v>4155</v>
      </c>
      <c r="I2474" s="1367" t="s">
        <v>4233</v>
      </c>
      <c r="J2474" s="1367">
        <v>3.0</v>
      </c>
      <c r="K2474" s="1367"/>
      <c r="L2474" s="1367"/>
      <c r="M2474" s="1010"/>
    </row>
    <row r="2475">
      <c r="A2475" s="1375" t="s">
        <v>2139</v>
      </c>
      <c r="B2475" s="1380">
        <f t="shared" si="18"/>
        <v>6</v>
      </c>
      <c r="C2475" s="1367"/>
      <c r="D2475" s="1381" t="s">
        <v>1099</v>
      </c>
      <c r="E2475" s="1165">
        <v>12.0</v>
      </c>
      <c r="F2475" s="1367"/>
      <c r="G2475" s="1367" t="s">
        <v>1099</v>
      </c>
      <c r="H2475" s="1367" t="s">
        <v>4155</v>
      </c>
      <c r="I2475" s="1367" t="s">
        <v>4234</v>
      </c>
      <c r="J2475" s="1367">
        <v>12.0</v>
      </c>
      <c r="K2475" s="1367"/>
      <c r="L2475" s="1367"/>
      <c r="M2475" s="1010"/>
    </row>
    <row r="2476">
      <c r="A2476" s="1375" t="s">
        <v>1168</v>
      </c>
      <c r="B2476" s="1380">
        <f t="shared" si="18"/>
        <v>0</v>
      </c>
      <c r="C2476" s="1367"/>
      <c r="D2476" s="1381" t="s">
        <v>141</v>
      </c>
      <c r="E2476" s="1165">
        <v>1.0</v>
      </c>
      <c r="F2476" s="1367"/>
      <c r="G2476" s="1367" t="s">
        <v>141</v>
      </c>
      <c r="H2476" s="1367" t="s">
        <v>4164</v>
      </c>
      <c r="I2476" s="1367" t="s">
        <v>4233</v>
      </c>
      <c r="J2476" s="1367">
        <v>1.0</v>
      </c>
      <c r="K2476" s="1367"/>
      <c r="L2476" s="1367"/>
      <c r="M2476" s="1010"/>
    </row>
    <row r="2477">
      <c r="A2477" s="1375" t="s">
        <v>2142</v>
      </c>
      <c r="B2477" s="1380">
        <f t="shared" si="18"/>
        <v>11</v>
      </c>
      <c r="C2477" s="1367"/>
      <c r="D2477" s="1381" t="s">
        <v>141</v>
      </c>
      <c r="E2477" s="1165">
        <v>5.0</v>
      </c>
      <c r="F2477" s="1367"/>
      <c r="G2477" s="1367" t="s">
        <v>141</v>
      </c>
      <c r="H2477" s="1367" t="s">
        <v>4164</v>
      </c>
      <c r="I2477" s="1367" t="s">
        <v>4234</v>
      </c>
      <c r="J2477" s="1367">
        <v>5.0</v>
      </c>
      <c r="K2477" s="1367"/>
      <c r="L2477" s="1367"/>
      <c r="M2477" s="1010"/>
    </row>
    <row r="2478">
      <c r="A2478" s="1375" t="s">
        <v>2143</v>
      </c>
      <c r="B2478" s="1380">
        <f t="shared" si="18"/>
        <v>11</v>
      </c>
      <c r="C2478" s="1367"/>
      <c r="D2478" s="1381" t="s">
        <v>283</v>
      </c>
      <c r="E2478" s="1165">
        <v>1.0</v>
      </c>
      <c r="F2478" s="1367"/>
      <c r="G2478" s="1367" t="s">
        <v>283</v>
      </c>
      <c r="H2478" s="1367" t="s">
        <v>4162</v>
      </c>
      <c r="I2478" s="1367" t="s">
        <v>4233</v>
      </c>
      <c r="J2478" s="1367">
        <v>1.0</v>
      </c>
      <c r="K2478" s="1367"/>
      <c r="L2478" s="1367"/>
      <c r="M2478" s="1010"/>
    </row>
    <row r="2479">
      <c r="A2479" s="1375" t="s">
        <v>2144</v>
      </c>
      <c r="B2479" s="1380">
        <f t="shared" si="18"/>
        <v>4</v>
      </c>
      <c r="C2479" s="1367"/>
      <c r="D2479" s="1381" t="s">
        <v>283</v>
      </c>
      <c r="E2479" s="1165">
        <v>4.0</v>
      </c>
      <c r="F2479" s="1367"/>
      <c r="G2479" s="1367" t="s">
        <v>283</v>
      </c>
      <c r="H2479" s="1367" t="s">
        <v>4162</v>
      </c>
      <c r="I2479" s="1367" t="s">
        <v>4234</v>
      </c>
      <c r="J2479" s="1367">
        <v>4.0</v>
      </c>
      <c r="K2479" s="1367"/>
      <c r="L2479" s="1367"/>
      <c r="M2479" s="1010"/>
    </row>
    <row r="2480">
      <c r="A2480" s="1375" t="s">
        <v>2146</v>
      </c>
      <c r="B2480" s="1380">
        <f t="shared" si="18"/>
        <v>9</v>
      </c>
      <c r="C2480" s="1367"/>
      <c r="D2480" s="1381" t="s">
        <v>2090</v>
      </c>
      <c r="E2480" s="1165">
        <v>16.0</v>
      </c>
      <c r="F2480" s="1367"/>
      <c r="G2480" s="1367" t="s">
        <v>2090</v>
      </c>
      <c r="H2480" s="1367" t="s">
        <v>4176</v>
      </c>
      <c r="I2480" s="1367" t="s">
        <v>4233</v>
      </c>
      <c r="J2480" s="1367">
        <v>16.0</v>
      </c>
      <c r="K2480" s="1367"/>
      <c r="L2480" s="1367"/>
      <c r="M2480" s="1010"/>
    </row>
    <row r="2481">
      <c r="A2481" s="1375" t="s">
        <v>168</v>
      </c>
      <c r="B2481" s="1380">
        <f t="shared" si="18"/>
        <v>4</v>
      </c>
      <c r="C2481" s="1367"/>
      <c r="D2481" s="1381" t="s">
        <v>2090</v>
      </c>
      <c r="E2481" s="1165">
        <v>5.0</v>
      </c>
      <c r="F2481" s="1367"/>
      <c r="G2481" s="1367" t="s">
        <v>2090</v>
      </c>
      <c r="H2481" s="1367" t="s">
        <v>4176</v>
      </c>
      <c r="I2481" s="1367" t="s">
        <v>4234</v>
      </c>
      <c r="J2481" s="1367">
        <v>5.0</v>
      </c>
      <c r="K2481" s="1367"/>
      <c r="L2481" s="1367"/>
      <c r="M2481" s="1010"/>
    </row>
    <row r="2482">
      <c r="A2482" s="1375" t="s">
        <v>1011</v>
      </c>
      <c r="B2482" s="1380">
        <f t="shared" si="18"/>
        <v>1</v>
      </c>
      <c r="C2482" s="1367"/>
      <c r="D2482" s="1381" t="s">
        <v>1860</v>
      </c>
      <c r="E2482" s="1165">
        <v>7.0</v>
      </c>
      <c r="F2482" s="1367"/>
      <c r="G2482" s="1367" t="s">
        <v>1860</v>
      </c>
      <c r="H2482" s="1367" t="s">
        <v>4170</v>
      </c>
      <c r="I2482" s="1367" t="s">
        <v>4233</v>
      </c>
      <c r="J2482" s="1367">
        <v>7.0</v>
      </c>
      <c r="K2482" s="1367"/>
      <c r="L2482" s="1367"/>
      <c r="M2482" s="1010"/>
    </row>
    <row r="2483">
      <c r="A2483" s="1375" t="s">
        <v>1012</v>
      </c>
      <c r="B2483" s="1380">
        <f t="shared" si="18"/>
        <v>53</v>
      </c>
      <c r="C2483" s="1367"/>
      <c r="D2483" s="1381" t="s">
        <v>1860</v>
      </c>
      <c r="E2483" s="1165">
        <v>7.0</v>
      </c>
      <c r="F2483" s="1367"/>
      <c r="G2483" s="1367" t="s">
        <v>1860</v>
      </c>
      <c r="H2483" s="1367" t="s">
        <v>4170</v>
      </c>
      <c r="I2483" s="1367" t="s">
        <v>4234</v>
      </c>
      <c r="J2483" s="1367">
        <v>7.0</v>
      </c>
      <c r="K2483" s="1367"/>
      <c r="L2483" s="1367"/>
      <c r="M2483" s="1010"/>
    </row>
    <row r="2484">
      <c r="A2484" s="1375" t="s">
        <v>2149</v>
      </c>
      <c r="B2484" s="1380">
        <f t="shared" si="18"/>
        <v>1</v>
      </c>
      <c r="C2484" s="1367"/>
      <c r="D2484" s="1381" t="s">
        <v>2094</v>
      </c>
      <c r="E2484" s="1165">
        <v>2.0</v>
      </c>
      <c r="F2484" s="1367"/>
      <c r="G2484" s="1367" t="s">
        <v>2094</v>
      </c>
      <c r="H2484" s="1367" t="s">
        <v>4169</v>
      </c>
      <c r="I2484" s="1367" t="s">
        <v>4233</v>
      </c>
      <c r="J2484" s="1367">
        <v>2.0</v>
      </c>
      <c r="K2484" s="1367"/>
      <c r="L2484" s="1367"/>
      <c r="M2484" s="1010"/>
    </row>
    <row r="2485">
      <c r="A2485" s="1375" t="s">
        <v>2150</v>
      </c>
      <c r="B2485" s="1380">
        <f t="shared" si="18"/>
        <v>3</v>
      </c>
      <c r="C2485" s="1367"/>
      <c r="D2485" s="1381" t="s">
        <v>2094</v>
      </c>
      <c r="E2485" s="1165">
        <v>1.0</v>
      </c>
      <c r="F2485" s="1367"/>
      <c r="G2485" s="1367" t="s">
        <v>2094</v>
      </c>
      <c r="H2485" s="1367" t="s">
        <v>4169</v>
      </c>
      <c r="I2485" s="1367" t="s">
        <v>4234</v>
      </c>
      <c r="J2485" s="1367">
        <v>1.0</v>
      </c>
      <c r="K2485" s="1367"/>
      <c r="L2485" s="1367"/>
      <c r="M2485" s="1010"/>
    </row>
    <row r="2486">
      <c r="A2486" s="1375" t="s">
        <v>628</v>
      </c>
      <c r="B2486" s="1380">
        <f t="shared" si="18"/>
        <v>12</v>
      </c>
      <c r="C2486" s="1367"/>
      <c r="D2486" s="1381" t="s">
        <v>142</v>
      </c>
      <c r="E2486" s="1165">
        <v>1.0</v>
      </c>
      <c r="F2486" s="1367"/>
      <c r="G2486" s="1367" t="s">
        <v>142</v>
      </c>
      <c r="H2486" s="1367" t="s">
        <v>4171</v>
      </c>
      <c r="I2486" s="1367" t="s">
        <v>4233</v>
      </c>
      <c r="J2486" s="1367">
        <v>1.0</v>
      </c>
      <c r="K2486" s="1367"/>
      <c r="L2486" s="1367"/>
      <c r="M2486" s="1010"/>
    </row>
    <row r="2487">
      <c r="A2487" s="1375" t="s">
        <v>2153</v>
      </c>
      <c r="B2487" s="1380">
        <f t="shared" si="18"/>
        <v>3</v>
      </c>
      <c r="C2487" s="1367"/>
      <c r="D2487" s="1381" t="s">
        <v>593</v>
      </c>
      <c r="E2487" s="1165">
        <v>4.0</v>
      </c>
      <c r="F2487" s="1367"/>
      <c r="G2487" s="1367" t="s">
        <v>593</v>
      </c>
      <c r="H2487" s="1367" t="s">
        <v>4164</v>
      </c>
      <c r="I2487" s="1367" t="s">
        <v>4233</v>
      </c>
      <c r="J2487" s="1367">
        <v>4.0</v>
      </c>
      <c r="K2487" s="1367"/>
      <c r="L2487" s="1367"/>
      <c r="M2487" s="1010"/>
    </row>
    <row r="2488">
      <c r="A2488" s="1375" t="s">
        <v>2154</v>
      </c>
      <c r="B2488" s="1380">
        <f t="shared" si="18"/>
        <v>0</v>
      </c>
      <c r="C2488" s="1367"/>
      <c r="D2488" s="1381" t="s">
        <v>593</v>
      </c>
      <c r="E2488" s="1165">
        <v>9.0</v>
      </c>
      <c r="F2488" s="1367"/>
      <c r="G2488" s="1367" t="s">
        <v>593</v>
      </c>
      <c r="H2488" s="1367" t="s">
        <v>4164</v>
      </c>
      <c r="I2488" s="1367" t="s">
        <v>4234</v>
      </c>
      <c r="J2488" s="1367">
        <v>9.0</v>
      </c>
      <c r="K2488" s="1367"/>
      <c r="L2488" s="1367"/>
      <c r="M2488" s="1010"/>
    </row>
    <row r="2489">
      <c r="A2489" s="1375" t="s">
        <v>265</v>
      </c>
      <c r="B2489" s="1380">
        <f t="shared" si="18"/>
        <v>218</v>
      </c>
      <c r="C2489" s="1367"/>
      <c r="D2489" s="1381" t="s">
        <v>143</v>
      </c>
      <c r="E2489" s="1165">
        <v>38.0</v>
      </c>
      <c r="F2489" s="1367"/>
      <c r="G2489" s="1367" t="s">
        <v>143</v>
      </c>
      <c r="H2489" s="1367" t="s">
        <v>4164</v>
      </c>
      <c r="I2489" s="1367" t="s">
        <v>4233</v>
      </c>
      <c r="J2489" s="1367">
        <v>38.0</v>
      </c>
      <c r="K2489" s="1367"/>
      <c r="L2489" s="1367"/>
      <c r="M2489" s="1010"/>
    </row>
    <row r="2490">
      <c r="A2490" s="1375" t="s">
        <v>526</v>
      </c>
      <c r="B2490" s="1380">
        <f t="shared" si="18"/>
        <v>73</v>
      </c>
      <c r="C2490" s="1367"/>
      <c r="D2490" s="1381" t="s">
        <v>143</v>
      </c>
      <c r="E2490" s="1165">
        <v>83.0</v>
      </c>
      <c r="F2490" s="1367"/>
      <c r="G2490" s="1367" t="s">
        <v>143</v>
      </c>
      <c r="H2490" s="1367" t="s">
        <v>4164</v>
      </c>
      <c r="I2490" s="1367" t="s">
        <v>4234</v>
      </c>
      <c r="J2490" s="1367">
        <v>83.0</v>
      </c>
      <c r="K2490" s="1367"/>
      <c r="L2490" s="1367"/>
      <c r="M2490" s="1010"/>
    </row>
    <row r="2491">
      <c r="A2491" s="1375" t="s">
        <v>2156</v>
      </c>
      <c r="B2491" s="1380">
        <f t="shared" si="18"/>
        <v>1</v>
      </c>
      <c r="C2491" s="1367"/>
      <c r="D2491" s="1381" t="s">
        <v>2095</v>
      </c>
      <c r="E2491" s="1165">
        <v>3.0</v>
      </c>
      <c r="F2491" s="1367"/>
      <c r="G2491" s="1367" t="s">
        <v>2095</v>
      </c>
      <c r="H2491" s="1367" t="s">
        <v>4168</v>
      </c>
      <c r="I2491" s="1367" t="s">
        <v>4233</v>
      </c>
      <c r="J2491" s="1367">
        <v>3.0</v>
      </c>
      <c r="K2491" s="1367"/>
      <c r="L2491" s="1367"/>
      <c r="M2491" s="1010"/>
    </row>
    <row r="2492">
      <c r="A2492" s="1375" t="s">
        <v>2157</v>
      </c>
      <c r="B2492" s="1380">
        <f t="shared" si="18"/>
        <v>0</v>
      </c>
      <c r="C2492" s="1367"/>
      <c r="D2492" s="1381" t="s">
        <v>2096</v>
      </c>
      <c r="E2492" s="1165">
        <v>6.0</v>
      </c>
      <c r="F2492" s="1367"/>
      <c r="G2492" s="1367" t="s">
        <v>2096</v>
      </c>
      <c r="H2492" s="1367" t="s">
        <v>4168</v>
      </c>
      <c r="I2492" s="1367" t="s">
        <v>4233</v>
      </c>
      <c r="J2492" s="1367">
        <v>6.0</v>
      </c>
      <c r="K2492" s="1367"/>
      <c r="L2492" s="1367"/>
      <c r="M2492" s="1010"/>
    </row>
    <row r="2493">
      <c r="A2493" s="1375" t="s">
        <v>2159</v>
      </c>
      <c r="B2493" s="1380">
        <f t="shared" si="18"/>
        <v>5</v>
      </c>
      <c r="C2493" s="1367"/>
      <c r="D2493" s="1381" t="s">
        <v>2096</v>
      </c>
      <c r="E2493" s="1165">
        <v>18.0</v>
      </c>
      <c r="F2493" s="1367"/>
      <c r="G2493" s="1367" t="s">
        <v>2096</v>
      </c>
      <c r="H2493" s="1367" t="s">
        <v>4168</v>
      </c>
      <c r="I2493" s="1367" t="s">
        <v>4234</v>
      </c>
      <c r="J2493" s="1367">
        <v>18.0</v>
      </c>
      <c r="K2493" s="1367"/>
      <c r="L2493" s="1367"/>
      <c r="M2493" s="1010"/>
    </row>
    <row r="2494">
      <c r="A2494" s="1375" t="s">
        <v>2160</v>
      </c>
      <c r="B2494" s="1380">
        <f t="shared" si="18"/>
        <v>37</v>
      </c>
      <c r="C2494" s="1367"/>
      <c r="D2494" s="1381" t="s">
        <v>288</v>
      </c>
      <c r="E2494" s="1165">
        <v>20.0</v>
      </c>
      <c r="F2494" s="1367"/>
      <c r="G2494" s="1367" t="s">
        <v>288</v>
      </c>
      <c r="H2494" s="1367" t="s">
        <v>4176</v>
      </c>
      <c r="I2494" s="1367" t="s">
        <v>4233</v>
      </c>
      <c r="J2494" s="1367">
        <v>20.0</v>
      </c>
      <c r="K2494" s="1367"/>
      <c r="L2494" s="1367"/>
      <c r="M2494" s="1010"/>
    </row>
    <row r="2495">
      <c r="A2495" s="1375" t="s">
        <v>355</v>
      </c>
      <c r="B2495" s="1380">
        <f t="shared" si="18"/>
        <v>101</v>
      </c>
      <c r="C2495" s="1367"/>
      <c r="D2495" s="1381" t="s">
        <v>288</v>
      </c>
      <c r="E2495" s="1165">
        <v>4.0</v>
      </c>
      <c r="F2495" s="1367"/>
      <c r="G2495" s="1367" t="s">
        <v>288</v>
      </c>
      <c r="H2495" s="1367" t="s">
        <v>4176</v>
      </c>
      <c r="I2495" s="1367" t="s">
        <v>4234</v>
      </c>
      <c r="J2495" s="1367">
        <v>4.0</v>
      </c>
      <c r="K2495" s="1367"/>
      <c r="L2495" s="1367"/>
      <c r="M2495" s="1010"/>
    </row>
    <row r="2496">
      <c r="A2496" s="1375" t="s">
        <v>376</v>
      </c>
      <c r="B2496" s="1380">
        <f t="shared" si="18"/>
        <v>11</v>
      </c>
      <c r="C2496" s="1367"/>
      <c r="D2496" s="1381" t="s">
        <v>598</v>
      </c>
      <c r="E2496" s="1165">
        <v>6.0</v>
      </c>
      <c r="F2496" s="1367"/>
      <c r="G2496" s="1367" t="s">
        <v>598</v>
      </c>
      <c r="H2496" s="1367" t="s">
        <v>4169</v>
      </c>
      <c r="I2496" s="1367" t="s">
        <v>4233</v>
      </c>
      <c r="J2496" s="1367">
        <v>6.0</v>
      </c>
      <c r="K2496" s="1367"/>
      <c r="L2496" s="1367"/>
      <c r="M2496" s="1010"/>
    </row>
    <row r="2497">
      <c r="A2497" s="1375" t="s">
        <v>2161</v>
      </c>
      <c r="B2497" s="1380">
        <f t="shared" si="18"/>
        <v>10</v>
      </c>
      <c r="C2497" s="1367"/>
      <c r="D2497" s="1381" t="s">
        <v>598</v>
      </c>
      <c r="E2497" s="1165">
        <v>3.0</v>
      </c>
      <c r="F2497" s="1367"/>
      <c r="G2497" s="1367" t="s">
        <v>598</v>
      </c>
      <c r="H2497" s="1367" t="s">
        <v>4169</v>
      </c>
      <c r="I2497" s="1367" t="s">
        <v>4234</v>
      </c>
      <c r="J2497" s="1367">
        <v>3.0</v>
      </c>
      <c r="K2497" s="1367"/>
      <c r="L2497" s="1367"/>
      <c r="M2497" s="1010"/>
    </row>
    <row r="2498">
      <c r="A2498" s="1375" t="s">
        <v>2162</v>
      </c>
      <c r="B2498" s="1380">
        <f t="shared" si="18"/>
        <v>9</v>
      </c>
      <c r="C2498" s="1367"/>
      <c r="D2498" s="1381" t="s">
        <v>2097</v>
      </c>
      <c r="E2498" s="1165">
        <v>7.0</v>
      </c>
      <c r="F2498" s="1367"/>
      <c r="G2498" s="1367" t="s">
        <v>2097</v>
      </c>
      <c r="H2498" s="1367" t="s">
        <v>4171</v>
      </c>
      <c r="I2498" s="1367" t="s">
        <v>4233</v>
      </c>
      <c r="J2498" s="1367">
        <v>7.0</v>
      </c>
      <c r="K2498" s="1367"/>
      <c r="L2498" s="1367"/>
      <c r="M2498" s="1010"/>
    </row>
    <row r="2499">
      <c r="A2499" s="1375" t="s">
        <v>2166</v>
      </c>
      <c r="B2499" s="1380">
        <f t="shared" si="18"/>
        <v>3</v>
      </c>
      <c r="C2499" s="1367"/>
      <c r="D2499" s="1381" t="s">
        <v>2098</v>
      </c>
      <c r="E2499" s="1165">
        <v>5.0</v>
      </c>
      <c r="F2499" s="1367"/>
      <c r="G2499" s="1367" t="s">
        <v>2098</v>
      </c>
      <c r="H2499" s="1367" t="s">
        <v>4176</v>
      </c>
      <c r="I2499" s="1367" t="s">
        <v>4233</v>
      </c>
      <c r="J2499" s="1367">
        <v>5.0</v>
      </c>
      <c r="K2499" s="1367"/>
      <c r="L2499" s="1367"/>
      <c r="M2499" s="1010"/>
    </row>
    <row r="2500">
      <c r="A2500" s="1375" t="s">
        <v>2167</v>
      </c>
      <c r="B2500" s="1380">
        <f t="shared" si="18"/>
        <v>11</v>
      </c>
      <c r="C2500" s="1367"/>
      <c r="D2500" s="1381" t="s">
        <v>2098</v>
      </c>
      <c r="E2500" s="1165">
        <v>1.0</v>
      </c>
      <c r="F2500" s="1367"/>
      <c r="G2500" s="1367" t="s">
        <v>2098</v>
      </c>
      <c r="H2500" s="1367" t="s">
        <v>4176</v>
      </c>
      <c r="I2500" s="1367" t="s">
        <v>4234</v>
      </c>
      <c r="J2500" s="1367">
        <v>1.0</v>
      </c>
      <c r="K2500" s="1367"/>
      <c r="L2500" s="1367"/>
      <c r="M2500" s="1010"/>
    </row>
    <row r="2501">
      <c r="A2501" s="1375" t="s">
        <v>2168</v>
      </c>
      <c r="B2501" s="1380">
        <f t="shared" si="18"/>
        <v>27</v>
      </c>
      <c r="C2501" s="1367"/>
      <c r="D2501" s="1381" t="s">
        <v>727</v>
      </c>
      <c r="E2501" s="1165">
        <v>3.0</v>
      </c>
      <c r="F2501" s="1367"/>
      <c r="G2501" s="1367" t="s">
        <v>727</v>
      </c>
      <c r="H2501" s="1367" t="s">
        <v>4171</v>
      </c>
      <c r="I2501" s="1367" t="s">
        <v>4234</v>
      </c>
      <c r="J2501" s="1367">
        <v>3.0</v>
      </c>
      <c r="K2501" s="1367"/>
      <c r="L2501" s="1367"/>
      <c r="M2501" s="1010"/>
    </row>
    <row r="2502">
      <c r="A2502" s="1375" t="s">
        <v>2169</v>
      </c>
      <c r="B2502" s="1380">
        <f t="shared" si="18"/>
        <v>24</v>
      </c>
      <c r="C2502" s="1367"/>
      <c r="D2502" s="1381" t="s">
        <v>2100</v>
      </c>
      <c r="E2502" s="1165">
        <v>3.0</v>
      </c>
      <c r="F2502" s="1367"/>
      <c r="G2502" s="1367" t="s">
        <v>2100</v>
      </c>
      <c r="H2502" s="1367" t="s">
        <v>4171</v>
      </c>
      <c r="I2502" s="1367" t="s">
        <v>4233</v>
      </c>
      <c r="J2502" s="1367">
        <v>3.0</v>
      </c>
      <c r="K2502" s="1367"/>
      <c r="L2502" s="1367"/>
      <c r="M2502" s="1010"/>
    </row>
    <row r="2503">
      <c r="A2503" s="1375" t="s">
        <v>175</v>
      </c>
      <c r="B2503" s="1380">
        <f t="shared" si="18"/>
        <v>2</v>
      </c>
      <c r="C2503" s="1367"/>
      <c r="D2503" s="1381" t="s">
        <v>2100</v>
      </c>
      <c r="E2503" s="1165">
        <v>4.0</v>
      </c>
      <c r="F2503" s="1367"/>
      <c r="G2503" s="1367" t="s">
        <v>2100</v>
      </c>
      <c r="H2503" s="1367" t="s">
        <v>4171</v>
      </c>
      <c r="I2503" s="1367" t="s">
        <v>4234</v>
      </c>
      <c r="J2503" s="1367">
        <v>4.0</v>
      </c>
      <c r="K2503" s="1367"/>
      <c r="L2503" s="1367"/>
      <c r="M2503" s="1010"/>
    </row>
    <row r="2504">
      <c r="A2504" s="1375" t="s">
        <v>2170</v>
      </c>
      <c r="B2504" s="1380">
        <f t="shared" si="18"/>
        <v>2</v>
      </c>
      <c r="C2504" s="1367"/>
      <c r="D2504" s="1381" t="s">
        <v>2101</v>
      </c>
      <c r="E2504" s="1165">
        <v>1.0</v>
      </c>
      <c r="F2504" s="1367"/>
      <c r="G2504" s="1367" t="s">
        <v>2101</v>
      </c>
      <c r="H2504" s="1367" t="s">
        <v>4162</v>
      </c>
      <c r="I2504" s="1367" t="s">
        <v>4233</v>
      </c>
      <c r="J2504" s="1367">
        <v>1.0</v>
      </c>
      <c r="K2504" s="1367"/>
      <c r="L2504" s="1367"/>
      <c r="M2504" s="1010"/>
    </row>
    <row r="2505">
      <c r="A2505" s="1375" t="s">
        <v>1669</v>
      </c>
      <c r="B2505" s="1380">
        <f t="shared" si="18"/>
        <v>8</v>
      </c>
      <c r="C2505" s="1367"/>
      <c r="D2505" s="1381" t="s">
        <v>2103</v>
      </c>
      <c r="E2505" s="1165">
        <v>3.0</v>
      </c>
      <c r="F2505" s="1367"/>
      <c r="G2505" s="1367" t="s">
        <v>2103</v>
      </c>
      <c r="H2505" s="1367" t="s">
        <v>4168</v>
      </c>
      <c r="I2505" s="1367" t="s">
        <v>4233</v>
      </c>
      <c r="J2505" s="1367">
        <v>3.0</v>
      </c>
      <c r="K2505" s="1367"/>
      <c r="L2505" s="1367"/>
      <c r="M2505" s="1010"/>
    </row>
    <row r="2506">
      <c r="A2506" s="1375" t="s">
        <v>119</v>
      </c>
      <c r="B2506" s="1380">
        <f t="shared" si="18"/>
        <v>5</v>
      </c>
      <c r="C2506" s="1367"/>
      <c r="D2506" s="1381" t="s">
        <v>2103</v>
      </c>
      <c r="E2506" s="1165">
        <v>2.0</v>
      </c>
      <c r="F2506" s="1367"/>
      <c r="G2506" s="1367" t="s">
        <v>2103</v>
      </c>
      <c r="H2506" s="1367" t="s">
        <v>4168</v>
      </c>
      <c r="I2506" s="1367" t="s">
        <v>4234</v>
      </c>
      <c r="J2506" s="1367">
        <v>2.0</v>
      </c>
      <c r="K2506" s="1367"/>
      <c r="L2506" s="1367"/>
      <c r="M2506" s="1010"/>
    </row>
    <row r="2507">
      <c r="A2507" s="1375" t="s">
        <v>2172</v>
      </c>
      <c r="B2507" s="1380">
        <f t="shared" si="18"/>
        <v>63</v>
      </c>
      <c r="C2507" s="1367"/>
      <c r="D2507" s="1381" t="s">
        <v>728</v>
      </c>
      <c r="E2507" s="1165">
        <v>1.0</v>
      </c>
      <c r="F2507" s="1367"/>
      <c r="G2507" s="1367" t="s">
        <v>728</v>
      </c>
      <c r="H2507" s="1367" t="s">
        <v>4169</v>
      </c>
      <c r="I2507" s="1367" t="s">
        <v>4234</v>
      </c>
      <c r="J2507" s="1367">
        <v>1.0</v>
      </c>
      <c r="K2507" s="1367"/>
      <c r="L2507" s="1367"/>
      <c r="M2507" s="1010"/>
    </row>
    <row r="2508">
      <c r="A2508" s="1375" t="s">
        <v>2173</v>
      </c>
      <c r="B2508" s="1380">
        <f t="shared" si="18"/>
        <v>5</v>
      </c>
      <c r="C2508" s="1367"/>
      <c r="D2508" s="1381" t="s">
        <v>144</v>
      </c>
      <c r="E2508" s="1165">
        <v>14.0</v>
      </c>
      <c r="F2508" s="1367"/>
      <c r="G2508" s="1367" t="s">
        <v>144</v>
      </c>
      <c r="H2508" s="1367" t="s">
        <v>4155</v>
      </c>
      <c r="I2508" s="1367" t="s">
        <v>4233</v>
      </c>
      <c r="J2508" s="1367">
        <v>14.0</v>
      </c>
      <c r="K2508" s="1367"/>
      <c r="L2508" s="1367"/>
      <c r="M2508" s="1010"/>
    </row>
    <row r="2509">
      <c r="A2509" s="1375" t="s">
        <v>1020</v>
      </c>
      <c r="B2509" s="1380">
        <f t="shared" si="18"/>
        <v>45</v>
      </c>
      <c r="C2509" s="1367"/>
      <c r="D2509" s="1381" t="s">
        <v>144</v>
      </c>
      <c r="E2509" s="1165">
        <v>18.0</v>
      </c>
      <c r="F2509" s="1367"/>
      <c r="G2509" s="1367" t="s">
        <v>144</v>
      </c>
      <c r="H2509" s="1367" t="s">
        <v>4155</v>
      </c>
      <c r="I2509" s="1367" t="s">
        <v>4234</v>
      </c>
      <c r="J2509" s="1367">
        <v>18.0</v>
      </c>
      <c r="K2509" s="1367"/>
      <c r="L2509" s="1367"/>
      <c r="M2509" s="1010"/>
    </row>
    <row r="2510">
      <c r="A2510" s="1375" t="s">
        <v>2174</v>
      </c>
      <c r="B2510" s="1380">
        <f t="shared" si="18"/>
        <v>10</v>
      </c>
      <c r="C2510" s="1367"/>
      <c r="D2510" s="1381" t="s">
        <v>2104</v>
      </c>
      <c r="E2510" s="1165">
        <v>3.0</v>
      </c>
      <c r="F2510" s="1367"/>
      <c r="G2510" s="1367" t="s">
        <v>2104</v>
      </c>
      <c r="H2510" s="1367" t="s">
        <v>4170</v>
      </c>
      <c r="I2510" s="1367" t="s">
        <v>4233</v>
      </c>
      <c r="J2510" s="1367">
        <v>3.0</v>
      </c>
      <c r="K2510" s="1367"/>
      <c r="L2510" s="1367"/>
      <c r="M2510" s="1010"/>
    </row>
    <row r="2511">
      <c r="A2511" s="1375" t="s">
        <v>2176</v>
      </c>
      <c r="B2511" s="1380">
        <f t="shared" si="18"/>
        <v>4</v>
      </c>
      <c r="C2511" s="1367"/>
      <c r="D2511" s="1381" t="s">
        <v>2105</v>
      </c>
      <c r="E2511" s="1165">
        <v>4.0</v>
      </c>
      <c r="F2511" s="1367"/>
      <c r="G2511" s="1367" t="s">
        <v>2105</v>
      </c>
      <c r="H2511" s="1367" t="s">
        <v>4173</v>
      </c>
      <c r="I2511" s="1367" t="s">
        <v>4233</v>
      </c>
      <c r="J2511" s="1367">
        <v>4.0</v>
      </c>
      <c r="K2511" s="1367"/>
      <c r="L2511" s="1367"/>
      <c r="M2511" s="1010"/>
    </row>
    <row r="2512">
      <c r="A2512" s="1375" t="s">
        <v>627</v>
      </c>
      <c r="B2512" s="1380">
        <f t="shared" si="18"/>
        <v>32</v>
      </c>
      <c r="C2512" s="1367"/>
      <c r="D2512" s="1381" t="s">
        <v>2105</v>
      </c>
      <c r="E2512" s="1165">
        <v>9.0</v>
      </c>
      <c r="F2512" s="1367"/>
      <c r="G2512" s="1367" t="s">
        <v>2105</v>
      </c>
      <c r="H2512" s="1367" t="s">
        <v>4173</v>
      </c>
      <c r="I2512" s="1367" t="s">
        <v>4234</v>
      </c>
      <c r="J2512" s="1367">
        <v>9.0</v>
      </c>
      <c r="K2512" s="1367"/>
      <c r="L2512" s="1367"/>
      <c r="M2512" s="1010"/>
    </row>
    <row r="2513">
      <c r="A2513" s="1375" t="s">
        <v>1021</v>
      </c>
      <c r="B2513" s="1380">
        <f t="shared" si="18"/>
        <v>8</v>
      </c>
      <c r="C2513" s="1367"/>
      <c r="D2513" s="1381" t="s">
        <v>729</v>
      </c>
      <c r="E2513" s="1165">
        <v>1.0</v>
      </c>
      <c r="F2513" s="1367"/>
      <c r="G2513" s="1367" t="s">
        <v>729</v>
      </c>
      <c r="H2513" s="1367" t="s">
        <v>4171</v>
      </c>
      <c r="I2513" s="1367" t="s">
        <v>4233</v>
      </c>
      <c r="J2513" s="1367">
        <v>1.0</v>
      </c>
      <c r="K2513" s="1367"/>
      <c r="L2513" s="1367"/>
      <c r="M2513" s="1010"/>
    </row>
    <row r="2514">
      <c r="A2514" s="1375" t="s">
        <v>2177</v>
      </c>
      <c r="B2514" s="1380">
        <f t="shared" si="18"/>
        <v>1</v>
      </c>
      <c r="C2514" s="1367"/>
      <c r="D2514" s="1381" t="s">
        <v>729</v>
      </c>
      <c r="E2514" s="1165">
        <v>1.0</v>
      </c>
      <c r="F2514" s="1367"/>
      <c r="G2514" s="1367" t="s">
        <v>729</v>
      </c>
      <c r="H2514" s="1367" t="s">
        <v>4171</v>
      </c>
      <c r="I2514" s="1367" t="s">
        <v>4234</v>
      </c>
      <c r="J2514" s="1367">
        <v>1.0</v>
      </c>
      <c r="K2514" s="1367"/>
      <c r="L2514" s="1367"/>
      <c r="M2514" s="1010"/>
    </row>
    <row r="2515">
      <c r="A2515" s="1375" t="s">
        <v>2178</v>
      </c>
      <c r="B2515" s="1380">
        <f t="shared" si="18"/>
        <v>19</v>
      </c>
      <c r="C2515" s="1367"/>
      <c r="D2515" s="1381" t="s">
        <v>2106</v>
      </c>
      <c r="E2515" s="1165">
        <v>1.0</v>
      </c>
      <c r="F2515" s="1367"/>
      <c r="G2515" s="1367" t="s">
        <v>2106</v>
      </c>
      <c r="H2515" s="1367" t="s">
        <v>4171</v>
      </c>
      <c r="I2515" s="1367" t="s">
        <v>4233</v>
      </c>
      <c r="J2515" s="1367">
        <v>1.0</v>
      </c>
      <c r="K2515" s="1367"/>
      <c r="L2515" s="1367"/>
      <c r="M2515" s="1010"/>
    </row>
    <row r="2516">
      <c r="A2516" s="1375" t="s">
        <v>1703</v>
      </c>
      <c r="B2516" s="1380">
        <f t="shared" si="18"/>
        <v>5</v>
      </c>
      <c r="C2516" s="1367"/>
      <c r="D2516" s="1381" t="s">
        <v>147</v>
      </c>
      <c r="E2516" s="1165">
        <v>2.0</v>
      </c>
      <c r="F2516" s="1367"/>
      <c r="G2516" s="1367" t="s">
        <v>147</v>
      </c>
      <c r="H2516" s="1367" t="s">
        <v>4173</v>
      </c>
      <c r="I2516" s="1367" t="s">
        <v>4234</v>
      </c>
      <c r="J2516" s="1367">
        <v>2.0</v>
      </c>
      <c r="K2516" s="1367"/>
      <c r="L2516" s="1367"/>
      <c r="M2516" s="1010"/>
    </row>
    <row r="2517">
      <c r="A2517" s="1375" t="s">
        <v>2179</v>
      </c>
      <c r="B2517" s="1380">
        <f t="shared" si="18"/>
        <v>5</v>
      </c>
      <c r="C2517" s="1367"/>
      <c r="D2517" s="1381" t="s">
        <v>505</v>
      </c>
      <c r="E2517" s="1165">
        <v>1.0</v>
      </c>
      <c r="F2517" s="1367"/>
      <c r="G2517" s="1367" t="s">
        <v>505</v>
      </c>
      <c r="H2517" s="1367" t="s">
        <v>4173</v>
      </c>
      <c r="I2517" s="1367" t="s">
        <v>4234</v>
      </c>
      <c r="J2517" s="1367">
        <v>1.0</v>
      </c>
      <c r="K2517" s="1367"/>
      <c r="L2517" s="1367"/>
      <c r="M2517" s="1010"/>
    </row>
    <row r="2518">
      <c r="A2518" s="1375" t="s">
        <v>2181</v>
      </c>
      <c r="B2518" s="1380">
        <f t="shared" si="18"/>
        <v>1</v>
      </c>
      <c r="C2518" s="1367"/>
      <c r="D2518" s="1381" t="s">
        <v>508</v>
      </c>
      <c r="E2518" s="1165">
        <v>4.0</v>
      </c>
      <c r="F2518" s="1367"/>
      <c r="G2518" s="1367" t="s">
        <v>508</v>
      </c>
      <c r="H2518" s="1367" t="s">
        <v>4172</v>
      </c>
      <c r="I2518" s="1367" t="s">
        <v>4233</v>
      </c>
      <c r="J2518" s="1367">
        <v>4.0</v>
      </c>
      <c r="K2518" s="1367"/>
      <c r="L2518" s="1367"/>
      <c r="M2518" s="1010"/>
    </row>
    <row r="2519">
      <c r="A2519" s="1375" t="s">
        <v>2182</v>
      </c>
      <c r="B2519" s="1380">
        <f t="shared" si="18"/>
        <v>9</v>
      </c>
      <c r="C2519" s="1367"/>
      <c r="D2519" s="1381" t="s">
        <v>508</v>
      </c>
      <c r="E2519" s="1165">
        <v>4.0</v>
      </c>
      <c r="F2519" s="1367"/>
      <c r="G2519" s="1367" t="s">
        <v>508</v>
      </c>
      <c r="H2519" s="1367" t="s">
        <v>4172</v>
      </c>
      <c r="I2519" s="1367" t="s">
        <v>4234</v>
      </c>
      <c r="J2519" s="1367">
        <v>4.0</v>
      </c>
      <c r="K2519" s="1367"/>
      <c r="L2519" s="1367"/>
      <c r="M2519" s="1010"/>
    </row>
    <row r="2520">
      <c r="A2520" s="1375" t="s">
        <v>2183</v>
      </c>
      <c r="B2520" s="1380">
        <f t="shared" si="18"/>
        <v>3</v>
      </c>
      <c r="C2520" s="1367"/>
      <c r="D2520" s="1381" t="s">
        <v>148</v>
      </c>
      <c r="E2520" s="1165">
        <v>11.0</v>
      </c>
      <c r="F2520" s="1367"/>
      <c r="G2520" s="1367" t="s">
        <v>148</v>
      </c>
      <c r="H2520" s="1367" t="s">
        <v>4173</v>
      </c>
      <c r="I2520" s="1367" t="s">
        <v>4234</v>
      </c>
      <c r="J2520" s="1367">
        <v>11.0</v>
      </c>
      <c r="K2520" s="1367"/>
      <c r="L2520" s="1367"/>
      <c r="M2520" s="1010"/>
    </row>
    <row r="2521">
      <c r="A2521" s="1410" t="s">
        <v>4237</v>
      </c>
      <c r="B2521" s="1413">
        <f>sum($B$2319:$B$2520)</f>
        <v>4679</v>
      </c>
      <c r="C2521" s="1367"/>
      <c r="D2521" s="1381" t="s">
        <v>2109</v>
      </c>
      <c r="E2521" s="1165">
        <v>1.0</v>
      </c>
      <c r="F2521" s="1367"/>
      <c r="G2521" s="1367" t="s">
        <v>2109</v>
      </c>
      <c r="H2521" s="1367" t="s">
        <v>4173</v>
      </c>
      <c r="I2521" s="1367" t="s">
        <v>4233</v>
      </c>
      <c r="J2521" s="1367">
        <v>1.0</v>
      </c>
      <c r="K2521" s="1367"/>
      <c r="L2521" s="1367"/>
      <c r="M2521" s="1010"/>
    </row>
    <row r="2522">
      <c r="A2522" s="1367"/>
      <c r="B2522" s="1367"/>
      <c r="C2522" s="1367"/>
      <c r="D2522" s="1381" t="s">
        <v>2109</v>
      </c>
      <c r="E2522" s="1165">
        <v>9.0</v>
      </c>
      <c r="F2522" s="1367"/>
      <c r="G2522" s="1367" t="s">
        <v>2109</v>
      </c>
      <c r="H2522" s="1367" t="s">
        <v>4173</v>
      </c>
      <c r="I2522" s="1367" t="s">
        <v>4234</v>
      </c>
      <c r="J2522" s="1367">
        <v>9.0</v>
      </c>
      <c r="K2522" s="1367"/>
      <c r="L2522" s="1367"/>
      <c r="M2522" s="1010"/>
    </row>
    <row r="2523">
      <c r="A2523" s="1367"/>
      <c r="B2523" s="1367"/>
      <c r="C2523" s="1367"/>
      <c r="D2523" s="1381" t="s">
        <v>2111</v>
      </c>
      <c r="E2523" s="1165">
        <v>66.0</v>
      </c>
      <c r="F2523" s="1367"/>
      <c r="G2523" s="1367" t="s">
        <v>2111</v>
      </c>
      <c r="H2523" s="1367" t="s">
        <v>4170</v>
      </c>
      <c r="I2523" s="1367" t="s">
        <v>4233</v>
      </c>
      <c r="J2523" s="1367">
        <v>66.0</v>
      </c>
      <c r="K2523" s="1367"/>
      <c r="L2523" s="1367"/>
      <c r="M2523" s="1010"/>
    </row>
    <row r="2524">
      <c r="A2524" s="1367"/>
      <c r="B2524" s="1367"/>
      <c r="C2524" s="1367"/>
      <c r="D2524" s="1381" t="s">
        <v>2111</v>
      </c>
      <c r="E2524" s="1165">
        <v>59.0</v>
      </c>
      <c r="F2524" s="1367"/>
      <c r="G2524" s="1367" t="s">
        <v>2111</v>
      </c>
      <c r="H2524" s="1367" t="s">
        <v>4170</v>
      </c>
      <c r="I2524" s="1367" t="s">
        <v>4234</v>
      </c>
      <c r="J2524" s="1367">
        <v>59.0</v>
      </c>
      <c r="K2524" s="1367"/>
      <c r="L2524" s="1367"/>
      <c r="M2524" s="1010"/>
    </row>
    <row r="2525">
      <c r="A2525" s="1367"/>
      <c r="B2525" s="1367"/>
      <c r="C2525" s="1367"/>
      <c r="D2525" s="1381" t="s">
        <v>2112</v>
      </c>
      <c r="E2525" s="1165">
        <v>1.0</v>
      </c>
      <c r="F2525" s="1367"/>
      <c r="G2525" s="1367" t="s">
        <v>2112</v>
      </c>
      <c r="H2525" s="1367" t="s">
        <v>4170</v>
      </c>
      <c r="I2525" s="1367" t="s">
        <v>4233</v>
      </c>
      <c r="J2525" s="1367">
        <v>1.0</v>
      </c>
      <c r="K2525" s="1367"/>
      <c r="L2525" s="1367"/>
      <c r="M2525" s="1010"/>
    </row>
    <row r="2526">
      <c r="A2526" s="1367"/>
      <c r="B2526" s="1367"/>
      <c r="C2526" s="1367"/>
      <c r="D2526" s="1381" t="s">
        <v>2112</v>
      </c>
      <c r="E2526" s="1165">
        <v>3.0</v>
      </c>
      <c r="F2526" s="1367"/>
      <c r="G2526" s="1367" t="s">
        <v>2112</v>
      </c>
      <c r="H2526" s="1367" t="s">
        <v>4170</v>
      </c>
      <c r="I2526" s="1367" t="s">
        <v>4234</v>
      </c>
      <c r="J2526" s="1367">
        <v>3.0</v>
      </c>
      <c r="K2526" s="1367"/>
      <c r="L2526" s="1367"/>
      <c r="M2526" s="1010"/>
    </row>
    <row r="2527">
      <c r="A2527" s="1367"/>
      <c r="B2527" s="1367"/>
      <c r="C2527" s="1367"/>
      <c r="D2527" s="1381" t="s">
        <v>151</v>
      </c>
      <c r="E2527" s="1165">
        <v>2.0</v>
      </c>
      <c r="F2527" s="1367"/>
      <c r="G2527" s="1367" t="s">
        <v>151</v>
      </c>
      <c r="H2527" s="1367" t="s">
        <v>4173</v>
      </c>
      <c r="I2527" s="1367" t="s">
        <v>4234</v>
      </c>
      <c r="J2527" s="1367">
        <v>2.0</v>
      </c>
      <c r="K2527" s="1367"/>
      <c r="L2527" s="1367"/>
      <c r="M2527" s="1010"/>
    </row>
    <row r="2528">
      <c r="A2528" s="1367"/>
      <c r="B2528" s="1367"/>
      <c r="C2528" s="1367"/>
      <c r="D2528" s="1381" t="s">
        <v>153</v>
      </c>
      <c r="E2528" s="1165">
        <v>2.0</v>
      </c>
      <c r="F2528" s="1367"/>
      <c r="G2528" s="1367" t="s">
        <v>153</v>
      </c>
      <c r="H2528" s="1367" t="s">
        <v>4155</v>
      </c>
      <c r="I2528" s="1367" t="s">
        <v>4233</v>
      </c>
      <c r="J2528" s="1367">
        <v>2.0</v>
      </c>
      <c r="K2528" s="1367"/>
      <c r="L2528" s="1367"/>
      <c r="M2528" s="1010"/>
    </row>
    <row r="2529">
      <c r="A2529" s="1367"/>
      <c r="B2529" s="1367"/>
      <c r="C2529" s="1367"/>
      <c r="D2529" s="1381" t="s">
        <v>735</v>
      </c>
      <c r="E2529" s="1165">
        <v>1.0</v>
      </c>
      <c r="F2529" s="1367"/>
      <c r="G2529" s="1367" t="s">
        <v>735</v>
      </c>
      <c r="H2529" s="1367" t="s">
        <v>4162</v>
      </c>
      <c r="I2529" s="1367" t="s">
        <v>4233</v>
      </c>
      <c r="J2529" s="1367">
        <v>1.0</v>
      </c>
      <c r="K2529" s="1367"/>
      <c r="L2529" s="1367"/>
      <c r="M2529" s="1010"/>
    </row>
    <row r="2530">
      <c r="A2530" s="1367"/>
      <c r="B2530" s="1367"/>
      <c r="C2530" s="1367"/>
      <c r="D2530" s="1381" t="s">
        <v>2116</v>
      </c>
      <c r="E2530" s="1165">
        <v>1.0</v>
      </c>
      <c r="F2530" s="1367"/>
      <c r="G2530" s="1367" t="s">
        <v>2116</v>
      </c>
      <c r="H2530" s="1367" t="s">
        <v>4172</v>
      </c>
      <c r="I2530" s="1367" t="s">
        <v>4233</v>
      </c>
      <c r="J2530" s="1367">
        <v>1.0</v>
      </c>
      <c r="K2530" s="1367"/>
      <c r="L2530" s="1367"/>
      <c r="M2530" s="1010"/>
    </row>
    <row r="2531">
      <c r="A2531" s="1367"/>
      <c r="B2531" s="1367"/>
      <c r="C2531" s="1367"/>
      <c r="D2531" s="1381" t="s">
        <v>2116</v>
      </c>
      <c r="E2531" s="1165">
        <v>2.0</v>
      </c>
      <c r="F2531" s="1367"/>
      <c r="G2531" s="1367" t="s">
        <v>2116</v>
      </c>
      <c r="H2531" s="1367" t="s">
        <v>4172</v>
      </c>
      <c r="I2531" s="1367" t="s">
        <v>4234</v>
      </c>
      <c r="J2531" s="1367">
        <v>2.0</v>
      </c>
      <c r="K2531" s="1367"/>
      <c r="L2531" s="1367"/>
      <c r="M2531" s="1010"/>
    </row>
    <row r="2532">
      <c r="A2532" s="1367"/>
      <c r="B2532" s="1367"/>
      <c r="C2532" s="1367"/>
      <c r="D2532" s="1381" t="s">
        <v>2117</v>
      </c>
      <c r="E2532" s="1165">
        <v>7.0</v>
      </c>
      <c r="F2532" s="1367"/>
      <c r="G2532" s="1367" t="s">
        <v>2117</v>
      </c>
      <c r="H2532" s="1367" t="s">
        <v>4171</v>
      </c>
      <c r="I2532" s="1367" t="s">
        <v>4233</v>
      </c>
      <c r="J2532" s="1367">
        <v>7.0</v>
      </c>
      <c r="K2532" s="1367"/>
      <c r="L2532" s="1367"/>
      <c r="M2532" s="1010"/>
    </row>
    <row r="2533">
      <c r="A2533" s="1367"/>
      <c r="B2533" s="1367"/>
      <c r="C2533" s="1367"/>
      <c r="D2533" s="1381" t="s">
        <v>2117</v>
      </c>
      <c r="E2533" s="1165">
        <v>5.0</v>
      </c>
      <c r="F2533" s="1367"/>
      <c r="G2533" s="1367" t="s">
        <v>2117</v>
      </c>
      <c r="H2533" s="1367" t="s">
        <v>4171</v>
      </c>
      <c r="I2533" s="1367" t="s">
        <v>4234</v>
      </c>
      <c r="J2533" s="1367">
        <v>5.0</v>
      </c>
      <c r="K2533" s="1367"/>
      <c r="L2533" s="1367"/>
      <c r="M2533" s="1010"/>
    </row>
    <row r="2534">
      <c r="A2534" s="1367"/>
      <c r="B2534" s="1367"/>
      <c r="C2534" s="1367"/>
      <c r="D2534" s="1381" t="s">
        <v>2113</v>
      </c>
      <c r="E2534" s="1165">
        <v>3.0</v>
      </c>
      <c r="F2534" s="1367"/>
      <c r="G2534" s="1367" t="s">
        <v>2113</v>
      </c>
      <c r="H2534" s="1367" t="s">
        <v>4162</v>
      </c>
      <c r="I2534" s="1367" t="s">
        <v>4233</v>
      </c>
      <c r="J2534" s="1367">
        <v>3.0</v>
      </c>
      <c r="K2534" s="1367"/>
      <c r="L2534" s="1367"/>
      <c r="M2534" s="1010"/>
    </row>
    <row r="2535">
      <c r="A2535" s="1367"/>
      <c r="B2535" s="1367"/>
      <c r="C2535" s="1367"/>
      <c r="D2535" s="1381" t="s">
        <v>2113</v>
      </c>
      <c r="E2535" s="1165">
        <v>9.0</v>
      </c>
      <c r="F2535" s="1367"/>
      <c r="G2535" s="1367" t="s">
        <v>2113</v>
      </c>
      <c r="H2535" s="1367" t="s">
        <v>4162</v>
      </c>
      <c r="I2535" s="1367" t="s">
        <v>4234</v>
      </c>
      <c r="J2535" s="1367">
        <v>9.0</v>
      </c>
      <c r="K2535" s="1367"/>
      <c r="L2535" s="1367"/>
      <c r="M2535" s="1010"/>
    </row>
    <row r="2536">
      <c r="A2536" s="1367"/>
      <c r="B2536" s="1367"/>
      <c r="C2536" s="1367"/>
      <c r="D2536" s="1381" t="s">
        <v>2114</v>
      </c>
      <c r="E2536" s="1165">
        <v>29.0</v>
      </c>
      <c r="F2536" s="1367"/>
      <c r="G2536" s="1367" t="s">
        <v>2114</v>
      </c>
      <c r="H2536" s="1367" t="s">
        <v>4173</v>
      </c>
      <c r="I2536" s="1367" t="s">
        <v>4233</v>
      </c>
      <c r="J2536" s="1367">
        <v>29.0</v>
      </c>
      <c r="K2536" s="1367"/>
      <c r="L2536" s="1367"/>
      <c r="M2536" s="1010"/>
    </row>
    <row r="2537">
      <c r="A2537" s="1367"/>
      <c r="B2537" s="1367"/>
      <c r="C2537" s="1367"/>
      <c r="D2537" s="1381" t="s">
        <v>2114</v>
      </c>
      <c r="E2537" s="1165">
        <v>58.0</v>
      </c>
      <c r="F2537" s="1367"/>
      <c r="G2537" s="1367" t="s">
        <v>2114</v>
      </c>
      <c r="H2537" s="1367" t="s">
        <v>4173</v>
      </c>
      <c r="I2537" s="1367" t="s">
        <v>4234</v>
      </c>
      <c r="J2537" s="1367">
        <v>58.0</v>
      </c>
      <c r="K2537" s="1367"/>
      <c r="L2537" s="1367"/>
      <c r="M2537" s="1010"/>
    </row>
    <row r="2538">
      <c r="A2538" s="1367"/>
      <c r="B2538" s="1367"/>
      <c r="C2538" s="1367"/>
      <c r="D2538" s="1381" t="s">
        <v>1689</v>
      </c>
      <c r="E2538" s="1165">
        <v>8.0</v>
      </c>
      <c r="F2538" s="1367"/>
      <c r="G2538" s="1367" t="s">
        <v>1689</v>
      </c>
      <c r="H2538" s="1367" t="s">
        <v>4171</v>
      </c>
      <c r="I2538" s="1367" t="s">
        <v>4233</v>
      </c>
      <c r="J2538" s="1367">
        <v>8.0</v>
      </c>
      <c r="K2538" s="1367"/>
      <c r="L2538" s="1367"/>
      <c r="M2538" s="1010"/>
    </row>
    <row r="2539">
      <c r="A2539" s="1367"/>
      <c r="B2539" s="1367"/>
      <c r="C2539" s="1367"/>
      <c r="D2539" s="1381" t="s">
        <v>1689</v>
      </c>
      <c r="E2539" s="1165">
        <v>5.0</v>
      </c>
      <c r="F2539" s="1367"/>
      <c r="G2539" s="1367" t="s">
        <v>1689</v>
      </c>
      <c r="H2539" s="1367" t="s">
        <v>4171</v>
      </c>
      <c r="I2539" s="1367" t="s">
        <v>4234</v>
      </c>
      <c r="J2539" s="1367">
        <v>5.0</v>
      </c>
      <c r="K2539" s="1367"/>
      <c r="L2539" s="1367"/>
      <c r="M2539" s="1010"/>
    </row>
    <row r="2540">
      <c r="A2540" s="1367"/>
      <c r="B2540" s="1367"/>
      <c r="C2540" s="1367"/>
      <c r="D2540" s="1381" t="s">
        <v>1273</v>
      </c>
      <c r="E2540" s="1165">
        <v>9.0</v>
      </c>
      <c r="F2540" s="1367"/>
      <c r="G2540" s="1367" t="s">
        <v>1273</v>
      </c>
      <c r="H2540" s="1367" t="s">
        <v>4162</v>
      </c>
      <c r="I2540" s="1367" t="s">
        <v>4233</v>
      </c>
      <c r="J2540" s="1367">
        <v>9.0</v>
      </c>
      <c r="K2540" s="1367"/>
      <c r="L2540" s="1367"/>
      <c r="M2540" s="1010"/>
    </row>
    <row r="2541">
      <c r="A2541" s="1367"/>
      <c r="B2541" s="1367"/>
      <c r="C2541" s="1367"/>
      <c r="D2541" s="1381" t="s">
        <v>1273</v>
      </c>
      <c r="E2541" s="1165">
        <v>14.0</v>
      </c>
      <c r="F2541" s="1367"/>
      <c r="G2541" s="1367" t="s">
        <v>1273</v>
      </c>
      <c r="H2541" s="1367" t="s">
        <v>4162</v>
      </c>
      <c r="I2541" s="1367" t="s">
        <v>4234</v>
      </c>
      <c r="J2541" s="1367">
        <v>14.0</v>
      </c>
      <c r="K2541" s="1367"/>
      <c r="L2541" s="1367"/>
      <c r="M2541" s="1010"/>
    </row>
    <row r="2542">
      <c r="A2542" s="1367"/>
      <c r="B2542" s="1367"/>
      <c r="C2542" s="1367"/>
      <c r="D2542" s="1381" t="s">
        <v>2118</v>
      </c>
      <c r="E2542" s="1165">
        <v>5.0</v>
      </c>
      <c r="F2542" s="1367"/>
      <c r="G2542" s="1367" t="s">
        <v>2118</v>
      </c>
      <c r="H2542" s="1367" t="s">
        <v>4173</v>
      </c>
      <c r="I2542" s="1367" t="s">
        <v>4233</v>
      </c>
      <c r="J2542" s="1367">
        <v>5.0</v>
      </c>
      <c r="K2542" s="1367"/>
      <c r="L2542" s="1367"/>
      <c r="M2542" s="1010"/>
    </row>
    <row r="2543">
      <c r="A2543" s="1367"/>
      <c r="B2543" s="1367"/>
      <c r="C2543" s="1367"/>
      <c r="D2543" s="1381" t="s">
        <v>2118</v>
      </c>
      <c r="E2543" s="1165">
        <v>12.0</v>
      </c>
      <c r="F2543" s="1367"/>
      <c r="G2543" s="1367" t="s">
        <v>2118</v>
      </c>
      <c r="H2543" s="1367" t="s">
        <v>4173</v>
      </c>
      <c r="I2543" s="1367" t="s">
        <v>4234</v>
      </c>
      <c r="J2543" s="1367">
        <v>12.0</v>
      </c>
      <c r="K2543" s="1367"/>
      <c r="L2543" s="1367"/>
      <c r="M2543" s="1010"/>
    </row>
    <row r="2544">
      <c r="A2544" s="1367"/>
      <c r="B2544" s="1367"/>
      <c r="C2544" s="1367"/>
      <c r="D2544" s="1381" t="s">
        <v>913</v>
      </c>
      <c r="E2544" s="1165">
        <v>5.0</v>
      </c>
      <c r="F2544" s="1367"/>
      <c r="G2544" s="1367" t="s">
        <v>913</v>
      </c>
      <c r="H2544" s="1367" t="s">
        <v>4173</v>
      </c>
      <c r="I2544" s="1367" t="s">
        <v>4233</v>
      </c>
      <c r="J2544" s="1367">
        <v>5.0</v>
      </c>
      <c r="K2544" s="1367"/>
      <c r="L2544" s="1367"/>
      <c r="M2544" s="1010"/>
    </row>
    <row r="2545">
      <c r="A2545" s="1367"/>
      <c r="B2545" s="1367"/>
      <c r="C2545" s="1367"/>
      <c r="D2545" s="1381" t="s">
        <v>610</v>
      </c>
      <c r="E2545" s="1165">
        <v>1.0</v>
      </c>
      <c r="F2545" s="1367"/>
      <c r="G2545" s="1367" t="s">
        <v>610</v>
      </c>
      <c r="H2545" s="1367" t="s">
        <v>4169</v>
      </c>
      <c r="I2545" s="1367" t="s">
        <v>4233</v>
      </c>
      <c r="J2545" s="1367">
        <v>1.0</v>
      </c>
      <c r="K2545" s="1367"/>
      <c r="L2545" s="1367"/>
      <c r="M2545" s="1010"/>
    </row>
    <row r="2546">
      <c r="A2546" s="1367"/>
      <c r="B2546" s="1367"/>
      <c r="C2546" s="1367"/>
      <c r="D2546" s="1381" t="s">
        <v>610</v>
      </c>
      <c r="E2546" s="1165">
        <v>4.0</v>
      </c>
      <c r="F2546" s="1367"/>
      <c r="G2546" s="1367" t="s">
        <v>610</v>
      </c>
      <c r="H2546" s="1367" t="s">
        <v>4169</v>
      </c>
      <c r="I2546" s="1367" t="s">
        <v>4234</v>
      </c>
      <c r="J2546" s="1367">
        <v>4.0</v>
      </c>
      <c r="K2546" s="1367"/>
      <c r="L2546" s="1367"/>
      <c r="M2546" s="1010"/>
    </row>
    <row r="2547">
      <c r="A2547" s="1367"/>
      <c r="B2547" s="1367"/>
      <c r="C2547" s="1367"/>
      <c r="D2547" s="1381" t="s">
        <v>2119</v>
      </c>
      <c r="E2547" s="1165">
        <v>1.0</v>
      </c>
      <c r="F2547" s="1367"/>
      <c r="G2547" s="1367" t="s">
        <v>2119</v>
      </c>
      <c r="H2547" s="1367" t="s">
        <v>4169</v>
      </c>
      <c r="I2547" s="1367" t="s">
        <v>4233</v>
      </c>
      <c r="J2547" s="1367">
        <v>1.0</v>
      </c>
      <c r="K2547" s="1367"/>
      <c r="L2547" s="1367"/>
      <c r="M2547" s="1010"/>
    </row>
    <row r="2548">
      <c r="A2548" s="1367"/>
      <c r="B2548" s="1367"/>
      <c r="C2548" s="1367"/>
      <c r="D2548" s="1381" t="s">
        <v>2119</v>
      </c>
      <c r="E2548" s="1165">
        <v>1.0</v>
      </c>
      <c r="F2548" s="1367"/>
      <c r="G2548" s="1367" t="s">
        <v>2119</v>
      </c>
      <c r="H2548" s="1367" t="s">
        <v>4169</v>
      </c>
      <c r="I2548" s="1367" t="s">
        <v>4234</v>
      </c>
      <c r="J2548" s="1367">
        <v>1.0</v>
      </c>
      <c r="K2548" s="1367"/>
      <c r="L2548" s="1367"/>
      <c r="M2548" s="1010"/>
    </row>
    <row r="2549">
      <c r="A2549" s="1367"/>
      <c r="B2549" s="1367"/>
      <c r="C2549" s="1367"/>
      <c r="D2549" s="1381" t="s">
        <v>157</v>
      </c>
      <c r="E2549" s="1165">
        <v>35.0</v>
      </c>
      <c r="F2549" s="1367"/>
      <c r="G2549" s="1367" t="s">
        <v>157</v>
      </c>
      <c r="H2549" s="1367" t="s">
        <v>4172</v>
      </c>
      <c r="I2549" s="1367" t="s">
        <v>4233</v>
      </c>
      <c r="J2549" s="1367">
        <v>35.0</v>
      </c>
      <c r="K2549" s="1367"/>
      <c r="L2549" s="1367"/>
      <c r="M2549" s="1010"/>
    </row>
    <row r="2550">
      <c r="A2550" s="1367"/>
      <c r="B2550" s="1367"/>
      <c r="C2550" s="1367"/>
      <c r="D2550" s="1381" t="s">
        <v>157</v>
      </c>
      <c r="E2550" s="1165">
        <v>63.0</v>
      </c>
      <c r="F2550" s="1367"/>
      <c r="G2550" s="1367" t="s">
        <v>157</v>
      </c>
      <c r="H2550" s="1367" t="s">
        <v>4172</v>
      </c>
      <c r="I2550" s="1367" t="s">
        <v>4234</v>
      </c>
      <c r="J2550" s="1367">
        <v>63.0</v>
      </c>
      <c r="K2550" s="1367"/>
      <c r="L2550" s="1367"/>
      <c r="M2550" s="1010"/>
      <c r="Q2550" s="276"/>
      <c r="R2550" s="276"/>
      <c r="S2550" s="276"/>
      <c r="T2550" s="276"/>
      <c r="U2550" s="276"/>
      <c r="V2550" s="276"/>
      <c r="W2550" s="276"/>
      <c r="X2550" s="276"/>
      <c r="Y2550" s="276"/>
      <c r="Z2550" s="276"/>
      <c r="AA2550" s="276"/>
      <c r="AB2550" s="276"/>
      <c r="AC2550" s="276"/>
      <c r="AD2550" s="276"/>
      <c r="AE2550" s="276"/>
      <c r="AF2550" s="276"/>
    </row>
    <row r="2551">
      <c r="A2551" s="1367"/>
      <c r="B2551" s="1367"/>
      <c r="C2551" s="1367"/>
      <c r="D2551" s="1381" t="s">
        <v>1615</v>
      </c>
      <c r="E2551" s="1165">
        <v>1.0</v>
      </c>
      <c r="F2551" s="1367"/>
      <c r="G2551" s="1367" t="s">
        <v>1615</v>
      </c>
      <c r="H2551" s="1367" t="s">
        <v>4170</v>
      </c>
      <c r="I2551" s="1367" t="s">
        <v>4233</v>
      </c>
      <c r="J2551" s="1367">
        <v>1.0</v>
      </c>
      <c r="K2551" s="1367"/>
      <c r="L2551" s="1367"/>
      <c r="M2551" s="1010"/>
    </row>
    <row r="2552">
      <c r="A2552" s="1367"/>
      <c r="B2552" s="1367"/>
      <c r="C2552" s="1367"/>
      <c r="D2552" s="1381" t="s">
        <v>1615</v>
      </c>
      <c r="E2552" s="1165">
        <v>10.0</v>
      </c>
      <c r="F2552" s="1367"/>
      <c r="G2552" s="1367" t="s">
        <v>1615</v>
      </c>
      <c r="H2552" s="1367" t="s">
        <v>4170</v>
      </c>
      <c r="I2552" s="1367" t="s">
        <v>4234</v>
      </c>
      <c r="J2552" s="1367">
        <v>10.0</v>
      </c>
      <c r="K2552" s="1367"/>
      <c r="L2552" s="1367"/>
      <c r="M2552" s="1010"/>
    </row>
    <row r="2553">
      <c r="A2553" s="1367"/>
      <c r="B2553" s="1367"/>
      <c r="C2553" s="1367"/>
      <c r="D2553" s="1381" t="s">
        <v>990</v>
      </c>
      <c r="E2553" s="1165">
        <v>1.0</v>
      </c>
      <c r="F2553" s="1367"/>
      <c r="G2553" s="1367" t="s">
        <v>990</v>
      </c>
      <c r="H2553" s="1367" t="s">
        <v>4155</v>
      </c>
      <c r="I2553" s="1367" t="s">
        <v>4233</v>
      </c>
      <c r="J2553" s="1367">
        <v>1.0</v>
      </c>
      <c r="K2553" s="1367"/>
      <c r="L2553" s="1367"/>
      <c r="M2553" s="1010"/>
    </row>
    <row r="2554">
      <c r="A2554" s="1367"/>
      <c r="B2554" s="1367"/>
      <c r="C2554" s="1367"/>
      <c r="D2554" s="1381" t="s">
        <v>2121</v>
      </c>
      <c r="E2554" s="1165">
        <v>9.0</v>
      </c>
      <c r="F2554" s="1367"/>
      <c r="G2554" s="1367" t="s">
        <v>2121</v>
      </c>
      <c r="H2554" s="1367" t="s">
        <v>4164</v>
      </c>
      <c r="I2554" s="1367" t="s">
        <v>4233</v>
      </c>
      <c r="J2554" s="1367">
        <v>9.0</v>
      </c>
      <c r="K2554" s="1367"/>
      <c r="L2554" s="1367"/>
      <c r="M2554" s="1010"/>
    </row>
    <row r="2555">
      <c r="A2555" s="1367"/>
      <c r="B2555" s="1367"/>
      <c r="C2555" s="1367"/>
      <c r="D2555" s="1381" t="s">
        <v>2121</v>
      </c>
      <c r="E2555" s="1165">
        <v>16.0</v>
      </c>
      <c r="F2555" s="1367"/>
      <c r="G2555" s="1367" t="s">
        <v>2121</v>
      </c>
      <c r="H2555" s="1367" t="s">
        <v>4164</v>
      </c>
      <c r="I2555" s="1367" t="s">
        <v>4234</v>
      </c>
      <c r="J2555" s="1367">
        <v>16.0</v>
      </c>
      <c r="K2555" s="1367"/>
      <c r="L2555" s="1367"/>
      <c r="M2555" s="1010"/>
    </row>
    <row r="2556">
      <c r="A2556" s="1367"/>
      <c r="B2556" s="1367"/>
      <c r="C2556" s="1367"/>
      <c r="D2556" s="1381" t="s">
        <v>2122</v>
      </c>
      <c r="E2556" s="1165">
        <v>5.0</v>
      </c>
      <c r="F2556" s="1367"/>
      <c r="G2556" s="1367" t="s">
        <v>2122</v>
      </c>
      <c r="H2556" s="1367" t="s">
        <v>4176</v>
      </c>
      <c r="I2556" s="1367" t="s">
        <v>4233</v>
      </c>
      <c r="J2556" s="1367">
        <v>5.0</v>
      </c>
      <c r="K2556" s="1367"/>
      <c r="L2556" s="1367"/>
      <c r="M2556" s="1010"/>
    </row>
    <row r="2557">
      <c r="A2557" s="1367"/>
      <c r="B2557" s="1367"/>
      <c r="C2557" s="1367"/>
      <c r="D2557" s="1381" t="s">
        <v>2122</v>
      </c>
      <c r="E2557" s="1165">
        <v>2.0</v>
      </c>
      <c r="F2557" s="1367"/>
      <c r="G2557" s="1367" t="s">
        <v>2122</v>
      </c>
      <c r="H2557" s="1367" t="s">
        <v>4176</v>
      </c>
      <c r="I2557" s="1367" t="s">
        <v>4234</v>
      </c>
      <c r="J2557" s="1367">
        <v>2.0</v>
      </c>
      <c r="K2557" s="1367"/>
      <c r="L2557" s="1367"/>
      <c r="M2557" s="1010"/>
    </row>
    <row r="2558">
      <c r="A2558" s="1367"/>
      <c r="B2558" s="1367"/>
      <c r="C2558" s="1367"/>
      <c r="D2558" s="1381" t="s">
        <v>2123</v>
      </c>
      <c r="E2558" s="1165">
        <v>3.0</v>
      </c>
      <c r="F2558" s="1367"/>
      <c r="G2558" s="1367" t="s">
        <v>2123</v>
      </c>
      <c r="H2558" s="1367" t="s">
        <v>4169</v>
      </c>
      <c r="I2558" s="1367" t="s">
        <v>4233</v>
      </c>
      <c r="J2558" s="1367">
        <v>3.0</v>
      </c>
      <c r="K2558" s="1367"/>
      <c r="L2558" s="1367"/>
      <c r="M2558" s="1010"/>
    </row>
    <row r="2559">
      <c r="A2559" s="1367"/>
      <c r="B2559" s="1367"/>
      <c r="C2559" s="1367"/>
      <c r="D2559" s="1381" t="s">
        <v>2123</v>
      </c>
      <c r="E2559" s="1165">
        <v>1.0</v>
      </c>
      <c r="F2559" s="1367"/>
      <c r="G2559" s="1367" t="s">
        <v>2123</v>
      </c>
      <c r="H2559" s="1367" t="s">
        <v>4169</v>
      </c>
      <c r="I2559" s="1367" t="s">
        <v>4234</v>
      </c>
      <c r="J2559" s="1367">
        <v>1.0</v>
      </c>
      <c r="K2559" s="1367"/>
      <c r="L2559" s="1367"/>
      <c r="M2559" s="1010"/>
    </row>
    <row r="2560">
      <c r="A2560" s="1367"/>
      <c r="B2560" s="1367"/>
      <c r="C2560" s="1367"/>
      <c r="D2560" s="1381" t="s">
        <v>2124</v>
      </c>
      <c r="E2560" s="1165">
        <v>45.0</v>
      </c>
      <c r="F2560" s="1367"/>
      <c r="G2560" s="1367" t="s">
        <v>2124</v>
      </c>
      <c r="H2560" s="1367" t="s">
        <v>4168</v>
      </c>
      <c r="I2560" s="1367" t="s">
        <v>4233</v>
      </c>
      <c r="J2560" s="1367">
        <v>45.0</v>
      </c>
      <c r="K2560" s="1367"/>
      <c r="L2560" s="1367"/>
      <c r="M2560" s="1010"/>
    </row>
    <row r="2561">
      <c r="A2561" s="1367"/>
      <c r="B2561" s="1367"/>
      <c r="C2561" s="1367"/>
      <c r="D2561" s="1381" t="s">
        <v>2124</v>
      </c>
      <c r="E2561" s="1165">
        <v>39.0</v>
      </c>
      <c r="F2561" s="1367"/>
      <c r="G2561" s="1367" t="s">
        <v>2124</v>
      </c>
      <c r="H2561" s="1367" t="s">
        <v>4168</v>
      </c>
      <c r="I2561" s="1367" t="s">
        <v>4234</v>
      </c>
      <c r="J2561" s="1367">
        <v>39.0</v>
      </c>
      <c r="K2561" s="1367"/>
      <c r="L2561" s="1367"/>
      <c r="M2561" s="1010"/>
    </row>
    <row r="2562">
      <c r="A2562" s="1367"/>
      <c r="B2562" s="1367"/>
      <c r="C2562" s="1367"/>
      <c r="D2562" s="1381" t="s">
        <v>2125</v>
      </c>
      <c r="E2562" s="1165">
        <v>2.0</v>
      </c>
      <c r="F2562" s="1367"/>
      <c r="G2562" s="1367" t="s">
        <v>2125</v>
      </c>
      <c r="H2562" s="1367" t="s">
        <v>4170</v>
      </c>
      <c r="I2562" s="1367" t="s">
        <v>4234</v>
      </c>
      <c r="J2562" s="1367">
        <v>2.0</v>
      </c>
      <c r="K2562" s="1367"/>
      <c r="L2562" s="1367"/>
      <c r="M2562" s="1010"/>
    </row>
    <row r="2563">
      <c r="A2563" s="1367"/>
      <c r="B2563" s="1367"/>
      <c r="C2563" s="1367"/>
      <c r="D2563" s="1381" t="s">
        <v>241</v>
      </c>
      <c r="E2563" s="1165">
        <v>10.0</v>
      </c>
      <c r="F2563" s="1367"/>
      <c r="G2563" s="1367" t="s">
        <v>241</v>
      </c>
      <c r="H2563" s="1367" t="s">
        <v>4164</v>
      </c>
      <c r="I2563" s="1367" t="s">
        <v>4233</v>
      </c>
      <c r="J2563" s="1367">
        <v>10.0</v>
      </c>
      <c r="K2563" s="1367"/>
      <c r="L2563" s="1367"/>
      <c r="M2563" s="1010"/>
    </row>
    <row r="2564">
      <c r="A2564" s="1367"/>
      <c r="B2564" s="1367"/>
      <c r="C2564" s="1367"/>
      <c r="D2564" s="1381" t="s">
        <v>241</v>
      </c>
      <c r="E2564" s="1165">
        <v>18.0</v>
      </c>
      <c r="F2564" s="1367"/>
      <c r="G2564" s="1367" t="s">
        <v>241</v>
      </c>
      <c r="H2564" s="1367" t="s">
        <v>4164</v>
      </c>
      <c r="I2564" s="1367" t="s">
        <v>4234</v>
      </c>
      <c r="J2564" s="1367">
        <v>18.0</v>
      </c>
      <c r="K2564" s="1367"/>
      <c r="L2564" s="1367"/>
      <c r="M2564" s="1010"/>
    </row>
    <row r="2565">
      <c r="A2565" s="1367"/>
      <c r="B2565" s="1367"/>
      <c r="C2565" s="1367"/>
      <c r="D2565" s="1381" t="s">
        <v>2126</v>
      </c>
      <c r="E2565" s="1165">
        <v>10.0</v>
      </c>
      <c r="F2565" s="1367"/>
      <c r="G2565" s="1367" t="s">
        <v>2126</v>
      </c>
      <c r="H2565" s="1367" t="s">
        <v>4176</v>
      </c>
      <c r="I2565" s="1367" t="s">
        <v>4233</v>
      </c>
      <c r="J2565" s="1367">
        <v>10.0</v>
      </c>
      <c r="K2565" s="1367"/>
      <c r="L2565" s="1367"/>
      <c r="M2565" s="1010"/>
    </row>
    <row r="2566">
      <c r="A2566" s="1367"/>
      <c r="B2566" s="1367"/>
      <c r="C2566" s="1367"/>
      <c r="D2566" s="1381" t="s">
        <v>2126</v>
      </c>
      <c r="E2566" s="1165">
        <v>4.0</v>
      </c>
      <c r="F2566" s="1367"/>
      <c r="G2566" s="1367" t="s">
        <v>2126</v>
      </c>
      <c r="H2566" s="1367" t="s">
        <v>4176</v>
      </c>
      <c r="I2566" s="1367" t="s">
        <v>4234</v>
      </c>
      <c r="J2566" s="1367">
        <v>4.0</v>
      </c>
      <c r="K2566" s="1367"/>
      <c r="L2566" s="1367"/>
      <c r="M2566" s="1010"/>
    </row>
    <row r="2567">
      <c r="A2567" s="1367"/>
      <c r="B2567" s="1367"/>
      <c r="C2567" s="1367"/>
      <c r="D2567" s="1381" t="s">
        <v>1377</v>
      </c>
      <c r="E2567" s="1165">
        <v>8.0</v>
      </c>
      <c r="F2567" s="1367"/>
      <c r="G2567" s="1367" t="s">
        <v>1377</v>
      </c>
      <c r="H2567" s="1367" t="s">
        <v>4155</v>
      </c>
      <c r="I2567" s="1367" t="s">
        <v>4233</v>
      </c>
      <c r="J2567" s="1367">
        <v>8.0</v>
      </c>
      <c r="K2567" s="1367"/>
      <c r="L2567" s="1367"/>
      <c r="M2567" s="1010"/>
    </row>
    <row r="2568">
      <c r="A2568" s="1367"/>
      <c r="B2568" s="1367"/>
      <c r="C2568" s="1367"/>
      <c r="D2568" s="1381" t="s">
        <v>1377</v>
      </c>
      <c r="E2568" s="1165">
        <v>3.0</v>
      </c>
      <c r="F2568" s="1367"/>
      <c r="G2568" s="1367" t="s">
        <v>1377</v>
      </c>
      <c r="H2568" s="1367" t="s">
        <v>4155</v>
      </c>
      <c r="I2568" s="1367" t="s">
        <v>4234</v>
      </c>
      <c r="J2568" s="1367">
        <v>3.0</v>
      </c>
      <c r="K2568" s="1367"/>
      <c r="L2568" s="1367"/>
      <c r="M2568" s="1010"/>
    </row>
    <row r="2569">
      <c r="A2569" s="1367"/>
      <c r="B2569" s="1367"/>
      <c r="C2569" s="1367"/>
      <c r="D2569" s="1381" t="s">
        <v>2127</v>
      </c>
      <c r="E2569" s="1165">
        <v>19.0</v>
      </c>
      <c r="F2569" s="1367"/>
      <c r="G2569" s="1367" t="s">
        <v>2127</v>
      </c>
      <c r="H2569" s="1367" t="s">
        <v>4176</v>
      </c>
      <c r="I2569" s="1367" t="s">
        <v>4233</v>
      </c>
      <c r="J2569" s="1367">
        <v>19.0</v>
      </c>
      <c r="K2569" s="1367"/>
      <c r="L2569" s="1367"/>
      <c r="M2569" s="1010"/>
    </row>
    <row r="2570">
      <c r="A2570" s="1367"/>
      <c r="B2570" s="1367"/>
      <c r="C2570" s="1367"/>
      <c r="D2570" s="1381" t="s">
        <v>2127</v>
      </c>
      <c r="E2570" s="1165">
        <v>18.0</v>
      </c>
      <c r="F2570" s="1367"/>
      <c r="G2570" s="1367" t="s">
        <v>2127</v>
      </c>
      <c r="H2570" s="1367" t="s">
        <v>4176</v>
      </c>
      <c r="I2570" s="1367" t="s">
        <v>4234</v>
      </c>
      <c r="J2570" s="1367">
        <v>18.0</v>
      </c>
      <c r="K2570" s="1367"/>
      <c r="L2570" s="1367"/>
      <c r="M2570" s="1010"/>
    </row>
    <row r="2571">
      <c r="A2571" s="1367"/>
      <c r="B2571" s="1367"/>
      <c r="C2571" s="1367"/>
      <c r="D2571" s="1381" t="s">
        <v>2128</v>
      </c>
      <c r="E2571" s="1165">
        <v>3.0</v>
      </c>
      <c r="F2571" s="1367"/>
      <c r="G2571" s="1367" t="s">
        <v>2128</v>
      </c>
      <c r="H2571" s="1367" t="s">
        <v>4170</v>
      </c>
      <c r="I2571" s="1367" t="s">
        <v>4234</v>
      </c>
      <c r="J2571" s="1367">
        <v>3.0</v>
      </c>
      <c r="K2571" s="1367"/>
      <c r="L2571" s="1367"/>
      <c r="M2571" s="1010"/>
    </row>
    <row r="2572">
      <c r="A2572" s="1367"/>
      <c r="B2572" s="1367"/>
      <c r="C2572" s="1367"/>
      <c r="D2572" s="1381" t="s">
        <v>2129</v>
      </c>
      <c r="E2572" s="1165">
        <v>6.0</v>
      </c>
      <c r="F2572" s="1367"/>
      <c r="G2572" s="1367" t="s">
        <v>2129</v>
      </c>
      <c r="H2572" s="1367" t="s">
        <v>4162</v>
      </c>
      <c r="I2572" s="1367" t="s">
        <v>4233</v>
      </c>
      <c r="J2572" s="1367">
        <v>6.0</v>
      </c>
      <c r="K2572" s="1367"/>
      <c r="L2572" s="1367"/>
      <c r="M2572" s="1010"/>
    </row>
    <row r="2573">
      <c r="A2573" s="1367"/>
      <c r="B2573" s="1367"/>
      <c r="C2573" s="1367"/>
      <c r="D2573" s="1381" t="s">
        <v>2129</v>
      </c>
      <c r="E2573" s="1165">
        <v>5.0</v>
      </c>
      <c r="F2573" s="1367"/>
      <c r="G2573" s="1367" t="s">
        <v>2129</v>
      </c>
      <c r="H2573" s="1367" t="s">
        <v>4162</v>
      </c>
      <c r="I2573" s="1367" t="s">
        <v>4234</v>
      </c>
      <c r="J2573" s="1367">
        <v>5.0</v>
      </c>
      <c r="K2573" s="1367"/>
      <c r="L2573" s="1367"/>
      <c r="M2573" s="1010"/>
    </row>
    <row r="2574">
      <c r="A2574" s="1367"/>
      <c r="B2574" s="1367"/>
      <c r="C2574" s="1367"/>
      <c r="D2574" s="1381" t="s">
        <v>302</v>
      </c>
      <c r="E2574" s="1165">
        <v>4.0</v>
      </c>
      <c r="F2574" s="1367"/>
      <c r="G2574" s="1367" t="s">
        <v>302</v>
      </c>
      <c r="H2574" s="1367" t="s">
        <v>4164</v>
      </c>
      <c r="I2574" s="1367" t="s">
        <v>4233</v>
      </c>
      <c r="J2574" s="1367">
        <v>4.0</v>
      </c>
      <c r="K2574" s="1367"/>
      <c r="L2574" s="1367"/>
      <c r="M2574" s="1010"/>
    </row>
    <row r="2575">
      <c r="A2575" s="1367"/>
      <c r="B2575" s="1367"/>
      <c r="C2575" s="1367"/>
      <c r="D2575" s="1381" t="s">
        <v>302</v>
      </c>
      <c r="E2575" s="1165">
        <v>2.0</v>
      </c>
      <c r="F2575" s="1367"/>
      <c r="G2575" s="1367" t="s">
        <v>302</v>
      </c>
      <c r="H2575" s="1367" t="s">
        <v>4164</v>
      </c>
      <c r="I2575" s="1367" t="s">
        <v>4234</v>
      </c>
      <c r="J2575" s="1367">
        <v>2.0</v>
      </c>
      <c r="K2575" s="1367"/>
      <c r="L2575" s="1367"/>
      <c r="M2575" s="1010"/>
    </row>
    <row r="2576">
      <c r="A2576" s="1367"/>
      <c r="B2576" s="1367"/>
      <c r="C2576" s="1367"/>
      <c r="D2576" s="1381" t="s">
        <v>1805</v>
      </c>
      <c r="E2576" s="1165">
        <v>43.0</v>
      </c>
      <c r="F2576" s="1367"/>
      <c r="G2576" s="1367" t="s">
        <v>1805</v>
      </c>
      <c r="H2576" s="1367" t="s">
        <v>4170</v>
      </c>
      <c r="I2576" s="1367" t="s">
        <v>4233</v>
      </c>
      <c r="J2576" s="1367">
        <v>43.0</v>
      </c>
      <c r="K2576" s="1367"/>
      <c r="L2576" s="1367"/>
      <c r="M2576" s="1010"/>
    </row>
    <row r="2577">
      <c r="A2577" s="1367"/>
      <c r="B2577" s="1367"/>
      <c r="C2577" s="1367"/>
      <c r="D2577" s="1381" t="s">
        <v>1805</v>
      </c>
      <c r="E2577" s="1165">
        <v>52.0</v>
      </c>
      <c r="F2577" s="1367"/>
      <c r="G2577" s="1367" t="s">
        <v>1805</v>
      </c>
      <c r="H2577" s="1367" t="s">
        <v>4170</v>
      </c>
      <c r="I2577" s="1367" t="s">
        <v>4234</v>
      </c>
      <c r="J2577" s="1367">
        <v>52.0</v>
      </c>
      <c r="K2577" s="1367"/>
      <c r="L2577" s="1367"/>
      <c r="M2577" s="1010"/>
    </row>
    <row r="2578">
      <c r="A2578" s="1367"/>
      <c r="B2578" s="1367"/>
      <c r="C2578" s="1367"/>
      <c r="D2578" s="1381" t="s">
        <v>2131</v>
      </c>
      <c r="E2578" s="1165">
        <v>2.0</v>
      </c>
      <c r="F2578" s="1367"/>
      <c r="G2578" s="1367" t="s">
        <v>2131</v>
      </c>
      <c r="H2578" s="1367" t="s">
        <v>4155</v>
      </c>
      <c r="I2578" s="1367" t="s">
        <v>4233</v>
      </c>
      <c r="J2578" s="1367">
        <v>2.0</v>
      </c>
      <c r="K2578" s="1367"/>
      <c r="L2578" s="1367"/>
      <c r="M2578" s="1010"/>
    </row>
    <row r="2579">
      <c r="A2579" s="1367"/>
      <c r="B2579" s="1367"/>
      <c r="C2579" s="1367"/>
      <c r="D2579" s="1381" t="s">
        <v>2131</v>
      </c>
      <c r="E2579" s="1165">
        <v>2.0</v>
      </c>
      <c r="F2579" s="1367"/>
      <c r="G2579" s="1367" t="s">
        <v>2131</v>
      </c>
      <c r="H2579" s="1367" t="s">
        <v>4155</v>
      </c>
      <c r="I2579" s="1367" t="s">
        <v>4234</v>
      </c>
      <c r="J2579" s="1367">
        <v>2.0</v>
      </c>
      <c r="K2579" s="1367"/>
      <c r="L2579" s="1367"/>
      <c r="M2579" s="1010"/>
    </row>
    <row r="2580">
      <c r="A2580" s="1367"/>
      <c r="B2580" s="1367"/>
      <c r="C2580" s="1367"/>
      <c r="D2580" s="1381" t="s">
        <v>2132</v>
      </c>
      <c r="E2580" s="1165">
        <v>20.0</v>
      </c>
      <c r="F2580" s="1367"/>
      <c r="G2580" s="1367" t="s">
        <v>2132</v>
      </c>
      <c r="H2580" s="1367" t="s">
        <v>4170</v>
      </c>
      <c r="I2580" s="1367" t="s">
        <v>4233</v>
      </c>
      <c r="J2580" s="1367">
        <v>20.0</v>
      </c>
      <c r="K2580" s="1367"/>
      <c r="L2580" s="1367"/>
      <c r="M2580" s="1010"/>
    </row>
    <row r="2581">
      <c r="A2581" s="1367"/>
      <c r="B2581" s="1367"/>
      <c r="C2581" s="1367"/>
      <c r="D2581" s="1381" t="s">
        <v>2132</v>
      </c>
      <c r="E2581" s="1165">
        <v>16.0</v>
      </c>
      <c r="F2581" s="1367"/>
      <c r="G2581" s="1367" t="s">
        <v>2132</v>
      </c>
      <c r="H2581" s="1367" t="s">
        <v>4170</v>
      </c>
      <c r="I2581" s="1367" t="s">
        <v>4234</v>
      </c>
      <c r="J2581" s="1367">
        <v>16.0</v>
      </c>
      <c r="K2581" s="1367"/>
      <c r="L2581" s="1367"/>
      <c r="M2581" s="1010"/>
    </row>
    <row r="2582">
      <c r="A2582" s="1367"/>
      <c r="B2582" s="1367"/>
      <c r="C2582" s="1367"/>
      <c r="D2582" s="1381" t="s">
        <v>1167</v>
      </c>
      <c r="E2582" s="1165">
        <v>1.0</v>
      </c>
      <c r="F2582" s="1367"/>
      <c r="G2582" s="1367" t="s">
        <v>1167</v>
      </c>
      <c r="H2582" s="1367" t="s">
        <v>4155</v>
      </c>
      <c r="I2582" s="1367" t="s">
        <v>4233</v>
      </c>
      <c r="J2582" s="1367">
        <v>1.0</v>
      </c>
      <c r="K2582" s="1367"/>
      <c r="L2582" s="1367"/>
      <c r="M2582" s="1010"/>
    </row>
    <row r="2583">
      <c r="A2583" s="1367"/>
      <c r="B2583" s="1367"/>
      <c r="C2583" s="1367"/>
      <c r="D2583" s="1381" t="s">
        <v>1167</v>
      </c>
      <c r="E2583" s="1165">
        <v>1.0</v>
      </c>
      <c r="F2583" s="1367"/>
      <c r="G2583" s="1367" t="s">
        <v>1167</v>
      </c>
      <c r="H2583" s="1367" t="s">
        <v>4155</v>
      </c>
      <c r="I2583" s="1367" t="s">
        <v>4234</v>
      </c>
      <c r="J2583" s="1367">
        <v>1.0</v>
      </c>
      <c r="K2583" s="1367"/>
      <c r="L2583" s="1367"/>
      <c r="M2583" s="1010"/>
    </row>
    <row r="2584">
      <c r="A2584" s="1367"/>
      <c r="B2584" s="1367"/>
      <c r="C2584" s="1367"/>
      <c r="D2584" s="1381" t="s">
        <v>2135</v>
      </c>
      <c r="E2584" s="1165">
        <v>5.0</v>
      </c>
      <c r="F2584" s="1367"/>
      <c r="G2584" s="1367" t="s">
        <v>2135</v>
      </c>
      <c r="H2584" s="1367" t="s">
        <v>4162</v>
      </c>
      <c r="I2584" s="1367" t="s">
        <v>4234</v>
      </c>
      <c r="J2584" s="1367">
        <v>5.0</v>
      </c>
      <c r="K2584" s="1367"/>
      <c r="L2584" s="1367"/>
      <c r="M2584" s="1010"/>
    </row>
    <row r="2585">
      <c r="A2585" s="1367"/>
      <c r="B2585" s="1367"/>
      <c r="C2585" s="1367"/>
      <c r="D2585" s="1381" t="s">
        <v>2136</v>
      </c>
      <c r="E2585" s="1165">
        <v>3.0</v>
      </c>
      <c r="F2585" s="1367"/>
      <c r="G2585" s="1367" t="s">
        <v>2136</v>
      </c>
      <c r="H2585" s="1367" t="s">
        <v>4168</v>
      </c>
      <c r="I2585" s="1367" t="s">
        <v>4234</v>
      </c>
      <c r="J2585" s="1367">
        <v>3.0</v>
      </c>
      <c r="K2585" s="1367"/>
      <c r="L2585" s="1367"/>
      <c r="M2585" s="1010"/>
    </row>
    <row r="2586">
      <c r="A2586" s="1367"/>
      <c r="B2586" s="1367"/>
      <c r="C2586" s="1367"/>
      <c r="D2586" s="1381" t="s">
        <v>1131</v>
      </c>
      <c r="E2586" s="1165">
        <v>4.0</v>
      </c>
      <c r="F2586" s="1367"/>
      <c r="G2586" s="1367" t="s">
        <v>1131</v>
      </c>
      <c r="H2586" s="1367" t="s">
        <v>4173</v>
      </c>
      <c r="I2586" s="1367" t="s">
        <v>4233</v>
      </c>
      <c r="J2586" s="1367">
        <v>4.0</v>
      </c>
      <c r="K2586" s="1367"/>
      <c r="L2586" s="1367"/>
      <c r="M2586" s="1010"/>
    </row>
    <row r="2587">
      <c r="A2587" s="1367"/>
      <c r="B2587" s="1367"/>
      <c r="C2587" s="1367"/>
      <c r="D2587" s="1381" t="s">
        <v>1131</v>
      </c>
      <c r="E2587" s="1165">
        <v>15.0</v>
      </c>
      <c r="F2587" s="1367"/>
      <c r="G2587" s="1367" t="s">
        <v>1131</v>
      </c>
      <c r="H2587" s="1367" t="s">
        <v>4173</v>
      </c>
      <c r="I2587" s="1367" t="s">
        <v>4234</v>
      </c>
      <c r="J2587" s="1367">
        <v>15.0</v>
      </c>
      <c r="K2587" s="1367"/>
      <c r="L2587" s="1367"/>
      <c r="M2587" s="1010"/>
    </row>
    <row r="2588">
      <c r="A2588" s="1367"/>
      <c r="B2588" s="1367"/>
      <c r="C2588" s="1367"/>
      <c r="D2588" s="1381" t="s">
        <v>2137</v>
      </c>
      <c r="E2588" s="1165">
        <v>4.0</v>
      </c>
      <c r="F2588" s="1367"/>
      <c r="G2588" s="1367" t="s">
        <v>2137</v>
      </c>
      <c r="H2588" s="1367" t="s">
        <v>4176</v>
      </c>
      <c r="I2588" s="1367" t="s">
        <v>4233</v>
      </c>
      <c r="J2588" s="1367">
        <v>4.0</v>
      </c>
      <c r="K2588" s="1367"/>
      <c r="L2588" s="1367"/>
      <c r="M2588" s="1010"/>
    </row>
    <row r="2589">
      <c r="A2589" s="1367"/>
      <c r="B2589" s="1367"/>
      <c r="C2589" s="1367"/>
      <c r="D2589" s="1381" t="s">
        <v>2138</v>
      </c>
      <c r="E2589" s="1165">
        <v>4.0</v>
      </c>
      <c r="F2589" s="1367"/>
      <c r="G2589" s="1367" t="s">
        <v>2138</v>
      </c>
      <c r="H2589" s="1367" t="s">
        <v>4169</v>
      </c>
      <c r="I2589" s="1367" t="s">
        <v>4234</v>
      </c>
      <c r="J2589" s="1367">
        <v>4.0</v>
      </c>
      <c r="K2589" s="1367"/>
      <c r="L2589" s="1367"/>
      <c r="M2589" s="1010"/>
    </row>
    <row r="2590">
      <c r="A2590" s="1367"/>
      <c r="B2590" s="1367"/>
      <c r="C2590" s="1367"/>
      <c r="D2590" s="1381" t="s">
        <v>2139</v>
      </c>
      <c r="E2590" s="1165">
        <v>6.0</v>
      </c>
      <c r="F2590" s="1367"/>
      <c r="G2590" s="1367" t="s">
        <v>2139</v>
      </c>
      <c r="H2590" s="1367" t="s">
        <v>4155</v>
      </c>
      <c r="I2590" s="1367" t="s">
        <v>4233</v>
      </c>
      <c r="J2590" s="1367">
        <v>6.0</v>
      </c>
      <c r="K2590" s="1367"/>
      <c r="L2590" s="1367"/>
      <c r="M2590" s="1010"/>
    </row>
    <row r="2591">
      <c r="A2591" s="1367"/>
      <c r="B2591" s="1367"/>
      <c r="C2591" s="1367"/>
      <c r="D2591" s="1381" t="s">
        <v>2142</v>
      </c>
      <c r="E2591" s="1165">
        <v>4.0</v>
      </c>
      <c r="F2591" s="1367"/>
      <c r="G2591" s="1367" t="s">
        <v>2142</v>
      </c>
      <c r="H2591" s="1367" t="s">
        <v>4164</v>
      </c>
      <c r="I2591" s="1367" t="s">
        <v>4233</v>
      </c>
      <c r="J2591" s="1367">
        <v>4.0</v>
      </c>
      <c r="K2591" s="1367"/>
      <c r="L2591" s="1367"/>
      <c r="M2591" s="1010"/>
    </row>
    <row r="2592">
      <c r="A2592" s="1367"/>
      <c r="B2592" s="1367"/>
      <c r="C2592" s="1367"/>
      <c r="D2592" s="1381" t="s">
        <v>2142</v>
      </c>
      <c r="E2592" s="1165">
        <v>7.0</v>
      </c>
      <c r="F2592" s="1367"/>
      <c r="G2592" s="1367" t="s">
        <v>2142</v>
      </c>
      <c r="H2592" s="1367" t="s">
        <v>4164</v>
      </c>
      <c r="I2592" s="1367" t="s">
        <v>4234</v>
      </c>
      <c r="J2592" s="1367">
        <v>7.0</v>
      </c>
      <c r="K2592" s="1367"/>
      <c r="L2592" s="1367"/>
      <c r="M2592" s="1010"/>
    </row>
    <row r="2593">
      <c r="A2593" s="1367"/>
      <c r="B2593" s="1367"/>
      <c r="C2593" s="1367"/>
      <c r="D2593" s="1381" t="s">
        <v>2143</v>
      </c>
      <c r="E2593" s="1165">
        <v>7.0</v>
      </c>
      <c r="F2593" s="1367"/>
      <c r="G2593" s="1367" t="s">
        <v>2143</v>
      </c>
      <c r="H2593" s="1367" t="s">
        <v>4168</v>
      </c>
      <c r="I2593" s="1367" t="s">
        <v>4233</v>
      </c>
      <c r="J2593" s="1367">
        <v>7.0</v>
      </c>
      <c r="K2593" s="1367"/>
      <c r="L2593" s="1367"/>
      <c r="M2593" s="1010"/>
    </row>
    <row r="2594">
      <c r="A2594" s="1367"/>
      <c r="B2594" s="1367"/>
      <c r="C2594" s="1367"/>
      <c r="D2594" s="1381" t="s">
        <v>2143</v>
      </c>
      <c r="E2594" s="1165">
        <v>4.0</v>
      </c>
      <c r="F2594" s="1367"/>
      <c r="G2594" s="1367" t="s">
        <v>2143</v>
      </c>
      <c r="H2594" s="1367" t="s">
        <v>4168</v>
      </c>
      <c r="I2594" s="1367" t="s">
        <v>4234</v>
      </c>
      <c r="J2594" s="1367">
        <v>4.0</v>
      </c>
      <c r="K2594" s="1367"/>
      <c r="L2594" s="1367"/>
      <c r="M2594" s="1010"/>
    </row>
    <row r="2595">
      <c r="A2595" s="1367"/>
      <c r="B2595" s="1367"/>
      <c r="C2595" s="1367"/>
      <c r="D2595" s="1381" t="s">
        <v>2144</v>
      </c>
      <c r="E2595" s="1165">
        <v>4.0</v>
      </c>
      <c r="F2595" s="1367"/>
      <c r="G2595" s="1367" t="s">
        <v>2144</v>
      </c>
      <c r="H2595" s="1367" t="s">
        <v>4173</v>
      </c>
      <c r="I2595" s="1367" t="s">
        <v>4234</v>
      </c>
      <c r="J2595" s="1367">
        <v>4.0</v>
      </c>
      <c r="K2595" s="1367"/>
      <c r="L2595" s="1367"/>
      <c r="M2595" s="1010"/>
    </row>
    <row r="2596">
      <c r="A2596" s="1367"/>
      <c r="B2596" s="1367"/>
      <c r="C2596" s="1367"/>
      <c r="D2596" s="1381" t="s">
        <v>2146</v>
      </c>
      <c r="E2596" s="1165">
        <v>3.0</v>
      </c>
      <c r="F2596" s="1367"/>
      <c r="G2596" s="1367" t="s">
        <v>2146</v>
      </c>
      <c r="H2596" s="1367" t="s">
        <v>4169</v>
      </c>
      <c r="I2596" s="1367" t="s">
        <v>4233</v>
      </c>
      <c r="J2596" s="1367">
        <v>3.0</v>
      </c>
      <c r="K2596" s="1367"/>
      <c r="L2596" s="1367"/>
      <c r="M2596" s="1010"/>
    </row>
    <row r="2597">
      <c r="A2597" s="1367"/>
      <c r="B2597" s="1367"/>
      <c r="C2597" s="1367"/>
      <c r="D2597" s="1381" t="s">
        <v>2146</v>
      </c>
      <c r="E2597" s="1165">
        <v>6.0</v>
      </c>
      <c r="F2597" s="1367"/>
      <c r="G2597" s="1367" t="s">
        <v>2146</v>
      </c>
      <c r="H2597" s="1367" t="s">
        <v>4169</v>
      </c>
      <c r="I2597" s="1367" t="s">
        <v>4234</v>
      </c>
      <c r="J2597" s="1367">
        <v>6.0</v>
      </c>
      <c r="K2597" s="1367"/>
      <c r="L2597" s="1367"/>
      <c r="M2597" s="1010"/>
    </row>
    <row r="2598">
      <c r="A2598" s="1367"/>
      <c r="B2598" s="1367"/>
      <c r="C2598" s="1367"/>
      <c r="D2598" s="1381" t="s">
        <v>168</v>
      </c>
      <c r="E2598" s="1165">
        <v>4.0</v>
      </c>
      <c r="F2598" s="1367"/>
      <c r="G2598" s="1367" t="s">
        <v>168</v>
      </c>
      <c r="H2598" s="1367" t="s">
        <v>4164</v>
      </c>
      <c r="I2598" s="1367" t="s">
        <v>4234</v>
      </c>
      <c r="J2598" s="1367">
        <v>4.0</v>
      </c>
      <c r="K2598" s="1367"/>
      <c r="L2598" s="1367"/>
      <c r="M2598" s="1010"/>
    </row>
    <row r="2599">
      <c r="A2599" s="1367"/>
      <c r="B2599" s="1367"/>
      <c r="C2599" s="1367"/>
      <c r="D2599" s="1381" t="s">
        <v>1011</v>
      </c>
      <c r="E2599" s="1165">
        <v>1.0</v>
      </c>
      <c r="F2599" s="1367"/>
      <c r="G2599" s="1367" t="s">
        <v>1011</v>
      </c>
      <c r="H2599" s="1367" t="s">
        <v>4170</v>
      </c>
      <c r="I2599" s="1367" t="s">
        <v>4233</v>
      </c>
      <c r="J2599" s="1367">
        <v>1.0</v>
      </c>
      <c r="K2599" s="1367"/>
      <c r="L2599" s="1367"/>
      <c r="M2599" s="1010"/>
    </row>
    <row r="2600">
      <c r="A2600" s="1367"/>
      <c r="B2600" s="1367"/>
      <c r="C2600" s="1367"/>
      <c r="D2600" s="1381" t="s">
        <v>1012</v>
      </c>
      <c r="E2600" s="1165">
        <v>17.0</v>
      </c>
      <c r="F2600" s="1367"/>
      <c r="G2600" s="1367" t="s">
        <v>1012</v>
      </c>
      <c r="H2600" s="1367" t="s">
        <v>4155</v>
      </c>
      <c r="I2600" s="1367" t="s">
        <v>4233</v>
      </c>
      <c r="J2600" s="1367">
        <v>17.0</v>
      </c>
      <c r="K2600" s="1367"/>
      <c r="L2600" s="1367"/>
      <c r="M2600" s="1010"/>
    </row>
    <row r="2601">
      <c r="A2601" s="1367"/>
      <c r="B2601" s="1367"/>
      <c r="C2601" s="1367"/>
      <c r="D2601" s="1381" t="s">
        <v>1012</v>
      </c>
      <c r="E2601" s="1165">
        <v>36.0</v>
      </c>
      <c r="F2601" s="1367"/>
      <c r="G2601" s="1367" t="s">
        <v>1012</v>
      </c>
      <c r="H2601" s="1367" t="s">
        <v>4155</v>
      </c>
      <c r="I2601" s="1367" t="s">
        <v>4234</v>
      </c>
      <c r="J2601" s="1367">
        <v>36.0</v>
      </c>
      <c r="K2601" s="1367"/>
      <c r="L2601" s="1367"/>
      <c r="M2601" s="1010"/>
    </row>
    <row r="2602">
      <c r="A2602" s="1367"/>
      <c r="B2602" s="1367"/>
      <c r="C2602" s="1367"/>
      <c r="D2602" s="1381" t="s">
        <v>2149</v>
      </c>
      <c r="E2602" s="1165">
        <v>1.0</v>
      </c>
      <c r="F2602" s="1367"/>
      <c r="G2602" s="1367" t="s">
        <v>2149</v>
      </c>
      <c r="H2602" s="1367" t="s">
        <v>4176</v>
      </c>
      <c r="I2602" s="1367" t="s">
        <v>4233</v>
      </c>
      <c r="J2602" s="1367">
        <v>1.0</v>
      </c>
      <c r="K2602" s="1367"/>
      <c r="L2602" s="1367"/>
      <c r="M2602" s="1010"/>
    </row>
    <row r="2603">
      <c r="A2603" s="1367"/>
      <c r="B2603" s="1367"/>
      <c r="C2603" s="1367"/>
      <c r="D2603" s="1381" t="s">
        <v>2150</v>
      </c>
      <c r="E2603" s="1165">
        <v>1.0</v>
      </c>
      <c r="F2603" s="1367"/>
      <c r="G2603" s="1367" t="s">
        <v>2150</v>
      </c>
      <c r="H2603" s="1367" t="s">
        <v>4168</v>
      </c>
      <c r="I2603" s="1367" t="s">
        <v>4233</v>
      </c>
      <c r="J2603" s="1367">
        <v>1.0</v>
      </c>
      <c r="K2603" s="1367"/>
      <c r="L2603" s="1367"/>
      <c r="M2603" s="1010"/>
    </row>
    <row r="2604">
      <c r="A2604" s="1367"/>
      <c r="B2604" s="1367"/>
      <c r="C2604" s="1367"/>
      <c r="D2604" s="1381" t="s">
        <v>2150</v>
      </c>
      <c r="E2604" s="1165">
        <v>2.0</v>
      </c>
      <c r="F2604" s="1367"/>
      <c r="G2604" s="1367" t="s">
        <v>2150</v>
      </c>
      <c r="H2604" s="1367" t="s">
        <v>4168</v>
      </c>
      <c r="I2604" s="1367" t="s">
        <v>4234</v>
      </c>
      <c r="J2604" s="1367">
        <v>2.0</v>
      </c>
      <c r="K2604" s="1367"/>
      <c r="L2604" s="1367"/>
      <c r="M2604" s="1010"/>
    </row>
    <row r="2605">
      <c r="A2605" s="1367"/>
      <c r="B2605" s="1367"/>
      <c r="C2605" s="1367"/>
      <c r="D2605" s="1381" t="s">
        <v>628</v>
      </c>
      <c r="E2605" s="1165">
        <v>12.0</v>
      </c>
      <c r="F2605" s="1367"/>
      <c r="G2605" s="1367" t="s">
        <v>628</v>
      </c>
      <c r="H2605" s="1367" t="s">
        <v>4169</v>
      </c>
      <c r="I2605" s="1367" t="s">
        <v>4234</v>
      </c>
      <c r="J2605" s="1367">
        <v>12.0</v>
      </c>
      <c r="K2605" s="1367"/>
      <c r="L2605" s="1367"/>
      <c r="M2605" s="1010"/>
    </row>
    <row r="2606">
      <c r="A2606" s="1367"/>
      <c r="B2606" s="1367"/>
      <c r="C2606" s="1367"/>
      <c r="D2606" s="1381" t="s">
        <v>2153</v>
      </c>
      <c r="E2606" s="1165">
        <v>3.0</v>
      </c>
      <c r="F2606" s="1367"/>
      <c r="G2606" s="1367" t="s">
        <v>2153</v>
      </c>
      <c r="H2606" s="1367" t="s">
        <v>4162</v>
      </c>
      <c r="I2606" s="1367" t="s">
        <v>4234</v>
      </c>
      <c r="J2606" s="1367">
        <v>3.0</v>
      </c>
      <c r="K2606" s="1367"/>
      <c r="L2606" s="1367"/>
      <c r="M2606" s="1010"/>
    </row>
    <row r="2607">
      <c r="A2607" s="1367"/>
      <c r="B2607" s="1367"/>
      <c r="C2607" s="1367"/>
      <c r="D2607" s="1381" t="s">
        <v>265</v>
      </c>
      <c r="E2607" s="1165">
        <v>132.0</v>
      </c>
      <c r="F2607" s="1367"/>
      <c r="G2607" s="1367" t="s">
        <v>265</v>
      </c>
      <c r="H2607" s="1367" t="s">
        <v>4176</v>
      </c>
      <c r="I2607" s="1367" t="s">
        <v>4233</v>
      </c>
      <c r="J2607" s="1367">
        <v>132.0</v>
      </c>
      <c r="K2607" s="1367"/>
      <c r="L2607" s="1367"/>
      <c r="M2607" s="1010"/>
    </row>
    <row r="2608">
      <c r="A2608" s="1367"/>
      <c r="B2608" s="1367"/>
      <c r="C2608" s="1367"/>
      <c r="D2608" s="1381" t="s">
        <v>265</v>
      </c>
      <c r="E2608" s="1165">
        <v>86.0</v>
      </c>
      <c r="F2608" s="1367"/>
      <c r="G2608" s="1367" t="s">
        <v>265</v>
      </c>
      <c r="H2608" s="1367" t="s">
        <v>4176</v>
      </c>
      <c r="I2608" s="1367" t="s">
        <v>4234</v>
      </c>
      <c r="J2608" s="1367">
        <v>86.0</v>
      </c>
      <c r="K2608" s="1367"/>
      <c r="L2608" s="1367"/>
      <c r="M2608" s="1010"/>
    </row>
    <row r="2609">
      <c r="A2609" s="1367"/>
      <c r="B2609" s="1367"/>
      <c r="C2609" s="1367"/>
      <c r="D2609" s="1381" t="s">
        <v>526</v>
      </c>
      <c r="E2609" s="1165">
        <v>30.0</v>
      </c>
      <c r="F2609" s="1367"/>
      <c r="G2609" s="1367" t="s">
        <v>526</v>
      </c>
      <c r="H2609" s="1367" t="s">
        <v>4169</v>
      </c>
      <c r="I2609" s="1367" t="s">
        <v>4233</v>
      </c>
      <c r="J2609" s="1367">
        <v>30.0</v>
      </c>
      <c r="K2609" s="1367"/>
      <c r="L2609" s="1367"/>
      <c r="M2609" s="1010"/>
    </row>
    <row r="2610">
      <c r="A2610" s="1367"/>
      <c r="B2610" s="1367"/>
      <c r="C2610" s="1367"/>
      <c r="D2610" s="1381" t="s">
        <v>526</v>
      </c>
      <c r="E2610" s="1165">
        <v>43.0</v>
      </c>
      <c r="F2610" s="1367"/>
      <c r="G2610" s="1367" t="s">
        <v>526</v>
      </c>
      <c r="H2610" s="1367" t="s">
        <v>4169</v>
      </c>
      <c r="I2610" s="1367" t="s">
        <v>4234</v>
      </c>
      <c r="J2610" s="1367">
        <v>43.0</v>
      </c>
      <c r="K2610" s="1367"/>
      <c r="L2610" s="1367"/>
      <c r="M2610" s="1010"/>
    </row>
    <row r="2611">
      <c r="A2611" s="1367"/>
      <c r="B2611" s="1367"/>
      <c r="C2611" s="1367"/>
      <c r="D2611" s="1381" t="s">
        <v>2156</v>
      </c>
      <c r="E2611" s="1165">
        <v>1.0</v>
      </c>
      <c r="F2611" s="1367"/>
      <c r="G2611" s="1367" t="s">
        <v>2156</v>
      </c>
      <c r="H2611" s="1367" t="s">
        <v>4170</v>
      </c>
      <c r="I2611" s="1367" t="s">
        <v>4233</v>
      </c>
      <c r="J2611" s="1367">
        <v>1.0</v>
      </c>
      <c r="K2611" s="1367"/>
      <c r="L2611" s="1367"/>
      <c r="M2611" s="1010"/>
    </row>
    <row r="2612">
      <c r="A2612" s="1367"/>
      <c r="B2612" s="1367"/>
      <c r="C2612" s="1367"/>
      <c r="D2612" s="1381" t="s">
        <v>2159</v>
      </c>
      <c r="E2612" s="1165">
        <v>4.0</v>
      </c>
      <c r="F2612" s="1367"/>
      <c r="G2612" s="1367" t="s">
        <v>2159</v>
      </c>
      <c r="H2612" s="1367" t="s">
        <v>4155</v>
      </c>
      <c r="I2612" s="1367" t="s">
        <v>4233</v>
      </c>
      <c r="J2612" s="1367">
        <v>4.0</v>
      </c>
      <c r="K2612" s="1367"/>
      <c r="L2612" s="1367"/>
      <c r="M2612" s="1010"/>
    </row>
    <row r="2613">
      <c r="A2613" s="1367"/>
      <c r="B2613" s="1367"/>
      <c r="C2613" s="1367"/>
      <c r="D2613" s="1381" t="s">
        <v>2159</v>
      </c>
      <c r="E2613" s="1165">
        <v>1.0</v>
      </c>
      <c r="F2613" s="1367"/>
      <c r="G2613" s="1367" t="s">
        <v>2159</v>
      </c>
      <c r="H2613" s="1367" t="s">
        <v>4155</v>
      </c>
      <c r="I2613" s="1367" t="s">
        <v>4234</v>
      </c>
      <c r="J2613" s="1367">
        <v>1.0</v>
      </c>
      <c r="K2613" s="1367"/>
      <c r="L2613" s="1367"/>
      <c r="M2613" s="1010"/>
    </row>
    <row r="2614">
      <c r="A2614" s="1367"/>
      <c r="B2614" s="1367"/>
      <c r="C2614" s="1367"/>
      <c r="D2614" s="1381" t="s">
        <v>2160</v>
      </c>
      <c r="E2614" s="1165">
        <v>21.0</v>
      </c>
      <c r="F2614" s="1367"/>
      <c r="G2614" s="1367" t="s">
        <v>2160</v>
      </c>
      <c r="H2614" s="1367" t="s">
        <v>4162</v>
      </c>
      <c r="I2614" s="1367" t="s">
        <v>4233</v>
      </c>
      <c r="J2614" s="1367">
        <v>21.0</v>
      </c>
      <c r="K2614" s="1367"/>
      <c r="L2614" s="1367"/>
      <c r="M2614" s="1010"/>
    </row>
    <row r="2615">
      <c r="A2615" s="1367"/>
      <c r="B2615" s="1367"/>
      <c r="C2615" s="1367"/>
      <c r="D2615" s="1381" t="s">
        <v>2160</v>
      </c>
      <c r="E2615" s="1165">
        <v>16.0</v>
      </c>
      <c r="F2615" s="1367"/>
      <c r="G2615" s="1367" t="s">
        <v>2160</v>
      </c>
      <c r="H2615" s="1367" t="s">
        <v>4162</v>
      </c>
      <c r="I2615" s="1367" t="s">
        <v>4234</v>
      </c>
      <c r="J2615" s="1367">
        <v>16.0</v>
      </c>
      <c r="K2615" s="1367"/>
      <c r="L2615" s="1367"/>
      <c r="M2615" s="1010"/>
    </row>
    <row r="2616">
      <c r="A2616" s="1367"/>
      <c r="B2616" s="1367"/>
      <c r="C2616" s="1367"/>
      <c r="D2616" s="1381" t="s">
        <v>355</v>
      </c>
      <c r="E2616" s="1165">
        <v>25.0</v>
      </c>
      <c r="F2616" s="1367"/>
      <c r="G2616" s="1367" t="s">
        <v>355</v>
      </c>
      <c r="H2616" s="1367" t="s">
        <v>4173</v>
      </c>
      <c r="I2616" s="1367" t="s">
        <v>4233</v>
      </c>
      <c r="J2616" s="1367">
        <v>25.0</v>
      </c>
      <c r="K2616" s="1367"/>
      <c r="L2616" s="1367"/>
      <c r="M2616" s="1010"/>
    </row>
    <row r="2617">
      <c r="A2617" s="1367"/>
      <c r="B2617" s="1367"/>
      <c r="C2617" s="1367"/>
      <c r="D2617" s="1381" t="s">
        <v>355</v>
      </c>
      <c r="E2617" s="1165">
        <v>76.0</v>
      </c>
      <c r="F2617" s="1367"/>
      <c r="G2617" s="1367" t="s">
        <v>355</v>
      </c>
      <c r="H2617" s="1367" t="s">
        <v>4173</v>
      </c>
      <c r="I2617" s="1367" t="s">
        <v>4234</v>
      </c>
      <c r="J2617" s="1367">
        <v>76.0</v>
      </c>
      <c r="K2617" s="1367"/>
      <c r="L2617" s="1367"/>
      <c r="M2617" s="1010"/>
    </row>
    <row r="2618">
      <c r="A2618" s="1367"/>
      <c r="B2618" s="1367"/>
      <c r="C2618" s="1367"/>
      <c r="D2618" s="1381" t="s">
        <v>376</v>
      </c>
      <c r="E2618" s="1165">
        <v>1.0</v>
      </c>
      <c r="F2618" s="1367"/>
      <c r="G2618" s="1367" t="s">
        <v>376</v>
      </c>
      <c r="H2618" s="1367" t="s">
        <v>4164</v>
      </c>
      <c r="I2618" s="1367" t="s">
        <v>4233</v>
      </c>
      <c r="J2618" s="1367">
        <v>1.0</v>
      </c>
      <c r="K2618" s="1367"/>
      <c r="L2618" s="1367"/>
      <c r="M2618" s="1010"/>
    </row>
    <row r="2619">
      <c r="A2619" s="1367"/>
      <c r="B2619" s="1367"/>
      <c r="C2619" s="1367"/>
      <c r="D2619" s="1381" t="s">
        <v>376</v>
      </c>
      <c r="E2619" s="1165">
        <v>10.0</v>
      </c>
      <c r="F2619" s="1367"/>
      <c r="G2619" s="1367" t="s">
        <v>376</v>
      </c>
      <c r="H2619" s="1367" t="s">
        <v>4164</v>
      </c>
      <c r="I2619" s="1367" t="s">
        <v>4234</v>
      </c>
      <c r="J2619" s="1367">
        <v>10.0</v>
      </c>
      <c r="K2619" s="1367"/>
      <c r="L2619" s="1367"/>
      <c r="M2619" s="1010"/>
    </row>
    <row r="2620">
      <c r="A2620" s="1367"/>
      <c r="B2620" s="1367"/>
      <c r="C2620" s="1367"/>
      <c r="D2620" s="1381" t="s">
        <v>2161</v>
      </c>
      <c r="E2620" s="1165">
        <v>2.0</v>
      </c>
      <c r="F2620" s="1367"/>
      <c r="G2620" s="1367" t="s">
        <v>2161</v>
      </c>
      <c r="H2620" s="1367" t="s">
        <v>4164</v>
      </c>
      <c r="I2620" s="1367" t="s">
        <v>4233</v>
      </c>
      <c r="J2620" s="1367">
        <v>2.0</v>
      </c>
      <c r="K2620" s="1367"/>
      <c r="L2620" s="1367"/>
      <c r="M2620" s="1010"/>
    </row>
    <row r="2621">
      <c r="A2621" s="1367"/>
      <c r="B2621" s="1367"/>
      <c r="C2621" s="1367"/>
      <c r="D2621" s="1381" t="s">
        <v>2161</v>
      </c>
      <c r="E2621" s="1165">
        <v>8.0</v>
      </c>
      <c r="F2621" s="1367"/>
      <c r="G2621" s="1367" t="s">
        <v>2161</v>
      </c>
      <c r="H2621" s="1367" t="s">
        <v>4164</v>
      </c>
      <c r="I2621" s="1367" t="s">
        <v>4234</v>
      </c>
      <c r="J2621" s="1367">
        <v>8.0</v>
      </c>
      <c r="K2621" s="1367"/>
      <c r="L2621" s="1367"/>
      <c r="M2621" s="1010"/>
    </row>
    <row r="2622">
      <c r="A2622" s="1367"/>
      <c r="B2622" s="1367"/>
      <c r="C2622" s="1367"/>
      <c r="D2622" s="1381" t="s">
        <v>2162</v>
      </c>
      <c r="E2622" s="1165">
        <v>6.0</v>
      </c>
      <c r="F2622" s="1367"/>
      <c r="G2622" s="1367" t="s">
        <v>2162</v>
      </c>
      <c r="H2622" s="1367" t="s">
        <v>4155</v>
      </c>
      <c r="I2622" s="1367" t="s">
        <v>4233</v>
      </c>
      <c r="J2622" s="1367">
        <v>6.0</v>
      </c>
      <c r="K2622" s="1367"/>
      <c r="L2622" s="1367"/>
      <c r="M2622" s="1010"/>
    </row>
    <row r="2623">
      <c r="A2623" s="1367"/>
      <c r="B2623" s="1367"/>
      <c r="C2623" s="1367"/>
      <c r="D2623" s="1381" t="s">
        <v>2162</v>
      </c>
      <c r="E2623" s="1165">
        <v>3.0</v>
      </c>
      <c r="F2623" s="1367"/>
      <c r="G2623" s="1367" t="s">
        <v>2162</v>
      </c>
      <c r="H2623" s="1367" t="s">
        <v>4155</v>
      </c>
      <c r="I2623" s="1367" t="s">
        <v>4234</v>
      </c>
      <c r="J2623" s="1367">
        <v>3.0</v>
      </c>
      <c r="K2623" s="1367"/>
      <c r="L2623" s="1367"/>
      <c r="M2623" s="1010"/>
    </row>
    <row r="2624">
      <c r="A2624" s="1367"/>
      <c r="B2624" s="1367"/>
      <c r="C2624" s="1367"/>
      <c r="D2624" s="1381" t="s">
        <v>2166</v>
      </c>
      <c r="E2624" s="1165">
        <v>3.0</v>
      </c>
      <c r="F2624" s="1367"/>
      <c r="G2624" s="1367" t="s">
        <v>2166</v>
      </c>
      <c r="H2624" s="1367" t="s">
        <v>4171</v>
      </c>
      <c r="I2624" s="1367" t="s">
        <v>4233</v>
      </c>
      <c r="J2624" s="1367">
        <v>3.0</v>
      </c>
      <c r="K2624" s="1367"/>
      <c r="L2624" s="1367"/>
      <c r="M2624" s="1010"/>
    </row>
    <row r="2625">
      <c r="A2625" s="1367"/>
      <c r="B2625" s="1367"/>
      <c r="C2625" s="1367"/>
      <c r="D2625" s="1381" t="s">
        <v>2167</v>
      </c>
      <c r="E2625" s="1165">
        <v>9.0</v>
      </c>
      <c r="F2625" s="1367"/>
      <c r="G2625" s="1367" t="s">
        <v>2167</v>
      </c>
      <c r="H2625" s="1367" t="s">
        <v>4171</v>
      </c>
      <c r="I2625" s="1367" t="s">
        <v>4233</v>
      </c>
      <c r="J2625" s="1367">
        <v>9.0</v>
      </c>
      <c r="K2625" s="1367"/>
      <c r="L2625" s="1367"/>
      <c r="M2625" s="1010"/>
    </row>
    <row r="2626">
      <c r="A2626" s="1367"/>
      <c r="B2626" s="1367"/>
      <c r="C2626" s="1367"/>
      <c r="D2626" s="1381" t="s">
        <v>2167</v>
      </c>
      <c r="E2626" s="1165">
        <v>2.0</v>
      </c>
      <c r="F2626" s="1367"/>
      <c r="G2626" s="1367" t="s">
        <v>2167</v>
      </c>
      <c r="H2626" s="1367" t="s">
        <v>4171</v>
      </c>
      <c r="I2626" s="1367" t="s">
        <v>4234</v>
      </c>
      <c r="J2626" s="1367">
        <v>2.0</v>
      </c>
      <c r="K2626" s="1367"/>
      <c r="L2626" s="1367"/>
      <c r="M2626" s="1010"/>
    </row>
    <row r="2627">
      <c r="A2627" s="1367"/>
      <c r="B2627" s="1367"/>
      <c r="C2627" s="1367"/>
      <c r="D2627" s="1381" t="s">
        <v>2168</v>
      </c>
      <c r="E2627" s="1165">
        <v>13.0</v>
      </c>
      <c r="F2627" s="1367"/>
      <c r="G2627" s="1367" t="s">
        <v>2168</v>
      </c>
      <c r="H2627" s="1367" t="s">
        <v>4155</v>
      </c>
      <c r="I2627" s="1367" t="s">
        <v>4233</v>
      </c>
      <c r="J2627" s="1367">
        <v>13.0</v>
      </c>
      <c r="K2627" s="1367"/>
      <c r="L2627" s="1367"/>
      <c r="M2627" s="1010"/>
    </row>
    <row r="2628">
      <c r="A2628" s="1367"/>
      <c r="B2628" s="1367"/>
      <c r="C2628" s="1367"/>
      <c r="D2628" s="1381" t="s">
        <v>2168</v>
      </c>
      <c r="E2628" s="1165">
        <v>14.0</v>
      </c>
      <c r="F2628" s="1367"/>
      <c r="G2628" s="1367" t="s">
        <v>2168</v>
      </c>
      <c r="H2628" s="1367" t="s">
        <v>4155</v>
      </c>
      <c r="I2628" s="1367" t="s">
        <v>4234</v>
      </c>
      <c r="J2628" s="1367">
        <v>14.0</v>
      </c>
      <c r="K2628" s="1367"/>
      <c r="L2628" s="1367"/>
      <c r="M2628" s="1010"/>
    </row>
    <row r="2629">
      <c r="A2629" s="1367"/>
      <c r="B2629" s="1367"/>
      <c r="C2629" s="1367"/>
      <c r="D2629" s="1381" t="s">
        <v>2169</v>
      </c>
      <c r="E2629" s="1165">
        <v>16.0</v>
      </c>
      <c r="F2629" s="1367"/>
      <c r="G2629" s="1367" t="s">
        <v>2169</v>
      </c>
      <c r="H2629" s="1367" t="s">
        <v>4171</v>
      </c>
      <c r="I2629" s="1367" t="s">
        <v>4233</v>
      </c>
      <c r="J2629" s="1367">
        <v>16.0</v>
      </c>
      <c r="K2629" s="1367"/>
      <c r="L2629" s="1367"/>
      <c r="M2629" s="1010"/>
    </row>
    <row r="2630">
      <c r="A2630" s="1367"/>
      <c r="B2630" s="1367"/>
      <c r="C2630" s="1367"/>
      <c r="D2630" s="1381" t="s">
        <v>2169</v>
      </c>
      <c r="E2630" s="1165">
        <v>8.0</v>
      </c>
      <c r="F2630" s="1367"/>
      <c r="G2630" s="1367" t="s">
        <v>2169</v>
      </c>
      <c r="H2630" s="1367" t="s">
        <v>4171</v>
      </c>
      <c r="I2630" s="1367" t="s">
        <v>4234</v>
      </c>
      <c r="J2630" s="1367">
        <v>8.0</v>
      </c>
      <c r="K2630" s="1367"/>
      <c r="L2630" s="1367"/>
      <c r="M2630" s="1010"/>
    </row>
    <row r="2631">
      <c r="A2631" s="1367"/>
      <c r="B2631" s="1367"/>
      <c r="C2631" s="1367"/>
      <c r="D2631" s="1381" t="s">
        <v>175</v>
      </c>
      <c r="E2631" s="1165">
        <v>2.0</v>
      </c>
      <c r="F2631" s="1367"/>
      <c r="G2631" s="1367" t="s">
        <v>175</v>
      </c>
      <c r="H2631" s="1367" t="s">
        <v>4172</v>
      </c>
      <c r="I2631" s="1367" t="s">
        <v>4234</v>
      </c>
      <c r="J2631" s="1367">
        <v>2.0</v>
      </c>
      <c r="K2631" s="1367"/>
      <c r="L2631" s="1367"/>
      <c r="M2631" s="1010"/>
    </row>
    <row r="2632">
      <c r="A2632" s="1367"/>
      <c r="B2632" s="1367"/>
      <c r="C2632" s="1367"/>
      <c r="D2632" s="1381" t="s">
        <v>2170</v>
      </c>
      <c r="E2632" s="1165">
        <v>1.0</v>
      </c>
      <c r="F2632" s="1367"/>
      <c r="G2632" s="1367" t="s">
        <v>2170</v>
      </c>
      <c r="H2632" s="1367" t="s">
        <v>4172</v>
      </c>
      <c r="I2632" s="1367" t="s">
        <v>4233</v>
      </c>
      <c r="J2632" s="1367">
        <v>1.0</v>
      </c>
      <c r="K2632" s="1367"/>
      <c r="L2632" s="1367"/>
      <c r="M2632" s="1010"/>
    </row>
    <row r="2633">
      <c r="A2633" s="1367"/>
      <c r="B2633" s="1367"/>
      <c r="C2633" s="1367"/>
      <c r="D2633" s="1381" t="s">
        <v>2170</v>
      </c>
      <c r="E2633" s="1165">
        <v>1.0</v>
      </c>
      <c r="F2633" s="1367"/>
      <c r="G2633" s="1367" t="s">
        <v>2170</v>
      </c>
      <c r="H2633" s="1367" t="s">
        <v>4172</v>
      </c>
      <c r="I2633" s="1367" t="s">
        <v>4234</v>
      </c>
      <c r="J2633" s="1367">
        <v>1.0</v>
      </c>
      <c r="K2633" s="1367"/>
      <c r="L2633" s="1367"/>
      <c r="M2633" s="1010"/>
    </row>
    <row r="2634">
      <c r="A2634" s="1367"/>
      <c r="B2634" s="1367"/>
      <c r="C2634" s="1367"/>
      <c r="D2634" s="1381" t="s">
        <v>1669</v>
      </c>
      <c r="E2634" s="1165">
        <v>2.0</v>
      </c>
      <c r="F2634" s="1367"/>
      <c r="G2634" s="1367" t="s">
        <v>1669</v>
      </c>
      <c r="H2634" s="1367" t="s">
        <v>4162</v>
      </c>
      <c r="I2634" s="1367" t="s">
        <v>4233</v>
      </c>
      <c r="J2634" s="1367">
        <v>2.0</v>
      </c>
      <c r="K2634" s="1367"/>
      <c r="L2634" s="1367"/>
      <c r="M2634" s="1010"/>
    </row>
    <row r="2635">
      <c r="A2635" s="1367"/>
      <c r="B2635" s="1367"/>
      <c r="C2635" s="1367"/>
      <c r="D2635" s="1381" t="s">
        <v>1669</v>
      </c>
      <c r="E2635" s="1165">
        <v>6.0</v>
      </c>
      <c r="F2635" s="1367"/>
      <c r="G2635" s="1367" t="s">
        <v>1669</v>
      </c>
      <c r="H2635" s="1367" t="s">
        <v>4162</v>
      </c>
      <c r="I2635" s="1367" t="s">
        <v>4234</v>
      </c>
      <c r="J2635" s="1367">
        <v>6.0</v>
      </c>
      <c r="K2635" s="1367"/>
      <c r="L2635" s="1367"/>
      <c r="M2635" s="1010"/>
    </row>
    <row r="2636">
      <c r="A2636" s="1367"/>
      <c r="B2636" s="1367"/>
      <c r="C2636" s="1367"/>
      <c r="D2636" s="1381" t="s">
        <v>119</v>
      </c>
      <c r="E2636" s="1165">
        <v>3.0</v>
      </c>
      <c r="F2636" s="1367"/>
      <c r="G2636" s="1367" t="s">
        <v>119</v>
      </c>
      <c r="H2636" s="1367" t="s">
        <v>4173</v>
      </c>
      <c r="I2636" s="1367" t="s">
        <v>4233</v>
      </c>
      <c r="J2636" s="1367">
        <v>3.0</v>
      </c>
      <c r="K2636" s="1367"/>
      <c r="L2636" s="1367"/>
      <c r="M2636" s="1010"/>
    </row>
    <row r="2637">
      <c r="A2637" s="1367"/>
      <c r="B2637" s="1367"/>
      <c r="C2637" s="1367"/>
      <c r="D2637" s="1381" t="s">
        <v>119</v>
      </c>
      <c r="E2637" s="1165">
        <v>2.0</v>
      </c>
      <c r="F2637" s="1367"/>
      <c r="G2637" s="1367" t="s">
        <v>119</v>
      </c>
      <c r="H2637" s="1367" t="s">
        <v>4173</v>
      </c>
      <c r="I2637" s="1367" t="s">
        <v>4234</v>
      </c>
      <c r="J2637" s="1367">
        <v>2.0</v>
      </c>
      <c r="K2637" s="1367"/>
      <c r="L2637" s="1367"/>
      <c r="M2637" s="1010"/>
    </row>
    <row r="2638">
      <c r="A2638" s="1367"/>
      <c r="B2638" s="1367"/>
      <c r="C2638" s="1367"/>
      <c r="D2638" s="1381" t="s">
        <v>2172</v>
      </c>
      <c r="E2638" s="1165">
        <v>52.0</v>
      </c>
      <c r="F2638" s="1367"/>
      <c r="G2638" s="1367" t="s">
        <v>2172</v>
      </c>
      <c r="H2638" s="1367" t="s">
        <v>4168</v>
      </c>
      <c r="I2638" s="1367" t="s">
        <v>4233</v>
      </c>
      <c r="J2638" s="1367">
        <v>52.0</v>
      </c>
      <c r="K2638" s="1367"/>
      <c r="L2638" s="1367"/>
      <c r="M2638" s="1010"/>
    </row>
    <row r="2639">
      <c r="A2639" s="1367"/>
      <c r="B2639" s="1367"/>
      <c r="C2639" s="1367"/>
      <c r="D2639" s="1381" t="s">
        <v>2172</v>
      </c>
      <c r="E2639" s="1165">
        <v>11.0</v>
      </c>
      <c r="F2639" s="1367"/>
      <c r="G2639" s="1367" t="s">
        <v>2172</v>
      </c>
      <c r="H2639" s="1367" t="s">
        <v>4168</v>
      </c>
      <c r="I2639" s="1367" t="s">
        <v>4234</v>
      </c>
      <c r="J2639" s="1367">
        <v>11.0</v>
      </c>
      <c r="K2639" s="1367"/>
      <c r="L2639" s="1367"/>
      <c r="M2639" s="1010"/>
    </row>
    <row r="2640">
      <c r="A2640" s="1367"/>
      <c r="B2640" s="1367"/>
      <c r="C2640" s="1367"/>
      <c r="D2640" s="1381" t="s">
        <v>2173</v>
      </c>
      <c r="E2640" s="1165">
        <v>5.0</v>
      </c>
      <c r="F2640" s="1367"/>
      <c r="G2640" s="1367" t="s">
        <v>2173</v>
      </c>
      <c r="H2640" s="1367" t="s">
        <v>4172</v>
      </c>
      <c r="I2640" s="1367" t="s">
        <v>4234</v>
      </c>
      <c r="J2640" s="1367">
        <v>5.0</v>
      </c>
      <c r="K2640" s="1367"/>
      <c r="L2640" s="1367"/>
      <c r="M2640" s="1010"/>
    </row>
    <row r="2641">
      <c r="A2641" s="1367"/>
      <c r="B2641" s="1367"/>
      <c r="C2641" s="1367"/>
      <c r="D2641" s="1381" t="s">
        <v>649</v>
      </c>
      <c r="E2641" s="1165">
        <v>1.0</v>
      </c>
      <c r="F2641" s="1367"/>
      <c r="G2641" s="1367" t="s">
        <v>649</v>
      </c>
      <c r="H2641" s="1367" t="s">
        <v>4170</v>
      </c>
      <c r="I2641" s="1367" t="s">
        <v>4233</v>
      </c>
      <c r="J2641" s="1367">
        <v>1.0</v>
      </c>
      <c r="K2641" s="1367"/>
      <c r="L2641" s="1367"/>
      <c r="M2641" s="1010"/>
    </row>
    <row r="2642">
      <c r="A2642" s="1367"/>
      <c r="B2642" s="1367"/>
      <c r="C2642" s="1367"/>
      <c r="D2642" s="1381" t="s">
        <v>649</v>
      </c>
      <c r="E2642" s="1165">
        <v>2.0</v>
      </c>
      <c r="F2642" s="1367"/>
      <c r="G2642" s="1367" t="s">
        <v>649</v>
      </c>
      <c r="H2642" s="1367" t="s">
        <v>4170</v>
      </c>
      <c r="I2642" s="1367" t="s">
        <v>4234</v>
      </c>
      <c r="J2642" s="1367">
        <v>2.0</v>
      </c>
      <c r="K2642" s="1367"/>
      <c r="L2642" s="1367"/>
      <c r="M2642" s="1010"/>
    </row>
    <row r="2643">
      <c r="A2643" s="1367"/>
      <c r="B2643" s="1367"/>
      <c r="C2643" s="1367"/>
      <c r="D2643" s="1381" t="s">
        <v>1020</v>
      </c>
      <c r="E2643" s="1165">
        <v>26.0</v>
      </c>
      <c r="F2643" s="1367"/>
      <c r="G2643" s="1367" t="s">
        <v>1020</v>
      </c>
      <c r="H2643" s="1367" t="s">
        <v>4169</v>
      </c>
      <c r="I2643" s="1367" t="s">
        <v>4233</v>
      </c>
      <c r="J2643" s="1367">
        <v>26.0</v>
      </c>
      <c r="K2643" s="1367"/>
      <c r="L2643" s="1367"/>
      <c r="M2643" s="1010"/>
    </row>
    <row r="2644">
      <c r="A2644" s="1367"/>
      <c r="B2644" s="1367"/>
      <c r="C2644" s="1367"/>
      <c r="D2644" s="1381" t="s">
        <v>1020</v>
      </c>
      <c r="E2644" s="1165">
        <v>19.0</v>
      </c>
      <c r="F2644" s="1367"/>
      <c r="G2644" s="1367" t="s">
        <v>1020</v>
      </c>
      <c r="H2644" s="1367" t="s">
        <v>4169</v>
      </c>
      <c r="I2644" s="1367" t="s">
        <v>4234</v>
      </c>
      <c r="J2644" s="1367">
        <v>19.0</v>
      </c>
      <c r="K2644" s="1367"/>
      <c r="L2644" s="1367"/>
      <c r="M2644" s="1010"/>
    </row>
    <row r="2645">
      <c r="A2645" s="1367"/>
      <c r="B2645" s="1367"/>
      <c r="C2645" s="1367"/>
      <c r="D2645" s="1381" t="s">
        <v>2174</v>
      </c>
      <c r="E2645" s="1165">
        <v>8.0</v>
      </c>
      <c r="F2645" s="1367"/>
      <c r="G2645" s="1367" t="s">
        <v>2174</v>
      </c>
      <c r="H2645" s="1367" t="s">
        <v>4169</v>
      </c>
      <c r="I2645" s="1367" t="s">
        <v>4233</v>
      </c>
      <c r="J2645" s="1367">
        <v>8.0</v>
      </c>
      <c r="K2645" s="1367"/>
      <c r="L2645" s="1367"/>
      <c r="M2645" s="1010"/>
    </row>
    <row r="2646">
      <c r="A2646" s="1367"/>
      <c r="B2646" s="1367"/>
      <c r="C2646" s="1367"/>
      <c r="D2646" s="1381" t="s">
        <v>2174</v>
      </c>
      <c r="E2646" s="1165">
        <v>2.0</v>
      </c>
      <c r="F2646" s="1367"/>
      <c r="G2646" s="1367" t="s">
        <v>2174</v>
      </c>
      <c r="H2646" s="1367" t="s">
        <v>4169</v>
      </c>
      <c r="I2646" s="1367" t="s">
        <v>4234</v>
      </c>
      <c r="J2646" s="1367">
        <v>2.0</v>
      </c>
      <c r="K2646" s="1367"/>
      <c r="L2646" s="1367"/>
      <c r="M2646" s="1010"/>
    </row>
    <row r="2647">
      <c r="A2647" s="1367"/>
      <c r="B2647" s="1367"/>
      <c r="C2647" s="1367"/>
      <c r="D2647" s="1381" t="s">
        <v>2176</v>
      </c>
      <c r="E2647" s="1165">
        <v>3.0</v>
      </c>
      <c r="F2647" s="1367"/>
      <c r="G2647" s="1367" t="s">
        <v>2176</v>
      </c>
      <c r="H2647" s="1367" t="s">
        <v>4168</v>
      </c>
      <c r="I2647" s="1367" t="s">
        <v>4233</v>
      </c>
      <c r="J2647" s="1367">
        <v>3.0</v>
      </c>
      <c r="K2647" s="1367"/>
      <c r="L2647" s="1367"/>
      <c r="M2647" s="1010"/>
    </row>
    <row r="2648">
      <c r="A2648" s="1367"/>
      <c r="B2648" s="1367"/>
      <c r="C2648" s="1367"/>
      <c r="D2648" s="1381" t="s">
        <v>2176</v>
      </c>
      <c r="E2648" s="1165">
        <v>1.0</v>
      </c>
      <c r="F2648" s="1367"/>
      <c r="G2648" s="1367" t="s">
        <v>2176</v>
      </c>
      <c r="H2648" s="1367" t="s">
        <v>4168</v>
      </c>
      <c r="I2648" s="1367" t="s">
        <v>4234</v>
      </c>
      <c r="J2648" s="1367">
        <v>1.0</v>
      </c>
      <c r="K2648" s="1367"/>
      <c r="L2648" s="1367"/>
      <c r="M2648" s="1010"/>
    </row>
    <row r="2649">
      <c r="A2649" s="1367"/>
      <c r="B2649" s="1367"/>
      <c r="C2649" s="1367"/>
      <c r="D2649" s="1381" t="s">
        <v>627</v>
      </c>
      <c r="E2649" s="1165">
        <v>11.0</v>
      </c>
      <c r="F2649" s="1367"/>
      <c r="G2649" s="1367" t="s">
        <v>627</v>
      </c>
      <c r="H2649" s="1367" t="s">
        <v>4173</v>
      </c>
      <c r="I2649" s="1367" t="s">
        <v>4233</v>
      </c>
      <c r="J2649" s="1367">
        <v>11.0</v>
      </c>
      <c r="K2649" s="1367"/>
      <c r="L2649" s="1367"/>
      <c r="M2649" s="1010"/>
    </row>
    <row r="2650">
      <c r="A2650" s="1367"/>
      <c r="B2650" s="1367"/>
      <c r="C2650" s="1367"/>
      <c r="D2650" s="1381" t="s">
        <v>627</v>
      </c>
      <c r="E2650" s="1165">
        <v>21.0</v>
      </c>
      <c r="F2650" s="1367"/>
      <c r="G2650" s="1367" t="s">
        <v>627</v>
      </c>
      <c r="H2650" s="1367" t="s">
        <v>4173</v>
      </c>
      <c r="I2650" s="1367" t="s">
        <v>4234</v>
      </c>
      <c r="J2650" s="1367">
        <v>21.0</v>
      </c>
      <c r="K2650" s="1367"/>
      <c r="L2650" s="1367"/>
      <c r="M2650" s="1010"/>
    </row>
    <row r="2651">
      <c r="A2651" s="1367"/>
      <c r="B2651" s="1367"/>
      <c r="C2651" s="1367"/>
      <c r="D2651" s="1381" t="s">
        <v>1021</v>
      </c>
      <c r="E2651" s="1165">
        <v>7.0</v>
      </c>
      <c r="F2651" s="1367"/>
      <c r="G2651" s="1367" t="s">
        <v>1021</v>
      </c>
      <c r="H2651" s="1367" t="s">
        <v>4171</v>
      </c>
      <c r="I2651" s="1367" t="s">
        <v>4233</v>
      </c>
      <c r="J2651" s="1367">
        <v>7.0</v>
      </c>
      <c r="K2651" s="1367"/>
      <c r="L2651" s="1367"/>
      <c r="M2651" s="1010"/>
    </row>
    <row r="2652">
      <c r="A2652" s="1367"/>
      <c r="B2652" s="1367"/>
      <c r="C2652" s="1367"/>
      <c r="D2652" s="1381" t="s">
        <v>1021</v>
      </c>
      <c r="E2652" s="1165">
        <v>1.0</v>
      </c>
      <c r="F2652" s="1367"/>
      <c r="G2652" s="1367" t="s">
        <v>1021</v>
      </c>
      <c r="H2652" s="1367" t="s">
        <v>4171</v>
      </c>
      <c r="I2652" s="1367" t="s">
        <v>4234</v>
      </c>
      <c r="J2652" s="1367">
        <v>1.0</v>
      </c>
      <c r="K2652" s="1367"/>
      <c r="L2652" s="1367"/>
      <c r="M2652" s="1010"/>
    </row>
    <row r="2653">
      <c r="A2653" s="1367"/>
      <c r="B2653" s="1367"/>
      <c r="C2653" s="1367"/>
      <c r="D2653" s="1381" t="s">
        <v>2177</v>
      </c>
      <c r="E2653" s="1165">
        <v>1.0</v>
      </c>
      <c r="F2653" s="1367"/>
      <c r="G2653" s="1367" t="s">
        <v>2177</v>
      </c>
      <c r="H2653" s="1367" t="s">
        <v>4162</v>
      </c>
      <c r="I2653" s="1367" t="s">
        <v>4234</v>
      </c>
      <c r="J2653" s="1367">
        <v>1.0</v>
      </c>
      <c r="K2653" s="1367"/>
      <c r="L2653" s="1367"/>
      <c r="M2653" s="1010"/>
    </row>
    <row r="2654">
      <c r="A2654" s="1367"/>
      <c r="B2654" s="1367"/>
      <c r="C2654" s="1367"/>
      <c r="D2654" s="1381" t="s">
        <v>2178</v>
      </c>
      <c r="E2654" s="1165">
        <v>8.0</v>
      </c>
      <c r="F2654" s="1367"/>
      <c r="G2654" s="1367" t="s">
        <v>2178</v>
      </c>
      <c r="H2654" s="1367" t="s">
        <v>4176</v>
      </c>
      <c r="I2654" s="1367" t="s">
        <v>4233</v>
      </c>
      <c r="J2654" s="1367">
        <v>8.0</v>
      </c>
      <c r="K2654" s="1367"/>
      <c r="L2654" s="1367"/>
      <c r="M2654" s="1010"/>
    </row>
    <row r="2655">
      <c r="A2655" s="1367"/>
      <c r="B2655" s="1367"/>
      <c r="C2655" s="1367"/>
      <c r="D2655" s="1381" t="s">
        <v>2178</v>
      </c>
      <c r="E2655" s="1165">
        <v>11.0</v>
      </c>
      <c r="F2655" s="1367"/>
      <c r="G2655" s="1367" t="s">
        <v>2178</v>
      </c>
      <c r="H2655" s="1367" t="s">
        <v>4176</v>
      </c>
      <c r="I2655" s="1367" t="s">
        <v>4234</v>
      </c>
      <c r="J2655" s="1367">
        <v>11.0</v>
      </c>
      <c r="K2655" s="1367"/>
      <c r="L2655" s="1367"/>
      <c r="M2655" s="1010"/>
    </row>
    <row r="2656">
      <c r="A2656" s="1367"/>
      <c r="B2656" s="1367"/>
      <c r="C2656" s="1367"/>
      <c r="D2656" s="1381" t="s">
        <v>1703</v>
      </c>
      <c r="E2656" s="1165">
        <v>3.0</v>
      </c>
      <c r="F2656" s="1367"/>
      <c r="G2656" s="1367" t="s">
        <v>1703</v>
      </c>
      <c r="H2656" s="1367" t="s">
        <v>4155</v>
      </c>
      <c r="I2656" s="1367" t="s">
        <v>4233</v>
      </c>
      <c r="J2656" s="1367">
        <v>3.0</v>
      </c>
      <c r="K2656" s="1367"/>
      <c r="L2656" s="1367"/>
      <c r="M2656" s="1010"/>
    </row>
    <row r="2657">
      <c r="A2657" s="1367"/>
      <c r="B2657" s="1367"/>
      <c r="C2657" s="1367"/>
      <c r="D2657" s="1381" t="s">
        <v>1703</v>
      </c>
      <c r="E2657" s="1165">
        <v>2.0</v>
      </c>
      <c r="F2657" s="1367"/>
      <c r="G2657" s="1367" t="s">
        <v>1703</v>
      </c>
      <c r="H2657" s="1367" t="s">
        <v>4155</v>
      </c>
      <c r="I2657" s="1367" t="s">
        <v>4234</v>
      </c>
      <c r="J2657" s="1367">
        <v>2.0</v>
      </c>
      <c r="K2657" s="1367"/>
      <c r="L2657" s="1367"/>
      <c r="M2657" s="1010"/>
    </row>
    <row r="2658">
      <c r="A2658" s="1367"/>
      <c r="B2658" s="1367"/>
      <c r="C2658" s="1367"/>
      <c r="D2658" s="1381" t="s">
        <v>2179</v>
      </c>
      <c r="E2658" s="1165">
        <v>4.0</v>
      </c>
      <c r="F2658" s="1367"/>
      <c r="G2658" s="1367" t="s">
        <v>2179</v>
      </c>
      <c r="H2658" s="1367" t="s">
        <v>4170</v>
      </c>
      <c r="I2658" s="1367" t="s">
        <v>4233</v>
      </c>
      <c r="J2658" s="1367">
        <v>4.0</v>
      </c>
      <c r="K2658" s="1367"/>
      <c r="L2658" s="1367"/>
      <c r="M2658" s="1010"/>
    </row>
    <row r="2659">
      <c r="A2659" s="1367"/>
      <c r="B2659" s="1367"/>
      <c r="C2659" s="1367"/>
      <c r="D2659" s="1381" t="s">
        <v>2179</v>
      </c>
      <c r="E2659" s="1165">
        <v>1.0</v>
      </c>
      <c r="F2659" s="1367"/>
      <c r="G2659" s="1367" t="s">
        <v>2179</v>
      </c>
      <c r="H2659" s="1367" t="s">
        <v>4170</v>
      </c>
      <c r="I2659" s="1367" t="s">
        <v>4234</v>
      </c>
      <c r="J2659" s="1367">
        <v>1.0</v>
      </c>
      <c r="K2659" s="1367"/>
      <c r="L2659" s="1367"/>
      <c r="M2659" s="1010"/>
    </row>
    <row r="2660">
      <c r="A2660" s="1367"/>
      <c r="B2660" s="1367"/>
      <c r="C2660" s="1367"/>
      <c r="D2660" s="1381" t="s">
        <v>2181</v>
      </c>
      <c r="E2660" s="1165">
        <v>1.0</v>
      </c>
      <c r="F2660" s="1367"/>
      <c r="G2660" s="1367" t="s">
        <v>2181</v>
      </c>
      <c r="H2660" s="1367" t="s">
        <v>4169</v>
      </c>
      <c r="I2660" s="1367" t="s">
        <v>4234</v>
      </c>
      <c r="J2660" s="1367">
        <v>1.0</v>
      </c>
      <c r="K2660" s="1367"/>
      <c r="L2660" s="1367"/>
      <c r="M2660" s="1010"/>
    </row>
    <row r="2661">
      <c r="A2661" s="1367"/>
      <c r="B2661" s="1367"/>
      <c r="C2661" s="1367"/>
      <c r="D2661" s="1381" t="s">
        <v>2182</v>
      </c>
      <c r="E2661" s="1165">
        <v>6.0</v>
      </c>
      <c r="F2661" s="1367"/>
      <c r="G2661" s="1367" t="s">
        <v>2182</v>
      </c>
      <c r="H2661" s="1367" t="s">
        <v>4168</v>
      </c>
      <c r="I2661" s="1367" t="s">
        <v>4233</v>
      </c>
      <c r="J2661" s="1367">
        <v>6.0</v>
      </c>
      <c r="K2661" s="1367"/>
      <c r="L2661" s="1367"/>
      <c r="M2661" s="1010"/>
    </row>
    <row r="2662">
      <c r="A2662" s="1367"/>
      <c r="B2662" s="1367"/>
      <c r="C2662" s="1367"/>
      <c r="D2662" s="1381" t="s">
        <v>2182</v>
      </c>
      <c r="E2662" s="1165">
        <v>3.0</v>
      </c>
      <c r="F2662" s="1367"/>
      <c r="G2662" s="1367" t="s">
        <v>2182</v>
      </c>
      <c r="H2662" s="1367" t="s">
        <v>4168</v>
      </c>
      <c r="I2662" s="1367" t="s">
        <v>4234</v>
      </c>
      <c r="J2662" s="1367">
        <v>3.0</v>
      </c>
      <c r="K2662" s="1367"/>
      <c r="L2662" s="1367"/>
      <c r="M2662" s="1010"/>
    </row>
    <row r="2663">
      <c r="A2663" s="1367"/>
      <c r="B2663" s="1367"/>
      <c r="C2663" s="1367"/>
      <c r="D2663" s="1381" t="s">
        <v>2183</v>
      </c>
      <c r="E2663" s="1165">
        <v>3.0</v>
      </c>
      <c r="F2663" s="1367"/>
      <c r="G2663" s="1367" t="s">
        <v>2183</v>
      </c>
      <c r="H2663" s="1367" t="s">
        <v>4171</v>
      </c>
      <c r="I2663" s="1367" t="s">
        <v>4234</v>
      </c>
      <c r="J2663" s="1367">
        <v>3.0</v>
      </c>
      <c r="K2663" s="1367"/>
      <c r="L2663" s="1367"/>
      <c r="M2663" s="1010"/>
    </row>
    <row r="2664">
      <c r="A2664" s="1367"/>
      <c r="B2664" s="1367"/>
      <c r="C2664" s="1367"/>
      <c r="D2664" s="810"/>
      <c r="E2664" s="1416"/>
      <c r="F2664" s="1367"/>
      <c r="G2664" s="1367"/>
      <c r="H2664" s="1367"/>
      <c r="I2664" s="1367"/>
      <c r="J2664" s="1367"/>
      <c r="K2664" s="1367"/>
      <c r="L2664" s="1367"/>
      <c r="M2664" s="1010"/>
    </row>
    <row r="2665">
      <c r="A2665" s="1367"/>
      <c r="B2665" s="1367"/>
      <c r="C2665" s="1367"/>
      <c r="D2665" s="810"/>
      <c r="E2665" s="1416"/>
      <c r="F2665" s="1367"/>
      <c r="G2665" s="1367"/>
      <c r="H2665" s="1367"/>
      <c r="I2665" s="1367"/>
      <c r="J2665" s="1367"/>
      <c r="K2665" s="1367"/>
      <c r="L2665" s="1367"/>
      <c r="M2665" s="1010"/>
    </row>
    <row r="2666">
      <c r="A2666" s="1367"/>
      <c r="B2666" s="1367"/>
      <c r="C2666" s="1367"/>
      <c r="D2666" s="810"/>
      <c r="E2666" s="1416"/>
      <c r="F2666" s="1367"/>
      <c r="G2666" s="1367"/>
      <c r="H2666" s="1367"/>
      <c r="I2666" s="1367"/>
      <c r="J2666" s="1367"/>
      <c r="K2666" s="1367"/>
      <c r="L2666" s="1367"/>
      <c r="M2666" s="1010"/>
    </row>
    <row r="2667">
      <c r="A2667" s="1367"/>
      <c r="B2667" s="1367"/>
      <c r="C2667" s="1367"/>
      <c r="D2667" s="810"/>
      <c r="E2667" s="1416"/>
      <c r="F2667" s="1367"/>
      <c r="G2667" s="1367"/>
      <c r="H2667" s="1367"/>
      <c r="I2667" s="1367"/>
      <c r="J2667" s="1367"/>
      <c r="K2667" s="1367"/>
      <c r="L2667" s="1367"/>
      <c r="M2667" s="1010"/>
    </row>
    <row r="2668">
      <c r="A2668" s="1367"/>
      <c r="B2668" s="1367"/>
      <c r="C2668" s="1367"/>
      <c r="D2668" s="810"/>
      <c r="E2668" s="1416"/>
      <c r="F2668" s="1367"/>
      <c r="G2668" s="1367"/>
      <c r="H2668" s="1367"/>
      <c r="I2668" s="1367"/>
      <c r="J2668" s="1367"/>
      <c r="K2668" s="1367"/>
      <c r="L2668" s="1367"/>
      <c r="M2668" s="1010"/>
    </row>
    <row r="2669">
      <c r="A2669" s="1367"/>
      <c r="B2669" s="1367"/>
      <c r="C2669" s="1367"/>
      <c r="D2669" s="810"/>
      <c r="E2669" s="1416"/>
      <c r="F2669" s="1367"/>
      <c r="G2669" s="1367"/>
      <c r="H2669" s="1367"/>
      <c r="I2669" s="1367"/>
      <c r="J2669" s="1367"/>
      <c r="K2669" s="1367"/>
      <c r="L2669" s="1367"/>
      <c r="M2669" s="1010"/>
    </row>
    <row r="2670">
      <c r="A2670" s="1367"/>
      <c r="B2670" s="1367"/>
      <c r="C2670" s="1367"/>
      <c r="D2670" s="810"/>
      <c r="E2670" s="1416"/>
      <c r="F2670" s="1367"/>
      <c r="G2670" s="1367"/>
      <c r="H2670" s="1367"/>
      <c r="I2670" s="1367"/>
      <c r="J2670" s="1367"/>
      <c r="K2670" s="1367"/>
      <c r="L2670" s="1367"/>
      <c r="M2670" s="1010"/>
    </row>
    <row r="2671">
      <c r="A2671" s="1367"/>
      <c r="B2671" s="1367"/>
      <c r="C2671" s="1367"/>
      <c r="D2671" s="810"/>
      <c r="E2671" s="1416"/>
      <c r="F2671" s="1367"/>
      <c r="G2671" s="1367"/>
      <c r="H2671" s="1367"/>
      <c r="I2671" s="1367"/>
      <c r="J2671" s="1367"/>
      <c r="K2671" s="1367"/>
      <c r="L2671" s="1367"/>
      <c r="M2671" s="1010"/>
    </row>
    <row r="2672">
      <c r="A2672" s="1367"/>
      <c r="B2672" s="1367"/>
      <c r="C2672" s="1367"/>
      <c r="D2672" s="810"/>
      <c r="E2672" s="1416"/>
      <c r="F2672" s="1367"/>
      <c r="G2672" s="1367"/>
      <c r="H2672" s="1367"/>
      <c r="I2672" s="1367"/>
      <c r="J2672" s="1367"/>
      <c r="K2672" s="1367"/>
      <c r="L2672" s="1367"/>
      <c r="M2672" s="1010"/>
    </row>
    <row r="2673">
      <c r="A2673" s="1367"/>
      <c r="B2673" s="1367"/>
      <c r="C2673" s="1367"/>
      <c r="D2673" s="810"/>
      <c r="E2673" s="1416"/>
      <c r="F2673" s="1367"/>
      <c r="G2673" s="1367"/>
      <c r="H2673" s="1367"/>
      <c r="I2673" s="1367"/>
      <c r="J2673" s="1367"/>
      <c r="K2673" s="1367"/>
      <c r="L2673" s="1367"/>
      <c r="M2673" s="1010"/>
    </row>
    <row r="2674">
      <c r="A2674" s="1367"/>
      <c r="B2674" s="1367"/>
      <c r="C2674" s="1367"/>
      <c r="D2674" s="810"/>
      <c r="E2674" s="1416"/>
      <c r="F2674" s="1367"/>
      <c r="G2674" s="1367"/>
      <c r="H2674" s="1367"/>
      <c r="I2674" s="1367"/>
      <c r="J2674" s="1367"/>
      <c r="K2674" s="1367"/>
      <c r="L2674" s="1367"/>
      <c r="M2674" s="1010"/>
    </row>
    <row r="2675">
      <c r="A2675" s="1367"/>
      <c r="B2675" s="1367"/>
      <c r="C2675" s="1367"/>
      <c r="D2675" s="810"/>
      <c r="E2675" s="1416"/>
      <c r="F2675" s="1367"/>
      <c r="G2675" s="1367"/>
      <c r="H2675" s="1367"/>
      <c r="I2675" s="1367"/>
      <c r="J2675" s="1367"/>
      <c r="K2675" s="1367"/>
      <c r="L2675" s="1367"/>
      <c r="M2675" s="1010"/>
    </row>
    <row r="2676">
      <c r="A2676" s="1367"/>
      <c r="B2676" s="1367"/>
      <c r="C2676" s="1367"/>
      <c r="D2676" s="810"/>
      <c r="E2676" s="1416"/>
      <c r="F2676" s="1367"/>
      <c r="G2676" s="1367"/>
      <c r="H2676" s="1367"/>
      <c r="I2676" s="1367"/>
      <c r="J2676" s="1367"/>
      <c r="K2676" s="1367"/>
      <c r="L2676" s="1367"/>
      <c r="M2676" s="1010"/>
    </row>
    <row r="2677">
      <c r="A2677" s="1367"/>
      <c r="B2677" s="1367"/>
      <c r="C2677" s="1367"/>
      <c r="D2677" s="810"/>
      <c r="E2677" s="1416"/>
      <c r="F2677" s="1367"/>
      <c r="G2677" s="1367"/>
      <c r="H2677" s="1367"/>
      <c r="I2677" s="1367"/>
      <c r="J2677" s="1367"/>
      <c r="K2677" s="1367"/>
      <c r="L2677" s="1367"/>
      <c r="M2677" s="1010"/>
    </row>
    <row r="2678">
      <c r="A2678" s="1367"/>
      <c r="B2678" s="1367"/>
      <c r="C2678" s="1367"/>
      <c r="D2678" s="810"/>
      <c r="E2678" s="1416"/>
      <c r="F2678" s="1367"/>
      <c r="G2678" s="1367"/>
      <c r="H2678" s="1367"/>
      <c r="I2678" s="1367"/>
      <c r="J2678" s="1367"/>
      <c r="K2678" s="1367"/>
      <c r="L2678" s="1367"/>
      <c r="M2678" s="1010"/>
    </row>
    <row r="2679">
      <c r="A2679" s="1367"/>
      <c r="B2679" s="1367"/>
      <c r="C2679" s="1367"/>
      <c r="D2679" s="810"/>
      <c r="E2679" s="1416"/>
      <c r="F2679" s="1367"/>
      <c r="G2679" s="1367"/>
      <c r="H2679" s="1367"/>
      <c r="I2679" s="1367"/>
      <c r="J2679" s="1367"/>
      <c r="K2679" s="1367"/>
      <c r="L2679" s="1367"/>
      <c r="M2679" s="1010"/>
    </row>
    <row r="2680">
      <c r="A2680" s="1367"/>
      <c r="B2680" s="1367"/>
      <c r="C2680" s="1367"/>
      <c r="D2680" s="810"/>
      <c r="E2680" s="1416"/>
      <c r="F2680" s="1367"/>
      <c r="G2680" s="1367"/>
      <c r="H2680" s="1367"/>
      <c r="I2680" s="1367"/>
      <c r="J2680" s="1367"/>
      <c r="K2680" s="1367"/>
      <c r="L2680" s="1367"/>
      <c r="M2680" s="1010"/>
    </row>
    <row r="2681">
      <c r="A2681" s="1367"/>
      <c r="B2681" s="1367"/>
      <c r="C2681" s="1367"/>
      <c r="D2681" s="810"/>
      <c r="E2681" s="1416"/>
      <c r="F2681" s="1367"/>
      <c r="G2681" s="1367"/>
      <c r="H2681" s="1367"/>
      <c r="I2681" s="1367"/>
      <c r="J2681" s="1367"/>
      <c r="K2681" s="1367"/>
      <c r="L2681" s="1367"/>
      <c r="M2681" s="1010"/>
    </row>
    <row r="2682">
      <c r="A2682" s="1367"/>
      <c r="B2682" s="1367"/>
      <c r="C2682" s="1367"/>
      <c r="D2682" s="810"/>
      <c r="E2682" s="1416"/>
      <c r="F2682" s="1367"/>
      <c r="G2682" s="1367"/>
      <c r="H2682" s="1367"/>
      <c r="I2682" s="1367"/>
      <c r="J2682" s="1367"/>
      <c r="K2682" s="1367"/>
      <c r="L2682" s="1367"/>
      <c r="M2682" s="1010"/>
    </row>
    <row r="2683">
      <c r="A2683" s="1367"/>
      <c r="B2683" s="1367"/>
      <c r="C2683" s="1367"/>
      <c r="D2683" s="810"/>
      <c r="E2683" s="1416"/>
      <c r="F2683" s="1367"/>
      <c r="G2683" s="1367"/>
      <c r="H2683" s="1367"/>
      <c r="I2683" s="1367"/>
      <c r="J2683" s="1367"/>
      <c r="K2683" s="1367"/>
      <c r="L2683" s="1367"/>
      <c r="M2683" s="1010"/>
    </row>
    <row r="2684">
      <c r="A2684" s="1367"/>
      <c r="B2684" s="1367"/>
      <c r="C2684" s="1367"/>
      <c r="D2684" s="810"/>
      <c r="E2684" s="1416"/>
      <c r="F2684" s="1367"/>
      <c r="G2684" s="1367"/>
      <c r="H2684" s="1367"/>
      <c r="I2684" s="1367"/>
      <c r="J2684" s="1367"/>
      <c r="K2684" s="1367"/>
      <c r="L2684" s="1367"/>
      <c r="M2684" s="1010"/>
    </row>
    <row r="2685">
      <c r="A2685" s="1367"/>
      <c r="B2685" s="1367"/>
      <c r="C2685" s="1367"/>
      <c r="D2685" s="810"/>
      <c r="E2685" s="1416"/>
      <c r="F2685" s="1367"/>
      <c r="G2685" s="1367"/>
      <c r="H2685" s="1367"/>
      <c r="I2685" s="1367"/>
      <c r="J2685" s="1367"/>
      <c r="K2685" s="1367"/>
      <c r="L2685" s="1367"/>
      <c r="M2685" s="1010"/>
    </row>
    <row r="2686">
      <c r="A2686" s="1367"/>
      <c r="B2686" s="1367"/>
      <c r="C2686" s="1367"/>
      <c r="D2686" s="810"/>
      <c r="E2686" s="1416"/>
      <c r="F2686" s="1367"/>
      <c r="G2686" s="1367"/>
      <c r="H2686" s="1367"/>
      <c r="I2686" s="1367"/>
      <c r="J2686" s="1367"/>
      <c r="K2686" s="1367"/>
      <c r="L2686" s="1367"/>
      <c r="M2686" s="1010"/>
    </row>
    <row r="2687">
      <c r="A2687" s="1367"/>
      <c r="B2687" s="1367"/>
      <c r="C2687" s="1367"/>
      <c r="D2687" s="810"/>
      <c r="E2687" s="1416"/>
      <c r="F2687" s="1367"/>
      <c r="G2687" s="1367"/>
      <c r="H2687" s="1367"/>
      <c r="I2687" s="1367"/>
      <c r="J2687" s="1367"/>
      <c r="K2687" s="1367"/>
      <c r="L2687" s="1367"/>
      <c r="M2687" s="1010"/>
    </row>
    <row r="2688">
      <c r="A2688" s="1367"/>
      <c r="B2688" s="1367"/>
      <c r="C2688" s="1367"/>
      <c r="D2688" s="810"/>
      <c r="E2688" s="1416"/>
      <c r="F2688" s="1367"/>
      <c r="G2688" s="1367"/>
      <c r="H2688" s="1367"/>
      <c r="I2688" s="1367"/>
      <c r="J2688" s="1367"/>
      <c r="K2688" s="1367"/>
      <c r="L2688" s="1367"/>
      <c r="M2688" s="1010"/>
    </row>
    <row r="2689">
      <c r="A2689" s="1367"/>
      <c r="B2689" s="1367"/>
      <c r="C2689" s="1367"/>
      <c r="D2689" s="810"/>
      <c r="E2689" s="1416"/>
      <c r="F2689" s="1367"/>
      <c r="G2689" s="1367"/>
      <c r="H2689" s="1367"/>
      <c r="I2689" s="1367"/>
      <c r="J2689" s="1367"/>
      <c r="K2689" s="1367"/>
      <c r="L2689" s="1367"/>
      <c r="M2689" s="1010"/>
    </row>
    <row r="2690">
      <c r="A2690" s="1367"/>
      <c r="B2690" s="1367"/>
      <c r="C2690" s="1367"/>
      <c r="D2690" s="810"/>
      <c r="E2690" s="1416"/>
      <c r="F2690" s="1367"/>
      <c r="G2690" s="1367"/>
      <c r="H2690" s="1367"/>
      <c r="I2690" s="1367"/>
      <c r="J2690" s="1367"/>
      <c r="K2690" s="1367"/>
      <c r="L2690" s="1367"/>
      <c r="M2690" s="1010"/>
    </row>
    <row r="2691">
      <c r="A2691" s="1367"/>
      <c r="B2691" s="1367"/>
      <c r="C2691" s="1367"/>
      <c r="D2691" s="810"/>
      <c r="E2691" s="1416"/>
      <c r="F2691" s="1367"/>
      <c r="G2691" s="1367"/>
      <c r="H2691" s="1367"/>
      <c r="I2691" s="1367"/>
      <c r="J2691" s="1367"/>
      <c r="K2691" s="1367"/>
      <c r="L2691" s="1367"/>
      <c r="M2691" s="1010"/>
    </row>
    <row r="2692">
      <c r="A2692" s="1367"/>
      <c r="B2692" s="1367"/>
      <c r="C2692" s="1367"/>
      <c r="D2692" s="810"/>
      <c r="E2692" s="1416"/>
      <c r="F2692" s="1367"/>
      <c r="G2692" s="1367"/>
      <c r="H2692" s="1367"/>
      <c r="I2692" s="1367"/>
      <c r="J2692" s="1367"/>
      <c r="K2692" s="1367"/>
      <c r="L2692" s="1367"/>
      <c r="M2692" s="1010"/>
    </row>
    <row r="2693">
      <c r="A2693" s="1367"/>
      <c r="B2693" s="1367"/>
      <c r="C2693" s="1367"/>
      <c r="D2693" s="810"/>
      <c r="E2693" s="1416"/>
      <c r="F2693" s="1367"/>
      <c r="G2693" s="1367"/>
      <c r="H2693" s="1367"/>
      <c r="I2693" s="1367"/>
      <c r="J2693" s="1367"/>
      <c r="K2693" s="1367"/>
      <c r="L2693" s="1367"/>
      <c r="M2693" s="1010"/>
    </row>
    <row r="2694">
      <c r="A2694" s="1367"/>
      <c r="B2694" s="1367"/>
      <c r="C2694" s="1367"/>
      <c r="D2694" s="1367"/>
      <c r="E2694" s="1367"/>
      <c r="F2694" s="1367"/>
      <c r="G2694" s="1367"/>
      <c r="H2694" s="1367"/>
      <c r="I2694" s="1367"/>
      <c r="J2694" s="1367"/>
      <c r="K2694" s="1367"/>
      <c r="L2694" s="1367"/>
      <c r="M2694" s="1010"/>
    </row>
    <row r="2695">
      <c r="A2695" s="1367"/>
      <c r="B2695" s="1367"/>
      <c r="C2695" s="1367"/>
      <c r="D2695" s="1367"/>
      <c r="E2695" s="1367"/>
      <c r="F2695" s="1367"/>
      <c r="G2695" s="1367"/>
      <c r="H2695" s="1367"/>
      <c r="I2695" s="1367"/>
      <c r="J2695" s="1367"/>
      <c r="K2695" s="1367"/>
      <c r="L2695" s="1367"/>
      <c r="M2695" s="1010"/>
    </row>
    <row r="2696">
      <c r="A2696" s="1367"/>
      <c r="B2696" s="1367"/>
      <c r="C2696" s="1367"/>
      <c r="D2696" s="1367"/>
      <c r="E2696" s="1367"/>
      <c r="F2696" s="1367"/>
      <c r="G2696" s="1367"/>
      <c r="H2696" s="1367"/>
      <c r="I2696" s="1367"/>
      <c r="J2696" s="1367"/>
      <c r="K2696" s="1367"/>
      <c r="L2696" s="1367"/>
      <c r="M2696" s="1010"/>
    </row>
    <row r="2697">
      <c r="A2697" s="1369" t="s">
        <v>852</v>
      </c>
      <c r="B2697" s="1370"/>
      <c r="C2697" s="1370"/>
      <c r="D2697" s="1370"/>
      <c r="E2697" s="1370"/>
      <c r="F2697" s="1370"/>
      <c r="G2697" s="1369" t="s">
        <v>1043</v>
      </c>
      <c r="H2697" s="1378">
        <v>45453.0</v>
      </c>
      <c r="I2697" s="1369" t="s">
        <v>1044</v>
      </c>
      <c r="J2697" s="1378">
        <v>45169.0</v>
      </c>
      <c r="K2697" s="1370"/>
      <c r="L2697" s="1370"/>
      <c r="M2697" s="1372"/>
      <c r="N2697" s="276"/>
    </row>
    <row r="2698">
      <c r="A2698" s="1367"/>
      <c r="B2698" s="1367"/>
      <c r="C2698" s="1367"/>
      <c r="D2698" s="1367"/>
      <c r="E2698" s="1367"/>
      <c r="F2698" s="1367"/>
      <c r="G2698" s="1367"/>
      <c r="H2698" s="1367"/>
      <c r="I2698" s="1367"/>
      <c r="J2698" s="1367"/>
      <c r="K2698" s="1367"/>
      <c r="L2698" s="1367"/>
      <c r="M2698" s="1010"/>
    </row>
    <row r="2699">
      <c r="A2699" s="1417" t="s">
        <v>4226</v>
      </c>
      <c r="B2699" s="1417" t="s">
        <v>2474</v>
      </c>
      <c r="C2699" s="1417" t="s">
        <v>172</v>
      </c>
      <c r="D2699" s="1418" t="s">
        <v>4238</v>
      </c>
      <c r="E2699" s="1418" t="s">
        <v>4239</v>
      </c>
      <c r="F2699" s="1419" t="s">
        <v>4240</v>
      </c>
      <c r="G2699" s="1420" t="s">
        <v>3840</v>
      </c>
      <c r="H2699" s="1367"/>
      <c r="I2699" s="1421" t="s">
        <v>954</v>
      </c>
      <c r="J2699" s="1422">
        <f t="shared" ref="J2699:J2952" si="19">if(sumif($C$2699:$C$2975,I2699,$F$2699:$F$2975)=0,"NULL",sumif($C$2699:$C$2975,I2699,$F$2699:$F$2975))</f>
        <v>15</v>
      </c>
      <c r="K2699" s="1367"/>
      <c r="L2699" s="1367"/>
      <c r="M2699" s="1010"/>
    </row>
    <row r="2700">
      <c r="A2700" s="1417">
        <v>2023.0</v>
      </c>
      <c r="B2700" s="1417" t="s">
        <v>4170</v>
      </c>
      <c r="C2700" s="1417" t="s">
        <v>1783</v>
      </c>
      <c r="D2700" s="1418" t="s">
        <v>4241</v>
      </c>
      <c r="E2700" s="1418" t="s">
        <v>4242</v>
      </c>
      <c r="F2700" s="1419">
        <v>1.0</v>
      </c>
      <c r="G2700" s="1420">
        <v>2.0</v>
      </c>
      <c r="H2700" s="1423"/>
      <c r="I2700" s="1424" t="s">
        <v>2005</v>
      </c>
      <c r="J2700" s="1425">
        <f t="shared" si="19"/>
        <v>2</v>
      </c>
      <c r="K2700" s="1367"/>
      <c r="L2700" s="1367"/>
      <c r="M2700" s="1010"/>
    </row>
    <row r="2701">
      <c r="A2701" s="1417">
        <v>2023.0</v>
      </c>
      <c r="B2701" s="1417" t="s">
        <v>4170</v>
      </c>
      <c r="C2701" s="1417" t="s">
        <v>2012</v>
      </c>
      <c r="D2701" s="1418" t="s">
        <v>4241</v>
      </c>
      <c r="E2701" s="1418" t="s">
        <v>4242</v>
      </c>
      <c r="F2701" s="1419">
        <v>4.0</v>
      </c>
      <c r="G2701" s="1420">
        <v>13.0</v>
      </c>
      <c r="H2701" s="1423"/>
      <c r="I2701" s="1424" t="s">
        <v>2006</v>
      </c>
      <c r="J2701" s="1425">
        <f t="shared" si="19"/>
        <v>33</v>
      </c>
      <c r="K2701" s="1367"/>
      <c r="L2701" s="1367"/>
      <c r="M2701" s="1010"/>
    </row>
    <row r="2702">
      <c r="A2702" s="1417">
        <v>2023.0</v>
      </c>
      <c r="B2702" s="1417" t="s">
        <v>4170</v>
      </c>
      <c r="C2702" s="1417" t="s">
        <v>2025</v>
      </c>
      <c r="D2702" s="1418" t="s">
        <v>4241</v>
      </c>
      <c r="E2702" s="1418" t="s">
        <v>4242</v>
      </c>
      <c r="F2702" s="1419">
        <v>1.0</v>
      </c>
      <c r="G2702" s="1420">
        <v>3.0</v>
      </c>
      <c r="H2702" s="1423"/>
      <c r="I2702" s="1424" t="s">
        <v>2007</v>
      </c>
      <c r="J2702" s="1425">
        <f t="shared" si="19"/>
        <v>3</v>
      </c>
      <c r="K2702" s="1367"/>
      <c r="L2702" s="1367"/>
      <c r="M2702" s="1010"/>
    </row>
    <row r="2703">
      <c r="A2703" s="1417">
        <v>2023.0</v>
      </c>
      <c r="B2703" s="1417" t="s">
        <v>4170</v>
      </c>
      <c r="C2703" s="1417" t="s">
        <v>2032</v>
      </c>
      <c r="D2703" s="1418" t="s">
        <v>4241</v>
      </c>
      <c r="E2703" s="1418" t="s">
        <v>4242</v>
      </c>
      <c r="F2703" s="1419">
        <v>5.0</v>
      </c>
      <c r="G2703" s="1420">
        <v>16.0</v>
      </c>
      <c r="H2703" s="1367"/>
      <c r="I2703" s="1424" t="s">
        <v>2008</v>
      </c>
      <c r="J2703" s="1425">
        <f t="shared" si="19"/>
        <v>4</v>
      </c>
      <c r="K2703" s="1367"/>
      <c r="L2703" s="1367"/>
      <c r="M2703" s="1010"/>
    </row>
    <row r="2704">
      <c r="A2704" s="1417">
        <v>2023.0</v>
      </c>
      <c r="B2704" s="1417" t="s">
        <v>4170</v>
      </c>
      <c r="C2704" s="1417" t="s">
        <v>2033</v>
      </c>
      <c r="D2704" s="1418" t="s">
        <v>4241</v>
      </c>
      <c r="E2704" s="1418" t="s">
        <v>4242</v>
      </c>
      <c r="F2704" s="1419">
        <v>2.0</v>
      </c>
      <c r="G2704" s="1420">
        <v>6.0</v>
      </c>
      <c r="H2704" s="1367"/>
      <c r="I2704" s="1424" t="s">
        <v>1783</v>
      </c>
      <c r="J2704" s="1425">
        <f t="shared" si="19"/>
        <v>1</v>
      </c>
      <c r="K2704" s="1367"/>
      <c r="L2704" s="1367"/>
      <c r="M2704" s="1010"/>
    </row>
    <row r="2705">
      <c r="A2705" s="1417">
        <v>2023.0</v>
      </c>
      <c r="B2705" s="1417" t="s">
        <v>4170</v>
      </c>
      <c r="C2705" s="1417" t="s">
        <v>2034</v>
      </c>
      <c r="D2705" s="1418" t="s">
        <v>4241</v>
      </c>
      <c r="E2705" s="1418" t="s">
        <v>4242</v>
      </c>
      <c r="F2705" s="1419">
        <v>2.0</v>
      </c>
      <c r="G2705" s="1420">
        <v>5.0</v>
      </c>
      <c r="H2705" s="1367"/>
      <c r="I2705" s="1424" t="s">
        <v>2010</v>
      </c>
      <c r="J2705" s="1425">
        <f t="shared" si="19"/>
        <v>11</v>
      </c>
      <c r="K2705" s="1367"/>
      <c r="L2705" s="1367"/>
      <c r="M2705" s="1010"/>
    </row>
    <row r="2706">
      <c r="A2706" s="1417">
        <v>2023.0</v>
      </c>
      <c r="B2706" s="1417" t="s">
        <v>4170</v>
      </c>
      <c r="C2706" s="1417" t="s">
        <v>2035</v>
      </c>
      <c r="D2706" s="1418" t="s">
        <v>4241</v>
      </c>
      <c r="E2706" s="1418" t="s">
        <v>4242</v>
      </c>
      <c r="F2706" s="1419">
        <v>1.0</v>
      </c>
      <c r="G2706" s="1420">
        <v>0.0</v>
      </c>
      <c r="H2706" s="1367"/>
      <c r="I2706" s="1424" t="s">
        <v>2011</v>
      </c>
      <c r="J2706" s="1425">
        <f t="shared" si="19"/>
        <v>7</v>
      </c>
      <c r="K2706" s="1367"/>
      <c r="L2706" s="1367"/>
      <c r="M2706" s="1010"/>
    </row>
    <row r="2707">
      <c r="A2707" s="1417">
        <v>2023.0</v>
      </c>
      <c r="B2707" s="1417" t="s">
        <v>4170</v>
      </c>
      <c r="C2707" s="1417" t="s">
        <v>2047</v>
      </c>
      <c r="D2707" s="1418" t="s">
        <v>4241</v>
      </c>
      <c r="E2707" s="1418" t="s">
        <v>4242</v>
      </c>
      <c r="F2707" s="1419">
        <v>2.0</v>
      </c>
      <c r="G2707" s="1420">
        <v>4.0</v>
      </c>
      <c r="H2707" s="1367"/>
      <c r="I2707" s="1424" t="s">
        <v>2012</v>
      </c>
      <c r="J2707" s="1425">
        <f t="shared" si="19"/>
        <v>4</v>
      </c>
      <c r="K2707" s="1367"/>
      <c r="L2707" s="1367"/>
      <c r="M2707" s="1010"/>
    </row>
    <row r="2708">
      <c r="A2708" s="1417">
        <v>2023.0</v>
      </c>
      <c r="B2708" s="1417" t="s">
        <v>4170</v>
      </c>
      <c r="C2708" s="1417" t="s">
        <v>2050</v>
      </c>
      <c r="D2708" s="1418" t="s">
        <v>4241</v>
      </c>
      <c r="E2708" s="1418" t="s">
        <v>4242</v>
      </c>
      <c r="F2708" s="1419">
        <v>3.0</v>
      </c>
      <c r="G2708" s="1420">
        <v>6.0</v>
      </c>
      <c r="H2708" s="1367"/>
      <c r="I2708" s="1424" t="s">
        <v>2013</v>
      </c>
      <c r="J2708" s="1425">
        <f t="shared" si="19"/>
        <v>9</v>
      </c>
      <c r="K2708" s="1367"/>
      <c r="L2708" s="1367"/>
      <c r="M2708" s="1010"/>
    </row>
    <row r="2709">
      <c r="A2709" s="1417">
        <v>2023.0</v>
      </c>
      <c r="B2709" s="1417" t="s">
        <v>4170</v>
      </c>
      <c r="C2709" s="1417" t="s">
        <v>2052</v>
      </c>
      <c r="D2709" s="1418" t="s">
        <v>4241</v>
      </c>
      <c r="E2709" s="1418" t="s">
        <v>4242</v>
      </c>
      <c r="F2709" s="1419">
        <v>2.0</v>
      </c>
      <c r="G2709" s="1420">
        <v>5.0</v>
      </c>
      <c r="H2709" s="1367"/>
      <c r="I2709" s="1424" t="s">
        <v>2014</v>
      </c>
      <c r="J2709" s="1425">
        <f t="shared" si="19"/>
        <v>16</v>
      </c>
      <c r="K2709" s="1367"/>
      <c r="L2709" s="1367"/>
      <c r="M2709" s="1010"/>
    </row>
    <row r="2710">
      <c r="A2710" s="1417">
        <v>2023.0</v>
      </c>
      <c r="B2710" s="1417" t="s">
        <v>4170</v>
      </c>
      <c r="C2710" s="1417" t="s">
        <v>2056</v>
      </c>
      <c r="D2710" s="1418" t="s">
        <v>4241</v>
      </c>
      <c r="E2710" s="1418" t="s">
        <v>4242</v>
      </c>
      <c r="F2710" s="1419">
        <v>1.0</v>
      </c>
      <c r="G2710" s="1420">
        <v>2.0</v>
      </c>
      <c r="H2710" s="1367"/>
      <c r="I2710" s="1424" t="s">
        <v>2015</v>
      </c>
      <c r="J2710" s="1425">
        <f t="shared" si="19"/>
        <v>2</v>
      </c>
      <c r="K2710" s="1367"/>
      <c r="L2710" s="1367"/>
      <c r="M2710" s="1010"/>
    </row>
    <row r="2711">
      <c r="A2711" s="1417">
        <v>2023.0</v>
      </c>
      <c r="B2711" s="1417" t="s">
        <v>4170</v>
      </c>
      <c r="C2711" s="1417" t="s">
        <v>2059</v>
      </c>
      <c r="D2711" s="1418" t="s">
        <v>4241</v>
      </c>
      <c r="E2711" s="1418" t="s">
        <v>4242</v>
      </c>
      <c r="F2711" s="1419">
        <v>2.0</v>
      </c>
      <c r="G2711" s="1420">
        <v>8.0</v>
      </c>
      <c r="H2711" s="1367"/>
      <c r="I2711" s="1424" t="s">
        <v>2016</v>
      </c>
      <c r="J2711" s="1425">
        <f t="shared" si="19"/>
        <v>5</v>
      </c>
      <c r="K2711" s="1367"/>
      <c r="L2711" s="1367"/>
      <c r="M2711" s="1010"/>
    </row>
    <row r="2712">
      <c r="A2712" s="1417">
        <v>2023.0</v>
      </c>
      <c r="B2712" s="1417" t="s">
        <v>4170</v>
      </c>
      <c r="C2712" s="1417" t="s">
        <v>575</v>
      </c>
      <c r="D2712" s="1418" t="s">
        <v>4241</v>
      </c>
      <c r="E2712" s="1418" t="s">
        <v>4242</v>
      </c>
      <c r="F2712" s="1419">
        <v>4.0</v>
      </c>
      <c r="G2712" s="1420">
        <v>6.0</v>
      </c>
      <c r="H2712" s="1367"/>
      <c r="I2712" s="1424" t="s">
        <v>1027</v>
      </c>
      <c r="J2712" s="1425">
        <f t="shared" si="19"/>
        <v>151</v>
      </c>
      <c r="K2712" s="1367"/>
      <c r="L2712" s="1367"/>
      <c r="M2712" s="1010"/>
    </row>
    <row r="2713">
      <c r="A2713" s="1417">
        <v>2023.0</v>
      </c>
      <c r="B2713" s="1417" t="s">
        <v>4170</v>
      </c>
      <c r="C2713" s="1417" t="s">
        <v>2072</v>
      </c>
      <c r="D2713" s="1418" t="s">
        <v>4241</v>
      </c>
      <c r="E2713" s="1418" t="s">
        <v>4242</v>
      </c>
      <c r="F2713" s="1419">
        <v>2.0</v>
      </c>
      <c r="G2713" s="1420">
        <v>3.0</v>
      </c>
      <c r="H2713" s="1367"/>
      <c r="I2713" s="1424" t="s">
        <v>267</v>
      </c>
      <c r="J2713" s="1425">
        <f t="shared" si="19"/>
        <v>657</v>
      </c>
      <c r="K2713" s="1367"/>
      <c r="L2713" s="1367"/>
      <c r="M2713" s="1010"/>
    </row>
    <row r="2714">
      <c r="A2714" s="1417">
        <v>2023.0</v>
      </c>
      <c r="B2714" s="1417" t="s">
        <v>4170</v>
      </c>
      <c r="C2714" s="1417" t="s">
        <v>975</v>
      </c>
      <c r="D2714" s="1418" t="s">
        <v>4241</v>
      </c>
      <c r="E2714" s="1418" t="s">
        <v>4242</v>
      </c>
      <c r="F2714" s="1419">
        <v>8.0</v>
      </c>
      <c r="G2714" s="1420">
        <v>19.0</v>
      </c>
      <c r="H2714" s="1367"/>
      <c r="I2714" s="1424" t="s">
        <v>2017</v>
      </c>
      <c r="J2714" s="1425">
        <f t="shared" si="19"/>
        <v>1</v>
      </c>
      <c r="K2714" s="1367"/>
      <c r="L2714" s="1367"/>
      <c r="M2714" s="1010"/>
    </row>
    <row r="2715">
      <c r="A2715" s="1417">
        <v>2023.0</v>
      </c>
      <c r="B2715" s="1417" t="s">
        <v>4170</v>
      </c>
      <c r="C2715" s="1417" t="s">
        <v>139</v>
      </c>
      <c r="D2715" s="1418" t="s">
        <v>4241</v>
      </c>
      <c r="E2715" s="1418" t="s">
        <v>4242</v>
      </c>
      <c r="F2715" s="1419">
        <v>14.0</v>
      </c>
      <c r="G2715" s="1420">
        <v>25.0</v>
      </c>
      <c r="H2715" s="1367"/>
      <c r="I2715" s="1424" t="s">
        <v>2018</v>
      </c>
      <c r="J2715" s="1425" t="str">
        <f t="shared" si="19"/>
        <v>NULL</v>
      </c>
      <c r="K2715" s="1367"/>
      <c r="L2715" s="1367"/>
      <c r="M2715" s="1010"/>
    </row>
    <row r="2716">
      <c r="A2716" s="1417">
        <v>2023.0</v>
      </c>
      <c r="B2716" s="1417" t="s">
        <v>4170</v>
      </c>
      <c r="C2716" s="1417" t="s">
        <v>586</v>
      </c>
      <c r="D2716" s="1418" t="s">
        <v>4241</v>
      </c>
      <c r="E2716" s="1418" t="s">
        <v>4242</v>
      </c>
      <c r="F2716" s="1419">
        <v>2.0</v>
      </c>
      <c r="G2716" s="1420">
        <v>6.0</v>
      </c>
      <c r="H2716" s="1367"/>
      <c r="I2716" s="1424" t="s">
        <v>2019</v>
      </c>
      <c r="J2716" s="1425">
        <f t="shared" si="19"/>
        <v>3</v>
      </c>
      <c r="K2716" s="1367"/>
      <c r="L2716" s="1367"/>
      <c r="M2716" s="1010"/>
    </row>
    <row r="2717">
      <c r="A2717" s="1417">
        <v>2023.0</v>
      </c>
      <c r="B2717" s="1417" t="s">
        <v>4170</v>
      </c>
      <c r="C2717" s="1417" t="s">
        <v>2084</v>
      </c>
      <c r="D2717" s="1418" t="s">
        <v>4241</v>
      </c>
      <c r="E2717" s="1418" t="s">
        <v>4242</v>
      </c>
      <c r="F2717" s="1419">
        <v>3.0</v>
      </c>
      <c r="G2717" s="1420">
        <v>6.0</v>
      </c>
      <c r="H2717" s="1367"/>
      <c r="I2717" s="1424" t="s">
        <v>2020</v>
      </c>
      <c r="J2717" s="1425">
        <f t="shared" si="19"/>
        <v>8</v>
      </c>
      <c r="K2717" s="1367"/>
      <c r="L2717" s="1367"/>
      <c r="M2717" s="1010"/>
    </row>
    <row r="2718">
      <c r="A2718" s="1417">
        <v>2023.0</v>
      </c>
      <c r="B2718" s="1417" t="s">
        <v>4170</v>
      </c>
      <c r="C2718" s="1417" t="s">
        <v>2087</v>
      </c>
      <c r="D2718" s="1418" t="s">
        <v>4241</v>
      </c>
      <c r="E2718" s="1418" t="s">
        <v>4242</v>
      </c>
      <c r="F2718" s="1419">
        <v>9.0</v>
      </c>
      <c r="G2718" s="1420">
        <v>22.0</v>
      </c>
      <c r="H2718" s="1367"/>
      <c r="I2718" s="1424" t="s">
        <v>2021</v>
      </c>
      <c r="J2718" s="1425">
        <f t="shared" si="19"/>
        <v>130</v>
      </c>
      <c r="K2718" s="1367"/>
      <c r="L2718" s="1367"/>
      <c r="M2718" s="1010"/>
    </row>
    <row r="2719">
      <c r="A2719" s="1417">
        <v>2023.0</v>
      </c>
      <c r="B2719" s="1417" t="s">
        <v>4170</v>
      </c>
      <c r="C2719" s="1417" t="s">
        <v>1860</v>
      </c>
      <c r="D2719" s="1418" t="s">
        <v>4241</v>
      </c>
      <c r="E2719" s="1418" t="s">
        <v>4242</v>
      </c>
      <c r="F2719" s="1419">
        <v>5.0</v>
      </c>
      <c r="G2719" s="1420">
        <v>7.0</v>
      </c>
      <c r="H2719" s="1367"/>
      <c r="I2719" s="1424" t="s">
        <v>2022</v>
      </c>
      <c r="J2719" s="1425">
        <f t="shared" si="19"/>
        <v>70</v>
      </c>
      <c r="K2719" s="1367"/>
      <c r="L2719" s="1367"/>
      <c r="M2719" s="1010"/>
    </row>
    <row r="2720">
      <c r="A2720" s="1417">
        <v>2023.0</v>
      </c>
      <c r="B2720" s="1417" t="s">
        <v>4170</v>
      </c>
      <c r="C2720" s="1417" t="s">
        <v>2104</v>
      </c>
      <c r="D2720" s="1418" t="s">
        <v>4241</v>
      </c>
      <c r="E2720" s="1418" t="s">
        <v>4242</v>
      </c>
      <c r="F2720" s="1419">
        <v>4.0</v>
      </c>
      <c r="G2720" s="1420">
        <v>8.0</v>
      </c>
      <c r="H2720" s="1367"/>
      <c r="I2720" s="1424" t="s">
        <v>2023</v>
      </c>
      <c r="J2720" s="1425" t="str">
        <f t="shared" si="19"/>
        <v>NULL</v>
      </c>
      <c r="K2720" s="1367"/>
      <c r="L2720" s="1367"/>
      <c r="M2720" s="1010"/>
    </row>
    <row r="2721">
      <c r="A2721" s="1417">
        <v>2023.0</v>
      </c>
      <c r="B2721" s="1417" t="s">
        <v>4170</v>
      </c>
      <c r="C2721" s="1417" t="s">
        <v>2107</v>
      </c>
      <c r="D2721" s="1418" t="s">
        <v>4241</v>
      </c>
      <c r="E2721" s="1418" t="s">
        <v>4242</v>
      </c>
      <c r="F2721" s="1419">
        <v>2.0</v>
      </c>
      <c r="G2721" s="1420">
        <v>5.0</v>
      </c>
      <c r="H2721" s="1367"/>
      <c r="I2721" s="1424" t="s">
        <v>2025</v>
      </c>
      <c r="J2721" s="1425">
        <f t="shared" si="19"/>
        <v>1</v>
      </c>
      <c r="K2721" s="1367"/>
      <c r="L2721" s="1367"/>
      <c r="M2721" s="1010"/>
    </row>
    <row r="2722">
      <c r="A2722" s="1417">
        <v>2023.0</v>
      </c>
      <c r="B2722" s="1417" t="s">
        <v>4170</v>
      </c>
      <c r="C2722" s="1417" t="s">
        <v>2111</v>
      </c>
      <c r="D2722" s="1418" t="s">
        <v>4241</v>
      </c>
      <c r="E2722" s="1418" t="s">
        <v>4242</v>
      </c>
      <c r="F2722" s="1419">
        <v>176.0</v>
      </c>
      <c r="G2722" s="1420">
        <v>346.0</v>
      </c>
      <c r="H2722" s="1367"/>
      <c r="I2722" s="1424" t="s">
        <v>543</v>
      </c>
      <c r="J2722" s="1425">
        <f t="shared" si="19"/>
        <v>1</v>
      </c>
      <c r="K2722" s="1367"/>
      <c r="L2722" s="1367"/>
      <c r="M2722" s="1010"/>
    </row>
    <row r="2723">
      <c r="A2723" s="1417">
        <v>2023.0</v>
      </c>
      <c r="B2723" s="1417" t="s">
        <v>4170</v>
      </c>
      <c r="C2723" s="1417" t="s">
        <v>2112</v>
      </c>
      <c r="D2723" s="1418" t="s">
        <v>4241</v>
      </c>
      <c r="E2723" s="1418" t="s">
        <v>4242</v>
      </c>
      <c r="F2723" s="1419">
        <v>1.0</v>
      </c>
      <c r="G2723" s="1420">
        <v>2.0</v>
      </c>
      <c r="H2723" s="1367"/>
      <c r="I2723" s="1424" t="s">
        <v>706</v>
      </c>
      <c r="J2723" s="1425">
        <f t="shared" si="19"/>
        <v>29</v>
      </c>
      <c r="K2723" s="1367"/>
      <c r="L2723" s="1367"/>
      <c r="M2723" s="1010"/>
    </row>
    <row r="2724">
      <c r="A2724" s="1417">
        <v>2023.0</v>
      </c>
      <c r="B2724" s="1417" t="s">
        <v>4170</v>
      </c>
      <c r="C2724" s="1417" t="s">
        <v>1615</v>
      </c>
      <c r="D2724" s="1418" t="s">
        <v>4241</v>
      </c>
      <c r="E2724" s="1418" t="s">
        <v>4242</v>
      </c>
      <c r="F2724" s="1419">
        <v>3.0</v>
      </c>
      <c r="G2724" s="1420">
        <v>5.0</v>
      </c>
      <c r="H2724" s="1367"/>
      <c r="I2724" s="1424" t="s">
        <v>2027</v>
      </c>
      <c r="J2724" s="1425">
        <f t="shared" si="19"/>
        <v>4</v>
      </c>
      <c r="K2724" s="1367"/>
      <c r="L2724" s="1367"/>
      <c r="M2724" s="1010"/>
    </row>
    <row r="2725">
      <c r="A2725" s="1417">
        <v>2023.0</v>
      </c>
      <c r="B2725" s="1417" t="s">
        <v>4170</v>
      </c>
      <c r="C2725" s="1417" t="s">
        <v>2125</v>
      </c>
      <c r="D2725" s="1418" t="s">
        <v>4241</v>
      </c>
      <c r="E2725" s="1418" t="s">
        <v>4242</v>
      </c>
      <c r="F2725" s="1419">
        <v>1.0</v>
      </c>
      <c r="G2725" s="1420">
        <v>3.0</v>
      </c>
      <c r="H2725" s="1367"/>
      <c r="I2725" s="1424" t="s">
        <v>2028</v>
      </c>
      <c r="J2725" s="1425">
        <f t="shared" si="19"/>
        <v>19</v>
      </c>
      <c r="K2725" s="1367"/>
      <c r="L2725" s="1367"/>
      <c r="M2725" s="1010"/>
    </row>
    <row r="2726">
      <c r="A2726" s="1417">
        <v>2023.0</v>
      </c>
      <c r="B2726" s="1417" t="s">
        <v>4170</v>
      </c>
      <c r="C2726" s="1417" t="s">
        <v>1127</v>
      </c>
      <c r="D2726" s="1418" t="s">
        <v>4241</v>
      </c>
      <c r="E2726" s="1418" t="s">
        <v>4242</v>
      </c>
      <c r="F2726" s="1419">
        <v>1.0</v>
      </c>
      <c r="G2726" s="1420">
        <v>0.0</v>
      </c>
      <c r="H2726" s="1367"/>
      <c r="I2726" s="1424" t="s">
        <v>1034</v>
      </c>
      <c r="J2726" s="1425">
        <f t="shared" si="19"/>
        <v>13</v>
      </c>
      <c r="K2726" s="1367"/>
      <c r="L2726" s="1367"/>
      <c r="M2726" s="1010"/>
    </row>
    <row r="2727">
      <c r="A2727" s="1417">
        <v>2023.0</v>
      </c>
      <c r="B2727" s="1417" t="s">
        <v>4170</v>
      </c>
      <c r="C2727" s="1417" t="s">
        <v>2128</v>
      </c>
      <c r="D2727" s="1418" t="s">
        <v>4241</v>
      </c>
      <c r="E2727" s="1418" t="s">
        <v>4242</v>
      </c>
      <c r="F2727" s="1419">
        <v>1.0</v>
      </c>
      <c r="G2727" s="1420">
        <v>2.0</v>
      </c>
      <c r="H2727" s="1367"/>
      <c r="I2727" s="1424" t="s">
        <v>93</v>
      </c>
      <c r="J2727" s="1425">
        <f t="shared" si="19"/>
        <v>5</v>
      </c>
      <c r="K2727" s="1367"/>
      <c r="L2727" s="1367"/>
      <c r="M2727" s="1010"/>
    </row>
    <row r="2728">
      <c r="A2728" s="1417">
        <v>2023.0</v>
      </c>
      <c r="B2728" s="1417" t="s">
        <v>4170</v>
      </c>
      <c r="C2728" s="1417" t="s">
        <v>1805</v>
      </c>
      <c r="D2728" s="1418" t="s">
        <v>4241</v>
      </c>
      <c r="E2728" s="1418" t="s">
        <v>4242</v>
      </c>
      <c r="F2728" s="1419">
        <v>34.0</v>
      </c>
      <c r="G2728" s="1420">
        <v>69.0</v>
      </c>
      <c r="H2728" s="1367"/>
      <c r="I2728" s="1424" t="s">
        <v>2029</v>
      </c>
      <c r="J2728" s="1425">
        <f t="shared" si="19"/>
        <v>8</v>
      </c>
      <c r="K2728" s="1367"/>
      <c r="L2728" s="1367"/>
      <c r="M2728" s="1010"/>
    </row>
    <row r="2729">
      <c r="A2729" s="1417">
        <v>2023.0</v>
      </c>
      <c r="B2729" s="1417" t="s">
        <v>4170</v>
      </c>
      <c r="C2729" s="1417" t="s">
        <v>2132</v>
      </c>
      <c r="D2729" s="1418" t="s">
        <v>4241</v>
      </c>
      <c r="E2729" s="1418" t="s">
        <v>4242</v>
      </c>
      <c r="F2729" s="1419">
        <v>64.0</v>
      </c>
      <c r="G2729" s="1420">
        <v>128.0</v>
      </c>
      <c r="H2729" s="1367"/>
      <c r="I2729" s="1424" t="s">
        <v>1149</v>
      </c>
      <c r="J2729" s="1425">
        <f t="shared" si="19"/>
        <v>116</v>
      </c>
      <c r="K2729" s="1367"/>
      <c r="L2729" s="1367"/>
      <c r="M2729" s="1010"/>
    </row>
    <row r="2730">
      <c r="A2730" s="1417">
        <v>2023.0</v>
      </c>
      <c r="B2730" s="1417" t="s">
        <v>4170</v>
      </c>
      <c r="C2730" s="1417" t="s">
        <v>1879</v>
      </c>
      <c r="D2730" s="1418" t="s">
        <v>4241</v>
      </c>
      <c r="E2730" s="1418" t="s">
        <v>4242</v>
      </c>
      <c r="F2730" s="1419">
        <v>1.0</v>
      </c>
      <c r="G2730" s="1420">
        <v>4.0</v>
      </c>
      <c r="H2730" s="1367"/>
      <c r="I2730" s="1424" t="s">
        <v>2031</v>
      </c>
      <c r="J2730" s="1425">
        <f t="shared" si="19"/>
        <v>6</v>
      </c>
      <c r="K2730" s="1367"/>
      <c r="L2730" s="1367"/>
      <c r="M2730" s="1010"/>
    </row>
    <row r="2731">
      <c r="A2731" s="1417">
        <v>2023.0</v>
      </c>
      <c r="B2731" s="1417" t="s">
        <v>4170</v>
      </c>
      <c r="C2731" s="1417" t="s">
        <v>2154</v>
      </c>
      <c r="D2731" s="1418" t="s">
        <v>4241</v>
      </c>
      <c r="E2731" s="1418" t="s">
        <v>4242</v>
      </c>
      <c r="F2731" s="1419">
        <v>3.0</v>
      </c>
      <c r="G2731" s="1420">
        <v>7.0</v>
      </c>
      <c r="H2731" s="1367"/>
      <c r="I2731" s="1424" t="s">
        <v>2032</v>
      </c>
      <c r="J2731" s="1425">
        <f t="shared" si="19"/>
        <v>5</v>
      </c>
      <c r="K2731" s="1367"/>
      <c r="L2731" s="1367"/>
      <c r="M2731" s="1010"/>
    </row>
    <row r="2732">
      <c r="A2732" s="1417">
        <v>2023.0</v>
      </c>
      <c r="B2732" s="1417" t="s">
        <v>4170</v>
      </c>
      <c r="C2732" s="1417" t="s">
        <v>2156</v>
      </c>
      <c r="D2732" s="1418" t="s">
        <v>4241</v>
      </c>
      <c r="E2732" s="1418" t="s">
        <v>4242</v>
      </c>
      <c r="F2732" s="1419">
        <v>3.0</v>
      </c>
      <c r="G2732" s="1420">
        <v>5.0</v>
      </c>
      <c r="H2732" s="1367"/>
      <c r="I2732" s="1424" t="s">
        <v>708</v>
      </c>
      <c r="J2732" s="1425">
        <f t="shared" si="19"/>
        <v>6</v>
      </c>
      <c r="K2732" s="1367"/>
      <c r="L2732" s="1367"/>
      <c r="M2732" s="1010"/>
    </row>
    <row r="2733">
      <c r="A2733" s="1417">
        <v>2023.0</v>
      </c>
      <c r="B2733" s="1417" t="s">
        <v>4169</v>
      </c>
      <c r="C2733" s="1417" t="s">
        <v>2008</v>
      </c>
      <c r="D2733" s="1418" t="s">
        <v>4241</v>
      </c>
      <c r="E2733" s="1418" t="s">
        <v>4242</v>
      </c>
      <c r="F2733" s="1419">
        <v>4.0</v>
      </c>
      <c r="G2733" s="1420">
        <v>9.0</v>
      </c>
      <c r="H2733" s="1367"/>
      <c r="I2733" s="1424" t="s">
        <v>2033</v>
      </c>
      <c r="J2733" s="1425">
        <f t="shared" si="19"/>
        <v>2</v>
      </c>
      <c r="K2733" s="1367"/>
      <c r="L2733" s="1367"/>
      <c r="M2733" s="1010"/>
    </row>
    <row r="2734">
      <c r="A2734" s="1417">
        <v>2023.0</v>
      </c>
      <c r="B2734" s="1417" t="s">
        <v>4169</v>
      </c>
      <c r="C2734" s="1417" t="s">
        <v>2015</v>
      </c>
      <c r="D2734" s="1418" t="s">
        <v>4241</v>
      </c>
      <c r="E2734" s="1418" t="s">
        <v>4242</v>
      </c>
      <c r="F2734" s="1419">
        <v>2.0</v>
      </c>
      <c r="G2734" s="1420">
        <v>3.0</v>
      </c>
      <c r="H2734" s="1367"/>
      <c r="I2734" s="1424" t="s">
        <v>98</v>
      </c>
      <c r="J2734" s="1425">
        <f t="shared" si="19"/>
        <v>13</v>
      </c>
      <c r="K2734" s="1367"/>
      <c r="L2734" s="1367"/>
      <c r="M2734" s="1010"/>
    </row>
    <row r="2735">
      <c r="A2735" s="1417">
        <v>2023.0</v>
      </c>
      <c r="B2735" s="1417" t="s">
        <v>4169</v>
      </c>
      <c r="C2735" s="1417" t="s">
        <v>706</v>
      </c>
      <c r="D2735" s="1418" t="s">
        <v>4241</v>
      </c>
      <c r="E2735" s="1418" t="s">
        <v>4242</v>
      </c>
      <c r="F2735" s="1419">
        <v>29.0</v>
      </c>
      <c r="G2735" s="1420">
        <v>94.0</v>
      </c>
      <c r="H2735" s="1367"/>
      <c r="I2735" s="1424" t="s">
        <v>101</v>
      </c>
      <c r="J2735" s="1425">
        <f t="shared" si="19"/>
        <v>20</v>
      </c>
      <c r="K2735" s="1367"/>
      <c r="L2735" s="1367"/>
      <c r="M2735" s="1010"/>
    </row>
    <row r="2736">
      <c r="A2736" s="1417">
        <v>2023.0</v>
      </c>
      <c r="B2736" s="1417" t="s">
        <v>4169</v>
      </c>
      <c r="C2736" s="1417" t="s">
        <v>2029</v>
      </c>
      <c r="D2736" s="1418" t="s">
        <v>4241</v>
      </c>
      <c r="E2736" s="1418" t="s">
        <v>4242</v>
      </c>
      <c r="F2736" s="1419">
        <v>8.0</v>
      </c>
      <c r="G2736" s="1420">
        <v>14.0</v>
      </c>
      <c r="H2736" s="1367"/>
      <c r="I2736" s="1424" t="s">
        <v>2034</v>
      </c>
      <c r="J2736" s="1425">
        <f t="shared" si="19"/>
        <v>2</v>
      </c>
      <c r="K2736" s="1367"/>
      <c r="L2736" s="1367"/>
      <c r="M2736" s="1010"/>
    </row>
    <row r="2737">
      <c r="A2737" s="1417">
        <v>2023.0</v>
      </c>
      <c r="B2737" s="1417" t="s">
        <v>4169</v>
      </c>
      <c r="C2737" s="1417" t="s">
        <v>112</v>
      </c>
      <c r="D2737" s="1418" t="s">
        <v>4241</v>
      </c>
      <c r="E2737" s="1418" t="s">
        <v>4242</v>
      </c>
      <c r="F2737" s="1419">
        <v>7.0</v>
      </c>
      <c r="G2737" s="1420">
        <v>22.0</v>
      </c>
      <c r="H2737" s="1367"/>
      <c r="I2737" s="1424" t="s">
        <v>112</v>
      </c>
      <c r="J2737" s="1425">
        <f t="shared" si="19"/>
        <v>7</v>
      </c>
      <c r="K2737" s="1367"/>
      <c r="L2737" s="1367"/>
      <c r="M2737" s="1010"/>
    </row>
    <row r="2738">
      <c r="A2738" s="1417">
        <v>2023.0</v>
      </c>
      <c r="B2738" s="1417" t="s">
        <v>4169</v>
      </c>
      <c r="C2738" s="1417" t="s">
        <v>2037</v>
      </c>
      <c r="D2738" s="1418" t="s">
        <v>4241</v>
      </c>
      <c r="E2738" s="1418" t="s">
        <v>4242</v>
      </c>
      <c r="F2738" s="1419">
        <v>7.0</v>
      </c>
      <c r="G2738" s="1420">
        <v>12.0</v>
      </c>
      <c r="H2738" s="1367"/>
      <c r="I2738" s="1424" t="s">
        <v>2035</v>
      </c>
      <c r="J2738" s="1425">
        <f t="shared" si="19"/>
        <v>1</v>
      </c>
      <c r="K2738" s="1367"/>
      <c r="L2738" s="1367"/>
      <c r="M2738" s="1010"/>
    </row>
    <row r="2739">
      <c r="A2739" s="1417">
        <v>2023.0</v>
      </c>
      <c r="B2739" s="1417" t="s">
        <v>4169</v>
      </c>
      <c r="C2739" s="1417" t="s">
        <v>964</v>
      </c>
      <c r="D2739" s="1418" t="s">
        <v>4241</v>
      </c>
      <c r="E2739" s="1418" t="s">
        <v>4242</v>
      </c>
      <c r="F2739" s="1419">
        <v>6.0</v>
      </c>
      <c r="G2739" s="1420">
        <v>21.0</v>
      </c>
      <c r="H2739" s="1367"/>
      <c r="I2739" s="1424" t="s">
        <v>2036</v>
      </c>
      <c r="J2739" s="1425" t="str">
        <f t="shared" si="19"/>
        <v>NULL</v>
      </c>
      <c r="K2739" s="1367"/>
      <c r="L2739" s="1367"/>
      <c r="M2739" s="1010"/>
    </row>
    <row r="2740">
      <c r="A2740" s="1417">
        <v>2023.0</v>
      </c>
      <c r="B2740" s="1417" t="s">
        <v>4169</v>
      </c>
      <c r="C2740" s="1417" t="s">
        <v>2061</v>
      </c>
      <c r="D2740" s="1418" t="s">
        <v>4241</v>
      </c>
      <c r="E2740" s="1418" t="s">
        <v>4242</v>
      </c>
      <c r="F2740" s="1419">
        <v>5.0</v>
      </c>
      <c r="G2740" s="1420">
        <v>11.0</v>
      </c>
      <c r="H2740" s="1367"/>
      <c r="I2740" s="1424" t="s">
        <v>2037</v>
      </c>
      <c r="J2740" s="1425">
        <f t="shared" si="19"/>
        <v>7</v>
      </c>
      <c r="K2740" s="1367"/>
      <c r="L2740" s="1367"/>
      <c r="M2740" s="1010"/>
    </row>
    <row r="2741">
      <c r="A2741" s="1417">
        <v>2023.0</v>
      </c>
      <c r="B2741" s="1417" t="s">
        <v>4169</v>
      </c>
      <c r="C2741" s="1417" t="s">
        <v>1915</v>
      </c>
      <c r="D2741" s="1418" t="s">
        <v>4241</v>
      </c>
      <c r="E2741" s="1418" t="s">
        <v>4242</v>
      </c>
      <c r="F2741" s="1419">
        <v>1.0</v>
      </c>
      <c r="G2741" s="1420">
        <v>2.0</v>
      </c>
      <c r="H2741" s="1367"/>
      <c r="I2741" s="1424" t="s">
        <v>405</v>
      </c>
      <c r="J2741" s="1425">
        <f t="shared" si="19"/>
        <v>200</v>
      </c>
      <c r="K2741" s="1367"/>
      <c r="L2741" s="1367"/>
      <c r="M2741" s="1010"/>
    </row>
    <row r="2742">
      <c r="A2742" s="1417">
        <v>2023.0</v>
      </c>
      <c r="B2742" s="1417" t="s">
        <v>4169</v>
      </c>
      <c r="C2742" s="1417" t="s">
        <v>980</v>
      </c>
      <c r="D2742" s="1418" t="s">
        <v>4241</v>
      </c>
      <c r="E2742" s="1418" t="s">
        <v>4242</v>
      </c>
      <c r="F2742" s="1419">
        <v>1.0</v>
      </c>
      <c r="G2742" s="1420">
        <v>1.0</v>
      </c>
      <c r="H2742" s="1367"/>
      <c r="I2742" s="1424" t="s">
        <v>2038</v>
      </c>
      <c r="J2742" s="1425" t="str">
        <f t="shared" si="19"/>
        <v>NULL</v>
      </c>
      <c r="K2742" s="1367"/>
      <c r="L2742" s="1367"/>
      <c r="M2742" s="1010"/>
    </row>
    <row r="2743">
      <c r="A2743" s="1417">
        <v>2023.0</v>
      </c>
      <c r="B2743" s="1417" t="s">
        <v>4169</v>
      </c>
      <c r="C2743" s="1417" t="s">
        <v>2094</v>
      </c>
      <c r="D2743" s="1418" t="s">
        <v>4241</v>
      </c>
      <c r="E2743" s="1418" t="s">
        <v>4242</v>
      </c>
      <c r="F2743" s="1419">
        <v>4.0</v>
      </c>
      <c r="G2743" s="1420">
        <v>14.0</v>
      </c>
      <c r="H2743" s="1367"/>
      <c r="I2743" s="1424" t="s">
        <v>36</v>
      </c>
      <c r="J2743" s="1425">
        <f t="shared" si="19"/>
        <v>1</v>
      </c>
      <c r="K2743" s="1367"/>
      <c r="L2743" s="1367"/>
      <c r="M2743" s="1010"/>
    </row>
    <row r="2744">
      <c r="A2744" s="1417">
        <v>2023.0</v>
      </c>
      <c r="B2744" s="1417" t="s">
        <v>4169</v>
      </c>
      <c r="C2744" s="1417" t="s">
        <v>598</v>
      </c>
      <c r="D2744" s="1418" t="s">
        <v>4241</v>
      </c>
      <c r="E2744" s="1418" t="s">
        <v>4242</v>
      </c>
      <c r="F2744" s="1419">
        <v>4.0</v>
      </c>
      <c r="G2744" s="1420">
        <v>12.0</v>
      </c>
      <c r="H2744" s="1367"/>
      <c r="I2744" s="1424" t="s">
        <v>2039</v>
      </c>
      <c r="J2744" s="1425">
        <f t="shared" si="19"/>
        <v>87</v>
      </c>
      <c r="K2744" s="1367"/>
      <c r="L2744" s="1367"/>
      <c r="M2744" s="1010"/>
    </row>
    <row r="2745">
      <c r="A2745" s="1417">
        <v>2023.0</v>
      </c>
      <c r="B2745" s="1417" t="s">
        <v>4169</v>
      </c>
      <c r="C2745" s="1417" t="s">
        <v>474</v>
      </c>
      <c r="D2745" s="1418" t="s">
        <v>4241</v>
      </c>
      <c r="E2745" s="1418" t="s">
        <v>4242</v>
      </c>
      <c r="F2745" s="1419">
        <v>1.0</v>
      </c>
      <c r="G2745" s="1420">
        <v>3.0</v>
      </c>
      <c r="H2745" s="1367"/>
      <c r="I2745" s="1424" t="s">
        <v>964</v>
      </c>
      <c r="J2745" s="1425">
        <f t="shared" si="19"/>
        <v>6</v>
      </c>
      <c r="K2745" s="1367"/>
      <c r="L2745" s="1367"/>
      <c r="M2745" s="1010"/>
    </row>
    <row r="2746">
      <c r="A2746" s="1417">
        <v>2023.0</v>
      </c>
      <c r="B2746" s="1417" t="s">
        <v>4169</v>
      </c>
      <c r="C2746" s="1417" t="s">
        <v>610</v>
      </c>
      <c r="D2746" s="1418" t="s">
        <v>4241</v>
      </c>
      <c r="E2746" s="1418" t="s">
        <v>4242</v>
      </c>
      <c r="F2746" s="1419">
        <v>2.0</v>
      </c>
      <c r="G2746" s="1420">
        <v>4.0</v>
      </c>
      <c r="H2746" s="1367"/>
      <c r="I2746" s="1424" t="s">
        <v>2041</v>
      </c>
      <c r="J2746" s="1425" t="str">
        <f t="shared" si="19"/>
        <v>NULL</v>
      </c>
      <c r="K2746" s="1367"/>
      <c r="L2746" s="1367"/>
      <c r="M2746" s="1010"/>
    </row>
    <row r="2747">
      <c r="A2747" s="1417">
        <v>2023.0</v>
      </c>
      <c r="B2747" s="1417" t="s">
        <v>4169</v>
      </c>
      <c r="C2747" s="1417" t="s">
        <v>2119</v>
      </c>
      <c r="D2747" s="1418" t="s">
        <v>4241</v>
      </c>
      <c r="E2747" s="1418" t="s">
        <v>4242</v>
      </c>
      <c r="F2747" s="1419">
        <v>11.0</v>
      </c>
      <c r="G2747" s="1420">
        <v>34.0</v>
      </c>
      <c r="H2747" s="1367"/>
      <c r="I2747" s="1424" t="s">
        <v>2042</v>
      </c>
      <c r="J2747" s="1425">
        <f t="shared" si="19"/>
        <v>6</v>
      </c>
      <c r="K2747" s="1367"/>
      <c r="L2747" s="1367"/>
      <c r="M2747" s="1010"/>
    </row>
    <row r="2748">
      <c r="A2748" s="1417">
        <v>2023.0</v>
      </c>
      <c r="B2748" s="1417" t="s">
        <v>4169</v>
      </c>
      <c r="C2748" s="1417" t="s">
        <v>2123</v>
      </c>
      <c r="D2748" s="1418" t="s">
        <v>4241</v>
      </c>
      <c r="E2748" s="1418" t="s">
        <v>4242</v>
      </c>
      <c r="F2748" s="1419">
        <v>2.0</v>
      </c>
      <c r="G2748" s="1420">
        <v>6.0</v>
      </c>
      <c r="H2748" s="1367"/>
      <c r="I2748" s="1424" t="s">
        <v>2043</v>
      </c>
      <c r="J2748" s="1425">
        <f t="shared" si="19"/>
        <v>21</v>
      </c>
      <c r="K2748" s="1367"/>
      <c r="L2748" s="1367"/>
      <c r="M2748" s="1010"/>
    </row>
    <row r="2749">
      <c r="A2749" s="1417">
        <v>2023.0</v>
      </c>
      <c r="B2749" s="1417" t="s">
        <v>4169</v>
      </c>
      <c r="C2749" s="1417" t="s">
        <v>2138</v>
      </c>
      <c r="D2749" s="1418" t="s">
        <v>4241</v>
      </c>
      <c r="E2749" s="1418" t="s">
        <v>4242</v>
      </c>
      <c r="F2749" s="1419">
        <v>5.0</v>
      </c>
      <c r="G2749" s="1420">
        <v>16.0</v>
      </c>
      <c r="H2749" s="1367"/>
      <c r="I2749" s="1424" t="s">
        <v>2044</v>
      </c>
      <c r="J2749" s="1425" t="str">
        <f t="shared" si="19"/>
        <v>NULL</v>
      </c>
      <c r="K2749" s="1367"/>
      <c r="L2749" s="1367"/>
      <c r="M2749" s="1010"/>
    </row>
    <row r="2750">
      <c r="A2750" s="1417">
        <v>2023.0</v>
      </c>
      <c r="B2750" s="1417" t="s">
        <v>4169</v>
      </c>
      <c r="C2750" s="1417" t="s">
        <v>2146</v>
      </c>
      <c r="D2750" s="1418" t="s">
        <v>4241</v>
      </c>
      <c r="E2750" s="1418" t="s">
        <v>4242</v>
      </c>
      <c r="F2750" s="1419">
        <v>8.0</v>
      </c>
      <c r="G2750" s="1420">
        <v>15.0</v>
      </c>
      <c r="H2750" s="1367"/>
      <c r="I2750" s="1424" t="s">
        <v>2046</v>
      </c>
      <c r="J2750" s="1425" t="str">
        <f t="shared" si="19"/>
        <v>NULL</v>
      </c>
      <c r="K2750" s="1367"/>
      <c r="L2750" s="1367"/>
      <c r="M2750" s="1010"/>
    </row>
    <row r="2751">
      <c r="A2751" s="1417">
        <v>2023.0</v>
      </c>
      <c r="B2751" s="1417" t="s">
        <v>4169</v>
      </c>
      <c r="C2751" s="1417" t="s">
        <v>2148</v>
      </c>
      <c r="D2751" s="1418" t="s">
        <v>4241</v>
      </c>
      <c r="E2751" s="1418" t="s">
        <v>4242</v>
      </c>
      <c r="F2751" s="1419">
        <v>2.0</v>
      </c>
      <c r="G2751" s="1420">
        <v>7.0</v>
      </c>
      <c r="H2751" s="1367"/>
      <c r="I2751" s="1424" t="s">
        <v>1900</v>
      </c>
      <c r="J2751" s="1425" t="str">
        <f t="shared" si="19"/>
        <v>NULL</v>
      </c>
      <c r="K2751" s="1367"/>
      <c r="L2751" s="1367"/>
      <c r="M2751" s="1010"/>
    </row>
    <row r="2752">
      <c r="A2752" s="1417">
        <v>2023.0</v>
      </c>
      <c r="B2752" s="1417" t="s">
        <v>4169</v>
      </c>
      <c r="C2752" s="1417" t="s">
        <v>628</v>
      </c>
      <c r="D2752" s="1418" t="s">
        <v>4241</v>
      </c>
      <c r="E2752" s="1418" t="s">
        <v>4242</v>
      </c>
      <c r="F2752" s="1419">
        <v>2.0</v>
      </c>
      <c r="G2752" s="1420">
        <v>4.0</v>
      </c>
      <c r="H2752" s="1367"/>
      <c r="I2752" s="1424" t="s">
        <v>2047</v>
      </c>
      <c r="J2752" s="1425">
        <f t="shared" si="19"/>
        <v>2</v>
      </c>
      <c r="K2752" s="1367"/>
      <c r="L2752" s="1367"/>
      <c r="M2752" s="1010"/>
    </row>
    <row r="2753">
      <c r="A2753" s="1417">
        <v>2023.0</v>
      </c>
      <c r="B2753" s="1417" t="s">
        <v>4169</v>
      </c>
      <c r="C2753" s="1417" t="s">
        <v>2152</v>
      </c>
      <c r="D2753" s="1418" t="s">
        <v>4241</v>
      </c>
      <c r="E2753" s="1418" t="s">
        <v>4242</v>
      </c>
      <c r="F2753" s="1419">
        <v>1.0</v>
      </c>
      <c r="G2753" s="1420">
        <v>1.0</v>
      </c>
      <c r="H2753" s="1367"/>
      <c r="I2753" s="1424" t="s">
        <v>2049</v>
      </c>
      <c r="J2753" s="1425" t="str">
        <f t="shared" si="19"/>
        <v>NULL</v>
      </c>
      <c r="K2753" s="1367"/>
      <c r="L2753" s="1367"/>
      <c r="M2753" s="1010"/>
    </row>
    <row r="2754">
      <c r="A2754" s="1417">
        <v>2023.0</v>
      </c>
      <c r="B2754" s="1417" t="s">
        <v>4169</v>
      </c>
      <c r="C2754" s="1417" t="s">
        <v>526</v>
      </c>
      <c r="D2754" s="1418" t="s">
        <v>4241</v>
      </c>
      <c r="E2754" s="1418" t="s">
        <v>4242</v>
      </c>
      <c r="F2754" s="1419">
        <v>95.0</v>
      </c>
      <c r="G2754" s="1420">
        <v>229.0</v>
      </c>
      <c r="H2754" s="1367"/>
      <c r="I2754" s="1424" t="s">
        <v>2050</v>
      </c>
      <c r="J2754" s="1425">
        <f t="shared" si="19"/>
        <v>3</v>
      </c>
      <c r="K2754" s="1367"/>
      <c r="L2754" s="1367"/>
      <c r="M2754" s="1010"/>
    </row>
    <row r="2755">
      <c r="A2755" s="1417">
        <v>2023.0</v>
      </c>
      <c r="B2755" s="1417" t="s">
        <v>4169</v>
      </c>
      <c r="C2755" s="1417" t="s">
        <v>1020</v>
      </c>
      <c r="D2755" s="1418" t="s">
        <v>4241</v>
      </c>
      <c r="E2755" s="1418" t="s">
        <v>4242</v>
      </c>
      <c r="F2755" s="1419">
        <v>77.0</v>
      </c>
      <c r="G2755" s="1420">
        <v>230.0</v>
      </c>
      <c r="H2755" s="1367"/>
      <c r="I2755" s="1424" t="s">
        <v>130</v>
      </c>
      <c r="J2755" s="1425">
        <f t="shared" si="19"/>
        <v>499</v>
      </c>
      <c r="K2755" s="1367"/>
      <c r="L2755" s="1367"/>
      <c r="M2755" s="1010"/>
    </row>
    <row r="2756">
      <c r="A2756" s="1417">
        <v>2023.0</v>
      </c>
      <c r="B2756" s="1417" t="s">
        <v>4169</v>
      </c>
      <c r="C2756" s="1417" t="s">
        <v>2174</v>
      </c>
      <c r="D2756" s="1418" t="s">
        <v>4241</v>
      </c>
      <c r="E2756" s="1418" t="s">
        <v>4242</v>
      </c>
      <c r="F2756" s="1419">
        <v>7.0</v>
      </c>
      <c r="G2756" s="1420">
        <v>17.0</v>
      </c>
      <c r="H2756" s="1367"/>
      <c r="I2756" s="1424" t="s">
        <v>562</v>
      </c>
      <c r="J2756" s="1425">
        <f t="shared" si="19"/>
        <v>2</v>
      </c>
      <c r="K2756" s="1367"/>
      <c r="L2756" s="1367"/>
      <c r="M2756" s="1010"/>
    </row>
    <row r="2757">
      <c r="A2757" s="1417">
        <v>2023.0</v>
      </c>
      <c r="B2757" s="1417" t="s">
        <v>4169</v>
      </c>
      <c r="C2757" s="1417" t="s">
        <v>2181</v>
      </c>
      <c r="D2757" s="1418" t="s">
        <v>4241</v>
      </c>
      <c r="E2757" s="1418" t="s">
        <v>4242</v>
      </c>
      <c r="F2757" s="1419">
        <v>21.0</v>
      </c>
      <c r="G2757" s="1420">
        <v>53.0</v>
      </c>
      <c r="H2757" s="1367"/>
      <c r="I2757" s="1424" t="s">
        <v>2052</v>
      </c>
      <c r="J2757" s="1425">
        <f t="shared" si="19"/>
        <v>2</v>
      </c>
      <c r="K2757" s="1367"/>
      <c r="L2757" s="1367"/>
      <c r="M2757" s="1010"/>
    </row>
    <row r="2758">
      <c r="A2758" s="1417">
        <v>2023.0</v>
      </c>
      <c r="B2758" s="1417" t="s">
        <v>4176</v>
      </c>
      <c r="C2758" s="1417" t="s">
        <v>405</v>
      </c>
      <c r="D2758" s="1418" t="s">
        <v>4241</v>
      </c>
      <c r="E2758" s="1418" t="s">
        <v>4243</v>
      </c>
      <c r="F2758" s="1419">
        <v>4.0</v>
      </c>
      <c r="G2758" s="1420">
        <v>6.0</v>
      </c>
      <c r="H2758" s="1367"/>
      <c r="I2758" s="1424" t="s">
        <v>407</v>
      </c>
      <c r="J2758" s="1425">
        <f t="shared" si="19"/>
        <v>4</v>
      </c>
      <c r="K2758" s="1367"/>
      <c r="L2758" s="1367"/>
      <c r="M2758" s="1010"/>
    </row>
    <row r="2759">
      <c r="A2759" s="1417">
        <v>2023.0</v>
      </c>
      <c r="B2759" s="1417" t="s">
        <v>4176</v>
      </c>
      <c r="C2759" s="1417" t="s">
        <v>405</v>
      </c>
      <c r="D2759" s="1418" t="s">
        <v>4241</v>
      </c>
      <c r="E2759" s="1418" t="s">
        <v>4242</v>
      </c>
      <c r="F2759" s="1419">
        <v>196.0</v>
      </c>
      <c r="G2759" s="1420">
        <v>476.0</v>
      </c>
      <c r="H2759" s="1367"/>
      <c r="I2759" s="1424" t="s">
        <v>485</v>
      </c>
      <c r="J2759" s="1425">
        <f t="shared" si="19"/>
        <v>209</v>
      </c>
      <c r="K2759" s="1367"/>
      <c r="L2759" s="1367"/>
      <c r="M2759" s="1010"/>
    </row>
    <row r="2760">
      <c r="A2760" s="1417">
        <v>2023.0</v>
      </c>
      <c r="B2760" s="1417" t="s">
        <v>4176</v>
      </c>
      <c r="C2760" s="1417" t="s">
        <v>2042</v>
      </c>
      <c r="D2760" s="1418" t="s">
        <v>4241</v>
      </c>
      <c r="E2760" s="1418" t="s">
        <v>4242</v>
      </c>
      <c r="F2760" s="1419">
        <v>6.0</v>
      </c>
      <c r="G2760" s="1420">
        <v>20.0</v>
      </c>
      <c r="H2760" s="1367"/>
      <c r="I2760" s="1424" t="s">
        <v>2531</v>
      </c>
      <c r="J2760" s="1425" t="str">
        <f t="shared" si="19"/>
        <v>NULL</v>
      </c>
      <c r="K2760" s="1367"/>
      <c r="L2760" s="1367"/>
      <c r="M2760" s="1010"/>
    </row>
    <row r="2761">
      <c r="A2761" s="1417">
        <v>2023.0</v>
      </c>
      <c r="B2761" s="1417" t="s">
        <v>4176</v>
      </c>
      <c r="C2761" s="1417" t="s">
        <v>130</v>
      </c>
      <c r="D2761" s="1418" t="s">
        <v>4241</v>
      </c>
      <c r="E2761" s="1418" t="s">
        <v>4243</v>
      </c>
      <c r="F2761" s="1419">
        <v>23.0</v>
      </c>
      <c r="G2761" s="1420">
        <v>56.0</v>
      </c>
      <c r="H2761" s="1367"/>
      <c r="I2761" s="1424" t="s">
        <v>2056</v>
      </c>
      <c r="J2761" s="1425">
        <f t="shared" si="19"/>
        <v>1</v>
      </c>
      <c r="K2761" s="1367"/>
      <c r="L2761" s="1367"/>
      <c r="M2761" s="1010"/>
    </row>
    <row r="2762">
      <c r="A2762" s="1417">
        <v>2023.0</v>
      </c>
      <c r="B2762" s="1417" t="s">
        <v>4176</v>
      </c>
      <c r="C2762" s="1417" t="s">
        <v>130</v>
      </c>
      <c r="D2762" s="1418" t="s">
        <v>4241</v>
      </c>
      <c r="E2762" s="1418" t="s">
        <v>4242</v>
      </c>
      <c r="F2762" s="1419">
        <v>476.0</v>
      </c>
      <c r="G2762" s="1426">
        <v>1363.0</v>
      </c>
      <c r="H2762" s="1367"/>
      <c r="I2762" s="1424" t="s">
        <v>2057</v>
      </c>
      <c r="J2762" s="1425">
        <f t="shared" si="19"/>
        <v>1</v>
      </c>
      <c r="K2762" s="1367"/>
      <c r="L2762" s="1367"/>
      <c r="M2762" s="1010"/>
    </row>
    <row r="2763">
      <c r="A2763" s="1417">
        <v>2023.0</v>
      </c>
      <c r="B2763" s="1417" t="s">
        <v>4176</v>
      </c>
      <c r="C2763" s="1417" t="s">
        <v>485</v>
      </c>
      <c r="D2763" s="1418" t="s">
        <v>4241</v>
      </c>
      <c r="E2763" s="1418" t="s">
        <v>4242</v>
      </c>
      <c r="F2763" s="1419">
        <v>198.0</v>
      </c>
      <c r="G2763" s="1420">
        <v>524.0</v>
      </c>
      <c r="H2763" s="1367"/>
      <c r="I2763" s="1424" t="s">
        <v>2059</v>
      </c>
      <c r="J2763" s="1425">
        <f t="shared" si="19"/>
        <v>2</v>
      </c>
      <c r="K2763" s="1367"/>
      <c r="L2763" s="1367"/>
      <c r="M2763" s="1010"/>
    </row>
    <row r="2764">
      <c r="A2764" s="1417">
        <v>2023.0</v>
      </c>
      <c r="B2764" s="1417" t="s">
        <v>4176</v>
      </c>
      <c r="C2764" s="1417" t="s">
        <v>485</v>
      </c>
      <c r="D2764" s="1418" t="s">
        <v>4241</v>
      </c>
      <c r="E2764" s="1418" t="s">
        <v>4243</v>
      </c>
      <c r="F2764" s="1419">
        <v>11.0</v>
      </c>
      <c r="G2764" s="1420">
        <v>26.0</v>
      </c>
      <c r="H2764" s="1367"/>
      <c r="I2764" s="1424" t="s">
        <v>433</v>
      </c>
      <c r="J2764" s="1425">
        <f t="shared" si="19"/>
        <v>1</v>
      </c>
      <c r="K2764" s="1367"/>
      <c r="L2764" s="1367"/>
      <c r="M2764" s="1010"/>
    </row>
    <row r="2765">
      <c r="A2765" s="1417">
        <v>2023.0</v>
      </c>
      <c r="B2765" s="1417" t="s">
        <v>4176</v>
      </c>
      <c r="C2765" s="1417" t="s">
        <v>969</v>
      </c>
      <c r="D2765" s="1418" t="s">
        <v>4241</v>
      </c>
      <c r="E2765" s="1418" t="s">
        <v>4242</v>
      </c>
      <c r="F2765" s="1419">
        <v>119.0</v>
      </c>
      <c r="G2765" s="1420">
        <v>323.0</v>
      </c>
      <c r="H2765" s="1367"/>
      <c r="I2765" s="1424" t="s">
        <v>2061</v>
      </c>
      <c r="J2765" s="1425">
        <f t="shared" si="19"/>
        <v>5</v>
      </c>
      <c r="K2765" s="1367"/>
      <c r="L2765" s="1367"/>
      <c r="M2765" s="1010"/>
    </row>
    <row r="2766">
      <c r="A2766" s="1417">
        <v>2023.0</v>
      </c>
      <c r="B2766" s="1417" t="s">
        <v>4176</v>
      </c>
      <c r="C2766" s="1417" t="s">
        <v>969</v>
      </c>
      <c r="D2766" s="1418" t="s">
        <v>4241</v>
      </c>
      <c r="E2766" s="1418" t="s">
        <v>4243</v>
      </c>
      <c r="F2766" s="1419">
        <v>1.0</v>
      </c>
      <c r="G2766" s="1420">
        <v>2.0</v>
      </c>
      <c r="H2766" s="1367"/>
      <c r="I2766" s="1424" t="s">
        <v>2062</v>
      </c>
      <c r="J2766" s="1425">
        <f t="shared" si="19"/>
        <v>22</v>
      </c>
      <c r="K2766" s="1367"/>
      <c r="L2766" s="1367"/>
      <c r="M2766" s="1010"/>
    </row>
    <row r="2767">
      <c r="A2767" s="1417">
        <v>2023.0</v>
      </c>
      <c r="B2767" s="1417" t="s">
        <v>4176</v>
      </c>
      <c r="C2767" s="1417" t="s">
        <v>2064</v>
      </c>
      <c r="D2767" s="1418" t="s">
        <v>4241</v>
      </c>
      <c r="E2767" s="1418" t="s">
        <v>4242</v>
      </c>
      <c r="F2767" s="1419">
        <v>9.0</v>
      </c>
      <c r="G2767" s="1420">
        <v>13.0</v>
      </c>
      <c r="H2767" s="1367"/>
      <c r="I2767" s="1424" t="s">
        <v>717</v>
      </c>
      <c r="J2767" s="1425" t="str">
        <f t="shared" si="19"/>
        <v>NULL</v>
      </c>
      <c r="K2767" s="1367"/>
      <c r="L2767" s="1367"/>
      <c r="M2767" s="1010"/>
    </row>
    <row r="2768">
      <c r="A2768" s="1417">
        <v>2023.0</v>
      </c>
      <c r="B2768" s="1417" t="s">
        <v>4176</v>
      </c>
      <c r="C2768" s="1417" t="s">
        <v>574</v>
      </c>
      <c r="D2768" s="1418" t="s">
        <v>4241</v>
      </c>
      <c r="E2768" s="1418" t="s">
        <v>4243</v>
      </c>
      <c r="F2768" s="1419">
        <v>1.0</v>
      </c>
      <c r="G2768" s="1420">
        <v>3.0</v>
      </c>
      <c r="H2768" s="1367"/>
      <c r="I2768" s="1424" t="s">
        <v>969</v>
      </c>
      <c r="J2768" s="1425">
        <f t="shared" si="19"/>
        <v>120</v>
      </c>
      <c r="K2768" s="1367"/>
      <c r="L2768" s="1367"/>
      <c r="M2768" s="1010"/>
      <c r="O2768" s="276"/>
      <c r="P2768" s="276"/>
    </row>
    <row r="2769">
      <c r="A2769" s="1417">
        <v>2023.0</v>
      </c>
      <c r="B2769" s="1417" t="s">
        <v>4176</v>
      </c>
      <c r="C2769" s="1417" t="s">
        <v>574</v>
      </c>
      <c r="D2769" s="1418" t="s">
        <v>4241</v>
      </c>
      <c r="E2769" s="1418" t="s">
        <v>4242</v>
      </c>
      <c r="F2769" s="1419">
        <v>12.0</v>
      </c>
      <c r="G2769" s="1420">
        <v>31.0</v>
      </c>
      <c r="H2769" s="1367"/>
      <c r="I2769" s="1424" t="s">
        <v>415</v>
      </c>
      <c r="J2769" s="1425">
        <f t="shared" si="19"/>
        <v>96</v>
      </c>
      <c r="K2769" s="1367"/>
      <c r="L2769" s="1367"/>
      <c r="M2769" s="1010"/>
      <c r="Q2769" s="276"/>
      <c r="R2769" s="276"/>
      <c r="S2769" s="276"/>
      <c r="T2769" s="276"/>
      <c r="U2769" s="276"/>
      <c r="V2769" s="276"/>
      <c r="W2769" s="276"/>
      <c r="X2769" s="276"/>
      <c r="Y2769" s="276"/>
      <c r="Z2769" s="276"/>
      <c r="AA2769" s="276"/>
      <c r="AB2769" s="276"/>
      <c r="AC2769" s="276"/>
      <c r="AD2769" s="276"/>
      <c r="AE2769" s="276"/>
      <c r="AF2769" s="276"/>
    </row>
    <row r="2770">
      <c r="A2770" s="1417">
        <v>2023.0</v>
      </c>
      <c r="B2770" s="1417" t="s">
        <v>4176</v>
      </c>
      <c r="C2770" s="1417" t="s">
        <v>1072</v>
      </c>
      <c r="D2770" s="1418" t="s">
        <v>4241</v>
      </c>
      <c r="E2770" s="1418" t="s">
        <v>4243</v>
      </c>
      <c r="F2770" s="1419">
        <v>1.0</v>
      </c>
      <c r="G2770" s="1420">
        <v>4.0</v>
      </c>
      <c r="H2770" s="1367"/>
      <c r="I2770" s="1424" t="s">
        <v>2064</v>
      </c>
      <c r="J2770" s="1425">
        <f t="shared" si="19"/>
        <v>9</v>
      </c>
      <c r="K2770" s="1367"/>
      <c r="L2770" s="1367"/>
      <c r="M2770" s="1010"/>
    </row>
    <row r="2771">
      <c r="A2771" s="1417">
        <v>2023.0</v>
      </c>
      <c r="B2771" s="1417" t="s">
        <v>4176</v>
      </c>
      <c r="C2771" s="1417" t="s">
        <v>1072</v>
      </c>
      <c r="D2771" s="1418" t="s">
        <v>4241</v>
      </c>
      <c r="E2771" s="1418" t="s">
        <v>4242</v>
      </c>
      <c r="F2771" s="1419">
        <v>36.0</v>
      </c>
      <c r="G2771" s="1420">
        <v>93.0</v>
      </c>
      <c r="H2771" s="1367"/>
      <c r="I2771" s="1424" t="s">
        <v>2065</v>
      </c>
      <c r="J2771" s="1425">
        <f t="shared" si="19"/>
        <v>6</v>
      </c>
      <c r="K2771" s="1367"/>
      <c r="L2771" s="1367"/>
      <c r="M2771" s="1010"/>
    </row>
    <row r="2772">
      <c r="A2772" s="1417">
        <v>2023.0</v>
      </c>
      <c r="B2772" s="1417" t="s">
        <v>4176</v>
      </c>
      <c r="C2772" s="1417" t="s">
        <v>2088</v>
      </c>
      <c r="D2772" s="1418" t="s">
        <v>4241</v>
      </c>
      <c r="E2772" s="1418" t="s">
        <v>4242</v>
      </c>
      <c r="F2772" s="1419">
        <v>18.0</v>
      </c>
      <c r="G2772" s="1420">
        <v>40.0</v>
      </c>
      <c r="H2772" s="1367"/>
      <c r="I2772" s="1424" t="s">
        <v>574</v>
      </c>
      <c r="J2772" s="1425">
        <f t="shared" si="19"/>
        <v>13</v>
      </c>
      <c r="K2772" s="1367"/>
      <c r="L2772" s="1367"/>
      <c r="M2772" s="1010"/>
    </row>
    <row r="2773">
      <c r="A2773" s="1417">
        <v>2023.0</v>
      </c>
      <c r="B2773" s="1417" t="s">
        <v>4176</v>
      </c>
      <c r="C2773" s="1417" t="s">
        <v>2090</v>
      </c>
      <c r="D2773" s="1418" t="s">
        <v>4241</v>
      </c>
      <c r="E2773" s="1418" t="s">
        <v>4242</v>
      </c>
      <c r="F2773" s="1419">
        <v>31.0</v>
      </c>
      <c r="G2773" s="1420">
        <v>75.0</v>
      </c>
      <c r="H2773" s="1367"/>
      <c r="I2773" s="1424" t="s">
        <v>135</v>
      </c>
      <c r="J2773" s="1425">
        <f t="shared" si="19"/>
        <v>5</v>
      </c>
      <c r="K2773" s="1367"/>
      <c r="L2773" s="1367"/>
      <c r="M2773" s="1010"/>
    </row>
    <row r="2774">
      <c r="A2774" s="1417">
        <v>2023.0</v>
      </c>
      <c r="B2774" s="1417" t="s">
        <v>4176</v>
      </c>
      <c r="C2774" s="1417" t="s">
        <v>288</v>
      </c>
      <c r="D2774" s="1418" t="s">
        <v>4241</v>
      </c>
      <c r="E2774" s="1418" t="s">
        <v>4242</v>
      </c>
      <c r="F2774" s="1419">
        <v>61.0</v>
      </c>
      <c r="G2774" s="1420">
        <v>154.0</v>
      </c>
      <c r="H2774" s="1367"/>
      <c r="I2774" s="1424" t="s">
        <v>2066</v>
      </c>
      <c r="J2774" s="1425" t="str">
        <f t="shared" si="19"/>
        <v>NULL</v>
      </c>
      <c r="K2774" s="1367"/>
      <c r="L2774" s="1367"/>
      <c r="M2774" s="1010"/>
    </row>
    <row r="2775">
      <c r="A2775" s="1417">
        <v>2023.0</v>
      </c>
      <c r="B2775" s="1417" t="s">
        <v>4176</v>
      </c>
      <c r="C2775" s="1417" t="s">
        <v>2098</v>
      </c>
      <c r="D2775" s="1418" t="s">
        <v>4241</v>
      </c>
      <c r="E2775" s="1418" t="s">
        <v>4242</v>
      </c>
      <c r="F2775" s="1419">
        <v>85.0</v>
      </c>
      <c r="G2775" s="1420">
        <v>241.0</v>
      </c>
      <c r="H2775" s="1367"/>
      <c r="I2775" s="1424" t="s">
        <v>575</v>
      </c>
      <c r="J2775" s="1425">
        <f t="shared" si="19"/>
        <v>4</v>
      </c>
      <c r="K2775" s="1367"/>
      <c r="L2775" s="1367"/>
      <c r="M2775" s="1010"/>
    </row>
    <row r="2776">
      <c r="A2776" s="1417">
        <v>2023.0</v>
      </c>
      <c r="B2776" s="1417" t="s">
        <v>4176</v>
      </c>
      <c r="C2776" s="1417" t="s">
        <v>2098</v>
      </c>
      <c r="D2776" s="1418" t="s">
        <v>4241</v>
      </c>
      <c r="E2776" s="1418" t="s">
        <v>4243</v>
      </c>
      <c r="F2776" s="1419">
        <v>4.0</v>
      </c>
      <c r="G2776" s="1420">
        <v>10.0</v>
      </c>
      <c r="H2776" s="1367"/>
      <c r="I2776" s="1424" t="s">
        <v>2067</v>
      </c>
      <c r="J2776" s="1425" t="str">
        <f t="shared" si="19"/>
        <v>NULL</v>
      </c>
      <c r="K2776" s="1367"/>
      <c r="L2776" s="1367"/>
      <c r="M2776" s="1010"/>
    </row>
    <row r="2777">
      <c r="A2777" s="1417">
        <v>2023.0</v>
      </c>
      <c r="B2777" s="1417" t="s">
        <v>4176</v>
      </c>
      <c r="C2777" s="1417" t="s">
        <v>2122</v>
      </c>
      <c r="D2777" s="1418" t="s">
        <v>4241</v>
      </c>
      <c r="E2777" s="1418" t="s">
        <v>4242</v>
      </c>
      <c r="F2777" s="1419">
        <v>17.0</v>
      </c>
      <c r="G2777" s="1420">
        <v>46.0</v>
      </c>
      <c r="H2777" s="1367"/>
      <c r="I2777" s="1424" t="s">
        <v>527</v>
      </c>
      <c r="J2777" s="1425">
        <f t="shared" si="19"/>
        <v>270</v>
      </c>
      <c r="K2777" s="1367"/>
      <c r="L2777" s="1367"/>
      <c r="M2777" s="1010"/>
    </row>
    <row r="2778">
      <c r="A2778" s="1417">
        <v>2023.0</v>
      </c>
      <c r="B2778" s="1417" t="s">
        <v>4176</v>
      </c>
      <c r="C2778" s="1417" t="s">
        <v>2126</v>
      </c>
      <c r="D2778" s="1418" t="s">
        <v>4241</v>
      </c>
      <c r="E2778" s="1418" t="s">
        <v>4242</v>
      </c>
      <c r="F2778" s="1419">
        <v>7.0</v>
      </c>
      <c r="G2778" s="1420">
        <v>18.0</v>
      </c>
      <c r="H2778" s="1367"/>
      <c r="I2778" s="1424" t="s">
        <v>136</v>
      </c>
      <c r="J2778" s="1425">
        <f t="shared" si="19"/>
        <v>3</v>
      </c>
      <c r="K2778" s="1367"/>
      <c r="L2778" s="1367"/>
      <c r="M2778" s="1010"/>
    </row>
    <row r="2779">
      <c r="A2779" s="1417">
        <v>2023.0</v>
      </c>
      <c r="B2779" s="1417" t="s">
        <v>4176</v>
      </c>
      <c r="C2779" s="1417" t="s">
        <v>2127</v>
      </c>
      <c r="D2779" s="1418" t="s">
        <v>4241</v>
      </c>
      <c r="E2779" s="1418" t="s">
        <v>4242</v>
      </c>
      <c r="F2779" s="1419">
        <v>49.0</v>
      </c>
      <c r="G2779" s="1420">
        <v>109.0</v>
      </c>
      <c r="H2779" s="1367"/>
      <c r="I2779" s="1424" t="s">
        <v>2068</v>
      </c>
      <c r="J2779" s="1425">
        <f t="shared" si="19"/>
        <v>1</v>
      </c>
      <c r="K2779" s="1367"/>
      <c r="L2779" s="1367"/>
      <c r="M2779" s="1010"/>
    </row>
    <row r="2780">
      <c r="A2780" s="1417">
        <v>2023.0</v>
      </c>
      <c r="B2780" s="1417" t="s">
        <v>4176</v>
      </c>
      <c r="C2780" s="1417" t="s">
        <v>2137</v>
      </c>
      <c r="D2780" s="1418" t="s">
        <v>4241</v>
      </c>
      <c r="E2780" s="1418" t="s">
        <v>4242</v>
      </c>
      <c r="F2780" s="1419">
        <v>49.0</v>
      </c>
      <c r="G2780" s="1420">
        <v>114.0</v>
      </c>
      <c r="H2780" s="1367"/>
      <c r="I2780" s="1424" t="s">
        <v>2069</v>
      </c>
      <c r="J2780" s="1425">
        <f t="shared" si="19"/>
        <v>2</v>
      </c>
      <c r="K2780" s="1367"/>
      <c r="L2780" s="1367"/>
      <c r="M2780" s="1010"/>
    </row>
    <row r="2781">
      <c r="A2781" s="1417">
        <v>2023.0</v>
      </c>
      <c r="B2781" s="1417" t="s">
        <v>4176</v>
      </c>
      <c r="C2781" s="1417" t="s">
        <v>265</v>
      </c>
      <c r="D2781" s="1418" t="s">
        <v>4241</v>
      </c>
      <c r="E2781" s="1418" t="s">
        <v>4242</v>
      </c>
      <c r="F2781" s="1419">
        <v>470.0</v>
      </c>
      <c r="G2781" s="1426">
        <v>1197.0</v>
      </c>
      <c r="H2781" s="1367"/>
      <c r="I2781" s="1424" t="s">
        <v>2070</v>
      </c>
      <c r="J2781" s="1425">
        <f t="shared" si="19"/>
        <v>12</v>
      </c>
      <c r="K2781" s="1367"/>
      <c r="L2781" s="1367"/>
      <c r="M2781" s="1010"/>
    </row>
    <row r="2782">
      <c r="A2782" s="1417">
        <v>2023.0</v>
      </c>
      <c r="B2782" s="1417" t="s">
        <v>4176</v>
      </c>
      <c r="C2782" s="1417" t="s">
        <v>265</v>
      </c>
      <c r="D2782" s="1418" t="s">
        <v>4241</v>
      </c>
      <c r="E2782" s="1418" t="s">
        <v>4243</v>
      </c>
      <c r="F2782" s="1419">
        <v>1.0</v>
      </c>
      <c r="G2782" s="1420">
        <v>2.0</v>
      </c>
      <c r="H2782" s="1367"/>
      <c r="I2782" s="1424" t="s">
        <v>2071</v>
      </c>
      <c r="J2782" s="1425">
        <f t="shared" si="19"/>
        <v>83</v>
      </c>
      <c r="K2782" s="1367"/>
      <c r="L2782" s="1367"/>
      <c r="M2782" s="1010"/>
    </row>
    <row r="2783">
      <c r="A2783" s="1417">
        <v>2023.0</v>
      </c>
      <c r="B2783" s="1417" t="s">
        <v>4176</v>
      </c>
      <c r="C2783" s="1417" t="s">
        <v>2178</v>
      </c>
      <c r="D2783" s="1418" t="s">
        <v>4241</v>
      </c>
      <c r="E2783" s="1418" t="s">
        <v>4243</v>
      </c>
      <c r="F2783" s="1419">
        <v>1.0</v>
      </c>
      <c r="G2783" s="1420">
        <v>2.0</v>
      </c>
      <c r="H2783" s="1367"/>
      <c r="I2783" s="1424" t="s">
        <v>2072</v>
      </c>
      <c r="J2783" s="1425">
        <f t="shared" si="19"/>
        <v>2</v>
      </c>
      <c r="K2783" s="1367"/>
      <c r="L2783" s="1367"/>
      <c r="M2783" s="1010"/>
    </row>
    <row r="2784">
      <c r="A2784" s="1417">
        <v>2023.0</v>
      </c>
      <c r="B2784" s="1417" t="s">
        <v>4176</v>
      </c>
      <c r="C2784" s="1417" t="s">
        <v>2178</v>
      </c>
      <c r="D2784" s="1418" t="s">
        <v>4241</v>
      </c>
      <c r="E2784" s="1418" t="s">
        <v>4242</v>
      </c>
      <c r="F2784" s="1419">
        <v>21.0</v>
      </c>
      <c r="G2784" s="1420">
        <v>52.0</v>
      </c>
      <c r="H2784" s="1367"/>
      <c r="I2784" s="1424" t="s">
        <v>2073</v>
      </c>
      <c r="J2784" s="1425">
        <f t="shared" si="19"/>
        <v>3</v>
      </c>
      <c r="K2784" s="1367"/>
      <c r="L2784" s="1367"/>
      <c r="M2784" s="1010"/>
    </row>
    <row r="2785">
      <c r="A2785" s="1417">
        <v>2023.0</v>
      </c>
      <c r="B2785" s="1417" t="s">
        <v>4155</v>
      </c>
      <c r="C2785" s="1417" t="s">
        <v>954</v>
      </c>
      <c r="D2785" s="1418" t="s">
        <v>4241</v>
      </c>
      <c r="E2785" s="1418" t="s">
        <v>4242</v>
      </c>
      <c r="F2785" s="1419">
        <v>14.0</v>
      </c>
      <c r="G2785" s="1420">
        <v>40.0</v>
      </c>
      <c r="H2785" s="1367"/>
      <c r="I2785" s="1424" t="s">
        <v>2074</v>
      </c>
      <c r="J2785" s="1425">
        <f t="shared" si="19"/>
        <v>1</v>
      </c>
      <c r="K2785" s="1367"/>
      <c r="L2785" s="1367"/>
      <c r="M2785" s="1010"/>
    </row>
    <row r="2786">
      <c r="A2786" s="1417">
        <v>2023.0</v>
      </c>
      <c r="B2786" s="1417" t="s">
        <v>4155</v>
      </c>
      <c r="C2786" s="1417" t="s">
        <v>954</v>
      </c>
      <c r="D2786" s="1418" t="s">
        <v>4241</v>
      </c>
      <c r="E2786" s="1418" t="s">
        <v>4243</v>
      </c>
      <c r="F2786" s="1419">
        <v>1.0</v>
      </c>
      <c r="G2786" s="1420">
        <v>2.0</v>
      </c>
      <c r="H2786" s="1367"/>
      <c r="I2786" s="1424" t="s">
        <v>2075</v>
      </c>
      <c r="J2786" s="1425">
        <f t="shared" si="19"/>
        <v>1</v>
      </c>
      <c r="K2786" s="1367"/>
      <c r="L2786" s="1367"/>
      <c r="M2786" s="1010"/>
    </row>
    <row r="2787">
      <c r="A2787" s="1417">
        <v>2023.0</v>
      </c>
      <c r="B2787" s="1417" t="s">
        <v>4155</v>
      </c>
      <c r="C2787" s="1417" t="s">
        <v>2020</v>
      </c>
      <c r="D2787" s="1418" t="s">
        <v>4241</v>
      </c>
      <c r="E2787" s="1418" t="s">
        <v>4243</v>
      </c>
      <c r="F2787" s="1419">
        <v>1.0</v>
      </c>
      <c r="G2787" s="1420">
        <v>5.0</v>
      </c>
      <c r="H2787" s="1367"/>
      <c r="I2787" s="1424" t="s">
        <v>2076</v>
      </c>
      <c r="J2787" s="1425">
        <f t="shared" si="19"/>
        <v>4</v>
      </c>
      <c r="K2787" s="1367"/>
      <c r="L2787" s="1367"/>
      <c r="M2787" s="1010"/>
    </row>
    <row r="2788">
      <c r="A2788" s="1417">
        <v>2023.0</v>
      </c>
      <c r="B2788" s="1417" t="s">
        <v>4155</v>
      </c>
      <c r="C2788" s="1417" t="s">
        <v>2020</v>
      </c>
      <c r="D2788" s="1418" t="s">
        <v>4241</v>
      </c>
      <c r="E2788" s="1418" t="s">
        <v>4242</v>
      </c>
      <c r="F2788" s="1419">
        <v>7.0</v>
      </c>
      <c r="G2788" s="1420">
        <v>15.0</v>
      </c>
      <c r="H2788" s="1367"/>
      <c r="I2788" s="1424" t="s">
        <v>975</v>
      </c>
      <c r="J2788" s="1425">
        <f t="shared" si="19"/>
        <v>8</v>
      </c>
      <c r="K2788" s="1367"/>
      <c r="L2788" s="1367"/>
      <c r="M2788" s="1010"/>
    </row>
    <row r="2789">
      <c r="A2789" s="1417">
        <v>2023.0</v>
      </c>
      <c r="B2789" s="1417" t="s">
        <v>4155</v>
      </c>
      <c r="C2789" s="1417" t="s">
        <v>2031</v>
      </c>
      <c r="D2789" s="1418" t="s">
        <v>4241</v>
      </c>
      <c r="E2789" s="1418" t="s">
        <v>4242</v>
      </c>
      <c r="F2789" s="1419">
        <v>6.0</v>
      </c>
      <c r="G2789" s="1420">
        <v>18.0</v>
      </c>
      <c r="H2789" s="1367"/>
      <c r="I2789" s="1424" t="s">
        <v>1072</v>
      </c>
      <c r="J2789" s="1425">
        <f t="shared" si="19"/>
        <v>37</v>
      </c>
      <c r="K2789" s="1367"/>
      <c r="L2789" s="1367"/>
      <c r="M2789" s="1010"/>
    </row>
    <row r="2790">
      <c r="A2790" s="1417">
        <v>2023.0</v>
      </c>
      <c r="B2790" s="1417" t="s">
        <v>4155</v>
      </c>
      <c r="C2790" s="1417" t="s">
        <v>708</v>
      </c>
      <c r="D2790" s="1418" t="s">
        <v>4241</v>
      </c>
      <c r="E2790" s="1418" t="s">
        <v>4242</v>
      </c>
      <c r="F2790" s="1419">
        <v>5.0</v>
      </c>
      <c r="G2790" s="1420">
        <v>13.0</v>
      </c>
      <c r="H2790" s="1367"/>
      <c r="I2790" s="1424" t="s">
        <v>2078</v>
      </c>
      <c r="J2790" s="1425">
        <f t="shared" si="19"/>
        <v>37</v>
      </c>
      <c r="K2790" s="1367"/>
      <c r="L2790" s="1367"/>
      <c r="M2790" s="1010"/>
    </row>
    <row r="2791">
      <c r="A2791" s="1417">
        <v>2023.0</v>
      </c>
      <c r="B2791" s="1417" t="s">
        <v>4155</v>
      </c>
      <c r="C2791" s="1417" t="s">
        <v>708</v>
      </c>
      <c r="D2791" s="1418" t="s">
        <v>4241</v>
      </c>
      <c r="E2791" s="1418" t="s">
        <v>4243</v>
      </c>
      <c r="F2791" s="1419">
        <v>1.0</v>
      </c>
      <c r="G2791" s="1420">
        <v>3.0</v>
      </c>
      <c r="H2791" s="1367"/>
      <c r="I2791" s="1424" t="s">
        <v>2079</v>
      </c>
      <c r="J2791" s="1425">
        <f t="shared" si="19"/>
        <v>6</v>
      </c>
      <c r="K2791" s="1367"/>
      <c r="L2791" s="1367"/>
      <c r="M2791" s="1010"/>
    </row>
    <row r="2792">
      <c r="A2792" s="1417">
        <v>2023.0</v>
      </c>
      <c r="B2792" s="1417" t="s">
        <v>4155</v>
      </c>
      <c r="C2792" s="1417" t="s">
        <v>101</v>
      </c>
      <c r="D2792" s="1418" t="s">
        <v>4241</v>
      </c>
      <c r="E2792" s="1418" t="s">
        <v>4243</v>
      </c>
      <c r="F2792" s="1419">
        <v>1.0</v>
      </c>
      <c r="G2792" s="1420">
        <v>4.0</v>
      </c>
      <c r="H2792" s="1367"/>
      <c r="I2792" s="1424" t="s">
        <v>1539</v>
      </c>
      <c r="J2792" s="1425">
        <f t="shared" si="19"/>
        <v>64</v>
      </c>
      <c r="K2792" s="1367"/>
      <c r="L2792" s="1367"/>
      <c r="M2792" s="1010"/>
    </row>
    <row r="2793">
      <c r="A2793" s="1417">
        <v>2023.0</v>
      </c>
      <c r="B2793" s="1417" t="s">
        <v>4155</v>
      </c>
      <c r="C2793" s="1417" t="s">
        <v>101</v>
      </c>
      <c r="D2793" s="1418" t="s">
        <v>4241</v>
      </c>
      <c r="E2793" s="1418" t="s">
        <v>4242</v>
      </c>
      <c r="F2793" s="1419">
        <v>19.0</v>
      </c>
      <c r="G2793" s="1420">
        <v>37.0</v>
      </c>
      <c r="H2793" s="1367"/>
      <c r="I2793" s="1424" t="s">
        <v>139</v>
      </c>
      <c r="J2793" s="1425">
        <f t="shared" si="19"/>
        <v>14</v>
      </c>
      <c r="K2793" s="1367"/>
      <c r="L2793" s="1367"/>
      <c r="M2793" s="1010"/>
    </row>
    <row r="2794">
      <c r="A2794" s="1417">
        <v>2023.0</v>
      </c>
      <c r="B2794" s="1417" t="s">
        <v>4155</v>
      </c>
      <c r="C2794" s="1417" t="s">
        <v>407</v>
      </c>
      <c r="D2794" s="1418" t="s">
        <v>4241</v>
      </c>
      <c r="E2794" s="1418" t="s">
        <v>4242</v>
      </c>
      <c r="F2794" s="1419">
        <v>4.0</v>
      </c>
      <c r="G2794" s="1420">
        <v>11.0</v>
      </c>
      <c r="H2794" s="1367"/>
      <c r="I2794" s="1424" t="s">
        <v>586</v>
      </c>
      <c r="J2794" s="1425">
        <f t="shared" si="19"/>
        <v>2</v>
      </c>
      <c r="K2794" s="1367"/>
      <c r="L2794" s="1367"/>
      <c r="M2794" s="1010"/>
    </row>
    <row r="2795">
      <c r="A2795" s="1417">
        <v>2023.0</v>
      </c>
      <c r="B2795" s="1417" t="s">
        <v>4155</v>
      </c>
      <c r="C2795" s="1417" t="s">
        <v>136</v>
      </c>
      <c r="D2795" s="1418" t="s">
        <v>4241</v>
      </c>
      <c r="E2795" s="1418" t="s">
        <v>4243</v>
      </c>
      <c r="F2795" s="1419">
        <v>1.0</v>
      </c>
      <c r="G2795" s="1420">
        <v>4.0</v>
      </c>
      <c r="H2795" s="1367"/>
      <c r="I2795" s="1424" t="s">
        <v>497</v>
      </c>
      <c r="J2795" s="1425">
        <f t="shared" si="19"/>
        <v>2</v>
      </c>
      <c r="K2795" s="1367"/>
      <c r="L2795" s="1367"/>
      <c r="M2795" s="1010"/>
    </row>
    <row r="2796">
      <c r="A2796" s="1417">
        <v>2023.0</v>
      </c>
      <c r="B2796" s="1417" t="s">
        <v>4155</v>
      </c>
      <c r="C2796" s="1417" t="s">
        <v>136</v>
      </c>
      <c r="D2796" s="1418" t="s">
        <v>4241</v>
      </c>
      <c r="E2796" s="1418" t="s">
        <v>4242</v>
      </c>
      <c r="F2796" s="1419">
        <v>2.0</v>
      </c>
      <c r="G2796" s="1420">
        <v>3.0</v>
      </c>
      <c r="H2796" s="1367"/>
      <c r="I2796" s="1424" t="s">
        <v>2080</v>
      </c>
      <c r="J2796" s="1425" t="str">
        <f t="shared" si="19"/>
        <v>NULL</v>
      </c>
      <c r="K2796" s="1367"/>
      <c r="L2796" s="1367"/>
      <c r="M2796" s="1010"/>
    </row>
    <row r="2797">
      <c r="A2797" s="1417">
        <v>2023.0</v>
      </c>
      <c r="B2797" s="1417" t="s">
        <v>4155</v>
      </c>
      <c r="C2797" s="1417" t="s">
        <v>2078</v>
      </c>
      <c r="D2797" s="1418" t="s">
        <v>4241</v>
      </c>
      <c r="E2797" s="1418" t="s">
        <v>4243</v>
      </c>
      <c r="F2797" s="1419">
        <v>3.0</v>
      </c>
      <c r="G2797" s="1420">
        <v>10.0</v>
      </c>
      <c r="H2797" s="1367"/>
      <c r="I2797" s="1424" t="s">
        <v>1915</v>
      </c>
      <c r="J2797" s="1425">
        <f t="shared" si="19"/>
        <v>1</v>
      </c>
      <c r="K2797" s="1367"/>
      <c r="L2797" s="1367"/>
      <c r="M2797" s="1010"/>
    </row>
    <row r="2798">
      <c r="A2798" s="1417">
        <v>2023.0</v>
      </c>
      <c r="B2798" s="1417" t="s">
        <v>4155</v>
      </c>
      <c r="C2798" s="1417" t="s">
        <v>2078</v>
      </c>
      <c r="D2798" s="1418" t="s">
        <v>4241</v>
      </c>
      <c r="E2798" s="1418" t="s">
        <v>4242</v>
      </c>
      <c r="F2798" s="1419">
        <v>34.0</v>
      </c>
      <c r="G2798" s="1420">
        <v>101.0</v>
      </c>
      <c r="H2798" s="1367"/>
      <c r="I2798" s="1424" t="s">
        <v>721</v>
      </c>
      <c r="J2798" s="1425">
        <f t="shared" si="19"/>
        <v>18</v>
      </c>
      <c r="K2798" s="1367"/>
      <c r="L2798" s="1367"/>
      <c r="M2798" s="1010"/>
    </row>
    <row r="2799">
      <c r="A2799" s="1417">
        <v>2023.0</v>
      </c>
      <c r="B2799" s="1417" t="s">
        <v>4155</v>
      </c>
      <c r="C2799" s="1417" t="s">
        <v>775</v>
      </c>
      <c r="D2799" s="1418" t="s">
        <v>4241</v>
      </c>
      <c r="E2799" s="1418" t="s">
        <v>4242</v>
      </c>
      <c r="F2799" s="1419">
        <v>25.0</v>
      </c>
      <c r="G2799" s="1420">
        <v>55.0</v>
      </c>
      <c r="H2799" s="1367"/>
      <c r="I2799" s="1424" t="s">
        <v>218</v>
      </c>
      <c r="J2799" s="1425">
        <f t="shared" si="19"/>
        <v>1075</v>
      </c>
      <c r="K2799" s="1367"/>
      <c r="L2799" s="1367"/>
      <c r="M2799" s="1010"/>
    </row>
    <row r="2800">
      <c r="A2800" s="1417">
        <v>2023.0</v>
      </c>
      <c r="B2800" s="1417" t="s">
        <v>4155</v>
      </c>
      <c r="C2800" s="1417" t="s">
        <v>775</v>
      </c>
      <c r="D2800" s="1418" t="s">
        <v>4241</v>
      </c>
      <c r="E2800" s="1418" t="s">
        <v>4243</v>
      </c>
      <c r="F2800" s="1419">
        <v>2.0</v>
      </c>
      <c r="G2800" s="1420">
        <v>3.0</v>
      </c>
      <c r="H2800" s="1367"/>
      <c r="I2800" s="1424" t="s">
        <v>775</v>
      </c>
      <c r="J2800" s="1425">
        <f t="shared" si="19"/>
        <v>27</v>
      </c>
      <c r="K2800" s="1367"/>
      <c r="L2800" s="1367"/>
      <c r="M2800" s="1010"/>
    </row>
    <row r="2801">
      <c r="A2801" s="1417">
        <v>2023.0</v>
      </c>
      <c r="B2801" s="1417" t="s">
        <v>4155</v>
      </c>
      <c r="C2801" s="1417" t="s">
        <v>722</v>
      </c>
      <c r="D2801" s="1418" t="s">
        <v>4241</v>
      </c>
      <c r="E2801" s="1418" t="s">
        <v>4243</v>
      </c>
      <c r="F2801" s="1419">
        <v>2.0</v>
      </c>
      <c r="G2801" s="1420">
        <v>10.0</v>
      </c>
      <c r="H2801" s="1367"/>
      <c r="I2801" s="1424" t="s">
        <v>2082</v>
      </c>
      <c r="J2801" s="1425" t="str">
        <f t="shared" si="19"/>
        <v>NULL</v>
      </c>
      <c r="K2801" s="1367"/>
      <c r="L2801" s="1367"/>
      <c r="M2801" s="1010"/>
    </row>
    <row r="2802">
      <c r="A2802" s="1417">
        <v>2023.0</v>
      </c>
      <c r="B2802" s="1417" t="s">
        <v>4155</v>
      </c>
      <c r="C2802" s="1417" t="s">
        <v>722</v>
      </c>
      <c r="D2802" s="1418" t="s">
        <v>4241</v>
      </c>
      <c r="E2802" s="1418" t="s">
        <v>4242</v>
      </c>
      <c r="F2802" s="1419">
        <v>31.0</v>
      </c>
      <c r="G2802" s="1420">
        <v>70.0</v>
      </c>
      <c r="H2802" s="1367"/>
      <c r="I2802" s="1424" t="s">
        <v>980</v>
      </c>
      <c r="J2802" s="1425">
        <f t="shared" si="19"/>
        <v>1</v>
      </c>
      <c r="K2802" s="1367"/>
      <c r="L2802" s="1367"/>
      <c r="M2802" s="1010"/>
    </row>
    <row r="2803">
      <c r="A2803" s="1417">
        <v>2023.0</v>
      </c>
      <c r="B2803" s="1417" t="s">
        <v>4155</v>
      </c>
      <c r="C2803" s="1417" t="s">
        <v>1099</v>
      </c>
      <c r="D2803" s="1418" t="s">
        <v>4241</v>
      </c>
      <c r="E2803" s="1418" t="s">
        <v>4242</v>
      </c>
      <c r="F2803" s="1419">
        <v>19.0</v>
      </c>
      <c r="G2803" s="1420">
        <v>50.0</v>
      </c>
      <c r="H2803" s="1367"/>
      <c r="I2803" s="1424" t="s">
        <v>2083</v>
      </c>
      <c r="J2803" s="1425">
        <f t="shared" si="19"/>
        <v>77</v>
      </c>
      <c r="K2803" s="1367"/>
      <c r="L2803" s="1367"/>
      <c r="M2803" s="1010"/>
    </row>
    <row r="2804">
      <c r="A2804" s="1417">
        <v>2023.0</v>
      </c>
      <c r="B2804" s="1417" t="s">
        <v>4155</v>
      </c>
      <c r="C2804" s="1417" t="s">
        <v>144</v>
      </c>
      <c r="D2804" s="1418" t="s">
        <v>4241</v>
      </c>
      <c r="E2804" s="1418" t="s">
        <v>4242</v>
      </c>
      <c r="F2804" s="1419">
        <v>6.0</v>
      </c>
      <c r="G2804" s="1420">
        <v>16.0</v>
      </c>
      <c r="H2804" s="1367"/>
      <c r="I2804" s="1424" t="s">
        <v>2084</v>
      </c>
      <c r="J2804" s="1425">
        <f t="shared" si="19"/>
        <v>3</v>
      </c>
      <c r="K2804" s="1367"/>
      <c r="L2804" s="1367"/>
      <c r="M2804" s="1010"/>
    </row>
    <row r="2805">
      <c r="A2805" s="1417">
        <v>2023.0</v>
      </c>
      <c r="B2805" s="1417" t="s">
        <v>4155</v>
      </c>
      <c r="C2805" s="1417" t="s">
        <v>153</v>
      </c>
      <c r="D2805" s="1418" t="s">
        <v>4241</v>
      </c>
      <c r="E2805" s="1418" t="s">
        <v>4242</v>
      </c>
      <c r="F2805" s="1419">
        <v>2.0</v>
      </c>
      <c r="G2805" s="1420">
        <v>5.0</v>
      </c>
      <c r="H2805" s="1367"/>
      <c r="I2805" s="1424" t="s">
        <v>722</v>
      </c>
      <c r="J2805" s="1425">
        <f t="shared" si="19"/>
        <v>33</v>
      </c>
      <c r="K2805" s="1367"/>
      <c r="L2805" s="1367"/>
      <c r="M2805" s="1010"/>
    </row>
    <row r="2806">
      <c r="A2806" s="1417">
        <v>2023.0</v>
      </c>
      <c r="B2806" s="1417" t="s">
        <v>4155</v>
      </c>
      <c r="C2806" s="1417" t="s">
        <v>990</v>
      </c>
      <c r="D2806" s="1418" t="s">
        <v>4241</v>
      </c>
      <c r="E2806" s="1418" t="s">
        <v>4242</v>
      </c>
      <c r="F2806" s="1419">
        <v>3.0</v>
      </c>
      <c r="G2806" s="1420">
        <v>9.0</v>
      </c>
      <c r="H2806" s="1367"/>
      <c r="I2806" s="1424" t="s">
        <v>480</v>
      </c>
      <c r="J2806" s="1425">
        <f t="shared" si="19"/>
        <v>100</v>
      </c>
      <c r="K2806" s="1367"/>
      <c r="L2806" s="1367"/>
      <c r="M2806" s="1010"/>
    </row>
    <row r="2807">
      <c r="A2807" s="1417">
        <v>2023.0</v>
      </c>
      <c r="B2807" s="1417" t="s">
        <v>4155</v>
      </c>
      <c r="C2807" s="1417" t="s">
        <v>1377</v>
      </c>
      <c r="D2807" s="1418" t="s">
        <v>4241</v>
      </c>
      <c r="E2807" s="1418" t="s">
        <v>4243</v>
      </c>
      <c r="F2807" s="1419">
        <v>1.0</v>
      </c>
      <c r="G2807" s="1420">
        <v>1.0</v>
      </c>
      <c r="H2807" s="1367"/>
      <c r="I2807" s="1424" t="s">
        <v>1445</v>
      </c>
      <c r="J2807" s="1425">
        <f t="shared" si="19"/>
        <v>12</v>
      </c>
      <c r="K2807" s="1367"/>
      <c r="L2807" s="1367"/>
      <c r="M2807" s="1010"/>
    </row>
    <row r="2808">
      <c r="A2808" s="1417">
        <v>2023.0</v>
      </c>
      <c r="B2808" s="1417" t="s">
        <v>4155</v>
      </c>
      <c r="C2808" s="1417" t="s">
        <v>1377</v>
      </c>
      <c r="D2808" s="1418" t="s">
        <v>4241</v>
      </c>
      <c r="E2808" s="1418" t="s">
        <v>4242</v>
      </c>
      <c r="F2808" s="1419">
        <v>3.0</v>
      </c>
      <c r="G2808" s="1420">
        <v>8.0</v>
      </c>
      <c r="H2808" s="1367"/>
      <c r="I2808" s="1424" t="s">
        <v>2087</v>
      </c>
      <c r="J2808" s="1425">
        <f t="shared" si="19"/>
        <v>9</v>
      </c>
      <c r="K2808" s="1367"/>
      <c r="L2808" s="1367"/>
      <c r="M2808" s="1010"/>
    </row>
    <row r="2809">
      <c r="A2809" s="1417">
        <v>2023.0</v>
      </c>
      <c r="B2809" s="1417" t="s">
        <v>4155</v>
      </c>
      <c r="C2809" s="1417" t="s">
        <v>2131</v>
      </c>
      <c r="D2809" s="1418" t="s">
        <v>4241</v>
      </c>
      <c r="E2809" s="1418" t="s">
        <v>4242</v>
      </c>
      <c r="F2809" s="1419">
        <v>4.0</v>
      </c>
      <c r="G2809" s="1420">
        <v>10.0</v>
      </c>
      <c r="H2809" s="1367"/>
      <c r="I2809" s="1424" t="s">
        <v>2088</v>
      </c>
      <c r="J2809" s="1425">
        <f t="shared" si="19"/>
        <v>18</v>
      </c>
      <c r="K2809" s="1367"/>
      <c r="L2809" s="1367"/>
      <c r="M2809" s="1010"/>
    </row>
    <row r="2810">
      <c r="A2810" s="1417">
        <v>2023.0</v>
      </c>
      <c r="B2810" s="1417" t="s">
        <v>4155</v>
      </c>
      <c r="C2810" s="1417" t="s">
        <v>1167</v>
      </c>
      <c r="D2810" s="1418" t="s">
        <v>4241</v>
      </c>
      <c r="E2810" s="1418" t="s">
        <v>4242</v>
      </c>
      <c r="F2810" s="1419">
        <v>2.0</v>
      </c>
      <c r="G2810" s="1420">
        <v>6.0</v>
      </c>
      <c r="H2810" s="1367"/>
      <c r="I2810" s="1424" t="s">
        <v>1099</v>
      </c>
      <c r="J2810" s="1425">
        <f t="shared" si="19"/>
        <v>19</v>
      </c>
      <c r="K2810" s="1367"/>
      <c r="L2810" s="1367"/>
      <c r="M2810" s="1010"/>
    </row>
    <row r="2811">
      <c r="A2811" s="1417">
        <v>2023.0</v>
      </c>
      <c r="B2811" s="1417" t="s">
        <v>4155</v>
      </c>
      <c r="C2811" s="1417" t="s">
        <v>2139</v>
      </c>
      <c r="D2811" s="1418" t="s">
        <v>4241</v>
      </c>
      <c r="E2811" s="1418" t="s">
        <v>4242</v>
      </c>
      <c r="F2811" s="1419">
        <v>19.0</v>
      </c>
      <c r="G2811" s="1420">
        <v>45.0</v>
      </c>
      <c r="H2811" s="1367"/>
      <c r="I2811" s="1424" t="s">
        <v>141</v>
      </c>
      <c r="J2811" s="1425">
        <f t="shared" si="19"/>
        <v>2</v>
      </c>
      <c r="K2811" s="1367"/>
      <c r="L2811" s="1367"/>
      <c r="M2811" s="1010"/>
    </row>
    <row r="2812">
      <c r="A2812" s="1417">
        <v>2023.0</v>
      </c>
      <c r="B2812" s="1417" t="s">
        <v>4155</v>
      </c>
      <c r="C2812" s="1417" t="s">
        <v>2139</v>
      </c>
      <c r="D2812" s="1418" t="s">
        <v>4241</v>
      </c>
      <c r="E2812" s="1418" t="s">
        <v>4243</v>
      </c>
      <c r="F2812" s="1419">
        <v>1.0</v>
      </c>
      <c r="G2812" s="1420">
        <v>2.0</v>
      </c>
      <c r="H2812" s="1367"/>
      <c r="I2812" s="1424" t="s">
        <v>283</v>
      </c>
      <c r="J2812" s="1425">
        <f t="shared" si="19"/>
        <v>5</v>
      </c>
      <c r="K2812" s="1367"/>
      <c r="L2812" s="1367"/>
      <c r="M2812" s="1010"/>
    </row>
    <row r="2813">
      <c r="A2813" s="1417">
        <v>2023.0</v>
      </c>
      <c r="B2813" s="1417" t="s">
        <v>4155</v>
      </c>
      <c r="C2813" s="1417" t="s">
        <v>1012</v>
      </c>
      <c r="D2813" s="1418" t="s">
        <v>4241</v>
      </c>
      <c r="E2813" s="1418" t="s">
        <v>4242</v>
      </c>
      <c r="F2813" s="1419">
        <v>111.0</v>
      </c>
      <c r="G2813" s="1420">
        <v>254.0</v>
      </c>
      <c r="H2813" s="1367"/>
      <c r="I2813" s="1424" t="s">
        <v>2089</v>
      </c>
      <c r="J2813" s="1425">
        <f t="shared" si="19"/>
        <v>1</v>
      </c>
      <c r="K2813" s="1367"/>
      <c r="L2813" s="1367"/>
      <c r="M2813" s="1010"/>
    </row>
    <row r="2814">
      <c r="A2814" s="1417">
        <v>2023.0</v>
      </c>
      <c r="B2814" s="1417" t="s">
        <v>4155</v>
      </c>
      <c r="C2814" s="1417" t="s">
        <v>1012</v>
      </c>
      <c r="D2814" s="1418" t="s">
        <v>4241</v>
      </c>
      <c r="E2814" s="1418" t="s">
        <v>4243</v>
      </c>
      <c r="F2814" s="1419">
        <v>1.0</v>
      </c>
      <c r="G2814" s="1420">
        <v>3.0</v>
      </c>
      <c r="H2814" s="1367"/>
      <c r="I2814" s="1424" t="s">
        <v>2090</v>
      </c>
      <c r="J2814" s="1425">
        <f t="shared" si="19"/>
        <v>31</v>
      </c>
      <c r="K2814" s="1367"/>
      <c r="L2814" s="1367"/>
      <c r="M2814" s="1010"/>
    </row>
    <row r="2815">
      <c r="A2815" s="1417">
        <v>2023.0</v>
      </c>
      <c r="B2815" s="1417" t="s">
        <v>4155</v>
      </c>
      <c r="C2815" s="1417" t="s">
        <v>2159</v>
      </c>
      <c r="D2815" s="1418" t="s">
        <v>4241</v>
      </c>
      <c r="E2815" s="1418" t="s">
        <v>4243</v>
      </c>
      <c r="F2815" s="1419">
        <v>2.0</v>
      </c>
      <c r="G2815" s="1420">
        <v>7.0</v>
      </c>
      <c r="H2815" s="1367"/>
      <c r="I2815" s="1424" t="s">
        <v>1860</v>
      </c>
      <c r="J2815" s="1425">
        <f t="shared" si="19"/>
        <v>5</v>
      </c>
      <c r="K2815" s="1367"/>
      <c r="L2815" s="1367"/>
      <c r="M2815" s="1010"/>
    </row>
    <row r="2816">
      <c r="A2816" s="1417">
        <v>2023.0</v>
      </c>
      <c r="B2816" s="1417" t="s">
        <v>4155</v>
      </c>
      <c r="C2816" s="1417" t="s">
        <v>2159</v>
      </c>
      <c r="D2816" s="1418" t="s">
        <v>4241</v>
      </c>
      <c r="E2816" s="1418" t="s">
        <v>4242</v>
      </c>
      <c r="F2816" s="1419">
        <v>4.0</v>
      </c>
      <c r="G2816" s="1420">
        <v>11.0</v>
      </c>
      <c r="H2816" s="1367"/>
      <c r="I2816" s="1424" t="s">
        <v>2093</v>
      </c>
      <c r="J2816" s="1425" t="str">
        <f t="shared" si="19"/>
        <v>NULL</v>
      </c>
      <c r="K2816" s="1367"/>
      <c r="L2816" s="1367"/>
      <c r="M2816" s="1010"/>
    </row>
    <row r="2817">
      <c r="A2817" s="1417">
        <v>2023.0</v>
      </c>
      <c r="B2817" s="1417" t="s">
        <v>4155</v>
      </c>
      <c r="C2817" s="1417" t="s">
        <v>2162</v>
      </c>
      <c r="D2817" s="1418" t="s">
        <v>4241</v>
      </c>
      <c r="E2817" s="1418" t="s">
        <v>4243</v>
      </c>
      <c r="F2817" s="1419">
        <v>1.0</v>
      </c>
      <c r="G2817" s="1420">
        <v>6.0</v>
      </c>
      <c r="H2817" s="1367"/>
      <c r="I2817" s="1424" t="s">
        <v>2094</v>
      </c>
      <c r="J2817" s="1425">
        <f t="shared" si="19"/>
        <v>4</v>
      </c>
      <c r="K2817" s="1367"/>
      <c r="L2817" s="1367"/>
      <c r="M2817" s="1010"/>
    </row>
    <row r="2818">
      <c r="A2818" s="1417">
        <v>2023.0</v>
      </c>
      <c r="B2818" s="1417" t="s">
        <v>4155</v>
      </c>
      <c r="C2818" s="1417" t="s">
        <v>2162</v>
      </c>
      <c r="D2818" s="1418" t="s">
        <v>4241</v>
      </c>
      <c r="E2818" s="1418" t="s">
        <v>4242</v>
      </c>
      <c r="F2818" s="1419">
        <v>14.0</v>
      </c>
      <c r="G2818" s="1420">
        <v>31.0</v>
      </c>
      <c r="H2818" s="1367"/>
      <c r="I2818" s="1424" t="s">
        <v>142</v>
      </c>
      <c r="J2818" s="1425">
        <f t="shared" si="19"/>
        <v>1</v>
      </c>
      <c r="K2818" s="1367"/>
      <c r="L2818" s="1367"/>
      <c r="M2818" s="1010"/>
    </row>
    <row r="2819">
      <c r="A2819" s="1417">
        <v>2023.0</v>
      </c>
      <c r="B2819" s="1417" t="s">
        <v>4155</v>
      </c>
      <c r="C2819" s="1417" t="s">
        <v>2168</v>
      </c>
      <c r="D2819" s="1418" t="s">
        <v>4241</v>
      </c>
      <c r="E2819" s="1418" t="s">
        <v>4242</v>
      </c>
      <c r="F2819" s="1419">
        <v>21.0</v>
      </c>
      <c r="G2819" s="1420">
        <v>60.0</v>
      </c>
      <c r="H2819" s="1367"/>
      <c r="I2819" s="1424" t="s">
        <v>593</v>
      </c>
      <c r="J2819" s="1425">
        <f t="shared" si="19"/>
        <v>9</v>
      </c>
      <c r="K2819" s="1367"/>
      <c r="L2819" s="1367"/>
      <c r="M2819" s="1010"/>
    </row>
    <row r="2820">
      <c r="A2820" s="1417">
        <v>2023.0</v>
      </c>
      <c r="B2820" s="1417" t="s">
        <v>4155</v>
      </c>
      <c r="C2820" s="1417" t="s">
        <v>1703</v>
      </c>
      <c r="D2820" s="1418" t="s">
        <v>4241</v>
      </c>
      <c r="E2820" s="1418" t="s">
        <v>4243</v>
      </c>
      <c r="F2820" s="1419">
        <v>2.0</v>
      </c>
      <c r="G2820" s="1420">
        <v>9.0</v>
      </c>
      <c r="H2820" s="1367"/>
      <c r="I2820" s="1424" t="s">
        <v>594</v>
      </c>
      <c r="J2820" s="1425" t="str">
        <f t="shared" si="19"/>
        <v>NULL</v>
      </c>
      <c r="K2820" s="1367"/>
      <c r="L2820" s="1367"/>
      <c r="M2820" s="1010"/>
    </row>
    <row r="2821">
      <c r="A2821" s="1417">
        <v>2023.0</v>
      </c>
      <c r="B2821" s="1417" t="s">
        <v>4155</v>
      </c>
      <c r="C2821" s="1417" t="s">
        <v>1703</v>
      </c>
      <c r="D2821" s="1418" t="s">
        <v>4241</v>
      </c>
      <c r="E2821" s="1418" t="s">
        <v>4242</v>
      </c>
      <c r="F2821" s="1419">
        <v>11.0</v>
      </c>
      <c r="G2821" s="1417">
        <v>31.0</v>
      </c>
      <c r="H2821" s="1367"/>
      <c r="I2821" s="1424" t="s">
        <v>143</v>
      </c>
      <c r="J2821" s="1425">
        <f t="shared" si="19"/>
        <v>65</v>
      </c>
      <c r="K2821" s="1367"/>
      <c r="L2821" s="1367"/>
      <c r="M2821" s="1010"/>
    </row>
    <row r="2822">
      <c r="A2822" s="1417">
        <v>2023.0</v>
      </c>
      <c r="B2822" s="1417" t="s">
        <v>4164</v>
      </c>
      <c r="C2822" s="1417" t="s">
        <v>2006</v>
      </c>
      <c r="D2822" s="1418" t="s">
        <v>4241</v>
      </c>
      <c r="E2822" s="1418" t="s">
        <v>4243</v>
      </c>
      <c r="F2822" s="1419">
        <v>6.0</v>
      </c>
      <c r="G2822" s="1417">
        <v>21.0</v>
      </c>
      <c r="H2822" s="1367"/>
      <c r="I2822" s="1424" t="s">
        <v>2095</v>
      </c>
      <c r="J2822" s="1425" t="str">
        <f t="shared" si="19"/>
        <v>NULL</v>
      </c>
      <c r="K2822" s="1367"/>
      <c r="L2822" s="1367"/>
      <c r="M2822" s="1010"/>
    </row>
    <row r="2823">
      <c r="A2823" s="1417">
        <v>2023.0</v>
      </c>
      <c r="B2823" s="1417" t="s">
        <v>4164</v>
      </c>
      <c r="C2823" s="1417" t="s">
        <v>2006</v>
      </c>
      <c r="D2823" s="1418" t="s">
        <v>4241</v>
      </c>
      <c r="E2823" s="1418" t="s">
        <v>4242</v>
      </c>
      <c r="F2823" s="1419">
        <v>27.0</v>
      </c>
      <c r="G2823" s="1417">
        <v>68.0</v>
      </c>
      <c r="H2823" s="1367"/>
      <c r="I2823" s="1424" t="s">
        <v>2096</v>
      </c>
      <c r="J2823" s="1425">
        <f t="shared" si="19"/>
        <v>3</v>
      </c>
      <c r="K2823" s="1367"/>
      <c r="L2823" s="1367"/>
      <c r="M2823" s="1010"/>
    </row>
    <row r="2824">
      <c r="A2824" s="1417">
        <v>2023.0</v>
      </c>
      <c r="B2824" s="1417" t="s">
        <v>4164</v>
      </c>
      <c r="C2824" s="1417" t="s">
        <v>721</v>
      </c>
      <c r="D2824" s="1418" t="s">
        <v>4241</v>
      </c>
      <c r="E2824" s="1418" t="s">
        <v>4243</v>
      </c>
      <c r="F2824" s="1419">
        <v>2.0</v>
      </c>
      <c r="G2824" s="1417">
        <v>6.0</v>
      </c>
      <c r="H2824" s="1367"/>
      <c r="I2824" s="1424" t="s">
        <v>288</v>
      </c>
      <c r="J2824" s="1425">
        <f t="shared" si="19"/>
        <v>61</v>
      </c>
      <c r="K2824" s="1367"/>
      <c r="L2824" s="1367"/>
      <c r="M2824" s="1010"/>
    </row>
    <row r="2825">
      <c r="A2825" s="1417">
        <v>2023.0</v>
      </c>
      <c r="B2825" s="1417" t="s">
        <v>4164</v>
      </c>
      <c r="C2825" s="1417" t="s">
        <v>721</v>
      </c>
      <c r="D2825" s="1418" t="s">
        <v>4241</v>
      </c>
      <c r="E2825" s="1418" t="s">
        <v>4242</v>
      </c>
      <c r="F2825" s="1419">
        <v>16.0</v>
      </c>
      <c r="G2825" s="1420">
        <v>37.0</v>
      </c>
      <c r="H2825" s="1367"/>
      <c r="I2825" s="1424" t="s">
        <v>598</v>
      </c>
      <c r="J2825" s="1425">
        <f t="shared" si="19"/>
        <v>4</v>
      </c>
      <c r="K2825" s="1367"/>
      <c r="L2825" s="1367"/>
      <c r="M2825" s="1010"/>
    </row>
    <row r="2826">
      <c r="A2826" s="1417">
        <v>2023.0</v>
      </c>
      <c r="B2826" s="1417" t="s">
        <v>4164</v>
      </c>
      <c r="C2826" s="1417" t="s">
        <v>141</v>
      </c>
      <c r="D2826" s="1418" t="s">
        <v>4241</v>
      </c>
      <c r="E2826" s="1418" t="s">
        <v>4242</v>
      </c>
      <c r="F2826" s="1419">
        <v>2.0</v>
      </c>
      <c r="G2826" s="1420">
        <v>6.0</v>
      </c>
      <c r="H2826" s="1367"/>
      <c r="I2826" s="1424" t="s">
        <v>2097</v>
      </c>
      <c r="J2826" s="1425">
        <f t="shared" si="19"/>
        <v>2</v>
      </c>
      <c r="K2826" s="1367"/>
      <c r="L2826" s="1367"/>
      <c r="M2826" s="1010"/>
    </row>
    <row r="2827">
      <c r="A2827" s="1417">
        <v>2023.0</v>
      </c>
      <c r="B2827" s="1417" t="s">
        <v>4164</v>
      </c>
      <c r="C2827" s="1417" t="s">
        <v>593</v>
      </c>
      <c r="D2827" s="1418" t="s">
        <v>4241</v>
      </c>
      <c r="E2827" s="1418" t="s">
        <v>4242</v>
      </c>
      <c r="F2827" s="1419">
        <v>9.0</v>
      </c>
      <c r="G2827" s="1420">
        <v>30.0</v>
      </c>
      <c r="H2827" s="1367"/>
      <c r="I2827" s="1424" t="s">
        <v>2098</v>
      </c>
      <c r="J2827" s="1425">
        <f t="shared" si="19"/>
        <v>89</v>
      </c>
      <c r="K2827" s="1367"/>
      <c r="L2827" s="1367"/>
      <c r="M2827" s="1010"/>
    </row>
    <row r="2828">
      <c r="A2828" s="1417">
        <v>2023.0</v>
      </c>
      <c r="B2828" s="1417" t="s">
        <v>4164</v>
      </c>
      <c r="C2828" s="1417" t="s">
        <v>143</v>
      </c>
      <c r="D2828" s="1418" t="s">
        <v>4241</v>
      </c>
      <c r="E2828" s="1418" t="s">
        <v>4243</v>
      </c>
      <c r="F2828" s="1419">
        <v>1.0</v>
      </c>
      <c r="G2828" s="1420">
        <v>4.0</v>
      </c>
      <c r="H2828" s="1367"/>
      <c r="I2828" s="1424" t="s">
        <v>727</v>
      </c>
      <c r="J2828" s="1425">
        <f t="shared" si="19"/>
        <v>29</v>
      </c>
      <c r="K2828" s="1367"/>
      <c r="L2828" s="1367"/>
      <c r="M2828" s="1010"/>
    </row>
    <row r="2829">
      <c r="A2829" s="1417">
        <v>2023.0</v>
      </c>
      <c r="B2829" s="1417" t="s">
        <v>4164</v>
      </c>
      <c r="C2829" s="1417" t="s">
        <v>143</v>
      </c>
      <c r="D2829" s="1418" t="s">
        <v>4241</v>
      </c>
      <c r="E2829" s="1418" t="s">
        <v>4242</v>
      </c>
      <c r="F2829" s="1419">
        <v>64.0</v>
      </c>
      <c r="G2829" s="1420">
        <v>158.0</v>
      </c>
      <c r="H2829" s="1367"/>
      <c r="I2829" s="1424" t="s">
        <v>2099</v>
      </c>
      <c r="J2829" s="1425" t="str">
        <f t="shared" si="19"/>
        <v>NULL</v>
      </c>
      <c r="K2829" s="1367"/>
      <c r="L2829" s="1367"/>
      <c r="M2829" s="1010"/>
    </row>
    <row r="2830">
      <c r="A2830" s="1417">
        <v>2023.0</v>
      </c>
      <c r="B2830" s="1417" t="s">
        <v>4164</v>
      </c>
      <c r="C2830" s="1417" t="s">
        <v>2121</v>
      </c>
      <c r="D2830" s="1418" t="s">
        <v>4241</v>
      </c>
      <c r="E2830" s="1418" t="s">
        <v>4243</v>
      </c>
      <c r="F2830" s="1419">
        <v>1.0</v>
      </c>
      <c r="G2830" s="1420">
        <v>4.0</v>
      </c>
      <c r="H2830" s="1367"/>
      <c r="I2830" s="1424" t="s">
        <v>474</v>
      </c>
      <c r="J2830" s="1425">
        <f t="shared" si="19"/>
        <v>1</v>
      </c>
      <c r="K2830" s="1367"/>
      <c r="L2830" s="1367"/>
      <c r="M2830" s="1010"/>
    </row>
    <row r="2831">
      <c r="A2831" s="1417">
        <v>2023.0</v>
      </c>
      <c r="B2831" s="1417" t="s">
        <v>4164</v>
      </c>
      <c r="C2831" s="1417" t="s">
        <v>2121</v>
      </c>
      <c r="D2831" s="1418" t="s">
        <v>4241</v>
      </c>
      <c r="E2831" s="1418" t="s">
        <v>4242</v>
      </c>
      <c r="F2831" s="1419">
        <v>27.0</v>
      </c>
      <c r="G2831" s="1420">
        <v>68.0</v>
      </c>
      <c r="H2831" s="1367"/>
      <c r="I2831" s="1424" t="s">
        <v>2100</v>
      </c>
      <c r="J2831" s="1425">
        <f t="shared" si="19"/>
        <v>14</v>
      </c>
      <c r="K2831" s="1367"/>
      <c r="L2831" s="1367"/>
      <c r="M2831" s="1010"/>
    </row>
    <row r="2832">
      <c r="A2832" s="1417">
        <v>2023.0</v>
      </c>
      <c r="B2832" s="1417" t="s">
        <v>4164</v>
      </c>
      <c r="C2832" s="1417" t="s">
        <v>297</v>
      </c>
      <c r="D2832" s="1418" t="s">
        <v>4241</v>
      </c>
      <c r="E2832" s="1418" t="s">
        <v>4243</v>
      </c>
      <c r="F2832" s="1419">
        <v>1.0</v>
      </c>
      <c r="G2832" s="1420">
        <v>4.0</v>
      </c>
      <c r="H2832" s="1367"/>
      <c r="I2832" s="1424" t="s">
        <v>2101</v>
      </c>
      <c r="J2832" s="1425" t="str">
        <f t="shared" si="19"/>
        <v>NULL</v>
      </c>
      <c r="K2832" s="1367"/>
      <c r="L2832" s="1367"/>
      <c r="M2832" s="1010"/>
    </row>
    <row r="2833">
      <c r="A2833" s="1417">
        <v>2023.0</v>
      </c>
      <c r="B2833" s="1417" t="s">
        <v>4164</v>
      </c>
      <c r="C2833" s="1417" t="s">
        <v>297</v>
      </c>
      <c r="D2833" s="1418" t="s">
        <v>4241</v>
      </c>
      <c r="E2833" s="1418" t="s">
        <v>4242</v>
      </c>
      <c r="F2833" s="1419">
        <v>1.0</v>
      </c>
      <c r="G2833" s="1420">
        <v>2.0</v>
      </c>
      <c r="H2833" s="1367"/>
      <c r="I2833" s="1424" t="s">
        <v>255</v>
      </c>
      <c r="J2833" s="1425" t="str">
        <f t="shared" si="19"/>
        <v>NULL</v>
      </c>
      <c r="K2833" s="1367"/>
      <c r="L2833" s="1367"/>
      <c r="M2833" s="1010"/>
    </row>
    <row r="2834">
      <c r="A2834" s="1417">
        <v>2023.0</v>
      </c>
      <c r="B2834" s="1417" t="s">
        <v>4164</v>
      </c>
      <c r="C2834" s="1417" t="s">
        <v>241</v>
      </c>
      <c r="D2834" s="1418" t="s">
        <v>4241</v>
      </c>
      <c r="E2834" s="1418" t="s">
        <v>4242</v>
      </c>
      <c r="F2834" s="1419">
        <v>20.0</v>
      </c>
      <c r="G2834" s="1420">
        <v>42.0</v>
      </c>
      <c r="H2834" s="1367"/>
      <c r="I2834" s="1424" t="s">
        <v>2102</v>
      </c>
      <c r="J2834" s="1425" t="str">
        <f t="shared" si="19"/>
        <v>NULL</v>
      </c>
      <c r="K2834" s="1367"/>
      <c r="L2834" s="1367"/>
      <c r="M2834" s="1010"/>
    </row>
    <row r="2835">
      <c r="A2835" s="1417">
        <v>2023.0</v>
      </c>
      <c r="B2835" s="1417" t="s">
        <v>4164</v>
      </c>
      <c r="C2835" s="1417" t="s">
        <v>241</v>
      </c>
      <c r="D2835" s="1418" t="s">
        <v>4241</v>
      </c>
      <c r="E2835" s="1418" t="s">
        <v>4243</v>
      </c>
      <c r="F2835" s="1419">
        <v>4.0</v>
      </c>
      <c r="G2835" s="1420">
        <v>19.0</v>
      </c>
      <c r="H2835" s="1367"/>
      <c r="I2835" s="1424" t="s">
        <v>2103</v>
      </c>
      <c r="J2835" s="1425">
        <f t="shared" si="19"/>
        <v>7</v>
      </c>
      <c r="K2835" s="1367"/>
      <c r="L2835" s="1367"/>
      <c r="M2835" s="1010"/>
    </row>
    <row r="2836">
      <c r="A2836" s="1417">
        <v>2023.0</v>
      </c>
      <c r="B2836" s="1417" t="s">
        <v>4164</v>
      </c>
      <c r="C2836" s="1417" t="s">
        <v>302</v>
      </c>
      <c r="D2836" s="1418" t="s">
        <v>4241</v>
      </c>
      <c r="E2836" s="1418" t="s">
        <v>4242</v>
      </c>
      <c r="F2836" s="1419">
        <v>9.0</v>
      </c>
      <c r="G2836" s="1420">
        <v>28.0</v>
      </c>
      <c r="H2836" s="1367"/>
      <c r="I2836" s="1424" t="s">
        <v>728</v>
      </c>
      <c r="J2836" s="1425" t="str">
        <f t="shared" si="19"/>
        <v>NULL</v>
      </c>
      <c r="K2836" s="1367"/>
      <c r="L2836" s="1367"/>
      <c r="M2836" s="1010"/>
    </row>
    <row r="2837">
      <c r="A2837" s="1417">
        <v>2023.0</v>
      </c>
      <c r="B2837" s="1417" t="s">
        <v>4164</v>
      </c>
      <c r="C2837" s="1417" t="s">
        <v>1168</v>
      </c>
      <c r="D2837" s="1418" t="s">
        <v>4241</v>
      </c>
      <c r="E2837" s="1418" t="s">
        <v>4242</v>
      </c>
      <c r="F2837" s="1419">
        <v>2.0</v>
      </c>
      <c r="G2837" s="1420">
        <v>3.0</v>
      </c>
      <c r="H2837" s="1367"/>
      <c r="I2837" s="1424" t="s">
        <v>144</v>
      </c>
      <c r="J2837" s="1425">
        <f t="shared" si="19"/>
        <v>6</v>
      </c>
      <c r="K2837" s="1367"/>
      <c r="L2837" s="1367"/>
      <c r="M2837" s="1010"/>
    </row>
    <row r="2838">
      <c r="A2838" s="1417">
        <v>2023.0</v>
      </c>
      <c r="B2838" s="1417" t="s">
        <v>4164</v>
      </c>
      <c r="C2838" s="1417" t="s">
        <v>2140</v>
      </c>
      <c r="D2838" s="1418" t="s">
        <v>4241</v>
      </c>
      <c r="E2838" s="1418" t="s">
        <v>4242</v>
      </c>
      <c r="F2838" s="1419">
        <v>2.0</v>
      </c>
      <c r="G2838" s="1420">
        <v>4.0</v>
      </c>
      <c r="H2838" s="1367"/>
      <c r="I2838" s="1424" t="s">
        <v>2104</v>
      </c>
      <c r="J2838" s="1425">
        <f t="shared" si="19"/>
        <v>4</v>
      </c>
      <c r="K2838" s="1367"/>
      <c r="L2838" s="1367"/>
      <c r="M2838" s="1010"/>
    </row>
    <row r="2839">
      <c r="A2839" s="1417">
        <v>2023.0</v>
      </c>
      <c r="B2839" s="1417" t="s">
        <v>4164</v>
      </c>
      <c r="C2839" s="1417" t="s">
        <v>2140</v>
      </c>
      <c r="D2839" s="1418" t="s">
        <v>4241</v>
      </c>
      <c r="E2839" s="1418" t="s">
        <v>4243</v>
      </c>
      <c r="F2839" s="1419">
        <v>1.0</v>
      </c>
      <c r="G2839" s="1420">
        <v>6.0</v>
      </c>
      <c r="H2839" s="1367"/>
      <c r="I2839" s="1424" t="s">
        <v>2105</v>
      </c>
      <c r="J2839" s="1425">
        <f t="shared" si="19"/>
        <v>11</v>
      </c>
      <c r="K2839" s="1367"/>
      <c r="L2839" s="1367"/>
      <c r="M2839" s="1010"/>
    </row>
    <row r="2840">
      <c r="A2840" s="1417">
        <v>2023.0</v>
      </c>
      <c r="B2840" s="1417" t="s">
        <v>4164</v>
      </c>
      <c r="C2840" s="1417" t="s">
        <v>2142</v>
      </c>
      <c r="D2840" s="1418" t="s">
        <v>4241</v>
      </c>
      <c r="E2840" s="1418" t="s">
        <v>4242</v>
      </c>
      <c r="F2840" s="1419">
        <v>4.0</v>
      </c>
      <c r="G2840" s="1420">
        <v>12.0</v>
      </c>
      <c r="H2840" s="1367"/>
      <c r="I2840" s="1424" t="s">
        <v>729</v>
      </c>
      <c r="J2840" s="1425" t="str">
        <f t="shared" si="19"/>
        <v>NULL</v>
      </c>
      <c r="K2840" s="1367"/>
      <c r="L2840" s="1367"/>
      <c r="M2840" s="1010"/>
    </row>
    <row r="2841">
      <c r="A2841" s="1417">
        <v>2023.0</v>
      </c>
      <c r="B2841" s="1417" t="s">
        <v>4164</v>
      </c>
      <c r="C2841" s="1417" t="s">
        <v>2142</v>
      </c>
      <c r="D2841" s="1418" t="s">
        <v>4241</v>
      </c>
      <c r="E2841" s="1418" t="s">
        <v>4243</v>
      </c>
      <c r="F2841" s="1419">
        <v>1.0</v>
      </c>
      <c r="G2841" s="1420">
        <v>4.0</v>
      </c>
      <c r="H2841" s="1367"/>
      <c r="I2841" s="1424" t="s">
        <v>2106</v>
      </c>
      <c r="J2841" s="1425">
        <f t="shared" si="19"/>
        <v>1</v>
      </c>
      <c r="K2841" s="1367"/>
      <c r="L2841" s="1367"/>
      <c r="M2841" s="1010"/>
    </row>
    <row r="2842">
      <c r="A2842" s="1417">
        <v>2023.0</v>
      </c>
      <c r="B2842" s="1417" t="s">
        <v>4164</v>
      </c>
      <c r="C2842" s="1417" t="s">
        <v>168</v>
      </c>
      <c r="D2842" s="1418" t="s">
        <v>4241</v>
      </c>
      <c r="E2842" s="1418" t="s">
        <v>4242</v>
      </c>
      <c r="F2842" s="1419">
        <v>18.0</v>
      </c>
      <c r="G2842" s="1420">
        <v>49.0</v>
      </c>
      <c r="H2842" s="1367"/>
      <c r="I2842" s="1424" t="s">
        <v>147</v>
      </c>
      <c r="J2842" s="1425">
        <f t="shared" si="19"/>
        <v>4</v>
      </c>
      <c r="K2842" s="1367"/>
      <c r="L2842" s="1367"/>
      <c r="M2842" s="1010"/>
    </row>
    <row r="2843">
      <c r="A2843" s="1417">
        <v>2023.0</v>
      </c>
      <c r="B2843" s="1417" t="s">
        <v>4164</v>
      </c>
      <c r="C2843" s="1417" t="s">
        <v>376</v>
      </c>
      <c r="D2843" s="1418" t="s">
        <v>4241</v>
      </c>
      <c r="E2843" s="1418" t="s">
        <v>4243</v>
      </c>
      <c r="F2843" s="1419">
        <v>2.0</v>
      </c>
      <c r="G2843" s="1420">
        <v>7.0</v>
      </c>
      <c r="H2843" s="1367"/>
      <c r="I2843" s="1424" t="s">
        <v>505</v>
      </c>
      <c r="J2843" s="1425">
        <f t="shared" si="19"/>
        <v>1</v>
      </c>
      <c r="K2843" s="1367"/>
      <c r="L2843" s="1367"/>
      <c r="M2843" s="1010"/>
    </row>
    <row r="2844">
      <c r="A2844" s="1417">
        <v>2023.0</v>
      </c>
      <c r="B2844" s="1417" t="s">
        <v>4164</v>
      </c>
      <c r="C2844" s="1417" t="s">
        <v>376</v>
      </c>
      <c r="D2844" s="1418" t="s">
        <v>4241</v>
      </c>
      <c r="E2844" s="1418" t="s">
        <v>4242</v>
      </c>
      <c r="F2844" s="1419">
        <v>3.0</v>
      </c>
      <c r="G2844" s="1420">
        <v>7.0</v>
      </c>
      <c r="H2844" s="1367"/>
      <c r="I2844" s="1424" t="s">
        <v>508</v>
      </c>
      <c r="J2844" s="1425">
        <f t="shared" si="19"/>
        <v>16</v>
      </c>
      <c r="K2844" s="1367"/>
      <c r="L2844" s="1367"/>
      <c r="M2844" s="1010"/>
    </row>
    <row r="2845">
      <c r="A2845" s="1417">
        <v>2023.0</v>
      </c>
      <c r="B2845" s="1417" t="s">
        <v>4164</v>
      </c>
      <c r="C2845" s="1417" t="s">
        <v>2161</v>
      </c>
      <c r="D2845" s="1418" t="s">
        <v>4241</v>
      </c>
      <c r="E2845" s="1418" t="s">
        <v>4243</v>
      </c>
      <c r="F2845" s="1419">
        <v>2.0</v>
      </c>
      <c r="G2845" s="1420">
        <v>11.0</v>
      </c>
      <c r="H2845" s="1367"/>
      <c r="I2845" s="1424" t="s">
        <v>148</v>
      </c>
      <c r="J2845" s="1425">
        <f t="shared" si="19"/>
        <v>5</v>
      </c>
      <c r="K2845" s="1367"/>
      <c r="L2845" s="1367"/>
      <c r="M2845" s="1010"/>
    </row>
    <row r="2846">
      <c r="A2846" s="1417">
        <v>2023.0</v>
      </c>
      <c r="B2846" s="1417" t="s">
        <v>4164</v>
      </c>
      <c r="C2846" s="1417" t="s">
        <v>2161</v>
      </c>
      <c r="D2846" s="1418" t="s">
        <v>4241</v>
      </c>
      <c r="E2846" s="1418" t="s">
        <v>4242</v>
      </c>
      <c r="F2846" s="1419">
        <v>4.0</v>
      </c>
      <c r="G2846" s="1420">
        <v>12.0</v>
      </c>
      <c r="H2846" s="1367"/>
      <c r="I2846" s="1424" t="s">
        <v>2107</v>
      </c>
      <c r="J2846" s="1425">
        <f t="shared" si="19"/>
        <v>2</v>
      </c>
      <c r="K2846" s="1367"/>
      <c r="L2846" s="1367"/>
      <c r="M2846" s="1010"/>
    </row>
    <row r="2847">
      <c r="A2847" s="1417">
        <v>2023.0</v>
      </c>
      <c r="B2847" s="1417" t="s">
        <v>4172</v>
      </c>
      <c r="C2847" s="1417" t="s">
        <v>2011</v>
      </c>
      <c r="D2847" s="1418" t="s">
        <v>4241</v>
      </c>
      <c r="E2847" s="1418" t="s">
        <v>4242</v>
      </c>
      <c r="F2847" s="1419">
        <v>7.0</v>
      </c>
      <c r="G2847" s="1420">
        <v>20.0</v>
      </c>
      <c r="H2847" s="1367"/>
      <c r="I2847" s="1424" t="s">
        <v>2108</v>
      </c>
      <c r="J2847" s="1425">
        <f t="shared" si="19"/>
        <v>2</v>
      </c>
      <c r="K2847" s="1367"/>
      <c r="L2847" s="1367"/>
      <c r="M2847" s="1010"/>
    </row>
    <row r="2848">
      <c r="A2848" s="1417">
        <v>2023.0</v>
      </c>
      <c r="B2848" s="1417" t="s">
        <v>4172</v>
      </c>
      <c r="C2848" s="1417" t="s">
        <v>2021</v>
      </c>
      <c r="D2848" s="1418" t="s">
        <v>4241</v>
      </c>
      <c r="E2848" s="1418" t="s">
        <v>4242</v>
      </c>
      <c r="F2848" s="1419">
        <v>130.0</v>
      </c>
      <c r="G2848" s="1420">
        <v>389.0</v>
      </c>
      <c r="H2848" s="1367"/>
      <c r="I2848" s="1424" t="s">
        <v>2109</v>
      </c>
      <c r="J2848" s="1425">
        <f t="shared" si="19"/>
        <v>3</v>
      </c>
      <c r="K2848" s="1367"/>
      <c r="L2848" s="1367"/>
      <c r="M2848" s="1010"/>
    </row>
    <row r="2849">
      <c r="A2849" s="1417">
        <v>2023.0</v>
      </c>
      <c r="B2849" s="1417" t="s">
        <v>4172</v>
      </c>
      <c r="C2849" s="1417" t="s">
        <v>98</v>
      </c>
      <c r="D2849" s="1418" t="s">
        <v>4241</v>
      </c>
      <c r="E2849" s="1418" t="s">
        <v>4242</v>
      </c>
      <c r="F2849" s="1419">
        <v>13.0</v>
      </c>
      <c r="G2849" s="1420">
        <v>20.0</v>
      </c>
      <c r="H2849" s="1367"/>
      <c r="I2849" s="1424" t="s">
        <v>2110</v>
      </c>
      <c r="J2849" s="1425" t="str">
        <f t="shared" si="19"/>
        <v>NULL</v>
      </c>
      <c r="K2849" s="1367"/>
      <c r="L2849" s="1367"/>
      <c r="M2849" s="1010"/>
    </row>
    <row r="2850">
      <c r="A2850" s="1417">
        <v>2023.0</v>
      </c>
      <c r="B2850" s="1417" t="s">
        <v>4172</v>
      </c>
      <c r="C2850" s="1417" t="s">
        <v>36</v>
      </c>
      <c r="D2850" s="1418" t="s">
        <v>4241</v>
      </c>
      <c r="E2850" s="1418" t="s">
        <v>4242</v>
      </c>
      <c r="F2850" s="1419">
        <v>1.0</v>
      </c>
      <c r="G2850" s="1420">
        <v>0.0</v>
      </c>
      <c r="H2850" s="1367"/>
      <c r="I2850" s="1424" t="s">
        <v>2111</v>
      </c>
      <c r="J2850" s="1425">
        <f t="shared" si="19"/>
        <v>176</v>
      </c>
      <c r="K2850" s="1367"/>
      <c r="L2850" s="1367"/>
      <c r="M2850" s="1010"/>
    </row>
    <row r="2851">
      <c r="A2851" s="1417">
        <v>2023.0</v>
      </c>
      <c r="B2851" s="1417" t="s">
        <v>4172</v>
      </c>
      <c r="C2851" s="1417" t="s">
        <v>527</v>
      </c>
      <c r="D2851" s="1418" t="s">
        <v>4241</v>
      </c>
      <c r="E2851" s="1418" t="s">
        <v>4242</v>
      </c>
      <c r="F2851" s="1419">
        <v>270.0</v>
      </c>
      <c r="G2851" s="1420">
        <v>784.0</v>
      </c>
      <c r="H2851" s="1367"/>
      <c r="I2851" s="1424" t="s">
        <v>2112</v>
      </c>
      <c r="J2851" s="1425">
        <f t="shared" si="19"/>
        <v>1</v>
      </c>
      <c r="K2851" s="1367"/>
      <c r="L2851" s="1367"/>
      <c r="M2851" s="1010"/>
    </row>
    <row r="2852">
      <c r="A2852" s="1417">
        <v>2023.0</v>
      </c>
      <c r="B2852" s="1417" t="s">
        <v>4172</v>
      </c>
      <c r="C2852" s="1417" t="s">
        <v>2071</v>
      </c>
      <c r="D2852" s="1418" t="s">
        <v>4241</v>
      </c>
      <c r="E2852" s="1418" t="s">
        <v>4242</v>
      </c>
      <c r="F2852" s="1419">
        <v>83.0</v>
      </c>
      <c r="G2852" s="1420">
        <v>249.0</v>
      </c>
      <c r="H2852" s="1367"/>
      <c r="I2852" s="1424" t="s">
        <v>2113</v>
      </c>
      <c r="J2852" s="1425">
        <f t="shared" si="19"/>
        <v>7</v>
      </c>
      <c r="K2852" s="1367"/>
      <c r="L2852" s="1367"/>
      <c r="M2852" s="1010"/>
    </row>
    <row r="2853">
      <c r="A2853" s="1417">
        <v>2023.0</v>
      </c>
      <c r="B2853" s="1417" t="s">
        <v>4172</v>
      </c>
      <c r="C2853" s="1417" t="s">
        <v>218</v>
      </c>
      <c r="D2853" s="1418" t="s">
        <v>4241</v>
      </c>
      <c r="E2853" s="1418" t="s">
        <v>4242</v>
      </c>
      <c r="F2853" s="1427">
        <v>1075.0</v>
      </c>
      <c r="G2853" s="1426">
        <v>2984.0</v>
      </c>
      <c r="H2853" s="1367"/>
      <c r="I2853" s="1424" t="s">
        <v>2114</v>
      </c>
      <c r="J2853" s="1425">
        <f t="shared" si="19"/>
        <v>83</v>
      </c>
      <c r="K2853" s="1367"/>
      <c r="L2853" s="1367"/>
      <c r="M2853" s="1010"/>
    </row>
    <row r="2854">
      <c r="A2854" s="1417">
        <v>2023.0</v>
      </c>
      <c r="B2854" s="1417" t="s">
        <v>4172</v>
      </c>
      <c r="C2854" s="1417" t="s">
        <v>508</v>
      </c>
      <c r="D2854" s="1418" t="s">
        <v>4241</v>
      </c>
      <c r="E2854" s="1418" t="s">
        <v>4242</v>
      </c>
      <c r="F2854" s="1419">
        <v>16.0</v>
      </c>
      <c r="G2854" s="1420">
        <v>30.0</v>
      </c>
      <c r="H2854" s="1367"/>
      <c r="I2854" s="1424" t="s">
        <v>2115</v>
      </c>
      <c r="J2854" s="1425" t="str">
        <f t="shared" si="19"/>
        <v>NULL</v>
      </c>
      <c r="K2854" s="1367"/>
      <c r="L2854" s="1367"/>
      <c r="M2854" s="1010"/>
    </row>
    <row r="2855">
      <c r="A2855" s="1417">
        <v>2023.0</v>
      </c>
      <c r="B2855" s="1417" t="s">
        <v>4172</v>
      </c>
      <c r="C2855" s="1417" t="s">
        <v>2116</v>
      </c>
      <c r="D2855" s="1418" t="s">
        <v>4241</v>
      </c>
      <c r="E2855" s="1418" t="s">
        <v>4242</v>
      </c>
      <c r="F2855" s="1419">
        <v>6.0</v>
      </c>
      <c r="G2855" s="1420">
        <v>15.0</v>
      </c>
      <c r="H2855" s="1367"/>
      <c r="I2855" s="1424" t="s">
        <v>151</v>
      </c>
      <c r="J2855" s="1425">
        <f t="shared" si="19"/>
        <v>6</v>
      </c>
      <c r="K2855" s="1367"/>
      <c r="L2855" s="1367"/>
      <c r="M2855" s="1010"/>
    </row>
    <row r="2856">
      <c r="A2856" s="1417">
        <v>2023.0</v>
      </c>
      <c r="B2856" s="1417" t="s">
        <v>4172</v>
      </c>
      <c r="C2856" s="1417" t="s">
        <v>157</v>
      </c>
      <c r="D2856" s="1418" t="s">
        <v>4241</v>
      </c>
      <c r="E2856" s="1418" t="s">
        <v>4242</v>
      </c>
      <c r="F2856" s="1419">
        <v>185.0</v>
      </c>
      <c r="G2856" s="1420">
        <v>457.0</v>
      </c>
      <c r="H2856" s="1367"/>
      <c r="I2856" s="1424" t="s">
        <v>153</v>
      </c>
      <c r="J2856" s="1425">
        <f t="shared" si="19"/>
        <v>2</v>
      </c>
      <c r="K2856" s="1367"/>
      <c r="L2856" s="1367"/>
      <c r="M2856" s="1010"/>
    </row>
    <row r="2857">
      <c r="A2857" s="1417">
        <v>2023.0</v>
      </c>
      <c r="B2857" s="1417" t="s">
        <v>4172</v>
      </c>
      <c r="C2857" s="1417" t="s">
        <v>175</v>
      </c>
      <c r="D2857" s="1418" t="s">
        <v>4241</v>
      </c>
      <c r="E2857" s="1418" t="s">
        <v>4242</v>
      </c>
      <c r="F2857" s="1419">
        <v>11.0</v>
      </c>
      <c r="G2857" s="1420">
        <v>24.0</v>
      </c>
      <c r="H2857" s="1367"/>
      <c r="I2857" s="1424" t="s">
        <v>510</v>
      </c>
      <c r="J2857" s="1425">
        <f t="shared" si="19"/>
        <v>2</v>
      </c>
      <c r="K2857" s="1367"/>
      <c r="L2857" s="1367"/>
      <c r="M2857" s="1010"/>
    </row>
    <row r="2858">
      <c r="A2858" s="1417">
        <v>2023.0</v>
      </c>
      <c r="B2858" s="1417" t="s">
        <v>4172</v>
      </c>
      <c r="C2858" s="1417" t="s">
        <v>175</v>
      </c>
      <c r="D2858" s="1418" t="s">
        <v>4241</v>
      </c>
      <c r="E2858" s="1418" t="s">
        <v>4243</v>
      </c>
      <c r="F2858" s="1419">
        <v>1.0</v>
      </c>
      <c r="G2858" s="1420">
        <v>2.0</v>
      </c>
      <c r="H2858" s="1367"/>
      <c r="I2858" s="1424" t="s">
        <v>735</v>
      </c>
      <c r="J2858" s="1425" t="str">
        <f t="shared" si="19"/>
        <v>NULL</v>
      </c>
      <c r="K2858" s="1367"/>
      <c r="L2858" s="1367"/>
      <c r="M2858" s="1010"/>
    </row>
    <row r="2859">
      <c r="A2859" s="1417">
        <v>2023.0</v>
      </c>
      <c r="B2859" s="1417" t="s">
        <v>4172</v>
      </c>
      <c r="C2859" s="1417" t="s">
        <v>2170</v>
      </c>
      <c r="D2859" s="1418" t="s">
        <v>4241</v>
      </c>
      <c r="E2859" s="1418" t="s">
        <v>4242</v>
      </c>
      <c r="F2859" s="1419">
        <v>16.0</v>
      </c>
      <c r="G2859" s="1420">
        <v>36.0</v>
      </c>
      <c r="H2859" s="1367"/>
      <c r="I2859" s="1424" t="s">
        <v>2116</v>
      </c>
      <c r="J2859" s="1425">
        <f t="shared" si="19"/>
        <v>6</v>
      </c>
      <c r="K2859" s="1367"/>
      <c r="L2859" s="1367"/>
      <c r="M2859" s="1010"/>
    </row>
    <row r="2860">
      <c r="A2860" s="1417">
        <v>2023.0</v>
      </c>
      <c r="B2860" s="1417" t="s">
        <v>4172</v>
      </c>
      <c r="C2860" s="1417" t="s">
        <v>2173</v>
      </c>
      <c r="D2860" s="1418" t="s">
        <v>4241</v>
      </c>
      <c r="E2860" s="1418" t="s">
        <v>4242</v>
      </c>
      <c r="F2860" s="1419">
        <v>10.0</v>
      </c>
      <c r="G2860" s="1420">
        <v>19.0</v>
      </c>
      <c r="H2860" s="1367"/>
      <c r="I2860" s="1424" t="s">
        <v>2117</v>
      </c>
      <c r="J2860" s="1425">
        <f t="shared" si="19"/>
        <v>5</v>
      </c>
      <c r="K2860" s="1367"/>
      <c r="L2860" s="1367"/>
      <c r="M2860" s="1010"/>
    </row>
    <row r="2861">
      <c r="A2861" s="1417">
        <v>2023.0</v>
      </c>
      <c r="B2861" s="1417" t="s">
        <v>4173</v>
      </c>
      <c r="C2861" s="1417" t="s">
        <v>2014</v>
      </c>
      <c r="D2861" s="1418" t="s">
        <v>4241</v>
      </c>
      <c r="E2861" s="1418" t="s">
        <v>4242</v>
      </c>
      <c r="F2861" s="1419">
        <v>15.0</v>
      </c>
      <c r="G2861" s="1420">
        <v>34.0</v>
      </c>
      <c r="H2861" s="1367"/>
      <c r="I2861" s="1424" t="s">
        <v>1689</v>
      </c>
      <c r="J2861" s="1425">
        <f t="shared" si="19"/>
        <v>20</v>
      </c>
      <c r="K2861" s="1367"/>
      <c r="L2861" s="1367"/>
      <c r="M2861" s="1010"/>
    </row>
    <row r="2862">
      <c r="A2862" s="1417">
        <v>2023.0</v>
      </c>
      <c r="B2862" s="1417" t="s">
        <v>4173</v>
      </c>
      <c r="C2862" s="1417" t="s">
        <v>2014</v>
      </c>
      <c r="D2862" s="1418" t="s">
        <v>4241</v>
      </c>
      <c r="E2862" s="1418" t="s">
        <v>4243</v>
      </c>
      <c r="F2862" s="1419">
        <v>1.0</v>
      </c>
      <c r="G2862" s="1420">
        <v>2.0</v>
      </c>
      <c r="H2862" s="1367"/>
      <c r="I2862" s="1424" t="s">
        <v>737</v>
      </c>
      <c r="J2862" s="1425" t="str">
        <f t="shared" si="19"/>
        <v>NULL</v>
      </c>
      <c r="K2862" s="1367"/>
      <c r="L2862" s="1367"/>
      <c r="M2862" s="1010"/>
    </row>
    <row r="2863">
      <c r="A2863" s="1417">
        <v>2023.0</v>
      </c>
      <c r="B2863" s="1417" t="s">
        <v>4173</v>
      </c>
      <c r="C2863" s="1417" t="s">
        <v>1027</v>
      </c>
      <c r="D2863" s="1418" t="s">
        <v>4241</v>
      </c>
      <c r="E2863" s="1418" t="s">
        <v>4243</v>
      </c>
      <c r="F2863" s="1419">
        <v>19.0</v>
      </c>
      <c r="G2863" s="1420">
        <v>47.0</v>
      </c>
      <c r="H2863" s="1367"/>
      <c r="I2863" s="1424" t="s">
        <v>1273</v>
      </c>
      <c r="J2863" s="1425">
        <f t="shared" si="19"/>
        <v>39</v>
      </c>
      <c r="K2863" s="1367"/>
      <c r="L2863" s="1367"/>
      <c r="M2863" s="1010"/>
    </row>
    <row r="2864">
      <c r="A2864" s="1417">
        <v>2023.0</v>
      </c>
      <c r="B2864" s="1417" t="s">
        <v>4173</v>
      </c>
      <c r="C2864" s="1417" t="s">
        <v>1027</v>
      </c>
      <c r="D2864" s="1418" t="s">
        <v>4241</v>
      </c>
      <c r="E2864" s="1418" t="s">
        <v>4242</v>
      </c>
      <c r="F2864" s="1419">
        <v>132.0</v>
      </c>
      <c r="G2864" s="1420">
        <v>350.0</v>
      </c>
      <c r="H2864" s="1367"/>
      <c r="I2864" s="1424" t="s">
        <v>2118</v>
      </c>
      <c r="J2864" s="1425">
        <f t="shared" si="19"/>
        <v>7</v>
      </c>
      <c r="K2864" s="1367"/>
      <c r="L2864" s="1367"/>
      <c r="M2864" s="1010"/>
    </row>
    <row r="2865">
      <c r="A2865" s="1417">
        <v>2023.0</v>
      </c>
      <c r="B2865" s="1417" t="s">
        <v>4173</v>
      </c>
      <c r="C2865" s="1417" t="s">
        <v>2017</v>
      </c>
      <c r="D2865" s="1418" t="s">
        <v>4241</v>
      </c>
      <c r="E2865" s="1418" t="s">
        <v>4242</v>
      </c>
      <c r="F2865" s="1419">
        <v>1.0</v>
      </c>
      <c r="G2865" s="1420">
        <v>4.0</v>
      </c>
      <c r="H2865" s="1367"/>
      <c r="I2865" s="1424" t="s">
        <v>913</v>
      </c>
      <c r="J2865" s="1425">
        <f t="shared" si="19"/>
        <v>1</v>
      </c>
      <c r="K2865" s="1367"/>
      <c r="L2865" s="1367"/>
      <c r="M2865" s="1010"/>
    </row>
    <row r="2866">
      <c r="A2866" s="1417">
        <v>2023.0</v>
      </c>
      <c r="B2866" s="1417" t="s">
        <v>4173</v>
      </c>
      <c r="C2866" s="1417" t="s">
        <v>2019</v>
      </c>
      <c r="D2866" s="1418" t="s">
        <v>4241</v>
      </c>
      <c r="E2866" s="1418" t="s">
        <v>4242</v>
      </c>
      <c r="F2866" s="1419">
        <v>3.0</v>
      </c>
      <c r="G2866" s="1420">
        <v>6.0</v>
      </c>
      <c r="H2866" s="1367"/>
      <c r="I2866" s="1424" t="s">
        <v>610</v>
      </c>
      <c r="J2866" s="1425">
        <f t="shared" si="19"/>
        <v>2</v>
      </c>
      <c r="K2866" s="1367"/>
      <c r="L2866" s="1367"/>
      <c r="M2866" s="1010"/>
    </row>
    <row r="2867">
      <c r="A2867" s="1417">
        <v>2023.0</v>
      </c>
      <c r="B2867" s="1417" t="s">
        <v>4173</v>
      </c>
      <c r="C2867" s="1417" t="s">
        <v>2022</v>
      </c>
      <c r="D2867" s="1418" t="s">
        <v>4241</v>
      </c>
      <c r="E2867" s="1418" t="s">
        <v>4243</v>
      </c>
      <c r="F2867" s="1419">
        <v>3.0</v>
      </c>
      <c r="G2867" s="1420">
        <v>8.0</v>
      </c>
      <c r="H2867" s="1367"/>
      <c r="I2867" s="1424" t="s">
        <v>2119</v>
      </c>
      <c r="J2867" s="1425">
        <f t="shared" si="19"/>
        <v>11</v>
      </c>
      <c r="K2867" s="1367"/>
      <c r="L2867" s="1367"/>
      <c r="M2867" s="1010"/>
    </row>
    <row r="2868">
      <c r="A2868" s="1417">
        <v>2023.0</v>
      </c>
      <c r="B2868" s="1417" t="s">
        <v>4173</v>
      </c>
      <c r="C2868" s="1417" t="s">
        <v>2022</v>
      </c>
      <c r="D2868" s="1418" t="s">
        <v>4241</v>
      </c>
      <c r="E2868" s="1418" t="s">
        <v>4242</v>
      </c>
      <c r="F2868" s="1419">
        <v>67.0</v>
      </c>
      <c r="G2868" s="1420">
        <v>163.0</v>
      </c>
      <c r="H2868" s="1367"/>
      <c r="I2868" s="1424" t="s">
        <v>157</v>
      </c>
      <c r="J2868" s="1425">
        <f t="shared" si="19"/>
        <v>185</v>
      </c>
      <c r="K2868" s="1367"/>
      <c r="L2868" s="1367"/>
      <c r="M2868" s="1010"/>
    </row>
    <row r="2869">
      <c r="A2869" s="1417">
        <v>2023.0</v>
      </c>
      <c r="B2869" s="1417" t="s">
        <v>4173</v>
      </c>
      <c r="C2869" s="1417" t="s">
        <v>2027</v>
      </c>
      <c r="D2869" s="1418" t="s">
        <v>4241</v>
      </c>
      <c r="E2869" s="1418" t="s">
        <v>4242</v>
      </c>
      <c r="F2869" s="1419">
        <v>4.0</v>
      </c>
      <c r="G2869" s="1420">
        <v>9.0</v>
      </c>
      <c r="H2869" s="1367"/>
      <c r="I2869" s="1424" t="s">
        <v>1615</v>
      </c>
      <c r="J2869" s="1425">
        <f t="shared" si="19"/>
        <v>3</v>
      </c>
      <c r="K2869" s="1367"/>
      <c r="L2869" s="1367"/>
      <c r="M2869" s="1010"/>
    </row>
    <row r="2870">
      <c r="A2870" s="1417">
        <v>2023.0</v>
      </c>
      <c r="B2870" s="1417" t="s">
        <v>4173</v>
      </c>
      <c r="C2870" s="1417" t="s">
        <v>2028</v>
      </c>
      <c r="D2870" s="1418" t="s">
        <v>4241</v>
      </c>
      <c r="E2870" s="1418" t="s">
        <v>4242</v>
      </c>
      <c r="F2870" s="1419">
        <v>19.0</v>
      </c>
      <c r="G2870" s="1420">
        <v>41.0</v>
      </c>
      <c r="H2870" s="1367"/>
      <c r="I2870" s="1424" t="s">
        <v>990</v>
      </c>
      <c r="J2870" s="1425">
        <f t="shared" si="19"/>
        <v>3</v>
      </c>
      <c r="K2870" s="1367"/>
      <c r="L2870" s="1367"/>
      <c r="M2870" s="1010"/>
    </row>
    <row r="2871">
      <c r="A2871" s="1417">
        <v>2023.0</v>
      </c>
      <c r="B2871" s="1417" t="s">
        <v>4173</v>
      </c>
      <c r="C2871" s="1417" t="s">
        <v>1034</v>
      </c>
      <c r="D2871" s="1418" t="s">
        <v>4241</v>
      </c>
      <c r="E2871" s="1418" t="s">
        <v>4242</v>
      </c>
      <c r="F2871" s="1419">
        <v>13.0</v>
      </c>
      <c r="G2871" s="1420">
        <v>33.0</v>
      </c>
      <c r="H2871" s="1367"/>
      <c r="I2871" s="1424" t="s">
        <v>2120</v>
      </c>
      <c r="J2871" s="1425" t="str">
        <f t="shared" si="19"/>
        <v>NULL</v>
      </c>
      <c r="K2871" s="1367"/>
      <c r="L2871" s="1367"/>
      <c r="M2871" s="1010"/>
    </row>
    <row r="2872">
      <c r="A2872" s="1417">
        <v>2023.0</v>
      </c>
      <c r="B2872" s="1417" t="s">
        <v>4173</v>
      </c>
      <c r="C2872" s="1417" t="s">
        <v>2043</v>
      </c>
      <c r="D2872" s="1418" t="s">
        <v>4241</v>
      </c>
      <c r="E2872" s="1418" t="s">
        <v>4243</v>
      </c>
      <c r="F2872" s="1419">
        <v>1.0</v>
      </c>
      <c r="G2872" s="1420">
        <v>2.0</v>
      </c>
      <c r="H2872" s="1367"/>
      <c r="I2872" s="1424" t="s">
        <v>2121</v>
      </c>
      <c r="J2872" s="1425">
        <f t="shared" si="19"/>
        <v>28</v>
      </c>
      <c r="K2872" s="1367"/>
      <c r="L2872" s="1367"/>
      <c r="M2872" s="1010"/>
    </row>
    <row r="2873">
      <c r="A2873" s="1417">
        <v>2023.0</v>
      </c>
      <c r="B2873" s="1417" t="s">
        <v>4173</v>
      </c>
      <c r="C2873" s="1417" t="s">
        <v>2043</v>
      </c>
      <c r="D2873" s="1418" t="s">
        <v>4241</v>
      </c>
      <c r="E2873" s="1418" t="s">
        <v>4242</v>
      </c>
      <c r="F2873" s="1419">
        <v>20.0</v>
      </c>
      <c r="G2873" s="1420">
        <v>63.0</v>
      </c>
      <c r="H2873" s="1367"/>
      <c r="I2873" s="1424" t="s">
        <v>2122</v>
      </c>
      <c r="J2873" s="1425">
        <f t="shared" si="19"/>
        <v>17</v>
      </c>
      <c r="K2873" s="1367"/>
      <c r="L2873" s="1367"/>
      <c r="M2873" s="1010"/>
    </row>
    <row r="2874">
      <c r="A2874" s="1417">
        <v>2023.0</v>
      </c>
      <c r="B2874" s="1417" t="s">
        <v>4173</v>
      </c>
      <c r="C2874" s="1417" t="s">
        <v>2065</v>
      </c>
      <c r="D2874" s="1418" t="s">
        <v>4241</v>
      </c>
      <c r="E2874" s="1418" t="s">
        <v>4242</v>
      </c>
      <c r="F2874" s="1419">
        <v>6.0</v>
      </c>
      <c r="G2874" s="1420">
        <v>15.0</v>
      </c>
      <c r="H2874" s="1367"/>
      <c r="I2874" s="1424" t="s">
        <v>297</v>
      </c>
      <c r="J2874" s="1425">
        <f t="shared" si="19"/>
        <v>2</v>
      </c>
      <c r="K2874" s="1367"/>
      <c r="L2874" s="1367"/>
      <c r="M2874" s="1010"/>
    </row>
    <row r="2875">
      <c r="A2875" s="1417">
        <v>2023.0</v>
      </c>
      <c r="B2875" s="1417" t="s">
        <v>4173</v>
      </c>
      <c r="C2875" s="1417" t="s">
        <v>135</v>
      </c>
      <c r="D2875" s="1418" t="s">
        <v>4241</v>
      </c>
      <c r="E2875" s="1418" t="s">
        <v>4242</v>
      </c>
      <c r="F2875" s="1419">
        <v>4.0</v>
      </c>
      <c r="G2875" s="1420">
        <v>5.0</v>
      </c>
      <c r="H2875" s="1367"/>
      <c r="I2875" s="1424" t="s">
        <v>2123</v>
      </c>
      <c r="J2875" s="1425">
        <f t="shared" si="19"/>
        <v>2</v>
      </c>
      <c r="K2875" s="1367"/>
      <c r="L2875" s="1367"/>
      <c r="M2875" s="1010"/>
    </row>
    <row r="2876">
      <c r="A2876" s="1417">
        <v>2023.0</v>
      </c>
      <c r="B2876" s="1417" t="s">
        <v>4173</v>
      </c>
      <c r="C2876" s="1417" t="s">
        <v>135</v>
      </c>
      <c r="D2876" s="1418" t="s">
        <v>4241</v>
      </c>
      <c r="E2876" s="1418" t="s">
        <v>4243</v>
      </c>
      <c r="F2876" s="1419">
        <v>1.0</v>
      </c>
      <c r="G2876" s="1420">
        <v>1.0</v>
      </c>
      <c r="H2876" s="1367"/>
      <c r="I2876" s="1424" t="s">
        <v>2124</v>
      </c>
      <c r="J2876" s="1425">
        <f t="shared" si="19"/>
        <v>105</v>
      </c>
      <c r="K2876" s="1367"/>
      <c r="L2876" s="1367"/>
      <c r="M2876" s="1010"/>
    </row>
    <row r="2877">
      <c r="A2877" s="1417">
        <v>2023.0</v>
      </c>
      <c r="B2877" s="1417" t="s">
        <v>4173</v>
      </c>
      <c r="C2877" s="1417" t="s">
        <v>2068</v>
      </c>
      <c r="D2877" s="1418" t="s">
        <v>4241</v>
      </c>
      <c r="E2877" s="1418" t="s">
        <v>4242</v>
      </c>
      <c r="F2877" s="1419">
        <v>1.0</v>
      </c>
      <c r="G2877" s="1420">
        <v>3.0</v>
      </c>
      <c r="H2877" s="1367"/>
      <c r="I2877" s="1424" t="s">
        <v>2125</v>
      </c>
      <c r="J2877" s="1425">
        <f t="shared" si="19"/>
        <v>1</v>
      </c>
      <c r="K2877" s="1367"/>
      <c r="L2877" s="1367"/>
      <c r="M2877" s="1010"/>
    </row>
    <row r="2878">
      <c r="A2878" s="1417">
        <v>2023.0</v>
      </c>
      <c r="B2878" s="1417" t="s">
        <v>4173</v>
      </c>
      <c r="C2878" s="1417" t="s">
        <v>2079</v>
      </c>
      <c r="D2878" s="1418" t="s">
        <v>4241</v>
      </c>
      <c r="E2878" s="1418" t="s">
        <v>4242</v>
      </c>
      <c r="F2878" s="1419">
        <v>6.0</v>
      </c>
      <c r="G2878" s="1420">
        <v>10.0</v>
      </c>
      <c r="H2878" s="1367"/>
      <c r="I2878" s="1424" t="s">
        <v>1127</v>
      </c>
      <c r="J2878" s="1425">
        <f t="shared" si="19"/>
        <v>1</v>
      </c>
      <c r="K2878" s="1367"/>
      <c r="L2878" s="1367"/>
      <c r="M2878" s="1010"/>
    </row>
    <row r="2879">
      <c r="A2879" s="1417">
        <v>2023.0</v>
      </c>
      <c r="B2879" s="1417" t="s">
        <v>4173</v>
      </c>
      <c r="C2879" s="1417" t="s">
        <v>497</v>
      </c>
      <c r="D2879" s="1418" t="s">
        <v>4241</v>
      </c>
      <c r="E2879" s="1418" t="s">
        <v>4243</v>
      </c>
      <c r="F2879" s="1419">
        <v>1.0</v>
      </c>
      <c r="G2879" s="1420">
        <v>2.0</v>
      </c>
      <c r="H2879" s="1367"/>
      <c r="I2879" s="1424" t="s">
        <v>241</v>
      </c>
      <c r="J2879" s="1425">
        <f t="shared" si="19"/>
        <v>24</v>
      </c>
      <c r="K2879" s="1367"/>
      <c r="L2879" s="1367"/>
      <c r="M2879" s="1010"/>
    </row>
    <row r="2880">
      <c r="A2880" s="1417">
        <v>2023.0</v>
      </c>
      <c r="B2880" s="1417" t="s">
        <v>4173</v>
      </c>
      <c r="C2880" s="1417" t="s">
        <v>497</v>
      </c>
      <c r="D2880" s="1428" t="s">
        <v>4241</v>
      </c>
      <c r="E2880" s="1428" t="s">
        <v>4242</v>
      </c>
      <c r="F2880" s="1428">
        <v>1.0</v>
      </c>
      <c r="G2880" s="1420">
        <v>2.0</v>
      </c>
      <c r="H2880" s="1367"/>
      <c r="I2880" s="1424" t="s">
        <v>2126</v>
      </c>
      <c r="J2880" s="1425">
        <f t="shared" si="19"/>
        <v>7</v>
      </c>
      <c r="K2880" s="1367"/>
      <c r="L2880" s="1367"/>
      <c r="M2880" s="1010"/>
    </row>
    <row r="2881">
      <c r="A2881" s="1417">
        <v>2023.0</v>
      </c>
      <c r="B2881" s="1417" t="s">
        <v>4173</v>
      </c>
      <c r="C2881" s="1417" t="s">
        <v>2083</v>
      </c>
      <c r="D2881" s="1428" t="s">
        <v>4241</v>
      </c>
      <c r="E2881" s="1428" t="s">
        <v>4242</v>
      </c>
      <c r="F2881" s="1428">
        <v>73.0</v>
      </c>
      <c r="G2881" s="1420">
        <v>185.0</v>
      </c>
      <c r="H2881" s="1367"/>
      <c r="I2881" s="1424" t="s">
        <v>1377</v>
      </c>
      <c r="J2881" s="1425">
        <f t="shared" si="19"/>
        <v>4</v>
      </c>
      <c r="K2881" s="1367"/>
      <c r="L2881" s="1367"/>
      <c r="M2881" s="1010"/>
    </row>
    <row r="2882">
      <c r="A2882" s="1417">
        <v>2023.0</v>
      </c>
      <c r="B2882" s="1417" t="s">
        <v>4173</v>
      </c>
      <c r="C2882" s="1417" t="s">
        <v>2083</v>
      </c>
      <c r="D2882" s="1428" t="s">
        <v>4241</v>
      </c>
      <c r="E2882" s="1428" t="s">
        <v>4243</v>
      </c>
      <c r="F2882" s="1428">
        <v>4.0</v>
      </c>
      <c r="G2882" s="1420">
        <v>8.0</v>
      </c>
      <c r="H2882" s="1367"/>
      <c r="I2882" s="1424" t="s">
        <v>2127</v>
      </c>
      <c r="J2882" s="1425">
        <f t="shared" si="19"/>
        <v>49</v>
      </c>
      <c r="K2882" s="1367"/>
      <c r="L2882" s="1367"/>
      <c r="M2882" s="1010"/>
    </row>
    <row r="2883">
      <c r="A2883" s="1417">
        <v>2023.0</v>
      </c>
      <c r="B2883" s="1417" t="s">
        <v>4173</v>
      </c>
      <c r="C2883" s="1417" t="s">
        <v>1445</v>
      </c>
      <c r="D2883" s="1428" t="s">
        <v>4241</v>
      </c>
      <c r="E2883" s="1428" t="s">
        <v>4242</v>
      </c>
      <c r="F2883" s="1428">
        <v>11.0</v>
      </c>
      <c r="G2883" s="1420">
        <v>48.0</v>
      </c>
      <c r="H2883" s="1367"/>
      <c r="I2883" s="1424" t="s">
        <v>2128</v>
      </c>
      <c r="J2883" s="1425">
        <f t="shared" si="19"/>
        <v>1</v>
      </c>
      <c r="K2883" s="1367"/>
      <c r="L2883" s="1367"/>
      <c r="M2883" s="1010"/>
    </row>
    <row r="2884">
      <c r="A2884" s="1417">
        <v>2023.0</v>
      </c>
      <c r="B2884" s="1417" t="s">
        <v>4173</v>
      </c>
      <c r="C2884" s="1417" t="s">
        <v>1445</v>
      </c>
      <c r="D2884" s="1428" t="s">
        <v>4241</v>
      </c>
      <c r="E2884" s="1428" t="s">
        <v>4243</v>
      </c>
      <c r="F2884" s="1428">
        <v>1.0</v>
      </c>
      <c r="G2884" s="1420">
        <v>2.0</v>
      </c>
      <c r="H2884" s="1367"/>
      <c r="I2884" s="1424" t="s">
        <v>2129</v>
      </c>
      <c r="J2884" s="1425">
        <f t="shared" si="19"/>
        <v>2</v>
      </c>
      <c r="K2884" s="1367"/>
      <c r="L2884" s="1367"/>
      <c r="M2884" s="1010"/>
    </row>
    <row r="2885">
      <c r="A2885" s="1417">
        <v>2023.0</v>
      </c>
      <c r="B2885" s="1417" t="s">
        <v>4173</v>
      </c>
      <c r="C2885" s="1417" t="s">
        <v>2105</v>
      </c>
      <c r="D2885" s="1428" t="s">
        <v>4241</v>
      </c>
      <c r="E2885" s="1428" t="s">
        <v>4242</v>
      </c>
      <c r="F2885" s="1428">
        <v>11.0</v>
      </c>
      <c r="G2885" s="1420">
        <v>26.0</v>
      </c>
      <c r="H2885" s="1367"/>
      <c r="I2885" s="1424" t="s">
        <v>302</v>
      </c>
      <c r="J2885" s="1425">
        <f t="shared" si="19"/>
        <v>9</v>
      </c>
      <c r="K2885" s="1367"/>
      <c r="L2885" s="1367"/>
      <c r="M2885" s="1010"/>
    </row>
    <row r="2886">
      <c r="A2886" s="1417">
        <v>2023.0</v>
      </c>
      <c r="B2886" s="1417" t="s">
        <v>4173</v>
      </c>
      <c r="C2886" s="1417" t="s">
        <v>147</v>
      </c>
      <c r="D2886" s="1428" t="s">
        <v>4241</v>
      </c>
      <c r="E2886" s="1428" t="s">
        <v>4243</v>
      </c>
      <c r="F2886" s="1428">
        <v>1.0</v>
      </c>
      <c r="G2886" s="1420">
        <v>3.0</v>
      </c>
      <c r="H2886" s="1367"/>
      <c r="I2886" s="1424" t="s">
        <v>1805</v>
      </c>
      <c r="J2886" s="1425">
        <f t="shared" si="19"/>
        <v>34</v>
      </c>
      <c r="K2886" s="1367"/>
      <c r="L2886" s="1367"/>
      <c r="M2886" s="1010"/>
    </row>
    <row r="2887">
      <c r="A2887" s="1417">
        <v>2023.0</v>
      </c>
      <c r="B2887" s="1417" t="s">
        <v>4173</v>
      </c>
      <c r="C2887" s="1417" t="s">
        <v>147</v>
      </c>
      <c r="D2887" s="1428" t="s">
        <v>4241</v>
      </c>
      <c r="E2887" s="1428" t="s">
        <v>4242</v>
      </c>
      <c r="F2887" s="1428">
        <v>3.0</v>
      </c>
      <c r="G2887" s="1420">
        <v>3.0</v>
      </c>
      <c r="H2887" s="1367"/>
      <c r="I2887" s="1424" t="s">
        <v>2130</v>
      </c>
      <c r="J2887" s="1425" t="str">
        <f t="shared" si="19"/>
        <v>NULL</v>
      </c>
      <c r="K2887" s="1367"/>
      <c r="L2887" s="1367"/>
      <c r="M2887" s="1010"/>
    </row>
    <row r="2888">
      <c r="A2888" s="1417">
        <v>2023.0</v>
      </c>
      <c r="B2888" s="1417" t="s">
        <v>4173</v>
      </c>
      <c r="C2888" s="1417" t="s">
        <v>505</v>
      </c>
      <c r="D2888" s="1428" t="s">
        <v>4241</v>
      </c>
      <c r="E2888" s="1428" t="s">
        <v>4242</v>
      </c>
      <c r="F2888" s="1428">
        <v>1.0</v>
      </c>
      <c r="G2888" s="1420">
        <v>1.0</v>
      </c>
      <c r="H2888" s="1367"/>
      <c r="I2888" s="1424" t="s">
        <v>2131</v>
      </c>
      <c r="J2888" s="1425">
        <f t="shared" si="19"/>
        <v>4</v>
      </c>
      <c r="K2888" s="1367"/>
      <c r="L2888" s="1367"/>
      <c r="M2888" s="1010"/>
    </row>
    <row r="2889">
      <c r="A2889" s="1417">
        <v>2023.0</v>
      </c>
      <c r="B2889" s="1417" t="s">
        <v>4173</v>
      </c>
      <c r="C2889" s="1417" t="s">
        <v>148</v>
      </c>
      <c r="D2889" s="1428" t="s">
        <v>4241</v>
      </c>
      <c r="E2889" s="1428" t="s">
        <v>4242</v>
      </c>
      <c r="F2889" s="1428">
        <v>5.0</v>
      </c>
      <c r="G2889" s="1420">
        <v>14.0</v>
      </c>
      <c r="H2889" s="1367"/>
      <c r="I2889" s="1424" t="s">
        <v>2132</v>
      </c>
      <c r="J2889" s="1425">
        <f t="shared" si="19"/>
        <v>64</v>
      </c>
      <c r="K2889" s="1367"/>
      <c r="L2889" s="1367"/>
      <c r="M2889" s="1010"/>
    </row>
    <row r="2890">
      <c r="A2890" s="1417">
        <v>2023.0</v>
      </c>
      <c r="B2890" s="1417" t="s">
        <v>4173</v>
      </c>
      <c r="C2890" s="1417" t="s">
        <v>2109</v>
      </c>
      <c r="D2890" s="1428" t="s">
        <v>4241</v>
      </c>
      <c r="E2890" s="1428" t="s">
        <v>4242</v>
      </c>
      <c r="F2890" s="1428">
        <v>3.0</v>
      </c>
      <c r="G2890" s="1420">
        <v>6.0</v>
      </c>
      <c r="H2890" s="1367"/>
      <c r="I2890" s="1424" t="s">
        <v>2133</v>
      </c>
      <c r="J2890" s="1425">
        <f t="shared" si="19"/>
        <v>1</v>
      </c>
      <c r="K2890" s="1367"/>
      <c r="L2890" s="1367"/>
      <c r="M2890" s="1010"/>
    </row>
    <row r="2891">
      <c r="A2891" s="1417">
        <v>2023.0</v>
      </c>
      <c r="B2891" s="1417" t="s">
        <v>4173</v>
      </c>
      <c r="C2891" s="1417" t="s">
        <v>151</v>
      </c>
      <c r="D2891" s="1428" t="s">
        <v>4241</v>
      </c>
      <c r="E2891" s="1428" t="s">
        <v>4242</v>
      </c>
      <c r="F2891" s="1428">
        <v>6.0</v>
      </c>
      <c r="G2891" s="1420">
        <v>13.0</v>
      </c>
      <c r="H2891" s="1367"/>
      <c r="I2891" s="1424" t="s">
        <v>2134</v>
      </c>
      <c r="J2891" s="1425" t="str">
        <f t="shared" si="19"/>
        <v>NULL</v>
      </c>
      <c r="K2891" s="1367"/>
      <c r="L2891" s="1367"/>
      <c r="M2891" s="1010"/>
    </row>
    <row r="2892">
      <c r="A2892" s="1417">
        <v>2023.0</v>
      </c>
      <c r="B2892" s="1417" t="s">
        <v>4173</v>
      </c>
      <c r="C2892" s="1417" t="s">
        <v>2114</v>
      </c>
      <c r="D2892" s="1428" t="s">
        <v>4241</v>
      </c>
      <c r="E2892" s="1428" t="s">
        <v>4243</v>
      </c>
      <c r="F2892" s="1428">
        <v>2.0</v>
      </c>
      <c r="G2892" s="1420">
        <v>3.0</v>
      </c>
      <c r="H2892" s="1367"/>
      <c r="I2892" s="1424" t="s">
        <v>1167</v>
      </c>
      <c r="J2892" s="1425">
        <f t="shared" si="19"/>
        <v>2</v>
      </c>
      <c r="K2892" s="1367"/>
      <c r="L2892" s="1367"/>
      <c r="M2892" s="1010"/>
    </row>
    <row r="2893">
      <c r="A2893" s="1417">
        <v>2023.0</v>
      </c>
      <c r="B2893" s="1417" t="s">
        <v>4173</v>
      </c>
      <c r="C2893" s="1417" t="s">
        <v>2114</v>
      </c>
      <c r="D2893" s="1428" t="s">
        <v>4241</v>
      </c>
      <c r="E2893" s="1428" t="s">
        <v>4242</v>
      </c>
      <c r="F2893" s="1428">
        <v>81.0</v>
      </c>
      <c r="G2893" s="1420">
        <v>160.0</v>
      </c>
      <c r="H2893" s="1367"/>
      <c r="I2893" s="1424" t="s">
        <v>2135</v>
      </c>
      <c r="J2893" s="1425" t="str">
        <f t="shared" si="19"/>
        <v>NULL</v>
      </c>
      <c r="K2893" s="1367"/>
      <c r="L2893" s="1367"/>
      <c r="M2893" s="1010"/>
    </row>
    <row r="2894">
      <c r="A2894" s="1417">
        <v>2023.0</v>
      </c>
      <c r="B2894" s="1417" t="s">
        <v>4173</v>
      </c>
      <c r="C2894" s="1417" t="s">
        <v>2118</v>
      </c>
      <c r="D2894" s="1428" t="s">
        <v>4241</v>
      </c>
      <c r="E2894" s="1428" t="s">
        <v>4242</v>
      </c>
      <c r="F2894" s="1428">
        <v>7.0</v>
      </c>
      <c r="G2894" s="1420">
        <v>11.0</v>
      </c>
      <c r="H2894" s="1367"/>
      <c r="I2894" s="1424" t="s">
        <v>2136</v>
      </c>
      <c r="J2894" s="1425">
        <f t="shared" si="19"/>
        <v>1</v>
      </c>
      <c r="K2894" s="1367"/>
      <c r="L2894" s="1367"/>
      <c r="M2894" s="1010"/>
    </row>
    <row r="2895">
      <c r="A2895" s="1417">
        <v>2023.0</v>
      </c>
      <c r="B2895" s="1417" t="s">
        <v>4173</v>
      </c>
      <c r="C2895" s="1417" t="s">
        <v>913</v>
      </c>
      <c r="D2895" s="1428" t="s">
        <v>4241</v>
      </c>
      <c r="E2895" s="1428" t="s">
        <v>4242</v>
      </c>
      <c r="F2895" s="1428">
        <v>1.0</v>
      </c>
      <c r="G2895" s="1420">
        <v>3.0</v>
      </c>
      <c r="H2895" s="1367"/>
      <c r="I2895" s="1424" t="s">
        <v>1879</v>
      </c>
      <c r="J2895" s="1425">
        <f t="shared" si="19"/>
        <v>1</v>
      </c>
      <c r="K2895" s="1367"/>
      <c r="L2895" s="1367"/>
      <c r="M2895" s="1010"/>
    </row>
    <row r="2896">
      <c r="A2896" s="1417">
        <v>2023.0</v>
      </c>
      <c r="B2896" s="1417" t="s">
        <v>4173</v>
      </c>
      <c r="C2896" s="1417" t="s">
        <v>1131</v>
      </c>
      <c r="D2896" s="1428" t="s">
        <v>4241</v>
      </c>
      <c r="E2896" s="1428" t="s">
        <v>4242</v>
      </c>
      <c r="F2896" s="1428">
        <v>2.0</v>
      </c>
      <c r="G2896" s="1420">
        <v>2.0</v>
      </c>
      <c r="H2896" s="1367"/>
      <c r="I2896" s="1424" t="s">
        <v>1131</v>
      </c>
      <c r="J2896" s="1425">
        <f t="shared" si="19"/>
        <v>2</v>
      </c>
      <c r="K2896" s="1367"/>
      <c r="L2896" s="1367"/>
      <c r="M2896" s="1010"/>
    </row>
    <row r="2897">
      <c r="A2897" s="1417">
        <v>2023.0</v>
      </c>
      <c r="B2897" s="1417" t="s">
        <v>4173</v>
      </c>
      <c r="C2897" s="1417" t="s">
        <v>2144</v>
      </c>
      <c r="D2897" s="1428" t="s">
        <v>4241</v>
      </c>
      <c r="E2897" s="1428" t="s">
        <v>4242</v>
      </c>
      <c r="F2897" s="1428">
        <v>3.0</v>
      </c>
      <c r="G2897" s="1420">
        <v>7.0</v>
      </c>
      <c r="H2897" s="1367"/>
      <c r="I2897" s="1424" t="s">
        <v>2137</v>
      </c>
      <c r="J2897" s="1425">
        <f t="shared" si="19"/>
        <v>49</v>
      </c>
      <c r="K2897" s="1367"/>
      <c r="L2897" s="1367"/>
      <c r="M2897" s="1010"/>
    </row>
    <row r="2898">
      <c r="A2898" s="1417">
        <v>2023.0</v>
      </c>
      <c r="B2898" s="1417" t="s">
        <v>4173</v>
      </c>
      <c r="C2898" s="1417" t="s">
        <v>355</v>
      </c>
      <c r="D2898" s="1428" t="s">
        <v>4241</v>
      </c>
      <c r="E2898" s="1428" t="s">
        <v>4243</v>
      </c>
      <c r="F2898" s="1428">
        <v>5.0</v>
      </c>
      <c r="G2898" s="1420">
        <v>9.0</v>
      </c>
      <c r="H2898" s="1367"/>
      <c r="I2898" s="1424" t="s">
        <v>2138</v>
      </c>
      <c r="J2898" s="1425">
        <f t="shared" si="19"/>
        <v>5</v>
      </c>
      <c r="K2898" s="1367"/>
      <c r="L2898" s="1367"/>
      <c r="M2898" s="1010"/>
    </row>
    <row r="2899">
      <c r="A2899" s="1417">
        <v>2023.0</v>
      </c>
      <c r="B2899" s="1417" t="s">
        <v>4173</v>
      </c>
      <c r="C2899" s="1417" t="s">
        <v>355</v>
      </c>
      <c r="D2899" s="1428" t="s">
        <v>4241</v>
      </c>
      <c r="E2899" s="1428" t="s">
        <v>4242</v>
      </c>
      <c r="F2899" s="1428">
        <v>215.0</v>
      </c>
      <c r="G2899" s="1420">
        <v>475.0</v>
      </c>
      <c r="H2899" s="1367"/>
      <c r="I2899" s="1424" t="s">
        <v>2139</v>
      </c>
      <c r="J2899" s="1425">
        <f t="shared" si="19"/>
        <v>20</v>
      </c>
      <c r="K2899" s="1367"/>
      <c r="L2899" s="1367"/>
      <c r="M2899" s="1010"/>
    </row>
    <row r="2900">
      <c r="A2900" s="1417">
        <v>2023.0</v>
      </c>
      <c r="B2900" s="1417" t="s">
        <v>4173</v>
      </c>
      <c r="C2900" s="1417" t="s">
        <v>119</v>
      </c>
      <c r="D2900" s="1428" t="s">
        <v>4241</v>
      </c>
      <c r="E2900" s="1428" t="s">
        <v>4242</v>
      </c>
      <c r="F2900" s="1428">
        <v>8.0</v>
      </c>
      <c r="G2900" s="1420">
        <v>17.0</v>
      </c>
      <c r="H2900" s="1367"/>
      <c r="I2900" s="1424" t="s">
        <v>1168</v>
      </c>
      <c r="J2900" s="1425">
        <f t="shared" si="19"/>
        <v>2</v>
      </c>
      <c r="K2900" s="1367"/>
      <c r="L2900" s="1367"/>
      <c r="M2900" s="1010"/>
    </row>
    <row r="2901">
      <c r="A2901" s="1417">
        <v>2023.0</v>
      </c>
      <c r="B2901" s="1417" t="s">
        <v>4173</v>
      </c>
      <c r="C2901" s="1417" t="s">
        <v>119</v>
      </c>
      <c r="D2901" s="1428" t="s">
        <v>4241</v>
      </c>
      <c r="E2901" s="1428" t="s">
        <v>4243</v>
      </c>
      <c r="F2901" s="1428">
        <v>1.0</v>
      </c>
      <c r="G2901" s="1420">
        <v>4.0</v>
      </c>
      <c r="H2901" s="1367"/>
      <c r="I2901" s="1424" t="s">
        <v>2140</v>
      </c>
      <c r="J2901" s="1425">
        <f t="shared" si="19"/>
        <v>3</v>
      </c>
      <c r="K2901" s="1367"/>
      <c r="L2901" s="1367"/>
      <c r="M2901" s="1010"/>
    </row>
    <row r="2902">
      <c r="A2902" s="1417">
        <v>2023.0</v>
      </c>
      <c r="B2902" s="1417" t="s">
        <v>4173</v>
      </c>
      <c r="C2902" s="1417" t="s">
        <v>627</v>
      </c>
      <c r="D2902" s="1428" t="s">
        <v>4241</v>
      </c>
      <c r="E2902" s="1428" t="s">
        <v>4243</v>
      </c>
      <c r="F2902" s="1428">
        <v>8.0</v>
      </c>
      <c r="G2902" s="1420">
        <v>17.0</v>
      </c>
      <c r="H2902" s="1367"/>
      <c r="I2902" s="1424" t="s">
        <v>2142</v>
      </c>
      <c r="J2902" s="1425">
        <f t="shared" si="19"/>
        <v>5</v>
      </c>
      <c r="K2902" s="1367"/>
      <c r="L2902" s="1367"/>
      <c r="M2902" s="1010"/>
    </row>
    <row r="2903">
      <c r="A2903" s="1417">
        <v>2023.0</v>
      </c>
      <c r="B2903" s="1417" t="s">
        <v>4173</v>
      </c>
      <c r="C2903" s="1417" t="s">
        <v>627</v>
      </c>
      <c r="D2903" s="1428" t="s">
        <v>4241</v>
      </c>
      <c r="E2903" s="1428" t="s">
        <v>4242</v>
      </c>
      <c r="F2903" s="1428">
        <v>170.0</v>
      </c>
      <c r="G2903" s="1420">
        <v>379.0</v>
      </c>
      <c r="H2903" s="1367"/>
      <c r="I2903" s="1424" t="s">
        <v>2143</v>
      </c>
      <c r="J2903" s="1425">
        <f t="shared" si="19"/>
        <v>21</v>
      </c>
      <c r="K2903" s="1367"/>
      <c r="L2903" s="1367"/>
      <c r="M2903" s="1010"/>
    </row>
    <row r="2904">
      <c r="A2904" s="1417">
        <v>2023.0</v>
      </c>
      <c r="B2904" s="1417" t="s">
        <v>4171</v>
      </c>
      <c r="C2904" s="1417" t="s">
        <v>2010</v>
      </c>
      <c r="D2904" s="1428" t="s">
        <v>4241</v>
      </c>
      <c r="E2904" s="1428" t="s">
        <v>4242</v>
      </c>
      <c r="F2904" s="1428">
        <v>11.0</v>
      </c>
      <c r="G2904" s="1420">
        <v>25.0</v>
      </c>
      <c r="H2904" s="1367"/>
      <c r="I2904" s="1424" t="s">
        <v>2144</v>
      </c>
      <c r="J2904" s="1425">
        <f t="shared" si="19"/>
        <v>3</v>
      </c>
      <c r="K2904" s="1367"/>
      <c r="L2904" s="1367"/>
      <c r="M2904" s="1010"/>
    </row>
    <row r="2905">
      <c r="A2905" s="1417">
        <v>2023.0</v>
      </c>
      <c r="B2905" s="1417" t="s">
        <v>4171</v>
      </c>
      <c r="C2905" s="1417" t="s">
        <v>2013</v>
      </c>
      <c r="D2905" s="1428" t="s">
        <v>4241</v>
      </c>
      <c r="E2905" s="1428" t="s">
        <v>4242</v>
      </c>
      <c r="F2905" s="1428">
        <v>9.0</v>
      </c>
      <c r="G2905" s="1420">
        <v>21.0</v>
      </c>
      <c r="H2905" s="1367"/>
      <c r="I2905" s="1424" t="s">
        <v>2145</v>
      </c>
      <c r="J2905" s="1425">
        <f t="shared" si="19"/>
        <v>1</v>
      </c>
      <c r="K2905" s="1367"/>
      <c r="L2905" s="1367"/>
      <c r="M2905" s="1010"/>
    </row>
    <row r="2906">
      <c r="A2906" s="1417">
        <v>2023.0</v>
      </c>
      <c r="B2906" s="1417" t="s">
        <v>4171</v>
      </c>
      <c r="C2906" s="1417" t="s">
        <v>267</v>
      </c>
      <c r="D2906" s="1428" t="s">
        <v>4241</v>
      </c>
      <c r="E2906" s="1428" t="s">
        <v>4243</v>
      </c>
      <c r="F2906" s="1428">
        <v>9.0</v>
      </c>
      <c r="G2906" s="1420">
        <v>16.0</v>
      </c>
      <c r="H2906" s="1367"/>
      <c r="I2906" s="1424" t="s">
        <v>2146</v>
      </c>
      <c r="J2906" s="1425">
        <f t="shared" si="19"/>
        <v>8</v>
      </c>
      <c r="K2906" s="1367"/>
      <c r="L2906" s="1367"/>
      <c r="M2906" s="1010"/>
    </row>
    <row r="2907">
      <c r="A2907" s="1417">
        <v>2023.0</v>
      </c>
      <c r="B2907" s="1417" t="s">
        <v>4171</v>
      </c>
      <c r="C2907" s="1417" t="s">
        <v>267</v>
      </c>
      <c r="D2907" s="1429" t="s">
        <v>4241</v>
      </c>
      <c r="E2907" s="1429" t="s">
        <v>4242</v>
      </c>
      <c r="F2907" s="1429">
        <v>648.0</v>
      </c>
      <c r="G2907" s="1430">
        <v>1478.0</v>
      </c>
      <c r="H2907" s="1367"/>
      <c r="I2907" s="1424" t="s">
        <v>2148</v>
      </c>
      <c r="J2907" s="1425">
        <f t="shared" si="19"/>
        <v>2</v>
      </c>
      <c r="K2907" s="1367"/>
      <c r="L2907" s="1367"/>
      <c r="M2907" s="1010"/>
    </row>
    <row r="2908">
      <c r="A2908" s="1417">
        <v>2023.0</v>
      </c>
      <c r="B2908" s="1417" t="s">
        <v>4171</v>
      </c>
      <c r="C2908" s="1417" t="s">
        <v>93</v>
      </c>
      <c r="D2908" s="1429" t="s">
        <v>4241</v>
      </c>
      <c r="E2908" s="1429" t="s">
        <v>4242</v>
      </c>
      <c r="F2908" s="1429">
        <v>5.0</v>
      </c>
      <c r="G2908" s="1429">
        <v>9.0</v>
      </c>
      <c r="H2908" s="1367"/>
      <c r="I2908" s="1424" t="s">
        <v>168</v>
      </c>
      <c r="J2908" s="1425">
        <f t="shared" si="19"/>
        <v>18</v>
      </c>
      <c r="K2908" s="1367"/>
      <c r="L2908" s="1367"/>
      <c r="M2908" s="1010"/>
    </row>
    <row r="2909">
      <c r="A2909" s="1417">
        <v>2023.0</v>
      </c>
      <c r="B2909" s="1417" t="s">
        <v>4171</v>
      </c>
      <c r="C2909" s="1417" t="s">
        <v>2039</v>
      </c>
      <c r="D2909" s="1429" t="s">
        <v>4241</v>
      </c>
      <c r="E2909" s="1429" t="s">
        <v>4242</v>
      </c>
      <c r="F2909" s="1429">
        <v>87.0</v>
      </c>
      <c r="G2909" s="1429">
        <v>222.0</v>
      </c>
      <c r="H2909" s="1367"/>
      <c r="I2909" s="1424" t="s">
        <v>1011</v>
      </c>
      <c r="J2909" s="1425" t="str">
        <f t="shared" si="19"/>
        <v>NULL</v>
      </c>
      <c r="K2909" s="1367"/>
      <c r="L2909" s="1367"/>
      <c r="M2909" s="1010"/>
    </row>
    <row r="2910">
      <c r="A2910" s="1417">
        <v>2023.0</v>
      </c>
      <c r="B2910" s="1417" t="s">
        <v>4171</v>
      </c>
      <c r="C2910" s="1417" t="s">
        <v>2057</v>
      </c>
      <c r="D2910" s="1429" t="s">
        <v>4241</v>
      </c>
      <c r="E2910" s="1429" t="s">
        <v>4242</v>
      </c>
      <c r="F2910" s="1429">
        <v>1.0</v>
      </c>
      <c r="G2910" s="1429">
        <v>1.0</v>
      </c>
      <c r="H2910" s="1367"/>
      <c r="I2910" s="1424" t="s">
        <v>1012</v>
      </c>
      <c r="J2910" s="1425">
        <f t="shared" si="19"/>
        <v>112</v>
      </c>
      <c r="K2910" s="1367"/>
      <c r="L2910" s="1367"/>
      <c r="M2910" s="1010"/>
    </row>
    <row r="2911">
      <c r="A2911" s="1417">
        <v>2023.0</v>
      </c>
      <c r="B2911" s="1417" t="s">
        <v>4171</v>
      </c>
      <c r="C2911" s="1417" t="s">
        <v>2069</v>
      </c>
      <c r="D2911" s="1429" t="s">
        <v>4241</v>
      </c>
      <c r="E2911" s="1429" t="s">
        <v>4242</v>
      </c>
      <c r="F2911" s="1429">
        <v>2.0</v>
      </c>
      <c r="G2911" s="1429">
        <v>9.0</v>
      </c>
      <c r="H2911" s="1367"/>
      <c r="I2911" s="1424" t="s">
        <v>2149</v>
      </c>
      <c r="J2911" s="1425" t="str">
        <f t="shared" si="19"/>
        <v>NULL</v>
      </c>
      <c r="K2911" s="1367"/>
      <c r="L2911" s="1367"/>
      <c r="M2911" s="1010"/>
    </row>
    <row r="2912">
      <c r="A2912" s="1417">
        <v>2023.0</v>
      </c>
      <c r="B2912" s="1417" t="s">
        <v>4171</v>
      </c>
      <c r="C2912" s="1417" t="s">
        <v>2073</v>
      </c>
      <c r="D2912" s="1429" t="s">
        <v>4241</v>
      </c>
      <c r="E2912" s="1429" t="s">
        <v>4242</v>
      </c>
      <c r="F2912" s="1429">
        <v>3.0</v>
      </c>
      <c r="G2912" s="1429">
        <v>5.0</v>
      </c>
      <c r="H2912" s="1367"/>
      <c r="I2912" s="1424" t="s">
        <v>2150</v>
      </c>
      <c r="J2912" s="1425">
        <f t="shared" si="19"/>
        <v>5</v>
      </c>
      <c r="K2912" s="1367"/>
      <c r="L2912" s="1367"/>
      <c r="M2912" s="1010"/>
    </row>
    <row r="2913">
      <c r="A2913" s="1417">
        <v>2023.0</v>
      </c>
      <c r="B2913" s="1417" t="s">
        <v>4171</v>
      </c>
      <c r="C2913" s="1417" t="s">
        <v>2075</v>
      </c>
      <c r="D2913" s="1429" t="s">
        <v>4241</v>
      </c>
      <c r="E2913" s="1429" t="s">
        <v>4242</v>
      </c>
      <c r="F2913" s="1429">
        <v>1.0</v>
      </c>
      <c r="G2913" s="1429">
        <v>6.0</v>
      </c>
      <c r="H2913" s="1367"/>
      <c r="I2913" s="1424" t="s">
        <v>628</v>
      </c>
      <c r="J2913" s="1425">
        <f t="shared" si="19"/>
        <v>2</v>
      </c>
      <c r="K2913" s="1367"/>
      <c r="L2913" s="1367"/>
      <c r="M2913" s="1010"/>
    </row>
    <row r="2914">
      <c r="A2914" s="1417">
        <v>2023.0</v>
      </c>
      <c r="B2914" s="1417" t="s">
        <v>4171</v>
      </c>
      <c r="C2914" s="1417" t="s">
        <v>2076</v>
      </c>
      <c r="D2914" s="1429" t="s">
        <v>4241</v>
      </c>
      <c r="E2914" s="1429" t="s">
        <v>4242</v>
      </c>
      <c r="F2914" s="1429">
        <v>4.0</v>
      </c>
      <c r="G2914" s="1429">
        <v>9.0</v>
      </c>
      <c r="H2914" s="1367"/>
      <c r="I2914" s="1424" t="s">
        <v>2151</v>
      </c>
      <c r="J2914" s="1425">
        <f t="shared" si="19"/>
        <v>1</v>
      </c>
      <c r="K2914" s="1367"/>
      <c r="L2914" s="1367"/>
      <c r="M2914" s="1010"/>
    </row>
    <row r="2915">
      <c r="A2915" s="1417">
        <v>2023.0</v>
      </c>
      <c r="B2915" s="1417" t="s">
        <v>4171</v>
      </c>
      <c r="C2915" s="1417" t="s">
        <v>1539</v>
      </c>
      <c r="D2915" s="1429" t="s">
        <v>4241</v>
      </c>
      <c r="E2915" s="1429" t="s">
        <v>4242</v>
      </c>
      <c r="F2915" s="1429">
        <v>64.0</v>
      </c>
      <c r="G2915" s="1429">
        <v>131.0</v>
      </c>
      <c r="H2915" s="1367"/>
      <c r="I2915" s="1424" t="s">
        <v>2152</v>
      </c>
      <c r="J2915" s="1425">
        <f t="shared" si="19"/>
        <v>1</v>
      </c>
      <c r="K2915" s="1367"/>
      <c r="L2915" s="1367"/>
      <c r="M2915" s="1010"/>
    </row>
    <row r="2916">
      <c r="A2916" s="1417">
        <v>2023.0</v>
      </c>
      <c r="B2916" s="1417" t="s">
        <v>4171</v>
      </c>
      <c r="C2916" s="1417" t="s">
        <v>142</v>
      </c>
      <c r="D2916" s="1429" t="s">
        <v>4241</v>
      </c>
      <c r="E2916" s="1429" t="s">
        <v>4242</v>
      </c>
      <c r="F2916" s="1429">
        <v>1.0</v>
      </c>
      <c r="G2916" s="1429">
        <v>5.0</v>
      </c>
      <c r="H2916" s="1367"/>
      <c r="I2916" s="1424" t="s">
        <v>2153</v>
      </c>
      <c r="J2916" s="1425">
        <f t="shared" si="19"/>
        <v>1</v>
      </c>
      <c r="K2916" s="1367"/>
      <c r="L2916" s="1367"/>
      <c r="M2916" s="1010"/>
    </row>
    <row r="2917">
      <c r="A2917" s="1417">
        <v>2023.0</v>
      </c>
      <c r="B2917" s="1417" t="s">
        <v>4171</v>
      </c>
      <c r="C2917" s="1417" t="s">
        <v>2097</v>
      </c>
      <c r="D2917" s="1429" t="s">
        <v>4241</v>
      </c>
      <c r="E2917" s="1429" t="s">
        <v>4242</v>
      </c>
      <c r="F2917" s="1429">
        <v>2.0</v>
      </c>
      <c r="G2917" s="1429">
        <v>2.0</v>
      </c>
      <c r="H2917" s="1367"/>
      <c r="I2917" s="1424" t="s">
        <v>2154</v>
      </c>
      <c r="J2917" s="1425">
        <f t="shared" si="19"/>
        <v>3</v>
      </c>
      <c r="K2917" s="1367"/>
      <c r="L2917" s="1367"/>
      <c r="M2917" s="1010"/>
    </row>
    <row r="2918">
      <c r="A2918" s="1417">
        <v>2023.0</v>
      </c>
      <c r="B2918" s="1417" t="s">
        <v>4171</v>
      </c>
      <c r="C2918" s="1417" t="s">
        <v>727</v>
      </c>
      <c r="D2918" s="1429" t="s">
        <v>4241</v>
      </c>
      <c r="E2918" s="1429" t="s">
        <v>4242</v>
      </c>
      <c r="F2918" s="1429">
        <v>29.0</v>
      </c>
      <c r="G2918" s="1429">
        <v>63.0</v>
      </c>
      <c r="H2918" s="1367"/>
      <c r="I2918" s="1424" t="s">
        <v>265</v>
      </c>
      <c r="J2918" s="1425">
        <f t="shared" si="19"/>
        <v>471</v>
      </c>
      <c r="K2918" s="1367"/>
      <c r="L2918" s="1367"/>
      <c r="M2918" s="1010"/>
    </row>
    <row r="2919">
      <c r="A2919" s="1417">
        <v>2023.0</v>
      </c>
      <c r="B2919" s="1417" t="s">
        <v>4171</v>
      </c>
      <c r="C2919" s="1417" t="s">
        <v>2100</v>
      </c>
      <c r="D2919" s="1429" t="s">
        <v>4241</v>
      </c>
      <c r="E2919" s="1429" t="s">
        <v>4242</v>
      </c>
      <c r="F2919" s="1429">
        <v>14.0</v>
      </c>
      <c r="G2919" s="1429">
        <v>33.0</v>
      </c>
      <c r="H2919" s="1367"/>
      <c r="I2919" s="1424" t="s">
        <v>526</v>
      </c>
      <c r="J2919" s="1425">
        <f t="shared" si="19"/>
        <v>95</v>
      </c>
      <c r="K2919" s="1367"/>
      <c r="L2919" s="1367"/>
      <c r="M2919" s="1010"/>
    </row>
    <row r="2920">
      <c r="A2920" s="1417">
        <v>2023.0</v>
      </c>
      <c r="B2920" s="1417" t="s">
        <v>4171</v>
      </c>
      <c r="C2920" s="1417" t="s">
        <v>2106</v>
      </c>
      <c r="D2920" s="1429" t="s">
        <v>4241</v>
      </c>
      <c r="E2920" s="1429" t="s">
        <v>4242</v>
      </c>
      <c r="F2920" s="1429">
        <v>1.0</v>
      </c>
      <c r="G2920" s="1429">
        <v>2.0</v>
      </c>
      <c r="H2920" s="1367"/>
      <c r="I2920" s="1424" t="s">
        <v>635</v>
      </c>
      <c r="J2920" s="1425" t="str">
        <f t="shared" si="19"/>
        <v>NULL</v>
      </c>
      <c r="K2920" s="1367"/>
      <c r="L2920" s="1367"/>
      <c r="M2920" s="1010"/>
    </row>
    <row r="2921">
      <c r="A2921" s="1417">
        <v>2023.0</v>
      </c>
      <c r="B2921" s="1417" t="s">
        <v>4171</v>
      </c>
      <c r="C2921" s="1417" t="s">
        <v>2117</v>
      </c>
      <c r="D2921" s="1429" t="s">
        <v>4241</v>
      </c>
      <c r="E2921" s="1429" t="s">
        <v>4242</v>
      </c>
      <c r="F2921" s="1429">
        <v>5.0</v>
      </c>
      <c r="G2921" s="1429">
        <v>16.0</v>
      </c>
      <c r="H2921" s="1367"/>
      <c r="I2921" s="1424" t="s">
        <v>2156</v>
      </c>
      <c r="J2921" s="1425">
        <f t="shared" si="19"/>
        <v>3</v>
      </c>
      <c r="K2921" s="1367"/>
      <c r="L2921" s="1367"/>
      <c r="M2921" s="1010"/>
    </row>
    <row r="2922">
      <c r="A2922" s="1417">
        <v>2023.0</v>
      </c>
      <c r="B2922" s="1417" t="s">
        <v>4171</v>
      </c>
      <c r="C2922" s="1417" t="s">
        <v>1689</v>
      </c>
      <c r="D2922" s="1429" t="s">
        <v>4241</v>
      </c>
      <c r="E2922" s="1429" t="s">
        <v>4242</v>
      </c>
      <c r="F2922" s="1429">
        <v>20.0</v>
      </c>
      <c r="G2922" s="1429">
        <v>40.0</v>
      </c>
      <c r="H2922" s="1367"/>
      <c r="I2922" s="1424" t="s">
        <v>2157</v>
      </c>
      <c r="J2922" s="1425" t="str">
        <f t="shared" si="19"/>
        <v>NULL</v>
      </c>
      <c r="K2922" s="1367"/>
      <c r="L2922" s="1367"/>
      <c r="M2922" s="1010"/>
    </row>
    <row r="2923">
      <c r="A2923" s="1417">
        <v>2023.0</v>
      </c>
      <c r="B2923" s="1417" t="s">
        <v>4171</v>
      </c>
      <c r="C2923" s="1417" t="s">
        <v>2166</v>
      </c>
      <c r="D2923" s="1429" t="s">
        <v>4241</v>
      </c>
      <c r="E2923" s="1429" t="s">
        <v>4242</v>
      </c>
      <c r="F2923" s="1429">
        <v>5.0</v>
      </c>
      <c r="G2923" s="1429">
        <v>10.0</v>
      </c>
      <c r="H2923" s="1367"/>
      <c r="I2923" s="1424" t="s">
        <v>2159</v>
      </c>
      <c r="J2923" s="1425">
        <f t="shared" si="19"/>
        <v>6</v>
      </c>
      <c r="K2923" s="1367"/>
      <c r="L2923" s="1367"/>
      <c r="M2923" s="1010"/>
    </row>
    <row r="2924">
      <c r="A2924" s="1417">
        <v>2023.0</v>
      </c>
      <c r="B2924" s="1417" t="s">
        <v>4171</v>
      </c>
      <c r="C2924" s="1417" t="s">
        <v>2167</v>
      </c>
      <c r="D2924" s="1429" t="s">
        <v>4241</v>
      </c>
      <c r="E2924" s="1429" t="s">
        <v>4242</v>
      </c>
      <c r="F2924" s="1429">
        <v>4.0</v>
      </c>
      <c r="G2924" s="1429">
        <v>6.0</v>
      </c>
      <c r="H2924" s="1367"/>
      <c r="I2924" s="1424" t="s">
        <v>2160</v>
      </c>
      <c r="J2924" s="1425">
        <f t="shared" si="19"/>
        <v>55</v>
      </c>
      <c r="K2924" s="1367"/>
      <c r="L2924" s="1367"/>
      <c r="M2924" s="1010"/>
    </row>
    <row r="2925">
      <c r="A2925" s="1417">
        <v>2023.0</v>
      </c>
      <c r="B2925" s="1417" t="s">
        <v>4171</v>
      </c>
      <c r="C2925" s="1417" t="s">
        <v>2169</v>
      </c>
      <c r="D2925" s="1429" t="s">
        <v>4241</v>
      </c>
      <c r="E2925" s="1429" t="s">
        <v>4242</v>
      </c>
      <c r="F2925" s="1429">
        <v>15.0</v>
      </c>
      <c r="G2925" s="1429">
        <v>45.0</v>
      </c>
      <c r="H2925" s="1367"/>
      <c r="I2925" s="1424" t="s">
        <v>355</v>
      </c>
      <c r="J2925" s="1425">
        <f t="shared" si="19"/>
        <v>220</v>
      </c>
      <c r="K2925" s="1367"/>
      <c r="L2925" s="1367"/>
      <c r="M2925" s="1010"/>
    </row>
    <row r="2926">
      <c r="A2926" s="1417">
        <v>2023.0</v>
      </c>
      <c r="B2926" s="1417" t="s">
        <v>4171</v>
      </c>
      <c r="C2926" s="1417" t="s">
        <v>1021</v>
      </c>
      <c r="D2926" s="1429" t="s">
        <v>4241</v>
      </c>
      <c r="E2926" s="1429" t="s">
        <v>4242</v>
      </c>
      <c r="F2926" s="1429">
        <v>16.0</v>
      </c>
      <c r="G2926" s="1429">
        <v>36.0</v>
      </c>
      <c r="H2926" s="1367"/>
      <c r="I2926" s="1424" t="s">
        <v>376</v>
      </c>
      <c r="J2926" s="1425">
        <f t="shared" si="19"/>
        <v>5</v>
      </c>
      <c r="K2926" s="1367"/>
      <c r="L2926" s="1367"/>
      <c r="M2926" s="1010"/>
    </row>
    <row r="2927">
      <c r="A2927" s="1417">
        <v>2023.0</v>
      </c>
      <c r="B2927" s="1417" t="s">
        <v>4171</v>
      </c>
      <c r="C2927" s="1417" t="s">
        <v>2183</v>
      </c>
      <c r="D2927" s="1429" t="s">
        <v>4241</v>
      </c>
      <c r="E2927" s="1429" t="s">
        <v>4242</v>
      </c>
      <c r="F2927" s="1429">
        <v>3.0</v>
      </c>
      <c r="G2927" s="1429">
        <v>4.0</v>
      </c>
      <c r="H2927" s="1367"/>
      <c r="I2927" s="1424" t="s">
        <v>2161</v>
      </c>
      <c r="J2927" s="1425">
        <f t="shared" si="19"/>
        <v>6</v>
      </c>
      <c r="K2927" s="1367"/>
      <c r="L2927" s="1367"/>
      <c r="M2927" s="1010"/>
    </row>
    <row r="2928">
      <c r="A2928" s="1417">
        <v>2023.0</v>
      </c>
      <c r="B2928" s="1417" t="s">
        <v>4162</v>
      </c>
      <c r="C2928" s="1417" t="s">
        <v>2005</v>
      </c>
      <c r="D2928" s="1429" t="s">
        <v>4241</v>
      </c>
      <c r="E2928" s="1429" t="s">
        <v>4242</v>
      </c>
      <c r="F2928" s="1429">
        <v>2.0</v>
      </c>
      <c r="G2928" s="1429">
        <v>4.0</v>
      </c>
      <c r="H2928" s="1367"/>
      <c r="I2928" s="1424" t="s">
        <v>2162</v>
      </c>
      <c r="J2928" s="1425">
        <f t="shared" si="19"/>
        <v>15</v>
      </c>
      <c r="K2928" s="1367"/>
      <c r="L2928" s="1367"/>
      <c r="M2928" s="1010"/>
    </row>
    <row r="2929">
      <c r="A2929" s="1417">
        <v>2023.0</v>
      </c>
      <c r="B2929" s="1417" t="s">
        <v>4162</v>
      </c>
      <c r="C2929" s="1417" t="s">
        <v>562</v>
      </c>
      <c r="D2929" s="1429" t="s">
        <v>4241</v>
      </c>
      <c r="E2929" s="1429" t="s">
        <v>4242</v>
      </c>
      <c r="F2929" s="1429">
        <v>2.0</v>
      </c>
      <c r="G2929" s="1429">
        <v>7.0</v>
      </c>
      <c r="H2929" s="1367"/>
      <c r="I2929" s="1424" t="s">
        <v>2164</v>
      </c>
      <c r="J2929" s="1425" t="str">
        <f t="shared" si="19"/>
        <v>NULL</v>
      </c>
      <c r="K2929" s="1367"/>
      <c r="L2929" s="1367"/>
      <c r="M2929" s="1010"/>
    </row>
    <row r="2930">
      <c r="A2930" s="1417">
        <v>2023.0</v>
      </c>
      <c r="B2930" s="1417" t="s">
        <v>4162</v>
      </c>
      <c r="C2930" s="1417" t="s">
        <v>2062</v>
      </c>
      <c r="D2930" s="1429" t="s">
        <v>4241</v>
      </c>
      <c r="E2930" s="1429" t="s">
        <v>4242</v>
      </c>
      <c r="F2930" s="1429">
        <v>18.0</v>
      </c>
      <c r="G2930" s="1429">
        <v>36.0</v>
      </c>
      <c r="H2930" s="1367"/>
      <c r="I2930" s="1424" t="s">
        <v>2166</v>
      </c>
      <c r="J2930" s="1425">
        <f t="shared" si="19"/>
        <v>5</v>
      </c>
      <c r="K2930" s="1367"/>
      <c r="L2930" s="1367"/>
      <c r="M2930" s="1010"/>
    </row>
    <row r="2931">
      <c r="A2931" s="1417">
        <v>2023.0</v>
      </c>
      <c r="B2931" s="1417" t="s">
        <v>4162</v>
      </c>
      <c r="C2931" s="1417" t="s">
        <v>2062</v>
      </c>
      <c r="D2931" s="1429" t="s">
        <v>4241</v>
      </c>
      <c r="E2931" s="1429" t="s">
        <v>4243</v>
      </c>
      <c r="F2931" s="1429">
        <v>4.0</v>
      </c>
      <c r="G2931" s="1429">
        <v>9.0</v>
      </c>
      <c r="H2931" s="1367"/>
      <c r="I2931" s="1424" t="s">
        <v>2167</v>
      </c>
      <c r="J2931" s="1425">
        <f t="shared" si="19"/>
        <v>4</v>
      </c>
      <c r="K2931" s="1367"/>
      <c r="L2931" s="1367"/>
      <c r="M2931" s="1010"/>
    </row>
    <row r="2932">
      <c r="A2932" s="1417">
        <v>2023.0</v>
      </c>
      <c r="B2932" s="1417" t="s">
        <v>4162</v>
      </c>
      <c r="C2932" s="1417" t="s">
        <v>2070</v>
      </c>
      <c r="D2932" s="1429" t="s">
        <v>4241</v>
      </c>
      <c r="E2932" s="1429" t="s">
        <v>4243</v>
      </c>
      <c r="F2932" s="1429">
        <v>1.0</v>
      </c>
      <c r="G2932" s="1429">
        <v>2.0</v>
      </c>
      <c r="H2932" s="1367"/>
      <c r="I2932" s="1424" t="s">
        <v>2168</v>
      </c>
      <c r="J2932" s="1425">
        <f t="shared" si="19"/>
        <v>21</v>
      </c>
      <c r="K2932" s="1367"/>
      <c r="L2932" s="1367"/>
      <c r="M2932" s="1010"/>
    </row>
    <row r="2933">
      <c r="A2933" s="1417">
        <v>2023.0</v>
      </c>
      <c r="B2933" s="1417" t="s">
        <v>4162</v>
      </c>
      <c r="C2933" s="1417" t="s">
        <v>2070</v>
      </c>
      <c r="D2933" s="1429" t="s">
        <v>4241</v>
      </c>
      <c r="E2933" s="1429" t="s">
        <v>4242</v>
      </c>
      <c r="F2933" s="1429">
        <v>11.0</v>
      </c>
      <c r="G2933" s="1429">
        <v>17.0</v>
      </c>
      <c r="H2933" s="1367"/>
      <c r="I2933" s="1424" t="s">
        <v>2169</v>
      </c>
      <c r="J2933" s="1425">
        <f t="shared" si="19"/>
        <v>15</v>
      </c>
      <c r="K2933" s="1367"/>
      <c r="L2933" s="1367"/>
      <c r="M2933" s="1010"/>
    </row>
    <row r="2934">
      <c r="A2934" s="1417">
        <v>2023.0</v>
      </c>
      <c r="B2934" s="1417" t="s">
        <v>4162</v>
      </c>
      <c r="C2934" s="1417" t="s">
        <v>2074</v>
      </c>
      <c r="D2934" s="1429" t="s">
        <v>4241</v>
      </c>
      <c r="E2934" s="1429" t="s">
        <v>4242</v>
      </c>
      <c r="F2934" s="1429">
        <v>1.0</v>
      </c>
      <c r="G2934" s="1429">
        <v>2.0</v>
      </c>
      <c r="H2934" s="1367"/>
      <c r="I2934" s="1424" t="s">
        <v>175</v>
      </c>
      <c r="J2934" s="1425">
        <f t="shared" si="19"/>
        <v>12</v>
      </c>
      <c r="K2934" s="1367"/>
      <c r="L2934" s="1367"/>
      <c r="M2934" s="1010"/>
    </row>
    <row r="2935">
      <c r="A2935" s="1417">
        <v>2023.0</v>
      </c>
      <c r="B2935" s="1417" t="s">
        <v>4162</v>
      </c>
      <c r="C2935" s="1417" t="s">
        <v>283</v>
      </c>
      <c r="D2935" s="1429" t="s">
        <v>4241</v>
      </c>
      <c r="E2935" s="1429" t="s">
        <v>4243</v>
      </c>
      <c r="F2935" s="1429">
        <v>1.0</v>
      </c>
      <c r="G2935" s="1429">
        <v>6.0</v>
      </c>
      <c r="H2935" s="1367"/>
      <c r="I2935" s="1424" t="s">
        <v>2170</v>
      </c>
      <c r="J2935" s="1425">
        <f t="shared" si="19"/>
        <v>16</v>
      </c>
      <c r="K2935" s="1367"/>
      <c r="L2935" s="1367"/>
      <c r="M2935" s="1010"/>
    </row>
    <row r="2936">
      <c r="A2936" s="1417">
        <v>2023.0</v>
      </c>
      <c r="B2936" s="1417" t="s">
        <v>4162</v>
      </c>
      <c r="C2936" s="1417" t="s">
        <v>283</v>
      </c>
      <c r="D2936" s="1429" t="s">
        <v>4241</v>
      </c>
      <c r="E2936" s="1429" t="s">
        <v>4242</v>
      </c>
      <c r="F2936" s="1429">
        <v>4.0</v>
      </c>
      <c r="G2936" s="1429">
        <v>6.0</v>
      </c>
      <c r="H2936" s="1367"/>
      <c r="I2936" s="1424" t="s">
        <v>1669</v>
      </c>
      <c r="J2936" s="1425">
        <f t="shared" si="19"/>
        <v>1</v>
      </c>
      <c r="K2936" s="1367"/>
      <c r="L2936" s="1367"/>
      <c r="M2936" s="1010"/>
    </row>
    <row r="2937">
      <c r="A2937" s="1417">
        <v>2023.0</v>
      </c>
      <c r="B2937" s="1417" t="s">
        <v>4162</v>
      </c>
      <c r="C2937" s="1417" t="s">
        <v>510</v>
      </c>
      <c r="D2937" s="1429" t="s">
        <v>4241</v>
      </c>
      <c r="E2937" s="1429" t="s">
        <v>4243</v>
      </c>
      <c r="F2937" s="1429">
        <v>1.0</v>
      </c>
      <c r="G2937" s="1429">
        <v>4.0</v>
      </c>
      <c r="H2937" s="1367"/>
      <c r="I2937" s="1424" t="s">
        <v>119</v>
      </c>
      <c r="J2937" s="1425">
        <f t="shared" si="19"/>
        <v>9</v>
      </c>
      <c r="K2937" s="1367"/>
      <c r="L2937" s="1367"/>
      <c r="M2937" s="1010"/>
    </row>
    <row r="2938">
      <c r="A2938" s="1417">
        <v>2023.0</v>
      </c>
      <c r="B2938" s="1417" t="s">
        <v>4162</v>
      </c>
      <c r="C2938" s="1417" t="s">
        <v>510</v>
      </c>
      <c r="D2938" s="1429" t="s">
        <v>4241</v>
      </c>
      <c r="E2938" s="1429" t="s">
        <v>4242</v>
      </c>
      <c r="F2938" s="1429">
        <v>1.0</v>
      </c>
      <c r="G2938" s="1429">
        <v>3.0</v>
      </c>
      <c r="H2938" s="1367"/>
      <c r="I2938" s="1424" t="s">
        <v>2172</v>
      </c>
      <c r="J2938" s="1425">
        <f t="shared" si="19"/>
        <v>64</v>
      </c>
      <c r="K2938" s="1367"/>
      <c r="L2938" s="1367"/>
      <c r="M2938" s="1010"/>
    </row>
    <row r="2939">
      <c r="A2939" s="1417">
        <v>2023.0</v>
      </c>
      <c r="B2939" s="1417" t="s">
        <v>4162</v>
      </c>
      <c r="C2939" s="1417" t="s">
        <v>2113</v>
      </c>
      <c r="D2939" s="1429" t="s">
        <v>4241</v>
      </c>
      <c r="E2939" s="1429" t="s">
        <v>4242</v>
      </c>
      <c r="F2939" s="1429">
        <v>7.0</v>
      </c>
      <c r="G2939" s="1429">
        <v>24.0</v>
      </c>
      <c r="H2939" s="1367"/>
      <c r="I2939" s="1424" t="s">
        <v>2173</v>
      </c>
      <c r="J2939" s="1425">
        <f t="shared" si="19"/>
        <v>10</v>
      </c>
      <c r="K2939" s="1367"/>
      <c r="L2939" s="1367"/>
      <c r="M2939" s="1010"/>
    </row>
    <row r="2940">
      <c r="A2940" s="1417">
        <v>2023.0</v>
      </c>
      <c r="B2940" s="1417" t="s">
        <v>4162</v>
      </c>
      <c r="C2940" s="1417" t="s">
        <v>1273</v>
      </c>
      <c r="D2940" s="1429" t="s">
        <v>4241</v>
      </c>
      <c r="E2940" s="1429" t="s">
        <v>4242</v>
      </c>
      <c r="F2940" s="1429">
        <v>30.0</v>
      </c>
      <c r="G2940" s="1429">
        <v>59.0</v>
      </c>
      <c r="H2940" s="1367"/>
      <c r="I2940" s="1424" t="s">
        <v>649</v>
      </c>
      <c r="J2940" s="1425" t="str">
        <f t="shared" si="19"/>
        <v>NULL</v>
      </c>
      <c r="K2940" s="1367"/>
      <c r="L2940" s="1367"/>
      <c r="M2940" s="1010"/>
    </row>
    <row r="2941">
      <c r="A2941" s="1417">
        <v>2023.0</v>
      </c>
      <c r="B2941" s="1417" t="s">
        <v>4162</v>
      </c>
      <c r="C2941" s="1417" t="s">
        <v>1273</v>
      </c>
      <c r="D2941" s="1429" t="s">
        <v>4241</v>
      </c>
      <c r="E2941" s="1429" t="s">
        <v>4243</v>
      </c>
      <c r="F2941" s="1429">
        <v>9.0</v>
      </c>
      <c r="G2941" s="1429">
        <v>25.0</v>
      </c>
      <c r="H2941" s="1367"/>
      <c r="I2941" s="1424" t="s">
        <v>1020</v>
      </c>
      <c r="J2941" s="1425">
        <f t="shared" si="19"/>
        <v>77</v>
      </c>
      <c r="K2941" s="1367"/>
      <c r="L2941" s="1367"/>
      <c r="M2941" s="1010"/>
    </row>
    <row r="2942">
      <c r="A2942" s="1417">
        <v>2023.0</v>
      </c>
      <c r="B2942" s="1417" t="s">
        <v>4162</v>
      </c>
      <c r="C2942" s="1417" t="s">
        <v>2129</v>
      </c>
      <c r="D2942" s="1429" t="s">
        <v>4241</v>
      </c>
      <c r="E2942" s="1429" t="s">
        <v>4243</v>
      </c>
      <c r="F2942" s="1429">
        <v>1.0</v>
      </c>
      <c r="G2942" s="1429">
        <v>2.0</v>
      </c>
      <c r="H2942" s="1367"/>
      <c r="I2942" s="1424" t="s">
        <v>2174</v>
      </c>
      <c r="J2942" s="1425">
        <f t="shared" si="19"/>
        <v>7</v>
      </c>
      <c r="K2942" s="1367"/>
      <c r="L2942" s="1367"/>
      <c r="M2942" s="1010"/>
    </row>
    <row r="2943">
      <c r="A2943" s="1417">
        <v>2023.0</v>
      </c>
      <c r="B2943" s="1417" t="s">
        <v>4162</v>
      </c>
      <c r="C2943" s="1417" t="s">
        <v>2129</v>
      </c>
      <c r="D2943" s="1429" t="s">
        <v>4241</v>
      </c>
      <c r="E2943" s="1429" t="s">
        <v>4242</v>
      </c>
      <c r="F2943" s="1429">
        <v>1.0</v>
      </c>
      <c r="G2943" s="1429">
        <v>2.0</v>
      </c>
      <c r="H2943" s="1367"/>
      <c r="I2943" s="1424" t="s">
        <v>2176</v>
      </c>
      <c r="J2943" s="1425" t="str">
        <f t="shared" si="19"/>
        <v>NULL</v>
      </c>
      <c r="K2943" s="1367"/>
      <c r="L2943" s="1367"/>
      <c r="M2943" s="1010"/>
    </row>
    <row r="2944">
      <c r="A2944" s="1417">
        <v>2023.0</v>
      </c>
      <c r="B2944" s="1417" t="s">
        <v>4162</v>
      </c>
      <c r="C2944" s="1417" t="s">
        <v>2133</v>
      </c>
      <c r="D2944" s="1429" t="s">
        <v>4241</v>
      </c>
      <c r="E2944" s="1429" t="s">
        <v>4242</v>
      </c>
      <c r="F2944" s="1429">
        <v>1.0</v>
      </c>
      <c r="G2944" s="1429">
        <v>2.0</v>
      </c>
      <c r="H2944" s="1367"/>
      <c r="I2944" s="1424" t="s">
        <v>627</v>
      </c>
      <c r="J2944" s="1425">
        <f t="shared" si="19"/>
        <v>178</v>
      </c>
      <c r="K2944" s="1367"/>
      <c r="L2944" s="1367"/>
      <c r="M2944" s="1010"/>
    </row>
    <row r="2945">
      <c r="A2945" s="1417">
        <v>2023.0</v>
      </c>
      <c r="B2945" s="1417" t="s">
        <v>4162</v>
      </c>
      <c r="C2945" s="1417" t="s">
        <v>2145</v>
      </c>
      <c r="D2945" s="1429" t="s">
        <v>4241</v>
      </c>
      <c r="E2945" s="1429" t="s">
        <v>4242</v>
      </c>
      <c r="F2945" s="1429">
        <v>1.0</v>
      </c>
      <c r="G2945" s="1429">
        <v>4.0</v>
      </c>
      <c r="H2945" s="1367"/>
      <c r="I2945" s="1424" t="s">
        <v>1021</v>
      </c>
      <c r="J2945" s="1425">
        <f t="shared" si="19"/>
        <v>16</v>
      </c>
      <c r="K2945" s="1367"/>
      <c r="L2945" s="1367"/>
      <c r="M2945" s="1010"/>
    </row>
    <row r="2946">
      <c r="A2946" s="1417">
        <v>2023.0</v>
      </c>
      <c r="B2946" s="1417" t="s">
        <v>4162</v>
      </c>
      <c r="C2946" s="1417" t="s">
        <v>2151</v>
      </c>
      <c r="D2946" s="1429" t="s">
        <v>4241</v>
      </c>
      <c r="E2946" s="1429" t="s">
        <v>4242</v>
      </c>
      <c r="F2946" s="1429">
        <v>1.0</v>
      </c>
      <c r="G2946" s="1429">
        <v>5.0</v>
      </c>
      <c r="H2946" s="1367"/>
      <c r="I2946" s="1424" t="s">
        <v>2177</v>
      </c>
      <c r="J2946" s="1425" t="str">
        <f t="shared" si="19"/>
        <v>NULL</v>
      </c>
      <c r="K2946" s="1367"/>
      <c r="L2946" s="1367"/>
      <c r="M2946" s="1010"/>
    </row>
    <row r="2947">
      <c r="A2947" s="1417">
        <v>2023.0</v>
      </c>
      <c r="B2947" s="1417" t="s">
        <v>4162</v>
      </c>
      <c r="C2947" s="1417" t="s">
        <v>2153</v>
      </c>
      <c r="D2947" s="1429" t="s">
        <v>4241</v>
      </c>
      <c r="E2947" s="1429" t="s">
        <v>4242</v>
      </c>
      <c r="F2947" s="1429">
        <v>1.0</v>
      </c>
      <c r="G2947" s="1429">
        <v>5.0</v>
      </c>
      <c r="H2947" s="1367"/>
      <c r="I2947" s="1424" t="s">
        <v>2178</v>
      </c>
      <c r="J2947" s="1425">
        <f t="shared" si="19"/>
        <v>22</v>
      </c>
      <c r="K2947" s="1367"/>
      <c r="L2947" s="1367"/>
      <c r="M2947" s="1010"/>
    </row>
    <row r="2948">
      <c r="A2948" s="1417">
        <v>2023.0</v>
      </c>
      <c r="B2948" s="1417" t="s">
        <v>4162</v>
      </c>
      <c r="C2948" s="1417" t="s">
        <v>2160</v>
      </c>
      <c r="D2948" s="1429" t="s">
        <v>4241</v>
      </c>
      <c r="E2948" s="1429" t="s">
        <v>4242</v>
      </c>
      <c r="F2948" s="1429">
        <v>52.0</v>
      </c>
      <c r="G2948" s="1429">
        <v>153.0</v>
      </c>
      <c r="H2948" s="1367"/>
      <c r="I2948" s="1424" t="s">
        <v>1703</v>
      </c>
      <c r="J2948" s="1425">
        <f t="shared" si="19"/>
        <v>13</v>
      </c>
      <c r="K2948" s="1367"/>
      <c r="L2948" s="1367"/>
      <c r="M2948" s="1010"/>
    </row>
    <row r="2949">
      <c r="A2949" s="1417">
        <v>2023.0</v>
      </c>
      <c r="B2949" s="1417" t="s">
        <v>4162</v>
      </c>
      <c r="C2949" s="1417" t="s">
        <v>2160</v>
      </c>
      <c r="D2949" s="1429" t="s">
        <v>4241</v>
      </c>
      <c r="E2949" s="1429" t="s">
        <v>4243</v>
      </c>
      <c r="F2949" s="1429">
        <v>3.0</v>
      </c>
      <c r="G2949" s="1429">
        <v>15.0</v>
      </c>
      <c r="H2949" s="1367"/>
      <c r="I2949" s="1424" t="s">
        <v>2179</v>
      </c>
      <c r="J2949" s="1425" t="str">
        <f t="shared" si="19"/>
        <v>NULL</v>
      </c>
      <c r="K2949" s="1367"/>
      <c r="L2949" s="1367"/>
      <c r="M2949" s="1010"/>
    </row>
    <row r="2950">
      <c r="A2950" s="1417">
        <v>2023.0</v>
      </c>
      <c r="B2950" s="1417" t="s">
        <v>4162</v>
      </c>
      <c r="C2950" s="1417" t="s">
        <v>1669</v>
      </c>
      <c r="D2950" s="1429" t="s">
        <v>4241</v>
      </c>
      <c r="E2950" s="1429" t="s">
        <v>4243</v>
      </c>
      <c r="F2950" s="1429">
        <v>1.0</v>
      </c>
      <c r="G2950" s="1429">
        <v>4.0</v>
      </c>
      <c r="H2950" s="1367"/>
      <c r="I2950" s="1424" t="s">
        <v>2181</v>
      </c>
      <c r="J2950" s="1425">
        <f t="shared" si="19"/>
        <v>21</v>
      </c>
      <c r="K2950" s="1367"/>
      <c r="L2950" s="1367"/>
      <c r="M2950" s="1010"/>
    </row>
    <row r="2951">
      <c r="A2951" s="1417">
        <v>2023.0</v>
      </c>
      <c r="B2951" s="1417" t="s">
        <v>4175</v>
      </c>
      <c r="C2951" s="1417" t="s">
        <v>415</v>
      </c>
      <c r="D2951" s="1429" t="s">
        <v>4241</v>
      </c>
      <c r="E2951" s="1429" t="s">
        <v>4243</v>
      </c>
      <c r="F2951" s="1429">
        <v>21.0</v>
      </c>
      <c r="G2951" s="1429">
        <v>63.0</v>
      </c>
      <c r="H2951" s="1367"/>
      <c r="I2951" s="1424" t="s">
        <v>2182</v>
      </c>
      <c r="J2951" s="1425">
        <f t="shared" si="19"/>
        <v>1</v>
      </c>
      <c r="K2951" s="1367"/>
      <c r="L2951" s="1367"/>
      <c r="M2951" s="1010"/>
    </row>
    <row r="2952">
      <c r="A2952" s="1417">
        <v>2023.0</v>
      </c>
      <c r="B2952" s="1417" t="s">
        <v>4175</v>
      </c>
      <c r="C2952" s="1417" t="s">
        <v>415</v>
      </c>
      <c r="D2952" s="1429" t="s">
        <v>4241</v>
      </c>
      <c r="E2952" s="1429" t="s">
        <v>4242</v>
      </c>
      <c r="F2952" s="1429">
        <v>75.0</v>
      </c>
      <c r="G2952" s="1429">
        <v>268.0</v>
      </c>
      <c r="H2952" s="1367"/>
      <c r="I2952" s="1431" t="s">
        <v>2183</v>
      </c>
      <c r="J2952" s="1432">
        <f t="shared" si="19"/>
        <v>3</v>
      </c>
      <c r="K2952" s="1367"/>
      <c r="L2952" s="1367"/>
      <c r="M2952" s="1010"/>
    </row>
    <row r="2953">
      <c r="A2953" s="1417">
        <v>2023.0</v>
      </c>
      <c r="B2953" s="1417" t="s">
        <v>4175</v>
      </c>
      <c r="C2953" s="1417" t="s">
        <v>2089</v>
      </c>
      <c r="D2953" s="1429" t="s">
        <v>4241</v>
      </c>
      <c r="E2953" s="1429" t="s">
        <v>4242</v>
      </c>
      <c r="F2953" s="1429">
        <v>1.0</v>
      </c>
      <c r="G2953" s="1429">
        <v>4.0</v>
      </c>
      <c r="H2953" s="1367"/>
      <c r="I2953" s="1367"/>
      <c r="J2953" s="1367"/>
      <c r="K2953" s="1367"/>
      <c r="L2953" s="1367"/>
      <c r="M2953" s="1010"/>
    </row>
    <row r="2954">
      <c r="A2954" s="1417">
        <v>2023.0</v>
      </c>
      <c r="B2954" s="1417" t="s">
        <v>4168</v>
      </c>
      <c r="C2954" s="1417" t="s">
        <v>2007</v>
      </c>
      <c r="D2954" s="1429" t="s">
        <v>4241</v>
      </c>
      <c r="E2954" s="1429" t="s">
        <v>4242</v>
      </c>
      <c r="F2954" s="1429">
        <v>3.0</v>
      </c>
      <c r="G2954" s="1429">
        <v>8.0</v>
      </c>
      <c r="H2954" s="1367"/>
      <c r="I2954" s="1367"/>
      <c r="J2954" s="1367"/>
      <c r="K2954" s="1367"/>
      <c r="L2954" s="1367"/>
      <c r="M2954" s="1010"/>
    </row>
    <row r="2955">
      <c r="A2955" s="1417">
        <v>2023.0</v>
      </c>
      <c r="B2955" s="1417" t="s">
        <v>4168</v>
      </c>
      <c r="C2955" s="1417" t="s">
        <v>2016</v>
      </c>
      <c r="D2955" s="1429" t="s">
        <v>4241</v>
      </c>
      <c r="E2955" s="1429" t="s">
        <v>4242</v>
      </c>
      <c r="F2955" s="1429">
        <v>5.0</v>
      </c>
      <c r="G2955" s="1429">
        <v>11.0</v>
      </c>
      <c r="H2955" s="1367"/>
      <c r="I2955" s="1367"/>
      <c r="J2955" s="1367"/>
      <c r="K2955" s="1367"/>
      <c r="L2955" s="1367"/>
      <c r="M2955" s="1010"/>
    </row>
    <row r="2956">
      <c r="A2956" s="1417">
        <v>2023.0</v>
      </c>
      <c r="B2956" s="1417" t="s">
        <v>4168</v>
      </c>
      <c r="C2956" s="1417" t="s">
        <v>543</v>
      </c>
      <c r="D2956" s="1429" t="s">
        <v>4241</v>
      </c>
      <c r="E2956" s="1429" t="s">
        <v>4242</v>
      </c>
      <c r="F2956" s="1429">
        <v>1.0</v>
      </c>
      <c r="G2956" s="1429">
        <v>5.0</v>
      </c>
      <c r="H2956" s="1367"/>
      <c r="I2956" s="1367"/>
      <c r="J2956" s="1367"/>
      <c r="K2956" s="1367"/>
      <c r="L2956" s="1367"/>
      <c r="M2956" s="1010"/>
    </row>
    <row r="2957">
      <c r="A2957" s="1417">
        <v>2023.0</v>
      </c>
      <c r="B2957" s="1417" t="s">
        <v>4168</v>
      </c>
      <c r="C2957" s="1417" t="s">
        <v>1149</v>
      </c>
      <c r="D2957" s="1429" t="s">
        <v>4241</v>
      </c>
      <c r="E2957" s="1429" t="s">
        <v>4242</v>
      </c>
      <c r="F2957" s="1429">
        <v>112.0</v>
      </c>
      <c r="G2957" s="1429">
        <v>360.0</v>
      </c>
      <c r="H2957" s="1367"/>
      <c r="I2957" s="1367"/>
      <c r="J2957" s="1367"/>
      <c r="K2957" s="1367"/>
      <c r="L2957" s="1367"/>
      <c r="M2957" s="1010"/>
    </row>
    <row r="2958">
      <c r="A2958" s="1417">
        <v>2023.0</v>
      </c>
      <c r="B2958" s="1417" t="s">
        <v>4168</v>
      </c>
      <c r="C2958" s="1417" t="s">
        <v>1149</v>
      </c>
      <c r="D2958" s="1429" t="s">
        <v>4241</v>
      </c>
      <c r="E2958" s="1429" t="s">
        <v>4243</v>
      </c>
      <c r="F2958" s="1429">
        <v>4.0</v>
      </c>
      <c r="G2958" s="1429">
        <v>12.0</v>
      </c>
      <c r="H2958" s="1367"/>
      <c r="I2958" s="1367"/>
      <c r="J2958" s="1367"/>
      <c r="K2958" s="1367"/>
      <c r="L2958" s="1367"/>
      <c r="M2958" s="1010"/>
    </row>
    <row r="2959">
      <c r="A2959" s="1417">
        <v>2023.0</v>
      </c>
      <c r="B2959" s="1417" t="s">
        <v>4168</v>
      </c>
      <c r="C2959" s="1417" t="s">
        <v>433</v>
      </c>
      <c r="D2959" s="1429" t="s">
        <v>4241</v>
      </c>
      <c r="E2959" s="1429" t="s">
        <v>4242</v>
      </c>
      <c r="F2959" s="1429">
        <v>1.0</v>
      </c>
      <c r="G2959" s="1429">
        <v>2.0</v>
      </c>
      <c r="H2959" s="1367"/>
      <c r="I2959" s="1367"/>
      <c r="J2959" s="1367"/>
      <c r="K2959" s="1367"/>
      <c r="L2959" s="1367"/>
      <c r="M2959" s="1010"/>
    </row>
    <row r="2960">
      <c r="A2960" s="1417">
        <v>2023.0</v>
      </c>
      <c r="B2960" s="1417" t="s">
        <v>4168</v>
      </c>
      <c r="C2960" s="1417" t="s">
        <v>480</v>
      </c>
      <c r="D2960" s="1429" t="s">
        <v>4241</v>
      </c>
      <c r="E2960" s="1429" t="s">
        <v>4243</v>
      </c>
      <c r="F2960" s="1429">
        <v>4.0</v>
      </c>
      <c r="G2960" s="1429">
        <v>13.0</v>
      </c>
      <c r="H2960" s="1367"/>
      <c r="I2960" s="1367"/>
      <c r="J2960" s="1367"/>
      <c r="K2960" s="1367"/>
      <c r="L2960" s="1367"/>
      <c r="M2960" s="1010"/>
    </row>
    <row r="2961">
      <c r="A2961" s="1417">
        <v>2023.0</v>
      </c>
      <c r="B2961" s="1417" t="s">
        <v>4168</v>
      </c>
      <c r="C2961" s="1417" t="s">
        <v>480</v>
      </c>
      <c r="D2961" s="1429" t="s">
        <v>4241</v>
      </c>
      <c r="E2961" s="1429" t="s">
        <v>4242</v>
      </c>
      <c r="F2961" s="1429">
        <v>96.0</v>
      </c>
      <c r="G2961" s="1429">
        <v>272.0</v>
      </c>
      <c r="H2961" s="1367"/>
      <c r="I2961" s="1367"/>
      <c r="J2961" s="1367"/>
      <c r="K2961" s="1367"/>
      <c r="L2961" s="1367"/>
      <c r="M2961" s="1010"/>
    </row>
    <row r="2962">
      <c r="A2962" s="1417">
        <v>2023.0</v>
      </c>
      <c r="B2962" s="1417" t="s">
        <v>4168</v>
      </c>
      <c r="C2962" s="1417" t="s">
        <v>2096</v>
      </c>
      <c r="D2962" s="1429" t="s">
        <v>4241</v>
      </c>
      <c r="E2962" s="1429" t="s">
        <v>4242</v>
      </c>
      <c r="F2962" s="1429">
        <v>3.0</v>
      </c>
      <c r="G2962" s="1429">
        <v>9.0</v>
      </c>
      <c r="H2962" s="1367"/>
      <c r="I2962" s="1367"/>
      <c r="J2962" s="1367"/>
      <c r="K2962" s="1367"/>
      <c r="L2962" s="1367"/>
      <c r="M2962" s="1010"/>
    </row>
    <row r="2963">
      <c r="A2963" s="1417">
        <v>2023.0</v>
      </c>
      <c r="B2963" s="1417" t="s">
        <v>4168</v>
      </c>
      <c r="C2963" s="1417" t="s">
        <v>2103</v>
      </c>
      <c r="D2963" s="1429" t="s">
        <v>4241</v>
      </c>
      <c r="E2963" s="1429" t="s">
        <v>4243</v>
      </c>
      <c r="F2963" s="1429">
        <v>1.0</v>
      </c>
      <c r="G2963" s="1429">
        <v>1.0</v>
      </c>
      <c r="H2963" s="1367"/>
      <c r="I2963" s="1367"/>
      <c r="J2963" s="1367"/>
      <c r="K2963" s="1367"/>
      <c r="L2963" s="1367"/>
      <c r="M2963" s="1010"/>
    </row>
    <row r="2964">
      <c r="A2964" s="1417">
        <v>2023.0</v>
      </c>
      <c r="B2964" s="1417" t="s">
        <v>4168</v>
      </c>
      <c r="C2964" s="1417" t="s">
        <v>2103</v>
      </c>
      <c r="D2964" s="1429" t="s">
        <v>4241</v>
      </c>
      <c r="E2964" s="1429" t="s">
        <v>4242</v>
      </c>
      <c r="F2964" s="1429">
        <v>6.0</v>
      </c>
      <c r="G2964" s="1429">
        <v>18.0</v>
      </c>
      <c r="H2964" s="1367"/>
      <c r="I2964" s="1367"/>
      <c r="J2964" s="1367"/>
      <c r="K2964" s="1367"/>
      <c r="L2964" s="1367"/>
      <c r="M2964" s="1010"/>
    </row>
    <row r="2965">
      <c r="A2965" s="1417">
        <v>2023.0</v>
      </c>
      <c r="B2965" s="1417" t="s">
        <v>4168</v>
      </c>
      <c r="C2965" s="1417" t="s">
        <v>2108</v>
      </c>
      <c r="D2965" s="1429" t="s">
        <v>4241</v>
      </c>
      <c r="E2965" s="1429" t="s">
        <v>4242</v>
      </c>
      <c r="F2965" s="1429">
        <v>2.0</v>
      </c>
      <c r="G2965" s="1429">
        <v>3.0</v>
      </c>
      <c r="H2965" s="1367"/>
      <c r="I2965" s="1367"/>
      <c r="J2965" s="1367"/>
      <c r="K2965" s="1367"/>
      <c r="L2965" s="1367"/>
      <c r="M2965" s="1010"/>
    </row>
    <row r="2966">
      <c r="A2966" s="1417">
        <v>2023.0</v>
      </c>
      <c r="B2966" s="1417" t="s">
        <v>4168</v>
      </c>
      <c r="C2966" s="1417" t="s">
        <v>2124</v>
      </c>
      <c r="D2966" s="1429" t="s">
        <v>4241</v>
      </c>
      <c r="E2966" s="1429" t="s">
        <v>4242</v>
      </c>
      <c r="F2966" s="1429">
        <v>99.0</v>
      </c>
      <c r="G2966" s="1429">
        <v>278.0</v>
      </c>
      <c r="H2966" s="1367"/>
      <c r="I2966" s="1367"/>
      <c r="J2966" s="1367"/>
      <c r="K2966" s="1367"/>
      <c r="L2966" s="1367"/>
      <c r="M2966" s="1010"/>
    </row>
    <row r="2967">
      <c r="A2967" s="1417">
        <v>2023.0</v>
      </c>
      <c r="B2967" s="1417" t="s">
        <v>4168</v>
      </c>
      <c r="C2967" s="1417" t="s">
        <v>2124</v>
      </c>
      <c r="D2967" s="1429" t="s">
        <v>4241</v>
      </c>
      <c r="E2967" s="1429" t="s">
        <v>4243</v>
      </c>
      <c r="F2967" s="1429">
        <v>6.0</v>
      </c>
      <c r="G2967" s="1429">
        <v>28.0</v>
      </c>
      <c r="H2967" s="1367"/>
      <c r="I2967" s="1367"/>
      <c r="J2967" s="1367"/>
      <c r="K2967" s="1367"/>
      <c r="L2967" s="1367"/>
      <c r="M2967" s="1010"/>
    </row>
    <row r="2968">
      <c r="A2968" s="1417">
        <v>2023.0</v>
      </c>
      <c r="B2968" s="1417" t="s">
        <v>4168</v>
      </c>
      <c r="C2968" s="1417" t="s">
        <v>2136</v>
      </c>
      <c r="D2968" s="1429" t="s">
        <v>4241</v>
      </c>
      <c r="E2968" s="1429" t="s">
        <v>4242</v>
      </c>
      <c r="F2968" s="1429">
        <v>1.0</v>
      </c>
      <c r="G2968" s="1429">
        <v>4.0</v>
      </c>
      <c r="H2968" s="1367"/>
      <c r="I2968" s="1367"/>
      <c r="J2968" s="1367"/>
      <c r="K2968" s="1367"/>
      <c r="L2968" s="1367"/>
      <c r="M2968" s="1010"/>
    </row>
    <row r="2969">
      <c r="A2969" s="1417">
        <v>2023.0</v>
      </c>
      <c r="B2969" s="1417" t="s">
        <v>4168</v>
      </c>
      <c r="C2969" s="1417" t="s">
        <v>2143</v>
      </c>
      <c r="D2969" s="1429" t="s">
        <v>4241</v>
      </c>
      <c r="E2969" s="1429" t="s">
        <v>4242</v>
      </c>
      <c r="F2969" s="1429">
        <v>21.0</v>
      </c>
      <c r="G2969" s="1429">
        <v>57.0</v>
      </c>
      <c r="H2969" s="1367"/>
      <c r="I2969" s="1367"/>
      <c r="J2969" s="1367"/>
      <c r="K2969" s="1367"/>
      <c r="L2969" s="1367"/>
      <c r="M2969" s="1010"/>
    </row>
    <row r="2970">
      <c r="A2970" s="1417">
        <v>2023.0</v>
      </c>
      <c r="B2970" s="1417" t="s">
        <v>4168</v>
      </c>
      <c r="C2970" s="1417" t="s">
        <v>2150</v>
      </c>
      <c r="D2970" s="1429" t="s">
        <v>4241</v>
      </c>
      <c r="E2970" s="1429" t="s">
        <v>4242</v>
      </c>
      <c r="F2970" s="1429">
        <v>5.0</v>
      </c>
      <c r="G2970" s="1429">
        <v>18.0</v>
      </c>
      <c r="H2970" s="1367"/>
      <c r="I2970" s="1367"/>
      <c r="J2970" s="1367"/>
      <c r="K2970" s="1367"/>
      <c r="L2970" s="1367"/>
      <c r="M2970" s="1010"/>
    </row>
    <row r="2971">
      <c r="A2971" s="1417">
        <v>2023.0</v>
      </c>
      <c r="B2971" s="1417" t="s">
        <v>4168</v>
      </c>
      <c r="C2971" s="1417" t="s">
        <v>2172</v>
      </c>
      <c r="D2971" s="1429" t="s">
        <v>4241</v>
      </c>
      <c r="E2971" s="1429" t="s">
        <v>4242</v>
      </c>
      <c r="F2971" s="1429">
        <v>59.0</v>
      </c>
      <c r="G2971" s="1429">
        <v>177.0</v>
      </c>
      <c r="H2971" s="1367"/>
      <c r="I2971" s="1367"/>
      <c r="J2971" s="1367"/>
      <c r="K2971" s="1367"/>
      <c r="L2971" s="1367"/>
      <c r="M2971" s="1010"/>
    </row>
    <row r="2972">
      <c r="A2972" s="1417">
        <v>2023.0</v>
      </c>
      <c r="B2972" s="1417" t="s">
        <v>4168</v>
      </c>
      <c r="C2972" s="1417" t="s">
        <v>2172</v>
      </c>
      <c r="D2972" s="1429" t="s">
        <v>4241</v>
      </c>
      <c r="E2972" s="1429" t="s">
        <v>4243</v>
      </c>
      <c r="F2972" s="1429">
        <v>5.0</v>
      </c>
      <c r="G2972" s="1429">
        <v>15.0</v>
      </c>
      <c r="H2972" s="1367"/>
      <c r="I2972" s="1367"/>
      <c r="J2972" s="1367"/>
      <c r="K2972" s="1367"/>
      <c r="L2972" s="1367"/>
      <c r="M2972" s="1010"/>
    </row>
    <row r="2973">
      <c r="A2973" s="1417">
        <v>2023.0</v>
      </c>
      <c r="B2973" s="1417" t="s">
        <v>4168</v>
      </c>
      <c r="C2973" s="1417" t="s">
        <v>2182</v>
      </c>
      <c r="D2973" s="1429" t="s">
        <v>4241</v>
      </c>
      <c r="E2973" s="1429" t="s">
        <v>4242</v>
      </c>
      <c r="F2973" s="1429">
        <v>1.0</v>
      </c>
      <c r="G2973" s="1429">
        <v>1.0</v>
      </c>
      <c r="H2973" s="1367"/>
      <c r="I2973" s="1367"/>
      <c r="J2973" s="1367"/>
      <c r="K2973" s="1367"/>
      <c r="L2973" s="1367"/>
      <c r="M2973" s="1010"/>
    </row>
    <row r="2974">
      <c r="A2974" s="1417">
        <v>2023.0</v>
      </c>
      <c r="B2974" s="1417" t="s">
        <v>4245</v>
      </c>
      <c r="C2974" s="1417" t="s">
        <v>4245</v>
      </c>
      <c r="D2974" s="1429" t="s">
        <v>4241</v>
      </c>
      <c r="E2974" s="1429" t="s">
        <v>4242</v>
      </c>
      <c r="F2974" s="1429">
        <v>12.0</v>
      </c>
      <c r="G2974" s="1429">
        <v>29.0</v>
      </c>
      <c r="H2974" s="1367"/>
      <c r="I2974" s="1367"/>
      <c r="J2974" s="1367"/>
      <c r="K2974" s="1367"/>
      <c r="L2974" s="1367"/>
      <c r="M2974" s="1010"/>
    </row>
    <row r="2975">
      <c r="A2975" s="1417">
        <v>2023.0</v>
      </c>
      <c r="B2975" s="1417" t="s">
        <v>2522</v>
      </c>
      <c r="C2975" s="1417" t="s">
        <v>2522</v>
      </c>
      <c r="D2975" s="1429" t="s">
        <v>4241</v>
      </c>
      <c r="E2975" s="1429" t="s">
        <v>4243</v>
      </c>
      <c r="F2975" s="1429">
        <v>94.0</v>
      </c>
      <c r="G2975" s="1429">
        <v>209.0</v>
      </c>
      <c r="H2975" s="1367"/>
      <c r="I2975" s="1367"/>
      <c r="J2975" s="1367"/>
      <c r="K2975" s="1367"/>
      <c r="L2975" s="1367"/>
      <c r="M2975" s="1010"/>
    </row>
    <row r="2976">
      <c r="A2976" s="1367"/>
      <c r="B2976" s="1367"/>
      <c r="C2976" s="1367"/>
      <c r="D2976" s="1367"/>
      <c r="E2976" s="1367"/>
      <c r="F2976" s="1367"/>
      <c r="G2976" s="1367"/>
      <c r="H2976" s="1367"/>
      <c r="I2976" s="1367"/>
      <c r="J2976" s="1367"/>
      <c r="K2976" s="1367"/>
      <c r="L2976" s="1367"/>
      <c r="M2976" s="1010"/>
    </row>
    <row r="2977">
      <c r="A2977" s="1367"/>
      <c r="B2977" s="1367"/>
      <c r="C2977" s="1367"/>
      <c r="D2977" s="1367"/>
      <c r="E2977" s="1367"/>
      <c r="F2977" s="1367"/>
      <c r="G2977" s="1367"/>
      <c r="H2977" s="1367"/>
      <c r="I2977" s="1367"/>
      <c r="J2977" s="1367"/>
      <c r="K2977" s="1367"/>
      <c r="L2977" s="1367"/>
      <c r="M2977" s="1010"/>
    </row>
    <row r="2978">
      <c r="A2978" s="1367"/>
      <c r="B2978" s="1367"/>
      <c r="C2978" s="1367"/>
      <c r="D2978" s="1367"/>
      <c r="E2978" s="1367"/>
      <c r="F2978" s="1367"/>
      <c r="G2978" s="1367"/>
      <c r="H2978" s="1367"/>
      <c r="I2978" s="1367"/>
      <c r="J2978" s="1367"/>
      <c r="K2978" s="1367"/>
      <c r="L2978" s="1367"/>
      <c r="M2978" s="1010"/>
    </row>
    <row r="2979">
      <c r="A2979" s="1367"/>
      <c r="B2979" s="1367"/>
      <c r="C2979" s="1367"/>
      <c r="D2979" s="1367"/>
      <c r="E2979" s="1367"/>
      <c r="F2979" s="1367"/>
      <c r="G2979" s="1367"/>
      <c r="H2979" s="1367"/>
      <c r="I2979" s="1367"/>
      <c r="J2979" s="1367"/>
      <c r="K2979" s="1367"/>
      <c r="L2979" s="1367"/>
      <c r="M2979" s="1010"/>
    </row>
    <row r="2980">
      <c r="A2980" s="1367"/>
      <c r="B2980" s="1367"/>
      <c r="C2980" s="1367"/>
      <c r="D2980" s="1367"/>
      <c r="E2980" s="1367"/>
      <c r="F2980" s="1367"/>
      <c r="G2980" s="1367"/>
      <c r="H2980" s="1367"/>
      <c r="I2980" s="1367"/>
      <c r="J2980" s="1367"/>
      <c r="K2980" s="1367"/>
      <c r="L2980" s="1367"/>
      <c r="M2980" s="1010"/>
    </row>
    <row r="2981">
      <c r="A2981" s="1367"/>
      <c r="B2981" s="1367"/>
      <c r="C2981" s="1367"/>
      <c r="D2981" s="1367"/>
      <c r="E2981" s="1367"/>
      <c r="F2981" s="1367"/>
      <c r="G2981" s="1367"/>
      <c r="H2981" s="1367"/>
      <c r="I2981" s="1367"/>
      <c r="J2981" s="1367"/>
      <c r="K2981" s="1367"/>
      <c r="L2981" s="1367"/>
      <c r="M2981" s="1010"/>
    </row>
    <row r="2982">
      <c r="A2982" s="1367"/>
      <c r="B2982" s="1367"/>
      <c r="C2982" s="1367"/>
      <c r="D2982" s="1367"/>
      <c r="E2982" s="1367"/>
      <c r="F2982" s="1367"/>
      <c r="G2982" s="1367"/>
      <c r="H2982" s="1367"/>
      <c r="I2982" s="1367"/>
      <c r="J2982" s="1367"/>
      <c r="K2982" s="1367"/>
      <c r="L2982" s="1367"/>
      <c r="M2982" s="1010"/>
    </row>
    <row r="2983">
      <c r="A2983" s="1367"/>
      <c r="B2983" s="1367"/>
      <c r="C2983" s="1367"/>
      <c r="D2983" s="1367"/>
      <c r="E2983" s="1367"/>
      <c r="F2983" s="1367"/>
      <c r="G2983" s="1367"/>
      <c r="H2983" s="1367"/>
      <c r="I2983" s="1367"/>
      <c r="J2983" s="1367"/>
      <c r="K2983" s="1367"/>
      <c r="L2983" s="1367"/>
      <c r="M2983" s="1010"/>
    </row>
    <row r="2984">
      <c r="A2984" s="1367"/>
      <c r="B2984" s="1367"/>
      <c r="C2984" s="1367"/>
      <c r="D2984" s="1367"/>
      <c r="E2984" s="1367"/>
      <c r="F2984" s="1367"/>
      <c r="G2984" s="1367"/>
      <c r="H2984" s="1367"/>
      <c r="I2984" s="1367"/>
      <c r="J2984" s="1367"/>
      <c r="K2984" s="1367"/>
      <c r="L2984" s="1367"/>
      <c r="M2984" s="1010"/>
    </row>
    <row r="2985">
      <c r="A2985" s="1367"/>
      <c r="B2985" s="1367"/>
      <c r="C2985" s="1367"/>
      <c r="D2985" s="1367"/>
      <c r="E2985" s="1367"/>
      <c r="F2985" s="1367"/>
      <c r="G2985" s="1367"/>
      <c r="H2985" s="1367"/>
      <c r="I2985" s="1367"/>
      <c r="J2985" s="1367"/>
      <c r="K2985" s="1367"/>
      <c r="L2985" s="1367"/>
      <c r="M2985" s="1010"/>
    </row>
    <row r="2986">
      <c r="A2986" s="1367"/>
      <c r="B2986" s="1367"/>
      <c r="C2986" s="1367"/>
      <c r="D2986" s="1367"/>
      <c r="E2986" s="1367"/>
      <c r="F2986" s="1367"/>
      <c r="G2986" s="1367"/>
      <c r="H2986" s="1367"/>
      <c r="I2986" s="1367"/>
      <c r="J2986" s="1367"/>
      <c r="K2986" s="1367"/>
      <c r="L2986" s="1367"/>
      <c r="M2986" s="1010"/>
    </row>
    <row r="2987">
      <c r="A2987" s="1367"/>
      <c r="B2987" s="1367"/>
      <c r="C2987" s="1367"/>
      <c r="D2987" s="1367"/>
      <c r="E2987" s="1367"/>
      <c r="F2987" s="1367"/>
      <c r="G2987" s="1367"/>
      <c r="H2987" s="1367"/>
      <c r="I2987" s="1367"/>
      <c r="J2987" s="1367"/>
      <c r="K2987" s="1367"/>
      <c r="L2987" s="1367"/>
      <c r="M2987" s="1010"/>
    </row>
    <row r="2988">
      <c r="A2988" s="1367"/>
      <c r="B2988" s="1367"/>
      <c r="C2988" s="1367"/>
      <c r="D2988" s="1367"/>
      <c r="E2988" s="1367"/>
      <c r="F2988" s="1367"/>
      <c r="G2988" s="1367"/>
      <c r="H2988" s="1367"/>
      <c r="I2988" s="1367"/>
      <c r="J2988" s="1367"/>
      <c r="K2988" s="1367"/>
      <c r="L2988" s="1367"/>
      <c r="M2988" s="1010"/>
    </row>
    <row r="2989">
      <c r="A2989" s="1367"/>
      <c r="B2989" s="1367"/>
      <c r="C2989" s="1367"/>
      <c r="D2989" s="1367"/>
      <c r="E2989" s="1367"/>
      <c r="F2989" s="1367"/>
      <c r="G2989" s="1367"/>
      <c r="H2989" s="1367"/>
      <c r="I2989" s="1367"/>
      <c r="J2989" s="1367"/>
      <c r="K2989" s="1367"/>
      <c r="L2989" s="1367"/>
      <c r="M2989" s="1010"/>
    </row>
    <row r="2990">
      <c r="A2990" s="1367"/>
      <c r="B2990" s="1367"/>
      <c r="C2990" s="1367"/>
      <c r="D2990" s="1367"/>
      <c r="E2990" s="1367"/>
      <c r="F2990" s="1367"/>
      <c r="G2990" s="1367"/>
      <c r="H2990" s="1367"/>
      <c r="I2990" s="1367"/>
      <c r="J2990" s="1367"/>
      <c r="K2990" s="1367"/>
      <c r="L2990" s="1367"/>
      <c r="M2990" s="1010"/>
    </row>
    <row r="2991">
      <c r="A2991" s="1367"/>
      <c r="B2991" s="1367"/>
      <c r="C2991" s="1367"/>
      <c r="D2991" s="1367"/>
      <c r="E2991" s="1367"/>
      <c r="F2991" s="1367"/>
      <c r="G2991" s="1367"/>
      <c r="H2991" s="1367"/>
      <c r="I2991" s="1367"/>
      <c r="J2991" s="1367"/>
      <c r="K2991" s="1367"/>
      <c r="L2991" s="1367"/>
      <c r="M2991" s="1010"/>
    </row>
    <row r="2992">
      <c r="A2992" s="1367"/>
      <c r="B2992" s="1367"/>
      <c r="C2992" s="1367"/>
      <c r="D2992" s="1367"/>
      <c r="E2992" s="1367"/>
      <c r="F2992" s="1367"/>
      <c r="G2992" s="1367"/>
      <c r="H2992" s="1367"/>
      <c r="I2992" s="1367"/>
      <c r="J2992" s="1367"/>
      <c r="K2992" s="1367"/>
      <c r="L2992" s="1367"/>
      <c r="M2992" s="1010"/>
    </row>
    <row r="2993">
      <c r="A2993" s="1367"/>
      <c r="B2993" s="1367"/>
      <c r="C2993" s="1367"/>
      <c r="D2993" s="1367"/>
      <c r="E2993" s="1367"/>
      <c r="F2993" s="1367"/>
      <c r="G2993" s="1367"/>
      <c r="H2993" s="1367"/>
      <c r="I2993" s="1367"/>
      <c r="J2993" s="1367"/>
      <c r="K2993" s="1367"/>
      <c r="L2993" s="1367"/>
      <c r="M2993" s="1010"/>
    </row>
    <row r="2994">
      <c r="A2994" s="1367"/>
      <c r="B2994" s="1367"/>
      <c r="C2994" s="1367"/>
      <c r="D2994" s="1367"/>
      <c r="E2994" s="1367"/>
      <c r="F2994" s="1367"/>
      <c r="G2994" s="1367"/>
      <c r="H2994" s="1367"/>
      <c r="I2994" s="1367"/>
      <c r="J2994" s="1367"/>
      <c r="K2994" s="1367"/>
      <c r="L2994" s="1367"/>
      <c r="M2994" s="1010"/>
    </row>
    <row r="2995">
      <c r="A2995" s="1367"/>
      <c r="B2995" s="1367"/>
      <c r="C2995" s="1367"/>
      <c r="D2995" s="1367"/>
      <c r="E2995" s="1367"/>
      <c r="F2995" s="1367"/>
      <c r="G2995" s="1367"/>
      <c r="H2995" s="1367"/>
      <c r="I2995" s="1367"/>
      <c r="J2995" s="1367"/>
      <c r="K2995" s="1367"/>
      <c r="L2995" s="1367"/>
      <c r="M2995" s="1010"/>
    </row>
    <row r="2996">
      <c r="A2996" s="1367"/>
      <c r="B2996" s="1367"/>
      <c r="C2996" s="1367"/>
      <c r="D2996" s="1367"/>
      <c r="E2996" s="1367"/>
      <c r="F2996" s="1367"/>
      <c r="G2996" s="1367"/>
      <c r="H2996" s="1367"/>
      <c r="I2996" s="1367"/>
      <c r="J2996" s="1367"/>
      <c r="K2996" s="1367"/>
      <c r="L2996" s="1367"/>
      <c r="M2996" s="1010"/>
    </row>
    <row r="2997">
      <c r="A2997" s="1367"/>
      <c r="B2997" s="1367"/>
      <c r="C2997" s="1367"/>
      <c r="D2997" s="1367"/>
      <c r="E2997" s="1367"/>
      <c r="F2997" s="1367"/>
      <c r="G2997" s="1367"/>
      <c r="H2997" s="1367"/>
      <c r="I2997" s="1367"/>
      <c r="J2997" s="1367"/>
      <c r="K2997" s="1367"/>
      <c r="L2997" s="1367"/>
      <c r="M2997" s="1010"/>
    </row>
    <row r="2998">
      <c r="A2998" s="1367"/>
      <c r="B2998" s="1367"/>
      <c r="C2998" s="1367"/>
      <c r="D2998" s="1367"/>
      <c r="E2998" s="1367"/>
      <c r="F2998" s="1367"/>
      <c r="G2998" s="1367"/>
      <c r="H2998" s="1367"/>
      <c r="I2998" s="1367"/>
      <c r="J2998" s="1367"/>
      <c r="K2998" s="1367"/>
      <c r="L2998" s="1367"/>
      <c r="M2998" s="1010"/>
    </row>
    <row r="2999">
      <c r="A2999" s="1367"/>
      <c r="B2999" s="1367"/>
      <c r="C2999" s="1367"/>
      <c r="D2999" s="1367"/>
      <c r="E2999" s="1367"/>
      <c r="F2999" s="1367"/>
      <c r="G2999" s="1367"/>
      <c r="H2999" s="1367"/>
      <c r="I2999" s="1367"/>
      <c r="J2999" s="1367"/>
      <c r="K2999" s="1367"/>
      <c r="L2999" s="1367"/>
      <c r="M2999" s="1010"/>
    </row>
    <row r="3000">
      <c r="A3000" s="1367"/>
      <c r="B3000" s="1367"/>
      <c r="C3000" s="1367"/>
      <c r="D3000" s="1367"/>
      <c r="E3000" s="1367"/>
      <c r="F3000" s="1367"/>
      <c r="G3000" s="1367"/>
      <c r="H3000" s="1367"/>
      <c r="I3000" s="1367"/>
      <c r="J3000" s="1367"/>
      <c r="K3000" s="1367"/>
      <c r="L3000" s="1367"/>
      <c r="M3000" s="1010"/>
    </row>
    <row r="3001">
      <c r="A3001" s="1367"/>
      <c r="B3001" s="1367"/>
      <c r="C3001" s="1367"/>
      <c r="D3001" s="1367"/>
      <c r="E3001" s="1367"/>
      <c r="F3001" s="1367"/>
      <c r="G3001" s="1367"/>
      <c r="H3001" s="1367"/>
      <c r="I3001" s="1367"/>
      <c r="J3001" s="1367"/>
      <c r="K3001" s="1367"/>
      <c r="L3001" s="1367"/>
      <c r="M3001" s="1010"/>
    </row>
    <row r="3002">
      <c r="A3002" s="1367"/>
      <c r="B3002" s="1367"/>
      <c r="C3002" s="1367"/>
      <c r="D3002" s="1367"/>
      <c r="E3002" s="1367"/>
      <c r="F3002" s="1367"/>
      <c r="G3002" s="1367"/>
      <c r="H3002" s="1367"/>
      <c r="I3002" s="1367"/>
      <c r="J3002" s="1367"/>
      <c r="K3002" s="1367"/>
      <c r="L3002" s="1367"/>
      <c r="M3002" s="1010"/>
    </row>
    <row r="3003">
      <c r="A3003" s="1367"/>
      <c r="B3003" s="1367"/>
      <c r="C3003" s="1367"/>
      <c r="D3003" s="1367"/>
      <c r="E3003" s="1367"/>
      <c r="F3003" s="1367"/>
      <c r="G3003" s="1367"/>
      <c r="H3003" s="1367"/>
      <c r="I3003" s="1367"/>
      <c r="J3003" s="1367"/>
      <c r="K3003" s="1367"/>
      <c r="L3003" s="1367"/>
      <c r="M3003" s="1010"/>
    </row>
    <row r="3004">
      <c r="A3004" s="1367"/>
      <c r="B3004" s="1367"/>
      <c r="C3004" s="1367"/>
      <c r="D3004" s="1367"/>
      <c r="E3004" s="1367"/>
      <c r="F3004" s="1367"/>
      <c r="G3004" s="1367"/>
      <c r="H3004" s="1367"/>
      <c r="I3004" s="1367"/>
      <c r="J3004" s="1367"/>
      <c r="K3004" s="1367"/>
      <c r="L3004" s="1367"/>
      <c r="M3004" s="1010"/>
    </row>
    <row r="3005">
      <c r="A3005" s="1367"/>
      <c r="B3005" s="1367"/>
      <c r="C3005" s="1367"/>
      <c r="D3005" s="1367"/>
      <c r="E3005" s="1367"/>
      <c r="F3005" s="1367"/>
      <c r="G3005" s="1367"/>
      <c r="H3005" s="1367"/>
      <c r="I3005" s="1367"/>
      <c r="J3005" s="1367"/>
      <c r="K3005" s="1367"/>
      <c r="L3005" s="1367"/>
      <c r="M3005" s="1010"/>
    </row>
    <row r="3006">
      <c r="A3006" s="1367"/>
      <c r="B3006" s="1367"/>
      <c r="C3006" s="1367"/>
      <c r="D3006" s="1367"/>
      <c r="E3006" s="1367"/>
      <c r="F3006" s="1367"/>
      <c r="G3006" s="1367"/>
      <c r="H3006" s="1367"/>
      <c r="I3006" s="1367"/>
      <c r="J3006" s="1367"/>
      <c r="K3006" s="1367"/>
      <c r="L3006" s="1367"/>
      <c r="M3006" s="1010"/>
    </row>
    <row r="3007">
      <c r="A3007" s="1367"/>
      <c r="B3007" s="1367"/>
      <c r="C3007" s="1367"/>
      <c r="D3007" s="1367"/>
      <c r="E3007" s="1367"/>
      <c r="F3007" s="1367"/>
      <c r="G3007" s="1367"/>
      <c r="H3007" s="1367"/>
      <c r="I3007" s="1367"/>
      <c r="J3007" s="1367"/>
      <c r="K3007" s="1367"/>
      <c r="L3007" s="1367"/>
      <c r="M3007" s="1010"/>
    </row>
    <row r="3008">
      <c r="A3008" s="1367"/>
      <c r="B3008" s="1367"/>
      <c r="C3008" s="1367"/>
      <c r="D3008" s="1367"/>
      <c r="E3008" s="1367"/>
      <c r="F3008" s="1367"/>
      <c r="G3008" s="1367"/>
      <c r="H3008" s="1367"/>
      <c r="I3008" s="1367"/>
      <c r="J3008" s="1367"/>
      <c r="K3008" s="1367"/>
      <c r="L3008" s="1367"/>
      <c r="M3008" s="1010"/>
    </row>
    <row r="3009">
      <c r="A3009" s="1367"/>
      <c r="B3009" s="1367"/>
      <c r="C3009" s="1367"/>
      <c r="D3009" s="1367"/>
      <c r="E3009" s="1367"/>
      <c r="F3009" s="1367"/>
      <c r="G3009" s="1367"/>
      <c r="H3009" s="1367"/>
      <c r="I3009" s="1367"/>
      <c r="J3009" s="1367"/>
      <c r="K3009" s="1367"/>
      <c r="L3009" s="1367"/>
      <c r="M3009" s="1010"/>
    </row>
    <row r="3010">
      <c r="A3010" s="1367"/>
      <c r="B3010" s="1367"/>
      <c r="C3010" s="1367"/>
      <c r="D3010" s="1367"/>
      <c r="E3010" s="1367"/>
      <c r="F3010" s="1367"/>
      <c r="G3010" s="1367"/>
      <c r="H3010" s="1367"/>
      <c r="I3010" s="1367"/>
      <c r="J3010" s="1367"/>
      <c r="K3010" s="1367"/>
      <c r="L3010" s="1367"/>
      <c r="M3010" s="1010"/>
    </row>
    <row r="3011">
      <c r="A3011" s="1367"/>
      <c r="B3011" s="1367"/>
      <c r="C3011" s="1367"/>
      <c r="D3011" s="1367"/>
      <c r="E3011" s="1367"/>
      <c r="F3011" s="1367"/>
      <c r="G3011" s="1367"/>
      <c r="H3011" s="1367"/>
      <c r="I3011" s="1367"/>
      <c r="J3011" s="1367"/>
      <c r="K3011" s="1367"/>
      <c r="L3011" s="1367"/>
      <c r="M3011" s="1010"/>
    </row>
    <row r="3012">
      <c r="A3012" s="1367"/>
      <c r="B3012" s="1367"/>
      <c r="C3012" s="1367"/>
      <c r="D3012" s="1367"/>
      <c r="E3012" s="1367"/>
      <c r="F3012" s="1367"/>
      <c r="G3012" s="1367"/>
      <c r="H3012" s="1367"/>
      <c r="I3012" s="1367"/>
      <c r="J3012" s="1367"/>
      <c r="K3012" s="1367"/>
      <c r="L3012" s="1367"/>
      <c r="M3012" s="1010"/>
    </row>
    <row r="3013">
      <c r="A3013" s="1367"/>
      <c r="B3013" s="1367"/>
      <c r="C3013" s="1367"/>
      <c r="D3013" s="1367"/>
      <c r="E3013" s="1367"/>
      <c r="F3013" s="1367"/>
      <c r="G3013" s="1367"/>
      <c r="H3013" s="1367"/>
      <c r="I3013" s="1367"/>
      <c r="J3013" s="1367"/>
      <c r="K3013" s="1367"/>
      <c r="L3013" s="1367"/>
      <c r="M3013" s="1010"/>
    </row>
    <row r="3014">
      <c r="A3014" s="1367"/>
      <c r="B3014" s="1367"/>
      <c r="C3014" s="1367"/>
      <c r="D3014" s="1367"/>
      <c r="E3014" s="1367"/>
      <c r="F3014" s="1367"/>
      <c r="G3014" s="1367"/>
      <c r="H3014" s="1367"/>
      <c r="I3014" s="1367"/>
      <c r="J3014" s="1367"/>
      <c r="K3014" s="1367"/>
      <c r="L3014" s="1367"/>
      <c r="M3014" s="1010"/>
    </row>
    <row r="3015">
      <c r="A3015" s="1367"/>
      <c r="B3015" s="1367"/>
      <c r="C3015" s="1367"/>
      <c r="D3015" s="1367"/>
      <c r="E3015" s="1367"/>
      <c r="F3015" s="1367"/>
      <c r="G3015" s="1367"/>
      <c r="H3015" s="1367"/>
      <c r="I3015" s="1367"/>
      <c r="J3015" s="1367"/>
      <c r="K3015" s="1367"/>
      <c r="L3015" s="1367"/>
      <c r="M3015" s="1010"/>
    </row>
    <row r="3016">
      <c r="A3016" s="1367"/>
      <c r="B3016" s="1367"/>
      <c r="C3016" s="1367"/>
      <c r="D3016" s="1367"/>
      <c r="E3016" s="1367"/>
      <c r="F3016" s="1367"/>
      <c r="G3016" s="1367"/>
      <c r="H3016" s="1367"/>
      <c r="I3016" s="1367"/>
      <c r="J3016" s="1367"/>
      <c r="K3016" s="1367"/>
      <c r="L3016" s="1367"/>
      <c r="M3016" s="1010"/>
    </row>
    <row r="3017">
      <c r="A3017" s="1367"/>
      <c r="B3017" s="1367"/>
      <c r="C3017" s="1367"/>
      <c r="D3017" s="1367"/>
      <c r="E3017" s="1367"/>
      <c r="F3017" s="1367"/>
      <c r="G3017" s="1367"/>
      <c r="H3017" s="1367"/>
      <c r="I3017" s="1367"/>
      <c r="J3017" s="1367"/>
      <c r="K3017" s="1367"/>
      <c r="L3017" s="1367"/>
      <c r="M3017" s="1010"/>
    </row>
    <row r="3018">
      <c r="A3018" s="1367"/>
      <c r="B3018" s="1367"/>
      <c r="C3018" s="1367"/>
      <c r="D3018" s="1367"/>
      <c r="E3018" s="1367"/>
      <c r="F3018" s="1367"/>
      <c r="G3018" s="1367"/>
      <c r="H3018" s="1367"/>
      <c r="I3018" s="1367"/>
      <c r="J3018" s="1367"/>
      <c r="K3018" s="1367"/>
      <c r="L3018" s="1367"/>
      <c r="M3018" s="1010"/>
    </row>
    <row r="3019">
      <c r="A3019" s="1367"/>
      <c r="B3019" s="1367"/>
      <c r="C3019" s="1367"/>
      <c r="D3019" s="1367"/>
      <c r="E3019" s="1367"/>
      <c r="F3019" s="1367"/>
      <c r="G3019" s="1367"/>
      <c r="H3019" s="1367"/>
      <c r="I3019" s="1367"/>
      <c r="J3019" s="1367"/>
      <c r="K3019" s="1367"/>
      <c r="L3019" s="1367"/>
      <c r="M3019" s="1010"/>
    </row>
    <row r="3020">
      <c r="A3020" s="1367"/>
      <c r="B3020" s="1367"/>
      <c r="C3020" s="1367"/>
      <c r="D3020" s="1367"/>
      <c r="E3020" s="1367"/>
      <c r="F3020" s="1367"/>
      <c r="G3020" s="1367"/>
      <c r="H3020" s="1367"/>
      <c r="I3020" s="1367"/>
      <c r="J3020" s="1367"/>
      <c r="K3020" s="1367"/>
      <c r="L3020" s="1367"/>
      <c r="M3020" s="1010"/>
    </row>
    <row r="3021">
      <c r="A3021" s="1367"/>
      <c r="B3021" s="1367"/>
      <c r="C3021" s="1367"/>
      <c r="D3021" s="1367"/>
      <c r="E3021" s="1367"/>
      <c r="F3021" s="1367"/>
      <c r="G3021" s="1367"/>
      <c r="H3021" s="1367"/>
      <c r="I3021" s="1367"/>
      <c r="J3021" s="1367"/>
      <c r="K3021" s="1367"/>
      <c r="L3021" s="1367"/>
      <c r="M3021" s="1010"/>
    </row>
    <row r="3022">
      <c r="A3022" s="1367"/>
      <c r="B3022" s="1367"/>
      <c r="C3022" s="1367"/>
      <c r="D3022" s="1367"/>
      <c r="E3022" s="1367"/>
      <c r="F3022" s="1367"/>
      <c r="G3022" s="1367"/>
      <c r="H3022" s="1367"/>
      <c r="I3022" s="1367"/>
      <c r="J3022" s="1367"/>
      <c r="K3022" s="1367"/>
      <c r="L3022" s="1367"/>
      <c r="M3022" s="1010"/>
    </row>
    <row r="3023">
      <c r="A3023" s="1367"/>
      <c r="B3023" s="1367"/>
      <c r="C3023" s="1367"/>
      <c r="D3023" s="1367"/>
      <c r="E3023" s="1367"/>
      <c r="F3023" s="1367"/>
      <c r="G3023" s="1367"/>
      <c r="H3023" s="1367"/>
      <c r="I3023" s="1367"/>
      <c r="J3023" s="1367"/>
      <c r="K3023" s="1367"/>
      <c r="L3023" s="1367"/>
      <c r="M3023" s="1010"/>
    </row>
    <row r="3024">
      <c r="A3024" s="1367"/>
      <c r="B3024" s="1367"/>
      <c r="C3024" s="1367"/>
      <c r="D3024" s="1367"/>
      <c r="E3024" s="1367"/>
      <c r="F3024" s="1367"/>
      <c r="G3024" s="1367"/>
      <c r="H3024" s="1367"/>
      <c r="I3024" s="1367"/>
      <c r="J3024" s="1367"/>
      <c r="K3024" s="1367"/>
      <c r="L3024" s="1367"/>
      <c r="M3024" s="1010"/>
    </row>
    <row r="3025">
      <c r="A3025" s="1367"/>
      <c r="B3025" s="1367"/>
      <c r="C3025" s="1367"/>
      <c r="D3025" s="1367"/>
      <c r="E3025" s="1367"/>
      <c r="F3025" s="1367"/>
      <c r="G3025" s="1367"/>
      <c r="H3025" s="1367"/>
      <c r="I3025" s="1367"/>
      <c r="J3025" s="1367"/>
      <c r="K3025" s="1367"/>
      <c r="L3025" s="1367"/>
      <c r="M3025" s="1010"/>
    </row>
    <row r="3026">
      <c r="A3026" s="1367"/>
      <c r="B3026" s="1367"/>
      <c r="C3026" s="1367"/>
      <c r="D3026" s="1367"/>
      <c r="E3026" s="1367"/>
      <c r="F3026" s="1367"/>
      <c r="G3026" s="1367"/>
      <c r="H3026" s="1367"/>
      <c r="I3026" s="1367"/>
      <c r="J3026" s="1367"/>
      <c r="K3026" s="1367"/>
      <c r="L3026" s="1367"/>
      <c r="M3026" s="1010"/>
    </row>
    <row r="3027">
      <c r="A3027" s="1367"/>
      <c r="B3027" s="1367"/>
      <c r="C3027" s="1367"/>
      <c r="D3027" s="1367"/>
      <c r="E3027" s="1367"/>
      <c r="F3027" s="1367"/>
      <c r="G3027" s="1367"/>
      <c r="H3027" s="1367"/>
      <c r="I3027" s="1367"/>
      <c r="J3027" s="1367"/>
      <c r="K3027" s="1367"/>
      <c r="L3027" s="1367"/>
      <c r="M3027" s="1010"/>
    </row>
    <row r="3028">
      <c r="A3028" s="1367"/>
      <c r="B3028" s="1367"/>
      <c r="C3028" s="1367"/>
      <c r="D3028" s="1367"/>
      <c r="E3028" s="1367"/>
      <c r="F3028" s="1367"/>
      <c r="G3028" s="1367"/>
      <c r="H3028" s="1367"/>
      <c r="I3028" s="1367"/>
      <c r="J3028" s="1367"/>
      <c r="K3028" s="1367"/>
      <c r="L3028" s="1367"/>
      <c r="M3028" s="1010"/>
    </row>
    <row r="3029">
      <c r="A3029" s="1367"/>
      <c r="B3029" s="1367"/>
      <c r="C3029" s="1367"/>
      <c r="D3029" s="1367"/>
      <c r="E3029" s="1367"/>
      <c r="F3029" s="1367"/>
      <c r="G3029" s="1367"/>
      <c r="H3029" s="1367"/>
      <c r="I3029" s="1367"/>
      <c r="J3029" s="1367"/>
      <c r="K3029" s="1367"/>
      <c r="L3029" s="1367"/>
      <c r="M3029" s="1010"/>
    </row>
    <row r="3030">
      <c r="A3030" s="1367"/>
      <c r="B3030" s="1367"/>
      <c r="C3030" s="1367"/>
      <c r="D3030" s="1367"/>
      <c r="E3030" s="1367"/>
      <c r="F3030" s="1367"/>
      <c r="G3030" s="1367"/>
      <c r="H3030" s="1367"/>
      <c r="I3030" s="1367"/>
      <c r="J3030" s="1367"/>
      <c r="K3030" s="1367"/>
      <c r="L3030" s="1367"/>
      <c r="M3030" s="1010"/>
    </row>
    <row r="3031">
      <c r="A3031" s="1367"/>
      <c r="B3031" s="1367"/>
      <c r="C3031" s="1367"/>
      <c r="D3031" s="1367"/>
      <c r="E3031" s="1367"/>
      <c r="F3031" s="1367"/>
      <c r="G3031" s="1367"/>
      <c r="H3031" s="1367"/>
      <c r="I3031" s="1367"/>
      <c r="J3031" s="1367"/>
      <c r="K3031" s="1367"/>
      <c r="L3031" s="1367"/>
      <c r="M3031" s="1010"/>
    </row>
    <row r="3032">
      <c r="A3032" s="1367"/>
      <c r="B3032" s="1367"/>
      <c r="C3032" s="1367"/>
      <c r="D3032" s="1367"/>
      <c r="E3032" s="1367"/>
      <c r="F3032" s="1367"/>
      <c r="G3032" s="1367"/>
      <c r="H3032" s="1367"/>
      <c r="I3032" s="1367"/>
      <c r="J3032" s="1367"/>
      <c r="K3032" s="1367"/>
      <c r="L3032" s="1367"/>
      <c r="M3032" s="1010"/>
    </row>
    <row r="3033">
      <c r="A3033" s="1367"/>
      <c r="B3033" s="1367"/>
      <c r="C3033" s="1367"/>
      <c r="D3033" s="1367"/>
      <c r="E3033" s="1367"/>
      <c r="F3033" s="1367"/>
      <c r="G3033" s="1367"/>
      <c r="H3033" s="1367"/>
      <c r="I3033" s="1367"/>
      <c r="J3033" s="1367"/>
      <c r="K3033" s="1367"/>
      <c r="L3033" s="1367"/>
      <c r="M3033" s="1010"/>
    </row>
    <row r="3034">
      <c r="A3034" s="1367"/>
      <c r="B3034" s="1367"/>
      <c r="C3034" s="1367"/>
      <c r="D3034" s="1367"/>
      <c r="E3034" s="1367"/>
      <c r="F3034" s="1367"/>
      <c r="G3034" s="1367"/>
      <c r="H3034" s="1367"/>
      <c r="I3034" s="1367"/>
      <c r="J3034" s="1367"/>
      <c r="K3034" s="1367"/>
      <c r="L3034" s="1367"/>
      <c r="M3034" s="1010"/>
    </row>
    <row r="3035">
      <c r="A3035" s="1367"/>
      <c r="B3035" s="1367"/>
      <c r="C3035" s="1367"/>
      <c r="D3035" s="1367"/>
      <c r="E3035" s="1367"/>
      <c r="F3035" s="1367"/>
      <c r="G3035" s="1367"/>
      <c r="H3035" s="1367"/>
      <c r="I3035" s="1367"/>
      <c r="J3035" s="1367"/>
      <c r="K3035" s="1367"/>
      <c r="L3035" s="1367"/>
      <c r="M3035" s="1010"/>
    </row>
    <row r="3036">
      <c r="A3036" s="1367"/>
      <c r="B3036" s="1367"/>
      <c r="C3036" s="1367"/>
      <c r="D3036" s="1367"/>
      <c r="E3036" s="1367"/>
      <c r="F3036" s="1367"/>
      <c r="G3036" s="1367"/>
      <c r="H3036" s="1367"/>
      <c r="I3036" s="1367"/>
      <c r="J3036" s="1367"/>
      <c r="K3036" s="1367"/>
      <c r="L3036" s="1367"/>
      <c r="M3036" s="1010"/>
    </row>
    <row r="3037">
      <c r="A3037" s="1367"/>
      <c r="B3037" s="1367"/>
      <c r="C3037" s="1367"/>
      <c r="D3037" s="1367"/>
      <c r="E3037" s="1367"/>
      <c r="F3037" s="1367"/>
      <c r="G3037" s="1367"/>
      <c r="H3037" s="1367"/>
      <c r="I3037" s="1367"/>
      <c r="J3037" s="1367"/>
      <c r="K3037" s="1367"/>
      <c r="L3037" s="1367"/>
      <c r="M3037" s="1010"/>
    </row>
    <row r="3038">
      <c r="A3038" s="1367"/>
      <c r="B3038" s="1367"/>
      <c r="C3038" s="1367"/>
      <c r="D3038" s="1367"/>
      <c r="E3038" s="1367"/>
      <c r="F3038" s="1367"/>
      <c r="G3038" s="1367"/>
      <c r="H3038" s="1367"/>
      <c r="I3038" s="1367"/>
      <c r="J3038" s="1367"/>
      <c r="K3038" s="1367"/>
      <c r="L3038" s="1367"/>
      <c r="M3038" s="1010"/>
    </row>
    <row r="3039">
      <c r="A3039" s="1367"/>
      <c r="B3039" s="1367"/>
      <c r="C3039" s="1367"/>
      <c r="D3039" s="1367"/>
      <c r="E3039" s="1367"/>
      <c r="F3039" s="1367"/>
      <c r="G3039" s="1367"/>
      <c r="H3039" s="1367"/>
      <c r="I3039" s="1367"/>
      <c r="J3039" s="1367"/>
      <c r="K3039" s="1367"/>
      <c r="L3039" s="1367"/>
      <c r="M3039" s="1010"/>
    </row>
    <row r="3040">
      <c r="A3040" s="1367"/>
      <c r="B3040" s="1367"/>
      <c r="C3040" s="1367"/>
      <c r="D3040" s="1367"/>
      <c r="E3040" s="1367"/>
      <c r="F3040" s="1367"/>
      <c r="G3040" s="1367"/>
      <c r="H3040" s="1367"/>
      <c r="I3040" s="1367"/>
      <c r="J3040" s="1367"/>
      <c r="K3040" s="1367"/>
      <c r="L3040" s="1367"/>
      <c r="M3040" s="1010"/>
    </row>
    <row r="3041">
      <c r="A3041" s="1367"/>
      <c r="B3041" s="1367"/>
      <c r="C3041" s="1367"/>
      <c r="D3041" s="1367"/>
      <c r="E3041" s="1367"/>
      <c r="F3041" s="1367"/>
      <c r="G3041" s="1367"/>
      <c r="H3041" s="1367"/>
      <c r="I3041" s="1367"/>
      <c r="J3041" s="1367"/>
      <c r="K3041" s="1367"/>
      <c r="L3041" s="1367"/>
      <c r="M3041" s="1010"/>
    </row>
    <row r="3042">
      <c r="A3042" s="1367"/>
      <c r="B3042" s="1367"/>
      <c r="C3042" s="1367"/>
      <c r="D3042" s="1367"/>
      <c r="E3042" s="1367"/>
      <c r="F3042" s="1367"/>
      <c r="G3042" s="1367"/>
      <c r="H3042" s="1367"/>
      <c r="I3042" s="1367"/>
      <c r="J3042" s="1367"/>
      <c r="K3042" s="1367"/>
      <c r="L3042" s="1367"/>
      <c r="M3042" s="1010"/>
    </row>
    <row r="3043">
      <c r="A3043" s="1367"/>
      <c r="B3043" s="1367"/>
      <c r="C3043" s="1367"/>
      <c r="D3043" s="1367"/>
      <c r="E3043" s="1367"/>
      <c r="F3043" s="1367"/>
      <c r="G3043" s="1367"/>
      <c r="H3043" s="1367"/>
      <c r="I3043" s="1367"/>
      <c r="J3043" s="1367"/>
      <c r="K3043" s="1367"/>
      <c r="L3043" s="1367"/>
      <c r="M3043" s="1010"/>
    </row>
    <row r="3044">
      <c r="A3044" s="1367"/>
      <c r="B3044" s="1367"/>
      <c r="C3044" s="1367"/>
      <c r="D3044" s="1367"/>
      <c r="E3044" s="1367"/>
      <c r="F3044" s="1367"/>
      <c r="G3044" s="1367"/>
      <c r="H3044" s="1367"/>
      <c r="I3044" s="1367"/>
      <c r="J3044" s="1367"/>
      <c r="K3044" s="1367"/>
      <c r="L3044" s="1367"/>
      <c r="M3044" s="1010"/>
    </row>
    <row r="3045">
      <c r="A3045" s="1367"/>
      <c r="B3045" s="1367"/>
      <c r="C3045" s="1367"/>
      <c r="D3045" s="1367"/>
      <c r="E3045" s="1367"/>
      <c r="F3045" s="1367"/>
      <c r="G3045" s="1367"/>
      <c r="H3045" s="1367"/>
      <c r="I3045" s="1367"/>
      <c r="J3045" s="1367"/>
      <c r="K3045" s="1367"/>
      <c r="L3045" s="1367"/>
      <c r="M3045" s="1010"/>
    </row>
    <row r="3046">
      <c r="A3046" s="1367"/>
      <c r="B3046" s="1367"/>
      <c r="C3046" s="1367"/>
      <c r="D3046" s="1367"/>
      <c r="E3046" s="1367"/>
      <c r="F3046" s="1367"/>
      <c r="G3046" s="1367"/>
      <c r="H3046" s="1367"/>
      <c r="I3046" s="1367"/>
      <c r="J3046" s="1367"/>
      <c r="K3046" s="1367"/>
      <c r="L3046" s="1367"/>
      <c r="M3046" s="1010"/>
    </row>
    <row r="3047">
      <c r="A3047" s="1367"/>
      <c r="B3047" s="1367"/>
      <c r="C3047" s="1367"/>
      <c r="D3047" s="1367"/>
      <c r="E3047" s="1367"/>
      <c r="F3047" s="1367"/>
      <c r="G3047" s="1367"/>
      <c r="H3047" s="1367"/>
      <c r="I3047" s="1367"/>
      <c r="J3047" s="1367"/>
      <c r="K3047" s="1367"/>
      <c r="L3047" s="1367"/>
      <c r="M3047" s="1010"/>
    </row>
    <row r="3048">
      <c r="A3048" s="1367"/>
      <c r="B3048" s="1367"/>
      <c r="C3048" s="1367"/>
      <c r="D3048" s="1367"/>
      <c r="E3048" s="1367"/>
      <c r="F3048" s="1367"/>
      <c r="G3048" s="1367"/>
      <c r="H3048" s="1367"/>
      <c r="I3048" s="1367"/>
      <c r="J3048" s="1367"/>
      <c r="K3048" s="1367"/>
      <c r="L3048" s="1367"/>
      <c r="M3048" s="1010"/>
    </row>
    <row r="3049">
      <c r="A3049" s="1367"/>
      <c r="B3049" s="1367"/>
      <c r="C3049" s="1367"/>
      <c r="D3049" s="1367"/>
      <c r="E3049" s="1367"/>
      <c r="F3049" s="1367"/>
      <c r="G3049" s="1367"/>
      <c r="H3049" s="1367"/>
      <c r="I3049" s="1367"/>
      <c r="J3049" s="1367"/>
      <c r="K3049" s="1367"/>
      <c r="L3049" s="1367"/>
      <c r="M3049" s="1010"/>
    </row>
    <row r="3050">
      <c r="A3050" s="1367"/>
      <c r="B3050" s="1367"/>
      <c r="C3050" s="1367"/>
      <c r="D3050" s="1367"/>
      <c r="E3050" s="1367"/>
      <c r="F3050" s="1367"/>
      <c r="G3050" s="1367"/>
      <c r="H3050" s="1367"/>
      <c r="I3050" s="1367"/>
      <c r="J3050" s="1367"/>
      <c r="K3050" s="1367"/>
      <c r="L3050" s="1367"/>
      <c r="M3050" s="1010"/>
    </row>
    <row r="3051">
      <c r="A3051" s="1367"/>
      <c r="B3051" s="1367"/>
      <c r="C3051" s="1367"/>
      <c r="D3051" s="1367"/>
      <c r="E3051" s="1367"/>
      <c r="F3051" s="1367"/>
      <c r="G3051" s="1367"/>
      <c r="H3051" s="1367"/>
      <c r="I3051" s="1367"/>
      <c r="J3051" s="1367"/>
      <c r="K3051" s="1367"/>
      <c r="L3051" s="1367"/>
      <c r="M3051" s="1010"/>
    </row>
    <row r="3052">
      <c r="A3052" s="1367"/>
      <c r="B3052" s="1367"/>
      <c r="C3052" s="1367"/>
      <c r="D3052" s="1367"/>
      <c r="E3052" s="1367"/>
      <c r="F3052" s="1367"/>
      <c r="G3052" s="1367"/>
      <c r="H3052" s="1367"/>
      <c r="I3052" s="1367"/>
      <c r="J3052" s="1367"/>
      <c r="K3052" s="1367"/>
      <c r="L3052" s="1367"/>
      <c r="M3052" s="1010"/>
    </row>
    <row r="3053">
      <c r="A3053" s="1367"/>
      <c r="B3053" s="1367"/>
      <c r="C3053" s="1367"/>
      <c r="D3053" s="1367"/>
      <c r="E3053" s="1367"/>
      <c r="F3053" s="1367"/>
      <c r="G3053" s="1367"/>
      <c r="H3053" s="1367"/>
      <c r="I3053" s="1367"/>
      <c r="J3053" s="1367"/>
      <c r="K3053" s="1367"/>
      <c r="L3053" s="1367"/>
      <c r="M3053" s="1010"/>
    </row>
    <row r="3054">
      <c r="A3054" s="1367"/>
      <c r="B3054" s="1367"/>
      <c r="C3054" s="1367"/>
      <c r="D3054" s="1367"/>
      <c r="E3054" s="1367"/>
      <c r="F3054" s="1367"/>
      <c r="G3054" s="1367"/>
      <c r="H3054" s="1367"/>
      <c r="I3054" s="1367"/>
      <c r="J3054" s="1367"/>
      <c r="K3054" s="1367"/>
      <c r="L3054" s="1367"/>
      <c r="M3054" s="1010"/>
    </row>
    <row r="3055">
      <c r="A3055" s="1367"/>
      <c r="B3055" s="1367"/>
      <c r="C3055" s="1367"/>
      <c r="D3055" s="1367"/>
      <c r="E3055" s="1367"/>
      <c r="F3055" s="1367"/>
      <c r="G3055" s="1367"/>
      <c r="H3055" s="1367"/>
      <c r="I3055" s="1367"/>
      <c r="J3055" s="1367"/>
      <c r="K3055" s="1367"/>
      <c r="L3055" s="1367"/>
      <c r="M3055" s="1010"/>
    </row>
    <row r="3056">
      <c r="A3056" s="1367"/>
      <c r="B3056" s="1367"/>
      <c r="C3056" s="1367"/>
      <c r="D3056" s="1367"/>
      <c r="E3056" s="1367"/>
      <c r="F3056" s="1367"/>
      <c r="G3056" s="1367"/>
      <c r="H3056" s="1367"/>
      <c r="I3056" s="1367"/>
      <c r="J3056" s="1367"/>
      <c r="K3056" s="1367"/>
      <c r="L3056" s="1367"/>
      <c r="M3056" s="1010"/>
    </row>
    <row r="3057">
      <c r="A3057" s="1367"/>
      <c r="B3057" s="1367"/>
      <c r="C3057" s="1367"/>
      <c r="D3057" s="1367"/>
      <c r="E3057" s="1367"/>
      <c r="F3057" s="1367"/>
      <c r="G3057" s="1367"/>
      <c r="H3057" s="1367"/>
      <c r="I3057" s="1367"/>
      <c r="J3057" s="1367"/>
      <c r="K3057" s="1367"/>
      <c r="L3057" s="1367"/>
      <c r="M3057" s="1010"/>
    </row>
    <row r="3058">
      <c r="A3058" s="1367"/>
      <c r="B3058" s="1367"/>
      <c r="C3058" s="1367"/>
      <c r="D3058" s="1367"/>
      <c r="E3058" s="1367"/>
      <c r="F3058" s="1367"/>
      <c r="G3058" s="1367"/>
      <c r="H3058" s="1367"/>
      <c r="I3058" s="1367"/>
      <c r="J3058" s="1367"/>
      <c r="K3058" s="1367"/>
      <c r="L3058" s="1367"/>
      <c r="M3058" s="1010"/>
    </row>
    <row r="3059">
      <c r="A3059" s="1367"/>
      <c r="B3059" s="1367"/>
      <c r="C3059" s="1367"/>
      <c r="D3059" s="1367"/>
      <c r="E3059" s="1367"/>
      <c r="F3059" s="1367"/>
      <c r="G3059" s="1367"/>
      <c r="H3059" s="1367"/>
      <c r="I3059" s="1367"/>
      <c r="J3059" s="1367"/>
      <c r="K3059" s="1367"/>
      <c r="L3059" s="1367"/>
      <c r="M3059" s="1010"/>
    </row>
    <row r="3060">
      <c r="A3060" s="1367"/>
      <c r="B3060" s="1367"/>
      <c r="C3060" s="1367"/>
      <c r="D3060" s="1367"/>
      <c r="E3060" s="1367"/>
      <c r="F3060" s="1367"/>
      <c r="G3060" s="1367"/>
      <c r="H3060" s="1367"/>
      <c r="I3060" s="1367"/>
      <c r="J3060" s="1367"/>
      <c r="K3060" s="1367"/>
      <c r="L3060" s="1367"/>
      <c r="M3060" s="1010"/>
    </row>
    <row r="3061">
      <c r="A3061" s="1367"/>
      <c r="B3061" s="1367"/>
      <c r="C3061" s="1367"/>
      <c r="D3061" s="1367"/>
      <c r="E3061" s="1367"/>
      <c r="F3061" s="1367"/>
      <c r="G3061" s="1367"/>
      <c r="H3061" s="1367"/>
      <c r="I3061" s="1367"/>
      <c r="J3061" s="1367"/>
      <c r="K3061" s="1367"/>
      <c r="L3061" s="1367"/>
      <c r="M3061" s="1010"/>
    </row>
    <row r="3062">
      <c r="A3062" s="1367"/>
      <c r="B3062" s="1367"/>
      <c r="C3062" s="1367"/>
      <c r="D3062" s="1367"/>
      <c r="E3062" s="1367"/>
      <c r="F3062" s="1367"/>
      <c r="G3062" s="1367"/>
      <c r="H3062" s="1367"/>
      <c r="I3062" s="1367"/>
      <c r="J3062" s="1367"/>
      <c r="K3062" s="1367"/>
      <c r="L3062" s="1367"/>
      <c r="M3062" s="1010"/>
    </row>
    <row r="3063">
      <c r="A3063" s="1367"/>
      <c r="B3063" s="1367"/>
      <c r="C3063" s="1367"/>
      <c r="D3063" s="1367"/>
      <c r="E3063" s="1367"/>
      <c r="F3063" s="1367"/>
      <c r="G3063" s="1367"/>
      <c r="H3063" s="1367"/>
      <c r="I3063" s="1367"/>
      <c r="J3063" s="1367"/>
      <c r="K3063" s="1367"/>
      <c r="L3063" s="1367"/>
      <c r="M3063" s="1010"/>
    </row>
    <row r="3064">
      <c r="A3064" s="1367"/>
      <c r="B3064" s="1367"/>
      <c r="C3064" s="1367"/>
      <c r="D3064" s="1367"/>
      <c r="E3064" s="1367"/>
      <c r="F3064" s="1367"/>
      <c r="G3064" s="1367"/>
      <c r="H3064" s="1367"/>
      <c r="I3064" s="1367"/>
      <c r="J3064" s="1367"/>
      <c r="K3064" s="1367"/>
      <c r="L3064" s="1367"/>
      <c r="M3064" s="1010"/>
    </row>
    <row r="3065">
      <c r="A3065" s="1367"/>
      <c r="B3065" s="1367"/>
      <c r="C3065" s="1367"/>
      <c r="D3065" s="1367"/>
      <c r="E3065" s="1367"/>
      <c r="F3065" s="1367"/>
      <c r="G3065" s="1367"/>
      <c r="H3065" s="1367"/>
      <c r="I3065" s="1367"/>
      <c r="J3065" s="1367"/>
      <c r="K3065" s="1367"/>
      <c r="L3065" s="1367"/>
      <c r="M3065" s="1010"/>
    </row>
    <row r="3066">
      <c r="A3066" s="1367"/>
      <c r="B3066" s="1367"/>
      <c r="C3066" s="1367"/>
      <c r="D3066" s="1367"/>
      <c r="E3066" s="1367"/>
      <c r="F3066" s="1367"/>
      <c r="G3066" s="1367"/>
      <c r="H3066" s="1367"/>
      <c r="I3066" s="1367"/>
      <c r="J3066" s="1367"/>
      <c r="K3066" s="1367"/>
      <c r="L3066" s="1367"/>
      <c r="M3066" s="1010"/>
    </row>
    <row r="3067">
      <c r="A3067" s="1367"/>
      <c r="B3067" s="1367"/>
      <c r="C3067" s="1367"/>
      <c r="D3067" s="1367"/>
      <c r="E3067" s="1367"/>
      <c r="F3067" s="1367"/>
      <c r="G3067" s="1367"/>
      <c r="H3067" s="1367"/>
      <c r="I3067" s="1367"/>
      <c r="J3067" s="1367"/>
      <c r="K3067" s="1367"/>
      <c r="L3067" s="1367"/>
      <c r="M3067" s="1010"/>
    </row>
    <row r="3068">
      <c r="A3068" s="1367"/>
      <c r="B3068" s="1367"/>
      <c r="C3068" s="1367"/>
      <c r="D3068" s="1367"/>
      <c r="E3068" s="1367"/>
      <c r="F3068" s="1367"/>
      <c r="G3068" s="1367"/>
      <c r="H3068" s="1367"/>
      <c r="I3068" s="1367"/>
      <c r="J3068" s="1367"/>
      <c r="K3068" s="1367"/>
      <c r="L3068" s="1367"/>
      <c r="M3068" s="1010"/>
    </row>
    <row r="3069">
      <c r="A3069" s="1367"/>
      <c r="B3069" s="1367"/>
      <c r="C3069" s="1367"/>
      <c r="D3069" s="1367"/>
      <c r="E3069" s="1367"/>
      <c r="F3069" s="1367"/>
      <c r="G3069" s="1367"/>
      <c r="H3069" s="1367"/>
      <c r="I3069" s="1367"/>
      <c r="J3069" s="1367"/>
      <c r="K3069" s="1367"/>
      <c r="L3069" s="1367"/>
      <c r="M3069" s="1010"/>
    </row>
    <row r="3070">
      <c r="A3070" s="1367"/>
      <c r="B3070" s="1367"/>
      <c r="C3070" s="1367"/>
      <c r="D3070" s="1367"/>
      <c r="E3070" s="1367"/>
      <c r="F3070" s="1367"/>
      <c r="G3070" s="1367"/>
      <c r="H3070" s="1367"/>
      <c r="I3070" s="1367"/>
      <c r="J3070" s="1367"/>
      <c r="K3070" s="1367"/>
      <c r="L3070" s="1367"/>
      <c r="M3070" s="1010"/>
    </row>
    <row r="3071">
      <c r="A3071" s="1367"/>
      <c r="B3071" s="1367"/>
      <c r="C3071" s="1367"/>
      <c r="D3071" s="1367"/>
      <c r="E3071" s="1367"/>
      <c r="F3071" s="1367"/>
      <c r="G3071" s="1367"/>
      <c r="H3071" s="1367"/>
      <c r="I3071" s="1367"/>
      <c r="J3071" s="1367"/>
      <c r="K3071" s="1367"/>
      <c r="L3071" s="1367"/>
      <c r="M3071" s="1010"/>
    </row>
    <row r="3072">
      <c r="A3072" s="1367"/>
      <c r="B3072" s="1367"/>
      <c r="C3072" s="1367"/>
      <c r="D3072" s="1367"/>
      <c r="E3072" s="1367"/>
      <c r="F3072" s="1367"/>
      <c r="G3072" s="1367"/>
      <c r="H3072" s="1367"/>
      <c r="I3072" s="1367"/>
      <c r="J3072" s="1367"/>
      <c r="K3072" s="1367"/>
      <c r="L3072" s="1367"/>
      <c r="M3072" s="1010"/>
    </row>
    <row r="3073">
      <c r="A3073" s="1367"/>
      <c r="B3073" s="1367"/>
      <c r="C3073" s="1367"/>
      <c r="D3073" s="1367"/>
      <c r="E3073" s="1367"/>
      <c r="F3073" s="1367"/>
      <c r="G3073" s="1367"/>
      <c r="H3073" s="1367"/>
      <c r="I3073" s="1367"/>
      <c r="J3073" s="1367"/>
      <c r="K3073" s="1367"/>
      <c r="L3073" s="1367"/>
      <c r="M3073" s="1010"/>
    </row>
    <row r="3074">
      <c r="A3074" s="1367"/>
      <c r="B3074" s="1367"/>
      <c r="C3074" s="1367"/>
      <c r="D3074" s="1367"/>
      <c r="E3074" s="1367"/>
      <c r="F3074" s="1367"/>
      <c r="G3074" s="1367"/>
      <c r="H3074" s="1367"/>
      <c r="I3074" s="1367"/>
      <c r="J3074" s="1367"/>
      <c r="K3074" s="1367"/>
      <c r="L3074" s="1367"/>
      <c r="M3074" s="1010"/>
    </row>
    <row r="3075">
      <c r="A3075" s="1367"/>
      <c r="B3075" s="1367"/>
      <c r="C3075" s="1367"/>
      <c r="D3075" s="1367"/>
      <c r="E3075" s="1367"/>
      <c r="F3075" s="1367"/>
      <c r="G3075" s="1367"/>
      <c r="H3075" s="1367"/>
      <c r="I3075" s="1367"/>
      <c r="J3075" s="1367"/>
      <c r="K3075" s="1367"/>
      <c r="L3075" s="1367"/>
      <c r="M3075" s="1010"/>
    </row>
    <row r="3076">
      <c r="A3076" s="1367"/>
      <c r="B3076" s="1367"/>
      <c r="C3076" s="1367"/>
      <c r="D3076" s="1367"/>
      <c r="E3076" s="1367"/>
      <c r="F3076" s="1367"/>
      <c r="G3076" s="1367"/>
      <c r="H3076" s="1367"/>
      <c r="I3076" s="1367"/>
      <c r="J3076" s="1367"/>
      <c r="K3076" s="1367"/>
      <c r="L3076" s="1367"/>
      <c r="M3076" s="1010"/>
    </row>
    <row r="3077">
      <c r="A3077" s="1367"/>
      <c r="B3077" s="1367"/>
      <c r="C3077" s="1367"/>
      <c r="D3077" s="1367"/>
      <c r="E3077" s="1367"/>
      <c r="F3077" s="1367"/>
      <c r="G3077" s="1367"/>
      <c r="H3077" s="1367"/>
      <c r="I3077" s="1367"/>
      <c r="J3077" s="1367"/>
      <c r="K3077" s="1367"/>
      <c r="L3077" s="1367"/>
      <c r="M3077" s="1010"/>
    </row>
    <row r="3078">
      <c r="A3078" s="1367"/>
      <c r="B3078" s="1367"/>
      <c r="C3078" s="1367"/>
      <c r="D3078" s="1367"/>
      <c r="E3078" s="1367"/>
      <c r="F3078" s="1367"/>
      <c r="G3078" s="1367"/>
      <c r="H3078" s="1367"/>
      <c r="I3078" s="1367"/>
      <c r="J3078" s="1367"/>
      <c r="K3078" s="1367"/>
      <c r="L3078" s="1367"/>
      <c r="M3078" s="1010"/>
    </row>
    <row r="3079">
      <c r="A3079" s="1367"/>
      <c r="B3079" s="1367"/>
      <c r="C3079" s="1367"/>
      <c r="D3079" s="1367"/>
      <c r="E3079" s="1367"/>
      <c r="F3079" s="1367"/>
      <c r="G3079" s="1367"/>
      <c r="H3079" s="1367"/>
      <c r="I3079" s="1367"/>
      <c r="J3079" s="1367"/>
      <c r="K3079" s="1367"/>
      <c r="L3079" s="1367"/>
      <c r="M3079" s="1010"/>
    </row>
    <row r="3080">
      <c r="A3080" s="1367"/>
      <c r="B3080" s="1367"/>
      <c r="C3080" s="1367"/>
      <c r="D3080" s="1367"/>
      <c r="E3080" s="1367"/>
      <c r="F3080" s="1367"/>
      <c r="G3080" s="1367"/>
      <c r="H3080" s="1367"/>
      <c r="I3080" s="1367"/>
      <c r="J3080" s="1367"/>
      <c r="K3080" s="1367"/>
      <c r="L3080" s="1367"/>
      <c r="M3080" s="1010"/>
    </row>
    <row r="3081">
      <c r="A3081" s="1367"/>
      <c r="B3081" s="1367"/>
      <c r="C3081" s="1367"/>
      <c r="D3081" s="1367"/>
      <c r="E3081" s="1367"/>
      <c r="F3081" s="1367"/>
      <c r="G3081" s="1367"/>
      <c r="H3081" s="1367"/>
      <c r="I3081" s="1367"/>
      <c r="J3081" s="1367"/>
      <c r="K3081" s="1367"/>
      <c r="L3081" s="1367"/>
      <c r="M3081" s="1010"/>
    </row>
    <row r="3082">
      <c r="A3082" s="1367"/>
      <c r="B3082" s="1367"/>
      <c r="C3082" s="1367"/>
      <c r="D3082" s="1367"/>
      <c r="E3082" s="1367"/>
      <c r="F3082" s="1367"/>
      <c r="G3082" s="1367"/>
      <c r="H3082" s="1367"/>
      <c r="I3082" s="1367"/>
      <c r="J3082" s="1367"/>
      <c r="K3082" s="1367"/>
      <c r="L3082" s="1367"/>
      <c r="M3082" s="1010"/>
    </row>
    <row r="3083">
      <c r="A3083" s="1367"/>
      <c r="B3083" s="1367"/>
      <c r="C3083" s="1367"/>
      <c r="D3083" s="1367"/>
      <c r="E3083" s="1367"/>
      <c r="F3083" s="1367"/>
      <c r="G3083" s="1367"/>
      <c r="H3083" s="1367"/>
      <c r="I3083" s="1367"/>
      <c r="J3083" s="1367"/>
      <c r="K3083" s="1367"/>
      <c r="L3083" s="1367"/>
      <c r="M3083" s="1010"/>
    </row>
    <row r="3084">
      <c r="A3084" s="1367"/>
      <c r="B3084" s="1367"/>
      <c r="C3084" s="1367"/>
      <c r="D3084" s="1367"/>
      <c r="E3084" s="1367"/>
      <c r="F3084" s="1367"/>
      <c r="G3084" s="1367"/>
      <c r="H3084" s="1367"/>
      <c r="I3084" s="1367"/>
      <c r="J3084" s="1367"/>
      <c r="K3084" s="1367"/>
      <c r="L3084" s="1367"/>
      <c r="M3084" s="1010"/>
    </row>
    <row r="3085">
      <c r="A3085" s="1367"/>
      <c r="B3085" s="1367"/>
      <c r="C3085" s="1367"/>
      <c r="D3085" s="1367"/>
      <c r="E3085" s="1367"/>
      <c r="F3085" s="1367"/>
      <c r="G3085" s="1367"/>
      <c r="H3085" s="1367"/>
      <c r="I3085" s="1367"/>
      <c r="J3085" s="1367"/>
      <c r="K3085" s="1367"/>
      <c r="L3085" s="1367"/>
      <c r="M3085" s="1010"/>
    </row>
    <row r="3086">
      <c r="A3086" s="1367"/>
      <c r="B3086" s="1367"/>
      <c r="C3086" s="1367"/>
      <c r="D3086" s="1367"/>
      <c r="E3086" s="1367"/>
      <c r="F3086" s="1367"/>
      <c r="G3086" s="1367"/>
      <c r="H3086" s="1367"/>
      <c r="I3086" s="1367"/>
      <c r="J3086" s="1367"/>
      <c r="K3086" s="1367"/>
      <c r="L3086" s="1367"/>
      <c r="M3086" s="1010"/>
    </row>
    <row r="3087">
      <c r="A3087" s="1367"/>
      <c r="B3087" s="1367"/>
      <c r="C3087" s="1367"/>
      <c r="D3087" s="1367"/>
      <c r="E3087" s="1367"/>
      <c r="F3087" s="1367"/>
      <c r="G3087" s="1367"/>
      <c r="H3087" s="1367"/>
      <c r="I3087" s="1367"/>
      <c r="J3087" s="1367"/>
      <c r="K3087" s="1367"/>
      <c r="L3087" s="1367"/>
      <c r="M3087" s="1010"/>
    </row>
    <row r="3088">
      <c r="A3088" s="1367"/>
      <c r="B3088" s="1367"/>
      <c r="C3088" s="1367"/>
      <c r="D3088" s="1367"/>
      <c r="E3088" s="1367"/>
      <c r="F3088" s="1367"/>
      <c r="G3088" s="1367"/>
      <c r="H3088" s="1367"/>
      <c r="I3088" s="1367"/>
      <c r="J3088" s="1367"/>
      <c r="K3088" s="1367"/>
      <c r="L3088" s="1367"/>
      <c r="M3088" s="1010"/>
    </row>
    <row r="3089">
      <c r="A3089" s="1367"/>
      <c r="B3089" s="1367"/>
      <c r="C3089" s="1367"/>
      <c r="D3089" s="1367"/>
      <c r="E3089" s="1367"/>
      <c r="F3089" s="1367"/>
      <c r="G3089" s="1367"/>
      <c r="H3089" s="1367"/>
      <c r="I3089" s="1367"/>
      <c r="J3089" s="1367"/>
      <c r="K3089" s="1367"/>
      <c r="L3089" s="1367"/>
      <c r="M3089" s="1010"/>
    </row>
    <row r="3090">
      <c r="A3090" s="1367"/>
      <c r="B3090" s="1367"/>
      <c r="C3090" s="1367"/>
      <c r="D3090" s="1367"/>
      <c r="E3090" s="1367"/>
      <c r="F3090" s="1367"/>
      <c r="G3090" s="1367"/>
      <c r="H3090" s="1367"/>
      <c r="I3090" s="1367"/>
      <c r="J3090" s="1367"/>
      <c r="K3090" s="1367"/>
      <c r="L3090" s="1367"/>
      <c r="M3090" s="1010"/>
    </row>
    <row r="3091">
      <c r="A3091" s="1367"/>
      <c r="B3091" s="1367"/>
      <c r="C3091" s="1367"/>
      <c r="D3091" s="1367"/>
      <c r="E3091" s="1367"/>
      <c r="F3091" s="1367"/>
      <c r="G3091" s="1367"/>
      <c r="H3091" s="1367"/>
      <c r="I3091" s="1367"/>
      <c r="J3091" s="1367"/>
      <c r="K3091" s="1367"/>
      <c r="L3091" s="1367"/>
      <c r="M3091" s="1010"/>
    </row>
    <row r="3092">
      <c r="A3092" s="1367"/>
      <c r="B3092" s="1367"/>
      <c r="C3092" s="1367"/>
      <c r="D3092" s="1367"/>
      <c r="E3092" s="1367"/>
      <c r="F3092" s="1367"/>
      <c r="G3092" s="1367"/>
      <c r="H3092" s="1367"/>
      <c r="I3092" s="1367"/>
      <c r="J3092" s="1367"/>
      <c r="K3092" s="1367"/>
      <c r="L3092" s="1367"/>
      <c r="M3092" s="1010"/>
    </row>
    <row r="3093">
      <c r="A3093" s="1367"/>
      <c r="B3093" s="1367"/>
      <c r="C3093" s="1367"/>
      <c r="D3093" s="1367"/>
      <c r="E3093" s="1367"/>
      <c r="F3093" s="1367"/>
      <c r="G3093" s="1367"/>
      <c r="H3093" s="1367"/>
      <c r="I3093" s="1367"/>
      <c r="J3093" s="1367"/>
      <c r="K3093" s="1367"/>
      <c r="L3093" s="1367"/>
      <c r="M3093" s="1010"/>
    </row>
    <row r="3094">
      <c r="A3094" s="1367"/>
      <c r="B3094" s="1367"/>
      <c r="C3094" s="1367"/>
      <c r="D3094" s="1367"/>
      <c r="E3094" s="1367"/>
      <c r="F3094" s="1367"/>
      <c r="G3094" s="1367"/>
      <c r="H3094" s="1367"/>
      <c r="I3094" s="1367"/>
      <c r="J3094" s="1367"/>
      <c r="K3094" s="1367"/>
      <c r="L3094" s="1367"/>
      <c r="M3094" s="1010"/>
    </row>
    <row r="3095">
      <c r="A3095" s="1367"/>
      <c r="B3095" s="1367"/>
      <c r="C3095" s="1367"/>
      <c r="D3095" s="1367"/>
      <c r="E3095" s="1367"/>
      <c r="F3095" s="1367"/>
      <c r="G3095" s="1367"/>
      <c r="H3095" s="1367"/>
      <c r="I3095" s="1367"/>
      <c r="J3095" s="1367"/>
      <c r="K3095" s="1367"/>
      <c r="L3095" s="1367"/>
      <c r="M3095" s="1010"/>
    </row>
    <row r="3096">
      <c r="A3096" s="1367"/>
      <c r="B3096" s="1367"/>
      <c r="C3096" s="1367"/>
      <c r="D3096" s="1367"/>
      <c r="E3096" s="1367"/>
      <c r="F3096" s="1367"/>
      <c r="G3096" s="1367"/>
      <c r="H3096" s="1367"/>
      <c r="I3096" s="1367"/>
      <c r="J3096" s="1367"/>
      <c r="K3096" s="1367"/>
      <c r="L3096" s="1367"/>
      <c r="M3096" s="1010"/>
    </row>
    <row r="3097">
      <c r="A3097" s="1367"/>
      <c r="B3097" s="1367"/>
      <c r="C3097" s="1367"/>
      <c r="D3097" s="1367"/>
      <c r="E3097" s="1367"/>
      <c r="F3097" s="1367"/>
      <c r="G3097" s="1367"/>
      <c r="H3097" s="1367"/>
      <c r="I3097" s="1367"/>
      <c r="J3097" s="1367"/>
      <c r="K3097" s="1367"/>
      <c r="L3097" s="1367"/>
      <c r="M3097" s="1010"/>
    </row>
    <row r="3098">
      <c r="A3098" s="1367"/>
      <c r="B3098" s="1367"/>
      <c r="C3098" s="1367"/>
      <c r="D3098" s="1367"/>
      <c r="E3098" s="1367"/>
      <c r="F3098" s="1367"/>
      <c r="G3098" s="1367"/>
      <c r="H3098" s="1367"/>
      <c r="I3098" s="1367"/>
      <c r="J3098" s="1367"/>
      <c r="K3098" s="1367"/>
      <c r="L3098" s="1367"/>
      <c r="M3098" s="1010"/>
    </row>
    <row r="3099">
      <c r="A3099" s="1367"/>
      <c r="B3099" s="1367"/>
      <c r="C3099" s="1367"/>
      <c r="D3099" s="1367"/>
      <c r="E3099" s="1367"/>
      <c r="F3099" s="1367"/>
      <c r="G3099" s="1367"/>
      <c r="H3099" s="1367"/>
      <c r="I3099" s="1367"/>
      <c r="J3099" s="1367"/>
      <c r="K3099" s="1367"/>
      <c r="L3099" s="1367"/>
      <c r="M3099" s="1010"/>
    </row>
    <row r="3100">
      <c r="A3100" s="1367"/>
      <c r="B3100" s="1367"/>
      <c r="C3100" s="1367"/>
      <c r="D3100" s="1367"/>
      <c r="E3100" s="1367"/>
      <c r="F3100" s="1367"/>
      <c r="G3100" s="1367"/>
      <c r="H3100" s="1367"/>
      <c r="I3100" s="1367"/>
      <c r="J3100" s="1367"/>
      <c r="K3100" s="1367"/>
      <c r="L3100" s="1367"/>
      <c r="M3100" s="1010"/>
    </row>
    <row r="3101">
      <c r="A3101" s="1367"/>
      <c r="B3101" s="1367"/>
      <c r="C3101" s="1367"/>
      <c r="D3101" s="1367"/>
      <c r="E3101" s="1367"/>
      <c r="F3101" s="1367"/>
      <c r="G3101" s="1367"/>
      <c r="H3101" s="1367"/>
      <c r="I3101" s="1367"/>
      <c r="J3101" s="1367"/>
      <c r="K3101" s="1367"/>
      <c r="L3101" s="1367"/>
      <c r="M3101" s="1010"/>
    </row>
    <row r="3102">
      <c r="A3102" s="1367"/>
      <c r="B3102" s="1367"/>
      <c r="C3102" s="1367"/>
      <c r="D3102" s="1367"/>
      <c r="E3102" s="1367"/>
      <c r="F3102" s="1367"/>
      <c r="G3102" s="1367"/>
      <c r="H3102" s="1367"/>
      <c r="I3102" s="1367"/>
      <c r="J3102" s="1367"/>
      <c r="K3102" s="1367"/>
      <c r="L3102" s="1367"/>
      <c r="M3102" s="1010"/>
    </row>
    <row r="3103">
      <c r="A3103" s="1367"/>
      <c r="B3103" s="1367"/>
      <c r="C3103" s="1367"/>
      <c r="D3103" s="1367"/>
      <c r="E3103" s="1367"/>
      <c r="F3103" s="1367"/>
      <c r="G3103" s="1367"/>
      <c r="H3103" s="1367"/>
      <c r="I3103" s="1367"/>
      <c r="J3103" s="1367"/>
      <c r="K3103" s="1367"/>
      <c r="L3103" s="1367"/>
      <c r="M3103" s="1010"/>
    </row>
    <row r="3104">
      <c r="A3104" s="1367"/>
      <c r="B3104" s="1367"/>
      <c r="C3104" s="1367"/>
      <c r="D3104" s="1367"/>
      <c r="E3104" s="1367"/>
      <c r="F3104" s="1367"/>
      <c r="G3104" s="1367"/>
      <c r="H3104" s="1367"/>
      <c r="I3104" s="1367"/>
      <c r="J3104" s="1367"/>
      <c r="K3104" s="1367"/>
      <c r="L3104" s="1367"/>
      <c r="M3104" s="1010"/>
    </row>
    <row r="3105">
      <c r="A3105" s="1367"/>
      <c r="B3105" s="1367"/>
      <c r="C3105" s="1367"/>
      <c r="D3105" s="1367"/>
      <c r="E3105" s="1367"/>
      <c r="F3105" s="1367"/>
      <c r="G3105" s="1367"/>
      <c r="H3105" s="1367"/>
      <c r="I3105" s="1367"/>
      <c r="J3105" s="1367"/>
      <c r="K3105" s="1367"/>
      <c r="L3105" s="1367"/>
      <c r="M3105" s="1010"/>
    </row>
    <row r="3106">
      <c r="A3106" s="1367"/>
      <c r="B3106" s="1367"/>
      <c r="C3106" s="1367"/>
      <c r="D3106" s="1367"/>
      <c r="E3106" s="1367"/>
      <c r="F3106" s="1367"/>
      <c r="G3106" s="1367"/>
      <c r="H3106" s="1367"/>
      <c r="I3106" s="1367"/>
      <c r="J3106" s="1367"/>
      <c r="K3106" s="1367"/>
      <c r="L3106" s="1367"/>
      <c r="M3106" s="1010"/>
    </row>
    <row r="3107">
      <c r="A3107" s="1367"/>
      <c r="B3107" s="1367"/>
      <c r="C3107" s="1367"/>
      <c r="D3107" s="1367"/>
      <c r="E3107" s="1367"/>
      <c r="F3107" s="1367"/>
      <c r="G3107" s="1367"/>
      <c r="H3107" s="1367"/>
      <c r="I3107" s="1367"/>
      <c r="J3107" s="1367"/>
      <c r="K3107" s="1367"/>
      <c r="L3107" s="1367"/>
      <c r="M3107" s="1010"/>
    </row>
    <row r="3108">
      <c r="A3108" s="1367"/>
      <c r="B3108" s="1367"/>
      <c r="C3108" s="1367"/>
      <c r="D3108" s="1367"/>
      <c r="E3108" s="1367"/>
      <c r="F3108" s="1367"/>
      <c r="G3108" s="1367"/>
      <c r="H3108" s="1367"/>
      <c r="I3108" s="1367"/>
      <c r="J3108" s="1367"/>
      <c r="K3108" s="1367"/>
      <c r="L3108" s="1367"/>
      <c r="M3108" s="1010"/>
    </row>
    <row r="3109">
      <c r="A3109" s="1367"/>
      <c r="B3109" s="1367"/>
      <c r="C3109" s="1367"/>
      <c r="D3109" s="1367"/>
      <c r="E3109" s="1367"/>
      <c r="F3109" s="1367"/>
      <c r="G3109" s="1367"/>
      <c r="H3109" s="1367"/>
      <c r="I3109" s="1367"/>
      <c r="J3109" s="1367"/>
      <c r="K3109" s="1367"/>
      <c r="L3109" s="1367"/>
      <c r="M3109" s="1010"/>
    </row>
    <row r="3110">
      <c r="A3110" s="1367"/>
      <c r="B3110" s="1367"/>
      <c r="C3110" s="1367"/>
      <c r="D3110" s="1367"/>
      <c r="E3110" s="1367"/>
      <c r="F3110" s="1367"/>
      <c r="G3110" s="1367"/>
      <c r="H3110" s="1367"/>
      <c r="I3110" s="1367"/>
      <c r="J3110" s="1367"/>
      <c r="K3110" s="1367"/>
      <c r="L3110" s="1367"/>
      <c r="M3110" s="1010"/>
    </row>
    <row r="3111">
      <c r="A3111" s="1367"/>
      <c r="B3111" s="1367"/>
      <c r="C3111" s="1367"/>
      <c r="D3111" s="1367"/>
      <c r="E3111" s="1367"/>
      <c r="F3111" s="1367"/>
      <c r="G3111" s="1367"/>
      <c r="H3111" s="1367"/>
      <c r="I3111" s="1367"/>
      <c r="J3111" s="1367"/>
      <c r="K3111" s="1367"/>
      <c r="L3111" s="1367"/>
      <c r="M3111" s="1010"/>
    </row>
    <row r="3112">
      <c r="A3112" s="1367"/>
      <c r="B3112" s="1367"/>
      <c r="C3112" s="1367"/>
      <c r="D3112" s="1367"/>
      <c r="E3112" s="1367"/>
      <c r="F3112" s="1367"/>
      <c r="G3112" s="1367"/>
      <c r="H3112" s="1367"/>
      <c r="I3112" s="1367"/>
      <c r="J3112" s="1367"/>
      <c r="K3112" s="1367"/>
      <c r="L3112" s="1367"/>
      <c r="M3112" s="1010"/>
    </row>
    <row r="3113">
      <c r="A3113" s="1367"/>
      <c r="B3113" s="1367"/>
      <c r="C3113" s="1367"/>
      <c r="D3113" s="1367"/>
      <c r="E3113" s="1367"/>
      <c r="F3113" s="1367"/>
      <c r="G3113" s="1367"/>
      <c r="H3113" s="1367"/>
      <c r="I3113" s="1367"/>
      <c r="J3113" s="1367"/>
      <c r="K3113" s="1367"/>
      <c r="L3113" s="1367"/>
      <c r="M3113" s="1010"/>
    </row>
    <row r="3114">
      <c r="A3114" s="1367"/>
      <c r="B3114" s="1367"/>
      <c r="C3114" s="1367"/>
      <c r="D3114" s="1367"/>
      <c r="E3114" s="1367"/>
      <c r="F3114" s="1367"/>
      <c r="G3114" s="1367"/>
      <c r="H3114" s="1367"/>
      <c r="I3114" s="1367"/>
      <c r="J3114" s="1367"/>
      <c r="K3114" s="1367"/>
      <c r="L3114" s="1367"/>
      <c r="M3114" s="1010"/>
    </row>
    <row r="3115">
      <c r="A3115" s="1367"/>
      <c r="B3115" s="1367"/>
      <c r="C3115" s="1367"/>
      <c r="D3115" s="1367"/>
      <c r="E3115" s="1367"/>
      <c r="F3115" s="1367"/>
      <c r="G3115" s="1367"/>
      <c r="H3115" s="1367"/>
      <c r="I3115" s="1367"/>
      <c r="J3115" s="1367"/>
      <c r="K3115" s="1367"/>
      <c r="L3115" s="1367"/>
      <c r="M3115" s="1010"/>
    </row>
    <row r="3116">
      <c r="A3116" s="1367"/>
      <c r="B3116" s="1367"/>
      <c r="C3116" s="1367"/>
      <c r="D3116" s="1367"/>
      <c r="E3116" s="1367"/>
      <c r="F3116" s="1367"/>
      <c r="G3116" s="1367"/>
      <c r="H3116" s="1367"/>
      <c r="I3116" s="1367"/>
      <c r="J3116" s="1367"/>
      <c r="K3116" s="1367"/>
      <c r="L3116" s="1367"/>
      <c r="M3116" s="1010"/>
    </row>
    <row r="3117">
      <c r="A3117" s="1367"/>
      <c r="B3117" s="1367"/>
      <c r="C3117" s="1367"/>
      <c r="D3117" s="1367"/>
      <c r="E3117" s="1367"/>
      <c r="F3117" s="1367"/>
      <c r="G3117" s="1367"/>
      <c r="H3117" s="1367"/>
      <c r="I3117" s="1367"/>
      <c r="J3117" s="1367"/>
      <c r="K3117" s="1367"/>
      <c r="L3117" s="1367"/>
      <c r="M3117" s="1010"/>
    </row>
    <row r="3118">
      <c r="A3118" s="1367"/>
      <c r="B3118" s="1367"/>
      <c r="C3118" s="1367"/>
      <c r="D3118" s="1367"/>
      <c r="E3118" s="1367"/>
      <c r="F3118" s="1367"/>
      <c r="G3118" s="1367"/>
      <c r="H3118" s="1367"/>
      <c r="I3118" s="1367"/>
      <c r="J3118" s="1367"/>
      <c r="K3118" s="1367"/>
      <c r="L3118" s="1367"/>
      <c r="M3118" s="1010"/>
    </row>
    <row r="3119">
      <c r="A3119" s="1367"/>
      <c r="B3119" s="1367"/>
      <c r="C3119" s="1367"/>
      <c r="D3119" s="1367"/>
      <c r="E3119" s="1367"/>
      <c r="F3119" s="1367"/>
      <c r="G3119" s="1367"/>
      <c r="H3119" s="1367"/>
      <c r="I3119" s="1367"/>
      <c r="J3119" s="1367"/>
      <c r="K3119" s="1367"/>
      <c r="L3119" s="1367"/>
      <c r="M3119" s="1010"/>
    </row>
    <row r="3120">
      <c r="A3120" s="1367"/>
      <c r="B3120" s="1367"/>
      <c r="C3120" s="1367"/>
      <c r="D3120" s="1367"/>
      <c r="E3120" s="1367"/>
      <c r="F3120" s="1367"/>
      <c r="G3120" s="1367"/>
      <c r="H3120" s="1367"/>
      <c r="I3120" s="1367"/>
      <c r="J3120" s="1367"/>
      <c r="K3120" s="1367"/>
      <c r="L3120" s="1367"/>
      <c r="M3120" s="1010"/>
    </row>
    <row r="3121">
      <c r="A3121" s="1367"/>
      <c r="B3121" s="1367"/>
      <c r="C3121" s="1367"/>
      <c r="D3121" s="1367"/>
      <c r="E3121" s="1367"/>
      <c r="F3121" s="1367"/>
      <c r="G3121" s="1367"/>
      <c r="H3121" s="1367"/>
      <c r="I3121" s="1367"/>
      <c r="J3121" s="1367"/>
      <c r="K3121" s="1367"/>
      <c r="L3121" s="1367"/>
      <c r="M3121" s="1010"/>
    </row>
    <row r="3122">
      <c r="A3122" s="1367"/>
      <c r="B3122" s="1367"/>
      <c r="C3122" s="1367"/>
      <c r="D3122" s="1367"/>
      <c r="E3122" s="1367"/>
      <c r="F3122" s="1367"/>
      <c r="G3122" s="1367"/>
      <c r="H3122" s="1367"/>
      <c r="I3122" s="1367"/>
      <c r="J3122" s="1367"/>
      <c r="K3122" s="1367"/>
      <c r="L3122" s="1367"/>
      <c r="M3122" s="1010"/>
    </row>
    <row r="3123">
      <c r="A3123" s="1367"/>
      <c r="B3123" s="1367"/>
      <c r="C3123" s="1367"/>
      <c r="D3123" s="1367"/>
      <c r="E3123" s="1367"/>
      <c r="F3123" s="1367"/>
      <c r="G3123" s="1367"/>
      <c r="H3123" s="1367"/>
      <c r="I3123" s="1367"/>
      <c r="J3123" s="1367"/>
      <c r="K3123" s="1367"/>
      <c r="L3123" s="1367"/>
      <c r="M3123" s="1010"/>
    </row>
    <row r="3124">
      <c r="A3124" s="1367"/>
      <c r="B3124" s="1367"/>
      <c r="C3124" s="1367"/>
      <c r="D3124" s="1367"/>
      <c r="E3124" s="1367"/>
      <c r="F3124" s="1367"/>
      <c r="G3124" s="1367"/>
      <c r="H3124" s="1367"/>
      <c r="I3124" s="1367"/>
      <c r="J3124" s="1367"/>
      <c r="K3124" s="1367"/>
      <c r="L3124" s="1367"/>
      <c r="M3124" s="1010"/>
    </row>
    <row r="3125">
      <c r="A3125" s="1367"/>
      <c r="B3125" s="1367"/>
      <c r="C3125" s="1367"/>
      <c r="D3125" s="1367"/>
      <c r="E3125" s="1367"/>
      <c r="F3125" s="1367"/>
      <c r="G3125" s="1367"/>
      <c r="H3125" s="1367"/>
      <c r="I3125" s="1367"/>
      <c r="J3125" s="1367"/>
      <c r="K3125" s="1367"/>
      <c r="L3125" s="1367"/>
      <c r="M3125" s="1010"/>
    </row>
    <row r="3126">
      <c r="A3126" s="1367"/>
      <c r="B3126" s="1367"/>
      <c r="C3126" s="1367"/>
      <c r="D3126" s="1367"/>
      <c r="E3126" s="1367"/>
      <c r="F3126" s="1367"/>
      <c r="G3126" s="1367"/>
      <c r="H3126" s="1367"/>
      <c r="I3126" s="1367"/>
      <c r="J3126" s="1367"/>
      <c r="K3126" s="1367"/>
      <c r="L3126" s="1367"/>
      <c r="M3126" s="1010"/>
    </row>
    <row r="3127">
      <c r="A3127" s="1367"/>
      <c r="B3127" s="1367"/>
      <c r="C3127" s="1367"/>
      <c r="D3127" s="1367"/>
      <c r="E3127" s="1367"/>
      <c r="F3127" s="1367"/>
      <c r="G3127" s="1367"/>
      <c r="H3127" s="1367"/>
      <c r="I3127" s="1367"/>
      <c r="J3127" s="1367"/>
      <c r="K3127" s="1367"/>
      <c r="L3127" s="1367"/>
      <c r="M3127" s="1010"/>
    </row>
    <row r="3128">
      <c r="A3128" s="1367"/>
      <c r="B3128" s="1367"/>
      <c r="C3128" s="1367"/>
      <c r="D3128" s="1367"/>
      <c r="E3128" s="1367"/>
      <c r="F3128" s="1367"/>
      <c r="G3128" s="1367"/>
      <c r="H3128" s="1367"/>
      <c r="I3128" s="1367"/>
      <c r="J3128" s="1367"/>
      <c r="K3128" s="1367"/>
      <c r="L3128" s="1367"/>
      <c r="M3128" s="1010"/>
    </row>
    <row r="3129">
      <c r="A3129" s="1367"/>
      <c r="B3129" s="1367"/>
      <c r="C3129" s="1367"/>
      <c r="D3129" s="1367"/>
      <c r="E3129" s="1367"/>
      <c r="F3129" s="1367"/>
      <c r="G3129" s="1367"/>
      <c r="H3129" s="1367"/>
      <c r="I3129" s="1367"/>
      <c r="J3129" s="1367"/>
      <c r="K3129" s="1367"/>
      <c r="L3129" s="1367"/>
      <c r="M3129" s="1010"/>
    </row>
    <row r="3130">
      <c r="A3130" s="1367"/>
      <c r="B3130" s="1367"/>
      <c r="C3130" s="1367"/>
      <c r="D3130" s="1367"/>
      <c r="E3130" s="1367"/>
      <c r="F3130" s="1367"/>
      <c r="G3130" s="1367"/>
      <c r="H3130" s="1367"/>
      <c r="I3130" s="1367"/>
      <c r="J3130" s="1367"/>
      <c r="K3130" s="1367"/>
      <c r="L3130" s="1367"/>
      <c r="M3130" s="1010"/>
    </row>
    <row r="3131">
      <c r="A3131" s="1367"/>
      <c r="B3131" s="1367"/>
      <c r="C3131" s="1367"/>
      <c r="D3131" s="1367"/>
      <c r="E3131" s="1367"/>
      <c r="F3131" s="1367"/>
      <c r="G3131" s="1367"/>
      <c r="H3131" s="1367"/>
      <c r="I3131" s="1367"/>
      <c r="J3131" s="1367"/>
      <c r="K3131" s="1367"/>
      <c r="L3131" s="1367"/>
      <c r="M3131" s="1010"/>
    </row>
    <row r="3132">
      <c r="A3132" s="1367"/>
      <c r="B3132" s="1367"/>
      <c r="C3132" s="1367"/>
      <c r="D3132" s="1367"/>
      <c r="E3132" s="1367"/>
      <c r="F3132" s="1367"/>
      <c r="G3132" s="1367"/>
      <c r="H3132" s="1367"/>
      <c r="I3132" s="1367"/>
      <c r="J3132" s="1367"/>
      <c r="K3132" s="1367"/>
      <c r="L3132" s="1367"/>
      <c r="M3132" s="1010"/>
    </row>
    <row r="3133">
      <c r="A3133" s="1367"/>
      <c r="B3133" s="1367"/>
      <c r="C3133" s="1367"/>
      <c r="D3133" s="1367"/>
      <c r="E3133" s="1367"/>
      <c r="F3133" s="1367"/>
      <c r="G3133" s="1367"/>
      <c r="H3133" s="1367"/>
      <c r="I3133" s="1367"/>
      <c r="J3133" s="1367"/>
      <c r="K3133" s="1367"/>
      <c r="L3133" s="1367"/>
      <c r="M3133" s="1010"/>
    </row>
    <row r="3134">
      <c r="A3134" s="1367"/>
      <c r="B3134" s="1367"/>
      <c r="C3134" s="1367"/>
      <c r="D3134" s="1367"/>
      <c r="E3134" s="1367"/>
      <c r="F3134" s="1367"/>
      <c r="G3134" s="1367"/>
      <c r="H3134" s="1367"/>
      <c r="I3134" s="1367"/>
      <c r="J3134" s="1367"/>
      <c r="K3134" s="1367"/>
      <c r="L3134" s="1367"/>
      <c r="M3134" s="1010"/>
    </row>
    <row r="3135">
      <c r="A3135" s="1367"/>
      <c r="B3135" s="1367"/>
      <c r="C3135" s="1367"/>
      <c r="D3135" s="1367"/>
      <c r="E3135" s="1367"/>
      <c r="F3135" s="1367"/>
      <c r="G3135" s="1367"/>
      <c r="H3135" s="1367"/>
      <c r="I3135" s="1367"/>
      <c r="J3135" s="1367"/>
      <c r="K3135" s="1367"/>
      <c r="L3135" s="1367"/>
      <c r="M3135" s="1010"/>
    </row>
    <row r="3136">
      <c r="A3136" s="1367"/>
      <c r="B3136" s="1367"/>
      <c r="C3136" s="1367"/>
      <c r="D3136" s="1367"/>
      <c r="E3136" s="1367"/>
      <c r="F3136" s="1367"/>
      <c r="G3136" s="1367"/>
      <c r="H3136" s="1367"/>
      <c r="I3136" s="1367"/>
      <c r="J3136" s="1367"/>
      <c r="K3136" s="1367"/>
      <c r="L3136" s="1367"/>
      <c r="M3136" s="1010"/>
    </row>
    <row r="3137">
      <c r="A3137" s="1367"/>
      <c r="B3137" s="1367"/>
      <c r="C3137" s="1367"/>
      <c r="D3137" s="1367"/>
      <c r="E3137" s="1367"/>
      <c r="F3137" s="1367"/>
      <c r="G3137" s="1367"/>
      <c r="H3137" s="1367"/>
      <c r="I3137" s="1367"/>
      <c r="J3137" s="1367"/>
      <c r="K3137" s="1367"/>
      <c r="L3137" s="1367"/>
      <c r="M3137" s="1010"/>
    </row>
    <row r="3138">
      <c r="A3138" s="1367"/>
      <c r="B3138" s="1367"/>
      <c r="C3138" s="1367"/>
      <c r="D3138" s="1367"/>
      <c r="E3138" s="1367"/>
      <c r="F3138" s="1367"/>
      <c r="G3138" s="1367"/>
      <c r="H3138" s="1367"/>
      <c r="I3138" s="1367"/>
      <c r="J3138" s="1367"/>
      <c r="K3138" s="1367"/>
      <c r="L3138" s="1367"/>
      <c r="M3138" s="1010"/>
    </row>
    <row r="3139">
      <c r="A3139" s="1367"/>
      <c r="B3139" s="1367"/>
      <c r="C3139" s="1367"/>
      <c r="D3139" s="1367"/>
      <c r="E3139" s="1367"/>
      <c r="F3139" s="1367"/>
      <c r="G3139" s="1367"/>
      <c r="H3139" s="1367"/>
      <c r="I3139" s="1367"/>
      <c r="J3139" s="1367"/>
      <c r="K3139" s="1367"/>
      <c r="L3139" s="1367"/>
      <c r="M3139" s="1010"/>
    </row>
    <row r="3140">
      <c r="A3140" s="1367"/>
      <c r="B3140" s="1367"/>
      <c r="C3140" s="1367"/>
      <c r="D3140" s="1367"/>
      <c r="E3140" s="1367"/>
      <c r="F3140" s="1367"/>
      <c r="G3140" s="1367"/>
      <c r="H3140" s="1367"/>
      <c r="I3140" s="1367"/>
      <c r="J3140" s="1367"/>
      <c r="K3140" s="1367"/>
      <c r="L3140" s="1367"/>
      <c r="M3140" s="1010"/>
    </row>
    <row r="3141">
      <c r="A3141" s="1367"/>
      <c r="B3141" s="1367"/>
      <c r="C3141" s="1367"/>
      <c r="D3141" s="1367"/>
      <c r="E3141" s="1367"/>
      <c r="F3141" s="1367"/>
      <c r="G3141" s="1367"/>
      <c r="H3141" s="1367"/>
      <c r="I3141" s="1367"/>
      <c r="J3141" s="1367"/>
      <c r="K3141" s="1367"/>
      <c r="L3141" s="1367"/>
      <c r="M3141" s="1010"/>
    </row>
    <row r="3142">
      <c r="A3142" s="1367"/>
      <c r="B3142" s="1367"/>
      <c r="C3142" s="1367"/>
      <c r="D3142" s="1367"/>
      <c r="E3142" s="1367"/>
      <c r="F3142" s="1367"/>
      <c r="G3142" s="1367"/>
      <c r="H3142" s="1367"/>
      <c r="I3142" s="1367"/>
      <c r="J3142" s="1367"/>
      <c r="K3142" s="1367"/>
      <c r="L3142" s="1367"/>
      <c r="M3142" s="1010"/>
    </row>
    <row r="3143">
      <c r="A3143" s="1367"/>
      <c r="B3143" s="1367"/>
      <c r="C3143" s="1367"/>
      <c r="D3143" s="1367"/>
      <c r="E3143" s="1367"/>
      <c r="F3143" s="1367"/>
      <c r="G3143" s="1367"/>
      <c r="H3143" s="1367"/>
      <c r="I3143" s="1367"/>
      <c r="J3143" s="1367"/>
      <c r="K3143" s="1367"/>
      <c r="L3143" s="1367"/>
      <c r="M3143" s="1010"/>
    </row>
    <row r="3144">
      <c r="A3144" s="1367"/>
      <c r="B3144" s="1367"/>
      <c r="C3144" s="1367"/>
      <c r="D3144" s="1367"/>
      <c r="E3144" s="1367"/>
      <c r="F3144" s="1367"/>
      <c r="G3144" s="1367"/>
      <c r="H3144" s="1367"/>
      <c r="I3144" s="1367"/>
      <c r="J3144" s="1367"/>
      <c r="K3144" s="1367"/>
      <c r="L3144" s="1367"/>
      <c r="M3144" s="1010"/>
    </row>
    <row r="3145">
      <c r="A3145" s="1367"/>
      <c r="B3145" s="1367"/>
      <c r="C3145" s="1367"/>
      <c r="D3145" s="1367"/>
      <c r="E3145" s="1367"/>
      <c r="F3145" s="1367"/>
      <c r="G3145" s="1367"/>
      <c r="H3145" s="1367"/>
      <c r="I3145" s="1367"/>
      <c r="J3145" s="1367"/>
      <c r="K3145" s="1367"/>
      <c r="L3145" s="1367"/>
      <c r="M3145" s="1010"/>
    </row>
    <row r="3146">
      <c r="A3146" s="1367"/>
      <c r="B3146" s="1367"/>
      <c r="C3146" s="1367"/>
      <c r="D3146" s="1367"/>
      <c r="E3146" s="1367"/>
      <c r="F3146" s="1367"/>
      <c r="G3146" s="1367"/>
      <c r="H3146" s="1367"/>
      <c r="I3146" s="1367"/>
      <c r="J3146" s="1367"/>
      <c r="K3146" s="1367"/>
      <c r="L3146" s="1367"/>
      <c r="M3146" s="1010"/>
    </row>
    <row r="3147">
      <c r="A3147" s="1367"/>
      <c r="B3147" s="1367"/>
      <c r="C3147" s="1367"/>
      <c r="D3147" s="1367"/>
      <c r="E3147" s="1367"/>
      <c r="F3147" s="1367"/>
      <c r="G3147" s="1367"/>
      <c r="H3147" s="1367"/>
      <c r="I3147" s="1367"/>
      <c r="J3147" s="1367"/>
      <c r="K3147" s="1367"/>
      <c r="L3147" s="1367"/>
      <c r="M3147" s="1010"/>
    </row>
    <row r="3148">
      <c r="A3148" s="1367"/>
      <c r="B3148" s="1367"/>
      <c r="C3148" s="1367"/>
      <c r="D3148" s="1367"/>
      <c r="E3148" s="1367"/>
      <c r="F3148" s="1367"/>
      <c r="G3148" s="1367"/>
      <c r="H3148" s="1367"/>
      <c r="I3148" s="1367"/>
      <c r="J3148" s="1367"/>
      <c r="K3148" s="1367"/>
      <c r="L3148" s="1367"/>
      <c r="M3148" s="1010"/>
    </row>
    <row r="3149">
      <c r="A3149" s="1367"/>
      <c r="B3149" s="1367"/>
      <c r="C3149" s="1367"/>
      <c r="D3149" s="1367"/>
      <c r="E3149" s="1367"/>
      <c r="F3149" s="1367"/>
      <c r="G3149" s="1367"/>
      <c r="H3149" s="1367"/>
      <c r="I3149" s="1367"/>
      <c r="J3149" s="1367"/>
      <c r="K3149" s="1367"/>
      <c r="L3149" s="1367"/>
      <c r="M3149" s="1010"/>
    </row>
    <row r="3150">
      <c r="A3150" s="1367"/>
      <c r="B3150" s="1367"/>
      <c r="C3150" s="1367"/>
      <c r="D3150" s="1367"/>
      <c r="E3150" s="1367"/>
      <c r="F3150" s="1367"/>
      <c r="G3150" s="1367"/>
      <c r="H3150" s="1367"/>
      <c r="I3150" s="1367"/>
      <c r="J3150" s="1367"/>
      <c r="K3150" s="1367"/>
      <c r="L3150" s="1367"/>
      <c r="M3150" s="1010"/>
    </row>
    <row r="3151">
      <c r="A3151" s="1367"/>
      <c r="B3151" s="1367"/>
      <c r="C3151" s="1367"/>
      <c r="D3151" s="1367"/>
      <c r="E3151" s="1367"/>
      <c r="F3151" s="1367"/>
      <c r="G3151" s="1367"/>
      <c r="H3151" s="1367"/>
      <c r="I3151" s="1367"/>
      <c r="J3151" s="1367"/>
      <c r="K3151" s="1367"/>
      <c r="L3151" s="1367"/>
      <c r="M3151" s="1010"/>
    </row>
    <row r="3152">
      <c r="A3152" s="1367"/>
      <c r="B3152" s="1367"/>
      <c r="C3152" s="1367"/>
      <c r="D3152" s="1367"/>
      <c r="E3152" s="1367"/>
      <c r="F3152" s="1367"/>
      <c r="G3152" s="1367"/>
      <c r="H3152" s="1367"/>
      <c r="I3152" s="1367"/>
      <c r="J3152" s="1367"/>
      <c r="K3152" s="1367"/>
      <c r="L3152" s="1367"/>
      <c r="M3152" s="1010"/>
    </row>
    <row r="3153">
      <c r="A3153" s="1367"/>
      <c r="B3153" s="1367"/>
      <c r="C3153" s="1367"/>
      <c r="D3153" s="1367"/>
      <c r="E3153" s="1367"/>
      <c r="F3153" s="1367"/>
      <c r="G3153" s="1367"/>
      <c r="H3153" s="1367"/>
      <c r="I3153" s="1367"/>
      <c r="J3153" s="1367"/>
      <c r="K3153" s="1367"/>
      <c r="L3153" s="1367"/>
      <c r="M3153" s="1010"/>
    </row>
    <row r="3154">
      <c r="A3154" s="1367"/>
      <c r="B3154" s="1367"/>
      <c r="C3154" s="1367"/>
      <c r="D3154" s="1367"/>
      <c r="E3154" s="1367"/>
      <c r="F3154" s="1367"/>
      <c r="G3154" s="1367"/>
      <c r="H3154" s="1367"/>
      <c r="I3154" s="1367"/>
      <c r="J3154" s="1367"/>
      <c r="K3154" s="1367"/>
      <c r="L3154" s="1367"/>
      <c r="M3154" s="1010"/>
    </row>
    <row r="3155">
      <c r="A3155" s="1367"/>
      <c r="B3155" s="1367"/>
      <c r="C3155" s="1367"/>
      <c r="D3155" s="1367"/>
      <c r="E3155" s="1367"/>
      <c r="F3155" s="1367"/>
      <c r="G3155" s="1367"/>
      <c r="H3155" s="1367"/>
      <c r="I3155" s="1367"/>
      <c r="J3155" s="1367"/>
      <c r="K3155" s="1367"/>
      <c r="L3155" s="1367"/>
      <c r="M3155" s="1010"/>
    </row>
    <row r="3156">
      <c r="A3156" s="1367"/>
      <c r="B3156" s="1367"/>
      <c r="C3156" s="1367"/>
      <c r="D3156" s="1367"/>
      <c r="E3156" s="1367"/>
      <c r="F3156" s="1367"/>
      <c r="G3156" s="1367"/>
      <c r="H3156" s="1367"/>
      <c r="I3156" s="1367"/>
      <c r="J3156" s="1367"/>
      <c r="K3156" s="1367"/>
      <c r="L3156" s="1367"/>
      <c r="M3156" s="1010"/>
    </row>
    <row r="3157">
      <c r="A3157" s="1367"/>
      <c r="B3157" s="1367"/>
      <c r="C3157" s="1367"/>
      <c r="D3157" s="1367"/>
      <c r="E3157" s="1367"/>
      <c r="F3157" s="1367"/>
      <c r="G3157" s="1367"/>
      <c r="H3157" s="1367"/>
      <c r="I3157" s="1367"/>
      <c r="J3157" s="1367"/>
      <c r="K3157" s="1367"/>
      <c r="L3157" s="1367"/>
      <c r="M3157" s="1010"/>
    </row>
    <row r="3158">
      <c r="A3158" s="1367"/>
      <c r="B3158" s="1367"/>
      <c r="C3158" s="1367"/>
      <c r="I3158" s="1367"/>
      <c r="J3158" s="1367"/>
      <c r="K3158" s="1367"/>
      <c r="L3158" s="1367"/>
      <c r="M3158" s="1010"/>
    </row>
    <row r="3159">
      <c r="A3159" s="1367"/>
      <c r="B3159" s="1367"/>
      <c r="C3159" s="1367"/>
      <c r="I3159" s="1367"/>
      <c r="J3159" s="1367"/>
      <c r="K3159" s="1367"/>
      <c r="L3159" s="1367"/>
      <c r="M3159" s="1010"/>
    </row>
    <row r="3160">
      <c r="A3160" s="1367"/>
      <c r="B3160" s="1367"/>
      <c r="C3160" s="1367"/>
      <c r="I3160" s="1367"/>
      <c r="J3160" s="1367"/>
      <c r="K3160" s="1367"/>
      <c r="L3160" s="1367"/>
      <c r="M3160" s="1010"/>
    </row>
    <row r="3161">
      <c r="A3161" s="1367"/>
      <c r="B3161" s="1367"/>
      <c r="C3161" s="1367"/>
      <c r="I3161" s="1367"/>
      <c r="J3161" s="1367"/>
      <c r="K3161" s="1367"/>
      <c r="L3161" s="1367"/>
      <c r="M3161" s="1010"/>
    </row>
    <row r="3162">
      <c r="A3162" s="1367"/>
      <c r="B3162" s="1367"/>
      <c r="C3162" s="1367"/>
      <c r="I3162" s="1367"/>
      <c r="J3162" s="1367"/>
      <c r="K3162" s="1367"/>
      <c r="L3162" s="1367"/>
      <c r="M3162" s="1010"/>
    </row>
    <row r="3163">
      <c r="A3163" s="1367"/>
      <c r="B3163" s="1367"/>
      <c r="C3163" s="1367"/>
      <c r="I3163" s="1367"/>
      <c r="J3163" s="1367"/>
      <c r="K3163" s="1367"/>
      <c r="L3163" s="1367"/>
      <c r="M3163" s="1010"/>
    </row>
    <row r="3164">
      <c r="A3164" s="1367"/>
      <c r="B3164" s="1367"/>
      <c r="C3164" s="1367"/>
      <c r="I3164" s="1367"/>
      <c r="J3164" s="1367"/>
      <c r="K3164" s="1367"/>
      <c r="L3164" s="1367"/>
      <c r="M3164" s="1010"/>
    </row>
    <row r="3165">
      <c r="A3165" s="1367"/>
      <c r="B3165" s="1367"/>
      <c r="C3165" s="1367"/>
      <c r="I3165" s="1367"/>
      <c r="J3165" s="1367"/>
      <c r="K3165" s="1367"/>
      <c r="L3165" s="1367"/>
      <c r="M3165" s="1010"/>
    </row>
    <row r="3166">
      <c r="A3166" s="1367"/>
      <c r="B3166" s="1367"/>
      <c r="C3166" s="1367"/>
      <c r="I3166" s="1367"/>
      <c r="J3166" s="1367"/>
      <c r="K3166" s="1367"/>
      <c r="L3166" s="1367"/>
      <c r="M3166" s="1010"/>
    </row>
    <row r="3167">
      <c r="A3167" s="1367"/>
      <c r="B3167" s="1367"/>
      <c r="C3167" s="1367"/>
      <c r="I3167" s="1367"/>
      <c r="J3167" s="1367"/>
      <c r="K3167" s="1367"/>
      <c r="L3167" s="1367"/>
      <c r="M3167" s="1010"/>
    </row>
    <row r="3168">
      <c r="A3168" s="1367"/>
      <c r="B3168" s="1367"/>
      <c r="C3168" s="1367"/>
      <c r="I3168" s="1367"/>
      <c r="J3168" s="1367"/>
      <c r="K3168" s="1367"/>
      <c r="L3168" s="1367"/>
      <c r="M3168" s="1010"/>
    </row>
    <row r="3169">
      <c r="A3169" s="1367"/>
      <c r="B3169" s="1367"/>
      <c r="C3169" s="1367"/>
      <c r="I3169" s="1367"/>
      <c r="J3169" s="1367"/>
      <c r="K3169" s="1367"/>
      <c r="L3169" s="1367"/>
      <c r="M3169" s="1010"/>
    </row>
    <row r="3170">
      <c r="A3170" s="1367"/>
      <c r="B3170" s="1367"/>
      <c r="C3170" s="1367"/>
      <c r="I3170" s="1367"/>
      <c r="J3170" s="1367"/>
      <c r="K3170" s="1367"/>
      <c r="L3170" s="1367"/>
      <c r="M3170" s="1010"/>
    </row>
    <row r="3171">
      <c r="A3171" s="1367"/>
      <c r="B3171" s="1367"/>
      <c r="C3171" s="1367"/>
      <c r="I3171" s="1367"/>
      <c r="J3171" s="1367"/>
      <c r="K3171" s="1367"/>
      <c r="L3171" s="1367"/>
      <c r="M3171" s="1010"/>
    </row>
    <row r="3172">
      <c r="A3172" s="1367"/>
      <c r="B3172" s="1367"/>
      <c r="C3172" s="1367"/>
      <c r="I3172" s="1367"/>
      <c r="J3172" s="1367"/>
      <c r="K3172" s="1367"/>
      <c r="L3172" s="1367"/>
      <c r="M3172" s="1010"/>
    </row>
    <row r="3173">
      <c r="A3173" s="1367"/>
      <c r="B3173" s="1367"/>
      <c r="C3173" s="1367"/>
      <c r="I3173" s="1367"/>
      <c r="J3173" s="1367"/>
      <c r="K3173" s="1367"/>
      <c r="L3173" s="1367"/>
      <c r="M3173" s="1010"/>
    </row>
    <row r="3174">
      <c r="A3174" s="1367"/>
      <c r="B3174" s="1367"/>
      <c r="C3174" s="1367"/>
      <c r="I3174" s="1367"/>
      <c r="J3174" s="1367"/>
      <c r="K3174" s="1367"/>
      <c r="L3174" s="1367"/>
      <c r="M3174" s="1010"/>
    </row>
    <row r="3175">
      <c r="A3175" s="1367"/>
      <c r="B3175" s="1367"/>
      <c r="C3175" s="1367"/>
      <c r="I3175" s="1367"/>
      <c r="J3175" s="1367"/>
      <c r="K3175" s="1367"/>
      <c r="L3175" s="1367"/>
      <c r="M3175" s="1010"/>
    </row>
    <row r="3176">
      <c r="A3176" s="1367"/>
      <c r="B3176" s="1367"/>
      <c r="C3176" s="1367"/>
      <c r="I3176" s="1367"/>
      <c r="J3176" s="1367"/>
      <c r="K3176" s="1367"/>
      <c r="L3176" s="1367"/>
      <c r="M3176" s="1010"/>
    </row>
    <row r="3177">
      <c r="A3177" s="1367"/>
      <c r="B3177" s="1367"/>
      <c r="C3177" s="1367"/>
      <c r="I3177" s="1367"/>
      <c r="J3177" s="1367"/>
      <c r="K3177" s="1367"/>
      <c r="L3177" s="1367"/>
      <c r="M3177" s="1010"/>
    </row>
    <row r="3178">
      <c r="A3178" s="1367"/>
      <c r="B3178" s="1367"/>
      <c r="C3178" s="1367"/>
      <c r="I3178" s="1367"/>
      <c r="J3178" s="1367"/>
      <c r="K3178" s="1367"/>
      <c r="L3178" s="1367"/>
      <c r="M3178" s="1010"/>
    </row>
    <row r="3179">
      <c r="A3179" s="1367"/>
      <c r="B3179" s="1367"/>
      <c r="C3179" s="1367"/>
      <c r="I3179" s="1367"/>
      <c r="J3179" s="1367"/>
      <c r="K3179" s="1367"/>
      <c r="L3179" s="1367"/>
      <c r="M3179" s="1010"/>
    </row>
    <row r="3180">
      <c r="A3180" s="1367"/>
      <c r="B3180" s="1367"/>
      <c r="C3180" s="1367"/>
      <c r="I3180" s="1367"/>
      <c r="J3180" s="1367"/>
      <c r="K3180" s="1367"/>
      <c r="L3180" s="1367"/>
      <c r="M3180" s="1010"/>
    </row>
    <row r="3181">
      <c r="A3181" s="1367"/>
      <c r="B3181" s="1367"/>
      <c r="C3181" s="1367"/>
      <c r="I3181" s="1367"/>
      <c r="J3181" s="1367"/>
      <c r="K3181" s="1367"/>
      <c r="L3181" s="1367"/>
      <c r="M3181" s="1010"/>
    </row>
    <row r="3182">
      <c r="A3182" s="1367"/>
      <c r="B3182" s="1367"/>
      <c r="C3182" s="1367"/>
      <c r="I3182" s="1367"/>
      <c r="J3182" s="1367"/>
      <c r="K3182" s="1367"/>
      <c r="L3182" s="1367"/>
      <c r="M3182" s="1010"/>
    </row>
    <row r="3183">
      <c r="A3183" s="1367"/>
      <c r="B3183" s="1367"/>
      <c r="C3183" s="1367"/>
      <c r="I3183" s="1367"/>
      <c r="J3183" s="1367"/>
      <c r="K3183" s="1367"/>
      <c r="L3183" s="1367"/>
      <c r="M3183" s="1010"/>
    </row>
    <row r="3184">
      <c r="A3184" s="1367"/>
      <c r="B3184" s="1367"/>
      <c r="C3184" s="1367"/>
      <c r="I3184" s="1367"/>
      <c r="J3184" s="1367"/>
      <c r="K3184" s="1367"/>
      <c r="L3184" s="1367"/>
      <c r="M3184" s="1010"/>
    </row>
    <row r="3185">
      <c r="A3185" s="1367"/>
      <c r="B3185" s="1367"/>
      <c r="C3185" s="1367"/>
      <c r="I3185" s="1367"/>
      <c r="J3185" s="1367"/>
      <c r="K3185" s="1367"/>
      <c r="L3185" s="1367"/>
      <c r="M3185" s="1010"/>
    </row>
    <row r="3186">
      <c r="A3186" s="1367"/>
      <c r="B3186" s="1367"/>
      <c r="C3186" s="1367"/>
      <c r="I3186" s="1367"/>
      <c r="J3186" s="1367"/>
      <c r="K3186" s="1367"/>
      <c r="L3186" s="1367"/>
      <c r="M3186" s="1010"/>
    </row>
    <row r="3187">
      <c r="A3187" s="1367"/>
      <c r="B3187" s="1367"/>
      <c r="C3187" s="1367"/>
      <c r="I3187" s="1367"/>
      <c r="J3187" s="1367"/>
      <c r="K3187" s="1367"/>
      <c r="L3187" s="1367"/>
      <c r="M3187" s="1010"/>
    </row>
    <row r="3188">
      <c r="A3188" s="1367"/>
      <c r="B3188" s="1367"/>
      <c r="C3188" s="1367"/>
      <c r="I3188" s="1367"/>
      <c r="J3188" s="1367"/>
      <c r="K3188" s="1367"/>
      <c r="L3188" s="1367"/>
      <c r="M3188" s="1010"/>
    </row>
    <row r="3189">
      <c r="A3189" s="1367"/>
      <c r="B3189" s="1367"/>
      <c r="C3189" s="1367"/>
      <c r="I3189" s="1367"/>
      <c r="J3189" s="1367"/>
      <c r="K3189" s="1367"/>
      <c r="L3189" s="1367"/>
      <c r="M3189" s="1010"/>
    </row>
    <row r="3190">
      <c r="A3190" s="1367"/>
      <c r="B3190" s="1367"/>
      <c r="C3190" s="1367"/>
      <c r="I3190" s="1367"/>
      <c r="J3190" s="1367"/>
      <c r="K3190" s="1367"/>
      <c r="L3190" s="1367"/>
      <c r="M3190" s="1010"/>
    </row>
    <row r="3191">
      <c r="A3191" s="1367"/>
      <c r="B3191" s="1367"/>
      <c r="C3191" s="1367"/>
      <c r="I3191" s="1367"/>
      <c r="J3191" s="1367"/>
      <c r="K3191" s="1367"/>
      <c r="L3191" s="1367"/>
      <c r="M3191" s="1010"/>
    </row>
    <row r="3192">
      <c r="A3192" s="1367"/>
      <c r="B3192" s="1367"/>
      <c r="C3192" s="1367"/>
      <c r="I3192" s="1367"/>
      <c r="J3192" s="1367"/>
      <c r="K3192" s="1367"/>
      <c r="L3192" s="1367"/>
      <c r="M3192" s="1010"/>
    </row>
    <row r="3193">
      <c r="A3193" s="1367"/>
      <c r="B3193" s="1367"/>
      <c r="C3193" s="1367"/>
      <c r="I3193" s="1367"/>
      <c r="J3193" s="1367"/>
      <c r="K3193" s="1367"/>
      <c r="L3193" s="1367"/>
      <c r="M3193" s="1010"/>
    </row>
    <row r="3194">
      <c r="A3194" s="1367"/>
      <c r="B3194" s="1367"/>
      <c r="C3194" s="1367"/>
      <c r="I3194" s="1367"/>
      <c r="J3194" s="1367"/>
      <c r="K3194" s="1367"/>
      <c r="L3194" s="1367"/>
      <c r="M3194" s="1010"/>
    </row>
    <row r="3195">
      <c r="A3195" s="1367"/>
      <c r="B3195" s="1367"/>
      <c r="C3195" s="1367"/>
      <c r="I3195" s="1367"/>
      <c r="J3195" s="1367"/>
      <c r="K3195" s="1367"/>
      <c r="L3195" s="1367"/>
      <c r="M3195" s="1010"/>
    </row>
    <row r="3196">
      <c r="A3196" s="1367"/>
      <c r="B3196" s="1367"/>
      <c r="C3196" s="1367"/>
      <c r="I3196" s="1367"/>
      <c r="J3196" s="1367"/>
      <c r="K3196" s="1367"/>
      <c r="L3196" s="1367"/>
      <c r="M3196" s="1010"/>
    </row>
    <row r="3197">
      <c r="A3197" s="1367"/>
      <c r="B3197" s="1367"/>
      <c r="C3197" s="1367"/>
      <c r="I3197" s="1367"/>
      <c r="J3197" s="1367"/>
      <c r="K3197" s="1367"/>
      <c r="L3197" s="1367"/>
      <c r="M3197" s="1010"/>
    </row>
    <row r="3198">
      <c r="A3198" s="1367"/>
      <c r="B3198" s="1367"/>
      <c r="C3198" s="1367"/>
      <c r="I3198" s="1367"/>
      <c r="J3198" s="1367"/>
      <c r="K3198" s="1367"/>
      <c r="L3198" s="1367"/>
      <c r="M3198" s="1010"/>
    </row>
    <row r="3199">
      <c r="A3199" s="1367"/>
      <c r="B3199" s="1367"/>
      <c r="C3199" s="1367"/>
      <c r="I3199" s="1367"/>
      <c r="J3199" s="1367"/>
      <c r="K3199" s="1367"/>
      <c r="L3199" s="1367"/>
      <c r="M3199" s="1010"/>
    </row>
    <row r="3200">
      <c r="A3200" s="1367"/>
      <c r="B3200" s="1367"/>
      <c r="C3200" s="1367"/>
      <c r="I3200" s="1367"/>
      <c r="J3200" s="1367"/>
      <c r="K3200" s="1367"/>
      <c r="L3200" s="1367"/>
      <c r="M3200" s="1010"/>
    </row>
    <row r="3201">
      <c r="A3201" s="1367"/>
      <c r="B3201" s="1367"/>
      <c r="C3201" s="1367"/>
      <c r="I3201" s="1367"/>
      <c r="J3201" s="1367"/>
      <c r="K3201" s="1367"/>
      <c r="L3201" s="1367"/>
      <c r="M3201" s="1010"/>
    </row>
    <row r="3202">
      <c r="A3202" s="1367"/>
      <c r="B3202" s="1367"/>
      <c r="C3202" s="1367"/>
      <c r="I3202" s="1367"/>
      <c r="J3202" s="1367"/>
      <c r="K3202" s="1367"/>
      <c r="L3202" s="1367"/>
      <c r="M3202" s="1010"/>
    </row>
    <row r="3203">
      <c r="A3203" s="1367"/>
      <c r="B3203" s="1367"/>
      <c r="C3203" s="1367"/>
      <c r="I3203" s="1367"/>
      <c r="J3203" s="1367"/>
      <c r="K3203" s="1367"/>
      <c r="L3203" s="1367"/>
      <c r="M3203" s="1010"/>
    </row>
    <row r="3204">
      <c r="A3204" s="1367"/>
      <c r="B3204" s="1367"/>
      <c r="C3204" s="1367"/>
      <c r="I3204" s="1367"/>
      <c r="J3204" s="1367"/>
      <c r="K3204" s="1367"/>
      <c r="L3204" s="1367"/>
      <c r="M3204" s="1010"/>
    </row>
    <row r="3205">
      <c r="A3205" s="1367"/>
      <c r="B3205" s="1367"/>
      <c r="C3205" s="1367"/>
      <c r="I3205" s="1367"/>
      <c r="J3205" s="1367"/>
      <c r="K3205" s="1367"/>
      <c r="L3205" s="1367"/>
      <c r="M3205" s="1010"/>
    </row>
    <row r="3206">
      <c r="A3206" s="1367"/>
      <c r="B3206" s="1367"/>
      <c r="C3206" s="1367"/>
      <c r="I3206" s="1367"/>
      <c r="J3206" s="1367"/>
      <c r="K3206" s="1367"/>
      <c r="L3206" s="1367"/>
      <c r="M3206" s="1010"/>
    </row>
    <row r="3207">
      <c r="A3207" s="1367"/>
      <c r="B3207" s="1367"/>
      <c r="C3207" s="1367"/>
      <c r="I3207" s="1367"/>
      <c r="J3207" s="1367"/>
      <c r="K3207" s="1367"/>
      <c r="L3207" s="1367"/>
      <c r="M3207" s="1010"/>
    </row>
    <row r="3208">
      <c r="A3208" s="1367"/>
      <c r="B3208" s="1367"/>
      <c r="C3208" s="1367"/>
      <c r="I3208" s="1367"/>
      <c r="J3208" s="1367"/>
      <c r="K3208" s="1367"/>
      <c r="L3208" s="1367"/>
      <c r="M3208" s="1010"/>
    </row>
    <row r="3209">
      <c r="A3209" s="1367"/>
      <c r="B3209" s="1367"/>
      <c r="C3209" s="1367"/>
      <c r="I3209" s="1367"/>
      <c r="J3209" s="1367"/>
      <c r="K3209" s="1367"/>
      <c r="L3209" s="1367"/>
      <c r="M3209" s="1010"/>
    </row>
    <row r="3210">
      <c r="A3210" s="1367"/>
      <c r="B3210" s="1367"/>
      <c r="C3210" s="1367"/>
      <c r="I3210" s="1367"/>
      <c r="J3210" s="1367"/>
      <c r="K3210" s="1367"/>
      <c r="L3210" s="1367"/>
      <c r="M3210" s="1010"/>
    </row>
    <row r="3211">
      <c r="A3211" s="1367"/>
      <c r="B3211" s="1367"/>
      <c r="C3211" s="1367"/>
      <c r="I3211" s="1367"/>
      <c r="J3211" s="1367"/>
      <c r="K3211" s="1367"/>
      <c r="L3211" s="1367"/>
      <c r="M3211" s="1010"/>
    </row>
    <row r="3212">
      <c r="A3212" s="1367"/>
      <c r="B3212" s="1367"/>
      <c r="C3212" s="1367"/>
      <c r="I3212" s="1367"/>
      <c r="J3212" s="1367"/>
      <c r="K3212" s="1367"/>
      <c r="L3212" s="1367"/>
      <c r="M3212" s="1010"/>
    </row>
    <row r="3213">
      <c r="A3213" s="1367"/>
      <c r="B3213" s="1367"/>
      <c r="C3213" s="1367"/>
      <c r="I3213" s="1367"/>
      <c r="J3213" s="1367"/>
      <c r="K3213" s="1367"/>
      <c r="L3213" s="1367"/>
      <c r="M3213" s="1010"/>
    </row>
    <row r="3214">
      <c r="A3214" s="1367"/>
      <c r="B3214" s="1367"/>
      <c r="C3214" s="1367"/>
      <c r="I3214" s="1367"/>
      <c r="J3214" s="1367"/>
      <c r="K3214" s="1367"/>
      <c r="L3214" s="1367"/>
      <c r="M3214" s="1010"/>
    </row>
    <row r="3215">
      <c r="A3215" s="1367"/>
      <c r="B3215" s="1367"/>
      <c r="C3215" s="1367"/>
      <c r="I3215" s="1367"/>
      <c r="J3215" s="1367"/>
      <c r="K3215" s="1367"/>
      <c r="L3215" s="1367"/>
      <c r="M3215" s="1010"/>
    </row>
    <row r="3216">
      <c r="A3216" s="1367"/>
      <c r="B3216" s="1367"/>
      <c r="C3216" s="1367"/>
      <c r="I3216" s="1367"/>
      <c r="J3216" s="1367"/>
      <c r="K3216" s="1367"/>
      <c r="L3216" s="1367"/>
      <c r="M3216" s="1010"/>
    </row>
    <row r="3217">
      <c r="A3217" s="1367"/>
      <c r="B3217" s="1367"/>
      <c r="C3217" s="1367"/>
      <c r="I3217" s="1367"/>
      <c r="J3217" s="1367"/>
      <c r="K3217" s="1367"/>
      <c r="L3217" s="1367"/>
      <c r="M3217" s="1010"/>
    </row>
    <row r="3218">
      <c r="A3218" s="1367"/>
      <c r="B3218" s="1367"/>
      <c r="C3218" s="1367"/>
      <c r="I3218" s="1367"/>
      <c r="J3218" s="1367"/>
      <c r="K3218" s="1367"/>
      <c r="L3218" s="1367"/>
      <c r="M3218" s="1010"/>
    </row>
    <row r="3219">
      <c r="A3219" s="1367"/>
      <c r="B3219" s="1367"/>
      <c r="C3219" s="1367"/>
      <c r="I3219" s="1367"/>
      <c r="J3219" s="1367"/>
      <c r="K3219" s="1367"/>
      <c r="L3219" s="1367"/>
      <c r="M3219" s="1010"/>
    </row>
    <row r="3220">
      <c r="A3220" s="1367"/>
      <c r="B3220" s="1367"/>
      <c r="C3220" s="1367"/>
      <c r="I3220" s="1367"/>
      <c r="J3220" s="1367"/>
      <c r="K3220" s="1367"/>
      <c r="L3220" s="1367"/>
      <c r="M3220" s="1010"/>
    </row>
    <row r="3221">
      <c r="A3221" s="1367"/>
      <c r="B3221" s="1367"/>
      <c r="C3221" s="1367"/>
      <c r="I3221" s="1367"/>
      <c r="J3221" s="1367"/>
      <c r="K3221" s="1367"/>
      <c r="L3221" s="1367"/>
      <c r="M3221" s="1010"/>
    </row>
    <row r="3222">
      <c r="A3222" s="1367"/>
      <c r="B3222" s="1367"/>
      <c r="C3222" s="1367"/>
      <c r="I3222" s="1367"/>
      <c r="J3222" s="1367"/>
      <c r="K3222" s="1367"/>
      <c r="L3222" s="1367"/>
      <c r="M3222" s="1010"/>
    </row>
    <row r="3223">
      <c r="A3223" s="1367"/>
      <c r="B3223" s="1367"/>
      <c r="C3223" s="1367"/>
      <c r="I3223" s="1367"/>
      <c r="J3223" s="1367"/>
      <c r="K3223" s="1367"/>
      <c r="L3223" s="1367"/>
      <c r="M3223" s="1010"/>
    </row>
    <row r="3224">
      <c r="A3224" s="1367"/>
      <c r="B3224" s="1367"/>
      <c r="C3224" s="1367"/>
      <c r="I3224" s="1367"/>
      <c r="J3224" s="1367"/>
      <c r="K3224" s="1367"/>
      <c r="L3224" s="1367"/>
      <c r="M3224" s="1010"/>
    </row>
    <row r="3225">
      <c r="A3225" s="1367"/>
      <c r="B3225" s="1367"/>
      <c r="C3225" s="1367"/>
      <c r="I3225" s="1367"/>
      <c r="J3225" s="1367"/>
      <c r="K3225" s="1367"/>
      <c r="L3225" s="1367"/>
      <c r="M3225" s="1010"/>
    </row>
    <row r="3226">
      <c r="A3226" s="1367"/>
      <c r="B3226" s="1367"/>
      <c r="C3226" s="1367"/>
      <c r="I3226" s="1367"/>
      <c r="J3226" s="1367"/>
      <c r="K3226" s="1367"/>
      <c r="L3226" s="1367"/>
      <c r="M3226" s="1010"/>
    </row>
    <row r="3227">
      <c r="A3227" s="1367"/>
      <c r="B3227" s="1367"/>
      <c r="C3227" s="1367"/>
      <c r="I3227" s="1367"/>
      <c r="J3227" s="1367"/>
      <c r="K3227" s="1367"/>
      <c r="L3227" s="1367"/>
      <c r="M3227" s="1010"/>
    </row>
    <row r="3228">
      <c r="A3228" s="1367"/>
      <c r="B3228" s="1367"/>
      <c r="C3228" s="1367"/>
      <c r="I3228" s="1367"/>
      <c r="J3228" s="1367"/>
      <c r="K3228" s="1367"/>
      <c r="L3228" s="1367"/>
      <c r="M3228" s="1010"/>
    </row>
    <row r="3229">
      <c r="A3229" s="1367"/>
      <c r="B3229" s="1367"/>
      <c r="C3229" s="1367"/>
      <c r="I3229" s="1367"/>
      <c r="J3229" s="1367"/>
      <c r="K3229" s="1367"/>
      <c r="L3229" s="1367"/>
      <c r="M3229" s="1010"/>
    </row>
    <row r="3230">
      <c r="A3230" s="1367"/>
      <c r="B3230" s="1367"/>
      <c r="C3230" s="1367"/>
      <c r="I3230" s="1367"/>
      <c r="J3230" s="1367"/>
      <c r="K3230" s="1367"/>
      <c r="L3230" s="1367"/>
      <c r="M3230" s="1010"/>
    </row>
    <row r="3231">
      <c r="A3231" s="1367"/>
      <c r="B3231" s="1367"/>
      <c r="C3231" s="1367"/>
      <c r="I3231" s="1367"/>
      <c r="J3231" s="1367"/>
      <c r="K3231" s="1367"/>
      <c r="L3231" s="1367"/>
      <c r="M3231" s="1010"/>
    </row>
    <row r="3232">
      <c r="A3232" s="1367"/>
      <c r="B3232" s="1367"/>
      <c r="C3232" s="1367"/>
      <c r="I3232" s="1367"/>
      <c r="J3232" s="1367"/>
      <c r="K3232" s="1367"/>
      <c r="L3232" s="1367"/>
      <c r="M3232" s="1010"/>
    </row>
    <row r="3233">
      <c r="A3233" s="1367"/>
      <c r="B3233" s="1367"/>
      <c r="C3233" s="1367"/>
      <c r="I3233" s="1367"/>
      <c r="J3233" s="1367"/>
      <c r="K3233" s="1367"/>
      <c r="L3233" s="1367"/>
      <c r="M3233" s="1010"/>
    </row>
    <row r="3234">
      <c r="A3234" s="1367"/>
      <c r="B3234" s="1367"/>
      <c r="C3234" s="1367"/>
      <c r="I3234" s="1367"/>
      <c r="J3234" s="1367"/>
      <c r="K3234" s="1367"/>
      <c r="L3234" s="1367"/>
      <c r="M3234" s="1010"/>
    </row>
    <row r="3235">
      <c r="A3235" s="1367"/>
      <c r="B3235" s="1367"/>
      <c r="C3235" s="1367"/>
      <c r="I3235" s="1367"/>
      <c r="J3235" s="1367"/>
      <c r="K3235" s="1367"/>
      <c r="L3235" s="1367"/>
      <c r="M3235" s="1010"/>
    </row>
    <row r="3236">
      <c r="A3236" s="1367"/>
      <c r="B3236" s="1367"/>
      <c r="C3236" s="1367"/>
      <c r="I3236" s="1367"/>
      <c r="J3236" s="1367"/>
      <c r="K3236" s="1367"/>
      <c r="L3236" s="1367"/>
      <c r="M3236" s="1010"/>
    </row>
    <row r="3237">
      <c r="A3237" s="1367"/>
      <c r="B3237" s="1367"/>
      <c r="C3237" s="1367"/>
      <c r="I3237" s="1367"/>
      <c r="J3237" s="1367"/>
      <c r="K3237" s="1367"/>
      <c r="L3237" s="1367"/>
      <c r="M3237" s="1010"/>
    </row>
    <row r="3238">
      <c r="A3238" s="1367"/>
      <c r="B3238" s="1367"/>
      <c r="C3238" s="1367"/>
      <c r="I3238" s="1367"/>
      <c r="J3238" s="1367"/>
      <c r="K3238" s="1367"/>
      <c r="L3238" s="1367"/>
      <c r="M3238" s="1010"/>
    </row>
    <row r="3239">
      <c r="A3239" s="1367"/>
      <c r="C3239" s="1367"/>
      <c r="I3239" s="1367"/>
      <c r="J3239" s="1367"/>
      <c r="K3239" s="1367"/>
      <c r="L3239" s="1367"/>
      <c r="M3239" s="1010"/>
    </row>
    <row r="3240">
      <c r="A3240" s="1367"/>
      <c r="C3240" s="1367"/>
    </row>
    <row r="3241">
      <c r="A3241" s="1367"/>
      <c r="C3241" s="1367"/>
    </row>
    <row r="3242">
      <c r="A3242" s="1367"/>
      <c r="C3242" s="1367"/>
    </row>
    <row r="3243">
      <c r="A3243" s="1367"/>
      <c r="C3243" s="1367"/>
    </row>
    <row r="3244">
      <c r="A3244" s="1367"/>
      <c r="C3244" s="1367"/>
    </row>
    <row r="3245">
      <c r="A3245" s="1367"/>
      <c r="C3245" s="1367"/>
    </row>
    <row r="3246">
      <c r="A3246" s="1367"/>
      <c r="C3246" s="1367"/>
    </row>
    <row r="3247">
      <c r="A3247" s="1367"/>
      <c r="C3247" s="1367"/>
    </row>
    <row r="3248">
      <c r="A3248" s="1367"/>
      <c r="C3248" s="1367"/>
    </row>
    <row r="3249">
      <c r="A3249" s="1367"/>
      <c r="C3249" s="1367"/>
    </row>
    <row r="3250">
      <c r="C3250" s="1367"/>
    </row>
  </sheetData>
  <drawing r:id="rId2"/>
  <legacyDrawing r:id="rId3"/>
</worksheet>
</file>

<file path=xl/worksheets/sheet9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2" max="12" width="14.0"/>
  </cols>
  <sheetData>
    <row r="1">
      <c r="A1" s="167"/>
      <c r="B1" s="168" t="s">
        <v>114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</row>
    <row r="2">
      <c r="A2" s="169" t="s">
        <v>172</v>
      </c>
      <c r="B2" s="170" t="s">
        <v>174</v>
      </c>
      <c r="C2" s="171" t="s">
        <v>693</v>
      </c>
      <c r="D2" s="172" t="s">
        <v>694</v>
      </c>
      <c r="E2" s="172" t="s">
        <v>695</v>
      </c>
      <c r="F2" s="172" t="s">
        <v>179</v>
      </c>
      <c r="G2" s="172" t="s">
        <v>696</v>
      </c>
      <c r="H2" s="173" t="s">
        <v>697</v>
      </c>
      <c r="I2" s="174" t="s">
        <v>84</v>
      </c>
      <c r="J2" s="170" t="s">
        <v>698</v>
      </c>
      <c r="K2" s="175" t="s">
        <v>699</v>
      </c>
      <c r="L2" s="173" t="s">
        <v>89</v>
      </c>
      <c r="M2" s="176" t="s">
        <v>700</v>
      </c>
      <c r="N2" s="177" t="s">
        <v>701</v>
      </c>
      <c r="O2" s="177" t="s">
        <v>702</v>
      </c>
      <c r="P2" s="178" t="s">
        <v>90</v>
      </c>
      <c r="Q2" s="325" t="s">
        <v>703</v>
      </c>
    </row>
    <row r="3">
      <c r="A3" s="326" t="s">
        <v>1710</v>
      </c>
      <c r="B3" s="251">
        <f t="array" ref="B3">VLOOKUP($A3,UT_DEMO,2,FALSE)</f>
        <v>7072</v>
      </c>
      <c r="C3" s="252" t="s">
        <v>63</v>
      </c>
      <c r="D3" s="253" t="s">
        <v>63</v>
      </c>
      <c r="E3" s="253" t="s">
        <v>63</v>
      </c>
      <c r="F3" s="253" t="s">
        <v>63</v>
      </c>
      <c r="G3" s="253" t="s">
        <v>63</v>
      </c>
      <c r="H3" s="254" t="s">
        <v>63</v>
      </c>
      <c r="I3" s="255" t="s">
        <v>63</v>
      </c>
      <c r="J3" s="256" t="s">
        <v>63</v>
      </c>
      <c r="K3" s="274" t="s">
        <v>63</v>
      </c>
      <c r="L3" s="254" t="s">
        <v>63</v>
      </c>
      <c r="M3" s="258" t="s">
        <v>63</v>
      </c>
      <c r="N3" s="253" t="s">
        <v>63</v>
      </c>
      <c r="O3" s="253" t="s">
        <v>63</v>
      </c>
      <c r="P3" s="261">
        <f>ifna(vlookup(A3,'Population &amp; Church Numbers'!$A$2780:$D$2808,4,FALSE),"NULL")</f>
        <v>7</v>
      </c>
      <c r="Q3" s="329" t="s">
        <v>63</v>
      </c>
    </row>
    <row r="4">
      <c r="A4" s="188" t="s">
        <v>2185</v>
      </c>
      <c r="B4" s="189">
        <f t="array" ref="B4">VLOOKUP($A4,UT_DEMO,2,FALSE)</f>
        <v>57666</v>
      </c>
      <c r="C4" s="264" t="s">
        <v>63</v>
      </c>
      <c r="D4" s="265" t="s">
        <v>63</v>
      </c>
      <c r="E4" s="265" t="s">
        <v>63</v>
      </c>
      <c r="F4" s="265" t="s">
        <v>63</v>
      </c>
      <c r="G4" s="265" t="s">
        <v>63</v>
      </c>
      <c r="H4" s="266" t="s">
        <v>63</v>
      </c>
      <c r="I4" s="267" t="s">
        <v>63</v>
      </c>
      <c r="J4" s="268" t="s">
        <v>63</v>
      </c>
      <c r="K4" s="284" t="s">
        <v>63</v>
      </c>
      <c r="L4" s="266" t="s">
        <v>63</v>
      </c>
      <c r="M4" s="267" t="s">
        <v>63</v>
      </c>
      <c r="N4" s="265" t="s">
        <v>63</v>
      </c>
      <c r="O4" s="265" t="s">
        <v>63</v>
      </c>
      <c r="P4" s="272">
        <f>ifna(vlookup(A4,'Population &amp; Church Numbers'!$A$2780:$D$2808,4,FALSE),"NULL")</f>
        <v>39</v>
      </c>
      <c r="Q4" s="334" t="s">
        <v>63</v>
      </c>
    </row>
    <row r="5">
      <c r="A5" s="326" t="s">
        <v>2186</v>
      </c>
      <c r="B5" s="251">
        <f t="array" ref="B5">VLOOKUP($A5,UT_DEMO,2,FALSE)</f>
        <v>133154</v>
      </c>
      <c r="C5" s="252" t="s">
        <v>63</v>
      </c>
      <c r="D5" s="253" t="s">
        <v>63</v>
      </c>
      <c r="E5" s="253" t="s">
        <v>63</v>
      </c>
      <c r="F5" s="253" t="s">
        <v>63</v>
      </c>
      <c r="G5" s="253" t="s">
        <v>63</v>
      </c>
      <c r="H5" s="254" t="s">
        <v>63</v>
      </c>
      <c r="I5" s="255" t="s">
        <v>63</v>
      </c>
      <c r="J5" s="256" t="s">
        <v>63</v>
      </c>
      <c r="K5" s="274" t="s">
        <v>63</v>
      </c>
      <c r="L5" s="254" t="s">
        <v>63</v>
      </c>
      <c r="M5" s="255" t="s">
        <v>63</v>
      </c>
      <c r="N5" s="253" t="s">
        <v>63</v>
      </c>
      <c r="O5" s="253" t="s">
        <v>63</v>
      </c>
      <c r="P5" s="261">
        <f>ifna(vlookup(A5,'Population &amp; Church Numbers'!$A$2780:$D$2808,4,FALSE),"NULL")</f>
        <v>43</v>
      </c>
      <c r="Q5" s="329" t="s">
        <v>63</v>
      </c>
    </row>
    <row r="6">
      <c r="A6" s="188" t="s">
        <v>1434</v>
      </c>
      <c r="B6" s="189">
        <f t="array" ref="B6">VLOOKUP($A6,UT_DEMO,2,FALSE)</f>
        <v>20412</v>
      </c>
      <c r="C6" s="264" t="s">
        <v>63</v>
      </c>
      <c r="D6" s="265" t="s">
        <v>63</v>
      </c>
      <c r="E6" s="265" t="s">
        <v>63</v>
      </c>
      <c r="F6" s="265" t="s">
        <v>63</v>
      </c>
      <c r="G6" s="265" t="s">
        <v>63</v>
      </c>
      <c r="H6" s="266" t="s">
        <v>63</v>
      </c>
      <c r="I6" s="267" t="s">
        <v>63</v>
      </c>
      <c r="J6" s="268" t="s">
        <v>63</v>
      </c>
      <c r="K6" s="284" t="s">
        <v>63</v>
      </c>
      <c r="L6" s="266" t="s">
        <v>63</v>
      </c>
      <c r="M6" s="267" t="s">
        <v>63</v>
      </c>
      <c r="N6" s="265" t="s">
        <v>63</v>
      </c>
      <c r="O6" s="265" t="s">
        <v>63</v>
      </c>
      <c r="P6" s="272">
        <f>ifna(vlookup(A6,'Population &amp; Church Numbers'!$A$2780:$D$2808,4,FALSE),"NULL")</f>
        <v>28</v>
      </c>
      <c r="Q6" s="334" t="s">
        <v>63</v>
      </c>
    </row>
    <row r="7">
      <c r="A7" s="326" t="s">
        <v>2187</v>
      </c>
      <c r="B7" s="251">
        <f t="array" ref="B7">VLOOKUP($A7,UT_DEMO,2,FALSE)</f>
        <v>935</v>
      </c>
      <c r="C7" s="252" t="s">
        <v>63</v>
      </c>
      <c r="D7" s="253" t="s">
        <v>63</v>
      </c>
      <c r="E7" s="253" t="s">
        <v>63</v>
      </c>
      <c r="F7" s="253" t="s">
        <v>63</v>
      </c>
      <c r="G7" s="253" t="s">
        <v>63</v>
      </c>
      <c r="H7" s="254" t="s">
        <v>63</v>
      </c>
      <c r="I7" s="255" t="s">
        <v>63</v>
      </c>
      <c r="J7" s="256" t="s">
        <v>63</v>
      </c>
      <c r="K7" s="274" t="s">
        <v>63</v>
      </c>
      <c r="L7" s="254" t="s">
        <v>63</v>
      </c>
      <c r="M7" s="255" t="s">
        <v>63</v>
      </c>
      <c r="N7" s="253" t="s">
        <v>63</v>
      </c>
      <c r="O7" s="253" t="s">
        <v>63</v>
      </c>
      <c r="P7" s="261">
        <f>ifna(vlookup(A7,'Population &amp; Church Numbers'!$A$2780:$D$2808,4,FALSE),"NULL")</f>
        <v>2</v>
      </c>
      <c r="Q7" s="329" t="s">
        <v>63</v>
      </c>
    </row>
    <row r="8">
      <c r="A8" s="188" t="s">
        <v>897</v>
      </c>
      <c r="B8" s="189">
        <f t="array" ref="B8">VLOOKUP($A8,UT_DEMO,2,FALSE)</f>
        <v>362679</v>
      </c>
      <c r="C8" s="264" t="s">
        <v>63</v>
      </c>
      <c r="D8" s="265" t="s">
        <v>63</v>
      </c>
      <c r="E8" s="265" t="s">
        <v>63</v>
      </c>
      <c r="F8" s="265" t="s">
        <v>63</v>
      </c>
      <c r="G8" s="265" t="s">
        <v>63</v>
      </c>
      <c r="H8" s="266" t="s">
        <v>63</v>
      </c>
      <c r="I8" s="267" t="s">
        <v>63</v>
      </c>
      <c r="J8" s="268" t="s">
        <v>63</v>
      </c>
      <c r="K8" s="284" t="s">
        <v>63</v>
      </c>
      <c r="L8" s="266" t="s">
        <v>63</v>
      </c>
      <c r="M8" s="267" t="s">
        <v>63</v>
      </c>
      <c r="N8" s="265" t="s">
        <v>63</v>
      </c>
      <c r="O8" s="265" t="s">
        <v>63</v>
      </c>
      <c r="P8" s="272">
        <f>ifna(vlookup(A8,'Population &amp; Church Numbers'!$A$2780:$D$2808,4,FALSE),"NULL")</f>
        <v>126</v>
      </c>
      <c r="Q8" s="334" t="s">
        <v>63</v>
      </c>
    </row>
    <row r="9">
      <c r="A9" s="326" t="s">
        <v>2188</v>
      </c>
      <c r="B9" s="251">
        <f t="array" ref="B9">VLOOKUP($A9,UT_DEMO,2,FALSE)</f>
        <v>19596</v>
      </c>
      <c r="C9" s="252" t="s">
        <v>63</v>
      </c>
      <c r="D9" s="253" t="s">
        <v>63</v>
      </c>
      <c r="E9" s="253" t="s">
        <v>63</v>
      </c>
      <c r="F9" s="253" t="s">
        <v>63</v>
      </c>
      <c r="G9" s="253" t="s">
        <v>63</v>
      </c>
      <c r="H9" s="254" t="s">
        <v>63</v>
      </c>
      <c r="I9" s="255" t="s">
        <v>63</v>
      </c>
      <c r="J9" s="256" t="s">
        <v>63</v>
      </c>
      <c r="K9" s="274" t="s">
        <v>63</v>
      </c>
      <c r="L9" s="254" t="s">
        <v>63</v>
      </c>
      <c r="M9" s="255" t="s">
        <v>63</v>
      </c>
      <c r="N9" s="253" t="s">
        <v>63</v>
      </c>
      <c r="O9" s="253" t="s">
        <v>63</v>
      </c>
      <c r="P9" s="261">
        <f>ifna(vlookup(A9,'Population &amp; Church Numbers'!$A$2780:$D$2808,4,FALSE),"NULL")</f>
        <v>15</v>
      </c>
      <c r="Q9" s="329" t="s">
        <v>63</v>
      </c>
    </row>
    <row r="10">
      <c r="A10" s="188" t="s">
        <v>2190</v>
      </c>
      <c r="B10" s="189">
        <f t="array" ref="B10">VLOOKUP($A10,UT_DEMO,2,FALSE)</f>
        <v>9825</v>
      </c>
      <c r="C10" s="264" t="s">
        <v>63</v>
      </c>
      <c r="D10" s="265" t="s">
        <v>63</v>
      </c>
      <c r="E10" s="265" t="s">
        <v>63</v>
      </c>
      <c r="F10" s="265" t="s">
        <v>63</v>
      </c>
      <c r="G10" s="265" t="s">
        <v>63</v>
      </c>
      <c r="H10" s="266" t="s">
        <v>63</v>
      </c>
      <c r="I10" s="267" t="s">
        <v>63</v>
      </c>
      <c r="J10" s="268" t="s">
        <v>63</v>
      </c>
      <c r="K10" s="284" t="s">
        <v>63</v>
      </c>
      <c r="L10" s="266" t="s">
        <v>63</v>
      </c>
      <c r="M10" s="267" t="s">
        <v>63</v>
      </c>
      <c r="N10" s="265" t="s">
        <v>63</v>
      </c>
      <c r="O10" s="265" t="s">
        <v>63</v>
      </c>
      <c r="P10" s="272">
        <f>ifna(vlookup(A10,'Population &amp; Church Numbers'!$A$2780:$D$2808,4,FALSE),"NULL")</f>
        <v>11</v>
      </c>
      <c r="Q10" s="334" t="s">
        <v>63</v>
      </c>
    </row>
    <row r="11">
      <c r="A11" s="326" t="s">
        <v>417</v>
      </c>
      <c r="B11" s="251">
        <f t="array" ref="B11">VLOOKUP($A11,UT_DEMO,2,FALSE)</f>
        <v>5083</v>
      </c>
      <c r="C11" s="252" t="s">
        <v>63</v>
      </c>
      <c r="D11" s="253" t="s">
        <v>63</v>
      </c>
      <c r="E11" s="253" t="s">
        <v>63</v>
      </c>
      <c r="F11" s="253" t="s">
        <v>63</v>
      </c>
      <c r="G11" s="253" t="s">
        <v>63</v>
      </c>
      <c r="H11" s="254" t="s">
        <v>63</v>
      </c>
      <c r="I11" s="255" t="s">
        <v>63</v>
      </c>
      <c r="J11" s="256" t="s">
        <v>63</v>
      </c>
      <c r="K11" s="274" t="s">
        <v>63</v>
      </c>
      <c r="L11" s="254" t="s">
        <v>63</v>
      </c>
      <c r="M11" s="255" t="s">
        <v>63</v>
      </c>
      <c r="N11" s="253" t="s">
        <v>63</v>
      </c>
      <c r="O11" s="253" t="s">
        <v>63</v>
      </c>
      <c r="P11" s="261">
        <f>ifna(vlookup(A11,'Population &amp; Church Numbers'!$A$2780:$D$2808,4,FALSE),"NULL")</f>
        <v>8</v>
      </c>
      <c r="Q11" s="329" t="s">
        <v>63</v>
      </c>
    </row>
    <row r="12">
      <c r="A12" s="188" t="s">
        <v>421</v>
      </c>
      <c r="B12" s="189">
        <f t="array" ref="B12">VLOOKUP($A12,UT_DEMO,2,FALSE)</f>
        <v>9669</v>
      </c>
      <c r="C12" s="264" t="s">
        <v>63</v>
      </c>
      <c r="D12" s="265" t="s">
        <v>63</v>
      </c>
      <c r="E12" s="265" t="s">
        <v>63</v>
      </c>
      <c r="F12" s="265" t="s">
        <v>63</v>
      </c>
      <c r="G12" s="265" t="s">
        <v>63</v>
      </c>
      <c r="H12" s="266" t="s">
        <v>63</v>
      </c>
      <c r="I12" s="267" t="s">
        <v>63</v>
      </c>
      <c r="J12" s="268" t="s">
        <v>63</v>
      </c>
      <c r="K12" s="284" t="s">
        <v>63</v>
      </c>
      <c r="L12" s="266" t="s">
        <v>63</v>
      </c>
      <c r="M12" s="267" t="s">
        <v>63</v>
      </c>
      <c r="N12" s="265" t="s">
        <v>63</v>
      </c>
      <c r="O12" s="265" t="s">
        <v>63</v>
      </c>
      <c r="P12" s="272">
        <f>ifna(vlookup(A12,'Population &amp; Church Numbers'!$A$2780:$D$2808,4,FALSE),"NULL")</f>
        <v>10</v>
      </c>
      <c r="Q12" s="334" t="s">
        <v>63</v>
      </c>
    </row>
    <row r="13">
      <c r="A13" s="326" t="s">
        <v>1259</v>
      </c>
      <c r="B13" s="251">
        <f t="array" ref="B13">VLOOKUP($A13,UT_DEMO,2,FALSE)</f>
        <v>57289</v>
      </c>
      <c r="C13" s="252" t="s">
        <v>63</v>
      </c>
      <c r="D13" s="253" t="s">
        <v>63</v>
      </c>
      <c r="E13" s="253" t="s">
        <v>63</v>
      </c>
      <c r="F13" s="253" t="s">
        <v>63</v>
      </c>
      <c r="G13" s="253" t="s">
        <v>63</v>
      </c>
      <c r="H13" s="254" t="s">
        <v>63</v>
      </c>
      <c r="I13" s="255" t="s">
        <v>63</v>
      </c>
      <c r="J13" s="256" t="s">
        <v>63</v>
      </c>
      <c r="K13" s="274" t="s">
        <v>63</v>
      </c>
      <c r="L13" s="254" t="s">
        <v>63</v>
      </c>
      <c r="M13" s="255" t="s">
        <v>63</v>
      </c>
      <c r="N13" s="253" t="s">
        <v>63</v>
      </c>
      <c r="O13" s="253" t="s">
        <v>63</v>
      </c>
      <c r="P13" s="261">
        <f>ifna(vlookup(A13,'Population &amp; Church Numbers'!$A$2780:$D$2808,4,FALSE),"NULL")</f>
        <v>28</v>
      </c>
      <c r="Q13" s="329" t="s">
        <v>63</v>
      </c>
    </row>
    <row r="14">
      <c r="A14" s="188" t="s">
        <v>2191</v>
      </c>
      <c r="B14" s="189">
        <f t="array" ref="B14">VLOOKUP($A14,UT_DEMO,2,FALSE)</f>
        <v>11786</v>
      </c>
      <c r="C14" s="264" t="s">
        <v>63</v>
      </c>
      <c r="D14" s="265" t="s">
        <v>63</v>
      </c>
      <c r="E14" s="265" t="s">
        <v>63</v>
      </c>
      <c r="F14" s="265" t="s">
        <v>63</v>
      </c>
      <c r="G14" s="265" t="s">
        <v>63</v>
      </c>
      <c r="H14" s="266" t="s">
        <v>63</v>
      </c>
      <c r="I14" s="267" t="s">
        <v>63</v>
      </c>
      <c r="J14" s="268" t="s">
        <v>63</v>
      </c>
      <c r="K14" s="284" t="s">
        <v>63</v>
      </c>
      <c r="L14" s="266" t="s">
        <v>63</v>
      </c>
      <c r="M14" s="267" t="s">
        <v>63</v>
      </c>
      <c r="N14" s="265" t="s">
        <v>63</v>
      </c>
      <c r="O14" s="265" t="s">
        <v>63</v>
      </c>
      <c r="P14" s="272">
        <f>ifna(vlookup(A14,'Population &amp; Church Numbers'!$A$2780:$D$2808,4,FALSE),"NULL")</f>
        <v>5</v>
      </c>
      <c r="Q14" s="334" t="s">
        <v>63</v>
      </c>
    </row>
    <row r="15">
      <c r="A15" s="326" t="s">
        <v>656</v>
      </c>
      <c r="B15" s="251">
        <f t="array" ref="B15">VLOOKUP($A15,UT_DEMO,2,FALSE)</f>
        <v>7667</v>
      </c>
      <c r="C15" s="252" t="s">
        <v>63</v>
      </c>
      <c r="D15" s="253" t="s">
        <v>63</v>
      </c>
      <c r="E15" s="253" t="s">
        <v>63</v>
      </c>
      <c r="F15" s="253" t="s">
        <v>63</v>
      </c>
      <c r="G15" s="253" t="s">
        <v>63</v>
      </c>
      <c r="H15" s="254" t="s">
        <v>63</v>
      </c>
      <c r="I15" s="255" t="s">
        <v>63</v>
      </c>
      <c r="J15" s="256" t="s">
        <v>63</v>
      </c>
      <c r="K15" s="274" t="s">
        <v>63</v>
      </c>
      <c r="L15" s="254" t="s">
        <v>63</v>
      </c>
      <c r="M15" s="255" t="s">
        <v>63</v>
      </c>
      <c r="N15" s="253" t="s">
        <v>63</v>
      </c>
      <c r="O15" s="253" t="s">
        <v>63</v>
      </c>
      <c r="P15" s="261">
        <f>ifna(vlookup(A15,'Population &amp; Church Numbers'!$A$2780:$D$2808,4,FALSE),"NULL")</f>
        <v>12</v>
      </c>
      <c r="Q15" s="329" t="s">
        <v>63</v>
      </c>
    </row>
    <row r="16">
      <c r="A16" s="188" t="s">
        <v>2193</v>
      </c>
      <c r="B16" s="189">
        <f t="array" ref="B16">VLOOKUP($A16,UT_DEMO,2,FALSE)</f>
        <v>12975</v>
      </c>
      <c r="C16" s="264" t="s">
        <v>63</v>
      </c>
      <c r="D16" s="265" t="s">
        <v>63</v>
      </c>
      <c r="E16" s="265" t="s">
        <v>63</v>
      </c>
      <c r="F16" s="265" t="s">
        <v>63</v>
      </c>
      <c r="G16" s="265" t="s">
        <v>63</v>
      </c>
      <c r="H16" s="266" t="s">
        <v>63</v>
      </c>
      <c r="I16" s="267" t="s">
        <v>63</v>
      </c>
      <c r="J16" s="268" t="s">
        <v>63</v>
      </c>
      <c r="K16" s="284" t="s">
        <v>63</v>
      </c>
      <c r="L16" s="266" t="s">
        <v>63</v>
      </c>
      <c r="M16" s="267" t="s">
        <v>63</v>
      </c>
      <c r="N16" s="265" t="s">
        <v>63</v>
      </c>
      <c r="O16" s="265" t="s">
        <v>63</v>
      </c>
      <c r="P16" s="272">
        <f>ifna(vlookup(A16,'Population &amp; Church Numbers'!$A$2780:$D$2808,4,FALSE),"NULL")</f>
        <v>15</v>
      </c>
      <c r="Q16" s="334" t="s">
        <v>63</v>
      </c>
    </row>
    <row r="17">
      <c r="A17" s="326" t="s">
        <v>158</v>
      </c>
      <c r="B17" s="251">
        <f t="array" ref="B17">VLOOKUP($A17,UT_DEMO,2,FALSE)</f>
        <v>12295</v>
      </c>
      <c r="C17" s="252" t="s">
        <v>63</v>
      </c>
      <c r="D17" s="253" t="s">
        <v>63</v>
      </c>
      <c r="E17" s="253" t="s">
        <v>63</v>
      </c>
      <c r="F17" s="253" t="s">
        <v>63</v>
      </c>
      <c r="G17" s="253" t="s">
        <v>63</v>
      </c>
      <c r="H17" s="254" t="s">
        <v>63</v>
      </c>
      <c r="I17" s="255" t="s">
        <v>63</v>
      </c>
      <c r="J17" s="256" t="s">
        <v>63</v>
      </c>
      <c r="K17" s="274" t="s">
        <v>63</v>
      </c>
      <c r="L17" s="254" t="s">
        <v>63</v>
      </c>
      <c r="M17" s="255" t="s">
        <v>63</v>
      </c>
      <c r="N17" s="253" t="s">
        <v>63</v>
      </c>
      <c r="O17" s="253" t="s">
        <v>63</v>
      </c>
      <c r="P17" s="261">
        <f>ifna(vlookup(A17,'Population &amp; Church Numbers'!$A$2780:$D$2808,4,FALSE),"NULL")</f>
        <v>5</v>
      </c>
      <c r="Q17" s="329" t="s">
        <v>63</v>
      </c>
    </row>
    <row r="18">
      <c r="A18" s="188" t="s">
        <v>2194</v>
      </c>
      <c r="B18" s="189">
        <f t="array" ref="B18">VLOOKUP($A18,UT_DEMO,2,FALSE)</f>
        <v>1438</v>
      </c>
      <c r="C18" s="264" t="s">
        <v>63</v>
      </c>
      <c r="D18" s="265" t="s">
        <v>63</v>
      </c>
      <c r="E18" s="265" t="s">
        <v>63</v>
      </c>
      <c r="F18" s="265" t="s">
        <v>63</v>
      </c>
      <c r="G18" s="265" t="s">
        <v>63</v>
      </c>
      <c r="H18" s="266" t="s">
        <v>63</v>
      </c>
      <c r="I18" s="267" t="s">
        <v>63</v>
      </c>
      <c r="J18" s="268" t="s">
        <v>63</v>
      </c>
      <c r="K18" s="284" t="s">
        <v>63</v>
      </c>
      <c r="L18" s="266" t="s">
        <v>63</v>
      </c>
      <c r="M18" s="267" t="s">
        <v>63</v>
      </c>
      <c r="N18" s="265" t="s">
        <v>63</v>
      </c>
      <c r="O18" s="265" t="s">
        <v>63</v>
      </c>
      <c r="P18" s="272">
        <f>ifna(vlookup(A18,'Population &amp; Church Numbers'!$A$2780:$D$2808,4,FALSE),"NULL")</f>
        <v>2</v>
      </c>
      <c r="Q18" s="334" t="s">
        <v>63</v>
      </c>
    </row>
    <row r="19">
      <c r="A19" s="326" t="s">
        <v>2195</v>
      </c>
      <c r="B19" s="251">
        <f t="array" ref="B19">VLOOKUP($A19,UT_DEMO,2,FALSE)</f>
        <v>2510</v>
      </c>
      <c r="C19" s="252" t="s">
        <v>63</v>
      </c>
      <c r="D19" s="253" t="s">
        <v>63</v>
      </c>
      <c r="E19" s="253" t="s">
        <v>63</v>
      </c>
      <c r="F19" s="253" t="s">
        <v>63</v>
      </c>
      <c r="G19" s="253" t="s">
        <v>63</v>
      </c>
      <c r="H19" s="254" t="s">
        <v>63</v>
      </c>
      <c r="I19" s="255" t="s">
        <v>63</v>
      </c>
      <c r="J19" s="256" t="s">
        <v>63</v>
      </c>
      <c r="K19" s="274" t="s">
        <v>63</v>
      </c>
      <c r="L19" s="254" t="s">
        <v>63</v>
      </c>
      <c r="M19" s="255" t="s">
        <v>63</v>
      </c>
      <c r="N19" s="253" t="s">
        <v>63</v>
      </c>
      <c r="O19" s="253" t="s">
        <v>63</v>
      </c>
      <c r="P19" s="261">
        <f>ifna(vlookup(A19,'Population &amp; Church Numbers'!$A$2780:$D$2808,4,FALSE),"NULL")</f>
        <v>5</v>
      </c>
      <c r="Q19" s="329" t="s">
        <v>63</v>
      </c>
    </row>
    <row r="20">
      <c r="A20" s="188" t="s">
        <v>367</v>
      </c>
      <c r="B20" s="189">
        <f t="array" ref="B20">VLOOKUP($A20,UT_DEMO,2,FALSE)</f>
        <v>1185238</v>
      </c>
      <c r="C20" s="264" t="s">
        <v>63</v>
      </c>
      <c r="D20" s="265" t="s">
        <v>63</v>
      </c>
      <c r="E20" s="265" t="s">
        <v>63</v>
      </c>
      <c r="F20" s="265" t="s">
        <v>63</v>
      </c>
      <c r="G20" s="265" t="s">
        <v>63</v>
      </c>
      <c r="H20" s="266" t="s">
        <v>63</v>
      </c>
      <c r="I20" s="267" t="s">
        <v>63</v>
      </c>
      <c r="J20" s="268" t="s">
        <v>63</v>
      </c>
      <c r="K20" s="284" t="s">
        <v>63</v>
      </c>
      <c r="L20" s="266" t="s">
        <v>63</v>
      </c>
      <c r="M20" s="267" t="s">
        <v>63</v>
      </c>
      <c r="N20" s="265" t="s">
        <v>63</v>
      </c>
      <c r="O20" s="265" t="s">
        <v>63</v>
      </c>
      <c r="P20" s="272">
        <f>ifna(vlookup(A20,'Population &amp; Church Numbers'!$A$2780:$D$2808,4,FALSE),"NULL")</f>
        <v>510</v>
      </c>
      <c r="Q20" s="334" t="s">
        <v>63</v>
      </c>
    </row>
    <row r="21">
      <c r="A21" s="326" t="s">
        <v>457</v>
      </c>
      <c r="B21" s="251">
        <f t="array" ref="B21">VLOOKUP($A21,UT_DEMO,2,FALSE)</f>
        <v>14518</v>
      </c>
      <c r="C21" s="252" t="s">
        <v>63</v>
      </c>
      <c r="D21" s="253" t="s">
        <v>63</v>
      </c>
      <c r="E21" s="253" t="s">
        <v>63</v>
      </c>
      <c r="F21" s="253" t="s">
        <v>63</v>
      </c>
      <c r="G21" s="253" t="s">
        <v>63</v>
      </c>
      <c r="H21" s="254" t="s">
        <v>63</v>
      </c>
      <c r="I21" s="255" t="s">
        <v>63</v>
      </c>
      <c r="J21" s="256" t="s">
        <v>63</v>
      </c>
      <c r="K21" s="274" t="s">
        <v>63</v>
      </c>
      <c r="L21" s="254" t="s">
        <v>63</v>
      </c>
      <c r="M21" s="255" t="s">
        <v>63</v>
      </c>
      <c r="N21" s="253" t="s">
        <v>63</v>
      </c>
      <c r="O21" s="253" t="s">
        <v>63</v>
      </c>
      <c r="P21" s="261">
        <f>ifna(vlookup(A21,'Population &amp; Church Numbers'!$A$2780:$D$2808,4,FALSE),"NULL")</f>
        <v>7</v>
      </c>
      <c r="Q21" s="329" t="s">
        <v>63</v>
      </c>
    </row>
    <row r="22">
      <c r="A22" s="188" t="s">
        <v>2197</v>
      </c>
      <c r="B22" s="189">
        <f t="array" ref="B22">VLOOKUP($A22,UT_DEMO,2,FALSE)</f>
        <v>28437</v>
      </c>
      <c r="C22" s="264" t="s">
        <v>63</v>
      </c>
      <c r="D22" s="265" t="s">
        <v>63</v>
      </c>
      <c r="E22" s="265" t="s">
        <v>63</v>
      </c>
      <c r="F22" s="265" t="s">
        <v>63</v>
      </c>
      <c r="G22" s="265" t="s">
        <v>63</v>
      </c>
      <c r="H22" s="266" t="s">
        <v>63</v>
      </c>
      <c r="I22" s="267" t="s">
        <v>63</v>
      </c>
      <c r="J22" s="268" t="s">
        <v>63</v>
      </c>
      <c r="K22" s="284" t="s">
        <v>63</v>
      </c>
      <c r="L22" s="266" t="s">
        <v>63</v>
      </c>
      <c r="M22" s="267" t="s">
        <v>63</v>
      </c>
      <c r="N22" s="265" t="s">
        <v>63</v>
      </c>
      <c r="O22" s="265" t="s">
        <v>63</v>
      </c>
      <c r="P22" s="272">
        <f>ifna(vlookup(A22,'Population &amp; Church Numbers'!$A$2780:$D$2808,4,FALSE),"NULL")</f>
        <v>15</v>
      </c>
      <c r="Q22" s="334" t="s">
        <v>63</v>
      </c>
    </row>
    <row r="23">
      <c r="A23" s="326" t="s">
        <v>312</v>
      </c>
      <c r="B23" s="251">
        <f t="array" ref="B23">VLOOKUP($A23,UT_DEMO,2,FALSE)</f>
        <v>21522</v>
      </c>
      <c r="C23" s="252" t="s">
        <v>63</v>
      </c>
      <c r="D23" s="253" t="s">
        <v>63</v>
      </c>
      <c r="E23" s="253" t="s">
        <v>63</v>
      </c>
      <c r="F23" s="253" t="s">
        <v>63</v>
      </c>
      <c r="G23" s="253" t="s">
        <v>63</v>
      </c>
      <c r="H23" s="254" t="s">
        <v>63</v>
      </c>
      <c r="I23" s="255" t="s">
        <v>63</v>
      </c>
      <c r="J23" s="256" t="s">
        <v>63</v>
      </c>
      <c r="K23" s="274" t="s">
        <v>63</v>
      </c>
      <c r="L23" s="254" t="s">
        <v>63</v>
      </c>
      <c r="M23" s="255" t="s">
        <v>63</v>
      </c>
      <c r="N23" s="253" t="s">
        <v>63</v>
      </c>
      <c r="O23" s="253" t="s">
        <v>63</v>
      </c>
      <c r="P23" s="261">
        <f>ifna(vlookup(A23,'Population &amp; Church Numbers'!$A$2780:$D$2808,4,FALSE),"NULL")</f>
        <v>19</v>
      </c>
      <c r="Q23" s="329" t="s">
        <v>63</v>
      </c>
    </row>
    <row r="24">
      <c r="A24" s="188" t="s">
        <v>461</v>
      </c>
      <c r="B24" s="189">
        <f t="array" ref="B24">VLOOKUP($A24,UT_DEMO,2,FALSE)</f>
        <v>42357</v>
      </c>
      <c r="C24" s="264" t="s">
        <v>63</v>
      </c>
      <c r="D24" s="265" t="s">
        <v>63</v>
      </c>
      <c r="E24" s="265" t="s">
        <v>63</v>
      </c>
      <c r="F24" s="265" t="s">
        <v>63</v>
      </c>
      <c r="G24" s="265" t="s">
        <v>63</v>
      </c>
      <c r="H24" s="266" t="s">
        <v>63</v>
      </c>
      <c r="I24" s="267" t="s">
        <v>63</v>
      </c>
      <c r="J24" s="268" t="s">
        <v>63</v>
      </c>
      <c r="K24" s="284" t="s">
        <v>63</v>
      </c>
      <c r="L24" s="266" t="s">
        <v>63</v>
      </c>
      <c r="M24" s="267" t="s">
        <v>63</v>
      </c>
      <c r="N24" s="265" t="s">
        <v>63</v>
      </c>
      <c r="O24" s="265" t="s">
        <v>63</v>
      </c>
      <c r="P24" s="272">
        <f>ifna(vlookup(A24,'Population &amp; Church Numbers'!$A$2780:$D$2808,4,FALSE),"NULL")</f>
        <v>20</v>
      </c>
      <c r="Q24" s="334" t="s">
        <v>63</v>
      </c>
    </row>
    <row r="25">
      <c r="A25" s="326" t="s">
        <v>2198</v>
      </c>
      <c r="B25" s="251">
        <f t="array" ref="B25">VLOOKUP($A25,UT_DEMO,2,FALSE)</f>
        <v>72698</v>
      </c>
      <c r="C25" s="252" t="s">
        <v>63</v>
      </c>
      <c r="D25" s="253" t="s">
        <v>63</v>
      </c>
      <c r="E25" s="253" t="s">
        <v>63</v>
      </c>
      <c r="F25" s="253" t="s">
        <v>63</v>
      </c>
      <c r="G25" s="253" t="s">
        <v>63</v>
      </c>
      <c r="H25" s="254" t="s">
        <v>63</v>
      </c>
      <c r="I25" s="255" t="s">
        <v>63</v>
      </c>
      <c r="J25" s="256" t="s">
        <v>63</v>
      </c>
      <c r="K25" s="274" t="s">
        <v>63</v>
      </c>
      <c r="L25" s="254" t="s">
        <v>63</v>
      </c>
      <c r="M25" s="255" t="s">
        <v>63</v>
      </c>
      <c r="N25" s="253" t="s">
        <v>63</v>
      </c>
      <c r="O25" s="253" t="s">
        <v>63</v>
      </c>
      <c r="P25" s="261">
        <f>ifna(vlookup(A25,'Population &amp; Church Numbers'!$A$2780:$D$2808,4,FALSE),"NULL")</f>
        <v>42</v>
      </c>
      <c r="Q25" s="329" t="s">
        <v>63</v>
      </c>
    </row>
    <row r="26">
      <c r="A26" s="188" t="s">
        <v>2199</v>
      </c>
      <c r="B26" s="189">
        <f t="array" ref="B26">VLOOKUP($A26,UT_DEMO,2,FALSE)</f>
        <v>35620</v>
      </c>
      <c r="C26" s="264" t="s">
        <v>63</v>
      </c>
      <c r="D26" s="265" t="s">
        <v>63</v>
      </c>
      <c r="E26" s="265" t="s">
        <v>63</v>
      </c>
      <c r="F26" s="265" t="s">
        <v>63</v>
      </c>
      <c r="G26" s="265" t="s">
        <v>63</v>
      </c>
      <c r="H26" s="266" t="s">
        <v>63</v>
      </c>
      <c r="I26" s="267" t="s">
        <v>63</v>
      </c>
      <c r="J26" s="268" t="s">
        <v>63</v>
      </c>
      <c r="K26" s="284" t="s">
        <v>63</v>
      </c>
      <c r="L26" s="266" t="s">
        <v>63</v>
      </c>
      <c r="M26" s="267" t="s">
        <v>63</v>
      </c>
      <c r="N26" s="265" t="s">
        <v>63</v>
      </c>
      <c r="O26" s="265" t="s">
        <v>63</v>
      </c>
      <c r="P26" s="272">
        <f>ifna(vlookup(A26,'Population &amp; Church Numbers'!$A$2780:$D$2808,4,FALSE),"NULL")</f>
        <v>23</v>
      </c>
      <c r="Q26" s="334" t="s">
        <v>63</v>
      </c>
    </row>
    <row r="27">
      <c r="A27" s="326" t="s">
        <v>114</v>
      </c>
      <c r="B27" s="251">
        <f t="array" ref="B27">VLOOKUP($A27,UT_DEMO,2,FALSE)</f>
        <v>659399</v>
      </c>
      <c r="C27" s="252" t="s">
        <v>63</v>
      </c>
      <c r="D27" s="253" t="s">
        <v>63</v>
      </c>
      <c r="E27" s="253" t="s">
        <v>63</v>
      </c>
      <c r="F27" s="253" t="s">
        <v>63</v>
      </c>
      <c r="G27" s="253" t="s">
        <v>63</v>
      </c>
      <c r="H27" s="254" t="s">
        <v>63</v>
      </c>
      <c r="I27" s="255" t="s">
        <v>63</v>
      </c>
      <c r="J27" s="256" t="s">
        <v>63</v>
      </c>
      <c r="K27" s="274" t="s">
        <v>63</v>
      </c>
      <c r="L27" s="254" t="s">
        <v>63</v>
      </c>
      <c r="M27" s="255" t="s">
        <v>63</v>
      </c>
      <c r="N27" s="253" t="s">
        <v>63</v>
      </c>
      <c r="O27" s="253" t="s">
        <v>63</v>
      </c>
      <c r="P27" s="261">
        <f>ifna(vlookup(A27,'Population &amp; Church Numbers'!$A$2780:$D$2808,4,FALSE),"NULL")</f>
        <v>106</v>
      </c>
      <c r="Q27" s="329" t="s">
        <v>63</v>
      </c>
    </row>
    <row r="28">
      <c r="A28" s="188" t="s">
        <v>2200</v>
      </c>
      <c r="B28" s="189">
        <f t="array" ref="B28">VLOOKUP($A28,UT_DEMO,2,FALSE)</f>
        <v>34788</v>
      </c>
      <c r="C28" s="264" t="s">
        <v>63</v>
      </c>
      <c r="D28" s="265" t="s">
        <v>63</v>
      </c>
      <c r="E28" s="265" t="s">
        <v>63</v>
      </c>
      <c r="F28" s="265" t="s">
        <v>63</v>
      </c>
      <c r="G28" s="265" t="s">
        <v>63</v>
      </c>
      <c r="H28" s="266" t="s">
        <v>63</v>
      </c>
      <c r="I28" s="267" t="s">
        <v>63</v>
      </c>
      <c r="J28" s="268" t="s">
        <v>63</v>
      </c>
      <c r="K28" s="284" t="s">
        <v>63</v>
      </c>
      <c r="L28" s="266" t="s">
        <v>63</v>
      </c>
      <c r="M28" s="267" t="s">
        <v>63</v>
      </c>
      <c r="N28" s="265" t="s">
        <v>63</v>
      </c>
      <c r="O28" s="265" t="s">
        <v>63</v>
      </c>
      <c r="P28" s="272">
        <f>ifna(vlookup(A28,'Population &amp; Church Numbers'!$A$2780:$D$2808,4,FALSE),"NULL")</f>
        <v>14</v>
      </c>
      <c r="Q28" s="334" t="s">
        <v>63</v>
      </c>
    </row>
    <row r="29">
      <c r="A29" s="326" t="s">
        <v>119</v>
      </c>
      <c r="B29" s="251">
        <f t="array" ref="B29">VLOOKUP($A29,UT_DEMO,2,FALSE)</f>
        <v>180279</v>
      </c>
      <c r="C29" s="252" t="s">
        <v>63</v>
      </c>
      <c r="D29" s="253" t="s">
        <v>63</v>
      </c>
      <c r="E29" s="253" t="s">
        <v>63</v>
      </c>
      <c r="F29" s="253" t="s">
        <v>63</v>
      </c>
      <c r="G29" s="253" t="s">
        <v>63</v>
      </c>
      <c r="H29" s="254" t="s">
        <v>63</v>
      </c>
      <c r="I29" s="255" t="s">
        <v>63</v>
      </c>
      <c r="J29" s="256" t="s">
        <v>63</v>
      </c>
      <c r="K29" s="274" t="s">
        <v>63</v>
      </c>
      <c r="L29" s="254" t="s">
        <v>63</v>
      </c>
      <c r="M29" s="255" t="s">
        <v>63</v>
      </c>
      <c r="N29" s="253" t="s">
        <v>63</v>
      </c>
      <c r="O29" s="253" t="s">
        <v>63</v>
      </c>
      <c r="P29" s="261">
        <f>ifna(vlookup(A29,'Population &amp; Church Numbers'!$A$2780:$D$2808,4,FALSE),"NULL")</f>
        <v>102</v>
      </c>
      <c r="Q29" s="329" t="s">
        <v>63</v>
      </c>
    </row>
    <row r="30">
      <c r="A30" s="188" t="s">
        <v>273</v>
      </c>
      <c r="B30" s="189">
        <f t="array" ref="B30">VLOOKUP($A30,UT_DEMO,2,FALSE)</f>
        <v>2486</v>
      </c>
      <c r="C30" s="264" t="s">
        <v>63</v>
      </c>
      <c r="D30" s="265" t="s">
        <v>63</v>
      </c>
      <c r="E30" s="265" t="s">
        <v>63</v>
      </c>
      <c r="F30" s="265" t="s">
        <v>63</v>
      </c>
      <c r="G30" s="265" t="s">
        <v>63</v>
      </c>
      <c r="H30" s="266" t="s">
        <v>63</v>
      </c>
      <c r="I30" s="267" t="s">
        <v>63</v>
      </c>
      <c r="J30" s="268" t="s">
        <v>63</v>
      </c>
      <c r="K30" s="284" t="s">
        <v>63</v>
      </c>
      <c r="L30" s="266" t="s">
        <v>63</v>
      </c>
      <c r="M30" s="267" t="s">
        <v>63</v>
      </c>
      <c r="N30" s="265" t="s">
        <v>63</v>
      </c>
      <c r="O30" s="265" t="s">
        <v>63</v>
      </c>
      <c r="P30" s="272">
        <f>ifna(vlookup(A30,'Population &amp; Church Numbers'!$A$2780:$D$2808,4,FALSE),"NULL")</f>
        <v>5</v>
      </c>
      <c r="Q30" s="334" t="s">
        <v>63</v>
      </c>
    </row>
    <row r="31">
      <c r="A31" s="326" t="s">
        <v>2202</v>
      </c>
      <c r="B31" s="251">
        <f t="array" ref="B31">VLOOKUP($A31,UT_DEMO,2,FALSE)</f>
        <v>262223</v>
      </c>
      <c r="C31" s="252" t="s">
        <v>63</v>
      </c>
      <c r="D31" s="253" t="s">
        <v>63</v>
      </c>
      <c r="E31" s="253" t="s">
        <v>63</v>
      </c>
      <c r="F31" s="253" t="s">
        <v>63</v>
      </c>
      <c r="G31" s="253" t="s">
        <v>63</v>
      </c>
      <c r="H31" s="254" t="s">
        <v>63</v>
      </c>
      <c r="I31" s="255" t="s">
        <v>63</v>
      </c>
      <c r="J31" s="256" t="s">
        <v>63</v>
      </c>
      <c r="K31" s="274" t="s">
        <v>63</v>
      </c>
      <c r="L31" s="254" t="s">
        <v>63</v>
      </c>
      <c r="M31" s="255" t="s">
        <v>63</v>
      </c>
      <c r="N31" s="253" t="s">
        <v>63</v>
      </c>
      <c r="O31" s="253" t="s">
        <v>63</v>
      </c>
      <c r="P31" s="261">
        <f>ifna(vlookup(A31,'Population &amp; Church Numbers'!$A$2780:$D$2808,4,FALSE),"NULL")</f>
        <v>105</v>
      </c>
      <c r="Q31" s="329" t="s">
        <v>63</v>
      </c>
    </row>
    <row r="32">
      <c r="A32" s="217"/>
      <c r="B32" s="218"/>
      <c r="C32" s="219"/>
      <c r="D32" s="220"/>
      <c r="E32" s="220"/>
      <c r="F32" s="220"/>
      <c r="G32" s="220"/>
      <c r="H32" s="221"/>
      <c r="I32" s="222"/>
      <c r="J32" s="223"/>
      <c r="K32" s="219"/>
      <c r="L32" s="224"/>
      <c r="M32" s="225"/>
      <c r="N32" s="226"/>
      <c r="O32" s="220"/>
      <c r="P32" s="221"/>
      <c r="Q32" s="295"/>
    </row>
    <row r="33">
      <c r="A33" s="228" t="s">
        <v>2</v>
      </c>
      <c r="B33" s="229"/>
      <c r="C33" s="1134">
        <f>AFCARSCSC!B48</f>
        <v>2067</v>
      </c>
      <c r="D33" s="708" t="s">
        <v>63</v>
      </c>
      <c r="E33" s="708" t="s">
        <v>63</v>
      </c>
      <c r="F33" s="708" t="s">
        <v>63</v>
      </c>
      <c r="G33" s="708" t="s">
        <v>63</v>
      </c>
      <c r="H33" s="1134">
        <f>AFCARSCSC!D48</f>
        <v>1120</v>
      </c>
      <c r="I33" s="360">
        <f>AFCARSCSC!C48</f>
        <v>257</v>
      </c>
      <c r="J33" s="360" t="s">
        <v>63</v>
      </c>
      <c r="K33" s="708" t="s">
        <v>63</v>
      </c>
      <c r="L33" s="708" t="s">
        <v>63</v>
      </c>
      <c r="M33" s="360" t="s">
        <v>63</v>
      </c>
      <c r="N33" s="360" t="s">
        <v>63</v>
      </c>
      <c r="O33" s="360" t="s">
        <v>63</v>
      </c>
      <c r="P33" s="233">
        <f>SUM(P3:P31)</f>
        <v>1329</v>
      </c>
      <c r="Q33" s="691" t="s">
        <v>63</v>
      </c>
    </row>
  </sheetData>
  <autoFilter ref="$A$2:$Q$31"/>
  <mergeCells count="1">
    <mergeCell ref="B1:Q1"/>
  </mergeCells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9" max="9" width="14.0"/>
    <col customWidth="1" min="11" max="11" width="16.5"/>
  </cols>
  <sheetData>
    <row r="1">
      <c r="A1" s="275" t="s">
        <v>1040</v>
      </c>
      <c r="B1" s="276"/>
      <c r="C1" s="276"/>
      <c r="D1" s="276"/>
      <c r="E1" s="275" t="s">
        <v>765</v>
      </c>
      <c r="F1" s="275" t="s">
        <v>4177</v>
      </c>
      <c r="G1" s="276"/>
      <c r="H1" s="276"/>
      <c r="I1" s="275" t="s">
        <v>767</v>
      </c>
      <c r="J1" s="277">
        <v>44915.0</v>
      </c>
      <c r="K1" s="275" t="s">
        <v>769</v>
      </c>
      <c r="L1" s="277">
        <v>44834.0</v>
      </c>
      <c r="M1" s="276"/>
    </row>
    <row r="3">
      <c r="A3" s="1099" t="s">
        <v>904</v>
      </c>
      <c r="B3" s="206">
        <v>464.0</v>
      </c>
      <c r="C3" s="1119" t="s">
        <v>323</v>
      </c>
      <c r="D3" s="1318" t="str">
        <f t="shared" ref="D3:D38" si="1">CONCAT(B3,C3)</f>
        <v>464*</v>
      </c>
    </row>
    <row r="4">
      <c r="A4" s="1119" t="s">
        <v>2185</v>
      </c>
      <c r="B4" s="1318">
        <f t="shared" ref="B4:B9" si="2">$B$3</f>
        <v>464</v>
      </c>
      <c r="C4" s="1119" t="s">
        <v>323</v>
      </c>
      <c r="D4" s="1318" t="str">
        <f t="shared" si="1"/>
        <v>464*</v>
      </c>
    </row>
    <row r="5">
      <c r="A5" s="1119" t="s">
        <v>2186</v>
      </c>
      <c r="B5" s="1318">
        <f t="shared" si="2"/>
        <v>464</v>
      </c>
      <c r="C5" s="1119" t="s">
        <v>323</v>
      </c>
      <c r="D5" s="1318" t="str">
        <f t="shared" si="1"/>
        <v>464*</v>
      </c>
    </row>
    <row r="6">
      <c r="A6" s="1119" t="s">
        <v>897</v>
      </c>
      <c r="B6" s="1318">
        <f t="shared" si="2"/>
        <v>464</v>
      </c>
      <c r="C6" s="1119" t="s">
        <v>323</v>
      </c>
      <c r="D6" s="1318" t="str">
        <f t="shared" si="1"/>
        <v>464*</v>
      </c>
    </row>
    <row r="7">
      <c r="A7" s="1119" t="s">
        <v>158</v>
      </c>
      <c r="B7" s="1318">
        <f t="shared" si="2"/>
        <v>464</v>
      </c>
      <c r="C7" s="1119" t="s">
        <v>323</v>
      </c>
      <c r="D7" s="1318" t="str">
        <f t="shared" si="1"/>
        <v>464*</v>
      </c>
    </row>
    <row r="8">
      <c r="A8" s="1119" t="s">
        <v>2195</v>
      </c>
      <c r="B8" s="1318">
        <f t="shared" si="2"/>
        <v>464</v>
      </c>
      <c r="C8" s="1119" t="s">
        <v>323</v>
      </c>
      <c r="D8" s="1318" t="str">
        <f t="shared" si="1"/>
        <v>464*</v>
      </c>
    </row>
    <row r="9">
      <c r="A9" s="1119" t="s">
        <v>2202</v>
      </c>
      <c r="B9" s="1318">
        <f t="shared" si="2"/>
        <v>464</v>
      </c>
      <c r="C9" s="1119" t="s">
        <v>323</v>
      </c>
      <c r="D9" s="1318" t="str">
        <f t="shared" si="1"/>
        <v>464*</v>
      </c>
    </row>
    <row r="10">
      <c r="A10" s="1099" t="s">
        <v>4178</v>
      </c>
      <c r="B10" s="206">
        <v>796.0</v>
      </c>
      <c r="C10" s="1119" t="s">
        <v>323</v>
      </c>
      <c r="D10" s="1318" t="str">
        <f t="shared" si="1"/>
        <v>796*</v>
      </c>
    </row>
    <row r="11">
      <c r="A11" s="1119" t="s">
        <v>367</v>
      </c>
      <c r="B11" s="1318">
        <f t="shared" ref="B11:B12" si="3">$B$10</f>
        <v>796</v>
      </c>
      <c r="C11" s="1119" t="s">
        <v>323</v>
      </c>
      <c r="D11" s="1318" t="str">
        <f t="shared" si="1"/>
        <v>796*</v>
      </c>
    </row>
    <row r="12">
      <c r="A12" s="1119" t="s">
        <v>2198</v>
      </c>
      <c r="B12" s="1318">
        <f t="shared" si="3"/>
        <v>796</v>
      </c>
      <c r="C12" s="1119" t="s">
        <v>323</v>
      </c>
      <c r="D12" s="1318" t="str">
        <f t="shared" si="1"/>
        <v>796*</v>
      </c>
    </row>
    <row r="13">
      <c r="A13" s="1099" t="s">
        <v>934</v>
      </c>
      <c r="B13" s="206">
        <v>470.0</v>
      </c>
      <c r="C13" s="1119" t="s">
        <v>323</v>
      </c>
      <c r="D13" s="1318" t="str">
        <f t="shared" si="1"/>
        <v>470*</v>
      </c>
    </row>
    <row r="14">
      <c r="A14" s="1119" t="s">
        <v>2193</v>
      </c>
      <c r="B14" s="1318">
        <f t="shared" ref="B14:B18" si="4">$B$13</f>
        <v>470</v>
      </c>
      <c r="C14" s="1119" t="s">
        <v>323</v>
      </c>
      <c r="D14" s="1318" t="str">
        <f t="shared" si="1"/>
        <v>470*</v>
      </c>
    </row>
    <row r="15">
      <c r="A15" s="1119" t="s">
        <v>2191</v>
      </c>
      <c r="B15" s="1318">
        <f t="shared" si="4"/>
        <v>470</v>
      </c>
      <c r="C15" s="1119" t="s">
        <v>323</v>
      </c>
      <c r="D15" s="1318" t="str">
        <f t="shared" si="1"/>
        <v>470*</v>
      </c>
    </row>
    <row r="16">
      <c r="A16" s="1119" t="s">
        <v>461</v>
      </c>
      <c r="B16" s="1318">
        <f t="shared" si="4"/>
        <v>470</v>
      </c>
      <c r="C16" s="1119" t="s">
        <v>323</v>
      </c>
      <c r="D16" s="1318" t="str">
        <f t="shared" si="1"/>
        <v>470*</v>
      </c>
    </row>
    <row r="17">
      <c r="A17" s="1119" t="s">
        <v>114</v>
      </c>
      <c r="B17" s="1318">
        <f t="shared" si="4"/>
        <v>470</v>
      </c>
      <c r="C17" s="1119" t="s">
        <v>323</v>
      </c>
      <c r="D17" s="1318" t="str">
        <f t="shared" si="1"/>
        <v>470*</v>
      </c>
    </row>
    <row r="18">
      <c r="A18" s="1119" t="s">
        <v>2200</v>
      </c>
      <c r="B18" s="1318">
        <f t="shared" si="4"/>
        <v>470</v>
      </c>
      <c r="C18" s="1119" t="s">
        <v>323</v>
      </c>
      <c r="D18" s="1318" t="str">
        <f t="shared" si="1"/>
        <v>470*</v>
      </c>
    </row>
    <row r="19">
      <c r="A19" s="1099" t="s">
        <v>4179</v>
      </c>
      <c r="B19" s="206">
        <v>143.0</v>
      </c>
      <c r="C19" s="1119" t="s">
        <v>323</v>
      </c>
      <c r="D19" s="1318" t="str">
        <f t="shared" si="1"/>
        <v>143*</v>
      </c>
    </row>
    <row r="20">
      <c r="A20" s="1119" t="s">
        <v>1434</v>
      </c>
      <c r="B20" s="1318">
        <f t="shared" ref="B20:B26" si="5">$B$19</f>
        <v>143</v>
      </c>
      <c r="C20" s="1119" t="s">
        <v>323</v>
      </c>
      <c r="D20" s="1318" t="str">
        <f t="shared" si="1"/>
        <v>143*</v>
      </c>
    </row>
    <row r="21">
      <c r="A21" s="1119" t="s">
        <v>2187</v>
      </c>
      <c r="B21" s="1318">
        <f t="shared" si="5"/>
        <v>143</v>
      </c>
      <c r="C21" s="1119" t="s">
        <v>323</v>
      </c>
      <c r="D21" s="1318" t="str">
        <f t="shared" si="1"/>
        <v>143*</v>
      </c>
    </row>
    <row r="22">
      <c r="A22" s="1119" t="s">
        <v>2188</v>
      </c>
      <c r="B22" s="1318">
        <f t="shared" si="5"/>
        <v>143</v>
      </c>
      <c r="C22" s="1119" t="s">
        <v>323</v>
      </c>
      <c r="D22" s="1318" t="str">
        <f t="shared" si="1"/>
        <v>143*</v>
      </c>
    </row>
    <row r="23">
      <c r="A23" s="1119" t="s">
        <v>2190</v>
      </c>
      <c r="B23" s="1318">
        <f t="shared" si="5"/>
        <v>143</v>
      </c>
      <c r="C23" s="1119" t="s">
        <v>323</v>
      </c>
      <c r="D23" s="1318" t="str">
        <f t="shared" si="1"/>
        <v>143*</v>
      </c>
    </row>
    <row r="24">
      <c r="A24" s="1119" t="s">
        <v>421</v>
      </c>
      <c r="B24" s="1318">
        <f t="shared" si="5"/>
        <v>143</v>
      </c>
      <c r="C24" s="1119" t="s">
        <v>323</v>
      </c>
      <c r="D24" s="1318" t="str">
        <f t="shared" si="1"/>
        <v>143*</v>
      </c>
    </row>
    <row r="25">
      <c r="A25" s="1119" t="s">
        <v>457</v>
      </c>
      <c r="B25" s="1318">
        <f t="shared" si="5"/>
        <v>143</v>
      </c>
      <c r="C25" s="1119" t="s">
        <v>323</v>
      </c>
      <c r="D25" s="1318" t="str">
        <f t="shared" si="1"/>
        <v>143*</v>
      </c>
    </row>
    <row r="26">
      <c r="A26" s="1119" t="s">
        <v>2199</v>
      </c>
      <c r="B26" s="1318">
        <f t="shared" si="5"/>
        <v>143</v>
      </c>
      <c r="C26" s="1119" t="s">
        <v>323</v>
      </c>
      <c r="D26" s="1318" t="str">
        <f t="shared" si="1"/>
        <v>143*</v>
      </c>
    </row>
    <row r="27">
      <c r="A27" s="1099" t="s">
        <v>4180</v>
      </c>
      <c r="B27" s="206">
        <v>199.0</v>
      </c>
      <c r="C27" s="1119" t="s">
        <v>323</v>
      </c>
      <c r="D27" s="1318" t="str">
        <f t="shared" si="1"/>
        <v>199*</v>
      </c>
    </row>
    <row r="28">
      <c r="A28" s="1119" t="s">
        <v>1710</v>
      </c>
      <c r="B28" s="1318">
        <f t="shared" ref="B28:B36" si="6">$B$27</f>
        <v>199</v>
      </c>
      <c r="C28" s="1119" t="s">
        <v>323</v>
      </c>
      <c r="D28" s="1318" t="str">
        <f t="shared" si="1"/>
        <v>199*</v>
      </c>
    </row>
    <row r="29">
      <c r="A29" s="1119" t="s">
        <v>417</v>
      </c>
      <c r="B29" s="1318">
        <f t="shared" si="6"/>
        <v>199</v>
      </c>
      <c r="C29" s="1119" t="s">
        <v>323</v>
      </c>
      <c r="D29" s="1318" t="str">
        <f t="shared" si="1"/>
        <v>199*</v>
      </c>
    </row>
    <row r="30">
      <c r="A30" s="1119" t="s">
        <v>656</v>
      </c>
      <c r="B30" s="1318">
        <f t="shared" si="6"/>
        <v>199</v>
      </c>
      <c r="C30" s="1119" t="s">
        <v>323</v>
      </c>
      <c r="D30" s="1318" t="str">
        <f t="shared" si="1"/>
        <v>199*</v>
      </c>
    </row>
    <row r="31">
      <c r="A31" s="1119" t="s">
        <v>1259</v>
      </c>
      <c r="B31" s="1318">
        <f t="shared" si="6"/>
        <v>199</v>
      </c>
      <c r="C31" s="1119" t="s">
        <v>323</v>
      </c>
      <c r="D31" s="1318" t="str">
        <f t="shared" si="1"/>
        <v>199*</v>
      </c>
    </row>
    <row r="32">
      <c r="A32" s="1119" t="s">
        <v>2194</v>
      </c>
      <c r="B32" s="1318">
        <f t="shared" si="6"/>
        <v>199</v>
      </c>
      <c r="C32" s="1119" t="s">
        <v>323</v>
      </c>
      <c r="D32" s="1318" t="str">
        <f t="shared" si="1"/>
        <v>199*</v>
      </c>
    </row>
    <row r="33">
      <c r="A33" s="1119" t="s">
        <v>2197</v>
      </c>
      <c r="B33" s="1318">
        <f t="shared" si="6"/>
        <v>199</v>
      </c>
      <c r="C33" s="1119" t="s">
        <v>323</v>
      </c>
      <c r="D33" s="1318" t="str">
        <f t="shared" si="1"/>
        <v>199*</v>
      </c>
    </row>
    <row r="34">
      <c r="A34" s="1119" t="s">
        <v>312</v>
      </c>
      <c r="B34" s="1318">
        <f t="shared" si="6"/>
        <v>199</v>
      </c>
      <c r="C34" s="1119" t="s">
        <v>323</v>
      </c>
      <c r="D34" s="1318" t="str">
        <f t="shared" si="1"/>
        <v>199*</v>
      </c>
    </row>
    <row r="35">
      <c r="A35" s="1119" t="s">
        <v>119</v>
      </c>
      <c r="B35" s="1318">
        <f t="shared" si="6"/>
        <v>199</v>
      </c>
      <c r="C35" s="1119" t="s">
        <v>323</v>
      </c>
      <c r="D35" s="1318" t="str">
        <f t="shared" si="1"/>
        <v>199*</v>
      </c>
    </row>
    <row r="36">
      <c r="A36" s="1119" t="s">
        <v>273</v>
      </c>
      <c r="B36" s="1318">
        <f t="shared" si="6"/>
        <v>199</v>
      </c>
      <c r="C36" s="1119" t="s">
        <v>323</v>
      </c>
      <c r="D36" s="1318" t="str">
        <f t="shared" si="1"/>
        <v>199*</v>
      </c>
    </row>
    <row r="37">
      <c r="D37" s="8" t="str">
        <f t="shared" si="1"/>
        <v/>
      </c>
    </row>
    <row r="38">
      <c r="A38" s="1099" t="s">
        <v>923</v>
      </c>
      <c r="B38" s="1130">
        <v>2072.0</v>
      </c>
      <c r="C38" s="1318"/>
      <c r="D38" s="1319" t="str">
        <f t="shared" si="1"/>
        <v>2072</v>
      </c>
    </row>
    <row r="42">
      <c r="A42" s="275" t="s">
        <v>2484</v>
      </c>
      <c r="B42" s="276"/>
      <c r="C42" s="276"/>
      <c r="D42" s="276"/>
      <c r="E42" s="275" t="s">
        <v>765</v>
      </c>
      <c r="F42" s="275" t="s">
        <v>4177</v>
      </c>
      <c r="G42" s="276"/>
      <c r="H42" s="276"/>
      <c r="I42" s="275" t="s">
        <v>767</v>
      </c>
      <c r="J42" s="277">
        <v>44915.0</v>
      </c>
      <c r="K42" s="275" t="s">
        <v>769</v>
      </c>
      <c r="L42" s="277">
        <v>44834.0</v>
      </c>
      <c r="M42" s="276"/>
    </row>
    <row r="44">
      <c r="A44" s="1099" t="s">
        <v>904</v>
      </c>
      <c r="B44" s="206">
        <v>289.0</v>
      </c>
      <c r="C44" s="1119" t="s">
        <v>323</v>
      </c>
      <c r="D44" s="1318" t="str">
        <f t="shared" ref="D44:D79" si="7">CONCAT(B44,C44)</f>
        <v>289*</v>
      </c>
    </row>
    <row r="45">
      <c r="A45" s="1119" t="s">
        <v>2185</v>
      </c>
      <c r="B45" s="1318">
        <f t="shared" ref="B45:B50" si="8">$B$44</f>
        <v>289</v>
      </c>
      <c r="C45" s="1119" t="s">
        <v>323</v>
      </c>
      <c r="D45" s="1318" t="str">
        <f t="shared" si="7"/>
        <v>289*</v>
      </c>
    </row>
    <row r="46">
      <c r="A46" s="1119" t="s">
        <v>2186</v>
      </c>
      <c r="B46" s="1318">
        <f t="shared" si="8"/>
        <v>289</v>
      </c>
      <c r="C46" s="1119" t="s">
        <v>323</v>
      </c>
      <c r="D46" s="1318" t="str">
        <f t="shared" si="7"/>
        <v>289*</v>
      </c>
    </row>
    <row r="47">
      <c r="A47" s="1119" t="s">
        <v>897</v>
      </c>
      <c r="B47" s="1318">
        <f t="shared" si="8"/>
        <v>289</v>
      </c>
      <c r="C47" s="1119" t="s">
        <v>323</v>
      </c>
      <c r="D47" s="1318" t="str">
        <f t="shared" si="7"/>
        <v>289*</v>
      </c>
    </row>
    <row r="48">
      <c r="A48" s="1119" t="s">
        <v>158</v>
      </c>
      <c r="B48" s="1318">
        <f t="shared" si="8"/>
        <v>289</v>
      </c>
      <c r="C48" s="1119" t="s">
        <v>323</v>
      </c>
      <c r="D48" s="1318" t="str">
        <f t="shared" si="7"/>
        <v>289*</v>
      </c>
    </row>
    <row r="49">
      <c r="A49" s="1119" t="s">
        <v>2195</v>
      </c>
      <c r="B49" s="1318">
        <f t="shared" si="8"/>
        <v>289</v>
      </c>
      <c r="C49" s="1119" t="s">
        <v>323</v>
      </c>
      <c r="D49" s="1318" t="str">
        <f t="shared" si="7"/>
        <v>289*</v>
      </c>
    </row>
    <row r="50">
      <c r="A50" s="1119" t="s">
        <v>2202</v>
      </c>
      <c r="B50" s="1318">
        <f t="shared" si="8"/>
        <v>289</v>
      </c>
      <c r="C50" s="1119" t="s">
        <v>323</v>
      </c>
      <c r="D50" s="1318" t="str">
        <f t="shared" si="7"/>
        <v>289*</v>
      </c>
    </row>
    <row r="51">
      <c r="A51" s="1099" t="s">
        <v>4178</v>
      </c>
      <c r="B51" s="206">
        <v>239.0</v>
      </c>
      <c r="C51" s="1119" t="s">
        <v>323</v>
      </c>
      <c r="D51" s="1318" t="str">
        <f t="shared" si="7"/>
        <v>239*</v>
      </c>
    </row>
    <row r="52">
      <c r="A52" s="1119" t="s">
        <v>367</v>
      </c>
      <c r="B52" s="1318">
        <f t="shared" ref="B52:B53" si="9">$B$51</f>
        <v>239</v>
      </c>
      <c r="C52" s="1119" t="s">
        <v>323</v>
      </c>
      <c r="D52" s="1318" t="str">
        <f t="shared" si="7"/>
        <v>239*</v>
      </c>
    </row>
    <row r="53">
      <c r="A53" s="1119" t="s">
        <v>2198</v>
      </c>
      <c r="B53" s="1318">
        <f t="shared" si="9"/>
        <v>239</v>
      </c>
      <c r="C53" s="1119" t="s">
        <v>323</v>
      </c>
      <c r="D53" s="1318" t="str">
        <f t="shared" si="7"/>
        <v>239*</v>
      </c>
    </row>
    <row r="54">
      <c r="A54" s="1099" t="s">
        <v>934</v>
      </c>
      <c r="B54" s="206">
        <v>340.0</v>
      </c>
      <c r="C54" s="1119" t="s">
        <v>323</v>
      </c>
      <c r="D54" s="1318" t="str">
        <f t="shared" si="7"/>
        <v>340*</v>
      </c>
    </row>
    <row r="55">
      <c r="A55" s="1119" t="s">
        <v>2193</v>
      </c>
      <c r="B55" s="1318">
        <f t="shared" ref="B55:B59" si="10">$B$54</f>
        <v>340</v>
      </c>
      <c r="C55" s="1119" t="s">
        <v>323</v>
      </c>
      <c r="D55" s="1318" t="str">
        <f t="shared" si="7"/>
        <v>340*</v>
      </c>
    </row>
    <row r="56">
      <c r="A56" s="1119" t="s">
        <v>2191</v>
      </c>
      <c r="B56" s="1318">
        <f t="shared" si="10"/>
        <v>340</v>
      </c>
      <c r="C56" s="1119" t="s">
        <v>323</v>
      </c>
      <c r="D56" s="1318" t="str">
        <f t="shared" si="7"/>
        <v>340*</v>
      </c>
    </row>
    <row r="57">
      <c r="A57" s="1119" t="s">
        <v>461</v>
      </c>
      <c r="B57" s="1318">
        <f t="shared" si="10"/>
        <v>340</v>
      </c>
      <c r="C57" s="1119" t="s">
        <v>323</v>
      </c>
      <c r="D57" s="1318" t="str">
        <f t="shared" si="7"/>
        <v>340*</v>
      </c>
    </row>
    <row r="58">
      <c r="A58" s="1119" t="s">
        <v>114</v>
      </c>
      <c r="B58" s="1318">
        <f t="shared" si="10"/>
        <v>340</v>
      </c>
      <c r="C58" s="1119" t="s">
        <v>323</v>
      </c>
      <c r="D58" s="1318" t="str">
        <f t="shared" si="7"/>
        <v>340*</v>
      </c>
    </row>
    <row r="59">
      <c r="A59" s="1119" t="s">
        <v>2200</v>
      </c>
      <c r="B59" s="1318">
        <f t="shared" si="10"/>
        <v>340</v>
      </c>
      <c r="C59" s="1119" t="s">
        <v>323</v>
      </c>
      <c r="D59" s="1318" t="str">
        <f t="shared" si="7"/>
        <v>340*</v>
      </c>
    </row>
    <row r="60">
      <c r="A60" s="1099" t="s">
        <v>4179</v>
      </c>
      <c r="B60" s="206">
        <v>80.0</v>
      </c>
      <c r="C60" s="1119" t="s">
        <v>323</v>
      </c>
      <c r="D60" s="1318" t="str">
        <f t="shared" si="7"/>
        <v>80*</v>
      </c>
    </row>
    <row r="61">
      <c r="A61" s="1119" t="s">
        <v>1434</v>
      </c>
      <c r="B61" s="1318">
        <f t="shared" ref="B61:B67" si="11">$B$60</f>
        <v>80</v>
      </c>
      <c r="C61" s="1119" t="s">
        <v>323</v>
      </c>
      <c r="D61" s="1318" t="str">
        <f t="shared" si="7"/>
        <v>80*</v>
      </c>
    </row>
    <row r="62">
      <c r="A62" s="1119" t="s">
        <v>2187</v>
      </c>
      <c r="B62" s="1318">
        <f t="shared" si="11"/>
        <v>80</v>
      </c>
      <c r="C62" s="1119" t="s">
        <v>323</v>
      </c>
      <c r="D62" s="1318" t="str">
        <f t="shared" si="7"/>
        <v>80*</v>
      </c>
    </row>
    <row r="63">
      <c r="A63" s="1119" t="s">
        <v>2188</v>
      </c>
      <c r="B63" s="1318">
        <f t="shared" si="11"/>
        <v>80</v>
      </c>
      <c r="C63" s="1119" t="s">
        <v>323</v>
      </c>
      <c r="D63" s="1318" t="str">
        <f t="shared" si="7"/>
        <v>80*</v>
      </c>
    </row>
    <row r="64">
      <c r="A64" s="1119" t="s">
        <v>2190</v>
      </c>
      <c r="B64" s="1318">
        <f t="shared" si="11"/>
        <v>80</v>
      </c>
      <c r="C64" s="1119" t="s">
        <v>323</v>
      </c>
      <c r="D64" s="1318" t="str">
        <f t="shared" si="7"/>
        <v>80*</v>
      </c>
    </row>
    <row r="65">
      <c r="A65" s="1119" t="s">
        <v>421</v>
      </c>
      <c r="B65" s="1318">
        <f t="shared" si="11"/>
        <v>80</v>
      </c>
      <c r="C65" s="1119" t="s">
        <v>323</v>
      </c>
      <c r="D65" s="1318" t="str">
        <f t="shared" si="7"/>
        <v>80*</v>
      </c>
    </row>
    <row r="66">
      <c r="A66" s="1119" t="s">
        <v>457</v>
      </c>
      <c r="B66" s="1318">
        <f t="shared" si="11"/>
        <v>80</v>
      </c>
      <c r="C66" s="1119" t="s">
        <v>323</v>
      </c>
      <c r="D66" s="1318" t="str">
        <f t="shared" si="7"/>
        <v>80*</v>
      </c>
    </row>
    <row r="67">
      <c r="A67" s="1119" t="s">
        <v>2199</v>
      </c>
      <c r="B67" s="1318">
        <f t="shared" si="11"/>
        <v>80</v>
      </c>
      <c r="C67" s="1119" t="s">
        <v>323</v>
      </c>
      <c r="D67" s="1318" t="str">
        <f t="shared" si="7"/>
        <v>80*</v>
      </c>
    </row>
    <row r="68">
      <c r="A68" s="1099" t="s">
        <v>4180</v>
      </c>
      <c r="B68" s="206">
        <v>83.0</v>
      </c>
      <c r="C68" s="1119" t="s">
        <v>323</v>
      </c>
      <c r="D68" s="1318" t="str">
        <f t="shared" si="7"/>
        <v>83*</v>
      </c>
    </row>
    <row r="69">
      <c r="A69" s="1119" t="s">
        <v>1710</v>
      </c>
      <c r="B69" s="1318">
        <f t="shared" ref="B69:B77" si="12">$B$68</f>
        <v>83</v>
      </c>
      <c r="C69" s="1119" t="s">
        <v>323</v>
      </c>
      <c r="D69" s="1318" t="str">
        <f t="shared" si="7"/>
        <v>83*</v>
      </c>
    </row>
    <row r="70">
      <c r="A70" s="1119" t="s">
        <v>417</v>
      </c>
      <c r="B70" s="1318">
        <f t="shared" si="12"/>
        <v>83</v>
      </c>
      <c r="C70" s="1119" t="s">
        <v>323</v>
      </c>
      <c r="D70" s="1318" t="str">
        <f t="shared" si="7"/>
        <v>83*</v>
      </c>
    </row>
    <row r="71">
      <c r="A71" s="1119" t="s">
        <v>656</v>
      </c>
      <c r="B71" s="1318">
        <f t="shared" si="12"/>
        <v>83</v>
      </c>
      <c r="C71" s="1119" t="s">
        <v>323</v>
      </c>
      <c r="D71" s="1318" t="str">
        <f t="shared" si="7"/>
        <v>83*</v>
      </c>
    </row>
    <row r="72">
      <c r="A72" s="1119" t="s">
        <v>1259</v>
      </c>
      <c r="B72" s="1318">
        <f t="shared" si="12"/>
        <v>83</v>
      </c>
      <c r="C72" s="1119" t="s">
        <v>323</v>
      </c>
      <c r="D72" s="1318" t="str">
        <f t="shared" si="7"/>
        <v>83*</v>
      </c>
    </row>
    <row r="73">
      <c r="A73" s="1119" t="s">
        <v>2194</v>
      </c>
      <c r="B73" s="1318">
        <f t="shared" si="12"/>
        <v>83</v>
      </c>
      <c r="C73" s="1119" t="s">
        <v>323</v>
      </c>
      <c r="D73" s="1318" t="str">
        <f t="shared" si="7"/>
        <v>83*</v>
      </c>
    </row>
    <row r="74">
      <c r="A74" s="1119" t="s">
        <v>2197</v>
      </c>
      <c r="B74" s="1318">
        <f t="shared" si="12"/>
        <v>83</v>
      </c>
      <c r="C74" s="1119" t="s">
        <v>323</v>
      </c>
      <c r="D74" s="1318" t="str">
        <f t="shared" si="7"/>
        <v>83*</v>
      </c>
    </row>
    <row r="75">
      <c r="A75" s="1119" t="s">
        <v>312</v>
      </c>
      <c r="B75" s="1318">
        <f t="shared" si="12"/>
        <v>83</v>
      </c>
      <c r="C75" s="1119" t="s">
        <v>323</v>
      </c>
      <c r="D75" s="1318" t="str">
        <f t="shared" si="7"/>
        <v>83*</v>
      </c>
    </row>
    <row r="76">
      <c r="A76" s="1119" t="s">
        <v>119</v>
      </c>
      <c r="B76" s="1318">
        <f t="shared" si="12"/>
        <v>83</v>
      </c>
      <c r="C76" s="1119" t="s">
        <v>323</v>
      </c>
      <c r="D76" s="1318" t="str">
        <f t="shared" si="7"/>
        <v>83*</v>
      </c>
    </row>
    <row r="77">
      <c r="A77" s="1119" t="s">
        <v>273</v>
      </c>
      <c r="B77" s="1318">
        <f t="shared" si="12"/>
        <v>83</v>
      </c>
      <c r="C77" s="1119" t="s">
        <v>323</v>
      </c>
      <c r="D77" s="1318" t="str">
        <f t="shared" si="7"/>
        <v>83*</v>
      </c>
    </row>
    <row r="78">
      <c r="D78" s="548" t="str">
        <f t="shared" si="7"/>
        <v/>
      </c>
    </row>
    <row r="79">
      <c r="A79" s="1099" t="s">
        <v>923</v>
      </c>
      <c r="B79" s="1130">
        <v>1033.0</v>
      </c>
      <c r="D79" s="1318" t="str">
        <f t="shared" si="7"/>
        <v>1033</v>
      </c>
    </row>
    <row r="81">
      <c r="A81" s="275" t="s">
        <v>792</v>
      </c>
      <c r="B81" s="276"/>
      <c r="C81" s="276"/>
      <c r="D81" s="276"/>
      <c r="E81" s="275" t="s">
        <v>765</v>
      </c>
      <c r="F81" s="276"/>
      <c r="G81" s="276"/>
      <c r="H81" s="276"/>
      <c r="I81" s="275" t="s">
        <v>767</v>
      </c>
      <c r="J81" s="277"/>
      <c r="K81" s="275" t="s">
        <v>769</v>
      </c>
      <c r="L81" s="277"/>
      <c r="M81" s="276"/>
    </row>
    <row r="131">
      <c r="A131" s="275" t="s">
        <v>852</v>
      </c>
      <c r="B131" s="276"/>
      <c r="C131" s="276"/>
      <c r="D131" s="276"/>
      <c r="E131" s="275" t="s">
        <v>765</v>
      </c>
      <c r="F131" s="276"/>
      <c r="G131" s="276"/>
      <c r="H131" s="276"/>
      <c r="I131" s="275" t="s">
        <v>767</v>
      </c>
      <c r="J131" s="276"/>
      <c r="K131" s="275" t="s">
        <v>769</v>
      </c>
      <c r="L131" s="276"/>
      <c r="M131" s="276"/>
    </row>
  </sheetData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2" max="12" width="13.88"/>
  </cols>
  <sheetData>
    <row r="1">
      <c r="A1" s="167"/>
      <c r="B1" s="168" t="s">
        <v>116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899"/>
    </row>
    <row r="2">
      <c r="A2" s="169" t="s">
        <v>172</v>
      </c>
      <c r="B2" s="170" t="s">
        <v>174</v>
      </c>
      <c r="C2" s="171" t="s">
        <v>693</v>
      </c>
      <c r="D2" s="172" t="s">
        <v>694</v>
      </c>
      <c r="E2" s="172" t="s">
        <v>695</v>
      </c>
      <c r="F2" s="172" t="s">
        <v>179</v>
      </c>
      <c r="G2" s="172" t="s">
        <v>696</v>
      </c>
      <c r="H2" s="173" t="s">
        <v>697</v>
      </c>
      <c r="I2" s="174" t="s">
        <v>84</v>
      </c>
      <c r="J2" s="170" t="s">
        <v>698</v>
      </c>
      <c r="K2" s="175" t="s">
        <v>699</v>
      </c>
      <c r="L2" s="173" t="s">
        <v>89</v>
      </c>
      <c r="M2" s="176" t="s">
        <v>700</v>
      </c>
      <c r="N2" s="177" t="s">
        <v>701</v>
      </c>
      <c r="O2" s="177" t="s">
        <v>702</v>
      </c>
      <c r="P2" s="178" t="s">
        <v>90</v>
      </c>
      <c r="Q2" s="325" t="s">
        <v>703</v>
      </c>
      <c r="R2" s="1321" t="s">
        <v>2833</v>
      </c>
    </row>
    <row r="3">
      <c r="A3" s="1322" t="s">
        <v>4181</v>
      </c>
      <c r="B3" s="251" t="str">
        <f t="array" ref="B3">VLOOKUP($A3,VT_DEMO,2,FALSE)</f>
        <v>#N/A</v>
      </c>
      <c r="C3" s="1323">
        <v>118.0</v>
      </c>
      <c r="D3" s="253" t="s">
        <v>63</v>
      </c>
      <c r="E3" s="1323">
        <v>54.0</v>
      </c>
      <c r="F3" s="1323">
        <v>51.0</v>
      </c>
      <c r="G3" s="253" t="s">
        <v>63</v>
      </c>
      <c r="H3" s="1323">
        <v>84.0</v>
      </c>
      <c r="I3" s="1323">
        <v>35.0</v>
      </c>
      <c r="J3" s="256" t="s">
        <v>63</v>
      </c>
      <c r="K3" s="876">
        <v>0.507</v>
      </c>
      <c r="L3" s="1323">
        <v>22.0</v>
      </c>
      <c r="M3" s="255" t="s">
        <v>63</v>
      </c>
      <c r="N3" s="253" t="s">
        <v>63</v>
      </c>
      <c r="O3" s="253" t="s">
        <v>63</v>
      </c>
      <c r="P3" s="254" t="str">
        <f>ifna(vlookup(A3,'Population &amp; Church Numbers'!$A$2809:$E$2822,4,FALSE),"NULL")</f>
        <v>NULL</v>
      </c>
      <c r="Q3" s="329" t="s">
        <v>63</v>
      </c>
      <c r="R3" s="1323">
        <v>17.0</v>
      </c>
    </row>
    <row r="4">
      <c r="A4" s="1324" t="s">
        <v>1526</v>
      </c>
      <c r="B4" s="189" t="str">
        <f t="array" ref="B4">VLOOKUP($A4,VT_DEMO,2,FALSE)</f>
        <v>#N/A</v>
      </c>
      <c r="C4" s="1325">
        <v>139.0</v>
      </c>
      <c r="D4" s="265" t="s">
        <v>63</v>
      </c>
      <c r="E4" s="1325">
        <v>65.0</v>
      </c>
      <c r="F4" s="1325">
        <v>61.0</v>
      </c>
      <c r="G4" s="265" t="s">
        <v>63</v>
      </c>
      <c r="H4" s="1325">
        <v>130.0</v>
      </c>
      <c r="I4" s="1325">
        <v>27.0</v>
      </c>
      <c r="J4" s="268" t="s">
        <v>63</v>
      </c>
      <c r="K4" s="879">
        <v>0.55</v>
      </c>
      <c r="L4" s="1325">
        <v>53.0</v>
      </c>
      <c r="M4" s="267" t="s">
        <v>63</v>
      </c>
      <c r="N4" s="265" t="s">
        <v>63</v>
      </c>
      <c r="O4" s="265" t="s">
        <v>63</v>
      </c>
      <c r="P4" s="266" t="str">
        <f>ifna(vlookup(A4,'Population &amp; Church Numbers'!$A$2809:$E$2822,4,FALSE),"NULL")</f>
        <v>NULL</v>
      </c>
      <c r="Q4" s="334" t="s">
        <v>63</v>
      </c>
      <c r="R4" s="1325">
        <v>21.0</v>
      </c>
    </row>
    <row r="5">
      <c r="A5" s="1322" t="s">
        <v>466</v>
      </c>
      <c r="B5" s="251" t="str">
        <f t="array" ref="B5">VLOOKUP($A5,VT_DEMO,2,FALSE)</f>
        <v>#N/A</v>
      </c>
      <c r="C5" s="1323">
        <v>30.0</v>
      </c>
      <c r="D5" s="253" t="s">
        <v>63</v>
      </c>
      <c r="E5" s="1323">
        <v>19.0</v>
      </c>
      <c r="F5" s="1323">
        <v>7.0</v>
      </c>
      <c r="G5" s="253" t="s">
        <v>63</v>
      </c>
      <c r="H5" s="1323">
        <v>42.0</v>
      </c>
      <c r="I5" s="1323">
        <v>12.0</v>
      </c>
      <c r="J5" s="256" t="s">
        <v>63</v>
      </c>
      <c r="K5" s="876">
        <v>0.077</v>
      </c>
      <c r="L5" s="1323">
        <v>1.0</v>
      </c>
      <c r="M5" s="255" t="s">
        <v>63</v>
      </c>
      <c r="N5" s="253" t="s">
        <v>63</v>
      </c>
      <c r="O5" s="253" t="s">
        <v>63</v>
      </c>
      <c r="P5" s="254" t="str">
        <f>ifna(vlookup(A5,'Population &amp; Church Numbers'!$A$2809:$E$2822,4,FALSE),"NULL")</f>
        <v>NULL</v>
      </c>
      <c r="Q5" s="329" t="s">
        <v>63</v>
      </c>
      <c r="R5" s="1323">
        <v>6.0</v>
      </c>
    </row>
    <row r="6">
      <c r="A6" s="1324" t="s">
        <v>4182</v>
      </c>
      <c r="B6" s="189" t="str">
        <f t="array" ref="B6">VLOOKUP($A6,VT_DEMO,2,FALSE)</f>
        <v>#N/A</v>
      </c>
      <c r="C6" s="1325">
        <v>46.0</v>
      </c>
      <c r="D6" s="265" t="s">
        <v>63</v>
      </c>
      <c r="E6" s="1325">
        <v>15.0</v>
      </c>
      <c r="F6" s="1325">
        <v>28.0</v>
      </c>
      <c r="G6" s="265" t="s">
        <v>63</v>
      </c>
      <c r="H6" s="1325">
        <v>76.0</v>
      </c>
      <c r="I6" s="1325">
        <v>15.0</v>
      </c>
      <c r="J6" s="268" t="s">
        <v>63</v>
      </c>
      <c r="K6" s="879">
        <v>0.537</v>
      </c>
      <c r="L6" s="1325">
        <v>0.0</v>
      </c>
      <c r="M6" s="267" t="s">
        <v>63</v>
      </c>
      <c r="N6" s="265" t="s">
        <v>63</v>
      </c>
      <c r="O6" s="265" t="s">
        <v>63</v>
      </c>
      <c r="P6" s="266" t="str">
        <f>ifna(vlookup(A6,'Population &amp; Church Numbers'!$A$2809:$E$2822,4,FALSE),"NULL")</f>
        <v>NULL</v>
      </c>
      <c r="Q6" s="334" t="s">
        <v>63</v>
      </c>
      <c r="R6" s="1325">
        <v>6.0</v>
      </c>
    </row>
    <row r="7">
      <c r="A7" s="1322" t="s">
        <v>4183</v>
      </c>
      <c r="B7" s="251" t="str">
        <f t="array" ref="B7">VLOOKUP($A7,VT_DEMO,2,FALSE)</f>
        <v>#N/A</v>
      </c>
      <c r="C7" s="1323">
        <v>81.0</v>
      </c>
      <c r="D7" s="253" t="s">
        <v>63</v>
      </c>
      <c r="E7" s="1323">
        <v>35.0</v>
      </c>
      <c r="F7" s="1323">
        <v>28.0</v>
      </c>
      <c r="G7" s="253" t="s">
        <v>63</v>
      </c>
      <c r="H7" s="1323">
        <v>71.0</v>
      </c>
      <c r="I7" s="1323">
        <v>31.0</v>
      </c>
      <c r="J7" s="256" t="s">
        <v>63</v>
      </c>
      <c r="K7" s="876">
        <v>0.357</v>
      </c>
      <c r="L7" s="1323">
        <v>11.0</v>
      </c>
      <c r="M7" s="255" t="s">
        <v>63</v>
      </c>
      <c r="N7" s="253" t="s">
        <v>63</v>
      </c>
      <c r="O7" s="253" t="s">
        <v>63</v>
      </c>
      <c r="P7" s="254" t="str">
        <f>ifna(vlookup(A7,'Population &amp; Church Numbers'!$A$2809:$E$2822,4,FALSE),"NULL")</f>
        <v>NULL</v>
      </c>
      <c r="Q7" s="329" t="s">
        <v>63</v>
      </c>
      <c r="R7" s="1323">
        <v>27.0</v>
      </c>
    </row>
    <row r="8">
      <c r="A8" s="1324" t="s">
        <v>2883</v>
      </c>
      <c r="B8" s="189" t="str">
        <f t="array" ref="B8">VLOOKUP($A8,VT_DEMO,2,FALSE)</f>
        <v>#N/A</v>
      </c>
      <c r="C8" s="1325">
        <v>73.0</v>
      </c>
      <c r="D8" s="265" t="s">
        <v>63</v>
      </c>
      <c r="E8" s="1325">
        <v>31.0</v>
      </c>
      <c r="F8" s="1325">
        <v>29.0</v>
      </c>
      <c r="G8" s="265" t="s">
        <v>63</v>
      </c>
      <c r="H8" s="1325">
        <v>75.0</v>
      </c>
      <c r="I8" s="1325">
        <v>23.0</v>
      </c>
      <c r="J8" s="268" t="s">
        <v>63</v>
      </c>
      <c r="K8" s="879">
        <v>0.448</v>
      </c>
      <c r="L8" s="1325">
        <v>5.0</v>
      </c>
      <c r="M8" s="267" t="s">
        <v>63</v>
      </c>
      <c r="N8" s="265" t="s">
        <v>63</v>
      </c>
      <c r="O8" s="265" t="s">
        <v>63</v>
      </c>
      <c r="P8" s="266" t="str">
        <f>ifna(vlookup(A8,'Population &amp; Church Numbers'!$A$2809:$E$2822,4,FALSE),"NULL")</f>
        <v>NULL</v>
      </c>
      <c r="Q8" s="334" t="s">
        <v>63</v>
      </c>
      <c r="R8" s="1325">
        <v>18.0</v>
      </c>
    </row>
    <row r="9">
      <c r="A9" s="1322" t="s">
        <v>1811</v>
      </c>
      <c r="B9" s="251" t="str">
        <f t="array" ref="B9">VLOOKUP($A9,VT_DEMO,2,FALSE)</f>
        <v>#N/A</v>
      </c>
      <c r="C9" s="1323">
        <v>76.0</v>
      </c>
      <c r="D9" s="253" t="s">
        <v>63</v>
      </c>
      <c r="E9" s="1323">
        <v>41.0</v>
      </c>
      <c r="F9" s="1323">
        <v>25.0</v>
      </c>
      <c r="G9" s="253" t="s">
        <v>63</v>
      </c>
      <c r="H9" s="1323">
        <v>59.0</v>
      </c>
      <c r="I9" s="1323">
        <v>21.0</v>
      </c>
      <c r="J9" s="256" t="s">
        <v>63</v>
      </c>
      <c r="K9" s="876">
        <v>0.383</v>
      </c>
      <c r="L9" s="1323">
        <v>5.0</v>
      </c>
      <c r="M9" s="255" t="s">
        <v>63</v>
      </c>
      <c r="N9" s="253" t="s">
        <v>63</v>
      </c>
      <c r="O9" s="253" t="s">
        <v>63</v>
      </c>
      <c r="P9" s="254" t="str">
        <f>ifna(vlookup(A9,'Population &amp; Church Numbers'!$A$2809:$E$2822,4,FALSE),"NULL")</f>
        <v>NULL</v>
      </c>
      <c r="Q9" s="329" t="s">
        <v>63</v>
      </c>
      <c r="R9" s="1323">
        <v>15.0</v>
      </c>
    </row>
    <row r="10">
      <c r="A10" s="1324" t="s">
        <v>2211</v>
      </c>
      <c r="B10" s="189">
        <f t="array" ref="B10">VLOOKUP($A10,VT_DEMO,2,FALSE)</f>
        <v>60572</v>
      </c>
      <c r="C10" s="1325">
        <v>142.0</v>
      </c>
      <c r="D10" s="265" t="s">
        <v>63</v>
      </c>
      <c r="E10" s="1325">
        <v>62.0</v>
      </c>
      <c r="F10" s="1325">
        <v>66.0</v>
      </c>
      <c r="G10" s="265" t="s">
        <v>63</v>
      </c>
      <c r="H10" s="1325">
        <v>92.0</v>
      </c>
      <c r="I10" s="1325">
        <v>31.0</v>
      </c>
      <c r="J10" s="268" t="s">
        <v>63</v>
      </c>
      <c r="K10" s="879">
        <v>0.525</v>
      </c>
      <c r="L10" s="1325">
        <v>8.0</v>
      </c>
      <c r="M10" s="267" t="s">
        <v>63</v>
      </c>
      <c r="N10" s="265" t="s">
        <v>63</v>
      </c>
      <c r="O10" s="265" t="s">
        <v>63</v>
      </c>
      <c r="P10" s="266">
        <f>ifna(vlookup(A10,'Population &amp; Church Numbers'!$A$2809:$E$2822,4,FALSE),"NULL")</f>
        <v>57</v>
      </c>
      <c r="Q10" s="334" t="s">
        <v>63</v>
      </c>
      <c r="R10" s="1325">
        <v>20.0</v>
      </c>
    </row>
    <row r="11">
      <c r="A11" s="1322" t="s">
        <v>3326</v>
      </c>
      <c r="B11" s="251" t="str">
        <f t="array" ref="B11">VLOOKUP($A11,VT_DEMO,2,FALSE)</f>
        <v>#N/A</v>
      </c>
      <c r="C11" s="1323">
        <v>38.0</v>
      </c>
      <c r="D11" s="253" t="s">
        <v>63</v>
      </c>
      <c r="E11" s="1323">
        <v>16.0</v>
      </c>
      <c r="F11" s="1323">
        <v>18.0</v>
      </c>
      <c r="G11" s="253" t="s">
        <v>63</v>
      </c>
      <c r="H11" s="1323">
        <v>38.0</v>
      </c>
      <c r="I11" s="1323">
        <v>13.0</v>
      </c>
      <c r="J11" s="256" t="s">
        <v>63</v>
      </c>
      <c r="K11" s="876">
        <v>0.586</v>
      </c>
      <c r="L11" s="1323">
        <v>9.0</v>
      </c>
      <c r="M11" s="255" t="s">
        <v>63</v>
      </c>
      <c r="N11" s="253" t="s">
        <v>63</v>
      </c>
      <c r="O11" s="253" t="s">
        <v>63</v>
      </c>
      <c r="P11" s="254" t="str">
        <f>ifna(vlookup(A11,'Population &amp; Church Numbers'!$A$2809:$E$2822,4,FALSE),"NULL")</f>
        <v>NULL</v>
      </c>
      <c r="Q11" s="329" t="s">
        <v>63</v>
      </c>
      <c r="R11" s="1323">
        <v>6.0</v>
      </c>
    </row>
    <row r="12">
      <c r="A12" s="1324" t="s">
        <v>2205</v>
      </c>
      <c r="B12" s="189">
        <f t="array" ref="B12">VLOOKUP($A12,VT_DEMO,2,FALSE)</f>
        <v>37347</v>
      </c>
      <c r="C12" s="1325">
        <v>88.0</v>
      </c>
      <c r="D12" s="265" t="s">
        <v>63</v>
      </c>
      <c r="E12" s="1325">
        <v>43.0</v>
      </c>
      <c r="F12" s="1325">
        <v>36.0</v>
      </c>
      <c r="G12" s="265" t="s">
        <v>63</v>
      </c>
      <c r="H12" s="1325">
        <v>63.0</v>
      </c>
      <c r="I12" s="1325">
        <v>31.0</v>
      </c>
      <c r="J12" s="268" t="s">
        <v>63</v>
      </c>
      <c r="K12" s="879">
        <v>0.404</v>
      </c>
      <c r="L12" s="1325">
        <v>24.0</v>
      </c>
      <c r="M12" s="267" t="s">
        <v>63</v>
      </c>
      <c r="N12" s="265" t="s">
        <v>63</v>
      </c>
      <c r="O12" s="265" t="s">
        <v>63</v>
      </c>
      <c r="P12" s="266">
        <f>ifna(vlookup(A12,'Population &amp; Church Numbers'!$A$2809:$E$2822,4,FALSE),"NULL")</f>
        <v>36</v>
      </c>
      <c r="Q12" s="334" t="s">
        <v>63</v>
      </c>
      <c r="R12" s="1325">
        <v>20.0</v>
      </c>
    </row>
    <row r="13">
      <c r="A13" s="1322" t="s">
        <v>4184</v>
      </c>
      <c r="B13" s="251" t="str">
        <f t="array" ref="B13">VLOOKUP($A13,VT_DEMO,2,FALSE)</f>
        <v>#N/A</v>
      </c>
      <c r="C13" s="1323">
        <v>42.0</v>
      </c>
      <c r="D13" s="253" t="s">
        <v>63</v>
      </c>
      <c r="E13" s="1323">
        <v>26.0</v>
      </c>
      <c r="F13" s="1323">
        <v>12.0</v>
      </c>
      <c r="G13" s="253" t="s">
        <v>63</v>
      </c>
      <c r="H13" s="1323">
        <v>38.0</v>
      </c>
      <c r="I13" s="1323">
        <v>14.0</v>
      </c>
      <c r="J13" s="256" t="s">
        <v>63</v>
      </c>
      <c r="K13" s="876">
        <v>0.421</v>
      </c>
      <c r="L13" s="1323">
        <v>10.0</v>
      </c>
      <c r="M13" s="255" t="s">
        <v>63</v>
      </c>
      <c r="N13" s="253" t="s">
        <v>63</v>
      </c>
      <c r="O13" s="253" t="s">
        <v>63</v>
      </c>
      <c r="P13" s="254" t="str">
        <f>ifna(vlookup(A13,'Population &amp; Church Numbers'!$A$2809:$E$2822,4,FALSE),"NULL")</f>
        <v>NULL</v>
      </c>
      <c r="Q13" s="329" t="s">
        <v>63</v>
      </c>
      <c r="R13" s="1323">
        <v>6.0</v>
      </c>
    </row>
    <row r="14">
      <c r="A14" s="1324" t="s">
        <v>4185</v>
      </c>
      <c r="B14" s="189" t="str">
        <f t="array" ref="B14">VLOOKUP($A14,VT_DEMO,2,FALSE)</f>
        <v>#N/A</v>
      </c>
      <c r="C14" s="1325">
        <v>59.0</v>
      </c>
      <c r="D14" s="265" t="s">
        <v>63</v>
      </c>
      <c r="E14" s="1325">
        <v>16.0</v>
      </c>
      <c r="F14" s="1325">
        <v>34.0</v>
      </c>
      <c r="G14" s="265" t="s">
        <v>63</v>
      </c>
      <c r="H14" s="1325">
        <v>53.0</v>
      </c>
      <c r="I14" s="1325">
        <v>13.0</v>
      </c>
      <c r="J14" s="268" t="s">
        <v>63</v>
      </c>
      <c r="K14" s="879">
        <v>0.548</v>
      </c>
      <c r="L14" s="1325">
        <v>11.0</v>
      </c>
      <c r="M14" s="267" t="s">
        <v>63</v>
      </c>
      <c r="N14" s="265" t="s">
        <v>63</v>
      </c>
      <c r="O14" s="265" t="s">
        <v>63</v>
      </c>
      <c r="P14" s="266" t="str">
        <f>ifna(vlookup(A14,'Population &amp; Church Numbers'!$A$2809:$E$2822,4,FALSE),"NULL")</f>
        <v>NULL</v>
      </c>
      <c r="Q14" s="334" t="s">
        <v>63</v>
      </c>
      <c r="R14" s="1325">
        <v>4.0</v>
      </c>
    </row>
    <row r="15">
      <c r="A15" s="217"/>
      <c r="B15" s="218"/>
      <c r="C15" s="219"/>
      <c r="D15" s="220"/>
      <c r="E15" s="220"/>
      <c r="F15" s="220"/>
      <c r="G15" s="220"/>
      <c r="H15" s="221"/>
      <c r="I15" s="222"/>
      <c r="J15" s="223"/>
      <c r="K15" s="219"/>
      <c r="L15" s="224"/>
      <c r="M15" s="225"/>
      <c r="N15" s="226"/>
      <c r="O15" s="220"/>
      <c r="P15" s="221"/>
      <c r="Q15" s="295"/>
      <c r="R15" s="1327"/>
    </row>
    <row r="16">
      <c r="A16" s="228" t="s">
        <v>2</v>
      </c>
      <c r="B16" s="229"/>
      <c r="C16" s="1134">
        <f>AFCARSCSC!B49</f>
        <v>1096</v>
      </c>
      <c r="D16" s="708" t="s">
        <v>63</v>
      </c>
      <c r="E16" s="708" t="s">
        <v>63</v>
      </c>
      <c r="F16" s="708" t="s">
        <v>63</v>
      </c>
      <c r="G16" s="708" t="s">
        <v>63</v>
      </c>
      <c r="H16" s="1134">
        <f>AFCARSCSC!D49</f>
        <v>810</v>
      </c>
      <c r="I16" s="360">
        <f>AFCARSCSC!C49</f>
        <v>159</v>
      </c>
      <c r="J16" s="360" t="s">
        <v>63</v>
      </c>
      <c r="K16" s="708" t="s">
        <v>63</v>
      </c>
      <c r="L16" s="708" t="s">
        <v>63</v>
      </c>
      <c r="M16" s="360" t="s">
        <v>63</v>
      </c>
      <c r="N16" s="360" t="s">
        <v>63</v>
      </c>
      <c r="O16" s="360" t="s">
        <v>63</v>
      </c>
      <c r="P16" s="233">
        <f>SUM(P3:P14)</f>
        <v>93</v>
      </c>
      <c r="Q16" s="691" t="s">
        <v>63</v>
      </c>
      <c r="R16" s="1328"/>
    </row>
  </sheetData>
  <autoFilter ref="$A$2:$Q$14"/>
  <mergeCells count="1">
    <mergeCell ref="B1:Q1"/>
  </mergeCells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75" t="s">
        <v>1040</v>
      </c>
      <c r="B1" s="276"/>
      <c r="C1" s="276"/>
      <c r="D1" s="276"/>
      <c r="E1" s="275" t="s">
        <v>765</v>
      </c>
      <c r="F1" s="276"/>
      <c r="G1" s="276"/>
      <c r="H1" s="276"/>
      <c r="I1" s="275" t="s">
        <v>767</v>
      </c>
      <c r="J1" s="276"/>
      <c r="K1" s="275" t="s">
        <v>769</v>
      </c>
      <c r="L1" s="276"/>
      <c r="M1" s="276"/>
    </row>
    <row r="50">
      <c r="A50" s="275" t="s">
        <v>792</v>
      </c>
      <c r="B50" s="276"/>
      <c r="C50" s="276"/>
      <c r="D50" s="276"/>
      <c r="E50" s="275" t="s">
        <v>765</v>
      </c>
      <c r="F50" s="276"/>
      <c r="G50" s="276"/>
      <c r="H50" s="276"/>
      <c r="I50" s="275" t="s">
        <v>767</v>
      </c>
      <c r="J50" s="276"/>
      <c r="K50" s="275" t="s">
        <v>769</v>
      </c>
      <c r="L50" s="276"/>
      <c r="M50" s="276"/>
    </row>
    <row r="100">
      <c r="A100" s="275" t="s">
        <v>852</v>
      </c>
      <c r="B100" s="276"/>
      <c r="C100" s="276"/>
      <c r="D100" s="276"/>
      <c r="E100" s="275" t="s">
        <v>765</v>
      </c>
      <c r="F100" s="276"/>
      <c r="G100" s="276"/>
      <c r="H100" s="276"/>
      <c r="I100" s="275" t="s">
        <v>767</v>
      </c>
      <c r="J100" s="276"/>
      <c r="K100" s="275" t="s">
        <v>769</v>
      </c>
      <c r="L100" s="276"/>
      <c r="M100" s="276"/>
    </row>
  </sheetData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7.38"/>
  </cols>
  <sheetData>
    <row r="1">
      <c r="A1" s="167"/>
      <c r="B1" s="168" t="s">
        <v>117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</row>
    <row r="2">
      <c r="A2" s="169" t="s">
        <v>172</v>
      </c>
      <c r="B2" s="170" t="s">
        <v>174</v>
      </c>
      <c r="C2" s="171" t="s">
        <v>693</v>
      </c>
      <c r="D2" s="608" t="s">
        <v>694</v>
      </c>
      <c r="E2" s="608" t="s">
        <v>695</v>
      </c>
      <c r="F2" s="608" t="s">
        <v>179</v>
      </c>
      <c r="G2" s="608" t="s">
        <v>696</v>
      </c>
      <c r="H2" s="173" t="s">
        <v>697</v>
      </c>
      <c r="I2" s="174" t="s">
        <v>84</v>
      </c>
      <c r="J2" s="170" t="s">
        <v>698</v>
      </c>
      <c r="K2" s="175" t="s">
        <v>699</v>
      </c>
      <c r="L2" s="173" t="s">
        <v>89</v>
      </c>
      <c r="M2" s="176" t="s">
        <v>700</v>
      </c>
      <c r="N2" s="177" t="s">
        <v>701</v>
      </c>
      <c r="O2" s="177" t="s">
        <v>702</v>
      </c>
      <c r="P2" s="178" t="s">
        <v>90</v>
      </c>
      <c r="Q2" s="325" t="s">
        <v>703</v>
      </c>
    </row>
    <row r="3">
      <c r="A3" s="609" t="s">
        <v>2213</v>
      </c>
      <c r="B3" s="610">
        <f t="array" ref="B3">VLOOKUP($A3,VA_DEMO,2,FALSE)</f>
        <v>33413</v>
      </c>
      <c r="C3" s="704">
        <f>vlookup(A3,'VA Data'!$A$5:$B$144,2,FALSE)</f>
        <v>13</v>
      </c>
      <c r="D3" s="612" t="s">
        <v>63</v>
      </c>
      <c r="E3" s="612">
        <f>IF(ISBLANK(vlookup(A3,'VA Data'!$C$5:$D$140,2,FALSE)),"NULL",(vlookup(A3,'VA Data'!$C$5:$D$140,2,FALSE)))</f>
        <v>7</v>
      </c>
      <c r="F3" s="612">
        <f>IF(ISBLANK(vlookup(A3,'VA Data'!$E$5:$F$140,2,FALSE)),"NULL",(vlookup(A3,'VA Data'!$E$5:$F$140,2,FALSE)))</f>
        <v>2</v>
      </c>
      <c r="G3" s="612" t="s">
        <v>63</v>
      </c>
      <c r="H3" s="671" t="s">
        <v>63</v>
      </c>
      <c r="I3" s="614">
        <f>IF(ISBLANK(vlookup(A3,'VA Data'!$G$5:$H$144,2,FALSE)),"NULL",(vlookup(A3,'VA Data'!$G$5:$H$144,2,FALSE)))</f>
        <v>1</v>
      </c>
      <c r="J3" s="615" t="s">
        <v>63</v>
      </c>
      <c r="K3" s="1061">
        <f>IF(ISBLANK(vlookup(A3,'VA Data'!$I$5:$J$140,2,FALSE)),"NULL",(vlookup(A3,'VA Data'!$I$5:$J$140,2,FALSE)))</f>
        <v>0.5</v>
      </c>
      <c r="L3" s="671" t="s">
        <v>63</v>
      </c>
      <c r="M3" s="614" t="s">
        <v>63</v>
      </c>
      <c r="N3" s="612" t="s">
        <v>63</v>
      </c>
      <c r="O3" s="612" t="s">
        <v>63</v>
      </c>
      <c r="P3" s="620">
        <f>ifna(vlookup(A3,'Population &amp; Church Numbers'!$A$2823:$D$2955,4,FALSE),"NULL")</f>
        <v>62</v>
      </c>
      <c r="Q3" s="674" t="s">
        <v>63</v>
      </c>
    </row>
    <row r="4">
      <c r="A4" s="609" t="s">
        <v>2214</v>
      </c>
      <c r="B4" s="610">
        <f t="array" ref="B4">VLOOKUP($A4,VA_DEMO,2,FALSE)</f>
        <v>112395</v>
      </c>
      <c r="C4" s="704">
        <f>vlookup(A4,'VA Data'!$A$5:$B$144,2,FALSE)</f>
        <v>89</v>
      </c>
      <c r="D4" s="612" t="s">
        <v>63</v>
      </c>
      <c r="E4" s="612">
        <f>IF(ISBLANK(vlookup(A4,'VA Data'!$C$5:$D$140,2,FALSE)),"NULL",(vlookup(A4,'VA Data'!$C$5:$D$140,2,FALSE)))</f>
        <v>42</v>
      </c>
      <c r="F4" s="612">
        <f>IF(ISBLANK(vlookup(A4,'VA Data'!$E$5:$F$140,2,FALSE)),"NULL",(vlookup(A4,'VA Data'!$E$5:$F$140,2,FALSE)))</f>
        <v>29</v>
      </c>
      <c r="G4" s="612" t="s">
        <v>63</v>
      </c>
      <c r="H4" s="671" t="s">
        <v>63</v>
      </c>
      <c r="I4" s="614">
        <f>IF(ISBLANK(vlookup(A4,'VA Data'!$G$5:$H$144,2,FALSE)),"NULL",(vlookup(A4,'VA Data'!$G$5:$H$144,2,FALSE)))</f>
        <v>23</v>
      </c>
      <c r="J4" s="615" t="s">
        <v>63</v>
      </c>
      <c r="K4" s="1061">
        <f>IF(ISBLANK(vlookup(A4,'VA Data'!$I$5:$J$140,2,FALSE)),"NULL",(vlookup(A4,'VA Data'!$I$5:$J$140,2,FALSE)))</f>
        <v>0.568</v>
      </c>
      <c r="L4" s="671" t="s">
        <v>63</v>
      </c>
      <c r="M4" s="614" t="s">
        <v>63</v>
      </c>
      <c r="N4" s="612" t="s">
        <v>63</v>
      </c>
      <c r="O4" s="612" t="s">
        <v>63</v>
      </c>
      <c r="P4" s="620">
        <f>ifna(vlookup(A4,'Population &amp; Church Numbers'!$A$2823:$D$2955,4,FALSE),"NULL")</f>
        <v>106</v>
      </c>
      <c r="Q4" s="674" t="s">
        <v>63</v>
      </c>
    </row>
    <row r="5">
      <c r="A5" s="609" t="s">
        <v>1579</v>
      </c>
      <c r="B5" s="610">
        <f t="array" ref="B5">VLOOKUP($A5,VA_DEMO,2,FALSE)</f>
        <v>15223</v>
      </c>
      <c r="C5" s="704">
        <f>vlookup(A5,'VA Data'!$A$5:$B$144,2,FALSE)</f>
        <v>16</v>
      </c>
      <c r="D5" s="612" t="s">
        <v>63</v>
      </c>
      <c r="E5" s="612">
        <f>IF(ISBLANK(vlookup(A5,'VA Data'!$C$5:$D$140,2,FALSE)),"NULL",(vlookup(A5,'VA Data'!$C$5:$D$140,2,FALSE)))</f>
        <v>8</v>
      </c>
      <c r="F5" s="612">
        <f>IF(ISBLANK(vlookup(A5,'VA Data'!$E$5:$F$140,2,FALSE)),"NULL",(vlookup(A5,'VA Data'!$E$5:$F$140,2,FALSE)))</f>
        <v>2</v>
      </c>
      <c r="G5" s="612" t="s">
        <v>63</v>
      </c>
      <c r="H5" s="671" t="s">
        <v>63</v>
      </c>
      <c r="I5" s="614">
        <f>IF(ISBLANK(vlookup(A5,'VA Data'!$G$5:$H$144,2,FALSE)),"NULL",(vlookup(A5,'VA Data'!$G$5:$H$144,2,FALSE)))</f>
        <v>8</v>
      </c>
      <c r="J5" s="615" t="s">
        <v>63</v>
      </c>
      <c r="K5" s="1061">
        <f>IF(ISBLANK(vlookup(A5,'VA Data'!$I$5:$J$140,2,FALSE)),"NULL",(vlookup(A5,'VA Data'!$I$5:$J$140,2,FALSE)))</f>
        <v>0.667</v>
      </c>
      <c r="L5" s="671" t="s">
        <v>63</v>
      </c>
      <c r="M5" s="614" t="s">
        <v>63</v>
      </c>
      <c r="N5" s="612" t="s">
        <v>63</v>
      </c>
      <c r="O5" s="612" t="s">
        <v>63</v>
      </c>
      <c r="P5" s="620">
        <f>ifna(vlookup(A5,'Population &amp; Church Numbers'!$A$2823:$D$2955,4,FALSE),"NULL")</f>
        <v>36</v>
      </c>
      <c r="Q5" s="674" t="s">
        <v>63</v>
      </c>
    </row>
    <row r="6">
      <c r="A6" s="609" t="s">
        <v>2216</v>
      </c>
      <c r="B6" s="610">
        <f t="array" ref="B6">VLOOKUP($A6,VA_DEMO,2,FALSE)</f>
        <v>13265</v>
      </c>
      <c r="C6" s="704">
        <f>vlookup(A6,'VA Data'!$A$5:$B$144,2,FALSE)</f>
        <v>5</v>
      </c>
      <c r="D6" s="612" t="s">
        <v>63</v>
      </c>
      <c r="E6" s="612">
        <f>IF(ISBLANK(vlookup(A6,'VA Data'!$C$5:$D$140,2,FALSE)),"NULL",(vlookup(A6,'VA Data'!$C$5:$D$140,2,FALSE)))</f>
        <v>1</v>
      </c>
      <c r="F6" s="612" t="str">
        <f>IF(ISBLANK(vlookup(A6,'VA Data'!$E$5:$F$140,2,FALSE)),"NULL",(vlookup(A6,'VA Data'!$E$5:$F$140,2,FALSE)))</f>
        <v>NULL</v>
      </c>
      <c r="G6" s="612" t="s">
        <v>63</v>
      </c>
      <c r="H6" s="671" t="s">
        <v>63</v>
      </c>
      <c r="I6" s="614">
        <f>IF(ISBLANK(vlookup(A6,'VA Data'!$G$5:$H$144,2,FALSE)),"NULL",(vlookup(A6,'VA Data'!$G$5:$H$144,2,FALSE)))</f>
        <v>2</v>
      </c>
      <c r="J6" s="615" t="s">
        <v>63</v>
      </c>
      <c r="K6" s="1061">
        <f>IF(ISBLANK(vlookup(A6,'VA Data'!$I$5:$J$140,2,FALSE)),"NULL",(vlookup(A6,'VA Data'!$I$5:$J$140,2,FALSE)))</f>
        <v>0</v>
      </c>
      <c r="L6" s="671" t="s">
        <v>63</v>
      </c>
      <c r="M6" s="614" t="s">
        <v>63</v>
      </c>
      <c r="N6" s="612" t="s">
        <v>63</v>
      </c>
      <c r="O6" s="612" t="s">
        <v>63</v>
      </c>
      <c r="P6" s="620">
        <f>ifna(vlookup(A6,'Population &amp; Church Numbers'!$A$2823:$D$2955,4,FALSE),"NULL")</f>
        <v>37</v>
      </c>
      <c r="Q6" s="674" t="s">
        <v>63</v>
      </c>
    </row>
    <row r="7">
      <c r="A7" s="609" t="s">
        <v>2217</v>
      </c>
      <c r="B7" s="610">
        <f t="array" ref="B7">VLOOKUP($A7,VA_DEMO,2,FALSE)</f>
        <v>31307</v>
      </c>
      <c r="C7" s="704">
        <f>vlookup(A7,'VA Data'!$A$5:$B$144,2,FALSE)</f>
        <v>25</v>
      </c>
      <c r="D7" s="612" t="s">
        <v>63</v>
      </c>
      <c r="E7" s="612">
        <f>IF(ISBLANK(vlookup(A7,'VA Data'!$C$5:$D$140,2,FALSE)),"NULL",(vlookup(A7,'VA Data'!$C$5:$D$140,2,FALSE)))</f>
        <v>16</v>
      </c>
      <c r="F7" s="612">
        <f>IF(ISBLANK(vlookup(A7,'VA Data'!$E$5:$F$140,2,FALSE)),"NULL",(vlookup(A7,'VA Data'!$E$5:$F$140,2,FALSE)))</f>
        <v>8</v>
      </c>
      <c r="G7" s="612" t="s">
        <v>63</v>
      </c>
      <c r="H7" s="671" t="s">
        <v>63</v>
      </c>
      <c r="I7" s="614">
        <f>IF(ISBLANK(vlookup(A7,'VA Data'!$G$5:$H$144,2,FALSE)),"NULL",(vlookup(A7,'VA Data'!$G$5:$H$144,2,FALSE)))</f>
        <v>12</v>
      </c>
      <c r="J7" s="615" t="s">
        <v>63</v>
      </c>
      <c r="K7" s="1061">
        <f>IF(ISBLANK(vlookup(A7,'VA Data'!$I$5:$J$140,2,FALSE)),"NULL",(vlookup(A7,'VA Data'!$I$5:$J$140,2,FALSE)))</f>
        <v>0.333</v>
      </c>
      <c r="L7" s="671" t="s">
        <v>63</v>
      </c>
      <c r="M7" s="614" t="s">
        <v>63</v>
      </c>
      <c r="N7" s="612" t="s">
        <v>63</v>
      </c>
      <c r="O7" s="612" t="s">
        <v>63</v>
      </c>
      <c r="P7" s="620">
        <f>ifna(vlookup(A7,'Population &amp; Church Numbers'!$A$2823:$D$2955,4,FALSE),"NULL")</f>
        <v>60</v>
      </c>
      <c r="Q7" s="674" t="s">
        <v>63</v>
      </c>
    </row>
    <row r="8">
      <c r="A8" s="609" t="s">
        <v>2218</v>
      </c>
      <c r="B8" s="610">
        <f t="array" ref="B8">VLOOKUP($A8,VA_DEMO,2,FALSE)</f>
        <v>16119</v>
      </c>
      <c r="C8" s="704">
        <f>vlookup(A8,'VA Data'!$A$5:$B$144,2,FALSE)</f>
        <v>20</v>
      </c>
      <c r="D8" s="612" t="s">
        <v>63</v>
      </c>
      <c r="E8" s="612">
        <f>IF(ISBLANK(vlookup(A8,'VA Data'!$C$5:$D$140,2,FALSE)),"NULL",(vlookup(A8,'VA Data'!$C$5:$D$140,2,FALSE)))</f>
        <v>11</v>
      </c>
      <c r="F8" s="612">
        <f>IF(ISBLANK(vlookup(A8,'VA Data'!$E$5:$F$140,2,FALSE)),"NULL",(vlookup(A8,'VA Data'!$E$5:$F$140,2,FALSE)))</f>
        <v>1</v>
      </c>
      <c r="G8" s="612" t="s">
        <v>63</v>
      </c>
      <c r="H8" s="671" t="s">
        <v>63</v>
      </c>
      <c r="I8" s="614">
        <f>IF(ISBLANK(vlookup(A8,'VA Data'!$G$5:$H$144,2,FALSE)),"NULL",(vlookup(A8,'VA Data'!$G$5:$H$144,2,FALSE)))</f>
        <v>8</v>
      </c>
      <c r="J8" s="615" t="s">
        <v>63</v>
      </c>
      <c r="K8" s="1061">
        <f>IF(ISBLANK(vlookup(A8,'VA Data'!$I$5:$J$140,2,FALSE)),"NULL",(vlookup(A8,'VA Data'!$I$5:$J$140,2,FALSE)))</f>
        <v>0.333</v>
      </c>
      <c r="L8" s="671" t="s">
        <v>63</v>
      </c>
      <c r="M8" s="614" t="s">
        <v>63</v>
      </c>
      <c r="N8" s="612" t="s">
        <v>63</v>
      </c>
      <c r="O8" s="612" t="s">
        <v>63</v>
      </c>
      <c r="P8" s="620">
        <f>ifna(vlookup(A8,'Population &amp; Church Numbers'!$A$2823:$D$2955,4,FALSE),"NULL")</f>
        <v>39</v>
      </c>
      <c r="Q8" s="674" t="s">
        <v>63</v>
      </c>
    </row>
    <row r="9">
      <c r="A9" s="609" t="s">
        <v>2219</v>
      </c>
      <c r="B9" s="610">
        <f t="array" ref="B9">VLOOKUP($A9,VA_DEMO,2,FALSE)</f>
        <v>238643</v>
      </c>
      <c r="C9" s="704">
        <f>vlookup(A9,'VA Data'!$A$5:$B$144,2,FALSE)</f>
        <v>70</v>
      </c>
      <c r="D9" s="612" t="s">
        <v>63</v>
      </c>
      <c r="E9" s="612">
        <f>IF(ISBLANK(vlookup(A9,'VA Data'!$C$5:$D$140,2,FALSE)),"NULL",(vlookup(A9,'VA Data'!$C$5:$D$140,2,FALSE)))</f>
        <v>29</v>
      </c>
      <c r="F9" s="612">
        <f>IF(ISBLANK(vlookup(A9,'VA Data'!$E$5:$F$140,2,FALSE)),"NULL",(vlookup(A9,'VA Data'!$E$5:$F$140,2,FALSE)))</f>
        <v>16</v>
      </c>
      <c r="G9" s="612" t="s">
        <v>63</v>
      </c>
      <c r="H9" s="671" t="s">
        <v>63</v>
      </c>
      <c r="I9" s="614">
        <f>IF(ISBLANK(vlookup(A9,'VA Data'!$G$5:$H$144,2,FALSE)),"NULL",(vlookup(A9,'VA Data'!$G$5:$H$144,2,FALSE)))</f>
        <v>17</v>
      </c>
      <c r="J9" s="615" t="s">
        <v>63</v>
      </c>
      <c r="K9" s="1061">
        <f>IF(ISBLANK(vlookup(A9,'VA Data'!$I$5:$J$140,2,FALSE)),"NULL",(vlookup(A9,'VA Data'!$I$5:$J$140,2,FALSE)))</f>
        <v>0.429</v>
      </c>
      <c r="L9" s="671" t="s">
        <v>63</v>
      </c>
      <c r="M9" s="614" t="s">
        <v>63</v>
      </c>
      <c r="N9" s="612" t="s">
        <v>63</v>
      </c>
      <c r="O9" s="612" t="s">
        <v>63</v>
      </c>
      <c r="P9" s="620">
        <f>ifna(vlookup(A9,'Population &amp; Church Numbers'!$A$2823:$D$2955,4,FALSE),"NULL")</f>
        <v>80</v>
      </c>
      <c r="Q9" s="674" t="s">
        <v>63</v>
      </c>
    </row>
    <row r="10">
      <c r="A10" s="609" t="s">
        <v>2220</v>
      </c>
      <c r="B10" s="610">
        <f t="array" ref="B10">VLOOKUP($A10,VA_DEMO,2,FALSE)</f>
        <v>77487</v>
      </c>
      <c r="C10" s="704">
        <f>vlookup(A10,'VA Data'!$A$5:$B$144,2,FALSE)</f>
        <v>50</v>
      </c>
      <c r="D10" s="612" t="s">
        <v>63</v>
      </c>
      <c r="E10" s="612">
        <f>IF(ISBLANK(vlookup(A10,'VA Data'!$C$5:$D$140,2,FALSE)),"NULL",(vlookup(A10,'VA Data'!$C$5:$D$140,2,FALSE)))</f>
        <v>4</v>
      </c>
      <c r="F10" s="612" t="str">
        <f>IF(ISBLANK(vlookup(A10,'VA Data'!$E$5:$F$140,2,FALSE)),"NULL",(vlookup(A10,'VA Data'!$E$5:$F$140,2,FALSE)))</f>
        <v>NULL</v>
      </c>
      <c r="G10" s="612" t="s">
        <v>63</v>
      </c>
      <c r="H10" s="671" t="s">
        <v>63</v>
      </c>
      <c r="I10" s="614">
        <f>IF(ISBLANK(vlookup(A10,'VA Data'!$G$5:$H$144,2,FALSE)),"NULL",(vlookup(A10,'VA Data'!$G$5:$H$144,2,FALSE)))</f>
        <v>21</v>
      </c>
      <c r="J10" s="615" t="s">
        <v>63</v>
      </c>
      <c r="K10" s="1061">
        <f>IF(ISBLANK(vlookup(A10,'VA Data'!$I$5:$J$140,2,FALSE)),"NULL",(vlookup(A10,'VA Data'!$I$5:$J$140,2,FALSE)))</f>
        <v>0.545</v>
      </c>
      <c r="L10" s="671" t="s">
        <v>63</v>
      </c>
      <c r="M10" s="614" t="s">
        <v>63</v>
      </c>
      <c r="N10" s="612" t="s">
        <v>63</v>
      </c>
      <c r="O10" s="612" t="s">
        <v>63</v>
      </c>
      <c r="P10" s="620">
        <f>ifna(vlookup(A10,'Population &amp; Church Numbers'!$A$2823:$D$2955,4,FALSE),"NULL")</f>
        <v>117</v>
      </c>
      <c r="Q10" s="674" t="s">
        <v>63</v>
      </c>
    </row>
    <row r="11">
      <c r="A11" s="609" t="s">
        <v>1026</v>
      </c>
      <c r="B11" s="610">
        <f t="array" ref="B11">VLOOKUP($A11,VA_DEMO,2,FALSE)</f>
        <v>4209</v>
      </c>
      <c r="C11" s="704">
        <f>vlookup(A11,'VA Data'!$A$5:$B$144,2,FALSE)</f>
        <v>0</v>
      </c>
      <c r="D11" s="612" t="s">
        <v>63</v>
      </c>
      <c r="E11" s="612" t="str">
        <f>IF(ISBLANK(vlookup(A11,'VA Data'!$C$5:$D$140,2,FALSE)),"NULL",(vlookup(A11,'VA Data'!$C$5:$D$140,2,FALSE)))</f>
        <v>NULL</v>
      </c>
      <c r="F11" s="612" t="str">
        <f>IF(ISBLANK(vlookup(A11,'VA Data'!$E$5:$F$140,2,FALSE)),"NULL",(vlookup(A11,'VA Data'!$E$5:$F$140,2,FALSE)))</f>
        <v>NULL</v>
      </c>
      <c r="G11" s="612" t="s">
        <v>63</v>
      </c>
      <c r="H11" s="671" t="s">
        <v>63</v>
      </c>
      <c r="I11" s="614">
        <f>IF(ISBLANK(vlookup(A11,'VA Data'!$G$5:$H$144,2,FALSE)),"NULL",(vlookup(A11,'VA Data'!$G$5:$H$144,2,FALSE)))</f>
        <v>0</v>
      </c>
      <c r="J11" s="615" t="s">
        <v>63</v>
      </c>
      <c r="K11" s="1061">
        <f>IF(ISBLANK(vlookup(A11,'VA Data'!$I$5:$J$140,2,FALSE)),"NULL",(vlookup(A11,'VA Data'!$I$5:$J$140,2,FALSE)))</f>
        <v>0</v>
      </c>
      <c r="L11" s="671" t="s">
        <v>63</v>
      </c>
      <c r="M11" s="614" t="s">
        <v>63</v>
      </c>
      <c r="N11" s="612" t="s">
        <v>63</v>
      </c>
      <c r="O11" s="612" t="s">
        <v>63</v>
      </c>
      <c r="P11" s="620">
        <f>ifna(vlookup(A11,'Population &amp; Church Numbers'!$A$2823:$D$2955,4,FALSE),"NULL")</f>
        <v>21</v>
      </c>
      <c r="Q11" s="674" t="s">
        <v>63</v>
      </c>
    </row>
    <row r="12">
      <c r="A12" s="609" t="s">
        <v>4194</v>
      </c>
      <c r="B12" s="610">
        <f t="array" ref="B12">VLOOKUP($A12,VA_DEMO,2,FALSE)</f>
        <v>79462</v>
      </c>
      <c r="C12" s="704">
        <f>vlookup(A12,'VA Data'!$A$5:$B$144,2,FALSE)</f>
        <v>72</v>
      </c>
      <c r="D12" s="612" t="s">
        <v>63</v>
      </c>
      <c r="E12" s="612">
        <f>IF(ISBLANK(vlookup(A12,'VA Data'!$C$5:$D$140,2,FALSE)),"NULL",(vlookup(A12,'VA Data'!$C$5:$D$140,2,FALSE)))</f>
        <v>22</v>
      </c>
      <c r="F12" s="612">
        <f>IF(ISBLANK(vlookup(A12,'VA Data'!$E$5:$F$140,2,FALSE)),"NULL",(vlookup(A12,'VA Data'!$E$5:$F$140,2,FALSE)))</f>
        <v>12</v>
      </c>
      <c r="G12" s="612" t="s">
        <v>63</v>
      </c>
      <c r="H12" s="671" t="s">
        <v>63</v>
      </c>
      <c r="I12" s="614">
        <f>IF(ISBLANK(vlookup(A12,'VA Data'!$G$5:$H$144,2,FALSE)),"NULL",(vlookup(A12,'VA Data'!$G$5:$H$144,2,FALSE)))</f>
        <v>21</v>
      </c>
      <c r="J12" s="615" t="s">
        <v>63</v>
      </c>
      <c r="K12" s="1061">
        <f>IF(ISBLANK(vlookup(A12,'VA Data'!$I$5:$J$140,2,FALSE)),"NULL",(vlookup(A12,'VA Data'!$I$5:$J$140,2,FALSE)))</f>
        <v>0.257</v>
      </c>
      <c r="L12" s="671" t="s">
        <v>63</v>
      </c>
      <c r="M12" s="614" t="s">
        <v>63</v>
      </c>
      <c r="N12" s="612" t="s">
        <v>63</v>
      </c>
      <c r="O12" s="612" t="s">
        <v>63</v>
      </c>
      <c r="P12" s="620">
        <f>ifna(vlookup(A12,'Population &amp; Church Numbers'!$A$2823:$D$2955,4,FALSE),"NULL")</f>
        <v>101</v>
      </c>
      <c r="Q12" s="674" t="s">
        <v>63</v>
      </c>
    </row>
    <row r="13">
      <c r="A13" s="609" t="s">
        <v>2222</v>
      </c>
      <c r="B13" s="610">
        <f t="array" ref="B13">VLOOKUP($A13,VA_DEMO,2,FALSE)</f>
        <v>6270</v>
      </c>
      <c r="C13" s="704">
        <f>vlookup(A13,'VA Data'!$A$5:$B$144,2,FALSE)</f>
        <v>4</v>
      </c>
      <c r="D13" s="612" t="s">
        <v>63</v>
      </c>
      <c r="E13" s="612">
        <f>IF(ISBLANK(vlookup(A13,'VA Data'!$C$5:$D$140,2,FALSE)),"NULL",(vlookup(A13,'VA Data'!$C$5:$D$140,2,FALSE)))</f>
        <v>1</v>
      </c>
      <c r="F13" s="612">
        <f>IF(ISBLANK(vlookup(A13,'VA Data'!$E$5:$F$140,2,FALSE)),"NULL",(vlookup(A13,'VA Data'!$E$5:$F$140,2,FALSE)))</f>
        <v>1</v>
      </c>
      <c r="G13" s="612" t="s">
        <v>63</v>
      </c>
      <c r="H13" s="671" t="s">
        <v>63</v>
      </c>
      <c r="I13" s="614">
        <f>IF(ISBLANK(vlookup(A13,'VA Data'!$G$5:$H$144,2,FALSE)),"NULL",(vlookup(A13,'VA Data'!$G$5:$H$144,2,FALSE)))</f>
        <v>3</v>
      </c>
      <c r="J13" s="615" t="s">
        <v>63</v>
      </c>
      <c r="K13" s="1061">
        <f>IF(ISBLANK(vlookup(A13,'VA Data'!$I$5:$J$140,2,FALSE)),"NULL",(vlookup(A13,'VA Data'!$I$5:$J$140,2,FALSE)))</f>
        <v>0</v>
      </c>
      <c r="L13" s="671" t="s">
        <v>63</v>
      </c>
      <c r="M13" s="614" t="s">
        <v>63</v>
      </c>
      <c r="N13" s="612" t="s">
        <v>63</v>
      </c>
      <c r="O13" s="612" t="s">
        <v>63</v>
      </c>
      <c r="P13" s="620">
        <f>ifna(vlookup(A13,'Population &amp; Church Numbers'!$A$2823:$D$2955,4,FALSE),"NULL")</f>
        <v>8</v>
      </c>
      <c r="Q13" s="674" t="s">
        <v>63</v>
      </c>
    </row>
    <row r="14">
      <c r="A14" s="609" t="s">
        <v>2223</v>
      </c>
      <c r="B14" s="610">
        <f t="array" ref="B14">VLOOKUP($A14,VA_DEMO,2,FALSE)</f>
        <v>33596</v>
      </c>
      <c r="C14" s="704">
        <f>vlookup(A14,'VA Data'!$A$5:$B$144,2,FALSE)</f>
        <v>6</v>
      </c>
      <c r="D14" s="612" t="s">
        <v>63</v>
      </c>
      <c r="E14" s="612">
        <f>IF(ISBLANK(vlookup(A14,'VA Data'!$C$5:$D$140,2,FALSE)),"NULL",(vlookup(A14,'VA Data'!$C$5:$D$140,2,FALSE)))</f>
        <v>3</v>
      </c>
      <c r="F14" s="612">
        <f>IF(ISBLANK(vlookup(A14,'VA Data'!$E$5:$F$140,2,FALSE)),"NULL",(vlookup(A14,'VA Data'!$E$5:$F$140,2,FALSE)))</f>
        <v>1</v>
      </c>
      <c r="G14" s="612" t="s">
        <v>63</v>
      </c>
      <c r="H14" s="671" t="s">
        <v>63</v>
      </c>
      <c r="I14" s="614">
        <f>IF(ISBLANK(vlookup(A14,'VA Data'!$G$5:$H$144,2,FALSE)),"NULL",(vlookup(A14,'VA Data'!$G$5:$H$144,2,FALSE)))</f>
        <v>2</v>
      </c>
      <c r="J14" s="615" t="s">
        <v>63</v>
      </c>
      <c r="K14" s="1061">
        <f>IF(ISBLANK(vlookup(A14,'VA Data'!$I$5:$J$140,2,FALSE)),"NULL",(vlookup(A14,'VA Data'!$I$5:$J$140,2,FALSE)))</f>
        <v>0.333</v>
      </c>
      <c r="L14" s="671" t="s">
        <v>63</v>
      </c>
      <c r="M14" s="614" t="s">
        <v>63</v>
      </c>
      <c r="N14" s="612" t="s">
        <v>63</v>
      </c>
      <c r="O14" s="612" t="s">
        <v>63</v>
      </c>
      <c r="P14" s="620">
        <f>ifna(vlookup(A14,'Population &amp; Church Numbers'!$A$2823:$D$2955,4,FALSE),"NULL")</f>
        <v>56</v>
      </c>
      <c r="Q14" s="674" t="s">
        <v>63</v>
      </c>
    </row>
    <row r="15">
      <c r="A15" s="609" t="s">
        <v>1586</v>
      </c>
      <c r="B15" s="610">
        <f t="array" ref="B15">VLOOKUP($A15,VA_DEMO,2,FALSE)</f>
        <v>15849</v>
      </c>
      <c r="C15" s="704">
        <f>vlookup(A15,'VA Data'!$A$5:$B$144,2,FALSE)</f>
        <v>6</v>
      </c>
      <c r="D15" s="612" t="s">
        <v>63</v>
      </c>
      <c r="E15" s="612">
        <f>IF(ISBLANK(vlookup(A15,'VA Data'!$C$5:$D$140,2,FALSE)),"NULL",(vlookup(A15,'VA Data'!$C$5:$D$140,2,FALSE)))</f>
        <v>3</v>
      </c>
      <c r="F15" s="612" t="str">
        <f>IF(ISBLANK(vlookup(A15,'VA Data'!$E$5:$F$140,2,FALSE)),"NULL",(vlookup(A15,'VA Data'!$E$5:$F$140,2,FALSE)))</f>
        <v>NULL</v>
      </c>
      <c r="G15" s="612" t="s">
        <v>63</v>
      </c>
      <c r="H15" s="671" t="s">
        <v>63</v>
      </c>
      <c r="I15" s="614">
        <f>IF(ISBLANK(vlookup(A15,'VA Data'!$G$5:$H$144,2,FALSE)),"NULL",(vlookup(A15,'VA Data'!$G$5:$H$144,2,FALSE)))</f>
        <v>1</v>
      </c>
      <c r="J15" s="615" t="s">
        <v>63</v>
      </c>
      <c r="K15" s="1061">
        <f>IF(ISBLANK(vlookup(A15,'VA Data'!$I$5:$J$140,2,FALSE)),"NULL",(vlookup(A15,'VA Data'!$I$5:$J$140,2,FALSE)))</f>
        <v>0</v>
      </c>
      <c r="L15" s="671" t="s">
        <v>63</v>
      </c>
      <c r="M15" s="614" t="s">
        <v>63</v>
      </c>
      <c r="N15" s="612" t="s">
        <v>63</v>
      </c>
      <c r="O15" s="612" t="s">
        <v>63</v>
      </c>
      <c r="P15" s="620">
        <f>ifna(vlookup(A15,'Population &amp; Church Numbers'!$A$2823:$D$2955,4,FALSE),"NULL")</f>
        <v>42</v>
      </c>
      <c r="Q15" s="674" t="s">
        <v>63</v>
      </c>
    </row>
    <row r="16">
      <c r="A16" s="609" t="s">
        <v>892</v>
      </c>
      <c r="B16" s="610">
        <f t="array" ref="B16">VLOOKUP($A16,VA_DEMO,2,FALSE)</f>
        <v>20355</v>
      </c>
      <c r="C16" s="704">
        <f>vlookup(A16,'VA Data'!$A$5:$B$144,2,FALSE)</f>
        <v>75</v>
      </c>
      <c r="D16" s="612" t="s">
        <v>63</v>
      </c>
      <c r="E16" s="612">
        <f>IF(ISBLANK(vlookup(A16,'VA Data'!$C$5:$D$140,2,FALSE)),"NULL",(vlookup(A16,'VA Data'!$C$5:$D$140,2,FALSE)))</f>
        <v>52</v>
      </c>
      <c r="F16" s="612">
        <f>IF(ISBLANK(vlookup(A16,'VA Data'!$E$5:$F$140,2,FALSE)),"NULL",(vlookup(A16,'VA Data'!$E$5:$F$140,2,FALSE)))</f>
        <v>9</v>
      </c>
      <c r="G16" s="612" t="s">
        <v>63</v>
      </c>
      <c r="H16" s="671" t="s">
        <v>63</v>
      </c>
      <c r="I16" s="614">
        <f>IF(ISBLANK(vlookup(A16,'VA Data'!$G$5:$H$144,2,FALSE)),"NULL",(vlookup(A16,'VA Data'!$G$5:$H$144,2,FALSE)))</f>
        <v>31</v>
      </c>
      <c r="J16" s="615" t="s">
        <v>63</v>
      </c>
      <c r="K16" s="1061">
        <f>IF(ISBLANK(vlookup(A16,'VA Data'!$I$5:$J$140,2,FALSE)),"NULL",(vlookup(A16,'VA Data'!$I$5:$J$140,2,FALSE)))</f>
        <v>0.25</v>
      </c>
      <c r="L16" s="671" t="s">
        <v>63</v>
      </c>
      <c r="M16" s="614" t="s">
        <v>63</v>
      </c>
      <c r="N16" s="612" t="s">
        <v>63</v>
      </c>
      <c r="O16" s="612" t="s">
        <v>63</v>
      </c>
      <c r="P16" s="620">
        <f>ifna(vlookup(A16,'Population &amp; Church Numbers'!$A$2823:$D$2955,4,FALSE),"NULL")</f>
        <v>27</v>
      </c>
      <c r="Q16" s="674" t="s">
        <v>63</v>
      </c>
    </row>
    <row r="17">
      <c r="A17" s="609" t="s">
        <v>2224</v>
      </c>
      <c r="B17" s="610">
        <f t="array" ref="B17">VLOOKUP($A17,VA_DEMO,2,FALSE)</f>
        <v>16824</v>
      </c>
      <c r="C17" s="704">
        <f>vlookup(A17,'VA Data'!$A$5:$B$144,2,FALSE)</f>
        <v>9</v>
      </c>
      <c r="D17" s="612" t="s">
        <v>63</v>
      </c>
      <c r="E17" s="612">
        <f>IF(ISBLANK(vlookup(A17,'VA Data'!$C$5:$D$140,2,FALSE)),"NULL",(vlookup(A17,'VA Data'!$C$5:$D$140,2,FALSE)))</f>
        <v>6</v>
      </c>
      <c r="F17" s="612" t="str">
        <f>IF(ISBLANK(vlookup(A17,'VA Data'!$E$5:$F$140,2,FALSE)),"NULL",(vlookup(A17,'VA Data'!$E$5:$F$140,2,FALSE)))</f>
        <v>NULL</v>
      </c>
      <c r="G17" s="612" t="s">
        <v>63</v>
      </c>
      <c r="H17" s="671" t="s">
        <v>63</v>
      </c>
      <c r="I17" s="614">
        <f>IF(ISBLANK(vlookup(A17,'VA Data'!$G$5:$H$144,2,FALSE)),"NULL",(vlookup(A17,'VA Data'!$G$5:$H$144,2,FALSE)))</f>
        <v>6</v>
      </c>
      <c r="J17" s="615" t="s">
        <v>63</v>
      </c>
      <c r="K17" s="1061">
        <f>IF(ISBLANK(vlookup(A17,'VA Data'!$I$5:$J$140,2,FALSE)),"NULL",(vlookup(A17,'VA Data'!$I$5:$J$140,2,FALSE)))</f>
        <v>0</v>
      </c>
      <c r="L17" s="671" t="s">
        <v>63</v>
      </c>
      <c r="M17" s="614" t="s">
        <v>63</v>
      </c>
      <c r="N17" s="612" t="s">
        <v>63</v>
      </c>
      <c r="O17" s="612" t="s">
        <v>63</v>
      </c>
      <c r="P17" s="620">
        <f>ifna(vlookup(A17,'Population &amp; Church Numbers'!$A$2823:$D$2955,4,FALSE),"NULL")</f>
        <v>37</v>
      </c>
      <c r="Q17" s="674" t="s">
        <v>63</v>
      </c>
    </row>
    <row r="18">
      <c r="A18" s="609" t="s">
        <v>1036</v>
      </c>
      <c r="B18" s="610">
        <f t="array" ref="B18">VLOOKUP($A18,VA_DEMO,2,FALSE)</f>
        <v>55696</v>
      </c>
      <c r="C18" s="704">
        <f>vlookup(A18,'VA Data'!$A$5:$B$144,2,FALSE)</f>
        <v>44</v>
      </c>
      <c r="D18" s="612" t="s">
        <v>63</v>
      </c>
      <c r="E18" s="612">
        <f>IF(ISBLANK(vlookup(A18,'VA Data'!$C$5:$D$140,2,FALSE)),"NULL",(vlookup(A18,'VA Data'!$C$5:$D$140,2,FALSE)))</f>
        <v>27</v>
      </c>
      <c r="F18" s="612">
        <f>IF(ISBLANK(vlookup(A18,'VA Data'!$E$5:$F$140,2,FALSE)),"NULL",(vlookup(A18,'VA Data'!$E$5:$F$140,2,FALSE)))</f>
        <v>3</v>
      </c>
      <c r="G18" s="612" t="s">
        <v>63</v>
      </c>
      <c r="H18" s="671" t="s">
        <v>63</v>
      </c>
      <c r="I18" s="614">
        <f>IF(ISBLANK(vlookup(A18,'VA Data'!$G$5:$H$144,2,FALSE)),"NULL",(vlookup(A18,'VA Data'!$G$5:$H$144,2,FALSE)))</f>
        <v>11</v>
      </c>
      <c r="J18" s="615" t="s">
        <v>63</v>
      </c>
      <c r="K18" s="1061">
        <f>IF(ISBLANK(vlookup(A18,'VA Data'!$I$5:$J$140,2,FALSE)),"NULL",(vlookup(A18,'VA Data'!$I$5:$J$140,2,FALSE)))</f>
        <v>0.269</v>
      </c>
      <c r="L18" s="671" t="s">
        <v>63</v>
      </c>
      <c r="M18" s="614" t="s">
        <v>63</v>
      </c>
      <c r="N18" s="612" t="s">
        <v>63</v>
      </c>
      <c r="O18" s="612" t="s">
        <v>63</v>
      </c>
      <c r="P18" s="620">
        <f>ifna(vlookup(A18,'Population &amp; Church Numbers'!$A$2823:$D$2955,4,FALSE),"NULL")</f>
        <v>91</v>
      </c>
      <c r="Q18" s="674" t="s">
        <v>63</v>
      </c>
    </row>
    <row r="19">
      <c r="A19" s="609" t="s">
        <v>1200</v>
      </c>
      <c r="B19" s="610">
        <f t="array" ref="B19">VLOOKUP($A19,VA_DEMO,2,FALSE)</f>
        <v>30887</v>
      </c>
      <c r="C19" s="704">
        <f>vlookup(A19,'VA Data'!$A$5:$B$144,2,FALSE)</f>
        <v>5</v>
      </c>
      <c r="D19" s="612" t="s">
        <v>63</v>
      </c>
      <c r="E19" s="612">
        <f>IF(ISBLANK(vlookup(A19,'VA Data'!$C$5:$D$140,2,FALSE)),"NULL",(vlookup(A19,'VA Data'!$C$5:$D$140,2,FALSE)))</f>
        <v>2</v>
      </c>
      <c r="F19" s="612">
        <f>IF(ISBLANK(vlookup(A19,'VA Data'!$E$5:$F$140,2,FALSE)),"NULL",(vlookup(A19,'VA Data'!$E$5:$F$140,2,FALSE)))</f>
        <v>1</v>
      </c>
      <c r="G19" s="612" t="s">
        <v>63</v>
      </c>
      <c r="H19" s="671" t="s">
        <v>63</v>
      </c>
      <c r="I19" s="614">
        <f>IF(ISBLANK(vlookup(A19,'VA Data'!$G$5:$H$144,2,FALSE)),"NULL",(vlookup(A19,'VA Data'!$G$5:$H$144,2,FALSE)))</f>
        <v>3</v>
      </c>
      <c r="J19" s="615" t="s">
        <v>63</v>
      </c>
      <c r="K19" s="1061">
        <f>IF(ISBLANK(vlookup(A19,'VA Data'!$I$5:$J$140,2,FALSE)),"NULL",(vlookup(A19,'VA Data'!$I$5:$J$140,2,FALSE)))</f>
        <v>1</v>
      </c>
      <c r="L19" s="671" t="s">
        <v>63</v>
      </c>
      <c r="M19" s="614" t="s">
        <v>63</v>
      </c>
      <c r="N19" s="612" t="s">
        <v>63</v>
      </c>
      <c r="O19" s="612" t="s">
        <v>63</v>
      </c>
      <c r="P19" s="620">
        <f>ifna(vlookup(A19,'Population &amp; Church Numbers'!$A$2823:$D$2955,4,FALSE),"NULL")</f>
        <v>48</v>
      </c>
      <c r="Q19" s="674" t="s">
        <v>63</v>
      </c>
    </row>
    <row r="20">
      <c r="A20" s="609" t="s">
        <v>248</v>
      </c>
      <c r="B20" s="610">
        <f t="array" ref="B20">VLOOKUP($A20,VA_DEMO,2,FALSE)</f>
        <v>29155</v>
      </c>
      <c r="C20" s="704">
        <f>vlookup(A20,'VA Data'!$A$5:$B$144,2,FALSE)</f>
        <v>38</v>
      </c>
      <c r="D20" s="612" t="s">
        <v>63</v>
      </c>
      <c r="E20" s="612">
        <f>IF(ISBLANK(vlookup(A20,'VA Data'!$C$5:$D$140,2,FALSE)),"NULL",(vlookup(A20,'VA Data'!$C$5:$D$140,2,FALSE)))</f>
        <v>20</v>
      </c>
      <c r="F20" s="612">
        <f>IF(ISBLANK(vlookup(A20,'VA Data'!$E$5:$F$140,2,FALSE)),"NULL",(vlookup(A20,'VA Data'!$E$5:$F$140,2,FALSE)))</f>
        <v>6</v>
      </c>
      <c r="G20" s="612" t="s">
        <v>63</v>
      </c>
      <c r="H20" s="671" t="s">
        <v>63</v>
      </c>
      <c r="I20" s="614">
        <f>IF(ISBLANK(vlookup(A20,'VA Data'!$G$5:$H$144,2,FALSE)),"NULL",(vlookup(A20,'VA Data'!$G$5:$H$144,2,FALSE)))</f>
        <v>16</v>
      </c>
      <c r="J20" s="615" t="s">
        <v>63</v>
      </c>
      <c r="K20" s="1061">
        <f>IF(ISBLANK(vlookup(A20,'VA Data'!$I$5:$J$140,2,FALSE)),"NULL",(vlookup(A20,'VA Data'!$I$5:$J$140,2,FALSE)))</f>
        <v>0.212</v>
      </c>
      <c r="L20" s="671" t="s">
        <v>63</v>
      </c>
      <c r="M20" s="614" t="s">
        <v>63</v>
      </c>
      <c r="N20" s="612" t="s">
        <v>63</v>
      </c>
      <c r="O20" s="612" t="s">
        <v>63</v>
      </c>
      <c r="P20" s="620">
        <f>ifna(vlookup(A20,'Population &amp; Church Numbers'!$A$2823:$D$2955,4,FALSE),"NULL")</f>
        <v>46</v>
      </c>
      <c r="Q20" s="674" t="s">
        <v>63</v>
      </c>
    </row>
    <row r="21">
      <c r="A21" s="609" t="s">
        <v>2226</v>
      </c>
      <c r="B21" s="610">
        <f t="array" ref="B21">VLOOKUP($A21,VA_DEMO,2,FALSE)</f>
        <v>6773</v>
      </c>
      <c r="C21" s="704">
        <f>vlookup(A21,'VA Data'!$A$5:$B$144,2,FALSE)</f>
        <v>0</v>
      </c>
      <c r="D21" s="612" t="s">
        <v>63</v>
      </c>
      <c r="E21" s="612" t="str">
        <f>IF(ISBLANK(vlookup(A21,'VA Data'!$C$5:$D$140,2,FALSE)),"NULL",(vlookup(A21,'VA Data'!$C$5:$D$140,2,FALSE)))</f>
        <v>NULL</v>
      </c>
      <c r="F21" s="612" t="str">
        <f>IF(ISBLANK(vlookup(A21,'VA Data'!$E$5:$F$140,2,FALSE)),"NULL",(vlookup(A21,'VA Data'!$E$5:$F$140,2,FALSE)))</f>
        <v>NULL</v>
      </c>
      <c r="G21" s="612" t="s">
        <v>63</v>
      </c>
      <c r="H21" s="671" t="s">
        <v>63</v>
      </c>
      <c r="I21" s="614">
        <f>IF(ISBLANK(vlookup(A21,'VA Data'!$G$5:$H$144,2,FALSE)),"NULL",(vlookup(A21,'VA Data'!$G$5:$H$144,2,FALSE)))</f>
        <v>0</v>
      </c>
      <c r="J21" s="615" t="s">
        <v>63</v>
      </c>
      <c r="K21" s="1061">
        <f>IF(ISBLANK(vlookup(A21,'VA Data'!$I$5:$J$140,2,FALSE)),"NULL",(vlookup(A21,'VA Data'!$I$5:$J$140,2,FALSE)))</f>
        <v>0</v>
      </c>
      <c r="L21" s="671" t="s">
        <v>63</v>
      </c>
      <c r="M21" s="614" t="s">
        <v>63</v>
      </c>
      <c r="N21" s="612" t="s">
        <v>63</v>
      </c>
      <c r="O21" s="612" t="s">
        <v>63</v>
      </c>
      <c r="P21" s="620">
        <f>ifna(vlookup(A21,'Population &amp; Church Numbers'!$A$2823:$D$2955,4,FALSE),"NULL")</f>
        <v>14</v>
      </c>
      <c r="Q21" s="674" t="s">
        <v>63</v>
      </c>
    </row>
    <row r="22">
      <c r="A22" s="609" t="s">
        <v>486</v>
      </c>
      <c r="B22" s="610">
        <f t="array" ref="B22">VLOOKUP($A22,VA_DEMO,2,FALSE)</f>
        <v>11529</v>
      </c>
      <c r="C22" s="704">
        <f>vlookup(A22,'VA Data'!$A$5:$B$144,2,FALSE)</f>
        <v>6</v>
      </c>
      <c r="D22" s="612" t="s">
        <v>63</v>
      </c>
      <c r="E22" s="612">
        <f>IF(ISBLANK(vlookup(A22,'VA Data'!$C$5:$D$140,2,FALSE)),"NULL",(vlookup(A22,'VA Data'!$C$5:$D$140,2,FALSE)))</f>
        <v>3</v>
      </c>
      <c r="F22" s="612">
        <f>IF(ISBLANK(vlookup(A22,'VA Data'!$E$5:$F$140,2,FALSE)),"NULL",(vlookup(A22,'VA Data'!$E$5:$F$140,2,FALSE)))</f>
        <v>1</v>
      </c>
      <c r="G22" s="612" t="s">
        <v>63</v>
      </c>
      <c r="H22" s="671" t="s">
        <v>63</v>
      </c>
      <c r="I22" s="614">
        <f>IF(ISBLANK(vlookup(A22,'VA Data'!$G$5:$H$144,2,FALSE)),"NULL",(vlookup(A22,'VA Data'!$G$5:$H$144,2,FALSE)))</f>
        <v>3</v>
      </c>
      <c r="J22" s="615" t="s">
        <v>63</v>
      </c>
      <c r="K22" s="1061">
        <f>IF(ISBLANK(vlookup(A22,'VA Data'!$I$5:$J$140,2,FALSE)),"NULL",(vlookup(A22,'VA Data'!$I$5:$J$140,2,FALSE)))</f>
        <v>0.2</v>
      </c>
      <c r="L22" s="671" t="s">
        <v>63</v>
      </c>
      <c r="M22" s="614" t="s">
        <v>63</v>
      </c>
      <c r="N22" s="612" t="s">
        <v>63</v>
      </c>
      <c r="O22" s="612" t="s">
        <v>63</v>
      </c>
      <c r="P22" s="620">
        <f>ifna(vlookup(A22,'Population &amp; Church Numbers'!$A$2823:$D$2955,4,FALSE),"NULL")</f>
        <v>33</v>
      </c>
      <c r="Q22" s="674" t="s">
        <v>63</v>
      </c>
    </row>
    <row r="23">
      <c r="A23" s="609" t="s">
        <v>1820</v>
      </c>
      <c r="B23" s="610">
        <f t="array" ref="B23">VLOOKUP($A23,VA_DEMO,2,FALSE)</f>
        <v>364548</v>
      </c>
      <c r="C23" s="704">
        <f>vlookup(A23,'VA Data'!$A$5:$B$144,2,FALSE)</f>
        <v>105</v>
      </c>
      <c r="D23" s="612" t="s">
        <v>63</v>
      </c>
      <c r="E23" s="612">
        <f>IF(ISBLANK(vlookup(A23,'VA Data'!$C$5:$D$140,2,FALSE)),"NULL",(vlookup(A23,'VA Data'!$C$5:$D$140,2,FALSE)))</f>
        <v>69</v>
      </c>
      <c r="F23" s="612">
        <f>IF(ISBLANK(vlookup(A23,'VA Data'!$E$5:$F$140,2,FALSE)),"NULL",(vlookup(A23,'VA Data'!$E$5:$F$140,2,FALSE)))</f>
        <v>7</v>
      </c>
      <c r="G23" s="612" t="s">
        <v>63</v>
      </c>
      <c r="H23" s="671" t="s">
        <v>63</v>
      </c>
      <c r="I23" s="614">
        <f>IF(ISBLANK(vlookup(A23,'VA Data'!$G$5:$H$144,2,FALSE)),"NULL",(vlookup(A23,'VA Data'!$G$5:$H$144,2,FALSE)))</f>
        <v>49</v>
      </c>
      <c r="J23" s="615" t="s">
        <v>63</v>
      </c>
      <c r="K23" s="1061">
        <f>IF(ISBLANK(vlookup(A23,'VA Data'!$I$5:$J$140,2,FALSE)),"NULL",(vlookup(A23,'VA Data'!$I$5:$J$140,2,FALSE)))</f>
        <v>0.286</v>
      </c>
      <c r="L23" s="671" t="s">
        <v>63</v>
      </c>
      <c r="M23" s="614" t="s">
        <v>63</v>
      </c>
      <c r="N23" s="612" t="s">
        <v>63</v>
      </c>
      <c r="O23" s="612" t="s">
        <v>63</v>
      </c>
      <c r="P23" s="620">
        <f>ifna(vlookup(A23,'Population &amp; Church Numbers'!$A$2823:$D$2955,4,FALSE),"NULL")</f>
        <v>207</v>
      </c>
      <c r="Q23" s="674" t="s">
        <v>63</v>
      </c>
    </row>
    <row r="24">
      <c r="A24" s="609" t="s">
        <v>110</v>
      </c>
      <c r="B24" s="610">
        <f t="array" ref="B24">VLOOKUP($A24,VA_DEMO,2,FALSE)</f>
        <v>14783</v>
      </c>
      <c r="C24" s="704">
        <f>vlookup(A24,'VA Data'!$A$5:$B$144,2,FALSE)</f>
        <v>5</v>
      </c>
      <c r="D24" s="612" t="s">
        <v>63</v>
      </c>
      <c r="E24" s="612">
        <f>IF(ISBLANK(vlookup(A24,'VA Data'!$C$5:$D$140,2,FALSE)),"NULL",(vlookup(A24,'VA Data'!$C$5:$D$140,2,FALSE)))</f>
        <v>2</v>
      </c>
      <c r="F24" s="612">
        <f>IF(ISBLANK(vlookup(A24,'VA Data'!$E$5:$F$140,2,FALSE)),"NULL",(vlookup(A24,'VA Data'!$E$5:$F$140,2,FALSE)))</f>
        <v>2</v>
      </c>
      <c r="G24" s="612" t="s">
        <v>63</v>
      </c>
      <c r="H24" s="671" t="s">
        <v>63</v>
      </c>
      <c r="I24" s="614">
        <f>IF(ISBLANK(vlookup(A24,'VA Data'!$G$5:$H$144,2,FALSE)),"NULL",(vlookup(A24,'VA Data'!$G$5:$H$144,2,FALSE)))</f>
        <v>1</v>
      </c>
      <c r="J24" s="615" t="s">
        <v>63</v>
      </c>
      <c r="K24" s="1061">
        <f>IF(ISBLANK(vlookup(A24,'VA Data'!$I$5:$J$140,2,FALSE)),"NULL",(vlookup(A24,'VA Data'!$I$5:$J$140,2,FALSE)))</f>
        <v>0.5</v>
      </c>
      <c r="L24" s="671" t="s">
        <v>63</v>
      </c>
      <c r="M24" s="614" t="s">
        <v>63</v>
      </c>
      <c r="N24" s="612" t="s">
        <v>63</v>
      </c>
      <c r="O24" s="612" t="s">
        <v>63</v>
      </c>
      <c r="P24" s="620">
        <f>ifna(vlookup(A24,'Population &amp; Church Numbers'!$A$2823:$D$2955,4,FALSE),"NULL")</f>
        <v>15</v>
      </c>
      <c r="Q24" s="674" t="s">
        <v>63</v>
      </c>
    </row>
    <row r="25">
      <c r="A25" s="609" t="s">
        <v>1721</v>
      </c>
      <c r="B25" s="610">
        <f t="array" ref="B25">VLOOKUP($A25,VA_DEMO,2,FALSE)</f>
        <v>4892</v>
      </c>
      <c r="C25" s="704">
        <f>vlookup(A25,'VA Data'!$A$5:$B$144,2,FALSE)</f>
        <v>11</v>
      </c>
      <c r="D25" s="612" t="s">
        <v>63</v>
      </c>
      <c r="E25" s="612">
        <f>IF(ISBLANK(vlookup(A25,'VA Data'!$C$5:$D$140,2,FALSE)),"NULL",(vlookup(A25,'VA Data'!$C$5:$D$140,2,FALSE)))</f>
        <v>8</v>
      </c>
      <c r="F25" s="612">
        <f>IF(ISBLANK(vlookup(A25,'VA Data'!$E$5:$F$140,2,FALSE)),"NULL",(vlookup(A25,'VA Data'!$E$5:$F$140,2,FALSE)))</f>
        <v>1</v>
      </c>
      <c r="G25" s="612" t="s">
        <v>63</v>
      </c>
      <c r="H25" s="671" t="s">
        <v>63</v>
      </c>
      <c r="I25" s="614">
        <f>IF(ISBLANK(vlookup(A25,'VA Data'!$G$5:$H$144,2,FALSE)),"NULL",(vlookup(A25,'VA Data'!$G$5:$H$144,2,FALSE)))</f>
        <v>6</v>
      </c>
      <c r="J25" s="615" t="s">
        <v>63</v>
      </c>
      <c r="K25" s="1061">
        <f>IF(ISBLANK(vlookup(A25,'VA Data'!$I$5:$J$140,2,FALSE)),"NULL",(vlookup(A25,'VA Data'!$I$5:$J$140,2,FALSE)))</f>
        <v>0</v>
      </c>
      <c r="L25" s="671" t="s">
        <v>63</v>
      </c>
      <c r="M25" s="614" t="s">
        <v>63</v>
      </c>
      <c r="N25" s="612" t="s">
        <v>63</v>
      </c>
      <c r="O25" s="612" t="s">
        <v>63</v>
      </c>
      <c r="P25" s="620">
        <f>ifna(vlookup(A25,'Population &amp; Church Numbers'!$A$2823:$D$2955,4,FALSE),"NULL")</f>
        <v>7</v>
      </c>
      <c r="Q25" s="674" t="s">
        <v>63</v>
      </c>
    </row>
    <row r="26">
      <c r="A26" s="609" t="s">
        <v>2228</v>
      </c>
      <c r="B26" s="610">
        <f t="array" ref="B26">VLOOKUP($A26,VA_DEMO,2,FALSE)</f>
        <v>52552</v>
      </c>
      <c r="C26" s="704">
        <f>vlookup(A26,'VA Data'!$A$5:$B$144,2,FALSE)</f>
        <v>12</v>
      </c>
      <c r="D26" s="612" t="s">
        <v>63</v>
      </c>
      <c r="E26" s="612">
        <f>IF(ISBLANK(vlookup(A26,'VA Data'!$C$5:$D$140,2,FALSE)),"NULL",(vlookup(A26,'VA Data'!$C$5:$D$140,2,FALSE)))</f>
        <v>9</v>
      </c>
      <c r="F26" s="612" t="str">
        <f>IF(ISBLANK(vlookup(A26,'VA Data'!$E$5:$F$140,2,FALSE)),"NULL",(vlookup(A26,'VA Data'!$E$5:$F$140,2,FALSE)))</f>
        <v>NULL</v>
      </c>
      <c r="G26" s="612" t="s">
        <v>63</v>
      </c>
      <c r="H26" s="671" t="s">
        <v>63</v>
      </c>
      <c r="I26" s="614">
        <f>IF(ISBLANK(vlookup(A26,'VA Data'!$G$5:$H$144,2,FALSE)),"NULL",(vlookup(A26,'VA Data'!$G$5:$H$144,2,FALSE)))</f>
        <v>4</v>
      </c>
      <c r="J26" s="615" t="s">
        <v>63</v>
      </c>
      <c r="K26" s="1061">
        <f>IF(ISBLANK(vlookup(A26,'VA Data'!$I$5:$J$140,2,FALSE)),"NULL",(vlookup(A26,'VA Data'!$I$5:$J$140,2,FALSE)))</f>
        <v>0.063</v>
      </c>
      <c r="L26" s="671" t="s">
        <v>63</v>
      </c>
      <c r="M26" s="614" t="s">
        <v>63</v>
      </c>
      <c r="N26" s="612" t="s">
        <v>63</v>
      </c>
      <c r="O26" s="612" t="s">
        <v>63</v>
      </c>
      <c r="P26" s="620">
        <f>ifna(vlookup(A26,'Population &amp; Church Numbers'!$A$2823:$D$2955,4,FALSE),"NULL")</f>
        <v>60</v>
      </c>
      <c r="Q26" s="674" t="s">
        <v>63</v>
      </c>
    </row>
    <row r="27">
      <c r="A27" s="609" t="s">
        <v>713</v>
      </c>
      <c r="B27" s="610">
        <f t="array" ref="B27">VLOOKUP($A27,VA_DEMO,2,FALSE)</f>
        <v>9675</v>
      </c>
      <c r="C27" s="704">
        <f>vlookup(A27,'VA Data'!$A$5:$B$144,2,FALSE)</f>
        <v>1</v>
      </c>
      <c r="D27" s="612" t="s">
        <v>63</v>
      </c>
      <c r="E27" s="612" t="str">
        <f>IF(ISBLANK(vlookup(A27,'VA Data'!$C$5:$D$140,2,FALSE)),"NULL",(vlookup(A27,'VA Data'!$C$5:$D$140,2,FALSE)))</f>
        <v>NULL</v>
      </c>
      <c r="F27" s="612">
        <f>IF(ISBLANK(vlookup(A27,'VA Data'!$E$5:$F$140,2,FALSE)),"NULL",(vlookup(A27,'VA Data'!$E$5:$F$140,2,FALSE)))</f>
        <v>1</v>
      </c>
      <c r="G27" s="612" t="s">
        <v>63</v>
      </c>
      <c r="H27" s="671" t="s">
        <v>63</v>
      </c>
      <c r="I27" s="614">
        <f>IF(ISBLANK(vlookup(A27,'VA Data'!$G$5:$H$144,2,FALSE)),"NULL",(vlookup(A27,'VA Data'!$G$5:$H$144,2,FALSE)))</f>
        <v>0</v>
      </c>
      <c r="J27" s="615" t="s">
        <v>63</v>
      </c>
      <c r="K27" s="1061">
        <f>IF(ISBLANK(vlookup(A27,'VA Data'!$I$5:$J$140,2,FALSE)),"NULL",(vlookup(A27,'VA Data'!$I$5:$J$140,2,FALSE)))</f>
        <v>0.571</v>
      </c>
      <c r="L27" s="671" t="s">
        <v>63</v>
      </c>
      <c r="M27" s="614" t="s">
        <v>63</v>
      </c>
      <c r="N27" s="612" t="s">
        <v>63</v>
      </c>
      <c r="O27" s="612" t="s">
        <v>63</v>
      </c>
      <c r="P27" s="620">
        <f>ifna(vlookup(A27,'Population &amp; Church Numbers'!$A$2823:$D$2955,4,FALSE),"NULL")</f>
        <v>16</v>
      </c>
      <c r="Q27" s="674" t="s">
        <v>63</v>
      </c>
    </row>
    <row r="28">
      <c r="A28" s="609" t="s">
        <v>2229</v>
      </c>
      <c r="B28" s="610">
        <f t="array" ref="B28">VLOOKUP($A28,VA_DEMO,2,FALSE)</f>
        <v>14124</v>
      </c>
      <c r="C28" s="704">
        <f>vlookup(A28,'VA Data'!$A$5:$B$144,2,FALSE)</f>
        <v>13</v>
      </c>
      <c r="D28" s="612" t="s">
        <v>63</v>
      </c>
      <c r="E28" s="612">
        <f>IF(ISBLANK(vlookup(A28,'VA Data'!$C$5:$D$140,2,FALSE)),"NULL",(vlookup(A28,'VA Data'!$C$5:$D$140,2,FALSE)))</f>
        <v>8</v>
      </c>
      <c r="F28" s="612">
        <f>IF(ISBLANK(vlookup(A28,'VA Data'!$E$5:$F$140,2,FALSE)),"NULL",(vlookup(A28,'VA Data'!$E$5:$F$140,2,FALSE)))</f>
        <v>2</v>
      </c>
      <c r="G28" s="612" t="s">
        <v>63</v>
      </c>
      <c r="H28" s="671" t="s">
        <v>63</v>
      </c>
      <c r="I28" s="614">
        <f>IF(ISBLANK(vlookup(A28,'VA Data'!$G$5:$H$144,2,FALSE)),"NULL",(vlookup(A28,'VA Data'!$G$5:$H$144,2,FALSE)))</f>
        <v>3</v>
      </c>
      <c r="J28" s="615" t="s">
        <v>63</v>
      </c>
      <c r="K28" s="1061">
        <f>IF(ISBLANK(vlookup(A28,'VA Data'!$I$5:$J$140,2,FALSE)),"NULL",(vlookup(A28,'VA Data'!$I$5:$J$140,2,FALSE)))</f>
        <v>0.368</v>
      </c>
      <c r="L28" s="671" t="s">
        <v>63</v>
      </c>
      <c r="M28" s="614" t="s">
        <v>63</v>
      </c>
      <c r="N28" s="612" t="s">
        <v>63</v>
      </c>
      <c r="O28" s="612" t="s">
        <v>63</v>
      </c>
      <c r="P28" s="620">
        <f>ifna(vlookup(A28,'Population &amp; Church Numbers'!$A$2823:$D$2955,4,FALSE),"NULL")</f>
        <v>14</v>
      </c>
      <c r="Q28" s="674" t="s">
        <v>63</v>
      </c>
    </row>
    <row r="29">
      <c r="A29" s="609" t="s">
        <v>2230</v>
      </c>
      <c r="B29" s="610">
        <f t="array" ref="B29">VLOOKUP($A29,VA_DEMO,2,FALSE)</f>
        <v>27947</v>
      </c>
      <c r="C29" s="704">
        <f>vlookup(A29,'VA Data'!$A$5:$B$144,2,FALSE)</f>
        <v>20</v>
      </c>
      <c r="D29" s="612" t="s">
        <v>63</v>
      </c>
      <c r="E29" s="612">
        <f>IF(ISBLANK(vlookup(A29,'VA Data'!$C$5:$D$140,2,FALSE)),"NULL",(vlookup(A29,'VA Data'!$C$5:$D$140,2,FALSE)))</f>
        <v>15</v>
      </c>
      <c r="F29" s="612">
        <f>IF(ISBLANK(vlookup(A29,'VA Data'!$E$5:$F$140,2,FALSE)),"NULL",(vlookup(A29,'VA Data'!$E$5:$F$140,2,FALSE)))</f>
        <v>1</v>
      </c>
      <c r="G29" s="612" t="s">
        <v>63</v>
      </c>
      <c r="H29" s="671" t="s">
        <v>63</v>
      </c>
      <c r="I29" s="614">
        <f>IF(ISBLANK(vlookup(A29,'VA Data'!$G$5:$H$144,2,FALSE)),"NULL",(vlookup(A29,'VA Data'!$G$5:$H$144,2,FALSE)))</f>
        <v>6</v>
      </c>
      <c r="J29" s="615" t="s">
        <v>63</v>
      </c>
      <c r="K29" s="1061">
        <f>IF(ISBLANK(vlookup(A29,'VA Data'!$I$5:$J$140,2,FALSE)),"NULL",(vlookup(A29,'VA Data'!$I$5:$J$140,2,FALSE)))</f>
        <v>0</v>
      </c>
      <c r="L29" s="671" t="s">
        <v>63</v>
      </c>
      <c r="M29" s="614" t="s">
        <v>63</v>
      </c>
      <c r="N29" s="612" t="s">
        <v>63</v>
      </c>
      <c r="O29" s="612" t="s">
        <v>63</v>
      </c>
      <c r="P29" s="620">
        <f>ifna(vlookup(A29,'Population &amp; Church Numbers'!$A$2823:$D$2955,4,FALSE),"NULL")</f>
        <v>40</v>
      </c>
      <c r="Q29" s="674" t="s">
        <v>63</v>
      </c>
    </row>
    <row r="30">
      <c r="A30" s="609" t="s">
        <v>516</v>
      </c>
      <c r="B30" s="610">
        <f t="array" ref="B30">VLOOKUP($A30,VA_DEMO,2,FALSE)</f>
        <v>10599</v>
      </c>
      <c r="C30" s="704">
        <f>vlookup(A30,'VA Data'!$A$5:$B$144,2,FALSE)</f>
        <v>6</v>
      </c>
      <c r="D30" s="612" t="s">
        <v>63</v>
      </c>
      <c r="E30" s="612">
        <f>IF(ISBLANK(vlookup(A30,'VA Data'!$C$5:$D$140,2,FALSE)),"NULL",(vlookup(A30,'VA Data'!$C$5:$D$140,2,FALSE)))</f>
        <v>5</v>
      </c>
      <c r="F30" s="612">
        <f>IF(ISBLANK(vlookup(A30,'VA Data'!$E$5:$F$140,2,FALSE)),"NULL",(vlookup(A30,'VA Data'!$E$5:$F$140,2,FALSE)))</f>
        <v>1</v>
      </c>
      <c r="G30" s="612" t="s">
        <v>63</v>
      </c>
      <c r="H30" s="671" t="s">
        <v>63</v>
      </c>
      <c r="I30" s="614">
        <f>IF(ISBLANK(vlookup(A30,'VA Data'!$G$5:$H$144,2,FALSE)),"NULL",(vlookup(A30,'VA Data'!$G$5:$H$144,2,FALSE)))</f>
        <v>3</v>
      </c>
      <c r="J30" s="615" t="s">
        <v>63</v>
      </c>
      <c r="K30" s="1061">
        <f>IF(ISBLANK(vlookup(A30,'VA Data'!$I$5:$J$140,2,FALSE)),"NULL",(vlookup(A30,'VA Data'!$I$5:$J$140,2,FALSE)))</f>
        <v>0.286</v>
      </c>
      <c r="L30" s="671" t="s">
        <v>63</v>
      </c>
      <c r="M30" s="614" t="s">
        <v>63</v>
      </c>
      <c r="N30" s="612" t="s">
        <v>63</v>
      </c>
      <c r="O30" s="612" t="s">
        <v>63</v>
      </c>
      <c r="P30" s="620">
        <f>ifna(vlookup(A30,'Population &amp; Church Numbers'!$A$2823:$D$2955,4,FALSE),"NULL")</f>
        <v>24</v>
      </c>
      <c r="Q30" s="674" t="s">
        <v>63</v>
      </c>
    </row>
    <row r="31">
      <c r="A31" s="609" t="s">
        <v>374</v>
      </c>
      <c r="B31" s="610">
        <f t="array" ref="B31">VLOOKUP($A31,VA_DEMO,2,FALSE)</f>
        <v>1150309</v>
      </c>
      <c r="C31" s="704">
        <f>vlookup(A31,'VA Data'!$A$5:$B$144,2,FALSE)</f>
        <v>218</v>
      </c>
      <c r="D31" s="612" t="s">
        <v>63</v>
      </c>
      <c r="E31" s="612">
        <f>IF(ISBLANK(vlookup(A31,'VA Data'!$C$5:$D$140,2,FALSE)),"NULL",(vlookup(A31,'VA Data'!$C$5:$D$140,2,FALSE)))</f>
        <v>113</v>
      </c>
      <c r="F31" s="612">
        <f>IF(ISBLANK(vlookup(A31,'VA Data'!$E$5:$F$140,2,FALSE)),"NULL",(vlookup(A31,'VA Data'!$E$5:$F$140,2,FALSE)))</f>
        <v>30</v>
      </c>
      <c r="G31" s="612" t="s">
        <v>63</v>
      </c>
      <c r="H31" s="671" t="s">
        <v>63</v>
      </c>
      <c r="I31" s="614">
        <f>IF(ISBLANK(vlookup(A31,'VA Data'!$G$5:$H$144,2,FALSE)),"NULL",(vlookup(A31,'VA Data'!$G$5:$H$144,2,FALSE)))</f>
        <v>56</v>
      </c>
      <c r="J31" s="615" t="s">
        <v>63</v>
      </c>
      <c r="K31" s="1061">
        <f>IF(ISBLANK(vlookup(A31,'VA Data'!$I$5:$J$140,2,FALSE)),"NULL",(vlookup(A31,'VA Data'!$I$5:$J$140,2,FALSE)))</f>
        <v>0.263</v>
      </c>
      <c r="L31" s="671" t="s">
        <v>63</v>
      </c>
      <c r="M31" s="614" t="s">
        <v>63</v>
      </c>
      <c r="N31" s="612" t="s">
        <v>63</v>
      </c>
      <c r="O31" s="612" t="s">
        <v>63</v>
      </c>
      <c r="P31" s="620">
        <f>ifna(vlookup(A31,'Population &amp; Church Numbers'!$A$2823:$D$2955,4,FALSE),"NULL")</f>
        <v>440</v>
      </c>
      <c r="Q31" s="674" t="s">
        <v>63</v>
      </c>
    </row>
    <row r="32">
      <c r="A32" s="609" t="s">
        <v>2232</v>
      </c>
      <c r="B32" s="610">
        <f t="array" ref="B32">VLOOKUP($A32,VA_DEMO,2,FALSE)</f>
        <v>72972</v>
      </c>
      <c r="C32" s="704">
        <f>vlookup(A32,'VA Data'!$A$5:$B$144,2,FALSE)</f>
        <v>31</v>
      </c>
      <c r="D32" s="612" t="s">
        <v>63</v>
      </c>
      <c r="E32" s="612">
        <f>IF(ISBLANK(vlookup(A32,'VA Data'!$C$5:$D$140,2,FALSE)),"NULL",(vlookup(A32,'VA Data'!$C$5:$D$140,2,FALSE)))</f>
        <v>19</v>
      </c>
      <c r="F32" s="612">
        <f>IF(ISBLANK(vlookup(A32,'VA Data'!$E$5:$F$140,2,FALSE)),"NULL",(vlookup(A32,'VA Data'!$E$5:$F$140,2,FALSE)))</f>
        <v>3</v>
      </c>
      <c r="G32" s="612" t="s">
        <v>63</v>
      </c>
      <c r="H32" s="671" t="s">
        <v>63</v>
      </c>
      <c r="I32" s="614">
        <f>IF(ISBLANK(vlookup(A32,'VA Data'!$G$5:$H$144,2,FALSE)),"NULL",(vlookup(A32,'VA Data'!$G$5:$H$144,2,FALSE)))</f>
        <v>8</v>
      </c>
      <c r="J32" s="615" t="s">
        <v>63</v>
      </c>
      <c r="K32" s="1061">
        <f>IF(ISBLANK(vlookup(A32,'VA Data'!$I$5:$J$140,2,FALSE)),"NULL",(vlookup(A32,'VA Data'!$I$5:$J$140,2,FALSE)))</f>
        <v>0.1</v>
      </c>
      <c r="L32" s="671" t="s">
        <v>63</v>
      </c>
      <c r="M32" s="614" t="s">
        <v>63</v>
      </c>
      <c r="N32" s="612" t="s">
        <v>63</v>
      </c>
      <c r="O32" s="612" t="s">
        <v>63</v>
      </c>
      <c r="P32" s="620">
        <f>ifna(vlookup(A32,'Population &amp; Church Numbers'!$A$2823:$D$2955,4,FALSE),"NULL")</f>
        <v>93</v>
      </c>
      <c r="Q32" s="674" t="s">
        <v>63</v>
      </c>
    </row>
    <row r="33">
      <c r="A33" s="609" t="s">
        <v>575</v>
      </c>
      <c r="B33" s="610">
        <f t="array" ref="B33">VLOOKUP($A33,VA_DEMO,2,FALSE)</f>
        <v>15476</v>
      </c>
      <c r="C33" s="704">
        <f>vlookup(A33,'VA Data'!$A$5:$B$144,2,FALSE)</f>
        <v>13</v>
      </c>
      <c r="D33" s="612" t="s">
        <v>63</v>
      </c>
      <c r="E33" s="612">
        <f>IF(ISBLANK(vlookup(A33,'VA Data'!$C$5:$D$140,2,FALSE)),"NULL",(vlookup(A33,'VA Data'!$C$5:$D$140,2,FALSE)))</f>
        <v>7</v>
      </c>
      <c r="F33" s="612">
        <f>IF(ISBLANK(vlookup(A33,'VA Data'!$E$5:$F$140,2,FALSE)),"NULL",(vlookup(A33,'VA Data'!$E$5:$F$140,2,FALSE)))</f>
        <v>1</v>
      </c>
      <c r="G33" s="612" t="s">
        <v>63</v>
      </c>
      <c r="H33" s="671" t="s">
        <v>63</v>
      </c>
      <c r="I33" s="614">
        <f>IF(ISBLANK(vlookup(A33,'VA Data'!$G$5:$H$144,2,FALSE)),"NULL",(vlookup(A33,'VA Data'!$G$5:$H$144,2,FALSE)))</f>
        <v>3</v>
      </c>
      <c r="J33" s="615" t="s">
        <v>63</v>
      </c>
      <c r="K33" s="1061">
        <f>IF(ISBLANK(vlookup(A33,'VA Data'!$I$5:$J$140,2,FALSE)),"NULL",(vlookup(A33,'VA Data'!$I$5:$J$140,2,FALSE)))</f>
        <v>0.333</v>
      </c>
      <c r="L33" s="671" t="s">
        <v>63</v>
      </c>
      <c r="M33" s="614" t="s">
        <v>63</v>
      </c>
      <c r="N33" s="612" t="s">
        <v>63</v>
      </c>
      <c r="O33" s="612" t="s">
        <v>63</v>
      </c>
      <c r="P33" s="620">
        <f>ifna(vlookup(A33,'Population &amp; Church Numbers'!$A$2823:$D$2955,4,FALSE),"NULL")</f>
        <v>34</v>
      </c>
      <c r="Q33" s="674" t="s">
        <v>63</v>
      </c>
    </row>
    <row r="34">
      <c r="A34" s="609" t="s">
        <v>2234</v>
      </c>
      <c r="B34" s="610">
        <f t="array" ref="B34">VLOOKUP($A34,VA_DEMO,2,FALSE)</f>
        <v>27249</v>
      </c>
      <c r="C34" s="704">
        <f>vlookup(A34,'VA Data'!$A$5:$B$144,2,FALSE)</f>
        <v>24</v>
      </c>
      <c r="D34" s="612" t="s">
        <v>63</v>
      </c>
      <c r="E34" s="612">
        <f>IF(ISBLANK(vlookup(A34,'VA Data'!$C$5:$D$140,2,FALSE)),"NULL",(vlookup(A34,'VA Data'!$C$5:$D$140,2,FALSE)))</f>
        <v>9</v>
      </c>
      <c r="F34" s="612">
        <f>IF(ISBLANK(vlookup(A34,'VA Data'!$E$5:$F$140,2,FALSE)),"NULL",(vlookup(A34,'VA Data'!$E$5:$F$140,2,FALSE)))</f>
        <v>6</v>
      </c>
      <c r="G34" s="612" t="s">
        <v>63</v>
      </c>
      <c r="H34" s="671" t="s">
        <v>63</v>
      </c>
      <c r="I34" s="614">
        <f>IF(ISBLANK(vlookup(A34,'VA Data'!$G$5:$H$144,2,FALSE)),"NULL",(vlookup(A34,'VA Data'!$G$5:$H$144,2,FALSE)))</f>
        <v>5</v>
      </c>
      <c r="J34" s="615" t="s">
        <v>63</v>
      </c>
      <c r="K34" s="1061">
        <f>IF(ISBLANK(vlookup(A34,'VA Data'!$I$5:$J$140,2,FALSE)),"NULL",(vlookup(A34,'VA Data'!$I$5:$J$140,2,FALSE)))</f>
        <v>0.111</v>
      </c>
      <c r="L34" s="671" t="s">
        <v>63</v>
      </c>
      <c r="M34" s="614" t="s">
        <v>63</v>
      </c>
      <c r="N34" s="612" t="s">
        <v>63</v>
      </c>
      <c r="O34" s="612" t="s">
        <v>63</v>
      </c>
      <c r="P34" s="620">
        <f>ifna(vlookup(A34,'Population &amp; Church Numbers'!$A$2823:$D$2955,4,FALSE),"NULL")</f>
        <v>32</v>
      </c>
      <c r="Q34" s="674" t="s">
        <v>63</v>
      </c>
    </row>
    <row r="35">
      <c r="A35" s="609" t="s">
        <v>4202</v>
      </c>
      <c r="B35" s="610">
        <f t="array" ref="B35">VLOOKUP($A35,VA_DEMO,2,FALSE)</f>
        <v>54477</v>
      </c>
      <c r="C35" s="704">
        <f>vlookup(A35,'VA Data'!$A$5:$B$144,2,FALSE)</f>
        <v>74</v>
      </c>
      <c r="D35" s="612" t="s">
        <v>63</v>
      </c>
      <c r="E35" s="612">
        <f>IF(ISBLANK(vlookup(A35,'VA Data'!$C$5:$D$140,2,FALSE)),"NULL",(vlookup(A35,'VA Data'!$C$5:$D$140,2,FALSE)))</f>
        <v>31</v>
      </c>
      <c r="F35" s="612">
        <f>IF(ISBLANK(vlookup(A35,'VA Data'!$E$5:$F$140,2,FALSE)),"NULL",(vlookup(A35,'VA Data'!$E$5:$F$140,2,FALSE)))</f>
        <v>15</v>
      </c>
      <c r="G35" s="612" t="s">
        <v>63</v>
      </c>
      <c r="H35" s="671" t="s">
        <v>63</v>
      </c>
      <c r="I35" s="614">
        <f>IF(ISBLANK(vlookup(A35,'VA Data'!$G$5:$H$144,2,FALSE)),"NULL",(vlookup(A35,'VA Data'!$G$5:$H$144,2,FALSE)))</f>
        <v>24</v>
      </c>
      <c r="J35" s="615" t="s">
        <v>63</v>
      </c>
      <c r="K35" s="1061">
        <f>IF(ISBLANK(vlookup(A35,'VA Data'!$I$5:$J$140,2,FALSE)),"NULL",(vlookup(A35,'VA Data'!$I$5:$J$140,2,FALSE)))</f>
        <v>0.244</v>
      </c>
      <c r="L35" s="671" t="s">
        <v>63</v>
      </c>
      <c r="M35" s="614" t="s">
        <v>63</v>
      </c>
      <c r="N35" s="612" t="s">
        <v>63</v>
      </c>
      <c r="O35" s="612" t="s">
        <v>63</v>
      </c>
      <c r="P35" s="620">
        <f>ifna(vlookup(A35,'Population &amp; Church Numbers'!$A$2823:$D$2955,4,FALSE),"NULL")</f>
        <v>82</v>
      </c>
      <c r="Q35" s="674" t="s">
        <v>63</v>
      </c>
    </row>
    <row r="36">
      <c r="A36" s="609" t="s">
        <v>1206</v>
      </c>
      <c r="B36" s="610">
        <f t="array" ref="B36">VLOOKUP($A36,VA_DEMO,2,FALSE)</f>
        <v>91419</v>
      </c>
      <c r="C36" s="704">
        <f>vlookup(A36,'VA Data'!$A$5:$B$144,2,FALSE)</f>
        <v>42</v>
      </c>
      <c r="D36" s="612" t="s">
        <v>63</v>
      </c>
      <c r="E36" s="612">
        <f>IF(ISBLANK(vlookup(A36,'VA Data'!$C$5:$D$140,2,FALSE)),"NULL",(vlookup(A36,'VA Data'!$C$5:$D$140,2,FALSE)))</f>
        <v>28</v>
      </c>
      <c r="F36" s="612">
        <f>IF(ISBLANK(vlookup(A36,'VA Data'!$E$5:$F$140,2,FALSE)),"NULL",(vlookup(A36,'VA Data'!$E$5:$F$140,2,FALSE)))</f>
        <v>3</v>
      </c>
      <c r="G36" s="612" t="s">
        <v>63</v>
      </c>
      <c r="H36" s="671" t="s">
        <v>63</v>
      </c>
      <c r="I36" s="614">
        <f>IF(ISBLANK(vlookup(A36,'VA Data'!$G$5:$H$144,2,FALSE)),"NULL",(vlookup(A36,'VA Data'!$G$5:$H$144,2,FALSE)))</f>
        <v>22</v>
      </c>
      <c r="J36" s="615" t="s">
        <v>63</v>
      </c>
      <c r="K36" s="1061">
        <f>IF(ISBLANK(vlookup(A36,'VA Data'!$I$5:$J$140,2,FALSE)),"NULL",(vlookup(A36,'VA Data'!$I$5:$J$140,2,FALSE)))</f>
        <v>0.5</v>
      </c>
      <c r="L36" s="671" t="s">
        <v>63</v>
      </c>
      <c r="M36" s="614" t="s">
        <v>63</v>
      </c>
      <c r="N36" s="612" t="s">
        <v>63</v>
      </c>
      <c r="O36" s="612" t="s">
        <v>63</v>
      </c>
      <c r="P36" s="620">
        <f>ifna(vlookup(A36,'Population &amp; Church Numbers'!$A$2823:$D$2955,4,FALSE),"NULL")</f>
        <v>71</v>
      </c>
      <c r="Q36" s="674" t="s">
        <v>63</v>
      </c>
    </row>
    <row r="37">
      <c r="A37" s="609" t="s">
        <v>1907</v>
      </c>
      <c r="B37" s="610">
        <f t="array" ref="B37">VLOOKUP($A37,VA_DEMO,2,FALSE)</f>
        <v>16787</v>
      </c>
      <c r="C37" s="704">
        <f>vlookup(A37,'VA Data'!$A$5:$B$144,2,FALSE)</f>
        <v>15</v>
      </c>
      <c r="D37" s="612" t="s">
        <v>63</v>
      </c>
      <c r="E37" s="612">
        <f>IF(ISBLANK(vlookup(A37,'VA Data'!$C$5:$D$140,2,FALSE)),"NULL",(vlookup(A37,'VA Data'!$C$5:$D$140,2,FALSE)))</f>
        <v>7</v>
      </c>
      <c r="F37" s="612">
        <f>IF(ISBLANK(vlookup(A37,'VA Data'!$E$5:$F$140,2,FALSE)),"NULL",(vlookup(A37,'VA Data'!$E$5:$F$140,2,FALSE)))</f>
        <v>2</v>
      </c>
      <c r="G37" s="612" t="s">
        <v>63</v>
      </c>
      <c r="H37" s="671" t="s">
        <v>63</v>
      </c>
      <c r="I37" s="614">
        <f>IF(ISBLANK(vlookup(A37,'VA Data'!$G$5:$H$144,2,FALSE)),"NULL",(vlookup(A37,'VA Data'!$G$5:$H$144,2,FALSE)))</f>
        <v>7</v>
      </c>
      <c r="J37" s="615" t="s">
        <v>63</v>
      </c>
      <c r="K37" s="1061">
        <f>IF(ISBLANK(vlookup(A37,'VA Data'!$I$5:$J$140,2,FALSE)),"NULL",(vlookup(A37,'VA Data'!$I$5:$J$140,2,FALSE)))</f>
        <v>0.167</v>
      </c>
      <c r="L37" s="671" t="s">
        <v>63</v>
      </c>
      <c r="M37" s="614" t="s">
        <v>63</v>
      </c>
      <c r="N37" s="612" t="s">
        <v>63</v>
      </c>
      <c r="O37" s="612" t="s">
        <v>63</v>
      </c>
      <c r="P37" s="620">
        <f>ifna(vlookup(A37,'Population &amp; Church Numbers'!$A$2823:$D$2955,4,FALSE),"NULL")</f>
        <v>28</v>
      </c>
      <c r="Q37" s="674" t="s">
        <v>63</v>
      </c>
    </row>
    <row r="38">
      <c r="A38" s="609" t="s">
        <v>1528</v>
      </c>
      <c r="B38" s="610">
        <f t="array" ref="B38">VLOOKUP($A38,VA_DEMO,2,FALSE)</f>
        <v>38711</v>
      </c>
      <c r="C38" s="704">
        <f>vlookup(A38,'VA Data'!$A$5:$B$144,2,FALSE)</f>
        <v>17</v>
      </c>
      <c r="D38" s="612" t="s">
        <v>63</v>
      </c>
      <c r="E38" s="612">
        <f>IF(ISBLANK(vlookup(A38,'VA Data'!$C$5:$D$140,2,FALSE)),"NULL",(vlookup(A38,'VA Data'!$C$5:$D$140,2,FALSE)))</f>
        <v>10</v>
      </c>
      <c r="F38" s="612">
        <f>IF(ISBLANK(vlookup(A38,'VA Data'!$E$5:$F$140,2,FALSE)),"NULL",(vlookup(A38,'VA Data'!$E$5:$F$140,2,FALSE)))</f>
        <v>1</v>
      </c>
      <c r="G38" s="612" t="s">
        <v>63</v>
      </c>
      <c r="H38" s="671" t="s">
        <v>63</v>
      </c>
      <c r="I38" s="614">
        <f>IF(ISBLANK(vlookup(A38,'VA Data'!$G$5:$H$144,2,FALSE)),"NULL",(vlookup(A38,'VA Data'!$G$5:$H$144,2,FALSE)))</f>
        <v>7</v>
      </c>
      <c r="J38" s="615" t="s">
        <v>63</v>
      </c>
      <c r="K38" s="1061">
        <f>IF(ISBLANK(vlookup(A38,'VA Data'!$I$5:$J$140,2,FALSE)),"NULL",(vlookup(A38,'VA Data'!$I$5:$J$140,2,FALSE)))</f>
        <v>0</v>
      </c>
      <c r="L38" s="671" t="s">
        <v>63</v>
      </c>
      <c r="M38" s="614" t="s">
        <v>63</v>
      </c>
      <c r="N38" s="612" t="s">
        <v>63</v>
      </c>
      <c r="O38" s="612" t="s">
        <v>63</v>
      </c>
      <c r="P38" s="620">
        <f>ifna(vlookup(A38,'Population &amp; Church Numbers'!$A$2823:$D$2955,4,FALSE),"NULL")</f>
        <v>40</v>
      </c>
      <c r="Q38" s="674" t="s">
        <v>63</v>
      </c>
    </row>
    <row r="39">
      <c r="A39" s="609" t="s">
        <v>2236</v>
      </c>
      <c r="B39" s="610">
        <f t="array" ref="B39">VLOOKUP($A39,VA_DEMO,2,FALSE)</f>
        <v>24727</v>
      </c>
      <c r="C39" s="704">
        <f>vlookup(A39,'VA Data'!$A$5:$B$144,2,FALSE)</f>
        <v>10</v>
      </c>
      <c r="D39" s="612" t="s">
        <v>63</v>
      </c>
      <c r="E39" s="612">
        <f>IF(ISBLANK(vlookup(A39,'VA Data'!$C$5:$D$140,2,FALSE)),"NULL",(vlookup(A39,'VA Data'!$C$5:$D$140,2,FALSE)))</f>
        <v>2</v>
      </c>
      <c r="F39" s="612">
        <f>IF(ISBLANK(vlookup(A39,'VA Data'!$E$5:$F$140,2,FALSE)),"NULL",(vlookup(A39,'VA Data'!$E$5:$F$140,2,FALSE)))</f>
        <v>1</v>
      </c>
      <c r="G39" s="612" t="s">
        <v>63</v>
      </c>
      <c r="H39" s="671" t="s">
        <v>63</v>
      </c>
      <c r="I39" s="614">
        <f>IF(ISBLANK(vlookup(A39,'VA Data'!$G$5:$H$144,2,FALSE)),"NULL",(vlookup(A39,'VA Data'!$G$5:$H$144,2,FALSE)))</f>
        <v>0</v>
      </c>
      <c r="J39" s="615" t="s">
        <v>63</v>
      </c>
      <c r="K39" s="1061">
        <f>IF(ISBLANK(vlookup(A39,'VA Data'!$I$5:$J$140,2,FALSE)),"NULL",(vlookup(A39,'VA Data'!$I$5:$J$140,2,FALSE)))</f>
        <v>0.25</v>
      </c>
      <c r="L39" s="671" t="s">
        <v>63</v>
      </c>
      <c r="M39" s="614" t="s">
        <v>63</v>
      </c>
      <c r="N39" s="612" t="s">
        <v>63</v>
      </c>
      <c r="O39" s="612" t="s">
        <v>63</v>
      </c>
      <c r="P39" s="620">
        <f>ifna(vlookup(A39,'Population &amp; Church Numbers'!$A$2823:$D$2955,4,FALSE),"NULL")</f>
        <v>33</v>
      </c>
      <c r="Q39" s="674" t="s">
        <v>63</v>
      </c>
    </row>
    <row r="40">
      <c r="A40" s="609" t="s">
        <v>1072</v>
      </c>
      <c r="B40" s="610">
        <f t="array" ref="B40">VLOOKUP($A40,VA_DEMO,2,FALSE)</f>
        <v>15333</v>
      </c>
      <c r="C40" s="704">
        <f>vlookup(A40,'VA Data'!$A$5:$B$144,2,FALSE)</f>
        <v>21</v>
      </c>
      <c r="D40" s="612" t="s">
        <v>63</v>
      </c>
      <c r="E40" s="612">
        <f>IF(ISBLANK(vlookup(A40,'VA Data'!$C$5:$D$140,2,FALSE)),"NULL",(vlookup(A40,'VA Data'!$C$5:$D$140,2,FALSE)))</f>
        <v>19</v>
      </c>
      <c r="F40" s="612">
        <f>IF(ISBLANK(vlookup(A40,'VA Data'!$E$5:$F$140,2,FALSE)),"NULL",(vlookup(A40,'VA Data'!$E$5:$F$140,2,FALSE)))</f>
        <v>1</v>
      </c>
      <c r="G40" s="612" t="s">
        <v>63</v>
      </c>
      <c r="H40" s="671" t="s">
        <v>63</v>
      </c>
      <c r="I40" s="614">
        <f>IF(ISBLANK(vlookup(A40,'VA Data'!$G$5:$H$144,2,FALSE)),"NULL",(vlookup(A40,'VA Data'!$G$5:$H$144,2,FALSE)))</f>
        <v>4</v>
      </c>
      <c r="J40" s="615" t="s">
        <v>63</v>
      </c>
      <c r="K40" s="1061">
        <f>IF(ISBLANK(vlookup(A40,'VA Data'!$I$5:$J$140,2,FALSE)),"NULL",(vlookup(A40,'VA Data'!$I$5:$J$140,2,FALSE)))</f>
        <v>0.375</v>
      </c>
      <c r="L40" s="671" t="s">
        <v>63</v>
      </c>
      <c r="M40" s="614" t="s">
        <v>63</v>
      </c>
      <c r="N40" s="612" t="s">
        <v>63</v>
      </c>
      <c r="O40" s="612" t="s">
        <v>63</v>
      </c>
      <c r="P40" s="620">
        <f>ifna(vlookup(A40,'Population &amp; Church Numbers'!$A$2823:$D$2955,4,FALSE),"NULL")</f>
        <v>21</v>
      </c>
      <c r="Q40" s="674" t="s">
        <v>63</v>
      </c>
    </row>
    <row r="41">
      <c r="A41" s="609" t="s">
        <v>138</v>
      </c>
      <c r="B41" s="610">
        <f t="array" ref="B41">VLOOKUP($A41,VA_DEMO,2,FALSE)</f>
        <v>20552</v>
      </c>
      <c r="C41" s="704">
        <f>vlookup(A41,'VA Data'!$A$5:$B$144,2,FALSE)</f>
        <v>36</v>
      </c>
      <c r="D41" s="612" t="s">
        <v>63</v>
      </c>
      <c r="E41" s="612">
        <f>IF(ISBLANK(vlookup(A41,'VA Data'!$C$5:$D$140,2,FALSE)),"NULL",(vlookup(A41,'VA Data'!$C$5:$D$140,2,FALSE)))</f>
        <v>20</v>
      </c>
      <c r="F41" s="612">
        <f>IF(ISBLANK(vlookup(A41,'VA Data'!$E$5:$F$140,2,FALSE)),"NULL",(vlookup(A41,'VA Data'!$E$5:$F$140,2,FALSE)))</f>
        <v>6</v>
      </c>
      <c r="G41" s="612" t="s">
        <v>63</v>
      </c>
      <c r="H41" s="671" t="s">
        <v>63</v>
      </c>
      <c r="I41" s="614">
        <f>IF(ISBLANK(vlookup(A41,'VA Data'!$G$5:$H$144,2,FALSE)),"NULL",(vlookup(A41,'VA Data'!$G$5:$H$144,2,FALSE)))</f>
        <v>21</v>
      </c>
      <c r="J41" s="615" t="s">
        <v>63</v>
      </c>
      <c r="K41" s="1061">
        <f>IF(ISBLANK(vlookup(A41,'VA Data'!$I$5:$J$140,2,FALSE)),"NULL",(vlookup(A41,'VA Data'!$I$5:$J$140,2,FALSE)))</f>
        <v>0.067</v>
      </c>
      <c r="L41" s="671" t="s">
        <v>63</v>
      </c>
      <c r="M41" s="614" t="s">
        <v>63</v>
      </c>
      <c r="N41" s="612" t="s">
        <v>63</v>
      </c>
      <c r="O41" s="612" t="s">
        <v>63</v>
      </c>
      <c r="P41" s="620">
        <f>ifna(vlookup(A41,'Population &amp; Church Numbers'!$A$2823:$D$2955,4,FALSE),"NULL")</f>
        <v>16</v>
      </c>
      <c r="Q41" s="674" t="s">
        <v>63</v>
      </c>
    </row>
    <row r="42">
      <c r="A42" s="609" t="s">
        <v>2237</v>
      </c>
      <c r="B42" s="610">
        <f t="array" ref="B42">VLOOKUP($A42,VA_DEMO,2,FALSE)</f>
        <v>11391</v>
      </c>
      <c r="C42" s="704">
        <f>vlookup(A42,'VA Data'!$A$5:$B$144,2,FALSE)</f>
        <v>19</v>
      </c>
      <c r="D42" s="612" t="s">
        <v>63</v>
      </c>
      <c r="E42" s="612">
        <f>IF(ISBLANK(vlookup(A42,'VA Data'!$C$5:$D$140,2,FALSE)),"NULL",(vlookup(A42,'VA Data'!$C$5:$D$140,2,FALSE)))</f>
        <v>13</v>
      </c>
      <c r="F42" s="612">
        <f>IF(ISBLANK(vlookup(A42,'VA Data'!$E$5:$F$140,2,FALSE)),"NULL",(vlookup(A42,'VA Data'!$E$5:$F$140,2,FALSE)))</f>
        <v>3</v>
      </c>
      <c r="G42" s="612" t="s">
        <v>63</v>
      </c>
      <c r="H42" s="671" t="s">
        <v>63</v>
      </c>
      <c r="I42" s="614">
        <f>IF(ISBLANK(vlookup(A42,'VA Data'!$G$5:$H$144,2,FALSE)),"NULL",(vlookup(A42,'VA Data'!$G$5:$H$144,2,FALSE)))</f>
        <v>10</v>
      </c>
      <c r="J42" s="615" t="s">
        <v>63</v>
      </c>
      <c r="K42" s="1061">
        <f>IF(ISBLANK(vlookup(A42,'VA Data'!$I$5:$J$140,2,FALSE)),"NULL",(vlookup(A42,'VA Data'!$I$5:$J$140,2,FALSE)))</f>
        <v>0</v>
      </c>
      <c r="L42" s="671" t="s">
        <v>63</v>
      </c>
      <c r="M42" s="614" t="s">
        <v>63</v>
      </c>
      <c r="N42" s="612" t="s">
        <v>63</v>
      </c>
      <c r="O42" s="612" t="s">
        <v>63</v>
      </c>
      <c r="P42" s="620">
        <f>ifna(vlookup(A42,'Population &amp; Church Numbers'!$A$2823:$D$2955,4,FALSE),"NULL")</f>
        <v>22</v>
      </c>
      <c r="Q42" s="674" t="s">
        <v>63</v>
      </c>
    </row>
    <row r="43">
      <c r="A43" s="609" t="s">
        <v>1605</v>
      </c>
      <c r="B43" s="610">
        <f t="array" ref="B43">VLOOKUP($A43,VA_DEMO,2,FALSE)</f>
        <v>34022</v>
      </c>
      <c r="C43" s="704">
        <f>vlookup(A43,'VA Data'!$A$5:$B$144,2,FALSE)</f>
        <v>17</v>
      </c>
      <c r="D43" s="612" t="s">
        <v>63</v>
      </c>
      <c r="E43" s="612">
        <f>IF(ISBLANK(vlookup(A43,'VA Data'!$C$5:$D$140,2,FALSE)),"NULL",(vlookup(A43,'VA Data'!$C$5:$D$140,2,FALSE)))</f>
        <v>3</v>
      </c>
      <c r="F43" s="612">
        <f>IF(ISBLANK(vlookup(A43,'VA Data'!$E$5:$F$140,2,FALSE)),"NULL",(vlookup(A43,'VA Data'!$E$5:$F$140,2,FALSE)))</f>
        <v>4</v>
      </c>
      <c r="G43" s="612" t="s">
        <v>63</v>
      </c>
      <c r="H43" s="671" t="s">
        <v>63</v>
      </c>
      <c r="I43" s="614">
        <f>IF(ISBLANK(vlookup(A43,'VA Data'!$G$5:$H$144,2,FALSE)),"NULL",(vlookup(A43,'VA Data'!$G$5:$H$144,2,FALSE)))</f>
        <v>5</v>
      </c>
      <c r="J43" s="615" t="s">
        <v>63</v>
      </c>
      <c r="K43" s="1061">
        <f>IF(ISBLANK(vlookup(A43,'VA Data'!$I$5:$J$140,2,FALSE)),"NULL",(vlookup(A43,'VA Data'!$I$5:$J$140,2,FALSE)))</f>
        <v>0.222</v>
      </c>
      <c r="L43" s="671" t="s">
        <v>63</v>
      </c>
      <c r="M43" s="614" t="s">
        <v>63</v>
      </c>
      <c r="N43" s="612" t="s">
        <v>63</v>
      </c>
      <c r="O43" s="612" t="s">
        <v>63</v>
      </c>
      <c r="P43" s="620">
        <f>ifna(vlookup(A43,'Population &amp; Church Numbers'!$A$2823:$D$2955,4,FALSE),"NULL")</f>
        <v>81</v>
      </c>
      <c r="Q43" s="674" t="s">
        <v>63</v>
      </c>
    </row>
    <row r="44">
      <c r="A44" s="609" t="s">
        <v>2238</v>
      </c>
      <c r="B44" s="610">
        <f t="array" ref="B44">VLOOKUP($A44,VA_DEMO,2,FALSE)</f>
        <v>109979</v>
      </c>
      <c r="C44" s="704">
        <f>vlookup(A44,'VA Data'!$A$5:$B$144,2,FALSE)</f>
        <v>63</v>
      </c>
      <c r="D44" s="612" t="s">
        <v>63</v>
      </c>
      <c r="E44" s="612">
        <f>IF(ISBLANK(vlookup(A44,'VA Data'!$C$5:$D$140,2,FALSE)),"NULL",(vlookup(A44,'VA Data'!$C$5:$D$140,2,FALSE)))</f>
        <v>35</v>
      </c>
      <c r="F44" s="612">
        <f>IF(ISBLANK(vlookup(A44,'VA Data'!$E$5:$F$140,2,FALSE)),"NULL",(vlookup(A44,'VA Data'!$E$5:$F$140,2,FALSE)))</f>
        <v>6</v>
      </c>
      <c r="G44" s="612" t="s">
        <v>63</v>
      </c>
      <c r="H44" s="671" t="s">
        <v>63</v>
      </c>
      <c r="I44" s="614">
        <f>IF(ISBLANK(vlookup(A44,'VA Data'!$G$5:$H$144,2,FALSE)),"NULL",(vlookup(A44,'VA Data'!$G$5:$H$144,2,FALSE)))</f>
        <v>10</v>
      </c>
      <c r="J44" s="615" t="s">
        <v>63</v>
      </c>
      <c r="K44" s="1061">
        <f>IF(ISBLANK(vlookup(A44,'VA Data'!$I$5:$J$140,2,FALSE)),"NULL",(vlookup(A44,'VA Data'!$I$5:$J$140,2,FALSE)))</f>
        <v>0.375</v>
      </c>
      <c r="L44" s="671" t="s">
        <v>63</v>
      </c>
      <c r="M44" s="614" t="s">
        <v>63</v>
      </c>
      <c r="N44" s="612" t="s">
        <v>63</v>
      </c>
      <c r="O44" s="612" t="s">
        <v>63</v>
      </c>
      <c r="P44" s="620">
        <f>ifna(vlookup(A44,'Population &amp; Church Numbers'!$A$2823:$D$2955,4,FALSE),"NULL")</f>
        <v>116</v>
      </c>
      <c r="Q44" s="674" t="s">
        <v>63</v>
      </c>
    </row>
    <row r="45">
      <c r="A45" s="609" t="s">
        <v>2239</v>
      </c>
      <c r="B45" s="610">
        <f t="array" ref="B45">VLOOKUP($A45,VA_DEMO,2,FALSE)</f>
        <v>334389</v>
      </c>
      <c r="C45" s="704">
        <f>vlookup(A45,'VA Data'!$A$5:$B$144,2,FALSE)</f>
        <v>144</v>
      </c>
      <c r="D45" s="612" t="s">
        <v>63</v>
      </c>
      <c r="E45" s="612">
        <f>IF(ISBLANK(vlookup(A45,'VA Data'!$C$5:$D$140,2,FALSE)),"NULL",(vlookup(A45,'VA Data'!$C$5:$D$140,2,FALSE)))</f>
        <v>67</v>
      </c>
      <c r="F45" s="612">
        <f>IF(ISBLANK(vlookup(A45,'VA Data'!$E$5:$F$140,2,FALSE)),"NULL",(vlookup(A45,'VA Data'!$E$5:$F$140,2,FALSE)))</f>
        <v>45</v>
      </c>
      <c r="G45" s="612" t="s">
        <v>63</v>
      </c>
      <c r="H45" s="671" t="s">
        <v>63</v>
      </c>
      <c r="I45" s="614">
        <f>IF(ISBLANK(vlookup(A45,'VA Data'!$G$5:$H$144,2,FALSE)),"NULL",(vlookup(A45,'VA Data'!$G$5:$H$144,2,FALSE)))</f>
        <v>37</v>
      </c>
      <c r="J45" s="615" t="s">
        <v>63</v>
      </c>
      <c r="K45" s="1061">
        <f>IF(ISBLANK(vlookup(A45,'VA Data'!$I$5:$J$140,2,FALSE)),"NULL",(vlookup(A45,'VA Data'!$I$5:$J$140,2,FALSE)))</f>
        <v>0.188</v>
      </c>
      <c r="L45" s="671" t="s">
        <v>63</v>
      </c>
      <c r="M45" s="614" t="s">
        <v>63</v>
      </c>
      <c r="N45" s="612" t="s">
        <v>63</v>
      </c>
      <c r="O45" s="612" t="s">
        <v>63</v>
      </c>
      <c r="P45" s="620">
        <f>ifna(vlookup(A45,'Population &amp; Church Numbers'!$A$2823:$D$2955,4,FALSE),"NULL")</f>
        <v>184</v>
      </c>
      <c r="Q45" s="674" t="s">
        <v>63</v>
      </c>
    </row>
    <row r="46">
      <c r="A46" s="609" t="s">
        <v>140</v>
      </c>
      <c r="B46" s="610">
        <f t="array" ref="B46">VLOOKUP($A46,VA_DEMO,2,FALSE)</f>
        <v>50948</v>
      </c>
      <c r="C46" s="704">
        <f>vlookup(A46,'VA Data'!$A$5:$B$144,2,FALSE)</f>
        <v>88</v>
      </c>
      <c r="D46" s="612" t="s">
        <v>63</v>
      </c>
      <c r="E46" s="612">
        <f>IF(ISBLANK(vlookup(A46,'VA Data'!$C$5:$D$140,2,FALSE)),"NULL",(vlookup(A46,'VA Data'!$C$5:$D$140,2,FALSE)))</f>
        <v>48</v>
      </c>
      <c r="F46" s="612">
        <f>IF(ISBLANK(vlookup(A46,'VA Data'!$E$5:$F$140,2,FALSE)),"NULL",(vlookup(A46,'VA Data'!$E$5:$F$140,2,FALSE)))</f>
        <v>4</v>
      </c>
      <c r="G46" s="612" t="s">
        <v>63</v>
      </c>
      <c r="H46" s="671" t="s">
        <v>63</v>
      </c>
      <c r="I46" s="614">
        <f>IF(ISBLANK(vlookup(A46,'VA Data'!$G$5:$H$144,2,FALSE)),"NULL",(vlookup(A46,'VA Data'!$G$5:$H$144,2,FALSE)))</f>
        <v>24</v>
      </c>
      <c r="J46" s="615" t="s">
        <v>63</v>
      </c>
      <c r="K46" s="1061">
        <f>IF(ISBLANK(vlookup(A46,'VA Data'!$I$5:$J$140,2,FALSE)),"NULL",(vlookup(A46,'VA Data'!$I$5:$J$140,2,FALSE)))</f>
        <v>0.375</v>
      </c>
      <c r="L46" s="671" t="s">
        <v>63</v>
      </c>
      <c r="M46" s="614" t="s">
        <v>63</v>
      </c>
      <c r="N46" s="612" t="s">
        <v>63</v>
      </c>
      <c r="O46" s="612" t="s">
        <v>63</v>
      </c>
      <c r="P46" s="620">
        <f>ifna(vlookup(A46,'Population &amp; Church Numbers'!$A$2823:$D$2955,4,FALSE),"NULL")</f>
        <v>118</v>
      </c>
      <c r="Q46" s="674" t="s">
        <v>63</v>
      </c>
    </row>
    <row r="47">
      <c r="A47" s="609" t="s">
        <v>1684</v>
      </c>
      <c r="B47" s="610">
        <f t="array" ref="B47">VLOOKUP($A47,VA_DEMO,2,FALSE)</f>
        <v>2232</v>
      </c>
      <c r="C47" s="704">
        <f>vlookup(A47,'VA Data'!$A$5:$B$144,2,FALSE)</f>
        <v>0</v>
      </c>
      <c r="D47" s="612" t="s">
        <v>63</v>
      </c>
      <c r="E47" s="612" t="str">
        <f>IF(ISBLANK(vlookup(A47,'VA Data'!$C$5:$D$140,2,FALSE)),"NULL",(vlookup(A47,'VA Data'!$C$5:$D$140,2,FALSE)))</f>
        <v>NULL</v>
      </c>
      <c r="F47" s="612" t="str">
        <f>IF(ISBLANK(vlookup(A47,'VA Data'!$E$5:$F$140,2,FALSE)),"NULL",(vlookup(A47,'VA Data'!$E$5:$F$140,2,FALSE)))</f>
        <v>NULL</v>
      </c>
      <c r="G47" s="612" t="s">
        <v>63</v>
      </c>
      <c r="H47" s="671" t="s">
        <v>63</v>
      </c>
      <c r="I47" s="614">
        <f>IF(ISBLANK(vlookup(A47,'VA Data'!$G$5:$H$144,2,FALSE)),"NULL",(vlookup(A47,'VA Data'!$G$5:$H$144,2,FALSE)))</f>
        <v>0</v>
      </c>
      <c r="J47" s="615" t="s">
        <v>63</v>
      </c>
      <c r="K47" s="1061">
        <f>IF(ISBLANK(vlookup(A47,'VA Data'!$I$5:$J$140,2,FALSE)),"NULL",(vlookup(A47,'VA Data'!$I$5:$J$140,2,FALSE)))</f>
        <v>0</v>
      </c>
      <c r="L47" s="671" t="s">
        <v>63</v>
      </c>
      <c r="M47" s="614" t="s">
        <v>63</v>
      </c>
      <c r="N47" s="612" t="s">
        <v>63</v>
      </c>
      <c r="O47" s="612" t="s">
        <v>63</v>
      </c>
      <c r="P47" s="620">
        <f>ifna(vlookup(A47,'Population &amp; Church Numbers'!$A$2823:$D$2955,4,FALSE),"NULL")</f>
        <v>13</v>
      </c>
      <c r="Q47" s="674" t="s">
        <v>63</v>
      </c>
    </row>
    <row r="48">
      <c r="A48" s="609" t="s">
        <v>4207</v>
      </c>
      <c r="B48" s="610">
        <f t="array" ref="B48">VLOOKUP($A48,VA_DEMO,2,FALSE)</f>
        <v>38606</v>
      </c>
      <c r="C48" s="704">
        <f>vlookup(A48,'VA Data'!$A$5:$B$144,2,FALSE)</f>
        <v>15</v>
      </c>
      <c r="D48" s="612" t="s">
        <v>63</v>
      </c>
      <c r="E48" s="612">
        <f>IF(ISBLANK(vlookup(A48,'VA Data'!$C$5:$D$140,2,FALSE)),"NULL",(vlookup(A48,'VA Data'!$C$5:$D$140,2,FALSE)))</f>
        <v>12</v>
      </c>
      <c r="F48" s="612">
        <f>IF(ISBLANK(vlookup(A48,'VA Data'!$E$5:$F$140,2,FALSE)),"NULL",(vlookup(A48,'VA Data'!$E$5:$F$140,2,FALSE)))</f>
        <v>2</v>
      </c>
      <c r="G48" s="612" t="s">
        <v>63</v>
      </c>
      <c r="H48" s="671" t="s">
        <v>63</v>
      </c>
      <c r="I48" s="614">
        <f>IF(ISBLANK(vlookup(A48,'VA Data'!$G$5:$H$144,2,FALSE)),"NULL",(vlookup(A48,'VA Data'!$G$5:$H$144,2,FALSE)))</f>
        <v>8</v>
      </c>
      <c r="J48" s="615" t="s">
        <v>63</v>
      </c>
      <c r="K48" s="1061">
        <f>IF(ISBLANK(vlookup(A48,'VA Data'!$I$5:$J$140,2,FALSE)),"NULL",(vlookup(A48,'VA Data'!$I$5:$J$140,2,FALSE)))</f>
        <v>0</v>
      </c>
      <c r="L48" s="671" t="s">
        <v>63</v>
      </c>
      <c r="M48" s="614" t="s">
        <v>63</v>
      </c>
      <c r="N48" s="612" t="s">
        <v>63</v>
      </c>
      <c r="O48" s="612" t="s">
        <v>63</v>
      </c>
      <c r="P48" s="620">
        <f>ifna(vlookup(A48,'Population &amp; Church Numbers'!$A$2823:$D$2955,4,FALSE),"NULL")</f>
        <v>57</v>
      </c>
      <c r="Q48" s="674" t="s">
        <v>63</v>
      </c>
    </row>
    <row r="49">
      <c r="A49" s="609" t="s">
        <v>2242</v>
      </c>
      <c r="B49" s="610">
        <f t="array" ref="B49">VLOOKUP($A49,VA_DEMO,2,FALSE)</f>
        <v>78254</v>
      </c>
      <c r="C49" s="704">
        <f>vlookup(A49,'VA Data'!$A$5:$B$144,2,FALSE)</f>
        <v>25</v>
      </c>
      <c r="D49" s="612" t="s">
        <v>63</v>
      </c>
      <c r="E49" s="612">
        <f>IF(ISBLANK(vlookup(A49,'VA Data'!$C$5:$D$140,2,FALSE)),"NULL",(vlookup(A49,'VA Data'!$C$5:$D$140,2,FALSE)))</f>
        <v>2</v>
      </c>
      <c r="F49" s="612">
        <f>IF(ISBLANK(vlookup(A49,'VA Data'!$E$5:$F$140,2,FALSE)),"NULL",(vlookup(A49,'VA Data'!$E$5:$F$140,2,FALSE)))</f>
        <v>19</v>
      </c>
      <c r="G49" s="612" t="s">
        <v>63</v>
      </c>
      <c r="H49" s="671" t="s">
        <v>63</v>
      </c>
      <c r="I49" s="614">
        <f>IF(ISBLANK(vlookup(A49,'VA Data'!$G$5:$H$144,2,FALSE)),"NULL",(vlookup(A49,'VA Data'!$G$5:$H$144,2,FALSE)))</f>
        <v>8</v>
      </c>
      <c r="J49" s="615" t="s">
        <v>63</v>
      </c>
      <c r="K49" s="1061">
        <f>IF(ISBLANK(vlookup(A49,'VA Data'!$I$5:$J$140,2,FALSE)),"NULL",(vlookup(A49,'VA Data'!$I$5:$J$140,2,FALSE)))</f>
        <v>0.4</v>
      </c>
      <c r="L49" s="671" t="s">
        <v>63</v>
      </c>
      <c r="M49" s="614" t="s">
        <v>63</v>
      </c>
      <c r="N49" s="612" t="s">
        <v>63</v>
      </c>
      <c r="O49" s="612" t="s">
        <v>63</v>
      </c>
      <c r="P49" s="620">
        <f>ifna(vlookup(A49,'Population &amp; Church Numbers'!$A$2823:$D$2955,4,FALSE),"NULL")</f>
        <v>45</v>
      </c>
      <c r="Q49" s="674" t="s">
        <v>63</v>
      </c>
    </row>
    <row r="50">
      <c r="A50" s="609" t="s">
        <v>4208</v>
      </c>
      <c r="B50" s="610">
        <f t="array" ref="B50">VLOOKUP($A50,VA_DEMO,2,FALSE)</f>
        <v>6608</v>
      </c>
      <c r="C50" s="704">
        <f>vlookup(A50,'VA Data'!$A$5:$B$144,2,FALSE)</f>
        <v>9</v>
      </c>
      <c r="D50" s="612" t="s">
        <v>63</v>
      </c>
      <c r="E50" s="612">
        <f>IF(ISBLANK(vlookup(A50,'VA Data'!$C$5:$D$140,2,FALSE)),"NULL",(vlookup(A50,'VA Data'!$C$5:$D$140,2,FALSE)))</f>
        <v>9</v>
      </c>
      <c r="F50" s="612" t="str">
        <f>IF(ISBLANK(vlookup(A50,'VA Data'!$E$5:$F$140,2,FALSE)),"NULL",(vlookup(A50,'VA Data'!$E$5:$F$140,2,FALSE)))</f>
        <v>NULL</v>
      </c>
      <c r="G50" s="612" t="s">
        <v>63</v>
      </c>
      <c r="H50" s="671" t="s">
        <v>63</v>
      </c>
      <c r="I50" s="614">
        <f>IF(ISBLANK(vlookup(A50,'VA Data'!$G$5:$H$144,2,FALSE)),"NULL",(vlookup(A50,'VA Data'!$G$5:$H$144,2,FALSE)))</f>
        <v>2</v>
      </c>
      <c r="J50" s="615" t="s">
        <v>63</v>
      </c>
      <c r="K50" s="1061">
        <f>IF(ISBLANK(vlookup(A50,'VA Data'!$I$5:$J$140,2,FALSE)),"NULL",(vlookup(A50,'VA Data'!$I$5:$J$140,2,FALSE)))</f>
        <v>0</v>
      </c>
      <c r="L50" s="671" t="s">
        <v>63</v>
      </c>
      <c r="M50" s="614" t="s">
        <v>63</v>
      </c>
      <c r="N50" s="612" t="s">
        <v>63</v>
      </c>
      <c r="O50" s="612" t="s">
        <v>63</v>
      </c>
      <c r="P50" s="620">
        <f>ifna(vlookup(A50,'Population &amp; Church Numbers'!$A$2823:$D$2955,4,FALSE),"NULL")</f>
        <v>14</v>
      </c>
      <c r="Q50" s="674" t="s">
        <v>63</v>
      </c>
    </row>
    <row r="51">
      <c r="A51" s="609" t="s">
        <v>2244</v>
      </c>
      <c r="B51" s="610">
        <f t="array" ref="B51">VLOOKUP($A51,VA_DEMO,2,FALSE)</f>
        <v>26723</v>
      </c>
      <c r="C51" s="704">
        <f>vlookup(A51,'VA Data'!$A$5:$B$144,2,FALSE)</f>
        <v>11</v>
      </c>
      <c r="D51" s="612" t="s">
        <v>63</v>
      </c>
      <c r="E51" s="612">
        <f>IF(ISBLANK(vlookup(A51,'VA Data'!$C$5:$D$140,2,FALSE)),"NULL",(vlookup(A51,'VA Data'!$C$5:$D$140,2,FALSE)))</f>
        <v>3</v>
      </c>
      <c r="F51" s="612">
        <f>IF(ISBLANK(vlookup(A51,'VA Data'!$E$5:$F$140,2,FALSE)),"NULL",(vlookup(A51,'VA Data'!$E$5:$F$140,2,FALSE)))</f>
        <v>4</v>
      </c>
      <c r="G51" s="612" t="s">
        <v>63</v>
      </c>
      <c r="H51" s="671" t="s">
        <v>63</v>
      </c>
      <c r="I51" s="614">
        <f>IF(ISBLANK(vlookup(A51,'VA Data'!$G$5:$H$144,2,FALSE)),"NULL",(vlookup(A51,'VA Data'!$G$5:$H$144,2,FALSE)))</f>
        <v>1</v>
      </c>
      <c r="J51" s="615" t="s">
        <v>63</v>
      </c>
      <c r="K51" s="1061">
        <f>IF(ISBLANK(vlookup(A51,'VA Data'!$I$5:$J$140,2,FALSE)),"NULL",(vlookup(A51,'VA Data'!$I$5:$J$140,2,FALSE)))</f>
        <v>0</v>
      </c>
      <c r="L51" s="671" t="s">
        <v>63</v>
      </c>
      <c r="M51" s="614" t="s">
        <v>63</v>
      </c>
      <c r="N51" s="612" t="s">
        <v>63</v>
      </c>
      <c r="O51" s="612" t="s">
        <v>63</v>
      </c>
      <c r="P51" s="620">
        <f>ifna(vlookup(A51,'Population &amp; Church Numbers'!$A$2823:$D$2955,4,FALSE),"NULL")</f>
        <v>25</v>
      </c>
      <c r="Q51" s="674" t="s">
        <v>63</v>
      </c>
    </row>
    <row r="52">
      <c r="A52" s="609" t="s">
        <v>2245</v>
      </c>
      <c r="B52" s="610">
        <f t="array" ref="B52">VLOOKUP($A52,VA_DEMO,2,FALSE)</f>
        <v>17810</v>
      </c>
      <c r="C52" s="704">
        <f>vlookup(A52,'VA Data'!$A$5:$B$144,2,FALSE)</f>
        <v>5</v>
      </c>
      <c r="D52" s="612" t="s">
        <v>63</v>
      </c>
      <c r="E52" s="612">
        <f>IF(ISBLANK(vlookup(A52,'VA Data'!$C$5:$D$140,2,FALSE)),"NULL",(vlookup(A52,'VA Data'!$C$5:$D$140,2,FALSE)))</f>
        <v>3</v>
      </c>
      <c r="F52" s="612" t="str">
        <f>IF(ISBLANK(vlookup(A52,'VA Data'!$E$5:$F$140,2,FALSE)),"NULL",(vlookup(A52,'VA Data'!$E$5:$F$140,2,FALSE)))</f>
        <v>NULL</v>
      </c>
      <c r="G52" s="612" t="s">
        <v>63</v>
      </c>
      <c r="H52" s="671" t="s">
        <v>63</v>
      </c>
      <c r="I52" s="614">
        <f>IF(ISBLANK(vlookup(A52,'VA Data'!$G$5:$H$144,2,FALSE)),"NULL",(vlookup(A52,'VA Data'!$G$5:$H$144,2,FALSE)))</f>
        <v>3</v>
      </c>
      <c r="J52" s="615" t="s">
        <v>63</v>
      </c>
      <c r="K52" s="1061">
        <f>IF(ISBLANK(vlookup(A52,'VA Data'!$I$5:$J$140,2,FALSE)),"NULL",(vlookup(A52,'VA Data'!$I$5:$J$140,2,FALSE)))</f>
        <v>0</v>
      </c>
      <c r="L52" s="671" t="s">
        <v>63</v>
      </c>
      <c r="M52" s="614" t="s">
        <v>63</v>
      </c>
      <c r="N52" s="612" t="s">
        <v>63</v>
      </c>
      <c r="O52" s="612" t="s">
        <v>63</v>
      </c>
      <c r="P52" s="620">
        <f>ifna(vlookup(A52,'Population &amp; Church Numbers'!$A$2823:$D$2955,4,FALSE),"NULL")</f>
        <v>29</v>
      </c>
      <c r="Q52" s="674" t="s">
        <v>63</v>
      </c>
    </row>
    <row r="53">
      <c r="A53" s="609" t="s">
        <v>650</v>
      </c>
      <c r="B53" s="610">
        <f t="array" ref="B53">VLOOKUP($A53,VA_DEMO,2,FALSE)</f>
        <v>10919</v>
      </c>
      <c r="C53" s="704">
        <f>vlookup(A53,'VA Data'!$A$5:$B$144,2,FALSE)</f>
        <v>4</v>
      </c>
      <c r="D53" s="612" t="s">
        <v>63</v>
      </c>
      <c r="E53" s="612">
        <f>IF(ISBLANK(vlookup(A53,'VA Data'!$C$5:$D$140,2,FALSE)),"NULL",(vlookup(A53,'VA Data'!$C$5:$D$140,2,FALSE)))</f>
        <v>2</v>
      </c>
      <c r="F53" s="612" t="str">
        <f>IF(ISBLANK(vlookup(A53,'VA Data'!$E$5:$F$140,2,FALSE)),"NULL",(vlookup(A53,'VA Data'!$E$5:$F$140,2,FALSE)))</f>
        <v>NULL</v>
      </c>
      <c r="G53" s="612" t="s">
        <v>63</v>
      </c>
      <c r="H53" s="671" t="s">
        <v>63</v>
      </c>
      <c r="I53" s="614">
        <f>IF(ISBLANK(vlookup(A53,'VA Data'!$G$5:$H$144,2,FALSE)),"NULL",(vlookup(A53,'VA Data'!$G$5:$H$144,2,FALSE)))</f>
        <v>0</v>
      </c>
      <c r="J53" s="615" t="s">
        <v>63</v>
      </c>
      <c r="K53" s="1061">
        <f>IF(ISBLANK(vlookup(A53,'VA Data'!$I$5:$J$140,2,FALSE)),"NULL",(vlookup(A53,'VA Data'!$I$5:$J$140,2,FALSE)))</f>
        <v>0</v>
      </c>
      <c r="L53" s="671" t="s">
        <v>63</v>
      </c>
      <c r="M53" s="614" t="s">
        <v>63</v>
      </c>
      <c r="N53" s="612" t="s">
        <v>63</v>
      </c>
      <c r="O53" s="612" t="s">
        <v>63</v>
      </c>
      <c r="P53" s="620">
        <f>ifna(vlookup(A53,'Population &amp; Church Numbers'!$A$2823:$D$2955,4,FALSE),"NULL")</f>
        <v>26</v>
      </c>
      <c r="Q53" s="674" t="s">
        <v>63</v>
      </c>
    </row>
    <row r="54">
      <c r="A54" s="609" t="s">
        <v>147</v>
      </c>
      <c r="B54" s="610">
        <f t="array" ref="B54">VLOOKUP($A54,VA_DEMO,2,FALSE)</f>
        <v>22173</v>
      </c>
      <c r="C54" s="704">
        <f>vlookup(A54,'VA Data'!$A$5:$B$144,2,FALSE)</f>
        <v>72</v>
      </c>
      <c r="D54" s="612" t="s">
        <v>63</v>
      </c>
      <c r="E54" s="612">
        <f>IF(ISBLANK(vlookup(A54,'VA Data'!$C$5:$D$140,2,FALSE)),"NULL",(vlookup(A54,'VA Data'!$C$5:$D$140,2,FALSE)))</f>
        <v>43</v>
      </c>
      <c r="F54" s="612">
        <f>IF(ISBLANK(vlookup(A54,'VA Data'!$E$5:$F$140,2,FALSE)),"NULL",(vlookup(A54,'VA Data'!$E$5:$F$140,2,FALSE)))</f>
        <v>9</v>
      </c>
      <c r="G54" s="612" t="s">
        <v>63</v>
      </c>
      <c r="H54" s="671" t="s">
        <v>63</v>
      </c>
      <c r="I54" s="614">
        <f>IF(ISBLANK(vlookup(A54,'VA Data'!$G$5:$H$144,2,FALSE)),"NULL",(vlookup(A54,'VA Data'!$G$5:$H$144,2,FALSE)))</f>
        <v>28</v>
      </c>
      <c r="J54" s="615" t="s">
        <v>63</v>
      </c>
      <c r="K54" s="1061">
        <f>IF(ISBLANK(vlookup(A54,'VA Data'!$I$5:$J$140,2,FALSE)),"NULL",(vlookup(A54,'VA Data'!$I$5:$J$140,2,FALSE)))</f>
        <v>0.542</v>
      </c>
      <c r="L54" s="671" t="s">
        <v>63</v>
      </c>
      <c r="M54" s="614" t="s">
        <v>63</v>
      </c>
      <c r="N54" s="612" t="s">
        <v>63</v>
      </c>
      <c r="O54" s="612" t="s">
        <v>63</v>
      </c>
      <c r="P54" s="620">
        <f>ifna(vlookup(A54,'Population &amp; Church Numbers'!$A$2823:$D$2955,4,FALSE),"NULL")</f>
        <v>23</v>
      </c>
      <c r="Q54" s="674" t="s">
        <v>63</v>
      </c>
    </row>
    <row r="55">
      <c r="A55" s="609" t="s">
        <v>2247</v>
      </c>
      <c r="B55" s="610">
        <f t="array" ref="B55">VLOOKUP($A55,VA_DEMO,2,FALSE)</f>
        <v>420959</v>
      </c>
      <c r="C55" s="704">
        <f>vlookup(A55,'VA Data'!$A$5:$B$144,2,FALSE)</f>
        <v>42</v>
      </c>
      <c r="D55" s="612" t="s">
        <v>63</v>
      </c>
      <c r="E55" s="612">
        <f>IF(ISBLANK(vlookup(A55,'VA Data'!$C$5:$D$140,2,FALSE)),"NULL",(vlookup(A55,'VA Data'!$C$5:$D$140,2,FALSE)))</f>
        <v>24</v>
      </c>
      <c r="F55" s="612">
        <f>IF(ISBLANK(vlookup(A55,'VA Data'!$E$5:$F$140,2,FALSE)),"NULL",(vlookup(A55,'VA Data'!$E$5:$F$140,2,FALSE)))</f>
        <v>9</v>
      </c>
      <c r="G55" s="612" t="s">
        <v>63</v>
      </c>
      <c r="H55" s="671" t="s">
        <v>63</v>
      </c>
      <c r="I55" s="614">
        <f>IF(ISBLANK(vlookup(A55,'VA Data'!$G$5:$H$144,2,FALSE)),"NULL",(vlookup(A55,'VA Data'!$G$5:$H$144,2,FALSE)))</f>
        <v>21</v>
      </c>
      <c r="J55" s="615" t="s">
        <v>63</v>
      </c>
      <c r="K55" s="1061">
        <f>IF(ISBLANK(vlookup(A55,'VA Data'!$I$5:$J$140,2,FALSE)),"NULL",(vlookup(A55,'VA Data'!$I$5:$J$140,2,FALSE)))</f>
        <v>0.227</v>
      </c>
      <c r="L55" s="671" t="s">
        <v>63</v>
      </c>
      <c r="M55" s="614" t="s">
        <v>63</v>
      </c>
      <c r="N55" s="612" t="s">
        <v>63</v>
      </c>
      <c r="O55" s="612" t="s">
        <v>63</v>
      </c>
      <c r="P55" s="620">
        <f>ifna(vlookup(A55,'Population &amp; Church Numbers'!$A$2823:$D$2955,4,FALSE),"NULL")</f>
        <v>125</v>
      </c>
      <c r="Q55" s="674" t="s">
        <v>63</v>
      </c>
    </row>
    <row r="56">
      <c r="A56" s="609" t="s">
        <v>908</v>
      </c>
      <c r="B56" s="610">
        <f t="array" ref="B56">VLOOKUP($A56,VA_DEMO,2,FALSE)</f>
        <v>37596</v>
      </c>
      <c r="C56" s="704">
        <f>vlookup(A56,'VA Data'!$A$5:$B$144,2,FALSE)</f>
        <v>21</v>
      </c>
      <c r="D56" s="612" t="s">
        <v>63</v>
      </c>
      <c r="E56" s="612">
        <f>IF(ISBLANK(vlookup(A56,'VA Data'!$C$5:$D$140,2,FALSE)),"NULL",(vlookup(A56,'VA Data'!$C$5:$D$140,2,FALSE)))</f>
        <v>5</v>
      </c>
      <c r="F56" s="612">
        <f>IF(ISBLANK(vlookup(A56,'VA Data'!$E$5:$F$140,2,FALSE)),"NULL",(vlookup(A56,'VA Data'!$E$5:$F$140,2,FALSE)))</f>
        <v>2</v>
      </c>
      <c r="G56" s="612" t="s">
        <v>63</v>
      </c>
      <c r="H56" s="671" t="s">
        <v>63</v>
      </c>
      <c r="I56" s="614">
        <f>IF(ISBLANK(vlookup(A56,'VA Data'!$G$5:$H$144,2,FALSE)),"NULL",(vlookup(A56,'VA Data'!$G$5:$H$144,2,FALSE)))</f>
        <v>3</v>
      </c>
      <c r="J56" s="615" t="s">
        <v>63</v>
      </c>
      <c r="K56" s="1061">
        <f>IF(ISBLANK(vlookup(A56,'VA Data'!$I$5:$J$140,2,FALSE)),"NULL",(vlookup(A56,'VA Data'!$I$5:$J$140,2,FALSE)))</f>
        <v>0.222</v>
      </c>
      <c r="L56" s="671" t="s">
        <v>63</v>
      </c>
      <c r="M56" s="614" t="s">
        <v>63</v>
      </c>
      <c r="N56" s="612" t="s">
        <v>63</v>
      </c>
      <c r="O56" s="612" t="s">
        <v>63</v>
      </c>
      <c r="P56" s="620">
        <f>ifna(vlookup(A56,'Population &amp; Church Numbers'!$A$2823:$D$2955,4,FALSE),"NULL")</f>
        <v>58</v>
      </c>
      <c r="Q56" s="674" t="s">
        <v>63</v>
      </c>
    </row>
    <row r="57">
      <c r="A57" s="609" t="s">
        <v>2248</v>
      </c>
      <c r="B57" s="610">
        <f t="array" ref="B57">VLOOKUP($A57,VA_DEMO,2,FALSE)</f>
        <v>11936</v>
      </c>
      <c r="C57" s="704">
        <f>vlookup(A57,'VA Data'!$A$5:$B$144,2,FALSE)</f>
        <v>8</v>
      </c>
      <c r="D57" s="612" t="s">
        <v>63</v>
      </c>
      <c r="E57" s="612">
        <f>IF(ISBLANK(vlookup(A57,'VA Data'!$C$5:$D$140,2,FALSE)),"NULL",(vlookup(A57,'VA Data'!$C$5:$D$140,2,FALSE)))</f>
        <v>3</v>
      </c>
      <c r="F57" s="612">
        <f>IF(ISBLANK(vlookup(A57,'VA Data'!$E$5:$F$140,2,FALSE)),"NULL",(vlookup(A57,'VA Data'!$E$5:$F$140,2,FALSE)))</f>
        <v>1</v>
      </c>
      <c r="G57" s="612" t="s">
        <v>63</v>
      </c>
      <c r="H57" s="671" t="s">
        <v>63</v>
      </c>
      <c r="I57" s="614">
        <f>IF(ISBLANK(vlookup(A57,'VA Data'!$G$5:$H$144,2,FALSE)),"NULL",(vlookup(A57,'VA Data'!$G$5:$H$144,2,FALSE)))</f>
        <v>4</v>
      </c>
      <c r="J57" s="615" t="s">
        <v>63</v>
      </c>
      <c r="K57" s="1061">
        <f>IF(ISBLANK(vlookup(A57,'VA Data'!$I$5:$J$140,2,FALSE)),"NULL",(vlookup(A57,'VA Data'!$I$5:$J$140,2,FALSE)))</f>
        <v>0.5</v>
      </c>
      <c r="L57" s="671" t="s">
        <v>63</v>
      </c>
      <c r="M57" s="614" t="s">
        <v>63</v>
      </c>
      <c r="N57" s="612" t="s">
        <v>63</v>
      </c>
      <c r="O57" s="612" t="s">
        <v>63</v>
      </c>
      <c r="P57" s="620">
        <f>ifna(vlookup(A57,'Population &amp; Church Numbers'!$A$2823:$D$2955,4,FALSE),"NULL")</f>
        <v>35</v>
      </c>
      <c r="Q57" s="674" t="s">
        <v>63</v>
      </c>
    </row>
    <row r="58">
      <c r="A58" s="609" t="s">
        <v>151</v>
      </c>
      <c r="B58" s="610">
        <f t="array" ref="B58">VLOOKUP($A58,VA_DEMO,2,FALSE)</f>
        <v>13837</v>
      </c>
      <c r="C58" s="704">
        <f>vlookup(A58,'VA Data'!$A$5:$B$144,2,FALSE)</f>
        <v>13</v>
      </c>
      <c r="D58" s="612" t="s">
        <v>63</v>
      </c>
      <c r="E58" s="612">
        <f>IF(ISBLANK(vlookup(A58,'VA Data'!$C$5:$D$140,2,FALSE)),"NULL",(vlookup(A58,'VA Data'!$C$5:$D$140,2,FALSE)))</f>
        <v>5</v>
      </c>
      <c r="F58" s="612">
        <f>IF(ISBLANK(vlookup(A58,'VA Data'!$E$5:$F$140,2,FALSE)),"NULL",(vlookup(A58,'VA Data'!$E$5:$F$140,2,FALSE)))</f>
        <v>4</v>
      </c>
      <c r="G58" s="612" t="s">
        <v>63</v>
      </c>
      <c r="H58" s="671" t="s">
        <v>63</v>
      </c>
      <c r="I58" s="614">
        <f>IF(ISBLANK(vlookup(A58,'VA Data'!$G$5:$H$144,2,FALSE)),"NULL",(vlookup(A58,'VA Data'!$G$5:$H$144,2,FALSE)))</f>
        <v>1</v>
      </c>
      <c r="J58" s="615" t="s">
        <v>63</v>
      </c>
      <c r="K58" s="1061">
        <f>IF(ISBLANK(vlookup(A58,'VA Data'!$I$5:$J$140,2,FALSE)),"NULL",(vlookup(A58,'VA Data'!$I$5:$J$140,2,FALSE)))</f>
        <v>0</v>
      </c>
      <c r="L58" s="671" t="s">
        <v>63</v>
      </c>
      <c r="M58" s="614" t="s">
        <v>63</v>
      </c>
      <c r="N58" s="612" t="s">
        <v>63</v>
      </c>
      <c r="O58" s="612" t="s">
        <v>63</v>
      </c>
      <c r="P58" s="620">
        <f>ifna(vlookup(A58,'Population &amp; Church Numbers'!$A$2823:$D$2955,4,FALSE),"NULL")</f>
        <v>22</v>
      </c>
      <c r="Q58" s="674" t="s">
        <v>63</v>
      </c>
    </row>
    <row r="59">
      <c r="A59" s="609" t="s">
        <v>2249</v>
      </c>
      <c r="B59" s="610">
        <f t="array" ref="B59">VLOOKUP($A59,VA_DEMO,2,FALSE)</f>
        <v>8533</v>
      </c>
      <c r="C59" s="704">
        <f>vlookup(A59,'VA Data'!$A$5:$B$144,2,FALSE)</f>
        <v>6</v>
      </c>
      <c r="D59" s="612" t="s">
        <v>63</v>
      </c>
      <c r="E59" s="612">
        <f>IF(ISBLANK(vlookup(A59,'VA Data'!$C$5:$D$140,2,FALSE)),"NULL",(vlookup(A59,'VA Data'!$C$5:$D$140,2,FALSE)))</f>
        <v>5</v>
      </c>
      <c r="F59" s="612">
        <f>IF(ISBLANK(vlookup(A59,'VA Data'!$E$5:$F$140,2,FALSE)),"NULL",(vlookup(A59,'VA Data'!$E$5:$F$140,2,FALSE)))</f>
        <v>1</v>
      </c>
      <c r="G59" s="612" t="s">
        <v>63</v>
      </c>
      <c r="H59" s="671" t="s">
        <v>63</v>
      </c>
      <c r="I59" s="614">
        <f>IF(ISBLANK(vlookup(A59,'VA Data'!$G$5:$H$144,2,FALSE)),"NULL",(vlookup(A59,'VA Data'!$G$5:$H$144,2,FALSE)))</f>
        <v>1</v>
      </c>
      <c r="J59" s="615" t="s">
        <v>63</v>
      </c>
      <c r="K59" s="1061">
        <f>IF(ISBLANK(vlookup(A59,'VA Data'!$I$5:$J$140,2,FALSE)),"NULL",(vlookup(A59,'VA Data'!$I$5:$J$140,2,FALSE)))</f>
        <v>0</v>
      </c>
      <c r="L59" s="671" t="s">
        <v>63</v>
      </c>
      <c r="M59" s="614" t="s">
        <v>63</v>
      </c>
      <c r="N59" s="612" t="s">
        <v>63</v>
      </c>
      <c r="O59" s="612" t="s">
        <v>63</v>
      </c>
      <c r="P59" s="620">
        <f>ifna(vlookup(A59,'Population &amp; Church Numbers'!$A$2823:$D$2955,4,FALSE),"NULL")</f>
        <v>24</v>
      </c>
      <c r="Q59" s="674" t="s">
        <v>63</v>
      </c>
    </row>
    <row r="60">
      <c r="A60" s="609" t="s">
        <v>381</v>
      </c>
      <c r="B60" s="610">
        <f t="array" ref="B60">VLOOKUP($A60,VA_DEMO,2,FALSE)</f>
        <v>30319</v>
      </c>
      <c r="C60" s="704">
        <f>vlookup(A60,'VA Data'!$A$5:$B$144,2,FALSE)</f>
        <v>17</v>
      </c>
      <c r="D60" s="612" t="s">
        <v>63</v>
      </c>
      <c r="E60" s="612">
        <f>IF(ISBLANK(vlookup(A60,'VA Data'!$C$5:$D$140,2,FALSE)),"NULL",(vlookup(A60,'VA Data'!$C$5:$D$140,2,FALSE)))</f>
        <v>10</v>
      </c>
      <c r="F60" s="612" t="str">
        <f>IF(ISBLANK(vlookup(A60,'VA Data'!$E$5:$F$140,2,FALSE)),"NULL",(vlookup(A60,'VA Data'!$E$5:$F$140,2,FALSE)))</f>
        <v>NULL</v>
      </c>
      <c r="G60" s="612" t="s">
        <v>63</v>
      </c>
      <c r="H60" s="671" t="s">
        <v>63</v>
      </c>
      <c r="I60" s="614">
        <f>IF(ISBLANK(vlookup(A60,'VA Data'!$G$5:$H$144,2,FALSE)),"NULL",(vlookup(A60,'VA Data'!$G$5:$H$144,2,FALSE)))</f>
        <v>4</v>
      </c>
      <c r="J60" s="615" t="s">
        <v>63</v>
      </c>
      <c r="K60" s="1061">
        <f>IF(ISBLANK(vlookup(A60,'VA Data'!$I$5:$J$140,2,FALSE)),"NULL",(vlookup(A60,'VA Data'!$I$5:$J$140,2,FALSE)))</f>
        <v>0.133</v>
      </c>
      <c r="L60" s="671" t="s">
        <v>63</v>
      </c>
      <c r="M60" s="614" t="s">
        <v>63</v>
      </c>
      <c r="N60" s="612" t="s">
        <v>63</v>
      </c>
      <c r="O60" s="612" t="s">
        <v>63</v>
      </c>
      <c r="P60" s="620">
        <f>ifna(vlookup(A60,'Population &amp; Church Numbers'!$A$2823:$D$2955,4,FALSE),"NULL")</f>
        <v>59</v>
      </c>
      <c r="Q60" s="674" t="s">
        <v>63</v>
      </c>
    </row>
    <row r="61">
      <c r="A61" s="609" t="s">
        <v>281</v>
      </c>
      <c r="B61" s="610">
        <f t="array" ref="B61">VLOOKUP($A61,VA_DEMO,2,FALSE)</f>
        <v>10625</v>
      </c>
      <c r="C61" s="704">
        <f>vlookup(A61,'VA Data'!$A$5:$B$144,2,FALSE)</f>
        <v>2</v>
      </c>
      <c r="D61" s="612" t="s">
        <v>63</v>
      </c>
      <c r="E61" s="612">
        <f>IF(ISBLANK(vlookup(A61,'VA Data'!$C$5:$D$140,2,FALSE)),"NULL",(vlookup(A61,'VA Data'!$C$5:$D$140,2,FALSE)))</f>
        <v>2</v>
      </c>
      <c r="F61" s="612" t="str">
        <f>IF(ISBLANK(vlookup(A61,'VA Data'!$E$5:$F$140,2,FALSE)),"NULL",(vlookup(A61,'VA Data'!$E$5:$F$140,2,FALSE)))</f>
        <v>NULL</v>
      </c>
      <c r="G61" s="612" t="s">
        <v>63</v>
      </c>
      <c r="H61" s="671" t="s">
        <v>63</v>
      </c>
      <c r="I61" s="614">
        <f>IF(ISBLANK(vlookup(A61,'VA Data'!$G$5:$H$144,2,FALSE)),"NULL",(vlookup(A61,'VA Data'!$G$5:$H$144,2,FALSE)))</f>
        <v>0</v>
      </c>
      <c r="J61" s="615" t="s">
        <v>63</v>
      </c>
      <c r="K61" s="1061">
        <f>IF(ISBLANK(vlookup(A61,'VA Data'!$I$5:$J$140,2,FALSE)),"NULL",(vlookup(A61,'VA Data'!$I$5:$J$140,2,FALSE)))</f>
        <v>0</v>
      </c>
      <c r="L61" s="671" t="s">
        <v>63</v>
      </c>
      <c r="M61" s="614" t="s">
        <v>63</v>
      </c>
      <c r="N61" s="612" t="s">
        <v>63</v>
      </c>
      <c r="O61" s="612" t="s">
        <v>63</v>
      </c>
      <c r="P61" s="620">
        <f>ifna(vlookup(A61,'Population &amp; Church Numbers'!$A$2823:$D$2955,4,FALSE),"NULL")</f>
        <v>17</v>
      </c>
      <c r="Q61" s="674" t="s">
        <v>63</v>
      </c>
    </row>
    <row r="62">
      <c r="A62" s="609" t="s">
        <v>157</v>
      </c>
      <c r="B62" s="610">
        <f t="array" ref="B62">VLOOKUP($A62,VA_DEMO,2,FALSE)</f>
        <v>99721</v>
      </c>
      <c r="C62" s="704">
        <f>vlookup(A62,'VA Data'!$A$5:$B$144,2,FALSE)</f>
        <v>18</v>
      </c>
      <c r="D62" s="612" t="s">
        <v>63</v>
      </c>
      <c r="E62" s="612">
        <f>IF(ISBLANK(vlookup(A62,'VA Data'!$C$5:$D$140,2,FALSE)),"NULL",(vlookup(A62,'VA Data'!$C$5:$D$140,2,FALSE)))</f>
        <v>6</v>
      </c>
      <c r="F62" s="612">
        <f>IF(ISBLANK(vlookup(A62,'VA Data'!$E$5:$F$140,2,FALSE)),"NULL",(vlookup(A62,'VA Data'!$E$5:$F$140,2,FALSE)))</f>
        <v>2</v>
      </c>
      <c r="G62" s="612" t="s">
        <v>63</v>
      </c>
      <c r="H62" s="671" t="s">
        <v>63</v>
      </c>
      <c r="I62" s="614">
        <f>IF(ISBLANK(vlookup(A62,'VA Data'!$G$5:$H$144,2,FALSE)),"NULL",(vlookup(A62,'VA Data'!$G$5:$H$144,2,FALSE)))</f>
        <v>5</v>
      </c>
      <c r="J62" s="615" t="s">
        <v>63</v>
      </c>
      <c r="K62" s="1061">
        <f>IF(ISBLANK(vlookup(A62,'VA Data'!$I$5:$J$140,2,FALSE)),"NULL",(vlookup(A62,'VA Data'!$I$5:$J$140,2,FALSE)))</f>
        <v>0.273</v>
      </c>
      <c r="L62" s="671" t="s">
        <v>63</v>
      </c>
      <c r="M62" s="614" t="s">
        <v>63</v>
      </c>
      <c r="N62" s="612" t="s">
        <v>63</v>
      </c>
      <c r="O62" s="612" t="s">
        <v>63</v>
      </c>
      <c r="P62" s="620">
        <f>ifna(vlookup(A62,'Population &amp; Church Numbers'!$A$2823:$D$2955,4,FALSE),"NULL")</f>
        <v>92</v>
      </c>
      <c r="Q62" s="674" t="s">
        <v>63</v>
      </c>
    </row>
    <row r="63">
      <c r="A63" s="609" t="s">
        <v>1125</v>
      </c>
      <c r="B63" s="610">
        <f t="array" ref="B63">VLOOKUP($A63,VA_DEMO,2,FALSE)</f>
        <v>14775</v>
      </c>
      <c r="C63" s="704">
        <f>vlookup(A63,'VA Data'!$A$5:$B$144,2,FALSE)</f>
        <v>17</v>
      </c>
      <c r="D63" s="612" t="s">
        <v>63</v>
      </c>
      <c r="E63" s="612">
        <f>IF(ISBLANK(vlookup(A63,'VA Data'!$C$5:$D$140,2,FALSE)),"NULL",(vlookup(A63,'VA Data'!$C$5:$D$140,2,FALSE)))</f>
        <v>15</v>
      </c>
      <c r="F63" s="612" t="str">
        <f>IF(ISBLANK(vlookup(A63,'VA Data'!$E$5:$F$140,2,FALSE)),"NULL",(vlookup(A63,'VA Data'!$E$5:$F$140,2,FALSE)))</f>
        <v>NULL</v>
      </c>
      <c r="G63" s="612" t="s">
        <v>63</v>
      </c>
      <c r="H63" s="671" t="s">
        <v>63</v>
      </c>
      <c r="I63" s="614">
        <f>IF(ISBLANK(vlookup(A63,'VA Data'!$G$5:$H$144,2,FALSE)),"NULL",(vlookup(A63,'VA Data'!$G$5:$H$144,2,FALSE)))</f>
        <v>8</v>
      </c>
      <c r="J63" s="615" t="s">
        <v>63</v>
      </c>
      <c r="K63" s="1061">
        <f>IF(ISBLANK(vlookup(A63,'VA Data'!$I$5:$J$140,2,FALSE)),"NULL",(vlookup(A63,'VA Data'!$I$5:$J$140,2,FALSE)))</f>
        <v>0.571</v>
      </c>
      <c r="L63" s="671" t="s">
        <v>63</v>
      </c>
      <c r="M63" s="614" t="s">
        <v>63</v>
      </c>
      <c r="N63" s="612" t="s">
        <v>63</v>
      </c>
      <c r="O63" s="612" t="s">
        <v>63</v>
      </c>
      <c r="P63" s="620">
        <f>ifna(vlookup(A63,'Population &amp; Church Numbers'!$A$2823:$D$2955,4,FALSE),"NULL")</f>
        <v>42</v>
      </c>
      <c r="Q63" s="674" t="s">
        <v>63</v>
      </c>
    </row>
    <row r="64">
      <c r="A64" s="609" t="s">
        <v>2250</v>
      </c>
      <c r="B64" s="610">
        <f t="array" ref="B64">VLOOKUP($A64,VA_DEMO,2,FALSE)</f>
        <v>22945</v>
      </c>
      <c r="C64" s="704">
        <f>vlookup(A64,'VA Data'!$A$5:$B$144,2,FALSE)</f>
        <v>6</v>
      </c>
      <c r="D64" s="612" t="s">
        <v>63</v>
      </c>
      <c r="E64" s="612">
        <f>IF(ISBLANK(vlookup(A64,'VA Data'!$C$5:$D$140,2,FALSE)),"NULL",(vlookup(A64,'VA Data'!$C$5:$D$140,2,FALSE)))</f>
        <v>3</v>
      </c>
      <c r="F64" s="612">
        <f>IF(ISBLANK(vlookup(A64,'VA Data'!$E$5:$F$140,2,FALSE)),"NULL",(vlookup(A64,'VA Data'!$E$5:$F$140,2,FALSE)))</f>
        <v>1</v>
      </c>
      <c r="G64" s="612" t="s">
        <v>63</v>
      </c>
      <c r="H64" s="671" t="s">
        <v>63</v>
      </c>
      <c r="I64" s="614">
        <f>IF(ISBLANK(vlookup(A64,'VA Data'!$G$5:$H$144,2,FALSE)),"NULL",(vlookup(A64,'VA Data'!$G$5:$H$144,2,FALSE)))</f>
        <v>0</v>
      </c>
      <c r="J64" s="615" t="s">
        <v>63</v>
      </c>
      <c r="K64" s="1061">
        <f>IF(ISBLANK(vlookup(A64,'VA Data'!$I$5:$J$140,2,FALSE)),"NULL",(vlookup(A64,'VA Data'!$I$5:$J$140,2,FALSE)))</f>
        <v>0</v>
      </c>
      <c r="L64" s="671" t="s">
        <v>63</v>
      </c>
      <c r="M64" s="614" t="s">
        <v>63</v>
      </c>
      <c r="N64" s="612" t="s">
        <v>63</v>
      </c>
      <c r="O64" s="612" t="s">
        <v>63</v>
      </c>
      <c r="P64" s="620">
        <f>ifna(vlookup(A64,'Population &amp; Church Numbers'!$A$2823:$D$2955,4,FALSE),"NULL")</f>
        <v>25</v>
      </c>
      <c r="Q64" s="674" t="s">
        <v>63</v>
      </c>
    </row>
    <row r="65">
      <c r="A65" s="609" t="s">
        <v>1618</v>
      </c>
      <c r="B65" s="610">
        <f t="array" ref="B65">VLOOKUP($A65,VA_DEMO,2,FALSE)</f>
        <v>12282</v>
      </c>
      <c r="C65" s="704">
        <f>vlookup(A65,'VA Data'!$A$5:$B$144,2,FALSE)</f>
        <v>1</v>
      </c>
      <c r="D65" s="612" t="s">
        <v>63</v>
      </c>
      <c r="E65" s="612">
        <f>IF(ISBLANK(vlookup(A65,'VA Data'!$C$5:$D$140,2,FALSE)),"NULL",(vlookup(A65,'VA Data'!$C$5:$D$140,2,FALSE)))</f>
        <v>4</v>
      </c>
      <c r="F65" s="612" t="str">
        <f>IF(ISBLANK(vlookup(A65,'VA Data'!$E$5:$F$140,2,FALSE)),"NULL",(vlookup(A65,'VA Data'!$E$5:$F$140,2,FALSE)))</f>
        <v>NULL</v>
      </c>
      <c r="G65" s="612" t="s">
        <v>63</v>
      </c>
      <c r="H65" s="671" t="s">
        <v>63</v>
      </c>
      <c r="I65" s="614">
        <f>IF(ISBLANK(vlookup(A65,'VA Data'!$G$5:$H$144,2,FALSE)),"NULL",(vlookup(A65,'VA Data'!$G$5:$H$144,2,FALSE)))</f>
        <v>1</v>
      </c>
      <c r="J65" s="615" t="s">
        <v>63</v>
      </c>
      <c r="K65" s="1061">
        <f>IF(ISBLANK(vlookup(A65,'VA Data'!$I$5:$J$140,2,FALSE)),"NULL",(vlookup(A65,'VA Data'!$I$5:$J$140,2,FALSE)))</f>
        <v>1</v>
      </c>
      <c r="L65" s="671" t="s">
        <v>63</v>
      </c>
      <c r="M65" s="614" t="s">
        <v>63</v>
      </c>
      <c r="N65" s="612" t="s">
        <v>63</v>
      </c>
      <c r="O65" s="612" t="s">
        <v>63</v>
      </c>
      <c r="P65" s="620">
        <f>ifna(vlookup(A65,'Population &amp; Church Numbers'!$A$2823:$D$2955,4,FALSE),"NULL")</f>
        <v>31</v>
      </c>
      <c r="Q65" s="674" t="s">
        <v>63</v>
      </c>
    </row>
    <row r="66">
      <c r="A66" s="609" t="s">
        <v>1804</v>
      </c>
      <c r="B66" s="610">
        <f t="array" ref="B66">VLOOKUP($A66,VA_DEMO,2,FALSE)</f>
        <v>11839</v>
      </c>
      <c r="C66" s="704">
        <f>vlookup(A66,'VA Data'!$A$5:$B$144,2,FALSE)</f>
        <v>2</v>
      </c>
      <c r="D66" s="612" t="s">
        <v>63</v>
      </c>
      <c r="E66" s="612">
        <f>IF(ISBLANK(vlookup(A66,'VA Data'!$C$5:$D$140,2,FALSE)),"NULL",(vlookup(A66,'VA Data'!$C$5:$D$140,2,FALSE)))</f>
        <v>1</v>
      </c>
      <c r="F66" s="612" t="str">
        <f>IF(ISBLANK(vlookup(A66,'VA Data'!$E$5:$F$140,2,FALSE)),"NULL",(vlookup(A66,'VA Data'!$E$5:$F$140,2,FALSE)))</f>
        <v>NULL</v>
      </c>
      <c r="G66" s="612" t="s">
        <v>63</v>
      </c>
      <c r="H66" s="671" t="s">
        <v>63</v>
      </c>
      <c r="I66" s="614">
        <f>IF(ISBLANK(vlookup(A66,'VA Data'!$G$5:$H$144,2,FALSE)),"NULL",(vlookup(A66,'VA Data'!$G$5:$H$144,2,FALSE)))</f>
        <v>0</v>
      </c>
      <c r="J66" s="615" t="s">
        <v>63</v>
      </c>
      <c r="K66" s="1061">
        <f>IF(ISBLANK(vlookup(A66,'VA Data'!$I$5:$J$140,2,FALSE)),"NULL",(vlookup(A66,'VA Data'!$I$5:$J$140,2,FALSE)))</f>
        <v>0</v>
      </c>
      <c r="L66" s="671" t="s">
        <v>63</v>
      </c>
      <c r="M66" s="614" t="s">
        <v>63</v>
      </c>
      <c r="N66" s="612" t="s">
        <v>63</v>
      </c>
      <c r="O66" s="612" t="s">
        <v>63</v>
      </c>
      <c r="P66" s="620">
        <f>ifna(vlookup(A66,'Population &amp; Church Numbers'!$A$2823:$D$2955,4,FALSE),"NULL")</f>
        <v>27</v>
      </c>
      <c r="Q66" s="674" t="s">
        <v>63</v>
      </c>
    </row>
    <row r="67">
      <c r="A67" s="609" t="s">
        <v>2251</v>
      </c>
      <c r="B67" s="610">
        <f t="array" ref="B67">VLOOKUP($A67,VA_DEMO,2,FALSE)</f>
        <v>15642</v>
      </c>
      <c r="C67" s="704">
        <f>vlookup(A67,'VA Data'!$A$5:$B$144,2,FALSE)</f>
        <v>7</v>
      </c>
      <c r="D67" s="612" t="s">
        <v>63</v>
      </c>
      <c r="E67" s="612">
        <f>IF(ISBLANK(vlookup(A67,'VA Data'!$C$5:$D$140,2,FALSE)),"NULL",(vlookup(A67,'VA Data'!$C$5:$D$140,2,FALSE)))</f>
        <v>5</v>
      </c>
      <c r="F67" s="612" t="str">
        <f>IF(ISBLANK(vlookup(A67,'VA Data'!$E$5:$F$140,2,FALSE)),"NULL",(vlookup(A67,'VA Data'!$E$5:$F$140,2,FALSE)))</f>
        <v>NULL</v>
      </c>
      <c r="G67" s="612" t="s">
        <v>63</v>
      </c>
      <c r="H67" s="671" t="s">
        <v>63</v>
      </c>
      <c r="I67" s="614">
        <f>IF(ISBLANK(vlookup(A67,'VA Data'!$G$5:$H$144,2,FALSE)),"NULL",(vlookup(A67,'VA Data'!$G$5:$H$144,2,FALSE)))</f>
        <v>6</v>
      </c>
      <c r="J67" s="615" t="s">
        <v>63</v>
      </c>
      <c r="K67" s="1061">
        <f>IF(ISBLANK(vlookup(A67,'VA Data'!$I$5:$J$140,2,FALSE)),"NULL",(vlookup(A67,'VA Data'!$I$5:$J$140,2,FALSE)))</f>
        <v>0.375</v>
      </c>
      <c r="L67" s="671" t="s">
        <v>63</v>
      </c>
      <c r="M67" s="614" t="s">
        <v>63</v>
      </c>
      <c r="N67" s="612" t="s">
        <v>63</v>
      </c>
      <c r="O67" s="612" t="s">
        <v>63</v>
      </c>
      <c r="P67" s="620">
        <f>ifna(vlookup(A67,'Population &amp; Church Numbers'!$A$2823:$D$2955,4,FALSE),"NULL")</f>
        <v>38</v>
      </c>
      <c r="Q67" s="674" t="s">
        <v>63</v>
      </c>
    </row>
    <row r="68">
      <c r="A68" s="609" t="s">
        <v>241</v>
      </c>
      <c r="B68" s="610">
        <f t="array" ref="B68">VLOOKUP($A68,VA_DEMO,2,FALSE)</f>
        <v>36254</v>
      </c>
      <c r="C68" s="704">
        <f>vlookup(A68,'VA Data'!$A$5:$B$144,2,FALSE)</f>
        <v>38</v>
      </c>
      <c r="D68" s="612" t="s">
        <v>63</v>
      </c>
      <c r="E68" s="612">
        <f>IF(ISBLANK(vlookup(A68,'VA Data'!$C$5:$D$140,2,FALSE)),"NULL",(vlookup(A68,'VA Data'!$C$5:$D$140,2,FALSE)))</f>
        <v>20</v>
      </c>
      <c r="F68" s="612">
        <f>IF(ISBLANK(vlookup(A68,'VA Data'!$E$5:$F$140,2,FALSE)),"NULL",(vlookup(A68,'VA Data'!$E$5:$F$140,2,FALSE)))</f>
        <v>1</v>
      </c>
      <c r="G68" s="612" t="s">
        <v>63</v>
      </c>
      <c r="H68" s="671" t="s">
        <v>63</v>
      </c>
      <c r="I68" s="614">
        <f>IF(ISBLANK(vlookup(A68,'VA Data'!$G$5:$H$144,2,FALSE)),"NULL",(vlookup(A68,'VA Data'!$G$5:$H$144,2,FALSE)))</f>
        <v>13</v>
      </c>
      <c r="J68" s="615" t="s">
        <v>63</v>
      </c>
      <c r="K68" s="1061">
        <f>IF(ISBLANK(vlookup(A68,'VA Data'!$I$5:$J$140,2,FALSE)),"NULL",(vlookup(A68,'VA Data'!$I$5:$J$140,2,FALSE)))</f>
        <v>0.714</v>
      </c>
      <c r="L68" s="671" t="s">
        <v>63</v>
      </c>
      <c r="M68" s="614" t="s">
        <v>63</v>
      </c>
      <c r="N68" s="612" t="s">
        <v>63</v>
      </c>
      <c r="O68" s="612" t="s">
        <v>63</v>
      </c>
      <c r="P68" s="620">
        <f>ifna(vlookup(A68,'Population &amp; Church Numbers'!$A$2823:$D$2955,4,FALSE),"NULL")</f>
        <v>51</v>
      </c>
      <c r="Q68" s="674" t="s">
        <v>63</v>
      </c>
    </row>
    <row r="69">
      <c r="A69" s="609" t="s">
        <v>927</v>
      </c>
      <c r="B69" s="610">
        <f t="array" ref="B69">VLOOKUP($A69,VA_DEMO,2,FALSE)</f>
        <v>23709</v>
      </c>
      <c r="C69" s="704">
        <f>vlookup(A69,'VA Data'!$A$5:$B$144,2,FALSE)</f>
        <v>37</v>
      </c>
      <c r="D69" s="612" t="s">
        <v>63</v>
      </c>
      <c r="E69" s="612">
        <f>IF(ISBLANK(vlookup(A69,'VA Data'!$C$5:$D$140,2,FALSE)),"NULL",(vlookup(A69,'VA Data'!$C$5:$D$140,2,FALSE)))</f>
        <v>23</v>
      </c>
      <c r="F69" s="612">
        <f>IF(ISBLANK(vlookup(A69,'VA Data'!$E$5:$F$140,2,FALSE)),"NULL",(vlookup(A69,'VA Data'!$E$5:$F$140,2,FALSE)))</f>
        <v>5</v>
      </c>
      <c r="G69" s="612" t="s">
        <v>63</v>
      </c>
      <c r="H69" s="671" t="s">
        <v>63</v>
      </c>
      <c r="I69" s="614">
        <f>IF(ISBLANK(vlookup(A69,'VA Data'!$G$5:$H$144,2,FALSE)),"NULL",(vlookup(A69,'VA Data'!$G$5:$H$144,2,FALSE)))</f>
        <v>9</v>
      </c>
      <c r="J69" s="615" t="s">
        <v>63</v>
      </c>
      <c r="K69" s="1061">
        <f>IF(ISBLANK(vlookup(A69,'VA Data'!$I$5:$J$140,2,FALSE)),"NULL",(vlookup(A69,'VA Data'!$I$5:$J$140,2,FALSE)))</f>
        <v>0.222</v>
      </c>
      <c r="L69" s="671" t="s">
        <v>63</v>
      </c>
      <c r="M69" s="614" t="s">
        <v>63</v>
      </c>
      <c r="N69" s="612" t="s">
        <v>63</v>
      </c>
      <c r="O69" s="612" t="s">
        <v>63</v>
      </c>
      <c r="P69" s="620">
        <f>ifna(vlookup(A69,'Population &amp; Church Numbers'!$A$2823:$D$2955,4,FALSE),"NULL")</f>
        <v>37</v>
      </c>
      <c r="Q69" s="674" t="s">
        <v>63</v>
      </c>
    </row>
    <row r="70">
      <c r="A70" s="609" t="s">
        <v>2252</v>
      </c>
      <c r="B70" s="610">
        <f t="array" ref="B70">VLOOKUP($A70,VA_DEMO,2,FALSE)</f>
        <v>17608</v>
      </c>
      <c r="C70" s="704">
        <f>vlookup(A70,'VA Data'!$A$5:$B$144,2,FALSE)</f>
        <v>43</v>
      </c>
      <c r="D70" s="612" t="s">
        <v>63</v>
      </c>
      <c r="E70" s="612">
        <f>IF(ISBLANK(vlookup(A70,'VA Data'!$C$5:$D$140,2,FALSE)),"NULL",(vlookup(A70,'VA Data'!$C$5:$D$140,2,FALSE)))</f>
        <v>23</v>
      </c>
      <c r="F70" s="612">
        <f>IF(ISBLANK(vlookup(A70,'VA Data'!$E$5:$F$140,2,FALSE)),"NULL",(vlookup(A70,'VA Data'!$E$5:$F$140,2,FALSE)))</f>
        <v>6</v>
      </c>
      <c r="G70" s="612" t="s">
        <v>63</v>
      </c>
      <c r="H70" s="671" t="s">
        <v>63</v>
      </c>
      <c r="I70" s="614">
        <f>IF(ISBLANK(vlookup(A70,'VA Data'!$G$5:$H$144,2,FALSE)),"NULL",(vlookup(A70,'VA Data'!$G$5:$H$144,2,FALSE)))</f>
        <v>8</v>
      </c>
      <c r="J70" s="615" t="s">
        <v>63</v>
      </c>
      <c r="K70" s="1061">
        <f>IF(ISBLANK(vlookup(A70,'VA Data'!$I$5:$J$140,2,FALSE)),"NULL",(vlookup(A70,'VA Data'!$I$5:$J$140,2,FALSE)))</f>
        <v>0.5</v>
      </c>
      <c r="L70" s="671" t="s">
        <v>63</v>
      </c>
      <c r="M70" s="614" t="s">
        <v>63</v>
      </c>
      <c r="N70" s="612" t="s">
        <v>63</v>
      </c>
      <c r="O70" s="612" t="s">
        <v>63</v>
      </c>
      <c r="P70" s="620">
        <f>ifna(vlookup(A70,'Population &amp; Church Numbers'!$A$2823:$D$2955,4,FALSE),"NULL")</f>
        <v>42</v>
      </c>
      <c r="Q70" s="674" t="s">
        <v>63</v>
      </c>
    </row>
    <row r="71">
      <c r="A71" s="609" t="s">
        <v>2254</v>
      </c>
      <c r="B71" s="610">
        <f t="array" ref="B71">VLOOKUP($A71,VA_DEMO,2,FALSE)</f>
        <v>60501</v>
      </c>
      <c r="C71" s="704">
        <f>vlookup(A71,'VA Data'!$A$5:$B$144,2,FALSE)</f>
        <v>57</v>
      </c>
      <c r="D71" s="612" t="s">
        <v>63</v>
      </c>
      <c r="E71" s="612">
        <f>IF(ISBLANK(vlookup(A71,'VA Data'!$C$5:$D$140,2,FALSE)),"NULL",(vlookup(A71,'VA Data'!$C$5:$D$140,2,FALSE)))</f>
        <v>31</v>
      </c>
      <c r="F71" s="612">
        <f>IF(ISBLANK(vlookup(A71,'VA Data'!$E$5:$F$140,2,FALSE)),"NULL",(vlookup(A71,'VA Data'!$E$5:$F$140,2,FALSE)))</f>
        <v>1</v>
      </c>
      <c r="G71" s="612" t="s">
        <v>63</v>
      </c>
      <c r="H71" s="671" t="s">
        <v>63</v>
      </c>
      <c r="I71" s="614">
        <f>IF(ISBLANK(vlookup(A71,'VA Data'!$G$5:$H$144,2,FALSE)),"NULL",(vlookup(A71,'VA Data'!$G$5:$H$144,2,FALSE)))</f>
        <v>11</v>
      </c>
      <c r="J71" s="615" t="s">
        <v>63</v>
      </c>
      <c r="K71" s="1061">
        <f>IF(ISBLANK(vlookup(A71,'VA Data'!$I$5:$J$140,2,FALSE)),"NULL",(vlookup(A71,'VA Data'!$I$5:$J$140,2,FALSE)))</f>
        <v>0.267</v>
      </c>
      <c r="L71" s="671" t="s">
        <v>63</v>
      </c>
      <c r="M71" s="614" t="s">
        <v>63</v>
      </c>
      <c r="N71" s="612" t="s">
        <v>63</v>
      </c>
      <c r="O71" s="612" t="s">
        <v>63</v>
      </c>
      <c r="P71" s="620">
        <f>ifna(vlookup(A71,'Population &amp; Church Numbers'!$A$2823:$D$2955,4,FALSE),"NULL")</f>
        <v>147</v>
      </c>
      <c r="Q71" s="674" t="s">
        <v>63</v>
      </c>
    </row>
    <row r="72">
      <c r="A72" s="609" t="s">
        <v>2255</v>
      </c>
      <c r="B72" s="610">
        <f t="array" ref="B72">VLOOKUP($A72,VA_DEMO,2,FALSE)</f>
        <v>30333</v>
      </c>
      <c r="C72" s="704">
        <f>vlookup(A72,'VA Data'!$A$5:$B$144,2,FALSE)</f>
        <v>4</v>
      </c>
      <c r="D72" s="612" t="s">
        <v>63</v>
      </c>
      <c r="E72" s="612">
        <f>IF(ISBLANK(vlookup(A72,'VA Data'!$C$5:$D$140,2,FALSE)),"NULL",(vlookup(A72,'VA Data'!$C$5:$D$140,2,FALSE)))</f>
        <v>1</v>
      </c>
      <c r="F72" s="612">
        <f>IF(ISBLANK(vlookup(A72,'VA Data'!$E$5:$F$140,2,FALSE)),"NULL",(vlookup(A72,'VA Data'!$E$5:$F$140,2,FALSE)))</f>
        <v>1</v>
      </c>
      <c r="G72" s="612" t="s">
        <v>63</v>
      </c>
      <c r="H72" s="671" t="s">
        <v>63</v>
      </c>
      <c r="I72" s="614">
        <f>IF(ISBLANK(vlookup(A72,'VA Data'!$G$5:$H$144,2,FALSE)),"NULL",(vlookup(A72,'VA Data'!$G$5:$H$144,2,FALSE)))</f>
        <v>1</v>
      </c>
      <c r="J72" s="615" t="s">
        <v>63</v>
      </c>
      <c r="K72" s="1061">
        <f>IF(ISBLANK(vlookup(A72,'VA Data'!$I$5:$J$140,2,FALSE)),"NULL",(vlookup(A72,'VA Data'!$I$5:$J$140,2,FALSE)))</f>
        <v>0</v>
      </c>
      <c r="L72" s="671" t="s">
        <v>63</v>
      </c>
      <c r="M72" s="614" t="s">
        <v>63</v>
      </c>
      <c r="N72" s="612" t="s">
        <v>63</v>
      </c>
      <c r="O72" s="612" t="s">
        <v>63</v>
      </c>
      <c r="P72" s="620">
        <f>ifna(vlookup(A72,'Population &amp; Church Numbers'!$A$2823:$D$2955,4,FALSE),"NULL")</f>
        <v>33</v>
      </c>
      <c r="Q72" s="674" t="s">
        <v>63</v>
      </c>
    </row>
    <row r="73">
      <c r="A73" s="609" t="s">
        <v>2256</v>
      </c>
      <c r="B73" s="610">
        <f t="array" ref="B73">VLOOKUP($A73,VA_DEMO,2,FALSE)</f>
        <v>21849</v>
      </c>
      <c r="C73" s="704">
        <f>vlookup(A73,'VA Data'!$A$5:$B$144,2,FALSE)</f>
        <v>4</v>
      </c>
      <c r="D73" s="612" t="s">
        <v>63</v>
      </c>
      <c r="E73" s="612">
        <f>IF(ISBLANK(vlookup(A73,'VA Data'!$C$5:$D$140,2,FALSE)),"NULL",(vlookup(A73,'VA Data'!$C$5:$D$140,2,FALSE)))</f>
        <v>3</v>
      </c>
      <c r="F73" s="612" t="str">
        <f>IF(ISBLANK(vlookup(A73,'VA Data'!$E$5:$F$140,2,FALSE)),"NULL",(vlookup(A73,'VA Data'!$E$5:$F$140,2,FALSE)))</f>
        <v>NULL</v>
      </c>
      <c r="G73" s="612" t="s">
        <v>63</v>
      </c>
      <c r="H73" s="671" t="s">
        <v>63</v>
      </c>
      <c r="I73" s="614">
        <f>IF(ISBLANK(vlookup(A73,'VA Data'!$G$5:$H$144,2,FALSE)),"NULL",(vlookup(A73,'VA Data'!$G$5:$H$144,2,FALSE)))</f>
        <v>2</v>
      </c>
      <c r="J73" s="615" t="s">
        <v>63</v>
      </c>
      <c r="K73" s="1061">
        <f>IF(ISBLANK(vlookup(A73,'VA Data'!$I$5:$J$140,2,FALSE)),"NULL",(vlookup(A73,'VA Data'!$I$5:$J$140,2,FALSE)))</f>
        <v>0.667</v>
      </c>
      <c r="L73" s="671" t="s">
        <v>63</v>
      </c>
      <c r="M73" s="614" t="s">
        <v>63</v>
      </c>
      <c r="N73" s="612" t="s">
        <v>63</v>
      </c>
      <c r="O73" s="612" t="s">
        <v>63</v>
      </c>
      <c r="P73" s="620">
        <f>ifna(vlookup(A73,'Population &amp; Church Numbers'!$A$2823:$D$2955,4,FALSE),"NULL")</f>
        <v>42</v>
      </c>
      <c r="Q73" s="674" t="s">
        <v>63</v>
      </c>
    </row>
    <row r="74">
      <c r="A74" s="609" t="s">
        <v>2257</v>
      </c>
      <c r="B74" s="610">
        <f t="array" ref="B74">VLOOKUP($A74,VA_DEMO,2,FALSE)</f>
        <v>43010</v>
      </c>
      <c r="C74" s="704">
        <f>vlookup(A74,'VA Data'!$A$5:$B$144,2,FALSE)</f>
        <v>8</v>
      </c>
      <c r="D74" s="612" t="s">
        <v>63</v>
      </c>
      <c r="E74" s="612">
        <f>IF(ISBLANK(vlookup(A74,'VA Data'!$C$5:$D$140,2,FALSE)),"NULL",(vlookup(A74,'VA Data'!$C$5:$D$140,2,FALSE)))</f>
        <v>6</v>
      </c>
      <c r="F74" s="612" t="str">
        <f>IF(ISBLANK(vlookup(A74,'VA Data'!$E$5:$F$140,2,FALSE)),"NULL",(vlookup(A74,'VA Data'!$E$5:$F$140,2,FALSE)))</f>
        <v>NULL</v>
      </c>
      <c r="G74" s="612" t="s">
        <v>63</v>
      </c>
      <c r="H74" s="671" t="s">
        <v>63</v>
      </c>
      <c r="I74" s="614">
        <f>IF(ISBLANK(vlookup(A74,'VA Data'!$G$5:$H$144,2,FALSE)),"NULL",(vlookup(A74,'VA Data'!$G$5:$H$144,2,FALSE)))</f>
        <v>6</v>
      </c>
      <c r="J74" s="615" t="s">
        <v>63</v>
      </c>
      <c r="K74" s="1061">
        <f>IF(ISBLANK(vlookup(A74,'VA Data'!$I$5:$J$140,2,FALSE)),"NULL",(vlookup(A74,'VA Data'!$I$5:$J$140,2,FALSE)))</f>
        <v>0.167</v>
      </c>
      <c r="L74" s="671" t="s">
        <v>63</v>
      </c>
      <c r="M74" s="614" t="s">
        <v>63</v>
      </c>
      <c r="N74" s="612" t="s">
        <v>63</v>
      </c>
      <c r="O74" s="612" t="s">
        <v>63</v>
      </c>
      <c r="P74" s="620">
        <f>ifna(vlookup(A74,'Population &amp; Church Numbers'!$A$2823:$D$2955,4,FALSE),"NULL")</f>
        <v>30</v>
      </c>
      <c r="Q74" s="674" t="s">
        <v>63</v>
      </c>
    </row>
    <row r="75">
      <c r="A75" s="609" t="s">
        <v>2258</v>
      </c>
      <c r="B75" s="610">
        <f t="array" ref="B75">VLOOKUP($A75,VA_DEMO,2,FALSE)</f>
        <v>482204</v>
      </c>
      <c r="C75" s="704">
        <f>vlookup(A75,'VA Data'!$A$5:$B$144,2,FALSE)</f>
        <v>91</v>
      </c>
      <c r="D75" s="612" t="s">
        <v>63</v>
      </c>
      <c r="E75" s="612">
        <f>IF(ISBLANK(vlookup(A75,'VA Data'!$C$5:$D$140,2,FALSE)),"NULL",(vlookup(A75,'VA Data'!$C$5:$D$140,2,FALSE)))</f>
        <v>49</v>
      </c>
      <c r="F75" s="612">
        <f>IF(ISBLANK(vlookup(A75,'VA Data'!$E$5:$F$140,2,FALSE)),"NULL",(vlookup(A75,'VA Data'!$E$5:$F$140,2,FALSE)))</f>
        <v>2</v>
      </c>
      <c r="G75" s="612" t="s">
        <v>63</v>
      </c>
      <c r="H75" s="671" t="s">
        <v>63</v>
      </c>
      <c r="I75" s="614">
        <f>IF(ISBLANK(vlookup(A75,'VA Data'!$G$5:$H$144,2,FALSE)),"NULL",(vlookup(A75,'VA Data'!$G$5:$H$144,2,FALSE)))</f>
        <v>17</v>
      </c>
      <c r="J75" s="615" t="s">
        <v>63</v>
      </c>
      <c r="K75" s="1061">
        <f>IF(ISBLANK(vlookup(A75,'VA Data'!$I$5:$J$140,2,FALSE)),"NULL",(vlookup(A75,'VA Data'!$I$5:$J$140,2,FALSE)))</f>
        <v>0.094</v>
      </c>
      <c r="L75" s="671" t="s">
        <v>63</v>
      </c>
      <c r="M75" s="614" t="s">
        <v>63</v>
      </c>
      <c r="N75" s="612" t="s">
        <v>63</v>
      </c>
      <c r="O75" s="612" t="s">
        <v>63</v>
      </c>
      <c r="P75" s="620">
        <f>ifna(vlookup(A75,'Population &amp; Church Numbers'!$A$2823:$D$2955,4,FALSE),"NULL")</f>
        <v>190</v>
      </c>
      <c r="Q75" s="674" t="s">
        <v>63</v>
      </c>
    </row>
    <row r="76">
      <c r="A76" s="609" t="s">
        <v>305</v>
      </c>
      <c r="B76" s="610">
        <f t="array" ref="B76">VLOOKUP($A76,VA_DEMO,2,FALSE)</f>
        <v>33800</v>
      </c>
      <c r="C76" s="704">
        <f>vlookup(A76,'VA Data'!$A$5:$B$144,2,FALSE)</f>
        <v>30</v>
      </c>
      <c r="D76" s="612" t="s">
        <v>63</v>
      </c>
      <c r="E76" s="612">
        <f>IF(ISBLANK(vlookup(A76,'VA Data'!$C$5:$D$140,2,FALSE)),"NULL",(vlookup(A76,'VA Data'!$C$5:$D$140,2,FALSE)))</f>
        <v>18</v>
      </c>
      <c r="F76" s="612" t="str">
        <f>IF(ISBLANK(vlookup(A76,'VA Data'!$E$5:$F$140,2,FALSE)),"NULL",(vlookup(A76,'VA Data'!$E$5:$F$140,2,FALSE)))</f>
        <v>NULL</v>
      </c>
      <c r="G76" s="612" t="s">
        <v>63</v>
      </c>
      <c r="H76" s="671" t="s">
        <v>63</v>
      </c>
      <c r="I76" s="614">
        <f>IF(ISBLANK(vlookup(A76,'VA Data'!$G$5:$H$144,2,FALSE)),"NULL",(vlookup(A76,'VA Data'!$G$5:$H$144,2,FALSE)))</f>
        <v>7</v>
      </c>
      <c r="J76" s="615" t="s">
        <v>63</v>
      </c>
      <c r="K76" s="1061">
        <f>IF(ISBLANK(vlookup(A76,'VA Data'!$I$5:$J$140,2,FALSE)),"NULL",(vlookup(A76,'VA Data'!$I$5:$J$140,2,FALSE)))</f>
        <v>0.125</v>
      </c>
      <c r="L76" s="671" t="s">
        <v>63</v>
      </c>
      <c r="M76" s="614" t="s">
        <v>63</v>
      </c>
      <c r="N76" s="612" t="s">
        <v>63</v>
      </c>
      <c r="O76" s="612" t="s">
        <v>63</v>
      </c>
      <c r="P76" s="620">
        <f>ifna(vlookup(A76,'Population &amp; Church Numbers'!$A$2823:$D$2955,4,FALSE),"NULL")</f>
        <v>55</v>
      </c>
      <c r="Q76" s="674" t="s">
        <v>63</v>
      </c>
    </row>
    <row r="77">
      <c r="A77" s="609" t="s">
        <v>2259</v>
      </c>
      <c r="B77" s="610">
        <f t="array" ref="B77">VLOOKUP($A77,VA_DEMO,2,FALSE)</f>
        <v>7348</v>
      </c>
      <c r="C77" s="704">
        <f>vlookup(A77,'VA Data'!$A$5:$B$144,2,FALSE)</f>
        <v>2</v>
      </c>
      <c r="D77" s="612" t="s">
        <v>63</v>
      </c>
      <c r="E77" s="612">
        <f>IF(ISBLANK(vlookup(A77,'VA Data'!$C$5:$D$140,2,FALSE)),"NULL",(vlookup(A77,'VA Data'!$C$5:$D$140,2,FALSE)))</f>
        <v>1</v>
      </c>
      <c r="F77" s="612" t="str">
        <f>IF(ISBLANK(vlookup(A77,'VA Data'!$E$5:$F$140,2,FALSE)),"NULL",(vlookup(A77,'VA Data'!$E$5:$F$140,2,FALSE)))</f>
        <v>NULL</v>
      </c>
      <c r="G77" s="612" t="s">
        <v>63</v>
      </c>
      <c r="H77" s="671" t="s">
        <v>63</v>
      </c>
      <c r="I77" s="614">
        <f>IF(ISBLANK(vlookup(A77,'VA Data'!$G$5:$H$144,2,FALSE)),"NULL",(vlookup(A77,'VA Data'!$G$5:$H$144,2,FALSE)))</f>
        <v>1</v>
      </c>
      <c r="J77" s="615" t="s">
        <v>63</v>
      </c>
      <c r="K77" s="1061">
        <f>IF(ISBLANK(vlookup(A77,'VA Data'!$I$5:$J$140,2,FALSE)),"NULL",(vlookup(A77,'VA Data'!$I$5:$J$140,2,FALSE)))</f>
        <v>0</v>
      </c>
      <c r="L77" s="671" t="s">
        <v>63</v>
      </c>
      <c r="M77" s="614" t="s">
        <v>63</v>
      </c>
      <c r="N77" s="612" t="s">
        <v>63</v>
      </c>
      <c r="O77" s="612" t="s">
        <v>63</v>
      </c>
      <c r="P77" s="620">
        <f>ifna(vlookup(A77,'Population &amp; Church Numbers'!$A$2823:$D$2955,4,FALSE),"NULL")</f>
        <v>20</v>
      </c>
      <c r="Q77" s="674" t="s">
        <v>63</v>
      </c>
    </row>
    <row r="78">
      <c r="A78" s="609" t="s">
        <v>4216</v>
      </c>
      <c r="B78" s="610">
        <f t="array" ref="B78">VLOOKUP($A78,VA_DEMO,2,FALSE)</f>
        <v>8923</v>
      </c>
      <c r="C78" s="704">
        <f>vlookup(A78,'VA Data'!$A$5:$B$144,2,FALSE)</f>
        <v>2</v>
      </c>
      <c r="D78" s="612" t="s">
        <v>63</v>
      </c>
      <c r="E78" s="612">
        <f>IF(ISBLANK(vlookup(A78,'VA Data'!$C$5:$D$140,2,FALSE)),"NULL",(vlookup(A78,'VA Data'!$C$5:$D$140,2,FALSE)))</f>
        <v>2</v>
      </c>
      <c r="F78" s="612" t="str">
        <f>IF(ISBLANK(vlookup(A78,'VA Data'!$E$5:$F$140,2,FALSE)),"NULL",(vlookup(A78,'VA Data'!$E$5:$F$140,2,FALSE)))</f>
        <v>NULL</v>
      </c>
      <c r="G78" s="612" t="s">
        <v>63</v>
      </c>
      <c r="H78" s="671" t="s">
        <v>63</v>
      </c>
      <c r="I78" s="614">
        <f>IF(ISBLANK(vlookup(A78,'VA Data'!$G$5:$H$144,2,FALSE)),"NULL",(vlookup(A78,'VA Data'!$G$5:$H$144,2,FALSE)))</f>
        <v>2</v>
      </c>
      <c r="J78" s="615" t="s">
        <v>63</v>
      </c>
      <c r="K78" s="1061">
        <f>IF(ISBLANK(vlookup(A78,'VA Data'!$I$5:$J$140,2,FALSE)),"NULL",(vlookup(A78,'VA Data'!$I$5:$J$140,2,FALSE)))</f>
        <v>0</v>
      </c>
      <c r="L78" s="671" t="s">
        <v>63</v>
      </c>
      <c r="M78" s="614" t="s">
        <v>63</v>
      </c>
      <c r="N78" s="612" t="s">
        <v>63</v>
      </c>
      <c r="O78" s="612" t="s">
        <v>63</v>
      </c>
      <c r="P78" s="620">
        <f>ifna(vlookup(A78,'Population &amp; Church Numbers'!$A$2823:$D$2955,4,FALSE),"NULL")</f>
        <v>16</v>
      </c>
      <c r="Q78" s="674" t="s">
        <v>63</v>
      </c>
    </row>
    <row r="79">
      <c r="A79" s="609" t="s">
        <v>4217</v>
      </c>
      <c r="B79" s="610">
        <f t="array" ref="B79">VLOOKUP($A79,VA_DEMO,2,FALSE)</f>
        <v>96929</v>
      </c>
      <c r="C79" s="704">
        <f>vlookup(A79,'VA Data'!$A$5:$B$144,2,FALSE)</f>
        <v>116</v>
      </c>
      <c r="D79" s="612" t="s">
        <v>63</v>
      </c>
      <c r="E79" s="612">
        <f>IF(ISBLANK(vlookup(A79,'VA Data'!$C$5:$D$140,2,FALSE)),"NULL",(vlookup(A79,'VA Data'!$C$5:$D$140,2,FALSE)))</f>
        <v>66</v>
      </c>
      <c r="F79" s="612">
        <f>IF(ISBLANK(vlookup(A79,'VA Data'!$E$5:$F$140,2,FALSE)),"NULL",(vlookup(A79,'VA Data'!$E$5:$F$140,2,FALSE)))</f>
        <v>10</v>
      </c>
      <c r="G79" s="612" t="s">
        <v>63</v>
      </c>
      <c r="H79" s="671" t="s">
        <v>63</v>
      </c>
      <c r="I79" s="614">
        <f>IF(ISBLANK(vlookup(A79,'VA Data'!$G$5:$H$144,2,FALSE)),"NULL",(vlookup(A79,'VA Data'!$G$5:$H$144,2,FALSE)))</f>
        <v>36</v>
      </c>
      <c r="J79" s="615" t="s">
        <v>63</v>
      </c>
      <c r="K79" s="1061">
        <f>IF(ISBLANK(vlookup(A79,'VA Data'!$I$5:$J$140,2,FALSE)),"NULL",(vlookup(A79,'VA Data'!$I$5:$J$140,2,FALSE)))</f>
        <v>0.569</v>
      </c>
      <c r="L79" s="671" t="s">
        <v>63</v>
      </c>
      <c r="M79" s="614" t="s">
        <v>63</v>
      </c>
      <c r="N79" s="612" t="s">
        <v>63</v>
      </c>
      <c r="O79" s="612" t="s">
        <v>63</v>
      </c>
      <c r="P79" s="620">
        <f>ifna(vlookup(A79,'Population &amp; Church Numbers'!$A$2823:$D$2955,4,FALSE),"NULL")</f>
        <v>107</v>
      </c>
      <c r="Q79" s="674" t="s">
        <v>63</v>
      </c>
    </row>
    <row r="80">
      <c r="A80" s="609" t="s">
        <v>2261</v>
      </c>
      <c r="B80" s="610">
        <f t="array" ref="B80">VLOOKUP($A80,VA_DEMO,2,FALSE)</f>
        <v>22650</v>
      </c>
      <c r="C80" s="704">
        <f>vlookup(A80,'VA Data'!$A$5:$B$144,2,FALSE)</f>
        <v>11</v>
      </c>
      <c r="D80" s="612" t="s">
        <v>63</v>
      </c>
      <c r="E80" s="612">
        <f>IF(ISBLANK(vlookup(A80,'VA Data'!$C$5:$D$140,2,FALSE)),"NULL",(vlookup(A80,'VA Data'!$C$5:$D$140,2,FALSE)))</f>
        <v>9</v>
      </c>
      <c r="F80" s="612">
        <f>IF(ISBLANK(vlookup(A80,'VA Data'!$E$5:$F$140,2,FALSE)),"NULL",(vlookup(A80,'VA Data'!$E$5:$F$140,2,FALSE)))</f>
        <v>6</v>
      </c>
      <c r="G80" s="612" t="s">
        <v>63</v>
      </c>
      <c r="H80" s="671" t="s">
        <v>63</v>
      </c>
      <c r="I80" s="614">
        <f>IF(ISBLANK(vlookup(A80,'VA Data'!$G$5:$H$144,2,FALSE)),"NULL",(vlookup(A80,'VA Data'!$G$5:$H$144,2,FALSE)))</f>
        <v>2</v>
      </c>
      <c r="J80" s="615" t="s">
        <v>63</v>
      </c>
      <c r="K80" s="1061">
        <f>IF(ISBLANK(vlookup(A80,'VA Data'!$I$5:$J$140,2,FALSE)),"NULL",(vlookup(A80,'VA Data'!$I$5:$J$140,2,FALSE)))</f>
        <v>0.611</v>
      </c>
      <c r="L80" s="671" t="s">
        <v>63</v>
      </c>
      <c r="M80" s="614" t="s">
        <v>63</v>
      </c>
      <c r="N80" s="612" t="s">
        <v>63</v>
      </c>
      <c r="O80" s="612" t="s">
        <v>63</v>
      </c>
      <c r="P80" s="620">
        <f>ifna(vlookup(A80,'Population &amp; Church Numbers'!$A$2823:$D$2955,4,FALSE),"NULL")</f>
        <v>39</v>
      </c>
      <c r="Q80" s="674" t="s">
        <v>63</v>
      </c>
    </row>
    <row r="81">
      <c r="A81" s="609" t="s">
        <v>1523</v>
      </c>
      <c r="B81" s="610">
        <f t="array" ref="B81">VLOOKUP($A81,VA_DEMO,2,FALSE)</f>
        <v>83757</v>
      </c>
      <c r="C81" s="704">
        <f>vlookup(A81,'VA Data'!$A$5:$B$144,2,FALSE)</f>
        <v>158</v>
      </c>
      <c r="D81" s="612" t="s">
        <v>63</v>
      </c>
      <c r="E81" s="612">
        <f>IF(ISBLANK(vlookup(A81,'VA Data'!$C$5:$D$140,2,FALSE)),"NULL",(vlookup(A81,'VA Data'!$C$5:$D$140,2,FALSE)))</f>
        <v>100</v>
      </c>
      <c r="F81" s="612">
        <f>IF(ISBLANK(vlookup(A81,'VA Data'!$E$5:$F$140,2,FALSE)),"NULL",(vlookup(A81,'VA Data'!$E$5:$F$140,2,FALSE)))</f>
        <v>5</v>
      </c>
      <c r="G81" s="612" t="s">
        <v>63</v>
      </c>
      <c r="H81" s="671" t="s">
        <v>63</v>
      </c>
      <c r="I81" s="614">
        <f>IF(ISBLANK(vlookup(A81,'VA Data'!$G$5:$H$144,2,FALSE)),"NULL",(vlookup(A81,'VA Data'!$G$5:$H$144,2,FALSE)))</f>
        <v>46</v>
      </c>
      <c r="J81" s="615" t="s">
        <v>63</v>
      </c>
      <c r="K81" s="1061">
        <f>IF(ISBLANK(vlookup(A81,'VA Data'!$I$5:$J$140,2,FALSE)),"NULL",(vlookup(A81,'VA Data'!$I$5:$J$140,2,FALSE)))</f>
        <v>0.161</v>
      </c>
      <c r="L81" s="671" t="s">
        <v>63</v>
      </c>
      <c r="M81" s="614" t="s">
        <v>63</v>
      </c>
      <c r="N81" s="612" t="s">
        <v>63</v>
      </c>
      <c r="O81" s="612" t="s">
        <v>63</v>
      </c>
      <c r="P81" s="620">
        <f>ifna(vlookup(A81,'Population &amp; Church Numbers'!$A$2823:$D$2955,4,FALSE),"NULL")</f>
        <v>131</v>
      </c>
      <c r="Q81" s="674" t="s">
        <v>63</v>
      </c>
    </row>
    <row r="82">
      <c r="A82" s="609" t="s">
        <v>165</v>
      </c>
      <c r="B82" s="610">
        <f t="array" ref="B82">VLOOKUP($A82,VA_DEMO,2,FALSE)</f>
        <v>25781</v>
      </c>
      <c r="C82" s="704">
        <f>vlookup(A82,'VA Data'!$A$5:$B$144,2,FALSE)</f>
        <v>74</v>
      </c>
      <c r="D82" s="612" t="s">
        <v>63</v>
      </c>
      <c r="E82" s="612">
        <f>IF(ISBLANK(vlookup(A82,'VA Data'!$C$5:$D$140,2,FALSE)),"NULL",(vlookup(A82,'VA Data'!$C$5:$D$140,2,FALSE)))</f>
        <v>45</v>
      </c>
      <c r="F82" s="612">
        <f>IF(ISBLANK(vlookup(A82,'VA Data'!$E$5:$F$140,2,FALSE)),"NULL",(vlookup(A82,'VA Data'!$E$5:$F$140,2,FALSE)))</f>
        <v>10</v>
      </c>
      <c r="G82" s="612" t="s">
        <v>63</v>
      </c>
      <c r="H82" s="671" t="s">
        <v>63</v>
      </c>
      <c r="I82" s="614">
        <f>IF(ISBLANK(vlookup(A82,'VA Data'!$G$5:$H$144,2,FALSE)),"NULL",(vlookup(A82,'VA Data'!$G$5:$H$144,2,FALSE)))</f>
        <v>24</v>
      </c>
      <c r="J82" s="615" t="s">
        <v>63</v>
      </c>
      <c r="K82" s="1061">
        <f>IF(ISBLANK(vlookup(A82,'VA Data'!$I$5:$J$140,2,FALSE)),"NULL",(vlookup(A82,'VA Data'!$I$5:$J$140,2,FALSE)))</f>
        <v>0.3</v>
      </c>
      <c r="L82" s="671" t="s">
        <v>63</v>
      </c>
      <c r="M82" s="614" t="s">
        <v>63</v>
      </c>
      <c r="N82" s="612" t="s">
        <v>63</v>
      </c>
      <c r="O82" s="612" t="s">
        <v>63</v>
      </c>
      <c r="P82" s="620">
        <f>ifna(vlookup(A82,'Population &amp; Church Numbers'!$A$2823:$D$2955,4,FALSE),"NULL")</f>
        <v>39</v>
      </c>
      <c r="Q82" s="674" t="s">
        <v>63</v>
      </c>
    </row>
    <row r="83">
      <c r="A83" s="609" t="s">
        <v>309</v>
      </c>
      <c r="B83" s="610">
        <f t="array" ref="B83">VLOOKUP($A83,VA_DEMO,2,FALSE)</f>
        <v>21576</v>
      </c>
      <c r="C83" s="704">
        <f>vlookup(A83,'VA Data'!$A$5:$B$144,2,FALSE)</f>
        <v>42</v>
      </c>
      <c r="D83" s="612" t="s">
        <v>63</v>
      </c>
      <c r="E83" s="612">
        <f>IF(ISBLANK(vlookup(A83,'VA Data'!$C$5:$D$140,2,FALSE)),"NULL",(vlookup(A83,'VA Data'!$C$5:$D$140,2,FALSE)))</f>
        <v>29</v>
      </c>
      <c r="F83" s="612">
        <f>IF(ISBLANK(vlookup(A83,'VA Data'!$E$5:$F$140,2,FALSE)),"NULL",(vlookup(A83,'VA Data'!$E$5:$F$140,2,FALSE)))</f>
        <v>1</v>
      </c>
      <c r="G83" s="612" t="s">
        <v>63</v>
      </c>
      <c r="H83" s="671" t="s">
        <v>63</v>
      </c>
      <c r="I83" s="614">
        <f>IF(ISBLANK(vlookup(A83,'VA Data'!$G$5:$H$144,2,FALSE)),"NULL",(vlookup(A83,'VA Data'!$G$5:$H$144,2,FALSE)))</f>
        <v>10</v>
      </c>
      <c r="J83" s="615" t="s">
        <v>63</v>
      </c>
      <c r="K83" s="1061">
        <f>IF(ISBLANK(vlookup(A83,'VA Data'!$I$5:$J$140,2,FALSE)),"NULL",(vlookup(A83,'VA Data'!$I$5:$J$140,2,FALSE)))</f>
        <v>0.412</v>
      </c>
      <c r="L83" s="671" t="s">
        <v>63</v>
      </c>
      <c r="M83" s="614" t="s">
        <v>63</v>
      </c>
      <c r="N83" s="612" t="s">
        <v>63</v>
      </c>
      <c r="O83" s="612" t="s">
        <v>63</v>
      </c>
      <c r="P83" s="620">
        <f>ifna(vlookup(A83,'Population &amp; Church Numbers'!$A$2823:$D$2955,4,FALSE),"NULL")</f>
        <v>44</v>
      </c>
      <c r="Q83" s="674" t="s">
        <v>63</v>
      </c>
    </row>
    <row r="84">
      <c r="A84" s="609" t="s">
        <v>2263</v>
      </c>
      <c r="B84" s="610">
        <f t="array" ref="B84">VLOOKUP($A84,VA_DEMO,2,FALSE)</f>
        <v>44186</v>
      </c>
      <c r="C84" s="704">
        <f>vlookup(A84,'VA Data'!$A$5:$B$144,2,FALSE)</f>
        <v>23</v>
      </c>
      <c r="D84" s="612" t="s">
        <v>63</v>
      </c>
      <c r="E84" s="612">
        <f>IF(ISBLANK(vlookup(A84,'VA Data'!$C$5:$D$140,2,FALSE)),"NULL",(vlookup(A84,'VA Data'!$C$5:$D$140,2,FALSE)))</f>
        <v>8</v>
      </c>
      <c r="F84" s="612">
        <f>IF(ISBLANK(vlookup(A84,'VA Data'!$E$5:$F$140,2,FALSE)),"NULL",(vlookup(A84,'VA Data'!$E$5:$F$140,2,FALSE)))</f>
        <v>7</v>
      </c>
      <c r="G84" s="612" t="s">
        <v>63</v>
      </c>
      <c r="H84" s="671" t="s">
        <v>63</v>
      </c>
      <c r="I84" s="614">
        <f>IF(ISBLANK(vlookup(A84,'VA Data'!$G$5:$H$144,2,FALSE)),"NULL",(vlookup(A84,'VA Data'!$G$5:$H$144,2,FALSE)))</f>
        <v>6</v>
      </c>
      <c r="J84" s="615" t="s">
        <v>63</v>
      </c>
      <c r="K84" s="1061">
        <f>IF(ISBLANK(vlookup(A84,'VA Data'!$I$5:$J$140,2,FALSE)),"NULL",(vlookup(A84,'VA Data'!$I$5:$J$140,2,FALSE)))</f>
        <v>0.267</v>
      </c>
      <c r="L84" s="671" t="s">
        <v>63</v>
      </c>
      <c r="M84" s="614" t="s">
        <v>63</v>
      </c>
      <c r="N84" s="612" t="s">
        <v>63</v>
      </c>
      <c r="O84" s="612" t="s">
        <v>63</v>
      </c>
      <c r="P84" s="620">
        <f>ifna(vlookup(A84,'Population &amp; Church Numbers'!$A$2823:$D$2955,4,FALSE),"NULL")</f>
        <v>90</v>
      </c>
      <c r="Q84" s="674" t="s">
        <v>63</v>
      </c>
    </row>
    <row r="85">
      <c r="A85" s="609" t="s">
        <v>2264</v>
      </c>
      <c r="B85" s="610">
        <f t="array" ref="B85">VLOOKUP($A85,VA_DEMO,2,FALSE)</f>
        <v>29800</v>
      </c>
      <c r="C85" s="704">
        <f>vlookup(A85,'VA Data'!$A$5:$B$144,2,FALSE)</f>
        <v>39</v>
      </c>
      <c r="D85" s="612" t="s">
        <v>63</v>
      </c>
      <c r="E85" s="612">
        <f>IF(ISBLANK(vlookup(A85,'VA Data'!$C$5:$D$140,2,FALSE)),"NULL",(vlookup(A85,'VA Data'!$C$5:$D$140,2,FALSE)))</f>
        <v>28</v>
      </c>
      <c r="F85" s="612">
        <f>IF(ISBLANK(vlookup(A85,'VA Data'!$E$5:$F$140,2,FALSE)),"NULL",(vlookup(A85,'VA Data'!$E$5:$F$140,2,FALSE)))</f>
        <v>7</v>
      </c>
      <c r="G85" s="612" t="s">
        <v>63</v>
      </c>
      <c r="H85" s="671" t="s">
        <v>63</v>
      </c>
      <c r="I85" s="614">
        <f>IF(ISBLANK(vlookup(A85,'VA Data'!$G$5:$H$144,2,FALSE)),"NULL",(vlookup(A85,'VA Data'!$G$5:$H$144,2,FALSE)))</f>
        <v>18</v>
      </c>
      <c r="J85" s="615" t="s">
        <v>63</v>
      </c>
      <c r="K85" s="1061">
        <f>IF(ISBLANK(vlookup(A85,'VA Data'!$I$5:$J$140,2,FALSE)),"NULL",(vlookup(A85,'VA Data'!$I$5:$J$140,2,FALSE)))</f>
        <v>0.286</v>
      </c>
      <c r="L85" s="671" t="s">
        <v>63</v>
      </c>
      <c r="M85" s="614" t="s">
        <v>63</v>
      </c>
      <c r="N85" s="612" t="s">
        <v>63</v>
      </c>
      <c r="O85" s="612" t="s">
        <v>63</v>
      </c>
      <c r="P85" s="620">
        <f>ifna(vlookup(A85,'Population &amp; Church Numbers'!$A$2823:$D$2955,4,FALSE),"NULL")</f>
        <v>47</v>
      </c>
      <c r="Q85" s="674" t="s">
        <v>63</v>
      </c>
    </row>
    <row r="86">
      <c r="A86" s="609" t="s">
        <v>2265</v>
      </c>
      <c r="B86" s="610">
        <f t="array" ref="B86">VLOOKUP($A86,VA_DEMO,2,FALSE)</f>
        <v>17996</v>
      </c>
      <c r="C86" s="704">
        <f>vlookup(A86,'VA Data'!$A$5:$B$144,2,FALSE)</f>
        <v>1</v>
      </c>
      <c r="D86" s="612" t="s">
        <v>63</v>
      </c>
      <c r="E86" s="612" t="str">
        <f>IF(ISBLANK(vlookup(A86,'VA Data'!$C$5:$D$140,2,FALSE)),"NULL",(vlookup(A86,'VA Data'!$C$5:$D$140,2,FALSE)))</f>
        <v>NULL</v>
      </c>
      <c r="F86" s="612" t="str">
        <f>IF(ISBLANK(vlookup(A86,'VA Data'!$E$5:$F$140,2,FALSE)),"NULL",(vlookup(A86,'VA Data'!$E$5:$F$140,2,FALSE)))</f>
        <v>NULL</v>
      </c>
      <c r="G86" s="612" t="s">
        <v>63</v>
      </c>
      <c r="H86" s="671" t="s">
        <v>63</v>
      </c>
      <c r="I86" s="614">
        <f>IF(ISBLANK(vlookup(A86,'VA Data'!$G$5:$H$144,2,FALSE)),"NULL",(vlookup(A86,'VA Data'!$G$5:$H$144,2,FALSE)))</f>
        <v>1</v>
      </c>
      <c r="J86" s="615" t="s">
        <v>63</v>
      </c>
      <c r="K86" s="1061">
        <f>IF(ISBLANK(vlookup(A86,'VA Data'!$I$5:$J$140,2,FALSE)),"NULL",(vlookup(A86,'VA Data'!$I$5:$J$140,2,FALSE)))</f>
        <v>0</v>
      </c>
      <c r="L86" s="671" t="s">
        <v>63</v>
      </c>
      <c r="M86" s="614" t="s">
        <v>63</v>
      </c>
      <c r="N86" s="612" t="s">
        <v>63</v>
      </c>
      <c r="O86" s="612" t="s">
        <v>63</v>
      </c>
      <c r="P86" s="620">
        <f>ifna(vlookup(A86,'Population &amp; Church Numbers'!$A$2823:$D$2955,4,FALSE),"NULL")</f>
        <v>56</v>
      </c>
      <c r="Q86" s="674" t="s">
        <v>63</v>
      </c>
    </row>
    <row r="87">
      <c r="A87" s="609" t="s">
        <v>2266</v>
      </c>
      <c r="B87" s="610">
        <f t="array" ref="B87">VLOOKUP($A87,VA_DEMO,2,FALSE)</f>
        <v>140032</v>
      </c>
      <c r="C87" s="704">
        <f>vlookup(A87,'VA Data'!$A$5:$B$144,2,FALSE)</f>
        <v>63</v>
      </c>
      <c r="D87" s="612" t="s">
        <v>63</v>
      </c>
      <c r="E87" s="612">
        <f>IF(ISBLANK(vlookup(A87,'VA Data'!$C$5:$D$140,2,FALSE)),"NULL",(vlookup(A87,'VA Data'!$C$5:$D$140,2,FALSE)))</f>
        <v>30</v>
      </c>
      <c r="F87" s="612">
        <f>IF(ISBLANK(vlookup(A87,'VA Data'!$E$5:$F$140,2,FALSE)),"NULL",(vlookup(A87,'VA Data'!$E$5:$F$140,2,FALSE)))</f>
        <v>3</v>
      </c>
      <c r="G87" s="612" t="s">
        <v>63</v>
      </c>
      <c r="H87" s="671" t="s">
        <v>63</v>
      </c>
      <c r="I87" s="614">
        <f>IF(ISBLANK(vlookup(A87,'VA Data'!$G$5:$H$144,2,FALSE)),"NULL",(vlookup(A87,'VA Data'!$G$5:$H$144,2,FALSE)))</f>
        <v>22</v>
      </c>
      <c r="J87" s="615" t="s">
        <v>63</v>
      </c>
      <c r="K87" s="1061">
        <f>IF(ISBLANK(vlookup(A87,'VA Data'!$I$5:$J$140,2,FALSE)),"NULL",(vlookup(A87,'VA Data'!$I$5:$J$140,2,FALSE)))</f>
        <v>0.407</v>
      </c>
      <c r="L87" s="671" t="s">
        <v>63</v>
      </c>
      <c r="M87" s="614" t="s">
        <v>63</v>
      </c>
      <c r="N87" s="612" t="s">
        <v>63</v>
      </c>
      <c r="O87" s="612" t="s">
        <v>63</v>
      </c>
      <c r="P87" s="620">
        <f>ifna(vlookup(A87,'Population &amp; Church Numbers'!$A$2823:$D$2955,4,FALSE),"NULL")</f>
        <v>77</v>
      </c>
      <c r="Q87" s="674" t="s">
        <v>63</v>
      </c>
    </row>
    <row r="88">
      <c r="A88" s="609" t="s">
        <v>1013</v>
      </c>
      <c r="B88" s="610">
        <f t="array" ref="B88">VLOOKUP($A88,VA_DEMO,2,FALSE)</f>
        <v>156927</v>
      </c>
      <c r="C88" s="704">
        <f>vlookup(A88,'VA Data'!$A$5:$B$144,2,FALSE)</f>
        <v>59</v>
      </c>
      <c r="D88" s="612" t="s">
        <v>63</v>
      </c>
      <c r="E88" s="612">
        <f>IF(ISBLANK(vlookup(A88,'VA Data'!$C$5:$D$140,2,FALSE)),"NULL",(vlookup(A88,'VA Data'!$C$5:$D$140,2,FALSE)))</f>
        <v>50</v>
      </c>
      <c r="F88" s="612">
        <f>IF(ISBLANK(vlookup(A88,'VA Data'!$E$5:$F$140,2,FALSE)),"NULL",(vlookup(A88,'VA Data'!$E$5:$F$140,2,FALSE)))</f>
        <v>4</v>
      </c>
      <c r="G88" s="612" t="s">
        <v>63</v>
      </c>
      <c r="H88" s="671" t="s">
        <v>63</v>
      </c>
      <c r="I88" s="614">
        <f>IF(ISBLANK(vlookup(A88,'VA Data'!$G$5:$H$144,2,FALSE)),"NULL",(vlookup(A88,'VA Data'!$G$5:$H$144,2,FALSE)))</f>
        <v>22</v>
      </c>
      <c r="J88" s="615" t="s">
        <v>63</v>
      </c>
      <c r="K88" s="1061">
        <f>IF(ISBLANK(vlookup(A88,'VA Data'!$I$5:$J$140,2,FALSE)),"NULL",(vlookup(A88,'VA Data'!$I$5:$J$140,2,FALSE)))</f>
        <v>0.5</v>
      </c>
      <c r="L88" s="671" t="s">
        <v>63</v>
      </c>
      <c r="M88" s="614" t="s">
        <v>63</v>
      </c>
      <c r="N88" s="612" t="s">
        <v>63</v>
      </c>
      <c r="O88" s="612" t="s">
        <v>63</v>
      </c>
      <c r="P88" s="620">
        <f>ifna(vlookup(A88,'Population &amp; Church Numbers'!$A$2823:$D$2955,4,FALSE),"NULL")</f>
        <v>89</v>
      </c>
      <c r="Q88" s="674" t="s">
        <v>63</v>
      </c>
    </row>
    <row r="89">
      <c r="A89" s="609" t="s">
        <v>1631</v>
      </c>
      <c r="B89" s="610">
        <f t="array" ref="B89">VLOOKUP($A89,VA_DEMO,2,FALSE)</f>
        <v>6561</v>
      </c>
      <c r="C89" s="704">
        <f>vlookup(A89,'VA Data'!$A$5:$B$144,2,FALSE)</f>
        <v>1</v>
      </c>
      <c r="D89" s="612" t="s">
        <v>63</v>
      </c>
      <c r="E89" s="612" t="str">
        <f>IF(ISBLANK(vlookup(A89,'VA Data'!$C$5:$D$140,2,FALSE)),"NULL",(vlookup(A89,'VA Data'!$C$5:$D$140,2,FALSE)))</f>
        <v>NULL</v>
      </c>
      <c r="F89" s="612">
        <f>IF(ISBLANK(vlookup(A89,'VA Data'!$E$5:$F$140,2,FALSE)),"NULL",(vlookup(A89,'VA Data'!$E$5:$F$140,2,FALSE)))</f>
        <v>1</v>
      </c>
      <c r="G89" s="612" t="s">
        <v>63</v>
      </c>
      <c r="H89" s="671" t="s">
        <v>63</v>
      </c>
      <c r="I89" s="614">
        <f>IF(ISBLANK(vlookup(A89,'VA Data'!$G$5:$H$144,2,FALSE)),"NULL",(vlookup(A89,'VA Data'!$G$5:$H$144,2,FALSE)))</f>
        <v>1</v>
      </c>
      <c r="J89" s="615" t="s">
        <v>63</v>
      </c>
      <c r="K89" s="1061">
        <f>IF(ISBLANK(vlookup(A89,'VA Data'!$I$5:$J$140,2,FALSE)),"NULL",(vlookup(A89,'VA Data'!$I$5:$J$140,2,FALSE)))</f>
        <v>0</v>
      </c>
      <c r="L89" s="671" t="s">
        <v>63</v>
      </c>
      <c r="M89" s="614" t="s">
        <v>63</v>
      </c>
      <c r="N89" s="612" t="s">
        <v>63</v>
      </c>
      <c r="O89" s="612" t="s">
        <v>63</v>
      </c>
      <c r="P89" s="620">
        <f>ifna(vlookup(A89,'Population &amp; Church Numbers'!$A$2823:$D$2955,4,FALSE),"NULL")</f>
        <v>25</v>
      </c>
      <c r="Q89" s="674" t="s">
        <v>63</v>
      </c>
    </row>
    <row r="90">
      <c r="A90" s="609" t="s">
        <v>476</v>
      </c>
      <c r="B90" s="610">
        <f t="array" ref="B90">VLOOKUP($A90,VA_DEMO,2,FALSE)</f>
        <v>10829</v>
      </c>
      <c r="C90" s="704">
        <f>vlookup(A90,'VA Data'!$A$5:$B$144,2,FALSE)</f>
        <v>27</v>
      </c>
      <c r="D90" s="612" t="s">
        <v>63</v>
      </c>
      <c r="E90" s="612">
        <f>IF(ISBLANK(vlookup(A90,'VA Data'!$C$5:$D$140,2,FALSE)),"NULL",(vlookup(A90,'VA Data'!$C$5:$D$140,2,FALSE)))</f>
        <v>17</v>
      </c>
      <c r="F90" s="612">
        <f>IF(ISBLANK(vlookup(A90,'VA Data'!$E$5:$F$140,2,FALSE)),"NULL",(vlookup(A90,'VA Data'!$E$5:$F$140,2,FALSE)))</f>
        <v>3</v>
      </c>
      <c r="G90" s="612" t="s">
        <v>63</v>
      </c>
      <c r="H90" s="671" t="s">
        <v>63</v>
      </c>
      <c r="I90" s="614">
        <f>IF(ISBLANK(vlookup(A90,'VA Data'!$G$5:$H$144,2,FALSE)),"NULL",(vlookup(A90,'VA Data'!$G$5:$H$144,2,FALSE)))</f>
        <v>5</v>
      </c>
      <c r="J90" s="615" t="s">
        <v>63</v>
      </c>
      <c r="K90" s="1061">
        <f>IF(ISBLANK(vlookup(A90,'VA Data'!$I$5:$J$140,2,FALSE)),"NULL",(vlookup(A90,'VA Data'!$I$5:$J$140,2,FALSE)))</f>
        <v>0.6</v>
      </c>
      <c r="L90" s="671" t="s">
        <v>63</v>
      </c>
      <c r="M90" s="614" t="s">
        <v>63</v>
      </c>
      <c r="N90" s="612" t="s">
        <v>63</v>
      </c>
      <c r="O90" s="612" t="s">
        <v>63</v>
      </c>
      <c r="P90" s="620">
        <f>ifna(vlookup(A90,'Population &amp; Church Numbers'!$A$2823:$D$2955,4,FALSE),"NULL")</f>
        <v>37</v>
      </c>
      <c r="Q90" s="674" t="s">
        <v>63</v>
      </c>
    </row>
    <row r="91">
      <c r="A91" s="609" t="s">
        <v>749</v>
      </c>
      <c r="B91" s="610">
        <f t="array" ref="B91">VLOOKUP($A91,VA_DEMO,2,FALSE)</f>
        <v>40429</v>
      </c>
      <c r="C91" s="704">
        <f>vlookup(A91,'VA Data'!$A$5:$B$144,2,FALSE)</f>
        <v>55</v>
      </c>
      <c r="D91" s="612" t="s">
        <v>63</v>
      </c>
      <c r="E91" s="612">
        <f>IF(ISBLANK(vlookup(A91,'VA Data'!$C$5:$D$140,2,FALSE)),"NULL",(vlookup(A91,'VA Data'!$C$5:$D$140,2,FALSE)))</f>
        <v>23</v>
      </c>
      <c r="F91" s="612">
        <f>IF(ISBLANK(vlookup(A91,'VA Data'!$E$5:$F$140,2,FALSE)),"NULL",(vlookup(A91,'VA Data'!$E$5:$F$140,2,FALSE)))</f>
        <v>8</v>
      </c>
      <c r="G91" s="612" t="s">
        <v>63</v>
      </c>
      <c r="H91" s="671" t="s">
        <v>63</v>
      </c>
      <c r="I91" s="614">
        <f>IF(ISBLANK(vlookup(A91,'VA Data'!$G$5:$H$144,2,FALSE)),"NULL",(vlookup(A91,'VA Data'!$G$5:$H$144,2,FALSE)))</f>
        <v>14</v>
      </c>
      <c r="J91" s="615" t="s">
        <v>63</v>
      </c>
      <c r="K91" s="1061">
        <f>IF(ISBLANK(vlookup(A91,'VA Data'!$I$5:$J$140,2,FALSE)),"NULL",(vlookup(A91,'VA Data'!$I$5:$J$140,2,FALSE)))</f>
        <v>0.211</v>
      </c>
      <c r="L91" s="671" t="s">
        <v>63</v>
      </c>
      <c r="M91" s="614" t="s">
        <v>63</v>
      </c>
      <c r="N91" s="612" t="s">
        <v>63</v>
      </c>
      <c r="O91" s="612" t="s">
        <v>63</v>
      </c>
      <c r="P91" s="620">
        <f>ifna(vlookup(A91,'Population &amp; Church Numbers'!$A$2823:$D$2955,4,FALSE),"NULL")</f>
        <v>75</v>
      </c>
      <c r="Q91" s="674" t="s">
        <v>63</v>
      </c>
    </row>
    <row r="92">
      <c r="A92" s="609" t="s">
        <v>647</v>
      </c>
      <c r="B92" s="610">
        <f t="array" ref="B92">VLOOKUP($A92,VA_DEMO,2,FALSE)</f>
        <v>40727</v>
      </c>
      <c r="C92" s="704">
        <f>vlookup(A92,'VA Data'!$A$5:$B$144,2,FALSE)</f>
        <v>44</v>
      </c>
      <c r="D92" s="612" t="s">
        <v>63</v>
      </c>
      <c r="E92" s="612">
        <f>IF(ISBLANK(vlookup(A92,'VA Data'!$C$5:$D$140,2,FALSE)),"NULL",(vlookup(A92,'VA Data'!$C$5:$D$140,2,FALSE)))</f>
        <v>35</v>
      </c>
      <c r="F92" s="612">
        <f>IF(ISBLANK(vlookup(A92,'VA Data'!$E$5:$F$140,2,FALSE)),"NULL",(vlookup(A92,'VA Data'!$E$5:$F$140,2,FALSE)))</f>
        <v>3</v>
      </c>
      <c r="G92" s="612" t="s">
        <v>63</v>
      </c>
      <c r="H92" s="671" t="s">
        <v>63</v>
      </c>
      <c r="I92" s="614">
        <f>IF(ISBLANK(vlookup(A92,'VA Data'!$G$5:$H$144,2,FALSE)),"NULL",(vlookup(A92,'VA Data'!$G$5:$H$144,2,FALSE)))</f>
        <v>7</v>
      </c>
      <c r="J92" s="615" t="s">
        <v>63</v>
      </c>
      <c r="K92" s="1061">
        <f>IF(ISBLANK(vlookup(A92,'VA Data'!$I$5:$J$140,2,FALSE)),"NULL",(vlookup(A92,'VA Data'!$I$5:$J$140,2,FALSE)))</f>
        <v>0.25</v>
      </c>
      <c r="L92" s="671" t="s">
        <v>63</v>
      </c>
      <c r="M92" s="614" t="s">
        <v>63</v>
      </c>
      <c r="N92" s="612" t="s">
        <v>63</v>
      </c>
      <c r="O92" s="612" t="s">
        <v>63</v>
      </c>
      <c r="P92" s="620">
        <f>ifna(vlookup(A92,'Population &amp; Church Numbers'!$A$2823:$D$2955,4,FALSE),"NULL")</f>
        <v>37</v>
      </c>
      <c r="Q92" s="674" t="s">
        <v>63</v>
      </c>
    </row>
    <row r="93">
      <c r="A93" s="609" t="s">
        <v>119</v>
      </c>
      <c r="B93" s="610">
        <f t="array" ref="B93">VLOOKUP($A93,VA_DEMO,2,FALSE)</f>
        <v>53935</v>
      </c>
      <c r="C93" s="704">
        <f>vlookup(A93,'VA Data'!$A$5:$B$144,2,FALSE)</f>
        <v>114</v>
      </c>
      <c r="D93" s="612" t="s">
        <v>63</v>
      </c>
      <c r="E93" s="612">
        <f>IF(ISBLANK(vlookup(A93,'VA Data'!$C$5:$D$140,2,FALSE)),"NULL",(vlookup(A93,'VA Data'!$C$5:$D$140,2,FALSE)))</f>
        <v>61</v>
      </c>
      <c r="F93" s="612">
        <f>IF(ISBLANK(vlookup(A93,'VA Data'!$E$5:$F$140,2,FALSE)),"NULL",(vlookup(A93,'VA Data'!$E$5:$F$140,2,FALSE)))</f>
        <v>10</v>
      </c>
      <c r="G93" s="612" t="s">
        <v>63</v>
      </c>
      <c r="H93" s="671" t="s">
        <v>63</v>
      </c>
      <c r="I93" s="614">
        <f>IF(ISBLANK(vlookup(A93,'VA Data'!$G$5:$H$144,2,FALSE)),"NULL",(vlookup(A93,'VA Data'!$G$5:$H$144,2,FALSE)))</f>
        <v>31</v>
      </c>
      <c r="J93" s="615" t="s">
        <v>63</v>
      </c>
      <c r="K93" s="1061">
        <f>IF(ISBLANK(vlookup(A93,'VA Data'!$I$5:$J$140,2,FALSE)),"NULL",(vlookup(A93,'VA Data'!$I$5:$J$140,2,FALSE)))</f>
        <v>0.043</v>
      </c>
      <c r="L93" s="671" t="s">
        <v>63</v>
      </c>
      <c r="M93" s="614" t="s">
        <v>63</v>
      </c>
      <c r="N93" s="612" t="s">
        <v>63</v>
      </c>
      <c r="O93" s="612" t="s">
        <v>63</v>
      </c>
      <c r="P93" s="620">
        <f>ifna(vlookup(A93,'Population &amp; Church Numbers'!$A$2823:$D$2955,4,FALSE),"NULL")</f>
        <v>89</v>
      </c>
      <c r="Q93" s="674" t="s">
        <v>63</v>
      </c>
    </row>
    <row r="94">
      <c r="A94" s="609" t="s">
        <v>1810</v>
      </c>
      <c r="B94" s="610">
        <f t="array" ref="B94">VLOOKUP($A94,VA_DEMO,2,FALSE)</f>
        <v>18477</v>
      </c>
      <c r="C94" s="704">
        <f>vlookup(A94,'VA Data'!$A$5:$B$144,2,FALSE)</f>
        <v>10</v>
      </c>
      <c r="D94" s="612" t="s">
        <v>63</v>
      </c>
      <c r="E94" s="612">
        <f>IF(ISBLANK(vlookup(A94,'VA Data'!$C$5:$D$140,2,FALSE)),"NULL",(vlookup(A94,'VA Data'!$C$5:$D$140,2,FALSE)))</f>
        <v>4</v>
      </c>
      <c r="F94" s="612">
        <f>IF(ISBLANK(vlookup(A94,'VA Data'!$E$5:$F$140,2,FALSE)),"NULL",(vlookup(A94,'VA Data'!$E$5:$F$140,2,FALSE)))</f>
        <v>2</v>
      </c>
      <c r="G94" s="612" t="s">
        <v>63</v>
      </c>
      <c r="H94" s="671" t="s">
        <v>63</v>
      </c>
      <c r="I94" s="614">
        <f>IF(ISBLANK(vlookup(A94,'VA Data'!$G$5:$H$144,2,FALSE)),"NULL",(vlookup(A94,'VA Data'!$G$5:$H$144,2,FALSE)))</f>
        <v>3</v>
      </c>
      <c r="J94" s="615" t="s">
        <v>63</v>
      </c>
      <c r="K94" s="1061">
        <f>IF(ISBLANK(vlookup(A94,'VA Data'!$I$5:$J$140,2,FALSE)),"NULL",(vlookup(A94,'VA Data'!$I$5:$J$140,2,FALSE)))</f>
        <v>0.25</v>
      </c>
      <c r="L94" s="671" t="s">
        <v>63</v>
      </c>
      <c r="M94" s="614" t="s">
        <v>63</v>
      </c>
      <c r="N94" s="612" t="s">
        <v>63</v>
      </c>
      <c r="O94" s="612" t="s">
        <v>63</v>
      </c>
      <c r="P94" s="620">
        <f>ifna(vlookup(A94,'Population &amp; Church Numbers'!$A$2823:$D$2955,4,FALSE),"NULL")</f>
        <v>39</v>
      </c>
      <c r="Q94" s="674" t="s">
        <v>63</v>
      </c>
    </row>
    <row r="95">
      <c r="A95" s="609" t="s">
        <v>2178</v>
      </c>
      <c r="B95" s="610">
        <f t="array" ref="B95">VLOOKUP($A95,VA_DEMO,2,FALSE)</f>
        <v>36130</v>
      </c>
      <c r="C95" s="704">
        <f>vlookup(A95,'VA Data'!$A$5:$B$144,2,FALSE)</f>
        <v>84</v>
      </c>
      <c r="D95" s="612" t="s">
        <v>63</v>
      </c>
      <c r="E95" s="612">
        <f>IF(ISBLANK(vlookup(A95,'VA Data'!$C$5:$D$140,2,FALSE)),"NULL",(vlookup(A95,'VA Data'!$C$5:$D$140,2,FALSE)))</f>
        <v>59</v>
      </c>
      <c r="F95" s="612">
        <f>IF(ISBLANK(vlookup(A95,'VA Data'!$E$5:$F$140,2,FALSE)),"NULL",(vlookup(A95,'VA Data'!$E$5:$F$140,2,FALSE)))</f>
        <v>11</v>
      </c>
      <c r="G95" s="612" t="s">
        <v>63</v>
      </c>
      <c r="H95" s="671" t="s">
        <v>63</v>
      </c>
      <c r="I95" s="614">
        <f>IF(ISBLANK(vlookup(A95,'VA Data'!$G$5:$H$144,2,FALSE)),"NULL",(vlookup(A95,'VA Data'!$G$5:$H$144,2,FALSE)))</f>
        <v>30</v>
      </c>
      <c r="J95" s="615" t="s">
        <v>63</v>
      </c>
      <c r="K95" s="1061">
        <f>IF(ISBLANK(vlookup(A95,'VA Data'!$I$5:$J$140,2,FALSE)),"NULL",(vlookup(A95,'VA Data'!$I$5:$J$140,2,FALSE)))</f>
        <v>0.304</v>
      </c>
      <c r="L95" s="671" t="s">
        <v>63</v>
      </c>
      <c r="M95" s="614" t="s">
        <v>63</v>
      </c>
      <c r="N95" s="612" t="s">
        <v>63</v>
      </c>
      <c r="O95" s="612" t="s">
        <v>63</v>
      </c>
      <c r="P95" s="620">
        <f>ifna(vlookup(A95,'Population &amp; Church Numbers'!$A$2823:$D$2955,4,FALSE),"NULL")</f>
        <v>55</v>
      </c>
      <c r="Q95" s="674" t="s">
        <v>63</v>
      </c>
    </row>
    <row r="96">
      <c r="A96" s="609" t="s">
        <v>2267</v>
      </c>
      <c r="B96" s="610">
        <f t="array" ref="B96">VLOOKUP($A96,VA_DEMO,2,FALSE)</f>
        <v>28290</v>
      </c>
      <c r="C96" s="704">
        <f>vlookup(A96,'VA Data'!$A$5:$B$144,2,FALSE)</f>
        <v>40</v>
      </c>
      <c r="D96" s="612" t="s">
        <v>63</v>
      </c>
      <c r="E96" s="612">
        <f>IF(ISBLANK(vlookup(A96,'VA Data'!$C$5:$D$140,2,FALSE)),"NULL",(vlookup(A96,'VA Data'!$C$5:$D$140,2,FALSE)))</f>
        <v>20</v>
      </c>
      <c r="F96" s="612">
        <f>IF(ISBLANK(vlookup(A96,'VA Data'!$E$5:$F$140,2,FALSE)),"NULL",(vlookup(A96,'VA Data'!$E$5:$F$140,2,FALSE)))</f>
        <v>8</v>
      </c>
      <c r="G96" s="612" t="s">
        <v>63</v>
      </c>
      <c r="H96" s="671" t="s">
        <v>63</v>
      </c>
      <c r="I96" s="614">
        <f>IF(ISBLANK(vlookup(A96,'VA Data'!$G$5:$H$144,2,FALSE)),"NULL",(vlookup(A96,'VA Data'!$G$5:$H$144,2,FALSE)))</f>
        <v>11</v>
      </c>
      <c r="J96" s="615" t="s">
        <v>63</v>
      </c>
      <c r="K96" s="1061">
        <f>IF(ISBLANK(vlookup(A96,'VA Data'!$I$5:$J$140,2,FALSE)),"NULL",(vlookup(A96,'VA Data'!$I$5:$J$140,2,FALSE)))</f>
        <v>0.19</v>
      </c>
      <c r="L96" s="671" t="s">
        <v>63</v>
      </c>
      <c r="M96" s="614" t="s">
        <v>63</v>
      </c>
      <c r="N96" s="612" t="s">
        <v>63</v>
      </c>
      <c r="O96" s="612" t="s">
        <v>63</v>
      </c>
      <c r="P96" s="620">
        <f>ifna(vlookup(A96,'Population &amp; Church Numbers'!$A$2823:$D$2955,4,FALSE),"NULL")</f>
        <v>41</v>
      </c>
      <c r="Q96" s="674" t="s">
        <v>63</v>
      </c>
    </row>
    <row r="97">
      <c r="A97" s="609" t="s">
        <v>1196</v>
      </c>
      <c r="B97" s="610">
        <f t="array" ref="B97">VLOOKUP($A97,VA_DEMO,2,FALSE)</f>
        <v>70045</v>
      </c>
      <c r="C97" s="704">
        <f>vlookup(A97,'VA Data'!$A$5:$B$144,2,FALSE)</f>
        <v>24</v>
      </c>
      <c r="D97" s="612" t="s">
        <v>63</v>
      </c>
      <c r="E97" s="612">
        <f>IF(ISBLANK(vlookup(A97,'VA Data'!$C$5:$D$140,2,FALSE)),"NULL",(vlookup(A97,'VA Data'!$C$5:$D$140,2,FALSE)))</f>
        <v>11</v>
      </c>
      <c r="F97" s="612" t="str">
        <f>IF(ISBLANK(vlookup(A97,'VA Data'!$E$5:$F$140,2,FALSE)),"NULL",(vlookup(A97,'VA Data'!$E$5:$F$140,2,FALSE)))</f>
        <v>NULL</v>
      </c>
      <c r="G97" s="612" t="s">
        <v>63</v>
      </c>
      <c r="H97" s="671" t="s">
        <v>63</v>
      </c>
      <c r="I97" s="614">
        <f>IF(ISBLANK(vlookup(A97,'VA Data'!$G$5:$H$144,2,FALSE)),"NULL",(vlookup(A97,'VA Data'!$G$5:$H$144,2,FALSE)))</f>
        <v>8</v>
      </c>
      <c r="J97" s="615" t="s">
        <v>63</v>
      </c>
      <c r="K97" s="1061">
        <f>IF(ISBLANK(vlookup(A97,'VA Data'!$I$5:$J$140,2,FALSE)),"NULL",(vlookup(A97,'VA Data'!$I$5:$J$140,2,FALSE)))</f>
        <v>0.6</v>
      </c>
      <c r="L97" s="671" t="s">
        <v>63</v>
      </c>
      <c r="M97" s="614" t="s">
        <v>63</v>
      </c>
      <c r="N97" s="612" t="s">
        <v>63</v>
      </c>
      <c r="O97" s="612" t="s">
        <v>63</v>
      </c>
      <c r="P97" s="620">
        <f>ifna(vlookup(A97,'Population &amp; Church Numbers'!$A$2823:$D$2955,4,FALSE),"NULL")</f>
        <v>52</v>
      </c>
      <c r="Q97" s="674" t="s">
        <v>63</v>
      </c>
    </row>
    <row r="98">
      <c r="A98" s="609" t="s">
        <v>4192</v>
      </c>
      <c r="B98" s="610">
        <f t="array" ref="B98">VLOOKUP($A98,VA_DEMO,2,FALSE)</f>
        <v>159467</v>
      </c>
      <c r="C98" s="704">
        <f>vlookup(A98,'VA Data'!$A$5:$B$144,2,FALSE)</f>
        <v>75</v>
      </c>
      <c r="D98" s="612" t="s">
        <v>63</v>
      </c>
      <c r="E98" s="612">
        <f>IF(ISBLANK(vlookup(A98,'VA Data'!$C$5:$D$140,2,FALSE)),"NULL",(vlookup(A98,'VA Data'!$C$5:$D$140,2,FALSE)))</f>
        <v>38</v>
      </c>
      <c r="F98" s="612">
        <f>IF(ISBLANK(vlookup(A98,'VA Data'!$E$5:$F$140,2,FALSE)),"NULL",(vlookup(A98,'VA Data'!$E$5:$F$140,2,FALSE)))</f>
        <v>13</v>
      </c>
      <c r="G98" s="612" t="s">
        <v>63</v>
      </c>
      <c r="H98" s="671" t="s">
        <v>63</v>
      </c>
      <c r="I98" s="614">
        <f>IF(ISBLANK(vlookup(A98,'VA Data'!$G$5:$H$144,2,FALSE)),"NULL",(vlookup(A98,'VA Data'!$G$5:$H$144,2,FALSE)))</f>
        <v>26</v>
      </c>
      <c r="J98" s="615" t="s">
        <v>63</v>
      </c>
      <c r="K98" s="1061">
        <f>IF(ISBLANK(vlookup(A98,'VA Data'!$I$5:$J$140,2,FALSE)),"NULL",(vlookup(A98,'VA Data'!$I$5:$J$140,2,FALSE)))</f>
        <v>0.075</v>
      </c>
      <c r="L98" s="671" t="s">
        <v>63</v>
      </c>
      <c r="M98" s="614" t="s">
        <v>63</v>
      </c>
      <c r="N98" s="612" t="s">
        <v>63</v>
      </c>
      <c r="O98" s="612" t="s">
        <v>63</v>
      </c>
      <c r="P98" s="620">
        <f>ifna(vlookup(A98,'Population &amp; Church Numbers'!$A$2823:$D$2955,4,FALSE),"NULL")</f>
        <v>63</v>
      </c>
      <c r="Q98" s="674" t="s">
        <v>63</v>
      </c>
    </row>
    <row r="99">
      <c r="A99" s="609" t="s">
        <v>634</v>
      </c>
      <c r="B99" s="610">
        <f t="array" ref="B99">VLOOKUP($A99,VA_DEMO,2,FALSE)</f>
        <v>17219</v>
      </c>
      <c r="C99" s="704">
        <f>vlookup(A99,'VA Data'!$A$5:$B$144,2,FALSE)</f>
        <v>47</v>
      </c>
      <c r="D99" s="612" t="s">
        <v>63</v>
      </c>
      <c r="E99" s="612">
        <f>IF(ISBLANK(vlookup(A99,'VA Data'!$C$5:$D$140,2,FALSE)),"NULL",(vlookup(A99,'VA Data'!$C$5:$D$140,2,FALSE)))</f>
        <v>26</v>
      </c>
      <c r="F99" s="612">
        <f>IF(ISBLANK(vlookup(A99,'VA Data'!$E$5:$F$140,2,FALSE)),"NULL",(vlookup(A99,'VA Data'!$E$5:$F$140,2,FALSE)))</f>
        <v>2</v>
      </c>
      <c r="G99" s="612" t="s">
        <v>63</v>
      </c>
      <c r="H99" s="671" t="s">
        <v>63</v>
      </c>
      <c r="I99" s="614">
        <f>IF(ISBLANK(vlookup(A99,'VA Data'!$G$5:$H$144,2,FALSE)),"NULL",(vlookup(A99,'VA Data'!$G$5:$H$144,2,FALSE)))</f>
        <v>18</v>
      </c>
      <c r="J99" s="615" t="s">
        <v>63</v>
      </c>
      <c r="K99" s="1061">
        <f>IF(ISBLANK(vlookup(A99,'VA Data'!$I$5:$J$140,2,FALSE)),"NULL",(vlookup(A99,'VA Data'!$I$5:$J$140,2,FALSE)))</f>
        <v>0.056</v>
      </c>
      <c r="L99" s="671" t="s">
        <v>63</v>
      </c>
      <c r="M99" s="614" t="s">
        <v>63</v>
      </c>
      <c r="N99" s="612" t="s">
        <v>63</v>
      </c>
      <c r="O99" s="612" t="s">
        <v>63</v>
      </c>
      <c r="P99" s="620">
        <f>ifna(vlookup(A99,'Population &amp; Church Numbers'!$A$2823:$D$2955,4,FALSE),"NULL")</f>
        <v>44</v>
      </c>
      <c r="Q99" s="674" t="s">
        <v>63</v>
      </c>
    </row>
    <row r="100">
      <c r="A100" s="609" t="s">
        <v>893</v>
      </c>
      <c r="B100" s="610">
        <f t="array" ref="B100">VLOOKUP($A100,VA_DEMO,2,FALSE)</f>
        <v>6641</v>
      </c>
      <c r="C100" s="704">
        <f>vlookup(A100,'VA Data'!$A$5:$B$144,2,FALSE)</f>
        <v>12</v>
      </c>
      <c r="D100" s="612" t="s">
        <v>63</v>
      </c>
      <c r="E100" s="612" t="str">
        <f>IF(ISBLANK(vlookup(A100,'VA Data'!$C$5:$D$140,2,FALSE)),"NULL",(vlookup(A100,'VA Data'!$C$5:$D$140,2,FALSE)))</f>
        <v>NULL</v>
      </c>
      <c r="F100" s="612" t="str">
        <f>IF(ISBLANK(vlookup(A100,'VA Data'!$E$5:$F$140,2,FALSE)),"NULL",(vlookup(A100,'VA Data'!$E$5:$F$140,2,FALSE)))</f>
        <v>NULL</v>
      </c>
      <c r="G100" s="612" t="s">
        <v>63</v>
      </c>
      <c r="H100" s="671" t="s">
        <v>63</v>
      </c>
      <c r="I100" s="614">
        <f>IF(ISBLANK(vlookup(A100,'VA Data'!$G$5:$H$144,2,FALSE)),"NULL",(vlookup(A100,'VA Data'!$G$5:$H$144,2,FALSE)))</f>
        <v>1</v>
      </c>
      <c r="J100" s="615" t="s">
        <v>63</v>
      </c>
      <c r="K100" s="1061">
        <f>IF(ISBLANK(vlookup(A100,'VA Data'!$I$5:$J$140,2,FALSE)),"NULL",(vlookup(A100,'VA Data'!$I$5:$J$140,2,FALSE)))</f>
        <v>0</v>
      </c>
      <c r="L100" s="671" t="s">
        <v>63</v>
      </c>
      <c r="M100" s="614" t="s">
        <v>63</v>
      </c>
      <c r="N100" s="612" t="s">
        <v>63</v>
      </c>
      <c r="O100" s="612" t="s">
        <v>63</v>
      </c>
      <c r="P100" s="620">
        <f>ifna(vlookup(A100,'Population &amp; Church Numbers'!$A$2823:$D$2955,4,FALSE),"NULL")</f>
        <v>13</v>
      </c>
      <c r="Q100" s="674" t="s">
        <v>63</v>
      </c>
    </row>
    <row r="101">
      <c r="A101" s="609" t="s">
        <v>4195</v>
      </c>
      <c r="B101" s="610">
        <f t="array" ref="B101">VLOOKUP($A101,VA_DEMO,2,FALSE)</f>
        <v>46553</v>
      </c>
      <c r="C101" s="704">
        <f>vlookup(A101,'VA Data'!$A$5:$B$144,2,FALSE)</f>
        <v>56</v>
      </c>
      <c r="D101" s="612" t="s">
        <v>63</v>
      </c>
      <c r="E101" s="612">
        <f>IF(ISBLANK(vlookup(A101,'VA Data'!$C$5:$D$140,2,FALSE)),"NULL",(vlookup(A101,'VA Data'!$C$5:$D$140,2,FALSE)))</f>
        <v>15</v>
      </c>
      <c r="F101" s="612">
        <f>IF(ISBLANK(vlookup(A101,'VA Data'!$E$5:$F$140,2,FALSE)),"NULL",(vlookup(A101,'VA Data'!$E$5:$F$140,2,FALSE)))</f>
        <v>17</v>
      </c>
      <c r="G101" s="612" t="s">
        <v>63</v>
      </c>
      <c r="H101" s="671" t="s">
        <v>63</v>
      </c>
      <c r="I101" s="614">
        <f>IF(ISBLANK(vlookup(A101,'VA Data'!$G$5:$H$144,2,FALSE)),"NULL",(vlookup(A101,'VA Data'!$G$5:$H$144,2,FALSE)))</f>
        <v>9</v>
      </c>
      <c r="J101" s="615" t="s">
        <v>63</v>
      </c>
      <c r="K101" s="1061">
        <f>IF(ISBLANK(vlookup(A101,'VA Data'!$I$5:$J$140,2,FALSE)),"NULL",(vlookup(A101,'VA Data'!$I$5:$J$140,2,FALSE)))</f>
        <v>0.565</v>
      </c>
      <c r="L101" s="671" t="s">
        <v>63</v>
      </c>
      <c r="M101" s="614" t="s">
        <v>63</v>
      </c>
      <c r="N101" s="612" t="s">
        <v>63</v>
      </c>
      <c r="O101" s="612" t="s">
        <v>63</v>
      </c>
      <c r="P101" s="620">
        <f>ifna(vlookup(A101,'Population &amp; Church Numbers'!$A$2823:$D$2955,4,FALSE),"NULL")</f>
        <v>44</v>
      </c>
      <c r="Q101" s="674" t="s">
        <v>63</v>
      </c>
    </row>
    <row r="102">
      <c r="A102" s="609" t="s">
        <v>4196</v>
      </c>
      <c r="B102" s="610">
        <f t="array" ref="B102">VLOOKUP($A102,VA_DEMO,2,FALSE)</f>
        <v>249422</v>
      </c>
      <c r="C102" s="704">
        <f>vlookup(A102,'VA Data'!$A$5:$B$144,2,FALSE)</f>
        <v>65</v>
      </c>
      <c r="D102" s="612" t="s">
        <v>63</v>
      </c>
      <c r="E102" s="612">
        <f>IF(ISBLANK(vlookup(A102,'VA Data'!$C$5:$D$140,2,FALSE)),"NULL",(vlookup(A102,'VA Data'!$C$5:$D$140,2,FALSE)))</f>
        <v>39</v>
      </c>
      <c r="F102" s="612">
        <f>IF(ISBLANK(vlookup(A102,'VA Data'!$E$5:$F$140,2,FALSE)),"NULL",(vlookup(A102,'VA Data'!$E$5:$F$140,2,FALSE)))</f>
        <v>9</v>
      </c>
      <c r="G102" s="612" t="s">
        <v>63</v>
      </c>
      <c r="H102" s="671" t="s">
        <v>63</v>
      </c>
      <c r="I102" s="614">
        <f>IF(ISBLANK(vlookup(A102,'VA Data'!$G$5:$H$144,2,FALSE)),"NULL",(vlookup(A102,'VA Data'!$G$5:$H$144,2,FALSE)))</f>
        <v>38</v>
      </c>
      <c r="J102" s="615" t="s">
        <v>63</v>
      </c>
      <c r="K102" s="1061">
        <f>IF(ISBLANK(vlookup(A102,'VA Data'!$I$5:$J$140,2,FALSE)),"NULL",(vlookup(A102,'VA Data'!$I$5:$J$140,2,FALSE)))</f>
        <v>0.273</v>
      </c>
      <c r="L102" s="671" t="s">
        <v>63</v>
      </c>
      <c r="M102" s="614" t="s">
        <v>63</v>
      </c>
      <c r="N102" s="612" t="s">
        <v>63</v>
      </c>
      <c r="O102" s="612" t="s">
        <v>63</v>
      </c>
      <c r="P102" s="620">
        <f>ifna(vlookup(A102,'Population &amp; Church Numbers'!$A$2823:$D$2955,4,FALSE),"NULL")</f>
        <v>190</v>
      </c>
      <c r="Q102" s="674" t="s">
        <v>63</v>
      </c>
    </row>
    <row r="103">
      <c r="A103" s="609" t="s">
        <v>4197</v>
      </c>
      <c r="B103" s="610">
        <f t="array" ref="B103">VLOOKUP($A103,VA_DEMO,2,FALSE)</f>
        <v>18170</v>
      </c>
      <c r="C103" s="704">
        <f>vlookup(A103,'VA Data'!$A$5:$B$144,2,FALSE)</f>
        <v>14</v>
      </c>
      <c r="D103" s="612" t="s">
        <v>63</v>
      </c>
      <c r="E103" s="612" t="str">
        <f>IF(ISBLANK(vlookup(A103,'VA Data'!$C$5:$D$140,2,FALSE)),"NULL",(vlookup(A103,'VA Data'!$C$5:$D$140,2,FALSE)))</f>
        <v>NULL</v>
      </c>
      <c r="F103" s="612" t="str">
        <f>IF(ISBLANK(vlookup(A103,'VA Data'!$E$5:$F$140,2,FALSE)),"NULL",(vlookup(A103,'VA Data'!$E$5:$F$140,2,FALSE)))</f>
        <v>NULL</v>
      </c>
      <c r="G103" s="612" t="s">
        <v>63</v>
      </c>
      <c r="H103" s="671" t="s">
        <v>63</v>
      </c>
      <c r="I103" s="614">
        <f>IF(ISBLANK(vlookup(A103,'VA Data'!$G$5:$H$144,2,FALSE)),"NULL",(vlookup(A103,'VA Data'!$G$5:$H$144,2,FALSE)))</f>
        <v>14</v>
      </c>
      <c r="J103" s="615" t="s">
        <v>63</v>
      </c>
      <c r="K103" s="1061">
        <f>IF(ISBLANK(vlookup(A103,'VA Data'!$I$5:$J$140,2,FALSE)),"NULL",(vlookup(A103,'VA Data'!$I$5:$J$140,2,FALSE)))</f>
        <v>0</v>
      </c>
      <c r="L103" s="671" t="s">
        <v>63</v>
      </c>
      <c r="M103" s="614" t="s">
        <v>63</v>
      </c>
      <c r="N103" s="612" t="s">
        <v>63</v>
      </c>
      <c r="O103" s="612" t="s">
        <v>63</v>
      </c>
      <c r="P103" s="620">
        <f>ifna(vlookup(A103,'Population &amp; Church Numbers'!$A$2823:$D$2955,4,FALSE),"NULL")</f>
        <v>17</v>
      </c>
      <c r="Q103" s="674" t="s">
        <v>63</v>
      </c>
    </row>
    <row r="104">
      <c r="A104" s="609" t="s">
        <v>126</v>
      </c>
      <c r="B104" s="610">
        <f t="array" ref="B104">VLOOKUP($A104,VA_DEMO,2,FALSE)</f>
        <v>5737</v>
      </c>
      <c r="C104" s="704">
        <f>vlookup(A104,'VA Data'!$A$5:$B$144,2,FALSE)</f>
        <v>0</v>
      </c>
      <c r="D104" s="612" t="s">
        <v>63</v>
      </c>
      <c r="E104" s="612" t="str">
        <f>IF(ISBLANK(vlookup(A104,'VA Data'!$C$5:$D$140,2,FALSE)),"NULL",(vlookup(A104,'VA Data'!$C$5:$D$140,2,FALSE)))</f>
        <v>NULL</v>
      </c>
      <c r="F104" s="612" t="str">
        <f>IF(ISBLANK(vlookup(A104,'VA Data'!$E$5:$F$140,2,FALSE)),"NULL",(vlookup(A104,'VA Data'!$E$5:$F$140,2,FALSE)))</f>
        <v>NULL</v>
      </c>
      <c r="G104" s="612" t="s">
        <v>63</v>
      </c>
      <c r="H104" s="671" t="s">
        <v>63</v>
      </c>
      <c r="I104" s="614">
        <f>IF(ISBLANK(vlookup(A104,'VA Data'!$G$5:$H$144,2,FALSE)),"NULL",(vlookup(A104,'VA Data'!$G$5:$H$144,2,FALSE)))</f>
        <v>0</v>
      </c>
      <c r="J104" s="615" t="s">
        <v>63</v>
      </c>
      <c r="K104" s="1061">
        <f>IF(ISBLANK(vlookup(A104,'VA Data'!$I$5:$J$140,2,FALSE)),"NULL",(vlookup(A104,'VA Data'!$I$5:$J$140,2,FALSE)))</f>
        <v>0</v>
      </c>
      <c r="L104" s="671" t="s">
        <v>63</v>
      </c>
      <c r="M104" s="614" t="s">
        <v>63</v>
      </c>
      <c r="N104" s="612" t="s">
        <v>63</v>
      </c>
      <c r="O104" s="612" t="s">
        <v>63</v>
      </c>
      <c r="P104" s="620">
        <f>ifna(vlookup(A104,'Population &amp; Church Numbers'!$A$2823:$D$2955,4,FALSE),"NULL")</f>
        <v>28</v>
      </c>
      <c r="Q104" s="674" t="s">
        <v>63</v>
      </c>
    </row>
    <row r="105">
      <c r="A105" s="609" t="s">
        <v>4199</v>
      </c>
      <c r="B105" s="610">
        <f t="array" ref="B105">VLOOKUP($A105,VA_DEMO,2,FALSE)</f>
        <v>42590</v>
      </c>
      <c r="C105" s="704">
        <f>vlookup(A105,'VA Data'!$A$5:$B$144,2,FALSE)</f>
        <v>39</v>
      </c>
      <c r="D105" s="612" t="s">
        <v>63</v>
      </c>
      <c r="E105" s="612">
        <f>IF(ISBLANK(vlookup(A105,'VA Data'!$C$5:$D$140,2,FALSE)),"NULL",(vlookup(A105,'VA Data'!$C$5:$D$140,2,FALSE)))</f>
        <v>24</v>
      </c>
      <c r="F105" s="612">
        <f>IF(ISBLANK(vlookup(A105,'VA Data'!$E$5:$F$140,2,FALSE)),"NULL",(vlookup(A105,'VA Data'!$E$5:$F$140,2,FALSE)))</f>
        <v>1</v>
      </c>
      <c r="G105" s="612" t="s">
        <v>63</v>
      </c>
      <c r="H105" s="671" t="s">
        <v>63</v>
      </c>
      <c r="I105" s="614">
        <f>IF(ISBLANK(vlookup(A105,'VA Data'!$G$5:$H$144,2,FALSE)),"NULL",(vlookup(A105,'VA Data'!$G$5:$H$144,2,FALSE)))</f>
        <v>12</v>
      </c>
      <c r="J105" s="615" t="s">
        <v>63</v>
      </c>
      <c r="K105" s="1061">
        <f>IF(ISBLANK(vlookup(A105,'VA Data'!$I$5:$J$140,2,FALSE)),"NULL",(vlookup(A105,'VA Data'!$I$5:$J$140,2,FALSE)))</f>
        <v>0.412</v>
      </c>
      <c r="L105" s="671" t="s">
        <v>63</v>
      </c>
      <c r="M105" s="614" t="s">
        <v>63</v>
      </c>
      <c r="N105" s="612" t="s">
        <v>63</v>
      </c>
      <c r="O105" s="612" t="s">
        <v>63</v>
      </c>
      <c r="P105" s="620">
        <f>ifna(vlookup(A105,'Population &amp; Church Numbers'!$A$2823:$D$2955,4,FALSE),"NULL")</f>
        <v>94</v>
      </c>
      <c r="Q105" s="674" t="s">
        <v>63</v>
      </c>
    </row>
    <row r="106">
      <c r="A106" s="609" t="s">
        <v>4200</v>
      </c>
      <c r="B106" s="610">
        <f t="array" ref="B106">VLOOKUP($A106,VA_DEMO,2,FALSE)</f>
        <v>5766</v>
      </c>
      <c r="C106" s="704">
        <f>vlookup(A106,'VA Data'!$A$5:$B$144,2,FALSE)</f>
        <v>0</v>
      </c>
      <c r="D106" s="612" t="s">
        <v>63</v>
      </c>
      <c r="E106" s="612" t="str">
        <f>IF(ISBLANK(vlookup(A106,'VA Data'!$C$5:$D$140,2,FALSE)),"NULL",(vlookup(A106,'VA Data'!$C$5:$D$140,2,FALSE)))</f>
        <v>NULL</v>
      </c>
      <c r="F106" s="612" t="str">
        <f>IF(ISBLANK(vlookup(A106,'VA Data'!$E$5:$F$140,2,FALSE)),"NULL",(vlookup(A106,'VA Data'!$E$5:$F$140,2,FALSE)))</f>
        <v>NULL</v>
      </c>
      <c r="G106" s="612" t="s">
        <v>63</v>
      </c>
      <c r="H106" s="671" t="s">
        <v>63</v>
      </c>
      <c r="I106" s="614">
        <f>IF(ISBLANK(vlookup(A106,'VA Data'!$G$5:$H$144,2,FALSE)),"NULL",(vlookup(A106,'VA Data'!$G$5:$H$144,2,FALSE)))</f>
        <v>0</v>
      </c>
      <c r="J106" s="615" t="s">
        <v>63</v>
      </c>
      <c r="K106" s="1061">
        <f>IF(ISBLANK(vlookup(A106,'VA Data'!$I$5:$J$140,2,FALSE)),"NULL",(vlookup(A106,'VA Data'!$I$5:$J$140,2,FALSE)))</f>
        <v>0</v>
      </c>
      <c r="L106" s="671" t="s">
        <v>63</v>
      </c>
      <c r="M106" s="614" t="s">
        <v>63</v>
      </c>
      <c r="N106" s="612" t="s">
        <v>63</v>
      </c>
      <c r="O106" s="612" t="s">
        <v>63</v>
      </c>
      <c r="P106" s="620">
        <f>ifna(vlookup(A106,'Population &amp; Church Numbers'!$A$2823:$D$2955,4,FALSE),"NULL")</f>
        <v>16</v>
      </c>
      <c r="Q106" s="674" t="s">
        <v>63</v>
      </c>
    </row>
    <row r="107">
      <c r="A107" s="609" t="s">
        <v>2279</v>
      </c>
      <c r="B107" s="610">
        <f t="array" ref="B107">VLOOKUP($A107,VA_DEMO,2,FALSE)</f>
        <v>24146</v>
      </c>
      <c r="C107" s="704">
        <f>vlookup(A107,'VA Data'!$A$5:$B$144,2,FALSE)</f>
        <v>0</v>
      </c>
      <c r="D107" s="612" t="s">
        <v>63</v>
      </c>
      <c r="E107" s="612" t="str">
        <f>IF(ISBLANK(vlookup(A107,'VA Data'!$C$5:$D$140,2,FALSE)),"NULL",(vlookup(A107,'VA Data'!$C$5:$D$140,2,FALSE)))</f>
        <v>NULL</v>
      </c>
      <c r="F107" s="612" t="str">
        <f>IF(ISBLANK(vlookup(A107,'VA Data'!$E$5:$F$140,2,FALSE)),"NULL",(vlookup(A107,'VA Data'!$E$5:$F$140,2,FALSE)))</f>
        <v>NULL</v>
      </c>
      <c r="G107" s="612" t="s">
        <v>63</v>
      </c>
      <c r="H107" s="671" t="s">
        <v>63</v>
      </c>
      <c r="I107" s="614">
        <f>IF(ISBLANK(vlookup(A107,'VA Data'!$G$5:$H$144,2,FALSE)),"NULL",(vlookup(A107,'VA Data'!$G$5:$H$144,2,FALSE)))</f>
        <v>0</v>
      </c>
      <c r="J107" s="615" t="s">
        <v>63</v>
      </c>
      <c r="K107" s="1061">
        <f>IF(ISBLANK(vlookup(A107,'VA Data'!$I$5:$J$140,2,FALSE)),"NULL",(vlookup(A107,'VA Data'!$I$5:$J$140,2,FALSE)))</f>
        <v>0</v>
      </c>
      <c r="L107" s="671" t="s">
        <v>63</v>
      </c>
      <c r="M107" s="614" t="s">
        <v>63</v>
      </c>
      <c r="N107" s="612" t="s">
        <v>63</v>
      </c>
      <c r="O107" s="612" t="s">
        <v>63</v>
      </c>
      <c r="P107" s="620">
        <f>ifna(vlookup(A107,'Population &amp; Church Numbers'!$A$2823:$D$2955,4,FALSE),"NULL")</f>
        <v>22</v>
      </c>
      <c r="Q107" s="674" t="s">
        <v>63</v>
      </c>
    </row>
    <row r="108">
      <c r="A108" s="609" t="s">
        <v>4201</v>
      </c>
      <c r="B108" s="610">
        <f t="array" ref="B108">VLOOKUP($A108,VA_DEMO,2,FALSE)</f>
        <v>14658</v>
      </c>
      <c r="C108" s="704">
        <f>vlookup(A108,'VA Data'!$A$5:$B$144,2,FALSE)</f>
        <v>0</v>
      </c>
      <c r="D108" s="612" t="s">
        <v>63</v>
      </c>
      <c r="E108" s="612" t="str">
        <f>IF(ISBLANK(vlookup(A108,'VA Data'!$C$5:$D$140,2,FALSE)),"NULL",(vlookup(A108,'VA Data'!$C$5:$D$140,2,FALSE)))</f>
        <v>NULL</v>
      </c>
      <c r="F108" s="612" t="str">
        <f>IF(ISBLANK(vlookup(A108,'VA Data'!$E$5:$F$140,2,FALSE)),"NULL",(vlookup(A108,'VA Data'!$E$5:$F$140,2,FALSE)))</f>
        <v>NULL</v>
      </c>
      <c r="G108" s="612" t="s">
        <v>63</v>
      </c>
      <c r="H108" s="671" t="s">
        <v>63</v>
      </c>
      <c r="I108" s="614">
        <f>IF(ISBLANK(vlookup(A108,'VA Data'!$G$5:$H$144,2,FALSE)),"NULL",(vlookup(A108,'VA Data'!$G$5:$H$144,2,FALSE)))</f>
        <v>0</v>
      </c>
      <c r="J108" s="615" t="s">
        <v>63</v>
      </c>
      <c r="K108" s="1061">
        <f>IF(ISBLANK(vlookup(A108,'VA Data'!$I$5:$J$140,2,FALSE)),"NULL",(vlookup(A108,'VA Data'!$I$5:$J$140,2,FALSE)))</f>
        <v>0</v>
      </c>
      <c r="L108" s="671" t="s">
        <v>63</v>
      </c>
      <c r="M108" s="614" t="s">
        <v>63</v>
      </c>
      <c r="N108" s="612" t="s">
        <v>63</v>
      </c>
      <c r="O108" s="612" t="s">
        <v>63</v>
      </c>
      <c r="P108" s="620">
        <f>ifna(vlookup(A108,'Population &amp; Church Numbers'!$A$2823:$D$2955,4,FALSE),"NULL")</f>
        <v>11</v>
      </c>
      <c r="Q108" s="674" t="s">
        <v>63</v>
      </c>
    </row>
    <row r="109">
      <c r="A109" s="609" t="s">
        <v>2281</v>
      </c>
      <c r="B109" s="610">
        <f t="array" ref="B109">VLOOKUP($A109,VA_DEMO,2,FALSE)</f>
        <v>8180</v>
      </c>
      <c r="C109" s="704">
        <f>vlookup(A109,'VA Data'!$A$5:$B$144,2,FALSE)</f>
        <v>18</v>
      </c>
      <c r="D109" s="612" t="s">
        <v>63</v>
      </c>
      <c r="E109" s="612">
        <f>IF(ISBLANK(vlookup(A109,'VA Data'!$C$5:$D$140,2,FALSE)),"NULL",(vlookup(A109,'VA Data'!$C$5:$D$140,2,FALSE)))</f>
        <v>11</v>
      </c>
      <c r="F109" s="612" t="str">
        <f>IF(ISBLANK(vlookup(A109,'VA Data'!$E$5:$F$140,2,FALSE)),"NULL",(vlookup(A109,'VA Data'!$E$5:$F$140,2,FALSE)))</f>
        <v>NULL</v>
      </c>
      <c r="G109" s="612" t="s">
        <v>63</v>
      </c>
      <c r="H109" s="671" t="s">
        <v>63</v>
      </c>
      <c r="I109" s="614">
        <f>IF(ISBLANK(vlookup(A109,'VA Data'!$G$5:$H$144,2,FALSE)),"NULL",(vlookup(A109,'VA Data'!$G$5:$H$144,2,FALSE)))</f>
        <v>4</v>
      </c>
      <c r="J109" s="615" t="s">
        <v>63</v>
      </c>
      <c r="K109" s="1061">
        <f>IF(ISBLANK(vlookup(A109,'VA Data'!$I$5:$J$140,2,FALSE)),"NULL",(vlookup(A109,'VA Data'!$I$5:$J$140,2,FALSE)))</f>
        <v>0.5</v>
      </c>
      <c r="L109" s="671" t="s">
        <v>63</v>
      </c>
      <c r="M109" s="614" t="s">
        <v>63</v>
      </c>
      <c r="N109" s="612" t="s">
        <v>63</v>
      </c>
      <c r="O109" s="612" t="s">
        <v>63</v>
      </c>
      <c r="P109" s="620">
        <f>ifna(vlookup(A109,'Population &amp; Church Numbers'!$A$2823:$D$2955,4,FALSE),"NULL")</f>
        <v>18</v>
      </c>
      <c r="Q109" s="674" t="s">
        <v>63</v>
      </c>
    </row>
    <row r="110">
      <c r="A110" s="609" t="s">
        <v>4203</v>
      </c>
      <c r="B110" s="610">
        <f t="array" ref="B110">VLOOKUP($A110,VA_DEMO,2,FALSE)</f>
        <v>27982</v>
      </c>
      <c r="C110" s="704">
        <f>vlookup(A110,'VA Data'!$A$5:$B$144,2,FALSE)</f>
        <v>52</v>
      </c>
      <c r="D110" s="612" t="s">
        <v>63</v>
      </c>
      <c r="E110" s="612">
        <f>IF(ISBLANK(vlookup(A110,'VA Data'!$C$5:$D$140,2,FALSE)),"NULL",(vlookup(A110,'VA Data'!$C$5:$D$140,2,FALSE)))</f>
        <v>29</v>
      </c>
      <c r="F110" s="612">
        <f>IF(ISBLANK(vlookup(A110,'VA Data'!$E$5:$F$140,2,FALSE)),"NULL",(vlookup(A110,'VA Data'!$E$5:$F$140,2,FALSE)))</f>
        <v>5</v>
      </c>
      <c r="G110" s="612" t="s">
        <v>63</v>
      </c>
      <c r="H110" s="671" t="s">
        <v>63</v>
      </c>
      <c r="I110" s="614">
        <f>IF(ISBLANK(vlookup(A110,'VA Data'!$G$5:$H$144,2,FALSE)),"NULL",(vlookup(A110,'VA Data'!$G$5:$H$144,2,FALSE)))</f>
        <v>14</v>
      </c>
      <c r="J110" s="615" t="s">
        <v>63</v>
      </c>
      <c r="K110" s="1061">
        <f>IF(ISBLANK(vlookup(A110,'VA Data'!$I$5:$J$140,2,FALSE)),"NULL",(vlookup(A110,'VA Data'!$I$5:$J$140,2,FALSE)))</f>
        <v>0.25</v>
      </c>
      <c r="L110" s="671" t="s">
        <v>63</v>
      </c>
      <c r="M110" s="614" t="s">
        <v>63</v>
      </c>
      <c r="N110" s="612" t="s">
        <v>63</v>
      </c>
      <c r="O110" s="612" t="s">
        <v>63</v>
      </c>
      <c r="P110" s="620">
        <f>ifna(vlookup(A110,'Population &amp; Church Numbers'!$A$2823:$D$2955,4,FALSE),"NULL")</f>
        <v>32</v>
      </c>
      <c r="Q110" s="674" t="s">
        <v>63</v>
      </c>
    </row>
    <row r="111">
      <c r="A111" s="609" t="s">
        <v>4204</v>
      </c>
      <c r="B111" s="610">
        <f t="array" ref="B111">VLOOKUP($A111,VA_DEMO,2,FALSE)</f>
        <v>6720</v>
      </c>
      <c r="C111" s="704">
        <f>vlookup(A111,'VA Data'!$A$5:$B$144,2,FALSE)</f>
        <v>30</v>
      </c>
      <c r="D111" s="612" t="s">
        <v>63</v>
      </c>
      <c r="E111" s="612">
        <f>IF(ISBLANK(vlookup(A111,'VA Data'!$C$5:$D$140,2,FALSE)),"NULL",(vlookup(A111,'VA Data'!$C$5:$D$140,2,FALSE)))</f>
        <v>15</v>
      </c>
      <c r="F111" s="612">
        <f>IF(ISBLANK(vlookup(A111,'VA Data'!$E$5:$F$140,2,FALSE)),"NULL",(vlookup(A111,'VA Data'!$E$5:$F$140,2,FALSE)))</f>
        <v>6</v>
      </c>
      <c r="G111" s="612" t="s">
        <v>63</v>
      </c>
      <c r="H111" s="671" t="s">
        <v>63</v>
      </c>
      <c r="I111" s="614">
        <f>IF(ISBLANK(vlookup(A111,'VA Data'!$G$5:$H$144,2,FALSE)),"NULL",(vlookup(A111,'VA Data'!$G$5:$H$144,2,FALSE)))</f>
        <v>12</v>
      </c>
      <c r="J111" s="615" t="s">
        <v>63</v>
      </c>
      <c r="K111" s="1061">
        <f>IF(ISBLANK(vlookup(A111,'VA Data'!$I$5:$J$140,2,FALSE)),"NULL",(vlookup(A111,'VA Data'!$I$5:$J$140,2,FALSE)))</f>
        <v>0.125</v>
      </c>
      <c r="L111" s="671" t="s">
        <v>63</v>
      </c>
      <c r="M111" s="614" t="s">
        <v>63</v>
      </c>
      <c r="N111" s="612" t="s">
        <v>63</v>
      </c>
      <c r="O111" s="612" t="s">
        <v>63</v>
      </c>
      <c r="P111" s="620">
        <f>ifna(vlookup(A111,'Population &amp; Church Numbers'!$A$2823:$D$2955,4,FALSE),"NULL")</f>
        <v>13</v>
      </c>
      <c r="Q111" s="674" t="s">
        <v>63</v>
      </c>
    </row>
    <row r="112">
      <c r="A112" s="609" t="s">
        <v>1829</v>
      </c>
      <c r="B112" s="610">
        <f t="array" ref="B112">VLOOKUP($A112,VA_DEMO,2,FALSE)</f>
        <v>137148</v>
      </c>
      <c r="C112" s="704">
        <f>vlookup(A112,'VA Data'!$A$5:$B$144,2,FALSE)</f>
        <v>86</v>
      </c>
      <c r="D112" s="612" t="s">
        <v>63</v>
      </c>
      <c r="E112" s="612">
        <f>IF(ISBLANK(vlookup(A112,'VA Data'!$C$5:$D$140,2,FALSE)),"NULL",(vlookup(A112,'VA Data'!$C$5:$D$140,2,FALSE)))</f>
        <v>68</v>
      </c>
      <c r="F112" s="612">
        <f>IF(ISBLANK(vlookup(A112,'VA Data'!$E$5:$F$140,2,FALSE)),"NULL",(vlookup(A112,'VA Data'!$E$5:$F$140,2,FALSE)))</f>
        <v>14</v>
      </c>
      <c r="G112" s="612" t="s">
        <v>63</v>
      </c>
      <c r="H112" s="671" t="s">
        <v>63</v>
      </c>
      <c r="I112" s="614">
        <f>IF(ISBLANK(vlookup(A112,'VA Data'!$G$5:$H$144,2,FALSE)),"NULL",(vlookup(A112,'VA Data'!$G$5:$H$144,2,FALSE)))</f>
        <v>20</v>
      </c>
      <c r="J112" s="615" t="s">
        <v>63</v>
      </c>
      <c r="K112" s="1061">
        <f>IF(ISBLANK(vlookup(A112,'VA Data'!$I$5:$J$140,2,FALSE)),"NULL",(vlookup(A112,'VA Data'!$I$5:$J$140,2,FALSE)))</f>
        <v>0.552</v>
      </c>
      <c r="L112" s="671" t="s">
        <v>63</v>
      </c>
      <c r="M112" s="614" t="s">
        <v>63</v>
      </c>
      <c r="N112" s="612" t="s">
        <v>63</v>
      </c>
      <c r="O112" s="612" t="s">
        <v>63</v>
      </c>
      <c r="P112" s="620">
        <f>ifna(vlookup(A112,'Population &amp; Church Numbers'!$A$2823:$D$2955,4,FALSE),"NULL")</f>
        <v>115</v>
      </c>
      <c r="Q112" s="674" t="s">
        <v>63</v>
      </c>
    </row>
    <row r="113">
      <c r="A113" s="609" t="s">
        <v>4205</v>
      </c>
      <c r="B113" s="610">
        <f t="array" ref="B113">VLOOKUP($A113,VA_DEMO,2,FALSE)</f>
        <v>51814</v>
      </c>
      <c r="C113" s="704">
        <f>vlookup(A113,'VA Data'!$A$5:$B$144,2,FALSE)</f>
        <v>0</v>
      </c>
      <c r="D113" s="612" t="s">
        <v>63</v>
      </c>
      <c r="E113" s="612" t="str">
        <f>IF(ISBLANK(vlookup(A113,'VA Data'!$C$5:$D$140,2,FALSE)),"NULL",(vlookup(A113,'VA Data'!$C$5:$D$140,2,FALSE)))</f>
        <v>NULL</v>
      </c>
      <c r="F113" s="612" t="str">
        <f>IF(ISBLANK(vlookup(A113,'VA Data'!$E$5:$F$140,2,FALSE)),"NULL",(vlookup(A113,'VA Data'!$E$5:$F$140,2,FALSE)))</f>
        <v>NULL</v>
      </c>
      <c r="G113" s="612" t="s">
        <v>63</v>
      </c>
      <c r="H113" s="671" t="s">
        <v>63</v>
      </c>
      <c r="I113" s="614">
        <f>IF(ISBLANK(vlookup(A113,'VA Data'!$G$5:$H$144,2,FALSE)),"NULL",(vlookup(A113,'VA Data'!$G$5:$H$144,2,FALSE)))</f>
        <v>0</v>
      </c>
      <c r="J113" s="615" t="s">
        <v>63</v>
      </c>
      <c r="K113" s="1061">
        <f>IF(ISBLANK(vlookup(A113,'VA Data'!$I$5:$J$140,2,FALSE)),"NULL",(vlookup(A113,'VA Data'!$I$5:$J$140,2,FALSE)))</f>
        <v>0</v>
      </c>
      <c r="L113" s="671" t="s">
        <v>63</v>
      </c>
      <c r="M113" s="614" t="s">
        <v>63</v>
      </c>
      <c r="N113" s="612" t="s">
        <v>63</v>
      </c>
      <c r="O113" s="612" t="s">
        <v>63</v>
      </c>
      <c r="P113" s="620">
        <f>ifna(vlookup(A113,'Population &amp; Church Numbers'!$A$2823:$D$2955,4,FALSE),"NULL")</f>
        <v>54</v>
      </c>
      <c r="Q113" s="674" t="s">
        <v>63</v>
      </c>
    </row>
    <row r="114">
      <c r="A114" s="609" t="s">
        <v>4206</v>
      </c>
      <c r="B114" s="610">
        <f t="array" ref="B114">VLOOKUP($A114,VA_DEMO,2,FALSE)</f>
        <v>23033</v>
      </c>
      <c r="C114" s="704">
        <f>vlookup(A114,'VA Data'!$A$5:$B$144,2,FALSE)</f>
        <v>41</v>
      </c>
      <c r="D114" s="612" t="s">
        <v>63</v>
      </c>
      <c r="E114" s="612">
        <f>IF(ISBLANK(vlookup(A114,'VA Data'!$C$5:$D$140,2,FALSE)),"NULL",(vlookup(A114,'VA Data'!$C$5:$D$140,2,FALSE)))</f>
        <v>21</v>
      </c>
      <c r="F114" s="612">
        <f>IF(ISBLANK(vlookup(A114,'VA Data'!$E$5:$F$140,2,FALSE)),"NULL",(vlookup(A114,'VA Data'!$E$5:$F$140,2,FALSE)))</f>
        <v>8</v>
      </c>
      <c r="G114" s="612" t="s">
        <v>63</v>
      </c>
      <c r="H114" s="671" t="s">
        <v>63</v>
      </c>
      <c r="I114" s="614">
        <f>IF(ISBLANK(vlookup(A114,'VA Data'!$G$5:$H$144,2,FALSE)),"NULL",(vlookup(A114,'VA Data'!$G$5:$H$144,2,FALSE)))</f>
        <v>16</v>
      </c>
      <c r="J114" s="615" t="s">
        <v>63</v>
      </c>
      <c r="K114" s="1061">
        <f>IF(ISBLANK(vlookup(A114,'VA Data'!$I$5:$J$140,2,FALSE)),"NULL",(vlookup(A114,'VA Data'!$I$5:$J$140,2,FALSE)))</f>
        <v>0</v>
      </c>
      <c r="L114" s="671" t="s">
        <v>63</v>
      </c>
      <c r="M114" s="614" t="s">
        <v>63</v>
      </c>
      <c r="N114" s="612" t="s">
        <v>63</v>
      </c>
      <c r="O114" s="612" t="s">
        <v>63</v>
      </c>
      <c r="P114" s="620">
        <f>ifna(vlookup(A114,'Population &amp; Church Numbers'!$A$2823:$D$2955,4,FALSE),"NULL")</f>
        <v>32</v>
      </c>
      <c r="Q114" s="674" t="s">
        <v>63</v>
      </c>
    </row>
    <row r="115">
      <c r="A115" s="609" t="s">
        <v>1832</v>
      </c>
      <c r="B115" s="610">
        <f t="array" ref="B115">VLOOKUP($A115,VA_DEMO,2,FALSE)</f>
        <v>7320</v>
      </c>
      <c r="C115" s="704">
        <f>vlookup(A115,'VA Data'!$A$5:$B$144,2,FALSE)</f>
        <v>2</v>
      </c>
      <c r="D115" s="612" t="s">
        <v>63</v>
      </c>
      <c r="E115" s="612" t="str">
        <f>IF(ISBLANK(vlookup(A115,'VA Data'!$C$5:$D$140,2,FALSE)),"NULL",(vlookup(A115,'VA Data'!$C$5:$D$140,2,FALSE)))</f>
        <v>NULL</v>
      </c>
      <c r="F115" s="612" t="str">
        <f>IF(ISBLANK(vlookup(A115,'VA Data'!$E$5:$F$140,2,FALSE)),"NULL",(vlookup(A115,'VA Data'!$E$5:$F$140,2,FALSE)))</f>
        <v>NULL</v>
      </c>
      <c r="G115" s="612" t="s">
        <v>63</v>
      </c>
      <c r="H115" s="671" t="s">
        <v>63</v>
      </c>
      <c r="I115" s="614">
        <f>IF(ISBLANK(vlookup(A115,'VA Data'!$G$5:$H$144,2,FALSE)),"NULL",(vlookup(A115,'VA Data'!$G$5:$H$144,2,FALSE)))</f>
        <v>0</v>
      </c>
      <c r="J115" s="615" t="s">
        <v>63</v>
      </c>
      <c r="K115" s="1061">
        <f>IF(ISBLANK(vlookup(A115,'VA Data'!$I$5:$J$140,2,FALSE)),"NULL",(vlookup(A115,'VA Data'!$I$5:$J$140,2,FALSE)))</f>
        <v>0</v>
      </c>
      <c r="L115" s="671" t="s">
        <v>63</v>
      </c>
      <c r="M115" s="614" t="s">
        <v>63</v>
      </c>
      <c r="N115" s="612" t="s">
        <v>63</v>
      </c>
      <c r="O115" s="612" t="s">
        <v>63</v>
      </c>
      <c r="P115" s="620">
        <f>ifna(vlookup(A115,'Population &amp; Church Numbers'!$A$2823:$D$2955,4,FALSE),"NULL")</f>
        <v>15</v>
      </c>
      <c r="Q115" s="674" t="s">
        <v>63</v>
      </c>
    </row>
    <row r="116">
      <c r="A116" s="609" t="s">
        <v>4209</v>
      </c>
      <c r="B116" s="610">
        <f t="array" ref="B116">VLOOKUP($A116,VA_DEMO,2,FALSE)</f>
        <v>79009</v>
      </c>
      <c r="C116" s="704">
        <f>vlookup(A116,'VA Data'!$A$5:$B$144,2,FALSE)</f>
        <v>186</v>
      </c>
      <c r="D116" s="612" t="s">
        <v>63</v>
      </c>
      <c r="E116" s="612">
        <f>IF(ISBLANK(vlookup(A116,'VA Data'!$C$5:$D$140,2,FALSE)),"NULL",(vlookup(A116,'VA Data'!$C$5:$D$140,2,FALSE)))</f>
        <v>91</v>
      </c>
      <c r="F116" s="612">
        <f>IF(ISBLANK(vlookup(A116,'VA Data'!$E$5:$F$140,2,FALSE)),"NULL",(vlookup(A116,'VA Data'!$E$5:$F$140,2,FALSE)))</f>
        <v>42</v>
      </c>
      <c r="G116" s="612" t="s">
        <v>63</v>
      </c>
      <c r="H116" s="671" t="s">
        <v>63</v>
      </c>
      <c r="I116" s="614">
        <f>IF(ISBLANK(vlookup(A116,'VA Data'!$G$5:$H$144,2,FALSE)),"NULL",(vlookup(A116,'VA Data'!$G$5:$H$144,2,FALSE)))</f>
        <v>85</v>
      </c>
      <c r="J116" s="615" t="s">
        <v>63</v>
      </c>
      <c r="K116" s="1061">
        <f>IF(ISBLANK(vlookup(A116,'VA Data'!$I$5:$J$140,2,FALSE)),"NULL",(vlookup(A116,'VA Data'!$I$5:$J$140,2,FALSE)))</f>
        <v>0.276</v>
      </c>
      <c r="L116" s="671" t="s">
        <v>63</v>
      </c>
      <c r="M116" s="614" t="s">
        <v>63</v>
      </c>
      <c r="N116" s="612" t="s">
        <v>63</v>
      </c>
      <c r="O116" s="612" t="s">
        <v>63</v>
      </c>
      <c r="P116" s="620">
        <f>ifna(vlookup(A116,'Population &amp; Church Numbers'!$A$2823:$D$2955,4,FALSE),"NULL")</f>
        <v>95</v>
      </c>
      <c r="Q116" s="674" t="s">
        <v>63</v>
      </c>
    </row>
    <row r="117">
      <c r="A117" s="609" t="s">
        <v>4210</v>
      </c>
      <c r="B117" s="610">
        <f t="array" ref="B117">VLOOKUP($A117,VA_DEMO,2,FALSE)</f>
        <v>42772</v>
      </c>
      <c r="C117" s="704">
        <f>vlookup(A117,'VA Data'!$A$5:$B$144,2,FALSE)</f>
        <v>14</v>
      </c>
      <c r="D117" s="612" t="s">
        <v>63</v>
      </c>
      <c r="E117" s="612">
        <f>IF(ISBLANK(vlookup(A117,'VA Data'!$C$5:$D$140,2,FALSE)),"NULL",(vlookup(A117,'VA Data'!$C$5:$D$140,2,FALSE)))</f>
        <v>10</v>
      </c>
      <c r="F117" s="612">
        <f>IF(ISBLANK(vlookup(A117,'VA Data'!$E$5:$F$140,2,FALSE)),"NULL",(vlookup(A117,'VA Data'!$E$5:$F$140,2,FALSE)))</f>
        <v>3</v>
      </c>
      <c r="G117" s="612" t="s">
        <v>63</v>
      </c>
      <c r="H117" s="671" t="s">
        <v>63</v>
      </c>
      <c r="I117" s="614">
        <f>IF(ISBLANK(vlookup(A117,'VA Data'!$G$5:$H$144,2,FALSE)),"NULL",(vlookup(A117,'VA Data'!$G$5:$H$144,2,FALSE)))</f>
        <v>6</v>
      </c>
      <c r="J117" s="615" t="s">
        <v>63</v>
      </c>
      <c r="K117" s="1061">
        <f>IF(ISBLANK(vlookup(A117,'VA Data'!$I$5:$J$140,2,FALSE)),"NULL",(vlookup(A117,'VA Data'!$I$5:$J$140,2,FALSE)))</f>
        <v>0.75</v>
      </c>
      <c r="L117" s="671" t="s">
        <v>63</v>
      </c>
      <c r="M117" s="614" t="s">
        <v>63</v>
      </c>
      <c r="N117" s="612" t="s">
        <v>63</v>
      </c>
      <c r="O117" s="612" t="s">
        <v>63</v>
      </c>
      <c r="P117" s="620">
        <f>ifna(vlookup(A117,'Population &amp; Church Numbers'!$A$2823:$D$2955,4,FALSE),"NULL")</f>
        <v>22</v>
      </c>
      <c r="Q117" s="674" t="s">
        <v>63</v>
      </c>
    </row>
    <row r="118">
      <c r="A118" s="609" t="s">
        <v>4211</v>
      </c>
      <c r="B118" s="610">
        <f t="array" ref="B118">VLOOKUP($A118,VA_DEMO,2,FALSE)</f>
        <v>17219</v>
      </c>
      <c r="C118" s="704">
        <f>vlookup(A118,'VA Data'!$A$5:$B$144,2,FALSE)</f>
        <v>16</v>
      </c>
      <c r="D118" s="612" t="s">
        <v>63</v>
      </c>
      <c r="E118" s="612">
        <f>IF(ISBLANK(vlookup(A118,'VA Data'!$C$5:$D$140,2,FALSE)),"NULL",(vlookup(A118,'VA Data'!$C$5:$D$140,2,FALSE)))</f>
        <v>10</v>
      </c>
      <c r="F118" s="612">
        <f>IF(ISBLANK(vlookup(A118,'VA Data'!$E$5:$F$140,2,FALSE)),"NULL",(vlookup(A118,'VA Data'!$E$5:$F$140,2,FALSE)))</f>
        <v>1</v>
      </c>
      <c r="G118" s="612" t="s">
        <v>63</v>
      </c>
      <c r="H118" s="671" t="s">
        <v>63</v>
      </c>
      <c r="I118" s="614">
        <f>IF(ISBLANK(vlookup(A118,'VA Data'!$G$5:$H$144,2,FALSE)),"NULL",(vlookup(A118,'VA Data'!$G$5:$H$144,2,FALSE)))</f>
        <v>10</v>
      </c>
      <c r="J118" s="615" t="s">
        <v>63</v>
      </c>
      <c r="K118" s="1061">
        <f>IF(ISBLANK(vlookup(A118,'VA Data'!$I$5:$J$140,2,FALSE)),"NULL",(vlookup(A118,'VA Data'!$I$5:$J$140,2,FALSE)))</f>
        <v>0.5</v>
      </c>
      <c r="L118" s="671" t="s">
        <v>63</v>
      </c>
      <c r="M118" s="614" t="s">
        <v>63</v>
      </c>
      <c r="N118" s="612" t="s">
        <v>63</v>
      </c>
      <c r="O118" s="612" t="s">
        <v>63</v>
      </c>
      <c r="P118" s="620">
        <f>ifna(vlookup(A118,'Population &amp; Church Numbers'!$A$2823:$D$2955,4,FALSE),"NULL")</f>
        <v>3</v>
      </c>
      <c r="Q118" s="674" t="s">
        <v>63</v>
      </c>
    </row>
    <row r="119">
      <c r="A119" s="609" t="s">
        <v>4212</v>
      </c>
      <c r="B119" s="610">
        <f t="array" ref="B119">VLOOKUP($A119,VA_DEMO,2,FALSE)</f>
        <v>13485</v>
      </c>
      <c r="C119" s="704">
        <f>vlookup(A119,'VA Data'!$A$5:$B$144,2,FALSE)</f>
        <v>0</v>
      </c>
      <c r="D119" s="612" t="s">
        <v>63</v>
      </c>
      <c r="E119" s="612" t="str">
        <f>IF(ISBLANK(vlookup(A119,'VA Data'!$C$5:$D$140,2,FALSE)),"NULL",(vlookup(A119,'VA Data'!$C$5:$D$140,2,FALSE)))</f>
        <v>NULL</v>
      </c>
      <c r="F119" s="612" t="str">
        <f>IF(ISBLANK(vlookup(A119,'VA Data'!$E$5:$F$140,2,FALSE)),"NULL",(vlookup(A119,'VA Data'!$E$5:$F$140,2,FALSE)))</f>
        <v>NULL</v>
      </c>
      <c r="G119" s="612" t="s">
        <v>63</v>
      </c>
      <c r="H119" s="671" t="s">
        <v>63</v>
      </c>
      <c r="I119" s="614">
        <f>IF(ISBLANK(vlookup(A119,'VA Data'!$G$5:$H$144,2,FALSE)),"NULL",(vlookup(A119,'VA Data'!$G$5:$H$144,2,FALSE)))</f>
        <v>0</v>
      </c>
      <c r="J119" s="615" t="s">
        <v>63</v>
      </c>
      <c r="K119" s="1061">
        <f>IF(ISBLANK(vlookup(A119,'VA Data'!$I$5:$J$140,2,FALSE)),"NULL",(vlookup(A119,'VA Data'!$I$5:$J$140,2,FALSE)))</f>
        <v>0</v>
      </c>
      <c r="L119" s="671" t="s">
        <v>63</v>
      </c>
      <c r="M119" s="614" t="s">
        <v>63</v>
      </c>
      <c r="N119" s="612" t="s">
        <v>63</v>
      </c>
      <c r="O119" s="612" t="s">
        <v>63</v>
      </c>
      <c r="P119" s="620">
        <f>ifna(vlookup(A119,'Population &amp; Church Numbers'!$A$2823:$D$2955,4,FALSE),"NULL")</f>
        <v>33</v>
      </c>
      <c r="Q119" s="674" t="s">
        <v>63</v>
      </c>
    </row>
    <row r="120">
      <c r="A120" s="609" t="s">
        <v>4213</v>
      </c>
      <c r="B120" s="610">
        <f t="array" ref="B120">VLOOKUP($A120,VA_DEMO,2,FALSE)</f>
        <v>186247</v>
      </c>
      <c r="C120" s="704">
        <f>vlookup(A120,'VA Data'!$A$5:$B$144,2,FALSE)</f>
        <v>112</v>
      </c>
      <c r="D120" s="612" t="s">
        <v>63</v>
      </c>
      <c r="E120" s="612">
        <f>IF(ISBLANK(vlookup(A120,'VA Data'!$C$5:$D$140,2,FALSE)),"NULL",(vlookup(A120,'VA Data'!$C$5:$D$140,2,FALSE)))</f>
        <v>72</v>
      </c>
      <c r="F120" s="612">
        <f>IF(ISBLANK(vlookup(A120,'VA Data'!$E$5:$F$140,2,FALSE)),"NULL",(vlookup(A120,'VA Data'!$E$5:$F$140,2,FALSE)))</f>
        <v>13</v>
      </c>
      <c r="G120" s="612" t="s">
        <v>63</v>
      </c>
      <c r="H120" s="671" t="s">
        <v>63</v>
      </c>
      <c r="I120" s="614">
        <f>IF(ISBLANK(vlookup(A120,'VA Data'!$G$5:$H$144,2,FALSE)),"NULL",(vlookup(A120,'VA Data'!$G$5:$H$144,2,FALSE)))</f>
        <v>35</v>
      </c>
      <c r="J120" s="615" t="s">
        <v>63</v>
      </c>
      <c r="K120" s="1061">
        <f>IF(ISBLANK(vlookup(A120,'VA Data'!$I$5:$J$140,2,FALSE)),"NULL",(vlookup(A120,'VA Data'!$I$5:$J$140,2,FALSE)))</f>
        <v>0.158</v>
      </c>
      <c r="L120" s="671" t="s">
        <v>63</v>
      </c>
      <c r="M120" s="614" t="s">
        <v>63</v>
      </c>
      <c r="N120" s="612" t="s">
        <v>63</v>
      </c>
      <c r="O120" s="612" t="s">
        <v>63</v>
      </c>
      <c r="P120" s="620">
        <f>ifna(vlookup(A120,'Population &amp; Church Numbers'!$A$2823:$D$2955,4,FALSE),"NULL")</f>
        <v>139</v>
      </c>
      <c r="Q120" s="674" t="s">
        <v>63</v>
      </c>
    </row>
    <row r="121">
      <c r="A121" s="609" t="s">
        <v>558</v>
      </c>
      <c r="B121" s="610">
        <f t="array" ref="B121">VLOOKUP($A121,VA_DEMO,2,FALSE)</f>
        <v>238005</v>
      </c>
      <c r="C121" s="704">
        <f>vlookup(A121,'VA Data'!$A$5:$B$144,2,FALSE)</f>
        <v>201</v>
      </c>
      <c r="D121" s="612" t="s">
        <v>63</v>
      </c>
      <c r="E121" s="612">
        <f>IF(ISBLANK(vlookup(A121,'VA Data'!$C$5:$D$140,2,FALSE)),"NULL",(vlookup(A121,'VA Data'!$C$5:$D$140,2,FALSE)))</f>
        <v>138</v>
      </c>
      <c r="F121" s="612">
        <f>IF(ISBLANK(vlookup(A121,'VA Data'!$E$5:$F$140,2,FALSE)),"NULL",(vlookup(A121,'VA Data'!$E$5:$F$140,2,FALSE)))</f>
        <v>22</v>
      </c>
      <c r="G121" s="612" t="s">
        <v>63</v>
      </c>
      <c r="H121" s="671" t="s">
        <v>63</v>
      </c>
      <c r="I121" s="614">
        <f>IF(ISBLANK(vlookup(A121,'VA Data'!$G$5:$H$144,2,FALSE)),"NULL",(vlookup(A121,'VA Data'!$G$5:$H$144,2,FALSE)))</f>
        <v>37</v>
      </c>
      <c r="J121" s="615" t="s">
        <v>63</v>
      </c>
      <c r="K121" s="1061">
        <f>IF(ISBLANK(vlookup(A121,'VA Data'!$I$5:$J$140,2,FALSE)),"NULL",(vlookup(A121,'VA Data'!$I$5:$J$140,2,FALSE)))</f>
        <v>0.358</v>
      </c>
      <c r="L121" s="671" t="s">
        <v>63</v>
      </c>
      <c r="M121" s="614" t="s">
        <v>63</v>
      </c>
      <c r="N121" s="612" t="s">
        <v>63</v>
      </c>
      <c r="O121" s="612" t="s">
        <v>63</v>
      </c>
      <c r="P121" s="620">
        <f>ifna(vlookup(A121,'Population &amp; Church Numbers'!$A$2823:$D$2955,4,FALSE),"NULL")</f>
        <v>200</v>
      </c>
      <c r="Q121" s="674" t="s">
        <v>63</v>
      </c>
    </row>
    <row r="122">
      <c r="A122" s="609" t="s">
        <v>995</v>
      </c>
      <c r="B122" s="610">
        <f t="array" ref="B122">VLOOKUP($A122,VA_DEMO,2,FALSE)</f>
        <v>3687</v>
      </c>
      <c r="C122" s="704">
        <f>vlookup(A122,'VA Data'!$A$5:$B$144,2,FALSE)</f>
        <v>11</v>
      </c>
      <c r="D122" s="612" t="s">
        <v>63</v>
      </c>
      <c r="E122" s="612">
        <f>IF(ISBLANK(vlookup(A122,'VA Data'!$C$5:$D$140,2,FALSE)),"NULL",(vlookup(A122,'VA Data'!$C$5:$D$140,2,FALSE)))</f>
        <v>7</v>
      </c>
      <c r="F122" s="612">
        <f>IF(ISBLANK(vlookup(A122,'VA Data'!$E$5:$F$140,2,FALSE)),"NULL",(vlookup(A122,'VA Data'!$E$5:$F$140,2,FALSE)))</f>
        <v>2</v>
      </c>
      <c r="G122" s="612" t="s">
        <v>63</v>
      </c>
      <c r="H122" s="671" t="s">
        <v>63</v>
      </c>
      <c r="I122" s="614">
        <f>IF(ISBLANK(vlookup(A122,'VA Data'!$G$5:$H$144,2,FALSE)),"NULL",(vlookup(A122,'VA Data'!$G$5:$H$144,2,FALSE)))</f>
        <v>5</v>
      </c>
      <c r="J122" s="615" t="s">
        <v>63</v>
      </c>
      <c r="K122" s="1061">
        <f>IF(ISBLANK(vlookup(A122,'VA Data'!$I$5:$J$140,2,FALSE)),"NULL",(vlookup(A122,'VA Data'!$I$5:$J$140,2,FALSE)))</f>
        <v>0</v>
      </c>
      <c r="L122" s="671" t="s">
        <v>63</v>
      </c>
      <c r="M122" s="614" t="s">
        <v>63</v>
      </c>
      <c r="N122" s="612" t="s">
        <v>63</v>
      </c>
      <c r="O122" s="612" t="s">
        <v>63</v>
      </c>
      <c r="P122" s="620">
        <f>ifna(vlookup(A122,'Population &amp; Church Numbers'!$A$2823:$D$2955,4,FALSE),"NULL")</f>
        <v>7</v>
      </c>
      <c r="Q122" s="674" t="s">
        <v>63</v>
      </c>
    </row>
    <row r="123">
      <c r="A123" s="609" t="s">
        <v>209</v>
      </c>
      <c r="B123" s="610">
        <f t="array" ref="B123">VLOOKUP($A123,VA_DEMO,2,FALSE)</f>
        <v>33458</v>
      </c>
      <c r="C123" s="704">
        <f>vlookup(A123,'VA Data'!$A$5:$B$144,2,FALSE)</f>
        <v>18</v>
      </c>
      <c r="D123" s="612" t="s">
        <v>63</v>
      </c>
      <c r="E123" s="612">
        <f>IF(ISBLANK(vlookup(A123,'VA Data'!$C$5:$D$140,2,FALSE)),"NULL",(vlookup(A123,'VA Data'!$C$5:$D$140,2,FALSE)))</f>
        <v>13</v>
      </c>
      <c r="F123" s="612" t="str">
        <f>IF(ISBLANK(vlookup(A123,'VA Data'!$E$5:$F$140,2,FALSE)),"NULL",(vlookup(A123,'VA Data'!$E$5:$F$140,2,FALSE)))</f>
        <v>NULL</v>
      </c>
      <c r="G123" s="612" t="s">
        <v>63</v>
      </c>
      <c r="H123" s="671" t="s">
        <v>63</v>
      </c>
      <c r="I123" s="614">
        <f>IF(ISBLANK(vlookup(A123,'VA Data'!$G$5:$H$144,2,FALSE)),"NULL",(vlookup(A123,'VA Data'!$G$5:$H$144,2,FALSE)))</f>
        <v>6</v>
      </c>
      <c r="J123" s="615" t="s">
        <v>63</v>
      </c>
      <c r="K123" s="1061">
        <f>IF(ISBLANK(vlookup(A123,'VA Data'!$I$5:$J$140,2,FALSE)),"NULL",(vlookup(A123,'VA Data'!$I$5:$J$140,2,FALSE)))</f>
        <v>0.4</v>
      </c>
      <c r="L123" s="671" t="s">
        <v>63</v>
      </c>
      <c r="M123" s="614" t="s">
        <v>63</v>
      </c>
      <c r="N123" s="612" t="s">
        <v>63</v>
      </c>
      <c r="O123" s="612" t="s">
        <v>63</v>
      </c>
      <c r="P123" s="620">
        <f>ifna(vlookup(A123,'Population &amp; Church Numbers'!$A$2823:$D$2955,4,FALSE),"NULL")</f>
        <v>61</v>
      </c>
      <c r="Q123" s="674" t="s">
        <v>63</v>
      </c>
    </row>
    <row r="124">
      <c r="A124" s="609" t="s">
        <v>4214</v>
      </c>
      <c r="B124" s="610">
        <f t="array" ref="B124">VLOOKUP($A124,VA_DEMO,2,FALSE)</f>
        <v>12460</v>
      </c>
      <c r="C124" s="704">
        <f>vlookup(A124,'VA Data'!$A$5:$B$144,2,FALSE)</f>
        <v>0</v>
      </c>
      <c r="D124" s="612" t="s">
        <v>63</v>
      </c>
      <c r="E124" s="612" t="str">
        <f>IF(ISBLANK(vlookup(A124,'VA Data'!$C$5:$D$140,2,FALSE)),"NULL",(vlookup(A124,'VA Data'!$C$5:$D$140,2,FALSE)))</f>
        <v>NULL</v>
      </c>
      <c r="F124" s="612" t="str">
        <f>IF(ISBLANK(vlookup(A124,'VA Data'!$E$5:$F$140,2,FALSE)),"NULL",(vlookup(A124,'VA Data'!$E$5:$F$140,2,FALSE)))</f>
        <v>NULL</v>
      </c>
      <c r="G124" s="612" t="s">
        <v>63</v>
      </c>
      <c r="H124" s="671" t="s">
        <v>63</v>
      </c>
      <c r="I124" s="614">
        <f>IF(ISBLANK(vlookup(A124,'VA Data'!$G$5:$H$144,2,FALSE)),"NULL",(vlookup(A124,'VA Data'!$G$5:$H$144,2,FALSE)))</f>
        <v>0</v>
      </c>
      <c r="J124" s="615" t="s">
        <v>63</v>
      </c>
      <c r="K124" s="1061">
        <f>IF(ISBLANK(vlookup(A124,'VA Data'!$I$5:$J$140,2,FALSE)),"NULL",(vlookup(A124,'VA Data'!$I$5:$J$140,2,FALSE)))</f>
        <v>0</v>
      </c>
      <c r="L124" s="671" t="s">
        <v>63</v>
      </c>
      <c r="M124" s="614" t="s">
        <v>63</v>
      </c>
      <c r="N124" s="612" t="s">
        <v>63</v>
      </c>
      <c r="O124" s="612" t="s">
        <v>63</v>
      </c>
      <c r="P124" s="620">
        <f>ifna(vlookup(A124,'Population &amp; Church Numbers'!$A$2823:$D$2955,4,FALSE),"NULL")</f>
        <v>9</v>
      </c>
      <c r="Q124" s="674" t="s">
        <v>63</v>
      </c>
    </row>
    <row r="125">
      <c r="A125" s="609" t="s">
        <v>4215</v>
      </c>
      <c r="B125" s="610">
        <f t="array" ref="B125">VLOOKUP($A125,VA_DEMO,2,FALSE)</f>
        <v>97915</v>
      </c>
      <c r="C125" s="704">
        <f>vlookup(A125,'VA Data'!$A$5:$B$144,2,FALSE)</f>
        <v>33</v>
      </c>
      <c r="D125" s="612" t="s">
        <v>63</v>
      </c>
      <c r="E125" s="612">
        <f>IF(ISBLANK(vlookup(A125,'VA Data'!$C$5:$D$140,2,FALSE)),"NULL",(vlookup(A125,'VA Data'!$C$5:$D$140,2,FALSE)))</f>
        <v>11</v>
      </c>
      <c r="F125" s="612">
        <f>IF(ISBLANK(vlookup(A125,'VA Data'!$E$5:$F$140,2,FALSE)),"NULL",(vlookup(A125,'VA Data'!$E$5:$F$140,2,FALSE)))</f>
        <v>2</v>
      </c>
      <c r="G125" s="612" t="s">
        <v>63</v>
      </c>
      <c r="H125" s="671" t="s">
        <v>63</v>
      </c>
      <c r="I125" s="614">
        <f>IF(ISBLANK(vlookup(A125,'VA Data'!$G$5:$H$144,2,FALSE)),"NULL",(vlookup(A125,'VA Data'!$G$5:$H$144,2,FALSE)))</f>
        <v>5</v>
      </c>
      <c r="J125" s="615" t="s">
        <v>63</v>
      </c>
      <c r="K125" s="1061">
        <f>IF(ISBLANK(vlookup(A125,'VA Data'!$I$5:$J$140,2,FALSE)),"NULL",(vlookup(A125,'VA Data'!$I$5:$J$140,2,FALSE)))</f>
        <v>0.1</v>
      </c>
      <c r="L125" s="671" t="s">
        <v>63</v>
      </c>
      <c r="M125" s="614" t="s">
        <v>63</v>
      </c>
      <c r="N125" s="612" t="s">
        <v>63</v>
      </c>
      <c r="O125" s="612" t="s">
        <v>63</v>
      </c>
      <c r="P125" s="620">
        <f>ifna(vlookup(A125,'Population &amp; Church Numbers'!$A$2823:$D$2955,4,FALSE),"NULL")</f>
        <v>95</v>
      </c>
      <c r="Q125" s="674" t="s">
        <v>63</v>
      </c>
    </row>
    <row r="126">
      <c r="A126" s="609" t="s">
        <v>2298</v>
      </c>
      <c r="B126" s="610">
        <f t="array" ref="B126">VLOOKUP($A126,VA_DEMO,2,FALSE)</f>
        <v>16070</v>
      </c>
      <c r="C126" s="704">
        <f>vlookup(A126,'VA Data'!$A$5:$B$144,2,FALSE)</f>
        <v>10</v>
      </c>
      <c r="D126" s="612" t="s">
        <v>63</v>
      </c>
      <c r="E126" s="612">
        <f>IF(ISBLANK(vlookup(A126,'VA Data'!$C$5:$D$140,2,FALSE)),"NULL",(vlookup(A126,'VA Data'!$C$5:$D$140,2,FALSE)))</f>
        <v>7</v>
      </c>
      <c r="F126" s="612">
        <f>IF(ISBLANK(vlookup(A126,'VA Data'!$E$5:$F$140,2,FALSE)),"NULL",(vlookup(A126,'VA Data'!$E$5:$F$140,2,FALSE)))</f>
        <v>1</v>
      </c>
      <c r="G126" s="612" t="s">
        <v>63</v>
      </c>
      <c r="H126" s="671" t="s">
        <v>63</v>
      </c>
      <c r="I126" s="614">
        <f>IF(ISBLANK(vlookup(A126,'VA Data'!$G$5:$H$144,2,FALSE)),"NULL",(vlookup(A126,'VA Data'!$G$5:$H$144,2,FALSE)))</f>
        <v>7</v>
      </c>
      <c r="J126" s="615" t="s">
        <v>63</v>
      </c>
      <c r="K126" s="1061">
        <f>IF(ISBLANK(vlookup(A126,'VA Data'!$I$5:$J$140,2,FALSE)),"NULL",(vlookup(A126,'VA Data'!$I$5:$J$140,2,FALSE)))</f>
        <v>0.308</v>
      </c>
      <c r="L126" s="671" t="s">
        <v>63</v>
      </c>
      <c r="M126" s="614" t="s">
        <v>63</v>
      </c>
      <c r="N126" s="612" t="s">
        <v>63</v>
      </c>
      <c r="O126" s="612" t="s">
        <v>63</v>
      </c>
      <c r="P126" s="620">
        <f>ifna(vlookup(A126,'Population &amp; Church Numbers'!$A$2823:$D$2955,4,FALSE),"NULL")</f>
        <v>17</v>
      </c>
      <c r="Q126" s="674" t="s">
        <v>63</v>
      </c>
    </row>
    <row r="127">
      <c r="A127" s="609" t="s">
        <v>2299</v>
      </c>
      <c r="B127" s="610">
        <f t="array" ref="B127">VLOOKUP($A127,VA_DEMO,2,FALSE)</f>
        <v>226610</v>
      </c>
      <c r="C127" s="704">
        <f>vlookup(A127,'VA Data'!$A$5:$B$144,2,FALSE)</f>
        <v>214</v>
      </c>
      <c r="D127" s="612" t="s">
        <v>63</v>
      </c>
      <c r="E127" s="612">
        <f>IF(ISBLANK(vlookup(A127,'VA Data'!$C$5:$D$140,2,FALSE)),"NULL",(vlookup(A127,'VA Data'!$C$5:$D$140,2,FALSE)))</f>
        <v>102</v>
      </c>
      <c r="F127" s="612">
        <f>IF(ISBLANK(vlookup(A127,'VA Data'!$E$5:$F$140,2,FALSE)),"NULL",(vlookup(A127,'VA Data'!$E$5:$F$140,2,FALSE)))</f>
        <v>28</v>
      </c>
      <c r="G127" s="612" t="s">
        <v>63</v>
      </c>
      <c r="H127" s="671" t="s">
        <v>63</v>
      </c>
      <c r="I127" s="614">
        <f>IF(ISBLANK(vlookup(A127,'VA Data'!$G$5:$H$144,2,FALSE)),"NULL",(vlookup(A127,'VA Data'!$G$5:$H$144,2,FALSE)))</f>
        <v>69</v>
      </c>
      <c r="J127" s="615" t="s">
        <v>63</v>
      </c>
      <c r="K127" s="1061">
        <f>IF(ISBLANK(vlookup(A127,'VA Data'!$I$5:$J$140,2,FALSE)),"NULL",(vlookup(A127,'VA Data'!$I$5:$J$140,2,FALSE)))</f>
        <v>0.143</v>
      </c>
      <c r="L127" s="671" t="s">
        <v>63</v>
      </c>
      <c r="M127" s="614" t="s">
        <v>63</v>
      </c>
      <c r="N127" s="612" t="s">
        <v>63</v>
      </c>
      <c r="O127" s="612" t="s">
        <v>63</v>
      </c>
      <c r="P127" s="620">
        <f>ifna(vlookup(A127,'Population &amp; Church Numbers'!$A$2823:$D$2955,4,FALSE),"NULL")</f>
        <v>220</v>
      </c>
      <c r="Q127" s="674" t="s">
        <v>63</v>
      </c>
    </row>
    <row r="128">
      <c r="A128" s="609" t="s">
        <v>2300</v>
      </c>
      <c r="B128" s="610">
        <f t="array" ref="B128">VLOOKUP($A128,VA_DEMO,2,FALSE)</f>
        <v>100011</v>
      </c>
      <c r="C128" s="704">
        <f>vlookup(A128,'VA Data'!$A$5:$B$144,2,FALSE)</f>
        <v>279</v>
      </c>
      <c r="D128" s="612" t="s">
        <v>63</v>
      </c>
      <c r="E128" s="612">
        <f>IF(ISBLANK(vlookup(A128,'VA Data'!$C$5:$D$140,2,FALSE)),"NULL",(vlookup(A128,'VA Data'!$C$5:$D$140,2,FALSE)))</f>
        <v>189</v>
      </c>
      <c r="F128" s="612">
        <f>IF(ISBLANK(vlookup(A128,'VA Data'!$E$5:$F$140,2,FALSE)),"NULL",(vlookup(A128,'VA Data'!$E$5:$F$140,2,FALSE)))</f>
        <v>42</v>
      </c>
      <c r="G128" s="612" t="s">
        <v>63</v>
      </c>
      <c r="H128" s="671" t="s">
        <v>63</v>
      </c>
      <c r="I128" s="614">
        <f>IF(ISBLANK(vlookup(A128,'VA Data'!$G$5:$H$144,2,FALSE)),"NULL",(vlookup(A128,'VA Data'!$G$5:$H$144,2,FALSE)))</f>
        <v>95</v>
      </c>
      <c r="J128" s="615" t="s">
        <v>63</v>
      </c>
      <c r="K128" s="1061">
        <f>IF(ISBLANK(vlookup(A128,'VA Data'!$I$5:$J$140,2,FALSE)),"NULL",(vlookup(A128,'VA Data'!$I$5:$J$140,2,FALSE)))</f>
        <v>0.27</v>
      </c>
      <c r="L128" s="671" t="s">
        <v>63</v>
      </c>
      <c r="M128" s="614" t="s">
        <v>63</v>
      </c>
      <c r="N128" s="612" t="s">
        <v>63</v>
      </c>
      <c r="O128" s="612" t="s">
        <v>63</v>
      </c>
      <c r="P128" s="620">
        <f>ifna(vlookup(A128,'Population &amp; Church Numbers'!$A$2823:$D$2955,4,FALSE),"NULL")</f>
        <v>135</v>
      </c>
      <c r="Q128" s="674" t="s">
        <v>63</v>
      </c>
    </row>
    <row r="129">
      <c r="A129" s="609" t="s">
        <v>1531</v>
      </c>
      <c r="B129" s="610">
        <f t="array" ref="B129">VLOOKUP($A129,VA_DEMO,2,FALSE)</f>
        <v>25346</v>
      </c>
      <c r="C129" s="704">
        <f>vlookup(A129,'VA Data'!$A$5:$B$144,2,FALSE)</f>
        <v>12</v>
      </c>
      <c r="D129" s="612" t="s">
        <v>63</v>
      </c>
      <c r="E129" s="612" t="str">
        <f>IF(ISBLANK(vlookup(A129,'VA Data'!$C$5:$D$140,2,FALSE)),"NULL",(vlookup(A129,'VA Data'!$C$5:$D$140,2,FALSE)))</f>
        <v>NULL</v>
      </c>
      <c r="F129" s="612" t="str">
        <f>IF(ISBLANK(vlookup(A129,'VA Data'!$E$5:$F$140,2,FALSE)),"NULL",(vlookup(A129,'VA Data'!$E$5:$F$140,2,FALSE)))</f>
        <v>NULL</v>
      </c>
      <c r="G129" s="612" t="s">
        <v>63</v>
      </c>
      <c r="H129" s="671" t="s">
        <v>63</v>
      </c>
      <c r="I129" s="614">
        <f>IF(ISBLANK(vlookup(A129,'VA Data'!$G$5:$H$144,2,FALSE)),"NULL",(vlookup(A129,'VA Data'!$G$5:$H$144,2,FALSE)))</f>
        <v>1</v>
      </c>
      <c r="J129" s="615" t="s">
        <v>63</v>
      </c>
      <c r="K129" s="1061">
        <f>IF(ISBLANK(vlookup(A129,'VA Data'!$I$5:$J$140,2,FALSE)),"NULL",(vlookup(A129,'VA Data'!$I$5:$J$140,2,FALSE)))</f>
        <v>0</v>
      </c>
      <c r="L129" s="671" t="s">
        <v>63</v>
      </c>
      <c r="M129" s="614" t="s">
        <v>63</v>
      </c>
      <c r="N129" s="612" t="s">
        <v>63</v>
      </c>
      <c r="O129" s="612" t="s">
        <v>63</v>
      </c>
      <c r="P129" s="620">
        <f>ifna(vlookup(A129,'Population &amp; Church Numbers'!$A$2823:$D$2955,4,FALSE),"NULL")</f>
        <v>34</v>
      </c>
      <c r="Q129" s="674" t="s">
        <v>63</v>
      </c>
    </row>
    <row r="130">
      <c r="A130" s="609" t="s">
        <v>4218</v>
      </c>
      <c r="B130" s="610">
        <f t="array" ref="B130">VLOOKUP($A130,VA_DEMO,2,FALSE)</f>
        <v>25750</v>
      </c>
      <c r="C130" s="704">
        <f>vlookup(A130,'VA Data'!$A$5:$B$144,2,FALSE)</f>
        <v>81</v>
      </c>
      <c r="D130" s="612" t="s">
        <v>63</v>
      </c>
      <c r="E130" s="612">
        <f>IF(ISBLANK(vlookup(A130,'VA Data'!$C$5:$D$140,2,FALSE)),"NULL",(vlookup(A130,'VA Data'!$C$5:$D$140,2,FALSE)))</f>
        <v>87</v>
      </c>
      <c r="F130" s="612">
        <f>IF(ISBLANK(vlookup(A130,'VA Data'!$E$5:$F$140,2,FALSE)),"NULL",(vlookup(A130,'VA Data'!$E$5:$F$140,2,FALSE)))</f>
        <v>11</v>
      </c>
      <c r="G130" s="612" t="s">
        <v>63</v>
      </c>
      <c r="H130" s="671" t="s">
        <v>63</v>
      </c>
      <c r="I130" s="614">
        <f>IF(ISBLANK(vlookup(A130,'VA Data'!$G$5:$H$144,2,FALSE)),"NULL",(vlookup(A130,'VA Data'!$G$5:$H$144,2,FALSE)))</f>
        <v>47</v>
      </c>
      <c r="J130" s="615" t="s">
        <v>63</v>
      </c>
      <c r="K130" s="1061">
        <f>IF(ISBLANK(vlookup(A130,'VA Data'!$I$5:$J$140,2,FALSE)),"NULL",(vlookup(A130,'VA Data'!$I$5:$J$140,2,FALSE)))</f>
        <v>0.304</v>
      </c>
      <c r="L130" s="671" t="s">
        <v>63</v>
      </c>
      <c r="M130" s="614" t="s">
        <v>63</v>
      </c>
      <c r="N130" s="612" t="s">
        <v>63</v>
      </c>
      <c r="O130" s="612" t="s">
        <v>63</v>
      </c>
      <c r="P130" s="620">
        <f>ifna(vlookup(A130,'Population &amp; Church Numbers'!$A$2823:$D$2955,4,FALSE),"NULL")</f>
        <v>46</v>
      </c>
      <c r="Q130" s="674" t="s">
        <v>63</v>
      </c>
    </row>
    <row r="131">
      <c r="A131" s="609" t="s">
        <v>299</v>
      </c>
      <c r="B131" s="610">
        <f t="array" ref="B131">VLOOKUP($A131,VA_DEMO,2,FALSE)</f>
        <v>94324</v>
      </c>
      <c r="C131" s="704">
        <f>vlookup(A131,'VA Data'!$A$5:$B$144,2,FALSE)</f>
        <v>35</v>
      </c>
      <c r="D131" s="612" t="s">
        <v>63</v>
      </c>
      <c r="E131" s="612">
        <f>IF(ISBLANK(vlookup(A131,'VA Data'!$C$5:$D$140,2,FALSE)),"NULL",(vlookup(A131,'VA Data'!$C$5:$D$140,2,FALSE)))</f>
        <v>16</v>
      </c>
      <c r="F131" s="612">
        <f>IF(ISBLANK(vlookup(A131,'VA Data'!$E$5:$F$140,2,FALSE)),"NULL",(vlookup(A131,'VA Data'!$E$5:$F$140,2,FALSE)))</f>
        <v>1</v>
      </c>
      <c r="G131" s="612" t="s">
        <v>63</v>
      </c>
      <c r="H131" s="671" t="s">
        <v>63</v>
      </c>
      <c r="I131" s="614">
        <f>IF(ISBLANK(vlookup(A131,'VA Data'!$G$5:$H$144,2,FALSE)),"NULL",(vlookup(A131,'VA Data'!$G$5:$H$144,2,FALSE)))</f>
        <v>10</v>
      </c>
      <c r="J131" s="615" t="s">
        <v>63</v>
      </c>
      <c r="K131" s="1061">
        <f>IF(ISBLANK(vlookup(A131,'VA Data'!$I$5:$J$140,2,FALSE)),"NULL",(vlookup(A131,'VA Data'!$I$5:$J$140,2,FALSE)))</f>
        <v>0</v>
      </c>
      <c r="L131" s="671" t="s">
        <v>63</v>
      </c>
      <c r="M131" s="614" t="s">
        <v>63</v>
      </c>
      <c r="N131" s="612" t="s">
        <v>63</v>
      </c>
      <c r="O131" s="612" t="s">
        <v>63</v>
      </c>
      <c r="P131" s="620">
        <f>ifna(vlookup(A131,'Population &amp; Church Numbers'!$A$2823:$D$2955,4,FALSE),"NULL")</f>
        <v>108</v>
      </c>
      <c r="Q131" s="674" t="s">
        <v>63</v>
      </c>
    </row>
    <row r="132">
      <c r="A132" s="609" t="s">
        <v>4219</v>
      </c>
      <c r="B132" s="610">
        <f t="array" ref="B132">VLOOKUP($A132,VA_DEMO,2,FALSE)</f>
        <v>459470</v>
      </c>
      <c r="C132" s="704">
        <f>vlookup(A132,'VA Data'!$A$5:$B$144,2,FALSE)</f>
        <v>199</v>
      </c>
      <c r="D132" s="612" t="s">
        <v>63</v>
      </c>
      <c r="E132" s="612">
        <f>IF(ISBLANK(vlookup(A132,'VA Data'!$C$5:$D$140,2,FALSE)),"NULL",(vlookup(A132,'VA Data'!$C$5:$D$140,2,FALSE)))</f>
        <v>127</v>
      </c>
      <c r="F132" s="612">
        <f>IF(ISBLANK(vlookup(A132,'VA Data'!$E$5:$F$140,2,FALSE)),"NULL",(vlookup(A132,'VA Data'!$E$5:$F$140,2,FALSE)))</f>
        <v>28</v>
      </c>
      <c r="G132" s="612" t="s">
        <v>63</v>
      </c>
      <c r="H132" s="671" t="s">
        <v>63</v>
      </c>
      <c r="I132" s="614">
        <f>IF(ISBLANK(vlookup(A132,'VA Data'!$G$5:$H$144,2,FALSE)),"NULL",(vlookup(A132,'VA Data'!$G$5:$H$144,2,FALSE)))</f>
        <v>70</v>
      </c>
      <c r="J132" s="615" t="s">
        <v>63</v>
      </c>
      <c r="K132" s="1061">
        <f>IF(ISBLANK(vlookup(A132,'VA Data'!$I$5:$J$140,2,FALSE)),"NULL",(vlookup(A132,'VA Data'!$I$5:$J$140,2,FALSE)))</f>
        <v>0.324</v>
      </c>
      <c r="L132" s="671" t="s">
        <v>63</v>
      </c>
      <c r="M132" s="614" t="s">
        <v>63</v>
      </c>
      <c r="N132" s="612" t="s">
        <v>63</v>
      </c>
      <c r="O132" s="612" t="s">
        <v>63</v>
      </c>
      <c r="P132" s="620">
        <f>ifna(vlookup(A132,'Population &amp; Church Numbers'!$A$2823:$D$2955,4,FALSE),"NULL")</f>
        <v>211</v>
      </c>
      <c r="Q132" s="674" t="s">
        <v>63</v>
      </c>
    </row>
    <row r="133">
      <c r="A133" s="609" t="s">
        <v>4220</v>
      </c>
      <c r="B133" s="610">
        <f t="array" ref="B133">VLOOKUP($A133,VA_DEMO,2,FALSE)</f>
        <v>22196</v>
      </c>
      <c r="C133" s="704">
        <f>vlookup(A133,'VA Data'!$A$5:$B$144,2,FALSE)</f>
        <v>22</v>
      </c>
      <c r="D133" s="612" t="s">
        <v>63</v>
      </c>
      <c r="E133" s="612" t="str">
        <f>IF(ISBLANK(vlookup(A133,'VA Data'!$C$5:$D$140,2,FALSE)),"NULL",(vlookup(A133,'VA Data'!$C$5:$D$140,2,FALSE)))</f>
        <v>NULL</v>
      </c>
      <c r="F133" s="612" t="str">
        <f>IF(ISBLANK(vlookup(A133,'VA Data'!$E$5:$F$140,2,FALSE)),"NULL",(vlookup(A133,'VA Data'!$E$5:$F$140,2,FALSE)))</f>
        <v>NULL</v>
      </c>
      <c r="G133" s="612" t="s">
        <v>63</v>
      </c>
      <c r="H133" s="671" t="s">
        <v>63</v>
      </c>
      <c r="I133" s="614">
        <f>IF(ISBLANK(vlookup(A133,'VA Data'!$G$5:$H$144,2,FALSE)),"NULL",(vlookup(A133,'VA Data'!$G$5:$H$144,2,FALSE)))</f>
        <v>5</v>
      </c>
      <c r="J133" s="615" t="s">
        <v>63</v>
      </c>
      <c r="K133" s="1061">
        <f>IF(ISBLANK(vlookup(A133,'VA Data'!$I$5:$J$140,2,FALSE)),"NULL",(vlookup(A133,'VA Data'!$I$5:$J$140,2,FALSE)))</f>
        <v>0</v>
      </c>
      <c r="L133" s="671" t="s">
        <v>63</v>
      </c>
      <c r="M133" s="614" t="s">
        <v>63</v>
      </c>
      <c r="N133" s="612" t="s">
        <v>63</v>
      </c>
      <c r="O133" s="612" t="s">
        <v>63</v>
      </c>
      <c r="P133" s="620">
        <f>ifna(vlookup(A133,'Population &amp; Church Numbers'!$A$2823:$D$2955,4,FALSE),"NULL")</f>
        <v>37</v>
      </c>
      <c r="Q133" s="674" t="s">
        <v>63</v>
      </c>
    </row>
    <row r="134">
      <c r="A134" s="609" t="s">
        <v>1839</v>
      </c>
      <c r="B134" s="610">
        <f t="array" ref="B134">VLOOKUP($A134,VA_DEMO,2,FALSE)</f>
        <v>15425</v>
      </c>
      <c r="C134" s="704">
        <f>vlookup(A134,'VA Data'!$A$5:$B$144,2,FALSE)</f>
        <v>2</v>
      </c>
      <c r="D134" s="612" t="s">
        <v>63</v>
      </c>
      <c r="E134" s="612">
        <f>IF(ISBLANK(vlookup(A134,'VA Data'!$C$5:$D$140,2,FALSE)),"NULL",(vlookup(A134,'VA Data'!$C$5:$D$140,2,FALSE)))</f>
        <v>1</v>
      </c>
      <c r="F134" s="612" t="str">
        <f>IF(ISBLANK(vlookup(A134,'VA Data'!$E$5:$F$140,2,FALSE)),"NULL",(vlookup(A134,'VA Data'!$E$5:$F$140,2,FALSE)))</f>
        <v>NULL</v>
      </c>
      <c r="G134" s="612" t="s">
        <v>63</v>
      </c>
      <c r="H134" s="671" t="s">
        <v>63</v>
      </c>
      <c r="I134" s="614">
        <f>IF(ISBLANK(vlookup(A134,'VA Data'!$G$5:$H$144,2,FALSE)),"NULL",(vlookup(A134,'VA Data'!$G$5:$H$144,2,FALSE)))</f>
        <v>0</v>
      </c>
      <c r="J134" s="615" t="s">
        <v>63</v>
      </c>
      <c r="K134" s="1061">
        <f>IF(ISBLANK(vlookup(A134,'VA Data'!$I$5:$J$140,2,FALSE)),"NULL",(vlookup(A134,'VA Data'!$I$5:$J$140,2,FALSE)))</f>
        <v>0.5</v>
      </c>
      <c r="L134" s="671" t="s">
        <v>63</v>
      </c>
      <c r="M134" s="614" t="s">
        <v>63</v>
      </c>
      <c r="N134" s="612" t="s">
        <v>63</v>
      </c>
      <c r="O134" s="612" t="s">
        <v>63</v>
      </c>
      <c r="P134" s="620">
        <f>ifna(vlookup(A134,'Population &amp; Church Numbers'!$A$2823:$D$2955,4,FALSE),"NULL")</f>
        <v>15</v>
      </c>
      <c r="Q134" s="674" t="s">
        <v>63</v>
      </c>
    </row>
    <row r="135">
      <c r="A135" s="609" t="s">
        <v>3440</v>
      </c>
      <c r="B135" s="610">
        <f t="array" ref="B135">VLOOKUP($A135,VA_DEMO,2,FALSE)</f>
        <v>28120</v>
      </c>
      <c r="C135" s="704">
        <f>vlookup(A135,'VA Data'!$A$5:$B$144,2,FALSE)</f>
        <v>43</v>
      </c>
      <c r="D135" s="612" t="s">
        <v>63</v>
      </c>
      <c r="E135" s="612">
        <f>IF(ISBLANK(vlookup(A135,'VA Data'!$C$5:$D$140,2,FALSE)),"NULL",(vlookup(A135,'VA Data'!$C$5:$D$140,2,FALSE)))</f>
        <v>29</v>
      </c>
      <c r="F135" s="612">
        <f>IF(ISBLANK(vlookup(A135,'VA Data'!$E$5:$F$140,2,FALSE)),"NULL",(vlookup(A135,'VA Data'!$E$5:$F$140,2,FALSE)))</f>
        <v>4</v>
      </c>
      <c r="G135" s="612" t="s">
        <v>63</v>
      </c>
      <c r="H135" s="671" t="s">
        <v>63</v>
      </c>
      <c r="I135" s="614">
        <f>IF(ISBLANK(vlookup(A135,'VA Data'!$G$5:$H$144,2,FALSE)),"NULL",(vlookup(A135,'VA Data'!$G$5:$H$144,2,FALSE)))</f>
        <v>16</v>
      </c>
      <c r="J135" s="615" t="s">
        <v>63</v>
      </c>
      <c r="K135" s="1061">
        <f>IF(ISBLANK(vlookup(A135,'VA Data'!$I$5:$J$140,2,FALSE)),"NULL",(vlookup(A135,'VA Data'!$I$5:$J$140,2,FALSE)))</f>
        <v>0.276</v>
      </c>
      <c r="L135" s="671" t="s">
        <v>63</v>
      </c>
      <c r="M135" s="614" t="s">
        <v>63</v>
      </c>
      <c r="N135" s="612" t="s">
        <v>63</v>
      </c>
      <c r="O135" s="612" t="s">
        <v>63</v>
      </c>
      <c r="P135" s="620">
        <f>ifna(vlookup(A135,'Population &amp; Church Numbers'!$A$2823:$D$2955,4,FALSE),"NULL")</f>
        <v>33</v>
      </c>
      <c r="Q135" s="674" t="s">
        <v>63</v>
      </c>
    </row>
    <row r="136">
      <c r="A136" s="217"/>
      <c r="B136" s="218"/>
      <c r="C136" s="219"/>
      <c r="D136" s="220"/>
      <c r="E136" s="220"/>
      <c r="F136" s="220"/>
      <c r="G136" s="220"/>
      <c r="H136" s="221"/>
      <c r="I136" s="222"/>
      <c r="J136" s="223"/>
      <c r="K136" s="219"/>
      <c r="L136" s="224"/>
      <c r="M136" s="225"/>
      <c r="N136" s="226"/>
      <c r="O136" s="220"/>
      <c r="P136" s="221"/>
      <c r="Q136" s="295"/>
    </row>
    <row r="137">
      <c r="A137" s="228" t="s">
        <v>2</v>
      </c>
      <c r="B137" s="229"/>
      <c r="C137" s="1134">
        <f>'VA Data'!B144</f>
        <v>5185</v>
      </c>
      <c r="D137" s="708" t="s">
        <v>63</v>
      </c>
      <c r="E137" s="236">
        <f>'VA Data'!D140</f>
        <v>2934</v>
      </c>
      <c r="F137" s="708">
        <f>'VA Data'!F140</f>
        <v>682</v>
      </c>
      <c r="G137" s="708" t="s">
        <v>63</v>
      </c>
      <c r="H137" s="1134">
        <f>AFCARSCSC!D50</f>
        <v>4735</v>
      </c>
      <c r="I137" s="433">
        <f>'VA Data'!H144</f>
        <v>1675</v>
      </c>
      <c r="J137" s="360" t="s">
        <v>63</v>
      </c>
      <c r="K137" s="308">
        <f>'VA Data'!J140</f>
        <v>0.289</v>
      </c>
      <c r="L137" s="708" t="s">
        <v>63</v>
      </c>
      <c r="M137" s="360" t="s">
        <v>63</v>
      </c>
      <c r="N137" s="360" t="s">
        <v>63</v>
      </c>
      <c r="O137" s="360" t="s">
        <v>63</v>
      </c>
      <c r="P137" s="233">
        <f>SUM(P3:P136)</f>
        <v>7855</v>
      </c>
      <c r="Q137" s="1092" t="s">
        <v>63</v>
      </c>
    </row>
  </sheetData>
  <mergeCells count="1">
    <mergeCell ref="B1:Q1"/>
  </mergeCells>
  <drawing r:id="rId1"/>
  <tableParts count="1">
    <tablePart r:id="rId3"/>
  </tableParts>
</worksheet>
</file>

<file path=xl/worksheets/sheet10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41" t="s">
        <v>4186</v>
      </c>
      <c r="B1" s="197"/>
      <c r="C1" s="197"/>
      <c r="D1" s="197"/>
      <c r="E1" s="198"/>
      <c r="F1" s="198"/>
      <c r="G1" s="1329"/>
      <c r="H1" s="1329"/>
      <c r="I1" s="1329"/>
      <c r="J1" s="1329"/>
      <c r="K1" s="1329"/>
      <c r="L1" s="1329"/>
      <c r="M1" s="1329"/>
      <c r="N1" s="1329"/>
      <c r="O1" s="1329"/>
      <c r="P1" s="1329"/>
      <c r="Q1" s="1329"/>
    </row>
    <row r="2">
      <c r="A2" s="10" t="s">
        <v>3337</v>
      </c>
      <c r="B2" s="1151">
        <v>45322.0</v>
      </c>
      <c r="C2" s="10" t="s">
        <v>3337</v>
      </c>
      <c r="D2" s="1151">
        <v>45322.0</v>
      </c>
      <c r="E2" s="10" t="s">
        <v>3337</v>
      </c>
      <c r="F2" s="1151">
        <v>45322.0</v>
      </c>
      <c r="G2" s="10" t="s">
        <v>3337</v>
      </c>
      <c r="H2" s="1151">
        <v>45352.0</v>
      </c>
      <c r="I2" s="10" t="s">
        <v>3337</v>
      </c>
      <c r="J2" s="1" t="s">
        <v>4187</v>
      </c>
    </row>
    <row r="3">
      <c r="A3" s="10" t="s">
        <v>3347</v>
      </c>
      <c r="B3" s="1151">
        <v>45392.0</v>
      </c>
      <c r="C3" s="10" t="s">
        <v>3347</v>
      </c>
      <c r="D3" s="1151">
        <v>45392.0</v>
      </c>
      <c r="E3" s="10" t="s">
        <v>3347</v>
      </c>
      <c r="F3" s="1151">
        <v>45392.0</v>
      </c>
      <c r="G3" s="10" t="s">
        <v>3347</v>
      </c>
      <c r="H3" s="1151">
        <v>45392.0</v>
      </c>
      <c r="I3" s="10" t="s">
        <v>3347</v>
      </c>
      <c r="J3" s="1151">
        <v>45392.0</v>
      </c>
    </row>
    <row r="4">
      <c r="A4" s="1330" t="s">
        <v>693</v>
      </c>
      <c r="B4" s="1331"/>
      <c r="C4" s="1332" t="s">
        <v>4188</v>
      </c>
      <c r="D4" s="1331"/>
      <c r="E4" s="1334" t="s">
        <v>4189</v>
      </c>
      <c r="F4" s="1331"/>
      <c r="G4" s="1336" t="s">
        <v>4190</v>
      </c>
      <c r="H4" s="1337"/>
      <c r="I4" s="1338" t="s">
        <v>4191</v>
      </c>
      <c r="J4" s="1337"/>
    </row>
    <row r="5">
      <c r="A5" s="1339" t="s">
        <v>2213</v>
      </c>
      <c r="B5" s="1340">
        <v>13.0</v>
      </c>
      <c r="C5" s="1341" t="s">
        <v>2213</v>
      </c>
      <c r="D5" s="1342">
        <v>7.0</v>
      </c>
      <c r="E5" s="1343" t="s">
        <v>2213</v>
      </c>
      <c r="F5" s="1342">
        <v>2.0</v>
      </c>
      <c r="G5" s="1344" t="s">
        <v>2213</v>
      </c>
      <c r="H5" s="1345">
        <v>1.0</v>
      </c>
      <c r="I5" s="1346" t="s">
        <v>2213</v>
      </c>
      <c r="J5" s="1347">
        <v>0.5</v>
      </c>
    </row>
    <row r="6">
      <c r="A6" s="1348" t="s">
        <v>2214</v>
      </c>
      <c r="B6" s="1349">
        <v>89.0</v>
      </c>
      <c r="C6" s="1350" t="s">
        <v>2214</v>
      </c>
      <c r="D6" s="1351">
        <v>42.0</v>
      </c>
      <c r="E6" s="1352" t="s">
        <v>2214</v>
      </c>
      <c r="F6" s="1351">
        <v>29.0</v>
      </c>
      <c r="G6" s="1353" t="s">
        <v>2214</v>
      </c>
      <c r="H6" s="1354">
        <v>23.0</v>
      </c>
      <c r="I6" s="1355" t="s">
        <v>2214</v>
      </c>
      <c r="J6" s="553">
        <v>0.568</v>
      </c>
    </row>
    <row r="7">
      <c r="A7" s="1348" t="s">
        <v>4192</v>
      </c>
      <c r="B7" s="1349">
        <v>75.0</v>
      </c>
      <c r="C7" s="1350" t="s">
        <v>4192</v>
      </c>
      <c r="D7" s="1351">
        <v>38.0</v>
      </c>
      <c r="E7" s="1352" t="s">
        <v>4192</v>
      </c>
      <c r="F7" s="1351">
        <v>13.0</v>
      </c>
      <c r="G7" s="1353" t="s">
        <v>4192</v>
      </c>
      <c r="H7" s="1354">
        <v>26.0</v>
      </c>
      <c r="I7" s="1355" t="s">
        <v>4192</v>
      </c>
      <c r="J7" s="553">
        <v>0.075</v>
      </c>
    </row>
    <row r="8">
      <c r="A8" s="1348" t="s">
        <v>1579</v>
      </c>
      <c r="B8" s="1349">
        <v>16.0</v>
      </c>
      <c r="C8" s="1350" t="s">
        <v>1579</v>
      </c>
      <c r="D8" s="1351">
        <v>8.0</v>
      </c>
      <c r="E8" s="1352" t="s">
        <v>1579</v>
      </c>
      <c r="F8" s="1351">
        <v>2.0</v>
      </c>
      <c r="G8" s="1353" t="s">
        <v>1579</v>
      </c>
      <c r="H8" s="1354">
        <v>8.0</v>
      </c>
      <c r="I8" s="1355" t="s">
        <v>1579</v>
      </c>
      <c r="J8" s="553">
        <v>0.667</v>
      </c>
    </row>
    <row r="9">
      <c r="A9" s="1348" t="s">
        <v>2216</v>
      </c>
      <c r="B9" s="1349">
        <v>5.0</v>
      </c>
      <c r="C9" s="1350" t="s">
        <v>2216</v>
      </c>
      <c r="D9" s="1351">
        <v>1.0</v>
      </c>
      <c r="E9" s="1352" t="s">
        <v>2216</v>
      </c>
      <c r="F9" s="1356"/>
      <c r="G9" s="1353" t="s">
        <v>2216</v>
      </c>
      <c r="H9" s="1354">
        <v>2.0</v>
      </c>
      <c r="I9" s="1355" t="s">
        <v>2216</v>
      </c>
      <c r="J9" s="553">
        <v>0.0</v>
      </c>
    </row>
    <row r="10">
      <c r="A10" s="1348" t="s">
        <v>2217</v>
      </c>
      <c r="B10" s="1349">
        <v>25.0</v>
      </c>
      <c r="C10" s="1350" t="s">
        <v>2217</v>
      </c>
      <c r="D10" s="1351">
        <v>16.0</v>
      </c>
      <c r="E10" s="1352" t="s">
        <v>2217</v>
      </c>
      <c r="F10" s="1351">
        <v>8.0</v>
      </c>
      <c r="G10" s="1353" t="s">
        <v>2217</v>
      </c>
      <c r="H10" s="1354">
        <v>12.0</v>
      </c>
      <c r="I10" s="1355" t="s">
        <v>2217</v>
      </c>
      <c r="J10" s="553">
        <v>0.333</v>
      </c>
    </row>
    <row r="11">
      <c r="A11" s="1348" t="s">
        <v>2218</v>
      </c>
      <c r="B11" s="1349">
        <v>20.0</v>
      </c>
      <c r="C11" s="1350" t="s">
        <v>2218</v>
      </c>
      <c r="D11" s="1351">
        <v>11.0</v>
      </c>
      <c r="E11" s="1352" t="s">
        <v>2218</v>
      </c>
      <c r="F11" s="1351">
        <v>1.0</v>
      </c>
      <c r="G11" s="1353" t="s">
        <v>2218</v>
      </c>
      <c r="H11" s="1354">
        <v>8.0</v>
      </c>
      <c r="I11" s="1355" t="s">
        <v>2218</v>
      </c>
      <c r="J11" s="553">
        <v>0.333</v>
      </c>
    </row>
    <row r="12">
      <c r="A12" s="1348" t="s">
        <v>2219</v>
      </c>
      <c r="B12" s="1349">
        <v>70.0</v>
      </c>
      <c r="C12" s="1350" t="s">
        <v>2219</v>
      </c>
      <c r="D12" s="1351">
        <v>29.0</v>
      </c>
      <c r="E12" s="1352" t="s">
        <v>2219</v>
      </c>
      <c r="F12" s="1351">
        <v>16.0</v>
      </c>
      <c r="G12" s="1353" t="s">
        <v>2219</v>
      </c>
      <c r="H12" s="1354">
        <v>17.0</v>
      </c>
      <c r="I12" s="1355" t="s">
        <v>2219</v>
      </c>
      <c r="J12" s="553">
        <v>0.429</v>
      </c>
    </row>
    <row r="13">
      <c r="A13" s="1348" t="s">
        <v>2220</v>
      </c>
      <c r="B13" s="1349">
        <v>50.0</v>
      </c>
      <c r="C13" s="1350" t="s">
        <v>2220</v>
      </c>
      <c r="D13" s="1351">
        <v>4.0</v>
      </c>
      <c r="E13" s="1352" t="s">
        <v>2220</v>
      </c>
      <c r="F13" s="1356"/>
      <c r="G13" s="1353" t="s">
        <v>2220</v>
      </c>
      <c r="H13" s="1354">
        <v>21.0</v>
      </c>
      <c r="I13" s="1355" t="s">
        <v>2220</v>
      </c>
      <c r="J13" s="553">
        <v>0.545</v>
      </c>
    </row>
    <row r="14">
      <c r="A14" s="1348" t="s">
        <v>1026</v>
      </c>
      <c r="B14" s="1349">
        <v>0.0</v>
      </c>
      <c r="C14" s="1350" t="s">
        <v>1026</v>
      </c>
      <c r="D14" s="1357"/>
      <c r="E14" s="1352" t="s">
        <v>1026</v>
      </c>
      <c r="F14" s="1356"/>
      <c r="G14" s="1353" t="s">
        <v>1026</v>
      </c>
      <c r="H14" s="1354">
        <v>0.0</v>
      </c>
      <c r="I14" s="1355" t="s">
        <v>1026</v>
      </c>
      <c r="J14" s="553">
        <v>0.0</v>
      </c>
    </row>
    <row r="15">
      <c r="A15" s="1348" t="s">
        <v>4193</v>
      </c>
      <c r="B15" s="1349">
        <v>0.0</v>
      </c>
      <c r="C15" s="1350" t="s">
        <v>4193</v>
      </c>
      <c r="D15" s="1357"/>
      <c r="E15" s="1352" t="s">
        <v>4193</v>
      </c>
      <c r="F15" s="1356"/>
      <c r="G15" s="1353" t="s">
        <v>4193</v>
      </c>
      <c r="H15" s="1354">
        <v>0.0</v>
      </c>
      <c r="I15" s="1355" t="s">
        <v>4193</v>
      </c>
      <c r="J15" s="553">
        <v>0.0</v>
      </c>
    </row>
    <row r="16">
      <c r="A16" s="1348" t="s">
        <v>4194</v>
      </c>
      <c r="B16" s="1349">
        <v>72.0</v>
      </c>
      <c r="C16" s="1350" t="s">
        <v>4194</v>
      </c>
      <c r="D16" s="1351">
        <v>22.0</v>
      </c>
      <c r="E16" s="1352" t="s">
        <v>4194</v>
      </c>
      <c r="F16" s="1351">
        <v>12.0</v>
      </c>
      <c r="G16" s="1353" t="s">
        <v>4194</v>
      </c>
      <c r="H16" s="1354">
        <v>21.0</v>
      </c>
      <c r="I16" s="1355" t="s">
        <v>4194</v>
      </c>
      <c r="J16" s="553">
        <v>0.257</v>
      </c>
    </row>
    <row r="17">
      <c r="A17" s="1348" t="s">
        <v>2222</v>
      </c>
      <c r="B17" s="1349">
        <v>4.0</v>
      </c>
      <c r="C17" s="1350" t="s">
        <v>2222</v>
      </c>
      <c r="D17" s="1351">
        <v>1.0</v>
      </c>
      <c r="E17" s="1352" t="s">
        <v>2222</v>
      </c>
      <c r="F17" s="1351">
        <v>1.0</v>
      </c>
      <c r="G17" s="1353" t="s">
        <v>2222</v>
      </c>
      <c r="H17" s="1354">
        <v>3.0</v>
      </c>
      <c r="I17" s="1355" t="s">
        <v>2222</v>
      </c>
      <c r="J17" s="553">
        <v>0.0</v>
      </c>
    </row>
    <row r="18">
      <c r="A18" s="1348" t="s">
        <v>2223</v>
      </c>
      <c r="B18" s="1349">
        <v>6.0</v>
      </c>
      <c r="C18" s="1350" t="s">
        <v>2223</v>
      </c>
      <c r="D18" s="1351">
        <v>3.0</v>
      </c>
      <c r="E18" s="1352" t="s">
        <v>2223</v>
      </c>
      <c r="F18" s="1351">
        <v>1.0</v>
      </c>
      <c r="G18" s="1353" t="s">
        <v>2223</v>
      </c>
      <c r="H18" s="1354">
        <v>2.0</v>
      </c>
      <c r="I18" s="1355" t="s">
        <v>2223</v>
      </c>
      <c r="J18" s="553">
        <v>0.333</v>
      </c>
    </row>
    <row r="19">
      <c r="A19" s="1348" t="s">
        <v>634</v>
      </c>
      <c r="B19" s="1349">
        <v>47.0</v>
      </c>
      <c r="C19" s="1350" t="s">
        <v>634</v>
      </c>
      <c r="D19" s="1351">
        <v>26.0</v>
      </c>
      <c r="E19" s="1352" t="s">
        <v>634</v>
      </c>
      <c r="F19" s="1351">
        <v>2.0</v>
      </c>
      <c r="G19" s="1353" t="s">
        <v>634</v>
      </c>
      <c r="H19" s="1354">
        <v>18.0</v>
      </c>
      <c r="I19" s="1355" t="s">
        <v>634</v>
      </c>
      <c r="J19" s="553">
        <v>0.056</v>
      </c>
    </row>
    <row r="20">
      <c r="A20" s="1348" t="s">
        <v>1586</v>
      </c>
      <c r="B20" s="1349">
        <v>6.0</v>
      </c>
      <c r="C20" s="1350" t="s">
        <v>1586</v>
      </c>
      <c r="D20" s="1351">
        <v>3.0</v>
      </c>
      <c r="E20" s="1352" t="s">
        <v>1586</v>
      </c>
      <c r="F20" s="1356"/>
      <c r="G20" s="1353" t="s">
        <v>1586</v>
      </c>
      <c r="H20" s="1354">
        <v>1.0</v>
      </c>
      <c r="I20" s="1355" t="s">
        <v>1586</v>
      </c>
      <c r="J20" s="553">
        <v>0.0</v>
      </c>
    </row>
    <row r="21">
      <c r="A21" s="1348" t="s">
        <v>892</v>
      </c>
      <c r="B21" s="1349">
        <v>75.0</v>
      </c>
      <c r="C21" s="1350" t="s">
        <v>892</v>
      </c>
      <c r="D21" s="1351">
        <v>52.0</v>
      </c>
      <c r="E21" s="1352" t="s">
        <v>892</v>
      </c>
      <c r="F21" s="1351">
        <v>9.0</v>
      </c>
      <c r="G21" s="1353" t="s">
        <v>892</v>
      </c>
      <c r="H21" s="1354">
        <v>31.0</v>
      </c>
      <c r="I21" s="1355" t="s">
        <v>892</v>
      </c>
      <c r="J21" s="553">
        <v>0.25</v>
      </c>
    </row>
    <row r="22">
      <c r="A22" s="1348" t="s">
        <v>2224</v>
      </c>
      <c r="B22" s="1349">
        <v>9.0</v>
      </c>
      <c r="C22" s="1350" t="s">
        <v>2224</v>
      </c>
      <c r="D22" s="1351">
        <v>6.0</v>
      </c>
      <c r="E22" s="1352" t="s">
        <v>2224</v>
      </c>
      <c r="F22" s="1356"/>
      <c r="G22" s="1353" t="s">
        <v>2224</v>
      </c>
      <c r="H22" s="1354">
        <v>6.0</v>
      </c>
      <c r="I22" s="1355" t="s">
        <v>2224</v>
      </c>
      <c r="J22" s="553">
        <v>0.0</v>
      </c>
    </row>
    <row r="23">
      <c r="A23" s="1348" t="s">
        <v>893</v>
      </c>
      <c r="B23" s="1349">
        <v>12.0</v>
      </c>
      <c r="C23" s="1350" t="s">
        <v>893</v>
      </c>
      <c r="D23" s="1357"/>
      <c r="E23" s="1352" t="s">
        <v>893</v>
      </c>
      <c r="F23" s="1356"/>
      <c r="G23" s="1353" t="s">
        <v>893</v>
      </c>
      <c r="H23" s="1354">
        <v>1.0</v>
      </c>
      <c r="I23" s="1355" t="s">
        <v>893</v>
      </c>
      <c r="J23" s="553">
        <v>0.0</v>
      </c>
    </row>
    <row r="24">
      <c r="A24" s="1348" t="s">
        <v>1036</v>
      </c>
      <c r="B24" s="1349">
        <v>44.0</v>
      </c>
      <c r="C24" s="1350" t="s">
        <v>1036</v>
      </c>
      <c r="D24" s="1351">
        <v>27.0</v>
      </c>
      <c r="E24" s="1352" t="s">
        <v>1036</v>
      </c>
      <c r="F24" s="1351">
        <v>3.0</v>
      </c>
      <c r="G24" s="1353" t="s">
        <v>1036</v>
      </c>
      <c r="H24" s="1354">
        <v>11.0</v>
      </c>
      <c r="I24" s="1355" t="s">
        <v>1036</v>
      </c>
      <c r="J24" s="553">
        <v>0.269</v>
      </c>
    </row>
    <row r="25">
      <c r="A25" s="1348" t="s">
        <v>1200</v>
      </c>
      <c r="B25" s="1349">
        <v>5.0</v>
      </c>
      <c r="C25" s="1350" t="s">
        <v>1200</v>
      </c>
      <c r="D25" s="1351">
        <v>2.0</v>
      </c>
      <c r="E25" s="1352" t="s">
        <v>1200</v>
      </c>
      <c r="F25" s="1351">
        <v>1.0</v>
      </c>
      <c r="G25" s="1353" t="s">
        <v>1200</v>
      </c>
      <c r="H25" s="1354">
        <v>3.0</v>
      </c>
      <c r="I25" s="1355" t="s">
        <v>1200</v>
      </c>
      <c r="J25" s="553">
        <v>1.0</v>
      </c>
    </row>
    <row r="26">
      <c r="A26" s="1348" t="s">
        <v>248</v>
      </c>
      <c r="B26" s="1349">
        <v>38.0</v>
      </c>
      <c r="C26" s="1350" t="s">
        <v>248</v>
      </c>
      <c r="D26" s="1351">
        <v>20.0</v>
      </c>
      <c r="E26" s="1352" t="s">
        <v>248</v>
      </c>
      <c r="F26" s="1351">
        <v>6.0</v>
      </c>
      <c r="G26" s="1353" t="s">
        <v>248</v>
      </c>
      <c r="H26" s="1354">
        <v>16.0</v>
      </c>
      <c r="I26" s="1355" t="s">
        <v>248</v>
      </c>
      <c r="J26" s="553">
        <v>0.212</v>
      </c>
    </row>
    <row r="27">
      <c r="A27" s="1348" t="s">
        <v>2226</v>
      </c>
      <c r="B27" s="1349">
        <v>0.0</v>
      </c>
      <c r="C27" s="1350" t="s">
        <v>2226</v>
      </c>
      <c r="D27" s="1357"/>
      <c r="E27" s="1352" t="s">
        <v>2226</v>
      </c>
      <c r="F27" s="1356"/>
      <c r="G27" s="1353" t="s">
        <v>2226</v>
      </c>
      <c r="H27" s="1354">
        <v>0.0</v>
      </c>
      <c r="I27" s="1355" t="s">
        <v>2226</v>
      </c>
      <c r="J27" s="553">
        <v>0.0</v>
      </c>
    </row>
    <row r="28">
      <c r="A28" s="1348" t="s">
        <v>486</v>
      </c>
      <c r="B28" s="1349">
        <v>6.0</v>
      </c>
      <c r="C28" s="1350" t="s">
        <v>486</v>
      </c>
      <c r="D28" s="1351">
        <v>3.0</v>
      </c>
      <c r="E28" s="1352" t="s">
        <v>486</v>
      </c>
      <c r="F28" s="1351">
        <v>1.0</v>
      </c>
      <c r="G28" s="1353" t="s">
        <v>486</v>
      </c>
      <c r="H28" s="1354">
        <v>3.0</v>
      </c>
      <c r="I28" s="1355" t="s">
        <v>486</v>
      </c>
      <c r="J28" s="553">
        <v>0.2</v>
      </c>
    </row>
    <row r="29">
      <c r="A29" s="1348" t="s">
        <v>4195</v>
      </c>
      <c r="B29" s="1349">
        <v>56.0</v>
      </c>
      <c r="C29" s="1350" t="s">
        <v>4195</v>
      </c>
      <c r="D29" s="1351">
        <v>15.0</v>
      </c>
      <c r="E29" s="1352" t="s">
        <v>4195</v>
      </c>
      <c r="F29" s="1351">
        <v>17.0</v>
      </c>
      <c r="G29" s="1353" t="s">
        <v>4195</v>
      </c>
      <c r="H29" s="1354">
        <v>9.0</v>
      </c>
      <c r="I29" s="1355" t="s">
        <v>4195</v>
      </c>
      <c r="J29" s="553">
        <v>0.565</v>
      </c>
    </row>
    <row r="30">
      <c r="A30" s="1348" t="s">
        <v>4196</v>
      </c>
      <c r="B30" s="1349">
        <v>65.0</v>
      </c>
      <c r="C30" s="1350" t="s">
        <v>4196</v>
      </c>
      <c r="D30" s="1351">
        <v>39.0</v>
      </c>
      <c r="E30" s="1352" t="s">
        <v>4196</v>
      </c>
      <c r="F30" s="1351">
        <v>9.0</v>
      </c>
      <c r="G30" s="1353" t="s">
        <v>4196</v>
      </c>
      <c r="H30" s="1354">
        <v>38.0</v>
      </c>
      <c r="I30" s="1355" t="s">
        <v>4196</v>
      </c>
      <c r="J30" s="553">
        <v>0.273</v>
      </c>
    </row>
    <row r="31">
      <c r="A31" s="1348" t="s">
        <v>1820</v>
      </c>
      <c r="B31" s="1349">
        <v>105.0</v>
      </c>
      <c r="C31" s="1350" t="s">
        <v>1820</v>
      </c>
      <c r="D31" s="1351">
        <v>69.0</v>
      </c>
      <c r="E31" s="1352" t="s">
        <v>1820</v>
      </c>
      <c r="F31" s="1351">
        <v>7.0</v>
      </c>
      <c r="G31" s="1353" t="s">
        <v>1820</v>
      </c>
      <c r="H31" s="1354">
        <v>49.0</v>
      </c>
      <c r="I31" s="1355" t="s">
        <v>1820</v>
      </c>
      <c r="J31" s="553">
        <v>0.286</v>
      </c>
    </row>
    <row r="32">
      <c r="A32" s="1348" t="s">
        <v>110</v>
      </c>
      <c r="B32" s="1349">
        <v>5.0</v>
      </c>
      <c r="C32" s="1350" t="s">
        <v>110</v>
      </c>
      <c r="D32" s="1351">
        <v>2.0</v>
      </c>
      <c r="E32" s="1352" t="s">
        <v>110</v>
      </c>
      <c r="F32" s="1351">
        <v>2.0</v>
      </c>
      <c r="G32" s="1353" t="s">
        <v>110</v>
      </c>
      <c r="H32" s="1354">
        <v>1.0</v>
      </c>
      <c r="I32" s="1355" t="s">
        <v>110</v>
      </c>
      <c r="J32" s="553">
        <v>0.5</v>
      </c>
    </row>
    <row r="33">
      <c r="A33" s="1348" t="s">
        <v>4197</v>
      </c>
      <c r="B33" s="1349">
        <v>14.0</v>
      </c>
      <c r="C33" s="1350" t="s">
        <v>4198</v>
      </c>
      <c r="D33" s="1357"/>
      <c r="E33" s="1352" t="s">
        <v>4198</v>
      </c>
      <c r="F33" s="1356"/>
      <c r="G33" s="1353" t="s">
        <v>4197</v>
      </c>
      <c r="H33" s="1354">
        <v>14.0</v>
      </c>
      <c r="I33" s="1355" t="s">
        <v>4198</v>
      </c>
      <c r="J33" s="553">
        <v>0.0</v>
      </c>
    </row>
    <row r="34">
      <c r="A34" s="1348" t="s">
        <v>126</v>
      </c>
      <c r="B34" s="1349">
        <v>0.0</v>
      </c>
      <c r="C34" s="1350" t="s">
        <v>4197</v>
      </c>
      <c r="D34" s="1357"/>
      <c r="E34" s="1352" t="s">
        <v>4197</v>
      </c>
      <c r="F34" s="1356"/>
      <c r="G34" s="1353" t="s">
        <v>126</v>
      </c>
      <c r="H34" s="1354">
        <v>0.0</v>
      </c>
      <c r="I34" s="1355" t="s">
        <v>4197</v>
      </c>
      <c r="J34" s="553">
        <v>0.0</v>
      </c>
    </row>
    <row r="35">
      <c r="A35" s="1348" t="s">
        <v>1721</v>
      </c>
      <c r="B35" s="1349">
        <v>11.0</v>
      </c>
      <c r="C35" s="1350" t="s">
        <v>126</v>
      </c>
      <c r="D35" s="1357"/>
      <c r="E35" s="1352" t="s">
        <v>126</v>
      </c>
      <c r="F35" s="1356"/>
      <c r="G35" s="1353" t="s">
        <v>1721</v>
      </c>
      <c r="H35" s="1354">
        <v>6.0</v>
      </c>
      <c r="I35" s="1355" t="s">
        <v>126</v>
      </c>
      <c r="J35" s="553">
        <v>0.0</v>
      </c>
    </row>
    <row r="36">
      <c r="A36" s="1348" t="s">
        <v>2228</v>
      </c>
      <c r="B36" s="1349">
        <v>12.0</v>
      </c>
      <c r="C36" s="1350" t="s">
        <v>1721</v>
      </c>
      <c r="D36" s="1351">
        <v>8.0</v>
      </c>
      <c r="E36" s="1352" t="s">
        <v>1721</v>
      </c>
      <c r="F36" s="1351">
        <v>1.0</v>
      </c>
      <c r="G36" s="1353" t="s">
        <v>2228</v>
      </c>
      <c r="H36" s="1354">
        <v>4.0</v>
      </c>
      <c r="I36" s="1355" t="s">
        <v>1721</v>
      </c>
      <c r="J36" s="553">
        <v>0.0</v>
      </c>
    </row>
    <row r="37">
      <c r="A37" s="1348" t="s">
        <v>713</v>
      </c>
      <c r="B37" s="1349">
        <v>1.0</v>
      </c>
      <c r="C37" s="1350" t="s">
        <v>2228</v>
      </c>
      <c r="D37" s="1351">
        <v>9.0</v>
      </c>
      <c r="E37" s="1352" t="s">
        <v>2228</v>
      </c>
      <c r="F37" s="1356"/>
      <c r="G37" s="1353" t="s">
        <v>713</v>
      </c>
      <c r="H37" s="1354">
        <v>0.0</v>
      </c>
      <c r="I37" s="1355" t="s">
        <v>2228</v>
      </c>
      <c r="J37" s="553">
        <v>0.063</v>
      </c>
    </row>
    <row r="38">
      <c r="A38" s="1348" t="s">
        <v>4199</v>
      </c>
      <c r="B38" s="1349">
        <v>39.0</v>
      </c>
      <c r="C38" s="1350" t="s">
        <v>713</v>
      </c>
      <c r="D38" s="1357"/>
      <c r="E38" s="1352" t="s">
        <v>713</v>
      </c>
      <c r="F38" s="1351">
        <v>1.0</v>
      </c>
      <c r="G38" s="1353" t="s">
        <v>4199</v>
      </c>
      <c r="H38" s="1354">
        <v>12.0</v>
      </c>
      <c r="I38" s="1355" t="s">
        <v>713</v>
      </c>
      <c r="J38" s="553">
        <v>0.571</v>
      </c>
    </row>
    <row r="39">
      <c r="A39" s="1348" t="s">
        <v>2229</v>
      </c>
      <c r="B39" s="1349">
        <v>13.0</v>
      </c>
      <c r="C39" s="1350" t="s">
        <v>4199</v>
      </c>
      <c r="D39" s="1351">
        <v>24.0</v>
      </c>
      <c r="E39" s="1352" t="s">
        <v>4199</v>
      </c>
      <c r="F39" s="1351">
        <v>1.0</v>
      </c>
      <c r="G39" s="1353" t="s">
        <v>2229</v>
      </c>
      <c r="H39" s="1354">
        <v>3.0</v>
      </c>
      <c r="I39" s="1355" t="s">
        <v>4199</v>
      </c>
      <c r="J39" s="553">
        <v>0.412</v>
      </c>
    </row>
    <row r="40">
      <c r="A40" s="1348" t="s">
        <v>2230</v>
      </c>
      <c r="B40" s="1349">
        <v>20.0</v>
      </c>
      <c r="C40" s="1350" t="s">
        <v>2229</v>
      </c>
      <c r="D40" s="1351">
        <v>8.0</v>
      </c>
      <c r="E40" s="1352" t="s">
        <v>2229</v>
      </c>
      <c r="F40" s="1351">
        <v>2.0</v>
      </c>
      <c r="G40" s="1353" t="s">
        <v>2230</v>
      </c>
      <c r="H40" s="1354">
        <v>6.0</v>
      </c>
      <c r="I40" s="1355" t="s">
        <v>2229</v>
      </c>
      <c r="J40" s="553">
        <v>0.368</v>
      </c>
    </row>
    <row r="41">
      <c r="A41" s="1348" t="s">
        <v>4200</v>
      </c>
      <c r="B41" s="1349">
        <v>0.0</v>
      </c>
      <c r="C41" s="1350" t="s">
        <v>2230</v>
      </c>
      <c r="D41" s="1351">
        <v>15.0</v>
      </c>
      <c r="E41" s="1352" t="s">
        <v>2230</v>
      </c>
      <c r="F41" s="1351">
        <v>1.0</v>
      </c>
      <c r="G41" s="1353" t="s">
        <v>4200</v>
      </c>
      <c r="H41" s="1354">
        <v>0.0</v>
      </c>
      <c r="I41" s="1355" t="s">
        <v>2230</v>
      </c>
      <c r="J41" s="553">
        <v>0.0</v>
      </c>
    </row>
    <row r="42">
      <c r="A42" s="1348" t="s">
        <v>516</v>
      </c>
      <c r="B42" s="1349">
        <v>6.0</v>
      </c>
      <c r="C42" s="1350" t="s">
        <v>4200</v>
      </c>
      <c r="D42" s="1357"/>
      <c r="E42" s="1352" t="s">
        <v>4200</v>
      </c>
      <c r="F42" s="1356"/>
      <c r="G42" s="1353" t="s">
        <v>516</v>
      </c>
      <c r="H42" s="1354">
        <v>3.0</v>
      </c>
      <c r="I42" s="1355" t="s">
        <v>4200</v>
      </c>
      <c r="J42" s="553">
        <v>0.0</v>
      </c>
    </row>
    <row r="43">
      <c r="A43" s="1348" t="s">
        <v>2279</v>
      </c>
      <c r="B43" s="1349">
        <v>0.0</v>
      </c>
      <c r="C43" s="1350" t="s">
        <v>516</v>
      </c>
      <c r="D43" s="1351">
        <v>5.0</v>
      </c>
      <c r="E43" s="1352" t="s">
        <v>516</v>
      </c>
      <c r="F43" s="1351">
        <v>1.0</v>
      </c>
      <c r="G43" s="1353" t="s">
        <v>2279</v>
      </c>
      <c r="H43" s="1354">
        <v>0.0</v>
      </c>
      <c r="I43" s="1355" t="s">
        <v>516</v>
      </c>
      <c r="J43" s="553">
        <v>0.286</v>
      </c>
    </row>
    <row r="44">
      <c r="A44" s="1348" t="s">
        <v>374</v>
      </c>
      <c r="B44" s="1349">
        <v>218.0</v>
      </c>
      <c r="C44" s="1350" t="s">
        <v>2279</v>
      </c>
      <c r="D44" s="1357"/>
      <c r="E44" s="1352" t="s">
        <v>2279</v>
      </c>
      <c r="F44" s="1356"/>
      <c r="G44" s="1353" t="s">
        <v>374</v>
      </c>
      <c r="H44" s="1354">
        <v>56.0</v>
      </c>
      <c r="I44" s="1355" t="s">
        <v>2279</v>
      </c>
      <c r="J44" s="553">
        <v>0.0</v>
      </c>
    </row>
    <row r="45">
      <c r="A45" s="1348" t="s">
        <v>4201</v>
      </c>
      <c r="B45" s="1349">
        <v>0.0</v>
      </c>
      <c r="C45" s="1350" t="s">
        <v>374</v>
      </c>
      <c r="D45" s="1351">
        <v>113.0</v>
      </c>
      <c r="E45" s="1352" t="s">
        <v>374</v>
      </c>
      <c r="F45" s="1351">
        <v>30.0</v>
      </c>
      <c r="G45" s="1353" t="s">
        <v>4201</v>
      </c>
      <c r="H45" s="1354">
        <v>0.0</v>
      </c>
      <c r="I45" s="1355" t="s">
        <v>374</v>
      </c>
      <c r="J45" s="553">
        <v>0.263</v>
      </c>
    </row>
    <row r="46">
      <c r="A46" s="1348" t="s">
        <v>2232</v>
      </c>
      <c r="B46" s="1349">
        <v>31.0</v>
      </c>
      <c r="C46" s="1350" t="s">
        <v>4201</v>
      </c>
      <c r="D46" s="1357"/>
      <c r="E46" s="1352" t="s">
        <v>4201</v>
      </c>
      <c r="F46" s="1356"/>
      <c r="G46" s="1353" t="s">
        <v>2232</v>
      </c>
      <c r="H46" s="1354">
        <v>8.0</v>
      </c>
      <c r="I46" s="1355" t="s">
        <v>4201</v>
      </c>
      <c r="J46" s="553">
        <v>0.0</v>
      </c>
    </row>
    <row r="47">
      <c r="A47" s="1348" t="s">
        <v>575</v>
      </c>
      <c r="B47" s="1349">
        <v>13.0</v>
      </c>
      <c r="C47" s="1350" t="s">
        <v>2232</v>
      </c>
      <c r="D47" s="1351">
        <v>19.0</v>
      </c>
      <c r="E47" s="1352" t="s">
        <v>2232</v>
      </c>
      <c r="F47" s="1351">
        <v>3.0</v>
      </c>
      <c r="G47" s="1353" t="s">
        <v>575</v>
      </c>
      <c r="H47" s="1354">
        <v>3.0</v>
      </c>
      <c r="I47" s="1355" t="s">
        <v>2232</v>
      </c>
      <c r="J47" s="553">
        <v>0.1</v>
      </c>
    </row>
    <row r="48">
      <c r="A48" s="1348" t="s">
        <v>2234</v>
      </c>
      <c r="B48" s="1349">
        <v>24.0</v>
      </c>
      <c r="C48" s="1350" t="s">
        <v>575</v>
      </c>
      <c r="D48" s="1351">
        <v>7.0</v>
      </c>
      <c r="E48" s="1352" t="s">
        <v>575</v>
      </c>
      <c r="F48" s="1351">
        <v>1.0</v>
      </c>
      <c r="G48" s="1353" t="s">
        <v>2234</v>
      </c>
      <c r="H48" s="1354">
        <v>5.0</v>
      </c>
      <c r="I48" s="1355" t="s">
        <v>575</v>
      </c>
      <c r="J48" s="553">
        <v>0.333</v>
      </c>
    </row>
    <row r="49">
      <c r="A49" s="1348" t="s">
        <v>2281</v>
      </c>
      <c r="B49" s="1349">
        <v>18.0</v>
      </c>
      <c r="C49" s="1350" t="s">
        <v>2234</v>
      </c>
      <c r="D49" s="1351">
        <v>9.0</v>
      </c>
      <c r="E49" s="1352" t="s">
        <v>2234</v>
      </c>
      <c r="F49" s="1351">
        <v>6.0</v>
      </c>
      <c r="G49" s="1353" t="s">
        <v>2281</v>
      </c>
      <c r="H49" s="1354">
        <v>4.0</v>
      </c>
      <c r="I49" s="1355" t="s">
        <v>2234</v>
      </c>
      <c r="J49" s="553">
        <v>0.111</v>
      </c>
    </row>
    <row r="50">
      <c r="A50" s="1358" t="s">
        <v>4202</v>
      </c>
      <c r="B50" s="1349">
        <v>74.0</v>
      </c>
      <c r="C50" s="1350" t="s">
        <v>2281</v>
      </c>
      <c r="D50" s="1351">
        <v>11.0</v>
      </c>
      <c r="E50" s="1352" t="s">
        <v>2281</v>
      </c>
      <c r="F50" s="1356"/>
      <c r="G50" s="1359" t="s">
        <v>4202</v>
      </c>
      <c r="H50" s="1354">
        <v>24.0</v>
      </c>
      <c r="I50" s="1355" t="s">
        <v>2281</v>
      </c>
      <c r="J50" s="553">
        <v>0.5</v>
      </c>
    </row>
    <row r="51">
      <c r="A51" s="1348" t="s">
        <v>1206</v>
      </c>
      <c r="B51" s="1349">
        <v>42.0</v>
      </c>
      <c r="C51" s="1350" t="s">
        <v>4202</v>
      </c>
      <c r="D51" s="1351">
        <v>31.0</v>
      </c>
      <c r="E51" s="1352" t="s">
        <v>4202</v>
      </c>
      <c r="F51" s="1351">
        <v>15.0</v>
      </c>
      <c r="G51" s="1353" t="s">
        <v>1206</v>
      </c>
      <c r="H51" s="1354">
        <v>22.0</v>
      </c>
      <c r="I51" s="1355" t="s">
        <v>4202</v>
      </c>
      <c r="J51" s="553">
        <v>0.244</v>
      </c>
    </row>
    <row r="52">
      <c r="A52" s="1348" t="s">
        <v>4203</v>
      </c>
      <c r="B52" s="1349">
        <v>52.0</v>
      </c>
      <c r="C52" s="1350" t="s">
        <v>1206</v>
      </c>
      <c r="D52" s="1351">
        <v>28.0</v>
      </c>
      <c r="E52" s="1352" t="s">
        <v>1206</v>
      </c>
      <c r="F52" s="1351">
        <v>3.0</v>
      </c>
      <c r="G52" s="1353" t="s">
        <v>4203</v>
      </c>
      <c r="H52" s="1354">
        <v>14.0</v>
      </c>
      <c r="I52" s="1355" t="s">
        <v>1206</v>
      </c>
      <c r="J52" s="553">
        <v>0.5</v>
      </c>
    </row>
    <row r="53">
      <c r="A53" s="1348" t="s">
        <v>4204</v>
      </c>
      <c r="B53" s="1349">
        <v>30.0</v>
      </c>
      <c r="C53" s="1350" t="s">
        <v>4203</v>
      </c>
      <c r="D53" s="1351">
        <v>29.0</v>
      </c>
      <c r="E53" s="1352" t="s">
        <v>4203</v>
      </c>
      <c r="F53" s="1351">
        <v>5.0</v>
      </c>
      <c r="G53" s="1353" t="s">
        <v>4204</v>
      </c>
      <c r="H53" s="1354">
        <v>12.0</v>
      </c>
      <c r="I53" s="1355" t="s">
        <v>4203</v>
      </c>
      <c r="J53" s="553">
        <v>0.25</v>
      </c>
    </row>
    <row r="54">
      <c r="A54" s="1348" t="s">
        <v>1907</v>
      </c>
      <c r="B54" s="1349">
        <v>15.0</v>
      </c>
      <c r="C54" s="1350" t="s">
        <v>4204</v>
      </c>
      <c r="D54" s="1351">
        <v>15.0</v>
      </c>
      <c r="E54" s="1352" t="s">
        <v>4204</v>
      </c>
      <c r="F54" s="1351">
        <v>6.0</v>
      </c>
      <c r="G54" s="1353" t="s">
        <v>1907</v>
      </c>
      <c r="H54" s="1354">
        <v>7.0</v>
      </c>
      <c r="I54" s="1355" t="s">
        <v>4204</v>
      </c>
      <c r="J54" s="553">
        <v>0.125</v>
      </c>
    </row>
    <row r="55">
      <c r="A55" s="1348" t="s">
        <v>1528</v>
      </c>
      <c r="B55" s="1349">
        <v>17.0</v>
      </c>
      <c r="C55" s="1350" t="s">
        <v>1907</v>
      </c>
      <c r="D55" s="1351">
        <v>7.0</v>
      </c>
      <c r="E55" s="1352" t="s">
        <v>1907</v>
      </c>
      <c r="F55" s="1351">
        <v>2.0</v>
      </c>
      <c r="G55" s="1353" t="s">
        <v>1528</v>
      </c>
      <c r="H55" s="1354">
        <v>7.0</v>
      </c>
      <c r="I55" s="1355" t="s">
        <v>1907</v>
      </c>
      <c r="J55" s="553">
        <v>0.167</v>
      </c>
    </row>
    <row r="56">
      <c r="A56" s="1348" t="s">
        <v>2236</v>
      </c>
      <c r="B56" s="1349">
        <v>10.0</v>
      </c>
      <c r="C56" s="1350" t="s">
        <v>1528</v>
      </c>
      <c r="D56" s="1351">
        <v>10.0</v>
      </c>
      <c r="E56" s="1352" t="s">
        <v>1528</v>
      </c>
      <c r="F56" s="1351">
        <v>1.0</v>
      </c>
      <c r="G56" s="1353" t="s">
        <v>2236</v>
      </c>
      <c r="H56" s="1354">
        <v>0.0</v>
      </c>
      <c r="I56" s="1355" t="s">
        <v>1528</v>
      </c>
      <c r="J56" s="553">
        <v>0.0</v>
      </c>
    </row>
    <row r="57">
      <c r="A57" s="1348" t="s">
        <v>1072</v>
      </c>
      <c r="B57" s="1349">
        <v>21.0</v>
      </c>
      <c r="C57" s="1350" t="s">
        <v>2236</v>
      </c>
      <c r="D57" s="1351">
        <v>2.0</v>
      </c>
      <c r="E57" s="1352" t="s">
        <v>2236</v>
      </c>
      <c r="F57" s="1351">
        <v>1.0</v>
      </c>
      <c r="G57" s="1353" t="s">
        <v>1072</v>
      </c>
      <c r="H57" s="1354">
        <v>4.0</v>
      </c>
      <c r="I57" s="1355" t="s">
        <v>2236</v>
      </c>
      <c r="J57" s="553">
        <v>0.25</v>
      </c>
    </row>
    <row r="58">
      <c r="A58" s="1348" t="s">
        <v>138</v>
      </c>
      <c r="B58" s="1349">
        <v>36.0</v>
      </c>
      <c r="C58" s="1350" t="s">
        <v>1072</v>
      </c>
      <c r="D58" s="1351">
        <v>19.0</v>
      </c>
      <c r="E58" s="1352" t="s">
        <v>1072</v>
      </c>
      <c r="F58" s="1351">
        <v>1.0</v>
      </c>
      <c r="G58" s="1353" t="s">
        <v>138</v>
      </c>
      <c r="H58" s="1354">
        <v>21.0</v>
      </c>
      <c r="I58" s="1355" t="s">
        <v>1072</v>
      </c>
      <c r="J58" s="553">
        <v>0.375</v>
      </c>
    </row>
    <row r="59">
      <c r="A59" s="1348" t="s">
        <v>2237</v>
      </c>
      <c r="B59" s="1349">
        <v>19.0</v>
      </c>
      <c r="C59" s="1350" t="s">
        <v>138</v>
      </c>
      <c r="D59" s="1351">
        <v>20.0</v>
      </c>
      <c r="E59" s="1352" t="s">
        <v>138</v>
      </c>
      <c r="F59" s="1351">
        <v>6.0</v>
      </c>
      <c r="G59" s="1353" t="s">
        <v>2237</v>
      </c>
      <c r="H59" s="1354">
        <v>10.0</v>
      </c>
      <c r="I59" s="1355" t="s">
        <v>138</v>
      </c>
      <c r="J59" s="553">
        <v>0.067</v>
      </c>
    </row>
    <row r="60">
      <c r="A60" s="1348" t="s">
        <v>1605</v>
      </c>
      <c r="B60" s="1349">
        <v>17.0</v>
      </c>
      <c r="C60" s="1350" t="s">
        <v>2237</v>
      </c>
      <c r="D60" s="1351">
        <v>13.0</v>
      </c>
      <c r="E60" s="1352" t="s">
        <v>2237</v>
      </c>
      <c r="F60" s="1351">
        <v>3.0</v>
      </c>
      <c r="G60" s="1353" t="s">
        <v>1605</v>
      </c>
      <c r="H60" s="1354">
        <v>5.0</v>
      </c>
      <c r="I60" s="1355" t="s">
        <v>2237</v>
      </c>
      <c r="J60" s="553">
        <v>0.0</v>
      </c>
    </row>
    <row r="61">
      <c r="A61" s="1348" t="s">
        <v>1829</v>
      </c>
      <c r="B61" s="1349">
        <v>86.0</v>
      </c>
      <c r="C61" s="1350" t="s">
        <v>1605</v>
      </c>
      <c r="D61" s="1351">
        <v>3.0</v>
      </c>
      <c r="E61" s="1352" t="s">
        <v>1605</v>
      </c>
      <c r="F61" s="1351">
        <v>4.0</v>
      </c>
      <c r="G61" s="1353" t="s">
        <v>1829</v>
      </c>
      <c r="H61" s="1354">
        <v>20.0</v>
      </c>
      <c r="I61" s="1355" t="s">
        <v>1605</v>
      </c>
      <c r="J61" s="553">
        <v>0.222</v>
      </c>
    </row>
    <row r="62">
      <c r="A62" s="1348" t="s">
        <v>2238</v>
      </c>
      <c r="B62" s="1349">
        <v>63.0</v>
      </c>
      <c r="C62" s="1350" t="s">
        <v>1829</v>
      </c>
      <c r="D62" s="1351">
        <v>68.0</v>
      </c>
      <c r="E62" s="1352" t="s">
        <v>1829</v>
      </c>
      <c r="F62" s="1351">
        <v>14.0</v>
      </c>
      <c r="G62" s="1353" t="s">
        <v>2238</v>
      </c>
      <c r="H62" s="1354">
        <v>10.0</v>
      </c>
      <c r="I62" s="1355" t="s">
        <v>1829</v>
      </c>
      <c r="J62" s="553">
        <v>0.552</v>
      </c>
    </row>
    <row r="63">
      <c r="A63" s="1348" t="s">
        <v>4205</v>
      </c>
      <c r="B63" s="1349">
        <v>0.0</v>
      </c>
      <c r="C63" s="1350" t="s">
        <v>2238</v>
      </c>
      <c r="D63" s="1351">
        <v>35.0</v>
      </c>
      <c r="E63" s="1352" t="s">
        <v>2238</v>
      </c>
      <c r="F63" s="1351">
        <v>6.0</v>
      </c>
      <c r="G63" s="1353" t="s">
        <v>4205</v>
      </c>
      <c r="H63" s="1354">
        <v>0.0</v>
      </c>
      <c r="I63" s="1355" t="s">
        <v>2238</v>
      </c>
      <c r="J63" s="553">
        <v>0.375</v>
      </c>
    </row>
    <row r="64">
      <c r="A64" s="1348" t="s">
        <v>2239</v>
      </c>
      <c r="B64" s="1349">
        <v>144.0</v>
      </c>
      <c r="C64" s="1350" t="s">
        <v>4205</v>
      </c>
      <c r="D64" s="1357"/>
      <c r="E64" s="1352" t="s">
        <v>4205</v>
      </c>
      <c r="F64" s="1356"/>
      <c r="G64" s="1353" t="s">
        <v>2239</v>
      </c>
      <c r="H64" s="1354">
        <v>37.0</v>
      </c>
      <c r="I64" s="1355" t="s">
        <v>4205</v>
      </c>
      <c r="J64" s="553">
        <v>0.0</v>
      </c>
    </row>
    <row r="65">
      <c r="A65" s="1348" t="s">
        <v>140</v>
      </c>
      <c r="B65" s="1349">
        <v>88.0</v>
      </c>
      <c r="C65" s="1350" t="s">
        <v>2239</v>
      </c>
      <c r="D65" s="1351">
        <v>67.0</v>
      </c>
      <c r="E65" s="1352" t="s">
        <v>2239</v>
      </c>
      <c r="F65" s="1351">
        <v>45.0</v>
      </c>
      <c r="G65" s="1353" t="s">
        <v>140</v>
      </c>
      <c r="H65" s="1354">
        <v>24.0</v>
      </c>
      <c r="I65" s="1355" t="s">
        <v>2239</v>
      </c>
      <c r="J65" s="553">
        <v>0.188</v>
      </c>
    </row>
    <row r="66">
      <c r="A66" s="1348" t="s">
        <v>1684</v>
      </c>
      <c r="B66" s="1349">
        <v>0.0</v>
      </c>
      <c r="C66" s="1350" t="s">
        <v>140</v>
      </c>
      <c r="D66" s="1351">
        <v>48.0</v>
      </c>
      <c r="E66" s="1352" t="s">
        <v>140</v>
      </c>
      <c r="F66" s="1351">
        <v>4.0</v>
      </c>
      <c r="G66" s="1353" t="s">
        <v>1684</v>
      </c>
      <c r="H66" s="1354">
        <v>0.0</v>
      </c>
      <c r="I66" s="1355" t="s">
        <v>140</v>
      </c>
      <c r="J66" s="553">
        <v>0.375</v>
      </c>
    </row>
    <row r="67">
      <c r="A67" s="1348" t="s">
        <v>4206</v>
      </c>
      <c r="B67" s="1349">
        <v>41.0</v>
      </c>
      <c r="C67" s="1350" t="s">
        <v>1684</v>
      </c>
      <c r="D67" s="1357"/>
      <c r="E67" s="1352" t="s">
        <v>1684</v>
      </c>
      <c r="F67" s="1356"/>
      <c r="G67" s="1353" t="s">
        <v>4206</v>
      </c>
      <c r="H67" s="1354">
        <v>16.0</v>
      </c>
      <c r="I67" s="1355" t="s">
        <v>1684</v>
      </c>
      <c r="J67" s="553">
        <v>0.0</v>
      </c>
    </row>
    <row r="68">
      <c r="A68" s="1348" t="s">
        <v>4207</v>
      </c>
      <c r="B68" s="1349">
        <v>15.0</v>
      </c>
      <c r="C68" s="1350" t="s">
        <v>4206</v>
      </c>
      <c r="D68" s="1351">
        <v>21.0</v>
      </c>
      <c r="E68" s="1352" t="s">
        <v>4206</v>
      </c>
      <c r="F68" s="1351">
        <v>8.0</v>
      </c>
      <c r="G68" s="1353" t="s">
        <v>4207</v>
      </c>
      <c r="H68" s="1354">
        <v>8.0</v>
      </c>
      <c r="I68" s="1355" t="s">
        <v>4206</v>
      </c>
      <c r="J68" s="553">
        <v>0.0</v>
      </c>
    </row>
    <row r="69">
      <c r="A69" s="1348" t="s">
        <v>2242</v>
      </c>
      <c r="B69" s="1349">
        <v>25.0</v>
      </c>
      <c r="C69" s="1350" t="s">
        <v>4207</v>
      </c>
      <c r="D69" s="1351">
        <v>12.0</v>
      </c>
      <c r="E69" s="1352" t="s">
        <v>4207</v>
      </c>
      <c r="F69" s="1351">
        <v>2.0</v>
      </c>
      <c r="G69" s="1353" t="s">
        <v>2242</v>
      </c>
      <c r="H69" s="1354">
        <v>8.0</v>
      </c>
      <c r="I69" s="1355" t="s">
        <v>4207</v>
      </c>
      <c r="J69" s="553">
        <v>0.0</v>
      </c>
    </row>
    <row r="70">
      <c r="A70" s="1348" t="s">
        <v>4208</v>
      </c>
      <c r="B70" s="1349">
        <v>9.0</v>
      </c>
      <c r="C70" s="1350" t="s">
        <v>2242</v>
      </c>
      <c r="D70" s="1351">
        <v>2.0</v>
      </c>
      <c r="E70" s="1352" t="s">
        <v>2242</v>
      </c>
      <c r="F70" s="1351">
        <v>19.0</v>
      </c>
      <c r="G70" s="1353" t="s">
        <v>4208</v>
      </c>
      <c r="H70" s="1354">
        <v>2.0</v>
      </c>
      <c r="I70" s="1355" t="s">
        <v>2242</v>
      </c>
      <c r="J70" s="553">
        <v>0.4</v>
      </c>
    </row>
    <row r="71">
      <c r="A71" s="1348" t="s">
        <v>2244</v>
      </c>
      <c r="B71" s="1349">
        <v>11.0</v>
      </c>
      <c r="C71" s="1350" t="s">
        <v>4208</v>
      </c>
      <c r="D71" s="1351">
        <v>9.0</v>
      </c>
      <c r="E71" s="1352" t="s">
        <v>4208</v>
      </c>
      <c r="F71" s="1356"/>
      <c r="G71" s="1353" t="s">
        <v>2244</v>
      </c>
      <c r="H71" s="1354">
        <v>1.0</v>
      </c>
      <c r="I71" s="1355" t="s">
        <v>4208</v>
      </c>
      <c r="J71" s="553">
        <v>0.0</v>
      </c>
    </row>
    <row r="72">
      <c r="A72" s="1348" t="s">
        <v>2245</v>
      </c>
      <c r="B72" s="1349">
        <v>5.0</v>
      </c>
      <c r="C72" s="1350" t="s">
        <v>2244</v>
      </c>
      <c r="D72" s="1351">
        <v>3.0</v>
      </c>
      <c r="E72" s="1352" t="s">
        <v>2244</v>
      </c>
      <c r="F72" s="1351">
        <v>4.0</v>
      </c>
      <c r="G72" s="1353" t="s">
        <v>2245</v>
      </c>
      <c r="H72" s="1354">
        <v>3.0</v>
      </c>
      <c r="I72" s="1355" t="s">
        <v>2244</v>
      </c>
      <c r="J72" s="553">
        <v>0.0</v>
      </c>
    </row>
    <row r="73">
      <c r="A73" s="1348" t="s">
        <v>650</v>
      </c>
      <c r="B73" s="1349">
        <v>4.0</v>
      </c>
      <c r="C73" s="1350" t="s">
        <v>2245</v>
      </c>
      <c r="D73" s="1351">
        <v>3.0</v>
      </c>
      <c r="E73" s="1352" t="s">
        <v>2245</v>
      </c>
      <c r="F73" s="1356"/>
      <c r="G73" s="1353" t="s">
        <v>650</v>
      </c>
      <c r="H73" s="1354">
        <v>0.0</v>
      </c>
      <c r="I73" s="1355" t="s">
        <v>2245</v>
      </c>
      <c r="J73" s="553">
        <v>0.0</v>
      </c>
    </row>
    <row r="74">
      <c r="A74" s="1348" t="s">
        <v>147</v>
      </c>
      <c r="B74" s="1349">
        <v>72.0</v>
      </c>
      <c r="C74" s="1350" t="s">
        <v>650</v>
      </c>
      <c r="D74" s="1351">
        <v>2.0</v>
      </c>
      <c r="E74" s="1352" t="s">
        <v>650</v>
      </c>
      <c r="F74" s="1356"/>
      <c r="G74" s="1353" t="s">
        <v>147</v>
      </c>
      <c r="H74" s="1354">
        <v>28.0</v>
      </c>
      <c r="I74" s="1355" t="s">
        <v>650</v>
      </c>
      <c r="J74" s="553">
        <v>0.0</v>
      </c>
    </row>
    <row r="75">
      <c r="A75" s="1348" t="s">
        <v>1832</v>
      </c>
      <c r="B75" s="1349">
        <v>2.0</v>
      </c>
      <c r="C75" s="1350" t="s">
        <v>147</v>
      </c>
      <c r="D75" s="1351">
        <v>43.0</v>
      </c>
      <c r="E75" s="1352" t="s">
        <v>147</v>
      </c>
      <c r="F75" s="1351">
        <v>9.0</v>
      </c>
      <c r="G75" s="1353" t="s">
        <v>1832</v>
      </c>
      <c r="H75" s="1354">
        <v>0.0</v>
      </c>
      <c r="I75" s="1355" t="s">
        <v>147</v>
      </c>
      <c r="J75" s="553">
        <v>0.542</v>
      </c>
    </row>
    <row r="76">
      <c r="A76" s="1348" t="s">
        <v>2247</v>
      </c>
      <c r="B76" s="1349">
        <v>42.0</v>
      </c>
      <c r="C76" s="1350" t="s">
        <v>1832</v>
      </c>
      <c r="D76" s="1357"/>
      <c r="E76" s="1352" t="s">
        <v>1832</v>
      </c>
      <c r="F76" s="1356"/>
      <c r="G76" s="1353" t="s">
        <v>2247</v>
      </c>
      <c r="H76" s="1354">
        <v>21.0</v>
      </c>
      <c r="I76" s="1355" t="s">
        <v>1832</v>
      </c>
      <c r="J76" s="553">
        <v>0.0</v>
      </c>
    </row>
    <row r="77">
      <c r="A77" s="1348" t="s">
        <v>908</v>
      </c>
      <c r="B77" s="1349">
        <v>21.0</v>
      </c>
      <c r="C77" s="1350" t="s">
        <v>2247</v>
      </c>
      <c r="D77" s="1351">
        <v>24.0</v>
      </c>
      <c r="E77" s="1352" t="s">
        <v>2247</v>
      </c>
      <c r="F77" s="1351">
        <v>9.0</v>
      </c>
      <c r="G77" s="1353" t="s">
        <v>908</v>
      </c>
      <c r="H77" s="1354">
        <v>3.0</v>
      </c>
      <c r="I77" s="1355" t="s">
        <v>2247</v>
      </c>
      <c r="J77" s="553">
        <v>0.227</v>
      </c>
    </row>
    <row r="78">
      <c r="A78" s="1348" t="s">
        <v>2248</v>
      </c>
      <c r="B78" s="1349">
        <v>8.0</v>
      </c>
      <c r="C78" s="1350" t="s">
        <v>908</v>
      </c>
      <c r="D78" s="1351">
        <v>5.0</v>
      </c>
      <c r="E78" s="1352" t="s">
        <v>908</v>
      </c>
      <c r="F78" s="1351">
        <v>2.0</v>
      </c>
      <c r="G78" s="1353" t="s">
        <v>2248</v>
      </c>
      <c r="H78" s="1354">
        <v>4.0</v>
      </c>
      <c r="I78" s="1355" t="s">
        <v>908</v>
      </c>
      <c r="J78" s="553">
        <v>0.222</v>
      </c>
    </row>
    <row r="79">
      <c r="A79" s="1348" t="s">
        <v>4209</v>
      </c>
      <c r="B79" s="1349">
        <v>186.0</v>
      </c>
      <c r="C79" s="1350" t="s">
        <v>2248</v>
      </c>
      <c r="D79" s="1351">
        <v>3.0</v>
      </c>
      <c r="E79" s="1352" t="s">
        <v>2248</v>
      </c>
      <c r="F79" s="1351">
        <v>1.0</v>
      </c>
      <c r="G79" s="1353" t="s">
        <v>4209</v>
      </c>
      <c r="H79" s="1354">
        <v>85.0</v>
      </c>
      <c r="I79" s="1355" t="s">
        <v>2248</v>
      </c>
      <c r="J79" s="553">
        <v>0.5</v>
      </c>
    </row>
    <row r="80">
      <c r="A80" s="1348" t="s">
        <v>151</v>
      </c>
      <c r="B80" s="1349">
        <v>13.0</v>
      </c>
      <c r="C80" s="1350" t="s">
        <v>4209</v>
      </c>
      <c r="D80" s="1351">
        <v>91.0</v>
      </c>
      <c r="E80" s="1352" t="s">
        <v>4209</v>
      </c>
      <c r="F80" s="1351">
        <v>42.0</v>
      </c>
      <c r="G80" s="1353" t="s">
        <v>151</v>
      </c>
      <c r="H80" s="1354">
        <v>1.0</v>
      </c>
      <c r="I80" s="1355" t="s">
        <v>4209</v>
      </c>
      <c r="J80" s="553">
        <v>0.276</v>
      </c>
    </row>
    <row r="81">
      <c r="A81" s="1348" t="s">
        <v>4210</v>
      </c>
      <c r="B81" s="1349">
        <v>14.0</v>
      </c>
      <c r="C81" s="1350" t="s">
        <v>151</v>
      </c>
      <c r="D81" s="1351">
        <v>5.0</v>
      </c>
      <c r="E81" s="1352" t="s">
        <v>151</v>
      </c>
      <c r="F81" s="1351">
        <v>4.0</v>
      </c>
      <c r="G81" s="1353" t="s">
        <v>4210</v>
      </c>
      <c r="H81" s="1354">
        <v>6.0</v>
      </c>
      <c r="I81" s="1355" t="s">
        <v>151</v>
      </c>
      <c r="J81" s="553">
        <v>0.0</v>
      </c>
    </row>
    <row r="82">
      <c r="A82" s="1348" t="s">
        <v>4211</v>
      </c>
      <c r="B82" s="1349">
        <v>16.0</v>
      </c>
      <c r="C82" s="1350" t="s">
        <v>4210</v>
      </c>
      <c r="D82" s="1351">
        <v>10.0</v>
      </c>
      <c r="E82" s="1352" t="s">
        <v>4210</v>
      </c>
      <c r="F82" s="1351">
        <v>3.0</v>
      </c>
      <c r="G82" s="1353" t="s">
        <v>4211</v>
      </c>
      <c r="H82" s="1354">
        <v>10.0</v>
      </c>
      <c r="I82" s="1355" t="s">
        <v>4210</v>
      </c>
      <c r="J82" s="553">
        <v>0.75</v>
      </c>
    </row>
    <row r="83">
      <c r="A83" s="1348" t="s">
        <v>4212</v>
      </c>
      <c r="B83" s="1349">
        <v>0.0</v>
      </c>
      <c r="C83" s="1350" t="s">
        <v>4211</v>
      </c>
      <c r="D83" s="1351">
        <v>10.0</v>
      </c>
      <c r="E83" s="1352" t="s">
        <v>4211</v>
      </c>
      <c r="F83" s="1351">
        <v>1.0</v>
      </c>
      <c r="G83" s="1353" t="s">
        <v>4212</v>
      </c>
      <c r="H83" s="1354">
        <v>0.0</v>
      </c>
      <c r="I83" s="1355" t="s">
        <v>4211</v>
      </c>
      <c r="J83" s="553">
        <v>0.5</v>
      </c>
    </row>
    <row r="84">
      <c r="A84" s="1348" t="s">
        <v>2249</v>
      </c>
      <c r="B84" s="1349">
        <v>6.0</v>
      </c>
      <c r="C84" s="1350" t="s">
        <v>4212</v>
      </c>
      <c r="D84" s="1357"/>
      <c r="E84" s="1352" t="s">
        <v>4212</v>
      </c>
      <c r="F84" s="1356"/>
      <c r="G84" s="1353" t="s">
        <v>2249</v>
      </c>
      <c r="H84" s="1354">
        <v>1.0</v>
      </c>
      <c r="I84" s="1355" t="s">
        <v>4212</v>
      </c>
      <c r="J84" s="553">
        <v>0.0</v>
      </c>
    </row>
    <row r="85">
      <c r="A85" s="1348" t="s">
        <v>381</v>
      </c>
      <c r="B85" s="1349">
        <v>17.0</v>
      </c>
      <c r="C85" s="1350" t="s">
        <v>2249</v>
      </c>
      <c r="D85" s="1351">
        <v>5.0</v>
      </c>
      <c r="E85" s="1352" t="s">
        <v>2249</v>
      </c>
      <c r="F85" s="1351">
        <v>1.0</v>
      </c>
      <c r="G85" s="1353" t="s">
        <v>381</v>
      </c>
      <c r="H85" s="1354">
        <v>4.0</v>
      </c>
      <c r="I85" s="1355" t="s">
        <v>2249</v>
      </c>
      <c r="J85" s="553">
        <v>0.0</v>
      </c>
    </row>
    <row r="86">
      <c r="A86" s="1348" t="s">
        <v>281</v>
      </c>
      <c r="B86" s="1349">
        <v>2.0</v>
      </c>
      <c r="C86" s="1350" t="s">
        <v>381</v>
      </c>
      <c r="D86" s="1351">
        <v>10.0</v>
      </c>
      <c r="E86" s="1352" t="s">
        <v>381</v>
      </c>
      <c r="F86" s="1356"/>
      <c r="G86" s="1353" t="s">
        <v>281</v>
      </c>
      <c r="H86" s="1354">
        <v>0.0</v>
      </c>
      <c r="I86" s="1355" t="s">
        <v>381</v>
      </c>
      <c r="J86" s="553">
        <v>0.133</v>
      </c>
    </row>
    <row r="87">
      <c r="A87" s="1348" t="s">
        <v>157</v>
      </c>
      <c r="B87" s="1349">
        <v>18.0</v>
      </c>
      <c r="C87" s="1350" t="s">
        <v>281</v>
      </c>
      <c r="D87" s="1351">
        <v>2.0</v>
      </c>
      <c r="E87" s="1352" t="s">
        <v>281</v>
      </c>
      <c r="F87" s="1356"/>
      <c r="G87" s="1353" t="s">
        <v>157</v>
      </c>
      <c r="H87" s="1354">
        <v>5.0</v>
      </c>
      <c r="I87" s="1355" t="s">
        <v>281</v>
      </c>
      <c r="J87" s="553">
        <v>0.0</v>
      </c>
    </row>
    <row r="88">
      <c r="A88" s="1348" t="s">
        <v>1125</v>
      </c>
      <c r="B88" s="1349">
        <v>17.0</v>
      </c>
      <c r="C88" s="1350" t="s">
        <v>157</v>
      </c>
      <c r="D88" s="1351">
        <v>6.0</v>
      </c>
      <c r="E88" s="1352" t="s">
        <v>157</v>
      </c>
      <c r="F88" s="1351">
        <v>2.0</v>
      </c>
      <c r="G88" s="1353" t="s">
        <v>1125</v>
      </c>
      <c r="H88" s="1354">
        <v>8.0</v>
      </c>
      <c r="I88" s="1355" t="s">
        <v>157</v>
      </c>
      <c r="J88" s="553">
        <v>0.273</v>
      </c>
    </row>
    <row r="89">
      <c r="A89" s="1348" t="s">
        <v>2250</v>
      </c>
      <c r="B89" s="1349">
        <v>6.0</v>
      </c>
      <c r="C89" s="1350" t="s">
        <v>1125</v>
      </c>
      <c r="D89" s="1351">
        <v>15.0</v>
      </c>
      <c r="E89" s="1352" t="s">
        <v>1125</v>
      </c>
      <c r="F89" s="1356"/>
      <c r="G89" s="1353" t="s">
        <v>2250</v>
      </c>
      <c r="H89" s="1354">
        <v>0.0</v>
      </c>
      <c r="I89" s="1355" t="s">
        <v>1125</v>
      </c>
      <c r="J89" s="553">
        <v>0.571</v>
      </c>
    </row>
    <row r="90">
      <c r="A90" s="1348" t="s">
        <v>4213</v>
      </c>
      <c r="B90" s="1349">
        <v>112.0</v>
      </c>
      <c r="C90" s="1350" t="s">
        <v>2250</v>
      </c>
      <c r="D90" s="1351">
        <v>3.0</v>
      </c>
      <c r="E90" s="1352" t="s">
        <v>2250</v>
      </c>
      <c r="F90" s="1351">
        <v>1.0</v>
      </c>
      <c r="G90" s="1353" t="s">
        <v>4213</v>
      </c>
      <c r="H90" s="1354">
        <v>35.0</v>
      </c>
      <c r="I90" s="1355" t="s">
        <v>2250</v>
      </c>
      <c r="J90" s="553">
        <v>0.0</v>
      </c>
    </row>
    <row r="91">
      <c r="A91" s="1348" t="s">
        <v>558</v>
      </c>
      <c r="B91" s="1349">
        <v>201.0</v>
      </c>
      <c r="C91" s="1350" t="s">
        <v>4213</v>
      </c>
      <c r="D91" s="1351">
        <v>72.0</v>
      </c>
      <c r="E91" s="1352" t="s">
        <v>4213</v>
      </c>
      <c r="F91" s="1351">
        <v>13.0</v>
      </c>
      <c r="G91" s="1353" t="s">
        <v>558</v>
      </c>
      <c r="H91" s="1354">
        <v>37.0</v>
      </c>
      <c r="I91" s="1355" t="s">
        <v>4213</v>
      </c>
      <c r="J91" s="553">
        <v>0.158</v>
      </c>
    </row>
    <row r="92">
      <c r="A92" s="1348" t="s">
        <v>1618</v>
      </c>
      <c r="B92" s="1349">
        <v>1.0</v>
      </c>
      <c r="C92" s="1350" t="s">
        <v>558</v>
      </c>
      <c r="D92" s="1351">
        <v>138.0</v>
      </c>
      <c r="E92" s="1352" t="s">
        <v>558</v>
      </c>
      <c r="F92" s="1351">
        <v>22.0</v>
      </c>
      <c r="G92" s="1353" t="s">
        <v>1618</v>
      </c>
      <c r="H92" s="1354">
        <v>1.0</v>
      </c>
      <c r="I92" s="1355" t="s">
        <v>558</v>
      </c>
      <c r="J92" s="553">
        <v>0.358</v>
      </c>
    </row>
    <row r="93">
      <c r="A93" s="1348" t="s">
        <v>1804</v>
      </c>
      <c r="B93" s="1349">
        <v>2.0</v>
      </c>
      <c r="C93" s="1350" t="s">
        <v>1618</v>
      </c>
      <c r="D93" s="1351">
        <v>4.0</v>
      </c>
      <c r="E93" s="1352" t="s">
        <v>1618</v>
      </c>
      <c r="F93" s="1356"/>
      <c r="G93" s="1353" t="s">
        <v>1804</v>
      </c>
      <c r="H93" s="1354">
        <v>0.0</v>
      </c>
      <c r="I93" s="1355" t="s">
        <v>1618</v>
      </c>
      <c r="J93" s="553">
        <v>1.0</v>
      </c>
    </row>
    <row r="94">
      <c r="A94" s="1348" t="s">
        <v>995</v>
      </c>
      <c r="B94" s="1349">
        <v>11.0</v>
      </c>
      <c r="C94" s="1350" t="s">
        <v>1804</v>
      </c>
      <c r="D94" s="1351">
        <v>1.0</v>
      </c>
      <c r="E94" s="1352" t="s">
        <v>1804</v>
      </c>
      <c r="F94" s="1356"/>
      <c r="G94" s="1353" t="s">
        <v>995</v>
      </c>
      <c r="H94" s="1354">
        <v>5.0</v>
      </c>
      <c r="I94" s="1355" t="s">
        <v>1804</v>
      </c>
      <c r="J94" s="553">
        <v>0.0</v>
      </c>
    </row>
    <row r="95">
      <c r="A95" s="1348" t="s">
        <v>2251</v>
      </c>
      <c r="B95" s="1349">
        <v>7.0</v>
      </c>
      <c r="C95" s="1350" t="s">
        <v>995</v>
      </c>
      <c r="D95" s="1351">
        <v>7.0</v>
      </c>
      <c r="E95" s="1352" t="s">
        <v>995</v>
      </c>
      <c r="F95" s="1351">
        <v>2.0</v>
      </c>
      <c r="G95" s="1353" t="s">
        <v>2251</v>
      </c>
      <c r="H95" s="1354">
        <v>6.0</v>
      </c>
      <c r="I95" s="1355" t="s">
        <v>995</v>
      </c>
      <c r="J95" s="553">
        <v>0.0</v>
      </c>
    </row>
    <row r="96">
      <c r="A96" s="1348" t="s">
        <v>241</v>
      </c>
      <c r="B96" s="1349">
        <v>38.0</v>
      </c>
      <c r="C96" s="1350" t="s">
        <v>2251</v>
      </c>
      <c r="D96" s="1351">
        <v>5.0</v>
      </c>
      <c r="E96" s="1352" t="s">
        <v>2251</v>
      </c>
      <c r="F96" s="1356"/>
      <c r="G96" s="1353" t="s">
        <v>241</v>
      </c>
      <c r="H96" s="1354">
        <v>13.0</v>
      </c>
      <c r="I96" s="1355" t="s">
        <v>2251</v>
      </c>
      <c r="J96" s="553">
        <v>0.375</v>
      </c>
    </row>
    <row r="97">
      <c r="A97" s="1348" t="s">
        <v>927</v>
      </c>
      <c r="B97" s="1349">
        <v>37.0</v>
      </c>
      <c r="C97" s="1350" t="s">
        <v>241</v>
      </c>
      <c r="D97" s="1351">
        <v>20.0</v>
      </c>
      <c r="E97" s="1352" t="s">
        <v>241</v>
      </c>
      <c r="F97" s="1351">
        <v>1.0</v>
      </c>
      <c r="G97" s="1353" t="s">
        <v>927</v>
      </c>
      <c r="H97" s="1354">
        <v>9.0</v>
      </c>
      <c r="I97" s="1355" t="s">
        <v>241</v>
      </c>
      <c r="J97" s="553">
        <v>0.714</v>
      </c>
    </row>
    <row r="98">
      <c r="A98" s="1348" t="s">
        <v>2252</v>
      </c>
      <c r="B98" s="1349">
        <v>43.0</v>
      </c>
      <c r="C98" s="1350" t="s">
        <v>927</v>
      </c>
      <c r="D98" s="1351">
        <v>23.0</v>
      </c>
      <c r="E98" s="1352" t="s">
        <v>927</v>
      </c>
      <c r="F98" s="1351">
        <v>5.0</v>
      </c>
      <c r="G98" s="1353" t="s">
        <v>2252</v>
      </c>
      <c r="H98" s="1354">
        <v>8.0</v>
      </c>
      <c r="I98" s="1355" t="s">
        <v>927</v>
      </c>
      <c r="J98" s="553">
        <v>0.222</v>
      </c>
    </row>
    <row r="99">
      <c r="A99" s="1348" t="s">
        <v>209</v>
      </c>
      <c r="B99" s="1349">
        <v>18.0</v>
      </c>
      <c r="C99" s="1350" t="s">
        <v>2252</v>
      </c>
      <c r="D99" s="1351">
        <v>23.0</v>
      </c>
      <c r="E99" s="1352" t="s">
        <v>2252</v>
      </c>
      <c r="F99" s="1351">
        <v>6.0</v>
      </c>
      <c r="G99" s="1353" t="s">
        <v>209</v>
      </c>
      <c r="H99" s="1354">
        <v>6.0</v>
      </c>
      <c r="I99" s="1355" t="s">
        <v>2252</v>
      </c>
      <c r="J99" s="553">
        <v>0.5</v>
      </c>
    </row>
    <row r="100">
      <c r="A100" s="1358" t="s">
        <v>2254</v>
      </c>
      <c r="B100" s="1349">
        <v>57.0</v>
      </c>
      <c r="C100" s="1350" t="s">
        <v>209</v>
      </c>
      <c r="D100" s="1351">
        <v>13.0</v>
      </c>
      <c r="E100" s="1352" t="s">
        <v>209</v>
      </c>
      <c r="F100" s="1356"/>
      <c r="G100" s="1359" t="s">
        <v>2254</v>
      </c>
      <c r="H100" s="1354">
        <v>11.0</v>
      </c>
      <c r="I100" s="1355" t="s">
        <v>209</v>
      </c>
      <c r="J100" s="553">
        <v>0.4</v>
      </c>
    </row>
    <row r="101">
      <c r="A101" s="1348" t="s">
        <v>4214</v>
      </c>
      <c r="B101" s="1349">
        <v>0.0</v>
      </c>
      <c r="C101" s="1350" t="s">
        <v>2254</v>
      </c>
      <c r="D101" s="1351">
        <v>31.0</v>
      </c>
      <c r="E101" s="1352" t="s">
        <v>2254</v>
      </c>
      <c r="F101" s="1351">
        <v>1.0</v>
      </c>
      <c r="G101" s="1353" t="s">
        <v>4214</v>
      </c>
      <c r="H101" s="1354">
        <v>0.0</v>
      </c>
      <c r="I101" s="1355" t="s">
        <v>2254</v>
      </c>
      <c r="J101" s="553">
        <v>0.267</v>
      </c>
    </row>
    <row r="102">
      <c r="A102" s="1348" t="s">
        <v>4215</v>
      </c>
      <c r="B102" s="1349">
        <v>33.0</v>
      </c>
      <c r="C102" s="1350" t="s">
        <v>4214</v>
      </c>
      <c r="D102" s="1357"/>
      <c r="E102" s="1352" t="s">
        <v>4214</v>
      </c>
      <c r="F102" s="1356"/>
      <c r="G102" s="1353" t="s">
        <v>4215</v>
      </c>
      <c r="H102" s="1354">
        <v>5.0</v>
      </c>
      <c r="I102" s="1355" t="s">
        <v>4214</v>
      </c>
      <c r="J102" s="553">
        <v>0.0</v>
      </c>
    </row>
    <row r="103">
      <c r="A103" s="1348" t="s">
        <v>2255</v>
      </c>
      <c r="B103" s="1349">
        <v>4.0</v>
      </c>
      <c r="C103" s="1350" t="s">
        <v>4215</v>
      </c>
      <c r="D103" s="1351">
        <v>11.0</v>
      </c>
      <c r="E103" s="1352" t="s">
        <v>4215</v>
      </c>
      <c r="F103" s="1351">
        <v>2.0</v>
      </c>
      <c r="G103" s="1353" t="s">
        <v>2255</v>
      </c>
      <c r="H103" s="1354">
        <v>1.0</v>
      </c>
      <c r="I103" s="1355" t="s">
        <v>4215</v>
      </c>
      <c r="J103" s="553">
        <v>0.1</v>
      </c>
    </row>
    <row r="104">
      <c r="A104" s="1348" t="s">
        <v>2256</v>
      </c>
      <c r="B104" s="1349">
        <v>4.0</v>
      </c>
      <c r="C104" s="1350" t="s">
        <v>2255</v>
      </c>
      <c r="D104" s="1351">
        <v>1.0</v>
      </c>
      <c r="E104" s="1352" t="s">
        <v>2255</v>
      </c>
      <c r="F104" s="1351">
        <v>1.0</v>
      </c>
      <c r="G104" s="1353" t="s">
        <v>2256</v>
      </c>
      <c r="H104" s="1354">
        <v>2.0</v>
      </c>
      <c r="I104" s="1355" t="s">
        <v>2255</v>
      </c>
      <c r="J104" s="553">
        <v>0.0</v>
      </c>
    </row>
    <row r="105">
      <c r="A105" s="1348" t="s">
        <v>2257</v>
      </c>
      <c r="B105" s="1349">
        <v>8.0</v>
      </c>
      <c r="C105" s="1350" t="s">
        <v>2256</v>
      </c>
      <c r="D105" s="1351">
        <v>3.0</v>
      </c>
      <c r="E105" s="1352" t="s">
        <v>2256</v>
      </c>
      <c r="F105" s="1356"/>
      <c r="G105" s="1353" t="s">
        <v>2257</v>
      </c>
      <c r="H105" s="1354">
        <v>6.0</v>
      </c>
      <c r="I105" s="1355" t="s">
        <v>2256</v>
      </c>
      <c r="J105" s="553">
        <v>0.667</v>
      </c>
    </row>
    <row r="106">
      <c r="A106" s="1348" t="s">
        <v>2258</v>
      </c>
      <c r="B106" s="1349">
        <v>91.0</v>
      </c>
      <c r="C106" s="1350" t="s">
        <v>2257</v>
      </c>
      <c r="D106" s="1351">
        <v>6.0</v>
      </c>
      <c r="E106" s="1352" t="s">
        <v>2257</v>
      </c>
      <c r="F106" s="1356"/>
      <c r="G106" s="1353" t="s">
        <v>2258</v>
      </c>
      <c r="H106" s="1354">
        <v>17.0</v>
      </c>
      <c r="I106" s="1355" t="s">
        <v>2257</v>
      </c>
      <c r="J106" s="553">
        <v>0.167</v>
      </c>
    </row>
    <row r="107">
      <c r="A107" s="1348" t="s">
        <v>305</v>
      </c>
      <c r="B107" s="1349">
        <v>30.0</v>
      </c>
      <c r="C107" s="1350" t="s">
        <v>2258</v>
      </c>
      <c r="D107" s="1351">
        <v>49.0</v>
      </c>
      <c r="E107" s="1352" t="s">
        <v>2258</v>
      </c>
      <c r="F107" s="1351">
        <v>2.0</v>
      </c>
      <c r="G107" s="1353" t="s">
        <v>305</v>
      </c>
      <c r="H107" s="1354">
        <v>7.0</v>
      </c>
      <c r="I107" s="1355" t="s">
        <v>2258</v>
      </c>
      <c r="J107" s="553">
        <v>0.094</v>
      </c>
    </row>
    <row r="108">
      <c r="A108" s="1348" t="s">
        <v>2298</v>
      </c>
      <c r="B108" s="1349">
        <v>10.0</v>
      </c>
      <c r="C108" s="1350" t="s">
        <v>305</v>
      </c>
      <c r="D108" s="1351">
        <v>18.0</v>
      </c>
      <c r="E108" s="1352" t="s">
        <v>305</v>
      </c>
      <c r="F108" s="1356"/>
      <c r="G108" s="1353" t="s">
        <v>2298</v>
      </c>
      <c r="H108" s="1354">
        <v>7.0</v>
      </c>
      <c r="I108" s="1355" t="s">
        <v>305</v>
      </c>
      <c r="J108" s="553">
        <v>0.125</v>
      </c>
    </row>
    <row r="109">
      <c r="A109" s="1348" t="s">
        <v>2259</v>
      </c>
      <c r="B109" s="1349">
        <v>2.0</v>
      </c>
      <c r="C109" s="1350" t="s">
        <v>2298</v>
      </c>
      <c r="D109" s="1351">
        <v>7.0</v>
      </c>
      <c r="E109" s="1352" t="s">
        <v>2298</v>
      </c>
      <c r="F109" s="1351">
        <v>1.0</v>
      </c>
      <c r="G109" s="1353" t="s">
        <v>2259</v>
      </c>
      <c r="H109" s="1354">
        <v>1.0</v>
      </c>
      <c r="I109" s="1355" t="s">
        <v>2298</v>
      </c>
      <c r="J109" s="553">
        <v>0.308</v>
      </c>
    </row>
    <row r="110">
      <c r="A110" s="1348" t="s">
        <v>2299</v>
      </c>
      <c r="B110" s="1349">
        <v>214.0</v>
      </c>
      <c r="C110" s="1350" t="s">
        <v>2259</v>
      </c>
      <c r="D110" s="1351">
        <v>1.0</v>
      </c>
      <c r="E110" s="1352" t="s">
        <v>2259</v>
      </c>
      <c r="F110" s="1356"/>
      <c r="G110" s="1353" t="s">
        <v>2299</v>
      </c>
      <c r="H110" s="1354">
        <v>69.0</v>
      </c>
      <c r="I110" s="1355" t="s">
        <v>2259</v>
      </c>
      <c r="J110" s="553">
        <v>0.0</v>
      </c>
    </row>
    <row r="111">
      <c r="A111" s="1348" t="s">
        <v>4216</v>
      </c>
      <c r="B111" s="1349">
        <v>2.0</v>
      </c>
      <c r="C111" s="1350" t="s">
        <v>2299</v>
      </c>
      <c r="D111" s="1351">
        <v>102.0</v>
      </c>
      <c r="E111" s="1352" t="s">
        <v>2299</v>
      </c>
      <c r="F111" s="1351">
        <v>28.0</v>
      </c>
      <c r="G111" s="1353" t="s">
        <v>4216</v>
      </c>
      <c r="H111" s="1354">
        <v>2.0</v>
      </c>
      <c r="I111" s="1355" t="s">
        <v>2299</v>
      </c>
      <c r="J111" s="553">
        <v>0.143</v>
      </c>
    </row>
    <row r="112">
      <c r="A112" s="1348" t="s">
        <v>2300</v>
      </c>
      <c r="B112" s="1349">
        <v>279.0</v>
      </c>
      <c r="C112" s="1350" t="s">
        <v>4216</v>
      </c>
      <c r="D112" s="1351">
        <v>2.0</v>
      </c>
      <c r="E112" s="1352" t="s">
        <v>4216</v>
      </c>
      <c r="F112" s="1356"/>
      <c r="G112" s="1353" t="s">
        <v>2300</v>
      </c>
      <c r="H112" s="1354">
        <v>95.0</v>
      </c>
      <c r="I112" s="1355" t="s">
        <v>4216</v>
      </c>
      <c r="J112" s="553">
        <v>0.0</v>
      </c>
    </row>
    <row r="113">
      <c r="A113" s="1348" t="s">
        <v>4217</v>
      </c>
      <c r="B113" s="1349">
        <v>116.0</v>
      </c>
      <c r="C113" s="1350" t="s">
        <v>2300</v>
      </c>
      <c r="D113" s="1351">
        <v>189.0</v>
      </c>
      <c r="E113" s="1352" t="s">
        <v>2300</v>
      </c>
      <c r="F113" s="1351">
        <v>42.0</v>
      </c>
      <c r="G113" s="1353" t="s">
        <v>4217</v>
      </c>
      <c r="H113" s="1354">
        <v>36.0</v>
      </c>
      <c r="I113" s="1355" t="s">
        <v>2300</v>
      </c>
      <c r="J113" s="553">
        <v>0.27</v>
      </c>
    </row>
    <row r="114">
      <c r="A114" s="1348" t="s">
        <v>2261</v>
      </c>
      <c r="B114" s="1349">
        <v>11.0</v>
      </c>
      <c r="C114" s="1350" t="s">
        <v>4217</v>
      </c>
      <c r="D114" s="1351">
        <v>66.0</v>
      </c>
      <c r="E114" s="1352" t="s">
        <v>4217</v>
      </c>
      <c r="F114" s="1351">
        <v>10.0</v>
      </c>
      <c r="G114" s="1353" t="s">
        <v>2261</v>
      </c>
      <c r="H114" s="1354">
        <v>2.0</v>
      </c>
      <c r="I114" s="1355" t="s">
        <v>4217</v>
      </c>
      <c r="J114" s="553">
        <v>0.569</v>
      </c>
    </row>
    <row r="115">
      <c r="A115" s="1348" t="s">
        <v>1523</v>
      </c>
      <c r="B115" s="1349">
        <v>158.0</v>
      </c>
      <c r="C115" s="1350" t="s">
        <v>2261</v>
      </c>
      <c r="D115" s="1351">
        <v>9.0</v>
      </c>
      <c r="E115" s="1352" t="s">
        <v>2261</v>
      </c>
      <c r="F115" s="1351">
        <v>6.0</v>
      </c>
      <c r="G115" s="1353" t="s">
        <v>1523</v>
      </c>
      <c r="H115" s="1354">
        <v>46.0</v>
      </c>
      <c r="I115" s="1355" t="s">
        <v>2261</v>
      </c>
      <c r="J115" s="553">
        <v>0.611</v>
      </c>
    </row>
    <row r="116">
      <c r="A116" s="1348" t="s">
        <v>165</v>
      </c>
      <c r="B116" s="1349">
        <v>74.0</v>
      </c>
      <c r="C116" s="1350" t="s">
        <v>1523</v>
      </c>
      <c r="D116" s="1351">
        <v>100.0</v>
      </c>
      <c r="E116" s="1352" t="s">
        <v>1523</v>
      </c>
      <c r="F116" s="1351">
        <v>5.0</v>
      </c>
      <c r="G116" s="1353" t="s">
        <v>165</v>
      </c>
      <c r="H116" s="1354">
        <v>24.0</v>
      </c>
      <c r="I116" s="1355" t="s">
        <v>1523</v>
      </c>
      <c r="J116" s="553">
        <v>0.161</v>
      </c>
    </row>
    <row r="117">
      <c r="A117" s="1348" t="s">
        <v>1531</v>
      </c>
      <c r="B117" s="1349">
        <v>12.0</v>
      </c>
      <c r="C117" s="1350" t="s">
        <v>165</v>
      </c>
      <c r="D117" s="1351">
        <v>45.0</v>
      </c>
      <c r="E117" s="1352" t="s">
        <v>165</v>
      </c>
      <c r="F117" s="1351">
        <v>10.0</v>
      </c>
      <c r="G117" s="1353" t="s">
        <v>1531</v>
      </c>
      <c r="H117" s="1354">
        <v>1.0</v>
      </c>
      <c r="I117" s="1355" t="s">
        <v>165</v>
      </c>
      <c r="J117" s="553">
        <v>0.3</v>
      </c>
    </row>
    <row r="118">
      <c r="A118" s="1348" t="s">
        <v>309</v>
      </c>
      <c r="B118" s="1349">
        <v>42.0</v>
      </c>
      <c r="C118" s="1350" t="s">
        <v>1531</v>
      </c>
      <c r="D118" s="1357"/>
      <c r="E118" s="1352" t="s">
        <v>1531</v>
      </c>
      <c r="F118" s="1356"/>
      <c r="G118" s="1353" t="s">
        <v>309</v>
      </c>
      <c r="H118" s="1354">
        <v>10.0</v>
      </c>
      <c r="I118" s="1355" t="s">
        <v>1531</v>
      </c>
      <c r="J118" s="553">
        <v>0.0</v>
      </c>
    </row>
    <row r="119">
      <c r="A119" s="1348" t="s">
        <v>2263</v>
      </c>
      <c r="B119" s="1349">
        <v>23.0</v>
      </c>
      <c r="C119" s="1350" t="s">
        <v>309</v>
      </c>
      <c r="D119" s="1351">
        <v>29.0</v>
      </c>
      <c r="E119" s="1352" t="s">
        <v>309</v>
      </c>
      <c r="F119" s="1351">
        <v>1.0</v>
      </c>
      <c r="G119" s="1353" t="s">
        <v>2263</v>
      </c>
      <c r="H119" s="1354">
        <v>6.0</v>
      </c>
      <c r="I119" s="1355" t="s">
        <v>309</v>
      </c>
      <c r="J119" s="553">
        <v>0.412</v>
      </c>
    </row>
    <row r="120">
      <c r="A120" s="1348" t="s">
        <v>2264</v>
      </c>
      <c r="B120" s="1349">
        <v>39.0</v>
      </c>
      <c r="C120" s="1350" t="s">
        <v>2263</v>
      </c>
      <c r="D120" s="1351">
        <v>8.0</v>
      </c>
      <c r="E120" s="1352" t="s">
        <v>2263</v>
      </c>
      <c r="F120" s="1351">
        <v>7.0</v>
      </c>
      <c r="G120" s="1353" t="s">
        <v>2264</v>
      </c>
      <c r="H120" s="1354">
        <v>18.0</v>
      </c>
      <c r="I120" s="1355" t="s">
        <v>2263</v>
      </c>
      <c r="J120" s="553">
        <v>0.267</v>
      </c>
    </row>
    <row r="121">
      <c r="A121" s="1348" t="s">
        <v>2265</v>
      </c>
      <c r="B121" s="1349">
        <v>1.0</v>
      </c>
      <c r="C121" s="1350" t="s">
        <v>2264</v>
      </c>
      <c r="D121" s="1351">
        <v>28.0</v>
      </c>
      <c r="E121" s="1352" t="s">
        <v>2264</v>
      </c>
      <c r="F121" s="1351">
        <v>7.0</v>
      </c>
      <c r="G121" s="1353" t="s">
        <v>2265</v>
      </c>
      <c r="H121" s="1354">
        <v>1.0</v>
      </c>
      <c r="I121" s="1355" t="s">
        <v>2264</v>
      </c>
      <c r="J121" s="553">
        <v>0.286</v>
      </c>
    </row>
    <row r="122">
      <c r="A122" s="1348" t="s">
        <v>2266</v>
      </c>
      <c r="B122" s="1349">
        <v>63.0</v>
      </c>
      <c r="C122" s="1350" t="s">
        <v>2265</v>
      </c>
      <c r="D122" s="1357"/>
      <c r="E122" s="1352" t="s">
        <v>2265</v>
      </c>
      <c r="F122" s="1356"/>
      <c r="G122" s="1353" t="s">
        <v>2266</v>
      </c>
      <c r="H122" s="1354">
        <v>22.0</v>
      </c>
      <c r="I122" s="1355" t="s">
        <v>2265</v>
      </c>
      <c r="J122" s="553">
        <v>0.0</v>
      </c>
    </row>
    <row r="123">
      <c r="A123" s="1348" t="s">
        <v>1013</v>
      </c>
      <c r="B123" s="1349">
        <v>59.0</v>
      </c>
      <c r="C123" s="1350" t="s">
        <v>2266</v>
      </c>
      <c r="D123" s="1351">
        <v>30.0</v>
      </c>
      <c r="E123" s="1352" t="s">
        <v>2266</v>
      </c>
      <c r="F123" s="1351">
        <v>3.0</v>
      </c>
      <c r="G123" s="1353" t="s">
        <v>1013</v>
      </c>
      <c r="H123" s="1354">
        <v>22.0</v>
      </c>
      <c r="I123" s="1355" t="s">
        <v>2266</v>
      </c>
      <c r="J123" s="553">
        <v>0.407</v>
      </c>
    </row>
    <row r="124">
      <c r="A124" s="1348" t="s">
        <v>4218</v>
      </c>
      <c r="B124" s="1349">
        <v>81.0</v>
      </c>
      <c r="C124" s="1350" t="s">
        <v>1013</v>
      </c>
      <c r="D124" s="1351">
        <v>50.0</v>
      </c>
      <c r="E124" s="1352" t="s">
        <v>1013</v>
      </c>
      <c r="F124" s="1351">
        <v>4.0</v>
      </c>
      <c r="G124" s="1353" t="s">
        <v>4218</v>
      </c>
      <c r="H124" s="1354">
        <v>47.0</v>
      </c>
      <c r="I124" s="1355" t="s">
        <v>1013</v>
      </c>
      <c r="J124" s="553">
        <v>0.5</v>
      </c>
    </row>
    <row r="125">
      <c r="A125" s="1348" t="s">
        <v>299</v>
      </c>
      <c r="B125" s="1349">
        <v>35.0</v>
      </c>
      <c r="C125" s="1350" t="s">
        <v>4218</v>
      </c>
      <c r="D125" s="1351">
        <v>87.0</v>
      </c>
      <c r="E125" s="1352" t="s">
        <v>4218</v>
      </c>
      <c r="F125" s="1351">
        <v>11.0</v>
      </c>
      <c r="G125" s="1353" t="s">
        <v>299</v>
      </c>
      <c r="H125" s="1354">
        <v>10.0</v>
      </c>
      <c r="I125" s="1355" t="s">
        <v>4218</v>
      </c>
      <c r="J125" s="553">
        <v>0.304</v>
      </c>
    </row>
    <row r="126">
      <c r="A126" s="1348" t="s">
        <v>1631</v>
      </c>
      <c r="B126" s="1349">
        <v>1.0</v>
      </c>
      <c r="C126" s="1350" t="s">
        <v>299</v>
      </c>
      <c r="D126" s="1351">
        <v>16.0</v>
      </c>
      <c r="E126" s="1352" t="s">
        <v>299</v>
      </c>
      <c r="F126" s="1351">
        <v>1.0</v>
      </c>
      <c r="G126" s="1353" t="s">
        <v>1631</v>
      </c>
      <c r="H126" s="1354">
        <v>1.0</v>
      </c>
      <c r="I126" s="1355" t="s">
        <v>299</v>
      </c>
      <c r="J126" s="553">
        <v>0.0</v>
      </c>
    </row>
    <row r="127">
      <c r="A127" s="1348" t="s">
        <v>476</v>
      </c>
      <c r="B127" s="1349">
        <v>27.0</v>
      </c>
      <c r="C127" s="1350" t="s">
        <v>1631</v>
      </c>
      <c r="D127" s="1357"/>
      <c r="E127" s="1352" t="s">
        <v>1631</v>
      </c>
      <c r="F127" s="1351">
        <v>1.0</v>
      </c>
      <c r="G127" s="1353" t="s">
        <v>476</v>
      </c>
      <c r="H127" s="1354">
        <v>5.0</v>
      </c>
      <c r="I127" s="1355" t="s">
        <v>1631</v>
      </c>
      <c r="J127" s="553">
        <v>0.0</v>
      </c>
    </row>
    <row r="128">
      <c r="A128" s="1348" t="s">
        <v>749</v>
      </c>
      <c r="B128" s="1349">
        <v>55.0</v>
      </c>
      <c r="C128" s="1350" t="s">
        <v>476</v>
      </c>
      <c r="D128" s="1351">
        <v>17.0</v>
      </c>
      <c r="E128" s="1352" t="s">
        <v>476</v>
      </c>
      <c r="F128" s="1351">
        <v>3.0</v>
      </c>
      <c r="G128" s="1353" t="s">
        <v>749</v>
      </c>
      <c r="H128" s="1354">
        <v>14.0</v>
      </c>
      <c r="I128" s="1355" t="s">
        <v>476</v>
      </c>
      <c r="J128" s="553">
        <v>0.6</v>
      </c>
    </row>
    <row r="129">
      <c r="A129" s="1348" t="s">
        <v>4219</v>
      </c>
      <c r="B129" s="1349">
        <v>199.0</v>
      </c>
      <c r="C129" s="1350" t="s">
        <v>749</v>
      </c>
      <c r="D129" s="1351">
        <v>23.0</v>
      </c>
      <c r="E129" s="1352" t="s">
        <v>749</v>
      </c>
      <c r="F129" s="1351">
        <v>8.0</v>
      </c>
      <c r="G129" s="1353" t="s">
        <v>4219</v>
      </c>
      <c r="H129" s="1354">
        <v>70.0</v>
      </c>
      <c r="I129" s="1355" t="s">
        <v>749</v>
      </c>
      <c r="J129" s="553">
        <v>0.211</v>
      </c>
    </row>
    <row r="130">
      <c r="A130" s="1348" t="s">
        <v>647</v>
      </c>
      <c r="B130" s="1349">
        <v>44.0</v>
      </c>
      <c r="C130" s="1350" t="s">
        <v>4219</v>
      </c>
      <c r="D130" s="1351">
        <v>127.0</v>
      </c>
      <c r="E130" s="1352" t="s">
        <v>4219</v>
      </c>
      <c r="F130" s="1351">
        <v>28.0</v>
      </c>
      <c r="G130" s="1353" t="s">
        <v>647</v>
      </c>
      <c r="H130" s="1354">
        <v>7.0</v>
      </c>
      <c r="I130" s="1355" t="s">
        <v>4219</v>
      </c>
      <c r="J130" s="553">
        <v>0.324</v>
      </c>
    </row>
    <row r="131">
      <c r="A131" s="1348" t="s">
        <v>119</v>
      </c>
      <c r="B131" s="1349">
        <v>114.0</v>
      </c>
      <c r="C131" s="1350" t="s">
        <v>647</v>
      </c>
      <c r="D131" s="1351">
        <v>35.0</v>
      </c>
      <c r="E131" s="1352" t="s">
        <v>647</v>
      </c>
      <c r="F131" s="1351">
        <v>3.0</v>
      </c>
      <c r="G131" s="1353" t="s">
        <v>119</v>
      </c>
      <c r="H131" s="1354">
        <v>31.0</v>
      </c>
      <c r="I131" s="1355" t="s">
        <v>647</v>
      </c>
      <c r="J131" s="553">
        <v>0.25</v>
      </c>
    </row>
    <row r="132">
      <c r="A132" s="1348" t="s">
        <v>4220</v>
      </c>
      <c r="B132" s="1349">
        <v>22.0</v>
      </c>
      <c r="C132" s="1350" t="s">
        <v>119</v>
      </c>
      <c r="D132" s="1351">
        <v>61.0</v>
      </c>
      <c r="E132" s="1352" t="s">
        <v>119</v>
      </c>
      <c r="F132" s="1351">
        <v>10.0</v>
      </c>
      <c r="G132" s="1353" t="s">
        <v>4220</v>
      </c>
      <c r="H132" s="1354">
        <v>5.0</v>
      </c>
      <c r="I132" s="1355" t="s">
        <v>119</v>
      </c>
      <c r="J132" s="553">
        <v>0.043</v>
      </c>
    </row>
    <row r="133">
      <c r="A133" s="1348" t="s">
        <v>1810</v>
      </c>
      <c r="B133" s="1349">
        <v>10.0</v>
      </c>
      <c r="C133" s="1350" t="s">
        <v>4220</v>
      </c>
      <c r="D133" s="1357"/>
      <c r="E133" s="1352" t="s">
        <v>4220</v>
      </c>
      <c r="F133" s="1356"/>
      <c r="G133" s="1353" t="s">
        <v>1810</v>
      </c>
      <c r="H133" s="1354">
        <v>3.0</v>
      </c>
      <c r="I133" s="1355" t="s">
        <v>4220</v>
      </c>
      <c r="J133" s="553">
        <v>0.0</v>
      </c>
    </row>
    <row r="134">
      <c r="A134" s="1348" t="s">
        <v>1839</v>
      </c>
      <c r="B134" s="1349">
        <v>2.0</v>
      </c>
      <c r="C134" s="1350" t="s">
        <v>1810</v>
      </c>
      <c r="D134" s="1351">
        <v>4.0</v>
      </c>
      <c r="E134" s="1352" t="s">
        <v>1810</v>
      </c>
      <c r="F134" s="1351">
        <v>2.0</v>
      </c>
      <c r="G134" s="1353" t="s">
        <v>1839</v>
      </c>
      <c r="H134" s="1354">
        <v>0.0</v>
      </c>
      <c r="I134" s="1355" t="s">
        <v>1810</v>
      </c>
      <c r="J134" s="553">
        <v>0.25</v>
      </c>
    </row>
    <row r="135">
      <c r="A135" s="1348" t="s">
        <v>3440</v>
      </c>
      <c r="B135" s="1349">
        <v>43.0</v>
      </c>
      <c r="C135" s="1350" t="s">
        <v>1839</v>
      </c>
      <c r="D135" s="1351">
        <v>1.0</v>
      </c>
      <c r="E135" s="1352" t="s">
        <v>1839</v>
      </c>
      <c r="F135" s="1356"/>
      <c r="G135" s="1353" t="s">
        <v>3440</v>
      </c>
      <c r="H135" s="1354">
        <v>16.0</v>
      </c>
      <c r="I135" s="1355" t="s">
        <v>1839</v>
      </c>
      <c r="J135" s="553">
        <v>0.5</v>
      </c>
    </row>
    <row r="136">
      <c r="A136" s="1348" t="s">
        <v>2178</v>
      </c>
      <c r="B136" s="1349">
        <v>84.0</v>
      </c>
      <c r="C136" s="1350" t="s">
        <v>3440</v>
      </c>
      <c r="D136" s="1351">
        <v>29.0</v>
      </c>
      <c r="E136" s="1352" t="s">
        <v>3440</v>
      </c>
      <c r="F136" s="1351">
        <v>4.0</v>
      </c>
      <c r="G136" s="1353" t="s">
        <v>2178</v>
      </c>
      <c r="H136" s="1354">
        <v>30.0</v>
      </c>
      <c r="I136" s="1355" t="s">
        <v>3440</v>
      </c>
      <c r="J136" s="553">
        <v>0.276</v>
      </c>
    </row>
    <row r="137">
      <c r="A137" s="1348" t="s">
        <v>2267</v>
      </c>
      <c r="B137" s="1349">
        <v>40.0</v>
      </c>
      <c r="C137" s="1350" t="s">
        <v>2178</v>
      </c>
      <c r="D137" s="1351">
        <v>59.0</v>
      </c>
      <c r="E137" s="1352" t="s">
        <v>2178</v>
      </c>
      <c r="F137" s="1351">
        <v>11.0</v>
      </c>
      <c r="G137" s="1353" t="s">
        <v>2267</v>
      </c>
      <c r="H137" s="1354">
        <v>11.0</v>
      </c>
      <c r="I137" s="1355" t="s">
        <v>2178</v>
      </c>
      <c r="J137" s="553">
        <v>0.304</v>
      </c>
    </row>
    <row r="138">
      <c r="A138" s="1348" t="s">
        <v>1196</v>
      </c>
      <c r="B138" s="1349">
        <v>24.0</v>
      </c>
      <c r="C138" s="1350" t="s">
        <v>2267</v>
      </c>
      <c r="D138" s="1351">
        <v>20.0</v>
      </c>
      <c r="E138" s="1352" t="s">
        <v>2267</v>
      </c>
      <c r="F138" s="1351">
        <v>8.0</v>
      </c>
      <c r="G138" s="1353" t="s">
        <v>1196</v>
      </c>
      <c r="H138" s="1354">
        <v>8.0</v>
      </c>
      <c r="I138" s="1355" t="s">
        <v>2267</v>
      </c>
      <c r="J138" s="553">
        <v>0.19</v>
      </c>
    </row>
    <row r="139">
      <c r="A139" s="1348" t="s">
        <v>2868</v>
      </c>
      <c r="B139" s="1349">
        <v>722.0</v>
      </c>
      <c r="C139" s="1350" t="s">
        <v>1196</v>
      </c>
      <c r="D139" s="1351">
        <v>11.0</v>
      </c>
      <c r="E139" s="1352" t="s">
        <v>1196</v>
      </c>
      <c r="F139" s="1356"/>
      <c r="G139" s="1353" t="s">
        <v>2868</v>
      </c>
      <c r="H139" s="1354">
        <v>243.0</v>
      </c>
      <c r="I139" s="1355" t="s">
        <v>1196</v>
      </c>
      <c r="J139" s="553">
        <v>0.6</v>
      </c>
    </row>
    <row r="140">
      <c r="A140" s="1348" t="s">
        <v>4179</v>
      </c>
      <c r="B140" s="1349">
        <v>934.0</v>
      </c>
      <c r="C140" s="1350" t="s">
        <v>4221</v>
      </c>
      <c r="D140" s="1351">
        <v>2934.0</v>
      </c>
      <c r="E140" s="1360" t="s">
        <v>4221</v>
      </c>
      <c r="F140" s="1351">
        <v>682.0</v>
      </c>
      <c r="G140" s="1353" t="s">
        <v>4179</v>
      </c>
      <c r="H140" s="1354">
        <v>283.0</v>
      </c>
      <c r="I140" s="1355" t="s">
        <v>4221</v>
      </c>
      <c r="J140" s="553">
        <v>0.289</v>
      </c>
    </row>
    <row r="141">
      <c r="A141" s="1348" t="s">
        <v>904</v>
      </c>
      <c r="B141" s="1349">
        <v>1216.0</v>
      </c>
      <c r="C141" s="1361"/>
      <c r="D141" s="1362"/>
      <c r="E141" s="322"/>
      <c r="F141" s="1363"/>
      <c r="G141" s="1353" t="s">
        <v>904</v>
      </c>
      <c r="H141" s="1354">
        <v>370.0</v>
      </c>
    </row>
    <row r="142">
      <c r="A142" s="1348" t="s">
        <v>4222</v>
      </c>
      <c r="B142" s="1349">
        <v>1425.0</v>
      </c>
      <c r="C142" s="1361"/>
      <c r="D142" s="1362"/>
      <c r="E142" s="322"/>
      <c r="F142" s="1363"/>
      <c r="G142" s="1353" t="s">
        <v>4222</v>
      </c>
      <c r="H142" s="1354">
        <v>484.0</v>
      </c>
    </row>
    <row r="143">
      <c r="A143" s="1348" t="s">
        <v>934</v>
      </c>
      <c r="B143" s="1349">
        <v>888.0</v>
      </c>
      <c r="C143" s="1361"/>
      <c r="D143" s="1362"/>
      <c r="E143" s="322"/>
      <c r="F143" s="1363"/>
      <c r="G143" s="1353" t="s">
        <v>934</v>
      </c>
      <c r="H143" s="1354">
        <v>295.0</v>
      </c>
    </row>
    <row r="144">
      <c r="A144" s="1364" t="s">
        <v>3633</v>
      </c>
      <c r="B144" s="1365">
        <v>5185.0</v>
      </c>
      <c r="C144" s="1361"/>
      <c r="D144" s="1362"/>
      <c r="E144" s="322"/>
      <c r="F144" s="1363"/>
      <c r="G144" s="1353" t="s">
        <v>3633</v>
      </c>
      <c r="H144" s="1354">
        <v>1675.0</v>
      </c>
    </row>
  </sheetData>
  <mergeCells count="5">
    <mergeCell ref="A4:B4"/>
    <mergeCell ref="C4:D4"/>
    <mergeCell ref="E4:F4"/>
    <mergeCell ref="G4:H4"/>
    <mergeCell ref="I4:J4"/>
  </mergeCells>
  <drawing r:id="rId1"/>
</worksheet>
</file>

<file path=xl/worksheets/sheet10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5.13"/>
    <col customWidth="1" min="12" max="12" width="13.5"/>
  </cols>
  <sheetData>
    <row r="1">
      <c r="A1" s="167"/>
      <c r="B1" s="168" t="s">
        <v>119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</row>
    <row r="2">
      <c r="A2" s="169" t="s">
        <v>172</v>
      </c>
      <c r="B2" s="170" t="s">
        <v>174</v>
      </c>
      <c r="C2" s="171" t="s">
        <v>693</v>
      </c>
      <c r="D2" s="172" t="s">
        <v>694</v>
      </c>
      <c r="E2" s="172" t="s">
        <v>695</v>
      </c>
      <c r="F2" s="172" t="s">
        <v>179</v>
      </c>
      <c r="G2" s="172" t="s">
        <v>696</v>
      </c>
      <c r="H2" s="173" t="s">
        <v>697</v>
      </c>
      <c r="I2" s="174" t="s">
        <v>84</v>
      </c>
      <c r="J2" s="170" t="s">
        <v>698</v>
      </c>
      <c r="K2" s="175" t="s">
        <v>699</v>
      </c>
      <c r="L2" s="173" t="s">
        <v>89</v>
      </c>
      <c r="M2" s="176" t="s">
        <v>700</v>
      </c>
      <c r="N2" s="177" t="s">
        <v>701</v>
      </c>
      <c r="O2" s="177" t="s">
        <v>702</v>
      </c>
      <c r="P2" s="178" t="s">
        <v>90</v>
      </c>
      <c r="Q2" s="325" t="s">
        <v>703</v>
      </c>
    </row>
    <row r="3">
      <c r="A3" s="326" t="s">
        <v>386</v>
      </c>
      <c r="B3" s="251">
        <f t="array" ref="B3">VLOOKUP($A3,WA_DEMO,2,FALSE)</f>
        <v>20613</v>
      </c>
      <c r="C3" s="252" t="s">
        <v>63</v>
      </c>
      <c r="D3" s="253" t="s">
        <v>63</v>
      </c>
      <c r="E3" s="253" t="s">
        <v>63</v>
      </c>
      <c r="F3" s="253" t="s">
        <v>63</v>
      </c>
      <c r="G3" s="253" t="s">
        <v>63</v>
      </c>
      <c r="H3" s="254" t="s">
        <v>63</v>
      </c>
      <c r="I3" s="255" t="s">
        <v>63</v>
      </c>
      <c r="J3" s="256" t="s">
        <v>63</v>
      </c>
      <c r="K3" s="274" t="s">
        <v>63</v>
      </c>
      <c r="L3" s="252" t="s">
        <v>63</v>
      </c>
      <c r="M3" s="258" t="s">
        <v>63</v>
      </c>
      <c r="N3" s="253" t="s">
        <v>63</v>
      </c>
      <c r="O3" s="253" t="s">
        <v>63</v>
      </c>
      <c r="P3" s="261">
        <f>ifna(vlookup(A3,'Population &amp; Church Numbers'!$A$2956:$D$2994,4,FALSE),"NULL")</f>
        <v>24</v>
      </c>
      <c r="Q3" s="329" t="s">
        <v>63</v>
      </c>
    </row>
    <row r="4">
      <c r="A4" s="188" t="s">
        <v>2308</v>
      </c>
      <c r="B4" s="189">
        <f t="array" ref="B4">VLOOKUP($A4,WA_DEMO,2,FALSE)</f>
        <v>22285</v>
      </c>
      <c r="C4" s="264" t="s">
        <v>63</v>
      </c>
      <c r="D4" s="265" t="s">
        <v>63</v>
      </c>
      <c r="E4" s="265" t="s">
        <v>63</v>
      </c>
      <c r="F4" s="265" t="s">
        <v>63</v>
      </c>
      <c r="G4" s="265" t="s">
        <v>63</v>
      </c>
      <c r="H4" s="266" t="s">
        <v>63</v>
      </c>
      <c r="I4" s="267" t="s">
        <v>63</v>
      </c>
      <c r="J4" s="268" t="s">
        <v>63</v>
      </c>
      <c r="K4" s="284" t="s">
        <v>63</v>
      </c>
      <c r="L4" s="264" t="s">
        <v>63</v>
      </c>
      <c r="M4" s="267" t="s">
        <v>63</v>
      </c>
      <c r="N4" s="265" t="s">
        <v>63</v>
      </c>
      <c r="O4" s="265" t="s">
        <v>63</v>
      </c>
      <c r="P4" s="272">
        <f>ifna(vlookup(A4,'Population &amp; Church Numbers'!$A$2956:$D$2994,4,FALSE),"NULL")</f>
        <v>17</v>
      </c>
      <c r="Q4" s="334" t="s">
        <v>63</v>
      </c>
    </row>
    <row r="5">
      <c r="A5" s="326" t="s">
        <v>243</v>
      </c>
      <c r="B5" s="251">
        <f t="array" ref="B5">VLOOKUP($A5,WA_DEMO,2,FALSE)</f>
        <v>206873</v>
      </c>
      <c r="C5" s="252" t="s">
        <v>63</v>
      </c>
      <c r="D5" s="253" t="s">
        <v>63</v>
      </c>
      <c r="E5" s="253" t="s">
        <v>63</v>
      </c>
      <c r="F5" s="253" t="s">
        <v>63</v>
      </c>
      <c r="G5" s="253" t="s">
        <v>63</v>
      </c>
      <c r="H5" s="254" t="s">
        <v>63</v>
      </c>
      <c r="I5" s="255" t="s">
        <v>63</v>
      </c>
      <c r="J5" s="256" t="s">
        <v>63</v>
      </c>
      <c r="K5" s="274" t="s">
        <v>63</v>
      </c>
      <c r="L5" s="252" t="s">
        <v>63</v>
      </c>
      <c r="M5" s="255" t="s">
        <v>63</v>
      </c>
      <c r="N5" s="253" t="s">
        <v>63</v>
      </c>
      <c r="O5" s="253" t="s">
        <v>63</v>
      </c>
      <c r="P5" s="261">
        <f>ifna(vlookup(A5,'Population &amp; Church Numbers'!$A$2956:$D$2994,4,FALSE),"NULL")</f>
        <v>98</v>
      </c>
      <c r="Q5" s="329" t="s">
        <v>63</v>
      </c>
    </row>
    <row r="6">
      <c r="A6" s="188" t="s">
        <v>2309</v>
      </c>
      <c r="B6" s="189">
        <f t="array" ref="B6">VLOOKUP($A6,WA_DEMO,2,FALSE)</f>
        <v>79074</v>
      </c>
      <c r="C6" s="264" t="s">
        <v>63</v>
      </c>
      <c r="D6" s="265" t="s">
        <v>63</v>
      </c>
      <c r="E6" s="265" t="s">
        <v>63</v>
      </c>
      <c r="F6" s="265" t="s">
        <v>63</v>
      </c>
      <c r="G6" s="265" t="s">
        <v>63</v>
      </c>
      <c r="H6" s="266" t="s">
        <v>63</v>
      </c>
      <c r="I6" s="267" t="s">
        <v>63</v>
      </c>
      <c r="J6" s="268" t="s">
        <v>63</v>
      </c>
      <c r="K6" s="284" t="s">
        <v>63</v>
      </c>
      <c r="L6" s="264" t="s">
        <v>63</v>
      </c>
      <c r="M6" s="267" t="s">
        <v>63</v>
      </c>
      <c r="N6" s="265" t="s">
        <v>63</v>
      </c>
      <c r="O6" s="265" t="s">
        <v>63</v>
      </c>
      <c r="P6" s="272">
        <f>ifna(vlookup(A6,'Population &amp; Church Numbers'!$A$2956:$D$2994,4,FALSE),"NULL")</f>
        <v>63</v>
      </c>
      <c r="Q6" s="334" t="s">
        <v>63</v>
      </c>
    </row>
    <row r="7">
      <c r="A7" s="326" t="s">
        <v>2310</v>
      </c>
      <c r="B7" s="251">
        <f t="array" ref="B7">VLOOKUP($A7,WA_DEMO,2,FALSE)</f>
        <v>77155</v>
      </c>
      <c r="C7" s="252" t="s">
        <v>63</v>
      </c>
      <c r="D7" s="253" t="s">
        <v>63</v>
      </c>
      <c r="E7" s="253" t="s">
        <v>63</v>
      </c>
      <c r="F7" s="253" t="s">
        <v>63</v>
      </c>
      <c r="G7" s="253" t="s">
        <v>63</v>
      </c>
      <c r="H7" s="254" t="s">
        <v>63</v>
      </c>
      <c r="I7" s="255" t="s">
        <v>63</v>
      </c>
      <c r="J7" s="256" t="s">
        <v>63</v>
      </c>
      <c r="K7" s="274" t="s">
        <v>63</v>
      </c>
      <c r="L7" s="252" t="s">
        <v>63</v>
      </c>
      <c r="M7" s="255" t="s">
        <v>63</v>
      </c>
      <c r="N7" s="253" t="s">
        <v>63</v>
      </c>
      <c r="O7" s="253" t="s">
        <v>63</v>
      </c>
      <c r="P7" s="261">
        <f>ifna(vlookup(A7,'Population &amp; Church Numbers'!$A$2956:$D$2994,4,FALSE),"NULL")</f>
        <v>61</v>
      </c>
      <c r="Q7" s="329" t="s">
        <v>63</v>
      </c>
    </row>
    <row r="8">
      <c r="A8" s="188" t="s">
        <v>253</v>
      </c>
      <c r="B8" s="189">
        <f t="array" ref="B8">VLOOKUP($A8,WA_DEMO,2,FALSE)</f>
        <v>503311</v>
      </c>
      <c r="C8" s="264" t="s">
        <v>63</v>
      </c>
      <c r="D8" s="265" t="s">
        <v>63</v>
      </c>
      <c r="E8" s="265" t="s">
        <v>63</v>
      </c>
      <c r="F8" s="265" t="s">
        <v>63</v>
      </c>
      <c r="G8" s="265" t="s">
        <v>63</v>
      </c>
      <c r="H8" s="266" t="s">
        <v>63</v>
      </c>
      <c r="I8" s="267" t="s">
        <v>63</v>
      </c>
      <c r="J8" s="268" t="s">
        <v>63</v>
      </c>
      <c r="K8" s="284" t="s">
        <v>63</v>
      </c>
      <c r="L8" s="264" t="s">
        <v>63</v>
      </c>
      <c r="M8" s="267" t="s">
        <v>63</v>
      </c>
      <c r="N8" s="265" t="s">
        <v>63</v>
      </c>
      <c r="O8" s="265" t="s">
        <v>63</v>
      </c>
      <c r="P8" s="272">
        <f>ifna(vlookup(A8,'Population &amp; Church Numbers'!$A$2956:$D$2994,4,FALSE),"NULL")</f>
        <v>181</v>
      </c>
      <c r="Q8" s="334" t="s">
        <v>63</v>
      </c>
    </row>
    <row r="9">
      <c r="A9" s="326" t="s">
        <v>258</v>
      </c>
      <c r="B9" s="251">
        <f t="array" ref="B9">VLOOKUP($A9,WA_DEMO,2,FALSE)</f>
        <v>3952</v>
      </c>
      <c r="C9" s="252" t="s">
        <v>63</v>
      </c>
      <c r="D9" s="253" t="s">
        <v>63</v>
      </c>
      <c r="E9" s="253" t="s">
        <v>63</v>
      </c>
      <c r="F9" s="253" t="s">
        <v>63</v>
      </c>
      <c r="G9" s="253" t="s">
        <v>63</v>
      </c>
      <c r="H9" s="254" t="s">
        <v>63</v>
      </c>
      <c r="I9" s="255" t="s">
        <v>63</v>
      </c>
      <c r="J9" s="256" t="s">
        <v>63</v>
      </c>
      <c r="K9" s="274" t="s">
        <v>63</v>
      </c>
      <c r="L9" s="252" t="s">
        <v>63</v>
      </c>
      <c r="M9" s="255" t="s">
        <v>63</v>
      </c>
      <c r="N9" s="253" t="s">
        <v>63</v>
      </c>
      <c r="O9" s="253" t="s">
        <v>63</v>
      </c>
      <c r="P9" s="261">
        <f>ifna(vlookup(A9,'Population &amp; Church Numbers'!$A$2956:$D$2994,4,FALSE),"NULL")</f>
        <v>8</v>
      </c>
      <c r="Q9" s="329" t="s">
        <v>63</v>
      </c>
    </row>
    <row r="10">
      <c r="A10" s="188" t="s">
        <v>2311</v>
      </c>
      <c r="B10" s="189">
        <f t="array" ref="B10">VLOOKUP($A10,WA_DEMO,2,FALSE)</f>
        <v>110730</v>
      </c>
      <c r="C10" s="264" t="s">
        <v>63</v>
      </c>
      <c r="D10" s="265" t="s">
        <v>63</v>
      </c>
      <c r="E10" s="265" t="s">
        <v>63</v>
      </c>
      <c r="F10" s="265" t="s">
        <v>63</v>
      </c>
      <c r="G10" s="265" t="s">
        <v>63</v>
      </c>
      <c r="H10" s="266" t="s">
        <v>63</v>
      </c>
      <c r="I10" s="267" t="s">
        <v>63</v>
      </c>
      <c r="J10" s="268" t="s">
        <v>63</v>
      </c>
      <c r="K10" s="284" t="s">
        <v>63</v>
      </c>
      <c r="L10" s="264" t="s">
        <v>63</v>
      </c>
      <c r="M10" s="267" t="s">
        <v>63</v>
      </c>
      <c r="N10" s="265" t="s">
        <v>63</v>
      </c>
      <c r="O10" s="265" t="s">
        <v>63</v>
      </c>
      <c r="P10" s="272">
        <f>ifna(vlookup(A10,'Population &amp; Church Numbers'!$A$2956:$D$2994,4,FALSE),"NULL")</f>
        <v>92</v>
      </c>
      <c r="Q10" s="334" t="s">
        <v>63</v>
      </c>
    </row>
    <row r="11">
      <c r="A11" s="326" t="s">
        <v>412</v>
      </c>
      <c r="B11" s="251">
        <f t="array" ref="B11">VLOOKUP($A11,WA_DEMO,2,FALSE)</f>
        <v>42938</v>
      </c>
      <c r="C11" s="252" t="s">
        <v>63</v>
      </c>
      <c r="D11" s="253" t="s">
        <v>63</v>
      </c>
      <c r="E11" s="253" t="s">
        <v>63</v>
      </c>
      <c r="F11" s="253" t="s">
        <v>63</v>
      </c>
      <c r="G11" s="253" t="s">
        <v>63</v>
      </c>
      <c r="H11" s="254" t="s">
        <v>63</v>
      </c>
      <c r="I11" s="255" t="s">
        <v>63</v>
      </c>
      <c r="J11" s="256" t="s">
        <v>63</v>
      </c>
      <c r="K11" s="274" t="s">
        <v>63</v>
      </c>
      <c r="L11" s="252" t="s">
        <v>63</v>
      </c>
      <c r="M11" s="255" t="s">
        <v>63</v>
      </c>
      <c r="N11" s="253" t="s">
        <v>63</v>
      </c>
      <c r="O11" s="253" t="s">
        <v>63</v>
      </c>
      <c r="P11" s="261">
        <f>ifna(vlookup(A11,'Population &amp; Church Numbers'!$A$2956:$D$2994,4,FALSE),"NULL")</f>
        <v>27</v>
      </c>
      <c r="Q11" s="329" t="s">
        <v>63</v>
      </c>
    </row>
    <row r="12">
      <c r="A12" s="188" t="s">
        <v>2312</v>
      </c>
      <c r="B12" s="189">
        <f t="array" ref="B12">VLOOKUP($A12,WA_DEMO,2,FALSE)</f>
        <v>7178</v>
      </c>
      <c r="C12" s="264" t="s">
        <v>63</v>
      </c>
      <c r="D12" s="265" t="s">
        <v>63</v>
      </c>
      <c r="E12" s="265" t="s">
        <v>63</v>
      </c>
      <c r="F12" s="265" t="s">
        <v>63</v>
      </c>
      <c r="G12" s="265" t="s">
        <v>63</v>
      </c>
      <c r="H12" s="266" t="s">
        <v>63</v>
      </c>
      <c r="I12" s="267" t="s">
        <v>63</v>
      </c>
      <c r="J12" s="268" t="s">
        <v>63</v>
      </c>
      <c r="K12" s="284" t="s">
        <v>63</v>
      </c>
      <c r="L12" s="264" t="s">
        <v>63</v>
      </c>
      <c r="M12" s="267" t="s">
        <v>63</v>
      </c>
      <c r="N12" s="265" t="s">
        <v>63</v>
      </c>
      <c r="O12" s="265" t="s">
        <v>63</v>
      </c>
      <c r="P12" s="272">
        <f>ifna(vlookup(A12,'Population &amp; Church Numbers'!$A$2956:$D$2994,4,FALSE),"NULL")</f>
        <v>9</v>
      </c>
      <c r="Q12" s="334" t="s">
        <v>63</v>
      </c>
    </row>
    <row r="13">
      <c r="A13" s="326" t="s">
        <v>136</v>
      </c>
      <c r="B13" s="251">
        <f t="array" ref="B13">VLOOKUP($A13,WA_DEMO,2,FALSE)</f>
        <v>96749</v>
      </c>
      <c r="C13" s="252" t="s">
        <v>63</v>
      </c>
      <c r="D13" s="253" t="s">
        <v>63</v>
      </c>
      <c r="E13" s="253" t="s">
        <v>63</v>
      </c>
      <c r="F13" s="253" t="s">
        <v>63</v>
      </c>
      <c r="G13" s="253" t="s">
        <v>63</v>
      </c>
      <c r="H13" s="254" t="s">
        <v>63</v>
      </c>
      <c r="I13" s="255" t="s">
        <v>63</v>
      </c>
      <c r="J13" s="256" t="s">
        <v>63</v>
      </c>
      <c r="K13" s="274" t="s">
        <v>63</v>
      </c>
      <c r="L13" s="252" t="s">
        <v>63</v>
      </c>
      <c r="M13" s="255" t="s">
        <v>63</v>
      </c>
      <c r="N13" s="253" t="s">
        <v>63</v>
      </c>
      <c r="O13" s="253" t="s">
        <v>63</v>
      </c>
      <c r="P13" s="261">
        <f>ifna(vlookup(A13,'Population &amp; Church Numbers'!$A$2956:$D$2994,4,FALSE),"NULL")</f>
        <v>39</v>
      </c>
      <c r="Q13" s="329" t="s">
        <v>63</v>
      </c>
    </row>
    <row r="14">
      <c r="A14" s="188" t="s">
        <v>417</v>
      </c>
      <c r="B14" s="189">
        <f t="array" ref="B14">VLOOKUP($A14,WA_DEMO,2,FALSE)</f>
        <v>2286</v>
      </c>
      <c r="C14" s="264" t="s">
        <v>63</v>
      </c>
      <c r="D14" s="265" t="s">
        <v>63</v>
      </c>
      <c r="E14" s="265" t="s">
        <v>63</v>
      </c>
      <c r="F14" s="265" t="s">
        <v>63</v>
      </c>
      <c r="G14" s="265" t="s">
        <v>63</v>
      </c>
      <c r="H14" s="266" t="s">
        <v>63</v>
      </c>
      <c r="I14" s="267" t="s">
        <v>63</v>
      </c>
      <c r="J14" s="268" t="s">
        <v>63</v>
      </c>
      <c r="K14" s="284" t="s">
        <v>63</v>
      </c>
      <c r="L14" s="264" t="s">
        <v>63</v>
      </c>
      <c r="M14" s="267" t="s">
        <v>63</v>
      </c>
      <c r="N14" s="265" t="s">
        <v>63</v>
      </c>
      <c r="O14" s="265" t="s">
        <v>63</v>
      </c>
      <c r="P14" s="272">
        <f>ifna(vlookup(A14,'Population &amp; Church Numbers'!$A$2956:$D$2994,4,FALSE),"NULL")</f>
        <v>5</v>
      </c>
      <c r="Q14" s="334" t="s">
        <v>63</v>
      </c>
    </row>
    <row r="15">
      <c r="A15" s="326" t="s">
        <v>278</v>
      </c>
      <c r="B15" s="251">
        <f t="array" ref="B15">VLOOKUP($A15,WA_DEMO,2,FALSE)</f>
        <v>99123</v>
      </c>
      <c r="C15" s="252" t="s">
        <v>63</v>
      </c>
      <c r="D15" s="253" t="s">
        <v>63</v>
      </c>
      <c r="E15" s="253" t="s">
        <v>63</v>
      </c>
      <c r="F15" s="253" t="s">
        <v>63</v>
      </c>
      <c r="G15" s="253" t="s">
        <v>63</v>
      </c>
      <c r="H15" s="254" t="s">
        <v>63</v>
      </c>
      <c r="I15" s="255" t="s">
        <v>63</v>
      </c>
      <c r="J15" s="256" t="s">
        <v>63</v>
      </c>
      <c r="K15" s="274" t="s">
        <v>63</v>
      </c>
      <c r="L15" s="252" t="s">
        <v>63</v>
      </c>
      <c r="M15" s="255" t="s">
        <v>63</v>
      </c>
      <c r="N15" s="253" t="s">
        <v>63</v>
      </c>
      <c r="O15" s="253" t="s">
        <v>63</v>
      </c>
      <c r="P15" s="261">
        <f>ifna(vlookup(A15,'Population &amp; Church Numbers'!$A$2956:$D$2994,4,FALSE),"NULL")</f>
        <v>78</v>
      </c>
      <c r="Q15" s="329" t="s">
        <v>63</v>
      </c>
    </row>
    <row r="16">
      <c r="A16" s="188" t="s">
        <v>2313</v>
      </c>
      <c r="B16" s="189">
        <f t="array" ref="B16">VLOOKUP($A16,WA_DEMO,2,FALSE)</f>
        <v>75636</v>
      </c>
      <c r="C16" s="264" t="s">
        <v>63</v>
      </c>
      <c r="D16" s="265" t="s">
        <v>63</v>
      </c>
      <c r="E16" s="265" t="s">
        <v>63</v>
      </c>
      <c r="F16" s="265" t="s">
        <v>63</v>
      </c>
      <c r="G16" s="265" t="s">
        <v>63</v>
      </c>
      <c r="H16" s="266" t="s">
        <v>63</v>
      </c>
      <c r="I16" s="267" t="s">
        <v>63</v>
      </c>
      <c r="J16" s="268" t="s">
        <v>63</v>
      </c>
      <c r="K16" s="284" t="s">
        <v>63</v>
      </c>
      <c r="L16" s="264" t="s">
        <v>63</v>
      </c>
      <c r="M16" s="267" t="s">
        <v>63</v>
      </c>
      <c r="N16" s="265" t="s">
        <v>63</v>
      </c>
      <c r="O16" s="265" t="s">
        <v>63</v>
      </c>
      <c r="P16" s="272">
        <f>ifna(vlookup(A16,'Population &amp; Church Numbers'!$A$2956:$D$2994,4,FALSE),"NULL")</f>
        <v>75</v>
      </c>
      <c r="Q16" s="334" t="s">
        <v>63</v>
      </c>
    </row>
    <row r="17">
      <c r="A17" s="326" t="s">
        <v>2314</v>
      </c>
      <c r="B17" s="251">
        <f t="array" ref="B17">VLOOKUP($A17,WA_DEMO,2,FALSE)</f>
        <v>86857</v>
      </c>
      <c r="C17" s="252" t="s">
        <v>63</v>
      </c>
      <c r="D17" s="253" t="s">
        <v>63</v>
      </c>
      <c r="E17" s="253" t="s">
        <v>63</v>
      </c>
      <c r="F17" s="253" t="s">
        <v>63</v>
      </c>
      <c r="G17" s="253" t="s">
        <v>63</v>
      </c>
      <c r="H17" s="254" t="s">
        <v>63</v>
      </c>
      <c r="I17" s="255" t="s">
        <v>63</v>
      </c>
      <c r="J17" s="256" t="s">
        <v>63</v>
      </c>
      <c r="K17" s="274" t="s">
        <v>63</v>
      </c>
      <c r="L17" s="252" t="s">
        <v>63</v>
      </c>
      <c r="M17" s="255" t="s">
        <v>63</v>
      </c>
      <c r="N17" s="253" t="s">
        <v>63</v>
      </c>
      <c r="O17" s="253" t="s">
        <v>63</v>
      </c>
      <c r="P17" s="261">
        <f>ifna(vlookup(A17,'Population &amp; Church Numbers'!$A$2956:$D$2994,4,FALSE),"NULL")</f>
        <v>51</v>
      </c>
      <c r="Q17" s="329" t="s">
        <v>63</v>
      </c>
    </row>
    <row r="18">
      <c r="A18" s="188" t="s">
        <v>143</v>
      </c>
      <c r="B18" s="189">
        <f t="array" ref="B18">VLOOKUP($A18,WA_DEMO,2,FALSE)</f>
        <v>32977</v>
      </c>
      <c r="C18" s="264" t="s">
        <v>63</v>
      </c>
      <c r="D18" s="265" t="s">
        <v>63</v>
      </c>
      <c r="E18" s="265" t="s">
        <v>63</v>
      </c>
      <c r="F18" s="265" t="s">
        <v>63</v>
      </c>
      <c r="G18" s="265" t="s">
        <v>63</v>
      </c>
      <c r="H18" s="266" t="s">
        <v>63</v>
      </c>
      <c r="I18" s="267" t="s">
        <v>63</v>
      </c>
      <c r="J18" s="268" t="s">
        <v>63</v>
      </c>
      <c r="K18" s="284" t="s">
        <v>63</v>
      </c>
      <c r="L18" s="264" t="s">
        <v>63</v>
      </c>
      <c r="M18" s="267" t="s">
        <v>63</v>
      </c>
      <c r="N18" s="265" t="s">
        <v>63</v>
      </c>
      <c r="O18" s="265" t="s">
        <v>63</v>
      </c>
      <c r="P18" s="272">
        <f>ifna(vlookup(A18,'Population &amp; Church Numbers'!$A$2956:$D$2994,4,FALSE),"NULL")</f>
        <v>24</v>
      </c>
      <c r="Q18" s="334" t="s">
        <v>63</v>
      </c>
    </row>
    <row r="19">
      <c r="A19" s="326" t="s">
        <v>255</v>
      </c>
      <c r="B19" s="251">
        <f t="array" ref="B19">VLOOKUP($A19,WA_DEMO,2,FALSE)</f>
        <v>2269675</v>
      </c>
      <c r="C19" s="252" t="s">
        <v>63</v>
      </c>
      <c r="D19" s="253" t="s">
        <v>63</v>
      </c>
      <c r="E19" s="253" t="s">
        <v>63</v>
      </c>
      <c r="F19" s="253" t="s">
        <v>63</v>
      </c>
      <c r="G19" s="253" t="s">
        <v>63</v>
      </c>
      <c r="H19" s="254" t="s">
        <v>63</v>
      </c>
      <c r="I19" s="255" t="s">
        <v>63</v>
      </c>
      <c r="J19" s="256" t="s">
        <v>63</v>
      </c>
      <c r="K19" s="274" t="s">
        <v>63</v>
      </c>
      <c r="L19" s="252" t="s">
        <v>63</v>
      </c>
      <c r="M19" s="255" t="s">
        <v>63</v>
      </c>
      <c r="N19" s="253" t="s">
        <v>63</v>
      </c>
      <c r="O19" s="253" t="s">
        <v>63</v>
      </c>
      <c r="P19" s="261">
        <f>ifna(vlookup(A19,'Population &amp; Church Numbers'!$A$2956:$D$2994,4,FALSE),"NULL")</f>
        <v>828</v>
      </c>
      <c r="Q19" s="329" t="s">
        <v>63</v>
      </c>
    </row>
    <row r="20">
      <c r="A20" s="188" t="s">
        <v>2315</v>
      </c>
      <c r="B20" s="189">
        <f t="array" ref="B20">VLOOKUP($A20,WA_DEMO,2,FALSE)</f>
        <v>275611</v>
      </c>
      <c r="C20" s="264" t="s">
        <v>63</v>
      </c>
      <c r="D20" s="265" t="s">
        <v>63</v>
      </c>
      <c r="E20" s="265" t="s">
        <v>63</v>
      </c>
      <c r="F20" s="265" t="s">
        <v>63</v>
      </c>
      <c r="G20" s="265" t="s">
        <v>63</v>
      </c>
      <c r="H20" s="266" t="s">
        <v>63</v>
      </c>
      <c r="I20" s="267" t="s">
        <v>63</v>
      </c>
      <c r="J20" s="268" t="s">
        <v>63</v>
      </c>
      <c r="K20" s="284" t="s">
        <v>63</v>
      </c>
      <c r="L20" s="264" t="s">
        <v>63</v>
      </c>
      <c r="M20" s="267" t="s">
        <v>63</v>
      </c>
      <c r="N20" s="265" t="s">
        <v>63</v>
      </c>
      <c r="O20" s="265" t="s">
        <v>63</v>
      </c>
      <c r="P20" s="272">
        <f>ifna(vlookup(A20,'Population &amp; Church Numbers'!$A$2956:$D$2994,4,FALSE),"NULL")</f>
        <v>151</v>
      </c>
      <c r="Q20" s="334" t="s">
        <v>63</v>
      </c>
    </row>
    <row r="21">
      <c r="A21" s="326" t="s">
        <v>2316</v>
      </c>
      <c r="B21" s="251">
        <f t="array" ref="B21">VLOOKUP($A21,WA_DEMO,2,FALSE)</f>
        <v>44337</v>
      </c>
      <c r="C21" s="252" t="s">
        <v>63</v>
      </c>
      <c r="D21" s="253" t="s">
        <v>63</v>
      </c>
      <c r="E21" s="253" t="s">
        <v>63</v>
      </c>
      <c r="F21" s="253" t="s">
        <v>63</v>
      </c>
      <c r="G21" s="253" t="s">
        <v>63</v>
      </c>
      <c r="H21" s="254" t="s">
        <v>63</v>
      </c>
      <c r="I21" s="255" t="s">
        <v>63</v>
      </c>
      <c r="J21" s="256" t="s">
        <v>63</v>
      </c>
      <c r="K21" s="274" t="s">
        <v>63</v>
      </c>
      <c r="L21" s="252" t="s">
        <v>63</v>
      </c>
      <c r="M21" s="255" t="s">
        <v>63</v>
      </c>
      <c r="N21" s="253" t="s">
        <v>63</v>
      </c>
      <c r="O21" s="253" t="s">
        <v>63</v>
      </c>
      <c r="P21" s="261">
        <f>ifna(vlookup(A21,'Population &amp; Church Numbers'!$A$2956:$D$2994,4,FALSE),"NULL")</f>
        <v>32</v>
      </c>
      <c r="Q21" s="329" t="s">
        <v>63</v>
      </c>
    </row>
    <row r="22">
      <c r="A22" s="188" t="s">
        <v>2317</v>
      </c>
      <c r="B22" s="189">
        <f t="array" ref="B22">VLOOKUP($A22,WA_DEMO,2,FALSE)</f>
        <v>22735</v>
      </c>
      <c r="C22" s="264" t="s">
        <v>63</v>
      </c>
      <c r="D22" s="265" t="s">
        <v>63</v>
      </c>
      <c r="E22" s="265" t="s">
        <v>63</v>
      </c>
      <c r="F22" s="265" t="s">
        <v>63</v>
      </c>
      <c r="G22" s="265" t="s">
        <v>63</v>
      </c>
      <c r="H22" s="266" t="s">
        <v>63</v>
      </c>
      <c r="I22" s="267" t="s">
        <v>63</v>
      </c>
      <c r="J22" s="268" t="s">
        <v>63</v>
      </c>
      <c r="K22" s="284" t="s">
        <v>63</v>
      </c>
      <c r="L22" s="264" t="s">
        <v>63</v>
      </c>
      <c r="M22" s="267" t="s">
        <v>63</v>
      </c>
      <c r="N22" s="265" t="s">
        <v>63</v>
      </c>
      <c r="O22" s="265" t="s">
        <v>63</v>
      </c>
      <c r="P22" s="272">
        <f>ifna(vlookup(A22,'Population &amp; Church Numbers'!$A$2956:$D$2994,4,FALSE),"NULL")</f>
        <v>28</v>
      </c>
      <c r="Q22" s="334" t="s">
        <v>63</v>
      </c>
    </row>
    <row r="23">
      <c r="A23" s="326" t="s">
        <v>682</v>
      </c>
      <c r="B23" s="251">
        <f t="array" ref="B23">VLOOKUP($A23,WA_DEMO,2,FALSE)</f>
        <v>82149</v>
      </c>
      <c r="C23" s="252" t="s">
        <v>63</v>
      </c>
      <c r="D23" s="253" t="s">
        <v>63</v>
      </c>
      <c r="E23" s="253" t="s">
        <v>63</v>
      </c>
      <c r="F23" s="253" t="s">
        <v>63</v>
      </c>
      <c r="G23" s="253" t="s">
        <v>63</v>
      </c>
      <c r="H23" s="254" t="s">
        <v>63</v>
      </c>
      <c r="I23" s="255" t="s">
        <v>63</v>
      </c>
      <c r="J23" s="256" t="s">
        <v>63</v>
      </c>
      <c r="K23" s="274" t="s">
        <v>63</v>
      </c>
      <c r="L23" s="252" t="s">
        <v>63</v>
      </c>
      <c r="M23" s="255" t="s">
        <v>63</v>
      </c>
      <c r="N23" s="253" t="s">
        <v>63</v>
      </c>
      <c r="O23" s="253" t="s">
        <v>63</v>
      </c>
      <c r="P23" s="261">
        <f>ifna(vlookup(A23,'Population &amp; Church Numbers'!$A$2956:$D$2994,4,FALSE),"NULL")</f>
        <v>77</v>
      </c>
      <c r="Q23" s="329" t="s">
        <v>63</v>
      </c>
    </row>
    <row r="24">
      <c r="A24" s="188" t="s">
        <v>290</v>
      </c>
      <c r="B24" s="189">
        <f t="array" ref="B24">VLOOKUP($A24,WA_DEMO,2,FALSE)</f>
        <v>10876</v>
      </c>
      <c r="C24" s="264" t="s">
        <v>63</v>
      </c>
      <c r="D24" s="265" t="s">
        <v>63</v>
      </c>
      <c r="E24" s="265" t="s">
        <v>63</v>
      </c>
      <c r="F24" s="265" t="s">
        <v>63</v>
      </c>
      <c r="G24" s="265" t="s">
        <v>63</v>
      </c>
      <c r="H24" s="266" t="s">
        <v>63</v>
      </c>
      <c r="I24" s="267" t="s">
        <v>63</v>
      </c>
      <c r="J24" s="268" t="s">
        <v>63</v>
      </c>
      <c r="K24" s="284" t="s">
        <v>63</v>
      </c>
      <c r="L24" s="264" t="s">
        <v>63</v>
      </c>
      <c r="M24" s="267" t="s">
        <v>63</v>
      </c>
      <c r="N24" s="265" t="s">
        <v>63</v>
      </c>
      <c r="O24" s="265" t="s">
        <v>63</v>
      </c>
      <c r="P24" s="272">
        <f>ifna(vlookup(A24,'Population &amp; Church Numbers'!$A$2956:$D$2994,4,FALSE),"NULL")</f>
        <v>29</v>
      </c>
      <c r="Q24" s="334" t="s">
        <v>63</v>
      </c>
    </row>
    <row r="25">
      <c r="A25" s="326" t="s">
        <v>735</v>
      </c>
      <c r="B25" s="251">
        <f t="array" ref="B25">VLOOKUP($A25,WA_DEMO,2,FALSE)</f>
        <v>65726</v>
      </c>
      <c r="C25" s="252" t="s">
        <v>63</v>
      </c>
      <c r="D25" s="253" t="s">
        <v>63</v>
      </c>
      <c r="E25" s="253" t="s">
        <v>63</v>
      </c>
      <c r="F25" s="253" t="s">
        <v>63</v>
      </c>
      <c r="G25" s="253" t="s">
        <v>63</v>
      </c>
      <c r="H25" s="254" t="s">
        <v>63</v>
      </c>
      <c r="I25" s="255" t="s">
        <v>63</v>
      </c>
      <c r="J25" s="256" t="s">
        <v>63</v>
      </c>
      <c r="K25" s="274" t="s">
        <v>63</v>
      </c>
      <c r="L25" s="252" t="s">
        <v>63</v>
      </c>
      <c r="M25" s="255" t="s">
        <v>63</v>
      </c>
      <c r="N25" s="253" t="s">
        <v>63</v>
      </c>
      <c r="O25" s="253" t="s">
        <v>63</v>
      </c>
      <c r="P25" s="261">
        <f>ifna(vlookup(A25,'Population &amp; Church Numbers'!$A$2956:$D$2994,4,FALSE),"NULL")</f>
        <v>42</v>
      </c>
      <c r="Q25" s="329" t="s">
        <v>63</v>
      </c>
    </row>
    <row r="26">
      <c r="A26" s="188" t="s">
        <v>2318</v>
      </c>
      <c r="B26" s="189">
        <f t="array" ref="B26">VLOOKUP($A26,WA_DEMO,2,FALSE)</f>
        <v>42104</v>
      </c>
      <c r="C26" s="264" t="s">
        <v>63</v>
      </c>
      <c r="D26" s="265" t="s">
        <v>63</v>
      </c>
      <c r="E26" s="265" t="s">
        <v>63</v>
      </c>
      <c r="F26" s="265" t="s">
        <v>63</v>
      </c>
      <c r="G26" s="265" t="s">
        <v>63</v>
      </c>
      <c r="H26" s="266" t="s">
        <v>63</v>
      </c>
      <c r="I26" s="267" t="s">
        <v>63</v>
      </c>
      <c r="J26" s="268" t="s">
        <v>63</v>
      </c>
      <c r="K26" s="284" t="s">
        <v>63</v>
      </c>
      <c r="L26" s="264" t="s">
        <v>63</v>
      </c>
      <c r="M26" s="267" t="s">
        <v>63</v>
      </c>
      <c r="N26" s="265" t="s">
        <v>63</v>
      </c>
      <c r="O26" s="265" t="s">
        <v>63</v>
      </c>
      <c r="P26" s="272">
        <f>ifna(vlookup(A26,'Population &amp; Church Numbers'!$A$2956:$D$2994,4,FALSE),"NULL")</f>
        <v>56</v>
      </c>
      <c r="Q26" s="334" t="s">
        <v>63</v>
      </c>
    </row>
    <row r="27">
      <c r="A27" s="326" t="s">
        <v>2319</v>
      </c>
      <c r="B27" s="251">
        <f t="array" ref="B27">VLOOKUP($A27,WA_DEMO,2,FALSE)</f>
        <v>23365</v>
      </c>
      <c r="C27" s="252" t="s">
        <v>63</v>
      </c>
      <c r="D27" s="253" t="s">
        <v>63</v>
      </c>
      <c r="E27" s="253" t="s">
        <v>63</v>
      </c>
      <c r="F27" s="253" t="s">
        <v>63</v>
      </c>
      <c r="G27" s="253" t="s">
        <v>63</v>
      </c>
      <c r="H27" s="254" t="s">
        <v>63</v>
      </c>
      <c r="I27" s="255" t="s">
        <v>63</v>
      </c>
      <c r="J27" s="256" t="s">
        <v>63</v>
      </c>
      <c r="K27" s="274" t="s">
        <v>63</v>
      </c>
      <c r="L27" s="252" t="s">
        <v>63</v>
      </c>
      <c r="M27" s="255" t="s">
        <v>63</v>
      </c>
      <c r="N27" s="253" t="s">
        <v>63</v>
      </c>
      <c r="O27" s="253" t="s">
        <v>63</v>
      </c>
      <c r="P27" s="261">
        <f>ifna(vlookup(A27,'Population &amp; Church Numbers'!$A$2956:$D$2994,4,FALSE),"NULL")</f>
        <v>31</v>
      </c>
      <c r="Q27" s="329" t="s">
        <v>63</v>
      </c>
    </row>
    <row r="28">
      <c r="A28" s="188" t="s">
        <v>2320</v>
      </c>
      <c r="B28" s="189">
        <f t="array" ref="B28">VLOOKUP($A28,WA_DEMO,2,FALSE)</f>
        <v>13401</v>
      </c>
      <c r="C28" s="264" t="s">
        <v>63</v>
      </c>
      <c r="D28" s="265" t="s">
        <v>63</v>
      </c>
      <c r="E28" s="265" t="s">
        <v>63</v>
      </c>
      <c r="F28" s="265" t="s">
        <v>63</v>
      </c>
      <c r="G28" s="265" t="s">
        <v>63</v>
      </c>
      <c r="H28" s="266" t="s">
        <v>63</v>
      </c>
      <c r="I28" s="267" t="s">
        <v>63</v>
      </c>
      <c r="J28" s="268" t="s">
        <v>63</v>
      </c>
      <c r="K28" s="284" t="s">
        <v>63</v>
      </c>
      <c r="L28" s="264" t="s">
        <v>63</v>
      </c>
      <c r="M28" s="267" t="s">
        <v>63</v>
      </c>
      <c r="N28" s="265" t="s">
        <v>63</v>
      </c>
      <c r="O28" s="265" t="s">
        <v>63</v>
      </c>
      <c r="P28" s="272">
        <f>ifna(vlookup(A28,'Population &amp; Church Numbers'!$A$2956:$D$2994,4,FALSE),"NULL")</f>
        <v>15</v>
      </c>
      <c r="Q28" s="334" t="s">
        <v>63</v>
      </c>
    </row>
    <row r="29">
      <c r="A29" s="326" t="s">
        <v>473</v>
      </c>
      <c r="B29" s="251">
        <f t="array" ref="B29">VLOOKUP($A29,WA_DEMO,2,FALSE)</f>
        <v>921130</v>
      </c>
      <c r="C29" s="252" t="s">
        <v>63</v>
      </c>
      <c r="D29" s="253" t="s">
        <v>63</v>
      </c>
      <c r="E29" s="253" t="s">
        <v>63</v>
      </c>
      <c r="F29" s="253" t="s">
        <v>63</v>
      </c>
      <c r="G29" s="253" t="s">
        <v>63</v>
      </c>
      <c r="H29" s="254" t="s">
        <v>63</v>
      </c>
      <c r="I29" s="255" t="s">
        <v>63</v>
      </c>
      <c r="J29" s="256" t="s">
        <v>63</v>
      </c>
      <c r="K29" s="274" t="s">
        <v>63</v>
      </c>
      <c r="L29" s="252" t="s">
        <v>63</v>
      </c>
      <c r="M29" s="255" t="s">
        <v>63</v>
      </c>
      <c r="N29" s="253" t="s">
        <v>63</v>
      </c>
      <c r="O29" s="253" t="s">
        <v>63</v>
      </c>
      <c r="P29" s="261">
        <f>ifna(vlookup(A29,'Population &amp; Church Numbers'!$A$2956:$D$2994,4,FALSE),"NULL")</f>
        <v>426</v>
      </c>
      <c r="Q29" s="329" t="s">
        <v>63</v>
      </c>
    </row>
    <row r="30">
      <c r="A30" s="188" t="s">
        <v>457</v>
      </c>
      <c r="B30" s="189">
        <f t="array" ref="B30">VLOOKUP($A30,WA_DEMO,2,FALSE)</f>
        <v>17788</v>
      </c>
      <c r="C30" s="264" t="s">
        <v>63</v>
      </c>
      <c r="D30" s="265" t="s">
        <v>63</v>
      </c>
      <c r="E30" s="265" t="s">
        <v>63</v>
      </c>
      <c r="F30" s="265" t="s">
        <v>63</v>
      </c>
      <c r="G30" s="265" t="s">
        <v>63</v>
      </c>
      <c r="H30" s="266" t="s">
        <v>63</v>
      </c>
      <c r="I30" s="267" t="s">
        <v>63</v>
      </c>
      <c r="J30" s="268" t="s">
        <v>63</v>
      </c>
      <c r="K30" s="284" t="s">
        <v>63</v>
      </c>
      <c r="L30" s="264" t="s">
        <v>63</v>
      </c>
      <c r="M30" s="267" t="s">
        <v>63</v>
      </c>
      <c r="N30" s="265" t="s">
        <v>63</v>
      </c>
      <c r="O30" s="265" t="s">
        <v>63</v>
      </c>
      <c r="P30" s="272">
        <f>ifna(vlookup(A30,'Population &amp; Church Numbers'!$A$2956:$D$2994,4,FALSE),"NULL")</f>
        <v>10</v>
      </c>
      <c r="Q30" s="334" t="s">
        <v>63</v>
      </c>
    </row>
    <row r="31">
      <c r="A31" s="326" t="s">
        <v>2321</v>
      </c>
      <c r="B31" s="251">
        <f t="array" ref="B31">VLOOKUP($A31,WA_DEMO,2,FALSE)</f>
        <v>129523</v>
      </c>
      <c r="C31" s="252" t="s">
        <v>63</v>
      </c>
      <c r="D31" s="253" t="s">
        <v>63</v>
      </c>
      <c r="E31" s="253" t="s">
        <v>63</v>
      </c>
      <c r="F31" s="253" t="s">
        <v>63</v>
      </c>
      <c r="G31" s="253" t="s">
        <v>63</v>
      </c>
      <c r="H31" s="254" t="s">
        <v>63</v>
      </c>
      <c r="I31" s="255" t="s">
        <v>63</v>
      </c>
      <c r="J31" s="256" t="s">
        <v>63</v>
      </c>
      <c r="K31" s="274" t="s">
        <v>63</v>
      </c>
      <c r="L31" s="252" t="s">
        <v>63</v>
      </c>
      <c r="M31" s="255" t="s">
        <v>63</v>
      </c>
      <c r="N31" s="253" t="s">
        <v>63</v>
      </c>
      <c r="O31" s="253" t="s">
        <v>63</v>
      </c>
      <c r="P31" s="261">
        <f>ifna(vlookup(A31,'Population &amp; Church Numbers'!$A$2956:$D$2994,4,FALSE),"NULL")</f>
        <v>90</v>
      </c>
      <c r="Q31" s="329" t="s">
        <v>63</v>
      </c>
    </row>
    <row r="32">
      <c r="A32" s="188" t="s">
        <v>2322</v>
      </c>
      <c r="B32" s="189">
        <f t="array" ref="B32">VLOOKUP($A32,WA_DEMO,2,FALSE)</f>
        <v>12036</v>
      </c>
      <c r="C32" s="264" t="s">
        <v>63</v>
      </c>
      <c r="D32" s="265" t="s">
        <v>63</v>
      </c>
      <c r="E32" s="265" t="s">
        <v>63</v>
      </c>
      <c r="F32" s="265" t="s">
        <v>63</v>
      </c>
      <c r="G32" s="265" t="s">
        <v>63</v>
      </c>
      <c r="H32" s="266" t="s">
        <v>63</v>
      </c>
      <c r="I32" s="267" t="s">
        <v>63</v>
      </c>
      <c r="J32" s="268" t="s">
        <v>63</v>
      </c>
      <c r="K32" s="284" t="s">
        <v>63</v>
      </c>
      <c r="L32" s="264" t="s">
        <v>63</v>
      </c>
      <c r="M32" s="267" t="s">
        <v>63</v>
      </c>
      <c r="N32" s="265" t="s">
        <v>63</v>
      </c>
      <c r="O32" s="265" t="s">
        <v>63</v>
      </c>
      <c r="P32" s="272">
        <f>ifna(vlookup(A32,'Population &amp; Church Numbers'!$A$2956:$D$2994,4,FALSE),"NULL")</f>
        <v>11</v>
      </c>
      <c r="Q32" s="334" t="s">
        <v>63</v>
      </c>
    </row>
    <row r="33">
      <c r="A33" s="326" t="s">
        <v>507</v>
      </c>
      <c r="B33" s="251">
        <f t="array" ref="B33">VLOOKUP($A33,WA_DEMO,2,FALSE)</f>
        <v>827957</v>
      </c>
      <c r="C33" s="252" t="s">
        <v>63</v>
      </c>
      <c r="D33" s="253" t="s">
        <v>63</v>
      </c>
      <c r="E33" s="253" t="s">
        <v>63</v>
      </c>
      <c r="F33" s="253" t="s">
        <v>63</v>
      </c>
      <c r="G33" s="253" t="s">
        <v>63</v>
      </c>
      <c r="H33" s="254" t="s">
        <v>63</v>
      </c>
      <c r="I33" s="255" t="s">
        <v>63</v>
      </c>
      <c r="J33" s="256" t="s">
        <v>63</v>
      </c>
      <c r="K33" s="274" t="s">
        <v>63</v>
      </c>
      <c r="L33" s="252" t="s">
        <v>63</v>
      </c>
      <c r="M33" s="255" t="s">
        <v>63</v>
      </c>
      <c r="N33" s="253" t="s">
        <v>63</v>
      </c>
      <c r="O33" s="253" t="s">
        <v>63</v>
      </c>
      <c r="P33" s="261">
        <f>ifna(vlookup(A33,'Population &amp; Church Numbers'!$A$2956:$D$2994,4,FALSE),"NULL")</f>
        <v>321</v>
      </c>
      <c r="Q33" s="329" t="s">
        <v>63</v>
      </c>
    </row>
    <row r="34">
      <c r="A34" s="188" t="s">
        <v>2323</v>
      </c>
      <c r="B34" s="189">
        <f t="array" ref="B34">VLOOKUP($A34,WA_DEMO,2,FALSE)</f>
        <v>539339</v>
      </c>
      <c r="C34" s="264" t="s">
        <v>63</v>
      </c>
      <c r="D34" s="265" t="s">
        <v>63</v>
      </c>
      <c r="E34" s="265" t="s">
        <v>63</v>
      </c>
      <c r="F34" s="265" t="s">
        <v>63</v>
      </c>
      <c r="G34" s="265" t="s">
        <v>63</v>
      </c>
      <c r="H34" s="266" t="s">
        <v>63</v>
      </c>
      <c r="I34" s="267" t="s">
        <v>63</v>
      </c>
      <c r="J34" s="268" t="s">
        <v>63</v>
      </c>
      <c r="K34" s="284" t="s">
        <v>63</v>
      </c>
      <c r="L34" s="264" t="s">
        <v>63</v>
      </c>
      <c r="M34" s="267" t="s">
        <v>63</v>
      </c>
      <c r="N34" s="265" t="s">
        <v>63</v>
      </c>
      <c r="O34" s="265" t="s">
        <v>63</v>
      </c>
      <c r="P34" s="272">
        <f>ifna(vlookup(A34,'Population &amp; Church Numbers'!$A$2956:$D$2994,4,FALSE),"NULL")</f>
        <v>283</v>
      </c>
      <c r="Q34" s="334" t="s">
        <v>63</v>
      </c>
    </row>
    <row r="35">
      <c r="A35" s="326" t="s">
        <v>1015</v>
      </c>
      <c r="B35" s="251">
        <f t="array" ref="B35">VLOOKUP($A35,WA_DEMO,2,FALSE)</f>
        <v>46445</v>
      </c>
      <c r="C35" s="252" t="s">
        <v>63</v>
      </c>
      <c r="D35" s="253" t="s">
        <v>63</v>
      </c>
      <c r="E35" s="253" t="s">
        <v>63</v>
      </c>
      <c r="F35" s="253" t="s">
        <v>63</v>
      </c>
      <c r="G35" s="253" t="s">
        <v>63</v>
      </c>
      <c r="H35" s="254" t="s">
        <v>63</v>
      </c>
      <c r="I35" s="255" t="s">
        <v>63</v>
      </c>
      <c r="J35" s="256" t="s">
        <v>63</v>
      </c>
      <c r="K35" s="274" t="s">
        <v>63</v>
      </c>
      <c r="L35" s="252" t="s">
        <v>63</v>
      </c>
      <c r="M35" s="255" t="s">
        <v>63</v>
      </c>
      <c r="N35" s="253" t="s">
        <v>63</v>
      </c>
      <c r="O35" s="253" t="s">
        <v>63</v>
      </c>
      <c r="P35" s="261">
        <f>ifna(vlookup(A35,'Population &amp; Church Numbers'!$A$2956:$D$2994,4,FALSE),"NULL")</f>
        <v>45</v>
      </c>
      <c r="Q35" s="329" t="s">
        <v>63</v>
      </c>
    </row>
    <row r="36">
      <c r="A36" s="188" t="s">
        <v>1505</v>
      </c>
      <c r="B36" s="189">
        <f t="array" ref="B36">VLOOKUP($A36,WA_DEMO,2,FALSE)</f>
        <v>294793</v>
      </c>
      <c r="C36" s="264" t="s">
        <v>63</v>
      </c>
      <c r="D36" s="265" t="s">
        <v>63</v>
      </c>
      <c r="E36" s="265" t="s">
        <v>63</v>
      </c>
      <c r="F36" s="265" t="s">
        <v>63</v>
      </c>
      <c r="G36" s="265" t="s">
        <v>63</v>
      </c>
      <c r="H36" s="266" t="s">
        <v>63</v>
      </c>
      <c r="I36" s="267" t="s">
        <v>63</v>
      </c>
      <c r="J36" s="268" t="s">
        <v>63</v>
      </c>
      <c r="K36" s="284" t="s">
        <v>63</v>
      </c>
      <c r="L36" s="264" t="s">
        <v>63</v>
      </c>
      <c r="M36" s="267" t="s">
        <v>63</v>
      </c>
      <c r="N36" s="265" t="s">
        <v>63</v>
      </c>
      <c r="O36" s="265" t="s">
        <v>63</v>
      </c>
      <c r="P36" s="272">
        <f>ifna(vlookup(A36,'Population &amp; Church Numbers'!$A$2956:$D$2994,4,FALSE),"NULL")</f>
        <v>124</v>
      </c>
      <c r="Q36" s="334" t="s">
        <v>63</v>
      </c>
    </row>
    <row r="37">
      <c r="A37" s="326" t="s">
        <v>2324</v>
      </c>
      <c r="B37" s="251">
        <f t="array" ref="B37">VLOOKUP($A37,WA_DEMO,2,FALSE)</f>
        <v>4422</v>
      </c>
      <c r="C37" s="252" t="s">
        <v>63</v>
      </c>
      <c r="D37" s="253" t="s">
        <v>63</v>
      </c>
      <c r="E37" s="253" t="s">
        <v>63</v>
      </c>
      <c r="F37" s="253" t="s">
        <v>63</v>
      </c>
      <c r="G37" s="253" t="s">
        <v>63</v>
      </c>
      <c r="H37" s="254" t="s">
        <v>63</v>
      </c>
      <c r="I37" s="255" t="s">
        <v>63</v>
      </c>
      <c r="J37" s="256" t="s">
        <v>63</v>
      </c>
      <c r="K37" s="274" t="s">
        <v>63</v>
      </c>
      <c r="L37" s="252" t="s">
        <v>63</v>
      </c>
      <c r="M37" s="255" t="s">
        <v>63</v>
      </c>
      <c r="N37" s="253" t="s">
        <v>63</v>
      </c>
      <c r="O37" s="253" t="s">
        <v>63</v>
      </c>
      <c r="P37" s="261">
        <f>ifna(vlookup(A37,'Population &amp; Church Numbers'!$A$2956:$D$2994,4,FALSE),"NULL")</f>
        <v>7</v>
      </c>
      <c r="Q37" s="329" t="s">
        <v>63</v>
      </c>
    </row>
    <row r="38">
      <c r="A38" s="188" t="s">
        <v>2325</v>
      </c>
      <c r="B38" s="189">
        <f t="array" ref="B38">VLOOKUP($A38,WA_DEMO,2,FALSE)</f>
        <v>62584</v>
      </c>
      <c r="C38" s="264" t="s">
        <v>63</v>
      </c>
      <c r="D38" s="265" t="s">
        <v>63</v>
      </c>
      <c r="E38" s="265" t="s">
        <v>63</v>
      </c>
      <c r="F38" s="265" t="s">
        <v>63</v>
      </c>
      <c r="G38" s="265" t="s">
        <v>63</v>
      </c>
      <c r="H38" s="266" t="s">
        <v>63</v>
      </c>
      <c r="I38" s="267" t="s">
        <v>63</v>
      </c>
      <c r="J38" s="268" t="s">
        <v>63</v>
      </c>
      <c r="K38" s="284" t="s">
        <v>63</v>
      </c>
      <c r="L38" s="264" t="s">
        <v>63</v>
      </c>
      <c r="M38" s="267" t="s">
        <v>63</v>
      </c>
      <c r="N38" s="265" t="s">
        <v>63</v>
      </c>
      <c r="O38" s="265" t="s">
        <v>63</v>
      </c>
      <c r="P38" s="272">
        <f>ifna(vlookup(A38,'Population &amp; Church Numbers'!$A$2956:$D$2994,4,FALSE),"NULL")</f>
        <v>41</v>
      </c>
      <c r="Q38" s="334" t="s">
        <v>63</v>
      </c>
    </row>
    <row r="39">
      <c r="A39" s="326" t="s">
        <v>2326</v>
      </c>
      <c r="B39" s="251">
        <f t="array" ref="B39">VLOOKUP($A39,WA_DEMO,2,FALSE)</f>
        <v>226847</v>
      </c>
      <c r="C39" s="252" t="s">
        <v>63</v>
      </c>
      <c r="D39" s="253" t="s">
        <v>63</v>
      </c>
      <c r="E39" s="253" t="s">
        <v>63</v>
      </c>
      <c r="F39" s="253" t="s">
        <v>63</v>
      </c>
      <c r="G39" s="253" t="s">
        <v>63</v>
      </c>
      <c r="H39" s="254" t="s">
        <v>63</v>
      </c>
      <c r="I39" s="255" t="s">
        <v>63</v>
      </c>
      <c r="J39" s="256" t="s">
        <v>63</v>
      </c>
      <c r="K39" s="274" t="s">
        <v>63</v>
      </c>
      <c r="L39" s="252" t="s">
        <v>63</v>
      </c>
      <c r="M39" s="255" t="s">
        <v>63</v>
      </c>
      <c r="N39" s="253" t="s">
        <v>63</v>
      </c>
      <c r="O39" s="253" t="s">
        <v>63</v>
      </c>
      <c r="P39" s="261">
        <f>ifna(vlookup(A39,'Population &amp; Church Numbers'!$A$2956:$D$2994,4,FALSE),"NULL")</f>
        <v>129</v>
      </c>
      <c r="Q39" s="329" t="s">
        <v>63</v>
      </c>
    </row>
    <row r="40">
      <c r="A40" s="188" t="s">
        <v>2327</v>
      </c>
      <c r="B40" s="189">
        <f t="array" ref="B40">VLOOKUP($A40,WA_DEMO,2,FALSE)</f>
        <v>47973</v>
      </c>
      <c r="C40" s="264" t="s">
        <v>63</v>
      </c>
      <c r="D40" s="265" t="s">
        <v>63</v>
      </c>
      <c r="E40" s="265" t="s">
        <v>63</v>
      </c>
      <c r="F40" s="265" t="s">
        <v>63</v>
      </c>
      <c r="G40" s="265" t="s">
        <v>63</v>
      </c>
      <c r="H40" s="266" t="s">
        <v>63</v>
      </c>
      <c r="I40" s="267" t="s">
        <v>63</v>
      </c>
      <c r="J40" s="268" t="s">
        <v>63</v>
      </c>
      <c r="K40" s="284" t="s">
        <v>63</v>
      </c>
      <c r="L40" s="264" t="s">
        <v>63</v>
      </c>
      <c r="M40" s="267" t="s">
        <v>63</v>
      </c>
      <c r="N40" s="265" t="s">
        <v>63</v>
      </c>
      <c r="O40" s="265" t="s">
        <v>63</v>
      </c>
      <c r="P40" s="272">
        <f>ifna(vlookup(A40,'Population &amp; Church Numbers'!$A$2956:$D$2994,4,FALSE),"NULL")</f>
        <v>49</v>
      </c>
      <c r="Q40" s="334" t="s">
        <v>63</v>
      </c>
    </row>
    <row r="41">
      <c r="A41" s="326" t="s">
        <v>2328</v>
      </c>
      <c r="B41" s="251">
        <f t="array" ref="B41">VLOOKUP($A41,WA_DEMO,2,FALSE)</f>
        <v>256728</v>
      </c>
      <c r="C41" s="252" t="s">
        <v>63</v>
      </c>
      <c r="D41" s="253" t="s">
        <v>63</v>
      </c>
      <c r="E41" s="253" t="s">
        <v>63</v>
      </c>
      <c r="F41" s="253" t="s">
        <v>63</v>
      </c>
      <c r="G41" s="253" t="s">
        <v>63</v>
      </c>
      <c r="H41" s="254" t="s">
        <v>63</v>
      </c>
      <c r="I41" s="255" t="s">
        <v>63</v>
      </c>
      <c r="J41" s="256" t="s">
        <v>63</v>
      </c>
      <c r="K41" s="274" t="s">
        <v>63</v>
      </c>
      <c r="L41" s="252" t="s">
        <v>63</v>
      </c>
      <c r="M41" s="255" t="s">
        <v>63</v>
      </c>
      <c r="N41" s="253" t="s">
        <v>63</v>
      </c>
      <c r="O41" s="253" t="s">
        <v>63</v>
      </c>
      <c r="P41" s="261">
        <f>ifna(vlookup(A41,'Population &amp; Church Numbers'!$A$2956:$D$2994,4,FALSE),"NULL")</f>
        <v>155</v>
      </c>
      <c r="Q41" s="329" t="s">
        <v>63</v>
      </c>
    </row>
    <row r="42">
      <c r="A42" s="217"/>
      <c r="B42" s="218"/>
      <c r="C42" s="219"/>
      <c r="D42" s="220"/>
      <c r="E42" s="220"/>
      <c r="F42" s="220"/>
      <c r="G42" s="220"/>
      <c r="H42" s="221"/>
      <c r="I42" s="222"/>
      <c r="J42" s="223"/>
      <c r="K42" s="219"/>
      <c r="L42" s="224"/>
      <c r="M42" s="225"/>
      <c r="N42" s="226"/>
      <c r="O42" s="220"/>
      <c r="P42" s="221"/>
      <c r="Q42" s="295"/>
    </row>
    <row r="43">
      <c r="A43" s="228" t="s">
        <v>2</v>
      </c>
      <c r="B43" s="229"/>
      <c r="C43" s="1134">
        <f>AFCARSCSC!B51</f>
        <v>8049</v>
      </c>
      <c r="D43" s="708" t="s">
        <v>63</v>
      </c>
      <c r="E43" s="708" t="s">
        <v>63</v>
      </c>
      <c r="F43" s="708" t="s">
        <v>63</v>
      </c>
      <c r="G43" s="708" t="s">
        <v>63</v>
      </c>
      <c r="H43" s="1134">
        <f>AFCARSCSC!D51</f>
        <v>4341</v>
      </c>
      <c r="I43" s="237">
        <f>AFCARSCSC!C51</f>
        <v>997</v>
      </c>
      <c r="J43" s="360" t="s">
        <v>63</v>
      </c>
      <c r="K43" s="708" t="s">
        <v>63</v>
      </c>
      <c r="L43" s="708" t="s">
        <v>63</v>
      </c>
      <c r="M43" s="708" t="s">
        <v>63</v>
      </c>
      <c r="N43" s="708" t="s">
        <v>63</v>
      </c>
      <c r="O43" s="708" t="s">
        <v>63</v>
      </c>
      <c r="P43" s="233">
        <f>SUM(P3:P41)</f>
        <v>3832</v>
      </c>
      <c r="Q43" s="691" t="s">
        <v>63</v>
      </c>
    </row>
  </sheetData>
  <autoFilter ref="$A$2:$Q$41"/>
  <mergeCells count="1">
    <mergeCell ref="B1:Q1"/>
  </mergeCells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75" t="s">
        <v>1040</v>
      </c>
      <c r="B1" s="276"/>
      <c r="C1" s="276"/>
      <c r="D1" s="276"/>
      <c r="E1" s="275" t="s">
        <v>765</v>
      </c>
      <c r="F1" s="1366" t="s">
        <v>4223</v>
      </c>
      <c r="I1" s="275" t="s">
        <v>767</v>
      </c>
      <c r="J1" s="277">
        <v>44357.0</v>
      </c>
      <c r="K1" s="275" t="s">
        <v>769</v>
      </c>
      <c r="L1" s="277">
        <v>44134.0</v>
      </c>
      <c r="M1" s="276"/>
    </row>
    <row r="3">
      <c r="A3" s="1231" t="s">
        <v>386</v>
      </c>
      <c r="B3" s="206">
        <v>20.0</v>
      </c>
    </row>
    <row r="4">
      <c r="A4" s="1231" t="s">
        <v>2308</v>
      </c>
      <c r="B4" s="206">
        <v>21.0</v>
      </c>
    </row>
    <row r="5">
      <c r="A5" s="1231" t="s">
        <v>243</v>
      </c>
      <c r="B5" s="206">
        <v>232.0</v>
      </c>
    </row>
    <row r="6">
      <c r="A6" s="1231" t="s">
        <v>2309</v>
      </c>
      <c r="B6" s="206">
        <v>71.0</v>
      </c>
    </row>
    <row r="7">
      <c r="A7" s="1231" t="s">
        <v>2310</v>
      </c>
      <c r="B7" s="206">
        <v>123.0</v>
      </c>
    </row>
    <row r="8">
      <c r="A8" s="1231" t="s">
        <v>253</v>
      </c>
      <c r="B8" s="206">
        <v>466.0</v>
      </c>
    </row>
    <row r="9">
      <c r="A9" s="1231" t="s">
        <v>258</v>
      </c>
      <c r="B9" s="206">
        <v>2.0</v>
      </c>
    </row>
    <row r="10">
      <c r="A10" s="1231" t="s">
        <v>2311</v>
      </c>
      <c r="B10" s="206">
        <v>162.0</v>
      </c>
    </row>
    <row r="11">
      <c r="A11" s="1231" t="s">
        <v>412</v>
      </c>
      <c r="B11" s="206">
        <v>59.0</v>
      </c>
    </row>
    <row r="12">
      <c r="A12" s="1231" t="s">
        <v>2312</v>
      </c>
      <c r="B12" s="206">
        <v>6.0</v>
      </c>
    </row>
    <row r="13">
      <c r="A13" s="1231" t="s">
        <v>136</v>
      </c>
      <c r="B13" s="206">
        <v>94.0</v>
      </c>
    </row>
    <row r="14">
      <c r="A14" s="1231" t="s">
        <v>417</v>
      </c>
      <c r="B14" s="206">
        <v>2.0</v>
      </c>
    </row>
    <row r="15">
      <c r="A15" s="1231" t="s">
        <v>278</v>
      </c>
      <c r="B15" s="206">
        <v>200.0</v>
      </c>
      <c r="E15" s="1" t="s">
        <v>398</v>
      </c>
    </row>
    <row r="16">
      <c r="A16" s="1231" t="s">
        <v>2313</v>
      </c>
      <c r="B16" s="206">
        <v>124.0</v>
      </c>
    </row>
    <row r="17">
      <c r="A17" s="1231" t="s">
        <v>2314</v>
      </c>
      <c r="B17" s="206">
        <v>49.0</v>
      </c>
    </row>
    <row r="18">
      <c r="A18" s="1231" t="s">
        <v>143</v>
      </c>
      <c r="B18" s="206">
        <v>12.0</v>
      </c>
    </row>
    <row r="19">
      <c r="A19" s="1231" t="s">
        <v>255</v>
      </c>
      <c r="B19" s="206">
        <v>1329.0</v>
      </c>
    </row>
    <row r="20">
      <c r="A20" s="1231" t="s">
        <v>2315</v>
      </c>
      <c r="B20" s="206">
        <v>245.0</v>
      </c>
    </row>
    <row r="21">
      <c r="A21" s="1231" t="s">
        <v>2316</v>
      </c>
      <c r="B21" s="206">
        <v>45.0</v>
      </c>
    </row>
    <row r="22">
      <c r="A22" s="1231" t="s">
        <v>2317</v>
      </c>
      <c r="B22" s="206">
        <v>34.0</v>
      </c>
    </row>
    <row r="23">
      <c r="A23" s="1231" t="s">
        <v>682</v>
      </c>
      <c r="B23" s="206">
        <v>165.0</v>
      </c>
    </row>
    <row r="24">
      <c r="A24" s="1231" t="s">
        <v>290</v>
      </c>
      <c r="B24" s="206">
        <v>9.0</v>
      </c>
    </row>
    <row r="25">
      <c r="A25" s="1231" t="s">
        <v>735</v>
      </c>
      <c r="B25" s="206">
        <v>119.0</v>
      </c>
    </row>
    <row r="26">
      <c r="A26" s="1231" t="s">
        <v>2318</v>
      </c>
      <c r="B26" s="206">
        <v>63.0</v>
      </c>
    </row>
    <row r="27">
      <c r="A27" s="1231" t="s">
        <v>2319</v>
      </c>
      <c r="B27" s="206">
        <v>50.0</v>
      </c>
    </row>
    <row r="28">
      <c r="A28" s="1231" t="s">
        <v>2320</v>
      </c>
      <c r="B28" s="206">
        <v>27.0</v>
      </c>
    </row>
    <row r="29">
      <c r="A29" s="1231" t="s">
        <v>473</v>
      </c>
      <c r="B29" s="206">
        <v>1123.0</v>
      </c>
    </row>
    <row r="30">
      <c r="A30" s="1231" t="s">
        <v>457</v>
      </c>
      <c r="B30" s="206">
        <v>5.0</v>
      </c>
    </row>
    <row r="31">
      <c r="A31" s="1231" t="s">
        <v>2321</v>
      </c>
      <c r="B31" s="206">
        <v>122.0</v>
      </c>
    </row>
    <row r="32">
      <c r="A32" s="1231" t="s">
        <v>2322</v>
      </c>
      <c r="B32" s="206">
        <v>12.0</v>
      </c>
    </row>
    <row r="33">
      <c r="A33" s="1231" t="s">
        <v>507</v>
      </c>
      <c r="B33" s="206">
        <v>614.0</v>
      </c>
    </row>
    <row r="34">
      <c r="A34" s="1231" t="s">
        <v>2323</v>
      </c>
      <c r="B34" s="206">
        <v>895.0</v>
      </c>
    </row>
    <row r="35">
      <c r="A35" s="1231" t="s">
        <v>1015</v>
      </c>
      <c r="B35" s="206">
        <v>66.0</v>
      </c>
    </row>
    <row r="36">
      <c r="A36" s="1231" t="s">
        <v>1505</v>
      </c>
      <c r="B36" s="206">
        <v>352.0</v>
      </c>
    </row>
    <row r="37">
      <c r="A37" s="1231" t="s">
        <v>2324</v>
      </c>
      <c r="B37" s="206">
        <v>6.0</v>
      </c>
    </row>
    <row r="38">
      <c r="A38" s="1231" t="s">
        <v>2325</v>
      </c>
      <c r="B38" s="206">
        <v>79.0</v>
      </c>
    </row>
    <row r="39">
      <c r="A39" s="1231" t="s">
        <v>2326</v>
      </c>
      <c r="B39" s="206">
        <v>204.0</v>
      </c>
    </row>
    <row r="40">
      <c r="A40" s="1231" t="s">
        <v>2327</v>
      </c>
      <c r="B40" s="206">
        <v>29.0</v>
      </c>
    </row>
    <row r="41">
      <c r="A41" s="1231" t="s">
        <v>2328</v>
      </c>
      <c r="B41" s="206">
        <v>280.0</v>
      </c>
    </row>
    <row r="43">
      <c r="A43" s="784" t="s">
        <v>119</v>
      </c>
      <c r="B43" s="206">
        <v>7520.0</v>
      </c>
      <c r="D43" s="1" t="s">
        <v>4224</v>
      </c>
    </row>
    <row r="50">
      <c r="A50" s="275" t="s">
        <v>792</v>
      </c>
      <c r="B50" s="276"/>
      <c r="C50" s="276"/>
      <c r="D50" s="276"/>
      <c r="E50" s="275" t="s">
        <v>765</v>
      </c>
      <c r="F50" s="276"/>
      <c r="G50" s="276"/>
      <c r="H50" s="276"/>
      <c r="I50" s="275" t="s">
        <v>767</v>
      </c>
      <c r="J50" s="276"/>
      <c r="K50" s="275" t="s">
        <v>769</v>
      </c>
      <c r="L50" s="276"/>
      <c r="M50" s="276"/>
    </row>
    <row r="100">
      <c r="A100" s="275" t="s">
        <v>852</v>
      </c>
      <c r="B100" s="276"/>
      <c r="C100" s="276"/>
      <c r="D100" s="276"/>
      <c r="E100" s="275" t="s">
        <v>765</v>
      </c>
      <c r="F100" s="276"/>
      <c r="G100" s="276"/>
      <c r="H100" s="276"/>
      <c r="I100" s="275" t="s">
        <v>767</v>
      </c>
      <c r="J100" s="276"/>
      <c r="K100" s="275" t="s">
        <v>769</v>
      </c>
      <c r="L100" s="276"/>
      <c r="M100" s="276"/>
    </row>
  </sheetData>
  <mergeCells count="1">
    <mergeCell ref="F1:H1"/>
  </mergeCells>
  <drawing r:id="rId1"/>
</worksheet>
</file>

<file path=xl/worksheets/sheet10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2" max="12" width="13.88"/>
  </cols>
  <sheetData>
    <row r="1">
      <c r="A1" s="167"/>
      <c r="B1" s="168" t="s">
        <v>120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</row>
    <row r="2">
      <c r="A2" s="169" t="s">
        <v>172</v>
      </c>
      <c r="B2" s="170" t="s">
        <v>174</v>
      </c>
      <c r="C2" s="171" t="s">
        <v>693</v>
      </c>
      <c r="D2" s="172" t="s">
        <v>694</v>
      </c>
      <c r="E2" s="172" t="s">
        <v>695</v>
      </c>
      <c r="F2" s="172" t="s">
        <v>179</v>
      </c>
      <c r="G2" s="172" t="s">
        <v>696</v>
      </c>
      <c r="H2" s="173" t="s">
        <v>697</v>
      </c>
      <c r="I2" s="174" t="s">
        <v>84</v>
      </c>
      <c r="J2" s="170" t="s">
        <v>698</v>
      </c>
      <c r="K2" s="175" t="s">
        <v>699</v>
      </c>
      <c r="L2" s="173" t="s">
        <v>89</v>
      </c>
      <c r="M2" s="176" t="s">
        <v>700</v>
      </c>
      <c r="N2" s="177" t="s">
        <v>701</v>
      </c>
      <c r="O2" s="177" t="s">
        <v>702</v>
      </c>
      <c r="P2" s="178" t="s">
        <v>90</v>
      </c>
      <c r="Q2" s="325" t="s">
        <v>703</v>
      </c>
    </row>
    <row r="3">
      <c r="A3" s="326" t="s">
        <v>62</v>
      </c>
      <c r="B3" s="251">
        <f t="array" ref="B3">VLOOKUP($A3,WV_DEMO,2,FALSE)</f>
        <v>15465</v>
      </c>
      <c r="C3" s="252">
        <f>vlookup(A3,'WV Data'!$A$3:$B$58,2,FALSE)</f>
        <v>110</v>
      </c>
      <c r="D3" s="253" t="s">
        <v>63</v>
      </c>
      <c r="E3" s="253" t="s">
        <v>63</v>
      </c>
      <c r="F3" s="253" t="s">
        <v>63</v>
      </c>
      <c r="G3" s="253" t="s">
        <v>63</v>
      </c>
      <c r="H3" s="254">
        <f>vlookup(A3,'WV Data'!$A$111:$B$168,2,FALSE)</f>
        <v>21</v>
      </c>
      <c r="I3" s="255" t="s">
        <v>63</v>
      </c>
      <c r="J3" s="256" t="s">
        <v>63</v>
      </c>
      <c r="K3" s="274" t="s">
        <v>63</v>
      </c>
      <c r="L3" s="254" t="s">
        <v>63</v>
      </c>
      <c r="M3" s="258" t="s">
        <v>63</v>
      </c>
      <c r="N3" s="253" t="s">
        <v>63</v>
      </c>
      <c r="O3" s="253" t="s">
        <v>63</v>
      </c>
      <c r="P3" s="261">
        <f>ifna(vlookup(A3,'Population &amp; Church Numbers'!$A$2995:$D$3049,4,FALSE),"NULL")</f>
        <v>22</v>
      </c>
      <c r="Q3" s="329" t="s">
        <v>63</v>
      </c>
    </row>
    <row r="4">
      <c r="A4" s="188" t="s">
        <v>1818</v>
      </c>
      <c r="B4" s="189">
        <f t="array" ref="B4">VLOOKUP($A4,WV_DEMO,2,FALSE)</f>
        <v>122076</v>
      </c>
      <c r="C4" s="264">
        <f>vlookup(A4,'WV Data'!$A$3:$B$58,2,FALSE)</f>
        <v>245</v>
      </c>
      <c r="D4" s="265" t="s">
        <v>63</v>
      </c>
      <c r="E4" s="265" t="s">
        <v>63</v>
      </c>
      <c r="F4" s="265" t="s">
        <v>63</v>
      </c>
      <c r="G4" s="265" t="s">
        <v>63</v>
      </c>
      <c r="H4" s="266">
        <f>vlookup(A4,'WV Data'!$A$111:$B$168,2,FALSE)</f>
        <v>88</v>
      </c>
      <c r="I4" s="267" t="s">
        <v>63</v>
      </c>
      <c r="J4" s="268" t="s">
        <v>63</v>
      </c>
      <c r="K4" s="284" t="s">
        <v>63</v>
      </c>
      <c r="L4" s="266" t="s">
        <v>63</v>
      </c>
      <c r="M4" s="267" t="s">
        <v>63</v>
      </c>
      <c r="N4" s="265" t="s">
        <v>63</v>
      </c>
      <c r="O4" s="265" t="s">
        <v>63</v>
      </c>
      <c r="P4" s="272">
        <f>ifna(vlookup(A4,'Population &amp; Church Numbers'!$A$2995:$D$3049,4,FALSE),"NULL")</f>
        <v>86</v>
      </c>
      <c r="Q4" s="334" t="s">
        <v>63</v>
      </c>
    </row>
    <row r="5">
      <c r="A5" s="326" t="s">
        <v>246</v>
      </c>
      <c r="B5" s="251">
        <f t="array" ref="B5">VLOOKUP($A5,WV_DEMO,2,FALSE)</f>
        <v>21809</v>
      </c>
      <c r="C5" s="252">
        <f>vlookup(A5,'WV Data'!$A$3:$B$58,2,FALSE)</f>
        <v>87</v>
      </c>
      <c r="D5" s="253" t="s">
        <v>63</v>
      </c>
      <c r="E5" s="253" t="s">
        <v>63</v>
      </c>
      <c r="F5" s="253" t="s">
        <v>63</v>
      </c>
      <c r="G5" s="253" t="s">
        <v>63</v>
      </c>
      <c r="H5" s="254">
        <f>vlookup(A5,'WV Data'!$A$111:$B$168,2,FALSE)</f>
        <v>16</v>
      </c>
      <c r="I5" s="255" t="s">
        <v>63</v>
      </c>
      <c r="J5" s="256" t="s">
        <v>63</v>
      </c>
      <c r="K5" s="274" t="s">
        <v>63</v>
      </c>
      <c r="L5" s="254" t="s">
        <v>63</v>
      </c>
      <c r="M5" s="255" t="s">
        <v>63</v>
      </c>
      <c r="N5" s="253" t="s">
        <v>63</v>
      </c>
      <c r="O5" s="253" t="s">
        <v>63</v>
      </c>
      <c r="P5" s="261">
        <f>ifna(vlookup(A5,'Population &amp; Church Numbers'!$A$2995:$D$3049,4,FALSE),"NULL")</f>
        <v>29</v>
      </c>
      <c r="Q5" s="329" t="s">
        <v>63</v>
      </c>
    </row>
    <row r="6">
      <c r="A6" s="188" t="s">
        <v>2330</v>
      </c>
      <c r="B6" s="189">
        <f t="array" ref="B6">VLOOKUP($A6,WV_DEMO,2,FALSE)</f>
        <v>12447</v>
      </c>
      <c r="C6" s="264">
        <f>vlookup(A6,'WV Data'!$A$3:$B$58,2,FALSE)</f>
        <v>119</v>
      </c>
      <c r="D6" s="265" t="s">
        <v>63</v>
      </c>
      <c r="E6" s="265" t="s">
        <v>63</v>
      </c>
      <c r="F6" s="265" t="s">
        <v>63</v>
      </c>
      <c r="G6" s="265" t="s">
        <v>63</v>
      </c>
      <c r="H6" s="266">
        <f>vlookup(A6,'WV Data'!$A$111:$B$168,2,FALSE)</f>
        <v>6</v>
      </c>
      <c r="I6" s="267" t="s">
        <v>63</v>
      </c>
      <c r="J6" s="268" t="s">
        <v>63</v>
      </c>
      <c r="K6" s="284" t="s">
        <v>63</v>
      </c>
      <c r="L6" s="266" t="s">
        <v>63</v>
      </c>
      <c r="M6" s="267" t="s">
        <v>63</v>
      </c>
      <c r="N6" s="265" t="s">
        <v>63</v>
      </c>
      <c r="O6" s="265" t="s">
        <v>63</v>
      </c>
      <c r="P6" s="272">
        <f>ifna(vlookup(A6,'Population &amp; Church Numbers'!$A$2995:$D$3049,4,FALSE),"NULL")</f>
        <v>14</v>
      </c>
      <c r="Q6" s="334" t="s">
        <v>63</v>
      </c>
    </row>
    <row r="7">
      <c r="A7" s="326" t="s">
        <v>2331</v>
      </c>
      <c r="B7" s="251">
        <f t="array" ref="B7">VLOOKUP($A7,WV_DEMO,2,FALSE)</f>
        <v>22559</v>
      </c>
      <c r="C7" s="252" t="str">
        <f>vlookup(A7,'WV Data'!$A$3:$B$58,2,FALSE)</f>
        <v>NULL</v>
      </c>
      <c r="D7" s="253" t="s">
        <v>63</v>
      </c>
      <c r="E7" s="253" t="s">
        <v>63</v>
      </c>
      <c r="F7" s="253" t="s">
        <v>63</v>
      </c>
      <c r="G7" s="253" t="s">
        <v>63</v>
      </c>
      <c r="H7" s="254">
        <f>vlookup(A7,'WV Data'!$A$111:$B$168,2,FALSE)</f>
        <v>7</v>
      </c>
      <c r="I7" s="255" t="s">
        <v>63</v>
      </c>
      <c r="J7" s="256" t="s">
        <v>63</v>
      </c>
      <c r="K7" s="274" t="s">
        <v>63</v>
      </c>
      <c r="L7" s="254" t="s">
        <v>63</v>
      </c>
      <c r="M7" s="255" t="s">
        <v>63</v>
      </c>
      <c r="N7" s="253" t="s">
        <v>63</v>
      </c>
      <c r="O7" s="253" t="s">
        <v>63</v>
      </c>
      <c r="P7" s="261">
        <f>ifna(vlookup(A7,'Population &amp; Church Numbers'!$A$2995:$D$3049,4,FALSE),"NULL")</f>
        <v>30</v>
      </c>
      <c r="Q7" s="329" t="s">
        <v>63</v>
      </c>
    </row>
    <row r="8">
      <c r="A8" s="188" t="s">
        <v>2332</v>
      </c>
      <c r="B8" s="189">
        <f t="array" ref="B8">VLOOKUP($A8,WV_DEMO,2,FALSE)</f>
        <v>94350</v>
      </c>
      <c r="C8" s="264">
        <f>vlookup(A8,'WV Data'!$A$3:$B$58,2,FALSE)</f>
        <v>251</v>
      </c>
      <c r="D8" s="265" t="s">
        <v>63</v>
      </c>
      <c r="E8" s="265" t="s">
        <v>63</v>
      </c>
      <c r="F8" s="265" t="s">
        <v>63</v>
      </c>
      <c r="G8" s="265" t="s">
        <v>63</v>
      </c>
      <c r="H8" s="266">
        <f>vlookup(A8,'WV Data'!$A$111:$B$168,2,FALSE)</f>
        <v>24</v>
      </c>
      <c r="I8" s="267" t="s">
        <v>63</v>
      </c>
      <c r="J8" s="268" t="s">
        <v>63</v>
      </c>
      <c r="K8" s="284" t="s">
        <v>63</v>
      </c>
      <c r="L8" s="266" t="s">
        <v>63</v>
      </c>
      <c r="M8" s="267" t="s">
        <v>63</v>
      </c>
      <c r="N8" s="265" t="s">
        <v>63</v>
      </c>
      <c r="O8" s="265" t="s">
        <v>63</v>
      </c>
      <c r="P8" s="272">
        <f>ifna(vlookup(A8,'Population &amp; Church Numbers'!$A$2995:$D$3049,4,FALSE),"NULL")</f>
        <v>120</v>
      </c>
      <c r="Q8" s="334" t="s">
        <v>63</v>
      </c>
    </row>
    <row r="9">
      <c r="A9" s="326" t="s">
        <v>93</v>
      </c>
      <c r="B9" s="251">
        <f t="array" ref="B9">VLOOKUP($A9,WV_DEMO,2,FALSE)</f>
        <v>6229</v>
      </c>
      <c r="C9" s="252">
        <f>vlookup(A9,'WV Data'!$A$3:$B$58,2,FALSE)</f>
        <v>22</v>
      </c>
      <c r="D9" s="253" t="s">
        <v>63</v>
      </c>
      <c r="E9" s="253" t="s">
        <v>63</v>
      </c>
      <c r="F9" s="253" t="s">
        <v>63</v>
      </c>
      <c r="G9" s="253" t="s">
        <v>63</v>
      </c>
      <c r="H9" s="254">
        <f>vlookup(A9,'WV Data'!$A$111:$B$168,2,FALSE)</f>
        <v>5</v>
      </c>
      <c r="I9" s="255" t="s">
        <v>63</v>
      </c>
      <c r="J9" s="256" t="s">
        <v>63</v>
      </c>
      <c r="K9" s="274" t="s">
        <v>63</v>
      </c>
      <c r="L9" s="254" t="s">
        <v>63</v>
      </c>
      <c r="M9" s="255" t="s">
        <v>63</v>
      </c>
      <c r="N9" s="253" t="s">
        <v>63</v>
      </c>
      <c r="O9" s="253" t="s">
        <v>63</v>
      </c>
      <c r="P9" s="261">
        <f>ifna(vlookup(A9,'Population &amp; Church Numbers'!$A$2995:$D$3049,4,FALSE),"NULL")</f>
        <v>7</v>
      </c>
      <c r="Q9" s="329" t="s">
        <v>63</v>
      </c>
    </row>
    <row r="10">
      <c r="A10" s="188" t="s">
        <v>112</v>
      </c>
      <c r="B10" s="189">
        <f t="array" ref="B10">VLOOKUP($A10,WV_DEMO,2,FALSE)</f>
        <v>8051</v>
      </c>
      <c r="C10" s="264">
        <f>vlookup(A10,'WV Data'!$A$3:$B$58,2,FALSE)</f>
        <v>24</v>
      </c>
      <c r="D10" s="265" t="s">
        <v>63</v>
      </c>
      <c r="E10" s="265" t="s">
        <v>63</v>
      </c>
      <c r="F10" s="265" t="s">
        <v>63</v>
      </c>
      <c r="G10" s="265" t="s">
        <v>63</v>
      </c>
      <c r="H10" s="266">
        <f>vlookup(A10,'WV Data'!$A$111:$B$168,2,FALSE)</f>
        <v>9</v>
      </c>
      <c r="I10" s="267" t="s">
        <v>63</v>
      </c>
      <c r="J10" s="268" t="s">
        <v>63</v>
      </c>
      <c r="K10" s="284" t="s">
        <v>63</v>
      </c>
      <c r="L10" s="266" t="s">
        <v>63</v>
      </c>
      <c r="M10" s="267" t="s">
        <v>63</v>
      </c>
      <c r="N10" s="265" t="s">
        <v>63</v>
      </c>
      <c r="O10" s="265" t="s">
        <v>63</v>
      </c>
      <c r="P10" s="272">
        <f>ifna(vlookup(A10,'Population &amp; Church Numbers'!$A$2995:$D$3049,4,FALSE),"NULL")</f>
        <v>9</v>
      </c>
      <c r="Q10" s="334" t="s">
        <v>63</v>
      </c>
    </row>
    <row r="11">
      <c r="A11" s="326" t="s">
        <v>2333</v>
      </c>
      <c r="B11" s="251">
        <f t="array" ref="B11">VLOOKUP($A11,WV_DEMO,2,FALSE)</f>
        <v>7808</v>
      </c>
      <c r="C11" s="252">
        <f>vlookup(A11,'WV Data'!$A$3:$B$58,2,FALSE)</f>
        <v>8</v>
      </c>
      <c r="D11" s="253" t="s">
        <v>63</v>
      </c>
      <c r="E11" s="253" t="s">
        <v>63</v>
      </c>
      <c r="F11" s="253" t="s">
        <v>63</v>
      </c>
      <c r="G11" s="253" t="s">
        <v>63</v>
      </c>
      <c r="H11" s="254">
        <f>vlookup(A11,'WV Data'!$A$111:$B$168,2,FALSE)</f>
        <v>2</v>
      </c>
      <c r="I11" s="255" t="s">
        <v>63</v>
      </c>
      <c r="J11" s="256" t="s">
        <v>63</v>
      </c>
      <c r="K11" s="274" t="s">
        <v>63</v>
      </c>
      <c r="L11" s="254" t="s">
        <v>63</v>
      </c>
      <c r="M11" s="255" t="s">
        <v>63</v>
      </c>
      <c r="N11" s="253" t="s">
        <v>63</v>
      </c>
      <c r="O11" s="253" t="s">
        <v>63</v>
      </c>
      <c r="P11" s="261">
        <f>ifna(vlookup(A11,'Population &amp; Church Numbers'!$A$2995:$D$3049,4,FALSE),"NULL")</f>
        <v>16</v>
      </c>
      <c r="Q11" s="329" t="s">
        <v>63</v>
      </c>
    </row>
    <row r="12">
      <c r="A12" s="188" t="s">
        <v>135</v>
      </c>
      <c r="B12" s="189">
        <f t="array" ref="B12">VLOOKUP($A12,WV_DEMO,2,FALSE)</f>
        <v>40488</v>
      </c>
      <c r="C12" s="264" t="str">
        <f>vlookup(A12,'WV Data'!$A$3:$B$58,2,FALSE)</f>
        <v>NULL</v>
      </c>
      <c r="D12" s="265" t="s">
        <v>63</v>
      </c>
      <c r="E12" s="265" t="s">
        <v>63</v>
      </c>
      <c r="F12" s="265" t="s">
        <v>63</v>
      </c>
      <c r="G12" s="265" t="s">
        <v>63</v>
      </c>
      <c r="H12" s="266">
        <f>vlookup(A12,'WV Data'!$A$111:$B$168,2,FALSE)</f>
        <v>20</v>
      </c>
      <c r="I12" s="267" t="s">
        <v>63</v>
      </c>
      <c r="J12" s="268" t="s">
        <v>63</v>
      </c>
      <c r="K12" s="284" t="s">
        <v>63</v>
      </c>
      <c r="L12" s="266" t="s">
        <v>63</v>
      </c>
      <c r="M12" s="267" t="s">
        <v>63</v>
      </c>
      <c r="N12" s="265" t="s">
        <v>63</v>
      </c>
      <c r="O12" s="265" t="s">
        <v>63</v>
      </c>
      <c r="P12" s="272">
        <f>ifna(vlookup(A12,'Population &amp; Church Numbers'!$A$2995:$D$3049,4,FALSE),"NULL")</f>
        <v>65</v>
      </c>
      <c r="Q12" s="334" t="s">
        <v>63</v>
      </c>
    </row>
    <row r="13">
      <c r="A13" s="326" t="s">
        <v>579</v>
      </c>
      <c r="B13" s="251">
        <f t="array" ref="B13">VLOOKUP($A13,WV_DEMO,2,FALSE)</f>
        <v>7408</v>
      </c>
      <c r="C13" s="252">
        <f>vlookup(A13,'WV Data'!$A$3:$B$58,2,FALSE)</f>
        <v>29</v>
      </c>
      <c r="D13" s="253" t="s">
        <v>63</v>
      </c>
      <c r="E13" s="253" t="s">
        <v>63</v>
      </c>
      <c r="F13" s="253" t="s">
        <v>63</v>
      </c>
      <c r="G13" s="253" t="s">
        <v>63</v>
      </c>
      <c r="H13" s="254">
        <f>vlookup(A13,'WV Data'!$A$111:$B$168,2,FALSE)</f>
        <v>2</v>
      </c>
      <c r="I13" s="255" t="s">
        <v>63</v>
      </c>
      <c r="J13" s="256" t="s">
        <v>63</v>
      </c>
      <c r="K13" s="274" t="s">
        <v>63</v>
      </c>
      <c r="L13" s="254" t="s">
        <v>63</v>
      </c>
      <c r="M13" s="255" t="s">
        <v>63</v>
      </c>
      <c r="N13" s="253" t="s">
        <v>63</v>
      </c>
      <c r="O13" s="253" t="s">
        <v>63</v>
      </c>
      <c r="P13" s="261">
        <f>ifna(vlookup(A13,'Population &amp; Church Numbers'!$A$2995:$D$3049,4,FALSE),"NULL")</f>
        <v>11</v>
      </c>
      <c r="Q13" s="329" t="s">
        <v>63</v>
      </c>
    </row>
    <row r="14">
      <c r="A14" s="188" t="s">
        <v>278</v>
      </c>
      <c r="B14" s="189">
        <f t="array" ref="B14">VLOOKUP($A14,WV_DEMO,2,FALSE)</f>
        <v>10976</v>
      </c>
      <c r="C14" s="264">
        <f>vlookup(A14,'WV Data'!$A$3:$B$58,2,FALSE)</f>
        <v>131</v>
      </c>
      <c r="D14" s="265" t="s">
        <v>63</v>
      </c>
      <c r="E14" s="265" t="s">
        <v>63</v>
      </c>
      <c r="F14" s="265" t="s">
        <v>63</v>
      </c>
      <c r="G14" s="265" t="s">
        <v>63</v>
      </c>
      <c r="H14" s="266">
        <f>vlookup(A14,'WV Data'!$A$111:$B$168,2,FALSE)</f>
        <v>8</v>
      </c>
      <c r="I14" s="267" t="s">
        <v>63</v>
      </c>
      <c r="J14" s="268" t="s">
        <v>63</v>
      </c>
      <c r="K14" s="284" t="s">
        <v>63</v>
      </c>
      <c r="L14" s="266" t="s">
        <v>63</v>
      </c>
      <c r="M14" s="267" t="s">
        <v>63</v>
      </c>
      <c r="N14" s="265" t="s">
        <v>63</v>
      </c>
      <c r="O14" s="265" t="s">
        <v>63</v>
      </c>
      <c r="P14" s="272">
        <f>ifna(vlookup(A14,'Population &amp; Church Numbers'!$A$2995:$D$3049,4,FALSE),"NULL")</f>
        <v>23</v>
      </c>
      <c r="Q14" s="334" t="s">
        <v>63</v>
      </c>
    </row>
    <row r="15">
      <c r="A15" s="326" t="s">
        <v>2334</v>
      </c>
      <c r="B15" s="251">
        <f t="array" ref="B15">VLOOKUP($A15,WV_DEMO,2,FALSE)</f>
        <v>32977</v>
      </c>
      <c r="C15" s="252">
        <f>vlookup(A15,'WV Data'!$A$3:$B$58,2,FALSE)</f>
        <v>135</v>
      </c>
      <c r="D15" s="253" t="s">
        <v>63</v>
      </c>
      <c r="E15" s="253" t="s">
        <v>63</v>
      </c>
      <c r="F15" s="253" t="s">
        <v>63</v>
      </c>
      <c r="G15" s="253" t="s">
        <v>63</v>
      </c>
      <c r="H15" s="254">
        <f>vlookup(A15,'WV Data'!$A$111:$B$168,2,FALSE)</f>
        <v>18</v>
      </c>
      <c r="I15" s="255" t="s">
        <v>63</v>
      </c>
      <c r="J15" s="256" t="s">
        <v>63</v>
      </c>
      <c r="K15" s="274" t="s">
        <v>63</v>
      </c>
      <c r="L15" s="254" t="s">
        <v>63</v>
      </c>
      <c r="M15" s="255" t="s">
        <v>63</v>
      </c>
      <c r="N15" s="253" t="s">
        <v>63</v>
      </c>
      <c r="O15" s="253" t="s">
        <v>63</v>
      </c>
      <c r="P15" s="261">
        <f>ifna(vlookup(A15,'Population &amp; Church Numbers'!$A$2995:$D$3049,4,FALSE),"NULL")</f>
        <v>71</v>
      </c>
      <c r="Q15" s="329" t="s">
        <v>63</v>
      </c>
    </row>
    <row r="16">
      <c r="A16" s="188" t="s">
        <v>1231</v>
      </c>
      <c r="B16" s="189">
        <f t="array" ref="B16">VLOOKUP($A16,WV_DEMO,2,FALSE)</f>
        <v>23093</v>
      </c>
      <c r="C16" s="264">
        <f>vlookup(A16,'WV Data'!$A$3:$B$58,2,FALSE)</f>
        <v>45</v>
      </c>
      <c r="D16" s="265" t="s">
        <v>63</v>
      </c>
      <c r="E16" s="265" t="s">
        <v>63</v>
      </c>
      <c r="F16" s="265" t="s">
        <v>63</v>
      </c>
      <c r="G16" s="265" t="s">
        <v>63</v>
      </c>
      <c r="H16" s="266">
        <f>vlookup(A16,'WV Data'!$A$111:$B$168,2,FALSE)</f>
        <v>14</v>
      </c>
      <c r="I16" s="267" t="s">
        <v>63</v>
      </c>
      <c r="J16" s="268" t="s">
        <v>63</v>
      </c>
      <c r="K16" s="284" t="s">
        <v>63</v>
      </c>
      <c r="L16" s="266" t="s">
        <v>63</v>
      </c>
      <c r="M16" s="267" t="s">
        <v>63</v>
      </c>
      <c r="N16" s="265" t="s">
        <v>63</v>
      </c>
      <c r="O16" s="265" t="s">
        <v>63</v>
      </c>
      <c r="P16" s="272">
        <f>ifna(vlookup(A16,'Population &amp; Church Numbers'!$A$2995:$D$3049,4,FALSE),"NULL")</f>
        <v>34</v>
      </c>
      <c r="Q16" s="334" t="s">
        <v>63</v>
      </c>
    </row>
    <row r="17">
      <c r="A17" s="326" t="s">
        <v>587</v>
      </c>
      <c r="B17" s="251">
        <f t="array" ref="B17">VLOOKUP($A17,WV_DEMO,2,FALSE)</f>
        <v>29095</v>
      </c>
      <c r="C17" s="252">
        <f>vlookup(A17,'WV Data'!$A$3:$B$58,2,FALSE)</f>
        <v>110</v>
      </c>
      <c r="D17" s="253" t="s">
        <v>63</v>
      </c>
      <c r="E17" s="253" t="s">
        <v>63</v>
      </c>
      <c r="F17" s="253" t="s">
        <v>63</v>
      </c>
      <c r="G17" s="253" t="s">
        <v>63</v>
      </c>
      <c r="H17" s="254">
        <f>vlookup(A17,'WV Data'!$A$111:$B$168,2,FALSE)</f>
        <v>7</v>
      </c>
      <c r="I17" s="255" t="s">
        <v>63</v>
      </c>
      <c r="J17" s="256" t="s">
        <v>63</v>
      </c>
      <c r="K17" s="274" t="s">
        <v>63</v>
      </c>
      <c r="L17" s="254" t="s">
        <v>63</v>
      </c>
      <c r="M17" s="255" t="s">
        <v>63</v>
      </c>
      <c r="N17" s="253" t="s">
        <v>63</v>
      </c>
      <c r="O17" s="253" t="s">
        <v>63</v>
      </c>
      <c r="P17" s="261">
        <f>ifna(vlookup(A17,'Population &amp; Church Numbers'!$A$2995:$D$3049,4,FALSE),"NULL")</f>
        <v>38</v>
      </c>
      <c r="Q17" s="329" t="s">
        <v>63</v>
      </c>
    </row>
    <row r="18">
      <c r="A18" s="188" t="s">
        <v>2335</v>
      </c>
      <c r="B18" s="189">
        <f t="array" ref="B18">VLOOKUP($A18,WV_DEMO,2,FALSE)</f>
        <v>14299</v>
      </c>
      <c r="C18" s="264">
        <f>vlookup(A18,'WV Data'!$A$3:$B$58,2,FALSE)</f>
        <v>52</v>
      </c>
      <c r="D18" s="265" t="s">
        <v>63</v>
      </c>
      <c r="E18" s="265" t="s">
        <v>63</v>
      </c>
      <c r="F18" s="265" t="s">
        <v>63</v>
      </c>
      <c r="G18" s="265" t="s">
        <v>63</v>
      </c>
      <c r="H18" s="266">
        <f>vlookup(A18,'WV Data'!$A$111:$B$168,2,FALSE)</f>
        <v>11</v>
      </c>
      <c r="I18" s="267" t="s">
        <v>63</v>
      </c>
      <c r="J18" s="268" t="s">
        <v>63</v>
      </c>
      <c r="K18" s="284" t="s">
        <v>63</v>
      </c>
      <c r="L18" s="266" t="s">
        <v>63</v>
      </c>
      <c r="M18" s="267" t="s">
        <v>63</v>
      </c>
      <c r="N18" s="265" t="s">
        <v>63</v>
      </c>
      <c r="O18" s="265" t="s">
        <v>63</v>
      </c>
      <c r="P18" s="272">
        <f>ifna(vlookup(A18,'Population &amp; Church Numbers'!$A$2995:$D$3049,4,FALSE),"NULL")</f>
        <v>33</v>
      </c>
      <c r="Q18" s="334" t="s">
        <v>63</v>
      </c>
    </row>
    <row r="19">
      <c r="A19" s="326" t="s">
        <v>775</v>
      </c>
      <c r="B19" s="251">
        <f t="array" ref="B19">VLOOKUP($A19,WV_DEMO,2,FALSE)</f>
        <v>65921</v>
      </c>
      <c r="C19" s="252">
        <f>vlookup(A19,'WV Data'!$A$3:$B$58,2,FALSE)</f>
        <v>185</v>
      </c>
      <c r="D19" s="253" t="s">
        <v>63</v>
      </c>
      <c r="E19" s="253" t="s">
        <v>63</v>
      </c>
      <c r="F19" s="253" t="s">
        <v>63</v>
      </c>
      <c r="G19" s="253" t="s">
        <v>63</v>
      </c>
      <c r="H19" s="254">
        <f>vlookup(A19,'WV Data'!$A$111:$B$168,2,FALSE)</f>
        <v>39</v>
      </c>
      <c r="I19" s="255" t="s">
        <v>63</v>
      </c>
      <c r="J19" s="256" t="s">
        <v>63</v>
      </c>
      <c r="K19" s="274" t="s">
        <v>63</v>
      </c>
      <c r="L19" s="254" t="s">
        <v>63</v>
      </c>
      <c r="M19" s="255" t="s">
        <v>63</v>
      </c>
      <c r="N19" s="253" t="s">
        <v>63</v>
      </c>
      <c r="O19" s="253" t="s">
        <v>63</v>
      </c>
      <c r="P19" s="261">
        <f>ifna(vlookup(A19,'Population &amp; Church Numbers'!$A$2995:$D$3049,4,FALSE),"NULL")</f>
        <v>99</v>
      </c>
      <c r="Q19" s="329" t="s">
        <v>63</v>
      </c>
    </row>
    <row r="20">
      <c r="A20" s="188" t="s">
        <v>142</v>
      </c>
      <c r="B20" s="189">
        <f t="array" ref="B20">VLOOKUP($A20,WV_DEMO,2,FALSE)</f>
        <v>27791</v>
      </c>
      <c r="C20" s="264">
        <f>vlookup(A20,'WV Data'!$A$3:$B$58,2,FALSE)</f>
        <v>98</v>
      </c>
      <c r="D20" s="265" t="s">
        <v>63</v>
      </c>
      <c r="E20" s="265" t="s">
        <v>63</v>
      </c>
      <c r="F20" s="265" t="s">
        <v>63</v>
      </c>
      <c r="G20" s="265" t="s">
        <v>63</v>
      </c>
      <c r="H20" s="266">
        <f>vlookup(A20,'WV Data'!$A$111:$B$168,2,FALSE)</f>
        <v>25</v>
      </c>
      <c r="I20" s="267" t="s">
        <v>63</v>
      </c>
      <c r="J20" s="268" t="s">
        <v>63</v>
      </c>
      <c r="K20" s="284" t="s">
        <v>63</v>
      </c>
      <c r="L20" s="266" t="s">
        <v>63</v>
      </c>
      <c r="M20" s="267" t="s">
        <v>63</v>
      </c>
      <c r="N20" s="265" t="s">
        <v>63</v>
      </c>
      <c r="O20" s="265" t="s">
        <v>63</v>
      </c>
      <c r="P20" s="272">
        <f>ifna(vlookup(A20,'Population &amp; Church Numbers'!$A$2995:$D$3049,4,FALSE),"NULL")</f>
        <v>44</v>
      </c>
      <c r="Q20" s="334" t="s">
        <v>63</v>
      </c>
    </row>
    <row r="21">
      <c r="A21" s="326" t="s">
        <v>143</v>
      </c>
      <c r="B21" s="251">
        <f t="array" ref="B21">VLOOKUP($A21,WV_DEMO,2,FALSE)</f>
        <v>57701</v>
      </c>
      <c r="C21" s="252">
        <f>vlookup(A21,'WV Data'!$A$3:$B$58,2,FALSE)</f>
        <v>48</v>
      </c>
      <c r="D21" s="253" t="s">
        <v>63</v>
      </c>
      <c r="E21" s="253" t="s">
        <v>63</v>
      </c>
      <c r="F21" s="253" t="s">
        <v>63</v>
      </c>
      <c r="G21" s="253" t="s">
        <v>63</v>
      </c>
      <c r="H21" s="254">
        <f>vlookup(A21,'WV Data'!$A$111:$B$168,2,FALSE)</f>
        <v>34</v>
      </c>
      <c r="I21" s="255" t="s">
        <v>63</v>
      </c>
      <c r="J21" s="256" t="s">
        <v>63</v>
      </c>
      <c r="K21" s="274" t="s">
        <v>63</v>
      </c>
      <c r="L21" s="254" t="s">
        <v>63</v>
      </c>
      <c r="M21" s="255" t="s">
        <v>63</v>
      </c>
      <c r="N21" s="253" t="s">
        <v>63</v>
      </c>
      <c r="O21" s="253" t="s">
        <v>63</v>
      </c>
      <c r="P21" s="261">
        <f>ifna(vlookup(A21,'Population &amp; Church Numbers'!$A$2995:$D$3049,4,FALSE),"NULL")</f>
        <v>53</v>
      </c>
      <c r="Q21" s="329" t="s">
        <v>63</v>
      </c>
    </row>
    <row r="22">
      <c r="A22" s="188" t="s">
        <v>2336</v>
      </c>
      <c r="B22" s="189">
        <f t="array" ref="B22">VLOOKUP($A22,WV_DEMO,2,FALSE)</f>
        <v>180745</v>
      </c>
      <c r="C22" s="264">
        <f>vlookup(A22,'WV Data'!$A$3:$B$58,2,FALSE)</f>
        <v>1319</v>
      </c>
      <c r="D22" s="265" t="s">
        <v>63</v>
      </c>
      <c r="E22" s="265" t="s">
        <v>63</v>
      </c>
      <c r="F22" s="265" t="s">
        <v>63</v>
      </c>
      <c r="G22" s="265" t="s">
        <v>63</v>
      </c>
      <c r="H22" s="266">
        <f>vlookup(A22,'WV Data'!$A$111:$B$168,2,FALSE)</f>
        <v>69</v>
      </c>
      <c r="I22" s="267" t="s">
        <v>63</v>
      </c>
      <c r="J22" s="268" t="s">
        <v>63</v>
      </c>
      <c r="K22" s="284" t="s">
        <v>63</v>
      </c>
      <c r="L22" s="266" t="s">
        <v>63</v>
      </c>
      <c r="M22" s="267" t="s">
        <v>63</v>
      </c>
      <c r="N22" s="265" t="s">
        <v>63</v>
      </c>
      <c r="O22" s="265" t="s">
        <v>63</v>
      </c>
      <c r="P22" s="272">
        <f>ifna(vlookup(A22,'Population &amp; Church Numbers'!$A$2995:$D$3049,4,FALSE),"NULL")</f>
        <v>246</v>
      </c>
      <c r="Q22" s="334" t="s">
        <v>63</v>
      </c>
    </row>
    <row r="23">
      <c r="A23" s="326" t="s">
        <v>682</v>
      </c>
      <c r="B23" s="251">
        <f t="array" ref="B23">VLOOKUP($A23,WV_DEMO,2,FALSE)</f>
        <v>17033</v>
      </c>
      <c r="C23" s="252">
        <f>vlookup(A23,'WV Data'!$A$3:$B$58,2,FALSE)</f>
        <v>20</v>
      </c>
      <c r="D23" s="253" t="s">
        <v>63</v>
      </c>
      <c r="E23" s="253" t="s">
        <v>63</v>
      </c>
      <c r="F23" s="253" t="s">
        <v>63</v>
      </c>
      <c r="G23" s="253" t="s">
        <v>63</v>
      </c>
      <c r="H23" s="254">
        <f>vlookup(A23,'WV Data'!$A$111:$B$168,2,FALSE)</f>
        <v>12</v>
      </c>
      <c r="I23" s="255" t="s">
        <v>63</v>
      </c>
      <c r="J23" s="256" t="s">
        <v>63</v>
      </c>
      <c r="K23" s="274" t="s">
        <v>63</v>
      </c>
      <c r="L23" s="254" t="s">
        <v>63</v>
      </c>
      <c r="M23" s="255" t="s">
        <v>63</v>
      </c>
      <c r="N23" s="253" t="s">
        <v>63</v>
      </c>
      <c r="O23" s="253" t="s">
        <v>63</v>
      </c>
      <c r="P23" s="261">
        <f>ifna(vlookup(A23,'Population &amp; Church Numbers'!$A$2995:$D$3049,4,FALSE),"NULL")</f>
        <v>22</v>
      </c>
      <c r="Q23" s="329" t="s">
        <v>63</v>
      </c>
    </row>
    <row r="24">
      <c r="A24" s="188" t="s">
        <v>290</v>
      </c>
      <c r="B24" s="189">
        <f t="array" ref="B24">VLOOKUP($A24,WV_DEMO,2,FALSE)</f>
        <v>20463</v>
      </c>
      <c r="C24" s="264">
        <f>vlookup(A24,'WV Data'!$A$3:$B$58,2,FALSE)</f>
        <v>87</v>
      </c>
      <c r="D24" s="265" t="s">
        <v>63</v>
      </c>
      <c r="E24" s="265" t="s">
        <v>63</v>
      </c>
      <c r="F24" s="265" t="s">
        <v>63</v>
      </c>
      <c r="G24" s="265" t="s">
        <v>63</v>
      </c>
      <c r="H24" s="266">
        <f>vlookup(A24,'WV Data'!$A$111:$B$168,2,FALSE)</f>
        <v>22</v>
      </c>
      <c r="I24" s="267" t="s">
        <v>63</v>
      </c>
      <c r="J24" s="268" t="s">
        <v>63</v>
      </c>
      <c r="K24" s="284" t="s">
        <v>63</v>
      </c>
      <c r="L24" s="266" t="s">
        <v>63</v>
      </c>
      <c r="M24" s="267" t="s">
        <v>63</v>
      </c>
      <c r="N24" s="265" t="s">
        <v>63</v>
      </c>
      <c r="O24" s="265" t="s">
        <v>63</v>
      </c>
      <c r="P24" s="272">
        <f>ifna(vlookup(A24,'Population &amp; Church Numbers'!$A$2995:$D$3049,4,FALSE),"NULL")</f>
        <v>21</v>
      </c>
      <c r="Q24" s="334" t="s">
        <v>63</v>
      </c>
    </row>
    <row r="25">
      <c r="A25" s="326" t="s">
        <v>293</v>
      </c>
      <c r="B25" s="251">
        <f t="array" ref="B25">VLOOKUP($A25,WV_DEMO,2,FALSE)</f>
        <v>32567</v>
      </c>
      <c r="C25" s="252">
        <f>vlookup(A25,'WV Data'!$A$3:$B$58,2,FALSE)</f>
        <v>145</v>
      </c>
      <c r="D25" s="253" t="s">
        <v>63</v>
      </c>
      <c r="E25" s="253" t="s">
        <v>63</v>
      </c>
      <c r="F25" s="253" t="s">
        <v>63</v>
      </c>
      <c r="G25" s="253" t="s">
        <v>63</v>
      </c>
      <c r="H25" s="254">
        <f>vlookup(A25,'WV Data'!$A$111:$B$168,2,FALSE)</f>
        <v>38</v>
      </c>
      <c r="I25" s="255" t="s">
        <v>63</v>
      </c>
      <c r="J25" s="256" t="s">
        <v>63</v>
      </c>
      <c r="K25" s="274" t="s">
        <v>63</v>
      </c>
      <c r="L25" s="254" t="s">
        <v>63</v>
      </c>
      <c r="M25" s="255" t="s">
        <v>63</v>
      </c>
      <c r="N25" s="253" t="s">
        <v>63</v>
      </c>
      <c r="O25" s="253" t="s">
        <v>63</v>
      </c>
      <c r="P25" s="261">
        <f>ifna(vlookup(A25,'Population &amp; Church Numbers'!$A$2995:$D$3049,4,FALSE),"NULL")</f>
        <v>49</v>
      </c>
      <c r="Q25" s="329" t="s">
        <v>63</v>
      </c>
    </row>
    <row r="26">
      <c r="A26" s="188" t="s">
        <v>1614</v>
      </c>
      <c r="B26" s="189">
        <f t="array" ref="B26">VLOOKUP($A26,WV_DEMO,2,FALSE)</f>
        <v>19111</v>
      </c>
      <c r="C26" s="264">
        <f>vlookup(A26,'WV Data'!$A$3:$B$58,2,FALSE)</f>
        <v>63</v>
      </c>
      <c r="D26" s="265" t="s">
        <v>63</v>
      </c>
      <c r="E26" s="265" t="s">
        <v>63</v>
      </c>
      <c r="F26" s="265" t="s">
        <v>63</v>
      </c>
      <c r="G26" s="265" t="s">
        <v>63</v>
      </c>
      <c r="H26" s="266">
        <f>vlookup(A26,'WV Data'!$A$111:$B$168,2,FALSE)</f>
        <v>12</v>
      </c>
      <c r="I26" s="267" t="s">
        <v>63</v>
      </c>
      <c r="J26" s="268" t="s">
        <v>63</v>
      </c>
      <c r="K26" s="284" t="s">
        <v>63</v>
      </c>
      <c r="L26" s="266" t="s">
        <v>63</v>
      </c>
      <c r="M26" s="267" t="s">
        <v>63</v>
      </c>
      <c r="N26" s="265" t="s">
        <v>63</v>
      </c>
      <c r="O26" s="265" t="s">
        <v>63</v>
      </c>
      <c r="P26" s="272">
        <f>ifna(vlookup(A26,'Population &amp; Church Numbers'!$A$2995:$D$3049,4,FALSE),"NULL")</f>
        <v>42</v>
      </c>
      <c r="Q26" s="334" t="s">
        <v>63</v>
      </c>
    </row>
    <row r="27">
      <c r="A27" s="326" t="s">
        <v>153</v>
      </c>
      <c r="B27" s="251">
        <f t="array" ref="B27">VLOOKUP($A27,WV_DEMO,2,FALSE)</f>
        <v>56205</v>
      </c>
      <c r="C27" s="252">
        <f>vlookup(A27,'WV Data'!$A$3:$B$58,2,FALSE)</f>
        <v>200</v>
      </c>
      <c r="D27" s="253" t="s">
        <v>63</v>
      </c>
      <c r="E27" s="253" t="s">
        <v>63</v>
      </c>
      <c r="F27" s="253" t="s">
        <v>63</v>
      </c>
      <c r="G27" s="253" t="s">
        <v>63</v>
      </c>
      <c r="H27" s="254">
        <f>vlookup(A27,'WV Data'!$A$111:$B$168,2,FALSE)</f>
        <v>32</v>
      </c>
      <c r="I27" s="255" t="s">
        <v>63</v>
      </c>
      <c r="J27" s="256" t="s">
        <v>63</v>
      </c>
      <c r="K27" s="274" t="s">
        <v>63</v>
      </c>
      <c r="L27" s="254" t="s">
        <v>63</v>
      </c>
      <c r="M27" s="255" t="s">
        <v>63</v>
      </c>
      <c r="N27" s="253" t="s">
        <v>63</v>
      </c>
      <c r="O27" s="253" t="s">
        <v>63</v>
      </c>
      <c r="P27" s="261">
        <f>ifna(vlookup(A27,'Population &amp; Church Numbers'!$A$2995:$D$3049,4,FALSE),"NULL")</f>
        <v>72</v>
      </c>
      <c r="Q27" s="329" t="s">
        <v>63</v>
      </c>
    </row>
    <row r="28">
      <c r="A28" s="188" t="s">
        <v>154</v>
      </c>
      <c r="B28" s="189">
        <f t="array" ref="B28">VLOOKUP($A28,WV_DEMO,2,FALSE)</f>
        <v>30591</v>
      </c>
      <c r="C28" s="264">
        <f>vlookup(A28,'WV Data'!$A$3:$B$58,2,FALSE)</f>
        <v>96</v>
      </c>
      <c r="D28" s="265" t="s">
        <v>63</v>
      </c>
      <c r="E28" s="265" t="s">
        <v>63</v>
      </c>
      <c r="F28" s="265" t="s">
        <v>63</v>
      </c>
      <c r="G28" s="265" t="s">
        <v>63</v>
      </c>
      <c r="H28" s="266">
        <f>vlookup(A28,'WV Data'!$A$111:$B$168,2,FALSE)</f>
        <v>12</v>
      </c>
      <c r="I28" s="267" t="s">
        <v>63</v>
      </c>
      <c r="J28" s="268" t="s">
        <v>63</v>
      </c>
      <c r="K28" s="284" t="s">
        <v>63</v>
      </c>
      <c r="L28" s="266" t="s">
        <v>63</v>
      </c>
      <c r="M28" s="267" t="s">
        <v>63</v>
      </c>
      <c r="N28" s="265" t="s">
        <v>63</v>
      </c>
      <c r="O28" s="265" t="s">
        <v>63</v>
      </c>
      <c r="P28" s="272">
        <f>ifna(vlookup(A28,'Population &amp; Church Numbers'!$A$2995:$D$3049,4,FALSE),"NULL")</f>
        <v>39</v>
      </c>
      <c r="Q28" s="334" t="s">
        <v>63</v>
      </c>
    </row>
    <row r="29">
      <c r="A29" s="326" t="s">
        <v>735</v>
      </c>
      <c r="B29" s="251">
        <f t="array" ref="B29">VLOOKUP($A29,WV_DEMO,2,FALSE)</f>
        <v>25453</v>
      </c>
      <c r="C29" s="252">
        <f>vlookup(A29,'WV Data'!$A$3:$B$58,2,FALSE)</f>
        <v>200</v>
      </c>
      <c r="D29" s="253" t="s">
        <v>63</v>
      </c>
      <c r="E29" s="253" t="s">
        <v>63</v>
      </c>
      <c r="F29" s="253" t="s">
        <v>63</v>
      </c>
      <c r="G29" s="253" t="s">
        <v>63</v>
      </c>
      <c r="H29" s="254">
        <f>vlookup(A29,'WV Data'!$A$111:$B$168,2,FALSE)</f>
        <v>11</v>
      </c>
      <c r="I29" s="255" t="s">
        <v>63</v>
      </c>
      <c r="J29" s="256" t="s">
        <v>63</v>
      </c>
      <c r="K29" s="274" t="s">
        <v>63</v>
      </c>
      <c r="L29" s="254" t="s">
        <v>63</v>
      </c>
      <c r="M29" s="255" t="s">
        <v>63</v>
      </c>
      <c r="N29" s="253" t="s">
        <v>63</v>
      </c>
      <c r="O29" s="253" t="s">
        <v>63</v>
      </c>
      <c r="P29" s="261">
        <f>ifna(vlookup(A29,'Population &amp; Church Numbers'!$A$2995:$D$3049,4,FALSE),"NULL")</f>
        <v>27</v>
      </c>
      <c r="Q29" s="329" t="s">
        <v>63</v>
      </c>
    </row>
    <row r="30">
      <c r="A30" s="188" t="s">
        <v>738</v>
      </c>
      <c r="B30" s="189">
        <f t="array" ref="B30">VLOOKUP($A30,WV_DEMO,2,FALSE)</f>
        <v>59664</v>
      </c>
      <c r="C30" s="264">
        <f>vlookup(A30,'WV Data'!$A$3:$B$58,2,FALSE)</f>
        <v>190</v>
      </c>
      <c r="D30" s="265" t="s">
        <v>63</v>
      </c>
      <c r="E30" s="265" t="s">
        <v>63</v>
      </c>
      <c r="F30" s="265" t="s">
        <v>63</v>
      </c>
      <c r="G30" s="265" t="s">
        <v>63</v>
      </c>
      <c r="H30" s="266">
        <f>vlookup(A30,'WV Data'!$A$111:$B$168,2,FALSE)</f>
        <v>37</v>
      </c>
      <c r="I30" s="267" t="s">
        <v>63</v>
      </c>
      <c r="J30" s="268" t="s">
        <v>63</v>
      </c>
      <c r="K30" s="284" t="s">
        <v>63</v>
      </c>
      <c r="L30" s="266" t="s">
        <v>63</v>
      </c>
      <c r="M30" s="267" t="s">
        <v>63</v>
      </c>
      <c r="N30" s="265" t="s">
        <v>63</v>
      </c>
      <c r="O30" s="265" t="s">
        <v>63</v>
      </c>
      <c r="P30" s="272">
        <f>ifna(vlookup(A30,'Population &amp; Church Numbers'!$A$2995:$D$3049,4,FALSE),"NULL")</f>
        <v>97</v>
      </c>
      <c r="Q30" s="334" t="s">
        <v>63</v>
      </c>
    </row>
    <row r="31">
      <c r="A31" s="326" t="s">
        <v>435</v>
      </c>
      <c r="B31" s="251">
        <f t="array" ref="B31">VLOOKUP($A31,WV_DEMO,2,FALSE)</f>
        <v>26938</v>
      </c>
      <c r="C31" s="252">
        <f>vlookup(A31,'WV Data'!$A$3:$B$58,2,FALSE)</f>
        <v>11</v>
      </c>
      <c r="D31" s="253" t="s">
        <v>63</v>
      </c>
      <c r="E31" s="253" t="s">
        <v>63</v>
      </c>
      <c r="F31" s="253" t="s">
        <v>63</v>
      </c>
      <c r="G31" s="253" t="s">
        <v>63</v>
      </c>
      <c r="H31" s="254">
        <f>vlookup(A31,'WV Data'!$A$111:$B$168,2,FALSE)</f>
        <v>19</v>
      </c>
      <c r="I31" s="255" t="s">
        <v>63</v>
      </c>
      <c r="J31" s="256" t="s">
        <v>63</v>
      </c>
      <c r="K31" s="274" t="s">
        <v>63</v>
      </c>
      <c r="L31" s="254" t="s">
        <v>63</v>
      </c>
      <c r="M31" s="255" t="s">
        <v>63</v>
      </c>
      <c r="N31" s="253" t="s">
        <v>63</v>
      </c>
      <c r="O31" s="253" t="s">
        <v>63</v>
      </c>
      <c r="P31" s="261">
        <f>ifna(vlookup(A31,'Population &amp; Church Numbers'!$A$2995:$D$3049,4,FALSE),"NULL")</f>
        <v>50</v>
      </c>
      <c r="Q31" s="329" t="s">
        <v>63</v>
      </c>
    </row>
    <row r="32">
      <c r="A32" s="188" t="s">
        <v>2337</v>
      </c>
      <c r="B32" s="189">
        <f t="array" ref="B32">VLOOKUP($A32,WV_DEMO,2,FALSE)</f>
        <v>23568</v>
      </c>
      <c r="C32" s="264">
        <f>vlookup(A32,'WV Data'!$A$3:$B$58,2,FALSE)</f>
        <v>85</v>
      </c>
      <c r="D32" s="265" t="s">
        <v>63</v>
      </c>
      <c r="E32" s="265" t="s">
        <v>63</v>
      </c>
      <c r="F32" s="265" t="s">
        <v>63</v>
      </c>
      <c r="G32" s="265" t="s">
        <v>63</v>
      </c>
      <c r="H32" s="266">
        <f>vlookup(A32,'WV Data'!$A$111:$B$168,2,FALSE)</f>
        <v>26</v>
      </c>
      <c r="I32" s="267" t="s">
        <v>63</v>
      </c>
      <c r="J32" s="268" t="s">
        <v>63</v>
      </c>
      <c r="K32" s="284" t="s">
        <v>63</v>
      </c>
      <c r="L32" s="266" t="s">
        <v>63</v>
      </c>
      <c r="M32" s="267" t="s">
        <v>63</v>
      </c>
      <c r="N32" s="265" t="s">
        <v>63</v>
      </c>
      <c r="O32" s="265" t="s">
        <v>63</v>
      </c>
      <c r="P32" s="272">
        <f>ifna(vlookup(A32,'Population &amp; Church Numbers'!$A$2995:$D$3049,4,FALSE),"NULL")</f>
        <v>47</v>
      </c>
      <c r="Q32" s="334" t="s">
        <v>63</v>
      </c>
    </row>
    <row r="33">
      <c r="A33" s="326" t="s">
        <v>2338</v>
      </c>
      <c r="B33" s="251">
        <f t="array" ref="B33">VLOOKUP($A33,WV_DEMO,2,FALSE)</f>
        <v>105822</v>
      </c>
      <c r="C33" s="252">
        <f>vlookup(A33,'WV Data'!$A$3:$B$58,2,FALSE)</f>
        <v>196</v>
      </c>
      <c r="D33" s="253" t="s">
        <v>63</v>
      </c>
      <c r="E33" s="253" t="s">
        <v>63</v>
      </c>
      <c r="F33" s="253" t="s">
        <v>63</v>
      </c>
      <c r="G33" s="253" t="s">
        <v>63</v>
      </c>
      <c r="H33" s="254">
        <f>vlookup(A33,'WV Data'!$A$111:$B$168,2,FALSE)</f>
        <v>12</v>
      </c>
      <c r="I33" s="255" t="s">
        <v>63</v>
      </c>
      <c r="J33" s="256" t="s">
        <v>63</v>
      </c>
      <c r="K33" s="274" t="s">
        <v>63</v>
      </c>
      <c r="L33" s="254" t="s">
        <v>63</v>
      </c>
      <c r="M33" s="255" t="s">
        <v>63</v>
      </c>
      <c r="N33" s="253" t="s">
        <v>63</v>
      </c>
      <c r="O33" s="253" t="s">
        <v>63</v>
      </c>
      <c r="P33" s="261">
        <f>ifna(vlookup(A33,'Population &amp; Church Numbers'!$A$2995:$D$3049,4,FALSE),"NULL")</f>
        <v>71</v>
      </c>
      <c r="Q33" s="329" t="s">
        <v>63</v>
      </c>
    </row>
    <row r="34">
      <c r="A34" s="188" t="s">
        <v>156</v>
      </c>
      <c r="B34" s="189">
        <f t="array" ref="B34">VLOOKUP($A34,WV_DEMO,2,FALSE)</f>
        <v>12376</v>
      </c>
      <c r="C34" s="264" t="str">
        <f>vlookup(A34,'WV Data'!$A$3:$B$58,2,FALSE)</f>
        <v>NULL</v>
      </c>
      <c r="D34" s="265" t="s">
        <v>63</v>
      </c>
      <c r="E34" s="265" t="s">
        <v>63</v>
      </c>
      <c r="F34" s="265" t="s">
        <v>63</v>
      </c>
      <c r="G34" s="265" t="s">
        <v>63</v>
      </c>
      <c r="H34" s="266">
        <f>vlookup(A34,'WV Data'!$A$111:$B$168,2,FALSE)</f>
        <v>10</v>
      </c>
      <c r="I34" s="267" t="s">
        <v>63</v>
      </c>
      <c r="J34" s="268" t="s">
        <v>63</v>
      </c>
      <c r="K34" s="284" t="s">
        <v>63</v>
      </c>
      <c r="L34" s="266" t="s">
        <v>63</v>
      </c>
      <c r="M34" s="267" t="s">
        <v>63</v>
      </c>
      <c r="N34" s="265" t="s">
        <v>63</v>
      </c>
      <c r="O34" s="265" t="s">
        <v>63</v>
      </c>
      <c r="P34" s="272">
        <f>ifna(vlookup(A34,'Population &amp; Church Numbers'!$A$2995:$D$3049,4,FALSE),"NULL")</f>
        <v>12</v>
      </c>
      <c r="Q34" s="334" t="s">
        <v>63</v>
      </c>
    </row>
    <row r="35">
      <c r="A35" s="326" t="s">
        <v>158</v>
      </c>
      <c r="B35" s="251">
        <f t="array" ref="B35">VLOOKUP($A35,WV_DEMO,2,FALSE)</f>
        <v>17063</v>
      </c>
      <c r="C35" s="252" t="str">
        <f>vlookup(A35,'WV Data'!$A$3:$B$58,2,FALSE)</f>
        <v>NULL</v>
      </c>
      <c r="D35" s="253" t="s">
        <v>63</v>
      </c>
      <c r="E35" s="253" t="s">
        <v>63</v>
      </c>
      <c r="F35" s="253" t="s">
        <v>63</v>
      </c>
      <c r="G35" s="253" t="s">
        <v>63</v>
      </c>
      <c r="H35" s="254">
        <f>vlookup(A35,'WV Data'!$A$111:$B$168,2,FALSE)</f>
        <v>5</v>
      </c>
      <c r="I35" s="255" t="s">
        <v>63</v>
      </c>
      <c r="J35" s="256" t="s">
        <v>63</v>
      </c>
      <c r="K35" s="274" t="s">
        <v>63</v>
      </c>
      <c r="L35" s="254" t="s">
        <v>63</v>
      </c>
      <c r="M35" s="255" t="s">
        <v>63</v>
      </c>
      <c r="N35" s="253" t="s">
        <v>63</v>
      </c>
      <c r="O35" s="253" t="s">
        <v>63</v>
      </c>
      <c r="P35" s="261">
        <f>ifna(vlookup(A35,'Population &amp; Church Numbers'!$A$2995:$D$3049,4,FALSE),"NULL")</f>
        <v>24</v>
      </c>
      <c r="Q35" s="329" t="s">
        <v>63</v>
      </c>
    </row>
    <row r="36">
      <c r="A36" s="188" t="s">
        <v>1126</v>
      </c>
      <c r="B36" s="189">
        <f t="array" ref="B36">VLOOKUP($A36,WV_DEMO,2,FALSE)</f>
        <v>24604</v>
      </c>
      <c r="C36" s="264">
        <f>vlookup(A36,'WV Data'!$A$3:$B$58,2,FALSE)</f>
        <v>99</v>
      </c>
      <c r="D36" s="265" t="s">
        <v>63</v>
      </c>
      <c r="E36" s="265" t="s">
        <v>63</v>
      </c>
      <c r="F36" s="265" t="s">
        <v>63</v>
      </c>
      <c r="G36" s="265" t="s">
        <v>63</v>
      </c>
      <c r="H36" s="266">
        <f>vlookup(A36,'WV Data'!$A$111:$B$168,2,FALSE)</f>
        <v>10</v>
      </c>
      <c r="I36" s="267" t="s">
        <v>63</v>
      </c>
      <c r="J36" s="268" t="s">
        <v>63</v>
      </c>
      <c r="K36" s="284" t="s">
        <v>63</v>
      </c>
      <c r="L36" s="266" t="s">
        <v>63</v>
      </c>
      <c r="M36" s="267" t="s">
        <v>63</v>
      </c>
      <c r="N36" s="265" t="s">
        <v>63</v>
      </c>
      <c r="O36" s="265" t="s">
        <v>63</v>
      </c>
      <c r="P36" s="272">
        <f>ifna(vlookup(A36,'Population &amp; Church Numbers'!$A$2995:$D$3049,4,FALSE),"NULL")</f>
        <v>34</v>
      </c>
      <c r="Q36" s="334" t="s">
        <v>63</v>
      </c>
    </row>
    <row r="37">
      <c r="A37" s="326" t="s">
        <v>100</v>
      </c>
      <c r="B37" s="251">
        <f t="array" ref="B37">VLOOKUP($A37,WV_DEMO,2,FALSE)</f>
        <v>42425</v>
      </c>
      <c r="C37" s="252">
        <f>vlookup(A37,'WV Data'!$A$3:$B$58,2,FALSE)</f>
        <v>161</v>
      </c>
      <c r="D37" s="253" t="s">
        <v>63</v>
      </c>
      <c r="E37" s="253" t="s">
        <v>63</v>
      </c>
      <c r="F37" s="253" t="s">
        <v>63</v>
      </c>
      <c r="G37" s="253" t="s">
        <v>63</v>
      </c>
      <c r="H37" s="254">
        <f>vlookup(A37,'WV Data'!$A$111:$B$168,2,FALSE)</f>
        <v>7</v>
      </c>
      <c r="I37" s="255" t="s">
        <v>63</v>
      </c>
      <c r="J37" s="256" t="s">
        <v>63</v>
      </c>
      <c r="K37" s="274" t="s">
        <v>63</v>
      </c>
      <c r="L37" s="254" t="s">
        <v>63</v>
      </c>
      <c r="M37" s="255" t="s">
        <v>63</v>
      </c>
      <c r="N37" s="253" t="s">
        <v>63</v>
      </c>
      <c r="O37" s="253" t="s">
        <v>63</v>
      </c>
      <c r="P37" s="261">
        <f>ifna(vlookup(A37,'Population &amp; Church Numbers'!$A$2995:$D$3049,4,FALSE),"NULL")</f>
        <v>61</v>
      </c>
      <c r="Q37" s="329" t="s">
        <v>63</v>
      </c>
    </row>
    <row r="38">
      <c r="A38" s="188" t="s">
        <v>1129</v>
      </c>
      <c r="B38" s="189">
        <f t="array" ref="B38">VLOOKUP($A38,WV_DEMO,2,FALSE)</f>
        <v>6143</v>
      </c>
      <c r="C38" s="264" t="str">
        <f>vlookup(A38,'WV Data'!$A$3:$B$58,2,FALSE)</f>
        <v>NULL</v>
      </c>
      <c r="D38" s="265" t="s">
        <v>63</v>
      </c>
      <c r="E38" s="265" t="s">
        <v>63</v>
      </c>
      <c r="F38" s="265" t="s">
        <v>63</v>
      </c>
      <c r="G38" s="265" t="s">
        <v>63</v>
      </c>
      <c r="H38" s="266">
        <f>vlookup(A38,'WV Data'!$A$111:$B$168,2,FALSE)</f>
        <v>5</v>
      </c>
      <c r="I38" s="267" t="s">
        <v>63</v>
      </c>
      <c r="J38" s="268" t="s">
        <v>63</v>
      </c>
      <c r="K38" s="284" t="s">
        <v>63</v>
      </c>
      <c r="L38" s="266" t="s">
        <v>63</v>
      </c>
      <c r="M38" s="267" t="s">
        <v>63</v>
      </c>
      <c r="N38" s="265" t="s">
        <v>63</v>
      </c>
      <c r="O38" s="265" t="s">
        <v>63</v>
      </c>
      <c r="P38" s="272">
        <f>ifna(vlookup(A38,'Population &amp; Church Numbers'!$A$2995:$D$3049,4,FALSE),"NULL")</f>
        <v>18</v>
      </c>
      <c r="Q38" s="334" t="s">
        <v>63</v>
      </c>
    </row>
    <row r="39">
      <c r="A39" s="326" t="s">
        <v>2339</v>
      </c>
      <c r="B39" s="251">
        <f t="array" ref="B39">VLOOKUP($A39,WV_DEMO,2,FALSE)</f>
        <v>7653</v>
      </c>
      <c r="C39" s="252" t="str">
        <f>vlookup(A39,'WV Data'!$A$3:$B$58,2,FALSE)</f>
        <v>NULL</v>
      </c>
      <c r="D39" s="253" t="s">
        <v>63</v>
      </c>
      <c r="E39" s="253" t="s">
        <v>63</v>
      </c>
      <c r="F39" s="253" t="s">
        <v>63</v>
      </c>
      <c r="G39" s="253" t="s">
        <v>63</v>
      </c>
      <c r="H39" s="254">
        <f>vlookup(A39,'WV Data'!$A$111:$B$168,2,FALSE)</f>
        <v>5</v>
      </c>
      <c r="I39" s="255" t="s">
        <v>63</v>
      </c>
      <c r="J39" s="256" t="s">
        <v>63</v>
      </c>
      <c r="K39" s="274" t="s">
        <v>63</v>
      </c>
      <c r="L39" s="254" t="s">
        <v>63</v>
      </c>
      <c r="M39" s="255" t="s">
        <v>63</v>
      </c>
      <c r="N39" s="253" t="s">
        <v>63</v>
      </c>
      <c r="O39" s="253" t="s">
        <v>63</v>
      </c>
      <c r="P39" s="261">
        <f>ifna(vlookup(A39,'Population &amp; Church Numbers'!$A$2995:$D$3049,4,FALSE),"NULL")</f>
        <v>12</v>
      </c>
      <c r="Q39" s="329" t="s">
        <v>63</v>
      </c>
    </row>
    <row r="40">
      <c r="A40" s="188" t="s">
        <v>930</v>
      </c>
      <c r="B40" s="189">
        <f t="array" ref="B40">VLOOKUP($A40,WV_DEMO,2,FALSE)</f>
        <v>7869</v>
      </c>
      <c r="C40" s="264" t="str">
        <f>vlookup(A40,'WV Data'!$A$3:$B$58,2,FALSE)</f>
        <v>NULL</v>
      </c>
      <c r="D40" s="265" t="s">
        <v>63</v>
      </c>
      <c r="E40" s="265" t="s">
        <v>63</v>
      </c>
      <c r="F40" s="265" t="s">
        <v>63</v>
      </c>
      <c r="G40" s="265" t="s">
        <v>63</v>
      </c>
      <c r="H40" s="266">
        <f>vlookup(A40,'WV Data'!$A$111:$B$168,2,FALSE)</f>
        <v>2</v>
      </c>
      <c r="I40" s="267" t="s">
        <v>63</v>
      </c>
      <c r="J40" s="268" t="s">
        <v>63</v>
      </c>
      <c r="K40" s="284" t="s">
        <v>63</v>
      </c>
      <c r="L40" s="266" t="s">
        <v>63</v>
      </c>
      <c r="M40" s="267" t="s">
        <v>63</v>
      </c>
      <c r="N40" s="265" t="s">
        <v>63</v>
      </c>
      <c r="O40" s="265" t="s">
        <v>63</v>
      </c>
      <c r="P40" s="272">
        <f>ifna(vlookup(A40,'Population &amp; Church Numbers'!$A$2995:$D$3049,4,FALSE),"NULL")</f>
        <v>19</v>
      </c>
      <c r="Q40" s="334" t="s">
        <v>63</v>
      </c>
    </row>
    <row r="41">
      <c r="A41" s="326" t="s">
        <v>2340</v>
      </c>
      <c r="B41" s="251">
        <f t="array" ref="B41">VLOOKUP($A41,WV_DEMO,2,FALSE)</f>
        <v>34216</v>
      </c>
      <c r="C41" s="252">
        <f>vlookup(A41,'WV Data'!$A$3:$B$58,2,FALSE)</f>
        <v>114</v>
      </c>
      <c r="D41" s="253" t="s">
        <v>63</v>
      </c>
      <c r="E41" s="253" t="s">
        <v>63</v>
      </c>
      <c r="F41" s="253" t="s">
        <v>63</v>
      </c>
      <c r="G41" s="253" t="s">
        <v>63</v>
      </c>
      <c r="H41" s="254">
        <f>vlookup(A41,'WV Data'!$A$111:$B$168,2,FALSE)</f>
        <v>21</v>
      </c>
      <c r="I41" s="255" t="s">
        <v>63</v>
      </c>
      <c r="J41" s="256" t="s">
        <v>63</v>
      </c>
      <c r="K41" s="274" t="s">
        <v>63</v>
      </c>
      <c r="L41" s="254" t="s">
        <v>63</v>
      </c>
      <c r="M41" s="255" t="s">
        <v>63</v>
      </c>
      <c r="N41" s="253" t="s">
        <v>63</v>
      </c>
      <c r="O41" s="253" t="s">
        <v>63</v>
      </c>
      <c r="P41" s="261">
        <f>ifna(vlookup(A41,'Population &amp; Church Numbers'!$A$2995:$D$3049,4,FALSE),"NULL")</f>
        <v>34</v>
      </c>
      <c r="Q41" s="329" t="s">
        <v>63</v>
      </c>
    </row>
    <row r="42">
      <c r="A42" s="188" t="s">
        <v>518</v>
      </c>
      <c r="B42" s="189">
        <f t="array" ref="B42">VLOOKUP($A42,WV_DEMO,2,FALSE)</f>
        <v>57440</v>
      </c>
      <c r="C42" s="264">
        <f>vlookup(A42,'WV Data'!$A$3:$B$58,2,FALSE)</f>
        <v>136</v>
      </c>
      <c r="D42" s="265" t="s">
        <v>63</v>
      </c>
      <c r="E42" s="265" t="s">
        <v>63</v>
      </c>
      <c r="F42" s="265" t="s">
        <v>63</v>
      </c>
      <c r="G42" s="265" t="s">
        <v>63</v>
      </c>
      <c r="H42" s="266">
        <f>vlookup(A42,'WV Data'!$A$111:$B$168,2,FALSE)</f>
        <v>23</v>
      </c>
      <c r="I42" s="267" t="s">
        <v>63</v>
      </c>
      <c r="J42" s="268" t="s">
        <v>63</v>
      </c>
      <c r="K42" s="284" t="s">
        <v>63</v>
      </c>
      <c r="L42" s="266" t="s">
        <v>63</v>
      </c>
      <c r="M42" s="267" t="s">
        <v>63</v>
      </c>
      <c r="N42" s="265" t="s">
        <v>63</v>
      </c>
      <c r="O42" s="265" t="s">
        <v>63</v>
      </c>
      <c r="P42" s="272">
        <f>ifna(vlookup(A42,'Population &amp; Church Numbers'!$A$2995:$D$3049,4,FALSE),"NULL")</f>
        <v>53</v>
      </c>
      <c r="Q42" s="334" t="s">
        <v>63</v>
      </c>
    </row>
    <row r="43">
      <c r="A43" s="326" t="s">
        <v>2341</v>
      </c>
      <c r="B43" s="251">
        <f t="array" ref="B43">VLOOKUP($A43,WV_DEMO,2,FALSE)</f>
        <v>74591</v>
      </c>
      <c r="C43" s="252">
        <f>vlookup(A43,'WV Data'!$A$3:$B$58,2,FALSE)</f>
        <v>120</v>
      </c>
      <c r="D43" s="253" t="s">
        <v>63</v>
      </c>
      <c r="E43" s="253" t="s">
        <v>63</v>
      </c>
      <c r="F43" s="253" t="s">
        <v>63</v>
      </c>
      <c r="G43" s="253" t="s">
        <v>63</v>
      </c>
      <c r="H43" s="254">
        <f>vlookup(A43,'WV Data'!$A$111:$B$168,2,FALSE)</f>
        <v>48</v>
      </c>
      <c r="I43" s="255" t="s">
        <v>63</v>
      </c>
      <c r="J43" s="256" t="s">
        <v>63</v>
      </c>
      <c r="K43" s="274" t="s">
        <v>63</v>
      </c>
      <c r="L43" s="254" t="s">
        <v>63</v>
      </c>
      <c r="M43" s="255" t="s">
        <v>63</v>
      </c>
      <c r="N43" s="253" t="s">
        <v>63</v>
      </c>
      <c r="O43" s="253" t="s">
        <v>63</v>
      </c>
      <c r="P43" s="261">
        <f>ifna(vlookup(A43,'Population &amp; Church Numbers'!$A$2995:$D$3049,4,FALSE),"NULL")</f>
        <v>117</v>
      </c>
      <c r="Q43" s="329" t="s">
        <v>63</v>
      </c>
    </row>
    <row r="44">
      <c r="A44" s="188" t="s">
        <v>163</v>
      </c>
      <c r="B44" s="189">
        <f t="array" ref="B44">VLOOKUP($A44,WV_DEMO,2,FALSE)</f>
        <v>27932</v>
      </c>
      <c r="C44" s="264">
        <f>vlookup(A44,'WV Data'!$A$3:$B$58,2,FALSE)</f>
        <v>113</v>
      </c>
      <c r="D44" s="265" t="s">
        <v>63</v>
      </c>
      <c r="E44" s="265" t="s">
        <v>63</v>
      </c>
      <c r="F44" s="265" t="s">
        <v>63</v>
      </c>
      <c r="G44" s="265" t="s">
        <v>63</v>
      </c>
      <c r="H44" s="266">
        <f>vlookup(A44,'WV Data'!$A$111:$B$168,2,FALSE)</f>
        <v>12</v>
      </c>
      <c r="I44" s="267" t="s">
        <v>63</v>
      </c>
      <c r="J44" s="268" t="s">
        <v>63</v>
      </c>
      <c r="K44" s="284" t="s">
        <v>63</v>
      </c>
      <c r="L44" s="266" t="s">
        <v>63</v>
      </c>
      <c r="M44" s="267" t="s">
        <v>63</v>
      </c>
      <c r="N44" s="265" t="s">
        <v>63</v>
      </c>
      <c r="O44" s="265" t="s">
        <v>63</v>
      </c>
      <c r="P44" s="272">
        <f>ifna(vlookup(A44,'Population &amp; Church Numbers'!$A$2995:$D$3049,4,FALSE),"NULL")</f>
        <v>33</v>
      </c>
      <c r="Q44" s="334" t="s">
        <v>63</v>
      </c>
    </row>
    <row r="45">
      <c r="A45" s="326" t="s">
        <v>2342</v>
      </c>
      <c r="B45" s="251">
        <f t="array" ref="B45">VLOOKUP($A45,WV_DEMO,2,FALSE)</f>
        <v>8444</v>
      </c>
      <c r="C45" s="252">
        <f>vlookup(A45,'WV Data'!$A$3:$B$58,2,FALSE)</f>
        <v>73</v>
      </c>
      <c r="D45" s="253" t="s">
        <v>63</v>
      </c>
      <c r="E45" s="253" t="s">
        <v>63</v>
      </c>
      <c r="F45" s="253" t="s">
        <v>63</v>
      </c>
      <c r="G45" s="253" t="s">
        <v>63</v>
      </c>
      <c r="H45" s="254">
        <f>vlookup(A45,'WV Data'!$A$111:$B$168,2,FALSE)</f>
        <v>11</v>
      </c>
      <c r="I45" s="255" t="s">
        <v>63</v>
      </c>
      <c r="J45" s="256" t="s">
        <v>63</v>
      </c>
      <c r="K45" s="274" t="s">
        <v>63</v>
      </c>
      <c r="L45" s="254" t="s">
        <v>63</v>
      </c>
      <c r="M45" s="255" t="s">
        <v>63</v>
      </c>
      <c r="N45" s="253" t="s">
        <v>63</v>
      </c>
      <c r="O45" s="253" t="s">
        <v>63</v>
      </c>
      <c r="P45" s="261">
        <f>ifna(vlookup(A45,'Population &amp; Church Numbers'!$A$2995:$D$3049,4,FALSE),"NULL")</f>
        <v>17</v>
      </c>
      <c r="Q45" s="329" t="s">
        <v>63</v>
      </c>
    </row>
    <row r="46">
      <c r="A46" s="188" t="s">
        <v>1976</v>
      </c>
      <c r="B46" s="189">
        <f t="array" ref="B46">VLOOKUP($A46,WV_DEMO,2,FALSE)</f>
        <v>14028</v>
      </c>
      <c r="C46" s="264">
        <f>vlookup(A46,'WV Data'!$A$3:$B$58,2,FALSE)</f>
        <v>81</v>
      </c>
      <c r="D46" s="265" t="s">
        <v>63</v>
      </c>
      <c r="E46" s="265" t="s">
        <v>63</v>
      </c>
      <c r="F46" s="265" t="s">
        <v>63</v>
      </c>
      <c r="G46" s="265" t="s">
        <v>63</v>
      </c>
      <c r="H46" s="266">
        <f>vlookup(A46,'WV Data'!$A$111:$B$168,2,FALSE)</f>
        <v>13</v>
      </c>
      <c r="I46" s="267" t="s">
        <v>63</v>
      </c>
      <c r="J46" s="268" t="s">
        <v>63</v>
      </c>
      <c r="K46" s="284" t="s">
        <v>63</v>
      </c>
      <c r="L46" s="266" t="s">
        <v>63</v>
      </c>
      <c r="M46" s="267" t="s">
        <v>63</v>
      </c>
      <c r="N46" s="265" t="s">
        <v>63</v>
      </c>
      <c r="O46" s="265" t="s">
        <v>63</v>
      </c>
      <c r="P46" s="272">
        <f>ifna(vlookup(A46,'Population &amp; Church Numbers'!$A$2995:$D$3049,4,FALSE),"NULL")</f>
        <v>16</v>
      </c>
      <c r="Q46" s="334" t="s">
        <v>63</v>
      </c>
    </row>
    <row r="47">
      <c r="A47" s="326" t="s">
        <v>2343</v>
      </c>
      <c r="B47" s="251">
        <f t="array" ref="B47">VLOOKUP($A47,WV_DEMO,2,FALSE)</f>
        <v>11959</v>
      </c>
      <c r="C47" s="252">
        <f>vlookup(A47,'WV Data'!$A$3:$B$58,2,FALSE)</f>
        <v>4</v>
      </c>
      <c r="D47" s="253" t="s">
        <v>63</v>
      </c>
      <c r="E47" s="253" t="s">
        <v>63</v>
      </c>
      <c r="F47" s="253" t="s">
        <v>63</v>
      </c>
      <c r="G47" s="253" t="s">
        <v>63</v>
      </c>
      <c r="H47" s="254">
        <f>vlookup(A47,'WV Data'!$A$111:$B$168,2,FALSE)</f>
        <v>3</v>
      </c>
      <c r="I47" s="255" t="s">
        <v>63</v>
      </c>
      <c r="J47" s="256" t="s">
        <v>63</v>
      </c>
      <c r="K47" s="274" t="s">
        <v>63</v>
      </c>
      <c r="L47" s="254" t="s">
        <v>63</v>
      </c>
      <c r="M47" s="255" t="s">
        <v>63</v>
      </c>
      <c r="N47" s="253" t="s">
        <v>63</v>
      </c>
      <c r="O47" s="253" t="s">
        <v>63</v>
      </c>
      <c r="P47" s="261">
        <f>ifna(vlookup(A47,'Population &amp; Church Numbers'!$A$2995:$D$3049,4,FALSE),"NULL")</f>
        <v>16</v>
      </c>
      <c r="Q47" s="329" t="s">
        <v>63</v>
      </c>
    </row>
    <row r="48">
      <c r="A48" s="188" t="s">
        <v>526</v>
      </c>
      <c r="B48" s="189">
        <f t="array" ref="B48">VLOOKUP($A48,WV_DEMO,2,FALSE)</f>
        <v>16705</v>
      </c>
      <c r="C48" s="264">
        <f>vlookup(A48,'WV Data'!$A$3:$B$58,2,FALSE)</f>
        <v>77</v>
      </c>
      <c r="D48" s="265" t="s">
        <v>63</v>
      </c>
      <c r="E48" s="265" t="s">
        <v>63</v>
      </c>
      <c r="F48" s="265" t="s">
        <v>63</v>
      </c>
      <c r="G48" s="265" t="s">
        <v>63</v>
      </c>
      <c r="H48" s="266">
        <f>vlookup(A48,'WV Data'!$A$111:$B$168,2,FALSE)</f>
        <v>9</v>
      </c>
      <c r="I48" s="267" t="s">
        <v>63</v>
      </c>
      <c r="J48" s="268" t="s">
        <v>63</v>
      </c>
      <c r="K48" s="284" t="s">
        <v>63</v>
      </c>
      <c r="L48" s="266" t="s">
        <v>63</v>
      </c>
      <c r="M48" s="267" t="s">
        <v>63</v>
      </c>
      <c r="N48" s="265" t="s">
        <v>63</v>
      </c>
      <c r="O48" s="265" t="s">
        <v>63</v>
      </c>
      <c r="P48" s="272">
        <f>ifna(vlookup(A48,'Population &amp; Church Numbers'!$A$2995:$D$3049,4,FALSE),"NULL")</f>
        <v>22</v>
      </c>
      <c r="Q48" s="334" t="s">
        <v>63</v>
      </c>
    </row>
    <row r="49">
      <c r="A49" s="326" t="s">
        <v>2344</v>
      </c>
      <c r="B49" s="251">
        <f t="array" ref="B49">VLOOKUP($A49,WV_DEMO,2,FALSE)</f>
        <v>6762</v>
      </c>
      <c r="C49" s="252" t="str">
        <f>vlookup(A49,'WV Data'!$A$3:$B$58,2,FALSE)</f>
        <v>NULL</v>
      </c>
      <c r="D49" s="253" t="s">
        <v>63</v>
      </c>
      <c r="E49" s="253" t="s">
        <v>63</v>
      </c>
      <c r="F49" s="253" t="s">
        <v>63</v>
      </c>
      <c r="G49" s="253" t="s">
        <v>63</v>
      </c>
      <c r="H49" s="254">
        <f>vlookup(A49,'WV Data'!$A$111:$B$168,2,FALSE)</f>
        <v>9</v>
      </c>
      <c r="I49" s="255" t="s">
        <v>63</v>
      </c>
      <c r="J49" s="256" t="s">
        <v>63</v>
      </c>
      <c r="K49" s="274" t="s">
        <v>63</v>
      </c>
      <c r="L49" s="254" t="s">
        <v>63</v>
      </c>
      <c r="M49" s="255" t="s">
        <v>63</v>
      </c>
      <c r="N49" s="253" t="s">
        <v>63</v>
      </c>
      <c r="O49" s="253" t="s">
        <v>63</v>
      </c>
      <c r="P49" s="261">
        <f>ifna(vlookup(A49,'Population &amp; Church Numbers'!$A$2995:$D$3049,4,FALSE),"NULL")</f>
        <v>16</v>
      </c>
      <c r="Q49" s="329" t="s">
        <v>63</v>
      </c>
    </row>
    <row r="50">
      <c r="A50" s="188" t="s">
        <v>2161</v>
      </c>
      <c r="B50" s="189">
        <f t="array" ref="B50">VLOOKUP($A50,WV_DEMO,2,FALSE)</f>
        <v>8313</v>
      </c>
      <c r="C50" s="264" t="str">
        <f>vlookup(A50,'WV Data'!$A$3:$B$58,2,FALSE)</f>
        <v>NULL</v>
      </c>
      <c r="D50" s="265" t="s">
        <v>63</v>
      </c>
      <c r="E50" s="265" t="s">
        <v>63</v>
      </c>
      <c r="F50" s="265" t="s">
        <v>63</v>
      </c>
      <c r="G50" s="265" t="s">
        <v>63</v>
      </c>
      <c r="H50" s="266">
        <f>vlookup(A50,'WV Data'!$A$111:$B$168,2,FALSE)</f>
        <v>3</v>
      </c>
      <c r="I50" s="267" t="s">
        <v>63</v>
      </c>
      <c r="J50" s="268" t="s">
        <v>63</v>
      </c>
      <c r="K50" s="284" t="s">
        <v>63</v>
      </c>
      <c r="L50" s="266" t="s">
        <v>63</v>
      </c>
      <c r="M50" s="267" t="s">
        <v>63</v>
      </c>
      <c r="N50" s="265" t="s">
        <v>63</v>
      </c>
      <c r="O50" s="265" t="s">
        <v>63</v>
      </c>
      <c r="P50" s="272">
        <f>ifna(vlookup(A50,'Population &amp; Church Numbers'!$A$2995:$D$3049,4,FALSE),"NULL")</f>
        <v>22</v>
      </c>
      <c r="Q50" s="334" t="s">
        <v>63</v>
      </c>
    </row>
    <row r="51">
      <c r="A51" s="326" t="s">
        <v>2162</v>
      </c>
      <c r="B51" s="251">
        <f t="array" ref="B51">VLOOKUP($A51,WV_DEMO,2,FALSE)</f>
        <v>23816</v>
      </c>
      <c r="C51" s="252">
        <f>vlookup(A51,'WV Data'!$A$3:$B$58,2,FALSE)</f>
        <v>98</v>
      </c>
      <c r="D51" s="253" t="s">
        <v>63</v>
      </c>
      <c r="E51" s="253" t="s">
        <v>63</v>
      </c>
      <c r="F51" s="253" t="s">
        <v>63</v>
      </c>
      <c r="G51" s="253" t="s">
        <v>63</v>
      </c>
      <c r="H51" s="254">
        <f>vlookup(A51,'WV Data'!$A$111:$B$168,2,FALSE)</f>
        <v>24</v>
      </c>
      <c r="I51" s="255" t="s">
        <v>63</v>
      </c>
      <c r="J51" s="256" t="s">
        <v>63</v>
      </c>
      <c r="K51" s="274" t="s">
        <v>63</v>
      </c>
      <c r="L51" s="254" t="s">
        <v>63</v>
      </c>
      <c r="M51" s="255" t="s">
        <v>63</v>
      </c>
      <c r="N51" s="253" t="s">
        <v>63</v>
      </c>
      <c r="O51" s="253" t="s">
        <v>63</v>
      </c>
      <c r="P51" s="261">
        <f>ifna(vlookup(A51,'Population &amp; Church Numbers'!$A$2995:$D$3049,4,FALSE),"NULL")</f>
        <v>20</v>
      </c>
      <c r="Q51" s="329" t="s">
        <v>63</v>
      </c>
    </row>
    <row r="52">
      <c r="A52" s="188" t="s">
        <v>273</v>
      </c>
      <c r="B52" s="189">
        <f t="array" ref="B52">VLOOKUP($A52,WV_DEMO,2,FALSE)</f>
        <v>38982</v>
      </c>
      <c r="C52" s="264">
        <f>vlookup(A52,'WV Data'!$A$3:$B$58,2,FALSE)</f>
        <v>158</v>
      </c>
      <c r="D52" s="265" t="s">
        <v>63</v>
      </c>
      <c r="E52" s="265" t="s">
        <v>63</v>
      </c>
      <c r="F52" s="265" t="s">
        <v>63</v>
      </c>
      <c r="G52" s="265" t="s">
        <v>63</v>
      </c>
      <c r="H52" s="266">
        <f>vlookup(A52,'WV Data'!$A$111:$B$168,2,FALSE)</f>
        <v>23</v>
      </c>
      <c r="I52" s="267" t="s">
        <v>63</v>
      </c>
      <c r="J52" s="268" t="s">
        <v>63</v>
      </c>
      <c r="K52" s="284" t="s">
        <v>63</v>
      </c>
      <c r="L52" s="266" t="s">
        <v>63</v>
      </c>
      <c r="M52" s="267" t="s">
        <v>63</v>
      </c>
      <c r="N52" s="265" t="s">
        <v>63</v>
      </c>
      <c r="O52" s="265" t="s">
        <v>63</v>
      </c>
      <c r="P52" s="272">
        <f>ifna(vlookup(A52,'Population &amp; Church Numbers'!$A$2995:$D$3049,4,FALSE),"NULL")</f>
        <v>41</v>
      </c>
      <c r="Q52" s="334" t="s">
        <v>63</v>
      </c>
    </row>
    <row r="53">
      <c r="A53" s="326" t="s">
        <v>648</v>
      </c>
      <c r="B53" s="251">
        <f t="array" ref="B53">VLOOKUP($A53,WV_DEMO,2,FALSE)</f>
        <v>8378</v>
      </c>
      <c r="C53" s="252">
        <f>vlookup(A53,'WV Data'!$A$3:$B$58,2,FALSE)</f>
        <v>21</v>
      </c>
      <c r="D53" s="253" t="s">
        <v>63</v>
      </c>
      <c r="E53" s="253" t="s">
        <v>63</v>
      </c>
      <c r="F53" s="253" t="s">
        <v>63</v>
      </c>
      <c r="G53" s="253" t="s">
        <v>63</v>
      </c>
      <c r="H53" s="254">
        <f>vlookup(A53,'WV Data'!$A$111:$B$168,2,FALSE)</f>
        <v>2</v>
      </c>
      <c r="I53" s="255" t="s">
        <v>63</v>
      </c>
      <c r="J53" s="256" t="s">
        <v>63</v>
      </c>
      <c r="K53" s="274" t="s">
        <v>63</v>
      </c>
      <c r="L53" s="254" t="s">
        <v>63</v>
      </c>
      <c r="M53" s="255" t="s">
        <v>63</v>
      </c>
      <c r="N53" s="253" t="s">
        <v>63</v>
      </c>
      <c r="O53" s="253" t="s">
        <v>63</v>
      </c>
      <c r="P53" s="261">
        <f>ifna(vlookup(A53,'Population &amp; Church Numbers'!$A$2995:$D$3049,4,FALSE),"NULL")</f>
        <v>10</v>
      </c>
      <c r="Q53" s="329" t="s">
        <v>63</v>
      </c>
    </row>
    <row r="54">
      <c r="A54" s="188" t="s">
        <v>2345</v>
      </c>
      <c r="B54" s="189">
        <f t="array" ref="B54">VLOOKUP($A54,WV_DEMO,2,FALSE)</f>
        <v>14442</v>
      </c>
      <c r="C54" s="264">
        <f>vlookup(A54,'WV Data'!$A$3:$B$58,2,FALSE)</f>
        <v>88</v>
      </c>
      <c r="D54" s="265" t="s">
        <v>63</v>
      </c>
      <c r="E54" s="265" t="s">
        <v>63</v>
      </c>
      <c r="F54" s="265" t="s">
        <v>63</v>
      </c>
      <c r="G54" s="265" t="s">
        <v>63</v>
      </c>
      <c r="H54" s="266">
        <f>vlookup(A54,'WV Data'!$A$111:$B$168,2,FALSE)</f>
        <v>11</v>
      </c>
      <c r="I54" s="267" t="s">
        <v>63</v>
      </c>
      <c r="J54" s="268" t="s">
        <v>63</v>
      </c>
      <c r="K54" s="284" t="s">
        <v>63</v>
      </c>
      <c r="L54" s="266" t="s">
        <v>63</v>
      </c>
      <c r="M54" s="267" t="s">
        <v>63</v>
      </c>
      <c r="N54" s="265" t="s">
        <v>63</v>
      </c>
      <c r="O54" s="265" t="s">
        <v>63</v>
      </c>
      <c r="P54" s="272">
        <f>ifna(vlookup(A54,'Population &amp; Church Numbers'!$A$2995:$D$3049,4,FALSE),"NULL")</f>
        <v>33</v>
      </c>
      <c r="Q54" s="334" t="s">
        <v>63</v>
      </c>
    </row>
    <row r="55">
      <c r="A55" s="326" t="s">
        <v>2346</v>
      </c>
      <c r="B55" s="251">
        <f t="array" ref="B55">VLOOKUP($A55,WV_DEMO,2,FALSE)</f>
        <v>5194</v>
      </c>
      <c r="C55" s="252" t="str">
        <f>vlookup(A55,'WV Data'!$A$3:$B$58,2,FALSE)</f>
        <v>NULL</v>
      </c>
      <c r="D55" s="253" t="s">
        <v>63</v>
      </c>
      <c r="E55" s="253" t="s">
        <v>63</v>
      </c>
      <c r="F55" s="253" t="s">
        <v>63</v>
      </c>
      <c r="G55" s="253" t="s">
        <v>63</v>
      </c>
      <c r="H55" s="254">
        <f>vlookup(A55,'WV Data'!$A$111:$B$168,2,FALSE)</f>
        <v>5</v>
      </c>
      <c r="I55" s="255" t="s">
        <v>63</v>
      </c>
      <c r="J55" s="256" t="s">
        <v>63</v>
      </c>
      <c r="K55" s="274" t="s">
        <v>63</v>
      </c>
      <c r="L55" s="254" t="s">
        <v>63</v>
      </c>
      <c r="M55" s="255" t="s">
        <v>63</v>
      </c>
      <c r="N55" s="253" t="s">
        <v>63</v>
      </c>
      <c r="O55" s="253" t="s">
        <v>63</v>
      </c>
      <c r="P55" s="261">
        <f>ifna(vlookup(A55,'Population &amp; Church Numbers'!$A$2995:$D$3049,4,FALSE),"NULL")</f>
        <v>3</v>
      </c>
      <c r="Q55" s="329" t="s">
        <v>63</v>
      </c>
    </row>
    <row r="56">
      <c r="A56" s="1076" t="s">
        <v>1703</v>
      </c>
      <c r="B56" s="189">
        <f t="array" ref="B56">VLOOKUP($A56,WV_DEMO,2,FALSE)</f>
        <v>84296</v>
      </c>
      <c r="C56" s="264">
        <f>vlookup(A56,'WV Data'!$A$3:$B$58,2,FALSE)</f>
        <v>325</v>
      </c>
      <c r="D56" s="265" t="s">
        <v>63</v>
      </c>
      <c r="E56" s="265" t="s">
        <v>63</v>
      </c>
      <c r="F56" s="265" t="s">
        <v>63</v>
      </c>
      <c r="G56" s="265" t="s">
        <v>63</v>
      </c>
      <c r="H56" s="266">
        <f>vlookup(A56,'WV Data'!$A$111:$B$168,2,FALSE)</f>
        <v>70</v>
      </c>
      <c r="I56" s="267" t="s">
        <v>63</v>
      </c>
      <c r="J56" s="268" t="s">
        <v>63</v>
      </c>
      <c r="K56" s="284" t="s">
        <v>63</v>
      </c>
      <c r="L56" s="266" t="s">
        <v>63</v>
      </c>
      <c r="M56" s="267" t="s">
        <v>63</v>
      </c>
      <c r="N56" s="265" t="s">
        <v>63</v>
      </c>
      <c r="O56" s="265" t="s">
        <v>63</v>
      </c>
      <c r="P56" s="272">
        <f>ifna(vlookup(A56,'Population &amp; Church Numbers'!$A$2995:$D$3049,4,FALSE),"NULL")</f>
        <v>127</v>
      </c>
      <c r="Q56" s="334" t="s">
        <v>63</v>
      </c>
    </row>
    <row r="57">
      <c r="A57" s="1382" t="s">
        <v>123</v>
      </c>
      <c r="B57" s="251">
        <f t="array" ref="B57">VLOOKUP($A57,WV_DEMO,2,FALSE)</f>
        <v>21382</v>
      </c>
      <c r="C57" s="252">
        <f>vlookup(A57,'WV Data'!$A$3:$B$58,2,FALSE)</f>
        <v>68</v>
      </c>
      <c r="D57" s="253" t="s">
        <v>63</v>
      </c>
      <c r="E57" s="253" t="s">
        <v>63</v>
      </c>
      <c r="F57" s="253" t="s">
        <v>63</v>
      </c>
      <c r="G57" s="253" t="s">
        <v>63</v>
      </c>
      <c r="H57" s="254">
        <f>vlookup(A57,'WV Data'!$A$111:$B$168,2,FALSE)</f>
        <v>33</v>
      </c>
      <c r="I57" s="255" t="s">
        <v>63</v>
      </c>
      <c r="J57" s="256" t="s">
        <v>63</v>
      </c>
      <c r="K57" s="274" t="s">
        <v>63</v>
      </c>
      <c r="L57" s="254" t="s">
        <v>63</v>
      </c>
      <c r="M57" s="255" t="s">
        <v>63</v>
      </c>
      <c r="N57" s="253" t="s">
        <v>63</v>
      </c>
      <c r="O57" s="253" t="s">
        <v>63</v>
      </c>
      <c r="P57" s="261">
        <f>ifna(vlookup(A57,'Population &amp; Church Numbers'!$A$2995:$D$3049,4,FALSE),"NULL")</f>
        <v>42</v>
      </c>
      <c r="Q57" s="329" t="s">
        <v>63</v>
      </c>
    </row>
    <row r="58">
      <c r="A58" s="217"/>
      <c r="B58" s="218"/>
      <c r="C58" s="219"/>
      <c r="D58" s="220"/>
      <c r="E58" s="220"/>
      <c r="F58" s="220"/>
      <c r="G58" s="220"/>
      <c r="H58" s="221"/>
      <c r="I58" s="222"/>
      <c r="J58" s="223"/>
      <c r="K58" s="219"/>
      <c r="L58" s="224"/>
      <c r="M58" s="225"/>
      <c r="N58" s="226"/>
      <c r="O58" s="220"/>
      <c r="P58" s="221"/>
      <c r="Q58" s="295"/>
    </row>
    <row r="59">
      <c r="A59" s="228" t="s">
        <v>2</v>
      </c>
      <c r="B59" s="229"/>
      <c r="C59" s="1134">
        <f>'WV Data'!B58</f>
        <v>6094</v>
      </c>
      <c r="D59" s="708" t="s">
        <v>63</v>
      </c>
      <c r="E59" s="708" t="s">
        <v>63</v>
      </c>
      <c r="F59" s="708" t="s">
        <v>63</v>
      </c>
      <c r="G59" s="708" t="s">
        <v>63</v>
      </c>
      <c r="H59" s="1134">
        <f>AFCARSCSC!D52</f>
        <v>3148</v>
      </c>
      <c r="I59" s="237">
        <f>AFCARSCSC!C52</f>
        <v>1748</v>
      </c>
      <c r="J59" s="360" t="s">
        <v>63</v>
      </c>
      <c r="K59" s="708" t="s">
        <v>63</v>
      </c>
      <c r="L59" s="708" t="s">
        <v>63</v>
      </c>
      <c r="M59" s="360" t="s">
        <v>63</v>
      </c>
      <c r="N59" s="360" t="s">
        <v>63</v>
      </c>
      <c r="O59" s="360" t="s">
        <v>63</v>
      </c>
      <c r="P59" s="233">
        <f>SUM(P3:P55)</f>
        <v>2220</v>
      </c>
      <c r="Q59" s="691" t="s">
        <v>63</v>
      </c>
    </row>
  </sheetData>
  <autoFilter ref="$A$2:$Q$57"/>
  <mergeCells count="1">
    <mergeCell ref="B1:Q1"/>
  </mergeCells>
  <drawing r:id="rId1"/>
</worksheet>
</file>

<file path=xl/worksheets/sheet10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5.63"/>
    <col customWidth="1" min="9" max="9" width="14.75"/>
    <col customWidth="1" min="11" max="11" width="16.75"/>
  </cols>
  <sheetData>
    <row r="1">
      <c r="A1" s="368" t="s">
        <v>1040</v>
      </c>
      <c r="B1" s="369"/>
      <c r="C1" s="369"/>
      <c r="D1" s="369"/>
      <c r="E1" s="601" t="s">
        <v>765</v>
      </c>
      <c r="F1" s="370" t="s">
        <v>4235</v>
      </c>
      <c r="G1" s="369"/>
      <c r="H1" s="369"/>
      <c r="I1" s="601" t="s">
        <v>767</v>
      </c>
      <c r="J1" s="602">
        <v>45429.0</v>
      </c>
      <c r="K1" s="601" t="s">
        <v>769</v>
      </c>
      <c r="L1" s="602">
        <v>45412.0</v>
      </c>
      <c r="M1" s="373"/>
    </row>
    <row r="2">
      <c r="A2" s="1045"/>
      <c r="B2" s="1045"/>
      <c r="C2" s="1045"/>
      <c r="D2" s="1045"/>
      <c r="E2" s="1045"/>
      <c r="F2" s="1045"/>
      <c r="G2" s="1045"/>
    </row>
    <row r="3">
      <c r="A3" s="784" t="s">
        <v>62</v>
      </c>
      <c r="B3" s="206">
        <v>110.0</v>
      </c>
      <c r="C3" s="1383"/>
      <c r="D3" s="1383"/>
      <c r="E3" s="1045"/>
      <c r="F3" s="1045"/>
      <c r="G3" s="1045"/>
    </row>
    <row r="4">
      <c r="A4" s="784" t="s">
        <v>1818</v>
      </c>
      <c r="B4" s="206">
        <v>245.0</v>
      </c>
      <c r="C4" s="1059"/>
      <c r="D4" s="1059"/>
      <c r="E4" s="1045"/>
      <c r="F4" s="1383"/>
      <c r="G4" s="1045"/>
    </row>
    <row r="5">
      <c r="A5" s="784" t="s">
        <v>246</v>
      </c>
      <c r="B5" s="206">
        <v>87.0</v>
      </c>
      <c r="C5" s="1059"/>
      <c r="D5" s="1059"/>
      <c r="E5" s="1045"/>
      <c r="F5" s="1384"/>
      <c r="G5" s="1045"/>
    </row>
    <row r="6">
      <c r="A6" s="784" t="s">
        <v>2330</v>
      </c>
      <c r="B6" s="206">
        <v>119.0</v>
      </c>
      <c r="C6" s="1059"/>
      <c r="D6" s="1059"/>
      <c r="E6" s="1045"/>
      <c r="F6" s="1384"/>
      <c r="G6" s="1045"/>
    </row>
    <row r="7">
      <c r="A7" s="784" t="s">
        <v>2331</v>
      </c>
      <c r="B7" s="206" t="s">
        <v>63</v>
      </c>
      <c r="C7" s="1059"/>
      <c r="D7" s="1059"/>
      <c r="E7" s="1045"/>
      <c r="F7" s="1383"/>
      <c r="G7" s="1045"/>
    </row>
    <row r="8">
      <c r="A8" s="784" t="s">
        <v>2332</v>
      </c>
      <c r="B8" s="206">
        <v>251.0</v>
      </c>
      <c r="C8" s="1059"/>
      <c r="D8" s="1059"/>
      <c r="E8" s="1045"/>
      <c r="F8" s="1045"/>
      <c r="G8" s="1045"/>
    </row>
    <row r="9">
      <c r="A9" s="784" t="s">
        <v>93</v>
      </c>
      <c r="B9" s="206">
        <v>22.0</v>
      </c>
      <c r="C9" s="1059"/>
      <c r="D9" s="1059"/>
      <c r="E9" s="1045"/>
      <c r="F9" s="1045"/>
      <c r="G9" s="1045"/>
    </row>
    <row r="10">
      <c r="A10" s="784" t="s">
        <v>112</v>
      </c>
      <c r="B10" s="206">
        <v>24.0</v>
      </c>
      <c r="C10" s="1059"/>
      <c r="D10" s="1059"/>
      <c r="E10" s="1045"/>
      <c r="F10" s="1045"/>
      <c r="G10" s="1045"/>
    </row>
    <row r="11">
      <c r="A11" s="784" t="s">
        <v>2333</v>
      </c>
      <c r="B11" s="206">
        <v>8.0</v>
      </c>
      <c r="C11" s="1059"/>
      <c r="D11" s="1059"/>
      <c r="E11" s="1045"/>
      <c r="F11" s="1045"/>
      <c r="G11" s="1045"/>
    </row>
    <row r="12">
      <c r="A12" s="784" t="s">
        <v>135</v>
      </c>
      <c r="B12" s="206" t="s">
        <v>63</v>
      </c>
      <c r="C12" s="1059"/>
      <c r="D12" s="1059"/>
      <c r="E12" s="1045"/>
      <c r="F12" s="1045"/>
      <c r="G12" s="1045"/>
    </row>
    <row r="13">
      <c r="A13" s="784" t="s">
        <v>579</v>
      </c>
      <c r="B13" s="206">
        <v>29.0</v>
      </c>
      <c r="C13" s="1059"/>
      <c r="D13" s="1059"/>
      <c r="E13" s="1045"/>
      <c r="F13" s="1045"/>
      <c r="G13" s="1045"/>
    </row>
    <row r="14">
      <c r="A14" s="784" t="s">
        <v>278</v>
      </c>
      <c r="B14" s="206">
        <v>131.0</v>
      </c>
      <c r="C14" s="1059"/>
      <c r="D14" s="1059"/>
      <c r="E14" s="1045"/>
      <c r="F14" s="1045"/>
      <c r="G14" s="1045"/>
    </row>
    <row r="15">
      <c r="A15" s="784" t="s">
        <v>2334</v>
      </c>
      <c r="B15" s="206">
        <v>135.0</v>
      </c>
      <c r="C15" s="1059"/>
      <c r="D15" s="1059"/>
      <c r="E15" s="1045"/>
      <c r="F15" s="1045"/>
      <c r="G15" s="1045"/>
    </row>
    <row r="16">
      <c r="A16" s="784" t="s">
        <v>1231</v>
      </c>
      <c r="B16" s="206">
        <v>45.0</v>
      </c>
      <c r="C16" s="1059"/>
      <c r="D16" s="1059"/>
      <c r="E16" s="1045"/>
      <c r="F16" s="1045"/>
      <c r="G16" s="1045"/>
    </row>
    <row r="17">
      <c r="A17" s="784" t="s">
        <v>587</v>
      </c>
      <c r="B17" s="206">
        <v>110.0</v>
      </c>
      <c r="C17" s="1059"/>
      <c r="D17" s="1059"/>
      <c r="E17" s="1045"/>
      <c r="F17" s="1045"/>
      <c r="G17" s="1045"/>
    </row>
    <row r="18">
      <c r="A18" s="784" t="s">
        <v>2335</v>
      </c>
      <c r="B18" s="833">
        <v>52.0</v>
      </c>
      <c r="C18" s="1383"/>
      <c r="D18" s="1383"/>
      <c r="E18" s="1045"/>
      <c r="F18" s="1045"/>
      <c r="G18" s="1045"/>
    </row>
    <row r="19">
      <c r="A19" s="1231" t="s">
        <v>775</v>
      </c>
      <c r="B19" s="206">
        <v>185.0</v>
      </c>
      <c r="C19" s="1059"/>
      <c r="D19" s="1045"/>
      <c r="E19" s="1045"/>
      <c r="F19" s="1045"/>
      <c r="G19" s="1045"/>
    </row>
    <row r="20">
      <c r="A20" s="1231" t="s">
        <v>142</v>
      </c>
      <c r="B20" s="206">
        <v>98.0</v>
      </c>
      <c r="C20" s="1059"/>
      <c r="D20" s="1045"/>
      <c r="E20" s="1045"/>
      <c r="F20" s="1045"/>
      <c r="G20" s="1045"/>
    </row>
    <row r="21">
      <c r="A21" s="1231" t="s">
        <v>143</v>
      </c>
      <c r="B21" s="206">
        <v>48.0</v>
      </c>
    </row>
    <row r="22">
      <c r="A22" s="1231" t="s">
        <v>2336</v>
      </c>
      <c r="B22" s="206">
        <v>1319.0</v>
      </c>
    </row>
    <row r="23">
      <c r="A23" s="1231" t="s">
        <v>682</v>
      </c>
      <c r="B23" s="206">
        <v>20.0</v>
      </c>
    </row>
    <row r="24">
      <c r="A24" s="1231" t="s">
        <v>290</v>
      </c>
      <c r="B24" s="206">
        <v>87.0</v>
      </c>
    </row>
    <row r="25">
      <c r="A25" s="1231" t="s">
        <v>293</v>
      </c>
      <c r="B25" s="206">
        <v>145.0</v>
      </c>
    </row>
    <row r="26">
      <c r="A26" s="1231" t="s">
        <v>1614</v>
      </c>
      <c r="B26" s="206">
        <v>63.0</v>
      </c>
    </row>
    <row r="27">
      <c r="A27" s="1231" t="s">
        <v>153</v>
      </c>
      <c r="B27" s="206">
        <v>200.0</v>
      </c>
    </row>
    <row r="28">
      <c r="A28" s="1231" t="s">
        <v>154</v>
      </c>
      <c r="B28" s="206">
        <v>96.0</v>
      </c>
    </row>
    <row r="29">
      <c r="A29" s="1231" t="s">
        <v>735</v>
      </c>
      <c r="B29" s="206">
        <v>200.0</v>
      </c>
    </row>
    <row r="30">
      <c r="A30" s="1231" t="s">
        <v>738</v>
      </c>
      <c r="B30" s="206">
        <v>190.0</v>
      </c>
    </row>
    <row r="31">
      <c r="A31" s="1231" t="s">
        <v>435</v>
      </c>
      <c r="B31" s="206">
        <v>11.0</v>
      </c>
    </row>
    <row r="32">
      <c r="A32" s="1231" t="s">
        <v>2337</v>
      </c>
      <c r="B32" s="206">
        <v>85.0</v>
      </c>
    </row>
    <row r="33">
      <c r="A33" s="1231" t="s">
        <v>2338</v>
      </c>
      <c r="B33" s="206">
        <v>196.0</v>
      </c>
    </row>
    <row r="34">
      <c r="A34" s="1231" t="s">
        <v>156</v>
      </c>
      <c r="B34" s="206" t="s">
        <v>63</v>
      </c>
    </row>
    <row r="35">
      <c r="A35" s="1231" t="s">
        <v>158</v>
      </c>
      <c r="B35" s="206" t="s">
        <v>63</v>
      </c>
    </row>
    <row r="36">
      <c r="A36" s="1231" t="s">
        <v>1126</v>
      </c>
      <c r="B36" s="206">
        <v>99.0</v>
      </c>
    </row>
    <row r="37">
      <c r="A37" s="1231" t="s">
        <v>100</v>
      </c>
      <c r="B37" s="206">
        <v>161.0</v>
      </c>
    </row>
    <row r="38">
      <c r="A38" s="1231" t="s">
        <v>1129</v>
      </c>
      <c r="B38" s="206" t="s">
        <v>63</v>
      </c>
    </row>
    <row r="39">
      <c r="A39" s="1231" t="s">
        <v>2339</v>
      </c>
      <c r="B39" s="206" t="s">
        <v>63</v>
      </c>
    </row>
    <row r="40">
      <c r="A40" s="1231" t="s">
        <v>930</v>
      </c>
      <c r="B40" s="206" t="s">
        <v>63</v>
      </c>
    </row>
    <row r="41">
      <c r="A41" s="1231" t="s">
        <v>2340</v>
      </c>
      <c r="B41" s="206">
        <v>114.0</v>
      </c>
    </row>
    <row r="42">
      <c r="A42" s="1231" t="s">
        <v>518</v>
      </c>
      <c r="B42" s="206">
        <v>136.0</v>
      </c>
    </row>
    <row r="43">
      <c r="A43" s="1231" t="s">
        <v>2341</v>
      </c>
      <c r="B43" s="206">
        <v>120.0</v>
      </c>
    </row>
    <row r="44">
      <c r="A44" s="1231" t="s">
        <v>163</v>
      </c>
      <c r="B44" s="206">
        <v>113.0</v>
      </c>
    </row>
    <row r="45">
      <c r="A45" s="1231" t="s">
        <v>2342</v>
      </c>
      <c r="B45" s="206">
        <v>73.0</v>
      </c>
    </row>
    <row r="46">
      <c r="A46" s="1231" t="s">
        <v>1976</v>
      </c>
      <c r="B46" s="206">
        <v>81.0</v>
      </c>
    </row>
    <row r="47">
      <c r="A47" s="1231" t="s">
        <v>2343</v>
      </c>
      <c r="B47" s="206">
        <v>4.0</v>
      </c>
    </row>
    <row r="48">
      <c r="A48" s="1231" t="s">
        <v>526</v>
      </c>
      <c r="B48" s="206">
        <v>77.0</v>
      </c>
    </row>
    <row r="49">
      <c r="A49" s="1231" t="s">
        <v>2344</v>
      </c>
      <c r="B49" s="206" t="s">
        <v>63</v>
      </c>
    </row>
    <row r="50">
      <c r="A50" s="1231" t="s">
        <v>2161</v>
      </c>
      <c r="B50" s="206" t="s">
        <v>63</v>
      </c>
    </row>
    <row r="51">
      <c r="A51" s="1231" t="s">
        <v>2162</v>
      </c>
      <c r="B51" s="206">
        <v>98.0</v>
      </c>
    </row>
    <row r="52">
      <c r="A52" s="1231" t="s">
        <v>273</v>
      </c>
      <c r="B52" s="206">
        <v>158.0</v>
      </c>
    </row>
    <row r="53">
      <c r="A53" s="1231" t="s">
        <v>648</v>
      </c>
      <c r="B53" s="206">
        <v>21.0</v>
      </c>
    </row>
    <row r="54">
      <c r="A54" s="1231" t="s">
        <v>2345</v>
      </c>
      <c r="B54" s="206">
        <v>88.0</v>
      </c>
    </row>
    <row r="55">
      <c r="A55" s="1231" t="s">
        <v>2346</v>
      </c>
      <c r="B55" s="206" t="s">
        <v>63</v>
      </c>
    </row>
    <row r="56">
      <c r="A56" s="1231" t="s">
        <v>1703</v>
      </c>
      <c r="B56" s="206">
        <v>325.0</v>
      </c>
    </row>
    <row r="57">
      <c r="A57" s="1231" t="s">
        <v>123</v>
      </c>
      <c r="B57" s="206">
        <v>68.0</v>
      </c>
    </row>
    <row r="58">
      <c r="A58" s="784" t="s">
        <v>923</v>
      </c>
      <c r="B58" s="209">
        <v>6094.0</v>
      </c>
    </row>
    <row r="61">
      <c r="A61" s="275" t="s">
        <v>792</v>
      </c>
      <c r="B61" s="276"/>
      <c r="C61" s="276"/>
      <c r="D61" s="276"/>
      <c r="E61" s="275" t="s">
        <v>765</v>
      </c>
      <c r="F61" s="276"/>
      <c r="G61" s="276"/>
      <c r="H61" s="276"/>
      <c r="I61" s="275" t="s">
        <v>767</v>
      </c>
      <c r="J61" s="276"/>
      <c r="K61" s="275" t="s">
        <v>769</v>
      </c>
      <c r="L61" s="276"/>
      <c r="M61" s="276"/>
    </row>
    <row r="111">
      <c r="A111" s="275" t="s">
        <v>852</v>
      </c>
      <c r="B111" s="276"/>
      <c r="C111" s="276"/>
      <c r="D111" s="276"/>
      <c r="E111" s="275" t="s">
        <v>765</v>
      </c>
      <c r="F111" s="276"/>
      <c r="G111" s="276"/>
      <c r="H111" s="276"/>
      <c r="I111" s="275" t="s">
        <v>767</v>
      </c>
      <c r="J111" s="1385">
        <v>45292.0</v>
      </c>
      <c r="K111" s="275" t="s">
        <v>769</v>
      </c>
      <c r="L111" s="276"/>
      <c r="M111" s="276"/>
    </row>
    <row r="112">
      <c r="A112" s="485" t="s">
        <v>172</v>
      </c>
      <c r="B112" s="485" t="s">
        <v>4236</v>
      </c>
    </row>
    <row r="113">
      <c r="A113" s="485" t="s">
        <v>62</v>
      </c>
      <c r="B113" s="1120">
        <v>21.0</v>
      </c>
    </row>
    <row r="114">
      <c r="A114" s="485" t="s">
        <v>1818</v>
      </c>
      <c r="B114" s="1120">
        <v>88.0</v>
      </c>
    </row>
    <row r="115">
      <c r="A115" s="485" t="s">
        <v>246</v>
      </c>
      <c r="B115" s="1120">
        <v>16.0</v>
      </c>
    </row>
    <row r="116">
      <c r="A116" s="485" t="s">
        <v>2330</v>
      </c>
      <c r="B116" s="1120">
        <v>6.0</v>
      </c>
    </row>
    <row r="117">
      <c r="A117" s="485" t="s">
        <v>2331</v>
      </c>
      <c r="B117" s="1120">
        <v>7.0</v>
      </c>
    </row>
    <row r="118">
      <c r="A118" s="485" t="s">
        <v>2332</v>
      </c>
      <c r="B118" s="1120">
        <v>24.0</v>
      </c>
    </row>
    <row r="119">
      <c r="A119" s="485" t="s">
        <v>93</v>
      </c>
      <c r="B119" s="1120">
        <v>5.0</v>
      </c>
    </row>
    <row r="120">
      <c r="A120" s="485" t="s">
        <v>112</v>
      </c>
      <c r="B120" s="1120">
        <v>9.0</v>
      </c>
    </row>
    <row r="121">
      <c r="A121" s="485" t="s">
        <v>2333</v>
      </c>
      <c r="B121" s="1120">
        <v>2.0</v>
      </c>
    </row>
    <row r="122">
      <c r="A122" s="485" t="s">
        <v>135</v>
      </c>
      <c r="B122" s="1120">
        <v>20.0</v>
      </c>
    </row>
    <row r="123">
      <c r="A123" s="485" t="s">
        <v>579</v>
      </c>
      <c r="B123" s="1120">
        <v>2.0</v>
      </c>
    </row>
    <row r="124">
      <c r="A124" s="485" t="s">
        <v>278</v>
      </c>
      <c r="B124" s="1120">
        <v>8.0</v>
      </c>
    </row>
    <row r="125">
      <c r="A125" s="485" t="s">
        <v>2334</v>
      </c>
      <c r="B125" s="1120">
        <v>18.0</v>
      </c>
    </row>
    <row r="126">
      <c r="A126" s="485" t="s">
        <v>1231</v>
      </c>
      <c r="B126" s="1120">
        <v>14.0</v>
      </c>
    </row>
    <row r="127">
      <c r="A127" s="485" t="s">
        <v>587</v>
      </c>
      <c r="B127" s="1120">
        <v>7.0</v>
      </c>
    </row>
    <row r="128">
      <c r="A128" s="485" t="s">
        <v>2335</v>
      </c>
      <c r="B128" s="1120">
        <v>11.0</v>
      </c>
    </row>
    <row r="129">
      <c r="A129" s="485" t="s">
        <v>775</v>
      </c>
      <c r="B129" s="1120">
        <v>39.0</v>
      </c>
    </row>
    <row r="130">
      <c r="A130" s="485" t="s">
        <v>142</v>
      </c>
      <c r="B130" s="1120">
        <v>25.0</v>
      </c>
    </row>
    <row r="131">
      <c r="A131" s="485" t="s">
        <v>143</v>
      </c>
      <c r="B131" s="1120">
        <v>34.0</v>
      </c>
    </row>
    <row r="132">
      <c r="A132" s="485" t="s">
        <v>2336</v>
      </c>
      <c r="B132" s="1120">
        <v>69.0</v>
      </c>
    </row>
    <row r="133">
      <c r="A133" s="485" t="s">
        <v>682</v>
      </c>
      <c r="B133" s="1120">
        <v>12.0</v>
      </c>
    </row>
    <row r="134">
      <c r="A134" s="485" t="s">
        <v>290</v>
      </c>
      <c r="B134" s="1120">
        <v>22.0</v>
      </c>
    </row>
    <row r="135">
      <c r="A135" s="485" t="s">
        <v>293</v>
      </c>
      <c r="B135" s="1120">
        <v>38.0</v>
      </c>
    </row>
    <row r="136">
      <c r="A136" s="485" t="s">
        <v>153</v>
      </c>
      <c r="B136" s="1120">
        <v>32.0</v>
      </c>
    </row>
    <row r="137">
      <c r="A137" s="485" t="s">
        <v>154</v>
      </c>
      <c r="B137" s="1120">
        <v>12.0</v>
      </c>
    </row>
    <row r="138">
      <c r="A138" s="485" t="s">
        <v>735</v>
      </c>
      <c r="B138" s="1120">
        <v>11.0</v>
      </c>
    </row>
    <row r="139">
      <c r="A139" s="485" t="s">
        <v>1614</v>
      </c>
      <c r="B139" s="1120">
        <v>12.0</v>
      </c>
    </row>
    <row r="140">
      <c r="A140" s="485" t="s">
        <v>738</v>
      </c>
      <c r="B140" s="1120">
        <v>37.0</v>
      </c>
    </row>
    <row r="141">
      <c r="A141" s="485" t="s">
        <v>435</v>
      </c>
      <c r="B141" s="1120">
        <v>19.0</v>
      </c>
    </row>
    <row r="142">
      <c r="A142" s="485" t="s">
        <v>2337</v>
      </c>
      <c r="B142" s="1120">
        <v>26.0</v>
      </c>
    </row>
    <row r="143">
      <c r="A143" s="485" t="s">
        <v>2338</v>
      </c>
      <c r="B143" s="1120">
        <v>12.0</v>
      </c>
    </row>
    <row r="144">
      <c r="A144" s="485" t="s">
        <v>156</v>
      </c>
      <c r="B144" s="1120">
        <v>10.0</v>
      </c>
    </row>
    <row r="145">
      <c r="A145" s="485" t="s">
        <v>158</v>
      </c>
      <c r="B145" s="1120">
        <v>5.0</v>
      </c>
    </row>
    <row r="146">
      <c r="A146" s="485" t="s">
        <v>1126</v>
      </c>
      <c r="B146" s="1120">
        <v>10.0</v>
      </c>
    </row>
    <row r="147">
      <c r="A147" s="485" t="s">
        <v>100</v>
      </c>
      <c r="B147" s="1120">
        <v>7.0</v>
      </c>
    </row>
    <row r="148">
      <c r="A148" s="485" t="s">
        <v>1129</v>
      </c>
      <c r="B148" s="1120">
        <v>5.0</v>
      </c>
    </row>
    <row r="149">
      <c r="A149" s="485" t="s">
        <v>2339</v>
      </c>
      <c r="B149" s="1120">
        <v>5.0</v>
      </c>
    </row>
    <row r="150">
      <c r="A150" s="485" t="s">
        <v>930</v>
      </c>
      <c r="B150" s="1120">
        <v>2.0</v>
      </c>
    </row>
    <row r="151">
      <c r="A151" s="485" t="s">
        <v>2340</v>
      </c>
      <c r="B151" s="1120">
        <v>21.0</v>
      </c>
    </row>
    <row r="152">
      <c r="A152" s="485" t="s">
        <v>518</v>
      </c>
      <c r="B152" s="1120">
        <v>23.0</v>
      </c>
    </row>
    <row r="153">
      <c r="A153" s="485" t="s">
        <v>2341</v>
      </c>
      <c r="B153" s="1120">
        <v>48.0</v>
      </c>
    </row>
    <row r="154">
      <c r="A154" s="485" t="s">
        <v>163</v>
      </c>
      <c r="B154" s="1120">
        <v>12.0</v>
      </c>
    </row>
    <row r="155">
      <c r="A155" s="485" t="s">
        <v>2342</v>
      </c>
      <c r="B155" s="1120">
        <v>11.0</v>
      </c>
    </row>
    <row r="156">
      <c r="A156" s="485" t="s">
        <v>1976</v>
      </c>
      <c r="B156" s="1120">
        <v>13.0</v>
      </c>
    </row>
    <row r="157">
      <c r="A157" s="485" t="s">
        <v>2343</v>
      </c>
      <c r="B157" s="1120">
        <v>3.0</v>
      </c>
    </row>
    <row r="158">
      <c r="A158" s="485" t="s">
        <v>526</v>
      </c>
      <c r="B158" s="1120">
        <v>9.0</v>
      </c>
    </row>
    <row r="159">
      <c r="A159" s="485" t="s">
        <v>2344</v>
      </c>
      <c r="B159" s="1120">
        <v>9.0</v>
      </c>
    </row>
    <row r="160">
      <c r="A160" s="485" t="s">
        <v>2161</v>
      </c>
      <c r="B160" s="1120">
        <v>3.0</v>
      </c>
    </row>
    <row r="161">
      <c r="A161" s="485" t="s">
        <v>2162</v>
      </c>
      <c r="B161" s="1120">
        <v>24.0</v>
      </c>
    </row>
    <row r="162">
      <c r="A162" s="485" t="s">
        <v>273</v>
      </c>
      <c r="B162" s="1120">
        <v>23.0</v>
      </c>
    </row>
    <row r="163">
      <c r="A163" s="485" t="s">
        <v>648</v>
      </c>
      <c r="B163" s="1120">
        <v>2.0</v>
      </c>
    </row>
    <row r="164">
      <c r="A164" s="485" t="s">
        <v>2345</v>
      </c>
      <c r="B164" s="1120">
        <v>11.0</v>
      </c>
    </row>
    <row r="165">
      <c r="A165" s="485" t="s">
        <v>2346</v>
      </c>
      <c r="B165" s="1120">
        <v>5.0</v>
      </c>
    </row>
    <row r="166">
      <c r="A166" s="485" t="s">
        <v>1703</v>
      </c>
      <c r="B166" s="1120">
        <v>70.0</v>
      </c>
    </row>
    <row r="167">
      <c r="A167" s="485" t="s">
        <v>123</v>
      </c>
      <c r="B167" s="1120">
        <v>33.0</v>
      </c>
    </row>
    <row r="168">
      <c r="A168" s="485" t="s">
        <v>923</v>
      </c>
      <c r="B168" s="1120">
        <v>1022.0</v>
      </c>
    </row>
  </sheetData>
  <drawing r:id="rId1"/>
</worksheet>
</file>

<file path=xl/worksheets/sheet10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2" max="12" width="13.88"/>
  </cols>
  <sheetData>
    <row r="1">
      <c r="A1" s="167"/>
      <c r="B1" s="168" t="s">
        <v>122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</row>
    <row r="2">
      <c r="A2" s="169" t="s">
        <v>172</v>
      </c>
      <c r="B2" s="979" t="s">
        <v>174</v>
      </c>
      <c r="C2" s="1386" t="s">
        <v>693</v>
      </c>
      <c r="D2" s="1387" t="s">
        <v>694</v>
      </c>
      <c r="E2" s="1387" t="s">
        <v>695</v>
      </c>
      <c r="F2" s="1387" t="s">
        <v>179</v>
      </c>
      <c r="G2" s="1387" t="s">
        <v>696</v>
      </c>
      <c r="H2" s="981" t="s">
        <v>697</v>
      </c>
      <c r="I2" s="1388" t="s">
        <v>84</v>
      </c>
      <c r="J2" s="979" t="s">
        <v>698</v>
      </c>
      <c r="K2" s="980" t="s">
        <v>699</v>
      </c>
      <c r="L2" s="981" t="s">
        <v>89</v>
      </c>
      <c r="M2" s="982" t="s">
        <v>700</v>
      </c>
      <c r="N2" s="1387" t="s">
        <v>701</v>
      </c>
      <c r="O2" s="1387" t="s">
        <v>702</v>
      </c>
      <c r="P2" s="981" t="s">
        <v>90</v>
      </c>
      <c r="Q2" s="984" t="s">
        <v>703</v>
      </c>
    </row>
    <row r="3">
      <c r="A3" s="1389" t="s">
        <v>386</v>
      </c>
      <c r="B3" s="1390">
        <f t="array" ref="B3">VLOOKUP($A3,WI_DEMO,2,FALSE)</f>
        <v>20654</v>
      </c>
      <c r="C3" s="1391">
        <v>5.0</v>
      </c>
      <c r="D3" s="1392" t="s">
        <v>63</v>
      </c>
      <c r="E3" s="1391">
        <v>1.0</v>
      </c>
      <c r="F3" s="1391">
        <v>2.0</v>
      </c>
      <c r="G3" s="1392" t="s">
        <v>63</v>
      </c>
      <c r="H3" s="1393" t="s">
        <v>63</v>
      </c>
      <c r="I3" s="1394" t="s">
        <v>63</v>
      </c>
      <c r="J3" s="1395" t="s">
        <v>63</v>
      </c>
      <c r="K3" s="1396" t="s">
        <v>63</v>
      </c>
      <c r="L3" s="1393" t="s">
        <v>63</v>
      </c>
      <c r="M3" s="1397" t="s">
        <v>63</v>
      </c>
      <c r="N3" s="1392" t="s">
        <v>63</v>
      </c>
      <c r="O3" s="1392" t="s">
        <v>63</v>
      </c>
      <c r="P3" s="1398">
        <f>ifna(vlookup(A3,'Population &amp; Church Numbers'!$A$3049:$D$3120,4,FALSE),"NULL")</f>
        <v>16</v>
      </c>
      <c r="Q3" s="1399" t="s">
        <v>63</v>
      </c>
    </row>
    <row r="4">
      <c r="A4" s="1400" t="s">
        <v>1671</v>
      </c>
      <c r="B4" s="1401">
        <f t="array" ref="B4">VLOOKUP($A4,WI_DEMO,2,FALSE)</f>
        <v>16027</v>
      </c>
      <c r="C4" s="1402">
        <v>41.0</v>
      </c>
      <c r="D4" s="1403" t="s">
        <v>63</v>
      </c>
      <c r="E4" s="1404">
        <v>20.0</v>
      </c>
      <c r="F4" s="1405" t="s">
        <v>2689</v>
      </c>
      <c r="G4" s="1403" t="s">
        <v>63</v>
      </c>
      <c r="H4" s="1406" t="s">
        <v>63</v>
      </c>
      <c r="I4" s="1407" t="s">
        <v>63</v>
      </c>
      <c r="J4" s="1408" t="s">
        <v>63</v>
      </c>
      <c r="K4" s="1409" t="s">
        <v>63</v>
      </c>
      <c r="L4" s="1406" t="s">
        <v>63</v>
      </c>
      <c r="M4" s="1407" t="s">
        <v>63</v>
      </c>
      <c r="N4" s="1403" t="s">
        <v>63</v>
      </c>
      <c r="O4" s="1403" t="s">
        <v>63</v>
      </c>
      <c r="P4" s="1411">
        <f>ifna(vlookup(A4,'Population &amp; Church Numbers'!$A$3049:$D$3120,4,FALSE),"NULL")</f>
        <v>28</v>
      </c>
      <c r="Q4" s="1412" t="s">
        <v>63</v>
      </c>
    </row>
    <row r="5">
      <c r="A5" s="1389" t="s">
        <v>2347</v>
      </c>
      <c r="B5" s="1390">
        <f t="array" ref="B5">VLOOKUP($A5,WI_DEMO,2,FALSE)</f>
        <v>46711</v>
      </c>
      <c r="C5" s="1391">
        <v>45.0</v>
      </c>
      <c r="D5" s="1392" t="s">
        <v>63</v>
      </c>
      <c r="E5" s="1414">
        <v>19.0</v>
      </c>
      <c r="F5" s="1415" t="s">
        <v>2690</v>
      </c>
      <c r="G5" s="1392" t="s">
        <v>63</v>
      </c>
      <c r="H5" s="1393" t="s">
        <v>63</v>
      </c>
      <c r="I5" s="1394" t="s">
        <v>63</v>
      </c>
      <c r="J5" s="1395" t="s">
        <v>63</v>
      </c>
      <c r="K5" s="1396" t="s">
        <v>63</v>
      </c>
      <c r="L5" s="1393" t="s">
        <v>63</v>
      </c>
      <c r="M5" s="1394" t="s">
        <v>63</v>
      </c>
      <c r="N5" s="1392" t="s">
        <v>63</v>
      </c>
      <c r="O5" s="1392" t="s">
        <v>63</v>
      </c>
      <c r="P5" s="1398">
        <f>ifna(vlookup(A5,'Population &amp; Church Numbers'!$A$3049:$D$3120,4,FALSE),"NULL")</f>
        <v>84</v>
      </c>
      <c r="Q5" s="1399" t="s">
        <v>63</v>
      </c>
    </row>
    <row r="6">
      <c r="A6" s="1400" t="s">
        <v>2348</v>
      </c>
      <c r="B6" s="1401">
        <f t="array" ref="B6">VLOOKUP($A6,WI_DEMO,2,FALSE)</f>
        <v>16220</v>
      </c>
      <c r="C6" s="1402">
        <v>19.0</v>
      </c>
      <c r="D6" s="1403" t="s">
        <v>63</v>
      </c>
      <c r="E6" s="1404">
        <v>8.0</v>
      </c>
      <c r="F6" s="1405" t="s">
        <v>2691</v>
      </c>
      <c r="G6" s="1403" t="s">
        <v>63</v>
      </c>
      <c r="H6" s="1406" t="s">
        <v>63</v>
      </c>
      <c r="I6" s="1407" t="s">
        <v>63</v>
      </c>
      <c r="J6" s="1408" t="s">
        <v>63</v>
      </c>
      <c r="K6" s="1409" t="s">
        <v>63</v>
      </c>
      <c r="L6" s="1406" t="s">
        <v>63</v>
      </c>
      <c r="M6" s="1407" t="s">
        <v>63</v>
      </c>
      <c r="N6" s="1403" t="s">
        <v>63</v>
      </c>
      <c r="O6" s="1403" t="s">
        <v>63</v>
      </c>
      <c r="P6" s="1411">
        <f>ifna(vlookup(A6,'Population &amp; Church Numbers'!$A$3049:$D$3120,4,FALSE),"NULL")</f>
        <v>30</v>
      </c>
      <c r="Q6" s="1412" t="s">
        <v>63</v>
      </c>
    </row>
    <row r="7">
      <c r="A7" s="1389" t="s">
        <v>706</v>
      </c>
      <c r="B7" s="1390">
        <f t="array" ref="B7">VLOOKUP($A7,WI_DEMO,2,FALSE)</f>
        <v>268740</v>
      </c>
      <c r="C7" s="1391">
        <v>280.0</v>
      </c>
      <c r="D7" s="1392" t="s">
        <v>63</v>
      </c>
      <c r="E7" s="1414">
        <v>133.0</v>
      </c>
      <c r="F7" s="1415" t="s">
        <v>2692</v>
      </c>
      <c r="G7" s="1392" t="s">
        <v>63</v>
      </c>
      <c r="H7" s="1393" t="s">
        <v>63</v>
      </c>
      <c r="I7" s="1394" t="s">
        <v>63</v>
      </c>
      <c r="J7" s="1395" t="s">
        <v>63</v>
      </c>
      <c r="K7" s="1396" t="s">
        <v>63</v>
      </c>
      <c r="L7" s="1393" t="s">
        <v>63</v>
      </c>
      <c r="M7" s="1394" t="s">
        <v>63</v>
      </c>
      <c r="N7" s="1392" t="s">
        <v>63</v>
      </c>
      <c r="O7" s="1392" t="s">
        <v>63</v>
      </c>
      <c r="P7" s="1398">
        <f>ifna(vlookup(A7,'Population &amp; Church Numbers'!$A$3049:$D$3120,4,FALSE),"NULL")</f>
        <v>148</v>
      </c>
      <c r="Q7" s="1399" t="s">
        <v>63</v>
      </c>
    </row>
    <row r="8">
      <c r="A8" s="1400" t="s">
        <v>1471</v>
      </c>
      <c r="B8" s="1401">
        <f t="array" ref="B8">VLOOKUP($A8,WI_DEMO,2,FALSE)</f>
        <v>13317</v>
      </c>
      <c r="C8" s="1402">
        <v>8.0</v>
      </c>
      <c r="D8" s="1403" t="s">
        <v>63</v>
      </c>
      <c r="E8" s="1404">
        <v>4.0</v>
      </c>
      <c r="F8" s="1405" t="s">
        <v>391</v>
      </c>
      <c r="G8" s="1403" t="s">
        <v>63</v>
      </c>
      <c r="H8" s="1406" t="s">
        <v>63</v>
      </c>
      <c r="I8" s="1407" t="s">
        <v>63</v>
      </c>
      <c r="J8" s="1408" t="s">
        <v>63</v>
      </c>
      <c r="K8" s="1409" t="s">
        <v>63</v>
      </c>
      <c r="L8" s="1406" t="s">
        <v>63</v>
      </c>
      <c r="M8" s="1407" t="s">
        <v>63</v>
      </c>
      <c r="N8" s="1403" t="s">
        <v>63</v>
      </c>
      <c r="O8" s="1403" t="s">
        <v>63</v>
      </c>
      <c r="P8" s="1411">
        <f>ifna(vlookup(A8,'Population &amp; Church Numbers'!$A$3049:$D$3120,4,FALSE),"NULL")</f>
        <v>26</v>
      </c>
      <c r="Q8" s="1412" t="s">
        <v>63</v>
      </c>
    </row>
    <row r="9">
      <c r="A9" s="1389" t="s">
        <v>2349</v>
      </c>
      <c r="B9" s="1390">
        <f t="array" ref="B9">VLOOKUP($A9,WI_DEMO,2,FALSE)</f>
        <v>16526</v>
      </c>
      <c r="C9" s="1391">
        <v>28.0</v>
      </c>
      <c r="D9" s="1392" t="s">
        <v>63</v>
      </c>
      <c r="E9" s="1414">
        <v>7.0</v>
      </c>
      <c r="F9" s="1415" t="s">
        <v>2693</v>
      </c>
      <c r="G9" s="1392" t="s">
        <v>63</v>
      </c>
      <c r="H9" s="1393" t="s">
        <v>63</v>
      </c>
      <c r="I9" s="1394" t="s">
        <v>63</v>
      </c>
      <c r="J9" s="1395" t="s">
        <v>63</v>
      </c>
      <c r="K9" s="1396" t="s">
        <v>63</v>
      </c>
      <c r="L9" s="1393" t="s">
        <v>63</v>
      </c>
      <c r="M9" s="1394" t="s">
        <v>63</v>
      </c>
      <c r="N9" s="1392" t="s">
        <v>63</v>
      </c>
      <c r="O9" s="1392" t="s">
        <v>63</v>
      </c>
      <c r="P9" s="1398">
        <f>ifna(vlookup(A9,'Population &amp; Church Numbers'!$A$3049:$D$3120,4,FALSE),"NULL")</f>
        <v>31</v>
      </c>
      <c r="Q9" s="1399" t="s">
        <v>63</v>
      </c>
    </row>
    <row r="10">
      <c r="A10" s="1400" t="s">
        <v>2350</v>
      </c>
      <c r="B10" s="1401">
        <f t="array" ref="B10">VLOOKUP($A10,WI_DEMO,2,FALSE)</f>
        <v>52442</v>
      </c>
      <c r="C10" s="1402">
        <v>13.0</v>
      </c>
      <c r="D10" s="1403" t="s">
        <v>63</v>
      </c>
      <c r="E10" s="1404">
        <v>4.0</v>
      </c>
      <c r="F10" s="1405" t="s">
        <v>2691</v>
      </c>
      <c r="G10" s="1403" t="s">
        <v>63</v>
      </c>
      <c r="H10" s="1406" t="s">
        <v>63</v>
      </c>
      <c r="I10" s="1407" t="s">
        <v>63</v>
      </c>
      <c r="J10" s="1408" t="s">
        <v>63</v>
      </c>
      <c r="K10" s="1409" t="s">
        <v>63</v>
      </c>
      <c r="L10" s="1406" t="s">
        <v>63</v>
      </c>
      <c r="M10" s="1407" t="s">
        <v>63</v>
      </c>
      <c r="N10" s="1403" t="s">
        <v>63</v>
      </c>
      <c r="O10" s="1403" t="s">
        <v>63</v>
      </c>
      <c r="P10" s="1411">
        <f>ifna(vlookup(A10,'Population &amp; Church Numbers'!$A$3049:$D$3120,4,FALSE),"NULL")</f>
        <v>31</v>
      </c>
      <c r="Q10" s="1412" t="s">
        <v>63</v>
      </c>
    </row>
    <row r="11">
      <c r="A11" s="1389" t="s">
        <v>1245</v>
      </c>
      <c r="B11" s="1390">
        <f t="array" ref="B11">VLOOKUP($A11,WI_DEMO,2,FALSE)</f>
        <v>66297</v>
      </c>
      <c r="C11" s="1391">
        <v>42.0</v>
      </c>
      <c r="D11" s="1392" t="s">
        <v>63</v>
      </c>
      <c r="E11" s="1414">
        <v>25.0</v>
      </c>
      <c r="F11" s="1415" t="s">
        <v>2689</v>
      </c>
      <c r="G11" s="1392" t="s">
        <v>63</v>
      </c>
      <c r="H11" s="1393" t="s">
        <v>63</v>
      </c>
      <c r="I11" s="1394" t="s">
        <v>63</v>
      </c>
      <c r="J11" s="1395" t="s">
        <v>63</v>
      </c>
      <c r="K11" s="1396" t="s">
        <v>63</v>
      </c>
      <c r="L11" s="1393" t="s">
        <v>63</v>
      </c>
      <c r="M11" s="1394" t="s">
        <v>63</v>
      </c>
      <c r="N11" s="1392" t="s">
        <v>63</v>
      </c>
      <c r="O11" s="1392" t="s">
        <v>63</v>
      </c>
      <c r="P11" s="1398">
        <f>ifna(vlookup(A11,'Population &amp; Church Numbers'!$A$3049:$D$3120,4,FALSE),"NULL")</f>
        <v>62</v>
      </c>
      <c r="Q11" s="1399" t="s">
        <v>63</v>
      </c>
    </row>
    <row r="12">
      <c r="A12" s="1400" t="s">
        <v>253</v>
      </c>
      <c r="B12" s="1401">
        <f t="array" ref="B12">VLOOKUP($A12,WI_DEMO,2,FALSE)</f>
        <v>34659</v>
      </c>
      <c r="C12" s="1402">
        <v>27.0</v>
      </c>
      <c r="D12" s="1403" t="s">
        <v>63</v>
      </c>
      <c r="E12" s="1404">
        <v>10.0</v>
      </c>
      <c r="F12" s="1405" t="s">
        <v>2694</v>
      </c>
      <c r="G12" s="1403" t="s">
        <v>63</v>
      </c>
      <c r="H12" s="1406" t="s">
        <v>63</v>
      </c>
      <c r="I12" s="1407" t="s">
        <v>63</v>
      </c>
      <c r="J12" s="1408" t="s">
        <v>63</v>
      </c>
      <c r="K12" s="1409" t="s">
        <v>63</v>
      </c>
      <c r="L12" s="1406" t="s">
        <v>63</v>
      </c>
      <c r="M12" s="1407" t="s">
        <v>63</v>
      </c>
      <c r="N12" s="1403" t="s">
        <v>63</v>
      </c>
      <c r="O12" s="1403" t="s">
        <v>63</v>
      </c>
      <c r="P12" s="1411">
        <f>ifna(vlookup(A12,'Population &amp; Church Numbers'!$A$3049:$D$3120,4,FALSE),"NULL")</f>
        <v>49</v>
      </c>
      <c r="Q12" s="1412" t="s">
        <v>63</v>
      </c>
    </row>
    <row r="13">
      <c r="A13" s="1389" t="s">
        <v>258</v>
      </c>
      <c r="B13" s="1390">
        <f t="array" ref="B13">VLOOKUP($A13,WI_DEMO,2,FALSE)</f>
        <v>58490</v>
      </c>
      <c r="C13" s="1391">
        <v>38.0</v>
      </c>
      <c r="D13" s="1392" t="s">
        <v>63</v>
      </c>
      <c r="E13" s="1414">
        <v>8.0</v>
      </c>
      <c r="F13" s="1415" t="s">
        <v>2501</v>
      </c>
      <c r="G13" s="1392" t="s">
        <v>63</v>
      </c>
      <c r="H13" s="1393" t="s">
        <v>63</v>
      </c>
      <c r="I13" s="1394" t="s">
        <v>63</v>
      </c>
      <c r="J13" s="1395" t="s">
        <v>63</v>
      </c>
      <c r="K13" s="1396" t="s">
        <v>63</v>
      </c>
      <c r="L13" s="1393" t="s">
        <v>63</v>
      </c>
      <c r="M13" s="1394" t="s">
        <v>63</v>
      </c>
      <c r="N13" s="1392" t="s">
        <v>63</v>
      </c>
      <c r="O13" s="1392" t="s">
        <v>63</v>
      </c>
      <c r="P13" s="1398">
        <f>ifna(vlookup(A13,'Population &amp; Church Numbers'!$A$3049:$D$3120,4,FALSE),"NULL")</f>
        <v>66</v>
      </c>
      <c r="Q13" s="1399" t="s">
        <v>63</v>
      </c>
    </row>
    <row r="14">
      <c r="A14" s="1400" t="s">
        <v>263</v>
      </c>
      <c r="B14" s="1401">
        <f t="array" ref="B14">VLOOKUP($A14,WI_DEMO,2,FALSE)</f>
        <v>16113</v>
      </c>
      <c r="C14" s="1402">
        <v>23.0</v>
      </c>
      <c r="D14" s="1403" t="s">
        <v>63</v>
      </c>
      <c r="E14" s="1404">
        <v>3.0</v>
      </c>
      <c r="F14" s="1405" t="s">
        <v>2695</v>
      </c>
      <c r="G14" s="1403" t="s">
        <v>63</v>
      </c>
      <c r="H14" s="1406" t="s">
        <v>63</v>
      </c>
      <c r="I14" s="1407" t="s">
        <v>63</v>
      </c>
      <c r="J14" s="1408" t="s">
        <v>63</v>
      </c>
      <c r="K14" s="1409" t="s">
        <v>63</v>
      </c>
      <c r="L14" s="1406" t="s">
        <v>63</v>
      </c>
      <c r="M14" s="1407" t="s">
        <v>63</v>
      </c>
      <c r="N14" s="1403" t="s">
        <v>63</v>
      </c>
      <c r="O14" s="1403" t="s">
        <v>63</v>
      </c>
      <c r="P14" s="1411">
        <f>ifna(vlookup(A14,'Population &amp; Church Numbers'!$A$3049:$D$3120,4,FALSE),"NULL")</f>
        <v>24</v>
      </c>
      <c r="Q14" s="1412" t="s">
        <v>63</v>
      </c>
    </row>
    <row r="15">
      <c r="A15" s="1389" t="s">
        <v>652</v>
      </c>
      <c r="B15" s="1390">
        <f t="array" ref="B15">VLOOKUP($A15,WI_DEMO,2,FALSE)</f>
        <v>561504</v>
      </c>
      <c r="C15" s="1391">
        <v>210.0</v>
      </c>
      <c r="D15" s="1392" t="s">
        <v>63</v>
      </c>
      <c r="E15" s="1414">
        <v>101.0</v>
      </c>
      <c r="F15" s="1415" t="s">
        <v>2696</v>
      </c>
      <c r="G15" s="1392" t="s">
        <v>63</v>
      </c>
      <c r="H15" s="1393" t="s">
        <v>63</v>
      </c>
      <c r="I15" s="1394" t="s">
        <v>63</v>
      </c>
      <c r="J15" s="1395" t="s">
        <v>63</v>
      </c>
      <c r="K15" s="1396" t="s">
        <v>63</v>
      </c>
      <c r="L15" s="1393" t="s">
        <v>63</v>
      </c>
      <c r="M15" s="1394" t="s">
        <v>63</v>
      </c>
      <c r="N15" s="1392" t="s">
        <v>63</v>
      </c>
      <c r="O15" s="1392" t="s">
        <v>63</v>
      </c>
      <c r="P15" s="1398">
        <f>ifna(vlookup(A15,'Population &amp; Church Numbers'!$A$3049:$D$3120,4,FALSE),"NULL")</f>
        <v>265</v>
      </c>
      <c r="Q15" s="1399" t="s">
        <v>63</v>
      </c>
    </row>
    <row r="16">
      <c r="A16" s="1400" t="s">
        <v>564</v>
      </c>
      <c r="B16" s="1401">
        <f t="array" ref="B16">VLOOKUP($A16,WI_DEMO,2,FALSE)</f>
        <v>89396</v>
      </c>
      <c r="C16" s="1402">
        <v>78.0</v>
      </c>
      <c r="D16" s="1403" t="s">
        <v>63</v>
      </c>
      <c r="E16" s="1404">
        <v>50.0</v>
      </c>
      <c r="F16" s="1405" t="s">
        <v>2697</v>
      </c>
      <c r="G16" s="1403" t="s">
        <v>63</v>
      </c>
      <c r="H16" s="1406" t="s">
        <v>63</v>
      </c>
      <c r="I16" s="1407" t="s">
        <v>63</v>
      </c>
      <c r="J16" s="1408" t="s">
        <v>63</v>
      </c>
      <c r="K16" s="1409" t="s">
        <v>63</v>
      </c>
      <c r="L16" s="1406" t="s">
        <v>63</v>
      </c>
      <c r="M16" s="1407" t="s">
        <v>63</v>
      </c>
      <c r="N16" s="1403" t="s">
        <v>63</v>
      </c>
      <c r="O16" s="1403" t="s">
        <v>63</v>
      </c>
      <c r="P16" s="1411">
        <f>ifna(vlookup(A16,'Population &amp; Church Numbers'!$A$3049:$D$3120,4,FALSE),"NULL")</f>
        <v>99</v>
      </c>
      <c r="Q16" s="1412" t="s">
        <v>63</v>
      </c>
    </row>
    <row r="17">
      <c r="A17" s="1389" t="s">
        <v>2351</v>
      </c>
      <c r="B17" s="1390">
        <f t="array" ref="B17">VLOOKUP($A17,WI_DEMO,2,FALSE)</f>
        <v>30066</v>
      </c>
      <c r="C17" s="1391">
        <v>24.0</v>
      </c>
      <c r="D17" s="1392" t="s">
        <v>63</v>
      </c>
      <c r="E17" s="1414">
        <v>17.0</v>
      </c>
      <c r="F17" s="1415" t="s">
        <v>2491</v>
      </c>
      <c r="G17" s="1392" t="s">
        <v>63</v>
      </c>
      <c r="H17" s="1393" t="s">
        <v>63</v>
      </c>
      <c r="I17" s="1394" t="s">
        <v>63</v>
      </c>
      <c r="J17" s="1395" t="s">
        <v>63</v>
      </c>
      <c r="K17" s="1396" t="s">
        <v>63</v>
      </c>
      <c r="L17" s="1393" t="s">
        <v>63</v>
      </c>
      <c r="M17" s="1394" t="s">
        <v>63</v>
      </c>
      <c r="N17" s="1392" t="s">
        <v>63</v>
      </c>
      <c r="O17" s="1392" t="s">
        <v>63</v>
      </c>
      <c r="P17" s="1398">
        <f>ifna(vlookup(A17,'Population &amp; Church Numbers'!$A$3049:$D$3120,4,FALSE),"NULL")</f>
        <v>41</v>
      </c>
      <c r="Q17" s="1399" t="s">
        <v>63</v>
      </c>
    </row>
    <row r="18">
      <c r="A18" s="1400" t="s">
        <v>412</v>
      </c>
      <c r="B18" s="1401">
        <f t="array" ref="B18">VLOOKUP($A18,WI_DEMO,2,FALSE)</f>
        <v>44295</v>
      </c>
      <c r="C18" s="1402">
        <v>85.0</v>
      </c>
      <c r="D18" s="1403" t="s">
        <v>63</v>
      </c>
      <c r="E18" s="1404">
        <v>40.0</v>
      </c>
      <c r="F18" s="1405" t="s">
        <v>2698</v>
      </c>
      <c r="G18" s="1403" t="s">
        <v>63</v>
      </c>
      <c r="H18" s="1406" t="s">
        <v>63</v>
      </c>
      <c r="I18" s="1407" t="s">
        <v>63</v>
      </c>
      <c r="J18" s="1408" t="s">
        <v>63</v>
      </c>
      <c r="K18" s="1409" t="s">
        <v>63</v>
      </c>
      <c r="L18" s="1406" t="s">
        <v>63</v>
      </c>
      <c r="M18" s="1407" t="s">
        <v>63</v>
      </c>
      <c r="N18" s="1403" t="s">
        <v>63</v>
      </c>
      <c r="O18" s="1403" t="s">
        <v>63</v>
      </c>
      <c r="P18" s="1411">
        <f>ifna(vlookup(A18,'Population &amp; Church Numbers'!$A$3049:$D$3120,4,FALSE),"NULL")</f>
        <v>42</v>
      </c>
      <c r="Q18" s="1412" t="s">
        <v>63</v>
      </c>
    </row>
    <row r="19">
      <c r="A19" s="1389" t="s">
        <v>1649</v>
      </c>
      <c r="B19" s="1390">
        <f t="array" ref="B19">VLOOKUP($A19,WI_DEMO,2,FALSE)</f>
        <v>45440</v>
      </c>
      <c r="C19" s="1391">
        <v>42.0</v>
      </c>
      <c r="D19" s="1392" t="s">
        <v>63</v>
      </c>
      <c r="E19" s="1414">
        <v>36.0</v>
      </c>
      <c r="F19" s="1415" t="s">
        <v>2699</v>
      </c>
      <c r="G19" s="1392" t="s">
        <v>63</v>
      </c>
      <c r="H19" s="1393" t="s">
        <v>63</v>
      </c>
      <c r="I19" s="1394" t="s">
        <v>63</v>
      </c>
      <c r="J19" s="1395" t="s">
        <v>63</v>
      </c>
      <c r="K19" s="1396" t="s">
        <v>63</v>
      </c>
      <c r="L19" s="1393" t="s">
        <v>63</v>
      </c>
      <c r="M19" s="1394" t="s">
        <v>63</v>
      </c>
      <c r="N19" s="1392" t="s">
        <v>63</v>
      </c>
      <c r="O19" s="1392" t="s">
        <v>63</v>
      </c>
      <c r="P19" s="1398">
        <f>ifna(vlookup(A19,'Population &amp; Church Numbers'!$A$3049:$D$3120,4,FALSE),"NULL")</f>
        <v>55</v>
      </c>
      <c r="Q19" s="1399" t="s">
        <v>63</v>
      </c>
    </row>
    <row r="20">
      <c r="A20" s="1400" t="s">
        <v>2352</v>
      </c>
      <c r="B20" s="1401">
        <f t="array" ref="B20">VLOOKUP($A20,WI_DEMO,2,FALSE)</f>
        <v>105710</v>
      </c>
      <c r="C20" s="1402">
        <v>116.0</v>
      </c>
      <c r="D20" s="1403" t="s">
        <v>63</v>
      </c>
      <c r="E20" s="1404">
        <v>78.0</v>
      </c>
      <c r="F20" s="1405" t="s">
        <v>2498</v>
      </c>
      <c r="G20" s="1403" t="s">
        <v>63</v>
      </c>
      <c r="H20" s="1406" t="s">
        <v>63</v>
      </c>
      <c r="I20" s="1407" t="s">
        <v>63</v>
      </c>
      <c r="J20" s="1408" t="s">
        <v>63</v>
      </c>
      <c r="K20" s="1409" t="s">
        <v>63</v>
      </c>
      <c r="L20" s="1406" t="s">
        <v>63</v>
      </c>
      <c r="M20" s="1407" t="s">
        <v>63</v>
      </c>
      <c r="N20" s="1403" t="s">
        <v>63</v>
      </c>
      <c r="O20" s="1403" t="s">
        <v>63</v>
      </c>
      <c r="P20" s="1411">
        <f>ifna(vlookup(A20,'Population &amp; Church Numbers'!$A$3049:$D$3120,4,FALSE),"NULL")</f>
        <v>79</v>
      </c>
      <c r="Q20" s="1412" t="s">
        <v>63</v>
      </c>
    </row>
    <row r="21">
      <c r="A21" s="1389" t="s">
        <v>1826</v>
      </c>
      <c r="B21" s="1390">
        <f t="array" ref="B21">VLOOKUP($A21,WI_DEMO,2,FALSE)</f>
        <v>4558</v>
      </c>
      <c r="C21" s="1391">
        <v>2.0</v>
      </c>
      <c r="D21" s="1392" t="s">
        <v>63</v>
      </c>
      <c r="E21" s="1414">
        <v>0.0</v>
      </c>
      <c r="F21" s="1415" t="s">
        <v>25</v>
      </c>
      <c r="G21" s="1392" t="s">
        <v>63</v>
      </c>
      <c r="H21" s="1393" t="s">
        <v>63</v>
      </c>
      <c r="I21" s="1394" t="s">
        <v>63</v>
      </c>
      <c r="J21" s="1395" t="s">
        <v>63</v>
      </c>
      <c r="K21" s="1396" t="s">
        <v>63</v>
      </c>
      <c r="L21" s="1393" t="s">
        <v>63</v>
      </c>
      <c r="M21" s="1394" t="s">
        <v>63</v>
      </c>
      <c r="N21" s="1392" t="s">
        <v>63</v>
      </c>
      <c r="O21" s="1392" t="s">
        <v>63</v>
      </c>
      <c r="P21" s="1398">
        <f>ifna(vlookup(A21,'Population &amp; Church Numbers'!$A$3049:$D$3120,4,FALSE),"NULL")</f>
        <v>8</v>
      </c>
      <c r="Q21" s="1399" t="s">
        <v>63</v>
      </c>
    </row>
    <row r="22">
      <c r="A22" s="1400" t="s">
        <v>2353</v>
      </c>
      <c r="B22" s="1401">
        <f t="array" ref="B22">VLOOKUP($A22,WI_DEMO,2,FALSE)</f>
        <v>104154</v>
      </c>
      <c r="C22" s="1402">
        <v>143.0</v>
      </c>
      <c r="D22" s="1403" t="s">
        <v>63</v>
      </c>
      <c r="E22" s="1404">
        <v>68.0</v>
      </c>
      <c r="F22" s="1405" t="s">
        <v>2700</v>
      </c>
      <c r="G22" s="1403" t="s">
        <v>63</v>
      </c>
      <c r="H22" s="1406" t="s">
        <v>63</v>
      </c>
      <c r="I22" s="1407" t="s">
        <v>63</v>
      </c>
      <c r="J22" s="1408" t="s">
        <v>63</v>
      </c>
      <c r="K22" s="1409" t="s">
        <v>63</v>
      </c>
      <c r="L22" s="1406" t="s">
        <v>63</v>
      </c>
      <c r="M22" s="1407" t="s">
        <v>63</v>
      </c>
      <c r="N22" s="1403" t="s">
        <v>63</v>
      </c>
      <c r="O22" s="1403" t="s">
        <v>63</v>
      </c>
      <c r="P22" s="1411">
        <f>ifna(vlookup(A22,'Population &amp; Church Numbers'!$A$3049:$D$3120,4,FALSE),"NULL")</f>
        <v>101</v>
      </c>
      <c r="Q22" s="1412" t="s">
        <v>63</v>
      </c>
    </row>
    <row r="23">
      <c r="A23" s="1389" t="s">
        <v>1793</v>
      </c>
      <c r="B23" s="1390">
        <f t="array" ref="B23">VLOOKUP($A23,WI_DEMO,2,FALSE)</f>
        <v>9179</v>
      </c>
      <c r="C23" s="1391">
        <v>23.0</v>
      </c>
      <c r="D23" s="1392" t="s">
        <v>63</v>
      </c>
      <c r="E23" s="1414">
        <v>6.0</v>
      </c>
      <c r="F23" s="1415" t="s">
        <v>2689</v>
      </c>
      <c r="G23" s="1392" t="s">
        <v>63</v>
      </c>
      <c r="H23" s="1393" t="s">
        <v>63</v>
      </c>
      <c r="I23" s="1394" t="s">
        <v>63</v>
      </c>
      <c r="J23" s="1395" t="s">
        <v>63</v>
      </c>
      <c r="K23" s="1396" t="s">
        <v>63</v>
      </c>
      <c r="L23" s="1393" t="s">
        <v>63</v>
      </c>
      <c r="M23" s="1394" t="s">
        <v>63</v>
      </c>
      <c r="N23" s="1392" t="s">
        <v>63</v>
      </c>
      <c r="O23" s="1392" t="s">
        <v>63</v>
      </c>
      <c r="P23" s="1398">
        <f>ifna(vlookup(A23,'Population &amp; Church Numbers'!$A$3049:$D$3120,4,FALSE),"NULL")</f>
        <v>11</v>
      </c>
      <c r="Q23" s="1399" t="s">
        <v>63</v>
      </c>
    </row>
    <row r="24">
      <c r="A24" s="1400" t="s">
        <v>278</v>
      </c>
      <c r="B24" s="1401">
        <f t="array" ref="B24">VLOOKUP($A24,WI_DEMO,2,FALSE)</f>
        <v>51938</v>
      </c>
      <c r="C24" s="1402">
        <v>34.0</v>
      </c>
      <c r="D24" s="1403" t="s">
        <v>63</v>
      </c>
      <c r="E24" s="1404">
        <v>16.0</v>
      </c>
      <c r="F24" s="1405" t="s">
        <v>2694</v>
      </c>
      <c r="G24" s="1403" t="s">
        <v>63</v>
      </c>
      <c r="H24" s="1406" t="s">
        <v>63</v>
      </c>
      <c r="I24" s="1407" t="s">
        <v>63</v>
      </c>
      <c r="J24" s="1408" t="s">
        <v>63</v>
      </c>
      <c r="K24" s="1409" t="s">
        <v>63</v>
      </c>
      <c r="L24" s="1406" t="s">
        <v>63</v>
      </c>
      <c r="M24" s="1407" t="s">
        <v>63</v>
      </c>
      <c r="N24" s="1403" t="s">
        <v>63</v>
      </c>
      <c r="O24" s="1403" t="s">
        <v>63</v>
      </c>
      <c r="P24" s="1411">
        <f>ifna(vlookup(A24,'Population &amp; Church Numbers'!$A$3049:$D$3120,4,FALSE),"NULL")</f>
        <v>62</v>
      </c>
      <c r="Q24" s="1412" t="s">
        <v>63</v>
      </c>
    </row>
    <row r="25">
      <c r="A25" s="1389" t="s">
        <v>1075</v>
      </c>
      <c r="B25" s="1390">
        <f t="array" ref="B25">VLOOKUP($A25,WI_DEMO,2,FALSE)</f>
        <v>37093</v>
      </c>
      <c r="C25" s="1391">
        <v>22.0</v>
      </c>
      <c r="D25" s="1392" t="s">
        <v>63</v>
      </c>
      <c r="E25" s="1414">
        <v>10.0</v>
      </c>
      <c r="F25" s="1415" t="s">
        <v>2497</v>
      </c>
      <c r="G25" s="1392" t="s">
        <v>63</v>
      </c>
      <c r="H25" s="1393" t="s">
        <v>63</v>
      </c>
      <c r="I25" s="1394" t="s">
        <v>63</v>
      </c>
      <c r="J25" s="1395" t="s">
        <v>63</v>
      </c>
      <c r="K25" s="1396" t="s">
        <v>63</v>
      </c>
      <c r="L25" s="1393" t="s">
        <v>63</v>
      </c>
      <c r="M25" s="1394" t="s">
        <v>63</v>
      </c>
      <c r="N25" s="1392" t="s">
        <v>63</v>
      </c>
      <c r="O25" s="1392" t="s">
        <v>63</v>
      </c>
      <c r="P25" s="1398">
        <f>ifna(vlookup(A25,'Population &amp; Church Numbers'!$A$3049:$D$3120,4,FALSE),"NULL")</f>
        <v>36</v>
      </c>
      <c r="Q25" s="1399" t="s">
        <v>63</v>
      </c>
    </row>
    <row r="26">
      <c r="A26" s="1400" t="s">
        <v>2354</v>
      </c>
      <c r="B26" s="1401">
        <f t="array" ref="B26">VLOOKUP($A26,WI_DEMO,2,FALSE)</f>
        <v>19018</v>
      </c>
      <c r="C26" s="1402">
        <v>5.0</v>
      </c>
      <c r="D26" s="1403" t="s">
        <v>63</v>
      </c>
      <c r="E26" s="1404">
        <v>4.0</v>
      </c>
      <c r="F26" s="1405" t="s">
        <v>25</v>
      </c>
      <c r="G26" s="1403" t="s">
        <v>63</v>
      </c>
      <c r="H26" s="1406" t="s">
        <v>63</v>
      </c>
      <c r="I26" s="1407" t="s">
        <v>63</v>
      </c>
      <c r="J26" s="1408" t="s">
        <v>63</v>
      </c>
      <c r="K26" s="1409" t="s">
        <v>63</v>
      </c>
      <c r="L26" s="1406" t="s">
        <v>63</v>
      </c>
      <c r="M26" s="1407" t="s">
        <v>63</v>
      </c>
      <c r="N26" s="1403" t="s">
        <v>63</v>
      </c>
      <c r="O26" s="1403" t="s">
        <v>63</v>
      </c>
      <c r="P26" s="1411">
        <f>ifna(vlookup(A26,'Population &amp; Church Numbers'!$A$3049:$D$3120,4,FALSE),"NULL")</f>
        <v>25</v>
      </c>
      <c r="Q26" s="1412" t="s">
        <v>63</v>
      </c>
    </row>
    <row r="27">
      <c r="A27" s="1389" t="s">
        <v>50</v>
      </c>
      <c r="B27" s="1390">
        <f t="array" ref="B27">VLOOKUP($A27,WI_DEMO,2,FALSE)</f>
        <v>23709</v>
      </c>
      <c r="C27" s="1391">
        <v>1.0</v>
      </c>
      <c r="D27" s="1392" t="s">
        <v>63</v>
      </c>
      <c r="E27" s="1414">
        <v>1.0</v>
      </c>
      <c r="F27" s="1415" t="s">
        <v>2701</v>
      </c>
      <c r="G27" s="1392" t="s">
        <v>63</v>
      </c>
      <c r="H27" s="1393" t="s">
        <v>63</v>
      </c>
      <c r="I27" s="1394" t="s">
        <v>63</v>
      </c>
      <c r="J27" s="1395" t="s">
        <v>63</v>
      </c>
      <c r="K27" s="1396" t="s">
        <v>63</v>
      </c>
      <c r="L27" s="1393" t="s">
        <v>63</v>
      </c>
      <c r="M27" s="1394" t="s">
        <v>63</v>
      </c>
      <c r="N27" s="1392" t="s">
        <v>63</v>
      </c>
      <c r="O27" s="1392" t="s">
        <v>63</v>
      </c>
      <c r="P27" s="1398">
        <f>ifna(vlookup(A27,'Population &amp; Church Numbers'!$A$3049:$D$3120,4,FALSE),"NULL")</f>
        <v>29</v>
      </c>
      <c r="Q27" s="1399" t="s">
        <v>63</v>
      </c>
    </row>
    <row r="28">
      <c r="A28" s="1400" t="s">
        <v>1259</v>
      </c>
      <c r="B28" s="1401">
        <f t="array" ref="B28">VLOOKUP($A28,WI_DEMO,2,FALSE)</f>
        <v>6137</v>
      </c>
      <c r="C28" s="1402">
        <v>15.0</v>
      </c>
      <c r="D28" s="1403" t="s">
        <v>63</v>
      </c>
      <c r="E28" s="1404">
        <v>12.0</v>
      </c>
      <c r="F28" s="1405" t="s">
        <v>391</v>
      </c>
      <c r="G28" s="1403" t="s">
        <v>63</v>
      </c>
      <c r="H28" s="1406" t="s">
        <v>63</v>
      </c>
      <c r="I28" s="1407" t="s">
        <v>63</v>
      </c>
      <c r="J28" s="1408" t="s">
        <v>63</v>
      </c>
      <c r="K28" s="1409" t="s">
        <v>63</v>
      </c>
      <c r="L28" s="1406" t="s">
        <v>63</v>
      </c>
      <c r="M28" s="1407" t="s">
        <v>63</v>
      </c>
      <c r="N28" s="1403" t="s">
        <v>63</v>
      </c>
      <c r="O28" s="1403" t="s">
        <v>63</v>
      </c>
      <c r="P28" s="1411">
        <f>ifna(vlookup(A28,'Population &amp; Church Numbers'!$A$3049:$D$3120,4,FALSE),"NULL")</f>
        <v>12</v>
      </c>
      <c r="Q28" s="1412" t="s">
        <v>63</v>
      </c>
    </row>
    <row r="29">
      <c r="A29" s="1389" t="s">
        <v>142</v>
      </c>
      <c r="B29" s="1390">
        <f t="array" ref="B29">VLOOKUP($A29,WI_DEMO,2,FALSE)</f>
        <v>21145</v>
      </c>
      <c r="C29" s="1391">
        <v>53.0</v>
      </c>
      <c r="D29" s="1392" t="s">
        <v>63</v>
      </c>
      <c r="E29" s="1414">
        <v>22.0</v>
      </c>
      <c r="F29" s="1415" t="s">
        <v>2702</v>
      </c>
      <c r="G29" s="1392" t="s">
        <v>63</v>
      </c>
      <c r="H29" s="1393" t="s">
        <v>63</v>
      </c>
      <c r="I29" s="1394" t="s">
        <v>63</v>
      </c>
      <c r="J29" s="1395" t="s">
        <v>63</v>
      </c>
      <c r="K29" s="1396" t="s">
        <v>63</v>
      </c>
      <c r="L29" s="1393" t="s">
        <v>63</v>
      </c>
      <c r="M29" s="1394" t="s">
        <v>63</v>
      </c>
      <c r="N29" s="1392" t="s">
        <v>63</v>
      </c>
      <c r="O29" s="1392" t="s">
        <v>63</v>
      </c>
      <c r="P29" s="1398">
        <f>ifna(vlookup(A29,'Population &amp; Church Numbers'!$A$3049:$D$3120,4,FALSE),"NULL")</f>
        <v>32</v>
      </c>
      <c r="Q29" s="1399" t="s">
        <v>63</v>
      </c>
    </row>
    <row r="30">
      <c r="A30" s="1400" t="s">
        <v>143</v>
      </c>
      <c r="B30" s="1401">
        <f t="array" ref="B30">VLOOKUP($A30,WI_DEMO,2,FALSE)</f>
        <v>84900</v>
      </c>
      <c r="C30" s="1402">
        <v>49.0</v>
      </c>
      <c r="D30" s="1403" t="s">
        <v>63</v>
      </c>
      <c r="E30" s="1404">
        <v>28.0</v>
      </c>
      <c r="F30" s="1405" t="s">
        <v>2690</v>
      </c>
      <c r="G30" s="1403" t="s">
        <v>63</v>
      </c>
      <c r="H30" s="1406" t="s">
        <v>63</v>
      </c>
      <c r="I30" s="1407" t="s">
        <v>63</v>
      </c>
      <c r="J30" s="1408" t="s">
        <v>63</v>
      </c>
      <c r="K30" s="1409" t="s">
        <v>63</v>
      </c>
      <c r="L30" s="1406" t="s">
        <v>63</v>
      </c>
      <c r="M30" s="1407" t="s">
        <v>63</v>
      </c>
      <c r="N30" s="1403" t="s">
        <v>63</v>
      </c>
      <c r="O30" s="1403" t="s">
        <v>63</v>
      </c>
      <c r="P30" s="1411">
        <f>ifna(vlookup(A30,'Population &amp; Church Numbers'!$A$3049:$D$3120,4,FALSE),"NULL")</f>
        <v>78</v>
      </c>
      <c r="Q30" s="1412" t="s">
        <v>63</v>
      </c>
    </row>
    <row r="31">
      <c r="A31" s="1389" t="s">
        <v>197</v>
      </c>
      <c r="B31" s="1390">
        <f t="array" ref="B31">VLOOKUP($A31,WI_DEMO,2,FALSE)</f>
        <v>26718</v>
      </c>
      <c r="C31" s="1391">
        <v>37.0</v>
      </c>
      <c r="D31" s="1392" t="s">
        <v>63</v>
      </c>
      <c r="E31" s="1414">
        <v>23.0</v>
      </c>
      <c r="F31" s="1415" t="s">
        <v>2694</v>
      </c>
      <c r="G31" s="1392" t="s">
        <v>63</v>
      </c>
      <c r="H31" s="1393" t="s">
        <v>63</v>
      </c>
      <c r="I31" s="1394" t="s">
        <v>63</v>
      </c>
      <c r="J31" s="1395" t="s">
        <v>63</v>
      </c>
      <c r="K31" s="1396" t="s">
        <v>63</v>
      </c>
      <c r="L31" s="1393" t="s">
        <v>63</v>
      </c>
      <c r="M31" s="1394" t="s">
        <v>63</v>
      </c>
      <c r="N31" s="1392" t="s">
        <v>63</v>
      </c>
      <c r="O31" s="1392" t="s">
        <v>63</v>
      </c>
      <c r="P31" s="1398">
        <f>ifna(vlookup(A31,'Population &amp; Church Numbers'!$A$3049:$D$3120,4,FALSE),"NULL")</f>
        <v>33</v>
      </c>
      <c r="Q31" s="1399" t="s">
        <v>63</v>
      </c>
    </row>
    <row r="32">
      <c r="A32" s="1400" t="s">
        <v>2355</v>
      </c>
      <c r="B32" s="1401">
        <f t="array" ref="B32">VLOOKUP($A32,WI_DEMO,2,FALSE)</f>
        <v>169151</v>
      </c>
      <c r="C32" s="1402">
        <v>375.0</v>
      </c>
      <c r="D32" s="1403" t="s">
        <v>63</v>
      </c>
      <c r="E32" s="1404">
        <v>159.0</v>
      </c>
      <c r="F32" s="1405" t="s">
        <v>2703</v>
      </c>
      <c r="G32" s="1403" t="s">
        <v>63</v>
      </c>
      <c r="H32" s="1406" t="s">
        <v>63</v>
      </c>
      <c r="I32" s="1407" t="s">
        <v>63</v>
      </c>
      <c r="J32" s="1408" t="s">
        <v>63</v>
      </c>
      <c r="K32" s="1409" t="s">
        <v>63</v>
      </c>
      <c r="L32" s="1406" t="s">
        <v>63</v>
      </c>
      <c r="M32" s="1407" t="s">
        <v>63</v>
      </c>
      <c r="N32" s="1403" t="s">
        <v>63</v>
      </c>
      <c r="O32" s="1403" t="s">
        <v>63</v>
      </c>
      <c r="P32" s="1411">
        <f>ifna(vlookup(A32,'Population &amp; Church Numbers'!$A$3049:$D$3120,4,FALSE),"NULL")</f>
        <v>87</v>
      </c>
      <c r="Q32" s="1412" t="s">
        <v>63</v>
      </c>
    </row>
    <row r="33">
      <c r="A33" s="1389" t="s">
        <v>2356</v>
      </c>
      <c r="B33" s="1390">
        <f t="array" ref="B33">VLOOKUP($A33,WI_DEMO,2,FALSE)</f>
        <v>20563</v>
      </c>
      <c r="C33" s="1391">
        <v>21.0</v>
      </c>
      <c r="D33" s="1392" t="s">
        <v>63</v>
      </c>
      <c r="E33" s="1414">
        <v>8.0</v>
      </c>
      <c r="F33" s="1415" t="s">
        <v>2694</v>
      </c>
      <c r="G33" s="1392" t="s">
        <v>63</v>
      </c>
      <c r="H33" s="1393" t="s">
        <v>63</v>
      </c>
      <c r="I33" s="1394" t="s">
        <v>63</v>
      </c>
      <c r="J33" s="1395" t="s">
        <v>63</v>
      </c>
      <c r="K33" s="1396" t="s">
        <v>63</v>
      </c>
      <c r="L33" s="1393" t="s">
        <v>63</v>
      </c>
      <c r="M33" s="1394" t="s">
        <v>63</v>
      </c>
      <c r="N33" s="1392" t="s">
        <v>63</v>
      </c>
      <c r="O33" s="1392" t="s">
        <v>63</v>
      </c>
      <c r="P33" s="1398">
        <f>ifna(vlookup(A33,'Population &amp; Church Numbers'!$A$3049:$D$3120,4,FALSE),"NULL")</f>
        <v>20</v>
      </c>
      <c r="Q33" s="1399" t="s">
        <v>63</v>
      </c>
    </row>
    <row r="34">
      <c r="A34" s="1400" t="s">
        <v>2357</v>
      </c>
      <c r="B34" s="1401">
        <f t="array" ref="B34">VLOOKUP($A34,WI_DEMO,2,FALSE)</f>
        <v>120784</v>
      </c>
      <c r="C34" s="1402">
        <v>74.0</v>
      </c>
      <c r="D34" s="1403" t="s">
        <v>63</v>
      </c>
      <c r="E34" s="1404">
        <v>39.0</v>
      </c>
      <c r="F34" s="1405" t="s">
        <v>2501</v>
      </c>
      <c r="G34" s="1403" t="s">
        <v>63</v>
      </c>
      <c r="H34" s="1406" t="s">
        <v>63</v>
      </c>
      <c r="I34" s="1407" t="s">
        <v>63</v>
      </c>
      <c r="J34" s="1408" t="s">
        <v>63</v>
      </c>
      <c r="K34" s="1409" t="s">
        <v>63</v>
      </c>
      <c r="L34" s="1406" t="s">
        <v>63</v>
      </c>
      <c r="M34" s="1407" t="s">
        <v>63</v>
      </c>
      <c r="N34" s="1403" t="s">
        <v>63</v>
      </c>
      <c r="O34" s="1403" t="s">
        <v>63</v>
      </c>
      <c r="P34" s="1411">
        <f>ifna(vlookup(A34,'Population &amp; Church Numbers'!$A$3049:$D$3120,4,FALSE),"NULL")</f>
        <v>87</v>
      </c>
      <c r="Q34" s="1412" t="s">
        <v>63</v>
      </c>
    </row>
    <row r="35">
      <c r="A35" s="1389" t="s">
        <v>289</v>
      </c>
      <c r="B35" s="1390">
        <f t="array" ref="B35">VLOOKUP($A35,WI_DEMO,2,FALSE)</f>
        <v>16611</v>
      </c>
      <c r="C35" s="1391">
        <v>15.0</v>
      </c>
      <c r="D35" s="1392" t="s">
        <v>63</v>
      </c>
      <c r="E35" s="1414">
        <v>2.0</v>
      </c>
      <c r="F35" s="1415" t="s">
        <v>2489</v>
      </c>
      <c r="G35" s="1392" t="s">
        <v>63</v>
      </c>
      <c r="H35" s="1393" t="s">
        <v>63</v>
      </c>
      <c r="I35" s="1394" t="s">
        <v>63</v>
      </c>
      <c r="J35" s="1395" t="s">
        <v>63</v>
      </c>
      <c r="K35" s="1396" t="s">
        <v>63</v>
      </c>
      <c r="L35" s="1393" t="s">
        <v>63</v>
      </c>
      <c r="M35" s="1394" t="s">
        <v>63</v>
      </c>
      <c r="N35" s="1392" t="s">
        <v>63</v>
      </c>
      <c r="O35" s="1392" t="s">
        <v>63</v>
      </c>
      <c r="P35" s="1398">
        <f>ifna(vlookup(A35,'Population &amp; Church Numbers'!$A$3049:$D$3120,4,FALSE),"NULL")</f>
        <v>23</v>
      </c>
      <c r="Q35" s="1399" t="s">
        <v>63</v>
      </c>
    </row>
    <row r="36">
      <c r="A36" s="1400" t="s">
        <v>2358</v>
      </c>
      <c r="B36" s="1401">
        <f t="array" ref="B36">VLOOKUP($A36,WI_DEMO,2,FALSE)</f>
        <v>19491</v>
      </c>
      <c r="C36" s="1402">
        <v>58.0</v>
      </c>
      <c r="D36" s="1403" t="s">
        <v>63</v>
      </c>
      <c r="E36" s="1404">
        <v>25.0</v>
      </c>
      <c r="F36" s="1405" t="s">
        <v>2704</v>
      </c>
      <c r="G36" s="1403" t="s">
        <v>63</v>
      </c>
      <c r="H36" s="1406" t="s">
        <v>63</v>
      </c>
      <c r="I36" s="1407" t="s">
        <v>63</v>
      </c>
      <c r="J36" s="1408" t="s">
        <v>63</v>
      </c>
      <c r="K36" s="1409" t="s">
        <v>63</v>
      </c>
      <c r="L36" s="1406" t="s">
        <v>63</v>
      </c>
      <c r="M36" s="1407" t="s">
        <v>63</v>
      </c>
      <c r="N36" s="1403" t="s">
        <v>63</v>
      </c>
      <c r="O36" s="1403" t="s">
        <v>63</v>
      </c>
      <c r="P36" s="1411">
        <f>ifna(vlookup(A36,'Population &amp; Church Numbers'!$A$3049:$D$3120,4,FALSE),"NULL")</f>
        <v>28</v>
      </c>
      <c r="Q36" s="1412" t="s">
        <v>63</v>
      </c>
    </row>
    <row r="37">
      <c r="A37" s="1389" t="s">
        <v>290</v>
      </c>
      <c r="B37" s="1390">
        <f t="array" ref="B37">VLOOKUP($A37,WI_DEMO,2,FALSE)</f>
        <v>28415</v>
      </c>
      <c r="C37" s="1391">
        <v>49.0</v>
      </c>
      <c r="D37" s="1392" t="s">
        <v>63</v>
      </c>
      <c r="E37" s="1414">
        <v>13.0</v>
      </c>
      <c r="F37" s="1415" t="s">
        <v>2705</v>
      </c>
      <c r="G37" s="1392" t="s">
        <v>63</v>
      </c>
      <c r="H37" s="1393" t="s">
        <v>63</v>
      </c>
      <c r="I37" s="1394" t="s">
        <v>63</v>
      </c>
      <c r="J37" s="1395" t="s">
        <v>63</v>
      </c>
      <c r="K37" s="1396" t="s">
        <v>63</v>
      </c>
      <c r="L37" s="1393" t="s">
        <v>63</v>
      </c>
      <c r="M37" s="1394" t="s">
        <v>63</v>
      </c>
      <c r="N37" s="1392" t="s">
        <v>63</v>
      </c>
      <c r="O37" s="1392" t="s">
        <v>63</v>
      </c>
      <c r="P37" s="1398">
        <f>ifna(vlookup(A37,'Population &amp; Church Numbers'!$A$3049:$D$3120,4,FALSE),"NULL")</f>
        <v>31</v>
      </c>
      <c r="Q37" s="1399" t="s">
        <v>63</v>
      </c>
    </row>
    <row r="38">
      <c r="A38" s="1400" t="s">
        <v>2359</v>
      </c>
      <c r="B38" s="1401">
        <f t="array" ref="B38">VLOOKUP($A38,WI_DEMO,2,FALSE)</f>
        <v>81359</v>
      </c>
      <c r="C38" s="1402">
        <v>138.0</v>
      </c>
      <c r="D38" s="1403" t="s">
        <v>63</v>
      </c>
      <c r="E38" s="1404">
        <v>63.0</v>
      </c>
      <c r="F38" s="1405" t="s">
        <v>2706</v>
      </c>
      <c r="G38" s="1403" t="s">
        <v>63</v>
      </c>
      <c r="H38" s="1406" t="s">
        <v>63</v>
      </c>
      <c r="I38" s="1407" t="s">
        <v>63</v>
      </c>
      <c r="J38" s="1408" t="s">
        <v>63</v>
      </c>
      <c r="K38" s="1409" t="s">
        <v>63</v>
      </c>
      <c r="L38" s="1406" t="s">
        <v>63</v>
      </c>
      <c r="M38" s="1407" t="s">
        <v>63</v>
      </c>
      <c r="N38" s="1403" t="s">
        <v>63</v>
      </c>
      <c r="O38" s="1403" t="s">
        <v>63</v>
      </c>
      <c r="P38" s="1411">
        <f>ifna(vlookup(A38,'Population &amp; Church Numbers'!$A$3049:$D$3120,4,FALSE),"NULL")</f>
        <v>69</v>
      </c>
      <c r="Q38" s="1412" t="s">
        <v>63</v>
      </c>
    </row>
    <row r="39">
      <c r="A39" s="1389" t="s">
        <v>2360</v>
      </c>
      <c r="B39" s="1390">
        <f t="array" ref="B39">VLOOKUP($A39,WI_DEMO,2,FALSE)</f>
        <v>138013</v>
      </c>
      <c r="C39" s="1391">
        <v>131.0</v>
      </c>
      <c r="D39" s="1392" t="s">
        <v>63</v>
      </c>
      <c r="E39" s="1414">
        <v>69.0</v>
      </c>
      <c r="F39" s="1415" t="s">
        <v>2502</v>
      </c>
      <c r="G39" s="1392" t="s">
        <v>63</v>
      </c>
      <c r="H39" s="1393" t="s">
        <v>63</v>
      </c>
      <c r="I39" s="1394" t="s">
        <v>63</v>
      </c>
      <c r="J39" s="1395" t="s">
        <v>63</v>
      </c>
      <c r="K39" s="1396" t="s">
        <v>63</v>
      </c>
      <c r="L39" s="1393" t="s">
        <v>63</v>
      </c>
      <c r="M39" s="1394" t="s">
        <v>63</v>
      </c>
      <c r="N39" s="1392" t="s">
        <v>63</v>
      </c>
      <c r="O39" s="1392" t="s">
        <v>63</v>
      </c>
      <c r="P39" s="1398">
        <f>ifna(vlookup(A39,'Population &amp; Church Numbers'!$A$3049:$D$3120,4,FALSE),"NULL")</f>
        <v>131</v>
      </c>
      <c r="Q39" s="1399" t="s">
        <v>63</v>
      </c>
    </row>
    <row r="40">
      <c r="A40" s="1400" t="s">
        <v>2361</v>
      </c>
      <c r="B40" s="1401">
        <f t="array" ref="B40">VLOOKUP($A40,WI_DEMO,2,FALSE)</f>
        <v>41872</v>
      </c>
      <c r="C40" s="1402">
        <v>40.0</v>
      </c>
      <c r="D40" s="1403" t="s">
        <v>63</v>
      </c>
      <c r="E40" s="1404">
        <v>20.0</v>
      </c>
      <c r="F40" s="1405" t="s">
        <v>2707</v>
      </c>
      <c r="G40" s="1403" t="s">
        <v>63</v>
      </c>
      <c r="H40" s="1406" t="s">
        <v>63</v>
      </c>
      <c r="I40" s="1407" t="s">
        <v>63</v>
      </c>
      <c r="J40" s="1408" t="s">
        <v>63</v>
      </c>
      <c r="K40" s="1409" t="s">
        <v>63</v>
      </c>
      <c r="L40" s="1406" t="s">
        <v>63</v>
      </c>
      <c r="M40" s="1407" t="s">
        <v>63</v>
      </c>
      <c r="N40" s="1403" t="s">
        <v>63</v>
      </c>
      <c r="O40" s="1403" t="s">
        <v>63</v>
      </c>
      <c r="P40" s="1411">
        <f>ifna(vlookup(A40,'Population &amp; Church Numbers'!$A$3049:$D$3120,4,FALSE),"NULL")</f>
        <v>49</v>
      </c>
      <c r="Q40" s="1412" t="s">
        <v>63</v>
      </c>
    </row>
    <row r="41">
      <c r="A41" s="1389" t="s">
        <v>1270</v>
      </c>
      <c r="B41" s="1390">
        <f t="array" ref="B41">VLOOKUP($A41,WI_DEMO,2,FALSE)</f>
        <v>15592</v>
      </c>
      <c r="C41" s="1391">
        <v>9.0</v>
      </c>
      <c r="D41" s="1392" t="s">
        <v>63</v>
      </c>
      <c r="E41" s="1414">
        <v>7.0</v>
      </c>
      <c r="F41" s="1415" t="s">
        <v>25</v>
      </c>
      <c r="G41" s="1392" t="s">
        <v>63</v>
      </c>
      <c r="H41" s="1393" t="s">
        <v>63</v>
      </c>
      <c r="I41" s="1394" t="s">
        <v>63</v>
      </c>
      <c r="J41" s="1395" t="s">
        <v>63</v>
      </c>
      <c r="K41" s="1396" t="s">
        <v>63</v>
      </c>
      <c r="L41" s="1393" t="s">
        <v>63</v>
      </c>
      <c r="M41" s="1394" t="s">
        <v>63</v>
      </c>
      <c r="N41" s="1392" t="s">
        <v>63</v>
      </c>
      <c r="O41" s="1392" t="s">
        <v>63</v>
      </c>
      <c r="P41" s="1398">
        <f>ifna(vlookup(A41,'Population &amp; Church Numbers'!$A$3049:$D$3120,4,FALSE),"NULL")</f>
        <v>26</v>
      </c>
      <c r="Q41" s="1399" t="s">
        <v>63</v>
      </c>
    </row>
    <row r="42">
      <c r="A42" s="1400" t="s">
        <v>1272</v>
      </c>
      <c r="B42" s="1401">
        <f t="array" ref="B42">VLOOKUP($A42,WI_DEMO,2,FALSE)</f>
        <v>4255</v>
      </c>
      <c r="C42" s="1402">
        <v>9.0</v>
      </c>
      <c r="D42" s="1403" t="s">
        <v>63</v>
      </c>
      <c r="E42" s="1404">
        <v>1.0</v>
      </c>
      <c r="F42" s="1405" t="s">
        <v>2691</v>
      </c>
      <c r="G42" s="1403" t="s">
        <v>63</v>
      </c>
      <c r="H42" s="1406" t="s">
        <v>63</v>
      </c>
      <c r="I42" s="1407" t="s">
        <v>63</v>
      </c>
      <c r="J42" s="1408" t="s">
        <v>63</v>
      </c>
      <c r="K42" s="1409" t="s">
        <v>63</v>
      </c>
      <c r="L42" s="1406" t="s">
        <v>63</v>
      </c>
      <c r="M42" s="1407" t="s">
        <v>63</v>
      </c>
      <c r="N42" s="1403" t="s">
        <v>63</v>
      </c>
      <c r="O42" s="1403" t="s">
        <v>63</v>
      </c>
      <c r="P42" s="1411">
        <f>ifna(vlookup(A42,'Population &amp; Church Numbers'!$A$3049:$D$3120,4,FALSE),"NULL")</f>
        <v>3</v>
      </c>
      <c r="Q42" s="1412" t="s">
        <v>63</v>
      </c>
    </row>
    <row r="43">
      <c r="A43" s="1389" t="s">
        <v>437</v>
      </c>
      <c r="B43" s="1390">
        <f t="array" ref="B43">VLOOKUP($A43,WI_DEMO,2,FALSE)</f>
        <v>939489</v>
      </c>
      <c r="C43" s="1391">
        <v>1725.0</v>
      </c>
      <c r="D43" s="1392" t="s">
        <v>63</v>
      </c>
      <c r="E43" s="1414">
        <v>780.0</v>
      </c>
      <c r="F43" s="1415" t="s">
        <v>2708</v>
      </c>
      <c r="G43" s="1392" t="s">
        <v>63</v>
      </c>
      <c r="H43" s="1393" t="s">
        <v>63</v>
      </c>
      <c r="I43" s="1394" t="s">
        <v>63</v>
      </c>
      <c r="J43" s="1395" t="s">
        <v>63</v>
      </c>
      <c r="K43" s="1396" t="s">
        <v>63</v>
      </c>
      <c r="L43" s="1393" t="s">
        <v>63</v>
      </c>
      <c r="M43" s="1394" t="s">
        <v>63</v>
      </c>
      <c r="N43" s="1392" t="s">
        <v>63</v>
      </c>
      <c r="O43" s="1392" t="s">
        <v>63</v>
      </c>
      <c r="P43" s="1398">
        <f>ifna(vlookup(A43,'Population &amp; Church Numbers'!$A$3049:$D$3120,4,FALSE),"NULL")</f>
        <v>625</v>
      </c>
      <c r="Q43" s="1399" t="s">
        <v>63</v>
      </c>
    </row>
    <row r="44">
      <c r="A44" s="1400" t="s">
        <v>156</v>
      </c>
      <c r="B44" s="1401">
        <f t="array" ref="B44">VLOOKUP($A44,WI_DEMO,2,FALSE)</f>
        <v>46274</v>
      </c>
      <c r="C44" s="1402">
        <v>43.0</v>
      </c>
      <c r="D44" s="1403" t="s">
        <v>63</v>
      </c>
      <c r="E44" s="1404">
        <v>18.0</v>
      </c>
      <c r="F44" s="1405" t="s">
        <v>2707</v>
      </c>
      <c r="G44" s="1403" t="s">
        <v>63</v>
      </c>
      <c r="H44" s="1406" t="s">
        <v>63</v>
      </c>
      <c r="I44" s="1407" t="s">
        <v>63</v>
      </c>
      <c r="J44" s="1408" t="s">
        <v>63</v>
      </c>
      <c r="K44" s="1409" t="s">
        <v>63</v>
      </c>
      <c r="L44" s="1406" t="s">
        <v>63</v>
      </c>
      <c r="M44" s="1407" t="s">
        <v>63</v>
      </c>
      <c r="N44" s="1403" t="s">
        <v>63</v>
      </c>
      <c r="O44" s="1403" t="s">
        <v>63</v>
      </c>
      <c r="P44" s="1411">
        <f>ifna(vlookup(A44,'Population &amp; Church Numbers'!$A$3049:$D$3120,4,FALSE),"NULL")</f>
        <v>53</v>
      </c>
      <c r="Q44" s="1412" t="s">
        <v>63</v>
      </c>
    </row>
    <row r="45">
      <c r="A45" s="1389" t="s">
        <v>2362</v>
      </c>
      <c r="B45" s="1390">
        <f t="array" ref="B45">VLOOKUP($A45,WI_DEMO,2,FALSE)</f>
        <v>38965</v>
      </c>
      <c r="C45" s="1391">
        <v>43.0</v>
      </c>
      <c r="D45" s="1392" t="s">
        <v>63</v>
      </c>
      <c r="E45" s="1414">
        <v>25.0</v>
      </c>
      <c r="F45" s="1415" t="s">
        <v>2709</v>
      </c>
      <c r="G45" s="1392" t="s">
        <v>63</v>
      </c>
      <c r="H45" s="1393" t="s">
        <v>63</v>
      </c>
      <c r="I45" s="1394" t="s">
        <v>63</v>
      </c>
      <c r="J45" s="1395" t="s">
        <v>63</v>
      </c>
      <c r="K45" s="1396" t="s">
        <v>63</v>
      </c>
      <c r="L45" s="1393" t="s">
        <v>63</v>
      </c>
      <c r="M45" s="1394" t="s">
        <v>63</v>
      </c>
      <c r="N45" s="1392" t="s">
        <v>63</v>
      </c>
      <c r="O45" s="1392" t="s">
        <v>63</v>
      </c>
      <c r="P45" s="1398">
        <f>ifna(vlookup(A45,'Population &amp; Church Numbers'!$A$3049:$D$3120,4,FALSE),"NULL")</f>
        <v>43</v>
      </c>
      <c r="Q45" s="1399" t="s">
        <v>63</v>
      </c>
    </row>
    <row r="46">
      <c r="A46" s="1400" t="s">
        <v>685</v>
      </c>
      <c r="B46" s="1401">
        <f t="array" ref="B46">VLOOKUP($A46,WI_DEMO,2,FALSE)</f>
        <v>37845</v>
      </c>
      <c r="C46" s="1402">
        <v>38.0</v>
      </c>
      <c r="D46" s="1403" t="s">
        <v>63</v>
      </c>
      <c r="E46" s="1404">
        <v>14.0</v>
      </c>
      <c r="F46" s="1405" t="s">
        <v>2697</v>
      </c>
      <c r="G46" s="1403" t="s">
        <v>63</v>
      </c>
      <c r="H46" s="1406" t="s">
        <v>63</v>
      </c>
      <c r="I46" s="1407" t="s">
        <v>63</v>
      </c>
      <c r="J46" s="1408" t="s">
        <v>63</v>
      </c>
      <c r="K46" s="1409" t="s">
        <v>63</v>
      </c>
      <c r="L46" s="1406" t="s">
        <v>63</v>
      </c>
      <c r="M46" s="1407" t="s">
        <v>63</v>
      </c>
      <c r="N46" s="1403" t="s">
        <v>63</v>
      </c>
      <c r="O46" s="1403" t="s">
        <v>63</v>
      </c>
      <c r="P46" s="1411">
        <f>ifna(vlookup(A46,'Population &amp; Church Numbers'!$A$3049:$D$3120,4,FALSE),"NULL")</f>
        <v>39</v>
      </c>
      <c r="Q46" s="1412" t="s">
        <v>63</v>
      </c>
    </row>
    <row r="47">
      <c r="A47" s="1389" t="s">
        <v>2363</v>
      </c>
      <c r="B47" s="1390">
        <f t="array" ref="B47">VLOOKUP($A47,WI_DEMO,2,FALSE)</f>
        <v>190705</v>
      </c>
      <c r="C47" s="1391">
        <v>222.0</v>
      </c>
      <c r="D47" s="1392" t="s">
        <v>63</v>
      </c>
      <c r="E47" s="1414">
        <v>102.0</v>
      </c>
      <c r="F47" s="1415" t="s">
        <v>2710</v>
      </c>
      <c r="G47" s="1392" t="s">
        <v>63</v>
      </c>
      <c r="H47" s="1393" t="s">
        <v>63</v>
      </c>
      <c r="I47" s="1394" t="s">
        <v>63</v>
      </c>
      <c r="J47" s="1395" t="s">
        <v>63</v>
      </c>
      <c r="K47" s="1396" t="s">
        <v>63</v>
      </c>
      <c r="L47" s="1393" t="s">
        <v>63</v>
      </c>
      <c r="M47" s="1394" t="s">
        <v>63</v>
      </c>
      <c r="N47" s="1392" t="s">
        <v>63</v>
      </c>
      <c r="O47" s="1392" t="s">
        <v>63</v>
      </c>
      <c r="P47" s="1398">
        <f>ifna(vlookup(A47,'Population &amp; Church Numbers'!$A$3049:$D$3120,4,FALSE),"NULL")</f>
        <v>111</v>
      </c>
      <c r="Q47" s="1399" t="s">
        <v>63</v>
      </c>
    </row>
    <row r="48">
      <c r="A48" s="1400" t="s">
        <v>2364</v>
      </c>
      <c r="B48" s="1401">
        <f t="array" ref="B48">VLOOKUP($A48,WI_DEMO,2,FALSE)</f>
        <v>91503</v>
      </c>
      <c r="C48" s="1402">
        <v>30.0</v>
      </c>
      <c r="D48" s="1403" t="s">
        <v>63</v>
      </c>
      <c r="E48" s="1404">
        <v>10.0</v>
      </c>
      <c r="F48" s="1405" t="s">
        <v>2694</v>
      </c>
      <c r="G48" s="1403" t="s">
        <v>63</v>
      </c>
      <c r="H48" s="1406" t="s">
        <v>63</v>
      </c>
      <c r="I48" s="1407" t="s">
        <v>63</v>
      </c>
      <c r="J48" s="1408" t="s">
        <v>63</v>
      </c>
      <c r="K48" s="1409" t="s">
        <v>63</v>
      </c>
      <c r="L48" s="1406" t="s">
        <v>63</v>
      </c>
      <c r="M48" s="1407" t="s">
        <v>63</v>
      </c>
      <c r="N48" s="1403" t="s">
        <v>63</v>
      </c>
      <c r="O48" s="1403" t="s">
        <v>63</v>
      </c>
      <c r="P48" s="1411">
        <f>ifna(vlookup(A48,'Population &amp; Church Numbers'!$A$3049:$D$3120,4,FALSE),"NULL")</f>
        <v>59</v>
      </c>
      <c r="Q48" s="1412" t="s">
        <v>63</v>
      </c>
    </row>
    <row r="49">
      <c r="A49" s="1389" t="s">
        <v>2365</v>
      </c>
      <c r="B49" s="1390">
        <f t="array" ref="B49">VLOOKUP($A49,WI_DEMO,2,FALSE)</f>
        <v>7318</v>
      </c>
      <c r="C49" s="1391">
        <v>2.0</v>
      </c>
      <c r="D49" s="1392" t="s">
        <v>63</v>
      </c>
      <c r="E49" s="1414">
        <v>1.0</v>
      </c>
      <c r="F49" s="1415" t="s">
        <v>25</v>
      </c>
      <c r="G49" s="1392" t="s">
        <v>63</v>
      </c>
      <c r="H49" s="1393" t="s">
        <v>63</v>
      </c>
      <c r="I49" s="1394" t="s">
        <v>63</v>
      </c>
      <c r="J49" s="1395" t="s">
        <v>63</v>
      </c>
      <c r="K49" s="1396" t="s">
        <v>63</v>
      </c>
      <c r="L49" s="1393" t="s">
        <v>63</v>
      </c>
      <c r="M49" s="1394" t="s">
        <v>63</v>
      </c>
      <c r="N49" s="1392" t="s">
        <v>63</v>
      </c>
      <c r="O49" s="1392" t="s">
        <v>63</v>
      </c>
      <c r="P49" s="1398">
        <f>ifna(vlookup(A49,'Population &amp; Church Numbers'!$A$3049:$D$3120,4,FALSE),"NULL")</f>
        <v>11</v>
      </c>
      <c r="Q49" s="1399" t="s">
        <v>63</v>
      </c>
    </row>
    <row r="50">
      <c r="A50" s="1400" t="s">
        <v>473</v>
      </c>
      <c r="B50" s="1401">
        <f t="array" ref="B50">VLOOKUP($A50,WI_DEMO,2,FALSE)</f>
        <v>42212</v>
      </c>
      <c r="C50" s="1402">
        <v>35.0</v>
      </c>
      <c r="D50" s="1403" t="s">
        <v>63</v>
      </c>
      <c r="E50" s="1404">
        <v>14.0</v>
      </c>
      <c r="F50" s="1405" t="s">
        <v>2711</v>
      </c>
      <c r="G50" s="1403" t="s">
        <v>63</v>
      </c>
      <c r="H50" s="1406" t="s">
        <v>63</v>
      </c>
      <c r="I50" s="1407" t="s">
        <v>63</v>
      </c>
      <c r="J50" s="1408" t="s">
        <v>63</v>
      </c>
      <c r="K50" s="1409" t="s">
        <v>63</v>
      </c>
      <c r="L50" s="1406" t="s">
        <v>63</v>
      </c>
      <c r="M50" s="1407" t="s">
        <v>63</v>
      </c>
      <c r="N50" s="1403" t="s">
        <v>63</v>
      </c>
      <c r="O50" s="1403" t="s">
        <v>63</v>
      </c>
      <c r="P50" s="1411">
        <f>ifna(vlookup(A50,'Population &amp; Church Numbers'!$A$3049:$D$3120,4,FALSE),"NULL")</f>
        <v>46</v>
      </c>
      <c r="Q50" s="1412" t="s">
        <v>63</v>
      </c>
    </row>
    <row r="51">
      <c r="A51" s="1389" t="s">
        <v>302</v>
      </c>
      <c r="B51" s="1390">
        <f t="array" ref="B51">VLOOKUP($A51,WI_DEMO,2,FALSE)</f>
        <v>44977</v>
      </c>
      <c r="C51" s="1391">
        <v>24.0</v>
      </c>
      <c r="D51" s="1392" t="s">
        <v>63</v>
      </c>
      <c r="E51" s="1414">
        <v>3.0</v>
      </c>
      <c r="F51" s="1415" t="s">
        <v>2712</v>
      </c>
      <c r="G51" s="1392" t="s">
        <v>63</v>
      </c>
      <c r="H51" s="1393" t="s">
        <v>63</v>
      </c>
      <c r="I51" s="1394" t="s">
        <v>63</v>
      </c>
      <c r="J51" s="1395" t="s">
        <v>63</v>
      </c>
      <c r="K51" s="1396" t="s">
        <v>63</v>
      </c>
      <c r="L51" s="1393" t="s">
        <v>63</v>
      </c>
      <c r="M51" s="1394" t="s">
        <v>63</v>
      </c>
      <c r="N51" s="1392" t="s">
        <v>63</v>
      </c>
      <c r="O51" s="1392" t="s">
        <v>63</v>
      </c>
      <c r="P51" s="1398">
        <f>ifna(vlookup(A51,'Population &amp; Church Numbers'!$A$3049:$D$3120,4,FALSE),"NULL")</f>
        <v>74</v>
      </c>
      <c r="Q51" s="1399" t="s">
        <v>63</v>
      </c>
    </row>
    <row r="52">
      <c r="A52" s="1400" t="s">
        <v>1694</v>
      </c>
      <c r="B52" s="1401">
        <f t="array" ref="B52">VLOOKUP($A52,WI_DEMO,2,FALSE)</f>
        <v>70377</v>
      </c>
      <c r="C52" s="1402">
        <v>89.0</v>
      </c>
      <c r="D52" s="1403" t="s">
        <v>63</v>
      </c>
      <c r="E52" s="1404">
        <v>39.0</v>
      </c>
      <c r="F52" s="1405" t="s">
        <v>2490</v>
      </c>
      <c r="G52" s="1403" t="s">
        <v>63</v>
      </c>
      <c r="H52" s="1406" t="s">
        <v>63</v>
      </c>
      <c r="I52" s="1407" t="s">
        <v>63</v>
      </c>
      <c r="J52" s="1408" t="s">
        <v>63</v>
      </c>
      <c r="K52" s="1409" t="s">
        <v>63</v>
      </c>
      <c r="L52" s="1406" t="s">
        <v>63</v>
      </c>
      <c r="M52" s="1407" t="s">
        <v>63</v>
      </c>
      <c r="N52" s="1403" t="s">
        <v>63</v>
      </c>
      <c r="O52" s="1403" t="s">
        <v>63</v>
      </c>
      <c r="P52" s="1411">
        <f>ifna(vlookup(A52,'Population &amp; Church Numbers'!$A$3049:$D$3120,4,FALSE),"NULL")</f>
        <v>53</v>
      </c>
      <c r="Q52" s="1412" t="s">
        <v>63</v>
      </c>
    </row>
    <row r="53">
      <c r="A53" s="1389" t="s">
        <v>2366</v>
      </c>
      <c r="B53" s="1390">
        <f t="array" ref="B53">VLOOKUP($A53,WI_DEMO,2,FALSE)</f>
        <v>14054</v>
      </c>
      <c r="C53" s="1391">
        <v>11.0</v>
      </c>
      <c r="D53" s="1392" t="s">
        <v>63</v>
      </c>
      <c r="E53" s="1391">
        <v>6.0</v>
      </c>
      <c r="F53" s="1415" t="s">
        <v>2713</v>
      </c>
      <c r="G53" s="1392" t="s">
        <v>63</v>
      </c>
      <c r="H53" s="1393" t="s">
        <v>63</v>
      </c>
      <c r="I53" s="1394" t="s">
        <v>63</v>
      </c>
      <c r="J53" s="1395" t="s">
        <v>63</v>
      </c>
      <c r="K53" s="1396" t="s">
        <v>63</v>
      </c>
      <c r="L53" s="1393" t="s">
        <v>63</v>
      </c>
      <c r="M53" s="1394" t="s">
        <v>63</v>
      </c>
      <c r="N53" s="1392" t="s">
        <v>63</v>
      </c>
      <c r="O53" s="1392" t="s">
        <v>63</v>
      </c>
      <c r="P53" s="1398">
        <f>ifna(vlookup(A53,'Population &amp; Church Numbers'!$A$3049:$D$3120,4,FALSE),"NULL")</f>
        <v>27</v>
      </c>
      <c r="Q53" s="1399" t="s">
        <v>63</v>
      </c>
    </row>
    <row r="54">
      <c r="A54" s="1400" t="s">
        <v>2367</v>
      </c>
      <c r="B54" s="1401">
        <f t="array" ref="B54">VLOOKUP($A54,WI_DEMO,2,FALSE)</f>
        <v>197727</v>
      </c>
      <c r="C54" s="1402">
        <v>153.0</v>
      </c>
      <c r="D54" s="1403" t="s">
        <v>63</v>
      </c>
      <c r="E54" s="1402">
        <v>70.0</v>
      </c>
      <c r="F54" s="1405" t="s">
        <v>2495</v>
      </c>
      <c r="G54" s="1403" t="s">
        <v>63</v>
      </c>
      <c r="H54" s="1406" t="s">
        <v>63</v>
      </c>
      <c r="I54" s="1407" t="s">
        <v>63</v>
      </c>
      <c r="J54" s="1408" t="s">
        <v>63</v>
      </c>
      <c r="K54" s="1409" t="s">
        <v>63</v>
      </c>
      <c r="L54" s="1406" t="s">
        <v>63</v>
      </c>
      <c r="M54" s="1407" t="s">
        <v>63</v>
      </c>
      <c r="N54" s="1403" t="s">
        <v>63</v>
      </c>
      <c r="O54" s="1403" t="s">
        <v>63</v>
      </c>
      <c r="P54" s="1411">
        <f>ifna(vlookup(A54,'Population &amp; Church Numbers'!$A$3049:$D$3120,4,FALSE),"NULL")</f>
        <v>135</v>
      </c>
      <c r="Q54" s="1412" t="s">
        <v>63</v>
      </c>
    </row>
    <row r="55">
      <c r="A55" s="1389" t="s">
        <v>743</v>
      </c>
      <c r="B55" s="1390">
        <f t="array" ref="B55">VLOOKUP($A55,WI_DEMO,2,FALSE)</f>
        <v>17304</v>
      </c>
      <c r="C55" s="1391">
        <v>22.0</v>
      </c>
      <c r="D55" s="1392" t="s">
        <v>63</v>
      </c>
      <c r="E55" s="1391">
        <v>7.0</v>
      </c>
      <c r="F55" s="1415" t="s">
        <v>2707</v>
      </c>
      <c r="G55" s="1392" t="s">
        <v>63</v>
      </c>
      <c r="H55" s="1393" t="s">
        <v>63</v>
      </c>
      <c r="I55" s="1394" t="s">
        <v>63</v>
      </c>
      <c r="J55" s="1395" t="s">
        <v>63</v>
      </c>
      <c r="K55" s="1396" t="s">
        <v>63</v>
      </c>
      <c r="L55" s="1393" t="s">
        <v>63</v>
      </c>
      <c r="M55" s="1394" t="s">
        <v>63</v>
      </c>
      <c r="N55" s="1392" t="s">
        <v>63</v>
      </c>
      <c r="O55" s="1392" t="s">
        <v>63</v>
      </c>
      <c r="P55" s="1398">
        <f>ifna(vlookup(A55,'Population &amp; Church Numbers'!$A$3049:$D$3120,4,FALSE),"NULL")</f>
        <v>28</v>
      </c>
      <c r="Q55" s="1399" t="s">
        <v>63</v>
      </c>
    </row>
    <row r="56">
      <c r="A56" s="1400" t="s">
        <v>1341</v>
      </c>
      <c r="B56" s="1401">
        <f t="array" ref="B56">VLOOKUP($A56,WI_DEMO,2,FALSE)</f>
        <v>163687</v>
      </c>
      <c r="C56" s="1402">
        <v>98.0</v>
      </c>
      <c r="D56" s="1403" t="s">
        <v>63</v>
      </c>
      <c r="E56" s="1402">
        <v>53.0</v>
      </c>
      <c r="F56" s="1405" t="s">
        <v>2505</v>
      </c>
      <c r="G56" s="1403" t="s">
        <v>63</v>
      </c>
      <c r="H56" s="1406" t="s">
        <v>63</v>
      </c>
      <c r="I56" s="1407" t="s">
        <v>63</v>
      </c>
      <c r="J56" s="1408" t="s">
        <v>63</v>
      </c>
      <c r="K56" s="1409" t="s">
        <v>63</v>
      </c>
      <c r="L56" s="1406" t="s">
        <v>63</v>
      </c>
      <c r="M56" s="1407" t="s">
        <v>63</v>
      </c>
      <c r="N56" s="1403" t="s">
        <v>63</v>
      </c>
      <c r="O56" s="1403" t="s">
        <v>63</v>
      </c>
      <c r="P56" s="1411">
        <f>ifna(vlookup(A56,'Population &amp; Church Numbers'!$A$3049:$D$3120,4,FALSE),"NULL")</f>
        <v>127</v>
      </c>
      <c r="Q56" s="1412" t="s">
        <v>63</v>
      </c>
    </row>
    <row r="57">
      <c r="A57" s="1389" t="s">
        <v>2139</v>
      </c>
      <c r="B57" s="1390">
        <f t="array" ref="B57">VLOOKUP($A57,WI_DEMO,2,FALSE)</f>
        <v>14188</v>
      </c>
      <c r="C57" s="1391">
        <v>13.0</v>
      </c>
      <c r="D57" s="1392" t="s">
        <v>63</v>
      </c>
      <c r="E57" s="1391">
        <v>6.0</v>
      </c>
      <c r="F57" s="1415" t="s">
        <v>2714</v>
      </c>
      <c r="G57" s="1392" t="s">
        <v>63</v>
      </c>
      <c r="H57" s="1393" t="s">
        <v>63</v>
      </c>
      <c r="I57" s="1394" t="s">
        <v>63</v>
      </c>
      <c r="J57" s="1395" t="s">
        <v>63</v>
      </c>
      <c r="K57" s="1396" t="s">
        <v>63</v>
      </c>
      <c r="L57" s="1393" t="s">
        <v>63</v>
      </c>
      <c r="M57" s="1394" t="s">
        <v>63</v>
      </c>
      <c r="N57" s="1392" t="s">
        <v>63</v>
      </c>
      <c r="O57" s="1392" t="s">
        <v>63</v>
      </c>
      <c r="P57" s="1398">
        <f>ifna(vlookup(A57,'Population &amp; Church Numbers'!$A$3049:$D$3120,4,FALSE),"NULL")</f>
        <v>28</v>
      </c>
      <c r="Q57" s="1399" t="s">
        <v>63</v>
      </c>
    </row>
    <row r="58">
      <c r="A58" s="1400" t="s">
        <v>4244</v>
      </c>
      <c r="B58" s="1401">
        <f t="array" ref="B58">VLOOKUP($A58,WI_DEMO,2,FALSE)</f>
        <v>93536</v>
      </c>
      <c r="C58" s="1402">
        <v>75.0</v>
      </c>
      <c r="D58" s="1403" t="s">
        <v>63</v>
      </c>
      <c r="E58" s="1402">
        <v>35.0</v>
      </c>
      <c r="F58" s="1405" t="s">
        <v>2715</v>
      </c>
      <c r="G58" s="1403" t="s">
        <v>63</v>
      </c>
      <c r="H58" s="1406" t="s">
        <v>63</v>
      </c>
      <c r="I58" s="1407" t="s">
        <v>63</v>
      </c>
      <c r="J58" s="1408" t="s">
        <v>63</v>
      </c>
      <c r="K58" s="1409" t="s">
        <v>63</v>
      </c>
      <c r="L58" s="1406" t="s">
        <v>63</v>
      </c>
      <c r="M58" s="1407" t="s">
        <v>63</v>
      </c>
      <c r="N58" s="1403" t="s">
        <v>63</v>
      </c>
      <c r="O58" s="1403" t="s">
        <v>63</v>
      </c>
      <c r="P58" s="1411">
        <f>ifna(vlookup(A58,'Population &amp; Church Numbers'!$A$3049:$D$3120,4,FALSE),"NULL")</f>
        <v>74</v>
      </c>
      <c r="Q58" s="1412" t="s">
        <v>63</v>
      </c>
    </row>
    <row r="59">
      <c r="A59" s="1389" t="s">
        <v>2369</v>
      </c>
      <c r="B59" s="1390">
        <f t="array" ref="B59">VLOOKUP($A59,WI_DEMO,2,FALSE)</f>
        <v>65763</v>
      </c>
      <c r="C59" s="1391">
        <v>53.0</v>
      </c>
      <c r="D59" s="1392" t="s">
        <v>63</v>
      </c>
      <c r="E59" s="1391">
        <v>29.0</v>
      </c>
      <c r="F59" s="1415" t="s">
        <v>2711</v>
      </c>
      <c r="G59" s="1392" t="s">
        <v>63</v>
      </c>
      <c r="H59" s="1393" t="s">
        <v>63</v>
      </c>
      <c r="I59" s="1394" t="s">
        <v>63</v>
      </c>
      <c r="J59" s="1395" t="s">
        <v>63</v>
      </c>
      <c r="K59" s="1396" t="s">
        <v>63</v>
      </c>
      <c r="L59" s="1393" t="s">
        <v>63</v>
      </c>
      <c r="M59" s="1394" t="s">
        <v>63</v>
      </c>
      <c r="N59" s="1392" t="s">
        <v>63</v>
      </c>
      <c r="O59" s="1392" t="s">
        <v>63</v>
      </c>
      <c r="P59" s="1398">
        <f>ifna(vlookup(A59,'Population &amp; Church Numbers'!$A$3049:$D$3120,4,FALSE),"NULL")</f>
        <v>70</v>
      </c>
      <c r="Q59" s="1399" t="s">
        <v>63</v>
      </c>
    </row>
    <row r="60">
      <c r="A60" s="1400" t="s">
        <v>2370</v>
      </c>
      <c r="B60" s="1401">
        <f t="array" ref="B60">VLOOKUP($A60,WI_DEMO,2,FALSE)</f>
        <v>18074</v>
      </c>
      <c r="C60" s="1402">
        <v>30.0</v>
      </c>
      <c r="D60" s="1403" t="s">
        <v>63</v>
      </c>
      <c r="E60" s="1402">
        <v>11.0</v>
      </c>
      <c r="F60" s="1405" t="s">
        <v>2694</v>
      </c>
      <c r="G60" s="1403" t="s">
        <v>63</v>
      </c>
      <c r="H60" s="1406" t="s">
        <v>63</v>
      </c>
      <c r="I60" s="1407" t="s">
        <v>63</v>
      </c>
      <c r="J60" s="1408" t="s">
        <v>63</v>
      </c>
      <c r="K60" s="1409" t="s">
        <v>63</v>
      </c>
      <c r="L60" s="1406" t="s">
        <v>63</v>
      </c>
      <c r="M60" s="1407" t="s">
        <v>63</v>
      </c>
      <c r="N60" s="1403" t="s">
        <v>63</v>
      </c>
      <c r="O60" s="1403" t="s">
        <v>63</v>
      </c>
      <c r="P60" s="1411">
        <f>ifna(vlookup(A60,'Population &amp; Church Numbers'!$A$3049:$D$3120,4,FALSE),"NULL")</f>
        <v>29</v>
      </c>
      <c r="Q60" s="1412" t="s">
        <v>63</v>
      </c>
    </row>
    <row r="61">
      <c r="A61" s="1389" t="s">
        <v>2371</v>
      </c>
      <c r="B61" s="1390">
        <f t="array" ref="B61">VLOOKUP($A61,WI_DEMO,2,FALSE)</f>
        <v>40881</v>
      </c>
      <c r="C61" s="1391">
        <v>50.0</v>
      </c>
      <c r="D61" s="1392" t="s">
        <v>63</v>
      </c>
      <c r="E61" s="1391">
        <v>13.0</v>
      </c>
      <c r="F61" s="1415" t="s">
        <v>2716</v>
      </c>
      <c r="G61" s="1392" t="s">
        <v>63</v>
      </c>
      <c r="H61" s="1393" t="s">
        <v>63</v>
      </c>
      <c r="I61" s="1394" t="s">
        <v>63</v>
      </c>
      <c r="J61" s="1395" t="s">
        <v>63</v>
      </c>
      <c r="K61" s="1396" t="s">
        <v>63</v>
      </c>
      <c r="L61" s="1393" t="s">
        <v>63</v>
      </c>
      <c r="M61" s="1394" t="s">
        <v>63</v>
      </c>
      <c r="N61" s="1392" t="s">
        <v>63</v>
      </c>
      <c r="O61" s="1392" t="s">
        <v>63</v>
      </c>
      <c r="P61" s="1398">
        <f>ifna(vlookup(A61,'Population &amp; Church Numbers'!$A$3049:$D$3120,4,FALSE),"NULL")</f>
        <v>62</v>
      </c>
      <c r="Q61" s="1399" t="s">
        <v>63</v>
      </c>
    </row>
    <row r="62">
      <c r="A62" s="1400" t="s">
        <v>2372</v>
      </c>
      <c r="B62" s="1401">
        <f t="array" ref="B62">VLOOKUP($A62,WI_DEMO,2,FALSE)</f>
        <v>118034</v>
      </c>
      <c r="C62" s="1402">
        <v>117.0</v>
      </c>
      <c r="D62" s="1403" t="s">
        <v>63</v>
      </c>
      <c r="E62" s="1402">
        <v>53.0</v>
      </c>
      <c r="F62" s="1405" t="s">
        <v>2499</v>
      </c>
      <c r="G62" s="1403" t="s">
        <v>63</v>
      </c>
      <c r="H62" s="1406" t="s">
        <v>63</v>
      </c>
      <c r="I62" s="1407" t="s">
        <v>63</v>
      </c>
      <c r="J62" s="1408" t="s">
        <v>63</v>
      </c>
      <c r="K62" s="1409" t="s">
        <v>63</v>
      </c>
      <c r="L62" s="1406" t="s">
        <v>63</v>
      </c>
      <c r="M62" s="1407" t="s">
        <v>63</v>
      </c>
      <c r="N62" s="1403" t="s">
        <v>63</v>
      </c>
      <c r="O62" s="1403" t="s">
        <v>63</v>
      </c>
      <c r="P62" s="1411">
        <f>ifna(vlookup(A62,'Population &amp; Church Numbers'!$A$3049:$D$3120,4,FALSE),"NULL")</f>
        <v>123</v>
      </c>
      <c r="Q62" s="1412" t="s">
        <v>63</v>
      </c>
    </row>
    <row r="63">
      <c r="A63" s="1389" t="s">
        <v>526</v>
      </c>
      <c r="B63" s="1390">
        <f t="array" ref="B63">VLOOKUP($A63,WI_DEMO,2,FALSE)</f>
        <v>19913</v>
      </c>
      <c r="C63" s="1391">
        <v>278.0</v>
      </c>
      <c r="D63" s="1392" t="s">
        <v>63</v>
      </c>
      <c r="E63" s="1391">
        <v>210.0</v>
      </c>
      <c r="F63" s="1415" t="s">
        <v>2717</v>
      </c>
      <c r="G63" s="1392" t="s">
        <v>63</v>
      </c>
      <c r="H63" s="1393" t="s">
        <v>63</v>
      </c>
      <c r="I63" s="1394" t="s">
        <v>63</v>
      </c>
      <c r="J63" s="1395" t="s">
        <v>63</v>
      </c>
      <c r="K63" s="1396" t="s">
        <v>63</v>
      </c>
      <c r="L63" s="1393" t="s">
        <v>63</v>
      </c>
      <c r="M63" s="1394" t="s">
        <v>63</v>
      </c>
      <c r="N63" s="1392" t="s">
        <v>63</v>
      </c>
      <c r="O63" s="1392" t="s">
        <v>63</v>
      </c>
      <c r="P63" s="1398">
        <f>ifna(vlookup(A63,'Population &amp; Church Numbers'!$A$3049:$D$3120,4,FALSE),"NULL")</f>
        <v>25</v>
      </c>
      <c r="Q63" s="1399" t="s">
        <v>63</v>
      </c>
    </row>
    <row r="64">
      <c r="A64" s="1400" t="s">
        <v>2373</v>
      </c>
      <c r="B64" s="1401">
        <f t="array" ref="B64">VLOOKUP($A64,WI_DEMO,2,FALSE)</f>
        <v>30760</v>
      </c>
      <c r="C64" s="1402">
        <v>25.0</v>
      </c>
      <c r="D64" s="1403" t="s">
        <v>63</v>
      </c>
      <c r="E64" s="1402">
        <v>12.0</v>
      </c>
      <c r="F64" s="1405" t="s">
        <v>2497</v>
      </c>
      <c r="G64" s="1403" t="s">
        <v>63</v>
      </c>
      <c r="H64" s="1406" t="s">
        <v>63</v>
      </c>
      <c r="I64" s="1407" t="s">
        <v>63</v>
      </c>
      <c r="J64" s="1408" t="s">
        <v>63</v>
      </c>
      <c r="K64" s="1409" t="s">
        <v>63</v>
      </c>
      <c r="L64" s="1406" t="s">
        <v>63</v>
      </c>
      <c r="M64" s="1407" t="s">
        <v>63</v>
      </c>
      <c r="N64" s="1403" t="s">
        <v>63</v>
      </c>
      <c r="O64" s="1403" t="s">
        <v>63</v>
      </c>
      <c r="P64" s="1411">
        <f>ifna(vlookup(A64,'Population &amp; Church Numbers'!$A$3049:$D$3120,4,FALSE),"NULL")</f>
        <v>44</v>
      </c>
      <c r="Q64" s="1412" t="s">
        <v>63</v>
      </c>
    </row>
    <row r="65">
      <c r="A65" s="1389" t="s">
        <v>1181</v>
      </c>
      <c r="B65" s="1390">
        <f t="array" ref="B65">VLOOKUP($A65,WI_DEMO,2,FALSE)</f>
        <v>30714</v>
      </c>
      <c r="C65" s="1391">
        <v>26.0</v>
      </c>
      <c r="D65" s="1392" t="s">
        <v>63</v>
      </c>
      <c r="E65" s="1391">
        <v>7.0</v>
      </c>
      <c r="F65" s="1415" t="s">
        <v>2709</v>
      </c>
      <c r="G65" s="1392" t="s">
        <v>63</v>
      </c>
      <c r="H65" s="1393" t="s">
        <v>63</v>
      </c>
      <c r="I65" s="1394" t="s">
        <v>63</v>
      </c>
      <c r="J65" s="1395" t="s">
        <v>63</v>
      </c>
      <c r="K65" s="1396" t="s">
        <v>63</v>
      </c>
      <c r="L65" s="1393" t="s">
        <v>63</v>
      </c>
      <c r="M65" s="1394" t="s">
        <v>63</v>
      </c>
      <c r="N65" s="1392" t="s">
        <v>63</v>
      </c>
      <c r="O65" s="1392" t="s">
        <v>63</v>
      </c>
      <c r="P65" s="1398">
        <f>ifna(vlookup(A65,'Population &amp; Church Numbers'!$A$3049:$D$3120,4,FALSE),"NULL")</f>
        <v>61</v>
      </c>
      <c r="Q65" s="1399" t="s">
        <v>63</v>
      </c>
    </row>
    <row r="66">
      <c r="A66" s="1400" t="s">
        <v>2374</v>
      </c>
      <c r="B66" s="1401">
        <f t="array" ref="B66">VLOOKUP($A66,WI_DEMO,2,FALSE)</f>
        <v>23047</v>
      </c>
      <c r="C66" s="1402">
        <v>38.0</v>
      </c>
      <c r="D66" s="1403" t="s">
        <v>63</v>
      </c>
      <c r="E66" s="1402">
        <v>13.0</v>
      </c>
      <c r="F66" s="1405" t="s">
        <v>2690</v>
      </c>
      <c r="G66" s="1403" t="s">
        <v>63</v>
      </c>
      <c r="H66" s="1406" t="s">
        <v>63</v>
      </c>
      <c r="I66" s="1407" t="s">
        <v>63</v>
      </c>
      <c r="J66" s="1408" t="s">
        <v>63</v>
      </c>
      <c r="K66" s="1409" t="s">
        <v>63</v>
      </c>
      <c r="L66" s="1406" t="s">
        <v>63</v>
      </c>
      <c r="M66" s="1407" t="s">
        <v>63</v>
      </c>
      <c r="N66" s="1403" t="s">
        <v>63</v>
      </c>
      <c r="O66" s="1403" t="s">
        <v>63</v>
      </c>
      <c r="P66" s="1411">
        <f>ifna(vlookup(A66,'Population &amp; Church Numbers'!$A$3049:$D$3120,4,FALSE),"NULL")</f>
        <v>38</v>
      </c>
      <c r="Q66" s="1412" t="s">
        <v>63</v>
      </c>
    </row>
    <row r="67">
      <c r="A67" s="1389" t="s">
        <v>1887</v>
      </c>
      <c r="B67" s="1390">
        <f t="array" ref="B67">VLOOKUP($A67,WI_DEMO,2,FALSE)</f>
        <v>106478</v>
      </c>
      <c r="C67" s="1391">
        <v>64.0</v>
      </c>
      <c r="D67" s="1392" t="s">
        <v>63</v>
      </c>
      <c r="E67" s="1391">
        <v>42.0</v>
      </c>
      <c r="F67" s="1415" t="s">
        <v>2709</v>
      </c>
      <c r="G67" s="1392" t="s">
        <v>63</v>
      </c>
      <c r="H67" s="1393" t="s">
        <v>63</v>
      </c>
      <c r="I67" s="1394" t="s">
        <v>63</v>
      </c>
      <c r="J67" s="1395" t="s">
        <v>63</v>
      </c>
      <c r="K67" s="1396" t="s">
        <v>63</v>
      </c>
      <c r="L67" s="1393" t="s">
        <v>63</v>
      </c>
      <c r="M67" s="1394" t="s">
        <v>63</v>
      </c>
      <c r="N67" s="1392" t="s">
        <v>63</v>
      </c>
      <c r="O67" s="1392" t="s">
        <v>63</v>
      </c>
      <c r="P67" s="1398">
        <f>ifna(vlookup(A67,'Population &amp; Church Numbers'!$A$3049:$D$3120,4,FALSE),"NULL")</f>
        <v>86</v>
      </c>
      <c r="Q67" s="1399" t="s">
        <v>63</v>
      </c>
    </row>
    <row r="68">
      <c r="A68" s="1400" t="s">
        <v>2375</v>
      </c>
      <c r="B68" s="1401">
        <f t="array" ref="B68">VLOOKUP($A68,WI_DEMO,2,FALSE)</f>
        <v>16623</v>
      </c>
      <c r="C68" s="1402">
        <v>43.0</v>
      </c>
      <c r="D68" s="1403" t="s">
        <v>63</v>
      </c>
      <c r="E68" s="1402">
        <v>15.0</v>
      </c>
      <c r="F68" s="1405" t="s">
        <v>2695</v>
      </c>
      <c r="G68" s="1403" t="s">
        <v>63</v>
      </c>
      <c r="H68" s="1406" t="s">
        <v>63</v>
      </c>
      <c r="I68" s="1407" t="s">
        <v>63</v>
      </c>
      <c r="J68" s="1408" t="s">
        <v>63</v>
      </c>
      <c r="K68" s="1409" t="s">
        <v>63</v>
      </c>
      <c r="L68" s="1406" t="s">
        <v>63</v>
      </c>
      <c r="M68" s="1407" t="s">
        <v>63</v>
      </c>
      <c r="N68" s="1403" t="s">
        <v>63</v>
      </c>
      <c r="O68" s="1403" t="s">
        <v>63</v>
      </c>
      <c r="P68" s="1411">
        <f>ifna(vlookup(A68,'Population &amp; Church Numbers'!$A$3049:$D$3120,4,FALSE),"NULL")</f>
        <v>30</v>
      </c>
      <c r="Q68" s="1412" t="s">
        <v>63</v>
      </c>
    </row>
    <row r="69">
      <c r="A69" s="1389" t="s">
        <v>119</v>
      </c>
      <c r="B69" s="1390">
        <f t="array" ref="B69">VLOOKUP($A69,WI_DEMO,2,FALSE)</f>
        <v>136761</v>
      </c>
      <c r="C69" s="1391">
        <v>9.0</v>
      </c>
      <c r="D69" s="1392" t="s">
        <v>63</v>
      </c>
      <c r="E69" s="1391">
        <v>2.0</v>
      </c>
      <c r="F69" s="1415" t="s">
        <v>2714</v>
      </c>
      <c r="G69" s="1392" t="s">
        <v>63</v>
      </c>
      <c r="H69" s="1393" t="s">
        <v>63</v>
      </c>
      <c r="I69" s="1394" t="s">
        <v>63</v>
      </c>
      <c r="J69" s="1395" t="s">
        <v>63</v>
      </c>
      <c r="K69" s="1396" t="s">
        <v>63</v>
      </c>
      <c r="L69" s="1393" t="s">
        <v>63</v>
      </c>
      <c r="M69" s="1394" t="s">
        <v>63</v>
      </c>
      <c r="N69" s="1392" t="s">
        <v>63</v>
      </c>
      <c r="O69" s="1392" t="s">
        <v>63</v>
      </c>
      <c r="P69" s="1398">
        <f>ifna(vlookup(A69,'Population &amp; Church Numbers'!$A$3049:$D$3120,4,FALSE),"NULL")</f>
        <v>89</v>
      </c>
      <c r="Q69" s="1399" t="s">
        <v>63</v>
      </c>
    </row>
    <row r="70">
      <c r="A70" s="1400" t="s">
        <v>2376</v>
      </c>
      <c r="B70" s="1401">
        <f t="array" ref="B70">VLOOKUP($A70,WI_DEMO,2,FALSE)</f>
        <v>406978</v>
      </c>
      <c r="C70" s="1402">
        <v>63.0</v>
      </c>
      <c r="D70" s="1403" t="s">
        <v>63</v>
      </c>
      <c r="E70" s="1402">
        <v>35.0</v>
      </c>
      <c r="F70" s="1405" t="s">
        <v>2695</v>
      </c>
      <c r="G70" s="1403" t="s">
        <v>63</v>
      </c>
      <c r="H70" s="1406" t="s">
        <v>63</v>
      </c>
      <c r="I70" s="1407" t="s">
        <v>63</v>
      </c>
      <c r="J70" s="1408" t="s">
        <v>63</v>
      </c>
      <c r="K70" s="1409" t="s">
        <v>63</v>
      </c>
      <c r="L70" s="1406" t="s">
        <v>63</v>
      </c>
      <c r="M70" s="1407" t="s">
        <v>63</v>
      </c>
      <c r="N70" s="1403" t="s">
        <v>63</v>
      </c>
      <c r="O70" s="1403" t="s">
        <v>63</v>
      </c>
      <c r="P70" s="1411">
        <f>ifna(vlookup(A70,'Population &amp; Church Numbers'!$A$3049:$D$3120,4,FALSE),"NULL")</f>
        <v>216</v>
      </c>
      <c r="Q70" s="1412" t="s">
        <v>63</v>
      </c>
    </row>
    <row r="71">
      <c r="A71" s="1389" t="s">
        <v>2377</v>
      </c>
      <c r="B71" s="1390">
        <f t="array" ref="B71">VLOOKUP($A71,WI_DEMO,2,FALSE)</f>
        <v>51812</v>
      </c>
      <c r="C71" s="1391">
        <v>61.0</v>
      </c>
      <c r="D71" s="1392" t="s">
        <v>63</v>
      </c>
      <c r="E71" s="1391">
        <v>32.0</v>
      </c>
      <c r="F71" s="1415" t="s">
        <v>2697</v>
      </c>
      <c r="G71" s="1392" t="s">
        <v>63</v>
      </c>
      <c r="H71" s="1393" t="s">
        <v>63</v>
      </c>
      <c r="I71" s="1394" t="s">
        <v>63</v>
      </c>
      <c r="J71" s="1395" t="s">
        <v>63</v>
      </c>
      <c r="K71" s="1396" t="s">
        <v>63</v>
      </c>
      <c r="L71" s="1393" t="s">
        <v>63</v>
      </c>
      <c r="M71" s="1394" t="s">
        <v>63</v>
      </c>
      <c r="N71" s="1392" t="s">
        <v>63</v>
      </c>
      <c r="O71" s="1392" t="s">
        <v>63</v>
      </c>
      <c r="P71" s="1398">
        <f>ifna(vlookup(A71,'Population &amp; Church Numbers'!$A$3049:$D$3120,4,FALSE),"NULL")</f>
        <v>76</v>
      </c>
      <c r="Q71" s="1399" t="s">
        <v>63</v>
      </c>
    </row>
    <row r="72">
      <c r="A72" s="1400" t="s">
        <v>2378</v>
      </c>
      <c r="B72" s="1401">
        <f t="array" ref="B72">VLOOKUP($A72,WI_DEMO,2,FALSE)</f>
        <v>24520</v>
      </c>
      <c r="C72" s="1402">
        <v>33.0</v>
      </c>
      <c r="D72" s="1403" t="s">
        <v>63</v>
      </c>
      <c r="E72" s="1402">
        <v>13.0</v>
      </c>
      <c r="F72" s="1405" t="s">
        <v>2711</v>
      </c>
      <c r="G72" s="1403" t="s">
        <v>63</v>
      </c>
      <c r="H72" s="1406" t="s">
        <v>63</v>
      </c>
      <c r="I72" s="1407" t="s">
        <v>63</v>
      </c>
      <c r="J72" s="1408" t="s">
        <v>63</v>
      </c>
      <c r="K72" s="1409" t="s">
        <v>63</v>
      </c>
      <c r="L72" s="1406" t="s">
        <v>63</v>
      </c>
      <c r="M72" s="1407" t="s">
        <v>63</v>
      </c>
      <c r="N72" s="1403" t="s">
        <v>63</v>
      </c>
      <c r="O72" s="1403" t="s">
        <v>63</v>
      </c>
      <c r="P72" s="1411">
        <f>ifna(vlookup(A72,'Population &amp; Church Numbers'!$A$3049:$D$3120,4,FALSE),"NULL")</f>
        <v>39</v>
      </c>
      <c r="Q72" s="1412" t="s">
        <v>63</v>
      </c>
    </row>
    <row r="73">
      <c r="A73" s="1389" t="s">
        <v>753</v>
      </c>
      <c r="B73" s="1390">
        <f t="array" ref="B73">VLOOKUP($A73,WI_DEMO,2,FALSE)</f>
        <v>171730</v>
      </c>
      <c r="C73" s="1391">
        <v>34.0</v>
      </c>
      <c r="D73" s="1392" t="s">
        <v>63</v>
      </c>
      <c r="E73" s="1391">
        <v>17.0</v>
      </c>
      <c r="F73" s="1415" t="s">
        <v>2489</v>
      </c>
      <c r="G73" s="1392" t="s">
        <v>63</v>
      </c>
      <c r="H73" s="1393" t="s">
        <v>63</v>
      </c>
      <c r="I73" s="1394" t="s">
        <v>63</v>
      </c>
      <c r="J73" s="1395" t="s">
        <v>63</v>
      </c>
      <c r="K73" s="1396" t="s">
        <v>63</v>
      </c>
      <c r="L73" s="1393" t="s">
        <v>63</v>
      </c>
      <c r="M73" s="1394" t="s">
        <v>63</v>
      </c>
      <c r="N73" s="1392" t="s">
        <v>63</v>
      </c>
      <c r="O73" s="1392" t="s">
        <v>63</v>
      </c>
      <c r="P73" s="1398">
        <f>ifna(vlookup(A73,'Population &amp; Church Numbers'!$A$3049:$D$3120,4,FALSE),"NULL")</f>
        <v>108</v>
      </c>
      <c r="Q73" s="1399" t="s">
        <v>63</v>
      </c>
    </row>
    <row r="74">
      <c r="A74" s="1400" t="s">
        <v>1703</v>
      </c>
      <c r="B74" s="1401">
        <f t="array" ref="B74">VLOOKUP($A74,WI_DEMO,2,FALSE)</f>
        <v>74207</v>
      </c>
      <c r="C74" s="1402">
        <v>59.0</v>
      </c>
      <c r="D74" s="1403" t="s">
        <v>63</v>
      </c>
      <c r="E74" s="1402">
        <v>34.0</v>
      </c>
      <c r="F74" s="1405" t="s">
        <v>2689</v>
      </c>
      <c r="G74" s="1403" t="s">
        <v>63</v>
      </c>
      <c r="H74" s="1406" t="s">
        <v>63</v>
      </c>
      <c r="I74" s="1407" t="s">
        <v>63</v>
      </c>
      <c r="J74" s="1408" t="s">
        <v>63</v>
      </c>
      <c r="K74" s="1409" t="s">
        <v>63</v>
      </c>
      <c r="L74" s="1406" t="s">
        <v>63</v>
      </c>
      <c r="M74" s="1407" t="s">
        <v>63</v>
      </c>
      <c r="N74" s="1403" t="s">
        <v>63</v>
      </c>
      <c r="O74" s="1403" t="s">
        <v>63</v>
      </c>
      <c r="P74" s="1411" t="str">
        <f>ifna(vlookup(A74,'Population &amp; Church Numbers'!$A$3049:$D$3120,4,FALSE),"NULL")</f>
        <v>NULL</v>
      </c>
      <c r="Q74" s="1412" t="s">
        <v>63</v>
      </c>
    </row>
    <row r="75">
      <c r="A75" s="217"/>
      <c r="B75" s="218"/>
      <c r="C75" s="219"/>
      <c r="D75" s="220"/>
      <c r="E75" s="220"/>
      <c r="F75" s="220"/>
      <c r="G75" s="220"/>
      <c r="H75" s="221"/>
      <c r="I75" s="222"/>
      <c r="J75" s="223"/>
      <c r="K75" s="219"/>
      <c r="L75" s="224"/>
      <c r="M75" s="225"/>
      <c r="N75" s="226"/>
      <c r="O75" s="220"/>
      <c r="P75" s="221"/>
      <c r="Q75" s="295"/>
    </row>
    <row r="76">
      <c r="A76" s="228" t="s">
        <v>2</v>
      </c>
      <c r="B76" s="229"/>
      <c r="C76" s="1134">
        <f>'WI Data'!J6</f>
        <v>6887</v>
      </c>
      <c r="D76" s="708" t="s">
        <v>63</v>
      </c>
      <c r="E76" s="1134">
        <f>'WI Data'!B156</f>
        <v>3230</v>
      </c>
      <c r="F76" s="236">
        <f>'WI Data'!C156</f>
        <v>2717</v>
      </c>
      <c r="G76" s="708" t="s">
        <v>63</v>
      </c>
      <c r="H76" s="1134">
        <f>AFCARSCSC!D53</f>
        <v>2968</v>
      </c>
      <c r="I76" s="237">
        <f>AFCARSCSC!C53</f>
        <v>667</v>
      </c>
      <c r="J76" s="305" t="s">
        <v>63</v>
      </c>
      <c r="K76" s="708" t="s">
        <v>63</v>
      </c>
      <c r="L76" s="708" t="s">
        <v>63</v>
      </c>
      <c r="M76" s="360" t="s">
        <v>63</v>
      </c>
      <c r="N76" s="360" t="s">
        <v>63</v>
      </c>
      <c r="O76" s="360" t="s">
        <v>63</v>
      </c>
      <c r="P76" s="233">
        <f>SUM(P3:P74)</f>
        <v>4786</v>
      </c>
      <c r="Q76" s="1092" t="s">
        <v>63</v>
      </c>
    </row>
  </sheetData>
  <mergeCells count="1">
    <mergeCell ref="B1:Q1"/>
  </mergeCells>
  <drawing r:id="rId1"/>
  <tableParts count="1">
    <tablePart r:id="rId3"/>
  </tableParts>
</worksheet>
</file>

<file path=xl/worksheets/sheet10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6" t="s">
        <v>1040</v>
      </c>
      <c r="B1" s="197"/>
      <c r="C1" s="1433"/>
      <c r="D1" s="197"/>
      <c r="E1" s="198" t="s">
        <v>765</v>
      </c>
      <c r="F1" s="1434" t="s">
        <v>4246</v>
      </c>
      <c r="G1" s="36"/>
      <c r="H1" s="36"/>
      <c r="I1" s="198" t="s">
        <v>767</v>
      </c>
      <c r="J1" s="214">
        <v>44988.0</v>
      </c>
      <c r="K1" s="198" t="s">
        <v>769</v>
      </c>
      <c r="L1" s="1435">
        <v>44561.0</v>
      </c>
      <c r="M1" s="589"/>
      <c r="Y1" s="367"/>
    </row>
    <row r="2">
      <c r="C2" s="161"/>
      <c r="Y2" s="367"/>
    </row>
    <row r="3">
      <c r="C3" s="161"/>
      <c r="Y3" s="367"/>
    </row>
    <row r="4">
      <c r="A4" s="1436" t="s">
        <v>172</v>
      </c>
      <c r="B4" s="1437" t="s">
        <v>4247</v>
      </c>
      <c r="C4" s="48"/>
      <c r="D4" s="1436" t="s">
        <v>1714</v>
      </c>
      <c r="E4" s="1438"/>
      <c r="F4" s="1439" t="s">
        <v>4248</v>
      </c>
      <c r="G4" s="48"/>
      <c r="H4" s="1437" t="s">
        <v>1715</v>
      </c>
      <c r="I4" s="48"/>
      <c r="J4" s="1440" t="s">
        <v>923</v>
      </c>
      <c r="K4" s="48"/>
      <c r="L4" s="1437"/>
      <c r="M4" s="48"/>
      <c r="N4" s="1437"/>
      <c r="O4" s="48"/>
      <c r="P4" s="1436"/>
      <c r="Y4" s="367"/>
    </row>
    <row r="5">
      <c r="A5" s="1441"/>
      <c r="B5" s="1442" t="s">
        <v>2163</v>
      </c>
      <c r="C5" s="1443" t="s">
        <v>2165</v>
      </c>
      <c r="D5" s="1442" t="s">
        <v>2163</v>
      </c>
      <c r="E5" s="1442" t="s">
        <v>2165</v>
      </c>
      <c r="F5" s="1442" t="s">
        <v>2163</v>
      </c>
      <c r="G5" s="1442" t="s">
        <v>2165</v>
      </c>
      <c r="H5" s="1442" t="s">
        <v>2163</v>
      </c>
      <c r="I5" s="1442" t="s">
        <v>2165</v>
      </c>
      <c r="J5" s="1442"/>
      <c r="K5" s="1442"/>
      <c r="L5" s="1442"/>
      <c r="M5" s="1442"/>
      <c r="N5" s="1442"/>
      <c r="O5" s="1442"/>
      <c r="P5" s="1441"/>
      <c r="R5" s="1436" t="s">
        <v>1091</v>
      </c>
      <c r="S5" s="1436" t="s">
        <v>2454</v>
      </c>
      <c r="T5" s="1436" t="s">
        <v>4232</v>
      </c>
      <c r="U5" s="1436" t="s">
        <v>71</v>
      </c>
      <c r="V5" s="1442" t="s">
        <v>4249</v>
      </c>
      <c r="W5" s="1436" t="s">
        <v>4250</v>
      </c>
      <c r="X5" s="1436" t="s">
        <v>4251</v>
      </c>
      <c r="Y5" s="1444" t="s">
        <v>4252</v>
      </c>
    </row>
    <row r="6">
      <c r="A6" s="1445" t="s">
        <v>4253</v>
      </c>
      <c r="B6" s="1446">
        <v>3230.0</v>
      </c>
      <c r="C6" s="1447">
        <v>0.469</v>
      </c>
      <c r="D6" s="1446">
        <v>569.0</v>
      </c>
      <c r="E6" s="1447">
        <v>0.083</v>
      </c>
      <c r="F6" s="1447">
        <v>2717.0</v>
      </c>
      <c r="G6" s="1447">
        <v>0.395</v>
      </c>
      <c r="H6" s="1447">
        <v>371.0</v>
      </c>
      <c r="I6" s="410">
        <v>0.054</v>
      </c>
      <c r="J6" s="1446">
        <v>6887.0</v>
      </c>
      <c r="K6" s="1447"/>
      <c r="L6" s="1447"/>
      <c r="M6" s="1447"/>
      <c r="N6" s="1447"/>
      <c r="O6" s="1447"/>
      <c r="P6" s="1446"/>
      <c r="Q6" s="477"/>
      <c r="R6" s="1446"/>
      <c r="S6" s="1446"/>
      <c r="T6" s="1447"/>
      <c r="U6" s="1447"/>
      <c r="V6" s="1447"/>
      <c r="W6" s="1447"/>
      <c r="X6" s="411"/>
      <c r="Y6" s="1448">
        <f t="shared" ref="Y6:Y24" si="1">SUM(W6:X6)</f>
        <v>0</v>
      </c>
    </row>
    <row r="7">
      <c r="A7" s="1226" t="s">
        <v>386</v>
      </c>
      <c r="B7" s="1449">
        <v>4.0</v>
      </c>
      <c r="C7" s="1449">
        <v>0.8</v>
      </c>
      <c r="D7" s="1449">
        <v>0.0</v>
      </c>
      <c r="E7" s="1449">
        <v>0.0</v>
      </c>
      <c r="F7" s="1449">
        <v>1.0</v>
      </c>
      <c r="G7" s="1449">
        <v>0.2</v>
      </c>
      <c r="H7" s="1449">
        <v>0.0</v>
      </c>
      <c r="I7" s="1450">
        <v>0.0</v>
      </c>
      <c r="J7" s="1449">
        <v>5.0</v>
      </c>
      <c r="K7" s="1449"/>
      <c r="L7" s="1449"/>
      <c r="M7" s="1449"/>
      <c r="N7" s="1449"/>
      <c r="O7" s="1449"/>
      <c r="P7" s="1449"/>
      <c r="Q7" s="477"/>
      <c r="R7" s="1449"/>
      <c r="S7" s="1449"/>
      <c r="T7" s="1449"/>
      <c r="U7" s="1449"/>
      <c r="V7" s="1449"/>
      <c r="W7" s="1449"/>
      <c r="X7" s="1451"/>
      <c r="Y7" s="1448">
        <f t="shared" si="1"/>
        <v>0</v>
      </c>
    </row>
    <row r="8">
      <c r="A8" s="1226" t="s">
        <v>1671</v>
      </c>
      <c r="B8" s="1449">
        <v>15.0</v>
      </c>
      <c r="C8" s="1449">
        <v>0.366</v>
      </c>
      <c r="D8" s="1449">
        <v>2.0</v>
      </c>
      <c r="E8" s="1449">
        <v>0.049</v>
      </c>
      <c r="F8" s="1449">
        <v>19.0</v>
      </c>
      <c r="G8" s="1449">
        <v>0.463</v>
      </c>
      <c r="H8" s="1449">
        <v>5.0</v>
      </c>
      <c r="I8" s="1450">
        <v>0.122</v>
      </c>
      <c r="J8" s="1449">
        <v>41.0</v>
      </c>
      <c r="K8" s="1449"/>
      <c r="L8" s="1449"/>
      <c r="M8" s="1449"/>
      <c r="N8" s="1449"/>
      <c r="O8" s="1449"/>
      <c r="P8" s="1449"/>
      <c r="Q8" s="477"/>
      <c r="R8" s="1449"/>
      <c r="S8" s="1449"/>
      <c r="T8" s="1449"/>
      <c r="U8" s="1449"/>
      <c r="V8" s="1449"/>
      <c r="W8" s="1449"/>
      <c r="X8" s="1451"/>
      <c r="Y8" s="1448">
        <f t="shared" si="1"/>
        <v>0</v>
      </c>
    </row>
    <row r="9">
      <c r="A9" s="1226" t="s">
        <v>2347</v>
      </c>
      <c r="B9" s="1449">
        <v>33.0</v>
      </c>
      <c r="C9" s="1449">
        <v>0.418</v>
      </c>
      <c r="D9" s="1449">
        <v>3.0</v>
      </c>
      <c r="E9" s="1449">
        <v>0.038</v>
      </c>
      <c r="F9" s="1449">
        <v>35.0</v>
      </c>
      <c r="G9" s="1449">
        <v>0.443</v>
      </c>
      <c r="H9" s="1449">
        <v>8.0</v>
      </c>
      <c r="I9" s="1450">
        <v>0.101</v>
      </c>
      <c r="J9" s="1449">
        <v>79.0</v>
      </c>
      <c r="K9" s="1449"/>
      <c r="L9" s="1449"/>
      <c r="M9" s="1449"/>
      <c r="N9" s="1449"/>
      <c r="O9" s="1449"/>
      <c r="P9" s="1449"/>
      <c r="Q9" s="477"/>
      <c r="R9" s="1449"/>
      <c r="S9" s="1449"/>
      <c r="T9" s="1449"/>
      <c r="U9" s="1449"/>
      <c r="V9" s="1449"/>
      <c r="W9" s="1449"/>
      <c r="X9" s="1451"/>
      <c r="Y9" s="1448">
        <f t="shared" si="1"/>
        <v>0</v>
      </c>
    </row>
    <row r="10">
      <c r="A10" s="1226" t="s">
        <v>2348</v>
      </c>
      <c r="B10" s="1449">
        <v>11.0</v>
      </c>
      <c r="C10" s="1449">
        <v>0.224</v>
      </c>
      <c r="D10" s="1449">
        <v>2.0</v>
      </c>
      <c r="E10" s="1449">
        <v>0.041</v>
      </c>
      <c r="F10" s="1449">
        <v>36.0</v>
      </c>
      <c r="G10" s="1449">
        <v>0.735</v>
      </c>
      <c r="H10" s="1449">
        <v>0.0</v>
      </c>
      <c r="I10" s="1450">
        <v>0.0</v>
      </c>
      <c r="J10" s="1449">
        <v>49.0</v>
      </c>
      <c r="K10" s="1449"/>
      <c r="L10" s="1449"/>
      <c r="M10" s="1449"/>
      <c r="N10" s="1449"/>
      <c r="O10" s="1449"/>
      <c r="P10" s="1449"/>
      <c r="Q10" s="477"/>
      <c r="R10" s="1449"/>
      <c r="S10" s="1449"/>
      <c r="T10" s="1449"/>
      <c r="U10" s="1449"/>
      <c r="V10" s="1449"/>
      <c r="W10" s="1449"/>
      <c r="X10" s="1451"/>
      <c r="Y10" s="1448">
        <f t="shared" si="1"/>
        <v>0</v>
      </c>
    </row>
    <row r="11">
      <c r="A11" s="1226" t="s">
        <v>706</v>
      </c>
      <c r="B11" s="1449">
        <v>145.0</v>
      </c>
      <c r="C11" s="1449">
        <v>0.445</v>
      </c>
      <c r="D11" s="1449">
        <v>22.0</v>
      </c>
      <c r="E11" s="1449">
        <v>0.067</v>
      </c>
      <c r="F11" s="1449">
        <v>147.0</v>
      </c>
      <c r="G11" s="1449">
        <v>0.451</v>
      </c>
      <c r="H11" s="1449">
        <v>12.0</v>
      </c>
      <c r="I11" s="1450">
        <v>0.037</v>
      </c>
      <c r="J11" s="1449">
        <v>326.0</v>
      </c>
      <c r="K11" s="1449"/>
      <c r="L11" s="1449"/>
      <c r="M11" s="1449"/>
      <c r="N11" s="1449"/>
      <c r="O11" s="1449"/>
      <c r="P11" s="1449"/>
      <c r="Q11" s="477"/>
      <c r="R11" s="1449"/>
      <c r="S11" s="1449"/>
      <c r="T11" s="1449"/>
      <c r="U11" s="1449"/>
      <c r="V11" s="1449"/>
      <c r="W11" s="1449"/>
      <c r="X11" s="1451"/>
      <c r="Y11" s="1448">
        <f t="shared" si="1"/>
        <v>0</v>
      </c>
    </row>
    <row r="12">
      <c r="A12" s="1226" t="s">
        <v>1471</v>
      </c>
      <c r="B12" s="1449">
        <v>8.0</v>
      </c>
      <c r="C12" s="1449">
        <v>0.667</v>
      </c>
      <c r="D12" s="1449">
        <v>0.0</v>
      </c>
      <c r="E12" s="1449">
        <v>0.0</v>
      </c>
      <c r="F12" s="1449">
        <v>1.0</v>
      </c>
      <c r="G12" s="1449">
        <v>0.083</v>
      </c>
      <c r="H12" s="1449">
        <v>3.0</v>
      </c>
      <c r="I12" s="1450">
        <v>0.25</v>
      </c>
      <c r="J12" s="1449">
        <v>12.0</v>
      </c>
      <c r="K12" s="1449"/>
      <c r="L12" s="1449"/>
      <c r="M12" s="1449"/>
      <c r="N12" s="1449"/>
      <c r="O12" s="1449"/>
      <c r="P12" s="1449"/>
      <c r="Q12" s="477"/>
      <c r="R12" s="1449"/>
      <c r="S12" s="1449"/>
      <c r="T12" s="1449"/>
      <c r="U12" s="1449"/>
      <c r="V12" s="1449"/>
      <c r="W12" s="1449"/>
      <c r="X12" s="1451"/>
      <c r="Y12" s="1448">
        <f t="shared" si="1"/>
        <v>0</v>
      </c>
    </row>
    <row r="13">
      <c r="A13" s="1226" t="s">
        <v>2349</v>
      </c>
      <c r="B13" s="1449">
        <v>7.0</v>
      </c>
      <c r="C13" s="1449">
        <v>0.583</v>
      </c>
      <c r="D13" s="1449">
        <v>2.0</v>
      </c>
      <c r="E13" s="1449">
        <v>0.167</v>
      </c>
      <c r="F13" s="1449">
        <v>0.0</v>
      </c>
      <c r="G13" s="1449">
        <v>0.0</v>
      </c>
      <c r="H13" s="1449">
        <v>3.0</v>
      </c>
      <c r="I13" s="1450">
        <v>0.25</v>
      </c>
      <c r="J13" s="1449">
        <v>12.0</v>
      </c>
      <c r="K13" s="1449"/>
      <c r="L13" s="1449"/>
      <c r="M13" s="1449"/>
      <c r="N13" s="1449"/>
      <c r="O13" s="1449"/>
      <c r="P13" s="1449"/>
      <c r="Q13" s="477"/>
      <c r="R13" s="1449"/>
      <c r="S13" s="1449"/>
      <c r="T13" s="1449"/>
      <c r="U13" s="1449"/>
      <c r="V13" s="1449"/>
      <c r="W13" s="1449"/>
      <c r="X13" s="1451"/>
      <c r="Y13" s="1448">
        <f t="shared" si="1"/>
        <v>0</v>
      </c>
    </row>
    <row r="14">
      <c r="A14" s="1226" t="s">
        <v>2350</v>
      </c>
      <c r="B14" s="1449">
        <v>7.0</v>
      </c>
      <c r="C14" s="1449">
        <v>0.368</v>
      </c>
      <c r="D14" s="1449">
        <v>0.0</v>
      </c>
      <c r="E14" s="1449">
        <v>0.0</v>
      </c>
      <c r="F14" s="1449">
        <v>11.0</v>
      </c>
      <c r="G14" s="1449">
        <v>0.579</v>
      </c>
      <c r="H14" s="1449">
        <v>1.0</v>
      </c>
      <c r="I14" s="1450">
        <v>0.053</v>
      </c>
      <c r="J14" s="1449">
        <v>19.0</v>
      </c>
      <c r="K14" s="1449"/>
      <c r="L14" s="1449"/>
      <c r="M14" s="1449"/>
      <c r="N14" s="1449"/>
      <c r="O14" s="1449"/>
      <c r="P14" s="1449"/>
      <c r="Q14" s="477"/>
      <c r="R14" s="1449"/>
      <c r="S14" s="1449"/>
      <c r="T14" s="1449"/>
      <c r="U14" s="1449"/>
      <c r="V14" s="1449"/>
      <c r="W14" s="1449"/>
      <c r="X14" s="1451"/>
      <c r="Y14" s="1448">
        <f t="shared" si="1"/>
        <v>0</v>
      </c>
    </row>
    <row r="15">
      <c r="A15" s="1226" t="s">
        <v>1245</v>
      </c>
      <c r="B15" s="1449">
        <v>62.0</v>
      </c>
      <c r="C15" s="1449">
        <v>0.477</v>
      </c>
      <c r="D15" s="1449">
        <v>10.0</v>
      </c>
      <c r="E15" s="1449">
        <v>0.077</v>
      </c>
      <c r="F15" s="1449">
        <v>50.0</v>
      </c>
      <c r="G15" s="1449">
        <v>0.385</v>
      </c>
      <c r="H15" s="1449">
        <v>8.0</v>
      </c>
      <c r="I15" s="1450">
        <v>0.062</v>
      </c>
      <c r="J15" s="1449">
        <v>130.0</v>
      </c>
      <c r="K15" s="1449"/>
      <c r="L15" s="1449"/>
      <c r="M15" s="1449"/>
      <c r="N15" s="1449"/>
      <c r="O15" s="1449"/>
      <c r="P15" s="1449"/>
      <c r="Q15" s="477"/>
      <c r="R15" s="1449"/>
      <c r="S15" s="1449"/>
      <c r="T15" s="1449"/>
      <c r="U15" s="1449"/>
      <c r="V15" s="1449"/>
      <c r="W15" s="1449"/>
      <c r="X15" s="1451"/>
      <c r="Y15" s="1448">
        <f t="shared" si="1"/>
        <v>0</v>
      </c>
    </row>
    <row r="16">
      <c r="A16" s="1226" t="s">
        <v>253</v>
      </c>
      <c r="B16" s="1449">
        <v>9.0</v>
      </c>
      <c r="C16" s="1449">
        <v>0.375</v>
      </c>
      <c r="D16" s="1449">
        <v>1.0</v>
      </c>
      <c r="E16" s="1449">
        <v>0.042</v>
      </c>
      <c r="F16" s="1449">
        <v>14.0</v>
      </c>
      <c r="G16" s="1449">
        <v>0.583</v>
      </c>
      <c r="H16" s="1449">
        <v>0.0</v>
      </c>
      <c r="I16" s="1450">
        <v>0.0</v>
      </c>
      <c r="J16" s="1449">
        <v>24.0</v>
      </c>
      <c r="K16" s="1449"/>
      <c r="L16" s="1449"/>
      <c r="M16" s="1449"/>
      <c r="N16" s="1449"/>
      <c r="O16" s="1449"/>
      <c r="P16" s="1449"/>
      <c r="Q16" s="477"/>
      <c r="R16" s="1449"/>
      <c r="S16" s="1449"/>
      <c r="T16" s="1449"/>
      <c r="U16" s="1449"/>
      <c r="V16" s="1449"/>
      <c r="W16" s="1449"/>
      <c r="X16" s="1451"/>
      <c r="Y16" s="1448">
        <f t="shared" si="1"/>
        <v>0</v>
      </c>
    </row>
    <row r="17">
      <c r="A17" s="1226" t="s">
        <v>258</v>
      </c>
      <c r="B17" s="1449">
        <v>14.0</v>
      </c>
      <c r="C17" s="1449">
        <v>0.4</v>
      </c>
      <c r="D17" s="1449">
        <v>4.0</v>
      </c>
      <c r="E17" s="1449">
        <v>0.114</v>
      </c>
      <c r="F17" s="1449">
        <v>12.0</v>
      </c>
      <c r="G17" s="1449">
        <v>0.343</v>
      </c>
      <c r="H17" s="1449">
        <v>5.0</v>
      </c>
      <c r="I17" s="1450">
        <v>0.143</v>
      </c>
      <c r="J17" s="1449">
        <v>35.0</v>
      </c>
      <c r="K17" s="1449"/>
      <c r="L17" s="1449"/>
      <c r="M17" s="1449"/>
      <c r="N17" s="1449"/>
      <c r="O17" s="1449"/>
      <c r="P17" s="1449"/>
      <c r="Q17" s="477"/>
      <c r="R17" s="1449"/>
      <c r="S17" s="1449"/>
      <c r="T17" s="1449"/>
      <c r="U17" s="1449"/>
      <c r="V17" s="1449"/>
      <c r="W17" s="1449"/>
      <c r="X17" s="1451"/>
      <c r="Y17" s="1448">
        <f t="shared" si="1"/>
        <v>0</v>
      </c>
    </row>
    <row r="18">
      <c r="A18" s="1226" t="s">
        <v>263</v>
      </c>
      <c r="B18" s="1449">
        <v>3.0</v>
      </c>
      <c r="C18" s="1449">
        <v>0.158</v>
      </c>
      <c r="D18" s="1449">
        <v>3.0</v>
      </c>
      <c r="E18" s="1449">
        <v>0.158</v>
      </c>
      <c r="F18" s="1449">
        <v>11.0</v>
      </c>
      <c r="G18" s="1449">
        <v>0.579</v>
      </c>
      <c r="H18" s="1449">
        <v>2.0</v>
      </c>
      <c r="I18" s="1450">
        <v>0.105</v>
      </c>
      <c r="J18" s="1449">
        <v>19.0</v>
      </c>
      <c r="K18" s="1449"/>
      <c r="L18" s="1449"/>
      <c r="M18" s="1449"/>
      <c r="N18" s="1449"/>
      <c r="O18" s="1449"/>
      <c r="P18" s="1449"/>
      <c r="Q18" s="477"/>
      <c r="R18" s="1449"/>
      <c r="S18" s="1449"/>
      <c r="T18" s="1449"/>
      <c r="U18" s="1449"/>
      <c r="V18" s="1449"/>
      <c r="W18" s="1449"/>
      <c r="X18" s="1451"/>
      <c r="Y18" s="1448">
        <f t="shared" si="1"/>
        <v>0</v>
      </c>
    </row>
    <row r="19">
      <c r="A19" s="1226" t="s">
        <v>652</v>
      </c>
      <c r="B19" s="1449">
        <v>118.0</v>
      </c>
      <c r="C19" s="1449">
        <v>0.529</v>
      </c>
      <c r="D19" s="1449">
        <v>23.0</v>
      </c>
      <c r="E19" s="1449">
        <v>0.103</v>
      </c>
      <c r="F19" s="1449">
        <v>69.0</v>
      </c>
      <c r="G19" s="1449">
        <v>0.309</v>
      </c>
      <c r="H19" s="1449">
        <v>13.0</v>
      </c>
      <c r="I19" s="1450">
        <v>0.058</v>
      </c>
      <c r="J19" s="1449">
        <v>223.0</v>
      </c>
      <c r="K19" s="1449"/>
      <c r="L19" s="1449"/>
      <c r="M19" s="1449"/>
      <c r="N19" s="1449"/>
      <c r="O19" s="1449"/>
      <c r="P19" s="1449"/>
      <c r="Q19" s="477"/>
      <c r="R19" s="1449"/>
      <c r="S19" s="1449"/>
      <c r="T19" s="1449"/>
      <c r="U19" s="1449"/>
      <c r="V19" s="1449"/>
      <c r="W19" s="1449"/>
      <c r="X19" s="1451"/>
      <c r="Y19" s="1448">
        <f t="shared" si="1"/>
        <v>0</v>
      </c>
    </row>
    <row r="20">
      <c r="A20" s="1226" t="s">
        <v>564</v>
      </c>
      <c r="B20" s="1449">
        <v>41.0</v>
      </c>
      <c r="C20" s="1449">
        <v>0.414</v>
      </c>
      <c r="D20" s="1449">
        <v>15.0</v>
      </c>
      <c r="E20" s="1449">
        <v>0.152</v>
      </c>
      <c r="F20" s="1449">
        <v>42.0</v>
      </c>
      <c r="G20" s="1449">
        <v>0.424</v>
      </c>
      <c r="H20" s="1449">
        <v>1.0</v>
      </c>
      <c r="I20" s="1450">
        <v>0.01</v>
      </c>
      <c r="J20" s="1449">
        <v>99.0</v>
      </c>
      <c r="K20" s="1449"/>
      <c r="L20" s="1449"/>
      <c r="M20" s="1449"/>
      <c r="N20" s="1449"/>
      <c r="O20" s="1449"/>
      <c r="P20" s="1449"/>
      <c r="Q20" s="477"/>
      <c r="R20" s="1449"/>
      <c r="S20" s="1449"/>
      <c r="T20" s="1449"/>
      <c r="U20" s="1449"/>
      <c r="V20" s="1449"/>
      <c r="W20" s="1449"/>
      <c r="X20" s="1451"/>
      <c r="Y20" s="1448">
        <f t="shared" si="1"/>
        <v>0</v>
      </c>
    </row>
    <row r="21">
      <c r="A21" s="1226" t="s">
        <v>2351</v>
      </c>
      <c r="B21" s="1449">
        <v>5.0</v>
      </c>
      <c r="C21" s="1449">
        <v>0.333</v>
      </c>
      <c r="D21" s="1449">
        <v>1.0</v>
      </c>
      <c r="E21" s="1449">
        <v>0.067</v>
      </c>
      <c r="F21" s="1449">
        <v>9.0</v>
      </c>
      <c r="G21" s="1449">
        <v>0.6</v>
      </c>
      <c r="H21" s="1449">
        <v>0.0</v>
      </c>
      <c r="I21" s="1450">
        <v>0.0</v>
      </c>
      <c r="J21" s="1449">
        <v>15.0</v>
      </c>
      <c r="K21" s="1449"/>
      <c r="L21" s="1449"/>
      <c r="M21" s="1449"/>
      <c r="N21" s="1449"/>
      <c r="O21" s="1449"/>
      <c r="P21" s="1449"/>
      <c r="Q21" s="477"/>
      <c r="R21" s="1449"/>
      <c r="S21" s="1449"/>
      <c r="T21" s="1449"/>
      <c r="U21" s="1449"/>
      <c r="V21" s="1449"/>
      <c r="W21" s="1449"/>
      <c r="X21" s="1451"/>
      <c r="Y21" s="1448">
        <f t="shared" si="1"/>
        <v>0</v>
      </c>
    </row>
    <row r="22">
      <c r="A22" s="1226" t="s">
        <v>412</v>
      </c>
      <c r="B22" s="1449">
        <v>35.0</v>
      </c>
      <c r="C22" s="1449">
        <v>0.402</v>
      </c>
      <c r="D22" s="1449">
        <v>4.0</v>
      </c>
      <c r="E22" s="1449">
        <v>0.046</v>
      </c>
      <c r="F22" s="1449">
        <v>42.0</v>
      </c>
      <c r="G22" s="1449">
        <v>0.483</v>
      </c>
      <c r="H22" s="1449">
        <v>6.0</v>
      </c>
      <c r="I22" s="1450">
        <v>0.069</v>
      </c>
      <c r="J22" s="1449">
        <v>87.0</v>
      </c>
      <c r="K22" s="1449"/>
      <c r="L22" s="1449"/>
      <c r="M22" s="1449"/>
      <c r="N22" s="1449"/>
      <c r="O22" s="1449"/>
      <c r="P22" s="1449"/>
      <c r="Q22" s="477"/>
      <c r="R22" s="1449"/>
      <c r="S22" s="1449"/>
      <c r="T22" s="1449"/>
      <c r="U22" s="1449"/>
      <c r="V22" s="1449"/>
      <c r="W22" s="1449"/>
      <c r="X22" s="1451"/>
      <c r="Y22" s="1448">
        <f t="shared" si="1"/>
        <v>0</v>
      </c>
    </row>
    <row r="23">
      <c r="A23" s="1226" t="s">
        <v>1649</v>
      </c>
      <c r="B23" s="1449">
        <v>14.0</v>
      </c>
      <c r="C23" s="1449">
        <v>0.452</v>
      </c>
      <c r="D23" s="1449">
        <v>0.0</v>
      </c>
      <c r="E23" s="1449">
        <v>0.0</v>
      </c>
      <c r="F23" s="1449">
        <v>15.0</v>
      </c>
      <c r="G23" s="1449">
        <v>0.484</v>
      </c>
      <c r="H23" s="1449">
        <v>2.0</v>
      </c>
      <c r="I23" s="1450">
        <v>0.065</v>
      </c>
      <c r="J23" s="1449">
        <v>31.0</v>
      </c>
      <c r="K23" s="1449"/>
      <c r="L23" s="1449"/>
      <c r="M23" s="1449"/>
      <c r="N23" s="1449"/>
      <c r="O23" s="1449"/>
      <c r="P23" s="1449"/>
      <c r="Q23" s="477"/>
      <c r="R23" s="1449"/>
      <c r="S23" s="1449"/>
      <c r="T23" s="1449"/>
      <c r="U23" s="1449"/>
      <c r="V23" s="1449"/>
      <c r="W23" s="1449"/>
      <c r="X23" s="1451"/>
      <c r="Y23" s="1448">
        <f t="shared" si="1"/>
        <v>0</v>
      </c>
    </row>
    <row r="24">
      <c r="A24" s="1226" t="s">
        <v>2352</v>
      </c>
      <c r="B24" s="1449">
        <v>72.0</v>
      </c>
      <c r="C24" s="1449">
        <v>0.605</v>
      </c>
      <c r="D24" s="1449">
        <v>9.0</v>
      </c>
      <c r="E24" s="1449">
        <v>0.076</v>
      </c>
      <c r="F24" s="1449">
        <v>36.0</v>
      </c>
      <c r="G24" s="1449">
        <v>0.303</v>
      </c>
      <c r="H24" s="1449">
        <v>2.0</v>
      </c>
      <c r="I24" s="1450">
        <v>0.017</v>
      </c>
      <c r="J24" s="1449">
        <v>119.0</v>
      </c>
      <c r="K24" s="1449"/>
      <c r="L24" s="1449"/>
      <c r="M24" s="1449"/>
      <c r="N24" s="1449"/>
      <c r="O24" s="1449"/>
      <c r="P24" s="1449"/>
      <c r="Q24" s="477"/>
      <c r="R24" s="1449"/>
      <c r="S24" s="1449"/>
      <c r="T24" s="1449"/>
      <c r="U24" s="1449"/>
      <c r="V24" s="1449"/>
      <c r="W24" s="1449"/>
      <c r="X24" s="1451"/>
      <c r="Y24" s="1448">
        <f t="shared" si="1"/>
        <v>0</v>
      </c>
    </row>
    <row r="25">
      <c r="A25" s="1226" t="s">
        <v>1826</v>
      </c>
      <c r="B25" s="1449">
        <v>1.0</v>
      </c>
      <c r="C25" s="1449">
        <v>0.125</v>
      </c>
      <c r="D25" s="1449">
        <v>0.0</v>
      </c>
      <c r="E25" s="1449">
        <v>0.0</v>
      </c>
      <c r="F25" s="1449">
        <v>7.0</v>
      </c>
      <c r="G25" s="1449">
        <v>0.875</v>
      </c>
      <c r="H25" s="1449">
        <v>0.0</v>
      </c>
      <c r="I25" s="1450">
        <v>0.0</v>
      </c>
      <c r="J25" s="1449">
        <v>8.0</v>
      </c>
      <c r="K25" s="1449"/>
      <c r="L25" s="1449"/>
      <c r="M25" s="1449"/>
      <c r="N25" s="1449"/>
      <c r="O25" s="1449"/>
      <c r="P25" s="1449"/>
      <c r="Q25" s="477"/>
      <c r="R25" s="1449"/>
      <c r="S25" s="1449"/>
      <c r="T25" s="1449"/>
      <c r="U25" s="1449"/>
      <c r="V25" s="1449"/>
      <c r="W25" s="1449"/>
      <c r="X25" s="1451"/>
      <c r="Y25" s="1448"/>
    </row>
    <row r="26">
      <c r="A26" s="1226" t="s">
        <v>2353</v>
      </c>
      <c r="B26" s="1449">
        <v>57.0</v>
      </c>
      <c r="C26" s="1449">
        <v>0.385</v>
      </c>
      <c r="D26" s="1449">
        <v>15.0</v>
      </c>
      <c r="E26" s="1449">
        <v>0.101</v>
      </c>
      <c r="F26" s="1449">
        <v>73.0</v>
      </c>
      <c r="G26" s="1449">
        <v>0.493</v>
      </c>
      <c r="H26" s="1449">
        <v>3.0</v>
      </c>
      <c r="I26" s="1450">
        <v>0.02</v>
      </c>
      <c r="J26" s="1449">
        <v>148.0</v>
      </c>
      <c r="K26" s="1449"/>
      <c r="L26" s="1449"/>
      <c r="M26" s="1449"/>
      <c r="N26" s="1449"/>
      <c r="O26" s="1449"/>
      <c r="P26" s="1449"/>
      <c r="Q26" s="477"/>
      <c r="R26" s="1449"/>
      <c r="S26" s="1449"/>
      <c r="T26" s="1449"/>
      <c r="U26" s="1449"/>
      <c r="V26" s="1449"/>
      <c r="W26" s="1449"/>
      <c r="X26" s="1451"/>
      <c r="Y26" s="1448">
        <f t="shared" ref="Y26:Y79" si="2">SUM(W26:X26)</f>
        <v>0</v>
      </c>
    </row>
    <row r="27">
      <c r="A27" s="1226" t="s">
        <v>1793</v>
      </c>
      <c r="B27" s="1449">
        <v>4.0</v>
      </c>
      <c r="C27" s="1449">
        <v>0.182</v>
      </c>
      <c r="D27" s="1449">
        <v>2.0</v>
      </c>
      <c r="E27" s="1449">
        <v>0.091</v>
      </c>
      <c r="F27" s="1449">
        <v>15.0</v>
      </c>
      <c r="G27" s="1449">
        <v>0.682</v>
      </c>
      <c r="H27" s="1449">
        <v>1.0</v>
      </c>
      <c r="I27" s="1450">
        <v>0.045</v>
      </c>
      <c r="J27" s="1449">
        <v>22.0</v>
      </c>
      <c r="K27" s="1449"/>
      <c r="L27" s="1449"/>
      <c r="M27" s="1449"/>
      <c r="N27" s="1449"/>
      <c r="O27" s="1449"/>
      <c r="P27" s="1449"/>
      <c r="Q27" s="477"/>
      <c r="R27" s="1449"/>
      <c r="S27" s="1449"/>
      <c r="T27" s="1449"/>
      <c r="U27" s="1449"/>
      <c r="V27" s="1449"/>
      <c r="W27" s="1449"/>
      <c r="X27" s="1451"/>
      <c r="Y27" s="1448">
        <f t="shared" si="2"/>
        <v>0</v>
      </c>
    </row>
    <row r="28">
      <c r="A28" s="1226" t="s">
        <v>278</v>
      </c>
      <c r="B28" s="1449">
        <v>13.0</v>
      </c>
      <c r="C28" s="1449">
        <v>0.464</v>
      </c>
      <c r="D28" s="1449">
        <v>1.0</v>
      </c>
      <c r="E28" s="1449">
        <v>0.036</v>
      </c>
      <c r="F28" s="1449">
        <v>11.0</v>
      </c>
      <c r="G28" s="1449">
        <v>0.393</v>
      </c>
      <c r="H28" s="1449">
        <v>3.0</v>
      </c>
      <c r="I28" s="1450">
        <v>0.107</v>
      </c>
      <c r="J28" s="1449">
        <v>28.0</v>
      </c>
      <c r="K28" s="1449"/>
      <c r="L28" s="1449"/>
      <c r="M28" s="1449"/>
      <c r="N28" s="1449"/>
      <c r="O28" s="1449"/>
      <c r="P28" s="1449"/>
      <c r="Q28" s="477"/>
      <c r="R28" s="1449"/>
      <c r="S28" s="1449"/>
      <c r="T28" s="1449"/>
      <c r="U28" s="1449"/>
      <c r="V28" s="1449"/>
      <c r="W28" s="1449"/>
      <c r="X28" s="1451"/>
      <c r="Y28" s="1448">
        <f t="shared" si="2"/>
        <v>0</v>
      </c>
    </row>
    <row r="29">
      <c r="A29" s="1226" t="s">
        <v>1075</v>
      </c>
      <c r="B29" s="1449">
        <v>7.0</v>
      </c>
      <c r="C29" s="1449">
        <v>0.636</v>
      </c>
      <c r="D29" s="1449">
        <v>2.0</v>
      </c>
      <c r="E29" s="1449">
        <v>0.182</v>
      </c>
      <c r="F29" s="1449">
        <v>2.0</v>
      </c>
      <c r="G29" s="1449">
        <v>0.182</v>
      </c>
      <c r="H29" s="1449">
        <v>0.0</v>
      </c>
      <c r="I29" s="1450">
        <v>0.0</v>
      </c>
      <c r="J29" s="1449">
        <v>11.0</v>
      </c>
      <c r="K29" s="1449"/>
      <c r="L29" s="1449"/>
      <c r="M29" s="1449"/>
      <c r="N29" s="1449"/>
      <c r="O29" s="1449"/>
      <c r="P29" s="1449"/>
      <c r="Q29" s="477"/>
      <c r="R29" s="1449"/>
      <c r="S29" s="1449"/>
      <c r="T29" s="1449"/>
      <c r="U29" s="1449"/>
      <c r="V29" s="1449"/>
      <c r="W29" s="1449"/>
      <c r="X29" s="1451"/>
      <c r="Y29" s="1448">
        <f t="shared" si="2"/>
        <v>0</v>
      </c>
    </row>
    <row r="30">
      <c r="A30" s="1226" t="s">
        <v>2354</v>
      </c>
      <c r="B30" s="1449">
        <v>4.0</v>
      </c>
      <c r="C30" s="1449">
        <v>0.333</v>
      </c>
      <c r="D30" s="1449">
        <v>0.0</v>
      </c>
      <c r="E30" s="1449">
        <v>0.0</v>
      </c>
      <c r="F30" s="1449">
        <v>8.0</v>
      </c>
      <c r="G30" s="1449">
        <v>0.667</v>
      </c>
      <c r="H30" s="1449">
        <v>0.0</v>
      </c>
      <c r="I30" s="1450">
        <v>0.0</v>
      </c>
      <c r="J30" s="1449">
        <v>12.0</v>
      </c>
      <c r="K30" s="1449"/>
      <c r="L30" s="1449"/>
      <c r="M30" s="1449"/>
      <c r="N30" s="1449"/>
      <c r="O30" s="1449"/>
      <c r="P30" s="1449"/>
      <c r="Q30" s="477"/>
      <c r="R30" s="1450"/>
      <c r="S30" s="1449"/>
      <c r="T30" s="1450"/>
      <c r="U30" s="1449"/>
      <c r="V30" s="1451"/>
      <c r="W30" s="1451"/>
      <c r="X30" s="1449"/>
      <c r="Y30" s="1448">
        <f t="shared" si="2"/>
        <v>0</v>
      </c>
    </row>
    <row r="31">
      <c r="A31" s="1226" t="s">
        <v>50</v>
      </c>
      <c r="B31" s="1449">
        <v>1.0</v>
      </c>
      <c r="C31" s="1449">
        <v>0.25</v>
      </c>
      <c r="D31" s="1449">
        <v>0.0</v>
      </c>
      <c r="E31" s="1449">
        <v>0.0</v>
      </c>
      <c r="F31" s="1449">
        <v>3.0</v>
      </c>
      <c r="G31" s="1449">
        <v>0.75</v>
      </c>
      <c r="H31" s="1449">
        <v>0.0</v>
      </c>
      <c r="I31" s="1450">
        <v>0.0</v>
      </c>
      <c r="J31" s="1449">
        <v>4.0</v>
      </c>
      <c r="K31" s="1449"/>
      <c r="L31" s="1449"/>
      <c r="M31" s="1449"/>
      <c r="N31" s="1449"/>
      <c r="O31" s="1449"/>
      <c r="P31" s="1449"/>
      <c r="Q31" s="477"/>
      <c r="R31" s="1449"/>
      <c r="S31" s="1449"/>
      <c r="T31" s="1450"/>
      <c r="U31" s="1449"/>
      <c r="V31" s="1451"/>
      <c r="W31" s="1451"/>
      <c r="X31" s="1449"/>
      <c r="Y31" s="1448">
        <f t="shared" si="2"/>
        <v>0</v>
      </c>
    </row>
    <row r="32">
      <c r="A32" s="1226" t="s">
        <v>1259</v>
      </c>
      <c r="B32" s="1449">
        <v>14.0</v>
      </c>
      <c r="C32" s="1449">
        <v>0.824</v>
      </c>
      <c r="D32" s="1449">
        <v>2.0</v>
      </c>
      <c r="E32" s="1451">
        <v>0.118</v>
      </c>
      <c r="F32" s="1450">
        <v>0.0</v>
      </c>
      <c r="G32" s="1449">
        <v>0.0</v>
      </c>
      <c r="H32" s="1450">
        <v>1.0</v>
      </c>
      <c r="I32" s="1450">
        <v>0.059</v>
      </c>
      <c r="J32" s="1450">
        <v>17.0</v>
      </c>
      <c r="K32" s="1449"/>
      <c r="L32" s="1449"/>
      <c r="M32" s="1449"/>
      <c r="N32" s="1449"/>
      <c r="O32" s="1449"/>
      <c r="P32" s="1449"/>
      <c r="Q32" s="477"/>
      <c r="R32" s="1450"/>
      <c r="S32" s="1449"/>
      <c r="T32" s="1450"/>
      <c r="U32" s="1449"/>
      <c r="V32" s="1451"/>
      <c r="W32" s="1451"/>
      <c r="X32" s="1449"/>
      <c r="Y32" s="1448">
        <f t="shared" si="2"/>
        <v>0</v>
      </c>
    </row>
    <row r="33">
      <c r="A33" s="1226" t="s">
        <v>142</v>
      </c>
      <c r="B33" s="1449">
        <v>19.0</v>
      </c>
      <c r="C33" s="1449">
        <v>0.388</v>
      </c>
      <c r="D33" s="1449">
        <v>4.0</v>
      </c>
      <c r="E33" s="1451">
        <v>0.082</v>
      </c>
      <c r="F33" s="1450">
        <v>25.0</v>
      </c>
      <c r="G33" s="1449">
        <v>0.51</v>
      </c>
      <c r="H33" s="1450">
        <v>1.0</v>
      </c>
      <c r="I33" s="1450">
        <v>0.02</v>
      </c>
      <c r="J33" s="1450">
        <v>49.0</v>
      </c>
      <c r="K33" s="1450"/>
      <c r="L33" s="1449"/>
      <c r="M33" s="1449"/>
      <c r="N33" s="1450"/>
      <c r="O33" s="1450"/>
      <c r="P33" s="1449"/>
      <c r="Q33" s="477"/>
      <c r="R33" s="1450"/>
      <c r="S33" s="1449"/>
      <c r="T33" s="1450"/>
      <c r="U33" s="1449"/>
      <c r="V33" s="1451"/>
      <c r="W33" s="1451"/>
      <c r="X33" s="1449"/>
      <c r="Y33" s="1448">
        <f t="shared" si="2"/>
        <v>0</v>
      </c>
    </row>
    <row r="34">
      <c r="A34" s="1226" t="s">
        <v>143</v>
      </c>
      <c r="B34" s="1449">
        <v>31.0</v>
      </c>
      <c r="C34" s="1449">
        <v>0.544</v>
      </c>
      <c r="D34" s="1449">
        <v>6.0</v>
      </c>
      <c r="E34" s="1451">
        <v>0.105</v>
      </c>
      <c r="F34" s="1450">
        <v>17.0</v>
      </c>
      <c r="G34" s="1449">
        <v>0.298</v>
      </c>
      <c r="H34" s="1450">
        <v>3.0</v>
      </c>
      <c r="I34" s="1450">
        <v>0.053</v>
      </c>
      <c r="J34" s="1450">
        <v>57.0</v>
      </c>
      <c r="K34" s="1450"/>
      <c r="L34" s="1449"/>
      <c r="M34" s="1449"/>
      <c r="N34" s="1450"/>
      <c r="O34" s="1450"/>
      <c r="P34" s="1449"/>
      <c r="Q34" s="477"/>
      <c r="R34" s="1450"/>
      <c r="S34" s="1449"/>
      <c r="T34" s="1450"/>
      <c r="U34" s="1449"/>
      <c r="V34" s="1451"/>
      <c r="W34" s="1451"/>
      <c r="X34" s="1449"/>
      <c r="Y34" s="1448">
        <f t="shared" si="2"/>
        <v>0</v>
      </c>
    </row>
    <row r="35">
      <c r="A35" s="1226" t="s">
        <v>197</v>
      </c>
      <c r="B35" s="1449">
        <v>16.0</v>
      </c>
      <c r="C35" s="1449">
        <v>0.516</v>
      </c>
      <c r="D35" s="1449">
        <v>5.0</v>
      </c>
      <c r="E35" s="1451">
        <v>0.161</v>
      </c>
      <c r="F35" s="1450">
        <v>8.0</v>
      </c>
      <c r="G35" s="1449">
        <v>0.258</v>
      </c>
      <c r="H35" s="1450">
        <v>2.0</v>
      </c>
      <c r="I35" s="1450">
        <v>0.065</v>
      </c>
      <c r="J35" s="1450">
        <v>31.0</v>
      </c>
      <c r="K35" s="1450"/>
      <c r="L35" s="1449"/>
      <c r="M35" s="1449"/>
      <c r="N35" s="1450"/>
      <c r="O35" s="1450"/>
      <c r="P35" s="1449"/>
      <c r="Q35" s="477"/>
      <c r="R35" s="1450"/>
      <c r="S35" s="1449"/>
      <c r="T35" s="1450"/>
      <c r="U35" s="1449"/>
      <c r="V35" s="1451"/>
      <c r="W35" s="1451"/>
      <c r="X35" s="1449"/>
      <c r="Y35" s="1448">
        <f t="shared" si="2"/>
        <v>0</v>
      </c>
    </row>
    <row r="36">
      <c r="A36" s="1226" t="s">
        <v>2355</v>
      </c>
      <c r="B36" s="1449">
        <v>124.0</v>
      </c>
      <c r="C36" s="1449">
        <v>0.488</v>
      </c>
      <c r="D36" s="1449">
        <v>14.0</v>
      </c>
      <c r="E36" s="1451">
        <v>0.055</v>
      </c>
      <c r="F36" s="1450">
        <v>92.0</v>
      </c>
      <c r="G36" s="1449">
        <v>0.362</v>
      </c>
      <c r="H36" s="1450">
        <v>24.0</v>
      </c>
      <c r="I36" s="1450">
        <v>0.094</v>
      </c>
      <c r="J36" s="1450">
        <v>254.0</v>
      </c>
      <c r="K36" s="1450"/>
      <c r="L36" s="1449"/>
      <c r="M36" s="1449"/>
      <c r="N36" s="1450"/>
      <c r="O36" s="1450"/>
      <c r="P36" s="1449"/>
      <c r="Q36" s="477"/>
      <c r="R36" s="1450"/>
      <c r="S36" s="1449"/>
      <c r="T36" s="1450"/>
      <c r="U36" s="1449"/>
      <c r="V36" s="1451"/>
      <c r="W36" s="1451"/>
      <c r="X36" s="1449"/>
      <c r="Y36" s="1448">
        <f t="shared" si="2"/>
        <v>0</v>
      </c>
    </row>
    <row r="37">
      <c r="A37" s="1226" t="s">
        <v>2356</v>
      </c>
      <c r="B37" s="206">
        <v>9.0</v>
      </c>
      <c r="C37" s="206">
        <v>0.5</v>
      </c>
      <c r="D37" s="206">
        <v>0.0</v>
      </c>
      <c r="E37" s="206">
        <v>0.0</v>
      </c>
      <c r="F37" s="206">
        <v>8.0</v>
      </c>
      <c r="G37" s="206">
        <v>0.444</v>
      </c>
      <c r="H37" s="206">
        <v>1.0</v>
      </c>
      <c r="I37" s="206">
        <v>0.056</v>
      </c>
      <c r="J37" s="206">
        <v>18.0</v>
      </c>
      <c r="K37" s="1450"/>
      <c r="L37" s="1449"/>
      <c r="M37" s="1449"/>
      <c r="N37" s="1450"/>
      <c r="O37" s="1450"/>
      <c r="P37" s="1449"/>
      <c r="Q37" s="477"/>
      <c r="R37" s="1450"/>
      <c r="S37" s="1449"/>
      <c r="T37" s="1450"/>
      <c r="U37" s="1449"/>
      <c r="V37" s="1451"/>
      <c r="W37" s="1451"/>
      <c r="X37" s="1449"/>
      <c r="Y37" s="1448">
        <f t="shared" si="2"/>
        <v>0</v>
      </c>
    </row>
    <row r="38">
      <c r="A38" s="1226" t="s">
        <v>2357</v>
      </c>
      <c r="B38" s="1449">
        <v>41.0</v>
      </c>
      <c r="C38" s="1449">
        <v>0.456</v>
      </c>
      <c r="D38" s="1449">
        <v>6.0</v>
      </c>
      <c r="E38" s="1451">
        <v>0.067</v>
      </c>
      <c r="F38" s="1450">
        <v>36.0</v>
      </c>
      <c r="G38" s="1449">
        <v>0.4</v>
      </c>
      <c r="H38" s="1450">
        <v>7.0</v>
      </c>
      <c r="I38" s="1450">
        <v>0.078</v>
      </c>
      <c r="J38" s="1450">
        <v>90.0</v>
      </c>
      <c r="K38" s="1450"/>
      <c r="L38" s="1449"/>
      <c r="M38" s="1449"/>
      <c r="N38" s="1450"/>
      <c r="O38" s="1450"/>
      <c r="P38" s="1449"/>
      <c r="Q38" s="477"/>
      <c r="R38" s="1450"/>
      <c r="S38" s="1449"/>
      <c r="T38" s="1450"/>
      <c r="U38" s="1449"/>
      <c r="V38" s="1451"/>
      <c r="W38" s="1451"/>
      <c r="X38" s="1449"/>
      <c r="Y38" s="1448">
        <f t="shared" si="2"/>
        <v>0</v>
      </c>
    </row>
    <row r="39">
      <c r="A39" s="1226" t="s">
        <v>289</v>
      </c>
      <c r="B39" s="1449">
        <v>5.0</v>
      </c>
      <c r="C39" s="1449">
        <v>0.385</v>
      </c>
      <c r="D39" s="1449">
        <v>1.0</v>
      </c>
      <c r="E39" s="1451">
        <v>0.077</v>
      </c>
      <c r="F39" s="1450">
        <v>6.0</v>
      </c>
      <c r="G39" s="1449">
        <v>0.462</v>
      </c>
      <c r="H39" s="1450">
        <v>1.0</v>
      </c>
      <c r="I39" s="1450">
        <v>0.077</v>
      </c>
      <c r="J39" s="1450">
        <v>13.0</v>
      </c>
      <c r="K39" s="1450"/>
      <c r="L39" s="1449"/>
      <c r="M39" s="1449"/>
      <c r="N39" s="1450"/>
      <c r="O39" s="1450"/>
      <c r="P39" s="1449"/>
      <c r="Q39" s="477"/>
      <c r="R39" s="1450"/>
      <c r="S39" s="1449"/>
      <c r="T39" s="1450"/>
      <c r="U39" s="1449"/>
      <c r="V39" s="1451"/>
      <c r="W39" s="1451"/>
      <c r="X39" s="1449"/>
      <c r="Y39" s="1448">
        <f t="shared" si="2"/>
        <v>0</v>
      </c>
    </row>
    <row r="40">
      <c r="A40" s="1226" t="s">
        <v>2358</v>
      </c>
      <c r="B40" s="1449">
        <v>35.0</v>
      </c>
      <c r="C40" s="1449">
        <v>0.493</v>
      </c>
      <c r="D40" s="1449">
        <v>4.0</v>
      </c>
      <c r="E40" s="1451">
        <v>0.056</v>
      </c>
      <c r="F40" s="1450">
        <v>30.0</v>
      </c>
      <c r="G40" s="1449">
        <v>0.423</v>
      </c>
      <c r="H40" s="1450">
        <v>2.0</v>
      </c>
      <c r="I40" s="1450">
        <v>0.028</v>
      </c>
      <c r="J40" s="1450">
        <v>71.0</v>
      </c>
      <c r="K40" s="1450"/>
      <c r="L40" s="1449"/>
      <c r="M40" s="1449"/>
      <c r="N40" s="1450"/>
      <c r="O40" s="1450"/>
      <c r="P40" s="1449"/>
      <c r="Q40" s="477"/>
      <c r="R40" s="1449"/>
      <c r="S40" s="1449"/>
      <c r="T40" s="1450"/>
      <c r="U40" s="1449"/>
      <c r="V40" s="1451"/>
      <c r="W40" s="1451"/>
      <c r="X40" s="1449"/>
      <c r="Y40" s="1448">
        <f t="shared" si="2"/>
        <v>0</v>
      </c>
    </row>
    <row r="41">
      <c r="A41" s="1226" t="s">
        <v>290</v>
      </c>
      <c r="B41" s="1449">
        <v>14.0</v>
      </c>
      <c r="C41" s="1449">
        <v>0.209</v>
      </c>
      <c r="D41" s="1449">
        <v>3.0</v>
      </c>
      <c r="E41" s="1451">
        <v>0.045</v>
      </c>
      <c r="F41" s="1450">
        <v>45.0</v>
      </c>
      <c r="G41" s="1449">
        <v>0.672</v>
      </c>
      <c r="H41" s="1450">
        <v>5.0</v>
      </c>
      <c r="I41" s="1450">
        <v>0.075</v>
      </c>
      <c r="J41" s="1450">
        <v>67.0</v>
      </c>
      <c r="K41" s="1450"/>
      <c r="L41" s="1449"/>
      <c r="M41" s="1449"/>
      <c r="N41" s="1450"/>
      <c r="O41" s="1450"/>
      <c r="P41" s="1449"/>
      <c r="Q41" s="477"/>
      <c r="R41" s="1450"/>
      <c r="S41" s="1449"/>
      <c r="T41" s="1450"/>
      <c r="U41" s="1449"/>
      <c r="V41" s="1451"/>
      <c r="W41" s="1451"/>
      <c r="X41" s="1449"/>
      <c r="Y41" s="1448">
        <f t="shared" si="2"/>
        <v>0</v>
      </c>
    </row>
    <row r="42">
      <c r="A42" s="1226" t="s">
        <v>2359</v>
      </c>
      <c r="B42" s="1449">
        <v>86.0</v>
      </c>
      <c r="C42" s="1449">
        <v>0.486</v>
      </c>
      <c r="D42" s="1449">
        <v>3.0</v>
      </c>
      <c r="E42" s="1451">
        <v>0.017</v>
      </c>
      <c r="F42" s="1450">
        <v>83.0</v>
      </c>
      <c r="G42" s="1449">
        <v>0.469</v>
      </c>
      <c r="H42" s="1450">
        <v>5.0</v>
      </c>
      <c r="I42" s="1450">
        <v>0.028</v>
      </c>
      <c r="J42" s="1450">
        <v>177.0</v>
      </c>
      <c r="K42" s="1450"/>
      <c r="L42" s="1449"/>
      <c r="M42" s="1449"/>
      <c r="N42" s="1450"/>
      <c r="O42" s="1450"/>
      <c r="P42" s="1449"/>
      <c r="Q42" s="477"/>
      <c r="R42" s="1450"/>
      <c r="S42" s="1449"/>
      <c r="T42" s="1450"/>
      <c r="U42" s="1449"/>
      <c r="V42" s="1451"/>
      <c r="W42" s="1451"/>
      <c r="X42" s="1449"/>
      <c r="Y42" s="1448">
        <f t="shared" si="2"/>
        <v>0</v>
      </c>
    </row>
    <row r="43">
      <c r="A43" s="1226" t="s">
        <v>2360</v>
      </c>
      <c r="B43" s="1449">
        <v>98.0</v>
      </c>
      <c r="C43" s="1449">
        <v>0.473</v>
      </c>
      <c r="D43" s="1449">
        <v>15.0</v>
      </c>
      <c r="E43" s="1451">
        <v>0.072</v>
      </c>
      <c r="F43" s="1450">
        <v>84.0</v>
      </c>
      <c r="G43" s="1449">
        <v>0.406</v>
      </c>
      <c r="H43" s="1450">
        <v>10.0</v>
      </c>
      <c r="I43" s="1450">
        <v>0.048</v>
      </c>
      <c r="J43" s="1450">
        <v>207.0</v>
      </c>
      <c r="K43" s="1450"/>
      <c r="L43" s="1449"/>
      <c r="M43" s="1449"/>
      <c r="N43" s="1450"/>
      <c r="O43" s="1450"/>
      <c r="P43" s="1449"/>
      <c r="Q43" s="477"/>
      <c r="R43" s="1450"/>
      <c r="S43" s="1449"/>
      <c r="T43" s="1450"/>
      <c r="U43" s="1449"/>
      <c r="V43" s="1451"/>
      <c r="W43" s="1451"/>
      <c r="X43" s="1449"/>
      <c r="Y43" s="1448">
        <f t="shared" si="2"/>
        <v>0</v>
      </c>
    </row>
    <row r="44">
      <c r="A44" s="1226" t="s">
        <v>2361</v>
      </c>
      <c r="B44" s="1449">
        <v>26.0</v>
      </c>
      <c r="C44" s="1449">
        <v>0.491</v>
      </c>
      <c r="D44" s="1449">
        <v>5.0</v>
      </c>
      <c r="E44" s="1451">
        <v>0.094</v>
      </c>
      <c r="F44" s="1450">
        <v>18.0</v>
      </c>
      <c r="G44" s="1449">
        <v>0.34</v>
      </c>
      <c r="H44" s="1450">
        <v>4.0</v>
      </c>
      <c r="I44" s="1450">
        <v>0.075</v>
      </c>
      <c r="J44" s="1450">
        <v>53.0</v>
      </c>
      <c r="K44" s="1450"/>
      <c r="L44" s="1449"/>
      <c r="M44" s="1449"/>
      <c r="N44" s="1450"/>
      <c r="O44" s="1450"/>
      <c r="P44" s="1449"/>
      <c r="Q44" s="477"/>
      <c r="R44" s="1450"/>
      <c r="S44" s="1449"/>
      <c r="T44" s="1450"/>
      <c r="U44" s="1449"/>
      <c r="V44" s="1451"/>
      <c r="W44" s="1451"/>
      <c r="X44" s="1449"/>
      <c r="Y44" s="1448">
        <f t="shared" si="2"/>
        <v>0</v>
      </c>
    </row>
    <row r="45">
      <c r="A45" s="1226" t="s">
        <v>1270</v>
      </c>
      <c r="B45" s="1449">
        <v>4.0</v>
      </c>
      <c r="C45" s="1449">
        <v>0.5</v>
      </c>
      <c r="D45" s="1449">
        <v>1.0</v>
      </c>
      <c r="E45" s="1451">
        <v>0.125</v>
      </c>
      <c r="F45" s="1450">
        <v>3.0</v>
      </c>
      <c r="G45" s="1449">
        <v>0.375</v>
      </c>
      <c r="H45" s="1450">
        <v>0.0</v>
      </c>
      <c r="I45" s="1450">
        <v>0.0</v>
      </c>
      <c r="J45" s="1450">
        <v>8.0</v>
      </c>
      <c r="K45" s="1450"/>
      <c r="L45" s="1449"/>
      <c r="M45" s="1449"/>
      <c r="N45" s="1450"/>
      <c r="O45" s="1450"/>
      <c r="P45" s="1449"/>
      <c r="Q45" s="477"/>
      <c r="R45" s="1450"/>
      <c r="S45" s="1449"/>
      <c r="T45" s="1450"/>
      <c r="U45" s="1449"/>
      <c r="V45" s="1451"/>
      <c r="W45" s="1451"/>
      <c r="X45" s="1449"/>
      <c r="Y45" s="1448">
        <f t="shared" si="2"/>
        <v>0</v>
      </c>
    </row>
    <row r="46">
      <c r="A46" s="1226" t="s">
        <v>1272</v>
      </c>
      <c r="B46" s="1449">
        <v>6.0</v>
      </c>
      <c r="C46" s="1449">
        <v>0.273</v>
      </c>
      <c r="D46" s="1449">
        <v>1.0</v>
      </c>
      <c r="E46" s="1451">
        <v>0.045</v>
      </c>
      <c r="F46" s="1450">
        <v>15.0</v>
      </c>
      <c r="G46" s="1449">
        <v>0.682</v>
      </c>
      <c r="H46" s="1450">
        <v>0.0</v>
      </c>
      <c r="I46" s="1450">
        <v>0.0</v>
      </c>
      <c r="J46" s="1450">
        <v>22.0</v>
      </c>
      <c r="K46" s="1450"/>
      <c r="L46" s="1449"/>
      <c r="M46" s="1449"/>
      <c r="N46" s="1450"/>
      <c r="O46" s="1450"/>
      <c r="P46" s="1449"/>
      <c r="Q46" s="477"/>
      <c r="R46" s="1449"/>
      <c r="S46" s="1449"/>
      <c r="T46" s="1450"/>
      <c r="U46" s="1449"/>
      <c r="V46" s="1451"/>
      <c r="W46" s="1451"/>
      <c r="X46" s="1449"/>
      <c r="Y46" s="1448">
        <f t="shared" si="2"/>
        <v>0</v>
      </c>
    </row>
    <row r="47">
      <c r="A47" s="1226" t="s">
        <v>437</v>
      </c>
      <c r="B47" s="1449">
        <v>809.0</v>
      </c>
      <c r="C47" s="1449">
        <v>0.442</v>
      </c>
      <c r="D47" s="1449">
        <v>184.0</v>
      </c>
      <c r="E47" s="1451">
        <v>0.1</v>
      </c>
      <c r="F47" s="1450">
        <v>696.0</v>
      </c>
      <c r="G47" s="1449">
        <v>0.38</v>
      </c>
      <c r="H47" s="1450">
        <v>143.0</v>
      </c>
      <c r="I47" s="1450">
        <v>0.078</v>
      </c>
      <c r="J47" s="1450">
        <v>1832.0</v>
      </c>
      <c r="K47" s="1450"/>
      <c r="L47" s="1449"/>
      <c r="M47" s="1449"/>
      <c r="N47" s="1450"/>
      <c r="O47" s="1450"/>
      <c r="P47" s="1449"/>
      <c r="Q47" s="477"/>
      <c r="R47" s="1450"/>
      <c r="S47" s="1449"/>
      <c r="T47" s="1450"/>
      <c r="U47" s="1449"/>
      <c r="V47" s="1451"/>
      <c r="W47" s="1451"/>
      <c r="X47" s="1449"/>
      <c r="Y47" s="1448">
        <f t="shared" si="2"/>
        <v>0</v>
      </c>
    </row>
    <row r="48">
      <c r="A48" s="1226" t="s">
        <v>156</v>
      </c>
      <c r="B48" s="1452">
        <v>24.0</v>
      </c>
      <c r="C48" s="1449">
        <v>0.421</v>
      </c>
      <c r="D48" s="1449">
        <v>11.0</v>
      </c>
      <c r="E48" s="1451">
        <v>0.193</v>
      </c>
      <c r="F48" s="1450">
        <v>17.0</v>
      </c>
      <c r="G48" s="1449">
        <v>0.298</v>
      </c>
      <c r="H48" s="1450">
        <v>5.0</v>
      </c>
      <c r="I48" s="1450">
        <v>0.088</v>
      </c>
      <c r="J48" s="1450">
        <v>57.0</v>
      </c>
      <c r="K48" s="1450"/>
      <c r="L48" s="1449"/>
      <c r="M48" s="1449"/>
      <c r="N48" s="1450"/>
      <c r="O48" s="1450"/>
      <c r="P48" s="1452"/>
      <c r="Q48" s="477"/>
      <c r="R48" s="1450"/>
      <c r="S48" s="1452"/>
      <c r="T48" s="1450"/>
      <c r="U48" s="1449"/>
      <c r="V48" s="1451"/>
      <c r="W48" s="1451"/>
      <c r="X48" s="1449"/>
      <c r="Y48" s="1448">
        <f t="shared" si="2"/>
        <v>0</v>
      </c>
    </row>
    <row r="49">
      <c r="A49" s="1226" t="s">
        <v>2362</v>
      </c>
      <c r="B49" s="1449">
        <v>16.0</v>
      </c>
      <c r="C49" s="1449">
        <v>0.348</v>
      </c>
      <c r="D49" s="1449">
        <v>1.0</v>
      </c>
      <c r="E49" s="1451">
        <v>0.022</v>
      </c>
      <c r="F49" s="1450">
        <v>29.0</v>
      </c>
      <c r="G49" s="1449">
        <v>0.63</v>
      </c>
      <c r="H49" s="1450">
        <v>0.0</v>
      </c>
      <c r="I49" s="1450">
        <v>0.0</v>
      </c>
      <c r="J49" s="1450">
        <v>46.0</v>
      </c>
      <c r="K49" s="1450"/>
      <c r="L49" s="1449"/>
      <c r="M49" s="1449"/>
      <c r="N49" s="1450"/>
      <c r="O49" s="1450"/>
      <c r="P49" s="1449"/>
      <c r="Q49" s="477"/>
      <c r="R49" s="1450"/>
      <c r="S49" s="1449"/>
      <c r="T49" s="1450"/>
      <c r="U49" s="1449"/>
      <c r="V49" s="1451"/>
      <c r="W49" s="1451"/>
      <c r="X49" s="1449"/>
      <c r="Y49" s="1448">
        <f t="shared" si="2"/>
        <v>0</v>
      </c>
    </row>
    <row r="50">
      <c r="A50" s="1226" t="s">
        <v>685</v>
      </c>
      <c r="B50" s="1449">
        <v>24.0</v>
      </c>
      <c r="C50" s="1449">
        <v>0.393</v>
      </c>
      <c r="D50" s="1449">
        <v>5.0</v>
      </c>
      <c r="E50" s="1451">
        <v>0.082</v>
      </c>
      <c r="F50" s="1450">
        <v>29.0</v>
      </c>
      <c r="G50" s="1449">
        <v>0.475</v>
      </c>
      <c r="H50" s="1450">
        <v>3.0</v>
      </c>
      <c r="I50" s="1450">
        <v>0.049</v>
      </c>
      <c r="J50" s="1450">
        <v>61.0</v>
      </c>
      <c r="K50" s="1450"/>
      <c r="L50" s="1449"/>
      <c r="M50" s="1449"/>
      <c r="N50" s="1450"/>
      <c r="O50" s="1450"/>
      <c r="P50" s="1449"/>
      <c r="Q50" s="477"/>
      <c r="R50" s="1450"/>
      <c r="S50" s="1449"/>
      <c r="T50" s="1450"/>
      <c r="U50" s="1449"/>
      <c r="V50" s="1451"/>
      <c r="W50" s="1451"/>
      <c r="X50" s="1449"/>
      <c r="Y50" s="1448">
        <f t="shared" si="2"/>
        <v>0</v>
      </c>
    </row>
    <row r="51">
      <c r="A51" s="1226" t="s">
        <v>2363</v>
      </c>
      <c r="B51" s="1449">
        <v>131.0</v>
      </c>
      <c r="C51" s="1449">
        <v>0.468</v>
      </c>
      <c r="D51" s="1449">
        <v>22.0</v>
      </c>
      <c r="E51" s="1451">
        <v>0.079</v>
      </c>
      <c r="F51" s="1450">
        <v>119.0</v>
      </c>
      <c r="G51" s="1449">
        <v>0.425</v>
      </c>
      <c r="H51" s="1450">
        <v>8.0</v>
      </c>
      <c r="I51" s="1450">
        <v>0.029</v>
      </c>
      <c r="J51" s="1450">
        <v>280.0</v>
      </c>
      <c r="K51" s="1450"/>
      <c r="L51" s="1449"/>
      <c r="M51" s="1449"/>
      <c r="N51" s="1450"/>
      <c r="O51" s="1450"/>
      <c r="P51" s="1449"/>
      <c r="Q51" s="477"/>
      <c r="R51" s="1450"/>
      <c r="S51" s="1449"/>
      <c r="T51" s="1450"/>
      <c r="U51" s="1449"/>
      <c r="V51" s="1451"/>
      <c r="W51" s="1451"/>
      <c r="X51" s="1449"/>
      <c r="Y51" s="1448">
        <f t="shared" si="2"/>
        <v>0</v>
      </c>
    </row>
    <row r="52">
      <c r="A52" s="1226" t="s">
        <v>2364</v>
      </c>
      <c r="B52" s="1449">
        <v>7.0</v>
      </c>
      <c r="C52" s="1449">
        <v>0.292</v>
      </c>
      <c r="D52" s="1449">
        <v>5.0</v>
      </c>
      <c r="E52" s="1451">
        <v>0.208</v>
      </c>
      <c r="F52" s="1450">
        <v>9.0</v>
      </c>
      <c r="G52" s="1449">
        <v>0.375</v>
      </c>
      <c r="H52" s="1450">
        <v>3.0</v>
      </c>
      <c r="I52" s="1450">
        <v>0.125</v>
      </c>
      <c r="J52" s="1450">
        <v>24.0</v>
      </c>
      <c r="K52" s="1450"/>
      <c r="L52" s="1449"/>
      <c r="M52" s="1449"/>
      <c r="N52" s="1450"/>
      <c r="O52" s="1450"/>
      <c r="P52" s="1449"/>
      <c r="Q52" s="477"/>
      <c r="R52" s="1450"/>
      <c r="S52" s="1449"/>
      <c r="T52" s="1450"/>
      <c r="U52" s="1449"/>
      <c r="V52" s="1451"/>
      <c r="W52" s="1451"/>
      <c r="X52" s="1449"/>
      <c r="Y52" s="1448">
        <f t="shared" si="2"/>
        <v>0</v>
      </c>
    </row>
    <row r="53">
      <c r="A53" s="1226" t="s">
        <v>2365</v>
      </c>
      <c r="B53" s="1449">
        <v>2.0</v>
      </c>
      <c r="C53" s="1449">
        <v>0.286</v>
      </c>
      <c r="D53" s="1449">
        <v>2.0</v>
      </c>
      <c r="E53" s="1451">
        <v>0.286</v>
      </c>
      <c r="F53" s="1450">
        <v>1.0</v>
      </c>
      <c r="G53" s="1449">
        <v>0.143</v>
      </c>
      <c r="H53" s="1450">
        <v>2.0</v>
      </c>
      <c r="I53" s="1450">
        <v>0.286</v>
      </c>
      <c r="J53" s="1450">
        <v>7.0</v>
      </c>
      <c r="K53" s="1450"/>
      <c r="L53" s="1449"/>
      <c r="M53" s="1449"/>
      <c r="N53" s="1450"/>
      <c r="O53" s="1450"/>
      <c r="P53" s="1449"/>
      <c r="Q53" s="477"/>
      <c r="R53" s="1449"/>
      <c r="S53" s="1449"/>
      <c r="T53" s="1450"/>
      <c r="U53" s="1449"/>
      <c r="V53" s="1451"/>
      <c r="W53" s="1449"/>
      <c r="X53" s="1449"/>
      <c r="Y53" s="1448">
        <f t="shared" si="2"/>
        <v>0</v>
      </c>
    </row>
    <row r="54">
      <c r="A54" s="1226" t="s">
        <v>473</v>
      </c>
      <c r="B54" s="1449">
        <v>15.0</v>
      </c>
      <c r="C54" s="1449">
        <v>0.429</v>
      </c>
      <c r="D54" s="1449">
        <v>1.0</v>
      </c>
      <c r="E54" s="1451">
        <v>0.029</v>
      </c>
      <c r="F54" s="1450">
        <v>15.0</v>
      </c>
      <c r="G54" s="1449">
        <v>0.429</v>
      </c>
      <c r="H54" s="1450">
        <v>4.0</v>
      </c>
      <c r="I54" s="1450">
        <v>0.114</v>
      </c>
      <c r="J54" s="1450">
        <v>35.0</v>
      </c>
      <c r="K54" s="1450"/>
      <c r="L54" s="1449"/>
      <c r="M54" s="1449"/>
      <c r="N54" s="1450"/>
      <c r="O54" s="1450"/>
      <c r="P54" s="1449"/>
      <c r="Q54" s="477"/>
      <c r="R54" s="1449"/>
      <c r="S54" s="1449"/>
      <c r="T54" s="1450"/>
      <c r="U54" s="1449"/>
      <c r="V54" s="1451"/>
      <c r="W54" s="1449"/>
      <c r="X54" s="1449"/>
      <c r="Y54" s="1448">
        <f t="shared" si="2"/>
        <v>0</v>
      </c>
    </row>
    <row r="55">
      <c r="A55" s="1226" t="s">
        <v>302</v>
      </c>
      <c r="B55" s="1449">
        <v>19.0</v>
      </c>
      <c r="C55" s="1449">
        <v>0.475</v>
      </c>
      <c r="D55" s="1449">
        <v>5.0</v>
      </c>
      <c r="E55" s="1451">
        <v>0.125</v>
      </c>
      <c r="F55" s="1450">
        <v>9.0</v>
      </c>
      <c r="G55" s="1449">
        <v>0.225</v>
      </c>
      <c r="H55" s="1450">
        <v>7.0</v>
      </c>
      <c r="I55" s="1450">
        <v>0.175</v>
      </c>
      <c r="J55" s="1450">
        <v>40.0</v>
      </c>
      <c r="K55" s="1450"/>
      <c r="L55" s="1449"/>
      <c r="M55" s="1449"/>
      <c r="N55" s="1450"/>
      <c r="O55" s="1450"/>
      <c r="P55" s="1449"/>
      <c r="Q55" s="477"/>
      <c r="R55" s="1449"/>
      <c r="S55" s="1449"/>
      <c r="T55" s="1450"/>
      <c r="U55" s="1449"/>
      <c r="V55" s="1451"/>
      <c r="W55" s="1449"/>
      <c r="X55" s="1449"/>
      <c r="Y55" s="1448">
        <f t="shared" si="2"/>
        <v>0</v>
      </c>
    </row>
    <row r="56">
      <c r="A56" s="1226" t="s">
        <v>1694</v>
      </c>
      <c r="B56" s="1449">
        <v>49.0</v>
      </c>
      <c r="C56" s="1449">
        <v>0.476</v>
      </c>
      <c r="D56" s="1449">
        <v>6.0</v>
      </c>
      <c r="E56" s="1451">
        <v>0.058</v>
      </c>
      <c r="F56" s="1450">
        <v>48.0</v>
      </c>
      <c r="G56" s="1449">
        <v>0.466</v>
      </c>
      <c r="H56" s="1450">
        <v>0.0</v>
      </c>
      <c r="I56" s="1450">
        <v>0.0</v>
      </c>
      <c r="J56" s="1450">
        <v>103.0</v>
      </c>
      <c r="K56" s="1450"/>
      <c r="L56" s="1449"/>
      <c r="M56" s="1449"/>
      <c r="N56" s="1450"/>
      <c r="O56" s="1450"/>
      <c r="P56" s="1449"/>
      <c r="Q56" s="477"/>
      <c r="R56" s="1449"/>
      <c r="S56" s="1449"/>
      <c r="T56" s="1450"/>
      <c r="U56" s="1449"/>
      <c r="V56" s="1451"/>
      <c r="W56" s="1449"/>
      <c r="X56" s="1449"/>
      <c r="Y56" s="1448">
        <f t="shared" si="2"/>
        <v>0</v>
      </c>
    </row>
    <row r="57">
      <c r="A57" s="1226" t="s">
        <v>2366</v>
      </c>
      <c r="B57" s="1449">
        <v>5.0</v>
      </c>
      <c r="C57" s="1449">
        <v>0.238</v>
      </c>
      <c r="D57" s="1449">
        <v>3.0</v>
      </c>
      <c r="E57" s="1451">
        <v>0.143</v>
      </c>
      <c r="F57" s="1450">
        <v>12.0</v>
      </c>
      <c r="G57" s="1449">
        <v>0.571</v>
      </c>
      <c r="H57" s="1450">
        <v>1.0</v>
      </c>
      <c r="I57" s="1450">
        <v>0.048</v>
      </c>
      <c r="J57" s="1450">
        <v>21.0</v>
      </c>
      <c r="K57" s="1450"/>
      <c r="L57" s="1449"/>
      <c r="M57" s="1449"/>
      <c r="N57" s="1450"/>
      <c r="O57" s="1450"/>
      <c r="P57" s="1449"/>
      <c r="Q57" s="477"/>
      <c r="R57" s="1449"/>
      <c r="S57" s="1449"/>
      <c r="T57" s="1450"/>
      <c r="U57" s="1449"/>
      <c r="V57" s="1451"/>
      <c r="W57" s="1449"/>
      <c r="X57" s="1449"/>
      <c r="Y57" s="1448">
        <f t="shared" si="2"/>
        <v>0</v>
      </c>
    </row>
    <row r="58">
      <c r="A58" s="1226" t="s">
        <v>2367</v>
      </c>
      <c r="B58" s="1449">
        <v>57.0</v>
      </c>
      <c r="C58" s="1449">
        <v>0.388</v>
      </c>
      <c r="D58" s="1449">
        <v>11.0</v>
      </c>
      <c r="E58" s="1451">
        <v>0.075</v>
      </c>
      <c r="F58" s="1450">
        <v>69.0</v>
      </c>
      <c r="G58" s="1449">
        <v>0.469</v>
      </c>
      <c r="H58" s="1450">
        <v>10.0</v>
      </c>
      <c r="I58" s="1450">
        <v>0.068</v>
      </c>
      <c r="J58" s="1450">
        <v>147.0</v>
      </c>
      <c r="K58" s="1450"/>
      <c r="L58" s="1449"/>
      <c r="M58" s="1449"/>
      <c r="N58" s="1450"/>
      <c r="O58" s="1450"/>
      <c r="P58" s="1449"/>
      <c r="Q58" s="477"/>
      <c r="R58" s="1449"/>
      <c r="S58" s="1449"/>
      <c r="T58" s="1450"/>
      <c r="U58" s="1449"/>
      <c r="V58" s="1451"/>
      <c r="W58" s="1449"/>
      <c r="X58" s="1449"/>
      <c r="Y58" s="1448">
        <f t="shared" si="2"/>
        <v>0</v>
      </c>
    </row>
    <row r="59">
      <c r="A59" s="1226" t="s">
        <v>743</v>
      </c>
      <c r="B59" s="1450">
        <v>13.0</v>
      </c>
      <c r="C59" s="1449">
        <v>0.65</v>
      </c>
      <c r="D59" s="1451">
        <v>2.0</v>
      </c>
      <c r="E59" s="1451">
        <v>0.1</v>
      </c>
      <c r="F59" s="1449">
        <v>5.0</v>
      </c>
      <c r="G59" s="1449">
        <v>0.25</v>
      </c>
      <c r="H59" s="1450">
        <v>0.0</v>
      </c>
      <c r="I59" s="1450">
        <v>0.0</v>
      </c>
      <c r="J59" s="1450">
        <v>20.0</v>
      </c>
      <c r="K59" s="1450"/>
      <c r="L59" s="1449"/>
      <c r="M59" s="1449"/>
      <c r="N59" s="1449"/>
      <c r="O59" s="1450"/>
      <c r="P59" s="1449"/>
      <c r="Q59" s="477"/>
      <c r="R59" s="1449"/>
      <c r="S59" s="1449"/>
      <c r="T59" s="1450"/>
      <c r="U59" s="1449"/>
      <c r="V59" s="1451"/>
      <c r="W59" s="1449"/>
      <c r="X59" s="1449"/>
      <c r="Y59" s="1448">
        <f t="shared" si="2"/>
        <v>0</v>
      </c>
    </row>
    <row r="60">
      <c r="A60" s="1226" t="s">
        <v>1341</v>
      </c>
      <c r="B60" s="1450">
        <v>64.0</v>
      </c>
      <c r="C60" s="1449">
        <v>0.457</v>
      </c>
      <c r="D60" s="1451">
        <v>15.0</v>
      </c>
      <c r="E60" s="1451">
        <v>0.107</v>
      </c>
      <c r="F60" s="1449">
        <v>54.0</v>
      </c>
      <c r="G60" s="1449">
        <v>0.386</v>
      </c>
      <c r="H60" s="1450">
        <v>7.0</v>
      </c>
      <c r="I60" s="1450">
        <v>0.05</v>
      </c>
      <c r="J60" s="1450">
        <v>140.0</v>
      </c>
      <c r="K60" s="1450"/>
      <c r="L60" s="1449"/>
      <c r="M60" s="1449"/>
      <c r="N60" s="1449"/>
      <c r="O60" s="1450"/>
      <c r="P60" s="1449"/>
      <c r="Q60" s="477"/>
      <c r="R60" s="1449"/>
      <c r="S60" s="1449"/>
      <c r="T60" s="1450"/>
      <c r="U60" s="1449"/>
      <c r="V60" s="1451"/>
      <c r="W60" s="1449"/>
      <c r="X60" s="1449"/>
      <c r="Y60" s="1448">
        <f t="shared" si="2"/>
        <v>0</v>
      </c>
    </row>
    <row r="61">
      <c r="A61" s="1226" t="s">
        <v>2139</v>
      </c>
      <c r="B61" s="1450">
        <v>11.0</v>
      </c>
      <c r="C61" s="1449">
        <v>0.393</v>
      </c>
      <c r="D61" s="1451">
        <v>0.0</v>
      </c>
      <c r="E61" s="1451">
        <v>0.0</v>
      </c>
      <c r="F61" s="1449">
        <v>15.0</v>
      </c>
      <c r="G61" s="1449">
        <v>0.536</v>
      </c>
      <c r="H61" s="1450">
        <v>2.0</v>
      </c>
      <c r="I61" s="1450">
        <v>0.071</v>
      </c>
      <c r="J61" s="1450">
        <v>28.0</v>
      </c>
      <c r="K61" s="1450"/>
      <c r="L61" s="1449"/>
      <c r="M61" s="1449"/>
      <c r="N61" s="1449"/>
      <c r="O61" s="1450"/>
      <c r="P61" s="1449"/>
      <c r="Q61" s="477"/>
      <c r="R61" s="1449"/>
      <c r="S61" s="1449"/>
      <c r="T61" s="1450"/>
      <c r="U61" s="1449"/>
      <c r="V61" s="1451"/>
      <c r="W61" s="1449"/>
      <c r="X61" s="1449"/>
      <c r="Y61" s="1448">
        <f t="shared" si="2"/>
        <v>0</v>
      </c>
    </row>
    <row r="62">
      <c r="A62" s="1226" t="s">
        <v>4244</v>
      </c>
      <c r="B62" s="1450">
        <v>40.0</v>
      </c>
      <c r="C62" s="1449">
        <v>0.506</v>
      </c>
      <c r="D62" s="1451">
        <v>4.0</v>
      </c>
      <c r="E62" s="1451">
        <v>0.051</v>
      </c>
      <c r="F62" s="1449">
        <v>29.0</v>
      </c>
      <c r="G62" s="1449">
        <v>0.367</v>
      </c>
      <c r="H62" s="1450">
        <v>6.0</v>
      </c>
      <c r="I62" s="1450">
        <v>0.076</v>
      </c>
      <c r="J62" s="1450">
        <v>79.0</v>
      </c>
      <c r="K62" s="1450"/>
      <c r="L62" s="1449"/>
      <c r="M62" s="1449"/>
      <c r="N62" s="1449"/>
      <c r="O62" s="1450"/>
      <c r="P62" s="1449"/>
      <c r="Q62" s="477"/>
      <c r="R62" s="1449"/>
      <c r="S62" s="1449"/>
      <c r="T62" s="1450"/>
      <c r="U62" s="1449"/>
      <c r="V62" s="1451"/>
      <c r="W62" s="1449"/>
      <c r="X62" s="1449"/>
      <c r="Y62" s="1448">
        <f t="shared" si="2"/>
        <v>0</v>
      </c>
    </row>
    <row r="63">
      <c r="A63" s="1226" t="s">
        <v>2369</v>
      </c>
      <c r="B63" s="1450">
        <v>26.0</v>
      </c>
      <c r="C63" s="1449">
        <v>0.531</v>
      </c>
      <c r="D63" s="1451">
        <v>3.0</v>
      </c>
      <c r="E63" s="1451">
        <v>0.061</v>
      </c>
      <c r="F63" s="1449">
        <v>20.0</v>
      </c>
      <c r="G63" s="1449">
        <v>0.408</v>
      </c>
      <c r="H63" s="1450">
        <v>0.0</v>
      </c>
      <c r="I63" s="1450">
        <v>0.0</v>
      </c>
      <c r="J63" s="1450">
        <v>49.0</v>
      </c>
      <c r="K63" s="1450"/>
      <c r="L63" s="1449"/>
      <c r="M63" s="1449"/>
      <c r="N63" s="1449"/>
      <c r="O63" s="1450"/>
      <c r="P63" s="1449"/>
      <c r="Q63" s="477"/>
      <c r="R63" s="1449"/>
      <c r="S63" s="1449"/>
      <c r="T63" s="1450"/>
      <c r="U63" s="1449"/>
      <c r="V63" s="1451"/>
      <c r="W63" s="1449"/>
      <c r="X63" s="1449"/>
      <c r="Y63" s="1448">
        <f t="shared" si="2"/>
        <v>0</v>
      </c>
    </row>
    <row r="64">
      <c r="A64" s="1226" t="s">
        <v>2370</v>
      </c>
      <c r="B64" s="1450">
        <v>21.0</v>
      </c>
      <c r="C64" s="1449">
        <v>0.677</v>
      </c>
      <c r="D64" s="1451">
        <v>4.0</v>
      </c>
      <c r="E64" s="1451">
        <v>0.129</v>
      </c>
      <c r="F64" s="1449">
        <v>6.0</v>
      </c>
      <c r="G64" s="1449">
        <v>0.194</v>
      </c>
      <c r="H64" s="1450">
        <v>0.0</v>
      </c>
      <c r="I64" s="1450">
        <v>0.0</v>
      </c>
      <c r="J64" s="1450">
        <v>31.0</v>
      </c>
      <c r="K64" s="1450"/>
      <c r="L64" s="1449"/>
      <c r="M64" s="1449"/>
      <c r="N64" s="1449"/>
      <c r="O64" s="1450"/>
      <c r="P64" s="1449"/>
      <c r="Q64" s="477"/>
      <c r="R64" s="1449"/>
      <c r="S64" s="1449"/>
      <c r="T64" s="1450"/>
      <c r="U64" s="1449"/>
      <c r="V64" s="1451"/>
      <c r="W64" s="1449"/>
      <c r="X64" s="1449"/>
      <c r="Y64" s="1448">
        <f t="shared" si="2"/>
        <v>0</v>
      </c>
    </row>
    <row r="65">
      <c r="A65" s="1226" t="s">
        <v>2371</v>
      </c>
      <c r="B65" s="1450">
        <v>8.0</v>
      </c>
      <c r="C65" s="1449">
        <v>0.222</v>
      </c>
      <c r="D65" s="1451">
        <v>1.0</v>
      </c>
      <c r="E65" s="1451">
        <v>0.028</v>
      </c>
      <c r="F65" s="1449">
        <v>25.0</v>
      </c>
      <c r="G65" s="1449">
        <v>0.694</v>
      </c>
      <c r="H65" s="1450">
        <v>2.0</v>
      </c>
      <c r="I65" s="1450">
        <v>0.056</v>
      </c>
      <c r="J65" s="1450">
        <v>36.0</v>
      </c>
      <c r="K65" s="1450"/>
      <c r="L65" s="1449"/>
      <c r="M65" s="1449"/>
      <c r="N65" s="1449"/>
      <c r="O65" s="1450"/>
      <c r="P65" s="1449"/>
      <c r="Q65" s="477"/>
      <c r="R65" s="1449"/>
      <c r="S65" s="1449"/>
      <c r="T65" s="1450"/>
      <c r="U65" s="1449"/>
      <c r="V65" s="1451"/>
      <c r="W65" s="1449"/>
      <c r="X65" s="1449"/>
      <c r="Y65" s="1448">
        <f t="shared" si="2"/>
        <v>0</v>
      </c>
    </row>
    <row r="66">
      <c r="A66" s="1226" t="s">
        <v>2372</v>
      </c>
      <c r="B66" s="1450">
        <v>69.0</v>
      </c>
      <c r="C66" s="1449">
        <v>0.46</v>
      </c>
      <c r="D66" s="1451">
        <v>20.0</v>
      </c>
      <c r="E66" s="1451">
        <v>0.133</v>
      </c>
      <c r="F66" s="1449">
        <v>57.0</v>
      </c>
      <c r="G66" s="1449">
        <v>0.38</v>
      </c>
      <c r="H66" s="1450">
        <v>4.0</v>
      </c>
      <c r="I66" s="1450">
        <v>0.027</v>
      </c>
      <c r="J66" s="1450">
        <v>150.0</v>
      </c>
      <c r="K66" s="1450"/>
      <c r="L66" s="1449"/>
      <c r="M66" s="1449"/>
      <c r="N66" s="1449"/>
      <c r="O66" s="1450"/>
      <c r="P66" s="1449"/>
      <c r="Q66" s="477"/>
      <c r="R66" s="1449"/>
      <c r="S66" s="1449"/>
      <c r="T66" s="1450"/>
      <c r="U66" s="1449"/>
      <c r="V66" s="1451"/>
      <c r="W66" s="1449"/>
      <c r="X66" s="1449"/>
      <c r="Y66" s="1448">
        <f t="shared" si="2"/>
        <v>0</v>
      </c>
    </row>
    <row r="67">
      <c r="A67" s="1226" t="s">
        <v>4254</v>
      </c>
      <c r="B67" s="1450">
        <v>283.0</v>
      </c>
      <c r="C67" s="1449">
        <v>0.802</v>
      </c>
      <c r="D67" s="1451">
        <v>3.0</v>
      </c>
      <c r="E67" s="1451">
        <v>0.008</v>
      </c>
      <c r="F67" s="1449">
        <v>67.0</v>
      </c>
      <c r="G67" s="1449">
        <v>0.19</v>
      </c>
      <c r="H67" s="1450">
        <v>0.0</v>
      </c>
      <c r="I67" s="1450">
        <v>0.0</v>
      </c>
      <c r="J67" s="1450">
        <v>353.0</v>
      </c>
      <c r="K67" s="1450"/>
      <c r="L67" s="1449"/>
      <c r="M67" s="1449"/>
      <c r="N67" s="1449"/>
      <c r="O67" s="1450"/>
      <c r="P67" s="1449"/>
      <c r="Q67" s="477"/>
      <c r="R67" s="1449"/>
      <c r="S67" s="1449"/>
      <c r="T67" s="1450"/>
      <c r="U67" s="1449"/>
      <c r="V67" s="1451"/>
      <c r="W67" s="1449"/>
      <c r="X67" s="1449"/>
      <c r="Y67" s="1448">
        <f t="shared" si="2"/>
        <v>0</v>
      </c>
    </row>
    <row r="68">
      <c r="A68" s="1226" t="s">
        <v>526</v>
      </c>
      <c r="B68" s="1450">
        <v>2.0</v>
      </c>
      <c r="C68" s="1449">
        <v>0.111</v>
      </c>
      <c r="D68" s="1451">
        <v>3.0</v>
      </c>
      <c r="E68" s="1451">
        <v>0.167</v>
      </c>
      <c r="F68" s="1449">
        <v>12.0</v>
      </c>
      <c r="G68" s="1449">
        <v>0.667</v>
      </c>
      <c r="H68" s="1450">
        <v>1.0</v>
      </c>
      <c r="I68" s="1450">
        <v>0.056</v>
      </c>
      <c r="J68" s="1450">
        <v>18.0</v>
      </c>
      <c r="K68" s="1450"/>
      <c r="L68" s="1449"/>
      <c r="M68" s="1449"/>
      <c r="N68" s="1449"/>
      <c r="O68" s="1450"/>
      <c r="P68" s="1449"/>
      <c r="Q68" s="477"/>
      <c r="R68" s="1449"/>
      <c r="S68" s="1449"/>
      <c r="T68" s="1450"/>
      <c r="U68" s="1449"/>
      <c r="V68" s="1451"/>
      <c r="W68" s="1449"/>
      <c r="X68" s="1449"/>
      <c r="Y68" s="1448">
        <f t="shared" si="2"/>
        <v>0</v>
      </c>
    </row>
    <row r="69">
      <c r="A69" s="1226" t="s">
        <v>2373</v>
      </c>
      <c r="B69" s="1450">
        <v>8.0</v>
      </c>
      <c r="C69" s="1449">
        <v>0.421</v>
      </c>
      <c r="D69" s="1451">
        <v>1.0</v>
      </c>
      <c r="E69" s="1451">
        <v>0.053</v>
      </c>
      <c r="F69" s="1449">
        <v>10.0</v>
      </c>
      <c r="G69" s="1449">
        <v>0.526</v>
      </c>
      <c r="H69" s="1450">
        <v>0.0</v>
      </c>
      <c r="I69" s="1450">
        <v>0.0</v>
      </c>
      <c r="J69" s="1450">
        <v>19.0</v>
      </c>
      <c r="K69" s="1450"/>
      <c r="L69" s="1449"/>
      <c r="M69" s="1449"/>
      <c r="N69" s="1449"/>
      <c r="O69" s="1450"/>
      <c r="P69" s="1449"/>
      <c r="Q69" s="477"/>
      <c r="R69" s="1449"/>
      <c r="S69" s="1449"/>
      <c r="T69" s="1450"/>
      <c r="U69" s="1449"/>
      <c r="V69" s="1451"/>
      <c r="W69" s="1449"/>
      <c r="X69" s="1449"/>
      <c r="Y69" s="1448">
        <f t="shared" si="2"/>
        <v>0</v>
      </c>
    </row>
    <row r="70">
      <c r="A70" s="1226" t="s">
        <v>1181</v>
      </c>
      <c r="B70" s="1450">
        <v>11.0</v>
      </c>
      <c r="C70" s="1449">
        <v>0.44</v>
      </c>
      <c r="D70" s="1451">
        <v>2.0</v>
      </c>
      <c r="E70" s="1451">
        <v>0.08</v>
      </c>
      <c r="F70" s="1449">
        <v>11.0</v>
      </c>
      <c r="G70" s="1449">
        <v>0.44</v>
      </c>
      <c r="H70" s="1450">
        <v>1.0</v>
      </c>
      <c r="I70" s="1450">
        <v>0.04</v>
      </c>
      <c r="J70" s="1450">
        <v>25.0</v>
      </c>
      <c r="K70" s="1450"/>
      <c r="L70" s="1449"/>
      <c r="M70" s="1449"/>
      <c r="N70" s="1449"/>
      <c r="O70" s="1450"/>
      <c r="P70" s="1449"/>
      <c r="Q70" s="477"/>
      <c r="R70" s="1449"/>
      <c r="S70" s="1449"/>
      <c r="T70" s="1450"/>
      <c r="U70" s="1449"/>
      <c r="V70" s="1451"/>
      <c r="W70" s="1449"/>
      <c r="X70" s="1449"/>
      <c r="Y70" s="1448">
        <f t="shared" si="2"/>
        <v>0</v>
      </c>
    </row>
    <row r="71">
      <c r="A71" s="1226" t="s">
        <v>2374</v>
      </c>
      <c r="B71" s="1450">
        <v>34.0</v>
      </c>
      <c r="C71" s="1449">
        <v>0.618</v>
      </c>
      <c r="D71" s="1451">
        <v>7.0</v>
      </c>
      <c r="E71" s="1451">
        <v>0.127</v>
      </c>
      <c r="F71" s="1449">
        <v>13.0</v>
      </c>
      <c r="G71" s="1449">
        <v>0.236</v>
      </c>
      <c r="H71" s="1450">
        <v>1.0</v>
      </c>
      <c r="I71" s="1450">
        <v>0.018</v>
      </c>
      <c r="J71" s="1450">
        <v>55.0</v>
      </c>
      <c r="K71" s="1450"/>
      <c r="L71" s="1449"/>
      <c r="M71" s="1449"/>
      <c r="N71" s="1449"/>
      <c r="O71" s="1450"/>
      <c r="P71" s="1449"/>
      <c r="Q71" s="477"/>
      <c r="R71" s="1449"/>
      <c r="S71" s="1449"/>
      <c r="T71" s="1450"/>
      <c r="U71" s="1449"/>
      <c r="V71" s="1451"/>
      <c r="W71" s="1449"/>
      <c r="X71" s="1449"/>
      <c r="Y71" s="1448">
        <f t="shared" si="2"/>
        <v>0</v>
      </c>
    </row>
    <row r="72">
      <c r="A72" s="1226" t="s">
        <v>1887</v>
      </c>
      <c r="B72" s="1450">
        <v>16.0</v>
      </c>
      <c r="C72" s="1449">
        <v>0.286</v>
      </c>
      <c r="D72" s="1451">
        <v>9.0</v>
      </c>
      <c r="E72" s="1451">
        <v>0.161</v>
      </c>
      <c r="F72" s="1449">
        <v>29.0</v>
      </c>
      <c r="G72" s="1449">
        <v>0.518</v>
      </c>
      <c r="H72" s="1450">
        <v>2.0</v>
      </c>
      <c r="I72" s="1450">
        <v>0.036</v>
      </c>
      <c r="J72" s="1450">
        <v>56.0</v>
      </c>
      <c r="K72" s="1450"/>
      <c r="L72" s="1449"/>
      <c r="M72" s="1449"/>
      <c r="N72" s="1449"/>
      <c r="O72" s="1450"/>
      <c r="P72" s="1449"/>
      <c r="Q72" s="477"/>
      <c r="R72" s="1449"/>
      <c r="S72" s="1449"/>
      <c r="T72" s="1450"/>
      <c r="U72" s="1449"/>
      <c r="V72" s="1451"/>
      <c r="W72" s="1449"/>
      <c r="X72" s="1449"/>
      <c r="Y72" s="1448">
        <f t="shared" si="2"/>
        <v>0</v>
      </c>
    </row>
    <row r="73">
      <c r="A73" s="1226" t="s">
        <v>2375</v>
      </c>
      <c r="B73" s="1450">
        <v>4.0</v>
      </c>
      <c r="C73" s="1449">
        <v>0.235</v>
      </c>
      <c r="D73" s="1451">
        <v>4.0</v>
      </c>
      <c r="E73" s="1451">
        <v>0.235</v>
      </c>
      <c r="F73" s="1449">
        <v>7.0</v>
      </c>
      <c r="G73" s="1449">
        <v>0.412</v>
      </c>
      <c r="H73" s="1450">
        <v>2.0</v>
      </c>
      <c r="I73" s="1450">
        <v>0.118</v>
      </c>
      <c r="J73" s="1450">
        <v>17.0</v>
      </c>
      <c r="K73" s="1450"/>
      <c r="L73" s="1449"/>
      <c r="M73" s="1449"/>
      <c r="N73" s="1449"/>
      <c r="O73" s="1450"/>
      <c r="P73" s="1449"/>
      <c r="Q73" s="477"/>
      <c r="R73" s="1449"/>
      <c r="S73" s="1449"/>
      <c r="T73" s="1450"/>
      <c r="U73" s="1449"/>
      <c r="V73" s="1451"/>
      <c r="W73" s="1449"/>
      <c r="X73" s="1449"/>
      <c r="Y73" s="1448">
        <f t="shared" si="2"/>
        <v>0</v>
      </c>
    </row>
    <row r="74">
      <c r="A74" s="1226" t="s">
        <v>119</v>
      </c>
      <c r="B74" s="1450">
        <v>37.0</v>
      </c>
      <c r="C74" s="1449">
        <v>0.487</v>
      </c>
      <c r="D74" s="1451">
        <v>17.0</v>
      </c>
      <c r="E74" s="1451">
        <v>0.224</v>
      </c>
      <c r="F74" s="1449">
        <v>21.0</v>
      </c>
      <c r="G74" s="1449">
        <v>0.276</v>
      </c>
      <c r="H74" s="1450">
        <v>1.0</v>
      </c>
      <c r="I74" s="1450">
        <v>0.013</v>
      </c>
      <c r="J74" s="1450">
        <v>76.0</v>
      </c>
      <c r="K74" s="1450"/>
      <c r="L74" s="1449"/>
      <c r="M74" s="1449"/>
      <c r="N74" s="1449"/>
      <c r="O74" s="1450"/>
      <c r="P74" s="1449"/>
      <c r="Q74" s="477"/>
      <c r="R74" s="1449"/>
      <c r="S74" s="1449"/>
      <c r="T74" s="1450"/>
      <c r="U74" s="1449"/>
      <c r="V74" s="1451"/>
      <c r="W74" s="1449"/>
      <c r="X74" s="1449"/>
      <c r="Y74" s="1448">
        <f t="shared" si="2"/>
        <v>0</v>
      </c>
    </row>
    <row r="75">
      <c r="A75" s="1226" t="s">
        <v>2376</v>
      </c>
      <c r="B75" s="1450">
        <v>44.0</v>
      </c>
      <c r="C75" s="1449">
        <v>0.454</v>
      </c>
      <c r="D75" s="1451">
        <v>8.0</v>
      </c>
      <c r="E75" s="1451">
        <v>0.082</v>
      </c>
      <c r="F75" s="1449">
        <v>43.0</v>
      </c>
      <c r="G75" s="1449">
        <v>0.443</v>
      </c>
      <c r="H75" s="1450">
        <v>2.0</v>
      </c>
      <c r="I75" s="1450">
        <v>0.021</v>
      </c>
      <c r="J75" s="1450">
        <v>97.0</v>
      </c>
      <c r="K75" s="1450"/>
      <c r="L75" s="1449"/>
      <c r="M75" s="1449"/>
      <c r="N75" s="1449"/>
      <c r="O75" s="1450"/>
      <c r="P75" s="1449"/>
      <c r="Q75" s="477"/>
      <c r="R75" s="1449"/>
      <c r="S75" s="1449"/>
      <c r="T75" s="1450"/>
      <c r="U75" s="1449"/>
      <c r="V75" s="1451"/>
      <c r="W75" s="1449"/>
      <c r="X75" s="1449"/>
      <c r="Y75" s="1448">
        <f t="shared" si="2"/>
        <v>0</v>
      </c>
    </row>
    <row r="76">
      <c r="A76" s="1226" t="s">
        <v>2377</v>
      </c>
      <c r="B76" s="1450">
        <v>11.0</v>
      </c>
      <c r="C76" s="1449">
        <v>0.289</v>
      </c>
      <c r="D76" s="1451">
        <v>4.0</v>
      </c>
      <c r="E76" s="1451">
        <v>0.105</v>
      </c>
      <c r="F76" s="1449">
        <v>21.0</v>
      </c>
      <c r="G76" s="1449">
        <v>0.553</v>
      </c>
      <c r="H76" s="1450">
        <v>2.0</v>
      </c>
      <c r="I76" s="1450">
        <v>0.053</v>
      </c>
      <c r="J76" s="1450">
        <v>38.0</v>
      </c>
      <c r="K76" s="1450"/>
      <c r="L76" s="1449"/>
      <c r="M76" s="1449"/>
      <c r="N76" s="1449"/>
      <c r="O76" s="1450"/>
      <c r="P76" s="1449"/>
      <c r="Q76" s="477"/>
      <c r="R76" s="1449"/>
      <c r="S76" s="1451"/>
      <c r="T76" s="1450"/>
      <c r="U76" s="1449"/>
      <c r="V76" s="1449"/>
      <c r="W76" s="1449"/>
      <c r="X76" s="1449"/>
      <c r="Y76" s="1448">
        <f t="shared" si="2"/>
        <v>0</v>
      </c>
    </row>
    <row r="77">
      <c r="A77" s="1226" t="s">
        <v>2378</v>
      </c>
      <c r="B77" s="1450">
        <v>14.0</v>
      </c>
      <c r="C77" s="1449">
        <v>0.467</v>
      </c>
      <c r="D77" s="1451">
        <v>4.0</v>
      </c>
      <c r="E77" s="1451">
        <v>0.133</v>
      </c>
      <c r="F77" s="1449">
        <v>12.0</v>
      </c>
      <c r="G77" s="1449">
        <v>0.4</v>
      </c>
      <c r="H77" s="1450">
        <v>0.0</v>
      </c>
      <c r="I77" s="1450">
        <v>0.0</v>
      </c>
      <c r="J77" s="1450">
        <v>30.0</v>
      </c>
      <c r="K77" s="1450"/>
      <c r="L77" s="1449"/>
      <c r="M77" s="1449"/>
      <c r="N77" s="1449"/>
      <c r="O77" s="1450"/>
      <c r="P77" s="1449"/>
      <c r="Q77" s="477"/>
      <c r="R77" s="1449"/>
      <c r="S77" s="1451"/>
      <c r="T77" s="1450"/>
      <c r="U77" s="1449"/>
      <c r="V77" s="1449"/>
      <c r="W77" s="1449"/>
      <c r="X77" s="1449"/>
      <c r="Y77" s="1448">
        <f t="shared" si="2"/>
        <v>0</v>
      </c>
    </row>
    <row r="78">
      <c r="A78" s="1226" t="s">
        <v>753</v>
      </c>
      <c r="B78" s="1450">
        <v>68.0</v>
      </c>
      <c r="C78" s="1449">
        <v>0.636</v>
      </c>
      <c r="D78" s="1451">
        <v>6.0</v>
      </c>
      <c r="E78" s="1451">
        <v>0.056</v>
      </c>
      <c r="F78" s="1449">
        <v>30.0</v>
      </c>
      <c r="G78" s="1449">
        <v>0.28</v>
      </c>
      <c r="H78" s="1450">
        <v>3.0</v>
      </c>
      <c r="I78" s="1450">
        <v>0.028</v>
      </c>
      <c r="J78" s="1450">
        <v>107.0</v>
      </c>
      <c r="K78" s="1450"/>
      <c r="L78" s="1449"/>
      <c r="M78" s="1449"/>
      <c r="N78" s="1449"/>
      <c r="O78" s="1450"/>
      <c r="P78" s="1449"/>
      <c r="Q78" s="477"/>
      <c r="R78" s="1449"/>
      <c r="S78" s="1451"/>
      <c r="T78" s="1450"/>
      <c r="U78" s="1449"/>
      <c r="V78" s="1449"/>
      <c r="W78" s="1449"/>
      <c r="X78" s="1449"/>
      <c r="Y78" s="1448">
        <f t="shared" si="2"/>
        <v>0</v>
      </c>
    </row>
    <row r="79">
      <c r="A79" s="1226" t="s">
        <v>1703</v>
      </c>
      <c r="B79" s="1450">
        <v>70.0</v>
      </c>
      <c r="C79" s="1449">
        <v>0.593</v>
      </c>
      <c r="D79" s="1451">
        <v>5.0</v>
      </c>
      <c r="E79" s="1451">
        <v>0.042</v>
      </c>
      <c r="F79" s="1449">
        <v>38.0</v>
      </c>
      <c r="G79" s="1449">
        <v>0.322</v>
      </c>
      <c r="H79" s="1450">
        <v>5.0</v>
      </c>
      <c r="I79" s="1450">
        <v>0.042</v>
      </c>
      <c r="J79" s="1450">
        <v>118.0</v>
      </c>
      <c r="K79" s="1450"/>
      <c r="L79" s="1449"/>
      <c r="M79" s="1449"/>
      <c r="N79" s="1449"/>
      <c r="O79" s="1450"/>
      <c r="P79" s="1449"/>
      <c r="Q79" s="477"/>
      <c r="R79" s="1449"/>
      <c r="S79" s="1451"/>
      <c r="T79" s="1450"/>
      <c r="U79" s="1449"/>
      <c r="V79" s="1449"/>
      <c r="W79" s="1449"/>
      <c r="X79" s="1449"/>
      <c r="Y79" s="1448">
        <f t="shared" si="2"/>
        <v>0</v>
      </c>
    </row>
    <row r="80">
      <c r="C80" s="161"/>
      <c r="Y80" s="367"/>
    </row>
    <row r="81">
      <c r="C81" s="161"/>
      <c r="Y81" s="367"/>
    </row>
    <row r="82">
      <c r="A82" s="322"/>
      <c r="B82" s="320" t="s">
        <v>1651</v>
      </c>
      <c r="C82" s="320" t="s">
        <v>3711</v>
      </c>
      <c r="D82" s="320" t="s">
        <v>4255</v>
      </c>
      <c r="E82" s="320" t="s">
        <v>1715</v>
      </c>
      <c r="Y82" s="367"/>
    </row>
    <row r="83">
      <c r="A83" s="1117" t="s">
        <v>386</v>
      </c>
      <c r="B83" s="322">
        <f t="shared" ref="B83:B155" si="3">B7</f>
        <v>4</v>
      </c>
      <c r="C83" s="1453">
        <f t="shared" ref="C83:C155" si="4">F7</f>
        <v>1</v>
      </c>
      <c r="D83" s="322">
        <f t="shared" ref="D83:D155" si="5">D7</f>
        <v>0</v>
      </c>
      <c r="E83" s="322">
        <f t="shared" ref="E83:E155" si="6">H7</f>
        <v>0</v>
      </c>
      <c r="Y83" s="367"/>
    </row>
    <row r="84">
      <c r="A84" s="1117" t="s">
        <v>1671</v>
      </c>
      <c r="B84" s="322">
        <f t="shared" si="3"/>
        <v>15</v>
      </c>
      <c r="C84" s="1453">
        <f t="shared" si="4"/>
        <v>19</v>
      </c>
      <c r="D84" s="322">
        <f t="shared" si="5"/>
        <v>2</v>
      </c>
      <c r="E84" s="322">
        <f t="shared" si="6"/>
        <v>5</v>
      </c>
      <c r="Y84" s="367"/>
    </row>
    <row r="85">
      <c r="A85" s="1117" t="s">
        <v>2347</v>
      </c>
      <c r="B85" s="322">
        <f t="shared" si="3"/>
        <v>33</v>
      </c>
      <c r="C85" s="1453">
        <f t="shared" si="4"/>
        <v>35</v>
      </c>
      <c r="D85" s="322">
        <f t="shared" si="5"/>
        <v>3</v>
      </c>
      <c r="E85" s="322">
        <f t="shared" si="6"/>
        <v>8</v>
      </c>
      <c r="Y85" s="367"/>
    </row>
    <row r="86">
      <c r="A86" s="1117" t="s">
        <v>2348</v>
      </c>
      <c r="B86" s="322">
        <f t="shared" si="3"/>
        <v>11</v>
      </c>
      <c r="C86" s="1453">
        <f t="shared" si="4"/>
        <v>36</v>
      </c>
      <c r="D86" s="322">
        <f t="shared" si="5"/>
        <v>2</v>
      </c>
      <c r="E86" s="322">
        <f t="shared" si="6"/>
        <v>0</v>
      </c>
      <c r="Y86" s="367"/>
    </row>
    <row r="87">
      <c r="A87" s="1117" t="s">
        <v>706</v>
      </c>
      <c r="B87" s="322">
        <f t="shared" si="3"/>
        <v>145</v>
      </c>
      <c r="C87" s="1453">
        <f t="shared" si="4"/>
        <v>147</v>
      </c>
      <c r="D87" s="322">
        <f t="shared" si="5"/>
        <v>22</v>
      </c>
      <c r="E87" s="322">
        <f t="shared" si="6"/>
        <v>12</v>
      </c>
      <c r="Y87" s="367"/>
    </row>
    <row r="88">
      <c r="A88" s="1117" t="s">
        <v>1471</v>
      </c>
      <c r="B88" s="322">
        <f t="shared" si="3"/>
        <v>8</v>
      </c>
      <c r="C88" s="1453">
        <f t="shared" si="4"/>
        <v>1</v>
      </c>
      <c r="D88" s="322">
        <f t="shared" si="5"/>
        <v>0</v>
      </c>
      <c r="E88" s="322">
        <f t="shared" si="6"/>
        <v>3</v>
      </c>
      <c r="Y88" s="367"/>
    </row>
    <row r="89">
      <c r="A89" s="1117" t="s">
        <v>2349</v>
      </c>
      <c r="B89" s="322">
        <f t="shared" si="3"/>
        <v>7</v>
      </c>
      <c r="C89" s="1453">
        <f t="shared" si="4"/>
        <v>0</v>
      </c>
      <c r="D89" s="322">
        <f t="shared" si="5"/>
        <v>2</v>
      </c>
      <c r="E89" s="322">
        <f t="shared" si="6"/>
        <v>3</v>
      </c>
      <c r="Y89" s="367"/>
    </row>
    <row r="90">
      <c r="A90" s="1117" t="s">
        <v>2350</v>
      </c>
      <c r="B90" s="322">
        <f t="shared" si="3"/>
        <v>7</v>
      </c>
      <c r="C90" s="1453">
        <f t="shared" si="4"/>
        <v>11</v>
      </c>
      <c r="D90" s="322">
        <f t="shared" si="5"/>
        <v>0</v>
      </c>
      <c r="E90" s="322">
        <f t="shared" si="6"/>
        <v>1</v>
      </c>
      <c r="Y90" s="367"/>
    </row>
    <row r="91">
      <c r="A91" s="1117" t="s">
        <v>1245</v>
      </c>
      <c r="B91" s="322">
        <f t="shared" si="3"/>
        <v>62</v>
      </c>
      <c r="C91" s="1453">
        <f t="shared" si="4"/>
        <v>50</v>
      </c>
      <c r="D91" s="322">
        <f t="shared" si="5"/>
        <v>10</v>
      </c>
      <c r="E91" s="322">
        <f t="shared" si="6"/>
        <v>8</v>
      </c>
      <c r="Y91" s="367"/>
    </row>
    <row r="92">
      <c r="A92" s="1117" t="s">
        <v>253</v>
      </c>
      <c r="B92" s="322">
        <f t="shared" si="3"/>
        <v>9</v>
      </c>
      <c r="C92" s="1453">
        <f t="shared" si="4"/>
        <v>14</v>
      </c>
      <c r="D92" s="322">
        <f t="shared" si="5"/>
        <v>1</v>
      </c>
      <c r="E92" s="322">
        <f t="shared" si="6"/>
        <v>0</v>
      </c>
      <c r="Y92" s="367"/>
    </row>
    <row r="93">
      <c r="A93" s="1117" t="s">
        <v>258</v>
      </c>
      <c r="B93" s="322">
        <f t="shared" si="3"/>
        <v>14</v>
      </c>
      <c r="C93" s="1453">
        <f t="shared" si="4"/>
        <v>12</v>
      </c>
      <c r="D93" s="322">
        <f t="shared" si="5"/>
        <v>4</v>
      </c>
      <c r="E93" s="322">
        <f t="shared" si="6"/>
        <v>5</v>
      </c>
      <c r="Y93" s="367"/>
    </row>
    <row r="94">
      <c r="A94" s="1117" t="s">
        <v>263</v>
      </c>
      <c r="B94" s="322">
        <f t="shared" si="3"/>
        <v>3</v>
      </c>
      <c r="C94" s="1453">
        <f t="shared" si="4"/>
        <v>11</v>
      </c>
      <c r="D94" s="322">
        <f t="shared" si="5"/>
        <v>3</v>
      </c>
      <c r="E94" s="322">
        <f t="shared" si="6"/>
        <v>2</v>
      </c>
      <c r="Y94" s="367"/>
    </row>
    <row r="95">
      <c r="A95" s="1117" t="s">
        <v>652</v>
      </c>
      <c r="B95" s="322">
        <f t="shared" si="3"/>
        <v>118</v>
      </c>
      <c r="C95" s="1453">
        <f t="shared" si="4"/>
        <v>69</v>
      </c>
      <c r="D95" s="322">
        <f t="shared" si="5"/>
        <v>23</v>
      </c>
      <c r="E95" s="322">
        <f t="shared" si="6"/>
        <v>13</v>
      </c>
      <c r="Y95" s="367"/>
    </row>
    <row r="96">
      <c r="A96" s="1117" t="s">
        <v>564</v>
      </c>
      <c r="B96" s="322">
        <f t="shared" si="3"/>
        <v>41</v>
      </c>
      <c r="C96" s="1453">
        <f t="shared" si="4"/>
        <v>42</v>
      </c>
      <c r="D96" s="322">
        <f t="shared" si="5"/>
        <v>15</v>
      </c>
      <c r="E96" s="322">
        <f t="shared" si="6"/>
        <v>1</v>
      </c>
      <c r="Y96" s="367"/>
    </row>
    <row r="97">
      <c r="A97" s="1117" t="s">
        <v>2351</v>
      </c>
      <c r="B97" s="322">
        <f t="shared" si="3"/>
        <v>5</v>
      </c>
      <c r="C97" s="1453">
        <f t="shared" si="4"/>
        <v>9</v>
      </c>
      <c r="D97" s="322">
        <f t="shared" si="5"/>
        <v>1</v>
      </c>
      <c r="E97" s="322">
        <f t="shared" si="6"/>
        <v>0</v>
      </c>
      <c r="Y97" s="367"/>
    </row>
    <row r="98">
      <c r="A98" s="1117" t="s">
        <v>412</v>
      </c>
      <c r="B98" s="322">
        <f t="shared" si="3"/>
        <v>35</v>
      </c>
      <c r="C98" s="1453">
        <f t="shared" si="4"/>
        <v>42</v>
      </c>
      <c r="D98" s="322">
        <f t="shared" si="5"/>
        <v>4</v>
      </c>
      <c r="E98" s="322">
        <f t="shared" si="6"/>
        <v>6</v>
      </c>
      <c r="Y98" s="367"/>
    </row>
    <row r="99">
      <c r="A99" s="1117" t="s">
        <v>1649</v>
      </c>
      <c r="B99" s="322">
        <f t="shared" si="3"/>
        <v>14</v>
      </c>
      <c r="C99" s="1453">
        <f t="shared" si="4"/>
        <v>15</v>
      </c>
      <c r="D99" s="322">
        <f t="shared" si="5"/>
        <v>0</v>
      </c>
      <c r="E99" s="322">
        <f t="shared" si="6"/>
        <v>2</v>
      </c>
      <c r="Y99" s="367"/>
    </row>
    <row r="100">
      <c r="A100" s="1117" t="s">
        <v>2352</v>
      </c>
      <c r="B100" s="322">
        <f t="shared" si="3"/>
        <v>72</v>
      </c>
      <c r="C100" s="1453">
        <f t="shared" si="4"/>
        <v>36</v>
      </c>
      <c r="D100" s="322">
        <f t="shared" si="5"/>
        <v>9</v>
      </c>
      <c r="E100" s="322">
        <f t="shared" si="6"/>
        <v>2</v>
      </c>
      <c r="Y100" s="367"/>
    </row>
    <row r="101">
      <c r="A101" s="1117" t="s">
        <v>1826</v>
      </c>
      <c r="B101" s="322">
        <f t="shared" si="3"/>
        <v>1</v>
      </c>
      <c r="C101" s="1453">
        <f t="shared" si="4"/>
        <v>7</v>
      </c>
      <c r="D101" s="322">
        <f t="shared" si="5"/>
        <v>0</v>
      </c>
      <c r="E101" s="322">
        <f t="shared" si="6"/>
        <v>0</v>
      </c>
      <c r="Y101" s="367"/>
    </row>
    <row r="102">
      <c r="A102" s="1117" t="s">
        <v>2353</v>
      </c>
      <c r="B102" s="322">
        <f t="shared" si="3"/>
        <v>57</v>
      </c>
      <c r="C102" s="1453">
        <f t="shared" si="4"/>
        <v>73</v>
      </c>
      <c r="D102" s="322">
        <f t="shared" si="5"/>
        <v>15</v>
      </c>
      <c r="E102" s="322">
        <f t="shared" si="6"/>
        <v>3</v>
      </c>
      <c r="Y102" s="367"/>
    </row>
    <row r="103">
      <c r="A103" s="1117" t="s">
        <v>1793</v>
      </c>
      <c r="B103" s="322">
        <f t="shared" si="3"/>
        <v>4</v>
      </c>
      <c r="C103" s="1453">
        <f t="shared" si="4"/>
        <v>15</v>
      </c>
      <c r="D103" s="322">
        <f t="shared" si="5"/>
        <v>2</v>
      </c>
      <c r="E103" s="322">
        <f t="shared" si="6"/>
        <v>1</v>
      </c>
      <c r="Y103" s="367"/>
    </row>
    <row r="104">
      <c r="A104" s="1117" t="s">
        <v>278</v>
      </c>
      <c r="B104" s="322">
        <f t="shared" si="3"/>
        <v>13</v>
      </c>
      <c r="C104" s="1453">
        <f t="shared" si="4"/>
        <v>11</v>
      </c>
      <c r="D104" s="322">
        <f t="shared" si="5"/>
        <v>1</v>
      </c>
      <c r="E104" s="322">
        <f t="shared" si="6"/>
        <v>3</v>
      </c>
      <c r="Y104" s="367"/>
    </row>
    <row r="105">
      <c r="A105" s="1117" t="s">
        <v>1075</v>
      </c>
      <c r="B105" s="322">
        <f t="shared" si="3"/>
        <v>7</v>
      </c>
      <c r="C105" s="1453">
        <f t="shared" si="4"/>
        <v>2</v>
      </c>
      <c r="D105" s="322">
        <f t="shared" si="5"/>
        <v>2</v>
      </c>
      <c r="E105" s="322">
        <f t="shared" si="6"/>
        <v>0</v>
      </c>
      <c r="Y105" s="367"/>
    </row>
    <row r="106">
      <c r="A106" s="1117" t="s">
        <v>2354</v>
      </c>
      <c r="B106" s="322">
        <f t="shared" si="3"/>
        <v>4</v>
      </c>
      <c r="C106" s="1453">
        <f t="shared" si="4"/>
        <v>8</v>
      </c>
      <c r="D106" s="322">
        <f t="shared" si="5"/>
        <v>0</v>
      </c>
      <c r="E106" s="322">
        <f t="shared" si="6"/>
        <v>0</v>
      </c>
      <c r="Y106" s="367"/>
    </row>
    <row r="107">
      <c r="A107" s="1117" t="s">
        <v>50</v>
      </c>
      <c r="B107" s="322">
        <f t="shared" si="3"/>
        <v>1</v>
      </c>
      <c r="C107" s="1453">
        <f t="shared" si="4"/>
        <v>3</v>
      </c>
      <c r="D107" s="322">
        <f t="shared" si="5"/>
        <v>0</v>
      </c>
      <c r="E107" s="322">
        <f t="shared" si="6"/>
        <v>0</v>
      </c>
      <c r="Y107" s="367"/>
    </row>
    <row r="108">
      <c r="A108" s="1117" t="s">
        <v>1259</v>
      </c>
      <c r="B108" s="322">
        <f t="shared" si="3"/>
        <v>14</v>
      </c>
      <c r="C108" s="1453">
        <f t="shared" si="4"/>
        <v>0</v>
      </c>
      <c r="D108" s="322">
        <f t="shared" si="5"/>
        <v>2</v>
      </c>
      <c r="E108" s="322">
        <f t="shared" si="6"/>
        <v>1</v>
      </c>
      <c r="Y108" s="367"/>
    </row>
    <row r="109">
      <c r="A109" s="1117" t="s">
        <v>142</v>
      </c>
      <c r="B109" s="322">
        <f t="shared" si="3"/>
        <v>19</v>
      </c>
      <c r="C109" s="1453">
        <f t="shared" si="4"/>
        <v>25</v>
      </c>
      <c r="D109" s="322">
        <f t="shared" si="5"/>
        <v>4</v>
      </c>
      <c r="E109" s="322">
        <f t="shared" si="6"/>
        <v>1</v>
      </c>
      <c r="Y109" s="367"/>
    </row>
    <row r="110">
      <c r="A110" s="1117" t="s">
        <v>143</v>
      </c>
      <c r="B110" s="322">
        <f t="shared" si="3"/>
        <v>31</v>
      </c>
      <c r="C110" s="1453">
        <f t="shared" si="4"/>
        <v>17</v>
      </c>
      <c r="D110" s="322">
        <f t="shared" si="5"/>
        <v>6</v>
      </c>
      <c r="E110" s="322">
        <f t="shared" si="6"/>
        <v>3</v>
      </c>
      <c r="Y110" s="367"/>
    </row>
    <row r="111">
      <c r="A111" s="1117" t="s">
        <v>197</v>
      </c>
      <c r="B111" s="322">
        <f t="shared" si="3"/>
        <v>16</v>
      </c>
      <c r="C111" s="1453">
        <f t="shared" si="4"/>
        <v>8</v>
      </c>
      <c r="D111" s="322">
        <f t="shared" si="5"/>
        <v>5</v>
      </c>
      <c r="E111" s="322">
        <f t="shared" si="6"/>
        <v>2</v>
      </c>
      <c r="Y111" s="367"/>
    </row>
    <row r="112">
      <c r="A112" s="1117" t="s">
        <v>2355</v>
      </c>
      <c r="B112" s="322">
        <f t="shared" si="3"/>
        <v>124</v>
      </c>
      <c r="C112" s="1453">
        <f t="shared" si="4"/>
        <v>92</v>
      </c>
      <c r="D112" s="322">
        <f t="shared" si="5"/>
        <v>14</v>
      </c>
      <c r="E112" s="322">
        <f t="shared" si="6"/>
        <v>24</v>
      </c>
      <c r="Y112" s="367"/>
    </row>
    <row r="113">
      <c r="A113" s="1117" t="s">
        <v>2356</v>
      </c>
      <c r="B113" s="322">
        <f t="shared" si="3"/>
        <v>9</v>
      </c>
      <c r="C113" s="1453">
        <f t="shared" si="4"/>
        <v>8</v>
      </c>
      <c r="D113" s="322">
        <f t="shared" si="5"/>
        <v>0</v>
      </c>
      <c r="E113" s="322">
        <f t="shared" si="6"/>
        <v>1</v>
      </c>
      <c r="Y113" s="367"/>
    </row>
    <row r="114">
      <c r="A114" s="1117" t="s">
        <v>2357</v>
      </c>
      <c r="B114" s="322">
        <f t="shared" si="3"/>
        <v>41</v>
      </c>
      <c r="C114" s="1453">
        <f t="shared" si="4"/>
        <v>36</v>
      </c>
      <c r="D114" s="322">
        <f t="shared" si="5"/>
        <v>6</v>
      </c>
      <c r="E114" s="322">
        <f t="shared" si="6"/>
        <v>7</v>
      </c>
      <c r="Y114" s="367"/>
    </row>
    <row r="115">
      <c r="A115" s="1117" t="s">
        <v>289</v>
      </c>
      <c r="B115" s="322">
        <f t="shared" si="3"/>
        <v>5</v>
      </c>
      <c r="C115" s="1453">
        <f t="shared" si="4"/>
        <v>6</v>
      </c>
      <c r="D115" s="322">
        <f t="shared" si="5"/>
        <v>1</v>
      </c>
      <c r="E115" s="322">
        <f t="shared" si="6"/>
        <v>1</v>
      </c>
      <c r="Y115" s="367"/>
    </row>
    <row r="116">
      <c r="A116" s="1117" t="s">
        <v>2358</v>
      </c>
      <c r="B116" s="322">
        <f t="shared" si="3"/>
        <v>35</v>
      </c>
      <c r="C116" s="1453">
        <f t="shared" si="4"/>
        <v>30</v>
      </c>
      <c r="D116" s="322">
        <f t="shared" si="5"/>
        <v>4</v>
      </c>
      <c r="E116" s="322">
        <f t="shared" si="6"/>
        <v>2</v>
      </c>
      <c r="Y116" s="367"/>
    </row>
    <row r="117">
      <c r="A117" s="1117" t="s">
        <v>290</v>
      </c>
      <c r="B117" s="322">
        <f t="shared" si="3"/>
        <v>14</v>
      </c>
      <c r="C117" s="1453">
        <f t="shared" si="4"/>
        <v>45</v>
      </c>
      <c r="D117" s="322">
        <f t="shared" si="5"/>
        <v>3</v>
      </c>
      <c r="E117" s="322">
        <f t="shared" si="6"/>
        <v>5</v>
      </c>
      <c r="Y117" s="367"/>
    </row>
    <row r="118">
      <c r="A118" s="1117" t="s">
        <v>2359</v>
      </c>
      <c r="B118" s="322">
        <f t="shared" si="3"/>
        <v>86</v>
      </c>
      <c r="C118" s="1453">
        <f t="shared" si="4"/>
        <v>83</v>
      </c>
      <c r="D118" s="322">
        <f t="shared" si="5"/>
        <v>3</v>
      </c>
      <c r="E118" s="322">
        <f t="shared" si="6"/>
        <v>5</v>
      </c>
      <c r="Y118" s="367"/>
    </row>
    <row r="119">
      <c r="A119" s="1117" t="s">
        <v>2360</v>
      </c>
      <c r="B119" s="322">
        <f t="shared" si="3"/>
        <v>98</v>
      </c>
      <c r="C119" s="1453">
        <f t="shared" si="4"/>
        <v>84</v>
      </c>
      <c r="D119" s="322">
        <f t="shared" si="5"/>
        <v>15</v>
      </c>
      <c r="E119" s="322">
        <f t="shared" si="6"/>
        <v>10</v>
      </c>
      <c r="Y119" s="367"/>
    </row>
    <row r="120">
      <c r="A120" s="1117" t="s">
        <v>2361</v>
      </c>
      <c r="B120" s="322">
        <f t="shared" si="3"/>
        <v>26</v>
      </c>
      <c r="C120" s="1453">
        <f t="shared" si="4"/>
        <v>18</v>
      </c>
      <c r="D120" s="322">
        <f t="shared" si="5"/>
        <v>5</v>
      </c>
      <c r="E120" s="322">
        <f t="shared" si="6"/>
        <v>4</v>
      </c>
      <c r="Y120" s="367"/>
    </row>
    <row r="121">
      <c r="A121" s="1117" t="s">
        <v>1270</v>
      </c>
      <c r="B121" s="322">
        <f t="shared" si="3"/>
        <v>4</v>
      </c>
      <c r="C121" s="1453">
        <f t="shared" si="4"/>
        <v>3</v>
      </c>
      <c r="D121" s="322">
        <f t="shared" si="5"/>
        <v>1</v>
      </c>
      <c r="E121" s="322">
        <f t="shared" si="6"/>
        <v>0</v>
      </c>
      <c r="Y121" s="367"/>
    </row>
    <row r="122">
      <c r="A122" s="1117" t="s">
        <v>1272</v>
      </c>
      <c r="B122" s="322">
        <f t="shared" si="3"/>
        <v>6</v>
      </c>
      <c r="C122" s="1453">
        <f t="shared" si="4"/>
        <v>15</v>
      </c>
      <c r="D122" s="322">
        <f t="shared" si="5"/>
        <v>1</v>
      </c>
      <c r="E122" s="322">
        <f t="shared" si="6"/>
        <v>0</v>
      </c>
      <c r="Y122" s="367"/>
    </row>
    <row r="123">
      <c r="A123" s="1117" t="s">
        <v>437</v>
      </c>
      <c r="B123" s="322">
        <f t="shared" si="3"/>
        <v>809</v>
      </c>
      <c r="C123" s="1453">
        <f t="shared" si="4"/>
        <v>696</v>
      </c>
      <c r="D123" s="322">
        <f t="shared" si="5"/>
        <v>184</v>
      </c>
      <c r="E123" s="322">
        <f t="shared" si="6"/>
        <v>143</v>
      </c>
      <c r="Y123" s="367"/>
    </row>
    <row r="124">
      <c r="A124" s="1117" t="s">
        <v>156</v>
      </c>
      <c r="B124" s="451">
        <f t="shared" si="3"/>
        <v>24</v>
      </c>
      <c r="C124" s="1453">
        <f t="shared" si="4"/>
        <v>17</v>
      </c>
      <c r="D124" s="322">
        <f t="shared" si="5"/>
        <v>11</v>
      </c>
      <c r="E124" s="322">
        <f t="shared" si="6"/>
        <v>5</v>
      </c>
      <c r="Y124" s="367"/>
    </row>
    <row r="125">
      <c r="A125" s="1117" t="s">
        <v>2362</v>
      </c>
      <c r="B125" s="322">
        <f t="shared" si="3"/>
        <v>16</v>
      </c>
      <c r="C125" s="1453">
        <f t="shared" si="4"/>
        <v>29</v>
      </c>
      <c r="D125" s="322">
        <f t="shared" si="5"/>
        <v>1</v>
      </c>
      <c r="E125" s="322">
        <f t="shared" si="6"/>
        <v>0</v>
      </c>
      <c r="Y125" s="367"/>
    </row>
    <row r="126">
      <c r="A126" s="1117" t="s">
        <v>685</v>
      </c>
      <c r="B126" s="322">
        <f t="shared" si="3"/>
        <v>24</v>
      </c>
      <c r="C126" s="1453">
        <f t="shared" si="4"/>
        <v>29</v>
      </c>
      <c r="D126" s="322">
        <f t="shared" si="5"/>
        <v>5</v>
      </c>
      <c r="E126" s="322">
        <f t="shared" si="6"/>
        <v>3</v>
      </c>
      <c r="Y126" s="367"/>
    </row>
    <row r="127">
      <c r="A127" s="1117" t="s">
        <v>2363</v>
      </c>
      <c r="B127" s="322">
        <f t="shared" si="3"/>
        <v>131</v>
      </c>
      <c r="C127" s="1453">
        <f t="shared" si="4"/>
        <v>119</v>
      </c>
      <c r="D127" s="322">
        <f t="shared" si="5"/>
        <v>22</v>
      </c>
      <c r="E127" s="322">
        <f t="shared" si="6"/>
        <v>8</v>
      </c>
      <c r="Y127" s="367"/>
    </row>
    <row r="128">
      <c r="A128" s="1117" t="s">
        <v>2364</v>
      </c>
      <c r="B128" s="322">
        <f t="shared" si="3"/>
        <v>7</v>
      </c>
      <c r="C128" s="1453">
        <f t="shared" si="4"/>
        <v>9</v>
      </c>
      <c r="D128" s="322">
        <f t="shared" si="5"/>
        <v>5</v>
      </c>
      <c r="E128" s="322">
        <f t="shared" si="6"/>
        <v>3</v>
      </c>
      <c r="Y128" s="367"/>
    </row>
    <row r="129">
      <c r="A129" s="1117" t="s">
        <v>2365</v>
      </c>
      <c r="B129" s="322">
        <f t="shared" si="3"/>
        <v>2</v>
      </c>
      <c r="C129" s="1453">
        <f t="shared" si="4"/>
        <v>1</v>
      </c>
      <c r="D129" s="322">
        <f t="shared" si="5"/>
        <v>2</v>
      </c>
      <c r="E129" s="322">
        <f t="shared" si="6"/>
        <v>2</v>
      </c>
      <c r="Y129" s="367"/>
    </row>
    <row r="130">
      <c r="A130" s="1117" t="s">
        <v>473</v>
      </c>
      <c r="B130" s="322">
        <f t="shared" si="3"/>
        <v>15</v>
      </c>
      <c r="C130" s="1453">
        <f t="shared" si="4"/>
        <v>15</v>
      </c>
      <c r="D130" s="322">
        <f t="shared" si="5"/>
        <v>1</v>
      </c>
      <c r="E130" s="322">
        <f t="shared" si="6"/>
        <v>4</v>
      </c>
      <c r="Y130" s="367"/>
    </row>
    <row r="131">
      <c r="A131" s="1117" t="s">
        <v>302</v>
      </c>
      <c r="B131" s="322">
        <f t="shared" si="3"/>
        <v>19</v>
      </c>
      <c r="C131" s="1453">
        <f t="shared" si="4"/>
        <v>9</v>
      </c>
      <c r="D131" s="322">
        <f t="shared" si="5"/>
        <v>5</v>
      </c>
      <c r="E131" s="322">
        <f t="shared" si="6"/>
        <v>7</v>
      </c>
      <c r="Y131" s="367"/>
    </row>
    <row r="132">
      <c r="A132" s="1117" t="s">
        <v>1694</v>
      </c>
      <c r="B132" s="322">
        <f t="shared" si="3"/>
        <v>49</v>
      </c>
      <c r="C132" s="1453">
        <f t="shared" si="4"/>
        <v>48</v>
      </c>
      <c r="D132" s="322">
        <f t="shared" si="5"/>
        <v>6</v>
      </c>
      <c r="E132" s="322">
        <f t="shared" si="6"/>
        <v>0</v>
      </c>
      <c r="Y132" s="367"/>
    </row>
    <row r="133">
      <c r="A133" s="1117" t="s">
        <v>2366</v>
      </c>
      <c r="B133" s="322">
        <f t="shared" si="3"/>
        <v>5</v>
      </c>
      <c r="C133" s="1453">
        <f t="shared" si="4"/>
        <v>12</v>
      </c>
      <c r="D133" s="322">
        <f t="shared" si="5"/>
        <v>3</v>
      </c>
      <c r="E133" s="322">
        <f t="shared" si="6"/>
        <v>1</v>
      </c>
      <c r="Y133" s="367"/>
    </row>
    <row r="134">
      <c r="A134" s="1117" t="s">
        <v>2367</v>
      </c>
      <c r="B134" s="322">
        <f t="shared" si="3"/>
        <v>57</v>
      </c>
      <c r="C134" s="1453">
        <f t="shared" si="4"/>
        <v>69</v>
      </c>
      <c r="D134" s="322">
        <f t="shared" si="5"/>
        <v>11</v>
      </c>
      <c r="E134" s="322">
        <f t="shared" si="6"/>
        <v>10</v>
      </c>
      <c r="Y134" s="367"/>
    </row>
    <row r="135">
      <c r="A135" s="1117" t="s">
        <v>743</v>
      </c>
      <c r="B135" s="322">
        <f t="shared" si="3"/>
        <v>13</v>
      </c>
      <c r="C135" s="1453">
        <f t="shared" si="4"/>
        <v>5</v>
      </c>
      <c r="D135" s="322">
        <f t="shared" si="5"/>
        <v>2</v>
      </c>
      <c r="E135" s="322">
        <f t="shared" si="6"/>
        <v>0</v>
      </c>
      <c r="Y135" s="367"/>
    </row>
    <row r="136">
      <c r="A136" s="1117" t="s">
        <v>1341</v>
      </c>
      <c r="B136" s="322">
        <f t="shared" si="3"/>
        <v>64</v>
      </c>
      <c r="C136" s="1453">
        <f t="shared" si="4"/>
        <v>54</v>
      </c>
      <c r="D136" s="322">
        <f t="shared" si="5"/>
        <v>15</v>
      </c>
      <c r="E136" s="322">
        <f t="shared" si="6"/>
        <v>7</v>
      </c>
      <c r="Y136" s="367"/>
    </row>
    <row r="137">
      <c r="A137" s="1117" t="s">
        <v>2139</v>
      </c>
      <c r="B137" s="322">
        <f t="shared" si="3"/>
        <v>11</v>
      </c>
      <c r="C137" s="1453">
        <f t="shared" si="4"/>
        <v>15</v>
      </c>
      <c r="D137" s="322">
        <f t="shared" si="5"/>
        <v>0</v>
      </c>
      <c r="E137" s="322">
        <f t="shared" si="6"/>
        <v>2</v>
      </c>
      <c r="Y137" s="367"/>
    </row>
    <row r="138">
      <c r="A138" s="1117" t="s">
        <v>4244</v>
      </c>
      <c r="B138" s="322">
        <f t="shared" si="3"/>
        <v>40</v>
      </c>
      <c r="C138" s="1453">
        <f t="shared" si="4"/>
        <v>29</v>
      </c>
      <c r="D138" s="322">
        <f t="shared" si="5"/>
        <v>4</v>
      </c>
      <c r="E138" s="322">
        <f t="shared" si="6"/>
        <v>6</v>
      </c>
      <c r="Y138" s="367"/>
    </row>
    <row r="139">
      <c r="A139" s="1117" t="s">
        <v>2369</v>
      </c>
      <c r="B139" s="322">
        <f t="shared" si="3"/>
        <v>26</v>
      </c>
      <c r="C139" s="1453">
        <f t="shared" si="4"/>
        <v>20</v>
      </c>
      <c r="D139" s="322">
        <f t="shared" si="5"/>
        <v>3</v>
      </c>
      <c r="E139" s="322">
        <f t="shared" si="6"/>
        <v>0</v>
      </c>
      <c r="Y139" s="367"/>
    </row>
    <row r="140">
      <c r="A140" s="1117" t="s">
        <v>2370</v>
      </c>
      <c r="B140" s="322">
        <f t="shared" si="3"/>
        <v>21</v>
      </c>
      <c r="C140" s="1453">
        <f t="shared" si="4"/>
        <v>6</v>
      </c>
      <c r="D140" s="322">
        <f t="shared" si="5"/>
        <v>4</v>
      </c>
      <c r="E140" s="322">
        <f t="shared" si="6"/>
        <v>0</v>
      </c>
      <c r="Y140" s="367"/>
    </row>
    <row r="141">
      <c r="A141" s="1117" t="s">
        <v>2371</v>
      </c>
      <c r="B141" s="322">
        <f t="shared" si="3"/>
        <v>8</v>
      </c>
      <c r="C141" s="1453">
        <f t="shared" si="4"/>
        <v>25</v>
      </c>
      <c r="D141" s="322">
        <f t="shared" si="5"/>
        <v>1</v>
      </c>
      <c r="E141" s="322">
        <f t="shared" si="6"/>
        <v>2</v>
      </c>
      <c r="Y141" s="367"/>
    </row>
    <row r="142">
      <c r="A142" s="1117" t="s">
        <v>2372</v>
      </c>
      <c r="B142" s="322">
        <f t="shared" si="3"/>
        <v>69</v>
      </c>
      <c r="C142" s="1453">
        <f t="shared" si="4"/>
        <v>57</v>
      </c>
      <c r="D142" s="322">
        <f t="shared" si="5"/>
        <v>20</v>
      </c>
      <c r="E142" s="322">
        <f t="shared" si="6"/>
        <v>4</v>
      </c>
      <c r="Y142" s="367"/>
    </row>
    <row r="143">
      <c r="A143" s="1117" t="s">
        <v>4254</v>
      </c>
      <c r="B143" s="322">
        <f t="shared" si="3"/>
        <v>283</v>
      </c>
      <c r="C143" s="1453">
        <f t="shared" si="4"/>
        <v>67</v>
      </c>
      <c r="D143" s="322">
        <f t="shared" si="5"/>
        <v>3</v>
      </c>
      <c r="E143" s="322">
        <f t="shared" si="6"/>
        <v>0</v>
      </c>
      <c r="Y143" s="367"/>
    </row>
    <row r="144">
      <c r="A144" s="1117" t="s">
        <v>526</v>
      </c>
      <c r="B144" s="322">
        <f t="shared" si="3"/>
        <v>2</v>
      </c>
      <c r="C144" s="1453">
        <f t="shared" si="4"/>
        <v>12</v>
      </c>
      <c r="D144" s="322">
        <f t="shared" si="5"/>
        <v>3</v>
      </c>
      <c r="E144" s="322">
        <f t="shared" si="6"/>
        <v>1</v>
      </c>
      <c r="Y144" s="367"/>
    </row>
    <row r="145">
      <c r="A145" s="1117" t="s">
        <v>2373</v>
      </c>
      <c r="B145" s="322">
        <f t="shared" si="3"/>
        <v>8</v>
      </c>
      <c r="C145" s="1453">
        <f t="shared" si="4"/>
        <v>10</v>
      </c>
      <c r="D145" s="322">
        <f t="shared" si="5"/>
        <v>1</v>
      </c>
      <c r="E145" s="322">
        <f t="shared" si="6"/>
        <v>0</v>
      </c>
      <c r="Y145" s="367"/>
    </row>
    <row r="146">
      <c r="A146" s="1117" t="s">
        <v>1181</v>
      </c>
      <c r="B146" s="322">
        <f t="shared" si="3"/>
        <v>11</v>
      </c>
      <c r="C146" s="1453">
        <f t="shared" si="4"/>
        <v>11</v>
      </c>
      <c r="D146" s="322">
        <f t="shared" si="5"/>
        <v>2</v>
      </c>
      <c r="E146" s="322">
        <f t="shared" si="6"/>
        <v>1</v>
      </c>
      <c r="Y146" s="367"/>
    </row>
    <row r="147">
      <c r="A147" s="1117" t="s">
        <v>2374</v>
      </c>
      <c r="B147" s="322">
        <f t="shared" si="3"/>
        <v>34</v>
      </c>
      <c r="C147" s="1453">
        <f t="shared" si="4"/>
        <v>13</v>
      </c>
      <c r="D147" s="322">
        <f t="shared" si="5"/>
        <v>7</v>
      </c>
      <c r="E147" s="322">
        <f t="shared" si="6"/>
        <v>1</v>
      </c>
      <c r="Y147" s="367"/>
    </row>
    <row r="148">
      <c r="A148" s="1117" t="s">
        <v>1887</v>
      </c>
      <c r="B148" s="322">
        <f t="shared" si="3"/>
        <v>16</v>
      </c>
      <c r="C148" s="1453">
        <f t="shared" si="4"/>
        <v>29</v>
      </c>
      <c r="D148" s="322">
        <f t="shared" si="5"/>
        <v>9</v>
      </c>
      <c r="E148" s="322">
        <f t="shared" si="6"/>
        <v>2</v>
      </c>
      <c r="Y148" s="367"/>
    </row>
    <row r="149">
      <c r="A149" s="1117" t="s">
        <v>2375</v>
      </c>
      <c r="B149" s="322">
        <f t="shared" si="3"/>
        <v>4</v>
      </c>
      <c r="C149" s="1453">
        <f t="shared" si="4"/>
        <v>7</v>
      </c>
      <c r="D149" s="322">
        <f t="shared" si="5"/>
        <v>4</v>
      </c>
      <c r="E149" s="322">
        <f t="shared" si="6"/>
        <v>2</v>
      </c>
      <c r="Y149" s="367"/>
    </row>
    <row r="150">
      <c r="A150" s="1117" t="s">
        <v>119</v>
      </c>
      <c r="B150" s="322">
        <f t="shared" si="3"/>
        <v>37</v>
      </c>
      <c r="C150" s="1453">
        <f t="shared" si="4"/>
        <v>21</v>
      </c>
      <c r="D150" s="322">
        <f t="shared" si="5"/>
        <v>17</v>
      </c>
      <c r="E150" s="322">
        <f t="shared" si="6"/>
        <v>1</v>
      </c>
      <c r="Y150" s="367"/>
    </row>
    <row r="151">
      <c r="A151" s="1117" t="s">
        <v>2376</v>
      </c>
      <c r="B151" s="322">
        <f t="shared" si="3"/>
        <v>44</v>
      </c>
      <c r="C151" s="1453">
        <f t="shared" si="4"/>
        <v>43</v>
      </c>
      <c r="D151" s="322">
        <f t="shared" si="5"/>
        <v>8</v>
      </c>
      <c r="E151" s="322">
        <f t="shared" si="6"/>
        <v>2</v>
      </c>
      <c r="Y151" s="367"/>
    </row>
    <row r="152">
      <c r="A152" s="1117" t="s">
        <v>2377</v>
      </c>
      <c r="B152" s="322">
        <f t="shared" si="3"/>
        <v>11</v>
      </c>
      <c r="C152" s="1453">
        <f t="shared" si="4"/>
        <v>21</v>
      </c>
      <c r="D152" s="322">
        <f t="shared" si="5"/>
        <v>4</v>
      </c>
      <c r="E152" s="322">
        <f t="shared" si="6"/>
        <v>2</v>
      </c>
      <c r="Y152" s="367"/>
    </row>
    <row r="153">
      <c r="A153" s="1117" t="s">
        <v>2378</v>
      </c>
      <c r="B153" s="322">
        <f t="shared" si="3"/>
        <v>14</v>
      </c>
      <c r="C153" s="1453">
        <f t="shared" si="4"/>
        <v>12</v>
      </c>
      <c r="D153" s="322">
        <f t="shared" si="5"/>
        <v>4</v>
      </c>
      <c r="E153" s="322">
        <f t="shared" si="6"/>
        <v>0</v>
      </c>
      <c r="Y153" s="367"/>
    </row>
    <row r="154">
      <c r="A154" s="1117" t="s">
        <v>753</v>
      </c>
      <c r="B154" s="322">
        <f t="shared" si="3"/>
        <v>68</v>
      </c>
      <c r="C154" s="1453">
        <f t="shared" si="4"/>
        <v>30</v>
      </c>
      <c r="D154" s="322">
        <f t="shared" si="5"/>
        <v>6</v>
      </c>
      <c r="E154" s="322">
        <f t="shared" si="6"/>
        <v>3</v>
      </c>
      <c r="Y154" s="367"/>
    </row>
    <row r="155">
      <c r="A155" s="1117" t="s">
        <v>1703</v>
      </c>
      <c r="B155" s="322">
        <f t="shared" si="3"/>
        <v>70</v>
      </c>
      <c r="C155" s="1453">
        <f t="shared" si="4"/>
        <v>38</v>
      </c>
      <c r="D155" s="322">
        <f t="shared" si="5"/>
        <v>5</v>
      </c>
      <c r="E155" s="322">
        <f t="shared" si="6"/>
        <v>5</v>
      </c>
      <c r="Y155" s="367"/>
    </row>
    <row r="156">
      <c r="A156" s="204" t="s">
        <v>923</v>
      </c>
      <c r="B156" s="1454">
        <f>B6</f>
        <v>3230</v>
      </c>
      <c r="C156" s="1455">
        <f>F6</f>
        <v>2717</v>
      </c>
      <c r="D156" s="1454">
        <f>D6</f>
        <v>569</v>
      </c>
      <c r="E156" s="806">
        <f>H6</f>
        <v>371</v>
      </c>
      <c r="Y156" s="367"/>
    </row>
    <row r="157">
      <c r="C157" s="161"/>
      <c r="Y157" s="367"/>
    </row>
    <row r="158">
      <c r="C158" s="161"/>
      <c r="Y158" s="367"/>
    </row>
    <row r="159">
      <c r="C159" s="161"/>
      <c r="Y159" s="367"/>
    </row>
    <row r="160">
      <c r="C160" s="161"/>
      <c r="Y160" s="367"/>
    </row>
    <row r="161">
      <c r="C161" s="161"/>
      <c r="Y161" s="367"/>
    </row>
    <row r="162">
      <c r="C162" s="161"/>
      <c r="Y162" s="367"/>
    </row>
    <row r="163">
      <c r="C163" s="161"/>
      <c r="Y163" s="367"/>
    </row>
    <row r="164">
      <c r="C164" s="161"/>
      <c r="Y164" s="367"/>
    </row>
    <row r="165">
      <c r="C165" s="161"/>
      <c r="Y165" s="367"/>
    </row>
    <row r="166">
      <c r="C166" s="161"/>
      <c r="Y166" s="367"/>
    </row>
    <row r="167">
      <c r="C167" s="161"/>
      <c r="Y167" s="367"/>
    </row>
    <row r="168">
      <c r="C168" s="161"/>
      <c r="Y168" s="367"/>
    </row>
    <row r="169">
      <c r="C169" s="161"/>
      <c r="Y169" s="367"/>
    </row>
    <row r="170">
      <c r="C170" s="161"/>
      <c r="Y170" s="367"/>
    </row>
    <row r="171">
      <c r="C171" s="161"/>
      <c r="Y171" s="367"/>
    </row>
    <row r="172">
      <c r="C172" s="161"/>
      <c r="Y172" s="367"/>
    </row>
    <row r="173">
      <c r="C173" s="161"/>
      <c r="Y173" s="367"/>
    </row>
    <row r="174">
      <c r="C174" s="161"/>
      <c r="Y174" s="367"/>
    </row>
    <row r="175">
      <c r="C175" s="161"/>
      <c r="Y175" s="367"/>
    </row>
    <row r="176">
      <c r="C176" s="161"/>
      <c r="Y176" s="367"/>
    </row>
    <row r="177">
      <c r="C177" s="161"/>
      <c r="Y177" s="367"/>
    </row>
    <row r="178">
      <c r="C178" s="161"/>
      <c r="Y178" s="367"/>
    </row>
    <row r="179">
      <c r="C179" s="161"/>
      <c r="Y179" s="367"/>
    </row>
    <row r="180">
      <c r="C180" s="161"/>
      <c r="Y180" s="367"/>
    </row>
    <row r="181">
      <c r="C181" s="161"/>
      <c r="Y181" s="367"/>
    </row>
    <row r="182">
      <c r="C182" s="161"/>
      <c r="Y182" s="367"/>
    </row>
    <row r="183">
      <c r="C183" s="161"/>
      <c r="Y183" s="367"/>
    </row>
    <row r="184">
      <c r="C184" s="161"/>
      <c r="Y184" s="367"/>
    </row>
    <row r="185">
      <c r="C185" s="161"/>
      <c r="Y185" s="367"/>
    </row>
    <row r="186">
      <c r="C186" s="161"/>
      <c r="Y186" s="367"/>
    </row>
    <row r="187">
      <c r="C187" s="161"/>
      <c r="Y187" s="367"/>
    </row>
    <row r="188">
      <c r="C188" s="161"/>
      <c r="Y188" s="367"/>
    </row>
    <row r="189">
      <c r="C189" s="161"/>
      <c r="Y189" s="367"/>
    </row>
    <row r="190">
      <c r="C190" s="161"/>
      <c r="Y190" s="367"/>
    </row>
    <row r="191">
      <c r="C191" s="161"/>
      <c r="Y191" s="367"/>
    </row>
    <row r="192">
      <c r="C192" s="161"/>
      <c r="Y192" s="367"/>
    </row>
    <row r="193">
      <c r="C193" s="161"/>
      <c r="Y193" s="367"/>
    </row>
    <row r="194">
      <c r="C194" s="161"/>
      <c r="Y194" s="367"/>
    </row>
    <row r="195">
      <c r="C195" s="161"/>
      <c r="Y195" s="367"/>
    </row>
    <row r="196">
      <c r="C196" s="161"/>
      <c r="Y196" s="367"/>
    </row>
    <row r="197">
      <c r="C197" s="161"/>
      <c r="Y197" s="367"/>
    </row>
    <row r="198">
      <c r="C198" s="161"/>
      <c r="Y198" s="367"/>
    </row>
    <row r="199">
      <c r="C199" s="161"/>
      <c r="Y199" s="367"/>
    </row>
    <row r="200">
      <c r="C200" s="161"/>
      <c r="Y200" s="367"/>
    </row>
    <row r="201">
      <c r="C201" s="161"/>
      <c r="Y201" s="367"/>
    </row>
    <row r="202">
      <c r="C202" s="161"/>
      <c r="Y202" s="367"/>
    </row>
    <row r="203">
      <c r="C203" s="161"/>
      <c r="Y203" s="367"/>
    </row>
    <row r="204">
      <c r="C204" s="161"/>
      <c r="Y204" s="367"/>
    </row>
    <row r="205">
      <c r="C205" s="161"/>
      <c r="Y205" s="367"/>
    </row>
    <row r="206">
      <c r="C206" s="161"/>
      <c r="Y206" s="367"/>
    </row>
    <row r="207">
      <c r="C207" s="161"/>
      <c r="Y207" s="367"/>
    </row>
    <row r="208">
      <c r="C208" s="161"/>
      <c r="Y208" s="367"/>
    </row>
    <row r="209">
      <c r="C209" s="161"/>
      <c r="Y209" s="367"/>
    </row>
    <row r="210">
      <c r="C210" s="161"/>
      <c r="Y210" s="367"/>
    </row>
    <row r="211">
      <c r="C211" s="161"/>
      <c r="Y211" s="367"/>
    </row>
    <row r="212">
      <c r="C212" s="161"/>
      <c r="Y212" s="367"/>
    </row>
    <row r="213">
      <c r="C213" s="161"/>
      <c r="Y213" s="367"/>
    </row>
    <row r="214">
      <c r="C214" s="161"/>
      <c r="Y214" s="367"/>
    </row>
    <row r="215">
      <c r="C215" s="161"/>
      <c r="Y215" s="367"/>
    </row>
    <row r="216">
      <c r="C216" s="161"/>
      <c r="Y216" s="367"/>
    </row>
    <row r="217">
      <c r="C217" s="161"/>
      <c r="Y217" s="367"/>
    </row>
    <row r="218">
      <c r="C218" s="161"/>
      <c r="Y218" s="367"/>
    </row>
    <row r="219">
      <c r="C219" s="161"/>
      <c r="Y219" s="367"/>
    </row>
    <row r="220">
      <c r="C220" s="161"/>
      <c r="Y220" s="367"/>
    </row>
    <row r="221">
      <c r="C221" s="161"/>
      <c r="Y221" s="367"/>
    </row>
    <row r="222">
      <c r="C222" s="161"/>
      <c r="Y222" s="367"/>
    </row>
    <row r="223">
      <c r="C223" s="161"/>
      <c r="Y223" s="367"/>
    </row>
    <row r="224">
      <c r="C224" s="161"/>
      <c r="Y224" s="367"/>
    </row>
    <row r="225">
      <c r="C225" s="161"/>
      <c r="Y225" s="367"/>
    </row>
    <row r="226">
      <c r="C226" s="161"/>
      <c r="Y226" s="367"/>
    </row>
    <row r="227">
      <c r="C227" s="161"/>
      <c r="Y227" s="367"/>
    </row>
    <row r="228">
      <c r="C228" s="161"/>
      <c r="Y228" s="367"/>
    </row>
    <row r="229">
      <c r="C229" s="161"/>
      <c r="Y229" s="367"/>
    </row>
    <row r="230">
      <c r="C230" s="161"/>
      <c r="Y230" s="367"/>
    </row>
    <row r="231">
      <c r="C231" s="161"/>
      <c r="Y231" s="367"/>
    </row>
    <row r="232">
      <c r="C232" s="161"/>
      <c r="Y232" s="367"/>
    </row>
    <row r="233">
      <c r="C233" s="161"/>
      <c r="Y233" s="367"/>
    </row>
    <row r="234">
      <c r="C234" s="161"/>
      <c r="Y234" s="367"/>
    </row>
    <row r="235">
      <c r="C235" s="161"/>
      <c r="Y235" s="367"/>
    </row>
    <row r="236">
      <c r="C236" s="161"/>
      <c r="Y236" s="367"/>
    </row>
    <row r="237">
      <c r="C237" s="161"/>
      <c r="Y237" s="367"/>
    </row>
    <row r="238">
      <c r="C238" s="161"/>
      <c r="Y238" s="367"/>
    </row>
    <row r="239">
      <c r="C239" s="161"/>
      <c r="Y239" s="367"/>
    </row>
    <row r="240">
      <c r="C240" s="161"/>
      <c r="Y240" s="367"/>
    </row>
    <row r="241">
      <c r="C241" s="161"/>
      <c r="Y241" s="367"/>
    </row>
    <row r="242">
      <c r="C242" s="161"/>
      <c r="Y242" s="367"/>
    </row>
    <row r="243">
      <c r="C243" s="161"/>
      <c r="Y243" s="367"/>
    </row>
    <row r="244">
      <c r="C244" s="161"/>
      <c r="Y244" s="367"/>
    </row>
    <row r="245">
      <c r="C245" s="161"/>
      <c r="Y245" s="367"/>
    </row>
    <row r="246">
      <c r="C246" s="161"/>
      <c r="Y246" s="367"/>
    </row>
    <row r="247">
      <c r="C247" s="161"/>
      <c r="Y247" s="367"/>
    </row>
    <row r="248">
      <c r="C248" s="161"/>
      <c r="Y248" s="367"/>
    </row>
    <row r="249">
      <c r="C249" s="161"/>
      <c r="Y249" s="367"/>
    </row>
    <row r="250">
      <c r="C250" s="161"/>
      <c r="Y250" s="367"/>
    </row>
    <row r="251">
      <c r="C251" s="161"/>
      <c r="Y251" s="367"/>
    </row>
    <row r="252">
      <c r="C252" s="161"/>
      <c r="Y252" s="367"/>
    </row>
    <row r="253">
      <c r="C253" s="161"/>
      <c r="Y253" s="367"/>
    </row>
    <row r="254">
      <c r="C254" s="161"/>
      <c r="Y254" s="367"/>
    </row>
    <row r="255">
      <c r="C255" s="161"/>
      <c r="Y255" s="367"/>
    </row>
    <row r="256">
      <c r="C256" s="161"/>
      <c r="Y256" s="367"/>
    </row>
    <row r="257">
      <c r="C257" s="161"/>
      <c r="Y257" s="367"/>
    </row>
    <row r="258">
      <c r="C258" s="161"/>
      <c r="Y258" s="367"/>
    </row>
    <row r="259">
      <c r="C259" s="161"/>
      <c r="Y259" s="367"/>
    </row>
    <row r="260">
      <c r="C260" s="161"/>
      <c r="Y260" s="367"/>
    </row>
    <row r="261">
      <c r="C261" s="161"/>
      <c r="Y261" s="367"/>
    </row>
    <row r="262">
      <c r="C262" s="161"/>
      <c r="Y262" s="367"/>
    </row>
    <row r="263">
      <c r="C263" s="161"/>
      <c r="Y263" s="367"/>
    </row>
    <row r="264">
      <c r="C264" s="161"/>
      <c r="Y264" s="367"/>
    </row>
    <row r="265">
      <c r="C265" s="161"/>
      <c r="Y265" s="367"/>
    </row>
    <row r="266">
      <c r="C266" s="161"/>
      <c r="Y266" s="367"/>
    </row>
    <row r="267">
      <c r="C267" s="161"/>
      <c r="Y267" s="367"/>
    </row>
    <row r="268">
      <c r="C268" s="161"/>
      <c r="Y268" s="367"/>
    </row>
    <row r="269">
      <c r="C269" s="161"/>
      <c r="Y269" s="367"/>
    </row>
    <row r="270">
      <c r="C270" s="161"/>
      <c r="Y270" s="367"/>
    </row>
    <row r="271">
      <c r="C271" s="161"/>
      <c r="Y271" s="367"/>
    </row>
    <row r="272">
      <c r="C272" s="161"/>
      <c r="Y272" s="367"/>
    </row>
    <row r="273">
      <c r="C273" s="161"/>
      <c r="Y273" s="367"/>
    </row>
    <row r="274">
      <c r="C274" s="161"/>
      <c r="Y274" s="367"/>
    </row>
    <row r="275">
      <c r="C275" s="161"/>
      <c r="Y275" s="367"/>
    </row>
    <row r="276">
      <c r="C276" s="161"/>
      <c r="Y276" s="367"/>
    </row>
    <row r="277">
      <c r="C277" s="161"/>
      <c r="Y277" s="367"/>
    </row>
    <row r="278">
      <c r="C278" s="161"/>
      <c r="Y278" s="367"/>
    </row>
    <row r="279">
      <c r="C279" s="161"/>
      <c r="Y279" s="367"/>
    </row>
    <row r="280">
      <c r="C280" s="161"/>
      <c r="Y280" s="367"/>
    </row>
    <row r="281">
      <c r="C281" s="161"/>
      <c r="Y281" s="367"/>
    </row>
    <row r="282">
      <c r="C282" s="161"/>
      <c r="Y282" s="367"/>
    </row>
    <row r="283">
      <c r="C283" s="161"/>
      <c r="Y283" s="367"/>
    </row>
    <row r="284">
      <c r="C284" s="161"/>
      <c r="Y284" s="367"/>
    </row>
    <row r="285">
      <c r="C285" s="161"/>
      <c r="Y285" s="367"/>
    </row>
    <row r="286">
      <c r="C286" s="161"/>
      <c r="Y286" s="367"/>
    </row>
    <row r="287">
      <c r="C287" s="161"/>
      <c r="Y287" s="367"/>
    </row>
    <row r="288">
      <c r="C288" s="161"/>
      <c r="Y288" s="367"/>
    </row>
    <row r="289">
      <c r="C289" s="161"/>
      <c r="Y289" s="367"/>
    </row>
    <row r="290">
      <c r="C290" s="161"/>
      <c r="Y290" s="367"/>
    </row>
    <row r="291">
      <c r="C291" s="161"/>
      <c r="Y291" s="367"/>
    </row>
    <row r="292">
      <c r="C292" s="161"/>
      <c r="Y292" s="367"/>
    </row>
    <row r="293">
      <c r="C293" s="161"/>
      <c r="Y293" s="367"/>
    </row>
    <row r="294">
      <c r="C294" s="161"/>
      <c r="Y294" s="367"/>
    </row>
    <row r="295">
      <c r="C295" s="161"/>
      <c r="Y295" s="367"/>
    </row>
    <row r="296">
      <c r="C296" s="161"/>
      <c r="Y296" s="367"/>
    </row>
    <row r="297">
      <c r="C297" s="161"/>
      <c r="Y297" s="367"/>
    </row>
    <row r="298">
      <c r="C298" s="161"/>
      <c r="Y298" s="367"/>
    </row>
    <row r="299">
      <c r="C299" s="161"/>
      <c r="Y299" s="367"/>
    </row>
    <row r="300">
      <c r="C300" s="161"/>
      <c r="Y300" s="367"/>
    </row>
    <row r="301">
      <c r="C301" s="161"/>
      <c r="Y301" s="367"/>
    </row>
    <row r="302">
      <c r="C302" s="161"/>
      <c r="Y302" s="367"/>
    </row>
    <row r="303">
      <c r="C303" s="161"/>
      <c r="Y303" s="367"/>
    </row>
    <row r="304">
      <c r="C304" s="161"/>
      <c r="Y304" s="367"/>
    </row>
    <row r="305">
      <c r="C305" s="161"/>
      <c r="Y305" s="367"/>
    </row>
    <row r="306">
      <c r="C306" s="161"/>
      <c r="Y306" s="367"/>
    </row>
    <row r="307">
      <c r="C307" s="161"/>
      <c r="Y307" s="367"/>
    </row>
    <row r="308">
      <c r="C308" s="161"/>
      <c r="Y308" s="367"/>
    </row>
    <row r="309">
      <c r="C309" s="161"/>
      <c r="Y309" s="367"/>
    </row>
    <row r="310">
      <c r="C310" s="161"/>
      <c r="Y310" s="367"/>
    </row>
    <row r="311">
      <c r="C311" s="161"/>
      <c r="Y311" s="367"/>
    </row>
    <row r="312">
      <c r="C312" s="161"/>
      <c r="Y312" s="367"/>
    </row>
    <row r="313">
      <c r="C313" s="161"/>
      <c r="Y313" s="367"/>
    </row>
    <row r="314">
      <c r="C314" s="161"/>
      <c r="Y314" s="367"/>
    </row>
    <row r="315">
      <c r="C315" s="161"/>
      <c r="Y315" s="367"/>
    </row>
    <row r="316">
      <c r="C316" s="161"/>
      <c r="Y316" s="367"/>
    </row>
    <row r="317">
      <c r="C317" s="161"/>
      <c r="Y317" s="367"/>
    </row>
    <row r="318">
      <c r="C318" s="161"/>
      <c r="Y318" s="367"/>
    </row>
    <row r="319">
      <c r="C319" s="161"/>
      <c r="Y319" s="367"/>
    </row>
    <row r="320">
      <c r="C320" s="161"/>
      <c r="Y320" s="367"/>
    </row>
    <row r="321">
      <c r="C321" s="161"/>
      <c r="Y321" s="367"/>
    </row>
    <row r="322">
      <c r="C322" s="161"/>
      <c r="Y322" s="367"/>
    </row>
    <row r="323">
      <c r="C323" s="161"/>
      <c r="Y323" s="367"/>
    </row>
    <row r="324">
      <c r="C324" s="161"/>
      <c r="Y324" s="367"/>
    </row>
    <row r="325">
      <c r="C325" s="161"/>
      <c r="Y325" s="367"/>
    </row>
    <row r="326">
      <c r="C326" s="161"/>
      <c r="Y326" s="367"/>
    </row>
    <row r="327">
      <c r="C327" s="161"/>
      <c r="Y327" s="367"/>
    </row>
    <row r="328">
      <c r="C328" s="161"/>
      <c r="Y328" s="367"/>
    </row>
    <row r="329">
      <c r="C329" s="161"/>
      <c r="Y329" s="367"/>
    </row>
    <row r="330">
      <c r="C330" s="161"/>
      <c r="Y330" s="367"/>
    </row>
    <row r="331">
      <c r="C331" s="161"/>
      <c r="Y331" s="367"/>
    </row>
    <row r="332">
      <c r="C332" s="161"/>
      <c r="Y332" s="367"/>
    </row>
    <row r="333">
      <c r="C333" s="161"/>
      <c r="Y333" s="367"/>
    </row>
    <row r="334">
      <c r="C334" s="161"/>
      <c r="Y334" s="367"/>
    </row>
    <row r="335">
      <c r="C335" s="161"/>
      <c r="Y335" s="367"/>
    </row>
    <row r="336">
      <c r="C336" s="161"/>
      <c r="Y336" s="367"/>
    </row>
    <row r="337">
      <c r="C337" s="161"/>
      <c r="Y337" s="367"/>
    </row>
    <row r="338">
      <c r="C338" s="161"/>
      <c r="Y338" s="367"/>
    </row>
    <row r="339">
      <c r="C339" s="161"/>
      <c r="Y339" s="367"/>
    </row>
    <row r="340">
      <c r="C340" s="161"/>
      <c r="Y340" s="367"/>
    </row>
    <row r="341">
      <c r="C341" s="161"/>
      <c r="Y341" s="367"/>
    </row>
    <row r="342">
      <c r="C342" s="161"/>
      <c r="Y342" s="367"/>
    </row>
    <row r="343">
      <c r="C343" s="161"/>
      <c r="Y343" s="367"/>
    </row>
    <row r="344">
      <c r="C344" s="161"/>
      <c r="Y344" s="367"/>
    </row>
    <row r="345">
      <c r="C345" s="161"/>
      <c r="Y345" s="367"/>
    </row>
    <row r="346">
      <c r="C346" s="161"/>
      <c r="Y346" s="367"/>
    </row>
    <row r="347">
      <c r="C347" s="161"/>
      <c r="Y347" s="367"/>
    </row>
    <row r="348">
      <c r="C348" s="161"/>
      <c r="Y348" s="367"/>
    </row>
    <row r="349">
      <c r="C349" s="161"/>
      <c r="Y349" s="367"/>
    </row>
    <row r="350">
      <c r="C350" s="161"/>
      <c r="Y350" s="367"/>
    </row>
    <row r="351">
      <c r="C351" s="161"/>
      <c r="Y351" s="367"/>
    </row>
    <row r="352">
      <c r="C352" s="161"/>
      <c r="Y352" s="367"/>
    </row>
    <row r="353">
      <c r="C353" s="161"/>
      <c r="Y353" s="367"/>
    </row>
    <row r="354">
      <c r="C354" s="161"/>
      <c r="Y354" s="367"/>
    </row>
    <row r="355">
      <c r="C355" s="161"/>
      <c r="Y355" s="367"/>
    </row>
    <row r="356">
      <c r="C356" s="161"/>
      <c r="Y356" s="367"/>
    </row>
    <row r="357">
      <c r="C357" s="161"/>
      <c r="Y357" s="367"/>
    </row>
    <row r="358">
      <c r="C358" s="161"/>
      <c r="Y358" s="367"/>
    </row>
    <row r="359">
      <c r="C359" s="161"/>
      <c r="Y359" s="367"/>
    </row>
    <row r="360">
      <c r="C360" s="161"/>
      <c r="Y360" s="367"/>
    </row>
    <row r="361">
      <c r="C361" s="161"/>
      <c r="Y361" s="367"/>
    </row>
    <row r="362">
      <c r="C362" s="161"/>
      <c r="Y362" s="367"/>
    </row>
    <row r="363">
      <c r="C363" s="161"/>
      <c r="Y363" s="367"/>
    </row>
    <row r="364">
      <c r="C364" s="161"/>
      <c r="Y364" s="367"/>
    </row>
    <row r="365">
      <c r="C365" s="161"/>
      <c r="Y365" s="367"/>
    </row>
    <row r="366">
      <c r="C366" s="161"/>
      <c r="Y366" s="367"/>
    </row>
    <row r="367">
      <c r="C367" s="161"/>
      <c r="Y367" s="367"/>
    </row>
    <row r="368">
      <c r="C368" s="161"/>
      <c r="Y368" s="367"/>
    </row>
    <row r="369">
      <c r="C369" s="161"/>
      <c r="Y369" s="367"/>
    </row>
    <row r="370">
      <c r="C370" s="161"/>
      <c r="Y370" s="367"/>
    </row>
    <row r="371">
      <c r="C371" s="161"/>
      <c r="Y371" s="367"/>
    </row>
    <row r="372">
      <c r="C372" s="161"/>
      <c r="Y372" s="367"/>
    </row>
    <row r="373">
      <c r="C373" s="161"/>
      <c r="Y373" s="367"/>
    </row>
    <row r="374">
      <c r="C374" s="161"/>
      <c r="Y374" s="367"/>
    </row>
    <row r="375">
      <c r="C375" s="161"/>
      <c r="Y375" s="367"/>
    </row>
    <row r="376">
      <c r="C376" s="161"/>
      <c r="Y376" s="367"/>
    </row>
    <row r="377">
      <c r="C377" s="161"/>
      <c r="Y377" s="367"/>
    </row>
    <row r="378">
      <c r="C378" s="161"/>
      <c r="Y378" s="367"/>
    </row>
    <row r="379">
      <c r="C379" s="161"/>
      <c r="Y379" s="367"/>
    </row>
    <row r="380">
      <c r="C380" s="161"/>
      <c r="Y380" s="367"/>
    </row>
    <row r="381">
      <c r="C381" s="161"/>
      <c r="Y381" s="367"/>
    </row>
    <row r="382">
      <c r="C382" s="161"/>
      <c r="Y382" s="367"/>
    </row>
    <row r="383">
      <c r="C383" s="161"/>
      <c r="Y383" s="367"/>
    </row>
    <row r="384">
      <c r="C384" s="161"/>
      <c r="Y384" s="367"/>
    </row>
    <row r="385">
      <c r="C385" s="161"/>
      <c r="Y385" s="367"/>
    </row>
    <row r="386">
      <c r="C386" s="161"/>
      <c r="Y386" s="367"/>
    </row>
    <row r="387">
      <c r="C387" s="161"/>
      <c r="Y387" s="367"/>
    </row>
    <row r="388">
      <c r="C388" s="161"/>
      <c r="Y388" s="367"/>
    </row>
    <row r="389">
      <c r="C389" s="161"/>
      <c r="Y389" s="367"/>
    </row>
    <row r="390">
      <c r="C390" s="161"/>
      <c r="Y390" s="367"/>
    </row>
    <row r="391">
      <c r="C391" s="161"/>
      <c r="Y391" s="367"/>
    </row>
    <row r="392">
      <c r="C392" s="161"/>
      <c r="Y392" s="367"/>
    </row>
    <row r="393">
      <c r="C393" s="161"/>
      <c r="Y393" s="367"/>
    </row>
    <row r="394">
      <c r="C394" s="161"/>
      <c r="Y394" s="367"/>
    </row>
    <row r="395">
      <c r="C395" s="161"/>
      <c r="Y395" s="367"/>
    </row>
    <row r="396">
      <c r="C396" s="161"/>
      <c r="Y396" s="367"/>
    </row>
    <row r="397">
      <c r="C397" s="161"/>
      <c r="Y397" s="367"/>
    </row>
    <row r="398">
      <c r="C398" s="161"/>
      <c r="Y398" s="367"/>
    </row>
    <row r="399">
      <c r="C399" s="161"/>
      <c r="Y399" s="367"/>
    </row>
    <row r="400">
      <c r="C400" s="161"/>
      <c r="Y400" s="367"/>
    </row>
    <row r="401">
      <c r="C401" s="161"/>
      <c r="Y401" s="367"/>
    </row>
    <row r="402">
      <c r="C402" s="161"/>
      <c r="Y402" s="367"/>
    </row>
    <row r="403">
      <c r="C403" s="161"/>
      <c r="Y403" s="367"/>
    </row>
    <row r="404">
      <c r="C404" s="161"/>
      <c r="Y404" s="367"/>
    </row>
    <row r="405">
      <c r="C405" s="161"/>
      <c r="Y405" s="367"/>
    </row>
    <row r="406">
      <c r="C406" s="161"/>
      <c r="Y406" s="367"/>
    </row>
    <row r="407">
      <c r="C407" s="161"/>
      <c r="Y407" s="367"/>
    </row>
    <row r="408">
      <c r="C408" s="161"/>
      <c r="Y408" s="367"/>
    </row>
    <row r="409">
      <c r="C409" s="161"/>
      <c r="Y409" s="367"/>
    </row>
    <row r="410">
      <c r="C410" s="161"/>
      <c r="Y410" s="367"/>
    </row>
    <row r="411">
      <c r="C411" s="161"/>
      <c r="Y411" s="367"/>
    </row>
    <row r="412">
      <c r="C412" s="161"/>
      <c r="Y412" s="367"/>
    </row>
    <row r="413">
      <c r="C413" s="161"/>
      <c r="Y413" s="367"/>
    </row>
    <row r="414">
      <c r="C414" s="161"/>
      <c r="Y414" s="367"/>
    </row>
    <row r="415">
      <c r="C415" s="161"/>
      <c r="Y415" s="367"/>
    </row>
    <row r="416">
      <c r="C416" s="161"/>
      <c r="Y416" s="367"/>
    </row>
    <row r="417">
      <c r="C417" s="161"/>
      <c r="Y417" s="367"/>
    </row>
    <row r="418">
      <c r="C418" s="161"/>
      <c r="Y418" s="367"/>
    </row>
    <row r="419">
      <c r="C419" s="161"/>
      <c r="Y419" s="367"/>
    </row>
    <row r="420">
      <c r="C420" s="161"/>
      <c r="Y420" s="367"/>
    </row>
    <row r="421">
      <c r="C421" s="161"/>
      <c r="Y421" s="367"/>
    </row>
    <row r="422">
      <c r="C422" s="161"/>
      <c r="Y422" s="367"/>
    </row>
    <row r="423">
      <c r="C423" s="161"/>
      <c r="Y423" s="367"/>
    </row>
    <row r="424">
      <c r="C424" s="161"/>
      <c r="Y424" s="367"/>
    </row>
    <row r="425">
      <c r="C425" s="161"/>
      <c r="Y425" s="367"/>
    </row>
    <row r="426">
      <c r="C426" s="161"/>
      <c r="Y426" s="367"/>
    </row>
    <row r="427">
      <c r="C427" s="161"/>
      <c r="Y427" s="367"/>
    </row>
    <row r="428">
      <c r="C428" s="161"/>
      <c r="Y428" s="367"/>
    </row>
    <row r="429">
      <c r="C429" s="161"/>
      <c r="Y429" s="367"/>
    </row>
    <row r="430">
      <c r="C430" s="161"/>
      <c r="Y430" s="367"/>
    </row>
    <row r="431">
      <c r="C431" s="161"/>
      <c r="Y431" s="367"/>
    </row>
    <row r="432">
      <c r="C432" s="161"/>
      <c r="Y432" s="367"/>
    </row>
    <row r="433">
      <c r="C433" s="161"/>
      <c r="Y433" s="367"/>
    </row>
    <row r="434">
      <c r="C434" s="161"/>
      <c r="Y434" s="367"/>
    </row>
    <row r="435">
      <c r="C435" s="161"/>
      <c r="Y435" s="367"/>
    </row>
    <row r="436">
      <c r="C436" s="161"/>
      <c r="Y436" s="367"/>
    </row>
    <row r="437">
      <c r="C437" s="161"/>
      <c r="Y437" s="367"/>
    </row>
    <row r="438">
      <c r="C438" s="161"/>
      <c r="Y438" s="367"/>
    </row>
    <row r="439">
      <c r="C439" s="161"/>
      <c r="Y439" s="367"/>
    </row>
    <row r="440">
      <c r="C440" s="161"/>
      <c r="Y440" s="367"/>
    </row>
    <row r="441">
      <c r="C441" s="161"/>
      <c r="Y441" s="367"/>
    </row>
    <row r="442">
      <c r="C442" s="161"/>
      <c r="Y442" s="367"/>
    </row>
    <row r="443">
      <c r="C443" s="161"/>
      <c r="Y443" s="367"/>
    </row>
    <row r="444">
      <c r="C444" s="161"/>
      <c r="Y444" s="367"/>
    </row>
    <row r="445">
      <c r="C445" s="161"/>
      <c r="Y445" s="367"/>
    </row>
    <row r="446">
      <c r="C446" s="161"/>
      <c r="Y446" s="367"/>
    </row>
    <row r="447">
      <c r="C447" s="161"/>
      <c r="Y447" s="367"/>
    </row>
    <row r="448">
      <c r="C448" s="161"/>
      <c r="Y448" s="367"/>
    </row>
    <row r="449">
      <c r="C449" s="161"/>
      <c r="Y449" s="367"/>
    </row>
    <row r="450">
      <c r="C450" s="161"/>
      <c r="Y450" s="367"/>
    </row>
    <row r="451">
      <c r="C451" s="161"/>
      <c r="Y451" s="367"/>
    </row>
    <row r="452">
      <c r="C452" s="161"/>
      <c r="Y452" s="367"/>
    </row>
    <row r="453">
      <c r="C453" s="161"/>
      <c r="Y453" s="367"/>
    </row>
    <row r="454">
      <c r="C454" s="161"/>
      <c r="Y454" s="367"/>
    </row>
    <row r="455">
      <c r="C455" s="161"/>
      <c r="Y455" s="367"/>
    </row>
    <row r="456">
      <c r="C456" s="161"/>
      <c r="Y456" s="367"/>
    </row>
    <row r="457">
      <c r="C457" s="161"/>
      <c r="Y457" s="367"/>
    </row>
    <row r="458">
      <c r="C458" s="161"/>
      <c r="Y458" s="367"/>
    </row>
    <row r="459">
      <c r="C459" s="161"/>
      <c r="Y459" s="367"/>
    </row>
    <row r="460">
      <c r="C460" s="161"/>
      <c r="Y460" s="367"/>
    </row>
    <row r="461">
      <c r="C461" s="161"/>
      <c r="Y461" s="367"/>
    </row>
    <row r="462">
      <c r="C462" s="161"/>
      <c r="Y462" s="367"/>
    </row>
    <row r="463">
      <c r="C463" s="161"/>
      <c r="Y463" s="367"/>
    </row>
    <row r="464">
      <c r="C464" s="161"/>
      <c r="Y464" s="367"/>
    </row>
    <row r="465">
      <c r="C465" s="161"/>
      <c r="Y465" s="367"/>
    </row>
    <row r="466">
      <c r="C466" s="161"/>
      <c r="Y466" s="367"/>
    </row>
    <row r="467">
      <c r="C467" s="161"/>
      <c r="Y467" s="367"/>
    </row>
    <row r="468">
      <c r="C468" s="161"/>
      <c r="Y468" s="367"/>
    </row>
    <row r="469">
      <c r="C469" s="161"/>
      <c r="Y469" s="367"/>
    </row>
    <row r="470">
      <c r="C470" s="161"/>
      <c r="Y470" s="367"/>
    </row>
    <row r="471">
      <c r="C471" s="161"/>
      <c r="Y471" s="367"/>
    </row>
    <row r="472">
      <c r="C472" s="161"/>
      <c r="Y472" s="367"/>
    </row>
    <row r="473">
      <c r="C473" s="161"/>
      <c r="Y473" s="367"/>
    </row>
    <row r="474">
      <c r="C474" s="161"/>
      <c r="Y474" s="367"/>
    </row>
    <row r="475">
      <c r="C475" s="161"/>
      <c r="Y475" s="367"/>
    </row>
    <row r="476">
      <c r="C476" s="161"/>
      <c r="Y476" s="367"/>
    </row>
    <row r="477">
      <c r="C477" s="161"/>
      <c r="Y477" s="367"/>
    </row>
    <row r="478">
      <c r="C478" s="161"/>
      <c r="Y478" s="367"/>
    </row>
    <row r="479">
      <c r="C479" s="161"/>
      <c r="Y479" s="367"/>
    </row>
    <row r="480">
      <c r="C480" s="161"/>
      <c r="Y480" s="367"/>
    </row>
    <row r="481">
      <c r="C481" s="161"/>
      <c r="Y481" s="367"/>
    </row>
    <row r="482">
      <c r="C482" s="161"/>
      <c r="Y482" s="367"/>
    </row>
    <row r="483">
      <c r="C483" s="161"/>
      <c r="Y483" s="367"/>
    </row>
    <row r="484">
      <c r="C484" s="161"/>
      <c r="Y484" s="367"/>
    </row>
    <row r="485">
      <c r="C485" s="161"/>
      <c r="Y485" s="367"/>
    </row>
    <row r="486">
      <c r="C486" s="161"/>
      <c r="Y486" s="367"/>
    </row>
    <row r="487">
      <c r="C487" s="161"/>
      <c r="Y487" s="367"/>
    </row>
    <row r="488">
      <c r="C488" s="161"/>
      <c r="Y488" s="367"/>
    </row>
    <row r="489">
      <c r="C489" s="161"/>
      <c r="Y489" s="367"/>
    </row>
    <row r="490">
      <c r="C490" s="161"/>
      <c r="Y490" s="367"/>
    </row>
    <row r="491">
      <c r="C491" s="161"/>
      <c r="Y491" s="367"/>
    </row>
    <row r="492">
      <c r="C492" s="161"/>
      <c r="Y492" s="367"/>
    </row>
    <row r="493">
      <c r="C493" s="161"/>
      <c r="Y493" s="367"/>
    </row>
    <row r="494">
      <c r="C494" s="161"/>
      <c r="Y494" s="367"/>
    </row>
    <row r="495">
      <c r="C495" s="161"/>
      <c r="Y495" s="367"/>
    </row>
    <row r="496">
      <c r="C496" s="161"/>
      <c r="Y496" s="367"/>
    </row>
    <row r="497">
      <c r="C497" s="161"/>
      <c r="Y497" s="367"/>
    </row>
    <row r="498">
      <c r="C498" s="161"/>
      <c r="Y498" s="367"/>
    </row>
    <row r="499">
      <c r="C499" s="161"/>
      <c r="Y499" s="367"/>
    </row>
    <row r="500">
      <c r="C500" s="161"/>
      <c r="Y500" s="367"/>
    </row>
    <row r="501">
      <c r="C501" s="161"/>
      <c r="Y501" s="367"/>
    </row>
    <row r="502">
      <c r="C502" s="161"/>
      <c r="Y502" s="367"/>
    </row>
    <row r="503">
      <c r="C503" s="161"/>
      <c r="Y503" s="367"/>
    </row>
    <row r="504">
      <c r="C504" s="161"/>
      <c r="Y504" s="367"/>
    </row>
    <row r="505">
      <c r="C505" s="161"/>
      <c r="Y505" s="367"/>
    </row>
    <row r="506">
      <c r="C506" s="161"/>
      <c r="Y506" s="367"/>
    </row>
    <row r="507">
      <c r="C507" s="161"/>
      <c r="Y507" s="367"/>
    </row>
    <row r="508">
      <c r="C508" s="161"/>
      <c r="Y508" s="367"/>
    </row>
    <row r="509">
      <c r="C509" s="161"/>
      <c r="Y509" s="367"/>
    </row>
    <row r="510">
      <c r="C510" s="161"/>
      <c r="Y510" s="367"/>
    </row>
    <row r="511">
      <c r="C511" s="161"/>
      <c r="Y511" s="367"/>
    </row>
    <row r="512">
      <c r="C512" s="161"/>
      <c r="Y512" s="367"/>
    </row>
    <row r="513">
      <c r="C513" s="161"/>
      <c r="Y513" s="367"/>
    </row>
    <row r="514">
      <c r="C514" s="161"/>
      <c r="Y514" s="367"/>
    </row>
    <row r="515">
      <c r="C515" s="161"/>
      <c r="Y515" s="367"/>
    </row>
    <row r="516">
      <c r="C516" s="161"/>
      <c r="Y516" s="367"/>
    </row>
    <row r="517">
      <c r="C517" s="161"/>
      <c r="Y517" s="367"/>
    </row>
    <row r="518">
      <c r="C518" s="161"/>
      <c r="Y518" s="367"/>
    </row>
    <row r="519">
      <c r="C519" s="161"/>
      <c r="Y519" s="367"/>
    </row>
    <row r="520">
      <c r="C520" s="161"/>
      <c r="Y520" s="367"/>
    </row>
    <row r="521">
      <c r="C521" s="161"/>
      <c r="Y521" s="367"/>
    </row>
    <row r="522">
      <c r="C522" s="161"/>
      <c r="Y522" s="367"/>
    </row>
    <row r="523">
      <c r="C523" s="161"/>
      <c r="Y523" s="367"/>
    </row>
    <row r="524">
      <c r="C524" s="161"/>
      <c r="Y524" s="367"/>
    </row>
    <row r="525">
      <c r="C525" s="161"/>
      <c r="Y525" s="367"/>
    </row>
    <row r="526">
      <c r="C526" s="161"/>
      <c r="Y526" s="367"/>
    </row>
    <row r="527">
      <c r="C527" s="161"/>
      <c r="Y527" s="367"/>
    </row>
    <row r="528">
      <c r="C528" s="161"/>
      <c r="Y528" s="367"/>
    </row>
    <row r="529">
      <c r="C529" s="161"/>
      <c r="Y529" s="367"/>
    </row>
    <row r="530">
      <c r="C530" s="161"/>
      <c r="Y530" s="367"/>
    </row>
    <row r="531">
      <c r="C531" s="161"/>
      <c r="Y531" s="367"/>
    </row>
    <row r="532">
      <c r="C532" s="161"/>
      <c r="Y532" s="367"/>
    </row>
    <row r="533">
      <c r="C533" s="161"/>
      <c r="Y533" s="367"/>
    </row>
    <row r="534">
      <c r="C534" s="161"/>
      <c r="Y534" s="367"/>
    </row>
    <row r="535">
      <c r="C535" s="161"/>
      <c r="Y535" s="367"/>
    </row>
    <row r="536">
      <c r="C536" s="161"/>
      <c r="Y536" s="367"/>
    </row>
    <row r="537">
      <c r="C537" s="161"/>
      <c r="Y537" s="367"/>
    </row>
    <row r="538">
      <c r="C538" s="161"/>
      <c r="Y538" s="367"/>
    </row>
    <row r="539">
      <c r="C539" s="161"/>
      <c r="Y539" s="367"/>
    </row>
    <row r="540">
      <c r="C540" s="161"/>
      <c r="Y540" s="367"/>
    </row>
    <row r="541">
      <c r="C541" s="161"/>
      <c r="Y541" s="367"/>
    </row>
    <row r="542">
      <c r="C542" s="161"/>
      <c r="Y542" s="367"/>
    </row>
    <row r="543">
      <c r="C543" s="161"/>
      <c r="Y543" s="367"/>
    </row>
    <row r="544">
      <c r="C544" s="161"/>
      <c r="Y544" s="367"/>
    </row>
    <row r="545">
      <c r="C545" s="161"/>
      <c r="Y545" s="367"/>
    </row>
    <row r="546">
      <c r="C546" s="161"/>
      <c r="Y546" s="367"/>
    </row>
    <row r="547">
      <c r="C547" s="161"/>
      <c r="Y547" s="367"/>
    </row>
    <row r="548">
      <c r="C548" s="161"/>
      <c r="Y548" s="367"/>
    </row>
    <row r="549">
      <c r="C549" s="161"/>
      <c r="Y549" s="367"/>
    </row>
    <row r="550">
      <c r="C550" s="161"/>
      <c r="Y550" s="367"/>
    </row>
    <row r="551">
      <c r="C551" s="161"/>
      <c r="Y551" s="367"/>
    </row>
    <row r="552">
      <c r="C552" s="161"/>
      <c r="Y552" s="367"/>
    </row>
    <row r="553">
      <c r="C553" s="161"/>
      <c r="Y553" s="367"/>
    </row>
    <row r="554">
      <c r="C554" s="161"/>
      <c r="Y554" s="367"/>
    </row>
    <row r="555">
      <c r="C555" s="161"/>
      <c r="Y555" s="367"/>
    </row>
    <row r="556">
      <c r="C556" s="161"/>
      <c r="Y556" s="367"/>
    </row>
    <row r="557">
      <c r="C557" s="161"/>
      <c r="Y557" s="367"/>
    </row>
    <row r="558">
      <c r="C558" s="161"/>
      <c r="Y558" s="367"/>
    </row>
    <row r="559">
      <c r="C559" s="161"/>
      <c r="Y559" s="367"/>
    </row>
    <row r="560">
      <c r="C560" s="161"/>
      <c r="Y560" s="367"/>
    </row>
    <row r="561">
      <c r="C561" s="161"/>
      <c r="Y561" s="367"/>
    </row>
    <row r="562">
      <c r="C562" s="161"/>
      <c r="Y562" s="367"/>
    </row>
    <row r="563">
      <c r="C563" s="161"/>
      <c r="Y563" s="367"/>
    </row>
    <row r="564">
      <c r="C564" s="161"/>
      <c r="Y564" s="367"/>
    </row>
    <row r="565">
      <c r="C565" s="161"/>
      <c r="Y565" s="367"/>
    </row>
    <row r="566">
      <c r="C566" s="161"/>
      <c r="Y566" s="367"/>
    </row>
    <row r="567">
      <c r="C567" s="161"/>
      <c r="Y567" s="367"/>
    </row>
    <row r="568">
      <c r="C568" s="161"/>
      <c r="Y568" s="367"/>
    </row>
    <row r="569">
      <c r="C569" s="161"/>
      <c r="Y569" s="367"/>
    </row>
    <row r="570">
      <c r="C570" s="161"/>
      <c r="Y570" s="367"/>
    </row>
    <row r="571">
      <c r="C571" s="161"/>
      <c r="Y571" s="367"/>
    </row>
    <row r="572">
      <c r="C572" s="161"/>
      <c r="Y572" s="367"/>
    </row>
    <row r="573">
      <c r="C573" s="161"/>
      <c r="Y573" s="367"/>
    </row>
    <row r="574">
      <c r="C574" s="161"/>
      <c r="Y574" s="367"/>
    </row>
    <row r="575">
      <c r="C575" s="161"/>
      <c r="Y575" s="367"/>
    </row>
    <row r="576">
      <c r="C576" s="161"/>
      <c r="Y576" s="367"/>
    </row>
    <row r="577">
      <c r="C577" s="161"/>
      <c r="Y577" s="367"/>
    </row>
    <row r="578">
      <c r="C578" s="161"/>
      <c r="Y578" s="367"/>
    </row>
    <row r="579">
      <c r="C579" s="161"/>
      <c r="Y579" s="367"/>
    </row>
    <row r="580">
      <c r="C580" s="161"/>
      <c r="Y580" s="367"/>
    </row>
    <row r="581">
      <c r="C581" s="161"/>
      <c r="Y581" s="367"/>
    </row>
    <row r="582">
      <c r="C582" s="161"/>
      <c r="Y582" s="367"/>
    </row>
    <row r="583">
      <c r="C583" s="161"/>
      <c r="Y583" s="367"/>
    </row>
    <row r="584">
      <c r="C584" s="161"/>
      <c r="Y584" s="367"/>
    </row>
    <row r="585">
      <c r="C585" s="161"/>
      <c r="Y585" s="367"/>
    </row>
    <row r="586">
      <c r="C586" s="161"/>
      <c r="Y586" s="367"/>
    </row>
    <row r="587">
      <c r="C587" s="161"/>
      <c r="Y587" s="367"/>
    </row>
    <row r="588">
      <c r="C588" s="161"/>
      <c r="Y588" s="367"/>
    </row>
    <row r="589">
      <c r="C589" s="161"/>
      <c r="Y589" s="367"/>
    </row>
    <row r="590">
      <c r="C590" s="161"/>
      <c r="Y590" s="367"/>
    </row>
    <row r="591">
      <c r="C591" s="161"/>
      <c r="Y591" s="367"/>
    </row>
    <row r="592">
      <c r="C592" s="161"/>
      <c r="Y592" s="367"/>
    </row>
    <row r="593">
      <c r="C593" s="161"/>
      <c r="Y593" s="367"/>
    </row>
    <row r="594">
      <c r="C594" s="161"/>
      <c r="Y594" s="367"/>
    </row>
    <row r="595">
      <c r="C595" s="161"/>
      <c r="Y595" s="367"/>
    </row>
    <row r="596">
      <c r="C596" s="161"/>
      <c r="Y596" s="367"/>
    </row>
    <row r="597">
      <c r="C597" s="161"/>
      <c r="Y597" s="367"/>
    </row>
    <row r="598">
      <c r="C598" s="161"/>
      <c r="Y598" s="367"/>
    </row>
    <row r="599">
      <c r="C599" s="161"/>
      <c r="Y599" s="367"/>
    </row>
    <row r="600">
      <c r="C600" s="161"/>
      <c r="Y600" s="367"/>
    </row>
    <row r="601">
      <c r="C601" s="161"/>
      <c r="Y601" s="367"/>
    </row>
    <row r="602">
      <c r="C602" s="161"/>
      <c r="Y602" s="367"/>
    </row>
    <row r="603">
      <c r="C603" s="161"/>
      <c r="Y603" s="367"/>
    </row>
    <row r="604">
      <c r="C604" s="161"/>
      <c r="Y604" s="367"/>
    </row>
    <row r="605">
      <c r="C605" s="161"/>
      <c r="Y605" s="367"/>
    </row>
    <row r="606">
      <c r="C606" s="161"/>
      <c r="Y606" s="367"/>
    </row>
    <row r="607">
      <c r="C607" s="161"/>
      <c r="Y607" s="367"/>
    </row>
    <row r="608">
      <c r="C608" s="161"/>
      <c r="Y608" s="367"/>
    </row>
    <row r="609">
      <c r="C609" s="161"/>
      <c r="Y609" s="367"/>
    </row>
    <row r="610">
      <c r="C610" s="161"/>
      <c r="Y610" s="367"/>
    </row>
    <row r="611">
      <c r="C611" s="161"/>
      <c r="Y611" s="367"/>
    </row>
    <row r="612">
      <c r="C612" s="161"/>
      <c r="Y612" s="367"/>
    </row>
    <row r="613">
      <c r="C613" s="161"/>
      <c r="Y613" s="367"/>
    </row>
    <row r="614">
      <c r="C614" s="161"/>
      <c r="Y614" s="367"/>
    </row>
    <row r="615">
      <c r="C615" s="161"/>
      <c r="Y615" s="367"/>
    </row>
    <row r="616">
      <c r="C616" s="161"/>
      <c r="Y616" s="367"/>
    </row>
    <row r="617">
      <c r="C617" s="161"/>
      <c r="Y617" s="367"/>
    </row>
    <row r="618">
      <c r="C618" s="161"/>
      <c r="Y618" s="367"/>
    </row>
    <row r="619">
      <c r="C619" s="161"/>
      <c r="Y619" s="367"/>
    </row>
    <row r="620">
      <c r="C620" s="161"/>
      <c r="Y620" s="367"/>
    </row>
    <row r="621">
      <c r="C621" s="161"/>
      <c r="Y621" s="367"/>
    </row>
    <row r="622">
      <c r="C622" s="161"/>
      <c r="Y622" s="367"/>
    </row>
    <row r="623">
      <c r="C623" s="161"/>
      <c r="Y623" s="367"/>
    </row>
    <row r="624">
      <c r="C624" s="161"/>
      <c r="Y624" s="367"/>
    </row>
    <row r="625">
      <c r="C625" s="161"/>
      <c r="Y625" s="367"/>
    </row>
    <row r="626">
      <c r="C626" s="161"/>
      <c r="Y626" s="367"/>
    </row>
    <row r="627">
      <c r="C627" s="161"/>
      <c r="Y627" s="367"/>
    </row>
    <row r="628">
      <c r="C628" s="161"/>
      <c r="Y628" s="367"/>
    </row>
    <row r="629">
      <c r="C629" s="161"/>
      <c r="Y629" s="367"/>
    </row>
    <row r="630">
      <c r="C630" s="161"/>
      <c r="Y630" s="367"/>
    </row>
    <row r="631">
      <c r="C631" s="161"/>
      <c r="Y631" s="367"/>
    </row>
    <row r="632">
      <c r="C632" s="161"/>
      <c r="Y632" s="367"/>
    </row>
    <row r="633">
      <c r="C633" s="161"/>
      <c r="Y633" s="367"/>
    </row>
    <row r="634">
      <c r="C634" s="161"/>
      <c r="Y634" s="367"/>
    </row>
    <row r="635">
      <c r="C635" s="161"/>
      <c r="Y635" s="367"/>
    </row>
    <row r="636">
      <c r="C636" s="161"/>
      <c r="Y636" s="367"/>
    </row>
    <row r="637">
      <c r="C637" s="161"/>
      <c r="Y637" s="367"/>
    </row>
    <row r="638">
      <c r="C638" s="161"/>
      <c r="Y638" s="367"/>
    </row>
    <row r="639">
      <c r="C639" s="161"/>
      <c r="Y639" s="367"/>
    </row>
    <row r="640">
      <c r="C640" s="161"/>
      <c r="Y640" s="367"/>
    </row>
    <row r="641">
      <c r="C641" s="161"/>
      <c r="Y641" s="367"/>
    </row>
    <row r="642">
      <c r="C642" s="161"/>
      <c r="Y642" s="367"/>
    </row>
    <row r="643">
      <c r="C643" s="161"/>
      <c r="Y643" s="367"/>
    </row>
    <row r="644">
      <c r="C644" s="161"/>
      <c r="Y644" s="367"/>
    </row>
    <row r="645">
      <c r="C645" s="161"/>
      <c r="Y645" s="367"/>
    </row>
    <row r="646">
      <c r="C646" s="161"/>
      <c r="Y646" s="367"/>
    </row>
    <row r="647">
      <c r="C647" s="161"/>
      <c r="Y647" s="367"/>
    </row>
    <row r="648">
      <c r="C648" s="161"/>
      <c r="Y648" s="367"/>
    </row>
    <row r="649">
      <c r="C649" s="161"/>
      <c r="Y649" s="367"/>
    </row>
    <row r="650">
      <c r="C650" s="161"/>
      <c r="Y650" s="367"/>
    </row>
    <row r="651">
      <c r="C651" s="161"/>
      <c r="Y651" s="367"/>
    </row>
    <row r="652">
      <c r="C652" s="161"/>
      <c r="Y652" s="367"/>
    </row>
    <row r="653">
      <c r="C653" s="161"/>
      <c r="Y653" s="367"/>
    </row>
    <row r="654">
      <c r="C654" s="161"/>
      <c r="Y654" s="367"/>
    </row>
    <row r="655">
      <c r="C655" s="161"/>
      <c r="Y655" s="367"/>
    </row>
    <row r="656">
      <c r="C656" s="161"/>
      <c r="Y656" s="367"/>
    </row>
    <row r="657">
      <c r="C657" s="161"/>
      <c r="Y657" s="367"/>
    </row>
    <row r="658">
      <c r="C658" s="161"/>
      <c r="Y658" s="367"/>
    </row>
    <row r="659">
      <c r="C659" s="161"/>
      <c r="Y659" s="367"/>
    </row>
    <row r="660">
      <c r="C660" s="161"/>
      <c r="Y660" s="367"/>
    </row>
    <row r="661">
      <c r="C661" s="161"/>
      <c r="Y661" s="367"/>
    </row>
    <row r="662">
      <c r="C662" s="161"/>
      <c r="Y662" s="367"/>
    </row>
    <row r="663">
      <c r="C663" s="161"/>
      <c r="Y663" s="367"/>
    </row>
    <row r="664">
      <c r="C664" s="161"/>
      <c r="Y664" s="367"/>
    </row>
    <row r="665">
      <c r="C665" s="161"/>
      <c r="Y665" s="367"/>
    </row>
    <row r="666">
      <c r="C666" s="161"/>
      <c r="Y666" s="367"/>
    </row>
    <row r="667">
      <c r="C667" s="161"/>
      <c r="Y667" s="367"/>
    </row>
    <row r="668">
      <c r="C668" s="161"/>
      <c r="Y668" s="367"/>
    </row>
    <row r="669">
      <c r="C669" s="161"/>
      <c r="Y669" s="367"/>
    </row>
    <row r="670">
      <c r="C670" s="161"/>
      <c r="Y670" s="367"/>
    </row>
    <row r="671">
      <c r="C671" s="161"/>
      <c r="Y671" s="367"/>
    </row>
    <row r="672">
      <c r="C672" s="161"/>
      <c r="Y672" s="367"/>
    </row>
    <row r="673">
      <c r="C673" s="161"/>
      <c r="Y673" s="367"/>
    </row>
    <row r="674">
      <c r="C674" s="161"/>
      <c r="Y674" s="367"/>
    </row>
    <row r="675">
      <c r="C675" s="161"/>
      <c r="Y675" s="367"/>
    </row>
    <row r="676">
      <c r="C676" s="161"/>
      <c r="Y676" s="367"/>
    </row>
    <row r="677">
      <c r="C677" s="161"/>
      <c r="Y677" s="367"/>
    </row>
    <row r="678">
      <c r="C678" s="161"/>
      <c r="Y678" s="367"/>
    </row>
    <row r="679">
      <c r="C679" s="161"/>
      <c r="Y679" s="367"/>
    </row>
    <row r="680">
      <c r="C680" s="161"/>
      <c r="Y680" s="367"/>
    </row>
    <row r="681">
      <c r="C681" s="161"/>
      <c r="Y681" s="367"/>
    </row>
    <row r="682">
      <c r="C682" s="161"/>
      <c r="Y682" s="367"/>
    </row>
    <row r="683">
      <c r="C683" s="161"/>
      <c r="Y683" s="367"/>
    </row>
    <row r="684">
      <c r="C684" s="161"/>
      <c r="Y684" s="367"/>
    </row>
    <row r="685">
      <c r="C685" s="161"/>
      <c r="Y685" s="367"/>
    </row>
    <row r="686">
      <c r="C686" s="161"/>
      <c r="Y686" s="367"/>
    </row>
    <row r="687">
      <c r="C687" s="161"/>
      <c r="Y687" s="367"/>
    </row>
    <row r="688">
      <c r="C688" s="161"/>
      <c r="Y688" s="367"/>
    </row>
    <row r="689">
      <c r="C689" s="161"/>
      <c r="Y689" s="367"/>
    </row>
    <row r="690">
      <c r="C690" s="161"/>
      <c r="Y690" s="367"/>
    </row>
    <row r="691">
      <c r="C691" s="161"/>
      <c r="Y691" s="367"/>
    </row>
    <row r="692">
      <c r="C692" s="161"/>
      <c r="Y692" s="367"/>
    </row>
    <row r="693">
      <c r="C693" s="161"/>
      <c r="Y693" s="367"/>
    </row>
    <row r="694">
      <c r="C694" s="161"/>
      <c r="Y694" s="367"/>
    </row>
    <row r="695">
      <c r="C695" s="161"/>
      <c r="Y695" s="367"/>
    </row>
    <row r="696">
      <c r="C696" s="161"/>
      <c r="Y696" s="367"/>
    </row>
    <row r="697">
      <c r="C697" s="161"/>
      <c r="Y697" s="367"/>
    </row>
    <row r="698">
      <c r="C698" s="161"/>
      <c r="Y698" s="367"/>
    </row>
    <row r="699">
      <c r="C699" s="161"/>
      <c r="Y699" s="367"/>
    </row>
    <row r="700">
      <c r="C700" s="161"/>
      <c r="Y700" s="367"/>
    </row>
    <row r="701">
      <c r="C701" s="161"/>
      <c r="Y701" s="367"/>
    </row>
    <row r="702">
      <c r="C702" s="161"/>
      <c r="Y702" s="367"/>
    </row>
    <row r="703">
      <c r="C703" s="161"/>
      <c r="Y703" s="367"/>
    </row>
    <row r="704">
      <c r="C704" s="161"/>
      <c r="Y704" s="367"/>
    </row>
    <row r="705">
      <c r="C705" s="161"/>
      <c r="Y705" s="367"/>
    </row>
    <row r="706">
      <c r="C706" s="161"/>
      <c r="Y706" s="367"/>
    </row>
    <row r="707">
      <c r="C707" s="161"/>
      <c r="Y707" s="367"/>
    </row>
    <row r="708">
      <c r="C708" s="161"/>
      <c r="Y708" s="367"/>
    </row>
    <row r="709">
      <c r="C709" s="161"/>
      <c r="Y709" s="367"/>
    </row>
    <row r="710">
      <c r="C710" s="161"/>
      <c r="Y710" s="367"/>
    </row>
    <row r="711">
      <c r="C711" s="161"/>
      <c r="Y711" s="367"/>
    </row>
    <row r="712">
      <c r="C712" s="161"/>
      <c r="Y712" s="367"/>
    </row>
    <row r="713">
      <c r="C713" s="161"/>
      <c r="Y713" s="367"/>
    </row>
    <row r="714">
      <c r="C714" s="161"/>
      <c r="Y714" s="367"/>
    </row>
    <row r="715">
      <c r="C715" s="161"/>
      <c r="Y715" s="367"/>
    </row>
    <row r="716">
      <c r="C716" s="161"/>
      <c r="Y716" s="367"/>
    </row>
    <row r="717">
      <c r="C717" s="161"/>
      <c r="Y717" s="367"/>
    </row>
    <row r="718">
      <c r="C718" s="161"/>
      <c r="Y718" s="367"/>
    </row>
    <row r="719">
      <c r="C719" s="161"/>
      <c r="Y719" s="367"/>
    </row>
    <row r="720">
      <c r="C720" s="161"/>
      <c r="Y720" s="367"/>
    </row>
    <row r="721">
      <c r="C721" s="161"/>
      <c r="Y721" s="367"/>
    </row>
    <row r="722">
      <c r="C722" s="161"/>
      <c r="Y722" s="367"/>
    </row>
    <row r="723">
      <c r="C723" s="161"/>
      <c r="Y723" s="367"/>
    </row>
    <row r="724">
      <c r="C724" s="161"/>
      <c r="Y724" s="367"/>
    </row>
    <row r="725">
      <c r="C725" s="161"/>
      <c r="Y725" s="367"/>
    </row>
    <row r="726">
      <c r="C726" s="161"/>
      <c r="Y726" s="367"/>
    </row>
    <row r="727">
      <c r="C727" s="161"/>
      <c r="Y727" s="367"/>
    </row>
    <row r="728">
      <c r="C728" s="161"/>
      <c r="Y728" s="367"/>
    </row>
    <row r="729">
      <c r="C729" s="161"/>
      <c r="Y729" s="367"/>
    </row>
    <row r="730">
      <c r="C730" s="161"/>
      <c r="Y730" s="367"/>
    </row>
    <row r="731">
      <c r="C731" s="161"/>
      <c r="Y731" s="367"/>
    </row>
    <row r="732">
      <c r="C732" s="161"/>
      <c r="Y732" s="367"/>
    </row>
    <row r="733">
      <c r="C733" s="161"/>
      <c r="Y733" s="367"/>
    </row>
    <row r="734">
      <c r="C734" s="161"/>
      <c r="Y734" s="367"/>
    </row>
    <row r="735">
      <c r="C735" s="161"/>
      <c r="Y735" s="367"/>
    </row>
    <row r="736">
      <c r="C736" s="161"/>
      <c r="Y736" s="367"/>
    </row>
    <row r="737">
      <c r="C737" s="161"/>
      <c r="Y737" s="367"/>
    </row>
    <row r="738">
      <c r="C738" s="161"/>
      <c r="Y738" s="367"/>
    </row>
    <row r="739">
      <c r="C739" s="161"/>
      <c r="Y739" s="367"/>
    </row>
    <row r="740">
      <c r="C740" s="161"/>
      <c r="Y740" s="367"/>
    </row>
    <row r="741">
      <c r="C741" s="161"/>
      <c r="Y741" s="367"/>
    </row>
    <row r="742">
      <c r="C742" s="161"/>
      <c r="Y742" s="367"/>
    </row>
    <row r="743">
      <c r="C743" s="161"/>
      <c r="Y743" s="367"/>
    </row>
    <row r="744">
      <c r="C744" s="161"/>
      <c r="Y744" s="367"/>
    </row>
    <row r="745">
      <c r="C745" s="161"/>
      <c r="Y745" s="367"/>
    </row>
    <row r="746">
      <c r="C746" s="161"/>
      <c r="Y746" s="367"/>
    </row>
    <row r="747">
      <c r="C747" s="161"/>
      <c r="Y747" s="367"/>
    </row>
    <row r="748">
      <c r="C748" s="161"/>
      <c r="Y748" s="367"/>
    </row>
    <row r="749">
      <c r="C749" s="161"/>
      <c r="Y749" s="367"/>
    </row>
    <row r="750">
      <c r="C750" s="161"/>
      <c r="Y750" s="367"/>
    </row>
    <row r="751">
      <c r="C751" s="161"/>
      <c r="Y751" s="367"/>
    </row>
    <row r="752">
      <c r="C752" s="161"/>
      <c r="Y752" s="367"/>
    </row>
    <row r="753">
      <c r="C753" s="161"/>
      <c r="Y753" s="367"/>
    </row>
    <row r="754">
      <c r="C754" s="161"/>
      <c r="Y754" s="367"/>
    </row>
    <row r="755">
      <c r="C755" s="161"/>
      <c r="Y755" s="367"/>
    </row>
    <row r="756">
      <c r="C756" s="161"/>
      <c r="Y756" s="367"/>
    </row>
    <row r="757">
      <c r="C757" s="161"/>
      <c r="Y757" s="367"/>
    </row>
    <row r="758">
      <c r="C758" s="161"/>
      <c r="Y758" s="367"/>
    </row>
    <row r="759">
      <c r="C759" s="161"/>
      <c r="Y759" s="367"/>
    </row>
    <row r="760">
      <c r="C760" s="161"/>
      <c r="Y760" s="367"/>
    </row>
    <row r="761">
      <c r="C761" s="161"/>
      <c r="Y761" s="367"/>
    </row>
    <row r="762">
      <c r="C762" s="161"/>
      <c r="Y762" s="367"/>
    </row>
    <row r="763">
      <c r="C763" s="161"/>
      <c r="Y763" s="367"/>
    </row>
    <row r="764">
      <c r="C764" s="161"/>
      <c r="Y764" s="367"/>
    </row>
    <row r="765">
      <c r="C765" s="161"/>
      <c r="Y765" s="367"/>
    </row>
    <row r="766">
      <c r="C766" s="161"/>
      <c r="Y766" s="367"/>
    </row>
    <row r="767">
      <c r="C767" s="161"/>
      <c r="Y767" s="367"/>
    </row>
    <row r="768">
      <c r="C768" s="161"/>
      <c r="Y768" s="367"/>
    </row>
    <row r="769">
      <c r="C769" s="161"/>
      <c r="Y769" s="367"/>
    </row>
    <row r="770">
      <c r="C770" s="161"/>
      <c r="Y770" s="367"/>
    </row>
    <row r="771">
      <c r="C771" s="161"/>
      <c r="Y771" s="367"/>
    </row>
    <row r="772">
      <c r="C772" s="161"/>
      <c r="Y772" s="367"/>
    </row>
    <row r="773">
      <c r="C773" s="161"/>
      <c r="Y773" s="367"/>
    </row>
    <row r="774">
      <c r="C774" s="161"/>
      <c r="Y774" s="367"/>
    </row>
    <row r="775">
      <c r="C775" s="161"/>
      <c r="Y775" s="367"/>
    </row>
    <row r="776">
      <c r="C776" s="161"/>
      <c r="Y776" s="367"/>
    </row>
    <row r="777">
      <c r="C777" s="161"/>
      <c r="Y777" s="367"/>
    </row>
    <row r="778">
      <c r="C778" s="161"/>
      <c r="Y778" s="367"/>
    </row>
    <row r="779">
      <c r="C779" s="161"/>
      <c r="Y779" s="367"/>
    </row>
    <row r="780">
      <c r="C780" s="161"/>
      <c r="Y780" s="367"/>
    </row>
    <row r="781">
      <c r="C781" s="161"/>
      <c r="Y781" s="367"/>
    </row>
    <row r="782">
      <c r="C782" s="161"/>
      <c r="Y782" s="367"/>
    </row>
    <row r="783">
      <c r="C783" s="161"/>
      <c r="Y783" s="367"/>
    </row>
    <row r="784">
      <c r="C784" s="161"/>
      <c r="Y784" s="367"/>
    </row>
    <row r="785">
      <c r="C785" s="161"/>
      <c r="Y785" s="367"/>
    </row>
    <row r="786">
      <c r="C786" s="161"/>
      <c r="Y786" s="367"/>
    </row>
    <row r="787">
      <c r="C787" s="161"/>
      <c r="Y787" s="367"/>
    </row>
    <row r="788">
      <c r="C788" s="161"/>
      <c r="Y788" s="367"/>
    </row>
    <row r="789">
      <c r="C789" s="161"/>
      <c r="Y789" s="367"/>
    </row>
    <row r="790">
      <c r="C790" s="161"/>
      <c r="Y790" s="367"/>
    </row>
    <row r="791">
      <c r="C791" s="161"/>
      <c r="Y791" s="367"/>
    </row>
    <row r="792">
      <c r="C792" s="161"/>
      <c r="Y792" s="367"/>
    </row>
    <row r="793">
      <c r="C793" s="161"/>
      <c r="Y793" s="367"/>
    </row>
    <row r="794">
      <c r="C794" s="161"/>
      <c r="Y794" s="367"/>
    </row>
    <row r="795">
      <c r="C795" s="161"/>
      <c r="Y795" s="367"/>
    </row>
    <row r="796">
      <c r="C796" s="161"/>
      <c r="Y796" s="367"/>
    </row>
    <row r="797">
      <c r="C797" s="161"/>
      <c r="Y797" s="367"/>
    </row>
    <row r="798">
      <c r="C798" s="161"/>
      <c r="Y798" s="367"/>
    </row>
    <row r="799">
      <c r="C799" s="161"/>
      <c r="Y799" s="367"/>
    </row>
    <row r="800">
      <c r="C800" s="161"/>
      <c r="Y800" s="367"/>
    </row>
    <row r="801">
      <c r="C801" s="161"/>
      <c r="Y801" s="367"/>
    </row>
    <row r="802">
      <c r="C802" s="161"/>
      <c r="Y802" s="367"/>
    </row>
    <row r="803">
      <c r="C803" s="161"/>
      <c r="Y803" s="367"/>
    </row>
    <row r="804">
      <c r="C804" s="161"/>
      <c r="Y804" s="367"/>
    </row>
    <row r="805">
      <c r="C805" s="161"/>
      <c r="Y805" s="367"/>
    </row>
    <row r="806">
      <c r="C806" s="161"/>
      <c r="Y806" s="367"/>
    </row>
    <row r="807">
      <c r="C807" s="161"/>
      <c r="Y807" s="367"/>
    </row>
    <row r="808">
      <c r="C808" s="161"/>
      <c r="Y808" s="367"/>
    </row>
    <row r="809">
      <c r="C809" s="161"/>
      <c r="Y809" s="367"/>
    </row>
    <row r="810">
      <c r="C810" s="161"/>
      <c r="Y810" s="367"/>
    </row>
    <row r="811">
      <c r="C811" s="161"/>
      <c r="Y811" s="367"/>
    </row>
    <row r="812">
      <c r="C812" s="161"/>
      <c r="Y812" s="367"/>
    </row>
    <row r="813">
      <c r="C813" s="161"/>
      <c r="Y813" s="367"/>
    </row>
    <row r="814">
      <c r="C814" s="161"/>
      <c r="Y814" s="367"/>
    </row>
    <row r="815">
      <c r="C815" s="161"/>
      <c r="Y815" s="367"/>
    </row>
    <row r="816">
      <c r="C816" s="161"/>
      <c r="Y816" s="367"/>
    </row>
    <row r="817">
      <c r="C817" s="161"/>
      <c r="Y817" s="367"/>
    </row>
    <row r="818">
      <c r="C818" s="161"/>
      <c r="Y818" s="367"/>
    </row>
    <row r="819">
      <c r="C819" s="161"/>
      <c r="Y819" s="367"/>
    </row>
    <row r="820">
      <c r="C820" s="161"/>
      <c r="Y820" s="367"/>
    </row>
    <row r="821">
      <c r="C821" s="161"/>
      <c r="Y821" s="367"/>
    </row>
    <row r="822">
      <c r="C822" s="161"/>
      <c r="Y822" s="367"/>
    </row>
    <row r="823">
      <c r="C823" s="161"/>
      <c r="Y823" s="367"/>
    </row>
    <row r="824">
      <c r="C824" s="161"/>
      <c r="Y824" s="367"/>
    </row>
    <row r="825">
      <c r="C825" s="161"/>
      <c r="Y825" s="367"/>
    </row>
    <row r="826">
      <c r="C826" s="161"/>
      <c r="Y826" s="367"/>
    </row>
    <row r="827">
      <c r="C827" s="161"/>
      <c r="Y827" s="367"/>
    </row>
    <row r="828">
      <c r="C828" s="161"/>
      <c r="Y828" s="367"/>
    </row>
    <row r="829">
      <c r="C829" s="161"/>
      <c r="Y829" s="367"/>
    </row>
    <row r="830">
      <c r="C830" s="161"/>
      <c r="Y830" s="367"/>
    </row>
    <row r="831">
      <c r="C831" s="161"/>
      <c r="Y831" s="367"/>
    </row>
    <row r="832">
      <c r="C832" s="161"/>
      <c r="Y832" s="367"/>
    </row>
    <row r="833">
      <c r="C833" s="161"/>
      <c r="Y833" s="367"/>
    </row>
    <row r="834">
      <c r="C834" s="161"/>
      <c r="Y834" s="367"/>
    </row>
    <row r="835">
      <c r="C835" s="161"/>
      <c r="Y835" s="367"/>
    </row>
    <row r="836">
      <c r="C836" s="161"/>
      <c r="Y836" s="367"/>
    </row>
    <row r="837">
      <c r="C837" s="161"/>
      <c r="Y837" s="367"/>
    </row>
    <row r="838">
      <c r="C838" s="161"/>
      <c r="Y838" s="367"/>
    </row>
    <row r="839">
      <c r="C839" s="161"/>
      <c r="Y839" s="367"/>
    </row>
    <row r="840">
      <c r="C840" s="161"/>
      <c r="Y840" s="367"/>
    </row>
    <row r="841">
      <c r="C841" s="161"/>
      <c r="Y841" s="367"/>
    </row>
    <row r="842">
      <c r="C842" s="161"/>
      <c r="Y842" s="367"/>
    </row>
    <row r="843">
      <c r="C843" s="161"/>
      <c r="Y843" s="367"/>
    </row>
    <row r="844">
      <c r="C844" s="161"/>
      <c r="Y844" s="367"/>
    </row>
    <row r="845">
      <c r="C845" s="161"/>
      <c r="Y845" s="367"/>
    </row>
    <row r="846">
      <c r="C846" s="161"/>
      <c r="Y846" s="367"/>
    </row>
    <row r="847">
      <c r="C847" s="161"/>
      <c r="Y847" s="367"/>
    </row>
    <row r="848">
      <c r="C848" s="161"/>
      <c r="Y848" s="367"/>
    </row>
    <row r="849">
      <c r="C849" s="161"/>
      <c r="Y849" s="367"/>
    </row>
    <row r="850">
      <c r="C850" s="161"/>
      <c r="Y850" s="367"/>
    </row>
    <row r="851">
      <c r="C851" s="161"/>
      <c r="Y851" s="367"/>
    </row>
    <row r="852">
      <c r="C852" s="161"/>
      <c r="Y852" s="367"/>
    </row>
    <row r="853">
      <c r="C853" s="161"/>
      <c r="Y853" s="367"/>
    </row>
    <row r="854">
      <c r="C854" s="161"/>
      <c r="Y854" s="367"/>
    </row>
    <row r="855">
      <c r="C855" s="161"/>
      <c r="Y855" s="367"/>
    </row>
    <row r="856">
      <c r="C856" s="161"/>
      <c r="Y856" s="367"/>
    </row>
    <row r="857">
      <c r="C857" s="161"/>
      <c r="Y857" s="367"/>
    </row>
    <row r="858">
      <c r="C858" s="161"/>
      <c r="Y858" s="367"/>
    </row>
    <row r="859">
      <c r="C859" s="161"/>
      <c r="Y859" s="367"/>
    </row>
    <row r="860">
      <c r="C860" s="161"/>
      <c r="Y860" s="367"/>
    </row>
    <row r="861">
      <c r="C861" s="161"/>
      <c r="Y861" s="367"/>
    </row>
    <row r="862">
      <c r="C862" s="161"/>
      <c r="Y862" s="367"/>
    </row>
    <row r="863">
      <c r="C863" s="161"/>
      <c r="Y863" s="367"/>
    </row>
    <row r="864">
      <c r="C864" s="161"/>
      <c r="Y864" s="367"/>
    </row>
    <row r="865">
      <c r="C865" s="161"/>
      <c r="Y865" s="367"/>
    </row>
    <row r="866">
      <c r="C866" s="161"/>
      <c r="Y866" s="367"/>
    </row>
    <row r="867">
      <c r="C867" s="161"/>
      <c r="Y867" s="367"/>
    </row>
    <row r="868">
      <c r="C868" s="161"/>
      <c r="Y868" s="367"/>
    </row>
    <row r="869">
      <c r="C869" s="161"/>
      <c r="Y869" s="367"/>
    </row>
    <row r="870">
      <c r="C870" s="161"/>
      <c r="Y870" s="367"/>
    </row>
    <row r="871">
      <c r="C871" s="161"/>
      <c r="Y871" s="367"/>
    </row>
    <row r="872">
      <c r="C872" s="161"/>
      <c r="Y872" s="367"/>
    </row>
    <row r="873">
      <c r="C873" s="161"/>
      <c r="Y873" s="367"/>
    </row>
    <row r="874">
      <c r="C874" s="161"/>
      <c r="Y874" s="367"/>
    </row>
    <row r="875">
      <c r="C875" s="161"/>
      <c r="Y875" s="367"/>
    </row>
    <row r="876">
      <c r="C876" s="161"/>
      <c r="Y876" s="367"/>
    </row>
    <row r="877">
      <c r="C877" s="161"/>
      <c r="Y877" s="367"/>
    </row>
    <row r="878">
      <c r="C878" s="161"/>
      <c r="Y878" s="367"/>
    </row>
    <row r="879">
      <c r="C879" s="161"/>
      <c r="Y879" s="367"/>
    </row>
    <row r="880">
      <c r="C880" s="161"/>
      <c r="Y880" s="367"/>
    </row>
    <row r="881">
      <c r="C881" s="161"/>
      <c r="Y881" s="367"/>
    </row>
    <row r="882">
      <c r="C882" s="161"/>
      <c r="Y882" s="367"/>
    </row>
    <row r="883">
      <c r="C883" s="161"/>
      <c r="Y883" s="367"/>
    </row>
    <row r="884">
      <c r="C884" s="161"/>
      <c r="Y884" s="367"/>
    </row>
    <row r="885">
      <c r="C885" s="161"/>
      <c r="Y885" s="367"/>
    </row>
    <row r="886">
      <c r="C886" s="161"/>
      <c r="Y886" s="367"/>
    </row>
    <row r="887">
      <c r="C887" s="161"/>
      <c r="Y887" s="367"/>
    </row>
    <row r="888">
      <c r="C888" s="161"/>
      <c r="Y888" s="367"/>
    </row>
    <row r="889">
      <c r="C889" s="161"/>
      <c r="Y889" s="367"/>
    </row>
    <row r="890">
      <c r="C890" s="161"/>
      <c r="Y890" s="367"/>
    </row>
    <row r="891">
      <c r="C891" s="161"/>
      <c r="Y891" s="367"/>
    </row>
    <row r="892">
      <c r="C892" s="161"/>
      <c r="Y892" s="367"/>
    </row>
    <row r="893">
      <c r="C893" s="161"/>
      <c r="Y893" s="367"/>
    </row>
    <row r="894">
      <c r="C894" s="161"/>
      <c r="Y894" s="367"/>
    </row>
    <row r="895">
      <c r="C895" s="161"/>
      <c r="Y895" s="367"/>
    </row>
    <row r="896">
      <c r="C896" s="161"/>
      <c r="Y896" s="367"/>
    </row>
    <row r="897">
      <c r="C897" s="161"/>
      <c r="Y897" s="367"/>
    </row>
    <row r="898">
      <c r="C898" s="161"/>
      <c r="Y898" s="367"/>
    </row>
    <row r="899">
      <c r="C899" s="161"/>
      <c r="Y899" s="367"/>
    </row>
    <row r="900">
      <c r="C900" s="161"/>
      <c r="Y900" s="367"/>
    </row>
    <row r="901">
      <c r="C901" s="161"/>
      <c r="Y901" s="367"/>
    </row>
    <row r="902">
      <c r="C902" s="161"/>
      <c r="Y902" s="367"/>
    </row>
    <row r="903">
      <c r="C903" s="161"/>
      <c r="Y903" s="367"/>
    </row>
    <row r="904">
      <c r="C904" s="161"/>
      <c r="Y904" s="367"/>
    </row>
    <row r="905">
      <c r="C905" s="161"/>
      <c r="Y905" s="367"/>
    </row>
    <row r="906">
      <c r="C906" s="161"/>
      <c r="Y906" s="367"/>
    </row>
    <row r="907">
      <c r="C907" s="161"/>
      <c r="Y907" s="367"/>
    </row>
    <row r="908">
      <c r="C908" s="161"/>
      <c r="Y908" s="367"/>
    </row>
    <row r="909">
      <c r="C909" s="161"/>
      <c r="Y909" s="367"/>
    </row>
    <row r="910">
      <c r="C910" s="161"/>
      <c r="Y910" s="367"/>
    </row>
    <row r="911">
      <c r="C911" s="161"/>
      <c r="Y911" s="367"/>
    </row>
    <row r="912">
      <c r="C912" s="161"/>
      <c r="Y912" s="367"/>
    </row>
    <row r="913">
      <c r="C913" s="161"/>
      <c r="Y913" s="367"/>
    </row>
    <row r="914">
      <c r="C914" s="161"/>
      <c r="Y914" s="367"/>
    </row>
    <row r="915">
      <c r="C915" s="161"/>
      <c r="Y915" s="367"/>
    </row>
    <row r="916">
      <c r="C916" s="161"/>
      <c r="Y916" s="367"/>
    </row>
    <row r="917">
      <c r="C917" s="161"/>
      <c r="Y917" s="367"/>
    </row>
    <row r="918">
      <c r="C918" s="161"/>
      <c r="Y918" s="367"/>
    </row>
    <row r="919">
      <c r="C919" s="161"/>
      <c r="Y919" s="367"/>
    </row>
    <row r="920">
      <c r="C920" s="161"/>
      <c r="Y920" s="367"/>
    </row>
    <row r="921">
      <c r="C921" s="161"/>
      <c r="Y921" s="367"/>
    </row>
    <row r="922">
      <c r="C922" s="161"/>
      <c r="Y922" s="367"/>
    </row>
    <row r="923">
      <c r="C923" s="161"/>
      <c r="Y923" s="367"/>
    </row>
    <row r="924">
      <c r="C924" s="161"/>
      <c r="Y924" s="367"/>
    </row>
    <row r="925">
      <c r="C925" s="161"/>
      <c r="Y925" s="367"/>
    </row>
    <row r="926">
      <c r="C926" s="161"/>
      <c r="Y926" s="367"/>
    </row>
    <row r="927">
      <c r="C927" s="161"/>
      <c r="Y927" s="367"/>
    </row>
    <row r="928">
      <c r="C928" s="161"/>
      <c r="Y928" s="367"/>
    </row>
    <row r="929">
      <c r="C929" s="161"/>
      <c r="Y929" s="367"/>
    </row>
    <row r="930">
      <c r="C930" s="161"/>
      <c r="Y930" s="367"/>
    </row>
    <row r="931">
      <c r="C931" s="161"/>
      <c r="Y931" s="367"/>
    </row>
    <row r="932">
      <c r="C932" s="161"/>
      <c r="Y932" s="367"/>
    </row>
    <row r="933">
      <c r="C933" s="161"/>
      <c r="Y933" s="367"/>
    </row>
    <row r="934">
      <c r="C934" s="161"/>
      <c r="Y934" s="367"/>
    </row>
    <row r="935">
      <c r="C935" s="161"/>
      <c r="Y935" s="367"/>
    </row>
    <row r="936">
      <c r="C936" s="161"/>
      <c r="Y936" s="367"/>
    </row>
    <row r="937">
      <c r="C937" s="161"/>
      <c r="Y937" s="367"/>
    </row>
    <row r="938">
      <c r="C938" s="161"/>
      <c r="Y938" s="367"/>
    </row>
    <row r="939">
      <c r="C939" s="161"/>
      <c r="Y939" s="367"/>
    </row>
    <row r="940">
      <c r="C940" s="161"/>
      <c r="Y940" s="367"/>
    </row>
    <row r="941">
      <c r="C941" s="161"/>
      <c r="Y941" s="367"/>
    </row>
    <row r="942">
      <c r="C942" s="161"/>
      <c r="Y942" s="367"/>
    </row>
    <row r="943">
      <c r="C943" s="161"/>
      <c r="Y943" s="367"/>
    </row>
    <row r="944">
      <c r="C944" s="161"/>
      <c r="Y944" s="367"/>
    </row>
    <row r="945">
      <c r="C945" s="161"/>
      <c r="Y945" s="367"/>
    </row>
    <row r="946">
      <c r="C946" s="161"/>
      <c r="Y946" s="367"/>
    </row>
    <row r="947">
      <c r="C947" s="161"/>
      <c r="Y947" s="367"/>
    </row>
    <row r="948">
      <c r="C948" s="161"/>
      <c r="Y948" s="367"/>
    </row>
    <row r="949">
      <c r="C949" s="161"/>
      <c r="Y949" s="367"/>
    </row>
    <row r="950">
      <c r="C950" s="161"/>
      <c r="Y950" s="367"/>
    </row>
    <row r="951">
      <c r="C951" s="161"/>
      <c r="Y951" s="367"/>
    </row>
    <row r="952">
      <c r="C952" s="161"/>
      <c r="Y952" s="367"/>
    </row>
    <row r="953">
      <c r="C953" s="161"/>
      <c r="Y953" s="367"/>
    </row>
    <row r="954">
      <c r="C954" s="161"/>
      <c r="Y954" s="367"/>
    </row>
    <row r="955">
      <c r="C955" s="161"/>
      <c r="Y955" s="367"/>
    </row>
    <row r="956">
      <c r="C956" s="161"/>
      <c r="Y956" s="367"/>
    </row>
    <row r="957">
      <c r="C957" s="161"/>
      <c r="Y957" s="367"/>
    </row>
    <row r="958">
      <c r="C958" s="161"/>
      <c r="Y958" s="367"/>
    </row>
    <row r="959">
      <c r="C959" s="161"/>
      <c r="Y959" s="367"/>
    </row>
    <row r="960">
      <c r="C960" s="161"/>
      <c r="Y960" s="367"/>
    </row>
    <row r="961">
      <c r="C961" s="161"/>
      <c r="Y961" s="367"/>
    </row>
    <row r="962">
      <c r="C962" s="161"/>
      <c r="Y962" s="367"/>
    </row>
    <row r="963">
      <c r="C963" s="161"/>
      <c r="Y963" s="367"/>
    </row>
    <row r="964">
      <c r="C964" s="161"/>
      <c r="Y964" s="367"/>
    </row>
    <row r="965">
      <c r="C965" s="161"/>
      <c r="Y965" s="367"/>
    </row>
    <row r="966">
      <c r="C966" s="161"/>
      <c r="Y966" s="367"/>
    </row>
    <row r="967">
      <c r="C967" s="161"/>
      <c r="Y967" s="367"/>
    </row>
    <row r="968">
      <c r="C968" s="161"/>
      <c r="Y968" s="367"/>
    </row>
    <row r="969">
      <c r="C969" s="161"/>
      <c r="Y969" s="367"/>
    </row>
    <row r="970">
      <c r="C970" s="161"/>
      <c r="Y970" s="367"/>
    </row>
    <row r="971">
      <c r="C971" s="161"/>
      <c r="Y971" s="367"/>
    </row>
    <row r="972">
      <c r="C972" s="161"/>
      <c r="Y972" s="367"/>
    </row>
    <row r="973">
      <c r="C973" s="161"/>
      <c r="Y973" s="367"/>
    </row>
    <row r="974">
      <c r="C974" s="161"/>
      <c r="Y974" s="367"/>
    </row>
    <row r="975">
      <c r="C975" s="161"/>
      <c r="Y975" s="367"/>
    </row>
    <row r="976">
      <c r="C976" s="161"/>
      <c r="Y976" s="367"/>
    </row>
    <row r="977">
      <c r="C977" s="161"/>
      <c r="Y977" s="367"/>
    </row>
    <row r="978">
      <c r="C978" s="161"/>
      <c r="Y978" s="367"/>
    </row>
    <row r="979">
      <c r="C979" s="161"/>
      <c r="Y979" s="367"/>
    </row>
    <row r="980">
      <c r="C980" s="161"/>
      <c r="Y980" s="367"/>
    </row>
    <row r="981">
      <c r="C981" s="161"/>
      <c r="Y981" s="367"/>
    </row>
    <row r="982">
      <c r="C982" s="161"/>
      <c r="Y982" s="367"/>
    </row>
    <row r="983">
      <c r="C983" s="161"/>
      <c r="Y983" s="367"/>
    </row>
    <row r="984">
      <c r="C984" s="161"/>
      <c r="Y984" s="367"/>
    </row>
    <row r="985">
      <c r="C985" s="161"/>
      <c r="Y985" s="367"/>
    </row>
    <row r="986">
      <c r="C986" s="161"/>
      <c r="Y986" s="367"/>
    </row>
    <row r="987">
      <c r="C987" s="161"/>
      <c r="Y987" s="367"/>
    </row>
    <row r="988">
      <c r="C988" s="161"/>
      <c r="Y988" s="367"/>
    </row>
    <row r="989">
      <c r="C989" s="161"/>
      <c r="Y989" s="367"/>
    </row>
    <row r="990">
      <c r="C990" s="161"/>
      <c r="Y990" s="367"/>
    </row>
    <row r="991">
      <c r="C991" s="161"/>
      <c r="Y991" s="367"/>
    </row>
    <row r="992">
      <c r="C992" s="161"/>
      <c r="Y992" s="367"/>
    </row>
    <row r="993">
      <c r="C993" s="161"/>
      <c r="Y993" s="367"/>
    </row>
    <row r="994">
      <c r="C994" s="161"/>
      <c r="Y994" s="367"/>
    </row>
    <row r="995">
      <c r="C995" s="161"/>
      <c r="Y995" s="367"/>
    </row>
    <row r="996">
      <c r="C996" s="161"/>
      <c r="Y996" s="367"/>
    </row>
    <row r="997">
      <c r="C997" s="161"/>
      <c r="Y997" s="367"/>
    </row>
    <row r="998">
      <c r="C998" s="161"/>
      <c r="Y998" s="367"/>
    </row>
  </sheetData>
  <mergeCells count="7">
    <mergeCell ref="F1:H1"/>
    <mergeCell ref="B4:C4"/>
    <mergeCell ref="F4:G4"/>
    <mergeCell ref="H4:I4"/>
    <mergeCell ref="J4:K4"/>
    <mergeCell ref="L4:M4"/>
    <mergeCell ref="N4:O4"/>
  </mergeCells>
  <drawing r:id="rId1"/>
</worksheet>
</file>

<file path=xl/worksheets/sheet10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2" max="12" width="13.5"/>
  </cols>
  <sheetData>
    <row r="1">
      <c r="A1" s="167"/>
      <c r="B1" s="168" t="s">
        <v>123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</row>
    <row r="2">
      <c r="A2" s="169" t="s">
        <v>172</v>
      </c>
      <c r="B2" s="170" t="s">
        <v>174</v>
      </c>
      <c r="C2" s="171" t="s">
        <v>693</v>
      </c>
      <c r="D2" s="172" t="s">
        <v>694</v>
      </c>
      <c r="E2" s="172" t="s">
        <v>695</v>
      </c>
      <c r="F2" s="172" t="s">
        <v>179</v>
      </c>
      <c r="G2" s="172" t="s">
        <v>696</v>
      </c>
      <c r="H2" s="173" t="s">
        <v>697</v>
      </c>
      <c r="I2" s="174" t="s">
        <v>84</v>
      </c>
      <c r="J2" s="170" t="s">
        <v>698</v>
      </c>
      <c r="K2" s="175" t="s">
        <v>699</v>
      </c>
      <c r="L2" s="173" t="s">
        <v>89</v>
      </c>
      <c r="M2" s="176" t="s">
        <v>700</v>
      </c>
      <c r="N2" s="177" t="s">
        <v>701</v>
      </c>
      <c r="O2" s="177" t="s">
        <v>702</v>
      </c>
      <c r="P2" s="178" t="s">
        <v>90</v>
      </c>
      <c r="Q2" s="325" t="s">
        <v>703</v>
      </c>
    </row>
    <row r="3">
      <c r="A3" s="326" t="s">
        <v>1554</v>
      </c>
      <c r="B3" s="251">
        <f t="array" ref="B3">VLOOKUP($A3,WY_DEMO,2,FALSE)</f>
        <v>37066</v>
      </c>
      <c r="C3" s="252">
        <f>IF(vlookup(A3,'WY Data'!$A$4:$B$28,2,FALSE)="&lt;5","NULL",vlookup(A3,'WY Data'!$A$4:$B$28,2,FALSE))</f>
        <v>23</v>
      </c>
      <c r="D3" s="253" t="s">
        <v>63</v>
      </c>
      <c r="E3" s="253" t="s">
        <v>63</v>
      </c>
      <c r="F3" s="253" t="str">
        <f>iferror(IF(vlookup(A3,'WY Data'!$A$34:$B$54,2,FALSE)="&lt;5","NULL",vlookup(A3,'WY Data'!$A$34:$B$54,2,FALSE)),"NULL")</f>
        <v>NULL</v>
      </c>
      <c r="G3" s="253" t="s">
        <v>63</v>
      </c>
      <c r="H3" s="254">
        <f>VLOOKUP(A3,'WY Data'!$A$112:$D$136,4,FALSE)</f>
        <v>13</v>
      </c>
      <c r="I3" s="255" t="str">
        <f>iferror(IF(vlookup(A3,'WY Data'!$B$60:$E$79,4,FALSE)="&lt;5","NULL",vlookup(A3,'WY Data'!$B$60:$E$79,4,FALSE)),"NULL")</f>
        <v>NULL</v>
      </c>
      <c r="J3" s="256" t="s">
        <v>63</v>
      </c>
      <c r="K3" s="274" t="s">
        <v>63</v>
      </c>
      <c r="L3" s="254">
        <f>iferror(IF(vlookup(A3,'WY Data'!$A$83:$C$108,3,FALSE)="&lt;5","NULL",vlookup(A3,'WY Data'!$A$83:$C$108,3,FALSE)),"NULL")</f>
        <v>40</v>
      </c>
      <c r="M3" s="258" t="s">
        <v>63</v>
      </c>
      <c r="N3" s="253" t="s">
        <v>63</v>
      </c>
      <c r="O3" s="253" t="s">
        <v>63</v>
      </c>
      <c r="P3" s="261">
        <f>ifna(vlookup(A3,'Population &amp; Church Numbers'!$A$3122:$D$3144,4,FALSE),"NULL")</f>
        <v>29</v>
      </c>
      <c r="Q3" s="329" t="s">
        <v>63</v>
      </c>
    </row>
    <row r="4">
      <c r="A4" s="188" t="s">
        <v>1432</v>
      </c>
      <c r="B4" s="189">
        <f t="array" ref="B4">VLOOKUP($A4,WY_DEMO,2,FALSE)</f>
        <v>11521</v>
      </c>
      <c r="C4" s="264">
        <f>IF(vlookup(A4,'WY Data'!$A$4:$B$28,2,FALSE)="&lt;5","NULL",vlookup(A4,'WY Data'!$A$4:$B$28,2,FALSE))</f>
        <v>15</v>
      </c>
      <c r="D4" s="265" t="s">
        <v>63</v>
      </c>
      <c r="E4" s="265" t="s">
        <v>63</v>
      </c>
      <c r="F4" s="265">
        <f>iferror(IF(vlookup(A4,'WY Data'!$A$34:$B$54,2,FALSE)="&lt;5","NULL",vlookup(A4,'WY Data'!$A$34:$B$54,2,FALSE)),"NULL")</f>
        <v>11</v>
      </c>
      <c r="G4" s="265" t="s">
        <v>63</v>
      </c>
      <c r="H4" s="266">
        <f>VLOOKUP(A4,'WY Data'!$A$112:$D$136,4,FALSE)</f>
        <v>10</v>
      </c>
      <c r="I4" s="267" t="str">
        <f>iferror(IF(vlookup(A4,'WY Data'!$B$60:$E$79,4,FALSE)="&lt;5","NULL",vlookup(A4,'WY Data'!$B$60:$E$79,4,FALSE)),"NULL")</f>
        <v>NULL</v>
      </c>
      <c r="J4" s="268" t="s">
        <v>63</v>
      </c>
      <c r="K4" s="284" t="s">
        <v>63</v>
      </c>
      <c r="L4" s="266">
        <f>iferror(IF(vlookup(A4,'WY Data'!$A$83:$C$108,3,FALSE)="&lt;5","NULL",vlookup(A4,'WY Data'!$A$83:$C$108,3,FALSE)),"NULL")</f>
        <v>16</v>
      </c>
      <c r="M4" s="267" t="s">
        <v>63</v>
      </c>
      <c r="N4" s="265" t="s">
        <v>63</v>
      </c>
      <c r="O4" s="265" t="s">
        <v>63</v>
      </c>
      <c r="P4" s="272">
        <f>ifna(vlookup(A4,'Population &amp; Church Numbers'!$A$3122:$D$3144,4,FALSE),"NULL")</f>
        <v>21</v>
      </c>
      <c r="Q4" s="334" t="s">
        <v>63</v>
      </c>
    </row>
    <row r="5">
      <c r="A5" s="326" t="s">
        <v>1036</v>
      </c>
      <c r="B5" s="251">
        <f t="array" ref="B5">VLOOKUP($A5,WY_DEMO,2,FALSE)</f>
        <v>47026</v>
      </c>
      <c r="C5" s="252">
        <f>IF(vlookup(A5,'WY Data'!$A$4:$B$28,2,FALSE)="&lt;5","NULL",vlookup(A5,'WY Data'!$A$4:$B$28,2,FALSE))</f>
        <v>61</v>
      </c>
      <c r="D5" s="253" t="s">
        <v>63</v>
      </c>
      <c r="E5" s="253" t="s">
        <v>63</v>
      </c>
      <c r="F5" s="253">
        <f>iferror(IF(vlookup(A5,'WY Data'!$A$34:$B$54,2,FALSE)="&lt;5","NULL",vlookup(A5,'WY Data'!$A$34:$B$54,2,FALSE)),"NULL")</f>
        <v>16</v>
      </c>
      <c r="G5" s="253" t="s">
        <v>63</v>
      </c>
      <c r="H5" s="254">
        <f>VLOOKUP(A5,'WY Data'!$A$112:$D$136,4,FALSE)</f>
        <v>38</v>
      </c>
      <c r="I5" s="255">
        <f>iferror(IF(vlookup(A5,'WY Data'!$B$60:$E$79,4,FALSE)="&lt;5","NULL",vlookup(A5,'WY Data'!$B$60:$E$79,4,FALSE)),"NULL")</f>
        <v>16</v>
      </c>
      <c r="J5" s="256" t="s">
        <v>63</v>
      </c>
      <c r="K5" s="274" t="s">
        <v>63</v>
      </c>
      <c r="L5" s="254">
        <f>iferror(IF(vlookup(A5,'WY Data'!$A$83:$C$108,3,FALSE)="&lt;5","NULL",vlookup(A5,'WY Data'!$A$83:$C$108,3,FALSE)),"NULL")</f>
        <v>143</v>
      </c>
      <c r="M5" s="255" t="s">
        <v>63</v>
      </c>
      <c r="N5" s="253" t="s">
        <v>63</v>
      </c>
      <c r="O5" s="253" t="s">
        <v>63</v>
      </c>
      <c r="P5" s="261">
        <f>ifna(vlookup(A5,'Population &amp; Church Numbers'!$A$3122:$D$3144,4,FALSE),"NULL")</f>
        <v>35</v>
      </c>
      <c r="Q5" s="329" t="s">
        <v>63</v>
      </c>
    </row>
    <row r="6">
      <c r="A6" s="188" t="s">
        <v>1434</v>
      </c>
      <c r="B6" s="189">
        <f t="array" ref="B6">VLOOKUP($A6,WY_DEMO,2,FALSE)</f>
        <v>14537</v>
      </c>
      <c r="C6" s="264">
        <f>IF(vlookup(A6,'WY Data'!$A$4:$B$28,2,FALSE)="&lt;5","NULL",vlookup(A6,'WY Data'!$A$4:$B$28,2,FALSE))</f>
        <v>41</v>
      </c>
      <c r="D6" s="265" t="s">
        <v>63</v>
      </c>
      <c r="E6" s="265" t="s">
        <v>63</v>
      </c>
      <c r="F6" s="265">
        <f>iferror(IF(vlookup(A6,'WY Data'!$A$34:$B$54,2,FALSE)="&lt;5","NULL",vlookup(A6,'WY Data'!$A$34:$B$54,2,FALSE)),"NULL")</f>
        <v>14</v>
      </c>
      <c r="G6" s="265" t="s">
        <v>63</v>
      </c>
      <c r="H6" s="266">
        <f>VLOOKUP(A6,'WY Data'!$A$112:$D$136,4,FALSE)</f>
        <v>11</v>
      </c>
      <c r="I6" s="267">
        <f>iferror(IF(vlookup(A6,'WY Data'!$B$60:$E$79,4,FALSE)="&lt;5","NULL",vlookup(A6,'WY Data'!$B$60:$E$79,4,FALSE)),"NULL")</f>
        <v>6</v>
      </c>
      <c r="J6" s="268" t="s">
        <v>63</v>
      </c>
      <c r="K6" s="284" t="s">
        <v>63</v>
      </c>
      <c r="L6" s="266">
        <f>iferror(IF(vlookup(A6,'WY Data'!$A$83:$C$108,3,FALSE)="&lt;5","NULL",vlookup(A6,'WY Data'!$A$83:$C$108,3,FALSE)),"NULL")</f>
        <v>23</v>
      </c>
      <c r="M6" s="267" t="s">
        <v>63</v>
      </c>
      <c r="N6" s="265" t="s">
        <v>63</v>
      </c>
      <c r="O6" s="265" t="s">
        <v>63</v>
      </c>
      <c r="P6" s="272">
        <f>ifna(vlookup(A6,'Population &amp; Church Numbers'!$A$3122:$D$3144,4,FALSE),"NULL")</f>
        <v>27</v>
      </c>
      <c r="Q6" s="334" t="s">
        <v>63</v>
      </c>
    </row>
    <row r="7">
      <c r="A7" s="326" t="s">
        <v>2380</v>
      </c>
      <c r="B7" s="251">
        <f t="array" ref="B7">VLOOKUP($A7,WY_DEMO,2,FALSE)</f>
        <v>13751</v>
      </c>
      <c r="C7" s="252">
        <f>IF(vlookup(A7,'WY Data'!$A$4:$B$28,2,FALSE)="&lt;5","NULL",vlookup(A7,'WY Data'!$A$4:$B$28,2,FALSE))</f>
        <v>19</v>
      </c>
      <c r="D7" s="253" t="s">
        <v>63</v>
      </c>
      <c r="E7" s="253" t="s">
        <v>63</v>
      </c>
      <c r="F7" s="253" t="str">
        <f>iferror(IF(vlookup(A7,'WY Data'!$A$34:$B$54,2,FALSE)="&lt;5","NULL",vlookup(A7,'WY Data'!$A$34:$B$54,2,FALSE)),"NULL")</f>
        <v>NULL</v>
      </c>
      <c r="G7" s="253" t="s">
        <v>63</v>
      </c>
      <c r="H7" s="254">
        <f>VLOOKUP(A7,'WY Data'!$A$112:$D$136,4,FALSE)</f>
        <v>11</v>
      </c>
      <c r="I7" s="255" t="str">
        <f>iferror(IF(vlookup(A7,'WY Data'!$B$60:$E$79,4,FALSE)="&lt;5","NULL",vlookup(A7,'WY Data'!$B$60:$E$79,4,FALSE)),"NULL")</f>
        <v>NULL</v>
      </c>
      <c r="J7" s="256" t="s">
        <v>63</v>
      </c>
      <c r="K7" s="274" t="s">
        <v>63</v>
      </c>
      <c r="L7" s="254">
        <f>iferror(IF(vlookup(A7,'WY Data'!$A$83:$C$108,3,FALSE)="&lt;5","NULL",vlookup(A7,'WY Data'!$A$83:$C$108,3,FALSE)),"NULL")</f>
        <v>31</v>
      </c>
      <c r="M7" s="255" t="s">
        <v>63</v>
      </c>
      <c r="N7" s="253" t="s">
        <v>63</v>
      </c>
      <c r="O7" s="253" t="s">
        <v>63</v>
      </c>
      <c r="P7" s="261">
        <f>ifna(vlookup(A7,'Population &amp; Church Numbers'!$A$3122:$D$3144,4,FALSE),"NULL")</f>
        <v>20</v>
      </c>
      <c r="Q7" s="329" t="s">
        <v>63</v>
      </c>
    </row>
    <row r="8">
      <c r="A8" s="188" t="s">
        <v>1770</v>
      </c>
      <c r="B8" s="189">
        <f t="array" ref="B8">VLOOKUP($A8,WY_DEMO,2,FALSE)</f>
        <v>7181</v>
      </c>
      <c r="C8" s="264">
        <f>IF(vlookup(A8,'WY Data'!$A$4:$B$28,2,FALSE)="&lt;5","NULL",vlookup(A8,'WY Data'!$A$4:$B$28,2,FALSE))</f>
        <v>7</v>
      </c>
      <c r="D8" s="265" t="s">
        <v>63</v>
      </c>
      <c r="E8" s="265" t="s">
        <v>63</v>
      </c>
      <c r="F8" s="265" t="str">
        <f>iferror(IF(vlookup(A8,'WY Data'!$A$34:$B$54,2,FALSE)="&lt;5","NULL",vlookup(A8,'WY Data'!$A$34:$B$54,2,FALSE)),"NULL")</f>
        <v>NULL</v>
      </c>
      <c r="G8" s="265" t="s">
        <v>63</v>
      </c>
      <c r="H8" s="266">
        <f>VLOOKUP(A8,'WY Data'!$A$112:$D$136,4,FALSE)</f>
        <v>4</v>
      </c>
      <c r="I8" s="267" t="str">
        <f>iferror(IF(vlookup(A8,'WY Data'!$B$60:$E$79,4,FALSE)="&lt;5","NULL",vlookup(A8,'WY Data'!$B$60:$E$79,4,FALSE)),"NULL")</f>
        <v>NULL</v>
      </c>
      <c r="J8" s="268" t="s">
        <v>63</v>
      </c>
      <c r="K8" s="284" t="s">
        <v>63</v>
      </c>
      <c r="L8" s="266">
        <f>iferror(IF(vlookup(A8,'WY Data'!$A$83:$C$108,3,FALSE)="&lt;5","NULL",vlookup(A8,'WY Data'!$A$83:$C$108,3,FALSE)),"NULL")</f>
        <v>20</v>
      </c>
      <c r="M8" s="267" t="s">
        <v>63</v>
      </c>
      <c r="N8" s="265" t="s">
        <v>63</v>
      </c>
      <c r="O8" s="265" t="s">
        <v>63</v>
      </c>
      <c r="P8" s="272">
        <f>ifna(vlookup(A8,'Population &amp; Church Numbers'!$A$3122:$D$3144,4,FALSE),"NULL")</f>
        <v>16</v>
      </c>
      <c r="Q8" s="334" t="s">
        <v>63</v>
      </c>
    </row>
    <row r="9">
      <c r="A9" s="326" t="s">
        <v>416</v>
      </c>
      <c r="B9" s="251">
        <f t="array" ref="B9">VLOOKUP($A9,WY_DEMO,2,FALSE)</f>
        <v>39234</v>
      </c>
      <c r="C9" s="252">
        <f>IF(vlookup(A9,'WY Data'!$A$4:$B$28,2,FALSE)="&lt;5","NULL",vlookup(A9,'WY Data'!$A$4:$B$28,2,FALSE))</f>
        <v>38</v>
      </c>
      <c r="D9" s="253" t="s">
        <v>63</v>
      </c>
      <c r="E9" s="253" t="s">
        <v>63</v>
      </c>
      <c r="F9" s="253">
        <f>iferror(IF(vlookup(A9,'WY Data'!$A$34:$B$54,2,FALSE)="&lt;5","NULL",vlookup(A9,'WY Data'!$A$34:$B$54,2,FALSE)),"NULL")</f>
        <v>18</v>
      </c>
      <c r="G9" s="253" t="s">
        <v>63</v>
      </c>
      <c r="H9" s="254">
        <f>VLOOKUP(A9,'WY Data'!$A$112:$D$136,4,FALSE)</f>
        <v>25</v>
      </c>
      <c r="I9" s="255">
        <f>iferror(IF(vlookup(A9,'WY Data'!$B$60:$E$79,4,FALSE)="&lt;5","NULL",vlookup(A9,'WY Data'!$B$60:$E$79,4,FALSE)),"NULL")</f>
        <v>5</v>
      </c>
      <c r="J9" s="256" t="s">
        <v>63</v>
      </c>
      <c r="K9" s="274" t="s">
        <v>63</v>
      </c>
      <c r="L9" s="254">
        <f>iferror(IF(vlookup(A9,'WY Data'!$A$83:$C$108,3,FALSE)="&lt;5","NULL",vlookup(A9,'WY Data'!$A$83:$C$108,3,FALSE)),"NULL")</f>
        <v>72</v>
      </c>
      <c r="M9" s="255" t="s">
        <v>63</v>
      </c>
      <c r="N9" s="253" t="s">
        <v>63</v>
      </c>
      <c r="O9" s="253" t="s">
        <v>63</v>
      </c>
      <c r="P9" s="261">
        <f>ifna(vlookup(A9,'Population &amp; Church Numbers'!$A$3122:$D$3144,4,FALSE),"NULL")</f>
        <v>49</v>
      </c>
      <c r="Q9" s="329" t="s">
        <v>63</v>
      </c>
    </row>
    <row r="10">
      <c r="A10" s="188" t="s">
        <v>2381</v>
      </c>
      <c r="B10" s="189">
        <f t="array" ref="B10">VLOOKUP($A10,WY_DEMO,2,FALSE)</f>
        <v>12498</v>
      </c>
      <c r="C10" s="264">
        <f>IF(vlookup(A10,'WY Data'!$A$4:$B$28,2,FALSE)="&lt;5","NULL",vlookup(A10,'WY Data'!$A$4:$B$28,2,FALSE))</f>
        <v>25</v>
      </c>
      <c r="D10" s="265" t="s">
        <v>63</v>
      </c>
      <c r="E10" s="265" t="s">
        <v>63</v>
      </c>
      <c r="F10" s="265" t="str">
        <f>iferror(IF(vlookup(A10,'WY Data'!$A$34:$B$54,2,FALSE)="&lt;5","NULL",vlookup(A10,'WY Data'!$A$34:$B$54,2,FALSE)),"NULL")</f>
        <v>NULL</v>
      </c>
      <c r="G10" s="265" t="s">
        <v>63</v>
      </c>
      <c r="H10" s="266">
        <f>VLOOKUP(A10,'WY Data'!$A$112:$D$136,4,FALSE)</f>
        <v>18</v>
      </c>
      <c r="I10" s="267" t="str">
        <f>iferror(IF(vlookup(A10,'WY Data'!$B$60:$E$79,4,FALSE)="&lt;5","NULL",vlookup(A10,'WY Data'!$B$60:$E$79,4,FALSE)),"NULL")</f>
        <v>NULL</v>
      </c>
      <c r="J10" s="268" t="s">
        <v>63</v>
      </c>
      <c r="K10" s="284" t="s">
        <v>63</v>
      </c>
      <c r="L10" s="266">
        <f>iferror(IF(vlookup(A10,'WY Data'!$A$83:$C$108,3,FALSE)="&lt;5","NULL",vlookup(A10,'WY Data'!$A$83:$C$108,3,FALSE)),"NULL")</f>
        <v>29</v>
      </c>
      <c r="M10" s="267" t="s">
        <v>63</v>
      </c>
      <c r="N10" s="265" t="s">
        <v>63</v>
      </c>
      <c r="O10" s="265" t="s">
        <v>63</v>
      </c>
      <c r="P10" s="272">
        <f>ifna(vlookup(A10,'Population &amp; Church Numbers'!$A$3122:$D$3144,4,FALSE),"NULL")</f>
        <v>17</v>
      </c>
      <c r="Q10" s="334" t="s">
        <v>63</v>
      </c>
    </row>
    <row r="11">
      <c r="A11" s="326" t="s">
        <v>2382</v>
      </c>
      <c r="B11" s="251">
        <f t="array" ref="B11">VLOOKUP($A11,WY_DEMO,2,FALSE)</f>
        <v>4621</v>
      </c>
      <c r="C11" s="252">
        <f>IF(vlookup(A11,'WY Data'!$A$4:$B$28,2,FALSE)="&lt;5","NULL",vlookup(A11,'WY Data'!$A$4:$B$28,2,FALSE))</f>
        <v>6</v>
      </c>
      <c r="D11" s="253" t="s">
        <v>63</v>
      </c>
      <c r="E11" s="253" t="s">
        <v>63</v>
      </c>
      <c r="F11" s="253" t="str">
        <f>iferror(IF(vlookup(A11,'WY Data'!$A$34:$B$54,2,FALSE)="&lt;5","NULL",vlookup(A11,'WY Data'!$A$34:$B$54,2,FALSE)),"NULL")</f>
        <v>NULL</v>
      </c>
      <c r="G11" s="253" t="s">
        <v>63</v>
      </c>
      <c r="H11" s="254">
        <f>VLOOKUP(A11,'WY Data'!$A$112:$D$136,4,FALSE)</f>
        <v>6</v>
      </c>
      <c r="I11" s="255" t="str">
        <f>iferror(IF(vlookup(A11,'WY Data'!$B$60:$E$79,4,FALSE)="&lt;5","NULL",vlookup(A11,'WY Data'!$B$60:$E$79,4,FALSE)),"NULL")</f>
        <v>NULL</v>
      </c>
      <c r="J11" s="256" t="s">
        <v>63</v>
      </c>
      <c r="K11" s="274" t="s">
        <v>63</v>
      </c>
      <c r="L11" s="254">
        <f>iferror(IF(vlookup(A11,'WY Data'!$A$83:$C$108,3,FALSE)="&lt;5","NULL",vlookup(A11,'WY Data'!$A$83:$C$108,3,FALSE)),"NULL")</f>
        <v>27</v>
      </c>
      <c r="M11" s="255" t="s">
        <v>63</v>
      </c>
      <c r="N11" s="253" t="s">
        <v>63</v>
      </c>
      <c r="O11" s="253" t="s">
        <v>63</v>
      </c>
      <c r="P11" s="261">
        <f>ifna(vlookup(A11,'Population &amp; Church Numbers'!$A$3122:$D$3144,4,FALSE),"NULL")</f>
        <v>9</v>
      </c>
      <c r="Q11" s="329" t="s">
        <v>63</v>
      </c>
    </row>
    <row r="12">
      <c r="A12" s="188" t="s">
        <v>288</v>
      </c>
      <c r="B12" s="189">
        <f t="array" ref="B12">VLOOKUP($A12,WY_DEMO,2,FALSE)</f>
        <v>8447</v>
      </c>
      <c r="C12" s="264">
        <f>IF(vlookup(A12,'WY Data'!$A$4:$B$28,2,FALSE)="&lt;5","NULL",vlookup(A12,'WY Data'!$A$4:$B$28,2,FALSE))</f>
        <v>10</v>
      </c>
      <c r="D12" s="265" t="s">
        <v>63</v>
      </c>
      <c r="E12" s="265" t="s">
        <v>63</v>
      </c>
      <c r="F12" s="265" t="str">
        <f>iferror(IF(vlookup(A12,'WY Data'!$A$34:$B$54,2,FALSE)="&lt;5","NULL",vlookup(A12,'WY Data'!$A$34:$B$54,2,FALSE)),"NULL")</f>
        <v>NULL</v>
      </c>
      <c r="G12" s="265" t="s">
        <v>63</v>
      </c>
      <c r="H12" s="266">
        <f>VLOOKUP(A12,'WY Data'!$A$112:$D$136,4,FALSE)</f>
        <v>8</v>
      </c>
      <c r="I12" s="267" t="str">
        <f>iferror(IF(vlookup(A12,'WY Data'!$B$60:$E$79,4,FALSE)="&lt;5","NULL",vlookup(A12,'WY Data'!$B$60:$E$79,4,FALSE)),"NULL")</f>
        <v>NULL</v>
      </c>
      <c r="J12" s="268" t="s">
        <v>63</v>
      </c>
      <c r="K12" s="284" t="s">
        <v>63</v>
      </c>
      <c r="L12" s="266">
        <f>iferror(IF(vlookup(A12,'WY Data'!$A$83:$C$108,3,FALSE)="&lt;5","NULL",vlookup(A12,'WY Data'!$A$83:$C$108,3,FALSE)),"NULL")</f>
        <v>19</v>
      </c>
      <c r="M12" s="267" t="s">
        <v>63</v>
      </c>
      <c r="N12" s="265" t="s">
        <v>63</v>
      </c>
      <c r="O12" s="265" t="s">
        <v>63</v>
      </c>
      <c r="P12" s="272">
        <f>ifna(vlookup(A12,'Population &amp; Church Numbers'!$A$3122:$D$3144,4,FALSE),"NULL")</f>
        <v>18</v>
      </c>
      <c r="Q12" s="334" t="s">
        <v>63</v>
      </c>
    </row>
    <row r="13">
      <c r="A13" s="326" t="s">
        <v>2383</v>
      </c>
      <c r="B13" s="251">
        <f t="array" ref="B13">VLOOKUP($A13,WY_DEMO,2,FALSE)</f>
        <v>100512</v>
      </c>
      <c r="C13" s="252">
        <f>IF(vlookup(A13,'WY Data'!$A$4:$B$28,2,FALSE)="&lt;5","NULL",vlookup(A13,'WY Data'!$A$4:$B$28,2,FALSE))</f>
        <v>141</v>
      </c>
      <c r="D13" s="253" t="s">
        <v>63</v>
      </c>
      <c r="E13" s="253" t="s">
        <v>63</v>
      </c>
      <c r="F13" s="253">
        <f>iferror(IF(vlookup(A13,'WY Data'!$A$34:$B$54,2,FALSE)="&lt;5","NULL",vlookup(A13,'WY Data'!$A$34:$B$54,2,FALSE)),"NULL")</f>
        <v>48</v>
      </c>
      <c r="G13" s="253" t="s">
        <v>63</v>
      </c>
      <c r="H13" s="254">
        <f>VLOOKUP(A13,'WY Data'!$A$112:$D$136,4,FALSE)</f>
        <v>190</v>
      </c>
      <c r="I13" s="255">
        <f>iferror(IF(vlookup(A13,'WY Data'!$B$60:$E$79,4,FALSE)="&lt;5","NULL",vlookup(A13,'WY Data'!$B$60:$E$79,4,FALSE)),"NULL")</f>
        <v>15</v>
      </c>
      <c r="J13" s="256" t="s">
        <v>63</v>
      </c>
      <c r="K13" s="274" t="s">
        <v>63</v>
      </c>
      <c r="L13" s="254">
        <f>iferror(IF(vlookup(A13,'WY Data'!$A$83:$C$108,3,FALSE)="&lt;5","NULL",vlookup(A13,'WY Data'!$A$83:$C$108,3,FALSE)),"NULL")</f>
        <v>148</v>
      </c>
      <c r="M13" s="255" t="s">
        <v>63</v>
      </c>
      <c r="N13" s="253" t="s">
        <v>63</v>
      </c>
      <c r="O13" s="253" t="s">
        <v>63</v>
      </c>
      <c r="P13" s="261">
        <f>ifna(vlookup(A13,'Population &amp; Church Numbers'!$A$3122:$D$3144,4,FALSE),"NULL")</f>
        <v>92</v>
      </c>
      <c r="Q13" s="329" t="s">
        <v>63</v>
      </c>
    </row>
    <row r="14">
      <c r="A14" s="188" t="s">
        <v>290</v>
      </c>
      <c r="B14" s="189">
        <f t="array" ref="B14">VLOOKUP($A14,WY_DEMO,2,FALSE)</f>
        <v>19581</v>
      </c>
      <c r="C14" s="264" t="str">
        <f>IF(vlookup(A14,'WY Data'!$A$4:$B$28,2,FALSE)="&lt;5","NULL",vlookup(A14,'WY Data'!$A$4:$B$28,2,FALSE))</f>
        <v>NULL</v>
      </c>
      <c r="D14" s="265" t="s">
        <v>63</v>
      </c>
      <c r="E14" s="265" t="s">
        <v>63</v>
      </c>
      <c r="F14" s="265" t="str">
        <f>iferror(IF(vlookup(A14,'WY Data'!$A$34:$B$54,2,FALSE)="&lt;5","NULL",vlookup(A14,'WY Data'!$A$34:$B$54,2,FALSE)),"NULL")</f>
        <v>NULL</v>
      </c>
      <c r="G14" s="265" t="s">
        <v>63</v>
      </c>
      <c r="H14" s="266">
        <f>VLOOKUP(A14,'WY Data'!$A$112:$D$136,4,FALSE)</f>
        <v>15</v>
      </c>
      <c r="I14" s="267" t="str">
        <f>iferror(IF(vlookup(A14,'WY Data'!$B$60:$E$79,4,FALSE)="&lt;5","NULL",vlookup(A14,'WY Data'!$B$60:$E$79,4,FALSE)),"NULL")</f>
        <v>NULL</v>
      </c>
      <c r="J14" s="268" t="s">
        <v>63</v>
      </c>
      <c r="K14" s="284" t="s">
        <v>63</v>
      </c>
      <c r="L14" s="266">
        <f>iferror(IF(vlookup(A14,'WY Data'!$A$83:$C$108,3,FALSE)="&lt;5","NULL",vlookup(A14,'WY Data'!$A$83:$C$108,3,FALSE)),"NULL")</f>
        <v>19</v>
      </c>
      <c r="M14" s="267" t="s">
        <v>63</v>
      </c>
      <c r="N14" s="265" t="s">
        <v>63</v>
      </c>
      <c r="O14" s="265" t="s">
        <v>63</v>
      </c>
      <c r="P14" s="272">
        <f>ifna(vlookup(A14,'Population &amp; Church Numbers'!$A$3122:$D$3144,4,FALSE),"NULL")</f>
        <v>23</v>
      </c>
      <c r="Q14" s="334" t="s">
        <v>63</v>
      </c>
    </row>
    <row r="15">
      <c r="A15" s="326" t="s">
        <v>2384</v>
      </c>
      <c r="B15" s="251">
        <f t="array" ref="B15">VLOOKUP($A15,WY_DEMO,2,FALSE)</f>
        <v>79955</v>
      </c>
      <c r="C15" s="252">
        <f>IF(vlookup(A15,'WY Data'!$A$4:$B$28,2,FALSE)="&lt;5","NULL",vlookup(A15,'WY Data'!$A$4:$B$28,2,FALSE))</f>
        <v>153</v>
      </c>
      <c r="D15" s="253" t="s">
        <v>63</v>
      </c>
      <c r="E15" s="253" t="s">
        <v>63</v>
      </c>
      <c r="F15" s="253">
        <f>iferror(IF(vlookup(A15,'WY Data'!$A$34:$B$54,2,FALSE)="&lt;5","NULL",vlookup(A15,'WY Data'!$A$34:$B$54,2,FALSE)),"NULL")</f>
        <v>51</v>
      </c>
      <c r="G15" s="253" t="s">
        <v>63</v>
      </c>
      <c r="H15" s="254">
        <f>VLOOKUP(A15,'WY Data'!$A$112:$D$136,4,FALSE)</f>
        <v>67</v>
      </c>
      <c r="I15" s="255">
        <f>iferror(IF(vlookup(A15,'WY Data'!$B$60:$E$79,4,FALSE)="&lt;5","NULL",vlookup(A15,'WY Data'!$B$60:$E$79,4,FALSE)),"NULL")</f>
        <v>13</v>
      </c>
      <c r="J15" s="256" t="s">
        <v>63</v>
      </c>
      <c r="K15" s="274" t="s">
        <v>63</v>
      </c>
      <c r="L15" s="254">
        <f>iferror(IF(vlookup(A15,'WY Data'!$A$83:$C$108,3,FALSE)="&lt;5","NULL",vlookup(A15,'WY Data'!$A$83:$C$108,3,FALSE)),"NULL")</f>
        <v>162</v>
      </c>
      <c r="M15" s="255" t="s">
        <v>63</v>
      </c>
      <c r="N15" s="253" t="s">
        <v>63</v>
      </c>
      <c r="O15" s="253" t="s">
        <v>63</v>
      </c>
      <c r="P15" s="261">
        <f>ifna(vlookup(A15,'Population &amp; Church Numbers'!$A$3122:$D$3144,4,FALSE),"NULL")</f>
        <v>61</v>
      </c>
      <c r="Q15" s="329" t="s">
        <v>63</v>
      </c>
    </row>
    <row r="16">
      <c r="A16" s="188" t="s">
        <v>2385</v>
      </c>
      <c r="B16" s="189">
        <f t="array" ref="B16">VLOOKUP($A16,WY_DEMO,2,FALSE)</f>
        <v>2467</v>
      </c>
      <c r="C16" s="264">
        <f>IF(vlookup(A16,'WY Data'!$A$4:$B$28,2,FALSE)="&lt;5","NULL",vlookup(A16,'WY Data'!$A$4:$B$28,2,FALSE))</f>
        <v>7</v>
      </c>
      <c r="D16" s="265" t="s">
        <v>63</v>
      </c>
      <c r="E16" s="265" t="s">
        <v>63</v>
      </c>
      <c r="F16" s="265" t="str">
        <f>iferror(IF(vlookup(A16,'WY Data'!$A$34:$B$54,2,FALSE)="&lt;5","NULL",vlookup(A16,'WY Data'!$A$34:$B$54,2,FALSE)),"NULL")</f>
        <v>NULL</v>
      </c>
      <c r="G16" s="265" t="s">
        <v>63</v>
      </c>
      <c r="H16" s="266">
        <f>VLOOKUP(A16,'WY Data'!$A$112:$D$136,4,FALSE)</f>
        <v>1</v>
      </c>
      <c r="I16" s="267" t="str">
        <f>iferror(IF(vlookup(A16,'WY Data'!$B$60:$E$79,4,FALSE)="&lt;5","NULL",vlookup(A16,'WY Data'!$B$60:$E$79,4,FALSE)),"NULL")</f>
        <v>NULL</v>
      </c>
      <c r="J16" s="268" t="s">
        <v>63</v>
      </c>
      <c r="K16" s="284" t="s">
        <v>63</v>
      </c>
      <c r="L16" s="266" t="str">
        <f>iferror(IF(vlookup(A16,'WY Data'!$A$83:$C$108,3,FALSE)="&lt;5","NULL",vlookup(A16,'WY Data'!$A$83:$C$108,3,FALSE)),"NULL")</f>
        <v>NULL</v>
      </c>
      <c r="M16" s="267" t="s">
        <v>63</v>
      </c>
      <c r="N16" s="265" t="s">
        <v>63</v>
      </c>
      <c r="O16" s="265" t="s">
        <v>63</v>
      </c>
      <c r="P16" s="272">
        <f>ifna(vlookup(A16,'Population &amp; Church Numbers'!$A$3122:$D$3144,4,FALSE),"NULL")</f>
        <v>4</v>
      </c>
      <c r="Q16" s="334" t="s">
        <v>63</v>
      </c>
    </row>
    <row r="17">
      <c r="A17" s="326" t="s">
        <v>445</v>
      </c>
      <c r="B17" s="251">
        <f t="array" ref="B17">VLOOKUP($A17,WY_DEMO,2,FALSE)</f>
        <v>29624</v>
      </c>
      <c r="C17" s="252">
        <f>IF(vlookup(A17,'WY Data'!$A$4:$B$28,2,FALSE)="&lt;5","NULL",vlookup(A17,'WY Data'!$A$4:$B$28,2,FALSE))</f>
        <v>24</v>
      </c>
      <c r="D17" s="253" t="s">
        <v>63</v>
      </c>
      <c r="E17" s="253" t="s">
        <v>63</v>
      </c>
      <c r="F17" s="253">
        <f>iferror(IF(vlookup(A17,'WY Data'!$A$34:$B$54,2,FALSE)="&lt;5","NULL",vlookup(A17,'WY Data'!$A$34:$B$54,2,FALSE)),"NULL")</f>
        <v>11</v>
      </c>
      <c r="G17" s="253" t="s">
        <v>63</v>
      </c>
      <c r="H17" s="254">
        <f>VLOOKUP(A17,'WY Data'!$A$112:$D$136,4,FALSE)</f>
        <v>117</v>
      </c>
      <c r="I17" s="255" t="str">
        <f>iferror(IF(vlookup(A17,'WY Data'!$B$60:$E$79,4,FALSE)="&lt;5","NULL",vlookup(A17,'WY Data'!$B$60:$E$79,4,FALSE)),"NULL")</f>
        <v>NULL</v>
      </c>
      <c r="J17" s="256" t="s">
        <v>63</v>
      </c>
      <c r="K17" s="274" t="s">
        <v>63</v>
      </c>
      <c r="L17" s="254">
        <f>iferror(IF(vlookup(A17,'WY Data'!$A$83:$C$108,3,FALSE)="&lt;5","NULL",vlookup(A17,'WY Data'!$A$83:$C$108,3,FALSE)),"NULL")</f>
        <v>57</v>
      </c>
      <c r="M17" s="255" t="s">
        <v>63</v>
      </c>
      <c r="N17" s="253" t="s">
        <v>63</v>
      </c>
      <c r="O17" s="253" t="s">
        <v>63</v>
      </c>
      <c r="P17" s="261">
        <f>ifna(vlookup(A17,'Population &amp; Church Numbers'!$A$3122:$D$3144,4,FALSE),"NULL")</f>
        <v>51</v>
      </c>
      <c r="Q17" s="329" t="s">
        <v>63</v>
      </c>
    </row>
    <row r="18">
      <c r="A18" s="188" t="s">
        <v>1419</v>
      </c>
      <c r="B18" s="189">
        <f t="array" ref="B18">VLOOKUP($A18,WY_DEMO,2,FALSE)</f>
        <v>8605</v>
      </c>
      <c r="C18" s="264">
        <f>IF(vlookup(A18,'WY Data'!$A$4:$B$28,2,FALSE)="&lt;5","NULL",vlookup(A18,'WY Data'!$A$4:$B$28,2,FALSE))</f>
        <v>11</v>
      </c>
      <c r="D18" s="265" t="s">
        <v>63</v>
      </c>
      <c r="E18" s="265" t="s">
        <v>63</v>
      </c>
      <c r="F18" s="265">
        <f>iferror(IF(vlookup(A18,'WY Data'!$A$34:$B$54,2,FALSE)="&lt;5","NULL",vlookup(A18,'WY Data'!$A$34:$B$54,2,FALSE)),"NULL")</f>
        <v>7</v>
      </c>
      <c r="G18" s="265" t="s">
        <v>63</v>
      </c>
      <c r="H18" s="266">
        <f>VLOOKUP(A18,'WY Data'!$A$112:$D$136,4,FALSE)</f>
        <v>8</v>
      </c>
      <c r="I18" s="267">
        <f>iferror(IF(vlookup(A18,'WY Data'!$B$60:$E$79,4,FALSE)="&lt;5","NULL",vlookup(A18,'WY Data'!$B$60:$E$79,4,FALSE)),"NULL")</f>
        <v>5</v>
      </c>
      <c r="J18" s="268" t="s">
        <v>63</v>
      </c>
      <c r="K18" s="284" t="s">
        <v>63</v>
      </c>
      <c r="L18" s="266">
        <f>iferror(IF(vlookup(A18,'WY Data'!$A$83:$C$108,3,FALSE)="&lt;5","NULL",vlookup(A18,'WY Data'!$A$83:$C$108,3,FALSE)),"NULL")</f>
        <v>18</v>
      </c>
      <c r="M18" s="267" t="s">
        <v>63</v>
      </c>
      <c r="N18" s="265" t="s">
        <v>63</v>
      </c>
      <c r="O18" s="265" t="s">
        <v>63</v>
      </c>
      <c r="P18" s="272">
        <f>ifna(vlookup(A18,'Population &amp; Church Numbers'!$A$3122:$D$3144,4,FALSE),"NULL")</f>
        <v>19</v>
      </c>
      <c r="Q18" s="334" t="s">
        <v>63</v>
      </c>
    </row>
    <row r="19">
      <c r="A19" s="326" t="s">
        <v>1010</v>
      </c>
      <c r="B19" s="251">
        <f t="array" ref="B19">VLOOKUP($A19,WY_DEMO,2,FALSE)</f>
        <v>30921</v>
      </c>
      <c r="C19" s="252">
        <f>IF(vlookup(A19,'WY Data'!$A$4:$B$28,2,FALSE)="&lt;5","NULL",vlookup(A19,'WY Data'!$A$4:$B$28,2,FALSE))</f>
        <v>46</v>
      </c>
      <c r="D19" s="253" t="s">
        <v>63</v>
      </c>
      <c r="E19" s="253" t="s">
        <v>63</v>
      </c>
      <c r="F19" s="253">
        <f>iferror(IF(vlookup(A19,'WY Data'!$A$34:$B$54,2,FALSE)="&lt;5","NULL",vlookup(A19,'WY Data'!$A$34:$B$54,2,FALSE)),"NULL")</f>
        <v>6</v>
      </c>
      <c r="G19" s="253" t="s">
        <v>63</v>
      </c>
      <c r="H19" s="254">
        <f>VLOOKUP(A19,'WY Data'!$A$112:$D$136,4,FALSE)</f>
        <v>49</v>
      </c>
      <c r="I19" s="255">
        <f>iferror(IF(vlookup(A19,'WY Data'!$B$60:$E$79,4,FALSE)="&lt;5","NULL",vlookup(A19,'WY Data'!$B$60:$E$79,4,FALSE)),"NULL")</f>
        <v>7</v>
      </c>
      <c r="J19" s="256" t="s">
        <v>63</v>
      </c>
      <c r="K19" s="274" t="s">
        <v>63</v>
      </c>
      <c r="L19" s="254">
        <f>iferror(IF(vlookup(A19,'WY Data'!$A$83:$C$108,3,FALSE)="&lt;5","NULL",vlookup(A19,'WY Data'!$A$83:$C$108,3,FALSE)),"NULL")</f>
        <v>57</v>
      </c>
      <c r="M19" s="255" t="s">
        <v>63</v>
      </c>
      <c r="N19" s="253" t="s">
        <v>63</v>
      </c>
      <c r="O19" s="253" t="s">
        <v>63</v>
      </c>
      <c r="P19" s="261">
        <f>ifna(vlookup(A19,'Population &amp; Church Numbers'!$A$3122:$D$3144,4,FALSE),"NULL")</f>
        <v>39</v>
      </c>
      <c r="Q19" s="329" t="s">
        <v>63</v>
      </c>
    </row>
    <row r="20">
      <c r="A20" s="188" t="s">
        <v>2386</v>
      </c>
      <c r="B20" s="189">
        <f t="array" ref="B20">VLOOKUP($A20,WY_DEMO,2,FALSE)</f>
        <v>8728</v>
      </c>
      <c r="C20" s="264" t="str">
        <f>IF(vlookup(A20,'WY Data'!$A$4:$B$28,2,FALSE)="&lt;5","NULL",vlookup(A20,'WY Data'!$A$4:$B$28,2,FALSE))</f>
        <v>NULL</v>
      </c>
      <c r="D20" s="265" t="s">
        <v>63</v>
      </c>
      <c r="E20" s="265" t="s">
        <v>63</v>
      </c>
      <c r="F20" s="265" t="str">
        <f>iferror(IF(vlookup(A20,'WY Data'!$A$34:$B$54,2,FALSE)="&lt;5","NULL",vlookup(A20,'WY Data'!$A$34:$B$54,2,FALSE)),"NULL")</f>
        <v>NULL</v>
      </c>
      <c r="G20" s="265" t="s">
        <v>63</v>
      </c>
      <c r="H20" s="266">
        <f>VLOOKUP(A20,'WY Data'!$A$112:$D$136,4,FALSE)</f>
        <v>5</v>
      </c>
      <c r="I20" s="267" t="str">
        <f>iferror(IF(vlookup(A20,'WY Data'!$B$60:$E$79,4,FALSE)="&lt;5","NULL",vlookup(A20,'WY Data'!$B$60:$E$79,4,FALSE)),"NULL")</f>
        <v>NULL</v>
      </c>
      <c r="J20" s="268" t="s">
        <v>63</v>
      </c>
      <c r="K20" s="284" t="s">
        <v>63</v>
      </c>
      <c r="L20" s="266">
        <f>iferror(IF(vlookup(A20,'WY Data'!$A$83:$C$108,3,FALSE)="&lt;5","NULL",vlookup(A20,'WY Data'!$A$83:$C$108,3,FALSE)),"NULL")</f>
        <v>9</v>
      </c>
      <c r="M20" s="267" t="s">
        <v>63</v>
      </c>
      <c r="N20" s="265" t="s">
        <v>63</v>
      </c>
      <c r="O20" s="265" t="s">
        <v>63</v>
      </c>
      <c r="P20" s="272">
        <f>ifna(vlookup(A20,'Population &amp; Church Numbers'!$A$3122:$D$3144,4,FALSE),"NULL")</f>
        <v>13</v>
      </c>
      <c r="Q20" s="334" t="s">
        <v>63</v>
      </c>
    </row>
    <row r="21">
      <c r="A21" s="326" t="s">
        <v>2387</v>
      </c>
      <c r="B21" s="251">
        <f t="array" ref="B21">VLOOKUP($A21,WY_DEMO,2,FALSE)</f>
        <v>42272</v>
      </c>
      <c r="C21" s="252">
        <f>IF(vlookup(A21,'WY Data'!$A$4:$B$28,2,FALSE)="&lt;5","NULL",vlookup(A21,'WY Data'!$A$4:$B$28,2,FALSE))</f>
        <v>70</v>
      </c>
      <c r="D21" s="253" t="s">
        <v>63</v>
      </c>
      <c r="E21" s="253" t="s">
        <v>63</v>
      </c>
      <c r="F21" s="253">
        <f>iferror(IF(vlookup(A21,'WY Data'!$A$34:$B$54,2,FALSE)="&lt;5","NULL",vlookup(A21,'WY Data'!$A$34:$B$54,2,FALSE)),"NULL")</f>
        <v>18</v>
      </c>
      <c r="G21" s="253" t="s">
        <v>63</v>
      </c>
      <c r="H21" s="254">
        <f>VLOOKUP(A21,'WY Data'!$A$112:$D$136,4,FALSE)</f>
        <v>28</v>
      </c>
      <c r="I21" s="255">
        <f>iferror(IF(vlookup(A21,'WY Data'!$B$60:$E$79,4,FALSE)="&lt;5","NULL",vlookup(A21,'WY Data'!$B$60:$E$79,4,FALSE)),"NULL")</f>
        <v>10</v>
      </c>
      <c r="J21" s="256" t="s">
        <v>63</v>
      </c>
      <c r="K21" s="274" t="s">
        <v>63</v>
      </c>
      <c r="L21" s="254">
        <f>iferror(IF(vlookup(A21,'WY Data'!$A$83:$C$108,3,FALSE)="&lt;5","NULL",vlookup(A21,'WY Data'!$A$83:$C$108,3,FALSE)),"NULL")</f>
        <v>126</v>
      </c>
      <c r="M21" s="255" t="s">
        <v>63</v>
      </c>
      <c r="N21" s="253" t="s">
        <v>63</v>
      </c>
      <c r="O21" s="253" t="s">
        <v>63</v>
      </c>
      <c r="P21" s="261">
        <f>ifna(vlookup(A21,'Population &amp; Church Numbers'!$A$3122:$D$3144,4,FALSE),"NULL")</f>
        <v>41</v>
      </c>
      <c r="Q21" s="329" t="s">
        <v>63</v>
      </c>
    </row>
    <row r="22">
      <c r="A22" s="188" t="s">
        <v>690</v>
      </c>
      <c r="B22" s="189">
        <f t="array" ref="B22">VLOOKUP($A22,WY_DEMO,2,FALSE)</f>
        <v>23331</v>
      </c>
      <c r="C22" s="264">
        <f>IF(vlookup(A22,'WY Data'!$A$4:$B$28,2,FALSE)="&lt;5","NULL",vlookup(A22,'WY Data'!$A$4:$B$28,2,FALSE))</f>
        <v>5</v>
      </c>
      <c r="D22" s="265" t="s">
        <v>63</v>
      </c>
      <c r="E22" s="265" t="s">
        <v>63</v>
      </c>
      <c r="F22" s="265" t="str">
        <f>iferror(IF(vlookup(A22,'WY Data'!$A$34:$B$54,2,FALSE)="&lt;5","NULL",vlookup(A22,'WY Data'!$A$34:$B$54,2,FALSE)),"NULL")</f>
        <v>NULL</v>
      </c>
      <c r="G22" s="265" t="s">
        <v>63</v>
      </c>
      <c r="H22" s="266">
        <f>VLOOKUP(A22,'WY Data'!$A$112:$D$136,4,FALSE)</f>
        <v>5</v>
      </c>
      <c r="I22" s="267" t="str">
        <f>iferror(IF(vlookup(A22,'WY Data'!$B$60:$E$79,4,FALSE)="&lt;5","NULL",vlookup(A22,'WY Data'!$B$60:$E$79,4,FALSE)),"NULL")</f>
        <v>NULL</v>
      </c>
      <c r="J22" s="268" t="s">
        <v>63</v>
      </c>
      <c r="K22" s="284" t="s">
        <v>63</v>
      </c>
      <c r="L22" s="266">
        <f>iferror(IF(vlookup(A22,'WY Data'!$A$83:$C$108,3,FALSE)="&lt;5","NULL",vlookup(A22,'WY Data'!$A$83:$C$108,3,FALSE)),"NULL")</f>
        <v>28</v>
      </c>
      <c r="M22" s="267" t="s">
        <v>63</v>
      </c>
      <c r="N22" s="265" t="s">
        <v>63</v>
      </c>
      <c r="O22" s="265" t="s">
        <v>63</v>
      </c>
      <c r="P22" s="272">
        <f>ifna(vlookup(A22,'Population &amp; Church Numbers'!$A$3122:$D$3144,4,FALSE),"NULL")</f>
        <v>16</v>
      </c>
      <c r="Q22" s="334" t="s">
        <v>63</v>
      </c>
    </row>
    <row r="23">
      <c r="A23" s="326" t="s">
        <v>2388</v>
      </c>
      <c r="B23" s="251">
        <f t="array" ref="B23">VLOOKUP($A23,WY_DEMO,2,FALSE)</f>
        <v>20450</v>
      </c>
      <c r="C23" s="252">
        <f>IF(vlookup(A23,'WY Data'!$A$4:$B$28,2,FALSE)="&lt;5","NULL",vlookup(A23,'WY Data'!$A$4:$B$28,2,FALSE))</f>
        <v>28</v>
      </c>
      <c r="D23" s="253" t="s">
        <v>63</v>
      </c>
      <c r="E23" s="253" t="s">
        <v>63</v>
      </c>
      <c r="F23" s="253">
        <f>iferror(IF(vlookup(A23,'WY Data'!$A$34:$B$54,2,FALSE)="&lt;5","NULL",vlookup(A23,'WY Data'!$A$34:$B$54,2,FALSE)),"NULL")</f>
        <v>10</v>
      </c>
      <c r="G23" s="253" t="s">
        <v>63</v>
      </c>
      <c r="H23" s="254">
        <f>VLOOKUP(A23,'WY Data'!$A$112:$D$136,4,FALSE)</f>
        <v>10</v>
      </c>
      <c r="I23" s="255" t="str">
        <f>iferror(IF(vlookup(A23,'WY Data'!$B$60:$E$79,4,FALSE)="&lt;5","NULL",vlookup(A23,'WY Data'!$B$60:$E$79,4,FALSE)),"NULL")</f>
        <v>NULL</v>
      </c>
      <c r="J23" s="256" t="s">
        <v>63</v>
      </c>
      <c r="K23" s="274" t="s">
        <v>63</v>
      </c>
      <c r="L23" s="254">
        <f>iferror(IF(vlookup(A23,'WY Data'!$A$83:$C$108,3,FALSE)="&lt;5","NULL",vlookup(A23,'WY Data'!$A$83:$C$108,3,FALSE)),"NULL")</f>
        <v>58</v>
      </c>
      <c r="M23" s="255" t="s">
        <v>63</v>
      </c>
      <c r="N23" s="253" t="s">
        <v>63</v>
      </c>
      <c r="O23" s="253" t="s">
        <v>63</v>
      </c>
      <c r="P23" s="261">
        <f>ifna(vlookup(A23,'Population &amp; Church Numbers'!$A$3122:$D$3144,4,FALSE),"NULL")</f>
        <v>32</v>
      </c>
      <c r="Q23" s="329" t="s">
        <v>63</v>
      </c>
    </row>
    <row r="24">
      <c r="A24" s="188" t="s">
        <v>2389</v>
      </c>
      <c r="B24" s="189">
        <f t="array" ref="B24">VLOOKUP($A24,WY_DEMO,2,FALSE)</f>
        <v>7685</v>
      </c>
      <c r="C24" s="264" t="str">
        <f>IF(vlookup(A24,'WY Data'!$A$4:$B$28,2,FALSE)="&lt;5","NULL",vlookup(A24,'WY Data'!$A$4:$B$28,2,FALSE))</f>
        <v>NULL</v>
      </c>
      <c r="D24" s="265" t="s">
        <v>63</v>
      </c>
      <c r="E24" s="265" t="s">
        <v>63</v>
      </c>
      <c r="F24" s="265" t="str">
        <f>iferror(IF(vlookup(A24,'WY Data'!$A$34:$B$54,2,FALSE)="&lt;5","NULL",vlookup(A24,'WY Data'!$A$34:$B$54,2,FALSE)),"NULL")</f>
        <v>NULL</v>
      </c>
      <c r="G24" s="265" t="s">
        <v>63</v>
      </c>
      <c r="H24" s="266">
        <f>VLOOKUP(A24,'WY Data'!$A$112:$D$136,4,FALSE)</f>
        <v>4</v>
      </c>
      <c r="I24" s="267" t="str">
        <f>iferror(IF(vlookup(A24,'WY Data'!$B$60:$E$79,4,FALSE)="&lt;5","NULL",vlookup(A24,'WY Data'!$B$60:$E$79,4,FALSE)),"NULL")</f>
        <v>NULL</v>
      </c>
      <c r="J24" s="268" t="s">
        <v>63</v>
      </c>
      <c r="K24" s="284" t="s">
        <v>63</v>
      </c>
      <c r="L24" s="266">
        <f>iferror(IF(vlookup(A24,'WY Data'!$A$83:$C$108,3,FALSE)="&lt;5","NULL",vlookup(A24,'WY Data'!$A$83:$C$108,3,FALSE)),"NULL")</f>
        <v>33</v>
      </c>
      <c r="M24" s="267" t="s">
        <v>63</v>
      </c>
      <c r="N24" s="265" t="s">
        <v>63</v>
      </c>
      <c r="O24" s="265" t="s">
        <v>63</v>
      </c>
      <c r="P24" s="272">
        <f>ifna(vlookup(A24,'Population &amp; Church Numbers'!$A$3122:$D$3144,4,FALSE),"NULL")</f>
        <v>21</v>
      </c>
      <c r="Q24" s="334" t="s">
        <v>63</v>
      </c>
    </row>
    <row r="25">
      <c r="A25" s="326" t="s">
        <v>2390</v>
      </c>
      <c r="B25" s="251">
        <f t="array" ref="B25">VLOOKUP($A25,WY_DEMO,2,FALSE)</f>
        <v>6838</v>
      </c>
      <c r="C25" s="252">
        <f>IF(vlookup(A25,'WY Data'!$A$4:$B$28,2,FALSE)="&lt;5","NULL",vlookup(A25,'WY Data'!$A$4:$B$28,2,FALSE))</f>
        <v>14</v>
      </c>
      <c r="D25" s="253" t="s">
        <v>63</v>
      </c>
      <c r="E25" s="253" t="s">
        <v>63</v>
      </c>
      <c r="F25" s="253">
        <f>iferror(IF(vlookup(A25,'WY Data'!$A$34:$B$54,2,FALSE)="&lt;5","NULL",vlookup(A25,'WY Data'!$A$34:$B$54,2,FALSE)),"NULL")</f>
        <v>8</v>
      </c>
      <c r="G25" s="253" t="s">
        <v>63</v>
      </c>
      <c r="H25" s="254">
        <f>VLOOKUP(A25,'WY Data'!$A$112:$D$136,4,FALSE)</f>
        <v>3</v>
      </c>
      <c r="I25" s="255" t="str">
        <f>iferror(IF(vlookup(A25,'WY Data'!$B$60:$E$79,4,FALSE)="&lt;5","NULL",vlookup(A25,'WY Data'!$B$60:$E$79,4,FALSE)),"NULL")</f>
        <v>NULL</v>
      </c>
      <c r="J25" s="256" t="s">
        <v>63</v>
      </c>
      <c r="K25" s="274" t="s">
        <v>63</v>
      </c>
      <c r="L25" s="254">
        <f>iferror(IF(vlookup(A25,'WY Data'!$A$83:$C$108,3,FALSE)="&lt;5","NULL",vlookup(A25,'WY Data'!$A$83:$C$108,3,FALSE)),"NULL")</f>
        <v>29</v>
      </c>
      <c r="M25" s="255" t="s">
        <v>63</v>
      </c>
      <c r="N25" s="253" t="s">
        <v>63</v>
      </c>
      <c r="O25" s="253" t="s">
        <v>63</v>
      </c>
      <c r="P25" s="261">
        <f>ifna(vlookup(A25,'Population &amp; Church Numbers'!$A$3122:$D$3144,4,FALSE),"NULL")</f>
        <v>13</v>
      </c>
      <c r="Q25" s="329" t="s">
        <v>63</v>
      </c>
    </row>
    <row r="26">
      <c r="A26" s="217"/>
      <c r="B26" s="218"/>
      <c r="C26" s="219"/>
      <c r="D26" s="220"/>
      <c r="E26" s="220"/>
      <c r="F26" s="220"/>
      <c r="G26" s="220"/>
      <c r="H26" s="221"/>
      <c r="I26" s="222"/>
      <c r="J26" s="223"/>
      <c r="K26" s="219"/>
      <c r="L26" s="224"/>
      <c r="M26" s="225"/>
      <c r="N26" s="226"/>
      <c r="O26" s="220"/>
      <c r="P26" s="221"/>
      <c r="Q26" s="295"/>
    </row>
    <row r="27">
      <c r="A27" s="228" t="s">
        <v>2</v>
      </c>
      <c r="B27" s="229"/>
      <c r="C27" s="708">
        <f>'WY Data'!B28</f>
        <v>754</v>
      </c>
      <c r="D27" s="708" t="s">
        <v>63</v>
      </c>
      <c r="E27" s="708" t="s">
        <v>63</v>
      </c>
      <c r="F27" s="708">
        <f>'WY Data'!B54</f>
        <v>230</v>
      </c>
      <c r="G27" s="708" t="s">
        <v>63</v>
      </c>
      <c r="H27" s="708">
        <f>'WY Data'!D136</f>
        <v>546</v>
      </c>
      <c r="I27" s="360">
        <f>'WY Data'!E79</f>
        <v>91</v>
      </c>
      <c r="J27" s="305" t="s">
        <v>63</v>
      </c>
      <c r="K27" s="708" t="s">
        <v>63</v>
      </c>
      <c r="L27" s="1134">
        <f>'WY Data'!C108</f>
        <v>1172</v>
      </c>
      <c r="M27" s="360" t="s">
        <v>63</v>
      </c>
      <c r="N27" s="360" t="s">
        <v>63</v>
      </c>
      <c r="O27" s="360" t="s">
        <v>63</v>
      </c>
      <c r="P27" s="233">
        <f>SUM(P3:P25)</f>
        <v>666</v>
      </c>
      <c r="Q27" s="1092" t="s">
        <v>63</v>
      </c>
    </row>
  </sheetData>
  <autoFilter ref="$A$2:$Q$25"/>
  <mergeCells count="1">
    <mergeCell ref="B1:Q1"/>
  </mergeCells>
  <drawing r:id="rId1"/>
</worksheet>
</file>

<file path=xl/worksheets/sheet10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75" t="s">
        <v>1040</v>
      </c>
      <c r="B1" s="276"/>
      <c r="C1" s="276"/>
      <c r="D1" s="276"/>
      <c r="E1" s="275" t="s">
        <v>765</v>
      </c>
      <c r="F1" s="275" t="s">
        <v>4256</v>
      </c>
      <c r="G1" s="276"/>
      <c r="H1" s="276"/>
      <c r="I1" s="275" t="s">
        <v>767</v>
      </c>
      <c r="J1" s="277">
        <v>45453.0</v>
      </c>
      <c r="K1" s="275" t="s">
        <v>769</v>
      </c>
      <c r="L1" s="277">
        <v>45352.0</v>
      </c>
      <c r="M1" s="276"/>
    </row>
    <row r="2">
      <c r="A2" s="1" t="s">
        <v>4257</v>
      </c>
    </row>
    <row r="3">
      <c r="A3" s="1"/>
      <c r="B3" s="1"/>
    </row>
    <row r="4">
      <c r="A4" s="1" t="s">
        <v>172</v>
      </c>
      <c r="B4" s="1" t="s">
        <v>4258</v>
      </c>
    </row>
    <row r="5">
      <c r="A5" s="1" t="s">
        <v>1554</v>
      </c>
      <c r="B5" s="1">
        <v>23.0</v>
      </c>
    </row>
    <row r="6">
      <c r="A6" s="1" t="s">
        <v>1432</v>
      </c>
      <c r="B6" s="1">
        <v>15.0</v>
      </c>
    </row>
    <row r="7">
      <c r="A7" s="1" t="s">
        <v>1036</v>
      </c>
      <c r="B7" s="1">
        <v>61.0</v>
      </c>
    </row>
    <row r="8">
      <c r="A8" s="1" t="s">
        <v>1434</v>
      </c>
      <c r="B8" s="1">
        <v>41.0</v>
      </c>
    </row>
    <row r="9">
      <c r="A9" s="1" t="s">
        <v>2380</v>
      </c>
      <c r="B9" s="1">
        <v>19.0</v>
      </c>
    </row>
    <row r="10">
      <c r="A10" s="1" t="s">
        <v>1770</v>
      </c>
      <c r="B10" s="1">
        <v>7.0</v>
      </c>
    </row>
    <row r="11">
      <c r="A11" s="1" t="s">
        <v>416</v>
      </c>
      <c r="B11" s="1">
        <v>38.0</v>
      </c>
    </row>
    <row r="12">
      <c r="A12" s="1" t="s">
        <v>2381</v>
      </c>
      <c r="B12" s="1">
        <v>25.0</v>
      </c>
    </row>
    <row r="13">
      <c r="A13" s="1" t="s">
        <v>2382</v>
      </c>
      <c r="B13" s="1">
        <v>6.0</v>
      </c>
    </row>
    <row r="14">
      <c r="A14" s="1" t="s">
        <v>288</v>
      </c>
      <c r="B14" s="1">
        <v>10.0</v>
      </c>
    </row>
    <row r="15">
      <c r="A15" s="1" t="s">
        <v>2383</v>
      </c>
      <c r="B15" s="1">
        <v>141.0</v>
      </c>
    </row>
    <row r="16">
      <c r="A16" s="1" t="s">
        <v>290</v>
      </c>
      <c r="B16" s="1" t="s">
        <v>4259</v>
      </c>
    </row>
    <row r="17">
      <c r="A17" s="1" t="s">
        <v>2384</v>
      </c>
      <c r="B17" s="1">
        <v>153.0</v>
      </c>
    </row>
    <row r="18">
      <c r="A18" s="1" t="s">
        <v>2385</v>
      </c>
      <c r="B18" s="1">
        <v>7.0</v>
      </c>
    </row>
    <row r="19">
      <c r="A19" s="1" t="s">
        <v>445</v>
      </c>
      <c r="B19" s="1">
        <v>24.0</v>
      </c>
    </row>
    <row r="20">
      <c r="A20" s="1" t="s">
        <v>1419</v>
      </c>
      <c r="B20" s="1">
        <v>11.0</v>
      </c>
    </row>
    <row r="21">
      <c r="A21" s="1" t="s">
        <v>1010</v>
      </c>
      <c r="B21" s="1">
        <v>46.0</v>
      </c>
    </row>
    <row r="22">
      <c r="A22" s="1" t="s">
        <v>2386</v>
      </c>
      <c r="B22" s="1" t="s">
        <v>4259</v>
      </c>
    </row>
    <row r="23">
      <c r="A23" s="1" t="s">
        <v>2387</v>
      </c>
      <c r="B23" s="1">
        <v>70.0</v>
      </c>
    </row>
    <row r="24">
      <c r="A24" s="1" t="s">
        <v>690</v>
      </c>
      <c r="B24" s="1">
        <v>5.0</v>
      </c>
    </row>
    <row r="25">
      <c r="A25" s="1" t="s">
        <v>2388</v>
      </c>
      <c r="B25" s="1">
        <v>28.0</v>
      </c>
    </row>
    <row r="26">
      <c r="A26" s="1" t="s">
        <v>2389</v>
      </c>
      <c r="B26" s="1" t="s">
        <v>4259</v>
      </c>
    </row>
    <row r="27">
      <c r="A27" s="1" t="s">
        <v>2390</v>
      </c>
      <c r="B27" s="1">
        <v>14.0</v>
      </c>
    </row>
    <row r="28">
      <c r="A28" s="1" t="s">
        <v>2395</v>
      </c>
      <c r="B28" s="1">
        <v>754.0</v>
      </c>
    </row>
    <row r="32">
      <c r="A32" s="275" t="s">
        <v>4260</v>
      </c>
      <c r="B32" s="276"/>
      <c r="C32" s="276"/>
      <c r="D32" s="276"/>
      <c r="E32" s="275" t="s">
        <v>765</v>
      </c>
      <c r="F32" s="276"/>
      <c r="G32" s="276"/>
      <c r="H32" s="276"/>
      <c r="I32" s="275" t="s">
        <v>767</v>
      </c>
      <c r="J32" s="277">
        <v>45453.0</v>
      </c>
      <c r="K32" s="275" t="s">
        <v>769</v>
      </c>
      <c r="L32" s="277">
        <v>45352.0</v>
      </c>
      <c r="M32" s="276"/>
    </row>
    <row r="34">
      <c r="A34" s="1" t="s">
        <v>172</v>
      </c>
      <c r="B34" s="1" t="s">
        <v>4261</v>
      </c>
    </row>
    <row r="35">
      <c r="A35" s="1" t="s">
        <v>1554</v>
      </c>
      <c r="B35" s="1" t="s">
        <v>4259</v>
      </c>
    </row>
    <row r="36">
      <c r="A36" s="1" t="s">
        <v>1432</v>
      </c>
      <c r="B36" s="1">
        <v>11.0</v>
      </c>
    </row>
    <row r="37">
      <c r="A37" s="1" t="s">
        <v>1036</v>
      </c>
      <c r="B37" s="1">
        <v>16.0</v>
      </c>
    </row>
    <row r="38">
      <c r="A38" s="1" t="s">
        <v>1434</v>
      </c>
      <c r="B38" s="1">
        <v>14.0</v>
      </c>
    </row>
    <row r="39">
      <c r="A39" s="1" t="s">
        <v>2380</v>
      </c>
      <c r="B39" s="1" t="s">
        <v>4259</v>
      </c>
    </row>
    <row r="40">
      <c r="A40" s="1" t="s">
        <v>416</v>
      </c>
      <c r="B40" s="1">
        <v>18.0</v>
      </c>
    </row>
    <row r="41">
      <c r="A41" s="1" t="s">
        <v>2381</v>
      </c>
      <c r="B41" s="1" t="s">
        <v>4259</v>
      </c>
    </row>
    <row r="42">
      <c r="A42" s="1" t="s">
        <v>2382</v>
      </c>
      <c r="B42" s="1" t="s">
        <v>4259</v>
      </c>
    </row>
    <row r="43">
      <c r="A43" s="1" t="s">
        <v>288</v>
      </c>
      <c r="B43" s="1" t="s">
        <v>4259</v>
      </c>
    </row>
    <row r="44">
      <c r="A44" s="1" t="s">
        <v>2383</v>
      </c>
      <c r="B44" s="1">
        <v>48.0</v>
      </c>
    </row>
    <row r="45">
      <c r="A45" s="1" t="s">
        <v>290</v>
      </c>
      <c r="B45" s="1" t="s">
        <v>4259</v>
      </c>
    </row>
    <row r="46">
      <c r="A46" s="1" t="s">
        <v>2384</v>
      </c>
      <c r="B46" s="1">
        <v>51.0</v>
      </c>
    </row>
    <row r="47">
      <c r="A47" s="1" t="s">
        <v>445</v>
      </c>
      <c r="B47" s="1">
        <v>11.0</v>
      </c>
    </row>
    <row r="48">
      <c r="A48" s="1" t="s">
        <v>1419</v>
      </c>
      <c r="B48" s="1">
        <v>7.0</v>
      </c>
    </row>
    <row r="49">
      <c r="A49" s="1" t="s">
        <v>1010</v>
      </c>
      <c r="B49" s="1">
        <v>6.0</v>
      </c>
    </row>
    <row r="50">
      <c r="A50" s="1" t="s">
        <v>2387</v>
      </c>
      <c r="B50" s="1">
        <v>18.0</v>
      </c>
    </row>
    <row r="51">
      <c r="A51" s="1" t="s">
        <v>2388</v>
      </c>
      <c r="B51" s="1">
        <v>10.0</v>
      </c>
    </row>
    <row r="52">
      <c r="A52" s="1" t="s">
        <v>2389</v>
      </c>
      <c r="B52" s="1" t="s">
        <v>4259</v>
      </c>
    </row>
    <row r="53">
      <c r="A53" s="1" t="s">
        <v>2390</v>
      </c>
      <c r="B53" s="1">
        <v>8.0</v>
      </c>
    </row>
    <row r="54">
      <c r="A54" s="1" t="s">
        <v>2395</v>
      </c>
      <c r="B54" s="1">
        <v>230.0</v>
      </c>
    </row>
    <row r="57">
      <c r="A57" s="275" t="s">
        <v>792</v>
      </c>
      <c r="B57" s="276"/>
      <c r="C57" s="276"/>
      <c r="D57" s="276"/>
      <c r="E57" s="275" t="s">
        <v>765</v>
      </c>
      <c r="F57" s="276"/>
      <c r="G57" s="276"/>
      <c r="H57" s="276"/>
      <c r="I57" s="275" t="s">
        <v>767</v>
      </c>
      <c r="J57" s="277">
        <v>45453.0</v>
      </c>
      <c r="K57" s="275" t="s">
        <v>769</v>
      </c>
      <c r="L57" s="277">
        <v>45352.0</v>
      </c>
      <c r="M57" s="276"/>
    </row>
    <row r="59">
      <c r="A59" s="1" t="s">
        <v>4258</v>
      </c>
      <c r="B59" s="1" t="s">
        <v>4262</v>
      </c>
    </row>
    <row r="60">
      <c r="A60" s="1" t="s">
        <v>4263</v>
      </c>
      <c r="B60" s="1" t="s">
        <v>172</v>
      </c>
      <c r="C60" s="1" t="s">
        <v>4264</v>
      </c>
      <c r="D60" s="1" t="s">
        <v>4265</v>
      </c>
      <c r="E60" s="1" t="s">
        <v>2395</v>
      </c>
    </row>
    <row r="62">
      <c r="A62" s="1" t="s">
        <v>3835</v>
      </c>
      <c r="B62" s="1" t="s">
        <v>1554</v>
      </c>
      <c r="C62" s="1" t="s">
        <v>4259</v>
      </c>
      <c r="E62" s="1" t="s">
        <v>4259</v>
      </c>
    </row>
    <row r="63">
      <c r="B63" s="1" t="s">
        <v>1432</v>
      </c>
      <c r="C63" s="1" t="s">
        <v>4259</v>
      </c>
      <c r="E63" s="1" t="s">
        <v>4259</v>
      </c>
    </row>
    <row r="64">
      <c r="B64" s="1" t="s">
        <v>1036</v>
      </c>
      <c r="C64" s="1">
        <v>12.0</v>
      </c>
      <c r="D64" s="1" t="s">
        <v>4259</v>
      </c>
      <c r="E64" s="1">
        <v>16.0</v>
      </c>
    </row>
    <row r="65">
      <c r="B65" s="1" t="s">
        <v>1434</v>
      </c>
      <c r="C65" s="1" t="s">
        <v>4259</v>
      </c>
      <c r="D65" s="1" t="s">
        <v>4259</v>
      </c>
      <c r="E65" s="1">
        <v>6.0</v>
      </c>
    </row>
    <row r="66">
      <c r="B66" s="1" t="s">
        <v>2380</v>
      </c>
      <c r="C66" s="1" t="s">
        <v>4259</v>
      </c>
      <c r="E66" s="1" t="s">
        <v>4259</v>
      </c>
    </row>
    <row r="67">
      <c r="B67" s="1" t="s">
        <v>416</v>
      </c>
      <c r="C67" s="1">
        <v>5.0</v>
      </c>
      <c r="E67" s="1">
        <v>5.0</v>
      </c>
    </row>
    <row r="68">
      <c r="B68" s="1" t="s">
        <v>2381</v>
      </c>
      <c r="C68" s="1" t="s">
        <v>4259</v>
      </c>
      <c r="E68" s="1" t="s">
        <v>4259</v>
      </c>
    </row>
    <row r="69">
      <c r="B69" s="1" t="s">
        <v>2383</v>
      </c>
      <c r="C69" s="1">
        <v>14.0</v>
      </c>
      <c r="D69" s="1" t="s">
        <v>4259</v>
      </c>
      <c r="E69" s="1">
        <v>15.0</v>
      </c>
    </row>
    <row r="70">
      <c r="B70" s="1" t="s">
        <v>290</v>
      </c>
      <c r="D70" s="1" t="s">
        <v>4259</v>
      </c>
      <c r="E70" s="1" t="s">
        <v>4259</v>
      </c>
    </row>
    <row r="71">
      <c r="B71" s="1" t="s">
        <v>2384</v>
      </c>
      <c r="C71" s="1">
        <v>13.0</v>
      </c>
      <c r="E71" s="1">
        <v>13.0</v>
      </c>
    </row>
    <row r="72">
      <c r="B72" s="1" t="s">
        <v>2385</v>
      </c>
      <c r="C72" s="1" t="s">
        <v>4259</v>
      </c>
      <c r="E72" s="1" t="s">
        <v>4259</v>
      </c>
    </row>
    <row r="73">
      <c r="B73" s="1" t="s">
        <v>445</v>
      </c>
      <c r="C73" s="1" t="s">
        <v>4259</v>
      </c>
      <c r="E73" s="1" t="s">
        <v>4259</v>
      </c>
    </row>
    <row r="74">
      <c r="B74" s="1" t="s">
        <v>1419</v>
      </c>
      <c r="D74" s="1">
        <v>5.0</v>
      </c>
      <c r="E74" s="1">
        <v>5.0</v>
      </c>
    </row>
    <row r="75">
      <c r="B75" s="1" t="s">
        <v>1010</v>
      </c>
      <c r="C75" s="1">
        <v>7.0</v>
      </c>
      <c r="E75" s="1">
        <v>7.0</v>
      </c>
    </row>
    <row r="76">
      <c r="B76" s="1" t="s">
        <v>2386</v>
      </c>
      <c r="C76" s="1" t="s">
        <v>4259</v>
      </c>
      <c r="E76" s="1" t="s">
        <v>4259</v>
      </c>
    </row>
    <row r="77">
      <c r="B77" s="1" t="s">
        <v>2387</v>
      </c>
      <c r="C77" s="1">
        <v>9.0</v>
      </c>
      <c r="D77" s="1" t="s">
        <v>4259</v>
      </c>
      <c r="E77" s="1">
        <v>10.0</v>
      </c>
    </row>
    <row r="78">
      <c r="B78" s="1" t="s">
        <v>2390</v>
      </c>
      <c r="C78" s="1" t="s">
        <v>4259</v>
      </c>
      <c r="E78" s="1" t="s">
        <v>4259</v>
      </c>
    </row>
    <row r="79">
      <c r="A79" s="1" t="s">
        <v>4266</v>
      </c>
      <c r="C79" s="1">
        <v>74.0</v>
      </c>
      <c r="D79" s="1">
        <v>17.0</v>
      </c>
      <c r="E79" s="1">
        <v>91.0</v>
      </c>
    </row>
    <row r="81">
      <c r="A81" s="275" t="s">
        <v>2484</v>
      </c>
      <c r="B81" s="276"/>
      <c r="C81" s="276"/>
      <c r="D81" s="276"/>
      <c r="E81" s="275" t="s">
        <v>765</v>
      </c>
      <c r="F81" s="276"/>
      <c r="G81" s="276"/>
      <c r="H81" s="276"/>
      <c r="I81" s="275" t="s">
        <v>767</v>
      </c>
      <c r="J81" s="277">
        <v>45453.0</v>
      </c>
      <c r="K81" s="275" t="s">
        <v>769</v>
      </c>
      <c r="L81" s="277">
        <v>45352.0</v>
      </c>
      <c r="M81" s="276"/>
    </row>
    <row r="83">
      <c r="A83" s="1" t="s">
        <v>172</v>
      </c>
      <c r="B83" s="1" t="s">
        <v>4267</v>
      </c>
      <c r="C83" s="1" t="s">
        <v>4268</v>
      </c>
    </row>
    <row r="84">
      <c r="A84" s="1" t="s">
        <v>1554</v>
      </c>
      <c r="B84" s="1">
        <v>60.0</v>
      </c>
      <c r="C84" s="1">
        <v>40.0</v>
      </c>
    </row>
    <row r="85">
      <c r="A85" s="1" t="s">
        <v>1432</v>
      </c>
      <c r="B85" s="1">
        <v>41.0</v>
      </c>
      <c r="C85" s="1">
        <v>16.0</v>
      </c>
    </row>
    <row r="86">
      <c r="A86" s="1" t="s">
        <v>1036</v>
      </c>
      <c r="B86" s="1">
        <v>312.0</v>
      </c>
      <c r="C86" s="1">
        <v>143.0</v>
      </c>
    </row>
    <row r="87">
      <c r="A87" s="1" t="s">
        <v>1434</v>
      </c>
      <c r="B87" s="1">
        <v>44.0</v>
      </c>
      <c r="C87" s="1">
        <v>23.0</v>
      </c>
    </row>
    <row r="88">
      <c r="A88" s="1" t="s">
        <v>2380</v>
      </c>
      <c r="B88" s="1">
        <v>63.0</v>
      </c>
      <c r="C88" s="1">
        <v>31.0</v>
      </c>
    </row>
    <row r="89">
      <c r="A89" s="1" t="s">
        <v>1770</v>
      </c>
      <c r="B89" s="1">
        <v>53.0</v>
      </c>
      <c r="C89" s="1">
        <v>20.0</v>
      </c>
    </row>
    <row r="90">
      <c r="A90" s="1" t="s">
        <v>416</v>
      </c>
      <c r="B90" s="1">
        <v>130.0</v>
      </c>
      <c r="C90" s="1">
        <v>72.0</v>
      </c>
    </row>
    <row r="91">
      <c r="A91" s="1" t="s">
        <v>2381</v>
      </c>
      <c r="B91" s="1">
        <v>51.0</v>
      </c>
      <c r="C91" s="1">
        <v>29.0</v>
      </c>
    </row>
    <row r="92">
      <c r="A92" s="1" t="s">
        <v>2382</v>
      </c>
      <c r="B92" s="1">
        <v>54.0</v>
      </c>
      <c r="C92" s="1">
        <v>27.0</v>
      </c>
    </row>
    <row r="93">
      <c r="A93" s="1" t="s">
        <v>288</v>
      </c>
      <c r="B93" s="1">
        <v>36.0</v>
      </c>
      <c r="C93" s="1">
        <v>19.0</v>
      </c>
    </row>
    <row r="94">
      <c r="A94" s="1" t="s">
        <v>2383</v>
      </c>
      <c r="B94" s="1">
        <v>314.0</v>
      </c>
      <c r="C94" s="1">
        <v>148.0</v>
      </c>
    </row>
    <row r="95">
      <c r="A95" s="1" t="s">
        <v>290</v>
      </c>
      <c r="B95" s="1">
        <v>41.0</v>
      </c>
      <c r="C95" s="1">
        <v>19.0</v>
      </c>
    </row>
    <row r="96">
      <c r="A96" s="1" t="s">
        <v>2384</v>
      </c>
      <c r="B96" s="1">
        <v>277.0</v>
      </c>
      <c r="C96" s="1">
        <v>162.0</v>
      </c>
    </row>
    <row r="97">
      <c r="A97" s="1" t="s">
        <v>2385</v>
      </c>
      <c r="B97" s="1" t="s">
        <v>4259</v>
      </c>
      <c r="C97" s="1" t="s">
        <v>4259</v>
      </c>
    </row>
    <row r="98">
      <c r="A98" s="1" t="s">
        <v>445</v>
      </c>
      <c r="B98" s="1">
        <v>95.0</v>
      </c>
      <c r="C98" s="1">
        <v>57.0</v>
      </c>
    </row>
    <row r="99">
      <c r="A99" s="1" t="s">
        <v>1419</v>
      </c>
      <c r="B99" s="1">
        <v>39.0</v>
      </c>
      <c r="C99" s="1">
        <v>18.0</v>
      </c>
    </row>
    <row r="100">
      <c r="A100" s="1" t="s">
        <v>1010</v>
      </c>
      <c r="B100" s="1">
        <v>106.0</v>
      </c>
      <c r="C100" s="1">
        <v>57.0</v>
      </c>
    </row>
    <row r="101">
      <c r="A101" s="1" t="s">
        <v>2386</v>
      </c>
      <c r="B101" s="1">
        <v>10.0</v>
      </c>
      <c r="C101" s="1">
        <v>9.0</v>
      </c>
    </row>
    <row r="102">
      <c r="A102" s="1" t="s">
        <v>2387</v>
      </c>
      <c r="B102" s="1">
        <v>264.0</v>
      </c>
      <c r="C102" s="1">
        <v>126.0</v>
      </c>
    </row>
    <row r="103">
      <c r="A103" s="1" t="s">
        <v>690</v>
      </c>
      <c r="B103" s="1">
        <v>47.0</v>
      </c>
      <c r="C103" s="1">
        <v>28.0</v>
      </c>
    </row>
    <row r="104">
      <c r="A104" s="1" t="s">
        <v>2388</v>
      </c>
      <c r="B104" s="1">
        <v>102.0</v>
      </c>
      <c r="C104" s="1">
        <v>58.0</v>
      </c>
    </row>
    <row r="105">
      <c r="A105" s="1" t="s">
        <v>2426</v>
      </c>
      <c r="B105" s="1" t="s">
        <v>4259</v>
      </c>
      <c r="C105" s="1" t="s">
        <v>4259</v>
      </c>
    </row>
    <row r="106">
      <c r="A106" s="1" t="s">
        <v>2389</v>
      </c>
      <c r="B106" s="1">
        <v>63.0</v>
      </c>
      <c r="C106" s="1">
        <v>33.0</v>
      </c>
    </row>
    <row r="107">
      <c r="A107" s="1" t="s">
        <v>2390</v>
      </c>
      <c r="B107" s="1">
        <v>66.0</v>
      </c>
      <c r="C107" s="1">
        <v>29.0</v>
      </c>
    </row>
    <row r="108">
      <c r="A108" s="1" t="s">
        <v>2395</v>
      </c>
      <c r="B108" s="1">
        <v>2279.0</v>
      </c>
      <c r="C108" s="303">
        <v>1172.0</v>
      </c>
    </row>
    <row r="110">
      <c r="A110" s="275" t="s">
        <v>2473</v>
      </c>
      <c r="B110" s="276"/>
      <c r="C110" s="276"/>
      <c r="D110" s="276"/>
      <c r="E110" s="275" t="s">
        <v>765</v>
      </c>
      <c r="F110" s="276"/>
      <c r="G110" s="276"/>
      <c r="H110" s="276"/>
      <c r="I110" s="275" t="s">
        <v>767</v>
      </c>
      <c r="J110" s="277">
        <v>45453.0</v>
      </c>
      <c r="K110" s="275" t="s">
        <v>769</v>
      </c>
      <c r="L110" s="277">
        <v>45352.0</v>
      </c>
      <c r="M110" s="276"/>
    </row>
    <row r="112">
      <c r="B112" s="1" t="s">
        <v>4273</v>
      </c>
      <c r="C112" s="1" t="s">
        <v>2480</v>
      </c>
      <c r="D112" s="1" t="s">
        <v>923</v>
      </c>
    </row>
    <row r="113">
      <c r="A113" s="1" t="s">
        <v>1554</v>
      </c>
      <c r="B113" s="1">
        <v>10.0</v>
      </c>
      <c r="C113" s="1">
        <v>3.0</v>
      </c>
      <c r="D113" s="8">
        <f t="shared" ref="D113:D136" si="1">SUM(B113:C113)</f>
        <v>13</v>
      </c>
    </row>
    <row r="114">
      <c r="A114" s="1" t="s">
        <v>1432</v>
      </c>
      <c r="B114" s="1">
        <v>3.0</v>
      </c>
      <c r="C114" s="1">
        <v>7.0</v>
      </c>
      <c r="D114" s="8">
        <f t="shared" si="1"/>
        <v>10</v>
      </c>
    </row>
    <row r="115">
      <c r="A115" s="1" t="s">
        <v>1036</v>
      </c>
      <c r="B115" s="1">
        <v>6.0</v>
      </c>
      <c r="C115" s="1">
        <v>32.0</v>
      </c>
      <c r="D115" s="8">
        <f t="shared" si="1"/>
        <v>38</v>
      </c>
    </row>
    <row r="116">
      <c r="A116" s="1" t="s">
        <v>1434</v>
      </c>
      <c r="B116" s="1">
        <v>4.0</v>
      </c>
      <c r="C116" s="1">
        <v>7.0</v>
      </c>
      <c r="D116" s="8">
        <f t="shared" si="1"/>
        <v>11</v>
      </c>
    </row>
    <row r="117">
      <c r="A117" s="1" t="s">
        <v>2380</v>
      </c>
      <c r="B117" s="1">
        <v>2.0</v>
      </c>
      <c r="C117" s="1">
        <v>9.0</v>
      </c>
      <c r="D117" s="8">
        <f t="shared" si="1"/>
        <v>11</v>
      </c>
    </row>
    <row r="118">
      <c r="A118" s="1" t="s">
        <v>1770</v>
      </c>
      <c r="B118" s="1">
        <v>1.0</v>
      </c>
      <c r="C118" s="1">
        <v>3.0</v>
      </c>
      <c r="D118" s="8">
        <f t="shared" si="1"/>
        <v>4</v>
      </c>
    </row>
    <row r="119">
      <c r="A119" s="1" t="s">
        <v>416</v>
      </c>
      <c r="B119" s="1">
        <v>11.0</v>
      </c>
      <c r="C119" s="1">
        <v>14.0</v>
      </c>
      <c r="D119" s="8">
        <f t="shared" si="1"/>
        <v>25</v>
      </c>
    </row>
    <row r="120">
      <c r="A120" s="1" t="s">
        <v>2381</v>
      </c>
      <c r="B120" s="1">
        <v>12.0</v>
      </c>
      <c r="C120" s="1">
        <v>6.0</v>
      </c>
      <c r="D120" s="8">
        <f t="shared" si="1"/>
        <v>18</v>
      </c>
    </row>
    <row r="121">
      <c r="A121" s="1" t="s">
        <v>2382</v>
      </c>
      <c r="B121" s="1">
        <v>1.0</v>
      </c>
      <c r="C121" s="1">
        <v>5.0</v>
      </c>
      <c r="D121" s="8">
        <f t="shared" si="1"/>
        <v>6</v>
      </c>
    </row>
    <row r="122">
      <c r="A122" s="1" t="s">
        <v>288</v>
      </c>
      <c r="B122" s="1">
        <v>0.0</v>
      </c>
      <c r="C122" s="1">
        <v>8.0</v>
      </c>
      <c r="D122" s="8">
        <f t="shared" si="1"/>
        <v>8</v>
      </c>
    </row>
    <row r="123">
      <c r="A123" s="1" t="s">
        <v>2383</v>
      </c>
      <c r="B123" s="1">
        <v>61.0</v>
      </c>
      <c r="C123" s="1">
        <v>129.0</v>
      </c>
      <c r="D123" s="8">
        <f t="shared" si="1"/>
        <v>190</v>
      </c>
    </row>
    <row r="124">
      <c r="A124" s="1" t="s">
        <v>290</v>
      </c>
      <c r="B124" s="1">
        <v>9.0</v>
      </c>
      <c r="C124" s="1">
        <v>6.0</v>
      </c>
      <c r="D124" s="8">
        <f t="shared" si="1"/>
        <v>15</v>
      </c>
    </row>
    <row r="125">
      <c r="A125" s="1" t="s">
        <v>2384</v>
      </c>
      <c r="B125" s="1">
        <v>11.0</v>
      </c>
      <c r="C125" s="1">
        <v>56.0</v>
      </c>
      <c r="D125" s="8">
        <f t="shared" si="1"/>
        <v>67</v>
      </c>
    </row>
    <row r="126">
      <c r="A126" s="1" t="s">
        <v>2385</v>
      </c>
      <c r="B126" s="1">
        <v>1.0</v>
      </c>
      <c r="C126" s="1">
        <v>0.0</v>
      </c>
      <c r="D126" s="8">
        <f t="shared" si="1"/>
        <v>1</v>
      </c>
    </row>
    <row r="127">
      <c r="A127" s="1" t="s">
        <v>445</v>
      </c>
      <c r="B127" s="1">
        <v>6.0</v>
      </c>
      <c r="C127" s="1">
        <v>111.0</v>
      </c>
      <c r="D127" s="8">
        <f t="shared" si="1"/>
        <v>117</v>
      </c>
    </row>
    <row r="128">
      <c r="A128" s="1" t="s">
        <v>1419</v>
      </c>
      <c r="B128" s="1">
        <v>1.0</v>
      </c>
      <c r="C128" s="1">
        <v>7.0</v>
      </c>
      <c r="D128" s="8">
        <f t="shared" si="1"/>
        <v>8</v>
      </c>
    </row>
    <row r="129">
      <c r="A129" s="1" t="s">
        <v>1010</v>
      </c>
      <c r="B129" s="1">
        <v>8.0</v>
      </c>
      <c r="C129" s="1">
        <v>41.0</v>
      </c>
      <c r="D129" s="8">
        <f t="shared" si="1"/>
        <v>49</v>
      </c>
    </row>
    <row r="130">
      <c r="A130" s="1" t="s">
        <v>2386</v>
      </c>
      <c r="B130" s="1">
        <v>0.0</v>
      </c>
      <c r="C130" s="1">
        <v>5.0</v>
      </c>
      <c r="D130" s="8">
        <f t="shared" si="1"/>
        <v>5</v>
      </c>
    </row>
    <row r="131">
      <c r="A131" s="1" t="s">
        <v>2387</v>
      </c>
      <c r="B131" s="1">
        <v>12.0</v>
      </c>
      <c r="C131" s="1">
        <v>16.0</v>
      </c>
      <c r="D131" s="8">
        <f t="shared" si="1"/>
        <v>28</v>
      </c>
    </row>
    <row r="132">
      <c r="A132" s="1" t="s">
        <v>690</v>
      </c>
      <c r="B132" s="1">
        <v>0.0</v>
      </c>
      <c r="C132" s="1">
        <v>5.0</v>
      </c>
      <c r="D132" s="8">
        <f t="shared" si="1"/>
        <v>5</v>
      </c>
    </row>
    <row r="133">
      <c r="A133" s="1" t="s">
        <v>2388</v>
      </c>
      <c r="B133" s="1">
        <v>2.0</v>
      </c>
      <c r="C133" s="1">
        <v>8.0</v>
      </c>
      <c r="D133" s="8">
        <f t="shared" si="1"/>
        <v>10</v>
      </c>
    </row>
    <row r="134">
      <c r="A134" s="1" t="s">
        <v>2389</v>
      </c>
      <c r="B134" s="1">
        <v>3.0</v>
      </c>
      <c r="C134" s="1">
        <v>1.0</v>
      </c>
      <c r="D134" s="8">
        <f t="shared" si="1"/>
        <v>4</v>
      </c>
    </row>
    <row r="135">
      <c r="A135" s="1" t="s">
        <v>2390</v>
      </c>
      <c r="B135" s="1">
        <v>0.0</v>
      </c>
      <c r="C135" s="1">
        <v>3.0</v>
      </c>
      <c r="D135" s="8">
        <f t="shared" si="1"/>
        <v>3</v>
      </c>
    </row>
    <row r="136">
      <c r="A136" s="1" t="s">
        <v>2395</v>
      </c>
      <c r="B136" s="1">
        <v>164.0</v>
      </c>
      <c r="C136" s="1">
        <v>382.0</v>
      </c>
      <c r="D136" s="8">
        <f t="shared" si="1"/>
        <v>546</v>
      </c>
    </row>
  </sheetData>
  <drawing r:id="rId1"/>
</worksheet>
</file>

<file path=xl/worksheets/sheet1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7.13"/>
    <col customWidth="1" min="3" max="3" width="15.25"/>
  </cols>
  <sheetData>
    <row r="1">
      <c r="A1" s="1457" t="s">
        <v>4269</v>
      </c>
      <c r="C1" s="1458"/>
      <c r="D1" s="1457" t="s">
        <v>4270</v>
      </c>
      <c r="G1" s="703"/>
      <c r="H1" s="703"/>
      <c r="I1" s="703"/>
      <c r="J1" s="703"/>
      <c r="K1" s="703"/>
      <c r="L1" s="703"/>
      <c r="M1" s="703"/>
      <c r="N1" s="703"/>
      <c r="O1" s="703"/>
      <c r="P1" s="703"/>
      <c r="Q1" s="703"/>
      <c r="R1" s="703"/>
      <c r="S1" s="703"/>
      <c r="T1" s="703"/>
      <c r="U1" s="703"/>
      <c r="V1" s="703"/>
      <c r="W1" s="703"/>
      <c r="X1" s="703"/>
      <c r="Y1" s="703"/>
      <c r="Z1" s="703"/>
    </row>
    <row r="2">
      <c r="C2" s="1458"/>
      <c r="G2" s="703"/>
      <c r="H2" s="703"/>
      <c r="I2" s="703"/>
      <c r="J2" s="703"/>
      <c r="K2" s="703"/>
      <c r="L2" s="703"/>
      <c r="M2" s="703"/>
      <c r="N2" s="703"/>
      <c r="O2" s="703"/>
      <c r="P2" s="703"/>
      <c r="Q2" s="703"/>
      <c r="R2" s="703"/>
      <c r="S2" s="703"/>
      <c r="T2" s="703"/>
      <c r="U2" s="703"/>
      <c r="V2" s="703"/>
      <c r="W2" s="703"/>
      <c r="X2" s="703"/>
      <c r="Y2" s="703"/>
      <c r="Z2" s="703"/>
    </row>
    <row r="3">
      <c r="A3" s="1459" t="s">
        <v>61</v>
      </c>
      <c r="B3" s="1460" t="s">
        <v>4271</v>
      </c>
      <c r="C3" s="1461" t="s">
        <v>4272</v>
      </c>
      <c r="D3" s="1462" t="s">
        <v>86</v>
      </c>
      <c r="E3" s="703"/>
      <c r="F3" s="703"/>
      <c r="G3" s="1463"/>
      <c r="H3" s="703"/>
      <c r="I3" s="703"/>
      <c r="J3" s="703"/>
      <c r="K3" s="703"/>
      <c r="L3" s="703"/>
      <c r="M3" s="703"/>
      <c r="N3" s="703"/>
      <c r="O3" s="703"/>
      <c r="P3" s="703"/>
      <c r="Q3" s="703"/>
      <c r="R3" s="703"/>
      <c r="S3" s="703"/>
      <c r="T3" s="703"/>
      <c r="U3" s="703"/>
      <c r="V3" s="703"/>
      <c r="W3" s="703"/>
      <c r="X3" s="703"/>
      <c r="Y3" s="703"/>
      <c r="Z3" s="703"/>
    </row>
    <row r="4">
      <c r="A4" s="1464" t="s">
        <v>0</v>
      </c>
      <c r="B4" s="843">
        <v>5260.0</v>
      </c>
      <c r="C4" s="1465">
        <v>486.0</v>
      </c>
      <c r="D4" s="1466">
        <v>2474.0</v>
      </c>
      <c r="E4" s="1467"/>
      <c r="F4" s="703"/>
      <c r="G4" s="1468"/>
      <c r="H4" s="703"/>
      <c r="I4" s="703"/>
      <c r="J4" s="703"/>
      <c r="K4" s="703"/>
      <c r="L4" s="703"/>
      <c r="M4" s="703"/>
      <c r="N4" s="703"/>
      <c r="O4" s="703"/>
      <c r="P4" s="703"/>
      <c r="Q4" s="703"/>
      <c r="R4" s="703"/>
      <c r="S4" s="703"/>
      <c r="T4" s="703"/>
      <c r="U4" s="703"/>
      <c r="V4" s="703"/>
      <c r="W4" s="703"/>
      <c r="X4" s="703"/>
      <c r="Y4" s="703"/>
      <c r="Z4" s="703"/>
    </row>
    <row r="5">
      <c r="A5" s="1469" t="s">
        <v>23</v>
      </c>
      <c r="B5" s="843">
        <v>2690.0</v>
      </c>
      <c r="C5" s="1470">
        <v>328.0</v>
      </c>
      <c r="D5" s="1466">
        <v>1030.0</v>
      </c>
      <c r="E5" s="1467"/>
      <c r="F5" s="703"/>
      <c r="G5" s="1468"/>
      <c r="H5" s="703"/>
      <c r="I5" s="703"/>
      <c r="J5" s="703"/>
      <c r="K5" s="703"/>
      <c r="L5" s="703"/>
      <c r="M5" s="703"/>
      <c r="N5" s="703"/>
      <c r="O5" s="703"/>
      <c r="P5" s="703"/>
      <c r="Q5" s="703"/>
      <c r="R5" s="703"/>
      <c r="S5" s="703"/>
      <c r="T5" s="703"/>
      <c r="U5" s="703"/>
      <c r="V5" s="703"/>
      <c r="W5" s="703"/>
      <c r="X5" s="703"/>
      <c r="Y5" s="703"/>
      <c r="Z5" s="703"/>
    </row>
    <row r="6">
      <c r="A6" s="1464" t="s">
        <v>33</v>
      </c>
      <c r="B6" s="843">
        <v>12358.0</v>
      </c>
      <c r="C6" s="1465">
        <v>1923.0</v>
      </c>
      <c r="D6" s="1466">
        <v>2638.0</v>
      </c>
      <c r="E6" s="1467"/>
      <c r="F6" s="703"/>
      <c r="G6" s="1468"/>
      <c r="H6" s="703"/>
      <c r="I6" s="703"/>
      <c r="J6" s="703"/>
      <c r="K6" s="703"/>
      <c r="L6" s="703"/>
      <c r="M6" s="703"/>
      <c r="N6" s="703"/>
      <c r="O6" s="703"/>
      <c r="P6" s="703"/>
      <c r="Q6" s="703"/>
      <c r="R6" s="703"/>
      <c r="S6" s="703"/>
      <c r="T6" s="703"/>
      <c r="U6" s="703"/>
      <c r="V6" s="703"/>
      <c r="W6" s="703"/>
      <c r="X6" s="703"/>
      <c r="Y6" s="703"/>
      <c r="Z6" s="703"/>
    </row>
    <row r="7">
      <c r="A7" s="1469" t="s">
        <v>34</v>
      </c>
      <c r="B7" s="843">
        <v>3952.0</v>
      </c>
      <c r="C7" s="1465">
        <v>605.0</v>
      </c>
      <c r="D7" s="1466">
        <v>1548.0</v>
      </c>
      <c r="E7" s="1467"/>
      <c r="F7" s="703"/>
      <c r="G7" s="1468"/>
      <c r="H7" s="703"/>
      <c r="I7" s="703"/>
      <c r="J7" s="703"/>
      <c r="K7" s="703"/>
      <c r="L7" s="703"/>
      <c r="M7" s="703"/>
      <c r="N7" s="703"/>
      <c r="O7" s="703"/>
      <c r="P7" s="703"/>
      <c r="Q7" s="703"/>
      <c r="R7" s="703"/>
      <c r="S7" s="703"/>
      <c r="T7" s="703"/>
      <c r="U7" s="703"/>
      <c r="V7" s="703"/>
      <c r="W7" s="703"/>
      <c r="X7" s="703"/>
      <c r="Y7" s="703"/>
      <c r="Z7" s="703"/>
    </row>
    <row r="8">
      <c r="A8" s="1464" t="s">
        <v>35</v>
      </c>
      <c r="B8" s="843">
        <v>45924.0</v>
      </c>
      <c r="C8" s="1465">
        <v>8180.0</v>
      </c>
      <c r="D8" s="1466">
        <v>34924.0</v>
      </c>
      <c r="E8" s="1467"/>
      <c r="F8" s="703"/>
      <c r="G8" s="1471"/>
      <c r="H8" s="703"/>
      <c r="I8" s="703"/>
      <c r="J8" s="703"/>
      <c r="K8" s="703"/>
      <c r="L8" s="703"/>
      <c r="M8" s="703"/>
      <c r="N8" s="703"/>
      <c r="O8" s="703"/>
      <c r="P8" s="703"/>
      <c r="Q8" s="703"/>
      <c r="R8" s="703"/>
      <c r="S8" s="703"/>
      <c r="T8" s="703"/>
      <c r="U8" s="703"/>
      <c r="V8" s="703"/>
      <c r="W8" s="703"/>
      <c r="X8" s="703"/>
      <c r="Y8" s="703"/>
      <c r="Z8" s="703"/>
    </row>
    <row r="9">
      <c r="A9" s="1469" t="s">
        <v>36</v>
      </c>
      <c r="B9" s="843">
        <v>4133.0</v>
      </c>
      <c r="C9" s="1465">
        <v>560.0</v>
      </c>
      <c r="D9" s="1466">
        <v>2078.0</v>
      </c>
      <c r="E9" s="1467"/>
      <c r="F9" s="703"/>
      <c r="G9" s="1468"/>
      <c r="H9" s="703"/>
      <c r="I9" s="703"/>
      <c r="J9" s="703"/>
      <c r="K9" s="703"/>
      <c r="L9" s="703"/>
      <c r="M9" s="703"/>
      <c r="N9" s="703"/>
      <c r="O9" s="703"/>
      <c r="P9" s="703"/>
      <c r="Q9" s="703"/>
      <c r="R9" s="703"/>
      <c r="S9" s="703"/>
      <c r="T9" s="703"/>
      <c r="U9" s="703"/>
      <c r="V9" s="703"/>
      <c r="W9" s="703"/>
      <c r="X9" s="703"/>
      <c r="Y9" s="703"/>
      <c r="Z9" s="703"/>
    </row>
    <row r="10">
      <c r="A10" s="1464" t="s">
        <v>37</v>
      </c>
      <c r="B10" s="843">
        <v>3295.0</v>
      </c>
      <c r="C10" s="1465">
        <v>438.0</v>
      </c>
      <c r="D10" s="1466">
        <v>2363.0</v>
      </c>
      <c r="E10" s="1467"/>
      <c r="F10" s="703"/>
      <c r="G10" s="1468"/>
      <c r="H10" s="703"/>
      <c r="I10" s="703"/>
      <c r="J10" s="703"/>
      <c r="K10" s="703"/>
      <c r="L10" s="703"/>
      <c r="M10" s="703"/>
      <c r="N10" s="703"/>
      <c r="O10" s="703"/>
      <c r="P10" s="703"/>
      <c r="Q10" s="703"/>
      <c r="R10" s="703"/>
      <c r="S10" s="703"/>
      <c r="T10" s="703"/>
      <c r="U10" s="703"/>
      <c r="V10" s="703"/>
      <c r="W10" s="703"/>
      <c r="X10" s="703"/>
      <c r="Y10" s="703"/>
      <c r="Z10" s="703"/>
    </row>
    <row r="11">
      <c r="A11" s="1469" t="s">
        <v>40</v>
      </c>
      <c r="B11" s="845">
        <v>548.0</v>
      </c>
      <c r="C11" s="1470">
        <v>41.0</v>
      </c>
      <c r="D11" s="1472">
        <v>367.0</v>
      </c>
      <c r="E11" s="703"/>
      <c r="F11" s="703"/>
      <c r="G11" s="1463"/>
      <c r="H11" s="703"/>
      <c r="I11" s="703"/>
      <c r="J11" s="703"/>
      <c r="K11" s="703"/>
      <c r="L11" s="703"/>
      <c r="M11" s="703"/>
      <c r="N11" s="703"/>
      <c r="O11" s="703"/>
      <c r="P11" s="703"/>
      <c r="Q11" s="703"/>
      <c r="R11" s="703"/>
      <c r="S11" s="703"/>
      <c r="T11" s="703"/>
      <c r="U11" s="703"/>
      <c r="V11" s="703"/>
      <c r="W11" s="703"/>
      <c r="X11" s="703"/>
      <c r="Y11" s="703"/>
      <c r="Z11" s="703"/>
    </row>
    <row r="12">
      <c r="A12" s="1464" t="s">
        <v>39</v>
      </c>
      <c r="B12" s="845">
        <v>427.0</v>
      </c>
      <c r="C12" s="1470">
        <v>0.0</v>
      </c>
      <c r="D12" s="1473">
        <v>386.0</v>
      </c>
      <c r="E12" s="1467"/>
      <c r="F12" s="703"/>
      <c r="G12" s="1468"/>
      <c r="H12" s="703"/>
      <c r="I12" s="703"/>
      <c r="J12" s="703"/>
      <c r="K12" s="703"/>
      <c r="L12" s="703"/>
      <c r="M12" s="703"/>
      <c r="N12" s="703"/>
      <c r="O12" s="703"/>
      <c r="P12" s="703"/>
      <c r="Q12" s="703"/>
      <c r="R12" s="703"/>
      <c r="S12" s="703"/>
      <c r="T12" s="703"/>
      <c r="U12" s="703"/>
      <c r="V12" s="703"/>
      <c r="W12" s="703"/>
      <c r="X12" s="703"/>
      <c r="Y12" s="703"/>
      <c r="Z12" s="703"/>
    </row>
    <row r="13">
      <c r="A13" s="1469" t="s">
        <v>42</v>
      </c>
      <c r="B13" s="843">
        <v>22493.0</v>
      </c>
      <c r="C13" s="1465">
        <v>5576.0</v>
      </c>
      <c r="D13" s="1473">
        <v>8712.0</v>
      </c>
      <c r="E13" s="1467"/>
      <c r="F13" s="703"/>
      <c r="G13" s="1468"/>
      <c r="H13" s="703"/>
      <c r="I13" s="703"/>
      <c r="J13" s="703"/>
      <c r="K13" s="703"/>
      <c r="L13" s="703"/>
      <c r="M13" s="703"/>
      <c r="N13" s="703"/>
      <c r="O13" s="703"/>
      <c r="P13" s="703"/>
      <c r="Q13" s="703"/>
      <c r="R13" s="703"/>
      <c r="S13" s="703"/>
      <c r="T13" s="703"/>
      <c r="U13" s="703"/>
      <c r="V13" s="703"/>
      <c r="W13" s="703"/>
      <c r="X13" s="703"/>
      <c r="Y13" s="703"/>
      <c r="Z13" s="703"/>
    </row>
    <row r="14">
      <c r="A14" s="1464" t="s">
        <v>44</v>
      </c>
      <c r="B14" s="843">
        <v>10838.0</v>
      </c>
      <c r="C14" s="1465">
        <v>1796.0</v>
      </c>
      <c r="D14" s="1473">
        <v>4559.0</v>
      </c>
      <c r="E14" s="1467"/>
      <c r="F14" s="703"/>
      <c r="G14" s="1468"/>
      <c r="H14" s="703"/>
      <c r="I14" s="703"/>
      <c r="J14" s="703"/>
      <c r="K14" s="703"/>
      <c r="L14" s="703"/>
      <c r="M14" s="703"/>
      <c r="N14" s="703"/>
      <c r="O14" s="703"/>
      <c r="P14" s="703"/>
      <c r="Q14" s="703"/>
      <c r="R14" s="703"/>
      <c r="S14" s="703"/>
      <c r="T14" s="703"/>
      <c r="U14" s="703"/>
      <c r="V14" s="703"/>
      <c r="W14" s="703"/>
      <c r="X14" s="703"/>
      <c r="Y14" s="703"/>
      <c r="Z14" s="703"/>
    </row>
    <row r="15">
      <c r="A15" s="1469" t="s">
        <v>45</v>
      </c>
      <c r="B15" s="843">
        <v>1340.0</v>
      </c>
      <c r="C15" s="1470">
        <v>228.0</v>
      </c>
      <c r="D15" s="1473">
        <v>781.0</v>
      </c>
      <c r="E15" s="1467"/>
      <c r="F15" s="703"/>
      <c r="G15" s="1468"/>
      <c r="H15" s="703"/>
      <c r="I15" s="703"/>
      <c r="J15" s="703"/>
      <c r="K15" s="703"/>
      <c r="L15" s="703"/>
      <c r="M15" s="703"/>
      <c r="N15" s="703"/>
      <c r="O15" s="703"/>
      <c r="P15" s="703"/>
      <c r="Q15" s="703"/>
      <c r="R15" s="703"/>
      <c r="S15" s="703"/>
      <c r="T15" s="703"/>
      <c r="U15" s="703"/>
      <c r="V15" s="703"/>
      <c r="W15" s="703"/>
      <c r="X15" s="703"/>
      <c r="Y15" s="703"/>
      <c r="Z15" s="703"/>
    </row>
    <row r="16">
      <c r="A16" s="1464" t="s">
        <v>47</v>
      </c>
      <c r="B16" s="843">
        <v>1548.0</v>
      </c>
      <c r="C16" s="1470">
        <v>170.0</v>
      </c>
      <c r="D16" s="1473">
        <v>1187.0</v>
      </c>
      <c r="E16" s="1467"/>
      <c r="F16" s="703"/>
      <c r="G16" s="1468"/>
      <c r="H16" s="703"/>
      <c r="I16" s="703"/>
      <c r="J16" s="703"/>
      <c r="K16" s="703"/>
      <c r="L16" s="703"/>
      <c r="M16" s="703"/>
      <c r="N16" s="703"/>
      <c r="O16" s="703"/>
      <c r="P16" s="703"/>
      <c r="Q16" s="703"/>
      <c r="R16" s="703"/>
      <c r="S16" s="703"/>
      <c r="T16" s="703"/>
      <c r="U16" s="703"/>
      <c r="V16" s="703"/>
      <c r="W16" s="703"/>
      <c r="X16" s="703"/>
      <c r="Y16" s="703"/>
      <c r="Z16" s="703"/>
    </row>
    <row r="17">
      <c r="A17" s="1469" t="s">
        <v>48</v>
      </c>
      <c r="B17" s="843">
        <v>20743.0</v>
      </c>
      <c r="C17" s="1465">
        <v>2660.0</v>
      </c>
      <c r="D17" s="1473">
        <v>8188.0</v>
      </c>
      <c r="E17" s="1467"/>
      <c r="F17" s="703"/>
      <c r="G17" s="1468"/>
      <c r="H17" s="703"/>
      <c r="I17" s="703"/>
      <c r="J17" s="703"/>
      <c r="K17" s="703"/>
      <c r="L17" s="703"/>
      <c r="M17" s="703"/>
      <c r="N17" s="703"/>
      <c r="O17" s="703"/>
      <c r="P17" s="703"/>
      <c r="Q17" s="703"/>
      <c r="R17" s="703"/>
      <c r="S17" s="703"/>
      <c r="T17" s="703"/>
      <c r="U17" s="703"/>
      <c r="V17" s="703"/>
      <c r="W17" s="703"/>
      <c r="X17" s="703"/>
      <c r="Y17" s="703"/>
      <c r="Z17" s="703"/>
    </row>
    <row r="18">
      <c r="A18" s="1464" t="s">
        <v>49</v>
      </c>
      <c r="B18" s="843">
        <v>11457.0</v>
      </c>
      <c r="C18" s="1465">
        <v>1389.0</v>
      </c>
      <c r="D18" s="1473">
        <v>4531.0</v>
      </c>
      <c r="E18" s="1467"/>
      <c r="F18" s="703"/>
      <c r="G18" s="1468"/>
      <c r="H18" s="703"/>
      <c r="I18" s="703"/>
      <c r="J18" s="703"/>
      <c r="K18" s="703"/>
      <c r="L18" s="703"/>
      <c r="M18" s="703"/>
      <c r="N18" s="703"/>
      <c r="O18" s="703"/>
      <c r="P18" s="703"/>
      <c r="Q18" s="703"/>
      <c r="R18" s="703"/>
      <c r="S18" s="703"/>
      <c r="T18" s="703"/>
      <c r="U18" s="703"/>
      <c r="V18" s="703"/>
      <c r="W18" s="703"/>
      <c r="X18" s="703"/>
      <c r="Y18" s="703"/>
      <c r="Z18" s="703"/>
    </row>
    <row r="19">
      <c r="A19" s="1469" t="s">
        <v>50</v>
      </c>
      <c r="B19" s="843">
        <v>4048.0</v>
      </c>
      <c r="C19" s="1465">
        <v>765.0</v>
      </c>
      <c r="D19" s="1473">
        <v>2244.0</v>
      </c>
      <c r="E19" s="1467"/>
      <c r="F19" s="703"/>
      <c r="G19" s="1468"/>
      <c r="H19" s="703"/>
      <c r="I19" s="703"/>
      <c r="J19" s="703"/>
      <c r="K19" s="703"/>
      <c r="L19" s="703"/>
      <c r="M19" s="703"/>
      <c r="N19" s="703"/>
      <c r="O19" s="703"/>
      <c r="P19" s="703"/>
      <c r="Q19" s="703"/>
      <c r="R19" s="703"/>
      <c r="S19" s="703"/>
      <c r="T19" s="703"/>
      <c r="U19" s="703"/>
      <c r="V19" s="703"/>
      <c r="W19" s="703"/>
      <c r="X19" s="703"/>
      <c r="Y19" s="703"/>
      <c r="Z19" s="703"/>
    </row>
    <row r="20">
      <c r="A20" s="1464" t="s">
        <v>53</v>
      </c>
      <c r="B20" s="843">
        <v>6808.0</v>
      </c>
      <c r="C20" s="1465">
        <v>1584.0</v>
      </c>
      <c r="D20" s="1473">
        <v>2343.0</v>
      </c>
      <c r="E20" s="1467"/>
      <c r="F20" s="703"/>
      <c r="G20" s="1468"/>
      <c r="H20" s="703"/>
      <c r="I20" s="703"/>
      <c r="J20" s="703"/>
      <c r="K20" s="703"/>
      <c r="L20" s="703"/>
      <c r="M20" s="703"/>
      <c r="N20" s="703"/>
      <c r="O20" s="703"/>
      <c r="P20" s="703"/>
      <c r="Q20" s="703"/>
      <c r="R20" s="703"/>
      <c r="S20" s="703"/>
      <c r="T20" s="703"/>
      <c r="U20" s="703"/>
      <c r="V20" s="703"/>
      <c r="W20" s="703"/>
      <c r="X20" s="703"/>
      <c r="Y20" s="703"/>
      <c r="Z20" s="703"/>
    </row>
    <row r="21">
      <c r="A21" s="1469" t="s">
        <v>54</v>
      </c>
      <c r="B21" s="843">
        <v>7905.0</v>
      </c>
      <c r="C21" s="1465">
        <v>2375.0</v>
      </c>
      <c r="D21" s="1473">
        <v>5185.0</v>
      </c>
      <c r="E21" s="1467"/>
      <c r="F21" s="703"/>
      <c r="G21" s="1468"/>
      <c r="H21" s="703"/>
      <c r="I21" s="703"/>
      <c r="J21" s="703"/>
      <c r="K21" s="703"/>
      <c r="L21" s="703"/>
      <c r="M21" s="703"/>
      <c r="N21" s="703"/>
      <c r="O21" s="703"/>
      <c r="P21" s="703"/>
      <c r="Q21" s="703"/>
      <c r="R21" s="703"/>
      <c r="S21" s="703"/>
      <c r="T21" s="703"/>
      <c r="U21" s="703"/>
      <c r="V21" s="703"/>
      <c r="W21" s="703"/>
      <c r="X21" s="703"/>
      <c r="Y21" s="703"/>
      <c r="Z21" s="703"/>
    </row>
    <row r="22">
      <c r="A22" s="1464" t="s">
        <v>55</v>
      </c>
      <c r="B22" s="843">
        <v>3682.0</v>
      </c>
      <c r="C22" s="1465">
        <v>501.0</v>
      </c>
      <c r="D22" s="1473">
        <v>1659.0</v>
      </c>
      <c r="E22" s="1467"/>
      <c r="F22" s="703"/>
      <c r="G22" s="1468"/>
      <c r="H22" s="703"/>
      <c r="I22" s="703"/>
      <c r="J22" s="703"/>
      <c r="K22" s="703"/>
      <c r="L22" s="703"/>
      <c r="M22" s="703"/>
      <c r="N22" s="703"/>
      <c r="O22" s="703"/>
      <c r="P22" s="703"/>
      <c r="Q22" s="703"/>
      <c r="R22" s="703"/>
      <c r="S22" s="703"/>
      <c r="T22" s="703"/>
      <c r="U22" s="703"/>
      <c r="V22" s="703"/>
      <c r="W22" s="703"/>
      <c r="X22" s="703"/>
      <c r="Y22" s="703"/>
      <c r="Z22" s="703"/>
    </row>
    <row r="23">
      <c r="A23" s="1469" t="s">
        <v>56</v>
      </c>
      <c r="B23" s="843">
        <v>2429.0</v>
      </c>
      <c r="C23" s="1470">
        <v>107.0</v>
      </c>
      <c r="D23" s="1473">
        <v>1767.0</v>
      </c>
      <c r="E23" s="1467"/>
      <c r="F23" s="703"/>
      <c r="G23" s="1468"/>
      <c r="H23" s="703"/>
      <c r="I23" s="703"/>
      <c r="J23" s="703"/>
      <c r="K23" s="703"/>
      <c r="L23" s="703"/>
      <c r="M23" s="703"/>
      <c r="N23" s="703"/>
      <c r="O23" s="703"/>
      <c r="P23" s="703"/>
      <c r="Q23" s="703"/>
      <c r="R23" s="703"/>
      <c r="S23" s="703"/>
      <c r="T23" s="703"/>
      <c r="U23" s="703"/>
      <c r="V23" s="703"/>
      <c r="W23" s="703"/>
      <c r="X23" s="703"/>
      <c r="Y23" s="703"/>
      <c r="Z23" s="703"/>
    </row>
    <row r="24">
      <c r="A24" s="1464" t="s">
        <v>57</v>
      </c>
      <c r="B24" s="843">
        <v>3609.0</v>
      </c>
      <c r="C24" s="1470">
        <v>68.0</v>
      </c>
      <c r="D24" s="1473">
        <v>1462.0</v>
      </c>
      <c r="E24" s="1467"/>
      <c r="F24" s="703"/>
      <c r="G24" s="1468"/>
      <c r="H24" s="703"/>
      <c r="I24" s="703"/>
      <c r="J24" s="703"/>
      <c r="K24" s="703"/>
      <c r="L24" s="703"/>
      <c r="M24" s="703"/>
      <c r="N24" s="703"/>
      <c r="O24" s="703"/>
      <c r="P24" s="703"/>
      <c r="Q24" s="703"/>
      <c r="R24" s="703"/>
      <c r="S24" s="703"/>
      <c r="T24" s="703"/>
      <c r="U24" s="703"/>
      <c r="V24" s="703"/>
      <c r="W24" s="703"/>
      <c r="X24" s="703"/>
      <c r="Y24" s="703"/>
      <c r="Z24" s="703"/>
    </row>
    <row r="25">
      <c r="A25" s="1469" t="s">
        <v>59</v>
      </c>
      <c r="B25" s="843">
        <v>8824.0</v>
      </c>
      <c r="C25" s="1465">
        <v>1316.0</v>
      </c>
      <c r="D25" s="1473">
        <v>5159.0</v>
      </c>
      <c r="E25" s="1467"/>
      <c r="F25" s="703"/>
      <c r="G25" s="1468"/>
      <c r="H25" s="703"/>
      <c r="I25" s="703"/>
      <c r="J25" s="703"/>
      <c r="K25" s="703"/>
      <c r="L25" s="703"/>
      <c r="M25" s="703"/>
      <c r="N25" s="703"/>
      <c r="O25" s="703"/>
      <c r="P25" s="703"/>
      <c r="Q25" s="703"/>
      <c r="R25" s="703"/>
      <c r="S25" s="703"/>
      <c r="T25" s="703"/>
      <c r="U25" s="703"/>
      <c r="V25" s="703"/>
      <c r="W25" s="703"/>
      <c r="X25" s="703"/>
      <c r="Y25" s="703"/>
      <c r="Z25" s="703"/>
    </row>
    <row r="26">
      <c r="A26" s="1464" t="s">
        <v>60</v>
      </c>
      <c r="B26" s="843">
        <v>8940.0</v>
      </c>
      <c r="C26" s="1465">
        <v>2832.0</v>
      </c>
      <c r="D26" s="1473">
        <v>4169.0</v>
      </c>
      <c r="E26" s="1467"/>
      <c r="F26" s="703"/>
      <c r="G26" s="1468"/>
      <c r="H26" s="703"/>
      <c r="I26" s="703"/>
      <c r="J26" s="703"/>
      <c r="K26" s="703"/>
      <c r="L26" s="703"/>
      <c r="M26" s="703"/>
      <c r="N26" s="703"/>
      <c r="O26" s="703"/>
      <c r="P26" s="703"/>
      <c r="Q26" s="703"/>
      <c r="R26" s="703"/>
      <c r="S26" s="703"/>
      <c r="T26" s="703"/>
      <c r="U26" s="703"/>
      <c r="V26" s="703"/>
      <c r="W26" s="703"/>
      <c r="X26" s="703"/>
      <c r="Y26" s="703"/>
      <c r="Z26" s="703"/>
    </row>
    <row r="27">
      <c r="A27" s="1469" t="s">
        <v>65</v>
      </c>
      <c r="B27" s="843">
        <v>6133.0</v>
      </c>
      <c r="C27" s="1465">
        <v>1423.0</v>
      </c>
      <c r="D27" s="1473">
        <v>3766.0</v>
      </c>
      <c r="E27" s="1467"/>
      <c r="F27" s="703"/>
      <c r="G27" s="1468"/>
      <c r="H27" s="703"/>
      <c r="I27" s="703"/>
      <c r="J27" s="703"/>
      <c r="K27" s="703"/>
      <c r="L27" s="703"/>
      <c r="M27" s="703"/>
      <c r="N27" s="703"/>
      <c r="O27" s="703"/>
      <c r="P27" s="703"/>
      <c r="Q27" s="703"/>
      <c r="R27" s="703"/>
      <c r="S27" s="703"/>
      <c r="T27" s="703"/>
      <c r="U27" s="703"/>
      <c r="V27" s="703"/>
      <c r="W27" s="703"/>
      <c r="X27" s="703"/>
      <c r="Y27" s="703"/>
      <c r="Z27" s="703"/>
    </row>
    <row r="28">
      <c r="A28" s="1464" t="s">
        <v>67</v>
      </c>
      <c r="B28" s="843">
        <v>3825.0</v>
      </c>
      <c r="C28" s="1465">
        <v>530.0</v>
      </c>
      <c r="D28" s="1473">
        <v>1691.0</v>
      </c>
      <c r="E28" s="1467"/>
      <c r="F28" s="703"/>
      <c r="G28" s="1468"/>
      <c r="H28" s="703"/>
      <c r="I28" s="703"/>
      <c r="J28" s="703"/>
      <c r="K28" s="703"/>
      <c r="L28" s="703"/>
      <c r="M28" s="703"/>
      <c r="N28" s="703"/>
      <c r="O28" s="703"/>
      <c r="P28" s="703"/>
      <c r="Q28" s="703"/>
      <c r="R28" s="703"/>
      <c r="S28" s="703"/>
      <c r="T28" s="703"/>
      <c r="U28" s="703"/>
      <c r="V28" s="703"/>
      <c r="W28" s="703"/>
      <c r="X28" s="703"/>
      <c r="Y28" s="703"/>
      <c r="Z28" s="703"/>
    </row>
    <row r="29">
      <c r="A29" s="1469" t="s">
        <v>73</v>
      </c>
      <c r="B29" s="843">
        <v>12514.0</v>
      </c>
      <c r="C29" s="1465">
        <v>795.0</v>
      </c>
      <c r="D29" s="1473">
        <v>4567.0</v>
      </c>
      <c r="E29" s="1467"/>
      <c r="F29" s="703"/>
      <c r="G29" s="1468"/>
      <c r="H29" s="703"/>
      <c r="I29" s="703"/>
      <c r="J29" s="703"/>
      <c r="K29" s="703"/>
      <c r="L29" s="703"/>
      <c r="M29" s="703"/>
      <c r="N29" s="703"/>
      <c r="O29" s="703"/>
      <c r="P29" s="703"/>
      <c r="Q29" s="703"/>
      <c r="R29" s="703"/>
      <c r="S29" s="703"/>
      <c r="T29" s="703"/>
      <c r="U29" s="703"/>
      <c r="V29" s="703"/>
      <c r="W29" s="703"/>
      <c r="X29" s="703"/>
      <c r="Y29" s="703"/>
      <c r="Z29" s="703"/>
    </row>
    <row r="30">
      <c r="A30" s="1464" t="s">
        <v>76</v>
      </c>
      <c r="B30" s="843">
        <v>2672.0</v>
      </c>
      <c r="C30" s="1465">
        <v>345.0</v>
      </c>
      <c r="D30" s="1473">
        <v>1200.0</v>
      </c>
      <c r="E30" s="1467"/>
      <c r="F30" s="703"/>
      <c r="G30" s="1468"/>
      <c r="H30" s="703"/>
      <c r="I30" s="703"/>
      <c r="J30" s="703"/>
      <c r="K30" s="703"/>
      <c r="L30" s="703"/>
      <c r="M30" s="703"/>
      <c r="N30" s="703"/>
      <c r="O30" s="703"/>
      <c r="P30" s="703"/>
      <c r="Q30" s="703"/>
      <c r="R30" s="703"/>
      <c r="S30" s="703"/>
      <c r="T30" s="703"/>
      <c r="U30" s="703"/>
      <c r="V30" s="703"/>
      <c r="W30" s="703"/>
      <c r="X30" s="703"/>
      <c r="Y30" s="703"/>
      <c r="Z30" s="703"/>
    </row>
    <row r="31">
      <c r="A31" s="1469" t="s">
        <v>79</v>
      </c>
      <c r="B31" s="843">
        <v>3873.0</v>
      </c>
      <c r="C31" s="1470">
        <v>433.0</v>
      </c>
      <c r="D31" s="1473">
        <v>1502.0</v>
      </c>
      <c r="E31" s="1467"/>
      <c r="F31" s="703"/>
      <c r="G31" s="1468"/>
      <c r="H31" s="703"/>
      <c r="I31" s="703"/>
      <c r="J31" s="703"/>
      <c r="K31" s="703"/>
      <c r="L31" s="703"/>
      <c r="M31" s="703"/>
      <c r="N31" s="703"/>
      <c r="O31" s="703"/>
      <c r="P31" s="703"/>
      <c r="Q31" s="703"/>
      <c r="R31" s="703"/>
      <c r="S31" s="703"/>
      <c r="T31" s="703"/>
      <c r="U31" s="703"/>
      <c r="V31" s="703"/>
      <c r="W31" s="703"/>
      <c r="X31" s="703"/>
      <c r="Y31" s="703"/>
      <c r="Z31" s="703"/>
    </row>
    <row r="32">
      <c r="A32" s="1464" t="s">
        <v>82</v>
      </c>
      <c r="B32" s="843">
        <v>4047.0</v>
      </c>
      <c r="C32" s="1465">
        <v>718.0</v>
      </c>
      <c r="D32" s="1473">
        <v>1099.0</v>
      </c>
      <c r="E32" s="1467"/>
      <c r="F32" s="703"/>
      <c r="G32" s="1463"/>
      <c r="H32" s="703"/>
      <c r="I32" s="703"/>
      <c r="J32" s="703"/>
      <c r="K32" s="703"/>
      <c r="L32" s="703"/>
      <c r="M32" s="703"/>
      <c r="N32" s="703"/>
      <c r="O32" s="703"/>
      <c r="P32" s="703"/>
      <c r="Q32" s="703"/>
      <c r="R32" s="703"/>
      <c r="S32" s="703"/>
      <c r="T32" s="703"/>
      <c r="U32" s="703"/>
      <c r="V32" s="703"/>
      <c r="W32" s="703"/>
      <c r="X32" s="703"/>
      <c r="Y32" s="703"/>
      <c r="Z32" s="703"/>
    </row>
    <row r="33">
      <c r="A33" s="1469" t="s">
        <v>85</v>
      </c>
      <c r="B33" s="843">
        <v>1181.0</v>
      </c>
      <c r="C33" s="1470">
        <v>60.0</v>
      </c>
      <c r="D33" s="1473">
        <v>599.0</v>
      </c>
      <c r="E33" s="1467"/>
      <c r="F33" s="703"/>
      <c r="G33" s="1468"/>
      <c r="H33" s="703"/>
      <c r="I33" s="703"/>
      <c r="J33" s="703"/>
      <c r="K33" s="703"/>
      <c r="L33" s="703"/>
      <c r="M33" s="703"/>
      <c r="N33" s="703"/>
      <c r="O33" s="703"/>
      <c r="P33" s="703"/>
      <c r="Q33" s="703"/>
      <c r="R33" s="703"/>
      <c r="S33" s="703"/>
      <c r="T33" s="703"/>
      <c r="U33" s="703"/>
      <c r="V33" s="703"/>
      <c r="W33" s="703"/>
      <c r="X33" s="703"/>
      <c r="Y33" s="703"/>
      <c r="Z33" s="703"/>
    </row>
    <row r="34">
      <c r="A34" s="1464" t="s">
        <v>88</v>
      </c>
      <c r="B34" s="843">
        <v>2786.0</v>
      </c>
      <c r="C34" s="1465">
        <v>444.0</v>
      </c>
      <c r="D34" s="1473">
        <v>2449.0</v>
      </c>
      <c r="E34" s="1467"/>
      <c r="F34" s="703"/>
      <c r="G34" s="1468"/>
      <c r="H34" s="703"/>
      <c r="I34" s="703"/>
      <c r="J34" s="703"/>
      <c r="K34" s="703"/>
      <c r="L34" s="703"/>
      <c r="M34" s="703"/>
      <c r="N34" s="703"/>
      <c r="O34" s="703"/>
      <c r="P34" s="703"/>
      <c r="Q34" s="703"/>
      <c r="R34" s="703"/>
      <c r="S34" s="703"/>
      <c r="T34" s="703"/>
      <c r="U34" s="703"/>
      <c r="V34" s="703"/>
      <c r="W34" s="703"/>
      <c r="X34" s="703"/>
      <c r="Y34" s="703"/>
      <c r="Z34" s="703"/>
    </row>
    <row r="35">
      <c r="A35" s="1469" t="s">
        <v>91</v>
      </c>
      <c r="B35" s="843">
        <v>1800.0</v>
      </c>
      <c r="C35" s="1465">
        <v>455.0</v>
      </c>
      <c r="D35" s="1473">
        <v>1007.0</v>
      </c>
      <c r="E35" s="1467"/>
      <c r="F35" s="703"/>
      <c r="G35" s="1468"/>
      <c r="H35" s="703"/>
      <c r="I35" s="703"/>
      <c r="J35" s="703"/>
      <c r="K35" s="703"/>
      <c r="L35" s="703"/>
      <c r="M35" s="703"/>
      <c r="N35" s="703"/>
      <c r="O35" s="703"/>
      <c r="P35" s="703"/>
      <c r="Q35" s="703"/>
      <c r="R35" s="703"/>
      <c r="S35" s="703"/>
      <c r="T35" s="703"/>
      <c r="U35" s="703"/>
      <c r="V35" s="703"/>
      <c r="W35" s="703"/>
      <c r="X35" s="703"/>
      <c r="Y35" s="703"/>
      <c r="Z35" s="703"/>
    </row>
    <row r="36">
      <c r="A36" s="1464" t="s">
        <v>94</v>
      </c>
      <c r="B36" s="843">
        <v>14134.0</v>
      </c>
      <c r="C36" s="1465">
        <v>1618.0</v>
      </c>
      <c r="D36" s="1473">
        <v>10490.0</v>
      </c>
      <c r="E36" s="1467"/>
      <c r="F36" s="703"/>
      <c r="G36" s="1468"/>
      <c r="H36" s="703"/>
      <c r="I36" s="703"/>
      <c r="J36" s="703"/>
      <c r="K36" s="703"/>
      <c r="L36" s="703"/>
      <c r="M36" s="703"/>
      <c r="N36" s="703"/>
      <c r="O36" s="703"/>
      <c r="P36" s="703"/>
      <c r="Q36" s="703"/>
      <c r="R36" s="703"/>
      <c r="S36" s="703"/>
      <c r="T36" s="703"/>
      <c r="U36" s="703"/>
      <c r="V36" s="703"/>
      <c r="W36" s="703"/>
      <c r="X36" s="703"/>
      <c r="Y36" s="703"/>
      <c r="Z36" s="703"/>
    </row>
    <row r="37">
      <c r="A37" s="1469" t="s">
        <v>96</v>
      </c>
      <c r="B37" s="843">
        <v>11258.0</v>
      </c>
      <c r="C37" s="1465">
        <v>1154.0</v>
      </c>
      <c r="D37" s="1473">
        <v>5616.0</v>
      </c>
      <c r="E37" s="1467"/>
      <c r="F37" s="703"/>
      <c r="G37" s="1468"/>
      <c r="H37" s="703"/>
      <c r="I37" s="703"/>
      <c r="J37" s="703"/>
      <c r="K37" s="703"/>
      <c r="L37" s="703"/>
      <c r="M37" s="703"/>
      <c r="N37" s="703"/>
      <c r="O37" s="703"/>
      <c r="P37" s="703"/>
      <c r="Q37" s="703"/>
      <c r="R37" s="703"/>
      <c r="S37" s="703"/>
      <c r="T37" s="703"/>
      <c r="U37" s="703"/>
      <c r="V37" s="703"/>
      <c r="W37" s="703"/>
      <c r="X37" s="703"/>
      <c r="Y37" s="703"/>
      <c r="Z37" s="703"/>
    </row>
    <row r="38">
      <c r="A38" s="1464" t="s">
        <v>99</v>
      </c>
      <c r="B38" s="843">
        <v>1547.0</v>
      </c>
      <c r="C38" s="1470">
        <v>343.0</v>
      </c>
      <c r="D38" s="1473">
        <v>974.0</v>
      </c>
      <c r="E38" s="1467"/>
      <c r="F38" s="703"/>
      <c r="G38" s="1468"/>
      <c r="H38" s="703"/>
      <c r="I38" s="703"/>
      <c r="J38" s="703"/>
      <c r="K38" s="703"/>
      <c r="L38" s="703"/>
      <c r="M38" s="703"/>
      <c r="N38" s="703"/>
      <c r="O38" s="703"/>
      <c r="P38" s="703"/>
      <c r="Q38" s="703"/>
      <c r="R38" s="703"/>
      <c r="S38" s="703"/>
      <c r="T38" s="703"/>
      <c r="U38" s="703"/>
      <c r="V38" s="703"/>
      <c r="W38" s="703"/>
      <c r="X38" s="703"/>
      <c r="Y38" s="703"/>
      <c r="Z38" s="703"/>
    </row>
    <row r="39">
      <c r="A39" s="1469" t="s">
        <v>100</v>
      </c>
      <c r="B39" s="843">
        <v>14946.0</v>
      </c>
      <c r="C39" s="1465">
        <v>3461.0</v>
      </c>
      <c r="D39" s="1473">
        <v>7349.0</v>
      </c>
      <c r="E39" s="1467"/>
      <c r="F39" s="703"/>
      <c r="G39" s="1468"/>
      <c r="H39" s="703"/>
      <c r="I39" s="703"/>
      <c r="J39" s="703"/>
      <c r="K39" s="703"/>
      <c r="L39" s="703"/>
      <c r="M39" s="703"/>
      <c r="N39" s="703"/>
      <c r="O39" s="703"/>
      <c r="P39" s="703"/>
      <c r="Q39" s="703"/>
      <c r="R39" s="703"/>
      <c r="S39" s="703"/>
      <c r="T39" s="703"/>
      <c r="U39" s="703"/>
      <c r="V39" s="703"/>
      <c r="W39" s="703"/>
      <c r="X39" s="703"/>
      <c r="Y39" s="703"/>
      <c r="Z39" s="703"/>
    </row>
    <row r="40">
      <c r="A40" s="1464" t="s">
        <v>102</v>
      </c>
      <c r="B40" s="843">
        <v>7013.0</v>
      </c>
      <c r="C40" s="1465">
        <v>1650.0</v>
      </c>
      <c r="D40" s="1473">
        <v>4281.0</v>
      </c>
      <c r="E40" s="1467"/>
      <c r="F40" s="703"/>
      <c r="G40" s="1468"/>
      <c r="H40" s="703"/>
      <c r="I40" s="703"/>
      <c r="J40" s="703"/>
      <c r="K40" s="703"/>
      <c r="L40" s="703"/>
      <c r="M40" s="703"/>
      <c r="N40" s="703"/>
      <c r="O40" s="703"/>
      <c r="P40" s="703"/>
      <c r="Q40" s="703"/>
      <c r="R40" s="703"/>
      <c r="S40" s="703"/>
      <c r="T40" s="703"/>
      <c r="U40" s="703"/>
      <c r="V40" s="703"/>
      <c r="W40" s="703"/>
      <c r="X40" s="703"/>
      <c r="Y40" s="703"/>
      <c r="Z40" s="703"/>
    </row>
    <row r="41">
      <c r="A41" s="1469" t="s">
        <v>103</v>
      </c>
      <c r="B41" s="843">
        <v>4826.0</v>
      </c>
      <c r="C41" s="1465">
        <v>700.0</v>
      </c>
      <c r="D41" s="1473">
        <v>2959.0</v>
      </c>
      <c r="E41" s="1467"/>
      <c r="F41" s="703"/>
      <c r="G41" s="1468"/>
      <c r="H41" s="703"/>
      <c r="I41" s="703"/>
      <c r="J41" s="703"/>
      <c r="K41" s="703"/>
      <c r="L41" s="703"/>
      <c r="M41" s="703"/>
      <c r="N41" s="703"/>
      <c r="O41" s="703"/>
      <c r="P41" s="703"/>
      <c r="Q41" s="703"/>
      <c r="R41" s="703"/>
      <c r="S41" s="703"/>
      <c r="T41" s="703"/>
      <c r="U41" s="703"/>
      <c r="V41" s="703"/>
      <c r="W41" s="703"/>
      <c r="X41" s="703"/>
      <c r="Y41" s="703"/>
      <c r="Z41" s="703"/>
    </row>
    <row r="42">
      <c r="A42" s="1464" t="s">
        <v>105</v>
      </c>
      <c r="B42" s="843">
        <v>12465.0</v>
      </c>
      <c r="C42" s="1465">
        <v>1794.0</v>
      </c>
      <c r="D42" s="1473">
        <v>12616.0</v>
      </c>
      <c r="E42" s="1467"/>
      <c r="F42" s="703"/>
      <c r="G42" s="1468"/>
      <c r="H42" s="703"/>
      <c r="I42" s="703"/>
      <c r="J42" s="703"/>
      <c r="K42" s="703"/>
      <c r="L42" s="703"/>
      <c r="M42" s="703"/>
      <c r="N42" s="703"/>
      <c r="O42" s="703"/>
      <c r="P42" s="703"/>
      <c r="Q42" s="703"/>
      <c r="R42" s="703"/>
      <c r="S42" s="703"/>
      <c r="T42" s="703"/>
      <c r="U42" s="703"/>
      <c r="V42" s="703"/>
      <c r="W42" s="703"/>
      <c r="X42" s="703"/>
      <c r="Y42" s="703"/>
      <c r="Z42" s="703"/>
    </row>
    <row r="43">
      <c r="A43" s="1469" t="s">
        <v>106</v>
      </c>
      <c r="B43" s="843">
        <v>1723.0</v>
      </c>
      <c r="C43" s="1470">
        <v>94.0</v>
      </c>
      <c r="D43" s="1473">
        <v>828.0</v>
      </c>
      <c r="E43" s="1467"/>
      <c r="F43" s="703"/>
      <c r="G43" s="1468"/>
      <c r="H43" s="703"/>
      <c r="I43" s="703"/>
      <c r="J43" s="703"/>
      <c r="K43" s="703"/>
      <c r="L43" s="703"/>
      <c r="M43" s="703"/>
      <c r="N43" s="703"/>
      <c r="O43" s="703"/>
      <c r="P43" s="703"/>
      <c r="Q43" s="703"/>
      <c r="R43" s="703"/>
      <c r="S43" s="703"/>
      <c r="T43" s="703"/>
      <c r="U43" s="703"/>
      <c r="V43" s="703"/>
      <c r="W43" s="703"/>
      <c r="X43" s="703"/>
      <c r="Y43" s="703"/>
      <c r="Z43" s="703"/>
    </row>
    <row r="44">
      <c r="A44" s="1464" t="s">
        <v>108</v>
      </c>
      <c r="B44" s="843">
        <v>3793.0</v>
      </c>
      <c r="C44" s="1465">
        <v>755.0</v>
      </c>
      <c r="D44" s="1473">
        <v>1040.0</v>
      </c>
      <c r="E44" s="1467"/>
      <c r="F44" s="703"/>
      <c r="G44" s="1463"/>
      <c r="H44" s="703"/>
      <c r="I44" s="703"/>
      <c r="J44" s="703"/>
      <c r="K44" s="703"/>
      <c r="L44" s="703"/>
      <c r="M44" s="703"/>
      <c r="N44" s="703"/>
      <c r="O44" s="703"/>
      <c r="P44" s="703"/>
      <c r="Q44" s="703"/>
      <c r="R44" s="703"/>
      <c r="S44" s="703"/>
      <c r="T44" s="703"/>
      <c r="U44" s="703"/>
      <c r="V44" s="703"/>
      <c r="W44" s="703"/>
      <c r="X44" s="703"/>
      <c r="Y44" s="703"/>
      <c r="Z44" s="703"/>
    </row>
    <row r="45">
      <c r="A45" s="1469" t="s">
        <v>109</v>
      </c>
      <c r="B45" s="843">
        <v>1615.0</v>
      </c>
      <c r="C45" s="1470">
        <v>440.0</v>
      </c>
      <c r="D45" s="1473">
        <v>835.0</v>
      </c>
      <c r="E45" s="1467"/>
      <c r="F45" s="703"/>
      <c r="G45" s="1468"/>
      <c r="H45" s="703"/>
      <c r="I45" s="703"/>
      <c r="J45" s="703"/>
      <c r="K45" s="703"/>
      <c r="L45" s="703"/>
      <c r="M45" s="703"/>
      <c r="N45" s="703"/>
      <c r="O45" s="703"/>
      <c r="P45" s="703"/>
      <c r="Q45" s="703"/>
      <c r="R45" s="703"/>
      <c r="S45" s="703"/>
      <c r="T45" s="703"/>
      <c r="U45" s="703"/>
      <c r="V45" s="703"/>
      <c r="W45" s="703"/>
      <c r="X45" s="703"/>
      <c r="Y45" s="703"/>
      <c r="Z45" s="703"/>
    </row>
    <row r="46">
      <c r="A46" s="1464" t="s">
        <v>111</v>
      </c>
      <c r="B46" s="843">
        <v>9053.0</v>
      </c>
      <c r="C46" s="1465">
        <v>1155.0</v>
      </c>
      <c r="D46" s="1473">
        <v>4509.0</v>
      </c>
      <c r="E46" s="1467"/>
      <c r="F46" s="703"/>
      <c r="G46" s="1468"/>
      <c r="H46" s="703"/>
      <c r="I46" s="703"/>
      <c r="J46" s="703"/>
      <c r="K46" s="703"/>
      <c r="L46" s="703"/>
      <c r="M46" s="703"/>
      <c r="N46" s="703"/>
      <c r="O46" s="703"/>
      <c r="P46" s="703"/>
      <c r="Q46" s="703"/>
      <c r="R46" s="703"/>
      <c r="S46" s="703"/>
      <c r="T46" s="703"/>
      <c r="U46" s="703"/>
      <c r="V46" s="703"/>
      <c r="W46" s="703"/>
      <c r="X46" s="703"/>
      <c r="Y46" s="703"/>
      <c r="Z46" s="703"/>
    </row>
    <row r="47">
      <c r="A47" s="1469" t="s">
        <v>113</v>
      </c>
      <c r="B47" s="843">
        <v>21358.0</v>
      </c>
      <c r="C47" s="1465">
        <v>7198.0</v>
      </c>
      <c r="D47" s="1473" t="s">
        <v>63</v>
      </c>
      <c r="E47" s="1467" t="s">
        <v>4274</v>
      </c>
      <c r="F47" s="703"/>
      <c r="G47" s="1468"/>
      <c r="H47" s="703"/>
      <c r="I47" s="703"/>
      <c r="J47" s="703"/>
      <c r="K47" s="703"/>
      <c r="L47" s="703"/>
      <c r="M47" s="703"/>
      <c r="N47" s="703"/>
      <c r="O47" s="703"/>
      <c r="P47" s="703"/>
      <c r="Q47" s="703"/>
      <c r="R47" s="703"/>
      <c r="S47" s="703"/>
      <c r="T47" s="703"/>
      <c r="U47" s="703"/>
      <c r="V47" s="703"/>
      <c r="W47" s="703"/>
      <c r="X47" s="703"/>
      <c r="Y47" s="703"/>
      <c r="Z47" s="703"/>
    </row>
    <row r="48">
      <c r="A48" s="1464" t="s">
        <v>114</v>
      </c>
      <c r="B48" s="843">
        <v>2067.0</v>
      </c>
      <c r="C48" s="1470">
        <v>257.0</v>
      </c>
      <c r="D48" s="1473">
        <v>1120.0</v>
      </c>
      <c r="E48" s="1467"/>
      <c r="F48" s="703"/>
      <c r="G48" s="1468"/>
      <c r="H48" s="703"/>
      <c r="I48" s="703"/>
      <c r="J48" s="703"/>
      <c r="K48" s="703"/>
      <c r="L48" s="703"/>
      <c r="M48" s="703"/>
      <c r="N48" s="703"/>
      <c r="O48" s="703"/>
      <c r="P48" s="703"/>
      <c r="Q48" s="703"/>
      <c r="R48" s="703"/>
      <c r="S48" s="703"/>
      <c r="T48" s="703"/>
      <c r="U48" s="703"/>
      <c r="V48" s="703"/>
      <c r="W48" s="703"/>
      <c r="X48" s="703"/>
      <c r="Y48" s="703"/>
      <c r="Z48" s="703"/>
    </row>
    <row r="49">
      <c r="A49" s="1469" t="s">
        <v>116</v>
      </c>
      <c r="B49" s="843">
        <v>1096.0</v>
      </c>
      <c r="C49" s="1470">
        <v>159.0</v>
      </c>
      <c r="D49" s="1473">
        <v>810.0</v>
      </c>
      <c r="E49" s="1467"/>
      <c r="F49" s="703"/>
      <c r="G49" s="1474"/>
      <c r="H49" s="703"/>
      <c r="I49" s="703"/>
      <c r="J49" s="703"/>
      <c r="K49" s="703"/>
      <c r="L49" s="703"/>
      <c r="M49" s="703"/>
      <c r="N49" s="703"/>
      <c r="O49" s="703"/>
      <c r="P49" s="703"/>
      <c r="Q49" s="703"/>
      <c r="R49" s="703"/>
      <c r="S49" s="703"/>
      <c r="T49" s="703"/>
      <c r="U49" s="703"/>
      <c r="V49" s="703"/>
      <c r="W49" s="703"/>
      <c r="X49" s="703"/>
      <c r="Y49" s="703"/>
      <c r="Z49" s="703"/>
    </row>
    <row r="50">
      <c r="A50" s="1464" t="s">
        <v>117</v>
      </c>
      <c r="B50" s="843">
        <v>5039.0</v>
      </c>
      <c r="C50" s="1465">
        <v>1190.0</v>
      </c>
      <c r="D50" s="1473">
        <v>4735.0</v>
      </c>
      <c r="E50" s="1467"/>
      <c r="F50" s="703"/>
      <c r="G50" s="1468"/>
      <c r="H50" s="703"/>
      <c r="I50" s="703"/>
      <c r="J50" s="703"/>
      <c r="K50" s="703"/>
      <c r="L50" s="703"/>
      <c r="M50" s="703"/>
      <c r="N50" s="703"/>
      <c r="O50" s="703"/>
      <c r="P50" s="703"/>
      <c r="Q50" s="703"/>
      <c r="R50" s="703"/>
      <c r="S50" s="703"/>
      <c r="T50" s="703"/>
      <c r="U50" s="703"/>
      <c r="V50" s="703"/>
      <c r="W50" s="703"/>
      <c r="X50" s="703"/>
      <c r="Y50" s="703"/>
      <c r="Z50" s="703"/>
    </row>
    <row r="51">
      <c r="A51" s="1469" t="s">
        <v>119</v>
      </c>
      <c r="B51" s="843">
        <v>8049.0</v>
      </c>
      <c r="C51" s="1465">
        <v>997.0</v>
      </c>
      <c r="D51" s="1473">
        <v>4341.0</v>
      </c>
      <c r="E51" s="1467"/>
      <c r="F51" s="703"/>
      <c r="G51" s="1468"/>
      <c r="H51" s="703"/>
      <c r="I51" s="703"/>
      <c r="J51" s="703"/>
      <c r="K51" s="703"/>
      <c r="L51" s="703"/>
      <c r="M51" s="703"/>
      <c r="N51" s="703"/>
      <c r="O51" s="703"/>
      <c r="P51" s="703"/>
      <c r="Q51" s="703"/>
      <c r="R51" s="703"/>
      <c r="S51" s="703"/>
      <c r="T51" s="703"/>
      <c r="U51" s="703"/>
      <c r="V51" s="703"/>
      <c r="W51" s="703"/>
      <c r="X51" s="703"/>
      <c r="Y51" s="703"/>
      <c r="Z51" s="703"/>
    </row>
    <row r="52">
      <c r="A52" s="1464" t="s">
        <v>120</v>
      </c>
      <c r="B52" s="843">
        <v>6952.0</v>
      </c>
      <c r="C52" s="1465">
        <v>1748.0</v>
      </c>
      <c r="D52" s="1473">
        <v>3148.0</v>
      </c>
      <c r="E52" s="1467"/>
      <c r="F52" s="703"/>
      <c r="G52" s="1468"/>
      <c r="H52" s="703"/>
      <c r="I52" s="703"/>
      <c r="J52" s="703"/>
      <c r="K52" s="703"/>
      <c r="L52" s="703"/>
      <c r="M52" s="703"/>
      <c r="N52" s="703"/>
      <c r="O52" s="703"/>
      <c r="P52" s="703"/>
      <c r="Q52" s="703"/>
      <c r="R52" s="703"/>
      <c r="S52" s="703"/>
      <c r="T52" s="703"/>
      <c r="U52" s="703"/>
      <c r="V52" s="703"/>
      <c r="W52" s="703"/>
      <c r="X52" s="703"/>
      <c r="Y52" s="703"/>
      <c r="Z52" s="703"/>
    </row>
    <row r="53">
      <c r="A53" s="1469" t="s">
        <v>122</v>
      </c>
      <c r="B53" s="843">
        <v>6622.0</v>
      </c>
      <c r="C53" s="1465">
        <v>667.0</v>
      </c>
      <c r="D53" s="1473">
        <v>2968.0</v>
      </c>
      <c r="E53" s="1467"/>
      <c r="F53" s="703"/>
      <c r="G53" s="1463"/>
      <c r="H53" s="703"/>
      <c r="I53" s="703"/>
      <c r="J53" s="703"/>
      <c r="K53" s="703"/>
      <c r="L53" s="703"/>
      <c r="M53" s="703"/>
      <c r="N53" s="703"/>
      <c r="O53" s="703"/>
      <c r="P53" s="703"/>
      <c r="Q53" s="703"/>
      <c r="R53" s="703"/>
      <c r="S53" s="703"/>
      <c r="T53" s="703"/>
      <c r="U53" s="703"/>
      <c r="V53" s="703"/>
      <c r="W53" s="703"/>
      <c r="X53" s="703"/>
      <c r="Y53" s="703"/>
      <c r="Z53" s="703"/>
    </row>
    <row r="54">
      <c r="A54" s="1464" t="s">
        <v>123</v>
      </c>
      <c r="B54" s="845">
        <v>756.0</v>
      </c>
      <c r="C54" s="1470">
        <v>10.0</v>
      </c>
      <c r="D54" s="1475">
        <v>468.0</v>
      </c>
      <c r="E54" s="703"/>
      <c r="F54" s="703"/>
      <c r="G54" s="703"/>
      <c r="H54" s="703"/>
      <c r="I54" s="703"/>
      <c r="J54" s="703"/>
      <c r="K54" s="703"/>
      <c r="L54" s="703"/>
      <c r="M54" s="703"/>
      <c r="N54" s="703"/>
      <c r="O54" s="703"/>
      <c r="P54" s="703"/>
      <c r="Q54" s="703"/>
      <c r="R54" s="703"/>
      <c r="S54" s="703"/>
      <c r="T54" s="703"/>
      <c r="U54" s="703"/>
      <c r="V54" s="703"/>
      <c r="W54" s="703"/>
      <c r="X54" s="703"/>
      <c r="Y54" s="703"/>
      <c r="Z54" s="703"/>
    </row>
    <row r="55">
      <c r="A55" s="1469" t="s">
        <v>4275</v>
      </c>
      <c r="B55" s="843">
        <v>2136.0</v>
      </c>
      <c r="C55" s="1470">
        <v>40.0</v>
      </c>
      <c r="D55" s="1476"/>
      <c r="E55" s="703"/>
      <c r="F55" s="703"/>
      <c r="G55" s="703"/>
      <c r="H55" s="703"/>
      <c r="I55" s="703"/>
      <c r="J55" s="703"/>
      <c r="K55" s="703"/>
      <c r="L55" s="703"/>
      <c r="M55" s="703"/>
      <c r="N55" s="703"/>
      <c r="O55" s="703"/>
      <c r="P55" s="703"/>
      <c r="Q55" s="703"/>
      <c r="R55" s="703"/>
      <c r="S55" s="703"/>
      <c r="T55" s="703"/>
      <c r="U55" s="703"/>
      <c r="V55" s="703"/>
      <c r="W55" s="703"/>
      <c r="X55" s="703"/>
      <c r="Y55" s="703"/>
      <c r="Z55" s="703"/>
    </row>
    <row r="56">
      <c r="A56" s="1477" t="s">
        <v>401</v>
      </c>
      <c r="B56" s="1478">
        <v>368530.0</v>
      </c>
      <c r="C56" s="1479">
        <v>64561.0</v>
      </c>
      <c r="D56" s="1480">
        <v>208823.0</v>
      </c>
      <c r="E56" s="1467"/>
      <c r="F56" s="703"/>
      <c r="G56" s="703"/>
      <c r="H56" s="703"/>
      <c r="I56" s="703"/>
      <c r="J56" s="703"/>
      <c r="K56" s="703"/>
      <c r="L56" s="703"/>
      <c r="M56" s="703"/>
      <c r="N56" s="703"/>
      <c r="O56" s="703"/>
      <c r="P56" s="703"/>
      <c r="Q56" s="703"/>
      <c r="R56" s="703"/>
      <c r="S56" s="703"/>
      <c r="T56" s="703"/>
      <c r="U56" s="703"/>
      <c r="V56" s="703"/>
      <c r="W56" s="703"/>
      <c r="X56" s="703"/>
      <c r="Y56" s="703"/>
      <c r="Z56" s="703"/>
    </row>
    <row r="57">
      <c r="A57" s="703"/>
      <c r="B57" s="703"/>
      <c r="C57" s="703"/>
      <c r="D57" s="703"/>
      <c r="E57" s="703"/>
      <c r="F57" s="703"/>
      <c r="G57" s="703"/>
      <c r="H57" s="703"/>
      <c r="I57" s="703"/>
      <c r="J57" s="703"/>
      <c r="K57" s="703"/>
      <c r="L57" s="703"/>
      <c r="M57" s="703"/>
      <c r="N57" s="703"/>
      <c r="O57" s="703"/>
      <c r="P57" s="703"/>
      <c r="Q57" s="703"/>
      <c r="R57" s="703"/>
      <c r="S57" s="703"/>
      <c r="T57" s="703"/>
      <c r="U57" s="703"/>
      <c r="V57" s="703"/>
      <c r="W57" s="703"/>
      <c r="X57" s="703"/>
      <c r="Y57" s="703"/>
      <c r="Z57" s="703"/>
    </row>
    <row r="58">
      <c r="A58" s="1481" t="s">
        <v>3337</v>
      </c>
      <c r="B58" s="1482">
        <v>44834.0</v>
      </c>
      <c r="C58" s="1482">
        <v>44834.0</v>
      </c>
      <c r="D58" s="1482">
        <v>45016.0</v>
      </c>
      <c r="E58" s="703"/>
      <c r="F58" s="703"/>
      <c r="G58" s="703"/>
      <c r="H58" s="703"/>
      <c r="I58" s="703"/>
      <c r="J58" s="703"/>
      <c r="K58" s="703"/>
      <c r="L58" s="703"/>
      <c r="M58" s="703"/>
      <c r="N58" s="703"/>
      <c r="O58" s="703"/>
      <c r="P58" s="703"/>
      <c r="Q58" s="703"/>
      <c r="R58" s="703"/>
      <c r="S58" s="703"/>
      <c r="T58" s="703"/>
      <c r="U58" s="703"/>
      <c r="V58" s="703"/>
      <c r="W58" s="703"/>
      <c r="X58" s="703"/>
      <c r="Y58" s="703"/>
      <c r="Z58" s="703"/>
    </row>
    <row r="59">
      <c r="A59" s="1481" t="s">
        <v>3347</v>
      </c>
      <c r="B59" s="1482">
        <v>45322.0</v>
      </c>
      <c r="C59" s="1482">
        <v>45322.0</v>
      </c>
      <c r="D59" s="1482">
        <v>45400.0</v>
      </c>
      <c r="E59" s="703"/>
      <c r="F59" s="703"/>
      <c r="G59" s="703"/>
      <c r="H59" s="703"/>
      <c r="I59" s="703"/>
      <c r="J59" s="703"/>
      <c r="K59" s="703"/>
      <c r="L59" s="703"/>
      <c r="M59" s="703"/>
      <c r="N59" s="703"/>
      <c r="O59" s="703"/>
      <c r="P59" s="703"/>
      <c r="Q59" s="703"/>
      <c r="R59" s="703"/>
      <c r="S59" s="703"/>
      <c r="T59" s="703"/>
      <c r="U59" s="703"/>
      <c r="V59" s="703"/>
      <c r="W59" s="703"/>
      <c r="X59" s="703"/>
      <c r="Y59" s="703"/>
      <c r="Z59" s="703"/>
    </row>
    <row r="60">
      <c r="A60" s="703"/>
      <c r="B60" s="703"/>
      <c r="C60" s="703"/>
      <c r="D60" s="703"/>
      <c r="E60" s="703"/>
      <c r="F60" s="703"/>
      <c r="G60" s="703"/>
      <c r="H60" s="703"/>
      <c r="I60" s="703"/>
      <c r="J60" s="703"/>
      <c r="K60" s="703"/>
      <c r="L60" s="703"/>
      <c r="M60" s="703"/>
      <c r="N60" s="703"/>
      <c r="O60" s="703"/>
      <c r="P60" s="703"/>
      <c r="Q60" s="703"/>
      <c r="R60" s="703"/>
      <c r="S60" s="703"/>
      <c r="T60" s="703"/>
      <c r="U60" s="703"/>
      <c r="V60" s="703"/>
      <c r="W60" s="703"/>
      <c r="X60" s="703"/>
      <c r="Y60" s="703"/>
      <c r="Z60" s="703"/>
    </row>
    <row r="61">
      <c r="A61" s="703"/>
      <c r="B61" s="703"/>
      <c r="C61" s="703"/>
      <c r="D61" s="703"/>
      <c r="E61" s="703"/>
      <c r="F61" s="703"/>
      <c r="G61" s="703"/>
      <c r="H61" s="703"/>
      <c r="I61" s="703"/>
      <c r="J61" s="703"/>
      <c r="K61" s="703"/>
      <c r="L61" s="703"/>
      <c r="M61" s="703"/>
      <c r="N61" s="703"/>
      <c r="O61" s="703"/>
      <c r="P61" s="703"/>
      <c r="Q61" s="703"/>
      <c r="R61" s="703"/>
      <c r="S61" s="703"/>
      <c r="T61" s="703"/>
      <c r="U61" s="703"/>
      <c r="V61" s="703"/>
      <c r="W61" s="703"/>
      <c r="X61" s="703"/>
      <c r="Y61" s="703"/>
      <c r="Z61" s="703"/>
    </row>
    <row r="62">
      <c r="A62" s="703"/>
      <c r="B62" s="703"/>
      <c r="C62" s="703"/>
      <c r="D62" s="703"/>
      <c r="E62" s="703"/>
      <c r="F62" s="703"/>
      <c r="G62" s="703"/>
      <c r="H62" s="703"/>
      <c r="I62" s="703"/>
      <c r="J62" s="703"/>
      <c r="K62" s="703"/>
      <c r="L62" s="703"/>
      <c r="M62" s="703"/>
      <c r="N62" s="703"/>
      <c r="O62" s="703"/>
      <c r="P62" s="703"/>
      <c r="Q62" s="703"/>
      <c r="R62" s="703"/>
      <c r="S62" s="703"/>
      <c r="T62" s="703"/>
      <c r="U62" s="703"/>
      <c r="V62" s="703"/>
      <c r="W62" s="703"/>
      <c r="X62" s="703"/>
      <c r="Y62" s="703"/>
      <c r="Z62" s="703"/>
    </row>
    <row r="63">
      <c r="A63" s="703"/>
      <c r="B63" s="703"/>
      <c r="C63" s="703"/>
      <c r="D63" s="703"/>
      <c r="E63" s="703"/>
      <c r="F63" s="703"/>
      <c r="G63" s="703"/>
      <c r="H63" s="703"/>
      <c r="I63" s="703"/>
      <c r="J63" s="703"/>
      <c r="K63" s="703"/>
      <c r="L63" s="703"/>
      <c r="M63" s="703"/>
      <c r="N63" s="703"/>
      <c r="O63" s="703"/>
      <c r="P63" s="703"/>
      <c r="Q63" s="703"/>
      <c r="R63" s="703"/>
      <c r="S63" s="703"/>
      <c r="T63" s="703"/>
      <c r="U63" s="703"/>
      <c r="V63" s="703"/>
      <c r="W63" s="703"/>
      <c r="X63" s="703"/>
      <c r="Y63" s="703"/>
      <c r="Z63" s="703"/>
    </row>
    <row r="64">
      <c r="A64" s="703"/>
      <c r="B64" s="703"/>
      <c r="C64" s="703"/>
      <c r="D64" s="703"/>
      <c r="E64" s="703"/>
      <c r="F64" s="703"/>
      <c r="G64" s="703"/>
      <c r="H64" s="703"/>
      <c r="I64" s="703"/>
      <c r="J64" s="703"/>
      <c r="K64" s="703"/>
      <c r="L64" s="703"/>
      <c r="M64" s="703"/>
      <c r="N64" s="703"/>
      <c r="O64" s="703"/>
      <c r="P64" s="703"/>
      <c r="Q64" s="703"/>
      <c r="R64" s="703"/>
      <c r="S64" s="703"/>
      <c r="T64" s="703"/>
      <c r="U64" s="703"/>
      <c r="V64" s="703"/>
      <c r="W64" s="703"/>
      <c r="X64" s="703"/>
      <c r="Y64" s="703"/>
      <c r="Z64" s="703"/>
    </row>
    <row r="65">
      <c r="A65" s="703"/>
      <c r="B65" s="703"/>
      <c r="C65" s="703"/>
      <c r="D65" s="703"/>
      <c r="E65" s="703"/>
      <c r="F65" s="703"/>
      <c r="G65" s="703"/>
      <c r="H65" s="703"/>
      <c r="I65" s="703"/>
      <c r="J65" s="703"/>
      <c r="K65" s="703"/>
      <c r="L65" s="703"/>
      <c r="M65" s="703"/>
      <c r="N65" s="703"/>
      <c r="O65" s="703"/>
      <c r="P65" s="703"/>
      <c r="Q65" s="703"/>
      <c r="R65" s="703"/>
      <c r="S65" s="703"/>
      <c r="T65" s="703"/>
      <c r="U65" s="703"/>
      <c r="V65" s="703"/>
      <c r="W65" s="703"/>
      <c r="X65" s="703"/>
      <c r="Y65" s="703"/>
      <c r="Z65" s="703"/>
    </row>
    <row r="66">
      <c r="A66" s="703"/>
      <c r="B66" s="703"/>
      <c r="C66" s="703"/>
      <c r="D66" s="703"/>
      <c r="E66" s="703"/>
      <c r="F66" s="703"/>
      <c r="G66" s="703"/>
      <c r="H66" s="703"/>
      <c r="I66" s="703"/>
      <c r="J66" s="703"/>
      <c r="K66" s="703"/>
      <c r="L66" s="703"/>
      <c r="M66" s="703"/>
      <c r="N66" s="703"/>
      <c r="O66" s="703"/>
      <c r="P66" s="703"/>
      <c r="Q66" s="703"/>
      <c r="R66" s="703"/>
      <c r="S66" s="703"/>
      <c r="T66" s="703"/>
      <c r="U66" s="703"/>
      <c r="V66" s="703"/>
      <c r="W66" s="703"/>
      <c r="X66" s="703"/>
      <c r="Y66" s="703"/>
      <c r="Z66" s="703"/>
    </row>
    <row r="67">
      <c r="A67" s="703"/>
      <c r="B67" s="703"/>
      <c r="C67" s="703"/>
      <c r="D67" s="703"/>
      <c r="E67" s="703"/>
      <c r="F67" s="703"/>
      <c r="G67" s="703"/>
      <c r="H67" s="703"/>
      <c r="I67" s="703"/>
      <c r="J67" s="703"/>
      <c r="K67" s="703"/>
      <c r="L67" s="703"/>
      <c r="M67" s="703"/>
      <c r="N67" s="703"/>
      <c r="O67" s="703"/>
      <c r="P67" s="703"/>
      <c r="Q67" s="703"/>
      <c r="R67" s="703"/>
      <c r="S67" s="703"/>
      <c r="T67" s="703"/>
      <c r="U67" s="703"/>
      <c r="V67" s="703"/>
      <c r="W67" s="703"/>
      <c r="X67" s="703"/>
      <c r="Y67" s="703"/>
      <c r="Z67" s="703"/>
    </row>
    <row r="68">
      <c r="A68" s="703"/>
      <c r="B68" s="703"/>
      <c r="C68" s="703"/>
      <c r="D68" s="703"/>
      <c r="E68" s="703"/>
      <c r="F68" s="703"/>
      <c r="G68" s="703"/>
      <c r="H68" s="703"/>
      <c r="I68" s="703"/>
      <c r="J68" s="703"/>
      <c r="K68" s="703"/>
      <c r="L68" s="703"/>
      <c r="M68" s="703"/>
      <c r="N68" s="703"/>
      <c r="O68" s="703"/>
      <c r="P68" s="703"/>
      <c r="Q68" s="703"/>
      <c r="R68" s="703"/>
      <c r="S68" s="703"/>
      <c r="T68" s="703"/>
      <c r="U68" s="703"/>
      <c r="V68" s="703"/>
      <c r="W68" s="703"/>
      <c r="X68" s="703"/>
      <c r="Y68" s="703"/>
      <c r="Z68" s="703"/>
    </row>
    <row r="69">
      <c r="A69" s="703"/>
      <c r="B69" s="703"/>
      <c r="C69" s="703"/>
      <c r="D69" s="703"/>
      <c r="E69" s="703"/>
      <c r="F69" s="703"/>
      <c r="G69" s="703"/>
      <c r="H69" s="703"/>
      <c r="I69" s="703"/>
      <c r="J69" s="703"/>
      <c r="K69" s="703"/>
      <c r="L69" s="703"/>
      <c r="M69" s="703"/>
      <c r="N69" s="703"/>
      <c r="O69" s="703"/>
      <c r="P69" s="703"/>
      <c r="Q69" s="703"/>
      <c r="R69" s="703"/>
      <c r="S69" s="703"/>
      <c r="T69" s="703"/>
      <c r="U69" s="703"/>
      <c r="V69" s="703"/>
      <c r="W69" s="703"/>
      <c r="X69" s="703"/>
      <c r="Y69" s="703"/>
      <c r="Z69" s="703"/>
    </row>
    <row r="70">
      <c r="A70" s="703"/>
      <c r="B70" s="703"/>
      <c r="C70" s="703"/>
      <c r="D70" s="703"/>
      <c r="E70" s="703"/>
      <c r="F70" s="703"/>
      <c r="G70" s="703"/>
      <c r="H70" s="703"/>
      <c r="I70" s="703"/>
      <c r="J70" s="703"/>
      <c r="K70" s="703"/>
      <c r="L70" s="703"/>
      <c r="M70" s="703"/>
      <c r="N70" s="703"/>
      <c r="O70" s="703"/>
      <c r="P70" s="703"/>
      <c r="Q70" s="703"/>
      <c r="R70" s="703"/>
      <c r="S70" s="703"/>
      <c r="T70" s="703"/>
      <c r="U70" s="703"/>
      <c r="V70" s="703"/>
      <c r="W70" s="703"/>
      <c r="X70" s="703"/>
      <c r="Y70" s="703"/>
      <c r="Z70" s="703"/>
    </row>
    <row r="71">
      <c r="A71" s="703"/>
      <c r="B71" s="703"/>
      <c r="C71" s="703"/>
      <c r="D71" s="703"/>
      <c r="E71" s="703"/>
      <c r="F71" s="703"/>
      <c r="G71" s="703"/>
      <c r="H71" s="703"/>
      <c r="I71" s="703"/>
      <c r="J71" s="703"/>
      <c r="K71" s="703"/>
      <c r="L71" s="703"/>
      <c r="M71" s="703"/>
      <c r="N71" s="703"/>
      <c r="O71" s="703"/>
      <c r="P71" s="703"/>
      <c r="Q71" s="703"/>
      <c r="R71" s="703"/>
      <c r="S71" s="703"/>
      <c r="T71" s="703"/>
      <c r="U71" s="703"/>
      <c r="V71" s="703"/>
      <c r="W71" s="703"/>
      <c r="X71" s="703"/>
      <c r="Y71" s="703"/>
      <c r="Z71" s="703"/>
    </row>
    <row r="72">
      <c r="A72" s="703"/>
      <c r="B72" s="703"/>
      <c r="C72" s="703"/>
      <c r="D72" s="703"/>
      <c r="E72" s="703"/>
      <c r="F72" s="703"/>
      <c r="G72" s="703"/>
      <c r="H72" s="703"/>
      <c r="I72" s="703"/>
      <c r="J72" s="703"/>
      <c r="K72" s="703"/>
      <c r="L72" s="703"/>
      <c r="M72" s="703"/>
      <c r="N72" s="703"/>
      <c r="O72" s="703"/>
      <c r="P72" s="703"/>
      <c r="Q72" s="703"/>
      <c r="R72" s="703"/>
      <c r="S72" s="703"/>
      <c r="T72" s="703"/>
      <c r="U72" s="703"/>
      <c r="V72" s="703"/>
      <c r="W72" s="703"/>
      <c r="X72" s="703"/>
      <c r="Y72" s="703"/>
      <c r="Z72" s="703"/>
    </row>
    <row r="73">
      <c r="A73" s="703"/>
      <c r="B73" s="703"/>
      <c r="C73" s="703"/>
      <c r="D73" s="703"/>
      <c r="E73" s="703"/>
      <c r="F73" s="703"/>
      <c r="G73" s="703"/>
      <c r="H73" s="703"/>
      <c r="I73" s="703"/>
      <c r="J73" s="703"/>
      <c r="K73" s="703"/>
      <c r="L73" s="703"/>
      <c r="M73" s="703"/>
      <c r="N73" s="703"/>
      <c r="O73" s="703"/>
      <c r="P73" s="703"/>
      <c r="Q73" s="703"/>
      <c r="R73" s="703"/>
      <c r="S73" s="703"/>
      <c r="T73" s="703"/>
      <c r="U73" s="703"/>
      <c r="V73" s="703"/>
      <c r="W73" s="703"/>
      <c r="X73" s="703"/>
      <c r="Y73" s="703"/>
      <c r="Z73" s="703"/>
    </row>
    <row r="74">
      <c r="A74" s="703"/>
      <c r="B74" s="703"/>
      <c r="C74" s="703"/>
      <c r="D74" s="703"/>
      <c r="E74" s="703"/>
      <c r="F74" s="703"/>
      <c r="G74" s="703"/>
      <c r="H74" s="703"/>
      <c r="I74" s="703"/>
      <c r="J74" s="703"/>
      <c r="K74" s="703"/>
      <c r="L74" s="703"/>
      <c r="M74" s="703"/>
      <c r="N74" s="703"/>
      <c r="O74" s="703"/>
      <c r="P74" s="703"/>
      <c r="Q74" s="703"/>
      <c r="R74" s="703"/>
      <c r="S74" s="703"/>
      <c r="T74" s="703"/>
      <c r="U74" s="703"/>
      <c r="V74" s="703"/>
      <c r="W74" s="703"/>
      <c r="X74" s="703"/>
      <c r="Y74" s="703"/>
      <c r="Z74" s="703"/>
    </row>
    <row r="75">
      <c r="A75" s="703"/>
      <c r="B75" s="703"/>
      <c r="C75" s="703"/>
      <c r="D75" s="703"/>
      <c r="E75" s="703"/>
      <c r="F75" s="703"/>
      <c r="G75" s="703"/>
      <c r="H75" s="703"/>
      <c r="I75" s="703"/>
      <c r="J75" s="703"/>
      <c r="K75" s="703"/>
      <c r="L75" s="703"/>
      <c r="M75" s="703"/>
      <c r="N75" s="703"/>
      <c r="O75" s="703"/>
      <c r="P75" s="703"/>
      <c r="Q75" s="703"/>
      <c r="R75" s="703"/>
      <c r="S75" s="703"/>
      <c r="T75" s="703"/>
      <c r="U75" s="703"/>
      <c r="V75" s="703"/>
      <c r="W75" s="703"/>
      <c r="X75" s="703"/>
      <c r="Y75" s="703"/>
      <c r="Z75" s="703"/>
    </row>
    <row r="76">
      <c r="A76" s="703"/>
      <c r="B76" s="703"/>
      <c r="C76" s="703"/>
      <c r="D76" s="703"/>
      <c r="E76" s="703"/>
      <c r="F76" s="703"/>
      <c r="G76" s="703"/>
      <c r="H76" s="703"/>
      <c r="I76" s="703"/>
      <c r="J76" s="703"/>
      <c r="K76" s="703"/>
      <c r="L76" s="703"/>
      <c r="M76" s="703"/>
      <c r="N76" s="703"/>
      <c r="O76" s="703"/>
      <c r="P76" s="703"/>
      <c r="Q76" s="703"/>
      <c r="R76" s="703"/>
      <c r="S76" s="703"/>
      <c r="T76" s="703"/>
      <c r="U76" s="703"/>
      <c r="V76" s="703"/>
      <c r="W76" s="703"/>
      <c r="X76" s="703"/>
      <c r="Y76" s="703"/>
      <c r="Z76" s="703"/>
    </row>
    <row r="77">
      <c r="A77" s="703"/>
      <c r="B77" s="703"/>
      <c r="C77" s="703"/>
      <c r="D77" s="703"/>
      <c r="E77" s="703"/>
      <c r="F77" s="703"/>
      <c r="G77" s="703"/>
      <c r="H77" s="703"/>
      <c r="I77" s="703"/>
      <c r="J77" s="703"/>
      <c r="K77" s="703"/>
      <c r="L77" s="703"/>
      <c r="M77" s="703"/>
      <c r="N77" s="703"/>
      <c r="O77" s="703"/>
      <c r="P77" s="703"/>
      <c r="Q77" s="703"/>
      <c r="R77" s="703"/>
      <c r="S77" s="703"/>
      <c r="T77" s="703"/>
      <c r="U77" s="703"/>
      <c r="V77" s="703"/>
      <c r="W77" s="703"/>
      <c r="X77" s="703"/>
      <c r="Y77" s="703"/>
      <c r="Z77" s="703"/>
    </row>
    <row r="78">
      <c r="A78" s="703"/>
      <c r="B78" s="703"/>
      <c r="C78" s="703"/>
      <c r="D78" s="703"/>
      <c r="E78" s="703"/>
      <c r="F78" s="703"/>
      <c r="G78" s="703"/>
      <c r="H78" s="703"/>
      <c r="I78" s="703"/>
      <c r="J78" s="703"/>
      <c r="K78" s="703"/>
      <c r="L78" s="703"/>
      <c r="M78" s="703"/>
      <c r="N78" s="703"/>
      <c r="O78" s="703"/>
      <c r="P78" s="703"/>
      <c r="Q78" s="703"/>
      <c r="R78" s="703"/>
      <c r="S78" s="703"/>
      <c r="T78" s="703"/>
      <c r="U78" s="703"/>
      <c r="V78" s="703"/>
      <c r="W78" s="703"/>
      <c r="X78" s="703"/>
      <c r="Y78" s="703"/>
      <c r="Z78" s="703"/>
    </row>
    <row r="79">
      <c r="A79" s="703"/>
      <c r="B79" s="703"/>
      <c r="C79" s="703"/>
      <c r="D79" s="703"/>
      <c r="E79" s="703"/>
      <c r="F79" s="703"/>
      <c r="G79" s="703"/>
      <c r="H79" s="703"/>
      <c r="I79" s="703"/>
      <c r="J79" s="703"/>
      <c r="K79" s="703"/>
      <c r="L79" s="703"/>
      <c r="M79" s="703"/>
      <c r="N79" s="703"/>
      <c r="O79" s="703"/>
      <c r="P79" s="703"/>
      <c r="Q79" s="703"/>
      <c r="R79" s="703"/>
      <c r="S79" s="703"/>
      <c r="T79" s="703"/>
      <c r="U79" s="703"/>
      <c r="V79" s="703"/>
      <c r="W79" s="703"/>
      <c r="X79" s="703"/>
      <c r="Y79" s="703"/>
      <c r="Z79" s="703"/>
    </row>
    <row r="80">
      <c r="A80" s="703"/>
      <c r="B80" s="703"/>
      <c r="C80" s="703"/>
      <c r="D80" s="703"/>
      <c r="E80" s="703"/>
      <c r="F80" s="703"/>
      <c r="G80" s="703"/>
      <c r="H80" s="703"/>
      <c r="I80" s="703"/>
      <c r="J80" s="703"/>
      <c r="K80" s="703"/>
      <c r="L80" s="703"/>
      <c r="M80" s="703"/>
      <c r="N80" s="703"/>
      <c r="O80" s="703"/>
      <c r="P80" s="703"/>
      <c r="Q80" s="703"/>
      <c r="R80" s="703"/>
      <c r="S80" s="703"/>
      <c r="T80" s="703"/>
      <c r="U80" s="703"/>
      <c r="V80" s="703"/>
      <c r="W80" s="703"/>
      <c r="X80" s="703"/>
      <c r="Y80" s="703"/>
      <c r="Z80" s="703"/>
    </row>
    <row r="81">
      <c r="A81" s="703"/>
      <c r="B81" s="703"/>
      <c r="C81" s="703"/>
      <c r="D81" s="703"/>
      <c r="E81" s="703"/>
      <c r="F81" s="703"/>
      <c r="G81" s="703"/>
      <c r="H81" s="703"/>
      <c r="I81" s="703"/>
      <c r="J81" s="703"/>
      <c r="K81" s="703"/>
      <c r="L81" s="703"/>
      <c r="M81" s="703"/>
      <c r="N81" s="703"/>
      <c r="O81" s="703"/>
      <c r="P81" s="703"/>
      <c r="Q81" s="703"/>
      <c r="R81" s="703"/>
      <c r="S81" s="703"/>
      <c r="T81" s="703"/>
      <c r="U81" s="703"/>
      <c r="V81" s="703"/>
      <c r="W81" s="703"/>
      <c r="X81" s="703"/>
      <c r="Y81" s="703"/>
      <c r="Z81" s="703"/>
    </row>
    <row r="82">
      <c r="A82" s="703"/>
      <c r="B82" s="703"/>
      <c r="C82" s="703"/>
      <c r="D82" s="703"/>
      <c r="E82" s="703"/>
      <c r="F82" s="703"/>
      <c r="G82" s="703"/>
      <c r="H82" s="703"/>
      <c r="I82" s="703"/>
      <c r="J82" s="703"/>
      <c r="K82" s="703"/>
      <c r="L82" s="703"/>
      <c r="M82" s="703"/>
      <c r="N82" s="703"/>
      <c r="O82" s="703"/>
      <c r="P82" s="703"/>
      <c r="Q82" s="703"/>
      <c r="R82" s="703"/>
      <c r="S82" s="703"/>
      <c r="T82" s="703"/>
      <c r="U82" s="703"/>
      <c r="V82" s="703"/>
      <c r="W82" s="703"/>
      <c r="X82" s="703"/>
      <c r="Y82" s="703"/>
      <c r="Z82" s="703"/>
    </row>
    <row r="83">
      <c r="A83" s="703"/>
      <c r="B83" s="703"/>
      <c r="C83" s="703"/>
      <c r="D83" s="703"/>
      <c r="E83" s="703"/>
      <c r="F83" s="703"/>
      <c r="G83" s="703"/>
      <c r="H83" s="703"/>
      <c r="I83" s="703"/>
      <c r="J83" s="703"/>
      <c r="K83" s="703"/>
      <c r="L83" s="703"/>
      <c r="M83" s="703"/>
      <c r="N83" s="703"/>
      <c r="O83" s="703"/>
      <c r="P83" s="703"/>
      <c r="Q83" s="703"/>
      <c r="R83" s="703"/>
      <c r="S83" s="703"/>
      <c r="T83" s="703"/>
      <c r="U83" s="703"/>
      <c r="V83" s="703"/>
      <c r="W83" s="703"/>
      <c r="X83" s="703"/>
      <c r="Y83" s="703"/>
      <c r="Z83" s="703"/>
    </row>
    <row r="84">
      <c r="A84" s="703"/>
      <c r="B84" s="703"/>
      <c r="C84" s="703"/>
      <c r="D84" s="703"/>
      <c r="E84" s="703"/>
      <c r="F84" s="703"/>
      <c r="G84" s="703"/>
      <c r="H84" s="703"/>
      <c r="I84" s="703"/>
      <c r="J84" s="703"/>
      <c r="K84" s="703"/>
      <c r="L84" s="703"/>
      <c r="M84" s="703"/>
      <c r="N84" s="703"/>
      <c r="O84" s="703"/>
      <c r="P84" s="703"/>
      <c r="Q84" s="703"/>
      <c r="R84" s="703"/>
      <c r="S84" s="703"/>
      <c r="T84" s="703"/>
      <c r="U84" s="703"/>
      <c r="V84" s="703"/>
      <c r="W84" s="703"/>
      <c r="X84" s="703"/>
      <c r="Y84" s="703"/>
      <c r="Z84" s="703"/>
    </row>
    <row r="85">
      <c r="A85" s="703"/>
      <c r="B85" s="703"/>
      <c r="C85" s="703"/>
      <c r="D85" s="703"/>
      <c r="E85" s="703"/>
      <c r="F85" s="703"/>
      <c r="G85" s="703"/>
      <c r="H85" s="703"/>
      <c r="I85" s="703"/>
      <c r="J85" s="703"/>
      <c r="K85" s="703"/>
      <c r="L85" s="703"/>
      <c r="M85" s="703"/>
      <c r="N85" s="703"/>
      <c r="O85" s="703"/>
      <c r="P85" s="703"/>
      <c r="Q85" s="703"/>
      <c r="R85" s="703"/>
      <c r="S85" s="703"/>
      <c r="T85" s="703"/>
      <c r="U85" s="703"/>
      <c r="V85" s="703"/>
      <c r="W85" s="703"/>
      <c r="X85" s="703"/>
      <c r="Y85" s="703"/>
      <c r="Z85" s="703"/>
    </row>
    <row r="86">
      <c r="A86" s="703"/>
      <c r="B86" s="703"/>
      <c r="C86" s="703"/>
      <c r="D86" s="703"/>
      <c r="E86" s="703"/>
      <c r="F86" s="703"/>
      <c r="G86" s="703"/>
      <c r="H86" s="703"/>
      <c r="I86" s="703"/>
      <c r="J86" s="703"/>
      <c r="K86" s="703"/>
      <c r="L86" s="703"/>
      <c r="M86" s="703"/>
      <c r="N86" s="703"/>
      <c r="O86" s="703"/>
      <c r="P86" s="703"/>
      <c r="Q86" s="703"/>
      <c r="R86" s="703"/>
      <c r="S86" s="703"/>
      <c r="T86" s="703"/>
      <c r="U86" s="703"/>
      <c r="V86" s="703"/>
      <c r="W86" s="703"/>
      <c r="X86" s="703"/>
      <c r="Y86" s="703"/>
      <c r="Z86" s="703"/>
    </row>
    <row r="87">
      <c r="A87" s="703"/>
      <c r="B87" s="703"/>
      <c r="C87" s="703"/>
      <c r="D87" s="703"/>
      <c r="E87" s="703"/>
      <c r="F87" s="703"/>
      <c r="G87" s="703"/>
      <c r="H87" s="703"/>
      <c r="I87" s="703"/>
      <c r="J87" s="703"/>
      <c r="K87" s="703"/>
      <c r="L87" s="703"/>
      <c r="M87" s="703"/>
      <c r="N87" s="703"/>
      <c r="O87" s="703"/>
      <c r="P87" s="703"/>
      <c r="Q87" s="703"/>
      <c r="R87" s="703"/>
      <c r="S87" s="703"/>
      <c r="T87" s="703"/>
      <c r="U87" s="703"/>
      <c r="V87" s="703"/>
      <c r="W87" s="703"/>
      <c r="X87" s="703"/>
      <c r="Y87" s="703"/>
      <c r="Z87" s="703"/>
    </row>
    <row r="88">
      <c r="A88" s="703"/>
      <c r="B88" s="703"/>
      <c r="C88" s="703"/>
      <c r="D88" s="703"/>
      <c r="E88" s="703"/>
      <c r="F88" s="703"/>
      <c r="G88" s="703"/>
      <c r="H88" s="703"/>
      <c r="I88" s="703"/>
      <c r="J88" s="703"/>
      <c r="K88" s="703"/>
      <c r="L88" s="703"/>
      <c r="M88" s="703"/>
      <c r="N88" s="703"/>
      <c r="O88" s="703"/>
      <c r="P88" s="703"/>
      <c r="Q88" s="703"/>
      <c r="R88" s="703"/>
      <c r="S88" s="703"/>
      <c r="T88" s="703"/>
      <c r="U88" s="703"/>
      <c r="V88" s="703"/>
      <c r="W88" s="703"/>
      <c r="X88" s="703"/>
      <c r="Y88" s="703"/>
      <c r="Z88" s="703"/>
    </row>
    <row r="89">
      <c r="A89" s="703"/>
      <c r="B89" s="703"/>
      <c r="C89" s="703"/>
      <c r="D89" s="703"/>
      <c r="E89" s="703"/>
      <c r="F89" s="703"/>
      <c r="G89" s="703"/>
      <c r="H89" s="703"/>
      <c r="I89" s="703"/>
      <c r="J89" s="703"/>
      <c r="K89" s="703"/>
      <c r="L89" s="703"/>
      <c r="M89" s="703"/>
      <c r="N89" s="703"/>
      <c r="O89" s="703"/>
      <c r="P89" s="703"/>
      <c r="Q89" s="703"/>
      <c r="R89" s="703"/>
      <c r="S89" s="703"/>
      <c r="T89" s="703"/>
      <c r="U89" s="703"/>
      <c r="V89" s="703"/>
      <c r="W89" s="703"/>
      <c r="X89" s="703"/>
      <c r="Y89" s="703"/>
      <c r="Z89" s="703"/>
    </row>
    <row r="90">
      <c r="A90" s="703"/>
      <c r="B90" s="703"/>
      <c r="C90" s="703"/>
      <c r="D90" s="703"/>
      <c r="E90" s="703"/>
      <c r="F90" s="703"/>
      <c r="G90" s="703"/>
      <c r="H90" s="703"/>
      <c r="I90" s="703"/>
      <c r="J90" s="703"/>
      <c r="K90" s="703"/>
      <c r="L90" s="703"/>
      <c r="M90" s="703"/>
      <c r="N90" s="703"/>
      <c r="O90" s="703"/>
      <c r="P90" s="703"/>
      <c r="Q90" s="703"/>
      <c r="R90" s="703"/>
      <c r="S90" s="703"/>
      <c r="T90" s="703"/>
      <c r="U90" s="703"/>
      <c r="V90" s="703"/>
      <c r="W90" s="703"/>
      <c r="X90" s="703"/>
      <c r="Y90" s="703"/>
      <c r="Z90" s="703"/>
    </row>
    <row r="91">
      <c r="A91" s="703"/>
      <c r="B91" s="703"/>
      <c r="C91" s="703"/>
      <c r="D91" s="703"/>
      <c r="E91" s="703"/>
      <c r="F91" s="703"/>
      <c r="G91" s="703"/>
      <c r="H91" s="703"/>
      <c r="I91" s="703"/>
      <c r="J91" s="703"/>
      <c r="K91" s="703"/>
      <c r="L91" s="703"/>
      <c r="M91" s="703"/>
      <c r="N91" s="703"/>
      <c r="O91" s="703"/>
      <c r="P91" s="703"/>
      <c r="Q91" s="703"/>
      <c r="R91" s="703"/>
      <c r="S91" s="703"/>
      <c r="T91" s="703"/>
      <c r="U91" s="703"/>
      <c r="V91" s="703"/>
      <c r="W91" s="703"/>
      <c r="X91" s="703"/>
      <c r="Y91" s="703"/>
      <c r="Z91" s="703"/>
    </row>
    <row r="92">
      <c r="A92" s="703"/>
      <c r="B92" s="703"/>
      <c r="C92" s="703"/>
      <c r="D92" s="703"/>
      <c r="E92" s="703"/>
      <c r="F92" s="703"/>
      <c r="G92" s="703"/>
      <c r="H92" s="703"/>
      <c r="I92" s="703"/>
      <c r="J92" s="703"/>
      <c r="K92" s="703"/>
      <c r="L92" s="703"/>
      <c r="M92" s="703"/>
      <c r="N92" s="703"/>
      <c r="O92" s="703"/>
      <c r="P92" s="703"/>
      <c r="Q92" s="703"/>
      <c r="R92" s="703"/>
      <c r="S92" s="703"/>
      <c r="T92" s="703"/>
      <c r="U92" s="703"/>
      <c r="V92" s="703"/>
      <c r="W92" s="703"/>
      <c r="X92" s="703"/>
      <c r="Y92" s="703"/>
      <c r="Z92" s="703"/>
    </row>
    <row r="93">
      <c r="A93" s="703"/>
      <c r="B93" s="703"/>
      <c r="C93" s="703"/>
      <c r="D93" s="703"/>
      <c r="E93" s="703"/>
      <c r="F93" s="703"/>
      <c r="G93" s="703"/>
      <c r="H93" s="703"/>
      <c r="I93" s="703"/>
      <c r="J93" s="703"/>
      <c r="K93" s="703"/>
      <c r="L93" s="703"/>
      <c r="M93" s="703"/>
      <c r="N93" s="703"/>
      <c r="O93" s="703"/>
      <c r="P93" s="703"/>
      <c r="Q93" s="703"/>
      <c r="R93" s="703"/>
      <c r="S93" s="703"/>
      <c r="T93" s="703"/>
      <c r="U93" s="703"/>
      <c r="V93" s="703"/>
      <c r="W93" s="703"/>
      <c r="X93" s="703"/>
      <c r="Y93" s="703"/>
      <c r="Z93" s="703"/>
    </row>
    <row r="94">
      <c r="A94" s="703"/>
      <c r="B94" s="703"/>
      <c r="C94" s="703"/>
      <c r="D94" s="703"/>
      <c r="E94" s="703"/>
      <c r="F94" s="703"/>
      <c r="G94" s="703"/>
      <c r="H94" s="703"/>
      <c r="I94" s="703"/>
      <c r="J94" s="703"/>
      <c r="K94" s="703"/>
      <c r="L94" s="703"/>
      <c r="M94" s="703"/>
      <c r="N94" s="703"/>
      <c r="O94" s="703"/>
      <c r="P94" s="703"/>
      <c r="Q94" s="703"/>
      <c r="R94" s="703"/>
      <c r="S94" s="703"/>
      <c r="T94" s="703"/>
      <c r="U94" s="703"/>
      <c r="V94" s="703"/>
      <c r="W94" s="703"/>
      <c r="X94" s="703"/>
      <c r="Y94" s="703"/>
      <c r="Z94" s="703"/>
    </row>
    <row r="95">
      <c r="A95" s="703"/>
      <c r="B95" s="703"/>
      <c r="C95" s="703"/>
      <c r="D95" s="703"/>
      <c r="E95" s="703"/>
      <c r="F95" s="703"/>
      <c r="G95" s="703"/>
      <c r="H95" s="703"/>
      <c r="I95" s="703"/>
      <c r="J95" s="703"/>
      <c r="K95" s="703"/>
      <c r="L95" s="703"/>
      <c r="M95" s="703"/>
      <c r="N95" s="703"/>
      <c r="O95" s="703"/>
      <c r="P95" s="703"/>
      <c r="Q95" s="703"/>
      <c r="R95" s="703"/>
      <c r="S95" s="703"/>
      <c r="T95" s="703"/>
      <c r="U95" s="703"/>
      <c r="V95" s="703"/>
      <c r="W95" s="703"/>
      <c r="X95" s="703"/>
      <c r="Y95" s="703"/>
      <c r="Z95" s="703"/>
    </row>
    <row r="96">
      <c r="A96" s="703"/>
      <c r="B96" s="703"/>
      <c r="C96" s="703"/>
      <c r="D96" s="703"/>
      <c r="E96" s="703"/>
      <c r="F96" s="703"/>
      <c r="G96" s="703"/>
      <c r="H96" s="703"/>
      <c r="I96" s="703"/>
      <c r="J96" s="703"/>
      <c r="K96" s="703"/>
      <c r="L96" s="703"/>
      <c r="M96" s="703"/>
      <c r="N96" s="703"/>
      <c r="O96" s="703"/>
      <c r="P96" s="703"/>
      <c r="Q96" s="703"/>
      <c r="R96" s="703"/>
      <c r="S96" s="703"/>
      <c r="T96" s="703"/>
      <c r="U96" s="703"/>
      <c r="V96" s="703"/>
      <c r="W96" s="703"/>
      <c r="X96" s="703"/>
      <c r="Y96" s="703"/>
      <c r="Z96" s="703"/>
    </row>
    <row r="97">
      <c r="A97" s="703"/>
      <c r="B97" s="703"/>
      <c r="C97" s="703"/>
      <c r="D97" s="703"/>
      <c r="E97" s="703"/>
      <c r="F97" s="703"/>
      <c r="G97" s="703"/>
      <c r="H97" s="703"/>
      <c r="I97" s="703"/>
      <c r="J97" s="703"/>
      <c r="K97" s="703"/>
      <c r="L97" s="703"/>
      <c r="M97" s="703"/>
      <c r="N97" s="703"/>
      <c r="O97" s="703"/>
      <c r="P97" s="703"/>
      <c r="Q97" s="703"/>
      <c r="R97" s="703"/>
      <c r="S97" s="703"/>
      <c r="T97" s="703"/>
      <c r="U97" s="703"/>
      <c r="V97" s="703"/>
      <c r="W97" s="703"/>
      <c r="X97" s="703"/>
      <c r="Y97" s="703"/>
      <c r="Z97" s="703"/>
    </row>
    <row r="98">
      <c r="A98" s="703"/>
      <c r="B98" s="703"/>
      <c r="C98" s="703"/>
      <c r="D98" s="703"/>
      <c r="E98" s="703"/>
      <c r="F98" s="703"/>
      <c r="G98" s="703"/>
      <c r="H98" s="703"/>
      <c r="I98" s="703"/>
      <c r="J98" s="703"/>
      <c r="K98" s="703"/>
      <c r="L98" s="703"/>
      <c r="M98" s="703"/>
      <c r="N98" s="703"/>
      <c r="O98" s="703"/>
      <c r="P98" s="703"/>
      <c r="Q98" s="703"/>
      <c r="R98" s="703"/>
      <c r="S98" s="703"/>
      <c r="T98" s="703"/>
      <c r="U98" s="703"/>
      <c r="V98" s="703"/>
      <c r="W98" s="703"/>
      <c r="X98" s="703"/>
      <c r="Y98" s="703"/>
      <c r="Z98" s="703"/>
    </row>
    <row r="99">
      <c r="A99" s="703"/>
      <c r="B99" s="703"/>
      <c r="C99" s="703"/>
      <c r="D99" s="703"/>
      <c r="E99" s="703"/>
      <c r="F99" s="703"/>
      <c r="G99" s="703"/>
      <c r="H99" s="703"/>
      <c r="I99" s="703"/>
      <c r="J99" s="703"/>
      <c r="K99" s="703"/>
      <c r="L99" s="703"/>
      <c r="M99" s="703"/>
      <c r="N99" s="703"/>
      <c r="O99" s="703"/>
      <c r="P99" s="703"/>
      <c r="Q99" s="703"/>
      <c r="R99" s="703"/>
      <c r="S99" s="703"/>
      <c r="T99" s="703"/>
      <c r="U99" s="703"/>
      <c r="V99" s="703"/>
      <c r="W99" s="703"/>
      <c r="X99" s="703"/>
      <c r="Y99" s="703"/>
      <c r="Z99" s="703"/>
    </row>
    <row r="100">
      <c r="A100" s="703"/>
      <c r="B100" s="703"/>
      <c r="C100" s="703"/>
      <c r="D100" s="703"/>
      <c r="E100" s="703"/>
      <c r="F100" s="703"/>
      <c r="G100" s="703"/>
      <c r="H100" s="703"/>
      <c r="I100" s="703"/>
      <c r="J100" s="703"/>
      <c r="K100" s="703"/>
      <c r="L100" s="703"/>
      <c r="M100" s="703"/>
      <c r="N100" s="703"/>
      <c r="O100" s="703"/>
      <c r="P100" s="703"/>
      <c r="Q100" s="703"/>
      <c r="R100" s="703"/>
      <c r="S100" s="703"/>
      <c r="T100" s="703"/>
      <c r="U100" s="703"/>
      <c r="V100" s="703"/>
      <c r="W100" s="703"/>
      <c r="X100" s="703"/>
      <c r="Y100" s="703"/>
      <c r="Z100" s="703"/>
    </row>
    <row r="101">
      <c r="A101" s="703"/>
      <c r="B101" s="703"/>
      <c r="C101" s="703"/>
      <c r="D101" s="703"/>
      <c r="E101" s="703"/>
      <c r="F101" s="703"/>
      <c r="G101" s="703"/>
      <c r="H101" s="703"/>
      <c r="I101" s="703"/>
      <c r="J101" s="703"/>
      <c r="K101" s="703"/>
      <c r="L101" s="703"/>
      <c r="M101" s="703"/>
      <c r="N101" s="703"/>
      <c r="O101" s="703"/>
      <c r="P101" s="703"/>
      <c r="Q101" s="703"/>
      <c r="R101" s="703"/>
      <c r="S101" s="703"/>
      <c r="T101" s="703"/>
      <c r="U101" s="703"/>
      <c r="V101" s="703"/>
      <c r="W101" s="703"/>
      <c r="X101" s="703"/>
      <c r="Y101" s="703"/>
      <c r="Z101" s="703"/>
    </row>
    <row r="102">
      <c r="A102" s="703"/>
      <c r="B102" s="703"/>
      <c r="C102" s="703"/>
      <c r="D102" s="703"/>
      <c r="E102" s="703"/>
      <c r="F102" s="703"/>
      <c r="G102" s="703"/>
      <c r="H102" s="703"/>
      <c r="I102" s="703"/>
      <c r="J102" s="703"/>
      <c r="K102" s="703"/>
      <c r="L102" s="703"/>
      <c r="M102" s="703"/>
      <c r="N102" s="703"/>
      <c r="O102" s="703"/>
      <c r="P102" s="703"/>
      <c r="Q102" s="703"/>
      <c r="R102" s="703"/>
      <c r="S102" s="703"/>
      <c r="T102" s="703"/>
      <c r="U102" s="703"/>
      <c r="V102" s="703"/>
      <c r="W102" s="703"/>
      <c r="X102" s="703"/>
      <c r="Y102" s="703"/>
      <c r="Z102" s="703"/>
    </row>
    <row r="103">
      <c r="A103" s="703"/>
      <c r="B103" s="703"/>
      <c r="C103" s="703"/>
      <c r="D103" s="703"/>
      <c r="E103" s="703"/>
      <c r="F103" s="703"/>
      <c r="G103" s="703"/>
      <c r="H103" s="703"/>
      <c r="I103" s="703"/>
      <c r="J103" s="703"/>
      <c r="K103" s="703"/>
      <c r="L103" s="703"/>
      <c r="M103" s="703"/>
      <c r="N103" s="703"/>
      <c r="O103" s="703"/>
      <c r="P103" s="703"/>
      <c r="Q103" s="703"/>
      <c r="R103" s="703"/>
      <c r="S103" s="703"/>
      <c r="T103" s="703"/>
      <c r="U103" s="703"/>
      <c r="V103" s="703"/>
      <c r="W103" s="703"/>
      <c r="X103" s="703"/>
      <c r="Y103" s="703"/>
      <c r="Z103" s="703"/>
    </row>
    <row r="104">
      <c r="A104" s="703"/>
      <c r="B104" s="703"/>
      <c r="C104" s="703"/>
      <c r="D104" s="703"/>
      <c r="E104" s="703"/>
      <c r="F104" s="703"/>
      <c r="G104" s="703"/>
      <c r="H104" s="703"/>
      <c r="I104" s="703"/>
      <c r="J104" s="703"/>
      <c r="K104" s="703"/>
      <c r="L104" s="703"/>
      <c r="M104" s="703"/>
      <c r="N104" s="703"/>
      <c r="O104" s="703"/>
      <c r="P104" s="703"/>
      <c r="Q104" s="703"/>
      <c r="R104" s="703"/>
      <c r="S104" s="703"/>
      <c r="T104" s="703"/>
      <c r="U104" s="703"/>
      <c r="V104" s="703"/>
      <c r="W104" s="703"/>
      <c r="X104" s="703"/>
      <c r="Y104" s="703"/>
      <c r="Z104" s="703"/>
    </row>
    <row r="105">
      <c r="A105" s="703"/>
      <c r="B105" s="703"/>
      <c r="C105" s="703"/>
      <c r="D105" s="703"/>
      <c r="E105" s="703"/>
      <c r="F105" s="703"/>
      <c r="G105" s="703"/>
      <c r="H105" s="703"/>
      <c r="I105" s="703"/>
      <c r="J105" s="703"/>
      <c r="K105" s="703"/>
      <c r="L105" s="703"/>
      <c r="M105" s="703"/>
      <c r="N105" s="703"/>
      <c r="O105" s="703"/>
      <c r="P105" s="703"/>
      <c r="Q105" s="703"/>
      <c r="R105" s="703"/>
      <c r="S105" s="703"/>
      <c r="T105" s="703"/>
      <c r="U105" s="703"/>
      <c r="V105" s="703"/>
      <c r="W105" s="703"/>
      <c r="X105" s="703"/>
      <c r="Y105" s="703"/>
      <c r="Z105" s="703"/>
    </row>
    <row r="106">
      <c r="A106" s="703"/>
      <c r="B106" s="703"/>
      <c r="C106" s="703"/>
      <c r="D106" s="703"/>
      <c r="E106" s="703"/>
      <c r="F106" s="703"/>
      <c r="G106" s="703"/>
      <c r="H106" s="703"/>
      <c r="I106" s="703"/>
      <c r="J106" s="703"/>
      <c r="K106" s="703"/>
      <c r="L106" s="703"/>
      <c r="M106" s="703"/>
      <c r="N106" s="703"/>
      <c r="O106" s="703"/>
      <c r="P106" s="703"/>
      <c r="Q106" s="703"/>
      <c r="R106" s="703"/>
      <c r="S106" s="703"/>
      <c r="T106" s="703"/>
      <c r="U106" s="703"/>
      <c r="V106" s="703"/>
      <c r="W106" s="703"/>
      <c r="X106" s="703"/>
      <c r="Y106" s="703"/>
      <c r="Z106" s="703"/>
    </row>
    <row r="107">
      <c r="A107" s="703"/>
      <c r="B107" s="703"/>
      <c r="C107" s="703"/>
      <c r="D107" s="703"/>
      <c r="E107" s="703"/>
      <c r="F107" s="703"/>
      <c r="G107" s="703"/>
      <c r="H107" s="703"/>
      <c r="I107" s="703"/>
      <c r="J107" s="703"/>
      <c r="K107" s="703"/>
      <c r="L107" s="703"/>
      <c r="M107" s="703"/>
      <c r="N107" s="703"/>
      <c r="O107" s="703"/>
      <c r="P107" s="703"/>
      <c r="Q107" s="703"/>
      <c r="R107" s="703"/>
      <c r="S107" s="703"/>
      <c r="T107" s="703"/>
      <c r="U107" s="703"/>
      <c r="V107" s="703"/>
      <c r="W107" s="703"/>
      <c r="X107" s="703"/>
      <c r="Y107" s="703"/>
      <c r="Z107" s="703"/>
    </row>
    <row r="108">
      <c r="A108" s="703"/>
      <c r="B108" s="703"/>
      <c r="C108" s="703"/>
      <c r="D108" s="703"/>
      <c r="E108" s="703"/>
      <c r="F108" s="703"/>
      <c r="G108" s="703"/>
      <c r="H108" s="703"/>
      <c r="I108" s="703"/>
      <c r="J108" s="703"/>
      <c r="K108" s="703"/>
      <c r="L108" s="703"/>
      <c r="M108" s="703"/>
      <c r="N108" s="703"/>
      <c r="O108" s="703"/>
      <c r="P108" s="703"/>
      <c r="Q108" s="703"/>
      <c r="R108" s="703"/>
      <c r="S108" s="703"/>
      <c r="T108" s="703"/>
      <c r="U108" s="703"/>
      <c r="V108" s="703"/>
      <c r="W108" s="703"/>
      <c r="X108" s="703"/>
      <c r="Y108" s="703"/>
      <c r="Z108" s="703"/>
    </row>
    <row r="109">
      <c r="A109" s="703"/>
      <c r="B109" s="703"/>
      <c r="C109" s="703"/>
      <c r="D109" s="703"/>
      <c r="E109" s="703"/>
      <c r="F109" s="703"/>
      <c r="G109" s="703"/>
      <c r="H109" s="703"/>
      <c r="I109" s="703"/>
      <c r="J109" s="703"/>
      <c r="K109" s="703"/>
      <c r="L109" s="703"/>
      <c r="M109" s="703"/>
      <c r="N109" s="703"/>
      <c r="O109" s="703"/>
      <c r="P109" s="703"/>
      <c r="Q109" s="703"/>
      <c r="R109" s="703"/>
      <c r="S109" s="703"/>
      <c r="T109" s="703"/>
      <c r="U109" s="703"/>
      <c r="V109" s="703"/>
      <c r="W109" s="703"/>
      <c r="X109" s="703"/>
      <c r="Y109" s="703"/>
      <c r="Z109" s="703"/>
    </row>
    <row r="110">
      <c r="A110" s="703"/>
      <c r="B110" s="703"/>
      <c r="C110" s="703"/>
      <c r="D110" s="703"/>
      <c r="E110" s="703"/>
      <c r="F110" s="703"/>
      <c r="G110" s="703"/>
      <c r="H110" s="703"/>
      <c r="I110" s="703"/>
      <c r="J110" s="703"/>
      <c r="K110" s="703"/>
      <c r="L110" s="703"/>
      <c r="M110" s="703"/>
      <c r="N110" s="703"/>
      <c r="O110" s="703"/>
      <c r="P110" s="703"/>
      <c r="Q110" s="703"/>
      <c r="R110" s="703"/>
      <c r="S110" s="703"/>
      <c r="T110" s="703"/>
      <c r="U110" s="703"/>
      <c r="V110" s="703"/>
      <c r="W110" s="703"/>
      <c r="X110" s="703"/>
      <c r="Y110" s="703"/>
      <c r="Z110" s="703"/>
    </row>
    <row r="111">
      <c r="A111" s="703"/>
      <c r="B111" s="703"/>
      <c r="C111" s="703"/>
      <c r="D111" s="703"/>
      <c r="E111" s="703"/>
      <c r="F111" s="703"/>
      <c r="G111" s="703"/>
      <c r="H111" s="703"/>
      <c r="I111" s="703"/>
      <c r="J111" s="703"/>
      <c r="K111" s="703"/>
      <c r="L111" s="703"/>
      <c r="M111" s="703"/>
      <c r="N111" s="703"/>
      <c r="O111" s="703"/>
      <c r="P111" s="703"/>
      <c r="Q111" s="703"/>
      <c r="R111" s="703"/>
      <c r="S111" s="703"/>
      <c r="T111" s="703"/>
      <c r="U111" s="703"/>
      <c r="V111" s="703"/>
      <c r="W111" s="703"/>
      <c r="X111" s="703"/>
      <c r="Y111" s="703"/>
      <c r="Z111" s="703"/>
    </row>
    <row r="112">
      <c r="A112" s="703"/>
      <c r="B112" s="703"/>
      <c r="C112" s="703"/>
      <c r="D112" s="703"/>
      <c r="E112" s="703"/>
      <c r="F112" s="703"/>
      <c r="G112" s="703"/>
      <c r="H112" s="703"/>
      <c r="I112" s="703"/>
      <c r="J112" s="703"/>
      <c r="K112" s="703"/>
      <c r="L112" s="703"/>
      <c r="M112" s="703"/>
      <c r="N112" s="703"/>
      <c r="O112" s="703"/>
      <c r="P112" s="703"/>
      <c r="Q112" s="703"/>
      <c r="R112" s="703"/>
      <c r="S112" s="703"/>
      <c r="T112" s="703"/>
      <c r="U112" s="703"/>
      <c r="V112" s="703"/>
      <c r="W112" s="703"/>
      <c r="X112" s="703"/>
      <c r="Y112" s="703"/>
      <c r="Z112" s="703"/>
    </row>
    <row r="113">
      <c r="A113" s="703"/>
      <c r="B113" s="703"/>
      <c r="C113" s="703"/>
      <c r="D113" s="703"/>
      <c r="E113" s="703"/>
      <c r="F113" s="703"/>
      <c r="G113" s="703"/>
      <c r="H113" s="703"/>
      <c r="I113" s="703"/>
      <c r="J113" s="703"/>
      <c r="K113" s="703"/>
      <c r="L113" s="703"/>
      <c r="M113" s="703"/>
      <c r="N113" s="703"/>
      <c r="O113" s="703"/>
      <c r="P113" s="703"/>
      <c r="Q113" s="703"/>
      <c r="R113" s="703"/>
      <c r="S113" s="703"/>
      <c r="T113" s="703"/>
      <c r="U113" s="703"/>
      <c r="V113" s="703"/>
      <c r="W113" s="703"/>
      <c r="X113" s="703"/>
      <c r="Y113" s="703"/>
      <c r="Z113" s="703"/>
    </row>
    <row r="114">
      <c r="A114" s="703"/>
      <c r="B114" s="703"/>
      <c r="C114" s="703"/>
      <c r="D114" s="703"/>
      <c r="E114" s="703"/>
      <c r="F114" s="703"/>
      <c r="G114" s="703"/>
      <c r="H114" s="703"/>
      <c r="I114" s="703"/>
      <c r="J114" s="703"/>
      <c r="K114" s="703"/>
      <c r="L114" s="703"/>
      <c r="M114" s="703"/>
      <c r="N114" s="703"/>
      <c r="O114" s="703"/>
      <c r="P114" s="703"/>
      <c r="Q114" s="703"/>
      <c r="R114" s="703"/>
      <c r="S114" s="703"/>
      <c r="T114" s="703"/>
      <c r="U114" s="703"/>
      <c r="V114" s="703"/>
      <c r="W114" s="703"/>
      <c r="X114" s="703"/>
      <c r="Y114" s="703"/>
      <c r="Z114" s="703"/>
    </row>
    <row r="115">
      <c r="A115" s="703"/>
      <c r="B115" s="703"/>
      <c r="C115" s="703"/>
      <c r="D115" s="703"/>
      <c r="E115" s="703"/>
      <c r="F115" s="703"/>
      <c r="G115" s="703"/>
      <c r="H115" s="703"/>
      <c r="I115" s="703"/>
      <c r="J115" s="703"/>
      <c r="K115" s="703"/>
      <c r="L115" s="703"/>
      <c r="M115" s="703"/>
      <c r="N115" s="703"/>
      <c r="O115" s="703"/>
      <c r="P115" s="703"/>
      <c r="Q115" s="703"/>
      <c r="R115" s="703"/>
      <c r="S115" s="703"/>
      <c r="T115" s="703"/>
      <c r="U115" s="703"/>
      <c r="V115" s="703"/>
      <c r="W115" s="703"/>
      <c r="X115" s="703"/>
      <c r="Y115" s="703"/>
      <c r="Z115" s="703"/>
    </row>
    <row r="116">
      <c r="A116" s="703"/>
      <c r="B116" s="703"/>
      <c r="C116" s="703"/>
      <c r="D116" s="703"/>
      <c r="E116" s="703"/>
      <c r="F116" s="703"/>
      <c r="G116" s="703"/>
      <c r="H116" s="703"/>
      <c r="I116" s="703"/>
      <c r="J116" s="703"/>
      <c r="K116" s="703"/>
      <c r="L116" s="703"/>
      <c r="M116" s="703"/>
      <c r="N116" s="703"/>
      <c r="O116" s="703"/>
      <c r="P116" s="703"/>
      <c r="Q116" s="703"/>
      <c r="R116" s="703"/>
      <c r="S116" s="703"/>
      <c r="T116" s="703"/>
      <c r="U116" s="703"/>
      <c r="V116" s="703"/>
      <c r="W116" s="703"/>
      <c r="X116" s="703"/>
      <c r="Y116" s="703"/>
      <c r="Z116" s="703"/>
    </row>
    <row r="117">
      <c r="A117" s="703"/>
      <c r="B117" s="703"/>
      <c r="C117" s="703"/>
      <c r="D117" s="703"/>
      <c r="E117" s="703"/>
      <c r="F117" s="703"/>
      <c r="G117" s="703"/>
      <c r="H117" s="703"/>
      <c r="I117" s="703"/>
      <c r="J117" s="703"/>
      <c r="K117" s="703"/>
      <c r="L117" s="703"/>
      <c r="M117" s="703"/>
      <c r="N117" s="703"/>
      <c r="O117" s="703"/>
      <c r="P117" s="703"/>
      <c r="Q117" s="703"/>
      <c r="R117" s="703"/>
      <c r="S117" s="703"/>
      <c r="T117" s="703"/>
      <c r="U117" s="703"/>
      <c r="V117" s="703"/>
      <c r="W117" s="703"/>
      <c r="X117" s="703"/>
      <c r="Y117" s="703"/>
      <c r="Z117" s="703"/>
    </row>
    <row r="118">
      <c r="A118" s="703"/>
      <c r="B118" s="703"/>
      <c r="C118" s="703"/>
      <c r="D118" s="703"/>
      <c r="E118" s="703"/>
      <c r="F118" s="703"/>
      <c r="G118" s="703"/>
      <c r="H118" s="703"/>
      <c r="I118" s="703"/>
      <c r="J118" s="703"/>
      <c r="K118" s="703"/>
      <c r="L118" s="703"/>
      <c r="M118" s="703"/>
      <c r="N118" s="703"/>
      <c r="O118" s="703"/>
      <c r="P118" s="703"/>
      <c r="Q118" s="703"/>
      <c r="R118" s="703"/>
      <c r="S118" s="703"/>
      <c r="T118" s="703"/>
      <c r="U118" s="703"/>
      <c r="V118" s="703"/>
      <c r="W118" s="703"/>
      <c r="X118" s="703"/>
      <c r="Y118" s="703"/>
      <c r="Z118" s="703"/>
    </row>
    <row r="119">
      <c r="A119" s="703"/>
      <c r="B119" s="703"/>
      <c r="C119" s="703"/>
      <c r="D119" s="703"/>
      <c r="E119" s="703"/>
      <c r="F119" s="703"/>
      <c r="G119" s="703"/>
      <c r="H119" s="703"/>
      <c r="I119" s="703"/>
      <c r="J119" s="703"/>
      <c r="K119" s="703"/>
      <c r="L119" s="703"/>
      <c r="M119" s="703"/>
      <c r="N119" s="703"/>
      <c r="O119" s="703"/>
      <c r="P119" s="703"/>
      <c r="Q119" s="703"/>
      <c r="R119" s="703"/>
      <c r="S119" s="703"/>
      <c r="T119" s="703"/>
      <c r="U119" s="703"/>
      <c r="V119" s="703"/>
      <c r="W119" s="703"/>
      <c r="X119" s="703"/>
      <c r="Y119" s="703"/>
      <c r="Z119" s="703"/>
    </row>
    <row r="120">
      <c r="A120" s="703"/>
      <c r="B120" s="703"/>
      <c r="C120" s="703"/>
      <c r="D120" s="703"/>
      <c r="E120" s="703"/>
      <c r="F120" s="703"/>
      <c r="G120" s="703"/>
      <c r="H120" s="703"/>
      <c r="I120" s="703"/>
      <c r="J120" s="703"/>
      <c r="K120" s="703"/>
      <c r="L120" s="703"/>
      <c r="M120" s="703"/>
      <c r="N120" s="703"/>
      <c r="O120" s="703"/>
      <c r="P120" s="703"/>
      <c r="Q120" s="703"/>
      <c r="R120" s="703"/>
      <c r="S120" s="703"/>
      <c r="T120" s="703"/>
      <c r="U120" s="703"/>
      <c r="V120" s="703"/>
      <c r="W120" s="703"/>
      <c r="X120" s="703"/>
      <c r="Y120" s="703"/>
      <c r="Z120" s="703"/>
    </row>
    <row r="121">
      <c r="A121" s="703"/>
      <c r="B121" s="703"/>
      <c r="C121" s="703"/>
      <c r="D121" s="703"/>
      <c r="E121" s="703"/>
      <c r="F121" s="703"/>
      <c r="G121" s="703"/>
      <c r="H121" s="703"/>
      <c r="I121" s="703"/>
      <c r="J121" s="703"/>
      <c r="K121" s="703"/>
      <c r="L121" s="703"/>
      <c r="M121" s="703"/>
      <c r="N121" s="703"/>
      <c r="O121" s="703"/>
      <c r="P121" s="703"/>
      <c r="Q121" s="703"/>
      <c r="R121" s="703"/>
      <c r="S121" s="703"/>
      <c r="T121" s="703"/>
      <c r="U121" s="703"/>
      <c r="V121" s="703"/>
      <c r="W121" s="703"/>
      <c r="X121" s="703"/>
      <c r="Y121" s="703"/>
      <c r="Z121" s="703"/>
    </row>
    <row r="122">
      <c r="A122" s="703"/>
      <c r="B122" s="703"/>
      <c r="C122" s="703"/>
      <c r="D122" s="703"/>
      <c r="E122" s="703"/>
      <c r="F122" s="703"/>
      <c r="G122" s="703"/>
      <c r="H122" s="703"/>
      <c r="I122" s="703"/>
      <c r="J122" s="703"/>
      <c r="K122" s="703"/>
      <c r="L122" s="703"/>
      <c r="M122" s="703"/>
      <c r="N122" s="703"/>
      <c r="O122" s="703"/>
      <c r="P122" s="703"/>
      <c r="Q122" s="703"/>
      <c r="R122" s="703"/>
      <c r="S122" s="703"/>
      <c r="T122" s="703"/>
      <c r="U122" s="703"/>
      <c r="V122" s="703"/>
      <c r="W122" s="703"/>
      <c r="X122" s="703"/>
      <c r="Y122" s="703"/>
      <c r="Z122" s="703"/>
    </row>
    <row r="123">
      <c r="A123" s="703"/>
      <c r="B123" s="703"/>
      <c r="C123" s="703"/>
      <c r="D123" s="703"/>
      <c r="E123" s="703"/>
      <c r="F123" s="703"/>
      <c r="G123" s="703"/>
      <c r="H123" s="703"/>
      <c r="I123" s="703"/>
      <c r="J123" s="703"/>
      <c r="K123" s="703"/>
      <c r="L123" s="703"/>
      <c r="M123" s="703"/>
      <c r="N123" s="703"/>
      <c r="O123" s="703"/>
      <c r="P123" s="703"/>
      <c r="Q123" s="703"/>
      <c r="R123" s="703"/>
      <c r="S123" s="703"/>
      <c r="T123" s="703"/>
      <c r="U123" s="703"/>
      <c r="V123" s="703"/>
      <c r="W123" s="703"/>
      <c r="X123" s="703"/>
      <c r="Y123" s="703"/>
      <c r="Z123" s="703"/>
    </row>
    <row r="124">
      <c r="A124" s="703"/>
      <c r="B124" s="703"/>
      <c r="C124" s="703"/>
      <c r="D124" s="703"/>
      <c r="E124" s="703"/>
      <c r="F124" s="703"/>
      <c r="G124" s="703"/>
      <c r="H124" s="703"/>
      <c r="I124" s="703"/>
      <c r="J124" s="703"/>
      <c r="K124" s="703"/>
      <c r="L124" s="703"/>
      <c r="M124" s="703"/>
      <c r="N124" s="703"/>
      <c r="O124" s="703"/>
      <c r="P124" s="703"/>
      <c r="Q124" s="703"/>
      <c r="R124" s="703"/>
      <c r="S124" s="703"/>
      <c r="T124" s="703"/>
      <c r="U124" s="703"/>
      <c r="V124" s="703"/>
      <c r="W124" s="703"/>
      <c r="X124" s="703"/>
      <c r="Y124" s="703"/>
      <c r="Z124" s="703"/>
    </row>
    <row r="125">
      <c r="A125" s="703"/>
      <c r="B125" s="703"/>
      <c r="C125" s="703"/>
      <c r="D125" s="703"/>
      <c r="E125" s="703"/>
      <c r="F125" s="703"/>
      <c r="G125" s="703"/>
      <c r="H125" s="703"/>
      <c r="I125" s="703"/>
      <c r="J125" s="703"/>
      <c r="K125" s="703"/>
      <c r="L125" s="703"/>
      <c r="M125" s="703"/>
      <c r="N125" s="703"/>
      <c r="O125" s="703"/>
      <c r="P125" s="703"/>
      <c r="Q125" s="703"/>
      <c r="R125" s="703"/>
      <c r="S125" s="703"/>
      <c r="T125" s="703"/>
      <c r="U125" s="703"/>
      <c r="V125" s="703"/>
      <c r="W125" s="703"/>
      <c r="X125" s="703"/>
      <c r="Y125" s="703"/>
      <c r="Z125" s="703"/>
    </row>
    <row r="126">
      <c r="A126" s="703"/>
      <c r="B126" s="703"/>
      <c r="C126" s="703"/>
      <c r="D126" s="703"/>
      <c r="E126" s="703"/>
      <c r="F126" s="703"/>
      <c r="G126" s="703"/>
      <c r="H126" s="703"/>
      <c r="I126" s="703"/>
      <c r="J126" s="703"/>
      <c r="K126" s="703"/>
      <c r="L126" s="703"/>
      <c r="M126" s="703"/>
      <c r="N126" s="703"/>
      <c r="O126" s="703"/>
      <c r="P126" s="703"/>
      <c r="Q126" s="703"/>
      <c r="R126" s="703"/>
      <c r="S126" s="703"/>
      <c r="T126" s="703"/>
      <c r="U126" s="703"/>
      <c r="V126" s="703"/>
      <c r="W126" s="703"/>
      <c r="X126" s="703"/>
      <c r="Y126" s="703"/>
      <c r="Z126" s="703"/>
    </row>
    <row r="127">
      <c r="A127" s="703"/>
      <c r="B127" s="703"/>
      <c r="C127" s="703"/>
      <c r="D127" s="703"/>
      <c r="E127" s="703"/>
      <c r="F127" s="703"/>
      <c r="G127" s="703"/>
      <c r="H127" s="703"/>
      <c r="I127" s="703"/>
      <c r="J127" s="703"/>
      <c r="K127" s="703"/>
      <c r="L127" s="703"/>
      <c r="M127" s="703"/>
      <c r="N127" s="703"/>
      <c r="O127" s="703"/>
      <c r="P127" s="703"/>
      <c r="Q127" s="703"/>
      <c r="R127" s="703"/>
      <c r="S127" s="703"/>
      <c r="T127" s="703"/>
      <c r="U127" s="703"/>
      <c r="V127" s="703"/>
      <c r="W127" s="703"/>
      <c r="X127" s="703"/>
      <c r="Y127" s="703"/>
      <c r="Z127" s="703"/>
    </row>
    <row r="128">
      <c r="A128" s="703"/>
      <c r="B128" s="703"/>
      <c r="C128" s="703"/>
      <c r="D128" s="703"/>
      <c r="E128" s="703"/>
      <c r="F128" s="703"/>
      <c r="G128" s="703"/>
      <c r="H128" s="703"/>
      <c r="I128" s="703"/>
      <c r="J128" s="703"/>
      <c r="K128" s="703"/>
      <c r="L128" s="703"/>
      <c r="M128" s="703"/>
      <c r="N128" s="703"/>
      <c r="O128" s="703"/>
      <c r="P128" s="703"/>
      <c r="Q128" s="703"/>
      <c r="R128" s="703"/>
      <c r="S128" s="703"/>
      <c r="T128" s="703"/>
      <c r="U128" s="703"/>
      <c r="V128" s="703"/>
      <c r="W128" s="703"/>
      <c r="X128" s="703"/>
      <c r="Y128" s="703"/>
      <c r="Z128" s="703"/>
    </row>
    <row r="129">
      <c r="A129" s="703"/>
      <c r="B129" s="703"/>
      <c r="C129" s="703"/>
      <c r="D129" s="703"/>
      <c r="E129" s="703"/>
      <c r="F129" s="703"/>
      <c r="G129" s="703"/>
      <c r="H129" s="703"/>
      <c r="I129" s="703"/>
      <c r="J129" s="703"/>
      <c r="K129" s="703"/>
      <c r="L129" s="703"/>
      <c r="M129" s="703"/>
      <c r="N129" s="703"/>
      <c r="O129" s="703"/>
      <c r="P129" s="703"/>
      <c r="Q129" s="703"/>
      <c r="R129" s="703"/>
      <c r="S129" s="703"/>
      <c r="T129" s="703"/>
      <c r="U129" s="703"/>
      <c r="V129" s="703"/>
      <c r="W129" s="703"/>
      <c r="X129" s="703"/>
      <c r="Y129" s="703"/>
      <c r="Z129" s="703"/>
    </row>
    <row r="130">
      <c r="A130" s="703"/>
      <c r="B130" s="703"/>
      <c r="C130" s="703"/>
      <c r="D130" s="703"/>
      <c r="E130" s="703"/>
      <c r="F130" s="703"/>
      <c r="G130" s="703"/>
      <c r="H130" s="703"/>
      <c r="I130" s="703"/>
      <c r="J130" s="703"/>
      <c r="K130" s="703"/>
      <c r="L130" s="703"/>
      <c r="M130" s="703"/>
      <c r="N130" s="703"/>
      <c r="O130" s="703"/>
      <c r="P130" s="703"/>
      <c r="Q130" s="703"/>
      <c r="R130" s="703"/>
      <c r="S130" s="703"/>
      <c r="T130" s="703"/>
      <c r="U130" s="703"/>
      <c r="V130" s="703"/>
      <c r="W130" s="703"/>
      <c r="X130" s="703"/>
      <c r="Y130" s="703"/>
      <c r="Z130" s="703"/>
    </row>
    <row r="131">
      <c r="A131" s="703"/>
      <c r="B131" s="703"/>
      <c r="C131" s="703"/>
      <c r="D131" s="703"/>
      <c r="E131" s="703"/>
      <c r="F131" s="703"/>
      <c r="G131" s="703"/>
      <c r="H131" s="703"/>
      <c r="I131" s="703"/>
      <c r="J131" s="703"/>
      <c r="K131" s="703"/>
      <c r="L131" s="703"/>
      <c r="M131" s="703"/>
      <c r="N131" s="703"/>
      <c r="O131" s="703"/>
      <c r="P131" s="703"/>
      <c r="Q131" s="703"/>
      <c r="R131" s="703"/>
      <c r="S131" s="703"/>
      <c r="T131" s="703"/>
      <c r="U131" s="703"/>
      <c r="V131" s="703"/>
      <c r="W131" s="703"/>
      <c r="X131" s="703"/>
      <c r="Y131" s="703"/>
      <c r="Z131" s="703"/>
    </row>
    <row r="132">
      <c r="A132" s="703"/>
      <c r="B132" s="703"/>
      <c r="C132" s="703"/>
      <c r="D132" s="703"/>
      <c r="E132" s="703"/>
      <c r="F132" s="703"/>
      <c r="G132" s="703"/>
      <c r="H132" s="703"/>
      <c r="I132" s="703"/>
      <c r="J132" s="703"/>
      <c r="K132" s="703"/>
      <c r="L132" s="703"/>
      <c r="M132" s="703"/>
      <c r="N132" s="703"/>
      <c r="O132" s="703"/>
      <c r="P132" s="703"/>
      <c r="Q132" s="703"/>
      <c r="R132" s="703"/>
      <c r="S132" s="703"/>
      <c r="T132" s="703"/>
      <c r="U132" s="703"/>
      <c r="V132" s="703"/>
      <c r="W132" s="703"/>
      <c r="X132" s="703"/>
      <c r="Y132" s="703"/>
      <c r="Z132" s="703"/>
    </row>
    <row r="133">
      <c r="A133" s="703"/>
      <c r="B133" s="703"/>
      <c r="C133" s="703"/>
      <c r="D133" s="703"/>
      <c r="E133" s="703"/>
      <c r="F133" s="703"/>
      <c r="G133" s="703"/>
      <c r="H133" s="703"/>
      <c r="I133" s="703"/>
      <c r="J133" s="703"/>
      <c r="K133" s="703"/>
      <c r="L133" s="703"/>
      <c r="M133" s="703"/>
      <c r="N133" s="703"/>
      <c r="O133" s="703"/>
      <c r="P133" s="703"/>
      <c r="Q133" s="703"/>
      <c r="R133" s="703"/>
      <c r="S133" s="703"/>
      <c r="T133" s="703"/>
      <c r="U133" s="703"/>
      <c r="V133" s="703"/>
      <c r="W133" s="703"/>
      <c r="X133" s="703"/>
      <c r="Y133" s="703"/>
      <c r="Z133" s="703"/>
    </row>
    <row r="134">
      <c r="A134" s="703"/>
      <c r="B134" s="703"/>
      <c r="C134" s="703"/>
      <c r="D134" s="703"/>
      <c r="E134" s="703"/>
      <c r="F134" s="703"/>
      <c r="G134" s="703"/>
      <c r="H134" s="703"/>
      <c r="I134" s="703"/>
      <c r="J134" s="703"/>
      <c r="K134" s="703"/>
      <c r="L134" s="703"/>
      <c r="M134" s="703"/>
      <c r="N134" s="703"/>
      <c r="O134" s="703"/>
      <c r="P134" s="703"/>
      <c r="Q134" s="703"/>
      <c r="R134" s="703"/>
      <c r="S134" s="703"/>
      <c r="T134" s="703"/>
      <c r="U134" s="703"/>
      <c r="V134" s="703"/>
      <c r="W134" s="703"/>
      <c r="X134" s="703"/>
      <c r="Y134" s="703"/>
      <c r="Z134" s="703"/>
    </row>
    <row r="135">
      <c r="A135" s="703"/>
      <c r="B135" s="703"/>
      <c r="C135" s="703"/>
      <c r="D135" s="703"/>
      <c r="E135" s="703"/>
      <c r="F135" s="703"/>
      <c r="G135" s="703"/>
      <c r="H135" s="703"/>
      <c r="I135" s="703"/>
      <c r="J135" s="703"/>
      <c r="K135" s="703"/>
      <c r="L135" s="703"/>
      <c r="M135" s="703"/>
      <c r="N135" s="703"/>
      <c r="O135" s="703"/>
      <c r="P135" s="703"/>
      <c r="Q135" s="703"/>
      <c r="R135" s="703"/>
      <c r="S135" s="703"/>
      <c r="T135" s="703"/>
      <c r="U135" s="703"/>
      <c r="V135" s="703"/>
      <c r="W135" s="703"/>
      <c r="X135" s="703"/>
      <c r="Y135" s="703"/>
      <c r="Z135" s="703"/>
    </row>
    <row r="136">
      <c r="A136" s="703"/>
      <c r="B136" s="703"/>
      <c r="C136" s="703"/>
      <c r="D136" s="703"/>
      <c r="E136" s="703"/>
      <c r="F136" s="703"/>
      <c r="G136" s="703"/>
      <c r="H136" s="703"/>
      <c r="I136" s="703"/>
      <c r="J136" s="703"/>
      <c r="K136" s="703"/>
      <c r="L136" s="703"/>
      <c r="M136" s="703"/>
      <c r="N136" s="703"/>
      <c r="O136" s="703"/>
      <c r="P136" s="703"/>
      <c r="Q136" s="703"/>
      <c r="R136" s="703"/>
      <c r="S136" s="703"/>
      <c r="T136" s="703"/>
      <c r="U136" s="703"/>
      <c r="V136" s="703"/>
      <c r="W136" s="703"/>
      <c r="X136" s="703"/>
      <c r="Y136" s="703"/>
      <c r="Z136" s="703"/>
    </row>
    <row r="137">
      <c r="A137" s="703"/>
      <c r="B137" s="703"/>
      <c r="C137" s="703"/>
      <c r="D137" s="703"/>
      <c r="E137" s="703"/>
      <c r="F137" s="703"/>
      <c r="G137" s="703"/>
      <c r="H137" s="703"/>
      <c r="I137" s="703"/>
      <c r="J137" s="703"/>
      <c r="K137" s="703"/>
      <c r="L137" s="703"/>
      <c r="M137" s="703"/>
      <c r="N137" s="703"/>
      <c r="O137" s="703"/>
      <c r="P137" s="703"/>
      <c r="Q137" s="703"/>
      <c r="R137" s="703"/>
      <c r="S137" s="703"/>
      <c r="T137" s="703"/>
      <c r="U137" s="703"/>
      <c r="V137" s="703"/>
      <c r="W137" s="703"/>
      <c r="X137" s="703"/>
      <c r="Y137" s="703"/>
      <c r="Z137" s="703"/>
    </row>
    <row r="138">
      <c r="A138" s="703"/>
      <c r="B138" s="703"/>
      <c r="C138" s="703"/>
      <c r="D138" s="703"/>
      <c r="E138" s="703"/>
      <c r="F138" s="703"/>
      <c r="G138" s="703"/>
      <c r="H138" s="703"/>
      <c r="I138" s="703"/>
      <c r="J138" s="703"/>
      <c r="K138" s="703"/>
      <c r="L138" s="703"/>
      <c r="M138" s="703"/>
      <c r="N138" s="703"/>
      <c r="O138" s="703"/>
      <c r="P138" s="703"/>
      <c r="Q138" s="703"/>
      <c r="R138" s="703"/>
      <c r="S138" s="703"/>
      <c r="T138" s="703"/>
      <c r="U138" s="703"/>
      <c r="V138" s="703"/>
      <c r="W138" s="703"/>
      <c r="X138" s="703"/>
      <c r="Y138" s="703"/>
      <c r="Z138" s="703"/>
    </row>
    <row r="139">
      <c r="A139" s="703"/>
      <c r="B139" s="703"/>
      <c r="C139" s="703"/>
      <c r="D139" s="703"/>
      <c r="E139" s="703"/>
      <c r="F139" s="703"/>
      <c r="G139" s="703"/>
      <c r="H139" s="703"/>
      <c r="I139" s="703"/>
      <c r="J139" s="703"/>
      <c r="K139" s="703"/>
      <c r="L139" s="703"/>
      <c r="M139" s="703"/>
      <c r="N139" s="703"/>
      <c r="O139" s="703"/>
      <c r="P139" s="703"/>
      <c r="Q139" s="703"/>
      <c r="R139" s="703"/>
      <c r="S139" s="703"/>
      <c r="T139" s="703"/>
      <c r="U139" s="703"/>
      <c r="V139" s="703"/>
      <c r="W139" s="703"/>
      <c r="X139" s="703"/>
      <c r="Y139" s="703"/>
      <c r="Z139" s="703"/>
    </row>
    <row r="140">
      <c r="A140" s="703"/>
      <c r="B140" s="703"/>
      <c r="C140" s="703"/>
      <c r="D140" s="703"/>
      <c r="E140" s="703"/>
      <c r="F140" s="703"/>
      <c r="G140" s="703"/>
      <c r="H140" s="703"/>
      <c r="I140" s="703"/>
      <c r="J140" s="703"/>
      <c r="K140" s="703"/>
      <c r="L140" s="703"/>
      <c r="M140" s="703"/>
      <c r="N140" s="703"/>
      <c r="O140" s="703"/>
      <c r="P140" s="703"/>
      <c r="Q140" s="703"/>
      <c r="R140" s="703"/>
      <c r="S140" s="703"/>
      <c r="T140" s="703"/>
      <c r="U140" s="703"/>
      <c r="V140" s="703"/>
      <c r="W140" s="703"/>
      <c r="X140" s="703"/>
      <c r="Y140" s="703"/>
      <c r="Z140" s="703"/>
    </row>
    <row r="141">
      <c r="A141" s="703"/>
      <c r="B141" s="703"/>
      <c r="C141" s="703"/>
      <c r="D141" s="703"/>
      <c r="E141" s="703"/>
      <c r="F141" s="703"/>
      <c r="G141" s="703"/>
      <c r="H141" s="703"/>
      <c r="I141" s="703"/>
      <c r="J141" s="703"/>
      <c r="K141" s="703"/>
      <c r="L141" s="703"/>
      <c r="M141" s="703"/>
      <c r="N141" s="703"/>
      <c r="O141" s="703"/>
      <c r="P141" s="703"/>
      <c r="Q141" s="703"/>
      <c r="R141" s="703"/>
      <c r="S141" s="703"/>
      <c r="T141" s="703"/>
      <c r="U141" s="703"/>
      <c r="V141" s="703"/>
      <c r="W141" s="703"/>
      <c r="X141" s="703"/>
      <c r="Y141" s="703"/>
      <c r="Z141" s="703"/>
    </row>
    <row r="142">
      <c r="A142" s="703"/>
      <c r="B142" s="703"/>
      <c r="C142" s="703"/>
      <c r="D142" s="703"/>
      <c r="E142" s="703"/>
      <c r="F142" s="703"/>
      <c r="G142" s="703"/>
      <c r="H142" s="703"/>
      <c r="I142" s="703"/>
      <c r="J142" s="703"/>
      <c r="K142" s="703"/>
      <c r="L142" s="703"/>
      <c r="M142" s="703"/>
      <c r="N142" s="703"/>
      <c r="O142" s="703"/>
      <c r="P142" s="703"/>
      <c r="Q142" s="703"/>
      <c r="R142" s="703"/>
      <c r="S142" s="703"/>
      <c r="T142" s="703"/>
      <c r="U142" s="703"/>
      <c r="V142" s="703"/>
      <c r="W142" s="703"/>
      <c r="X142" s="703"/>
      <c r="Y142" s="703"/>
      <c r="Z142" s="703"/>
    </row>
    <row r="143">
      <c r="A143" s="703"/>
      <c r="B143" s="703"/>
      <c r="C143" s="703"/>
      <c r="D143" s="703"/>
      <c r="E143" s="703"/>
      <c r="F143" s="703"/>
      <c r="G143" s="703"/>
      <c r="H143" s="703"/>
      <c r="I143" s="703"/>
      <c r="J143" s="703"/>
      <c r="K143" s="703"/>
      <c r="L143" s="703"/>
      <c r="M143" s="703"/>
      <c r="N143" s="703"/>
      <c r="O143" s="703"/>
      <c r="P143" s="703"/>
      <c r="Q143" s="703"/>
      <c r="R143" s="703"/>
      <c r="S143" s="703"/>
      <c r="T143" s="703"/>
      <c r="U143" s="703"/>
      <c r="V143" s="703"/>
      <c r="W143" s="703"/>
      <c r="X143" s="703"/>
      <c r="Y143" s="703"/>
      <c r="Z143" s="703"/>
    </row>
    <row r="144">
      <c r="A144" s="703"/>
      <c r="B144" s="703"/>
      <c r="C144" s="703"/>
      <c r="D144" s="703"/>
      <c r="E144" s="703"/>
      <c r="F144" s="703"/>
      <c r="G144" s="703"/>
      <c r="H144" s="703"/>
      <c r="I144" s="703"/>
      <c r="J144" s="703"/>
      <c r="K144" s="703"/>
      <c r="L144" s="703"/>
      <c r="M144" s="703"/>
      <c r="N144" s="703"/>
      <c r="O144" s="703"/>
      <c r="P144" s="703"/>
      <c r="Q144" s="703"/>
      <c r="R144" s="703"/>
      <c r="S144" s="703"/>
      <c r="T144" s="703"/>
      <c r="U144" s="703"/>
      <c r="V144" s="703"/>
      <c r="W144" s="703"/>
      <c r="X144" s="703"/>
      <c r="Y144" s="703"/>
      <c r="Z144" s="703"/>
    </row>
    <row r="145">
      <c r="A145" s="703"/>
      <c r="B145" s="703"/>
      <c r="C145" s="703"/>
      <c r="D145" s="703"/>
      <c r="E145" s="703"/>
      <c r="F145" s="703"/>
      <c r="G145" s="703"/>
      <c r="H145" s="703"/>
      <c r="I145" s="703"/>
      <c r="J145" s="703"/>
      <c r="K145" s="703"/>
      <c r="L145" s="703"/>
      <c r="M145" s="703"/>
      <c r="N145" s="703"/>
      <c r="O145" s="703"/>
      <c r="P145" s="703"/>
      <c r="Q145" s="703"/>
      <c r="R145" s="703"/>
      <c r="S145" s="703"/>
      <c r="T145" s="703"/>
      <c r="U145" s="703"/>
      <c r="V145" s="703"/>
      <c r="W145" s="703"/>
      <c r="X145" s="703"/>
      <c r="Y145" s="703"/>
      <c r="Z145" s="703"/>
    </row>
    <row r="146">
      <c r="A146" s="703"/>
      <c r="B146" s="703"/>
      <c r="C146" s="703"/>
      <c r="D146" s="703"/>
      <c r="E146" s="703"/>
      <c r="F146" s="703"/>
      <c r="G146" s="703"/>
      <c r="H146" s="703"/>
      <c r="I146" s="703"/>
      <c r="J146" s="703"/>
      <c r="K146" s="703"/>
      <c r="L146" s="703"/>
      <c r="M146" s="703"/>
      <c r="N146" s="703"/>
      <c r="O146" s="703"/>
      <c r="P146" s="703"/>
      <c r="Q146" s="703"/>
      <c r="R146" s="703"/>
      <c r="S146" s="703"/>
      <c r="T146" s="703"/>
      <c r="U146" s="703"/>
      <c r="V146" s="703"/>
      <c r="W146" s="703"/>
      <c r="X146" s="703"/>
      <c r="Y146" s="703"/>
      <c r="Z146" s="703"/>
    </row>
    <row r="147">
      <c r="A147" s="703"/>
      <c r="B147" s="703"/>
      <c r="C147" s="703"/>
      <c r="D147" s="703"/>
      <c r="E147" s="703"/>
      <c r="F147" s="703"/>
      <c r="G147" s="703"/>
      <c r="H147" s="703"/>
      <c r="I147" s="703"/>
      <c r="J147" s="703"/>
      <c r="K147" s="703"/>
      <c r="L147" s="703"/>
      <c r="M147" s="703"/>
      <c r="N147" s="703"/>
      <c r="O147" s="703"/>
      <c r="P147" s="703"/>
      <c r="Q147" s="703"/>
      <c r="R147" s="703"/>
      <c r="S147" s="703"/>
      <c r="T147" s="703"/>
      <c r="U147" s="703"/>
      <c r="V147" s="703"/>
      <c r="W147" s="703"/>
      <c r="X147" s="703"/>
      <c r="Y147" s="703"/>
      <c r="Z147" s="703"/>
    </row>
    <row r="148">
      <c r="A148" s="703"/>
      <c r="B148" s="703"/>
      <c r="C148" s="703"/>
      <c r="D148" s="703"/>
      <c r="E148" s="703"/>
      <c r="F148" s="703"/>
      <c r="G148" s="703"/>
      <c r="H148" s="703"/>
      <c r="I148" s="703"/>
      <c r="J148" s="703"/>
      <c r="K148" s="703"/>
      <c r="L148" s="703"/>
      <c r="M148" s="703"/>
      <c r="N148" s="703"/>
      <c r="O148" s="703"/>
      <c r="P148" s="703"/>
      <c r="Q148" s="703"/>
      <c r="R148" s="703"/>
      <c r="S148" s="703"/>
      <c r="T148" s="703"/>
      <c r="U148" s="703"/>
      <c r="V148" s="703"/>
      <c r="W148" s="703"/>
      <c r="X148" s="703"/>
      <c r="Y148" s="703"/>
      <c r="Z148" s="703"/>
    </row>
    <row r="149">
      <c r="A149" s="703"/>
      <c r="B149" s="703"/>
      <c r="C149" s="703"/>
      <c r="D149" s="703"/>
      <c r="E149" s="703"/>
      <c r="F149" s="703"/>
      <c r="G149" s="703"/>
      <c r="H149" s="703"/>
      <c r="I149" s="703"/>
      <c r="J149" s="703"/>
      <c r="K149" s="703"/>
      <c r="L149" s="703"/>
      <c r="M149" s="703"/>
      <c r="N149" s="703"/>
      <c r="O149" s="703"/>
      <c r="P149" s="703"/>
      <c r="Q149" s="703"/>
      <c r="R149" s="703"/>
      <c r="S149" s="703"/>
      <c r="T149" s="703"/>
      <c r="U149" s="703"/>
      <c r="V149" s="703"/>
      <c r="W149" s="703"/>
      <c r="X149" s="703"/>
      <c r="Y149" s="703"/>
      <c r="Z149" s="703"/>
    </row>
    <row r="150">
      <c r="A150" s="703"/>
      <c r="B150" s="703"/>
      <c r="C150" s="703"/>
      <c r="D150" s="703"/>
      <c r="E150" s="703"/>
      <c r="F150" s="703"/>
      <c r="G150" s="703"/>
      <c r="H150" s="703"/>
      <c r="I150" s="703"/>
      <c r="J150" s="703"/>
      <c r="K150" s="703"/>
      <c r="L150" s="703"/>
      <c r="M150" s="703"/>
      <c r="N150" s="703"/>
      <c r="O150" s="703"/>
      <c r="P150" s="703"/>
      <c r="Q150" s="703"/>
      <c r="R150" s="703"/>
      <c r="S150" s="703"/>
      <c r="T150" s="703"/>
      <c r="U150" s="703"/>
      <c r="V150" s="703"/>
      <c r="W150" s="703"/>
      <c r="X150" s="703"/>
      <c r="Y150" s="703"/>
      <c r="Z150" s="703"/>
    </row>
    <row r="151">
      <c r="A151" s="703"/>
      <c r="B151" s="703"/>
      <c r="C151" s="703"/>
      <c r="D151" s="703"/>
      <c r="E151" s="703"/>
      <c r="F151" s="703"/>
      <c r="G151" s="703"/>
      <c r="H151" s="703"/>
      <c r="I151" s="703"/>
      <c r="J151" s="703"/>
      <c r="K151" s="703"/>
      <c r="L151" s="703"/>
      <c r="M151" s="703"/>
      <c r="N151" s="703"/>
      <c r="O151" s="703"/>
      <c r="P151" s="703"/>
      <c r="Q151" s="703"/>
      <c r="R151" s="703"/>
      <c r="S151" s="703"/>
      <c r="T151" s="703"/>
      <c r="U151" s="703"/>
      <c r="V151" s="703"/>
      <c r="W151" s="703"/>
      <c r="X151" s="703"/>
      <c r="Y151" s="703"/>
      <c r="Z151" s="703"/>
    </row>
    <row r="152">
      <c r="A152" s="703"/>
      <c r="B152" s="703"/>
      <c r="C152" s="703"/>
      <c r="D152" s="703"/>
      <c r="E152" s="703"/>
      <c r="F152" s="703"/>
      <c r="G152" s="703"/>
      <c r="H152" s="703"/>
      <c r="I152" s="703"/>
      <c r="J152" s="703"/>
      <c r="K152" s="703"/>
      <c r="L152" s="703"/>
      <c r="M152" s="703"/>
      <c r="N152" s="703"/>
      <c r="O152" s="703"/>
      <c r="P152" s="703"/>
      <c r="Q152" s="703"/>
      <c r="R152" s="703"/>
      <c r="S152" s="703"/>
      <c r="T152" s="703"/>
      <c r="U152" s="703"/>
      <c r="V152" s="703"/>
      <c r="W152" s="703"/>
      <c r="X152" s="703"/>
      <c r="Y152" s="703"/>
      <c r="Z152" s="703"/>
    </row>
    <row r="153">
      <c r="A153" s="703"/>
      <c r="B153" s="703"/>
      <c r="C153" s="703"/>
      <c r="D153" s="703"/>
      <c r="E153" s="703"/>
      <c r="F153" s="703"/>
      <c r="G153" s="703"/>
      <c r="H153" s="703"/>
      <c r="I153" s="703"/>
      <c r="J153" s="703"/>
      <c r="K153" s="703"/>
      <c r="L153" s="703"/>
      <c r="M153" s="703"/>
      <c r="N153" s="703"/>
      <c r="O153" s="703"/>
      <c r="P153" s="703"/>
      <c r="Q153" s="703"/>
      <c r="R153" s="703"/>
      <c r="S153" s="703"/>
      <c r="T153" s="703"/>
      <c r="U153" s="703"/>
      <c r="V153" s="703"/>
      <c r="W153" s="703"/>
      <c r="X153" s="703"/>
      <c r="Y153" s="703"/>
      <c r="Z153" s="703"/>
    </row>
    <row r="154">
      <c r="A154" s="703"/>
      <c r="B154" s="703"/>
      <c r="C154" s="703"/>
      <c r="D154" s="703"/>
      <c r="E154" s="703"/>
      <c r="F154" s="703"/>
      <c r="G154" s="703"/>
      <c r="H154" s="703"/>
      <c r="I154" s="703"/>
      <c r="J154" s="703"/>
      <c r="K154" s="703"/>
      <c r="L154" s="703"/>
      <c r="M154" s="703"/>
      <c r="N154" s="703"/>
      <c r="O154" s="703"/>
      <c r="P154" s="703"/>
      <c r="Q154" s="703"/>
      <c r="R154" s="703"/>
      <c r="S154" s="703"/>
      <c r="T154" s="703"/>
      <c r="U154" s="703"/>
      <c r="V154" s="703"/>
      <c r="W154" s="703"/>
      <c r="X154" s="703"/>
      <c r="Y154" s="703"/>
      <c r="Z154" s="703"/>
    </row>
    <row r="155">
      <c r="A155" s="703"/>
      <c r="B155" s="703"/>
      <c r="C155" s="703"/>
      <c r="D155" s="703"/>
      <c r="E155" s="703"/>
      <c r="F155" s="703"/>
      <c r="G155" s="703"/>
      <c r="H155" s="703"/>
      <c r="I155" s="703"/>
      <c r="J155" s="703"/>
      <c r="K155" s="703"/>
      <c r="L155" s="703"/>
      <c r="M155" s="703"/>
      <c r="N155" s="703"/>
      <c r="O155" s="703"/>
      <c r="P155" s="703"/>
      <c r="Q155" s="703"/>
      <c r="R155" s="703"/>
      <c r="S155" s="703"/>
      <c r="T155" s="703"/>
      <c r="U155" s="703"/>
      <c r="V155" s="703"/>
      <c r="W155" s="703"/>
      <c r="X155" s="703"/>
      <c r="Y155" s="703"/>
      <c r="Z155" s="703"/>
    </row>
    <row r="156">
      <c r="A156" s="703"/>
      <c r="B156" s="703"/>
      <c r="C156" s="703"/>
      <c r="D156" s="703"/>
      <c r="E156" s="703"/>
      <c r="F156" s="703"/>
      <c r="G156" s="703"/>
      <c r="H156" s="703"/>
      <c r="I156" s="703"/>
      <c r="J156" s="703"/>
      <c r="K156" s="703"/>
      <c r="L156" s="703"/>
      <c r="M156" s="703"/>
      <c r="N156" s="703"/>
      <c r="O156" s="703"/>
      <c r="P156" s="703"/>
      <c r="Q156" s="703"/>
      <c r="R156" s="703"/>
      <c r="S156" s="703"/>
      <c r="T156" s="703"/>
      <c r="U156" s="703"/>
      <c r="V156" s="703"/>
      <c r="W156" s="703"/>
      <c r="X156" s="703"/>
      <c r="Y156" s="703"/>
      <c r="Z156" s="703"/>
    </row>
    <row r="157">
      <c r="A157" s="703"/>
      <c r="B157" s="703"/>
      <c r="C157" s="703"/>
      <c r="D157" s="703"/>
      <c r="E157" s="703"/>
      <c r="F157" s="703"/>
      <c r="G157" s="703"/>
      <c r="H157" s="703"/>
      <c r="I157" s="703"/>
      <c r="J157" s="703"/>
      <c r="K157" s="703"/>
      <c r="L157" s="703"/>
      <c r="M157" s="703"/>
      <c r="N157" s="703"/>
      <c r="O157" s="703"/>
      <c r="P157" s="703"/>
      <c r="Q157" s="703"/>
      <c r="R157" s="703"/>
      <c r="S157" s="703"/>
      <c r="T157" s="703"/>
      <c r="U157" s="703"/>
      <c r="V157" s="703"/>
      <c r="W157" s="703"/>
      <c r="X157" s="703"/>
      <c r="Y157" s="703"/>
      <c r="Z157" s="703"/>
    </row>
    <row r="158">
      <c r="A158" s="703"/>
      <c r="B158" s="703"/>
      <c r="C158" s="703"/>
      <c r="D158" s="703"/>
      <c r="E158" s="703"/>
      <c r="F158" s="703"/>
      <c r="G158" s="703"/>
      <c r="H158" s="703"/>
      <c r="I158" s="703"/>
      <c r="J158" s="703"/>
      <c r="K158" s="703"/>
      <c r="L158" s="703"/>
      <c r="M158" s="703"/>
      <c r="N158" s="703"/>
      <c r="O158" s="703"/>
      <c r="P158" s="703"/>
      <c r="Q158" s="703"/>
      <c r="R158" s="703"/>
      <c r="S158" s="703"/>
      <c r="T158" s="703"/>
      <c r="U158" s="703"/>
      <c r="V158" s="703"/>
      <c r="W158" s="703"/>
      <c r="X158" s="703"/>
      <c r="Y158" s="703"/>
      <c r="Z158" s="703"/>
    </row>
    <row r="159">
      <c r="A159" s="703"/>
      <c r="B159" s="703"/>
      <c r="C159" s="703"/>
      <c r="D159" s="703"/>
      <c r="E159" s="703"/>
      <c r="F159" s="703"/>
      <c r="G159" s="703"/>
      <c r="H159" s="703"/>
      <c r="I159" s="703"/>
      <c r="J159" s="703"/>
      <c r="K159" s="703"/>
      <c r="L159" s="703"/>
      <c r="M159" s="703"/>
      <c r="N159" s="703"/>
      <c r="O159" s="703"/>
      <c r="P159" s="703"/>
      <c r="Q159" s="703"/>
      <c r="R159" s="703"/>
      <c r="S159" s="703"/>
      <c r="T159" s="703"/>
      <c r="U159" s="703"/>
      <c r="V159" s="703"/>
      <c r="W159" s="703"/>
      <c r="X159" s="703"/>
      <c r="Y159" s="703"/>
      <c r="Z159" s="703"/>
    </row>
    <row r="160">
      <c r="A160" s="703"/>
      <c r="B160" s="703"/>
      <c r="C160" s="703"/>
      <c r="D160" s="703"/>
      <c r="E160" s="703"/>
      <c r="F160" s="703"/>
      <c r="G160" s="703"/>
      <c r="H160" s="703"/>
      <c r="I160" s="703"/>
      <c r="J160" s="703"/>
      <c r="K160" s="703"/>
      <c r="L160" s="703"/>
      <c r="M160" s="703"/>
      <c r="N160" s="703"/>
      <c r="O160" s="703"/>
      <c r="P160" s="703"/>
      <c r="Q160" s="703"/>
      <c r="R160" s="703"/>
      <c r="S160" s="703"/>
      <c r="T160" s="703"/>
      <c r="U160" s="703"/>
      <c r="V160" s="703"/>
      <c r="W160" s="703"/>
      <c r="X160" s="703"/>
      <c r="Y160" s="703"/>
      <c r="Z160" s="703"/>
    </row>
    <row r="161">
      <c r="A161" s="703"/>
      <c r="B161" s="703"/>
      <c r="C161" s="703"/>
      <c r="D161" s="703"/>
      <c r="E161" s="703"/>
      <c r="F161" s="703"/>
      <c r="G161" s="703"/>
      <c r="H161" s="703"/>
      <c r="I161" s="703"/>
      <c r="J161" s="703"/>
      <c r="K161" s="703"/>
      <c r="L161" s="703"/>
      <c r="M161" s="703"/>
      <c r="N161" s="703"/>
      <c r="O161" s="703"/>
      <c r="P161" s="703"/>
      <c r="Q161" s="703"/>
      <c r="R161" s="703"/>
      <c r="S161" s="703"/>
      <c r="T161" s="703"/>
      <c r="U161" s="703"/>
      <c r="V161" s="703"/>
      <c r="W161" s="703"/>
      <c r="X161" s="703"/>
      <c r="Y161" s="703"/>
      <c r="Z161" s="703"/>
    </row>
    <row r="162">
      <c r="A162" s="703"/>
      <c r="B162" s="703"/>
      <c r="C162" s="703"/>
      <c r="D162" s="703"/>
      <c r="E162" s="703"/>
      <c r="F162" s="703"/>
      <c r="G162" s="703"/>
      <c r="H162" s="703"/>
      <c r="I162" s="703"/>
      <c r="J162" s="703"/>
      <c r="K162" s="703"/>
      <c r="L162" s="703"/>
      <c r="M162" s="703"/>
      <c r="N162" s="703"/>
      <c r="O162" s="703"/>
      <c r="P162" s="703"/>
      <c r="Q162" s="703"/>
      <c r="R162" s="703"/>
      <c r="S162" s="703"/>
      <c r="T162" s="703"/>
      <c r="U162" s="703"/>
      <c r="V162" s="703"/>
      <c r="W162" s="703"/>
      <c r="X162" s="703"/>
      <c r="Y162" s="703"/>
      <c r="Z162" s="703"/>
    </row>
    <row r="163">
      <c r="A163" s="703"/>
      <c r="B163" s="703"/>
      <c r="C163" s="703"/>
      <c r="D163" s="703"/>
      <c r="E163" s="703"/>
      <c r="F163" s="703"/>
      <c r="G163" s="703"/>
      <c r="H163" s="703"/>
      <c r="I163" s="703"/>
      <c r="J163" s="703"/>
      <c r="K163" s="703"/>
      <c r="L163" s="703"/>
      <c r="M163" s="703"/>
      <c r="N163" s="703"/>
      <c r="O163" s="703"/>
      <c r="P163" s="703"/>
      <c r="Q163" s="703"/>
      <c r="R163" s="703"/>
      <c r="S163" s="703"/>
      <c r="T163" s="703"/>
      <c r="U163" s="703"/>
      <c r="V163" s="703"/>
      <c r="W163" s="703"/>
      <c r="X163" s="703"/>
      <c r="Y163" s="703"/>
      <c r="Z163" s="703"/>
    </row>
    <row r="164">
      <c r="A164" s="703"/>
      <c r="B164" s="703"/>
      <c r="C164" s="703"/>
      <c r="D164" s="703"/>
      <c r="E164" s="703"/>
      <c r="F164" s="703"/>
      <c r="G164" s="703"/>
      <c r="H164" s="703"/>
      <c r="I164" s="703"/>
      <c r="J164" s="703"/>
      <c r="K164" s="703"/>
      <c r="L164" s="703"/>
      <c r="M164" s="703"/>
      <c r="N164" s="703"/>
      <c r="O164" s="703"/>
      <c r="P164" s="703"/>
      <c r="Q164" s="703"/>
      <c r="R164" s="703"/>
      <c r="S164" s="703"/>
      <c r="T164" s="703"/>
      <c r="U164" s="703"/>
      <c r="V164" s="703"/>
      <c r="W164" s="703"/>
      <c r="X164" s="703"/>
      <c r="Y164" s="703"/>
      <c r="Z164" s="703"/>
    </row>
    <row r="165">
      <c r="A165" s="703"/>
      <c r="B165" s="703"/>
      <c r="C165" s="703"/>
      <c r="D165" s="703"/>
      <c r="E165" s="703"/>
      <c r="F165" s="703"/>
      <c r="G165" s="703"/>
      <c r="H165" s="703"/>
      <c r="I165" s="703"/>
      <c r="J165" s="703"/>
      <c r="K165" s="703"/>
      <c r="L165" s="703"/>
      <c r="M165" s="703"/>
      <c r="N165" s="703"/>
      <c r="O165" s="703"/>
      <c r="P165" s="703"/>
      <c r="Q165" s="703"/>
      <c r="R165" s="703"/>
      <c r="S165" s="703"/>
      <c r="T165" s="703"/>
      <c r="U165" s="703"/>
      <c r="V165" s="703"/>
      <c r="W165" s="703"/>
      <c r="X165" s="703"/>
      <c r="Y165" s="703"/>
      <c r="Z165" s="703"/>
    </row>
    <row r="166">
      <c r="A166" s="703"/>
      <c r="B166" s="703"/>
      <c r="C166" s="703"/>
      <c r="D166" s="703"/>
      <c r="E166" s="703"/>
      <c r="F166" s="703"/>
      <c r="G166" s="703"/>
      <c r="H166" s="703"/>
      <c r="I166" s="703"/>
      <c r="J166" s="703"/>
      <c r="K166" s="703"/>
      <c r="L166" s="703"/>
      <c r="M166" s="703"/>
      <c r="N166" s="703"/>
      <c r="O166" s="703"/>
      <c r="P166" s="703"/>
      <c r="Q166" s="703"/>
      <c r="R166" s="703"/>
      <c r="S166" s="703"/>
      <c r="T166" s="703"/>
      <c r="U166" s="703"/>
      <c r="V166" s="703"/>
      <c r="W166" s="703"/>
      <c r="X166" s="703"/>
      <c r="Y166" s="703"/>
      <c r="Z166" s="703"/>
    </row>
    <row r="167">
      <c r="A167" s="703"/>
      <c r="B167" s="703"/>
      <c r="C167" s="703"/>
      <c r="D167" s="703"/>
      <c r="E167" s="703"/>
      <c r="F167" s="703"/>
      <c r="G167" s="703"/>
      <c r="H167" s="703"/>
      <c r="I167" s="703"/>
      <c r="J167" s="703"/>
      <c r="K167" s="703"/>
      <c r="L167" s="703"/>
      <c r="M167" s="703"/>
      <c r="N167" s="703"/>
      <c r="O167" s="703"/>
      <c r="P167" s="703"/>
      <c r="Q167" s="703"/>
      <c r="R167" s="703"/>
      <c r="S167" s="703"/>
      <c r="T167" s="703"/>
      <c r="U167" s="703"/>
      <c r="V167" s="703"/>
      <c r="W167" s="703"/>
      <c r="X167" s="703"/>
      <c r="Y167" s="703"/>
      <c r="Z167" s="703"/>
    </row>
    <row r="168">
      <c r="A168" s="703"/>
      <c r="B168" s="703"/>
      <c r="C168" s="703"/>
      <c r="D168" s="703"/>
      <c r="E168" s="703"/>
      <c r="F168" s="703"/>
      <c r="G168" s="703"/>
      <c r="H168" s="703"/>
      <c r="I168" s="703"/>
      <c r="J168" s="703"/>
      <c r="K168" s="703"/>
      <c r="L168" s="703"/>
      <c r="M168" s="703"/>
      <c r="N168" s="703"/>
      <c r="O168" s="703"/>
      <c r="P168" s="703"/>
      <c r="Q168" s="703"/>
      <c r="R168" s="703"/>
      <c r="S168" s="703"/>
      <c r="T168" s="703"/>
      <c r="U168" s="703"/>
      <c r="V168" s="703"/>
      <c r="W168" s="703"/>
      <c r="X168" s="703"/>
      <c r="Y168" s="703"/>
      <c r="Z168" s="703"/>
    </row>
    <row r="169">
      <c r="A169" s="703"/>
      <c r="B169" s="703"/>
      <c r="C169" s="703"/>
      <c r="D169" s="703"/>
      <c r="E169" s="703"/>
      <c r="F169" s="703"/>
      <c r="G169" s="703"/>
      <c r="H169" s="703"/>
      <c r="I169" s="703"/>
      <c r="J169" s="703"/>
      <c r="K169" s="703"/>
      <c r="L169" s="703"/>
      <c r="M169" s="703"/>
      <c r="N169" s="703"/>
      <c r="O169" s="703"/>
      <c r="P169" s="703"/>
      <c r="Q169" s="703"/>
      <c r="R169" s="703"/>
      <c r="S169" s="703"/>
      <c r="T169" s="703"/>
      <c r="U169" s="703"/>
      <c r="V169" s="703"/>
      <c r="W169" s="703"/>
      <c r="X169" s="703"/>
      <c r="Y169" s="703"/>
      <c r="Z169" s="703"/>
    </row>
    <row r="170">
      <c r="A170" s="703"/>
      <c r="B170" s="703"/>
      <c r="C170" s="703"/>
      <c r="D170" s="703"/>
      <c r="E170" s="703"/>
      <c r="F170" s="703"/>
      <c r="G170" s="703"/>
      <c r="H170" s="703"/>
      <c r="I170" s="703"/>
      <c r="J170" s="703"/>
      <c r="K170" s="703"/>
      <c r="L170" s="703"/>
      <c r="M170" s="703"/>
      <c r="N170" s="703"/>
      <c r="O170" s="703"/>
      <c r="P170" s="703"/>
      <c r="Q170" s="703"/>
      <c r="R170" s="703"/>
      <c r="S170" s="703"/>
      <c r="T170" s="703"/>
      <c r="U170" s="703"/>
      <c r="V170" s="703"/>
      <c r="W170" s="703"/>
      <c r="X170" s="703"/>
      <c r="Y170" s="703"/>
      <c r="Z170" s="703"/>
    </row>
    <row r="171">
      <c r="A171" s="703"/>
      <c r="B171" s="703"/>
      <c r="C171" s="703"/>
      <c r="D171" s="703"/>
      <c r="E171" s="703"/>
      <c r="F171" s="703"/>
      <c r="G171" s="703"/>
      <c r="H171" s="703"/>
      <c r="I171" s="703"/>
      <c r="J171" s="703"/>
      <c r="K171" s="703"/>
      <c r="L171" s="703"/>
      <c r="M171" s="703"/>
      <c r="N171" s="703"/>
      <c r="O171" s="703"/>
      <c r="P171" s="703"/>
      <c r="Q171" s="703"/>
      <c r="R171" s="703"/>
      <c r="S171" s="703"/>
      <c r="T171" s="703"/>
      <c r="U171" s="703"/>
      <c r="V171" s="703"/>
      <c r="W171" s="703"/>
      <c r="X171" s="703"/>
      <c r="Y171" s="703"/>
      <c r="Z171" s="703"/>
    </row>
    <row r="172">
      <c r="A172" s="703"/>
      <c r="B172" s="703"/>
      <c r="C172" s="703"/>
      <c r="D172" s="703"/>
      <c r="E172" s="703"/>
      <c r="F172" s="703"/>
      <c r="G172" s="703"/>
      <c r="H172" s="703"/>
      <c r="I172" s="703"/>
      <c r="J172" s="703"/>
      <c r="K172" s="703"/>
      <c r="L172" s="703"/>
      <c r="M172" s="703"/>
      <c r="N172" s="703"/>
      <c r="O172" s="703"/>
      <c r="P172" s="703"/>
      <c r="Q172" s="703"/>
      <c r="R172" s="703"/>
      <c r="S172" s="703"/>
      <c r="T172" s="703"/>
      <c r="U172" s="703"/>
      <c r="V172" s="703"/>
      <c r="W172" s="703"/>
      <c r="X172" s="703"/>
      <c r="Y172" s="703"/>
      <c r="Z172" s="703"/>
    </row>
    <row r="173">
      <c r="A173" s="703"/>
      <c r="B173" s="703"/>
      <c r="C173" s="703"/>
      <c r="D173" s="703"/>
      <c r="E173" s="703"/>
      <c r="F173" s="703"/>
      <c r="G173" s="703"/>
      <c r="H173" s="703"/>
      <c r="I173" s="703"/>
      <c r="J173" s="703"/>
      <c r="K173" s="703"/>
      <c r="L173" s="703"/>
      <c r="M173" s="703"/>
      <c r="N173" s="703"/>
      <c r="O173" s="703"/>
      <c r="P173" s="703"/>
      <c r="Q173" s="703"/>
      <c r="R173" s="703"/>
      <c r="S173" s="703"/>
      <c r="T173" s="703"/>
      <c r="U173" s="703"/>
      <c r="V173" s="703"/>
      <c r="W173" s="703"/>
      <c r="X173" s="703"/>
      <c r="Y173" s="703"/>
      <c r="Z173" s="703"/>
    </row>
    <row r="174">
      <c r="A174" s="703"/>
      <c r="B174" s="703"/>
      <c r="C174" s="703"/>
      <c r="D174" s="703"/>
      <c r="E174" s="703"/>
      <c r="F174" s="703"/>
      <c r="G174" s="703"/>
      <c r="H174" s="703"/>
      <c r="I174" s="703"/>
      <c r="J174" s="703"/>
      <c r="K174" s="703"/>
      <c r="L174" s="703"/>
      <c r="M174" s="703"/>
      <c r="N174" s="703"/>
      <c r="O174" s="703"/>
      <c r="P174" s="703"/>
      <c r="Q174" s="703"/>
      <c r="R174" s="703"/>
      <c r="S174" s="703"/>
      <c r="T174" s="703"/>
      <c r="U174" s="703"/>
      <c r="V174" s="703"/>
      <c r="W174" s="703"/>
      <c r="X174" s="703"/>
      <c r="Y174" s="703"/>
      <c r="Z174" s="703"/>
    </row>
    <row r="175">
      <c r="A175" s="703"/>
      <c r="B175" s="703"/>
      <c r="C175" s="703"/>
      <c r="D175" s="703"/>
      <c r="E175" s="703"/>
      <c r="F175" s="703"/>
      <c r="G175" s="703"/>
      <c r="H175" s="703"/>
      <c r="I175" s="703"/>
      <c r="J175" s="703"/>
      <c r="K175" s="703"/>
      <c r="L175" s="703"/>
      <c r="M175" s="703"/>
      <c r="N175" s="703"/>
      <c r="O175" s="703"/>
      <c r="P175" s="703"/>
      <c r="Q175" s="703"/>
      <c r="R175" s="703"/>
      <c r="S175" s="703"/>
      <c r="T175" s="703"/>
      <c r="U175" s="703"/>
      <c r="V175" s="703"/>
      <c r="W175" s="703"/>
      <c r="X175" s="703"/>
      <c r="Y175" s="703"/>
      <c r="Z175" s="703"/>
    </row>
    <row r="176">
      <c r="A176" s="703"/>
      <c r="B176" s="703"/>
      <c r="C176" s="703"/>
      <c r="D176" s="703"/>
      <c r="E176" s="703"/>
      <c r="F176" s="703"/>
      <c r="G176" s="703"/>
      <c r="H176" s="703"/>
      <c r="I176" s="703"/>
      <c r="J176" s="703"/>
      <c r="K176" s="703"/>
      <c r="L176" s="703"/>
      <c r="M176" s="703"/>
      <c r="N176" s="703"/>
      <c r="O176" s="703"/>
      <c r="P176" s="703"/>
      <c r="Q176" s="703"/>
      <c r="R176" s="703"/>
      <c r="S176" s="703"/>
      <c r="T176" s="703"/>
      <c r="U176" s="703"/>
      <c r="V176" s="703"/>
      <c r="W176" s="703"/>
      <c r="X176" s="703"/>
      <c r="Y176" s="703"/>
      <c r="Z176" s="703"/>
    </row>
    <row r="177">
      <c r="A177" s="703"/>
      <c r="B177" s="703"/>
      <c r="C177" s="703"/>
      <c r="D177" s="703"/>
      <c r="E177" s="703"/>
      <c r="F177" s="703"/>
      <c r="G177" s="703"/>
      <c r="H177" s="703"/>
      <c r="I177" s="703"/>
      <c r="J177" s="703"/>
      <c r="K177" s="703"/>
      <c r="L177" s="703"/>
      <c r="M177" s="703"/>
      <c r="N177" s="703"/>
      <c r="O177" s="703"/>
      <c r="P177" s="703"/>
      <c r="Q177" s="703"/>
      <c r="R177" s="703"/>
      <c r="S177" s="703"/>
      <c r="T177" s="703"/>
      <c r="U177" s="703"/>
      <c r="V177" s="703"/>
      <c r="W177" s="703"/>
      <c r="X177" s="703"/>
      <c r="Y177" s="703"/>
      <c r="Z177" s="703"/>
    </row>
    <row r="178">
      <c r="A178" s="703"/>
      <c r="B178" s="703"/>
      <c r="C178" s="703"/>
      <c r="D178" s="703"/>
      <c r="E178" s="703"/>
      <c r="F178" s="703"/>
      <c r="G178" s="703"/>
      <c r="H178" s="703"/>
      <c r="I178" s="703"/>
      <c r="J178" s="703"/>
      <c r="K178" s="703"/>
      <c r="L178" s="703"/>
      <c r="M178" s="703"/>
      <c r="N178" s="703"/>
      <c r="O178" s="703"/>
      <c r="P178" s="703"/>
      <c r="Q178" s="703"/>
      <c r="R178" s="703"/>
      <c r="S178" s="703"/>
      <c r="T178" s="703"/>
      <c r="U178" s="703"/>
      <c r="V178" s="703"/>
      <c r="W178" s="703"/>
      <c r="X178" s="703"/>
      <c r="Y178" s="703"/>
      <c r="Z178" s="703"/>
    </row>
    <row r="179">
      <c r="A179" s="703"/>
      <c r="B179" s="703"/>
      <c r="C179" s="703"/>
      <c r="D179" s="703"/>
      <c r="E179" s="703"/>
      <c r="F179" s="703"/>
      <c r="G179" s="703"/>
      <c r="H179" s="703"/>
      <c r="I179" s="703"/>
      <c r="J179" s="703"/>
      <c r="K179" s="703"/>
      <c r="L179" s="703"/>
      <c r="M179" s="703"/>
      <c r="N179" s="703"/>
      <c r="O179" s="703"/>
      <c r="P179" s="703"/>
      <c r="Q179" s="703"/>
      <c r="R179" s="703"/>
      <c r="S179" s="703"/>
      <c r="T179" s="703"/>
      <c r="U179" s="703"/>
      <c r="V179" s="703"/>
      <c r="W179" s="703"/>
      <c r="X179" s="703"/>
      <c r="Y179" s="703"/>
      <c r="Z179" s="703"/>
    </row>
    <row r="180">
      <c r="A180" s="703"/>
      <c r="B180" s="703"/>
      <c r="C180" s="703"/>
      <c r="D180" s="703"/>
      <c r="E180" s="703"/>
      <c r="F180" s="703"/>
      <c r="G180" s="703"/>
      <c r="H180" s="703"/>
      <c r="I180" s="703"/>
      <c r="J180" s="703"/>
      <c r="K180" s="703"/>
      <c r="L180" s="703"/>
      <c r="M180" s="703"/>
      <c r="N180" s="703"/>
      <c r="O180" s="703"/>
      <c r="P180" s="703"/>
      <c r="Q180" s="703"/>
      <c r="R180" s="703"/>
      <c r="S180" s="703"/>
      <c r="T180" s="703"/>
      <c r="U180" s="703"/>
      <c r="V180" s="703"/>
      <c r="W180" s="703"/>
      <c r="X180" s="703"/>
      <c r="Y180" s="703"/>
      <c r="Z180" s="703"/>
    </row>
    <row r="181">
      <c r="A181" s="703"/>
      <c r="B181" s="703"/>
      <c r="C181" s="703"/>
      <c r="D181" s="703"/>
      <c r="E181" s="703"/>
      <c r="F181" s="703"/>
      <c r="G181" s="703"/>
      <c r="H181" s="703"/>
      <c r="I181" s="703"/>
      <c r="J181" s="703"/>
      <c r="K181" s="703"/>
      <c r="L181" s="703"/>
      <c r="M181" s="703"/>
      <c r="N181" s="703"/>
      <c r="O181" s="703"/>
      <c r="P181" s="703"/>
      <c r="Q181" s="703"/>
      <c r="R181" s="703"/>
      <c r="S181" s="703"/>
      <c r="T181" s="703"/>
      <c r="U181" s="703"/>
      <c r="V181" s="703"/>
      <c r="W181" s="703"/>
      <c r="X181" s="703"/>
      <c r="Y181" s="703"/>
      <c r="Z181" s="703"/>
    </row>
    <row r="182">
      <c r="A182" s="703"/>
      <c r="B182" s="703"/>
      <c r="C182" s="703"/>
      <c r="D182" s="703"/>
      <c r="E182" s="703"/>
      <c r="F182" s="703"/>
      <c r="G182" s="703"/>
      <c r="H182" s="703"/>
      <c r="I182" s="703"/>
      <c r="J182" s="703"/>
      <c r="K182" s="703"/>
      <c r="L182" s="703"/>
      <c r="M182" s="703"/>
      <c r="N182" s="703"/>
      <c r="O182" s="703"/>
      <c r="P182" s="703"/>
      <c r="Q182" s="703"/>
      <c r="R182" s="703"/>
      <c r="S182" s="703"/>
      <c r="T182" s="703"/>
      <c r="U182" s="703"/>
      <c r="V182" s="703"/>
      <c r="W182" s="703"/>
      <c r="X182" s="703"/>
      <c r="Y182" s="703"/>
      <c r="Z182" s="703"/>
    </row>
    <row r="183">
      <c r="A183" s="703"/>
      <c r="B183" s="703"/>
      <c r="C183" s="703"/>
      <c r="D183" s="703"/>
      <c r="E183" s="703"/>
      <c r="F183" s="703"/>
      <c r="G183" s="703"/>
      <c r="H183" s="703"/>
      <c r="I183" s="703"/>
      <c r="J183" s="703"/>
      <c r="K183" s="703"/>
      <c r="L183" s="703"/>
      <c r="M183" s="703"/>
      <c r="N183" s="703"/>
      <c r="O183" s="703"/>
      <c r="P183" s="703"/>
      <c r="Q183" s="703"/>
      <c r="R183" s="703"/>
      <c r="S183" s="703"/>
      <c r="T183" s="703"/>
      <c r="U183" s="703"/>
      <c r="V183" s="703"/>
      <c r="W183" s="703"/>
      <c r="X183" s="703"/>
      <c r="Y183" s="703"/>
      <c r="Z183" s="703"/>
    </row>
    <row r="184">
      <c r="A184" s="703"/>
      <c r="B184" s="703"/>
      <c r="C184" s="703"/>
      <c r="D184" s="703"/>
      <c r="E184" s="703"/>
      <c r="F184" s="703"/>
      <c r="G184" s="703"/>
      <c r="H184" s="703"/>
      <c r="I184" s="703"/>
      <c r="J184" s="703"/>
      <c r="K184" s="703"/>
      <c r="L184" s="703"/>
      <c r="M184" s="703"/>
      <c r="N184" s="703"/>
      <c r="O184" s="703"/>
      <c r="P184" s="703"/>
      <c r="Q184" s="703"/>
      <c r="R184" s="703"/>
      <c r="S184" s="703"/>
      <c r="T184" s="703"/>
      <c r="U184" s="703"/>
      <c r="V184" s="703"/>
      <c r="W184" s="703"/>
      <c r="X184" s="703"/>
      <c r="Y184" s="703"/>
      <c r="Z184" s="703"/>
    </row>
    <row r="185">
      <c r="A185" s="703"/>
      <c r="B185" s="703"/>
      <c r="C185" s="703"/>
      <c r="D185" s="703"/>
      <c r="E185" s="703"/>
      <c r="F185" s="703"/>
      <c r="G185" s="703"/>
      <c r="H185" s="703"/>
      <c r="I185" s="703"/>
      <c r="J185" s="703"/>
      <c r="K185" s="703"/>
      <c r="L185" s="703"/>
      <c r="M185" s="703"/>
      <c r="N185" s="703"/>
      <c r="O185" s="703"/>
      <c r="P185" s="703"/>
      <c r="Q185" s="703"/>
      <c r="R185" s="703"/>
      <c r="S185" s="703"/>
      <c r="T185" s="703"/>
      <c r="U185" s="703"/>
      <c r="V185" s="703"/>
      <c r="W185" s="703"/>
      <c r="X185" s="703"/>
      <c r="Y185" s="703"/>
      <c r="Z185" s="703"/>
    </row>
    <row r="186">
      <c r="A186" s="703"/>
      <c r="B186" s="703"/>
      <c r="C186" s="703"/>
      <c r="D186" s="703"/>
      <c r="E186" s="703"/>
      <c r="F186" s="703"/>
      <c r="G186" s="703"/>
      <c r="H186" s="703"/>
      <c r="I186" s="703"/>
      <c r="J186" s="703"/>
      <c r="K186" s="703"/>
      <c r="L186" s="703"/>
      <c r="M186" s="703"/>
      <c r="N186" s="703"/>
      <c r="O186" s="703"/>
      <c r="P186" s="703"/>
      <c r="Q186" s="703"/>
      <c r="R186" s="703"/>
      <c r="S186" s="703"/>
      <c r="T186" s="703"/>
      <c r="U186" s="703"/>
      <c r="V186" s="703"/>
      <c r="W186" s="703"/>
      <c r="X186" s="703"/>
      <c r="Y186" s="703"/>
      <c r="Z186" s="703"/>
    </row>
    <row r="187">
      <c r="A187" s="703"/>
      <c r="B187" s="703"/>
      <c r="C187" s="703"/>
      <c r="D187" s="703"/>
      <c r="E187" s="703"/>
      <c r="F187" s="703"/>
      <c r="G187" s="703"/>
      <c r="H187" s="703"/>
      <c r="I187" s="703"/>
      <c r="J187" s="703"/>
      <c r="K187" s="703"/>
      <c r="L187" s="703"/>
      <c r="M187" s="703"/>
      <c r="N187" s="703"/>
      <c r="O187" s="703"/>
      <c r="P187" s="703"/>
      <c r="Q187" s="703"/>
      <c r="R187" s="703"/>
      <c r="S187" s="703"/>
      <c r="T187" s="703"/>
      <c r="U187" s="703"/>
      <c r="V187" s="703"/>
      <c r="W187" s="703"/>
      <c r="X187" s="703"/>
      <c r="Y187" s="703"/>
      <c r="Z187" s="703"/>
    </row>
    <row r="188">
      <c r="A188" s="703"/>
      <c r="B188" s="703"/>
      <c r="C188" s="703"/>
      <c r="D188" s="703"/>
      <c r="E188" s="703"/>
      <c r="F188" s="703"/>
      <c r="G188" s="703"/>
      <c r="H188" s="703"/>
      <c r="I188" s="703"/>
      <c r="J188" s="703"/>
      <c r="K188" s="703"/>
      <c r="L188" s="703"/>
      <c r="M188" s="703"/>
      <c r="N188" s="703"/>
      <c r="O188" s="703"/>
      <c r="P188" s="703"/>
      <c r="Q188" s="703"/>
      <c r="R188" s="703"/>
      <c r="S188" s="703"/>
      <c r="T188" s="703"/>
      <c r="U188" s="703"/>
      <c r="V188" s="703"/>
      <c r="W188" s="703"/>
      <c r="X188" s="703"/>
      <c r="Y188" s="703"/>
      <c r="Z188" s="703"/>
    </row>
    <row r="189">
      <c r="A189" s="703"/>
      <c r="B189" s="703"/>
      <c r="C189" s="703"/>
      <c r="D189" s="703"/>
      <c r="E189" s="703"/>
      <c r="F189" s="703"/>
      <c r="G189" s="703"/>
      <c r="H189" s="703"/>
      <c r="I189" s="703"/>
      <c r="J189" s="703"/>
      <c r="K189" s="703"/>
      <c r="L189" s="703"/>
      <c r="M189" s="703"/>
      <c r="N189" s="703"/>
      <c r="O189" s="703"/>
      <c r="P189" s="703"/>
      <c r="Q189" s="703"/>
      <c r="R189" s="703"/>
      <c r="S189" s="703"/>
      <c r="T189" s="703"/>
      <c r="U189" s="703"/>
      <c r="V189" s="703"/>
      <c r="W189" s="703"/>
      <c r="X189" s="703"/>
      <c r="Y189" s="703"/>
      <c r="Z189" s="703"/>
    </row>
    <row r="190">
      <c r="A190" s="703"/>
      <c r="B190" s="703"/>
      <c r="C190" s="703"/>
      <c r="D190" s="703"/>
      <c r="E190" s="703"/>
      <c r="F190" s="703"/>
      <c r="G190" s="703"/>
      <c r="H190" s="703"/>
      <c r="I190" s="703"/>
      <c r="J190" s="703"/>
      <c r="K190" s="703"/>
      <c r="L190" s="703"/>
      <c r="M190" s="703"/>
      <c r="N190" s="703"/>
      <c r="O190" s="703"/>
      <c r="P190" s="703"/>
      <c r="Q190" s="703"/>
      <c r="R190" s="703"/>
      <c r="S190" s="703"/>
      <c r="T190" s="703"/>
      <c r="U190" s="703"/>
      <c r="V190" s="703"/>
      <c r="W190" s="703"/>
      <c r="X190" s="703"/>
      <c r="Y190" s="703"/>
      <c r="Z190" s="703"/>
    </row>
    <row r="191">
      <c r="A191" s="703"/>
      <c r="B191" s="703"/>
      <c r="C191" s="703"/>
      <c r="D191" s="703"/>
      <c r="E191" s="703"/>
      <c r="F191" s="703"/>
      <c r="G191" s="703"/>
      <c r="H191" s="703"/>
      <c r="I191" s="703"/>
      <c r="J191" s="703"/>
      <c r="K191" s="703"/>
      <c r="L191" s="703"/>
      <c r="M191" s="703"/>
      <c r="N191" s="703"/>
      <c r="O191" s="703"/>
      <c r="P191" s="703"/>
      <c r="Q191" s="703"/>
      <c r="R191" s="703"/>
      <c r="S191" s="703"/>
      <c r="T191" s="703"/>
      <c r="U191" s="703"/>
      <c r="V191" s="703"/>
      <c r="W191" s="703"/>
      <c r="X191" s="703"/>
      <c r="Y191" s="703"/>
      <c r="Z191" s="703"/>
    </row>
    <row r="192">
      <c r="A192" s="703"/>
      <c r="B192" s="703"/>
      <c r="C192" s="703"/>
      <c r="D192" s="703"/>
      <c r="E192" s="703"/>
      <c r="F192" s="703"/>
      <c r="G192" s="703"/>
      <c r="H192" s="703"/>
      <c r="I192" s="703"/>
      <c r="J192" s="703"/>
      <c r="K192" s="703"/>
      <c r="L192" s="703"/>
      <c r="M192" s="703"/>
      <c r="N192" s="703"/>
      <c r="O192" s="703"/>
      <c r="P192" s="703"/>
      <c r="Q192" s="703"/>
      <c r="R192" s="703"/>
      <c r="S192" s="703"/>
      <c r="T192" s="703"/>
      <c r="U192" s="703"/>
      <c r="V192" s="703"/>
      <c r="W192" s="703"/>
      <c r="X192" s="703"/>
      <c r="Y192" s="703"/>
      <c r="Z192" s="703"/>
    </row>
    <row r="193">
      <c r="A193" s="703"/>
      <c r="B193" s="703"/>
      <c r="C193" s="703"/>
      <c r="D193" s="703"/>
      <c r="E193" s="703"/>
      <c r="F193" s="703"/>
      <c r="G193" s="703"/>
      <c r="H193" s="703"/>
      <c r="I193" s="703"/>
      <c r="J193" s="703"/>
      <c r="K193" s="703"/>
      <c r="L193" s="703"/>
      <c r="M193" s="703"/>
      <c r="N193" s="703"/>
      <c r="O193" s="703"/>
      <c r="P193" s="703"/>
      <c r="Q193" s="703"/>
      <c r="R193" s="703"/>
      <c r="S193" s="703"/>
      <c r="T193" s="703"/>
      <c r="U193" s="703"/>
      <c r="V193" s="703"/>
      <c r="W193" s="703"/>
      <c r="X193" s="703"/>
      <c r="Y193" s="703"/>
      <c r="Z193" s="703"/>
    </row>
    <row r="194">
      <c r="A194" s="703"/>
      <c r="B194" s="703"/>
      <c r="C194" s="703"/>
      <c r="D194" s="703"/>
      <c r="E194" s="703"/>
      <c r="F194" s="703"/>
      <c r="G194" s="703"/>
      <c r="H194" s="703"/>
      <c r="I194" s="703"/>
      <c r="J194" s="703"/>
      <c r="K194" s="703"/>
      <c r="L194" s="703"/>
      <c r="M194" s="703"/>
      <c r="N194" s="703"/>
      <c r="O194" s="703"/>
      <c r="P194" s="703"/>
      <c r="Q194" s="703"/>
      <c r="R194" s="703"/>
      <c r="S194" s="703"/>
      <c r="T194" s="703"/>
      <c r="U194" s="703"/>
      <c r="V194" s="703"/>
      <c r="W194" s="703"/>
      <c r="X194" s="703"/>
      <c r="Y194" s="703"/>
      <c r="Z194" s="703"/>
    </row>
    <row r="195">
      <c r="A195" s="703"/>
      <c r="B195" s="703"/>
      <c r="C195" s="703"/>
      <c r="D195" s="703"/>
      <c r="E195" s="703"/>
      <c r="F195" s="703"/>
      <c r="G195" s="703"/>
      <c r="H195" s="703"/>
      <c r="I195" s="703"/>
      <c r="J195" s="703"/>
      <c r="K195" s="703"/>
      <c r="L195" s="703"/>
      <c r="M195" s="703"/>
      <c r="N195" s="703"/>
      <c r="O195" s="703"/>
      <c r="P195" s="703"/>
      <c r="Q195" s="703"/>
      <c r="R195" s="703"/>
      <c r="S195" s="703"/>
      <c r="T195" s="703"/>
      <c r="U195" s="703"/>
      <c r="V195" s="703"/>
      <c r="W195" s="703"/>
      <c r="X195" s="703"/>
      <c r="Y195" s="703"/>
      <c r="Z195" s="703"/>
    </row>
    <row r="196">
      <c r="A196" s="703"/>
      <c r="B196" s="703"/>
      <c r="C196" s="703"/>
      <c r="D196" s="703"/>
      <c r="E196" s="703"/>
      <c r="F196" s="703"/>
      <c r="G196" s="703"/>
      <c r="H196" s="703"/>
      <c r="I196" s="703"/>
      <c r="J196" s="703"/>
      <c r="K196" s="703"/>
      <c r="L196" s="703"/>
      <c r="M196" s="703"/>
      <c r="N196" s="703"/>
      <c r="O196" s="703"/>
      <c r="P196" s="703"/>
      <c r="Q196" s="703"/>
      <c r="R196" s="703"/>
      <c r="S196" s="703"/>
      <c r="T196" s="703"/>
      <c r="U196" s="703"/>
      <c r="V196" s="703"/>
      <c r="W196" s="703"/>
      <c r="X196" s="703"/>
      <c r="Y196" s="703"/>
      <c r="Z196" s="703"/>
    </row>
    <row r="197">
      <c r="A197" s="703"/>
      <c r="B197" s="703"/>
      <c r="C197" s="703"/>
      <c r="D197" s="703"/>
      <c r="E197" s="703"/>
      <c r="F197" s="703"/>
      <c r="G197" s="703"/>
      <c r="H197" s="703"/>
      <c r="I197" s="703"/>
      <c r="J197" s="703"/>
      <c r="K197" s="703"/>
      <c r="L197" s="703"/>
      <c r="M197" s="703"/>
      <c r="N197" s="703"/>
      <c r="O197" s="703"/>
      <c r="P197" s="703"/>
      <c r="Q197" s="703"/>
      <c r="R197" s="703"/>
      <c r="S197" s="703"/>
      <c r="T197" s="703"/>
      <c r="U197" s="703"/>
      <c r="V197" s="703"/>
      <c r="W197" s="703"/>
      <c r="X197" s="703"/>
      <c r="Y197" s="703"/>
      <c r="Z197" s="703"/>
    </row>
    <row r="198">
      <c r="A198" s="703"/>
      <c r="B198" s="703"/>
      <c r="C198" s="703"/>
      <c r="D198" s="703"/>
      <c r="E198" s="703"/>
      <c r="F198" s="703"/>
      <c r="G198" s="703"/>
      <c r="H198" s="703"/>
      <c r="I198" s="703"/>
      <c r="J198" s="703"/>
      <c r="K198" s="703"/>
      <c r="L198" s="703"/>
      <c r="M198" s="703"/>
      <c r="N198" s="703"/>
      <c r="O198" s="703"/>
      <c r="P198" s="703"/>
      <c r="Q198" s="703"/>
      <c r="R198" s="703"/>
      <c r="S198" s="703"/>
      <c r="T198" s="703"/>
      <c r="U198" s="703"/>
      <c r="V198" s="703"/>
      <c r="W198" s="703"/>
      <c r="X198" s="703"/>
      <c r="Y198" s="703"/>
      <c r="Z198" s="703"/>
    </row>
    <row r="199">
      <c r="A199" s="703"/>
      <c r="B199" s="703"/>
      <c r="C199" s="703"/>
      <c r="D199" s="703"/>
      <c r="E199" s="703"/>
      <c r="F199" s="703"/>
      <c r="G199" s="703"/>
      <c r="H199" s="703"/>
      <c r="I199" s="703"/>
      <c r="J199" s="703"/>
      <c r="K199" s="703"/>
      <c r="L199" s="703"/>
      <c r="M199" s="703"/>
      <c r="N199" s="703"/>
      <c r="O199" s="703"/>
      <c r="P199" s="703"/>
      <c r="Q199" s="703"/>
      <c r="R199" s="703"/>
      <c r="S199" s="703"/>
      <c r="T199" s="703"/>
      <c r="U199" s="703"/>
      <c r="V199" s="703"/>
      <c r="W199" s="703"/>
      <c r="X199" s="703"/>
      <c r="Y199" s="703"/>
      <c r="Z199" s="703"/>
    </row>
    <row r="200">
      <c r="A200" s="703"/>
      <c r="B200" s="703"/>
      <c r="C200" s="703"/>
      <c r="D200" s="703"/>
      <c r="E200" s="703"/>
      <c r="F200" s="703"/>
      <c r="G200" s="703"/>
      <c r="H200" s="703"/>
      <c r="I200" s="703"/>
      <c r="J200" s="703"/>
      <c r="K200" s="703"/>
      <c r="L200" s="703"/>
      <c r="M200" s="703"/>
      <c r="N200" s="703"/>
      <c r="O200" s="703"/>
      <c r="P200" s="703"/>
      <c r="Q200" s="703"/>
      <c r="R200" s="703"/>
      <c r="S200" s="703"/>
      <c r="T200" s="703"/>
      <c r="U200" s="703"/>
      <c r="V200" s="703"/>
      <c r="W200" s="703"/>
      <c r="X200" s="703"/>
      <c r="Y200" s="703"/>
      <c r="Z200" s="703"/>
    </row>
    <row r="201">
      <c r="A201" s="703"/>
      <c r="B201" s="703"/>
      <c r="C201" s="703"/>
      <c r="D201" s="703"/>
      <c r="E201" s="703"/>
      <c r="F201" s="703"/>
      <c r="G201" s="703"/>
      <c r="H201" s="703"/>
      <c r="I201" s="703"/>
      <c r="J201" s="703"/>
      <c r="K201" s="703"/>
      <c r="L201" s="703"/>
      <c r="M201" s="703"/>
      <c r="N201" s="703"/>
      <c r="O201" s="703"/>
      <c r="P201" s="703"/>
      <c r="Q201" s="703"/>
      <c r="R201" s="703"/>
      <c r="S201" s="703"/>
      <c r="T201" s="703"/>
      <c r="U201" s="703"/>
      <c r="V201" s="703"/>
      <c r="W201" s="703"/>
      <c r="X201" s="703"/>
      <c r="Y201" s="703"/>
      <c r="Z201" s="703"/>
    </row>
    <row r="202">
      <c r="A202" s="703"/>
      <c r="B202" s="703"/>
      <c r="C202" s="703"/>
      <c r="D202" s="703"/>
      <c r="E202" s="703"/>
      <c r="F202" s="703"/>
      <c r="G202" s="703"/>
      <c r="H202" s="703"/>
      <c r="I202" s="703"/>
      <c r="J202" s="703"/>
      <c r="K202" s="703"/>
      <c r="L202" s="703"/>
      <c r="M202" s="703"/>
      <c r="N202" s="703"/>
      <c r="O202" s="703"/>
      <c r="P202" s="703"/>
      <c r="Q202" s="703"/>
      <c r="R202" s="703"/>
      <c r="S202" s="703"/>
      <c r="T202" s="703"/>
      <c r="U202" s="703"/>
      <c r="V202" s="703"/>
      <c r="W202" s="703"/>
      <c r="X202" s="703"/>
      <c r="Y202" s="703"/>
      <c r="Z202" s="703"/>
    </row>
    <row r="203">
      <c r="A203" s="703"/>
      <c r="B203" s="703"/>
      <c r="C203" s="703"/>
      <c r="D203" s="703"/>
      <c r="E203" s="703"/>
      <c r="F203" s="703"/>
      <c r="G203" s="703"/>
      <c r="H203" s="703"/>
      <c r="I203" s="703"/>
      <c r="J203" s="703"/>
      <c r="K203" s="703"/>
      <c r="L203" s="703"/>
      <c r="M203" s="703"/>
      <c r="N203" s="703"/>
      <c r="O203" s="703"/>
      <c r="P203" s="703"/>
      <c r="Q203" s="703"/>
      <c r="R203" s="703"/>
      <c r="S203" s="703"/>
      <c r="T203" s="703"/>
      <c r="U203" s="703"/>
      <c r="V203" s="703"/>
      <c r="W203" s="703"/>
      <c r="X203" s="703"/>
      <c r="Y203" s="703"/>
      <c r="Z203" s="703"/>
    </row>
    <row r="204">
      <c r="A204" s="703"/>
      <c r="B204" s="703"/>
      <c r="C204" s="703"/>
      <c r="D204" s="703"/>
      <c r="E204" s="703"/>
      <c r="F204" s="703"/>
      <c r="G204" s="703"/>
      <c r="H204" s="703"/>
      <c r="I204" s="703"/>
      <c r="J204" s="703"/>
      <c r="K204" s="703"/>
      <c r="L204" s="703"/>
      <c r="M204" s="703"/>
      <c r="N204" s="703"/>
      <c r="O204" s="703"/>
      <c r="P204" s="703"/>
      <c r="Q204" s="703"/>
      <c r="R204" s="703"/>
      <c r="S204" s="703"/>
      <c r="T204" s="703"/>
      <c r="U204" s="703"/>
      <c r="V204" s="703"/>
      <c r="W204" s="703"/>
      <c r="X204" s="703"/>
      <c r="Y204" s="703"/>
      <c r="Z204" s="703"/>
    </row>
    <row r="205">
      <c r="A205" s="703"/>
      <c r="B205" s="703"/>
      <c r="C205" s="703"/>
      <c r="D205" s="703"/>
      <c r="E205" s="703"/>
      <c r="F205" s="703"/>
      <c r="G205" s="703"/>
      <c r="H205" s="703"/>
      <c r="I205" s="703"/>
      <c r="J205" s="703"/>
      <c r="K205" s="703"/>
      <c r="L205" s="703"/>
      <c r="M205" s="703"/>
      <c r="N205" s="703"/>
      <c r="O205" s="703"/>
      <c r="P205" s="703"/>
      <c r="Q205" s="703"/>
      <c r="R205" s="703"/>
      <c r="S205" s="703"/>
      <c r="T205" s="703"/>
      <c r="U205" s="703"/>
      <c r="V205" s="703"/>
      <c r="W205" s="703"/>
      <c r="X205" s="703"/>
      <c r="Y205" s="703"/>
      <c r="Z205" s="703"/>
    </row>
    <row r="206">
      <c r="A206" s="703"/>
      <c r="B206" s="703"/>
      <c r="C206" s="703"/>
      <c r="D206" s="703"/>
      <c r="E206" s="703"/>
      <c r="F206" s="703"/>
      <c r="G206" s="703"/>
      <c r="H206" s="703"/>
      <c r="I206" s="703"/>
      <c r="J206" s="703"/>
      <c r="K206" s="703"/>
      <c r="L206" s="703"/>
      <c r="M206" s="703"/>
      <c r="N206" s="703"/>
      <c r="O206" s="703"/>
      <c r="P206" s="703"/>
      <c r="Q206" s="703"/>
      <c r="R206" s="703"/>
      <c r="S206" s="703"/>
      <c r="T206" s="703"/>
      <c r="U206" s="703"/>
      <c r="V206" s="703"/>
      <c r="W206" s="703"/>
      <c r="X206" s="703"/>
      <c r="Y206" s="703"/>
      <c r="Z206" s="703"/>
    </row>
    <row r="207">
      <c r="A207" s="703"/>
      <c r="B207" s="703"/>
      <c r="C207" s="703"/>
      <c r="D207" s="703"/>
      <c r="E207" s="703"/>
      <c r="F207" s="703"/>
      <c r="G207" s="703"/>
      <c r="H207" s="703"/>
      <c r="I207" s="703"/>
      <c r="J207" s="703"/>
      <c r="K207" s="703"/>
      <c r="L207" s="703"/>
      <c r="M207" s="703"/>
      <c r="N207" s="703"/>
      <c r="O207" s="703"/>
      <c r="P207" s="703"/>
      <c r="Q207" s="703"/>
      <c r="R207" s="703"/>
      <c r="S207" s="703"/>
      <c r="T207" s="703"/>
      <c r="U207" s="703"/>
      <c r="V207" s="703"/>
      <c r="W207" s="703"/>
      <c r="X207" s="703"/>
      <c r="Y207" s="703"/>
      <c r="Z207" s="703"/>
    </row>
    <row r="208">
      <c r="A208" s="703"/>
      <c r="B208" s="703"/>
      <c r="C208" s="703"/>
      <c r="D208" s="703"/>
      <c r="E208" s="703"/>
      <c r="F208" s="703"/>
      <c r="G208" s="703"/>
      <c r="H208" s="703"/>
      <c r="I208" s="703"/>
      <c r="J208" s="703"/>
      <c r="K208" s="703"/>
      <c r="L208" s="703"/>
      <c r="M208" s="703"/>
      <c r="N208" s="703"/>
      <c r="O208" s="703"/>
      <c r="P208" s="703"/>
      <c r="Q208" s="703"/>
      <c r="R208" s="703"/>
      <c r="S208" s="703"/>
      <c r="T208" s="703"/>
      <c r="U208" s="703"/>
      <c r="V208" s="703"/>
      <c r="W208" s="703"/>
      <c r="X208" s="703"/>
      <c r="Y208" s="703"/>
      <c r="Z208" s="703"/>
    </row>
    <row r="209">
      <c r="A209" s="703"/>
      <c r="B209" s="703"/>
      <c r="C209" s="703"/>
      <c r="D209" s="703"/>
      <c r="E209" s="703"/>
      <c r="F209" s="703"/>
      <c r="G209" s="703"/>
      <c r="H209" s="703"/>
      <c r="I209" s="703"/>
      <c r="J209" s="703"/>
      <c r="K209" s="703"/>
      <c r="L209" s="703"/>
      <c r="M209" s="703"/>
      <c r="N209" s="703"/>
      <c r="O209" s="703"/>
      <c r="P209" s="703"/>
      <c r="Q209" s="703"/>
      <c r="R209" s="703"/>
      <c r="S209" s="703"/>
      <c r="T209" s="703"/>
      <c r="U209" s="703"/>
      <c r="V209" s="703"/>
      <c r="W209" s="703"/>
      <c r="X209" s="703"/>
      <c r="Y209" s="703"/>
      <c r="Z209" s="703"/>
    </row>
    <row r="210">
      <c r="A210" s="703"/>
      <c r="B210" s="703"/>
      <c r="C210" s="703"/>
      <c r="D210" s="703"/>
      <c r="E210" s="703"/>
      <c r="F210" s="703"/>
      <c r="G210" s="703"/>
      <c r="H210" s="703"/>
      <c r="I210" s="703"/>
      <c r="J210" s="703"/>
      <c r="K210" s="703"/>
      <c r="L210" s="703"/>
      <c r="M210" s="703"/>
      <c r="N210" s="703"/>
      <c r="O210" s="703"/>
      <c r="P210" s="703"/>
      <c r="Q210" s="703"/>
      <c r="R210" s="703"/>
      <c r="S210" s="703"/>
      <c r="T210" s="703"/>
      <c r="U210" s="703"/>
      <c r="V210" s="703"/>
      <c r="W210" s="703"/>
      <c r="X210" s="703"/>
      <c r="Y210" s="703"/>
      <c r="Z210" s="703"/>
    </row>
    <row r="211">
      <c r="A211" s="703"/>
      <c r="B211" s="703"/>
      <c r="C211" s="703"/>
      <c r="D211" s="703"/>
      <c r="E211" s="703"/>
      <c r="F211" s="703"/>
      <c r="G211" s="703"/>
      <c r="H211" s="703"/>
      <c r="I211" s="703"/>
      <c r="J211" s="703"/>
      <c r="K211" s="703"/>
      <c r="L211" s="703"/>
      <c r="M211" s="703"/>
      <c r="N211" s="703"/>
      <c r="O211" s="703"/>
      <c r="P211" s="703"/>
      <c r="Q211" s="703"/>
      <c r="R211" s="703"/>
      <c r="S211" s="703"/>
      <c r="T211" s="703"/>
      <c r="U211" s="703"/>
      <c r="V211" s="703"/>
      <c r="W211" s="703"/>
      <c r="X211" s="703"/>
      <c r="Y211" s="703"/>
      <c r="Z211" s="703"/>
    </row>
    <row r="212">
      <c r="A212" s="703"/>
      <c r="B212" s="703"/>
      <c r="C212" s="703"/>
      <c r="D212" s="703"/>
      <c r="E212" s="703"/>
      <c r="F212" s="703"/>
      <c r="G212" s="703"/>
      <c r="H212" s="703"/>
      <c r="I212" s="703"/>
      <c r="J212" s="703"/>
      <c r="K212" s="703"/>
      <c r="L212" s="703"/>
      <c r="M212" s="703"/>
      <c r="N212" s="703"/>
      <c r="O212" s="703"/>
      <c r="P212" s="703"/>
      <c r="Q212" s="703"/>
      <c r="R212" s="703"/>
      <c r="S212" s="703"/>
      <c r="T212" s="703"/>
      <c r="U212" s="703"/>
      <c r="V212" s="703"/>
      <c r="W212" s="703"/>
      <c r="X212" s="703"/>
      <c r="Y212" s="703"/>
      <c r="Z212" s="703"/>
    </row>
    <row r="213">
      <c r="A213" s="703"/>
      <c r="B213" s="703"/>
      <c r="C213" s="703"/>
      <c r="D213" s="703"/>
      <c r="E213" s="703"/>
      <c r="F213" s="703"/>
      <c r="G213" s="703"/>
      <c r="H213" s="703"/>
      <c r="I213" s="703"/>
      <c r="J213" s="703"/>
      <c r="K213" s="703"/>
      <c r="L213" s="703"/>
      <c r="M213" s="703"/>
      <c r="N213" s="703"/>
      <c r="O213" s="703"/>
      <c r="P213" s="703"/>
      <c r="Q213" s="703"/>
      <c r="R213" s="703"/>
      <c r="S213" s="703"/>
      <c r="T213" s="703"/>
      <c r="U213" s="703"/>
      <c r="V213" s="703"/>
      <c r="W213" s="703"/>
      <c r="X213" s="703"/>
      <c r="Y213" s="703"/>
      <c r="Z213" s="703"/>
    </row>
    <row r="214">
      <c r="A214" s="703"/>
      <c r="B214" s="703"/>
      <c r="C214" s="703"/>
      <c r="D214" s="703"/>
      <c r="E214" s="703"/>
      <c r="F214" s="703"/>
      <c r="G214" s="703"/>
      <c r="H214" s="703"/>
      <c r="I214" s="703"/>
      <c r="J214" s="703"/>
      <c r="K214" s="703"/>
      <c r="L214" s="703"/>
      <c r="M214" s="703"/>
      <c r="N214" s="703"/>
      <c r="O214" s="703"/>
      <c r="P214" s="703"/>
      <c r="Q214" s="703"/>
      <c r="R214" s="703"/>
      <c r="S214" s="703"/>
      <c r="T214" s="703"/>
      <c r="U214" s="703"/>
      <c r="V214" s="703"/>
      <c r="W214" s="703"/>
      <c r="X214" s="703"/>
      <c r="Y214" s="703"/>
      <c r="Z214" s="703"/>
    </row>
    <row r="215">
      <c r="A215" s="703"/>
      <c r="B215" s="703"/>
      <c r="C215" s="703"/>
      <c r="D215" s="703"/>
      <c r="E215" s="703"/>
      <c r="F215" s="703"/>
      <c r="G215" s="703"/>
      <c r="H215" s="703"/>
      <c r="I215" s="703"/>
      <c r="J215" s="703"/>
      <c r="K215" s="703"/>
      <c r="L215" s="703"/>
      <c r="M215" s="703"/>
      <c r="N215" s="703"/>
      <c r="O215" s="703"/>
      <c r="P215" s="703"/>
      <c r="Q215" s="703"/>
      <c r="R215" s="703"/>
      <c r="S215" s="703"/>
      <c r="T215" s="703"/>
      <c r="U215" s="703"/>
      <c r="V215" s="703"/>
      <c r="W215" s="703"/>
      <c r="X215" s="703"/>
      <c r="Y215" s="703"/>
      <c r="Z215" s="703"/>
    </row>
    <row r="216">
      <c r="A216" s="703"/>
      <c r="B216" s="703"/>
      <c r="C216" s="703"/>
      <c r="D216" s="703"/>
      <c r="E216" s="703"/>
      <c r="F216" s="703"/>
      <c r="G216" s="703"/>
      <c r="H216" s="703"/>
      <c r="I216" s="703"/>
      <c r="J216" s="703"/>
      <c r="K216" s="703"/>
      <c r="L216" s="703"/>
      <c r="M216" s="703"/>
      <c r="N216" s="703"/>
      <c r="O216" s="703"/>
      <c r="P216" s="703"/>
      <c r="Q216" s="703"/>
      <c r="R216" s="703"/>
      <c r="S216" s="703"/>
      <c r="T216" s="703"/>
      <c r="U216" s="703"/>
      <c r="V216" s="703"/>
      <c r="W216" s="703"/>
      <c r="X216" s="703"/>
      <c r="Y216" s="703"/>
      <c r="Z216" s="703"/>
    </row>
    <row r="217">
      <c r="A217" s="703"/>
      <c r="B217" s="703"/>
      <c r="C217" s="703"/>
      <c r="D217" s="703"/>
      <c r="E217" s="703"/>
      <c r="F217" s="703"/>
      <c r="G217" s="703"/>
      <c r="H217" s="703"/>
      <c r="I217" s="703"/>
      <c r="J217" s="703"/>
      <c r="K217" s="703"/>
      <c r="L217" s="703"/>
      <c r="M217" s="703"/>
      <c r="N217" s="703"/>
      <c r="O217" s="703"/>
      <c r="P217" s="703"/>
      <c r="Q217" s="703"/>
      <c r="R217" s="703"/>
      <c r="S217" s="703"/>
      <c r="T217" s="703"/>
      <c r="U217" s="703"/>
      <c r="V217" s="703"/>
      <c r="W217" s="703"/>
      <c r="X217" s="703"/>
      <c r="Y217" s="703"/>
      <c r="Z217" s="703"/>
    </row>
    <row r="218">
      <c r="A218" s="703"/>
      <c r="B218" s="703"/>
      <c r="C218" s="703"/>
      <c r="D218" s="703"/>
      <c r="E218" s="703"/>
      <c r="F218" s="703"/>
      <c r="G218" s="703"/>
      <c r="H218" s="703"/>
      <c r="I218" s="703"/>
      <c r="J218" s="703"/>
      <c r="K218" s="703"/>
      <c r="L218" s="703"/>
      <c r="M218" s="703"/>
      <c r="N218" s="703"/>
      <c r="O218" s="703"/>
      <c r="P218" s="703"/>
      <c r="Q218" s="703"/>
      <c r="R218" s="703"/>
      <c r="S218" s="703"/>
      <c r="T218" s="703"/>
      <c r="U218" s="703"/>
      <c r="V218" s="703"/>
      <c r="W218" s="703"/>
      <c r="X218" s="703"/>
      <c r="Y218" s="703"/>
      <c r="Z218" s="703"/>
    </row>
    <row r="219">
      <c r="A219" s="703"/>
      <c r="B219" s="703"/>
      <c r="C219" s="703"/>
      <c r="D219" s="703"/>
      <c r="E219" s="703"/>
      <c r="F219" s="703"/>
      <c r="G219" s="703"/>
      <c r="H219" s="703"/>
      <c r="I219" s="703"/>
      <c r="J219" s="703"/>
      <c r="K219" s="703"/>
      <c r="L219" s="703"/>
      <c r="M219" s="703"/>
      <c r="N219" s="703"/>
      <c r="O219" s="703"/>
      <c r="P219" s="703"/>
      <c r="Q219" s="703"/>
      <c r="R219" s="703"/>
      <c r="S219" s="703"/>
      <c r="T219" s="703"/>
      <c r="U219" s="703"/>
      <c r="V219" s="703"/>
      <c r="W219" s="703"/>
      <c r="X219" s="703"/>
      <c r="Y219" s="703"/>
      <c r="Z219" s="703"/>
    </row>
    <row r="220">
      <c r="A220" s="703"/>
      <c r="B220" s="703"/>
      <c r="C220" s="703"/>
      <c r="D220" s="703"/>
      <c r="E220" s="703"/>
      <c r="F220" s="703"/>
      <c r="G220" s="703"/>
      <c r="H220" s="703"/>
      <c r="I220" s="703"/>
      <c r="J220" s="703"/>
      <c r="K220" s="703"/>
      <c r="L220" s="703"/>
      <c r="M220" s="703"/>
      <c r="N220" s="703"/>
      <c r="O220" s="703"/>
      <c r="P220" s="703"/>
      <c r="Q220" s="703"/>
      <c r="R220" s="703"/>
      <c r="S220" s="703"/>
      <c r="T220" s="703"/>
      <c r="U220" s="703"/>
      <c r="V220" s="703"/>
      <c r="W220" s="703"/>
      <c r="X220" s="703"/>
      <c r="Y220" s="703"/>
      <c r="Z220" s="703"/>
    </row>
    <row r="221">
      <c r="A221" s="703"/>
      <c r="B221" s="703"/>
      <c r="C221" s="703"/>
      <c r="D221" s="703"/>
      <c r="E221" s="703"/>
      <c r="F221" s="703"/>
      <c r="G221" s="703"/>
      <c r="H221" s="703"/>
      <c r="I221" s="703"/>
      <c r="J221" s="703"/>
      <c r="K221" s="703"/>
      <c r="L221" s="703"/>
      <c r="M221" s="703"/>
      <c r="N221" s="703"/>
      <c r="O221" s="703"/>
      <c r="P221" s="703"/>
      <c r="Q221" s="703"/>
      <c r="R221" s="703"/>
      <c r="S221" s="703"/>
      <c r="T221" s="703"/>
      <c r="U221" s="703"/>
      <c r="V221" s="703"/>
      <c r="W221" s="703"/>
      <c r="X221" s="703"/>
      <c r="Y221" s="703"/>
      <c r="Z221" s="703"/>
    </row>
    <row r="222">
      <c r="A222" s="703"/>
      <c r="B222" s="703"/>
      <c r="C222" s="703"/>
      <c r="D222" s="703"/>
      <c r="E222" s="703"/>
      <c r="F222" s="703"/>
      <c r="G222" s="703"/>
      <c r="H222" s="703"/>
      <c r="I222" s="703"/>
      <c r="J222" s="703"/>
      <c r="K222" s="703"/>
      <c r="L222" s="703"/>
      <c r="M222" s="703"/>
      <c r="N222" s="703"/>
      <c r="O222" s="703"/>
      <c r="P222" s="703"/>
      <c r="Q222" s="703"/>
      <c r="R222" s="703"/>
      <c r="S222" s="703"/>
      <c r="T222" s="703"/>
      <c r="U222" s="703"/>
      <c r="V222" s="703"/>
      <c r="W222" s="703"/>
      <c r="X222" s="703"/>
      <c r="Y222" s="703"/>
      <c r="Z222" s="703"/>
    </row>
    <row r="223">
      <c r="A223" s="703"/>
      <c r="B223" s="703"/>
      <c r="C223" s="703"/>
      <c r="D223" s="703"/>
      <c r="E223" s="703"/>
      <c r="F223" s="703"/>
      <c r="G223" s="703"/>
      <c r="H223" s="703"/>
      <c r="I223" s="703"/>
      <c r="J223" s="703"/>
      <c r="K223" s="703"/>
      <c r="L223" s="703"/>
      <c r="M223" s="703"/>
      <c r="N223" s="703"/>
      <c r="O223" s="703"/>
      <c r="P223" s="703"/>
      <c r="Q223" s="703"/>
      <c r="R223" s="703"/>
      <c r="S223" s="703"/>
      <c r="T223" s="703"/>
      <c r="U223" s="703"/>
      <c r="V223" s="703"/>
      <c r="W223" s="703"/>
      <c r="X223" s="703"/>
      <c r="Y223" s="703"/>
      <c r="Z223" s="703"/>
    </row>
    <row r="224">
      <c r="A224" s="703"/>
      <c r="B224" s="703"/>
      <c r="C224" s="703"/>
      <c r="D224" s="703"/>
      <c r="E224" s="703"/>
      <c r="F224" s="703"/>
      <c r="G224" s="703"/>
      <c r="H224" s="703"/>
      <c r="I224" s="703"/>
      <c r="J224" s="703"/>
      <c r="K224" s="703"/>
      <c r="L224" s="703"/>
      <c r="M224" s="703"/>
      <c r="N224" s="703"/>
      <c r="O224" s="703"/>
      <c r="P224" s="703"/>
      <c r="Q224" s="703"/>
      <c r="R224" s="703"/>
      <c r="S224" s="703"/>
      <c r="T224" s="703"/>
      <c r="U224" s="703"/>
      <c r="V224" s="703"/>
      <c r="W224" s="703"/>
      <c r="X224" s="703"/>
      <c r="Y224" s="703"/>
      <c r="Z224" s="703"/>
    </row>
    <row r="225">
      <c r="A225" s="703"/>
      <c r="B225" s="703"/>
      <c r="C225" s="703"/>
      <c r="D225" s="703"/>
      <c r="E225" s="703"/>
      <c r="F225" s="703"/>
      <c r="G225" s="703"/>
      <c r="H225" s="703"/>
      <c r="I225" s="703"/>
      <c r="J225" s="703"/>
      <c r="K225" s="703"/>
      <c r="L225" s="703"/>
      <c r="M225" s="703"/>
      <c r="N225" s="703"/>
      <c r="O225" s="703"/>
      <c r="P225" s="703"/>
      <c r="Q225" s="703"/>
      <c r="R225" s="703"/>
      <c r="S225" s="703"/>
      <c r="T225" s="703"/>
      <c r="U225" s="703"/>
      <c r="V225" s="703"/>
      <c r="W225" s="703"/>
      <c r="X225" s="703"/>
      <c r="Y225" s="703"/>
      <c r="Z225" s="703"/>
    </row>
    <row r="226">
      <c r="A226" s="703"/>
      <c r="B226" s="703"/>
      <c r="C226" s="703"/>
      <c r="D226" s="703"/>
      <c r="E226" s="703"/>
      <c r="F226" s="703"/>
      <c r="G226" s="703"/>
      <c r="H226" s="703"/>
      <c r="I226" s="703"/>
      <c r="J226" s="703"/>
      <c r="K226" s="703"/>
      <c r="L226" s="703"/>
      <c r="M226" s="703"/>
      <c r="N226" s="703"/>
      <c r="O226" s="703"/>
      <c r="P226" s="703"/>
      <c r="Q226" s="703"/>
      <c r="R226" s="703"/>
      <c r="S226" s="703"/>
      <c r="T226" s="703"/>
      <c r="U226" s="703"/>
      <c r="V226" s="703"/>
      <c r="W226" s="703"/>
      <c r="X226" s="703"/>
      <c r="Y226" s="703"/>
      <c r="Z226" s="703"/>
    </row>
    <row r="227">
      <c r="A227" s="703"/>
      <c r="B227" s="703"/>
      <c r="C227" s="703"/>
      <c r="D227" s="703"/>
      <c r="E227" s="703"/>
      <c r="F227" s="703"/>
      <c r="G227" s="703"/>
      <c r="H227" s="703"/>
      <c r="I227" s="703"/>
      <c r="J227" s="703"/>
      <c r="K227" s="703"/>
      <c r="L227" s="703"/>
      <c r="M227" s="703"/>
      <c r="N227" s="703"/>
      <c r="O227" s="703"/>
      <c r="P227" s="703"/>
      <c r="Q227" s="703"/>
      <c r="R227" s="703"/>
      <c r="S227" s="703"/>
      <c r="T227" s="703"/>
      <c r="U227" s="703"/>
      <c r="V227" s="703"/>
      <c r="W227" s="703"/>
      <c r="X227" s="703"/>
      <c r="Y227" s="703"/>
      <c r="Z227" s="703"/>
    </row>
    <row r="228">
      <c r="A228" s="703"/>
      <c r="B228" s="703"/>
      <c r="C228" s="703"/>
      <c r="D228" s="703"/>
      <c r="E228" s="703"/>
      <c r="F228" s="703"/>
      <c r="G228" s="703"/>
      <c r="H228" s="703"/>
      <c r="I228" s="703"/>
      <c r="J228" s="703"/>
      <c r="K228" s="703"/>
      <c r="L228" s="703"/>
      <c r="M228" s="703"/>
      <c r="N228" s="703"/>
      <c r="O228" s="703"/>
      <c r="P228" s="703"/>
      <c r="Q228" s="703"/>
      <c r="R228" s="703"/>
      <c r="S228" s="703"/>
      <c r="T228" s="703"/>
      <c r="U228" s="703"/>
      <c r="V228" s="703"/>
      <c r="W228" s="703"/>
      <c r="X228" s="703"/>
      <c r="Y228" s="703"/>
      <c r="Z228" s="703"/>
    </row>
    <row r="229">
      <c r="A229" s="703"/>
      <c r="B229" s="703"/>
      <c r="C229" s="703"/>
      <c r="D229" s="703"/>
      <c r="E229" s="703"/>
      <c r="F229" s="703"/>
      <c r="G229" s="703"/>
      <c r="H229" s="703"/>
      <c r="I229" s="703"/>
      <c r="J229" s="703"/>
      <c r="K229" s="703"/>
      <c r="L229" s="703"/>
      <c r="M229" s="703"/>
      <c r="N229" s="703"/>
      <c r="O229" s="703"/>
      <c r="P229" s="703"/>
      <c r="Q229" s="703"/>
      <c r="R229" s="703"/>
      <c r="S229" s="703"/>
      <c r="T229" s="703"/>
      <c r="U229" s="703"/>
      <c r="V229" s="703"/>
      <c r="W229" s="703"/>
      <c r="X229" s="703"/>
      <c r="Y229" s="703"/>
      <c r="Z229" s="703"/>
    </row>
    <row r="230">
      <c r="A230" s="703"/>
      <c r="B230" s="703"/>
      <c r="C230" s="703"/>
      <c r="D230" s="703"/>
      <c r="E230" s="703"/>
      <c r="F230" s="703"/>
      <c r="G230" s="703"/>
      <c r="H230" s="703"/>
      <c r="I230" s="703"/>
      <c r="J230" s="703"/>
      <c r="K230" s="703"/>
      <c r="L230" s="703"/>
      <c r="M230" s="703"/>
      <c r="N230" s="703"/>
      <c r="O230" s="703"/>
      <c r="P230" s="703"/>
      <c r="Q230" s="703"/>
      <c r="R230" s="703"/>
      <c r="S230" s="703"/>
      <c r="T230" s="703"/>
      <c r="U230" s="703"/>
      <c r="V230" s="703"/>
      <c r="W230" s="703"/>
      <c r="X230" s="703"/>
      <c r="Y230" s="703"/>
      <c r="Z230" s="703"/>
    </row>
    <row r="231">
      <c r="A231" s="703"/>
      <c r="B231" s="703"/>
      <c r="C231" s="703"/>
      <c r="D231" s="703"/>
      <c r="E231" s="703"/>
      <c r="F231" s="703"/>
      <c r="G231" s="703"/>
      <c r="H231" s="703"/>
      <c r="I231" s="703"/>
      <c r="J231" s="703"/>
      <c r="K231" s="703"/>
      <c r="L231" s="703"/>
      <c r="M231" s="703"/>
      <c r="N231" s="703"/>
      <c r="O231" s="703"/>
      <c r="P231" s="703"/>
      <c r="Q231" s="703"/>
      <c r="R231" s="703"/>
      <c r="S231" s="703"/>
      <c r="T231" s="703"/>
      <c r="U231" s="703"/>
      <c r="V231" s="703"/>
      <c r="W231" s="703"/>
      <c r="X231" s="703"/>
      <c r="Y231" s="703"/>
      <c r="Z231" s="703"/>
    </row>
    <row r="232">
      <c r="A232" s="703"/>
      <c r="B232" s="703"/>
      <c r="C232" s="703"/>
      <c r="D232" s="703"/>
      <c r="E232" s="703"/>
      <c r="F232" s="703"/>
      <c r="G232" s="703"/>
      <c r="H232" s="703"/>
      <c r="I232" s="703"/>
      <c r="J232" s="703"/>
      <c r="K232" s="703"/>
      <c r="L232" s="703"/>
      <c r="M232" s="703"/>
      <c r="N232" s="703"/>
      <c r="O232" s="703"/>
      <c r="P232" s="703"/>
      <c r="Q232" s="703"/>
      <c r="R232" s="703"/>
      <c r="S232" s="703"/>
      <c r="T232" s="703"/>
      <c r="U232" s="703"/>
      <c r="V232" s="703"/>
      <c r="W232" s="703"/>
      <c r="X232" s="703"/>
      <c r="Y232" s="703"/>
      <c r="Z232" s="703"/>
    </row>
    <row r="233">
      <c r="A233" s="703"/>
      <c r="B233" s="703"/>
      <c r="C233" s="703"/>
      <c r="D233" s="703"/>
      <c r="E233" s="703"/>
      <c r="F233" s="703"/>
      <c r="G233" s="703"/>
      <c r="H233" s="703"/>
      <c r="I233" s="703"/>
      <c r="J233" s="703"/>
      <c r="K233" s="703"/>
      <c r="L233" s="703"/>
      <c r="M233" s="703"/>
      <c r="N233" s="703"/>
      <c r="O233" s="703"/>
      <c r="P233" s="703"/>
      <c r="Q233" s="703"/>
      <c r="R233" s="703"/>
      <c r="S233" s="703"/>
      <c r="T233" s="703"/>
      <c r="U233" s="703"/>
      <c r="V233" s="703"/>
      <c r="W233" s="703"/>
      <c r="X233" s="703"/>
      <c r="Y233" s="703"/>
      <c r="Z233" s="703"/>
    </row>
    <row r="234">
      <c r="A234" s="703"/>
      <c r="B234" s="703"/>
      <c r="C234" s="703"/>
      <c r="D234" s="703"/>
      <c r="E234" s="703"/>
      <c r="F234" s="703"/>
      <c r="G234" s="703"/>
      <c r="H234" s="703"/>
      <c r="I234" s="703"/>
      <c r="J234" s="703"/>
      <c r="K234" s="703"/>
      <c r="L234" s="703"/>
      <c r="M234" s="703"/>
      <c r="N234" s="703"/>
      <c r="O234" s="703"/>
      <c r="P234" s="703"/>
      <c r="Q234" s="703"/>
      <c r="R234" s="703"/>
      <c r="S234" s="703"/>
      <c r="T234" s="703"/>
      <c r="U234" s="703"/>
      <c r="V234" s="703"/>
      <c r="W234" s="703"/>
      <c r="X234" s="703"/>
      <c r="Y234" s="703"/>
      <c r="Z234" s="703"/>
    </row>
    <row r="235">
      <c r="A235" s="703"/>
      <c r="B235" s="703"/>
      <c r="C235" s="703"/>
      <c r="D235" s="703"/>
      <c r="E235" s="703"/>
      <c r="F235" s="703"/>
      <c r="G235" s="703"/>
      <c r="H235" s="703"/>
      <c r="I235" s="703"/>
      <c r="J235" s="703"/>
      <c r="K235" s="703"/>
      <c r="L235" s="703"/>
      <c r="M235" s="703"/>
      <c r="N235" s="703"/>
      <c r="O235" s="703"/>
      <c r="P235" s="703"/>
      <c r="Q235" s="703"/>
      <c r="R235" s="703"/>
      <c r="S235" s="703"/>
      <c r="T235" s="703"/>
      <c r="U235" s="703"/>
      <c r="V235" s="703"/>
      <c r="W235" s="703"/>
      <c r="X235" s="703"/>
      <c r="Y235" s="703"/>
      <c r="Z235" s="703"/>
    </row>
    <row r="236">
      <c r="A236" s="703"/>
      <c r="B236" s="703"/>
      <c r="C236" s="703"/>
      <c r="D236" s="703"/>
      <c r="E236" s="703"/>
      <c r="F236" s="703"/>
      <c r="G236" s="703"/>
      <c r="H236" s="703"/>
      <c r="I236" s="703"/>
      <c r="J236" s="703"/>
      <c r="K236" s="703"/>
      <c r="L236" s="703"/>
      <c r="M236" s="703"/>
      <c r="N236" s="703"/>
      <c r="O236" s="703"/>
      <c r="P236" s="703"/>
      <c r="Q236" s="703"/>
      <c r="R236" s="703"/>
      <c r="S236" s="703"/>
      <c r="T236" s="703"/>
      <c r="U236" s="703"/>
      <c r="V236" s="703"/>
      <c r="W236" s="703"/>
      <c r="X236" s="703"/>
      <c r="Y236" s="703"/>
      <c r="Z236" s="703"/>
    </row>
    <row r="237">
      <c r="A237" s="703"/>
      <c r="B237" s="703"/>
      <c r="C237" s="703"/>
      <c r="D237" s="703"/>
      <c r="E237" s="703"/>
      <c r="F237" s="703"/>
      <c r="G237" s="703"/>
      <c r="H237" s="703"/>
      <c r="I237" s="703"/>
      <c r="J237" s="703"/>
      <c r="K237" s="703"/>
      <c r="L237" s="703"/>
      <c r="M237" s="703"/>
      <c r="N237" s="703"/>
      <c r="O237" s="703"/>
      <c r="P237" s="703"/>
      <c r="Q237" s="703"/>
      <c r="R237" s="703"/>
      <c r="S237" s="703"/>
      <c r="T237" s="703"/>
      <c r="U237" s="703"/>
      <c r="V237" s="703"/>
      <c r="W237" s="703"/>
      <c r="X237" s="703"/>
      <c r="Y237" s="703"/>
      <c r="Z237" s="703"/>
    </row>
    <row r="238">
      <c r="A238" s="703"/>
      <c r="B238" s="703"/>
      <c r="C238" s="703"/>
      <c r="D238" s="703"/>
      <c r="E238" s="703"/>
      <c r="F238" s="703"/>
      <c r="G238" s="703"/>
      <c r="H238" s="703"/>
      <c r="I238" s="703"/>
      <c r="J238" s="703"/>
      <c r="K238" s="703"/>
      <c r="L238" s="703"/>
      <c r="M238" s="703"/>
      <c r="N238" s="703"/>
      <c r="O238" s="703"/>
      <c r="P238" s="703"/>
      <c r="Q238" s="703"/>
      <c r="R238" s="703"/>
      <c r="S238" s="703"/>
      <c r="T238" s="703"/>
      <c r="U238" s="703"/>
      <c r="V238" s="703"/>
      <c r="W238" s="703"/>
      <c r="X238" s="703"/>
      <c r="Y238" s="703"/>
      <c r="Z238" s="703"/>
    </row>
    <row r="239">
      <c r="A239" s="703"/>
      <c r="B239" s="703"/>
      <c r="C239" s="703"/>
      <c r="D239" s="703"/>
      <c r="E239" s="703"/>
      <c r="F239" s="703"/>
      <c r="G239" s="703"/>
      <c r="H239" s="703"/>
      <c r="I239" s="703"/>
      <c r="J239" s="703"/>
      <c r="K239" s="703"/>
      <c r="L239" s="703"/>
      <c r="M239" s="703"/>
      <c r="N239" s="703"/>
      <c r="O239" s="703"/>
      <c r="P239" s="703"/>
      <c r="Q239" s="703"/>
      <c r="R239" s="703"/>
      <c r="S239" s="703"/>
      <c r="T239" s="703"/>
      <c r="U239" s="703"/>
      <c r="V239" s="703"/>
      <c r="W239" s="703"/>
      <c r="X239" s="703"/>
      <c r="Y239" s="703"/>
      <c r="Z239" s="703"/>
    </row>
    <row r="240">
      <c r="A240" s="703"/>
      <c r="B240" s="703"/>
      <c r="C240" s="703"/>
      <c r="D240" s="703"/>
      <c r="E240" s="703"/>
      <c r="F240" s="703"/>
      <c r="G240" s="703"/>
      <c r="H240" s="703"/>
      <c r="I240" s="703"/>
      <c r="J240" s="703"/>
      <c r="K240" s="703"/>
      <c r="L240" s="703"/>
      <c r="M240" s="703"/>
      <c r="N240" s="703"/>
      <c r="O240" s="703"/>
      <c r="P240" s="703"/>
      <c r="Q240" s="703"/>
      <c r="R240" s="703"/>
      <c r="S240" s="703"/>
      <c r="T240" s="703"/>
      <c r="U240" s="703"/>
      <c r="V240" s="703"/>
      <c r="W240" s="703"/>
      <c r="X240" s="703"/>
      <c r="Y240" s="703"/>
      <c r="Z240" s="703"/>
    </row>
    <row r="241">
      <c r="A241" s="703"/>
      <c r="B241" s="703"/>
      <c r="C241" s="703"/>
      <c r="D241" s="703"/>
      <c r="E241" s="703"/>
      <c r="F241" s="703"/>
      <c r="G241" s="703"/>
      <c r="H241" s="703"/>
      <c r="I241" s="703"/>
      <c r="J241" s="703"/>
      <c r="K241" s="703"/>
      <c r="L241" s="703"/>
      <c r="M241" s="703"/>
      <c r="N241" s="703"/>
      <c r="O241" s="703"/>
      <c r="P241" s="703"/>
      <c r="Q241" s="703"/>
      <c r="R241" s="703"/>
      <c r="S241" s="703"/>
      <c r="T241" s="703"/>
      <c r="U241" s="703"/>
      <c r="V241" s="703"/>
      <c r="W241" s="703"/>
      <c r="X241" s="703"/>
      <c r="Y241" s="703"/>
      <c r="Z241" s="703"/>
    </row>
    <row r="242">
      <c r="A242" s="703"/>
      <c r="B242" s="703"/>
      <c r="C242" s="703"/>
      <c r="D242" s="703"/>
      <c r="E242" s="703"/>
      <c r="F242" s="703"/>
      <c r="G242" s="703"/>
      <c r="H242" s="703"/>
      <c r="I242" s="703"/>
      <c r="J242" s="703"/>
      <c r="K242" s="703"/>
      <c r="L242" s="703"/>
      <c r="M242" s="703"/>
      <c r="N242" s="703"/>
      <c r="O242" s="703"/>
      <c r="P242" s="703"/>
      <c r="Q242" s="703"/>
      <c r="R242" s="703"/>
      <c r="S242" s="703"/>
      <c r="T242" s="703"/>
      <c r="U242" s="703"/>
      <c r="V242" s="703"/>
      <c r="W242" s="703"/>
      <c r="X242" s="703"/>
      <c r="Y242" s="703"/>
      <c r="Z242" s="703"/>
    </row>
    <row r="243">
      <c r="A243" s="703"/>
      <c r="B243" s="703"/>
      <c r="C243" s="703"/>
      <c r="D243" s="703"/>
      <c r="E243" s="703"/>
      <c r="F243" s="703"/>
      <c r="G243" s="703"/>
      <c r="H243" s="703"/>
      <c r="I243" s="703"/>
      <c r="J243" s="703"/>
      <c r="K243" s="703"/>
      <c r="L243" s="703"/>
      <c r="M243" s="703"/>
      <c r="N243" s="703"/>
      <c r="O243" s="703"/>
      <c r="P243" s="703"/>
      <c r="Q243" s="703"/>
      <c r="R243" s="703"/>
      <c r="S243" s="703"/>
      <c r="T243" s="703"/>
      <c r="U243" s="703"/>
      <c r="V243" s="703"/>
      <c r="W243" s="703"/>
      <c r="X243" s="703"/>
      <c r="Y243" s="703"/>
      <c r="Z243" s="703"/>
    </row>
    <row r="244">
      <c r="A244" s="703"/>
      <c r="B244" s="703"/>
      <c r="C244" s="703"/>
      <c r="D244" s="703"/>
      <c r="E244" s="703"/>
      <c r="F244" s="703"/>
      <c r="G244" s="703"/>
      <c r="H244" s="703"/>
      <c r="I244" s="703"/>
      <c r="J244" s="703"/>
      <c r="K244" s="703"/>
      <c r="L244" s="703"/>
      <c r="M244" s="703"/>
      <c r="N244" s="703"/>
      <c r="O244" s="703"/>
      <c r="P244" s="703"/>
      <c r="Q244" s="703"/>
      <c r="R244" s="703"/>
      <c r="S244" s="703"/>
      <c r="T244" s="703"/>
      <c r="U244" s="703"/>
      <c r="V244" s="703"/>
      <c r="W244" s="703"/>
      <c r="X244" s="703"/>
      <c r="Y244" s="703"/>
      <c r="Z244" s="703"/>
    </row>
    <row r="245">
      <c r="A245" s="703"/>
      <c r="B245" s="703"/>
      <c r="C245" s="703"/>
      <c r="D245" s="703"/>
      <c r="E245" s="703"/>
      <c r="F245" s="703"/>
      <c r="G245" s="703"/>
      <c r="H245" s="703"/>
      <c r="I245" s="703"/>
      <c r="J245" s="703"/>
      <c r="K245" s="703"/>
      <c r="L245" s="703"/>
      <c r="M245" s="703"/>
      <c r="N245" s="703"/>
      <c r="O245" s="703"/>
      <c r="P245" s="703"/>
      <c r="Q245" s="703"/>
      <c r="R245" s="703"/>
      <c r="S245" s="703"/>
      <c r="T245" s="703"/>
      <c r="U245" s="703"/>
      <c r="V245" s="703"/>
      <c r="W245" s="703"/>
      <c r="X245" s="703"/>
      <c r="Y245" s="703"/>
      <c r="Z245" s="703"/>
    </row>
    <row r="246">
      <c r="A246" s="703"/>
      <c r="B246" s="703"/>
      <c r="C246" s="703"/>
      <c r="D246" s="703"/>
      <c r="E246" s="703"/>
      <c r="F246" s="703"/>
      <c r="G246" s="703"/>
      <c r="H246" s="703"/>
      <c r="I246" s="703"/>
      <c r="J246" s="703"/>
      <c r="K246" s="703"/>
      <c r="L246" s="703"/>
      <c r="M246" s="703"/>
      <c r="N246" s="703"/>
      <c r="O246" s="703"/>
      <c r="P246" s="703"/>
      <c r="Q246" s="703"/>
      <c r="R246" s="703"/>
      <c r="S246" s="703"/>
      <c r="T246" s="703"/>
      <c r="U246" s="703"/>
      <c r="V246" s="703"/>
      <c r="W246" s="703"/>
      <c r="X246" s="703"/>
      <c r="Y246" s="703"/>
      <c r="Z246" s="703"/>
    </row>
    <row r="247">
      <c r="A247" s="703"/>
      <c r="B247" s="703"/>
      <c r="C247" s="703"/>
      <c r="D247" s="703"/>
      <c r="E247" s="703"/>
      <c r="F247" s="703"/>
      <c r="G247" s="703"/>
      <c r="H247" s="703"/>
      <c r="I247" s="703"/>
      <c r="J247" s="703"/>
      <c r="K247" s="703"/>
      <c r="L247" s="703"/>
      <c r="M247" s="703"/>
      <c r="N247" s="703"/>
      <c r="O247" s="703"/>
      <c r="P247" s="703"/>
      <c r="Q247" s="703"/>
      <c r="R247" s="703"/>
      <c r="S247" s="703"/>
      <c r="T247" s="703"/>
      <c r="U247" s="703"/>
      <c r="V247" s="703"/>
      <c r="W247" s="703"/>
      <c r="X247" s="703"/>
      <c r="Y247" s="703"/>
      <c r="Z247" s="703"/>
    </row>
    <row r="248">
      <c r="A248" s="703"/>
      <c r="B248" s="703"/>
      <c r="C248" s="703"/>
      <c r="D248" s="703"/>
      <c r="E248" s="703"/>
      <c r="F248" s="703"/>
      <c r="G248" s="703"/>
      <c r="H248" s="703"/>
      <c r="I248" s="703"/>
      <c r="J248" s="703"/>
      <c r="K248" s="703"/>
      <c r="L248" s="703"/>
      <c r="M248" s="703"/>
      <c r="N248" s="703"/>
      <c r="O248" s="703"/>
      <c r="P248" s="703"/>
      <c r="Q248" s="703"/>
      <c r="R248" s="703"/>
      <c r="S248" s="703"/>
      <c r="T248" s="703"/>
      <c r="U248" s="703"/>
      <c r="V248" s="703"/>
      <c r="W248" s="703"/>
      <c r="X248" s="703"/>
      <c r="Y248" s="703"/>
      <c r="Z248" s="703"/>
    </row>
    <row r="249">
      <c r="A249" s="703"/>
      <c r="B249" s="703"/>
      <c r="C249" s="703"/>
      <c r="D249" s="703"/>
      <c r="E249" s="703"/>
      <c r="F249" s="703"/>
      <c r="G249" s="703"/>
      <c r="H249" s="703"/>
      <c r="I249" s="703"/>
      <c r="J249" s="703"/>
      <c r="K249" s="703"/>
      <c r="L249" s="703"/>
      <c r="M249" s="703"/>
      <c r="N249" s="703"/>
      <c r="O249" s="703"/>
      <c r="P249" s="703"/>
      <c r="Q249" s="703"/>
      <c r="R249" s="703"/>
      <c r="S249" s="703"/>
      <c r="T249" s="703"/>
      <c r="U249" s="703"/>
      <c r="V249" s="703"/>
      <c r="W249" s="703"/>
      <c r="X249" s="703"/>
      <c r="Y249" s="703"/>
      <c r="Z249" s="703"/>
    </row>
    <row r="250">
      <c r="A250" s="703"/>
      <c r="B250" s="703"/>
      <c r="C250" s="703"/>
      <c r="D250" s="703"/>
      <c r="E250" s="703"/>
      <c r="F250" s="703"/>
      <c r="G250" s="703"/>
      <c r="H250" s="703"/>
      <c r="I250" s="703"/>
      <c r="J250" s="703"/>
      <c r="K250" s="703"/>
      <c r="L250" s="703"/>
      <c r="M250" s="703"/>
      <c r="N250" s="703"/>
      <c r="O250" s="703"/>
      <c r="P250" s="703"/>
      <c r="Q250" s="703"/>
      <c r="R250" s="703"/>
      <c r="S250" s="703"/>
      <c r="T250" s="703"/>
      <c r="U250" s="703"/>
      <c r="V250" s="703"/>
      <c r="W250" s="703"/>
      <c r="X250" s="703"/>
      <c r="Y250" s="703"/>
      <c r="Z250" s="703"/>
    </row>
    <row r="251">
      <c r="A251" s="703"/>
      <c r="B251" s="703"/>
      <c r="C251" s="703"/>
      <c r="D251" s="703"/>
      <c r="E251" s="703"/>
      <c r="F251" s="703"/>
      <c r="G251" s="703"/>
      <c r="H251" s="703"/>
      <c r="I251" s="703"/>
      <c r="J251" s="703"/>
      <c r="K251" s="703"/>
      <c r="L251" s="703"/>
      <c r="M251" s="703"/>
      <c r="N251" s="703"/>
      <c r="O251" s="703"/>
      <c r="P251" s="703"/>
      <c r="Q251" s="703"/>
      <c r="R251" s="703"/>
      <c r="S251" s="703"/>
      <c r="T251" s="703"/>
      <c r="U251" s="703"/>
      <c r="V251" s="703"/>
      <c r="W251" s="703"/>
      <c r="X251" s="703"/>
      <c r="Y251" s="703"/>
      <c r="Z251" s="703"/>
    </row>
    <row r="252">
      <c r="A252" s="703"/>
      <c r="B252" s="703"/>
      <c r="C252" s="703"/>
      <c r="D252" s="703"/>
      <c r="E252" s="703"/>
      <c r="F252" s="703"/>
      <c r="G252" s="703"/>
      <c r="H252" s="703"/>
      <c r="I252" s="703"/>
      <c r="J252" s="703"/>
      <c r="K252" s="703"/>
      <c r="L252" s="703"/>
      <c r="M252" s="703"/>
      <c r="N252" s="703"/>
      <c r="O252" s="703"/>
      <c r="P252" s="703"/>
      <c r="Q252" s="703"/>
      <c r="R252" s="703"/>
      <c r="S252" s="703"/>
      <c r="T252" s="703"/>
      <c r="U252" s="703"/>
      <c r="V252" s="703"/>
      <c r="W252" s="703"/>
      <c r="X252" s="703"/>
      <c r="Y252" s="703"/>
      <c r="Z252" s="703"/>
    </row>
    <row r="253">
      <c r="A253" s="703"/>
      <c r="B253" s="703"/>
      <c r="C253" s="703"/>
      <c r="D253" s="703"/>
      <c r="E253" s="703"/>
      <c r="F253" s="703"/>
      <c r="G253" s="703"/>
      <c r="H253" s="703"/>
      <c r="I253" s="703"/>
      <c r="J253" s="703"/>
      <c r="K253" s="703"/>
      <c r="L253" s="703"/>
      <c r="M253" s="703"/>
      <c r="N253" s="703"/>
      <c r="O253" s="703"/>
      <c r="P253" s="703"/>
      <c r="Q253" s="703"/>
      <c r="R253" s="703"/>
      <c r="S253" s="703"/>
      <c r="T253" s="703"/>
      <c r="U253" s="703"/>
      <c r="V253" s="703"/>
      <c r="W253" s="703"/>
      <c r="X253" s="703"/>
      <c r="Y253" s="703"/>
      <c r="Z253" s="703"/>
    </row>
    <row r="254">
      <c r="A254" s="703"/>
      <c r="B254" s="703"/>
      <c r="C254" s="703"/>
      <c r="D254" s="703"/>
      <c r="E254" s="703"/>
      <c r="F254" s="703"/>
      <c r="G254" s="703"/>
      <c r="H254" s="703"/>
      <c r="I254" s="703"/>
      <c r="J254" s="703"/>
      <c r="K254" s="703"/>
      <c r="L254" s="703"/>
      <c r="M254" s="703"/>
      <c r="N254" s="703"/>
      <c r="O254" s="703"/>
      <c r="P254" s="703"/>
      <c r="Q254" s="703"/>
      <c r="R254" s="703"/>
      <c r="S254" s="703"/>
      <c r="T254" s="703"/>
      <c r="U254" s="703"/>
      <c r="V254" s="703"/>
      <c r="W254" s="703"/>
      <c r="X254" s="703"/>
      <c r="Y254" s="703"/>
      <c r="Z254" s="703"/>
    </row>
    <row r="255">
      <c r="A255" s="703"/>
      <c r="B255" s="703"/>
      <c r="C255" s="703"/>
      <c r="D255" s="703"/>
      <c r="E255" s="703"/>
      <c r="F255" s="703"/>
      <c r="G255" s="703"/>
      <c r="H255" s="703"/>
      <c r="I255" s="703"/>
      <c r="J255" s="703"/>
      <c r="K255" s="703"/>
      <c r="L255" s="703"/>
      <c r="M255" s="703"/>
      <c r="N255" s="703"/>
      <c r="O255" s="703"/>
      <c r="P255" s="703"/>
      <c r="Q255" s="703"/>
      <c r="R255" s="703"/>
      <c r="S255" s="703"/>
      <c r="T255" s="703"/>
      <c r="U255" s="703"/>
      <c r="V255" s="703"/>
      <c r="W255" s="703"/>
      <c r="X255" s="703"/>
      <c r="Y255" s="703"/>
      <c r="Z255" s="703"/>
    </row>
    <row r="256">
      <c r="A256" s="703"/>
      <c r="B256" s="703"/>
      <c r="C256" s="703"/>
      <c r="D256" s="703"/>
      <c r="E256" s="703"/>
      <c r="F256" s="703"/>
      <c r="G256" s="703"/>
      <c r="H256" s="703"/>
      <c r="I256" s="703"/>
      <c r="J256" s="703"/>
      <c r="K256" s="703"/>
      <c r="L256" s="703"/>
      <c r="M256" s="703"/>
      <c r="N256" s="703"/>
      <c r="O256" s="703"/>
      <c r="P256" s="703"/>
      <c r="Q256" s="703"/>
      <c r="R256" s="703"/>
      <c r="S256" s="703"/>
      <c r="T256" s="703"/>
      <c r="U256" s="703"/>
      <c r="V256" s="703"/>
      <c r="W256" s="703"/>
      <c r="X256" s="703"/>
      <c r="Y256" s="703"/>
      <c r="Z256" s="703"/>
    </row>
    <row r="257">
      <c r="A257" s="703"/>
      <c r="B257" s="703"/>
      <c r="C257" s="703"/>
      <c r="D257" s="703"/>
      <c r="E257" s="703"/>
      <c r="F257" s="703"/>
      <c r="G257" s="703"/>
      <c r="H257" s="703"/>
      <c r="I257" s="703"/>
      <c r="J257" s="703"/>
      <c r="K257" s="703"/>
      <c r="L257" s="703"/>
      <c r="M257" s="703"/>
      <c r="N257" s="703"/>
      <c r="O257" s="703"/>
      <c r="P257" s="703"/>
      <c r="Q257" s="703"/>
      <c r="R257" s="703"/>
      <c r="S257" s="703"/>
      <c r="T257" s="703"/>
      <c r="U257" s="703"/>
      <c r="V257" s="703"/>
      <c r="W257" s="703"/>
      <c r="X257" s="703"/>
      <c r="Y257" s="703"/>
      <c r="Z257" s="703"/>
    </row>
    <row r="258">
      <c r="A258" s="703"/>
      <c r="B258" s="703"/>
      <c r="C258" s="703"/>
      <c r="D258" s="703"/>
      <c r="E258" s="703"/>
      <c r="F258" s="703"/>
      <c r="G258" s="703"/>
      <c r="H258" s="703"/>
      <c r="I258" s="703"/>
      <c r="J258" s="703"/>
      <c r="K258" s="703"/>
      <c r="L258" s="703"/>
      <c r="M258" s="703"/>
      <c r="N258" s="703"/>
      <c r="O258" s="703"/>
      <c r="P258" s="703"/>
      <c r="Q258" s="703"/>
      <c r="R258" s="703"/>
      <c r="S258" s="703"/>
      <c r="T258" s="703"/>
      <c r="U258" s="703"/>
      <c r="V258" s="703"/>
      <c r="W258" s="703"/>
      <c r="X258" s="703"/>
      <c r="Y258" s="703"/>
      <c r="Z258" s="703"/>
    </row>
    <row r="259">
      <c r="A259" s="703"/>
      <c r="B259" s="703"/>
      <c r="C259" s="703"/>
      <c r="D259" s="703"/>
      <c r="E259" s="703"/>
      <c r="F259" s="703"/>
      <c r="G259" s="703"/>
      <c r="H259" s="703"/>
      <c r="I259" s="703"/>
      <c r="J259" s="703"/>
      <c r="K259" s="703"/>
      <c r="L259" s="703"/>
      <c r="M259" s="703"/>
      <c r="N259" s="703"/>
      <c r="O259" s="703"/>
      <c r="P259" s="703"/>
      <c r="Q259" s="703"/>
      <c r="R259" s="703"/>
      <c r="S259" s="703"/>
      <c r="T259" s="703"/>
      <c r="U259" s="703"/>
      <c r="V259" s="703"/>
      <c r="W259" s="703"/>
      <c r="X259" s="703"/>
      <c r="Y259" s="703"/>
      <c r="Z259" s="703"/>
    </row>
    <row r="260">
      <c r="A260" s="703"/>
      <c r="B260" s="703"/>
      <c r="C260" s="703"/>
      <c r="D260" s="703"/>
      <c r="E260" s="703"/>
      <c r="F260" s="703"/>
      <c r="G260" s="703"/>
      <c r="H260" s="703"/>
      <c r="I260" s="703"/>
      <c r="J260" s="703"/>
      <c r="K260" s="703"/>
      <c r="L260" s="703"/>
      <c r="M260" s="703"/>
      <c r="N260" s="703"/>
      <c r="O260" s="703"/>
      <c r="P260" s="703"/>
      <c r="Q260" s="703"/>
      <c r="R260" s="703"/>
      <c r="S260" s="703"/>
      <c r="T260" s="703"/>
      <c r="U260" s="703"/>
      <c r="V260" s="703"/>
      <c r="W260" s="703"/>
      <c r="X260" s="703"/>
      <c r="Y260" s="703"/>
      <c r="Z260" s="703"/>
    </row>
    <row r="261">
      <c r="A261" s="703"/>
      <c r="B261" s="703"/>
      <c r="C261" s="703"/>
      <c r="D261" s="703"/>
      <c r="E261" s="703"/>
      <c r="F261" s="703"/>
      <c r="G261" s="703"/>
      <c r="H261" s="703"/>
      <c r="I261" s="703"/>
      <c r="J261" s="703"/>
      <c r="K261" s="703"/>
      <c r="L261" s="703"/>
      <c r="M261" s="703"/>
      <c r="N261" s="703"/>
      <c r="O261" s="703"/>
      <c r="P261" s="703"/>
      <c r="Q261" s="703"/>
      <c r="R261" s="703"/>
      <c r="S261" s="703"/>
      <c r="T261" s="703"/>
      <c r="U261" s="703"/>
      <c r="V261" s="703"/>
      <c r="W261" s="703"/>
      <c r="X261" s="703"/>
      <c r="Y261" s="703"/>
      <c r="Z261" s="703"/>
    </row>
    <row r="262">
      <c r="A262" s="703"/>
      <c r="B262" s="703"/>
      <c r="C262" s="703"/>
      <c r="D262" s="703"/>
      <c r="E262" s="703"/>
      <c r="F262" s="703"/>
      <c r="G262" s="703"/>
      <c r="H262" s="703"/>
      <c r="I262" s="703"/>
      <c r="J262" s="703"/>
      <c r="K262" s="703"/>
      <c r="L262" s="703"/>
      <c r="M262" s="703"/>
      <c r="N262" s="703"/>
      <c r="O262" s="703"/>
      <c r="P262" s="703"/>
      <c r="Q262" s="703"/>
      <c r="R262" s="703"/>
      <c r="S262" s="703"/>
      <c r="T262" s="703"/>
      <c r="U262" s="703"/>
      <c r="V262" s="703"/>
      <c r="W262" s="703"/>
      <c r="X262" s="703"/>
      <c r="Y262" s="703"/>
      <c r="Z262" s="703"/>
    </row>
    <row r="263">
      <c r="A263" s="703"/>
      <c r="B263" s="703"/>
      <c r="C263" s="703"/>
      <c r="D263" s="703"/>
      <c r="E263" s="703"/>
      <c r="F263" s="703"/>
      <c r="G263" s="703"/>
      <c r="H263" s="703"/>
      <c r="I263" s="703"/>
      <c r="J263" s="703"/>
      <c r="K263" s="703"/>
      <c r="L263" s="703"/>
      <c r="M263" s="703"/>
      <c r="N263" s="703"/>
      <c r="O263" s="703"/>
      <c r="P263" s="703"/>
      <c r="Q263" s="703"/>
      <c r="R263" s="703"/>
      <c r="S263" s="703"/>
      <c r="T263" s="703"/>
      <c r="U263" s="703"/>
      <c r="V263" s="703"/>
      <c r="W263" s="703"/>
      <c r="X263" s="703"/>
      <c r="Y263" s="703"/>
      <c r="Z263" s="703"/>
    </row>
    <row r="264">
      <c r="A264" s="703"/>
      <c r="B264" s="703"/>
      <c r="C264" s="703"/>
      <c r="D264" s="703"/>
      <c r="E264" s="703"/>
      <c r="F264" s="703"/>
      <c r="G264" s="703"/>
      <c r="H264" s="703"/>
      <c r="I264" s="703"/>
      <c r="J264" s="703"/>
      <c r="K264" s="703"/>
      <c r="L264" s="703"/>
      <c r="M264" s="703"/>
      <c r="N264" s="703"/>
      <c r="O264" s="703"/>
      <c r="P264" s="703"/>
      <c r="Q264" s="703"/>
      <c r="R264" s="703"/>
      <c r="S264" s="703"/>
      <c r="T264" s="703"/>
      <c r="U264" s="703"/>
      <c r="V264" s="703"/>
      <c r="W264" s="703"/>
      <c r="X264" s="703"/>
      <c r="Y264" s="703"/>
      <c r="Z264" s="703"/>
    </row>
    <row r="265">
      <c r="A265" s="703"/>
      <c r="B265" s="703"/>
      <c r="C265" s="703"/>
      <c r="D265" s="703"/>
      <c r="E265" s="703"/>
      <c r="F265" s="703"/>
      <c r="G265" s="703"/>
      <c r="H265" s="703"/>
      <c r="I265" s="703"/>
      <c r="J265" s="703"/>
      <c r="K265" s="703"/>
      <c r="L265" s="703"/>
      <c r="M265" s="703"/>
      <c r="N265" s="703"/>
      <c r="O265" s="703"/>
      <c r="P265" s="703"/>
      <c r="Q265" s="703"/>
      <c r="R265" s="703"/>
      <c r="S265" s="703"/>
      <c r="T265" s="703"/>
      <c r="U265" s="703"/>
      <c r="V265" s="703"/>
      <c r="W265" s="703"/>
      <c r="X265" s="703"/>
      <c r="Y265" s="703"/>
      <c r="Z265" s="703"/>
    </row>
    <row r="266">
      <c r="A266" s="703"/>
      <c r="B266" s="703"/>
      <c r="C266" s="703"/>
      <c r="D266" s="703"/>
      <c r="E266" s="703"/>
      <c r="F266" s="703"/>
      <c r="G266" s="703"/>
      <c r="H266" s="703"/>
      <c r="I266" s="703"/>
      <c r="J266" s="703"/>
      <c r="K266" s="703"/>
      <c r="L266" s="703"/>
      <c r="M266" s="703"/>
      <c r="N266" s="703"/>
      <c r="O266" s="703"/>
      <c r="P266" s="703"/>
      <c r="Q266" s="703"/>
      <c r="R266" s="703"/>
      <c r="S266" s="703"/>
      <c r="T266" s="703"/>
      <c r="U266" s="703"/>
      <c r="V266" s="703"/>
      <c r="W266" s="703"/>
      <c r="X266" s="703"/>
      <c r="Y266" s="703"/>
      <c r="Z266" s="703"/>
    </row>
    <row r="267">
      <c r="A267" s="703"/>
      <c r="B267" s="703"/>
      <c r="C267" s="703"/>
      <c r="D267" s="703"/>
      <c r="E267" s="703"/>
      <c r="F267" s="703"/>
      <c r="G267" s="703"/>
      <c r="H267" s="703"/>
      <c r="I267" s="703"/>
      <c r="J267" s="703"/>
      <c r="K267" s="703"/>
      <c r="L267" s="703"/>
      <c r="M267" s="703"/>
      <c r="N267" s="703"/>
      <c r="O267" s="703"/>
      <c r="P267" s="703"/>
      <c r="Q267" s="703"/>
      <c r="R267" s="703"/>
      <c r="S267" s="703"/>
      <c r="T267" s="703"/>
      <c r="U267" s="703"/>
      <c r="V267" s="703"/>
      <c r="W267" s="703"/>
      <c r="X267" s="703"/>
      <c r="Y267" s="703"/>
      <c r="Z267" s="703"/>
    </row>
    <row r="268">
      <c r="A268" s="703"/>
      <c r="B268" s="703"/>
      <c r="C268" s="703"/>
      <c r="D268" s="703"/>
      <c r="E268" s="703"/>
      <c r="F268" s="703"/>
      <c r="G268" s="703"/>
      <c r="H268" s="703"/>
      <c r="I268" s="703"/>
      <c r="J268" s="703"/>
      <c r="K268" s="703"/>
      <c r="L268" s="703"/>
      <c r="M268" s="703"/>
      <c r="N268" s="703"/>
      <c r="O268" s="703"/>
      <c r="P268" s="703"/>
      <c r="Q268" s="703"/>
      <c r="R268" s="703"/>
      <c r="S268" s="703"/>
      <c r="T268" s="703"/>
      <c r="U268" s="703"/>
      <c r="V268" s="703"/>
      <c r="W268" s="703"/>
      <c r="X268" s="703"/>
      <c r="Y268" s="703"/>
      <c r="Z268" s="703"/>
    </row>
    <row r="269">
      <c r="A269" s="703"/>
      <c r="B269" s="703"/>
      <c r="C269" s="703"/>
      <c r="D269" s="703"/>
      <c r="E269" s="703"/>
      <c r="F269" s="703"/>
      <c r="G269" s="703"/>
      <c r="H269" s="703"/>
      <c r="I269" s="703"/>
      <c r="J269" s="703"/>
      <c r="K269" s="703"/>
      <c r="L269" s="703"/>
      <c r="M269" s="703"/>
      <c r="N269" s="703"/>
      <c r="O269" s="703"/>
      <c r="P269" s="703"/>
      <c r="Q269" s="703"/>
      <c r="R269" s="703"/>
      <c r="S269" s="703"/>
      <c r="T269" s="703"/>
      <c r="U269" s="703"/>
      <c r="V269" s="703"/>
      <c r="W269" s="703"/>
      <c r="X269" s="703"/>
      <c r="Y269" s="703"/>
      <c r="Z269" s="703"/>
    </row>
    <row r="270">
      <c r="A270" s="703"/>
      <c r="B270" s="703"/>
      <c r="C270" s="703"/>
      <c r="D270" s="703"/>
      <c r="E270" s="703"/>
      <c r="F270" s="703"/>
      <c r="G270" s="703"/>
      <c r="H270" s="703"/>
      <c r="I270" s="703"/>
      <c r="J270" s="703"/>
      <c r="K270" s="703"/>
      <c r="L270" s="703"/>
      <c r="M270" s="703"/>
      <c r="N270" s="703"/>
      <c r="O270" s="703"/>
      <c r="P270" s="703"/>
      <c r="Q270" s="703"/>
      <c r="R270" s="703"/>
      <c r="S270" s="703"/>
      <c r="T270" s="703"/>
      <c r="U270" s="703"/>
      <c r="V270" s="703"/>
      <c r="W270" s="703"/>
      <c r="X270" s="703"/>
      <c r="Y270" s="703"/>
      <c r="Z270" s="703"/>
    </row>
    <row r="271">
      <c r="A271" s="703"/>
      <c r="B271" s="703"/>
      <c r="C271" s="703"/>
      <c r="D271" s="703"/>
      <c r="E271" s="703"/>
      <c r="F271" s="703"/>
      <c r="G271" s="703"/>
      <c r="H271" s="703"/>
      <c r="I271" s="703"/>
      <c r="J271" s="703"/>
      <c r="K271" s="703"/>
      <c r="L271" s="703"/>
      <c r="M271" s="703"/>
      <c r="N271" s="703"/>
      <c r="O271" s="703"/>
      <c r="P271" s="703"/>
      <c r="Q271" s="703"/>
      <c r="R271" s="703"/>
      <c r="S271" s="703"/>
      <c r="T271" s="703"/>
      <c r="U271" s="703"/>
      <c r="V271" s="703"/>
      <c r="W271" s="703"/>
      <c r="X271" s="703"/>
      <c r="Y271" s="703"/>
      <c r="Z271" s="703"/>
    </row>
    <row r="272">
      <c r="A272" s="703"/>
      <c r="B272" s="703"/>
      <c r="C272" s="703"/>
      <c r="D272" s="703"/>
      <c r="E272" s="703"/>
      <c r="F272" s="703"/>
      <c r="G272" s="703"/>
      <c r="H272" s="703"/>
      <c r="I272" s="703"/>
      <c r="J272" s="703"/>
      <c r="K272" s="703"/>
      <c r="L272" s="703"/>
      <c r="M272" s="703"/>
      <c r="N272" s="703"/>
      <c r="O272" s="703"/>
      <c r="P272" s="703"/>
      <c r="Q272" s="703"/>
      <c r="R272" s="703"/>
      <c r="S272" s="703"/>
      <c r="T272" s="703"/>
      <c r="U272" s="703"/>
      <c r="V272" s="703"/>
      <c r="W272" s="703"/>
      <c r="X272" s="703"/>
      <c r="Y272" s="703"/>
      <c r="Z272" s="703"/>
    </row>
    <row r="273">
      <c r="A273" s="703"/>
      <c r="B273" s="703"/>
      <c r="C273" s="703"/>
      <c r="D273" s="703"/>
      <c r="E273" s="703"/>
      <c r="F273" s="703"/>
      <c r="G273" s="703"/>
      <c r="H273" s="703"/>
      <c r="I273" s="703"/>
      <c r="J273" s="703"/>
      <c r="K273" s="703"/>
      <c r="L273" s="703"/>
      <c r="M273" s="703"/>
      <c r="N273" s="703"/>
      <c r="O273" s="703"/>
      <c r="P273" s="703"/>
      <c r="Q273" s="703"/>
      <c r="R273" s="703"/>
      <c r="S273" s="703"/>
      <c r="T273" s="703"/>
      <c r="U273" s="703"/>
      <c r="V273" s="703"/>
      <c r="W273" s="703"/>
      <c r="X273" s="703"/>
      <c r="Y273" s="703"/>
      <c r="Z273" s="703"/>
    </row>
    <row r="274">
      <c r="A274" s="703"/>
      <c r="B274" s="703"/>
      <c r="C274" s="703"/>
      <c r="D274" s="703"/>
      <c r="E274" s="703"/>
      <c r="F274" s="703"/>
      <c r="G274" s="703"/>
      <c r="H274" s="703"/>
      <c r="I274" s="703"/>
      <c r="J274" s="703"/>
      <c r="K274" s="703"/>
      <c r="L274" s="703"/>
      <c r="M274" s="703"/>
      <c r="N274" s="703"/>
      <c r="O274" s="703"/>
      <c r="P274" s="703"/>
      <c r="Q274" s="703"/>
      <c r="R274" s="703"/>
      <c r="S274" s="703"/>
      <c r="T274" s="703"/>
      <c r="U274" s="703"/>
      <c r="V274" s="703"/>
      <c r="W274" s="703"/>
      <c r="X274" s="703"/>
      <c r="Y274" s="703"/>
      <c r="Z274" s="703"/>
    </row>
    <row r="275">
      <c r="A275" s="703"/>
      <c r="B275" s="703"/>
      <c r="C275" s="703"/>
      <c r="D275" s="703"/>
      <c r="E275" s="703"/>
      <c r="F275" s="703"/>
      <c r="G275" s="703"/>
      <c r="H275" s="703"/>
      <c r="I275" s="703"/>
      <c r="J275" s="703"/>
      <c r="K275" s="703"/>
      <c r="L275" s="703"/>
      <c r="M275" s="703"/>
      <c r="N275" s="703"/>
      <c r="O275" s="703"/>
      <c r="P275" s="703"/>
      <c r="Q275" s="703"/>
      <c r="R275" s="703"/>
      <c r="S275" s="703"/>
      <c r="T275" s="703"/>
      <c r="U275" s="703"/>
      <c r="V275" s="703"/>
      <c r="W275" s="703"/>
      <c r="X275" s="703"/>
      <c r="Y275" s="703"/>
      <c r="Z275" s="703"/>
    </row>
    <row r="276">
      <c r="A276" s="703"/>
      <c r="B276" s="703"/>
      <c r="C276" s="703"/>
      <c r="D276" s="703"/>
      <c r="E276" s="703"/>
      <c r="F276" s="703"/>
      <c r="G276" s="703"/>
      <c r="H276" s="703"/>
      <c r="I276" s="703"/>
      <c r="J276" s="703"/>
      <c r="K276" s="703"/>
      <c r="L276" s="703"/>
      <c r="M276" s="703"/>
      <c r="N276" s="703"/>
      <c r="O276" s="703"/>
      <c r="P276" s="703"/>
      <c r="Q276" s="703"/>
      <c r="R276" s="703"/>
      <c r="S276" s="703"/>
      <c r="T276" s="703"/>
      <c r="U276" s="703"/>
      <c r="V276" s="703"/>
      <c r="W276" s="703"/>
      <c r="X276" s="703"/>
      <c r="Y276" s="703"/>
      <c r="Z276" s="703"/>
    </row>
    <row r="277">
      <c r="A277" s="703"/>
      <c r="B277" s="703"/>
      <c r="C277" s="703"/>
      <c r="D277" s="703"/>
      <c r="E277" s="703"/>
      <c r="F277" s="703"/>
      <c r="G277" s="703"/>
      <c r="H277" s="703"/>
      <c r="I277" s="703"/>
      <c r="J277" s="703"/>
      <c r="K277" s="703"/>
      <c r="L277" s="703"/>
      <c r="M277" s="703"/>
      <c r="N277" s="703"/>
      <c r="O277" s="703"/>
      <c r="P277" s="703"/>
      <c r="Q277" s="703"/>
      <c r="R277" s="703"/>
      <c r="S277" s="703"/>
      <c r="T277" s="703"/>
      <c r="U277" s="703"/>
      <c r="V277" s="703"/>
      <c r="W277" s="703"/>
      <c r="X277" s="703"/>
      <c r="Y277" s="703"/>
      <c r="Z277" s="703"/>
    </row>
    <row r="278">
      <c r="A278" s="703"/>
      <c r="B278" s="703"/>
      <c r="C278" s="703"/>
      <c r="D278" s="703"/>
      <c r="E278" s="703"/>
      <c r="F278" s="703"/>
      <c r="G278" s="703"/>
      <c r="H278" s="703"/>
      <c r="I278" s="703"/>
      <c r="J278" s="703"/>
      <c r="K278" s="703"/>
      <c r="L278" s="703"/>
      <c r="M278" s="703"/>
      <c r="N278" s="703"/>
      <c r="O278" s="703"/>
      <c r="P278" s="703"/>
      <c r="Q278" s="703"/>
      <c r="R278" s="703"/>
      <c r="S278" s="703"/>
      <c r="T278" s="703"/>
      <c r="U278" s="703"/>
      <c r="V278" s="703"/>
      <c r="W278" s="703"/>
      <c r="X278" s="703"/>
      <c r="Y278" s="703"/>
      <c r="Z278" s="703"/>
    </row>
    <row r="279">
      <c r="A279" s="703"/>
      <c r="B279" s="703"/>
      <c r="C279" s="703"/>
      <c r="D279" s="703"/>
      <c r="E279" s="703"/>
      <c r="F279" s="703"/>
      <c r="G279" s="703"/>
      <c r="H279" s="703"/>
      <c r="I279" s="703"/>
      <c r="J279" s="703"/>
      <c r="K279" s="703"/>
      <c r="L279" s="703"/>
      <c r="M279" s="703"/>
      <c r="N279" s="703"/>
      <c r="O279" s="703"/>
      <c r="P279" s="703"/>
      <c r="Q279" s="703"/>
      <c r="R279" s="703"/>
      <c r="S279" s="703"/>
      <c r="T279" s="703"/>
      <c r="U279" s="703"/>
      <c r="V279" s="703"/>
      <c r="W279" s="703"/>
      <c r="X279" s="703"/>
      <c r="Y279" s="703"/>
      <c r="Z279" s="703"/>
    </row>
    <row r="280">
      <c r="A280" s="703"/>
      <c r="B280" s="703"/>
      <c r="C280" s="703"/>
      <c r="D280" s="703"/>
      <c r="E280" s="703"/>
      <c r="F280" s="703"/>
      <c r="G280" s="703"/>
      <c r="H280" s="703"/>
      <c r="I280" s="703"/>
      <c r="J280" s="703"/>
      <c r="K280" s="703"/>
      <c r="L280" s="703"/>
      <c r="M280" s="703"/>
      <c r="N280" s="703"/>
      <c r="O280" s="703"/>
      <c r="P280" s="703"/>
      <c r="Q280" s="703"/>
      <c r="R280" s="703"/>
      <c r="S280" s="703"/>
      <c r="T280" s="703"/>
      <c r="U280" s="703"/>
      <c r="V280" s="703"/>
      <c r="W280" s="703"/>
      <c r="X280" s="703"/>
      <c r="Y280" s="703"/>
      <c r="Z280" s="703"/>
    </row>
    <row r="281">
      <c r="A281" s="703"/>
      <c r="B281" s="703"/>
      <c r="C281" s="703"/>
      <c r="D281" s="703"/>
      <c r="E281" s="703"/>
      <c r="F281" s="703"/>
      <c r="G281" s="703"/>
      <c r="H281" s="703"/>
      <c r="I281" s="703"/>
      <c r="J281" s="703"/>
      <c r="K281" s="703"/>
      <c r="L281" s="703"/>
      <c r="M281" s="703"/>
      <c r="N281" s="703"/>
      <c r="O281" s="703"/>
      <c r="P281" s="703"/>
      <c r="Q281" s="703"/>
      <c r="R281" s="703"/>
      <c r="S281" s="703"/>
      <c r="T281" s="703"/>
      <c r="U281" s="703"/>
      <c r="V281" s="703"/>
      <c r="W281" s="703"/>
      <c r="X281" s="703"/>
      <c r="Y281" s="703"/>
      <c r="Z281" s="703"/>
    </row>
    <row r="282">
      <c r="A282" s="703"/>
      <c r="B282" s="703"/>
      <c r="C282" s="703"/>
      <c r="D282" s="703"/>
      <c r="E282" s="703"/>
      <c r="F282" s="703"/>
      <c r="G282" s="703"/>
      <c r="H282" s="703"/>
      <c r="I282" s="703"/>
      <c r="J282" s="703"/>
      <c r="K282" s="703"/>
      <c r="L282" s="703"/>
      <c r="M282" s="703"/>
      <c r="N282" s="703"/>
      <c r="O282" s="703"/>
      <c r="P282" s="703"/>
      <c r="Q282" s="703"/>
      <c r="R282" s="703"/>
      <c r="S282" s="703"/>
      <c r="T282" s="703"/>
      <c r="U282" s="703"/>
      <c r="V282" s="703"/>
      <c r="W282" s="703"/>
      <c r="X282" s="703"/>
      <c r="Y282" s="703"/>
      <c r="Z282" s="703"/>
    </row>
    <row r="283">
      <c r="A283" s="703"/>
      <c r="B283" s="703"/>
      <c r="C283" s="703"/>
      <c r="D283" s="703"/>
      <c r="E283" s="703"/>
      <c r="F283" s="703"/>
      <c r="G283" s="703"/>
      <c r="H283" s="703"/>
      <c r="I283" s="703"/>
      <c r="J283" s="703"/>
      <c r="K283" s="703"/>
      <c r="L283" s="703"/>
      <c r="M283" s="703"/>
      <c r="N283" s="703"/>
      <c r="O283" s="703"/>
      <c r="P283" s="703"/>
      <c r="Q283" s="703"/>
      <c r="R283" s="703"/>
      <c r="S283" s="703"/>
      <c r="T283" s="703"/>
      <c r="U283" s="703"/>
      <c r="V283" s="703"/>
      <c r="W283" s="703"/>
      <c r="X283" s="703"/>
      <c r="Y283" s="703"/>
      <c r="Z283" s="703"/>
    </row>
    <row r="284">
      <c r="A284" s="703"/>
      <c r="B284" s="703"/>
      <c r="C284" s="703"/>
      <c r="D284" s="703"/>
      <c r="E284" s="703"/>
      <c r="F284" s="703"/>
      <c r="G284" s="703"/>
      <c r="H284" s="703"/>
      <c r="I284" s="703"/>
      <c r="J284" s="703"/>
      <c r="K284" s="703"/>
      <c r="L284" s="703"/>
      <c r="M284" s="703"/>
      <c r="N284" s="703"/>
      <c r="O284" s="703"/>
      <c r="P284" s="703"/>
      <c r="Q284" s="703"/>
      <c r="R284" s="703"/>
      <c r="S284" s="703"/>
      <c r="T284" s="703"/>
      <c r="U284" s="703"/>
      <c r="V284" s="703"/>
      <c r="W284" s="703"/>
      <c r="X284" s="703"/>
      <c r="Y284" s="703"/>
      <c r="Z284" s="703"/>
    </row>
    <row r="285">
      <c r="A285" s="703"/>
      <c r="B285" s="703"/>
      <c r="C285" s="703"/>
      <c r="D285" s="703"/>
      <c r="E285" s="703"/>
      <c r="F285" s="703"/>
      <c r="G285" s="703"/>
      <c r="H285" s="703"/>
      <c r="I285" s="703"/>
      <c r="J285" s="703"/>
      <c r="K285" s="703"/>
      <c r="L285" s="703"/>
      <c r="M285" s="703"/>
      <c r="N285" s="703"/>
      <c r="O285" s="703"/>
      <c r="P285" s="703"/>
      <c r="Q285" s="703"/>
      <c r="R285" s="703"/>
      <c r="S285" s="703"/>
      <c r="T285" s="703"/>
      <c r="U285" s="703"/>
      <c r="V285" s="703"/>
      <c r="W285" s="703"/>
      <c r="X285" s="703"/>
      <c r="Y285" s="703"/>
      <c r="Z285" s="703"/>
    </row>
    <row r="286">
      <c r="A286" s="703"/>
      <c r="B286" s="703"/>
      <c r="C286" s="703"/>
      <c r="D286" s="703"/>
      <c r="E286" s="703"/>
      <c r="F286" s="703"/>
      <c r="G286" s="703"/>
      <c r="H286" s="703"/>
      <c r="I286" s="703"/>
      <c r="J286" s="703"/>
      <c r="K286" s="703"/>
      <c r="L286" s="703"/>
      <c r="M286" s="703"/>
      <c r="N286" s="703"/>
      <c r="O286" s="703"/>
      <c r="P286" s="703"/>
      <c r="Q286" s="703"/>
      <c r="R286" s="703"/>
      <c r="S286" s="703"/>
      <c r="T286" s="703"/>
      <c r="U286" s="703"/>
      <c r="V286" s="703"/>
      <c r="W286" s="703"/>
      <c r="X286" s="703"/>
      <c r="Y286" s="703"/>
      <c r="Z286" s="703"/>
    </row>
    <row r="287">
      <c r="A287" s="703"/>
      <c r="B287" s="703"/>
      <c r="C287" s="703"/>
      <c r="D287" s="703"/>
      <c r="E287" s="703"/>
      <c r="F287" s="703"/>
      <c r="G287" s="703"/>
      <c r="H287" s="703"/>
      <c r="I287" s="703"/>
      <c r="J287" s="703"/>
      <c r="K287" s="703"/>
      <c r="L287" s="703"/>
      <c r="M287" s="703"/>
      <c r="N287" s="703"/>
      <c r="O287" s="703"/>
      <c r="P287" s="703"/>
      <c r="Q287" s="703"/>
      <c r="R287" s="703"/>
      <c r="S287" s="703"/>
      <c r="T287" s="703"/>
      <c r="U287" s="703"/>
      <c r="V287" s="703"/>
      <c r="W287" s="703"/>
      <c r="X287" s="703"/>
      <c r="Y287" s="703"/>
      <c r="Z287" s="703"/>
    </row>
    <row r="288">
      <c r="A288" s="703"/>
      <c r="B288" s="703"/>
      <c r="C288" s="703"/>
      <c r="D288" s="703"/>
      <c r="E288" s="703"/>
      <c r="F288" s="703"/>
      <c r="G288" s="703"/>
      <c r="H288" s="703"/>
      <c r="I288" s="703"/>
      <c r="J288" s="703"/>
      <c r="K288" s="703"/>
      <c r="L288" s="703"/>
      <c r="M288" s="703"/>
      <c r="N288" s="703"/>
      <c r="O288" s="703"/>
      <c r="P288" s="703"/>
      <c r="Q288" s="703"/>
      <c r="R288" s="703"/>
      <c r="S288" s="703"/>
      <c r="T288" s="703"/>
      <c r="U288" s="703"/>
      <c r="V288" s="703"/>
      <c r="W288" s="703"/>
      <c r="X288" s="703"/>
      <c r="Y288" s="703"/>
      <c r="Z288" s="703"/>
    </row>
    <row r="289">
      <c r="A289" s="703"/>
      <c r="B289" s="703"/>
      <c r="C289" s="703"/>
      <c r="D289" s="703"/>
      <c r="E289" s="703"/>
      <c r="F289" s="703"/>
      <c r="G289" s="703"/>
      <c r="H289" s="703"/>
      <c r="I289" s="703"/>
      <c r="J289" s="703"/>
      <c r="K289" s="703"/>
      <c r="L289" s="703"/>
      <c r="M289" s="703"/>
      <c r="N289" s="703"/>
      <c r="O289" s="703"/>
      <c r="P289" s="703"/>
      <c r="Q289" s="703"/>
      <c r="R289" s="703"/>
      <c r="S289" s="703"/>
      <c r="T289" s="703"/>
      <c r="U289" s="703"/>
      <c r="V289" s="703"/>
      <c r="W289" s="703"/>
      <c r="X289" s="703"/>
      <c r="Y289" s="703"/>
      <c r="Z289" s="703"/>
    </row>
    <row r="290">
      <c r="A290" s="703"/>
      <c r="B290" s="703"/>
      <c r="C290" s="703"/>
      <c r="D290" s="703"/>
      <c r="E290" s="703"/>
      <c r="F290" s="703"/>
      <c r="G290" s="703"/>
      <c r="H290" s="703"/>
      <c r="I290" s="703"/>
      <c r="J290" s="703"/>
      <c r="K290" s="703"/>
      <c r="L290" s="703"/>
      <c r="M290" s="703"/>
      <c r="N290" s="703"/>
      <c r="O290" s="703"/>
      <c r="P290" s="703"/>
      <c r="Q290" s="703"/>
      <c r="R290" s="703"/>
      <c r="S290" s="703"/>
      <c r="T290" s="703"/>
      <c r="U290" s="703"/>
      <c r="V290" s="703"/>
      <c r="W290" s="703"/>
      <c r="X290" s="703"/>
      <c r="Y290" s="703"/>
      <c r="Z290" s="703"/>
    </row>
    <row r="291">
      <c r="A291" s="703"/>
      <c r="B291" s="703"/>
      <c r="C291" s="703"/>
      <c r="D291" s="703"/>
      <c r="E291" s="703"/>
      <c r="F291" s="703"/>
      <c r="G291" s="703"/>
      <c r="H291" s="703"/>
      <c r="I291" s="703"/>
      <c r="J291" s="703"/>
      <c r="K291" s="703"/>
      <c r="L291" s="703"/>
      <c r="M291" s="703"/>
      <c r="N291" s="703"/>
      <c r="O291" s="703"/>
      <c r="P291" s="703"/>
      <c r="Q291" s="703"/>
      <c r="R291" s="703"/>
      <c r="S291" s="703"/>
      <c r="T291" s="703"/>
      <c r="U291" s="703"/>
      <c r="V291" s="703"/>
      <c r="W291" s="703"/>
      <c r="X291" s="703"/>
      <c r="Y291" s="703"/>
      <c r="Z291" s="703"/>
    </row>
    <row r="292">
      <c r="A292" s="703"/>
      <c r="B292" s="703"/>
      <c r="C292" s="703"/>
      <c r="D292" s="703"/>
      <c r="E292" s="703"/>
      <c r="F292" s="703"/>
      <c r="G292" s="703"/>
      <c r="H292" s="703"/>
      <c r="I292" s="703"/>
      <c r="J292" s="703"/>
      <c r="K292" s="703"/>
      <c r="L292" s="703"/>
      <c r="M292" s="703"/>
      <c r="N292" s="703"/>
      <c r="O292" s="703"/>
      <c r="P292" s="703"/>
      <c r="Q292" s="703"/>
      <c r="R292" s="703"/>
      <c r="S292" s="703"/>
      <c r="T292" s="703"/>
      <c r="U292" s="703"/>
      <c r="V292" s="703"/>
      <c r="W292" s="703"/>
      <c r="X292" s="703"/>
      <c r="Y292" s="703"/>
      <c r="Z292" s="703"/>
    </row>
    <row r="293">
      <c r="A293" s="703"/>
      <c r="B293" s="703"/>
      <c r="C293" s="703"/>
      <c r="D293" s="703"/>
      <c r="E293" s="703"/>
      <c r="F293" s="703"/>
      <c r="G293" s="703"/>
      <c r="H293" s="703"/>
      <c r="I293" s="703"/>
      <c r="J293" s="703"/>
      <c r="K293" s="703"/>
      <c r="L293" s="703"/>
      <c r="M293" s="703"/>
      <c r="N293" s="703"/>
      <c r="O293" s="703"/>
      <c r="P293" s="703"/>
      <c r="Q293" s="703"/>
      <c r="R293" s="703"/>
      <c r="S293" s="703"/>
      <c r="T293" s="703"/>
      <c r="U293" s="703"/>
      <c r="V293" s="703"/>
      <c r="W293" s="703"/>
      <c r="X293" s="703"/>
      <c r="Y293" s="703"/>
      <c r="Z293" s="703"/>
    </row>
    <row r="294">
      <c r="A294" s="703"/>
      <c r="B294" s="703"/>
      <c r="C294" s="703"/>
      <c r="D294" s="703"/>
      <c r="E294" s="703"/>
      <c r="F294" s="703"/>
      <c r="G294" s="703"/>
      <c r="H294" s="703"/>
      <c r="I294" s="703"/>
      <c r="J294" s="703"/>
      <c r="K294" s="703"/>
      <c r="L294" s="703"/>
      <c r="M294" s="703"/>
      <c r="N294" s="703"/>
      <c r="O294" s="703"/>
      <c r="P294" s="703"/>
      <c r="Q294" s="703"/>
      <c r="R294" s="703"/>
      <c r="S294" s="703"/>
      <c r="T294" s="703"/>
      <c r="U294" s="703"/>
      <c r="V294" s="703"/>
      <c r="W294" s="703"/>
      <c r="X294" s="703"/>
      <c r="Y294" s="703"/>
      <c r="Z294" s="703"/>
    </row>
    <row r="295">
      <c r="A295" s="703"/>
      <c r="B295" s="703"/>
      <c r="C295" s="703"/>
      <c r="D295" s="703"/>
      <c r="E295" s="703"/>
      <c r="F295" s="703"/>
      <c r="G295" s="703"/>
      <c r="H295" s="703"/>
      <c r="I295" s="703"/>
      <c r="J295" s="703"/>
      <c r="K295" s="703"/>
      <c r="L295" s="703"/>
      <c r="M295" s="703"/>
      <c r="N295" s="703"/>
      <c r="O295" s="703"/>
      <c r="P295" s="703"/>
      <c r="Q295" s="703"/>
      <c r="R295" s="703"/>
      <c r="S295" s="703"/>
      <c r="T295" s="703"/>
      <c r="U295" s="703"/>
      <c r="V295" s="703"/>
      <c r="W295" s="703"/>
      <c r="X295" s="703"/>
      <c r="Y295" s="703"/>
      <c r="Z295" s="703"/>
    </row>
    <row r="296">
      <c r="A296" s="703"/>
      <c r="B296" s="703"/>
      <c r="C296" s="703"/>
      <c r="D296" s="703"/>
      <c r="E296" s="703"/>
      <c r="F296" s="703"/>
      <c r="G296" s="703"/>
      <c r="H296" s="703"/>
      <c r="I296" s="703"/>
      <c r="J296" s="703"/>
      <c r="K296" s="703"/>
      <c r="L296" s="703"/>
      <c r="M296" s="703"/>
      <c r="N296" s="703"/>
      <c r="O296" s="703"/>
      <c r="P296" s="703"/>
      <c r="Q296" s="703"/>
      <c r="R296" s="703"/>
      <c r="S296" s="703"/>
      <c r="T296" s="703"/>
      <c r="U296" s="703"/>
      <c r="V296" s="703"/>
      <c r="W296" s="703"/>
      <c r="X296" s="703"/>
      <c r="Y296" s="703"/>
      <c r="Z296" s="703"/>
    </row>
    <row r="297">
      <c r="A297" s="703"/>
      <c r="B297" s="703"/>
      <c r="C297" s="703"/>
      <c r="D297" s="703"/>
      <c r="E297" s="703"/>
      <c r="F297" s="703"/>
      <c r="G297" s="703"/>
      <c r="H297" s="703"/>
      <c r="I297" s="703"/>
      <c r="J297" s="703"/>
      <c r="K297" s="703"/>
      <c r="L297" s="703"/>
      <c r="M297" s="703"/>
      <c r="N297" s="703"/>
      <c r="O297" s="703"/>
      <c r="P297" s="703"/>
      <c r="Q297" s="703"/>
      <c r="R297" s="703"/>
      <c r="S297" s="703"/>
      <c r="T297" s="703"/>
      <c r="U297" s="703"/>
      <c r="V297" s="703"/>
      <c r="W297" s="703"/>
      <c r="X297" s="703"/>
      <c r="Y297" s="703"/>
      <c r="Z297" s="703"/>
    </row>
    <row r="298">
      <c r="A298" s="703"/>
      <c r="B298" s="703"/>
      <c r="C298" s="703"/>
      <c r="D298" s="703"/>
      <c r="E298" s="703"/>
      <c r="F298" s="703"/>
      <c r="G298" s="703"/>
      <c r="H298" s="703"/>
      <c r="I298" s="703"/>
      <c r="J298" s="703"/>
      <c r="K298" s="703"/>
      <c r="L298" s="703"/>
      <c r="M298" s="703"/>
      <c r="N298" s="703"/>
      <c r="O298" s="703"/>
      <c r="P298" s="703"/>
      <c r="Q298" s="703"/>
      <c r="R298" s="703"/>
      <c r="S298" s="703"/>
      <c r="T298" s="703"/>
      <c r="U298" s="703"/>
      <c r="V298" s="703"/>
      <c r="W298" s="703"/>
      <c r="X298" s="703"/>
      <c r="Y298" s="703"/>
      <c r="Z298" s="703"/>
    </row>
    <row r="299">
      <c r="A299" s="703"/>
      <c r="B299" s="703"/>
      <c r="C299" s="703"/>
      <c r="D299" s="703"/>
      <c r="E299" s="703"/>
      <c r="F299" s="703"/>
      <c r="G299" s="703"/>
      <c r="H299" s="703"/>
      <c r="I299" s="703"/>
      <c r="J299" s="703"/>
      <c r="K299" s="703"/>
      <c r="L299" s="703"/>
      <c r="M299" s="703"/>
      <c r="N299" s="703"/>
      <c r="O299" s="703"/>
      <c r="P299" s="703"/>
      <c r="Q299" s="703"/>
      <c r="R299" s="703"/>
      <c r="S299" s="703"/>
      <c r="T299" s="703"/>
      <c r="U299" s="703"/>
      <c r="V299" s="703"/>
      <c r="W299" s="703"/>
      <c r="X299" s="703"/>
      <c r="Y299" s="703"/>
      <c r="Z299" s="703"/>
    </row>
    <row r="300">
      <c r="A300" s="703"/>
      <c r="B300" s="703"/>
      <c r="C300" s="703"/>
      <c r="D300" s="703"/>
      <c r="E300" s="703"/>
      <c r="F300" s="703"/>
      <c r="G300" s="703"/>
      <c r="H300" s="703"/>
      <c r="I300" s="703"/>
      <c r="J300" s="703"/>
      <c r="K300" s="703"/>
      <c r="L300" s="703"/>
      <c r="M300" s="703"/>
      <c r="N300" s="703"/>
      <c r="O300" s="703"/>
      <c r="P300" s="703"/>
      <c r="Q300" s="703"/>
      <c r="R300" s="703"/>
      <c r="S300" s="703"/>
      <c r="T300" s="703"/>
      <c r="U300" s="703"/>
      <c r="V300" s="703"/>
      <c r="W300" s="703"/>
      <c r="X300" s="703"/>
      <c r="Y300" s="703"/>
      <c r="Z300" s="703"/>
    </row>
    <row r="301">
      <c r="A301" s="703"/>
      <c r="B301" s="703"/>
      <c r="C301" s="703"/>
      <c r="D301" s="703"/>
      <c r="E301" s="703"/>
      <c r="F301" s="703"/>
      <c r="G301" s="703"/>
      <c r="H301" s="703"/>
      <c r="I301" s="703"/>
      <c r="J301" s="703"/>
      <c r="K301" s="703"/>
      <c r="L301" s="703"/>
      <c r="M301" s="703"/>
      <c r="N301" s="703"/>
      <c r="O301" s="703"/>
      <c r="P301" s="703"/>
      <c r="Q301" s="703"/>
      <c r="R301" s="703"/>
      <c r="S301" s="703"/>
      <c r="T301" s="703"/>
      <c r="U301" s="703"/>
      <c r="V301" s="703"/>
      <c r="W301" s="703"/>
      <c r="X301" s="703"/>
      <c r="Y301" s="703"/>
      <c r="Z301" s="703"/>
    </row>
    <row r="302">
      <c r="A302" s="703"/>
      <c r="B302" s="703"/>
      <c r="C302" s="703"/>
      <c r="D302" s="703"/>
      <c r="E302" s="703"/>
      <c r="F302" s="703"/>
      <c r="G302" s="703"/>
      <c r="H302" s="703"/>
      <c r="I302" s="703"/>
      <c r="J302" s="703"/>
      <c r="K302" s="703"/>
      <c r="L302" s="703"/>
      <c r="M302" s="703"/>
      <c r="N302" s="703"/>
      <c r="O302" s="703"/>
      <c r="P302" s="703"/>
      <c r="Q302" s="703"/>
      <c r="R302" s="703"/>
      <c r="S302" s="703"/>
      <c r="T302" s="703"/>
      <c r="U302" s="703"/>
      <c r="V302" s="703"/>
      <c r="W302" s="703"/>
      <c r="X302" s="703"/>
      <c r="Y302" s="703"/>
      <c r="Z302" s="703"/>
    </row>
    <row r="303">
      <c r="A303" s="703"/>
      <c r="B303" s="703"/>
      <c r="C303" s="703"/>
      <c r="D303" s="703"/>
      <c r="E303" s="703"/>
      <c r="F303" s="703"/>
      <c r="G303" s="703"/>
      <c r="H303" s="703"/>
      <c r="I303" s="703"/>
      <c r="J303" s="703"/>
      <c r="K303" s="703"/>
      <c r="L303" s="703"/>
      <c r="M303" s="703"/>
      <c r="N303" s="703"/>
      <c r="O303" s="703"/>
      <c r="P303" s="703"/>
      <c r="Q303" s="703"/>
      <c r="R303" s="703"/>
      <c r="S303" s="703"/>
      <c r="T303" s="703"/>
      <c r="U303" s="703"/>
      <c r="V303" s="703"/>
      <c r="W303" s="703"/>
      <c r="X303" s="703"/>
      <c r="Y303" s="703"/>
      <c r="Z303" s="703"/>
    </row>
    <row r="304">
      <c r="A304" s="703"/>
      <c r="B304" s="703"/>
      <c r="C304" s="703"/>
      <c r="D304" s="703"/>
      <c r="E304" s="703"/>
      <c r="F304" s="703"/>
      <c r="G304" s="703"/>
      <c r="H304" s="703"/>
      <c r="I304" s="703"/>
      <c r="J304" s="703"/>
      <c r="K304" s="703"/>
      <c r="L304" s="703"/>
      <c r="M304" s="703"/>
      <c r="N304" s="703"/>
      <c r="O304" s="703"/>
      <c r="P304" s="703"/>
      <c r="Q304" s="703"/>
      <c r="R304" s="703"/>
      <c r="S304" s="703"/>
      <c r="T304" s="703"/>
      <c r="U304" s="703"/>
      <c r="V304" s="703"/>
      <c r="W304" s="703"/>
      <c r="X304" s="703"/>
      <c r="Y304" s="703"/>
      <c r="Z304" s="703"/>
    </row>
    <row r="305">
      <c r="A305" s="703"/>
      <c r="B305" s="703"/>
      <c r="C305" s="703"/>
      <c r="D305" s="703"/>
      <c r="E305" s="703"/>
      <c r="F305" s="703"/>
      <c r="G305" s="703"/>
      <c r="H305" s="703"/>
      <c r="I305" s="703"/>
      <c r="J305" s="703"/>
      <c r="K305" s="703"/>
      <c r="L305" s="703"/>
      <c r="M305" s="703"/>
      <c r="N305" s="703"/>
      <c r="O305" s="703"/>
      <c r="P305" s="703"/>
      <c r="Q305" s="703"/>
      <c r="R305" s="703"/>
      <c r="S305" s="703"/>
      <c r="T305" s="703"/>
      <c r="U305" s="703"/>
      <c r="V305" s="703"/>
      <c r="W305" s="703"/>
      <c r="X305" s="703"/>
      <c r="Y305" s="703"/>
      <c r="Z305" s="703"/>
    </row>
    <row r="306">
      <c r="A306" s="703"/>
      <c r="B306" s="703"/>
      <c r="C306" s="703"/>
      <c r="D306" s="703"/>
      <c r="E306" s="703"/>
      <c r="F306" s="703"/>
      <c r="G306" s="703"/>
      <c r="H306" s="703"/>
      <c r="I306" s="703"/>
      <c r="J306" s="703"/>
      <c r="K306" s="703"/>
      <c r="L306" s="703"/>
      <c r="M306" s="703"/>
      <c r="N306" s="703"/>
      <c r="O306" s="703"/>
      <c r="P306" s="703"/>
      <c r="Q306" s="703"/>
      <c r="R306" s="703"/>
      <c r="S306" s="703"/>
      <c r="T306" s="703"/>
      <c r="U306" s="703"/>
      <c r="V306" s="703"/>
      <c r="W306" s="703"/>
      <c r="X306" s="703"/>
      <c r="Y306" s="703"/>
      <c r="Z306" s="703"/>
    </row>
    <row r="307">
      <c r="A307" s="703"/>
      <c r="B307" s="703"/>
      <c r="C307" s="703"/>
      <c r="D307" s="703"/>
      <c r="E307" s="703"/>
      <c r="F307" s="703"/>
      <c r="G307" s="703"/>
      <c r="H307" s="703"/>
      <c r="I307" s="703"/>
      <c r="J307" s="703"/>
      <c r="K307" s="703"/>
      <c r="L307" s="703"/>
      <c r="M307" s="703"/>
      <c r="N307" s="703"/>
      <c r="O307" s="703"/>
      <c r="P307" s="703"/>
      <c r="Q307" s="703"/>
      <c r="R307" s="703"/>
      <c r="S307" s="703"/>
      <c r="T307" s="703"/>
      <c r="U307" s="703"/>
      <c r="V307" s="703"/>
      <c r="W307" s="703"/>
      <c r="X307" s="703"/>
      <c r="Y307" s="703"/>
      <c r="Z307" s="703"/>
    </row>
    <row r="308">
      <c r="A308" s="703"/>
      <c r="B308" s="703"/>
      <c r="C308" s="703"/>
      <c r="D308" s="703"/>
      <c r="E308" s="703"/>
      <c r="F308" s="703"/>
      <c r="G308" s="703"/>
      <c r="H308" s="703"/>
      <c r="I308" s="703"/>
      <c r="J308" s="703"/>
      <c r="K308" s="703"/>
      <c r="L308" s="703"/>
      <c r="M308" s="703"/>
      <c r="N308" s="703"/>
      <c r="O308" s="703"/>
      <c r="P308" s="703"/>
      <c r="Q308" s="703"/>
      <c r="R308" s="703"/>
      <c r="S308" s="703"/>
      <c r="T308" s="703"/>
      <c r="U308" s="703"/>
      <c r="V308" s="703"/>
      <c r="W308" s="703"/>
      <c r="X308" s="703"/>
      <c r="Y308" s="703"/>
      <c r="Z308" s="703"/>
    </row>
    <row r="309">
      <c r="A309" s="703"/>
      <c r="B309" s="703"/>
      <c r="C309" s="703"/>
      <c r="D309" s="703"/>
      <c r="E309" s="703"/>
      <c r="F309" s="703"/>
      <c r="G309" s="703"/>
      <c r="H309" s="703"/>
      <c r="I309" s="703"/>
      <c r="J309" s="703"/>
      <c r="K309" s="703"/>
      <c r="L309" s="703"/>
      <c r="M309" s="703"/>
      <c r="N309" s="703"/>
      <c r="O309" s="703"/>
      <c r="P309" s="703"/>
      <c r="Q309" s="703"/>
      <c r="R309" s="703"/>
      <c r="S309" s="703"/>
      <c r="T309" s="703"/>
      <c r="U309" s="703"/>
      <c r="V309" s="703"/>
      <c r="W309" s="703"/>
      <c r="X309" s="703"/>
      <c r="Y309" s="703"/>
      <c r="Z309" s="703"/>
    </row>
    <row r="310">
      <c r="A310" s="703"/>
      <c r="B310" s="703"/>
      <c r="C310" s="703"/>
      <c r="D310" s="703"/>
      <c r="E310" s="703"/>
      <c r="F310" s="703"/>
      <c r="G310" s="703"/>
      <c r="H310" s="703"/>
      <c r="I310" s="703"/>
      <c r="J310" s="703"/>
      <c r="K310" s="703"/>
      <c r="L310" s="703"/>
      <c r="M310" s="703"/>
      <c r="N310" s="703"/>
      <c r="O310" s="703"/>
      <c r="P310" s="703"/>
      <c r="Q310" s="703"/>
      <c r="R310" s="703"/>
      <c r="S310" s="703"/>
      <c r="T310" s="703"/>
      <c r="U310" s="703"/>
      <c r="V310" s="703"/>
      <c r="W310" s="703"/>
      <c r="X310" s="703"/>
      <c r="Y310" s="703"/>
      <c r="Z310" s="703"/>
    </row>
    <row r="311">
      <c r="A311" s="703"/>
      <c r="B311" s="703"/>
      <c r="C311" s="703"/>
      <c r="D311" s="703"/>
      <c r="E311" s="703"/>
      <c r="F311" s="703"/>
      <c r="G311" s="703"/>
      <c r="H311" s="703"/>
      <c r="I311" s="703"/>
      <c r="J311" s="703"/>
      <c r="K311" s="703"/>
      <c r="L311" s="703"/>
      <c r="M311" s="703"/>
      <c r="N311" s="703"/>
      <c r="O311" s="703"/>
      <c r="P311" s="703"/>
      <c r="Q311" s="703"/>
      <c r="R311" s="703"/>
      <c r="S311" s="703"/>
      <c r="T311" s="703"/>
      <c r="U311" s="703"/>
      <c r="V311" s="703"/>
      <c r="W311" s="703"/>
      <c r="X311" s="703"/>
      <c r="Y311" s="703"/>
      <c r="Z311" s="703"/>
    </row>
    <row r="312">
      <c r="A312" s="703"/>
      <c r="B312" s="703"/>
      <c r="C312" s="703"/>
      <c r="D312" s="703"/>
      <c r="E312" s="703"/>
      <c r="F312" s="703"/>
      <c r="G312" s="703"/>
      <c r="H312" s="703"/>
      <c r="I312" s="703"/>
      <c r="J312" s="703"/>
      <c r="K312" s="703"/>
      <c r="L312" s="703"/>
      <c r="M312" s="703"/>
      <c r="N312" s="703"/>
      <c r="O312" s="703"/>
      <c r="P312" s="703"/>
      <c r="Q312" s="703"/>
      <c r="R312" s="703"/>
      <c r="S312" s="703"/>
      <c r="T312" s="703"/>
      <c r="U312" s="703"/>
      <c r="V312" s="703"/>
      <c r="W312" s="703"/>
      <c r="X312" s="703"/>
      <c r="Y312" s="703"/>
      <c r="Z312" s="703"/>
    </row>
    <row r="313">
      <c r="A313" s="703"/>
      <c r="B313" s="703"/>
      <c r="C313" s="703"/>
      <c r="D313" s="703"/>
      <c r="E313" s="703"/>
      <c r="F313" s="703"/>
      <c r="G313" s="703"/>
      <c r="H313" s="703"/>
      <c r="I313" s="703"/>
      <c r="J313" s="703"/>
      <c r="K313" s="703"/>
      <c r="L313" s="703"/>
      <c r="M313" s="703"/>
      <c r="N313" s="703"/>
      <c r="O313" s="703"/>
      <c r="P313" s="703"/>
      <c r="Q313" s="703"/>
      <c r="R313" s="703"/>
      <c r="S313" s="703"/>
      <c r="T313" s="703"/>
      <c r="U313" s="703"/>
      <c r="V313" s="703"/>
      <c r="W313" s="703"/>
      <c r="X313" s="703"/>
      <c r="Y313" s="703"/>
      <c r="Z313" s="703"/>
    </row>
    <row r="314">
      <c r="A314" s="703"/>
      <c r="B314" s="703"/>
      <c r="C314" s="703"/>
      <c r="D314" s="703"/>
      <c r="E314" s="703"/>
      <c r="F314" s="703"/>
      <c r="G314" s="703"/>
      <c r="H314" s="703"/>
      <c r="I314" s="703"/>
      <c r="J314" s="703"/>
      <c r="K314" s="703"/>
      <c r="L314" s="703"/>
      <c r="M314" s="703"/>
      <c r="N314" s="703"/>
      <c r="O314" s="703"/>
      <c r="P314" s="703"/>
      <c r="Q314" s="703"/>
      <c r="R314" s="703"/>
      <c r="S314" s="703"/>
      <c r="T314" s="703"/>
      <c r="U314" s="703"/>
      <c r="V314" s="703"/>
      <c r="W314" s="703"/>
      <c r="X314" s="703"/>
      <c r="Y314" s="703"/>
      <c r="Z314" s="703"/>
    </row>
    <row r="315">
      <c r="A315" s="703"/>
      <c r="B315" s="703"/>
      <c r="C315" s="703"/>
      <c r="D315" s="703"/>
      <c r="E315" s="703"/>
      <c r="F315" s="703"/>
      <c r="G315" s="703"/>
      <c r="H315" s="703"/>
      <c r="I315" s="703"/>
      <c r="J315" s="703"/>
      <c r="K315" s="703"/>
      <c r="L315" s="703"/>
      <c r="M315" s="703"/>
      <c r="N315" s="703"/>
      <c r="O315" s="703"/>
      <c r="P315" s="703"/>
      <c r="Q315" s="703"/>
      <c r="R315" s="703"/>
      <c r="S315" s="703"/>
      <c r="T315" s="703"/>
      <c r="U315" s="703"/>
      <c r="V315" s="703"/>
      <c r="W315" s="703"/>
      <c r="X315" s="703"/>
      <c r="Y315" s="703"/>
      <c r="Z315" s="703"/>
    </row>
    <row r="316">
      <c r="A316" s="703"/>
      <c r="B316" s="703"/>
      <c r="C316" s="703"/>
      <c r="D316" s="703"/>
      <c r="E316" s="703"/>
      <c r="F316" s="703"/>
      <c r="G316" s="703"/>
      <c r="H316" s="703"/>
      <c r="I316" s="703"/>
      <c r="J316" s="703"/>
      <c r="K316" s="703"/>
      <c r="L316" s="703"/>
      <c r="M316" s="703"/>
      <c r="N316" s="703"/>
      <c r="O316" s="703"/>
      <c r="P316" s="703"/>
      <c r="Q316" s="703"/>
      <c r="R316" s="703"/>
      <c r="S316" s="703"/>
      <c r="T316" s="703"/>
      <c r="U316" s="703"/>
      <c r="V316" s="703"/>
      <c r="W316" s="703"/>
      <c r="X316" s="703"/>
      <c r="Y316" s="703"/>
      <c r="Z316" s="703"/>
    </row>
    <row r="317">
      <c r="A317" s="703"/>
      <c r="B317" s="703"/>
      <c r="C317" s="703"/>
      <c r="D317" s="703"/>
      <c r="E317" s="703"/>
      <c r="F317" s="703"/>
      <c r="G317" s="703"/>
      <c r="H317" s="703"/>
      <c r="I317" s="703"/>
      <c r="J317" s="703"/>
      <c r="K317" s="703"/>
      <c r="L317" s="703"/>
      <c r="M317" s="703"/>
      <c r="N317" s="703"/>
      <c r="O317" s="703"/>
      <c r="P317" s="703"/>
      <c r="Q317" s="703"/>
      <c r="R317" s="703"/>
      <c r="S317" s="703"/>
      <c r="T317" s="703"/>
      <c r="U317" s="703"/>
      <c r="V317" s="703"/>
      <c r="W317" s="703"/>
      <c r="X317" s="703"/>
      <c r="Y317" s="703"/>
      <c r="Z317" s="703"/>
    </row>
    <row r="318">
      <c r="A318" s="703"/>
      <c r="B318" s="703"/>
      <c r="C318" s="703"/>
      <c r="D318" s="703"/>
      <c r="E318" s="703"/>
      <c r="F318" s="703"/>
      <c r="G318" s="703"/>
      <c r="H318" s="703"/>
      <c r="I318" s="703"/>
      <c r="J318" s="703"/>
      <c r="K318" s="703"/>
      <c r="L318" s="703"/>
      <c r="M318" s="703"/>
      <c r="N318" s="703"/>
      <c r="O318" s="703"/>
      <c r="P318" s="703"/>
      <c r="Q318" s="703"/>
      <c r="R318" s="703"/>
      <c r="S318" s="703"/>
      <c r="T318" s="703"/>
      <c r="U318" s="703"/>
      <c r="V318" s="703"/>
      <c r="W318" s="703"/>
      <c r="X318" s="703"/>
      <c r="Y318" s="703"/>
      <c r="Z318" s="703"/>
    </row>
    <row r="319">
      <c r="A319" s="703"/>
      <c r="B319" s="703"/>
      <c r="C319" s="703"/>
      <c r="D319" s="703"/>
      <c r="E319" s="703"/>
      <c r="F319" s="703"/>
      <c r="G319" s="703"/>
      <c r="H319" s="703"/>
      <c r="I319" s="703"/>
      <c r="J319" s="703"/>
      <c r="K319" s="703"/>
      <c r="L319" s="703"/>
      <c r="M319" s="703"/>
      <c r="N319" s="703"/>
      <c r="O319" s="703"/>
      <c r="P319" s="703"/>
      <c r="Q319" s="703"/>
      <c r="R319" s="703"/>
      <c r="S319" s="703"/>
      <c r="T319" s="703"/>
      <c r="U319" s="703"/>
      <c r="V319" s="703"/>
      <c r="W319" s="703"/>
      <c r="X319" s="703"/>
      <c r="Y319" s="703"/>
      <c r="Z319" s="703"/>
    </row>
    <row r="320">
      <c r="A320" s="703"/>
      <c r="B320" s="703"/>
      <c r="C320" s="703"/>
      <c r="D320" s="703"/>
      <c r="E320" s="703"/>
      <c r="F320" s="703"/>
      <c r="G320" s="703"/>
      <c r="H320" s="703"/>
      <c r="I320" s="703"/>
      <c r="J320" s="703"/>
      <c r="K320" s="703"/>
      <c r="L320" s="703"/>
      <c r="M320" s="703"/>
      <c r="N320" s="703"/>
      <c r="O320" s="703"/>
      <c r="P320" s="703"/>
      <c r="Q320" s="703"/>
      <c r="R320" s="703"/>
      <c r="S320" s="703"/>
      <c r="T320" s="703"/>
      <c r="U320" s="703"/>
      <c r="V320" s="703"/>
      <c r="W320" s="703"/>
      <c r="X320" s="703"/>
      <c r="Y320" s="703"/>
      <c r="Z320" s="703"/>
    </row>
    <row r="321">
      <c r="A321" s="703"/>
      <c r="B321" s="703"/>
      <c r="C321" s="703"/>
      <c r="D321" s="703"/>
      <c r="E321" s="703"/>
      <c r="F321" s="703"/>
      <c r="G321" s="703"/>
      <c r="H321" s="703"/>
      <c r="I321" s="703"/>
      <c r="J321" s="703"/>
      <c r="K321" s="703"/>
      <c r="L321" s="703"/>
      <c r="M321" s="703"/>
      <c r="N321" s="703"/>
      <c r="O321" s="703"/>
      <c r="P321" s="703"/>
      <c r="Q321" s="703"/>
      <c r="R321" s="703"/>
      <c r="S321" s="703"/>
      <c r="T321" s="703"/>
      <c r="U321" s="703"/>
      <c r="V321" s="703"/>
      <c r="W321" s="703"/>
      <c r="X321" s="703"/>
      <c r="Y321" s="703"/>
      <c r="Z321" s="703"/>
    </row>
    <row r="322">
      <c r="A322" s="703"/>
      <c r="B322" s="703"/>
      <c r="C322" s="703"/>
      <c r="D322" s="703"/>
      <c r="E322" s="703"/>
      <c r="F322" s="703"/>
      <c r="G322" s="703"/>
      <c r="H322" s="703"/>
      <c r="I322" s="703"/>
      <c r="J322" s="703"/>
      <c r="K322" s="703"/>
      <c r="L322" s="703"/>
      <c r="M322" s="703"/>
      <c r="N322" s="703"/>
      <c r="O322" s="703"/>
      <c r="P322" s="703"/>
      <c r="Q322" s="703"/>
      <c r="R322" s="703"/>
      <c r="S322" s="703"/>
      <c r="T322" s="703"/>
      <c r="U322" s="703"/>
      <c r="V322" s="703"/>
      <c r="W322" s="703"/>
      <c r="X322" s="703"/>
      <c r="Y322" s="703"/>
      <c r="Z322" s="703"/>
    </row>
    <row r="323">
      <c r="A323" s="703"/>
      <c r="B323" s="703"/>
      <c r="C323" s="703"/>
      <c r="D323" s="703"/>
      <c r="E323" s="703"/>
      <c r="F323" s="703"/>
      <c r="G323" s="703"/>
      <c r="H323" s="703"/>
      <c r="I323" s="703"/>
      <c r="J323" s="703"/>
      <c r="K323" s="703"/>
      <c r="L323" s="703"/>
      <c r="M323" s="703"/>
      <c r="N323" s="703"/>
      <c r="O323" s="703"/>
      <c r="P323" s="703"/>
      <c r="Q323" s="703"/>
      <c r="R323" s="703"/>
      <c r="S323" s="703"/>
      <c r="T323" s="703"/>
      <c r="U323" s="703"/>
      <c r="V323" s="703"/>
      <c r="W323" s="703"/>
      <c r="X323" s="703"/>
      <c r="Y323" s="703"/>
      <c r="Z323" s="703"/>
    </row>
    <row r="324">
      <c r="A324" s="703"/>
      <c r="B324" s="703"/>
      <c r="C324" s="703"/>
      <c r="D324" s="703"/>
      <c r="E324" s="703"/>
      <c r="F324" s="703"/>
      <c r="G324" s="703"/>
      <c r="H324" s="703"/>
      <c r="I324" s="703"/>
      <c r="J324" s="703"/>
      <c r="K324" s="703"/>
      <c r="L324" s="703"/>
      <c r="M324" s="703"/>
      <c r="N324" s="703"/>
      <c r="O324" s="703"/>
      <c r="P324" s="703"/>
      <c r="Q324" s="703"/>
      <c r="R324" s="703"/>
      <c r="S324" s="703"/>
      <c r="T324" s="703"/>
      <c r="U324" s="703"/>
      <c r="V324" s="703"/>
      <c r="W324" s="703"/>
      <c r="X324" s="703"/>
      <c r="Y324" s="703"/>
      <c r="Z324" s="703"/>
    </row>
    <row r="325">
      <c r="A325" s="703"/>
      <c r="B325" s="703"/>
      <c r="C325" s="703"/>
      <c r="D325" s="703"/>
      <c r="E325" s="703"/>
      <c r="F325" s="703"/>
      <c r="G325" s="703"/>
      <c r="H325" s="703"/>
      <c r="I325" s="703"/>
      <c r="J325" s="703"/>
      <c r="K325" s="703"/>
      <c r="L325" s="703"/>
      <c r="M325" s="703"/>
      <c r="N325" s="703"/>
      <c r="O325" s="703"/>
      <c r="P325" s="703"/>
      <c r="Q325" s="703"/>
      <c r="R325" s="703"/>
      <c r="S325" s="703"/>
      <c r="T325" s="703"/>
      <c r="U325" s="703"/>
      <c r="V325" s="703"/>
      <c r="W325" s="703"/>
      <c r="X325" s="703"/>
      <c r="Y325" s="703"/>
      <c r="Z325" s="703"/>
    </row>
    <row r="326">
      <c r="A326" s="703"/>
      <c r="B326" s="703"/>
      <c r="C326" s="703"/>
      <c r="D326" s="703"/>
      <c r="E326" s="703"/>
      <c r="F326" s="703"/>
      <c r="G326" s="703"/>
      <c r="H326" s="703"/>
      <c r="I326" s="703"/>
      <c r="J326" s="703"/>
      <c r="K326" s="703"/>
      <c r="L326" s="703"/>
      <c r="M326" s="703"/>
      <c r="N326" s="703"/>
      <c r="O326" s="703"/>
      <c r="P326" s="703"/>
      <c r="Q326" s="703"/>
      <c r="R326" s="703"/>
      <c r="S326" s="703"/>
      <c r="T326" s="703"/>
      <c r="U326" s="703"/>
      <c r="V326" s="703"/>
      <c r="W326" s="703"/>
      <c r="X326" s="703"/>
      <c r="Y326" s="703"/>
      <c r="Z326" s="703"/>
    </row>
    <row r="327">
      <c r="A327" s="703"/>
      <c r="B327" s="703"/>
      <c r="C327" s="703"/>
      <c r="D327" s="703"/>
      <c r="E327" s="703"/>
      <c r="F327" s="703"/>
      <c r="G327" s="703"/>
      <c r="H327" s="703"/>
      <c r="I327" s="703"/>
      <c r="J327" s="703"/>
      <c r="K327" s="703"/>
      <c r="L327" s="703"/>
      <c r="M327" s="703"/>
      <c r="N327" s="703"/>
      <c r="O327" s="703"/>
      <c r="P327" s="703"/>
      <c r="Q327" s="703"/>
      <c r="R327" s="703"/>
      <c r="S327" s="703"/>
      <c r="T327" s="703"/>
      <c r="U327" s="703"/>
      <c r="V327" s="703"/>
      <c r="W327" s="703"/>
      <c r="X327" s="703"/>
      <c r="Y327" s="703"/>
      <c r="Z327" s="703"/>
    </row>
    <row r="328">
      <c r="A328" s="703"/>
      <c r="B328" s="703"/>
      <c r="C328" s="703"/>
      <c r="D328" s="703"/>
      <c r="E328" s="703"/>
      <c r="F328" s="703"/>
      <c r="G328" s="703"/>
      <c r="H328" s="703"/>
      <c r="I328" s="703"/>
      <c r="J328" s="703"/>
      <c r="K328" s="703"/>
      <c r="L328" s="703"/>
      <c r="M328" s="703"/>
      <c r="N328" s="703"/>
      <c r="O328" s="703"/>
      <c r="P328" s="703"/>
      <c r="Q328" s="703"/>
      <c r="R328" s="703"/>
      <c r="S328" s="703"/>
      <c r="T328" s="703"/>
      <c r="U328" s="703"/>
      <c r="V328" s="703"/>
      <c r="W328" s="703"/>
      <c r="X328" s="703"/>
      <c r="Y328" s="703"/>
      <c r="Z328" s="703"/>
    </row>
    <row r="329">
      <c r="A329" s="703"/>
      <c r="B329" s="703"/>
      <c r="C329" s="703"/>
      <c r="D329" s="703"/>
      <c r="E329" s="703"/>
      <c r="F329" s="703"/>
      <c r="G329" s="703"/>
      <c r="H329" s="703"/>
      <c r="I329" s="703"/>
      <c r="J329" s="703"/>
      <c r="K329" s="703"/>
      <c r="L329" s="703"/>
      <c r="M329" s="703"/>
      <c r="N329" s="703"/>
      <c r="O329" s="703"/>
      <c r="P329" s="703"/>
      <c r="Q329" s="703"/>
      <c r="R329" s="703"/>
      <c r="S329" s="703"/>
      <c r="T329" s="703"/>
      <c r="U329" s="703"/>
      <c r="V329" s="703"/>
      <c r="W329" s="703"/>
      <c r="X329" s="703"/>
      <c r="Y329" s="703"/>
      <c r="Z329" s="703"/>
    </row>
    <row r="330">
      <c r="A330" s="703"/>
      <c r="B330" s="703"/>
      <c r="C330" s="703"/>
      <c r="D330" s="703"/>
      <c r="E330" s="703"/>
      <c r="F330" s="703"/>
      <c r="G330" s="703"/>
      <c r="H330" s="703"/>
      <c r="I330" s="703"/>
      <c r="J330" s="703"/>
      <c r="K330" s="703"/>
      <c r="L330" s="703"/>
      <c r="M330" s="703"/>
      <c r="N330" s="703"/>
      <c r="O330" s="703"/>
      <c r="P330" s="703"/>
      <c r="Q330" s="703"/>
      <c r="R330" s="703"/>
      <c r="S330" s="703"/>
      <c r="T330" s="703"/>
      <c r="U330" s="703"/>
      <c r="V330" s="703"/>
      <c r="W330" s="703"/>
      <c r="X330" s="703"/>
      <c r="Y330" s="703"/>
      <c r="Z330" s="703"/>
    </row>
    <row r="331">
      <c r="A331" s="703"/>
      <c r="B331" s="703"/>
      <c r="C331" s="703"/>
      <c r="D331" s="703"/>
      <c r="E331" s="703"/>
      <c r="F331" s="703"/>
      <c r="G331" s="703"/>
      <c r="H331" s="703"/>
      <c r="I331" s="703"/>
      <c r="J331" s="703"/>
      <c r="K331" s="703"/>
      <c r="L331" s="703"/>
      <c r="M331" s="703"/>
      <c r="N331" s="703"/>
      <c r="O331" s="703"/>
      <c r="P331" s="703"/>
      <c r="Q331" s="703"/>
      <c r="R331" s="703"/>
      <c r="S331" s="703"/>
      <c r="T331" s="703"/>
      <c r="U331" s="703"/>
      <c r="V331" s="703"/>
      <c r="W331" s="703"/>
      <c r="X331" s="703"/>
      <c r="Y331" s="703"/>
      <c r="Z331" s="703"/>
    </row>
    <row r="332">
      <c r="A332" s="703"/>
      <c r="B332" s="703"/>
      <c r="C332" s="703"/>
      <c r="D332" s="703"/>
      <c r="E332" s="703"/>
      <c r="F332" s="703"/>
      <c r="G332" s="703"/>
      <c r="H332" s="703"/>
      <c r="I332" s="703"/>
      <c r="J332" s="703"/>
      <c r="K332" s="703"/>
      <c r="L332" s="703"/>
      <c r="M332" s="703"/>
      <c r="N332" s="703"/>
      <c r="O332" s="703"/>
      <c r="P332" s="703"/>
      <c r="Q332" s="703"/>
      <c r="R332" s="703"/>
      <c r="S332" s="703"/>
      <c r="T332" s="703"/>
      <c r="U332" s="703"/>
      <c r="V332" s="703"/>
      <c r="W332" s="703"/>
      <c r="X332" s="703"/>
      <c r="Y332" s="703"/>
      <c r="Z332" s="703"/>
    </row>
    <row r="333">
      <c r="A333" s="703"/>
      <c r="B333" s="703"/>
      <c r="C333" s="703"/>
      <c r="D333" s="703"/>
      <c r="E333" s="703"/>
      <c r="F333" s="703"/>
      <c r="G333" s="703"/>
      <c r="H333" s="703"/>
      <c r="I333" s="703"/>
      <c r="J333" s="703"/>
      <c r="K333" s="703"/>
      <c r="L333" s="703"/>
      <c r="M333" s="703"/>
      <c r="N333" s="703"/>
      <c r="O333" s="703"/>
      <c r="P333" s="703"/>
      <c r="Q333" s="703"/>
      <c r="R333" s="703"/>
      <c r="S333" s="703"/>
      <c r="T333" s="703"/>
      <c r="U333" s="703"/>
      <c r="V333" s="703"/>
      <c r="W333" s="703"/>
      <c r="X333" s="703"/>
      <c r="Y333" s="703"/>
      <c r="Z333" s="703"/>
    </row>
    <row r="334">
      <c r="A334" s="703"/>
      <c r="B334" s="703"/>
      <c r="C334" s="703"/>
      <c r="D334" s="703"/>
      <c r="E334" s="703"/>
      <c r="F334" s="703"/>
      <c r="G334" s="703"/>
      <c r="H334" s="703"/>
      <c r="I334" s="703"/>
      <c r="J334" s="703"/>
      <c r="K334" s="703"/>
      <c r="L334" s="703"/>
      <c r="M334" s="703"/>
      <c r="N334" s="703"/>
      <c r="O334" s="703"/>
      <c r="P334" s="703"/>
      <c r="Q334" s="703"/>
      <c r="R334" s="703"/>
      <c r="S334" s="703"/>
      <c r="T334" s="703"/>
      <c r="U334" s="703"/>
      <c r="V334" s="703"/>
      <c r="W334" s="703"/>
      <c r="X334" s="703"/>
      <c r="Y334" s="703"/>
      <c r="Z334" s="703"/>
    </row>
    <row r="335">
      <c r="A335" s="703"/>
      <c r="B335" s="703"/>
      <c r="C335" s="703"/>
      <c r="D335" s="703"/>
      <c r="E335" s="703"/>
      <c r="F335" s="703"/>
      <c r="G335" s="703"/>
      <c r="H335" s="703"/>
      <c r="I335" s="703"/>
      <c r="J335" s="703"/>
      <c r="K335" s="703"/>
      <c r="L335" s="703"/>
      <c r="M335" s="703"/>
      <c r="N335" s="703"/>
      <c r="O335" s="703"/>
      <c r="P335" s="703"/>
      <c r="Q335" s="703"/>
      <c r="R335" s="703"/>
      <c r="S335" s="703"/>
      <c r="T335" s="703"/>
      <c r="U335" s="703"/>
      <c r="V335" s="703"/>
      <c r="W335" s="703"/>
      <c r="X335" s="703"/>
      <c r="Y335" s="703"/>
      <c r="Z335" s="703"/>
    </row>
    <row r="336">
      <c r="A336" s="703"/>
      <c r="B336" s="703"/>
      <c r="C336" s="703"/>
      <c r="D336" s="703"/>
      <c r="E336" s="703"/>
      <c r="F336" s="703"/>
      <c r="G336" s="703"/>
      <c r="H336" s="703"/>
      <c r="I336" s="703"/>
      <c r="J336" s="703"/>
      <c r="K336" s="703"/>
      <c r="L336" s="703"/>
      <c r="M336" s="703"/>
      <c r="N336" s="703"/>
      <c r="O336" s="703"/>
      <c r="P336" s="703"/>
      <c r="Q336" s="703"/>
      <c r="R336" s="703"/>
      <c r="S336" s="703"/>
      <c r="T336" s="703"/>
      <c r="U336" s="703"/>
      <c r="V336" s="703"/>
      <c r="W336" s="703"/>
      <c r="X336" s="703"/>
      <c r="Y336" s="703"/>
      <c r="Z336" s="703"/>
    </row>
    <row r="337">
      <c r="A337" s="703"/>
      <c r="B337" s="703"/>
      <c r="C337" s="703"/>
      <c r="D337" s="703"/>
      <c r="E337" s="703"/>
      <c r="F337" s="703"/>
      <c r="G337" s="703"/>
      <c r="H337" s="703"/>
      <c r="I337" s="703"/>
      <c r="J337" s="703"/>
      <c r="K337" s="703"/>
      <c r="L337" s="703"/>
      <c r="M337" s="703"/>
      <c r="N337" s="703"/>
      <c r="O337" s="703"/>
      <c r="P337" s="703"/>
      <c r="Q337" s="703"/>
      <c r="R337" s="703"/>
      <c r="S337" s="703"/>
      <c r="T337" s="703"/>
      <c r="U337" s="703"/>
      <c r="V337" s="703"/>
      <c r="W337" s="703"/>
      <c r="X337" s="703"/>
      <c r="Y337" s="703"/>
      <c r="Z337" s="703"/>
    </row>
    <row r="338">
      <c r="A338" s="703"/>
      <c r="B338" s="703"/>
      <c r="C338" s="703"/>
      <c r="D338" s="703"/>
      <c r="E338" s="703"/>
      <c r="F338" s="703"/>
      <c r="G338" s="703"/>
      <c r="H338" s="703"/>
      <c r="I338" s="703"/>
      <c r="J338" s="703"/>
      <c r="K338" s="703"/>
      <c r="L338" s="703"/>
      <c r="M338" s="703"/>
      <c r="N338" s="703"/>
      <c r="O338" s="703"/>
      <c r="P338" s="703"/>
      <c r="Q338" s="703"/>
      <c r="R338" s="703"/>
      <c r="S338" s="703"/>
      <c r="T338" s="703"/>
      <c r="U338" s="703"/>
      <c r="V338" s="703"/>
      <c r="W338" s="703"/>
      <c r="X338" s="703"/>
      <c r="Y338" s="703"/>
      <c r="Z338" s="703"/>
    </row>
    <row r="339">
      <c r="A339" s="703"/>
      <c r="B339" s="703"/>
      <c r="C339" s="703"/>
      <c r="D339" s="703"/>
      <c r="E339" s="703"/>
      <c r="F339" s="703"/>
      <c r="G339" s="703"/>
      <c r="H339" s="703"/>
      <c r="I339" s="703"/>
      <c r="J339" s="703"/>
      <c r="K339" s="703"/>
      <c r="L339" s="703"/>
      <c r="M339" s="703"/>
      <c r="N339" s="703"/>
      <c r="O339" s="703"/>
      <c r="P339" s="703"/>
      <c r="Q339" s="703"/>
      <c r="R339" s="703"/>
      <c r="S339" s="703"/>
      <c r="T339" s="703"/>
      <c r="U339" s="703"/>
      <c r="V339" s="703"/>
      <c r="W339" s="703"/>
      <c r="X339" s="703"/>
      <c r="Y339" s="703"/>
      <c r="Z339" s="703"/>
    </row>
    <row r="340">
      <c r="A340" s="703"/>
      <c r="B340" s="703"/>
      <c r="C340" s="703"/>
      <c r="D340" s="703"/>
      <c r="E340" s="703"/>
      <c r="F340" s="703"/>
      <c r="G340" s="703"/>
      <c r="H340" s="703"/>
      <c r="I340" s="703"/>
      <c r="J340" s="703"/>
      <c r="K340" s="703"/>
      <c r="L340" s="703"/>
      <c r="M340" s="703"/>
      <c r="N340" s="703"/>
      <c r="O340" s="703"/>
      <c r="P340" s="703"/>
      <c r="Q340" s="703"/>
      <c r="R340" s="703"/>
      <c r="S340" s="703"/>
      <c r="T340" s="703"/>
      <c r="U340" s="703"/>
      <c r="V340" s="703"/>
      <c r="W340" s="703"/>
      <c r="X340" s="703"/>
      <c r="Y340" s="703"/>
      <c r="Z340" s="703"/>
    </row>
    <row r="341">
      <c r="A341" s="703"/>
      <c r="B341" s="703"/>
      <c r="C341" s="703"/>
      <c r="D341" s="703"/>
      <c r="E341" s="703"/>
      <c r="F341" s="703"/>
      <c r="G341" s="703"/>
      <c r="H341" s="703"/>
      <c r="I341" s="703"/>
      <c r="J341" s="703"/>
      <c r="K341" s="703"/>
      <c r="L341" s="703"/>
      <c r="M341" s="703"/>
      <c r="N341" s="703"/>
      <c r="O341" s="703"/>
      <c r="P341" s="703"/>
      <c r="Q341" s="703"/>
      <c r="R341" s="703"/>
      <c r="S341" s="703"/>
      <c r="T341" s="703"/>
      <c r="U341" s="703"/>
      <c r="V341" s="703"/>
      <c r="W341" s="703"/>
      <c r="X341" s="703"/>
      <c r="Y341" s="703"/>
      <c r="Z341" s="703"/>
    </row>
    <row r="342">
      <c r="A342" s="703"/>
      <c r="B342" s="703"/>
      <c r="C342" s="703"/>
      <c r="D342" s="703"/>
      <c r="E342" s="703"/>
      <c r="F342" s="703"/>
      <c r="G342" s="703"/>
      <c r="H342" s="703"/>
      <c r="I342" s="703"/>
      <c r="J342" s="703"/>
      <c r="K342" s="703"/>
      <c r="L342" s="703"/>
      <c r="M342" s="703"/>
      <c r="N342" s="703"/>
      <c r="O342" s="703"/>
      <c r="P342" s="703"/>
      <c r="Q342" s="703"/>
      <c r="R342" s="703"/>
      <c r="S342" s="703"/>
      <c r="T342" s="703"/>
      <c r="U342" s="703"/>
      <c r="V342" s="703"/>
      <c r="W342" s="703"/>
      <c r="X342" s="703"/>
      <c r="Y342" s="703"/>
      <c r="Z342" s="703"/>
    </row>
    <row r="343">
      <c r="A343" s="703"/>
      <c r="B343" s="703"/>
      <c r="C343" s="703"/>
      <c r="D343" s="703"/>
      <c r="E343" s="703"/>
      <c r="F343" s="703"/>
      <c r="G343" s="703"/>
      <c r="H343" s="703"/>
      <c r="I343" s="703"/>
      <c r="J343" s="703"/>
      <c r="K343" s="703"/>
      <c r="L343" s="703"/>
      <c r="M343" s="703"/>
      <c r="N343" s="703"/>
      <c r="O343" s="703"/>
      <c r="P343" s="703"/>
      <c r="Q343" s="703"/>
      <c r="R343" s="703"/>
      <c r="S343" s="703"/>
      <c r="T343" s="703"/>
      <c r="U343" s="703"/>
      <c r="V343" s="703"/>
      <c r="W343" s="703"/>
      <c r="X343" s="703"/>
      <c r="Y343" s="703"/>
      <c r="Z343" s="703"/>
    </row>
    <row r="344">
      <c r="A344" s="703"/>
      <c r="B344" s="703"/>
      <c r="C344" s="703"/>
      <c r="D344" s="703"/>
      <c r="E344" s="703"/>
      <c r="F344" s="703"/>
      <c r="G344" s="703"/>
      <c r="H344" s="703"/>
      <c r="I344" s="703"/>
      <c r="J344" s="703"/>
      <c r="K344" s="703"/>
      <c r="L344" s="703"/>
      <c r="M344" s="703"/>
      <c r="N344" s="703"/>
      <c r="O344" s="703"/>
      <c r="P344" s="703"/>
      <c r="Q344" s="703"/>
      <c r="R344" s="703"/>
      <c r="S344" s="703"/>
      <c r="T344" s="703"/>
      <c r="U344" s="703"/>
      <c r="V344" s="703"/>
      <c r="W344" s="703"/>
      <c r="X344" s="703"/>
      <c r="Y344" s="703"/>
      <c r="Z344" s="703"/>
    </row>
    <row r="345">
      <c r="A345" s="703"/>
      <c r="B345" s="703"/>
      <c r="C345" s="703"/>
      <c r="D345" s="703"/>
      <c r="E345" s="703"/>
      <c r="F345" s="703"/>
      <c r="G345" s="703"/>
      <c r="H345" s="703"/>
      <c r="I345" s="703"/>
      <c r="J345" s="703"/>
      <c r="K345" s="703"/>
      <c r="L345" s="703"/>
      <c r="M345" s="703"/>
      <c r="N345" s="703"/>
      <c r="O345" s="703"/>
      <c r="P345" s="703"/>
      <c r="Q345" s="703"/>
      <c r="R345" s="703"/>
      <c r="S345" s="703"/>
      <c r="T345" s="703"/>
      <c r="U345" s="703"/>
      <c r="V345" s="703"/>
      <c r="W345" s="703"/>
      <c r="X345" s="703"/>
      <c r="Y345" s="703"/>
      <c r="Z345" s="703"/>
    </row>
    <row r="346">
      <c r="A346" s="703"/>
      <c r="B346" s="703"/>
      <c r="C346" s="703"/>
      <c r="D346" s="703"/>
      <c r="E346" s="703"/>
      <c r="F346" s="703"/>
      <c r="G346" s="703"/>
      <c r="H346" s="703"/>
      <c r="I346" s="703"/>
      <c r="J346" s="703"/>
      <c r="K346" s="703"/>
      <c r="L346" s="703"/>
      <c r="M346" s="703"/>
      <c r="N346" s="703"/>
      <c r="O346" s="703"/>
      <c r="P346" s="703"/>
      <c r="Q346" s="703"/>
      <c r="R346" s="703"/>
      <c r="S346" s="703"/>
      <c r="T346" s="703"/>
      <c r="U346" s="703"/>
      <c r="V346" s="703"/>
      <c r="W346" s="703"/>
      <c r="X346" s="703"/>
      <c r="Y346" s="703"/>
      <c r="Z346" s="703"/>
    </row>
    <row r="347">
      <c r="A347" s="703"/>
      <c r="B347" s="703"/>
      <c r="C347" s="703"/>
      <c r="D347" s="703"/>
      <c r="E347" s="703"/>
      <c r="F347" s="703"/>
      <c r="G347" s="703"/>
      <c r="H347" s="703"/>
      <c r="I347" s="703"/>
      <c r="J347" s="703"/>
      <c r="K347" s="703"/>
      <c r="L347" s="703"/>
      <c r="M347" s="703"/>
      <c r="N347" s="703"/>
      <c r="O347" s="703"/>
      <c r="P347" s="703"/>
      <c r="Q347" s="703"/>
      <c r="R347" s="703"/>
      <c r="S347" s="703"/>
      <c r="T347" s="703"/>
      <c r="U347" s="703"/>
      <c r="V347" s="703"/>
      <c r="W347" s="703"/>
      <c r="X347" s="703"/>
      <c r="Y347" s="703"/>
      <c r="Z347" s="703"/>
    </row>
    <row r="348">
      <c r="A348" s="703"/>
      <c r="B348" s="703"/>
      <c r="C348" s="703"/>
      <c r="D348" s="703"/>
      <c r="E348" s="703"/>
      <c r="F348" s="703"/>
      <c r="G348" s="703"/>
      <c r="H348" s="703"/>
      <c r="I348" s="703"/>
      <c r="J348" s="703"/>
      <c r="K348" s="703"/>
      <c r="L348" s="703"/>
      <c r="M348" s="703"/>
      <c r="N348" s="703"/>
      <c r="O348" s="703"/>
      <c r="P348" s="703"/>
      <c r="Q348" s="703"/>
      <c r="R348" s="703"/>
      <c r="S348" s="703"/>
      <c r="T348" s="703"/>
      <c r="U348" s="703"/>
      <c r="V348" s="703"/>
      <c r="W348" s="703"/>
      <c r="X348" s="703"/>
      <c r="Y348" s="703"/>
      <c r="Z348" s="703"/>
    </row>
    <row r="349">
      <c r="A349" s="703"/>
      <c r="B349" s="703"/>
      <c r="C349" s="703"/>
      <c r="D349" s="703"/>
      <c r="E349" s="703"/>
      <c r="F349" s="703"/>
      <c r="G349" s="703"/>
      <c r="H349" s="703"/>
      <c r="I349" s="703"/>
      <c r="J349" s="703"/>
      <c r="K349" s="703"/>
      <c r="L349" s="703"/>
      <c r="M349" s="703"/>
      <c r="N349" s="703"/>
      <c r="O349" s="703"/>
      <c r="P349" s="703"/>
      <c r="Q349" s="703"/>
      <c r="R349" s="703"/>
      <c r="S349" s="703"/>
      <c r="T349" s="703"/>
      <c r="U349" s="703"/>
      <c r="V349" s="703"/>
      <c r="W349" s="703"/>
      <c r="X349" s="703"/>
      <c r="Y349" s="703"/>
      <c r="Z349" s="703"/>
    </row>
    <row r="350">
      <c r="A350" s="703"/>
      <c r="B350" s="703"/>
      <c r="C350" s="703"/>
      <c r="D350" s="703"/>
      <c r="E350" s="703"/>
      <c r="F350" s="703"/>
      <c r="G350" s="703"/>
      <c r="H350" s="703"/>
      <c r="I350" s="703"/>
      <c r="J350" s="703"/>
      <c r="K350" s="703"/>
      <c r="L350" s="703"/>
      <c r="M350" s="703"/>
      <c r="N350" s="703"/>
      <c r="O350" s="703"/>
      <c r="P350" s="703"/>
      <c r="Q350" s="703"/>
      <c r="R350" s="703"/>
      <c r="S350" s="703"/>
      <c r="T350" s="703"/>
      <c r="U350" s="703"/>
      <c r="V350" s="703"/>
      <c r="W350" s="703"/>
      <c r="X350" s="703"/>
      <c r="Y350" s="703"/>
      <c r="Z350" s="703"/>
    </row>
    <row r="351">
      <c r="A351" s="703"/>
      <c r="B351" s="703"/>
      <c r="C351" s="703"/>
      <c r="D351" s="703"/>
      <c r="E351" s="703"/>
      <c r="F351" s="703"/>
      <c r="G351" s="703"/>
      <c r="H351" s="703"/>
      <c r="I351" s="703"/>
      <c r="J351" s="703"/>
      <c r="K351" s="703"/>
      <c r="L351" s="703"/>
      <c r="M351" s="703"/>
      <c r="N351" s="703"/>
      <c r="O351" s="703"/>
      <c r="P351" s="703"/>
      <c r="Q351" s="703"/>
      <c r="R351" s="703"/>
      <c r="S351" s="703"/>
      <c r="T351" s="703"/>
      <c r="U351" s="703"/>
      <c r="V351" s="703"/>
      <c r="W351" s="703"/>
      <c r="X351" s="703"/>
      <c r="Y351" s="703"/>
      <c r="Z351" s="703"/>
    </row>
    <row r="352">
      <c r="A352" s="703"/>
      <c r="B352" s="703"/>
      <c r="C352" s="703"/>
      <c r="D352" s="703"/>
      <c r="E352" s="703"/>
      <c r="F352" s="703"/>
      <c r="G352" s="703"/>
      <c r="H352" s="703"/>
      <c r="I352" s="703"/>
      <c r="J352" s="703"/>
      <c r="K352" s="703"/>
      <c r="L352" s="703"/>
      <c r="M352" s="703"/>
      <c r="N352" s="703"/>
      <c r="O352" s="703"/>
      <c r="P352" s="703"/>
      <c r="Q352" s="703"/>
      <c r="R352" s="703"/>
      <c r="S352" s="703"/>
      <c r="T352" s="703"/>
      <c r="U352" s="703"/>
      <c r="V352" s="703"/>
      <c r="W352" s="703"/>
      <c r="X352" s="703"/>
      <c r="Y352" s="703"/>
      <c r="Z352" s="703"/>
    </row>
    <row r="353">
      <c r="A353" s="703"/>
      <c r="B353" s="703"/>
      <c r="C353" s="703"/>
      <c r="D353" s="703"/>
      <c r="E353" s="703"/>
      <c r="F353" s="703"/>
      <c r="G353" s="703"/>
      <c r="H353" s="703"/>
      <c r="I353" s="703"/>
      <c r="J353" s="703"/>
      <c r="K353" s="703"/>
      <c r="L353" s="703"/>
      <c r="M353" s="703"/>
      <c r="N353" s="703"/>
      <c r="O353" s="703"/>
      <c r="P353" s="703"/>
      <c r="Q353" s="703"/>
      <c r="R353" s="703"/>
      <c r="S353" s="703"/>
      <c r="T353" s="703"/>
      <c r="U353" s="703"/>
      <c r="V353" s="703"/>
      <c r="W353" s="703"/>
      <c r="X353" s="703"/>
      <c r="Y353" s="703"/>
      <c r="Z353" s="703"/>
    </row>
    <row r="354">
      <c r="A354" s="703"/>
      <c r="B354" s="703"/>
      <c r="C354" s="703"/>
      <c r="D354" s="703"/>
      <c r="E354" s="703"/>
      <c r="F354" s="703"/>
      <c r="G354" s="703"/>
      <c r="H354" s="703"/>
      <c r="I354" s="703"/>
      <c r="J354" s="703"/>
      <c r="K354" s="703"/>
      <c r="L354" s="703"/>
      <c r="M354" s="703"/>
      <c r="N354" s="703"/>
      <c r="O354" s="703"/>
      <c r="P354" s="703"/>
      <c r="Q354" s="703"/>
      <c r="R354" s="703"/>
      <c r="S354" s="703"/>
      <c r="T354" s="703"/>
      <c r="U354" s="703"/>
      <c r="V354" s="703"/>
      <c r="W354" s="703"/>
      <c r="X354" s="703"/>
      <c r="Y354" s="703"/>
      <c r="Z354" s="703"/>
    </row>
    <row r="355">
      <c r="A355" s="703"/>
      <c r="B355" s="703"/>
      <c r="C355" s="703"/>
      <c r="D355" s="703"/>
      <c r="E355" s="703"/>
      <c r="F355" s="703"/>
      <c r="G355" s="703"/>
      <c r="H355" s="703"/>
      <c r="I355" s="703"/>
      <c r="J355" s="703"/>
      <c r="K355" s="703"/>
      <c r="L355" s="703"/>
      <c r="M355" s="703"/>
      <c r="N355" s="703"/>
      <c r="O355" s="703"/>
      <c r="P355" s="703"/>
      <c r="Q355" s="703"/>
      <c r="R355" s="703"/>
      <c r="S355" s="703"/>
      <c r="T355" s="703"/>
      <c r="U355" s="703"/>
      <c r="V355" s="703"/>
      <c r="W355" s="703"/>
      <c r="X355" s="703"/>
      <c r="Y355" s="703"/>
      <c r="Z355" s="703"/>
    </row>
    <row r="356">
      <c r="A356" s="703"/>
      <c r="B356" s="703"/>
      <c r="C356" s="703"/>
      <c r="D356" s="703"/>
      <c r="E356" s="703"/>
      <c r="F356" s="703"/>
      <c r="G356" s="703"/>
      <c r="H356" s="703"/>
      <c r="I356" s="703"/>
      <c r="J356" s="703"/>
      <c r="K356" s="703"/>
      <c r="L356" s="703"/>
      <c r="M356" s="703"/>
      <c r="N356" s="703"/>
      <c r="O356" s="703"/>
      <c r="P356" s="703"/>
      <c r="Q356" s="703"/>
      <c r="R356" s="703"/>
      <c r="S356" s="703"/>
      <c r="T356" s="703"/>
      <c r="U356" s="703"/>
      <c r="V356" s="703"/>
      <c r="W356" s="703"/>
      <c r="X356" s="703"/>
      <c r="Y356" s="703"/>
      <c r="Z356" s="703"/>
    </row>
    <row r="357">
      <c r="A357" s="703"/>
      <c r="B357" s="703"/>
      <c r="C357" s="703"/>
      <c r="D357" s="703"/>
      <c r="E357" s="703"/>
      <c r="F357" s="703"/>
      <c r="G357" s="703"/>
      <c r="H357" s="703"/>
      <c r="I357" s="703"/>
      <c r="J357" s="703"/>
      <c r="K357" s="703"/>
      <c r="L357" s="703"/>
      <c r="M357" s="703"/>
      <c r="N357" s="703"/>
      <c r="O357" s="703"/>
      <c r="P357" s="703"/>
      <c r="Q357" s="703"/>
      <c r="R357" s="703"/>
      <c r="S357" s="703"/>
      <c r="T357" s="703"/>
      <c r="U357" s="703"/>
      <c r="V357" s="703"/>
      <c r="W357" s="703"/>
      <c r="X357" s="703"/>
      <c r="Y357" s="703"/>
      <c r="Z357" s="703"/>
    </row>
    <row r="358">
      <c r="A358" s="703"/>
      <c r="B358" s="703"/>
      <c r="C358" s="703"/>
      <c r="D358" s="703"/>
      <c r="E358" s="703"/>
      <c r="F358" s="703"/>
      <c r="G358" s="703"/>
      <c r="H358" s="703"/>
      <c r="I358" s="703"/>
      <c r="J358" s="703"/>
      <c r="K358" s="703"/>
      <c r="L358" s="703"/>
      <c r="M358" s="703"/>
      <c r="N358" s="703"/>
      <c r="O358" s="703"/>
      <c r="P358" s="703"/>
      <c r="Q358" s="703"/>
      <c r="R358" s="703"/>
      <c r="S358" s="703"/>
      <c r="T358" s="703"/>
      <c r="U358" s="703"/>
      <c r="V358" s="703"/>
      <c r="W358" s="703"/>
      <c r="X358" s="703"/>
      <c r="Y358" s="703"/>
      <c r="Z358" s="703"/>
    </row>
    <row r="359">
      <c r="A359" s="703"/>
      <c r="B359" s="703"/>
      <c r="C359" s="703"/>
      <c r="D359" s="703"/>
      <c r="E359" s="703"/>
      <c r="F359" s="703"/>
      <c r="G359" s="703"/>
      <c r="H359" s="703"/>
      <c r="I359" s="703"/>
      <c r="J359" s="703"/>
      <c r="K359" s="703"/>
      <c r="L359" s="703"/>
      <c r="M359" s="703"/>
      <c r="N359" s="703"/>
      <c r="O359" s="703"/>
      <c r="P359" s="703"/>
      <c r="Q359" s="703"/>
      <c r="R359" s="703"/>
      <c r="S359" s="703"/>
      <c r="T359" s="703"/>
      <c r="U359" s="703"/>
      <c r="V359" s="703"/>
      <c r="W359" s="703"/>
      <c r="X359" s="703"/>
      <c r="Y359" s="703"/>
      <c r="Z359" s="703"/>
    </row>
    <row r="360">
      <c r="A360" s="703"/>
      <c r="B360" s="703"/>
      <c r="C360" s="703"/>
      <c r="D360" s="703"/>
      <c r="E360" s="703"/>
      <c r="F360" s="703"/>
      <c r="G360" s="703"/>
      <c r="H360" s="703"/>
      <c r="I360" s="703"/>
      <c r="J360" s="703"/>
      <c r="K360" s="703"/>
      <c r="L360" s="703"/>
      <c r="M360" s="703"/>
      <c r="N360" s="703"/>
      <c r="O360" s="703"/>
      <c r="P360" s="703"/>
      <c r="Q360" s="703"/>
      <c r="R360" s="703"/>
      <c r="S360" s="703"/>
      <c r="T360" s="703"/>
      <c r="U360" s="703"/>
      <c r="V360" s="703"/>
      <c r="W360" s="703"/>
      <c r="X360" s="703"/>
      <c r="Y360" s="703"/>
      <c r="Z360" s="703"/>
    </row>
    <row r="361">
      <c r="A361" s="703"/>
      <c r="B361" s="703"/>
      <c r="C361" s="703"/>
      <c r="D361" s="703"/>
      <c r="E361" s="703"/>
      <c r="F361" s="703"/>
      <c r="G361" s="703"/>
      <c r="H361" s="703"/>
      <c r="I361" s="703"/>
      <c r="J361" s="703"/>
      <c r="K361" s="703"/>
      <c r="L361" s="703"/>
      <c r="M361" s="703"/>
      <c r="N361" s="703"/>
      <c r="O361" s="703"/>
      <c r="P361" s="703"/>
      <c r="Q361" s="703"/>
      <c r="R361" s="703"/>
      <c r="S361" s="703"/>
      <c r="T361" s="703"/>
      <c r="U361" s="703"/>
      <c r="V361" s="703"/>
      <c r="W361" s="703"/>
      <c r="X361" s="703"/>
      <c r="Y361" s="703"/>
      <c r="Z361" s="703"/>
    </row>
    <row r="362">
      <c r="A362" s="703"/>
      <c r="B362" s="703"/>
      <c r="C362" s="703"/>
      <c r="D362" s="703"/>
      <c r="E362" s="703"/>
      <c r="F362" s="703"/>
      <c r="G362" s="703"/>
      <c r="H362" s="703"/>
      <c r="I362" s="703"/>
      <c r="J362" s="703"/>
      <c r="K362" s="703"/>
      <c r="L362" s="703"/>
      <c r="M362" s="703"/>
      <c r="N362" s="703"/>
      <c r="O362" s="703"/>
      <c r="P362" s="703"/>
      <c r="Q362" s="703"/>
      <c r="R362" s="703"/>
      <c r="S362" s="703"/>
      <c r="T362" s="703"/>
      <c r="U362" s="703"/>
      <c r="V362" s="703"/>
      <c r="W362" s="703"/>
      <c r="X362" s="703"/>
      <c r="Y362" s="703"/>
      <c r="Z362" s="703"/>
    </row>
    <row r="363">
      <c r="A363" s="703"/>
      <c r="B363" s="703"/>
      <c r="C363" s="703"/>
      <c r="D363" s="703"/>
      <c r="E363" s="703"/>
      <c r="F363" s="703"/>
      <c r="G363" s="703"/>
      <c r="H363" s="703"/>
      <c r="I363" s="703"/>
      <c r="J363" s="703"/>
      <c r="K363" s="703"/>
      <c r="L363" s="703"/>
      <c r="M363" s="703"/>
      <c r="N363" s="703"/>
      <c r="O363" s="703"/>
      <c r="P363" s="703"/>
      <c r="Q363" s="703"/>
      <c r="R363" s="703"/>
      <c r="S363" s="703"/>
      <c r="T363" s="703"/>
      <c r="U363" s="703"/>
      <c r="V363" s="703"/>
      <c r="W363" s="703"/>
      <c r="X363" s="703"/>
      <c r="Y363" s="703"/>
      <c r="Z363" s="703"/>
    </row>
    <row r="364">
      <c r="A364" s="703"/>
      <c r="B364" s="703"/>
      <c r="C364" s="703"/>
      <c r="D364" s="703"/>
      <c r="E364" s="703"/>
      <c r="F364" s="703"/>
      <c r="G364" s="703"/>
      <c r="H364" s="703"/>
      <c r="I364" s="703"/>
      <c r="J364" s="703"/>
      <c r="K364" s="703"/>
      <c r="L364" s="703"/>
      <c r="M364" s="703"/>
      <c r="N364" s="703"/>
      <c r="O364" s="703"/>
      <c r="P364" s="703"/>
      <c r="Q364" s="703"/>
      <c r="R364" s="703"/>
      <c r="S364" s="703"/>
      <c r="T364" s="703"/>
      <c r="U364" s="703"/>
      <c r="V364" s="703"/>
      <c r="W364" s="703"/>
      <c r="X364" s="703"/>
      <c r="Y364" s="703"/>
      <c r="Z364" s="703"/>
    </row>
    <row r="365">
      <c r="A365" s="703"/>
      <c r="B365" s="703"/>
      <c r="C365" s="703"/>
      <c r="D365" s="703"/>
      <c r="E365" s="703"/>
      <c r="F365" s="703"/>
      <c r="G365" s="703"/>
      <c r="H365" s="703"/>
      <c r="I365" s="703"/>
      <c r="J365" s="703"/>
      <c r="K365" s="703"/>
      <c r="L365" s="703"/>
      <c r="M365" s="703"/>
      <c r="N365" s="703"/>
      <c r="O365" s="703"/>
      <c r="P365" s="703"/>
      <c r="Q365" s="703"/>
      <c r="R365" s="703"/>
      <c r="S365" s="703"/>
      <c r="T365" s="703"/>
      <c r="U365" s="703"/>
      <c r="V365" s="703"/>
      <c r="W365" s="703"/>
      <c r="X365" s="703"/>
      <c r="Y365" s="703"/>
      <c r="Z365" s="703"/>
    </row>
    <row r="366">
      <c r="A366" s="703"/>
      <c r="B366" s="703"/>
      <c r="C366" s="703"/>
      <c r="D366" s="703"/>
      <c r="E366" s="703"/>
      <c r="F366" s="703"/>
      <c r="G366" s="703"/>
      <c r="H366" s="703"/>
      <c r="I366" s="703"/>
      <c r="J366" s="703"/>
      <c r="K366" s="703"/>
      <c r="L366" s="703"/>
      <c r="M366" s="703"/>
      <c r="N366" s="703"/>
      <c r="O366" s="703"/>
      <c r="P366" s="703"/>
      <c r="Q366" s="703"/>
      <c r="R366" s="703"/>
      <c r="S366" s="703"/>
      <c r="T366" s="703"/>
      <c r="U366" s="703"/>
      <c r="V366" s="703"/>
      <c r="W366" s="703"/>
      <c r="X366" s="703"/>
      <c r="Y366" s="703"/>
      <c r="Z366" s="703"/>
    </row>
    <row r="367">
      <c r="A367" s="703"/>
      <c r="B367" s="703"/>
      <c r="C367" s="703"/>
      <c r="D367" s="703"/>
      <c r="E367" s="703"/>
      <c r="F367" s="703"/>
      <c r="G367" s="703"/>
      <c r="H367" s="703"/>
      <c r="I367" s="703"/>
      <c r="J367" s="703"/>
      <c r="K367" s="703"/>
      <c r="L367" s="703"/>
      <c r="M367" s="703"/>
      <c r="N367" s="703"/>
      <c r="O367" s="703"/>
      <c r="P367" s="703"/>
      <c r="Q367" s="703"/>
      <c r="R367" s="703"/>
      <c r="S367" s="703"/>
      <c r="T367" s="703"/>
      <c r="U367" s="703"/>
      <c r="V367" s="703"/>
      <c r="W367" s="703"/>
      <c r="X367" s="703"/>
      <c r="Y367" s="703"/>
      <c r="Z367" s="703"/>
    </row>
    <row r="368">
      <c r="A368" s="703"/>
      <c r="B368" s="703"/>
      <c r="C368" s="703"/>
      <c r="D368" s="703"/>
      <c r="E368" s="703"/>
      <c r="F368" s="703"/>
      <c r="G368" s="703"/>
      <c r="H368" s="703"/>
      <c r="I368" s="703"/>
      <c r="J368" s="703"/>
      <c r="K368" s="703"/>
      <c r="L368" s="703"/>
      <c r="M368" s="703"/>
      <c r="N368" s="703"/>
      <c r="O368" s="703"/>
      <c r="P368" s="703"/>
      <c r="Q368" s="703"/>
      <c r="R368" s="703"/>
      <c r="S368" s="703"/>
      <c r="T368" s="703"/>
      <c r="U368" s="703"/>
      <c r="V368" s="703"/>
      <c r="W368" s="703"/>
      <c r="X368" s="703"/>
      <c r="Y368" s="703"/>
      <c r="Z368" s="703"/>
    </row>
    <row r="369">
      <c r="A369" s="703"/>
      <c r="B369" s="703"/>
      <c r="C369" s="703"/>
      <c r="D369" s="703"/>
      <c r="E369" s="703"/>
      <c r="F369" s="703"/>
      <c r="G369" s="703"/>
      <c r="H369" s="703"/>
      <c r="I369" s="703"/>
      <c r="J369" s="703"/>
      <c r="K369" s="703"/>
      <c r="L369" s="703"/>
      <c r="M369" s="703"/>
      <c r="N369" s="703"/>
      <c r="O369" s="703"/>
      <c r="P369" s="703"/>
      <c r="Q369" s="703"/>
      <c r="R369" s="703"/>
      <c r="S369" s="703"/>
      <c r="T369" s="703"/>
      <c r="U369" s="703"/>
      <c r="V369" s="703"/>
      <c r="W369" s="703"/>
      <c r="X369" s="703"/>
      <c r="Y369" s="703"/>
      <c r="Z369" s="703"/>
    </row>
    <row r="370">
      <c r="A370" s="703"/>
      <c r="B370" s="703"/>
      <c r="C370" s="703"/>
      <c r="D370" s="703"/>
      <c r="E370" s="703"/>
      <c r="F370" s="703"/>
      <c r="G370" s="703"/>
      <c r="H370" s="703"/>
      <c r="I370" s="703"/>
      <c r="J370" s="703"/>
      <c r="K370" s="703"/>
      <c r="L370" s="703"/>
      <c r="M370" s="703"/>
      <c r="N370" s="703"/>
      <c r="O370" s="703"/>
      <c r="P370" s="703"/>
      <c r="Q370" s="703"/>
      <c r="R370" s="703"/>
      <c r="S370" s="703"/>
      <c r="T370" s="703"/>
      <c r="U370" s="703"/>
      <c r="V370" s="703"/>
      <c r="W370" s="703"/>
      <c r="X370" s="703"/>
      <c r="Y370" s="703"/>
      <c r="Z370" s="703"/>
    </row>
    <row r="371">
      <c r="A371" s="703"/>
      <c r="B371" s="703"/>
      <c r="C371" s="703"/>
      <c r="D371" s="703"/>
      <c r="E371" s="703"/>
      <c r="F371" s="703"/>
      <c r="G371" s="703"/>
      <c r="H371" s="703"/>
      <c r="I371" s="703"/>
      <c r="J371" s="703"/>
      <c r="K371" s="703"/>
      <c r="L371" s="703"/>
      <c r="M371" s="703"/>
      <c r="N371" s="703"/>
      <c r="O371" s="703"/>
      <c r="P371" s="703"/>
      <c r="Q371" s="703"/>
      <c r="R371" s="703"/>
      <c r="S371" s="703"/>
      <c r="T371" s="703"/>
      <c r="U371" s="703"/>
      <c r="V371" s="703"/>
      <c r="W371" s="703"/>
      <c r="X371" s="703"/>
      <c r="Y371" s="703"/>
      <c r="Z371" s="703"/>
    </row>
    <row r="372">
      <c r="A372" s="703"/>
      <c r="B372" s="703"/>
      <c r="C372" s="703"/>
      <c r="D372" s="703"/>
      <c r="E372" s="703"/>
      <c r="F372" s="703"/>
      <c r="G372" s="703"/>
      <c r="H372" s="703"/>
      <c r="I372" s="703"/>
      <c r="J372" s="703"/>
      <c r="K372" s="703"/>
      <c r="L372" s="703"/>
      <c r="M372" s="703"/>
      <c r="N372" s="703"/>
      <c r="O372" s="703"/>
      <c r="P372" s="703"/>
      <c r="Q372" s="703"/>
      <c r="R372" s="703"/>
      <c r="S372" s="703"/>
      <c r="T372" s="703"/>
      <c r="U372" s="703"/>
      <c r="V372" s="703"/>
      <c r="W372" s="703"/>
      <c r="X372" s="703"/>
      <c r="Y372" s="703"/>
      <c r="Z372" s="703"/>
    </row>
    <row r="373">
      <c r="A373" s="703"/>
      <c r="B373" s="703"/>
      <c r="C373" s="703"/>
      <c r="D373" s="703"/>
      <c r="E373" s="703"/>
      <c r="F373" s="703"/>
      <c r="G373" s="703"/>
      <c r="H373" s="703"/>
      <c r="I373" s="703"/>
      <c r="J373" s="703"/>
      <c r="K373" s="703"/>
      <c r="L373" s="703"/>
      <c r="M373" s="703"/>
      <c r="N373" s="703"/>
      <c r="O373" s="703"/>
      <c r="P373" s="703"/>
      <c r="Q373" s="703"/>
      <c r="R373" s="703"/>
      <c r="S373" s="703"/>
      <c r="T373" s="703"/>
      <c r="U373" s="703"/>
      <c r="V373" s="703"/>
      <c r="W373" s="703"/>
      <c r="X373" s="703"/>
      <c r="Y373" s="703"/>
      <c r="Z373" s="703"/>
    </row>
    <row r="374">
      <c r="A374" s="703"/>
      <c r="B374" s="703"/>
      <c r="C374" s="703"/>
      <c r="D374" s="703"/>
      <c r="E374" s="703"/>
      <c r="F374" s="703"/>
      <c r="G374" s="703"/>
      <c r="H374" s="703"/>
      <c r="I374" s="703"/>
      <c r="J374" s="703"/>
      <c r="K374" s="703"/>
      <c r="L374" s="703"/>
      <c r="M374" s="703"/>
      <c r="N374" s="703"/>
      <c r="O374" s="703"/>
      <c r="P374" s="703"/>
      <c r="Q374" s="703"/>
      <c r="R374" s="703"/>
      <c r="S374" s="703"/>
      <c r="T374" s="703"/>
      <c r="U374" s="703"/>
      <c r="V374" s="703"/>
      <c r="W374" s="703"/>
      <c r="X374" s="703"/>
      <c r="Y374" s="703"/>
      <c r="Z374" s="703"/>
    </row>
    <row r="375">
      <c r="A375" s="703"/>
      <c r="B375" s="703"/>
      <c r="C375" s="703"/>
      <c r="D375" s="703"/>
      <c r="E375" s="703"/>
      <c r="F375" s="703"/>
      <c r="G375" s="703"/>
      <c r="H375" s="703"/>
      <c r="I375" s="703"/>
      <c r="J375" s="703"/>
      <c r="K375" s="703"/>
      <c r="L375" s="703"/>
      <c r="M375" s="703"/>
      <c r="N375" s="703"/>
      <c r="O375" s="703"/>
      <c r="P375" s="703"/>
      <c r="Q375" s="703"/>
      <c r="R375" s="703"/>
      <c r="S375" s="703"/>
      <c r="T375" s="703"/>
      <c r="U375" s="703"/>
      <c r="V375" s="703"/>
      <c r="W375" s="703"/>
      <c r="X375" s="703"/>
      <c r="Y375" s="703"/>
      <c r="Z375" s="703"/>
    </row>
    <row r="376">
      <c r="A376" s="703"/>
      <c r="B376" s="703"/>
      <c r="C376" s="703"/>
      <c r="D376" s="703"/>
      <c r="E376" s="703"/>
      <c r="F376" s="703"/>
      <c r="G376" s="703"/>
      <c r="H376" s="703"/>
      <c r="I376" s="703"/>
      <c r="J376" s="703"/>
      <c r="K376" s="703"/>
      <c r="L376" s="703"/>
      <c r="M376" s="703"/>
      <c r="N376" s="703"/>
      <c r="O376" s="703"/>
      <c r="P376" s="703"/>
      <c r="Q376" s="703"/>
      <c r="R376" s="703"/>
      <c r="S376" s="703"/>
      <c r="T376" s="703"/>
      <c r="U376" s="703"/>
      <c r="V376" s="703"/>
      <c r="W376" s="703"/>
      <c r="X376" s="703"/>
      <c r="Y376" s="703"/>
      <c r="Z376" s="703"/>
    </row>
    <row r="377">
      <c r="A377" s="703"/>
      <c r="B377" s="703"/>
      <c r="C377" s="703"/>
      <c r="D377" s="703"/>
      <c r="E377" s="703"/>
      <c r="F377" s="703"/>
      <c r="G377" s="703"/>
      <c r="H377" s="703"/>
      <c r="I377" s="703"/>
      <c r="J377" s="703"/>
      <c r="K377" s="703"/>
      <c r="L377" s="703"/>
      <c r="M377" s="703"/>
      <c r="N377" s="703"/>
      <c r="O377" s="703"/>
      <c r="P377" s="703"/>
      <c r="Q377" s="703"/>
      <c r="R377" s="703"/>
      <c r="S377" s="703"/>
      <c r="T377" s="703"/>
      <c r="U377" s="703"/>
      <c r="V377" s="703"/>
      <c r="W377" s="703"/>
      <c r="X377" s="703"/>
      <c r="Y377" s="703"/>
      <c r="Z377" s="703"/>
    </row>
    <row r="378">
      <c r="A378" s="703"/>
      <c r="B378" s="703"/>
      <c r="C378" s="703"/>
      <c r="D378" s="703"/>
      <c r="E378" s="703"/>
      <c r="F378" s="703"/>
      <c r="G378" s="703"/>
      <c r="H378" s="703"/>
      <c r="I378" s="703"/>
      <c r="J378" s="703"/>
      <c r="K378" s="703"/>
      <c r="L378" s="703"/>
      <c r="M378" s="703"/>
      <c r="N378" s="703"/>
      <c r="O378" s="703"/>
      <c r="P378" s="703"/>
      <c r="Q378" s="703"/>
      <c r="R378" s="703"/>
      <c r="S378" s="703"/>
      <c r="T378" s="703"/>
      <c r="U378" s="703"/>
      <c r="V378" s="703"/>
      <c r="W378" s="703"/>
      <c r="X378" s="703"/>
      <c r="Y378" s="703"/>
      <c r="Z378" s="703"/>
    </row>
    <row r="379">
      <c r="A379" s="703"/>
      <c r="B379" s="703"/>
      <c r="C379" s="703"/>
      <c r="D379" s="703"/>
      <c r="E379" s="703"/>
      <c r="F379" s="703"/>
      <c r="G379" s="703"/>
      <c r="H379" s="703"/>
      <c r="I379" s="703"/>
      <c r="J379" s="703"/>
      <c r="K379" s="703"/>
      <c r="L379" s="703"/>
      <c r="M379" s="703"/>
      <c r="N379" s="703"/>
      <c r="O379" s="703"/>
      <c r="P379" s="703"/>
      <c r="Q379" s="703"/>
      <c r="R379" s="703"/>
      <c r="S379" s="703"/>
      <c r="T379" s="703"/>
      <c r="U379" s="703"/>
      <c r="V379" s="703"/>
      <c r="W379" s="703"/>
      <c r="X379" s="703"/>
      <c r="Y379" s="703"/>
      <c r="Z379" s="703"/>
    </row>
    <row r="380">
      <c r="A380" s="703"/>
      <c r="B380" s="703"/>
      <c r="C380" s="703"/>
      <c r="D380" s="703"/>
      <c r="E380" s="703"/>
      <c r="F380" s="703"/>
      <c r="G380" s="703"/>
      <c r="H380" s="703"/>
      <c r="I380" s="703"/>
      <c r="J380" s="703"/>
      <c r="K380" s="703"/>
      <c r="L380" s="703"/>
      <c r="M380" s="703"/>
      <c r="N380" s="703"/>
      <c r="O380" s="703"/>
      <c r="P380" s="703"/>
      <c r="Q380" s="703"/>
      <c r="R380" s="703"/>
      <c r="S380" s="703"/>
      <c r="T380" s="703"/>
      <c r="U380" s="703"/>
      <c r="V380" s="703"/>
      <c r="W380" s="703"/>
      <c r="X380" s="703"/>
      <c r="Y380" s="703"/>
      <c r="Z380" s="703"/>
    </row>
    <row r="381">
      <c r="A381" s="703"/>
      <c r="B381" s="703"/>
      <c r="C381" s="703"/>
      <c r="D381" s="703"/>
      <c r="E381" s="703"/>
      <c r="F381" s="703"/>
      <c r="G381" s="703"/>
      <c r="H381" s="703"/>
      <c r="I381" s="703"/>
      <c r="J381" s="703"/>
      <c r="K381" s="703"/>
      <c r="L381" s="703"/>
      <c r="M381" s="703"/>
      <c r="N381" s="703"/>
      <c r="O381" s="703"/>
      <c r="P381" s="703"/>
      <c r="Q381" s="703"/>
      <c r="R381" s="703"/>
      <c r="S381" s="703"/>
      <c r="T381" s="703"/>
      <c r="U381" s="703"/>
      <c r="V381" s="703"/>
      <c r="W381" s="703"/>
      <c r="X381" s="703"/>
      <c r="Y381" s="703"/>
      <c r="Z381" s="703"/>
    </row>
    <row r="382">
      <c r="A382" s="703"/>
      <c r="B382" s="703"/>
      <c r="C382" s="703"/>
      <c r="D382" s="703"/>
      <c r="E382" s="703"/>
      <c r="F382" s="703"/>
      <c r="G382" s="703"/>
      <c r="H382" s="703"/>
      <c r="I382" s="703"/>
      <c r="J382" s="703"/>
      <c r="K382" s="703"/>
      <c r="L382" s="703"/>
      <c r="M382" s="703"/>
      <c r="N382" s="703"/>
      <c r="O382" s="703"/>
      <c r="P382" s="703"/>
      <c r="Q382" s="703"/>
      <c r="R382" s="703"/>
      <c r="S382" s="703"/>
      <c r="T382" s="703"/>
      <c r="U382" s="703"/>
      <c r="V382" s="703"/>
      <c r="W382" s="703"/>
      <c r="X382" s="703"/>
      <c r="Y382" s="703"/>
      <c r="Z382" s="703"/>
    </row>
    <row r="383">
      <c r="A383" s="703"/>
      <c r="B383" s="703"/>
      <c r="C383" s="703"/>
      <c r="D383" s="703"/>
      <c r="E383" s="703"/>
      <c r="F383" s="703"/>
      <c r="G383" s="703"/>
      <c r="H383" s="703"/>
      <c r="I383" s="703"/>
      <c r="J383" s="703"/>
      <c r="K383" s="703"/>
      <c r="L383" s="703"/>
      <c r="M383" s="703"/>
      <c r="N383" s="703"/>
      <c r="O383" s="703"/>
      <c r="P383" s="703"/>
      <c r="Q383" s="703"/>
      <c r="R383" s="703"/>
      <c r="S383" s="703"/>
      <c r="T383" s="703"/>
      <c r="U383" s="703"/>
      <c r="V383" s="703"/>
      <c r="W383" s="703"/>
      <c r="X383" s="703"/>
      <c r="Y383" s="703"/>
      <c r="Z383" s="703"/>
    </row>
    <row r="384">
      <c r="A384" s="703"/>
      <c r="B384" s="703"/>
      <c r="C384" s="703"/>
      <c r="D384" s="703"/>
      <c r="E384" s="703"/>
      <c r="F384" s="703"/>
      <c r="G384" s="703"/>
      <c r="H384" s="703"/>
      <c r="I384" s="703"/>
      <c r="J384" s="703"/>
      <c r="K384" s="703"/>
      <c r="L384" s="703"/>
      <c r="M384" s="703"/>
      <c r="N384" s="703"/>
      <c r="O384" s="703"/>
      <c r="P384" s="703"/>
      <c r="Q384" s="703"/>
      <c r="R384" s="703"/>
      <c r="S384" s="703"/>
      <c r="T384" s="703"/>
      <c r="U384" s="703"/>
      <c r="V384" s="703"/>
      <c r="W384" s="703"/>
      <c r="X384" s="703"/>
      <c r="Y384" s="703"/>
      <c r="Z384" s="703"/>
    </row>
    <row r="385">
      <c r="A385" s="703"/>
      <c r="B385" s="703"/>
      <c r="C385" s="703"/>
      <c r="D385" s="703"/>
      <c r="E385" s="703"/>
      <c r="F385" s="703"/>
      <c r="G385" s="703"/>
      <c r="H385" s="703"/>
      <c r="I385" s="703"/>
      <c r="J385" s="703"/>
      <c r="K385" s="703"/>
      <c r="L385" s="703"/>
      <c r="M385" s="703"/>
      <c r="N385" s="703"/>
      <c r="O385" s="703"/>
      <c r="P385" s="703"/>
      <c r="Q385" s="703"/>
      <c r="R385" s="703"/>
      <c r="S385" s="703"/>
      <c r="T385" s="703"/>
      <c r="U385" s="703"/>
      <c r="V385" s="703"/>
      <c r="W385" s="703"/>
      <c r="X385" s="703"/>
      <c r="Y385" s="703"/>
      <c r="Z385" s="703"/>
    </row>
    <row r="386">
      <c r="A386" s="703"/>
      <c r="B386" s="703"/>
      <c r="C386" s="703"/>
      <c r="D386" s="703"/>
      <c r="E386" s="703"/>
      <c r="F386" s="703"/>
      <c r="G386" s="703"/>
      <c r="H386" s="703"/>
      <c r="I386" s="703"/>
      <c r="J386" s="703"/>
      <c r="K386" s="703"/>
      <c r="L386" s="703"/>
      <c r="M386" s="703"/>
      <c r="N386" s="703"/>
      <c r="O386" s="703"/>
      <c r="P386" s="703"/>
      <c r="Q386" s="703"/>
      <c r="R386" s="703"/>
      <c r="S386" s="703"/>
      <c r="T386" s="703"/>
      <c r="U386" s="703"/>
      <c r="V386" s="703"/>
      <c r="W386" s="703"/>
      <c r="X386" s="703"/>
      <c r="Y386" s="703"/>
      <c r="Z386" s="703"/>
    </row>
    <row r="387">
      <c r="A387" s="703"/>
      <c r="B387" s="703"/>
      <c r="C387" s="703"/>
      <c r="D387" s="703"/>
      <c r="E387" s="703"/>
      <c r="F387" s="703"/>
      <c r="G387" s="703"/>
      <c r="H387" s="703"/>
      <c r="I387" s="703"/>
      <c r="J387" s="703"/>
      <c r="K387" s="703"/>
      <c r="L387" s="703"/>
      <c r="M387" s="703"/>
      <c r="N387" s="703"/>
      <c r="O387" s="703"/>
      <c r="P387" s="703"/>
      <c r="Q387" s="703"/>
      <c r="R387" s="703"/>
      <c r="S387" s="703"/>
      <c r="T387" s="703"/>
      <c r="U387" s="703"/>
      <c r="V387" s="703"/>
      <c r="W387" s="703"/>
      <c r="X387" s="703"/>
      <c r="Y387" s="703"/>
      <c r="Z387" s="703"/>
    </row>
    <row r="388">
      <c r="A388" s="703"/>
      <c r="B388" s="703"/>
      <c r="C388" s="703"/>
      <c r="D388" s="703"/>
      <c r="E388" s="703"/>
      <c r="F388" s="703"/>
      <c r="G388" s="703"/>
      <c r="H388" s="703"/>
      <c r="I388" s="703"/>
      <c r="J388" s="703"/>
      <c r="K388" s="703"/>
      <c r="L388" s="703"/>
      <c r="M388" s="703"/>
      <c r="N388" s="703"/>
      <c r="O388" s="703"/>
      <c r="P388" s="703"/>
      <c r="Q388" s="703"/>
      <c r="R388" s="703"/>
      <c r="S388" s="703"/>
      <c r="T388" s="703"/>
      <c r="U388" s="703"/>
      <c r="V388" s="703"/>
      <c r="W388" s="703"/>
      <c r="X388" s="703"/>
      <c r="Y388" s="703"/>
      <c r="Z388" s="703"/>
    </row>
    <row r="389">
      <c r="A389" s="703"/>
      <c r="B389" s="703"/>
      <c r="C389" s="703"/>
      <c r="D389" s="703"/>
      <c r="E389" s="703"/>
      <c r="F389" s="703"/>
      <c r="G389" s="703"/>
      <c r="H389" s="703"/>
      <c r="I389" s="703"/>
      <c r="J389" s="703"/>
      <c r="K389" s="703"/>
      <c r="L389" s="703"/>
      <c r="M389" s="703"/>
      <c r="N389" s="703"/>
      <c r="O389" s="703"/>
      <c r="P389" s="703"/>
      <c r="Q389" s="703"/>
      <c r="R389" s="703"/>
      <c r="S389" s="703"/>
      <c r="T389" s="703"/>
      <c r="U389" s="703"/>
      <c r="V389" s="703"/>
      <c r="W389" s="703"/>
      <c r="X389" s="703"/>
      <c r="Y389" s="703"/>
      <c r="Z389" s="703"/>
    </row>
    <row r="390">
      <c r="A390" s="703"/>
      <c r="B390" s="703"/>
      <c r="C390" s="703"/>
      <c r="D390" s="703"/>
      <c r="E390" s="703"/>
      <c r="F390" s="703"/>
      <c r="G390" s="703"/>
      <c r="H390" s="703"/>
      <c r="I390" s="703"/>
      <c r="J390" s="703"/>
      <c r="K390" s="703"/>
      <c r="L390" s="703"/>
      <c r="M390" s="703"/>
      <c r="N390" s="703"/>
      <c r="O390" s="703"/>
      <c r="P390" s="703"/>
      <c r="Q390" s="703"/>
      <c r="R390" s="703"/>
      <c r="S390" s="703"/>
      <c r="T390" s="703"/>
      <c r="U390" s="703"/>
      <c r="V390" s="703"/>
      <c r="W390" s="703"/>
      <c r="X390" s="703"/>
      <c r="Y390" s="703"/>
      <c r="Z390" s="703"/>
    </row>
    <row r="391">
      <c r="A391" s="703"/>
      <c r="B391" s="703"/>
      <c r="C391" s="703"/>
      <c r="D391" s="703"/>
      <c r="E391" s="703"/>
      <c r="F391" s="703"/>
      <c r="G391" s="703"/>
      <c r="H391" s="703"/>
      <c r="I391" s="703"/>
      <c r="J391" s="703"/>
      <c r="K391" s="703"/>
      <c r="L391" s="703"/>
      <c r="M391" s="703"/>
      <c r="N391" s="703"/>
      <c r="O391" s="703"/>
      <c r="P391" s="703"/>
      <c r="Q391" s="703"/>
      <c r="R391" s="703"/>
      <c r="S391" s="703"/>
      <c r="T391" s="703"/>
      <c r="U391" s="703"/>
      <c r="V391" s="703"/>
      <c r="W391" s="703"/>
      <c r="X391" s="703"/>
      <c r="Y391" s="703"/>
      <c r="Z391" s="703"/>
    </row>
    <row r="392">
      <c r="A392" s="703"/>
      <c r="B392" s="703"/>
      <c r="C392" s="703"/>
      <c r="D392" s="703"/>
      <c r="E392" s="703"/>
      <c r="F392" s="703"/>
      <c r="G392" s="703"/>
      <c r="H392" s="703"/>
      <c r="I392" s="703"/>
      <c r="J392" s="703"/>
      <c r="K392" s="703"/>
      <c r="L392" s="703"/>
      <c r="M392" s="703"/>
      <c r="N392" s="703"/>
      <c r="O392" s="703"/>
      <c r="P392" s="703"/>
      <c r="Q392" s="703"/>
      <c r="R392" s="703"/>
      <c r="S392" s="703"/>
      <c r="T392" s="703"/>
      <c r="U392" s="703"/>
      <c r="V392" s="703"/>
      <c r="W392" s="703"/>
      <c r="X392" s="703"/>
      <c r="Y392" s="703"/>
      <c r="Z392" s="703"/>
    </row>
    <row r="393">
      <c r="A393" s="703"/>
      <c r="B393" s="703"/>
      <c r="C393" s="703"/>
      <c r="D393" s="703"/>
      <c r="E393" s="703"/>
      <c r="F393" s="703"/>
      <c r="G393" s="703"/>
      <c r="H393" s="703"/>
      <c r="I393" s="703"/>
      <c r="J393" s="703"/>
      <c r="K393" s="703"/>
      <c r="L393" s="703"/>
      <c r="M393" s="703"/>
      <c r="N393" s="703"/>
      <c r="O393" s="703"/>
      <c r="P393" s="703"/>
      <c r="Q393" s="703"/>
      <c r="R393" s="703"/>
      <c r="S393" s="703"/>
      <c r="T393" s="703"/>
      <c r="U393" s="703"/>
      <c r="V393" s="703"/>
      <c r="W393" s="703"/>
      <c r="X393" s="703"/>
      <c r="Y393" s="703"/>
      <c r="Z393" s="703"/>
    </row>
    <row r="394">
      <c r="A394" s="703"/>
      <c r="B394" s="703"/>
      <c r="C394" s="703"/>
      <c r="D394" s="703"/>
      <c r="E394" s="703"/>
      <c r="F394" s="703"/>
      <c r="G394" s="703"/>
      <c r="H394" s="703"/>
      <c r="I394" s="703"/>
      <c r="J394" s="703"/>
      <c r="K394" s="703"/>
      <c r="L394" s="703"/>
      <c r="M394" s="703"/>
      <c r="N394" s="703"/>
      <c r="O394" s="703"/>
      <c r="P394" s="703"/>
      <c r="Q394" s="703"/>
      <c r="R394" s="703"/>
      <c r="S394" s="703"/>
      <c r="T394" s="703"/>
      <c r="U394" s="703"/>
      <c r="V394" s="703"/>
      <c r="W394" s="703"/>
      <c r="X394" s="703"/>
      <c r="Y394" s="703"/>
      <c r="Z394" s="703"/>
    </row>
    <row r="395">
      <c r="A395" s="703"/>
      <c r="B395" s="703"/>
      <c r="C395" s="703"/>
      <c r="D395" s="703"/>
      <c r="E395" s="703"/>
      <c r="F395" s="703"/>
      <c r="G395" s="703"/>
      <c r="H395" s="703"/>
      <c r="I395" s="703"/>
      <c r="J395" s="703"/>
      <c r="K395" s="703"/>
      <c r="L395" s="703"/>
      <c r="M395" s="703"/>
      <c r="N395" s="703"/>
      <c r="O395" s="703"/>
      <c r="P395" s="703"/>
      <c r="Q395" s="703"/>
      <c r="R395" s="703"/>
      <c r="S395" s="703"/>
      <c r="T395" s="703"/>
      <c r="U395" s="703"/>
      <c r="V395" s="703"/>
      <c r="W395" s="703"/>
      <c r="X395" s="703"/>
      <c r="Y395" s="703"/>
      <c r="Z395" s="703"/>
    </row>
    <row r="396">
      <c r="A396" s="703"/>
      <c r="B396" s="703"/>
      <c r="C396" s="703"/>
      <c r="D396" s="703"/>
      <c r="E396" s="703"/>
      <c r="F396" s="703"/>
      <c r="G396" s="703"/>
      <c r="H396" s="703"/>
      <c r="I396" s="703"/>
      <c r="J396" s="703"/>
      <c r="K396" s="703"/>
      <c r="L396" s="703"/>
      <c r="M396" s="703"/>
      <c r="N396" s="703"/>
      <c r="O396" s="703"/>
      <c r="P396" s="703"/>
      <c r="Q396" s="703"/>
      <c r="R396" s="703"/>
      <c r="S396" s="703"/>
      <c r="T396" s="703"/>
      <c r="U396" s="703"/>
      <c r="V396" s="703"/>
      <c r="W396" s="703"/>
      <c r="X396" s="703"/>
      <c r="Y396" s="703"/>
      <c r="Z396" s="703"/>
    </row>
    <row r="397">
      <c r="A397" s="703"/>
      <c r="B397" s="703"/>
      <c r="C397" s="703"/>
      <c r="D397" s="703"/>
      <c r="E397" s="703"/>
      <c r="F397" s="703"/>
      <c r="G397" s="703"/>
      <c r="H397" s="703"/>
      <c r="I397" s="703"/>
      <c r="J397" s="703"/>
      <c r="K397" s="703"/>
      <c r="L397" s="703"/>
      <c r="M397" s="703"/>
      <c r="N397" s="703"/>
      <c r="O397" s="703"/>
      <c r="P397" s="703"/>
      <c r="Q397" s="703"/>
      <c r="R397" s="703"/>
      <c r="S397" s="703"/>
      <c r="T397" s="703"/>
      <c r="U397" s="703"/>
      <c r="V397" s="703"/>
      <c r="W397" s="703"/>
      <c r="X397" s="703"/>
      <c r="Y397" s="703"/>
      <c r="Z397" s="703"/>
    </row>
    <row r="398">
      <c r="A398" s="703"/>
      <c r="B398" s="703"/>
      <c r="C398" s="703"/>
      <c r="D398" s="703"/>
      <c r="E398" s="703"/>
      <c r="F398" s="703"/>
      <c r="G398" s="703"/>
      <c r="H398" s="703"/>
      <c r="I398" s="703"/>
      <c r="J398" s="703"/>
      <c r="K398" s="703"/>
      <c r="L398" s="703"/>
      <c r="M398" s="703"/>
      <c r="N398" s="703"/>
      <c r="O398" s="703"/>
      <c r="P398" s="703"/>
      <c r="Q398" s="703"/>
      <c r="R398" s="703"/>
      <c r="S398" s="703"/>
      <c r="T398" s="703"/>
      <c r="U398" s="703"/>
      <c r="V398" s="703"/>
      <c r="W398" s="703"/>
      <c r="X398" s="703"/>
      <c r="Y398" s="703"/>
      <c r="Z398" s="703"/>
    </row>
    <row r="399">
      <c r="A399" s="703"/>
      <c r="B399" s="703"/>
      <c r="C399" s="703"/>
      <c r="D399" s="703"/>
      <c r="E399" s="703"/>
      <c r="F399" s="703"/>
      <c r="G399" s="703"/>
      <c r="H399" s="703"/>
      <c r="I399" s="703"/>
      <c r="J399" s="703"/>
      <c r="K399" s="703"/>
      <c r="L399" s="703"/>
      <c r="M399" s="703"/>
      <c r="N399" s="703"/>
      <c r="O399" s="703"/>
      <c r="P399" s="703"/>
      <c r="Q399" s="703"/>
      <c r="R399" s="703"/>
      <c r="S399" s="703"/>
      <c r="T399" s="703"/>
      <c r="U399" s="703"/>
      <c r="V399" s="703"/>
      <c r="W399" s="703"/>
      <c r="X399" s="703"/>
      <c r="Y399" s="703"/>
      <c r="Z399" s="703"/>
    </row>
    <row r="400">
      <c r="A400" s="703"/>
      <c r="B400" s="703"/>
      <c r="C400" s="703"/>
      <c r="D400" s="703"/>
      <c r="E400" s="703"/>
      <c r="F400" s="703"/>
      <c r="G400" s="703"/>
      <c r="H400" s="703"/>
      <c r="I400" s="703"/>
      <c r="J400" s="703"/>
      <c r="K400" s="703"/>
      <c r="L400" s="703"/>
      <c r="M400" s="703"/>
      <c r="N400" s="703"/>
      <c r="O400" s="703"/>
      <c r="P400" s="703"/>
      <c r="Q400" s="703"/>
      <c r="R400" s="703"/>
      <c r="S400" s="703"/>
      <c r="T400" s="703"/>
      <c r="U400" s="703"/>
      <c r="V400" s="703"/>
      <c r="W400" s="703"/>
      <c r="X400" s="703"/>
      <c r="Y400" s="703"/>
      <c r="Z400" s="703"/>
    </row>
    <row r="401">
      <c r="A401" s="703"/>
      <c r="B401" s="703"/>
      <c r="C401" s="703"/>
      <c r="D401" s="703"/>
      <c r="E401" s="703"/>
      <c r="F401" s="703"/>
      <c r="G401" s="703"/>
      <c r="H401" s="703"/>
      <c r="I401" s="703"/>
      <c r="J401" s="703"/>
      <c r="K401" s="703"/>
      <c r="L401" s="703"/>
      <c r="M401" s="703"/>
      <c r="N401" s="703"/>
      <c r="O401" s="703"/>
      <c r="P401" s="703"/>
      <c r="Q401" s="703"/>
      <c r="R401" s="703"/>
      <c r="S401" s="703"/>
      <c r="T401" s="703"/>
      <c r="U401" s="703"/>
      <c r="V401" s="703"/>
      <c r="W401" s="703"/>
      <c r="X401" s="703"/>
      <c r="Y401" s="703"/>
      <c r="Z401" s="703"/>
    </row>
    <row r="402">
      <c r="A402" s="703"/>
      <c r="B402" s="703"/>
      <c r="C402" s="703"/>
      <c r="D402" s="703"/>
      <c r="E402" s="703"/>
      <c r="F402" s="703"/>
      <c r="G402" s="703"/>
      <c r="H402" s="703"/>
      <c r="I402" s="703"/>
      <c r="J402" s="703"/>
      <c r="K402" s="703"/>
      <c r="L402" s="703"/>
      <c r="M402" s="703"/>
      <c r="N402" s="703"/>
      <c r="O402" s="703"/>
      <c r="P402" s="703"/>
      <c r="Q402" s="703"/>
      <c r="R402" s="703"/>
      <c r="S402" s="703"/>
      <c r="T402" s="703"/>
      <c r="U402" s="703"/>
      <c r="V402" s="703"/>
      <c r="W402" s="703"/>
      <c r="X402" s="703"/>
      <c r="Y402" s="703"/>
      <c r="Z402" s="703"/>
    </row>
    <row r="403">
      <c r="A403" s="703"/>
      <c r="B403" s="703"/>
      <c r="C403" s="703"/>
      <c r="D403" s="703"/>
      <c r="E403" s="703"/>
      <c r="F403" s="703"/>
      <c r="G403" s="703"/>
      <c r="H403" s="703"/>
      <c r="I403" s="703"/>
      <c r="J403" s="703"/>
      <c r="K403" s="703"/>
      <c r="L403" s="703"/>
      <c r="M403" s="703"/>
      <c r="N403" s="703"/>
      <c r="O403" s="703"/>
      <c r="P403" s="703"/>
      <c r="Q403" s="703"/>
      <c r="R403" s="703"/>
      <c r="S403" s="703"/>
      <c r="T403" s="703"/>
      <c r="U403" s="703"/>
      <c r="V403" s="703"/>
      <c r="W403" s="703"/>
      <c r="X403" s="703"/>
      <c r="Y403" s="703"/>
      <c r="Z403" s="703"/>
    </row>
    <row r="404">
      <c r="A404" s="703"/>
      <c r="B404" s="703"/>
      <c r="C404" s="703"/>
      <c r="D404" s="703"/>
      <c r="E404" s="703"/>
      <c r="F404" s="703"/>
      <c r="G404" s="703"/>
      <c r="H404" s="703"/>
      <c r="I404" s="703"/>
      <c r="J404" s="703"/>
      <c r="K404" s="703"/>
      <c r="L404" s="703"/>
      <c r="M404" s="703"/>
      <c r="N404" s="703"/>
      <c r="O404" s="703"/>
      <c r="P404" s="703"/>
      <c r="Q404" s="703"/>
      <c r="R404" s="703"/>
      <c r="S404" s="703"/>
      <c r="T404" s="703"/>
      <c r="U404" s="703"/>
      <c r="V404" s="703"/>
      <c r="W404" s="703"/>
      <c r="X404" s="703"/>
      <c r="Y404" s="703"/>
      <c r="Z404" s="703"/>
    </row>
    <row r="405">
      <c r="A405" s="703"/>
      <c r="B405" s="703"/>
      <c r="C405" s="703"/>
      <c r="D405" s="703"/>
      <c r="E405" s="703"/>
      <c r="F405" s="703"/>
      <c r="G405" s="703"/>
      <c r="H405" s="703"/>
      <c r="I405" s="703"/>
      <c r="J405" s="703"/>
      <c r="K405" s="703"/>
      <c r="L405" s="703"/>
      <c r="M405" s="703"/>
      <c r="N405" s="703"/>
      <c r="O405" s="703"/>
      <c r="P405" s="703"/>
      <c r="Q405" s="703"/>
      <c r="R405" s="703"/>
      <c r="S405" s="703"/>
      <c r="T405" s="703"/>
      <c r="U405" s="703"/>
      <c r="V405" s="703"/>
      <c r="W405" s="703"/>
      <c r="X405" s="703"/>
      <c r="Y405" s="703"/>
      <c r="Z405" s="703"/>
    </row>
    <row r="406">
      <c r="A406" s="703"/>
      <c r="B406" s="703"/>
      <c r="C406" s="703"/>
      <c r="D406" s="703"/>
      <c r="E406" s="703"/>
      <c r="F406" s="703"/>
      <c r="G406" s="703"/>
      <c r="H406" s="703"/>
      <c r="I406" s="703"/>
      <c r="J406" s="703"/>
      <c r="K406" s="703"/>
      <c r="L406" s="703"/>
      <c r="M406" s="703"/>
      <c r="N406" s="703"/>
      <c r="O406" s="703"/>
      <c r="P406" s="703"/>
      <c r="Q406" s="703"/>
      <c r="R406" s="703"/>
      <c r="S406" s="703"/>
      <c r="T406" s="703"/>
      <c r="U406" s="703"/>
      <c r="V406" s="703"/>
      <c r="W406" s="703"/>
      <c r="X406" s="703"/>
      <c r="Y406" s="703"/>
      <c r="Z406" s="703"/>
    </row>
    <row r="407">
      <c r="A407" s="703"/>
      <c r="B407" s="703"/>
      <c r="C407" s="703"/>
      <c r="D407" s="703"/>
      <c r="E407" s="703"/>
      <c r="F407" s="703"/>
      <c r="G407" s="703"/>
      <c r="H407" s="703"/>
      <c r="I407" s="703"/>
      <c r="J407" s="703"/>
      <c r="K407" s="703"/>
      <c r="L407" s="703"/>
      <c r="M407" s="703"/>
      <c r="N407" s="703"/>
      <c r="O407" s="703"/>
      <c r="P407" s="703"/>
      <c r="Q407" s="703"/>
      <c r="R407" s="703"/>
      <c r="S407" s="703"/>
      <c r="T407" s="703"/>
      <c r="U407" s="703"/>
      <c r="V407" s="703"/>
      <c r="W407" s="703"/>
      <c r="X407" s="703"/>
      <c r="Y407" s="703"/>
      <c r="Z407" s="703"/>
    </row>
    <row r="408">
      <c r="A408" s="703"/>
      <c r="B408" s="703"/>
      <c r="C408" s="703"/>
      <c r="D408" s="703"/>
      <c r="E408" s="703"/>
      <c r="F408" s="703"/>
      <c r="G408" s="703"/>
      <c r="H408" s="703"/>
      <c r="I408" s="703"/>
      <c r="J408" s="703"/>
      <c r="K408" s="703"/>
      <c r="L408" s="703"/>
      <c r="M408" s="703"/>
      <c r="N408" s="703"/>
      <c r="O408" s="703"/>
      <c r="P408" s="703"/>
      <c r="Q408" s="703"/>
      <c r="R408" s="703"/>
      <c r="S408" s="703"/>
      <c r="T408" s="703"/>
      <c r="U408" s="703"/>
      <c r="V408" s="703"/>
      <c r="W408" s="703"/>
      <c r="X408" s="703"/>
      <c r="Y408" s="703"/>
      <c r="Z408" s="703"/>
    </row>
    <row r="409">
      <c r="A409" s="703"/>
      <c r="B409" s="703"/>
      <c r="C409" s="703"/>
      <c r="D409" s="703"/>
      <c r="E409" s="703"/>
      <c r="F409" s="703"/>
      <c r="G409" s="703"/>
      <c r="H409" s="703"/>
      <c r="I409" s="703"/>
      <c r="J409" s="703"/>
      <c r="K409" s="703"/>
      <c r="L409" s="703"/>
      <c r="M409" s="703"/>
      <c r="N409" s="703"/>
      <c r="O409" s="703"/>
      <c r="P409" s="703"/>
      <c r="Q409" s="703"/>
      <c r="R409" s="703"/>
      <c r="S409" s="703"/>
      <c r="T409" s="703"/>
      <c r="U409" s="703"/>
      <c r="V409" s="703"/>
      <c r="W409" s="703"/>
      <c r="X409" s="703"/>
      <c r="Y409" s="703"/>
      <c r="Z409" s="703"/>
    </row>
    <row r="410">
      <c r="A410" s="703"/>
      <c r="B410" s="703"/>
      <c r="C410" s="703"/>
      <c r="D410" s="703"/>
      <c r="E410" s="703"/>
      <c r="F410" s="703"/>
      <c r="G410" s="703"/>
      <c r="H410" s="703"/>
      <c r="I410" s="703"/>
      <c r="J410" s="703"/>
      <c r="K410" s="703"/>
      <c r="L410" s="703"/>
      <c r="M410" s="703"/>
      <c r="N410" s="703"/>
      <c r="O410" s="703"/>
      <c r="P410" s="703"/>
      <c r="Q410" s="703"/>
      <c r="R410" s="703"/>
      <c r="S410" s="703"/>
      <c r="T410" s="703"/>
      <c r="U410" s="703"/>
      <c r="V410" s="703"/>
      <c r="W410" s="703"/>
      <c r="X410" s="703"/>
      <c r="Y410" s="703"/>
      <c r="Z410" s="703"/>
    </row>
    <row r="411">
      <c r="A411" s="703"/>
      <c r="B411" s="703"/>
      <c r="C411" s="703"/>
      <c r="D411" s="703"/>
      <c r="E411" s="703"/>
      <c r="F411" s="703"/>
      <c r="G411" s="703"/>
      <c r="H411" s="703"/>
      <c r="I411" s="703"/>
      <c r="J411" s="703"/>
      <c r="K411" s="703"/>
      <c r="L411" s="703"/>
      <c r="M411" s="703"/>
      <c r="N411" s="703"/>
      <c r="O411" s="703"/>
      <c r="P411" s="703"/>
      <c r="Q411" s="703"/>
      <c r="R411" s="703"/>
      <c r="S411" s="703"/>
      <c r="T411" s="703"/>
      <c r="U411" s="703"/>
      <c r="V411" s="703"/>
      <c r="W411" s="703"/>
      <c r="X411" s="703"/>
      <c r="Y411" s="703"/>
      <c r="Z411" s="703"/>
    </row>
    <row r="412">
      <c r="A412" s="703"/>
      <c r="B412" s="703"/>
      <c r="C412" s="703"/>
      <c r="D412" s="703"/>
      <c r="E412" s="703"/>
      <c r="F412" s="703"/>
      <c r="G412" s="703"/>
      <c r="H412" s="703"/>
      <c r="I412" s="703"/>
      <c r="J412" s="703"/>
      <c r="K412" s="703"/>
      <c r="L412" s="703"/>
      <c r="M412" s="703"/>
      <c r="N412" s="703"/>
      <c r="O412" s="703"/>
      <c r="P412" s="703"/>
      <c r="Q412" s="703"/>
      <c r="R412" s="703"/>
      <c r="S412" s="703"/>
      <c r="T412" s="703"/>
      <c r="U412" s="703"/>
      <c r="V412" s="703"/>
      <c r="W412" s="703"/>
      <c r="X412" s="703"/>
      <c r="Y412" s="703"/>
      <c r="Z412" s="703"/>
    </row>
    <row r="413">
      <c r="A413" s="703"/>
      <c r="B413" s="703"/>
      <c r="C413" s="703"/>
      <c r="D413" s="703"/>
      <c r="E413" s="703"/>
      <c r="F413" s="703"/>
      <c r="G413" s="703"/>
      <c r="H413" s="703"/>
      <c r="I413" s="703"/>
      <c r="J413" s="703"/>
      <c r="K413" s="703"/>
      <c r="L413" s="703"/>
      <c r="M413" s="703"/>
      <c r="N413" s="703"/>
      <c r="O413" s="703"/>
      <c r="P413" s="703"/>
      <c r="Q413" s="703"/>
      <c r="R413" s="703"/>
      <c r="S413" s="703"/>
      <c r="T413" s="703"/>
      <c r="U413" s="703"/>
      <c r="V413" s="703"/>
      <c r="W413" s="703"/>
      <c r="X413" s="703"/>
      <c r="Y413" s="703"/>
      <c r="Z413" s="703"/>
    </row>
    <row r="414">
      <c r="A414" s="703"/>
      <c r="B414" s="703"/>
      <c r="C414" s="703"/>
      <c r="D414" s="703"/>
      <c r="E414" s="703"/>
      <c r="F414" s="703"/>
      <c r="G414" s="703"/>
      <c r="H414" s="703"/>
      <c r="I414" s="703"/>
      <c r="J414" s="703"/>
      <c r="K414" s="703"/>
      <c r="L414" s="703"/>
      <c r="M414" s="703"/>
      <c r="N414" s="703"/>
      <c r="O414" s="703"/>
      <c r="P414" s="703"/>
      <c r="Q414" s="703"/>
      <c r="R414" s="703"/>
      <c r="S414" s="703"/>
      <c r="T414" s="703"/>
      <c r="U414" s="703"/>
      <c r="V414" s="703"/>
      <c r="W414" s="703"/>
      <c r="X414" s="703"/>
      <c r="Y414" s="703"/>
      <c r="Z414" s="703"/>
    </row>
    <row r="415">
      <c r="A415" s="703"/>
      <c r="B415" s="703"/>
      <c r="C415" s="703"/>
      <c r="D415" s="703"/>
      <c r="E415" s="703"/>
      <c r="F415" s="703"/>
      <c r="G415" s="703"/>
      <c r="H415" s="703"/>
      <c r="I415" s="703"/>
      <c r="J415" s="703"/>
      <c r="K415" s="703"/>
      <c r="L415" s="703"/>
      <c r="M415" s="703"/>
      <c r="N415" s="703"/>
      <c r="O415" s="703"/>
      <c r="P415" s="703"/>
      <c r="Q415" s="703"/>
      <c r="R415" s="703"/>
      <c r="S415" s="703"/>
      <c r="T415" s="703"/>
      <c r="U415" s="703"/>
      <c r="V415" s="703"/>
      <c r="W415" s="703"/>
      <c r="X415" s="703"/>
      <c r="Y415" s="703"/>
      <c r="Z415" s="703"/>
    </row>
    <row r="416">
      <c r="A416" s="703"/>
      <c r="B416" s="703"/>
      <c r="C416" s="703"/>
      <c r="D416" s="703"/>
      <c r="E416" s="703"/>
      <c r="F416" s="703"/>
      <c r="G416" s="703"/>
      <c r="H416" s="703"/>
      <c r="I416" s="703"/>
      <c r="J416" s="703"/>
      <c r="K416" s="703"/>
      <c r="L416" s="703"/>
      <c r="M416" s="703"/>
      <c r="N416" s="703"/>
      <c r="O416" s="703"/>
      <c r="P416" s="703"/>
      <c r="Q416" s="703"/>
      <c r="R416" s="703"/>
      <c r="S416" s="703"/>
      <c r="T416" s="703"/>
      <c r="U416" s="703"/>
      <c r="V416" s="703"/>
      <c r="W416" s="703"/>
      <c r="X416" s="703"/>
      <c r="Y416" s="703"/>
      <c r="Z416" s="703"/>
    </row>
    <row r="417">
      <c r="A417" s="703"/>
      <c r="B417" s="703"/>
      <c r="C417" s="703"/>
      <c r="D417" s="703"/>
      <c r="E417" s="703"/>
      <c r="F417" s="703"/>
      <c r="G417" s="703"/>
      <c r="H417" s="703"/>
      <c r="I417" s="703"/>
      <c r="J417" s="703"/>
      <c r="K417" s="703"/>
      <c r="L417" s="703"/>
      <c r="M417" s="703"/>
      <c r="N417" s="703"/>
      <c r="O417" s="703"/>
      <c r="P417" s="703"/>
      <c r="Q417" s="703"/>
      <c r="R417" s="703"/>
      <c r="S417" s="703"/>
      <c r="T417" s="703"/>
      <c r="U417" s="703"/>
      <c r="V417" s="703"/>
      <c r="W417" s="703"/>
      <c r="X417" s="703"/>
      <c r="Y417" s="703"/>
      <c r="Z417" s="703"/>
    </row>
    <row r="418">
      <c r="A418" s="703"/>
      <c r="B418" s="703"/>
      <c r="C418" s="703"/>
      <c r="D418" s="703"/>
      <c r="E418" s="703"/>
      <c r="F418" s="703"/>
      <c r="G418" s="703"/>
      <c r="H418" s="703"/>
      <c r="I418" s="703"/>
      <c r="J418" s="703"/>
      <c r="K418" s="703"/>
      <c r="L418" s="703"/>
      <c r="M418" s="703"/>
      <c r="N418" s="703"/>
      <c r="O418" s="703"/>
      <c r="P418" s="703"/>
      <c r="Q418" s="703"/>
      <c r="R418" s="703"/>
      <c r="S418" s="703"/>
      <c r="T418" s="703"/>
      <c r="U418" s="703"/>
      <c r="V418" s="703"/>
      <c r="W418" s="703"/>
      <c r="X418" s="703"/>
      <c r="Y418" s="703"/>
      <c r="Z418" s="703"/>
    </row>
    <row r="419">
      <c r="A419" s="703"/>
      <c r="B419" s="703"/>
      <c r="C419" s="703"/>
      <c r="D419" s="703"/>
      <c r="E419" s="703"/>
      <c r="F419" s="703"/>
      <c r="G419" s="703"/>
      <c r="H419" s="703"/>
      <c r="I419" s="703"/>
      <c r="J419" s="703"/>
      <c r="K419" s="703"/>
      <c r="L419" s="703"/>
      <c r="M419" s="703"/>
      <c r="N419" s="703"/>
      <c r="O419" s="703"/>
      <c r="P419" s="703"/>
      <c r="Q419" s="703"/>
      <c r="R419" s="703"/>
      <c r="S419" s="703"/>
      <c r="T419" s="703"/>
      <c r="U419" s="703"/>
      <c r="V419" s="703"/>
      <c r="W419" s="703"/>
      <c r="X419" s="703"/>
      <c r="Y419" s="703"/>
      <c r="Z419" s="703"/>
    </row>
    <row r="420">
      <c r="A420" s="703"/>
      <c r="B420" s="703"/>
      <c r="C420" s="703"/>
      <c r="D420" s="703"/>
      <c r="E420" s="703"/>
      <c r="F420" s="703"/>
      <c r="G420" s="703"/>
      <c r="H420" s="703"/>
      <c r="I420" s="703"/>
      <c r="J420" s="703"/>
      <c r="K420" s="703"/>
      <c r="L420" s="703"/>
      <c r="M420" s="703"/>
      <c r="N420" s="703"/>
      <c r="O420" s="703"/>
      <c r="P420" s="703"/>
      <c r="Q420" s="703"/>
      <c r="R420" s="703"/>
      <c r="S420" s="703"/>
      <c r="T420" s="703"/>
      <c r="U420" s="703"/>
      <c r="V420" s="703"/>
      <c r="W420" s="703"/>
      <c r="X420" s="703"/>
      <c r="Y420" s="703"/>
      <c r="Z420" s="703"/>
    </row>
    <row r="421">
      <c r="A421" s="703"/>
      <c r="B421" s="703"/>
      <c r="C421" s="703"/>
      <c r="D421" s="703"/>
      <c r="E421" s="703"/>
      <c r="F421" s="703"/>
      <c r="G421" s="703"/>
      <c r="H421" s="703"/>
      <c r="I421" s="703"/>
      <c r="J421" s="703"/>
      <c r="K421" s="703"/>
      <c r="L421" s="703"/>
      <c r="M421" s="703"/>
      <c r="N421" s="703"/>
      <c r="O421" s="703"/>
      <c r="P421" s="703"/>
      <c r="Q421" s="703"/>
      <c r="R421" s="703"/>
      <c r="S421" s="703"/>
      <c r="T421" s="703"/>
      <c r="U421" s="703"/>
      <c r="V421" s="703"/>
      <c r="W421" s="703"/>
      <c r="X421" s="703"/>
      <c r="Y421" s="703"/>
      <c r="Z421" s="703"/>
    </row>
    <row r="422">
      <c r="A422" s="703"/>
      <c r="B422" s="703"/>
      <c r="C422" s="703"/>
      <c r="D422" s="703"/>
      <c r="E422" s="703"/>
      <c r="F422" s="703"/>
      <c r="G422" s="703"/>
      <c r="H422" s="703"/>
      <c r="I422" s="703"/>
      <c r="J422" s="703"/>
      <c r="K422" s="703"/>
      <c r="L422" s="703"/>
      <c r="M422" s="703"/>
      <c r="N422" s="703"/>
      <c r="O422" s="703"/>
      <c r="P422" s="703"/>
      <c r="Q422" s="703"/>
      <c r="R422" s="703"/>
      <c r="S422" s="703"/>
      <c r="T422" s="703"/>
      <c r="U422" s="703"/>
      <c r="V422" s="703"/>
      <c r="W422" s="703"/>
      <c r="X422" s="703"/>
      <c r="Y422" s="703"/>
      <c r="Z422" s="703"/>
    </row>
    <row r="423">
      <c r="A423" s="703"/>
      <c r="B423" s="703"/>
      <c r="C423" s="703"/>
      <c r="D423" s="703"/>
      <c r="E423" s="703"/>
      <c r="F423" s="703"/>
      <c r="G423" s="703"/>
      <c r="H423" s="703"/>
      <c r="I423" s="703"/>
      <c r="J423" s="703"/>
      <c r="K423" s="703"/>
      <c r="L423" s="703"/>
      <c r="M423" s="703"/>
      <c r="N423" s="703"/>
      <c r="O423" s="703"/>
      <c r="P423" s="703"/>
      <c r="Q423" s="703"/>
      <c r="R423" s="703"/>
      <c r="S423" s="703"/>
      <c r="T423" s="703"/>
      <c r="U423" s="703"/>
      <c r="V423" s="703"/>
      <c r="W423" s="703"/>
      <c r="X423" s="703"/>
      <c r="Y423" s="703"/>
      <c r="Z423" s="703"/>
    </row>
    <row r="424">
      <c r="A424" s="703"/>
      <c r="B424" s="703"/>
      <c r="C424" s="703"/>
      <c r="D424" s="703"/>
      <c r="E424" s="703"/>
      <c r="F424" s="703"/>
      <c r="G424" s="703"/>
      <c r="H424" s="703"/>
      <c r="I424" s="703"/>
      <c r="J424" s="703"/>
      <c r="K424" s="703"/>
      <c r="L424" s="703"/>
      <c r="M424" s="703"/>
      <c r="N424" s="703"/>
      <c r="O424" s="703"/>
      <c r="P424" s="703"/>
      <c r="Q424" s="703"/>
      <c r="R424" s="703"/>
      <c r="S424" s="703"/>
      <c r="T424" s="703"/>
      <c r="U424" s="703"/>
      <c r="V424" s="703"/>
      <c r="W424" s="703"/>
      <c r="X424" s="703"/>
      <c r="Y424" s="703"/>
      <c r="Z424" s="703"/>
    </row>
    <row r="425">
      <c r="A425" s="703"/>
      <c r="B425" s="703"/>
      <c r="C425" s="703"/>
      <c r="D425" s="703"/>
      <c r="E425" s="703"/>
      <c r="F425" s="703"/>
      <c r="G425" s="703"/>
      <c r="H425" s="703"/>
      <c r="I425" s="703"/>
      <c r="J425" s="703"/>
      <c r="K425" s="703"/>
      <c r="L425" s="703"/>
      <c r="M425" s="703"/>
      <c r="N425" s="703"/>
      <c r="O425" s="703"/>
      <c r="P425" s="703"/>
      <c r="Q425" s="703"/>
      <c r="R425" s="703"/>
      <c r="S425" s="703"/>
      <c r="T425" s="703"/>
      <c r="U425" s="703"/>
      <c r="V425" s="703"/>
      <c r="W425" s="703"/>
      <c r="X425" s="703"/>
      <c r="Y425" s="703"/>
      <c r="Z425" s="703"/>
    </row>
    <row r="426">
      <c r="A426" s="703"/>
      <c r="B426" s="703"/>
      <c r="C426" s="703"/>
      <c r="D426" s="703"/>
      <c r="E426" s="703"/>
      <c r="F426" s="703"/>
      <c r="G426" s="703"/>
      <c r="H426" s="703"/>
      <c r="I426" s="703"/>
      <c r="J426" s="703"/>
      <c r="K426" s="703"/>
      <c r="L426" s="703"/>
      <c r="M426" s="703"/>
      <c r="N426" s="703"/>
      <c r="O426" s="703"/>
      <c r="P426" s="703"/>
      <c r="Q426" s="703"/>
      <c r="R426" s="703"/>
      <c r="S426" s="703"/>
      <c r="T426" s="703"/>
      <c r="U426" s="703"/>
      <c r="V426" s="703"/>
      <c r="W426" s="703"/>
      <c r="X426" s="703"/>
      <c r="Y426" s="703"/>
      <c r="Z426" s="703"/>
    </row>
    <row r="427">
      <c r="A427" s="703"/>
      <c r="B427" s="703"/>
      <c r="C427" s="703"/>
      <c r="D427" s="703"/>
      <c r="E427" s="703"/>
      <c r="F427" s="703"/>
      <c r="G427" s="703"/>
      <c r="H427" s="703"/>
      <c r="I427" s="703"/>
      <c r="J427" s="703"/>
      <c r="K427" s="703"/>
      <c r="L427" s="703"/>
      <c r="M427" s="703"/>
      <c r="N427" s="703"/>
      <c r="O427" s="703"/>
      <c r="P427" s="703"/>
      <c r="Q427" s="703"/>
      <c r="R427" s="703"/>
      <c r="S427" s="703"/>
      <c r="T427" s="703"/>
      <c r="U427" s="703"/>
      <c r="V427" s="703"/>
      <c r="W427" s="703"/>
      <c r="X427" s="703"/>
      <c r="Y427" s="703"/>
      <c r="Z427" s="703"/>
    </row>
    <row r="428">
      <c r="A428" s="703"/>
      <c r="B428" s="703"/>
      <c r="C428" s="703"/>
      <c r="D428" s="703"/>
      <c r="E428" s="703"/>
      <c r="F428" s="703"/>
      <c r="G428" s="703"/>
      <c r="H428" s="703"/>
      <c r="I428" s="703"/>
      <c r="J428" s="703"/>
      <c r="K428" s="703"/>
      <c r="L428" s="703"/>
      <c r="M428" s="703"/>
      <c r="N428" s="703"/>
      <c r="O428" s="703"/>
      <c r="P428" s="703"/>
      <c r="Q428" s="703"/>
      <c r="R428" s="703"/>
      <c r="S428" s="703"/>
      <c r="T428" s="703"/>
      <c r="U428" s="703"/>
      <c r="V428" s="703"/>
      <c r="W428" s="703"/>
      <c r="X428" s="703"/>
      <c r="Y428" s="703"/>
      <c r="Z428" s="703"/>
    </row>
    <row r="429">
      <c r="A429" s="703"/>
      <c r="B429" s="703"/>
      <c r="C429" s="703"/>
      <c r="D429" s="703"/>
      <c r="E429" s="703"/>
      <c r="F429" s="703"/>
      <c r="G429" s="703"/>
      <c r="H429" s="703"/>
      <c r="I429" s="703"/>
      <c r="J429" s="703"/>
      <c r="K429" s="703"/>
      <c r="L429" s="703"/>
      <c r="M429" s="703"/>
      <c r="N429" s="703"/>
      <c r="O429" s="703"/>
      <c r="P429" s="703"/>
      <c r="Q429" s="703"/>
      <c r="R429" s="703"/>
      <c r="S429" s="703"/>
      <c r="T429" s="703"/>
      <c r="U429" s="703"/>
      <c r="V429" s="703"/>
      <c r="W429" s="703"/>
      <c r="X429" s="703"/>
      <c r="Y429" s="703"/>
      <c r="Z429" s="703"/>
    </row>
    <row r="430">
      <c r="A430" s="703"/>
      <c r="B430" s="703"/>
      <c r="C430" s="703"/>
      <c r="D430" s="703"/>
      <c r="E430" s="703"/>
      <c r="F430" s="703"/>
      <c r="G430" s="703"/>
      <c r="H430" s="703"/>
      <c r="I430" s="703"/>
      <c r="J430" s="703"/>
      <c r="K430" s="703"/>
      <c r="L430" s="703"/>
      <c r="M430" s="703"/>
      <c r="N430" s="703"/>
      <c r="O430" s="703"/>
      <c r="P430" s="703"/>
      <c r="Q430" s="703"/>
      <c r="R430" s="703"/>
      <c r="S430" s="703"/>
      <c r="T430" s="703"/>
      <c r="U430" s="703"/>
      <c r="V430" s="703"/>
      <c r="W430" s="703"/>
      <c r="X430" s="703"/>
      <c r="Y430" s="703"/>
      <c r="Z430" s="703"/>
    </row>
    <row r="431">
      <c r="A431" s="703"/>
      <c r="B431" s="703"/>
      <c r="C431" s="703"/>
      <c r="D431" s="703"/>
      <c r="E431" s="703"/>
      <c r="F431" s="703"/>
      <c r="G431" s="703"/>
      <c r="H431" s="703"/>
      <c r="I431" s="703"/>
      <c r="J431" s="703"/>
      <c r="K431" s="703"/>
      <c r="L431" s="703"/>
      <c r="M431" s="703"/>
      <c r="N431" s="703"/>
      <c r="O431" s="703"/>
      <c r="P431" s="703"/>
      <c r="Q431" s="703"/>
      <c r="R431" s="703"/>
      <c r="S431" s="703"/>
      <c r="T431" s="703"/>
      <c r="U431" s="703"/>
      <c r="V431" s="703"/>
      <c r="W431" s="703"/>
      <c r="X431" s="703"/>
      <c r="Y431" s="703"/>
      <c r="Z431" s="703"/>
    </row>
    <row r="432">
      <c r="A432" s="703"/>
      <c r="B432" s="703"/>
      <c r="C432" s="703"/>
      <c r="D432" s="703"/>
      <c r="E432" s="703"/>
      <c r="F432" s="703"/>
      <c r="G432" s="703"/>
      <c r="H432" s="703"/>
      <c r="I432" s="703"/>
      <c r="J432" s="703"/>
      <c r="K432" s="703"/>
      <c r="L432" s="703"/>
      <c r="M432" s="703"/>
      <c r="N432" s="703"/>
      <c r="O432" s="703"/>
      <c r="P432" s="703"/>
      <c r="Q432" s="703"/>
      <c r="R432" s="703"/>
      <c r="S432" s="703"/>
      <c r="T432" s="703"/>
      <c r="U432" s="703"/>
      <c r="V432" s="703"/>
      <c r="W432" s="703"/>
      <c r="X432" s="703"/>
      <c r="Y432" s="703"/>
      <c r="Z432" s="703"/>
    </row>
    <row r="433">
      <c r="A433" s="703"/>
      <c r="B433" s="703"/>
      <c r="C433" s="703"/>
      <c r="D433" s="703"/>
      <c r="E433" s="703"/>
      <c r="F433" s="703"/>
      <c r="G433" s="703"/>
      <c r="H433" s="703"/>
      <c r="I433" s="703"/>
      <c r="J433" s="703"/>
      <c r="K433" s="703"/>
      <c r="L433" s="703"/>
      <c r="M433" s="703"/>
      <c r="N433" s="703"/>
      <c r="O433" s="703"/>
      <c r="P433" s="703"/>
      <c r="Q433" s="703"/>
      <c r="R433" s="703"/>
      <c r="S433" s="703"/>
      <c r="T433" s="703"/>
      <c r="U433" s="703"/>
      <c r="V433" s="703"/>
      <c r="W433" s="703"/>
      <c r="X433" s="703"/>
      <c r="Y433" s="703"/>
      <c r="Z433" s="703"/>
    </row>
    <row r="434">
      <c r="A434" s="703"/>
      <c r="B434" s="703"/>
      <c r="C434" s="703"/>
      <c r="D434" s="703"/>
      <c r="E434" s="703"/>
      <c r="F434" s="703"/>
      <c r="G434" s="703"/>
      <c r="H434" s="703"/>
      <c r="I434" s="703"/>
      <c r="J434" s="703"/>
      <c r="K434" s="703"/>
      <c r="L434" s="703"/>
      <c r="M434" s="703"/>
      <c r="N434" s="703"/>
      <c r="O434" s="703"/>
      <c r="P434" s="703"/>
      <c r="Q434" s="703"/>
      <c r="R434" s="703"/>
      <c r="S434" s="703"/>
      <c r="T434" s="703"/>
      <c r="U434" s="703"/>
      <c r="V434" s="703"/>
      <c r="W434" s="703"/>
      <c r="X434" s="703"/>
      <c r="Y434" s="703"/>
      <c r="Z434" s="703"/>
    </row>
    <row r="435">
      <c r="A435" s="703"/>
      <c r="B435" s="703"/>
      <c r="C435" s="703"/>
      <c r="D435" s="703"/>
      <c r="E435" s="703"/>
      <c r="F435" s="703"/>
      <c r="G435" s="703"/>
      <c r="H435" s="703"/>
      <c r="I435" s="703"/>
      <c r="J435" s="703"/>
      <c r="K435" s="703"/>
      <c r="L435" s="703"/>
      <c r="M435" s="703"/>
      <c r="N435" s="703"/>
      <c r="O435" s="703"/>
      <c r="P435" s="703"/>
      <c r="Q435" s="703"/>
      <c r="R435" s="703"/>
      <c r="S435" s="703"/>
      <c r="T435" s="703"/>
      <c r="U435" s="703"/>
      <c r="V435" s="703"/>
      <c r="W435" s="703"/>
      <c r="X435" s="703"/>
      <c r="Y435" s="703"/>
      <c r="Z435" s="703"/>
    </row>
    <row r="436">
      <c r="A436" s="703"/>
      <c r="B436" s="703"/>
      <c r="C436" s="703"/>
      <c r="D436" s="703"/>
      <c r="E436" s="703"/>
      <c r="F436" s="703"/>
      <c r="G436" s="703"/>
      <c r="H436" s="703"/>
      <c r="I436" s="703"/>
      <c r="J436" s="703"/>
      <c r="K436" s="703"/>
      <c r="L436" s="703"/>
      <c r="M436" s="703"/>
      <c r="N436" s="703"/>
      <c r="O436" s="703"/>
      <c r="P436" s="703"/>
      <c r="Q436" s="703"/>
      <c r="R436" s="703"/>
      <c r="S436" s="703"/>
      <c r="T436" s="703"/>
      <c r="U436" s="703"/>
      <c r="V436" s="703"/>
      <c r="W436" s="703"/>
      <c r="X436" s="703"/>
      <c r="Y436" s="703"/>
      <c r="Z436" s="703"/>
    </row>
    <row r="437">
      <c r="A437" s="703"/>
      <c r="B437" s="703"/>
      <c r="C437" s="703"/>
      <c r="D437" s="703"/>
      <c r="E437" s="703"/>
      <c r="F437" s="703"/>
      <c r="G437" s="703"/>
      <c r="H437" s="703"/>
      <c r="I437" s="703"/>
      <c r="J437" s="703"/>
      <c r="K437" s="703"/>
      <c r="L437" s="703"/>
      <c r="M437" s="703"/>
      <c r="N437" s="703"/>
      <c r="O437" s="703"/>
      <c r="P437" s="703"/>
      <c r="Q437" s="703"/>
      <c r="R437" s="703"/>
      <c r="S437" s="703"/>
      <c r="T437" s="703"/>
      <c r="U437" s="703"/>
      <c r="V437" s="703"/>
      <c r="W437" s="703"/>
      <c r="X437" s="703"/>
      <c r="Y437" s="703"/>
      <c r="Z437" s="703"/>
    </row>
    <row r="438">
      <c r="A438" s="703"/>
      <c r="B438" s="703"/>
      <c r="C438" s="703"/>
      <c r="D438" s="703"/>
      <c r="E438" s="703"/>
      <c r="F438" s="703"/>
      <c r="G438" s="703"/>
      <c r="H438" s="703"/>
      <c r="I438" s="703"/>
      <c r="J438" s="703"/>
      <c r="K438" s="703"/>
      <c r="L438" s="703"/>
      <c r="M438" s="703"/>
      <c r="N438" s="703"/>
      <c r="O438" s="703"/>
      <c r="P438" s="703"/>
      <c r="Q438" s="703"/>
      <c r="R438" s="703"/>
      <c r="S438" s="703"/>
      <c r="T438" s="703"/>
      <c r="U438" s="703"/>
      <c r="V438" s="703"/>
      <c r="W438" s="703"/>
      <c r="X438" s="703"/>
      <c r="Y438" s="703"/>
      <c r="Z438" s="703"/>
    </row>
    <row r="439">
      <c r="A439" s="703"/>
      <c r="B439" s="703"/>
      <c r="C439" s="703"/>
      <c r="D439" s="703"/>
      <c r="E439" s="703"/>
      <c r="F439" s="703"/>
      <c r="G439" s="703"/>
      <c r="H439" s="703"/>
      <c r="I439" s="703"/>
      <c r="J439" s="703"/>
      <c r="K439" s="703"/>
      <c r="L439" s="703"/>
      <c r="M439" s="703"/>
      <c r="N439" s="703"/>
      <c r="O439" s="703"/>
      <c r="P439" s="703"/>
      <c r="Q439" s="703"/>
      <c r="R439" s="703"/>
      <c r="S439" s="703"/>
      <c r="T439" s="703"/>
      <c r="U439" s="703"/>
      <c r="V439" s="703"/>
      <c r="W439" s="703"/>
      <c r="X439" s="703"/>
      <c r="Y439" s="703"/>
      <c r="Z439" s="703"/>
    </row>
    <row r="440">
      <c r="A440" s="703"/>
      <c r="B440" s="703"/>
      <c r="C440" s="703"/>
      <c r="D440" s="703"/>
      <c r="E440" s="703"/>
      <c r="F440" s="703"/>
      <c r="G440" s="703"/>
      <c r="H440" s="703"/>
      <c r="I440" s="703"/>
      <c r="J440" s="703"/>
      <c r="K440" s="703"/>
      <c r="L440" s="703"/>
      <c r="M440" s="703"/>
      <c r="N440" s="703"/>
      <c r="O440" s="703"/>
      <c r="P440" s="703"/>
      <c r="Q440" s="703"/>
      <c r="R440" s="703"/>
      <c r="S440" s="703"/>
      <c r="T440" s="703"/>
      <c r="U440" s="703"/>
      <c r="V440" s="703"/>
      <c r="W440" s="703"/>
      <c r="X440" s="703"/>
      <c r="Y440" s="703"/>
      <c r="Z440" s="703"/>
    </row>
    <row r="441">
      <c r="A441" s="703"/>
      <c r="B441" s="703"/>
      <c r="C441" s="703"/>
      <c r="D441" s="703"/>
      <c r="E441" s="703"/>
      <c r="F441" s="703"/>
      <c r="G441" s="703"/>
      <c r="H441" s="703"/>
      <c r="I441" s="703"/>
      <c r="J441" s="703"/>
      <c r="K441" s="703"/>
      <c r="L441" s="703"/>
      <c r="M441" s="703"/>
      <c r="N441" s="703"/>
      <c r="O441" s="703"/>
      <c r="P441" s="703"/>
      <c r="Q441" s="703"/>
      <c r="R441" s="703"/>
      <c r="S441" s="703"/>
      <c r="T441" s="703"/>
      <c r="U441" s="703"/>
      <c r="V441" s="703"/>
      <c r="W441" s="703"/>
      <c r="X441" s="703"/>
      <c r="Y441" s="703"/>
      <c r="Z441" s="703"/>
    </row>
    <row r="442">
      <c r="A442" s="703"/>
      <c r="B442" s="703"/>
      <c r="C442" s="703"/>
      <c r="D442" s="703"/>
      <c r="E442" s="703"/>
      <c r="F442" s="703"/>
      <c r="G442" s="703"/>
      <c r="H442" s="703"/>
      <c r="I442" s="703"/>
      <c r="J442" s="703"/>
      <c r="K442" s="703"/>
      <c r="L442" s="703"/>
      <c r="M442" s="703"/>
      <c r="N442" s="703"/>
      <c r="O442" s="703"/>
      <c r="P442" s="703"/>
      <c r="Q442" s="703"/>
      <c r="R442" s="703"/>
      <c r="S442" s="703"/>
      <c r="T442" s="703"/>
      <c r="U442" s="703"/>
      <c r="V442" s="703"/>
      <c r="W442" s="703"/>
      <c r="X442" s="703"/>
      <c r="Y442" s="703"/>
      <c r="Z442" s="703"/>
    </row>
    <row r="443">
      <c r="A443" s="703"/>
      <c r="B443" s="703"/>
      <c r="C443" s="703"/>
      <c r="D443" s="703"/>
      <c r="E443" s="703"/>
      <c r="F443" s="703"/>
      <c r="G443" s="703"/>
      <c r="H443" s="703"/>
      <c r="I443" s="703"/>
      <c r="J443" s="703"/>
      <c r="K443" s="703"/>
      <c r="L443" s="703"/>
      <c r="M443" s="703"/>
      <c r="N443" s="703"/>
      <c r="O443" s="703"/>
      <c r="P443" s="703"/>
      <c r="Q443" s="703"/>
      <c r="R443" s="703"/>
      <c r="S443" s="703"/>
      <c r="T443" s="703"/>
      <c r="U443" s="703"/>
      <c r="V443" s="703"/>
      <c r="W443" s="703"/>
      <c r="X443" s="703"/>
      <c r="Y443" s="703"/>
      <c r="Z443" s="703"/>
    </row>
    <row r="444">
      <c r="A444" s="703"/>
      <c r="B444" s="703"/>
      <c r="C444" s="703"/>
      <c r="D444" s="703"/>
      <c r="E444" s="703"/>
      <c r="F444" s="703"/>
      <c r="G444" s="703"/>
      <c r="H444" s="703"/>
      <c r="I444" s="703"/>
      <c r="J444" s="703"/>
      <c r="K444" s="703"/>
      <c r="L444" s="703"/>
      <c r="M444" s="703"/>
      <c r="N444" s="703"/>
      <c r="O444" s="703"/>
      <c r="P444" s="703"/>
      <c r="Q444" s="703"/>
      <c r="R444" s="703"/>
      <c r="S444" s="703"/>
      <c r="T444" s="703"/>
      <c r="U444" s="703"/>
      <c r="V444" s="703"/>
      <c r="W444" s="703"/>
      <c r="X444" s="703"/>
      <c r="Y444" s="703"/>
      <c r="Z444" s="703"/>
    </row>
    <row r="445">
      <c r="A445" s="703"/>
      <c r="B445" s="703"/>
      <c r="C445" s="703"/>
      <c r="D445" s="703"/>
      <c r="E445" s="703"/>
      <c r="F445" s="703"/>
      <c r="G445" s="703"/>
      <c r="H445" s="703"/>
      <c r="I445" s="703"/>
      <c r="J445" s="703"/>
      <c r="K445" s="703"/>
      <c r="L445" s="703"/>
      <c r="M445" s="703"/>
      <c r="N445" s="703"/>
      <c r="O445" s="703"/>
      <c r="P445" s="703"/>
      <c r="Q445" s="703"/>
      <c r="R445" s="703"/>
      <c r="S445" s="703"/>
      <c r="T445" s="703"/>
      <c r="U445" s="703"/>
      <c r="V445" s="703"/>
      <c r="W445" s="703"/>
      <c r="X445" s="703"/>
      <c r="Y445" s="703"/>
      <c r="Z445" s="703"/>
    </row>
    <row r="446">
      <c r="A446" s="703"/>
      <c r="B446" s="703"/>
      <c r="C446" s="703"/>
      <c r="D446" s="703"/>
      <c r="E446" s="703"/>
      <c r="F446" s="703"/>
      <c r="G446" s="703"/>
      <c r="H446" s="703"/>
      <c r="I446" s="703"/>
      <c r="J446" s="703"/>
      <c r="K446" s="703"/>
      <c r="L446" s="703"/>
      <c r="M446" s="703"/>
      <c r="N446" s="703"/>
      <c r="O446" s="703"/>
      <c r="P446" s="703"/>
      <c r="Q446" s="703"/>
      <c r="R446" s="703"/>
      <c r="S446" s="703"/>
      <c r="T446" s="703"/>
      <c r="U446" s="703"/>
      <c r="V446" s="703"/>
      <c r="W446" s="703"/>
      <c r="X446" s="703"/>
      <c r="Y446" s="703"/>
      <c r="Z446" s="703"/>
    </row>
    <row r="447">
      <c r="A447" s="703"/>
      <c r="B447" s="703"/>
      <c r="C447" s="703"/>
      <c r="D447" s="703"/>
      <c r="E447" s="703"/>
      <c r="F447" s="703"/>
      <c r="G447" s="703"/>
      <c r="H447" s="703"/>
      <c r="I447" s="703"/>
      <c r="J447" s="703"/>
      <c r="K447" s="703"/>
      <c r="L447" s="703"/>
      <c r="M447" s="703"/>
      <c r="N447" s="703"/>
      <c r="O447" s="703"/>
      <c r="P447" s="703"/>
      <c r="Q447" s="703"/>
      <c r="R447" s="703"/>
      <c r="S447" s="703"/>
      <c r="T447" s="703"/>
      <c r="U447" s="703"/>
      <c r="V447" s="703"/>
      <c r="W447" s="703"/>
      <c r="X447" s="703"/>
      <c r="Y447" s="703"/>
      <c r="Z447" s="703"/>
    </row>
    <row r="448">
      <c r="A448" s="703"/>
      <c r="B448" s="703"/>
      <c r="C448" s="703"/>
      <c r="D448" s="703"/>
      <c r="E448" s="703"/>
      <c r="F448" s="703"/>
      <c r="G448" s="703"/>
      <c r="H448" s="703"/>
      <c r="I448" s="703"/>
      <c r="J448" s="703"/>
      <c r="K448" s="703"/>
      <c r="L448" s="703"/>
      <c r="M448" s="703"/>
      <c r="N448" s="703"/>
      <c r="O448" s="703"/>
      <c r="P448" s="703"/>
      <c r="Q448" s="703"/>
      <c r="R448" s="703"/>
      <c r="S448" s="703"/>
      <c r="T448" s="703"/>
      <c r="U448" s="703"/>
      <c r="V448" s="703"/>
      <c r="W448" s="703"/>
      <c r="X448" s="703"/>
      <c r="Y448" s="703"/>
      <c r="Z448" s="703"/>
    </row>
    <row r="449">
      <c r="A449" s="703"/>
      <c r="B449" s="703"/>
      <c r="C449" s="703"/>
      <c r="D449" s="703"/>
      <c r="E449" s="703"/>
      <c r="F449" s="703"/>
      <c r="G449" s="703"/>
      <c r="H449" s="703"/>
      <c r="I449" s="703"/>
      <c r="J449" s="703"/>
      <c r="K449" s="703"/>
      <c r="L449" s="703"/>
      <c r="M449" s="703"/>
      <c r="N449" s="703"/>
      <c r="O449" s="703"/>
      <c r="P449" s="703"/>
      <c r="Q449" s="703"/>
      <c r="R449" s="703"/>
      <c r="S449" s="703"/>
      <c r="T449" s="703"/>
      <c r="U449" s="703"/>
      <c r="V449" s="703"/>
      <c r="W449" s="703"/>
      <c r="X449" s="703"/>
      <c r="Y449" s="703"/>
      <c r="Z449" s="703"/>
    </row>
    <row r="450">
      <c r="A450" s="703"/>
      <c r="B450" s="703"/>
      <c r="C450" s="703"/>
      <c r="D450" s="703"/>
      <c r="E450" s="703"/>
      <c r="F450" s="703"/>
      <c r="G450" s="703"/>
      <c r="H450" s="703"/>
      <c r="I450" s="703"/>
      <c r="J450" s="703"/>
      <c r="K450" s="703"/>
      <c r="L450" s="703"/>
      <c r="M450" s="703"/>
      <c r="N450" s="703"/>
      <c r="O450" s="703"/>
      <c r="P450" s="703"/>
      <c r="Q450" s="703"/>
      <c r="R450" s="703"/>
      <c r="S450" s="703"/>
      <c r="T450" s="703"/>
      <c r="U450" s="703"/>
      <c r="V450" s="703"/>
      <c r="W450" s="703"/>
      <c r="X450" s="703"/>
      <c r="Y450" s="703"/>
      <c r="Z450" s="703"/>
    </row>
    <row r="451">
      <c r="A451" s="703"/>
      <c r="B451" s="703"/>
      <c r="C451" s="703"/>
      <c r="D451" s="703"/>
      <c r="E451" s="703"/>
      <c r="F451" s="703"/>
      <c r="G451" s="703"/>
      <c r="H451" s="703"/>
      <c r="I451" s="703"/>
      <c r="J451" s="703"/>
      <c r="K451" s="703"/>
      <c r="L451" s="703"/>
      <c r="M451" s="703"/>
      <c r="N451" s="703"/>
      <c r="O451" s="703"/>
      <c r="P451" s="703"/>
      <c r="Q451" s="703"/>
      <c r="R451" s="703"/>
      <c r="S451" s="703"/>
      <c r="T451" s="703"/>
      <c r="U451" s="703"/>
      <c r="V451" s="703"/>
      <c r="W451" s="703"/>
      <c r="X451" s="703"/>
      <c r="Y451" s="703"/>
      <c r="Z451" s="703"/>
    </row>
    <row r="452">
      <c r="A452" s="703"/>
      <c r="B452" s="703"/>
      <c r="C452" s="703"/>
      <c r="D452" s="703"/>
      <c r="E452" s="703"/>
      <c r="F452" s="703"/>
      <c r="G452" s="703"/>
      <c r="H452" s="703"/>
      <c r="I452" s="703"/>
      <c r="J452" s="703"/>
      <c r="K452" s="703"/>
      <c r="L452" s="703"/>
      <c r="M452" s="703"/>
      <c r="N452" s="703"/>
      <c r="O452" s="703"/>
      <c r="P452" s="703"/>
      <c r="Q452" s="703"/>
      <c r="R452" s="703"/>
      <c r="S452" s="703"/>
      <c r="T452" s="703"/>
      <c r="U452" s="703"/>
      <c r="V452" s="703"/>
      <c r="W452" s="703"/>
      <c r="X452" s="703"/>
      <c r="Y452" s="703"/>
      <c r="Z452" s="703"/>
    </row>
    <row r="453">
      <c r="A453" s="703"/>
      <c r="B453" s="703"/>
      <c r="C453" s="703"/>
      <c r="D453" s="703"/>
      <c r="E453" s="703"/>
      <c r="F453" s="703"/>
      <c r="G453" s="703"/>
      <c r="H453" s="703"/>
      <c r="I453" s="703"/>
      <c r="J453" s="703"/>
      <c r="K453" s="703"/>
      <c r="L453" s="703"/>
      <c r="M453" s="703"/>
      <c r="N453" s="703"/>
      <c r="O453" s="703"/>
      <c r="P453" s="703"/>
      <c r="Q453" s="703"/>
      <c r="R453" s="703"/>
      <c r="S453" s="703"/>
      <c r="T453" s="703"/>
      <c r="U453" s="703"/>
      <c r="V453" s="703"/>
      <c r="W453" s="703"/>
      <c r="X453" s="703"/>
      <c r="Y453" s="703"/>
      <c r="Z453" s="703"/>
    </row>
    <row r="454">
      <c r="A454" s="703"/>
      <c r="B454" s="703"/>
      <c r="C454" s="703"/>
      <c r="D454" s="703"/>
      <c r="E454" s="703"/>
      <c r="F454" s="703"/>
      <c r="G454" s="703"/>
      <c r="H454" s="703"/>
      <c r="I454" s="703"/>
      <c r="J454" s="703"/>
      <c r="K454" s="703"/>
      <c r="L454" s="703"/>
      <c r="M454" s="703"/>
      <c r="N454" s="703"/>
      <c r="O454" s="703"/>
      <c r="P454" s="703"/>
      <c r="Q454" s="703"/>
      <c r="R454" s="703"/>
      <c r="S454" s="703"/>
      <c r="T454" s="703"/>
      <c r="U454" s="703"/>
      <c r="V454" s="703"/>
      <c r="W454" s="703"/>
      <c r="X454" s="703"/>
      <c r="Y454" s="703"/>
      <c r="Z454" s="703"/>
    </row>
    <row r="455">
      <c r="A455" s="703"/>
      <c r="B455" s="703"/>
      <c r="C455" s="703"/>
      <c r="D455" s="703"/>
      <c r="E455" s="703"/>
      <c r="F455" s="703"/>
      <c r="G455" s="703"/>
      <c r="H455" s="703"/>
      <c r="I455" s="703"/>
      <c r="J455" s="703"/>
      <c r="K455" s="703"/>
      <c r="L455" s="703"/>
      <c r="M455" s="703"/>
      <c r="N455" s="703"/>
      <c r="O455" s="703"/>
      <c r="P455" s="703"/>
      <c r="Q455" s="703"/>
      <c r="R455" s="703"/>
      <c r="S455" s="703"/>
      <c r="T455" s="703"/>
      <c r="U455" s="703"/>
      <c r="V455" s="703"/>
      <c r="W455" s="703"/>
      <c r="X455" s="703"/>
      <c r="Y455" s="703"/>
      <c r="Z455" s="703"/>
    </row>
    <row r="456">
      <c r="A456" s="703"/>
      <c r="B456" s="703"/>
      <c r="C456" s="703"/>
      <c r="D456" s="703"/>
      <c r="E456" s="703"/>
      <c r="F456" s="703"/>
      <c r="G456" s="703"/>
      <c r="H456" s="703"/>
      <c r="I456" s="703"/>
      <c r="J456" s="703"/>
      <c r="K456" s="703"/>
      <c r="L456" s="703"/>
      <c r="M456" s="703"/>
      <c r="N456" s="703"/>
      <c r="O456" s="703"/>
      <c r="P456" s="703"/>
      <c r="Q456" s="703"/>
      <c r="R456" s="703"/>
      <c r="S456" s="703"/>
      <c r="T456" s="703"/>
      <c r="U456" s="703"/>
      <c r="V456" s="703"/>
      <c r="W456" s="703"/>
      <c r="X456" s="703"/>
      <c r="Y456" s="703"/>
      <c r="Z456" s="703"/>
    </row>
    <row r="457">
      <c r="A457" s="703"/>
      <c r="B457" s="703"/>
      <c r="C457" s="703"/>
      <c r="D457" s="703"/>
      <c r="E457" s="703"/>
      <c r="F457" s="703"/>
      <c r="G457" s="703"/>
      <c r="H457" s="703"/>
      <c r="I457" s="703"/>
      <c r="J457" s="703"/>
      <c r="K457" s="703"/>
      <c r="L457" s="703"/>
      <c r="M457" s="703"/>
      <c r="N457" s="703"/>
      <c r="O457" s="703"/>
      <c r="P457" s="703"/>
      <c r="Q457" s="703"/>
      <c r="R457" s="703"/>
      <c r="S457" s="703"/>
      <c r="T457" s="703"/>
      <c r="U457" s="703"/>
      <c r="V457" s="703"/>
      <c r="W457" s="703"/>
      <c r="X457" s="703"/>
      <c r="Y457" s="703"/>
      <c r="Z457" s="703"/>
    </row>
    <row r="458">
      <c r="A458" s="703"/>
      <c r="B458" s="703"/>
      <c r="C458" s="703"/>
      <c r="D458" s="703"/>
      <c r="E458" s="703"/>
      <c r="F458" s="703"/>
      <c r="G458" s="703"/>
      <c r="H458" s="703"/>
      <c r="I458" s="703"/>
      <c r="J458" s="703"/>
      <c r="K458" s="703"/>
      <c r="L458" s="703"/>
      <c r="M458" s="703"/>
      <c r="N458" s="703"/>
      <c r="O458" s="703"/>
      <c r="P458" s="703"/>
      <c r="Q458" s="703"/>
      <c r="R458" s="703"/>
      <c r="S458" s="703"/>
      <c r="T458" s="703"/>
      <c r="U458" s="703"/>
      <c r="V458" s="703"/>
      <c r="W458" s="703"/>
      <c r="X458" s="703"/>
      <c r="Y458" s="703"/>
      <c r="Z458" s="703"/>
    </row>
    <row r="459">
      <c r="A459" s="703"/>
      <c r="B459" s="703"/>
      <c r="C459" s="703"/>
      <c r="D459" s="703"/>
      <c r="E459" s="703"/>
      <c r="F459" s="703"/>
      <c r="G459" s="703"/>
      <c r="H459" s="703"/>
      <c r="I459" s="703"/>
      <c r="J459" s="703"/>
      <c r="K459" s="703"/>
      <c r="L459" s="703"/>
      <c r="M459" s="703"/>
      <c r="N459" s="703"/>
      <c r="O459" s="703"/>
      <c r="P459" s="703"/>
      <c r="Q459" s="703"/>
      <c r="R459" s="703"/>
      <c r="S459" s="703"/>
      <c r="T459" s="703"/>
      <c r="U459" s="703"/>
      <c r="V459" s="703"/>
      <c r="W459" s="703"/>
      <c r="X459" s="703"/>
      <c r="Y459" s="703"/>
      <c r="Z459" s="703"/>
    </row>
    <row r="460">
      <c r="A460" s="703"/>
      <c r="B460" s="703"/>
      <c r="C460" s="703"/>
      <c r="D460" s="703"/>
      <c r="E460" s="703"/>
      <c r="F460" s="703"/>
      <c r="G460" s="703"/>
      <c r="H460" s="703"/>
      <c r="I460" s="703"/>
      <c r="J460" s="703"/>
      <c r="K460" s="703"/>
      <c r="L460" s="703"/>
      <c r="M460" s="703"/>
      <c r="N460" s="703"/>
      <c r="O460" s="703"/>
      <c r="P460" s="703"/>
      <c r="Q460" s="703"/>
      <c r="R460" s="703"/>
      <c r="S460" s="703"/>
      <c r="T460" s="703"/>
      <c r="U460" s="703"/>
      <c r="V460" s="703"/>
      <c r="W460" s="703"/>
      <c r="X460" s="703"/>
      <c r="Y460" s="703"/>
      <c r="Z460" s="703"/>
    </row>
    <row r="461">
      <c r="A461" s="703"/>
      <c r="B461" s="703"/>
      <c r="C461" s="703"/>
      <c r="D461" s="703"/>
      <c r="E461" s="703"/>
      <c r="F461" s="703"/>
      <c r="G461" s="703"/>
      <c r="H461" s="703"/>
      <c r="I461" s="703"/>
      <c r="J461" s="703"/>
      <c r="K461" s="703"/>
      <c r="L461" s="703"/>
      <c r="M461" s="703"/>
      <c r="N461" s="703"/>
      <c r="O461" s="703"/>
      <c r="P461" s="703"/>
      <c r="Q461" s="703"/>
      <c r="R461" s="703"/>
      <c r="S461" s="703"/>
      <c r="T461" s="703"/>
      <c r="U461" s="703"/>
      <c r="V461" s="703"/>
      <c r="W461" s="703"/>
      <c r="X461" s="703"/>
      <c r="Y461" s="703"/>
      <c r="Z461" s="703"/>
    </row>
    <row r="462">
      <c r="A462" s="703"/>
      <c r="B462" s="703"/>
      <c r="C462" s="703"/>
      <c r="D462" s="703"/>
      <c r="E462" s="703"/>
      <c r="F462" s="703"/>
      <c r="G462" s="703"/>
      <c r="H462" s="703"/>
      <c r="I462" s="703"/>
      <c r="J462" s="703"/>
      <c r="K462" s="703"/>
      <c r="L462" s="703"/>
      <c r="M462" s="703"/>
      <c r="N462" s="703"/>
      <c r="O462" s="703"/>
      <c r="P462" s="703"/>
      <c r="Q462" s="703"/>
      <c r="R462" s="703"/>
      <c r="S462" s="703"/>
      <c r="T462" s="703"/>
      <c r="U462" s="703"/>
      <c r="V462" s="703"/>
      <c r="W462" s="703"/>
      <c r="X462" s="703"/>
      <c r="Y462" s="703"/>
      <c r="Z462" s="703"/>
    </row>
    <row r="463">
      <c r="A463" s="703"/>
      <c r="B463" s="703"/>
      <c r="C463" s="703"/>
      <c r="D463" s="703"/>
      <c r="E463" s="703"/>
      <c r="F463" s="703"/>
      <c r="G463" s="703"/>
      <c r="H463" s="703"/>
      <c r="I463" s="703"/>
      <c r="J463" s="703"/>
      <c r="K463" s="703"/>
      <c r="L463" s="703"/>
      <c r="M463" s="703"/>
      <c r="N463" s="703"/>
      <c r="O463" s="703"/>
      <c r="P463" s="703"/>
      <c r="Q463" s="703"/>
      <c r="R463" s="703"/>
      <c r="S463" s="703"/>
      <c r="T463" s="703"/>
      <c r="U463" s="703"/>
      <c r="V463" s="703"/>
      <c r="W463" s="703"/>
      <c r="X463" s="703"/>
      <c r="Y463" s="703"/>
      <c r="Z463" s="703"/>
    </row>
    <row r="464">
      <c r="A464" s="703"/>
      <c r="B464" s="703"/>
      <c r="C464" s="703"/>
      <c r="D464" s="703"/>
      <c r="E464" s="703"/>
      <c r="F464" s="703"/>
      <c r="G464" s="703"/>
      <c r="H464" s="703"/>
      <c r="I464" s="703"/>
      <c r="J464" s="703"/>
      <c r="K464" s="703"/>
      <c r="L464" s="703"/>
      <c r="M464" s="703"/>
      <c r="N464" s="703"/>
      <c r="O464" s="703"/>
      <c r="P464" s="703"/>
      <c r="Q464" s="703"/>
      <c r="R464" s="703"/>
      <c r="S464" s="703"/>
      <c r="T464" s="703"/>
      <c r="U464" s="703"/>
      <c r="V464" s="703"/>
      <c r="W464" s="703"/>
      <c r="X464" s="703"/>
      <c r="Y464" s="703"/>
      <c r="Z464" s="703"/>
    </row>
    <row r="465">
      <c r="A465" s="703"/>
      <c r="B465" s="703"/>
      <c r="C465" s="703"/>
      <c r="D465" s="703"/>
      <c r="E465" s="703"/>
      <c r="F465" s="703"/>
      <c r="G465" s="703"/>
      <c r="H465" s="703"/>
      <c r="I465" s="703"/>
      <c r="J465" s="703"/>
      <c r="K465" s="703"/>
      <c r="L465" s="703"/>
      <c r="M465" s="703"/>
      <c r="N465" s="703"/>
      <c r="O465" s="703"/>
      <c r="P465" s="703"/>
      <c r="Q465" s="703"/>
      <c r="R465" s="703"/>
      <c r="S465" s="703"/>
      <c r="T465" s="703"/>
      <c r="U465" s="703"/>
      <c r="V465" s="703"/>
      <c r="W465" s="703"/>
      <c r="X465" s="703"/>
      <c r="Y465" s="703"/>
      <c r="Z465" s="703"/>
    </row>
    <row r="466">
      <c r="A466" s="703"/>
      <c r="B466" s="703"/>
      <c r="C466" s="703"/>
      <c r="D466" s="703"/>
      <c r="E466" s="703"/>
      <c r="F466" s="703"/>
      <c r="G466" s="703"/>
      <c r="H466" s="703"/>
      <c r="I466" s="703"/>
      <c r="J466" s="703"/>
      <c r="K466" s="703"/>
      <c r="L466" s="703"/>
      <c r="M466" s="703"/>
      <c r="N466" s="703"/>
      <c r="O466" s="703"/>
      <c r="P466" s="703"/>
      <c r="Q466" s="703"/>
      <c r="R466" s="703"/>
      <c r="S466" s="703"/>
      <c r="T466" s="703"/>
      <c r="U466" s="703"/>
      <c r="V466" s="703"/>
      <c r="W466" s="703"/>
      <c r="X466" s="703"/>
      <c r="Y466" s="703"/>
      <c r="Z466" s="703"/>
    </row>
    <row r="467">
      <c r="A467" s="703"/>
      <c r="B467" s="703"/>
      <c r="C467" s="703"/>
      <c r="D467" s="703"/>
      <c r="E467" s="703"/>
      <c r="F467" s="703"/>
      <c r="G467" s="703"/>
      <c r="H467" s="703"/>
      <c r="I467" s="703"/>
      <c r="J467" s="703"/>
      <c r="K467" s="703"/>
      <c r="L467" s="703"/>
      <c r="M467" s="703"/>
      <c r="N467" s="703"/>
      <c r="O467" s="703"/>
      <c r="P467" s="703"/>
      <c r="Q467" s="703"/>
      <c r="R467" s="703"/>
      <c r="S467" s="703"/>
      <c r="T467" s="703"/>
      <c r="U467" s="703"/>
      <c r="V467" s="703"/>
      <c r="W467" s="703"/>
      <c r="X467" s="703"/>
      <c r="Y467" s="703"/>
      <c r="Z467" s="703"/>
    </row>
    <row r="468">
      <c r="A468" s="703"/>
      <c r="B468" s="703"/>
      <c r="C468" s="703"/>
      <c r="D468" s="703"/>
      <c r="E468" s="703"/>
      <c r="F468" s="703"/>
      <c r="G468" s="703"/>
      <c r="H468" s="703"/>
      <c r="I468" s="703"/>
      <c r="J468" s="703"/>
      <c r="K468" s="703"/>
      <c r="L468" s="703"/>
      <c r="M468" s="703"/>
      <c r="N468" s="703"/>
      <c r="O468" s="703"/>
      <c r="P468" s="703"/>
      <c r="Q468" s="703"/>
      <c r="R468" s="703"/>
      <c r="S468" s="703"/>
      <c r="T468" s="703"/>
      <c r="U468" s="703"/>
      <c r="V468" s="703"/>
      <c r="W468" s="703"/>
      <c r="X468" s="703"/>
      <c r="Y468" s="703"/>
      <c r="Z468" s="703"/>
    </row>
    <row r="469">
      <c r="A469" s="703"/>
      <c r="B469" s="703"/>
      <c r="C469" s="703"/>
      <c r="D469" s="703"/>
      <c r="E469" s="703"/>
      <c r="F469" s="703"/>
      <c r="G469" s="703"/>
      <c r="H469" s="703"/>
      <c r="I469" s="703"/>
      <c r="J469" s="703"/>
      <c r="K469" s="703"/>
      <c r="L469" s="703"/>
      <c r="M469" s="703"/>
      <c r="N469" s="703"/>
      <c r="O469" s="703"/>
      <c r="P469" s="703"/>
      <c r="Q469" s="703"/>
      <c r="R469" s="703"/>
      <c r="S469" s="703"/>
      <c r="T469" s="703"/>
      <c r="U469" s="703"/>
      <c r="V469" s="703"/>
      <c r="W469" s="703"/>
      <c r="X469" s="703"/>
      <c r="Y469" s="703"/>
      <c r="Z469" s="703"/>
    </row>
    <row r="470">
      <c r="A470" s="703"/>
      <c r="B470" s="703"/>
      <c r="C470" s="703"/>
      <c r="D470" s="703"/>
      <c r="E470" s="703"/>
      <c r="F470" s="703"/>
      <c r="G470" s="703"/>
      <c r="H470" s="703"/>
      <c r="I470" s="703"/>
      <c r="J470" s="703"/>
      <c r="K470" s="703"/>
      <c r="L470" s="703"/>
      <c r="M470" s="703"/>
      <c r="N470" s="703"/>
      <c r="O470" s="703"/>
      <c r="P470" s="703"/>
      <c r="Q470" s="703"/>
      <c r="R470" s="703"/>
      <c r="S470" s="703"/>
      <c r="T470" s="703"/>
      <c r="U470" s="703"/>
      <c r="V470" s="703"/>
      <c r="W470" s="703"/>
      <c r="X470" s="703"/>
      <c r="Y470" s="703"/>
      <c r="Z470" s="703"/>
    </row>
    <row r="471">
      <c r="A471" s="703"/>
      <c r="B471" s="703"/>
      <c r="C471" s="703"/>
      <c r="D471" s="703"/>
      <c r="E471" s="703"/>
      <c r="F471" s="703"/>
      <c r="G471" s="703"/>
      <c r="H471" s="703"/>
      <c r="I471" s="703"/>
      <c r="J471" s="703"/>
      <c r="K471" s="703"/>
      <c r="L471" s="703"/>
      <c r="M471" s="703"/>
      <c r="N471" s="703"/>
      <c r="O471" s="703"/>
      <c r="P471" s="703"/>
      <c r="Q471" s="703"/>
      <c r="R471" s="703"/>
      <c r="S471" s="703"/>
      <c r="T471" s="703"/>
      <c r="U471" s="703"/>
      <c r="V471" s="703"/>
      <c r="W471" s="703"/>
      <c r="X471" s="703"/>
      <c r="Y471" s="703"/>
      <c r="Z471" s="703"/>
    </row>
    <row r="472">
      <c r="A472" s="703"/>
      <c r="B472" s="703"/>
      <c r="C472" s="703"/>
      <c r="D472" s="703"/>
      <c r="E472" s="703"/>
      <c r="F472" s="703"/>
      <c r="G472" s="703"/>
      <c r="H472" s="703"/>
      <c r="I472" s="703"/>
      <c r="J472" s="703"/>
      <c r="K472" s="703"/>
      <c r="L472" s="703"/>
      <c r="M472" s="703"/>
      <c r="N472" s="703"/>
      <c r="O472" s="703"/>
      <c r="P472" s="703"/>
      <c r="Q472" s="703"/>
      <c r="R472" s="703"/>
      <c r="S472" s="703"/>
      <c r="T472" s="703"/>
      <c r="U472" s="703"/>
      <c r="V472" s="703"/>
      <c r="W472" s="703"/>
      <c r="X472" s="703"/>
      <c r="Y472" s="703"/>
      <c r="Z472" s="703"/>
    </row>
    <row r="473">
      <c r="A473" s="703"/>
      <c r="B473" s="703"/>
      <c r="C473" s="703"/>
      <c r="D473" s="703"/>
      <c r="E473" s="703"/>
      <c r="F473" s="703"/>
      <c r="G473" s="703"/>
      <c r="H473" s="703"/>
      <c r="I473" s="703"/>
      <c r="J473" s="703"/>
      <c r="K473" s="703"/>
      <c r="L473" s="703"/>
      <c r="M473" s="703"/>
      <c r="N473" s="703"/>
      <c r="O473" s="703"/>
      <c r="P473" s="703"/>
      <c r="Q473" s="703"/>
      <c r="R473" s="703"/>
      <c r="S473" s="703"/>
      <c r="T473" s="703"/>
      <c r="U473" s="703"/>
      <c r="V473" s="703"/>
      <c r="W473" s="703"/>
      <c r="X473" s="703"/>
      <c r="Y473" s="703"/>
      <c r="Z473" s="703"/>
    </row>
    <row r="474">
      <c r="A474" s="703"/>
      <c r="B474" s="703"/>
      <c r="C474" s="703"/>
      <c r="D474" s="703"/>
      <c r="E474" s="703"/>
      <c r="F474" s="703"/>
      <c r="G474" s="703"/>
      <c r="H474" s="703"/>
      <c r="I474" s="703"/>
      <c r="J474" s="703"/>
      <c r="K474" s="703"/>
      <c r="L474" s="703"/>
      <c r="M474" s="703"/>
      <c r="N474" s="703"/>
      <c r="O474" s="703"/>
      <c r="P474" s="703"/>
      <c r="Q474" s="703"/>
      <c r="R474" s="703"/>
      <c r="S474" s="703"/>
      <c r="T474" s="703"/>
      <c r="U474" s="703"/>
      <c r="V474" s="703"/>
      <c r="W474" s="703"/>
      <c r="X474" s="703"/>
      <c r="Y474" s="703"/>
      <c r="Z474" s="703"/>
    </row>
    <row r="475">
      <c r="A475" s="703"/>
      <c r="B475" s="703"/>
      <c r="C475" s="703"/>
      <c r="D475" s="703"/>
      <c r="E475" s="703"/>
      <c r="F475" s="703"/>
      <c r="G475" s="703"/>
      <c r="H475" s="703"/>
      <c r="I475" s="703"/>
      <c r="J475" s="703"/>
      <c r="K475" s="703"/>
      <c r="L475" s="703"/>
      <c r="M475" s="703"/>
      <c r="N475" s="703"/>
      <c r="O475" s="703"/>
      <c r="P475" s="703"/>
      <c r="Q475" s="703"/>
      <c r="R475" s="703"/>
      <c r="S475" s="703"/>
      <c r="T475" s="703"/>
      <c r="U475" s="703"/>
      <c r="V475" s="703"/>
      <c r="W475" s="703"/>
      <c r="X475" s="703"/>
      <c r="Y475" s="703"/>
      <c r="Z475" s="703"/>
    </row>
    <row r="476">
      <c r="A476" s="703"/>
      <c r="B476" s="703"/>
      <c r="C476" s="703"/>
      <c r="D476" s="703"/>
      <c r="E476" s="703"/>
      <c r="F476" s="703"/>
      <c r="G476" s="703"/>
      <c r="H476" s="703"/>
      <c r="I476" s="703"/>
      <c r="J476" s="703"/>
      <c r="K476" s="703"/>
      <c r="L476" s="703"/>
      <c r="M476" s="703"/>
      <c r="N476" s="703"/>
      <c r="O476" s="703"/>
      <c r="P476" s="703"/>
      <c r="Q476" s="703"/>
      <c r="R476" s="703"/>
      <c r="S476" s="703"/>
      <c r="T476" s="703"/>
      <c r="U476" s="703"/>
      <c r="V476" s="703"/>
      <c r="W476" s="703"/>
      <c r="X476" s="703"/>
      <c r="Y476" s="703"/>
      <c r="Z476" s="703"/>
    </row>
    <row r="477">
      <c r="A477" s="703"/>
      <c r="B477" s="703"/>
      <c r="C477" s="703"/>
      <c r="D477" s="703"/>
      <c r="E477" s="703"/>
      <c r="F477" s="703"/>
      <c r="G477" s="703"/>
      <c r="H477" s="703"/>
      <c r="I477" s="703"/>
      <c r="J477" s="703"/>
      <c r="K477" s="703"/>
      <c r="L477" s="703"/>
      <c r="M477" s="703"/>
      <c r="N477" s="703"/>
      <c r="O477" s="703"/>
      <c r="P477" s="703"/>
      <c r="Q477" s="703"/>
      <c r="R477" s="703"/>
      <c r="S477" s="703"/>
      <c r="T477" s="703"/>
      <c r="U477" s="703"/>
      <c r="V477" s="703"/>
      <c r="W477" s="703"/>
      <c r="X477" s="703"/>
      <c r="Y477" s="703"/>
      <c r="Z477" s="703"/>
    </row>
    <row r="478">
      <c r="A478" s="703"/>
      <c r="B478" s="703"/>
      <c r="C478" s="703"/>
      <c r="D478" s="703"/>
      <c r="E478" s="703"/>
      <c r="F478" s="703"/>
      <c r="G478" s="703"/>
      <c r="H478" s="703"/>
      <c r="I478" s="703"/>
      <c r="J478" s="703"/>
      <c r="K478" s="703"/>
      <c r="L478" s="703"/>
      <c r="M478" s="703"/>
      <c r="N478" s="703"/>
      <c r="O478" s="703"/>
      <c r="P478" s="703"/>
      <c r="Q478" s="703"/>
      <c r="R478" s="703"/>
      <c r="S478" s="703"/>
      <c r="T478" s="703"/>
      <c r="U478" s="703"/>
      <c r="V478" s="703"/>
      <c r="W478" s="703"/>
      <c r="X478" s="703"/>
      <c r="Y478" s="703"/>
      <c r="Z478" s="703"/>
    </row>
    <row r="479">
      <c r="A479" s="703"/>
      <c r="B479" s="703"/>
      <c r="C479" s="703"/>
      <c r="D479" s="703"/>
      <c r="E479" s="703"/>
      <c r="F479" s="703"/>
      <c r="G479" s="703"/>
      <c r="H479" s="703"/>
      <c r="I479" s="703"/>
      <c r="J479" s="703"/>
      <c r="K479" s="703"/>
      <c r="L479" s="703"/>
      <c r="M479" s="703"/>
      <c r="N479" s="703"/>
      <c r="O479" s="703"/>
      <c r="P479" s="703"/>
      <c r="Q479" s="703"/>
      <c r="R479" s="703"/>
      <c r="S479" s="703"/>
      <c r="T479" s="703"/>
      <c r="U479" s="703"/>
      <c r="V479" s="703"/>
      <c r="W479" s="703"/>
      <c r="X479" s="703"/>
      <c r="Y479" s="703"/>
      <c r="Z479" s="703"/>
    </row>
    <row r="480">
      <c r="A480" s="703"/>
      <c r="B480" s="703"/>
      <c r="C480" s="703"/>
      <c r="D480" s="703"/>
      <c r="E480" s="703"/>
      <c r="F480" s="703"/>
      <c r="G480" s="703"/>
      <c r="H480" s="703"/>
      <c r="I480" s="703"/>
      <c r="J480" s="703"/>
      <c r="K480" s="703"/>
      <c r="L480" s="703"/>
      <c r="M480" s="703"/>
      <c r="N480" s="703"/>
      <c r="O480" s="703"/>
      <c r="P480" s="703"/>
      <c r="Q480" s="703"/>
      <c r="R480" s="703"/>
      <c r="S480" s="703"/>
      <c r="T480" s="703"/>
      <c r="U480" s="703"/>
      <c r="V480" s="703"/>
      <c r="W480" s="703"/>
      <c r="X480" s="703"/>
      <c r="Y480" s="703"/>
      <c r="Z480" s="703"/>
    </row>
    <row r="481">
      <c r="A481" s="703"/>
      <c r="B481" s="703"/>
      <c r="C481" s="703"/>
      <c r="D481" s="703"/>
      <c r="E481" s="703"/>
      <c r="F481" s="703"/>
      <c r="G481" s="703"/>
      <c r="H481" s="703"/>
      <c r="I481" s="703"/>
      <c r="J481" s="703"/>
      <c r="K481" s="703"/>
      <c r="L481" s="703"/>
      <c r="M481" s="703"/>
      <c r="N481" s="703"/>
      <c r="O481" s="703"/>
      <c r="P481" s="703"/>
      <c r="Q481" s="703"/>
      <c r="R481" s="703"/>
      <c r="S481" s="703"/>
      <c r="T481" s="703"/>
      <c r="U481" s="703"/>
      <c r="V481" s="703"/>
      <c r="W481" s="703"/>
      <c r="X481" s="703"/>
      <c r="Y481" s="703"/>
      <c r="Z481" s="703"/>
    </row>
    <row r="482">
      <c r="A482" s="703"/>
      <c r="B482" s="703"/>
      <c r="C482" s="703"/>
      <c r="D482" s="703"/>
      <c r="E482" s="703"/>
      <c r="F482" s="703"/>
      <c r="G482" s="703"/>
      <c r="H482" s="703"/>
      <c r="I482" s="703"/>
      <c r="J482" s="703"/>
      <c r="K482" s="703"/>
      <c r="L482" s="703"/>
      <c r="M482" s="703"/>
      <c r="N482" s="703"/>
      <c r="O482" s="703"/>
      <c r="P482" s="703"/>
      <c r="Q482" s="703"/>
      <c r="R482" s="703"/>
      <c r="S482" s="703"/>
      <c r="T482" s="703"/>
      <c r="U482" s="703"/>
      <c r="V482" s="703"/>
      <c r="W482" s="703"/>
      <c r="X482" s="703"/>
      <c r="Y482" s="703"/>
      <c r="Z482" s="703"/>
    </row>
    <row r="483">
      <c r="A483" s="703"/>
      <c r="B483" s="703"/>
      <c r="C483" s="703"/>
      <c r="D483" s="703"/>
      <c r="E483" s="703"/>
      <c r="F483" s="703"/>
      <c r="G483" s="703"/>
      <c r="H483" s="703"/>
      <c r="I483" s="703"/>
      <c r="J483" s="703"/>
      <c r="K483" s="703"/>
      <c r="L483" s="703"/>
      <c r="M483" s="703"/>
      <c r="N483" s="703"/>
      <c r="O483" s="703"/>
      <c r="P483" s="703"/>
      <c r="Q483" s="703"/>
      <c r="R483" s="703"/>
      <c r="S483" s="703"/>
      <c r="T483" s="703"/>
      <c r="U483" s="703"/>
      <c r="V483" s="703"/>
      <c r="W483" s="703"/>
      <c r="X483" s="703"/>
      <c r="Y483" s="703"/>
      <c r="Z483" s="703"/>
    </row>
    <row r="484">
      <c r="A484" s="703"/>
      <c r="B484" s="703"/>
      <c r="C484" s="703"/>
      <c r="D484" s="703"/>
      <c r="E484" s="703"/>
      <c r="F484" s="703"/>
      <c r="G484" s="703"/>
      <c r="H484" s="703"/>
      <c r="I484" s="703"/>
      <c r="J484" s="703"/>
      <c r="K484" s="703"/>
      <c r="L484" s="703"/>
      <c r="M484" s="703"/>
      <c r="N484" s="703"/>
      <c r="O484" s="703"/>
      <c r="P484" s="703"/>
      <c r="Q484" s="703"/>
      <c r="R484" s="703"/>
      <c r="S484" s="703"/>
      <c r="T484" s="703"/>
      <c r="U484" s="703"/>
      <c r="V484" s="703"/>
      <c r="W484" s="703"/>
      <c r="X484" s="703"/>
      <c r="Y484" s="703"/>
      <c r="Z484" s="703"/>
    </row>
    <row r="485">
      <c r="A485" s="703"/>
      <c r="B485" s="703"/>
      <c r="C485" s="703"/>
      <c r="D485" s="703"/>
      <c r="E485" s="703"/>
      <c r="F485" s="703"/>
      <c r="G485" s="703"/>
      <c r="H485" s="703"/>
      <c r="I485" s="703"/>
      <c r="J485" s="703"/>
      <c r="K485" s="703"/>
      <c r="L485" s="703"/>
      <c r="M485" s="703"/>
      <c r="N485" s="703"/>
      <c r="O485" s="703"/>
      <c r="P485" s="703"/>
      <c r="Q485" s="703"/>
      <c r="R485" s="703"/>
      <c r="S485" s="703"/>
      <c r="T485" s="703"/>
      <c r="U485" s="703"/>
      <c r="V485" s="703"/>
      <c r="W485" s="703"/>
      <c r="X485" s="703"/>
      <c r="Y485" s="703"/>
      <c r="Z485" s="703"/>
    </row>
    <row r="486">
      <c r="A486" s="703"/>
      <c r="B486" s="703"/>
      <c r="C486" s="703"/>
      <c r="D486" s="703"/>
      <c r="E486" s="703"/>
      <c r="F486" s="703"/>
      <c r="G486" s="703"/>
      <c r="H486" s="703"/>
      <c r="I486" s="703"/>
      <c r="J486" s="703"/>
      <c r="K486" s="703"/>
      <c r="L486" s="703"/>
      <c r="M486" s="703"/>
      <c r="N486" s="703"/>
      <c r="O486" s="703"/>
      <c r="P486" s="703"/>
      <c r="Q486" s="703"/>
      <c r="R486" s="703"/>
      <c r="S486" s="703"/>
      <c r="T486" s="703"/>
      <c r="U486" s="703"/>
      <c r="V486" s="703"/>
      <c r="W486" s="703"/>
      <c r="X486" s="703"/>
      <c r="Y486" s="703"/>
      <c r="Z486" s="703"/>
    </row>
    <row r="487">
      <c r="A487" s="703"/>
      <c r="B487" s="703"/>
      <c r="C487" s="703"/>
      <c r="D487" s="703"/>
      <c r="E487" s="703"/>
      <c r="F487" s="703"/>
      <c r="G487" s="703"/>
      <c r="H487" s="703"/>
      <c r="I487" s="703"/>
      <c r="J487" s="703"/>
      <c r="K487" s="703"/>
      <c r="L487" s="703"/>
      <c r="M487" s="703"/>
      <c r="N487" s="703"/>
      <c r="O487" s="703"/>
      <c r="P487" s="703"/>
      <c r="Q487" s="703"/>
      <c r="R487" s="703"/>
      <c r="S487" s="703"/>
      <c r="T487" s="703"/>
      <c r="U487" s="703"/>
      <c r="V487" s="703"/>
      <c r="W487" s="703"/>
      <c r="X487" s="703"/>
      <c r="Y487" s="703"/>
      <c r="Z487" s="703"/>
    </row>
    <row r="488">
      <c r="A488" s="703"/>
      <c r="B488" s="703"/>
      <c r="C488" s="703"/>
      <c r="D488" s="703"/>
      <c r="E488" s="703"/>
      <c r="F488" s="703"/>
      <c r="G488" s="703"/>
      <c r="H488" s="703"/>
      <c r="I488" s="703"/>
      <c r="J488" s="703"/>
      <c r="K488" s="703"/>
      <c r="L488" s="703"/>
      <c r="M488" s="703"/>
      <c r="N488" s="703"/>
      <c r="O488" s="703"/>
      <c r="P488" s="703"/>
      <c r="Q488" s="703"/>
      <c r="R488" s="703"/>
      <c r="S488" s="703"/>
      <c r="T488" s="703"/>
      <c r="U488" s="703"/>
      <c r="V488" s="703"/>
      <c r="W488" s="703"/>
      <c r="X488" s="703"/>
      <c r="Y488" s="703"/>
      <c r="Z488" s="703"/>
    </row>
    <row r="489">
      <c r="A489" s="703"/>
      <c r="B489" s="703"/>
      <c r="C489" s="703"/>
      <c r="D489" s="703"/>
      <c r="E489" s="703"/>
      <c r="F489" s="703"/>
      <c r="G489" s="703"/>
      <c r="H489" s="703"/>
      <c r="I489" s="703"/>
      <c r="J489" s="703"/>
      <c r="K489" s="703"/>
      <c r="L489" s="703"/>
      <c r="M489" s="703"/>
      <c r="N489" s="703"/>
      <c r="O489" s="703"/>
      <c r="P489" s="703"/>
      <c r="Q489" s="703"/>
      <c r="R489" s="703"/>
      <c r="S489" s="703"/>
      <c r="T489" s="703"/>
      <c r="U489" s="703"/>
      <c r="V489" s="703"/>
      <c r="W489" s="703"/>
      <c r="X489" s="703"/>
      <c r="Y489" s="703"/>
      <c r="Z489" s="703"/>
    </row>
    <row r="490">
      <c r="A490" s="703"/>
      <c r="B490" s="703"/>
      <c r="C490" s="703"/>
      <c r="D490" s="703"/>
      <c r="E490" s="703"/>
      <c r="F490" s="703"/>
      <c r="G490" s="703"/>
      <c r="H490" s="703"/>
      <c r="I490" s="703"/>
      <c r="J490" s="703"/>
      <c r="K490" s="703"/>
      <c r="L490" s="703"/>
      <c r="M490" s="703"/>
      <c r="N490" s="703"/>
      <c r="O490" s="703"/>
      <c r="P490" s="703"/>
      <c r="Q490" s="703"/>
      <c r="R490" s="703"/>
      <c r="S490" s="703"/>
      <c r="T490" s="703"/>
      <c r="U490" s="703"/>
      <c r="V490" s="703"/>
      <c r="W490" s="703"/>
      <c r="X490" s="703"/>
      <c r="Y490" s="703"/>
      <c r="Z490" s="703"/>
    </row>
    <row r="491">
      <c r="A491" s="703"/>
      <c r="B491" s="703"/>
      <c r="C491" s="703"/>
      <c r="D491" s="703"/>
      <c r="E491" s="703"/>
      <c r="F491" s="703"/>
      <c r="G491" s="703"/>
      <c r="H491" s="703"/>
      <c r="I491" s="703"/>
      <c r="J491" s="703"/>
      <c r="K491" s="703"/>
      <c r="L491" s="703"/>
      <c r="M491" s="703"/>
      <c r="N491" s="703"/>
      <c r="O491" s="703"/>
      <c r="P491" s="703"/>
      <c r="Q491" s="703"/>
      <c r="R491" s="703"/>
      <c r="S491" s="703"/>
      <c r="T491" s="703"/>
      <c r="U491" s="703"/>
      <c r="V491" s="703"/>
      <c r="W491" s="703"/>
      <c r="X491" s="703"/>
      <c r="Y491" s="703"/>
      <c r="Z491" s="703"/>
    </row>
    <row r="492">
      <c r="A492" s="703"/>
      <c r="B492" s="703"/>
      <c r="C492" s="703"/>
      <c r="D492" s="703"/>
      <c r="E492" s="703"/>
      <c r="F492" s="703"/>
      <c r="G492" s="703"/>
      <c r="H492" s="703"/>
      <c r="I492" s="703"/>
      <c r="J492" s="703"/>
      <c r="K492" s="703"/>
      <c r="L492" s="703"/>
      <c r="M492" s="703"/>
      <c r="N492" s="703"/>
      <c r="O492" s="703"/>
      <c r="P492" s="703"/>
      <c r="Q492" s="703"/>
      <c r="R492" s="703"/>
      <c r="S492" s="703"/>
      <c r="T492" s="703"/>
      <c r="U492" s="703"/>
      <c r="V492" s="703"/>
      <c r="W492" s="703"/>
      <c r="X492" s="703"/>
      <c r="Y492" s="703"/>
      <c r="Z492" s="703"/>
    </row>
    <row r="493">
      <c r="A493" s="703"/>
      <c r="B493" s="703"/>
      <c r="C493" s="703"/>
      <c r="D493" s="703"/>
      <c r="E493" s="703"/>
      <c r="F493" s="703"/>
      <c r="G493" s="703"/>
      <c r="H493" s="703"/>
      <c r="I493" s="703"/>
      <c r="J493" s="703"/>
      <c r="K493" s="703"/>
      <c r="L493" s="703"/>
      <c r="M493" s="703"/>
      <c r="N493" s="703"/>
      <c r="O493" s="703"/>
      <c r="P493" s="703"/>
      <c r="Q493" s="703"/>
      <c r="R493" s="703"/>
      <c r="S493" s="703"/>
      <c r="T493" s="703"/>
      <c r="U493" s="703"/>
      <c r="V493" s="703"/>
      <c r="W493" s="703"/>
      <c r="X493" s="703"/>
      <c r="Y493" s="703"/>
      <c r="Z493" s="703"/>
    </row>
    <row r="494">
      <c r="A494" s="703"/>
      <c r="B494" s="703"/>
      <c r="C494" s="703"/>
      <c r="D494" s="703"/>
      <c r="E494" s="703"/>
      <c r="F494" s="703"/>
      <c r="G494" s="703"/>
      <c r="H494" s="703"/>
      <c r="I494" s="703"/>
      <c r="J494" s="703"/>
      <c r="K494" s="703"/>
      <c r="L494" s="703"/>
      <c r="M494" s="703"/>
      <c r="N494" s="703"/>
      <c r="O494" s="703"/>
      <c r="P494" s="703"/>
      <c r="Q494" s="703"/>
      <c r="R494" s="703"/>
      <c r="S494" s="703"/>
      <c r="T494" s="703"/>
      <c r="U494" s="703"/>
      <c r="V494" s="703"/>
      <c r="W494" s="703"/>
      <c r="X494" s="703"/>
      <c r="Y494" s="703"/>
      <c r="Z494" s="703"/>
    </row>
    <row r="495">
      <c r="A495" s="703"/>
      <c r="B495" s="703"/>
      <c r="C495" s="703"/>
      <c r="D495" s="703"/>
      <c r="E495" s="703"/>
      <c r="F495" s="703"/>
      <c r="G495" s="703"/>
      <c r="H495" s="703"/>
      <c r="I495" s="703"/>
      <c r="J495" s="703"/>
      <c r="K495" s="703"/>
      <c r="L495" s="703"/>
      <c r="M495" s="703"/>
      <c r="N495" s="703"/>
      <c r="O495" s="703"/>
      <c r="P495" s="703"/>
      <c r="Q495" s="703"/>
      <c r="R495" s="703"/>
      <c r="S495" s="703"/>
      <c r="T495" s="703"/>
      <c r="U495" s="703"/>
      <c r="V495" s="703"/>
      <c r="W495" s="703"/>
      <c r="X495" s="703"/>
      <c r="Y495" s="703"/>
      <c r="Z495" s="703"/>
    </row>
    <row r="496">
      <c r="A496" s="703"/>
      <c r="B496" s="703"/>
      <c r="C496" s="703"/>
      <c r="D496" s="703"/>
      <c r="E496" s="703"/>
      <c r="F496" s="703"/>
      <c r="G496" s="703"/>
      <c r="H496" s="703"/>
      <c r="I496" s="703"/>
      <c r="J496" s="703"/>
      <c r="K496" s="703"/>
      <c r="L496" s="703"/>
      <c r="M496" s="703"/>
      <c r="N496" s="703"/>
      <c r="O496" s="703"/>
      <c r="P496" s="703"/>
      <c r="Q496" s="703"/>
      <c r="R496" s="703"/>
      <c r="S496" s="703"/>
      <c r="T496" s="703"/>
      <c r="U496" s="703"/>
      <c r="V496" s="703"/>
      <c r="W496" s="703"/>
      <c r="X496" s="703"/>
      <c r="Y496" s="703"/>
      <c r="Z496" s="703"/>
    </row>
    <row r="497">
      <c r="A497" s="703"/>
      <c r="B497" s="703"/>
      <c r="C497" s="703"/>
      <c r="D497" s="703"/>
      <c r="E497" s="703"/>
      <c r="F497" s="703"/>
      <c r="G497" s="703"/>
      <c r="H497" s="703"/>
      <c r="I497" s="703"/>
      <c r="J497" s="703"/>
      <c r="K497" s="703"/>
      <c r="L497" s="703"/>
      <c r="M497" s="703"/>
      <c r="N497" s="703"/>
      <c r="O497" s="703"/>
      <c r="P497" s="703"/>
      <c r="Q497" s="703"/>
      <c r="R497" s="703"/>
      <c r="S497" s="703"/>
      <c r="T497" s="703"/>
      <c r="U497" s="703"/>
      <c r="V497" s="703"/>
      <c r="W497" s="703"/>
      <c r="X497" s="703"/>
      <c r="Y497" s="703"/>
      <c r="Z497" s="703"/>
    </row>
    <row r="498">
      <c r="A498" s="703"/>
      <c r="B498" s="703"/>
      <c r="C498" s="703"/>
      <c r="D498" s="703"/>
      <c r="E498" s="703"/>
      <c r="F498" s="703"/>
      <c r="G498" s="703"/>
      <c r="H498" s="703"/>
      <c r="I498" s="703"/>
      <c r="J498" s="703"/>
      <c r="K498" s="703"/>
      <c r="L498" s="703"/>
      <c r="M498" s="703"/>
      <c r="N498" s="703"/>
      <c r="O498" s="703"/>
      <c r="P498" s="703"/>
      <c r="Q498" s="703"/>
      <c r="R498" s="703"/>
      <c r="S498" s="703"/>
      <c r="T498" s="703"/>
      <c r="U498" s="703"/>
      <c r="V498" s="703"/>
      <c r="W498" s="703"/>
      <c r="X498" s="703"/>
      <c r="Y498" s="703"/>
      <c r="Z498" s="703"/>
    </row>
    <row r="499">
      <c r="A499" s="703"/>
      <c r="B499" s="703"/>
      <c r="C499" s="703"/>
      <c r="D499" s="703"/>
      <c r="E499" s="703"/>
      <c r="F499" s="703"/>
      <c r="G499" s="703"/>
      <c r="H499" s="703"/>
      <c r="I499" s="703"/>
      <c r="J499" s="703"/>
      <c r="K499" s="703"/>
      <c r="L499" s="703"/>
      <c r="M499" s="703"/>
      <c r="N499" s="703"/>
      <c r="O499" s="703"/>
      <c r="P499" s="703"/>
      <c r="Q499" s="703"/>
      <c r="R499" s="703"/>
      <c r="S499" s="703"/>
      <c r="T499" s="703"/>
      <c r="U499" s="703"/>
      <c r="V499" s="703"/>
      <c r="W499" s="703"/>
      <c r="X499" s="703"/>
      <c r="Y499" s="703"/>
      <c r="Z499" s="703"/>
    </row>
    <row r="500">
      <c r="A500" s="703"/>
      <c r="B500" s="703"/>
      <c r="C500" s="703"/>
      <c r="D500" s="703"/>
      <c r="E500" s="703"/>
      <c r="F500" s="703"/>
      <c r="G500" s="703"/>
      <c r="H500" s="703"/>
      <c r="I500" s="703"/>
      <c r="J500" s="703"/>
      <c r="K500" s="703"/>
      <c r="L500" s="703"/>
      <c r="M500" s="703"/>
      <c r="N500" s="703"/>
      <c r="O500" s="703"/>
      <c r="P500" s="703"/>
      <c r="Q500" s="703"/>
      <c r="R500" s="703"/>
      <c r="S500" s="703"/>
      <c r="T500" s="703"/>
      <c r="U500" s="703"/>
      <c r="V500" s="703"/>
      <c r="W500" s="703"/>
      <c r="X500" s="703"/>
      <c r="Y500" s="703"/>
      <c r="Z500" s="703"/>
    </row>
    <row r="501">
      <c r="A501" s="703"/>
      <c r="B501" s="703"/>
      <c r="C501" s="703"/>
      <c r="D501" s="703"/>
      <c r="E501" s="703"/>
      <c r="F501" s="703"/>
      <c r="G501" s="703"/>
      <c r="H501" s="703"/>
      <c r="I501" s="703"/>
      <c r="J501" s="703"/>
      <c r="K501" s="703"/>
      <c r="L501" s="703"/>
      <c r="M501" s="703"/>
      <c r="N501" s="703"/>
      <c r="O501" s="703"/>
      <c r="P501" s="703"/>
      <c r="Q501" s="703"/>
      <c r="R501" s="703"/>
      <c r="S501" s="703"/>
      <c r="T501" s="703"/>
      <c r="U501" s="703"/>
      <c r="V501" s="703"/>
      <c r="W501" s="703"/>
      <c r="X501" s="703"/>
      <c r="Y501" s="703"/>
      <c r="Z501" s="703"/>
    </row>
    <row r="502">
      <c r="A502" s="703"/>
      <c r="B502" s="703"/>
      <c r="C502" s="703"/>
      <c r="D502" s="703"/>
      <c r="E502" s="703"/>
      <c r="F502" s="703"/>
      <c r="G502" s="703"/>
      <c r="H502" s="703"/>
      <c r="I502" s="703"/>
      <c r="J502" s="703"/>
      <c r="K502" s="703"/>
      <c r="L502" s="703"/>
      <c r="M502" s="703"/>
      <c r="N502" s="703"/>
      <c r="O502" s="703"/>
      <c r="P502" s="703"/>
      <c r="Q502" s="703"/>
      <c r="R502" s="703"/>
      <c r="S502" s="703"/>
      <c r="T502" s="703"/>
      <c r="U502" s="703"/>
      <c r="V502" s="703"/>
      <c r="W502" s="703"/>
      <c r="X502" s="703"/>
      <c r="Y502" s="703"/>
      <c r="Z502" s="703"/>
    </row>
    <row r="503">
      <c r="A503" s="703"/>
      <c r="B503" s="703"/>
      <c r="C503" s="703"/>
      <c r="D503" s="703"/>
      <c r="E503" s="703"/>
      <c r="F503" s="703"/>
      <c r="G503" s="703"/>
      <c r="H503" s="703"/>
      <c r="I503" s="703"/>
      <c r="J503" s="703"/>
      <c r="K503" s="703"/>
      <c r="L503" s="703"/>
      <c r="M503" s="703"/>
      <c r="N503" s="703"/>
      <c r="O503" s="703"/>
      <c r="P503" s="703"/>
      <c r="Q503" s="703"/>
      <c r="R503" s="703"/>
      <c r="S503" s="703"/>
      <c r="T503" s="703"/>
      <c r="U503" s="703"/>
      <c r="V503" s="703"/>
      <c r="W503" s="703"/>
      <c r="X503" s="703"/>
      <c r="Y503" s="703"/>
      <c r="Z503" s="703"/>
    </row>
    <row r="504">
      <c r="A504" s="703"/>
      <c r="B504" s="703"/>
      <c r="C504" s="703"/>
      <c r="D504" s="703"/>
      <c r="E504" s="703"/>
      <c r="F504" s="703"/>
      <c r="G504" s="703"/>
      <c r="H504" s="703"/>
      <c r="I504" s="703"/>
      <c r="J504" s="703"/>
      <c r="K504" s="703"/>
      <c r="L504" s="703"/>
      <c r="M504" s="703"/>
      <c r="N504" s="703"/>
      <c r="O504" s="703"/>
      <c r="P504" s="703"/>
      <c r="Q504" s="703"/>
      <c r="R504" s="703"/>
      <c r="S504" s="703"/>
      <c r="T504" s="703"/>
      <c r="U504" s="703"/>
      <c r="V504" s="703"/>
      <c r="W504" s="703"/>
      <c r="X504" s="703"/>
      <c r="Y504" s="703"/>
      <c r="Z504" s="703"/>
    </row>
    <row r="505">
      <c r="A505" s="703"/>
      <c r="B505" s="703"/>
      <c r="C505" s="703"/>
      <c r="D505" s="703"/>
      <c r="E505" s="703"/>
      <c r="F505" s="703"/>
      <c r="G505" s="703"/>
      <c r="H505" s="703"/>
      <c r="I505" s="703"/>
      <c r="J505" s="703"/>
      <c r="K505" s="703"/>
      <c r="L505" s="703"/>
      <c r="M505" s="703"/>
      <c r="N505" s="703"/>
      <c r="O505" s="703"/>
      <c r="P505" s="703"/>
      <c r="Q505" s="703"/>
      <c r="R505" s="703"/>
      <c r="S505" s="703"/>
      <c r="T505" s="703"/>
      <c r="U505" s="703"/>
      <c r="V505" s="703"/>
      <c r="W505" s="703"/>
      <c r="X505" s="703"/>
      <c r="Y505" s="703"/>
      <c r="Z505" s="703"/>
    </row>
    <row r="506">
      <c r="A506" s="703"/>
      <c r="B506" s="703"/>
      <c r="C506" s="703"/>
      <c r="D506" s="703"/>
      <c r="E506" s="703"/>
      <c r="F506" s="703"/>
      <c r="G506" s="703"/>
      <c r="H506" s="703"/>
      <c r="I506" s="703"/>
      <c r="J506" s="703"/>
      <c r="K506" s="703"/>
      <c r="L506" s="703"/>
      <c r="M506" s="703"/>
      <c r="N506" s="703"/>
      <c r="O506" s="703"/>
      <c r="P506" s="703"/>
      <c r="Q506" s="703"/>
      <c r="R506" s="703"/>
      <c r="S506" s="703"/>
      <c r="T506" s="703"/>
      <c r="U506" s="703"/>
      <c r="V506" s="703"/>
      <c r="W506" s="703"/>
      <c r="X506" s="703"/>
      <c r="Y506" s="703"/>
      <c r="Z506" s="703"/>
    </row>
    <row r="507">
      <c r="A507" s="703"/>
      <c r="B507" s="703"/>
      <c r="C507" s="703"/>
      <c r="D507" s="703"/>
      <c r="E507" s="703"/>
      <c r="F507" s="703"/>
      <c r="G507" s="703"/>
      <c r="H507" s="703"/>
      <c r="I507" s="703"/>
      <c r="J507" s="703"/>
      <c r="K507" s="703"/>
      <c r="L507" s="703"/>
      <c r="M507" s="703"/>
      <c r="N507" s="703"/>
      <c r="O507" s="703"/>
      <c r="P507" s="703"/>
      <c r="Q507" s="703"/>
      <c r="R507" s="703"/>
      <c r="S507" s="703"/>
      <c r="T507" s="703"/>
      <c r="U507" s="703"/>
      <c r="V507" s="703"/>
      <c r="W507" s="703"/>
      <c r="X507" s="703"/>
      <c r="Y507" s="703"/>
      <c r="Z507" s="703"/>
    </row>
    <row r="508">
      <c r="A508" s="703"/>
      <c r="B508" s="703"/>
      <c r="C508" s="703"/>
      <c r="D508" s="703"/>
      <c r="E508" s="703"/>
      <c r="F508" s="703"/>
      <c r="G508" s="703"/>
      <c r="H508" s="703"/>
      <c r="I508" s="703"/>
      <c r="J508" s="703"/>
      <c r="K508" s="703"/>
      <c r="L508" s="703"/>
      <c r="M508" s="703"/>
      <c r="N508" s="703"/>
      <c r="O508" s="703"/>
      <c r="P508" s="703"/>
      <c r="Q508" s="703"/>
      <c r="R508" s="703"/>
      <c r="S508" s="703"/>
      <c r="T508" s="703"/>
      <c r="U508" s="703"/>
      <c r="V508" s="703"/>
      <c r="W508" s="703"/>
      <c r="X508" s="703"/>
      <c r="Y508" s="703"/>
      <c r="Z508" s="703"/>
    </row>
    <row r="509">
      <c r="A509" s="703"/>
      <c r="B509" s="703"/>
      <c r="C509" s="703"/>
      <c r="D509" s="703"/>
      <c r="E509" s="703"/>
      <c r="F509" s="703"/>
      <c r="G509" s="703"/>
      <c r="H509" s="703"/>
      <c r="I509" s="703"/>
      <c r="J509" s="703"/>
      <c r="K509" s="703"/>
      <c r="L509" s="703"/>
      <c r="M509" s="703"/>
      <c r="N509" s="703"/>
      <c r="O509" s="703"/>
      <c r="P509" s="703"/>
      <c r="Q509" s="703"/>
      <c r="R509" s="703"/>
      <c r="S509" s="703"/>
      <c r="T509" s="703"/>
      <c r="U509" s="703"/>
      <c r="V509" s="703"/>
      <c r="W509" s="703"/>
      <c r="X509" s="703"/>
      <c r="Y509" s="703"/>
      <c r="Z509" s="703"/>
    </row>
    <row r="510">
      <c r="A510" s="703"/>
      <c r="B510" s="703"/>
      <c r="C510" s="703"/>
      <c r="D510" s="703"/>
      <c r="E510" s="703"/>
      <c r="F510" s="703"/>
      <c r="G510" s="703"/>
      <c r="H510" s="703"/>
      <c r="I510" s="703"/>
      <c r="J510" s="703"/>
      <c r="K510" s="703"/>
      <c r="L510" s="703"/>
      <c r="M510" s="703"/>
      <c r="N510" s="703"/>
      <c r="O510" s="703"/>
      <c r="P510" s="703"/>
      <c r="Q510" s="703"/>
      <c r="R510" s="703"/>
      <c r="S510" s="703"/>
      <c r="T510" s="703"/>
      <c r="U510" s="703"/>
      <c r="V510" s="703"/>
      <c r="W510" s="703"/>
      <c r="X510" s="703"/>
      <c r="Y510" s="703"/>
      <c r="Z510" s="703"/>
    </row>
    <row r="511">
      <c r="A511" s="703"/>
      <c r="B511" s="703"/>
      <c r="C511" s="703"/>
      <c r="D511" s="703"/>
      <c r="E511" s="703"/>
      <c r="F511" s="703"/>
      <c r="G511" s="703"/>
      <c r="H511" s="703"/>
      <c r="I511" s="703"/>
      <c r="J511" s="703"/>
      <c r="K511" s="703"/>
      <c r="L511" s="703"/>
      <c r="M511" s="703"/>
      <c r="N511" s="703"/>
      <c r="O511" s="703"/>
      <c r="P511" s="703"/>
      <c r="Q511" s="703"/>
      <c r="R511" s="703"/>
      <c r="S511" s="703"/>
      <c r="T511" s="703"/>
      <c r="U511" s="703"/>
      <c r="V511" s="703"/>
      <c r="W511" s="703"/>
      <c r="X511" s="703"/>
      <c r="Y511" s="703"/>
      <c r="Z511" s="703"/>
    </row>
    <row r="512">
      <c r="A512" s="703"/>
      <c r="B512" s="703"/>
      <c r="C512" s="703"/>
      <c r="D512" s="703"/>
      <c r="E512" s="703"/>
      <c r="F512" s="703"/>
      <c r="G512" s="703"/>
      <c r="H512" s="703"/>
      <c r="I512" s="703"/>
      <c r="J512" s="703"/>
      <c r="K512" s="703"/>
      <c r="L512" s="703"/>
      <c r="M512" s="703"/>
      <c r="N512" s="703"/>
      <c r="O512" s="703"/>
      <c r="P512" s="703"/>
      <c r="Q512" s="703"/>
      <c r="R512" s="703"/>
      <c r="S512" s="703"/>
      <c r="T512" s="703"/>
      <c r="U512" s="703"/>
      <c r="V512" s="703"/>
      <c r="W512" s="703"/>
      <c r="X512" s="703"/>
      <c r="Y512" s="703"/>
      <c r="Z512" s="703"/>
    </row>
    <row r="513">
      <c r="A513" s="703"/>
      <c r="B513" s="703"/>
      <c r="C513" s="703"/>
      <c r="D513" s="703"/>
      <c r="E513" s="703"/>
      <c r="F513" s="703"/>
      <c r="G513" s="703"/>
      <c r="H513" s="703"/>
      <c r="I513" s="703"/>
      <c r="J513" s="703"/>
      <c r="K513" s="703"/>
      <c r="L513" s="703"/>
      <c r="M513" s="703"/>
      <c r="N513" s="703"/>
      <c r="O513" s="703"/>
      <c r="P513" s="703"/>
      <c r="Q513" s="703"/>
      <c r="R513" s="703"/>
      <c r="S513" s="703"/>
      <c r="T513" s="703"/>
      <c r="U513" s="703"/>
      <c r="V513" s="703"/>
      <c r="W513" s="703"/>
      <c r="X513" s="703"/>
      <c r="Y513" s="703"/>
      <c r="Z513" s="703"/>
    </row>
    <row r="514">
      <c r="A514" s="703"/>
      <c r="B514" s="703"/>
      <c r="C514" s="703"/>
      <c r="D514" s="703"/>
      <c r="E514" s="703"/>
      <c r="F514" s="703"/>
      <c r="G514" s="703"/>
      <c r="H514" s="703"/>
      <c r="I514" s="703"/>
      <c r="J514" s="703"/>
      <c r="K514" s="703"/>
      <c r="L514" s="703"/>
      <c r="M514" s="703"/>
      <c r="N514" s="703"/>
      <c r="O514" s="703"/>
      <c r="P514" s="703"/>
      <c r="Q514" s="703"/>
      <c r="R514" s="703"/>
      <c r="S514" s="703"/>
      <c r="T514" s="703"/>
      <c r="U514" s="703"/>
      <c r="V514" s="703"/>
      <c r="W514" s="703"/>
      <c r="X514" s="703"/>
      <c r="Y514" s="703"/>
      <c r="Z514" s="703"/>
    </row>
    <row r="515">
      <c r="A515" s="703"/>
      <c r="B515" s="703"/>
      <c r="C515" s="703"/>
      <c r="D515" s="703"/>
      <c r="E515" s="703"/>
      <c r="F515" s="703"/>
      <c r="G515" s="703"/>
      <c r="H515" s="703"/>
      <c r="I515" s="703"/>
      <c r="J515" s="703"/>
      <c r="K515" s="703"/>
      <c r="L515" s="703"/>
      <c r="M515" s="703"/>
      <c r="N515" s="703"/>
      <c r="O515" s="703"/>
      <c r="P515" s="703"/>
      <c r="Q515" s="703"/>
      <c r="R515" s="703"/>
      <c r="S515" s="703"/>
      <c r="T515" s="703"/>
      <c r="U515" s="703"/>
      <c r="V515" s="703"/>
      <c r="W515" s="703"/>
      <c r="X515" s="703"/>
      <c r="Y515" s="703"/>
      <c r="Z515" s="703"/>
    </row>
    <row r="516">
      <c r="A516" s="703"/>
      <c r="B516" s="703"/>
      <c r="C516" s="703"/>
      <c r="D516" s="703"/>
      <c r="E516" s="703"/>
      <c r="F516" s="703"/>
      <c r="G516" s="703"/>
      <c r="H516" s="703"/>
      <c r="I516" s="703"/>
      <c r="J516" s="703"/>
      <c r="K516" s="703"/>
      <c r="L516" s="703"/>
      <c r="M516" s="703"/>
      <c r="N516" s="703"/>
      <c r="O516" s="703"/>
      <c r="P516" s="703"/>
      <c r="Q516" s="703"/>
      <c r="R516" s="703"/>
      <c r="S516" s="703"/>
      <c r="T516" s="703"/>
      <c r="U516" s="703"/>
      <c r="V516" s="703"/>
      <c r="W516" s="703"/>
      <c r="X516" s="703"/>
      <c r="Y516" s="703"/>
      <c r="Z516" s="703"/>
    </row>
    <row r="517">
      <c r="A517" s="703"/>
      <c r="B517" s="703"/>
      <c r="C517" s="703"/>
      <c r="D517" s="703"/>
      <c r="E517" s="703"/>
      <c r="F517" s="703"/>
      <c r="G517" s="703"/>
      <c r="H517" s="703"/>
      <c r="I517" s="703"/>
      <c r="J517" s="703"/>
      <c r="K517" s="703"/>
      <c r="L517" s="703"/>
      <c r="M517" s="703"/>
      <c r="N517" s="703"/>
      <c r="O517" s="703"/>
      <c r="P517" s="703"/>
      <c r="Q517" s="703"/>
      <c r="R517" s="703"/>
      <c r="S517" s="703"/>
      <c r="T517" s="703"/>
      <c r="U517" s="703"/>
      <c r="V517" s="703"/>
      <c r="W517" s="703"/>
      <c r="X517" s="703"/>
      <c r="Y517" s="703"/>
      <c r="Z517" s="703"/>
    </row>
    <row r="518">
      <c r="A518" s="703"/>
      <c r="B518" s="703"/>
      <c r="C518" s="703"/>
      <c r="D518" s="703"/>
      <c r="E518" s="703"/>
      <c r="F518" s="703"/>
      <c r="G518" s="703"/>
      <c r="H518" s="703"/>
      <c r="I518" s="703"/>
      <c r="J518" s="703"/>
      <c r="K518" s="703"/>
      <c r="L518" s="703"/>
      <c r="M518" s="703"/>
      <c r="N518" s="703"/>
      <c r="O518" s="703"/>
      <c r="P518" s="703"/>
      <c r="Q518" s="703"/>
      <c r="R518" s="703"/>
      <c r="S518" s="703"/>
      <c r="T518" s="703"/>
      <c r="U518" s="703"/>
      <c r="V518" s="703"/>
      <c r="W518" s="703"/>
      <c r="X518" s="703"/>
      <c r="Y518" s="703"/>
      <c r="Z518" s="703"/>
    </row>
    <row r="519">
      <c r="A519" s="703"/>
      <c r="B519" s="703"/>
      <c r="C519" s="703"/>
      <c r="D519" s="703"/>
      <c r="E519" s="703"/>
      <c r="F519" s="703"/>
      <c r="G519" s="703"/>
      <c r="H519" s="703"/>
      <c r="I519" s="703"/>
      <c r="J519" s="703"/>
      <c r="K519" s="703"/>
      <c r="L519" s="703"/>
      <c r="M519" s="703"/>
      <c r="N519" s="703"/>
      <c r="O519" s="703"/>
      <c r="P519" s="703"/>
      <c r="Q519" s="703"/>
      <c r="R519" s="703"/>
      <c r="S519" s="703"/>
      <c r="T519" s="703"/>
      <c r="U519" s="703"/>
      <c r="V519" s="703"/>
      <c r="W519" s="703"/>
      <c r="X519" s="703"/>
      <c r="Y519" s="703"/>
      <c r="Z519" s="703"/>
    </row>
    <row r="520">
      <c r="A520" s="703"/>
      <c r="B520" s="703"/>
      <c r="C520" s="703"/>
      <c r="D520" s="703"/>
      <c r="E520" s="703"/>
      <c r="F520" s="703"/>
      <c r="G520" s="703"/>
      <c r="H520" s="703"/>
      <c r="I520" s="703"/>
      <c r="J520" s="703"/>
      <c r="K520" s="703"/>
      <c r="L520" s="703"/>
      <c r="M520" s="703"/>
      <c r="N520" s="703"/>
      <c r="O520" s="703"/>
      <c r="P520" s="703"/>
      <c r="Q520" s="703"/>
      <c r="R520" s="703"/>
      <c r="S520" s="703"/>
      <c r="T520" s="703"/>
      <c r="U520" s="703"/>
      <c r="V520" s="703"/>
      <c r="W520" s="703"/>
      <c r="X520" s="703"/>
      <c r="Y520" s="703"/>
      <c r="Z520" s="703"/>
    </row>
    <row r="521">
      <c r="A521" s="703"/>
      <c r="B521" s="703"/>
      <c r="C521" s="703"/>
      <c r="D521" s="703"/>
      <c r="E521" s="703"/>
      <c r="F521" s="703"/>
      <c r="G521" s="703"/>
      <c r="H521" s="703"/>
      <c r="I521" s="703"/>
      <c r="J521" s="703"/>
      <c r="K521" s="703"/>
      <c r="L521" s="703"/>
      <c r="M521" s="703"/>
      <c r="N521" s="703"/>
      <c r="O521" s="703"/>
      <c r="P521" s="703"/>
      <c r="Q521" s="703"/>
      <c r="R521" s="703"/>
      <c r="S521" s="703"/>
      <c r="T521" s="703"/>
      <c r="U521" s="703"/>
      <c r="V521" s="703"/>
      <c r="W521" s="703"/>
      <c r="X521" s="703"/>
      <c r="Y521" s="703"/>
      <c r="Z521" s="703"/>
    </row>
    <row r="522">
      <c r="A522" s="703"/>
      <c r="B522" s="703"/>
      <c r="C522" s="703"/>
      <c r="D522" s="703"/>
      <c r="E522" s="703"/>
      <c r="F522" s="703"/>
      <c r="G522" s="703"/>
      <c r="H522" s="703"/>
      <c r="I522" s="703"/>
      <c r="J522" s="703"/>
      <c r="K522" s="703"/>
      <c r="L522" s="703"/>
      <c r="M522" s="703"/>
      <c r="N522" s="703"/>
      <c r="O522" s="703"/>
      <c r="P522" s="703"/>
      <c r="Q522" s="703"/>
      <c r="R522" s="703"/>
      <c r="S522" s="703"/>
      <c r="T522" s="703"/>
      <c r="U522" s="703"/>
      <c r="V522" s="703"/>
      <c r="W522" s="703"/>
      <c r="X522" s="703"/>
      <c r="Y522" s="703"/>
      <c r="Z522" s="703"/>
    </row>
    <row r="523">
      <c r="A523" s="703"/>
      <c r="B523" s="703"/>
      <c r="C523" s="703"/>
      <c r="D523" s="703"/>
      <c r="E523" s="703"/>
      <c r="F523" s="703"/>
      <c r="G523" s="703"/>
      <c r="H523" s="703"/>
      <c r="I523" s="703"/>
      <c r="J523" s="703"/>
      <c r="K523" s="703"/>
      <c r="L523" s="703"/>
      <c r="M523" s="703"/>
      <c r="N523" s="703"/>
      <c r="O523" s="703"/>
      <c r="P523" s="703"/>
      <c r="Q523" s="703"/>
      <c r="R523" s="703"/>
      <c r="S523" s="703"/>
      <c r="T523" s="703"/>
      <c r="U523" s="703"/>
      <c r="V523" s="703"/>
      <c r="W523" s="703"/>
      <c r="X523" s="703"/>
      <c r="Y523" s="703"/>
      <c r="Z523" s="703"/>
    </row>
    <row r="524">
      <c r="A524" s="703"/>
      <c r="B524" s="703"/>
      <c r="C524" s="703"/>
      <c r="D524" s="703"/>
      <c r="E524" s="703"/>
      <c r="F524" s="703"/>
      <c r="G524" s="703"/>
      <c r="H524" s="703"/>
      <c r="I524" s="703"/>
      <c r="J524" s="703"/>
      <c r="K524" s="703"/>
      <c r="L524" s="703"/>
      <c r="M524" s="703"/>
      <c r="N524" s="703"/>
      <c r="O524" s="703"/>
      <c r="P524" s="703"/>
      <c r="Q524" s="703"/>
      <c r="R524" s="703"/>
      <c r="S524" s="703"/>
      <c r="T524" s="703"/>
      <c r="U524" s="703"/>
      <c r="V524" s="703"/>
      <c r="W524" s="703"/>
      <c r="X524" s="703"/>
      <c r="Y524" s="703"/>
      <c r="Z524" s="703"/>
    </row>
    <row r="525">
      <c r="A525" s="703"/>
      <c r="B525" s="703"/>
      <c r="C525" s="703"/>
      <c r="D525" s="703"/>
      <c r="E525" s="703"/>
      <c r="F525" s="703"/>
      <c r="G525" s="703"/>
      <c r="H525" s="703"/>
      <c r="I525" s="703"/>
      <c r="J525" s="703"/>
      <c r="K525" s="703"/>
      <c r="L525" s="703"/>
      <c r="M525" s="703"/>
      <c r="N525" s="703"/>
      <c r="O525" s="703"/>
      <c r="P525" s="703"/>
      <c r="Q525" s="703"/>
      <c r="R525" s="703"/>
      <c r="S525" s="703"/>
      <c r="T525" s="703"/>
      <c r="U525" s="703"/>
      <c r="V525" s="703"/>
      <c r="W525" s="703"/>
      <c r="X525" s="703"/>
      <c r="Y525" s="703"/>
      <c r="Z525" s="703"/>
    </row>
    <row r="526">
      <c r="A526" s="703"/>
      <c r="B526" s="703"/>
      <c r="C526" s="703"/>
      <c r="D526" s="703"/>
      <c r="E526" s="703"/>
      <c r="F526" s="703"/>
      <c r="G526" s="703"/>
      <c r="H526" s="703"/>
      <c r="I526" s="703"/>
      <c r="J526" s="703"/>
      <c r="K526" s="703"/>
      <c r="L526" s="703"/>
      <c r="M526" s="703"/>
      <c r="N526" s="703"/>
      <c r="O526" s="703"/>
      <c r="P526" s="703"/>
      <c r="Q526" s="703"/>
      <c r="R526" s="703"/>
      <c r="S526" s="703"/>
      <c r="T526" s="703"/>
      <c r="U526" s="703"/>
      <c r="V526" s="703"/>
      <c r="W526" s="703"/>
      <c r="X526" s="703"/>
      <c r="Y526" s="703"/>
      <c r="Z526" s="703"/>
    </row>
    <row r="527">
      <c r="A527" s="703"/>
      <c r="B527" s="703"/>
      <c r="C527" s="703"/>
      <c r="D527" s="703"/>
      <c r="E527" s="703"/>
      <c r="F527" s="703"/>
      <c r="G527" s="703"/>
      <c r="H527" s="703"/>
      <c r="I527" s="703"/>
      <c r="J527" s="703"/>
      <c r="K527" s="703"/>
      <c r="L527" s="703"/>
      <c r="M527" s="703"/>
      <c r="N527" s="703"/>
      <c r="O527" s="703"/>
      <c r="P527" s="703"/>
      <c r="Q527" s="703"/>
      <c r="R527" s="703"/>
      <c r="S527" s="703"/>
      <c r="T527" s="703"/>
      <c r="U527" s="703"/>
      <c r="V527" s="703"/>
      <c r="W527" s="703"/>
      <c r="X527" s="703"/>
      <c r="Y527" s="703"/>
      <c r="Z527" s="703"/>
    </row>
    <row r="528">
      <c r="A528" s="703"/>
      <c r="B528" s="703"/>
      <c r="C528" s="703"/>
      <c r="D528" s="703"/>
      <c r="E528" s="703"/>
      <c r="F528" s="703"/>
      <c r="G528" s="703"/>
      <c r="H528" s="703"/>
      <c r="I528" s="703"/>
      <c r="J528" s="703"/>
      <c r="K528" s="703"/>
      <c r="L528" s="703"/>
      <c r="M528" s="703"/>
      <c r="N528" s="703"/>
      <c r="O528" s="703"/>
      <c r="P528" s="703"/>
      <c r="Q528" s="703"/>
      <c r="R528" s="703"/>
      <c r="S528" s="703"/>
      <c r="T528" s="703"/>
      <c r="U528" s="703"/>
      <c r="V528" s="703"/>
      <c r="W528" s="703"/>
      <c r="X528" s="703"/>
      <c r="Y528" s="703"/>
      <c r="Z528" s="703"/>
    </row>
    <row r="529">
      <c r="A529" s="703"/>
      <c r="B529" s="703"/>
      <c r="C529" s="703"/>
      <c r="D529" s="703"/>
      <c r="E529" s="703"/>
      <c r="F529" s="703"/>
      <c r="G529" s="703"/>
      <c r="H529" s="703"/>
      <c r="I529" s="703"/>
      <c r="J529" s="703"/>
      <c r="K529" s="703"/>
      <c r="L529" s="703"/>
      <c r="M529" s="703"/>
      <c r="N529" s="703"/>
      <c r="O529" s="703"/>
      <c r="P529" s="703"/>
      <c r="Q529" s="703"/>
      <c r="R529" s="703"/>
      <c r="S529" s="703"/>
      <c r="T529" s="703"/>
      <c r="U529" s="703"/>
      <c r="V529" s="703"/>
      <c r="W529" s="703"/>
      <c r="X529" s="703"/>
      <c r="Y529" s="703"/>
      <c r="Z529" s="703"/>
    </row>
    <row r="530">
      <c r="A530" s="703"/>
      <c r="B530" s="703"/>
      <c r="C530" s="703"/>
      <c r="D530" s="703"/>
      <c r="E530" s="703"/>
      <c r="F530" s="703"/>
      <c r="G530" s="703"/>
      <c r="H530" s="703"/>
      <c r="I530" s="703"/>
      <c r="J530" s="703"/>
      <c r="K530" s="703"/>
      <c r="L530" s="703"/>
      <c r="M530" s="703"/>
      <c r="N530" s="703"/>
      <c r="O530" s="703"/>
      <c r="P530" s="703"/>
      <c r="Q530" s="703"/>
      <c r="R530" s="703"/>
      <c r="S530" s="703"/>
      <c r="T530" s="703"/>
      <c r="U530" s="703"/>
      <c r="V530" s="703"/>
      <c r="W530" s="703"/>
      <c r="X530" s="703"/>
      <c r="Y530" s="703"/>
      <c r="Z530" s="703"/>
    </row>
    <row r="531">
      <c r="A531" s="703"/>
      <c r="B531" s="703"/>
      <c r="C531" s="703"/>
      <c r="D531" s="703"/>
      <c r="E531" s="703"/>
      <c r="F531" s="703"/>
      <c r="G531" s="703"/>
      <c r="H531" s="703"/>
      <c r="I531" s="703"/>
      <c r="J531" s="703"/>
      <c r="K531" s="703"/>
      <c r="L531" s="703"/>
      <c r="M531" s="703"/>
      <c r="N531" s="703"/>
      <c r="O531" s="703"/>
      <c r="P531" s="703"/>
      <c r="Q531" s="703"/>
      <c r="R531" s="703"/>
      <c r="S531" s="703"/>
      <c r="T531" s="703"/>
      <c r="U531" s="703"/>
      <c r="V531" s="703"/>
      <c r="W531" s="703"/>
      <c r="X531" s="703"/>
      <c r="Y531" s="703"/>
      <c r="Z531" s="703"/>
    </row>
    <row r="532">
      <c r="A532" s="703"/>
      <c r="B532" s="703"/>
      <c r="C532" s="703"/>
      <c r="D532" s="703"/>
      <c r="E532" s="703"/>
      <c r="F532" s="703"/>
      <c r="G532" s="703"/>
      <c r="H532" s="703"/>
      <c r="I532" s="703"/>
      <c r="J532" s="703"/>
      <c r="K532" s="703"/>
      <c r="L532" s="703"/>
      <c r="M532" s="703"/>
      <c r="N532" s="703"/>
      <c r="O532" s="703"/>
      <c r="P532" s="703"/>
      <c r="Q532" s="703"/>
      <c r="R532" s="703"/>
      <c r="S532" s="703"/>
      <c r="T532" s="703"/>
      <c r="U532" s="703"/>
      <c r="V532" s="703"/>
      <c r="W532" s="703"/>
      <c r="X532" s="703"/>
      <c r="Y532" s="703"/>
      <c r="Z532" s="703"/>
    </row>
    <row r="533">
      <c r="A533" s="703"/>
      <c r="B533" s="703"/>
      <c r="C533" s="703"/>
      <c r="D533" s="703"/>
      <c r="E533" s="703"/>
      <c r="F533" s="703"/>
      <c r="G533" s="703"/>
      <c r="H533" s="703"/>
      <c r="I533" s="703"/>
      <c r="J533" s="703"/>
      <c r="K533" s="703"/>
      <c r="L533" s="703"/>
      <c r="M533" s="703"/>
      <c r="N533" s="703"/>
      <c r="O533" s="703"/>
      <c r="P533" s="703"/>
      <c r="Q533" s="703"/>
      <c r="R533" s="703"/>
      <c r="S533" s="703"/>
      <c r="T533" s="703"/>
      <c r="U533" s="703"/>
      <c r="V533" s="703"/>
      <c r="W533" s="703"/>
      <c r="X533" s="703"/>
      <c r="Y533" s="703"/>
      <c r="Z533" s="703"/>
    </row>
    <row r="534">
      <c r="A534" s="703"/>
      <c r="B534" s="703"/>
      <c r="C534" s="703"/>
      <c r="D534" s="703"/>
      <c r="E534" s="703"/>
      <c r="F534" s="703"/>
      <c r="G534" s="703"/>
      <c r="H534" s="703"/>
      <c r="I534" s="703"/>
      <c r="J534" s="703"/>
      <c r="K534" s="703"/>
      <c r="L534" s="703"/>
      <c r="M534" s="703"/>
      <c r="N534" s="703"/>
      <c r="O534" s="703"/>
      <c r="P534" s="703"/>
      <c r="Q534" s="703"/>
      <c r="R534" s="703"/>
      <c r="S534" s="703"/>
      <c r="T534" s="703"/>
      <c r="U534" s="703"/>
      <c r="V534" s="703"/>
      <c r="W534" s="703"/>
      <c r="X534" s="703"/>
      <c r="Y534" s="703"/>
      <c r="Z534" s="703"/>
    </row>
    <row r="535">
      <c r="A535" s="703"/>
      <c r="B535" s="703"/>
      <c r="C535" s="703"/>
      <c r="D535" s="703"/>
      <c r="E535" s="703"/>
      <c r="F535" s="703"/>
      <c r="G535" s="703"/>
      <c r="H535" s="703"/>
      <c r="I535" s="703"/>
      <c r="J535" s="703"/>
      <c r="K535" s="703"/>
      <c r="L535" s="703"/>
      <c r="M535" s="703"/>
      <c r="N535" s="703"/>
      <c r="O535" s="703"/>
      <c r="P535" s="703"/>
      <c r="Q535" s="703"/>
      <c r="R535" s="703"/>
      <c r="S535" s="703"/>
      <c r="T535" s="703"/>
      <c r="U535" s="703"/>
      <c r="V535" s="703"/>
      <c r="W535" s="703"/>
      <c r="X535" s="703"/>
      <c r="Y535" s="703"/>
      <c r="Z535" s="703"/>
    </row>
    <row r="536">
      <c r="A536" s="703"/>
      <c r="B536" s="703"/>
      <c r="C536" s="703"/>
      <c r="D536" s="703"/>
      <c r="E536" s="703"/>
      <c r="F536" s="703"/>
      <c r="G536" s="703"/>
      <c r="H536" s="703"/>
      <c r="I536" s="703"/>
      <c r="J536" s="703"/>
      <c r="K536" s="703"/>
      <c r="L536" s="703"/>
      <c r="M536" s="703"/>
      <c r="N536" s="703"/>
      <c r="O536" s="703"/>
      <c r="P536" s="703"/>
      <c r="Q536" s="703"/>
      <c r="R536" s="703"/>
      <c r="S536" s="703"/>
      <c r="T536" s="703"/>
      <c r="U536" s="703"/>
      <c r="V536" s="703"/>
      <c r="W536" s="703"/>
      <c r="X536" s="703"/>
      <c r="Y536" s="703"/>
      <c r="Z536" s="703"/>
    </row>
    <row r="537">
      <c r="A537" s="703"/>
      <c r="B537" s="703"/>
      <c r="C537" s="703"/>
      <c r="D537" s="703"/>
      <c r="E537" s="703"/>
      <c r="F537" s="703"/>
      <c r="G537" s="703"/>
      <c r="H537" s="703"/>
      <c r="I537" s="703"/>
      <c r="J537" s="703"/>
      <c r="K537" s="703"/>
      <c r="L537" s="703"/>
      <c r="M537" s="703"/>
      <c r="N537" s="703"/>
      <c r="O537" s="703"/>
      <c r="P537" s="703"/>
      <c r="Q537" s="703"/>
      <c r="R537" s="703"/>
      <c r="S537" s="703"/>
      <c r="T537" s="703"/>
      <c r="U537" s="703"/>
      <c r="V537" s="703"/>
      <c r="W537" s="703"/>
      <c r="X537" s="703"/>
      <c r="Y537" s="703"/>
      <c r="Z537" s="703"/>
    </row>
    <row r="538">
      <c r="A538" s="703"/>
      <c r="B538" s="703"/>
      <c r="C538" s="703"/>
      <c r="D538" s="703"/>
      <c r="E538" s="703"/>
      <c r="F538" s="703"/>
      <c r="G538" s="703"/>
      <c r="H538" s="703"/>
      <c r="I538" s="703"/>
      <c r="J538" s="703"/>
      <c r="K538" s="703"/>
      <c r="L538" s="703"/>
      <c r="M538" s="703"/>
      <c r="N538" s="703"/>
      <c r="O538" s="703"/>
      <c r="P538" s="703"/>
      <c r="Q538" s="703"/>
      <c r="R538" s="703"/>
      <c r="S538" s="703"/>
      <c r="T538" s="703"/>
      <c r="U538" s="703"/>
      <c r="V538" s="703"/>
      <c r="W538" s="703"/>
      <c r="X538" s="703"/>
      <c r="Y538" s="703"/>
      <c r="Z538" s="703"/>
    </row>
    <row r="539">
      <c r="A539" s="703"/>
      <c r="B539" s="703"/>
      <c r="C539" s="703"/>
      <c r="D539" s="703"/>
      <c r="E539" s="703"/>
      <c r="F539" s="703"/>
      <c r="G539" s="703"/>
      <c r="H539" s="703"/>
      <c r="I539" s="703"/>
      <c r="J539" s="703"/>
      <c r="K539" s="703"/>
      <c r="L539" s="703"/>
      <c r="M539" s="703"/>
      <c r="N539" s="703"/>
      <c r="O539" s="703"/>
      <c r="P539" s="703"/>
      <c r="Q539" s="703"/>
      <c r="R539" s="703"/>
      <c r="S539" s="703"/>
      <c r="T539" s="703"/>
      <c r="U539" s="703"/>
      <c r="V539" s="703"/>
      <c r="W539" s="703"/>
      <c r="X539" s="703"/>
      <c r="Y539" s="703"/>
      <c r="Z539" s="703"/>
    </row>
    <row r="540">
      <c r="A540" s="703"/>
      <c r="B540" s="703"/>
      <c r="C540" s="703"/>
      <c r="D540" s="703"/>
      <c r="E540" s="703"/>
      <c r="F540" s="703"/>
      <c r="G540" s="703"/>
      <c r="H540" s="703"/>
      <c r="I540" s="703"/>
      <c r="J540" s="703"/>
      <c r="K540" s="703"/>
      <c r="L540" s="703"/>
      <c r="M540" s="703"/>
      <c r="N540" s="703"/>
      <c r="O540" s="703"/>
      <c r="P540" s="703"/>
      <c r="Q540" s="703"/>
      <c r="R540" s="703"/>
      <c r="S540" s="703"/>
      <c r="T540" s="703"/>
      <c r="U540" s="703"/>
      <c r="V540" s="703"/>
      <c r="W540" s="703"/>
      <c r="X540" s="703"/>
      <c r="Y540" s="703"/>
      <c r="Z540" s="703"/>
    </row>
    <row r="541">
      <c r="A541" s="703"/>
      <c r="B541" s="703"/>
      <c r="C541" s="703"/>
      <c r="D541" s="703"/>
      <c r="E541" s="703"/>
      <c r="F541" s="703"/>
      <c r="G541" s="703"/>
      <c r="H541" s="703"/>
      <c r="I541" s="703"/>
      <c r="J541" s="703"/>
      <c r="K541" s="703"/>
      <c r="L541" s="703"/>
      <c r="M541" s="703"/>
      <c r="N541" s="703"/>
      <c r="O541" s="703"/>
      <c r="P541" s="703"/>
      <c r="Q541" s="703"/>
      <c r="R541" s="703"/>
      <c r="S541" s="703"/>
      <c r="T541" s="703"/>
      <c r="U541" s="703"/>
      <c r="V541" s="703"/>
      <c r="W541" s="703"/>
      <c r="X541" s="703"/>
      <c r="Y541" s="703"/>
      <c r="Z541" s="703"/>
    </row>
    <row r="542">
      <c r="A542" s="703"/>
      <c r="B542" s="703"/>
      <c r="C542" s="703"/>
      <c r="D542" s="703"/>
      <c r="E542" s="703"/>
      <c r="F542" s="703"/>
      <c r="G542" s="703"/>
      <c r="H542" s="703"/>
      <c r="I542" s="703"/>
      <c r="J542" s="703"/>
      <c r="K542" s="703"/>
      <c r="L542" s="703"/>
      <c r="M542" s="703"/>
      <c r="N542" s="703"/>
      <c r="O542" s="703"/>
      <c r="P542" s="703"/>
      <c r="Q542" s="703"/>
      <c r="R542" s="703"/>
      <c r="S542" s="703"/>
      <c r="T542" s="703"/>
      <c r="U542" s="703"/>
      <c r="V542" s="703"/>
      <c r="W542" s="703"/>
      <c r="X542" s="703"/>
      <c r="Y542" s="703"/>
      <c r="Z542" s="703"/>
    </row>
    <row r="543">
      <c r="A543" s="703"/>
      <c r="B543" s="703"/>
      <c r="C543" s="703"/>
      <c r="D543" s="703"/>
      <c r="E543" s="703"/>
      <c r="F543" s="703"/>
      <c r="G543" s="703"/>
      <c r="H543" s="703"/>
      <c r="I543" s="703"/>
      <c r="J543" s="703"/>
      <c r="K543" s="703"/>
      <c r="L543" s="703"/>
      <c r="M543" s="703"/>
      <c r="N543" s="703"/>
      <c r="O543" s="703"/>
      <c r="P543" s="703"/>
      <c r="Q543" s="703"/>
      <c r="R543" s="703"/>
      <c r="S543" s="703"/>
      <c r="T543" s="703"/>
      <c r="U543" s="703"/>
      <c r="V543" s="703"/>
      <c r="W543" s="703"/>
      <c r="X543" s="703"/>
      <c r="Y543" s="703"/>
      <c r="Z543" s="703"/>
    </row>
    <row r="544">
      <c r="A544" s="703"/>
      <c r="B544" s="703"/>
      <c r="C544" s="703"/>
      <c r="D544" s="703"/>
      <c r="E544" s="703"/>
      <c r="F544" s="703"/>
      <c r="G544" s="703"/>
      <c r="H544" s="703"/>
      <c r="I544" s="703"/>
      <c r="J544" s="703"/>
      <c r="K544" s="703"/>
      <c r="L544" s="703"/>
      <c r="M544" s="703"/>
      <c r="N544" s="703"/>
      <c r="O544" s="703"/>
      <c r="P544" s="703"/>
      <c r="Q544" s="703"/>
      <c r="R544" s="703"/>
      <c r="S544" s="703"/>
      <c r="T544" s="703"/>
      <c r="U544" s="703"/>
      <c r="V544" s="703"/>
      <c r="W544" s="703"/>
      <c r="X544" s="703"/>
      <c r="Y544" s="703"/>
      <c r="Z544" s="703"/>
    </row>
    <row r="545">
      <c r="A545" s="703"/>
      <c r="B545" s="703"/>
      <c r="C545" s="703"/>
      <c r="D545" s="703"/>
      <c r="E545" s="703"/>
      <c r="F545" s="703"/>
      <c r="G545" s="703"/>
      <c r="H545" s="703"/>
      <c r="I545" s="703"/>
      <c r="J545" s="703"/>
      <c r="K545" s="703"/>
      <c r="L545" s="703"/>
      <c r="M545" s="703"/>
      <c r="N545" s="703"/>
      <c r="O545" s="703"/>
      <c r="P545" s="703"/>
      <c r="Q545" s="703"/>
      <c r="R545" s="703"/>
      <c r="S545" s="703"/>
      <c r="T545" s="703"/>
      <c r="U545" s="703"/>
      <c r="V545" s="703"/>
      <c r="W545" s="703"/>
      <c r="X545" s="703"/>
      <c r="Y545" s="703"/>
      <c r="Z545" s="703"/>
    </row>
    <row r="546">
      <c r="A546" s="703"/>
      <c r="B546" s="703"/>
      <c r="C546" s="703"/>
      <c r="D546" s="703"/>
      <c r="E546" s="703"/>
      <c r="F546" s="703"/>
      <c r="G546" s="703"/>
      <c r="H546" s="703"/>
      <c r="I546" s="703"/>
      <c r="J546" s="703"/>
      <c r="K546" s="703"/>
      <c r="L546" s="703"/>
      <c r="M546" s="703"/>
      <c r="N546" s="703"/>
      <c r="O546" s="703"/>
      <c r="P546" s="703"/>
      <c r="Q546" s="703"/>
      <c r="R546" s="703"/>
      <c r="S546" s="703"/>
      <c r="T546" s="703"/>
      <c r="U546" s="703"/>
      <c r="V546" s="703"/>
      <c r="W546" s="703"/>
      <c r="X546" s="703"/>
      <c r="Y546" s="703"/>
      <c r="Z546" s="703"/>
    </row>
    <row r="547">
      <c r="A547" s="703"/>
      <c r="B547" s="703"/>
      <c r="C547" s="703"/>
      <c r="D547" s="703"/>
      <c r="E547" s="703"/>
      <c r="F547" s="703"/>
      <c r="G547" s="703"/>
      <c r="H547" s="703"/>
      <c r="I547" s="703"/>
      <c r="J547" s="703"/>
      <c r="K547" s="703"/>
      <c r="L547" s="703"/>
      <c r="M547" s="703"/>
      <c r="N547" s="703"/>
      <c r="O547" s="703"/>
      <c r="P547" s="703"/>
      <c r="Q547" s="703"/>
      <c r="R547" s="703"/>
      <c r="S547" s="703"/>
      <c r="T547" s="703"/>
      <c r="U547" s="703"/>
      <c r="V547" s="703"/>
      <c r="W547" s="703"/>
      <c r="X547" s="703"/>
      <c r="Y547" s="703"/>
      <c r="Z547" s="703"/>
    </row>
    <row r="548">
      <c r="A548" s="703"/>
      <c r="B548" s="703"/>
      <c r="C548" s="703"/>
      <c r="D548" s="703"/>
      <c r="E548" s="703"/>
      <c r="F548" s="703"/>
      <c r="G548" s="703"/>
      <c r="H548" s="703"/>
      <c r="I548" s="703"/>
      <c r="J548" s="703"/>
      <c r="K548" s="703"/>
      <c r="L548" s="703"/>
      <c r="M548" s="703"/>
      <c r="N548" s="703"/>
      <c r="O548" s="703"/>
      <c r="P548" s="703"/>
      <c r="Q548" s="703"/>
      <c r="R548" s="703"/>
      <c r="S548" s="703"/>
      <c r="T548" s="703"/>
      <c r="U548" s="703"/>
      <c r="V548" s="703"/>
      <c r="W548" s="703"/>
      <c r="X548" s="703"/>
      <c r="Y548" s="703"/>
      <c r="Z548" s="703"/>
    </row>
    <row r="549">
      <c r="A549" s="703"/>
      <c r="B549" s="703"/>
      <c r="C549" s="703"/>
      <c r="D549" s="703"/>
      <c r="E549" s="703"/>
      <c r="F549" s="703"/>
      <c r="G549" s="703"/>
      <c r="H549" s="703"/>
      <c r="I549" s="703"/>
      <c r="J549" s="703"/>
      <c r="K549" s="703"/>
      <c r="L549" s="703"/>
      <c r="M549" s="703"/>
      <c r="N549" s="703"/>
      <c r="O549" s="703"/>
      <c r="P549" s="703"/>
      <c r="Q549" s="703"/>
      <c r="R549" s="703"/>
      <c r="S549" s="703"/>
      <c r="T549" s="703"/>
      <c r="U549" s="703"/>
      <c r="V549" s="703"/>
      <c r="W549" s="703"/>
      <c r="X549" s="703"/>
      <c r="Y549" s="703"/>
      <c r="Z549" s="703"/>
    </row>
    <row r="550">
      <c r="A550" s="703"/>
      <c r="B550" s="703"/>
      <c r="C550" s="703"/>
      <c r="D550" s="703"/>
      <c r="E550" s="703"/>
      <c r="F550" s="703"/>
      <c r="G550" s="703"/>
      <c r="H550" s="703"/>
      <c r="I550" s="703"/>
      <c r="J550" s="703"/>
      <c r="K550" s="703"/>
      <c r="L550" s="703"/>
      <c r="M550" s="703"/>
      <c r="N550" s="703"/>
      <c r="O550" s="703"/>
      <c r="P550" s="703"/>
      <c r="Q550" s="703"/>
      <c r="R550" s="703"/>
      <c r="S550" s="703"/>
      <c r="T550" s="703"/>
      <c r="U550" s="703"/>
      <c r="V550" s="703"/>
      <c r="W550" s="703"/>
      <c r="X550" s="703"/>
      <c r="Y550" s="703"/>
      <c r="Z550" s="703"/>
    </row>
    <row r="551">
      <c r="A551" s="703"/>
      <c r="B551" s="703"/>
      <c r="C551" s="703"/>
      <c r="D551" s="703"/>
      <c r="E551" s="703"/>
      <c r="F551" s="703"/>
      <c r="G551" s="703"/>
      <c r="H551" s="703"/>
      <c r="I551" s="703"/>
      <c r="J551" s="703"/>
      <c r="K551" s="703"/>
      <c r="L551" s="703"/>
      <c r="M551" s="703"/>
      <c r="N551" s="703"/>
      <c r="O551" s="703"/>
      <c r="P551" s="703"/>
      <c r="Q551" s="703"/>
      <c r="R551" s="703"/>
      <c r="S551" s="703"/>
      <c r="T551" s="703"/>
      <c r="U551" s="703"/>
      <c r="V551" s="703"/>
      <c r="W551" s="703"/>
      <c r="X551" s="703"/>
      <c r="Y551" s="703"/>
      <c r="Z551" s="703"/>
    </row>
    <row r="552">
      <c r="A552" s="703"/>
      <c r="B552" s="703"/>
      <c r="C552" s="703"/>
      <c r="D552" s="703"/>
      <c r="E552" s="703"/>
      <c r="F552" s="703"/>
      <c r="G552" s="703"/>
      <c r="H552" s="703"/>
      <c r="I552" s="703"/>
      <c r="J552" s="703"/>
      <c r="K552" s="703"/>
      <c r="L552" s="703"/>
      <c r="M552" s="703"/>
      <c r="N552" s="703"/>
      <c r="O552" s="703"/>
      <c r="P552" s="703"/>
      <c r="Q552" s="703"/>
      <c r="R552" s="703"/>
      <c r="S552" s="703"/>
      <c r="T552" s="703"/>
      <c r="U552" s="703"/>
      <c r="V552" s="703"/>
      <c r="W552" s="703"/>
      <c r="X552" s="703"/>
      <c r="Y552" s="703"/>
      <c r="Z552" s="703"/>
    </row>
    <row r="553">
      <c r="A553" s="703"/>
      <c r="B553" s="703"/>
      <c r="C553" s="703"/>
      <c r="D553" s="703"/>
      <c r="E553" s="703"/>
      <c r="F553" s="703"/>
      <c r="G553" s="703"/>
      <c r="H553" s="703"/>
      <c r="I553" s="703"/>
      <c r="J553" s="703"/>
      <c r="K553" s="703"/>
      <c r="L553" s="703"/>
      <c r="M553" s="703"/>
      <c r="N553" s="703"/>
      <c r="O553" s="703"/>
      <c r="P553" s="703"/>
      <c r="Q553" s="703"/>
      <c r="R553" s="703"/>
      <c r="S553" s="703"/>
      <c r="T553" s="703"/>
      <c r="U553" s="703"/>
      <c r="V553" s="703"/>
      <c r="W553" s="703"/>
      <c r="X553" s="703"/>
      <c r="Y553" s="703"/>
      <c r="Z553" s="703"/>
    </row>
    <row r="554">
      <c r="A554" s="703"/>
      <c r="B554" s="703"/>
      <c r="C554" s="703"/>
      <c r="D554" s="703"/>
      <c r="E554" s="703"/>
      <c r="F554" s="703"/>
      <c r="G554" s="703"/>
      <c r="H554" s="703"/>
      <c r="I554" s="703"/>
      <c r="J554" s="703"/>
      <c r="K554" s="703"/>
      <c r="L554" s="703"/>
      <c r="M554" s="703"/>
      <c r="N554" s="703"/>
      <c r="O554" s="703"/>
      <c r="P554" s="703"/>
      <c r="Q554" s="703"/>
      <c r="R554" s="703"/>
      <c r="S554" s="703"/>
      <c r="T554" s="703"/>
      <c r="U554" s="703"/>
      <c r="V554" s="703"/>
      <c r="W554" s="703"/>
      <c r="X554" s="703"/>
      <c r="Y554" s="703"/>
      <c r="Z554" s="703"/>
    </row>
    <row r="555">
      <c r="A555" s="703"/>
      <c r="B555" s="703"/>
      <c r="C555" s="703"/>
      <c r="D555" s="703"/>
      <c r="E555" s="703"/>
      <c r="F555" s="703"/>
      <c r="G555" s="703"/>
      <c r="H555" s="703"/>
      <c r="I555" s="703"/>
      <c r="J555" s="703"/>
      <c r="K555" s="703"/>
      <c r="L555" s="703"/>
      <c r="M555" s="703"/>
      <c r="N555" s="703"/>
      <c r="O555" s="703"/>
      <c r="P555" s="703"/>
      <c r="Q555" s="703"/>
      <c r="R555" s="703"/>
      <c r="S555" s="703"/>
      <c r="T555" s="703"/>
      <c r="U555" s="703"/>
      <c r="V555" s="703"/>
      <c r="W555" s="703"/>
      <c r="X555" s="703"/>
      <c r="Y555" s="703"/>
      <c r="Z555" s="703"/>
    </row>
    <row r="556">
      <c r="A556" s="703"/>
      <c r="B556" s="703"/>
      <c r="C556" s="703"/>
      <c r="D556" s="703"/>
      <c r="E556" s="703"/>
      <c r="F556" s="703"/>
      <c r="G556" s="703"/>
      <c r="H556" s="703"/>
      <c r="I556" s="703"/>
      <c r="J556" s="703"/>
      <c r="K556" s="703"/>
      <c r="L556" s="703"/>
      <c r="M556" s="703"/>
      <c r="N556" s="703"/>
      <c r="O556" s="703"/>
      <c r="P556" s="703"/>
      <c r="Q556" s="703"/>
      <c r="R556" s="703"/>
      <c r="S556" s="703"/>
      <c r="T556" s="703"/>
      <c r="U556" s="703"/>
      <c r="V556" s="703"/>
      <c r="W556" s="703"/>
      <c r="X556" s="703"/>
      <c r="Y556" s="703"/>
      <c r="Z556" s="703"/>
    </row>
    <row r="557">
      <c r="A557" s="703"/>
      <c r="B557" s="703"/>
      <c r="C557" s="703"/>
      <c r="D557" s="703"/>
      <c r="E557" s="703"/>
      <c r="F557" s="703"/>
      <c r="G557" s="703"/>
      <c r="H557" s="703"/>
      <c r="I557" s="703"/>
      <c r="J557" s="703"/>
      <c r="K557" s="703"/>
      <c r="L557" s="703"/>
      <c r="M557" s="703"/>
      <c r="N557" s="703"/>
      <c r="O557" s="703"/>
      <c r="P557" s="703"/>
      <c r="Q557" s="703"/>
      <c r="R557" s="703"/>
      <c r="S557" s="703"/>
      <c r="T557" s="703"/>
      <c r="U557" s="703"/>
      <c r="V557" s="703"/>
      <c r="W557" s="703"/>
      <c r="X557" s="703"/>
      <c r="Y557" s="703"/>
      <c r="Z557" s="703"/>
    </row>
    <row r="558">
      <c r="A558" s="703"/>
      <c r="B558" s="703"/>
      <c r="C558" s="703"/>
      <c r="D558" s="703"/>
      <c r="E558" s="703"/>
      <c r="F558" s="703"/>
      <c r="G558" s="703"/>
      <c r="H558" s="703"/>
      <c r="I558" s="703"/>
      <c r="J558" s="703"/>
      <c r="K558" s="703"/>
      <c r="L558" s="703"/>
      <c r="M558" s="703"/>
      <c r="N558" s="703"/>
      <c r="O558" s="703"/>
      <c r="P558" s="703"/>
      <c r="Q558" s="703"/>
      <c r="R558" s="703"/>
      <c r="S558" s="703"/>
      <c r="T558" s="703"/>
      <c r="U558" s="703"/>
      <c r="V558" s="703"/>
      <c r="W558" s="703"/>
      <c r="X558" s="703"/>
      <c r="Y558" s="703"/>
      <c r="Z558" s="703"/>
    </row>
    <row r="559">
      <c r="A559" s="703"/>
      <c r="B559" s="703"/>
      <c r="C559" s="703"/>
      <c r="D559" s="703"/>
      <c r="E559" s="703"/>
      <c r="F559" s="703"/>
      <c r="G559" s="703"/>
      <c r="H559" s="703"/>
      <c r="I559" s="703"/>
      <c r="J559" s="703"/>
      <c r="K559" s="703"/>
      <c r="L559" s="703"/>
      <c r="M559" s="703"/>
      <c r="N559" s="703"/>
      <c r="O559" s="703"/>
      <c r="P559" s="703"/>
      <c r="Q559" s="703"/>
      <c r="R559" s="703"/>
      <c r="S559" s="703"/>
      <c r="T559" s="703"/>
      <c r="U559" s="703"/>
      <c r="V559" s="703"/>
      <c r="W559" s="703"/>
      <c r="X559" s="703"/>
      <c r="Y559" s="703"/>
      <c r="Z559" s="703"/>
    </row>
    <row r="560">
      <c r="A560" s="703"/>
      <c r="B560" s="703"/>
      <c r="C560" s="703"/>
      <c r="D560" s="703"/>
      <c r="E560" s="703"/>
      <c r="F560" s="703"/>
      <c r="G560" s="703"/>
      <c r="H560" s="703"/>
      <c r="I560" s="703"/>
      <c r="J560" s="703"/>
      <c r="K560" s="703"/>
      <c r="L560" s="703"/>
      <c r="M560" s="703"/>
      <c r="N560" s="703"/>
      <c r="O560" s="703"/>
      <c r="P560" s="703"/>
      <c r="Q560" s="703"/>
      <c r="R560" s="703"/>
      <c r="S560" s="703"/>
      <c r="T560" s="703"/>
      <c r="U560" s="703"/>
      <c r="V560" s="703"/>
      <c r="W560" s="703"/>
      <c r="X560" s="703"/>
      <c r="Y560" s="703"/>
      <c r="Z560" s="703"/>
    </row>
    <row r="561">
      <c r="A561" s="703"/>
      <c r="B561" s="703"/>
      <c r="C561" s="703"/>
      <c r="D561" s="703"/>
      <c r="E561" s="703"/>
      <c r="F561" s="703"/>
      <c r="G561" s="703"/>
      <c r="H561" s="703"/>
      <c r="I561" s="703"/>
      <c r="J561" s="703"/>
      <c r="K561" s="703"/>
      <c r="L561" s="703"/>
      <c r="M561" s="703"/>
      <c r="N561" s="703"/>
      <c r="O561" s="703"/>
      <c r="P561" s="703"/>
      <c r="Q561" s="703"/>
      <c r="R561" s="703"/>
      <c r="S561" s="703"/>
      <c r="T561" s="703"/>
      <c r="U561" s="703"/>
      <c r="V561" s="703"/>
      <c r="W561" s="703"/>
      <c r="X561" s="703"/>
      <c r="Y561" s="703"/>
      <c r="Z561" s="703"/>
    </row>
    <row r="562">
      <c r="A562" s="703"/>
      <c r="B562" s="703"/>
      <c r="C562" s="703"/>
      <c r="D562" s="703"/>
      <c r="E562" s="703"/>
      <c r="F562" s="703"/>
      <c r="G562" s="703"/>
      <c r="H562" s="703"/>
      <c r="I562" s="703"/>
      <c r="J562" s="703"/>
      <c r="K562" s="703"/>
      <c r="L562" s="703"/>
      <c r="M562" s="703"/>
      <c r="N562" s="703"/>
      <c r="O562" s="703"/>
      <c r="P562" s="703"/>
      <c r="Q562" s="703"/>
      <c r="R562" s="703"/>
      <c r="S562" s="703"/>
      <c r="T562" s="703"/>
      <c r="U562" s="703"/>
      <c r="V562" s="703"/>
      <c r="W562" s="703"/>
      <c r="X562" s="703"/>
      <c r="Y562" s="703"/>
      <c r="Z562" s="703"/>
    </row>
    <row r="563">
      <c r="A563" s="703"/>
      <c r="B563" s="703"/>
      <c r="C563" s="703"/>
      <c r="D563" s="703"/>
      <c r="E563" s="703"/>
      <c r="F563" s="703"/>
      <c r="G563" s="703"/>
      <c r="H563" s="703"/>
      <c r="I563" s="703"/>
      <c r="J563" s="703"/>
      <c r="K563" s="703"/>
      <c r="L563" s="703"/>
      <c r="M563" s="703"/>
      <c r="N563" s="703"/>
      <c r="O563" s="703"/>
      <c r="P563" s="703"/>
      <c r="Q563" s="703"/>
      <c r="R563" s="703"/>
      <c r="S563" s="703"/>
      <c r="T563" s="703"/>
      <c r="U563" s="703"/>
      <c r="V563" s="703"/>
      <c r="W563" s="703"/>
      <c r="X563" s="703"/>
      <c r="Y563" s="703"/>
      <c r="Z563" s="703"/>
    </row>
    <row r="564">
      <c r="A564" s="703"/>
      <c r="B564" s="703"/>
      <c r="C564" s="703"/>
      <c r="D564" s="703"/>
      <c r="E564" s="703"/>
      <c r="F564" s="703"/>
      <c r="G564" s="703"/>
      <c r="H564" s="703"/>
      <c r="I564" s="703"/>
      <c r="J564" s="703"/>
      <c r="K564" s="703"/>
      <c r="L564" s="703"/>
      <c r="M564" s="703"/>
      <c r="N564" s="703"/>
      <c r="O564" s="703"/>
      <c r="P564" s="703"/>
      <c r="Q564" s="703"/>
      <c r="R564" s="703"/>
      <c r="S564" s="703"/>
      <c r="T564" s="703"/>
      <c r="U564" s="703"/>
      <c r="V564" s="703"/>
      <c r="W564" s="703"/>
      <c r="X564" s="703"/>
      <c r="Y564" s="703"/>
      <c r="Z564" s="703"/>
    </row>
    <row r="565">
      <c r="A565" s="703"/>
      <c r="B565" s="703"/>
      <c r="C565" s="703"/>
      <c r="D565" s="703"/>
      <c r="E565" s="703"/>
      <c r="F565" s="703"/>
      <c r="G565" s="703"/>
      <c r="H565" s="703"/>
      <c r="I565" s="703"/>
      <c r="J565" s="703"/>
      <c r="K565" s="703"/>
      <c r="L565" s="703"/>
      <c r="M565" s="703"/>
      <c r="N565" s="703"/>
      <c r="O565" s="703"/>
      <c r="P565" s="703"/>
      <c r="Q565" s="703"/>
      <c r="R565" s="703"/>
      <c r="S565" s="703"/>
      <c r="T565" s="703"/>
      <c r="U565" s="703"/>
      <c r="V565" s="703"/>
      <c r="W565" s="703"/>
      <c r="X565" s="703"/>
      <c r="Y565" s="703"/>
      <c r="Z565" s="703"/>
    </row>
    <row r="566">
      <c r="A566" s="703"/>
      <c r="B566" s="703"/>
      <c r="C566" s="703"/>
      <c r="D566" s="703"/>
      <c r="E566" s="703"/>
      <c r="F566" s="703"/>
      <c r="G566" s="703"/>
      <c r="H566" s="703"/>
      <c r="I566" s="703"/>
      <c r="J566" s="703"/>
      <c r="K566" s="703"/>
      <c r="L566" s="703"/>
      <c r="M566" s="703"/>
      <c r="N566" s="703"/>
      <c r="O566" s="703"/>
      <c r="P566" s="703"/>
      <c r="Q566" s="703"/>
      <c r="R566" s="703"/>
      <c r="S566" s="703"/>
      <c r="T566" s="703"/>
      <c r="U566" s="703"/>
      <c r="V566" s="703"/>
      <c r="W566" s="703"/>
      <c r="X566" s="703"/>
      <c r="Y566" s="703"/>
      <c r="Z566" s="703"/>
    </row>
    <row r="567">
      <c r="A567" s="703"/>
      <c r="B567" s="703"/>
      <c r="C567" s="703"/>
      <c r="D567" s="703"/>
      <c r="E567" s="703"/>
      <c r="F567" s="703"/>
      <c r="G567" s="703"/>
      <c r="H567" s="703"/>
      <c r="I567" s="703"/>
      <c r="J567" s="703"/>
      <c r="K567" s="703"/>
      <c r="L567" s="703"/>
      <c r="M567" s="703"/>
      <c r="N567" s="703"/>
      <c r="O567" s="703"/>
      <c r="P567" s="703"/>
      <c r="Q567" s="703"/>
      <c r="R567" s="703"/>
      <c r="S567" s="703"/>
      <c r="T567" s="703"/>
      <c r="U567" s="703"/>
      <c r="V567" s="703"/>
      <c r="W567" s="703"/>
      <c r="X567" s="703"/>
      <c r="Y567" s="703"/>
      <c r="Z567" s="703"/>
    </row>
    <row r="568">
      <c r="A568" s="703"/>
      <c r="B568" s="703"/>
      <c r="C568" s="703"/>
      <c r="D568" s="703"/>
      <c r="E568" s="703"/>
      <c r="F568" s="703"/>
      <c r="G568" s="703"/>
      <c r="H568" s="703"/>
      <c r="I568" s="703"/>
      <c r="J568" s="703"/>
      <c r="K568" s="703"/>
      <c r="L568" s="703"/>
      <c r="M568" s="703"/>
      <c r="N568" s="703"/>
      <c r="O568" s="703"/>
      <c r="P568" s="703"/>
      <c r="Q568" s="703"/>
      <c r="R568" s="703"/>
      <c r="S568" s="703"/>
      <c r="T568" s="703"/>
      <c r="U568" s="703"/>
      <c r="V568" s="703"/>
      <c r="W568" s="703"/>
      <c r="X568" s="703"/>
      <c r="Y568" s="703"/>
      <c r="Z568" s="703"/>
    </row>
    <row r="569">
      <c r="A569" s="703"/>
      <c r="B569" s="703"/>
      <c r="C569" s="703"/>
      <c r="D569" s="703"/>
      <c r="E569" s="703"/>
      <c r="F569" s="703"/>
      <c r="G569" s="703"/>
      <c r="H569" s="703"/>
      <c r="I569" s="703"/>
      <c r="J569" s="703"/>
      <c r="K569" s="703"/>
      <c r="L569" s="703"/>
      <c r="M569" s="703"/>
      <c r="N569" s="703"/>
      <c r="O569" s="703"/>
      <c r="P569" s="703"/>
      <c r="Q569" s="703"/>
      <c r="R569" s="703"/>
      <c r="S569" s="703"/>
      <c r="T569" s="703"/>
      <c r="U569" s="703"/>
      <c r="V569" s="703"/>
      <c r="W569" s="703"/>
      <c r="X569" s="703"/>
      <c r="Y569" s="703"/>
      <c r="Z569" s="703"/>
    </row>
    <row r="570">
      <c r="A570" s="703"/>
      <c r="B570" s="703"/>
      <c r="C570" s="703"/>
      <c r="D570" s="703"/>
      <c r="E570" s="703"/>
      <c r="F570" s="703"/>
      <c r="G570" s="703"/>
      <c r="H570" s="703"/>
      <c r="I570" s="703"/>
      <c r="J570" s="703"/>
      <c r="K570" s="703"/>
      <c r="L570" s="703"/>
      <c r="M570" s="703"/>
      <c r="N570" s="703"/>
      <c r="O570" s="703"/>
      <c r="P570" s="703"/>
      <c r="Q570" s="703"/>
      <c r="R570" s="703"/>
      <c r="S570" s="703"/>
      <c r="T570" s="703"/>
      <c r="U570" s="703"/>
      <c r="V570" s="703"/>
      <c r="W570" s="703"/>
      <c r="X570" s="703"/>
      <c r="Y570" s="703"/>
      <c r="Z570" s="703"/>
    </row>
    <row r="571">
      <c r="A571" s="703"/>
      <c r="B571" s="703"/>
      <c r="C571" s="703"/>
      <c r="D571" s="703"/>
      <c r="E571" s="703"/>
      <c r="F571" s="703"/>
      <c r="G571" s="703"/>
      <c r="H571" s="703"/>
      <c r="I571" s="703"/>
      <c r="J571" s="703"/>
      <c r="K571" s="703"/>
      <c r="L571" s="703"/>
      <c r="M571" s="703"/>
      <c r="N571" s="703"/>
      <c r="O571" s="703"/>
      <c r="P571" s="703"/>
      <c r="Q571" s="703"/>
      <c r="R571" s="703"/>
      <c r="S571" s="703"/>
      <c r="T571" s="703"/>
      <c r="U571" s="703"/>
      <c r="V571" s="703"/>
      <c r="W571" s="703"/>
      <c r="X571" s="703"/>
      <c r="Y571" s="703"/>
      <c r="Z571" s="703"/>
    </row>
    <row r="572">
      <c r="A572" s="703"/>
      <c r="B572" s="703"/>
      <c r="C572" s="703"/>
      <c r="D572" s="703"/>
      <c r="E572" s="703"/>
      <c r="F572" s="703"/>
      <c r="G572" s="703"/>
      <c r="H572" s="703"/>
      <c r="I572" s="703"/>
      <c r="J572" s="703"/>
      <c r="K572" s="703"/>
      <c r="L572" s="703"/>
      <c r="M572" s="703"/>
      <c r="N572" s="703"/>
      <c r="O572" s="703"/>
      <c r="P572" s="703"/>
      <c r="Q572" s="703"/>
      <c r="R572" s="703"/>
      <c r="S572" s="703"/>
      <c r="T572" s="703"/>
      <c r="U572" s="703"/>
      <c r="V572" s="703"/>
      <c r="W572" s="703"/>
      <c r="X572" s="703"/>
      <c r="Y572" s="703"/>
      <c r="Z572" s="703"/>
    </row>
    <row r="573">
      <c r="A573" s="703"/>
      <c r="B573" s="703"/>
      <c r="C573" s="703"/>
      <c r="D573" s="703"/>
      <c r="E573" s="703"/>
      <c r="F573" s="703"/>
      <c r="G573" s="703"/>
      <c r="H573" s="703"/>
      <c r="I573" s="703"/>
      <c r="J573" s="703"/>
      <c r="K573" s="703"/>
      <c r="L573" s="703"/>
      <c r="M573" s="703"/>
      <c r="N573" s="703"/>
      <c r="O573" s="703"/>
      <c r="P573" s="703"/>
      <c r="Q573" s="703"/>
      <c r="R573" s="703"/>
      <c r="S573" s="703"/>
      <c r="T573" s="703"/>
      <c r="U573" s="703"/>
      <c r="V573" s="703"/>
      <c r="W573" s="703"/>
      <c r="X573" s="703"/>
      <c r="Y573" s="703"/>
      <c r="Z573" s="703"/>
    </row>
    <row r="574">
      <c r="A574" s="703"/>
      <c r="B574" s="703"/>
      <c r="C574" s="703"/>
      <c r="D574" s="703"/>
      <c r="E574" s="703"/>
      <c r="F574" s="703"/>
      <c r="G574" s="703"/>
      <c r="H574" s="703"/>
      <c r="I574" s="703"/>
      <c r="J574" s="703"/>
      <c r="K574" s="703"/>
      <c r="L574" s="703"/>
      <c r="M574" s="703"/>
      <c r="N574" s="703"/>
      <c r="O574" s="703"/>
      <c r="P574" s="703"/>
      <c r="Q574" s="703"/>
      <c r="R574" s="703"/>
      <c r="S574" s="703"/>
      <c r="T574" s="703"/>
      <c r="U574" s="703"/>
      <c r="V574" s="703"/>
      <c r="W574" s="703"/>
      <c r="X574" s="703"/>
      <c r="Y574" s="703"/>
      <c r="Z574" s="703"/>
    </row>
    <row r="575">
      <c r="A575" s="703"/>
      <c r="B575" s="703"/>
      <c r="C575" s="703"/>
      <c r="D575" s="703"/>
      <c r="E575" s="703"/>
      <c r="F575" s="703"/>
      <c r="G575" s="703"/>
      <c r="H575" s="703"/>
      <c r="I575" s="703"/>
      <c r="J575" s="703"/>
      <c r="K575" s="703"/>
      <c r="L575" s="703"/>
      <c r="M575" s="703"/>
      <c r="N575" s="703"/>
      <c r="O575" s="703"/>
      <c r="P575" s="703"/>
      <c r="Q575" s="703"/>
      <c r="R575" s="703"/>
      <c r="S575" s="703"/>
      <c r="T575" s="703"/>
      <c r="U575" s="703"/>
      <c r="V575" s="703"/>
      <c r="W575" s="703"/>
      <c r="X575" s="703"/>
      <c r="Y575" s="703"/>
      <c r="Z575" s="703"/>
    </row>
    <row r="576">
      <c r="A576" s="703"/>
      <c r="B576" s="703"/>
      <c r="C576" s="703"/>
      <c r="D576" s="703"/>
      <c r="E576" s="703"/>
      <c r="F576" s="703"/>
      <c r="G576" s="703"/>
      <c r="H576" s="703"/>
      <c r="I576" s="703"/>
      <c r="J576" s="703"/>
      <c r="K576" s="703"/>
      <c r="L576" s="703"/>
      <c r="M576" s="703"/>
      <c r="N576" s="703"/>
      <c r="O576" s="703"/>
      <c r="P576" s="703"/>
      <c r="Q576" s="703"/>
      <c r="R576" s="703"/>
      <c r="S576" s="703"/>
      <c r="T576" s="703"/>
      <c r="U576" s="703"/>
      <c r="V576" s="703"/>
      <c r="W576" s="703"/>
      <c r="X576" s="703"/>
      <c r="Y576" s="703"/>
      <c r="Z576" s="703"/>
    </row>
    <row r="577">
      <c r="A577" s="703"/>
      <c r="B577" s="703"/>
      <c r="C577" s="703"/>
      <c r="D577" s="703"/>
      <c r="E577" s="703"/>
      <c r="F577" s="703"/>
      <c r="G577" s="703"/>
      <c r="H577" s="703"/>
      <c r="I577" s="703"/>
      <c r="J577" s="703"/>
      <c r="K577" s="703"/>
      <c r="L577" s="703"/>
      <c r="M577" s="703"/>
      <c r="N577" s="703"/>
      <c r="O577" s="703"/>
      <c r="P577" s="703"/>
      <c r="Q577" s="703"/>
      <c r="R577" s="703"/>
      <c r="S577" s="703"/>
      <c r="T577" s="703"/>
      <c r="U577" s="703"/>
      <c r="V577" s="703"/>
      <c r="W577" s="703"/>
      <c r="X577" s="703"/>
      <c r="Y577" s="703"/>
      <c r="Z577" s="703"/>
    </row>
    <row r="578">
      <c r="A578" s="703"/>
      <c r="B578" s="703"/>
      <c r="C578" s="703"/>
      <c r="D578" s="703"/>
      <c r="E578" s="703"/>
      <c r="F578" s="703"/>
      <c r="G578" s="703"/>
      <c r="H578" s="703"/>
      <c r="I578" s="703"/>
      <c r="J578" s="703"/>
      <c r="K578" s="703"/>
      <c r="L578" s="703"/>
      <c r="M578" s="703"/>
      <c r="N578" s="703"/>
      <c r="O578" s="703"/>
      <c r="P578" s="703"/>
      <c r="Q578" s="703"/>
      <c r="R578" s="703"/>
      <c r="S578" s="703"/>
      <c r="T578" s="703"/>
      <c r="U578" s="703"/>
      <c r="V578" s="703"/>
      <c r="W578" s="703"/>
      <c r="X578" s="703"/>
      <c r="Y578" s="703"/>
      <c r="Z578" s="703"/>
    </row>
    <row r="579">
      <c r="A579" s="703"/>
      <c r="B579" s="703"/>
      <c r="C579" s="703"/>
      <c r="D579" s="703"/>
      <c r="E579" s="703"/>
      <c r="F579" s="703"/>
      <c r="G579" s="703"/>
      <c r="H579" s="703"/>
      <c r="I579" s="703"/>
      <c r="J579" s="703"/>
      <c r="K579" s="703"/>
      <c r="L579" s="703"/>
      <c r="M579" s="703"/>
      <c r="N579" s="703"/>
      <c r="O579" s="703"/>
      <c r="P579" s="703"/>
      <c r="Q579" s="703"/>
      <c r="R579" s="703"/>
      <c r="S579" s="703"/>
      <c r="T579" s="703"/>
      <c r="U579" s="703"/>
      <c r="V579" s="703"/>
      <c r="W579" s="703"/>
      <c r="X579" s="703"/>
      <c r="Y579" s="703"/>
      <c r="Z579" s="703"/>
    </row>
    <row r="580">
      <c r="A580" s="703"/>
      <c r="B580" s="703"/>
      <c r="C580" s="703"/>
      <c r="D580" s="703"/>
      <c r="E580" s="703"/>
      <c r="F580" s="703"/>
      <c r="G580" s="703"/>
      <c r="H580" s="703"/>
      <c r="I580" s="703"/>
      <c r="J580" s="703"/>
      <c r="K580" s="703"/>
      <c r="L580" s="703"/>
      <c r="M580" s="703"/>
      <c r="N580" s="703"/>
      <c r="O580" s="703"/>
      <c r="P580" s="703"/>
      <c r="Q580" s="703"/>
      <c r="R580" s="703"/>
      <c r="S580" s="703"/>
      <c r="T580" s="703"/>
      <c r="U580" s="703"/>
      <c r="V580" s="703"/>
      <c r="W580" s="703"/>
      <c r="X580" s="703"/>
      <c r="Y580" s="703"/>
      <c r="Z580" s="703"/>
    </row>
    <row r="581">
      <c r="A581" s="703"/>
      <c r="B581" s="703"/>
      <c r="C581" s="703"/>
      <c r="D581" s="703"/>
      <c r="E581" s="703"/>
      <c r="F581" s="703"/>
      <c r="G581" s="703"/>
      <c r="H581" s="703"/>
      <c r="I581" s="703"/>
      <c r="J581" s="703"/>
      <c r="K581" s="703"/>
      <c r="L581" s="703"/>
      <c r="M581" s="703"/>
      <c r="N581" s="703"/>
      <c r="O581" s="703"/>
      <c r="P581" s="703"/>
      <c r="Q581" s="703"/>
      <c r="R581" s="703"/>
      <c r="S581" s="703"/>
      <c r="T581" s="703"/>
      <c r="U581" s="703"/>
      <c r="V581" s="703"/>
      <c r="W581" s="703"/>
      <c r="X581" s="703"/>
      <c r="Y581" s="703"/>
      <c r="Z581" s="703"/>
    </row>
    <row r="582">
      <c r="A582" s="703"/>
      <c r="B582" s="703"/>
      <c r="C582" s="703"/>
      <c r="D582" s="703"/>
      <c r="E582" s="703"/>
      <c r="F582" s="703"/>
      <c r="G582" s="703"/>
      <c r="H582" s="703"/>
      <c r="I582" s="703"/>
      <c r="J582" s="703"/>
      <c r="K582" s="703"/>
      <c r="L582" s="703"/>
      <c r="M582" s="703"/>
      <c r="N582" s="703"/>
      <c r="O582" s="703"/>
      <c r="P582" s="703"/>
      <c r="Q582" s="703"/>
      <c r="R582" s="703"/>
      <c r="S582" s="703"/>
      <c r="T582" s="703"/>
      <c r="U582" s="703"/>
      <c r="V582" s="703"/>
      <c r="W582" s="703"/>
      <c r="X582" s="703"/>
      <c r="Y582" s="703"/>
      <c r="Z582" s="703"/>
    </row>
    <row r="583">
      <c r="A583" s="703"/>
      <c r="B583" s="703"/>
      <c r="C583" s="703"/>
      <c r="D583" s="703"/>
      <c r="E583" s="703"/>
      <c r="F583" s="703"/>
      <c r="G583" s="703"/>
      <c r="H583" s="703"/>
      <c r="I583" s="703"/>
      <c r="J583" s="703"/>
      <c r="K583" s="703"/>
      <c r="L583" s="703"/>
      <c r="M583" s="703"/>
      <c r="N583" s="703"/>
      <c r="O583" s="703"/>
      <c r="P583" s="703"/>
      <c r="Q583" s="703"/>
      <c r="R583" s="703"/>
      <c r="S583" s="703"/>
      <c r="T583" s="703"/>
      <c r="U583" s="703"/>
      <c r="V583" s="703"/>
      <c r="W583" s="703"/>
      <c r="X583" s="703"/>
      <c r="Y583" s="703"/>
      <c r="Z583" s="703"/>
    </row>
    <row r="584">
      <c r="A584" s="703"/>
      <c r="B584" s="703"/>
      <c r="C584" s="703"/>
      <c r="D584" s="703"/>
      <c r="E584" s="703"/>
      <c r="F584" s="703"/>
      <c r="G584" s="703"/>
      <c r="H584" s="703"/>
      <c r="I584" s="703"/>
      <c r="J584" s="703"/>
      <c r="K584" s="703"/>
      <c r="L584" s="703"/>
      <c r="M584" s="703"/>
      <c r="N584" s="703"/>
      <c r="O584" s="703"/>
      <c r="P584" s="703"/>
      <c r="Q584" s="703"/>
      <c r="R584" s="703"/>
      <c r="S584" s="703"/>
      <c r="T584" s="703"/>
      <c r="U584" s="703"/>
      <c r="V584" s="703"/>
      <c r="W584" s="703"/>
      <c r="X584" s="703"/>
      <c r="Y584" s="703"/>
      <c r="Z584" s="703"/>
    </row>
    <row r="585">
      <c r="A585" s="703"/>
      <c r="B585" s="703"/>
      <c r="C585" s="703"/>
      <c r="D585" s="703"/>
      <c r="E585" s="703"/>
      <c r="F585" s="703"/>
      <c r="G585" s="703"/>
      <c r="H585" s="703"/>
      <c r="I585" s="703"/>
      <c r="J585" s="703"/>
      <c r="K585" s="703"/>
      <c r="L585" s="703"/>
      <c r="M585" s="703"/>
      <c r="N585" s="703"/>
      <c r="O585" s="703"/>
      <c r="P585" s="703"/>
      <c r="Q585" s="703"/>
      <c r="R585" s="703"/>
      <c r="S585" s="703"/>
      <c r="T585" s="703"/>
      <c r="U585" s="703"/>
      <c r="V585" s="703"/>
      <c r="W585" s="703"/>
      <c r="X585" s="703"/>
      <c r="Y585" s="703"/>
      <c r="Z585" s="703"/>
    </row>
    <row r="586">
      <c r="A586" s="703"/>
      <c r="B586" s="703"/>
      <c r="C586" s="703"/>
      <c r="D586" s="703"/>
      <c r="E586" s="703"/>
      <c r="F586" s="703"/>
      <c r="G586" s="703"/>
      <c r="H586" s="703"/>
      <c r="I586" s="703"/>
      <c r="J586" s="703"/>
      <c r="K586" s="703"/>
      <c r="L586" s="703"/>
      <c r="M586" s="703"/>
      <c r="N586" s="703"/>
      <c r="O586" s="703"/>
      <c r="P586" s="703"/>
      <c r="Q586" s="703"/>
      <c r="R586" s="703"/>
      <c r="S586" s="703"/>
      <c r="T586" s="703"/>
      <c r="U586" s="703"/>
      <c r="V586" s="703"/>
      <c r="W586" s="703"/>
      <c r="X586" s="703"/>
      <c r="Y586" s="703"/>
      <c r="Z586" s="703"/>
    </row>
    <row r="587">
      <c r="A587" s="703"/>
      <c r="B587" s="703"/>
      <c r="C587" s="703"/>
      <c r="D587" s="703"/>
      <c r="E587" s="703"/>
      <c r="F587" s="703"/>
      <c r="G587" s="703"/>
      <c r="H587" s="703"/>
      <c r="I587" s="703"/>
      <c r="J587" s="703"/>
      <c r="K587" s="703"/>
      <c r="L587" s="703"/>
      <c r="M587" s="703"/>
      <c r="N587" s="703"/>
      <c r="O587" s="703"/>
      <c r="P587" s="703"/>
      <c r="Q587" s="703"/>
      <c r="R587" s="703"/>
      <c r="S587" s="703"/>
      <c r="T587" s="703"/>
      <c r="U587" s="703"/>
      <c r="V587" s="703"/>
      <c r="W587" s="703"/>
      <c r="X587" s="703"/>
      <c r="Y587" s="703"/>
      <c r="Z587" s="703"/>
    </row>
    <row r="588">
      <c r="A588" s="703"/>
      <c r="B588" s="703"/>
      <c r="C588" s="703"/>
      <c r="D588" s="703"/>
      <c r="E588" s="703"/>
      <c r="F588" s="703"/>
      <c r="G588" s="703"/>
      <c r="H588" s="703"/>
      <c r="I588" s="703"/>
      <c r="J588" s="703"/>
      <c r="K588" s="703"/>
      <c r="L588" s="703"/>
      <c r="M588" s="703"/>
      <c r="N588" s="703"/>
      <c r="O588" s="703"/>
      <c r="P588" s="703"/>
      <c r="Q588" s="703"/>
      <c r="R588" s="703"/>
      <c r="S588" s="703"/>
      <c r="T588" s="703"/>
      <c r="U588" s="703"/>
      <c r="V588" s="703"/>
      <c r="W588" s="703"/>
      <c r="X588" s="703"/>
      <c r="Y588" s="703"/>
      <c r="Z588" s="703"/>
    </row>
    <row r="589">
      <c r="A589" s="703"/>
      <c r="B589" s="703"/>
      <c r="C589" s="703"/>
      <c r="D589" s="703"/>
      <c r="E589" s="703"/>
      <c r="F589" s="703"/>
      <c r="G589" s="703"/>
      <c r="H589" s="703"/>
      <c r="I589" s="703"/>
      <c r="J589" s="703"/>
      <c r="K589" s="703"/>
      <c r="L589" s="703"/>
      <c r="M589" s="703"/>
      <c r="N589" s="703"/>
      <c r="O589" s="703"/>
      <c r="P589" s="703"/>
      <c r="Q589" s="703"/>
      <c r="R589" s="703"/>
      <c r="S589" s="703"/>
      <c r="T589" s="703"/>
      <c r="U589" s="703"/>
      <c r="V589" s="703"/>
      <c r="W589" s="703"/>
      <c r="X589" s="703"/>
      <c r="Y589" s="703"/>
      <c r="Z589" s="703"/>
    </row>
    <row r="590">
      <c r="A590" s="703"/>
      <c r="B590" s="703"/>
      <c r="C590" s="703"/>
      <c r="D590" s="703"/>
      <c r="E590" s="703"/>
      <c r="F590" s="703"/>
      <c r="G590" s="703"/>
      <c r="H590" s="703"/>
      <c r="I590" s="703"/>
      <c r="J590" s="703"/>
      <c r="K590" s="703"/>
      <c r="L590" s="703"/>
      <c r="M590" s="703"/>
      <c r="N590" s="703"/>
      <c r="O590" s="703"/>
      <c r="P590" s="703"/>
      <c r="Q590" s="703"/>
      <c r="R590" s="703"/>
      <c r="S590" s="703"/>
      <c r="T590" s="703"/>
      <c r="U590" s="703"/>
      <c r="V590" s="703"/>
      <c r="W590" s="703"/>
      <c r="X590" s="703"/>
      <c r="Y590" s="703"/>
      <c r="Z590" s="703"/>
    </row>
    <row r="591">
      <c r="A591" s="703"/>
      <c r="B591" s="703"/>
      <c r="C591" s="703"/>
      <c r="D591" s="703"/>
      <c r="E591" s="703"/>
      <c r="F591" s="703"/>
      <c r="G591" s="703"/>
      <c r="H591" s="703"/>
      <c r="I591" s="703"/>
      <c r="J591" s="703"/>
      <c r="K591" s="703"/>
      <c r="L591" s="703"/>
      <c r="M591" s="703"/>
      <c r="N591" s="703"/>
      <c r="O591" s="703"/>
      <c r="P591" s="703"/>
      <c r="Q591" s="703"/>
      <c r="R591" s="703"/>
      <c r="S591" s="703"/>
      <c r="T591" s="703"/>
      <c r="U591" s="703"/>
      <c r="V591" s="703"/>
      <c r="W591" s="703"/>
      <c r="X591" s="703"/>
      <c r="Y591" s="703"/>
      <c r="Z591" s="703"/>
    </row>
    <row r="592">
      <c r="A592" s="703"/>
      <c r="B592" s="703"/>
      <c r="C592" s="703"/>
      <c r="D592" s="703"/>
      <c r="E592" s="703"/>
      <c r="F592" s="703"/>
      <c r="G592" s="703"/>
      <c r="H592" s="703"/>
      <c r="I592" s="703"/>
      <c r="J592" s="703"/>
      <c r="K592" s="703"/>
      <c r="L592" s="703"/>
      <c r="M592" s="703"/>
      <c r="N592" s="703"/>
      <c r="O592" s="703"/>
      <c r="P592" s="703"/>
      <c r="Q592" s="703"/>
      <c r="R592" s="703"/>
      <c r="S592" s="703"/>
      <c r="T592" s="703"/>
      <c r="U592" s="703"/>
      <c r="V592" s="703"/>
      <c r="W592" s="703"/>
      <c r="X592" s="703"/>
      <c r="Y592" s="703"/>
      <c r="Z592" s="703"/>
    </row>
    <row r="593">
      <c r="A593" s="703"/>
      <c r="B593" s="703"/>
      <c r="C593" s="703"/>
      <c r="D593" s="703"/>
      <c r="E593" s="703"/>
      <c r="F593" s="703"/>
      <c r="G593" s="703"/>
      <c r="H593" s="703"/>
      <c r="I593" s="703"/>
      <c r="J593" s="703"/>
      <c r="K593" s="703"/>
      <c r="L593" s="703"/>
      <c r="M593" s="703"/>
      <c r="N593" s="703"/>
      <c r="O593" s="703"/>
      <c r="P593" s="703"/>
      <c r="Q593" s="703"/>
      <c r="R593" s="703"/>
      <c r="S593" s="703"/>
      <c r="T593" s="703"/>
      <c r="U593" s="703"/>
      <c r="V593" s="703"/>
      <c r="W593" s="703"/>
      <c r="X593" s="703"/>
      <c r="Y593" s="703"/>
      <c r="Z593" s="703"/>
    </row>
    <row r="594">
      <c r="A594" s="703"/>
      <c r="B594" s="703"/>
      <c r="C594" s="703"/>
      <c r="D594" s="703"/>
      <c r="E594" s="703"/>
      <c r="F594" s="703"/>
      <c r="G594" s="703"/>
      <c r="H594" s="703"/>
      <c r="I594" s="703"/>
      <c r="J594" s="703"/>
      <c r="K594" s="703"/>
      <c r="L594" s="703"/>
      <c r="M594" s="703"/>
      <c r="N594" s="703"/>
      <c r="O594" s="703"/>
      <c r="P594" s="703"/>
      <c r="Q594" s="703"/>
      <c r="R594" s="703"/>
      <c r="S594" s="703"/>
      <c r="T594" s="703"/>
      <c r="U594" s="703"/>
      <c r="V594" s="703"/>
      <c r="W594" s="703"/>
      <c r="X594" s="703"/>
      <c r="Y594" s="703"/>
      <c r="Z594" s="703"/>
    </row>
    <row r="595">
      <c r="A595" s="703"/>
      <c r="B595" s="703"/>
      <c r="C595" s="703"/>
      <c r="D595" s="703"/>
      <c r="E595" s="703"/>
      <c r="F595" s="703"/>
      <c r="G595" s="703"/>
      <c r="H595" s="703"/>
      <c r="I595" s="703"/>
      <c r="J595" s="703"/>
      <c r="K595" s="703"/>
      <c r="L595" s="703"/>
      <c r="M595" s="703"/>
      <c r="N595" s="703"/>
      <c r="O595" s="703"/>
      <c r="P595" s="703"/>
      <c r="Q595" s="703"/>
      <c r="R595" s="703"/>
      <c r="S595" s="703"/>
      <c r="T595" s="703"/>
      <c r="U595" s="703"/>
      <c r="V595" s="703"/>
      <c r="W595" s="703"/>
      <c r="X595" s="703"/>
      <c r="Y595" s="703"/>
      <c r="Z595" s="703"/>
    </row>
    <row r="596">
      <c r="A596" s="703"/>
      <c r="B596" s="703"/>
      <c r="C596" s="703"/>
      <c r="D596" s="703"/>
      <c r="E596" s="703"/>
      <c r="F596" s="703"/>
      <c r="G596" s="703"/>
      <c r="H596" s="703"/>
      <c r="I596" s="703"/>
      <c r="J596" s="703"/>
      <c r="K596" s="703"/>
      <c r="L596" s="703"/>
      <c r="M596" s="703"/>
      <c r="N596" s="703"/>
      <c r="O596" s="703"/>
      <c r="P596" s="703"/>
      <c r="Q596" s="703"/>
      <c r="R596" s="703"/>
      <c r="S596" s="703"/>
      <c r="T596" s="703"/>
      <c r="U596" s="703"/>
      <c r="V596" s="703"/>
      <c r="W596" s="703"/>
      <c r="X596" s="703"/>
      <c r="Y596" s="703"/>
      <c r="Z596" s="703"/>
    </row>
    <row r="597">
      <c r="A597" s="703"/>
      <c r="B597" s="703"/>
      <c r="C597" s="703"/>
      <c r="D597" s="703"/>
      <c r="E597" s="703"/>
      <c r="F597" s="703"/>
      <c r="G597" s="703"/>
      <c r="H597" s="703"/>
      <c r="I597" s="703"/>
      <c r="J597" s="703"/>
      <c r="K597" s="703"/>
      <c r="L597" s="703"/>
      <c r="M597" s="703"/>
      <c r="N597" s="703"/>
      <c r="O597" s="703"/>
      <c r="P597" s="703"/>
      <c r="Q597" s="703"/>
      <c r="R597" s="703"/>
      <c r="S597" s="703"/>
      <c r="T597" s="703"/>
      <c r="U597" s="703"/>
      <c r="V597" s="703"/>
      <c r="W597" s="703"/>
      <c r="X597" s="703"/>
      <c r="Y597" s="703"/>
      <c r="Z597" s="703"/>
    </row>
    <row r="598">
      <c r="A598" s="703"/>
      <c r="B598" s="703"/>
      <c r="C598" s="703"/>
      <c r="D598" s="703"/>
      <c r="E598" s="703"/>
      <c r="F598" s="703"/>
      <c r="G598" s="703"/>
      <c r="H598" s="703"/>
      <c r="I598" s="703"/>
      <c r="J598" s="703"/>
      <c r="K598" s="703"/>
      <c r="L598" s="703"/>
      <c r="M598" s="703"/>
      <c r="N598" s="703"/>
      <c r="O598" s="703"/>
      <c r="P598" s="703"/>
      <c r="Q598" s="703"/>
      <c r="R598" s="703"/>
      <c r="S598" s="703"/>
      <c r="T598" s="703"/>
      <c r="U598" s="703"/>
      <c r="V598" s="703"/>
      <c r="W598" s="703"/>
      <c r="X598" s="703"/>
      <c r="Y598" s="703"/>
      <c r="Z598" s="703"/>
    </row>
    <row r="599">
      <c r="A599" s="703"/>
      <c r="B599" s="703"/>
      <c r="C599" s="703"/>
      <c r="D599" s="703"/>
      <c r="E599" s="703"/>
      <c r="F599" s="703"/>
      <c r="G599" s="703"/>
      <c r="H599" s="703"/>
      <c r="I599" s="703"/>
      <c r="J599" s="703"/>
      <c r="K599" s="703"/>
      <c r="L599" s="703"/>
      <c r="M599" s="703"/>
      <c r="N599" s="703"/>
      <c r="O599" s="703"/>
      <c r="P599" s="703"/>
      <c r="Q599" s="703"/>
      <c r="R599" s="703"/>
      <c r="S599" s="703"/>
      <c r="T599" s="703"/>
      <c r="U599" s="703"/>
      <c r="V599" s="703"/>
      <c r="W599" s="703"/>
      <c r="X599" s="703"/>
      <c r="Y599" s="703"/>
      <c r="Z599" s="703"/>
    </row>
    <row r="600">
      <c r="A600" s="703"/>
      <c r="B600" s="703"/>
      <c r="C600" s="703"/>
      <c r="D600" s="703"/>
      <c r="E600" s="703"/>
      <c r="F600" s="703"/>
      <c r="G600" s="703"/>
      <c r="H600" s="703"/>
      <c r="I600" s="703"/>
      <c r="J600" s="703"/>
      <c r="K600" s="703"/>
      <c r="L600" s="703"/>
      <c r="M600" s="703"/>
      <c r="N600" s="703"/>
      <c r="O600" s="703"/>
      <c r="P600" s="703"/>
      <c r="Q600" s="703"/>
      <c r="R600" s="703"/>
      <c r="S600" s="703"/>
      <c r="T600" s="703"/>
      <c r="U600" s="703"/>
      <c r="V600" s="703"/>
      <c r="W600" s="703"/>
      <c r="X600" s="703"/>
      <c r="Y600" s="703"/>
      <c r="Z600" s="703"/>
    </row>
    <row r="601">
      <c r="A601" s="703"/>
      <c r="B601" s="703"/>
      <c r="C601" s="703"/>
      <c r="D601" s="703"/>
      <c r="E601" s="703"/>
      <c r="F601" s="703"/>
      <c r="G601" s="703"/>
      <c r="H601" s="703"/>
      <c r="I601" s="703"/>
      <c r="J601" s="703"/>
      <c r="K601" s="703"/>
      <c r="L601" s="703"/>
      <c r="M601" s="703"/>
      <c r="N601" s="703"/>
      <c r="O601" s="703"/>
      <c r="P601" s="703"/>
      <c r="Q601" s="703"/>
      <c r="R601" s="703"/>
      <c r="S601" s="703"/>
      <c r="T601" s="703"/>
      <c r="U601" s="703"/>
      <c r="V601" s="703"/>
      <c r="W601" s="703"/>
      <c r="X601" s="703"/>
      <c r="Y601" s="703"/>
      <c r="Z601" s="703"/>
    </row>
    <row r="602">
      <c r="A602" s="703"/>
      <c r="B602" s="703"/>
      <c r="C602" s="703"/>
      <c r="D602" s="703"/>
      <c r="E602" s="703"/>
      <c r="F602" s="703"/>
      <c r="G602" s="703"/>
      <c r="H602" s="703"/>
      <c r="I602" s="703"/>
      <c r="J602" s="703"/>
      <c r="K602" s="703"/>
      <c r="L602" s="703"/>
      <c r="M602" s="703"/>
      <c r="N602" s="703"/>
      <c r="O602" s="703"/>
      <c r="P602" s="703"/>
      <c r="Q602" s="703"/>
      <c r="R602" s="703"/>
      <c r="S602" s="703"/>
      <c r="T602" s="703"/>
      <c r="U602" s="703"/>
      <c r="V602" s="703"/>
      <c r="W602" s="703"/>
      <c r="X602" s="703"/>
      <c r="Y602" s="703"/>
      <c r="Z602" s="703"/>
    </row>
    <row r="603">
      <c r="A603" s="703"/>
      <c r="B603" s="703"/>
      <c r="C603" s="703"/>
      <c r="D603" s="703"/>
      <c r="E603" s="703"/>
      <c r="F603" s="703"/>
      <c r="G603" s="703"/>
      <c r="H603" s="703"/>
      <c r="I603" s="703"/>
      <c r="J603" s="703"/>
      <c r="K603" s="703"/>
      <c r="L603" s="703"/>
      <c r="M603" s="703"/>
      <c r="N603" s="703"/>
      <c r="O603" s="703"/>
      <c r="P603" s="703"/>
      <c r="Q603" s="703"/>
      <c r="R603" s="703"/>
      <c r="S603" s="703"/>
      <c r="T603" s="703"/>
      <c r="U603" s="703"/>
      <c r="V603" s="703"/>
      <c r="W603" s="703"/>
      <c r="X603" s="703"/>
      <c r="Y603" s="703"/>
      <c r="Z603" s="703"/>
    </row>
    <row r="604">
      <c r="A604" s="703"/>
      <c r="B604" s="703"/>
      <c r="C604" s="703"/>
      <c r="D604" s="703"/>
      <c r="E604" s="703"/>
      <c r="F604" s="703"/>
      <c r="G604" s="703"/>
      <c r="H604" s="703"/>
      <c r="I604" s="703"/>
      <c r="J604" s="703"/>
      <c r="K604" s="703"/>
      <c r="L604" s="703"/>
      <c r="M604" s="703"/>
      <c r="N604" s="703"/>
      <c r="O604" s="703"/>
      <c r="P604" s="703"/>
      <c r="Q604" s="703"/>
      <c r="R604" s="703"/>
      <c r="S604" s="703"/>
      <c r="T604" s="703"/>
      <c r="U604" s="703"/>
      <c r="V604" s="703"/>
      <c r="W604" s="703"/>
      <c r="X604" s="703"/>
      <c r="Y604" s="703"/>
      <c r="Z604" s="703"/>
    </row>
    <row r="605">
      <c r="A605" s="703"/>
      <c r="B605" s="703"/>
      <c r="C605" s="703"/>
      <c r="D605" s="703"/>
      <c r="E605" s="703"/>
      <c r="F605" s="703"/>
      <c r="G605" s="703"/>
      <c r="H605" s="703"/>
      <c r="I605" s="703"/>
      <c r="J605" s="703"/>
      <c r="K605" s="703"/>
      <c r="L605" s="703"/>
      <c r="M605" s="703"/>
      <c r="N605" s="703"/>
      <c r="O605" s="703"/>
      <c r="P605" s="703"/>
      <c r="Q605" s="703"/>
      <c r="R605" s="703"/>
      <c r="S605" s="703"/>
      <c r="T605" s="703"/>
      <c r="U605" s="703"/>
      <c r="V605" s="703"/>
      <c r="W605" s="703"/>
      <c r="X605" s="703"/>
      <c r="Y605" s="703"/>
      <c r="Z605" s="703"/>
    </row>
    <row r="606">
      <c r="A606" s="703"/>
      <c r="B606" s="703"/>
      <c r="C606" s="703"/>
      <c r="D606" s="703"/>
      <c r="E606" s="703"/>
      <c r="F606" s="703"/>
      <c r="G606" s="703"/>
      <c r="H606" s="703"/>
      <c r="I606" s="703"/>
      <c r="J606" s="703"/>
      <c r="K606" s="703"/>
      <c r="L606" s="703"/>
      <c r="M606" s="703"/>
      <c r="N606" s="703"/>
      <c r="O606" s="703"/>
      <c r="P606" s="703"/>
      <c r="Q606" s="703"/>
      <c r="R606" s="703"/>
      <c r="S606" s="703"/>
      <c r="T606" s="703"/>
      <c r="U606" s="703"/>
      <c r="V606" s="703"/>
      <c r="W606" s="703"/>
      <c r="X606" s="703"/>
      <c r="Y606" s="703"/>
      <c r="Z606" s="703"/>
    </row>
    <row r="607">
      <c r="A607" s="703"/>
      <c r="B607" s="703"/>
      <c r="C607" s="703"/>
      <c r="D607" s="703"/>
      <c r="E607" s="703"/>
      <c r="F607" s="703"/>
      <c r="G607" s="703"/>
      <c r="H607" s="703"/>
      <c r="I607" s="703"/>
      <c r="J607" s="703"/>
      <c r="K607" s="703"/>
      <c r="L607" s="703"/>
      <c r="M607" s="703"/>
      <c r="N607" s="703"/>
      <c r="O607" s="703"/>
      <c r="P607" s="703"/>
      <c r="Q607" s="703"/>
      <c r="R607" s="703"/>
      <c r="S607" s="703"/>
      <c r="T607" s="703"/>
      <c r="U607" s="703"/>
      <c r="V607" s="703"/>
      <c r="W607" s="703"/>
      <c r="X607" s="703"/>
      <c r="Y607" s="703"/>
      <c r="Z607" s="703"/>
    </row>
    <row r="608">
      <c r="A608" s="703"/>
      <c r="B608" s="703"/>
      <c r="C608" s="703"/>
      <c r="D608" s="703"/>
      <c r="E608" s="703"/>
      <c r="F608" s="703"/>
      <c r="G608" s="703"/>
      <c r="H608" s="703"/>
      <c r="I608" s="703"/>
      <c r="J608" s="703"/>
      <c r="K608" s="703"/>
      <c r="L608" s="703"/>
      <c r="M608" s="703"/>
      <c r="N608" s="703"/>
      <c r="O608" s="703"/>
      <c r="P608" s="703"/>
      <c r="Q608" s="703"/>
      <c r="R608" s="703"/>
      <c r="S608" s="703"/>
      <c r="T608" s="703"/>
      <c r="U608" s="703"/>
      <c r="V608" s="703"/>
      <c r="W608" s="703"/>
      <c r="X608" s="703"/>
      <c r="Y608" s="703"/>
      <c r="Z608" s="703"/>
    </row>
    <row r="609">
      <c r="A609" s="703"/>
      <c r="B609" s="703"/>
      <c r="C609" s="703"/>
      <c r="D609" s="703"/>
      <c r="E609" s="703"/>
      <c r="F609" s="703"/>
      <c r="G609" s="703"/>
      <c r="H609" s="703"/>
      <c r="I609" s="703"/>
      <c r="J609" s="703"/>
      <c r="K609" s="703"/>
      <c r="L609" s="703"/>
      <c r="M609" s="703"/>
      <c r="N609" s="703"/>
      <c r="O609" s="703"/>
      <c r="P609" s="703"/>
      <c r="Q609" s="703"/>
      <c r="R609" s="703"/>
      <c r="S609" s="703"/>
      <c r="T609" s="703"/>
      <c r="U609" s="703"/>
      <c r="V609" s="703"/>
      <c r="W609" s="703"/>
      <c r="X609" s="703"/>
      <c r="Y609" s="703"/>
      <c r="Z609" s="703"/>
    </row>
    <row r="610">
      <c r="A610" s="703"/>
      <c r="B610" s="703"/>
      <c r="C610" s="703"/>
      <c r="D610" s="703"/>
      <c r="E610" s="703"/>
      <c r="F610" s="703"/>
      <c r="G610" s="703"/>
      <c r="H610" s="703"/>
      <c r="I610" s="703"/>
      <c r="J610" s="703"/>
      <c r="K610" s="703"/>
      <c r="L610" s="703"/>
      <c r="M610" s="703"/>
      <c r="N610" s="703"/>
      <c r="O610" s="703"/>
      <c r="P610" s="703"/>
      <c r="Q610" s="703"/>
      <c r="R610" s="703"/>
      <c r="S610" s="703"/>
      <c r="T610" s="703"/>
      <c r="U610" s="703"/>
      <c r="V610" s="703"/>
      <c r="W610" s="703"/>
      <c r="X610" s="703"/>
      <c r="Y610" s="703"/>
      <c r="Z610" s="703"/>
    </row>
    <row r="611">
      <c r="A611" s="703"/>
      <c r="B611" s="703"/>
      <c r="C611" s="703"/>
      <c r="D611" s="703"/>
      <c r="E611" s="703"/>
      <c r="F611" s="703"/>
      <c r="G611" s="703"/>
      <c r="H611" s="703"/>
      <c r="I611" s="703"/>
      <c r="J611" s="703"/>
      <c r="K611" s="703"/>
      <c r="L611" s="703"/>
      <c r="M611" s="703"/>
      <c r="N611" s="703"/>
      <c r="O611" s="703"/>
      <c r="P611" s="703"/>
      <c r="Q611" s="703"/>
      <c r="R611" s="703"/>
      <c r="S611" s="703"/>
      <c r="T611" s="703"/>
      <c r="U611" s="703"/>
      <c r="V611" s="703"/>
      <c r="W611" s="703"/>
      <c r="X611" s="703"/>
      <c r="Y611" s="703"/>
      <c r="Z611" s="703"/>
    </row>
    <row r="612">
      <c r="A612" s="703"/>
      <c r="B612" s="703"/>
      <c r="C612" s="703"/>
      <c r="D612" s="703"/>
      <c r="E612" s="703"/>
      <c r="F612" s="703"/>
      <c r="G612" s="703"/>
      <c r="H612" s="703"/>
      <c r="I612" s="703"/>
      <c r="J612" s="703"/>
      <c r="K612" s="703"/>
      <c r="L612" s="703"/>
      <c r="M612" s="703"/>
      <c r="N612" s="703"/>
      <c r="O612" s="703"/>
      <c r="P612" s="703"/>
      <c r="Q612" s="703"/>
      <c r="R612" s="703"/>
      <c r="S612" s="703"/>
      <c r="T612" s="703"/>
      <c r="U612" s="703"/>
      <c r="V612" s="703"/>
      <c r="W612" s="703"/>
      <c r="X612" s="703"/>
      <c r="Y612" s="703"/>
      <c r="Z612" s="703"/>
    </row>
    <row r="613">
      <c r="A613" s="703"/>
      <c r="B613" s="703"/>
      <c r="C613" s="703"/>
      <c r="D613" s="703"/>
      <c r="E613" s="703"/>
      <c r="F613" s="703"/>
      <c r="G613" s="703"/>
      <c r="H613" s="703"/>
      <c r="I613" s="703"/>
      <c r="J613" s="703"/>
      <c r="K613" s="703"/>
      <c r="L613" s="703"/>
      <c r="M613" s="703"/>
      <c r="N613" s="703"/>
      <c r="O613" s="703"/>
      <c r="P613" s="703"/>
      <c r="Q613" s="703"/>
      <c r="R613" s="703"/>
      <c r="S613" s="703"/>
      <c r="T613" s="703"/>
      <c r="U613" s="703"/>
      <c r="V613" s="703"/>
      <c r="W613" s="703"/>
      <c r="X613" s="703"/>
      <c r="Y613" s="703"/>
      <c r="Z613" s="703"/>
    </row>
    <row r="614">
      <c r="A614" s="703"/>
      <c r="B614" s="703"/>
      <c r="C614" s="703"/>
      <c r="D614" s="703"/>
      <c r="E614" s="703"/>
      <c r="F614" s="703"/>
      <c r="G614" s="703"/>
      <c r="H614" s="703"/>
      <c r="I614" s="703"/>
      <c r="J614" s="703"/>
      <c r="K614" s="703"/>
      <c r="L614" s="703"/>
      <c r="M614" s="703"/>
      <c r="N614" s="703"/>
      <c r="O614" s="703"/>
      <c r="P614" s="703"/>
      <c r="Q614" s="703"/>
      <c r="R614" s="703"/>
      <c r="S614" s="703"/>
      <c r="T614" s="703"/>
      <c r="U614" s="703"/>
      <c r="V614" s="703"/>
      <c r="W614" s="703"/>
      <c r="X614" s="703"/>
      <c r="Y614" s="703"/>
      <c r="Z614" s="703"/>
    </row>
    <row r="615">
      <c r="A615" s="703"/>
      <c r="B615" s="703"/>
      <c r="C615" s="703"/>
      <c r="D615" s="703"/>
      <c r="E615" s="703"/>
      <c r="F615" s="703"/>
      <c r="G615" s="703"/>
      <c r="H615" s="703"/>
      <c r="I615" s="703"/>
      <c r="J615" s="703"/>
      <c r="K615" s="703"/>
      <c r="L615" s="703"/>
      <c r="M615" s="703"/>
      <c r="N615" s="703"/>
      <c r="O615" s="703"/>
      <c r="P615" s="703"/>
      <c r="Q615" s="703"/>
      <c r="R615" s="703"/>
      <c r="S615" s="703"/>
      <c r="T615" s="703"/>
      <c r="U615" s="703"/>
      <c r="V615" s="703"/>
      <c r="W615" s="703"/>
      <c r="X615" s="703"/>
      <c r="Y615" s="703"/>
      <c r="Z615" s="703"/>
    </row>
    <row r="616">
      <c r="A616" s="703"/>
      <c r="B616" s="703"/>
      <c r="C616" s="703"/>
      <c r="D616" s="703"/>
      <c r="E616" s="703"/>
      <c r="F616" s="703"/>
      <c r="G616" s="703"/>
      <c r="H616" s="703"/>
      <c r="I616" s="703"/>
      <c r="J616" s="703"/>
      <c r="K616" s="703"/>
      <c r="L616" s="703"/>
      <c r="M616" s="703"/>
      <c r="N616" s="703"/>
      <c r="O616" s="703"/>
      <c r="P616" s="703"/>
      <c r="Q616" s="703"/>
      <c r="R616" s="703"/>
      <c r="S616" s="703"/>
      <c r="T616" s="703"/>
      <c r="U616" s="703"/>
      <c r="V616" s="703"/>
      <c r="W616" s="703"/>
      <c r="X616" s="703"/>
      <c r="Y616" s="703"/>
      <c r="Z616" s="703"/>
    </row>
    <row r="617">
      <c r="A617" s="703"/>
      <c r="B617" s="703"/>
      <c r="C617" s="703"/>
      <c r="D617" s="703"/>
      <c r="E617" s="703"/>
      <c r="F617" s="703"/>
      <c r="G617" s="703"/>
      <c r="H617" s="703"/>
      <c r="I617" s="703"/>
      <c r="J617" s="703"/>
      <c r="K617" s="703"/>
      <c r="L617" s="703"/>
      <c r="M617" s="703"/>
      <c r="N617" s="703"/>
      <c r="O617" s="703"/>
      <c r="P617" s="703"/>
      <c r="Q617" s="703"/>
      <c r="R617" s="703"/>
      <c r="S617" s="703"/>
      <c r="T617" s="703"/>
      <c r="U617" s="703"/>
      <c r="V617" s="703"/>
      <c r="W617" s="703"/>
      <c r="X617" s="703"/>
      <c r="Y617" s="703"/>
      <c r="Z617" s="703"/>
    </row>
    <row r="618">
      <c r="A618" s="703"/>
      <c r="B618" s="703"/>
      <c r="C618" s="703"/>
      <c r="D618" s="703"/>
      <c r="E618" s="703"/>
      <c r="F618" s="703"/>
      <c r="G618" s="703"/>
      <c r="H618" s="703"/>
      <c r="I618" s="703"/>
      <c r="J618" s="703"/>
      <c r="K618" s="703"/>
      <c r="L618" s="703"/>
      <c r="M618" s="703"/>
      <c r="N618" s="703"/>
      <c r="O618" s="703"/>
      <c r="P618" s="703"/>
      <c r="Q618" s="703"/>
      <c r="R618" s="703"/>
      <c r="S618" s="703"/>
      <c r="T618" s="703"/>
      <c r="U618" s="703"/>
      <c r="V618" s="703"/>
      <c r="W618" s="703"/>
      <c r="X618" s="703"/>
      <c r="Y618" s="703"/>
      <c r="Z618" s="703"/>
    </row>
    <row r="619">
      <c r="A619" s="703"/>
      <c r="B619" s="703"/>
      <c r="C619" s="703"/>
      <c r="D619" s="703"/>
      <c r="E619" s="703"/>
      <c r="F619" s="703"/>
      <c r="G619" s="703"/>
      <c r="H619" s="703"/>
      <c r="I619" s="703"/>
      <c r="J619" s="703"/>
      <c r="K619" s="703"/>
      <c r="L619" s="703"/>
      <c r="M619" s="703"/>
      <c r="N619" s="703"/>
      <c r="O619" s="703"/>
      <c r="P619" s="703"/>
      <c r="Q619" s="703"/>
      <c r="R619" s="703"/>
      <c r="S619" s="703"/>
      <c r="T619" s="703"/>
      <c r="U619" s="703"/>
      <c r="V619" s="703"/>
      <c r="W619" s="703"/>
      <c r="X619" s="703"/>
      <c r="Y619" s="703"/>
      <c r="Z619" s="703"/>
    </row>
    <row r="620">
      <c r="A620" s="703"/>
      <c r="B620" s="703"/>
      <c r="C620" s="703"/>
      <c r="D620" s="703"/>
      <c r="E620" s="703"/>
      <c r="F620" s="703"/>
      <c r="G620" s="703"/>
      <c r="H620" s="703"/>
      <c r="I620" s="703"/>
      <c r="J620" s="703"/>
      <c r="K620" s="703"/>
      <c r="L620" s="703"/>
      <c r="M620" s="703"/>
      <c r="N620" s="703"/>
      <c r="O620" s="703"/>
      <c r="P620" s="703"/>
      <c r="Q620" s="703"/>
      <c r="R620" s="703"/>
      <c r="S620" s="703"/>
      <c r="T620" s="703"/>
      <c r="U620" s="703"/>
      <c r="V620" s="703"/>
      <c r="W620" s="703"/>
      <c r="X620" s="703"/>
      <c r="Y620" s="703"/>
      <c r="Z620" s="703"/>
    </row>
    <row r="621">
      <c r="A621" s="703"/>
      <c r="B621" s="703"/>
      <c r="C621" s="703"/>
      <c r="D621" s="703"/>
      <c r="E621" s="703"/>
      <c r="F621" s="703"/>
      <c r="G621" s="703"/>
      <c r="H621" s="703"/>
      <c r="I621" s="703"/>
      <c r="J621" s="703"/>
      <c r="K621" s="703"/>
      <c r="L621" s="703"/>
      <c r="M621" s="703"/>
      <c r="N621" s="703"/>
      <c r="O621" s="703"/>
      <c r="P621" s="703"/>
      <c r="Q621" s="703"/>
      <c r="R621" s="703"/>
      <c r="S621" s="703"/>
      <c r="T621" s="703"/>
      <c r="U621" s="703"/>
      <c r="V621" s="703"/>
      <c r="W621" s="703"/>
      <c r="X621" s="703"/>
      <c r="Y621" s="703"/>
      <c r="Z621" s="703"/>
    </row>
    <row r="622">
      <c r="A622" s="703"/>
      <c r="B622" s="703"/>
      <c r="C622" s="703"/>
      <c r="D622" s="703"/>
      <c r="E622" s="703"/>
      <c r="F622" s="703"/>
      <c r="G622" s="703"/>
      <c r="H622" s="703"/>
      <c r="I622" s="703"/>
      <c r="J622" s="703"/>
      <c r="K622" s="703"/>
      <c r="L622" s="703"/>
      <c r="M622" s="703"/>
      <c r="N622" s="703"/>
      <c r="O622" s="703"/>
      <c r="P622" s="703"/>
      <c r="Q622" s="703"/>
      <c r="R622" s="703"/>
      <c r="S622" s="703"/>
      <c r="T622" s="703"/>
      <c r="U622" s="703"/>
      <c r="V622" s="703"/>
      <c r="W622" s="703"/>
      <c r="X622" s="703"/>
      <c r="Y622" s="703"/>
      <c r="Z622" s="703"/>
    </row>
    <row r="623">
      <c r="A623" s="703"/>
      <c r="B623" s="703"/>
      <c r="C623" s="703"/>
      <c r="D623" s="703"/>
      <c r="E623" s="703"/>
      <c r="F623" s="703"/>
      <c r="G623" s="703"/>
      <c r="H623" s="703"/>
      <c r="I623" s="703"/>
      <c r="J623" s="703"/>
      <c r="K623" s="703"/>
      <c r="L623" s="703"/>
      <c r="M623" s="703"/>
      <c r="N623" s="703"/>
      <c r="O623" s="703"/>
      <c r="P623" s="703"/>
      <c r="Q623" s="703"/>
      <c r="R623" s="703"/>
      <c r="S623" s="703"/>
      <c r="T623" s="703"/>
      <c r="U623" s="703"/>
      <c r="V623" s="703"/>
      <c r="W623" s="703"/>
      <c r="X623" s="703"/>
      <c r="Y623" s="703"/>
      <c r="Z623" s="703"/>
    </row>
    <row r="624">
      <c r="A624" s="703"/>
      <c r="B624" s="703"/>
      <c r="C624" s="703"/>
      <c r="D624" s="703"/>
      <c r="E624" s="703"/>
      <c r="F624" s="703"/>
      <c r="G624" s="703"/>
      <c r="H624" s="703"/>
      <c r="I624" s="703"/>
      <c r="J624" s="703"/>
      <c r="K624" s="703"/>
      <c r="L624" s="703"/>
      <c r="M624" s="703"/>
      <c r="N624" s="703"/>
      <c r="O624" s="703"/>
      <c r="P624" s="703"/>
      <c r="Q624" s="703"/>
      <c r="R624" s="703"/>
      <c r="S624" s="703"/>
      <c r="T624" s="703"/>
      <c r="U624" s="703"/>
      <c r="V624" s="703"/>
      <c r="W624" s="703"/>
      <c r="X624" s="703"/>
      <c r="Y624" s="703"/>
      <c r="Z624" s="703"/>
    </row>
    <row r="625">
      <c r="A625" s="703"/>
      <c r="B625" s="703"/>
      <c r="C625" s="703"/>
      <c r="D625" s="703"/>
      <c r="E625" s="703"/>
      <c r="F625" s="703"/>
      <c r="G625" s="703"/>
      <c r="H625" s="703"/>
      <c r="I625" s="703"/>
      <c r="J625" s="703"/>
      <c r="K625" s="703"/>
      <c r="L625" s="703"/>
      <c r="M625" s="703"/>
      <c r="N625" s="703"/>
      <c r="O625" s="703"/>
      <c r="P625" s="703"/>
      <c r="Q625" s="703"/>
      <c r="R625" s="703"/>
      <c r="S625" s="703"/>
      <c r="T625" s="703"/>
      <c r="U625" s="703"/>
      <c r="V625" s="703"/>
      <c r="W625" s="703"/>
      <c r="X625" s="703"/>
      <c r="Y625" s="703"/>
      <c r="Z625" s="703"/>
    </row>
    <row r="626">
      <c r="A626" s="703"/>
      <c r="B626" s="703"/>
      <c r="C626" s="703"/>
      <c r="D626" s="703"/>
      <c r="E626" s="703"/>
      <c r="F626" s="703"/>
      <c r="G626" s="703"/>
      <c r="H626" s="703"/>
      <c r="I626" s="703"/>
      <c r="J626" s="703"/>
      <c r="K626" s="703"/>
      <c r="L626" s="703"/>
      <c r="M626" s="703"/>
      <c r="N626" s="703"/>
      <c r="O626" s="703"/>
      <c r="P626" s="703"/>
      <c r="Q626" s="703"/>
      <c r="R626" s="703"/>
      <c r="S626" s="703"/>
      <c r="T626" s="703"/>
      <c r="U626" s="703"/>
      <c r="V626" s="703"/>
      <c r="W626" s="703"/>
      <c r="X626" s="703"/>
      <c r="Y626" s="703"/>
      <c r="Z626" s="703"/>
    </row>
    <row r="627">
      <c r="A627" s="703"/>
      <c r="B627" s="703"/>
      <c r="C627" s="703"/>
      <c r="D627" s="703"/>
      <c r="E627" s="703"/>
      <c r="F627" s="703"/>
      <c r="G627" s="703"/>
      <c r="H627" s="703"/>
      <c r="I627" s="703"/>
      <c r="J627" s="703"/>
      <c r="K627" s="703"/>
      <c r="L627" s="703"/>
      <c r="M627" s="703"/>
      <c r="N627" s="703"/>
      <c r="O627" s="703"/>
      <c r="P627" s="703"/>
      <c r="Q627" s="703"/>
      <c r="R627" s="703"/>
      <c r="S627" s="703"/>
      <c r="T627" s="703"/>
      <c r="U627" s="703"/>
      <c r="V627" s="703"/>
      <c r="W627" s="703"/>
      <c r="X627" s="703"/>
      <c r="Y627" s="703"/>
      <c r="Z627" s="703"/>
    </row>
    <row r="628">
      <c r="A628" s="703"/>
      <c r="B628" s="703"/>
      <c r="C628" s="703"/>
      <c r="D628" s="703"/>
      <c r="E628" s="703"/>
      <c r="F628" s="703"/>
      <c r="G628" s="703"/>
      <c r="H628" s="703"/>
      <c r="I628" s="703"/>
      <c r="J628" s="703"/>
      <c r="K628" s="703"/>
      <c r="L628" s="703"/>
      <c r="M628" s="703"/>
      <c r="N628" s="703"/>
      <c r="O628" s="703"/>
      <c r="P628" s="703"/>
      <c r="Q628" s="703"/>
      <c r="R628" s="703"/>
      <c r="S628" s="703"/>
      <c r="T628" s="703"/>
      <c r="U628" s="703"/>
      <c r="V628" s="703"/>
      <c r="W628" s="703"/>
      <c r="X628" s="703"/>
      <c r="Y628" s="703"/>
      <c r="Z628" s="703"/>
    </row>
    <row r="629">
      <c r="A629" s="703"/>
      <c r="B629" s="703"/>
      <c r="C629" s="703"/>
      <c r="D629" s="703"/>
      <c r="E629" s="703"/>
      <c r="F629" s="703"/>
      <c r="G629" s="703"/>
      <c r="H629" s="703"/>
      <c r="I629" s="703"/>
      <c r="J629" s="703"/>
      <c r="K629" s="703"/>
      <c r="L629" s="703"/>
      <c r="M629" s="703"/>
      <c r="N629" s="703"/>
      <c r="O629" s="703"/>
      <c r="P629" s="703"/>
      <c r="Q629" s="703"/>
      <c r="R629" s="703"/>
      <c r="S629" s="703"/>
      <c r="T629" s="703"/>
      <c r="U629" s="703"/>
      <c r="V629" s="703"/>
      <c r="W629" s="703"/>
      <c r="X629" s="703"/>
      <c r="Y629" s="703"/>
      <c r="Z629" s="703"/>
    </row>
    <row r="630">
      <c r="A630" s="703"/>
      <c r="B630" s="703"/>
      <c r="C630" s="703"/>
      <c r="D630" s="703"/>
      <c r="E630" s="703"/>
      <c r="F630" s="703"/>
      <c r="G630" s="703"/>
      <c r="H630" s="703"/>
      <c r="I630" s="703"/>
      <c r="J630" s="703"/>
      <c r="K630" s="703"/>
      <c r="L630" s="703"/>
      <c r="M630" s="703"/>
      <c r="N630" s="703"/>
      <c r="O630" s="703"/>
      <c r="P630" s="703"/>
      <c r="Q630" s="703"/>
      <c r="R630" s="703"/>
      <c r="S630" s="703"/>
      <c r="T630" s="703"/>
      <c r="U630" s="703"/>
      <c r="V630" s="703"/>
      <c r="W630" s="703"/>
      <c r="X630" s="703"/>
      <c r="Y630" s="703"/>
      <c r="Z630" s="703"/>
    </row>
    <row r="631">
      <c r="A631" s="703"/>
      <c r="B631" s="703"/>
      <c r="C631" s="703"/>
      <c r="D631" s="703"/>
      <c r="E631" s="703"/>
      <c r="F631" s="703"/>
      <c r="G631" s="703"/>
      <c r="H631" s="703"/>
      <c r="I631" s="703"/>
      <c r="J631" s="703"/>
      <c r="K631" s="703"/>
      <c r="L631" s="703"/>
      <c r="M631" s="703"/>
      <c r="N631" s="703"/>
      <c r="O631" s="703"/>
      <c r="P631" s="703"/>
      <c r="Q631" s="703"/>
      <c r="R631" s="703"/>
      <c r="S631" s="703"/>
      <c r="T631" s="703"/>
      <c r="U631" s="703"/>
      <c r="V631" s="703"/>
      <c r="W631" s="703"/>
      <c r="X631" s="703"/>
      <c r="Y631" s="703"/>
      <c r="Z631" s="703"/>
    </row>
    <row r="632">
      <c r="A632" s="703"/>
      <c r="B632" s="703"/>
      <c r="C632" s="703"/>
      <c r="D632" s="703"/>
      <c r="E632" s="703"/>
      <c r="F632" s="703"/>
      <c r="G632" s="703"/>
      <c r="H632" s="703"/>
      <c r="I632" s="703"/>
      <c r="J632" s="703"/>
      <c r="K632" s="703"/>
      <c r="L632" s="703"/>
      <c r="M632" s="703"/>
      <c r="N632" s="703"/>
      <c r="O632" s="703"/>
      <c r="P632" s="703"/>
      <c r="Q632" s="703"/>
      <c r="R632" s="703"/>
      <c r="S632" s="703"/>
      <c r="T632" s="703"/>
      <c r="U632" s="703"/>
      <c r="V632" s="703"/>
      <c r="W632" s="703"/>
      <c r="X632" s="703"/>
      <c r="Y632" s="703"/>
      <c r="Z632" s="703"/>
    </row>
    <row r="633">
      <c r="A633" s="703"/>
      <c r="B633" s="703"/>
      <c r="C633" s="703"/>
      <c r="D633" s="703"/>
      <c r="E633" s="703"/>
      <c r="F633" s="703"/>
      <c r="G633" s="703"/>
      <c r="H633" s="703"/>
      <c r="I633" s="703"/>
      <c r="J633" s="703"/>
      <c r="K633" s="703"/>
      <c r="L633" s="703"/>
      <c r="M633" s="703"/>
      <c r="N633" s="703"/>
      <c r="O633" s="703"/>
      <c r="P633" s="703"/>
      <c r="Q633" s="703"/>
      <c r="R633" s="703"/>
      <c r="S633" s="703"/>
      <c r="T633" s="703"/>
      <c r="U633" s="703"/>
      <c r="V633" s="703"/>
      <c r="W633" s="703"/>
      <c r="X633" s="703"/>
      <c r="Y633" s="703"/>
      <c r="Z633" s="703"/>
    </row>
    <row r="634">
      <c r="A634" s="703"/>
      <c r="B634" s="703"/>
      <c r="C634" s="703"/>
      <c r="D634" s="703"/>
      <c r="E634" s="703"/>
      <c r="F634" s="703"/>
      <c r="G634" s="703"/>
      <c r="H634" s="703"/>
      <c r="I634" s="703"/>
      <c r="J634" s="703"/>
      <c r="K634" s="703"/>
      <c r="L634" s="703"/>
      <c r="M634" s="703"/>
      <c r="N634" s="703"/>
      <c r="O634" s="703"/>
      <c r="P634" s="703"/>
      <c r="Q634" s="703"/>
      <c r="R634" s="703"/>
      <c r="S634" s="703"/>
      <c r="T634" s="703"/>
      <c r="U634" s="703"/>
      <c r="V634" s="703"/>
      <c r="W634" s="703"/>
      <c r="X634" s="703"/>
      <c r="Y634" s="703"/>
      <c r="Z634" s="703"/>
    </row>
    <row r="635">
      <c r="A635" s="703"/>
      <c r="B635" s="703"/>
      <c r="C635" s="703"/>
      <c r="D635" s="703"/>
      <c r="E635" s="703"/>
      <c r="F635" s="703"/>
      <c r="G635" s="703"/>
      <c r="H635" s="703"/>
      <c r="I635" s="703"/>
      <c r="J635" s="703"/>
      <c r="K635" s="703"/>
      <c r="L635" s="703"/>
      <c r="M635" s="703"/>
      <c r="N635" s="703"/>
      <c r="O635" s="703"/>
      <c r="P635" s="703"/>
      <c r="Q635" s="703"/>
      <c r="R635" s="703"/>
      <c r="S635" s="703"/>
      <c r="T635" s="703"/>
      <c r="U635" s="703"/>
      <c r="V635" s="703"/>
      <c r="W635" s="703"/>
      <c r="X635" s="703"/>
      <c r="Y635" s="703"/>
      <c r="Z635" s="703"/>
    </row>
    <row r="636">
      <c r="A636" s="703"/>
      <c r="B636" s="703"/>
      <c r="C636" s="703"/>
      <c r="D636" s="703"/>
      <c r="E636" s="703"/>
      <c r="F636" s="703"/>
      <c r="G636" s="703"/>
      <c r="H636" s="703"/>
      <c r="I636" s="703"/>
      <c r="J636" s="703"/>
      <c r="K636" s="703"/>
      <c r="L636" s="703"/>
      <c r="M636" s="703"/>
      <c r="N636" s="703"/>
      <c r="O636" s="703"/>
      <c r="P636" s="703"/>
      <c r="Q636" s="703"/>
      <c r="R636" s="703"/>
      <c r="S636" s="703"/>
      <c r="T636" s="703"/>
      <c r="U636" s="703"/>
      <c r="V636" s="703"/>
      <c r="W636" s="703"/>
      <c r="X636" s="703"/>
      <c r="Y636" s="703"/>
      <c r="Z636" s="703"/>
    </row>
    <row r="637">
      <c r="A637" s="703"/>
      <c r="B637" s="703"/>
      <c r="C637" s="703"/>
      <c r="D637" s="703"/>
      <c r="E637" s="703"/>
      <c r="F637" s="703"/>
      <c r="G637" s="703"/>
      <c r="H637" s="703"/>
      <c r="I637" s="703"/>
      <c r="J637" s="703"/>
      <c r="K637" s="703"/>
      <c r="L637" s="703"/>
      <c r="M637" s="703"/>
      <c r="N637" s="703"/>
      <c r="O637" s="703"/>
      <c r="P637" s="703"/>
      <c r="Q637" s="703"/>
      <c r="R637" s="703"/>
      <c r="S637" s="703"/>
      <c r="T637" s="703"/>
      <c r="U637" s="703"/>
      <c r="V637" s="703"/>
      <c r="W637" s="703"/>
      <c r="X637" s="703"/>
      <c r="Y637" s="703"/>
      <c r="Z637" s="703"/>
    </row>
    <row r="638">
      <c r="A638" s="703"/>
      <c r="B638" s="703"/>
      <c r="C638" s="703"/>
      <c r="D638" s="703"/>
      <c r="E638" s="703"/>
      <c r="F638" s="703"/>
      <c r="G638" s="703"/>
      <c r="H638" s="703"/>
      <c r="I638" s="703"/>
      <c r="J638" s="703"/>
      <c r="K638" s="703"/>
      <c r="L638" s="703"/>
      <c r="M638" s="703"/>
      <c r="N638" s="703"/>
      <c r="O638" s="703"/>
      <c r="P638" s="703"/>
      <c r="Q638" s="703"/>
      <c r="R638" s="703"/>
      <c r="S638" s="703"/>
      <c r="T638" s="703"/>
      <c r="U638" s="703"/>
      <c r="V638" s="703"/>
      <c r="W638" s="703"/>
      <c r="X638" s="703"/>
      <c r="Y638" s="703"/>
      <c r="Z638" s="703"/>
    </row>
    <row r="639">
      <c r="A639" s="703"/>
      <c r="B639" s="703"/>
      <c r="C639" s="703"/>
      <c r="D639" s="703"/>
      <c r="E639" s="703"/>
      <c r="F639" s="703"/>
      <c r="G639" s="703"/>
      <c r="H639" s="703"/>
      <c r="I639" s="703"/>
      <c r="J639" s="703"/>
      <c r="K639" s="703"/>
      <c r="L639" s="703"/>
      <c r="M639" s="703"/>
      <c r="N639" s="703"/>
      <c r="O639" s="703"/>
      <c r="P639" s="703"/>
      <c r="Q639" s="703"/>
      <c r="R639" s="703"/>
      <c r="S639" s="703"/>
      <c r="T639" s="703"/>
      <c r="U639" s="703"/>
      <c r="V639" s="703"/>
      <c r="W639" s="703"/>
      <c r="X639" s="703"/>
      <c r="Y639" s="703"/>
      <c r="Z639" s="703"/>
    </row>
    <row r="640">
      <c r="A640" s="703"/>
      <c r="B640" s="703"/>
      <c r="C640" s="703"/>
      <c r="D640" s="703"/>
      <c r="E640" s="703"/>
      <c r="F640" s="703"/>
      <c r="G640" s="703"/>
      <c r="H640" s="703"/>
      <c r="I640" s="703"/>
      <c r="J640" s="703"/>
      <c r="K640" s="703"/>
      <c r="L640" s="703"/>
      <c r="M640" s="703"/>
      <c r="N640" s="703"/>
      <c r="O640" s="703"/>
      <c r="P640" s="703"/>
      <c r="Q640" s="703"/>
      <c r="R640" s="703"/>
      <c r="S640" s="703"/>
      <c r="T640" s="703"/>
      <c r="U640" s="703"/>
      <c r="V640" s="703"/>
      <c r="W640" s="703"/>
      <c r="X640" s="703"/>
      <c r="Y640" s="703"/>
      <c r="Z640" s="703"/>
    </row>
    <row r="641">
      <c r="A641" s="703"/>
      <c r="B641" s="703"/>
      <c r="C641" s="703"/>
      <c r="D641" s="703"/>
      <c r="E641" s="703"/>
      <c r="F641" s="703"/>
      <c r="G641" s="703"/>
      <c r="H641" s="703"/>
      <c r="I641" s="703"/>
      <c r="J641" s="703"/>
      <c r="K641" s="703"/>
      <c r="L641" s="703"/>
      <c r="M641" s="703"/>
      <c r="N641" s="703"/>
      <c r="O641" s="703"/>
      <c r="P641" s="703"/>
      <c r="Q641" s="703"/>
      <c r="R641" s="703"/>
      <c r="S641" s="703"/>
      <c r="T641" s="703"/>
      <c r="U641" s="703"/>
      <c r="V641" s="703"/>
      <c r="W641" s="703"/>
      <c r="X641" s="703"/>
      <c r="Y641" s="703"/>
      <c r="Z641" s="703"/>
    </row>
    <row r="642">
      <c r="A642" s="703"/>
      <c r="B642" s="703"/>
      <c r="C642" s="703"/>
      <c r="D642" s="703"/>
      <c r="E642" s="703"/>
      <c r="F642" s="703"/>
      <c r="G642" s="703"/>
      <c r="H642" s="703"/>
      <c r="I642" s="703"/>
      <c r="J642" s="703"/>
      <c r="K642" s="703"/>
      <c r="L642" s="703"/>
      <c r="M642" s="703"/>
      <c r="N642" s="703"/>
      <c r="O642" s="703"/>
      <c r="P642" s="703"/>
      <c r="Q642" s="703"/>
      <c r="R642" s="703"/>
      <c r="S642" s="703"/>
      <c r="T642" s="703"/>
      <c r="U642" s="703"/>
      <c r="V642" s="703"/>
      <c r="W642" s="703"/>
      <c r="X642" s="703"/>
      <c r="Y642" s="703"/>
      <c r="Z642" s="703"/>
    </row>
    <row r="643">
      <c r="A643" s="703"/>
      <c r="B643" s="703"/>
      <c r="C643" s="703"/>
      <c r="D643" s="703"/>
      <c r="E643" s="703"/>
      <c r="F643" s="703"/>
      <c r="G643" s="703"/>
      <c r="H643" s="703"/>
      <c r="I643" s="703"/>
      <c r="J643" s="703"/>
      <c r="K643" s="703"/>
      <c r="L643" s="703"/>
      <c r="M643" s="703"/>
      <c r="N643" s="703"/>
      <c r="O643" s="703"/>
      <c r="P643" s="703"/>
      <c r="Q643" s="703"/>
      <c r="R643" s="703"/>
      <c r="S643" s="703"/>
      <c r="T643" s="703"/>
      <c r="U643" s="703"/>
      <c r="V643" s="703"/>
      <c r="W643" s="703"/>
      <c r="X643" s="703"/>
      <c r="Y643" s="703"/>
      <c r="Z643" s="703"/>
    </row>
    <row r="644">
      <c r="A644" s="703"/>
      <c r="B644" s="703"/>
      <c r="C644" s="703"/>
      <c r="D644" s="703"/>
      <c r="E644" s="703"/>
      <c r="F644" s="703"/>
      <c r="G644" s="703"/>
      <c r="H644" s="703"/>
      <c r="I644" s="703"/>
      <c r="J644" s="703"/>
      <c r="K644" s="703"/>
      <c r="L644" s="703"/>
      <c r="M644" s="703"/>
      <c r="N644" s="703"/>
      <c r="O644" s="703"/>
      <c r="P644" s="703"/>
      <c r="Q644" s="703"/>
      <c r="R644" s="703"/>
      <c r="S644" s="703"/>
      <c r="T644" s="703"/>
      <c r="U644" s="703"/>
      <c r="V644" s="703"/>
      <c r="W644" s="703"/>
      <c r="X644" s="703"/>
      <c r="Y644" s="703"/>
      <c r="Z644" s="703"/>
    </row>
    <row r="645">
      <c r="A645" s="703"/>
      <c r="B645" s="703"/>
      <c r="C645" s="703"/>
      <c r="D645" s="703"/>
      <c r="E645" s="703"/>
      <c r="F645" s="703"/>
      <c r="G645" s="703"/>
      <c r="H645" s="703"/>
      <c r="I645" s="703"/>
      <c r="J645" s="703"/>
      <c r="K645" s="703"/>
      <c r="L645" s="703"/>
      <c r="M645" s="703"/>
      <c r="N645" s="703"/>
      <c r="O645" s="703"/>
      <c r="P645" s="703"/>
      <c r="Q645" s="703"/>
      <c r="R645" s="703"/>
      <c r="S645" s="703"/>
      <c r="T645" s="703"/>
      <c r="U645" s="703"/>
      <c r="V645" s="703"/>
      <c r="W645" s="703"/>
      <c r="X645" s="703"/>
      <c r="Y645" s="703"/>
      <c r="Z645" s="703"/>
    </row>
    <row r="646">
      <c r="A646" s="703"/>
      <c r="B646" s="703"/>
      <c r="C646" s="703"/>
      <c r="D646" s="703"/>
      <c r="E646" s="703"/>
      <c r="F646" s="703"/>
      <c r="G646" s="703"/>
      <c r="H646" s="703"/>
      <c r="I646" s="703"/>
      <c r="J646" s="703"/>
      <c r="K646" s="703"/>
      <c r="L646" s="703"/>
      <c r="M646" s="703"/>
      <c r="N646" s="703"/>
      <c r="O646" s="703"/>
      <c r="P646" s="703"/>
      <c r="Q646" s="703"/>
      <c r="R646" s="703"/>
      <c r="S646" s="703"/>
      <c r="T646" s="703"/>
      <c r="U646" s="703"/>
      <c r="V646" s="703"/>
      <c r="W646" s="703"/>
      <c r="X646" s="703"/>
      <c r="Y646" s="703"/>
      <c r="Z646" s="703"/>
    </row>
    <row r="647">
      <c r="A647" s="703"/>
      <c r="B647" s="703"/>
      <c r="C647" s="703"/>
      <c r="D647" s="703"/>
      <c r="E647" s="703"/>
      <c r="F647" s="703"/>
      <c r="G647" s="703"/>
      <c r="H647" s="703"/>
      <c r="I647" s="703"/>
      <c r="J647" s="703"/>
      <c r="K647" s="703"/>
      <c r="L647" s="703"/>
      <c r="M647" s="703"/>
      <c r="N647" s="703"/>
      <c r="O647" s="703"/>
      <c r="P647" s="703"/>
      <c r="Q647" s="703"/>
      <c r="R647" s="703"/>
      <c r="S647" s="703"/>
      <c r="T647" s="703"/>
      <c r="U647" s="703"/>
      <c r="V647" s="703"/>
      <c r="W647" s="703"/>
      <c r="X647" s="703"/>
      <c r="Y647" s="703"/>
      <c r="Z647" s="703"/>
    </row>
    <row r="648">
      <c r="A648" s="703"/>
      <c r="B648" s="703"/>
      <c r="C648" s="703"/>
      <c r="D648" s="703"/>
      <c r="E648" s="703"/>
      <c r="F648" s="703"/>
      <c r="G648" s="703"/>
      <c r="H648" s="703"/>
      <c r="I648" s="703"/>
      <c r="J648" s="703"/>
      <c r="K648" s="703"/>
      <c r="L648" s="703"/>
      <c r="M648" s="703"/>
      <c r="N648" s="703"/>
      <c r="O648" s="703"/>
      <c r="P648" s="703"/>
      <c r="Q648" s="703"/>
      <c r="R648" s="703"/>
      <c r="S648" s="703"/>
      <c r="T648" s="703"/>
      <c r="U648" s="703"/>
      <c r="V648" s="703"/>
      <c r="W648" s="703"/>
      <c r="X648" s="703"/>
      <c r="Y648" s="703"/>
      <c r="Z648" s="703"/>
    </row>
    <row r="649">
      <c r="A649" s="703"/>
      <c r="B649" s="703"/>
      <c r="C649" s="703"/>
      <c r="D649" s="703"/>
      <c r="E649" s="703"/>
      <c r="F649" s="703"/>
      <c r="G649" s="703"/>
      <c r="H649" s="703"/>
      <c r="I649" s="703"/>
      <c r="J649" s="703"/>
      <c r="K649" s="703"/>
      <c r="L649" s="703"/>
      <c r="M649" s="703"/>
      <c r="N649" s="703"/>
      <c r="O649" s="703"/>
      <c r="P649" s="703"/>
      <c r="Q649" s="703"/>
      <c r="R649" s="703"/>
      <c r="S649" s="703"/>
      <c r="T649" s="703"/>
      <c r="U649" s="703"/>
      <c r="V649" s="703"/>
      <c r="W649" s="703"/>
      <c r="X649" s="703"/>
      <c r="Y649" s="703"/>
      <c r="Z649" s="703"/>
    </row>
    <row r="650">
      <c r="A650" s="703"/>
      <c r="B650" s="703"/>
      <c r="C650" s="703"/>
      <c r="D650" s="703"/>
      <c r="E650" s="703"/>
      <c r="F650" s="703"/>
      <c r="G650" s="703"/>
      <c r="H650" s="703"/>
      <c r="I650" s="703"/>
      <c r="J650" s="703"/>
      <c r="K650" s="703"/>
      <c r="L650" s="703"/>
      <c r="M650" s="703"/>
      <c r="N650" s="703"/>
      <c r="O650" s="703"/>
      <c r="P650" s="703"/>
      <c r="Q650" s="703"/>
      <c r="R650" s="703"/>
      <c r="S650" s="703"/>
      <c r="T650" s="703"/>
      <c r="U650" s="703"/>
      <c r="V650" s="703"/>
      <c r="W650" s="703"/>
      <c r="X650" s="703"/>
      <c r="Y650" s="703"/>
      <c r="Z650" s="703"/>
    </row>
    <row r="651">
      <c r="A651" s="703"/>
      <c r="B651" s="703"/>
      <c r="C651" s="703"/>
      <c r="D651" s="703"/>
      <c r="E651" s="703"/>
      <c r="F651" s="703"/>
      <c r="G651" s="703"/>
      <c r="H651" s="703"/>
      <c r="I651" s="703"/>
      <c r="J651" s="703"/>
      <c r="K651" s="703"/>
      <c r="L651" s="703"/>
      <c r="M651" s="703"/>
      <c r="N651" s="703"/>
      <c r="O651" s="703"/>
      <c r="P651" s="703"/>
      <c r="Q651" s="703"/>
      <c r="R651" s="703"/>
      <c r="S651" s="703"/>
      <c r="T651" s="703"/>
      <c r="U651" s="703"/>
      <c r="V651" s="703"/>
      <c r="W651" s="703"/>
      <c r="X651" s="703"/>
      <c r="Y651" s="703"/>
      <c r="Z651" s="703"/>
    </row>
    <row r="652">
      <c r="A652" s="703"/>
      <c r="B652" s="703"/>
      <c r="C652" s="703"/>
      <c r="D652" s="703"/>
      <c r="E652" s="703"/>
      <c r="F652" s="703"/>
      <c r="G652" s="703"/>
      <c r="H652" s="703"/>
      <c r="I652" s="703"/>
      <c r="J652" s="703"/>
      <c r="K652" s="703"/>
      <c r="L652" s="703"/>
      <c r="M652" s="703"/>
      <c r="N652" s="703"/>
      <c r="O652" s="703"/>
      <c r="P652" s="703"/>
      <c r="Q652" s="703"/>
      <c r="R652" s="703"/>
      <c r="S652" s="703"/>
      <c r="T652" s="703"/>
      <c r="U652" s="703"/>
      <c r="V652" s="703"/>
      <c r="W652" s="703"/>
      <c r="X652" s="703"/>
      <c r="Y652" s="703"/>
      <c r="Z652" s="703"/>
    </row>
    <row r="653">
      <c r="A653" s="703"/>
      <c r="B653" s="703"/>
      <c r="C653" s="703"/>
      <c r="D653" s="703"/>
      <c r="E653" s="703"/>
      <c r="F653" s="703"/>
      <c r="G653" s="703"/>
      <c r="H653" s="703"/>
      <c r="I653" s="703"/>
      <c r="J653" s="703"/>
      <c r="K653" s="703"/>
      <c r="L653" s="703"/>
      <c r="M653" s="703"/>
      <c r="N653" s="703"/>
      <c r="O653" s="703"/>
      <c r="P653" s="703"/>
      <c r="Q653" s="703"/>
      <c r="R653" s="703"/>
      <c r="S653" s="703"/>
      <c r="T653" s="703"/>
      <c r="U653" s="703"/>
      <c r="V653" s="703"/>
      <c r="W653" s="703"/>
      <c r="X653" s="703"/>
      <c r="Y653" s="703"/>
      <c r="Z653" s="703"/>
    </row>
    <row r="654">
      <c r="A654" s="703"/>
      <c r="B654" s="703"/>
      <c r="C654" s="703"/>
      <c r="D654" s="703"/>
      <c r="E654" s="703"/>
      <c r="F654" s="703"/>
      <c r="G654" s="703"/>
      <c r="H654" s="703"/>
      <c r="I654" s="703"/>
      <c r="J654" s="703"/>
      <c r="K654" s="703"/>
      <c r="L654" s="703"/>
      <c r="M654" s="703"/>
      <c r="N654" s="703"/>
      <c r="O654" s="703"/>
      <c r="P654" s="703"/>
      <c r="Q654" s="703"/>
      <c r="R654" s="703"/>
      <c r="S654" s="703"/>
      <c r="T654" s="703"/>
      <c r="U654" s="703"/>
      <c r="V654" s="703"/>
      <c r="W654" s="703"/>
      <c r="X654" s="703"/>
      <c r="Y654" s="703"/>
      <c r="Z654" s="703"/>
    </row>
    <row r="655">
      <c r="A655" s="703"/>
      <c r="B655" s="703"/>
      <c r="C655" s="703"/>
      <c r="D655" s="703"/>
      <c r="E655" s="703"/>
      <c r="F655" s="703"/>
      <c r="G655" s="703"/>
      <c r="H655" s="703"/>
      <c r="I655" s="703"/>
      <c r="J655" s="703"/>
      <c r="K655" s="703"/>
      <c r="L655" s="703"/>
      <c r="M655" s="703"/>
      <c r="N655" s="703"/>
      <c r="O655" s="703"/>
      <c r="P655" s="703"/>
      <c r="Q655" s="703"/>
      <c r="R655" s="703"/>
      <c r="S655" s="703"/>
      <c r="T655" s="703"/>
      <c r="U655" s="703"/>
      <c r="V655" s="703"/>
      <c r="W655" s="703"/>
      <c r="X655" s="703"/>
      <c r="Y655" s="703"/>
      <c r="Z655" s="703"/>
    </row>
    <row r="656">
      <c r="A656" s="703"/>
      <c r="B656" s="703"/>
      <c r="C656" s="703"/>
      <c r="D656" s="703"/>
      <c r="E656" s="703"/>
      <c r="F656" s="703"/>
      <c r="G656" s="703"/>
      <c r="H656" s="703"/>
      <c r="I656" s="703"/>
      <c r="J656" s="703"/>
      <c r="K656" s="703"/>
      <c r="L656" s="703"/>
      <c r="M656" s="703"/>
      <c r="N656" s="703"/>
      <c r="O656" s="703"/>
      <c r="P656" s="703"/>
      <c r="Q656" s="703"/>
      <c r="R656" s="703"/>
      <c r="S656" s="703"/>
      <c r="T656" s="703"/>
      <c r="U656" s="703"/>
      <c r="V656" s="703"/>
      <c r="W656" s="703"/>
      <c r="X656" s="703"/>
      <c r="Y656" s="703"/>
      <c r="Z656" s="703"/>
    </row>
    <row r="657">
      <c r="A657" s="703"/>
      <c r="B657" s="703"/>
      <c r="C657" s="703"/>
      <c r="D657" s="703"/>
      <c r="E657" s="703"/>
      <c r="F657" s="703"/>
      <c r="G657" s="703"/>
      <c r="H657" s="703"/>
      <c r="I657" s="703"/>
      <c r="J657" s="703"/>
      <c r="K657" s="703"/>
      <c r="L657" s="703"/>
      <c r="M657" s="703"/>
      <c r="N657" s="703"/>
      <c r="O657" s="703"/>
      <c r="P657" s="703"/>
      <c r="Q657" s="703"/>
      <c r="R657" s="703"/>
      <c r="S657" s="703"/>
      <c r="T657" s="703"/>
      <c r="U657" s="703"/>
      <c r="V657" s="703"/>
      <c r="W657" s="703"/>
      <c r="X657" s="703"/>
      <c r="Y657" s="703"/>
      <c r="Z657" s="703"/>
    </row>
    <row r="658">
      <c r="A658" s="703"/>
      <c r="B658" s="703"/>
      <c r="C658" s="703"/>
      <c r="D658" s="703"/>
      <c r="E658" s="703"/>
      <c r="F658" s="703"/>
      <c r="G658" s="703"/>
      <c r="H658" s="703"/>
      <c r="I658" s="703"/>
      <c r="J658" s="703"/>
      <c r="K658" s="703"/>
      <c r="L658" s="703"/>
      <c r="M658" s="703"/>
      <c r="N658" s="703"/>
      <c r="O658" s="703"/>
      <c r="P658" s="703"/>
      <c r="Q658" s="703"/>
      <c r="R658" s="703"/>
      <c r="S658" s="703"/>
      <c r="T658" s="703"/>
      <c r="U658" s="703"/>
      <c r="V658" s="703"/>
      <c r="W658" s="703"/>
      <c r="X658" s="703"/>
      <c r="Y658" s="703"/>
      <c r="Z658" s="703"/>
    </row>
    <row r="659">
      <c r="A659" s="703"/>
      <c r="B659" s="703"/>
      <c r="C659" s="703"/>
      <c r="D659" s="703"/>
      <c r="E659" s="703"/>
      <c r="F659" s="703"/>
      <c r="G659" s="703"/>
      <c r="H659" s="703"/>
      <c r="I659" s="703"/>
      <c r="J659" s="703"/>
      <c r="K659" s="703"/>
      <c r="L659" s="703"/>
      <c r="M659" s="703"/>
      <c r="N659" s="703"/>
      <c r="O659" s="703"/>
      <c r="P659" s="703"/>
      <c r="Q659" s="703"/>
      <c r="R659" s="703"/>
      <c r="S659" s="703"/>
      <c r="T659" s="703"/>
      <c r="U659" s="703"/>
      <c r="V659" s="703"/>
      <c r="W659" s="703"/>
      <c r="X659" s="703"/>
      <c r="Y659" s="703"/>
      <c r="Z659" s="703"/>
    </row>
    <row r="660">
      <c r="A660" s="703"/>
      <c r="B660" s="703"/>
      <c r="C660" s="703"/>
      <c r="D660" s="703"/>
      <c r="E660" s="703"/>
      <c r="F660" s="703"/>
      <c r="G660" s="703"/>
      <c r="H660" s="703"/>
      <c r="I660" s="703"/>
      <c r="J660" s="703"/>
      <c r="K660" s="703"/>
      <c r="L660" s="703"/>
      <c r="M660" s="703"/>
      <c r="N660" s="703"/>
      <c r="O660" s="703"/>
      <c r="P660" s="703"/>
      <c r="Q660" s="703"/>
      <c r="R660" s="703"/>
      <c r="S660" s="703"/>
      <c r="T660" s="703"/>
      <c r="U660" s="703"/>
      <c r="V660" s="703"/>
      <c r="W660" s="703"/>
      <c r="X660" s="703"/>
      <c r="Y660" s="703"/>
      <c r="Z660" s="703"/>
    </row>
    <row r="661">
      <c r="A661" s="703"/>
      <c r="B661" s="703"/>
      <c r="C661" s="703"/>
      <c r="D661" s="703"/>
      <c r="E661" s="703"/>
      <c r="F661" s="703"/>
      <c r="G661" s="703"/>
      <c r="H661" s="703"/>
      <c r="I661" s="703"/>
      <c r="J661" s="703"/>
      <c r="K661" s="703"/>
      <c r="L661" s="703"/>
      <c r="M661" s="703"/>
      <c r="N661" s="703"/>
      <c r="O661" s="703"/>
      <c r="P661" s="703"/>
      <c r="Q661" s="703"/>
      <c r="R661" s="703"/>
      <c r="S661" s="703"/>
      <c r="T661" s="703"/>
      <c r="U661" s="703"/>
      <c r="V661" s="703"/>
      <c r="W661" s="703"/>
      <c r="X661" s="703"/>
      <c r="Y661" s="703"/>
      <c r="Z661" s="703"/>
    </row>
    <row r="662">
      <c r="A662" s="703"/>
      <c r="B662" s="703"/>
      <c r="C662" s="703"/>
      <c r="D662" s="703"/>
      <c r="E662" s="703"/>
      <c r="F662" s="703"/>
      <c r="G662" s="703"/>
      <c r="H662" s="703"/>
      <c r="I662" s="703"/>
      <c r="J662" s="703"/>
      <c r="K662" s="703"/>
      <c r="L662" s="703"/>
      <c r="M662" s="703"/>
      <c r="N662" s="703"/>
      <c r="O662" s="703"/>
      <c r="P662" s="703"/>
      <c r="Q662" s="703"/>
      <c r="R662" s="703"/>
      <c r="S662" s="703"/>
      <c r="T662" s="703"/>
      <c r="U662" s="703"/>
      <c r="V662" s="703"/>
      <c r="W662" s="703"/>
      <c r="X662" s="703"/>
      <c r="Y662" s="703"/>
      <c r="Z662" s="703"/>
    </row>
    <row r="663">
      <c r="A663" s="703"/>
      <c r="B663" s="703"/>
      <c r="C663" s="703"/>
      <c r="D663" s="703"/>
      <c r="E663" s="703"/>
      <c r="F663" s="703"/>
      <c r="G663" s="703"/>
      <c r="H663" s="703"/>
      <c r="I663" s="703"/>
      <c r="J663" s="703"/>
      <c r="K663" s="703"/>
      <c r="L663" s="703"/>
      <c r="M663" s="703"/>
      <c r="N663" s="703"/>
      <c r="O663" s="703"/>
      <c r="P663" s="703"/>
      <c r="Q663" s="703"/>
      <c r="R663" s="703"/>
      <c r="S663" s="703"/>
      <c r="T663" s="703"/>
      <c r="U663" s="703"/>
      <c r="V663" s="703"/>
      <c r="W663" s="703"/>
      <c r="X663" s="703"/>
      <c r="Y663" s="703"/>
      <c r="Z663" s="703"/>
    </row>
    <row r="664">
      <c r="A664" s="703"/>
      <c r="B664" s="703"/>
      <c r="C664" s="703"/>
      <c r="D664" s="703"/>
      <c r="E664" s="703"/>
      <c r="F664" s="703"/>
      <c r="G664" s="703"/>
      <c r="H664" s="703"/>
      <c r="I664" s="703"/>
      <c r="J664" s="703"/>
      <c r="K664" s="703"/>
      <c r="L664" s="703"/>
      <c r="M664" s="703"/>
      <c r="N664" s="703"/>
      <c r="O664" s="703"/>
      <c r="P664" s="703"/>
      <c r="Q664" s="703"/>
      <c r="R664" s="703"/>
      <c r="S664" s="703"/>
      <c r="T664" s="703"/>
      <c r="U664" s="703"/>
      <c r="V664" s="703"/>
      <c r="W664" s="703"/>
      <c r="X664" s="703"/>
      <c r="Y664" s="703"/>
      <c r="Z664" s="703"/>
    </row>
    <row r="665">
      <c r="A665" s="703"/>
      <c r="B665" s="703"/>
      <c r="C665" s="703"/>
      <c r="D665" s="703"/>
      <c r="E665" s="703"/>
      <c r="F665" s="703"/>
      <c r="G665" s="703"/>
      <c r="H665" s="703"/>
      <c r="I665" s="703"/>
      <c r="J665" s="703"/>
      <c r="K665" s="703"/>
      <c r="L665" s="703"/>
      <c r="M665" s="703"/>
      <c r="N665" s="703"/>
      <c r="O665" s="703"/>
      <c r="P665" s="703"/>
      <c r="Q665" s="703"/>
      <c r="R665" s="703"/>
      <c r="S665" s="703"/>
      <c r="T665" s="703"/>
      <c r="U665" s="703"/>
      <c r="V665" s="703"/>
      <c r="W665" s="703"/>
      <c r="X665" s="703"/>
      <c r="Y665" s="703"/>
      <c r="Z665" s="703"/>
    </row>
    <row r="666">
      <c r="A666" s="703"/>
      <c r="B666" s="703"/>
      <c r="C666" s="703"/>
      <c r="D666" s="703"/>
      <c r="E666" s="703"/>
      <c r="F666" s="703"/>
      <c r="G666" s="703"/>
      <c r="H666" s="703"/>
      <c r="I666" s="703"/>
      <c r="J666" s="703"/>
      <c r="K666" s="703"/>
      <c r="L666" s="703"/>
      <c r="M666" s="703"/>
      <c r="N666" s="703"/>
      <c r="O666" s="703"/>
      <c r="P666" s="703"/>
      <c r="Q666" s="703"/>
      <c r="R666" s="703"/>
      <c r="S666" s="703"/>
      <c r="T666" s="703"/>
      <c r="U666" s="703"/>
      <c r="V666" s="703"/>
      <c r="W666" s="703"/>
      <c r="X666" s="703"/>
      <c r="Y666" s="703"/>
      <c r="Z666" s="703"/>
    </row>
    <row r="667">
      <c r="A667" s="703"/>
      <c r="B667" s="703"/>
      <c r="C667" s="703"/>
      <c r="D667" s="703"/>
      <c r="E667" s="703"/>
      <c r="F667" s="703"/>
      <c r="G667" s="703"/>
      <c r="H667" s="703"/>
      <c r="I667" s="703"/>
      <c r="J667" s="703"/>
      <c r="K667" s="703"/>
      <c r="L667" s="703"/>
      <c r="M667" s="703"/>
      <c r="N667" s="703"/>
      <c r="O667" s="703"/>
      <c r="P667" s="703"/>
      <c r="Q667" s="703"/>
      <c r="R667" s="703"/>
      <c r="S667" s="703"/>
      <c r="T667" s="703"/>
      <c r="U667" s="703"/>
      <c r="V667" s="703"/>
      <c r="W667" s="703"/>
      <c r="X667" s="703"/>
      <c r="Y667" s="703"/>
      <c r="Z667" s="703"/>
    </row>
    <row r="668">
      <c r="A668" s="703"/>
      <c r="B668" s="703"/>
      <c r="C668" s="703"/>
      <c r="D668" s="703"/>
      <c r="E668" s="703"/>
      <c r="F668" s="703"/>
      <c r="G668" s="703"/>
      <c r="H668" s="703"/>
      <c r="I668" s="703"/>
      <c r="J668" s="703"/>
      <c r="K668" s="703"/>
      <c r="L668" s="703"/>
      <c r="M668" s="703"/>
      <c r="N668" s="703"/>
      <c r="O668" s="703"/>
      <c r="P668" s="703"/>
      <c r="Q668" s="703"/>
      <c r="R668" s="703"/>
      <c r="S668" s="703"/>
      <c r="T668" s="703"/>
      <c r="U668" s="703"/>
      <c r="V668" s="703"/>
      <c r="W668" s="703"/>
      <c r="X668" s="703"/>
      <c r="Y668" s="703"/>
      <c r="Z668" s="703"/>
    </row>
    <row r="669">
      <c r="A669" s="703"/>
      <c r="B669" s="703"/>
      <c r="C669" s="703"/>
      <c r="D669" s="703"/>
      <c r="E669" s="703"/>
      <c r="F669" s="703"/>
      <c r="G669" s="703"/>
      <c r="H669" s="703"/>
      <c r="I669" s="703"/>
      <c r="J669" s="703"/>
      <c r="K669" s="703"/>
      <c r="L669" s="703"/>
      <c r="M669" s="703"/>
      <c r="N669" s="703"/>
      <c r="O669" s="703"/>
      <c r="P669" s="703"/>
      <c r="Q669" s="703"/>
      <c r="R669" s="703"/>
      <c r="S669" s="703"/>
      <c r="T669" s="703"/>
      <c r="U669" s="703"/>
      <c r="V669" s="703"/>
      <c r="W669" s="703"/>
      <c r="X669" s="703"/>
      <c r="Y669" s="703"/>
      <c r="Z669" s="703"/>
    </row>
    <row r="670">
      <c r="A670" s="703"/>
      <c r="B670" s="703"/>
      <c r="C670" s="703"/>
      <c r="D670" s="703"/>
      <c r="E670" s="703"/>
      <c r="F670" s="703"/>
      <c r="G670" s="703"/>
      <c r="H670" s="703"/>
      <c r="I670" s="703"/>
      <c r="J670" s="703"/>
      <c r="K670" s="703"/>
      <c r="L670" s="703"/>
      <c r="M670" s="703"/>
      <c r="N670" s="703"/>
      <c r="O670" s="703"/>
      <c r="P670" s="703"/>
      <c r="Q670" s="703"/>
      <c r="R670" s="703"/>
      <c r="S670" s="703"/>
      <c r="T670" s="703"/>
      <c r="U670" s="703"/>
      <c r="V670" s="703"/>
      <c r="W670" s="703"/>
      <c r="X670" s="703"/>
      <c r="Y670" s="703"/>
      <c r="Z670" s="703"/>
    </row>
    <row r="671">
      <c r="A671" s="703"/>
      <c r="B671" s="703"/>
      <c r="C671" s="703"/>
      <c r="D671" s="703"/>
      <c r="E671" s="703"/>
      <c r="F671" s="703"/>
      <c r="G671" s="703"/>
      <c r="H671" s="703"/>
      <c r="I671" s="703"/>
      <c r="J671" s="703"/>
      <c r="K671" s="703"/>
      <c r="L671" s="703"/>
      <c r="M671" s="703"/>
      <c r="N671" s="703"/>
      <c r="O671" s="703"/>
      <c r="P671" s="703"/>
      <c r="Q671" s="703"/>
      <c r="R671" s="703"/>
      <c r="S671" s="703"/>
      <c r="T671" s="703"/>
      <c r="U671" s="703"/>
      <c r="V671" s="703"/>
      <c r="W671" s="703"/>
      <c r="X671" s="703"/>
      <c r="Y671" s="703"/>
      <c r="Z671" s="703"/>
    </row>
    <row r="672">
      <c r="A672" s="703"/>
      <c r="B672" s="703"/>
      <c r="C672" s="703"/>
      <c r="D672" s="703"/>
      <c r="E672" s="703"/>
      <c r="F672" s="703"/>
      <c r="G672" s="703"/>
      <c r="H672" s="703"/>
      <c r="I672" s="703"/>
      <c r="J672" s="703"/>
      <c r="K672" s="703"/>
      <c r="L672" s="703"/>
      <c r="M672" s="703"/>
      <c r="N672" s="703"/>
      <c r="O672" s="703"/>
      <c r="P672" s="703"/>
      <c r="Q672" s="703"/>
      <c r="R672" s="703"/>
      <c r="S672" s="703"/>
      <c r="T672" s="703"/>
      <c r="U672" s="703"/>
      <c r="V672" s="703"/>
      <c r="W672" s="703"/>
      <c r="X672" s="703"/>
      <c r="Y672" s="703"/>
      <c r="Z672" s="703"/>
    </row>
    <row r="673">
      <c r="A673" s="703"/>
      <c r="B673" s="703"/>
      <c r="C673" s="703"/>
      <c r="D673" s="703"/>
      <c r="E673" s="703"/>
      <c r="F673" s="703"/>
      <c r="G673" s="703"/>
      <c r="H673" s="703"/>
      <c r="I673" s="703"/>
      <c r="J673" s="703"/>
      <c r="K673" s="703"/>
      <c r="L673" s="703"/>
      <c r="M673" s="703"/>
      <c r="N673" s="703"/>
      <c r="O673" s="703"/>
      <c r="P673" s="703"/>
      <c r="Q673" s="703"/>
      <c r="R673" s="703"/>
      <c r="S673" s="703"/>
      <c r="T673" s="703"/>
      <c r="U673" s="703"/>
      <c r="V673" s="703"/>
      <c r="W673" s="703"/>
      <c r="X673" s="703"/>
      <c r="Y673" s="703"/>
      <c r="Z673" s="703"/>
    </row>
    <row r="674">
      <c r="A674" s="703"/>
      <c r="B674" s="703"/>
      <c r="C674" s="703"/>
      <c r="D674" s="703"/>
      <c r="E674" s="703"/>
      <c r="F674" s="703"/>
      <c r="G674" s="703"/>
      <c r="H674" s="703"/>
      <c r="I674" s="703"/>
      <c r="J674" s="703"/>
      <c r="K674" s="703"/>
      <c r="L674" s="703"/>
      <c r="M674" s="703"/>
      <c r="N674" s="703"/>
      <c r="O674" s="703"/>
      <c r="P674" s="703"/>
      <c r="Q674" s="703"/>
      <c r="R674" s="703"/>
      <c r="S674" s="703"/>
      <c r="T674" s="703"/>
      <c r="U674" s="703"/>
      <c r="V674" s="703"/>
      <c r="W674" s="703"/>
      <c r="X674" s="703"/>
      <c r="Y674" s="703"/>
      <c r="Z674" s="703"/>
    </row>
    <row r="675">
      <c r="A675" s="703"/>
      <c r="B675" s="703"/>
      <c r="C675" s="703"/>
      <c r="D675" s="703"/>
      <c r="E675" s="703"/>
      <c r="F675" s="703"/>
      <c r="G675" s="703"/>
      <c r="H675" s="703"/>
      <c r="I675" s="703"/>
      <c r="J675" s="703"/>
      <c r="K675" s="703"/>
      <c r="L675" s="703"/>
      <c r="M675" s="703"/>
      <c r="N675" s="703"/>
      <c r="O675" s="703"/>
      <c r="P675" s="703"/>
      <c r="Q675" s="703"/>
      <c r="R675" s="703"/>
      <c r="S675" s="703"/>
      <c r="T675" s="703"/>
      <c r="U675" s="703"/>
      <c r="V675" s="703"/>
      <c r="W675" s="703"/>
      <c r="X675" s="703"/>
      <c r="Y675" s="703"/>
      <c r="Z675" s="703"/>
    </row>
    <row r="676">
      <c r="A676" s="703"/>
      <c r="B676" s="703"/>
      <c r="C676" s="703"/>
      <c r="D676" s="703"/>
      <c r="E676" s="703"/>
      <c r="F676" s="703"/>
      <c r="G676" s="703"/>
      <c r="H676" s="703"/>
      <c r="I676" s="703"/>
      <c r="J676" s="703"/>
      <c r="K676" s="703"/>
      <c r="L676" s="703"/>
      <c r="M676" s="703"/>
      <c r="N676" s="703"/>
      <c r="O676" s="703"/>
      <c r="P676" s="703"/>
      <c r="Q676" s="703"/>
      <c r="R676" s="703"/>
      <c r="S676" s="703"/>
      <c r="T676" s="703"/>
      <c r="U676" s="703"/>
      <c r="V676" s="703"/>
      <c r="W676" s="703"/>
      <c r="X676" s="703"/>
      <c r="Y676" s="703"/>
      <c r="Z676" s="703"/>
    </row>
    <row r="677">
      <c r="A677" s="703"/>
      <c r="B677" s="703"/>
      <c r="C677" s="703"/>
      <c r="D677" s="703"/>
      <c r="E677" s="703"/>
      <c r="F677" s="703"/>
      <c r="G677" s="703"/>
      <c r="H677" s="703"/>
      <c r="I677" s="703"/>
      <c r="J677" s="703"/>
      <c r="K677" s="703"/>
      <c r="L677" s="703"/>
      <c r="M677" s="703"/>
      <c r="N677" s="703"/>
      <c r="O677" s="703"/>
      <c r="P677" s="703"/>
      <c r="Q677" s="703"/>
      <c r="R677" s="703"/>
      <c r="S677" s="703"/>
      <c r="T677" s="703"/>
      <c r="U677" s="703"/>
      <c r="V677" s="703"/>
      <c r="W677" s="703"/>
      <c r="X677" s="703"/>
      <c r="Y677" s="703"/>
      <c r="Z677" s="703"/>
    </row>
    <row r="678">
      <c r="A678" s="703"/>
      <c r="B678" s="703"/>
      <c r="C678" s="703"/>
      <c r="D678" s="703"/>
      <c r="E678" s="703"/>
      <c r="F678" s="703"/>
      <c r="G678" s="703"/>
      <c r="H678" s="703"/>
      <c r="I678" s="703"/>
      <c r="J678" s="703"/>
      <c r="K678" s="703"/>
      <c r="L678" s="703"/>
      <c r="M678" s="703"/>
      <c r="N678" s="703"/>
      <c r="O678" s="703"/>
      <c r="P678" s="703"/>
      <c r="Q678" s="703"/>
      <c r="R678" s="703"/>
      <c r="S678" s="703"/>
      <c r="T678" s="703"/>
      <c r="U678" s="703"/>
      <c r="V678" s="703"/>
      <c r="W678" s="703"/>
      <c r="X678" s="703"/>
      <c r="Y678" s="703"/>
      <c r="Z678" s="703"/>
    </row>
    <row r="679">
      <c r="A679" s="703"/>
      <c r="B679" s="703"/>
      <c r="C679" s="703"/>
      <c r="D679" s="703"/>
      <c r="E679" s="703"/>
      <c r="F679" s="703"/>
      <c r="G679" s="703"/>
      <c r="H679" s="703"/>
      <c r="I679" s="703"/>
      <c r="J679" s="703"/>
      <c r="K679" s="703"/>
      <c r="L679" s="703"/>
      <c r="M679" s="703"/>
      <c r="N679" s="703"/>
      <c r="O679" s="703"/>
      <c r="P679" s="703"/>
      <c r="Q679" s="703"/>
      <c r="R679" s="703"/>
      <c r="S679" s="703"/>
      <c r="T679" s="703"/>
      <c r="U679" s="703"/>
      <c r="V679" s="703"/>
      <c r="W679" s="703"/>
      <c r="X679" s="703"/>
      <c r="Y679" s="703"/>
      <c r="Z679" s="703"/>
    </row>
    <row r="680">
      <c r="A680" s="703"/>
      <c r="B680" s="703"/>
      <c r="C680" s="703"/>
      <c r="D680" s="703"/>
      <c r="E680" s="703"/>
      <c r="F680" s="703"/>
      <c r="G680" s="703"/>
      <c r="H680" s="703"/>
      <c r="I680" s="703"/>
      <c r="J680" s="703"/>
      <c r="K680" s="703"/>
      <c r="L680" s="703"/>
      <c r="M680" s="703"/>
      <c r="N680" s="703"/>
      <c r="O680" s="703"/>
      <c r="P680" s="703"/>
      <c r="Q680" s="703"/>
      <c r="R680" s="703"/>
      <c r="S680" s="703"/>
      <c r="T680" s="703"/>
      <c r="U680" s="703"/>
      <c r="V680" s="703"/>
      <c r="W680" s="703"/>
      <c r="X680" s="703"/>
      <c r="Y680" s="703"/>
      <c r="Z680" s="703"/>
    </row>
    <row r="681">
      <c r="A681" s="703"/>
      <c r="B681" s="703"/>
      <c r="C681" s="703"/>
      <c r="D681" s="703"/>
      <c r="E681" s="703"/>
      <c r="F681" s="703"/>
      <c r="G681" s="703"/>
      <c r="H681" s="703"/>
      <c r="I681" s="703"/>
      <c r="J681" s="703"/>
      <c r="K681" s="703"/>
      <c r="L681" s="703"/>
      <c r="M681" s="703"/>
      <c r="N681" s="703"/>
      <c r="O681" s="703"/>
      <c r="P681" s="703"/>
      <c r="Q681" s="703"/>
      <c r="R681" s="703"/>
      <c r="S681" s="703"/>
      <c r="T681" s="703"/>
      <c r="U681" s="703"/>
      <c r="V681" s="703"/>
      <c r="W681" s="703"/>
      <c r="X681" s="703"/>
      <c r="Y681" s="703"/>
      <c r="Z681" s="703"/>
    </row>
    <row r="682">
      <c r="A682" s="703"/>
      <c r="B682" s="703"/>
      <c r="C682" s="703"/>
      <c r="D682" s="703"/>
      <c r="E682" s="703"/>
      <c r="F682" s="703"/>
      <c r="G682" s="703"/>
      <c r="H682" s="703"/>
      <c r="I682" s="703"/>
      <c r="J682" s="703"/>
      <c r="K682" s="703"/>
      <c r="L682" s="703"/>
      <c r="M682" s="703"/>
      <c r="N682" s="703"/>
      <c r="O682" s="703"/>
      <c r="P682" s="703"/>
      <c r="Q682" s="703"/>
      <c r="R682" s="703"/>
      <c r="S682" s="703"/>
      <c r="T682" s="703"/>
      <c r="U682" s="703"/>
      <c r="V682" s="703"/>
      <c r="W682" s="703"/>
      <c r="X682" s="703"/>
      <c r="Y682" s="703"/>
      <c r="Z682" s="703"/>
    </row>
    <row r="683">
      <c r="A683" s="703"/>
      <c r="B683" s="703"/>
      <c r="C683" s="703"/>
      <c r="D683" s="703"/>
      <c r="E683" s="703"/>
      <c r="F683" s="703"/>
      <c r="G683" s="703"/>
      <c r="H683" s="703"/>
      <c r="I683" s="703"/>
      <c r="J683" s="703"/>
      <c r="K683" s="703"/>
      <c r="L683" s="703"/>
      <c r="M683" s="703"/>
      <c r="N683" s="703"/>
      <c r="O683" s="703"/>
      <c r="P683" s="703"/>
      <c r="Q683" s="703"/>
      <c r="R683" s="703"/>
      <c r="S683" s="703"/>
      <c r="T683" s="703"/>
      <c r="U683" s="703"/>
      <c r="V683" s="703"/>
      <c r="W683" s="703"/>
      <c r="X683" s="703"/>
      <c r="Y683" s="703"/>
      <c r="Z683" s="703"/>
    </row>
    <row r="684">
      <c r="A684" s="703"/>
      <c r="B684" s="703"/>
      <c r="C684" s="703"/>
      <c r="D684" s="703"/>
      <c r="E684" s="703"/>
      <c r="F684" s="703"/>
      <c r="G684" s="703"/>
      <c r="H684" s="703"/>
      <c r="I684" s="703"/>
      <c r="J684" s="703"/>
      <c r="K684" s="703"/>
      <c r="L684" s="703"/>
      <c r="M684" s="703"/>
      <c r="N684" s="703"/>
      <c r="O684" s="703"/>
      <c r="P684" s="703"/>
      <c r="Q684" s="703"/>
      <c r="R684" s="703"/>
      <c r="S684" s="703"/>
      <c r="T684" s="703"/>
      <c r="U684" s="703"/>
      <c r="V684" s="703"/>
      <c r="W684" s="703"/>
      <c r="X684" s="703"/>
      <c r="Y684" s="703"/>
      <c r="Z684" s="703"/>
    </row>
    <row r="685">
      <c r="A685" s="703"/>
      <c r="B685" s="703"/>
      <c r="C685" s="703"/>
      <c r="D685" s="703"/>
      <c r="E685" s="703"/>
      <c r="F685" s="703"/>
      <c r="G685" s="703"/>
      <c r="H685" s="703"/>
      <c r="I685" s="703"/>
      <c r="J685" s="703"/>
      <c r="K685" s="703"/>
      <c r="L685" s="703"/>
      <c r="M685" s="703"/>
      <c r="N685" s="703"/>
      <c r="O685" s="703"/>
      <c r="P685" s="703"/>
      <c r="Q685" s="703"/>
      <c r="R685" s="703"/>
      <c r="S685" s="703"/>
      <c r="T685" s="703"/>
      <c r="U685" s="703"/>
      <c r="V685" s="703"/>
      <c r="W685" s="703"/>
      <c r="X685" s="703"/>
      <c r="Y685" s="703"/>
      <c r="Z685" s="703"/>
    </row>
    <row r="686">
      <c r="A686" s="703"/>
      <c r="B686" s="703"/>
      <c r="C686" s="703"/>
      <c r="D686" s="703"/>
      <c r="E686" s="703"/>
      <c r="F686" s="703"/>
      <c r="G686" s="703"/>
      <c r="H686" s="703"/>
      <c r="I686" s="703"/>
      <c r="J686" s="703"/>
      <c r="K686" s="703"/>
      <c r="L686" s="703"/>
      <c r="M686" s="703"/>
      <c r="N686" s="703"/>
      <c r="O686" s="703"/>
      <c r="P686" s="703"/>
      <c r="Q686" s="703"/>
      <c r="R686" s="703"/>
      <c r="S686" s="703"/>
      <c r="T686" s="703"/>
      <c r="U686" s="703"/>
      <c r="V686" s="703"/>
      <c r="W686" s="703"/>
      <c r="X686" s="703"/>
      <c r="Y686" s="703"/>
      <c r="Z686" s="703"/>
    </row>
    <row r="687">
      <c r="A687" s="703"/>
      <c r="B687" s="703"/>
      <c r="C687" s="703"/>
      <c r="D687" s="703"/>
      <c r="E687" s="703"/>
      <c r="F687" s="703"/>
      <c r="G687" s="703"/>
      <c r="H687" s="703"/>
      <c r="I687" s="703"/>
      <c r="J687" s="703"/>
      <c r="K687" s="703"/>
      <c r="L687" s="703"/>
      <c r="M687" s="703"/>
      <c r="N687" s="703"/>
      <c r="O687" s="703"/>
      <c r="P687" s="703"/>
      <c r="Q687" s="703"/>
      <c r="R687" s="703"/>
      <c r="S687" s="703"/>
      <c r="T687" s="703"/>
      <c r="U687" s="703"/>
      <c r="V687" s="703"/>
      <c r="W687" s="703"/>
      <c r="X687" s="703"/>
      <c r="Y687" s="703"/>
      <c r="Z687" s="703"/>
    </row>
    <row r="688">
      <c r="A688" s="703"/>
      <c r="B688" s="703"/>
      <c r="C688" s="703"/>
      <c r="D688" s="703"/>
      <c r="E688" s="703"/>
      <c r="F688" s="703"/>
      <c r="G688" s="703"/>
      <c r="H688" s="703"/>
      <c r="I688" s="703"/>
      <c r="J688" s="703"/>
      <c r="K688" s="703"/>
      <c r="L688" s="703"/>
      <c r="M688" s="703"/>
      <c r="N688" s="703"/>
      <c r="O688" s="703"/>
      <c r="P688" s="703"/>
      <c r="Q688" s="703"/>
      <c r="R688" s="703"/>
      <c r="S688" s="703"/>
      <c r="T688" s="703"/>
      <c r="U688" s="703"/>
      <c r="V688" s="703"/>
      <c r="W688" s="703"/>
      <c r="X688" s="703"/>
      <c r="Y688" s="703"/>
      <c r="Z688" s="703"/>
    </row>
    <row r="689">
      <c r="A689" s="703"/>
      <c r="B689" s="703"/>
      <c r="C689" s="703"/>
      <c r="D689" s="703"/>
      <c r="E689" s="703"/>
      <c r="F689" s="703"/>
      <c r="G689" s="703"/>
      <c r="H689" s="703"/>
      <c r="I689" s="703"/>
      <c r="J689" s="703"/>
      <c r="K689" s="703"/>
      <c r="L689" s="703"/>
      <c r="M689" s="703"/>
      <c r="N689" s="703"/>
      <c r="O689" s="703"/>
      <c r="P689" s="703"/>
      <c r="Q689" s="703"/>
      <c r="R689" s="703"/>
      <c r="S689" s="703"/>
      <c r="T689" s="703"/>
      <c r="U689" s="703"/>
      <c r="V689" s="703"/>
      <c r="W689" s="703"/>
      <c r="X689" s="703"/>
      <c r="Y689" s="703"/>
      <c r="Z689" s="703"/>
    </row>
    <row r="690">
      <c r="A690" s="703"/>
      <c r="B690" s="703"/>
      <c r="C690" s="703"/>
      <c r="D690" s="703"/>
      <c r="E690" s="703"/>
      <c r="F690" s="703"/>
      <c r="G690" s="703"/>
      <c r="H690" s="703"/>
      <c r="I690" s="703"/>
      <c r="J690" s="703"/>
      <c r="K690" s="703"/>
      <c r="L690" s="703"/>
      <c r="M690" s="703"/>
      <c r="N690" s="703"/>
      <c r="O690" s="703"/>
      <c r="P690" s="703"/>
      <c r="Q690" s="703"/>
      <c r="R690" s="703"/>
      <c r="S690" s="703"/>
      <c r="T690" s="703"/>
      <c r="U690" s="703"/>
      <c r="V690" s="703"/>
      <c r="W690" s="703"/>
      <c r="X690" s="703"/>
      <c r="Y690" s="703"/>
      <c r="Z690" s="703"/>
    </row>
    <row r="691">
      <c r="A691" s="703"/>
      <c r="B691" s="703"/>
      <c r="C691" s="703"/>
      <c r="D691" s="703"/>
      <c r="E691" s="703"/>
      <c r="F691" s="703"/>
      <c r="G691" s="703"/>
      <c r="H691" s="703"/>
      <c r="I691" s="703"/>
      <c r="J691" s="703"/>
      <c r="K691" s="703"/>
      <c r="L691" s="703"/>
      <c r="M691" s="703"/>
      <c r="N691" s="703"/>
      <c r="O691" s="703"/>
      <c r="P691" s="703"/>
      <c r="Q691" s="703"/>
      <c r="R691" s="703"/>
      <c r="S691" s="703"/>
      <c r="T691" s="703"/>
      <c r="U691" s="703"/>
      <c r="V691" s="703"/>
      <c r="W691" s="703"/>
      <c r="X691" s="703"/>
      <c r="Y691" s="703"/>
      <c r="Z691" s="703"/>
    </row>
    <row r="692">
      <c r="A692" s="703"/>
      <c r="B692" s="703"/>
      <c r="C692" s="703"/>
      <c r="D692" s="703"/>
      <c r="E692" s="703"/>
      <c r="F692" s="703"/>
      <c r="G692" s="703"/>
      <c r="H692" s="703"/>
      <c r="I692" s="703"/>
      <c r="J692" s="703"/>
      <c r="K692" s="703"/>
      <c r="L692" s="703"/>
      <c r="M692" s="703"/>
      <c r="N692" s="703"/>
      <c r="O692" s="703"/>
      <c r="P692" s="703"/>
      <c r="Q692" s="703"/>
      <c r="R692" s="703"/>
      <c r="S692" s="703"/>
      <c r="T692" s="703"/>
      <c r="U692" s="703"/>
      <c r="V692" s="703"/>
      <c r="W692" s="703"/>
      <c r="X692" s="703"/>
      <c r="Y692" s="703"/>
      <c r="Z692" s="703"/>
    </row>
    <row r="693">
      <c r="A693" s="703"/>
      <c r="B693" s="703"/>
      <c r="C693" s="703"/>
      <c r="D693" s="703"/>
      <c r="E693" s="703"/>
      <c r="F693" s="703"/>
      <c r="G693" s="703"/>
      <c r="H693" s="703"/>
      <c r="I693" s="703"/>
      <c r="J693" s="703"/>
      <c r="K693" s="703"/>
      <c r="L693" s="703"/>
      <c r="M693" s="703"/>
      <c r="N693" s="703"/>
      <c r="O693" s="703"/>
      <c r="P693" s="703"/>
      <c r="Q693" s="703"/>
      <c r="R693" s="703"/>
      <c r="S693" s="703"/>
      <c r="T693" s="703"/>
      <c r="U693" s="703"/>
      <c r="V693" s="703"/>
      <c r="W693" s="703"/>
      <c r="X693" s="703"/>
      <c r="Y693" s="703"/>
      <c r="Z693" s="703"/>
    </row>
    <row r="694">
      <c r="A694" s="703"/>
      <c r="B694" s="703"/>
      <c r="C694" s="703"/>
      <c r="D694" s="703"/>
      <c r="E694" s="703"/>
      <c r="F694" s="703"/>
      <c r="G694" s="703"/>
      <c r="H694" s="703"/>
      <c r="I694" s="703"/>
      <c r="J694" s="703"/>
      <c r="K694" s="703"/>
      <c r="L694" s="703"/>
      <c r="M694" s="703"/>
      <c r="N694" s="703"/>
      <c r="O694" s="703"/>
      <c r="P694" s="703"/>
      <c r="Q694" s="703"/>
      <c r="R694" s="703"/>
      <c r="S694" s="703"/>
      <c r="T694" s="703"/>
      <c r="U694" s="703"/>
      <c r="V694" s="703"/>
      <c r="W694" s="703"/>
      <c r="X694" s="703"/>
      <c r="Y694" s="703"/>
      <c r="Z694" s="703"/>
    </row>
    <row r="695">
      <c r="A695" s="703"/>
      <c r="B695" s="703"/>
      <c r="C695" s="703"/>
      <c r="D695" s="703"/>
      <c r="E695" s="703"/>
      <c r="F695" s="703"/>
      <c r="G695" s="703"/>
      <c r="H695" s="703"/>
      <c r="I695" s="703"/>
      <c r="J695" s="703"/>
      <c r="K695" s="703"/>
      <c r="L695" s="703"/>
      <c r="M695" s="703"/>
      <c r="N695" s="703"/>
      <c r="O695" s="703"/>
      <c r="P695" s="703"/>
      <c r="Q695" s="703"/>
      <c r="R695" s="703"/>
      <c r="S695" s="703"/>
      <c r="T695" s="703"/>
      <c r="U695" s="703"/>
      <c r="V695" s="703"/>
      <c r="W695" s="703"/>
      <c r="X695" s="703"/>
      <c r="Y695" s="703"/>
      <c r="Z695" s="703"/>
    </row>
    <row r="696">
      <c r="A696" s="703"/>
      <c r="B696" s="703"/>
      <c r="C696" s="703"/>
      <c r="D696" s="703"/>
      <c r="E696" s="703"/>
      <c r="F696" s="703"/>
      <c r="G696" s="703"/>
      <c r="H696" s="703"/>
      <c r="I696" s="703"/>
      <c r="J696" s="703"/>
      <c r="K696" s="703"/>
      <c r="L696" s="703"/>
      <c r="M696" s="703"/>
      <c r="N696" s="703"/>
      <c r="O696" s="703"/>
      <c r="P696" s="703"/>
      <c r="Q696" s="703"/>
      <c r="R696" s="703"/>
      <c r="S696" s="703"/>
      <c r="T696" s="703"/>
      <c r="U696" s="703"/>
      <c r="V696" s="703"/>
      <c r="W696" s="703"/>
      <c r="X696" s="703"/>
      <c r="Y696" s="703"/>
      <c r="Z696" s="703"/>
    </row>
    <row r="697">
      <c r="A697" s="703"/>
      <c r="B697" s="703"/>
      <c r="C697" s="703"/>
      <c r="D697" s="703"/>
      <c r="E697" s="703"/>
      <c r="F697" s="703"/>
      <c r="G697" s="703"/>
      <c r="H697" s="703"/>
      <c r="I697" s="703"/>
      <c r="J697" s="703"/>
      <c r="K697" s="703"/>
      <c r="L697" s="703"/>
      <c r="M697" s="703"/>
      <c r="N697" s="703"/>
      <c r="O697" s="703"/>
      <c r="P697" s="703"/>
      <c r="Q697" s="703"/>
      <c r="R697" s="703"/>
      <c r="S697" s="703"/>
      <c r="T697" s="703"/>
      <c r="U697" s="703"/>
      <c r="V697" s="703"/>
      <c r="W697" s="703"/>
      <c r="X697" s="703"/>
      <c r="Y697" s="703"/>
      <c r="Z697" s="703"/>
    </row>
    <row r="698">
      <c r="A698" s="703"/>
      <c r="B698" s="703"/>
      <c r="C698" s="703"/>
      <c r="D698" s="703"/>
      <c r="E698" s="703"/>
      <c r="F698" s="703"/>
      <c r="G698" s="703"/>
      <c r="H698" s="703"/>
      <c r="I698" s="703"/>
      <c r="J698" s="703"/>
      <c r="K698" s="703"/>
      <c r="L698" s="703"/>
      <c r="M698" s="703"/>
      <c r="N698" s="703"/>
      <c r="O698" s="703"/>
      <c r="P698" s="703"/>
      <c r="Q698" s="703"/>
      <c r="R698" s="703"/>
      <c r="S698" s="703"/>
      <c r="T698" s="703"/>
      <c r="U698" s="703"/>
      <c r="V698" s="703"/>
      <c r="W698" s="703"/>
      <c r="X698" s="703"/>
      <c r="Y698" s="703"/>
      <c r="Z698" s="703"/>
    </row>
    <row r="699">
      <c r="A699" s="703"/>
      <c r="B699" s="703"/>
      <c r="C699" s="703"/>
      <c r="D699" s="703"/>
      <c r="E699" s="703"/>
      <c r="F699" s="703"/>
      <c r="G699" s="703"/>
      <c r="H699" s="703"/>
      <c r="I699" s="703"/>
      <c r="J699" s="703"/>
      <c r="K699" s="703"/>
      <c r="L699" s="703"/>
      <c r="M699" s="703"/>
      <c r="N699" s="703"/>
      <c r="O699" s="703"/>
      <c r="P699" s="703"/>
      <c r="Q699" s="703"/>
      <c r="R699" s="703"/>
      <c r="S699" s="703"/>
      <c r="T699" s="703"/>
      <c r="U699" s="703"/>
      <c r="V699" s="703"/>
      <c r="W699" s="703"/>
      <c r="X699" s="703"/>
      <c r="Y699" s="703"/>
      <c r="Z699" s="703"/>
    </row>
    <row r="700">
      <c r="A700" s="703"/>
      <c r="B700" s="703"/>
      <c r="C700" s="703"/>
      <c r="D700" s="703"/>
      <c r="E700" s="703"/>
      <c r="F700" s="703"/>
      <c r="G700" s="703"/>
      <c r="H700" s="703"/>
      <c r="I700" s="703"/>
      <c r="J700" s="703"/>
      <c r="K700" s="703"/>
      <c r="L700" s="703"/>
      <c r="M700" s="703"/>
      <c r="N700" s="703"/>
      <c r="O700" s="703"/>
      <c r="P700" s="703"/>
      <c r="Q700" s="703"/>
      <c r="R700" s="703"/>
      <c r="S700" s="703"/>
      <c r="T700" s="703"/>
      <c r="U700" s="703"/>
      <c r="V700" s="703"/>
      <c r="W700" s="703"/>
      <c r="X700" s="703"/>
      <c r="Y700" s="703"/>
      <c r="Z700" s="703"/>
    </row>
    <row r="701">
      <c r="A701" s="703"/>
      <c r="B701" s="703"/>
      <c r="C701" s="703"/>
      <c r="D701" s="703"/>
      <c r="E701" s="703"/>
      <c r="F701" s="703"/>
      <c r="G701" s="703"/>
      <c r="H701" s="703"/>
      <c r="I701" s="703"/>
      <c r="J701" s="703"/>
      <c r="K701" s="703"/>
      <c r="L701" s="703"/>
      <c r="M701" s="703"/>
      <c r="N701" s="703"/>
      <c r="O701" s="703"/>
      <c r="P701" s="703"/>
      <c r="Q701" s="703"/>
      <c r="R701" s="703"/>
      <c r="S701" s="703"/>
      <c r="T701" s="703"/>
      <c r="U701" s="703"/>
      <c r="V701" s="703"/>
      <c r="W701" s="703"/>
      <c r="X701" s="703"/>
      <c r="Y701" s="703"/>
      <c r="Z701" s="703"/>
    </row>
    <row r="702">
      <c r="A702" s="703"/>
      <c r="B702" s="703"/>
      <c r="C702" s="703"/>
      <c r="D702" s="703"/>
      <c r="E702" s="703"/>
      <c r="F702" s="703"/>
      <c r="G702" s="703"/>
      <c r="H702" s="703"/>
      <c r="I702" s="703"/>
      <c r="J702" s="703"/>
      <c r="K702" s="703"/>
      <c r="L702" s="703"/>
      <c r="M702" s="703"/>
      <c r="N702" s="703"/>
      <c r="O702" s="703"/>
      <c r="P702" s="703"/>
      <c r="Q702" s="703"/>
      <c r="R702" s="703"/>
      <c r="S702" s="703"/>
      <c r="T702" s="703"/>
      <c r="U702" s="703"/>
      <c r="V702" s="703"/>
      <c r="W702" s="703"/>
      <c r="X702" s="703"/>
      <c r="Y702" s="703"/>
      <c r="Z702" s="703"/>
    </row>
    <row r="703">
      <c r="A703" s="703"/>
      <c r="B703" s="703"/>
      <c r="C703" s="703"/>
      <c r="D703" s="703"/>
      <c r="E703" s="703"/>
      <c r="F703" s="703"/>
      <c r="G703" s="703"/>
      <c r="H703" s="703"/>
      <c r="I703" s="703"/>
      <c r="J703" s="703"/>
      <c r="K703" s="703"/>
      <c r="L703" s="703"/>
      <c r="M703" s="703"/>
      <c r="N703" s="703"/>
      <c r="O703" s="703"/>
      <c r="P703" s="703"/>
      <c r="Q703" s="703"/>
      <c r="R703" s="703"/>
      <c r="S703" s="703"/>
      <c r="T703" s="703"/>
      <c r="U703" s="703"/>
      <c r="V703" s="703"/>
      <c r="W703" s="703"/>
      <c r="X703" s="703"/>
      <c r="Y703" s="703"/>
      <c r="Z703" s="703"/>
    </row>
    <row r="704">
      <c r="A704" s="703"/>
      <c r="B704" s="703"/>
      <c r="C704" s="703"/>
      <c r="D704" s="703"/>
      <c r="E704" s="703"/>
      <c r="F704" s="703"/>
      <c r="G704" s="703"/>
      <c r="H704" s="703"/>
      <c r="I704" s="703"/>
      <c r="J704" s="703"/>
      <c r="K704" s="703"/>
      <c r="L704" s="703"/>
      <c r="M704" s="703"/>
      <c r="N704" s="703"/>
      <c r="O704" s="703"/>
      <c r="P704" s="703"/>
      <c r="Q704" s="703"/>
      <c r="R704" s="703"/>
      <c r="S704" s="703"/>
      <c r="T704" s="703"/>
      <c r="U704" s="703"/>
      <c r="V704" s="703"/>
      <c r="W704" s="703"/>
      <c r="X704" s="703"/>
      <c r="Y704" s="703"/>
      <c r="Z704" s="703"/>
    </row>
    <row r="705">
      <c r="A705" s="703"/>
      <c r="B705" s="703"/>
      <c r="C705" s="703"/>
      <c r="D705" s="703"/>
      <c r="E705" s="703"/>
      <c r="F705" s="703"/>
      <c r="G705" s="703"/>
      <c r="H705" s="703"/>
      <c r="I705" s="703"/>
      <c r="J705" s="703"/>
      <c r="K705" s="703"/>
      <c r="L705" s="703"/>
      <c r="M705" s="703"/>
      <c r="N705" s="703"/>
      <c r="O705" s="703"/>
      <c r="P705" s="703"/>
      <c r="Q705" s="703"/>
      <c r="R705" s="703"/>
      <c r="S705" s="703"/>
      <c r="T705" s="703"/>
      <c r="U705" s="703"/>
      <c r="V705" s="703"/>
      <c r="W705" s="703"/>
      <c r="X705" s="703"/>
      <c r="Y705" s="703"/>
      <c r="Z705" s="703"/>
    </row>
    <row r="706">
      <c r="A706" s="703"/>
      <c r="B706" s="703"/>
      <c r="C706" s="703"/>
      <c r="D706" s="703"/>
      <c r="E706" s="703"/>
      <c r="F706" s="703"/>
      <c r="G706" s="703"/>
      <c r="H706" s="703"/>
      <c r="I706" s="703"/>
      <c r="J706" s="703"/>
      <c r="K706" s="703"/>
      <c r="L706" s="703"/>
      <c r="M706" s="703"/>
      <c r="N706" s="703"/>
      <c r="O706" s="703"/>
      <c r="P706" s="703"/>
      <c r="Q706" s="703"/>
      <c r="R706" s="703"/>
      <c r="S706" s="703"/>
      <c r="T706" s="703"/>
      <c r="U706" s="703"/>
      <c r="V706" s="703"/>
      <c r="W706" s="703"/>
      <c r="X706" s="703"/>
      <c r="Y706" s="703"/>
      <c r="Z706" s="703"/>
    </row>
    <row r="707">
      <c r="A707" s="703"/>
      <c r="B707" s="703"/>
      <c r="C707" s="703"/>
      <c r="D707" s="703"/>
      <c r="E707" s="703"/>
      <c r="F707" s="703"/>
      <c r="G707" s="703"/>
      <c r="H707" s="703"/>
      <c r="I707" s="703"/>
      <c r="J707" s="703"/>
      <c r="K707" s="703"/>
      <c r="L707" s="703"/>
      <c r="M707" s="703"/>
      <c r="N707" s="703"/>
      <c r="O707" s="703"/>
      <c r="P707" s="703"/>
      <c r="Q707" s="703"/>
      <c r="R707" s="703"/>
      <c r="S707" s="703"/>
      <c r="T707" s="703"/>
      <c r="U707" s="703"/>
      <c r="V707" s="703"/>
      <c r="W707" s="703"/>
      <c r="X707" s="703"/>
      <c r="Y707" s="703"/>
      <c r="Z707" s="703"/>
    </row>
    <row r="708">
      <c r="A708" s="703"/>
      <c r="B708" s="703"/>
      <c r="C708" s="703"/>
      <c r="D708" s="703"/>
      <c r="E708" s="703"/>
      <c r="F708" s="703"/>
      <c r="G708" s="703"/>
      <c r="H708" s="703"/>
      <c r="I708" s="703"/>
      <c r="J708" s="703"/>
      <c r="K708" s="703"/>
      <c r="L708" s="703"/>
      <c r="M708" s="703"/>
      <c r="N708" s="703"/>
      <c r="O708" s="703"/>
      <c r="P708" s="703"/>
      <c r="Q708" s="703"/>
      <c r="R708" s="703"/>
      <c r="S708" s="703"/>
      <c r="T708" s="703"/>
      <c r="U708" s="703"/>
      <c r="V708" s="703"/>
      <c r="W708" s="703"/>
      <c r="X708" s="703"/>
      <c r="Y708" s="703"/>
      <c r="Z708" s="703"/>
    </row>
    <row r="709">
      <c r="A709" s="703"/>
      <c r="B709" s="703"/>
      <c r="C709" s="703"/>
      <c r="D709" s="703"/>
      <c r="E709" s="703"/>
      <c r="F709" s="703"/>
      <c r="G709" s="703"/>
      <c r="H709" s="703"/>
      <c r="I709" s="703"/>
      <c r="J709" s="703"/>
      <c r="K709" s="703"/>
      <c r="L709" s="703"/>
      <c r="M709" s="703"/>
      <c r="N709" s="703"/>
      <c r="O709" s="703"/>
      <c r="P709" s="703"/>
      <c r="Q709" s="703"/>
      <c r="R709" s="703"/>
      <c r="S709" s="703"/>
      <c r="T709" s="703"/>
      <c r="U709" s="703"/>
      <c r="V709" s="703"/>
      <c r="W709" s="703"/>
      <c r="X709" s="703"/>
      <c r="Y709" s="703"/>
      <c r="Z709" s="703"/>
    </row>
    <row r="710">
      <c r="A710" s="703"/>
      <c r="B710" s="703"/>
      <c r="C710" s="703"/>
      <c r="D710" s="703"/>
      <c r="E710" s="703"/>
      <c r="F710" s="703"/>
      <c r="G710" s="703"/>
      <c r="H710" s="703"/>
      <c r="I710" s="703"/>
      <c r="J710" s="703"/>
      <c r="K710" s="703"/>
      <c r="L710" s="703"/>
      <c r="M710" s="703"/>
      <c r="N710" s="703"/>
      <c r="O710" s="703"/>
      <c r="P710" s="703"/>
      <c r="Q710" s="703"/>
      <c r="R710" s="703"/>
      <c r="S710" s="703"/>
      <c r="T710" s="703"/>
      <c r="U710" s="703"/>
      <c r="V710" s="703"/>
      <c r="W710" s="703"/>
      <c r="X710" s="703"/>
      <c r="Y710" s="703"/>
      <c r="Z710" s="703"/>
    </row>
    <row r="711">
      <c r="A711" s="703"/>
      <c r="B711" s="703"/>
      <c r="C711" s="703"/>
      <c r="D711" s="703"/>
      <c r="E711" s="703"/>
      <c r="F711" s="703"/>
      <c r="G711" s="703"/>
      <c r="H711" s="703"/>
      <c r="I711" s="703"/>
      <c r="J711" s="703"/>
      <c r="K711" s="703"/>
      <c r="L711" s="703"/>
      <c r="M711" s="703"/>
      <c r="N711" s="703"/>
      <c r="O711" s="703"/>
      <c r="P711" s="703"/>
      <c r="Q711" s="703"/>
      <c r="R711" s="703"/>
      <c r="S711" s="703"/>
      <c r="T711" s="703"/>
      <c r="U711" s="703"/>
      <c r="V711" s="703"/>
      <c r="W711" s="703"/>
      <c r="X711" s="703"/>
      <c r="Y711" s="703"/>
      <c r="Z711" s="703"/>
    </row>
    <row r="712">
      <c r="A712" s="703"/>
      <c r="B712" s="703"/>
      <c r="C712" s="703"/>
      <c r="D712" s="703"/>
      <c r="E712" s="703"/>
      <c r="F712" s="703"/>
      <c r="G712" s="703"/>
      <c r="H712" s="703"/>
      <c r="I712" s="703"/>
      <c r="J712" s="703"/>
      <c r="K712" s="703"/>
      <c r="L712" s="703"/>
      <c r="M712" s="703"/>
      <c r="N712" s="703"/>
      <c r="O712" s="703"/>
      <c r="P712" s="703"/>
      <c r="Q712" s="703"/>
      <c r="R712" s="703"/>
      <c r="S712" s="703"/>
      <c r="T712" s="703"/>
      <c r="U712" s="703"/>
      <c r="V712" s="703"/>
      <c r="W712" s="703"/>
      <c r="X712" s="703"/>
      <c r="Y712" s="703"/>
      <c r="Z712" s="703"/>
    </row>
    <row r="713">
      <c r="A713" s="703"/>
      <c r="B713" s="703"/>
      <c r="C713" s="703"/>
      <c r="D713" s="703"/>
      <c r="E713" s="703"/>
      <c r="F713" s="703"/>
      <c r="G713" s="703"/>
      <c r="H713" s="703"/>
      <c r="I713" s="703"/>
      <c r="J713" s="703"/>
      <c r="K713" s="703"/>
      <c r="L713" s="703"/>
      <c r="M713" s="703"/>
      <c r="N713" s="703"/>
      <c r="O713" s="703"/>
      <c r="P713" s="703"/>
      <c r="Q713" s="703"/>
      <c r="R713" s="703"/>
      <c r="S713" s="703"/>
      <c r="T713" s="703"/>
      <c r="U713" s="703"/>
      <c r="V713" s="703"/>
      <c r="W713" s="703"/>
      <c r="X713" s="703"/>
      <c r="Y713" s="703"/>
      <c r="Z713" s="703"/>
    </row>
    <row r="714">
      <c r="A714" s="703"/>
      <c r="B714" s="703"/>
      <c r="C714" s="703"/>
      <c r="D714" s="703"/>
      <c r="E714" s="703"/>
      <c r="F714" s="703"/>
      <c r="G714" s="703"/>
      <c r="H714" s="703"/>
      <c r="I714" s="703"/>
      <c r="J714" s="703"/>
      <c r="K714" s="703"/>
      <c r="L714" s="703"/>
      <c r="M714" s="703"/>
      <c r="N714" s="703"/>
      <c r="O714" s="703"/>
      <c r="P714" s="703"/>
      <c r="Q714" s="703"/>
      <c r="R714" s="703"/>
      <c r="S714" s="703"/>
      <c r="T714" s="703"/>
      <c r="U714" s="703"/>
      <c r="V714" s="703"/>
      <c r="W714" s="703"/>
      <c r="X714" s="703"/>
      <c r="Y714" s="703"/>
      <c r="Z714" s="703"/>
    </row>
    <row r="715">
      <c r="A715" s="703"/>
      <c r="B715" s="703"/>
      <c r="C715" s="703"/>
      <c r="D715" s="703"/>
      <c r="E715" s="703"/>
      <c r="F715" s="703"/>
      <c r="G715" s="703"/>
      <c r="H715" s="703"/>
      <c r="I715" s="703"/>
      <c r="J715" s="703"/>
      <c r="K715" s="703"/>
      <c r="L715" s="703"/>
      <c r="M715" s="703"/>
      <c r="N715" s="703"/>
      <c r="O715" s="703"/>
      <c r="P715" s="703"/>
      <c r="Q715" s="703"/>
      <c r="R715" s="703"/>
      <c r="S715" s="703"/>
      <c r="T715" s="703"/>
      <c r="U715" s="703"/>
      <c r="V715" s="703"/>
      <c r="W715" s="703"/>
      <c r="X715" s="703"/>
      <c r="Y715" s="703"/>
      <c r="Z715" s="703"/>
    </row>
    <row r="716">
      <c r="A716" s="703"/>
      <c r="B716" s="703"/>
      <c r="C716" s="703"/>
      <c r="D716" s="703"/>
      <c r="E716" s="703"/>
      <c r="F716" s="703"/>
      <c r="G716" s="703"/>
      <c r="H716" s="703"/>
      <c r="I716" s="703"/>
      <c r="J716" s="703"/>
      <c r="K716" s="703"/>
      <c r="L716" s="703"/>
      <c r="M716" s="703"/>
      <c r="N716" s="703"/>
      <c r="O716" s="703"/>
      <c r="P716" s="703"/>
      <c r="Q716" s="703"/>
      <c r="R716" s="703"/>
      <c r="S716" s="703"/>
      <c r="T716" s="703"/>
      <c r="U716" s="703"/>
      <c r="V716" s="703"/>
      <c r="W716" s="703"/>
      <c r="X716" s="703"/>
      <c r="Y716" s="703"/>
      <c r="Z716" s="703"/>
    </row>
    <row r="717">
      <c r="A717" s="703"/>
      <c r="B717" s="703"/>
      <c r="C717" s="703"/>
      <c r="D717" s="703"/>
      <c r="E717" s="703"/>
      <c r="F717" s="703"/>
      <c r="G717" s="703"/>
      <c r="H717" s="703"/>
      <c r="I717" s="703"/>
      <c r="J717" s="703"/>
      <c r="K717" s="703"/>
      <c r="L717" s="703"/>
      <c r="M717" s="703"/>
      <c r="N717" s="703"/>
      <c r="O717" s="703"/>
      <c r="P717" s="703"/>
      <c r="Q717" s="703"/>
      <c r="R717" s="703"/>
      <c r="S717" s="703"/>
      <c r="T717" s="703"/>
      <c r="U717" s="703"/>
      <c r="V717" s="703"/>
      <c r="W717" s="703"/>
      <c r="X717" s="703"/>
      <c r="Y717" s="703"/>
      <c r="Z717" s="703"/>
    </row>
    <row r="718">
      <c r="A718" s="703"/>
      <c r="B718" s="703"/>
      <c r="C718" s="703"/>
      <c r="D718" s="703"/>
      <c r="E718" s="703"/>
      <c r="F718" s="703"/>
      <c r="G718" s="703"/>
      <c r="H718" s="703"/>
      <c r="I718" s="703"/>
      <c r="J718" s="703"/>
      <c r="K718" s="703"/>
      <c r="L718" s="703"/>
      <c r="M718" s="703"/>
      <c r="N718" s="703"/>
      <c r="O718" s="703"/>
      <c r="P718" s="703"/>
      <c r="Q718" s="703"/>
      <c r="R718" s="703"/>
      <c r="S718" s="703"/>
      <c r="T718" s="703"/>
      <c r="U718" s="703"/>
      <c r="V718" s="703"/>
      <c r="W718" s="703"/>
      <c r="X718" s="703"/>
      <c r="Y718" s="703"/>
      <c r="Z718" s="703"/>
    </row>
    <row r="719">
      <c r="A719" s="703"/>
      <c r="B719" s="703"/>
      <c r="C719" s="703"/>
      <c r="D719" s="703"/>
      <c r="E719" s="703"/>
      <c r="F719" s="703"/>
      <c r="G719" s="703"/>
      <c r="H719" s="703"/>
      <c r="I719" s="703"/>
      <c r="J719" s="703"/>
      <c r="K719" s="703"/>
      <c r="L719" s="703"/>
      <c r="M719" s="703"/>
      <c r="N719" s="703"/>
      <c r="O719" s="703"/>
      <c r="P719" s="703"/>
      <c r="Q719" s="703"/>
      <c r="R719" s="703"/>
      <c r="S719" s="703"/>
      <c r="T719" s="703"/>
      <c r="U719" s="703"/>
      <c r="V719" s="703"/>
      <c r="W719" s="703"/>
      <c r="X719" s="703"/>
      <c r="Y719" s="703"/>
      <c r="Z719" s="703"/>
    </row>
    <row r="720">
      <c r="A720" s="703"/>
      <c r="B720" s="703"/>
      <c r="C720" s="703"/>
      <c r="D720" s="703"/>
      <c r="E720" s="703"/>
      <c r="F720" s="703"/>
      <c r="G720" s="703"/>
      <c r="H720" s="703"/>
      <c r="I720" s="703"/>
      <c r="J720" s="703"/>
      <c r="K720" s="703"/>
      <c r="L720" s="703"/>
      <c r="M720" s="703"/>
      <c r="N720" s="703"/>
      <c r="O720" s="703"/>
      <c r="P720" s="703"/>
      <c r="Q720" s="703"/>
      <c r="R720" s="703"/>
      <c r="S720" s="703"/>
      <c r="T720" s="703"/>
      <c r="U720" s="703"/>
      <c r="V720" s="703"/>
      <c r="W720" s="703"/>
      <c r="X720" s="703"/>
      <c r="Y720" s="703"/>
      <c r="Z720" s="703"/>
    </row>
    <row r="721">
      <c r="A721" s="703"/>
      <c r="B721" s="703"/>
      <c r="C721" s="703"/>
      <c r="D721" s="703"/>
      <c r="E721" s="703"/>
      <c r="F721" s="703"/>
      <c r="G721" s="703"/>
      <c r="H721" s="703"/>
      <c r="I721" s="703"/>
      <c r="J721" s="703"/>
      <c r="K721" s="703"/>
      <c r="L721" s="703"/>
      <c r="M721" s="703"/>
      <c r="N721" s="703"/>
      <c r="O721" s="703"/>
      <c r="P721" s="703"/>
      <c r="Q721" s="703"/>
      <c r="R721" s="703"/>
      <c r="S721" s="703"/>
      <c r="T721" s="703"/>
      <c r="U721" s="703"/>
      <c r="V721" s="703"/>
      <c r="W721" s="703"/>
      <c r="X721" s="703"/>
      <c r="Y721" s="703"/>
      <c r="Z721" s="703"/>
    </row>
    <row r="722">
      <c r="A722" s="703"/>
      <c r="B722" s="703"/>
      <c r="C722" s="703"/>
      <c r="D722" s="703"/>
      <c r="E722" s="703"/>
      <c r="F722" s="703"/>
      <c r="G722" s="703"/>
      <c r="H722" s="703"/>
      <c r="I722" s="703"/>
      <c r="J722" s="703"/>
      <c r="K722" s="703"/>
      <c r="L722" s="703"/>
      <c r="M722" s="703"/>
      <c r="N722" s="703"/>
      <c r="O722" s="703"/>
      <c r="P722" s="703"/>
      <c r="Q722" s="703"/>
      <c r="R722" s="703"/>
      <c r="S722" s="703"/>
      <c r="T722" s="703"/>
      <c r="U722" s="703"/>
      <c r="V722" s="703"/>
      <c r="W722" s="703"/>
      <c r="X722" s="703"/>
      <c r="Y722" s="703"/>
      <c r="Z722" s="703"/>
    </row>
    <row r="723">
      <c r="A723" s="703"/>
      <c r="B723" s="703"/>
      <c r="C723" s="703"/>
      <c r="D723" s="703"/>
      <c r="E723" s="703"/>
      <c r="F723" s="703"/>
      <c r="G723" s="703"/>
      <c r="H723" s="703"/>
      <c r="I723" s="703"/>
      <c r="J723" s="703"/>
      <c r="K723" s="703"/>
      <c r="L723" s="703"/>
      <c r="M723" s="703"/>
      <c r="N723" s="703"/>
      <c r="O723" s="703"/>
      <c r="P723" s="703"/>
      <c r="Q723" s="703"/>
      <c r="R723" s="703"/>
      <c r="S723" s="703"/>
      <c r="T723" s="703"/>
      <c r="U723" s="703"/>
      <c r="V723" s="703"/>
      <c r="W723" s="703"/>
      <c r="X723" s="703"/>
      <c r="Y723" s="703"/>
      <c r="Z723" s="703"/>
    </row>
    <row r="724">
      <c r="A724" s="703"/>
      <c r="B724" s="703"/>
      <c r="C724" s="703"/>
      <c r="D724" s="703"/>
      <c r="E724" s="703"/>
      <c r="F724" s="703"/>
      <c r="G724" s="703"/>
      <c r="H724" s="703"/>
      <c r="I724" s="703"/>
      <c r="J724" s="703"/>
      <c r="K724" s="703"/>
      <c r="L724" s="703"/>
      <c r="M724" s="703"/>
      <c r="N724" s="703"/>
      <c r="O724" s="703"/>
      <c r="P724" s="703"/>
      <c r="Q724" s="703"/>
      <c r="R724" s="703"/>
      <c r="S724" s="703"/>
      <c r="T724" s="703"/>
      <c r="U724" s="703"/>
      <c r="V724" s="703"/>
      <c r="W724" s="703"/>
      <c r="X724" s="703"/>
      <c r="Y724" s="703"/>
      <c r="Z724" s="703"/>
    </row>
    <row r="725">
      <c r="A725" s="703"/>
      <c r="B725" s="703"/>
      <c r="C725" s="703"/>
      <c r="D725" s="703"/>
      <c r="E725" s="703"/>
      <c r="F725" s="703"/>
      <c r="G725" s="703"/>
      <c r="H725" s="703"/>
      <c r="I725" s="703"/>
      <c r="J725" s="703"/>
      <c r="K725" s="703"/>
      <c r="L725" s="703"/>
      <c r="M725" s="703"/>
      <c r="N725" s="703"/>
      <c r="O725" s="703"/>
      <c r="P725" s="703"/>
      <c r="Q725" s="703"/>
      <c r="R725" s="703"/>
      <c r="S725" s="703"/>
      <c r="T725" s="703"/>
      <c r="U725" s="703"/>
      <c r="V725" s="703"/>
      <c r="W725" s="703"/>
      <c r="X725" s="703"/>
      <c r="Y725" s="703"/>
      <c r="Z725" s="703"/>
    </row>
    <row r="726">
      <c r="A726" s="703"/>
      <c r="B726" s="703"/>
      <c r="C726" s="703"/>
      <c r="D726" s="703"/>
      <c r="E726" s="703"/>
      <c r="F726" s="703"/>
      <c r="G726" s="703"/>
      <c r="H726" s="703"/>
      <c r="I726" s="703"/>
      <c r="J726" s="703"/>
      <c r="K726" s="703"/>
      <c r="L726" s="703"/>
      <c r="M726" s="703"/>
      <c r="N726" s="703"/>
      <c r="O726" s="703"/>
      <c r="P726" s="703"/>
      <c r="Q726" s="703"/>
      <c r="R726" s="703"/>
      <c r="S726" s="703"/>
      <c r="T726" s="703"/>
      <c r="U726" s="703"/>
      <c r="V726" s="703"/>
      <c r="W726" s="703"/>
      <c r="X726" s="703"/>
      <c r="Y726" s="703"/>
      <c r="Z726" s="703"/>
    </row>
    <row r="727">
      <c r="A727" s="703"/>
      <c r="B727" s="703"/>
      <c r="C727" s="703"/>
      <c r="D727" s="703"/>
      <c r="E727" s="703"/>
      <c r="F727" s="703"/>
      <c r="G727" s="703"/>
      <c r="H727" s="703"/>
      <c r="I727" s="703"/>
      <c r="J727" s="703"/>
      <c r="K727" s="703"/>
      <c r="L727" s="703"/>
      <c r="M727" s="703"/>
      <c r="N727" s="703"/>
      <c r="O727" s="703"/>
      <c r="P727" s="703"/>
      <c r="Q727" s="703"/>
      <c r="R727" s="703"/>
      <c r="S727" s="703"/>
      <c r="T727" s="703"/>
      <c r="U727" s="703"/>
      <c r="V727" s="703"/>
      <c r="W727" s="703"/>
      <c r="X727" s="703"/>
      <c r="Y727" s="703"/>
      <c r="Z727" s="703"/>
    </row>
    <row r="728">
      <c r="A728" s="703"/>
      <c r="B728" s="703"/>
      <c r="C728" s="703"/>
      <c r="D728" s="703"/>
      <c r="E728" s="703"/>
      <c r="F728" s="703"/>
      <c r="G728" s="703"/>
      <c r="H728" s="703"/>
      <c r="I728" s="703"/>
      <c r="J728" s="703"/>
      <c r="K728" s="703"/>
      <c r="L728" s="703"/>
      <c r="M728" s="703"/>
      <c r="N728" s="703"/>
      <c r="O728" s="703"/>
      <c r="P728" s="703"/>
      <c r="Q728" s="703"/>
      <c r="R728" s="703"/>
      <c r="S728" s="703"/>
      <c r="T728" s="703"/>
      <c r="U728" s="703"/>
      <c r="V728" s="703"/>
      <c r="W728" s="703"/>
      <c r="X728" s="703"/>
      <c r="Y728" s="703"/>
      <c r="Z728" s="703"/>
    </row>
    <row r="729">
      <c r="A729" s="703"/>
      <c r="B729" s="703"/>
      <c r="C729" s="703"/>
      <c r="D729" s="703"/>
      <c r="E729" s="703"/>
      <c r="F729" s="703"/>
      <c r="G729" s="703"/>
      <c r="H729" s="703"/>
      <c r="I729" s="703"/>
      <c r="J729" s="703"/>
      <c r="K729" s="703"/>
      <c r="L729" s="703"/>
      <c r="M729" s="703"/>
      <c r="N729" s="703"/>
      <c r="O729" s="703"/>
      <c r="P729" s="703"/>
      <c r="Q729" s="703"/>
      <c r="R729" s="703"/>
      <c r="S729" s="703"/>
      <c r="T729" s="703"/>
      <c r="U729" s="703"/>
      <c r="V729" s="703"/>
      <c r="W729" s="703"/>
      <c r="X729" s="703"/>
      <c r="Y729" s="703"/>
      <c r="Z729" s="703"/>
    </row>
    <row r="730">
      <c r="A730" s="703"/>
      <c r="B730" s="703"/>
      <c r="C730" s="703"/>
      <c r="D730" s="703"/>
      <c r="E730" s="703"/>
      <c r="F730" s="703"/>
      <c r="G730" s="703"/>
      <c r="H730" s="703"/>
      <c r="I730" s="703"/>
      <c r="J730" s="703"/>
      <c r="K730" s="703"/>
      <c r="L730" s="703"/>
      <c r="M730" s="703"/>
      <c r="N730" s="703"/>
      <c r="O730" s="703"/>
      <c r="P730" s="703"/>
      <c r="Q730" s="703"/>
      <c r="R730" s="703"/>
      <c r="S730" s="703"/>
      <c r="T730" s="703"/>
      <c r="U730" s="703"/>
      <c r="V730" s="703"/>
      <c r="W730" s="703"/>
      <c r="X730" s="703"/>
      <c r="Y730" s="703"/>
      <c r="Z730" s="703"/>
    </row>
    <row r="731">
      <c r="A731" s="703"/>
      <c r="B731" s="703"/>
      <c r="C731" s="703"/>
      <c r="D731" s="703"/>
      <c r="E731" s="703"/>
      <c r="F731" s="703"/>
      <c r="G731" s="703"/>
      <c r="H731" s="703"/>
      <c r="I731" s="703"/>
      <c r="J731" s="703"/>
      <c r="K731" s="703"/>
      <c r="L731" s="703"/>
      <c r="M731" s="703"/>
      <c r="N731" s="703"/>
      <c r="O731" s="703"/>
      <c r="P731" s="703"/>
      <c r="Q731" s="703"/>
      <c r="R731" s="703"/>
      <c r="S731" s="703"/>
      <c r="T731" s="703"/>
      <c r="U731" s="703"/>
      <c r="V731" s="703"/>
      <c r="W731" s="703"/>
      <c r="X731" s="703"/>
      <c r="Y731" s="703"/>
      <c r="Z731" s="703"/>
    </row>
    <row r="732">
      <c r="A732" s="703"/>
      <c r="B732" s="703"/>
      <c r="C732" s="703"/>
      <c r="D732" s="703"/>
      <c r="E732" s="703"/>
      <c r="F732" s="703"/>
      <c r="G732" s="703"/>
      <c r="H732" s="703"/>
      <c r="I732" s="703"/>
      <c r="J732" s="703"/>
      <c r="K732" s="703"/>
      <c r="L732" s="703"/>
      <c r="M732" s="703"/>
      <c r="N732" s="703"/>
      <c r="O732" s="703"/>
      <c r="P732" s="703"/>
      <c r="Q732" s="703"/>
      <c r="R732" s="703"/>
      <c r="S732" s="703"/>
      <c r="T732" s="703"/>
      <c r="U732" s="703"/>
      <c r="V732" s="703"/>
      <c r="W732" s="703"/>
      <c r="X732" s="703"/>
      <c r="Y732" s="703"/>
      <c r="Z732" s="703"/>
    </row>
    <row r="733">
      <c r="A733" s="703"/>
      <c r="B733" s="703"/>
      <c r="C733" s="703"/>
      <c r="D733" s="703"/>
      <c r="E733" s="703"/>
      <c r="F733" s="703"/>
      <c r="G733" s="703"/>
      <c r="H733" s="703"/>
      <c r="I733" s="703"/>
      <c r="J733" s="703"/>
      <c r="K733" s="703"/>
      <c r="L733" s="703"/>
      <c r="M733" s="703"/>
      <c r="N733" s="703"/>
      <c r="O733" s="703"/>
      <c r="P733" s="703"/>
      <c r="Q733" s="703"/>
      <c r="R733" s="703"/>
      <c r="S733" s="703"/>
      <c r="T733" s="703"/>
      <c r="U733" s="703"/>
      <c r="V733" s="703"/>
      <c r="W733" s="703"/>
      <c r="X733" s="703"/>
      <c r="Y733" s="703"/>
      <c r="Z733" s="703"/>
    </row>
    <row r="734">
      <c r="A734" s="703"/>
      <c r="B734" s="703"/>
      <c r="C734" s="703"/>
      <c r="D734" s="703"/>
      <c r="E734" s="703"/>
      <c r="F734" s="703"/>
      <c r="G734" s="703"/>
      <c r="H734" s="703"/>
      <c r="I734" s="703"/>
      <c r="J734" s="703"/>
      <c r="K734" s="703"/>
      <c r="L734" s="703"/>
      <c r="M734" s="703"/>
      <c r="N734" s="703"/>
      <c r="O734" s="703"/>
      <c r="P734" s="703"/>
      <c r="Q734" s="703"/>
      <c r="R734" s="703"/>
      <c r="S734" s="703"/>
      <c r="T734" s="703"/>
      <c r="U734" s="703"/>
      <c r="V734" s="703"/>
      <c r="W734" s="703"/>
      <c r="X734" s="703"/>
      <c r="Y734" s="703"/>
      <c r="Z734" s="703"/>
    </row>
    <row r="735">
      <c r="A735" s="703"/>
      <c r="B735" s="703"/>
      <c r="C735" s="703"/>
      <c r="D735" s="703"/>
      <c r="E735" s="703"/>
      <c r="F735" s="703"/>
      <c r="G735" s="703"/>
      <c r="H735" s="703"/>
      <c r="I735" s="703"/>
      <c r="J735" s="703"/>
      <c r="K735" s="703"/>
      <c r="L735" s="703"/>
      <c r="M735" s="703"/>
      <c r="N735" s="703"/>
      <c r="O735" s="703"/>
      <c r="P735" s="703"/>
      <c r="Q735" s="703"/>
      <c r="R735" s="703"/>
      <c r="S735" s="703"/>
      <c r="T735" s="703"/>
      <c r="U735" s="703"/>
      <c r="V735" s="703"/>
      <c r="W735" s="703"/>
      <c r="X735" s="703"/>
      <c r="Y735" s="703"/>
      <c r="Z735" s="703"/>
    </row>
    <row r="736">
      <c r="A736" s="703"/>
      <c r="B736" s="703"/>
      <c r="C736" s="703"/>
      <c r="D736" s="703"/>
      <c r="E736" s="703"/>
      <c r="F736" s="703"/>
      <c r="G736" s="703"/>
      <c r="H736" s="703"/>
      <c r="I736" s="703"/>
      <c r="J736" s="703"/>
      <c r="K736" s="703"/>
      <c r="L736" s="703"/>
      <c r="M736" s="703"/>
      <c r="N736" s="703"/>
      <c r="O736" s="703"/>
      <c r="P736" s="703"/>
      <c r="Q736" s="703"/>
      <c r="R736" s="703"/>
      <c r="S736" s="703"/>
      <c r="T736" s="703"/>
      <c r="U736" s="703"/>
      <c r="V736" s="703"/>
      <c r="W736" s="703"/>
      <c r="X736" s="703"/>
      <c r="Y736" s="703"/>
      <c r="Z736" s="703"/>
    </row>
    <row r="737">
      <c r="A737" s="703"/>
      <c r="B737" s="703"/>
      <c r="C737" s="703"/>
      <c r="D737" s="703"/>
      <c r="E737" s="703"/>
      <c r="F737" s="703"/>
      <c r="G737" s="703"/>
      <c r="H737" s="703"/>
      <c r="I737" s="703"/>
      <c r="J737" s="703"/>
      <c r="K737" s="703"/>
      <c r="L737" s="703"/>
      <c r="M737" s="703"/>
      <c r="N737" s="703"/>
      <c r="O737" s="703"/>
      <c r="P737" s="703"/>
      <c r="Q737" s="703"/>
      <c r="R737" s="703"/>
      <c r="S737" s="703"/>
      <c r="T737" s="703"/>
      <c r="U737" s="703"/>
      <c r="V737" s="703"/>
      <c r="W737" s="703"/>
      <c r="X737" s="703"/>
      <c r="Y737" s="703"/>
      <c r="Z737" s="703"/>
    </row>
    <row r="738">
      <c r="A738" s="703"/>
      <c r="B738" s="703"/>
      <c r="C738" s="703"/>
      <c r="D738" s="703"/>
      <c r="E738" s="703"/>
      <c r="F738" s="703"/>
      <c r="G738" s="703"/>
      <c r="H738" s="703"/>
      <c r="I738" s="703"/>
      <c r="J738" s="703"/>
      <c r="K738" s="703"/>
      <c r="L738" s="703"/>
      <c r="M738" s="703"/>
      <c r="N738" s="703"/>
      <c r="O738" s="703"/>
      <c r="P738" s="703"/>
      <c r="Q738" s="703"/>
      <c r="R738" s="703"/>
      <c r="S738" s="703"/>
      <c r="T738" s="703"/>
      <c r="U738" s="703"/>
      <c r="V738" s="703"/>
      <c r="W738" s="703"/>
      <c r="X738" s="703"/>
      <c r="Y738" s="703"/>
      <c r="Z738" s="703"/>
    </row>
    <row r="739">
      <c r="A739" s="703"/>
      <c r="B739" s="703"/>
      <c r="C739" s="703"/>
      <c r="D739" s="703"/>
      <c r="E739" s="703"/>
      <c r="F739" s="703"/>
      <c r="G739" s="703"/>
      <c r="H739" s="703"/>
      <c r="I739" s="703"/>
      <c r="J739" s="703"/>
      <c r="K739" s="703"/>
      <c r="L739" s="703"/>
      <c r="M739" s="703"/>
      <c r="N739" s="703"/>
      <c r="O739" s="703"/>
      <c r="P739" s="703"/>
      <c r="Q739" s="703"/>
      <c r="R739" s="703"/>
      <c r="S739" s="703"/>
      <c r="T739" s="703"/>
      <c r="U739" s="703"/>
      <c r="V739" s="703"/>
      <c r="W739" s="703"/>
      <c r="X739" s="703"/>
      <c r="Y739" s="703"/>
      <c r="Z739" s="703"/>
    </row>
    <row r="740">
      <c r="A740" s="703"/>
      <c r="B740" s="703"/>
      <c r="C740" s="703"/>
      <c r="D740" s="703"/>
      <c r="E740" s="703"/>
      <c r="F740" s="703"/>
      <c r="G740" s="703"/>
      <c r="H740" s="703"/>
      <c r="I740" s="703"/>
      <c r="J740" s="703"/>
      <c r="K740" s="703"/>
      <c r="L740" s="703"/>
      <c r="M740" s="703"/>
      <c r="N740" s="703"/>
      <c r="O740" s="703"/>
      <c r="P740" s="703"/>
      <c r="Q740" s="703"/>
      <c r="R740" s="703"/>
      <c r="S740" s="703"/>
      <c r="T740" s="703"/>
      <c r="U740" s="703"/>
      <c r="V740" s="703"/>
      <c r="W740" s="703"/>
      <c r="X740" s="703"/>
      <c r="Y740" s="703"/>
      <c r="Z740" s="703"/>
    </row>
    <row r="741">
      <c r="A741" s="703"/>
      <c r="B741" s="703"/>
      <c r="C741" s="703"/>
      <c r="D741" s="703"/>
      <c r="E741" s="703"/>
      <c r="F741" s="703"/>
      <c r="G741" s="703"/>
      <c r="H741" s="703"/>
      <c r="I741" s="703"/>
      <c r="J741" s="703"/>
      <c r="K741" s="703"/>
      <c r="L741" s="703"/>
      <c r="M741" s="703"/>
      <c r="N741" s="703"/>
      <c r="O741" s="703"/>
      <c r="P741" s="703"/>
      <c r="Q741" s="703"/>
      <c r="R741" s="703"/>
      <c r="S741" s="703"/>
      <c r="T741" s="703"/>
      <c r="U741" s="703"/>
      <c r="V741" s="703"/>
      <c r="W741" s="703"/>
      <c r="X741" s="703"/>
      <c r="Y741" s="703"/>
      <c r="Z741" s="703"/>
    </row>
    <row r="742">
      <c r="A742" s="703"/>
      <c r="B742" s="703"/>
      <c r="C742" s="703"/>
      <c r="D742" s="703"/>
      <c r="E742" s="703"/>
      <c r="F742" s="703"/>
      <c r="G742" s="703"/>
      <c r="H742" s="703"/>
      <c r="I742" s="703"/>
      <c r="J742" s="703"/>
      <c r="K742" s="703"/>
      <c r="L742" s="703"/>
      <c r="M742" s="703"/>
      <c r="N742" s="703"/>
      <c r="O742" s="703"/>
      <c r="P742" s="703"/>
      <c r="Q742" s="703"/>
      <c r="R742" s="703"/>
      <c r="S742" s="703"/>
      <c r="T742" s="703"/>
      <c r="U742" s="703"/>
      <c r="V742" s="703"/>
      <c r="W742" s="703"/>
      <c r="X742" s="703"/>
      <c r="Y742" s="703"/>
      <c r="Z742" s="703"/>
    </row>
    <row r="743">
      <c r="A743" s="703"/>
      <c r="B743" s="703"/>
      <c r="C743" s="703"/>
      <c r="D743" s="703"/>
      <c r="E743" s="703"/>
      <c r="F743" s="703"/>
      <c r="G743" s="703"/>
      <c r="H743" s="703"/>
      <c r="I743" s="703"/>
      <c r="J743" s="703"/>
      <c r="K743" s="703"/>
      <c r="L743" s="703"/>
      <c r="M743" s="703"/>
      <c r="N743" s="703"/>
      <c r="O743" s="703"/>
      <c r="P743" s="703"/>
      <c r="Q743" s="703"/>
      <c r="R743" s="703"/>
      <c r="S743" s="703"/>
      <c r="T743" s="703"/>
      <c r="U743" s="703"/>
      <c r="V743" s="703"/>
      <c r="W743" s="703"/>
      <c r="X743" s="703"/>
      <c r="Y743" s="703"/>
      <c r="Z743" s="703"/>
    </row>
    <row r="744">
      <c r="A744" s="703"/>
      <c r="B744" s="703"/>
      <c r="C744" s="703"/>
      <c r="D744" s="703"/>
      <c r="E744" s="703"/>
      <c r="F744" s="703"/>
      <c r="G744" s="703"/>
      <c r="H744" s="703"/>
      <c r="I744" s="703"/>
      <c r="J744" s="703"/>
      <c r="K744" s="703"/>
      <c r="L744" s="703"/>
      <c r="M744" s="703"/>
      <c r="N744" s="703"/>
      <c r="O744" s="703"/>
      <c r="P744" s="703"/>
      <c r="Q744" s="703"/>
      <c r="R744" s="703"/>
      <c r="S744" s="703"/>
      <c r="T744" s="703"/>
      <c r="U744" s="703"/>
      <c r="V744" s="703"/>
      <c r="W744" s="703"/>
      <c r="X744" s="703"/>
      <c r="Y744" s="703"/>
      <c r="Z744" s="703"/>
    </row>
    <row r="745">
      <c r="A745" s="703"/>
      <c r="B745" s="703"/>
      <c r="C745" s="703"/>
      <c r="D745" s="703"/>
      <c r="E745" s="703"/>
      <c r="F745" s="703"/>
      <c r="G745" s="703"/>
      <c r="H745" s="703"/>
      <c r="I745" s="703"/>
      <c r="J745" s="703"/>
      <c r="K745" s="703"/>
      <c r="L745" s="703"/>
      <c r="M745" s="703"/>
      <c r="N745" s="703"/>
      <c r="O745" s="703"/>
      <c r="P745" s="703"/>
      <c r="Q745" s="703"/>
      <c r="R745" s="703"/>
      <c r="S745" s="703"/>
      <c r="T745" s="703"/>
      <c r="U745" s="703"/>
      <c r="V745" s="703"/>
      <c r="W745" s="703"/>
      <c r="X745" s="703"/>
      <c r="Y745" s="703"/>
      <c r="Z745" s="703"/>
    </row>
    <row r="746">
      <c r="A746" s="703"/>
      <c r="B746" s="703"/>
      <c r="C746" s="703"/>
      <c r="D746" s="703"/>
      <c r="E746" s="703"/>
      <c r="F746" s="703"/>
      <c r="G746" s="703"/>
      <c r="H746" s="703"/>
      <c r="I746" s="703"/>
      <c r="J746" s="703"/>
      <c r="K746" s="703"/>
      <c r="L746" s="703"/>
      <c r="M746" s="703"/>
      <c r="N746" s="703"/>
      <c r="O746" s="703"/>
      <c r="P746" s="703"/>
      <c r="Q746" s="703"/>
      <c r="R746" s="703"/>
      <c r="S746" s="703"/>
      <c r="T746" s="703"/>
      <c r="U746" s="703"/>
      <c r="V746" s="703"/>
      <c r="W746" s="703"/>
      <c r="X746" s="703"/>
      <c r="Y746" s="703"/>
      <c r="Z746" s="703"/>
    </row>
    <row r="747">
      <c r="A747" s="703"/>
      <c r="B747" s="703"/>
      <c r="C747" s="703"/>
      <c r="D747" s="703"/>
      <c r="E747" s="703"/>
      <c r="F747" s="703"/>
      <c r="G747" s="703"/>
      <c r="H747" s="703"/>
      <c r="I747" s="703"/>
      <c r="J747" s="703"/>
      <c r="K747" s="703"/>
      <c r="L747" s="703"/>
      <c r="M747" s="703"/>
      <c r="N747" s="703"/>
      <c r="O747" s="703"/>
      <c r="P747" s="703"/>
      <c r="Q747" s="703"/>
      <c r="R747" s="703"/>
      <c r="S747" s="703"/>
      <c r="T747" s="703"/>
      <c r="U747" s="703"/>
      <c r="V747" s="703"/>
      <c r="W747" s="703"/>
      <c r="X747" s="703"/>
      <c r="Y747" s="703"/>
      <c r="Z747" s="703"/>
    </row>
    <row r="748">
      <c r="A748" s="703"/>
      <c r="B748" s="703"/>
      <c r="C748" s="703"/>
      <c r="D748" s="703"/>
      <c r="E748" s="703"/>
      <c r="F748" s="703"/>
      <c r="G748" s="703"/>
      <c r="H748" s="703"/>
      <c r="I748" s="703"/>
      <c r="J748" s="703"/>
      <c r="K748" s="703"/>
      <c r="L748" s="703"/>
      <c r="M748" s="703"/>
      <c r="N748" s="703"/>
      <c r="O748" s="703"/>
      <c r="P748" s="703"/>
      <c r="Q748" s="703"/>
      <c r="R748" s="703"/>
      <c r="S748" s="703"/>
      <c r="T748" s="703"/>
      <c r="U748" s="703"/>
      <c r="V748" s="703"/>
      <c r="W748" s="703"/>
      <c r="X748" s="703"/>
      <c r="Y748" s="703"/>
      <c r="Z748" s="703"/>
    </row>
    <row r="749">
      <c r="A749" s="703"/>
      <c r="B749" s="703"/>
      <c r="C749" s="703"/>
      <c r="D749" s="703"/>
      <c r="E749" s="703"/>
      <c r="F749" s="703"/>
      <c r="G749" s="703"/>
      <c r="H749" s="703"/>
      <c r="I749" s="703"/>
      <c r="J749" s="703"/>
      <c r="K749" s="703"/>
      <c r="L749" s="703"/>
      <c r="M749" s="703"/>
      <c r="N749" s="703"/>
      <c r="O749" s="703"/>
      <c r="P749" s="703"/>
      <c r="Q749" s="703"/>
      <c r="R749" s="703"/>
      <c r="S749" s="703"/>
      <c r="T749" s="703"/>
      <c r="U749" s="703"/>
      <c r="V749" s="703"/>
      <c r="W749" s="703"/>
      <c r="X749" s="703"/>
      <c r="Y749" s="703"/>
      <c r="Z749" s="703"/>
    </row>
    <row r="750">
      <c r="A750" s="703"/>
      <c r="B750" s="703"/>
      <c r="C750" s="703"/>
      <c r="D750" s="703"/>
      <c r="E750" s="703"/>
      <c r="F750" s="703"/>
      <c r="G750" s="703"/>
      <c r="H750" s="703"/>
      <c r="I750" s="703"/>
      <c r="J750" s="703"/>
      <c r="K750" s="703"/>
      <c r="L750" s="703"/>
      <c r="M750" s="703"/>
      <c r="N750" s="703"/>
      <c r="O750" s="703"/>
      <c r="P750" s="703"/>
      <c r="Q750" s="703"/>
      <c r="R750" s="703"/>
      <c r="S750" s="703"/>
      <c r="T750" s="703"/>
      <c r="U750" s="703"/>
      <c r="V750" s="703"/>
      <c r="W750" s="703"/>
      <c r="X750" s="703"/>
      <c r="Y750" s="703"/>
      <c r="Z750" s="703"/>
    </row>
    <row r="751">
      <c r="A751" s="703"/>
      <c r="B751" s="703"/>
      <c r="C751" s="703"/>
      <c r="D751" s="703"/>
      <c r="E751" s="703"/>
      <c r="F751" s="703"/>
      <c r="G751" s="703"/>
      <c r="H751" s="703"/>
      <c r="I751" s="703"/>
      <c r="J751" s="703"/>
      <c r="K751" s="703"/>
      <c r="L751" s="703"/>
      <c r="M751" s="703"/>
      <c r="N751" s="703"/>
      <c r="O751" s="703"/>
      <c r="P751" s="703"/>
      <c r="Q751" s="703"/>
      <c r="R751" s="703"/>
      <c r="S751" s="703"/>
      <c r="T751" s="703"/>
      <c r="U751" s="703"/>
      <c r="V751" s="703"/>
      <c r="W751" s="703"/>
      <c r="X751" s="703"/>
      <c r="Y751" s="703"/>
      <c r="Z751" s="703"/>
    </row>
    <row r="752">
      <c r="A752" s="703"/>
      <c r="B752" s="703"/>
      <c r="C752" s="703"/>
      <c r="D752" s="703"/>
      <c r="E752" s="703"/>
      <c r="F752" s="703"/>
      <c r="G752" s="703"/>
      <c r="H752" s="703"/>
      <c r="I752" s="703"/>
      <c r="J752" s="703"/>
      <c r="K752" s="703"/>
      <c r="L752" s="703"/>
      <c r="M752" s="703"/>
      <c r="N752" s="703"/>
      <c r="O752" s="703"/>
      <c r="P752" s="703"/>
      <c r="Q752" s="703"/>
      <c r="R752" s="703"/>
      <c r="S752" s="703"/>
      <c r="T752" s="703"/>
      <c r="U752" s="703"/>
      <c r="V752" s="703"/>
      <c r="W752" s="703"/>
      <c r="X752" s="703"/>
      <c r="Y752" s="703"/>
      <c r="Z752" s="703"/>
    </row>
    <row r="753">
      <c r="A753" s="703"/>
      <c r="B753" s="703"/>
      <c r="C753" s="703"/>
      <c r="D753" s="703"/>
      <c r="E753" s="703"/>
      <c r="F753" s="703"/>
      <c r="G753" s="703"/>
      <c r="H753" s="703"/>
      <c r="I753" s="703"/>
      <c r="J753" s="703"/>
      <c r="K753" s="703"/>
      <c r="L753" s="703"/>
      <c r="M753" s="703"/>
      <c r="N753" s="703"/>
      <c r="O753" s="703"/>
      <c r="P753" s="703"/>
      <c r="Q753" s="703"/>
      <c r="R753" s="703"/>
      <c r="S753" s="703"/>
      <c r="T753" s="703"/>
      <c r="U753" s="703"/>
      <c r="V753" s="703"/>
      <c r="W753" s="703"/>
      <c r="X753" s="703"/>
      <c r="Y753" s="703"/>
      <c r="Z753" s="703"/>
    </row>
    <row r="754">
      <c r="A754" s="703"/>
      <c r="B754" s="703"/>
      <c r="C754" s="703"/>
      <c r="D754" s="703"/>
      <c r="E754" s="703"/>
      <c r="F754" s="703"/>
      <c r="G754" s="703"/>
      <c r="H754" s="703"/>
      <c r="I754" s="703"/>
      <c r="J754" s="703"/>
      <c r="K754" s="703"/>
      <c r="L754" s="703"/>
      <c r="M754" s="703"/>
      <c r="N754" s="703"/>
      <c r="O754" s="703"/>
      <c r="P754" s="703"/>
      <c r="Q754" s="703"/>
      <c r="R754" s="703"/>
      <c r="S754" s="703"/>
      <c r="T754" s="703"/>
      <c r="U754" s="703"/>
      <c r="V754" s="703"/>
      <c r="W754" s="703"/>
      <c r="X754" s="703"/>
      <c r="Y754" s="703"/>
      <c r="Z754" s="703"/>
    </row>
    <row r="755">
      <c r="A755" s="703"/>
      <c r="B755" s="703"/>
      <c r="C755" s="703"/>
      <c r="D755" s="703"/>
      <c r="E755" s="703"/>
      <c r="F755" s="703"/>
      <c r="G755" s="703"/>
      <c r="H755" s="703"/>
      <c r="I755" s="703"/>
      <c r="J755" s="703"/>
      <c r="K755" s="703"/>
      <c r="L755" s="703"/>
      <c r="M755" s="703"/>
      <c r="N755" s="703"/>
      <c r="O755" s="703"/>
      <c r="P755" s="703"/>
      <c r="Q755" s="703"/>
      <c r="R755" s="703"/>
      <c r="S755" s="703"/>
      <c r="T755" s="703"/>
      <c r="U755" s="703"/>
      <c r="V755" s="703"/>
      <c r="W755" s="703"/>
      <c r="X755" s="703"/>
      <c r="Y755" s="703"/>
      <c r="Z755" s="703"/>
    </row>
    <row r="756">
      <c r="A756" s="703"/>
      <c r="B756" s="703"/>
      <c r="C756" s="703"/>
      <c r="D756" s="703"/>
      <c r="E756" s="703"/>
      <c r="F756" s="703"/>
      <c r="G756" s="703"/>
      <c r="H756" s="703"/>
      <c r="I756" s="703"/>
      <c r="J756" s="703"/>
      <c r="K756" s="703"/>
      <c r="L756" s="703"/>
      <c r="M756" s="703"/>
      <c r="N756" s="703"/>
      <c r="O756" s="703"/>
      <c r="P756" s="703"/>
      <c r="Q756" s="703"/>
      <c r="R756" s="703"/>
      <c r="S756" s="703"/>
      <c r="T756" s="703"/>
      <c r="U756" s="703"/>
      <c r="V756" s="703"/>
      <c r="W756" s="703"/>
      <c r="X756" s="703"/>
      <c r="Y756" s="703"/>
      <c r="Z756" s="703"/>
    </row>
    <row r="757">
      <c r="A757" s="703"/>
      <c r="B757" s="703"/>
      <c r="C757" s="703"/>
      <c r="D757" s="703"/>
      <c r="E757" s="703"/>
      <c r="F757" s="703"/>
      <c r="G757" s="703"/>
      <c r="H757" s="703"/>
      <c r="I757" s="703"/>
      <c r="J757" s="703"/>
      <c r="K757" s="703"/>
      <c r="L757" s="703"/>
      <c r="M757" s="703"/>
      <c r="N757" s="703"/>
      <c r="O757" s="703"/>
      <c r="P757" s="703"/>
      <c r="Q757" s="703"/>
      <c r="R757" s="703"/>
      <c r="S757" s="703"/>
      <c r="T757" s="703"/>
      <c r="U757" s="703"/>
      <c r="V757" s="703"/>
      <c r="W757" s="703"/>
      <c r="X757" s="703"/>
      <c r="Y757" s="703"/>
      <c r="Z757" s="703"/>
    </row>
    <row r="758">
      <c r="A758" s="703"/>
      <c r="B758" s="703"/>
      <c r="C758" s="703"/>
      <c r="D758" s="703"/>
      <c r="E758" s="703"/>
      <c r="F758" s="703"/>
      <c r="G758" s="703"/>
      <c r="H758" s="703"/>
      <c r="I758" s="703"/>
      <c r="J758" s="703"/>
      <c r="K758" s="703"/>
      <c r="L758" s="703"/>
      <c r="M758" s="703"/>
      <c r="N758" s="703"/>
      <c r="O758" s="703"/>
      <c r="P758" s="703"/>
      <c r="Q758" s="703"/>
      <c r="R758" s="703"/>
      <c r="S758" s="703"/>
      <c r="T758" s="703"/>
      <c r="U758" s="703"/>
      <c r="V758" s="703"/>
      <c r="W758" s="703"/>
      <c r="X758" s="703"/>
      <c r="Y758" s="703"/>
      <c r="Z758" s="703"/>
    </row>
    <row r="759">
      <c r="A759" s="703"/>
      <c r="B759" s="703"/>
      <c r="C759" s="703"/>
      <c r="D759" s="703"/>
      <c r="E759" s="703"/>
      <c r="F759" s="703"/>
      <c r="G759" s="703"/>
      <c r="H759" s="703"/>
      <c r="I759" s="703"/>
      <c r="J759" s="703"/>
      <c r="K759" s="703"/>
      <c r="L759" s="703"/>
      <c r="M759" s="703"/>
      <c r="N759" s="703"/>
      <c r="O759" s="703"/>
      <c r="P759" s="703"/>
      <c r="Q759" s="703"/>
      <c r="R759" s="703"/>
      <c r="S759" s="703"/>
      <c r="T759" s="703"/>
      <c r="U759" s="703"/>
      <c r="V759" s="703"/>
      <c r="W759" s="703"/>
      <c r="X759" s="703"/>
      <c r="Y759" s="703"/>
      <c r="Z759" s="703"/>
    </row>
    <row r="760">
      <c r="A760" s="703"/>
      <c r="B760" s="703"/>
      <c r="C760" s="703"/>
      <c r="D760" s="703"/>
      <c r="E760" s="703"/>
      <c r="F760" s="703"/>
      <c r="G760" s="703"/>
      <c r="H760" s="703"/>
      <c r="I760" s="703"/>
      <c r="J760" s="703"/>
      <c r="K760" s="703"/>
      <c r="L760" s="703"/>
      <c r="M760" s="703"/>
      <c r="N760" s="703"/>
      <c r="O760" s="703"/>
      <c r="P760" s="703"/>
      <c r="Q760" s="703"/>
      <c r="R760" s="703"/>
      <c r="S760" s="703"/>
      <c r="T760" s="703"/>
      <c r="U760" s="703"/>
      <c r="V760" s="703"/>
      <c r="W760" s="703"/>
      <c r="X760" s="703"/>
      <c r="Y760" s="703"/>
      <c r="Z760" s="703"/>
    </row>
    <row r="761">
      <c r="A761" s="703"/>
      <c r="B761" s="703"/>
      <c r="C761" s="703"/>
      <c r="D761" s="703"/>
      <c r="E761" s="703"/>
      <c r="F761" s="703"/>
      <c r="G761" s="703"/>
      <c r="H761" s="703"/>
      <c r="I761" s="703"/>
      <c r="J761" s="703"/>
      <c r="K761" s="703"/>
      <c r="L761" s="703"/>
      <c r="M761" s="703"/>
      <c r="N761" s="703"/>
      <c r="O761" s="703"/>
      <c r="P761" s="703"/>
      <c r="Q761" s="703"/>
      <c r="R761" s="703"/>
      <c r="S761" s="703"/>
      <c r="T761" s="703"/>
      <c r="U761" s="703"/>
      <c r="V761" s="703"/>
      <c r="W761" s="703"/>
      <c r="X761" s="703"/>
      <c r="Y761" s="703"/>
      <c r="Z761" s="703"/>
    </row>
    <row r="762">
      <c r="A762" s="703"/>
      <c r="B762" s="703"/>
      <c r="C762" s="703"/>
      <c r="D762" s="703"/>
      <c r="E762" s="703"/>
      <c r="F762" s="703"/>
      <c r="G762" s="703"/>
      <c r="H762" s="703"/>
      <c r="I762" s="703"/>
      <c r="J762" s="703"/>
      <c r="K762" s="703"/>
      <c r="L762" s="703"/>
      <c r="M762" s="703"/>
      <c r="N762" s="703"/>
      <c r="O762" s="703"/>
      <c r="P762" s="703"/>
      <c r="Q762" s="703"/>
      <c r="R762" s="703"/>
      <c r="S762" s="703"/>
      <c r="T762" s="703"/>
      <c r="U762" s="703"/>
      <c r="V762" s="703"/>
      <c r="W762" s="703"/>
      <c r="X762" s="703"/>
      <c r="Y762" s="703"/>
      <c r="Z762" s="703"/>
    </row>
    <row r="763">
      <c r="A763" s="703"/>
      <c r="B763" s="703"/>
      <c r="C763" s="703"/>
      <c r="D763" s="703"/>
      <c r="E763" s="703"/>
      <c r="F763" s="703"/>
      <c r="G763" s="703"/>
      <c r="H763" s="703"/>
      <c r="I763" s="703"/>
      <c r="J763" s="703"/>
      <c r="K763" s="703"/>
      <c r="L763" s="703"/>
      <c r="M763" s="703"/>
      <c r="N763" s="703"/>
      <c r="O763" s="703"/>
      <c r="P763" s="703"/>
      <c r="Q763" s="703"/>
      <c r="R763" s="703"/>
      <c r="S763" s="703"/>
      <c r="T763" s="703"/>
      <c r="U763" s="703"/>
      <c r="V763" s="703"/>
      <c r="W763" s="703"/>
      <c r="X763" s="703"/>
      <c r="Y763" s="703"/>
      <c r="Z763" s="703"/>
    </row>
    <row r="764">
      <c r="A764" s="703"/>
      <c r="B764" s="703"/>
      <c r="C764" s="703"/>
      <c r="D764" s="703"/>
      <c r="E764" s="703"/>
      <c r="F764" s="703"/>
      <c r="G764" s="703"/>
      <c r="H764" s="703"/>
      <c r="I764" s="703"/>
      <c r="J764" s="703"/>
      <c r="K764" s="703"/>
      <c r="L764" s="703"/>
      <c r="M764" s="703"/>
      <c r="N764" s="703"/>
      <c r="O764" s="703"/>
      <c r="P764" s="703"/>
      <c r="Q764" s="703"/>
      <c r="R764" s="703"/>
      <c r="S764" s="703"/>
      <c r="T764" s="703"/>
      <c r="U764" s="703"/>
      <c r="V764" s="703"/>
      <c r="W764" s="703"/>
      <c r="X764" s="703"/>
      <c r="Y764" s="703"/>
      <c r="Z764" s="703"/>
    </row>
    <row r="765">
      <c r="A765" s="703"/>
      <c r="B765" s="703"/>
      <c r="C765" s="703"/>
      <c r="D765" s="703"/>
      <c r="E765" s="703"/>
      <c r="F765" s="703"/>
      <c r="G765" s="703"/>
      <c r="H765" s="703"/>
      <c r="I765" s="703"/>
      <c r="J765" s="703"/>
      <c r="K765" s="703"/>
      <c r="L765" s="703"/>
      <c r="M765" s="703"/>
      <c r="N765" s="703"/>
      <c r="O765" s="703"/>
      <c r="P765" s="703"/>
      <c r="Q765" s="703"/>
      <c r="R765" s="703"/>
      <c r="S765" s="703"/>
      <c r="T765" s="703"/>
      <c r="U765" s="703"/>
      <c r="V765" s="703"/>
      <c r="W765" s="703"/>
      <c r="X765" s="703"/>
      <c r="Y765" s="703"/>
      <c r="Z765" s="703"/>
    </row>
    <row r="766">
      <c r="A766" s="703"/>
      <c r="B766" s="703"/>
      <c r="C766" s="703"/>
      <c r="D766" s="703"/>
      <c r="E766" s="703"/>
      <c r="F766" s="703"/>
      <c r="G766" s="703"/>
      <c r="H766" s="703"/>
      <c r="I766" s="703"/>
      <c r="J766" s="703"/>
      <c r="K766" s="703"/>
      <c r="L766" s="703"/>
      <c r="M766" s="703"/>
      <c r="N766" s="703"/>
      <c r="O766" s="703"/>
      <c r="P766" s="703"/>
      <c r="Q766" s="703"/>
      <c r="R766" s="703"/>
      <c r="S766" s="703"/>
      <c r="T766" s="703"/>
      <c r="U766" s="703"/>
      <c r="V766" s="703"/>
      <c r="W766" s="703"/>
      <c r="X766" s="703"/>
      <c r="Y766" s="703"/>
      <c r="Z766" s="703"/>
    </row>
    <row r="767">
      <c r="A767" s="703"/>
      <c r="B767" s="703"/>
      <c r="C767" s="703"/>
      <c r="D767" s="703"/>
      <c r="E767" s="703"/>
      <c r="F767" s="703"/>
      <c r="G767" s="703"/>
      <c r="H767" s="703"/>
      <c r="I767" s="703"/>
      <c r="J767" s="703"/>
      <c r="K767" s="703"/>
      <c r="L767" s="703"/>
      <c r="M767" s="703"/>
      <c r="N767" s="703"/>
      <c r="O767" s="703"/>
      <c r="P767" s="703"/>
      <c r="Q767" s="703"/>
      <c r="R767" s="703"/>
      <c r="S767" s="703"/>
      <c r="T767" s="703"/>
      <c r="U767" s="703"/>
      <c r="V767" s="703"/>
      <c r="W767" s="703"/>
      <c r="X767" s="703"/>
      <c r="Y767" s="703"/>
      <c r="Z767" s="703"/>
    </row>
    <row r="768">
      <c r="A768" s="703"/>
      <c r="B768" s="703"/>
      <c r="C768" s="703"/>
      <c r="D768" s="703"/>
      <c r="E768" s="703"/>
      <c r="F768" s="703"/>
      <c r="G768" s="703"/>
      <c r="H768" s="703"/>
      <c r="I768" s="703"/>
      <c r="J768" s="703"/>
      <c r="K768" s="703"/>
      <c r="L768" s="703"/>
      <c r="M768" s="703"/>
      <c r="N768" s="703"/>
      <c r="O768" s="703"/>
      <c r="P768" s="703"/>
      <c r="Q768" s="703"/>
      <c r="R768" s="703"/>
      <c r="S768" s="703"/>
      <c r="T768" s="703"/>
      <c r="U768" s="703"/>
      <c r="V768" s="703"/>
      <c r="W768" s="703"/>
      <c r="X768" s="703"/>
      <c r="Y768" s="703"/>
      <c r="Z768" s="703"/>
    </row>
    <row r="769">
      <c r="A769" s="703"/>
      <c r="B769" s="703"/>
      <c r="C769" s="703"/>
      <c r="D769" s="703"/>
      <c r="E769" s="703"/>
      <c r="F769" s="703"/>
      <c r="G769" s="703"/>
      <c r="H769" s="703"/>
      <c r="I769" s="703"/>
      <c r="J769" s="703"/>
      <c r="K769" s="703"/>
      <c r="L769" s="703"/>
      <c r="M769" s="703"/>
      <c r="N769" s="703"/>
      <c r="O769" s="703"/>
      <c r="P769" s="703"/>
      <c r="Q769" s="703"/>
      <c r="R769" s="703"/>
      <c r="S769" s="703"/>
      <c r="T769" s="703"/>
      <c r="U769" s="703"/>
      <c r="V769" s="703"/>
      <c r="W769" s="703"/>
      <c r="X769" s="703"/>
      <c r="Y769" s="703"/>
      <c r="Z769" s="703"/>
    </row>
    <row r="770">
      <c r="A770" s="703"/>
      <c r="B770" s="703"/>
      <c r="C770" s="703"/>
      <c r="D770" s="703"/>
      <c r="E770" s="703"/>
      <c r="F770" s="703"/>
      <c r="G770" s="703"/>
      <c r="H770" s="703"/>
      <c r="I770" s="703"/>
      <c r="J770" s="703"/>
      <c r="K770" s="703"/>
      <c r="L770" s="703"/>
      <c r="M770" s="703"/>
      <c r="N770" s="703"/>
      <c r="O770" s="703"/>
      <c r="P770" s="703"/>
      <c r="Q770" s="703"/>
      <c r="R770" s="703"/>
      <c r="S770" s="703"/>
      <c r="T770" s="703"/>
      <c r="U770" s="703"/>
      <c r="V770" s="703"/>
      <c r="W770" s="703"/>
      <c r="X770" s="703"/>
      <c r="Y770" s="703"/>
      <c r="Z770" s="703"/>
    </row>
    <row r="771">
      <c r="A771" s="703"/>
      <c r="B771" s="703"/>
      <c r="C771" s="703"/>
      <c r="D771" s="703"/>
      <c r="E771" s="703"/>
      <c r="F771" s="703"/>
      <c r="G771" s="703"/>
      <c r="H771" s="703"/>
      <c r="I771" s="703"/>
      <c r="J771" s="703"/>
      <c r="K771" s="703"/>
      <c r="L771" s="703"/>
      <c r="M771" s="703"/>
      <c r="N771" s="703"/>
      <c r="O771" s="703"/>
      <c r="P771" s="703"/>
      <c r="Q771" s="703"/>
      <c r="R771" s="703"/>
      <c r="S771" s="703"/>
      <c r="T771" s="703"/>
      <c r="U771" s="703"/>
      <c r="V771" s="703"/>
      <c r="W771" s="703"/>
      <c r="X771" s="703"/>
      <c r="Y771" s="703"/>
      <c r="Z771" s="703"/>
    </row>
    <row r="772">
      <c r="A772" s="703"/>
      <c r="B772" s="703"/>
      <c r="C772" s="703"/>
      <c r="D772" s="703"/>
      <c r="E772" s="703"/>
      <c r="F772" s="703"/>
      <c r="G772" s="703"/>
      <c r="H772" s="703"/>
      <c r="I772" s="703"/>
      <c r="J772" s="703"/>
      <c r="K772" s="703"/>
      <c r="L772" s="703"/>
      <c r="M772" s="703"/>
      <c r="N772" s="703"/>
      <c r="O772" s="703"/>
      <c r="P772" s="703"/>
      <c r="Q772" s="703"/>
      <c r="R772" s="703"/>
      <c r="S772" s="703"/>
      <c r="T772" s="703"/>
      <c r="U772" s="703"/>
      <c r="V772" s="703"/>
      <c r="W772" s="703"/>
      <c r="X772" s="703"/>
      <c r="Y772" s="703"/>
      <c r="Z772" s="703"/>
    </row>
    <row r="773">
      <c r="A773" s="703"/>
      <c r="B773" s="703"/>
      <c r="C773" s="703"/>
      <c r="D773" s="703"/>
      <c r="E773" s="703"/>
      <c r="F773" s="703"/>
      <c r="G773" s="703"/>
      <c r="H773" s="703"/>
      <c r="I773" s="703"/>
      <c r="J773" s="703"/>
      <c r="K773" s="703"/>
      <c r="L773" s="703"/>
      <c r="M773" s="703"/>
      <c r="N773" s="703"/>
      <c r="O773" s="703"/>
      <c r="P773" s="703"/>
      <c r="Q773" s="703"/>
      <c r="R773" s="703"/>
      <c r="S773" s="703"/>
      <c r="T773" s="703"/>
      <c r="U773" s="703"/>
      <c r="V773" s="703"/>
      <c r="W773" s="703"/>
      <c r="X773" s="703"/>
      <c r="Y773" s="703"/>
      <c r="Z773" s="703"/>
    </row>
    <row r="774">
      <c r="A774" s="703"/>
      <c r="B774" s="703"/>
      <c r="C774" s="703"/>
      <c r="D774" s="703"/>
      <c r="E774" s="703"/>
      <c r="F774" s="703"/>
      <c r="G774" s="703"/>
      <c r="H774" s="703"/>
      <c r="I774" s="703"/>
      <c r="J774" s="703"/>
      <c r="K774" s="703"/>
      <c r="L774" s="703"/>
      <c r="M774" s="703"/>
      <c r="N774" s="703"/>
      <c r="O774" s="703"/>
      <c r="P774" s="703"/>
      <c r="Q774" s="703"/>
      <c r="R774" s="703"/>
      <c r="S774" s="703"/>
      <c r="T774" s="703"/>
      <c r="U774" s="703"/>
      <c r="V774" s="703"/>
      <c r="W774" s="703"/>
      <c r="X774" s="703"/>
      <c r="Y774" s="703"/>
      <c r="Z774" s="703"/>
    </row>
    <row r="775">
      <c r="A775" s="703"/>
      <c r="B775" s="703"/>
      <c r="C775" s="703"/>
      <c r="D775" s="703"/>
      <c r="E775" s="703"/>
      <c r="F775" s="703"/>
      <c r="G775" s="703"/>
      <c r="H775" s="703"/>
      <c r="I775" s="703"/>
      <c r="J775" s="703"/>
      <c r="K775" s="703"/>
      <c r="L775" s="703"/>
      <c r="M775" s="703"/>
      <c r="N775" s="703"/>
      <c r="O775" s="703"/>
      <c r="P775" s="703"/>
      <c r="Q775" s="703"/>
      <c r="R775" s="703"/>
      <c r="S775" s="703"/>
      <c r="T775" s="703"/>
      <c r="U775" s="703"/>
      <c r="V775" s="703"/>
      <c r="W775" s="703"/>
      <c r="X775" s="703"/>
      <c r="Y775" s="703"/>
      <c r="Z775" s="703"/>
    </row>
    <row r="776">
      <c r="A776" s="703"/>
      <c r="B776" s="703"/>
      <c r="C776" s="703"/>
      <c r="D776" s="703"/>
      <c r="E776" s="703"/>
      <c r="F776" s="703"/>
      <c r="G776" s="703"/>
      <c r="H776" s="703"/>
      <c r="I776" s="703"/>
      <c r="J776" s="703"/>
      <c r="K776" s="703"/>
      <c r="L776" s="703"/>
      <c r="M776" s="703"/>
      <c r="N776" s="703"/>
      <c r="O776" s="703"/>
      <c r="P776" s="703"/>
      <c r="Q776" s="703"/>
      <c r="R776" s="703"/>
      <c r="S776" s="703"/>
      <c r="T776" s="703"/>
      <c r="U776" s="703"/>
      <c r="V776" s="703"/>
      <c r="W776" s="703"/>
      <c r="X776" s="703"/>
      <c r="Y776" s="703"/>
      <c r="Z776" s="703"/>
    </row>
    <row r="777">
      <c r="A777" s="703"/>
      <c r="B777" s="703"/>
      <c r="C777" s="703"/>
      <c r="D777" s="703"/>
      <c r="E777" s="703"/>
      <c r="F777" s="703"/>
      <c r="G777" s="703"/>
      <c r="H777" s="703"/>
      <c r="I777" s="703"/>
      <c r="J777" s="703"/>
      <c r="K777" s="703"/>
      <c r="L777" s="703"/>
      <c r="M777" s="703"/>
      <c r="N777" s="703"/>
      <c r="O777" s="703"/>
      <c r="P777" s="703"/>
      <c r="Q777" s="703"/>
      <c r="R777" s="703"/>
      <c r="S777" s="703"/>
      <c r="T777" s="703"/>
      <c r="U777" s="703"/>
      <c r="V777" s="703"/>
      <c r="W777" s="703"/>
      <c r="X777" s="703"/>
      <c r="Y777" s="703"/>
      <c r="Z777" s="703"/>
    </row>
    <row r="778">
      <c r="A778" s="703"/>
      <c r="B778" s="703"/>
      <c r="C778" s="703"/>
      <c r="D778" s="703"/>
      <c r="E778" s="703"/>
      <c r="F778" s="703"/>
      <c r="G778" s="703"/>
      <c r="H778" s="703"/>
      <c r="I778" s="703"/>
      <c r="J778" s="703"/>
      <c r="K778" s="703"/>
      <c r="L778" s="703"/>
      <c r="M778" s="703"/>
      <c r="N778" s="703"/>
      <c r="O778" s="703"/>
      <c r="P778" s="703"/>
      <c r="Q778" s="703"/>
      <c r="R778" s="703"/>
      <c r="S778" s="703"/>
      <c r="T778" s="703"/>
      <c r="U778" s="703"/>
      <c r="V778" s="703"/>
      <c r="W778" s="703"/>
      <c r="X778" s="703"/>
      <c r="Y778" s="703"/>
      <c r="Z778" s="703"/>
    </row>
    <row r="779">
      <c r="A779" s="703"/>
      <c r="B779" s="703"/>
      <c r="C779" s="703"/>
      <c r="D779" s="703"/>
      <c r="E779" s="703"/>
      <c r="F779" s="703"/>
      <c r="G779" s="703"/>
      <c r="H779" s="703"/>
      <c r="I779" s="703"/>
      <c r="J779" s="703"/>
      <c r="K779" s="703"/>
      <c r="L779" s="703"/>
      <c r="M779" s="703"/>
      <c r="N779" s="703"/>
      <c r="O779" s="703"/>
      <c r="P779" s="703"/>
      <c r="Q779" s="703"/>
      <c r="R779" s="703"/>
      <c r="S779" s="703"/>
      <c r="T779" s="703"/>
      <c r="U779" s="703"/>
      <c r="V779" s="703"/>
      <c r="W779" s="703"/>
      <c r="X779" s="703"/>
      <c r="Y779" s="703"/>
      <c r="Z779" s="703"/>
    </row>
    <row r="780">
      <c r="A780" s="703"/>
      <c r="B780" s="703"/>
      <c r="C780" s="703"/>
      <c r="D780" s="703"/>
      <c r="E780" s="703"/>
      <c r="F780" s="703"/>
      <c r="G780" s="703"/>
      <c r="H780" s="703"/>
      <c r="I780" s="703"/>
      <c r="J780" s="703"/>
      <c r="K780" s="703"/>
      <c r="L780" s="703"/>
      <c r="M780" s="703"/>
      <c r="N780" s="703"/>
      <c r="O780" s="703"/>
      <c r="P780" s="703"/>
      <c r="Q780" s="703"/>
      <c r="R780" s="703"/>
      <c r="S780" s="703"/>
      <c r="T780" s="703"/>
      <c r="U780" s="703"/>
      <c r="V780" s="703"/>
      <c r="W780" s="703"/>
      <c r="X780" s="703"/>
      <c r="Y780" s="703"/>
      <c r="Z780" s="703"/>
    </row>
    <row r="781">
      <c r="A781" s="703"/>
      <c r="B781" s="703"/>
      <c r="C781" s="703"/>
      <c r="D781" s="703"/>
      <c r="E781" s="703"/>
      <c r="F781" s="703"/>
      <c r="G781" s="703"/>
      <c r="H781" s="703"/>
      <c r="I781" s="703"/>
      <c r="J781" s="703"/>
      <c r="K781" s="703"/>
      <c r="L781" s="703"/>
      <c r="M781" s="703"/>
      <c r="N781" s="703"/>
      <c r="O781" s="703"/>
      <c r="P781" s="703"/>
      <c r="Q781" s="703"/>
      <c r="R781" s="703"/>
      <c r="S781" s="703"/>
      <c r="T781" s="703"/>
      <c r="U781" s="703"/>
      <c r="V781" s="703"/>
      <c r="W781" s="703"/>
      <c r="X781" s="703"/>
      <c r="Y781" s="703"/>
      <c r="Z781" s="703"/>
    </row>
    <row r="782">
      <c r="A782" s="703"/>
      <c r="B782" s="703"/>
      <c r="C782" s="703"/>
      <c r="D782" s="703"/>
      <c r="E782" s="703"/>
      <c r="F782" s="703"/>
      <c r="G782" s="703"/>
      <c r="H782" s="703"/>
      <c r="I782" s="703"/>
      <c r="J782" s="703"/>
      <c r="K782" s="703"/>
      <c r="L782" s="703"/>
      <c r="M782" s="703"/>
      <c r="N782" s="703"/>
      <c r="O782" s="703"/>
      <c r="P782" s="703"/>
      <c r="Q782" s="703"/>
      <c r="R782" s="703"/>
      <c r="S782" s="703"/>
      <c r="T782" s="703"/>
      <c r="U782" s="703"/>
      <c r="V782" s="703"/>
      <c r="W782" s="703"/>
      <c r="X782" s="703"/>
      <c r="Y782" s="703"/>
      <c r="Z782" s="703"/>
    </row>
    <row r="783">
      <c r="A783" s="703"/>
      <c r="B783" s="703"/>
      <c r="C783" s="703"/>
      <c r="D783" s="703"/>
      <c r="E783" s="703"/>
      <c r="F783" s="703"/>
      <c r="G783" s="703"/>
      <c r="H783" s="703"/>
      <c r="I783" s="703"/>
      <c r="J783" s="703"/>
      <c r="K783" s="703"/>
      <c r="L783" s="703"/>
      <c r="M783" s="703"/>
      <c r="N783" s="703"/>
      <c r="O783" s="703"/>
      <c r="P783" s="703"/>
      <c r="Q783" s="703"/>
      <c r="R783" s="703"/>
      <c r="S783" s="703"/>
      <c r="T783" s="703"/>
      <c r="U783" s="703"/>
      <c r="V783" s="703"/>
      <c r="W783" s="703"/>
      <c r="X783" s="703"/>
      <c r="Y783" s="703"/>
      <c r="Z783" s="703"/>
    </row>
    <row r="784">
      <c r="A784" s="703"/>
      <c r="B784" s="703"/>
      <c r="C784" s="703"/>
      <c r="D784" s="703"/>
      <c r="E784" s="703"/>
      <c r="F784" s="703"/>
      <c r="G784" s="703"/>
      <c r="H784" s="703"/>
      <c r="I784" s="703"/>
      <c r="J784" s="703"/>
      <c r="K784" s="703"/>
      <c r="L784" s="703"/>
      <c r="M784" s="703"/>
      <c r="N784" s="703"/>
      <c r="O784" s="703"/>
      <c r="P784" s="703"/>
      <c r="Q784" s="703"/>
      <c r="R784" s="703"/>
      <c r="S784" s="703"/>
      <c r="T784" s="703"/>
      <c r="U784" s="703"/>
      <c r="V784" s="703"/>
      <c r="W784" s="703"/>
      <c r="X784" s="703"/>
      <c r="Y784" s="703"/>
      <c r="Z784" s="703"/>
    </row>
    <row r="785">
      <c r="A785" s="703"/>
      <c r="B785" s="703"/>
      <c r="C785" s="703"/>
      <c r="D785" s="703"/>
      <c r="E785" s="703"/>
      <c r="F785" s="703"/>
      <c r="G785" s="703"/>
      <c r="H785" s="703"/>
      <c r="I785" s="703"/>
      <c r="J785" s="703"/>
      <c r="K785" s="703"/>
      <c r="L785" s="703"/>
      <c r="M785" s="703"/>
      <c r="N785" s="703"/>
      <c r="O785" s="703"/>
      <c r="P785" s="703"/>
      <c r="Q785" s="703"/>
      <c r="R785" s="703"/>
      <c r="S785" s="703"/>
      <c r="T785" s="703"/>
      <c r="U785" s="703"/>
      <c r="V785" s="703"/>
      <c r="W785" s="703"/>
      <c r="X785" s="703"/>
      <c r="Y785" s="703"/>
      <c r="Z785" s="703"/>
    </row>
    <row r="786">
      <c r="A786" s="703"/>
      <c r="B786" s="703"/>
      <c r="C786" s="703"/>
      <c r="D786" s="703"/>
      <c r="E786" s="703"/>
      <c r="F786" s="703"/>
      <c r="G786" s="703"/>
      <c r="H786" s="703"/>
      <c r="I786" s="703"/>
      <c r="J786" s="703"/>
      <c r="K786" s="703"/>
      <c r="L786" s="703"/>
      <c r="M786" s="703"/>
      <c r="N786" s="703"/>
      <c r="O786" s="703"/>
      <c r="P786" s="703"/>
      <c r="Q786" s="703"/>
      <c r="R786" s="703"/>
      <c r="S786" s="703"/>
      <c r="T786" s="703"/>
      <c r="U786" s="703"/>
      <c r="V786" s="703"/>
      <c r="W786" s="703"/>
      <c r="X786" s="703"/>
      <c r="Y786" s="703"/>
      <c r="Z786" s="703"/>
    </row>
    <row r="787">
      <c r="A787" s="703"/>
      <c r="B787" s="703"/>
      <c r="C787" s="703"/>
      <c r="D787" s="703"/>
      <c r="E787" s="703"/>
      <c r="F787" s="703"/>
      <c r="G787" s="703"/>
      <c r="H787" s="703"/>
      <c r="I787" s="703"/>
      <c r="J787" s="703"/>
      <c r="K787" s="703"/>
      <c r="L787" s="703"/>
      <c r="M787" s="703"/>
      <c r="N787" s="703"/>
      <c r="O787" s="703"/>
      <c r="P787" s="703"/>
      <c r="Q787" s="703"/>
      <c r="R787" s="703"/>
      <c r="S787" s="703"/>
      <c r="T787" s="703"/>
      <c r="U787" s="703"/>
      <c r="V787" s="703"/>
      <c r="W787" s="703"/>
      <c r="X787" s="703"/>
      <c r="Y787" s="703"/>
      <c r="Z787" s="703"/>
    </row>
    <row r="788">
      <c r="A788" s="703"/>
      <c r="B788" s="703"/>
      <c r="C788" s="703"/>
      <c r="D788" s="703"/>
      <c r="E788" s="703"/>
      <c r="F788" s="703"/>
      <c r="G788" s="703"/>
      <c r="H788" s="703"/>
      <c r="I788" s="703"/>
      <c r="J788" s="703"/>
      <c r="K788" s="703"/>
      <c r="L788" s="703"/>
      <c r="M788" s="703"/>
      <c r="N788" s="703"/>
      <c r="O788" s="703"/>
      <c r="P788" s="703"/>
      <c r="Q788" s="703"/>
      <c r="R788" s="703"/>
      <c r="S788" s="703"/>
      <c r="T788" s="703"/>
      <c r="U788" s="703"/>
      <c r="V788" s="703"/>
      <c r="W788" s="703"/>
      <c r="X788" s="703"/>
      <c r="Y788" s="703"/>
      <c r="Z788" s="703"/>
    </row>
    <row r="789">
      <c r="A789" s="703"/>
      <c r="B789" s="703"/>
      <c r="C789" s="703"/>
      <c r="D789" s="703"/>
      <c r="E789" s="703"/>
      <c r="F789" s="703"/>
      <c r="G789" s="703"/>
      <c r="H789" s="703"/>
      <c r="I789" s="703"/>
      <c r="J789" s="703"/>
      <c r="K789" s="703"/>
      <c r="L789" s="703"/>
      <c r="M789" s="703"/>
      <c r="N789" s="703"/>
      <c r="O789" s="703"/>
      <c r="P789" s="703"/>
      <c r="Q789" s="703"/>
      <c r="R789" s="703"/>
      <c r="S789" s="703"/>
      <c r="T789" s="703"/>
      <c r="U789" s="703"/>
      <c r="V789" s="703"/>
      <c r="W789" s="703"/>
      <c r="X789" s="703"/>
      <c r="Y789" s="703"/>
      <c r="Z789" s="703"/>
    </row>
    <row r="790">
      <c r="A790" s="703"/>
      <c r="B790" s="703"/>
      <c r="C790" s="703"/>
      <c r="D790" s="703"/>
      <c r="E790" s="703"/>
      <c r="F790" s="703"/>
      <c r="G790" s="703"/>
      <c r="H790" s="703"/>
      <c r="I790" s="703"/>
      <c r="J790" s="703"/>
      <c r="K790" s="703"/>
      <c r="L790" s="703"/>
      <c r="M790" s="703"/>
      <c r="N790" s="703"/>
      <c r="O790" s="703"/>
      <c r="P790" s="703"/>
      <c r="Q790" s="703"/>
      <c r="R790" s="703"/>
      <c r="S790" s="703"/>
      <c r="T790" s="703"/>
      <c r="U790" s="703"/>
      <c r="V790" s="703"/>
      <c r="W790" s="703"/>
      <c r="X790" s="703"/>
      <c r="Y790" s="703"/>
      <c r="Z790" s="703"/>
    </row>
    <row r="791">
      <c r="A791" s="703"/>
      <c r="B791" s="703"/>
      <c r="C791" s="703"/>
      <c r="D791" s="703"/>
      <c r="E791" s="703"/>
      <c r="F791" s="703"/>
      <c r="G791" s="703"/>
      <c r="H791" s="703"/>
      <c r="I791" s="703"/>
      <c r="J791" s="703"/>
      <c r="K791" s="703"/>
      <c r="L791" s="703"/>
      <c r="M791" s="703"/>
      <c r="N791" s="703"/>
      <c r="O791" s="703"/>
      <c r="P791" s="703"/>
      <c r="Q791" s="703"/>
      <c r="R791" s="703"/>
      <c r="S791" s="703"/>
      <c r="T791" s="703"/>
      <c r="U791" s="703"/>
      <c r="V791" s="703"/>
      <c r="W791" s="703"/>
      <c r="X791" s="703"/>
      <c r="Y791" s="703"/>
      <c r="Z791" s="703"/>
    </row>
    <row r="792">
      <c r="A792" s="703"/>
      <c r="B792" s="703"/>
      <c r="C792" s="703"/>
      <c r="D792" s="703"/>
      <c r="E792" s="703"/>
      <c r="F792" s="703"/>
      <c r="G792" s="703"/>
      <c r="H792" s="703"/>
      <c r="I792" s="703"/>
      <c r="J792" s="703"/>
      <c r="K792" s="703"/>
      <c r="L792" s="703"/>
      <c r="M792" s="703"/>
      <c r="N792" s="703"/>
      <c r="O792" s="703"/>
      <c r="P792" s="703"/>
      <c r="Q792" s="703"/>
      <c r="R792" s="703"/>
      <c r="S792" s="703"/>
      <c r="T792" s="703"/>
      <c r="U792" s="703"/>
      <c r="V792" s="703"/>
      <c r="W792" s="703"/>
      <c r="X792" s="703"/>
      <c r="Y792" s="703"/>
      <c r="Z792" s="703"/>
    </row>
    <row r="793">
      <c r="A793" s="703"/>
      <c r="B793" s="703"/>
      <c r="C793" s="703"/>
      <c r="D793" s="703"/>
      <c r="E793" s="703"/>
      <c r="F793" s="703"/>
      <c r="G793" s="703"/>
      <c r="H793" s="703"/>
      <c r="I793" s="703"/>
      <c r="J793" s="703"/>
      <c r="K793" s="703"/>
      <c r="L793" s="703"/>
      <c r="M793" s="703"/>
      <c r="N793" s="703"/>
      <c r="O793" s="703"/>
      <c r="P793" s="703"/>
      <c r="Q793" s="703"/>
      <c r="R793" s="703"/>
      <c r="S793" s="703"/>
      <c r="T793" s="703"/>
      <c r="U793" s="703"/>
      <c r="V793" s="703"/>
      <c r="W793" s="703"/>
      <c r="X793" s="703"/>
      <c r="Y793" s="703"/>
      <c r="Z793" s="703"/>
    </row>
    <row r="794">
      <c r="A794" s="703"/>
      <c r="B794" s="703"/>
      <c r="C794" s="703"/>
      <c r="D794" s="703"/>
      <c r="E794" s="703"/>
      <c r="F794" s="703"/>
      <c r="G794" s="703"/>
      <c r="H794" s="703"/>
      <c r="I794" s="703"/>
      <c r="J794" s="703"/>
      <c r="K794" s="703"/>
      <c r="L794" s="703"/>
      <c r="M794" s="703"/>
      <c r="N794" s="703"/>
      <c r="O794" s="703"/>
      <c r="P794" s="703"/>
      <c r="Q794" s="703"/>
      <c r="R794" s="703"/>
      <c r="S794" s="703"/>
      <c r="T794" s="703"/>
      <c r="U794" s="703"/>
      <c r="V794" s="703"/>
      <c r="W794" s="703"/>
      <c r="X794" s="703"/>
      <c r="Y794" s="703"/>
      <c r="Z794" s="703"/>
    </row>
    <row r="795">
      <c r="A795" s="703"/>
      <c r="B795" s="703"/>
      <c r="C795" s="703"/>
      <c r="D795" s="703"/>
      <c r="E795" s="703"/>
      <c r="F795" s="703"/>
      <c r="G795" s="703"/>
      <c r="H795" s="703"/>
      <c r="I795" s="703"/>
      <c r="J795" s="703"/>
      <c r="K795" s="703"/>
      <c r="L795" s="703"/>
      <c r="M795" s="703"/>
      <c r="N795" s="703"/>
      <c r="O795" s="703"/>
      <c r="P795" s="703"/>
      <c r="Q795" s="703"/>
      <c r="R795" s="703"/>
      <c r="S795" s="703"/>
      <c r="T795" s="703"/>
      <c r="U795" s="703"/>
      <c r="V795" s="703"/>
      <c r="W795" s="703"/>
      <c r="X795" s="703"/>
      <c r="Y795" s="703"/>
      <c r="Z795" s="703"/>
    </row>
    <row r="796">
      <c r="A796" s="703"/>
      <c r="B796" s="703"/>
      <c r="C796" s="703"/>
      <c r="D796" s="703"/>
      <c r="E796" s="703"/>
      <c r="F796" s="703"/>
      <c r="G796" s="703"/>
      <c r="H796" s="703"/>
      <c r="I796" s="703"/>
      <c r="J796" s="703"/>
      <c r="K796" s="703"/>
      <c r="L796" s="703"/>
      <c r="M796" s="703"/>
      <c r="N796" s="703"/>
      <c r="O796" s="703"/>
      <c r="P796" s="703"/>
      <c r="Q796" s="703"/>
      <c r="R796" s="703"/>
      <c r="S796" s="703"/>
      <c r="T796" s="703"/>
      <c r="U796" s="703"/>
      <c r="V796" s="703"/>
      <c r="W796" s="703"/>
      <c r="X796" s="703"/>
      <c r="Y796" s="703"/>
      <c r="Z796" s="703"/>
    </row>
    <row r="797">
      <c r="A797" s="703"/>
      <c r="B797" s="703"/>
      <c r="C797" s="703"/>
      <c r="D797" s="703"/>
      <c r="E797" s="703"/>
      <c r="F797" s="703"/>
      <c r="G797" s="703"/>
      <c r="H797" s="703"/>
      <c r="I797" s="703"/>
      <c r="J797" s="703"/>
      <c r="K797" s="703"/>
      <c r="L797" s="703"/>
      <c r="M797" s="703"/>
      <c r="N797" s="703"/>
      <c r="O797" s="703"/>
      <c r="P797" s="703"/>
      <c r="Q797" s="703"/>
      <c r="R797" s="703"/>
      <c r="S797" s="703"/>
      <c r="T797" s="703"/>
      <c r="U797" s="703"/>
      <c r="V797" s="703"/>
      <c r="W797" s="703"/>
      <c r="X797" s="703"/>
      <c r="Y797" s="703"/>
      <c r="Z797" s="703"/>
    </row>
    <row r="798">
      <c r="A798" s="703"/>
      <c r="B798" s="703"/>
      <c r="C798" s="703"/>
      <c r="D798" s="703"/>
      <c r="E798" s="703"/>
      <c r="F798" s="703"/>
      <c r="G798" s="703"/>
      <c r="H798" s="703"/>
      <c r="I798" s="703"/>
      <c r="J798" s="703"/>
      <c r="K798" s="703"/>
      <c r="L798" s="703"/>
      <c r="M798" s="703"/>
      <c r="N798" s="703"/>
      <c r="O798" s="703"/>
      <c r="P798" s="703"/>
      <c r="Q798" s="703"/>
      <c r="R798" s="703"/>
      <c r="S798" s="703"/>
      <c r="T798" s="703"/>
      <c r="U798" s="703"/>
      <c r="V798" s="703"/>
      <c r="W798" s="703"/>
      <c r="X798" s="703"/>
      <c r="Y798" s="703"/>
      <c r="Z798" s="703"/>
    </row>
    <row r="799">
      <c r="A799" s="703"/>
      <c r="B799" s="703"/>
      <c r="C799" s="703"/>
      <c r="D799" s="703"/>
      <c r="E799" s="703"/>
      <c r="F799" s="703"/>
      <c r="G799" s="703"/>
      <c r="H799" s="703"/>
      <c r="I799" s="703"/>
      <c r="J799" s="703"/>
      <c r="K799" s="703"/>
      <c r="L799" s="703"/>
      <c r="M799" s="703"/>
      <c r="N799" s="703"/>
      <c r="O799" s="703"/>
      <c r="P799" s="703"/>
      <c r="Q799" s="703"/>
      <c r="R799" s="703"/>
      <c r="S799" s="703"/>
      <c r="T799" s="703"/>
      <c r="U799" s="703"/>
      <c r="V799" s="703"/>
      <c r="W799" s="703"/>
      <c r="X799" s="703"/>
      <c r="Y799" s="703"/>
      <c r="Z799" s="703"/>
    </row>
    <row r="800">
      <c r="A800" s="703"/>
      <c r="B800" s="703"/>
      <c r="C800" s="703"/>
      <c r="D800" s="703"/>
      <c r="E800" s="703"/>
      <c r="F800" s="703"/>
      <c r="G800" s="703"/>
      <c r="H800" s="703"/>
      <c r="I800" s="703"/>
      <c r="J800" s="703"/>
      <c r="K800" s="703"/>
      <c r="L800" s="703"/>
      <c r="M800" s="703"/>
      <c r="N800" s="703"/>
      <c r="O800" s="703"/>
      <c r="P800" s="703"/>
      <c r="Q800" s="703"/>
      <c r="R800" s="703"/>
      <c r="S800" s="703"/>
      <c r="T800" s="703"/>
      <c r="U800" s="703"/>
      <c r="V800" s="703"/>
      <c r="W800" s="703"/>
      <c r="X800" s="703"/>
      <c r="Y800" s="703"/>
      <c r="Z800" s="703"/>
    </row>
    <row r="801">
      <c r="A801" s="703"/>
      <c r="B801" s="703"/>
      <c r="C801" s="703"/>
      <c r="D801" s="703"/>
      <c r="E801" s="703"/>
      <c r="F801" s="703"/>
      <c r="G801" s="703"/>
      <c r="H801" s="703"/>
      <c r="I801" s="703"/>
      <c r="J801" s="703"/>
      <c r="K801" s="703"/>
      <c r="L801" s="703"/>
      <c r="M801" s="703"/>
      <c r="N801" s="703"/>
      <c r="O801" s="703"/>
      <c r="P801" s="703"/>
      <c r="Q801" s="703"/>
      <c r="R801" s="703"/>
      <c r="S801" s="703"/>
      <c r="T801" s="703"/>
      <c r="U801" s="703"/>
      <c r="V801" s="703"/>
      <c r="W801" s="703"/>
      <c r="X801" s="703"/>
      <c r="Y801" s="703"/>
      <c r="Z801" s="703"/>
    </row>
    <row r="802">
      <c r="A802" s="703"/>
      <c r="B802" s="703"/>
      <c r="C802" s="703"/>
      <c r="D802" s="703"/>
      <c r="E802" s="703"/>
      <c r="F802" s="703"/>
      <c r="G802" s="703"/>
      <c r="H802" s="703"/>
      <c r="I802" s="703"/>
      <c r="J802" s="703"/>
      <c r="K802" s="703"/>
      <c r="L802" s="703"/>
      <c r="M802" s="703"/>
      <c r="N802" s="703"/>
      <c r="O802" s="703"/>
      <c r="P802" s="703"/>
      <c r="Q802" s="703"/>
      <c r="R802" s="703"/>
      <c r="S802" s="703"/>
      <c r="T802" s="703"/>
      <c r="U802" s="703"/>
      <c r="V802" s="703"/>
      <c r="W802" s="703"/>
      <c r="X802" s="703"/>
      <c r="Y802" s="703"/>
      <c r="Z802" s="703"/>
    </row>
    <row r="803">
      <c r="A803" s="703"/>
      <c r="B803" s="703"/>
      <c r="C803" s="703"/>
      <c r="D803" s="703"/>
      <c r="E803" s="703"/>
      <c r="F803" s="703"/>
      <c r="G803" s="703"/>
      <c r="H803" s="703"/>
      <c r="I803" s="703"/>
      <c r="J803" s="703"/>
      <c r="K803" s="703"/>
      <c r="L803" s="703"/>
      <c r="M803" s="703"/>
      <c r="N803" s="703"/>
      <c r="O803" s="703"/>
      <c r="P803" s="703"/>
      <c r="Q803" s="703"/>
      <c r="R803" s="703"/>
      <c r="S803" s="703"/>
      <c r="T803" s="703"/>
      <c r="U803" s="703"/>
      <c r="V803" s="703"/>
      <c r="W803" s="703"/>
      <c r="X803" s="703"/>
      <c r="Y803" s="703"/>
      <c r="Z803" s="703"/>
    </row>
    <row r="804">
      <c r="A804" s="703"/>
      <c r="B804" s="703"/>
      <c r="C804" s="703"/>
      <c r="D804" s="703"/>
      <c r="E804" s="703"/>
      <c r="F804" s="703"/>
      <c r="G804" s="703"/>
      <c r="H804" s="703"/>
      <c r="I804" s="703"/>
      <c r="J804" s="703"/>
      <c r="K804" s="703"/>
      <c r="L804" s="703"/>
      <c r="M804" s="703"/>
      <c r="N804" s="703"/>
      <c r="O804" s="703"/>
      <c r="P804" s="703"/>
      <c r="Q804" s="703"/>
      <c r="R804" s="703"/>
      <c r="S804" s="703"/>
      <c r="T804" s="703"/>
      <c r="U804" s="703"/>
      <c r="V804" s="703"/>
      <c r="W804" s="703"/>
      <c r="X804" s="703"/>
      <c r="Y804" s="703"/>
      <c r="Z804" s="703"/>
    </row>
    <row r="805">
      <c r="A805" s="703"/>
      <c r="B805" s="703"/>
      <c r="C805" s="703"/>
      <c r="D805" s="703"/>
      <c r="E805" s="703"/>
      <c r="F805" s="703"/>
      <c r="G805" s="703"/>
      <c r="H805" s="703"/>
      <c r="I805" s="703"/>
      <c r="J805" s="703"/>
      <c r="K805" s="703"/>
      <c r="L805" s="703"/>
      <c r="M805" s="703"/>
      <c r="N805" s="703"/>
      <c r="O805" s="703"/>
      <c r="P805" s="703"/>
      <c r="Q805" s="703"/>
      <c r="R805" s="703"/>
      <c r="S805" s="703"/>
      <c r="T805" s="703"/>
      <c r="U805" s="703"/>
      <c r="V805" s="703"/>
      <c r="W805" s="703"/>
      <c r="X805" s="703"/>
      <c r="Y805" s="703"/>
      <c r="Z805" s="703"/>
    </row>
    <row r="806">
      <c r="A806" s="703"/>
      <c r="B806" s="703"/>
      <c r="C806" s="703"/>
      <c r="D806" s="703"/>
      <c r="E806" s="703"/>
      <c r="F806" s="703"/>
      <c r="G806" s="703"/>
      <c r="H806" s="703"/>
      <c r="I806" s="703"/>
      <c r="J806" s="703"/>
      <c r="K806" s="703"/>
      <c r="L806" s="703"/>
      <c r="M806" s="703"/>
      <c r="N806" s="703"/>
      <c r="O806" s="703"/>
      <c r="P806" s="703"/>
      <c r="Q806" s="703"/>
      <c r="R806" s="703"/>
      <c r="S806" s="703"/>
      <c r="T806" s="703"/>
      <c r="U806" s="703"/>
      <c r="V806" s="703"/>
      <c r="W806" s="703"/>
      <c r="X806" s="703"/>
      <c r="Y806" s="703"/>
      <c r="Z806" s="703"/>
    </row>
    <row r="807">
      <c r="A807" s="703"/>
      <c r="B807" s="703"/>
      <c r="C807" s="703"/>
      <c r="D807" s="703"/>
      <c r="E807" s="703"/>
      <c r="F807" s="703"/>
      <c r="G807" s="703"/>
      <c r="H807" s="703"/>
      <c r="I807" s="703"/>
      <c r="J807" s="703"/>
      <c r="K807" s="703"/>
      <c r="L807" s="703"/>
      <c r="M807" s="703"/>
      <c r="N807" s="703"/>
      <c r="O807" s="703"/>
      <c r="P807" s="703"/>
      <c r="Q807" s="703"/>
      <c r="R807" s="703"/>
      <c r="S807" s="703"/>
      <c r="T807" s="703"/>
      <c r="U807" s="703"/>
      <c r="V807" s="703"/>
      <c r="W807" s="703"/>
      <c r="X807" s="703"/>
      <c r="Y807" s="703"/>
      <c r="Z807" s="703"/>
    </row>
    <row r="808">
      <c r="A808" s="703"/>
      <c r="B808" s="703"/>
      <c r="C808" s="703"/>
      <c r="D808" s="703"/>
      <c r="E808" s="703"/>
      <c r="F808" s="703"/>
      <c r="G808" s="703"/>
      <c r="H808" s="703"/>
      <c r="I808" s="703"/>
      <c r="J808" s="703"/>
      <c r="K808" s="703"/>
      <c r="L808" s="703"/>
      <c r="M808" s="703"/>
      <c r="N808" s="703"/>
      <c r="O808" s="703"/>
      <c r="P808" s="703"/>
      <c r="Q808" s="703"/>
      <c r="R808" s="703"/>
      <c r="S808" s="703"/>
      <c r="T808" s="703"/>
      <c r="U808" s="703"/>
      <c r="V808" s="703"/>
      <c r="W808" s="703"/>
      <c r="X808" s="703"/>
      <c r="Y808" s="703"/>
      <c r="Z808" s="703"/>
    </row>
    <row r="809">
      <c r="A809" s="703"/>
      <c r="B809" s="703"/>
      <c r="C809" s="703"/>
      <c r="D809" s="703"/>
      <c r="E809" s="703"/>
      <c r="F809" s="703"/>
      <c r="G809" s="703"/>
      <c r="H809" s="703"/>
      <c r="I809" s="703"/>
      <c r="J809" s="703"/>
      <c r="K809" s="703"/>
      <c r="L809" s="703"/>
      <c r="M809" s="703"/>
      <c r="N809" s="703"/>
      <c r="O809" s="703"/>
      <c r="P809" s="703"/>
      <c r="Q809" s="703"/>
      <c r="R809" s="703"/>
      <c r="S809" s="703"/>
      <c r="T809" s="703"/>
      <c r="U809" s="703"/>
      <c r="V809" s="703"/>
      <c r="W809" s="703"/>
      <c r="X809" s="703"/>
      <c r="Y809" s="703"/>
      <c r="Z809" s="703"/>
    </row>
    <row r="810">
      <c r="A810" s="703"/>
      <c r="B810" s="703"/>
      <c r="C810" s="703"/>
      <c r="D810" s="703"/>
      <c r="E810" s="703"/>
      <c r="F810" s="703"/>
      <c r="G810" s="703"/>
      <c r="H810" s="703"/>
      <c r="I810" s="703"/>
      <c r="J810" s="703"/>
      <c r="K810" s="703"/>
      <c r="L810" s="703"/>
      <c r="M810" s="703"/>
      <c r="N810" s="703"/>
      <c r="O810" s="703"/>
      <c r="P810" s="703"/>
      <c r="Q810" s="703"/>
      <c r="R810" s="703"/>
      <c r="S810" s="703"/>
      <c r="T810" s="703"/>
      <c r="U810" s="703"/>
      <c r="V810" s="703"/>
      <c r="W810" s="703"/>
      <c r="X810" s="703"/>
      <c r="Y810" s="703"/>
      <c r="Z810" s="703"/>
    </row>
    <row r="811">
      <c r="A811" s="703"/>
      <c r="B811" s="703"/>
      <c r="C811" s="703"/>
      <c r="D811" s="703"/>
      <c r="E811" s="703"/>
      <c r="F811" s="703"/>
      <c r="G811" s="703"/>
      <c r="H811" s="703"/>
      <c r="I811" s="703"/>
      <c r="J811" s="703"/>
      <c r="K811" s="703"/>
      <c r="L811" s="703"/>
      <c r="M811" s="703"/>
      <c r="N811" s="703"/>
      <c r="O811" s="703"/>
      <c r="P811" s="703"/>
      <c r="Q811" s="703"/>
      <c r="R811" s="703"/>
      <c r="S811" s="703"/>
      <c r="T811" s="703"/>
      <c r="U811" s="703"/>
      <c r="V811" s="703"/>
      <c r="W811" s="703"/>
      <c r="X811" s="703"/>
      <c r="Y811" s="703"/>
      <c r="Z811" s="703"/>
    </row>
    <row r="812">
      <c r="A812" s="703"/>
      <c r="B812" s="703"/>
      <c r="C812" s="703"/>
      <c r="D812" s="703"/>
      <c r="E812" s="703"/>
      <c r="F812" s="703"/>
      <c r="G812" s="703"/>
      <c r="H812" s="703"/>
      <c r="I812" s="703"/>
      <c r="J812" s="703"/>
      <c r="K812" s="703"/>
      <c r="L812" s="703"/>
      <c r="M812" s="703"/>
      <c r="N812" s="703"/>
      <c r="O812" s="703"/>
      <c r="P812" s="703"/>
      <c r="Q812" s="703"/>
      <c r="R812" s="703"/>
      <c r="S812" s="703"/>
      <c r="T812" s="703"/>
      <c r="U812" s="703"/>
      <c r="V812" s="703"/>
      <c r="W812" s="703"/>
      <c r="X812" s="703"/>
      <c r="Y812" s="703"/>
      <c r="Z812" s="703"/>
    </row>
    <row r="813">
      <c r="A813" s="703"/>
      <c r="B813" s="703"/>
      <c r="C813" s="703"/>
      <c r="D813" s="703"/>
      <c r="E813" s="703"/>
      <c r="F813" s="703"/>
      <c r="G813" s="703"/>
      <c r="H813" s="703"/>
      <c r="I813" s="703"/>
      <c r="J813" s="703"/>
      <c r="K813" s="703"/>
      <c r="L813" s="703"/>
      <c r="M813" s="703"/>
      <c r="N813" s="703"/>
      <c r="O813" s="703"/>
      <c r="P813" s="703"/>
      <c r="Q813" s="703"/>
      <c r="R813" s="703"/>
      <c r="S813" s="703"/>
      <c r="T813" s="703"/>
      <c r="U813" s="703"/>
      <c r="V813" s="703"/>
      <c r="W813" s="703"/>
      <c r="X813" s="703"/>
      <c r="Y813" s="703"/>
      <c r="Z813" s="703"/>
    </row>
    <row r="814">
      <c r="A814" s="703"/>
      <c r="B814" s="703"/>
      <c r="C814" s="703"/>
      <c r="D814" s="703"/>
      <c r="E814" s="703"/>
      <c r="F814" s="703"/>
      <c r="G814" s="703"/>
      <c r="H814" s="703"/>
      <c r="I814" s="703"/>
      <c r="J814" s="703"/>
      <c r="K814" s="703"/>
      <c r="L814" s="703"/>
      <c r="M814" s="703"/>
      <c r="N814" s="703"/>
      <c r="O814" s="703"/>
      <c r="P814" s="703"/>
      <c r="Q814" s="703"/>
      <c r="R814" s="703"/>
      <c r="S814" s="703"/>
      <c r="T814" s="703"/>
      <c r="U814" s="703"/>
      <c r="V814" s="703"/>
      <c r="W814" s="703"/>
      <c r="X814" s="703"/>
      <c r="Y814" s="703"/>
      <c r="Z814" s="703"/>
    </row>
    <row r="815">
      <c r="A815" s="703"/>
      <c r="B815" s="703"/>
      <c r="C815" s="703"/>
      <c r="D815" s="703"/>
      <c r="E815" s="703"/>
      <c r="F815" s="703"/>
      <c r="G815" s="703"/>
      <c r="H815" s="703"/>
      <c r="I815" s="703"/>
      <c r="J815" s="703"/>
      <c r="K815" s="703"/>
      <c r="L815" s="703"/>
      <c r="M815" s="703"/>
      <c r="N815" s="703"/>
      <c r="O815" s="703"/>
      <c r="P815" s="703"/>
      <c r="Q815" s="703"/>
      <c r="R815" s="703"/>
      <c r="S815" s="703"/>
      <c r="T815" s="703"/>
      <c r="U815" s="703"/>
      <c r="V815" s="703"/>
      <c r="W815" s="703"/>
      <c r="X815" s="703"/>
      <c r="Y815" s="703"/>
      <c r="Z815" s="703"/>
    </row>
    <row r="816">
      <c r="A816" s="703"/>
      <c r="B816" s="703"/>
      <c r="C816" s="703"/>
      <c r="D816" s="703"/>
      <c r="E816" s="703"/>
      <c r="F816" s="703"/>
      <c r="G816" s="703"/>
      <c r="H816" s="703"/>
      <c r="I816" s="703"/>
      <c r="J816" s="703"/>
      <c r="K816" s="703"/>
      <c r="L816" s="703"/>
      <c r="M816" s="703"/>
      <c r="N816" s="703"/>
      <c r="O816" s="703"/>
      <c r="P816" s="703"/>
      <c r="Q816" s="703"/>
      <c r="R816" s="703"/>
      <c r="S816" s="703"/>
      <c r="T816" s="703"/>
      <c r="U816" s="703"/>
      <c r="V816" s="703"/>
      <c r="W816" s="703"/>
      <c r="X816" s="703"/>
      <c r="Y816" s="703"/>
      <c r="Z816" s="703"/>
    </row>
    <row r="817">
      <c r="A817" s="703"/>
      <c r="B817" s="703"/>
      <c r="C817" s="703"/>
      <c r="D817" s="703"/>
      <c r="E817" s="703"/>
      <c r="F817" s="703"/>
      <c r="G817" s="703"/>
      <c r="H817" s="703"/>
      <c r="I817" s="703"/>
      <c r="J817" s="703"/>
      <c r="K817" s="703"/>
      <c r="L817" s="703"/>
      <c r="M817" s="703"/>
      <c r="N817" s="703"/>
      <c r="O817" s="703"/>
      <c r="P817" s="703"/>
      <c r="Q817" s="703"/>
      <c r="R817" s="703"/>
      <c r="S817" s="703"/>
      <c r="T817" s="703"/>
      <c r="U817" s="703"/>
      <c r="V817" s="703"/>
      <c r="W817" s="703"/>
      <c r="X817" s="703"/>
      <c r="Y817" s="703"/>
      <c r="Z817" s="703"/>
    </row>
    <row r="818">
      <c r="A818" s="703"/>
      <c r="B818" s="703"/>
      <c r="C818" s="703"/>
      <c r="D818" s="703"/>
      <c r="E818" s="703"/>
      <c r="F818" s="703"/>
      <c r="G818" s="703"/>
      <c r="H818" s="703"/>
      <c r="I818" s="703"/>
      <c r="J818" s="703"/>
      <c r="K818" s="703"/>
      <c r="L818" s="703"/>
      <c r="M818" s="703"/>
      <c r="N818" s="703"/>
      <c r="O818" s="703"/>
      <c r="P818" s="703"/>
      <c r="Q818" s="703"/>
      <c r="R818" s="703"/>
      <c r="S818" s="703"/>
      <c r="T818" s="703"/>
      <c r="U818" s="703"/>
      <c r="V818" s="703"/>
      <c r="W818" s="703"/>
      <c r="X818" s="703"/>
      <c r="Y818" s="703"/>
      <c r="Z818" s="703"/>
    </row>
    <row r="819">
      <c r="A819" s="703"/>
      <c r="B819" s="703"/>
      <c r="C819" s="703"/>
      <c r="D819" s="703"/>
      <c r="E819" s="703"/>
      <c r="F819" s="703"/>
      <c r="G819" s="703"/>
      <c r="H819" s="703"/>
      <c r="I819" s="703"/>
      <c r="J819" s="703"/>
      <c r="K819" s="703"/>
      <c r="L819" s="703"/>
      <c r="M819" s="703"/>
      <c r="N819" s="703"/>
      <c r="O819" s="703"/>
      <c r="P819" s="703"/>
      <c r="Q819" s="703"/>
      <c r="R819" s="703"/>
      <c r="S819" s="703"/>
      <c r="T819" s="703"/>
      <c r="U819" s="703"/>
      <c r="V819" s="703"/>
      <c r="W819" s="703"/>
      <c r="X819" s="703"/>
      <c r="Y819" s="703"/>
      <c r="Z819" s="703"/>
    </row>
    <row r="820">
      <c r="A820" s="703"/>
      <c r="B820" s="703"/>
      <c r="C820" s="703"/>
      <c r="D820" s="703"/>
      <c r="E820" s="703"/>
      <c r="F820" s="703"/>
      <c r="G820" s="703"/>
      <c r="H820" s="703"/>
      <c r="I820" s="703"/>
      <c r="J820" s="703"/>
      <c r="K820" s="703"/>
      <c r="L820" s="703"/>
      <c r="M820" s="703"/>
      <c r="N820" s="703"/>
      <c r="O820" s="703"/>
      <c r="P820" s="703"/>
      <c r="Q820" s="703"/>
      <c r="R820" s="703"/>
      <c r="S820" s="703"/>
      <c r="T820" s="703"/>
      <c r="U820" s="703"/>
      <c r="V820" s="703"/>
      <c r="W820" s="703"/>
      <c r="X820" s="703"/>
      <c r="Y820" s="703"/>
      <c r="Z820" s="703"/>
    </row>
    <row r="821">
      <c r="A821" s="703"/>
      <c r="B821" s="703"/>
      <c r="C821" s="703"/>
      <c r="D821" s="703"/>
      <c r="E821" s="703"/>
      <c r="F821" s="703"/>
      <c r="G821" s="703"/>
      <c r="H821" s="703"/>
      <c r="I821" s="703"/>
      <c r="J821" s="703"/>
      <c r="K821" s="703"/>
      <c r="L821" s="703"/>
      <c r="M821" s="703"/>
      <c r="N821" s="703"/>
      <c r="O821" s="703"/>
      <c r="P821" s="703"/>
      <c r="Q821" s="703"/>
      <c r="R821" s="703"/>
      <c r="S821" s="703"/>
      <c r="T821" s="703"/>
      <c r="U821" s="703"/>
      <c r="V821" s="703"/>
      <c r="W821" s="703"/>
      <c r="X821" s="703"/>
      <c r="Y821" s="703"/>
      <c r="Z821" s="703"/>
    </row>
    <row r="822">
      <c r="A822" s="703"/>
      <c r="B822" s="703"/>
      <c r="C822" s="703"/>
      <c r="D822" s="703"/>
      <c r="E822" s="703"/>
      <c r="F822" s="703"/>
      <c r="G822" s="703"/>
      <c r="H822" s="703"/>
      <c r="I822" s="703"/>
      <c r="J822" s="703"/>
      <c r="K822" s="703"/>
      <c r="L822" s="703"/>
      <c r="M822" s="703"/>
      <c r="N822" s="703"/>
      <c r="O822" s="703"/>
      <c r="P822" s="703"/>
      <c r="Q822" s="703"/>
      <c r="R822" s="703"/>
      <c r="S822" s="703"/>
      <c r="T822" s="703"/>
      <c r="U822" s="703"/>
      <c r="V822" s="703"/>
      <c r="W822" s="703"/>
      <c r="X822" s="703"/>
      <c r="Y822" s="703"/>
      <c r="Z822" s="703"/>
    </row>
    <row r="823">
      <c r="A823" s="703"/>
      <c r="B823" s="703"/>
      <c r="C823" s="703"/>
      <c r="D823" s="703"/>
      <c r="E823" s="703"/>
      <c r="F823" s="703"/>
      <c r="G823" s="703"/>
      <c r="H823" s="703"/>
      <c r="I823" s="703"/>
      <c r="J823" s="703"/>
      <c r="K823" s="703"/>
      <c r="L823" s="703"/>
      <c r="M823" s="703"/>
      <c r="N823" s="703"/>
      <c r="O823" s="703"/>
      <c r="P823" s="703"/>
      <c r="Q823" s="703"/>
      <c r="R823" s="703"/>
      <c r="S823" s="703"/>
      <c r="T823" s="703"/>
      <c r="U823" s="703"/>
      <c r="V823" s="703"/>
      <c r="W823" s="703"/>
      <c r="X823" s="703"/>
      <c r="Y823" s="703"/>
      <c r="Z823" s="703"/>
    </row>
    <row r="824">
      <c r="A824" s="703"/>
      <c r="B824" s="703"/>
      <c r="C824" s="703"/>
      <c r="D824" s="703"/>
      <c r="E824" s="703"/>
      <c r="F824" s="703"/>
      <c r="G824" s="703"/>
      <c r="H824" s="703"/>
      <c r="I824" s="703"/>
      <c r="J824" s="703"/>
      <c r="K824" s="703"/>
      <c r="L824" s="703"/>
      <c r="M824" s="703"/>
      <c r="N824" s="703"/>
      <c r="O824" s="703"/>
      <c r="P824" s="703"/>
      <c r="Q824" s="703"/>
      <c r="R824" s="703"/>
      <c r="S824" s="703"/>
      <c r="T824" s="703"/>
      <c r="U824" s="703"/>
      <c r="V824" s="703"/>
      <c r="W824" s="703"/>
      <c r="X824" s="703"/>
      <c r="Y824" s="703"/>
      <c r="Z824" s="703"/>
    </row>
    <row r="825">
      <c r="A825" s="703"/>
      <c r="B825" s="703"/>
      <c r="C825" s="703"/>
      <c r="D825" s="703"/>
      <c r="E825" s="703"/>
      <c r="F825" s="703"/>
      <c r="G825" s="703"/>
      <c r="H825" s="703"/>
      <c r="I825" s="703"/>
      <c r="J825" s="703"/>
      <c r="K825" s="703"/>
      <c r="L825" s="703"/>
      <c r="M825" s="703"/>
      <c r="N825" s="703"/>
      <c r="O825" s="703"/>
      <c r="P825" s="703"/>
      <c r="Q825" s="703"/>
      <c r="R825" s="703"/>
      <c r="S825" s="703"/>
      <c r="T825" s="703"/>
      <c r="U825" s="703"/>
      <c r="V825" s="703"/>
      <c r="W825" s="703"/>
      <c r="X825" s="703"/>
      <c r="Y825" s="703"/>
      <c r="Z825" s="703"/>
    </row>
    <row r="826">
      <c r="A826" s="703"/>
      <c r="B826" s="703"/>
      <c r="C826" s="703"/>
      <c r="D826" s="703"/>
      <c r="E826" s="703"/>
      <c r="F826" s="703"/>
      <c r="G826" s="703"/>
      <c r="H826" s="703"/>
      <c r="I826" s="703"/>
      <c r="J826" s="703"/>
      <c r="K826" s="703"/>
      <c r="L826" s="703"/>
      <c r="M826" s="703"/>
      <c r="N826" s="703"/>
      <c r="O826" s="703"/>
      <c r="P826" s="703"/>
      <c r="Q826" s="703"/>
      <c r="R826" s="703"/>
      <c r="S826" s="703"/>
      <c r="T826" s="703"/>
      <c r="U826" s="703"/>
      <c r="V826" s="703"/>
      <c r="W826" s="703"/>
      <c r="X826" s="703"/>
      <c r="Y826" s="703"/>
      <c r="Z826" s="703"/>
    </row>
    <row r="827">
      <c r="A827" s="703"/>
      <c r="B827" s="703"/>
      <c r="C827" s="703"/>
      <c r="D827" s="703"/>
      <c r="E827" s="703"/>
      <c r="F827" s="703"/>
      <c r="G827" s="703"/>
      <c r="H827" s="703"/>
      <c r="I827" s="703"/>
      <c r="J827" s="703"/>
      <c r="K827" s="703"/>
      <c r="L827" s="703"/>
      <c r="M827" s="703"/>
      <c r="N827" s="703"/>
      <c r="O827" s="703"/>
      <c r="P827" s="703"/>
      <c r="Q827" s="703"/>
      <c r="R827" s="703"/>
      <c r="S827" s="703"/>
      <c r="T827" s="703"/>
      <c r="U827" s="703"/>
      <c r="V827" s="703"/>
      <c r="W827" s="703"/>
      <c r="X827" s="703"/>
      <c r="Y827" s="703"/>
      <c r="Z827" s="703"/>
    </row>
    <row r="828">
      <c r="A828" s="703"/>
      <c r="B828" s="703"/>
      <c r="C828" s="703"/>
      <c r="D828" s="703"/>
      <c r="E828" s="703"/>
      <c r="F828" s="703"/>
      <c r="G828" s="703"/>
      <c r="H828" s="703"/>
      <c r="I828" s="703"/>
      <c r="J828" s="703"/>
      <c r="K828" s="703"/>
      <c r="L828" s="703"/>
      <c r="M828" s="703"/>
      <c r="N828" s="703"/>
      <c r="O828" s="703"/>
      <c r="P828" s="703"/>
      <c r="Q828" s="703"/>
      <c r="R828" s="703"/>
      <c r="S828" s="703"/>
      <c r="T828" s="703"/>
      <c r="U828" s="703"/>
      <c r="V828" s="703"/>
      <c r="W828" s="703"/>
      <c r="X828" s="703"/>
      <c r="Y828" s="703"/>
      <c r="Z828" s="703"/>
    </row>
    <row r="829">
      <c r="A829" s="703"/>
      <c r="B829" s="703"/>
      <c r="C829" s="703"/>
      <c r="D829" s="703"/>
      <c r="E829" s="703"/>
      <c r="F829" s="703"/>
      <c r="G829" s="703"/>
      <c r="H829" s="703"/>
      <c r="I829" s="703"/>
      <c r="J829" s="703"/>
      <c r="K829" s="703"/>
      <c r="L829" s="703"/>
      <c r="M829" s="703"/>
      <c r="N829" s="703"/>
      <c r="O829" s="703"/>
      <c r="P829" s="703"/>
      <c r="Q829" s="703"/>
      <c r="R829" s="703"/>
      <c r="S829" s="703"/>
      <c r="T829" s="703"/>
      <c r="U829" s="703"/>
      <c r="V829" s="703"/>
      <c r="W829" s="703"/>
      <c r="X829" s="703"/>
      <c r="Y829" s="703"/>
      <c r="Z829" s="703"/>
    </row>
    <row r="830">
      <c r="A830" s="703"/>
      <c r="B830" s="703"/>
      <c r="C830" s="703"/>
      <c r="D830" s="703"/>
      <c r="E830" s="703"/>
      <c r="F830" s="703"/>
      <c r="G830" s="703"/>
      <c r="H830" s="703"/>
      <c r="I830" s="703"/>
      <c r="J830" s="703"/>
      <c r="K830" s="703"/>
      <c r="L830" s="703"/>
      <c r="M830" s="703"/>
      <c r="N830" s="703"/>
      <c r="O830" s="703"/>
      <c r="P830" s="703"/>
      <c r="Q830" s="703"/>
      <c r="R830" s="703"/>
      <c r="S830" s="703"/>
      <c r="T830" s="703"/>
      <c r="U830" s="703"/>
      <c r="V830" s="703"/>
      <c r="W830" s="703"/>
      <c r="X830" s="703"/>
      <c r="Y830" s="703"/>
      <c r="Z830" s="703"/>
    </row>
    <row r="831">
      <c r="A831" s="703"/>
      <c r="B831" s="703"/>
      <c r="C831" s="703"/>
      <c r="D831" s="703"/>
      <c r="E831" s="703"/>
      <c r="F831" s="703"/>
      <c r="G831" s="703"/>
      <c r="H831" s="703"/>
      <c r="I831" s="703"/>
      <c r="J831" s="703"/>
      <c r="K831" s="703"/>
      <c r="L831" s="703"/>
      <c r="M831" s="703"/>
      <c r="N831" s="703"/>
      <c r="O831" s="703"/>
      <c r="P831" s="703"/>
      <c r="Q831" s="703"/>
      <c r="R831" s="703"/>
      <c r="S831" s="703"/>
      <c r="T831" s="703"/>
      <c r="U831" s="703"/>
      <c r="V831" s="703"/>
      <c r="W831" s="703"/>
      <c r="X831" s="703"/>
      <c r="Y831" s="703"/>
      <c r="Z831" s="703"/>
    </row>
    <row r="832">
      <c r="A832" s="703"/>
      <c r="B832" s="703"/>
      <c r="C832" s="703"/>
      <c r="D832" s="703"/>
      <c r="E832" s="703"/>
      <c r="F832" s="703"/>
      <c r="G832" s="703"/>
      <c r="H832" s="703"/>
      <c r="I832" s="703"/>
      <c r="J832" s="703"/>
      <c r="K832" s="703"/>
      <c r="L832" s="703"/>
      <c r="M832" s="703"/>
      <c r="N832" s="703"/>
      <c r="O832" s="703"/>
      <c r="P832" s="703"/>
      <c r="Q832" s="703"/>
      <c r="R832" s="703"/>
      <c r="S832" s="703"/>
      <c r="T832" s="703"/>
      <c r="U832" s="703"/>
      <c r="V832" s="703"/>
      <c r="W832" s="703"/>
      <c r="X832" s="703"/>
      <c r="Y832" s="703"/>
      <c r="Z832" s="703"/>
    </row>
    <row r="833">
      <c r="A833" s="703"/>
      <c r="B833" s="703"/>
      <c r="C833" s="703"/>
      <c r="D833" s="703"/>
      <c r="E833" s="703"/>
      <c r="F833" s="703"/>
      <c r="G833" s="703"/>
      <c r="H833" s="703"/>
      <c r="I833" s="703"/>
      <c r="J833" s="703"/>
      <c r="K833" s="703"/>
      <c r="L833" s="703"/>
      <c r="M833" s="703"/>
      <c r="N833" s="703"/>
      <c r="O833" s="703"/>
      <c r="P833" s="703"/>
      <c r="Q833" s="703"/>
      <c r="R833" s="703"/>
      <c r="S833" s="703"/>
      <c r="T833" s="703"/>
      <c r="U833" s="703"/>
      <c r="V833" s="703"/>
      <c r="W833" s="703"/>
      <c r="X833" s="703"/>
      <c r="Y833" s="703"/>
      <c r="Z833" s="703"/>
    </row>
    <row r="834">
      <c r="A834" s="703"/>
      <c r="B834" s="703"/>
      <c r="C834" s="703"/>
      <c r="D834" s="703"/>
      <c r="E834" s="703"/>
      <c r="F834" s="703"/>
      <c r="G834" s="703"/>
      <c r="H834" s="703"/>
      <c r="I834" s="703"/>
      <c r="J834" s="703"/>
      <c r="K834" s="703"/>
      <c r="L834" s="703"/>
      <c r="M834" s="703"/>
      <c r="N834" s="703"/>
      <c r="O834" s="703"/>
      <c r="P834" s="703"/>
      <c r="Q834" s="703"/>
      <c r="R834" s="703"/>
      <c r="S834" s="703"/>
      <c r="T834" s="703"/>
      <c r="U834" s="703"/>
      <c r="V834" s="703"/>
      <c r="W834" s="703"/>
      <c r="X834" s="703"/>
      <c r="Y834" s="703"/>
      <c r="Z834" s="703"/>
    </row>
    <row r="835">
      <c r="A835" s="703"/>
      <c r="B835" s="703"/>
      <c r="C835" s="703"/>
      <c r="D835" s="703"/>
      <c r="E835" s="703"/>
      <c r="F835" s="703"/>
      <c r="G835" s="703"/>
      <c r="H835" s="703"/>
      <c r="I835" s="703"/>
      <c r="J835" s="703"/>
      <c r="K835" s="703"/>
      <c r="L835" s="703"/>
      <c r="M835" s="703"/>
      <c r="N835" s="703"/>
      <c r="O835" s="703"/>
      <c r="P835" s="703"/>
      <c r="Q835" s="703"/>
      <c r="R835" s="703"/>
      <c r="S835" s="703"/>
      <c r="T835" s="703"/>
      <c r="U835" s="703"/>
      <c r="V835" s="703"/>
      <c r="W835" s="703"/>
      <c r="X835" s="703"/>
      <c r="Y835" s="703"/>
      <c r="Z835" s="703"/>
    </row>
    <row r="836">
      <c r="A836" s="703"/>
      <c r="B836" s="703"/>
      <c r="C836" s="703"/>
      <c r="D836" s="703"/>
      <c r="E836" s="703"/>
      <c r="F836" s="703"/>
      <c r="G836" s="703"/>
      <c r="H836" s="703"/>
      <c r="I836" s="703"/>
      <c r="J836" s="703"/>
      <c r="K836" s="703"/>
      <c r="L836" s="703"/>
      <c r="M836" s="703"/>
      <c r="N836" s="703"/>
      <c r="O836" s="703"/>
      <c r="P836" s="703"/>
      <c r="Q836" s="703"/>
      <c r="R836" s="703"/>
      <c r="S836" s="703"/>
      <c r="T836" s="703"/>
      <c r="U836" s="703"/>
      <c r="V836" s="703"/>
      <c r="W836" s="703"/>
      <c r="X836" s="703"/>
      <c r="Y836" s="703"/>
      <c r="Z836" s="703"/>
    </row>
    <row r="837">
      <c r="A837" s="703"/>
      <c r="B837" s="703"/>
      <c r="C837" s="703"/>
      <c r="D837" s="703"/>
      <c r="E837" s="703"/>
      <c r="F837" s="703"/>
      <c r="G837" s="703"/>
      <c r="H837" s="703"/>
      <c r="I837" s="703"/>
      <c r="J837" s="703"/>
      <c r="K837" s="703"/>
      <c r="L837" s="703"/>
      <c r="M837" s="703"/>
      <c r="N837" s="703"/>
      <c r="O837" s="703"/>
      <c r="P837" s="703"/>
      <c r="Q837" s="703"/>
      <c r="R837" s="703"/>
      <c r="S837" s="703"/>
      <c r="T837" s="703"/>
      <c r="U837" s="703"/>
      <c r="V837" s="703"/>
      <c r="W837" s="703"/>
      <c r="X837" s="703"/>
      <c r="Y837" s="703"/>
      <c r="Z837" s="703"/>
    </row>
    <row r="838">
      <c r="A838" s="703"/>
      <c r="B838" s="703"/>
      <c r="C838" s="703"/>
      <c r="D838" s="703"/>
      <c r="E838" s="703"/>
      <c r="F838" s="703"/>
      <c r="G838" s="703"/>
      <c r="H838" s="703"/>
      <c r="I838" s="703"/>
      <c r="J838" s="703"/>
      <c r="K838" s="703"/>
      <c r="L838" s="703"/>
      <c r="M838" s="703"/>
      <c r="N838" s="703"/>
      <c r="O838" s="703"/>
      <c r="P838" s="703"/>
      <c r="Q838" s="703"/>
      <c r="R838" s="703"/>
      <c r="S838" s="703"/>
      <c r="T838" s="703"/>
      <c r="U838" s="703"/>
      <c r="V838" s="703"/>
      <c r="W838" s="703"/>
      <c r="X838" s="703"/>
      <c r="Y838" s="703"/>
      <c r="Z838" s="703"/>
    </row>
    <row r="839">
      <c r="A839" s="703"/>
      <c r="B839" s="703"/>
      <c r="C839" s="703"/>
      <c r="D839" s="703"/>
      <c r="E839" s="703"/>
      <c r="F839" s="703"/>
      <c r="G839" s="703"/>
      <c r="H839" s="703"/>
      <c r="I839" s="703"/>
      <c r="J839" s="703"/>
      <c r="K839" s="703"/>
      <c r="L839" s="703"/>
      <c r="M839" s="703"/>
      <c r="N839" s="703"/>
      <c r="O839" s="703"/>
      <c r="P839" s="703"/>
      <c r="Q839" s="703"/>
      <c r="R839" s="703"/>
      <c r="S839" s="703"/>
      <c r="T839" s="703"/>
      <c r="U839" s="703"/>
      <c r="V839" s="703"/>
      <c r="W839" s="703"/>
      <c r="X839" s="703"/>
      <c r="Y839" s="703"/>
      <c r="Z839" s="703"/>
    </row>
    <row r="840">
      <c r="A840" s="703"/>
      <c r="B840" s="703"/>
      <c r="C840" s="703"/>
      <c r="D840" s="703"/>
      <c r="E840" s="703"/>
      <c r="F840" s="703"/>
      <c r="G840" s="703"/>
      <c r="H840" s="703"/>
      <c r="I840" s="703"/>
      <c r="J840" s="703"/>
      <c r="K840" s="703"/>
      <c r="L840" s="703"/>
      <c r="M840" s="703"/>
      <c r="N840" s="703"/>
      <c r="O840" s="703"/>
      <c r="P840" s="703"/>
      <c r="Q840" s="703"/>
      <c r="R840" s="703"/>
      <c r="S840" s="703"/>
      <c r="T840" s="703"/>
      <c r="U840" s="703"/>
      <c r="V840" s="703"/>
      <c r="W840" s="703"/>
      <c r="X840" s="703"/>
      <c r="Y840" s="703"/>
      <c r="Z840" s="703"/>
    </row>
    <row r="841">
      <c r="A841" s="703"/>
      <c r="B841" s="703"/>
      <c r="C841" s="703"/>
      <c r="D841" s="703"/>
      <c r="E841" s="703"/>
      <c r="F841" s="703"/>
      <c r="G841" s="703"/>
      <c r="H841" s="703"/>
      <c r="I841" s="703"/>
      <c r="J841" s="703"/>
      <c r="K841" s="703"/>
      <c r="L841" s="703"/>
      <c r="M841" s="703"/>
      <c r="N841" s="703"/>
      <c r="O841" s="703"/>
      <c r="P841" s="703"/>
      <c r="Q841" s="703"/>
      <c r="R841" s="703"/>
      <c r="S841" s="703"/>
      <c r="T841" s="703"/>
      <c r="U841" s="703"/>
      <c r="V841" s="703"/>
      <c r="W841" s="703"/>
      <c r="X841" s="703"/>
      <c r="Y841" s="703"/>
      <c r="Z841" s="703"/>
    </row>
    <row r="842">
      <c r="A842" s="703"/>
      <c r="B842" s="703"/>
      <c r="C842" s="703"/>
      <c r="D842" s="703"/>
      <c r="E842" s="703"/>
      <c r="F842" s="703"/>
      <c r="G842" s="703"/>
      <c r="H842" s="703"/>
      <c r="I842" s="703"/>
      <c r="J842" s="703"/>
      <c r="K842" s="703"/>
      <c r="L842" s="703"/>
      <c r="M842" s="703"/>
      <c r="N842" s="703"/>
      <c r="O842" s="703"/>
      <c r="P842" s="703"/>
      <c r="Q842" s="703"/>
      <c r="R842" s="703"/>
      <c r="S842" s="703"/>
      <c r="T842" s="703"/>
      <c r="U842" s="703"/>
      <c r="V842" s="703"/>
      <c r="W842" s="703"/>
      <c r="X842" s="703"/>
      <c r="Y842" s="703"/>
      <c r="Z842" s="703"/>
    </row>
    <row r="843">
      <c r="A843" s="703"/>
      <c r="B843" s="703"/>
      <c r="C843" s="703"/>
      <c r="D843" s="703"/>
      <c r="E843" s="703"/>
      <c r="F843" s="703"/>
      <c r="G843" s="703"/>
      <c r="H843" s="703"/>
      <c r="I843" s="703"/>
      <c r="J843" s="703"/>
      <c r="K843" s="703"/>
      <c r="L843" s="703"/>
      <c r="M843" s="703"/>
      <c r="N843" s="703"/>
      <c r="O843" s="703"/>
      <c r="P843" s="703"/>
      <c r="Q843" s="703"/>
      <c r="R843" s="703"/>
      <c r="S843" s="703"/>
      <c r="T843" s="703"/>
      <c r="U843" s="703"/>
      <c r="V843" s="703"/>
      <c r="W843" s="703"/>
      <c r="X843" s="703"/>
      <c r="Y843" s="703"/>
      <c r="Z843" s="703"/>
    </row>
    <row r="844">
      <c r="A844" s="703"/>
      <c r="B844" s="703"/>
      <c r="C844" s="703"/>
      <c r="D844" s="703"/>
      <c r="E844" s="703"/>
      <c r="F844" s="703"/>
      <c r="G844" s="703"/>
      <c r="H844" s="703"/>
      <c r="I844" s="703"/>
      <c r="J844" s="703"/>
      <c r="K844" s="703"/>
      <c r="L844" s="703"/>
      <c r="M844" s="703"/>
      <c r="N844" s="703"/>
      <c r="O844" s="703"/>
      <c r="P844" s="703"/>
      <c r="Q844" s="703"/>
      <c r="R844" s="703"/>
      <c r="S844" s="703"/>
      <c r="T844" s="703"/>
      <c r="U844" s="703"/>
      <c r="V844" s="703"/>
      <c r="W844" s="703"/>
      <c r="X844" s="703"/>
      <c r="Y844" s="703"/>
      <c r="Z844" s="703"/>
    </row>
    <row r="845">
      <c r="A845" s="703"/>
      <c r="B845" s="703"/>
      <c r="C845" s="703"/>
      <c r="D845" s="703"/>
      <c r="E845" s="703"/>
      <c r="F845" s="703"/>
      <c r="G845" s="703"/>
      <c r="H845" s="703"/>
      <c r="I845" s="703"/>
      <c r="J845" s="703"/>
      <c r="K845" s="703"/>
      <c r="L845" s="703"/>
      <c r="M845" s="703"/>
      <c r="N845" s="703"/>
      <c r="O845" s="703"/>
      <c r="P845" s="703"/>
      <c r="Q845" s="703"/>
      <c r="R845" s="703"/>
      <c r="S845" s="703"/>
      <c r="T845" s="703"/>
      <c r="U845" s="703"/>
      <c r="V845" s="703"/>
      <c r="W845" s="703"/>
      <c r="X845" s="703"/>
      <c r="Y845" s="703"/>
      <c r="Z845" s="703"/>
    </row>
    <row r="846">
      <c r="A846" s="703"/>
      <c r="B846" s="703"/>
      <c r="C846" s="703"/>
      <c r="D846" s="703"/>
      <c r="E846" s="703"/>
      <c r="F846" s="703"/>
      <c r="G846" s="703"/>
      <c r="H846" s="703"/>
      <c r="I846" s="703"/>
      <c r="J846" s="703"/>
      <c r="K846" s="703"/>
      <c r="L846" s="703"/>
      <c r="M846" s="703"/>
      <c r="N846" s="703"/>
      <c r="O846" s="703"/>
      <c r="P846" s="703"/>
      <c r="Q846" s="703"/>
      <c r="R846" s="703"/>
      <c r="S846" s="703"/>
      <c r="T846" s="703"/>
      <c r="U846" s="703"/>
      <c r="V846" s="703"/>
      <c r="W846" s="703"/>
      <c r="X846" s="703"/>
      <c r="Y846" s="703"/>
      <c r="Z846" s="703"/>
    </row>
    <row r="847">
      <c r="A847" s="703"/>
      <c r="B847" s="703"/>
      <c r="C847" s="703"/>
      <c r="D847" s="703"/>
      <c r="E847" s="703"/>
      <c r="F847" s="703"/>
      <c r="G847" s="703"/>
      <c r="H847" s="703"/>
      <c r="I847" s="703"/>
      <c r="J847" s="703"/>
      <c r="K847" s="703"/>
      <c r="L847" s="703"/>
      <c r="M847" s="703"/>
      <c r="N847" s="703"/>
      <c r="O847" s="703"/>
      <c r="P847" s="703"/>
      <c r="Q847" s="703"/>
      <c r="R847" s="703"/>
      <c r="S847" s="703"/>
      <c r="T847" s="703"/>
      <c r="U847" s="703"/>
      <c r="V847" s="703"/>
      <c r="W847" s="703"/>
      <c r="X847" s="703"/>
      <c r="Y847" s="703"/>
      <c r="Z847" s="703"/>
    </row>
    <row r="848">
      <c r="A848" s="703"/>
      <c r="B848" s="703"/>
      <c r="C848" s="703"/>
      <c r="D848" s="703"/>
      <c r="E848" s="703"/>
      <c r="F848" s="703"/>
      <c r="G848" s="703"/>
      <c r="H848" s="703"/>
      <c r="I848" s="703"/>
      <c r="J848" s="703"/>
      <c r="K848" s="703"/>
      <c r="L848" s="703"/>
      <c r="M848" s="703"/>
      <c r="N848" s="703"/>
      <c r="O848" s="703"/>
      <c r="P848" s="703"/>
      <c r="Q848" s="703"/>
      <c r="R848" s="703"/>
      <c r="S848" s="703"/>
      <c r="T848" s="703"/>
      <c r="U848" s="703"/>
      <c r="V848" s="703"/>
      <c r="W848" s="703"/>
      <c r="X848" s="703"/>
      <c r="Y848" s="703"/>
      <c r="Z848" s="703"/>
    </row>
    <row r="849">
      <c r="A849" s="703"/>
      <c r="B849" s="703"/>
      <c r="C849" s="703"/>
      <c r="D849" s="703"/>
      <c r="E849" s="703"/>
      <c r="F849" s="703"/>
      <c r="G849" s="703"/>
      <c r="H849" s="703"/>
      <c r="I849" s="703"/>
      <c r="J849" s="703"/>
      <c r="K849" s="703"/>
      <c r="L849" s="703"/>
      <c r="M849" s="703"/>
      <c r="N849" s="703"/>
      <c r="O849" s="703"/>
      <c r="P849" s="703"/>
      <c r="Q849" s="703"/>
      <c r="R849" s="703"/>
      <c r="S849" s="703"/>
      <c r="T849" s="703"/>
      <c r="U849" s="703"/>
      <c r="V849" s="703"/>
      <c r="W849" s="703"/>
      <c r="X849" s="703"/>
      <c r="Y849" s="703"/>
      <c r="Z849" s="703"/>
    </row>
    <row r="850">
      <c r="A850" s="703"/>
      <c r="B850" s="703"/>
      <c r="C850" s="703"/>
      <c r="D850" s="703"/>
      <c r="E850" s="703"/>
      <c r="F850" s="703"/>
      <c r="G850" s="703"/>
      <c r="H850" s="703"/>
      <c r="I850" s="703"/>
      <c r="J850" s="703"/>
      <c r="K850" s="703"/>
      <c r="L850" s="703"/>
      <c r="M850" s="703"/>
      <c r="N850" s="703"/>
      <c r="O850" s="703"/>
      <c r="P850" s="703"/>
      <c r="Q850" s="703"/>
      <c r="R850" s="703"/>
      <c r="S850" s="703"/>
      <c r="T850" s="703"/>
      <c r="U850" s="703"/>
      <c r="V850" s="703"/>
      <c r="W850" s="703"/>
      <c r="X850" s="703"/>
      <c r="Y850" s="703"/>
      <c r="Z850" s="703"/>
    </row>
    <row r="851">
      <c r="A851" s="703"/>
      <c r="B851" s="703"/>
      <c r="C851" s="703"/>
      <c r="D851" s="703"/>
      <c r="E851" s="703"/>
      <c r="F851" s="703"/>
      <c r="G851" s="703"/>
      <c r="H851" s="703"/>
      <c r="I851" s="703"/>
      <c r="J851" s="703"/>
      <c r="K851" s="703"/>
      <c r="L851" s="703"/>
      <c r="M851" s="703"/>
      <c r="N851" s="703"/>
      <c r="O851" s="703"/>
      <c r="P851" s="703"/>
      <c r="Q851" s="703"/>
      <c r="R851" s="703"/>
      <c r="S851" s="703"/>
      <c r="T851" s="703"/>
      <c r="U851" s="703"/>
      <c r="V851" s="703"/>
      <c r="W851" s="703"/>
      <c r="X851" s="703"/>
      <c r="Y851" s="703"/>
      <c r="Z851" s="703"/>
    </row>
    <row r="852">
      <c r="A852" s="703"/>
      <c r="B852" s="703"/>
      <c r="C852" s="703"/>
      <c r="D852" s="703"/>
      <c r="E852" s="703"/>
      <c r="F852" s="703"/>
      <c r="G852" s="703"/>
      <c r="H852" s="703"/>
      <c r="I852" s="703"/>
      <c r="J852" s="703"/>
      <c r="K852" s="703"/>
      <c r="L852" s="703"/>
      <c r="M852" s="703"/>
      <c r="N852" s="703"/>
      <c r="O852" s="703"/>
      <c r="P852" s="703"/>
      <c r="Q852" s="703"/>
      <c r="R852" s="703"/>
      <c r="S852" s="703"/>
      <c r="T852" s="703"/>
      <c r="U852" s="703"/>
      <c r="V852" s="703"/>
      <c r="W852" s="703"/>
      <c r="X852" s="703"/>
      <c r="Y852" s="703"/>
      <c r="Z852" s="703"/>
    </row>
    <row r="853">
      <c r="A853" s="703"/>
      <c r="B853" s="703"/>
      <c r="C853" s="703"/>
      <c r="D853" s="703"/>
      <c r="E853" s="703"/>
      <c r="F853" s="703"/>
      <c r="G853" s="703"/>
      <c r="H853" s="703"/>
      <c r="I853" s="703"/>
      <c r="J853" s="703"/>
      <c r="K853" s="703"/>
      <c r="L853" s="703"/>
      <c r="M853" s="703"/>
      <c r="N853" s="703"/>
      <c r="O853" s="703"/>
      <c r="P853" s="703"/>
      <c r="Q853" s="703"/>
      <c r="R853" s="703"/>
      <c r="S853" s="703"/>
      <c r="T853" s="703"/>
      <c r="U853" s="703"/>
      <c r="V853" s="703"/>
      <c r="W853" s="703"/>
      <c r="X853" s="703"/>
      <c r="Y853" s="703"/>
      <c r="Z853" s="703"/>
    </row>
    <row r="854">
      <c r="A854" s="703"/>
      <c r="B854" s="703"/>
      <c r="C854" s="703"/>
      <c r="D854" s="703"/>
      <c r="E854" s="703"/>
      <c r="F854" s="703"/>
      <c r="G854" s="703"/>
      <c r="H854" s="703"/>
      <c r="I854" s="703"/>
      <c r="J854" s="703"/>
      <c r="K854" s="703"/>
      <c r="L854" s="703"/>
      <c r="M854" s="703"/>
      <c r="N854" s="703"/>
      <c r="O854" s="703"/>
      <c r="P854" s="703"/>
      <c r="Q854" s="703"/>
      <c r="R854" s="703"/>
      <c r="S854" s="703"/>
      <c r="T854" s="703"/>
      <c r="U854" s="703"/>
      <c r="V854" s="703"/>
      <c r="W854" s="703"/>
      <c r="X854" s="703"/>
      <c r="Y854" s="703"/>
      <c r="Z854" s="703"/>
    </row>
    <row r="855">
      <c r="A855" s="703"/>
      <c r="B855" s="703"/>
      <c r="C855" s="703"/>
      <c r="D855" s="703"/>
      <c r="E855" s="703"/>
      <c r="F855" s="703"/>
      <c r="G855" s="703"/>
      <c r="H855" s="703"/>
      <c r="I855" s="703"/>
      <c r="J855" s="703"/>
      <c r="K855" s="703"/>
      <c r="L855" s="703"/>
      <c r="M855" s="703"/>
      <c r="N855" s="703"/>
      <c r="O855" s="703"/>
      <c r="P855" s="703"/>
      <c r="Q855" s="703"/>
      <c r="R855" s="703"/>
      <c r="S855" s="703"/>
      <c r="T855" s="703"/>
      <c r="U855" s="703"/>
      <c r="V855" s="703"/>
      <c r="W855" s="703"/>
      <c r="X855" s="703"/>
      <c r="Y855" s="703"/>
      <c r="Z855" s="703"/>
    </row>
    <row r="856">
      <c r="A856" s="703"/>
      <c r="B856" s="703"/>
      <c r="C856" s="703"/>
      <c r="D856" s="703"/>
      <c r="E856" s="703"/>
      <c r="F856" s="703"/>
      <c r="G856" s="703"/>
      <c r="H856" s="703"/>
      <c r="I856" s="703"/>
      <c r="J856" s="703"/>
      <c r="K856" s="703"/>
      <c r="L856" s="703"/>
      <c r="M856" s="703"/>
      <c r="N856" s="703"/>
      <c r="O856" s="703"/>
      <c r="P856" s="703"/>
      <c r="Q856" s="703"/>
      <c r="R856" s="703"/>
      <c r="S856" s="703"/>
      <c r="T856" s="703"/>
      <c r="U856" s="703"/>
      <c r="V856" s="703"/>
      <c r="W856" s="703"/>
      <c r="X856" s="703"/>
      <c r="Y856" s="703"/>
      <c r="Z856" s="703"/>
    </row>
    <row r="857">
      <c r="A857" s="703"/>
      <c r="B857" s="703"/>
      <c r="C857" s="703"/>
      <c r="D857" s="703"/>
      <c r="E857" s="703"/>
      <c r="F857" s="703"/>
      <c r="G857" s="703"/>
      <c r="H857" s="703"/>
      <c r="I857" s="703"/>
      <c r="J857" s="703"/>
      <c r="K857" s="703"/>
      <c r="L857" s="703"/>
      <c r="M857" s="703"/>
      <c r="N857" s="703"/>
      <c r="O857" s="703"/>
      <c r="P857" s="703"/>
      <c r="Q857" s="703"/>
      <c r="R857" s="703"/>
      <c r="S857" s="703"/>
      <c r="T857" s="703"/>
      <c r="U857" s="703"/>
      <c r="V857" s="703"/>
      <c r="W857" s="703"/>
      <c r="X857" s="703"/>
      <c r="Y857" s="703"/>
      <c r="Z857" s="703"/>
    </row>
    <row r="858">
      <c r="A858" s="703"/>
      <c r="B858" s="703"/>
      <c r="C858" s="703"/>
      <c r="D858" s="703"/>
      <c r="E858" s="703"/>
      <c r="F858" s="703"/>
      <c r="G858" s="703"/>
      <c r="H858" s="703"/>
      <c r="I858" s="703"/>
      <c r="J858" s="703"/>
      <c r="K858" s="703"/>
      <c r="L858" s="703"/>
      <c r="M858" s="703"/>
      <c r="N858" s="703"/>
      <c r="O858" s="703"/>
      <c r="P858" s="703"/>
      <c r="Q858" s="703"/>
      <c r="R858" s="703"/>
      <c r="S858" s="703"/>
      <c r="T858" s="703"/>
      <c r="U858" s="703"/>
      <c r="V858" s="703"/>
      <c r="W858" s="703"/>
      <c r="X858" s="703"/>
      <c r="Y858" s="703"/>
      <c r="Z858" s="703"/>
    </row>
    <row r="859">
      <c r="A859" s="703"/>
      <c r="B859" s="703"/>
      <c r="C859" s="703"/>
      <c r="D859" s="703"/>
      <c r="E859" s="703"/>
      <c r="F859" s="703"/>
      <c r="G859" s="703"/>
      <c r="H859" s="703"/>
      <c r="I859" s="703"/>
      <c r="J859" s="703"/>
      <c r="K859" s="703"/>
      <c r="L859" s="703"/>
      <c r="M859" s="703"/>
      <c r="N859" s="703"/>
      <c r="O859" s="703"/>
      <c r="P859" s="703"/>
      <c r="Q859" s="703"/>
      <c r="R859" s="703"/>
      <c r="S859" s="703"/>
      <c r="T859" s="703"/>
      <c r="U859" s="703"/>
      <c r="V859" s="703"/>
      <c r="W859" s="703"/>
      <c r="X859" s="703"/>
      <c r="Y859" s="703"/>
      <c r="Z859" s="703"/>
    </row>
    <row r="860">
      <c r="A860" s="703"/>
      <c r="B860" s="703"/>
      <c r="C860" s="703"/>
      <c r="D860" s="703"/>
      <c r="E860" s="703"/>
      <c r="F860" s="703"/>
      <c r="G860" s="703"/>
      <c r="H860" s="703"/>
      <c r="I860" s="703"/>
      <c r="J860" s="703"/>
      <c r="K860" s="703"/>
      <c r="L860" s="703"/>
      <c r="M860" s="703"/>
      <c r="N860" s="703"/>
      <c r="O860" s="703"/>
      <c r="P860" s="703"/>
      <c r="Q860" s="703"/>
      <c r="R860" s="703"/>
      <c r="S860" s="703"/>
      <c r="T860" s="703"/>
      <c r="U860" s="703"/>
      <c r="V860" s="703"/>
      <c r="W860" s="703"/>
      <c r="X860" s="703"/>
      <c r="Y860" s="703"/>
      <c r="Z860" s="703"/>
    </row>
    <row r="861">
      <c r="A861" s="703"/>
      <c r="B861" s="703"/>
      <c r="C861" s="703"/>
      <c r="D861" s="703"/>
      <c r="E861" s="703"/>
      <c r="F861" s="703"/>
      <c r="G861" s="703"/>
      <c r="H861" s="703"/>
      <c r="I861" s="703"/>
      <c r="J861" s="703"/>
      <c r="K861" s="703"/>
      <c r="L861" s="703"/>
      <c r="M861" s="703"/>
      <c r="N861" s="703"/>
      <c r="O861" s="703"/>
      <c r="P861" s="703"/>
      <c r="Q861" s="703"/>
      <c r="R861" s="703"/>
      <c r="S861" s="703"/>
      <c r="T861" s="703"/>
      <c r="U861" s="703"/>
      <c r="V861" s="703"/>
      <c r="W861" s="703"/>
      <c r="X861" s="703"/>
      <c r="Y861" s="703"/>
      <c r="Z861" s="703"/>
    </row>
    <row r="862">
      <c r="A862" s="703"/>
      <c r="B862" s="703"/>
      <c r="C862" s="703"/>
      <c r="D862" s="703"/>
      <c r="E862" s="703"/>
      <c r="F862" s="703"/>
      <c r="G862" s="703"/>
      <c r="H862" s="703"/>
      <c r="I862" s="703"/>
      <c r="J862" s="703"/>
      <c r="K862" s="703"/>
      <c r="L862" s="703"/>
      <c r="M862" s="703"/>
      <c r="N862" s="703"/>
      <c r="O862" s="703"/>
      <c r="P862" s="703"/>
      <c r="Q862" s="703"/>
      <c r="R862" s="703"/>
      <c r="S862" s="703"/>
      <c r="T862" s="703"/>
      <c r="U862" s="703"/>
      <c r="V862" s="703"/>
      <c r="W862" s="703"/>
      <c r="X862" s="703"/>
      <c r="Y862" s="703"/>
      <c r="Z862" s="703"/>
    </row>
    <row r="863">
      <c r="A863" s="703"/>
      <c r="B863" s="703"/>
      <c r="C863" s="703"/>
      <c r="D863" s="703"/>
      <c r="E863" s="703"/>
      <c r="F863" s="703"/>
      <c r="G863" s="703"/>
      <c r="H863" s="703"/>
      <c r="I863" s="703"/>
      <c r="J863" s="703"/>
      <c r="K863" s="703"/>
      <c r="L863" s="703"/>
      <c r="M863" s="703"/>
      <c r="N863" s="703"/>
      <c r="O863" s="703"/>
      <c r="P863" s="703"/>
      <c r="Q863" s="703"/>
      <c r="R863" s="703"/>
      <c r="S863" s="703"/>
      <c r="T863" s="703"/>
      <c r="U863" s="703"/>
      <c r="V863" s="703"/>
      <c r="W863" s="703"/>
      <c r="X863" s="703"/>
      <c r="Y863" s="703"/>
      <c r="Z863" s="703"/>
    </row>
    <row r="864">
      <c r="A864" s="703"/>
      <c r="B864" s="703"/>
      <c r="C864" s="703"/>
      <c r="D864" s="703"/>
      <c r="E864" s="703"/>
      <c r="F864" s="703"/>
      <c r="G864" s="703"/>
      <c r="H864" s="703"/>
      <c r="I864" s="703"/>
      <c r="J864" s="703"/>
      <c r="K864" s="703"/>
      <c r="L864" s="703"/>
      <c r="M864" s="703"/>
      <c r="N864" s="703"/>
      <c r="O864" s="703"/>
      <c r="P864" s="703"/>
      <c r="Q864" s="703"/>
      <c r="R864" s="703"/>
      <c r="S864" s="703"/>
      <c r="T864" s="703"/>
      <c r="U864" s="703"/>
      <c r="V864" s="703"/>
      <c r="W864" s="703"/>
      <c r="X864" s="703"/>
      <c r="Y864" s="703"/>
      <c r="Z864" s="703"/>
    </row>
    <row r="865">
      <c r="A865" s="703"/>
      <c r="B865" s="703"/>
      <c r="C865" s="703"/>
      <c r="D865" s="703"/>
      <c r="E865" s="703"/>
      <c r="F865" s="703"/>
      <c r="G865" s="703"/>
      <c r="H865" s="703"/>
      <c r="I865" s="703"/>
      <c r="J865" s="703"/>
      <c r="K865" s="703"/>
      <c r="L865" s="703"/>
      <c r="M865" s="703"/>
      <c r="N865" s="703"/>
      <c r="O865" s="703"/>
      <c r="P865" s="703"/>
      <c r="Q865" s="703"/>
      <c r="R865" s="703"/>
      <c r="S865" s="703"/>
      <c r="T865" s="703"/>
      <c r="U865" s="703"/>
      <c r="V865" s="703"/>
      <c r="W865" s="703"/>
      <c r="X865" s="703"/>
      <c r="Y865" s="703"/>
      <c r="Z865" s="703"/>
    </row>
    <row r="866">
      <c r="A866" s="703"/>
      <c r="B866" s="703"/>
      <c r="C866" s="703"/>
      <c r="D866" s="703"/>
      <c r="E866" s="703"/>
      <c r="F866" s="703"/>
      <c r="G866" s="703"/>
      <c r="H866" s="703"/>
      <c r="I866" s="703"/>
      <c r="J866" s="703"/>
      <c r="K866" s="703"/>
      <c r="L866" s="703"/>
      <c r="M866" s="703"/>
      <c r="N866" s="703"/>
      <c r="O866" s="703"/>
      <c r="P866" s="703"/>
      <c r="Q866" s="703"/>
      <c r="R866" s="703"/>
      <c r="S866" s="703"/>
      <c r="T866" s="703"/>
      <c r="U866" s="703"/>
      <c r="V866" s="703"/>
      <c r="W866" s="703"/>
      <c r="X866" s="703"/>
      <c r="Y866" s="703"/>
      <c r="Z866" s="703"/>
    </row>
    <row r="867">
      <c r="A867" s="703"/>
      <c r="B867" s="703"/>
      <c r="C867" s="703"/>
      <c r="D867" s="703"/>
      <c r="E867" s="703"/>
      <c r="F867" s="703"/>
      <c r="G867" s="703"/>
      <c r="H867" s="703"/>
      <c r="I867" s="703"/>
      <c r="J867" s="703"/>
      <c r="K867" s="703"/>
      <c r="L867" s="703"/>
      <c r="M867" s="703"/>
      <c r="N867" s="703"/>
      <c r="O867" s="703"/>
      <c r="P867" s="703"/>
      <c r="Q867" s="703"/>
      <c r="R867" s="703"/>
      <c r="S867" s="703"/>
      <c r="T867" s="703"/>
      <c r="U867" s="703"/>
      <c r="V867" s="703"/>
      <c r="W867" s="703"/>
      <c r="X867" s="703"/>
      <c r="Y867" s="703"/>
      <c r="Z867" s="703"/>
    </row>
    <row r="868">
      <c r="A868" s="703"/>
      <c r="B868" s="703"/>
      <c r="C868" s="703"/>
      <c r="D868" s="703"/>
      <c r="E868" s="703"/>
      <c r="F868" s="703"/>
      <c r="G868" s="703"/>
      <c r="H868" s="703"/>
      <c r="I868" s="703"/>
      <c r="J868" s="703"/>
      <c r="K868" s="703"/>
      <c r="L868" s="703"/>
      <c r="M868" s="703"/>
      <c r="N868" s="703"/>
      <c r="O868" s="703"/>
      <c r="P868" s="703"/>
      <c r="Q868" s="703"/>
      <c r="R868" s="703"/>
      <c r="S868" s="703"/>
      <c r="T868" s="703"/>
      <c r="U868" s="703"/>
      <c r="V868" s="703"/>
      <c r="W868" s="703"/>
      <c r="X868" s="703"/>
      <c r="Y868" s="703"/>
      <c r="Z868" s="703"/>
    </row>
    <row r="869">
      <c r="A869" s="703"/>
      <c r="B869" s="703"/>
      <c r="C869" s="703"/>
      <c r="D869" s="703"/>
      <c r="E869" s="703"/>
      <c r="F869" s="703"/>
      <c r="G869" s="703"/>
      <c r="H869" s="703"/>
      <c r="I869" s="703"/>
      <c r="J869" s="703"/>
      <c r="K869" s="703"/>
      <c r="L869" s="703"/>
      <c r="M869" s="703"/>
      <c r="N869" s="703"/>
      <c r="O869" s="703"/>
      <c r="P869" s="703"/>
      <c r="Q869" s="703"/>
      <c r="R869" s="703"/>
      <c r="S869" s="703"/>
      <c r="T869" s="703"/>
      <c r="U869" s="703"/>
      <c r="V869" s="703"/>
      <c r="W869" s="703"/>
      <c r="X869" s="703"/>
      <c r="Y869" s="703"/>
      <c r="Z869" s="703"/>
    </row>
    <row r="870">
      <c r="A870" s="703"/>
      <c r="B870" s="703"/>
      <c r="C870" s="703"/>
      <c r="D870" s="703"/>
      <c r="E870" s="703"/>
      <c r="F870" s="703"/>
      <c r="G870" s="703"/>
      <c r="H870" s="703"/>
      <c r="I870" s="703"/>
      <c r="J870" s="703"/>
      <c r="K870" s="703"/>
      <c r="L870" s="703"/>
      <c r="M870" s="703"/>
      <c r="N870" s="703"/>
      <c r="O870" s="703"/>
      <c r="P870" s="703"/>
      <c r="Q870" s="703"/>
      <c r="R870" s="703"/>
      <c r="S870" s="703"/>
      <c r="T870" s="703"/>
      <c r="U870" s="703"/>
      <c r="V870" s="703"/>
      <c r="W870" s="703"/>
      <c r="X870" s="703"/>
      <c r="Y870" s="703"/>
      <c r="Z870" s="703"/>
    </row>
    <row r="871">
      <c r="A871" s="703"/>
      <c r="B871" s="703"/>
      <c r="C871" s="703"/>
      <c r="D871" s="703"/>
      <c r="E871" s="703"/>
      <c r="F871" s="703"/>
      <c r="G871" s="703"/>
      <c r="H871" s="703"/>
      <c r="I871" s="703"/>
      <c r="J871" s="703"/>
      <c r="K871" s="703"/>
      <c r="L871" s="703"/>
      <c r="M871" s="703"/>
      <c r="N871" s="703"/>
      <c r="O871" s="703"/>
      <c r="P871" s="703"/>
      <c r="Q871" s="703"/>
      <c r="R871" s="703"/>
      <c r="S871" s="703"/>
      <c r="T871" s="703"/>
      <c r="U871" s="703"/>
      <c r="V871" s="703"/>
      <c r="W871" s="703"/>
      <c r="X871" s="703"/>
      <c r="Y871" s="703"/>
      <c r="Z871" s="703"/>
    </row>
    <row r="872">
      <c r="A872" s="703"/>
      <c r="B872" s="703"/>
      <c r="C872" s="703"/>
      <c r="D872" s="703"/>
      <c r="E872" s="703"/>
      <c r="F872" s="703"/>
      <c r="G872" s="703"/>
      <c r="H872" s="703"/>
      <c r="I872" s="703"/>
      <c r="J872" s="703"/>
      <c r="K872" s="703"/>
      <c r="L872" s="703"/>
      <c r="M872" s="703"/>
      <c r="N872" s="703"/>
      <c r="O872" s="703"/>
      <c r="P872" s="703"/>
      <c r="Q872" s="703"/>
      <c r="R872" s="703"/>
      <c r="S872" s="703"/>
      <c r="T872" s="703"/>
      <c r="U872" s="703"/>
      <c r="V872" s="703"/>
      <c r="W872" s="703"/>
      <c r="X872" s="703"/>
      <c r="Y872" s="703"/>
      <c r="Z872" s="703"/>
    </row>
    <row r="873">
      <c r="A873" s="703"/>
      <c r="B873" s="703"/>
      <c r="C873" s="703"/>
      <c r="D873" s="703"/>
      <c r="E873" s="703"/>
      <c r="F873" s="703"/>
      <c r="G873" s="703"/>
      <c r="H873" s="703"/>
      <c r="I873" s="703"/>
      <c r="J873" s="703"/>
      <c r="K873" s="703"/>
      <c r="L873" s="703"/>
      <c r="M873" s="703"/>
      <c r="N873" s="703"/>
      <c r="O873" s="703"/>
      <c r="P873" s="703"/>
      <c r="Q873" s="703"/>
      <c r="R873" s="703"/>
      <c r="S873" s="703"/>
      <c r="T873" s="703"/>
      <c r="U873" s="703"/>
      <c r="V873" s="703"/>
      <c r="W873" s="703"/>
      <c r="X873" s="703"/>
      <c r="Y873" s="703"/>
      <c r="Z873" s="703"/>
    </row>
    <row r="874">
      <c r="A874" s="703"/>
      <c r="B874" s="703"/>
      <c r="C874" s="703"/>
      <c r="D874" s="703"/>
      <c r="E874" s="703"/>
      <c r="F874" s="703"/>
      <c r="G874" s="703"/>
      <c r="H874" s="703"/>
      <c r="I874" s="703"/>
      <c r="J874" s="703"/>
      <c r="K874" s="703"/>
      <c r="L874" s="703"/>
      <c r="M874" s="703"/>
      <c r="N874" s="703"/>
      <c r="O874" s="703"/>
      <c r="P874" s="703"/>
      <c r="Q874" s="703"/>
      <c r="R874" s="703"/>
      <c r="S874" s="703"/>
      <c r="T874" s="703"/>
      <c r="U874" s="703"/>
      <c r="V874" s="703"/>
      <c r="W874" s="703"/>
      <c r="X874" s="703"/>
      <c r="Y874" s="703"/>
      <c r="Z874" s="703"/>
    </row>
    <row r="875">
      <c r="A875" s="703"/>
      <c r="B875" s="703"/>
      <c r="C875" s="703"/>
      <c r="D875" s="703"/>
      <c r="E875" s="703"/>
      <c r="F875" s="703"/>
      <c r="G875" s="703"/>
      <c r="H875" s="703"/>
      <c r="I875" s="703"/>
      <c r="J875" s="703"/>
      <c r="K875" s="703"/>
      <c r="L875" s="703"/>
      <c r="M875" s="703"/>
      <c r="N875" s="703"/>
      <c r="O875" s="703"/>
      <c r="P875" s="703"/>
      <c r="Q875" s="703"/>
      <c r="R875" s="703"/>
      <c r="S875" s="703"/>
      <c r="T875" s="703"/>
      <c r="U875" s="703"/>
      <c r="V875" s="703"/>
      <c r="W875" s="703"/>
      <c r="X875" s="703"/>
      <c r="Y875" s="703"/>
      <c r="Z875" s="703"/>
    </row>
    <row r="876">
      <c r="A876" s="703"/>
      <c r="B876" s="703"/>
      <c r="C876" s="703"/>
      <c r="D876" s="703"/>
      <c r="E876" s="703"/>
      <c r="F876" s="703"/>
      <c r="G876" s="703"/>
      <c r="H876" s="703"/>
      <c r="I876" s="703"/>
      <c r="J876" s="703"/>
      <c r="K876" s="703"/>
      <c r="L876" s="703"/>
      <c r="M876" s="703"/>
      <c r="N876" s="703"/>
      <c r="O876" s="703"/>
      <c r="P876" s="703"/>
      <c r="Q876" s="703"/>
      <c r="R876" s="703"/>
      <c r="S876" s="703"/>
      <c r="T876" s="703"/>
      <c r="U876" s="703"/>
      <c r="V876" s="703"/>
      <c r="W876" s="703"/>
      <c r="X876" s="703"/>
      <c r="Y876" s="703"/>
      <c r="Z876" s="703"/>
    </row>
    <row r="877">
      <c r="A877" s="703"/>
      <c r="B877" s="703"/>
      <c r="C877" s="703"/>
      <c r="D877" s="703"/>
      <c r="E877" s="703"/>
      <c r="F877" s="703"/>
      <c r="G877" s="703"/>
      <c r="H877" s="703"/>
      <c r="I877" s="703"/>
      <c r="J877" s="703"/>
      <c r="K877" s="703"/>
      <c r="L877" s="703"/>
      <c r="M877" s="703"/>
      <c r="N877" s="703"/>
      <c r="O877" s="703"/>
      <c r="P877" s="703"/>
      <c r="Q877" s="703"/>
      <c r="R877" s="703"/>
      <c r="S877" s="703"/>
      <c r="T877" s="703"/>
      <c r="U877" s="703"/>
      <c r="V877" s="703"/>
      <c r="W877" s="703"/>
      <c r="X877" s="703"/>
      <c r="Y877" s="703"/>
      <c r="Z877" s="703"/>
    </row>
    <row r="878">
      <c r="A878" s="703"/>
      <c r="B878" s="703"/>
      <c r="C878" s="703"/>
      <c r="D878" s="703"/>
      <c r="E878" s="703"/>
      <c r="F878" s="703"/>
      <c r="G878" s="703"/>
      <c r="H878" s="703"/>
      <c r="I878" s="703"/>
      <c r="J878" s="703"/>
      <c r="K878" s="703"/>
      <c r="L878" s="703"/>
      <c r="M878" s="703"/>
      <c r="N878" s="703"/>
      <c r="O878" s="703"/>
      <c r="P878" s="703"/>
      <c r="Q878" s="703"/>
      <c r="R878" s="703"/>
      <c r="S878" s="703"/>
      <c r="T878" s="703"/>
      <c r="U878" s="703"/>
      <c r="V878" s="703"/>
      <c r="W878" s="703"/>
      <c r="X878" s="703"/>
      <c r="Y878" s="703"/>
      <c r="Z878" s="703"/>
    </row>
    <row r="879">
      <c r="A879" s="703"/>
      <c r="B879" s="703"/>
      <c r="C879" s="703"/>
      <c r="D879" s="703"/>
      <c r="E879" s="703"/>
      <c r="F879" s="703"/>
      <c r="G879" s="703"/>
      <c r="H879" s="703"/>
      <c r="I879" s="703"/>
      <c r="J879" s="703"/>
      <c r="K879" s="703"/>
      <c r="L879" s="703"/>
      <c r="M879" s="703"/>
      <c r="N879" s="703"/>
      <c r="O879" s="703"/>
      <c r="P879" s="703"/>
      <c r="Q879" s="703"/>
      <c r="R879" s="703"/>
      <c r="S879" s="703"/>
      <c r="T879" s="703"/>
      <c r="U879" s="703"/>
      <c r="V879" s="703"/>
      <c r="W879" s="703"/>
      <c r="X879" s="703"/>
      <c r="Y879" s="703"/>
      <c r="Z879" s="703"/>
    </row>
    <row r="880">
      <c r="A880" s="703"/>
      <c r="B880" s="703"/>
      <c r="C880" s="703"/>
      <c r="D880" s="703"/>
      <c r="E880" s="703"/>
      <c r="F880" s="703"/>
      <c r="G880" s="703"/>
      <c r="H880" s="703"/>
      <c r="I880" s="703"/>
      <c r="J880" s="703"/>
      <c r="K880" s="703"/>
      <c r="L880" s="703"/>
      <c r="M880" s="703"/>
      <c r="N880" s="703"/>
      <c r="O880" s="703"/>
      <c r="P880" s="703"/>
      <c r="Q880" s="703"/>
      <c r="R880" s="703"/>
      <c r="S880" s="703"/>
      <c r="T880" s="703"/>
      <c r="U880" s="703"/>
      <c r="V880" s="703"/>
      <c r="W880" s="703"/>
      <c r="X880" s="703"/>
      <c r="Y880" s="703"/>
      <c r="Z880" s="703"/>
    </row>
    <row r="881">
      <c r="A881" s="703"/>
      <c r="B881" s="703"/>
      <c r="C881" s="703"/>
      <c r="D881" s="703"/>
      <c r="E881" s="703"/>
      <c r="F881" s="703"/>
      <c r="G881" s="703"/>
      <c r="H881" s="703"/>
      <c r="I881" s="703"/>
      <c r="J881" s="703"/>
      <c r="K881" s="703"/>
      <c r="L881" s="703"/>
      <c r="M881" s="703"/>
      <c r="N881" s="703"/>
      <c r="O881" s="703"/>
      <c r="P881" s="703"/>
      <c r="Q881" s="703"/>
      <c r="R881" s="703"/>
      <c r="S881" s="703"/>
      <c r="T881" s="703"/>
      <c r="U881" s="703"/>
      <c r="V881" s="703"/>
      <c r="W881" s="703"/>
      <c r="X881" s="703"/>
      <c r="Y881" s="703"/>
      <c r="Z881" s="703"/>
    </row>
    <row r="882">
      <c r="A882" s="703"/>
      <c r="B882" s="703"/>
      <c r="C882" s="703"/>
      <c r="D882" s="703"/>
      <c r="E882" s="703"/>
      <c r="F882" s="703"/>
      <c r="G882" s="703"/>
      <c r="H882" s="703"/>
      <c r="I882" s="703"/>
      <c r="J882" s="703"/>
      <c r="K882" s="703"/>
      <c r="L882" s="703"/>
      <c r="M882" s="703"/>
      <c r="N882" s="703"/>
      <c r="O882" s="703"/>
      <c r="P882" s="703"/>
      <c r="Q882" s="703"/>
      <c r="R882" s="703"/>
      <c r="S882" s="703"/>
      <c r="T882" s="703"/>
      <c r="U882" s="703"/>
      <c r="V882" s="703"/>
      <c r="W882" s="703"/>
      <c r="X882" s="703"/>
      <c r="Y882" s="703"/>
      <c r="Z882" s="703"/>
    </row>
    <row r="883">
      <c r="A883" s="703"/>
      <c r="B883" s="703"/>
      <c r="C883" s="703"/>
      <c r="D883" s="703"/>
      <c r="E883" s="703"/>
      <c r="F883" s="703"/>
      <c r="G883" s="703"/>
      <c r="H883" s="703"/>
      <c r="I883" s="703"/>
      <c r="J883" s="703"/>
      <c r="K883" s="703"/>
      <c r="L883" s="703"/>
      <c r="M883" s="703"/>
      <c r="N883" s="703"/>
      <c r="O883" s="703"/>
      <c r="P883" s="703"/>
      <c r="Q883" s="703"/>
      <c r="R883" s="703"/>
      <c r="S883" s="703"/>
      <c r="T883" s="703"/>
      <c r="U883" s="703"/>
      <c r="V883" s="703"/>
      <c r="W883" s="703"/>
      <c r="X883" s="703"/>
      <c r="Y883" s="703"/>
      <c r="Z883" s="703"/>
    </row>
    <row r="884">
      <c r="A884" s="703"/>
      <c r="B884" s="703"/>
      <c r="C884" s="703"/>
      <c r="D884" s="703"/>
      <c r="E884" s="703"/>
      <c r="F884" s="703"/>
      <c r="G884" s="703"/>
      <c r="H884" s="703"/>
      <c r="I884" s="703"/>
      <c r="J884" s="703"/>
      <c r="K884" s="703"/>
      <c r="L884" s="703"/>
      <c r="M884" s="703"/>
      <c r="N884" s="703"/>
      <c r="O884" s="703"/>
      <c r="P884" s="703"/>
      <c r="Q884" s="703"/>
      <c r="R884" s="703"/>
      <c r="S884" s="703"/>
      <c r="T884" s="703"/>
      <c r="U884" s="703"/>
      <c r="V884" s="703"/>
      <c r="W884" s="703"/>
      <c r="X884" s="703"/>
      <c r="Y884" s="703"/>
      <c r="Z884" s="703"/>
    </row>
    <row r="885">
      <c r="A885" s="703"/>
      <c r="B885" s="703"/>
      <c r="C885" s="703"/>
      <c r="D885" s="703"/>
      <c r="E885" s="703"/>
      <c r="F885" s="703"/>
      <c r="G885" s="703"/>
      <c r="H885" s="703"/>
      <c r="I885" s="703"/>
      <c r="J885" s="703"/>
      <c r="K885" s="703"/>
      <c r="L885" s="703"/>
      <c r="M885" s="703"/>
      <c r="N885" s="703"/>
      <c r="O885" s="703"/>
      <c r="P885" s="703"/>
      <c r="Q885" s="703"/>
      <c r="R885" s="703"/>
      <c r="S885" s="703"/>
      <c r="T885" s="703"/>
      <c r="U885" s="703"/>
      <c r="V885" s="703"/>
      <c r="W885" s="703"/>
      <c r="X885" s="703"/>
      <c r="Y885" s="703"/>
      <c r="Z885" s="703"/>
    </row>
    <row r="886">
      <c r="A886" s="703"/>
      <c r="B886" s="703"/>
      <c r="C886" s="703"/>
      <c r="D886" s="703"/>
      <c r="E886" s="703"/>
      <c r="F886" s="703"/>
      <c r="G886" s="703"/>
      <c r="H886" s="703"/>
      <c r="I886" s="703"/>
      <c r="J886" s="703"/>
      <c r="K886" s="703"/>
      <c r="L886" s="703"/>
      <c r="M886" s="703"/>
      <c r="N886" s="703"/>
      <c r="O886" s="703"/>
      <c r="P886" s="703"/>
      <c r="Q886" s="703"/>
      <c r="R886" s="703"/>
      <c r="S886" s="703"/>
      <c r="T886" s="703"/>
      <c r="U886" s="703"/>
      <c r="V886" s="703"/>
      <c r="W886" s="703"/>
      <c r="X886" s="703"/>
      <c r="Y886" s="703"/>
      <c r="Z886" s="703"/>
    </row>
    <row r="887">
      <c r="A887" s="703"/>
      <c r="B887" s="703"/>
      <c r="C887" s="703"/>
      <c r="D887" s="703"/>
      <c r="E887" s="703"/>
      <c r="F887" s="703"/>
      <c r="G887" s="703"/>
      <c r="H887" s="703"/>
      <c r="I887" s="703"/>
      <c r="J887" s="703"/>
      <c r="K887" s="703"/>
      <c r="L887" s="703"/>
      <c r="M887" s="703"/>
      <c r="N887" s="703"/>
      <c r="O887" s="703"/>
      <c r="P887" s="703"/>
      <c r="Q887" s="703"/>
      <c r="R887" s="703"/>
      <c r="S887" s="703"/>
      <c r="T887" s="703"/>
      <c r="U887" s="703"/>
      <c r="V887" s="703"/>
      <c r="W887" s="703"/>
      <c r="X887" s="703"/>
      <c r="Y887" s="703"/>
      <c r="Z887" s="703"/>
    </row>
    <row r="888">
      <c r="A888" s="703"/>
      <c r="B888" s="703"/>
      <c r="C888" s="703"/>
      <c r="D888" s="703"/>
      <c r="E888" s="703"/>
      <c r="F888" s="703"/>
      <c r="G888" s="703"/>
      <c r="H888" s="703"/>
      <c r="I888" s="703"/>
      <c r="J888" s="703"/>
      <c r="K888" s="703"/>
      <c r="L888" s="703"/>
      <c r="M888" s="703"/>
      <c r="N888" s="703"/>
      <c r="O888" s="703"/>
      <c r="P888" s="703"/>
      <c r="Q888" s="703"/>
      <c r="R888" s="703"/>
      <c r="S888" s="703"/>
      <c r="T888" s="703"/>
      <c r="U888" s="703"/>
      <c r="V888" s="703"/>
      <c r="W888" s="703"/>
      <c r="X888" s="703"/>
      <c r="Y888" s="703"/>
      <c r="Z888" s="703"/>
    </row>
    <row r="889">
      <c r="A889" s="703"/>
      <c r="B889" s="703"/>
      <c r="C889" s="703"/>
      <c r="D889" s="703"/>
      <c r="E889" s="703"/>
      <c r="F889" s="703"/>
      <c r="G889" s="703"/>
      <c r="H889" s="703"/>
      <c r="I889" s="703"/>
      <c r="J889" s="703"/>
      <c r="K889" s="703"/>
      <c r="L889" s="703"/>
      <c r="M889" s="703"/>
      <c r="N889" s="703"/>
      <c r="O889" s="703"/>
      <c r="P889" s="703"/>
      <c r="Q889" s="703"/>
      <c r="R889" s="703"/>
      <c r="S889" s="703"/>
      <c r="T889" s="703"/>
      <c r="U889" s="703"/>
      <c r="V889" s="703"/>
      <c r="W889" s="703"/>
      <c r="X889" s="703"/>
      <c r="Y889" s="703"/>
      <c r="Z889" s="703"/>
    </row>
    <row r="890">
      <c r="A890" s="703"/>
      <c r="B890" s="703"/>
      <c r="C890" s="703"/>
      <c r="D890" s="703"/>
      <c r="E890" s="703"/>
      <c r="F890" s="703"/>
      <c r="G890" s="703"/>
      <c r="H890" s="703"/>
      <c r="I890" s="703"/>
      <c r="J890" s="703"/>
      <c r="K890" s="703"/>
      <c r="L890" s="703"/>
      <c r="M890" s="703"/>
      <c r="N890" s="703"/>
      <c r="O890" s="703"/>
      <c r="P890" s="703"/>
      <c r="Q890" s="703"/>
      <c r="R890" s="703"/>
      <c r="S890" s="703"/>
      <c r="T890" s="703"/>
      <c r="U890" s="703"/>
      <c r="V890" s="703"/>
      <c r="W890" s="703"/>
      <c r="X890" s="703"/>
      <c r="Y890" s="703"/>
      <c r="Z890" s="703"/>
    </row>
    <row r="891">
      <c r="A891" s="703"/>
      <c r="B891" s="703"/>
      <c r="C891" s="703"/>
      <c r="D891" s="703"/>
      <c r="E891" s="703"/>
      <c r="F891" s="703"/>
      <c r="G891" s="703"/>
      <c r="H891" s="703"/>
      <c r="I891" s="703"/>
      <c r="J891" s="703"/>
      <c r="K891" s="703"/>
      <c r="L891" s="703"/>
      <c r="M891" s="703"/>
      <c r="N891" s="703"/>
      <c r="O891" s="703"/>
      <c r="P891" s="703"/>
      <c r="Q891" s="703"/>
      <c r="R891" s="703"/>
      <c r="S891" s="703"/>
      <c r="T891" s="703"/>
      <c r="U891" s="703"/>
      <c r="V891" s="703"/>
      <c r="W891" s="703"/>
      <c r="X891" s="703"/>
      <c r="Y891" s="703"/>
      <c r="Z891" s="703"/>
    </row>
    <row r="892">
      <c r="A892" s="703"/>
      <c r="B892" s="703"/>
      <c r="C892" s="703"/>
      <c r="D892" s="703"/>
      <c r="E892" s="703"/>
      <c r="F892" s="703"/>
      <c r="G892" s="703"/>
      <c r="H892" s="703"/>
      <c r="I892" s="703"/>
      <c r="J892" s="703"/>
      <c r="K892" s="703"/>
      <c r="L892" s="703"/>
      <c r="M892" s="703"/>
      <c r="N892" s="703"/>
      <c r="O892" s="703"/>
      <c r="P892" s="703"/>
      <c r="Q892" s="703"/>
      <c r="R892" s="703"/>
      <c r="S892" s="703"/>
      <c r="T892" s="703"/>
      <c r="U892" s="703"/>
      <c r="V892" s="703"/>
      <c r="W892" s="703"/>
      <c r="X892" s="703"/>
      <c r="Y892" s="703"/>
      <c r="Z892" s="703"/>
    </row>
    <row r="893">
      <c r="A893" s="703"/>
      <c r="B893" s="703"/>
      <c r="C893" s="703"/>
      <c r="D893" s="703"/>
      <c r="E893" s="703"/>
      <c r="F893" s="703"/>
      <c r="G893" s="703"/>
      <c r="H893" s="703"/>
      <c r="I893" s="703"/>
      <c r="J893" s="703"/>
      <c r="K893" s="703"/>
      <c r="L893" s="703"/>
      <c r="M893" s="703"/>
      <c r="N893" s="703"/>
      <c r="O893" s="703"/>
      <c r="P893" s="703"/>
      <c r="Q893" s="703"/>
      <c r="R893" s="703"/>
      <c r="S893" s="703"/>
      <c r="T893" s="703"/>
      <c r="U893" s="703"/>
      <c r="V893" s="703"/>
      <c r="W893" s="703"/>
      <c r="X893" s="703"/>
      <c r="Y893" s="703"/>
      <c r="Z893" s="703"/>
    </row>
    <row r="894">
      <c r="A894" s="703"/>
      <c r="B894" s="703"/>
      <c r="C894" s="703"/>
      <c r="D894" s="703"/>
      <c r="E894" s="703"/>
      <c r="F894" s="703"/>
      <c r="G894" s="703"/>
      <c r="H894" s="703"/>
      <c r="I894" s="703"/>
      <c r="J894" s="703"/>
      <c r="K894" s="703"/>
      <c r="L894" s="703"/>
      <c r="M894" s="703"/>
      <c r="N894" s="703"/>
      <c r="O894" s="703"/>
      <c r="P894" s="703"/>
      <c r="Q894" s="703"/>
      <c r="R894" s="703"/>
      <c r="S894" s="703"/>
      <c r="T894" s="703"/>
      <c r="U894" s="703"/>
      <c r="V894" s="703"/>
      <c r="W894" s="703"/>
      <c r="X894" s="703"/>
      <c r="Y894" s="703"/>
      <c r="Z894" s="703"/>
    </row>
    <row r="895">
      <c r="A895" s="703"/>
      <c r="B895" s="703"/>
      <c r="C895" s="703"/>
      <c r="D895" s="703"/>
      <c r="E895" s="703"/>
      <c r="F895" s="703"/>
      <c r="G895" s="703"/>
      <c r="H895" s="703"/>
      <c r="I895" s="703"/>
      <c r="J895" s="703"/>
      <c r="K895" s="703"/>
      <c r="L895" s="703"/>
      <c r="M895" s="703"/>
      <c r="N895" s="703"/>
      <c r="O895" s="703"/>
      <c r="P895" s="703"/>
      <c r="Q895" s="703"/>
      <c r="R895" s="703"/>
      <c r="S895" s="703"/>
      <c r="T895" s="703"/>
      <c r="U895" s="703"/>
      <c r="V895" s="703"/>
      <c r="W895" s="703"/>
      <c r="X895" s="703"/>
      <c r="Y895" s="703"/>
      <c r="Z895" s="703"/>
    </row>
    <row r="896">
      <c r="A896" s="703"/>
      <c r="B896" s="703"/>
      <c r="C896" s="703"/>
      <c r="D896" s="703"/>
      <c r="E896" s="703"/>
      <c r="F896" s="703"/>
      <c r="G896" s="703"/>
      <c r="H896" s="703"/>
      <c r="I896" s="703"/>
      <c r="J896" s="703"/>
      <c r="K896" s="703"/>
      <c r="L896" s="703"/>
      <c r="M896" s="703"/>
      <c r="N896" s="703"/>
      <c r="O896" s="703"/>
      <c r="P896" s="703"/>
      <c r="Q896" s="703"/>
      <c r="R896" s="703"/>
      <c r="S896" s="703"/>
      <c r="T896" s="703"/>
      <c r="U896" s="703"/>
      <c r="V896" s="703"/>
      <c r="W896" s="703"/>
      <c r="X896" s="703"/>
      <c r="Y896" s="703"/>
      <c r="Z896" s="703"/>
    </row>
    <row r="897">
      <c r="A897" s="703"/>
      <c r="B897" s="703"/>
      <c r="C897" s="703"/>
      <c r="D897" s="703"/>
      <c r="E897" s="703"/>
      <c r="F897" s="703"/>
      <c r="G897" s="703"/>
      <c r="H897" s="703"/>
      <c r="I897" s="703"/>
      <c r="J897" s="703"/>
      <c r="K897" s="703"/>
      <c r="L897" s="703"/>
      <c r="M897" s="703"/>
      <c r="N897" s="703"/>
      <c r="O897" s="703"/>
      <c r="P897" s="703"/>
      <c r="Q897" s="703"/>
      <c r="R897" s="703"/>
      <c r="S897" s="703"/>
      <c r="T897" s="703"/>
      <c r="U897" s="703"/>
      <c r="V897" s="703"/>
      <c r="W897" s="703"/>
      <c r="X897" s="703"/>
      <c r="Y897" s="703"/>
      <c r="Z897" s="703"/>
    </row>
    <row r="898">
      <c r="A898" s="703"/>
      <c r="B898" s="703"/>
      <c r="C898" s="703"/>
      <c r="D898" s="703"/>
      <c r="E898" s="703"/>
      <c r="F898" s="703"/>
      <c r="G898" s="703"/>
      <c r="H898" s="703"/>
      <c r="I898" s="703"/>
      <c r="J898" s="703"/>
      <c r="K898" s="703"/>
      <c r="L898" s="703"/>
      <c r="M898" s="703"/>
      <c r="N898" s="703"/>
      <c r="O898" s="703"/>
      <c r="P898" s="703"/>
      <c r="Q898" s="703"/>
      <c r="R898" s="703"/>
      <c r="S898" s="703"/>
      <c r="T898" s="703"/>
      <c r="U898" s="703"/>
      <c r="V898" s="703"/>
      <c r="W898" s="703"/>
      <c r="X898" s="703"/>
      <c r="Y898" s="703"/>
      <c r="Z898" s="703"/>
    </row>
    <row r="899">
      <c r="A899" s="703"/>
      <c r="B899" s="703"/>
      <c r="C899" s="703"/>
      <c r="D899" s="703"/>
      <c r="E899" s="703"/>
      <c r="F899" s="703"/>
      <c r="G899" s="703"/>
      <c r="H899" s="703"/>
      <c r="I899" s="703"/>
      <c r="J899" s="703"/>
      <c r="K899" s="703"/>
      <c r="L899" s="703"/>
      <c r="M899" s="703"/>
      <c r="N899" s="703"/>
      <c r="O899" s="703"/>
      <c r="P899" s="703"/>
      <c r="Q899" s="703"/>
      <c r="R899" s="703"/>
      <c r="S899" s="703"/>
      <c r="T899" s="703"/>
      <c r="U899" s="703"/>
      <c r="V899" s="703"/>
      <c r="W899" s="703"/>
      <c r="X899" s="703"/>
      <c r="Y899" s="703"/>
      <c r="Z899" s="703"/>
    </row>
    <row r="900">
      <c r="A900" s="703"/>
      <c r="B900" s="703"/>
      <c r="C900" s="703"/>
      <c r="D900" s="703"/>
      <c r="E900" s="703"/>
      <c r="F900" s="703"/>
      <c r="G900" s="703"/>
      <c r="H900" s="703"/>
      <c r="I900" s="703"/>
      <c r="J900" s="703"/>
      <c r="K900" s="703"/>
      <c r="L900" s="703"/>
      <c r="M900" s="703"/>
      <c r="N900" s="703"/>
      <c r="O900" s="703"/>
      <c r="P900" s="703"/>
      <c r="Q900" s="703"/>
      <c r="R900" s="703"/>
      <c r="S900" s="703"/>
      <c r="T900" s="703"/>
      <c r="U900" s="703"/>
      <c r="V900" s="703"/>
      <c r="W900" s="703"/>
      <c r="X900" s="703"/>
      <c r="Y900" s="703"/>
      <c r="Z900" s="703"/>
    </row>
    <row r="901">
      <c r="A901" s="703"/>
      <c r="B901" s="703"/>
      <c r="C901" s="703"/>
      <c r="D901" s="703"/>
      <c r="E901" s="703"/>
      <c r="F901" s="703"/>
      <c r="G901" s="703"/>
      <c r="H901" s="703"/>
      <c r="I901" s="703"/>
      <c r="J901" s="703"/>
      <c r="K901" s="703"/>
      <c r="L901" s="703"/>
      <c r="M901" s="703"/>
      <c r="N901" s="703"/>
      <c r="O901" s="703"/>
      <c r="P901" s="703"/>
      <c r="Q901" s="703"/>
      <c r="R901" s="703"/>
      <c r="S901" s="703"/>
      <c r="T901" s="703"/>
      <c r="U901" s="703"/>
      <c r="V901" s="703"/>
      <c r="W901" s="703"/>
      <c r="X901" s="703"/>
      <c r="Y901" s="703"/>
      <c r="Z901" s="703"/>
    </row>
    <row r="902">
      <c r="A902" s="703"/>
      <c r="B902" s="703"/>
      <c r="C902" s="703"/>
      <c r="D902" s="703"/>
      <c r="E902" s="703"/>
      <c r="F902" s="703"/>
      <c r="G902" s="703"/>
      <c r="H902" s="703"/>
      <c r="I902" s="703"/>
      <c r="J902" s="703"/>
      <c r="K902" s="703"/>
      <c r="L902" s="703"/>
      <c r="M902" s="703"/>
      <c r="N902" s="703"/>
      <c r="O902" s="703"/>
      <c r="P902" s="703"/>
      <c r="Q902" s="703"/>
      <c r="R902" s="703"/>
      <c r="S902" s="703"/>
      <c r="T902" s="703"/>
      <c r="U902" s="703"/>
      <c r="V902" s="703"/>
      <c r="W902" s="703"/>
      <c r="X902" s="703"/>
      <c r="Y902" s="703"/>
      <c r="Z902" s="703"/>
    </row>
    <row r="903">
      <c r="A903" s="703"/>
      <c r="B903" s="703"/>
      <c r="C903" s="703"/>
      <c r="D903" s="703"/>
      <c r="E903" s="703"/>
      <c r="F903" s="703"/>
      <c r="G903" s="703"/>
      <c r="H903" s="703"/>
      <c r="I903" s="703"/>
      <c r="J903" s="703"/>
      <c r="K903" s="703"/>
      <c r="L903" s="703"/>
      <c r="M903" s="703"/>
      <c r="N903" s="703"/>
      <c r="O903" s="703"/>
      <c r="P903" s="703"/>
      <c r="Q903" s="703"/>
      <c r="R903" s="703"/>
      <c r="S903" s="703"/>
      <c r="T903" s="703"/>
      <c r="U903" s="703"/>
      <c r="V903" s="703"/>
      <c r="W903" s="703"/>
      <c r="X903" s="703"/>
      <c r="Y903" s="703"/>
      <c r="Z903" s="703"/>
    </row>
    <row r="904">
      <c r="A904" s="703"/>
      <c r="B904" s="703"/>
      <c r="C904" s="703"/>
      <c r="D904" s="703"/>
      <c r="E904" s="703"/>
      <c r="F904" s="703"/>
      <c r="G904" s="703"/>
      <c r="H904" s="703"/>
      <c r="I904" s="703"/>
      <c r="J904" s="703"/>
      <c r="K904" s="703"/>
      <c r="L904" s="703"/>
      <c r="M904" s="703"/>
      <c r="N904" s="703"/>
      <c r="O904" s="703"/>
      <c r="P904" s="703"/>
      <c r="Q904" s="703"/>
      <c r="R904" s="703"/>
      <c r="S904" s="703"/>
      <c r="T904" s="703"/>
      <c r="U904" s="703"/>
      <c r="V904" s="703"/>
      <c r="W904" s="703"/>
      <c r="X904" s="703"/>
      <c r="Y904" s="703"/>
      <c r="Z904" s="703"/>
    </row>
    <row r="905">
      <c r="A905" s="703"/>
      <c r="B905" s="703"/>
      <c r="C905" s="703"/>
      <c r="D905" s="703"/>
      <c r="E905" s="703"/>
      <c r="F905" s="703"/>
      <c r="G905" s="703"/>
      <c r="H905" s="703"/>
      <c r="I905" s="703"/>
      <c r="J905" s="703"/>
      <c r="K905" s="703"/>
      <c r="L905" s="703"/>
      <c r="M905" s="703"/>
      <c r="N905" s="703"/>
      <c r="O905" s="703"/>
      <c r="P905" s="703"/>
      <c r="Q905" s="703"/>
      <c r="R905" s="703"/>
      <c r="S905" s="703"/>
      <c r="T905" s="703"/>
      <c r="U905" s="703"/>
      <c r="V905" s="703"/>
      <c r="W905" s="703"/>
      <c r="X905" s="703"/>
      <c r="Y905" s="703"/>
      <c r="Z905" s="703"/>
    </row>
    <row r="906">
      <c r="A906" s="703"/>
      <c r="B906" s="703"/>
      <c r="C906" s="703"/>
      <c r="D906" s="703"/>
      <c r="E906" s="703"/>
      <c r="F906" s="703"/>
      <c r="G906" s="703"/>
      <c r="H906" s="703"/>
      <c r="I906" s="703"/>
      <c r="J906" s="703"/>
      <c r="K906" s="703"/>
      <c r="L906" s="703"/>
      <c r="M906" s="703"/>
      <c r="N906" s="703"/>
      <c r="O906" s="703"/>
      <c r="P906" s="703"/>
      <c r="Q906" s="703"/>
      <c r="R906" s="703"/>
      <c r="S906" s="703"/>
      <c r="T906" s="703"/>
      <c r="U906" s="703"/>
      <c r="V906" s="703"/>
      <c r="W906" s="703"/>
      <c r="X906" s="703"/>
      <c r="Y906" s="703"/>
      <c r="Z906" s="703"/>
    </row>
    <row r="907">
      <c r="A907" s="703"/>
      <c r="B907" s="703"/>
      <c r="C907" s="703"/>
      <c r="D907" s="703"/>
      <c r="E907" s="703"/>
      <c r="F907" s="703"/>
      <c r="G907" s="703"/>
      <c r="H907" s="703"/>
      <c r="I907" s="703"/>
      <c r="J907" s="703"/>
      <c r="K907" s="703"/>
      <c r="L907" s="703"/>
      <c r="M907" s="703"/>
      <c r="N907" s="703"/>
      <c r="O907" s="703"/>
      <c r="P907" s="703"/>
      <c r="Q907" s="703"/>
      <c r="R907" s="703"/>
      <c r="S907" s="703"/>
      <c r="T907" s="703"/>
      <c r="U907" s="703"/>
      <c r="V907" s="703"/>
      <c r="W907" s="703"/>
      <c r="X907" s="703"/>
      <c r="Y907" s="703"/>
      <c r="Z907" s="703"/>
    </row>
    <row r="908">
      <c r="A908" s="703"/>
      <c r="B908" s="703"/>
      <c r="C908" s="703"/>
      <c r="D908" s="703"/>
      <c r="E908" s="703"/>
      <c r="F908" s="703"/>
      <c r="G908" s="703"/>
      <c r="H908" s="703"/>
      <c r="I908" s="703"/>
      <c r="J908" s="703"/>
      <c r="K908" s="703"/>
      <c r="L908" s="703"/>
      <c r="M908" s="703"/>
      <c r="N908" s="703"/>
      <c r="O908" s="703"/>
      <c r="P908" s="703"/>
      <c r="Q908" s="703"/>
      <c r="R908" s="703"/>
      <c r="S908" s="703"/>
      <c r="T908" s="703"/>
      <c r="U908" s="703"/>
      <c r="V908" s="703"/>
      <c r="W908" s="703"/>
      <c r="X908" s="703"/>
      <c r="Y908" s="703"/>
      <c r="Z908" s="703"/>
    </row>
    <row r="909">
      <c r="A909" s="703"/>
      <c r="B909" s="703"/>
      <c r="C909" s="703"/>
      <c r="D909" s="703"/>
      <c r="E909" s="703"/>
      <c r="F909" s="703"/>
      <c r="G909" s="703"/>
      <c r="H909" s="703"/>
      <c r="I909" s="703"/>
      <c r="J909" s="703"/>
      <c r="K909" s="703"/>
      <c r="L909" s="703"/>
      <c r="M909" s="703"/>
      <c r="N909" s="703"/>
      <c r="O909" s="703"/>
      <c r="P909" s="703"/>
      <c r="Q909" s="703"/>
      <c r="R909" s="703"/>
      <c r="S909" s="703"/>
      <c r="T909" s="703"/>
      <c r="U909" s="703"/>
      <c r="V909" s="703"/>
      <c r="W909" s="703"/>
      <c r="X909" s="703"/>
      <c r="Y909" s="703"/>
      <c r="Z909" s="703"/>
    </row>
    <row r="910">
      <c r="A910" s="703"/>
      <c r="B910" s="703"/>
      <c r="C910" s="703"/>
      <c r="D910" s="703"/>
      <c r="E910" s="703"/>
      <c r="F910" s="703"/>
      <c r="G910" s="703"/>
      <c r="H910" s="703"/>
      <c r="I910" s="703"/>
      <c r="J910" s="703"/>
      <c r="K910" s="703"/>
      <c r="L910" s="703"/>
      <c r="M910" s="703"/>
      <c r="N910" s="703"/>
      <c r="O910" s="703"/>
      <c r="P910" s="703"/>
      <c r="Q910" s="703"/>
      <c r="R910" s="703"/>
      <c r="S910" s="703"/>
      <c r="T910" s="703"/>
      <c r="U910" s="703"/>
      <c r="V910" s="703"/>
      <c r="W910" s="703"/>
      <c r="X910" s="703"/>
      <c r="Y910" s="703"/>
      <c r="Z910" s="703"/>
    </row>
    <row r="911">
      <c r="A911" s="703"/>
      <c r="B911" s="703"/>
      <c r="C911" s="703"/>
      <c r="D911" s="703"/>
      <c r="E911" s="703"/>
      <c r="F911" s="703"/>
      <c r="G911" s="703"/>
      <c r="H911" s="703"/>
      <c r="I911" s="703"/>
      <c r="J911" s="703"/>
      <c r="K911" s="703"/>
      <c r="L911" s="703"/>
      <c r="M911" s="703"/>
      <c r="N911" s="703"/>
      <c r="O911" s="703"/>
      <c r="P911" s="703"/>
      <c r="Q911" s="703"/>
      <c r="R911" s="703"/>
      <c r="S911" s="703"/>
      <c r="T911" s="703"/>
      <c r="U911" s="703"/>
      <c r="V911" s="703"/>
      <c r="W911" s="703"/>
      <c r="X911" s="703"/>
      <c r="Y911" s="703"/>
      <c r="Z911" s="703"/>
    </row>
    <row r="912">
      <c r="A912" s="703"/>
      <c r="B912" s="703"/>
      <c r="C912" s="703"/>
      <c r="D912" s="703"/>
      <c r="E912" s="703"/>
      <c r="F912" s="703"/>
      <c r="G912" s="703"/>
      <c r="H912" s="703"/>
      <c r="I912" s="703"/>
      <c r="J912" s="703"/>
      <c r="K912" s="703"/>
      <c r="L912" s="703"/>
      <c r="M912" s="703"/>
      <c r="N912" s="703"/>
      <c r="O912" s="703"/>
      <c r="P912" s="703"/>
      <c r="Q912" s="703"/>
      <c r="R912" s="703"/>
      <c r="S912" s="703"/>
      <c r="T912" s="703"/>
      <c r="U912" s="703"/>
      <c r="V912" s="703"/>
      <c r="W912" s="703"/>
      <c r="X912" s="703"/>
      <c r="Y912" s="703"/>
      <c r="Z912" s="703"/>
    </row>
    <row r="913">
      <c r="A913" s="703"/>
      <c r="B913" s="703"/>
      <c r="C913" s="703"/>
      <c r="D913" s="703"/>
      <c r="E913" s="703"/>
      <c r="F913" s="703"/>
      <c r="G913" s="703"/>
      <c r="H913" s="703"/>
      <c r="I913" s="703"/>
      <c r="J913" s="703"/>
      <c r="K913" s="703"/>
      <c r="L913" s="703"/>
      <c r="M913" s="703"/>
      <c r="N913" s="703"/>
      <c r="O913" s="703"/>
      <c r="P913" s="703"/>
      <c r="Q913" s="703"/>
      <c r="R913" s="703"/>
      <c r="S913" s="703"/>
      <c r="T913" s="703"/>
      <c r="U913" s="703"/>
      <c r="V913" s="703"/>
      <c r="W913" s="703"/>
      <c r="X913" s="703"/>
      <c r="Y913" s="703"/>
      <c r="Z913" s="703"/>
    </row>
    <row r="914">
      <c r="A914" s="703"/>
      <c r="B914" s="703"/>
      <c r="C914" s="703"/>
      <c r="D914" s="703"/>
      <c r="E914" s="703"/>
      <c r="F914" s="703"/>
      <c r="G914" s="703"/>
      <c r="H914" s="703"/>
      <c r="I914" s="703"/>
      <c r="J914" s="703"/>
      <c r="K914" s="703"/>
      <c r="L914" s="703"/>
      <c r="M914" s="703"/>
      <c r="N914" s="703"/>
      <c r="O914" s="703"/>
      <c r="P914" s="703"/>
      <c r="Q914" s="703"/>
      <c r="R914" s="703"/>
      <c r="S914" s="703"/>
      <c r="T914" s="703"/>
      <c r="U914" s="703"/>
      <c r="V914" s="703"/>
      <c r="W914" s="703"/>
      <c r="X914" s="703"/>
      <c r="Y914" s="703"/>
      <c r="Z914" s="703"/>
    </row>
    <row r="915">
      <c r="A915" s="703"/>
      <c r="B915" s="703"/>
      <c r="C915" s="703"/>
      <c r="D915" s="703"/>
      <c r="E915" s="703"/>
      <c r="F915" s="703"/>
      <c r="G915" s="703"/>
      <c r="H915" s="703"/>
      <c r="I915" s="703"/>
      <c r="J915" s="703"/>
      <c r="K915" s="703"/>
      <c r="L915" s="703"/>
      <c r="M915" s="703"/>
      <c r="N915" s="703"/>
      <c r="O915" s="703"/>
      <c r="P915" s="703"/>
      <c r="Q915" s="703"/>
      <c r="R915" s="703"/>
      <c r="S915" s="703"/>
      <c r="T915" s="703"/>
      <c r="U915" s="703"/>
      <c r="V915" s="703"/>
      <c r="W915" s="703"/>
      <c r="X915" s="703"/>
      <c r="Y915" s="703"/>
      <c r="Z915" s="703"/>
    </row>
    <row r="916">
      <c r="A916" s="703"/>
      <c r="B916" s="703"/>
      <c r="C916" s="703"/>
      <c r="D916" s="703"/>
      <c r="E916" s="703"/>
      <c r="F916" s="703"/>
      <c r="G916" s="703"/>
      <c r="H916" s="703"/>
      <c r="I916" s="703"/>
      <c r="J916" s="703"/>
      <c r="K916" s="703"/>
      <c r="L916" s="703"/>
      <c r="M916" s="703"/>
      <c r="N916" s="703"/>
      <c r="O916" s="703"/>
      <c r="P916" s="703"/>
      <c r="Q916" s="703"/>
      <c r="R916" s="703"/>
      <c r="S916" s="703"/>
      <c r="T916" s="703"/>
      <c r="U916" s="703"/>
      <c r="V916" s="703"/>
      <c r="W916" s="703"/>
      <c r="X916" s="703"/>
      <c r="Y916" s="703"/>
      <c r="Z916" s="703"/>
    </row>
    <row r="917">
      <c r="A917" s="703"/>
      <c r="B917" s="703"/>
      <c r="C917" s="703"/>
      <c r="D917" s="703"/>
      <c r="E917" s="703"/>
      <c r="F917" s="703"/>
      <c r="G917" s="703"/>
      <c r="H917" s="703"/>
      <c r="I917" s="703"/>
      <c r="J917" s="703"/>
      <c r="K917" s="703"/>
      <c r="L917" s="703"/>
      <c r="M917" s="703"/>
      <c r="N917" s="703"/>
      <c r="O917" s="703"/>
      <c r="P917" s="703"/>
      <c r="Q917" s="703"/>
      <c r="R917" s="703"/>
      <c r="S917" s="703"/>
      <c r="T917" s="703"/>
      <c r="U917" s="703"/>
      <c r="V917" s="703"/>
      <c r="W917" s="703"/>
      <c r="X917" s="703"/>
      <c r="Y917" s="703"/>
      <c r="Z917" s="703"/>
    </row>
    <row r="918">
      <c r="A918" s="703"/>
      <c r="B918" s="703"/>
      <c r="C918" s="703"/>
      <c r="D918" s="703"/>
      <c r="E918" s="703"/>
      <c r="F918" s="703"/>
      <c r="G918" s="703"/>
      <c r="H918" s="703"/>
      <c r="I918" s="703"/>
      <c r="J918" s="703"/>
      <c r="K918" s="703"/>
      <c r="L918" s="703"/>
      <c r="M918" s="703"/>
      <c r="N918" s="703"/>
      <c r="O918" s="703"/>
      <c r="P918" s="703"/>
      <c r="Q918" s="703"/>
      <c r="R918" s="703"/>
      <c r="S918" s="703"/>
      <c r="T918" s="703"/>
      <c r="U918" s="703"/>
      <c r="V918" s="703"/>
      <c r="W918" s="703"/>
      <c r="X918" s="703"/>
      <c r="Y918" s="703"/>
      <c r="Z918" s="703"/>
    </row>
    <row r="919">
      <c r="A919" s="703"/>
      <c r="B919" s="703"/>
      <c r="C919" s="703"/>
      <c r="D919" s="703"/>
      <c r="E919" s="703"/>
      <c r="F919" s="703"/>
      <c r="G919" s="703"/>
      <c r="H919" s="703"/>
      <c r="I919" s="703"/>
      <c r="J919" s="703"/>
      <c r="K919" s="703"/>
      <c r="L919" s="703"/>
      <c r="M919" s="703"/>
      <c r="N919" s="703"/>
      <c r="O919" s="703"/>
      <c r="P919" s="703"/>
      <c r="Q919" s="703"/>
      <c r="R919" s="703"/>
      <c r="S919" s="703"/>
      <c r="T919" s="703"/>
      <c r="U919" s="703"/>
      <c r="V919" s="703"/>
      <c r="W919" s="703"/>
      <c r="X919" s="703"/>
      <c r="Y919" s="703"/>
      <c r="Z919" s="703"/>
    </row>
    <row r="920">
      <c r="A920" s="703"/>
      <c r="B920" s="703"/>
      <c r="C920" s="703"/>
      <c r="D920" s="703"/>
      <c r="E920" s="703"/>
      <c r="F920" s="703"/>
      <c r="G920" s="703"/>
      <c r="H920" s="703"/>
      <c r="I920" s="703"/>
      <c r="J920" s="703"/>
      <c r="K920" s="703"/>
      <c r="L920" s="703"/>
      <c r="M920" s="703"/>
      <c r="N920" s="703"/>
      <c r="O920" s="703"/>
      <c r="P920" s="703"/>
      <c r="Q920" s="703"/>
      <c r="R920" s="703"/>
      <c r="S920" s="703"/>
      <c r="T920" s="703"/>
      <c r="U920" s="703"/>
      <c r="V920" s="703"/>
      <c r="W920" s="703"/>
      <c r="X920" s="703"/>
      <c r="Y920" s="703"/>
      <c r="Z920" s="703"/>
    </row>
    <row r="921">
      <c r="A921" s="703"/>
      <c r="B921" s="703"/>
      <c r="C921" s="703"/>
      <c r="D921" s="703"/>
      <c r="E921" s="703"/>
      <c r="F921" s="703"/>
      <c r="G921" s="703"/>
      <c r="H921" s="703"/>
      <c r="I921" s="703"/>
      <c r="J921" s="703"/>
      <c r="K921" s="703"/>
      <c r="L921" s="703"/>
      <c r="M921" s="703"/>
      <c r="N921" s="703"/>
      <c r="O921" s="703"/>
      <c r="P921" s="703"/>
      <c r="Q921" s="703"/>
      <c r="R921" s="703"/>
      <c r="S921" s="703"/>
      <c r="T921" s="703"/>
      <c r="U921" s="703"/>
      <c r="V921" s="703"/>
      <c r="W921" s="703"/>
      <c r="X921" s="703"/>
      <c r="Y921" s="703"/>
      <c r="Z921" s="703"/>
    </row>
    <row r="922">
      <c r="A922" s="703"/>
      <c r="B922" s="703"/>
      <c r="C922" s="703"/>
      <c r="D922" s="703"/>
      <c r="E922" s="703"/>
      <c r="F922" s="703"/>
      <c r="G922" s="703"/>
      <c r="H922" s="703"/>
      <c r="I922" s="703"/>
      <c r="J922" s="703"/>
      <c r="K922" s="703"/>
      <c r="L922" s="703"/>
      <c r="M922" s="703"/>
      <c r="N922" s="703"/>
      <c r="O922" s="703"/>
      <c r="P922" s="703"/>
      <c r="Q922" s="703"/>
      <c r="R922" s="703"/>
      <c r="S922" s="703"/>
      <c r="T922" s="703"/>
      <c r="U922" s="703"/>
      <c r="V922" s="703"/>
      <c r="W922" s="703"/>
      <c r="X922" s="703"/>
      <c r="Y922" s="703"/>
      <c r="Z922" s="703"/>
    </row>
    <row r="923">
      <c r="A923" s="703"/>
      <c r="B923" s="703"/>
      <c r="C923" s="703"/>
      <c r="D923" s="703"/>
      <c r="E923" s="703"/>
      <c r="F923" s="703"/>
      <c r="G923" s="703"/>
      <c r="H923" s="703"/>
      <c r="I923" s="703"/>
      <c r="J923" s="703"/>
      <c r="K923" s="703"/>
      <c r="L923" s="703"/>
      <c r="M923" s="703"/>
      <c r="N923" s="703"/>
      <c r="O923" s="703"/>
      <c r="P923" s="703"/>
      <c r="Q923" s="703"/>
      <c r="R923" s="703"/>
      <c r="S923" s="703"/>
      <c r="T923" s="703"/>
      <c r="U923" s="703"/>
      <c r="V923" s="703"/>
      <c r="W923" s="703"/>
      <c r="X923" s="703"/>
      <c r="Y923" s="703"/>
      <c r="Z923" s="703"/>
    </row>
    <row r="924">
      <c r="A924" s="703"/>
      <c r="B924" s="703"/>
      <c r="C924" s="703"/>
      <c r="D924" s="703"/>
      <c r="E924" s="703"/>
      <c r="F924" s="703"/>
      <c r="G924" s="703"/>
      <c r="H924" s="703"/>
      <c r="I924" s="703"/>
      <c r="J924" s="703"/>
      <c r="K924" s="703"/>
      <c r="L924" s="703"/>
      <c r="M924" s="703"/>
      <c r="N924" s="703"/>
      <c r="O924" s="703"/>
      <c r="P924" s="703"/>
      <c r="Q924" s="703"/>
      <c r="R924" s="703"/>
      <c r="S924" s="703"/>
      <c r="T924" s="703"/>
      <c r="U924" s="703"/>
      <c r="V924" s="703"/>
      <c r="W924" s="703"/>
      <c r="X924" s="703"/>
      <c r="Y924" s="703"/>
      <c r="Z924" s="703"/>
    </row>
    <row r="925">
      <c r="A925" s="703"/>
      <c r="B925" s="703"/>
      <c r="C925" s="703"/>
      <c r="D925" s="703"/>
      <c r="E925" s="703"/>
      <c r="F925" s="703"/>
      <c r="G925" s="703"/>
      <c r="H925" s="703"/>
      <c r="I925" s="703"/>
      <c r="J925" s="703"/>
      <c r="K925" s="703"/>
      <c r="L925" s="703"/>
      <c r="M925" s="703"/>
      <c r="N925" s="703"/>
      <c r="O925" s="703"/>
      <c r="P925" s="703"/>
      <c r="Q925" s="703"/>
      <c r="R925" s="703"/>
      <c r="S925" s="703"/>
      <c r="T925" s="703"/>
      <c r="U925" s="703"/>
      <c r="V925" s="703"/>
      <c r="W925" s="703"/>
      <c r="X925" s="703"/>
      <c r="Y925" s="703"/>
      <c r="Z925" s="703"/>
    </row>
    <row r="926">
      <c r="A926" s="703"/>
      <c r="B926" s="703"/>
      <c r="C926" s="703"/>
      <c r="D926" s="703"/>
      <c r="E926" s="703"/>
      <c r="F926" s="703"/>
      <c r="G926" s="703"/>
      <c r="H926" s="703"/>
      <c r="I926" s="703"/>
      <c r="J926" s="703"/>
      <c r="K926" s="703"/>
      <c r="L926" s="703"/>
      <c r="M926" s="703"/>
      <c r="N926" s="703"/>
      <c r="O926" s="703"/>
      <c r="P926" s="703"/>
      <c r="Q926" s="703"/>
      <c r="R926" s="703"/>
      <c r="S926" s="703"/>
      <c r="T926" s="703"/>
      <c r="U926" s="703"/>
      <c r="V926" s="703"/>
      <c r="W926" s="703"/>
      <c r="X926" s="703"/>
      <c r="Y926" s="703"/>
      <c r="Z926" s="703"/>
    </row>
    <row r="927">
      <c r="A927" s="703"/>
      <c r="B927" s="703"/>
      <c r="C927" s="703"/>
      <c r="D927" s="703"/>
      <c r="E927" s="703"/>
      <c r="F927" s="703"/>
      <c r="G927" s="703"/>
      <c r="H927" s="703"/>
      <c r="I927" s="703"/>
      <c r="J927" s="703"/>
      <c r="K927" s="703"/>
      <c r="L927" s="703"/>
      <c r="M927" s="703"/>
      <c r="N927" s="703"/>
      <c r="O927" s="703"/>
      <c r="P927" s="703"/>
      <c r="Q927" s="703"/>
      <c r="R927" s="703"/>
      <c r="S927" s="703"/>
      <c r="T927" s="703"/>
      <c r="U927" s="703"/>
      <c r="V927" s="703"/>
      <c r="W927" s="703"/>
      <c r="X927" s="703"/>
      <c r="Y927" s="703"/>
      <c r="Z927" s="703"/>
    </row>
    <row r="928">
      <c r="A928" s="703"/>
      <c r="B928" s="703"/>
      <c r="C928" s="703"/>
      <c r="D928" s="703"/>
      <c r="E928" s="703"/>
      <c r="F928" s="703"/>
      <c r="G928" s="703"/>
      <c r="H928" s="703"/>
      <c r="I928" s="703"/>
      <c r="J928" s="703"/>
      <c r="K928" s="703"/>
      <c r="L928" s="703"/>
      <c r="M928" s="703"/>
      <c r="N928" s="703"/>
      <c r="O928" s="703"/>
      <c r="P928" s="703"/>
      <c r="Q928" s="703"/>
      <c r="R928" s="703"/>
      <c r="S928" s="703"/>
      <c r="T928" s="703"/>
      <c r="U928" s="703"/>
      <c r="V928" s="703"/>
      <c r="W928" s="703"/>
      <c r="X928" s="703"/>
      <c r="Y928" s="703"/>
      <c r="Z928" s="703"/>
    </row>
    <row r="929">
      <c r="A929" s="703"/>
      <c r="B929" s="703"/>
      <c r="C929" s="703"/>
      <c r="D929" s="703"/>
      <c r="E929" s="703"/>
      <c r="F929" s="703"/>
      <c r="G929" s="703"/>
      <c r="H929" s="703"/>
      <c r="I929" s="703"/>
      <c r="J929" s="703"/>
      <c r="K929" s="703"/>
      <c r="L929" s="703"/>
      <c r="M929" s="703"/>
      <c r="N929" s="703"/>
      <c r="O929" s="703"/>
      <c r="P929" s="703"/>
      <c r="Q929" s="703"/>
      <c r="R929" s="703"/>
      <c r="S929" s="703"/>
      <c r="T929" s="703"/>
      <c r="U929" s="703"/>
      <c r="V929" s="703"/>
      <c r="W929" s="703"/>
      <c r="X929" s="703"/>
      <c r="Y929" s="703"/>
      <c r="Z929" s="703"/>
    </row>
    <row r="930">
      <c r="A930" s="703"/>
      <c r="B930" s="703"/>
      <c r="C930" s="703"/>
      <c r="D930" s="703"/>
      <c r="E930" s="703"/>
      <c r="F930" s="703"/>
      <c r="G930" s="703"/>
      <c r="H930" s="703"/>
      <c r="I930" s="703"/>
      <c r="J930" s="703"/>
      <c r="K930" s="703"/>
      <c r="L930" s="703"/>
      <c r="M930" s="703"/>
      <c r="N930" s="703"/>
      <c r="O930" s="703"/>
      <c r="P930" s="703"/>
      <c r="Q930" s="703"/>
      <c r="R930" s="703"/>
      <c r="S930" s="703"/>
      <c r="T930" s="703"/>
      <c r="U930" s="703"/>
      <c r="V930" s="703"/>
      <c r="W930" s="703"/>
      <c r="X930" s="703"/>
      <c r="Y930" s="703"/>
      <c r="Z930" s="703"/>
    </row>
    <row r="931">
      <c r="A931" s="703"/>
      <c r="B931" s="703"/>
      <c r="C931" s="703"/>
      <c r="D931" s="703"/>
      <c r="E931" s="703"/>
      <c r="F931" s="703"/>
      <c r="G931" s="703"/>
      <c r="H931" s="703"/>
      <c r="I931" s="703"/>
      <c r="J931" s="703"/>
      <c r="K931" s="703"/>
      <c r="L931" s="703"/>
      <c r="M931" s="703"/>
      <c r="N931" s="703"/>
      <c r="O931" s="703"/>
      <c r="P931" s="703"/>
      <c r="Q931" s="703"/>
      <c r="R931" s="703"/>
      <c r="S931" s="703"/>
      <c r="T931" s="703"/>
      <c r="U931" s="703"/>
      <c r="V931" s="703"/>
      <c r="W931" s="703"/>
      <c r="X931" s="703"/>
      <c r="Y931" s="703"/>
      <c r="Z931" s="703"/>
    </row>
    <row r="932">
      <c r="A932" s="703"/>
      <c r="B932" s="703"/>
      <c r="C932" s="703"/>
      <c r="D932" s="703"/>
      <c r="E932" s="703"/>
      <c r="F932" s="703"/>
      <c r="G932" s="703"/>
      <c r="H932" s="703"/>
      <c r="I932" s="703"/>
      <c r="J932" s="703"/>
      <c r="K932" s="703"/>
      <c r="L932" s="703"/>
      <c r="M932" s="703"/>
      <c r="N932" s="703"/>
      <c r="O932" s="703"/>
      <c r="P932" s="703"/>
      <c r="Q932" s="703"/>
      <c r="R932" s="703"/>
      <c r="S932" s="703"/>
      <c r="T932" s="703"/>
      <c r="U932" s="703"/>
      <c r="V932" s="703"/>
      <c r="W932" s="703"/>
      <c r="X932" s="703"/>
      <c r="Y932" s="703"/>
      <c r="Z932" s="703"/>
    </row>
    <row r="933">
      <c r="A933" s="703"/>
      <c r="B933" s="703"/>
      <c r="C933" s="703"/>
      <c r="D933" s="703"/>
      <c r="E933" s="703"/>
      <c r="F933" s="703"/>
      <c r="G933" s="703"/>
      <c r="H933" s="703"/>
      <c r="I933" s="703"/>
      <c r="J933" s="703"/>
      <c r="K933" s="703"/>
      <c r="L933" s="703"/>
      <c r="M933" s="703"/>
      <c r="N933" s="703"/>
      <c r="O933" s="703"/>
      <c r="P933" s="703"/>
      <c r="Q933" s="703"/>
      <c r="R933" s="703"/>
      <c r="S933" s="703"/>
      <c r="T933" s="703"/>
      <c r="U933" s="703"/>
      <c r="V933" s="703"/>
      <c r="W933" s="703"/>
      <c r="X933" s="703"/>
      <c r="Y933" s="703"/>
      <c r="Z933" s="703"/>
    </row>
    <row r="934">
      <c r="A934" s="703"/>
      <c r="B934" s="703"/>
      <c r="C934" s="703"/>
      <c r="D934" s="703"/>
      <c r="E934" s="703"/>
      <c r="F934" s="703"/>
      <c r="G934" s="703"/>
      <c r="H934" s="703"/>
      <c r="I934" s="703"/>
      <c r="J934" s="703"/>
      <c r="K934" s="703"/>
      <c r="L934" s="703"/>
      <c r="M934" s="703"/>
      <c r="N934" s="703"/>
      <c r="O934" s="703"/>
      <c r="P934" s="703"/>
      <c r="Q934" s="703"/>
      <c r="R934" s="703"/>
      <c r="S934" s="703"/>
      <c r="T934" s="703"/>
      <c r="U934" s="703"/>
      <c r="V934" s="703"/>
      <c r="W934" s="703"/>
      <c r="X934" s="703"/>
      <c r="Y934" s="703"/>
      <c r="Z934" s="703"/>
    </row>
    <row r="935">
      <c r="A935" s="703"/>
      <c r="B935" s="703"/>
      <c r="C935" s="703"/>
      <c r="D935" s="703"/>
      <c r="E935" s="703"/>
      <c r="F935" s="703"/>
      <c r="G935" s="703"/>
      <c r="H935" s="703"/>
      <c r="I935" s="703"/>
      <c r="J935" s="703"/>
      <c r="K935" s="703"/>
      <c r="L935" s="703"/>
      <c r="M935" s="703"/>
      <c r="N935" s="703"/>
      <c r="O935" s="703"/>
      <c r="P935" s="703"/>
      <c r="Q935" s="703"/>
      <c r="R935" s="703"/>
      <c r="S935" s="703"/>
      <c r="T935" s="703"/>
      <c r="U935" s="703"/>
      <c r="V935" s="703"/>
      <c r="W935" s="703"/>
      <c r="X935" s="703"/>
      <c r="Y935" s="703"/>
      <c r="Z935" s="703"/>
    </row>
    <row r="936">
      <c r="A936" s="703"/>
      <c r="B936" s="703"/>
      <c r="C936" s="703"/>
      <c r="D936" s="703"/>
      <c r="E936" s="703"/>
      <c r="F936" s="703"/>
      <c r="G936" s="703"/>
      <c r="H936" s="703"/>
      <c r="I936" s="703"/>
      <c r="J936" s="703"/>
      <c r="K936" s="703"/>
      <c r="L936" s="703"/>
      <c r="M936" s="703"/>
      <c r="N936" s="703"/>
      <c r="O936" s="703"/>
      <c r="P936" s="703"/>
      <c r="Q936" s="703"/>
      <c r="R936" s="703"/>
      <c r="S936" s="703"/>
      <c r="T936" s="703"/>
      <c r="U936" s="703"/>
      <c r="V936" s="703"/>
      <c r="W936" s="703"/>
      <c r="X936" s="703"/>
      <c r="Y936" s="703"/>
      <c r="Z936" s="703"/>
    </row>
    <row r="937">
      <c r="A937" s="703"/>
      <c r="B937" s="703"/>
      <c r="C937" s="703"/>
      <c r="D937" s="703"/>
      <c r="E937" s="703"/>
      <c r="F937" s="703"/>
      <c r="G937" s="703"/>
      <c r="H937" s="703"/>
      <c r="I937" s="703"/>
      <c r="J937" s="703"/>
      <c r="K937" s="703"/>
      <c r="L937" s="703"/>
      <c r="M937" s="703"/>
      <c r="N937" s="703"/>
      <c r="O937" s="703"/>
      <c r="P937" s="703"/>
      <c r="Q937" s="703"/>
      <c r="R937" s="703"/>
      <c r="S937" s="703"/>
      <c r="T937" s="703"/>
      <c r="U937" s="703"/>
      <c r="V937" s="703"/>
      <c r="W937" s="703"/>
      <c r="X937" s="703"/>
      <c r="Y937" s="703"/>
      <c r="Z937" s="703"/>
    </row>
    <row r="938">
      <c r="A938" s="703"/>
      <c r="B938" s="703"/>
      <c r="C938" s="703"/>
      <c r="D938" s="703"/>
      <c r="E938" s="703"/>
      <c r="F938" s="703"/>
      <c r="G938" s="703"/>
      <c r="H938" s="703"/>
      <c r="I938" s="703"/>
      <c r="J938" s="703"/>
      <c r="K938" s="703"/>
      <c r="L938" s="703"/>
      <c r="M938" s="703"/>
      <c r="N938" s="703"/>
      <c r="O938" s="703"/>
      <c r="P938" s="703"/>
      <c r="Q938" s="703"/>
      <c r="R938" s="703"/>
      <c r="S938" s="703"/>
      <c r="T938" s="703"/>
      <c r="U938" s="703"/>
      <c r="V938" s="703"/>
      <c r="W938" s="703"/>
      <c r="X938" s="703"/>
      <c r="Y938" s="703"/>
      <c r="Z938" s="703"/>
    </row>
    <row r="939">
      <c r="A939" s="703"/>
      <c r="B939" s="703"/>
      <c r="C939" s="703"/>
      <c r="D939" s="703"/>
      <c r="E939" s="703"/>
      <c r="F939" s="703"/>
      <c r="G939" s="703"/>
      <c r="H939" s="703"/>
      <c r="I939" s="703"/>
      <c r="J939" s="703"/>
      <c r="K939" s="703"/>
      <c r="L939" s="703"/>
      <c r="M939" s="703"/>
      <c r="N939" s="703"/>
      <c r="O939" s="703"/>
      <c r="P939" s="703"/>
      <c r="Q939" s="703"/>
      <c r="R939" s="703"/>
      <c r="S939" s="703"/>
      <c r="T939" s="703"/>
      <c r="U939" s="703"/>
      <c r="V939" s="703"/>
      <c r="W939" s="703"/>
      <c r="X939" s="703"/>
      <c r="Y939" s="703"/>
      <c r="Z939" s="703"/>
    </row>
    <row r="940">
      <c r="A940" s="703"/>
      <c r="B940" s="703"/>
      <c r="C940" s="703"/>
      <c r="D940" s="703"/>
      <c r="E940" s="703"/>
      <c r="F940" s="703"/>
      <c r="G940" s="703"/>
      <c r="H940" s="703"/>
      <c r="I940" s="703"/>
      <c r="J940" s="703"/>
      <c r="K940" s="703"/>
      <c r="L940" s="703"/>
      <c r="M940" s="703"/>
      <c r="N940" s="703"/>
      <c r="O940" s="703"/>
      <c r="P940" s="703"/>
      <c r="Q940" s="703"/>
      <c r="R940" s="703"/>
      <c r="S940" s="703"/>
      <c r="T940" s="703"/>
      <c r="U940" s="703"/>
      <c r="V940" s="703"/>
      <c r="W940" s="703"/>
      <c r="X940" s="703"/>
      <c r="Y940" s="703"/>
      <c r="Z940" s="703"/>
    </row>
    <row r="941">
      <c r="A941" s="703"/>
      <c r="B941" s="703"/>
      <c r="C941" s="703"/>
      <c r="D941" s="703"/>
      <c r="E941" s="703"/>
      <c r="F941" s="703"/>
      <c r="G941" s="703"/>
      <c r="H941" s="703"/>
      <c r="I941" s="703"/>
      <c r="J941" s="703"/>
      <c r="K941" s="703"/>
      <c r="L941" s="703"/>
      <c r="M941" s="703"/>
      <c r="N941" s="703"/>
      <c r="O941" s="703"/>
      <c r="P941" s="703"/>
      <c r="Q941" s="703"/>
      <c r="R941" s="703"/>
      <c r="S941" s="703"/>
      <c r="T941" s="703"/>
      <c r="U941" s="703"/>
      <c r="V941" s="703"/>
      <c r="W941" s="703"/>
      <c r="X941" s="703"/>
      <c r="Y941" s="703"/>
      <c r="Z941" s="703"/>
    </row>
    <row r="942">
      <c r="A942" s="703"/>
      <c r="B942" s="703"/>
      <c r="C942" s="703"/>
      <c r="D942" s="703"/>
      <c r="E942" s="703"/>
      <c r="F942" s="703"/>
      <c r="G942" s="703"/>
      <c r="H942" s="703"/>
      <c r="I942" s="703"/>
      <c r="J942" s="703"/>
      <c r="K942" s="703"/>
      <c r="L942" s="703"/>
      <c r="M942" s="703"/>
      <c r="N942" s="703"/>
      <c r="O942" s="703"/>
      <c r="P942" s="703"/>
      <c r="Q942" s="703"/>
      <c r="R942" s="703"/>
      <c r="S942" s="703"/>
      <c r="T942" s="703"/>
      <c r="U942" s="703"/>
      <c r="V942" s="703"/>
      <c r="W942" s="703"/>
      <c r="X942" s="703"/>
      <c r="Y942" s="703"/>
      <c r="Z942" s="703"/>
    </row>
    <row r="943">
      <c r="A943" s="703"/>
      <c r="B943" s="703"/>
      <c r="C943" s="703"/>
      <c r="D943" s="703"/>
      <c r="E943" s="703"/>
      <c r="F943" s="703"/>
      <c r="G943" s="703"/>
      <c r="H943" s="703"/>
      <c r="I943" s="703"/>
      <c r="J943" s="703"/>
      <c r="K943" s="703"/>
      <c r="L943" s="703"/>
      <c r="M943" s="703"/>
      <c r="N943" s="703"/>
      <c r="O943" s="703"/>
      <c r="P943" s="703"/>
      <c r="Q943" s="703"/>
      <c r="R943" s="703"/>
      <c r="S943" s="703"/>
      <c r="T943" s="703"/>
      <c r="U943" s="703"/>
      <c r="V943" s="703"/>
      <c r="W943" s="703"/>
      <c r="X943" s="703"/>
      <c r="Y943" s="703"/>
      <c r="Z943" s="703"/>
    </row>
    <row r="944">
      <c r="A944" s="703"/>
      <c r="B944" s="703"/>
      <c r="C944" s="703"/>
      <c r="D944" s="703"/>
      <c r="E944" s="703"/>
      <c r="F944" s="703"/>
      <c r="G944" s="703"/>
      <c r="H944" s="703"/>
      <c r="I944" s="703"/>
      <c r="J944" s="703"/>
      <c r="K944" s="703"/>
      <c r="L944" s="703"/>
      <c r="M944" s="703"/>
      <c r="N944" s="703"/>
      <c r="O944" s="703"/>
      <c r="P944" s="703"/>
      <c r="Q944" s="703"/>
      <c r="R944" s="703"/>
      <c r="S944" s="703"/>
      <c r="T944" s="703"/>
      <c r="U944" s="703"/>
      <c r="V944" s="703"/>
      <c r="W944" s="703"/>
      <c r="X944" s="703"/>
      <c r="Y944" s="703"/>
      <c r="Z944" s="703"/>
    </row>
    <row r="945">
      <c r="A945" s="703"/>
      <c r="B945" s="703"/>
      <c r="C945" s="703"/>
      <c r="D945" s="703"/>
      <c r="E945" s="703"/>
      <c r="F945" s="703"/>
      <c r="G945" s="703"/>
      <c r="H945" s="703"/>
      <c r="I945" s="703"/>
      <c r="J945" s="703"/>
      <c r="K945" s="703"/>
      <c r="L945" s="703"/>
      <c r="M945" s="703"/>
      <c r="N945" s="703"/>
      <c r="O945" s="703"/>
      <c r="P945" s="703"/>
      <c r="Q945" s="703"/>
      <c r="R945" s="703"/>
      <c r="S945" s="703"/>
      <c r="T945" s="703"/>
      <c r="U945" s="703"/>
      <c r="V945" s="703"/>
      <c r="W945" s="703"/>
      <c r="X945" s="703"/>
      <c r="Y945" s="703"/>
      <c r="Z945" s="703"/>
    </row>
    <row r="946">
      <c r="A946" s="703"/>
      <c r="B946" s="703"/>
      <c r="C946" s="703"/>
      <c r="D946" s="703"/>
      <c r="E946" s="703"/>
      <c r="F946" s="703"/>
      <c r="G946" s="703"/>
      <c r="H946" s="703"/>
      <c r="I946" s="703"/>
      <c r="J946" s="703"/>
      <c r="K946" s="703"/>
      <c r="L946" s="703"/>
      <c r="M946" s="703"/>
      <c r="N946" s="703"/>
      <c r="O946" s="703"/>
      <c r="P946" s="703"/>
      <c r="Q946" s="703"/>
      <c r="R946" s="703"/>
      <c r="S946" s="703"/>
      <c r="T946" s="703"/>
      <c r="U946" s="703"/>
      <c r="V946" s="703"/>
      <c r="W946" s="703"/>
      <c r="X946" s="703"/>
      <c r="Y946" s="703"/>
      <c r="Z946" s="703"/>
    </row>
    <row r="947">
      <c r="A947" s="703"/>
      <c r="B947" s="703"/>
      <c r="C947" s="703"/>
      <c r="D947" s="703"/>
      <c r="E947" s="703"/>
      <c r="F947" s="703"/>
      <c r="G947" s="703"/>
      <c r="H947" s="703"/>
      <c r="I947" s="703"/>
      <c r="J947" s="703"/>
      <c r="K947" s="703"/>
      <c r="L947" s="703"/>
      <c r="M947" s="703"/>
      <c r="N947" s="703"/>
      <c r="O947" s="703"/>
      <c r="P947" s="703"/>
      <c r="Q947" s="703"/>
      <c r="R947" s="703"/>
      <c r="S947" s="703"/>
      <c r="T947" s="703"/>
      <c r="U947" s="703"/>
      <c r="V947" s="703"/>
      <c r="W947" s="703"/>
      <c r="X947" s="703"/>
      <c r="Y947" s="703"/>
      <c r="Z947" s="703"/>
    </row>
    <row r="948">
      <c r="A948" s="703"/>
      <c r="B948" s="703"/>
      <c r="C948" s="703"/>
      <c r="D948" s="703"/>
      <c r="E948" s="703"/>
      <c r="F948" s="703"/>
      <c r="G948" s="703"/>
      <c r="H948" s="703"/>
      <c r="I948" s="703"/>
      <c r="J948" s="703"/>
      <c r="K948" s="703"/>
      <c r="L948" s="703"/>
      <c r="M948" s="703"/>
      <c r="N948" s="703"/>
      <c r="O948" s="703"/>
      <c r="P948" s="703"/>
      <c r="Q948" s="703"/>
      <c r="R948" s="703"/>
      <c r="S948" s="703"/>
      <c r="T948" s="703"/>
      <c r="U948" s="703"/>
      <c r="V948" s="703"/>
      <c r="W948" s="703"/>
      <c r="X948" s="703"/>
      <c r="Y948" s="703"/>
      <c r="Z948" s="703"/>
    </row>
    <row r="949">
      <c r="A949" s="703"/>
      <c r="B949" s="703"/>
      <c r="C949" s="703"/>
      <c r="D949" s="703"/>
      <c r="E949" s="703"/>
      <c r="F949" s="703"/>
      <c r="G949" s="703"/>
      <c r="H949" s="703"/>
      <c r="I949" s="703"/>
      <c r="J949" s="703"/>
      <c r="K949" s="703"/>
      <c r="L949" s="703"/>
      <c r="M949" s="703"/>
      <c r="N949" s="703"/>
      <c r="O949" s="703"/>
      <c r="P949" s="703"/>
      <c r="Q949" s="703"/>
      <c r="R949" s="703"/>
      <c r="S949" s="703"/>
      <c r="T949" s="703"/>
      <c r="U949" s="703"/>
      <c r="V949" s="703"/>
      <c r="W949" s="703"/>
      <c r="X949" s="703"/>
      <c r="Y949" s="703"/>
      <c r="Z949" s="703"/>
    </row>
    <row r="950">
      <c r="A950" s="703"/>
      <c r="B950" s="703"/>
      <c r="C950" s="703"/>
      <c r="D950" s="703"/>
      <c r="E950" s="703"/>
      <c r="F950" s="703"/>
      <c r="G950" s="703"/>
      <c r="H950" s="703"/>
      <c r="I950" s="703"/>
      <c r="J950" s="703"/>
      <c r="K950" s="703"/>
      <c r="L950" s="703"/>
      <c r="M950" s="703"/>
      <c r="N950" s="703"/>
      <c r="O950" s="703"/>
      <c r="P950" s="703"/>
      <c r="Q950" s="703"/>
      <c r="R950" s="703"/>
      <c r="S950" s="703"/>
      <c r="T950" s="703"/>
      <c r="U950" s="703"/>
      <c r="V950" s="703"/>
      <c r="W950" s="703"/>
      <c r="X950" s="703"/>
      <c r="Y950" s="703"/>
      <c r="Z950" s="703"/>
    </row>
    <row r="951">
      <c r="A951" s="703"/>
      <c r="B951" s="703"/>
      <c r="C951" s="703"/>
      <c r="D951" s="703"/>
      <c r="E951" s="703"/>
      <c r="F951" s="703"/>
      <c r="G951" s="703"/>
      <c r="H951" s="703"/>
      <c r="I951" s="703"/>
      <c r="J951" s="703"/>
      <c r="K951" s="703"/>
      <c r="L951" s="703"/>
      <c r="M951" s="703"/>
      <c r="N951" s="703"/>
      <c r="O951" s="703"/>
      <c r="P951" s="703"/>
      <c r="Q951" s="703"/>
      <c r="R951" s="703"/>
      <c r="S951" s="703"/>
      <c r="T951" s="703"/>
      <c r="U951" s="703"/>
      <c r="V951" s="703"/>
      <c r="W951" s="703"/>
      <c r="X951" s="703"/>
      <c r="Y951" s="703"/>
      <c r="Z951" s="703"/>
    </row>
    <row r="952">
      <c r="A952" s="703"/>
      <c r="B952" s="703"/>
      <c r="C952" s="703"/>
      <c r="D952" s="703"/>
      <c r="E952" s="703"/>
      <c r="F952" s="703"/>
      <c r="G952" s="703"/>
      <c r="H952" s="703"/>
      <c r="I952" s="703"/>
      <c r="J952" s="703"/>
      <c r="K952" s="703"/>
      <c r="L952" s="703"/>
      <c r="M952" s="703"/>
      <c r="N952" s="703"/>
      <c r="O952" s="703"/>
      <c r="P952" s="703"/>
      <c r="Q952" s="703"/>
      <c r="R952" s="703"/>
      <c r="S952" s="703"/>
      <c r="T952" s="703"/>
      <c r="U952" s="703"/>
      <c r="V952" s="703"/>
      <c r="W952" s="703"/>
      <c r="X952" s="703"/>
      <c r="Y952" s="703"/>
      <c r="Z952" s="703"/>
    </row>
    <row r="953">
      <c r="A953" s="703"/>
      <c r="B953" s="703"/>
      <c r="C953" s="703"/>
      <c r="D953" s="703"/>
      <c r="E953" s="703"/>
      <c r="F953" s="703"/>
      <c r="G953" s="703"/>
      <c r="H953" s="703"/>
      <c r="I953" s="703"/>
      <c r="J953" s="703"/>
      <c r="K953" s="703"/>
      <c r="L953" s="703"/>
      <c r="M953" s="703"/>
      <c r="N953" s="703"/>
      <c r="O953" s="703"/>
      <c r="P953" s="703"/>
      <c r="Q953" s="703"/>
      <c r="R953" s="703"/>
      <c r="S953" s="703"/>
      <c r="T953" s="703"/>
      <c r="U953" s="703"/>
      <c r="V953" s="703"/>
      <c r="W953" s="703"/>
      <c r="X953" s="703"/>
      <c r="Y953" s="703"/>
      <c r="Z953" s="703"/>
    </row>
    <row r="954">
      <c r="A954" s="703"/>
      <c r="B954" s="703"/>
      <c r="C954" s="703"/>
      <c r="D954" s="703"/>
      <c r="E954" s="703"/>
      <c r="F954" s="703"/>
      <c r="G954" s="703"/>
      <c r="H954" s="703"/>
      <c r="I954" s="703"/>
      <c r="J954" s="703"/>
      <c r="K954" s="703"/>
      <c r="L954" s="703"/>
      <c r="M954" s="703"/>
      <c r="N954" s="703"/>
      <c r="O954" s="703"/>
      <c r="P954" s="703"/>
      <c r="Q954" s="703"/>
      <c r="R954" s="703"/>
      <c r="S954" s="703"/>
      <c r="T954" s="703"/>
      <c r="U954" s="703"/>
      <c r="V954" s="703"/>
      <c r="W954" s="703"/>
      <c r="X954" s="703"/>
      <c r="Y954" s="703"/>
      <c r="Z954" s="703"/>
    </row>
    <row r="955">
      <c r="A955" s="703"/>
      <c r="B955" s="703"/>
      <c r="C955" s="703"/>
      <c r="D955" s="703"/>
      <c r="E955" s="703"/>
      <c r="F955" s="703"/>
      <c r="G955" s="703"/>
      <c r="H955" s="703"/>
      <c r="I955" s="703"/>
      <c r="J955" s="703"/>
      <c r="K955" s="703"/>
      <c r="L955" s="703"/>
      <c r="M955" s="703"/>
      <c r="N955" s="703"/>
      <c r="O955" s="703"/>
      <c r="P955" s="703"/>
      <c r="Q955" s="703"/>
      <c r="R955" s="703"/>
      <c r="S955" s="703"/>
      <c r="T955" s="703"/>
      <c r="U955" s="703"/>
      <c r="V955" s="703"/>
      <c r="W955" s="703"/>
      <c r="X955" s="703"/>
      <c r="Y955" s="703"/>
      <c r="Z955" s="703"/>
    </row>
    <row r="956">
      <c r="A956" s="703"/>
      <c r="B956" s="703"/>
      <c r="C956" s="703"/>
      <c r="D956" s="703"/>
      <c r="E956" s="703"/>
      <c r="F956" s="703"/>
      <c r="G956" s="703"/>
      <c r="H956" s="703"/>
      <c r="I956" s="703"/>
      <c r="J956" s="703"/>
      <c r="K956" s="703"/>
      <c r="L956" s="703"/>
      <c r="M956" s="703"/>
      <c r="N956" s="703"/>
      <c r="O956" s="703"/>
      <c r="P956" s="703"/>
      <c r="Q956" s="703"/>
      <c r="R956" s="703"/>
      <c r="S956" s="703"/>
      <c r="T956" s="703"/>
      <c r="U956" s="703"/>
      <c r="V956" s="703"/>
      <c r="W956" s="703"/>
      <c r="X956" s="703"/>
      <c r="Y956" s="703"/>
      <c r="Z956" s="703"/>
    </row>
    <row r="957">
      <c r="A957" s="703"/>
      <c r="B957" s="703"/>
      <c r="C957" s="703"/>
      <c r="D957" s="703"/>
      <c r="E957" s="703"/>
      <c r="F957" s="703"/>
      <c r="G957" s="703"/>
      <c r="H957" s="703"/>
      <c r="I957" s="703"/>
      <c r="J957" s="703"/>
      <c r="K957" s="703"/>
      <c r="L957" s="703"/>
      <c r="M957" s="703"/>
      <c r="N957" s="703"/>
      <c r="O957" s="703"/>
      <c r="P957" s="703"/>
      <c r="Q957" s="703"/>
      <c r="R957" s="703"/>
      <c r="S957" s="703"/>
      <c r="T957" s="703"/>
      <c r="U957" s="703"/>
      <c r="V957" s="703"/>
      <c r="W957" s="703"/>
      <c r="X957" s="703"/>
      <c r="Y957" s="703"/>
      <c r="Z957" s="703"/>
    </row>
    <row r="958">
      <c r="A958" s="703"/>
      <c r="B958" s="703"/>
      <c r="C958" s="703"/>
      <c r="D958" s="703"/>
      <c r="E958" s="703"/>
      <c r="F958" s="703"/>
      <c r="G958" s="703"/>
      <c r="H958" s="703"/>
      <c r="I958" s="703"/>
      <c r="J958" s="703"/>
      <c r="K958" s="703"/>
      <c r="L958" s="703"/>
      <c r="M958" s="703"/>
      <c r="N958" s="703"/>
      <c r="O958" s="703"/>
      <c r="P958" s="703"/>
      <c r="Q958" s="703"/>
      <c r="R958" s="703"/>
      <c r="S958" s="703"/>
      <c r="T958" s="703"/>
      <c r="U958" s="703"/>
      <c r="V958" s="703"/>
      <c r="W958" s="703"/>
      <c r="X958" s="703"/>
      <c r="Y958" s="703"/>
      <c r="Z958" s="703"/>
    </row>
    <row r="959">
      <c r="A959" s="703"/>
      <c r="B959" s="703"/>
      <c r="C959" s="703"/>
      <c r="D959" s="703"/>
      <c r="E959" s="703"/>
      <c r="F959" s="703"/>
      <c r="G959" s="703"/>
      <c r="H959" s="703"/>
      <c r="I959" s="703"/>
      <c r="J959" s="703"/>
      <c r="K959" s="703"/>
      <c r="L959" s="703"/>
      <c r="M959" s="703"/>
      <c r="N959" s="703"/>
      <c r="O959" s="703"/>
      <c r="P959" s="703"/>
      <c r="Q959" s="703"/>
      <c r="R959" s="703"/>
      <c r="S959" s="703"/>
      <c r="T959" s="703"/>
      <c r="U959" s="703"/>
      <c r="V959" s="703"/>
      <c r="W959" s="703"/>
      <c r="X959" s="703"/>
      <c r="Y959" s="703"/>
      <c r="Z959" s="703"/>
    </row>
    <row r="960">
      <c r="A960" s="703"/>
      <c r="B960" s="703"/>
      <c r="C960" s="703"/>
      <c r="D960" s="703"/>
      <c r="E960" s="703"/>
      <c r="F960" s="703"/>
      <c r="G960" s="703"/>
      <c r="H960" s="703"/>
      <c r="I960" s="703"/>
      <c r="J960" s="703"/>
      <c r="K960" s="703"/>
      <c r="L960" s="703"/>
      <c r="M960" s="703"/>
      <c r="N960" s="703"/>
      <c r="O960" s="703"/>
      <c r="P960" s="703"/>
      <c r="Q960" s="703"/>
      <c r="R960" s="703"/>
      <c r="S960" s="703"/>
      <c r="T960" s="703"/>
      <c r="U960" s="703"/>
      <c r="V960" s="703"/>
      <c r="W960" s="703"/>
      <c r="X960" s="703"/>
      <c r="Y960" s="703"/>
      <c r="Z960" s="703"/>
    </row>
    <row r="961">
      <c r="A961" s="703"/>
      <c r="B961" s="703"/>
      <c r="C961" s="703"/>
      <c r="D961" s="703"/>
      <c r="E961" s="703"/>
      <c r="F961" s="703"/>
      <c r="G961" s="703"/>
      <c r="H961" s="703"/>
      <c r="I961" s="703"/>
      <c r="J961" s="703"/>
      <c r="K961" s="703"/>
      <c r="L961" s="703"/>
      <c r="M961" s="703"/>
      <c r="N961" s="703"/>
      <c r="O961" s="703"/>
      <c r="P961" s="703"/>
      <c r="Q961" s="703"/>
      <c r="R961" s="703"/>
      <c r="S961" s="703"/>
      <c r="T961" s="703"/>
      <c r="U961" s="703"/>
      <c r="V961" s="703"/>
      <c r="W961" s="703"/>
      <c r="X961" s="703"/>
      <c r="Y961" s="703"/>
      <c r="Z961" s="703"/>
    </row>
    <row r="962">
      <c r="A962" s="703"/>
      <c r="B962" s="703"/>
      <c r="C962" s="703"/>
      <c r="D962" s="703"/>
      <c r="E962" s="703"/>
      <c r="F962" s="703"/>
      <c r="G962" s="703"/>
      <c r="H962" s="703"/>
      <c r="I962" s="703"/>
      <c r="J962" s="703"/>
      <c r="K962" s="703"/>
      <c r="L962" s="703"/>
      <c r="M962" s="703"/>
      <c r="N962" s="703"/>
      <c r="O962" s="703"/>
      <c r="P962" s="703"/>
      <c r="Q962" s="703"/>
      <c r="R962" s="703"/>
      <c r="S962" s="703"/>
      <c r="T962" s="703"/>
      <c r="U962" s="703"/>
      <c r="V962" s="703"/>
      <c r="W962" s="703"/>
      <c r="X962" s="703"/>
      <c r="Y962" s="703"/>
      <c r="Z962" s="703"/>
    </row>
    <row r="963">
      <c r="A963" s="703"/>
      <c r="B963" s="703"/>
      <c r="C963" s="703"/>
      <c r="D963" s="703"/>
      <c r="E963" s="703"/>
      <c r="F963" s="703"/>
      <c r="G963" s="703"/>
      <c r="H963" s="703"/>
      <c r="I963" s="703"/>
      <c r="J963" s="703"/>
      <c r="K963" s="703"/>
      <c r="L963" s="703"/>
      <c r="M963" s="703"/>
      <c r="N963" s="703"/>
      <c r="O963" s="703"/>
      <c r="P963" s="703"/>
      <c r="Q963" s="703"/>
      <c r="R963" s="703"/>
      <c r="S963" s="703"/>
      <c r="T963" s="703"/>
      <c r="U963" s="703"/>
      <c r="V963" s="703"/>
      <c r="W963" s="703"/>
      <c r="X963" s="703"/>
      <c r="Y963" s="703"/>
      <c r="Z963" s="703"/>
    </row>
    <row r="964">
      <c r="A964" s="703"/>
      <c r="B964" s="703"/>
      <c r="C964" s="703"/>
      <c r="D964" s="703"/>
      <c r="E964" s="703"/>
      <c r="F964" s="703"/>
      <c r="G964" s="703"/>
      <c r="H964" s="703"/>
      <c r="I964" s="703"/>
      <c r="J964" s="703"/>
      <c r="K964" s="703"/>
      <c r="L964" s="703"/>
      <c r="M964" s="703"/>
      <c r="N964" s="703"/>
      <c r="O964" s="703"/>
      <c r="P964" s="703"/>
      <c r="Q964" s="703"/>
      <c r="R964" s="703"/>
      <c r="S964" s="703"/>
      <c r="T964" s="703"/>
      <c r="U964" s="703"/>
      <c r="V964" s="703"/>
      <c r="W964" s="703"/>
      <c r="X964" s="703"/>
      <c r="Y964" s="703"/>
      <c r="Z964" s="703"/>
    </row>
    <row r="965">
      <c r="A965" s="703"/>
      <c r="B965" s="703"/>
      <c r="C965" s="703"/>
      <c r="D965" s="703"/>
      <c r="E965" s="703"/>
      <c r="F965" s="703"/>
      <c r="G965" s="703"/>
      <c r="H965" s="703"/>
      <c r="I965" s="703"/>
      <c r="J965" s="703"/>
      <c r="K965" s="703"/>
      <c r="L965" s="703"/>
      <c r="M965" s="703"/>
      <c r="N965" s="703"/>
      <c r="O965" s="703"/>
      <c r="P965" s="703"/>
      <c r="Q965" s="703"/>
      <c r="R965" s="703"/>
      <c r="S965" s="703"/>
      <c r="T965" s="703"/>
      <c r="U965" s="703"/>
      <c r="V965" s="703"/>
      <c r="W965" s="703"/>
      <c r="X965" s="703"/>
      <c r="Y965" s="703"/>
      <c r="Z965" s="703"/>
    </row>
    <row r="966">
      <c r="A966" s="703"/>
      <c r="B966" s="703"/>
      <c r="C966" s="703"/>
      <c r="D966" s="703"/>
      <c r="E966" s="703"/>
      <c r="F966" s="703"/>
      <c r="G966" s="703"/>
      <c r="H966" s="703"/>
      <c r="I966" s="703"/>
      <c r="J966" s="703"/>
      <c r="K966" s="703"/>
      <c r="L966" s="703"/>
      <c r="M966" s="703"/>
      <c r="N966" s="703"/>
      <c r="O966" s="703"/>
      <c r="P966" s="703"/>
      <c r="Q966" s="703"/>
      <c r="R966" s="703"/>
      <c r="S966" s="703"/>
      <c r="T966" s="703"/>
      <c r="U966" s="703"/>
      <c r="V966" s="703"/>
      <c r="W966" s="703"/>
      <c r="X966" s="703"/>
      <c r="Y966" s="703"/>
      <c r="Z966" s="703"/>
    </row>
    <row r="967">
      <c r="A967" s="703"/>
      <c r="B967" s="703"/>
      <c r="C967" s="703"/>
      <c r="D967" s="703"/>
      <c r="E967" s="703"/>
      <c r="F967" s="703"/>
      <c r="G967" s="703"/>
      <c r="H967" s="703"/>
      <c r="I967" s="703"/>
      <c r="J967" s="703"/>
      <c r="K967" s="703"/>
      <c r="L967" s="703"/>
      <c r="M967" s="703"/>
      <c r="N967" s="703"/>
      <c r="O967" s="703"/>
      <c r="P967" s="703"/>
      <c r="Q967" s="703"/>
      <c r="R967" s="703"/>
      <c r="S967" s="703"/>
      <c r="T967" s="703"/>
      <c r="U967" s="703"/>
      <c r="V967" s="703"/>
      <c r="W967" s="703"/>
      <c r="X967" s="703"/>
      <c r="Y967" s="703"/>
      <c r="Z967" s="703"/>
    </row>
    <row r="968">
      <c r="A968" s="703"/>
      <c r="B968" s="703"/>
      <c r="C968" s="703"/>
      <c r="D968" s="703"/>
      <c r="E968" s="703"/>
      <c r="F968" s="703"/>
      <c r="G968" s="703"/>
      <c r="H968" s="703"/>
      <c r="I968" s="703"/>
      <c r="J968" s="703"/>
      <c r="K968" s="703"/>
      <c r="L968" s="703"/>
      <c r="M968" s="703"/>
      <c r="N968" s="703"/>
      <c r="O968" s="703"/>
      <c r="P968" s="703"/>
      <c r="Q968" s="703"/>
      <c r="R968" s="703"/>
      <c r="S968" s="703"/>
      <c r="T968" s="703"/>
      <c r="U968" s="703"/>
      <c r="V968" s="703"/>
      <c r="W968" s="703"/>
      <c r="X968" s="703"/>
      <c r="Y968" s="703"/>
      <c r="Z968" s="703"/>
    </row>
    <row r="969">
      <c r="A969" s="703"/>
      <c r="B969" s="703"/>
      <c r="C969" s="703"/>
      <c r="D969" s="703"/>
      <c r="E969" s="703"/>
      <c r="F969" s="703"/>
      <c r="G969" s="703"/>
      <c r="H969" s="703"/>
      <c r="I969" s="703"/>
      <c r="J969" s="703"/>
      <c r="K969" s="703"/>
      <c r="L969" s="703"/>
      <c r="M969" s="703"/>
      <c r="N969" s="703"/>
      <c r="O969" s="703"/>
      <c r="P969" s="703"/>
      <c r="Q969" s="703"/>
      <c r="R969" s="703"/>
      <c r="S969" s="703"/>
      <c r="T969" s="703"/>
      <c r="U969" s="703"/>
      <c r="V969" s="703"/>
      <c r="W969" s="703"/>
      <c r="X969" s="703"/>
      <c r="Y969" s="703"/>
      <c r="Z969" s="703"/>
    </row>
    <row r="970">
      <c r="A970" s="703"/>
      <c r="B970" s="703"/>
      <c r="C970" s="703"/>
      <c r="D970" s="703"/>
      <c r="E970" s="703"/>
      <c r="F970" s="703"/>
      <c r="G970" s="703"/>
      <c r="H970" s="703"/>
      <c r="I970" s="703"/>
      <c r="J970" s="703"/>
      <c r="K970" s="703"/>
      <c r="L970" s="703"/>
      <c r="M970" s="703"/>
      <c r="N970" s="703"/>
      <c r="O970" s="703"/>
      <c r="P970" s="703"/>
      <c r="Q970" s="703"/>
      <c r="R970" s="703"/>
      <c r="S970" s="703"/>
      <c r="T970" s="703"/>
      <c r="U970" s="703"/>
      <c r="V970" s="703"/>
      <c r="W970" s="703"/>
      <c r="X970" s="703"/>
      <c r="Y970" s="703"/>
      <c r="Z970" s="703"/>
    </row>
    <row r="971">
      <c r="A971" s="703"/>
      <c r="B971" s="703"/>
      <c r="C971" s="703"/>
      <c r="D971" s="703"/>
      <c r="E971" s="703"/>
      <c r="F971" s="703"/>
      <c r="G971" s="703"/>
      <c r="H971" s="703"/>
      <c r="I971" s="703"/>
      <c r="J971" s="703"/>
      <c r="K971" s="703"/>
      <c r="L971" s="703"/>
      <c r="M971" s="703"/>
      <c r="N971" s="703"/>
      <c r="O971" s="703"/>
      <c r="P971" s="703"/>
      <c r="Q971" s="703"/>
      <c r="R971" s="703"/>
      <c r="S971" s="703"/>
      <c r="T971" s="703"/>
      <c r="U971" s="703"/>
      <c r="V971" s="703"/>
      <c r="W971" s="703"/>
      <c r="X971" s="703"/>
      <c r="Y971" s="703"/>
      <c r="Z971" s="703"/>
    </row>
    <row r="972">
      <c r="A972" s="703"/>
      <c r="B972" s="703"/>
      <c r="C972" s="703"/>
      <c r="D972" s="703"/>
      <c r="E972" s="703"/>
      <c r="F972" s="703"/>
      <c r="G972" s="703"/>
      <c r="H972" s="703"/>
      <c r="I972" s="703"/>
      <c r="J972" s="703"/>
      <c r="K972" s="703"/>
      <c r="L972" s="703"/>
      <c r="M972" s="703"/>
      <c r="N972" s="703"/>
      <c r="O972" s="703"/>
      <c r="P972" s="703"/>
      <c r="Q972" s="703"/>
      <c r="R972" s="703"/>
      <c r="S972" s="703"/>
      <c r="T972" s="703"/>
      <c r="U972" s="703"/>
      <c r="V972" s="703"/>
      <c r="W972" s="703"/>
      <c r="X972" s="703"/>
      <c r="Y972" s="703"/>
      <c r="Z972" s="703"/>
    </row>
    <row r="973">
      <c r="A973" s="703"/>
      <c r="B973" s="703"/>
      <c r="C973" s="703"/>
      <c r="D973" s="703"/>
      <c r="E973" s="703"/>
      <c r="F973" s="703"/>
      <c r="G973" s="703"/>
      <c r="H973" s="703"/>
      <c r="I973" s="703"/>
      <c r="J973" s="703"/>
      <c r="K973" s="703"/>
      <c r="L973" s="703"/>
      <c r="M973" s="703"/>
      <c r="N973" s="703"/>
      <c r="O973" s="703"/>
      <c r="P973" s="703"/>
      <c r="Q973" s="703"/>
      <c r="R973" s="703"/>
      <c r="S973" s="703"/>
      <c r="T973" s="703"/>
      <c r="U973" s="703"/>
      <c r="V973" s="703"/>
      <c r="W973" s="703"/>
      <c r="X973" s="703"/>
      <c r="Y973" s="703"/>
      <c r="Z973" s="703"/>
    </row>
    <row r="974">
      <c r="A974" s="703"/>
      <c r="B974" s="703"/>
      <c r="C974" s="703"/>
      <c r="D974" s="703"/>
      <c r="E974" s="703"/>
      <c r="F974" s="703"/>
      <c r="G974" s="703"/>
      <c r="H974" s="703"/>
      <c r="I974" s="703"/>
      <c r="J974" s="703"/>
      <c r="K974" s="703"/>
      <c r="L974" s="703"/>
      <c r="M974" s="703"/>
      <c r="N974" s="703"/>
      <c r="O974" s="703"/>
      <c r="P974" s="703"/>
      <c r="Q974" s="703"/>
      <c r="R974" s="703"/>
      <c r="S974" s="703"/>
      <c r="T974" s="703"/>
      <c r="U974" s="703"/>
      <c r="V974" s="703"/>
      <c r="W974" s="703"/>
      <c r="X974" s="703"/>
      <c r="Y974" s="703"/>
      <c r="Z974" s="703"/>
    </row>
    <row r="975">
      <c r="A975" s="703"/>
      <c r="B975" s="703"/>
      <c r="C975" s="703"/>
      <c r="D975" s="703"/>
      <c r="E975" s="703"/>
      <c r="F975" s="703"/>
      <c r="G975" s="703"/>
      <c r="H975" s="703"/>
      <c r="I975" s="703"/>
      <c r="J975" s="703"/>
      <c r="K975" s="703"/>
      <c r="L975" s="703"/>
      <c r="M975" s="703"/>
      <c r="N975" s="703"/>
      <c r="O975" s="703"/>
      <c r="P975" s="703"/>
      <c r="Q975" s="703"/>
      <c r="R975" s="703"/>
      <c r="S975" s="703"/>
      <c r="T975" s="703"/>
      <c r="U975" s="703"/>
      <c r="V975" s="703"/>
      <c r="W975" s="703"/>
      <c r="X975" s="703"/>
      <c r="Y975" s="703"/>
      <c r="Z975" s="703"/>
    </row>
    <row r="976">
      <c r="A976" s="703"/>
      <c r="B976" s="703"/>
      <c r="C976" s="703"/>
      <c r="D976" s="703"/>
      <c r="E976" s="703"/>
      <c r="F976" s="703"/>
      <c r="G976" s="703"/>
      <c r="H976" s="703"/>
      <c r="I976" s="703"/>
      <c r="J976" s="703"/>
      <c r="K976" s="703"/>
      <c r="L976" s="703"/>
      <c r="M976" s="703"/>
      <c r="N976" s="703"/>
      <c r="O976" s="703"/>
      <c r="P976" s="703"/>
      <c r="Q976" s="703"/>
      <c r="R976" s="703"/>
      <c r="S976" s="703"/>
      <c r="T976" s="703"/>
      <c r="U976" s="703"/>
      <c r="V976" s="703"/>
      <c r="W976" s="703"/>
      <c r="X976" s="703"/>
      <c r="Y976" s="703"/>
      <c r="Z976" s="703"/>
    </row>
    <row r="977">
      <c r="A977" s="703"/>
      <c r="B977" s="703"/>
      <c r="C977" s="703"/>
      <c r="D977" s="703"/>
      <c r="E977" s="703"/>
      <c r="F977" s="703"/>
      <c r="G977" s="703"/>
      <c r="H977" s="703"/>
      <c r="I977" s="703"/>
      <c r="J977" s="703"/>
      <c r="K977" s="703"/>
      <c r="L977" s="703"/>
      <c r="M977" s="703"/>
      <c r="N977" s="703"/>
      <c r="O977" s="703"/>
      <c r="P977" s="703"/>
      <c r="Q977" s="703"/>
      <c r="R977" s="703"/>
      <c r="S977" s="703"/>
      <c r="T977" s="703"/>
      <c r="U977" s="703"/>
      <c r="V977" s="703"/>
      <c r="W977" s="703"/>
      <c r="X977" s="703"/>
      <c r="Y977" s="703"/>
      <c r="Z977" s="703"/>
    </row>
    <row r="978">
      <c r="A978" s="703"/>
      <c r="B978" s="703"/>
      <c r="C978" s="703"/>
      <c r="D978" s="703"/>
      <c r="E978" s="703"/>
      <c r="F978" s="703"/>
      <c r="G978" s="703"/>
      <c r="H978" s="703"/>
      <c r="I978" s="703"/>
      <c r="J978" s="703"/>
      <c r="K978" s="703"/>
      <c r="L978" s="703"/>
      <c r="M978" s="703"/>
      <c r="N978" s="703"/>
      <c r="O978" s="703"/>
      <c r="P978" s="703"/>
      <c r="Q978" s="703"/>
      <c r="R978" s="703"/>
      <c r="S978" s="703"/>
      <c r="T978" s="703"/>
      <c r="U978" s="703"/>
      <c r="V978" s="703"/>
      <c r="W978" s="703"/>
      <c r="X978" s="703"/>
      <c r="Y978" s="703"/>
      <c r="Z978" s="703"/>
    </row>
    <row r="979">
      <c r="A979" s="703"/>
      <c r="B979" s="703"/>
      <c r="C979" s="703"/>
      <c r="D979" s="703"/>
      <c r="E979" s="703"/>
      <c r="F979" s="703"/>
      <c r="G979" s="703"/>
      <c r="H979" s="703"/>
      <c r="I979" s="703"/>
      <c r="J979" s="703"/>
      <c r="K979" s="703"/>
      <c r="L979" s="703"/>
      <c r="M979" s="703"/>
      <c r="N979" s="703"/>
      <c r="O979" s="703"/>
      <c r="P979" s="703"/>
      <c r="Q979" s="703"/>
      <c r="R979" s="703"/>
      <c r="S979" s="703"/>
      <c r="T979" s="703"/>
      <c r="U979" s="703"/>
      <c r="V979" s="703"/>
      <c r="W979" s="703"/>
      <c r="X979" s="703"/>
      <c r="Y979" s="703"/>
      <c r="Z979" s="703"/>
    </row>
    <row r="980">
      <c r="A980" s="703"/>
      <c r="B980" s="703"/>
      <c r="C980" s="703"/>
      <c r="D980" s="703"/>
      <c r="E980" s="703"/>
      <c r="F980" s="703"/>
      <c r="G980" s="703"/>
      <c r="H980" s="703"/>
      <c r="I980" s="703"/>
      <c r="J980" s="703"/>
      <c r="K980" s="703"/>
      <c r="L980" s="703"/>
      <c r="M980" s="703"/>
      <c r="N980" s="703"/>
      <c r="O980" s="703"/>
      <c r="P980" s="703"/>
      <c r="Q980" s="703"/>
      <c r="R980" s="703"/>
      <c r="S980" s="703"/>
      <c r="T980" s="703"/>
      <c r="U980" s="703"/>
      <c r="V980" s="703"/>
      <c r="W980" s="703"/>
      <c r="X980" s="703"/>
      <c r="Y980" s="703"/>
      <c r="Z980" s="703"/>
    </row>
    <row r="981">
      <c r="A981" s="703"/>
      <c r="B981" s="703"/>
      <c r="C981" s="703"/>
      <c r="D981" s="703"/>
      <c r="E981" s="703"/>
      <c r="F981" s="703"/>
      <c r="G981" s="703"/>
      <c r="H981" s="703"/>
      <c r="I981" s="703"/>
      <c r="J981" s="703"/>
      <c r="K981" s="703"/>
      <c r="L981" s="703"/>
      <c r="M981" s="703"/>
      <c r="N981" s="703"/>
      <c r="O981" s="703"/>
      <c r="P981" s="703"/>
      <c r="Q981" s="703"/>
      <c r="R981" s="703"/>
      <c r="S981" s="703"/>
      <c r="T981" s="703"/>
      <c r="U981" s="703"/>
      <c r="V981" s="703"/>
      <c r="W981" s="703"/>
      <c r="X981" s="703"/>
      <c r="Y981" s="703"/>
      <c r="Z981" s="703"/>
    </row>
    <row r="982">
      <c r="A982" s="703"/>
      <c r="B982" s="703"/>
      <c r="C982" s="703"/>
      <c r="D982" s="703"/>
      <c r="E982" s="703"/>
      <c r="F982" s="703"/>
      <c r="G982" s="703"/>
      <c r="H982" s="703"/>
      <c r="I982" s="703"/>
      <c r="J982" s="703"/>
      <c r="K982" s="703"/>
      <c r="L982" s="703"/>
      <c r="M982" s="703"/>
      <c r="N982" s="703"/>
      <c r="O982" s="703"/>
      <c r="P982" s="703"/>
      <c r="Q982" s="703"/>
      <c r="R982" s="703"/>
      <c r="S982" s="703"/>
      <c r="T982" s="703"/>
      <c r="U982" s="703"/>
      <c r="V982" s="703"/>
      <c r="W982" s="703"/>
      <c r="X982" s="703"/>
      <c r="Y982" s="703"/>
      <c r="Z982" s="703"/>
    </row>
    <row r="983">
      <c r="A983" s="703"/>
      <c r="B983" s="703"/>
      <c r="C983" s="703"/>
      <c r="D983" s="703"/>
      <c r="E983" s="703"/>
      <c r="F983" s="703"/>
      <c r="G983" s="703"/>
      <c r="H983" s="703"/>
      <c r="I983" s="703"/>
      <c r="J983" s="703"/>
      <c r="K983" s="703"/>
      <c r="L983" s="703"/>
      <c r="M983" s="703"/>
      <c r="N983" s="703"/>
      <c r="O983" s="703"/>
      <c r="P983" s="703"/>
      <c r="Q983" s="703"/>
      <c r="R983" s="703"/>
      <c r="S983" s="703"/>
      <c r="T983" s="703"/>
      <c r="U983" s="703"/>
      <c r="V983" s="703"/>
      <c r="W983" s="703"/>
      <c r="X983" s="703"/>
      <c r="Y983" s="703"/>
      <c r="Z983" s="703"/>
    </row>
    <row r="984">
      <c r="A984" s="703"/>
      <c r="B984" s="703"/>
      <c r="C984" s="703"/>
      <c r="D984" s="703"/>
      <c r="E984" s="703"/>
      <c r="F984" s="703"/>
      <c r="G984" s="703"/>
      <c r="H984" s="703"/>
      <c r="I984" s="703"/>
      <c r="J984" s="703"/>
      <c r="K984" s="703"/>
      <c r="L984" s="703"/>
      <c r="M984" s="703"/>
      <c r="N984" s="703"/>
      <c r="O984" s="703"/>
      <c r="P984" s="703"/>
      <c r="Q984" s="703"/>
      <c r="R984" s="703"/>
      <c r="S984" s="703"/>
      <c r="T984" s="703"/>
      <c r="U984" s="703"/>
      <c r="V984" s="703"/>
      <c r="W984" s="703"/>
      <c r="X984" s="703"/>
      <c r="Y984" s="703"/>
      <c r="Z984" s="703"/>
    </row>
    <row r="985">
      <c r="A985" s="703"/>
      <c r="B985" s="703"/>
      <c r="C985" s="703"/>
      <c r="D985" s="703"/>
      <c r="E985" s="703"/>
      <c r="F985" s="703"/>
      <c r="G985" s="703"/>
      <c r="H985" s="703"/>
      <c r="I985" s="703"/>
      <c r="J985" s="703"/>
      <c r="K985" s="703"/>
      <c r="L985" s="703"/>
      <c r="M985" s="703"/>
      <c r="N985" s="703"/>
      <c r="O985" s="703"/>
      <c r="P985" s="703"/>
      <c r="Q985" s="703"/>
      <c r="R985" s="703"/>
      <c r="S985" s="703"/>
      <c r="T985" s="703"/>
      <c r="U985" s="703"/>
      <c r="V985" s="703"/>
      <c r="W985" s="703"/>
      <c r="X985" s="703"/>
      <c r="Y985" s="703"/>
      <c r="Z985" s="703"/>
    </row>
    <row r="986">
      <c r="A986" s="703"/>
      <c r="B986" s="703"/>
      <c r="C986" s="703"/>
      <c r="D986" s="703"/>
      <c r="E986" s="703"/>
      <c r="F986" s="703"/>
      <c r="G986" s="703"/>
      <c r="H986" s="703"/>
      <c r="I986" s="703"/>
      <c r="J986" s="703"/>
      <c r="K986" s="703"/>
      <c r="L986" s="703"/>
      <c r="M986" s="703"/>
      <c r="N986" s="703"/>
      <c r="O986" s="703"/>
      <c r="P986" s="703"/>
      <c r="Q986" s="703"/>
      <c r="R986" s="703"/>
      <c r="S986" s="703"/>
      <c r="T986" s="703"/>
      <c r="U986" s="703"/>
      <c r="V986" s="703"/>
      <c r="W986" s="703"/>
      <c r="X986" s="703"/>
      <c r="Y986" s="703"/>
      <c r="Z986" s="703"/>
    </row>
    <row r="987">
      <c r="A987" s="703"/>
      <c r="B987" s="703"/>
      <c r="C987" s="703"/>
      <c r="D987" s="703"/>
      <c r="E987" s="703"/>
      <c r="F987" s="703"/>
      <c r="G987" s="703"/>
      <c r="H987" s="703"/>
      <c r="I987" s="703"/>
      <c r="J987" s="703"/>
      <c r="K987" s="703"/>
      <c r="L987" s="703"/>
      <c r="M987" s="703"/>
      <c r="N987" s="703"/>
      <c r="O987" s="703"/>
      <c r="P987" s="703"/>
      <c r="Q987" s="703"/>
      <c r="R987" s="703"/>
      <c r="S987" s="703"/>
      <c r="T987" s="703"/>
      <c r="U987" s="703"/>
      <c r="V987" s="703"/>
      <c r="W987" s="703"/>
      <c r="X987" s="703"/>
      <c r="Y987" s="703"/>
      <c r="Z987" s="703"/>
    </row>
    <row r="988">
      <c r="A988" s="703"/>
      <c r="B988" s="703"/>
      <c r="C988" s="703"/>
      <c r="D988" s="703"/>
      <c r="E988" s="703"/>
      <c r="F988" s="703"/>
      <c r="G988" s="703"/>
      <c r="H988" s="703"/>
      <c r="I988" s="703"/>
      <c r="J988" s="703"/>
      <c r="K988" s="703"/>
      <c r="L988" s="703"/>
      <c r="M988" s="703"/>
      <c r="N988" s="703"/>
      <c r="O988" s="703"/>
      <c r="P988" s="703"/>
      <c r="Q988" s="703"/>
      <c r="R988" s="703"/>
      <c r="S988" s="703"/>
      <c r="T988" s="703"/>
      <c r="U988" s="703"/>
      <c r="V988" s="703"/>
      <c r="W988" s="703"/>
      <c r="X988" s="703"/>
      <c r="Y988" s="703"/>
      <c r="Z988" s="703"/>
    </row>
    <row r="989">
      <c r="A989" s="703"/>
      <c r="B989" s="703"/>
      <c r="C989" s="703"/>
      <c r="D989" s="703"/>
      <c r="E989" s="703"/>
      <c r="F989" s="703"/>
      <c r="G989" s="703"/>
      <c r="H989" s="703"/>
      <c r="I989" s="703"/>
      <c r="J989" s="703"/>
      <c r="K989" s="703"/>
      <c r="L989" s="703"/>
      <c r="M989" s="703"/>
      <c r="N989" s="703"/>
      <c r="O989" s="703"/>
      <c r="P989" s="703"/>
      <c r="Q989" s="703"/>
      <c r="R989" s="703"/>
      <c r="S989" s="703"/>
      <c r="T989" s="703"/>
      <c r="U989" s="703"/>
      <c r="V989" s="703"/>
      <c r="W989" s="703"/>
      <c r="X989" s="703"/>
      <c r="Y989" s="703"/>
      <c r="Z989" s="703"/>
    </row>
    <row r="990">
      <c r="A990" s="703"/>
      <c r="B990" s="703"/>
      <c r="C990" s="703"/>
      <c r="D990" s="703"/>
      <c r="E990" s="703"/>
      <c r="F990" s="703"/>
      <c r="G990" s="703"/>
      <c r="H990" s="703"/>
      <c r="I990" s="703"/>
      <c r="J990" s="703"/>
      <c r="K990" s="703"/>
      <c r="L990" s="703"/>
      <c r="M990" s="703"/>
      <c r="N990" s="703"/>
      <c r="O990" s="703"/>
      <c r="P990" s="703"/>
      <c r="Q990" s="703"/>
      <c r="R990" s="703"/>
      <c r="S990" s="703"/>
      <c r="T990" s="703"/>
      <c r="U990" s="703"/>
      <c r="V990" s="703"/>
      <c r="W990" s="703"/>
      <c r="X990" s="703"/>
      <c r="Y990" s="703"/>
      <c r="Z990" s="703"/>
    </row>
    <row r="991">
      <c r="A991" s="703"/>
      <c r="B991" s="703"/>
      <c r="C991" s="703"/>
      <c r="D991" s="703"/>
      <c r="E991" s="703"/>
      <c r="F991" s="703"/>
      <c r="G991" s="703"/>
      <c r="H991" s="703"/>
      <c r="I991" s="703"/>
      <c r="J991" s="703"/>
      <c r="K991" s="703"/>
      <c r="L991" s="703"/>
      <c r="M991" s="703"/>
      <c r="N991" s="703"/>
      <c r="O991" s="703"/>
      <c r="P991" s="703"/>
      <c r="Q991" s="703"/>
      <c r="R991" s="703"/>
      <c r="S991" s="703"/>
      <c r="T991" s="703"/>
      <c r="U991" s="703"/>
      <c r="V991" s="703"/>
      <c r="W991" s="703"/>
      <c r="X991" s="703"/>
      <c r="Y991" s="703"/>
      <c r="Z991" s="703"/>
    </row>
    <row r="992">
      <c r="A992" s="703"/>
      <c r="B992" s="703"/>
      <c r="C992" s="703"/>
      <c r="D992" s="703"/>
      <c r="E992" s="703"/>
      <c r="F992" s="703"/>
      <c r="G992" s="703"/>
      <c r="H992" s="703"/>
      <c r="I992" s="703"/>
      <c r="J992" s="703"/>
      <c r="K992" s="703"/>
      <c r="L992" s="703"/>
      <c r="M992" s="703"/>
      <c r="N992" s="703"/>
      <c r="O992" s="703"/>
      <c r="P992" s="703"/>
      <c r="Q992" s="703"/>
      <c r="R992" s="703"/>
      <c r="S992" s="703"/>
      <c r="T992" s="703"/>
      <c r="U992" s="703"/>
      <c r="V992" s="703"/>
      <c r="W992" s="703"/>
      <c r="X992" s="703"/>
      <c r="Y992" s="703"/>
      <c r="Z992" s="703"/>
    </row>
    <row r="993">
      <c r="A993" s="703"/>
      <c r="B993" s="703"/>
      <c r="C993" s="703"/>
      <c r="D993" s="703"/>
      <c r="E993" s="703"/>
      <c r="F993" s="703"/>
      <c r="G993" s="703"/>
      <c r="H993" s="703"/>
      <c r="I993" s="703"/>
      <c r="J993" s="703"/>
      <c r="K993" s="703"/>
      <c r="L993" s="703"/>
      <c r="M993" s="703"/>
      <c r="N993" s="703"/>
      <c r="O993" s="703"/>
      <c r="P993" s="703"/>
      <c r="Q993" s="703"/>
      <c r="R993" s="703"/>
      <c r="S993" s="703"/>
      <c r="T993" s="703"/>
      <c r="U993" s="703"/>
      <c r="V993" s="703"/>
      <c r="W993" s="703"/>
      <c r="X993" s="703"/>
      <c r="Y993" s="703"/>
      <c r="Z993" s="703"/>
    </row>
    <row r="994">
      <c r="A994" s="703"/>
      <c r="B994" s="703"/>
      <c r="C994" s="703"/>
      <c r="D994" s="703"/>
      <c r="E994" s="703"/>
      <c r="F994" s="703"/>
      <c r="G994" s="703"/>
      <c r="H994" s="703"/>
      <c r="I994" s="703"/>
      <c r="J994" s="703"/>
      <c r="K994" s="703"/>
      <c r="L994" s="703"/>
      <c r="M994" s="703"/>
      <c r="N994" s="703"/>
      <c r="O994" s="703"/>
      <c r="P994" s="703"/>
      <c r="Q994" s="703"/>
      <c r="R994" s="703"/>
      <c r="S994" s="703"/>
      <c r="T994" s="703"/>
      <c r="U994" s="703"/>
      <c r="V994" s="703"/>
      <c r="W994" s="703"/>
      <c r="X994" s="703"/>
      <c r="Y994" s="703"/>
      <c r="Z994" s="703"/>
    </row>
    <row r="995">
      <c r="A995" s="703"/>
      <c r="B995" s="703"/>
      <c r="C995" s="703"/>
      <c r="D995" s="703"/>
      <c r="E995" s="703"/>
      <c r="F995" s="703"/>
      <c r="G995" s="703"/>
      <c r="H995" s="703"/>
      <c r="I995" s="703"/>
      <c r="J995" s="703"/>
      <c r="K995" s="703"/>
      <c r="L995" s="703"/>
      <c r="M995" s="703"/>
      <c r="N995" s="703"/>
      <c r="O995" s="703"/>
      <c r="P995" s="703"/>
      <c r="Q995" s="703"/>
      <c r="R995" s="703"/>
      <c r="S995" s="703"/>
      <c r="T995" s="703"/>
      <c r="U995" s="703"/>
      <c r="V995" s="703"/>
      <c r="W995" s="703"/>
      <c r="X995" s="703"/>
      <c r="Y995" s="703"/>
      <c r="Z995" s="703"/>
    </row>
    <row r="996">
      <c r="A996" s="703"/>
      <c r="B996" s="703"/>
      <c r="C996" s="703"/>
      <c r="D996" s="703"/>
      <c r="E996" s="703"/>
      <c r="F996" s="703"/>
      <c r="G996" s="703"/>
      <c r="H996" s="703"/>
      <c r="I996" s="703"/>
      <c r="J996" s="703"/>
      <c r="K996" s="703"/>
      <c r="L996" s="703"/>
      <c r="M996" s="703"/>
      <c r="N996" s="703"/>
      <c r="O996" s="703"/>
      <c r="P996" s="703"/>
      <c r="Q996" s="703"/>
      <c r="R996" s="703"/>
      <c r="S996" s="703"/>
      <c r="T996" s="703"/>
      <c r="U996" s="703"/>
      <c r="V996" s="703"/>
      <c r="W996" s="703"/>
      <c r="X996" s="703"/>
      <c r="Y996" s="703"/>
      <c r="Z996" s="703"/>
    </row>
    <row r="997">
      <c r="A997" s="703"/>
      <c r="B997" s="703"/>
      <c r="C997" s="703"/>
      <c r="D997" s="703"/>
      <c r="E997" s="703"/>
      <c r="F997" s="703"/>
      <c r="G997" s="703"/>
      <c r="H997" s="703"/>
      <c r="I997" s="703"/>
      <c r="J997" s="703"/>
      <c r="K997" s="703"/>
      <c r="L997" s="703"/>
      <c r="M997" s="703"/>
      <c r="N997" s="703"/>
      <c r="O997" s="703"/>
      <c r="P997" s="703"/>
      <c r="Q997" s="703"/>
      <c r="R997" s="703"/>
      <c r="S997" s="703"/>
      <c r="T997" s="703"/>
      <c r="U997" s="703"/>
      <c r="V997" s="703"/>
      <c r="W997" s="703"/>
      <c r="X997" s="703"/>
      <c r="Y997" s="703"/>
      <c r="Z997" s="703"/>
    </row>
    <row r="998">
      <c r="A998" s="703"/>
      <c r="B998" s="703"/>
      <c r="C998" s="703"/>
      <c r="D998" s="703"/>
      <c r="E998" s="703"/>
      <c r="F998" s="703"/>
      <c r="G998" s="703"/>
      <c r="H998" s="703"/>
      <c r="I998" s="703"/>
      <c r="J998" s="703"/>
      <c r="K998" s="703"/>
      <c r="L998" s="703"/>
      <c r="M998" s="703"/>
      <c r="N998" s="703"/>
      <c r="O998" s="703"/>
      <c r="P998" s="703"/>
      <c r="Q998" s="703"/>
      <c r="R998" s="703"/>
      <c r="S998" s="703"/>
      <c r="T998" s="703"/>
      <c r="U998" s="703"/>
      <c r="V998" s="703"/>
      <c r="W998" s="703"/>
      <c r="X998" s="703"/>
      <c r="Y998" s="703"/>
      <c r="Z998" s="703"/>
    </row>
    <row r="999">
      <c r="A999" s="703"/>
      <c r="B999" s="703"/>
      <c r="C999" s="703"/>
      <c r="D999" s="703"/>
      <c r="E999" s="703"/>
      <c r="F999" s="703"/>
      <c r="G999" s="703"/>
      <c r="H999" s="703"/>
      <c r="I999" s="703"/>
      <c r="J999" s="703"/>
      <c r="K999" s="703"/>
      <c r="L999" s="703"/>
      <c r="M999" s="703"/>
      <c r="N999" s="703"/>
      <c r="O999" s="703"/>
      <c r="P999" s="703"/>
      <c r="Q999" s="703"/>
      <c r="R999" s="703"/>
      <c r="S999" s="703"/>
      <c r="T999" s="703"/>
      <c r="U999" s="703"/>
      <c r="V999" s="703"/>
      <c r="W999" s="703"/>
      <c r="X999" s="703"/>
      <c r="Y999" s="703"/>
      <c r="Z999" s="703"/>
    </row>
    <row r="1000">
      <c r="A1000" s="703"/>
      <c r="B1000" s="703"/>
      <c r="C1000" s="703"/>
      <c r="D1000" s="703"/>
      <c r="E1000" s="703"/>
      <c r="F1000" s="703"/>
      <c r="G1000" s="703"/>
      <c r="H1000" s="703"/>
      <c r="I1000" s="703"/>
      <c r="J1000" s="703"/>
      <c r="K1000" s="703"/>
      <c r="L1000" s="703"/>
      <c r="M1000" s="703"/>
      <c r="N1000" s="703"/>
      <c r="O1000" s="703"/>
      <c r="P1000" s="703"/>
      <c r="Q1000" s="703"/>
      <c r="R1000" s="703"/>
      <c r="S1000" s="703"/>
      <c r="T1000" s="703"/>
      <c r="U1000" s="703"/>
      <c r="V1000" s="703"/>
      <c r="W1000" s="703"/>
      <c r="X1000" s="703"/>
      <c r="Y1000" s="703"/>
      <c r="Z1000" s="703"/>
    </row>
    <row r="1001">
      <c r="A1001" s="703"/>
      <c r="B1001" s="703"/>
      <c r="C1001" s="703"/>
      <c r="E1001" s="703"/>
      <c r="F1001" s="703"/>
      <c r="G1001" s="703"/>
      <c r="H1001" s="703"/>
      <c r="I1001" s="703"/>
      <c r="J1001" s="703"/>
      <c r="K1001" s="703"/>
      <c r="L1001" s="703"/>
      <c r="M1001" s="703"/>
      <c r="N1001" s="703"/>
      <c r="O1001" s="703"/>
      <c r="P1001" s="703"/>
      <c r="Q1001" s="703"/>
      <c r="R1001" s="703"/>
      <c r="S1001" s="703"/>
      <c r="T1001" s="703"/>
      <c r="U1001" s="703"/>
      <c r="V1001" s="703"/>
      <c r="W1001" s="703"/>
      <c r="X1001" s="703"/>
      <c r="Y1001" s="703"/>
      <c r="Z1001" s="703"/>
    </row>
  </sheetData>
  <mergeCells count="2">
    <mergeCell ref="A1:C2"/>
    <mergeCell ref="D1:F2"/>
  </mergeCells>
  <drawing r:id="rId1"/>
</worksheet>
</file>

<file path=xl/worksheets/sheet1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3" max="3" width="11.0"/>
    <col customWidth="1" min="4" max="4" width="11.38"/>
    <col customWidth="1" min="5" max="5" width="26.25"/>
  </cols>
  <sheetData>
    <row r="1">
      <c r="A1" s="348" t="s">
        <v>172</v>
      </c>
      <c r="B1" s="348" t="s">
        <v>61</v>
      </c>
      <c r="C1" s="1483" t="s">
        <v>4276</v>
      </c>
      <c r="D1" s="348" t="s">
        <v>4277</v>
      </c>
      <c r="E1" s="1484">
        <v>2022.0</v>
      </c>
      <c r="F1" s="1484"/>
      <c r="G1" s="1485"/>
      <c r="H1" s="1485"/>
      <c r="I1" s="1485"/>
      <c r="J1" s="1485"/>
      <c r="K1" s="1485"/>
      <c r="L1" s="1485"/>
      <c r="M1" s="1485"/>
    </row>
    <row r="2">
      <c r="A2" s="1486" t="s">
        <v>401</v>
      </c>
      <c r="B2" s="1486"/>
      <c r="C2" s="1487">
        <v>3.28239523E8</v>
      </c>
      <c r="D2" s="1488">
        <v>234667.0</v>
      </c>
      <c r="N2" s="1489"/>
      <c r="O2" s="1489"/>
      <c r="P2" s="1489"/>
      <c r="Q2" s="1489"/>
      <c r="R2" s="1489"/>
      <c r="S2" s="1489"/>
      <c r="T2" s="1489"/>
      <c r="U2" s="1489"/>
      <c r="V2" s="1489"/>
      <c r="W2" s="1489"/>
      <c r="X2" s="1489"/>
      <c r="Y2" s="1489"/>
      <c r="Z2" s="1489"/>
    </row>
    <row r="3">
      <c r="A3" s="1490" t="s">
        <v>52</v>
      </c>
      <c r="B3" s="1490" t="s">
        <v>41</v>
      </c>
      <c r="C3" s="1491">
        <v>55601.0</v>
      </c>
      <c r="D3" s="1490">
        <v>73.0</v>
      </c>
      <c r="E3" s="1195" t="s">
        <v>41</v>
      </c>
      <c r="F3" s="1210"/>
      <c r="G3" s="1210"/>
      <c r="H3" s="1492"/>
      <c r="I3" s="1492"/>
      <c r="J3" s="1492"/>
      <c r="K3" s="1492"/>
      <c r="L3" s="1492"/>
      <c r="M3" s="1492"/>
    </row>
    <row r="4">
      <c r="A4" s="1490" t="s">
        <v>58</v>
      </c>
      <c r="B4" s="1490" t="s">
        <v>41</v>
      </c>
      <c r="C4" s="1493">
        <v>218022.0</v>
      </c>
      <c r="D4" s="1490">
        <v>204.0</v>
      </c>
      <c r="E4" s="1195" t="s">
        <v>41</v>
      </c>
      <c r="F4" s="1210"/>
      <c r="G4" s="1210"/>
      <c r="H4" s="1492"/>
      <c r="I4" s="1492"/>
      <c r="J4" s="1492"/>
      <c r="K4" s="1492"/>
      <c r="L4" s="1492"/>
      <c r="M4" s="1492"/>
      <c r="O4" s="1494"/>
    </row>
    <row r="5">
      <c r="A5" s="1490" t="s">
        <v>62</v>
      </c>
      <c r="B5" s="1490" t="s">
        <v>41</v>
      </c>
      <c r="C5" s="1493">
        <v>24881.0</v>
      </c>
      <c r="D5" s="1490">
        <v>60.0</v>
      </c>
      <c r="E5" s="1195" t="s">
        <v>41</v>
      </c>
      <c r="F5" s="1210"/>
      <c r="G5" s="1210"/>
      <c r="H5" s="1492"/>
      <c r="I5" s="1492"/>
      <c r="J5" s="1492"/>
      <c r="K5" s="1492"/>
      <c r="L5" s="1492"/>
      <c r="M5" s="1492"/>
      <c r="O5" s="1494"/>
    </row>
    <row r="6">
      <c r="A6" s="1490" t="s">
        <v>68</v>
      </c>
      <c r="B6" s="1490" t="s">
        <v>41</v>
      </c>
      <c r="C6" s="1493">
        <v>22400.0</v>
      </c>
      <c r="D6" s="1490">
        <v>35.0</v>
      </c>
      <c r="E6" s="1195" t="s">
        <v>41</v>
      </c>
      <c r="F6" s="1210"/>
      <c r="G6" s="1210"/>
      <c r="H6" s="1492"/>
      <c r="I6" s="1492"/>
      <c r="J6" s="1492"/>
      <c r="K6" s="1492"/>
      <c r="L6" s="1492"/>
      <c r="M6" s="1492"/>
      <c r="O6" s="1494"/>
    </row>
    <row r="7">
      <c r="A7" s="1490" t="s">
        <v>77</v>
      </c>
      <c r="B7" s="1490" t="s">
        <v>41</v>
      </c>
      <c r="C7" s="1493">
        <v>57840.0</v>
      </c>
      <c r="D7" s="1490">
        <v>76.0</v>
      </c>
      <c r="E7" s="1195" t="s">
        <v>41</v>
      </c>
      <c r="F7" s="1210"/>
      <c r="G7" s="1210"/>
      <c r="H7" s="1492"/>
      <c r="I7" s="1492"/>
      <c r="J7" s="1492"/>
      <c r="K7" s="1492"/>
      <c r="L7" s="1492"/>
      <c r="M7" s="1492"/>
      <c r="O7" s="1494"/>
    </row>
    <row r="8">
      <c r="A8" s="1490" t="s">
        <v>81</v>
      </c>
      <c r="B8" s="1490" t="s">
        <v>41</v>
      </c>
      <c r="C8" s="1493">
        <v>10138.0</v>
      </c>
      <c r="D8" s="1490">
        <v>24.0</v>
      </c>
      <c r="E8" s="1195" t="s">
        <v>41</v>
      </c>
      <c r="F8" s="1210"/>
      <c r="G8" s="1210"/>
      <c r="H8" s="1492"/>
      <c r="I8" s="1492"/>
      <c r="J8" s="1492"/>
      <c r="K8" s="1492"/>
      <c r="L8" s="1492"/>
      <c r="M8" s="1492"/>
      <c r="O8" s="1494"/>
    </row>
    <row r="9">
      <c r="A9" s="1490" t="s">
        <v>87</v>
      </c>
      <c r="B9" s="1490" t="s">
        <v>41</v>
      </c>
      <c r="C9" s="1493">
        <v>19680.0</v>
      </c>
      <c r="D9" s="1490">
        <v>47.0</v>
      </c>
      <c r="E9" s="1195" t="s">
        <v>41</v>
      </c>
      <c r="F9" s="1210"/>
      <c r="G9" s="1210"/>
      <c r="H9" s="1492"/>
      <c r="I9" s="1492"/>
      <c r="J9" s="1492"/>
      <c r="K9" s="1492"/>
      <c r="L9" s="1492"/>
      <c r="M9" s="1492"/>
      <c r="O9" s="1494"/>
    </row>
    <row r="10">
      <c r="A10" s="1490" t="s">
        <v>93</v>
      </c>
      <c r="B10" s="1490" t="s">
        <v>41</v>
      </c>
      <c r="C10" s="1493">
        <v>114277.0</v>
      </c>
      <c r="D10" s="1490">
        <v>173.0</v>
      </c>
      <c r="E10" s="1195" t="s">
        <v>41</v>
      </c>
      <c r="F10" s="1210"/>
      <c r="G10" s="1210"/>
      <c r="H10" s="1492"/>
      <c r="I10" s="1492"/>
      <c r="J10" s="1492"/>
      <c r="K10" s="1492"/>
      <c r="L10" s="1492"/>
      <c r="M10" s="1492"/>
      <c r="O10" s="1494"/>
    </row>
    <row r="11">
      <c r="A11" s="1490" t="s">
        <v>98</v>
      </c>
      <c r="B11" s="1490" t="s">
        <v>41</v>
      </c>
      <c r="C11" s="1493">
        <v>33615.0</v>
      </c>
      <c r="D11" s="1490">
        <v>98.0</v>
      </c>
      <c r="E11" s="1195" t="s">
        <v>41</v>
      </c>
      <c r="F11" s="1210"/>
      <c r="G11" s="1210"/>
      <c r="H11" s="1492"/>
      <c r="I11" s="1492"/>
      <c r="J11" s="1492"/>
      <c r="K11" s="1492"/>
      <c r="L11" s="1492"/>
      <c r="M11" s="1492"/>
      <c r="O11" s="1494"/>
    </row>
    <row r="12">
      <c r="A12" s="1490" t="s">
        <v>101</v>
      </c>
      <c r="B12" s="1490" t="s">
        <v>41</v>
      </c>
      <c r="C12" s="1493">
        <v>26032.0</v>
      </c>
      <c r="D12" s="1490">
        <v>38.0</v>
      </c>
      <c r="E12" s="1195" t="s">
        <v>41</v>
      </c>
      <c r="F12" s="1210"/>
      <c r="G12" s="1210"/>
      <c r="H12" s="1492"/>
      <c r="I12" s="1492"/>
      <c r="J12" s="1492"/>
      <c r="K12" s="1492"/>
      <c r="L12" s="1492"/>
      <c r="M12" s="1492"/>
      <c r="O12" s="1494"/>
    </row>
    <row r="13">
      <c r="A13" s="1490" t="s">
        <v>104</v>
      </c>
      <c r="B13" s="1490" t="s">
        <v>41</v>
      </c>
      <c r="C13" s="1493">
        <v>44153.0</v>
      </c>
      <c r="D13" s="1490">
        <v>70.0</v>
      </c>
      <c r="E13" s="1195" t="s">
        <v>41</v>
      </c>
      <c r="F13" s="1210"/>
      <c r="G13" s="1210"/>
      <c r="H13" s="1492"/>
      <c r="I13" s="1492"/>
      <c r="J13" s="1492"/>
      <c r="K13" s="1492"/>
      <c r="L13" s="1492"/>
      <c r="M13" s="1492"/>
      <c r="O13" s="1494"/>
    </row>
    <row r="14">
      <c r="A14" s="1490" t="s">
        <v>107</v>
      </c>
      <c r="B14" s="1490" t="s">
        <v>41</v>
      </c>
      <c r="C14" s="1493">
        <v>12841.0</v>
      </c>
      <c r="D14" s="1490">
        <v>68.0</v>
      </c>
      <c r="E14" s="1195" t="s">
        <v>41</v>
      </c>
      <c r="F14" s="1210"/>
      <c r="G14" s="1210"/>
      <c r="H14" s="1492"/>
      <c r="I14" s="1492"/>
      <c r="J14" s="1492"/>
      <c r="K14" s="1492"/>
      <c r="L14" s="1492"/>
      <c r="M14" s="1492"/>
      <c r="O14" s="1494"/>
    </row>
    <row r="15">
      <c r="A15" s="1490" t="s">
        <v>110</v>
      </c>
      <c r="B15" s="1490" t="s">
        <v>41</v>
      </c>
      <c r="C15" s="1493">
        <v>23920.0</v>
      </c>
      <c r="D15" s="1490">
        <v>61.0</v>
      </c>
      <c r="E15" s="1195" t="s">
        <v>41</v>
      </c>
      <c r="F15" s="1210"/>
      <c r="G15" s="1210"/>
      <c r="H15" s="1492"/>
      <c r="I15" s="1492"/>
      <c r="J15" s="1492"/>
      <c r="K15" s="1492"/>
      <c r="L15" s="1492"/>
      <c r="M15" s="1492"/>
      <c r="O15" s="1494"/>
    </row>
    <row r="16">
      <c r="A16" s="1490" t="s">
        <v>112</v>
      </c>
      <c r="B16" s="1490" t="s">
        <v>41</v>
      </c>
      <c r="C16" s="1493">
        <v>13275.0</v>
      </c>
      <c r="D16" s="1490">
        <v>17.0</v>
      </c>
      <c r="E16" s="1195" t="s">
        <v>41</v>
      </c>
      <c r="F16" s="1210"/>
      <c r="G16" s="1210"/>
      <c r="H16" s="1492"/>
      <c r="I16" s="1492"/>
      <c r="J16" s="1492"/>
      <c r="K16" s="1492"/>
      <c r="L16" s="1492"/>
      <c r="M16" s="1492"/>
      <c r="O16" s="1494"/>
    </row>
    <row r="17">
      <c r="A17" s="1490" t="s">
        <v>115</v>
      </c>
      <c r="B17" s="1490" t="s">
        <v>41</v>
      </c>
      <c r="C17" s="1493">
        <v>14987.0</v>
      </c>
      <c r="D17" s="1490">
        <v>23.0</v>
      </c>
      <c r="E17" s="1195" t="s">
        <v>41</v>
      </c>
      <c r="F17" s="1210"/>
      <c r="G17" s="1210"/>
      <c r="H17" s="1492"/>
      <c r="I17" s="1492"/>
      <c r="J17" s="1492"/>
      <c r="K17" s="1492"/>
      <c r="L17" s="1492"/>
      <c r="M17" s="1492"/>
      <c r="O17" s="1494"/>
    </row>
    <row r="18">
      <c r="A18" s="1490" t="s">
        <v>118</v>
      </c>
      <c r="B18" s="1490" t="s">
        <v>41</v>
      </c>
      <c r="C18" s="1493">
        <v>51909.0</v>
      </c>
      <c r="D18" s="1490">
        <v>68.0</v>
      </c>
      <c r="E18" s="1195" t="s">
        <v>41</v>
      </c>
      <c r="F18" s="1210"/>
      <c r="G18" s="1210"/>
      <c r="H18" s="1492"/>
      <c r="I18" s="1492"/>
      <c r="J18" s="1492"/>
      <c r="K18" s="1492"/>
      <c r="L18" s="1492"/>
      <c r="M18" s="1492"/>
      <c r="O18" s="1494"/>
    </row>
    <row r="19">
      <c r="A19" s="1490" t="s">
        <v>121</v>
      </c>
      <c r="B19" s="1490" t="s">
        <v>41</v>
      </c>
      <c r="C19" s="1493">
        <v>54762.0</v>
      </c>
      <c r="D19" s="1490">
        <v>81.0</v>
      </c>
      <c r="E19" s="1195" t="s">
        <v>41</v>
      </c>
      <c r="F19" s="1210"/>
      <c r="G19" s="1210"/>
      <c r="H19" s="1492"/>
      <c r="I19" s="1492"/>
      <c r="J19" s="1492"/>
      <c r="K19" s="1492"/>
      <c r="L19" s="1492"/>
      <c r="M19" s="1492"/>
      <c r="O19" s="1494"/>
    </row>
    <row r="20">
      <c r="A20" s="1490" t="s">
        <v>124</v>
      </c>
      <c r="B20" s="1490" t="s">
        <v>41</v>
      </c>
      <c r="C20" s="1493">
        <v>12277.0</v>
      </c>
      <c r="D20" s="1490">
        <v>28.0</v>
      </c>
      <c r="E20" s="1195" t="s">
        <v>41</v>
      </c>
      <c r="F20" s="1210"/>
      <c r="G20" s="1210"/>
      <c r="H20" s="1492"/>
      <c r="I20" s="1492"/>
      <c r="J20" s="1492"/>
      <c r="K20" s="1492"/>
      <c r="L20" s="1492"/>
      <c r="M20" s="1492"/>
      <c r="O20" s="1494"/>
    </row>
    <row r="21">
      <c r="A21" s="1490" t="s">
        <v>125</v>
      </c>
      <c r="B21" s="1490" t="s">
        <v>41</v>
      </c>
      <c r="C21" s="1493">
        <v>10715.0</v>
      </c>
      <c r="D21" s="1490">
        <v>23.0</v>
      </c>
      <c r="E21" s="1195" t="s">
        <v>41</v>
      </c>
      <c r="F21" s="1210"/>
      <c r="G21" s="1210"/>
      <c r="H21" s="1492"/>
      <c r="I21" s="1492"/>
      <c r="J21" s="1492"/>
      <c r="K21" s="1492"/>
      <c r="L21" s="1492"/>
      <c r="M21" s="1492"/>
      <c r="O21" s="1494"/>
    </row>
    <row r="22">
      <c r="A22" s="1490" t="s">
        <v>126</v>
      </c>
      <c r="B22" s="1490" t="s">
        <v>41</v>
      </c>
      <c r="C22" s="1493">
        <v>36986.0</v>
      </c>
      <c r="D22" s="1490">
        <v>67.0</v>
      </c>
      <c r="E22" s="1195" t="s">
        <v>41</v>
      </c>
      <c r="F22" s="1210"/>
      <c r="G22" s="1210"/>
      <c r="H22" s="1492"/>
      <c r="I22" s="1492"/>
      <c r="J22" s="1492"/>
      <c r="K22" s="1492"/>
      <c r="L22" s="1492"/>
      <c r="M22" s="1492"/>
      <c r="O22" s="1494"/>
    </row>
    <row r="23">
      <c r="A23" s="1490" t="s">
        <v>127</v>
      </c>
      <c r="B23" s="1490" t="s">
        <v>41</v>
      </c>
      <c r="C23" s="1493">
        <v>13824.0</v>
      </c>
      <c r="D23" s="1490">
        <v>31.0</v>
      </c>
      <c r="E23" s="1195" t="s">
        <v>41</v>
      </c>
      <c r="F23" s="1210"/>
      <c r="G23" s="1210"/>
      <c r="H23" s="1492"/>
      <c r="I23" s="1492"/>
      <c r="J23" s="1492"/>
      <c r="K23" s="1492"/>
      <c r="L23" s="1492"/>
      <c r="M23" s="1492"/>
      <c r="O23" s="1494"/>
    </row>
    <row r="24">
      <c r="A24" s="1490" t="s">
        <v>128</v>
      </c>
      <c r="B24" s="1490" t="s">
        <v>41</v>
      </c>
      <c r="C24" s="1493">
        <v>83442.0</v>
      </c>
      <c r="D24" s="1490">
        <v>88.0</v>
      </c>
      <c r="E24" s="1195" t="s">
        <v>41</v>
      </c>
      <c r="F24" s="1210"/>
      <c r="G24" s="1210"/>
      <c r="H24" s="1492"/>
      <c r="I24" s="1492"/>
      <c r="J24" s="1492"/>
      <c r="K24" s="1492"/>
      <c r="L24" s="1492"/>
      <c r="M24" s="1492"/>
      <c r="O24" s="1494"/>
    </row>
    <row r="25">
      <c r="A25" s="1490" t="s">
        <v>129</v>
      </c>
      <c r="B25" s="1490" t="s">
        <v>41</v>
      </c>
      <c r="C25" s="1493">
        <v>48956.0</v>
      </c>
      <c r="D25" s="1490">
        <v>57.0</v>
      </c>
      <c r="E25" s="1195" t="s">
        <v>41</v>
      </c>
      <c r="F25" s="1210"/>
      <c r="G25" s="1210"/>
      <c r="H25" s="1492"/>
      <c r="I25" s="1492"/>
      <c r="J25" s="1492"/>
      <c r="K25" s="1492"/>
      <c r="L25" s="1492"/>
      <c r="M25" s="1492"/>
      <c r="O25" s="1494"/>
    </row>
    <row r="26">
      <c r="A26" s="1490" t="s">
        <v>130</v>
      </c>
      <c r="B26" s="1490" t="s">
        <v>41</v>
      </c>
      <c r="C26" s="1493">
        <v>38310.0</v>
      </c>
      <c r="D26" s="1490">
        <v>91.0</v>
      </c>
      <c r="E26" s="1195" t="s">
        <v>41</v>
      </c>
      <c r="F26" s="1210"/>
      <c r="G26" s="1210"/>
      <c r="H26" s="1492"/>
      <c r="I26" s="1492"/>
      <c r="J26" s="1492"/>
      <c r="K26" s="1492"/>
      <c r="L26" s="1492"/>
      <c r="M26" s="1492"/>
      <c r="O26" s="1494"/>
    </row>
    <row r="27">
      <c r="A27" s="1490" t="s">
        <v>131</v>
      </c>
      <c r="B27" s="1490" t="s">
        <v>41</v>
      </c>
      <c r="C27" s="1493">
        <v>71385.0</v>
      </c>
      <c r="D27" s="1490">
        <v>99.0</v>
      </c>
      <c r="E27" s="1195" t="s">
        <v>41</v>
      </c>
      <c r="F27" s="1210"/>
      <c r="G27" s="1210"/>
      <c r="H27" s="1492"/>
      <c r="I27" s="1492"/>
      <c r="J27" s="1492"/>
      <c r="K27" s="1492"/>
      <c r="L27" s="1492"/>
      <c r="M27" s="1492"/>
      <c r="O27" s="1494"/>
    </row>
    <row r="28">
      <c r="A28" s="1490" t="s">
        <v>132</v>
      </c>
      <c r="B28" s="1490" t="s">
        <v>41</v>
      </c>
      <c r="C28" s="1493">
        <v>81887.0</v>
      </c>
      <c r="D28" s="1490">
        <v>115.0</v>
      </c>
      <c r="E28" s="1195" t="s">
        <v>41</v>
      </c>
      <c r="F28" s="1210"/>
      <c r="G28" s="1210"/>
      <c r="H28" s="1492"/>
      <c r="I28" s="1492"/>
      <c r="J28" s="1492"/>
      <c r="K28" s="1492"/>
      <c r="L28" s="1492"/>
      <c r="M28" s="1492"/>
      <c r="O28" s="1494"/>
    </row>
    <row r="29">
      <c r="A29" s="1490" t="s">
        <v>133</v>
      </c>
      <c r="B29" s="1490" t="s">
        <v>41</v>
      </c>
      <c r="C29" s="1493">
        <v>36748.0</v>
      </c>
      <c r="D29" s="1490">
        <v>77.0</v>
      </c>
      <c r="E29" s="1195" t="s">
        <v>41</v>
      </c>
      <c r="F29" s="1210"/>
      <c r="G29" s="1210"/>
      <c r="H29" s="1492"/>
      <c r="I29" s="1492"/>
      <c r="J29" s="1492"/>
      <c r="K29" s="1492"/>
      <c r="L29" s="1492"/>
      <c r="M29" s="1492"/>
      <c r="O29" s="1494"/>
    </row>
    <row r="30">
      <c r="A30" s="1490" t="s">
        <v>134</v>
      </c>
      <c r="B30" s="1490" t="s">
        <v>41</v>
      </c>
      <c r="C30" s="1493">
        <v>102501.0</v>
      </c>
      <c r="D30" s="1490">
        <v>160.0</v>
      </c>
      <c r="E30" s="1195" t="s">
        <v>41</v>
      </c>
      <c r="F30" s="1210"/>
      <c r="G30" s="1210"/>
      <c r="H30" s="1492"/>
      <c r="I30" s="1492"/>
      <c r="J30" s="1492"/>
      <c r="K30" s="1492"/>
      <c r="L30" s="1492"/>
      <c r="M30" s="1492"/>
      <c r="O30" s="1494"/>
    </row>
    <row r="31">
      <c r="A31" s="1490" t="s">
        <v>135</v>
      </c>
      <c r="B31" s="1490" t="s">
        <v>41</v>
      </c>
      <c r="C31" s="1493">
        <v>16433.0</v>
      </c>
      <c r="D31" s="1490">
        <v>24.0</v>
      </c>
      <c r="E31" s="1195" t="s">
        <v>41</v>
      </c>
      <c r="F31" s="1210"/>
      <c r="G31" s="1210"/>
      <c r="H31" s="1492"/>
      <c r="I31" s="1492"/>
      <c r="J31" s="1492"/>
      <c r="K31" s="1492"/>
      <c r="L31" s="1492"/>
      <c r="M31" s="1492"/>
      <c r="O31" s="1494"/>
    </row>
    <row r="32">
      <c r="A32" s="1490" t="s">
        <v>136</v>
      </c>
      <c r="B32" s="1490" t="s">
        <v>41</v>
      </c>
      <c r="C32" s="1493">
        <v>31363.0</v>
      </c>
      <c r="D32" s="1490">
        <v>35.0</v>
      </c>
      <c r="E32" s="1195" t="s">
        <v>41</v>
      </c>
      <c r="F32" s="1210"/>
      <c r="G32" s="1210"/>
      <c r="H32" s="1492"/>
      <c r="I32" s="1492"/>
      <c r="J32" s="1492"/>
      <c r="K32" s="1492"/>
      <c r="L32" s="1492"/>
      <c r="M32" s="1492"/>
      <c r="O32" s="1494"/>
    </row>
    <row r="33">
      <c r="A33" s="1490" t="s">
        <v>137</v>
      </c>
      <c r="B33" s="1490" t="s">
        <v>41</v>
      </c>
      <c r="C33" s="1493">
        <v>26314.0</v>
      </c>
      <c r="D33" s="1490">
        <v>49.0</v>
      </c>
      <c r="E33" s="1195" t="s">
        <v>41</v>
      </c>
      <c r="F33" s="1210"/>
      <c r="G33" s="1210"/>
      <c r="H33" s="1492"/>
      <c r="I33" s="1492"/>
      <c r="J33" s="1492"/>
      <c r="K33" s="1492"/>
      <c r="L33" s="1492"/>
      <c r="M33" s="1492"/>
      <c r="O33" s="1494"/>
    </row>
    <row r="34">
      <c r="A34" s="1490" t="s">
        <v>138</v>
      </c>
      <c r="B34" s="1490" t="s">
        <v>41</v>
      </c>
      <c r="C34" s="1493">
        <v>8233.0</v>
      </c>
      <c r="D34" s="1490">
        <v>13.0</v>
      </c>
      <c r="E34" s="1195" t="s">
        <v>41</v>
      </c>
      <c r="F34" s="1210"/>
      <c r="G34" s="1210"/>
      <c r="H34" s="1492"/>
      <c r="I34" s="1492"/>
      <c r="J34" s="1492"/>
      <c r="K34" s="1492"/>
      <c r="L34" s="1492"/>
      <c r="M34" s="1492"/>
      <c r="O34" s="1494"/>
    </row>
    <row r="35">
      <c r="A35" s="1490" t="s">
        <v>139</v>
      </c>
      <c r="B35" s="1490" t="s">
        <v>41</v>
      </c>
      <c r="C35" s="1493">
        <v>14726.0</v>
      </c>
      <c r="D35" s="1490">
        <v>41.0</v>
      </c>
      <c r="E35" s="1195" t="s">
        <v>41</v>
      </c>
      <c r="F35" s="1210"/>
      <c r="G35" s="1210"/>
      <c r="H35" s="1492"/>
      <c r="I35" s="1492"/>
      <c r="J35" s="1492"/>
      <c r="K35" s="1492"/>
      <c r="L35" s="1492"/>
      <c r="M35" s="1492"/>
      <c r="O35" s="1494"/>
    </row>
    <row r="36">
      <c r="A36" s="1490" t="s">
        <v>140</v>
      </c>
      <c r="B36" s="1490" t="s">
        <v>41</v>
      </c>
      <c r="C36" s="1493">
        <v>17209.0</v>
      </c>
      <c r="D36" s="1490">
        <v>28.0</v>
      </c>
      <c r="E36" s="1195" t="s">
        <v>41</v>
      </c>
      <c r="F36" s="1210"/>
      <c r="G36" s="1210"/>
      <c r="H36" s="1492"/>
      <c r="I36" s="1492"/>
      <c r="J36" s="1492"/>
      <c r="K36" s="1492"/>
      <c r="L36" s="1492"/>
      <c r="M36" s="1492"/>
      <c r="O36" s="1494"/>
    </row>
    <row r="37">
      <c r="A37" s="1490" t="s">
        <v>141</v>
      </c>
      <c r="B37" s="1490" t="s">
        <v>41</v>
      </c>
      <c r="C37" s="1493">
        <v>104722.0</v>
      </c>
      <c r="D37" s="1490">
        <v>149.0</v>
      </c>
      <c r="E37" s="1195" t="s">
        <v>41</v>
      </c>
      <c r="F37" s="1210"/>
      <c r="G37" s="1210"/>
      <c r="H37" s="1492"/>
      <c r="I37" s="1492"/>
      <c r="J37" s="1492"/>
      <c r="K37" s="1492"/>
      <c r="L37" s="1492"/>
      <c r="M37" s="1492"/>
      <c r="O37" s="1494"/>
    </row>
    <row r="38">
      <c r="A38" s="1490" t="s">
        <v>142</v>
      </c>
      <c r="B38" s="1490" t="s">
        <v>41</v>
      </c>
      <c r="C38" s="1493">
        <v>51736.0</v>
      </c>
      <c r="D38" s="1490">
        <v>73.0</v>
      </c>
      <c r="E38" s="1195" t="s">
        <v>41</v>
      </c>
      <c r="F38" s="1210"/>
      <c r="G38" s="1210"/>
      <c r="H38" s="1492"/>
      <c r="I38" s="1492"/>
      <c r="J38" s="1492"/>
      <c r="K38" s="1492"/>
      <c r="L38" s="1492"/>
      <c r="M38" s="1492"/>
      <c r="O38" s="1494"/>
    </row>
    <row r="39">
      <c r="A39" s="1490" t="s">
        <v>143</v>
      </c>
      <c r="B39" s="1490" t="s">
        <v>41</v>
      </c>
      <c r="C39" s="1493">
        <v>659300.0</v>
      </c>
      <c r="D39" s="1490">
        <v>872.0</v>
      </c>
      <c r="E39" s="1195" t="s">
        <v>41</v>
      </c>
      <c r="F39" s="1210"/>
      <c r="G39" s="1210"/>
      <c r="H39" s="1492"/>
      <c r="I39" s="1492"/>
      <c r="J39" s="1492"/>
      <c r="K39" s="1492"/>
      <c r="L39" s="1492"/>
      <c r="M39" s="1492"/>
      <c r="O39" s="1494"/>
    </row>
    <row r="40">
      <c r="A40" s="1490" t="s">
        <v>144</v>
      </c>
      <c r="B40" s="1490" t="s">
        <v>41</v>
      </c>
      <c r="C40" s="1493">
        <v>13844.0</v>
      </c>
      <c r="D40" s="1490">
        <v>27.0</v>
      </c>
      <c r="E40" s="1195" t="s">
        <v>41</v>
      </c>
      <c r="F40" s="1210"/>
      <c r="G40" s="1210"/>
      <c r="H40" s="1492"/>
      <c r="I40" s="1492"/>
      <c r="J40" s="1492"/>
      <c r="K40" s="1492"/>
      <c r="L40" s="1492"/>
      <c r="M40" s="1492"/>
      <c r="O40" s="1494"/>
    </row>
    <row r="41">
      <c r="A41" s="1490" t="s">
        <v>145</v>
      </c>
      <c r="B41" s="1490" t="s">
        <v>41</v>
      </c>
      <c r="C41" s="1493">
        <v>92387.0</v>
      </c>
      <c r="D41" s="1490">
        <v>127.0</v>
      </c>
      <c r="E41" s="1195" t="s">
        <v>41</v>
      </c>
      <c r="F41" s="1210"/>
      <c r="G41" s="1210"/>
      <c r="H41" s="1492"/>
      <c r="I41" s="1492"/>
      <c r="J41" s="1492"/>
      <c r="K41" s="1492"/>
      <c r="L41" s="1492"/>
      <c r="M41" s="1492"/>
      <c r="O41" s="1494"/>
    </row>
    <row r="42">
      <c r="A42" s="1490" t="s">
        <v>146</v>
      </c>
      <c r="B42" s="1490" t="s">
        <v>41</v>
      </c>
      <c r="C42" s="1493">
        <v>32957.0</v>
      </c>
      <c r="D42" s="1490">
        <v>63.0</v>
      </c>
      <c r="E42" s="1195" t="s">
        <v>41</v>
      </c>
      <c r="F42" s="1210"/>
      <c r="G42" s="1210"/>
      <c r="H42" s="1492"/>
      <c r="I42" s="1492"/>
      <c r="J42" s="1492"/>
      <c r="K42" s="1492"/>
      <c r="L42" s="1492"/>
      <c r="M42" s="1492"/>
      <c r="O42" s="1494"/>
    </row>
    <row r="43">
      <c r="A43" s="1490" t="s">
        <v>147</v>
      </c>
      <c r="B43" s="1490" t="s">
        <v>41</v>
      </c>
      <c r="C43" s="1493">
        <v>163941.0</v>
      </c>
      <c r="D43" s="1490">
        <v>130.0</v>
      </c>
      <c r="E43" s="1195" t="s">
        <v>41</v>
      </c>
      <c r="F43" s="1210"/>
      <c r="G43" s="1210"/>
      <c r="H43" s="1492"/>
      <c r="I43" s="1492"/>
      <c r="J43" s="1492"/>
      <c r="K43" s="1492"/>
      <c r="L43" s="1492"/>
      <c r="M43" s="1492"/>
      <c r="O43" s="1494"/>
    </row>
    <row r="44">
      <c r="A44" s="1490" t="s">
        <v>148</v>
      </c>
      <c r="B44" s="1490" t="s">
        <v>41</v>
      </c>
      <c r="C44" s="1493">
        <v>96174.0</v>
      </c>
      <c r="D44" s="1490">
        <v>117.0</v>
      </c>
      <c r="E44" s="1195" t="s">
        <v>41</v>
      </c>
      <c r="F44" s="1210"/>
      <c r="G44" s="1210"/>
      <c r="H44" s="1492"/>
      <c r="I44" s="1492"/>
      <c r="J44" s="1492"/>
      <c r="K44" s="1492"/>
      <c r="L44" s="1492"/>
      <c r="M44" s="1492"/>
      <c r="O44" s="1494"/>
    </row>
    <row r="45">
      <c r="A45" s="1490" t="s">
        <v>149</v>
      </c>
      <c r="B45" s="1490" t="s">
        <v>41</v>
      </c>
      <c r="C45" s="1493">
        <v>9974.0</v>
      </c>
      <c r="D45" s="1490">
        <v>33.0</v>
      </c>
      <c r="E45" s="1195" t="s">
        <v>41</v>
      </c>
      <c r="F45" s="1210"/>
      <c r="G45" s="1210"/>
      <c r="H45" s="1492"/>
      <c r="I45" s="1492"/>
      <c r="J45" s="1492"/>
      <c r="K45" s="1492"/>
      <c r="L45" s="1492"/>
      <c r="M45" s="1492"/>
      <c r="O45" s="1494"/>
    </row>
    <row r="46">
      <c r="A46" s="1490" t="s">
        <v>150</v>
      </c>
      <c r="B46" s="1490" t="s">
        <v>41</v>
      </c>
      <c r="C46" s="1493">
        <v>18439.0</v>
      </c>
      <c r="D46" s="1490">
        <v>48.0</v>
      </c>
      <c r="E46" s="1195" t="s">
        <v>41</v>
      </c>
      <c r="F46" s="1210"/>
      <c r="G46" s="1210"/>
      <c r="H46" s="1492"/>
      <c r="I46" s="1492"/>
      <c r="J46" s="1492"/>
      <c r="K46" s="1492"/>
      <c r="L46" s="1492"/>
      <c r="M46" s="1492"/>
      <c r="O46" s="1494"/>
    </row>
    <row r="47">
      <c r="A47" s="1490" t="s">
        <v>151</v>
      </c>
      <c r="B47" s="1490" t="s">
        <v>41</v>
      </c>
      <c r="C47" s="1493">
        <v>366519.0</v>
      </c>
      <c r="D47" s="1490">
        <v>327.0</v>
      </c>
      <c r="E47" s="1195" t="s">
        <v>41</v>
      </c>
      <c r="F47" s="1210"/>
      <c r="G47" s="1210"/>
      <c r="H47" s="1492"/>
      <c r="I47" s="1492"/>
      <c r="J47" s="1492"/>
      <c r="K47" s="1492"/>
      <c r="L47" s="1492"/>
      <c r="M47" s="1492"/>
      <c r="O47" s="1494"/>
    </row>
    <row r="48">
      <c r="A48" s="1490" t="s">
        <v>152</v>
      </c>
      <c r="B48" s="1490" t="s">
        <v>41</v>
      </c>
      <c r="C48" s="1493">
        <v>19066.0</v>
      </c>
      <c r="D48" s="1490">
        <v>66.0</v>
      </c>
      <c r="E48" s="1195" t="s">
        <v>41</v>
      </c>
      <c r="F48" s="1210"/>
      <c r="G48" s="1210"/>
      <c r="H48" s="1492"/>
      <c r="I48" s="1492"/>
      <c r="J48" s="1492"/>
      <c r="K48" s="1492"/>
      <c r="L48" s="1492"/>
      <c r="M48" s="1492"/>
      <c r="O48" s="1494"/>
    </row>
    <row r="49">
      <c r="A49" s="1490" t="s">
        <v>153</v>
      </c>
      <c r="B49" s="1490" t="s">
        <v>41</v>
      </c>
      <c r="C49" s="1493">
        <v>29763.0</v>
      </c>
      <c r="D49" s="1490">
        <v>33.0</v>
      </c>
      <c r="E49" s="1195" t="s">
        <v>41</v>
      </c>
      <c r="F49" s="1210"/>
      <c r="G49" s="1210"/>
      <c r="H49" s="1492"/>
      <c r="I49" s="1492"/>
      <c r="J49" s="1492"/>
      <c r="K49" s="1492"/>
      <c r="L49" s="1492"/>
      <c r="M49" s="1492"/>
      <c r="O49" s="1494"/>
    </row>
    <row r="50">
      <c r="A50" s="1490" t="s">
        <v>154</v>
      </c>
      <c r="B50" s="1490" t="s">
        <v>41</v>
      </c>
      <c r="C50" s="1493">
        <v>96109.0</v>
      </c>
      <c r="D50" s="1490">
        <v>107.0</v>
      </c>
      <c r="E50" s="1195" t="s">
        <v>41</v>
      </c>
      <c r="F50" s="1210"/>
      <c r="G50" s="1210"/>
      <c r="H50" s="1492"/>
      <c r="I50" s="1492"/>
      <c r="J50" s="1492"/>
      <c r="K50" s="1492"/>
      <c r="L50" s="1492"/>
      <c r="M50" s="1492"/>
      <c r="O50" s="1494"/>
    </row>
    <row r="51">
      <c r="A51" s="1490" t="s">
        <v>155</v>
      </c>
      <c r="B51" s="1490" t="s">
        <v>41</v>
      </c>
      <c r="C51" s="1493">
        <v>413757.0</v>
      </c>
      <c r="D51" s="1490">
        <v>479.0</v>
      </c>
      <c r="E51" s="1195" t="s">
        <v>41</v>
      </c>
      <c r="F51" s="1210"/>
      <c r="G51" s="1210"/>
      <c r="H51" s="1492"/>
      <c r="I51" s="1492"/>
      <c r="J51" s="1492"/>
      <c r="K51" s="1492"/>
      <c r="L51" s="1492"/>
      <c r="M51" s="1492"/>
      <c r="O51" s="1494"/>
    </row>
    <row r="52">
      <c r="A52" s="1490" t="s">
        <v>156</v>
      </c>
      <c r="B52" s="1490" t="s">
        <v>41</v>
      </c>
      <c r="C52" s="1493">
        <v>21067.0</v>
      </c>
      <c r="D52" s="1490">
        <v>62.0</v>
      </c>
      <c r="E52" s="1195" t="s">
        <v>41</v>
      </c>
      <c r="F52" s="1210"/>
      <c r="G52" s="1210"/>
      <c r="H52" s="1492"/>
      <c r="I52" s="1492"/>
      <c r="J52" s="1492"/>
      <c r="K52" s="1492"/>
      <c r="L52" s="1492"/>
      <c r="M52" s="1492"/>
      <c r="O52" s="1494"/>
    </row>
    <row r="53">
      <c r="A53" s="1490" t="s">
        <v>157</v>
      </c>
      <c r="B53" s="1490" t="s">
        <v>41</v>
      </c>
      <c r="C53" s="1493">
        <v>225763.0</v>
      </c>
      <c r="D53" s="1490">
        <v>275.0</v>
      </c>
      <c r="E53" s="1195" t="s">
        <v>41</v>
      </c>
      <c r="F53" s="1210"/>
      <c r="G53" s="1210"/>
      <c r="H53" s="1492"/>
      <c r="I53" s="1492"/>
      <c r="J53" s="1492"/>
      <c r="K53" s="1492"/>
      <c r="L53" s="1492"/>
      <c r="M53" s="1492"/>
      <c r="O53" s="1494"/>
    </row>
    <row r="54">
      <c r="A54" s="1490" t="s">
        <v>158</v>
      </c>
      <c r="B54" s="1490" t="s">
        <v>41</v>
      </c>
      <c r="C54" s="1493">
        <v>119089.0</v>
      </c>
      <c r="D54" s="1490">
        <v>164.0</v>
      </c>
      <c r="E54" s="1195" t="s">
        <v>41</v>
      </c>
      <c r="F54" s="1210"/>
      <c r="G54" s="1210"/>
      <c r="H54" s="1492"/>
      <c r="I54" s="1492"/>
      <c r="J54" s="1492"/>
      <c r="K54" s="1492"/>
      <c r="L54" s="1492"/>
      <c r="M54" s="1492"/>
      <c r="O54" s="1494"/>
    </row>
    <row r="55">
      <c r="A55" s="1490" t="s">
        <v>159</v>
      </c>
      <c r="B55" s="1490" t="s">
        <v>41</v>
      </c>
      <c r="C55" s="1493">
        <v>9140.0</v>
      </c>
      <c r="D55" s="1490">
        <v>28.0</v>
      </c>
      <c r="E55" s="1195" t="s">
        <v>41</v>
      </c>
      <c r="F55" s="1210"/>
      <c r="G55" s="1210"/>
      <c r="H55" s="1492"/>
      <c r="I55" s="1492"/>
      <c r="J55" s="1492"/>
      <c r="K55" s="1492"/>
      <c r="L55" s="1492"/>
      <c r="M55" s="1492"/>
      <c r="O55" s="1494"/>
    </row>
    <row r="56">
      <c r="A56" s="1490" t="s">
        <v>160</v>
      </c>
      <c r="B56" s="1490" t="s">
        <v>41</v>
      </c>
      <c r="C56" s="1493">
        <v>19938.0</v>
      </c>
      <c r="D56" s="1490">
        <v>44.0</v>
      </c>
      <c r="E56" s="1195" t="s">
        <v>41</v>
      </c>
      <c r="F56" s="1210"/>
      <c r="G56" s="1210"/>
      <c r="H56" s="1492"/>
      <c r="I56" s="1492"/>
      <c r="J56" s="1492"/>
      <c r="K56" s="1492"/>
      <c r="L56" s="1492"/>
      <c r="M56" s="1492"/>
      <c r="O56" s="1494"/>
    </row>
    <row r="57">
      <c r="A57" s="1490" t="s">
        <v>162</v>
      </c>
      <c r="B57" s="1490" t="s">
        <v>41</v>
      </c>
      <c r="C57" s="1493">
        <v>33338.0</v>
      </c>
      <c r="D57" s="1490">
        <v>59.0</v>
      </c>
      <c r="E57" s="1195" t="s">
        <v>41</v>
      </c>
      <c r="F57" s="1210"/>
      <c r="G57" s="1210"/>
      <c r="H57" s="1492"/>
      <c r="I57" s="1492"/>
      <c r="J57" s="1492"/>
      <c r="K57" s="1492"/>
      <c r="L57" s="1492"/>
      <c r="M57" s="1492"/>
      <c r="O57" s="1494"/>
    </row>
    <row r="58">
      <c r="A58" s="1490" t="s">
        <v>163</v>
      </c>
      <c r="B58" s="1490" t="s">
        <v>41</v>
      </c>
      <c r="C58" s="1493">
        <v>22725.0</v>
      </c>
      <c r="D58" s="1490">
        <v>59.0</v>
      </c>
      <c r="E58" s="1195" t="s">
        <v>41</v>
      </c>
      <c r="F58" s="1210"/>
      <c r="G58" s="1210"/>
      <c r="H58" s="1492"/>
      <c r="I58" s="1492"/>
      <c r="J58" s="1492"/>
      <c r="K58" s="1492"/>
      <c r="L58" s="1492"/>
      <c r="M58" s="1492"/>
      <c r="O58" s="1494"/>
    </row>
    <row r="59">
      <c r="A59" s="1490" t="s">
        <v>165</v>
      </c>
      <c r="B59" s="1490" t="s">
        <v>41</v>
      </c>
      <c r="C59" s="1493">
        <v>57781.0</v>
      </c>
      <c r="D59" s="1490">
        <v>86.0</v>
      </c>
      <c r="E59" s="1195" t="s">
        <v>41</v>
      </c>
      <c r="F59" s="1210"/>
      <c r="G59" s="1210"/>
      <c r="H59" s="1492"/>
      <c r="I59" s="1492"/>
      <c r="J59" s="1492"/>
      <c r="K59" s="1492"/>
      <c r="L59" s="1492"/>
      <c r="M59" s="1492"/>
      <c r="O59" s="1494"/>
    </row>
    <row r="60">
      <c r="A60" s="1490" t="s">
        <v>768</v>
      </c>
      <c r="B60" s="1490" t="s">
        <v>41</v>
      </c>
      <c r="C60" s="1493">
        <v>88690.0</v>
      </c>
      <c r="D60" s="1490">
        <v>89.0</v>
      </c>
      <c r="E60" s="1195" t="s">
        <v>41</v>
      </c>
      <c r="F60" s="1210"/>
      <c r="G60" s="1210"/>
      <c r="H60" s="1492"/>
      <c r="I60" s="1492"/>
      <c r="J60" s="1492"/>
      <c r="K60" s="1492"/>
      <c r="L60" s="1492"/>
      <c r="M60" s="1492"/>
      <c r="O60" s="1494"/>
    </row>
    <row r="61">
      <c r="A61" s="1490" t="s">
        <v>168</v>
      </c>
      <c r="B61" s="1490" t="s">
        <v>41</v>
      </c>
      <c r="C61" s="1493">
        <v>215707.0</v>
      </c>
      <c r="D61" s="1490">
        <v>192.0</v>
      </c>
      <c r="E61" s="1195" t="s">
        <v>41</v>
      </c>
      <c r="F61" s="1210"/>
      <c r="G61" s="1210"/>
      <c r="H61" s="1492"/>
      <c r="I61" s="1492"/>
      <c r="J61" s="1492"/>
      <c r="K61" s="1492"/>
      <c r="L61" s="1492"/>
      <c r="M61" s="1492"/>
      <c r="O61" s="1494"/>
    </row>
    <row r="62">
      <c r="A62" s="1490" t="s">
        <v>169</v>
      </c>
      <c r="B62" s="1495" t="s">
        <v>41</v>
      </c>
      <c r="C62" s="1493">
        <v>12691.0</v>
      </c>
      <c r="D62" s="1495">
        <v>29.0</v>
      </c>
      <c r="E62" s="1195" t="s">
        <v>41</v>
      </c>
      <c r="F62" s="1210"/>
      <c r="G62" s="1210"/>
      <c r="H62" s="1492"/>
      <c r="I62" s="1492"/>
      <c r="J62" s="1492"/>
      <c r="K62" s="1492"/>
      <c r="L62" s="1492"/>
      <c r="M62" s="1492"/>
      <c r="O62" s="1494"/>
    </row>
    <row r="63">
      <c r="A63" s="1490" t="s">
        <v>170</v>
      </c>
      <c r="B63" s="1495" t="s">
        <v>41</v>
      </c>
      <c r="C63" s="1493">
        <v>79828.0</v>
      </c>
      <c r="D63" s="1495">
        <v>147.0</v>
      </c>
      <c r="E63" s="1195" t="s">
        <v>41</v>
      </c>
      <c r="F63" s="1210"/>
      <c r="G63" s="1210"/>
      <c r="H63" s="1492"/>
      <c r="I63" s="1492"/>
      <c r="J63" s="1492"/>
      <c r="K63" s="1492"/>
      <c r="L63" s="1492"/>
      <c r="M63" s="1492"/>
      <c r="O63" s="1494"/>
    </row>
    <row r="64">
      <c r="A64" s="1490" t="s">
        <v>171</v>
      </c>
      <c r="B64" s="1495" t="s">
        <v>41</v>
      </c>
      <c r="C64" s="1493">
        <v>40497.0</v>
      </c>
      <c r="D64" s="1495">
        <v>94.0</v>
      </c>
      <c r="E64" s="1195" t="s">
        <v>41</v>
      </c>
      <c r="F64" s="1210"/>
      <c r="G64" s="1210"/>
      <c r="H64" s="1492"/>
      <c r="I64" s="1492"/>
      <c r="J64" s="1492"/>
      <c r="K64" s="1492"/>
      <c r="L64" s="1492"/>
      <c r="M64" s="1492"/>
      <c r="O64" s="1494"/>
    </row>
    <row r="65">
      <c r="A65" s="1490" t="s">
        <v>173</v>
      </c>
      <c r="B65" s="1495" t="s">
        <v>41</v>
      </c>
      <c r="C65" s="1493">
        <v>208911.0</v>
      </c>
      <c r="D65" s="1495">
        <v>207.0</v>
      </c>
      <c r="E65" s="1195" t="s">
        <v>41</v>
      </c>
      <c r="F65" s="1210"/>
      <c r="G65" s="1210"/>
      <c r="H65" s="1492"/>
      <c r="I65" s="1492"/>
      <c r="J65" s="1492"/>
      <c r="K65" s="1492"/>
      <c r="L65" s="1492"/>
      <c r="M65" s="1492"/>
      <c r="O65" s="1494"/>
    </row>
    <row r="66">
      <c r="A66" s="1490" t="s">
        <v>175</v>
      </c>
      <c r="B66" s="1495" t="s">
        <v>41</v>
      </c>
      <c r="C66" s="1493">
        <v>63711.0</v>
      </c>
      <c r="D66" s="1495">
        <v>101.0</v>
      </c>
      <c r="E66" s="1195" t="s">
        <v>41</v>
      </c>
      <c r="F66" s="1210"/>
      <c r="G66" s="1210"/>
      <c r="H66" s="1492"/>
      <c r="I66" s="1492"/>
      <c r="J66" s="1492"/>
      <c r="K66" s="1492"/>
      <c r="L66" s="1492"/>
      <c r="M66" s="1492"/>
      <c r="O66" s="1494"/>
    </row>
    <row r="67">
      <c r="A67" s="1490" t="s">
        <v>119</v>
      </c>
      <c r="B67" s="1490" t="s">
        <v>41</v>
      </c>
      <c r="C67" s="1493">
        <v>16378.0</v>
      </c>
      <c r="D67" s="1495">
        <v>61.0</v>
      </c>
      <c r="E67" s="1195" t="s">
        <v>41</v>
      </c>
      <c r="F67" s="1210"/>
      <c r="G67" s="1210"/>
      <c r="H67" s="1492"/>
      <c r="I67" s="1492"/>
      <c r="J67" s="1492"/>
      <c r="K67" s="1492"/>
      <c r="L67" s="1492"/>
      <c r="M67" s="1492"/>
      <c r="O67" s="1494"/>
    </row>
    <row r="68">
      <c r="A68" s="1490" t="s">
        <v>176</v>
      </c>
      <c r="B68" s="1490" t="s">
        <v>41</v>
      </c>
      <c r="C68" s="1493">
        <v>10627.0</v>
      </c>
      <c r="D68" s="1495">
        <v>28.0</v>
      </c>
      <c r="E68" s="1195" t="s">
        <v>41</v>
      </c>
      <c r="F68" s="1210"/>
      <c r="G68" s="1210"/>
      <c r="H68" s="1492"/>
      <c r="I68" s="1492"/>
      <c r="J68" s="1492"/>
      <c r="K68" s="1492"/>
      <c r="L68" s="1492"/>
      <c r="M68" s="1492"/>
      <c r="O68" s="1494"/>
    </row>
    <row r="69">
      <c r="A69" s="1496" t="s">
        <v>178</v>
      </c>
      <c r="B69" s="1496" t="s">
        <v>41</v>
      </c>
      <c r="C69" s="1497">
        <v>23660.0</v>
      </c>
      <c r="D69" s="1498">
        <v>26.0</v>
      </c>
      <c r="E69" s="1195" t="s">
        <v>41</v>
      </c>
      <c r="F69" s="1210"/>
      <c r="G69" s="1210"/>
      <c r="H69" s="1492"/>
      <c r="I69" s="1492"/>
      <c r="J69" s="1492"/>
      <c r="K69" s="1492"/>
      <c r="L69" s="1492"/>
      <c r="M69" s="1492"/>
      <c r="N69" s="1489"/>
      <c r="O69" s="1499"/>
      <c r="P69" s="1489"/>
      <c r="Q69" s="1489"/>
      <c r="R69" s="1489"/>
      <c r="S69" s="1489"/>
      <c r="T69" s="1489"/>
      <c r="U69" s="1489"/>
      <c r="V69" s="1489"/>
      <c r="W69" s="1489"/>
      <c r="X69" s="1489"/>
      <c r="Y69" s="1489"/>
      <c r="Z69" s="1489"/>
    </row>
    <row r="70">
      <c r="A70" s="355" t="s">
        <v>185</v>
      </c>
      <c r="B70" s="355" t="s">
        <v>182</v>
      </c>
      <c r="C70" s="1500">
        <v>3515.0</v>
      </c>
      <c r="D70" s="355">
        <v>2.0</v>
      </c>
      <c r="E70" s="1195" t="s">
        <v>182</v>
      </c>
      <c r="F70" s="1210"/>
      <c r="G70" s="1210"/>
      <c r="H70" s="1492"/>
      <c r="I70" s="1492"/>
      <c r="J70" s="1492"/>
      <c r="K70" s="1492"/>
      <c r="L70" s="1492"/>
      <c r="M70" s="1492"/>
      <c r="O70" s="1494"/>
    </row>
    <row r="71">
      <c r="A71" s="355" t="s">
        <v>186</v>
      </c>
      <c r="B71" s="355" t="s">
        <v>182</v>
      </c>
      <c r="C71" s="1500">
        <v>5723.0</v>
      </c>
      <c r="D71" s="355">
        <v>5.0</v>
      </c>
      <c r="E71" s="1195" t="s">
        <v>182</v>
      </c>
      <c r="F71" s="1210"/>
      <c r="G71" s="1210"/>
      <c r="H71" s="1492"/>
      <c r="I71" s="1492"/>
      <c r="J71" s="1492"/>
      <c r="K71" s="1492"/>
      <c r="L71" s="1492"/>
      <c r="M71" s="1492"/>
      <c r="O71" s="1494"/>
    </row>
    <row r="72">
      <c r="A72" s="355" t="s">
        <v>187</v>
      </c>
      <c r="B72" s="355" t="s">
        <v>182</v>
      </c>
      <c r="C72" s="1500">
        <v>291538.0</v>
      </c>
      <c r="D72" s="355">
        <v>210.0</v>
      </c>
      <c r="E72" s="1195" t="s">
        <v>182</v>
      </c>
      <c r="F72" s="1210"/>
      <c r="G72" s="1210"/>
      <c r="H72" s="1492"/>
      <c r="I72" s="1492"/>
      <c r="J72" s="1492"/>
      <c r="K72" s="1492"/>
      <c r="L72" s="1492"/>
      <c r="M72" s="1492"/>
      <c r="O72" s="1494"/>
    </row>
    <row r="73">
      <c r="A73" s="355" t="s">
        <v>188</v>
      </c>
      <c r="B73" s="355" t="s">
        <v>182</v>
      </c>
      <c r="C73" s="1500">
        <v>18216.0</v>
      </c>
      <c r="D73" s="355">
        <v>11.0</v>
      </c>
      <c r="E73" s="1195" t="s">
        <v>182</v>
      </c>
      <c r="F73" s="1210"/>
      <c r="G73" s="1210"/>
      <c r="H73" s="1492"/>
      <c r="I73" s="1492"/>
      <c r="J73" s="1492"/>
      <c r="K73" s="1492"/>
      <c r="L73" s="1492"/>
      <c r="M73" s="1492"/>
      <c r="O73" s="1494"/>
    </row>
    <row r="74">
      <c r="A74" s="355" t="s">
        <v>189</v>
      </c>
      <c r="B74" s="355" t="s">
        <v>182</v>
      </c>
      <c r="C74" s="1500">
        <v>877.0</v>
      </c>
      <c r="D74" s="355">
        <v>2.0</v>
      </c>
      <c r="E74" s="1195" t="s">
        <v>182</v>
      </c>
      <c r="F74" s="1210"/>
      <c r="G74" s="1210"/>
      <c r="H74" s="1492"/>
      <c r="I74" s="1492"/>
      <c r="J74" s="1492"/>
      <c r="K74" s="1492"/>
      <c r="L74" s="1492"/>
      <c r="M74" s="1492"/>
      <c r="O74" s="1494"/>
    </row>
    <row r="75">
      <c r="A75" s="355" t="s">
        <v>192</v>
      </c>
      <c r="B75" s="355" t="s">
        <v>182</v>
      </c>
      <c r="C75" s="1500">
        <v>2059.0</v>
      </c>
      <c r="D75" s="355">
        <v>5.0</v>
      </c>
      <c r="E75" s="1195" t="s">
        <v>182</v>
      </c>
      <c r="F75" s="1210"/>
      <c r="G75" s="1210"/>
      <c r="H75" s="1492"/>
      <c r="I75" s="1492"/>
      <c r="J75" s="1210"/>
      <c r="K75" s="1492"/>
      <c r="L75" s="1492"/>
      <c r="M75" s="1492"/>
      <c r="O75" s="1494"/>
    </row>
    <row r="76">
      <c r="A76" s="355" t="s">
        <v>193</v>
      </c>
      <c r="B76" s="355" t="s">
        <v>182</v>
      </c>
      <c r="C76" s="1500">
        <v>5000.0</v>
      </c>
      <c r="D76" s="355">
        <v>11.0</v>
      </c>
      <c r="E76" s="1195" t="s">
        <v>182</v>
      </c>
      <c r="F76" s="1210"/>
      <c r="G76" s="1210"/>
      <c r="H76" s="1492"/>
      <c r="I76" s="1492"/>
      <c r="J76" s="1210"/>
      <c r="K76" s="1492"/>
      <c r="L76" s="1492"/>
      <c r="M76" s="1492"/>
      <c r="O76" s="1494"/>
    </row>
    <row r="77">
      <c r="A77" s="355" t="s">
        <v>194</v>
      </c>
      <c r="B77" s="355" t="s">
        <v>182</v>
      </c>
      <c r="C77" s="1500">
        <v>98971.0</v>
      </c>
      <c r="D77" s="355">
        <v>86.0</v>
      </c>
      <c r="E77" s="1195" t="s">
        <v>182</v>
      </c>
      <c r="F77" s="1210"/>
      <c r="G77" s="1210"/>
      <c r="H77" s="1492"/>
      <c r="I77" s="1492"/>
      <c r="J77" s="1492"/>
      <c r="K77" s="1492"/>
      <c r="L77" s="1492"/>
      <c r="M77" s="1492"/>
      <c r="O77" s="1494"/>
    </row>
    <row r="78">
      <c r="A78" s="355" t="s">
        <v>195</v>
      </c>
      <c r="B78" s="355" t="s">
        <v>182</v>
      </c>
      <c r="C78" s="1500">
        <v>2474.0</v>
      </c>
      <c r="D78" s="355">
        <v>7.0</v>
      </c>
      <c r="E78" s="1195" t="s">
        <v>182</v>
      </c>
      <c r="F78" s="1210"/>
      <c r="G78" s="1210"/>
      <c r="H78" s="1492"/>
      <c r="I78" s="1492"/>
      <c r="J78" s="1492"/>
      <c r="K78" s="1492"/>
      <c r="L78" s="1492"/>
      <c r="M78" s="1492"/>
      <c r="O78" s="1494"/>
    </row>
    <row r="79">
      <c r="A79" s="355" t="s">
        <v>196</v>
      </c>
      <c r="B79" s="355" t="s">
        <v>182</v>
      </c>
      <c r="C79" s="1500">
        <v>2151.0</v>
      </c>
      <c r="D79" s="355">
        <v>4.0</v>
      </c>
      <c r="E79" s="1195" t="s">
        <v>182</v>
      </c>
      <c r="F79" s="1210"/>
      <c r="G79" s="1210"/>
      <c r="H79" s="1492"/>
      <c r="I79" s="1492"/>
      <c r="J79" s="1492"/>
      <c r="K79" s="1492"/>
      <c r="L79" s="1492"/>
      <c r="M79" s="1492"/>
      <c r="O79" s="1494"/>
    </row>
    <row r="80">
      <c r="A80" s="355" t="s">
        <v>197</v>
      </c>
      <c r="B80" s="355" t="s">
        <v>182</v>
      </c>
      <c r="C80" s="1500">
        <v>32113.0</v>
      </c>
      <c r="D80" s="355">
        <v>27.0</v>
      </c>
      <c r="E80" s="1195" t="s">
        <v>182</v>
      </c>
      <c r="F80" s="1210"/>
      <c r="G80" s="1210"/>
      <c r="H80" s="1492"/>
      <c r="I80" s="1492"/>
      <c r="J80" s="1492"/>
      <c r="K80" s="1492"/>
      <c r="L80" s="1492"/>
      <c r="M80" s="1492"/>
    </row>
    <row r="81">
      <c r="A81" s="355" t="s">
        <v>198</v>
      </c>
      <c r="B81" s="355" t="s">
        <v>182</v>
      </c>
      <c r="C81" s="1500">
        <v>58533.0</v>
      </c>
      <c r="D81" s="355">
        <v>90.0</v>
      </c>
      <c r="E81" s="1195" t="s">
        <v>182</v>
      </c>
      <c r="F81" s="1210"/>
      <c r="G81" s="1210"/>
      <c r="H81" s="1492"/>
      <c r="I81" s="1492"/>
      <c r="J81" s="1492"/>
      <c r="K81" s="1492"/>
      <c r="L81" s="1492"/>
      <c r="M81" s="1492"/>
    </row>
    <row r="82">
      <c r="A82" s="355" t="s">
        <v>199</v>
      </c>
      <c r="B82" s="355" t="s">
        <v>182</v>
      </c>
      <c r="C82" s="1500">
        <v>13918.0</v>
      </c>
      <c r="D82" s="355">
        <v>19.0</v>
      </c>
      <c r="E82" s="1195" t="s">
        <v>182</v>
      </c>
      <c r="F82" s="1210"/>
      <c r="G82" s="1210"/>
      <c r="H82" s="1492"/>
      <c r="I82" s="1492"/>
      <c r="J82" s="1492"/>
      <c r="K82" s="1492"/>
      <c r="L82" s="1492"/>
      <c r="M82" s="1492"/>
    </row>
    <row r="83">
      <c r="A83" s="355" t="s">
        <v>200</v>
      </c>
      <c r="B83" s="355" t="s">
        <v>182</v>
      </c>
      <c r="C83" s="1500">
        <v>13345.0</v>
      </c>
      <c r="D83" s="355">
        <v>17.0</v>
      </c>
      <c r="E83" s="1195" t="s">
        <v>182</v>
      </c>
      <c r="F83" s="1210"/>
      <c r="G83" s="1210"/>
      <c r="H83" s="1492"/>
      <c r="I83" s="1492"/>
      <c r="J83" s="1492"/>
      <c r="K83" s="1492"/>
      <c r="L83" s="1492"/>
      <c r="M83" s="1492"/>
    </row>
    <row r="84">
      <c r="A84" s="355" t="s">
        <v>201</v>
      </c>
      <c r="B84" s="355" t="s">
        <v>182</v>
      </c>
      <c r="C84" s="1500">
        <v>8303.0</v>
      </c>
      <c r="D84" s="355">
        <v>8.0</v>
      </c>
      <c r="E84" s="1195" t="s">
        <v>182</v>
      </c>
      <c r="F84" s="1210"/>
      <c r="G84" s="1210"/>
      <c r="H84" s="1492"/>
      <c r="I84" s="1492"/>
      <c r="J84" s="1492"/>
      <c r="K84" s="1492"/>
      <c r="L84" s="1492"/>
      <c r="M84" s="1492"/>
    </row>
    <row r="85">
      <c r="A85" s="355" t="s">
        <v>204</v>
      </c>
      <c r="B85" s="355" t="s">
        <v>182</v>
      </c>
      <c r="C85" s="1500">
        <v>1587.0</v>
      </c>
      <c r="D85" s="355" t="s">
        <v>63</v>
      </c>
      <c r="E85" s="1195" t="s">
        <v>182</v>
      </c>
      <c r="F85" s="1210"/>
      <c r="G85" s="1210"/>
      <c r="H85" s="1492"/>
      <c r="I85" s="1492"/>
      <c r="J85" s="1492"/>
      <c r="K85" s="1492"/>
      <c r="L85" s="1492"/>
      <c r="M85" s="1492"/>
    </row>
    <row r="86">
      <c r="A86" s="355" t="s">
        <v>205</v>
      </c>
      <c r="B86" s="355" t="s">
        <v>182</v>
      </c>
      <c r="C86" s="1500">
        <v>107610.0</v>
      </c>
      <c r="D86" s="355">
        <v>88.0</v>
      </c>
      <c r="E86" s="1195" t="s">
        <v>182</v>
      </c>
      <c r="F86" s="1210"/>
      <c r="G86" s="1210"/>
      <c r="H86" s="1492"/>
      <c r="I86" s="1492"/>
      <c r="J86" s="1492"/>
      <c r="K86" s="1492"/>
      <c r="L86" s="1492"/>
      <c r="M86" s="1492"/>
    </row>
    <row r="87">
      <c r="A87" s="355" t="s">
        <v>206</v>
      </c>
      <c r="B87" s="355" t="s">
        <v>182</v>
      </c>
      <c r="C87" s="1500">
        <v>10008.0</v>
      </c>
      <c r="D87" s="355">
        <v>12.0</v>
      </c>
      <c r="E87" s="1195" t="s">
        <v>182</v>
      </c>
      <c r="F87" s="1210"/>
      <c r="G87" s="1210"/>
      <c r="H87" s="1492"/>
      <c r="I87" s="1492"/>
      <c r="J87" s="1492"/>
      <c r="K87" s="1492"/>
      <c r="L87" s="1492"/>
      <c r="M87" s="1492"/>
    </row>
    <row r="88">
      <c r="A88" s="355" t="s">
        <v>207</v>
      </c>
      <c r="B88" s="355" t="s">
        <v>182</v>
      </c>
      <c r="C88" s="1500">
        <v>9872.0</v>
      </c>
      <c r="D88" s="355">
        <v>10.0</v>
      </c>
      <c r="E88" s="1195" t="s">
        <v>182</v>
      </c>
      <c r="F88" s="1210"/>
      <c r="G88" s="1210"/>
      <c r="H88" s="1492"/>
      <c r="I88" s="1492"/>
      <c r="J88" s="1492"/>
      <c r="K88" s="1492"/>
      <c r="L88" s="1492"/>
      <c r="M88" s="1492"/>
    </row>
    <row r="89">
      <c r="A89" s="355" t="s">
        <v>208</v>
      </c>
      <c r="B89" s="355" t="s">
        <v>182</v>
      </c>
      <c r="C89" s="1500">
        <v>7671.0</v>
      </c>
      <c r="D89" s="355">
        <v>14.0</v>
      </c>
      <c r="E89" s="1195" t="s">
        <v>182</v>
      </c>
      <c r="F89" s="1210"/>
      <c r="G89" s="1210"/>
      <c r="H89" s="1492"/>
      <c r="I89" s="1492"/>
      <c r="J89" s="1492"/>
      <c r="K89" s="1492"/>
      <c r="L89" s="1492"/>
      <c r="M89" s="1492"/>
    </row>
    <row r="90">
      <c r="A90" s="355" t="s">
        <v>209</v>
      </c>
      <c r="B90" s="355" t="s">
        <v>182</v>
      </c>
      <c r="C90" s="1500">
        <v>3221.0</v>
      </c>
      <c r="D90" s="355">
        <v>12.0</v>
      </c>
      <c r="E90" s="1195" t="s">
        <v>182</v>
      </c>
      <c r="F90" s="1210"/>
      <c r="G90" s="1210"/>
      <c r="H90" s="1492"/>
      <c r="I90" s="1492"/>
      <c r="J90" s="1492"/>
      <c r="K90" s="1492"/>
      <c r="L90" s="1492"/>
      <c r="M90" s="1492"/>
      <c r="O90" s="1"/>
    </row>
    <row r="91">
      <c r="A91" s="355" t="s">
        <v>972</v>
      </c>
      <c r="B91" s="355" t="s">
        <v>182</v>
      </c>
      <c r="C91" s="1500">
        <v>6422.0</v>
      </c>
      <c r="D91" s="355">
        <v>9.0</v>
      </c>
      <c r="E91" s="1195" t="s">
        <v>182</v>
      </c>
      <c r="F91" s="1210"/>
      <c r="G91" s="1210"/>
      <c r="H91" s="1492"/>
      <c r="I91" s="1492"/>
      <c r="J91" s="1492"/>
      <c r="K91" s="1492"/>
      <c r="L91" s="1492"/>
      <c r="M91" s="1492"/>
      <c r="O91" s="1494"/>
    </row>
    <row r="92">
      <c r="A92" s="355" t="s">
        <v>211</v>
      </c>
      <c r="B92" s="355" t="s">
        <v>182</v>
      </c>
      <c r="C92" s="1500">
        <v>8647.0</v>
      </c>
      <c r="D92" s="355">
        <v>17.0</v>
      </c>
      <c r="E92" s="1195" t="s">
        <v>182</v>
      </c>
      <c r="F92" s="1210"/>
      <c r="G92" s="1210"/>
      <c r="H92" s="1492"/>
      <c r="I92" s="1492"/>
      <c r="J92" s="1492"/>
      <c r="K92" s="1492"/>
      <c r="L92" s="1492"/>
      <c r="M92" s="1492"/>
      <c r="O92" s="1494"/>
    </row>
    <row r="93">
      <c r="A93" s="355" t="s">
        <v>212</v>
      </c>
      <c r="B93" s="355" t="s">
        <v>182</v>
      </c>
      <c r="C93" s="1500">
        <v>1148.0</v>
      </c>
      <c r="D93" s="355">
        <v>5.0</v>
      </c>
      <c r="E93" s="1195" t="s">
        <v>182</v>
      </c>
      <c r="F93" s="1210"/>
      <c r="G93" s="1210"/>
      <c r="H93" s="1492"/>
      <c r="I93" s="1492"/>
      <c r="J93" s="1492"/>
      <c r="K93" s="1492"/>
      <c r="L93" s="1492"/>
      <c r="M93" s="1492"/>
      <c r="O93" s="1494"/>
    </row>
    <row r="94">
      <c r="A94" s="355" t="s">
        <v>213</v>
      </c>
      <c r="B94" s="355" t="s">
        <v>182</v>
      </c>
      <c r="C94" s="1500">
        <v>6918.0</v>
      </c>
      <c r="D94" s="355">
        <v>15.0</v>
      </c>
      <c r="E94" s="1195" t="s">
        <v>182</v>
      </c>
      <c r="F94" s="1210"/>
      <c r="G94" s="1210"/>
      <c r="H94" s="1492"/>
      <c r="I94" s="1492"/>
      <c r="J94" s="1492"/>
      <c r="K94" s="1492"/>
      <c r="L94" s="1492"/>
      <c r="M94" s="1492"/>
      <c r="O94" s="1494"/>
    </row>
    <row r="95">
      <c r="A95" s="355" t="s">
        <v>4278</v>
      </c>
      <c r="B95" s="355" t="s">
        <v>182</v>
      </c>
      <c r="C95" s="1500">
        <v>9164.0</v>
      </c>
      <c r="D95" s="355" t="s">
        <v>63</v>
      </c>
      <c r="E95" s="1195" t="s">
        <v>182</v>
      </c>
      <c r="F95" s="1210"/>
      <c r="G95" s="1210"/>
      <c r="H95" s="1492"/>
      <c r="I95" s="1492"/>
      <c r="J95" s="1492"/>
      <c r="K95" s="1492"/>
      <c r="L95" s="1492"/>
      <c r="M95" s="1492"/>
      <c r="O95" s="1494"/>
    </row>
    <row r="96">
      <c r="A96" s="355" t="s">
        <v>214</v>
      </c>
      <c r="B96" s="355" t="s">
        <v>182</v>
      </c>
      <c r="C96" s="1500">
        <v>2503.0</v>
      </c>
      <c r="D96" s="355">
        <v>8.0</v>
      </c>
      <c r="E96" s="1195" t="s">
        <v>182</v>
      </c>
      <c r="F96" s="1210"/>
      <c r="G96" s="1210"/>
      <c r="H96" s="1492"/>
      <c r="I96" s="1492"/>
      <c r="J96" s="1492"/>
      <c r="K96" s="1492"/>
      <c r="L96" s="1492"/>
      <c r="M96" s="1492"/>
      <c r="O96" s="1494"/>
    </row>
    <row r="97">
      <c r="A97" s="355" t="s">
        <v>215</v>
      </c>
      <c r="B97" s="355" t="s">
        <v>182</v>
      </c>
      <c r="C97" s="1500">
        <v>604.0</v>
      </c>
      <c r="D97" s="355">
        <v>2.0</v>
      </c>
      <c r="E97" s="1195" t="s">
        <v>182</v>
      </c>
      <c r="F97" s="1210"/>
      <c r="G97" s="1210"/>
      <c r="H97" s="1492"/>
      <c r="I97" s="1492"/>
      <c r="J97" s="1492"/>
      <c r="K97" s="1492"/>
      <c r="L97" s="1492"/>
      <c r="M97" s="1492"/>
      <c r="O97" s="1494"/>
    </row>
    <row r="98">
      <c r="A98" s="1501" t="s">
        <v>216</v>
      </c>
      <c r="B98" s="1501" t="s">
        <v>182</v>
      </c>
      <c r="C98" s="1500">
        <v>5327.0</v>
      </c>
      <c r="D98" s="1501">
        <v>10.0</v>
      </c>
      <c r="E98" s="1195" t="s">
        <v>182</v>
      </c>
      <c r="F98" s="1210"/>
      <c r="G98" s="1210"/>
      <c r="H98" s="1492"/>
      <c r="I98" s="1492"/>
      <c r="J98" s="1492"/>
      <c r="K98" s="1492"/>
      <c r="L98" s="1492"/>
      <c r="M98" s="1492"/>
      <c r="N98" s="1489"/>
      <c r="O98" s="1499"/>
      <c r="P98" s="1489"/>
      <c r="Q98" s="1489"/>
      <c r="R98" s="1489"/>
      <c r="S98" s="1489"/>
      <c r="T98" s="1489"/>
      <c r="U98" s="1489"/>
      <c r="V98" s="1489"/>
      <c r="W98" s="1489"/>
      <c r="X98" s="1489"/>
      <c r="Y98" s="1489"/>
      <c r="Z98" s="1489"/>
    </row>
    <row r="99">
      <c r="A99" s="1490" t="s">
        <v>220</v>
      </c>
      <c r="B99" s="1495" t="s">
        <v>217</v>
      </c>
      <c r="C99" s="1491">
        <v>71818.0</v>
      </c>
      <c r="D99" s="1495">
        <v>48.0</v>
      </c>
      <c r="E99" s="1195" t="s">
        <v>217</v>
      </c>
      <c r="F99" s="1210"/>
      <c r="G99" s="1210"/>
      <c r="H99" s="1492"/>
      <c r="I99" s="1492"/>
      <c r="J99" s="1492"/>
      <c r="K99" s="1492"/>
      <c r="L99" s="1492"/>
      <c r="M99" s="1492"/>
      <c r="O99" s="1494"/>
    </row>
    <row r="100">
      <c r="A100" s="1490" t="s">
        <v>221</v>
      </c>
      <c r="B100" s="1495" t="s">
        <v>217</v>
      </c>
      <c r="C100" s="1493">
        <v>126770.0</v>
      </c>
      <c r="D100" s="1495">
        <v>129.0</v>
      </c>
      <c r="E100" s="1195" t="s">
        <v>217</v>
      </c>
      <c r="F100" s="1210"/>
      <c r="G100" s="1210"/>
      <c r="H100" s="1492"/>
      <c r="I100" s="1492"/>
      <c r="J100" s="1492"/>
      <c r="K100" s="1492"/>
      <c r="L100" s="1492"/>
      <c r="M100" s="1492"/>
      <c r="O100" s="1494"/>
    </row>
    <row r="101">
      <c r="A101" s="1490" t="s">
        <v>222</v>
      </c>
      <c r="B101" s="1495" t="s">
        <v>217</v>
      </c>
      <c r="C101" s="1493">
        <v>142854.0</v>
      </c>
      <c r="D101" s="1495">
        <v>76.0</v>
      </c>
      <c r="E101" s="1195" t="s">
        <v>217</v>
      </c>
      <c r="F101" s="1210"/>
      <c r="G101" s="1210"/>
      <c r="H101" s="1492"/>
      <c r="I101" s="1492"/>
      <c r="J101" s="1492"/>
      <c r="K101" s="1492"/>
      <c r="L101" s="1492"/>
      <c r="M101" s="1492"/>
      <c r="O101" s="1494"/>
    </row>
    <row r="102">
      <c r="A102" s="1490" t="s">
        <v>223</v>
      </c>
      <c r="B102" s="1495" t="s">
        <v>217</v>
      </c>
      <c r="C102" s="1493">
        <v>53889.0</v>
      </c>
      <c r="D102" s="1495">
        <v>62.0</v>
      </c>
      <c r="E102" s="1195" t="s">
        <v>217</v>
      </c>
      <c r="F102" s="1210"/>
      <c r="G102" s="1210"/>
      <c r="H102" s="1492"/>
      <c r="I102" s="1492"/>
      <c r="J102" s="1492"/>
      <c r="K102" s="1492"/>
      <c r="L102" s="1492"/>
      <c r="M102" s="1492"/>
      <c r="O102" s="1494"/>
    </row>
    <row r="103">
      <c r="A103" s="1490" t="s">
        <v>224</v>
      </c>
      <c r="B103" s="1495" t="s">
        <v>217</v>
      </c>
      <c r="C103" s="1493">
        <v>38072.0</v>
      </c>
      <c r="D103" s="1495">
        <v>24.0</v>
      </c>
      <c r="E103" s="1195" t="s">
        <v>217</v>
      </c>
      <c r="F103" s="1210"/>
      <c r="G103" s="1210"/>
      <c r="H103" s="1492"/>
      <c r="I103" s="1492"/>
      <c r="J103" s="1492"/>
      <c r="K103" s="1492"/>
      <c r="L103" s="1492"/>
      <c r="M103" s="1492"/>
      <c r="O103" s="1494"/>
    </row>
    <row r="104">
      <c r="A104" s="1490" t="s">
        <v>226</v>
      </c>
      <c r="B104" s="1495" t="s">
        <v>217</v>
      </c>
      <c r="C104" s="1493">
        <v>9483.0</v>
      </c>
      <c r="D104" s="1495">
        <v>7.0</v>
      </c>
      <c r="E104" s="1195" t="s">
        <v>217</v>
      </c>
      <c r="F104" s="1210"/>
      <c r="G104" s="1210"/>
      <c r="H104" s="1492"/>
      <c r="I104" s="1492"/>
      <c r="J104" s="1492"/>
      <c r="K104" s="1492"/>
      <c r="L104" s="1492"/>
      <c r="M104" s="1492"/>
      <c r="O104" s="1494"/>
    </row>
    <row r="105">
      <c r="A105" s="1490" t="s">
        <v>227</v>
      </c>
      <c r="B105" s="1495" t="s">
        <v>217</v>
      </c>
      <c r="C105" s="1493">
        <v>21098.0</v>
      </c>
      <c r="D105" s="1495">
        <v>25.0</v>
      </c>
      <c r="E105" s="1195" t="s">
        <v>217</v>
      </c>
      <c r="F105" s="1210"/>
      <c r="G105" s="1210"/>
      <c r="H105" s="1492"/>
      <c r="I105" s="1492"/>
      <c r="J105" s="1492"/>
      <c r="K105" s="1492"/>
      <c r="L105" s="1492"/>
      <c r="M105" s="1492"/>
      <c r="O105" s="1494"/>
    </row>
    <row r="106">
      <c r="A106" s="1490" t="s">
        <v>225</v>
      </c>
      <c r="B106" s="1495" t="s">
        <v>217</v>
      </c>
      <c r="C106" s="1493">
        <v>4410824.0</v>
      </c>
      <c r="D106" s="1502">
        <v>1166.0</v>
      </c>
      <c r="E106" s="1195" t="s">
        <v>217</v>
      </c>
      <c r="F106" s="1210"/>
      <c r="G106" s="1210"/>
      <c r="H106" s="1492"/>
      <c r="I106" s="1492"/>
      <c r="J106" s="1492"/>
      <c r="K106" s="1492"/>
      <c r="L106" s="1492"/>
      <c r="M106" s="1492"/>
      <c r="O106" s="1494"/>
    </row>
    <row r="107">
      <c r="A107" s="1490" t="s">
        <v>228</v>
      </c>
      <c r="B107" s="1495" t="s">
        <v>217</v>
      </c>
      <c r="C107" s="1493">
        <v>209550.0</v>
      </c>
      <c r="D107" s="1495">
        <v>104.0</v>
      </c>
      <c r="E107" s="1195" t="s">
        <v>217</v>
      </c>
      <c r="F107" s="1210"/>
      <c r="G107" s="1210"/>
      <c r="H107" s="1492"/>
      <c r="I107" s="1492"/>
      <c r="J107" s="1492"/>
      <c r="K107" s="1492"/>
      <c r="L107" s="1492"/>
      <c r="M107" s="1492"/>
      <c r="O107" s="1494"/>
    </row>
    <row r="108">
      <c r="A108" s="1490" t="s">
        <v>229</v>
      </c>
      <c r="B108" s="1495" t="s">
        <v>217</v>
      </c>
      <c r="C108" s="1493">
        <v>110445.0</v>
      </c>
      <c r="D108" s="1490">
        <v>81.0</v>
      </c>
      <c r="E108" s="1195" t="s">
        <v>217</v>
      </c>
      <c r="F108" s="1210"/>
      <c r="G108" s="1210"/>
      <c r="H108" s="1492"/>
      <c r="I108" s="1492"/>
      <c r="J108" s="1492"/>
      <c r="K108" s="1492"/>
      <c r="L108" s="1492"/>
      <c r="M108" s="1492"/>
      <c r="O108" s="1494"/>
    </row>
    <row r="109">
      <c r="A109" s="1490" t="s">
        <v>230</v>
      </c>
      <c r="B109" s="1495" t="s">
        <v>217</v>
      </c>
      <c r="C109" s="1493">
        <v>1039073.0</v>
      </c>
      <c r="D109" s="1490">
        <v>404.0</v>
      </c>
      <c r="E109" s="1195" t="s">
        <v>217</v>
      </c>
      <c r="F109" s="1210"/>
      <c r="G109" s="1210"/>
      <c r="H109" s="1492"/>
      <c r="I109" s="1492"/>
      <c r="J109" s="1492"/>
      <c r="K109" s="1492"/>
      <c r="L109" s="1492"/>
      <c r="M109" s="1492"/>
      <c r="O109" s="1494"/>
    </row>
    <row r="110">
      <c r="A110" s="1490" t="s">
        <v>231</v>
      </c>
      <c r="B110" s="1495" t="s">
        <v>217</v>
      </c>
      <c r="C110" s="1493">
        <v>447138.0</v>
      </c>
      <c r="D110" s="1495">
        <v>131.0</v>
      </c>
      <c r="E110" s="1195" t="s">
        <v>217</v>
      </c>
      <c r="F110" s="1210"/>
      <c r="G110" s="1210"/>
      <c r="H110" s="1492"/>
      <c r="I110" s="1492"/>
      <c r="J110" s="1492"/>
      <c r="K110" s="1492"/>
      <c r="L110" s="1492"/>
      <c r="M110" s="1492"/>
      <c r="O110" s="1494"/>
    </row>
    <row r="111">
      <c r="A111" s="1490" t="s">
        <v>232</v>
      </c>
      <c r="B111" s="1495" t="s">
        <v>217</v>
      </c>
      <c r="C111" s="1493">
        <v>46511.0</v>
      </c>
      <c r="D111" s="1495">
        <v>19.0</v>
      </c>
      <c r="E111" s="1195" t="s">
        <v>217</v>
      </c>
      <c r="F111" s="1210"/>
      <c r="G111" s="1210"/>
      <c r="H111" s="1492"/>
      <c r="I111" s="1492"/>
      <c r="J111" s="1492"/>
      <c r="K111" s="1492"/>
      <c r="L111" s="1492"/>
      <c r="M111" s="1492"/>
      <c r="O111" s="1494"/>
    </row>
    <row r="112">
      <c r="A112" s="1490" t="s">
        <v>234</v>
      </c>
      <c r="B112" s="1495" t="s">
        <v>217</v>
      </c>
      <c r="C112" s="1493">
        <v>231993.0</v>
      </c>
      <c r="D112" s="1495">
        <v>161.0</v>
      </c>
      <c r="E112" s="1195" t="s">
        <v>217</v>
      </c>
      <c r="F112" s="1210"/>
      <c r="G112" s="1210"/>
      <c r="H112" s="1492"/>
      <c r="I112" s="1492"/>
      <c r="J112" s="1492"/>
      <c r="K112" s="1492"/>
      <c r="L112" s="1492"/>
      <c r="M112" s="1492"/>
      <c r="O112" s="1494"/>
    </row>
    <row r="113">
      <c r="A113" s="1496" t="s">
        <v>236</v>
      </c>
      <c r="B113" s="1498" t="s">
        <v>217</v>
      </c>
      <c r="C113" s="1497">
        <v>212128.0</v>
      </c>
      <c r="D113" s="1498">
        <v>70.0</v>
      </c>
      <c r="E113" s="1195" t="s">
        <v>217</v>
      </c>
      <c r="F113" s="1210"/>
      <c r="G113" s="1210"/>
      <c r="H113" s="1492"/>
      <c r="I113" s="1492"/>
      <c r="J113" s="1492"/>
      <c r="K113" s="1492"/>
      <c r="L113" s="1492"/>
      <c r="M113" s="1492"/>
      <c r="N113" s="1489"/>
      <c r="O113" s="1499"/>
      <c r="P113" s="1489"/>
      <c r="Q113" s="1489"/>
      <c r="R113" s="1489"/>
      <c r="S113" s="1489"/>
      <c r="T113" s="1489"/>
      <c r="U113" s="1489"/>
      <c r="V113" s="1489"/>
      <c r="W113" s="1489"/>
      <c r="X113" s="1489"/>
      <c r="Y113" s="1489"/>
      <c r="Z113" s="1489"/>
    </row>
    <row r="114">
      <c r="A114" s="355" t="s">
        <v>34</v>
      </c>
      <c r="B114" s="1503" t="s">
        <v>237</v>
      </c>
      <c r="C114" s="1504">
        <v>17769.0</v>
      </c>
      <c r="D114" s="1503">
        <v>33.0</v>
      </c>
      <c r="E114" s="1195" t="s">
        <v>237</v>
      </c>
      <c r="F114" s="1210"/>
      <c r="G114" s="1210"/>
      <c r="H114" s="1492"/>
      <c r="I114" s="1492"/>
      <c r="J114" s="1492"/>
      <c r="K114" s="1492"/>
      <c r="L114" s="1492"/>
      <c r="M114" s="1492"/>
      <c r="O114" s="1494"/>
    </row>
    <row r="115">
      <c r="A115" s="355" t="s">
        <v>240</v>
      </c>
      <c r="B115" s="1503" t="s">
        <v>237</v>
      </c>
      <c r="C115" s="1504">
        <v>20046.0</v>
      </c>
      <c r="D115" s="1503">
        <v>52.0</v>
      </c>
      <c r="E115" s="1195" t="s">
        <v>237</v>
      </c>
      <c r="F115" s="1210"/>
      <c r="G115" s="1210"/>
      <c r="H115" s="1492"/>
      <c r="I115" s="1492"/>
      <c r="J115" s="1492"/>
      <c r="K115" s="1492"/>
      <c r="L115" s="1492"/>
      <c r="M115" s="1492"/>
      <c r="O115" s="1494"/>
    </row>
    <row r="116">
      <c r="A116" s="355" t="s">
        <v>242</v>
      </c>
      <c r="B116" s="1503" t="s">
        <v>237</v>
      </c>
      <c r="C116" s="1504">
        <v>41619.0</v>
      </c>
      <c r="D116" s="1503">
        <v>52.0</v>
      </c>
      <c r="E116" s="1195" t="s">
        <v>237</v>
      </c>
      <c r="F116" s="1210"/>
      <c r="G116" s="1210"/>
      <c r="H116" s="1492"/>
      <c r="I116" s="1492"/>
      <c r="J116" s="1492"/>
      <c r="K116" s="1492"/>
      <c r="L116" s="1492"/>
      <c r="M116" s="1492"/>
      <c r="O116" s="1494"/>
    </row>
    <row r="117">
      <c r="A117" s="355" t="s">
        <v>243</v>
      </c>
      <c r="B117" s="1503" t="s">
        <v>237</v>
      </c>
      <c r="C117" s="1504">
        <v>272608.0</v>
      </c>
      <c r="D117" s="1503">
        <v>197.0</v>
      </c>
      <c r="E117" s="1195" t="s">
        <v>237</v>
      </c>
      <c r="F117" s="1210"/>
      <c r="G117" s="1210"/>
      <c r="H117" s="1492"/>
      <c r="I117" s="1492"/>
      <c r="J117" s="1492"/>
      <c r="K117" s="1492"/>
      <c r="L117" s="1492"/>
      <c r="M117" s="1492"/>
      <c r="O117" s="1494"/>
    </row>
    <row r="118">
      <c r="A118" s="355" t="s">
        <v>246</v>
      </c>
      <c r="B118" s="1503" t="s">
        <v>237</v>
      </c>
      <c r="C118" s="1504">
        <v>37480.0</v>
      </c>
      <c r="D118" s="1503">
        <v>67.0</v>
      </c>
      <c r="E118" s="1195" t="s">
        <v>237</v>
      </c>
      <c r="F118" s="1210"/>
      <c r="G118" s="1210"/>
      <c r="H118" s="1492"/>
      <c r="I118" s="1492"/>
      <c r="J118" s="1492"/>
      <c r="K118" s="1492"/>
      <c r="L118" s="1492"/>
      <c r="M118" s="1492"/>
      <c r="O118" s="1494"/>
    </row>
    <row r="119">
      <c r="A119" s="355" t="s">
        <v>247</v>
      </c>
      <c r="B119" s="1503" t="s">
        <v>237</v>
      </c>
      <c r="C119" s="1504">
        <v>10897.0</v>
      </c>
      <c r="D119" s="1503">
        <v>18.0</v>
      </c>
      <c r="E119" s="1195" t="s">
        <v>237</v>
      </c>
      <c r="F119" s="1210"/>
      <c r="G119" s="1210"/>
      <c r="H119" s="1492"/>
      <c r="I119" s="1492"/>
      <c r="J119" s="1492"/>
      <c r="K119" s="1492"/>
      <c r="L119" s="1492"/>
      <c r="M119" s="1492"/>
      <c r="O119" s="1494"/>
    </row>
    <row r="120">
      <c r="A120" s="355" t="s">
        <v>93</v>
      </c>
      <c r="B120" s="1503" t="s">
        <v>237</v>
      </c>
      <c r="C120" s="1504">
        <v>5277.0</v>
      </c>
      <c r="D120" s="1503">
        <v>16.0</v>
      </c>
      <c r="E120" s="1195" t="s">
        <v>237</v>
      </c>
      <c r="F120" s="1210"/>
      <c r="G120" s="1210"/>
      <c r="H120" s="1492"/>
      <c r="I120" s="1492"/>
      <c r="J120" s="1492"/>
      <c r="K120" s="1492"/>
      <c r="L120" s="1492"/>
      <c r="M120" s="1492"/>
      <c r="O120" s="1494"/>
    </row>
    <row r="121">
      <c r="A121" s="355" t="s">
        <v>248</v>
      </c>
      <c r="B121" s="1503" t="s">
        <v>237</v>
      </c>
      <c r="C121" s="1504">
        <v>28223.0</v>
      </c>
      <c r="D121" s="1503">
        <v>35.0</v>
      </c>
      <c r="E121" s="1195" t="s">
        <v>237</v>
      </c>
      <c r="F121" s="1210"/>
      <c r="G121" s="1210"/>
      <c r="H121" s="1492"/>
      <c r="I121" s="1492"/>
      <c r="J121" s="1492"/>
      <c r="K121" s="1492"/>
      <c r="L121" s="1492"/>
      <c r="M121" s="1492"/>
      <c r="O121" s="1494"/>
    </row>
    <row r="122">
      <c r="A122" s="355" t="s">
        <v>251</v>
      </c>
      <c r="B122" s="1503" t="s">
        <v>237</v>
      </c>
      <c r="C122" s="1504">
        <v>10438.0</v>
      </c>
      <c r="D122" s="1503">
        <v>24.0</v>
      </c>
      <c r="E122" s="1195" t="s">
        <v>237</v>
      </c>
      <c r="F122" s="1210"/>
      <c r="G122" s="1210"/>
      <c r="H122" s="1492"/>
      <c r="I122" s="1492"/>
      <c r="J122" s="1492"/>
      <c r="K122" s="1492"/>
      <c r="L122" s="1492"/>
      <c r="M122" s="1492"/>
      <c r="O122" s="1494"/>
    </row>
    <row r="123">
      <c r="A123" s="355" t="s">
        <v>253</v>
      </c>
      <c r="B123" s="1503" t="s">
        <v>237</v>
      </c>
      <c r="C123" s="1504">
        <v>22061.0</v>
      </c>
      <c r="D123" s="1503">
        <v>48.0</v>
      </c>
      <c r="E123" s="1195" t="s">
        <v>237</v>
      </c>
      <c r="F123" s="1210"/>
      <c r="G123" s="1210"/>
      <c r="H123" s="1492"/>
      <c r="I123" s="1492"/>
      <c r="J123" s="1492"/>
      <c r="K123" s="1492"/>
      <c r="L123" s="1492"/>
      <c r="M123" s="1492"/>
      <c r="O123" s="1494"/>
    </row>
    <row r="124">
      <c r="A124" s="355" t="s">
        <v>112</v>
      </c>
      <c r="B124" s="1503" t="s">
        <v>237</v>
      </c>
      <c r="C124" s="1504">
        <v>14847.0</v>
      </c>
      <c r="D124" s="1503">
        <v>21.0</v>
      </c>
      <c r="E124" s="1195" t="s">
        <v>237</v>
      </c>
      <c r="F124" s="1210"/>
      <c r="G124" s="1210"/>
      <c r="H124" s="1492"/>
      <c r="I124" s="1492"/>
      <c r="J124" s="1492"/>
      <c r="K124" s="1492"/>
      <c r="L124" s="1492"/>
      <c r="M124" s="1492"/>
      <c r="O124" s="1494"/>
    </row>
    <row r="125">
      <c r="A125" s="355" t="s">
        <v>115</v>
      </c>
      <c r="B125" s="1503" t="s">
        <v>237</v>
      </c>
      <c r="C125" s="1504">
        <v>24965.0</v>
      </c>
      <c r="D125" s="1503">
        <v>47.0</v>
      </c>
      <c r="E125" s="1195" t="s">
        <v>237</v>
      </c>
      <c r="F125" s="1210"/>
      <c r="G125" s="1210"/>
      <c r="H125" s="1492"/>
      <c r="I125" s="1492"/>
      <c r="J125" s="1492"/>
      <c r="K125" s="1492"/>
      <c r="L125" s="1492"/>
      <c r="M125" s="1492"/>
      <c r="O125" s="1494"/>
    </row>
    <row r="126">
      <c r="A126" s="355" t="s">
        <v>257</v>
      </c>
      <c r="B126" s="1503" t="s">
        <v>237</v>
      </c>
      <c r="C126" s="1504">
        <v>8018.0</v>
      </c>
      <c r="D126" s="1503">
        <v>18.0</v>
      </c>
      <c r="E126" s="1195" t="s">
        <v>237</v>
      </c>
      <c r="F126" s="1210"/>
      <c r="G126" s="1210"/>
      <c r="H126" s="1492"/>
      <c r="I126" s="1492"/>
      <c r="J126" s="1492"/>
      <c r="K126" s="1492"/>
      <c r="L126" s="1492"/>
      <c r="M126" s="1492"/>
      <c r="O126" s="1494"/>
    </row>
    <row r="127">
      <c r="A127" s="355" t="s">
        <v>258</v>
      </c>
      <c r="B127" s="1503" t="s">
        <v>237</v>
      </c>
      <c r="C127" s="1504">
        <v>23537.0</v>
      </c>
      <c r="D127" s="1503">
        <v>36.0</v>
      </c>
      <c r="E127" s="1195" t="s">
        <v>237</v>
      </c>
      <c r="F127" s="1210"/>
      <c r="G127" s="1210"/>
      <c r="H127" s="1492"/>
      <c r="I127" s="1492"/>
      <c r="J127" s="1492"/>
      <c r="K127" s="1492"/>
      <c r="L127" s="1492"/>
      <c r="M127" s="1492"/>
      <c r="O127" s="1494"/>
    </row>
    <row r="128">
      <c r="A128" s="355" t="s">
        <v>260</v>
      </c>
      <c r="B128" s="1503" t="s">
        <v>237</v>
      </c>
      <c r="C128" s="1504">
        <v>20891.0</v>
      </c>
      <c r="D128" s="1503">
        <v>32.0</v>
      </c>
      <c r="E128" s="1195" t="s">
        <v>237</v>
      </c>
      <c r="F128" s="1210"/>
      <c r="G128" s="1210"/>
      <c r="H128" s="1492"/>
      <c r="I128" s="1492"/>
      <c r="J128" s="1492"/>
      <c r="K128" s="1492"/>
      <c r="L128" s="1492"/>
      <c r="M128" s="1492"/>
      <c r="O128" s="1494"/>
    </row>
    <row r="129">
      <c r="A129" s="355" t="s">
        <v>262</v>
      </c>
      <c r="B129" s="1503" t="s">
        <v>237</v>
      </c>
      <c r="C129" s="1504">
        <v>108558.0</v>
      </c>
      <c r="D129" s="1503">
        <v>114.0</v>
      </c>
      <c r="E129" s="1195" t="s">
        <v>237</v>
      </c>
      <c r="F129" s="1210"/>
      <c r="G129" s="1210"/>
      <c r="H129" s="1492"/>
      <c r="I129" s="1492"/>
      <c r="J129" s="1492"/>
      <c r="K129" s="1492"/>
      <c r="L129" s="1492"/>
      <c r="M129" s="1492"/>
      <c r="O129" s="1494"/>
    </row>
    <row r="130">
      <c r="A130" s="355" t="s">
        <v>263</v>
      </c>
      <c r="B130" s="1503" t="s">
        <v>237</v>
      </c>
      <c r="C130" s="1504">
        <v>63406.0</v>
      </c>
      <c r="D130" s="1503">
        <v>63.0</v>
      </c>
      <c r="E130" s="1195" t="s">
        <v>237</v>
      </c>
      <c r="F130" s="1210"/>
      <c r="G130" s="1210"/>
      <c r="H130" s="1492"/>
      <c r="I130" s="1492"/>
      <c r="J130" s="1492"/>
      <c r="K130" s="1492"/>
      <c r="L130" s="1492"/>
      <c r="M130" s="1492"/>
      <c r="O130" s="1494"/>
    </row>
    <row r="131">
      <c r="A131" s="355" t="s">
        <v>264</v>
      </c>
      <c r="B131" s="1503" t="s">
        <v>237</v>
      </c>
      <c r="C131" s="1504">
        <v>48342.0</v>
      </c>
      <c r="D131" s="1503">
        <v>64.0</v>
      </c>
      <c r="E131" s="1195" t="s">
        <v>237</v>
      </c>
      <c r="F131" s="1210"/>
      <c r="G131" s="1210"/>
      <c r="H131" s="1492"/>
      <c r="I131" s="1492"/>
      <c r="J131" s="1492"/>
      <c r="K131" s="1492"/>
      <c r="L131" s="1492"/>
      <c r="M131" s="1492"/>
      <c r="O131" s="1494"/>
    </row>
    <row r="132">
      <c r="A132" s="355" t="s">
        <v>266</v>
      </c>
      <c r="B132" s="1503" t="s">
        <v>237</v>
      </c>
      <c r="C132" s="1504">
        <v>16676.0</v>
      </c>
      <c r="D132" s="1503">
        <v>29.0</v>
      </c>
      <c r="E132" s="1195" t="s">
        <v>237</v>
      </c>
      <c r="F132" s="1210"/>
      <c r="G132" s="1210"/>
      <c r="H132" s="1492"/>
      <c r="I132" s="1492"/>
      <c r="J132" s="1492"/>
      <c r="K132" s="1492"/>
      <c r="L132" s="1492"/>
      <c r="M132" s="1492"/>
      <c r="O132" s="1494"/>
    </row>
    <row r="133">
      <c r="A133" s="355" t="s">
        <v>130</v>
      </c>
      <c r="B133" s="1503" t="s">
        <v>237</v>
      </c>
      <c r="C133" s="1504">
        <v>7182.0</v>
      </c>
      <c r="D133" s="1503">
        <v>30.0</v>
      </c>
      <c r="E133" s="1195" t="s">
        <v>237</v>
      </c>
      <c r="F133" s="1210"/>
      <c r="G133" s="1210"/>
      <c r="H133" s="1492"/>
      <c r="I133" s="1492"/>
      <c r="J133" s="1492"/>
      <c r="K133" s="1492"/>
      <c r="L133" s="1492"/>
      <c r="M133" s="1492"/>
      <c r="O133" s="1494"/>
    </row>
    <row r="134">
      <c r="A134" s="355" t="s">
        <v>268</v>
      </c>
      <c r="B134" s="1503" t="s">
        <v>237</v>
      </c>
      <c r="C134" s="1504">
        <v>11512.0</v>
      </c>
      <c r="D134" s="1503">
        <v>24.0</v>
      </c>
      <c r="E134" s="1195" t="s">
        <v>237</v>
      </c>
      <c r="F134" s="1210"/>
      <c r="G134" s="1210"/>
      <c r="H134" s="1492"/>
      <c r="I134" s="1492"/>
      <c r="J134" s="1492"/>
      <c r="K134" s="1492"/>
      <c r="L134" s="1492"/>
      <c r="M134" s="1492"/>
      <c r="O134" s="1494"/>
    </row>
    <row r="135">
      <c r="A135" s="355" t="s">
        <v>270</v>
      </c>
      <c r="B135" s="1503" t="s">
        <v>237</v>
      </c>
      <c r="C135" s="1504">
        <v>18328.0</v>
      </c>
      <c r="D135" s="1503">
        <v>28.0</v>
      </c>
      <c r="E135" s="1195" t="s">
        <v>237</v>
      </c>
      <c r="F135" s="1210"/>
      <c r="G135" s="1210"/>
      <c r="H135" s="1492"/>
      <c r="I135" s="1492"/>
      <c r="J135" s="1492"/>
      <c r="K135" s="1492"/>
      <c r="L135" s="1492"/>
      <c r="M135" s="1492"/>
      <c r="O135" s="1494"/>
    </row>
    <row r="136">
      <c r="A136" s="355" t="s">
        <v>271</v>
      </c>
      <c r="B136" s="1503" t="s">
        <v>237</v>
      </c>
      <c r="C136" s="1504">
        <v>124806.0</v>
      </c>
      <c r="D136" s="1503">
        <v>114.0</v>
      </c>
      <c r="E136" s="1195" t="s">
        <v>237</v>
      </c>
      <c r="F136" s="1210"/>
      <c r="G136" s="1210"/>
      <c r="H136" s="1492"/>
      <c r="I136" s="1492"/>
      <c r="J136" s="1492"/>
      <c r="K136" s="1492"/>
      <c r="L136" s="1492"/>
      <c r="M136" s="1492"/>
      <c r="O136" s="1494"/>
    </row>
    <row r="137">
      <c r="A137" s="355" t="s">
        <v>136</v>
      </c>
      <c r="B137" s="1503" t="s">
        <v>237</v>
      </c>
      <c r="C137" s="1504">
        <v>17810.0</v>
      </c>
      <c r="D137" s="1503">
        <v>22.0</v>
      </c>
      <c r="E137" s="1195" t="s">
        <v>237</v>
      </c>
      <c r="F137" s="1210"/>
      <c r="G137" s="1210"/>
      <c r="H137" s="1492"/>
      <c r="I137" s="1492"/>
      <c r="J137" s="1492"/>
      <c r="K137" s="1492"/>
      <c r="L137" s="1492"/>
      <c r="M137" s="1492"/>
      <c r="O137" s="1494"/>
    </row>
    <row r="138">
      <c r="A138" s="355" t="s">
        <v>275</v>
      </c>
      <c r="B138" s="1503" t="s">
        <v>237</v>
      </c>
      <c r="C138" s="1504">
        <v>12269.0</v>
      </c>
      <c r="D138" s="1503">
        <v>19.0</v>
      </c>
      <c r="E138" s="1195" t="s">
        <v>237</v>
      </c>
      <c r="F138" s="1210"/>
      <c r="G138" s="1210"/>
      <c r="H138" s="1492"/>
      <c r="I138" s="1492"/>
      <c r="J138" s="1492"/>
      <c r="K138" s="1492"/>
      <c r="L138" s="1492"/>
      <c r="M138" s="1492"/>
      <c r="O138" s="1494"/>
    </row>
    <row r="139">
      <c r="A139" s="355" t="s">
        <v>277</v>
      </c>
      <c r="B139" s="1503" t="s">
        <v>237</v>
      </c>
      <c r="C139" s="1504">
        <v>99154.0</v>
      </c>
      <c r="D139" s="1503">
        <v>107.0</v>
      </c>
      <c r="E139" s="1195" t="s">
        <v>237</v>
      </c>
      <c r="F139" s="1210"/>
      <c r="G139" s="1210"/>
      <c r="H139" s="1492"/>
      <c r="I139" s="1492"/>
      <c r="J139" s="1492"/>
      <c r="K139" s="1492"/>
      <c r="L139" s="1492"/>
      <c r="M139" s="1492"/>
      <c r="O139" s="1494"/>
    </row>
    <row r="140">
      <c r="A140" s="355" t="s">
        <v>278</v>
      </c>
      <c r="B140" s="1503" t="s">
        <v>237</v>
      </c>
      <c r="C140" s="1504">
        <v>18188.0</v>
      </c>
      <c r="D140" s="1503">
        <v>31.0</v>
      </c>
      <c r="E140" s="1195" t="s">
        <v>237</v>
      </c>
      <c r="F140" s="1210"/>
      <c r="G140" s="1210"/>
      <c r="H140" s="1492"/>
      <c r="I140" s="1492"/>
      <c r="J140" s="1492"/>
      <c r="K140" s="1492"/>
      <c r="L140" s="1492"/>
      <c r="M140" s="1492"/>
      <c r="O140" s="1494"/>
    </row>
    <row r="141">
      <c r="A141" s="355" t="s">
        <v>138</v>
      </c>
      <c r="B141" s="1503" t="s">
        <v>237</v>
      </c>
      <c r="C141" s="1504">
        <v>45325.0</v>
      </c>
      <c r="D141" s="1503">
        <v>45.0</v>
      </c>
      <c r="E141" s="1195" t="s">
        <v>237</v>
      </c>
      <c r="F141" s="1210"/>
      <c r="G141" s="1210"/>
      <c r="H141" s="1492"/>
      <c r="I141" s="1492"/>
      <c r="J141" s="1492"/>
      <c r="K141" s="1492"/>
      <c r="L141" s="1492"/>
      <c r="M141" s="1492"/>
      <c r="O141" s="1494"/>
    </row>
    <row r="142">
      <c r="A142" s="355" t="s">
        <v>279</v>
      </c>
      <c r="B142" s="1503" t="s">
        <v>237</v>
      </c>
      <c r="C142" s="1504">
        <v>21741.0</v>
      </c>
      <c r="D142" s="1503">
        <v>36.0</v>
      </c>
      <c r="E142" s="1195" t="s">
        <v>237</v>
      </c>
      <c r="F142" s="1210"/>
      <c r="G142" s="1210"/>
      <c r="H142" s="1492"/>
      <c r="I142" s="1492"/>
      <c r="J142" s="1492"/>
      <c r="K142" s="1492"/>
      <c r="L142" s="1492"/>
      <c r="M142" s="1492"/>
      <c r="O142" s="1494"/>
    </row>
    <row r="143">
      <c r="A143" s="355" t="s">
        <v>280</v>
      </c>
      <c r="B143" s="1503" t="s">
        <v>237</v>
      </c>
      <c r="C143" s="1504">
        <v>33701.0</v>
      </c>
      <c r="D143" s="1503">
        <v>54.0</v>
      </c>
      <c r="E143" s="1195" t="s">
        <v>237</v>
      </c>
      <c r="F143" s="1210"/>
      <c r="G143" s="1210"/>
      <c r="H143" s="1492"/>
      <c r="I143" s="1492"/>
      <c r="J143" s="1492"/>
      <c r="K143" s="1492"/>
      <c r="L143" s="1492"/>
      <c r="M143" s="1492"/>
      <c r="O143" s="1494"/>
    </row>
    <row r="144">
      <c r="A144" s="355" t="s">
        <v>283</v>
      </c>
      <c r="B144" s="1503" t="s">
        <v>237</v>
      </c>
      <c r="C144" s="1504">
        <v>13341.0</v>
      </c>
      <c r="D144" s="1503">
        <v>26.0</v>
      </c>
      <c r="E144" s="1195" t="s">
        <v>237</v>
      </c>
      <c r="F144" s="1210"/>
      <c r="G144" s="1210"/>
      <c r="H144" s="1492"/>
      <c r="I144" s="1492"/>
      <c r="J144" s="1492"/>
      <c r="K144" s="1492"/>
      <c r="L144" s="1492"/>
      <c r="M144" s="1492"/>
      <c r="O144" s="1494"/>
    </row>
    <row r="145">
      <c r="A145" s="355" t="s">
        <v>284</v>
      </c>
      <c r="B145" s="1503" t="s">
        <v>237</v>
      </c>
      <c r="C145" s="1504">
        <v>37678.0</v>
      </c>
      <c r="D145" s="1503">
        <v>45.0</v>
      </c>
      <c r="E145" s="1195" t="s">
        <v>237</v>
      </c>
      <c r="F145" s="1210"/>
      <c r="G145" s="1210"/>
      <c r="H145" s="1492"/>
      <c r="I145" s="1492"/>
      <c r="J145" s="1492"/>
      <c r="K145" s="1492"/>
      <c r="L145" s="1492"/>
      <c r="M145" s="1492"/>
      <c r="O145" s="1494"/>
    </row>
    <row r="146">
      <c r="A146" s="355" t="s">
        <v>285</v>
      </c>
      <c r="B146" s="1503" t="s">
        <v>237</v>
      </c>
      <c r="C146" s="1504">
        <v>13593.0</v>
      </c>
      <c r="D146" s="1503">
        <v>32.0</v>
      </c>
      <c r="E146" s="1195" t="s">
        <v>237</v>
      </c>
      <c r="F146" s="1210"/>
      <c r="G146" s="1210"/>
      <c r="H146" s="1492"/>
      <c r="I146" s="1492"/>
      <c r="J146" s="1492"/>
      <c r="K146" s="1492"/>
      <c r="L146" s="1492"/>
      <c r="M146" s="1492"/>
      <c r="O146" s="1494"/>
    </row>
    <row r="147">
      <c r="A147" s="355" t="s">
        <v>142</v>
      </c>
      <c r="B147" s="1503" t="s">
        <v>237</v>
      </c>
      <c r="C147" s="1504">
        <v>16811.0</v>
      </c>
      <c r="D147" s="1503">
        <v>26.0</v>
      </c>
      <c r="E147" s="1195" t="s">
        <v>237</v>
      </c>
      <c r="F147" s="1210"/>
      <c r="G147" s="1210"/>
      <c r="H147" s="1492"/>
      <c r="I147" s="1492"/>
      <c r="J147" s="1492"/>
      <c r="K147" s="1492"/>
      <c r="L147" s="1492"/>
      <c r="M147" s="1492"/>
    </row>
    <row r="148">
      <c r="A148" s="355" t="s">
        <v>143</v>
      </c>
      <c r="B148" s="1503" t="s">
        <v>237</v>
      </c>
      <c r="C148" s="1504">
        <v>68114.0</v>
      </c>
      <c r="D148" s="1503">
        <v>125.0</v>
      </c>
      <c r="E148" s="1195" t="s">
        <v>237</v>
      </c>
      <c r="F148" s="1210"/>
      <c r="G148" s="1210"/>
      <c r="H148" s="1492"/>
      <c r="I148" s="1492"/>
      <c r="J148" s="1492"/>
      <c r="K148" s="1492"/>
      <c r="L148" s="1492"/>
      <c r="M148" s="1492"/>
    </row>
    <row r="149">
      <c r="A149" s="355" t="s">
        <v>288</v>
      </c>
      <c r="B149" s="1503" t="s">
        <v>237</v>
      </c>
      <c r="C149" s="1504">
        <v>26742.0</v>
      </c>
      <c r="D149" s="1503">
        <v>39.0</v>
      </c>
      <c r="E149" s="1195" t="s">
        <v>237</v>
      </c>
      <c r="F149" s="1210"/>
      <c r="G149" s="1210"/>
      <c r="H149" s="1492"/>
      <c r="I149" s="1492"/>
      <c r="J149" s="1492"/>
      <c r="K149" s="1492"/>
      <c r="L149" s="1492"/>
      <c r="M149" s="1492"/>
      <c r="O149" s="1"/>
    </row>
    <row r="150">
      <c r="A150" s="355" t="s">
        <v>289</v>
      </c>
      <c r="B150" s="1503" t="s">
        <v>237</v>
      </c>
      <c r="C150" s="1504">
        <v>6682.0</v>
      </c>
      <c r="D150" s="1503">
        <v>23.0</v>
      </c>
      <c r="E150" s="1195" t="s">
        <v>237</v>
      </c>
      <c r="F150" s="1210"/>
      <c r="G150" s="1210"/>
      <c r="H150" s="1492"/>
      <c r="I150" s="1492"/>
      <c r="J150" s="1492"/>
      <c r="K150" s="1492"/>
      <c r="L150" s="1492"/>
      <c r="M150" s="1492"/>
      <c r="O150" s="1494"/>
    </row>
    <row r="151">
      <c r="A151" s="355" t="s">
        <v>146</v>
      </c>
      <c r="B151" s="1503" t="s">
        <v>237</v>
      </c>
      <c r="C151" s="1504">
        <v>16434.0</v>
      </c>
      <c r="D151" s="1503">
        <v>28.0</v>
      </c>
      <c r="E151" s="1195" t="s">
        <v>237</v>
      </c>
      <c r="F151" s="1210"/>
      <c r="G151" s="1210"/>
      <c r="H151" s="1492"/>
      <c r="I151" s="1492"/>
      <c r="J151" s="1492"/>
      <c r="K151" s="1492"/>
      <c r="L151" s="1492"/>
      <c r="M151" s="1492"/>
      <c r="O151" s="1494"/>
    </row>
    <row r="152">
      <c r="A152" s="355" t="s">
        <v>147</v>
      </c>
      <c r="B152" s="1503" t="s">
        <v>237</v>
      </c>
      <c r="C152" s="1504">
        <v>8985.0</v>
      </c>
      <c r="D152" s="1503">
        <v>20.0</v>
      </c>
      <c r="E152" s="1195" t="s">
        <v>237</v>
      </c>
      <c r="F152" s="1210"/>
      <c r="G152" s="1210"/>
      <c r="H152" s="1492"/>
      <c r="I152" s="1492"/>
      <c r="J152" s="1492"/>
      <c r="K152" s="1492"/>
      <c r="L152" s="1492"/>
      <c r="M152" s="1492"/>
      <c r="O152" s="1494"/>
    </row>
    <row r="153">
      <c r="A153" s="355" t="s">
        <v>290</v>
      </c>
      <c r="B153" s="1503" t="s">
        <v>237</v>
      </c>
      <c r="C153" s="1504">
        <v>13383.0</v>
      </c>
      <c r="D153" s="1503">
        <v>14.0</v>
      </c>
      <c r="E153" s="1195" t="s">
        <v>237</v>
      </c>
      <c r="F153" s="1210"/>
      <c r="G153" s="1210"/>
      <c r="H153" s="1492"/>
      <c r="I153" s="1492"/>
      <c r="J153" s="1492"/>
      <c r="K153" s="1492"/>
      <c r="L153" s="1492"/>
      <c r="M153" s="1492"/>
      <c r="O153" s="1494"/>
    </row>
    <row r="154">
      <c r="A154" s="355" t="s">
        <v>291</v>
      </c>
      <c r="B154" s="1503" t="s">
        <v>237</v>
      </c>
      <c r="C154" s="1504">
        <v>12326.0</v>
      </c>
      <c r="D154" s="1503">
        <v>27.0</v>
      </c>
      <c r="E154" s="1195" t="s">
        <v>237</v>
      </c>
      <c r="F154" s="1210"/>
      <c r="G154" s="1210"/>
      <c r="H154" s="1492"/>
      <c r="I154" s="1492"/>
      <c r="J154" s="1492"/>
      <c r="K154" s="1492"/>
      <c r="L154" s="1492"/>
      <c r="M154" s="1492"/>
      <c r="O154" s="1494"/>
    </row>
    <row r="155">
      <c r="A155" s="355" t="s">
        <v>293</v>
      </c>
      <c r="B155" s="1503" t="s">
        <v>237</v>
      </c>
      <c r="C155" s="1504">
        <v>21737.0</v>
      </c>
      <c r="D155" s="1503">
        <v>46.0</v>
      </c>
      <c r="E155" s="1195" t="s">
        <v>237</v>
      </c>
      <c r="F155" s="1210"/>
      <c r="G155" s="1210"/>
      <c r="H155" s="1492"/>
      <c r="I155" s="1492"/>
      <c r="J155" s="1492"/>
      <c r="K155" s="1492"/>
      <c r="L155" s="1492"/>
      <c r="M155" s="1492"/>
      <c r="O155" s="1494"/>
    </row>
    <row r="156">
      <c r="A156" s="355" t="s">
        <v>294</v>
      </c>
      <c r="B156" s="1503" t="s">
        <v>237</v>
      </c>
      <c r="C156" s="1504">
        <v>73657.0</v>
      </c>
      <c r="D156" s="1503">
        <v>60.0</v>
      </c>
      <c r="E156" s="1195" t="s">
        <v>237</v>
      </c>
      <c r="F156" s="1210"/>
      <c r="G156" s="1210"/>
      <c r="H156" s="1492"/>
      <c r="I156" s="1492"/>
      <c r="J156" s="1492"/>
      <c r="K156" s="1492"/>
      <c r="L156" s="1492"/>
      <c r="M156" s="1492"/>
      <c r="O156" s="1494"/>
    </row>
    <row r="157">
      <c r="A157" s="355" t="s">
        <v>151</v>
      </c>
      <c r="B157" s="1503" t="s">
        <v>237</v>
      </c>
      <c r="C157" s="1504">
        <v>16481.0</v>
      </c>
      <c r="D157" s="1503">
        <v>19.0</v>
      </c>
      <c r="E157" s="1195" t="s">
        <v>237</v>
      </c>
      <c r="F157" s="1210"/>
      <c r="G157" s="1210"/>
      <c r="H157" s="1492"/>
      <c r="I157" s="1492"/>
      <c r="J157" s="1492"/>
      <c r="K157" s="1492"/>
      <c r="L157" s="1492"/>
      <c r="M157" s="1492"/>
      <c r="O157" s="1494"/>
    </row>
    <row r="158">
      <c r="A158" s="355" t="s">
        <v>153</v>
      </c>
      <c r="B158" s="355" t="s">
        <v>237</v>
      </c>
      <c r="C158" s="1504">
        <v>16722.0</v>
      </c>
      <c r="D158" s="1503">
        <v>27.0</v>
      </c>
      <c r="E158" s="1195" t="s">
        <v>237</v>
      </c>
      <c r="F158" s="1210"/>
      <c r="G158" s="1210"/>
      <c r="H158" s="1492"/>
      <c r="I158" s="1492"/>
      <c r="J158" s="1492"/>
      <c r="K158" s="1492"/>
      <c r="L158" s="1492"/>
      <c r="M158" s="1492"/>
      <c r="O158" s="1494"/>
    </row>
    <row r="159">
      <c r="A159" s="355" t="s">
        <v>295</v>
      </c>
      <c r="B159" s="355" t="s">
        <v>237</v>
      </c>
      <c r="C159" s="1504">
        <v>43592.0</v>
      </c>
      <c r="D159" s="1503">
        <v>75.0</v>
      </c>
      <c r="E159" s="1195" t="s">
        <v>237</v>
      </c>
      <c r="F159" s="1210"/>
      <c r="G159" s="1210"/>
      <c r="H159" s="1492"/>
      <c r="I159" s="1492"/>
      <c r="J159" s="1492"/>
      <c r="K159" s="1492"/>
      <c r="L159" s="1492"/>
      <c r="M159" s="1492"/>
      <c r="O159" s="1494"/>
    </row>
    <row r="160">
      <c r="A160" s="355" t="s">
        <v>67</v>
      </c>
      <c r="B160" s="355" t="s">
        <v>237</v>
      </c>
      <c r="C160" s="1504">
        <v>41239.0</v>
      </c>
      <c r="D160" s="1503">
        <v>78.0</v>
      </c>
      <c r="E160" s="1195" t="s">
        <v>237</v>
      </c>
      <c r="F160" s="1210"/>
      <c r="G160" s="1210"/>
      <c r="H160" s="1492"/>
      <c r="I160" s="1492"/>
      <c r="J160" s="1492"/>
      <c r="K160" s="1492"/>
      <c r="L160" s="1492"/>
      <c r="M160" s="1492"/>
      <c r="O160" s="1494"/>
    </row>
    <row r="161">
      <c r="A161" s="355" t="s">
        <v>156</v>
      </c>
      <c r="B161" s="1503" t="s">
        <v>237</v>
      </c>
      <c r="C161" s="1504">
        <v>6900.0</v>
      </c>
      <c r="D161" s="1503">
        <v>15.0</v>
      </c>
      <c r="E161" s="1195" t="s">
        <v>237</v>
      </c>
      <c r="F161" s="1210"/>
      <c r="G161" s="1210"/>
      <c r="H161" s="1492"/>
      <c r="I161" s="1492"/>
      <c r="J161" s="1492"/>
      <c r="K161" s="1492"/>
      <c r="L161" s="1492"/>
      <c r="M161" s="1492"/>
      <c r="O161" s="1494"/>
    </row>
    <row r="162">
      <c r="A162" s="355" t="s">
        <v>157</v>
      </c>
      <c r="B162" s="1503" t="s">
        <v>237</v>
      </c>
      <c r="C162" s="1504">
        <v>8924.0</v>
      </c>
      <c r="D162" s="1503">
        <v>17.0</v>
      </c>
      <c r="E162" s="1195" t="s">
        <v>237</v>
      </c>
      <c r="F162" s="1210"/>
      <c r="G162" s="1210"/>
      <c r="H162" s="1492"/>
      <c r="I162" s="1492"/>
      <c r="J162" s="1492"/>
      <c r="K162" s="1492"/>
      <c r="L162" s="1492"/>
      <c r="M162" s="1492"/>
      <c r="O162" s="1494"/>
    </row>
    <row r="163">
      <c r="A163" s="355" t="s">
        <v>82</v>
      </c>
      <c r="B163" s="1503" t="s">
        <v>237</v>
      </c>
      <c r="C163" s="1504">
        <v>8326.0</v>
      </c>
      <c r="D163" s="1503">
        <v>14.0</v>
      </c>
      <c r="E163" s="1195" t="s">
        <v>237</v>
      </c>
      <c r="F163" s="1210"/>
      <c r="G163" s="1210"/>
      <c r="H163" s="1492"/>
      <c r="I163" s="1492"/>
      <c r="J163" s="1492"/>
      <c r="K163" s="1492"/>
      <c r="L163" s="1492"/>
      <c r="M163" s="1492"/>
      <c r="O163" s="1494"/>
    </row>
    <row r="164">
      <c r="A164" s="355" t="s">
        <v>297</v>
      </c>
      <c r="B164" s="1503" t="s">
        <v>237</v>
      </c>
      <c r="C164" s="1504">
        <v>7805.0</v>
      </c>
      <c r="D164" s="1503">
        <v>18.0</v>
      </c>
      <c r="E164" s="1195" t="s">
        <v>237</v>
      </c>
      <c r="F164" s="1210"/>
      <c r="G164" s="1210"/>
      <c r="H164" s="1492"/>
      <c r="I164" s="1492"/>
      <c r="J164" s="1492"/>
      <c r="K164" s="1492"/>
      <c r="L164" s="1492"/>
      <c r="M164" s="1492"/>
      <c r="O164" s="1494"/>
    </row>
    <row r="165">
      <c r="A165" s="355" t="s">
        <v>298</v>
      </c>
      <c r="B165" s="1503" t="s">
        <v>237</v>
      </c>
      <c r="C165" s="1504">
        <v>23606.0</v>
      </c>
      <c r="D165" s="1503">
        <v>68.0</v>
      </c>
      <c r="E165" s="1195" t="s">
        <v>237</v>
      </c>
      <c r="F165" s="1210"/>
      <c r="G165" s="1210"/>
      <c r="H165" s="1492"/>
      <c r="I165" s="1492"/>
      <c r="J165" s="1492"/>
      <c r="K165" s="1492"/>
      <c r="L165" s="1492"/>
      <c r="M165" s="1492"/>
      <c r="O165" s="1494"/>
    </row>
    <row r="166">
      <c r="A166" s="355" t="s">
        <v>159</v>
      </c>
      <c r="B166" s="1503" t="s">
        <v>237</v>
      </c>
      <c r="C166" s="1504">
        <v>10352.0</v>
      </c>
      <c r="D166" s="1503">
        <v>20.0</v>
      </c>
      <c r="E166" s="1195" t="s">
        <v>237</v>
      </c>
      <c r="F166" s="1210"/>
      <c r="G166" s="1210"/>
      <c r="H166" s="1492"/>
      <c r="I166" s="1492"/>
      <c r="J166" s="1492"/>
      <c r="K166" s="1492"/>
      <c r="L166" s="1492"/>
      <c r="M166" s="1492"/>
      <c r="O166" s="1494"/>
    </row>
    <row r="167">
      <c r="A167" s="355" t="s">
        <v>300</v>
      </c>
      <c r="B167" s="1503" t="s">
        <v>237</v>
      </c>
      <c r="C167" s="1504">
        <v>18029.0</v>
      </c>
      <c r="D167" s="1503">
        <v>30.0</v>
      </c>
      <c r="E167" s="1195" t="s">
        <v>237</v>
      </c>
      <c r="F167" s="1210"/>
      <c r="G167" s="1210"/>
      <c r="H167" s="1492"/>
      <c r="I167" s="1492"/>
      <c r="J167" s="1492"/>
      <c r="K167" s="1492"/>
      <c r="L167" s="1492"/>
      <c r="M167" s="1492"/>
      <c r="O167" s="1494"/>
    </row>
    <row r="168">
      <c r="A168" s="355" t="s">
        <v>162</v>
      </c>
      <c r="B168" s="1503" t="s">
        <v>237</v>
      </c>
      <c r="C168" s="1504">
        <v>10673.0</v>
      </c>
      <c r="D168" s="1503">
        <v>26.0</v>
      </c>
      <c r="E168" s="1195" t="s">
        <v>237</v>
      </c>
      <c r="F168" s="1210"/>
      <c r="G168" s="1210"/>
      <c r="H168" s="1492"/>
      <c r="I168" s="1492"/>
      <c r="J168" s="1492"/>
      <c r="K168" s="1492"/>
      <c r="L168" s="1492"/>
      <c r="M168" s="1492"/>
      <c r="O168" s="1494"/>
    </row>
    <row r="169">
      <c r="A169" s="355" t="s">
        <v>301</v>
      </c>
      <c r="B169" s="1503" t="s">
        <v>237</v>
      </c>
      <c r="C169" s="1504">
        <v>23974.0</v>
      </c>
      <c r="D169" s="1503">
        <v>39.0</v>
      </c>
      <c r="E169" s="1195" t="s">
        <v>237</v>
      </c>
      <c r="F169" s="1210"/>
      <c r="G169" s="1210"/>
      <c r="H169" s="1492"/>
      <c r="I169" s="1492"/>
      <c r="J169" s="1492"/>
      <c r="K169" s="1492"/>
      <c r="L169" s="1492"/>
      <c r="M169" s="1492"/>
      <c r="O169" s="1494"/>
    </row>
    <row r="170">
      <c r="A170" s="355" t="s">
        <v>302</v>
      </c>
      <c r="B170" s="1503" t="s">
        <v>237</v>
      </c>
      <c r="C170" s="1504">
        <v>20049.0</v>
      </c>
      <c r="D170" s="1503">
        <v>30.0</v>
      </c>
      <c r="E170" s="1195" t="s">
        <v>237</v>
      </c>
      <c r="F170" s="1210"/>
      <c r="G170" s="1210"/>
      <c r="H170" s="1492"/>
      <c r="I170" s="1492"/>
      <c r="J170" s="1492"/>
      <c r="K170" s="1492"/>
      <c r="L170" s="1492"/>
      <c r="M170" s="1492"/>
      <c r="O170" s="1494"/>
    </row>
    <row r="171">
      <c r="A171" s="355" t="s">
        <v>303</v>
      </c>
      <c r="B171" s="1503" t="s">
        <v>237</v>
      </c>
      <c r="C171" s="1504">
        <v>64000.0</v>
      </c>
      <c r="D171" s="1503">
        <v>87.0</v>
      </c>
      <c r="E171" s="1195" t="s">
        <v>237</v>
      </c>
      <c r="F171" s="1210"/>
      <c r="G171" s="1210"/>
      <c r="H171" s="1492"/>
      <c r="I171" s="1492"/>
      <c r="J171" s="1492"/>
      <c r="K171" s="1492"/>
      <c r="L171" s="1492"/>
      <c r="M171" s="1492"/>
      <c r="O171" s="1494"/>
    </row>
    <row r="172">
      <c r="A172" s="355" t="s">
        <v>304</v>
      </c>
      <c r="B172" s="1503" t="s">
        <v>237</v>
      </c>
      <c r="C172" s="1504">
        <v>8074.0</v>
      </c>
      <c r="D172" s="1503">
        <v>17.0</v>
      </c>
      <c r="E172" s="1195" t="s">
        <v>237</v>
      </c>
      <c r="F172" s="1210"/>
      <c r="G172" s="1210"/>
      <c r="H172" s="1492"/>
      <c r="I172" s="1492"/>
      <c r="J172" s="1492"/>
      <c r="K172" s="1492"/>
      <c r="L172" s="1492"/>
      <c r="M172" s="1492"/>
      <c r="O172" s="1494"/>
    </row>
    <row r="173">
      <c r="A173" s="355" t="s">
        <v>305</v>
      </c>
      <c r="B173" s="1503" t="s">
        <v>237</v>
      </c>
      <c r="C173" s="1504">
        <v>392680.0</v>
      </c>
      <c r="D173" s="1503">
        <v>458.0</v>
      </c>
      <c r="E173" s="1195" t="s">
        <v>237</v>
      </c>
      <c r="F173" s="1210"/>
      <c r="G173" s="1210"/>
      <c r="H173" s="1492"/>
      <c r="I173" s="1492"/>
      <c r="J173" s="1492"/>
      <c r="K173" s="1492"/>
      <c r="L173" s="1492"/>
      <c r="M173" s="1492"/>
      <c r="O173" s="1494"/>
    </row>
    <row r="174">
      <c r="A174" s="355" t="s">
        <v>163</v>
      </c>
      <c r="B174" s="1503" t="s">
        <v>237</v>
      </c>
      <c r="C174" s="1504">
        <v>17948.0</v>
      </c>
      <c r="D174" s="1503">
        <v>23.0</v>
      </c>
      <c r="E174" s="1195" t="s">
        <v>237</v>
      </c>
      <c r="F174" s="1210"/>
      <c r="G174" s="1210"/>
      <c r="H174" s="1492"/>
      <c r="I174" s="1492"/>
      <c r="J174" s="1492"/>
      <c r="K174" s="1492"/>
      <c r="L174" s="1492"/>
      <c r="M174" s="1492"/>
      <c r="O174" s="1494"/>
    </row>
    <row r="175">
      <c r="A175" s="355" t="s">
        <v>1335</v>
      </c>
      <c r="B175" s="1503" t="s">
        <v>237</v>
      </c>
      <c r="C175" s="1504">
        <v>25439.0</v>
      </c>
      <c r="D175" s="1503">
        <v>44.0</v>
      </c>
      <c r="E175" s="1195" t="s">
        <v>237</v>
      </c>
      <c r="F175" s="1210"/>
      <c r="G175" s="1210"/>
      <c r="H175" s="1492"/>
      <c r="I175" s="1492"/>
      <c r="J175" s="1492"/>
      <c r="K175" s="1492"/>
      <c r="L175" s="1492"/>
      <c r="M175" s="1492"/>
      <c r="O175" s="1494"/>
    </row>
    <row r="176">
      <c r="A176" s="355" t="s">
        <v>308</v>
      </c>
      <c r="B176" s="1503" t="s">
        <v>237</v>
      </c>
      <c r="C176" s="1504">
        <v>121421.0</v>
      </c>
      <c r="D176" s="1503">
        <v>93.0</v>
      </c>
      <c r="E176" s="1195" t="s">
        <v>237</v>
      </c>
      <c r="F176" s="1210"/>
      <c r="G176" s="1210"/>
      <c r="H176" s="1492"/>
      <c r="I176" s="1492"/>
      <c r="J176" s="1492"/>
      <c r="K176" s="1492"/>
      <c r="L176" s="1492"/>
      <c r="M176" s="1492"/>
      <c r="O176" s="1494"/>
    </row>
    <row r="177">
      <c r="A177" s="355" t="s">
        <v>309</v>
      </c>
      <c r="B177" s="1503" t="s">
        <v>237</v>
      </c>
      <c r="C177" s="1504">
        <v>10319.0</v>
      </c>
      <c r="D177" s="1503">
        <v>24.0</v>
      </c>
      <c r="E177" s="1195" t="s">
        <v>237</v>
      </c>
      <c r="F177" s="1210"/>
      <c r="G177" s="1210"/>
      <c r="H177" s="1492"/>
      <c r="I177" s="1492"/>
      <c r="J177" s="1492"/>
      <c r="K177" s="1492"/>
      <c r="L177" s="1492"/>
      <c r="M177" s="1492"/>
      <c r="O177" s="1494"/>
    </row>
    <row r="178">
      <c r="A178" s="355" t="s">
        <v>310</v>
      </c>
      <c r="B178" s="1503" t="s">
        <v>237</v>
      </c>
      <c r="C178" s="1504">
        <v>7958.0</v>
      </c>
      <c r="D178" s="1503">
        <v>14.0</v>
      </c>
      <c r="E178" s="1195" t="s">
        <v>237</v>
      </c>
      <c r="F178" s="1210"/>
      <c r="G178" s="1210"/>
      <c r="H178" s="1492"/>
      <c r="I178" s="1492"/>
      <c r="J178" s="1492"/>
      <c r="K178" s="1492"/>
      <c r="L178" s="1492"/>
      <c r="M178" s="1492"/>
      <c r="O178" s="1494"/>
    </row>
    <row r="179">
      <c r="A179" s="355" t="s">
        <v>311</v>
      </c>
      <c r="B179" s="1503" t="s">
        <v>237</v>
      </c>
      <c r="C179" s="1504">
        <v>127753.0</v>
      </c>
      <c r="D179" s="1503">
        <v>127.0</v>
      </c>
      <c r="E179" s="1195" t="s">
        <v>237</v>
      </c>
      <c r="F179" s="1210"/>
      <c r="G179" s="1210"/>
      <c r="H179" s="1492"/>
      <c r="I179" s="1492"/>
      <c r="J179" s="1492"/>
      <c r="K179" s="1492"/>
      <c r="L179" s="1492"/>
      <c r="M179" s="1492"/>
      <c r="O179" s="1494"/>
    </row>
    <row r="180">
      <c r="A180" s="355" t="s">
        <v>312</v>
      </c>
      <c r="B180" s="1503" t="s">
        <v>237</v>
      </c>
      <c r="C180" s="1504">
        <v>17139.0</v>
      </c>
      <c r="D180" s="1503">
        <v>24.0</v>
      </c>
      <c r="E180" s="1195" t="s">
        <v>237</v>
      </c>
      <c r="F180" s="1210"/>
      <c r="G180" s="1210"/>
      <c r="H180" s="1492"/>
      <c r="I180" s="1492"/>
      <c r="J180" s="1492"/>
      <c r="K180" s="1492"/>
      <c r="L180" s="1492"/>
      <c r="M180" s="1492"/>
      <c r="O180" s="1494"/>
    </row>
    <row r="181">
      <c r="A181" s="355" t="s">
        <v>313</v>
      </c>
      <c r="B181" s="1503" t="s">
        <v>237</v>
      </c>
      <c r="C181" s="1504">
        <v>17366.0</v>
      </c>
      <c r="D181" s="1503">
        <v>37.0</v>
      </c>
      <c r="E181" s="1195" t="s">
        <v>237</v>
      </c>
      <c r="F181" s="1210"/>
      <c r="G181" s="1210"/>
      <c r="H181" s="1492"/>
      <c r="I181" s="1492"/>
      <c r="J181" s="1492"/>
      <c r="K181" s="1492"/>
      <c r="L181" s="1492"/>
      <c r="M181" s="1492"/>
      <c r="O181" s="1494"/>
    </row>
    <row r="182">
      <c r="A182" s="355" t="s">
        <v>315</v>
      </c>
      <c r="B182" s="1503" t="s">
        <v>237</v>
      </c>
      <c r="C182" s="1504">
        <v>12457.0</v>
      </c>
      <c r="D182" s="1503">
        <v>28.0</v>
      </c>
      <c r="E182" s="1195" t="s">
        <v>237</v>
      </c>
      <c r="F182" s="1210"/>
      <c r="G182" s="1210"/>
      <c r="H182" s="1492"/>
      <c r="I182" s="1492"/>
      <c r="J182" s="1492"/>
      <c r="K182" s="1492"/>
      <c r="L182" s="1492"/>
      <c r="M182" s="1492"/>
      <c r="O182" s="1494"/>
    </row>
    <row r="183">
      <c r="A183" s="355" t="s">
        <v>316</v>
      </c>
      <c r="B183" s="1503" t="s">
        <v>237</v>
      </c>
      <c r="C183" s="1504">
        <v>39126.0</v>
      </c>
      <c r="D183" s="1503">
        <v>91.0</v>
      </c>
      <c r="E183" s="1195" t="s">
        <v>237</v>
      </c>
      <c r="F183" s="1210"/>
      <c r="G183" s="1210"/>
      <c r="H183" s="1492"/>
      <c r="I183" s="1492"/>
      <c r="J183" s="1492"/>
      <c r="K183" s="1492"/>
      <c r="L183" s="1492"/>
      <c r="M183" s="1492"/>
      <c r="O183" s="1494"/>
    </row>
    <row r="184">
      <c r="A184" s="355" t="s">
        <v>317</v>
      </c>
      <c r="B184" s="1503" t="s">
        <v>237</v>
      </c>
      <c r="C184" s="1504">
        <v>16603.0</v>
      </c>
      <c r="D184" s="1503">
        <v>26.0</v>
      </c>
      <c r="E184" s="1195" t="s">
        <v>237</v>
      </c>
      <c r="F184" s="1210"/>
      <c r="G184" s="1210"/>
      <c r="H184" s="1492"/>
      <c r="I184" s="1492"/>
      <c r="J184" s="1492"/>
      <c r="K184" s="1492"/>
      <c r="L184" s="1492"/>
      <c r="M184" s="1492"/>
      <c r="O184" s="1494"/>
    </row>
    <row r="185">
      <c r="A185" s="355" t="s">
        <v>119</v>
      </c>
      <c r="B185" s="1503" t="s">
        <v>237</v>
      </c>
      <c r="C185" s="1504">
        <v>236961.0</v>
      </c>
      <c r="D185" s="1503">
        <v>155.0</v>
      </c>
      <c r="E185" s="1195" t="s">
        <v>237</v>
      </c>
      <c r="F185" s="1210"/>
      <c r="G185" s="1210"/>
      <c r="H185" s="1492"/>
      <c r="I185" s="1492"/>
      <c r="J185" s="1492"/>
      <c r="K185" s="1492"/>
      <c r="L185" s="1492"/>
      <c r="M185" s="1492"/>
      <c r="O185" s="1494"/>
    </row>
    <row r="186">
      <c r="A186" s="355" t="s">
        <v>66</v>
      </c>
      <c r="B186" s="1503" t="s">
        <v>237</v>
      </c>
      <c r="C186" s="1504">
        <v>78727.0</v>
      </c>
      <c r="D186" s="1503">
        <v>94.0</v>
      </c>
      <c r="E186" s="1195" t="s">
        <v>237</v>
      </c>
      <c r="F186" s="1210"/>
      <c r="G186" s="1210"/>
      <c r="H186" s="1492"/>
      <c r="I186" s="1492"/>
      <c r="J186" s="1492"/>
      <c r="K186" s="1492"/>
      <c r="L186" s="1492"/>
      <c r="M186" s="1492"/>
      <c r="O186" s="1494"/>
    </row>
    <row r="187">
      <c r="A187" s="355" t="s">
        <v>318</v>
      </c>
      <c r="B187" s="1503" t="s">
        <v>237</v>
      </c>
      <c r="C187" s="1504">
        <v>6490.0</v>
      </c>
      <c r="D187" s="1503">
        <v>9.0</v>
      </c>
      <c r="E187" s="1195" t="s">
        <v>237</v>
      </c>
      <c r="F187" s="1210"/>
      <c r="G187" s="1210"/>
      <c r="H187" s="1492"/>
      <c r="I187" s="1492"/>
      <c r="J187" s="1492"/>
      <c r="K187" s="1492"/>
      <c r="L187" s="1492"/>
      <c r="M187" s="1492"/>
      <c r="O187" s="1494"/>
    </row>
    <row r="188">
      <c r="A188" s="1501" t="s">
        <v>319</v>
      </c>
      <c r="B188" s="1516" t="s">
        <v>237</v>
      </c>
      <c r="C188" s="1518">
        <v>21535.0</v>
      </c>
      <c r="D188" s="1516">
        <v>32.0</v>
      </c>
      <c r="E188" s="1195" t="s">
        <v>237</v>
      </c>
      <c r="F188" s="1210"/>
      <c r="G188" s="1210"/>
      <c r="H188" s="1492"/>
      <c r="I188" s="1492"/>
      <c r="J188" s="1492"/>
      <c r="K188" s="1492"/>
      <c r="L188" s="1492"/>
      <c r="M188" s="1492"/>
      <c r="N188" s="1489"/>
      <c r="O188" s="1499"/>
      <c r="P188" s="1489"/>
      <c r="Q188" s="1489"/>
      <c r="R188" s="1489"/>
      <c r="S188" s="1489"/>
      <c r="T188" s="1489"/>
      <c r="U188" s="1489"/>
      <c r="V188" s="1489"/>
      <c r="W188" s="1489"/>
      <c r="X188" s="1489"/>
      <c r="Y188" s="1489"/>
      <c r="Z188" s="1489"/>
    </row>
    <row r="189">
      <c r="A189" s="1521" t="s">
        <v>276</v>
      </c>
      <c r="B189" s="1522" t="s">
        <v>184</v>
      </c>
      <c r="C189" s="1523">
        <v>1666753.0</v>
      </c>
      <c r="D189" s="1522">
        <v>647.0</v>
      </c>
      <c r="E189" s="1195" t="s">
        <v>184</v>
      </c>
      <c r="F189" s="1210"/>
      <c r="G189" s="1210"/>
      <c r="H189" s="1492"/>
      <c r="I189" s="1492"/>
      <c r="J189" s="1492"/>
      <c r="K189" s="1492"/>
      <c r="L189" s="1492"/>
      <c r="M189" s="1492"/>
      <c r="O189" s="1494"/>
    </row>
    <row r="190">
      <c r="A190" s="1521" t="s">
        <v>320</v>
      </c>
      <c r="B190" s="1522" t="s">
        <v>184</v>
      </c>
      <c r="C190" s="1523">
        <v>1101.0</v>
      </c>
      <c r="D190" s="1522" t="s">
        <v>63</v>
      </c>
      <c r="E190" s="1195"/>
      <c r="F190" s="1210"/>
      <c r="G190" s="1210"/>
      <c r="H190" s="1492"/>
      <c r="I190" s="1492"/>
      <c r="J190" s="1492"/>
      <c r="K190" s="1492"/>
      <c r="L190" s="1492"/>
      <c r="M190" s="1492"/>
      <c r="O190" s="1494"/>
    </row>
    <row r="191">
      <c r="A191" s="1521" t="s">
        <v>322</v>
      </c>
      <c r="B191" s="1522" t="s">
        <v>184</v>
      </c>
      <c r="C191" s="1523">
        <v>39383.0</v>
      </c>
      <c r="D191" s="1522">
        <v>25.0</v>
      </c>
      <c r="E191" s="1195" t="s">
        <v>184</v>
      </c>
      <c r="F191" s="1210"/>
      <c r="G191" s="1210"/>
      <c r="H191" s="1492"/>
      <c r="I191" s="1492"/>
      <c r="J191" s="1492"/>
      <c r="K191" s="1492"/>
      <c r="L191" s="1492"/>
      <c r="M191" s="1492"/>
      <c r="O191" s="1494"/>
    </row>
    <row r="192">
      <c r="A192" s="1521" t="s">
        <v>324</v>
      </c>
      <c r="B192" s="1522" t="s">
        <v>184</v>
      </c>
      <c r="C192" s="1523">
        <v>231256.0</v>
      </c>
      <c r="D192" s="1522">
        <v>118.0</v>
      </c>
      <c r="E192" s="1195" t="s">
        <v>184</v>
      </c>
      <c r="F192" s="1210"/>
      <c r="G192" s="1210"/>
      <c r="H192" s="1492"/>
      <c r="I192" s="1492"/>
      <c r="J192" s="1492"/>
      <c r="K192" s="1492"/>
      <c r="L192" s="1492"/>
      <c r="M192" s="1492"/>
      <c r="O192" s="1494"/>
    </row>
    <row r="193">
      <c r="A193" s="1521" t="s">
        <v>325</v>
      </c>
      <c r="B193" s="1522" t="s">
        <v>184</v>
      </c>
      <c r="C193" s="1523">
        <v>45602.0</v>
      </c>
      <c r="D193" s="1522">
        <v>40.0</v>
      </c>
      <c r="E193" s="1195" t="s">
        <v>184</v>
      </c>
      <c r="F193" s="1210"/>
      <c r="G193" s="1210"/>
      <c r="H193" s="1492"/>
      <c r="I193" s="1492"/>
      <c r="J193" s="1492"/>
      <c r="K193" s="1492"/>
      <c r="L193" s="1492"/>
      <c r="M193" s="1492"/>
      <c r="O193" s="1494"/>
    </row>
    <row r="194">
      <c r="A194" s="1521" t="s">
        <v>326</v>
      </c>
      <c r="B194" s="1522" t="s">
        <v>184</v>
      </c>
      <c r="C194" s="1523">
        <v>21627.0</v>
      </c>
      <c r="D194" s="1522">
        <v>20.0</v>
      </c>
      <c r="E194" s="1195" t="s">
        <v>184</v>
      </c>
      <c r="F194" s="1210"/>
      <c r="G194" s="1210"/>
      <c r="H194" s="1492"/>
      <c r="I194" s="1492"/>
      <c r="J194" s="1492"/>
      <c r="K194" s="1492"/>
      <c r="L194" s="1492"/>
      <c r="M194" s="1492"/>
      <c r="O194" s="1494"/>
    </row>
    <row r="195">
      <c r="A195" s="1521" t="s">
        <v>327</v>
      </c>
      <c r="B195" s="1522" t="s">
        <v>184</v>
      </c>
      <c r="C195" s="1523">
        <v>1150215.0</v>
      </c>
      <c r="D195" s="1522">
        <v>405.0</v>
      </c>
      <c r="E195" s="1195" t="s">
        <v>184</v>
      </c>
      <c r="F195" s="1210"/>
      <c r="G195" s="1210"/>
      <c r="H195" s="1492"/>
      <c r="I195" s="1492"/>
      <c r="J195" s="1492"/>
      <c r="K195" s="1492"/>
      <c r="L195" s="1492"/>
      <c r="M195" s="1492"/>
      <c r="O195" s="1494"/>
    </row>
    <row r="196">
      <c r="A196" s="1521" t="s">
        <v>328</v>
      </c>
      <c r="B196" s="1522" t="s">
        <v>184</v>
      </c>
      <c r="C196" s="1523">
        <v>27828.0</v>
      </c>
      <c r="D196" s="1522">
        <v>23.0</v>
      </c>
      <c r="E196" s="1195" t="s">
        <v>184</v>
      </c>
      <c r="F196" s="1210"/>
      <c r="G196" s="1210"/>
      <c r="H196" s="1492"/>
      <c r="I196" s="1492"/>
      <c r="J196" s="1492"/>
      <c r="K196" s="1492"/>
      <c r="L196" s="1492"/>
      <c r="M196" s="1492"/>
      <c r="O196" s="1494"/>
    </row>
    <row r="197">
      <c r="A197" s="1521" t="s">
        <v>329</v>
      </c>
      <c r="B197" s="1522" t="s">
        <v>184</v>
      </c>
      <c r="C197" s="1523">
        <v>190678.0</v>
      </c>
      <c r="D197" s="1522">
        <v>69.0</v>
      </c>
      <c r="E197" s="1195" t="s">
        <v>184</v>
      </c>
      <c r="F197" s="1210"/>
      <c r="G197" s="1210"/>
      <c r="H197" s="1492"/>
      <c r="I197" s="1492"/>
      <c r="J197" s="1492"/>
      <c r="K197" s="1492"/>
      <c r="L197" s="1492"/>
      <c r="M197" s="1492"/>
      <c r="O197" s="1494"/>
    </row>
    <row r="198">
      <c r="A198" s="1521" t="s">
        <v>331</v>
      </c>
      <c r="B198" s="1522" t="s">
        <v>184</v>
      </c>
      <c r="C198" s="1523">
        <v>994400.0</v>
      </c>
      <c r="D198" s="1522">
        <v>423.0</v>
      </c>
      <c r="E198" s="1195" t="s">
        <v>184</v>
      </c>
      <c r="F198" s="1210"/>
      <c r="G198" s="1210"/>
      <c r="H198" s="1492"/>
      <c r="I198" s="1492"/>
      <c r="J198" s="1492"/>
      <c r="K198" s="1492"/>
      <c r="L198" s="1492"/>
      <c r="M198" s="1492"/>
      <c r="O198" s="1494"/>
    </row>
    <row r="199">
      <c r="A199" s="1521" t="s">
        <v>332</v>
      </c>
      <c r="B199" s="1522" t="s">
        <v>184</v>
      </c>
      <c r="C199" s="1523">
        <v>28047.0</v>
      </c>
      <c r="D199" s="1522">
        <v>27.0</v>
      </c>
      <c r="E199" s="1195" t="s">
        <v>184</v>
      </c>
      <c r="F199" s="1210"/>
      <c r="G199" s="1210"/>
      <c r="H199" s="1492"/>
      <c r="I199" s="1492"/>
      <c r="J199" s="1492"/>
      <c r="K199" s="1492"/>
      <c r="L199" s="1492"/>
      <c r="M199" s="1492"/>
      <c r="O199" s="1494"/>
    </row>
    <row r="200">
      <c r="A200" s="1521" t="s">
        <v>333</v>
      </c>
      <c r="B200" s="1522" t="s">
        <v>184</v>
      </c>
      <c r="C200" s="1523">
        <v>136373.0</v>
      </c>
      <c r="D200" s="1522">
        <v>100.0</v>
      </c>
      <c r="E200" s="1195" t="s">
        <v>184</v>
      </c>
      <c r="F200" s="1210"/>
      <c r="G200" s="1210"/>
      <c r="H200" s="1492"/>
      <c r="I200" s="1492"/>
      <c r="J200" s="1492"/>
      <c r="K200" s="1492"/>
      <c r="L200" s="1492"/>
      <c r="M200" s="1492"/>
      <c r="O200" s="1494"/>
    </row>
    <row r="201">
      <c r="A201" s="1521" t="s">
        <v>334</v>
      </c>
      <c r="B201" s="1522" t="s">
        <v>184</v>
      </c>
      <c r="C201" s="1523">
        <v>181827.0</v>
      </c>
      <c r="D201" s="1522">
        <v>72.0</v>
      </c>
      <c r="E201" s="1195" t="s">
        <v>184</v>
      </c>
      <c r="F201" s="1210"/>
      <c r="G201" s="1210"/>
      <c r="H201" s="1492"/>
      <c r="I201" s="1492"/>
      <c r="J201" s="1492"/>
      <c r="K201" s="1492"/>
      <c r="L201" s="1492"/>
      <c r="M201" s="1492"/>
      <c r="O201" s="1494"/>
    </row>
    <row r="202">
      <c r="A202" s="1521" t="s">
        <v>335</v>
      </c>
      <c r="B202" s="1522" t="s">
        <v>184</v>
      </c>
      <c r="C202" s="1523">
        <v>17987.0</v>
      </c>
      <c r="D202" s="1522">
        <v>24.0</v>
      </c>
      <c r="E202" s="1195" t="s">
        <v>184</v>
      </c>
      <c r="F202" s="1210"/>
      <c r="G202" s="1210"/>
      <c r="H202" s="1492"/>
      <c r="I202" s="1492"/>
      <c r="J202" s="1492"/>
      <c r="K202" s="1492"/>
      <c r="L202" s="1492"/>
      <c r="M202" s="1492"/>
      <c r="O202" s="1494"/>
    </row>
    <row r="203">
      <c r="A203" s="1521" t="s">
        <v>336</v>
      </c>
      <c r="B203" s="1522" t="s">
        <v>184</v>
      </c>
      <c r="C203" s="1523">
        <v>896764.0</v>
      </c>
      <c r="D203" s="1522">
        <v>381.0</v>
      </c>
      <c r="E203" s="1195" t="s">
        <v>184</v>
      </c>
      <c r="F203" s="1210"/>
      <c r="G203" s="1210"/>
      <c r="H203" s="1492"/>
      <c r="I203" s="1492"/>
      <c r="J203" s="1492"/>
      <c r="K203" s="1492"/>
      <c r="L203" s="1492"/>
      <c r="M203" s="1492"/>
      <c r="O203" s="1494"/>
    </row>
    <row r="204">
      <c r="A204" s="1521" t="s">
        <v>249</v>
      </c>
      <c r="B204" s="1522" t="s">
        <v>184</v>
      </c>
      <c r="C204" s="1523">
        <v>151366.0</v>
      </c>
      <c r="D204" s="1522">
        <v>60.0</v>
      </c>
      <c r="E204" s="1195" t="s">
        <v>184</v>
      </c>
      <c r="F204" s="1210"/>
      <c r="G204" s="1210"/>
      <c r="H204" s="1492"/>
      <c r="I204" s="1492"/>
      <c r="J204" s="1492"/>
      <c r="K204" s="1492"/>
      <c r="L204" s="1492"/>
      <c r="M204" s="1492"/>
      <c r="O204" s="1494"/>
    </row>
    <row r="205">
      <c r="A205" s="1521" t="s">
        <v>337</v>
      </c>
      <c r="B205" s="1522" t="s">
        <v>184</v>
      </c>
      <c r="C205" s="1523">
        <v>64382.0</v>
      </c>
      <c r="D205" s="1522">
        <v>43.0</v>
      </c>
      <c r="E205" s="1195" t="s">
        <v>184</v>
      </c>
      <c r="F205" s="1210"/>
      <c r="G205" s="1210"/>
      <c r="H205" s="1492"/>
      <c r="I205" s="1492"/>
      <c r="J205" s="1492"/>
      <c r="K205" s="1492"/>
      <c r="L205" s="1492"/>
      <c r="M205" s="1492"/>
      <c r="O205" s="1494"/>
    </row>
    <row r="206">
      <c r="A206" s="1521" t="s">
        <v>338</v>
      </c>
      <c r="B206" s="1522" t="s">
        <v>184</v>
      </c>
      <c r="C206" s="1523">
        <v>30802.0</v>
      </c>
      <c r="D206" s="1522">
        <v>29.0</v>
      </c>
      <c r="E206" s="1195" t="s">
        <v>184</v>
      </c>
      <c r="F206" s="1210"/>
      <c r="G206" s="1210"/>
      <c r="H206" s="1492"/>
      <c r="I206" s="1492"/>
      <c r="J206" s="1492"/>
      <c r="K206" s="1492"/>
      <c r="L206" s="1492"/>
      <c r="M206" s="1492"/>
      <c r="O206" s="1494"/>
    </row>
    <row r="207">
      <c r="A207" s="1521" t="s">
        <v>183</v>
      </c>
      <c r="B207" s="1522" t="s">
        <v>184</v>
      </c>
      <c r="C207" s="1523">
        <v>1.0105518E7</v>
      </c>
      <c r="D207" s="1536">
        <v>3447.0</v>
      </c>
      <c r="E207" s="1195" t="s">
        <v>184</v>
      </c>
      <c r="F207" s="1210"/>
      <c r="G207" s="1210"/>
      <c r="H207" s="1492"/>
      <c r="I207" s="1492"/>
      <c r="J207" s="1492"/>
      <c r="K207" s="1492"/>
      <c r="L207" s="1492"/>
      <c r="M207" s="1492"/>
      <c r="O207" s="1494"/>
    </row>
    <row r="208">
      <c r="A208" s="1521" t="s">
        <v>340</v>
      </c>
      <c r="B208" s="1522" t="s">
        <v>184</v>
      </c>
      <c r="C208" s="1523">
        <v>157672.0</v>
      </c>
      <c r="D208" s="1522">
        <v>67.0</v>
      </c>
      <c r="E208" s="1195" t="s">
        <v>184</v>
      </c>
      <c r="F208" s="1210"/>
      <c r="G208" s="1210"/>
      <c r="H208" s="1492"/>
      <c r="I208" s="1492"/>
      <c r="J208" s="1492"/>
      <c r="K208" s="1492"/>
      <c r="L208" s="1492"/>
      <c r="M208" s="1492"/>
      <c r="O208" s="1494"/>
    </row>
    <row r="209">
      <c r="A209" s="1521" t="s">
        <v>341</v>
      </c>
      <c r="B209" s="1522" t="s">
        <v>184</v>
      </c>
      <c r="C209" s="1523">
        <v>259666.0</v>
      </c>
      <c r="D209" s="1522">
        <v>92.0</v>
      </c>
      <c r="E209" s="1195" t="s">
        <v>184</v>
      </c>
      <c r="F209" s="1210"/>
      <c r="G209" s="1210"/>
      <c r="H209" s="1492"/>
      <c r="I209" s="1492"/>
      <c r="J209" s="1492"/>
      <c r="K209" s="1492"/>
      <c r="L209" s="1492"/>
      <c r="M209" s="1492"/>
      <c r="O209" s="1494"/>
    </row>
    <row r="210">
      <c r="A210" s="1521" t="s">
        <v>342</v>
      </c>
      <c r="B210" s="1522" t="s">
        <v>184</v>
      </c>
      <c r="C210" s="1523">
        <v>17471.0</v>
      </c>
      <c r="D210" s="1522">
        <v>20.0</v>
      </c>
      <c r="E210" s="1195" t="s">
        <v>184</v>
      </c>
      <c r="F210" s="1210"/>
      <c r="G210" s="1210"/>
      <c r="H210" s="1492"/>
      <c r="I210" s="1492"/>
      <c r="J210" s="1492"/>
      <c r="K210" s="1492"/>
      <c r="L210" s="1492"/>
      <c r="M210" s="1492"/>
      <c r="O210" s="1494"/>
    </row>
    <row r="211">
      <c r="A211" s="1521" t="s">
        <v>343</v>
      </c>
      <c r="B211" s="1522" t="s">
        <v>184</v>
      </c>
      <c r="C211" s="1523">
        <v>87606.0</v>
      </c>
      <c r="D211" s="1522">
        <v>53.0</v>
      </c>
      <c r="E211" s="1195" t="s">
        <v>184</v>
      </c>
      <c r="F211" s="1210"/>
      <c r="G211" s="1210"/>
      <c r="H211" s="1492"/>
      <c r="I211" s="1492"/>
      <c r="J211" s="1492"/>
      <c r="K211" s="1492"/>
      <c r="L211" s="1492"/>
      <c r="M211" s="1492"/>
      <c r="O211" s="1494"/>
    </row>
    <row r="212">
      <c r="A212" s="1521" t="s">
        <v>344</v>
      </c>
      <c r="B212" s="1522" t="s">
        <v>184</v>
      </c>
      <c r="C212" s="1523">
        <v>274765.0</v>
      </c>
      <c r="D212" s="1522">
        <v>111.0</v>
      </c>
      <c r="E212" s="1195" t="s">
        <v>184</v>
      </c>
      <c r="F212" s="1210"/>
      <c r="G212" s="1210"/>
      <c r="H212" s="1492"/>
      <c r="I212" s="1492"/>
      <c r="J212" s="1492"/>
      <c r="K212" s="1492"/>
      <c r="L212" s="1492"/>
      <c r="M212" s="1492"/>
      <c r="O212" s="1494"/>
    </row>
    <row r="213">
      <c r="A213" s="1521" t="s">
        <v>345</v>
      </c>
      <c r="B213" s="1522" t="s">
        <v>184</v>
      </c>
      <c r="C213" s="1523">
        <v>8777.0</v>
      </c>
      <c r="D213" s="1522">
        <v>12.0</v>
      </c>
      <c r="E213" s="1195" t="s">
        <v>184</v>
      </c>
      <c r="F213" s="1210"/>
      <c r="G213" s="1210"/>
      <c r="H213" s="1492"/>
      <c r="I213" s="1492"/>
      <c r="J213" s="1492"/>
      <c r="K213" s="1492"/>
      <c r="L213" s="1492"/>
      <c r="M213" s="1492"/>
      <c r="O213" s="1494"/>
    </row>
    <row r="214">
      <c r="A214" s="1521" t="s">
        <v>346</v>
      </c>
      <c r="B214" s="1522" t="s">
        <v>184</v>
      </c>
      <c r="C214" s="1523">
        <v>14250.0</v>
      </c>
      <c r="D214" s="1522">
        <v>12.0</v>
      </c>
      <c r="E214" s="1195" t="s">
        <v>184</v>
      </c>
      <c r="F214" s="1210"/>
      <c r="G214" s="1210"/>
      <c r="H214" s="1492"/>
      <c r="I214" s="1492"/>
      <c r="J214" s="1492"/>
      <c r="K214" s="1492"/>
      <c r="L214" s="1492"/>
      <c r="M214" s="1492"/>
      <c r="O214" s="1494"/>
    </row>
    <row r="215">
      <c r="A215" s="1521" t="s">
        <v>348</v>
      </c>
      <c r="B215" s="1522" t="s">
        <v>184</v>
      </c>
      <c r="C215" s="1523">
        <v>435594.0</v>
      </c>
      <c r="D215" s="1522">
        <v>173.0</v>
      </c>
      <c r="E215" s="1195" t="s">
        <v>184</v>
      </c>
      <c r="F215" s="1210"/>
      <c r="G215" s="1210"/>
      <c r="H215" s="1492"/>
      <c r="I215" s="1492"/>
      <c r="J215" s="1492"/>
      <c r="K215" s="1492"/>
      <c r="L215" s="1492"/>
      <c r="M215" s="1492"/>
      <c r="O215" s="1494"/>
    </row>
    <row r="216">
      <c r="A216" s="1521" t="s">
        <v>349</v>
      </c>
      <c r="B216" s="1522" t="s">
        <v>184</v>
      </c>
      <c r="C216" s="1523">
        <v>139417.0</v>
      </c>
      <c r="D216" s="1522">
        <v>50.0</v>
      </c>
      <c r="E216" s="1195" t="s">
        <v>184</v>
      </c>
      <c r="F216" s="1210"/>
      <c r="G216" s="1210"/>
      <c r="H216" s="1492"/>
      <c r="I216" s="1492"/>
      <c r="J216" s="1492"/>
      <c r="K216" s="1492"/>
      <c r="L216" s="1492"/>
      <c r="M216" s="1492"/>
      <c r="O216" s="1494"/>
    </row>
    <row r="217">
      <c r="A217" s="1521" t="s">
        <v>82</v>
      </c>
      <c r="B217" s="1522" t="s">
        <v>184</v>
      </c>
      <c r="C217" s="1523">
        <v>99696.0</v>
      </c>
      <c r="D217" s="1522">
        <v>44.0</v>
      </c>
      <c r="E217" s="1195" t="s">
        <v>184</v>
      </c>
      <c r="F217" s="1210"/>
      <c r="G217" s="1210"/>
      <c r="H217" s="1492"/>
      <c r="I217" s="1492"/>
      <c r="J217" s="1492"/>
      <c r="K217" s="1492"/>
      <c r="L217" s="1492"/>
      <c r="M217" s="1492"/>
      <c r="O217" s="1494"/>
    </row>
    <row r="218">
      <c r="A218" s="1521" t="s">
        <v>241</v>
      </c>
      <c r="B218" s="1522" t="s">
        <v>184</v>
      </c>
      <c r="C218" s="1523">
        <v>3185968.0</v>
      </c>
      <c r="D218" s="1522">
        <v>856.0</v>
      </c>
      <c r="E218" s="1195" t="s">
        <v>184</v>
      </c>
      <c r="F218" s="1210"/>
      <c r="G218" s="1210"/>
      <c r="H218" s="1492"/>
      <c r="I218" s="1492"/>
      <c r="J218" s="1492"/>
      <c r="K218" s="1492"/>
      <c r="L218" s="1492"/>
      <c r="M218" s="1492"/>
      <c r="O218" s="1494"/>
    </row>
    <row r="219">
      <c r="A219" s="1521" t="s">
        <v>352</v>
      </c>
      <c r="B219" s="1522" t="s">
        <v>184</v>
      </c>
      <c r="C219" s="1523">
        <v>393149.0</v>
      </c>
      <c r="D219" s="1522">
        <v>142.0</v>
      </c>
      <c r="E219" s="1195" t="s">
        <v>184</v>
      </c>
      <c r="F219" s="1210"/>
      <c r="G219" s="1210"/>
      <c r="H219" s="1492"/>
      <c r="I219" s="1492"/>
      <c r="J219" s="1492"/>
      <c r="K219" s="1492"/>
      <c r="L219" s="1492"/>
      <c r="M219" s="1492"/>
      <c r="O219" s="1494"/>
    </row>
    <row r="220">
      <c r="A220" s="1521" t="s">
        <v>354</v>
      </c>
      <c r="B220" s="1522" t="s">
        <v>184</v>
      </c>
      <c r="C220" s="1523">
        <v>18804.0</v>
      </c>
      <c r="D220" s="1522">
        <v>28.0</v>
      </c>
      <c r="E220" s="1195" t="s">
        <v>184</v>
      </c>
      <c r="F220" s="1210"/>
      <c r="G220" s="1210"/>
      <c r="H220" s="1492"/>
      <c r="I220" s="1492"/>
      <c r="J220" s="1492"/>
      <c r="K220" s="1492"/>
      <c r="L220" s="1492"/>
      <c r="M220" s="1492"/>
      <c r="O220" s="1494"/>
    </row>
    <row r="221">
      <c r="A221" s="1521" t="s">
        <v>252</v>
      </c>
      <c r="B221" s="1522" t="s">
        <v>184</v>
      </c>
      <c r="C221" s="1523">
        <v>2450758.0</v>
      </c>
      <c r="D221" s="1522">
        <v>656.0</v>
      </c>
      <c r="E221" s="1195" t="s">
        <v>184</v>
      </c>
      <c r="F221" s="1210"/>
      <c r="G221" s="1210"/>
      <c r="H221" s="1492"/>
      <c r="I221" s="1492"/>
      <c r="J221" s="1492"/>
      <c r="K221" s="1492"/>
      <c r="L221" s="1492"/>
      <c r="M221" s="1492"/>
      <c r="O221" s="1494"/>
    </row>
    <row r="222">
      <c r="A222" s="1521" t="s">
        <v>292</v>
      </c>
      <c r="B222" s="1522" t="s">
        <v>184</v>
      </c>
      <c r="C222" s="1523">
        <v>1540975.0</v>
      </c>
      <c r="D222" s="1522">
        <v>538.0</v>
      </c>
      <c r="E222" s="1195" t="s">
        <v>184</v>
      </c>
      <c r="F222" s="1210"/>
      <c r="G222" s="1210"/>
      <c r="H222" s="1492"/>
      <c r="I222" s="1492"/>
      <c r="J222" s="1492"/>
      <c r="K222" s="1492"/>
      <c r="L222" s="1492"/>
      <c r="M222" s="1492"/>
      <c r="O222" s="1494"/>
    </row>
    <row r="223">
      <c r="A223" s="1521" t="s">
        <v>356</v>
      </c>
      <c r="B223" s="1522" t="s">
        <v>184</v>
      </c>
      <c r="C223" s="1523">
        <v>61537.0</v>
      </c>
      <c r="D223" s="1522">
        <v>23.0</v>
      </c>
      <c r="E223" s="1195" t="s">
        <v>184</v>
      </c>
      <c r="F223" s="1210"/>
      <c r="G223" s="1210"/>
      <c r="H223" s="1492"/>
      <c r="I223" s="1492"/>
      <c r="J223" s="1492"/>
      <c r="K223" s="1492"/>
      <c r="L223" s="1492"/>
      <c r="M223" s="1492"/>
      <c r="O223" s="1494"/>
    </row>
    <row r="224">
      <c r="A224" s="1521" t="s">
        <v>261</v>
      </c>
      <c r="B224" s="1522" t="s">
        <v>184</v>
      </c>
      <c r="C224" s="1523">
        <v>2171603.0</v>
      </c>
      <c r="D224" s="1522">
        <v>703.0</v>
      </c>
      <c r="E224" s="1195" t="s">
        <v>184</v>
      </c>
      <c r="F224" s="1210"/>
      <c r="G224" s="1210"/>
      <c r="H224" s="1492"/>
      <c r="I224" s="1492"/>
      <c r="J224" s="1492"/>
      <c r="K224" s="1492"/>
      <c r="L224" s="1492"/>
      <c r="M224" s="1492"/>
      <c r="O224" s="1494"/>
    </row>
    <row r="225">
      <c r="A225" s="1521" t="s">
        <v>239</v>
      </c>
      <c r="B225" s="1522" t="s">
        <v>184</v>
      </c>
      <c r="C225" s="1523">
        <v>3343364.0</v>
      </c>
      <c r="D225" s="1536">
        <v>991.0</v>
      </c>
      <c r="E225" s="1195" t="s">
        <v>184</v>
      </c>
      <c r="F225" s="1210"/>
      <c r="G225" s="1210"/>
      <c r="H225" s="1492"/>
      <c r="I225" s="1492"/>
      <c r="J225" s="1492"/>
      <c r="K225" s="1492"/>
      <c r="L225" s="1492"/>
      <c r="M225" s="1492"/>
      <c r="O225" s="1494"/>
    </row>
    <row r="226">
      <c r="A226" s="1521" t="s">
        <v>357</v>
      </c>
      <c r="B226" s="1522" t="s">
        <v>184</v>
      </c>
      <c r="C226" s="1523">
        <v>883305.0</v>
      </c>
      <c r="D226" s="1522">
        <v>276.0</v>
      </c>
      <c r="E226" s="1195" t="s">
        <v>184</v>
      </c>
      <c r="F226" s="1210"/>
      <c r="G226" s="1210"/>
      <c r="H226" s="1492"/>
      <c r="I226" s="1492"/>
      <c r="J226" s="1492"/>
      <c r="K226" s="1492"/>
      <c r="L226" s="1492"/>
      <c r="M226" s="1492"/>
      <c r="O226" s="1494"/>
    </row>
    <row r="227">
      <c r="A227" s="1521" t="s">
        <v>358</v>
      </c>
      <c r="B227" s="1522" t="s">
        <v>184</v>
      </c>
      <c r="C227" s="1523">
        <v>752660.0</v>
      </c>
      <c r="D227" s="1522">
        <v>271.0</v>
      </c>
      <c r="E227" s="1195" t="s">
        <v>184</v>
      </c>
      <c r="F227" s="1210"/>
      <c r="G227" s="1210"/>
      <c r="H227" s="1492"/>
      <c r="I227" s="1492"/>
      <c r="J227" s="1492"/>
      <c r="K227" s="1492"/>
      <c r="L227" s="1492"/>
      <c r="M227" s="1492"/>
      <c r="O227" s="1494"/>
    </row>
    <row r="228">
      <c r="A228" s="1521" t="s">
        <v>360</v>
      </c>
      <c r="B228" s="1522" t="s">
        <v>184</v>
      </c>
      <c r="C228" s="1523">
        <v>284010.0</v>
      </c>
      <c r="D228" s="1522">
        <v>146.0</v>
      </c>
      <c r="E228" s="1195" t="s">
        <v>184</v>
      </c>
      <c r="F228" s="1210"/>
      <c r="G228" s="1210"/>
      <c r="H228" s="1492"/>
      <c r="I228" s="1492"/>
      <c r="J228" s="1492"/>
      <c r="K228" s="1492"/>
      <c r="L228" s="1492"/>
      <c r="M228" s="1492"/>
      <c r="O228" s="1494"/>
    </row>
    <row r="229">
      <c r="A229" s="1521" t="s">
        <v>361</v>
      </c>
      <c r="B229" s="1522" t="s">
        <v>184</v>
      </c>
      <c r="C229" s="1523">
        <v>769545.0</v>
      </c>
      <c r="D229" s="1522">
        <v>236.0</v>
      </c>
      <c r="E229" s="1195" t="s">
        <v>184</v>
      </c>
      <c r="F229" s="1210"/>
      <c r="G229" s="1210"/>
      <c r="H229" s="1492"/>
      <c r="I229" s="1492"/>
      <c r="J229" s="1492"/>
      <c r="K229" s="1492"/>
      <c r="L229" s="1492"/>
      <c r="M229" s="1492"/>
      <c r="O229" s="1494"/>
    </row>
    <row r="230">
      <c r="A230" s="1521" t="s">
        <v>362</v>
      </c>
      <c r="B230" s="1522" t="s">
        <v>184</v>
      </c>
      <c r="C230" s="1523">
        <v>446527.0</v>
      </c>
      <c r="D230" s="1522">
        <v>193.0</v>
      </c>
      <c r="E230" s="1195" t="s">
        <v>184</v>
      </c>
      <c r="F230" s="1210"/>
      <c r="G230" s="1210"/>
      <c r="H230" s="1492"/>
      <c r="I230" s="1492"/>
      <c r="J230" s="1492"/>
      <c r="K230" s="1492"/>
      <c r="L230" s="1492"/>
      <c r="M230" s="1492"/>
      <c r="O230" s="1494"/>
    </row>
    <row r="231">
      <c r="A231" s="1521" t="s">
        <v>272</v>
      </c>
      <c r="B231" s="1522" t="s">
        <v>184</v>
      </c>
      <c r="C231" s="1523">
        <v>1937570.0</v>
      </c>
      <c r="D231" s="1522">
        <v>516.0</v>
      </c>
      <c r="E231" s="1195" t="s">
        <v>184</v>
      </c>
      <c r="F231" s="1210"/>
      <c r="G231" s="1210"/>
      <c r="H231" s="1492"/>
      <c r="I231" s="1492"/>
      <c r="J231" s="1492"/>
      <c r="K231" s="1492"/>
      <c r="L231" s="1492"/>
      <c r="M231" s="1492"/>
      <c r="O231" s="1494"/>
    </row>
    <row r="232">
      <c r="A232" s="1521" t="s">
        <v>232</v>
      </c>
      <c r="B232" s="1522" t="s">
        <v>184</v>
      </c>
      <c r="C232" s="1523">
        <v>274255.0</v>
      </c>
      <c r="D232" s="1522">
        <v>78.0</v>
      </c>
      <c r="E232" s="1195" t="s">
        <v>184</v>
      </c>
      <c r="F232" s="1210"/>
      <c r="G232" s="1210"/>
      <c r="H232" s="1492"/>
      <c r="I232" s="1492"/>
      <c r="J232" s="1492"/>
      <c r="K232" s="1492"/>
      <c r="L232" s="1492"/>
      <c r="M232" s="1492"/>
      <c r="O232" s="1494"/>
    </row>
    <row r="233">
      <c r="A233" s="1521" t="s">
        <v>364</v>
      </c>
      <c r="B233" s="1522" t="s">
        <v>184</v>
      </c>
      <c r="C233" s="1523">
        <v>180040.0</v>
      </c>
      <c r="D233" s="1522">
        <v>95.0</v>
      </c>
      <c r="E233" s="1195" t="s">
        <v>184</v>
      </c>
      <c r="F233" s="1210"/>
      <c r="G233" s="1210"/>
      <c r="H233" s="1492"/>
      <c r="I233" s="1492"/>
      <c r="J233" s="1492"/>
      <c r="K233" s="1492"/>
      <c r="L233" s="1492"/>
      <c r="M233" s="1492"/>
      <c r="O233" s="1494"/>
    </row>
    <row r="234">
      <c r="A234" s="1521" t="s">
        <v>365</v>
      </c>
      <c r="B234" s="1522" t="s">
        <v>184</v>
      </c>
      <c r="C234" s="1523">
        <v>2987.0</v>
      </c>
      <c r="D234" s="1522">
        <v>4.0</v>
      </c>
      <c r="E234" s="1195" t="s">
        <v>184</v>
      </c>
      <c r="F234" s="1210"/>
      <c r="G234" s="1210"/>
      <c r="H234" s="1492"/>
      <c r="I234" s="1492"/>
      <c r="J234" s="1492"/>
      <c r="K234" s="1492"/>
      <c r="L234" s="1492"/>
      <c r="M234" s="1492"/>
      <c r="O234" s="1494"/>
    </row>
    <row r="235">
      <c r="A235" s="1521" t="s">
        <v>366</v>
      </c>
      <c r="B235" s="1522" t="s">
        <v>184</v>
      </c>
      <c r="C235" s="1523">
        <v>43724.0</v>
      </c>
      <c r="D235" s="1522">
        <v>51.0</v>
      </c>
      <c r="E235" s="1195" t="s">
        <v>184</v>
      </c>
      <c r="F235" s="1210"/>
      <c r="G235" s="1210"/>
      <c r="H235" s="1492"/>
      <c r="I235" s="1492"/>
      <c r="J235" s="1492"/>
      <c r="K235" s="1492"/>
      <c r="L235" s="1492"/>
      <c r="M235" s="1492"/>
      <c r="O235" s="1494"/>
    </row>
    <row r="236">
      <c r="A236" s="1521" t="s">
        <v>369</v>
      </c>
      <c r="B236" s="1522" t="s">
        <v>184</v>
      </c>
      <c r="C236" s="1523">
        <v>446610.0</v>
      </c>
      <c r="D236" s="1522">
        <v>188.0</v>
      </c>
      <c r="E236" s="1195" t="s">
        <v>184</v>
      </c>
      <c r="F236" s="1210"/>
      <c r="G236" s="1210"/>
      <c r="H236" s="1492"/>
      <c r="I236" s="1492"/>
      <c r="J236" s="1492"/>
      <c r="K236" s="1492"/>
      <c r="L236" s="1492"/>
      <c r="M236" s="1492"/>
      <c r="O236" s="1494"/>
    </row>
    <row r="237">
      <c r="A237" s="1521" t="s">
        <v>370</v>
      </c>
      <c r="B237" s="1522" t="s">
        <v>184</v>
      </c>
      <c r="C237" s="1523">
        <v>499942.0</v>
      </c>
      <c r="D237" s="1522">
        <v>155.0</v>
      </c>
      <c r="E237" s="1195" t="s">
        <v>184</v>
      </c>
      <c r="F237" s="1210"/>
      <c r="G237" s="1210"/>
      <c r="H237" s="1492"/>
      <c r="I237" s="1492"/>
      <c r="J237" s="1492"/>
      <c r="K237" s="1492"/>
      <c r="L237" s="1492"/>
      <c r="M237" s="1492"/>
      <c r="O237" s="1494"/>
    </row>
    <row r="238">
      <c r="A238" s="1521" t="s">
        <v>371</v>
      </c>
      <c r="B238" s="1522" t="s">
        <v>184</v>
      </c>
      <c r="C238" s="1523">
        <v>549815.0</v>
      </c>
      <c r="D238" s="1522">
        <v>231.0</v>
      </c>
      <c r="E238" s="1195" t="s">
        <v>184</v>
      </c>
      <c r="F238" s="1210"/>
      <c r="G238" s="1210"/>
      <c r="H238" s="1492"/>
      <c r="I238" s="1492"/>
      <c r="J238" s="1492"/>
      <c r="K238" s="1492"/>
      <c r="L238" s="1492"/>
      <c r="M238" s="1492"/>
      <c r="O238" s="1494"/>
    </row>
    <row r="239">
      <c r="A239" s="1521" t="s">
        <v>372</v>
      </c>
      <c r="B239" s="1522" t="s">
        <v>184</v>
      </c>
      <c r="C239" s="1523">
        <v>96807.0</v>
      </c>
      <c r="D239" s="1522">
        <v>37.0</v>
      </c>
      <c r="E239" s="1195" t="s">
        <v>184</v>
      </c>
      <c r="F239" s="1210"/>
      <c r="G239" s="1210"/>
      <c r="H239" s="1492"/>
      <c r="I239" s="1492"/>
      <c r="J239" s="1492"/>
      <c r="K239" s="1492"/>
      <c r="L239" s="1492"/>
      <c r="M239" s="1492"/>
      <c r="O239" s="1494"/>
    </row>
    <row r="240">
      <c r="A240" s="1521" t="s">
        <v>373</v>
      </c>
      <c r="B240" s="1522" t="s">
        <v>184</v>
      </c>
      <c r="C240" s="1523">
        <v>63916.0</v>
      </c>
      <c r="D240" s="1522">
        <v>46.0</v>
      </c>
      <c r="E240" s="1195" t="s">
        <v>184</v>
      </c>
      <c r="F240" s="1210"/>
      <c r="G240" s="1210"/>
      <c r="H240" s="1492"/>
      <c r="I240" s="1492"/>
      <c r="J240" s="1492"/>
      <c r="K240" s="1492"/>
      <c r="L240" s="1492"/>
      <c r="M240" s="1492"/>
      <c r="O240" s="1494"/>
    </row>
    <row r="241">
      <c r="A241" s="1521" t="s">
        <v>376</v>
      </c>
      <c r="B241" s="1522" t="s">
        <v>184</v>
      </c>
      <c r="C241" s="1523">
        <v>12535.0</v>
      </c>
      <c r="D241" s="1522">
        <v>13.0</v>
      </c>
      <c r="E241" s="1195" t="s">
        <v>184</v>
      </c>
      <c r="F241" s="1210"/>
      <c r="G241" s="1210"/>
      <c r="H241" s="1492"/>
      <c r="I241" s="1492"/>
      <c r="J241" s="1492"/>
      <c r="K241" s="1492"/>
      <c r="L241" s="1492"/>
      <c r="M241" s="1492"/>
      <c r="O241" s="1494"/>
    </row>
    <row r="242">
      <c r="A242" s="1521" t="s">
        <v>377</v>
      </c>
      <c r="B242" s="1522" t="s">
        <v>184</v>
      </c>
      <c r="C242" s="1523">
        <v>465861.0</v>
      </c>
      <c r="D242" s="1522">
        <v>250.0</v>
      </c>
      <c r="E242" s="1195" t="s">
        <v>184</v>
      </c>
      <c r="F242" s="1210"/>
      <c r="G242" s="1210"/>
      <c r="H242" s="1492"/>
      <c r="I242" s="1492"/>
      <c r="J242" s="1492"/>
      <c r="K242" s="1492"/>
      <c r="L242" s="1492"/>
      <c r="M242" s="1492"/>
      <c r="O242" s="1494"/>
    </row>
    <row r="243">
      <c r="A243" s="1521" t="s">
        <v>378</v>
      </c>
      <c r="B243" s="1522" t="s">
        <v>184</v>
      </c>
      <c r="C243" s="1523">
        <v>54539.0</v>
      </c>
      <c r="D243" s="1522">
        <v>41.0</v>
      </c>
      <c r="E243" s="1195" t="s">
        <v>184</v>
      </c>
      <c r="F243" s="1210"/>
      <c r="G243" s="1210"/>
      <c r="H243" s="1492"/>
      <c r="I243" s="1492"/>
      <c r="J243" s="1492"/>
      <c r="K243" s="1492"/>
      <c r="L243" s="1492"/>
      <c r="M243" s="1492"/>
      <c r="O243" s="1494"/>
    </row>
    <row r="244">
      <c r="A244" s="1521" t="s">
        <v>379</v>
      </c>
      <c r="B244" s="1522" t="s">
        <v>184</v>
      </c>
      <c r="C244" s="1523">
        <v>850967.0</v>
      </c>
      <c r="D244" s="1522">
        <v>269.0</v>
      </c>
      <c r="E244" s="1195" t="s">
        <v>184</v>
      </c>
      <c r="F244" s="1210"/>
      <c r="G244" s="1210"/>
      <c r="H244" s="1492"/>
      <c r="I244" s="1492"/>
      <c r="J244" s="1492"/>
      <c r="K244" s="1492"/>
      <c r="L244" s="1492"/>
      <c r="M244" s="1492"/>
    </row>
    <row r="245">
      <c r="A245" s="1521" t="s">
        <v>380</v>
      </c>
      <c r="B245" s="1522" t="s">
        <v>184</v>
      </c>
      <c r="C245" s="1523">
        <v>220408.0</v>
      </c>
      <c r="D245" s="1522">
        <v>87.0</v>
      </c>
      <c r="E245" s="1195" t="s">
        <v>184</v>
      </c>
      <c r="F245" s="1210"/>
      <c r="G245" s="1210"/>
      <c r="H245" s="1492"/>
      <c r="I245" s="1492"/>
      <c r="J245" s="1492"/>
      <c r="K245" s="1492"/>
      <c r="L245" s="1492"/>
      <c r="M245" s="1492"/>
    </row>
    <row r="246">
      <c r="A246" s="1558" t="s">
        <v>383</v>
      </c>
      <c r="B246" s="1559" t="s">
        <v>184</v>
      </c>
      <c r="C246" s="1560">
        <v>78041.0</v>
      </c>
      <c r="D246" s="1559">
        <v>39.0</v>
      </c>
      <c r="E246" s="1195" t="s">
        <v>184</v>
      </c>
      <c r="F246" s="1210"/>
      <c r="G246" s="1210"/>
      <c r="H246" s="1492"/>
      <c r="I246" s="1492"/>
      <c r="J246" s="1492"/>
      <c r="K246" s="1492"/>
      <c r="L246" s="1492"/>
      <c r="M246" s="1492"/>
      <c r="N246" s="1489"/>
      <c r="O246" s="1489"/>
      <c r="P246" s="1489"/>
      <c r="Q246" s="1489"/>
      <c r="R246" s="1489"/>
      <c r="S246" s="1489"/>
      <c r="T246" s="1489"/>
      <c r="U246" s="1489"/>
      <c r="V246" s="1489"/>
      <c r="W246" s="1489"/>
      <c r="X246" s="1489"/>
      <c r="Y246" s="1489"/>
      <c r="Z246" s="1489"/>
    </row>
    <row r="247">
      <c r="A247" s="355" t="s">
        <v>386</v>
      </c>
      <c r="B247" s="1503" t="s">
        <v>384</v>
      </c>
      <c r="C247" s="1504">
        <v>511868.0</v>
      </c>
      <c r="D247" s="1503">
        <v>142.0</v>
      </c>
      <c r="E247" s="1195" t="s">
        <v>384</v>
      </c>
      <c r="F247" s="1210"/>
      <c r="G247" s="1210"/>
      <c r="H247" s="1492"/>
      <c r="I247" s="1492"/>
      <c r="J247" s="1492"/>
      <c r="K247" s="1492"/>
      <c r="L247" s="1492"/>
      <c r="M247" s="1492"/>
    </row>
    <row r="248">
      <c r="A248" s="355" t="s">
        <v>388</v>
      </c>
      <c r="B248" s="355" t="s">
        <v>384</v>
      </c>
      <c r="C248" s="1562">
        <v>16683.0</v>
      </c>
      <c r="D248" s="355">
        <v>16.0</v>
      </c>
      <c r="E248" s="1195" t="s">
        <v>384</v>
      </c>
      <c r="F248" s="1210"/>
      <c r="G248" s="1210"/>
      <c r="H248" s="1492"/>
      <c r="I248" s="1492"/>
      <c r="J248" s="1492"/>
      <c r="K248" s="1492"/>
      <c r="L248" s="1492"/>
      <c r="M248" s="1492"/>
    </row>
    <row r="249">
      <c r="A249" s="355" t="s">
        <v>389</v>
      </c>
      <c r="B249" s="355" t="s">
        <v>384</v>
      </c>
      <c r="C249" s="1562">
        <v>651215.0</v>
      </c>
      <c r="D249" s="355">
        <v>215.0</v>
      </c>
      <c r="E249" s="1195" t="s">
        <v>384</v>
      </c>
      <c r="F249" s="1210"/>
      <c r="G249" s="1210"/>
      <c r="H249" s="1492"/>
      <c r="I249" s="1492"/>
      <c r="J249" s="1492"/>
      <c r="K249" s="1492"/>
      <c r="L249" s="1492"/>
      <c r="M249" s="1492"/>
    </row>
    <row r="250">
      <c r="A250" s="355" t="s">
        <v>390</v>
      </c>
      <c r="B250" s="355" t="s">
        <v>384</v>
      </c>
      <c r="C250" s="1562">
        <v>13765.0</v>
      </c>
      <c r="D250" s="355">
        <v>20.0</v>
      </c>
      <c r="E250" s="1195" t="s">
        <v>384</v>
      </c>
      <c r="F250" s="1210"/>
      <c r="G250" s="1210"/>
      <c r="H250" s="1492"/>
      <c r="I250" s="1492"/>
      <c r="J250" s="1492"/>
      <c r="K250" s="1492"/>
      <c r="L250" s="1492"/>
      <c r="M250" s="1492"/>
    </row>
    <row r="251">
      <c r="A251" s="355" t="s">
        <v>392</v>
      </c>
      <c r="B251" s="355" t="s">
        <v>384</v>
      </c>
      <c r="C251" s="1562">
        <v>3585.0</v>
      </c>
      <c r="D251" s="355">
        <v>8.0</v>
      </c>
      <c r="E251" s="1195" t="s">
        <v>384</v>
      </c>
      <c r="F251" s="1210"/>
      <c r="G251" s="1210"/>
      <c r="H251" s="1492"/>
      <c r="I251" s="1492"/>
      <c r="J251" s="1492"/>
      <c r="K251" s="1492"/>
      <c r="L251" s="1492"/>
      <c r="M251" s="1492"/>
    </row>
    <row r="252">
      <c r="A252" s="355" t="s">
        <v>394</v>
      </c>
      <c r="B252" s="355" t="s">
        <v>384</v>
      </c>
      <c r="C252" s="1562">
        <v>5882.0</v>
      </c>
      <c r="D252" s="355">
        <v>4.0</v>
      </c>
      <c r="E252" s="1195" t="s">
        <v>384</v>
      </c>
      <c r="F252" s="1210"/>
      <c r="G252" s="1210"/>
      <c r="H252" s="1492"/>
      <c r="I252" s="1492"/>
      <c r="J252" s="1492"/>
      <c r="K252" s="1492"/>
      <c r="L252" s="1492"/>
      <c r="M252" s="1492"/>
    </row>
    <row r="253">
      <c r="A253" s="355" t="s">
        <v>395</v>
      </c>
      <c r="B253" s="355" t="s">
        <v>384</v>
      </c>
      <c r="C253" s="1562">
        <v>326078.0</v>
      </c>
      <c r="D253" s="355">
        <v>127.0</v>
      </c>
      <c r="E253" s="1195" t="s">
        <v>384</v>
      </c>
      <c r="F253" s="1210"/>
      <c r="G253" s="1210"/>
      <c r="H253" s="1492"/>
      <c r="I253" s="1492"/>
      <c r="J253" s="1492"/>
      <c r="K253" s="1492"/>
      <c r="L253" s="1492"/>
      <c r="M253" s="1492"/>
    </row>
    <row r="254">
      <c r="A254" s="355" t="s">
        <v>396</v>
      </c>
      <c r="B254" s="355" t="s">
        <v>384</v>
      </c>
      <c r="C254" s="1562">
        <v>69267.0</v>
      </c>
      <c r="D254" s="355">
        <v>23.0</v>
      </c>
      <c r="E254" s="1195" t="s">
        <v>384</v>
      </c>
      <c r="F254" s="1210"/>
      <c r="G254" s="1210"/>
      <c r="H254" s="1492"/>
      <c r="I254" s="1492"/>
      <c r="J254" s="1492"/>
      <c r="K254" s="1492"/>
      <c r="L254" s="1492"/>
      <c r="M254" s="1492"/>
    </row>
    <row r="255">
      <c r="A255" s="355" t="s">
        <v>397</v>
      </c>
      <c r="B255" s="355" t="s">
        <v>384</v>
      </c>
      <c r="C255" s="1562">
        <v>20027.0</v>
      </c>
      <c r="D255" s="355">
        <v>30.0</v>
      </c>
      <c r="E255" s="1195" t="s">
        <v>384</v>
      </c>
      <c r="F255" s="1210"/>
      <c r="G255" s="1210"/>
      <c r="H255" s="1492"/>
      <c r="I255" s="1492"/>
      <c r="J255" s="1492"/>
      <c r="K255" s="1492"/>
      <c r="L255" s="1492"/>
      <c r="M255" s="1492"/>
    </row>
    <row r="256">
      <c r="A256" s="355" t="s">
        <v>399</v>
      </c>
      <c r="B256" s="355" t="s">
        <v>384</v>
      </c>
      <c r="C256" s="1562">
        <v>1876.0</v>
      </c>
      <c r="D256" s="355">
        <v>4.0</v>
      </c>
      <c r="E256" s="1195" t="s">
        <v>384</v>
      </c>
      <c r="F256" s="1210"/>
      <c r="G256" s="1210"/>
      <c r="H256" s="1492"/>
      <c r="I256" s="1492"/>
      <c r="J256" s="1492"/>
      <c r="K256" s="1492"/>
      <c r="L256" s="1492"/>
      <c r="M256" s="1492"/>
    </row>
    <row r="257">
      <c r="A257" s="355" t="s">
        <v>400</v>
      </c>
      <c r="B257" s="355" t="s">
        <v>384</v>
      </c>
      <c r="C257" s="1562">
        <v>9605.0</v>
      </c>
      <c r="D257" s="355">
        <v>7.0</v>
      </c>
      <c r="E257" s="1195" t="s">
        <v>384</v>
      </c>
      <c r="F257" s="1210"/>
      <c r="G257" s="1210"/>
      <c r="H257" s="1492"/>
      <c r="I257" s="1492"/>
      <c r="J257" s="1492"/>
      <c r="K257" s="1492"/>
      <c r="L257" s="1492"/>
      <c r="M257" s="1492"/>
    </row>
    <row r="258">
      <c r="A258" s="355" t="s">
        <v>402</v>
      </c>
      <c r="B258" s="355" t="s">
        <v>384</v>
      </c>
      <c r="C258" s="1562">
        <v>8200.0</v>
      </c>
      <c r="D258" s="355">
        <v>10.0</v>
      </c>
      <c r="E258" s="1195" t="s">
        <v>384</v>
      </c>
      <c r="F258" s="1210"/>
      <c r="G258" s="1210"/>
      <c r="H258" s="1492"/>
      <c r="I258" s="1492"/>
      <c r="J258" s="1492"/>
      <c r="K258" s="1492"/>
      <c r="L258" s="1492"/>
      <c r="M258" s="1492"/>
    </row>
    <row r="259">
      <c r="A259" s="355" t="s">
        <v>403</v>
      </c>
      <c r="B259" s="355" t="s">
        <v>384</v>
      </c>
      <c r="C259" s="1562">
        <v>3828.0</v>
      </c>
      <c r="D259" s="355">
        <v>3.0</v>
      </c>
      <c r="E259" s="1195" t="s">
        <v>384</v>
      </c>
      <c r="F259" s="1210"/>
      <c r="G259" s="1210"/>
      <c r="H259" s="1492"/>
      <c r="I259" s="1492"/>
      <c r="J259" s="1492"/>
      <c r="K259" s="1492"/>
      <c r="L259" s="1492"/>
      <c r="M259" s="1492"/>
    </row>
    <row r="260">
      <c r="A260" s="355" t="s">
        <v>404</v>
      </c>
      <c r="B260" s="355" t="s">
        <v>384</v>
      </c>
      <c r="C260" s="1562">
        <v>5858.0</v>
      </c>
      <c r="D260" s="355">
        <v>5.0</v>
      </c>
      <c r="E260" s="1195" t="s">
        <v>384</v>
      </c>
      <c r="F260" s="1210"/>
      <c r="G260" s="1210"/>
      <c r="H260" s="1492"/>
      <c r="I260" s="1492"/>
      <c r="J260" s="1492"/>
      <c r="K260" s="1492"/>
      <c r="L260" s="1492"/>
      <c r="M260" s="1492"/>
    </row>
    <row r="261">
      <c r="A261" s="355" t="s">
        <v>406</v>
      </c>
      <c r="B261" s="355" t="s">
        <v>384</v>
      </c>
      <c r="C261" s="1562">
        <v>4954.0</v>
      </c>
      <c r="D261" s="355">
        <v>11.0</v>
      </c>
      <c r="E261" s="1195" t="s">
        <v>384</v>
      </c>
      <c r="F261" s="1210"/>
      <c r="G261" s="1210"/>
      <c r="H261" s="1492"/>
      <c r="I261" s="1492"/>
      <c r="J261" s="1492"/>
      <c r="K261" s="1492"/>
      <c r="L261" s="1492"/>
      <c r="M261" s="1492"/>
    </row>
    <row r="262">
      <c r="A262" s="355" t="s">
        <v>407</v>
      </c>
      <c r="B262" s="355" t="s">
        <v>384</v>
      </c>
      <c r="C262" s="1562">
        <v>30953.0</v>
      </c>
      <c r="D262" s="355">
        <v>47.0</v>
      </c>
      <c r="E262" s="1195" t="s">
        <v>384</v>
      </c>
      <c r="F262" s="1210"/>
      <c r="G262" s="1210"/>
      <c r="H262" s="1492"/>
      <c r="I262" s="1492"/>
      <c r="J262" s="1492"/>
      <c r="K262" s="1492"/>
      <c r="L262" s="1492"/>
      <c r="M262" s="1492"/>
    </row>
    <row r="263">
      <c r="A263" s="355" t="s">
        <v>408</v>
      </c>
      <c r="B263" s="355" t="s">
        <v>384</v>
      </c>
      <c r="C263" s="1562">
        <v>716492.0</v>
      </c>
      <c r="D263" s="355">
        <v>292.0</v>
      </c>
      <c r="E263" s="1195" t="s">
        <v>384</v>
      </c>
      <c r="F263" s="1210"/>
      <c r="G263" s="1210"/>
      <c r="H263" s="1492"/>
      <c r="I263" s="1492"/>
      <c r="J263" s="1492"/>
      <c r="K263" s="1492"/>
      <c r="L263" s="1492"/>
      <c r="M263" s="1492"/>
    </row>
    <row r="264">
      <c r="A264" s="355" t="s">
        <v>411</v>
      </c>
      <c r="B264" s="355" t="s">
        <v>384</v>
      </c>
      <c r="C264" s="1562">
        <v>2074.0</v>
      </c>
      <c r="D264" s="355">
        <v>7.0</v>
      </c>
      <c r="E264" s="1195" t="s">
        <v>384</v>
      </c>
      <c r="F264" s="1210"/>
      <c r="G264" s="1210"/>
      <c r="H264" s="1492"/>
      <c r="I264" s="1492"/>
      <c r="J264" s="1492"/>
      <c r="K264" s="1492"/>
      <c r="L264" s="1492"/>
      <c r="M264" s="1492"/>
    </row>
    <row r="265">
      <c r="A265" s="355" t="s">
        <v>412</v>
      </c>
      <c r="B265" s="355" t="s">
        <v>384</v>
      </c>
      <c r="C265" s="1562">
        <v>342776.0</v>
      </c>
      <c r="D265" s="355">
        <v>76.0</v>
      </c>
      <c r="E265" s="1195" t="s">
        <v>384</v>
      </c>
      <c r="F265" s="1210"/>
      <c r="G265" s="1210"/>
      <c r="H265" s="1492"/>
      <c r="I265" s="1492"/>
      <c r="J265" s="1492"/>
      <c r="K265" s="1492"/>
      <c r="L265" s="1492"/>
      <c r="M265" s="1492"/>
    </row>
    <row r="266">
      <c r="A266" s="355" t="s">
        <v>413</v>
      </c>
      <c r="B266" s="355" t="s">
        <v>384</v>
      </c>
      <c r="C266" s="1562">
        <v>54993.0</v>
      </c>
      <c r="D266" s="355">
        <v>30.0</v>
      </c>
      <c r="E266" s="1195" t="s">
        <v>384</v>
      </c>
      <c r="F266" s="1210"/>
      <c r="G266" s="1210"/>
      <c r="H266" s="1492"/>
      <c r="I266" s="1492"/>
      <c r="J266" s="1492"/>
      <c r="K266" s="1492"/>
      <c r="L266" s="1492"/>
      <c r="M266" s="1492"/>
    </row>
    <row r="267">
      <c r="A267" s="355" t="s">
        <v>414</v>
      </c>
      <c r="B267" s="355" t="s">
        <v>384</v>
      </c>
      <c r="C267" s="1562">
        <v>26282.0</v>
      </c>
      <c r="D267" s="355">
        <v>18.0</v>
      </c>
      <c r="E267" s="1195" t="s">
        <v>384</v>
      </c>
      <c r="F267" s="1210"/>
      <c r="G267" s="1210"/>
      <c r="H267" s="1492"/>
      <c r="I267" s="1492"/>
      <c r="J267" s="1492"/>
      <c r="K267" s="1492"/>
      <c r="L267" s="1492"/>
      <c r="M267" s="1492"/>
    </row>
    <row r="268">
      <c r="A268" s="355" t="s">
        <v>415</v>
      </c>
      <c r="B268" s="355" t="s">
        <v>384</v>
      </c>
      <c r="C268" s="1562">
        <v>713856.0</v>
      </c>
      <c r="D268" s="355">
        <v>306.0</v>
      </c>
      <c r="E268" s="1195" t="s">
        <v>384</v>
      </c>
      <c r="F268" s="1210"/>
      <c r="G268" s="1210"/>
      <c r="H268" s="1492"/>
      <c r="I268" s="1492"/>
      <c r="J268" s="1492"/>
      <c r="K268" s="1492"/>
      <c r="L268" s="1492"/>
      <c r="M268" s="1492"/>
    </row>
    <row r="269">
      <c r="A269" s="355" t="s">
        <v>416</v>
      </c>
      <c r="B269" s="355" t="s">
        <v>384</v>
      </c>
      <c r="C269" s="1562">
        <v>48021.0</v>
      </c>
      <c r="D269" s="355">
        <v>39.0</v>
      </c>
      <c r="E269" s="1195" t="s">
        <v>384</v>
      </c>
      <c r="F269" s="1210"/>
      <c r="G269" s="1210"/>
      <c r="H269" s="1492"/>
      <c r="I269" s="1492"/>
      <c r="J269" s="1492"/>
      <c r="K269" s="1492"/>
      <c r="L269" s="1492"/>
      <c r="M269" s="1492"/>
    </row>
    <row r="270">
      <c r="A270" s="355" t="s">
        <v>417</v>
      </c>
      <c r="B270" s="355" t="s">
        <v>384</v>
      </c>
      <c r="C270" s="1562">
        <v>59770.0</v>
      </c>
      <c r="D270" s="355">
        <v>49.0</v>
      </c>
      <c r="E270" s="1195" t="s">
        <v>384</v>
      </c>
      <c r="F270" s="1210"/>
      <c r="G270" s="1210"/>
      <c r="H270" s="1492"/>
      <c r="I270" s="1492"/>
      <c r="J270" s="1492"/>
      <c r="K270" s="1492"/>
      <c r="L270" s="1492"/>
      <c r="M270" s="1492"/>
    </row>
    <row r="271">
      <c r="A271" s="355" t="s">
        <v>418</v>
      </c>
      <c r="B271" s="355" t="s">
        <v>384</v>
      </c>
      <c r="C271" s="1562">
        <v>6121.0</v>
      </c>
      <c r="D271" s="355">
        <v>3.0</v>
      </c>
      <c r="E271" s="1195" t="s">
        <v>384</v>
      </c>
      <c r="F271" s="1210"/>
      <c r="G271" s="1210"/>
      <c r="H271" s="1492"/>
      <c r="I271" s="1492"/>
      <c r="J271" s="1492"/>
      <c r="K271" s="1492"/>
      <c r="L271" s="1492"/>
      <c r="M271" s="1492"/>
    </row>
    <row r="272">
      <c r="A272" s="355" t="s">
        <v>421</v>
      </c>
      <c r="B272" s="355" t="s">
        <v>384</v>
      </c>
      <c r="C272" s="1562">
        <v>15525.0</v>
      </c>
      <c r="D272" s="355">
        <v>15.0</v>
      </c>
      <c r="E272" s="1195" t="s">
        <v>384</v>
      </c>
      <c r="F272" s="1210"/>
      <c r="G272" s="1210"/>
      <c r="H272" s="1492"/>
      <c r="I272" s="1492"/>
      <c r="J272" s="1492"/>
      <c r="K272" s="1492"/>
      <c r="L272" s="1492"/>
      <c r="M272" s="1492"/>
    </row>
    <row r="273">
      <c r="A273" s="355" t="s">
        <v>422</v>
      </c>
      <c r="B273" s="355" t="s">
        <v>384</v>
      </c>
      <c r="C273" s="1562">
        <v>17246.0</v>
      </c>
      <c r="D273" s="355">
        <v>15.0</v>
      </c>
      <c r="E273" s="1195" t="s">
        <v>384</v>
      </c>
      <c r="F273" s="1210"/>
      <c r="G273" s="1210"/>
      <c r="H273" s="1492"/>
      <c r="I273" s="1492"/>
      <c r="J273" s="1492"/>
      <c r="K273" s="1492"/>
      <c r="L273" s="1492"/>
      <c r="M273" s="1492"/>
    </row>
    <row r="274">
      <c r="A274" s="355" t="s">
        <v>424</v>
      </c>
      <c r="B274" s="355" t="s">
        <v>384</v>
      </c>
      <c r="C274" s="1562">
        <v>811.0</v>
      </c>
      <c r="D274" s="355" t="s">
        <v>63</v>
      </c>
      <c r="E274" s="1195"/>
      <c r="F274" s="1210"/>
      <c r="G274" s="1210"/>
      <c r="H274" s="1492"/>
      <c r="I274" s="1492"/>
      <c r="J274" s="1492"/>
      <c r="K274" s="1492"/>
      <c r="L274" s="1492"/>
      <c r="M274" s="1492"/>
    </row>
    <row r="275">
      <c r="A275" s="355" t="s">
        <v>425</v>
      </c>
      <c r="B275" s="355" t="s">
        <v>384</v>
      </c>
      <c r="C275" s="1562">
        <v>6889.0</v>
      </c>
      <c r="D275" s="355">
        <v>16.0</v>
      </c>
      <c r="E275" s="1195" t="s">
        <v>384</v>
      </c>
      <c r="F275" s="1210"/>
      <c r="G275" s="1210"/>
      <c r="H275" s="1492"/>
      <c r="I275" s="1492"/>
      <c r="J275" s="1492"/>
      <c r="K275" s="1492"/>
      <c r="L275" s="1492"/>
      <c r="M275" s="1492"/>
    </row>
    <row r="276">
      <c r="A276" s="355" t="s">
        <v>142</v>
      </c>
      <c r="B276" s="355" t="s">
        <v>384</v>
      </c>
      <c r="C276" s="1562">
        <v>1399.0</v>
      </c>
      <c r="D276" s="355">
        <v>2.0</v>
      </c>
      <c r="E276" s="1195" t="s">
        <v>384</v>
      </c>
      <c r="F276" s="1210"/>
      <c r="G276" s="1210"/>
      <c r="H276" s="1492"/>
      <c r="I276" s="1492"/>
      <c r="J276" s="1492"/>
      <c r="K276" s="1492"/>
      <c r="L276" s="1492"/>
      <c r="M276" s="1492"/>
    </row>
    <row r="277">
      <c r="A277" s="355" t="s">
        <v>143</v>
      </c>
      <c r="B277" s="355" t="s">
        <v>384</v>
      </c>
      <c r="C277" s="1562">
        <v>580233.0</v>
      </c>
      <c r="D277" s="355">
        <v>224.0</v>
      </c>
      <c r="E277" s="1195" t="s">
        <v>384</v>
      </c>
      <c r="F277" s="1210"/>
      <c r="G277" s="1210"/>
      <c r="H277" s="1492"/>
      <c r="I277" s="1492"/>
      <c r="J277" s="1492"/>
      <c r="K277" s="1492"/>
      <c r="L277" s="1492"/>
      <c r="M277" s="1492"/>
    </row>
    <row r="278">
      <c r="A278" s="355" t="s">
        <v>427</v>
      </c>
      <c r="B278" s="355" t="s">
        <v>384</v>
      </c>
      <c r="C278" s="1562">
        <v>1383.0</v>
      </c>
      <c r="D278" s="355">
        <v>7.0</v>
      </c>
      <c r="E278" s="1195" t="s">
        <v>384</v>
      </c>
      <c r="F278" s="1210"/>
      <c r="G278" s="1210"/>
      <c r="H278" s="1492"/>
      <c r="I278" s="1492"/>
      <c r="J278" s="1492"/>
      <c r="K278" s="1492"/>
      <c r="L278" s="1492"/>
      <c r="M278" s="1492"/>
    </row>
    <row r="279">
      <c r="A279" s="355" t="s">
        <v>428</v>
      </c>
      <c r="B279" s="355" t="s">
        <v>384</v>
      </c>
      <c r="C279" s="1562">
        <v>7163.0</v>
      </c>
      <c r="D279" s="355">
        <v>21.0</v>
      </c>
      <c r="E279" s="1195" t="s">
        <v>384</v>
      </c>
      <c r="F279" s="1210"/>
      <c r="G279" s="1210"/>
      <c r="H279" s="1492"/>
      <c r="I279" s="1492"/>
      <c r="J279" s="1492"/>
      <c r="K279" s="1492"/>
      <c r="L279" s="1492"/>
      <c r="M279" s="1492"/>
    </row>
    <row r="280">
      <c r="A280" s="355" t="s">
        <v>337</v>
      </c>
      <c r="B280" s="355" t="s">
        <v>384</v>
      </c>
      <c r="C280" s="1562">
        <v>7824.0</v>
      </c>
      <c r="D280" s="355">
        <v>8.0</v>
      </c>
      <c r="E280" s="1195" t="s">
        <v>384</v>
      </c>
      <c r="F280" s="1210"/>
      <c r="G280" s="1210"/>
      <c r="H280" s="1492"/>
      <c r="I280" s="1492"/>
      <c r="J280" s="1492"/>
      <c r="K280" s="1492"/>
      <c r="L280" s="1492"/>
      <c r="M280" s="1492"/>
    </row>
    <row r="281">
      <c r="A281" s="355" t="s">
        <v>429</v>
      </c>
      <c r="B281" s="355" t="s">
        <v>384</v>
      </c>
      <c r="C281" s="1562">
        <v>56310.0</v>
      </c>
      <c r="D281" s="355">
        <v>45.0</v>
      </c>
      <c r="E281" s="1195" t="s">
        <v>384</v>
      </c>
      <c r="F281" s="1210"/>
      <c r="G281" s="1210"/>
      <c r="H281" s="1492"/>
      <c r="I281" s="1492"/>
      <c r="J281" s="1492"/>
      <c r="K281" s="1492"/>
      <c r="L281" s="1492"/>
      <c r="M281" s="1492"/>
    </row>
    <row r="282">
      <c r="A282" s="355" t="s">
        <v>431</v>
      </c>
      <c r="B282" s="355" t="s">
        <v>384</v>
      </c>
      <c r="C282" s="1562">
        <v>350518.0</v>
      </c>
      <c r="D282" s="355">
        <v>167.0</v>
      </c>
      <c r="E282" s="1195" t="s">
        <v>384</v>
      </c>
      <c r="F282" s="1210"/>
      <c r="G282" s="1210"/>
      <c r="H282" s="1492"/>
      <c r="I282" s="1492"/>
      <c r="J282" s="1492"/>
      <c r="K282" s="1492"/>
      <c r="L282" s="1492"/>
      <c r="M282" s="1492"/>
    </row>
    <row r="283">
      <c r="A283" s="355" t="s">
        <v>432</v>
      </c>
      <c r="B283" s="355" t="s">
        <v>384</v>
      </c>
      <c r="C283" s="1562">
        <v>14503.0</v>
      </c>
      <c r="D283" s="355">
        <v>15.0</v>
      </c>
      <c r="E283" s="1195" t="s">
        <v>384</v>
      </c>
      <c r="F283" s="1210"/>
      <c r="G283" s="1210"/>
      <c r="H283" s="1492"/>
      <c r="I283" s="1492"/>
      <c r="J283" s="1492"/>
      <c r="K283" s="1492"/>
      <c r="L283" s="1492"/>
      <c r="M283" s="1492"/>
    </row>
    <row r="284">
      <c r="A284" s="355" t="s">
        <v>290</v>
      </c>
      <c r="B284" s="355" t="s">
        <v>384</v>
      </c>
      <c r="C284" s="1562">
        <v>5610.0</v>
      </c>
      <c r="D284" s="355">
        <v>17.0</v>
      </c>
      <c r="E284" s="1195" t="s">
        <v>384</v>
      </c>
      <c r="F284" s="1210"/>
      <c r="G284" s="1210"/>
      <c r="H284" s="1492"/>
      <c r="I284" s="1492"/>
      <c r="J284" s="1492"/>
      <c r="K284" s="1492"/>
      <c r="L284" s="1492"/>
      <c r="M284" s="1492"/>
    </row>
    <row r="285">
      <c r="A285" s="355" t="s">
        <v>293</v>
      </c>
      <c r="B285" s="355" t="s">
        <v>384</v>
      </c>
      <c r="C285" s="1562">
        <v>21528.0</v>
      </c>
      <c r="D285" s="355">
        <v>33.0</v>
      </c>
      <c r="E285" s="1195" t="s">
        <v>384</v>
      </c>
      <c r="F285" s="1210"/>
      <c r="G285" s="1210"/>
      <c r="H285" s="1492"/>
      <c r="I285" s="1492"/>
      <c r="J285" s="1492"/>
      <c r="K285" s="1492"/>
      <c r="L285" s="1492"/>
      <c r="M285" s="1492"/>
    </row>
    <row r="286">
      <c r="A286" s="355" t="s">
        <v>434</v>
      </c>
      <c r="B286" s="355" t="s">
        <v>384</v>
      </c>
      <c r="C286" s="1562">
        <v>153207.0</v>
      </c>
      <c r="D286" s="355">
        <v>109.0</v>
      </c>
      <c r="E286" s="1195" t="s">
        <v>384</v>
      </c>
      <c r="F286" s="1210"/>
      <c r="G286" s="1210"/>
      <c r="H286" s="1492"/>
      <c r="I286" s="1492"/>
      <c r="J286" s="1492"/>
      <c r="K286" s="1492"/>
      <c r="L286" s="1492"/>
      <c r="M286" s="1492"/>
    </row>
    <row r="287">
      <c r="A287" s="355" t="s">
        <v>435</v>
      </c>
      <c r="B287" s="355" t="s">
        <v>384</v>
      </c>
      <c r="C287" s="1562">
        <v>776.0</v>
      </c>
      <c r="D287" s="355">
        <v>2.0</v>
      </c>
      <c r="E287" s="1195" t="s">
        <v>384</v>
      </c>
      <c r="F287" s="1210"/>
      <c r="G287" s="1210"/>
      <c r="H287" s="1492"/>
      <c r="I287" s="1492"/>
      <c r="J287" s="1492"/>
      <c r="K287" s="1492"/>
      <c r="L287" s="1492"/>
      <c r="M287" s="1492"/>
    </row>
    <row r="288">
      <c r="A288" s="355" t="s">
        <v>436</v>
      </c>
      <c r="B288" s="355" t="s">
        <v>384</v>
      </c>
      <c r="C288" s="1562">
        <v>13188.0</v>
      </c>
      <c r="D288" s="355">
        <v>16.0</v>
      </c>
      <c r="E288" s="1195" t="s">
        <v>384</v>
      </c>
      <c r="F288" s="1210"/>
      <c r="G288" s="1210"/>
      <c r="H288" s="1492"/>
      <c r="I288" s="1492"/>
      <c r="J288" s="1492"/>
      <c r="K288" s="1492"/>
      <c r="L288" s="1492"/>
      <c r="M288" s="1492"/>
    </row>
    <row r="289">
      <c r="A289" s="355" t="s">
        <v>439</v>
      </c>
      <c r="B289" s="355" t="s">
        <v>384</v>
      </c>
      <c r="C289" s="1562">
        <v>26158.0</v>
      </c>
      <c r="D289" s="355">
        <v>31.0</v>
      </c>
      <c r="E289" s="1195" t="s">
        <v>384</v>
      </c>
      <c r="F289" s="1210"/>
      <c r="G289" s="1210"/>
      <c r="H289" s="1492"/>
      <c r="I289" s="1492"/>
      <c r="J289" s="1492"/>
      <c r="K289" s="1492"/>
      <c r="L289" s="1492"/>
      <c r="M289" s="1492"/>
    </row>
    <row r="290">
      <c r="A290" s="355" t="s">
        <v>440</v>
      </c>
      <c r="B290" s="355" t="s">
        <v>384</v>
      </c>
      <c r="C290" s="1562">
        <v>42214.0</v>
      </c>
      <c r="D290" s="355">
        <v>42.0</v>
      </c>
      <c r="E290" s="1195" t="s">
        <v>384</v>
      </c>
      <c r="F290" s="1210"/>
      <c r="G290" s="1210"/>
      <c r="H290" s="1492"/>
      <c r="I290" s="1492"/>
      <c r="J290" s="1492"/>
      <c r="K290" s="1492"/>
      <c r="L290" s="1492"/>
      <c r="M290" s="1492"/>
    </row>
    <row r="291">
      <c r="A291" s="355" t="s">
        <v>158</v>
      </c>
      <c r="B291" s="355" t="s">
        <v>384</v>
      </c>
      <c r="C291" s="1562">
        <v>28558.0</v>
      </c>
      <c r="D291" s="355">
        <v>37.0</v>
      </c>
      <c r="E291" s="1195" t="s">
        <v>384</v>
      </c>
      <c r="F291" s="1210"/>
      <c r="G291" s="1210"/>
      <c r="H291" s="1492"/>
      <c r="I291" s="1492"/>
      <c r="J291" s="1492"/>
      <c r="K291" s="1492"/>
      <c r="L291" s="1492"/>
      <c r="M291" s="1492"/>
    </row>
    <row r="292">
      <c r="A292" s="355" t="s">
        <v>441</v>
      </c>
      <c r="B292" s="355" t="s">
        <v>384</v>
      </c>
      <c r="C292" s="1562">
        <v>18432.0</v>
      </c>
      <c r="D292" s="355">
        <v>33.0</v>
      </c>
      <c r="E292" s="1195" t="s">
        <v>384</v>
      </c>
      <c r="F292" s="1210"/>
      <c r="G292" s="1210"/>
      <c r="H292" s="1492"/>
      <c r="I292" s="1492"/>
      <c r="J292" s="1492"/>
      <c r="K292" s="1492"/>
      <c r="L292" s="1492"/>
      <c r="M292" s="1492"/>
    </row>
    <row r="293">
      <c r="A293" s="355" t="s">
        <v>444</v>
      </c>
      <c r="B293" s="355" t="s">
        <v>384</v>
      </c>
      <c r="C293" s="1562">
        <v>4833.0</v>
      </c>
      <c r="D293" s="355">
        <v>6.0</v>
      </c>
      <c r="E293" s="1195" t="s">
        <v>384</v>
      </c>
      <c r="F293" s="1210"/>
      <c r="G293" s="1210"/>
      <c r="H293" s="1492"/>
      <c r="I293" s="1492"/>
      <c r="J293" s="1492"/>
      <c r="K293" s="1492"/>
      <c r="L293" s="1492"/>
      <c r="M293" s="1492"/>
    </row>
    <row r="294">
      <c r="A294" s="355" t="s">
        <v>445</v>
      </c>
      <c r="B294" s="355" t="s">
        <v>384</v>
      </c>
      <c r="C294" s="1562">
        <v>18556.0</v>
      </c>
      <c r="D294" s="355">
        <v>14.0</v>
      </c>
      <c r="E294" s="1195" t="s">
        <v>384</v>
      </c>
      <c r="F294" s="1210"/>
      <c r="G294" s="1210"/>
      <c r="H294" s="1492"/>
      <c r="I294" s="1492"/>
      <c r="J294" s="1492"/>
      <c r="K294" s="1492"/>
      <c r="L294" s="1492"/>
      <c r="M294" s="1492"/>
    </row>
    <row r="295">
      <c r="A295" s="355" t="s">
        <v>300</v>
      </c>
      <c r="B295" s="355" t="s">
        <v>384</v>
      </c>
      <c r="C295" s="1562">
        <v>4286.0</v>
      </c>
      <c r="D295" s="355">
        <v>12.0</v>
      </c>
      <c r="E295" s="1195" t="s">
        <v>384</v>
      </c>
      <c r="F295" s="1210"/>
      <c r="G295" s="1210"/>
      <c r="H295" s="1492"/>
      <c r="I295" s="1492"/>
      <c r="J295" s="1492"/>
      <c r="K295" s="1492"/>
      <c r="L295" s="1492"/>
      <c r="M295" s="1492"/>
    </row>
    <row r="296">
      <c r="A296" s="355" t="s">
        <v>446</v>
      </c>
      <c r="B296" s="355" t="s">
        <v>384</v>
      </c>
      <c r="C296" s="1562">
        <v>17950.0</v>
      </c>
      <c r="D296" s="355">
        <v>13.0</v>
      </c>
      <c r="E296" s="1195" t="s">
        <v>384</v>
      </c>
      <c r="F296" s="1210"/>
      <c r="G296" s="1210"/>
      <c r="H296" s="1492"/>
      <c r="I296" s="1492"/>
      <c r="J296" s="1492"/>
      <c r="K296" s="1492"/>
      <c r="L296" s="1492"/>
      <c r="M296" s="1492"/>
    </row>
    <row r="297">
      <c r="A297" s="355" t="s">
        <v>449</v>
      </c>
      <c r="B297" s="355" t="s">
        <v>384</v>
      </c>
      <c r="C297" s="1562">
        <v>12164.0</v>
      </c>
      <c r="D297" s="355">
        <v>26.0</v>
      </c>
      <c r="E297" s="1195" t="s">
        <v>384</v>
      </c>
      <c r="F297" s="1210"/>
      <c r="G297" s="1210"/>
      <c r="H297" s="1492"/>
      <c r="I297" s="1492"/>
      <c r="J297" s="1492"/>
      <c r="K297" s="1492"/>
      <c r="L297" s="1492"/>
      <c r="M297" s="1492"/>
    </row>
    <row r="298">
      <c r="A298" s="355" t="s">
        <v>450</v>
      </c>
      <c r="B298" s="355" t="s">
        <v>384</v>
      </c>
      <c r="C298" s="1562">
        <v>167529.0</v>
      </c>
      <c r="D298" s="355">
        <v>105.0</v>
      </c>
      <c r="E298" s="1195" t="s">
        <v>384</v>
      </c>
      <c r="F298" s="1210"/>
      <c r="G298" s="1210"/>
      <c r="H298" s="1492"/>
      <c r="I298" s="1492"/>
      <c r="J298" s="1492"/>
      <c r="K298" s="1492"/>
      <c r="L298" s="1492"/>
      <c r="M298" s="1492"/>
    </row>
    <row r="299">
      <c r="A299" s="355" t="s">
        <v>451</v>
      </c>
      <c r="B299" s="355" t="s">
        <v>384</v>
      </c>
      <c r="C299" s="1562">
        <v>6336.0</v>
      </c>
      <c r="D299" s="355">
        <v>12.0</v>
      </c>
      <c r="E299" s="1195" t="s">
        <v>384</v>
      </c>
      <c r="F299" s="1210"/>
      <c r="G299" s="1210"/>
      <c r="H299" s="1492"/>
      <c r="I299" s="1492"/>
      <c r="J299" s="1492"/>
      <c r="K299" s="1492"/>
      <c r="L299" s="1492"/>
      <c r="M299" s="1492"/>
    </row>
    <row r="300">
      <c r="A300" s="355" t="s">
        <v>453</v>
      </c>
      <c r="B300" s="355" t="s">
        <v>384</v>
      </c>
      <c r="C300" s="1562">
        <v>11250.0</v>
      </c>
      <c r="D300" s="355">
        <v>26.0</v>
      </c>
      <c r="E300" s="1195" t="s">
        <v>384</v>
      </c>
      <c r="F300" s="1210"/>
      <c r="G300" s="1210"/>
      <c r="H300" s="1492"/>
      <c r="I300" s="1492"/>
      <c r="J300" s="1492"/>
      <c r="K300" s="1492"/>
      <c r="L300" s="1492"/>
      <c r="M300" s="1492"/>
    </row>
    <row r="301">
      <c r="A301" s="355" t="s">
        <v>454</v>
      </c>
      <c r="B301" s="355" t="s">
        <v>384</v>
      </c>
      <c r="C301" s="1562">
        <v>25733.0</v>
      </c>
      <c r="D301" s="355">
        <v>14.0</v>
      </c>
      <c r="E301" s="1195" t="s">
        <v>384</v>
      </c>
      <c r="F301" s="1210"/>
      <c r="G301" s="1210"/>
      <c r="H301" s="1492"/>
      <c r="I301" s="1492"/>
      <c r="J301" s="1492"/>
      <c r="K301" s="1492"/>
      <c r="L301" s="1492"/>
      <c r="M301" s="1492"/>
    </row>
    <row r="302">
      <c r="A302" s="355" t="s">
        <v>455</v>
      </c>
      <c r="B302" s="355" t="s">
        <v>384</v>
      </c>
      <c r="C302" s="1562">
        <v>6843.0</v>
      </c>
      <c r="D302" s="355">
        <v>3.0</v>
      </c>
      <c r="E302" s="1195" t="s">
        <v>384</v>
      </c>
      <c r="F302" s="1210"/>
      <c r="G302" s="1210"/>
      <c r="H302" s="1492"/>
      <c r="I302" s="1492"/>
      <c r="J302" s="1492"/>
      <c r="K302" s="1492"/>
      <c r="L302" s="1492"/>
      <c r="M302" s="1492"/>
    </row>
    <row r="303">
      <c r="A303" s="355" t="s">
        <v>457</v>
      </c>
      <c r="B303" s="355" t="s">
        <v>384</v>
      </c>
      <c r="C303" s="1562">
        <v>762.0</v>
      </c>
      <c r="D303" s="355">
        <v>3.0</v>
      </c>
      <c r="E303" s="1195" t="s">
        <v>384</v>
      </c>
      <c r="F303" s="1210"/>
      <c r="G303" s="1210"/>
      <c r="H303" s="1492"/>
      <c r="I303" s="1492"/>
      <c r="J303" s="1492"/>
      <c r="K303" s="1492"/>
      <c r="L303" s="1492"/>
      <c r="M303" s="1492"/>
    </row>
    <row r="304">
      <c r="A304" s="355" t="s">
        <v>458</v>
      </c>
      <c r="B304" s="355" t="s">
        <v>384</v>
      </c>
      <c r="C304" s="1562">
        <v>8191.0</v>
      </c>
      <c r="D304" s="355">
        <v>7.0</v>
      </c>
      <c r="E304" s="1195" t="s">
        <v>384</v>
      </c>
      <c r="F304" s="1210"/>
      <c r="G304" s="1210"/>
      <c r="H304" s="1492"/>
      <c r="I304" s="1492"/>
      <c r="J304" s="1492"/>
      <c r="K304" s="1492"/>
      <c r="L304" s="1492"/>
      <c r="M304" s="1492"/>
    </row>
    <row r="305">
      <c r="A305" s="355" t="s">
        <v>459</v>
      </c>
      <c r="B305" s="355" t="s">
        <v>384</v>
      </c>
      <c r="C305" s="1562">
        <v>2303.0</v>
      </c>
      <c r="D305" s="355">
        <v>6.0</v>
      </c>
      <c r="E305" s="1195" t="s">
        <v>384</v>
      </c>
      <c r="F305" s="1210"/>
      <c r="G305" s="1210"/>
      <c r="H305" s="1492"/>
      <c r="I305" s="1492"/>
      <c r="J305" s="1492"/>
      <c r="K305" s="1492"/>
      <c r="L305" s="1492"/>
      <c r="M305" s="1492"/>
    </row>
    <row r="306">
      <c r="A306" s="355" t="s">
        <v>461</v>
      </c>
      <c r="B306" s="355" t="s">
        <v>384</v>
      </c>
      <c r="C306" s="1562">
        <v>31007.0</v>
      </c>
      <c r="D306" s="355">
        <v>20.0</v>
      </c>
      <c r="E306" s="1195" t="s">
        <v>384</v>
      </c>
      <c r="F306" s="1210"/>
      <c r="G306" s="1210"/>
      <c r="H306" s="1492"/>
      <c r="I306" s="1492"/>
      <c r="J306" s="1492"/>
      <c r="K306" s="1492"/>
      <c r="L306" s="1492"/>
      <c r="M306" s="1492"/>
    </row>
    <row r="307">
      <c r="A307" s="355" t="s">
        <v>462</v>
      </c>
      <c r="B307" s="355" t="s">
        <v>384</v>
      </c>
      <c r="C307" s="1562">
        <v>25083.0</v>
      </c>
      <c r="D307" s="355">
        <v>21.0</v>
      </c>
      <c r="E307" s="1195" t="s">
        <v>384</v>
      </c>
      <c r="F307" s="1210"/>
      <c r="G307" s="1210"/>
      <c r="H307" s="1492"/>
      <c r="I307" s="1492"/>
      <c r="J307" s="1492"/>
      <c r="K307" s="1492"/>
      <c r="L307" s="1492"/>
      <c r="M307" s="1492"/>
    </row>
    <row r="308">
      <c r="A308" s="355" t="s">
        <v>119</v>
      </c>
      <c r="B308" s="355" t="s">
        <v>384</v>
      </c>
      <c r="C308" s="1562">
        <v>4909.0</v>
      </c>
      <c r="D308" s="355">
        <v>13.0</v>
      </c>
      <c r="E308" s="1195" t="s">
        <v>384</v>
      </c>
      <c r="F308" s="1210"/>
      <c r="G308" s="1210"/>
      <c r="H308" s="1492"/>
      <c r="I308" s="1492"/>
      <c r="J308" s="1492"/>
      <c r="K308" s="1492"/>
      <c r="L308" s="1492"/>
      <c r="M308" s="1492"/>
    </row>
    <row r="309">
      <c r="A309" s="355" t="s">
        <v>463</v>
      </c>
      <c r="B309" s="355" t="s">
        <v>384</v>
      </c>
      <c r="C309" s="1562">
        <v>314305.0</v>
      </c>
      <c r="D309" s="355">
        <v>151.0</v>
      </c>
      <c r="E309" s="1195" t="s">
        <v>384</v>
      </c>
      <c r="F309" s="1210"/>
      <c r="G309" s="1210"/>
      <c r="H309" s="1492"/>
      <c r="I309" s="1492"/>
      <c r="J309" s="1492"/>
      <c r="K309" s="1492"/>
      <c r="L309" s="1492"/>
      <c r="M309" s="1492"/>
    </row>
    <row r="310">
      <c r="A310" s="1501" t="s">
        <v>236</v>
      </c>
      <c r="B310" s="1501" t="s">
        <v>384</v>
      </c>
      <c r="C310" s="1564">
        <v>10020.0</v>
      </c>
      <c r="D310" s="1501">
        <v>25.0</v>
      </c>
      <c r="E310" s="1195" t="s">
        <v>384</v>
      </c>
      <c r="F310" s="1210"/>
      <c r="G310" s="1210"/>
      <c r="H310" s="1492"/>
      <c r="I310" s="1492"/>
      <c r="J310" s="1492"/>
      <c r="K310" s="1492"/>
      <c r="L310" s="1492"/>
      <c r="M310" s="1492"/>
      <c r="N310" s="1489"/>
      <c r="O310" s="1489"/>
      <c r="P310" s="1489"/>
      <c r="Q310" s="1489"/>
      <c r="R310" s="1489"/>
      <c r="S310" s="1489"/>
      <c r="T310" s="1489"/>
      <c r="U310" s="1489"/>
      <c r="V310" s="1489"/>
      <c r="W310" s="1489"/>
      <c r="X310" s="1489"/>
      <c r="Y310" s="1489"/>
      <c r="Z310" s="1489"/>
    </row>
    <row r="311">
      <c r="A311" s="1521" t="s">
        <v>442</v>
      </c>
      <c r="B311" s="1521" t="s">
        <v>443</v>
      </c>
      <c r="C311" s="1539">
        <v>943823.0</v>
      </c>
      <c r="D311" s="1521">
        <v>518.0</v>
      </c>
      <c r="E311" s="1195" t="s">
        <v>443</v>
      </c>
      <c r="F311" s="1210"/>
      <c r="G311" s="1210"/>
      <c r="H311" s="1492"/>
      <c r="I311" s="1492"/>
      <c r="J311" s="1492"/>
      <c r="K311" s="1492"/>
      <c r="L311" s="1492"/>
      <c r="M311" s="1492"/>
    </row>
    <row r="312">
      <c r="A312" s="1521" t="s">
        <v>466</v>
      </c>
      <c r="B312" s="1521" t="s">
        <v>443</v>
      </c>
      <c r="C312" s="1539">
        <v>892697.0</v>
      </c>
      <c r="D312" s="1521">
        <v>466.0</v>
      </c>
      <c r="E312" s="1195" t="s">
        <v>443</v>
      </c>
      <c r="F312" s="1210"/>
      <c r="G312" s="1210"/>
      <c r="H312" s="1492"/>
      <c r="I312" s="1492"/>
      <c r="J312" s="1492"/>
      <c r="K312" s="1492"/>
      <c r="L312" s="1492"/>
      <c r="M312" s="1492"/>
    </row>
    <row r="313">
      <c r="A313" s="1521" t="s">
        <v>467</v>
      </c>
      <c r="B313" s="1521" t="s">
        <v>443</v>
      </c>
      <c r="C313" s="1539">
        <v>181111.0</v>
      </c>
      <c r="D313" s="1521">
        <v>149.0</v>
      </c>
      <c r="E313" s="1195" t="s">
        <v>443</v>
      </c>
      <c r="F313" s="1210"/>
      <c r="G313" s="1210"/>
      <c r="H313" s="1492"/>
      <c r="I313" s="1492"/>
      <c r="J313" s="1492"/>
      <c r="K313" s="1492"/>
      <c r="L313" s="1492"/>
      <c r="M313" s="1492"/>
    </row>
    <row r="314">
      <c r="A314" s="1521" t="s">
        <v>281</v>
      </c>
      <c r="B314" s="1521" t="s">
        <v>443</v>
      </c>
      <c r="C314" s="1539">
        <v>162682.0</v>
      </c>
      <c r="D314" s="1521">
        <v>98.0</v>
      </c>
      <c r="E314" s="1195" t="s">
        <v>443</v>
      </c>
      <c r="F314" s="1210"/>
      <c r="G314" s="1210"/>
      <c r="H314" s="1492"/>
      <c r="I314" s="1492"/>
      <c r="J314" s="1492"/>
      <c r="K314" s="1492"/>
      <c r="L314" s="1492"/>
      <c r="M314" s="1492"/>
    </row>
    <row r="315">
      <c r="A315" s="1521" t="s">
        <v>468</v>
      </c>
      <c r="B315" s="1521" t="s">
        <v>443</v>
      </c>
      <c r="C315" s="1539">
        <v>857620.0</v>
      </c>
      <c r="D315" s="1521">
        <v>473.0</v>
      </c>
      <c r="E315" s="1195" t="s">
        <v>443</v>
      </c>
      <c r="F315" s="1210"/>
      <c r="G315" s="1210"/>
      <c r="H315" s="1492"/>
      <c r="I315" s="1492"/>
      <c r="J315" s="1492"/>
      <c r="K315" s="1492"/>
      <c r="L315" s="1492"/>
      <c r="M315" s="1492"/>
    </row>
    <row r="316">
      <c r="A316" s="1521" t="s">
        <v>469</v>
      </c>
      <c r="B316" s="1521" t="s">
        <v>443</v>
      </c>
      <c r="C316" s="1539">
        <v>266784.0</v>
      </c>
      <c r="D316" s="1521">
        <v>188.0</v>
      </c>
      <c r="E316" s="1195" t="s">
        <v>443</v>
      </c>
      <c r="F316" s="1210"/>
      <c r="G316" s="1210"/>
      <c r="H316" s="1492"/>
      <c r="I316" s="1492"/>
      <c r="J316" s="1492"/>
      <c r="K316" s="1492"/>
      <c r="L316" s="1492"/>
      <c r="M316" s="1492"/>
    </row>
    <row r="317">
      <c r="A317" s="1521" t="s">
        <v>470</v>
      </c>
      <c r="B317" s="1521" t="s">
        <v>443</v>
      </c>
      <c r="C317" s="1539">
        <v>150921.0</v>
      </c>
      <c r="D317" s="1521">
        <v>81.0</v>
      </c>
      <c r="E317" s="1195" t="s">
        <v>443</v>
      </c>
      <c r="F317" s="1210"/>
      <c r="G317" s="1210"/>
      <c r="H317" s="1492"/>
      <c r="I317" s="1492"/>
      <c r="J317" s="1492"/>
      <c r="K317" s="1492"/>
      <c r="L317" s="1492"/>
      <c r="M317" s="1492"/>
    </row>
    <row r="318">
      <c r="A318" s="1558" t="s">
        <v>471</v>
      </c>
      <c r="B318" s="1558" t="s">
        <v>443</v>
      </c>
      <c r="C318" s="1565">
        <v>117027.0</v>
      </c>
      <c r="D318" s="1558">
        <v>96.0</v>
      </c>
      <c r="E318" s="1195" t="s">
        <v>443</v>
      </c>
      <c r="F318" s="1210"/>
      <c r="G318" s="1210"/>
      <c r="H318" s="1492"/>
      <c r="I318" s="1492"/>
      <c r="J318" s="1492"/>
      <c r="K318" s="1492"/>
      <c r="L318" s="1492"/>
      <c r="M318" s="1492"/>
      <c r="N318" s="1489"/>
      <c r="O318" s="1489"/>
      <c r="P318" s="1489"/>
      <c r="Q318" s="1489"/>
      <c r="R318" s="1489"/>
      <c r="S318" s="1489"/>
      <c r="T318" s="1489"/>
      <c r="U318" s="1489"/>
      <c r="V318" s="1489"/>
      <c r="W318" s="1489"/>
      <c r="X318" s="1489"/>
      <c r="Y318" s="1489"/>
      <c r="Z318" s="1489"/>
    </row>
    <row r="319">
      <c r="A319" s="1521" t="s">
        <v>474</v>
      </c>
      <c r="B319" s="1521" t="s">
        <v>472</v>
      </c>
      <c r="C319" s="1539">
        <v>178550.0</v>
      </c>
      <c r="D319" s="1521">
        <v>126.0</v>
      </c>
      <c r="E319" s="1189"/>
      <c r="F319" s="1492"/>
      <c r="G319" s="1492"/>
      <c r="H319" s="1492"/>
      <c r="I319" s="1492"/>
      <c r="J319" s="1492"/>
      <c r="K319" s="1492"/>
      <c r="L319" s="1492"/>
      <c r="M319" s="1492"/>
    </row>
    <row r="320">
      <c r="A320" s="1521" t="s">
        <v>475</v>
      </c>
      <c r="B320" s="1521" t="s">
        <v>472</v>
      </c>
      <c r="C320" s="1539">
        <v>559335.0</v>
      </c>
      <c r="D320" s="1521">
        <v>354.0</v>
      </c>
      <c r="E320" s="1189"/>
      <c r="F320" s="1492"/>
      <c r="G320" s="1492"/>
      <c r="H320" s="1492"/>
      <c r="I320" s="1492"/>
      <c r="J320" s="1492"/>
      <c r="K320" s="1492"/>
      <c r="L320" s="1492"/>
      <c r="M320" s="1492"/>
    </row>
    <row r="321">
      <c r="A321" s="1558" t="s">
        <v>476</v>
      </c>
      <c r="B321" s="1558" t="s">
        <v>472</v>
      </c>
      <c r="C321" s="1565">
        <v>229286.0</v>
      </c>
      <c r="D321" s="1558">
        <v>229.0</v>
      </c>
      <c r="E321" s="1189"/>
      <c r="F321" s="1492"/>
      <c r="G321" s="1492"/>
      <c r="H321" s="1492"/>
      <c r="I321" s="1492"/>
      <c r="J321" s="1492"/>
      <c r="K321" s="1492"/>
      <c r="L321" s="1492"/>
      <c r="M321" s="1492"/>
      <c r="N321" s="1489"/>
      <c r="O321" s="1489"/>
      <c r="P321" s="1489"/>
      <c r="Q321" s="1489"/>
      <c r="R321" s="1489"/>
      <c r="S321" s="1489"/>
      <c r="T321" s="1489"/>
      <c r="U321" s="1489"/>
      <c r="V321" s="1489"/>
      <c r="W321" s="1489"/>
      <c r="X321" s="1489"/>
      <c r="Y321" s="1489"/>
      <c r="Z321" s="1489"/>
    </row>
    <row r="322">
      <c r="A322" s="1501" t="s">
        <v>39</v>
      </c>
      <c r="B322" s="1501" t="s">
        <v>477</v>
      </c>
      <c r="C322" s="1564">
        <v>702455.0</v>
      </c>
      <c r="D322" s="1501">
        <v>480.0</v>
      </c>
      <c r="E322" s="1189"/>
      <c r="F322" s="1492"/>
      <c r="G322" s="1492"/>
      <c r="H322" s="1492"/>
      <c r="I322" s="1492"/>
      <c r="J322" s="1492"/>
      <c r="K322" s="1492"/>
      <c r="L322" s="1492"/>
      <c r="M322" s="1492"/>
      <c r="N322" s="1489"/>
      <c r="O322" s="1489"/>
      <c r="P322" s="1489"/>
      <c r="Q322" s="1489"/>
      <c r="R322" s="1489"/>
      <c r="S322" s="1489"/>
      <c r="T322" s="1489"/>
      <c r="U322" s="1489"/>
      <c r="V322" s="1489"/>
      <c r="W322" s="1489"/>
      <c r="X322" s="1489"/>
      <c r="Y322" s="1489"/>
      <c r="Z322" s="1489"/>
    </row>
    <row r="323">
      <c r="A323" s="1521" t="s">
        <v>479</v>
      </c>
      <c r="B323" s="1521" t="s">
        <v>245</v>
      </c>
      <c r="C323" s="1539">
        <v>269956.0</v>
      </c>
      <c r="D323" s="1521">
        <v>214.0</v>
      </c>
      <c r="E323" s="1195" t="s">
        <v>245</v>
      </c>
      <c r="F323" s="1210"/>
      <c r="G323" s="1210"/>
      <c r="H323" s="1492"/>
      <c r="I323" s="1492"/>
      <c r="J323" s="1492"/>
      <c r="K323" s="1492"/>
      <c r="L323" s="1492"/>
      <c r="M323" s="1492"/>
    </row>
    <row r="324">
      <c r="A324" s="1521" t="s">
        <v>481</v>
      </c>
      <c r="B324" s="1521" t="s">
        <v>245</v>
      </c>
      <c r="C324" s="1539">
        <v>28355.0</v>
      </c>
      <c r="D324" s="1521">
        <v>38.0</v>
      </c>
      <c r="E324" s="1195" t="s">
        <v>245</v>
      </c>
      <c r="F324" s="1210"/>
      <c r="G324" s="1210"/>
      <c r="H324" s="1492"/>
      <c r="I324" s="1492"/>
      <c r="J324" s="1492"/>
      <c r="K324" s="1492"/>
      <c r="L324" s="1492"/>
      <c r="M324" s="1492"/>
    </row>
    <row r="325">
      <c r="A325" s="1521" t="s">
        <v>482</v>
      </c>
      <c r="B325" s="1521" t="s">
        <v>245</v>
      </c>
      <c r="C325" s="1539">
        <v>185287.0</v>
      </c>
      <c r="D325" s="1521">
        <v>144.0</v>
      </c>
      <c r="E325" s="1195" t="s">
        <v>245</v>
      </c>
      <c r="F325" s="1210"/>
      <c r="G325" s="1210"/>
      <c r="H325" s="1492"/>
      <c r="I325" s="1492"/>
      <c r="J325" s="1492"/>
      <c r="K325" s="1492"/>
      <c r="L325" s="1492"/>
      <c r="M325" s="1492"/>
    </row>
    <row r="326">
      <c r="A326" s="1521" t="s">
        <v>483</v>
      </c>
      <c r="B326" s="1521" t="s">
        <v>245</v>
      </c>
      <c r="C326" s="1539">
        <v>27732.0</v>
      </c>
      <c r="D326" s="1521">
        <v>50.0</v>
      </c>
      <c r="E326" s="1195" t="s">
        <v>245</v>
      </c>
      <c r="F326" s="1210"/>
      <c r="G326" s="1210"/>
      <c r="H326" s="1492"/>
      <c r="I326" s="1492"/>
      <c r="J326" s="1492"/>
      <c r="K326" s="1492"/>
      <c r="L326" s="1492"/>
      <c r="M326" s="1492"/>
    </row>
    <row r="327">
      <c r="A327" s="1521" t="s">
        <v>484</v>
      </c>
      <c r="B327" s="1521" t="s">
        <v>245</v>
      </c>
      <c r="C327" s="1539">
        <v>596849.0</v>
      </c>
      <c r="D327" s="1521">
        <v>324.0</v>
      </c>
      <c r="E327" s="1195" t="s">
        <v>245</v>
      </c>
      <c r="F327" s="1210"/>
      <c r="G327" s="1210"/>
      <c r="H327" s="1492"/>
      <c r="I327" s="1492"/>
      <c r="J327" s="1492"/>
      <c r="K327" s="1492"/>
      <c r="L327" s="1492"/>
      <c r="M327" s="1492"/>
    </row>
    <row r="328">
      <c r="A328" s="1521" t="s">
        <v>269</v>
      </c>
      <c r="B328" s="1521" t="s">
        <v>245</v>
      </c>
      <c r="C328" s="1539">
        <v>1951260.0</v>
      </c>
      <c r="D328" s="1521">
        <v>702.0</v>
      </c>
      <c r="E328" s="1195" t="s">
        <v>245</v>
      </c>
      <c r="F328" s="1210"/>
      <c r="G328" s="1210"/>
      <c r="H328" s="1492"/>
      <c r="I328" s="1492"/>
      <c r="J328" s="1492"/>
      <c r="K328" s="1492"/>
      <c r="L328" s="1492"/>
      <c r="M328" s="1492"/>
    </row>
    <row r="329">
      <c r="A329" s="1521" t="s">
        <v>93</v>
      </c>
      <c r="B329" s="1521" t="s">
        <v>245</v>
      </c>
      <c r="C329" s="1539">
        <v>14587.0</v>
      </c>
      <c r="D329" s="1521">
        <v>27.0</v>
      </c>
      <c r="E329" s="1195" t="s">
        <v>245</v>
      </c>
      <c r="F329" s="1210"/>
      <c r="G329" s="1210"/>
      <c r="H329" s="1492"/>
      <c r="I329" s="1492"/>
      <c r="J329" s="1492"/>
      <c r="K329" s="1492"/>
      <c r="L329" s="1492"/>
      <c r="M329" s="1492"/>
    </row>
    <row r="330">
      <c r="A330" s="1521" t="s">
        <v>486</v>
      </c>
      <c r="B330" s="1521" t="s">
        <v>245</v>
      </c>
      <c r="C330" s="1539">
        <v>184998.0</v>
      </c>
      <c r="D330" s="1521">
        <v>97.0</v>
      </c>
      <c r="E330" s="1195" t="s">
        <v>245</v>
      </c>
      <c r="F330" s="1210"/>
      <c r="G330" s="1210"/>
      <c r="H330" s="1492"/>
      <c r="I330" s="1492"/>
      <c r="J330" s="1492"/>
      <c r="K330" s="1492"/>
      <c r="L330" s="1492"/>
      <c r="M330" s="1492"/>
    </row>
    <row r="331">
      <c r="A331" s="1521" t="s">
        <v>487</v>
      </c>
      <c r="B331" s="1521" t="s">
        <v>245</v>
      </c>
      <c r="C331" s="1539">
        <v>147929.0</v>
      </c>
      <c r="D331" s="1521">
        <v>105.0</v>
      </c>
      <c r="E331" s="1195" t="s">
        <v>245</v>
      </c>
      <c r="F331" s="1210"/>
      <c r="G331" s="1210"/>
      <c r="H331" s="1492"/>
      <c r="I331" s="1492"/>
      <c r="J331" s="1492"/>
      <c r="K331" s="1492"/>
      <c r="L331" s="1492"/>
      <c r="M331" s="1492"/>
    </row>
    <row r="332">
      <c r="A332" s="1521" t="s">
        <v>112</v>
      </c>
      <c r="B332" s="1521" t="s">
        <v>245</v>
      </c>
      <c r="C332" s="1539">
        <v>216072.0</v>
      </c>
      <c r="D332" s="1521">
        <v>120.0</v>
      </c>
      <c r="E332" s="1195" t="s">
        <v>245</v>
      </c>
      <c r="F332" s="1210"/>
      <c r="G332" s="1210"/>
      <c r="H332" s="1492"/>
      <c r="I332" s="1492"/>
      <c r="J332" s="1492"/>
      <c r="K332" s="1492"/>
      <c r="L332" s="1492"/>
      <c r="M332" s="1492"/>
    </row>
    <row r="333">
      <c r="A333" s="1521" t="s">
        <v>488</v>
      </c>
      <c r="B333" s="1521" t="s">
        <v>245</v>
      </c>
      <c r="C333" s="1539">
        <v>378488.0</v>
      </c>
      <c r="D333" s="1521">
        <v>139.0</v>
      </c>
      <c r="E333" s="1195" t="s">
        <v>245</v>
      </c>
      <c r="F333" s="1210"/>
      <c r="G333" s="1210"/>
      <c r="H333" s="1492"/>
      <c r="I333" s="1492"/>
      <c r="J333" s="1492"/>
      <c r="K333" s="1492"/>
      <c r="L333" s="1492"/>
      <c r="M333" s="1492"/>
    </row>
    <row r="334">
      <c r="A334" s="1521" t="s">
        <v>258</v>
      </c>
      <c r="B334" s="1521" t="s">
        <v>245</v>
      </c>
      <c r="C334" s="1539">
        <v>70503.0</v>
      </c>
      <c r="D334" s="1521">
        <v>83.0</v>
      </c>
      <c r="E334" s="1195" t="s">
        <v>245</v>
      </c>
      <c r="F334" s="1210"/>
      <c r="G334" s="1210"/>
      <c r="H334" s="1492"/>
      <c r="I334" s="1492"/>
      <c r="J334" s="1492"/>
      <c r="K334" s="1492"/>
      <c r="L334" s="1492"/>
      <c r="M334" s="1492"/>
    </row>
    <row r="335">
      <c r="A335" s="1521" t="s">
        <v>2446</v>
      </c>
      <c r="B335" s="1521" t="s">
        <v>245</v>
      </c>
      <c r="C335" s="1539">
        <v>37489.0</v>
      </c>
      <c r="D335" s="1521">
        <v>32.0</v>
      </c>
      <c r="E335" s="1195" t="s">
        <v>245</v>
      </c>
      <c r="F335" s="1210"/>
      <c r="G335" s="1210"/>
      <c r="H335" s="1492"/>
      <c r="I335" s="1492"/>
      <c r="J335" s="1492"/>
      <c r="K335" s="1492"/>
      <c r="L335" s="1492"/>
      <c r="M335" s="1492"/>
    </row>
    <row r="336">
      <c r="A336" s="1521" t="s">
        <v>490</v>
      </c>
      <c r="B336" s="1521" t="s">
        <v>245</v>
      </c>
      <c r="C336" s="1539">
        <v>16700.0</v>
      </c>
      <c r="D336" s="1521">
        <v>22.0</v>
      </c>
      <c r="E336" s="1195" t="s">
        <v>245</v>
      </c>
      <c r="F336" s="1210"/>
      <c r="G336" s="1210"/>
      <c r="H336" s="1492"/>
      <c r="I336" s="1492"/>
      <c r="J336" s="1492"/>
      <c r="K336" s="1492"/>
      <c r="L336" s="1492"/>
      <c r="M336" s="1492"/>
    </row>
    <row r="337">
      <c r="A337" s="1521" t="s">
        <v>433</v>
      </c>
      <c r="B337" s="1521" t="s">
        <v>245</v>
      </c>
      <c r="C337" s="1539">
        <v>950181.0</v>
      </c>
      <c r="D337" s="1521">
        <v>711.0</v>
      </c>
      <c r="E337" s="1195" t="s">
        <v>245</v>
      </c>
      <c r="F337" s="1210"/>
      <c r="G337" s="1210"/>
      <c r="H337" s="1492"/>
      <c r="I337" s="1492"/>
      <c r="J337" s="1492"/>
      <c r="K337" s="1492"/>
      <c r="L337" s="1492"/>
      <c r="M337" s="1492"/>
    </row>
    <row r="338">
      <c r="A338" s="1521" t="s">
        <v>133</v>
      </c>
      <c r="B338" s="1521" t="s">
        <v>245</v>
      </c>
      <c r="C338" s="1539">
        <v>315534.0</v>
      </c>
      <c r="D338" s="1521">
        <v>304.0</v>
      </c>
      <c r="E338" s="1195" t="s">
        <v>245</v>
      </c>
      <c r="F338" s="1210"/>
      <c r="G338" s="1210"/>
      <c r="H338" s="1492"/>
      <c r="I338" s="1492"/>
      <c r="J338" s="1492"/>
      <c r="K338" s="1492"/>
      <c r="L338" s="1492"/>
      <c r="M338" s="1492"/>
    </row>
    <row r="339">
      <c r="A339" s="1521" t="s">
        <v>491</v>
      </c>
      <c r="B339" s="1521" t="s">
        <v>245</v>
      </c>
      <c r="C339" s="1539">
        <v>112067.0</v>
      </c>
      <c r="D339" s="1521">
        <v>52.0</v>
      </c>
      <c r="E339" s="1195" t="s">
        <v>245</v>
      </c>
      <c r="F339" s="1210"/>
      <c r="G339" s="1210"/>
      <c r="H339" s="1492"/>
      <c r="I339" s="1492"/>
      <c r="J339" s="1492"/>
      <c r="K339" s="1492"/>
      <c r="L339" s="1492"/>
      <c r="M339" s="1492"/>
    </row>
    <row r="340">
      <c r="A340" s="1521" t="s">
        <v>136</v>
      </c>
      <c r="B340" s="1521" t="s">
        <v>245</v>
      </c>
      <c r="C340" s="1539">
        <v>11736.0</v>
      </c>
      <c r="D340" s="1521">
        <v>23.0</v>
      </c>
      <c r="E340" s="1195" t="s">
        <v>245</v>
      </c>
      <c r="F340" s="1210"/>
      <c r="G340" s="1210"/>
      <c r="H340" s="1492"/>
      <c r="I340" s="1492"/>
      <c r="J340" s="1492"/>
      <c r="K340" s="1492"/>
      <c r="L340" s="1492"/>
      <c r="M340" s="1492"/>
    </row>
    <row r="341">
      <c r="A341" s="1521" t="s">
        <v>493</v>
      </c>
      <c r="B341" s="1521" t="s">
        <v>245</v>
      </c>
      <c r="C341" s="1539">
        <v>45894.0</v>
      </c>
      <c r="D341" s="1521">
        <v>93.0</v>
      </c>
      <c r="E341" s="1195" t="s">
        <v>245</v>
      </c>
      <c r="F341" s="1210"/>
      <c r="G341" s="1210"/>
      <c r="H341" s="1492"/>
      <c r="I341" s="1492"/>
      <c r="J341" s="1492"/>
      <c r="K341" s="1492"/>
      <c r="L341" s="1492"/>
      <c r="M341" s="1492"/>
    </row>
    <row r="342">
      <c r="A342" s="1521" t="s">
        <v>494</v>
      </c>
      <c r="B342" s="1521" t="s">
        <v>245</v>
      </c>
      <c r="C342" s="1539">
        <v>18256.0</v>
      </c>
      <c r="D342" s="1521">
        <v>16.0</v>
      </c>
      <c r="E342" s="1195" t="s">
        <v>245</v>
      </c>
      <c r="F342" s="1210"/>
      <c r="G342" s="1210"/>
      <c r="H342" s="1492"/>
      <c r="I342" s="1492"/>
      <c r="J342" s="1492"/>
      <c r="K342" s="1492"/>
      <c r="L342" s="1492"/>
      <c r="M342" s="1492"/>
    </row>
    <row r="343">
      <c r="A343" s="1521" t="s">
        <v>495</v>
      </c>
      <c r="B343" s="1521" t="s">
        <v>245</v>
      </c>
      <c r="C343" s="1539">
        <v>13724.0</v>
      </c>
      <c r="D343" s="1521">
        <v>12.0</v>
      </c>
      <c r="E343" s="1195" t="s">
        <v>245</v>
      </c>
      <c r="F343" s="1210"/>
      <c r="G343" s="1210"/>
      <c r="H343" s="1492"/>
      <c r="I343" s="1492"/>
      <c r="J343" s="1492"/>
      <c r="K343" s="1492"/>
      <c r="L343" s="1492"/>
      <c r="M343" s="1492"/>
    </row>
    <row r="344">
      <c r="A344" s="1521" t="s">
        <v>496</v>
      </c>
      <c r="B344" s="1521" t="s">
        <v>245</v>
      </c>
      <c r="C344" s="1539">
        <v>16164.0</v>
      </c>
      <c r="D344" s="1521">
        <v>39.0</v>
      </c>
      <c r="E344" s="1195" t="s">
        <v>245</v>
      </c>
      <c r="F344" s="1210"/>
      <c r="G344" s="1210"/>
      <c r="H344" s="1492"/>
      <c r="I344" s="1492"/>
      <c r="J344" s="1492"/>
      <c r="K344" s="1492"/>
      <c r="L344" s="1492"/>
      <c r="M344" s="1492"/>
    </row>
    <row r="345">
      <c r="A345" s="1521" t="s">
        <v>497</v>
      </c>
      <c r="B345" s="1521" t="s">
        <v>245</v>
      </c>
      <c r="C345" s="1539">
        <v>14310.0</v>
      </c>
      <c r="D345" s="1521">
        <v>19.0</v>
      </c>
      <c r="E345" s="1195" t="s">
        <v>245</v>
      </c>
      <c r="F345" s="1210"/>
      <c r="G345" s="1210"/>
      <c r="H345" s="1492"/>
      <c r="I345" s="1492"/>
      <c r="J345" s="1492"/>
      <c r="K345" s="1492"/>
      <c r="L345" s="1492"/>
      <c r="M345" s="1492"/>
    </row>
    <row r="346">
      <c r="A346" s="1521" t="s">
        <v>498</v>
      </c>
      <c r="B346" s="1521" t="s">
        <v>245</v>
      </c>
      <c r="C346" s="1539">
        <v>27245.0</v>
      </c>
      <c r="D346" s="1521">
        <v>38.0</v>
      </c>
      <c r="E346" s="1195" t="s">
        <v>245</v>
      </c>
      <c r="F346" s="1210"/>
      <c r="G346" s="1210"/>
      <c r="H346" s="1492"/>
      <c r="I346" s="1492"/>
      <c r="J346" s="1492"/>
      <c r="K346" s="1492"/>
      <c r="L346" s="1492"/>
      <c r="M346" s="1492"/>
    </row>
    <row r="347">
      <c r="A347" s="1521" t="s">
        <v>499</v>
      </c>
      <c r="B347" s="1521" t="s">
        <v>245</v>
      </c>
      <c r="C347" s="1539">
        <v>41556.0</v>
      </c>
      <c r="D347" s="1521">
        <v>40.0</v>
      </c>
      <c r="E347" s="1195" t="s">
        <v>245</v>
      </c>
      <c r="F347" s="1210"/>
      <c r="G347" s="1210"/>
      <c r="H347" s="1492"/>
      <c r="I347" s="1492"/>
      <c r="J347" s="1492"/>
      <c r="K347" s="1492"/>
      <c r="L347" s="1492"/>
      <c r="M347" s="1492"/>
    </row>
    <row r="348">
      <c r="A348" s="1521" t="s">
        <v>500</v>
      </c>
      <c r="B348" s="1521" t="s">
        <v>245</v>
      </c>
      <c r="C348" s="1539">
        <v>190865.0</v>
      </c>
      <c r="D348" s="1521">
        <v>97.0</v>
      </c>
      <c r="E348" s="1195" t="s">
        <v>245</v>
      </c>
      <c r="F348" s="1210"/>
      <c r="G348" s="1210"/>
      <c r="H348" s="1492"/>
      <c r="I348" s="1492"/>
      <c r="J348" s="1492"/>
      <c r="K348" s="1492"/>
      <c r="L348" s="1492"/>
      <c r="M348" s="1492"/>
    </row>
    <row r="349">
      <c r="A349" s="1521" t="s">
        <v>501</v>
      </c>
      <c r="B349" s="1521" t="s">
        <v>245</v>
      </c>
      <c r="C349" s="1539">
        <v>105424.0</v>
      </c>
      <c r="D349" s="1521">
        <v>110.0</v>
      </c>
      <c r="E349" s="1195" t="s">
        <v>245</v>
      </c>
      <c r="F349" s="1210"/>
      <c r="G349" s="1210"/>
      <c r="H349" s="1492"/>
      <c r="I349" s="1492"/>
      <c r="J349" s="1492"/>
      <c r="K349" s="1492"/>
      <c r="L349" s="1492"/>
      <c r="M349" s="1492"/>
    </row>
    <row r="350">
      <c r="A350" s="1521" t="s">
        <v>306</v>
      </c>
      <c r="B350" s="1521" t="s">
        <v>245</v>
      </c>
      <c r="C350" s="1539">
        <v>1436888.0</v>
      </c>
      <c r="D350" s="1521">
        <v>654.0</v>
      </c>
      <c r="E350" s="1195" t="s">
        <v>245</v>
      </c>
      <c r="F350" s="1210"/>
      <c r="G350" s="1210"/>
      <c r="H350" s="1492"/>
      <c r="I350" s="1492"/>
      <c r="J350" s="1492"/>
      <c r="K350" s="1492"/>
      <c r="L350" s="1492"/>
      <c r="M350" s="1492"/>
    </row>
    <row r="351">
      <c r="A351" s="1521" t="s">
        <v>502</v>
      </c>
      <c r="B351" s="1521" t="s">
        <v>245</v>
      </c>
      <c r="C351" s="1539">
        <v>19477.0</v>
      </c>
      <c r="D351" s="1521">
        <v>49.0</v>
      </c>
      <c r="E351" s="1195" t="s">
        <v>245</v>
      </c>
      <c r="F351" s="1210"/>
      <c r="G351" s="1210"/>
      <c r="H351" s="1492"/>
      <c r="I351" s="1492"/>
      <c r="J351" s="1492"/>
      <c r="K351" s="1492"/>
      <c r="L351" s="1492"/>
      <c r="M351" s="1492"/>
    </row>
    <row r="352">
      <c r="A352" s="1521" t="s">
        <v>504</v>
      </c>
      <c r="B352" s="1521" t="s">
        <v>245</v>
      </c>
      <c r="C352" s="1539">
        <v>157413.0</v>
      </c>
      <c r="D352" s="1521">
        <v>101.0</v>
      </c>
      <c r="E352" s="1195" t="s">
        <v>245</v>
      </c>
      <c r="F352" s="1210"/>
      <c r="G352" s="1210"/>
      <c r="H352" s="1492"/>
      <c r="I352" s="1492"/>
      <c r="J352" s="1492"/>
      <c r="K352" s="1492"/>
      <c r="L352" s="1492"/>
      <c r="M352" s="1492"/>
    </row>
    <row r="353">
      <c r="A353" s="1521" t="s">
        <v>142</v>
      </c>
      <c r="B353" s="1521" t="s">
        <v>245</v>
      </c>
      <c r="C353" s="1539">
        <v>48305.0</v>
      </c>
      <c r="D353" s="1521">
        <v>99.0</v>
      </c>
      <c r="E353" s="1195" t="s">
        <v>245</v>
      </c>
      <c r="F353" s="1210"/>
      <c r="G353" s="1210"/>
      <c r="H353" s="1492"/>
      <c r="I353" s="1492"/>
      <c r="J353" s="1492"/>
      <c r="K353" s="1492"/>
      <c r="L353" s="1492"/>
      <c r="M353" s="1492"/>
    </row>
    <row r="354">
      <c r="A354" s="1521" t="s">
        <v>143</v>
      </c>
      <c r="B354" s="1521" t="s">
        <v>245</v>
      </c>
      <c r="C354" s="1539">
        <v>14288.0</v>
      </c>
      <c r="D354" s="1521">
        <v>46.0</v>
      </c>
      <c r="E354" s="1195" t="s">
        <v>245</v>
      </c>
      <c r="F354" s="1210"/>
      <c r="G354" s="1210"/>
      <c r="H354" s="1492"/>
      <c r="I354" s="1492"/>
      <c r="J354" s="1492"/>
      <c r="K354" s="1492"/>
      <c r="L354" s="1492"/>
      <c r="M354" s="1492"/>
    </row>
    <row r="355">
      <c r="A355" s="1521" t="s">
        <v>289</v>
      </c>
      <c r="B355" s="1521" t="s">
        <v>245</v>
      </c>
      <c r="C355" s="1539">
        <v>8732.0</v>
      </c>
      <c r="D355" s="1521">
        <v>21.0</v>
      </c>
      <c r="E355" s="1195" t="s">
        <v>245</v>
      </c>
      <c r="F355" s="1210"/>
      <c r="G355" s="1210"/>
      <c r="H355" s="1492"/>
      <c r="I355" s="1492"/>
      <c r="J355" s="1492"/>
      <c r="K355" s="1492"/>
      <c r="L355" s="1492"/>
      <c r="M355" s="1492"/>
    </row>
    <row r="356">
      <c r="A356" s="1521" t="s">
        <v>337</v>
      </c>
      <c r="B356" s="1521" t="s">
        <v>245</v>
      </c>
      <c r="C356" s="1539">
        <v>356495.0</v>
      </c>
      <c r="D356" s="1521">
        <v>231.0</v>
      </c>
      <c r="E356" s="1195" t="s">
        <v>245</v>
      </c>
      <c r="F356" s="1210"/>
      <c r="G356" s="1210"/>
      <c r="H356" s="1492"/>
      <c r="I356" s="1492"/>
      <c r="J356" s="1492"/>
      <c r="K356" s="1492"/>
      <c r="L356" s="1492"/>
      <c r="M356" s="1492"/>
    </row>
    <row r="357">
      <c r="A357" s="1521" t="s">
        <v>147</v>
      </c>
      <c r="B357" s="1521" t="s">
        <v>245</v>
      </c>
      <c r="C357" s="1539">
        <v>754610.0</v>
      </c>
      <c r="D357" s="1521">
        <v>293.0</v>
      </c>
      <c r="E357" s="1195" t="s">
        <v>245</v>
      </c>
      <c r="F357" s="1210"/>
      <c r="G357" s="1210"/>
      <c r="H357" s="1492"/>
      <c r="I357" s="1492"/>
      <c r="J357" s="1492"/>
      <c r="K357" s="1492"/>
      <c r="L357" s="1492"/>
      <c r="M357" s="1492"/>
    </row>
    <row r="358">
      <c r="A358" s="1521" t="s">
        <v>505</v>
      </c>
      <c r="B358" s="1521" t="s">
        <v>245</v>
      </c>
      <c r="C358" s="1539">
        <v>292502.0</v>
      </c>
      <c r="D358" s="1521">
        <v>227.0</v>
      </c>
      <c r="E358" s="1195" t="s">
        <v>245</v>
      </c>
      <c r="F358" s="1210"/>
      <c r="G358" s="1210"/>
      <c r="H358" s="1492"/>
      <c r="I358" s="1492"/>
      <c r="J358" s="1492"/>
      <c r="K358" s="1492"/>
      <c r="L358" s="1492"/>
      <c r="M358" s="1492"/>
    </row>
    <row r="359">
      <c r="A359" s="1521" t="s">
        <v>506</v>
      </c>
      <c r="B359" s="1521" t="s">
        <v>245</v>
      </c>
      <c r="C359" s="1539">
        <v>40770.0</v>
      </c>
      <c r="D359" s="1521">
        <v>54.0</v>
      </c>
      <c r="E359" s="1195" t="s">
        <v>245</v>
      </c>
      <c r="F359" s="1210"/>
      <c r="G359" s="1210"/>
      <c r="H359" s="1492"/>
      <c r="I359" s="1492"/>
      <c r="J359" s="1492"/>
      <c r="K359" s="1492"/>
      <c r="L359" s="1492"/>
      <c r="M359" s="1492"/>
    </row>
    <row r="360">
      <c r="A360" s="1521" t="s">
        <v>508</v>
      </c>
      <c r="B360" s="1521" t="s">
        <v>245</v>
      </c>
      <c r="C360" s="1539">
        <v>8457.0</v>
      </c>
      <c r="D360" s="1521">
        <v>13.0</v>
      </c>
      <c r="E360" s="1195" t="s">
        <v>245</v>
      </c>
      <c r="F360" s="1210"/>
      <c r="G360" s="1210"/>
      <c r="H360" s="1492"/>
      <c r="I360" s="1492"/>
      <c r="J360" s="1492"/>
      <c r="K360" s="1492"/>
      <c r="L360" s="1492"/>
      <c r="M360" s="1492"/>
    </row>
    <row r="361">
      <c r="A361" s="1521" t="s">
        <v>151</v>
      </c>
      <c r="B361" s="1521" t="s">
        <v>245</v>
      </c>
      <c r="C361" s="1539">
        <v>18529.0</v>
      </c>
      <c r="D361" s="1521">
        <v>34.0</v>
      </c>
      <c r="E361" s="1195" t="s">
        <v>245</v>
      </c>
      <c r="F361" s="1210"/>
      <c r="G361" s="1210"/>
      <c r="H361" s="1492"/>
      <c r="I361" s="1492"/>
      <c r="J361" s="1492"/>
      <c r="K361" s="1492"/>
      <c r="L361" s="1492"/>
      <c r="M361" s="1492"/>
    </row>
    <row r="362">
      <c r="A362" s="1521" t="s">
        <v>509</v>
      </c>
      <c r="B362" s="1521" t="s">
        <v>245</v>
      </c>
      <c r="C362" s="1539">
        <v>394855.0</v>
      </c>
      <c r="D362" s="1521">
        <v>196.0</v>
      </c>
      <c r="E362" s="1195" t="s">
        <v>245</v>
      </c>
      <c r="F362" s="1210"/>
      <c r="G362" s="1210"/>
      <c r="H362" s="1492"/>
      <c r="I362" s="1492"/>
      <c r="J362" s="1492"/>
      <c r="K362" s="1492"/>
      <c r="L362" s="1492"/>
      <c r="M362" s="1492"/>
    </row>
    <row r="363">
      <c r="A363" s="1521" t="s">
        <v>153</v>
      </c>
      <c r="B363" s="1521" t="s">
        <v>245</v>
      </c>
      <c r="C363" s="1539">
        <v>359977.0</v>
      </c>
      <c r="D363" s="1521">
        <v>288.0</v>
      </c>
      <c r="E363" s="1195" t="s">
        <v>245</v>
      </c>
      <c r="F363" s="1210"/>
      <c r="G363" s="1210"/>
      <c r="H363" s="1492"/>
      <c r="I363" s="1492"/>
      <c r="J363" s="1492"/>
      <c r="K363" s="1492"/>
      <c r="L363" s="1492"/>
      <c r="M363" s="1492"/>
    </row>
    <row r="364">
      <c r="A364" s="1521" t="s">
        <v>510</v>
      </c>
      <c r="B364" s="1521" t="s">
        <v>245</v>
      </c>
      <c r="C364" s="1539">
        <v>160912.0</v>
      </c>
      <c r="D364" s="1521">
        <v>75.0</v>
      </c>
      <c r="E364" s="1195" t="s">
        <v>245</v>
      </c>
      <c r="F364" s="1210"/>
      <c r="G364" s="1210"/>
      <c r="H364" s="1492"/>
      <c r="I364" s="1492"/>
      <c r="J364" s="1492"/>
      <c r="K364" s="1492"/>
      <c r="L364" s="1492"/>
      <c r="M364" s="1492"/>
    </row>
    <row r="365">
      <c r="A365" s="1521" t="s">
        <v>244</v>
      </c>
      <c r="B365" s="1521" t="s">
        <v>245</v>
      </c>
      <c r="C365" s="1539">
        <v>2761581.0</v>
      </c>
      <c r="D365" s="1521">
        <v>880.0</v>
      </c>
      <c r="E365" s="1195" t="s">
        <v>245</v>
      </c>
      <c r="F365" s="1210"/>
      <c r="G365" s="1210"/>
      <c r="H365" s="1492"/>
      <c r="I365" s="1492"/>
      <c r="J365" s="1492"/>
      <c r="K365" s="1492"/>
      <c r="L365" s="1492"/>
      <c r="M365" s="1492"/>
    </row>
    <row r="366">
      <c r="A366" s="1521" t="s">
        <v>156</v>
      </c>
      <c r="B366" s="1521" t="s">
        <v>245</v>
      </c>
      <c r="C366" s="1539">
        <v>75027.0</v>
      </c>
      <c r="D366" s="1521">
        <v>53.0</v>
      </c>
      <c r="E366" s="1195" t="s">
        <v>245</v>
      </c>
      <c r="F366" s="1210"/>
      <c r="G366" s="1210"/>
      <c r="H366" s="1492"/>
      <c r="I366" s="1492"/>
      <c r="J366" s="1492"/>
      <c r="K366" s="1492"/>
      <c r="L366" s="1492"/>
      <c r="M366" s="1492"/>
    </row>
    <row r="367">
      <c r="A367" s="1521" t="s">
        <v>330</v>
      </c>
      <c r="B367" s="1521" t="s">
        <v>245</v>
      </c>
      <c r="C367" s="1539">
        <v>85832.0</v>
      </c>
      <c r="D367" s="1521">
        <v>81.0</v>
      </c>
      <c r="E367" s="1195" t="s">
        <v>245</v>
      </c>
      <c r="F367" s="1210"/>
      <c r="G367" s="1210"/>
      <c r="H367" s="1492"/>
      <c r="I367" s="1492"/>
      <c r="J367" s="1492"/>
      <c r="K367" s="1492"/>
      <c r="L367" s="1492"/>
      <c r="M367" s="1492"/>
    </row>
    <row r="368">
      <c r="A368" s="1521" t="s">
        <v>513</v>
      </c>
      <c r="B368" s="1521" t="s">
        <v>245</v>
      </c>
      <c r="C368" s="1539">
        <v>207269.0</v>
      </c>
      <c r="D368" s="1521">
        <v>184.0</v>
      </c>
      <c r="E368" s="1195" t="s">
        <v>245</v>
      </c>
      <c r="F368" s="1210"/>
      <c r="G368" s="1210"/>
      <c r="H368" s="1492"/>
      <c r="I368" s="1492"/>
      <c r="J368" s="1492"/>
      <c r="K368" s="1492"/>
      <c r="L368" s="1492"/>
      <c r="M368" s="1492"/>
    </row>
    <row r="369">
      <c r="A369" s="1521" t="s">
        <v>514</v>
      </c>
      <c r="B369" s="1521" t="s">
        <v>245</v>
      </c>
      <c r="C369" s="1539">
        <v>41537.0</v>
      </c>
      <c r="D369" s="1521">
        <v>40.0</v>
      </c>
      <c r="E369" s="1195" t="s">
        <v>245</v>
      </c>
      <c r="F369" s="1210"/>
      <c r="G369" s="1210"/>
      <c r="H369" s="1492"/>
      <c r="I369" s="1492"/>
      <c r="J369" s="1492"/>
      <c r="K369" s="1492"/>
      <c r="L369" s="1492"/>
      <c r="M369" s="1492"/>
    </row>
    <row r="370">
      <c r="A370" s="1521" t="s">
        <v>241</v>
      </c>
      <c r="B370" s="1521" t="s">
        <v>245</v>
      </c>
      <c r="C370" s="1539">
        <v>1380645.0</v>
      </c>
      <c r="D370" s="1521">
        <v>598.0</v>
      </c>
      <c r="E370" s="1195" t="s">
        <v>245</v>
      </c>
      <c r="F370" s="1210"/>
      <c r="G370" s="1210"/>
      <c r="H370" s="1492"/>
      <c r="I370" s="1492"/>
      <c r="J370" s="1492"/>
      <c r="K370" s="1492"/>
      <c r="L370" s="1492"/>
      <c r="M370" s="1492"/>
    </row>
    <row r="371">
      <c r="A371" s="1521" t="s">
        <v>515</v>
      </c>
      <c r="B371" s="1521" t="s">
        <v>245</v>
      </c>
      <c r="C371" s="1539">
        <v>367990.0</v>
      </c>
      <c r="D371" s="1521">
        <v>131.0</v>
      </c>
      <c r="E371" s="1195" t="s">
        <v>245</v>
      </c>
      <c r="F371" s="1210"/>
      <c r="G371" s="1210"/>
      <c r="H371" s="1492"/>
      <c r="I371" s="1492"/>
      <c r="J371" s="1492"/>
      <c r="K371" s="1492"/>
      <c r="L371" s="1492"/>
      <c r="M371" s="1492"/>
    </row>
    <row r="372">
      <c r="A372" s="1521" t="s">
        <v>296</v>
      </c>
      <c r="B372" s="1521" t="s">
        <v>245</v>
      </c>
      <c r="C372" s="1539">
        <v>1485941.0</v>
      </c>
      <c r="D372" s="1521">
        <v>486.0</v>
      </c>
      <c r="E372" s="1195" t="s">
        <v>245</v>
      </c>
      <c r="F372" s="1210"/>
      <c r="G372" s="1210"/>
      <c r="H372" s="1492"/>
      <c r="I372" s="1492"/>
      <c r="J372" s="1492"/>
      <c r="K372" s="1492"/>
      <c r="L372" s="1492"/>
      <c r="M372" s="1492"/>
    </row>
    <row r="373">
      <c r="A373" s="1521" t="s">
        <v>517</v>
      </c>
      <c r="B373" s="1521" t="s">
        <v>245</v>
      </c>
      <c r="C373" s="1539">
        <v>539630.0</v>
      </c>
      <c r="D373" s="1521">
        <v>214.0</v>
      </c>
      <c r="E373" s="1195" t="s">
        <v>245</v>
      </c>
      <c r="F373" s="1210"/>
      <c r="G373" s="1210"/>
      <c r="H373" s="1492"/>
      <c r="I373" s="1492"/>
      <c r="J373" s="1492"/>
      <c r="K373" s="1492"/>
      <c r="L373" s="1492"/>
      <c r="M373" s="1492"/>
    </row>
    <row r="374">
      <c r="A374" s="1521" t="s">
        <v>423</v>
      </c>
      <c r="B374" s="1521" t="s">
        <v>245</v>
      </c>
      <c r="C374" s="1539">
        <v>975280.0</v>
      </c>
      <c r="D374" s="1521">
        <v>423.0</v>
      </c>
      <c r="E374" s="1195" t="s">
        <v>245</v>
      </c>
      <c r="F374" s="1210"/>
      <c r="G374" s="1210"/>
      <c r="H374" s="1492"/>
      <c r="I374" s="1492"/>
      <c r="J374" s="1492"/>
      <c r="K374" s="1492"/>
      <c r="L374" s="1492"/>
      <c r="M374" s="1492"/>
    </row>
    <row r="375">
      <c r="A375" s="1521" t="s">
        <v>302</v>
      </c>
      <c r="B375" s="1521" t="s">
        <v>245</v>
      </c>
      <c r="C375" s="1539">
        <v>708009.0</v>
      </c>
      <c r="D375" s="1521">
        <v>487.0</v>
      </c>
      <c r="E375" s="1195" t="s">
        <v>245</v>
      </c>
      <c r="F375" s="1210"/>
      <c r="G375" s="1210"/>
      <c r="H375" s="1492"/>
      <c r="I375" s="1492"/>
      <c r="J375" s="1492"/>
      <c r="K375" s="1492"/>
      <c r="L375" s="1492"/>
      <c r="M375" s="1492"/>
    </row>
    <row r="376">
      <c r="A376" s="1521" t="s">
        <v>518</v>
      </c>
      <c r="B376" s="1521" t="s">
        <v>245</v>
      </c>
      <c r="C376" s="1539">
        <v>74163.0</v>
      </c>
      <c r="D376" s="1521">
        <v>105.0</v>
      </c>
      <c r="E376" s="1195" t="s">
        <v>245</v>
      </c>
      <c r="F376" s="1210"/>
      <c r="G376" s="1210"/>
      <c r="H376" s="1492"/>
      <c r="I376" s="1492"/>
      <c r="J376" s="1492"/>
      <c r="K376" s="1492"/>
      <c r="L376" s="1492"/>
      <c r="M376" s="1492"/>
    </row>
    <row r="377">
      <c r="A377" s="1521" t="s">
        <v>2457</v>
      </c>
      <c r="B377" s="1521" t="s">
        <v>245</v>
      </c>
      <c r="C377" s="1539">
        <v>254261.0</v>
      </c>
      <c r="D377" s="1521">
        <v>103.0</v>
      </c>
      <c r="E377" s="1195" t="s">
        <v>245</v>
      </c>
      <c r="F377" s="1210"/>
      <c r="G377" s="1210"/>
      <c r="H377" s="1492"/>
      <c r="I377" s="1492"/>
      <c r="J377" s="1492"/>
      <c r="K377" s="1492"/>
      <c r="L377" s="1492"/>
      <c r="M377" s="1492"/>
    </row>
    <row r="378">
      <c r="A378" s="1521" t="s">
        <v>2458</v>
      </c>
      <c r="B378" s="1521" t="s">
        <v>245</v>
      </c>
      <c r="C378" s="1539">
        <v>321128.0</v>
      </c>
      <c r="D378" s="1521">
        <v>133.0</v>
      </c>
      <c r="E378" s="1195" t="s">
        <v>245</v>
      </c>
      <c r="F378" s="1210"/>
      <c r="G378" s="1210"/>
      <c r="H378" s="1492"/>
      <c r="I378" s="1492"/>
      <c r="J378" s="1492"/>
      <c r="K378" s="1492"/>
      <c r="L378" s="1492"/>
      <c r="M378" s="1492"/>
    </row>
    <row r="379">
      <c r="A379" s="1521" t="s">
        <v>522</v>
      </c>
      <c r="B379" s="1521" t="s">
        <v>245</v>
      </c>
      <c r="C379" s="1539">
        <v>179349.0</v>
      </c>
      <c r="D379" s="1521">
        <v>120.0</v>
      </c>
      <c r="E379" s="1195" t="s">
        <v>245</v>
      </c>
      <c r="F379" s="1210"/>
      <c r="G379" s="1210"/>
      <c r="H379" s="1492"/>
      <c r="I379" s="1492"/>
      <c r="J379" s="1492"/>
      <c r="K379" s="1492"/>
      <c r="L379" s="1492"/>
      <c r="M379" s="1492"/>
    </row>
    <row r="380">
      <c r="A380" s="1521" t="s">
        <v>523</v>
      </c>
      <c r="B380" s="1521" t="s">
        <v>245</v>
      </c>
      <c r="C380" s="1539">
        <v>426718.0</v>
      </c>
      <c r="D380" s="1521">
        <v>221.0</v>
      </c>
      <c r="E380" s="1195" t="s">
        <v>245</v>
      </c>
      <c r="F380" s="1210"/>
      <c r="G380" s="1210"/>
      <c r="H380" s="1492"/>
      <c r="I380" s="1492"/>
      <c r="J380" s="1492"/>
      <c r="K380" s="1492"/>
      <c r="L380" s="1492"/>
      <c r="M380" s="1492"/>
    </row>
    <row r="381">
      <c r="A381" s="1521" t="s">
        <v>524</v>
      </c>
      <c r="B381" s="1521" t="s">
        <v>245</v>
      </c>
      <c r="C381" s="1539">
        <v>467832.0</v>
      </c>
      <c r="D381" s="1521">
        <v>188.0</v>
      </c>
      <c r="E381" s="1195" t="s">
        <v>245</v>
      </c>
      <c r="F381" s="1210"/>
      <c r="G381" s="1210"/>
      <c r="H381" s="1492"/>
      <c r="I381" s="1492"/>
      <c r="J381" s="1492"/>
      <c r="K381" s="1492"/>
      <c r="L381" s="1492"/>
      <c r="M381" s="1492"/>
    </row>
    <row r="382">
      <c r="A382" s="1521" t="s">
        <v>169</v>
      </c>
      <c r="B382" s="1521" t="s">
        <v>245</v>
      </c>
      <c r="C382" s="1539">
        <v>128754.0</v>
      </c>
      <c r="D382" s="1521">
        <v>73.0</v>
      </c>
      <c r="E382" s="1195" t="s">
        <v>245</v>
      </c>
      <c r="F382" s="1210"/>
      <c r="G382" s="1210"/>
      <c r="H382" s="1492"/>
      <c r="I382" s="1492"/>
      <c r="J382" s="1492"/>
      <c r="K382" s="1492"/>
      <c r="L382" s="1492"/>
      <c r="M382" s="1492"/>
    </row>
    <row r="383">
      <c r="A383" s="1521" t="s">
        <v>525</v>
      </c>
      <c r="B383" s="1521" t="s">
        <v>245</v>
      </c>
      <c r="C383" s="1539">
        <v>44191.0</v>
      </c>
      <c r="D383" s="1521">
        <v>72.0</v>
      </c>
      <c r="E383" s="1195" t="s">
        <v>245</v>
      </c>
      <c r="F383" s="1210"/>
      <c r="G383" s="1210"/>
      <c r="H383" s="1492"/>
      <c r="I383" s="1492"/>
      <c r="J383" s="1492"/>
      <c r="K383" s="1492"/>
      <c r="L383" s="1492"/>
      <c r="M383" s="1492"/>
    </row>
    <row r="384">
      <c r="A384" s="1521" t="s">
        <v>526</v>
      </c>
      <c r="B384" s="1521" t="s">
        <v>245</v>
      </c>
      <c r="C384" s="1539">
        <v>21623.0</v>
      </c>
      <c r="D384" s="1521">
        <v>46.0</v>
      </c>
      <c r="E384" s="1195" t="s">
        <v>245</v>
      </c>
      <c r="F384" s="1210"/>
      <c r="G384" s="1210"/>
      <c r="H384" s="1492"/>
      <c r="I384" s="1492"/>
      <c r="J384" s="1492"/>
      <c r="K384" s="1492"/>
      <c r="L384" s="1492"/>
      <c r="M384" s="1492"/>
    </row>
    <row r="385">
      <c r="A385" s="1521" t="s">
        <v>316</v>
      </c>
      <c r="B385" s="1521" t="s">
        <v>245</v>
      </c>
      <c r="C385" s="1539">
        <v>14940.0</v>
      </c>
      <c r="D385" s="1521">
        <v>19.0</v>
      </c>
      <c r="E385" s="1195" t="s">
        <v>245</v>
      </c>
      <c r="F385" s="1210"/>
      <c r="G385" s="1210"/>
      <c r="H385" s="1492"/>
      <c r="I385" s="1492"/>
      <c r="J385" s="1492"/>
      <c r="K385" s="1492"/>
      <c r="L385" s="1492"/>
      <c r="M385" s="1492"/>
    </row>
    <row r="386">
      <c r="A386" s="1521" t="s">
        <v>528</v>
      </c>
      <c r="B386" s="1521" t="s">
        <v>245</v>
      </c>
      <c r="C386" s="1539">
        <v>547538.0</v>
      </c>
      <c r="D386" s="1521">
        <v>294.0</v>
      </c>
      <c r="E386" s="1195" t="s">
        <v>245</v>
      </c>
      <c r="F386" s="1210"/>
      <c r="G386" s="1210"/>
      <c r="H386" s="1492"/>
      <c r="I386" s="1492"/>
      <c r="J386" s="1492"/>
      <c r="K386" s="1492"/>
      <c r="L386" s="1492"/>
      <c r="M386" s="1492"/>
    </row>
    <row r="387">
      <c r="A387" s="1521" t="s">
        <v>529</v>
      </c>
      <c r="B387" s="1521" t="s">
        <v>245</v>
      </c>
      <c r="C387" s="1539">
        <v>32461.0</v>
      </c>
      <c r="D387" s="1521">
        <v>35.0</v>
      </c>
      <c r="E387" s="1195" t="s">
        <v>245</v>
      </c>
      <c r="F387" s="1210"/>
      <c r="G387" s="1210"/>
      <c r="H387" s="1492"/>
      <c r="I387" s="1492"/>
      <c r="J387" s="1492"/>
      <c r="K387" s="1492"/>
      <c r="L387" s="1492"/>
      <c r="M387" s="1492"/>
    </row>
    <row r="388">
      <c r="A388" s="1521" t="s">
        <v>530</v>
      </c>
      <c r="B388" s="1521" t="s">
        <v>245</v>
      </c>
      <c r="C388" s="1539">
        <v>71375.0</v>
      </c>
      <c r="D388" s="1521">
        <v>77.0</v>
      </c>
      <c r="E388" s="1195" t="s">
        <v>245</v>
      </c>
      <c r="F388" s="1210"/>
      <c r="G388" s="1210"/>
      <c r="H388" s="1492"/>
      <c r="I388" s="1492"/>
      <c r="J388" s="1492"/>
      <c r="K388" s="1492"/>
      <c r="L388" s="1492"/>
      <c r="M388" s="1492"/>
    </row>
    <row r="389">
      <c r="A389" s="1558" t="s">
        <v>119</v>
      </c>
      <c r="B389" s="1558" t="s">
        <v>245</v>
      </c>
      <c r="C389" s="1565">
        <v>24880.0</v>
      </c>
      <c r="D389" s="1558">
        <v>37.0</v>
      </c>
      <c r="E389" s="1195" t="s">
        <v>245</v>
      </c>
      <c r="F389" s="1210"/>
      <c r="G389" s="1210"/>
      <c r="H389" s="1492"/>
      <c r="I389" s="1492"/>
      <c r="J389" s="1492"/>
      <c r="K389" s="1492"/>
      <c r="L389" s="1492"/>
      <c r="M389" s="1492"/>
      <c r="N389" s="1489"/>
      <c r="O389" s="1489"/>
      <c r="P389" s="1489"/>
      <c r="Q389" s="1489"/>
      <c r="R389" s="1489"/>
      <c r="S389" s="1489"/>
      <c r="T389" s="1489"/>
      <c r="U389" s="1489"/>
      <c r="V389" s="1489"/>
      <c r="W389" s="1489"/>
      <c r="X389" s="1489"/>
      <c r="Y389" s="1489"/>
      <c r="Z389" s="1489"/>
    </row>
    <row r="390">
      <c r="A390" s="355" t="s">
        <v>532</v>
      </c>
      <c r="B390" s="355" t="s">
        <v>393</v>
      </c>
      <c r="C390" s="1562">
        <v>18507.0</v>
      </c>
      <c r="D390" s="355">
        <v>40.0</v>
      </c>
      <c r="E390" s="1195" t="s">
        <v>393</v>
      </c>
      <c r="F390" s="1210"/>
      <c r="G390" s="1210"/>
      <c r="H390" s="1492"/>
      <c r="I390" s="1492"/>
      <c r="J390" s="1492"/>
      <c r="K390" s="1492"/>
      <c r="L390" s="1492"/>
      <c r="M390" s="1492"/>
    </row>
    <row r="391">
      <c r="A391" s="355" t="s">
        <v>533</v>
      </c>
      <c r="B391" s="355" t="s">
        <v>393</v>
      </c>
      <c r="C391" s="1562">
        <v>8297.0</v>
      </c>
      <c r="D391" s="355">
        <v>14.0</v>
      </c>
      <c r="E391" s="1195" t="s">
        <v>393</v>
      </c>
      <c r="F391" s="1210"/>
      <c r="G391" s="1210"/>
      <c r="H391" s="1492"/>
      <c r="I391" s="1492"/>
      <c r="J391" s="1492"/>
      <c r="K391" s="1492"/>
      <c r="L391" s="1492"/>
      <c r="M391" s="1492"/>
    </row>
    <row r="392">
      <c r="A392" s="355" t="s">
        <v>534</v>
      </c>
      <c r="B392" s="355" t="s">
        <v>393</v>
      </c>
      <c r="C392" s="1562">
        <v>11185.0</v>
      </c>
      <c r="D392" s="355">
        <v>22.0</v>
      </c>
      <c r="E392" s="1195" t="s">
        <v>393</v>
      </c>
      <c r="F392" s="1210"/>
      <c r="G392" s="1210"/>
      <c r="H392" s="1492"/>
      <c r="I392" s="1492"/>
      <c r="J392" s="1492"/>
      <c r="K392" s="1492"/>
      <c r="L392" s="1492"/>
      <c r="M392" s="1492"/>
    </row>
    <row r="393">
      <c r="A393" s="355" t="s">
        <v>481</v>
      </c>
      <c r="B393" s="355" t="s">
        <v>393</v>
      </c>
      <c r="C393" s="1562">
        <v>3092.0</v>
      </c>
      <c r="D393" s="355" t="s">
        <v>63</v>
      </c>
      <c r="E393" s="1195"/>
      <c r="F393" s="1210"/>
      <c r="G393" s="1210"/>
      <c r="H393" s="1492"/>
      <c r="I393" s="1492"/>
      <c r="J393" s="1492"/>
      <c r="K393" s="1492"/>
      <c r="L393" s="1492"/>
      <c r="M393" s="1492"/>
    </row>
    <row r="394">
      <c r="A394" s="355" t="s">
        <v>58</v>
      </c>
      <c r="B394" s="355" t="s">
        <v>393</v>
      </c>
      <c r="C394" s="1562">
        <v>44823.0</v>
      </c>
      <c r="D394" s="355">
        <v>66.0</v>
      </c>
      <c r="E394" s="1195" t="s">
        <v>393</v>
      </c>
      <c r="F394" s="1210"/>
      <c r="G394" s="1210"/>
      <c r="H394" s="1492"/>
      <c r="I394" s="1492"/>
      <c r="J394" s="1492"/>
      <c r="K394" s="1492"/>
      <c r="L394" s="1492"/>
      <c r="M394" s="1492"/>
    </row>
    <row r="395">
      <c r="A395" s="355" t="s">
        <v>535</v>
      </c>
      <c r="B395" s="355" t="s">
        <v>393</v>
      </c>
      <c r="C395" s="1562">
        <v>18988.0</v>
      </c>
      <c r="D395" s="355">
        <v>22.0</v>
      </c>
      <c r="E395" s="1195" t="s">
        <v>393</v>
      </c>
      <c r="F395" s="1210"/>
      <c r="G395" s="1210"/>
      <c r="H395" s="1492"/>
      <c r="I395" s="1492"/>
      <c r="J395" s="1492"/>
      <c r="K395" s="1492"/>
      <c r="L395" s="1492"/>
      <c r="M395" s="1492"/>
    </row>
    <row r="396">
      <c r="A396" s="355" t="s">
        <v>537</v>
      </c>
      <c r="B396" s="355" t="s">
        <v>393</v>
      </c>
      <c r="C396" s="1562">
        <v>80809.0</v>
      </c>
      <c r="D396" s="355">
        <v>71.0</v>
      </c>
      <c r="E396" s="1195" t="s">
        <v>393</v>
      </c>
      <c r="F396" s="1210"/>
      <c r="G396" s="1210"/>
      <c r="H396" s="1492"/>
      <c r="I396" s="1492"/>
      <c r="J396" s="1492"/>
      <c r="K396" s="1492"/>
      <c r="L396" s="1492"/>
      <c r="M396" s="1492"/>
    </row>
    <row r="397">
      <c r="A397" s="355" t="s">
        <v>538</v>
      </c>
      <c r="B397" s="355" t="s">
        <v>393</v>
      </c>
      <c r="C397" s="1562">
        <v>106408.0</v>
      </c>
      <c r="D397" s="355">
        <v>107.0</v>
      </c>
      <c r="E397" s="1195" t="s">
        <v>393</v>
      </c>
      <c r="F397" s="1210"/>
      <c r="G397" s="1210"/>
      <c r="H397" s="1492"/>
      <c r="I397" s="1492"/>
      <c r="J397" s="1492"/>
      <c r="K397" s="1492"/>
      <c r="L397" s="1492"/>
      <c r="M397" s="1492"/>
    </row>
    <row r="398">
      <c r="A398" s="355" t="s">
        <v>539</v>
      </c>
      <c r="B398" s="355" t="s">
        <v>393</v>
      </c>
      <c r="C398" s="1562">
        <v>16787.0</v>
      </c>
      <c r="D398" s="355">
        <v>25.0</v>
      </c>
      <c r="E398" s="1195" t="s">
        <v>393</v>
      </c>
      <c r="F398" s="1210"/>
      <c r="G398" s="1210"/>
      <c r="H398" s="1492"/>
      <c r="I398" s="1492"/>
      <c r="J398" s="1492"/>
      <c r="K398" s="1492"/>
      <c r="L398" s="1492"/>
      <c r="M398" s="1492"/>
    </row>
    <row r="399">
      <c r="A399" s="355" t="s">
        <v>540</v>
      </c>
      <c r="B399" s="355" t="s">
        <v>393</v>
      </c>
      <c r="C399" s="1562">
        <v>19252.0</v>
      </c>
      <c r="D399" s="355">
        <v>11.0</v>
      </c>
      <c r="E399" s="1195" t="s">
        <v>393</v>
      </c>
      <c r="F399" s="1210"/>
      <c r="G399" s="1210"/>
      <c r="H399" s="1492"/>
      <c r="I399" s="1492"/>
      <c r="J399" s="1492"/>
      <c r="K399" s="1492"/>
      <c r="L399" s="1492"/>
      <c r="M399" s="1492"/>
    </row>
    <row r="400">
      <c r="A400" s="355" t="s">
        <v>68</v>
      </c>
      <c r="B400" s="355" t="s">
        <v>393</v>
      </c>
      <c r="C400" s="1562">
        <v>153095.0</v>
      </c>
      <c r="D400" s="355">
        <v>222.0</v>
      </c>
      <c r="E400" s="1195" t="s">
        <v>393</v>
      </c>
      <c r="F400" s="1210"/>
      <c r="G400" s="1210"/>
      <c r="H400" s="1492"/>
      <c r="I400" s="1492"/>
      <c r="J400" s="1492"/>
      <c r="K400" s="1492"/>
      <c r="L400" s="1492"/>
      <c r="M400" s="1492"/>
    </row>
    <row r="401">
      <c r="A401" s="355" t="s">
        <v>541</v>
      </c>
      <c r="B401" s="355" t="s">
        <v>393</v>
      </c>
      <c r="C401" s="1562">
        <v>12838.0</v>
      </c>
      <c r="D401" s="355">
        <v>24.0</v>
      </c>
      <c r="E401" s="1195" t="s">
        <v>393</v>
      </c>
      <c r="F401" s="1210"/>
      <c r="G401" s="1210"/>
      <c r="H401" s="1492"/>
      <c r="I401" s="1492"/>
      <c r="J401" s="1492"/>
      <c r="K401" s="1492"/>
      <c r="L401" s="1492"/>
      <c r="M401" s="1492"/>
    </row>
    <row r="402">
      <c r="A402" s="355" t="s">
        <v>542</v>
      </c>
      <c r="B402" s="355" t="s">
        <v>393</v>
      </c>
      <c r="C402" s="1562">
        <v>18897.0</v>
      </c>
      <c r="D402" s="355">
        <v>27.0</v>
      </c>
      <c r="E402" s="1195" t="s">
        <v>393</v>
      </c>
      <c r="F402" s="1210"/>
      <c r="G402" s="1210"/>
      <c r="H402" s="1492"/>
      <c r="I402" s="1492"/>
      <c r="J402" s="1492"/>
      <c r="K402" s="1492"/>
      <c r="L402" s="1492"/>
      <c r="M402" s="1492"/>
    </row>
    <row r="403">
      <c r="A403" s="355" t="s">
        <v>543</v>
      </c>
      <c r="B403" s="355" t="s">
        <v>393</v>
      </c>
      <c r="C403" s="1562">
        <v>15513.0</v>
      </c>
      <c r="D403" s="355">
        <v>30.0</v>
      </c>
      <c r="E403" s="1195" t="s">
        <v>393</v>
      </c>
      <c r="F403" s="1210"/>
      <c r="G403" s="1210"/>
      <c r="H403" s="1492"/>
      <c r="I403" s="1492"/>
      <c r="J403" s="1492"/>
      <c r="K403" s="1492"/>
      <c r="L403" s="1492"/>
      <c r="M403" s="1492"/>
    </row>
    <row r="404">
      <c r="A404" s="355" t="s">
        <v>544</v>
      </c>
      <c r="B404" s="355" t="s">
        <v>393</v>
      </c>
      <c r="C404" s="1562">
        <v>38109.0</v>
      </c>
      <c r="D404" s="355">
        <v>39.0</v>
      </c>
      <c r="E404" s="1195" t="s">
        <v>393</v>
      </c>
      <c r="F404" s="1210"/>
      <c r="G404" s="1210"/>
      <c r="H404" s="1492"/>
      <c r="I404" s="1492"/>
      <c r="J404" s="1492"/>
      <c r="K404" s="1492"/>
      <c r="L404" s="1492"/>
      <c r="M404" s="1492"/>
    </row>
    <row r="405">
      <c r="A405" s="355" t="s">
        <v>545</v>
      </c>
      <c r="B405" s="355" t="s">
        <v>393</v>
      </c>
      <c r="C405" s="1562">
        <v>77296.0</v>
      </c>
      <c r="D405" s="355">
        <v>81.0</v>
      </c>
      <c r="E405" s="1195" t="s">
        <v>393</v>
      </c>
      <c r="F405" s="1210"/>
      <c r="G405" s="1210"/>
      <c r="H405" s="1492"/>
      <c r="I405" s="1492"/>
      <c r="J405" s="1492"/>
      <c r="K405" s="1492"/>
      <c r="L405" s="1492"/>
      <c r="M405" s="1492"/>
    </row>
    <row r="406">
      <c r="A406" s="355" t="s">
        <v>546</v>
      </c>
      <c r="B406" s="355" t="s">
        <v>393</v>
      </c>
      <c r="C406" s="1562">
        <v>22423.0</v>
      </c>
      <c r="D406" s="355">
        <v>53.0</v>
      </c>
      <c r="E406" s="1195" t="s">
        <v>393</v>
      </c>
      <c r="F406" s="1210"/>
      <c r="G406" s="1210"/>
      <c r="H406" s="1492"/>
      <c r="I406" s="1492"/>
      <c r="J406" s="1492"/>
      <c r="K406" s="1492"/>
      <c r="L406" s="1492"/>
      <c r="M406" s="1492"/>
    </row>
    <row r="407">
      <c r="A407" s="355" t="s">
        <v>547</v>
      </c>
      <c r="B407" s="355" t="s">
        <v>393</v>
      </c>
      <c r="C407" s="1562">
        <v>24193.0</v>
      </c>
      <c r="D407" s="355">
        <v>34.0</v>
      </c>
      <c r="E407" s="1195" t="s">
        <v>393</v>
      </c>
      <c r="F407" s="1210"/>
      <c r="G407" s="1210"/>
      <c r="H407" s="1492"/>
      <c r="I407" s="1492"/>
      <c r="J407" s="1492"/>
      <c r="K407" s="1492"/>
      <c r="L407" s="1492"/>
      <c r="M407" s="1492"/>
    </row>
    <row r="408">
      <c r="A408" s="355" t="s">
        <v>93</v>
      </c>
      <c r="B408" s="355" t="s">
        <v>393</v>
      </c>
      <c r="C408" s="1562">
        <v>6352.0</v>
      </c>
      <c r="D408" s="355">
        <v>12.0</v>
      </c>
      <c r="E408" s="1195" t="s">
        <v>393</v>
      </c>
      <c r="F408" s="1210"/>
      <c r="G408" s="1210"/>
      <c r="H408" s="1492"/>
      <c r="I408" s="1492"/>
      <c r="J408" s="1492"/>
      <c r="K408" s="1492"/>
      <c r="L408" s="1492"/>
      <c r="M408" s="1492"/>
    </row>
    <row r="409">
      <c r="A409" s="355" t="s">
        <v>548</v>
      </c>
      <c r="B409" s="355" t="s">
        <v>393</v>
      </c>
      <c r="C409" s="1562">
        <v>53677.0</v>
      </c>
      <c r="D409" s="355">
        <v>71.0</v>
      </c>
      <c r="E409" s="1195" t="s">
        <v>393</v>
      </c>
      <c r="F409" s="1210"/>
      <c r="G409" s="1210"/>
      <c r="H409" s="1492"/>
      <c r="I409" s="1492"/>
      <c r="J409" s="1492"/>
      <c r="K409" s="1492"/>
      <c r="L409" s="1492"/>
      <c r="M409" s="1492"/>
    </row>
    <row r="410">
      <c r="A410" s="355" t="s">
        <v>549</v>
      </c>
      <c r="B410" s="355" t="s">
        <v>393</v>
      </c>
      <c r="C410" s="1562">
        <v>10836.0</v>
      </c>
      <c r="D410" s="355">
        <v>25.0</v>
      </c>
      <c r="E410" s="1195" t="s">
        <v>393</v>
      </c>
      <c r="F410" s="1210"/>
      <c r="G410" s="1210"/>
      <c r="H410" s="1492"/>
      <c r="I410" s="1492"/>
      <c r="J410" s="1492"/>
      <c r="K410" s="1492"/>
      <c r="L410" s="1492"/>
      <c r="M410" s="1492"/>
    </row>
    <row r="411">
      <c r="A411" s="355" t="s">
        <v>248</v>
      </c>
      <c r="B411" s="355" t="s">
        <v>393</v>
      </c>
      <c r="C411" s="1562">
        <v>118121.0</v>
      </c>
      <c r="D411" s="355">
        <v>122.0</v>
      </c>
      <c r="E411" s="1195" t="s">
        <v>393</v>
      </c>
      <c r="F411" s="1210"/>
      <c r="G411" s="1210"/>
      <c r="H411" s="1492"/>
      <c r="I411" s="1492"/>
      <c r="J411" s="1492"/>
      <c r="K411" s="1492"/>
      <c r="L411" s="1492"/>
      <c r="M411" s="1492"/>
    </row>
    <row r="412">
      <c r="A412" s="355" t="s">
        <v>550</v>
      </c>
      <c r="B412" s="355" t="s">
        <v>393</v>
      </c>
      <c r="C412" s="1562">
        <v>67420.0</v>
      </c>
      <c r="D412" s="355">
        <v>66.0</v>
      </c>
      <c r="E412" s="1195" t="s">
        <v>393</v>
      </c>
      <c r="F412" s="1210"/>
      <c r="G412" s="1210"/>
      <c r="H412" s="1492"/>
      <c r="I412" s="1492"/>
      <c r="J412" s="1492"/>
      <c r="K412" s="1492"/>
      <c r="L412" s="1492"/>
      <c r="M412" s="1492"/>
    </row>
    <row r="413">
      <c r="A413" s="355" t="s">
        <v>551</v>
      </c>
      <c r="B413" s="355" t="s">
        <v>393</v>
      </c>
      <c r="C413" s="1562">
        <v>12968.0</v>
      </c>
      <c r="D413" s="355">
        <v>24.0</v>
      </c>
      <c r="E413" s="1195" t="s">
        <v>393</v>
      </c>
      <c r="F413" s="1210"/>
      <c r="G413" s="1210"/>
      <c r="H413" s="1492"/>
      <c r="I413" s="1492"/>
      <c r="J413" s="1492"/>
      <c r="K413" s="1492"/>
      <c r="L413" s="1492"/>
      <c r="M413" s="1492"/>
    </row>
    <row r="414">
      <c r="A414" s="355" t="s">
        <v>552</v>
      </c>
      <c r="B414" s="355" t="s">
        <v>393</v>
      </c>
      <c r="C414" s="1562">
        <v>289195.0</v>
      </c>
      <c r="D414" s="355">
        <v>316.0</v>
      </c>
      <c r="E414" s="1195" t="s">
        <v>393</v>
      </c>
      <c r="F414" s="1210"/>
      <c r="G414" s="1210"/>
      <c r="H414" s="1492"/>
      <c r="I414" s="1492"/>
      <c r="J414" s="1492"/>
      <c r="K414" s="1492"/>
      <c r="L414" s="1492"/>
      <c r="M414" s="1492"/>
    </row>
    <row r="415">
      <c r="A415" s="355" t="s">
        <v>553</v>
      </c>
      <c r="B415" s="355" t="s">
        <v>393</v>
      </c>
      <c r="C415" s="1562">
        <v>10684.0</v>
      </c>
      <c r="D415" s="355">
        <v>2.0</v>
      </c>
      <c r="E415" s="1195" t="s">
        <v>393</v>
      </c>
      <c r="F415" s="1210"/>
      <c r="G415" s="1210"/>
      <c r="H415" s="1492"/>
      <c r="I415" s="1492"/>
      <c r="J415" s="1492"/>
      <c r="K415" s="1492"/>
      <c r="L415" s="1492"/>
      <c r="M415" s="1492"/>
    </row>
    <row r="416">
      <c r="A416" s="355" t="s">
        <v>554</v>
      </c>
      <c r="B416" s="355" t="s">
        <v>393</v>
      </c>
      <c r="C416" s="1562">
        <v>24790.0</v>
      </c>
      <c r="D416" s="355">
        <v>38.0</v>
      </c>
      <c r="E416" s="1195" t="s">
        <v>393</v>
      </c>
      <c r="F416" s="1210"/>
      <c r="G416" s="1210"/>
      <c r="H416" s="1492"/>
      <c r="I416" s="1492"/>
      <c r="J416" s="1492"/>
      <c r="K416" s="1492"/>
      <c r="L416" s="1492"/>
      <c r="M416" s="1492"/>
    </row>
    <row r="417">
      <c r="A417" s="355" t="s">
        <v>101</v>
      </c>
      <c r="B417" s="355" t="s">
        <v>393</v>
      </c>
      <c r="C417" s="1562">
        <v>254149.0</v>
      </c>
      <c r="D417" s="355">
        <v>114.0</v>
      </c>
      <c r="E417" s="1195" t="s">
        <v>393</v>
      </c>
      <c r="F417" s="1210"/>
      <c r="G417" s="1210"/>
      <c r="H417" s="1492"/>
      <c r="I417" s="1492"/>
      <c r="J417" s="1492"/>
      <c r="K417" s="1492"/>
      <c r="L417" s="1492"/>
      <c r="M417" s="1492"/>
    </row>
    <row r="418">
      <c r="A418" s="355" t="s">
        <v>110</v>
      </c>
      <c r="B418" s="355" t="s">
        <v>393</v>
      </c>
      <c r="C418" s="1562">
        <v>127330.0</v>
      </c>
      <c r="D418" s="355">
        <v>80.0</v>
      </c>
      <c r="E418" s="1195" t="s">
        <v>393</v>
      </c>
      <c r="F418" s="1210"/>
      <c r="G418" s="1210"/>
      <c r="H418" s="1492"/>
      <c r="I418" s="1492"/>
      <c r="J418" s="1492"/>
      <c r="K418" s="1492"/>
      <c r="L418" s="1492"/>
      <c r="M418" s="1492"/>
    </row>
    <row r="419">
      <c r="A419" s="355" t="s">
        <v>112</v>
      </c>
      <c r="B419" s="355" t="s">
        <v>393</v>
      </c>
      <c r="C419" s="1562">
        <v>2887.0</v>
      </c>
      <c r="D419" s="355">
        <v>8.0</v>
      </c>
      <c r="E419" s="1195" t="s">
        <v>393</v>
      </c>
      <c r="F419" s="1210"/>
      <c r="G419" s="1210"/>
      <c r="H419" s="1492"/>
      <c r="I419" s="1492"/>
      <c r="J419" s="1492"/>
      <c r="K419" s="1492"/>
      <c r="L419" s="1492"/>
      <c r="M419" s="1492"/>
    </row>
    <row r="420">
      <c r="A420" s="355" t="s">
        <v>555</v>
      </c>
      <c r="B420" s="355" t="s">
        <v>393</v>
      </c>
      <c r="C420" s="1562">
        <v>289615.0</v>
      </c>
      <c r="D420" s="355">
        <v>128.0</v>
      </c>
      <c r="E420" s="1195" t="s">
        <v>393</v>
      </c>
      <c r="F420" s="1210"/>
      <c r="G420" s="1210"/>
      <c r="H420" s="1492"/>
      <c r="I420" s="1492"/>
      <c r="J420" s="1492"/>
      <c r="K420" s="1492"/>
      <c r="L420" s="1492"/>
      <c r="M420" s="1492"/>
    </row>
    <row r="421">
      <c r="A421" s="355" t="s">
        <v>556</v>
      </c>
      <c r="B421" s="355" t="s">
        <v>393</v>
      </c>
      <c r="C421" s="1562">
        <v>6648.0</v>
      </c>
      <c r="D421" s="355">
        <v>18.0</v>
      </c>
      <c r="E421" s="1195" t="s">
        <v>393</v>
      </c>
      <c r="F421" s="1210"/>
      <c r="G421" s="1210"/>
      <c r="H421" s="1492"/>
      <c r="I421" s="1492"/>
      <c r="J421" s="1492"/>
      <c r="K421" s="1492"/>
      <c r="L421" s="1492"/>
      <c r="M421" s="1492"/>
    </row>
    <row r="422">
      <c r="A422" s="355" t="s">
        <v>536</v>
      </c>
      <c r="B422" s="355" t="s">
        <v>393</v>
      </c>
      <c r="C422" s="1562">
        <v>756865.0</v>
      </c>
      <c r="D422" s="355">
        <v>338.0</v>
      </c>
      <c r="E422" s="1195" t="s">
        <v>393</v>
      </c>
      <c r="F422" s="1210"/>
      <c r="G422" s="1210"/>
      <c r="H422" s="1492"/>
      <c r="I422" s="1492"/>
      <c r="J422" s="1492"/>
      <c r="K422" s="1492"/>
      <c r="L422" s="1492"/>
      <c r="M422" s="1492"/>
    </row>
    <row r="423">
      <c r="A423" s="355" t="s">
        <v>118</v>
      </c>
      <c r="B423" s="355" t="s">
        <v>393</v>
      </c>
      <c r="C423" s="1562">
        <v>43093.0</v>
      </c>
      <c r="D423" s="355">
        <v>77.0</v>
      </c>
      <c r="E423" s="1195" t="s">
        <v>393</v>
      </c>
      <c r="F423" s="1210"/>
      <c r="G423" s="1210"/>
      <c r="H423" s="1492"/>
      <c r="I423" s="1492"/>
      <c r="J423" s="1492"/>
      <c r="K423" s="1492"/>
      <c r="L423" s="1492"/>
      <c r="M423" s="1492"/>
    </row>
    <row r="424">
      <c r="A424" s="355" t="s">
        <v>557</v>
      </c>
      <c r="B424" s="355" t="s">
        <v>393</v>
      </c>
      <c r="C424" s="1562">
        <v>45592.0</v>
      </c>
      <c r="D424" s="355">
        <v>73.0</v>
      </c>
      <c r="E424" s="1195" t="s">
        <v>393</v>
      </c>
      <c r="F424" s="1210"/>
      <c r="G424" s="1210"/>
      <c r="H424" s="1492"/>
      <c r="I424" s="1492"/>
      <c r="J424" s="1492"/>
      <c r="K424" s="1492"/>
      <c r="L424" s="1492"/>
      <c r="M424" s="1492"/>
    </row>
    <row r="425">
      <c r="A425" s="355" t="s">
        <v>258</v>
      </c>
      <c r="B425" s="355" t="s">
        <v>393</v>
      </c>
      <c r="C425" s="1562">
        <v>154291.0</v>
      </c>
      <c r="D425" s="355">
        <v>104.0</v>
      </c>
      <c r="E425" s="1195" t="s">
        <v>393</v>
      </c>
      <c r="F425" s="1210"/>
      <c r="G425" s="1210"/>
      <c r="H425" s="1492"/>
      <c r="I425" s="1492"/>
      <c r="J425" s="1492"/>
      <c r="K425" s="1492"/>
      <c r="L425" s="1492"/>
      <c r="M425" s="1492"/>
    </row>
    <row r="426">
      <c r="A426" s="355" t="s">
        <v>202</v>
      </c>
      <c r="B426" s="355" t="s">
        <v>393</v>
      </c>
      <c r="C426" s="1562">
        <v>17162.0</v>
      </c>
      <c r="D426" s="355">
        <v>30.0</v>
      </c>
      <c r="E426" s="1195" t="s">
        <v>393</v>
      </c>
      <c r="F426" s="1210"/>
      <c r="G426" s="1210"/>
      <c r="H426" s="1492"/>
      <c r="I426" s="1492"/>
      <c r="J426" s="1492"/>
      <c r="K426" s="1492"/>
      <c r="L426" s="1492"/>
      <c r="M426" s="1492"/>
    </row>
    <row r="427">
      <c r="A427" s="355" t="s">
        <v>559</v>
      </c>
      <c r="B427" s="355" t="s">
        <v>393</v>
      </c>
      <c r="C427" s="1562">
        <v>145864.0</v>
      </c>
      <c r="D427" s="355">
        <v>108.0</v>
      </c>
      <c r="E427" s="1195" t="s">
        <v>393</v>
      </c>
      <c r="F427" s="1210"/>
      <c r="G427" s="1210"/>
      <c r="H427" s="1492"/>
      <c r="I427" s="1492"/>
      <c r="J427" s="1492"/>
      <c r="K427" s="1492"/>
      <c r="L427" s="1492"/>
      <c r="M427" s="1492"/>
    </row>
    <row r="428">
      <c r="A428" s="355" t="s">
        <v>263</v>
      </c>
      <c r="B428" s="355" t="s">
        <v>393</v>
      </c>
      <c r="C428" s="1562">
        <v>12318.0</v>
      </c>
      <c r="D428" s="355">
        <v>19.0</v>
      </c>
      <c r="E428" s="1195" t="s">
        <v>393</v>
      </c>
      <c r="F428" s="1210"/>
      <c r="G428" s="1210"/>
      <c r="H428" s="1492"/>
      <c r="I428" s="1492"/>
      <c r="J428" s="1492"/>
      <c r="K428" s="1492"/>
      <c r="L428" s="1492"/>
      <c r="M428" s="1492"/>
    </row>
    <row r="429">
      <c r="A429" s="355" t="s">
        <v>560</v>
      </c>
      <c r="B429" s="355" t="s">
        <v>393</v>
      </c>
      <c r="C429" s="1562">
        <v>22601.0</v>
      </c>
      <c r="D429" s="355">
        <v>32.0</v>
      </c>
      <c r="E429" s="1195" t="s">
        <v>393</v>
      </c>
      <c r="F429" s="1210"/>
      <c r="G429" s="1210"/>
      <c r="H429" s="1492"/>
      <c r="I429" s="1492"/>
      <c r="J429" s="1492"/>
      <c r="K429" s="1492"/>
      <c r="L429" s="1492"/>
      <c r="M429" s="1492"/>
    </row>
    <row r="430">
      <c r="A430" s="355" t="s">
        <v>561</v>
      </c>
      <c r="B430" s="355" t="s">
        <v>393</v>
      </c>
      <c r="C430" s="1562">
        <v>16226.0</v>
      </c>
      <c r="D430" s="355">
        <v>20.0</v>
      </c>
      <c r="E430" s="1195" t="s">
        <v>393</v>
      </c>
      <c r="F430" s="1210"/>
      <c r="G430" s="1210"/>
      <c r="H430" s="1492"/>
      <c r="I430" s="1492"/>
      <c r="J430" s="1492"/>
      <c r="K430" s="1492"/>
      <c r="L430" s="1492"/>
      <c r="M430" s="1492"/>
    </row>
    <row r="431">
      <c r="A431" s="355" t="s">
        <v>562</v>
      </c>
      <c r="B431" s="355" t="s">
        <v>393</v>
      </c>
      <c r="C431" s="1562">
        <v>25083.0</v>
      </c>
      <c r="D431" s="355">
        <v>30.0</v>
      </c>
      <c r="E431" s="1195" t="s">
        <v>393</v>
      </c>
      <c r="F431" s="1210"/>
      <c r="G431" s="1210"/>
      <c r="H431" s="1492"/>
      <c r="I431" s="1492"/>
      <c r="J431" s="1492"/>
      <c r="K431" s="1492"/>
      <c r="L431" s="1492"/>
      <c r="M431" s="1492"/>
    </row>
    <row r="432">
      <c r="A432" s="355" t="s">
        <v>563</v>
      </c>
      <c r="B432" s="355" t="s">
        <v>393</v>
      </c>
      <c r="C432" s="1562">
        <v>26575.0</v>
      </c>
      <c r="D432" s="355">
        <v>36.0</v>
      </c>
      <c r="E432" s="1195" t="s">
        <v>393</v>
      </c>
      <c r="F432" s="1210"/>
      <c r="G432" s="1210"/>
      <c r="H432" s="1492"/>
      <c r="I432" s="1492"/>
      <c r="J432" s="1492"/>
      <c r="K432" s="1492"/>
      <c r="L432" s="1492"/>
      <c r="M432" s="1492"/>
    </row>
    <row r="433">
      <c r="A433" s="355" t="s">
        <v>131</v>
      </c>
      <c r="B433" s="355" t="s">
        <v>393</v>
      </c>
      <c r="C433" s="1562">
        <v>756558.0</v>
      </c>
      <c r="D433" s="355">
        <v>383.0</v>
      </c>
      <c r="E433" s="1195" t="s">
        <v>393</v>
      </c>
      <c r="F433" s="1210"/>
      <c r="G433" s="1210"/>
      <c r="H433" s="1492"/>
      <c r="I433" s="1492"/>
      <c r="J433" s="1492"/>
      <c r="K433" s="1492"/>
      <c r="L433" s="1492"/>
      <c r="M433" s="1492"/>
    </row>
    <row r="434">
      <c r="A434" s="355" t="s">
        <v>564</v>
      </c>
      <c r="B434" s="355" t="s">
        <v>393</v>
      </c>
      <c r="C434" s="1562">
        <v>20705.0</v>
      </c>
      <c r="D434" s="355">
        <v>35.0</v>
      </c>
      <c r="E434" s="1195" t="s">
        <v>393</v>
      </c>
      <c r="F434" s="1210"/>
      <c r="G434" s="1210"/>
      <c r="H434" s="1492"/>
      <c r="I434" s="1492"/>
      <c r="J434" s="1492"/>
      <c r="K434" s="1492"/>
      <c r="L434" s="1492"/>
      <c r="M434" s="1492"/>
    </row>
    <row r="435">
      <c r="A435" s="355" t="s">
        <v>565</v>
      </c>
      <c r="B435" s="355" t="s">
        <v>393</v>
      </c>
      <c r="C435" s="1562">
        <v>13706.0</v>
      </c>
      <c r="D435" s="355">
        <v>24.0</v>
      </c>
      <c r="E435" s="1195" t="s">
        <v>393</v>
      </c>
      <c r="F435" s="1210"/>
      <c r="G435" s="1210"/>
      <c r="H435" s="1492"/>
      <c r="I435" s="1492"/>
      <c r="J435" s="1492"/>
      <c r="K435" s="1492"/>
      <c r="L435" s="1492"/>
      <c r="M435" s="1492"/>
    </row>
    <row r="436">
      <c r="A436" s="355" t="s">
        <v>566</v>
      </c>
      <c r="B436" s="355" t="s">
        <v>393</v>
      </c>
      <c r="C436" s="1562">
        <v>91243.0</v>
      </c>
      <c r="D436" s="355">
        <v>125.0</v>
      </c>
      <c r="E436" s="1195" t="s">
        <v>393</v>
      </c>
      <c r="F436" s="1210"/>
      <c r="G436" s="1210"/>
      <c r="H436" s="1492"/>
      <c r="I436" s="1492"/>
      <c r="J436" s="1492"/>
      <c r="K436" s="1492"/>
      <c r="L436" s="1492"/>
      <c r="M436" s="1492"/>
    </row>
    <row r="437">
      <c r="A437" s="355" t="s">
        <v>412</v>
      </c>
      <c r="B437" s="355" t="s">
        <v>393</v>
      </c>
      <c r="C437" s="1562">
        <v>145331.0</v>
      </c>
      <c r="D437" s="355">
        <v>87.0</v>
      </c>
      <c r="E437" s="1195" t="s">
        <v>393</v>
      </c>
      <c r="F437" s="1210"/>
      <c r="G437" s="1210"/>
      <c r="H437" s="1492"/>
      <c r="I437" s="1492"/>
      <c r="J437" s="1492"/>
      <c r="K437" s="1492"/>
      <c r="L437" s="1492"/>
      <c r="M437" s="1492"/>
    </row>
    <row r="438">
      <c r="A438" s="355" t="s">
        <v>567</v>
      </c>
      <c r="B438" s="355" t="s">
        <v>393</v>
      </c>
      <c r="C438" s="1562">
        <v>10247.0</v>
      </c>
      <c r="D438" s="355">
        <v>21.0</v>
      </c>
      <c r="E438" s="1195" t="s">
        <v>393</v>
      </c>
      <c r="F438" s="1210"/>
      <c r="G438" s="1210"/>
      <c r="H438" s="1492"/>
      <c r="I438" s="1492"/>
      <c r="J438" s="1492"/>
      <c r="K438" s="1492"/>
      <c r="L438" s="1492"/>
      <c r="M438" s="1492"/>
    </row>
    <row r="439">
      <c r="A439" s="355" t="s">
        <v>568</v>
      </c>
      <c r="B439" s="355" t="s">
        <v>393</v>
      </c>
      <c r="C439" s="1562">
        <v>4000.0</v>
      </c>
      <c r="D439" s="355">
        <v>2.0</v>
      </c>
      <c r="E439" s="1195" t="s">
        <v>393</v>
      </c>
      <c r="F439" s="1210"/>
      <c r="G439" s="1210"/>
      <c r="H439" s="1492"/>
      <c r="I439" s="1492"/>
      <c r="J439" s="1492"/>
      <c r="K439" s="1492"/>
      <c r="L439" s="1492"/>
      <c r="M439" s="1492"/>
    </row>
    <row r="440">
      <c r="A440" s="355" t="s">
        <v>569</v>
      </c>
      <c r="B440" s="355" t="s">
        <v>393</v>
      </c>
      <c r="C440" s="1562">
        <v>62190.0</v>
      </c>
      <c r="D440" s="355">
        <v>90.0</v>
      </c>
      <c r="E440" s="1195" t="s">
        <v>393</v>
      </c>
      <c r="F440" s="1210"/>
      <c r="G440" s="1210"/>
      <c r="H440" s="1492"/>
      <c r="I440" s="1492"/>
      <c r="J440" s="1492"/>
      <c r="K440" s="1492"/>
      <c r="L440" s="1492"/>
      <c r="M440" s="1492"/>
    </row>
    <row r="441">
      <c r="A441" s="355" t="s">
        <v>414</v>
      </c>
      <c r="B441" s="355" t="s">
        <v>393</v>
      </c>
      <c r="C441" s="1562">
        <v>19120.0</v>
      </c>
      <c r="D441" s="355">
        <v>43.0</v>
      </c>
      <c r="E441" s="1195" t="s">
        <v>393</v>
      </c>
      <c r="F441" s="1210"/>
      <c r="G441" s="1210"/>
      <c r="H441" s="1492"/>
      <c r="I441" s="1492"/>
      <c r="J441" s="1492"/>
      <c r="K441" s="1492"/>
      <c r="L441" s="1492"/>
      <c r="M441" s="1492"/>
    </row>
    <row r="442">
      <c r="A442" s="355" t="s">
        <v>571</v>
      </c>
      <c r="B442" s="355" t="s">
        <v>393</v>
      </c>
      <c r="C442" s="1562">
        <v>22612.0</v>
      </c>
      <c r="D442" s="355">
        <v>37.0</v>
      </c>
      <c r="E442" s="1195" t="s">
        <v>393</v>
      </c>
      <c r="F442" s="1210"/>
      <c r="G442" s="1210"/>
      <c r="H442" s="1492"/>
      <c r="I442" s="1492"/>
      <c r="J442" s="1492"/>
      <c r="K442" s="1492"/>
      <c r="L442" s="1492"/>
      <c r="M442" s="1492"/>
    </row>
    <row r="443">
      <c r="A443" s="355" t="s">
        <v>572</v>
      </c>
      <c r="B443" s="355" t="s">
        <v>393</v>
      </c>
      <c r="C443" s="1562">
        <v>10721.0</v>
      </c>
      <c r="D443" s="355">
        <v>21.0</v>
      </c>
      <c r="E443" s="1195" t="s">
        <v>393</v>
      </c>
      <c r="F443" s="1210"/>
      <c r="G443" s="1210"/>
      <c r="H443" s="1492"/>
      <c r="I443" s="1492"/>
      <c r="J443" s="1492"/>
      <c r="K443" s="1492"/>
      <c r="L443" s="1492"/>
      <c r="M443" s="1492"/>
    </row>
    <row r="444">
      <c r="A444" s="355" t="s">
        <v>574</v>
      </c>
      <c r="B444" s="355" t="s">
        <v>393</v>
      </c>
      <c r="C444" s="1562">
        <v>25964.0</v>
      </c>
      <c r="D444" s="355">
        <v>38.0</v>
      </c>
      <c r="E444" s="1195" t="s">
        <v>393</v>
      </c>
      <c r="F444" s="1210"/>
      <c r="G444" s="1210"/>
      <c r="H444" s="1492"/>
      <c r="I444" s="1492"/>
      <c r="J444" s="1492"/>
      <c r="K444" s="1492"/>
      <c r="L444" s="1492"/>
      <c r="M444" s="1492"/>
    </row>
    <row r="445">
      <c r="A445" s="355" t="s">
        <v>135</v>
      </c>
      <c r="B445" s="355" t="s">
        <v>393</v>
      </c>
      <c r="C445" s="1562">
        <v>113459.0</v>
      </c>
      <c r="D445" s="355">
        <v>99.0</v>
      </c>
      <c r="E445" s="1195" t="s">
        <v>393</v>
      </c>
      <c r="F445" s="1210"/>
      <c r="G445" s="1210"/>
      <c r="H445" s="1492"/>
      <c r="I445" s="1492"/>
      <c r="J445" s="1492"/>
      <c r="K445" s="1492"/>
      <c r="L445" s="1492"/>
      <c r="M445" s="1492"/>
    </row>
    <row r="446">
      <c r="A446" s="355" t="s">
        <v>575</v>
      </c>
      <c r="B446" s="355" t="s">
        <v>393</v>
      </c>
      <c r="C446" s="1562">
        <v>97927.0</v>
      </c>
      <c r="D446" s="355">
        <v>98.0</v>
      </c>
      <c r="E446" s="1195" t="s">
        <v>393</v>
      </c>
      <c r="F446" s="1210"/>
      <c r="G446" s="1210"/>
      <c r="H446" s="1492"/>
      <c r="I446" s="1492"/>
      <c r="J446" s="1492"/>
      <c r="K446" s="1492"/>
      <c r="L446" s="1492"/>
      <c r="M446" s="1492"/>
    </row>
    <row r="447">
      <c r="A447" s="355" t="s">
        <v>576</v>
      </c>
      <c r="B447" s="355" t="s">
        <v>393</v>
      </c>
      <c r="C447" s="1562">
        <v>236612.0</v>
      </c>
      <c r="D447" s="355">
        <v>84.0</v>
      </c>
      <c r="E447" s="1195" t="s">
        <v>393</v>
      </c>
      <c r="F447" s="1210"/>
      <c r="G447" s="1210"/>
      <c r="H447" s="1492"/>
      <c r="I447" s="1492"/>
      <c r="J447" s="1492"/>
      <c r="K447" s="1492"/>
      <c r="L447" s="1492"/>
      <c r="M447" s="1492"/>
    </row>
    <row r="448">
      <c r="A448" s="355" t="s">
        <v>136</v>
      </c>
      <c r="B448" s="355" t="s">
        <v>393</v>
      </c>
      <c r="C448" s="1562">
        <v>23023.0</v>
      </c>
      <c r="D448" s="355">
        <v>42.0</v>
      </c>
      <c r="E448" s="1195" t="s">
        <v>393</v>
      </c>
      <c r="F448" s="1210"/>
      <c r="G448" s="1210"/>
      <c r="H448" s="1492"/>
      <c r="I448" s="1492"/>
      <c r="J448" s="1492"/>
      <c r="K448" s="1492"/>
      <c r="L448" s="1492"/>
      <c r="M448" s="1492"/>
    </row>
    <row r="449">
      <c r="A449" s="355" t="s">
        <v>275</v>
      </c>
      <c r="B449" s="355" t="s">
        <v>393</v>
      </c>
      <c r="C449" s="1562">
        <v>1050114.0</v>
      </c>
      <c r="D449" s="355">
        <v>556.0</v>
      </c>
      <c r="E449" s="1195" t="s">
        <v>393</v>
      </c>
      <c r="F449" s="1210"/>
      <c r="G449" s="1210"/>
      <c r="H449" s="1492"/>
      <c r="I449" s="1492"/>
      <c r="J449" s="1492"/>
      <c r="K449" s="1492"/>
      <c r="L449" s="1492"/>
      <c r="M449" s="1492"/>
    </row>
    <row r="450">
      <c r="A450" s="355" t="s">
        <v>579</v>
      </c>
      <c r="B450" s="355" t="s">
        <v>393</v>
      </c>
      <c r="C450" s="1562">
        <v>30816.0</v>
      </c>
      <c r="D450" s="355">
        <v>37.0</v>
      </c>
      <c r="E450" s="1195" t="s">
        <v>393</v>
      </c>
      <c r="F450" s="1210"/>
      <c r="G450" s="1210"/>
      <c r="H450" s="1492"/>
      <c r="I450" s="1492"/>
      <c r="J450" s="1492"/>
      <c r="K450" s="1492"/>
      <c r="L450" s="1492"/>
      <c r="M450" s="1492"/>
    </row>
    <row r="451">
      <c r="A451" s="355" t="s">
        <v>581</v>
      </c>
      <c r="B451" s="355" t="s">
        <v>393</v>
      </c>
      <c r="C451" s="1562">
        <v>2995.0</v>
      </c>
      <c r="D451" s="355">
        <v>7.0</v>
      </c>
      <c r="E451" s="1195" t="s">
        <v>393</v>
      </c>
      <c r="F451" s="1210"/>
      <c r="G451" s="1210"/>
      <c r="H451" s="1492"/>
      <c r="I451" s="1492"/>
      <c r="J451" s="1492"/>
      <c r="K451" s="1492"/>
      <c r="L451" s="1492"/>
      <c r="M451" s="1492"/>
    </row>
    <row r="452">
      <c r="A452" s="355" t="s">
        <v>582</v>
      </c>
      <c r="B452" s="355" t="s">
        <v>393</v>
      </c>
      <c r="C452" s="1562">
        <v>85219.0</v>
      </c>
      <c r="D452" s="355">
        <v>104.0</v>
      </c>
      <c r="E452" s="1195" t="s">
        <v>393</v>
      </c>
      <c r="F452" s="1210"/>
      <c r="G452" s="1210"/>
      <c r="H452" s="1492"/>
      <c r="I452" s="1492"/>
      <c r="J452" s="1492"/>
      <c r="K452" s="1492"/>
      <c r="L452" s="1492"/>
      <c r="M452" s="1492"/>
    </row>
    <row r="453">
      <c r="A453" s="355" t="s">
        <v>583</v>
      </c>
      <c r="B453" s="355" t="s">
        <v>393</v>
      </c>
      <c r="C453" s="1562">
        <v>57685.0</v>
      </c>
      <c r="D453" s="355">
        <v>54.0</v>
      </c>
      <c r="E453" s="1195" t="s">
        <v>393</v>
      </c>
      <c r="F453" s="1210"/>
      <c r="G453" s="1210"/>
      <c r="H453" s="1492"/>
      <c r="I453" s="1492"/>
      <c r="J453" s="1492"/>
      <c r="K453" s="1492"/>
      <c r="L453" s="1492"/>
      <c r="M453" s="1492"/>
    </row>
    <row r="454">
      <c r="A454" s="355" t="s">
        <v>584</v>
      </c>
      <c r="B454" s="355" t="s">
        <v>393</v>
      </c>
      <c r="C454" s="1562">
        <v>24748.0</v>
      </c>
      <c r="D454" s="355">
        <v>49.0</v>
      </c>
      <c r="E454" s="1195" t="s">
        <v>393</v>
      </c>
      <c r="F454" s="1210"/>
      <c r="G454" s="1210"/>
      <c r="H454" s="1492"/>
      <c r="I454" s="1492"/>
      <c r="J454" s="1492"/>
      <c r="K454" s="1492"/>
      <c r="L454" s="1492"/>
      <c r="M454" s="1492"/>
    </row>
    <row r="455">
      <c r="A455" s="355" t="s">
        <v>138</v>
      </c>
      <c r="B455" s="355" t="s">
        <v>393</v>
      </c>
      <c r="C455" s="1562">
        <v>17698.0</v>
      </c>
      <c r="D455" s="355">
        <v>32.0</v>
      </c>
      <c r="E455" s="1195" t="s">
        <v>393</v>
      </c>
      <c r="F455" s="1210"/>
      <c r="G455" s="1210"/>
      <c r="H455" s="1492"/>
      <c r="I455" s="1492"/>
      <c r="J455" s="1492"/>
      <c r="K455" s="1492"/>
      <c r="L455" s="1492"/>
      <c r="M455" s="1492"/>
    </row>
    <row r="456">
      <c r="A456" s="355" t="s">
        <v>460</v>
      </c>
      <c r="B456" s="355" t="s">
        <v>393</v>
      </c>
      <c r="C456" s="1562">
        <v>927781.0</v>
      </c>
      <c r="D456" s="355">
        <v>341.0</v>
      </c>
      <c r="E456" s="1195" t="s">
        <v>393</v>
      </c>
      <c r="F456" s="1210"/>
      <c r="G456" s="1210"/>
      <c r="H456" s="1492"/>
      <c r="I456" s="1492"/>
      <c r="J456" s="1492"/>
      <c r="K456" s="1492"/>
      <c r="L456" s="1492"/>
      <c r="M456" s="1492"/>
    </row>
    <row r="457">
      <c r="A457" s="355" t="s">
        <v>585</v>
      </c>
      <c r="B457" s="355" t="s">
        <v>393</v>
      </c>
      <c r="C457" s="1562">
        <v>45388.0</v>
      </c>
      <c r="D457" s="355">
        <v>64.0</v>
      </c>
      <c r="E457" s="1195" t="s">
        <v>393</v>
      </c>
      <c r="F457" s="1210"/>
      <c r="G457" s="1210"/>
      <c r="H457" s="1492"/>
      <c r="I457" s="1492"/>
      <c r="J457" s="1492"/>
      <c r="K457" s="1492"/>
      <c r="L457" s="1492"/>
      <c r="M457" s="1492"/>
    </row>
    <row r="458">
      <c r="A458" s="355" t="s">
        <v>586</v>
      </c>
      <c r="B458" s="355" t="s">
        <v>393</v>
      </c>
      <c r="C458" s="1562">
        <v>202148.0</v>
      </c>
      <c r="D458" s="355">
        <v>128.0</v>
      </c>
      <c r="E458" s="1195" t="s">
        <v>393</v>
      </c>
      <c r="F458" s="1210"/>
      <c r="G458" s="1210"/>
      <c r="H458" s="1492"/>
      <c r="I458" s="1492"/>
      <c r="J458" s="1492"/>
      <c r="K458" s="1492"/>
      <c r="L458" s="1492"/>
      <c r="M458" s="1492"/>
    </row>
    <row r="459">
      <c r="A459" s="355" t="s">
        <v>587</v>
      </c>
      <c r="B459" s="355" t="s">
        <v>393</v>
      </c>
      <c r="C459" s="1562">
        <v>8348.0</v>
      </c>
      <c r="D459" s="355">
        <v>18.0</v>
      </c>
      <c r="E459" s="1195" t="s">
        <v>393</v>
      </c>
      <c r="F459" s="1210"/>
      <c r="G459" s="1210"/>
      <c r="H459" s="1492"/>
      <c r="I459" s="1492"/>
      <c r="J459" s="1492"/>
      <c r="K459" s="1492"/>
      <c r="L459" s="1492"/>
      <c r="M459" s="1492"/>
    </row>
    <row r="460">
      <c r="A460" s="355" t="s">
        <v>588</v>
      </c>
      <c r="B460" s="355" t="s">
        <v>393</v>
      </c>
      <c r="C460" s="1562">
        <v>29533.0</v>
      </c>
      <c r="D460" s="355">
        <v>40.0</v>
      </c>
      <c r="E460" s="1195" t="s">
        <v>393</v>
      </c>
      <c r="F460" s="1210"/>
      <c r="G460" s="1210"/>
      <c r="H460" s="1492"/>
      <c r="I460" s="1492"/>
      <c r="J460" s="1492"/>
      <c r="K460" s="1492"/>
      <c r="L460" s="1492"/>
      <c r="M460" s="1492"/>
    </row>
    <row r="461">
      <c r="A461" s="355" t="s">
        <v>218</v>
      </c>
      <c r="B461" s="355" t="s">
        <v>393</v>
      </c>
      <c r="C461" s="1562">
        <v>34475.0</v>
      </c>
      <c r="D461" s="355">
        <v>37.0</v>
      </c>
      <c r="E461" s="1195" t="s">
        <v>393</v>
      </c>
      <c r="F461" s="1210"/>
      <c r="G461" s="1210"/>
      <c r="H461" s="1492"/>
      <c r="I461" s="1492"/>
      <c r="J461" s="1492"/>
      <c r="K461" s="1492"/>
      <c r="L461" s="1492"/>
      <c r="M461" s="1492"/>
    </row>
    <row r="462">
      <c r="A462" s="355" t="s">
        <v>589</v>
      </c>
      <c r="B462" s="355" t="s">
        <v>393</v>
      </c>
      <c r="C462" s="1562">
        <v>26099.0</v>
      </c>
      <c r="D462" s="355">
        <v>40.0</v>
      </c>
      <c r="E462" s="1195" t="s">
        <v>393</v>
      </c>
      <c r="F462" s="1210"/>
      <c r="G462" s="1210"/>
      <c r="H462" s="1492"/>
      <c r="I462" s="1492"/>
      <c r="J462" s="1492"/>
      <c r="K462" s="1492"/>
      <c r="L462" s="1492"/>
      <c r="M462" s="1492"/>
    </row>
    <row r="463">
      <c r="A463" s="355" t="s">
        <v>590</v>
      </c>
      <c r="B463" s="355" t="s">
        <v>393</v>
      </c>
      <c r="C463" s="1562">
        <v>11879.0</v>
      </c>
      <c r="D463" s="355">
        <v>11.0</v>
      </c>
      <c r="E463" s="1195" t="s">
        <v>393</v>
      </c>
      <c r="F463" s="1210"/>
      <c r="G463" s="1210"/>
      <c r="H463" s="1492"/>
      <c r="I463" s="1492"/>
      <c r="J463" s="1492"/>
      <c r="K463" s="1492"/>
      <c r="L463" s="1492"/>
      <c r="M463" s="1492"/>
    </row>
    <row r="464">
      <c r="A464" s="355" t="s">
        <v>140</v>
      </c>
      <c r="B464" s="355" t="s">
        <v>393</v>
      </c>
      <c r="C464" s="1562">
        <v>230220.0</v>
      </c>
      <c r="D464" s="355">
        <v>148.0</v>
      </c>
      <c r="E464" s="1195" t="s">
        <v>393</v>
      </c>
      <c r="F464" s="1210"/>
      <c r="G464" s="1210"/>
      <c r="H464" s="1492"/>
      <c r="I464" s="1492"/>
      <c r="J464" s="1492"/>
      <c r="K464" s="1492"/>
      <c r="L464" s="1492"/>
      <c r="M464" s="1492"/>
    </row>
    <row r="465">
      <c r="A465" s="355" t="s">
        <v>141</v>
      </c>
      <c r="B465" s="355" t="s">
        <v>393</v>
      </c>
      <c r="C465" s="1562">
        <v>155469.0</v>
      </c>
      <c r="D465" s="355">
        <v>137.0</v>
      </c>
      <c r="E465" s="1195" t="s">
        <v>393</v>
      </c>
      <c r="F465" s="1210"/>
      <c r="G465" s="1210"/>
      <c r="H465" s="1492"/>
      <c r="I465" s="1492"/>
      <c r="J465" s="1492"/>
      <c r="K465" s="1492"/>
      <c r="L465" s="1492"/>
      <c r="M465" s="1492"/>
    </row>
    <row r="466">
      <c r="A466" s="355" t="s">
        <v>591</v>
      </c>
      <c r="B466" s="355" t="s">
        <v>393</v>
      </c>
      <c r="C466" s="1562">
        <v>9398.0</v>
      </c>
      <c r="D466" s="355">
        <v>13.0</v>
      </c>
      <c r="E466" s="1195" t="s">
        <v>393</v>
      </c>
      <c r="F466" s="1210"/>
      <c r="G466" s="1210"/>
      <c r="H466" s="1492"/>
      <c r="I466" s="1492"/>
      <c r="J466" s="1492"/>
      <c r="K466" s="1492"/>
      <c r="L466" s="1492"/>
      <c r="M466" s="1492"/>
    </row>
    <row r="467">
      <c r="A467" s="355" t="s">
        <v>142</v>
      </c>
      <c r="B467" s="355" t="s">
        <v>393</v>
      </c>
      <c r="C467" s="1562">
        <v>70422.0</v>
      </c>
      <c r="D467" s="355">
        <v>72.0</v>
      </c>
      <c r="E467" s="1195" t="s">
        <v>393</v>
      </c>
      <c r="F467" s="1210"/>
      <c r="G467" s="1210"/>
      <c r="H467" s="1492"/>
      <c r="I467" s="1492"/>
      <c r="J467" s="1492"/>
      <c r="K467" s="1492"/>
      <c r="L467" s="1492"/>
      <c r="M467" s="1492"/>
    </row>
    <row r="468">
      <c r="A468" s="355" t="s">
        <v>593</v>
      </c>
      <c r="B468" s="355" t="s">
        <v>393</v>
      </c>
      <c r="C468" s="1562">
        <v>14040.0</v>
      </c>
      <c r="D468" s="355">
        <v>18.0</v>
      </c>
      <c r="E468" s="1195" t="s">
        <v>393</v>
      </c>
      <c r="F468" s="1210"/>
      <c r="G468" s="1210"/>
      <c r="H468" s="1492"/>
      <c r="I468" s="1492"/>
      <c r="J468" s="1492"/>
      <c r="K468" s="1492"/>
      <c r="L468" s="1492"/>
      <c r="M468" s="1492"/>
    </row>
    <row r="469">
      <c r="A469" s="355" t="s">
        <v>594</v>
      </c>
      <c r="B469" s="355" t="s">
        <v>393</v>
      </c>
      <c r="C469" s="1562">
        <v>15029.0</v>
      </c>
      <c r="D469" s="355">
        <v>23.0</v>
      </c>
      <c r="E469" s="1195" t="s">
        <v>393</v>
      </c>
      <c r="F469" s="1210"/>
      <c r="G469" s="1210"/>
      <c r="H469" s="1492"/>
      <c r="I469" s="1492"/>
      <c r="J469" s="1492"/>
      <c r="K469" s="1492"/>
      <c r="L469" s="1492"/>
      <c r="M469" s="1492"/>
    </row>
    <row r="470">
      <c r="A470" s="355" t="s">
        <v>143</v>
      </c>
      <c r="B470" s="355" t="s">
        <v>393</v>
      </c>
      <c r="C470" s="1562">
        <v>15430.0</v>
      </c>
      <c r="D470" s="355">
        <v>51.0</v>
      </c>
      <c r="E470" s="1195" t="s">
        <v>393</v>
      </c>
      <c r="F470" s="1210"/>
      <c r="G470" s="1210"/>
      <c r="H470" s="1492"/>
      <c r="I470" s="1492"/>
      <c r="J470" s="1492"/>
      <c r="K470" s="1492"/>
      <c r="L470" s="1492"/>
      <c r="M470" s="1492"/>
    </row>
    <row r="471">
      <c r="A471" s="355" t="s">
        <v>597</v>
      </c>
      <c r="B471" s="355" t="s">
        <v>393</v>
      </c>
      <c r="C471" s="1562">
        <v>8683.0</v>
      </c>
      <c r="D471" s="355">
        <v>18.0</v>
      </c>
      <c r="E471" s="1195" t="s">
        <v>393</v>
      </c>
      <c r="F471" s="1210"/>
      <c r="G471" s="1210"/>
      <c r="H471" s="1492"/>
      <c r="I471" s="1492"/>
      <c r="J471" s="1492"/>
      <c r="K471" s="1492"/>
      <c r="L471" s="1492"/>
      <c r="M471" s="1492"/>
    </row>
    <row r="472">
      <c r="A472" s="355" t="s">
        <v>288</v>
      </c>
      <c r="B472" s="355" t="s">
        <v>393</v>
      </c>
      <c r="C472" s="1562">
        <v>9708.0</v>
      </c>
      <c r="D472" s="355">
        <v>16.0</v>
      </c>
      <c r="E472" s="1195" t="s">
        <v>393</v>
      </c>
      <c r="F472" s="1210"/>
      <c r="G472" s="1210"/>
      <c r="H472" s="1492"/>
      <c r="I472" s="1492"/>
      <c r="J472" s="1492"/>
      <c r="K472" s="1492"/>
      <c r="L472" s="1492"/>
      <c r="M472" s="1492"/>
    </row>
    <row r="473">
      <c r="A473" s="355" t="s">
        <v>598</v>
      </c>
      <c r="B473" s="355" t="s">
        <v>393</v>
      </c>
      <c r="C473" s="1562">
        <v>28616.0</v>
      </c>
      <c r="D473" s="355">
        <v>45.0</v>
      </c>
      <c r="E473" s="1195" t="s">
        <v>393</v>
      </c>
      <c r="F473" s="1210"/>
      <c r="G473" s="1210"/>
      <c r="H473" s="1492"/>
      <c r="I473" s="1492"/>
      <c r="J473" s="1492"/>
      <c r="K473" s="1492"/>
      <c r="L473" s="1492"/>
      <c r="M473" s="1492"/>
    </row>
    <row r="474">
      <c r="A474" s="355" t="s">
        <v>144</v>
      </c>
      <c r="B474" s="355" t="s">
        <v>393</v>
      </c>
      <c r="C474" s="1562">
        <v>19000.0</v>
      </c>
      <c r="D474" s="355">
        <v>18.0</v>
      </c>
      <c r="E474" s="1195" t="s">
        <v>393</v>
      </c>
      <c r="F474" s="1210"/>
      <c r="G474" s="1210"/>
      <c r="H474" s="1492"/>
      <c r="I474" s="1492"/>
      <c r="J474" s="1492"/>
      <c r="K474" s="1492"/>
      <c r="L474" s="1492"/>
      <c r="M474" s="1492"/>
    </row>
    <row r="475">
      <c r="A475" s="355" t="s">
        <v>600</v>
      </c>
      <c r="B475" s="355" t="s">
        <v>393</v>
      </c>
      <c r="C475" s="1562">
        <v>10340.0</v>
      </c>
      <c r="D475" s="355">
        <v>8.0</v>
      </c>
      <c r="E475" s="1195" t="s">
        <v>393</v>
      </c>
      <c r="F475" s="1210"/>
      <c r="G475" s="1210"/>
      <c r="H475" s="1492"/>
      <c r="I475" s="1492"/>
      <c r="J475" s="1492"/>
      <c r="K475" s="1492"/>
      <c r="L475" s="1492"/>
      <c r="M475" s="1492"/>
    </row>
    <row r="476">
      <c r="A476" s="355" t="s">
        <v>601</v>
      </c>
      <c r="B476" s="355" t="s">
        <v>393</v>
      </c>
      <c r="C476" s="1562">
        <v>47325.0</v>
      </c>
      <c r="D476" s="355">
        <v>105.0</v>
      </c>
      <c r="E476" s="1195" t="s">
        <v>393</v>
      </c>
      <c r="F476" s="1210"/>
      <c r="G476" s="1210"/>
      <c r="H476" s="1492"/>
      <c r="I476" s="1492"/>
      <c r="J476" s="1492"/>
      <c r="K476" s="1492"/>
      <c r="L476" s="1492"/>
      <c r="M476" s="1492"/>
    </row>
    <row r="477">
      <c r="A477" s="355" t="s">
        <v>147</v>
      </c>
      <c r="B477" s="355" t="s">
        <v>393</v>
      </c>
      <c r="C477" s="1562">
        <v>29764.0</v>
      </c>
      <c r="D477" s="355">
        <v>21.0</v>
      </c>
      <c r="E477" s="1195" t="s">
        <v>393</v>
      </c>
      <c r="F477" s="1210"/>
      <c r="G477" s="1210"/>
      <c r="H477" s="1492"/>
      <c r="I477" s="1492"/>
      <c r="J477" s="1492"/>
      <c r="K477" s="1492"/>
      <c r="L477" s="1492"/>
      <c r="M477" s="1492"/>
    </row>
    <row r="478">
      <c r="A478" s="355" t="s">
        <v>508</v>
      </c>
      <c r="B478" s="355" t="s">
        <v>393</v>
      </c>
      <c r="C478" s="1562">
        <v>61497.0</v>
      </c>
      <c r="D478" s="355">
        <v>75.0</v>
      </c>
      <c r="E478" s="1195" t="s">
        <v>393</v>
      </c>
      <c r="F478" s="1210"/>
      <c r="G478" s="1210"/>
      <c r="H478" s="1492"/>
      <c r="I478" s="1492"/>
      <c r="J478" s="1492"/>
      <c r="K478" s="1492"/>
      <c r="L478" s="1492"/>
      <c r="M478" s="1492"/>
    </row>
    <row r="479">
      <c r="A479" s="355" t="s">
        <v>290</v>
      </c>
      <c r="B479" s="355" t="s">
        <v>393</v>
      </c>
      <c r="C479" s="1562">
        <v>7915.0</v>
      </c>
      <c r="D479" s="355">
        <v>30.0</v>
      </c>
      <c r="E479" s="1195" t="s">
        <v>393</v>
      </c>
      <c r="F479" s="1210"/>
      <c r="G479" s="1210"/>
      <c r="H479" s="1492"/>
      <c r="I479" s="1492"/>
      <c r="J479" s="1492"/>
      <c r="K479" s="1492"/>
      <c r="L479" s="1492"/>
      <c r="M479" s="1492"/>
    </row>
    <row r="480">
      <c r="A480" s="355" t="s">
        <v>602</v>
      </c>
      <c r="B480" s="355" t="s">
        <v>393</v>
      </c>
      <c r="C480" s="1562">
        <v>18998.0</v>
      </c>
      <c r="D480" s="355">
        <v>16.0</v>
      </c>
      <c r="E480" s="1195" t="s">
        <v>393</v>
      </c>
      <c r="F480" s="1210"/>
      <c r="G480" s="1210"/>
      <c r="H480" s="1492"/>
      <c r="I480" s="1492"/>
      <c r="J480" s="1492"/>
      <c r="K480" s="1492"/>
      <c r="L480" s="1492"/>
      <c r="M480" s="1492"/>
    </row>
    <row r="481">
      <c r="A481" s="355" t="s">
        <v>149</v>
      </c>
      <c r="B481" s="355" t="s">
        <v>393</v>
      </c>
      <c r="C481" s="1562">
        <v>116321.0</v>
      </c>
      <c r="D481" s="355">
        <v>133.0</v>
      </c>
      <c r="E481" s="1195" t="s">
        <v>393</v>
      </c>
      <c r="F481" s="1210"/>
      <c r="G481" s="1210"/>
      <c r="H481" s="1492"/>
      <c r="I481" s="1492"/>
      <c r="J481" s="1492"/>
      <c r="K481" s="1492"/>
      <c r="L481" s="1492"/>
      <c r="M481" s="1492"/>
    </row>
    <row r="482">
      <c r="A482" s="355" t="s">
        <v>604</v>
      </c>
      <c r="B482" s="355" t="s">
        <v>393</v>
      </c>
      <c r="C482" s="1562">
        <v>32955.0</v>
      </c>
      <c r="D482" s="355">
        <v>24.0</v>
      </c>
      <c r="E482" s="1195" t="s">
        <v>393</v>
      </c>
      <c r="F482" s="1210"/>
      <c r="G482" s="1210"/>
      <c r="H482" s="1492"/>
      <c r="I482" s="1492"/>
      <c r="J482" s="1492"/>
      <c r="K482" s="1492"/>
      <c r="L482" s="1492"/>
      <c r="M482" s="1492"/>
    </row>
    <row r="483">
      <c r="A483" s="355" t="s">
        <v>605</v>
      </c>
      <c r="B483" s="355" t="s">
        <v>393</v>
      </c>
      <c r="C483" s="1562">
        <v>21531.0</v>
      </c>
      <c r="D483" s="355">
        <v>28.0</v>
      </c>
      <c r="E483" s="1195" t="s">
        <v>393</v>
      </c>
      <c r="F483" s="1210"/>
      <c r="G483" s="1210"/>
      <c r="H483" s="1492"/>
      <c r="I483" s="1492"/>
      <c r="J483" s="1492"/>
      <c r="K483" s="1492"/>
      <c r="L483" s="1492"/>
      <c r="M483" s="1492"/>
    </row>
    <row r="484">
      <c r="A484" s="355" t="s">
        <v>606</v>
      </c>
      <c r="B484" s="355" t="s">
        <v>393</v>
      </c>
      <c r="C484" s="1562">
        <v>14340.0</v>
      </c>
      <c r="D484" s="355">
        <v>26.0</v>
      </c>
      <c r="E484" s="1195" t="s">
        <v>393</v>
      </c>
      <c r="F484" s="1210"/>
      <c r="G484" s="1210"/>
      <c r="H484" s="1492"/>
      <c r="I484" s="1492"/>
      <c r="J484" s="1492"/>
      <c r="K484" s="1492"/>
      <c r="L484" s="1492"/>
      <c r="M484" s="1492"/>
    </row>
    <row r="485">
      <c r="A485" s="355" t="s">
        <v>150</v>
      </c>
      <c r="B485" s="355" t="s">
        <v>393</v>
      </c>
      <c r="C485" s="1562">
        <v>13143.0</v>
      </c>
      <c r="D485" s="355">
        <v>21.0</v>
      </c>
      <c r="E485" s="1195" t="s">
        <v>393</v>
      </c>
      <c r="F485" s="1210"/>
      <c r="G485" s="1210"/>
      <c r="H485" s="1492"/>
      <c r="I485" s="1492"/>
      <c r="J485" s="1492"/>
      <c r="K485" s="1492"/>
      <c r="L485" s="1492"/>
      <c r="M485" s="1492"/>
    </row>
    <row r="486">
      <c r="A486" s="355" t="s">
        <v>151</v>
      </c>
      <c r="B486" s="355" t="s">
        <v>393</v>
      </c>
      <c r="C486" s="1562">
        <v>29650.0</v>
      </c>
      <c r="D486" s="355">
        <v>38.0</v>
      </c>
      <c r="E486" s="1195" t="s">
        <v>393</v>
      </c>
      <c r="F486" s="1210"/>
      <c r="G486" s="1210"/>
      <c r="H486" s="1492"/>
      <c r="I486" s="1492"/>
      <c r="J486" s="1492"/>
      <c r="K486" s="1492"/>
      <c r="L486" s="1492"/>
      <c r="M486" s="1492"/>
    </row>
    <row r="487">
      <c r="A487" s="355" t="s">
        <v>153</v>
      </c>
      <c r="B487" s="355" t="s">
        <v>393</v>
      </c>
      <c r="C487" s="1562">
        <v>8351.0</v>
      </c>
      <c r="D487" s="355">
        <v>8.0</v>
      </c>
      <c r="E487" s="1195" t="s">
        <v>393</v>
      </c>
      <c r="F487" s="1210"/>
      <c r="G487" s="1210"/>
      <c r="H487" s="1492"/>
      <c r="I487" s="1492"/>
      <c r="J487" s="1492"/>
      <c r="K487" s="1492"/>
      <c r="L487" s="1492"/>
      <c r="M487" s="1492"/>
    </row>
    <row r="488">
      <c r="A488" s="355" t="s">
        <v>609</v>
      </c>
      <c r="B488" s="355" t="s">
        <v>393</v>
      </c>
      <c r="C488" s="1562">
        <v>21068.0</v>
      </c>
      <c r="D488" s="355">
        <v>45.0</v>
      </c>
      <c r="E488" s="1195" t="s">
        <v>393</v>
      </c>
      <c r="F488" s="1210"/>
      <c r="G488" s="1210"/>
      <c r="H488" s="1492"/>
      <c r="I488" s="1492"/>
      <c r="J488" s="1492"/>
      <c r="K488" s="1492"/>
      <c r="L488" s="1492"/>
      <c r="M488" s="1492"/>
    </row>
    <row r="489">
      <c r="A489" s="355" t="s">
        <v>295</v>
      </c>
      <c r="B489" s="355" t="s">
        <v>393</v>
      </c>
      <c r="C489" s="1562">
        <v>5686.0</v>
      </c>
      <c r="D489" s="355">
        <v>5.0</v>
      </c>
      <c r="E489" s="1195" t="s">
        <v>393</v>
      </c>
      <c r="F489" s="1210"/>
      <c r="G489" s="1210"/>
      <c r="H489" s="1492"/>
      <c r="I489" s="1492"/>
      <c r="J489" s="1492"/>
      <c r="K489" s="1492"/>
      <c r="L489" s="1492"/>
      <c r="M489" s="1492"/>
    </row>
    <row r="490">
      <c r="A490" s="355" t="s">
        <v>610</v>
      </c>
      <c r="B490" s="355" t="s">
        <v>393</v>
      </c>
      <c r="C490" s="1562">
        <v>22192.0</v>
      </c>
      <c r="D490" s="355">
        <v>34.0</v>
      </c>
      <c r="E490" s="1195" t="s">
        <v>393</v>
      </c>
      <c r="F490" s="1210"/>
      <c r="G490" s="1210"/>
      <c r="H490" s="1492"/>
      <c r="I490" s="1492"/>
      <c r="J490" s="1492"/>
      <c r="K490" s="1492"/>
      <c r="L490" s="1492"/>
      <c r="M490" s="1492"/>
    </row>
    <row r="491">
      <c r="A491" s="355" t="s">
        <v>156</v>
      </c>
      <c r="B491" s="355" t="s">
        <v>393</v>
      </c>
      <c r="C491" s="1562">
        <v>27520.0</v>
      </c>
      <c r="D491" s="355">
        <v>32.0</v>
      </c>
      <c r="E491" s="1195" t="s">
        <v>393</v>
      </c>
      <c r="F491" s="1210"/>
      <c r="G491" s="1210"/>
      <c r="H491" s="1492"/>
      <c r="I491" s="1492"/>
      <c r="J491" s="1492"/>
      <c r="K491" s="1492"/>
      <c r="L491" s="1492"/>
      <c r="M491" s="1492"/>
    </row>
    <row r="492">
      <c r="A492" s="355" t="s">
        <v>157</v>
      </c>
      <c r="B492" s="355" t="s">
        <v>393</v>
      </c>
      <c r="C492" s="1562">
        <v>9193.0</v>
      </c>
      <c r="D492" s="355">
        <v>16.0</v>
      </c>
      <c r="E492" s="1195" t="s">
        <v>393</v>
      </c>
      <c r="F492" s="1210"/>
      <c r="G492" s="1210"/>
      <c r="H492" s="1492"/>
      <c r="I492" s="1492"/>
      <c r="J492" s="1492"/>
      <c r="K492" s="1492"/>
      <c r="L492" s="1492"/>
      <c r="M492" s="1492"/>
    </row>
    <row r="493">
      <c r="A493" s="355" t="s">
        <v>158</v>
      </c>
      <c r="B493" s="355" t="s">
        <v>393</v>
      </c>
      <c r="C493" s="1562">
        <v>18853.0</v>
      </c>
      <c r="D493" s="355">
        <v>38.0</v>
      </c>
      <c r="E493" s="1195" t="s">
        <v>393</v>
      </c>
      <c r="F493" s="1210"/>
      <c r="G493" s="1210"/>
      <c r="H493" s="1492"/>
      <c r="I493" s="1492"/>
      <c r="J493" s="1492"/>
      <c r="K493" s="1492"/>
      <c r="L493" s="1492"/>
      <c r="M493" s="1492"/>
    </row>
    <row r="494">
      <c r="A494" s="355" t="s">
        <v>611</v>
      </c>
      <c r="B494" s="355" t="s">
        <v>393</v>
      </c>
      <c r="C494" s="1562">
        <v>39921.0</v>
      </c>
      <c r="D494" s="355">
        <v>28.0</v>
      </c>
      <c r="E494" s="1195" t="s">
        <v>393</v>
      </c>
      <c r="F494" s="1210"/>
      <c r="G494" s="1210"/>
      <c r="H494" s="1492"/>
      <c r="I494" s="1492"/>
      <c r="J494" s="1492"/>
      <c r="K494" s="1492"/>
      <c r="L494" s="1492"/>
      <c r="M494" s="1492"/>
    </row>
    <row r="495">
      <c r="A495" s="355" t="s">
        <v>613</v>
      </c>
      <c r="B495" s="355" t="s">
        <v>393</v>
      </c>
      <c r="C495" s="1562">
        <v>194160.0</v>
      </c>
      <c r="D495" s="355">
        <v>215.0</v>
      </c>
      <c r="E495" s="1195" t="s">
        <v>393</v>
      </c>
      <c r="F495" s="1210"/>
      <c r="G495" s="1210"/>
      <c r="H495" s="1492"/>
      <c r="I495" s="1492"/>
      <c r="J495" s="1492"/>
      <c r="K495" s="1492"/>
      <c r="L495" s="1492"/>
      <c r="M495" s="1492"/>
    </row>
    <row r="496">
      <c r="A496" s="355" t="s">
        <v>297</v>
      </c>
      <c r="B496" s="355" t="s">
        <v>393</v>
      </c>
      <c r="C496" s="1562">
        <v>109541.0</v>
      </c>
      <c r="D496" s="355">
        <v>99.0</v>
      </c>
      <c r="E496" s="1195" t="s">
        <v>393</v>
      </c>
      <c r="F496" s="1210"/>
      <c r="G496" s="1210"/>
      <c r="H496" s="1492"/>
      <c r="I496" s="1492"/>
      <c r="J496" s="1492"/>
      <c r="K496" s="1492"/>
      <c r="L496" s="1492"/>
      <c r="M496" s="1492"/>
    </row>
    <row r="497">
      <c r="A497" s="355" t="s">
        <v>614</v>
      </c>
      <c r="B497" s="355" t="s">
        <v>393</v>
      </c>
      <c r="C497" s="1562">
        <v>39272.0</v>
      </c>
      <c r="D497" s="355">
        <v>34.0</v>
      </c>
      <c r="E497" s="1195" t="s">
        <v>393</v>
      </c>
      <c r="F497" s="1210"/>
      <c r="G497" s="1210"/>
      <c r="H497" s="1492"/>
      <c r="I497" s="1492"/>
      <c r="J497" s="1492"/>
      <c r="K497" s="1492"/>
      <c r="L497" s="1492"/>
      <c r="M497" s="1492"/>
    </row>
    <row r="498">
      <c r="A498" s="355" t="s">
        <v>615</v>
      </c>
      <c r="B498" s="355" t="s">
        <v>393</v>
      </c>
      <c r="C498" s="1562">
        <v>15054.0</v>
      </c>
      <c r="D498" s="355">
        <v>24.0</v>
      </c>
      <c r="E498" s="1195" t="s">
        <v>393</v>
      </c>
      <c r="F498" s="1210"/>
      <c r="G498" s="1210"/>
      <c r="H498" s="1492"/>
      <c r="I498" s="1492"/>
      <c r="J498" s="1492"/>
      <c r="K498" s="1492"/>
      <c r="L498" s="1492"/>
      <c r="M498" s="1492"/>
    </row>
    <row r="499">
      <c r="A499" s="355" t="s">
        <v>616</v>
      </c>
      <c r="B499" s="355" t="s">
        <v>393</v>
      </c>
      <c r="C499" s="1562">
        <v>164044.0</v>
      </c>
      <c r="D499" s="355">
        <v>85.0</v>
      </c>
      <c r="E499" s="1195" t="s">
        <v>393</v>
      </c>
      <c r="F499" s="1210"/>
      <c r="G499" s="1210"/>
      <c r="H499" s="1492"/>
      <c r="I499" s="1492"/>
      <c r="J499" s="1492"/>
      <c r="K499" s="1492"/>
      <c r="L499" s="1492"/>
      <c r="M499" s="1492"/>
    </row>
    <row r="500">
      <c r="A500" s="355" t="s">
        <v>617</v>
      </c>
      <c r="B500" s="355" t="s">
        <v>393</v>
      </c>
      <c r="C500" s="1562">
        <v>27297.0</v>
      </c>
      <c r="D500" s="355">
        <v>33.0</v>
      </c>
      <c r="E500" s="1195" t="s">
        <v>393</v>
      </c>
      <c r="F500" s="1210"/>
      <c r="G500" s="1210"/>
      <c r="H500" s="1492"/>
      <c r="I500" s="1492"/>
      <c r="J500" s="1492"/>
      <c r="K500" s="1492"/>
      <c r="L500" s="1492"/>
      <c r="M500" s="1492"/>
    </row>
    <row r="501">
      <c r="A501" s="355" t="s">
        <v>160</v>
      </c>
      <c r="B501" s="355" t="s">
        <v>393</v>
      </c>
      <c r="C501" s="1562">
        <v>31980.0</v>
      </c>
      <c r="D501" s="355">
        <v>24.0</v>
      </c>
      <c r="E501" s="1195" t="s">
        <v>393</v>
      </c>
      <c r="F501" s="1210"/>
      <c r="G501" s="1210"/>
      <c r="H501" s="1492"/>
      <c r="I501" s="1492"/>
      <c r="J501" s="1492"/>
      <c r="K501" s="1492"/>
      <c r="L501" s="1492"/>
      <c r="M501" s="1492"/>
    </row>
    <row r="502">
      <c r="A502" s="355" t="s">
        <v>473</v>
      </c>
      <c r="B502" s="355" t="s">
        <v>393</v>
      </c>
      <c r="C502" s="1562">
        <v>19389.0</v>
      </c>
      <c r="D502" s="355">
        <v>35.0</v>
      </c>
      <c r="E502" s="1195" t="s">
        <v>393</v>
      </c>
      <c r="F502" s="1210"/>
      <c r="G502" s="1210"/>
      <c r="H502" s="1492"/>
      <c r="I502" s="1492"/>
      <c r="J502" s="1492"/>
      <c r="K502" s="1492"/>
      <c r="L502" s="1492"/>
      <c r="M502" s="1492"/>
    </row>
    <row r="503">
      <c r="A503" s="355" t="s">
        <v>162</v>
      </c>
      <c r="B503" s="355" t="s">
        <v>393</v>
      </c>
      <c r="C503" s="1562">
        <v>18634.0</v>
      </c>
      <c r="D503" s="355">
        <v>27.0</v>
      </c>
      <c r="E503" s="1195" t="s">
        <v>393</v>
      </c>
      <c r="F503" s="1210"/>
      <c r="G503" s="1210"/>
      <c r="H503" s="1492"/>
      <c r="I503" s="1492"/>
      <c r="J503" s="1492"/>
      <c r="K503" s="1492"/>
      <c r="L503" s="1492"/>
      <c r="M503" s="1492"/>
    </row>
    <row r="504">
      <c r="A504" s="355" t="s">
        <v>302</v>
      </c>
      <c r="B504" s="355" t="s">
        <v>393</v>
      </c>
      <c r="C504" s="1562">
        <v>42470.0</v>
      </c>
      <c r="D504" s="355">
        <v>46.0</v>
      </c>
      <c r="E504" s="1195" t="s">
        <v>393</v>
      </c>
      <c r="F504" s="1210"/>
      <c r="G504" s="1210"/>
      <c r="H504" s="1492"/>
      <c r="I504" s="1492"/>
      <c r="J504" s="1492"/>
      <c r="K504" s="1492"/>
      <c r="L504" s="1492"/>
      <c r="M504" s="1492"/>
    </row>
    <row r="505">
      <c r="A505" s="355" t="s">
        <v>305</v>
      </c>
      <c r="B505" s="355" t="s">
        <v>393</v>
      </c>
      <c r="C505" s="1562">
        <v>11069.0</v>
      </c>
      <c r="D505" s="355">
        <v>11.0</v>
      </c>
      <c r="E505" s="1195" t="s">
        <v>393</v>
      </c>
      <c r="F505" s="1210"/>
      <c r="G505" s="1210"/>
      <c r="H505" s="1492"/>
      <c r="I505" s="1492"/>
      <c r="J505" s="1492"/>
      <c r="K505" s="1492"/>
      <c r="L505" s="1492"/>
      <c r="M505" s="1492"/>
    </row>
    <row r="506">
      <c r="A506" s="355" t="s">
        <v>518</v>
      </c>
      <c r="B506" s="355" t="s">
        <v>393</v>
      </c>
      <c r="C506" s="1562">
        <v>21809.0</v>
      </c>
      <c r="D506" s="355">
        <v>28.0</v>
      </c>
      <c r="E506" s="1195" t="s">
        <v>393</v>
      </c>
      <c r="F506" s="1210"/>
      <c r="G506" s="1210"/>
      <c r="H506" s="1492"/>
      <c r="I506" s="1492"/>
      <c r="J506" s="1492"/>
      <c r="K506" s="1492"/>
      <c r="L506" s="1492"/>
      <c r="M506" s="1492"/>
    </row>
    <row r="507">
      <c r="A507" s="355" t="s">
        <v>618</v>
      </c>
      <c r="B507" s="355" t="s">
        <v>393</v>
      </c>
      <c r="C507" s="1562">
        <v>2279.0</v>
      </c>
      <c r="D507" s="355">
        <v>6.0</v>
      </c>
      <c r="E507" s="1195" t="s">
        <v>393</v>
      </c>
      <c r="F507" s="1210"/>
      <c r="G507" s="1210"/>
      <c r="H507" s="1492"/>
      <c r="I507" s="1492"/>
      <c r="J507" s="1492"/>
      <c r="K507" s="1492"/>
      <c r="L507" s="1492"/>
      <c r="M507" s="1492"/>
    </row>
    <row r="508">
      <c r="A508" s="355" t="s">
        <v>619</v>
      </c>
      <c r="B508" s="355" t="s">
        <v>393</v>
      </c>
      <c r="C508" s="1562">
        <v>16867.0</v>
      </c>
      <c r="D508" s="355">
        <v>30.0</v>
      </c>
      <c r="E508" s="1195" t="s">
        <v>393</v>
      </c>
      <c r="F508" s="1210"/>
      <c r="G508" s="1210"/>
      <c r="H508" s="1492"/>
      <c r="I508" s="1492"/>
      <c r="J508" s="1492"/>
      <c r="K508" s="1492"/>
      <c r="L508" s="1492"/>
      <c r="M508" s="1492"/>
    </row>
    <row r="509">
      <c r="A509" s="355" t="s">
        <v>163</v>
      </c>
      <c r="B509" s="355" t="s">
        <v>393</v>
      </c>
      <c r="C509" s="1562">
        <v>6833.0</v>
      </c>
      <c r="D509" s="355">
        <v>19.0</v>
      </c>
      <c r="E509" s="1195" t="s">
        <v>393</v>
      </c>
      <c r="F509" s="1210"/>
      <c r="G509" s="1210"/>
      <c r="H509" s="1492"/>
      <c r="I509" s="1492"/>
      <c r="J509" s="1492"/>
      <c r="K509" s="1492"/>
      <c r="L509" s="1492"/>
      <c r="M509" s="1492"/>
    </row>
    <row r="510">
      <c r="A510" s="355" t="s">
        <v>621</v>
      </c>
      <c r="B510" s="355" t="s">
        <v>393</v>
      </c>
      <c r="C510" s="1562">
        <v>201554.0</v>
      </c>
      <c r="D510" s="355">
        <v>239.0</v>
      </c>
      <c r="E510" s="1195" t="s">
        <v>393</v>
      </c>
      <c r="F510" s="1210"/>
      <c r="G510" s="1210"/>
      <c r="H510" s="1492"/>
      <c r="I510" s="1492"/>
      <c r="J510" s="1492"/>
      <c r="K510" s="1492"/>
      <c r="L510" s="1492"/>
      <c r="M510" s="1492"/>
    </row>
    <row r="511">
      <c r="A511" s="355" t="s">
        <v>622</v>
      </c>
      <c r="B511" s="355" t="s">
        <v>393</v>
      </c>
      <c r="C511" s="1562">
        <v>90594.0</v>
      </c>
      <c r="D511" s="355">
        <v>83.0</v>
      </c>
      <c r="E511" s="1195" t="s">
        <v>393</v>
      </c>
      <c r="F511" s="1210"/>
      <c r="G511" s="1210"/>
      <c r="H511" s="1492"/>
      <c r="I511" s="1492"/>
      <c r="J511" s="1492"/>
      <c r="K511" s="1492"/>
      <c r="L511" s="1492"/>
      <c r="M511" s="1492"/>
    </row>
    <row r="512">
      <c r="A512" s="355" t="s">
        <v>623</v>
      </c>
      <c r="B512" s="355" t="s">
        <v>393</v>
      </c>
      <c r="C512" s="1562">
        <v>5236.0</v>
      </c>
      <c r="D512" s="355">
        <v>8.0</v>
      </c>
      <c r="E512" s="1195" t="s">
        <v>393</v>
      </c>
      <c r="F512" s="1210"/>
      <c r="G512" s="1210"/>
      <c r="H512" s="1492"/>
      <c r="I512" s="1492"/>
      <c r="J512" s="1492"/>
      <c r="K512" s="1492"/>
      <c r="L512" s="1492"/>
      <c r="M512" s="1492"/>
    </row>
    <row r="513">
      <c r="A513" s="355" t="s">
        <v>625</v>
      </c>
      <c r="B513" s="355" t="s">
        <v>393</v>
      </c>
      <c r="C513" s="1562">
        <v>13938.0</v>
      </c>
      <c r="D513" s="355">
        <v>59.0</v>
      </c>
      <c r="E513" s="1195" t="s">
        <v>393</v>
      </c>
      <c r="F513" s="1210"/>
      <c r="G513" s="1210"/>
      <c r="H513" s="1492"/>
      <c r="I513" s="1492"/>
      <c r="J513" s="1492"/>
      <c r="K513" s="1492"/>
      <c r="L513" s="1492"/>
      <c r="M513" s="1492"/>
    </row>
    <row r="514">
      <c r="A514" s="355" t="s">
        <v>524</v>
      </c>
      <c r="B514" s="355" t="s">
        <v>393</v>
      </c>
      <c r="C514" s="1562">
        <v>8315.0</v>
      </c>
      <c r="D514" s="355">
        <v>20.0</v>
      </c>
      <c r="E514" s="1195" t="s">
        <v>393</v>
      </c>
      <c r="F514" s="1210"/>
      <c r="G514" s="1210"/>
      <c r="H514" s="1492"/>
      <c r="I514" s="1492"/>
      <c r="J514" s="1492"/>
      <c r="K514" s="1492"/>
      <c r="L514" s="1492"/>
      <c r="M514" s="1492"/>
    </row>
    <row r="515">
      <c r="A515" s="355" t="s">
        <v>626</v>
      </c>
      <c r="B515" s="355" t="s">
        <v>393</v>
      </c>
      <c r="C515" s="1562">
        <v>66100.0</v>
      </c>
      <c r="D515" s="355">
        <v>80.0</v>
      </c>
      <c r="E515" s="1195" t="s">
        <v>393</v>
      </c>
      <c r="F515" s="1210"/>
      <c r="G515" s="1210"/>
      <c r="H515" s="1492"/>
      <c r="I515" s="1492"/>
      <c r="J515" s="1492"/>
      <c r="K515" s="1492"/>
      <c r="L515" s="1492"/>
      <c r="M515" s="1492"/>
    </row>
    <row r="516">
      <c r="A516" s="355" t="s">
        <v>628</v>
      </c>
      <c r="B516" s="355" t="s">
        <v>393</v>
      </c>
      <c r="C516" s="1562">
        <v>26035.0</v>
      </c>
      <c r="D516" s="355">
        <v>41.0</v>
      </c>
      <c r="E516" s="1195" t="s">
        <v>393</v>
      </c>
      <c r="F516" s="1210"/>
      <c r="G516" s="1210"/>
      <c r="H516" s="1492"/>
      <c r="I516" s="1492"/>
      <c r="J516" s="1492"/>
      <c r="K516" s="1492"/>
      <c r="L516" s="1492"/>
      <c r="M516" s="1492"/>
    </row>
    <row r="517">
      <c r="A517" s="355" t="s">
        <v>629</v>
      </c>
      <c r="B517" s="355" t="s">
        <v>393</v>
      </c>
      <c r="C517" s="1562">
        <v>6199.0</v>
      </c>
      <c r="D517" s="355">
        <v>5.0</v>
      </c>
      <c r="E517" s="1195" t="s">
        <v>393</v>
      </c>
      <c r="F517" s="1210"/>
      <c r="G517" s="1210"/>
      <c r="H517" s="1492"/>
      <c r="I517" s="1492"/>
      <c r="J517" s="1492"/>
      <c r="K517" s="1492"/>
      <c r="L517" s="1492"/>
      <c r="M517" s="1492"/>
    </row>
    <row r="518">
      <c r="A518" s="355" t="s">
        <v>169</v>
      </c>
      <c r="B518" s="355" t="s">
        <v>393</v>
      </c>
      <c r="C518" s="1562">
        <v>29733.0</v>
      </c>
      <c r="D518" s="355">
        <v>59.0</v>
      </c>
      <c r="E518" s="1195" t="s">
        <v>393</v>
      </c>
      <c r="F518" s="1210"/>
      <c r="G518" s="1210"/>
      <c r="H518" s="1492"/>
      <c r="I518" s="1492"/>
      <c r="J518" s="1492"/>
      <c r="K518" s="1492"/>
      <c r="L518" s="1492"/>
      <c r="M518" s="1492"/>
    </row>
    <row r="519">
      <c r="A519" s="355" t="s">
        <v>630</v>
      </c>
      <c r="B519" s="355" t="s">
        <v>393</v>
      </c>
      <c r="C519" s="1562">
        <v>6272.0</v>
      </c>
      <c r="D519" s="355">
        <v>10.0</v>
      </c>
      <c r="E519" s="1195" t="s">
        <v>393</v>
      </c>
      <c r="F519" s="1210"/>
      <c r="G519" s="1210"/>
      <c r="H519" s="1492"/>
      <c r="I519" s="1492"/>
      <c r="J519" s="1492"/>
      <c r="K519" s="1492"/>
      <c r="L519" s="1492"/>
      <c r="M519" s="1492"/>
    </row>
    <row r="520">
      <c r="A520" s="355" t="s">
        <v>631</v>
      </c>
      <c r="B520" s="355" t="s">
        <v>393</v>
      </c>
      <c r="C520" s="1562">
        <v>1608.0</v>
      </c>
      <c r="D520" s="355">
        <v>4.0</v>
      </c>
      <c r="E520" s="1195" t="s">
        <v>393</v>
      </c>
      <c r="F520" s="1210"/>
      <c r="G520" s="1210"/>
      <c r="H520" s="1492"/>
      <c r="I520" s="1492"/>
      <c r="J520" s="1492"/>
      <c r="K520" s="1492"/>
      <c r="L520" s="1492"/>
      <c r="M520" s="1492"/>
    </row>
    <row r="521">
      <c r="A521" s="355" t="s">
        <v>632</v>
      </c>
      <c r="B521" s="355" t="s">
        <v>393</v>
      </c>
      <c r="C521" s="1562">
        <v>25391.0</v>
      </c>
      <c r="D521" s="355">
        <v>47.0</v>
      </c>
      <c r="E521" s="1195" t="s">
        <v>393</v>
      </c>
      <c r="F521" s="1210"/>
      <c r="G521" s="1210"/>
      <c r="H521" s="1492"/>
      <c r="I521" s="1492"/>
      <c r="J521" s="1492"/>
      <c r="K521" s="1492"/>
      <c r="L521" s="1492"/>
      <c r="M521" s="1492"/>
    </row>
    <row r="522">
      <c r="A522" s="355" t="s">
        <v>526</v>
      </c>
      <c r="B522" s="355" t="s">
        <v>393</v>
      </c>
      <c r="C522" s="1562">
        <v>8039.0</v>
      </c>
      <c r="D522" s="355">
        <v>17.0</v>
      </c>
      <c r="E522" s="1195" t="s">
        <v>393</v>
      </c>
      <c r="F522" s="1210"/>
      <c r="G522" s="1210"/>
      <c r="H522" s="1492"/>
      <c r="I522" s="1492"/>
      <c r="J522" s="1492"/>
      <c r="K522" s="1492"/>
      <c r="L522" s="1492"/>
      <c r="M522" s="1492"/>
    </row>
    <row r="523">
      <c r="A523" s="355" t="s">
        <v>633</v>
      </c>
      <c r="B523" s="355" t="s">
        <v>393</v>
      </c>
      <c r="C523" s="1562">
        <v>15876.0</v>
      </c>
      <c r="D523" s="355">
        <v>25.0</v>
      </c>
      <c r="E523" s="1195" t="s">
        <v>393</v>
      </c>
      <c r="F523" s="1210"/>
      <c r="G523" s="1210"/>
      <c r="H523" s="1492"/>
      <c r="I523" s="1492"/>
      <c r="J523" s="1492"/>
      <c r="K523" s="1492"/>
      <c r="L523" s="1492"/>
      <c r="M523" s="1492"/>
    </row>
    <row r="524">
      <c r="A524" s="355" t="s">
        <v>635</v>
      </c>
      <c r="B524" s="355" t="s">
        <v>393</v>
      </c>
      <c r="C524" s="1562">
        <v>8611.0</v>
      </c>
      <c r="D524" s="355">
        <v>19.0</v>
      </c>
      <c r="E524" s="1195" t="s">
        <v>393</v>
      </c>
      <c r="F524" s="1210"/>
      <c r="G524" s="1210"/>
      <c r="H524" s="1492"/>
      <c r="I524" s="1492"/>
      <c r="J524" s="1492"/>
      <c r="K524" s="1492"/>
      <c r="L524" s="1492"/>
      <c r="M524" s="1492"/>
    </row>
    <row r="525">
      <c r="A525" s="355" t="s">
        <v>636</v>
      </c>
      <c r="B525" s="355" t="s">
        <v>393</v>
      </c>
      <c r="C525" s="1562">
        <v>44448.0</v>
      </c>
      <c r="D525" s="355">
        <v>94.0</v>
      </c>
      <c r="E525" s="1195" t="s">
        <v>393</v>
      </c>
      <c r="F525" s="1210"/>
      <c r="G525" s="1210"/>
      <c r="H525" s="1492"/>
      <c r="I525" s="1492"/>
      <c r="J525" s="1492"/>
      <c r="K525" s="1492"/>
      <c r="L525" s="1492"/>
      <c r="M525" s="1492"/>
    </row>
    <row r="526">
      <c r="A526" s="355" t="s">
        <v>637</v>
      </c>
      <c r="B526" s="355" t="s">
        <v>393</v>
      </c>
      <c r="C526" s="1562">
        <v>40571.0</v>
      </c>
      <c r="D526" s="355">
        <v>58.0</v>
      </c>
      <c r="E526" s="1195" t="s">
        <v>393</v>
      </c>
      <c r="F526" s="1210"/>
      <c r="G526" s="1210"/>
      <c r="H526" s="1492"/>
      <c r="I526" s="1492"/>
      <c r="J526" s="1492"/>
      <c r="K526" s="1492"/>
      <c r="L526" s="1492"/>
      <c r="M526" s="1492"/>
    </row>
    <row r="527">
      <c r="A527" s="355" t="s">
        <v>638</v>
      </c>
      <c r="B527" s="355" t="s">
        <v>393</v>
      </c>
      <c r="C527" s="1562">
        <v>26887.0</v>
      </c>
      <c r="D527" s="355">
        <v>45.0</v>
      </c>
      <c r="E527" s="1195" t="s">
        <v>393</v>
      </c>
      <c r="F527" s="1210"/>
      <c r="G527" s="1210"/>
      <c r="H527" s="1492"/>
      <c r="I527" s="1492"/>
      <c r="J527" s="1492"/>
      <c r="K527" s="1492"/>
      <c r="L527" s="1492"/>
      <c r="M527" s="1492"/>
    </row>
    <row r="528">
      <c r="A528" s="355" t="s">
        <v>639</v>
      </c>
      <c r="B528" s="355" t="s">
        <v>393</v>
      </c>
      <c r="C528" s="1562">
        <v>11852.0</v>
      </c>
      <c r="D528" s="355">
        <v>20.0</v>
      </c>
      <c r="E528" s="1195" t="s">
        <v>393</v>
      </c>
      <c r="F528" s="1210"/>
      <c r="G528" s="1210"/>
      <c r="H528" s="1492"/>
      <c r="I528" s="1492"/>
      <c r="J528" s="1492"/>
      <c r="K528" s="1492"/>
      <c r="L528" s="1492"/>
      <c r="M528" s="1492"/>
    </row>
    <row r="529">
      <c r="A529" s="355" t="s">
        <v>640</v>
      </c>
      <c r="B529" s="355" t="s">
        <v>393</v>
      </c>
      <c r="C529" s="1562">
        <v>6809.0</v>
      </c>
      <c r="D529" s="355">
        <v>14.0</v>
      </c>
      <c r="E529" s="1195" t="s">
        <v>393</v>
      </c>
      <c r="F529" s="1210"/>
      <c r="G529" s="1210"/>
      <c r="H529" s="1492"/>
      <c r="I529" s="1492"/>
      <c r="J529" s="1492"/>
      <c r="K529" s="1492"/>
      <c r="L529" s="1492"/>
      <c r="M529" s="1492"/>
    </row>
    <row r="530">
      <c r="A530" s="355" t="s">
        <v>641</v>
      </c>
      <c r="B530" s="355" t="s">
        <v>393</v>
      </c>
      <c r="C530" s="1562">
        <v>70034.0</v>
      </c>
      <c r="D530" s="355">
        <v>105.0</v>
      </c>
      <c r="E530" s="1195" t="s">
        <v>393</v>
      </c>
      <c r="F530" s="1210"/>
      <c r="G530" s="1210"/>
      <c r="H530" s="1492"/>
      <c r="I530" s="1492"/>
      <c r="J530" s="1492"/>
      <c r="K530" s="1492"/>
      <c r="L530" s="1492"/>
      <c r="M530" s="1492"/>
    </row>
    <row r="531">
      <c r="A531" s="355" t="s">
        <v>642</v>
      </c>
      <c r="B531" s="355" t="s">
        <v>393</v>
      </c>
      <c r="C531" s="1562">
        <v>7912.0</v>
      </c>
      <c r="D531" s="355">
        <v>18.0</v>
      </c>
      <c r="E531" s="1195" t="s">
        <v>393</v>
      </c>
      <c r="F531" s="1210"/>
      <c r="G531" s="1210"/>
      <c r="H531" s="1492"/>
      <c r="I531" s="1492"/>
      <c r="J531" s="1492"/>
      <c r="K531" s="1492"/>
      <c r="L531" s="1492"/>
      <c r="M531" s="1492"/>
    </row>
    <row r="532">
      <c r="A532" s="355" t="s">
        <v>643</v>
      </c>
      <c r="B532" s="355" t="s">
        <v>393</v>
      </c>
      <c r="C532" s="1562">
        <v>8188.0</v>
      </c>
      <c r="D532" s="355">
        <v>28.0</v>
      </c>
      <c r="E532" s="1195" t="s">
        <v>393</v>
      </c>
      <c r="F532" s="1210"/>
      <c r="G532" s="1210"/>
      <c r="H532" s="1492"/>
      <c r="I532" s="1492"/>
      <c r="J532" s="1492"/>
      <c r="K532" s="1492"/>
      <c r="L532" s="1492"/>
      <c r="M532" s="1492"/>
    </row>
    <row r="533">
      <c r="A533" s="355" t="s">
        <v>316</v>
      </c>
      <c r="B533" s="355" t="s">
        <v>393</v>
      </c>
      <c r="C533" s="1562">
        <v>24001.0</v>
      </c>
      <c r="D533" s="355">
        <v>41.0</v>
      </c>
      <c r="E533" s="1195" t="s">
        <v>393</v>
      </c>
      <c r="F533" s="1210"/>
      <c r="G533" s="1210"/>
      <c r="H533" s="1492"/>
      <c r="I533" s="1492"/>
      <c r="J533" s="1492"/>
      <c r="K533" s="1492"/>
      <c r="L533" s="1492"/>
      <c r="M533" s="1492"/>
    </row>
    <row r="534">
      <c r="A534" s="355" t="s">
        <v>644</v>
      </c>
      <c r="B534" s="355" t="s">
        <v>393</v>
      </c>
      <c r="C534" s="1562">
        <v>26215.0</v>
      </c>
      <c r="D534" s="355">
        <v>44.0</v>
      </c>
      <c r="E534" s="1195" t="s">
        <v>393</v>
      </c>
      <c r="F534" s="1210"/>
      <c r="G534" s="1210"/>
      <c r="H534" s="1492"/>
      <c r="I534" s="1492"/>
      <c r="J534" s="1492"/>
      <c r="K534" s="1492"/>
      <c r="L534" s="1492"/>
      <c r="M534" s="1492"/>
    </row>
    <row r="535">
      <c r="A535" s="355" t="s">
        <v>175</v>
      </c>
      <c r="B535" s="355" t="s">
        <v>393</v>
      </c>
      <c r="C535" s="1562">
        <v>69410.0</v>
      </c>
      <c r="D535" s="355">
        <v>97.0</v>
      </c>
      <c r="E535" s="1195" t="s">
        <v>393</v>
      </c>
      <c r="F535" s="1210"/>
      <c r="G535" s="1210"/>
      <c r="H535" s="1492"/>
      <c r="I535" s="1492"/>
      <c r="J535" s="1492"/>
      <c r="K535" s="1492"/>
      <c r="L535" s="1492"/>
      <c r="M535" s="1492"/>
    </row>
    <row r="536">
      <c r="A536" s="355" t="s">
        <v>530</v>
      </c>
      <c r="B536" s="355" t="s">
        <v>393</v>
      </c>
      <c r="C536" s="1562">
        <v>93503.0</v>
      </c>
      <c r="D536" s="355">
        <v>83.0</v>
      </c>
      <c r="E536" s="1195" t="s">
        <v>393</v>
      </c>
      <c r="F536" s="1210"/>
      <c r="G536" s="1210"/>
      <c r="H536" s="1492"/>
      <c r="I536" s="1492"/>
      <c r="J536" s="1492"/>
      <c r="K536" s="1492"/>
      <c r="L536" s="1492"/>
      <c r="M536" s="1492"/>
    </row>
    <row r="537">
      <c r="A537" s="355" t="s">
        <v>646</v>
      </c>
      <c r="B537" s="355" t="s">
        <v>393</v>
      </c>
      <c r="C537" s="1562">
        <v>35680.0</v>
      </c>
      <c r="D537" s="355">
        <v>79.0</v>
      </c>
      <c r="E537" s="1195" t="s">
        <v>393</v>
      </c>
      <c r="F537" s="1210"/>
      <c r="G537" s="1210"/>
      <c r="H537" s="1492"/>
      <c r="I537" s="1492"/>
      <c r="J537" s="1492"/>
      <c r="K537" s="1492"/>
      <c r="L537" s="1492"/>
      <c r="M537" s="1492"/>
    </row>
    <row r="538">
      <c r="A538" s="355" t="s">
        <v>647</v>
      </c>
      <c r="B538" s="355" t="s">
        <v>393</v>
      </c>
      <c r="C538" s="1562">
        <v>5251.0</v>
      </c>
      <c r="D538" s="355">
        <v>15.0</v>
      </c>
      <c r="E538" s="1195" t="s">
        <v>393</v>
      </c>
      <c r="F538" s="1210"/>
      <c r="G538" s="1210"/>
      <c r="H538" s="1492"/>
      <c r="I538" s="1492"/>
      <c r="J538" s="1492"/>
      <c r="K538" s="1492"/>
      <c r="L538" s="1492"/>
      <c r="M538" s="1492"/>
    </row>
    <row r="539">
      <c r="A539" s="355" t="s">
        <v>119</v>
      </c>
      <c r="B539" s="355" t="s">
        <v>393</v>
      </c>
      <c r="C539" s="1562">
        <v>20386.0</v>
      </c>
      <c r="D539" s="355">
        <v>43.0</v>
      </c>
      <c r="E539" s="1195" t="s">
        <v>393</v>
      </c>
      <c r="F539" s="1210"/>
      <c r="G539" s="1210"/>
      <c r="H539" s="1492"/>
      <c r="I539" s="1492"/>
      <c r="J539" s="1492"/>
      <c r="K539" s="1492"/>
      <c r="L539" s="1492"/>
      <c r="M539" s="1492"/>
    </row>
    <row r="540">
      <c r="A540" s="355" t="s">
        <v>273</v>
      </c>
      <c r="B540" s="355" t="s">
        <v>393</v>
      </c>
      <c r="C540" s="1562">
        <v>29808.0</v>
      </c>
      <c r="D540" s="355">
        <v>64.0</v>
      </c>
      <c r="E540" s="1195" t="s">
        <v>393</v>
      </c>
      <c r="F540" s="1210"/>
      <c r="G540" s="1210"/>
      <c r="H540" s="1492"/>
      <c r="I540" s="1492"/>
      <c r="J540" s="1492"/>
      <c r="K540" s="1492"/>
      <c r="L540" s="1492"/>
      <c r="M540" s="1492"/>
    </row>
    <row r="541">
      <c r="A541" s="355" t="s">
        <v>648</v>
      </c>
      <c r="B541" s="355" t="s">
        <v>393</v>
      </c>
      <c r="C541" s="1562">
        <v>2611.0</v>
      </c>
      <c r="D541" s="355">
        <v>7.0</v>
      </c>
      <c r="E541" s="1195" t="s">
        <v>393</v>
      </c>
      <c r="F541" s="1210"/>
      <c r="G541" s="1210"/>
      <c r="H541" s="1492"/>
      <c r="I541" s="1492"/>
      <c r="J541" s="1492"/>
      <c r="K541" s="1492"/>
      <c r="L541" s="1492"/>
      <c r="M541" s="1492"/>
    </row>
    <row r="542">
      <c r="A542" s="355" t="s">
        <v>649</v>
      </c>
      <c r="B542" s="355" t="s">
        <v>393</v>
      </c>
      <c r="C542" s="1562">
        <v>7879.0</v>
      </c>
      <c r="D542" s="355">
        <v>14.0</v>
      </c>
      <c r="E542" s="1195" t="s">
        <v>393</v>
      </c>
      <c r="F542" s="1210"/>
      <c r="G542" s="1210"/>
      <c r="H542" s="1492"/>
      <c r="I542" s="1492"/>
      <c r="J542" s="1492"/>
      <c r="K542" s="1492"/>
      <c r="L542" s="1492"/>
      <c r="M542" s="1492"/>
    </row>
    <row r="543">
      <c r="A543" s="355" t="s">
        <v>66</v>
      </c>
      <c r="B543" s="355" t="s">
        <v>393</v>
      </c>
      <c r="C543" s="1562">
        <v>29970.0</v>
      </c>
      <c r="D543" s="355">
        <v>34.0</v>
      </c>
      <c r="E543" s="1195" t="s">
        <v>393</v>
      </c>
      <c r="F543" s="1210"/>
      <c r="G543" s="1210"/>
      <c r="H543" s="1492"/>
      <c r="I543" s="1492"/>
      <c r="J543" s="1492"/>
      <c r="K543" s="1492"/>
      <c r="L543" s="1492"/>
      <c r="M543" s="1492"/>
    </row>
    <row r="544">
      <c r="A544" s="355" t="s">
        <v>651</v>
      </c>
      <c r="B544" s="355" t="s">
        <v>393</v>
      </c>
      <c r="C544" s="1562">
        <v>104062.0</v>
      </c>
      <c r="D544" s="355">
        <v>100.0</v>
      </c>
      <c r="E544" s="1195" t="s">
        <v>393</v>
      </c>
      <c r="F544" s="1210"/>
      <c r="G544" s="1210"/>
      <c r="H544" s="1492"/>
      <c r="I544" s="1492"/>
      <c r="J544" s="1492"/>
      <c r="K544" s="1492"/>
      <c r="L544" s="1492"/>
      <c r="M544" s="1492"/>
    </row>
    <row r="545">
      <c r="A545" s="355" t="s">
        <v>176</v>
      </c>
      <c r="B545" s="355" t="s">
        <v>393</v>
      </c>
      <c r="C545" s="1562">
        <v>8812.0</v>
      </c>
      <c r="D545" s="355">
        <v>17.0</v>
      </c>
      <c r="E545" s="1195" t="s">
        <v>393</v>
      </c>
      <c r="F545" s="1210"/>
      <c r="G545" s="1210"/>
      <c r="H545" s="1492"/>
      <c r="I545" s="1492"/>
      <c r="J545" s="1492"/>
      <c r="K545" s="1492"/>
      <c r="L545" s="1492"/>
      <c r="M545" s="1492"/>
    </row>
    <row r="546">
      <c r="A546" s="355" t="s">
        <v>653</v>
      </c>
      <c r="B546" s="355" t="s">
        <v>393</v>
      </c>
      <c r="C546" s="1562">
        <v>9876.0</v>
      </c>
      <c r="D546" s="355">
        <v>38.0</v>
      </c>
      <c r="E546" s="1195" t="s">
        <v>393</v>
      </c>
      <c r="F546" s="1210"/>
      <c r="G546" s="1210"/>
      <c r="H546" s="1492"/>
      <c r="I546" s="1492"/>
      <c r="J546" s="1492"/>
      <c r="K546" s="1492"/>
      <c r="L546" s="1492"/>
      <c r="M546" s="1492"/>
    </row>
    <row r="547">
      <c r="A547" s="355" t="s">
        <v>654</v>
      </c>
      <c r="B547" s="355" t="s">
        <v>393</v>
      </c>
      <c r="C547" s="1562">
        <v>9036.0</v>
      </c>
      <c r="D547" s="355">
        <v>39.0</v>
      </c>
      <c r="E547" s="1195" t="s">
        <v>393</v>
      </c>
      <c r="F547" s="1210"/>
      <c r="G547" s="1210"/>
      <c r="H547" s="1492"/>
      <c r="I547" s="1492"/>
      <c r="J547" s="1492"/>
      <c r="K547" s="1492"/>
      <c r="L547" s="1492"/>
      <c r="M547" s="1492"/>
    </row>
    <row r="548">
      <c r="A548" s="1501" t="s">
        <v>655</v>
      </c>
      <c r="B548" s="1501" t="s">
        <v>393</v>
      </c>
      <c r="C548" s="1564">
        <v>20299.0</v>
      </c>
      <c r="D548" s="1501">
        <v>35.0</v>
      </c>
      <c r="E548" s="1195" t="s">
        <v>393</v>
      </c>
      <c r="F548" s="1210"/>
      <c r="G548" s="1210"/>
      <c r="H548" s="1492"/>
      <c r="I548" s="1492"/>
      <c r="J548" s="1492"/>
      <c r="K548" s="1492"/>
      <c r="L548" s="1492"/>
      <c r="M548" s="1492"/>
      <c r="N548" s="1489"/>
      <c r="O548" s="1489"/>
      <c r="P548" s="1489"/>
      <c r="Q548" s="1489"/>
      <c r="R548" s="1489"/>
      <c r="S548" s="1489"/>
      <c r="T548" s="1489"/>
      <c r="U548" s="1489"/>
      <c r="V548" s="1489"/>
      <c r="W548" s="1489"/>
      <c r="X548" s="1489"/>
      <c r="Y548" s="1489"/>
      <c r="Z548" s="1489"/>
    </row>
    <row r="549">
      <c r="A549" s="1490" t="s">
        <v>45</v>
      </c>
      <c r="B549" s="1490" t="s">
        <v>420</v>
      </c>
      <c r="C549" s="1597">
        <v>200983.0</v>
      </c>
      <c r="D549" s="1490">
        <v>121.0</v>
      </c>
      <c r="E549" s="1195" t="s">
        <v>420</v>
      </c>
      <c r="F549" s="1210"/>
      <c r="G549" s="1210"/>
      <c r="H549" s="1492"/>
      <c r="I549" s="1492"/>
      <c r="J549" s="1492"/>
      <c r="K549" s="1492"/>
      <c r="L549" s="1492"/>
      <c r="M549" s="1492"/>
    </row>
    <row r="550">
      <c r="A550" s="1490" t="s">
        <v>419</v>
      </c>
      <c r="B550" s="1490" t="s">
        <v>420</v>
      </c>
      <c r="C550" s="1597">
        <v>980080.0</v>
      </c>
      <c r="D550" s="1490">
        <v>404.0</v>
      </c>
      <c r="E550" s="1195" t="s">
        <v>420</v>
      </c>
      <c r="F550" s="1210"/>
      <c r="G550" s="1210"/>
      <c r="H550" s="1492"/>
      <c r="I550" s="1492"/>
      <c r="J550" s="1492"/>
      <c r="K550" s="1492"/>
      <c r="L550" s="1492"/>
      <c r="M550" s="1492"/>
    </row>
    <row r="551">
      <c r="A551" s="1490" t="s">
        <v>657</v>
      </c>
      <c r="B551" s="1490" t="s">
        <v>420</v>
      </c>
      <c r="C551" s="1597">
        <v>88.0</v>
      </c>
      <c r="D551" s="1490" t="s">
        <v>63</v>
      </c>
      <c r="E551" s="1195" t="s">
        <v>420</v>
      </c>
      <c r="F551" s="1210"/>
      <c r="G551" s="1210"/>
      <c r="H551" s="1492"/>
      <c r="I551" s="1492"/>
      <c r="J551" s="1492"/>
      <c r="K551" s="1492"/>
      <c r="L551" s="1492"/>
      <c r="M551" s="1492"/>
    </row>
    <row r="552">
      <c r="A552" s="1490" t="s">
        <v>658</v>
      </c>
      <c r="B552" s="1490" t="s">
        <v>420</v>
      </c>
      <c r="C552" s="1597">
        <v>72133.0</v>
      </c>
      <c r="D552" s="1490">
        <v>55.0</v>
      </c>
      <c r="E552" s="1195" t="s">
        <v>420</v>
      </c>
      <c r="F552" s="1210"/>
      <c r="G552" s="1210"/>
      <c r="H552" s="1492"/>
      <c r="I552" s="1492"/>
      <c r="J552" s="1492"/>
      <c r="K552" s="1492"/>
      <c r="L552" s="1492"/>
      <c r="M552" s="1492"/>
    </row>
    <row r="553">
      <c r="A553" s="1496" t="s">
        <v>659</v>
      </c>
      <c r="B553" s="1496" t="s">
        <v>420</v>
      </c>
      <c r="C553" s="1598">
        <v>167207.0</v>
      </c>
      <c r="D553" s="1496">
        <v>97.0</v>
      </c>
      <c r="E553" s="1189"/>
      <c r="F553" s="1492"/>
      <c r="G553" s="1492"/>
      <c r="H553" s="1492"/>
      <c r="I553" s="1492"/>
      <c r="J553" s="1492"/>
      <c r="K553" s="1492"/>
      <c r="L553" s="1492"/>
      <c r="M553" s="1492"/>
      <c r="N553" s="1489"/>
      <c r="O553" s="1489"/>
      <c r="P553" s="1489"/>
      <c r="Q553" s="1489"/>
      <c r="R553" s="1489"/>
      <c r="S553" s="1489"/>
      <c r="T553" s="1489"/>
      <c r="U553" s="1489"/>
      <c r="V553" s="1489"/>
      <c r="W553" s="1489"/>
      <c r="X553" s="1489"/>
      <c r="Y553" s="1489"/>
      <c r="Z553" s="1489"/>
    </row>
    <row r="554">
      <c r="A554" s="1490" t="s">
        <v>661</v>
      </c>
      <c r="B554" s="1490" t="s">
        <v>660</v>
      </c>
      <c r="C554" s="1597">
        <v>469966.0</v>
      </c>
      <c r="D554" s="1490">
        <v>203.0</v>
      </c>
      <c r="E554" s="1195" t="s">
        <v>660</v>
      </c>
      <c r="F554" s="1210"/>
      <c r="G554" s="1210"/>
      <c r="H554" s="1492"/>
      <c r="I554" s="1492"/>
      <c r="J554" s="1492"/>
      <c r="K554" s="1492"/>
      <c r="L554" s="1492"/>
      <c r="M554" s="1492"/>
    </row>
    <row r="555">
      <c r="A555" s="1490" t="s">
        <v>386</v>
      </c>
      <c r="B555" s="1490" t="s">
        <v>660</v>
      </c>
      <c r="C555" s="1597">
        <v>4250.0</v>
      </c>
      <c r="D555" s="1490">
        <v>6.0</v>
      </c>
      <c r="E555" s="1195" t="s">
        <v>660</v>
      </c>
      <c r="F555" s="1210"/>
      <c r="G555" s="1210"/>
      <c r="H555" s="1492"/>
      <c r="I555" s="1492"/>
      <c r="J555" s="1492"/>
      <c r="K555" s="1492"/>
      <c r="L555" s="1492"/>
      <c r="M555" s="1492"/>
    </row>
    <row r="556">
      <c r="A556" s="1490" t="s">
        <v>662</v>
      </c>
      <c r="B556" s="1490" t="s">
        <v>660</v>
      </c>
      <c r="C556" s="1597">
        <v>87138.0</v>
      </c>
      <c r="D556" s="1490">
        <v>71.0</v>
      </c>
      <c r="E556" s="1195" t="s">
        <v>660</v>
      </c>
      <c r="F556" s="1210"/>
      <c r="G556" s="1210"/>
      <c r="H556" s="1492"/>
      <c r="I556" s="1492"/>
      <c r="J556" s="1492"/>
      <c r="K556" s="1492"/>
      <c r="L556" s="1492"/>
      <c r="M556" s="1492"/>
    </row>
    <row r="557">
      <c r="A557" s="1490" t="s">
        <v>663</v>
      </c>
      <c r="B557" s="1490" t="s">
        <v>660</v>
      </c>
      <c r="C557" s="1597">
        <v>6050.0</v>
      </c>
      <c r="D557" s="1490">
        <v>16.0</v>
      </c>
      <c r="E557" s="1195" t="s">
        <v>660</v>
      </c>
      <c r="F557" s="1210"/>
      <c r="G557" s="1210"/>
      <c r="H557" s="1492"/>
      <c r="I557" s="1492"/>
      <c r="J557" s="1492"/>
      <c r="K557" s="1492"/>
      <c r="L557" s="1492"/>
      <c r="M557" s="1492"/>
    </row>
    <row r="558">
      <c r="A558" s="1490" t="s">
        <v>664</v>
      </c>
      <c r="B558" s="1490" t="s">
        <v>660</v>
      </c>
      <c r="C558" s="1597">
        <v>9226.0</v>
      </c>
      <c r="D558" s="1490">
        <v>13.0</v>
      </c>
      <c r="E558" s="1195" t="s">
        <v>660</v>
      </c>
      <c r="F558" s="1210"/>
      <c r="G558" s="1210"/>
      <c r="H558" s="1492"/>
      <c r="I558" s="1492"/>
      <c r="J558" s="1492"/>
      <c r="K558" s="1492"/>
      <c r="L558" s="1492"/>
      <c r="M558" s="1492"/>
    </row>
    <row r="559">
      <c r="A559" s="1490" t="s">
        <v>665</v>
      </c>
      <c r="B559" s="1490" t="s">
        <v>660</v>
      </c>
      <c r="C559" s="1597">
        <v>46236.0</v>
      </c>
      <c r="D559" s="1490">
        <v>35.0</v>
      </c>
      <c r="E559" s="1195" t="s">
        <v>660</v>
      </c>
      <c r="F559" s="1210"/>
      <c r="G559" s="1210"/>
      <c r="H559" s="1492"/>
      <c r="I559" s="1492"/>
      <c r="J559" s="1492"/>
      <c r="K559" s="1492"/>
      <c r="L559" s="1492"/>
      <c r="M559" s="1492"/>
    </row>
    <row r="560">
      <c r="A560" s="1490" t="s">
        <v>666</v>
      </c>
      <c r="B560" s="1490" t="s">
        <v>660</v>
      </c>
      <c r="C560" s="1597">
        <v>22601.0</v>
      </c>
      <c r="D560" s="1490">
        <v>10.0</v>
      </c>
      <c r="E560" s="1195" t="s">
        <v>660</v>
      </c>
      <c r="F560" s="1210"/>
      <c r="G560" s="1210"/>
      <c r="H560" s="1492"/>
      <c r="I560" s="1492"/>
      <c r="J560" s="1492"/>
      <c r="K560" s="1492"/>
      <c r="L560" s="1492"/>
      <c r="M560" s="1492"/>
    </row>
    <row r="561">
      <c r="A561" s="1490" t="s">
        <v>667</v>
      </c>
      <c r="B561" s="1490" t="s">
        <v>660</v>
      </c>
      <c r="C561" s="1597">
        <v>7634.0</v>
      </c>
      <c r="D561" s="1490">
        <v>15.0</v>
      </c>
      <c r="E561" s="1195" t="s">
        <v>660</v>
      </c>
      <c r="F561" s="1210"/>
      <c r="G561" s="1210"/>
      <c r="H561" s="1492"/>
      <c r="I561" s="1492"/>
      <c r="J561" s="1492"/>
      <c r="K561" s="1492"/>
      <c r="L561" s="1492"/>
      <c r="M561" s="1492"/>
    </row>
    <row r="562">
      <c r="A562" s="1490" t="s">
        <v>668</v>
      </c>
      <c r="B562" s="1490" t="s">
        <v>660</v>
      </c>
      <c r="C562" s="1597">
        <v>44727.0</v>
      </c>
      <c r="D562" s="1490">
        <v>42.0</v>
      </c>
      <c r="E562" s="1195" t="s">
        <v>660</v>
      </c>
      <c r="F562" s="1210"/>
      <c r="G562" s="1210"/>
      <c r="H562" s="1492"/>
      <c r="I562" s="1492"/>
      <c r="J562" s="1492"/>
      <c r="K562" s="1492"/>
      <c r="L562" s="1492"/>
      <c r="M562" s="1492"/>
    </row>
    <row r="563">
      <c r="A563" s="1490" t="s">
        <v>669</v>
      </c>
      <c r="B563" s="1490" t="s">
        <v>660</v>
      </c>
      <c r="C563" s="1597">
        <v>116854.0</v>
      </c>
      <c r="D563" s="1490">
        <v>62.0</v>
      </c>
      <c r="E563" s="1195" t="s">
        <v>660</v>
      </c>
      <c r="F563" s="1210"/>
      <c r="G563" s="1210"/>
      <c r="H563" s="1492"/>
      <c r="I563" s="1492"/>
      <c r="J563" s="1492"/>
      <c r="K563" s="1492"/>
      <c r="L563" s="1492"/>
      <c r="M563" s="1492"/>
    </row>
    <row r="564">
      <c r="A564" s="1490" t="s">
        <v>670</v>
      </c>
      <c r="B564" s="1490" t="s">
        <v>660</v>
      </c>
      <c r="C564" s="1597">
        <v>11948.0</v>
      </c>
      <c r="D564" s="1490">
        <v>21.0</v>
      </c>
      <c r="E564" s="1195" t="s">
        <v>660</v>
      </c>
      <c r="F564" s="1210"/>
      <c r="G564" s="1210"/>
      <c r="H564" s="1492"/>
      <c r="I564" s="1492"/>
      <c r="J564" s="1492"/>
      <c r="K564" s="1492"/>
      <c r="L564" s="1492"/>
      <c r="M564" s="1492"/>
    </row>
    <row r="565">
      <c r="A565" s="1490" t="s">
        <v>324</v>
      </c>
      <c r="B565" s="1490" t="s">
        <v>660</v>
      </c>
      <c r="C565" s="1597">
        <v>2611.0</v>
      </c>
      <c r="D565" s="1490">
        <v>10.0</v>
      </c>
      <c r="E565" s="1195" t="s">
        <v>660</v>
      </c>
      <c r="F565" s="1210"/>
      <c r="G565" s="1210"/>
      <c r="H565" s="1492"/>
      <c r="I565" s="1492"/>
      <c r="J565" s="1492"/>
      <c r="K565" s="1492"/>
      <c r="L565" s="1492"/>
      <c r="M565" s="1492"/>
    </row>
    <row r="566">
      <c r="A566" s="1490" t="s">
        <v>671</v>
      </c>
      <c r="B566" s="1490" t="s">
        <v>660</v>
      </c>
      <c r="C566" s="1597">
        <v>1127.0</v>
      </c>
      <c r="D566" s="1490">
        <v>2.0</v>
      </c>
      <c r="E566" s="1195" t="s">
        <v>660</v>
      </c>
      <c r="F566" s="1210"/>
      <c r="G566" s="1210"/>
      <c r="H566" s="1492"/>
      <c r="I566" s="1492"/>
      <c r="J566" s="1492"/>
      <c r="K566" s="1492"/>
      <c r="L566" s="1492"/>
      <c r="M566" s="1492"/>
    </row>
    <row r="567">
      <c r="A567" s="1490" t="s">
        <v>672</v>
      </c>
      <c r="B567" s="1490" t="s">
        <v>660</v>
      </c>
      <c r="C567" s="1597">
        <v>223499.0</v>
      </c>
      <c r="D567" s="1490">
        <v>120.0</v>
      </c>
      <c r="E567" s="1195" t="s">
        <v>660</v>
      </c>
      <c r="F567" s="1210"/>
      <c r="G567" s="1210"/>
      <c r="H567" s="1492"/>
      <c r="I567" s="1492"/>
      <c r="J567" s="1492"/>
      <c r="K567" s="1492"/>
      <c r="L567" s="1492"/>
      <c r="M567" s="1492"/>
    </row>
    <row r="568">
      <c r="A568" s="1490" t="s">
        <v>673</v>
      </c>
      <c r="B568" s="1490" t="s">
        <v>660</v>
      </c>
      <c r="C568" s="1597">
        <v>7060.0</v>
      </c>
      <c r="D568" s="1490">
        <v>11.0</v>
      </c>
      <c r="E568" s="1195" t="s">
        <v>660</v>
      </c>
      <c r="F568" s="1210"/>
      <c r="G568" s="1210"/>
      <c r="H568" s="1492"/>
      <c r="I568" s="1492"/>
      <c r="J568" s="1492"/>
      <c r="K568" s="1492"/>
      <c r="L568" s="1492"/>
      <c r="M568" s="1492"/>
    </row>
    <row r="569">
      <c r="A569" s="1490" t="s">
        <v>674</v>
      </c>
      <c r="B569" s="1490" t="s">
        <v>660</v>
      </c>
      <c r="C569" s="1597">
        <v>23864.0</v>
      </c>
      <c r="D569" s="1490">
        <v>35.0</v>
      </c>
      <c r="E569" s="1195" t="s">
        <v>660</v>
      </c>
      <c r="F569" s="1210"/>
      <c r="G569" s="1210"/>
      <c r="H569" s="1492"/>
      <c r="I569" s="1492"/>
      <c r="J569" s="1492"/>
      <c r="K569" s="1492"/>
      <c r="L569" s="1492"/>
      <c r="M569" s="1492"/>
    </row>
    <row r="570">
      <c r="A570" s="1490" t="s">
        <v>253</v>
      </c>
      <c r="B570" s="1490" t="s">
        <v>660</v>
      </c>
      <c r="C570" s="1597">
        <v>852.0</v>
      </c>
      <c r="D570" s="1490">
        <v>3.0</v>
      </c>
      <c r="E570" s="1195" t="s">
        <v>660</v>
      </c>
      <c r="F570" s="1210"/>
      <c r="G570" s="1210"/>
      <c r="H570" s="1492"/>
      <c r="I570" s="1492"/>
      <c r="J570" s="1492"/>
      <c r="K570" s="1492"/>
      <c r="L570" s="1492"/>
      <c r="M570" s="1492"/>
    </row>
    <row r="571">
      <c r="A571" s="1490" t="s">
        <v>675</v>
      </c>
      <c r="B571" s="1490" t="s">
        <v>660</v>
      </c>
      <c r="C571" s="1597">
        <v>8758.0</v>
      </c>
      <c r="D571" s="1490">
        <v>16.0</v>
      </c>
      <c r="E571" s="1195" t="s">
        <v>660</v>
      </c>
      <c r="F571" s="1210"/>
      <c r="G571" s="1210"/>
      <c r="H571" s="1492"/>
      <c r="I571" s="1492"/>
      <c r="J571" s="1492"/>
      <c r="K571" s="1492"/>
      <c r="L571" s="1492"/>
      <c r="M571" s="1492"/>
    </row>
    <row r="572">
      <c r="A572" s="1490" t="s">
        <v>406</v>
      </c>
      <c r="B572" s="1490" t="s">
        <v>660</v>
      </c>
      <c r="C572" s="1597">
        <v>4280.0</v>
      </c>
      <c r="D572" s="1490">
        <v>6.0</v>
      </c>
      <c r="E572" s="1195" t="s">
        <v>660</v>
      </c>
      <c r="F572" s="1210"/>
      <c r="G572" s="1210"/>
      <c r="H572" s="1492"/>
      <c r="I572" s="1492"/>
      <c r="J572" s="1492"/>
      <c r="K572" s="1492"/>
      <c r="L572" s="1492"/>
      <c r="M572" s="1492"/>
    </row>
    <row r="573">
      <c r="A573" s="1490" t="s">
        <v>132</v>
      </c>
      <c r="B573" s="1490" t="s">
        <v>660</v>
      </c>
      <c r="C573" s="1597">
        <v>27259.0</v>
      </c>
      <c r="D573" s="1490">
        <v>25.0</v>
      </c>
      <c r="E573" s="1195" t="s">
        <v>660</v>
      </c>
      <c r="F573" s="1210"/>
      <c r="G573" s="1210"/>
      <c r="H573" s="1492"/>
      <c r="I573" s="1492"/>
      <c r="J573" s="1492"/>
      <c r="K573" s="1492"/>
      <c r="L573" s="1492"/>
      <c r="M573" s="1492"/>
    </row>
    <row r="574">
      <c r="A574" s="1490" t="s">
        <v>136</v>
      </c>
      <c r="B574" s="1490" t="s">
        <v>660</v>
      </c>
      <c r="C574" s="1597">
        <v>13726.0</v>
      </c>
      <c r="D574" s="1490">
        <v>8.0</v>
      </c>
      <c r="E574" s="1195" t="s">
        <v>660</v>
      </c>
      <c r="F574" s="1210"/>
      <c r="G574" s="1210"/>
      <c r="H574" s="1492"/>
      <c r="I574" s="1492"/>
      <c r="J574" s="1492"/>
      <c r="K574" s="1492"/>
      <c r="L574" s="1492"/>
      <c r="M574" s="1492"/>
    </row>
    <row r="575">
      <c r="A575" s="1490" t="s">
        <v>416</v>
      </c>
      <c r="B575" s="1490" t="s">
        <v>660</v>
      </c>
      <c r="C575" s="1597">
        <v>13168.0</v>
      </c>
      <c r="D575" s="1490">
        <v>17.0</v>
      </c>
      <c r="E575" s="1195" t="s">
        <v>660</v>
      </c>
      <c r="F575" s="1210"/>
      <c r="G575" s="1210"/>
      <c r="H575" s="1492"/>
      <c r="I575" s="1492"/>
      <c r="J575" s="1492"/>
      <c r="K575" s="1492"/>
      <c r="L575" s="1492"/>
      <c r="M575" s="1492"/>
    </row>
    <row r="576">
      <c r="A576" s="1490" t="s">
        <v>676</v>
      </c>
      <c r="B576" s="1490" t="s">
        <v>660</v>
      </c>
      <c r="C576" s="1597">
        <v>17634.0</v>
      </c>
      <c r="D576" s="1490">
        <v>17.0</v>
      </c>
      <c r="E576" s="1195" t="s">
        <v>660</v>
      </c>
      <c r="F576" s="1210"/>
      <c r="G576" s="1210"/>
      <c r="H576" s="1492"/>
      <c r="I576" s="1492"/>
      <c r="J576" s="1492"/>
      <c r="K576" s="1492"/>
      <c r="L576" s="1492"/>
      <c r="M576" s="1492"/>
    </row>
    <row r="577">
      <c r="A577" s="1490" t="s">
        <v>677</v>
      </c>
      <c r="B577" s="1490" t="s">
        <v>660</v>
      </c>
      <c r="C577" s="1597">
        <v>15196.0</v>
      </c>
      <c r="D577" s="1490">
        <v>18.0</v>
      </c>
      <c r="E577" s="1195" t="s">
        <v>660</v>
      </c>
      <c r="F577" s="1210"/>
      <c r="G577" s="1210"/>
      <c r="H577" s="1492"/>
      <c r="I577" s="1492"/>
      <c r="J577" s="1492"/>
      <c r="K577" s="1492"/>
      <c r="L577" s="1492"/>
      <c r="M577" s="1492"/>
    </row>
    <row r="578">
      <c r="A578" s="1490" t="s">
        <v>47</v>
      </c>
      <c r="B578" s="1490" t="s">
        <v>660</v>
      </c>
      <c r="C578" s="1597">
        <v>16513.0</v>
      </c>
      <c r="D578" s="1490">
        <v>27.0</v>
      </c>
      <c r="E578" s="1195" t="s">
        <v>660</v>
      </c>
      <c r="F578" s="1210"/>
      <c r="G578" s="1210"/>
      <c r="H578" s="1492"/>
      <c r="I578" s="1492"/>
      <c r="J578" s="1492"/>
      <c r="K578" s="1492"/>
      <c r="L578" s="1492"/>
      <c r="M578" s="1492"/>
    </row>
    <row r="579">
      <c r="A579" s="1490" t="s">
        <v>143</v>
      </c>
      <c r="B579" s="1490" t="s">
        <v>660</v>
      </c>
      <c r="C579" s="1597">
        <v>29439.0</v>
      </c>
      <c r="D579" s="1490">
        <v>20.0</v>
      </c>
      <c r="E579" s="1195" t="s">
        <v>660</v>
      </c>
      <c r="F579" s="1210"/>
      <c r="G579" s="1210"/>
      <c r="H579" s="1492"/>
      <c r="I579" s="1492"/>
      <c r="J579" s="1492"/>
      <c r="K579" s="1492"/>
      <c r="L579" s="1492"/>
      <c r="M579" s="1492"/>
    </row>
    <row r="580">
      <c r="A580" s="1490" t="s">
        <v>678</v>
      </c>
      <c r="B580" s="1490" t="s">
        <v>660</v>
      </c>
      <c r="C580" s="1597">
        <v>24015.0</v>
      </c>
      <c r="D580" s="1490">
        <v>18.0</v>
      </c>
      <c r="E580" s="1195" t="s">
        <v>660</v>
      </c>
      <c r="F580" s="1210"/>
      <c r="G580" s="1210"/>
      <c r="H580" s="1492"/>
      <c r="I580" s="1492"/>
      <c r="J580" s="1492"/>
      <c r="K580" s="1492"/>
      <c r="L580" s="1492"/>
      <c r="M580" s="1492"/>
    </row>
    <row r="581">
      <c r="A581" s="1490" t="s">
        <v>679</v>
      </c>
      <c r="B581" s="1490" t="s">
        <v>660</v>
      </c>
      <c r="C581" s="1597">
        <v>161505.0</v>
      </c>
      <c r="D581" s="1490">
        <v>91.0</v>
      </c>
      <c r="E581" s="1195" t="s">
        <v>660</v>
      </c>
      <c r="F581" s="1210"/>
      <c r="G581" s="1210"/>
      <c r="H581" s="1492"/>
      <c r="I581" s="1492"/>
      <c r="J581" s="1492"/>
      <c r="K581" s="1492"/>
      <c r="L581" s="1492"/>
      <c r="M581" s="1492"/>
    </row>
    <row r="582">
      <c r="A582" s="1490" t="s">
        <v>680</v>
      </c>
      <c r="B582" s="1490" t="s">
        <v>660</v>
      </c>
      <c r="C582" s="1597">
        <v>40134.0</v>
      </c>
      <c r="D582" s="1490">
        <v>31.0</v>
      </c>
      <c r="E582" s="1195" t="s">
        <v>660</v>
      </c>
      <c r="F582" s="1210"/>
      <c r="G582" s="1210"/>
      <c r="H582" s="1492"/>
      <c r="I582" s="1492"/>
      <c r="J582" s="1492"/>
      <c r="K582" s="1492"/>
      <c r="L582" s="1492"/>
      <c r="M582" s="1492"/>
    </row>
    <row r="583">
      <c r="A583" s="1490" t="s">
        <v>681</v>
      </c>
      <c r="B583" s="1490" t="s">
        <v>660</v>
      </c>
      <c r="C583" s="1597">
        <v>7961.0</v>
      </c>
      <c r="D583" s="1490">
        <v>15.0</v>
      </c>
      <c r="E583" s="1195" t="s">
        <v>660</v>
      </c>
      <c r="F583" s="1210"/>
      <c r="G583" s="1210"/>
      <c r="H583" s="1492"/>
      <c r="I583" s="1492"/>
      <c r="J583" s="1492"/>
      <c r="K583" s="1492"/>
      <c r="L583" s="1492"/>
      <c r="M583" s="1492"/>
    </row>
    <row r="584">
      <c r="A584" s="1490" t="s">
        <v>682</v>
      </c>
      <c r="B584" s="1490" t="s">
        <v>660</v>
      </c>
      <c r="C584" s="1597">
        <v>3861.0</v>
      </c>
      <c r="D584" s="1490">
        <v>13.0</v>
      </c>
      <c r="E584" s="1195" t="s">
        <v>660</v>
      </c>
      <c r="F584" s="1210"/>
      <c r="G584" s="1210"/>
      <c r="H584" s="1492"/>
      <c r="I584" s="1492"/>
      <c r="J584" s="1492"/>
      <c r="K584" s="1492"/>
      <c r="L584" s="1492"/>
      <c r="M584" s="1492"/>
    </row>
    <row r="585">
      <c r="A585" s="1490" t="s">
        <v>290</v>
      </c>
      <c r="B585" s="1490" t="s">
        <v>660</v>
      </c>
      <c r="C585" s="1597">
        <v>5360.0</v>
      </c>
      <c r="D585" s="1490">
        <v>6.0</v>
      </c>
      <c r="E585" s="1195" t="s">
        <v>660</v>
      </c>
      <c r="F585" s="1210"/>
      <c r="G585" s="1210"/>
      <c r="H585" s="1492"/>
      <c r="I585" s="1492"/>
      <c r="J585" s="1492"/>
      <c r="K585" s="1492"/>
      <c r="L585" s="1492"/>
      <c r="M585" s="1492"/>
    </row>
    <row r="586">
      <c r="A586" s="1490" t="s">
        <v>151</v>
      </c>
      <c r="B586" s="1490" t="s">
        <v>660</v>
      </c>
      <c r="C586" s="1597">
        <v>39304.0</v>
      </c>
      <c r="D586" s="1490">
        <v>25.0</v>
      </c>
      <c r="E586" s="1195" t="s">
        <v>660</v>
      </c>
      <c r="F586" s="1210"/>
      <c r="G586" s="1210"/>
      <c r="H586" s="1492"/>
      <c r="I586" s="1492"/>
      <c r="J586" s="1492"/>
      <c r="K586" s="1492"/>
      <c r="L586" s="1492"/>
      <c r="M586" s="1492"/>
    </row>
    <row r="587">
      <c r="A587" s="1490" t="s">
        <v>683</v>
      </c>
      <c r="B587" s="1490" t="s">
        <v>660</v>
      </c>
      <c r="C587" s="1597">
        <v>20825.0</v>
      </c>
      <c r="D587" s="1490">
        <v>27.0</v>
      </c>
      <c r="E587" s="1195" t="s">
        <v>660</v>
      </c>
      <c r="F587" s="1210"/>
      <c r="G587" s="1210"/>
      <c r="H587" s="1492"/>
      <c r="I587" s="1492"/>
      <c r="J587" s="1492"/>
      <c r="K587" s="1492"/>
      <c r="L587" s="1492"/>
      <c r="M587" s="1492"/>
    </row>
    <row r="588">
      <c r="A588" s="1490" t="s">
        <v>684</v>
      </c>
      <c r="B588" s="1490" t="s">
        <v>660</v>
      </c>
      <c r="C588" s="1597">
        <v>40408.0</v>
      </c>
      <c r="D588" s="1490">
        <v>35.0</v>
      </c>
      <c r="E588" s="1195" t="s">
        <v>660</v>
      </c>
      <c r="F588" s="1210"/>
      <c r="G588" s="1210"/>
      <c r="H588" s="1492"/>
      <c r="I588" s="1492"/>
      <c r="J588" s="1492"/>
      <c r="K588" s="1492"/>
      <c r="L588" s="1492"/>
      <c r="M588" s="1492"/>
    </row>
    <row r="589">
      <c r="A589" s="1490" t="s">
        <v>685</v>
      </c>
      <c r="B589" s="1490" t="s">
        <v>660</v>
      </c>
      <c r="C589" s="1597">
        <v>4488.0</v>
      </c>
      <c r="D589" s="1490">
        <v>6.0</v>
      </c>
      <c r="E589" s="1195" t="s">
        <v>660</v>
      </c>
      <c r="F589" s="1210"/>
      <c r="G589" s="1210"/>
      <c r="H589" s="1492"/>
      <c r="I589" s="1492"/>
      <c r="J589" s="1492"/>
      <c r="K589" s="1492"/>
      <c r="L589" s="1492"/>
      <c r="M589" s="1492"/>
    </row>
    <row r="590">
      <c r="A590" s="1490" t="s">
        <v>686</v>
      </c>
      <c r="B590" s="1490" t="s">
        <v>660</v>
      </c>
      <c r="C590" s="1597">
        <v>11693.0</v>
      </c>
      <c r="D590" s="1490">
        <v>12.0</v>
      </c>
      <c r="E590" s="1195" t="s">
        <v>660</v>
      </c>
      <c r="F590" s="1210"/>
      <c r="G590" s="1210"/>
      <c r="H590" s="1492"/>
      <c r="I590" s="1492"/>
      <c r="J590" s="1492"/>
      <c r="K590" s="1492"/>
      <c r="L590" s="1492"/>
      <c r="M590" s="1492"/>
    </row>
    <row r="591">
      <c r="A591" s="1490" t="s">
        <v>687</v>
      </c>
      <c r="B591" s="1490" t="s">
        <v>660</v>
      </c>
      <c r="C591" s="1597">
        <v>23551.0</v>
      </c>
      <c r="D591" s="1490">
        <v>32.0</v>
      </c>
      <c r="E591" s="1195" t="s">
        <v>660</v>
      </c>
      <c r="F591" s="1210"/>
      <c r="G591" s="1210"/>
      <c r="H591" s="1492"/>
      <c r="I591" s="1492"/>
      <c r="J591" s="1492"/>
      <c r="K591" s="1492"/>
      <c r="L591" s="1492"/>
      <c r="M591" s="1492"/>
    </row>
    <row r="592">
      <c r="A592" s="1490" t="s">
        <v>688</v>
      </c>
      <c r="B592" s="1490" t="s">
        <v>660</v>
      </c>
      <c r="C592" s="1597">
        <v>7768.0</v>
      </c>
      <c r="D592" s="1490">
        <v>10.0</v>
      </c>
      <c r="E592" s="1195" t="s">
        <v>660</v>
      </c>
      <c r="F592" s="1210"/>
      <c r="G592" s="1210"/>
      <c r="H592" s="1492"/>
      <c r="I592" s="1492"/>
      <c r="J592" s="1492"/>
      <c r="K592" s="1492"/>
      <c r="L592" s="1492"/>
      <c r="M592" s="1492"/>
    </row>
    <row r="593">
      <c r="A593" s="1490" t="s">
        <v>689</v>
      </c>
      <c r="B593" s="1490" t="s">
        <v>660</v>
      </c>
      <c r="C593" s="1597">
        <v>12796.0</v>
      </c>
      <c r="D593" s="1490">
        <v>17.0</v>
      </c>
      <c r="E593" s="1195" t="s">
        <v>660</v>
      </c>
      <c r="F593" s="1210"/>
      <c r="G593" s="1210"/>
      <c r="H593" s="1492"/>
      <c r="I593" s="1492"/>
      <c r="J593" s="1492"/>
      <c r="K593" s="1492"/>
      <c r="L593" s="1492"/>
      <c r="M593" s="1492"/>
    </row>
    <row r="594">
      <c r="A594" s="1490" t="s">
        <v>690</v>
      </c>
      <c r="B594" s="1490" t="s">
        <v>660</v>
      </c>
      <c r="C594" s="1597">
        <v>11640.0</v>
      </c>
      <c r="D594" s="1490">
        <v>4.0</v>
      </c>
      <c r="E594" s="1195" t="s">
        <v>660</v>
      </c>
      <c r="F594" s="1210"/>
      <c r="G594" s="1210"/>
      <c r="H594" s="1492"/>
      <c r="I594" s="1492"/>
      <c r="J594" s="1492"/>
      <c r="K594" s="1492"/>
      <c r="L594" s="1492"/>
      <c r="M594" s="1492"/>
    </row>
    <row r="595">
      <c r="A595" s="1490" t="s">
        <v>691</v>
      </c>
      <c r="B595" s="1490" t="s">
        <v>660</v>
      </c>
      <c r="C595" s="1597">
        <v>86081.0</v>
      </c>
      <c r="D595" s="1490">
        <v>78.0</v>
      </c>
      <c r="E595" s="1195" t="s">
        <v>660</v>
      </c>
      <c r="F595" s="1210"/>
      <c r="G595" s="1210"/>
      <c r="H595" s="1492"/>
      <c r="I595" s="1492"/>
      <c r="J595" s="1492"/>
      <c r="K595" s="1492"/>
      <c r="L595" s="1492"/>
      <c r="M595" s="1492"/>
    </row>
    <row r="596">
      <c r="A596" s="1490" t="s">
        <v>692</v>
      </c>
      <c r="B596" s="1490" t="s">
        <v>660</v>
      </c>
      <c r="C596" s="1597">
        <v>11041.0</v>
      </c>
      <c r="D596" s="1490">
        <v>14.0</v>
      </c>
      <c r="E596" s="1195" t="s">
        <v>660</v>
      </c>
      <c r="F596" s="1210"/>
      <c r="G596" s="1210"/>
      <c r="H596" s="1492"/>
      <c r="I596" s="1492"/>
      <c r="J596" s="1492"/>
      <c r="K596" s="1492"/>
      <c r="L596" s="1492"/>
      <c r="M596" s="1492"/>
    </row>
    <row r="597">
      <c r="A597" s="1496" t="s">
        <v>119</v>
      </c>
      <c r="B597" s="1496" t="s">
        <v>660</v>
      </c>
      <c r="C597" s="1598">
        <v>10161.0</v>
      </c>
      <c r="D597" s="1496">
        <v>12.0</v>
      </c>
      <c r="E597" s="1195" t="s">
        <v>660</v>
      </c>
      <c r="F597" s="1210"/>
      <c r="G597" s="1210"/>
      <c r="H597" s="1492"/>
      <c r="I597" s="1492"/>
      <c r="J597" s="1492"/>
      <c r="K597" s="1492"/>
      <c r="L597" s="1492"/>
      <c r="M597" s="1492"/>
      <c r="N597" s="1489"/>
      <c r="O597" s="1489"/>
      <c r="P597" s="1489"/>
      <c r="Q597" s="1489"/>
      <c r="R597" s="1489"/>
      <c r="S597" s="1489"/>
      <c r="T597" s="1489"/>
      <c r="U597" s="1489"/>
      <c r="V597" s="1489"/>
      <c r="W597" s="1489"/>
      <c r="X597" s="1489"/>
      <c r="Y597" s="1489"/>
      <c r="Z597" s="1489"/>
    </row>
    <row r="598">
      <c r="A598" s="355" t="s">
        <v>386</v>
      </c>
      <c r="B598" s="355" t="s">
        <v>203</v>
      </c>
      <c r="C598" s="1562">
        <v>65691.0</v>
      </c>
      <c r="D598" s="355">
        <v>75.0</v>
      </c>
      <c r="E598" s="1195" t="s">
        <v>203</v>
      </c>
      <c r="F598" s="1210"/>
      <c r="G598" s="1210"/>
      <c r="H598" s="1492"/>
      <c r="I598" s="1492"/>
      <c r="J598" s="1492"/>
      <c r="K598" s="1492"/>
      <c r="L598" s="1492"/>
      <c r="M598" s="1492"/>
    </row>
    <row r="599">
      <c r="A599" s="355" t="s">
        <v>704</v>
      </c>
      <c r="B599" s="355" t="s">
        <v>203</v>
      </c>
      <c r="C599" s="1562">
        <v>6060.0</v>
      </c>
      <c r="D599" s="355">
        <v>6.0</v>
      </c>
      <c r="E599" s="1195" t="s">
        <v>203</v>
      </c>
      <c r="F599" s="1210"/>
      <c r="G599" s="1210"/>
      <c r="H599" s="1492"/>
      <c r="I599" s="1492"/>
      <c r="J599" s="1492"/>
      <c r="K599" s="1492"/>
      <c r="L599" s="1492"/>
      <c r="M599" s="1492"/>
    </row>
    <row r="600">
      <c r="A600" s="355" t="s">
        <v>705</v>
      </c>
      <c r="B600" s="355" t="s">
        <v>203</v>
      </c>
      <c r="C600" s="1562">
        <v>16630.0</v>
      </c>
      <c r="D600" s="355">
        <v>24.0</v>
      </c>
      <c r="E600" s="1195" t="s">
        <v>203</v>
      </c>
      <c r="F600" s="1210"/>
      <c r="G600" s="1210"/>
      <c r="H600" s="1492"/>
      <c r="I600" s="1492"/>
      <c r="J600" s="1492"/>
      <c r="K600" s="1492"/>
      <c r="L600" s="1492"/>
      <c r="M600" s="1492"/>
    </row>
    <row r="601">
      <c r="A601" s="355" t="s">
        <v>246</v>
      </c>
      <c r="B601" s="355" t="s">
        <v>203</v>
      </c>
      <c r="C601" s="1562">
        <v>53577.0</v>
      </c>
      <c r="D601" s="355">
        <v>27.0</v>
      </c>
      <c r="E601" s="1195" t="s">
        <v>203</v>
      </c>
      <c r="F601" s="1210"/>
      <c r="G601" s="1210"/>
      <c r="H601" s="1492"/>
      <c r="I601" s="1492"/>
      <c r="J601" s="1492"/>
      <c r="K601" s="1492"/>
      <c r="L601" s="1492"/>
      <c r="M601" s="1492"/>
    </row>
    <row r="602">
      <c r="A602" s="355" t="s">
        <v>706</v>
      </c>
      <c r="B602" s="355" t="s">
        <v>203</v>
      </c>
      <c r="C602" s="1562">
        <v>6556.0</v>
      </c>
      <c r="D602" s="355">
        <v>7.0</v>
      </c>
      <c r="E602" s="1195" t="s">
        <v>203</v>
      </c>
      <c r="F602" s="1210"/>
      <c r="G602" s="1210"/>
      <c r="H602" s="1492"/>
      <c r="I602" s="1492"/>
      <c r="J602" s="1492"/>
      <c r="K602" s="1492"/>
      <c r="L602" s="1492"/>
      <c r="M602" s="1492"/>
    </row>
    <row r="603">
      <c r="A603" s="355" t="s">
        <v>707</v>
      </c>
      <c r="B603" s="355" t="s">
        <v>203</v>
      </c>
      <c r="C603" s="1562">
        <v>32993.0</v>
      </c>
      <c r="D603" s="355">
        <v>65.0</v>
      </c>
      <c r="E603" s="1195" t="s">
        <v>203</v>
      </c>
      <c r="F603" s="1210"/>
      <c r="G603" s="1210"/>
      <c r="H603" s="1492"/>
      <c r="I603" s="1492"/>
      <c r="J603" s="1492"/>
      <c r="K603" s="1492"/>
      <c r="L603" s="1492"/>
      <c r="M603" s="1492"/>
    </row>
    <row r="604">
      <c r="A604" s="355" t="s">
        <v>93</v>
      </c>
      <c r="B604" s="355" t="s">
        <v>203</v>
      </c>
      <c r="C604" s="1562">
        <v>4802.0</v>
      </c>
      <c r="D604" s="355">
        <v>8.0</v>
      </c>
      <c r="E604" s="1195" t="s">
        <v>203</v>
      </c>
      <c r="F604" s="1210"/>
      <c r="G604" s="1210"/>
      <c r="H604" s="1492"/>
      <c r="I604" s="1492"/>
      <c r="J604" s="1492"/>
      <c r="K604" s="1492"/>
      <c r="L604" s="1492"/>
      <c r="M604" s="1492"/>
    </row>
    <row r="605">
      <c r="A605" s="355" t="s">
        <v>248</v>
      </c>
      <c r="B605" s="355" t="s">
        <v>203</v>
      </c>
      <c r="C605" s="1562">
        <v>14312.0</v>
      </c>
      <c r="D605" s="355">
        <v>32.0</v>
      </c>
      <c r="E605" s="1195" t="s">
        <v>203</v>
      </c>
      <c r="F605" s="1210"/>
      <c r="G605" s="1210"/>
      <c r="H605" s="1492"/>
      <c r="I605" s="1492"/>
      <c r="J605" s="1492"/>
      <c r="K605" s="1492"/>
      <c r="L605" s="1492"/>
      <c r="M605" s="1492"/>
    </row>
    <row r="606">
      <c r="A606" s="355" t="s">
        <v>708</v>
      </c>
      <c r="B606" s="355" t="s">
        <v>203</v>
      </c>
      <c r="C606" s="1562">
        <v>12260.0</v>
      </c>
      <c r="D606" s="355">
        <v>27.0</v>
      </c>
      <c r="E606" s="1195" t="s">
        <v>203</v>
      </c>
      <c r="F606" s="1210"/>
      <c r="G606" s="1210"/>
      <c r="H606" s="1492"/>
      <c r="I606" s="1492"/>
      <c r="J606" s="1492"/>
      <c r="K606" s="1492"/>
      <c r="L606" s="1492"/>
      <c r="M606" s="1492"/>
    </row>
    <row r="607">
      <c r="A607" s="355" t="s">
        <v>709</v>
      </c>
      <c r="B607" s="355" t="s">
        <v>203</v>
      </c>
      <c r="C607" s="1562">
        <v>209983.0</v>
      </c>
      <c r="D607" s="355">
        <v>154.0</v>
      </c>
      <c r="E607" s="1195" t="s">
        <v>203</v>
      </c>
      <c r="F607" s="1210"/>
      <c r="G607" s="1210"/>
      <c r="H607" s="1492"/>
      <c r="I607" s="1492"/>
      <c r="J607" s="1492"/>
      <c r="K607" s="1492"/>
      <c r="L607" s="1492"/>
      <c r="M607" s="1492"/>
    </row>
    <row r="608">
      <c r="A608" s="355" t="s">
        <v>710</v>
      </c>
      <c r="B608" s="355" t="s">
        <v>203</v>
      </c>
      <c r="C608" s="1562">
        <v>32661.0</v>
      </c>
      <c r="D608" s="355">
        <v>54.0</v>
      </c>
      <c r="E608" s="1195" t="s">
        <v>203</v>
      </c>
      <c r="F608" s="1210"/>
      <c r="G608" s="1210"/>
      <c r="H608" s="1492"/>
      <c r="I608" s="1492"/>
      <c r="J608" s="1492"/>
      <c r="K608" s="1492"/>
      <c r="L608" s="1492"/>
      <c r="M608" s="1492"/>
    </row>
    <row r="609">
      <c r="A609" s="355" t="s">
        <v>253</v>
      </c>
      <c r="B609" s="355" t="s">
        <v>203</v>
      </c>
      <c r="C609" s="1562">
        <v>15596.0</v>
      </c>
      <c r="D609" s="355">
        <v>28.0</v>
      </c>
      <c r="E609" s="1195" t="s">
        <v>203</v>
      </c>
      <c r="F609" s="1210"/>
      <c r="G609" s="1210"/>
      <c r="H609" s="1492"/>
      <c r="I609" s="1492"/>
      <c r="J609" s="1492"/>
      <c r="K609" s="1492"/>
      <c r="L609" s="1492"/>
      <c r="M609" s="1492"/>
    </row>
    <row r="610">
      <c r="A610" s="355" t="s">
        <v>112</v>
      </c>
      <c r="B610" s="355" t="s">
        <v>203</v>
      </c>
      <c r="C610" s="1562">
        <v>13253.0</v>
      </c>
      <c r="D610" s="355">
        <v>28.0</v>
      </c>
      <c r="E610" s="1195" t="s">
        <v>203</v>
      </c>
      <c r="F610" s="1210"/>
      <c r="G610" s="1210"/>
      <c r="H610" s="1492"/>
      <c r="I610" s="1492"/>
      <c r="J610" s="1492"/>
      <c r="K610" s="1492"/>
      <c r="L610" s="1492"/>
      <c r="M610" s="1492"/>
    </row>
    <row r="611">
      <c r="A611" s="355" t="s">
        <v>711</v>
      </c>
      <c r="B611" s="355" t="s">
        <v>203</v>
      </c>
      <c r="C611" s="1562">
        <v>37639.0</v>
      </c>
      <c r="D611" s="355">
        <v>34.0</v>
      </c>
      <c r="E611" s="1195" t="s">
        <v>203</v>
      </c>
      <c r="F611" s="1210"/>
      <c r="G611" s="1210"/>
      <c r="H611" s="1492"/>
      <c r="I611" s="1492"/>
      <c r="J611" s="1492"/>
      <c r="K611" s="1492"/>
      <c r="L611" s="1492"/>
      <c r="M611" s="1492"/>
    </row>
    <row r="612">
      <c r="A612" s="355" t="s">
        <v>712</v>
      </c>
      <c r="B612" s="355" t="s">
        <v>203</v>
      </c>
      <c r="C612" s="1562">
        <v>50885.0</v>
      </c>
      <c r="D612" s="355">
        <v>65.0</v>
      </c>
      <c r="E612" s="1195" t="s">
        <v>203</v>
      </c>
      <c r="F612" s="1210"/>
      <c r="G612" s="1210"/>
      <c r="H612" s="1492"/>
      <c r="I612" s="1492"/>
      <c r="J612" s="1492"/>
      <c r="K612" s="1492"/>
      <c r="L612" s="1492"/>
      <c r="M612" s="1492"/>
    </row>
    <row r="613">
      <c r="A613" s="355" t="s">
        <v>202</v>
      </c>
      <c r="B613" s="355" t="s">
        <v>203</v>
      </c>
      <c r="C613" s="1562">
        <v>5180493.0</v>
      </c>
      <c r="D613" s="364">
        <v>2414.0</v>
      </c>
      <c r="E613" s="1195" t="s">
        <v>203</v>
      </c>
      <c r="F613" s="1210"/>
      <c r="G613" s="1210"/>
      <c r="H613" s="1492"/>
      <c r="I613" s="1492"/>
      <c r="J613" s="1492"/>
      <c r="K613" s="1492"/>
      <c r="L613" s="1492"/>
      <c r="M613" s="1492"/>
    </row>
    <row r="614">
      <c r="A614" s="355" t="s">
        <v>263</v>
      </c>
      <c r="B614" s="355" t="s">
        <v>203</v>
      </c>
      <c r="C614" s="1562">
        <v>18807.0</v>
      </c>
      <c r="D614" s="355">
        <v>31.0</v>
      </c>
      <c r="E614" s="1195" t="s">
        <v>203</v>
      </c>
      <c r="F614" s="1210"/>
      <c r="G614" s="1210"/>
      <c r="H614" s="1492"/>
      <c r="I614" s="1492"/>
      <c r="J614" s="1492"/>
      <c r="K614" s="1492"/>
      <c r="L614" s="1492"/>
      <c r="M614" s="1492"/>
    </row>
    <row r="615">
      <c r="A615" s="355" t="s">
        <v>713</v>
      </c>
      <c r="B615" s="355" t="s">
        <v>203</v>
      </c>
      <c r="C615" s="1562">
        <v>10808.0</v>
      </c>
      <c r="D615" s="355">
        <v>17.0</v>
      </c>
      <c r="E615" s="1195" t="s">
        <v>203</v>
      </c>
      <c r="F615" s="1210"/>
      <c r="G615" s="1210"/>
      <c r="H615" s="1492"/>
      <c r="I615" s="1492"/>
      <c r="J615" s="1492"/>
      <c r="K615" s="1492"/>
      <c r="L615" s="1492"/>
      <c r="M615" s="1492"/>
    </row>
    <row r="616">
      <c r="A616" s="355" t="s">
        <v>131</v>
      </c>
      <c r="B616" s="355" t="s">
        <v>203</v>
      </c>
      <c r="C616" s="1562">
        <v>104143.0</v>
      </c>
      <c r="D616" s="355">
        <v>81.0</v>
      </c>
      <c r="E616" s="1195" t="s">
        <v>203</v>
      </c>
      <c r="F616" s="1210"/>
      <c r="G616" s="1210"/>
      <c r="H616" s="1492"/>
      <c r="I616" s="1492"/>
      <c r="J616" s="1492"/>
      <c r="K616" s="1492"/>
      <c r="L616" s="1492"/>
      <c r="M616" s="1492"/>
    </row>
    <row r="617">
      <c r="A617" s="355" t="s">
        <v>2055</v>
      </c>
      <c r="B617" s="355" t="s">
        <v>203</v>
      </c>
      <c r="C617" s="1562">
        <v>15769.0</v>
      </c>
      <c r="D617" s="355">
        <v>23.0</v>
      </c>
      <c r="E617" s="1195" t="s">
        <v>203</v>
      </c>
      <c r="F617" s="1210"/>
      <c r="G617" s="1210"/>
      <c r="H617" s="1492"/>
      <c r="I617" s="1492"/>
      <c r="J617" s="1492"/>
      <c r="K617" s="1492"/>
      <c r="L617" s="1492"/>
      <c r="M617" s="1492"/>
    </row>
    <row r="618">
      <c r="A618" s="355" t="s">
        <v>412</v>
      </c>
      <c r="B618" s="355" t="s">
        <v>203</v>
      </c>
      <c r="C618" s="1562">
        <v>19479.0</v>
      </c>
      <c r="D618" s="355">
        <v>39.0</v>
      </c>
      <c r="E618" s="1195" t="s">
        <v>203</v>
      </c>
      <c r="F618" s="1210"/>
      <c r="G618" s="1210"/>
      <c r="H618" s="1492"/>
      <c r="I618" s="1492"/>
      <c r="J618" s="1492"/>
      <c r="K618" s="1492"/>
      <c r="L618" s="1492"/>
      <c r="M618" s="1492"/>
    </row>
    <row r="619">
      <c r="A619" s="355" t="s">
        <v>456</v>
      </c>
      <c r="B619" s="355" t="s">
        <v>203</v>
      </c>
      <c r="C619" s="1562">
        <v>928589.0</v>
      </c>
      <c r="D619" s="355">
        <v>364.0</v>
      </c>
      <c r="E619" s="1195" t="s">
        <v>203</v>
      </c>
      <c r="F619" s="1210"/>
      <c r="G619" s="1210"/>
      <c r="H619" s="1492"/>
      <c r="I619" s="1492"/>
      <c r="J619" s="1492"/>
      <c r="K619" s="1492"/>
      <c r="L619" s="1492"/>
      <c r="M619" s="1492"/>
    </row>
    <row r="620">
      <c r="A620" s="355" t="s">
        <v>716</v>
      </c>
      <c r="B620" s="355" t="s">
        <v>203</v>
      </c>
      <c r="C620" s="1562">
        <v>17360.0</v>
      </c>
      <c r="D620" s="355">
        <v>33.0</v>
      </c>
      <c r="E620" s="1195" t="s">
        <v>203</v>
      </c>
      <c r="F620" s="1210"/>
      <c r="G620" s="1210"/>
      <c r="H620" s="1492"/>
      <c r="I620" s="1492"/>
      <c r="J620" s="1492"/>
      <c r="K620" s="1492"/>
      <c r="L620" s="1492"/>
      <c r="M620" s="1492"/>
    </row>
    <row r="621">
      <c r="A621" s="355" t="s">
        <v>717</v>
      </c>
      <c r="B621" s="355" t="s">
        <v>203</v>
      </c>
      <c r="C621" s="1562">
        <v>6392.0</v>
      </c>
      <c r="D621" s="355">
        <v>16.0</v>
      </c>
      <c r="E621" s="1195" t="s">
        <v>203</v>
      </c>
      <c r="F621" s="1210"/>
      <c r="G621" s="1210"/>
      <c r="H621" s="1492"/>
      <c r="I621" s="1492"/>
      <c r="J621" s="1492"/>
      <c r="K621" s="1492"/>
      <c r="L621" s="1492"/>
      <c r="M621" s="1492"/>
    </row>
    <row r="622">
      <c r="A622" s="355" t="s">
        <v>569</v>
      </c>
      <c r="B622" s="355" t="s">
        <v>203</v>
      </c>
      <c r="C622" s="1562">
        <v>34208.0</v>
      </c>
      <c r="D622" s="355">
        <v>46.0</v>
      </c>
      <c r="E622" s="1195" t="s">
        <v>203</v>
      </c>
      <c r="F622" s="1210"/>
      <c r="G622" s="1210"/>
      <c r="H622" s="1492"/>
      <c r="I622" s="1492"/>
      <c r="J622" s="1492"/>
      <c r="K622" s="1492"/>
      <c r="L622" s="1492"/>
      <c r="M622" s="1492"/>
    </row>
    <row r="623">
      <c r="A623" s="355" t="s">
        <v>135</v>
      </c>
      <c r="B623" s="355" t="s">
        <v>203</v>
      </c>
      <c r="C623" s="1562">
        <v>21416.0</v>
      </c>
      <c r="D623" s="355">
        <v>31.0</v>
      </c>
      <c r="E623" s="1195" t="s">
        <v>203</v>
      </c>
      <c r="F623" s="1210"/>
      <c r="G623" s="1210"/>
      <c r="H623" s="1492"/>
      <c r="I623" s="1492"/>
      <c r="J623" s="1492"/>
      <c r="K623" s="1492"/>
      <c r="L623" s="1492"/>
      <c r="M623" s="1492"/>
    </row>
    <row r="624">
      <c r="A624" s="355" t="s">
        <v>718</v>
      </c>
      <c r="B624" s="355" t="s">
        <v>203</v>
      </c>
      <c r="C624" s="1562">
        <v>13264.0</v>
      </c>
      <c r="D624" s="355">
        <v>26.0</v>
      </c>
      <c r="E624" s="1195" t="s">
        <v>203</v>
      </c>
      <c r="F624" s="1210"/>
      <c r="G624" s="1210"/>
      <c r="H624" s="1492"/>
      <c r="I624" s="1492"/>
      <c r="J624" s="1492"/>
      <c r="K624" s="1492"/>
      <c r="L624" s="1492"/>
      <c r="M624" s="1492"/>
    </row>
    <row r="625">
      <c r="A625" s="355" t="s">
        <v>136</v>
      </c>
      <c r="B625" s="355" t="s">
        <v>203</v>
      </c>
      <c r="C625" s="1562">
        <v>38701.0</v>
      </c>
      <c r="D625" s="355">
        <v>78.0</v>
      </c>
      <c r="E625" s="1195" t="s">
        <v>203</v>
      </c>
      <c r="F625" s="1210"/>
      <c r="G625" s="1210"/>
      <c r="H625" s="1492"/>
      <c r="I625" s="1492"/>
      <c r="J625" s="1492"/>
      <c r="K625" s="1492"/>
      <c r="L625" s="1492"/>
      <c r="M625" s="1492"/>
    </row>
    <row r="626">
      <c r="A626" s="355" t="s">
        <v>275</v>
      </c>
      <c r="B626" s="355" t="s">
        <v>203</v>
      </c>
      <c r="C626" s="1562">
        <v>34844.0</v>
      </c>
      <c r="D626" s="355">
        <v>52.0</v>
      </c>
      <c r="E626" s="1195" t="s">
        <v>203</v>
      </c>
      <c r="F626" s="1210"/>
      <c r="G626" s="1210"/>
      <c r="H626" s="1492"/>
      <c r="I626" s="1492"/>
      <c r="J626" s="1492"/>
      <c r="K626" s="1492"/>
      <c r="L626" s="1492"/>
      <c r="M626" s="1492"/>
    </row>
    <row r="627">
      <c r="A627" s="355" t="s">
        <v>719</v>
      </c>
      <c r="B627" s="355" t="s">
        <v>203</v>
      </c>
      <c r="C627" s="1562">
        <v>5058.0</v>
      </c>
      <c r="D627" s="355">
        <v>5.0</v>
      </c>
      <c r="E627" s="1195" t="s">
        <v>203</v>
      </c>
      <c r="F627" s="1210"/>
      <c r="G627" s="1210"/>
      <c r="H627" s="1492"/>
      <c r="I627" s="1492"/>
      <c r="J627" s="1492"/>
      <c r="K627" s="1492"/>
      <c r="L627" s="1492"/>
      <c r="M627" s="1492"/>
    </row>
    <row r="628">
      <c r="A628" s="355" t="s">
        <v>138</v>
      </c>
      <c r="B628" s="355" t="s">
        <v>203</v>
      </c>
      <c r="C628" s="1562">
        <v>13044.0</v>
      </c>
      <c r="D628" s="355">
        <v>19.0</v>
      </c>
      <c r="E628" s="1195" t="s">
        <v>203</v>
      </c>
      <c r="F628" s="1210"/>
      <c r="G628" s="1210"/>
      <c r="H628" s="1492"/>
      <c r="I628" s="1492"/>
      <c r="J628" s="1492"/>
      <c r="K628" s="1492"/>
      <c r="L628" s="1492"/>
      <c r="M628" s="1492"/>
    </row>
    <row r="629">
      <c r="A629" s="355" t="s">
        <v>720</v>
      </c>
      <c r="B629" s="355" t="s">
        <v>203</v>
      </c>
      <c r="C629" s="1562">
        <v>50972.0</v>
      </c>
      <c r="D629" s="355">
        <v>36.0</v>
      </c>
      <c r="E629" s="1195" t="s">
        <v>203</v>
      </c>
      <c r="F629" s="1210"/>
      <c r="G629" s="1210"/>
      <c r="H629" s="1492"/>
      <c r="I629" s="1492"/>
      <c r="J629" s="1492"/>
      <c r="K629" s="1492"/>
      <c r="L629" s="1492"/>
      <c r="M629" s="1492"/>
    </row>
    <row r="630">
      <c r="A630" s="355" t="s">
        <v>497</v>
      </c>
      <c r="B630" s="355" t="s">
        <v>203</v>
      </c>
      <c r="C630" s="1562">
        <v>8163.0</v>
      </c>
      <c r="D630" s="355">
        <v>14.0</v>
      </c>
      <c r="E630" s="1195" t="s">
        <v>203</v>
      </c>
      <c r="F630" s="1210"/>
      <c r="G630" s="1210"/>
      <c r="H630" s="1492"/>
      <c r="I630" s="1492"/>
      <c r="J630" s="1492"/>
      <c r="K630" s="1492"/>
      <c r="L630" s="1492"/>
      <c r="M630" s="1492"/>
    </row>
    <row r="631">
      <c r="A631" s="355" t="s">
        <v>587</v>
      </c>
      <c r="B631" s="355" t="s">
        <v>203</v>
      </c>
      <c r="C631" s="1562">
        <v>17844.0</v>
      </c>
      <c r="D631" s="355">
        <v>50.0</v>
      </c>
      <c r="E631" s="1195" t="s">
        <v>203</v>
      </c>
      <c r="F631" s="1210"/>
      <c r="G631" s="1210"/>
      <c r="H631" s="1492"/>
      <c r="I631" s="1492"/>
      <c r="J631" s="1492"/>
      <c r="K631" s="1492"/>
      <c r="L631" s="1492"/>
      <c r="M631" s="1492"/>
    </row>
    <row r="632">
      <c r="A632" s="355" t="s">
        <v>721</v>
      </c>
      <c r="B632" s="355" t="s">
        <v>203</v>
      </c>
      <c r="C632" s="1562">
        <v>3910.0</v>
      </c>
      <c r="D632" s="355">
        <v>11.0</v>
      </c>
      <c r="E632" s="1195" t="s">
        <v>203</v>
      </c>
      <c r="F632" s="1210"/>
      <c r="G632" s="1210"/>
      <c r="H632" s="1492"/>
      <c r="I632" s="1492"/>
      <c r="J632" s="1492"/>
      <c r="K632" s="1492"/>
      <c r="L632" s="1492"/>
      <c r="M632" s="1492"/>
    </row>
    <row r="633">
      <c r="A633" s="355" t="s">
        <v>722</v>
      </c>
      <c r="B633" s="355" t="s">
        <v>203</v>
      </c>
      <c r="C633" s="1562">
        <v>6709.0</v>
      </c>
      <c r="D633" s="355">
        <v>12.0</v>
      </c>
      <c r="E633" s="1195" t="s">
        <v>203</v>
      </c>
      <c r="F633" s="1210"/>
      <c r="G633" s="1210"/>
      <c r="H633" s="1492"/>
      <c r="I633" s="1492"/>
      <c r="J633" s="1492"/>
      <c r="K633" s="1492"/>
      <c r="L633" s="1492"/>
      <c r="M633" s="1492"/>
    </row>
    <row r="634">
      <c r="A634" s="355" t="s">
        <v>140</v>
      </c>
      <c r="B634" s="355" t="s">
        <v>203</v>
      </c>
      <c r="C634" s="1562">
        <v>49090.0</v>
      </c>
      <c r="D634" s="355">
        <v>72.0</v>
      </c>
      <c r="E634" s="1195" t="s">
        <v>203</v>
      </c>
      <c r="F634" s="1210"/>
      <c r="G634" s="1210"/>
      <c r="H634" s="1492"/>
      <c r="I634" s="1492"/>
      <c r="J634" s="1492"/>
      <c r="K634" s="1492"/>
      <c r="L634" s="1492"/>
      <c r="M634" s="1492"/>
    </row>
    <row r="635">
      <c r="A635" s="355" t="s">
        <v>723</v>
      </c>
      <c r="B635" s="355" t="s">
        <v>203</v>
      </c>
      <c r="C635" s="1562">
        <v>27604.0</v>
      </c>
      <c r="D635" s="355">
        <v>61.0</v>
      </c>
      <c r="E635" s="1195" t="s">
        <v>203</v>
      </c>
      <c r="F635" s="1210"/>
      <c r="G635" s="1210"/>
      <c r="H635" s="1492"/>
      <c r="I635" s="1492"/>
      <c r="J635" s="1492"/>
      <c r="K635" s="1492"/>
      <c r="L635" s="1492"/>
      <c r="M635" s="1492"/>
    </row>
    <row r="636">
      <c r="A636" s="355" t="s">
        <v>142</v>
      </c>
      <c r="B636" s="355" t="s">
        <v>203</v>
      </c>
      <c r="C636" s="1562">
        <v>57419.0</v>
      </c>
      <c r="D636" s="355">
        <v>78.0</v>
      </c>
      <c r="E636" s="1195" t="s">
        <v>203</v>
      </c>
      <c r="F636" s="1210"/>
      <c r="G636" s="1210"/>
      <c r="H636" s="1492"/>
      <c r="I636" s="1492"/>
      <c r="J636" s="1492"/>
      <c r="K636" s="1492"/>
      <c r="L636" s="1492"/>
      <c r="M636" s="1492"/>
    </row>
    <row r="637">
      <c r="A637" s="355" t="s">
        <v>593</v>
      </c>
      <c r="B637" s="355" t="s">
        <v>203</v>
      </c>
      <c r="C637" s="1562">
        <v>9611.0</v>
      </c>
      <c r="D637" s="355">
        <v>15.0</v>
      </c>
      <c r="E637" s="1195" t="s">
        <v>203</v>
      </c>
      <c r="F637" s="1210"/>
      <c r="G637" s="1210"/>
      <c r="H637" s="1492"/>
      <c r="I637" s="1492"/>
      <c r="J637" s="1492"/>
      <c r="K637" s="1492"/>
      <c r="L637" s="1492"/>
      <c r="M637" s="1492"/>
    </row>
    <row r="638">
      <c r="A638" s="355" t="s">
        <v>143</v>
      </c>
      <c r="B638" s="355" t="s">
        <v>203</v>
      </c>
      <c r="C638" s="1562">
        <v>37820.0</v>
      </c>
      <c r="D638" s="355">
        <v>54.0</v>
      </c>
      <c r="E638" s="1195" t="s">
        <v>203</v>
      </c>
      <c r="F638" s="1210"/>
      <c r="G638" s="1210"/>
      <c r="H638" s="1492"/>
      <c r="I638" s="1492"/>
      <c r="J638" s="1492"/>
      <c r="K638" s="1492"/>
      <c r="L638" s="1492"/>
      <c r="M638" s="1492"/>
    </row>
    <row r="639">
      <c r="A639" s="355" t="s">
        <v>724</v>
      </c>
      <c r="B639" s="355" t="s">
        <v>203</v>
      </c>
      <c r="C639" s="1562">
        <v>21847.0</v>
      </c>
      <c r="D639" s="355">
        <v>28.0</v>
      </c>
      <c r="E639" s="1195" t="s">
        <v>203</v>
      </c>
      <c r="F639" s="1210"/>
      <c r="G639" s="1210"/>
      <c r="H639" s="1492"/>
      <c r="I639" s="1492"/>
      <c r="J639" s="1492"/>
      <c r="K639" s="1492"/>
      <c r="L639" s="1492"/>
      <c r="M639" s="1492"/>
    </row>
    <row r="640">
      <c r="A640" s="355" t="s">
        <v>725</v>
      </c>
      <c r="B640" s="355" t="s">
        <v>203</v>
      </c>
      <c r="C640" s="1562">
        <v>21366.0</v>
      </c>
      <c r="D640" s="355">
        <v>32.0</v>
      </c>
      <c r="E640" s="1195" t="s">
        <v>203</v>
      </c>
      <c r="F640" s="1210"/>
      <c r="G640" s="1210"/>
      <c r="H640" s="1492"/>
      <c r="I640" s="1492"/>
      <c r="J640" s="1492"/>
      <c r="K640" s="1492"/>
      <c r="L640" s="1492"/>
      <c r="M640" s="1492"/>
    </row>
    <row r="641">
      <c r="A641" s="355" t="s">
        <v>288</v>
      </c>
      <c r="B641" s="355" t="s">
        <v>203</v>
      </c>
      <c r="C641" s="1562">
        <v>12456.0</v>
      </c>
      <c r="D641" s="355">
        <v>21.0</v>
      </c>
      <c r="E641" s="1195" t="s">
        <v>203</v>
      </c>
      <c r="F641" s="1210"/>
      <c r="G641" s="1210"/>
      <c r="H641" s="1492"/>
      <c r="I641" s="1492"/>
      <c r="J641" s="1492"/>
      <c r="K641" s="1492"/>
      <c r="L641" s="1492"/>
      <c r="M641" s="1492"/>
    </row>
    <row r="642">
      <c r="A642" s="355" t="s">
        <v>656</v>
      </c>
      <c r="B642" s="355" t="s">
        <v>203</v>
      </c>
      <c r="C642" s="1562">
        <v>534216.0</v>
      </c>
      <c r="D642" s="355">
        <v>249.0</v>
      </c>
      <c r="E642" s="1195" t="s">
        <v>203</v>
      </c>
      <c r="F642" s="1210"/>
      <c r="G642" s="1210"/>
      <c r="H642" s="1492"/>
      <c r="I642" s="1492"/>
      <c r="J642" s="1492"/>
      <c r="K642" s="1492"/>
      <c r="L642" s="1492"/>
      <c r="M642" s="1492"/>
    </row>
    <row r="643">
      <c r="A643" s="355" t="s">
        <v>726</v>
      </c>
      <c r="B643" s="355" t="s">
        <v>203</v>
      </c>
      <c r="C643" s="1562">
        <v>110024.0</v>
      </c>
      <c r="D643" s="355">
        <v>111.0</v>
      </c>
      <c r="E643" s="1195" t="s">
        <v>203</v>
      </c>
      <c r="F643" s="1210"/>
      <c r="G643" s="1210"/>
      <c r="H643" s="1492"/>
      <c r="I643" s="1492"/>
      <c r="J643" s="1492"/>
      <c r="K643" s="1492"/>
      <c r="L643" s="1492"/>
      <c r="M643" s="1492"/>
    </row>
    <row r="644">
      <c r="A644" s="355" t="s">
        <v>727</v>
      </c>
      <c r="B644" s="355" t="s">
        <v>203</v>
      </c>
      <c r="C644" s="1562">
        <v>127915.0</v>
      </c>
      <c r="D644" s="355">
        <v>45.0</v>
      </c>
      <c r="E644" s="1195" t="s">
        <v>203</v>
      </c>
      <c r="F644" s="1210"/>
      <c r="G644" s="1210"/>
      <c r="H644" s="1492"/>
      <c r="I644" s="1492"/>
      <c r="J644" s="1492"/>
      <c r="K644" s="1492"/>
      <c r="L644" s="1492"/>
      <c r="M644" s="1492"/>
    </row>
    <row r="645">
      <c r="A645" s="355" t="s">
        <v>728</v>
      </c>
      <c r="B645" s="355" t="s">
        <v>203</v>
      </c>
      <c r="C645" s="1562">
        <v>50112.0</v>
      </c>
      <c r="D645" s="355">
        <v>71.0</v>
      </c>
      <c r="E645" s="1195" t="s">
        <v>203</v>
      </c>
      <c r="F645" s="1210"/>
      <c r="G645" s="1210"/>
      <c r="H645" s="1492"/>
      <c r="I645" s="1492"/>
      <c r="J645" s="1492"/>
      <c r="K645" s="1492"/>
      <c r="L645" s="1492"/>
      <c r="M645" s="1492"/>
    </row>
    <row r="646">
      <c r="A646" s="355" t="s">
        <v>337</v>
      </c>
      <c r="B646" s="355" t="s">
        <v>203</v>
      </c>
      <c r="C646" s="1562">
        <v>700832.0</v>
      </c>
      <c r="D646" s="355">
        <v>264.0</v>
      </c>
      <c r="E646" s="1195" t="s">
        <v>203</v>
      </c>
      <c r="F646" s="1210"/>
      <c r="G646" s="1210"/>
      <c r="H646" s="1492"/>
      <c r="I646" s="1492"/>
      <c r="J646" s="1492"/>
      <c r="K646" s="1492"/>
      <c r="L646" s="1492"/>
      <c r="M646" s="1492"/>
    </row>
    <row r="647">
      <c r="A647" s="355" t="s">
        <v>729</v>
      </c>
      <c r="B647" s="355" t="s">
        <v>203</v>
      </c>
      <c r="C647" s="1562">
        <v>109430.0</v>
      </c>
      <c r="D647" s="355">
        <v>107.0</v>
      </c>
      <c r="E647" s="1195" t="s">
        <v>203</v>
      </c>
      <c r="F647" s="1210"/>
      <c r="G647" s="1210"/>
      <c r="H647" s="1492"/>
      <c r="I647" s="1492"/>
      <c r="J647" s="1492"/>
      <c r="K647" s="1492"/>
      <c r="L647" s="1492"/>
      <c r="M647" s="1492"/>
    </row>
    <row r="648">
      <c r="A648" s="355" t="s">
        <v>146</v>
      </c>
      <c r="B648" s="355" t="s">
        <v>203</v>
      </c>
      <c r="C648" s="1562">
        <v>15765.0</v>
      </c>
      <c r="D648" s="355">
        <v>25.0</v>
      </c>
      <c r="E648" s="1195" t="s">
        <v>203</v>
      </c>
      <c r="F648" s="1210"/>
      <c r="G648" s="1210"/>
      <c r="H648" s="1492"/>
      <c r="I648" s="1492"/>
      <c r="J648" s="1492"/>
      <c r="K648" s="1492"/>
      <c r="L648" s="1492"/>
      <c r="M648" s="1492"/>
    </row>
    <row r="649">
      <c r="A649" s="355" t="s">
        <v>147</v>
      </c>
      <c r="B649" s="355" t="s">
        <v>203</v>
      </c>
      <c r="C649" s="1562">
        <v>34223.0</v>
      </c>
      <c r="D649" s="355">
        <v>52.0</v>
      </c>
      <c r="E649" s="1195" t="s">
        <v>203</v>
      </c>
      <c r="F649" s="1210"/>
      <c r="G649" s="1210"/>
      <c r="H649" s="1492"/>
      <c r="I649" s="1492"/>
      <c r="J649" s="1492"/>
      <c r="K649" s="1492"/>
      <c r="L649" s="1492"/>
      <c r="M649" s="1492"/>
    </row>
    <row r="650">
      <c r="A650" s="355" t="s">
        <v>730</v>
      </c>
      <c r="B650" s="355" t="s">
        <v>203</v>
      </c>
      <c r="C650" s="1562">
        <v>35761.0</v>
      </c>
      <c r="D650" s="355">
        <v>51.0</v>
      </c>
      <c r="E650" s="1195" t="s">
        <v>203</v>
      </c>
      <c r="F650" s="1210"/>
      <c r="G650" s="1210"/>
      <c r="H650" s="1492"/>
      <c r="I650" s="1492"/>
      <c r="J650" s="1492"/>
      <c r="K650" s="1492"/>
      <c r="L650" s="1492"/>
      <c r="M650" s="1492"/>
    </row>
    <row r="651">
      <c r="A651" s="355" t="s">
        <v>293</v>
      </c>
      <c r="B651" s="355" t="s">
        <v>203</v>
      </c>
      <c r="C651" s="1562">
        <v>28925.0</v>
      </c>
      <c r="D651" s="355">
        <v>46.0</v>
      </c>
      <c r="E651" s="1195" t="s">
        <v>203</v>
      </c>
      <c r="F651" s="1210"/>
      <c r="G651" s="1210"/>
      <c r="H651" s="1492"/>
      <c r="I651" s="1492"/>
      <c r="J651" s="1492"/>
      <c r="K651" s="1492"/>
      <c r="L651" s="1492"/>
      <c r="M651" s="1492"/>
    </row>
    <row r="652">
      <c r="A652" s="355" t="s">
        <v>731</v>
      </c>
      <c r="B652" s="355" t="s">
        <v>203</v>
      </c>
      <c r="C652" s="1562">
        <v>29955.0</v>
      </c>
      <c r="D652" s="355">
        <v>39.0</v>
      </c>
      <c r="E652" s="1195" t="s">
        <v>203</v>
      </c>
      <c r="F652" s="1210"/>
      <c r="G652" s="1210"/>
      <c r="H652" s="1492"/>
      <c r="I652" s="1492"/>
      <c r="J652" s="1492"/>
      <c r="K652" s="1492"/>
      <c r="L652" s="1492"/>
      <c r="M652" s="1492"/>
    </row>
    <row r="653">
      <c r="A653" s="355" t="s">
        <v>732</v>
      </c>
      <c r="B653" s="355" t="s">
        <v>203</v>
      </c>
      <c r="C653" s="1562">
        <v>308570.0</v>
      </c>
      <c r="D653" s="355">
        <v>117.0</v>
      </c>
      <c r="E653" s="1195" t="s">
        <v>203</v>
      </c>
      <c r="F653" s="1210"/>
      <c r="G653" s="1210"/>
      <c r="H653" s="1492"/>
      <c r="I653" s="1492"/>
      <c r="J653" s="1492"/>
      <c r="K653" s="1492"/>
      <c r="L653" s="1492"/>
      <c r="M653" s="1492"/>
    </row>
    <row r="654">
      <c r="A654" s="355" t="s">
        <v>2515</v>
      </c>
      <c r="B654" s="355" t="s">
        <v>203</v>
      </c>
      <c r="C654" s="1562">
        <v>172828.0</v>
      </c>
      <c r="D654" s="355">
        <v>142.0</v>
      </c>
      <c r="E654" s="1195" t="s">
        <v>203</v>
      </c>
      <c r="F654" s="1210"/>
      <c r="G654" s="1210"/>
      <c r="H654" s="1492"/>
      <c r="I654" s="1492"/>
      <c r="J654" s="1492"/>
      <c r="K654" s="1492"/>
      <c r="L654" s="1492"/>
      <c r="M654" s="1492"/>
    </row>
    <row r="655">
      <c r="A655" s="355" t="s">
        <v>150</v>
      </c>
      <c r="B655" s="355" t="s">
        <v>203</v>
      </c>
      <c r="C655" s="1562">
        <v>104712.0</v>
      </c>
      <c r="D655" s="355">
        <v>151.0</v>
      </c>
      <c r="E655" s="1195" t="s">
        <v>203</v>
      </c>
      <c r="F655" s="1210"/>
      <c r="G655" s="1210"/>
      <c r="H655" s="1492"/>
      <c r="I655" s="1492"/>
      <c r="J655" s="1492"/>
      <c r="K655" s="1492"/>
      <c r="L655" s="1492"/>
      <c r="M655" s="1492"/>
    </row>
    <row r="656">
      <c r="A656" s="355" t="s">
        <v>734</v>
      </c>
      <c r="B656" s="355" t="s">
        <v>203</v>
      </c>
      <c r="C656" s="1562">
        <v>45313.0</v>
      </c>
      <c r="D656" s="355">
        <v>80.0</v>
      </c>
      <c r="E656" s="1195" t="s">
        <v>203</v>
      </c>
      <c r="F656" s="1210"/>
      <c r="G656" s="1210"/>
      <c r="H656" s="1492"/>
      <c r="I656" s="1492"/>
      <c r="J656" s="1492"/>
      <c r="K656" s="1492"/>
      <c r="L656" s="1492"/>
      <c r="M656" s="1492"/>
    </row>
    <row r="657">
      <c r="A657" s="355" t="s">
        <v>151</v>
      </c>
      <c r="B657" s="355" t="s">
        <v>203</v>
      </c>
      <c r="C657" s="1562">
        <v>264461.0</v>
      </c>
      <c r="D657" s="355">
        <v>266.0</v>
      </c>
      <c r="E657" s="1195" t="s">
        <v>203</v>
      </c>
      <c r="F657" s="1210"/>
      <c r="G657" s="1210"/>
      <c r="H657" s="1492"/>
      <c r="I657" s="1492"/>
      <c r="J657" s="1492"/>
      <c r="K657" s="1492"/>
      <c r="L657" s="1492"/>
      <c r="M657" s="1492"/>
    </row>
    <row r="658">
      <c r="A658" s="355" t="s">
        <v>153</v>
      </c>
      <c r="B658" s="355" t="s">
        <v>203</v>
      </c>
      <c r="C658" s="1562">
        <v>37620.0</v>
      </c>
      <c r="D658" s="355">
        <v>66.0</v>
      </c>
      <c r="E658" s="1195" t="s">
        <v>203</v>
      </c>
      <c r="F658" s="1210"/>
      <c r="G658" s="1210"/>
      <c r="H658" s="1492"/>
      <c r="I658" s="1492"/>
      <c r="J658" s="1492"/>
      <c r="K658" s="1492"/>
      <c r="L658" s="1492"/>
      <c r="M658" s="1492"/>
    </row>
    <row r="659">
      <c r="A659" s="355" t="s">
        <v>154</v>
      </c>
      <c r="B659" s="355" t="s">
        <v>203</v>
      </c>
      <c r="C659" s="1562">
        <v>11534.0</v>
      </c>
      <c r="D659" s="355">
        <v>26.0</v>
      </c>
      <c r="E659" s="1195" t="s">
        <v>203</v>
      </c>
      <c r="F659" s="1210"/>
      <c r="G659" s="1210"/>
      <c r="H659" s="1492"/>
      <c r="I659" s="1492"/>
      <c r="J659" s="1492"/>
      <c r="K659" s="1492"/>
      <c r="L659" s="1492"/>
      <c r="M659" s="1492"/>
    </row>
    <row r="660">
      <c r="A660" s="355" t="s">
        <v>735</v>
      </c>
      <c r="B660" s="355" t="s">
        <v>203</v>
      </c>
      <c r="C660" s="1562">
        <v>13565.0</v>
      </c>
      <c r="D660" s="355">
        <v>22.0</v>
      </c>
      <c r="E660" s="1195" t="s">
        <v>203</v>
      </c>
      <c r="F660" s="1210"/>
      <c r="G660" s="1210"/>
      <c r="H660" s="1492"/>
      <c r="I660" s="1492"/>
      <c r="J660" s="1492"/>
      <c r="K660" s="1492"/>
      <c r="L660" s="1492"/>
      <c r="M660" s="1492"/>
    </row>
    <row r="661">
      <c r="A661" s="355" t="s">
        <v>736</v>
      </c>
      <c r="B661" s="355" t="s">
        <v>203</v>
      </c>
      <c r="C661" s="1562">
        <v>14080.0</v>
      </c>
      <c r="D661" s="355">
        <v>36.0</v>
      </c>
      <c r="E661" s="1195" t="s">
        <v>203</v>
      </c>
      <c r="F661" s="1210"/>
      <c r="G661" s="1210"/>
      <c r="H661" s="1492"/>
      <c r="I661" s="1492"/>
      <c r="J661" s="1492"/>
      <c r="K661" s="1492"/>
      <c r="L661" s="1492"/>
      <c r="M661" s="1492"/>
    </row>
    <row r="662">
      <c r="A662" s="355" t="s">
        <v>737</v>
      </c>
      <c r="B662" s="355" t="s">
        <v>203</v>
      </c>
      <c r="C662" s="1562">
        <v>12288.0</v>
      </c>
      <c r="D662" s="355">
        <v>19.0</v>
      </c>
      <c r="E662" s="1195" t="s">
        <v>203</v>
      </c>
      <c r="F662" s="1210"/>
      <c r="G662" s="1210"/>
      <c r="H662" s="1492"/>
      <c r="I662" s="1492"/>
      <c r="J662" s="1492"/>
      <c r="K662" s="1492"/>
      <c r="L662" s="1492"/>
      <c r="M662" s="1492"/>
    </row>
    <row r="663">
      <c r="A663" s="355" t="s">
        <v>738</v>
      </c>
      <c r="B663" s="355" t="s">
        <v>203</v>
      </c>
      <c r="C663" s="1562">
        <v>15601.0</v>
      </c>
      <c r="D663" s="355">
        <v>26.0</v>
      </c>
      <c r="E663" s="1195" t="s">
        <v>203</v>
      </c>
      <c r="F663" s="1210"/>
      <c r="G663" s="1210"/>
      <c r="H663" s="1492"/>
      <c r="I663" s="1492"/>
      <c r="J663" s="1492"/>
      <c r="K663" s="1492"/>
      <c r="L663" s="1492"/>
      <c r="M663" s="1492"/>
    </row>
    <row r="664">
      <c r="A664" s="355" t="s">
        <v>156</v>
      </c>
      <c r="B664" s="355" t="s">
        <v>203</v>
      </c>
      <c r="C664" s="1562">
        <v>34335.0</v>
      </c>
      <c r="D664" s="355">
        <v>26.0</v>
      </c>
      <c r="E664" s="1195" t="s">
        <v>203</v>
      </c>
      <c r="F664" s="1210"/>
      <c r="G664" s="1210"/>
      <c r="H664" s="1492"/>
      <c r="I664" s="1492"/>
      <c r="J664" s="1492"/>
      <c r="K664" s="1492"/>
      <c r="L664" s="1492"/>
      <c r="M664" s="1492"/>
    </row>
    <row r="665">
      <c r="A665" s="355" t="s">
        <v>157</v>
      </c>
      <c r="B665" s="355" t="s">
        <v>203</v>
      </c>
      <c r="C665" s="1562">
        <v>28601.0</v>
      </c>
      <c r="D665" s="355">
        <v>61.0</v>
      </c>
      <c r="E665" s="1195" t="s">
        <v>203</v>
      </c>
      <c r="F665" s="1210"/>
      <c r="G665" s="1210"/>
      <c r="H665" s="1492"/>
      <c r="I665" s="1492"/>
      <c r="J665" s="1492"/>
      <c r="K665" s="1492"/>
      <c r="L665" s="1492"/>
      <c r="M665" s="1492"/>
    </row>
    <row r="666">
      <c r="A666" s="355" t="s">
        <v>158</v>
      </c>
      <c r="B666" s="355" t="s">
        <v>203</v>
      </c>
      <c r="C666" s="1562">
        <v>33976.0</v>
      </c>
      <c r="D666" s="355">
        <v>46.0</v>
      </c>
      <c r="E666" s="1195" t="s">
        <v>203</v>
      </c>
      <c r="F666" s="1210"/>
      <c r="G666" s="1210"/>
      <c r="H666" s="1492"/>
      <c r="I666" s="1492"/>
      <c r="J666" s="1492"/>
      <c r="K666" s="1492"/>
      <c r="L666" s="1492"/>
      <c r="M666" s="1492"/>
    </row>
    <row r="667">
      <c r="A667" s="355" t="s">
        <v>739</v>
      </c>
      <c r="B667" s="355" t="s">
        <v>203</v>
      </c>
      <c r="C667" s="1562">
        <v>14717.0</v>
      </c>
      <c r="D667" s="355">
        <v>25.0</v>
      </c>
      <c r="E667" s="1195" t="s">
        <v>203</v>
      </c>
      <c r="F667" s="1210"/>
      <c r="G667" s="1210"/>
      <c r="H667" s="1492"/>
      <c r="I667" s="1492"/>
      <c r="J667" s="1492"/>
      <c r="K667" s="1492"/>
      <c r="L667" s="1492"/>
      <c r="M667" s="1492"/>
    </row>
    <row r="668">
      <c r="A668" s="355" t="s">
        <v>740</v>
      </c>
      <c r="B668" s="355" t="s">
        <v>203</v>
      </c>
      <c r="C668" s="1562">
        <v>50923.0</v>
      </c>
      <c r="D668" s="355">
        <v>65.0</v>
      </c>
      <c r="E668" s="1195" t="s">
        <v>203</v>
      </c>
      <c r="F668" s="1210"/>
      <c r="G668" s="1210"/>
      <c r="H668" s="1492"/>
      <c r="I668" s="1492"/>
      <c r="J668" s="1492"/>
      <c r="K668" s="1492"/>
      <c r="L668" s="1492"/>
      <c r="M668" s="1492"/>
    </row>
    <row r="669">
      <c r="A669" s="355" t="s">
        <v>741</v>
      </c>
      <c r="B669" s="355" t="s">
        <v>203</v>
      </c>
      <c r="C669" s="1562">
        <v>180621.0</v>
      </c>
      <c r="D669" s="355">
        <v>190.0</v>
      </c>
      <c r="E669" s="1195" t="s">
        <v>203</v>
      </c>
      <c r="F669" s="1210"/>
      <c r="G669" s="1210"/>
      <c r="H669" s="1492"/>
      <c r="I669" s="1492"/>
      <c r="J669" s="1492"/>
      <c r="K669" s="1492"/>
      <c r="L669" s="1492"/>
      <c r="M669" s="1492"/>
    </row>
    <row r="670">
      <c r="A670" s="355" t="s">
        <v>159</v>
      </c>
      <c r="B670" s="355" t="s">
        <v>203</v>
      </c>
      <c r="C670" s="1562">
        <v>21174.0</v>
      </c>
      <c r="D670" s="355">
        <v>40.0</v>
      </c>
      <c r="E670" s="1195" t="s">
        <v>203</v>
      </c>
      <c r="F670" s="1210"/>
      <c r="G670" s="1210"/>
      <c r="H670" s="1492"/>
      <c r="I670" s="1492"/>
      <c r="J670" s="1492"/>
      <c r="K670" s="1492"/>
      <c r="L670" s="1492"/>
      <c r="M670" s="1492"/>
    </row>
    <row r="671">
      <c r="A671" s="355" t="s">
        <v>742</v>
      </c>
      <c r="B671" s="355" t="s">
        <v>203</v>
      </c>
      <c r="C671" s="1562">
        <v>16396.0</v>
      </c>
      <c r="D671" s="355">
        <v>29.0</v>
      </c>
      <c r="E671" s="1195" t="s">
        <v>203</v>
      </c>
      <c r="F671" s="1210"/>
      <c r="G671" s="1210"/>
      <c r="H671" s="1492"/>
      <c r="I671" s="1492"/>
      <c r="J671" s="1492"/>
      <c r="K671" s="1492"/>
      <c r="L671" s="1492"/>
      <c r="M671" s="1492"/>
    </row>
    <row r="672">
      <c r="A672" s="355" t="s">
        <v>162</v>
      </c>
      <c r="B672" s="355" t="s">
        <v>203</v>
      </c>
      <c r="C672" s="1562">
        <v>15611.0</v>
      </c>
      <c r="D672" s="355">
        <v>27.0</v>
      </c>
      <c r="E672" s="1195" t="s">
        <v>203</v>
      </c>
      <c r="F672" s="1210"/>
      <c r="G672" s="1210"/>
      <c r="H672" s="1492"/>
      <c r="I672" s="1492"/>
      <c r="J672" s="1492"/>
      <c r="K672" s="1492"/>
      <c r="L672" s="1492"/>
      <c r="M672" s="1492"/>
    </row>
    <row r="673">
      <c r="A673" s="355" t="s">
        <v>303</v>
      </c>
      <c r="B673" s="355" t="s">
        <v>203</v>
      </c>
      <c r="C673" s="1562">
        <v>4212.0</v>
      </c>
      <c r="D673" s="355">
        <v>12.0</v>
      </c>
      <c r="E673" s="1195" t="s">
        <v>203</v>
      </c>
      <c r="F673" s="1210"/>
      <c r="G673" s="1210"/>
      <c r="H673" s="1492"/>
      <c r="I673" s="1492"/>
      <c r="J673" s="1492"/>
      <c r="K673" s="1492"/>
      <c r="L673" s="1492"/>
      <c r="M673" s="1492"/>
    </row>
    <row r="674">
      <c r="A674" s="355" t="s">
        <v>305</v>
      </c>
      <c r="B674" s="355" t="s">
        <v>203</v>
      </c>
      <c r="C674" s="1562">
        <v>5463.0</v>
      </c>
      <c r="D674" s="355">
        <v>11.0</v>
      </c>
      <c r="E674" s="1195" t="s">
        <v>203</v>
      </c>
      <c r="F674" s="1210"/>
      <c r="G674" s="1210"/>
      <c r="H674" s="1492"/>
      <c r="I674" s="1492"/>
      <c r="J674" s="1492"/>
      <c r="K674" s="1492"/>
      <c r="L674" s="1492"/>
      <c r="M674" s="1492"/>
    </row>
    <row r="675">
      <c r="A675" s="355" t="s">
        <v>518</v>
      </c>
      <c r="B675" s="355" t="s">
        <v>203</v>
      </c>
      <c r="C675" s="1562">
        <v>5740.0</v>
      </c>
      <c r="D675" s="355">
        <v>8.0</v>
      </c>
      <c r="E675" s="1195" t="s">
        <v>203</v>
      </c>
      <c r="F675" s="1210"/>
      <c r="G675" s="1210"/>
      <c r="H675" s="1492"/>
      <c r="I675" s="1492"/>
      <c r="J675" s="1492"/>
      <c r="K675" s="1492"/>
      <c r="L675" s="1492"/>
      <c r="M675" s="1492"/>
    </row>
    <row r="676">
      <c r="A676" s="355" t="s">
        <v>163</v>
      </c>
      <c r="B676" s="355" t="s">
        <v>203</v>
      </c>
      <c r="C676" s="1562">
        <v>32106.0</v>
      </c>
      <c r="D676" s="355">
        <v>52.0</v>
      </c>
      <c r="E676" s="1195" t="s">
        <v>203</v>
      </c>
      <c r="F676" s="1210"/>
      <c r="G676" s="1210"/>
      <c r="H676" s="1492"/>
      <c r="I676" s="1492"/>
      <c r="J676" s="1492"/>
      <c r="K676" s="1492"/>
      <c r="L676" s="1492"/>
      <c r="M676" s="1492"/>
    </row>
    <row r="677">
      <c r="A677" s="355" t="s">
        <v>743</v>
      </c>
      <c r="B677" s="355" t="s">
        <v>203</v>
      </c>
      <c r="C677" s="1562">
        <v>15763.0</v>
      </c>
      <c r="D677" s="355">
        <v>27.0</v>
      </c>
      <c r="E677" s="1195" t="s">
        <v>203</v>
      </c>
      <c r="F677" s="1210"/>
      <c r="G677" s="1210"/>
      <c r="H677" s="1492"/>
      <c r="I677" s="1492"/>
      <c r="J677" s="1492"/>
      <c r="K677" s="1492"/>
      <c r="L677" s="1492"/>
      <c r="M677" s="1492"/>
    </row>
    <row r="678">
      <c r="A678" s="355" t="s">
        <v>744</v>
      </c>
      <c r="B678" s="355" t="s">
        <v>203</v>
      </c>
      <c r="C678" s="1562">
        <v>143477.0</v>
      </c>
      <c r="D678" s="355">
        <v>125.0</v>
      </c>
      <c r="E678" s="1195" t="s">
        <v>203</v>
      </c>
      <c r="F678" s="1210"/>
      <c r="G678" s="1210"/>
      <c r="H678" s="1492"/>
      <c r="I678" s="1492"/>
      <c r="J678" s="1492"/>
      <c r="K678" s="1492"/>
      <c r="L678" s="1492"/>
      <c r="M678" s="1492"/>
    </row>
    <row r="679">
      <c r="A679" s="355" t="s">
        <v>768</v>
      </c>
      <c r="B679" s="355" t="s">
        <v>203</v>
      </c>
      <c r="C679" s="1562">
        <v>261059.0</v>
      </c>
      <c r="D679" s="355">
        <v>274.0</v>
      </c>
      <c r="E679" s="1195" t="s">
        <v>203</v>
      </c>
      <c r="F679" s="1210"/>
      <c r="G679" s="1210"/>
      <c r="H679" s="1492"/>
      <c r="I679" s="1492"/>
      <c r="J679" s="1492"/>
      <c r="K679" s="1492"/>
      <c r="L679" s="1492"/>
      <c r="M679" s="1492"/>
    </row>
    <row r="680">
      <c r="A680" s="355" t="s">
        <v>308</v>
      </c>
      <c r="B680" s="355" t="s">
        <v>203</v>
      </c>
      <c r="C680" s="1562">
        <v>23906.0</v>
      </c>
      <c r="D680" s="355">
        <v>43.0</v>
      </c>
      <c r="E680" s="1195" t="s">
        <v>203</v>
      </c>
      <c r="F680" s="1210"/>
      <c r="G680" s="1210"/>
      <c r="H680" s="1492"/>
      <c r="I680" s="1492"/>
      <c r="J680" s="1492"/>
      <c r="K680" s="1492"/>
      <c r="L680" s="1492"/>
      <c r="M680" s="1492"/>
    </row>
    <row r="681">
      <c r="A681" s="355" t="s">
        <v>745</v>
      </c>
      <c r="B681" s="355" t="s">
        <v>203</v>
      </c>
      <c r="C681" s="1562">
        <v>195348.0</v>
      </c>
      <c r="D681" s="355">
        <v>173.0</v>
      </c>
      <c r="E681" s="1195" t="s">
        <v>203</v>
      </c>
      <c r="F681" s="1210"/>
      <c r="G681" s="1210"/>
      <c r="H681" s="1492"/>
      <c r="I681" s="1492"/>
      <c r="J681" s="1492"/>
      <c r="K681" s="1492"/>
      <c r="L681" s="1492"/>
      <c r="M681" s="1492"/>
    </row>
    <row r="682">
      <c r="A682" s="355" t="s">
        <v>746</v>
      </c>
      <c r="B682" s="355" t="s">
        <v>203</v>
      </c>
      <c r="C682" s="1562">
        <v>6907.0</v>
      </c>
      <c r="D682" s="355">
        <v>11.0</v>
      </c>
      <c r="E682" s="1195" t="s">
        <v>203</v>
      </c>
      <c r="F682" s="1210"/>
      <c r="G682" s="1210"/>
      <c r="H682" s="1492"/>
      <c r="I682" s="1492"/>
      <c r="J682" s="1492"/>
      <c r="K682" s="1492"/>
      <c r="L682" s="1492"/>
      <c r="M682" s="1492"/>
    </row>
    <row r="683">
      <c r="A683" s="355" t="s">
        <v>309</v>
      </c>
      <c r="B683" s="355" t="s">
        <v>203</v>
      </c>
      <c r="C683" s="1562">
        <v>4926.0</v>
      </c>
      <c r="D683" s="355">
        <v>12.0</v>
      </c>
      <c r="E683" s="1195" t="s">
        <v>203</v>
      </c>
      <c r="F683" s="1210"/>
      <c r="G683" s="1210"/>
      <c r="H683" s="1492"/>
      <c r="I683" s="1492"/>
      <c r="J683" s="1492"/>
      <c r="K683" s="1492"/>
      <c r="L683" s="1492"/>
      <c r="M683" s="1492"/>
    </row>
    <row r="684">
      <c r="A684" s="355" t="s">
        <v>168</v>
      </c>
      <c r="B684" s="355" t="s">
        <v>203</v>
      </c>
      <c r="C684" s="1562">
        <v>21741.0</v>
      </c>
      <c r="D684" s="355">
        <v>41.0</v>
      </c>
      <c r="E684" s="1195" t="s">
        <v>203</v>
      </c>
      <c r="F684" s="1210"/>
      <c r="G684" s="1210"/>
      <c r="H684" s="1492"/>
      <c r="I684" s="1492"/>
      <c r="J684" s="1492"/>
      <c r="K684" s="1492"/>
      <c r="L684" s="1492"/>
      <c r="M684" s="1492"/>
    </row>
    <row r="685">
      <c r="A685" s="355" t="s">
        <v>747</v>
      </c>
      <c r="B685" s="355" t="s">
        <v>203</v>
      </c>
      <c r="C685" s="1562">
        <v>5427.0</v>
      </c>
      <c r="D685" s="355">
        <v>14.0</v>
      </c>
      <c r="E685" s="1195" t="s">
        <v>203</v>
      </c>
      <c r="F685" s="1210"/>
      <c r="G685" s="1210"/>
      <c r="H685" s="1492"/>
      <c r="I685" s="1492"/>
      <c r="J685" s="1492"/>
      <c r="K685" s="1492"/>
      <c r="L685" s="1492"/>
      <c r="M685" s="1492"/>
    </row>
    <row r="686">
      <c r="A686" s="355" t="s">
        <v>748</v>
      </c>
      <c r="B686" s="355" t="s">
        <v>203</v>
      </c>
      <c r="C686" s="1562">
        <v>44753.0</v>
      </c>
      <c r="D686" s="355">
        <v>63.0</v>
      </c>
      <c r="E686" s="1195" t="s">
        <v>203</v>
      </c>
      <c r="F686" s="1210"/>
      <c r="G686" s="1210"/>
      <c r="H686" s="1492"/>
      <c r="I686" s="1492"/>
      <c r="J686" s="1492"/>
      <c r="K686" s="1492"/>
      <c r="L686" s="1492"/>
      <c r="M686" s="1492"/>
    </row>
    <row r="687">
      <c r="A687" s="355" t="s">
        <v>749</v>
      </c>
      <c r="B687" s="355" t="s">
        <v>203</v>
      </c>
      <c r="C687" s="1562">
        <v>132328.0</v>
      </c>
      <c r="D687" s="355">
        <v>132.0</v>
      </c>
      <c r="E687" s="1195" t="s">
        <v>203</v>
      </c>
      <c r="F687" s="1210"/>
      <c r="G687" s="1210"/>
      <c r="H687" s="1492"/>
      <c r="I687" s="1492"/>
      <c r="J687" s="1492"/>
      <c r="K687" s="1492"/>
      <c r="L687" s="1492"/>
      <c r="M687" s="1492"/>
    </row>
    <row r="688">
      <c r="A688" s="355" t="s">
        <v>316</v>
      </c>
      <c r="B688" s="355" t="s">
        <v>203</v>
      </c>
      <c r="C688" s="1562">
        <v>16841.0</v>
      </c>
      <c r="D688" s="355">
        <v>31.0</v>
      </c>
      <c r="E688" s="1195" t="s">
        <v>203</v>
      </c>
      <c r="F688" s="1210"/>
      <c r="G688" s="1210"/>
      <c r="H688" s="1492"/>
      <c r="I688" s="1492"/>
      <c r="J688" s="1492"/>
      <c r="K688" s="1492"/>
      <c r="L688" s="1492"/>
      <c r="M688" s="1492"/>
    </row>
    <row r="689">
      <c r="A689" s="355" t="s">
        <v>750</v>
      </c>
      <c r="B689" s="355" t="s">
        <v>203</v>
      </c>
      <c r="C689" s="1562">
        <v>76806.0</v>
      </c>
      <c r="D689" s="355">
        <v>104.0</v>
      </c>
      <c r="E689" s="1195" t="s">
        <v>203</v>
      </c>
      <c r="F689" s="1210"/>
      <c r="G689" s="1210"/>
      <c r="H689" s="1492"/>
      <c r="I689" s="1492"/>
      <c r="J689" s="1492"/>
      <c r="K689" s="1492"/>
      <c r="L689" s="1492"/>
      <c r="M689" s="1492"/>
    </row>
    <row r="690">
      <c r="A690" s="355" t="s">
        <v>751</v>
      </c>
      <c r="B690" s="355" t="s">
        <v>203</v>
      </c>
      <c r="C690" s="1562">
        <v>11549.0</v>
      </c>
      <c r="D690" s="355">
        <v>26.0</v>
      </c>
      <c r="E690" s="1195" t="s">
        <v>203</v>
      </c>
      <c r="F690" s="1210"/>
      <c r="G690" s="1210"/>
      <c r="H690" s="1492"/>
      <c r="I690" s="1492"/>
      <c r="J690" s="1492"/>
      <c r="K690" s="1492"/>
      <c r="L690" s="1492"/>
      <c r="M690" s="1492"/>
    </row>
    <row r="691">
      <c r="A691" s="355" t="s">
        <v>647</v>
      </c>
      <c r="B691" s="355" t="s">
        <v>203</v>
      </c>
      <c r="C691" s="1562">
        <v>17032.0</v>
      </c>
      <c r="D691" s="355">
        <v>25.0</v>
      </c>
      <c r="E691" s="1195" t="s">
        <v>203</v>
      </c>
      <c r="F691" s="1210"/>
      <c r="G691" s="1210"/>
      <c r="H691" s="1492"/>
      <c r="I691" s="1492"/>
      <c r="J691" s="1492"/>
      <c r="K691" s="1492"/>
      <c r="L691" s="1492"/>
      <c r="M691" s="1492"/>
    </row>
    <row r="692">
      <c r="A692" s="355" t="s">
        <v>119</v>
      </c>
      <c r="B692" s="355" t="s">
        <v>203</v>
      </c>
      <c r="C692" s="1562">
        <v>13995.0</v>
      </c>
      <c r="D692" s="355">
        <v>30.0</v>
      </c>
      <c r="E692" s="1195" t="s">
        <v>203</v>
      </c>
      <c r="F692" s="1210"/>
      <c r="G692" s="1210"/>
      <c r="H692" s="1492"/>
      <c r="I692" s="1492"/>
      <c r="J692" s="1492"/>
      <c r="K692" s="1492"/>
      <c r="L692" s="1492"/>
      <c r="M692" s="1492"/>
    </row>
    <row r="693">
      <c r="A693" s="355" t="s">
        <v>273</v>
      </c>
      <c r="B693" s="355" t="s">
        <v>203</v>
      </c>
      <c r="C693" s="1562">
        <v>16332.0</v>
      </c>
      <c r="D693" s="355">
        <v>28.0</v>
      </c>
      <c r="E693" s="1195" t="s">
        <v>203</v>
      </c>
      <c r="F693" s="1210"/>
      <c r="G693" s="1210"/>
      <c r="H693" s="1492"/>
      <c r="I693" s="1492"/>
      <c r="J693" s="1492"/>
      <c r="K693" s="1492"/>
      <c r="L693" s="1492"/>
      <c r="M693" s="1492"/>
    </row>
    <row r="694">
      <c r="A694" s="355" t="s">
        <v>66</v>
      </c>
      <c r="B694" s="355" t="s">
        <v>203</v>
      </c>
      <c r="C694" s="1562">
        <v>13665.0</v>
      </c>
      <c r="D694" s="355">
        <v>30.0</v>
      </c>
      <c r="E694" s="1195" t="s">
        <v>203</v>
      </c>
      <c r="F694" s="1210"/>
      <c r="G694" s="1210"/>
      <c r="H694" s="1492"/>
      <c r="I694" s="1492"/>
      <c r="J694" s="1492"/>
      <c r="K694" s="1492"/>
      <c r="L694" s="1492"/>
      <c r="M694" s="1492"/>
    </row>
    <row r="695">
      <c r="A695" s="355" t="s">
        <v>752</v>
      </c>
      <c r="B695" s="355" t="s">
        <v>203</v>
      </c>
      <c r="C695" s="1562">
        <v>55626.0</v>
      </c>
      <c r="D695" s="355">
        <v>74.0</v>
      </c>
      <c r="E695" s="1195" t="s">
        <v>203</v>
      </c>
      <c r="F695" s="1210"/>
      <c r="G695" s="1210"/>
      <c r="H695" s="1492"/>
      <c r="I695" s="1492"/>
      <c r="J695" s="1492"/>
      <c r="K695" s="1492"/>
      <c r="L695" s="1492"/>
      <c r="M695" s="1492"/>
    </row>
    <row r="696">
      <c r="A696" s="355" t="s">
        <v>573</v>
      </c>
      <c r="B696" s="355" t="s">
        <v>203</v>
      </c>
      <c r="C696" s="1562">
        <v>692310.0</v>
      </c>
      <c r="D696" s="355">
        <v>266.0</v>
      </c>
      <c r="E696" s="1195" t="s">
        <v>203</v>
      </c>
      <c r="F696" s="1210"/>
      <c r="G696" s="1210"/>
      <c r="H696" s="1492"/>
      <c r="I696" s="1492"/>
      <c r="J696" s="1492"/>
      <c r="K696" s="1492"/>
      <c r="L696" s="1492"/>
      <c r="M696" s="1492"/>
    </row>
    <row r="697">
      <c r="A697" s="355" t="s">
        <v>627</v>
      </c>
      <c r="B697" s="355" t="s">
        <v>203</v>
      </c>
      <c r="C697" s="1562">
        <v>67056.0</v>
      </c>
      <c r="D697" s="355">
        <v>88.0</v>
      </c>
      <c r="E697" s="1195" t="s">
        <v>203</v>
      </c>
      <c r="F697" s="1210"/>
      <c r="G697" s="1210"/>
      <c r="H697" s="1492"/>
      <c r="I697" s="1492"/>
      <c r="J697" s="1492"/>
      <c r="K697" s="1492"/>
      <c r="L697" s="1492"/>
      <c r="M697" s="1492"/>
    </row>
    <row r="698">
      <c r="A698" s="355" t="s">
        <v>753</v>
      </c>
      <c r="B698" s="355" t="s">
        <v>203</v>
      </c>
      <c r="C698" s="1562">
        <v>284081.0</v>
      </c>
      <c r="D698" s="355">
        <v>218.0</v>
      </c>
      <c r="E698" s="1195" t="s">
        <v>203</v>
      </c>
      <c r="F698" s="1210"/>
      <c r="G698" s="1210"/>
      <c r="H698" s="1492"/>
      <c r="I698" s="1492"/>
      <c r="J698" s="1492"/>
      <c r="K698" s="1492"/>
      <c r="L698" s="1492"/>
      <c r="M698" s="1492"/>
    </row>
    <row r="699">
      <c r="A699" s="1501" t="s">
        <v>754</v>
      </c>
      <c r="B699" s="1501" t="s">
        <v>203</v>
      </c>
      <c r="C699" s="1564">
        <v>38463.0</v>
      </c>
      <c r="D699" s="1501">
        <v>47.0</v>
      </c>
      <c r="E699" s="1195" t="s">
        <v>203</v>
      </c>
      <c r="F699" s="1210"/>
      <c r="G699" s="1210"/>
      <c r="H699" s="1492"/>
      <c r="I699" s="1492"/>
      <c r="J699" s="1492"/>
      <c r="K699" s="1492"/>
      <c r="L699" s="1492"/>
      <c r="M699" s="1492"/>
      <c r="N699" s="1489"/>
      <c r="O699" s="1489"/>
      <c r="P699" s="1489"/>
      <c r="Q699" s="1489"/>
      <c r="R699" s="1489"/>
      <c r="S699" s="1489"/>
      <c r="T699" s="1489"/>
      <c r="U699" s="1489"/>
      <c r="V699" s="1489"/>
      <c r="W699" s="1489"/>
      <c r="X699" s="1489"/>
      <c r="Y699" s="1489"/>
      <c r="Z699" s="1489"/>
    </row>
    <row r="700">
      <c r="A700" s="1490" t="s">
        <v>386</v>
      </c>
      <c r="B700" s="1490" t="s">
        <v>430</v>
      </c>
      <c r="C700" s="1597">
        <v>35636.0</v>
      </c>
      <c r="D700" s="1490">
        <v>49.0</v>
      </c>
      <c r="E700" s="1195" t="s">
        <v>430</v>
      </c>
      <c r="F700" s="1210"/>
      <c r="G700" s="1210"/>
      <c r="H700" s="1492"/>
      <c r="I700" s="1492"/>
      <c r="J700" s="1492"/>
      <c r="K700" s="1492"/>
      <c r="L700" s="1492"/>
      <c r="M700" s="1492"/>
    </row>
    <row r="701">
      <c r="A701" s="1490" t="s">
        <v>755</v>
      </c>
      <c r="B701" s="1490" t="s">
        <v>430</v>
      </c>
      <c r="C701" s="1597">
        <v>375351.0</v>
      </c>
      <c r="D701" s="1490">
        <v>300.0</v>
      </c>
      <c r="E701" s="1195" t="s">
        <v>430</v>
      </c>
      <c r="F701" s="1210"/>
      <c r="G701" s="1210"/>
      <c r="H701" s="1492"/>
      <c r="I701" s="1492"/>
      <c r="J701" s="1492"/>
      <c r="K701" s="1492"/>
      <c r="L701" s="1492"/>
      <c r="M701" s="1492"/>
    </row>
    <row r="702">
      <c r="A702" s="1490" t="s">
        <v>756</v>
      </c>
      <c r="B702" s="1490" t="s">
        <v>430</v>
      </c>
      <c r="C702" s="1597">
        <v>82753.0</v>
      </c>
      <c r="D702" s="1490">
        <v>76.0</v>
      </c>
      <c r="E702" s="1195" t="s">
        <v>430</v>
      </c>
      <c r="F702" s="1210"/>
      <c r="G702" s="1210"/>
      <c r="H702" s="1492"/>
      <c r="I702" s="1492"/>
      <c r="J702" s="1492"/>
      <c r="K702" s="1492"/>
      <c r="L702" s="1492"/>
      <c r="M702" s="1492"/>
    </row>
    <row r="703">
      <c r="A703" s="1490" t="s">
        <v>243</v>
      </c>
      <c r="B703" s="1490" t="s">
        <v>430</v>
      </c>
      <c r="C703" s="1597">
        <v>8653.0</v>
      </c>
      <c r="D703" s="1490">
        <v>12.0</v>
      </c>
      <c r="E703" s="1195" t="s">
        <v>430</v>
      </c>
      <c r="F703" s="1210"/>
      <c r="G703" s="1210"/>
      <c r="H703" s="1492"/>
      <c r="I703" s="1492"/>
      <c r="J703" s="1492"/>
      <c r="K703" s="1492"/>
      <c r="L703" s="1492"/>
      <c r="M703" s="1492"/>
    </row>
    <row r="704">
      <c r="A704" s="1490" t="s">
        <v>757</v>
      </c>
      <c r="B704" s="1490" t="s">
        <v>430</v>
      </c>
      <c r="C704" s="1597">
        <v>11930.0</v>
      </c>
      <c r="D704" s="1490">
        <v>16.0</v>
      </c>
      <c r="E704" s="1195" t="s">
        <v>430</v>
      </c>
      <c r="F704" s="1210"/>
      <c r="G704" s="1210"/>
      <c r="H704" s="1492"/>
      <c r="I704" s="1492"/>
      <c r="J704" s="1492"/>
      <c r="K704" s="1492"/>
      <c r="L704" s="1492"/>
      <c r="M704" s="1492"/>
    </row>
    <row r="705">
      <c r="A705" s="1490" t="s">
        <v>246</v>
      </c>
      <c r="B705" s="1490" t="s">
        <v>430</v>
      </c>
      <c r="C705" s="1597">
        <v>66999.0</v>
      </c>
      <c r="D705" s="1490">
        <v>48.0</v>
      </c>
      <c r="E705" s="1195" t="s">
        <v>430</v>
      </c>
      <c r="F705" s="1210"/>
      <c r="G705" s="1210"/>
      <c r="H705" s="1492"/>
      <c r="I705" s="1492"/>
      <c r="J705" s="1492"/>
      <c r="K705" s="1492"/>
      <c r="L705" s="1492"/>
      <c r="M705" s="1492"/>
    </row>
    <row r="706">
      <c r="A706" s="1490" t="s">
        <v>706</v>
      </c>
      <c r="B706" s="1490" t="s">
        <v>430</v>
      </c>
      <c r="C706" s="1597">
        <v>15234.0</v>
      </c>
      <c r="D706" s="1490">
        <v>15.0</v>
      </c>
      <c r="E706" s="1195" t="s">
        <v>430</v>
      </c>
      <c r="F706" s="1210"/>
      <c r="G706" s="1210"/>
      <c r="H706" s="1492"/>
      <c r="I706" s="1492"/>
      <c r="J706" s="1492"/>
      <c r="K706" s="1492"/>
      <c r="L706" s="1492"/>
      <c r="M706" s="1492"/>
    </row>
    <row r="707">
      <c r="A707" s="1490" t="s">
        <v>248</v>
      </c>
      <c r="B707" s="1490" t="s">
        <v>430</v>
      </c>
      <c r="C707" s="1597">
        <v>20127.0</v>
      </c>
      <c r="D707" s="1490">
        <v>36.0</v>
      </c>
      <c r="E707" s="1195" t="s">
        <v>430</v>
      </c>
      <c r="F707" s="1210"/>
      <c r="G707" s="1210"/>
      <c r="H707" s="1492"/>
      <c r="I707" s="1492"/>
      <c r="J707" s="1492"/>
      <c r="K707" s="1492"/>
      <c r="L707" s="1492"/>
      <c r="M707" s="1492"/>
    </row>
    <row r="708">
      <c r="A708" s="1490" t="s">
        <v>708</v>
      </c>
      <c r="B708" s="1490" t="s">
        <v>430</v>
      </c>
      <c r="C708" s="1597">
        <v>37955.0</v>
      </c>
      <c r="D708" s="1490">
        <v>50.0</v>
      </c>
      <c r="E708" s="1195" t="s">
        <v>430</v>
      </c>
      <c r="F708" s="1210"/>
      <c r="G708" s="1210"/>
      <c r="H708" s="1492"/>
      <c r="I708" s="1492"/>
      <c r="J708" s="1492"/>
      <c r="K708" s="1492"/>
      <c r="L708" s="1492"/>
      <c r="M708" s="1492"/>
    </row>
    <row r="709">
      <c r="A709" s="1490" t="s">
        <v>253</v>
      </c>
      <c r="B709" s="1490" t="s">
        <v>430</v>
      </c>
      <c r="C709" s="1597">
        <v>117360.0</v>
      </c>
      <c r="D709" s="1490">
        <v>98.0</v>
      </c>
      <c r="E709" s="1195" t="s">
        <v>430</v>
      </c>
      <c r="F709" s="1210"/>
      <c r="G709" s="1210"/>
      <c r="H709" s="1492"/>
      <c r="I709" s="1492"/>
      <c r="J709" s="1492"/>
      <c r="K709" s="1492"/>
      <c r="L709" s="1492"/>
      <c r="M709" s="1492"/>
    </row>
    <row r="710">
      <c r="A710" s="1490" t="s">
        <v>112</v>
      </c>
      <c r="B710" s="1490" t="s">
        <v>430</v>
      </c>
      <c r="C710" s="1597">
        <v>26170.0</v>
      </c>
      <c r="D710" s="1490">
        <v>42.0</v>
      </c>
      <c r="E710" s="1195" t="s">
        <v>430</v>
      </c>
      <c r="F710" s="1210"/>
      <c r="G710" s="1210"/>
      <c r="H710" s="1492"/>
      <c r="I710" s="1492"/>
      <c r="J710" s="1492"/>
      <c r="K710" s="1492"/>
      <c r="L710" s="1492"/>
      <c r="M710" s="1492"/>
    </row>
    <row r="711">
      <c r="A711" s="1490" t="s">
        <v>711</v>
      </c>
      <c r="B711" s="1490" t="s">
        <v>430</v>
      </c>
      <c r="C711" s="1597">
        <v>32250.0</v>
      </c>
      <c r="D711" s="1490">
        <v>53.0</v>
      </c>
      <c r="E711" s="1195" t="s">
        <v>430</v>
      </c>
      <c r="F711" s="1210"/>
      <c r="G711" s="1210"/>
      <c r="H711" s="1492"/>
      <c r="I711" s="1492"/>
      <c r="J711" s="1492"/>
      <c r="K711" s="1492"/>
      <c r="L711" s="1492"/>
      <c r="M711" s="1492"/>
    </row>
    <row r="712">
      <c r="A712" s="1490" t="s">
        <v>263</v>
      </c>
      <c r="B712" s="1490" t="s">
        <v>430</v>
      </c>
      <c r="C712" s="1597">
        <v>10558.0</v>
      </c>
      <c r="D712" s="1490">
        <v>15.0</v>
      </c>
      <c r="E712" s="1195" t="s">
        <v>430</v>
      </c>
      <c r="F712" s="1210"/>
      <c r="G712" s="1210"/>
      <c r="H712" s="1492"/>
      <c r="I712" s="1492"/>
      <c r="J712" s="1492"/>
      <c r="K712" s="1492"/>
      <c r="L712" s="1492"/>
      <c r="M712" s="1492"/>
    </row>
    <row r="713">
      <c r="A713" s="1490" t="s">
        <v>758</v>
      </c>
      <c r="B713" s="1490" t="s">
        <v>430</v>
      </c>
      <c r="C713" s="1597">
        <v>33147.0</v>
      </c>
      <c r="D713" s="1490">
        <v>57.0</v>
      </c>
      <c r="E713" s="1195" t="s">
        <v>430</v>
      </c>
      <c r="F713" s="1210"/>
      <c r="G713" s="1210"/>
      <c r="H713" s="1492"/>
      <c r="I713" s="1492"/>
      <c r="J713" s="1492"/>
      <c r="K713" s="1492"/>
      <c r="L713" s="1492"/>
      <c r="M713" s="1492"/>
    </row>
    <row r="714">
      <c r="A714" s="1490" t="s">
        <v>759</v>
      </c>
      <c r="B714" s="1490" t="s">
        <v>430</v>
      </c>
      <c r="C714" s="1597">
        <v>49568.0</v>
      </c>
      <c r="D714" s="1490">
        <v>62.0</v>
      </c>
      <c r="E714" s="1195" t="s">
        <v>430</v>
      </c>
      <c r="F714" s="1210"/>
      <c r="G714" s="1210"/>
      <c r="H714" s="1492"/>
      <c r="I714" s="1492"/>
      <c r="J714" s="1492"/>
      <c r="K714" s="1492"/>
      <c r="L714" s="1492"/>
      <c r="M714" s="1492"/>
    </row>
    <row r="715">
      <c r="A715" s="1490" t="s">
        <v>563</v>
      </c>
      <c r="B715" s="1490" t="s">
        <v>430</v>
      </c>
      <c r="C715" s="1597">
        <v>26794.0</v>
      </c>
      <c r="D715" s="1490">
        <v>32.0</v>
      </c>
      <c r="E715" s="1195" t="s">
        <v>430</v>
      </c>
      <c r="F715" s="1210"/>
      <c r="G715" s="1210"/>
      <c r="H715" s="1492"/>
      <c r="I715" s="1492"/>
      <c r="J715" s="1492"/>
      <c r="K715" s="1492"/>
      <c r="L715" s="1492"/>
      <c r="M715" s="1492"/>
    </row>
    <row r="716">
      <c r="A716" s="1490" t="s">
        <v>131</v>
      </c>
      <c r="B716" s="1490" t="s">
        <v>430</v>
      </c>
      <c r="C716" s="1597">
        <v>43226.0</v>
      </c>
      <c r="D716" s="1490">
        <v>47.0</v>
      </c>
      <c r="E716" s="1195" t="s">
        <v>430</v>
      </c>
      <c r="F716" s="1210"/>
      <c r="G716" s="1210"/>
      <c r="H716" s="1492"/>
      <c r="I716" s="1492"/>
      <c r="J716" s="1492"/>
      <c r="K716" s="1492"/>
      <c r="L716" s="1492"/>
      <c r="M716" s="1492"/>
    </row>
    <row r="717">
      <c r="A717" s="1490" t="s">
        <v>40</v>
      </c>
      <c r="B717" s="1490" t="s">
        <v>430</v>
      </c>
      <c r="C717" s="1597">
        <v>114772.0</v>
      </c>
      <c r="D717" s="1490">
        <v>127.0</v>
      </c>
      <c r="E717" s="1195" t="s">
        <v>430</v>
      </c>
      <c r="F717" s="1210"/>
      <c r="G717" s="1210"/>
      <c r="H717" s="1492"/>
      <c r="I717" s="1492"/>
      <c r="J717" s="1492"/>
      <c r="K717" s="1492"/>
      <c r="L717" s="1492"/>
      <c r="M717" s="1492"/>
    </row>
    <row r="718">
      <c r="A718" s="1490" t="s">
        <v>760</v>
      </c>
      <c r="B718" s="1490" t="s">
        <v>430</v>
      </c>
      <c r="C718" s="1597">
        <v>42565.0</v>
      </c>
      <c r="D718" s="1490">
        <v>47.0</v>
      </c>
      <c r="E718" s="1195" t="s">
        <v>430</v>
      </c>
      <c r="F718" s="1210"/>
      <c r="G718" s="1210"/>
      <c r="H718" s="1492"/>
      <c r="I718" s="1492"/>
      <c r="J718" s="1492"/>
      <c r="K718" s="1492"/>
      <c r="L718" s="1492"/>
      <c r="M718" s="1492"/>
    </row>
    <row r="719">
      <c r="A719" s="1490" t="s">
        <v>761</v>
      </c>
      <c r="B719" s="1490" t="s">
        <v>430</v>
      </c>
      <c r="C719" s="1597">
        <v>205560.0</v>
      </c>
      <c r="D719" s="1490">
        <v>200.0</v>
      </c>
      <c r="E719" s="1195" t="s">
        <v>430</v>
      </c>
      <c r="F719" s="1210"/>
      <c r="G719" s="1210"/>
      <c r="H719" s="1492"/>
      <c r="I719" s="1492"/>
      <c r="J719" s="1492"/>
      <c r="K719" s="1492"/>
      <c r="L719" s="1492"/>
      <c r="M719" s="1492"/>
    </row>
    <row r="720">
      <c r="A720" s="1490" t="s">
        <v>135</v>
      </c>
      <c r="B720" s="1490" t="s">
        <v>430</v>
      </c>
      <c r="C720" s="1597">
        <v>23047.0</v>
      </c>
      <c r="D720" s="1490">
        <v>27.0</v>
      </c>
      <c r="E720" s="1195" t="s">
        <v>430</v>
      </c>
      <c r="F720" s="1210"/>
      <c r="G720" s="1210"/>
      <c r="H720" s="1492"/>
      <c r="I720" s="1492"/>
      <c r="J720" s="1492"/>
      <c r="K720" s="1492"/>
      <c r="L720" s="1492"/>
      <c r="M720" s="1492"/>
    </row>
    <row r="721">
      <c r="A721" s="1490" t="s">
        <v>575</v>
      </c>
      <c r="B721" s="1490" t="s">
        <v>430</v>
      </c>
      <c r="C721" s="1597">
        <v>77781.0</v>
      </c>
      <c r="D721" s="1490">
        <v>74.0</v>
      </c>
      <c r="E721" s="1195" t="s">
        <v>430</v>
      </c>
      <c r="F721" s="1210"/>
      <c r="G721" s="1210"/>
      <c r="H721" s="1492"/>
      <c r="I721" s="1492"/>
      <c r="J721" s="1492"/>
      <c r="K721" s="1492"/>
      <c r="L721" s="1492"/>
      <c r="M721" s="1492"/>
    </row>
    <row r="722">
      <c r="A722" s="1490" t="s">
        <v>762</v>
      </c>
      <c r="B722" s="1490" t="s">
        <v>430</v>
      </c>
      <c r="C722" s="1597">
        <v>16351.0</v>
      </c>
      <c r="D722" s="1490">
        <v>29.0</v>
      </c>
      <c r="E722" s="1195" t="s">
        <v>430</v>
      </c>
      <c r="F722" s="1210"/>
      <c r="G722" s="1210"/>
      <c r="H722" s="1492"/>
      <c r="I722" s="1492"/>
      <c r="J722" s="1492"/>
      <c r="K722" s="1492"/>
      <c r="L722" s="1492"/>
      <c r="M722" s="1492"/>
    </row>
    <row r="723">
      <c r="A723" s="1490" t="s">
        <v>136</v>
      </c>
      <c r="B723" s="1490" t="s">
        <v>430</v>
      </c>
      <c r="C723" s="1597">
        <v>22736.0</v>
      </c>
      <c r="D723" s="1490">
        <v>30.0</v>
      </c>
      <c r="E723" s="1195" t="s">
        <v>430</v>
      </c>
      <c r="F723" s="1210"/>
      <c r="G723" s="1210"/>
      <c r="H723" s="1492"/>
      <c r="I723" s="1492"/>
      <c r="J723" s="1492"/>
      <c r="K723" s="1492"/>
      <c r="L723" s="1492"/>
      <c r="M723" s="1492"/>
    </row>
    <row r="724">
      <c r="A724" s="1490" t="s">
        <v>275</v>
      </c>
      <c r="B724" s="1490" t="s">
        <v>430</v>
      </c>
      <c r="C724" s="1597">
        <v>20092.0</v>
      </c>
      <c r="D724" s="1490">
        <v>38.0</v>
      </c>
      <c r="E724" s="1195" t="s">
        <v>430</v>
      </c>
      <c r="F724" s="1210"/>
      <c r="G724" s="1210"/>
      <c r="H724" s="1492"/>
      <c r="I724" s="1492"/>
      <c r="J724" s="1492"/>
      <c r="K724" s="1492"/>
      <c r="L724" s="1492"/>
      <c r="M724" s="1492"/>
    </row>
    <row r="725">
      <c r="A725" s="1490" t="s">
        <v>763</v>
      </c>
      <c r="B725" s="1490" t="s">
        <v>430</v>
      </c>
      <c r="C725" s="1597">
        <v>33452.0</v>
      </c>
      <c r="D725" s="1490">
        <v>51.0</v>
      </c>
      <c r="E725" s="1195" t="s">
        <v>430</v>
      </c>
      <c r="F725" s="1210"/>
      <c r="G725" s="1210"/>
      <c r="H725" s="1492"/>
      <c r="I725" s="1492"/>
      <c r="J725" s="1492"/>
      <c r="K725" s="1492"/>
      <c r="L725" s="1492"/>
      <c r="M725" s="1492"/>
    </row>
    <row r="726">
      <c r="A726" s="1490" t="s">
        <v>278</v>
      </c>
      <c r="B726" s="1490" t="s">
        <v>430</v>
      </c>
      <c r="C726" s="1597">
        <v>65936.0</v>
      </c>
      <c r="D726" s="1490">
        <v>99.0</v>
      </c>
      <c r="E726" s="1195" t="s">
        <v>430</v>
      </c>
      <c r="F726" s="1210"/>
      <c r="G726" s="1210"/>
      <c r="H726" s="1492"/>
      <c r="I726" s="1492"/>
      <c r="J726" s="1492"/>
      <c r="K726" s="1492"/>
      <c r="L726" s="1492"/>
      <c r="M726" s="1492"/>
    </row>
    <row r="727">
      <c r="A727" s="1490" t="s">
        <v>138</v>
      </c>
      <c r="B727" s="1490" t="s">
        <v>430</v>
      </c>
      <c r="C727" s="1597">
        <v>32006.0</v>
      </c>
      <c r="D727" s="1490">
        <v>49.0</v>
      </c>
      <c r="E727" s="1195" t="s">
        <v>430</v>
      </c>
      <c r="F727" s="1210"/>
      <c r="G727" s="1210"/>
      <c r="H727" s="1492"/>
      <c r="I727" s="1492"/>
      <c r="J727" s="1492"/>
      <c r="K727" s="1492"/>
      <c r="L727" s="1492"/>
      <c r="M727" s="1492"/>
    </row>
    <row r="728">
      <c r="A728" s="1490" t="s">
        <v>497</v>
      </c>
      <c r="B728" s="1490" t="s">
        <v>430</v>
      </c>
      <c r="C728" s="1597">
        <v>330086.0</v>
      </c>
      <c r="D728" s="1490">
        <v>132.0</v>
      </c>
      <c r="E728" s="1195" t="s">
        <v>430</v>
      </c>
      <c r="F728" s="1210"/>
      <c r="G728" s="1210"/>
      <c r="H728" s="1492"/>
      <c r="I728" s="1492"/>
      <c r="J728" s="1492"/>
      <c r="K728" s="1492"/>
      <c r="L728" s="1492"/>
      <c r="M728" s="1492"/>
    </row>
    <row r="729">
      <c r="A729" s="1490" t="s">
        <v>587</v>
      </c>
      <c r="B729" s="1490" t="s">
        <v>430</v>
      </c>
      <c r="C729" s="1597">
        <v>76351.0</v>
      </c>
      <c r="D729" s="1490">
        <v>63.0</v>
      </c>
      <c r="E729" s="1195" t="s">
        <v>430</v>
      </c>
      <c r="F729" s="1210"/>
      <c r="G729" s="1210"/>
      <c r="H729" s="1492"/>
      <c r="I729" s="1492"/>
      <c r="J729" s="1492"/>
      <c r="K729" s="1492"/>
      <c r="L729" s="1492"/>
      <c r="M729" s="1492"/>
    </row>
    <row r="730">
      <c r="A730" s="1490" t="s">
        <v>775</v>
      </c>
      <c r="B730" s="1490" t="s">
        <v>430</v>
      </c>
      <c r="C730" s="1597">
        <v>40350.0</v>
      </c>
      <c r="D730" s="1490">
        <v>50.0</v>
      </c>
      <c r="E730" s="1195" t="s">
        <v>430</v>
      </c>
      <c r="F730" s="1210"/>
      <c r="G730" s="1210"/>
      <c r="H730" s="1492"/>
      <c r="I730" s="1492"/>
      <c r="J730" s="1492"/>
      <c r="K730" s="1492"/>
      <c r="L730" s="1492"/>
      <c r="M730" s="1492"/>
    </row>
    <row r="731">
      <c r="A731" s="1490" t="s">
        <v>778</v>
      </c>
      <c r="B731" s="1490" t="s">
        <v>430</v>
      </c>
      <c r="C731" s="1597">
        <v>167009.0</v>
      </c>
      <c r="D731" s="1490">
        <v>107.0</v>
      </c>
      <c r="E731" s="1195" t="s">
        <v>430</v>
      </c>
      <c r="F731" s="1210"/>
      <c r="G731" s="1210"/>
      <c r="H731" s="1492"/>
      <c r="I731" s="1492"/>
      <c r="J731" s="1492"/>
      <c r="K731" s="1492"/>
      <c r="L731" s="1492"/>
      <c r="M731" s="1492"/>
    </row>
    <row r="732">
      <c r="A732" s="1490" t="s">
        <v>140</v>
      </c>
      <c r="B732" s="1490" t="s">
        <v>430</v>
      </c>
      <c r="C732" s="1597">
        <v>48271.0</v>
      </c>
      <c r="D732" s="1490">
        <v>73.0</v>
      </c>
      <c r="E732" s="1195" t="s">
        <v>430</v>
      </c>
      <c r="F732" s="1210"/>
      <c r="G732" s="1210"/>
      <c r="H732" s="1492"/>
      <c r="I732" s="1492"/>
      <c r="J732" s="1492"/>
      <c r="K732" s="1492"/>
      <c r="L732" s="1492"/>
      <c r="M732" s="1492"/>
    </row>
    <row r="733">
      <c r="A733" s="1490" t="s">
        <v>283</v>
      </c>
      <c r="B733" s="1490" t="s">
        <v>430</v>
      </c>
      <c r="C733" s="1597">
        <v>82366.0</v>
      </c>
      <c r="D733" s="1490">
        <v>110.0</v>
      </c>
      <c r="E733" s="1195" t="s">
        <v>430</v>
      </c>
      <c r="F733" s="1210"/>
      <c r="G733" s="1210"/>
      <c r="H733" s="1492"/>
      <c r="I733" s="1492"/>
      <c r="J733" s="1492"/>
      <c r="K733" s="1492"/>
      <c r="L733" s="1492"/>
      <c r="M733" s="1492"/>
    </row>
    <row r="734">
      <c r="A734" s="1490" t="s">
        <v>785</v>
      </c>
      <c r="B734" s="1490" t="s">
        <v>430</v>
      </c>
      <c r="C734" s="1597">
        <v>36240.0</v>
      </c>
      <c r="D734" s="1490">
        <v>56.0</v>
      </c>
      <c r="E734" s="1195" t="s">
        <v>430</v>
      </c>
      <c r="F734" s="1210"/>
      <c r="G734" s="1210"/>
      <c r="H734" s="1492"/>
      <c r="I734" s="1492"/>
      <c r="J734" s="1492"/>
      <c r="K734" s="1492"/>
      <c r="L734" s="1492"/>
      <c r="M734" s="1492"/>
    </row>
    <row r="735">
      <c r="A735" s="1490" t="s">
        <v>142</v>
      </c>
      <c r="B735" s="1490" t="s">
        <v>430</v>
      </c>
      <c r="C735" s="1597">
        <v>44111.0</v>
      </c>
      <c r="D735" s="1490">
        <v>68.0</v>
      </c>
      <c r="E735" s="1195" t="s">
        <v>430</v>
      </c>
      <c r="F735" s="1210"/>
      <c r="G735" s="1210"/>
      <c r="H735" s="1492"/>
      <c r="I735" s="1492"/>
      <c r="J735" s="1492"/>
      <c r="K735" s="1492"/>
      <c r="L735" s="1492"/>
      <c r="M735" s="1492"/>
    </row>
    <row r="736">
      <c r="A736" s="1490" t="s">
        <v>593</v>
      </c>
      <c r="B736" s="1490" t="s">
        <v>430</v>
      </c>
      <c r="C736" s="1597">
        <v>33370.0</v>
      </c>
      <c r="D736" s="1490">
        <v>45.0</v>
      </c>
      <c r="E736" s="1195" t="s">
        <v>430</v>
      </c>
      <c r="F736" s="1210"/>
      <c r="G736" s="1210"/>
      <c r="H736" s="1492"/>
      <c r="I736" s="1492"/>
      <c r="J736" s="1492"/>
      <c r="K736" s="1492"/>
      <c r="L736" s="1492"/>
      <c r="M736" s="1492"/>
    </row>
    <row r="737">
      <c r="A737" s="1490" t="s">
        <v>786</v>
      </c>
      <c r="B737" s="1490" t="s">
        <v>430</v>
      </c>
      <c r="C737" s="1597">
        <v>20764.0</v>
      </c>
      <c r="D737" s="1490">
        <v>31.0</v>
      </c>
      <c r="E737" s="1195" t="s">
        <v>430</v>
      </c>
      <c r="F737" s="1210"/>
      <c r="G737" s="1210"/>
      <c r="H737" s="1492"/>
      <c r="I737" s="1492"/>
      <c r="J737" s="1492"/>
      <c r="K737" s="1492"/>
      <c r="L737" s="1492"/>
      <c r="M737" s="1492"/>
    </row>
    <row r="738">
      <c r="A738" s="1490" t="s">
        <v>143</v>
      </c>
      <c r="B738" s="1490" t="s">
        <v>430</v>
      </c>
      <c r="C738" s="1597">
        <v>32208.0</v>
      </c>
      <c r="D738" s="1490">
        <v>52.0</v>
      </c>
      <c r="E738" s="1195" t="s">
        <v>430</v>
      </c>
      <c r="F738" s="1210"/>
      <c r="G738" s="1210"/>
      <c r="H738" s="1492"/>
      <c r="I738" s="1492"/>
      <c r="J738" s="1492"/>
      <c r="K738" s="1492"/>
      <c r="L738" s="1492"/>
      <c r="M738" s="1492"/>
    </row>
    <row r="739">
      <c r="A739" s="1490" t="s">
        <v>787</v>
      </c>
      <c r="B739" s="1490" t="s">
        <v>430</v>
      </c>
      <c r="C739" s="1597">
        <v>27611.0</v>
      </c>
      <c r="D739" s="1490">
        <v>39.0</v>
      </c>
      <c r="E739" s="1195" t="s">
        <v>430</v>
      </c>
      <c r="F739" s="1210"/>
      <c r="G739" s="1210"/>
      <c r="H739" s="1492"/>
      <c r="I739" s="1492"/>
      <c r="J739" s="1492"/>
      <c r="K739" s="1492"/>
      <c r="L739" s="1492"/>
      <c r="M739" s="1492"/>
    </row>
    <row r="740">
      <c r="A740" s="1490" t="s">
        <v>288</v>
      </c>
      <c r="B740" s="1490" t="s">
        <v>430</v>
      </c>
      <c r="C740" s="1597">
        <v>156225.0</v>
      </c>
      <c r="D740" s="1490">
        <v>107.0</v>
      </c>
      <c r="E740" s="1195" t="s">
        <v>430</v>
      </c>
      <c r="F740" s="1210"/>
      <c r="G740" s="1210"/>
      <c r="H740" s="1492"/>
      <c r="I740" s="1492"/>
      <c r="J740" s="1492"/>
      <c r="K740" s="1492"/>
      <c r="L740" s="1492"/>
      <c r="M740" s="1492"/>
    </row>
    <row r="741">
      <c r="A741" s="1490" t="s">
        <v>728</v>
      </c>
      <c r="B741" s="1490" t="s">
        <v>430</v>
      </c>
      <c r="C741" s="1597">
        <v>36895.0</v>
      </c>
      <c r="D741" s="1490">
        <v>55.0</v>
      </c>
      <c r="E741" s="1195" t="s">
        <v>430</v>
      </c>
      <c r="F741" s="1210"/>
      <c r="G741" s="1210"/>
      <c r="H741" s="1492"/>
      <c r="I741" s="1492"/>
      <c r="J741" s="1492"/>
      <c r="K741" s="1492"/>
      <c r="L741" s="1492"/>
      <c r="M741" s="1492"/>
    </row>
    <row r="742">
      <c r="A742" s="1490" t="s">
        <v>788</v>
      </c>
      <c r="B742" s="1490" t="s">
        <v>430</v>
      </c>
      <c r="C742" s="1597">
        <v>79344.0</v>
      </c>
      <c r="D742" s="1490">
        <v>95.0</v>
      </c>
      <c r="E742" s="1195" t="s">
        <v>430</v>
      </c>
      <c r="F742" s="1210"/>
      <c r="G742" s="1210"/>
      <c r="H742" s="1492"/>
      <c r="I742" s="1492"/>
      <c r="J742" s="1492"/>
      <c r="K742" s="1492"/>
      <c r="L742" s="1492"/>
      <c r="M742" s="1492"/>
    </row>
    <row r="743">
      <c r="A743" s="1490" t="s">
        <v>789</v>
      </c>
      <c r="B743" s="1490" t="s">
        <v>430</v>
      </c>
      <c r="C743" s="1597">
        <v>39330.0</v>
      </c>
      <c r="D743" s="1490">
        <v>36.0</v>
      </c>
      <c r="E743" s="1195" t="s">
        <v>430</v>
      </c>
      <c r="F743" s="1210"/>
      <c r="G743" s="1210"/>
      <c r="H743" s="1492"/>
      <c r="I743" s="1492"/>
      <c r="J743" s="1492"/>
      <c r="K743" s="1492"/>
      <c r="L743" s="1492"/>
      <c r="M743" s="1492"/>
    </row>
    <row r="744">
      <c r="A744" s="1490" t="s">
        <v>337</v>
      </c>
      <c r="B744" s="1490" t="s">
        <v>430</v>
      </c>
      <c r="C744" s="1597">
        <v>484411.0</v>
      </c>
      <c r="D744" s="1490">
        <v>422.0</v>
      </c>
      <c r="E744" s="1195" t="s">
        <v>430</v>
      </c>
      <c r="F744" s="1210"/>
      <c r="G744" s="1210"/>
      <c r="H744" s="1492"/>
      <c r="I744" s="1492"/>
      <c r="J744" s="1492"/>
      <c r="K744" s="1492"/>
      <c r="L744" s="1492"/>
      <c r="M744" s="1492"/>
    </row>
    <row r="745">
      <c r="A745" s="1490" t="s">
        <v>790</v>
      </c>
      <c r="B745" s="1490" t="s">
        <v>430</v>
      </c>
      <c r="C745" s="1597">
        <v>110007.0</v>
      </c>
      <c r="D745" s="1490">
        <v>115.0</v>
      </c>
      <c r="E745" s="1195" t="s">
        <v>430</v>
      </c>
      <c r="F745" s="1210"/>
      <c r="G745" s="1210"/>
      <c r="H745" s="1492"/>
      <c r="I745" s="1492"/>
      <c r="J745" s="1492"/>
      <c r="K745" s="1492"/>
      <c r="L745" s="1492"/>
      <c r="M745" s="1492"/>
    </row>
    <row r="746">
      <c r="A746" s="1490" t="s">
        <v>146</v>
      </c>
      <c r="B746" s="1490" t="s">
        <v>430</v>
      </c>
      <c r="C746" s="1597">
        <v>45668.0</v>
      </c>
      <c r="D746" s="1490">
        <v>73.0</v>
      </c>
      <c r="E746" s="1195" t="s">
        <v>430</v>
      </c>
      <c r="F746" s="1210"/>
      <c r="G746" s="1210"/>
      <c r="H746" s="1492"/>
      <c r="I746" s="1492"/>
      <c r="J746" s="1492"/>
      <c r="K746" s="1492"/>
      <c r="L746" s="1492"/>
      <c r="M746" s="1492"/>
    </row>
    <row r="747">
      <c r="A747" s="1490" t="s">
        <v>151</v>
      </c>
      <c r="B747" s="1490" t="s">
        <v>430</v>
      </c>
      <c r="C747" s="1597">
        <v>129641.0</v>
      </c>
      <c r="D747" s="1490">
        <v>142.0</v>
      </c>
      <c r="E747" s="1195" t="s">
        <v>430</v>
      </c>
      <c r="F747" s="1210"/>
      <c r="G747" s="1210"/>
      <c r="H747" s="1492"/>
      <c r="I747" s="1492"/>
      <c r="J747" s="1492"/>
      <c r="K747" s="1492"/>
      <c r="L747" s="1492"/>
      <c r="M747" s="1492"/>
    </row>
    <row r="748">
      <c r="A748" s="1490" t="s">
        <v>153</v>
      </c>
      <c r="B748" s="1490" t="s">
        <v>430</v>
      </c>
      <c r="C748" s="1597">
        <v>954670.0</v>
      </c>
      <c r="D748" s="1490">
        <v>732.0</v>
      </c>
      <c r="E748" s="1195" t="s">
        <v>430</v>
      </c>
      <c r="F748" s="1210"/>
      <c r="G748" s="1210"/>
      <c r="H748" s="1492"/>
      <c r="I748" s="1492"/>
      <c r="J748" s="1492"/>
      <c r="K748" s="1492"/>
      <c r="L748" s="1492"/>
      <c r="M748" s="1492"/>
    </row>
    <row r="749">
      <c r="A749" s="1490" t="s">
        <v>154</v>
      </c>
      <c r="B749" s="1490" t="s">
        <v>430</v>
      </c>
      <c r="C749" s="1597">
        <v>46248.0</v>
      </c>
      <c r="D749" s="1490">
        <v>63.0</v>
      </c>
      <c r="E749" s="1195" t="s">
        <v>430</v>
      </c>
      <c r="F749" s="1210"/>
      <c r="G749" s="1210"/>
      <c r="H749" s="1492"/>
      <c r="I749" s="1492"/>
      <c r="J749" s="1492"/>
      <c r="K749" s="1492"/>
      <c r="L749" s="1492"/>
      <c r="M749" s="1492"/>
    </row>
    <row r="750">
      <c r="A750" s="1490" t="s">
        <v>510</v>
      </c>
      <c r="B750" s="1490" t="s">
        <v>430</v>
      </c>
      <c r="C750" s="1597">
        <v>10217.0</v>
      </c>
      <c r="D750" s="1490">
        <v>18.0</v>
      </c>
      <c r="E750" s="1195" t="s">
        <v>430</v>
      </c>
      <c r="F750" s="1210"/>
      <c r="G750" s="1210"/>
      <c r="H750" s="1492"/>
      <c r="I750" s="1492"/>
      <c r="J750" s="1492"/>
      <c r="K750" s="1492"/>
      <c r="L750" s="1492"/>
      <c r="M750" s="1492"/>
    </row>
    <row r="751">
      <c r="A751" s="1490" t="s">
        <v>791</v>
      </c>
      <c r="B751" s="1490" t="s">
        <v>430</v>
      </c>
      <c r="C751" s="1597">
        <v>35567.0</v>
      </c>
      <c r="D751" s="1490">
        <v>52.0</v>
      </c>
      <c r="E751" s="1195" t="s">
        <v>430</v>
      </c>
      <c r="F751" s="1210"/>
      <c r="G751" s="1210"/>
      <c r="H751" s="1492"/>
      <c r="I751" s="1492"/>
      <c r="J751" s="1492"/>
      <c r="K751" s="1492"/>
      <c r="L751" s="1492"/>
      <c r="M751" s="1492"/>
    </row>
    <row r="752">
      <c r="A752" s="1490" t="s">
        <v>156</v>
      </c>
      <c r="B752" s="1490" t="s">
        <v>430</v>
      </c>
      <c r="C752" s="1597">
        <v>146917.0</v>
      </c>
      <c r="D752" s="1490">
        <v>105.0</v>
      </c>
      <c r="E752" s="1195" t="s">
        <v>430</v>
      </c>
      <c r="F752" s="1210"/>
      <c r="G752" s="1210"/>
      <c r="H752" s="1492"/>
      <c r="I752" s="1492"/>
      <c r="J752" s="1492"/>
      <c r="K752" s="1492"/>
      <c r="L752" s="1492"/>
      <c r="M752" s="1492"/>
    </row>
    <row r="753">
      <c r="A753" s="1490" t="s">
        <v>157</v>
      </c>
      <c r="B753" s="1490" t="s">
        <v>430</v>
      </c>
      <c r="C753" s="1597">
        <v>38346.0</v>
      </c>
      <c r="D753" s="1490">
        <v>53.0</v>
      </c>
      <c r="E753" s="1195" t="s">
        <v>430</v>
      </c>
      <c r="F753" s="1210"/>
      <c r="G753" s="1210"/>
      <c r="H753" s="1492"/>
      <c r="I753" s="1492"/>
      <c r="J753" s="1492"/>
      <c r="K753" s="1492"/>
      <c r="L753" s="1492"/>
      <c r="M753" s="1492"/>
    </row>
    <row r="754">
      <c r="A754" s="1490" t="s">
        <v>158</v>
      </c>
      <c r="B754" s="1490" t="s">
        <v>430</v>
      </c>
      <c r="C754" s="1597">
        <v>70116.0</v>
      </c>
      <c r="D754" s="1490">
        <v>70.0</v>
      </c>
      <c r="E754" s="1195" t="s">
        <v>430</v>
      </c>
      <c r="F754" s="1210"/>
      <c r="G754" s="1210"/>
      <c r="H754" s="1492"/>
      <c r="I754" s="1492"/>
      <c r="J754" s="1492"/>
      <c r="K754" s="1492"/>
      <c r="L754" s="1492"/>
      <c r="M754" s="1492"/>
    </row>
    <row r="755">
      <c r="A755" s="1490" t="s">
        <v>297</v>
      </c>
      <c r="B755" s="1490" t="s">
        <v>430</v>
      </c>
      <c r="C755" s="1597">
        <v>14011.0</v>
      </c>
      <c r="D755" s="1490">
        <v>20.0</v>
      </c>
      <c r="E755" s="1195" t="s">
        <v>430</v>
      </c>
      <c r="F755" s="1210"/>
      <c r="G755" s="1210"/>
      <c r="H755" s="1492"/>
      <c r="I755" s="1492"/>
      <c r="J755" s="1492"/>
      <c r="K755" s="1492"/>
      <c r="L755" s="1492"/>
      <c r="M755" s="1492"/>
    </row>
    <row r="756">
      <c r="A756" s="1490" t="s">
        <v>793</v>
      </c>
      <c r="B756" s="1490" t="s">
        <v>430</v>
      </c>
      <c r="C756" s="1597">
        <v>47532.0</v>
      </c>
      <c r="D756" s="1490">
        <v>61.0</v>
      </c>
      <c r="E756" s="1195" t="s">
        <v>430</v>
      </c>
      <c r="F756" s="1210"/>
      <c r="G756" s="1210"/>
      <c r="H756" s="1492"/>
      <c r="I756" s="1492"/>
      <c r="J756" s="1492"/>
      <c r="K756" s="1492"/>
      <c r="L756" s="1492"/>
      <c r="M756" s="1492"/>
    </row>
    <row r="757">
      <c r="A757" s="1490" t="s">
        <v>100</v>
      </c>
      <c r="B757" s="1490" t="s">
        <v>430</v>
      </c>
      <c r="C757" s="1597">
        <v>5844.0</v>
      </c>
      <c r="D757" s="1490">
        <v>10.0</v>
      </c>
      <c r="E757" s="1195" t="s">
        <v>430</v>
      </c>
      <c r="F757" s="1210"/>
      <c r="G757" s="1210"/>
      <c r="H757" s="1492"/>
      <c r="I757" s="1492"/>
      <c r="J757" s="1492"/>
      <c r="K757" s="1492"/>
      <c r="L757" s="1492"/>
      <c r="M757" s="1492"/>
    </row>
    <row r="758">
      <c r="A758" s="1490" t="s">
        <v>241</v>
      </c>
      <c r="B758" s="1490" t="s">
        <v>430</v>
      </c>
      <c r="C758" s="1597">
        <v>19489.0</v>
      </c>
      <c r="D758" s="1490">
        <v>40.0</v>
      </c>
      <c r="E758" s="1195" t="s">
        <v>430</v>
      </c>
      <c r="F758" s="1210"/>
      <c r="G758" s="1210"/>
      <c r="H758" s="1492"/>
      <c r="I758" s="1492"/>
      <c r="J758" s="1492"/>
      <c r="K758" s="1492"/>
      <c r="L758" s="1492"/>
      <c r="M758" s="1492"/>
    </row>
    <row r="759">
      <c r="A759" s="1490" t="s">
        <v>802</v>
      </c>
      <c r="B759" s="1490" t="s">
        <v>430</v>
      </c>
      <c r="C759" s="1597">
        <v>20845.0</v>
      </c>
      <c r="D759" s="1490">
        <v>34.0</v>
      </c>
      <c r="E759" s="1195" t="s">
        <v>430</v>
      </c>
      <c r="F759" s="1210"/>
      <c r="G759" s="1210"/>
      <c r="H759" s="1492"/>
      <c r="I759" s="1492"/>
      <c r="J759" s="1492"/>
      <c r="K759" s="1492"/>
      <c r="L759" s="1492"/>
      <c r="M759" s="1492"/>
    </row>
    <row r="760">
      <c r="A760" s="1490" t="s">
        <v>807</v>
      </c>
      <c r="B760" s="1490" t="s">
        <v>430</v>
      </c>
      <c r="C760" s="1597">
        <v>16927.0</v>
      </c>
      <c r="D760" s="1490">
        <v>20.0</v>
      </c>
      <c r="E760" s="1195" t="s">
        <v>430</v>
      </c>
      <c r="F760" s="1210"/>
      <c r="G760" s="1210"/>
      <c r="H760" s="1492"/>
      <c r="I760" s="1492"/>
      <c r="J760" s="1492"/>
      <c r="K760" s="1492"/>
      <c r="L760" s="1492"/>
      <c r="M760" s="1492"/>
    </row>
    <row r="761">
      <c r="A761" s="1490" t="s">
        <v>159</v>
      </c>
      <c r="B761" s="1490" t="s">
        <v>430</v>
      </c>
      <c r="C761" s="1597">
        <v>19102.0</v>
      </c>
      <c r="D761" s="1490">
        <v>18.0</v>
      </c>
      <c r="E761" s="1195" t="s">
        <v>430</v>
      </c>
      <c r="F761" s="1210"/>
      <c r="G761" s="1210"/>
      <c r="H761" s="1492"/>
      <c r="I761" s="1492"/>
      <c r="J761" s="1492"/>
      <c r="K761" s="1492"/>
      <c r="L761" s="1492"/>
      <c r="M761" s="1492"/>
    </row>
    <row r="762">
      <c r="A762" s="1490" t="s">
        <v>162</v>
      </c>
      <c r="B762" s="1490" t="s">
        <v>430</v>
      </c>
      <c r="C762" s="1597">
        <v>12410.0</v>
      </c>
      <c r="D762" s="1490">
        <v>19.0</v>
      </c>
      <c r="E762" s="1195" t="s">
        <v>430</v>
      </c>
      <c r="F762" s="1210"/>
      <c r="G762" s="1210"/>
      <c r="H762" s="1492"/>
      <c r="I762" s="1492"/>
      <c r="J762" s="1492"/>
      <c r="K762" s="1492"/>
      <c r="L762" s="1492"/>
      <c r="M762" s="1492"/>
    </row>
    <row r="763">
      <c r="A763" s="1490" t="s">
        <v>819</v>
      </c>
      <c r="B763" s="1490" t="s">
        <v>430</v>
      </c>
      <c r="C763" s="1597">
        <v>169594.0</v>
      </c>
      <c r="D763" s="1490">
        <v>113.0</v>
      </c>
      <c r="E763" s="1195" t="s">
        <v>430</v>
      </c>
      <c r="F763" s="1210"/>
      <c r="G763" s="1210"/>
      <c r="H763" s="1492"/>
      <c r="I763" s="1492"/>
      <c r="J763" s="1492"/>
      <c r="K763" s="1492"/>
      <c r="L763" s="1492"/>
      <c r="M763" s="1492"/>
    </row>
    <row r="764">
      <c r="A764" s="1490" t="s">
        <v>823</v>
      </c>
      <c r="B764" s="1490" t="s">
        <v>430</v>
      </c>
      <c r="C764" s="1597">
        <v>25540.0</v>
      </c>
      <c r="D764" s="1490">
        <v>32.0</v>
      </c>
      <c r="E764" s="1195" t="s">
        <v>430</v>
      </c>
      <c r="F764" s="1210"/>
      <c r="G764" s="1210"/>
      <c r="H764" s="1492"/>
      <c r="I764" s="1492"/>
      <c r="J764" s="1492"/>
      <c r="K764" s="1492"/>
      <c r="L764" s="1492"/>
      <c r="M764" s="1492"/>
    </row>
    <row r="765">
      <c r="A765" s="1490" t="s">
        <v>305</v>
      </c>
      <c r="B765" s="1490" t="s">
        <v>430</v>
      </c>
      <c r="C765" s="1597">
        <v>12469.0</v>
      </c>
      <c r="D765" s="1490">
        <v>22.0</v>
      </c>
      <c r="E765" s="1195" t="s">
        <v>430</v>
      </c>
      <c r="F765" s="1210"/>
      <c r="G765" s="1210"/>
      <c r="H765" s="1492"/>
      <c r="I765" s="1492"/>
      <c r="J765" s="1492"/>
      <c r="K765" s="1492"/>
      <c r="L765" s="1492"/>
      <c r="M765" s="1492"/>
    </row>
    <row r="766">
      <c r="A766" s="1490" t="s">
        <v>518</v>
      </c>
      <c r="B766" s="1490" t="s">
        <v>430</v>
      </c>
      <c r="C766" s="1597">
        <v>37779.0</v>
      </c>
      <c r="D766" s="1490">
        <v>39.0</v>
      </c>
      <c r="E766" s="1195" t="s">
        <v>430</v>
      </c>
      <c r="F766" s="1210"/>
      <c r="G766" s="1210"/>
      <c r="H766" s="1492"/>
      <c r="I766" s="1492"/>
      <c r="J766" s="1492"/>
      <c r="K766" s="1492"/>
      <c r="L766" s="1492"/>
      <c r="M766" s="1492"/>
    </row>
    <row r="767">
      <c r="A767" s="1490" t="s">
        <v>163</v>
      </c>
      <c r="B767" s="1490" t="s">
        <v>430</v>
      </c>
      <c r="C767" s="1597">
        <v>24851.0</v>
      </c>
      <c r="D767" s="1490">
        <v>40.0</v>
      </c>
      <c r="E767" s="1195" t="s">
        <v>430</v>
      </c>
      <c r="F767" s="1210"/>
      <c r="G767" s="1210"/>
      <c r="H767" s="1492"/>
      <c r="I767" s="1492"/>
      <c r="J767" s="1492"/>
      <c r="K767" s="1492"/>
      <c r="L767" s="1492"/>
      <c r="M767" s="1492"/>
    </row>
    <row r="768">
      <c r="A768" s="1490" t="s">
        <v>839</v>
      </c>
      <c r="B768" s="1490" t="s">
        <v>430</v>
      </c>
      <c r="C768" s="1597">
        <v>28523.0</v>
      </c>
      <c r="D768" s="1490">
        <v>44.0</v>
      </c>
      <c r="E768" s="1195" t="s">
        <v>430</v>
      </c>
      <c r="F768" s="1210"/>
      <c r="G768" s="1210"/>
      <c r="H768" s="1492"/>
      <c r="I768" s="1492"/>
      <c r="J768" s="1492"/>
      <c r="K768" s="1492"/>
      <c r="L768" s="1492"/>
      <c r="M768" s="1492"/>
    </row>
    <row r="769">
      <c r="A769" s="1490" t="s">
        <v>842</v>
      </c>
      <c r="B769" s="1490" t="s">
        <v>430</v>
      </c>
      <c r="C769" s="1597">
        <v>16663.0</v>
      </c>
      <c r="D769" s="1490">
        <v>25.0</v>
      </c>
      <c r="E769" s="1195" t="s">
        <v>430</v>
      </c>
      <c r="F769" s="1210"/>
      <c r="G769" s="1210"/>
      <c r="H769" s="1492"/>
      <c r="I769" s="1492"/>
      <c r="J769" s="1492"/>
      <c r="K769" s="1492"/>
      <c r="L769" s="1492"/>
      <c r="M769" s="1492"/>
    </row>
    <row r="770">
      <c r="A770" s="1490" t="s">
        <v>2614</v>
      </c>
      <c r="B770" s="1490" t="s">
        <v>430</v>
      </c>
      <c r="C770" s="1597">
        <v>270771.0</v>
      </c>
      <c r="D770" s="1490">
        <v>218.0</v>
      </c>
      <c r="E770" s="1195" t="s">
        <v>430</v>
      </c>
      <c r="F770" s="1210"/>
      <c r="G770" s="1210"/>
      <c r="H770" s="1492"/>
      <c r="I770" s="1492"/>
      <c r="J770" s="1492"/>
      <c r="K770" s="1492"/>
      <c r="L770" s="1492"/>
      <c r="M770" s="1492"/>
    </row>
    <row r="771">
      <c r="A771" s="1490" t="s">
        <v>309</v>
      </c>
      <c r="B771" s="1490" t="s">
        <v>430</v>
      </c>
      <c r="C771" s="1597">
        <v>23878.0</v>
      </c>
      <c r="D771" s="1490">
        <v>33.0</v>
      </c>
      <c r="E771" s="1195" t="s">
        <v>430</v>
      </c>
      <c r="F771" s="1210"/>
      <c r="G771" s="1210"/>
      <c r="H771" s="1492"/>
      <c r="I771" s="1492"/>
      <c r="J771" s="1492"/>
      <c r="K771" s="1492"/>
      <c r="L771" s="1492"/>
      <c r="M771" s="1492"/>
    </row>
    <row r="772">
      <c r="A772" s="1490" t="s">
        <v>168</v>
      </c>
      <c r="B772" s="1490" t="s">
        <v>430</v>
      </c>
      <c r="C772" s="1597">
        <v>44593.0</v>
      </c>
      <c r="D772" s="1490">
        <v>60.0</v>
      </c>
      <c r="E772" s="1195" t="s">
        <v>430</v>
      </c>
      <c r="F772" s="1210"/>
      <c r="G772" s="1210"/>
      <c r="H772" s="1492"/>
      <c r="I772" s="1492"/>
      <c r="J772" s="1492"/>
      <c r="K772" s="1492"/>
      <c r="L772" s="1492"/>
      <c r="M772" s="1492"/>
    </row>
    <row r="773">
      <c r="A773" s="1490" t="s">
        <v>854</v>
      </c>
      <c r="B773" s="1490" t="s">
        <v>430</v>
      </c>
      <c r="C773" s="1597">
        <v>20327.0</v>
      </c>
      <c r="D773" s="1490">
        <v>28.0</v>
      </c>
      <c r="E773" s="1195" t="s">
        <v>430</v>
      </c>
      <c r="F773" s="1210"/>
      <c r="G773" s="1210"/>
      <c r="H773" s="1492"/>
      <c r="I773" s="1492"/>
      <c r="J773" s="1492"/>
      <c r="K773" s="1492"/>
      <c r="L773" s="1492"/>
      <c r="M773" s="1492"/>
    </row>
    <row r="774">
      <c r="A774" s="1490" t="s">
        <v>856</v>
      </c>
      <c r="B774" s="1490" t="s">
        <v>430</v>
      </c>
      <c r="C774" s="1597">
        <v>22935.0</v>
      </c>
      <c r="D774" s="1490">
        <v>28.0</v>
      </c>
      <c r="E774" s="1195" t="s">
        <v>430</v>
      </c>
      <c r="F774" s="1210"/>
      <c r="G774" s="1210"/>
      <c r="H774" s="1492"/>
      <c r="I774" s="1492"/>
      <c r="J774" s="1492"/>
      <c r="K774" s="1492"/>
      <c r="L774" s="1492"/>
      <c r="M774" s="1492"/>
    </row>
    <row r="775">
      <c r="A775" s="1490" t="s">
        <v>859</v>
      </c>
      <c r="B775" s="1490" t="s">
        <v>430</v>
      </c>
      <c r="C775" s="1597">
        <v>34586.0</v>
      </c>
      <c r="D775" s="1490">
        <v>39.0</v>
      </c>
      <c r="E775" s="1195" t="s">
        <v>430</v>
      </c>
      <c r="F775" s="1210"/>
      <c r="G775" s="1210"/>
      <c r="H775" s="1492"/>
      <c r="I775" s="1492"/>
      <c r="J775" s="1492"/>
      <c r="K775" s="1492"/>
      <c r="L775" s="1492"/>
      <c r="M775" s="1492"/>
    </row>
    <row r="776">
      <c r="A776" s="1490" t="s">
        <v>860</v>
      </c>
      <c r="B776" s="1490" t="s">
        <v>430</v>
      </c>
      <c r="C776" s="1597">
        <v>20690.0</v>
      </c>
      <c r="D776" s="1490">
        <v>32.0</v>
      </c>
      <c r="E776" s="1195" t="s">
        <v>430</v>
      </c>
      <c r="F776" s="1210"/>
      <c r="G776" s="1210"/>
      <c r="H776" s="1492"/>
      <c r="I776" s="1492"/>
      <c r="J776" s="1492"/>
      <c r="K776" s="1492"/>
      <c r="L776" s="1492"/>
      <c r="M776" s="1492"/>
    </row>
    <row r="777">
      <c r="A777" s="1490" t="s">
        <v>862</v>
      </c>
      <c r="B777" s="1490" t="s">
        <v>430</v>
      </c>
      <c r="C777" s="1597">
        <v>10717.0</v>
      </c>
      <c r="D777" s="1490">
        <v>10.0</v>
      </c>
      <c r="E777" s="1195" t="s">
        <v>430</v>
      </c>
      <c r="F777" s="1210"/>
      <c r="G777" s="1210"/>
      <c r="H777" s="1492"/>
      <c r="I777" s="1492"/>
      <c r="J777" s="1492"/>
      <c r="K777" s="1492"/>
      <c r="L777" s="1492"/>
      <c r="M777" s="1492"/>
    </row>
    <row r="778">
      <c r="A778" s="1490" t="s">
        <v>864</v>
      </c>
      <c r="B778" s="1490" t="s">
        <v>430</v>
      </c>
      <c r="C778" s="1597">
        <v>193048.0</v>
      </c>
      <c r="D778" s="1490">
        <v>110.0</v>
      </c>
      <c r="E778" s="1195" t="s">
        <v>430</v>
      </c>
      <c r="F778" s="1210"/>
      <c r="G778" s="1210"/>
      <c r="H778" s="1492"/>
      <c r="I778" s="1492"/>
      <c r="J778" s="1492"/>
      <c r="K778" s="1492"/>
      <c r="L778" s="1492"/>
      <c r="M778" s="1492"/>
    </row>
    <row r="779">
      <c r="A779" s="1490" t="s">
        <v>865</v>
      </c>
      <c r="B779" s="1490" t="s">
        <v>430</v>
      </c>
      <c r="C779" s="1597">
        <v>15128.0</v>
      </c>
      <c r="D779" s="1490">
        <v>23.0</v>
      </c>
      <c r="E779" s="1195" t="s">
        <v>430</v>
      </c>
      <c r="F779" s="1210"/>
      <c r="G779" s="1210"/>
      <c r="H779" s="1492"/>
      <c r="I779" s="1492"/>
      <c r="J779" s="1492"/>
      <c r="K779" s="1492"/>
      <c r="L779" s="1492"/>
      <c r="M779" s="1492"/>
    </row>
    <row r="780">
      <c r="A780" s="1490" t="s">
        <v>316</v>
      </c>
      <c r="B780" s="1490" t="s">
        <v>430</v>
      </c>
      <c r="C780" s="1597">
        <v>7037.0</v>
      </c>
      <c r="D780" s="1490">
        <v>5.0</v>
      </c>
      <c r="E780" s="1195" t="s">
        <v>430</v>
      </c>
      <c r="F780" s="1210"/>
      <c r="G780" s="1210"/>
      <c r="H780" s="1492"/>
      <c r="I780" s="1492"/>
      <c r="J780" s="1492"/>
      <c r="K780" s="1492"/>
      <c r="L780" s="1492"/>
      <c r="M780" s="1492"/>
    </row>
    <row r="781">
      <c r="A781" s="1490" t="s">
        <v>866</v>
      </c>
      <c r="B781" s="1490" t="s">
        <v>430</v>
      </c>
      <c r="C781" s="1597">
        <v>180974.0</v>
      </c>
      <c r="D781" s="1490">
        <v>168.0</v>
      </c>
      <c r="E781" s="1195" t="s">
        <v>430</v>
      </c>
      <c r="F781" s="1210"/>
      <c r="G781" s="1210"/>
      <c r="H781" s="1492"/>
      <c r="I781" s="1492"/>
      <c r="J781" s="1492"/>
      <c r="K781" s="1492"/>
      <c r="L781" s="1492"/>
      <c r="M781" s="1492"/>
    </row>
    <row r="782">
      <c r="A782" s="1490" t="s">
        <v>868</v>
      </c>
      <c r="B782" s="1490" t="s">
        <v>430</v>
      </c>
      <c r="C782" s="1597">
        <v>15479.0</v>
      </c>
      <c r="D782" s="1490">
        <v>15.0</v>
      </c>
      <c r="E782" s="1195" t="s">
        <v>430</v>
      </c>
      <c r="F782" s="1210"/>
      <c r="G782" s="1210"/>
      <c r="H782" s="1492"/>
      <c r="I782" s="1492"/>
      <c r="J782" s="1492"/>
      <c r="K782" s="1492"/>
      <c r="L782" s="1492"/>
      <c r="M782" s="1492"/>
    </row>
    <row r="783">
      <c r="A783" s="1490" t="s">
        <v>870</v>
      </c>
      <c r="B783" s="1490" t="s">
        <v>430</v>
      </c>
      <c r="C783" s="1597">
        <v>107386.0</v>
      </c>
      <c r="D783" s="1490">
        <v>99.0</v>
      </c>
      <c r="E783" s="1195" t="s">
        <v>430</v>
      </c>
      <c r="F783" s="1210"/>
      <c r="G783" s="1210"/>
      <c r="H783" s="1492"/>
      <c r="I783" s="1492"/>
      <c r="J783" s="1492"/>
      <c r="K783" s="1492"/>
      <c r="L783" s="1492"/>
      <c r="M783" s="1492"/>
    </row>
    <row r="784">
      <c r="A784" s="1490" t="s">
        <v>751</v>
      </c>
      <c r="B784" s="1490" t="s">
        <v>430</v>
      </c>
      <c r="C784" s="1597">
        <v>31280.0</v>
      </c>
      <c r="D784" s="1490">
        <v>52.0</v>
      </c>
      <c r="E784" s="1195" t="s">
        <v>430</v>
      </c>
      <c r="F784" s="1210"/>
      <c r="G784" s="1210"/>
      <c r="H784" s="1492"/>
      <c r="I784" s="1492"/>
      <c r="J784" s="1492"/>
      <c r="K784" s="1492"/>
      <c r="L784" s="1492"/>
      <c r="M784" s="1492"/>
    </row>
    <row r="785">
      <c r="A785" s="1490" t="s">
        <v>647</v>
      </c>
      <c r="B785" s="1490" t="s">
        <v>430</v>
      </c>
      <c r="C785" s="1597">
        <v>8263.0</v>
      </c>
      <c r="D785" s="1490">
        <v>14.0</v>
      </c>
      <c r="E785" s="1195" t="s">
        <v>430</v>
      </c>
      <c r="F785" s="1210"/>
      <c r="G785" s="1210"/>
      <c r="H785" s="1492"/>
      <c r="I785" s="1492"/>
      <c r="J785" s="1492"/>
      <c r="K785" s="1492"/>
      <c r="L785" s="1492"/>
      <c r="M785" s="1492"/>
    </row>
    <row r="786">
      <c r="A786" s="1490" t="s">
        <v>872</v>
      </c>
      <c r="B786" s="1490" t="s">
        <v>430</v>
      </c>
      <c r="C786" s="1597">
        <v>62567.0</v>
      </c>
      <c r="D786" s="1490">
        <v>53.0</v>
      </c>
      <c r="E786" s="1195" t="s">
        <v>430</v>
      </c>
      <c r="F786" s="1210"/>
      <c r="G786" s="1210"/>
      <c r="H786" s="1492"/>
      <c r="I786" s="1492"/>
      <c r="J786" s="1492"/>
      <c r="K786" s="1492"/>
      <c r="L786" s="1492"/>
      <c r="M786" s="1492"/>
    </row>
    <row r="787">
      <c r="A787" s="1490" t="s">
        <v>119</v>
      </c>
      <c r="B787" s="1490" t="s">
        <v>430</v>
      </c>
      <c r="C787" s="1597">
        <v>27943.0</v>
      </c>
      <c r="D787" s="1490">
        <v>39.0</v>
      </c>
      <c r="E787" s="1195" t="s">
        <v>430</v>
      </c>
      <c r="F787" s="1210"/>
      <c r="G787" s="1210"/>
      <c r="H787" s="1492"/>
      <c r="I787" s="1492"/>
      <c r="J787" s="1492"/>
      <c r="K787" s="1492"/>
      <c r="L787" s="1492"/>
      <c r="M787" s="1492"/>
    </row>
    <row r="788">
      <c r="A788" s="1490" t="s">
        <v>273</v>
      </c>
      <c r="B788" s="1490" t="s">
        <v>430</v>
      </c>
      <c r="C788" s="1597">
        <v>65936.0</v>
      </c>
      <c r="D788" s="1490">
        <v>80.0</v>
      </c>
      <c r="E788" s="1195" t="s">
        <v>430</v>
      </c>
      <c r="F788" s="1210"/>
      <c r="G788" s="1210"/>
      <c r="H788" s="1492"/>
      <c r="I788" s="1492"/>
      <c r="J788" s="1492"/>
      <c r="K788" s="1492"/>
      <c r="L788" s="1492"/>
      <c r="M788" s="1492"/>
    </row>
    <row r="789">
      <c r="A789" s="1490" t="s">
        <v>876</v>
      </c>
      <c r="B789" s="1490" t="s">
        <v>430</v>
      </c>
      <c r="C789" s="1597">
        <v>28206.0</v>
      </c>
      <c r="D789" s="1490">
        <v>45.0</v>
      </c>
      <c r="E789" s="1195" t="s">
        <v>430</v>
      </c>
      <c r="F789" s="1210"/>
      <c r="G789" s="1210"/>
      <c r="H789" s="1492"/>
      <c r="I789" s="1492"/>
      <c r="J789" s="1492"/>
      <c r="K789" s="1492"/>
      <c r="L789" s="1492"/>
      <c r="M789" s="1492"/>
    </row>
    <row r="790">
      <c r="A790" s="1490" t="s">
        <v>66</v>
      </c>
      <c r="B790" s="1490" t="s">
        <v>430</v>
      </c>
      <c r="C790" s="1597">
        <v>24133.0</v>
      </c>
      <c r="D790" s="1490">
        <v>36.0</v>
      </c>
      <c r="E790" s="1195" t="s">
        <v>430</v>
      </c>
      <c r="F790" s="1210"/>
      <c r="G790" s="1210"/>
      <c r="H790" s="1492"/>
      <c r="I790" s="1492"/>
      <c r="J790" s="1492"/>
      <c r="K790" s="1492"/>
      <c r="L790" s="1492"/>
      <c r="M790" s="1492"/>
    </row>
    <row r="791">
      <c r="A791" s="1496" t="s">
        <v>879</v>
      </c>
      <c r="B791" s="1496" t="s">
        <v>430</v>
      </c>
      <c r="C791" s="1598">
        <v>34074.0</v>
      </c>
      <c r="D791" s="1496">
        <v>38.0</v>
      </c>
      <c r="E791" s="1195" t="s">
        <v>430</v>
      </c>
      <c r="F791" s="1210"/>
      <c r="G791" s="1210"/>
      <c r="H791" s="1492"/>
      <c r="I791" s="1492"/>
      <c r="J791" s="1492"/>
      <c r="K791" s="1492"/>
      <c r="L791" s="1492"/>
      <c r="M791" s="1492"/>
      <c r="N791" s="1489"/>
      <c r="O791" s="1489"/>
      <c r="P791" s="1489"/>
      <c r="Q791" s="1489"/>
      <c r="R791" s="1489"/>
      <c r="S791" s="1489"/>
      <c r="T791" s="1489"/>
      <c r="U791" s="1489"/>
      <c r="V791" s="1489"/>
      <c r="W791" s="1489"/>
      <c r="X791" s="1489"/>
      <c r="Y791" s="1489"/>
      <c r="Z791" s="1489"/>
    </row>
    <row r="792">
      <c r="A792" s="355" t="s">
        <v>882</v>
      </c>
      <c r="B792" s="355" t="s">
        <v>881</v>
      </c>
      <c r="C792" s="1562">
        <v>7063.0</v>
      </c>
      <c r="D792" s="355">
        <v>11.0</v>
      </c>
      <c r="E792" s="1195" t="s">
        <v>881</v>
      </c>
      <c r="F792" s="1210"/>
      <c r="G792" s="1210"/>
      <c r="H792" s="1492"/>
      <c r="I792" s="1492"/>
      <c r="J792" s="1492"/>
      <c r="K792" s="1492"/>
      <c r="L792" s="1492"/>
      <c r="M792" s="1492"/>
    </row>
    <row r="793">
      <c r="A793" s="355" t="s">
        <v>386</v>
      </c>
      <c r="B793" s="355" t="s">
        <v>881</v>
      </c>
      <c r="C793" s="1562">
        <v>3645.0</v>
      </c>
      <c r="D793" s="355">
        <v>7.0</v>
      </c>
      <c r="E793" s="1195" t="s">
        <v>881</v>
      </c>
      <c r="F793" s="1210"/>
      <c r="G793" s="1210"/>
      <c r="H793" s="1492"/>
      <c r="I793" s="1492"/>
      <c r="J793" s="1492"/>
      <c r="K793" s="1492"/>
      <c r="L793" s="1492"/>
      <c r="M793" s="1492"/>
    </row>
    <row r="794">
      <c r="A794" s="355" t="s">
        <v>886</v>
      </c>
      <c r="B794" s="355" t="s">
        <v>881</v>
      </c>
      <c r="C794" s="1562">
        <v>13832.0</v>
      </c>
      <c r="D794" s="355">
        <v>26.0</v>
      </c>
      <c r="E794" s="1195" t="s">
        <v>881</v>
      </c>
      <c r="F794" s="1210"/>
      <c r="G794" s="1210"/>
      <c r="H794" s="1492"/>
      <c r="I794" s="1492"/>
      <c r="J794" s="1492"/>
      <c r="K794" s="1492"/>
      <c r="L794" s="1492"/>
      <c r="M794" s="1492"/>
    </row>
    <row r="795">
      <c r="A795" s="355" t="s">
        <v>887</v>
      </c>
      <c r="B795" s="355" t="s">
        <v>881</v>
      </c>
      <c r="C795" s="1562">
        <v>12437.0</v>
      </c>
      <c r="D795" s="355">
        <v>25.0</v>
      </c>
      <c r="E795" s="1195" t="s">
        <v>881</v>
      </c>
      <c r="F795" s="1210"/>
      <c r="G795" s="1210"/>
      <c r="H795" s="1492"/>
      <c r="I795" s="1492"/>
      <c r="J795" s="1492"/>
      <c r="K795" s="1492"/>
      <c r="L795" s="1492"/>
      <c r="M795" s="1492"/>
    </row>
    <row r="796">
      <c r="A796" s="355" t="s">
        <v>888</v>
      </c>
      <c r="B796" s="355" t="s">
        <v>881</v>
      </c>
      <c r="C796" s="1562">
        <v>5506.0</v>
      </c>
      <c r="D796" s="355">
        <v>14.0</v>
      </c>
      <c r="E796" s="1195" t="s">
        <v>881</v>
      </c>
      <c r="F796" s="1210"/>
      <c r="G796" s="1210"/>
      <c r="H796" s="1492"/>
      <c r="I796" s="1492"/>
      <c r="J796" s="1492"/>
      <c r="K796" s="1492"/>
      <c r="L796" s="1492"/>
      <c r="M796" s="1492"/>
    </row>
    <row r="797">
      <c r="A797" s="355" t="s">
        <v>243</v>
      </c>
      <c r="B797" s="355" t="s">
        <v>881</v>
      </c>
      <c r="C797" s="1562">
        <v>25642.0</v>
      </c>
      <c r="D797" s="355">
        <v>43.0</v>
      </c>
      <c r="E797" s="1195" t="s">
        <v>881</v>
      </c>
      <c r="F797" s="1210"/>
      <c r="G797" s="1210"/>
      <c r="H797" s="1492"/>
      <c r="I797" s="1492"/>
      <c r="J797" s="1492"/>
      <c r="K797" s="1492"/>
      <c r="L797" s="1492"/>
      <c r="M797" s="1492"/>
    </row>
    <row r="798">
      <c r="A798" s="355" t="s">
        <v>890</v>
      </c>
      <c r="B798" s="355" t="s">
        <v>881</v>
      </c>
      <c r="C798" s="1562">
        <v>132408.0</v>
      </c>
      <c r="D798" s="355">
        <v>129.0</v>
      </c>
      <c r="E798" s="1195" t="s">
        <v>881</v>
      </c>
      <c r="F798" s="1210"/>
      <c r="G798" s="1210"/>
      <c r="H798" s="1492"/>
      <c r="I798" s="1492"/>
      <c r="J798" s="1492"/>
      <c r="K798" s="1492"/>
      <c r="L798" s="1492"/>
      <c r="M798" s="1492"/>
    </row>
    <row r="799">
      <c r="A799" s="355" t="s">
        <v>246</v>
      </c>
      <c r="B799" s="355" t="s">
        <v>881</v>
      </c>
      <c r="C799" s="1562">
        <v>26346.0</v>
      </c>
      <c r="D799" s="355">
        <v>39.0</v>
      </c>
      <c r="E799" s="1195" t="s">
        <v>881</v>
      </c>
      <c r="F799" s="1210"/>
      <c r="G799" s="1210"/>
      <c r="H799" s="1492"/>
      <c r="I799" s="1492"/>
      <c r="J799" s="1492"/>
      <c r="K799" s="1492"/>
      <c r="L799" s="1492"/>
      <c r="M799" s="1492"/>
    </row>
    <row r="800">
      <c r="A800" s="355" t="s">
        <v>891</v>
      </c>
      <c r="B800" s="355" t="s">
        <v>881</v>
      </c>
      <c r="C800" s="1562">
        <v>24947.0</v>
      </c>
      <c r="D800" s="355">
        <v>40.0</v>
      </c>
      <c r="E800" s="1195" t="s">
        <v>881</v>
      </c>
      <c r="F800" s="1210"/>
      <c r="G800" s="1210"/>
      <c r="H800" s="1492"/>
      <c r="I800" s="1492"/>
      <c r="J800" s="1492"/>
      <c r="K800" s="1492"/>
      <c r="L800" s="1492"/>
      <c r="M800" s="1492"/>
    </row>
    <row r="801">
      <c r="A801" s="355" t="s">
        <v>892</v>
      </c>
      <c r="B801" s="355" t="s">
        <v>881</v>
      </c>
      <c r="C801" s="1562">
        <v>21199.0</v>
      </c>
      <c r="D801" s="355">
        <v>32.0</v>
      </c>
      <c r="E801" s="1195" t="s">
        <v>881</v>
      </c>
      <c r="F801" s="1210"/>
      <c r="G801" s="1210"/>
      <c r="H801" s="1492"/>
      <c r="I801" s="1492"/>
      <c r="J801" s="1492"/>
      <c r="K801" s="1492"/>
      <c r="L801" s="1492"/>
      <c r="M801" s="1492"/>
    </row>
    <row r="802">
      <c r="A802" s="355" t="s">
        <v>893</v>
      </c>
      <c r="B802" s="355" t="s">
        <v>881</v>
      </c>
      <c r="C802" s="1562">
        <v>19874.0</v>
      </c>
      <c r="D802" s="355">
        <v>34.0</v>
      </c>
      <c r="E802" s="1195" t="s">
        <v>881</v>
      </c>
      <c r="F802" s="1210"/>
      <c r="G802" s="1210"/>
      <c r="H802" s="1492"/>
      <c r="I802" s="1492"/>
      <c r="J802" s="1492"/>
      <c r="K802" s="1492"/>
      <c r="L802" s="1492"/>
      <c r="M802" s="1492"/>
    </row>
    <row r="803">
      <c r="A803" s="355" t="s">
        <v>87</v>
      </c>
      <c r="B803" s="355" t="s">
        <v>881</v>
      </c>
      <c r="C803" s="1562">
        <v>14539.0</v>
      </c>
      <c r="D803" s="355">
        <v>38.0</v>
      </c>
      <c r="E803" s="1195" t="s">
        <v>881</v>
      </c>
      <c r="F803" s="1210"/>
      <c r="G803" s="1210"/>
      <c r="H803" s="1492"/>
      <c r="I803" s="1492"/>
      <c r="J803" s="1492"/>
      <c r="K803" s="1492"/>
      <c r="L803" s="1492"/>
      <c r="M803" s="1492"/>
    </row>
    <row r="804">
      <c r="A804" s="355" t="s">
        <v>93</v>
      </c>
      <c r="B804" s="355" t="s">
        <v>881</v>
      </c>
      <c r="C804" s="1562">
        <v>9699.0</v>
      </c>
      <c r="D804" s="355">
        <v>20.0</v>
      </c>
      <c r="E804" s="1195" t="s">
        <v>881</v>
      </c>
      <c r="F804" s="1210"/>
      <c r="G804" s="1210"/>
      <c r="H804" s="1492"/>
      <c r="I804" s="1492"/>
      <c r="J804" s="1492"/>
      <c r="K804" s="1492"/>
      <c r="L804" s="1492"/>
      <c r="M804" s="1492"/>
    </row>
    <row r="805">
      <c r="A805" s="355" t="s">
        <v>248</v>
      </c>
      <c r="B805" s="355" t="s">
        <v>881</v>
      </c>
      <c r="C805" s="1562">
        <v>20154.0</v>
      </c>
      <c r="D805" s="355">
        <v>39.0</v>
      </c>
      <c r="E805" s="1195" t="s">
        <v>881</v>
      </c>
      <c r="F805" s="1210"/>
      <c r="G805" s="1210"/>
      <c r="H805" s="1492"/>
      <c r="I805" s="1492"/>
      <c r="J805" s="1492"/>
      <c r="K805" s="1492"/>
      <c r="L805" s="1492"/>
      <c r="M805" s="1492"/>
    </row>
    <row r="806">
      <c r="A806" s="355" t="s">
        <v>708</v>
      </c>
      <c r="B806" s="355" t="s">
        <v>881</v>
      </c>
      <c r="C806" s="1562">
        <v>12930.0</v>
      </c>
      <c r="D806" s="355">
        <v>29.0</v>
      </c>
      <c r="E806" s="1195" t="s">
        <v>881</v>
      </c>
      <c r="F806" s="1210"/>
      <c r="G806" s="1210"/>
      <c r="H806" s="1492"/>
      <c r="I806" s="1492"/>
      <c r="J806" s="1492"/>
      <c r="K806" s="1492"/>
      <c r="L806" s="1492"/>
      <c r="M806" s="1492"/>
    </row>
    <row r="807">
      <c r="A807" s="355" t="s">
        <v>894</v>
      </c>
      <c r="B807" s="355" t="s">
        <v>881</v>
      </c>
      <c r="C807" s="1562">
        <v>18627.0</v>
      </c>
      <c r="D807" s="355">
        <v>27.0</v>
      </c>
      <c r="E807" s="1195" t="s">
        <v>881</v>
      </c>
      <c r="F807" s="1210"/>
      <c r="G807" s="1210"/>
      <c r="H807" s="1492"/>
      <c r="I807" s="1492"/>
      <c r="J807" s="1492"/>
      <c r="K807" s="1492"/>
      <c r="L807" s="1492"/>
      <c r="M807" s="1492"/>
    </row>
    <row r="808">
      <c r="A808" s="355" t="s">
        <v>895</v>
      </c>
      <c r="B808" s="355" t="s">
        <v>881</v>
      </c>
      <c r="C808" s="1562">
        <v>42647.0</v>
      </c>
      <c r="D808" s="355">
        <v>58.0</v>
      </c>
      <c r="E808" s="1195" t="s">
        <v>881</v>
      </c>
      <c r="F808" s="1210"/>
      <c r="G808" s="1210"/>
    </row>
    <row r="809">
      <c r="A809" s="355" t="s">
        <v>101</v>
      </c>
      <c r="B809" s="355" t="s">
        <v>881</v>
      </c>
      <c r="C809" s="1562">
        <v>11321.0</v>
      </c>
      <c r="D809" s="355">
        <v>25.0</v>
      </c>
      <c r="E809" s="1195" t="s">
        <v>881</v>
      </c>
      <c r="F809" s="1210"/>
      <c r="G809" s="1210"/>
    </row>
    <row r="810">
      <c r="A810" s="355" t="s">
        <v>896</v>
      </c>
      <c r="B810" s="355" t="s">
        <v>881</v>
      </c>
      <c r="C810" s="1562">
        <v>11964.0</v>
      </c>
      <c r="D810" s="355">
        <v>19.0</v>
      </c>
      <c r="E810" s="1195" t="s">
        <v>881</v>
      </c>
      <c r="F810" s="1210"/>
      <c r="G810" s="1210"/>
    </row>
    <row r="811">
      <c r="A811" s="355" t="s">
        <v>110</v>
      </c>
      <c r="B811" s="355" t="s">
        <v>881</v>
      </c>
      <c r="C811" s="1562">
        <v>9423.0</v>
      </c>
      <c r="D811" s="355">
        <v>14.0</v>
      </c>
      <c r="E811" s="1" t="s">
        <v>881</v>
      </c>
    </row>
    <row r="812">
      <c r="A812" s="355" t="s">
        <v>112</v>
      </c>
      <c r="B812" s="355" t="s">
        <v>881</v>
      </c>
      <c r="C812" s="1562">
        <v>16134.0</v>
      </c>
      <c r="D812" s="355">
        <v>26.0</v>
      </c>
      <c r="E812" s="1" t="s">
        <v>881</v>
      </c>
    </row>
    <row r="813">
      <c r="A813" s="355" t="s">
        <v>555</v>
      </c>
      <c r="B813" s="355" t="s">
        <v>881</v>
      </c>
      <c r="C813" s="1562">
        <v>17556.0</v>
      </c>
      <c r="D813" s="355">
        <v>39.0</v>
      </c>
      <c r="E813" s="1" t="s">
        <v>881</v>
      </c>
    </row>
    <row r="814">
      <c r="A814" s="355" t="s">
        <v>711</v>
      </c>
      <c r="B814" s="355" t="s">
        <v>881</v>
      </c>
      <c r="C814" s="1562">
        <v>46518.0</v>
      </c>
      <c r="D814" s="355">
        <v>57.0</v>
      </c>
      <c r="E814" s="1" t="s">
        <v>881</v>
      </c>
    </row>
    <row r="815">
      <c r="A815" s="355" t="s">
        <v>263</v>
      </c>
      <c r="B815" s="355" t="s">
        <v>881</v>
      </c>
      <c r="C815" s="1562">
        <v>17158.0</v>
      </c>
      <c r="D815" s="355">
        <v>27.0</v>
      </c>
      <c r="E815" s="1" t="s">
        <v>881</v>
      </c>
    </row>
    <row r="816">
      <c r="A816" s="355" t="s">
        <v>130</v>
      </c>
      <c r="B816" s="355" t="s">
        <v>881</v>
      </c>
      <c r="C816" s="1562">
        <v>90180.0</v>
      </c>
      <c r="D816" s="355">
        <v>70.0</v>
      </c>
      <c r="E816" s="1" t="s">
        <v>881</v>
      </c>
    </row>
    <row r="817">
      <c r="A817" s="355" t="s">
        <v>897</v>
      </c>
      <c r="B817" s="355" t="s">
        <v>881</v>
      </c>
      <c r="C817" s="1562">
        <v>9017.0</v>
      </c>
      <c r="D817" s="355">
        <v>17.0</v>
      </c>
      <c r="E817" s="1" t="s">
        <v>881</v>
      </c>
    </row>
    <row r="818">
      <c r="A818" s="355" t="s">
        <v>563</v>
      </c>
      <c r="B818" s="355" t="s">
        <v>881</v>
      </c>
      <c r="C818" s="1562">
        <v>7890.0</v>
      </c>
      <c r="D818" s="355">
        <v>15.0</v>
      </c>
      <c r="E818" s="1" t="s">
        <v>881</v>
      </c>
    </row>
    <row r="819">
      <c r="A819" s="355" t="s">
        <v>40</v>
      </c>
      <c r="B819" s="355" t="s">
        <v>881</v>
      </c>
      <c r="C819" s="1562">
        <v>17069.0</v>
      </c>
      <c r="D819" s="355">
        <v>17.0</v>
      </c>
      <c r="E819" s="1" t="s">
        <v>881</v>
      </c>
    </row>
    <row r="820">
      <c r="A820" s="355" t="s">
        <v>898</v>
      </c>
      <c r="B820" s="355" t="s">
        <v>881</v>
      </c>
      <c r="C820" s="1562">
        <v>39138.0</v>
      </c>
      <c r="D820" s="355">
        <v>65.0</v>
      </c>
      <c r="E820" s="1" t="s">
        <v>881</v>
      </c>
    </row>
    <row r="821">
      <c r="A821" s="355" t="s">
        <v>899</v>
      </c>
      <c r="B821" s="355" t="s">
        <v>881</v>
      </c>
      <c r="C821" s="1562">
        <v>17153.0</v>
      </c>
      <c r="D821" s="355">
        <v>23.0</v>
      </c>
      <c r="E821" s="1" t="s">
        <v>881</v>
      </c>
    </row>
    <row r="822">
      <c r="A822" s="355" t="s">
        <v>900</v>
      </c>
      <c r="B822" s="355" t="s">
        <v>881</v>
      </c>
      <c r="C822" s="1562">
        <v>96854.0</v>
      </c>
      <c r="D822" s="355">
        <v>58.0</v>
      </c>
      <c r="E822" s="1" t="s">
        <v>881</v>
      </c>
    </row>
    <row r="823">
      <c r="A823" s="355" t="s">
        <v>901</v>
      </c>
      <c r="B823" s="355" t="s">
        <v>881</v>
      </c>
      <c r="C823" s="1562">
        <v>9253.0</v>
      </c>
      <c r="D823" s="355">
        <v>20.0</v>
      </c>
      <c r="E823" s="1" t="s">
        <v>881</v>
      </c>
    </row>
    <row r="824">
      <c r="A824" s="355" t="s">
        <v>135</v>
      </c>
      <c r="B824" s="355" t="s">
        <v>881</v>
      </c>
      <c r="C824" s="1562">
        <v>19660.0</v>
      </c>
      <c r="D824" s="355">
        <v>34.0</v>
      </c>
      <c r="E824" s="1" t="s">
        <v>881</v>
      </c>
    </row>
    <row r="825">
      <c r="A825" s="355" t="s">
        <v>575</v>
      </c>
      <c r="B825" s="355" t="s">
        <v>881</v>
      </c>
      <c r="C825" s="1562">
        <v>15761.0</v>
      </c>
      <c r="D825" s="355">
        <v>24.0</v>
      </c>
      <c r="E825" s="1" t="s">
        <v>881</v>
      </c>
    </row>
    <row r="826">
      <c r="A826" s="355" t="s">
        <v>136</v>
      </c>
      <c r="B826" s="355" t="s">
        <v>881</v>
      </c>
      <c r="C826" s="1562">
        <v>10124.0</v>
      </c>
      <c r="D826" s="355">
        <v>19.0</v>
      </c>
      <c r="E826" s="1" t="s">
        <v>881</v>
      </c>
    </row>
    <row r="827">
      <c r="A827" s="355" t="s">
        <v>416</v>
      </c>
      <c r="B827" s="355" t="s">
        <v>881</v>
      </c>
      <c r="C827" s="1562">
        <v>6993.0</v>
      </c>
      <c r="D827" s="355">
        <v>14.0</v>
      </c>
      <c r="E827" s="1" t="s">
        <v>881</v>
      </c>
    </row>
    <row r="828">
      <c r="A828" s="355" t="s">
        <v>138</v>
      </c>
      <c r="B828" s="355" t="s">
        <v>881</v>
      </c>
      <c r="C828" s="1562">
        <v>8981.0</v>
      </c>
      <c r="D828" s="355">
        <v>23.0</v>
      </c>
      <c r="E828" s="1" t="s">
        <v>881</v>
      </c>
    </row>
    <row r="829">
      <c r="A829" s="355" t="s">
        <v>720</v>
      </c>
      <c r="B829" s="355" t="s">
        <v>881</v>
      </c>
      <c r="C829" s="1562">
        <v>12304.0</v>
      </c>
      <c r="D829" s="355">
        <v>29.0</v>
      </c>
      <c r="E829" s="1" t="s">
        <v>881</v>
      </c>
    </row>
    <row r="830">
      <c r="A830" s="355" t="s">
        <v>902</v>
      </c>
      <c r="B830" s="355" t="s">
        <v>881</v>
      </c>
      <c r="C830" s="1562">
        <v>10720.0</v>
      </c>
      <c r="D830" s="355">
        <v>24.0</v>
      </c>
      <c r="E830" s="1" t="s">
        <v>881</v>
      </c>
    </row>
    <row r="831">
      <c r="A831" s="355" t="s">
        <v>497</v>
      </c>
      <c r="B831" s="355" t="s">
        <v>881</v>
      </c>
      <c r="C831" s="1562">
        <v>14952.0</v>
      </c>
      <c r="D831" s="355">
        <v>35.0</v>
      </c>
      <c r="E831" s="1" t="s">
        <v>881</v>
      </c>
    </row>
    <row r="832">
      <c r="A832" s="355" t="s">
        <v>587</v>
      </c>
      <c r="B832" s="355" t="s">
        <v>881</v>
      </c>
      <c r="C832" s="1562">
        <v>10712.0</v>
      </c>
      <c r="D832" s="355">
        <v>32.0</v>
      </c>
      <c r="E832" s="1" t="s">
        <v>881</v>
      </c>
    </row>
    <row r="833">
      <c r="A833" s="355" t="s">
        <v>721</v>
      </c>
      <c r="B833" s="355" t="s">
        <v>881</v>
      </c>
      <c r="C833" s="1562">
        <v>16868.0</v>
      </c>
      <c r="D833" s="355">
        <v>43.0</v>
      </c>
      <c r="E833" s="1" t="s">
        <v>881</v>
      </c>
    </row>
    <row r="834">
      <c r="A834" s="355" t="s">
        <v>775</v>
      </c>
      <c r="B834" s="355" t="s">
        <v>881</v>
      </c>
      <c r="C834" s="1562">
        <v>14134.0</v>
      </c>
      <c r="D834" s="355">
        <v>27.0</v>
      </c>
      <c r="E834" s="1" t="s">
        <v>881</v>
      </c>
    </row>
    <row r="835">
      <c r="A835" s="355" t="s">
        <v>140</v>
      </c>
      <c r="B835" s="355" t="s">
        <v>881</v>
      </c>
      <c r="C835" s="1562">
        <v>20067.0</v>
      </c>
      <c r="D835" s="355">
        <v>32.0</v>
      </c>
      <c r="E835" s="1" t="s">
        <v>881</v>
      </c>
    </row>
    <row r="836">
      <c r="A836" s="355" t="s">
        <v>283</v>
      </c>
      <c r="B836" s="355" t="s">
        <v>881</v>
      </c>
      <c r="C836" s="1562">
        <v>9187.0</v>
      </c>
      <c r="D836" s="355">
        <v>20.0</v>
      </c>
      <c r="E836" s="1" t="s">
        <v>881</v>
      </c>
    </row>
    <row r="837">
      <c r="A837" s="355" t="s">
        <v>333</v>
      </c>
      <c r="B837" s="355" t="s">
        <v>881</v>
      </c>
      <c r="C837" s="1562">
        <v>9547.0</v>
      </c>
      <c r="D837" s="355">
        <v>17.0</v>
      </c>
      <c r="E837" s="1" t="s">
        <v>881</v>
      </c>
    </row>
    <row r="838">
      <c r="A838" s="355" t="s">
        <v>903</v>
      </c>
      <c r="B838" s="355" t="s">
        <v>881</v>
      </c>
      <c r="C838" s="1562">
        <v>6841.0</v>
      </c>
      <c r="D838" s="355">
        <v>18.0</v>
      </c>
      <c r="E838" s="1" t="s">
        <v>881</v>
      </c>
    </row>
    <row r="839">
      <c r="A839" s="355" t="s">
        <v>50</v>
      </c>
      <c r="B839" s="355" t="s">
        <v>881</v>
      </c>
      <c r="C839" s="1562">
        <v>16141.0</v>
      </c>
      <c r="D839" s="355">
        <v>32.0</v>
      </c>
      <c r="E839" s="1" t="s">
        <v>881</v>
      </c>
    </row>
    <row r="840">
      <c r="A840" s="355" t="s">
        <v>142</v>
      </c>
      <c r="B840" s="355" t="s">
        <v>881</v>
      </c>
      <c r="C840" s="1562">
        <v>19432.0</v>
      </c>
      <c r="D840" s="355">
        <v>22.0</v>
      </c>
      <c r="E840" s="1" t="s">
        <v>881</v>
      </c>
    </row>
    <row r="841">
      <c r="A841" s="355" t="s">
        <v>593</v>
      </c>
      <c r="B841" s="355" t="s">
        <v>881</v>
      </c>
      <c r="C841" s="1562">
        <v>37147.0</v>
      </c>
      <c r="D841" s="355">
        <v>53.0</v>
      </c>
      <c r="E841" s="1" t="s">
        <v>881</v>
      </c>
    </row>
    <row r="842">
      <c r="A842" s="355" t="s">
        <v>143</v>
      </c>
      <c r="B842" s="355" t="s">
        <v>881</v>
      </c>
      <c r="C842" s="1562">
        <v>18381.0</v>
      </c>
      <c r="D842" s="355">
        <v>18.0</v>
      </c>
      <c r="E842" s="1" t="s">
        <v>881</v>
      </c>
    </row>
    <row r="843">
      <c r="A843" s="355" t="s">
        <v>288</v>
      </c>
      <c r="B843" s="355" t="s">
        <v>881</v>
      </c>
      <c r="C843" s="1562">
        <v>151260.0</v>
      </c>
      <c r="D843" s="355">
        <v>83.0</v>
      </c>
      <c r="E843" s="1" t="s">
        <v>881</v>
      </c>
    </row>
    <row r="844">
      <c r="A844" s="355" t="s">
        <v>598</v>
      </c>
      <c r="B844" s="355" t="s">
        <v>881</v>
      </c>
      <c r="C844" s="1562">
        <v>20744.0</v>
      </c>
      <c r="D844" s="355">
        <v>26.0</v>
      </c>
      <c r="E844" s="1" t="s">
        <v>881</v>
      </c>
    </row>
    <row r="845">
      <c r="A845" s="355" t="s">
        <v>905</v>
      </c>
      <c r="B845" s="355" t="s">
        <v>881</v>
      </c>
      <c r="C845" s="1562">
        <v>10225.0</v>
      </c>
      <c r="D845" s="355">
        <v>22.0</v>
      </c>
      <c r="E845" s="1" t="s">
        <v>881</v>
      </c>
    </row>
    <row r="846">
      <c r="A846" s="355" t="s">
        <v>906</v>
      </c>
      <c r="B846" s="355" t="s">
        <v>881</v>
      </c>
      <c r="C846" s="1562">
        <v>14908.0</v>
      </c>
      <c r="D846" s="355">
        <v>29.0</v>
      </c>
      <c r="E846" s="1" t="s">
        <v>881</v>
      </c>
    </row>
    <row r="847">
      <c r="A847" s="355" t="s">
        <v>147</v>
      </c>
      <c r="B847" s="355" t="s">
        <v>881</v>
      </c>
      <c r="C847" s="1562">
        <v>34055.0</v>
      </c>
      <c r="D847" s="355">
        <v>56.0</v>
      </c>
      <c r="E847" s="1" t="s">
        <v>881</v>
      </c>
    </row>
    <row r="848">
      <c r="A848" s="355" t="s">
        <v>907</v>
      </c>
      <c r="B848" s="355" t="s">
        <v>881</v>
      </c>
      <c r="C848" s="1562">
        <v>225909.0</v>
      </c>
      <c r="D848" s="355">
        <v>148.0</v>
      </c>
      <c r="E848" s="1" t="s">
        <v>881</v>
      </c>
    </row>
    <row r="849">
      <c r="A849" s="355" t="s">
        <v>908</v>
      </c>
      <c r="B849" s="355" t="s">
        <v>881</v>
      </c>
      <c r="C849" s="1562">
        <v>11169.0</v>
      </c>
      <c r="D849" s="355">
        <v>15.0</v>
      </c>
      <c r="E849" s="1" t="s">
        <v>881</v>
      </c>
    </row>
    <row r="850">
      <c r="A850" s="355" t="s">
        <v>909</v>
      </c>
      <c r="B850" s="355" t="s">
        <v>881</v>
      </c>
      <c r="C850" s="1562">
        <v>8645.0</v>
      </c>
      <c r="D850" s="355">
        <v>18.0</v>
      </c>
      <c r="E850" s="1" t="s">
        <v>881</v>
      </c>
    </row>
    <row r="851">
      <c r="A851" s="355" t="s">
        <v>910</v>
      </c>
      <c r="B851" s="355" t="s">
        <v>881</v>
      </c>
      <c r="C851" s="1562">
        <v>11811.0</v>
      </c>
      <c r="D851" s="355">
        <v>32.0</v>
      </c>
      <c r="E851" s="1" t="s">
        <v>881</v>
      </c>
    </row>
    <row r="852">
      <c r="A852" s="355" t="s">
        <v>151</v>
      </c>
      <c r="B852" s="355" t="s">
        <v>881</v>
      </c>
      <c r="C852" s="1562">
        <v>16249.0</v>
      </c>
      <c r="D852" s="355">
        <v>25.0</v>
      </c>
      <c r="E852" s="1" t="s">
        <v>881</v>
      </c>
    </row>
    <row r="853">
      <c r="A853" s="355" t="s">
        <v>912</v>
      </c>
      <c r="B853" s="355" t="s">
        <v>881</v>
      </c>
      <c r="C853" s="1562">
        <v>22000.0</v>
      </c>
      <c r="D853" s="355">
        <v>48.0</v>
      </c>
      <c r="E853" s="1" t="s">
        <v>881</v>
      </c>
    </row>
    <row r="854">
      <c r="A854" s="355" t="s">
        <v>153</v>
      </c>
      <c r="B854" s="355" t="s">
        <v>881</v>
      </c>
      <c r="C854" s="1562">
        <v>33407.0</v>
      </c>
      <c r="D854" s="355">
        <v>61.0</v>
      </c>
      <c r="E854" s="1" t="s">
        <v>881</v>
      </c>
    </row>
    <row r="855">
      <c r="A855" s="355" t="s">
        <v>154</v>
      </c>
      <c r="B855" s="355" t="s">
        <v>881</v>
      </c>
      <c r="C855" s="1562">
        <v>39981.0</v>
      </c>
      <c r="D855" s="355">
        <v>55.0</v>
      </c>
      <c r="E855" s="1" t="s">
        <v>881</v>
      </c>
    </row>
    <row r="856">
      <c r="A856" s="355" t="s">
        <v>913</v>
      </c>
      <c r="B856" s="355" t="s">
        <v>881</v>
      </c>
      <c r="C856" s="1562">
        <v>15063.0</v>
      </c>
      <c r="D856" s="355">
        <v>18.0</v>
      </c>
      <c r="E856" s="1" t="s">
        <v>881</v>
      </c>
    </row>
    <row r="857">
      <c r="A857" s="355" t="s">
        <v>610</v>
      </c>
      <c r="B857" s="355" t="s">
        <v>881</v>
      </c>
      <c r="C857" s="1562">
        <v>10569.0</v>
      </c>
      <c r="D857" s="355">
        <v>21.0</v>
      </c>
      <c r="E857" s="1" t="s">
        <v>881</v>
      </c>
    </row>
    <row r="858">
      <c r="A858" s="355" t="s">
        <v>915</v>
      </c>
      <c r="B858" s="355" t="s">
        <v>881</v>
      </c>
      <c r="C858" s="1562">
        <v>8679.0</v>
      </c>
      <c r="D858" s="355">
        <v>20.0</v>
      </c>
      <c r="E858" s="1" t="s">
        <v>881</v>
      </c>
    </row>
    <row r="859">
      <c r="A859" s="355" t="s">
        <v>156</v>
      </c>
      <c r="B859" s="355" t="s">
        <v>881</v>
      </c>
      <c r="C859" s="1562">
        <v>7790.0</v>
      </c>
      <c r="D859" s="355">
        <v>11.0</v>
      </c>
      <c r="E859" s="1" t="s">
        <v>881</v>
      </c>
    </row>
    <row r="860">
      <c r="A860" s="355" t="s">
        <v>157</v>
      </c>
      <c r="B860" s="355" t="s">
        <v>881</v>
      </c>
      <c r="C860" s="1562">
        <v>10003.0</v>
      </c>
      <c r="D860" s="355">
        <v>24.0</v>
      </c>
      <c r="E860" s="1" t="s">
        <v>881</v>
      </c>
    </row>
    <row r="861">
      <c r="A861" s="355" t="s">
        <v>917</v>
      </c>
      <c r="B861" s="355" t="s">
        <v>881</v>
      </c>
      <c r="C861" s="1562">
        <v>42929.0</v>
      </c>
      <c r="D861" s="355">
        <v>51.0</v>
      </c>
      <c r="E861" s="1" t="s">
        <v>881</v>
      </c>
    </row>
    <row r="862">
      <c r="A862" s="355" t="s">
        <v>2618</v>
      </c>
      <c r="B862" s="355" t="s">
        <v>881</v>
      </c>
      <c r="C862" s="1562">
        <v>13840.0</v>
      </c>
      <c r="D862" s="355">
        <v>36.0</v>
      </c>
      <c r="E862" s="1" t="s">
        <v>881</v>
      </c>
    </row>
    <row r="863">
      <c r="A863" s="355" t="s">
        <v>515</v>
      </c>
      <c r="B863" s="355" t="s">
        <v>881</v>
      </c>
      <c r="C863" s="1562">
        <v>6040.0</v>
      </c>
      <c r="D863" s="355">
        <v>19.0</v>
      </c>
      <c r="E863" s="1" t="s">
        <v>881</v>
      </c>
    </row>
    <row r="864">
      <c r="A864" s="355" t="s">
        <v>927</v>
      </c>
      <c r="B864" s="355" t="s">
        <v>881</v>
      </c>
      <c r="C864" s="1562">
        <v>15249.0</v>
      </c>
      <c r="D864" s="355">
        <v>35.0</v>
      </c>
      <c r="E864" s="1" t="s">
        <v>881</v>
      </c>
    </row>
    <row r="865">
      <c r="A865" s="355" t="s">
        <v>928</v>
      </c>
      <c r="B865" s="355" t="s">
        <v>881</v>
      </c>
      <c r="C865" s="1562">
        <v>8929.0</v>
      </c>
      <c r="D865" s="355">
        <v>17.0</v>
      </c>
      <c r="E865" s="1" t="s">
        <v>881</v>
      </c>
    </row>
    <row r="866">
      <c r="A866" s="355" t="s">
        <v>929</v>
      </c>
      <c r="B866" s="355" t="s">
        <v>881</v>
      </c>
      <c r="C866" s="1562">
        <v>25095.0</v>
      </c>
      <c r="D866" s="355">
        <v>35.0</v>
      </c>
      <c r="E866" s="1" t="s">
        <v>881</v>
      </c>
    </row>
    <row r="867">
      <c r="A867" s="355" t="s">
        <v>930</v>
      </c>
      <c r="B867" s="355" t="s">
        <v>881</v>
      </c>
      <c r="C867" s="1562">
        <v>6740.0</v>
      </c>
      <c r="D867" s="355">
        <v>17.0</v>
      </c>
      <c r="E867" s="1" t="s">
        <v>881</v>
      </c>
    </row>
    <row r="868">
      <c r="A868" s="355" t="s">
        <v>302</v>
      </c>
      <c r="B868" s="355" t="s">
        <v>881</v>
      </c>
      <c r="C868" s="1562">
        <v>487204.0</v>
      </c>
      <c r="D868" s="355">
        <v>301.0</v>
      </c>
      <c r="E868" s="1" t="s">
        <v>881</v>
      </c>
    </row>
    <row r="869">
      <c r="A869" s="355" t="s">
        <v>931</v>
      </c>
      <c r="B869" s="355" t="s">
        <v>881</v>
      </c>
      <c r="C869" s="1562">
        <v>93533.0</v>
      </c>
      <c r="D869" s="355">
        <v>93.0</v>
      </c>
      <c r="E869" s="1" t="s">
        <v>881</v>
      </c>
    </row>
    <row r="870">
      <c r="A870" s="355" t="s">
        <v>932</v>
      </c>
      <c r="B870" s="355" t="s">
        <v>881</v>
      </c>
      <c r="C870" s="1562">
        <v>18699.0</v>
      </c>
      <c r="D870" s="355">
        <v>32.0</v>
      </c>
      <c r="E870" s="1" t="s">
        <v>881</v>
      </c>
    </row>
    <row r="871">
      <c r="A871" s="355" t="s">
        <v>935</v>
      </c>
      <c r="B871" s="355" t="s">
        <v>881</v>
      </c>
      <c r="C871" s="1562">
        <v>4968.0</v>
      </c>
      <c r="D871" s="355">
        <v>9.0</v>
      </c>
      <c r="E871" s="1" t="s">
        <v>881</v>
      </c>
    </row>
    <row r="872">
      <c r="A872" s="355" t="s">
        <v>936</v>
      </c>
      <c r="B872" s="355" t="s">
        <v>881</v>
      </c>
      <c r="C872" s="1562">
        <v>9719.0</v>
      </c>
      <c r="D872" s="355">
        <v>24.0</v>
      </c>
      <c r="E872" s="1" t="s">
        <v>881</v>
      </c>
    </row>
    <row r="873">
      <c r="A873" s="355" t="s">
        <v>309</v>
      </c>
      <c r="B873" s="355" t="s">
        <v>881</v>
      </c>
      <c r="C873" s="1562">
        <v>173283.0</v>
      </c>
      <c r="D873" s="355">
        <v>116.0</v>
      </c>
      <c r="E873" s="1" t="s">
        <v>881</v>
      </c>
    </row>
    <row r="874">
      <c r="A874" s="355" t="s">
        <v>168</v>
      </c>
      <c r="B874" s="355" t="s">
        <v>881</v>
      </c>
      <c r="C874" s="1562">
        <v>11578.0</v>
      </c>
      <c r="D874" s="355">
        <v>31.0</v>
      </c>
      <c r="E874" s="1" t="s">
        <v>881</v>
      </c>
    </row>
    <row r="875">
      <c r="A875" s="355" t="s">
        <v>937</v>
      </c>
      <c r="B875" s="355" t="s">
        <v>881</v>
      </c>
      <c r="C875" s="1562">
        <v>34909.0</v>
      </c>
      <c r="D875" s="355">
        <v>80.0</v>
      </c>
      <c r="E875" s="1" t="s">
        <v>881</v>
      </c>
    </row>
    <row r="876">
      <c r="A876" s="355" t="s">
        <v>939</v>
      </c>
      <c r="B876" s="355" t="s">
        <v>881</v>
      </c>
      <c r="C876" s="1562">
        <v>98105.0</v>
      </c>
      <c r="D876" s="355">
        <v>74.0</v>
      </c>
      <c r="E876" s="1" t="s">
        <v>881</v>
      </c>
    </row>
    <row r="877">
      <c r="A877" s="355" t="s">
        <v>940</v>
      </c>
      <c r="B877" s="355" t="s">
        <v>881</v>
      </c>
      <c r="C877" s="1562">
        <v>16904.0</v>
      </c>
      <c r="D877" s="355">
        <v>33.0</v>
      </c>
      <c r="E877" s="1" t="s">
        <v>881</v>
      </c>
    </row>
    <row r="878">
      <c r="A878" s="355" t="s">
        <v>526</v>
      </c>
      <c r="B878" s="355" t="s">
        <v>881</v>
      </c>
      <c r="C878" s="1562">
        <v>6191.0</v>
      </c>
      <c r="D878" s="355">
        <v>15.0</v>
      </c>
      <c r="E878" s="1" t="s">
        <v>881</v>
      </c>
    </row>
    <row r="879">
      <c r="A879" s="355" t="s">
        <v>316</v>
      </c>
      <c r="B879" s="355" t="s">
        <v>881</v>
      </c>
      <c r="C879" s="1562">
        <v>12359.0</v>
      </c>
      <c r="D879" s="355">
        <v>19.0</v>
      </c>
      <c r="E879" s="1" t="s">
        <v>881</v>
      </c>
    </row>
    <row r="880">
      <c r="A880" s="355" t="s">
        <v>317</v>
      </c>
      <c r="B880" s="355" t="s">
        <v>881</v>
      </c>
      <c r="C880" s="1562">
        <v>7020.0</v>
      </c>
      <c r="D880" s="355">
        <v>13.0</v>
      </c>
      <c r="E880" s="1" t="s">
        <v>881</v>
      </c>
    </row>
    <row r="881">
      <c r="A881" s="355" t="s">
        <v>942</v>
      </c>
      <c r="B881" s="355" t="s">
        <v>881</v>
      </c>
      <c r="C881" s="1562">
        <v>35205.0</v>
      </c>
      <c r="D881" s="355">
        <v>47.0</v>
      </c>
      <c r="E881" s="1" t="s">
        <v>881</v>
      </c>
    </row>
    <row r="882">
      <c r="A882" s="355" t="s">
        <v>647</v>
      </c>
      <c r="B882" s="355" t="s">
        <v>881</v>
      </c>
      <c r="C882" s="1562">
        <v>51056.0</v>
      </c>
      <c r="D882" s="355">
        <v>53.0</v>
      </c>
      <c r="E882" s="1" t="s">
        <v>881</v>
      </c>
    </row>
    <row r="883">
      <c r="A883" s="355" t="s">
        <v>119</v>
      </c>
      <c r="B883" s="355" t="s">
        <v>881</v>
      </c>
      <c r="C883" s="1562">
        <v>22141.0</v>
      </c>
      <c r="D883" s="355">
        <v>38.0</v>
      </c>
      <c r="E883" s="1" t="s">
        <v>881</v>
      </c>
    </row>
    <row r="884">
      <c r="A884" s="355" t="s">
        <v>273</v>
      </c>
      <c r="B884" s="355" t="s">
        <v>881</v>
      </c>
      <c r="C884" s="1562">
        <v>6401.0</v>
      </c>
      <c r="D884" s="355">
        <v>19.0</v>
      </c>
      <c r="E884" s="1" t="s">
        <v>881</v>
      </c>
    </row>
    <row r="885">
      <c r="A885" s="355" t="s">
        <v>648</v>
      </c>
      <c r="B885" s="355" t="s">
        <v>881</v>
      </c>
      <c r="C885" s="1562">
        <v>36277.0</v>
      </c>
      <c r="D885" s="355">
        <v>52.0</v>
      </c>
      <c r="E885" s="1" t="s">
        <v>881</v>
      </c>
    </row>
    <row r="886">
      <c r="A886" s="355" t="s">
        <v>753</v>
      </c>
      <c r="B886" s="355" t="s">
        <v>881</v>
      </c>
      <c r="C886" s="1562">
        <v>10518.0</v>
      </c>
      <c r="D886" s="355">
        <v>29.0</v>
      </c>
      <c r="E886" s="1" t="s">
        <v>881</v>
      </c>
    </row>
    <row r="887">
      <c r="A887" s="355" t="s">
        <v>945</v>
      </c>
      <c r="B887" s="355" t="s">
        <v>881</v>
      </c>
      <c r="C887" s="1562">
        <v>20029.0</v>
      </c>
      <c r="D887" s="355">
        <v>28.0</v>
      </c>
      <c r="E887" s="1" t="s">
        <v>881</v>
      </c>
    </row>
    <row r="888">
      <c r="A888" s="355" t="s">
        <v>946</v>
      </c>
      <c r="B888" s="355" t="s">
        <v>881</v>
      </c>
      <c r="C888" s="1562">
        <v>102539.0</v>
      </c>
      <c r="D888" s="355">
        <v>102.0</v>
      </c>
      <c r="E888" s="1" t="s">
        <v>881</v>
      </c>
    </row>
    <row r="889">
      <c r="A889" s="355" t="s">
        <v>655</v>
      </c>
      <c r="B889" s="355" t="s">
        <v>881</v>
      </c>
      <c r="C889" s="1562">
        <v>7453.0</v>
      </c>
      <c r="D889" s="355">
        <v>18.0</v>
      </c>
      <c r="E889" s="1" t="s">
        <v>881</v>
      </c>
    </row>
    <row r="890">
      <c r="A890" s="1501" t="s">
        <v>949</v>
      </c>
      <c r="B890" s="1501" t="s">
        <v>881</v>
      </c>
      <c r="C890" s="1564">
        <v>12690.0</v>
      </c>
      <c r="D890" s="1501">
        <v>29.0</v>
      </c>
      <c r="E890" s="1" t="s">
        <v>881</v>
      </c>
      <c r="N890" s="1489"/>
      <c r="O890" s="1489"/>
      <c r="P890" s="1489"/>
      <c r="Q890" s="1489"/>
      <c r="R890" s="1489"/>
      <c r="S890" s="1489"/>
      <c r="T890" s="1489"/>
      <c r="U890" s="1489"/>
      <c r="V890" s="1489"/>
      <c r="W890" s="1489"/>
      <c r="X890" s="1489"/>
      <c r="Y890" s="1489"/>
      <c r="Z890" s="1489"/>
    </row>
    <row r="891">
      <c r="A891" s="1490" t="s">
        <v>755</v>
      </c>
      <c r="B891" s="1490" t="s">
        <v>612</v>
      </c>
      <c r="C891" s="1597">
        <v>12444.0</v>
      </c>
      <c r="D891" s="1490">
        <v>27.0</v>
      </c>
      <c r="E891" s="1" t="s">
        <v>612</v>
      </c>
    </row>
    <row r="892">
      <c r="A892" s="1490" t="s">
        <v>954</v>
      </c>
      <c r="B892" s="1490" t="s">
        <v>612</v>
      </c>
      <c r="C892" s="1597">
        <v>7878.0</v>
      </c>
      <c r="D892" s="1490">
        <v>11.0</v>
      </c>
      <c r="E892" s="1" t="s">
        <v>612</v>
      </c>
    </row>
    <row r="893">
      <c r="A893" s="1490" t="s">
        <v>955</v>
      </c>
      <c r="B893" s="1490" t="s">
        <v>612</v>
      </c>
      <c r="C893" s="1597">
        <v>16193.0</v>
      </c>
      <c r="D893" s="1490">
        <v>22.0</v>
      </c>
      <c r="E893" s="1" t="s">
        <v>612</v>
      </c>
    </row>
    <row r="894">
      <c r="A894" s="1490" t="s">
        <v>957</v>
      </c>
      <c r="B894" s="1490" t="s">
        <v>612</v>
      </c>
      <c r="C894" s="1597">
        <v>4472.0</v>
      </c>
      <c r="D894" s="1490">
        <v>15.0</v>
      </c>
      <c r="E894" s="1" t="s">
        <v>612</v>
      </c>
      <c r="H894" s="1489"/>
      <c r="I894" s="1489"/>
      <c r="J894" s="1489"/>
      <c r="K894" s="1489"/>
      <c r="L894" s="1489"/>
      <c r="M894" s="1489"/>
    </row>
    <row r="895">
      <c r="A895" s="1490" t="s">
        <v>958</v>
      </c>
      <c r="B895" s="1490" t="s">
        <v>612</v>
      </c>
      <c r="C895" s="1597">
        <v>26111.0</v>
      </c>
      <c r="D895" s="1490">
        <v>50.0</v>
      </c>
      <c r="E895" s="1" t="s">
        <v>612</v>
      </c>
    </row>
    <row r="896">
      <c r="A896" s="1490" t="s">
        <v>959</v>
      </c>
      <c r="B896" s="1490" t="s">
        <v>612</v>
      </c>
      <c r="C896" s="1597">
        <v>14653.0</v>
      </c>
      <c r="D896" s="1490">
        <v>25.0</v>
      </c>
      <c r="E896" s="1" t="s">
        <v>612</v>
      </c>
    </row>
    <row r="897">
      <c r="A897" s="1490" t="s">
        <v>706</v>
      </c>
      <c r="B897" s="1490" t="s">
        <v>612</v>
      </c>
      <c r="C897" s="1597">
        <v>9598.0</v>
      </c>
      <c r="D897" s="1490">
        <v>25.0</v>
      </c>
      <c r="E897" s="1" t="s">
        <v>612</v>
      </c>
    </row>
    <row r="898">
      <c r="A898" s="1490" t="s">
        <v>87</v>
      </c>
      <c r="B898" s="1490" t="s">
        <v>612</v>
      </c>
      <c r="C898" s="1597">
        <v>66765.0</v>
      </c>
      <c r="D898" s="1490">
        <v>77.0</v>
      </c>
      <c r="E898" s="1" t="s">
        <v>612</v>
      </c>
    </row>
    <row r="899">
      <c r="A899" s="1490" t="s">
        <v>960</v>
      </c>
      <c r="B899" s="1490" t="s">
        <v>612</v>
      </c>
      <c r="C899" s="1597">
        <v>2629.0</v>
      </c>
      <c r="D899" s="1490">
        <v>3.0</v>
      </c>
      <c r="E899" s="1" t="s">
        <v>612</v>
      </c>
    </row>
    <row r="900">
      <c r="A900" s="1490" t="s">
        <v>961</v>
      </c>
      <c r="B900" s="1490" t="s">
        <v>612</v>
      </c>
      <c r="C900" s="1597">
        <v>3309.0</v>
      </c>
      <c r="D900" s="1490">
        <v>12.0</v>
      </c>
      <c r="E900" s="1" t="s">
        <v>612</v>
      </c>
    </row>
    <row r="901">
      <c r="A901" s="1490" t="s">
        <v>101</v>
      </c>
      <c r="B901" s="1490" t="s">
        <v>612</v>
      </c>
      <c r="C901" s="1597">
        <v>20015.0</v>
      </c>
      <c r="D901" s="1490">
        <v>26.0</v>
      </c>
      <c r="E901" s="1" t="s">
        <v>612</v>
      </c>
    </row>
    <row r="902">
      <c r="A902" s="1490" t="s">
        <v>399</v>
      </c>
      <c r="B902" s="1490" t="s">
        <v>612</v>
      </c>
      <c r="C902" s="1597">
        <v>2660.0</v>
      </c>
      <c r="D902" s="1490">
        <v>10.0</v>
      </c>
      <c r="E902" s="1" t="s">
        <v>612</v>
      </c>
    </row>
    <row r="903">
      <c r="A903" s="1490" t="s">
        <v>253</v>
      </c>
      <c r="B903" s="1490" t="s">
        <v>612</v>
      </c>
      <c r="C903" s="1597">
        <v>2005.0</v>
      </c>
      <c r="D903" s="1490">
        <v>7.0</v>
      </c>
      <c r="E903" s="1" t="s">
        <v>612</v>
      </c>
    </row>
    <row r="904">
      <c r="A904" s="1490" t="s">
        <v>112</v>
      </c>
      <c r="B904" s="1490" t="s">
        <v>612</v>
      </c>
      <c r="C904" s="1597">
        <v>7997.0</v>
      </c>
      <c r="D904" s="1490">
        <v>19.0</v>
      </c>
      <c r="E904" s="1" t="s">
        <v>612</v>
      </c>
    </row>
    <row r="905">
      <c r="A905" s="1490" t="s">
        <v>962</v>
      </c>
      <c r="B905" s="1490" t="s">
        <v>612</v>
      </c>
      <c r="C905" s="1597">
        <v>8729.0</v>
      </c>
      <c r="D905" s="1490">
        <v>18.0</v>
      </c>
      <c r="E905" s="1" t="s">
        <v>612</v>
      </c>
    </row>
    <row r="906">
      <c r="A906" s="1490" t="s">
        <v>963</v>
      </c>
      <c r="B906" s="1490" t="s">
        <v>612</v>
      </c>
      <c r="C906" s="1597">
        <v>8233.0</v>
      </c>
      <c r="D906" s="1490">
        <v>17.0</v>
      </c>
      <c r="E906" s="1" t="s">
        <v>612</v>
      </c>
    </row>
    <row r="907">
      <c r="A907" s="1490" t="s">
        <v>964</v>
      </c>
      <c r="B907" s="1490" t="s">
        <v>612</v>
      </c>
      <c r="C907" s="1597">
        <v>1748.0</v>
      </c>
      <c r="D907" s="1490">
        <v>3.0</v>
      </c>
      <c r="E907" s="1" t="s">
        <v>612</v>
      </c>
    </row>
    <row r="908">
      <c r="A908" s="1490" t="s">
        <v>965</v>
      </c>
      <c r="B908" s="1490" t="s">
        <v>612</v>
      </c>
      <c r="C908" s="1597">
        <v>35218.0</v>
      </c>
      <c r="D908" s="1490">
        <v>55.0</v>
      </c>
      <c r="E908" s="1" t="s">
        <v>612</v>
      </c>
    </row>
    <row r="909">
      <c r="A909" s="1490" t="s">
        <v>263</v>
      </c>
      <c r="B909" s="1490" t="s">
        <v>612</v>
      </c>
      <c r="C909" s="1597">
        <v>39019.0</v>
      </c>
      <c r="D909" s="1490">
        <v>49.0</v>
      </c>
      <c r="E909" s="1" t="s">
        <v>612</v>
      </c>
    </row>
    <row r="910">
      <c r="A910" s="1490" t="s">
        <v>563</v>
      </c>
      <c r="B910" s="1490" t="s">
        <v>612</v>
      </c>
      <c r="C910" s="1597">
        <v>2871.0</v>
      </c>
      <c r="D910" s="1490">
        <v>8.0</v>
      </c>
      <c r="E910" s="1" t="s">
        <v>612</v>
      </c>
    </row>
    <row r="911">
      <c r="A911" s="1490" t="s">
        <v>899</v>
      </c>
      <c r="B911" s="1490" t="s">
        <v>612</v>
      </c>
      <c r="C911" s="1597">
        <v>18717.0</v>
      </c>
      <c r="D911" s="1490">
        <v>37.0</v>
      </c>
      <c r="E911" s="1" t="s">
        <v>612</v>
      </c>
    </row>
    <row r="912">
      <c r="A912" s="1490" t="s">
        <v>967</v>
      </c>
      <c r="B912" s="1490" t="s">
        <v>612</v>
      </c>
      <c r="C912" s="1597">
        <v>7682.0</v>
      </c>
      <c r="D912" s="1490">
        <v>16.0</v>
      </c>
      <c r="E912" s="1" t="s">
        <v>612</v>
      </c>
    </row>
    <row r="913">
      <c r="A913" s="1490" t="s">
        <v>412</v>
      </c>
      <c r="B913" s="1490" t="s">
        <v>612</v>
      </c>
      <c r="C913" s="1597">
        <v>121436.0</v>
      </c>
      <c r="D913" s="1490">
        <v>87.0</v>
      </c>
      <c r="E913" s="1" t="s">
        <v>612</v>
      </c>
    </row>
    <row r="914">
      <c r="A914" s="1490" t="s">
        <v>717</v>
      </c>
      <c r="B914" s="1490" t="s">
        <v>612</v>
      </c>
      <c r="C914" s="1597">
        <v>2849.0</v>
      </c>
      <c r="D914" s="1490">
        <v>9.0</v>
      </c>
      <c r="E914" s="1" t="s">
        <v>612</v>
      </c>
    </row>
    <row r="915">
      <c r="A915" s="1490" t="s">
        <v>968</v>
      </c>
      <c r="B915" s="1490" t="s">
        <v>612</v>
      </c>
      <c r="C915" s="1597">
        <v>2508.0</v>
      </c>
      <c r="D915" s="1490">
        <v>7.0</v>
      </c>
      <c r="E915" s="1" t="s">
        <v>612</v>
      </c>
    </row>
    <row r="916">
      <c r="A916" s="1490" t="s">
        <v>969</v>
      </c>
      <c r="B916" s="1490" t="s">
        <v>612</v>
      </c>
      <c r="C916" s="1597">
        <v>28710.0</v>
      </c>
      <c r="D916" s="1490">
        <v>30.0</v>
      </c>
      <c r="E916" s="1" t="s">
        <v>612</v>
      </c>
    </row>
    <row r="917">
      <c r="A917" s="1490" t="s">
        <v>970</v>
      </c>
      <c r="B917" s="1490" t="s">
        <v>612</v>
      </c>
      <c r="C917" s="1597">
        <v>6196.0</v>
      </c>
      <c r="D917" s="1490">
        <v>13.0</v>
      </c>
      <c r="E917" s="1" t="s">
        <v>612</v>
      </c>
    </row>
    <row r="918">
      <c r="A918" s="1490" t="s">
        <v>971</v>
      </c>
      <c r="B918" s="1490" t="s">
        <v>612</v>
      </c>
      <c r="C918" s="1597">
        <v>36611.0</v>
      </c>
      <c r="D918" s="1490">
        <v>31.0</v>
      </c>
      <c r="E918" s="1" t="s">
        <v>612</v>
      </c>
    </row>
    <row r="919">
      <c r="A919" s="1490" t="s">
        <v>718</v>
      </c>
      <c r="B919" s="1490" t="s">
        <v>612</v>
      </c>
      <c r="C919" s="1597">
        <v>33888.0</v>
      </c>
      <c r="D919" s="1490">
        <v>27.0</v>
      </c>
      <c r="E919" s="1" t="s">
        <v>612</v>
      </c>
    </row>
    <row r="920">
      <c r="A920" s="1490" t="s">
        <v>136</v>
      </c>
      <c r="B920" s="1490" t="s">
        <v>612</v>
      </c>
      <c r="C920" s="1597">
        <v>25631.0</v>
      </c>
      <c r="D920" s="1490">
        <v>37.0</v>
      </c>
      <c r="E920" s="1" t="s">
        <v>612</v>
      </c>
    </row>
    <row r="921">
      <c r="A921" s="1490" t="s">
        <v>973</v>
      </c>
      <c r="B921" s="1490" t="s">
        <v>612</v>
      </c>
      <c r="C921" s="1597">
        <v>32594.0</v>
      </c>
      <c r="D921" s="1490">
        <v>38.0</v>
      </c>
      <c r="E921" s="1" t="s">
        <v>612</v>
      </c>
    </row>
    <row r="922">
      <c r="A922" s="1490" t="s">
        <v>974</v>
      </c>
      <c r="B922" s="1490" t="s">
        <v>612</v>
      </c>
      <c r="C922" s="1597">
        <v>2612.0</v>
      </c>
      <c r="D922" s="1490">
        <v>8.0</v>
      </c>
      <c r="E922" s="1" t="s">
        <v>612</v>
      </c>
    </row>
    <row r="923">
      <c r="A923" s="1490" t="s">
        <v>224</v>
      </c>
      <c r="B923" s="1490" t="s">
        <v>612</v>
      </c>
      <c r="C923" s="1597">
        <v>2492.0</v>
      </c>
      <c r="D923" s="1490">
        <v>11.0</v>
      </c>
      <c r="E923" s="1" t="s">
        <v>612</v>
      </c>
    </row>
    <row r="924">
      <c r="A924" s="1490" t="s">
        <v>278</v>
      </c>
      <c r="B924" s="1490" t="s">
        <v>612</v>
      </c>
      <c r="C924" s="1597">
        <v>7336.0</v>
      </c>
      <c r="D924" s="1490">
        <v>18.0</v>
      </c>
      <c r="E924" s="1" t="s">
        <v>612</v>
      </c>
    </row>
    <row r="925">
      <c r="A925" s="1490" t="s">
        <v>975</v>
      </c>
      <c r="B925" s="1490" t="s">
        <v>612</v>
      </c>
      <c r="C925" s="1597">
        <v>6033.0</v>
      </c>
      <c r="D925" s="1490">
        <v>17.0</v>
      </c>
      <c r="E925" s="1" t="s">
        <v>612</v>
      </c>
    </row>
    <row r="926">
      <c r="A926" s="1490" t="s">
        <v>976</v>
      </c>
      <c r="B926" s="1490" t="s">
        <v>612</v>
      </c>
      <c r="C926" s="1597">
        <v>1227.0</v>
      </c>
      <c r="D926" s="1490">
        <v>3.0</v>
      </c>
      <c r="E926" s="1" t="s">
        <v>612</v>
      </c>
    </row>
    <row r="927">
      <c r="A927" s="1490" t="s">
        <v>977</v>
      </c>
      <c r="B927" s="1490" t="s">
        <v>612</v>
      </c>
      <c r="C927" s="1597">
        <v>6055.0</v>
      </c>
      <c r="D927" s="1490">
        <v>14.0</v>
      </c>
      <c r="E927" s="1" t="s">
        <v>612</v>
      </c>
    </row>
    <row r="928">
      <c r="A928" s="1490" t="s">
        <v>497</v>
      </c>
      <c r="B928" s="1490" t="s">
        <v>612</v>
      </c>
      <c r="C928" s="1597">
        <v>2607.0</v>
      </c>
      <c r="D928" s="1490">
        <v>7.0</v>
      </c>
      <c r="E928" s="1" t="s">
        <v>612</v>
      </c>
    </row>
    <row r="929">
      <c r="A929" s="1490" t="s">
        <v>978</v>
      </c>
      <c r="B929" s="1490" t="s">
        <v>612</v>
      </c>
      <c r="C929" s="1597">
        <v>5506.0</v>
      </c>
      <c r="D929" s="1490">
        <v>19.0</v>
      </c>
      <c r="E929" s="1" t="s">
        <v>612</v>
      </c>
    </row>
    <row r="930">
      <c r="A930" s="1490" t="s">
        <v>979</v>
      </c>
      <c r="B930" s="1490" t="s">
        <v>612</v>
      </c>
      <c r="C930" s="1597">
        <v>34210.0</v>
      </c>
      <c r="D930" s="1490">
        <v>59.0</v>
      </c>
      <c r="E930" s="1" t="s">
        <v>612</v>
      </c>
    </row>
    <row r="931">
      <c r="A931" s="1490" t="s">
        <v>980</v>
      </c>
      <c r="B931" s="1490" t="s">
        <v>612</v>
      </c>
      <c r="C931" s="1597">
        <v>3997.0</v>
      </c>
      <c r="D931" s="1490">
        <v>11.0</v>
      </c>
      <c r="E931" s="1" t="s">
        <v>612</v>
      </c>
    </row>
    <row r="932">
      <c r="A932" s="1490" t="s">
        <v>981</v>
      </c>
      <c r="B932" s="1490" t="s">
        <v>612</v>
      </c>
      <c r="C932" s="1597">
        <v>1818.0</v>
      </c>
      <c r="D932" s="1490">
        <v>4.0</v>
      </c>
      <c r="E932" s="1" t="s">
        <v>612</v>
      </c>
    </row>
    <row r="933">
      <c r="A933" s="1490" t="s">
        <v>142</v>
      </c>
      <c r="B933" s="1490" t="s">
        <v>612</v>
      </c>
      <c r="C933" s="1597">
        <v>13280.0</v>
      </c>
      <c r="D933" s="1490">
        <v>21.0</v>
      </c>
      <c r="E933" s="1" t="s">
        <v>612</v>
      </c>
    </row>
    <row r="934">
      <c r="A934" s="1490" t="s">
        <v>143</v>
      </c>
      <c r="B934" s="1490" t="s">
        <v>612</v>
      </c>
      <c r="C934" s="1597">
        <v>18975.0</v>
      </c>
      <c r="D934" s="1490">
        <v>27.0</v>
      </c>
      <c r="E934" s="1" t="s">
        <v>612</v>
      </c>
    </row>
    <row r="935">
      <c r="A935" s="1490" t="s">
        <v>982</v>
      </c>
      <c r="B935" s="1490" t="s">
        <v>612</v>
      </c>
      <c r="C935" s="1597">
        <v>2841.0</v>
      </c>
      <c r="D935" s="1490">
        <v>8.0</v>
      </c>
      <c r="E935" s="1" t="s">
        <v>612</v>
      </c>
    </row>
    <row r="936">
      <c r="A936" s="1490" t="s">
        <v>288</v>
      </c>
      <c r="B936" s="1490" t="s">
        <v>612</v>
      </c>
      <c r="C936" s="1597">
        <v>597555.0</v>
      </c>
      <c r="D936" s="1490">
        <v>258.0</v>
      </c>
      <c r="E936" s="1" t="s">
        <v>612</v>
      </c>
    </row>
    <row r="937">
      <c r="A937" s="1490" t="s">
        <v>983</v>
      </c>
      <c r="B937" s="1490" t="s">
        <v>612</v>
      </c>
      <c r="C937" s="1597">
        <v>3943.0</v>
      </c>
      <c r="D937" s="1490">
        <v>11.0</v>
      </c>
      <c r="E937" s="1" t="s">
        <v>612</v>
      </c>
    </row>
    <row r="938">
      <c r="A938" s="1490" t="s">
        <v>984</v>
      </c>
      <c r="B938" s="1490" t="s">
        <v>612</v>
      </c>
      <c r="C938" s="1597">
        <v>7310.0</v>
      </c>
      <c r="D938" s="1490">
        <v>18.0</v>
      </c>
      <c r="E938" s="1" t="s">
        <v>612</v>
      </c>
    </row>
    <row r="939">
      <c r="A939" s="1490" t="s">
        <v>427</v>
      </c>
      <c r="B939" s="1490" t="s">
        <v>612</v>
      </c>
      <c r="C939" s="1597">
        <v>2516.0</v>
      </c>
      <c r="D939" s="1490">
        <v>11.0</v>
      </c>
      <c r="E939" s="1" t="s">
        <v>612</v>
      </c>
    </row>
    <row r="940">
      <c r="A940" s="1490" t="s">
        <v>985</v>
      </c>
      <c r="B940" s="1490" t="s">
        <v>612</v>
      </c>
      <c r="C940" s="1597">
        <v>19964.0</v>
      </c>
      <c r="D940" s="1490">
        <v>40.0</v>
      </c>
      <c r="E940" s="1" t="s">
        <v>612</v>
      </c>
    </row>
    <row r="941">
      <c r="A941" s="1490" t="s">
        <v>986</v>
      </c>
      <c r="B941" s="1490" t="s">
        <v>612</v>
      </c>
      <c r="C941" s="1597">
        <v>1560.0</v>
      </c>
      <c r="D941" s="1490">
        <v>6.0</v>
      </c>
      <c r="E941" s="1" t="s">
        <v>612</v>
      </c>
    </row>
    <row r="942">
      <c r="A942" s="1490" t="s">
        <v>987</v>
      </c>
      <c r="B942" s="1490" t="s">
        <v>612</v>
      </c>
      <c r="C942" s="1597">
        <v>81352.0</v>
      </c>
      <c r="D942" s="1490">
        <v>73.0</v>
      </c>
      <c r="E942" s="1" t="s">
        <v>612</v>
      </c>
    </row>
    <row r="943">
      <c r="A943" s="1490" t="s">
        <v>290</v>
      </c>
      <c r="B943" s="1490" t="s">
        <v>612</v>
      </c>
      <c r="C943" s="1597">
        <v>3023.0</v>
      </c>
      <c r="D943" s="1490">
        <v>7.0</v>
      </c>
      <c r="E943" s="1" t="s">
        <v>612</v>
      </c>
    </row>
    <row r="944">
      <c r="A944" s="1490" t="s">
        <v>907</v>
      </c>
      <c r="B944" s="1490" t="s">
        <v>612</v>
      </c>
      <c r="C944" s="1597">
        <v>9750.0</v>
      </c>
      <c r="D944" s="1490">
        <v>20.0</v>
      </c>
      <c r="E944" s="1" t="s">
        <v>612</v>
      </c>
    </row>
    <row r="945">
      <c r="A945" s="1490" t="s">
        <v>293</v>
      </c>
      <c r="B945" s="1490" t="s">
        <v>612</v>
      </c>
      <c r="C945" s="1597">
        <v>2844.0</v>
      </c>
      <c r="D945" s="1490">
        <v>6.0</v>
      </c>
      <c r="E945" s="1" t="s">
        <v>612</v>
      </c>
    </row>
    <row r="946">
      <c r="A946" s="1490" t="s">
        <v>910</v>
      </c>
      <c r="B946" s="1490" t="s">
        <v>612</v>
      </c>
      <c r="C946" s="1597">
        <v>33406.0</v>
      </c>
      <c r="D946" s="1490">
        <v>35.0</v>
      </c>
      <c r="E946" s="1" t="s">
        <v>612</v>
      </c>
    </row>
    <row r="947">
      <c r="A947" s="1490" t="s">
        <v>988</v>
      </c>
      <c r="B947" s="1490" t="s">
        <v>612</v>
      </c>
      <c r="C947" s="1597">
        <v>28537.0</v>
      </c>
      <c r="D947" s="1490">
        <v>63.0</v>
      </c>
      <c r="E947" s="1" t="s">
        <v>612</v>
      </c>
    </row>
    <row r="948">
      <c r="A948" s="1490" t="s">
        <v>153</v>
      </c>
      <c r="B948" s="1490" t="s">
        <v>612</v>
      </c>
      <c r="C948" s="1597">
        <v>11950.0</v>
      </c>
      <c r="D948" s="1490">
        <v>29.0</v>
      </c>
      <c r="E948" s="1" t="s">
        <v>612</v>
      </c>
    </row>
    <row r="949">
      <c r="A949" s="1490" t="s">
        <v>154</v>
      </c>
      <c r="B949" s="1490" t="s">
        <v>612</v>
      </c>
      <c r="C949" s="1597">
        <v>9722.0</v>
      </c>
      <c r="D949" s="1490">
        <v>29.0</v>
      </c>
      <c r="E949" s="1" t="s">
        <v>612</v>
      </c>
    </row>
    <row r="950">
      <c r="A950" s="1490" t="s">
        <v>989</v>
      </c>
      <c r="B950" s="1490" t="s">
        <v>612</v>
      </c>
      <c r="C950" s="1597">
        <v>4146.0</v>
      </c>
      <c r="D950" s="1490">
        <v>13.0</v>
      </c>
      <c r="E950" s="1" t="s">
        <v>612</v>
      </c>
    </row>
    <row r="951">
      <c r="A951" s="1490" t="s">
        <v>791</v>
      </c>
      <c r="B951" s="1490" t="s">
        <v>612</v>
      </c>
      <c r="C951" s="1597">
        <v>33680.0</v>
      </c>
      <c r="D951" s="1490">
        <v>43.0</v>
      </c>
      <c r="E951" s="1" t="s">
        <v>612</v>
      </c>
    </row>
    <row r="952">
      <c r="A952" s="1490" t="s">
        <v>610</v>
      </c>
      <c r="B952" s="1490" t="s">
        <v>612</v>
      </c>
      <c r="C952" s="1597">
        <v>6150.0</v>
      </c>
      <c r="D952" s="1490">
        <v>17.0</v>
      </c>
      <c r="E952" s="1" t="s">
        <v>612</v>
      </c>
    </row>
    <row r="953">
      <c r="A953" s="1490" t="s">
        <v>157</v>
      </c>
      <c r="B953" s="1490" t="s">
        <v>612</v>
      </c>
      <c r="C953" s="1597">
        <v>32120.0</v>
      </c>
      <c r="D953" s="1490">
        <v>65.0</v>
      </c>
      <c r="E953" s="1" t="s">
        <v>612</v>
      </c>
    </row>
    <row r="954">
      <c r="A954" s="1490" t="s">
        <v>990</v>
      </c>
      <c r="B954" s="1490" t="s">
        <v>612</v>
      </c>
      <c r="C954" s="1597">
        <v>5521.0</v>
      </c>
      <c r="D954" s="1490">
        <v>16.0</v>
      </c>
      <c r="E954" s="1" t="s">
        <v>612</v>
      </c>
    </row>
    <row r="955">
      <c r="A955" s="1490" t="s">
        <v>991</v>
      </c>
      <c r="B955" s="1490" t="s">
        <v>612</v>
      </c>
      <c r="C955" s="1597">
        <v>2667.0</v>
      </c>
      <c r="D955" s="1490">
        <v>12.0</v>
      </c>
      <c r="E955" s="1" t="s">
        <v>612</v>
      </c>
    </row>
    <row r="956">
      <c r="A956" s="1490" t="s">
        <v>992</v>
      </c>
      <c r="B956" s="1490" t="s">
        <v>612</v>
      </c>
      <c r="C956" s="1597">
        <v>10155.0</v>
      </c>
      <c r="D956" s="1490">
        <v>22.0</v>
      </c>
      <c r="E956" s="1" t="s">
        <v>612</v>
      </c>
    </row>
    <row r="957">
      <c r="A957" s="1490" t="s">
        <v>993</v>
      </c>
      <c r="B957" s="1490" t="s">
        <v>612</v>
      </c>
      <c r="C957" s="1597">
        <v>15951.0</v>
      </c>
      <c r="D957" s="1490">
        <v>25.0</v>
      </c>
      <c r="E957" s="1" t="s">
        <v>612</v>
      </c>
    </row>
    <row r="958">
      <c r="A958" s="1490" t="s">
        <v>994</v>
      </c>
      <c r="B958" s="1490" t="s">
        <v>612</v>
      </c>
      <c r="C958" s="1597">
        <v>2840.0</v>
      </c>
      <c r="D958" s="1490">
        <v>7.0</v>
      </c>
      <c r="E958" s="1" t="s">
        <v>612</v>
      </c>
    </row>
    <row r="959">
      <c r="A959" s="1490" t="s">
        <v>995</v>
      </c>
      <c r="B959" s="1490" t="s">
        <v>612</v>
      </c>
      <c r="C959" s="1597">
        <v>5430.0</v>
      </c>
      <c r="D959" s="1490">
        <v>16.0</v>
      </c>
      <c r="E959" s="1" t="s">
        <v>612</v>
      </c>
    </row>
    <row r="960">
      <c r="A960" s="1490" t="s">
        <v>996</v>
      </c>
      <c r="B960" s="1490" t="s">
        <v>612</v>
      </c>
      <c r="C960" s="1597">
        <v>15941.0</v>
      </c>
      <c r="D960" s="1490">
        <v>21.0</v>
      </c>
      <c r="E960" s="1" t="s">
        <v>612</v>
      </c>
    </row>
    <row r="961">
      <c r="A961" s="1490" t="s">
        <v>997</v>
      </c>
      <c r="B961" s="1490" t="s">
        <v>612</v>
      </c>
      <c r="C961" s="1597">
        <v>3475.0</v>
      </c>
      <c r="D961" s="1490">
        <v>14.0</v>
      </c>
      <c r="E961" s="1" t="s">
        <v>612</v>
      </c>
    </row>
    <row r="962">
      <c r="A962" s="1490" t="s">
        <v>998</v>
      </c>
      <c r="B962" s="1490" t="s">
        <v>612</v>
      </c>
      <c r="C962" s="1597">
        <v>5802.0</v>
      </c>
      <c r="D962" s="1490">
        <v>10.0</v>
      </c>
      <c r="E962" s="1" t="s">
        <v>612</v>
      </c>
    </row>
    <row r="963">
      <c r="A963" s="1490" t="s">
        <v>999</v>
      </c>
      <c r="B963" s="1490" t="s">
        <v>612</v>
      </c>
      <c r="C963" s="1597">
        <v>6562.0</v>
      </c>
      <c r="D963" s="1490">
        <v>14.0</v>
      </c>
      <c r="E963" s="1" t="s">
        <v>612</v>
      </c>
    </row>
    <row r="964">
      <c r="A964" s="1490" t="s">
        <v>300</v>
      </c>
      <c r="B964" s="1490" t="s">
        <v>612</v>
      </c>
      <c r="C964" s="1597">
        <v>5317.0</v>
      </c>
      <c r="D964" s="1490">
        <v>18.0</v>
      </c>
      <c r="E964" s="1" t="s">
        <v>612</v>
      </c>
    </row>
    <row r="965">
      <c r="A965" s="1490" t="s">
        <v>1000</v>
      </c>
      <c r="B965" s="1490" t="s">
        <v>612</v>
      </c>
      <c r="C965" s="1597">
        <v>24277.0</v>
      </c>
      <c r="D965" s="1490">
        <v>33.0</v>
      </c>
      <c r="E965" s="1" t="s">
        <v>612</v>
      </c>
    </row>
    <row r="966">
      <c r="A966" s="1490" t="s">
        <v>1001</v>
      </c>
      <c r="B966" s="1490" t="s">
        <v>612</v>
      </c>
      <c r="C966" s="1597">
        <v>9378.0</v>
      </c>
      <c r="D966" s="1490">
        <v>16.0</v>
      </c>
      <c r="E966" s="1" t="s">
        <v>612</v>
      </c>
    </row>
    <row r="967">
      <c r="A967" s="1490" t="s">
        <v>1002</v>
      </c>
      <c r="B967" s="1490" t="s">
        <v>612</v>
      </c>
      <c r="C967" s="1597">
        <v>2508.0</v>
      </c>
      <c r="D967" s="1490">
        <v>7.0</v>
      </c>
      <c r="E967" s="1" t="s">
        <v>612</v>
      </c>
    </row>
    <row r="968">
      <c r="A968" s="1490" t="s">
        <v>1003</v>
      </c>
      <c r="B968" s="1490" t="s">
        <v>612</v>
      </c>
      <c r="C968" s="1597">
        <v>62342.0</v>
      </c>
      <c r="D968" s="1490">
        <v>76.0</v>
      </c>
      <c r="E968" s="1" t="s">
        <v>612</v>
      </c>
    </row>
    <row r="969">
      <c r="A969" s="1490" t="s">
        <v>1004</v>
      </c>
      <c r="B969" s="1490" t="s">
        <v>612</v>
      </c>
      <c r="C969" s="1597">
        <v>4664.0</v>
      </c>
      <c r="D969" s="1490">
        <v>16.0</v>
      </c>
      <c r="E969" s="1" t="s">
        <v>612</v>
      </c>
    </row>
    <row r="970">
      <c r="A970" s="1490" t="s">
        <v>1005</v>
      </c>
      <c r="B970" s="1490" t="s">
        <v>612</v>
      </c>
      <c r="C970" s="1597">
        <v>9531.0</v>
      </c>
      <c r="D970" s="1490">
        <v>33.0</v>
      </c>
      <c r="E970" s="1" t="s">
        <v>612</v>
      </c>
    </row>
    <row r="971">
      <c r="A971" s="1490" t="s">
        <v>1006</v>
      </c>
      <c r="B971" s="1490" t="s">
        <v>612</v>
      </c>
      <c r="C971" s="1597">
        <v>73703.0</v>
      </c>
      <c r="D971" s="1490">
        <v>57.0</v>
      </c>
      <c r="E971" s="1" t="s">
        <v>612</v>
      </c>
    </row>
    <row r="972">
      <c r="A972" s="1490" t="s">
        <v>1007</v>
      </c>
      <c r="B972" s="1490" t="s">
        <v>612</v>
      </c>
      <c r="C972" s="1597">
        <v>5013.0</v>
      </c>
      <c r="D972" s="1490">
        <v>14.0</v>
      </c>
      <c r="E972" s="1" t="s">
        <v>612</v>
      </c>
    </row>
    <row r="973">
      <c r="A973" s="1490" t="s">
        <v>842</v>
      </c>
      <c r="B973" s="1490" t="s">
        <v>612</v>
      </c>
      <c r="C973" s="1597">
        <v>3093.0</v>
      </c>
      <c r="D973" s="1490">
        <v>11.0</v>
      </c>
      <c r="E973" s="1" t="s">
        <v>612</v>
      </c>
    </row>
    <row r="974">
      <c r="A974" s="1490" t="s">
        <v>165</v>
      </c>
      <c r="B974" s="1490" t="s">
        <v>612</v>
      </c>
      <c r="C974" s="1597">
        <v>6907.0</v>
      </c>
      <c r="D974" s="1490">
        <v>18.0</v>
      </c>
      <c r="E974" s="1" t="s">
        <v>612</v>
      </c>
    </row>
    <row r="975">
      <c r="A975" s="1490" t="s">
        <v>308</v>
      </c>
      <c r="B975" s="1490" t="s">
        <v>612</v>
      </c>
      <c r="C975" s="1597">
        <v>54401.0</v>
      </c>
      <c r="D975" s="1490">
        <v>54.0</v>
      </c>
      <c r="E975" s="1" t="s">
        <v>612</v>
      </c>
    </row>
    <row r="976">
      <c r="A976" s="1490" t="s">
        <v>309</v>
      </c>
      <c r="B976" s="1490" t="s">
        <v>612</v>
      </c>
      <c r="C976" s="1597">
        <v>4897.0</v>
      </c>
      <c r="D976" s="1490">
        <v>10.0</v>
      </c>
      <c r="E976" s="1" t="s">
        <v>612</v>
      </c>
    </row>
    <row r="977">
      <c r="A977" s="1490" t="s">
        <v>459</v>
      </c>
      <c r="B977" s="1490" t="s">
        <v>612</v>
      </c>
      <c r="C977" s="1597">
        <v>513607.0</v>
      </c>
      <c r="D977" s="1490">
        <v>388.0</v>
      </c>
      <c r="E977" s="1" t="s">
        <v>612</v>
      </c>
    </row>
    <row r="978">
      <c r="A978" s="1490" t="s">
        <v>1008</v>
      </c>
      <c r="B978" s="1490" t="s">
        <v>612</v>
      </c>
      <c r="C978" s="1597">
        <v>21780.0</v>
      </c>
      <c r="D978" s="1490">
        <v>24.0</v>
      </c>
      <c r="E978" s="1" t="s">
        <v>612</v>
      </c>
    </row>
    <row r="979">
      <c r="A979" s="1490" t="s">
        <v>1009</v>
      </c>
      <c r="B979" s="1490" t="s">
        <v>612</v>
      </c>
      <c r="C979" s="1597">
        <v>177499.0</v>
      </c>
      <c r="D979" s="1490">
        <v>184.0</v>
      </c>
      <c r="E979" s="1" t="s">
        <v>612</v>
      </c>
    </row>
    <row r="980">
      <c r="A980" s="1490" t="s">
        <v>1010</v>
      </c>
      <c r="B980" s="1490" t="s">
        <v>612</v>
      </c>
      <c r="C980" s="1597">
        <v>2533.0</v>
      </c>
      <c r="D980" s="1490">
        <v>10.0</v>
      </c>
      <c r="E980" s="1" t="s">
        <v>612</v>
      </c>
    </row>
    <row r="981">
      <c r="A981" s="1490" t="s">
        <v>1011</v>
      </c>
      <c r="B981" s="1490" t="s">
        <v>612</v>
      </c>
      <c r="C981" s="1597">
        <v>5899.0</v>
      </c>
      <c r="D981" s="1490">
        <v>11.0</v>
      </c>
      <c r="E981" s="1" t="s">
        <v>612</v>
      </c>
    </row>
    <row r="982">
      <c r="A982" s="1490" t="s">
        <v>1012</v>
      </c>
      <c r="B982" s="1490" t="s">
        <v>612</v>
      </c>
      <c r="C982" s="1597">
        <v>3603.0</v>
      </c>
      <c r="D982" s="1490">
        <v>13.0</v>
      </c>
      <c r="E982" s="1" t="s">
        <v>612</v>
      </c>
    </row>
    <row r="983">
      <c r="A983" s="1490" t="s">
        <v>1013</v>
      </c>
      <c r="B983" s="1490" t="s">
        <v>612</v>
      </c>
      <c r="C983" s="1597">
        <v>4178.0</v>
      </c>
      <c r="D983" s="1490">
        <v>17.0</v>
      </c>
      <c r="E983" s="1" t="s">
        <v>612</v>
      </c>
    </row>
    <row r="984">
      <c r="A984" s="1490" t="s">
        <v>1014</v>
      </c>
      <c r="B984" s="1490" t="s">
        <v>612</v>
      </c>
      <c r="C984" s="1597">
        <v>1987.0</v>
      </c>
      <c r="D984" s="1490">
        <v>7.0</v>
      </c>
      <c r="E984" s="1" t="s">
        <v>612</v>
      </c>
    </row>
    <row r="985">
      <c r="A985" s="1490" t="s">
        <v>1015</v>
      </c>
      <c r="B985" s="1490" t="s">
        <v>612</v>
      </c>
      <c r="C985" s="1597">
        <v>5559.0</v>
      </c>
      <c r="D985" s="1490">
        <v>14.0</v>
      </c>
      <c r="E985" s="1" t="s">
        <v>612</v>
      </c>
    </row>
    <row r="986">
      <c r="A986" s="1490" t="s">
        <v>1016</v>
      </c>
      <c r="B986" s="1490" t="s">
        <v>612</v>
      </c>
      <c r="C986" s="1597">
        <v>22996.0</v>
      </c>
      <c r="D986" s="1490">
        <v>51.0</v>
      </c>
      <c r="E986" s="1" t="s">
        <v>612</v>
      </c>
    </row>
    <row r="987">
      <c r="A987" s="1490" t="s">
        <v>636</v>
      </c>
      <c r="B987" s="1490" t="s">
        <v>612</v>
      </c>
      <c r="C987" s="1597">
        <v>7711.0</v>
      </c>
      <c r="D987" s="1490">
        <v>19.0</v>
      </c>
      <c r="E987" s="1" t="s">
        <v>612</v>
      </c>
    </row>
    <row r="988">
      <c r="A988" s="1490" t="s">
        <v>1017</v>
      </c>
      <c r="B988" s="1490" t="s">
        <v>612</v>
      </c>
      <c r="C988" s="1597">
        <v>2793.0</v>
      </c>
      <c r="D988" s="1490">
        <v>8.0</v>
      </c>
      <c r="E988" s="1" t="s">
        <v>612</v>
      </c>
    </row>
    <row r="989">
      <c r="A989" s="1490" t="s">
        <v>1018</v>
      </c>
      <c r="B989" s="1490" t="s">
        <v>612</v>
      </c>
      <c r="C989" s="1597">
        <v>6899.0</v>
      </c>
      <c r="D989" s="1490">
        <v>14.0</v>
      </c>
      <c r="E989" s="1" t="s">
        <v>612</v>
      </c>
    </row>
    <row r="990">
      <c r="A990" s="1490" t="s">
        <v>1019</v>
      </c>
      <c r="B990" s="1490" t="s">
        <v>612</v>
      </c>
      <c r="C990" s="1597">
        <v>1503.0</v>
      </c>
      <c r="D990" s="1490">
        <v>4.0</v>
      </c>
      <c r="E990" s="1" t="s">
        <v>612</v>
      </c>
    </row>
    <row r="991">
      <c r="A991" s="1490" t="s">
        <v>119</v>
      </c>
      <c r="B991" s="1490" t="s">
        <v>612</v>
      </c>
      <c r="C991" s="1597">
        <v>5420.0</v>
      </c>
      <c r="D991" s="1490">
        <v>16.0</v>
      </c>
      <c r="E991" s="1" t="s">
        <v>612</v>
      </c>
    </row>
    <row r="992">
      <c r="A992" s="1490" t="s">
        <v>1020</v>
      </c>
      <c r="B992" s="1490" t="s">
        <v>612</v>
      </c>
      <c r="C992" s="1597">
        <v>2105.0</v>
      </c>
      <c r="D992" s="1490">
        <v>8.0</v>
      </c>
      <c r="E992" s="1" t="s">
        <v>612</v>
      </c>
    </row>
    <row r="993">
      <c r="A993" s="1490" t="s">
        <v>1021</v>
      </c>
      <c r="B993" s="1490" t="s">
        <v>612</v>
      </c>
      <c r="C993" s="1597">
        <v>8665.0</v>
      </c>
      <c r="D993" s="1490">
        <v>20.0</v>
      </c>
      <c r="E993" s="1" t="s">
        <v>612</v>
      </c>
    </row>
    <row r="994">
      <c r="A994" s="1490" t="s">
        <v>1022</v>
      </c>
      <c r="B994" s="1490" t="s">
        <v>612</v>
      </c>
      <c r="C994" s="1597">
        <v>3183.0</v>
      </c>
      <c r="D994" s="1490">
        <v>5.0</v>
      </c>
      <c r="E994" s="1" t="s">
        <v>612</v>
      </c>
    </row>
    <row r="995">
      <c r="A995" s="1496" t="s">
        <v>1023</v>
      </c>
      <c r="B995" s="1496" t="s">
        <v>612</v>
      </c>
      <c r="C995" s="1598">
        <v>165324.0</v>
      </c>
      <c r="D995" s="1496">
        <v>182.0</v>
      </c>
      <c r="E995" s="1624" t="s">
        <v>612</v>
      </c>
      <c r="F995" s="1624"/>
      <c r="G995" s="1624"/>
      <c r="N995" s="1489"/>
      <c r="O995" s="1489"/>
      <c r="P995" s="1489"/>
      <c r="Q995" s="1489"/>
      <c r="R995" s="1489"/>
      <c r="S995" s="1489"/>
      <c r="T995" s="1489"/>
      <c r="U995" s="1489"/>
      <c r="V995" s="1489"/>
      <c r="W995" s="1489"/>
      <c r="X995" s="1489"/>
      <c r="Y995" s="1489"/>
      <c r="Z995" s="1489"/>
    </row>
    <row r="996">
      <c r="A996" s="355" t="s">
        <v>882</v>
      </c>
      <c r="B996" s="355" t="s">
        <v>531</v>
      </c>
      <c r="C996" s="1562">
        <v>19215.0</v>
      </c>
      <c r="D996" s="355">
        <v>28.0</v>
      </c>
      <c r="E996" s="1" t="s">
        <v>531</v>
      </c>
    </row>
    <row r="997">
      <c r="A997" s="355" t="s">
        <v>755</v>
      </c>
      <c r="B997" s="355" t="s">
        <v>531</v>
      </c>
      <c r="C997" s="1562">
        <v>21122.0</v>
      </c>
      <c r="D997" s="355">
        <v>22.0</v>
      </c>
      <c r="E997" s="1" t="s">
        <v>531</v>
      </c>
    </row>
    <row r="998">
      <c r="A998" s="355" t="s">
        <v>954</v>
      </c>
      <c r="B998" s="355" t="s">
        <v>531</v>
      </c>
      <c r="C998" s="1562">
        <v>22663.0</v>
      </c>
      <c r="D998" s="355">
        <v>37.0</v>
      </c>
      <c r="E998" s="1" t="s">
        <v>531</v>
      </c>
    </row>
    <row r="999">
      <c r="A999" s="355" t="s">
        <v>1024</v>
      </c>
      <c r="B999" s="355" t="s">
        <v>531</v>
      </c>
      <c r="C999" s="1562">
        <v>7979.0</v>
      </c>
      <c r="D999" s="355">
        <v>22.0</v>
      </c>
      <c r="E999" s="1" t="s">
        <v>531</v>
      </c>
      <c r="H999" s="1489"/>
      <c r="I999" s="1489"/>
      <c r="J999" s="1489"/>
      <c r="K999" s="1489"/>
      <c r="L999" s="1489"/>
      <c r="M999" s="1489"/>
    </row>
    <row r="1000">
      <c r="A1000" s="355" t="s">
        <v>1025</v>
      </c>
      <c r="B1000" s="355" t="s">
        <v>531</v>
      </c>
      <c r="C1000" s="1562">
        <v>44176.0</v>
      </c>
      <c r="D1000" s="355">
        <v>51.0</v>
      </c>
      <c r="E1000" s="1" t="s">
        <v>531</v>
      </c>
    </row>
    <row r="1001">
      <c r="A1001" s="355" t="s">
        <v>1026</v>
      </c>
      <c r="B1001" s="355" t="s">
        <v>531</v>
      </c>
      <c r="C1001" s="1562">
        <v>12383.0</v>
      </c>
      <c r="D1001" s="355">
        <v>21.0</v>
      </c>
      <c r="E1001" s="1" t="s">
        <v>531</v>
      </c>
    </row>
    <row r="1002">
      <c r="A1002" s="355" t="s">
        <v>1027</v>
      </c>
      <c r="B1002" s="355" t="s">
        <v>531</v>
      </c>
      <c r="C1002" s="1562">
        <v>26569.0</v>
      </c>
      <c r="D1002" s="355">
        <v>39.0</v>
      </c>
      <c r="E1002" s="1" t="s">
        <v>531</v>
      </c>
    </row>
    <row r="1003">
      <c r="A1003" s="355" t="s">
        <v>246</v>
      </c>
      <c r="B1003" s="355" t="s">
        <v>531</v>
      </c>
      <c r="C1003" s="1562">
        <v>131533.0</v>
      </c>
      <c r="D1003" s="355">
        <v>63.0</v>
      </c>
      <c r="E1003" s="1" t="s">
        <v>531</v>
      </c>
    </row>
    <row r="1004">
      <c r="A1004" s="355" t="s">
        <v>959</v>
      </c>
      <c r="B1004" s="355" t="s">
        <v>531</v>
      </c>
      <c r="C1004" s="1562">
        <v>20184.0</v>
      </c>
      <c r="D1004" s="355">
        <v>33.0</v>
      </c>
      <c r="E1004" s="1" t="s">
        <v>531</v>
      </c>
    </row>
    <row r="1005">
      <c r="A1005" s="355" t="s">
        <v>1028</v>
      </c>
      <c r="B1005" s="355" t="s">
        <v>531</v>
      </c>
      <c r="C1005" s="1562">
        <v>47240.0</v>
      </c>
      <c r="D1005" s="355">
        <v>85.0</v>
      </c>
      <c r="E1005" s="1" t="s">
        <v>531</v>
      </c>
    </row>
    <row r="1006">
      <c r="A1006" s="355" t="s">
        <v>1029</v>
      </c>
      <c r="B1006" s="355" t="s">
        <v>531</v>
      </c>
      <c r="C1006" s="1562">
        <v>30100.0</v>
      </c>
      <c r="D1006" s="355">
        <v>55.0</v>
      </c>
      <c r="E1006" s="1" t="s">
        <v>531</v>
      </c>
    </row>
    <row r="1007">
      <c r="A1007" s="355" t="s">
        <v>1030</v>
      </c>
      <c r="B1007" s="355" t="s">
        <v>531</v>
      </c>
      <c r="C1007" s="1562">
        <v>8239.0</v>
      </c>
      <c r="D1007" s="355">
        <v>24.0</v>
      </c>
      <c r="E1007" s="1" t="s">
        <v>531</v>
      </c>
    </row>
    <row r="1008">
      <c r="A1008" s="355" t="s">
        <v>1031</v>
      </c>
      <c r="B1008" s="355" t="s">
        <v>531</v>
      </c>
      <c r="C1008" s="1562">
        <v>12726.0</v>
      </c>
      <c r="D1008" s="355">
        <v>17.0</v>
      </c>
      <c r="E1008" s="1" t="s">
        <v>531</v>
      </c>
    </row>
    <row r="1009">
      <c r="A1009" s="355" t="s">
        <v>1032</v>
      </c>
      <c r="B1009" s="355" t="s">
        <v>531</v>
      </c>
      <c r="C1009" s="1562">
        <v>20388.0</v>
      </c>
      <c r="D1009" s="355">
        <v>30.0</v>
      </c>
      <c r="E1009" s="1" t="s">
        <v>531</v>
      </c>
    </row>
    <row r="1010">
      <c r="A1010" s="355" t="s">
        <v>1033</v>
      </c>
      <c r="B1010" s="355" t="s">
        <v>531</v>
      </c>
      <c r="C1010" s="1562">
        <v>81069.0</v>
      </c>
      <c r="D1010" s="355">
        <v>73.0</v>
      </c>
      <c r="E1010" s="1" t="s">
        <v>531</v>
      </c>
    </row>
    <row r="1011">
      <c r="A1011" s="355" t="s">
        <v>87</v>
      </c>
      <c r="B1011" s="355" t="s">
        <v>531</v>
      </c>
      <c r="C1011" s="1562">
        <v>12772.0</v>
      </c>
      <c r="D1011" s="355">
        <v>21.0</v>
      </c>
      <c r="E1011" s="1" t="s">
        <v>531</v>
      </c>
    </row>
    <row r="1012">
      <c r="A1012" s="355" t="s">
        <v>1034</v>
      </c>
      <c r="B1012" s="355" t="s">
        <v>531</v>
      </c>
      <c r="C1012" s="1562">
        <v>12715.0</v>
      </c>
      <c r="D1012" s="355">
        <v>19.0</v>
      </c>
      <c r="E1012" s="1" t="s">
        <v>531</v>
      </c>
    </row>
    <row r="1013">
      <c r="A1013" s="355" t="s">
        <v>1035</v>
      </c>
      <c r="B1013" s="355" t="s">
        <v>531</v>
      </c>
      <c r="C1013" s="1562">
        <v>39135.0</v>
      </c>
      <c r="D1013" s="355">
        <v>46.0</v>
      </c>
      <c r="E1013" s="1" t="s">
        <v>531</v>
      </c>
    </row>
    <row r="1014">
      <c r="A1014" s="355" t="s">
        <v>1036</v>
      </c>
      <c r="B1014" s="355" t="s">
        <v>531</v>
      </c>
      <c r="C1014" s="1562">
        <v>93152.0</v>
      </c>
      <c r="D1014" s="355">
        <v>80.0</v>
      </c>
      <c r="E1014" s="1" t="s">
        <v>531</v>
      </c>
    </row>
    <row r="1015">
      <c r="A1015" s="355" t="s">
        <v>1037</v>
      </c>
      <c r="B1015" s="355" t="s">
        <v>531</v>
      </c>
      <c r="C1015" s="1562">
        <v>4771.0</v>
      </c>
      <c r="D1015" s="355">
        <v>12.0</v>
      </c>
      <c r="E1015" s="1" t="s">
        <v>531</v>
      </c>
    </row>
    <row r="1016">
      <c r="A1016" s="355" t="s">
        <v>248</v>
      </c>
      <c r="B1016" s="355" t="s">
        <v>531</v>
      </c>
      <c r="C1016" s="1562">
        <v>10737.0</v>
      </c>
      <c r="D1016" s="355">
        <v>18.0</v>
      </c>
      <c r="E1016" s="1" t="s">
        <v>531</v>
      </c>
    </row>
    <row r="1017">
      <c r="A1017" s="355" t="s">
        <v>1038</v>
      </c>
      <c r="B1017" s="355" t="s">
        <v>531</v>
      </c>
      <c r="C1017" s="1562">
        <v>27004.0</v>
      </c>
      <c r="D1017" s="355">
        <v>31.0</v>
      </c>
      <c r="E1017" s="1" t="s">
        <v>531</v>
      </c>
    </row>
    <row r="1018">
      <c r="A1018" s="355" t="s">
        <v>1039</v>
      </c>
      <c r="B1018" s="355" t="s">
        <v>531</v>
      </c>
      <c r="C1018" s="1562">
        <v>15888.0</v>
      </c>
      <c r="D1018" s="355">
        <v>23.0</v>
      </c>
      <c r="E1018" s="1" t="s">
        <v>531</v>
      </c>
    </row>
    <row r="1019">
      <c r="A1019" s="355" t="s">
        <v>710</v>
      </c>
      <c r="B1019" s="355" t="s">
        <v>531</v>
      </c>
      <c r="C1019" s="1562">
        <v>71671.0</v>
      </c>
      <c r="D1019" s="355">
        <v>100.0</v>
      </c>
      <c r="E1019" s="1" t="s">
        <v>531</v>
      </c>
    </row>
    <row r="1020">
      <c r="A1020" s="355" t="s">
        <v>253</v>
      </c>
      <c r="B1020" s="355" t="s">
        <v>531</v>
      </c>
      <c r="C1020" s="1562">
        <v>36249.0</v>
      </c>
      <c r="D1020" s="355">
        <v>54.0</v>
      </c>
      <c r="E1020" s="1" t="s">
        <v>531</v>
      </c>
    </row>
    <row r="1021">
      <c r="A1021" s="355" t="s">
        <v>112</v>
      </c>
      <c r="B1021" s="355" t="s">
        <v>531</v>
      </c>
      <c r="C1021" s="1562">
        <v>20105.0</v>
      </c>
      <c r="D1021" s="355">
        <v>33.0</v>
      </c>
      <c r="E1021" s="1" t="s">
        <v>531</v>
      </c>
    </row>
    <row r="1022">
      <c r="A1022" s="355" t="s">
        <v>711</v>
      </c>
      <c r="B1022" s="355" t="s">
        <v>531</v>
      </c>
      <c r="C1022" s="1562">
        <v>10206.0</v>
      </c>
      <c r="D1022" s="355">
        <v>11.0</v>
      </c>
      <c r="E1022" s="1" t="s">
        <v>531</v>
      </c>
    </row>
    <row r="1023">
      <c r="A1023" s="355" t="s">
        <v>264</v>
      </c>
      <c r="B1023" s="355" t="s">
        <v>531</v>
      </c>
      <c r="C1023" s="1562">
        <v>8915.0</v>
      </c>
      <c r="D1023" s="355">
        <v>15.0</v>
      </c>
      <c r="E1023" s="1" t="s">
        <v>531</v>
      </c>
    </row>
    <row r="1024">
      <c r="A1024" s="355" t="s">
        <v>713</v>
      </c>
      <c r="B1024" s="355" t="s">
        <v>531</v>
      </c>
      <c r="C1024" s="1562">
        <v>6659.0</v>
      </c>
      <c r="D1024" s="355">
        <v>6.0</v>
      </c>
      <c r="E1024" s="1" t="s">
        <v>531</v>
      </c>
    </row>
    <row r="1025">
      <c r="A1025" s="355" t="s">
        <v>758</v>
      </c>
      <c r="B1025" s="355" t="s">
        <v>531</v>
      </c>
      <c r="C1025" s="1562">
        <v>101104.0</v>
      </c>
      <c r="D1025" s="355">
        <v>106.0</v>
      </c>
      <c r="E1025" s="1" t="s">
        <v>531</v>
      </c>
    </row>
    <row r="1026">
      <c r="A1026" s="355" t="s">
        <v>1041</v>
      </c>
      <c r="B1026" s="355" t="s">
        <v>531</v>
      </c>
      <c r="C1026" s="1562">
        <v>12274.0</v>
      </c>
      <c r="D1026" s="355">
        <v>2.0</v>
      </c>
      <c r="E1026" s="1" t="s">
        <v>531</v>
      </c>
    </row>
    <row r="1027">
      <c r="A1027" s="355" t="s">
        <v>1045</v>
      </c>
      <c r="B1027" s="355" t="s">
        <v>531</v>
      </c>
      <c r="C1027" s="1562">
        <v>7508.0</v>
      </c>
      <c r="D1027" s="355">
        <v>5.0</v>
      </c>
      <c r="E1027" s="1" t="s">
        <v>531</v>
      </c>
    </row>
    <row r="1028">
      <c r="A1028" s="355" t="s">
        <v>1046</v>
      </c>
      <c r="B1028" s="355" t="s">
        <v>531</v>
      </c>
      <c r="C1028" s="1562">
        <v>14198.0</v>
      </c>
      <c r="D1028" s="355">
        <v>21.0</v>
      </c>
      <c r="E1028" s="1" t="s">
        <v>531</v>
      </c>
    </row>
    <row r="1029">
      <c r="A1029" s="355" t="s">
        <v>135</v>
      </c>
      <c r="B1029" s="355" t="s">
        <v>531</v>
      </c>
      <c r="C1029" s="1562">
        <v>323780.0</v>
      </c>
      <c r="D1029" s="355">
        <v>227.0</v>
      </c>
      <c r="E1029" s="1" t="s">
        <v>531</v>
      </c>
    </row>
    <row r="1030">
      <c r="A1030" s="355" t="s">
        <v>1049</v>
      </c>
      <c r="B1030" s="355" t="s">
        <v>531</v>
      </c>
      <c r="C1030" s="1562">
        <v>14432.0</v>
      </c>
      <c r="D1030" s="355">
        <v>20.0</v>
      </c>
      <c r="E1030" s="1" t="s">
        <v>531</v>
      </c>
    </row>
    <row r="1031">
      <c r="A1031" s="355" t="s">
        <v>575</v>
      </c>
      <c r="B1031" s="355" t="s">
        <v>531</v>
      </c>
      <c r="C1031" s="1562">
        <v>35845.0</v>
      </c>
      <c r="D1031" s="355">
        <v>46.0</v>
      </c>
      <c r="E1031" s="1" t="s">
        <v>531</v>
      </c>
    </row>
    <row r="1032">
      <c r="A1032" s="355" t="s">
        <v>136</v>
      </c>
      <c r="B1032" s="355" t="s">
        <v>531</v>
      </c>
      <c r="C1032" s="1562">
        <v>50815.0</v>
      </c>
      <c r="D1032" s="355">
        <v>56.0</v>
      </c>
      <c r="E1032" s="1" t="s">
        <v>531</v>
      </c>
    </row>
    <row r="1033">
      <c r="A1033" s="355" t="s">
        <v>275</v>
      </c>
      <c r="B1033" s="355" t="s">
        <v>531</v>
      </c>
      <c r="C1033" s="1562">
        <v>6120.0</v>
      </c>
      <c r="D1033" s="355">
        <v>17.0</v>
      </c>
      <c r="E1033" s="1" t="s">
        <v>531</v>
      </c>
    </row>
    <row r="1034">
      <c r="A1034" s="355" t="s">
        <v>719</v>
      </c>
      <c r="B1034" s="355" t="s">
        <v>531</v>
      </c>
      <c r="C1034" s="1562">
        <v>8832.0</v>
      </c>
      <c r="D1034" s="355">
        <v>9.0</v>
      </c>
      <c r="E1034" s="1" t="s">
        <v>531</v>
      </c>
    </row>
    <row r="1035">
      <c r="A1035" s="355" t="s">
        <v>1060</v>
      </c>
      <c r="B1035" s="355" t="s">
        <v>531</v>
      </c>
      <c r="C1035" s="1562">
        <v>17560.0</v>
      </c>
      <c r="D1035" s="355">
        <v>21.0</v>
      </c>
      <c r="E1035" s="1" t="s">
        <v>531</v>
      </c>
    </row>
    <row r="1036">
      <c r="A1036" s="355" t="s">
        <v>278</v>
      </c>
      <c r="B1036" s="355" t="s">
        <v>531</v>
      </c>
      <c r="C1036" s="1562">
        <v>25121.0</v>
      </c>
      <c r="D1036" s="355">
        <v>39.0</v>
      </c>
      <c r="E1036" s="1" t="s">
        <v>531</v>
      </c>
    </row>
    <row r="1037">
      <c r="A1037" s="355" t="s">
        <v>1068</v>
      </c>
      <c r="B1037" s="355" t="s">
        <v>531</v>
      </c>
      <c r="C1037" s="1562">
        <v>37317.0</v>
      </c>
      <c r="D1037" s="355">
        <v>63.0</v>
      </c>
      <c r="E1037" s="1" t="s">
        <v>531</v>
      </c>
    </row>
    <row r="1038">
      <c r="A1038" s="355" t="s">
        <v>1072</v>
      </c>
      <c r="B1038" s="355" t="s">
        <v>531</v>
      </c>
      <c r="C1038" s="1562">
        <v>26321.0</v>
      </c>
      <c r="D1038" s="355">
        <v>25.0</v>
      </c>
      <c r="E1038" s="1" t="s">
        <v>531</v>
      </c>
    </row>
    <row r="1039">
      <c r="A1039" s="355" t="s">
        <v>1075</v>
      </c>
      <c r="B1039" s="355" t="s">
        <v>531</v>
      </c>
      <c r="C1039" s="1562">
        <v>11049.0</v>
      </c>
      <c r="D1039" s="355">
        <v>24.0</v>
      </c>
      <c r="E1039" s="1" t="s">
        <v>531</v>
      </c>
    </row>
    <row r="1040">
      <c r="A1040" s="355" t="s">
        <v>1078</v>
      </c>
      <c r="B1040" s="355" t="s">
        <v>531</v>
      </c>
      <c r="C1040" s="1562">
        <v>35268.0</v>
      </c>
      <c r="D1040" s="355">
        <v>53.0</v>
      </c>
      <c r="E1040" s="1" t="s">
        <v>531</v>
      </c>
    </row>
    <row r="1041">
      <c r="A1041" s="355" t="s">
        <v>587</v>
      </c>
      <c r="B1041" s="355" t="s">
        <v>531</v>
      </c>
      <c r="C1041" s="1562">
        <v>8758.0</v>
      </c>
      <c r="D1041" s="355">
        <v>16.0</v>
      </c>
      <c r="E1041" s="1" t="s">
        <v>531</v>
      </c>
    </row>
    <row r="1042">
      <c r="A1042" s="355" t="s">
        <v>721</v>
      </c>
      <c r="B1042" s="355" t="s">
        <v>531</v>
      </c>
      <c r="C1042" s="1562">
        <v>110356.0</v>
      </c>
      <c r="D1042" s="355">
        <v>94.0</v>
      </c>
      <c r="E1042" s="1" t="s">
        <v>531</v>
      </c>
    </row>
    <row r="1043">
      <c r="A1043" s="355" t="s">
        <v>1088</v>
      </c>
      <c r="B1043" s="355" t="s">
        <v>531</v>
      </c>
      <c r="C1043" s="1562">
        <v>26409.0</v>
      </c>
      <c r="D1043" s="355">
        <v>38.0</v>
      </c>
      <c r="E1043" s="1" t="s">
        <v>531</v>
      </c>
    </row>
    <row r="1044">
      <c r="A1044" s="355" t="s">
        <v>775</v>
      </c>
      <c r="B1044" s="355" t="s">
        <v>531</v>
      </c>
      <c r="C1044" s="1562">
        <v>18778.0</v>
      </c>
      <c r="D1044" s="355">
        <v>22.0</v>
      </c>
      <c r="E1044" s="1" t="s">
        <v>531</v>
      </c>
    </row>
    <row r="1045">
      <c r="A1045" s="355" t="s">
        <v>589</v>
      </c>
      <c r="B1045" s="355" t="s">
        <v>531</v>
      </c>
      <c r="C1045" s="1562">
        <v>18906.0</v>
      </c>
      <c r="D1045" s="355">
        <v>25.0</v>
      </c>
      <c r="E1045" s="1" t="s">
        <v>531</v>
      </c>
    </row>
    <row r="1046">
      <c r="A1046" s="355" t="s">
        <v>722</v>
      </c>
      <c r="B1046" s="355" t="s">
        <v>531</v>
      </c>
      <c r="C1046" s="1562">
        <v>45591.0</v>
      </c>
      <c r="D1046" s="355">
        <v>56.0</v>
      </c>
      <c r="E1046" s="1" t="s">
        <v>531</v>
      </c>
    </row>
    <row r="1047">
      <c r="A1047" s="355" t="s">
        <v>140</v>
      </c>
      <c r="B1047" s="355" t="s">
        <v>531</v>
      </c>
      <c r="C1047" s="1562">
        <v>16106.0</v>
      </c>
      <c r="D1047" s="355">
        <v>27.0</v>
      </c>
      <c r="E1047" s="1" t="s">
        <v>531</v>
      </c>
    </row>
    <row r="1048">
      <c r="A1048" s="355" t="s">
        <v>1097</v>
      </c>
      <c r="B1048" s="355" t="s">
        <v>531</v>
      </c>
      <c r="C1048" s="1562">
        <v>4421.0</v>
      </c>
      <c r="D1048" s="355">
        <v>16.0</v>
      </c>
      <c r="E1048" s="1" t="s">
        <v>531</v>
      </c>
    </row>
    <row r="1049">
      <c r="A1049" s="355" t="s">
        <v>1099</v>
      </c>
      <c r="B1049" s="355" t="s">
        <v>531</v>
      </c>
      <c r="C1049" s="1562">
        <v>45068.0</v>
      </c>
      <c r="D1049" s="355">
        <v>72.0</v>
      </c>
      <c r="E1049" s="1" t="s">
        <v>531</v>
      </c>
    </row>
    <row r="1050">
      <c r="A1050" s="355" t="s">
        <v>142</v>
      </c>
      <c r="B1050" s="355" t="s">
        <v>531</v>
      </c>
      <c r="C1050" s="1562">
        <v>13442.0</v>
      </c>
      <c r="D1050" s="355">
        <v>22.0</v>
      </c>
      <c r="E1050" s="1" t="s">
        <v>531</v>
      </c>
    </row>
    <row r="1051">
      <c r="A1051" s="355" t="s">
        <v>143</v>
      </c>
      <c r="B1051" s="355" t="s">
        <v>531</v>
      </c>
      <c r="C1051" s="1562">
        <v>770517.0</v>
      </c>
      <c r="D1051" s="355">
        <v>563.0</v>
      </c>
      <c r="E1051" s="1" t="s">
        <v>531</v>
      </c>
    </row>
    <row r="1052">
      <c r="A1052" s="355" t="s">
        <v>1102</v>
      </c>
      <c r="B1052" s="355" t="s">
        <v>531</v>
      </c>
      <c r="C1052" s="1562">
        <v>53920.0</v>
      </c>
      <c r="D1052" s="355">
        <v>43.0</v>
      </c>
      <c r="E1052" s="1" t="s">
        <v>531</v>
      </c>
    </row>
    <row r="1053">
      <c r="A1053" s="355" t="s">
        <v>288</v>
      </c>
      <c r="B1053" s="355" t="s">
        <v>531</v>
      </c>
      <c r="C1053" s="1562">
        <v>22386.0</v>
      </c>
      <c r="D1053" s="355">
        <v>41.0</v>
      </c>
      <c r="E1053" s="1" t="s">
        <v>531</v>
      </c>
    </row>
    <row r="1054">
      <c r="A1054" s="355" t="s">
        <v>1105</v>
      </c>
      <c r="B1054" s="355" t="s">
        <v>531</v>
      </c>
      <c r="C1054" s="1562">
        <v>166051.0</v>
      </c>
      <c r="D1054" s="355">
        <v>139.0</v>
      </c>
      <c r="E1054" s="1" t="s">
        <v>531</v>
      </c>
    </row>
    <row r="1055">
      <c r="A1055" s="355" t="s">
        <v>1107</v>
      </c>
      <c r="B1055" s="355" t="s">
        <v>531</v>
      </c>
      <c r="C1055" s="1562">
        <v>15126.0</v>
      </c>
      <c r="D1055" s="355">
        <v>15.0</v>
      </c>
      <c r="E1055" s="1" t="s">
        <v>531</v>
      </c>
    </row>
    <row r="1056">
      <c r="A1056" s="355" t="s">
        <v>728</v>
      </c>
      <c r="B1056" s="355" t="s">
        <v>531</v>
      </c>
      <c r="C1056" s="1562">
        <v>31304.0</v>
      </c>
      <c r="D1056" s="355">
        <v>35.0</v>
      </c>
      <c r="E1056" s="1" t="s">
        <v>531</v>
      </c>
    </row>
    <row r="1057">
      <c r="A1057" s="355" t="s">
        <v>1110</v>
      </c>
      <c r="B1057" s="355" t="s">
        <v>531</v>
      </c>
      <c r="C1057" s="1562">
        <v>14307.0</v>
      </c>
      <c r="D1057" s="355">
        <v>30.0</v>
      </c>
      <c r="E1057" s="1" t="s">
        <v>531</v>
      </c>
    </row>
    <row r="1058">
      <c r="A1058" s="355" t="s">
        <v>1111</v>
      </c>
      <c r="B1058" s="355" t="s">
        <v>531</v>
      </c>
      <c r="C1058" s="1562">
        <v>60669.0</v>
      </c>
      <c r="D1058" s="355">
        <v>70.0</v>
      </c>
      <c r="E1058" s="1" t="s">
        <v>531</v>
      </c>
    </row>
    <row r="1059">
      <c r="A1059" s="355" t="s">
        <v>146</v>
      </c>
      <c r="B1059" s="355" t="s">
        <v>531</v>
      </c>
      <c r="C1059" s="1562">
        <v>15571.0</v>
      </c>
      <c r="D1059" s="355">
        <v>25.0</v>
      </c>
      <c r="E1059" s="1" t="s">
        <v>531</v>
      </c>
    </row>
    <row r="1060">
      <c r="A1060" s="355" t="s">
        <v>147</v>
      </c>
      <c r="B1060" s="355" t="s">
        <v>531</v>
      </c>
      <c r="C1060" s="1562">
        <v>7033.0</v>
      </c>
      <c r="D1060" s="355">
        <v>8.0</v>
      </c>
      <c r="E1060" s="1" t="s">
        <v>531</v>
      </c>
    </row>
    <row r="1061">
      <c r="A1061" s="355" t="s">
        <v>1115</v>
      </c>
      <c r="B1061" s="355" t="s">
        <v>531</v>
      </c>
      <c r="C1061" s="1562">
        <v>10143.0</v>
      </c>
      <c r="D1061" s="355">
        <v>26.0</v>
      </c>
      <c r="E1061" s="1" t="s">
        <v>531</v>
      </c>
    </row>
    <row r="1062">
      <c r="A1062" s="355" t="s">
        <v>1116</v>
      </c>
      <c r="B1062" s="355" t="s">
        <v>531</v>
      </c>
      <c r="C1062" s="1562">
        <v>21899.0</v>
      </c>
      <c r="D1062" s="355">
        <v>21.0</v>
      </c>
      <c r="E1062" s="1" t="s">
        <v>531</v>
      </c>
    </row>
    <row r="1063">
      <c r="A1063" s="355" t="s">
        <v>682</v>
      </c>
      <c r="B1063" s="355" t="s">
        <v>531</v>
      </c>
      <c r="C1063" s="1562">
        <v>13257.0</v>
      </c>
      <c r="D1063" s="355">
        <v>17.0</v>
      </c>
      <c r="E1063" s="1" t="s">
        <v>531</v>
      </c>
    </row>
    <row r="1064">
      <c r="A1064" s="355" t="s">
        <v>290</v>
      </c>
      <c r="B1064" s="355" t="s">
        <v>531</v>
      </c>
      <c r="C1064" s="1562">
        <v>24644.0</v>
      </c>
      <c r="D1064" s="355">
        <v>28.0</v>
      </c>
      <c r="E1064" s="1" t="s">
        <v>531</v>
      </c>
    </row>
    <row r="1065">
      <c r="A1065" s="355" t="s">
        <v>730</v>
      </c>
      <c r="B1065" s="355" t="s">
        <v>531</v>
      </c>
      <c r="C1065" s="1562">
        <v>9242.0</v>
      </c>
      <c r="D1065" s="355">
        <v>27.0</v>
      </c>
      <c r="E1065" s="1" t="s">
        <v>531</v>
      </c>
    </row>
    <row r="1066">
      <c r="A1066" s="355" t="s">
        <v>293</v>
      </c>
      <c r="B1066" s="355" t="s">
        <v>531</v>
      </c>
      <c r="C1066" s="1562">
        <v>26989.0</v>
      </c>
      <c r="D1066" s="355">
        <v>62.0</v>
      </c>
      <c r="E1066" s="1" t="s">
        <v>531</v>
      </c>
    </row>
    <row r="1067">
      <c r="A1067" s="355" t="s">
        <v>910</v>
      </c>
      <c r="B1067" s="355" t="s">
        <v>531</v>
      </c>
      <c r="C1067" s="1562">
        <v>8009.0</v>
      </c>
      <c r="D1067" s="355">
        <v>12.0</v>
      </c>
      <c r="E1067" s="1" t="s">
        <v>531</v>
      </c>
    </row>
    <row r="1068">
      <c r="A1068" s="355" t="s">
        <v>1117</v>
      </c>
      <c r="B1068" s="355" t="s">
        <v>531</v>
      </c>
      <c r="C1068" s="1562">
        <v>65346.0</v>
      </c>
      <c r="D1068" s="355">
        <v>100.0</v>
      </c>
      <c r="E1068" s="1" t="s">
        <v>531</v>
      </c>
    </row>
    <row r="1069">
      <c r="A1069" s="355" t="s">
        <v>1118</v>
      </c>
      <c r="B1069" s="355" t="s">
        <v>531</v>
      </c>
      <c r="C1069" s="1562">
        <v>17408.0</v>
      </c>
      <c r="D1069" s="355">
        <v>15.0</v>
      </c>
      <c r="E1069" s="1" t="s">
        <v>531</v>
      </c>
    </row>
    <row r="1070">
      <c r="A1070" s="355" t="s">
        <v>2515</v>
      </c>
      <c r="B1070" s="355" t="s">
        <v>531</v>
      </c>
      <c r="C1070" s="1562">
        <v>9252.0</v>
      </c>
      <c r="D1070" s="355">
        <v>16.0</v>
      </c>
      <c r="E1070" s="1" t="s">
        <v>531</v>
      </c>
    </row>
    <row r="1071">
      <c r="A1071" s="355" t="s">
        <v>151</v>
      </c>
      <c r="B1071" s="355" t="s">
        <v>531</v>
      </c>
      <c r="C1071" s="1562">
        <v>92368.0</v>
      </c>
      <c r="D1071" s="355">
        <v>89.0</v>
      </c>
      <c r="E1071" s="1" t="s">
        <v>531</v>
      </c>
    </row>
    <row r="1072">
      <c r="A1072" s="355" t="s">
        <v>1119</v>
      </c>
      <c r="B1072" s="355" t="s">
        <v>531</v>
      </c>
      <c r="C1072" s="1562">
        <v>12362.0</v>
      </c>
      <c r="D1072" s="355">
        <v>27.0</v>
      </c>
      <c r="E1072" s="1" t="s">
        <v>531</v>
      </c>
    </row>
    <row r="1073">
      <c r="A1073" s="355" t="s">
        <v>153</v>
      </c>
      <c r="B1073" s="355" t="s">
        <v>531</v>
      </c>
      <c r="C1073" s="1562">
        <v>19404.0</v>
      </c>
      <c r="D1073" s="355">
        <v>15.0</v>
      </c>
      <c r="E1073" s="1" t="s">
        <v>531</v>
      </c>
    </row>
    <row r="1074">
      <c r="A1074" s="355" t="s">
        <v>154</v>
      </c>
      <c r="B1074" s="355" t="s">
        <v>531</v>
      </c>
      <c r="C1074" s="1562">
        <v>31191.0</v>
      </c>
      <c r="D1074" s="355">
        <v>52.0</v>
      </c>
      <c r="E1074" s="1" t="s">
        <v>531</v>
      </c>
    </row>
    <row r="1075">
      <c r="A1075" s="355" t="s">
        <v>510</v>
      </c>
      <c r="B1075" s="355" t="s">
        <v>531</v>
      </c>
      <c r="C1075" s="1562">
        <v>11323.0</v>
      </c>
      <c r="D1075" s="355">
        <v>15.0</v>
      </c>
      <c r="E1075" s="1" t="s">
        <v>531</v>
      </c>
    </row>
    <row r="1076">
      <c r="A1076" s="355" t="s">
        <v>735</v>
      </c>
      <c r="B1076" s="355" t="s">
        <v>531</v>
      </c>
      <c r="C1076" s="1562">
        <v>17150.0</v>
      </c>
      <c r="D1076" s="355">
        <v>35.0</v>
      </c>
      <c r="E1076" s="1" t="s">
        <v>531</v>
      </c>
    </row>
    <row r="1077">
      <c r="A1077" s="355" t="s">
        <v>989</v>
      </c>
      <c r="B1077" s="355" t="s">
        <v>531</v>
      </c>
      <c r="C1077" s="1562">
        <v>28715.0</v>
      </c>
      <c r="D1077" s="355">
        <v>27.0</v>
      </c>
      <c r="E1077" s="1" t="s">
        <v>531</v>
      </c>
    </row>
    <row r="1078">
      <c r="A1078" s="355" t="s">
        <v>1121</v>
      </c>
      <c r="B1078" s="355" t="s">
        <v>531</v>
      </c>
      <c r="C1078" s="1562">
        <v>6451.0</v>
      </c>
      <c r="D1078" s="355">
        <v>10.0</v>
      </c>
      <c r="E1078" s="1" t="s">
        <v>531</v>
      </c>
    </row>
    <row r="1079">
      <c r="A1079" s="355" t="s">
        <v>738</v>
      </c>
      <c r="B1079" s="355" t="s">
        <v>531</v>
      </c>
      <c r="C1079" s="1562">
        <v>21774.0</v>
      </c>
      <c r="D1079" s="355">
        <v>36.0</v>
      </c>
      <c r="E1079" s="1" t="s">
        <v>531</v>
      </c>
    </row>
    <row r="1080">
      <c r="A1080" s="355" t="s">
        <v>1122</v>
      </c>
      <c r="B1080" s="355" t="s">
        <v>531</v>
      </c>
      <c r="C1080" s="1562">
        <v>10030.0</v>
      </c>
      <c r="D1080" s="355">
        <v>11.0</v>
      </c>
      <c r="E1080" s="1" t="s">
        <v>531</v>
      </c>
    </row>
    <row r="1081">
      <c r="A1081" s="355" t="s">
        <v>156</v>
      </c>
      <c r="B1081" s="355" t="s">
        <v>531</v>
      </c>
      <c r="C1081" s="1562">
        <v>10718.0</v>
      </c>
      <c r="D1081" s="355">
        <v>16.0</v>
      </c>
      <c r="E1081" s="1" t="s">
        <v>531</v>
      </c>
    </row>
    <row r="1082">
      <c r="A1082" s="355" t="s">
        <v>157</v>
      </c>
      <c r="B1082" s="355" t="s">
        <v>531</v>
      </c>
      <c r="C1082" s="1562">
        <v>28203.0</v>
      </c>
      <c r="D1082" s="355">
        <v>28.0</v>
      </c>
      <c r="E1082" s="1" t="s">
        <v>531</v>
      </c>
    </row>
    <row r="1083">
      <c r="A1083" s="355" t="s">
        <v>158</v>
      </c>
      <c r="B1083" s="355" t="s">
        <v>531</v>
      </c>
      <c r="C1083" s="1562">
        <v>13345.0</v>
      </c>
      <c r="D1083" s="355">
        <v>24.0</v>
      </c>
      <c r="E1083" s="1" t="s">
        <v>531</v>
      </c>
    </row>
    <row r="1084">
      <c r="A1084" s="355" t="s">
        <v>1124</v>
      </c>
      <c r="B1084" s="355" t="s">
        <v>531</v>
      </c>
      <c r="C1084" s="1562">
        <v>30774.0</v>
      </c>
      <c r="D1084" s="355">
        <v>52.0</v>
      </c>
      <c r="E1084" s="1" t="s">
        <v>531</v>
      </c>
    </row>
    <row r="1085">
      <c r="A1085" s="355" t="s">
        <v>1125</v>
      </c>
      <c r="B1085" s="355" t="s">
        <v>531</v>
      </c>
      <c r="C1085" s="1562">
        <v>45851.0</v>
      </c>
      <c r="D1085" s="355">
        <v>40.0</v>
      </c>
      <c r="E1085" s="1" t="s">
        <v>531</v>
      </c>
    </row>
    <row r="1086">
      <c r="A1086" s="355" t="s">
        <v>1126</v>
      </c>
      <c r="B1086" s="355" t="s">
        <v>531</v>
      </c>
      <c r="C1086" s="1562">
        <v>7166.0</v>
      </c>
      <c r="D1086" s="355">
        <v>6.0</v>
      </c>
      <c r="E1086" s="1" t="s">
        <v>531</v>
      </c>
    </row>
    <row r="1087">
      <c r="A1087" s="355" t="s">
        <v>100</v>
      </c>
      <c r="B1087" s="355" t="s">
        <v>531</v>
      </c>
      <c r="C1087" s="1562">
        <v>24087.0</v>
      </c>
      <c r="D1087" s="355">
        <v>32.0</v>
      </c>
      <c r="E1087" s="1" t="s">
        <v>531</v>
      </c>
    </row>
    <row r="1088">
      <c r="A1088" s="355" t="s">
        <v>1127</v>
      </c>
      <c r="B1088" s="355" t="s">
        <v>531</v>
      </c>
      <c r="C1088" s="1562">
        <v>66470.0</v>
      </c>
      <c r="D1088" s="355">
        <v>48.0</v>
      </c>
      <c r="E1088" s="1" t="s">
        <v>531</v>
      </c>
    </row>
    <row r="1089">
      <c r="A1089" s="355" t="s">
        <v>802</v>
      </c>
      <c r="B1089" s="355" t="s">
        <v>531</v>
      </c>
      <c r="C1089" s="1562">
        <v>10880.0</v>
      </c>
      <c r="D1089" s="355">
        <v>16.0</v>
      </c>
      <c r="E1089" s="1" t="s">
        <v>531</v>
      </c>
    </row>
    <row r="1090">
      <c r="A1090" s="355" t="s">
        <v>1128</v>
      </c>
      <c r="B1090" s="355" t="s">
        <v>531</v>
      </c>
      <c r="C1090" s="1562">
        <v>4472.0</v>
      </c>
      <c r="D1090" s="355">
        <v>6.0</v>
      </c>
      <c r="E1090" s="1" t="s">
        <v>531</v>
      </c>
    </row>
    <row r="1091">
      <c r="A1091" s="355" t="s">
        <v>1129</v>
      </c>
      <c r="B1091" s="355" t="s">
        <v>531</v>
      </c>
      <c r="C1091" s="1562">
        <v>14529.0</v>
      </c>
      <c r="D1091" s="355">
        <v>23.0</v>
      </c>
      <c r="E1091" s="1" t="s">
        <v>531</v>
      </c>
    </row>
    <row r="1092">
      <c r="A1092" s="355" t="s">
        <v>159</v>
      </c>
      <c r="B1092" s="355" t="s">
        <v>531</v>
      </c>
      <c r="C1092" s="1562">
        <v>26092.0</v>
      </c>
      <c r="D1092" s="355">
        <v>47.0</v>
      </c>
      <c r="E1092" s="1" t="s">
        <v>531</v>
      </c>
    </row>
    <row r="1093">
      <c r="A1093" s="355" t="s">
        <v>162</v>
      </c>
      <c r="B1093" s="355" t="s">
        <v>531</v>
      </c>
      <c r="C1093" s="1562">
        <v>58402.0</v>
      </c>
      <c r="D1093" s="355">
        <v>83.0</v>
      </c>
      <c r="E1093" s="1" t="s">
        <v>531</v>
      </c>
    </row>
    <row r="1094">
      <c r="A1094" s="355" t="s">
        <v>1130</v>
      </c>
      <c r="B1094" s="355" t="s">
        <v>531</v>
      </c>
      <c r="C1094" s="1562">
        <v>12442.0</v>
      </c>
      <c r="D1094" s="355">
        <v>12.0</v>
      </c>
      <c r="E1094" s="1" t="s">
        <v>531</v>
      </c>
    </row>
    <row r="1095">
      <c r="A1095" s="355" t="s">
        <v>305</v>
      </c>
      <c r="B1095" s="355" t="s">
        <v>531</v>
      </c>
      <c r="C1095" s="1562">
        <v>64623.0</v>
      </c>
      <c r="D1095" s="355">
        <v>89.0</v>
      </c>
      <c r="E1095" s="1" t="s">
        <v>531</v>
      </c>
    </row>
    <row r="1096">
      <c r="A1096" s="355" t="s">
        <v>1131</v>
      </c>
      <c r="B1096" s="355" t="s">
        <v>531</v>
      </c>
      <c r="C1096" s="1562">
        <v>2135.0</v>
      </c>
      <c r="D1096" s="355">
        <v>1.0</v>
      </c>
      <c r="E1096" s="1" t="s">
        <v>531</v>
      </c>
    </row>
    <row r="1097">
      <c r="A1097" s="355" t="s">
        <v>1132</v>
      </c>
      <c r="B1097" s="355" t="s">
        <v>531</v>
      </c>
      <c r="C1097" s="1562">
        <v>16750.0</v>
      </c>
      <c r="D1097" s="355">
        <v>20.0</v>
      </c>
      <c r="E1097" s="1" t="s">
        <v>531</v>
      </c>
    </row>
    <row r="1098">
      <c r="A1098" s="355" t="s">
        <v>1133</v>
      </c>
      <c r="B1098" s="355" t="s">
        <v>531</v>
      </c>
      <c r="C1098" s="1562">
        <v>24583.0</v>
      </c>
      <c r="D1098" s="355">
        <v>28.0</v>
      </c>
      <c r="E1098" s="1" t="s">
        <v>531</v>
      </c>
    </row>
    <row r="1099">
      <c r="A1099" s="355" t="s">
        <v>165</v>
      </c>
      <c r="B1099" s="355" t="s">
        <v>531</v>
      </c>
      <c r="C1099" s="1562">
        <v>17821.0</v>
      </c>
      <c r="D1099" s="355">
        <v>46.0</v>
      </c>
      <c r="E1099" s="1" t="s">
        <v>531</v>
      </c>
    </row>
    <row r="1100">
      <c r="A1100" s="355" t="s">
        <v>309</v>
      </c>
      <c r="B1100" s="355" t="s">
        <v>531</v>
      </c>
      <c r="C1100" s="1562">
        <v>56031.0</v>
      </c>
      <c r="D1100" s="355">
        <v>51.0</v>
      </c>
      <c r="E1100" s="1" t="s">
        <v>531</v>
      </c>
    </row>
    <row r="1101">
      <c r="A1101" s="355" t="s">
        <v>168</v>
      </c>
      <c r="B1101" s="355" t="s">
        <v>531</v>
      </c>
      <c r="C1101" s="1562">
        <v>48518.0</v>
      </c>
      <c r="D1101" s="355">
        <v>42.0</v>
      </c>
      <c r="E1101" s="1" t="s">
        <v>531</v>
      </c>
    </row>
    <row r="1102">
      <c r="A1102" s="355" t="s">
        <v>1134</v>
      </c>
      <c r="B1102" s="355" t="s">
        <v>531</v>
      </c>
      <c r="C1102" s="1562">
        <v>18529.0</v>
      </c>
      <c r="D1102" s="355">
        <v>29.0</v>
      </c>
      <c r="E1102" s="1" t="s">
        <v>531</v>
      </c>
    </row>
    <row r="1103">
      <c r="A1103" s="355" t="s">
        <v>854</v>
      </c>
      <c r="B1103" s="355" t="s">
        <v>531</v>
      </c>
      <c r="C1103" s="1562">
        <v>18794.0</v>
      </c>
      <c r="D1103" s="355">
        <v>19.0</v>
      </c>
      <c r="E1103" s="1" t="s">
        <v>531</v>
      </c>
    </row>
    <row r="1104">
      <c r="A1104" s="355" t="s">
        <v>526</v>
      </c>
      <c r="B1104" s="355" t="s">
        <v>531</v>
      </c>
      <c r="C1104" s="1562">
        <v>25549.0</v>
      </c>
      <c r="D1104" s="355">
        <v>46.0</v>
      </c>
      <c r="E1104" s="1" t="s">
        <v>531</v>
      </c>
    </row>
    <row r="1105">
      <c r="A1105" s="355" t="s">
        <v>1135</v>
      </c>
      <c r="B1105" s="355" t="s">
        <v>531</v>
      </c>
      <c r="C1105" s="1562">
        <v>12311.0</v>
      </c>
      <c r="D1105" s="355">
        <v>19.0</v>
      </c>
      <c r="E1105" s="1" t="s">
        <v>531</v>
      </c>
    </row>
    <row r="1106">
      <c r="A1106" s="355" t="s">
        <v>1136</v>
      </c>
      <c r="B1106" s="355" t="s">
        <v>531</v>
      </c>
      <c r="C1106" s="1562">
        <v>14643.0</v>
      </c>
      <c r="D1106" s="355">
        <v>24.0</v>
      </c>
      <c r="E1106" s="1" t="s">
        <v>531</v>
      </c>
    </row>
    <row r="1107">
      <c r="A1107" s="355" t="s">
        <v>1137</v>
      </c>
      <c r="B1107" s="355" t="s">
        <v>531</v>
      </c>
      <c r="C1107" s="1562">
        <v>8515.0</v>
      </c>
      <c r="D1107" s="355">
        <v>10.0</v>
      </c>
      <c r="E1107" s="1" t="s">
        <v>531</v>
      </c>
    </row>
    <row r="1108">
      <c r="A1108" s="355" t="s">
        <v>316</v>
      </c>
      <c r="B1108" s="355" t="s">
        <v>531</v>
      </c>
      <c r="C1108" s="1562">
        <v>14505.0</v>
      </c>
      <c r="D1108" s="355">
        <v>20.0</v>
      </c>
      <c r="E1108" s="1" t="s">
        <v>531</v>
      </c>
    </row>
    <row r="1109">
      <c r="A1109" s="355" t="s">
        <v>647</v>
      </c>
      <c r="B1109" s="355" t="s">
        <v>531</v>
      </c>
      <c r="C1109" s="1562">
        <v>131264.0</v>
      </c>
      <c r="D1109" s="355">
        <v>100.0</v>
      </c>
      <c r="E1109" s="1" t="s">
        <v>531</v>
      </c>
    </row>
    <row r="1110">
      <c r="A1110" s="355" t="s">
        <v>119</v>
      </c>
      <c r="B1110" s="355" t="s">
        <v>531</v>
      </c>
      <c r="C1110" s="1562">
        <v>12084.0</v>
      </c>
      <c r="D1110" s="355">
        <v>19.0</v>
      </c>
      <c r="E1110" s="1" t="s">
        <v>531</v>
      </c>
    </row>
    <row r="1111">
      <c r="A1111" s="355" t="s">
        <v>273</v>
      </c>
      <c r="B1111" s="355" t="s">
        <v>531</v>
      </c>
      <c r="C1111" s="1562">
        <v>20468.0</v>
      </c>
      <c r="D1111" s="355">
        <v>16.0</v>
      </c>
      <c r="E1111" s="1" t="s">
        <v>531</v>
      </c>
    </row>
    <row r="1112">
      <c r="A1112" s="355" t="s">
        <v>648</v>
      </c>
      <c r="B1112" s="355" t="s">
        <v>531</v>
      </c>
      <c r="C1112" s="1562">
        <v>13111.0</v>
      </c>
      <c r="D1112" s="355">
        <v>26.0</v>
      </c>
      <c r="E1112" s="1" t="s">
        <v>531</v>
      </c>
    </row>
    <row r="1113">
      <c r="A1113" s="355" t="s">
        <v>879</v>
      </c>
      <c r="B1113" s="355" t="s">
        <v>531</v>
      </c>
      <c r="C1113" s="1562">
        <v>36242.0</v>
      </c>
      <c r="D1113" s="355">
        <v>44.0</v>
      </c>
      <c r="E1113" s="1" t="s">
        <v>531</v>
      </c>
    </row>
    <row r="1114">
      <c r="A1114" s="355" t="s">
        <v>1138</v>
      </c>
      <c r="B1114" s="355" t="s">
        <v>531</v>
      </c>
      <c r="C1114" s="1562">
        <v>7177.0</v>
      </c>
      <c r="D1114" s="355">
        <v>12.0</v>
      </c>
      <c r="E1114" s="1" t="s">
        <v>531</v>
      </c>
    </row>
    <row r="1115">
      <c r="A1115" s="1501" t="s">
        <v>754</v>
      </c>
      <c r="B1115" s="1501" t="s">
        <v>531</v>
      </c>
      <c r="C1115" s="1564">
        <v>26533.0</v>
      </c>
      <c r="D1115" s="1501">
        <v>41.0</v>
      </c>
      <c r="E1115" s="1624" t="s">
        <v>531</v>
      </c>
      <c r="F1115" s="1624"/>
      <c r="G1115" s="1624"/>
      <c r="N1115" s="1489"/>
      <c r="O1115" s="1489"/>
      <c r="P1115" s="1489"/>
      <c r="Q1115" s="1489"/>
      <c r="R1115" s="1489"/>
      <c r="S1115" s="1489"/>
      <c r="T1115" s="1489"/>
      <c r="U1115" s="1489"/>
      <c r="V1115" s="1489"/>
      <c r="W1115" s="1489"/>
      <c r="X1115" s="1489"/>
      <c r="Y1115" s="1489"/>
      <c r="Z1115" s="1489"/>
    </row>
    <row r="1116">
      <c r="A1116" s="1490" t="s">
        <v>1140</v>
      </c>
      <c r="B1116" s="1490" t="s">
        <v>1139</v>
      </c>
      <c r="C1116" s="1597">
        <v>62190.0</v>
      </c>
      <c r="D1116" s="1490">
        <v>47.0</v>
      </c>
      <c r="E1116" s="1" t="s">
        <v>1139</v>
      </c>
    </row>
    <row r="1117">
      <c r="A1117" s="1490" t="s">
        <v>755</v>
      </c>
      <c r="B1117" s="1490" t="s">
        <v>1139</v>
      </c>
      <c r="C1117" s="1597">
        <v>25605.0</v>
      </c>
      <c r="D1117" s="1490">
        <v>59.0</v>
      </c>
      <c r="E1117" s="1" t="s">
        <v>1139</v>
      </c>
    </row>
    <row r="1118">
      <c r="A1118" s="1490" t="s">
        <v>1141</v>
      </c>
      <c r="B1118" s="1490" t="s">
        <v>1139</v>
      </c>
      <c r="C1118" s="1597">
        <v>124672.0</v>
      </c>
      <c r="D1118" s="1490">
        <v>83.0</v>
      </c>
      <c r="E1118" s="1" t="s">
        <v>1139</v>
      </c>
    </row>
    <row r="1119">
      <c r="A1119" s="1490" t="s">
        <v>1142</v>
      </c>
      <c r="B1119" s="1490" t="s">
        <v>1139</v>
      </c>
      <c r="C1119" s="1597">
        <v>22300.0</v>
      </c>
      <c r="D1119" s="1490">
        <v>21.0</v>
      </c>
      <c r="E1119" s="1" t="s">
        <v>1139</v>
      </c>
      <c r="H1119" s="1489"/>
      <c r="I1119" s="1489"/>
      <c r="J1119" s="1489"/>
      <c r="K1119" s="1489"/>
      <c r="L1119" s="1489"/>
      <c r="M1119" s="1489"/>
    </row>
    <row r="1120">
      <c r="A1120" s="1490" t="s">
        <v>1143</v>
      </c>
      <c r="B1120" s="1490" t="s">
        <v>1139</v>
      </c>
      <c r="C1120" s="1597">
        <v>40462.0</v>
      </c>
      <c r="D1120" s="1490">
        <v>44.0</v>
      </c>
      <c r="E1120" s="1" t="s">
        <v>1139</v>
      </c>
    </row>
    <row r="1121">
      <c r="A1121" s="1490" t="s">
        <v>1144</v>
      </c>
      <c r="B1121" s="1490" t="s">
        <v>1139</v>
      </c>
      <c r="C1121" s="1597">
        <v>37253.0</v>
      </c>
      <c r="D1121" s="1490">
        <v>72.0</v>
      </c>
      <c r="E1121" s="1" t="s">
        <v>1139</v>
      </c>
    </row>
    <row r="1122">
      <c r="A1122" s="1490" t="s">
        <v>1145</v>
      </c>
      <c r="B1122" s="1490" t="s">
        <v>1139</v>
      </c>
      <c r="C1122" s="1597">
        <v>13308.0</v>
      </c>
      <c r="D1122" s="1490">
        <v>51.0</v>
      </c>
      <c r="E1122" s="1" t="s">
        <v>1139</v>
      </c>
    </row>
    <row r="1123">
      <c r="A1123" s="1490" t="s">
        <v>1146</v>
      </c>
      <c r="B1123" s="1490" t="s">
        <v>1139</v>
      </c>
      <c r="C1123" s="1597">
        <v>127185.0</v>
      </c>
      <c r="D1123" s="1490">
        <v>138.0</v>
      </c>
      <c r="E1123" s="1" t="s">
        <v>1139</v>
      </c>
    </row>
    <row r="1124">
      <c r="A1124" s="1490" t="s">
        <v>1147</v>
      </c>
      <c r="B1124" s="1490" t="s">
        <v>1139</v>
      </c>
      <c r="C1124" s="1597">
        <v>242922.0</v>
      </c>
      <c r="D1124" s="1490">
        <v>395.0</v>
      </c>
      <c r="E1124" s="1" t="s">
        <v>1139</v>
      </c>
    </row>
    <row r="1125">
      <c r="A1125" s="1490" t="s">
        <v>1148</v>
      </c>
      <c r="B1125" s="1490" t="s">
        <v>1139</v>
      </c>
      <c r="C1125" s="1597">
        <v>203112.0</v>
      </c>
      <c r="D1125" s="1490">
        <v>218.0</v>
      </c>
      <c r="E1125" s="1" t="s">
        <v>1139</v>
      </c>
    </row>
    <row r="1126">
      <c r="A1126" s="1490" t="s">
        <v>1034</v>
      </c>
      <c r="B1126" s="1490" t="s">
        <v>1139</v>
      </c>
      <c r="C1126" s="1597">
        <v>9960.0</v>
      </c>
      <c r="D1126" s="1490">
        <v>22.0</v>
      </c>
      <c r="E1126" s="1" t="s">
        <v>1139</v>
      </c>
    </row>
    <row r="1127">
      <c r="A1127" s="1490" t="s">
        <v>1149</v>
      </c>
      <c r="B1127" s="1490" t="s">
        <v>1139</v>
      </c>
      <c r="C1127" s="1597">
        <v>6968.0</v>
      </c>
      <c r="D1127" s="1490">
        <v>4.0</v>
      </c>
      <c r="E1127" s="1" t="s">
        <v>1139</v>
      </c>
    </row>
    <row r="1128">
      <c r="A1128" s="1490" t="s">
        <v>1150</v>
      </c>
      <c r="B1128" s="1490" t="s">
        <v>1139</v>
      </c>
      <c r="C1128" s="1597">
        <v>9608.0</v>
      </c>
      <c r="D1128" s="1490">
        <v>24.0</v>
      </c>
      <c r="E1128" s="1" t="s">
        <v>1139</v>
      </c>
    </row>
    <row r="1129">
      <c r="A1129" s="1490" t="s">
        <v>1151</v>
      </c>
      <c r="B1129" s="1490" t="s">
        <v>1139</v>
      </c>
      <c r="C1129" s="1597">
        <v>15944.0</v>
      </c>
      <c r="D1129" s="1490">
        <v>50.0</v>
      </c>
      <c r="E1129" s="1" t="s">
        <v>1139</v>
      </c>
    </row>
    <row r="1130">
      <c r="A1130" s="1490" t="s">
        <v>1152</v>
      </c>
      <c r="B1130" s="1490" t="s">
        <v>1139</v>
      </c>
      <c r="C1130" s="1597">
        <v>19572.0</v>
      </c>
      <c r="D1130" s="1490">
        <v>45.0</v>
      </c>
      <c r="E1130" s="1" t="s">
        <v>1139</v>
      </c>
    </row>
    <row r="1131">
      <c r="A1131" s="1490" t="s">
        <v>2446</v>
      </c>
      <c r="B1131" s="1490" t="s">
        <v>1139</v>
      </c>
      <c r="C1131" s="1597">
        <v>27436.0</v>
      </c>
      <c r="D1131" s="1490">
        <v>77.0</v>
      </c>
      <c r="E1131" s="1" t="s">
        <v>1139</v>
      </c>
    </row>
    <row r="1132">
      <c r="A1132" s="1490" t="s">
        <v>1153</v>
      </c>
      <c r="B1132" s="1490" t="s">
        <v>1139</v>
      </c>
      <c r="C1132" s="1597">
        <v>440956.0</v>
      </c>
      <c r="D1132" s="1490">
        <v>378.0</v>
      </c>
      <c r="E1132" s="1" t="s">
        <v>1139</v>
      </c>
    </row>
    <row r="1133">
      <c r="A1133" s="1490" t="s">
        <v>1154</v>
      </c>
      <c r="B1133" s="1490" t="s">
        <v>1139</v>
      </c>
      <c r="C1133" s="1597">
        <v>7037.0</v>
      </c>
      <c r="D1133" s="1490">
        <v>26.0</v>
      </c>
      <c r="E1133" s="1" t="s">
        <v>1139</v>
      </c>
    </row>
    <row r="1134">
      <c r="A1134" s="1490" t="s">
        <v>1155</v>
      </c>
      <c r="B1134" s="1490" t="s">
        <v>1139</v>
      </c>
      <c r="C1134" s="1597">
        <v>19305.0</v>
      </c>
      <c r="D1134" s="1490">
        <v>51.0</v>
      </c>
      <c r="E1134" s="1" t="s">
        <v>1139</v>
      </c>
    </row>
    <row r="1135">
      <c r="A1135" s="1490" t="s">
        <v>1156</v>
      </c>
      <c r="B1135" s="1490" t="s">
        <v>1139</v>
      </c>
      <c r="C1135" s="1597">
        <v>33443.0</v>
      </c>
      <c r="D1135" s="1490">
        <v>39.0</v>
      </c>
      <c r="E1135" s="1" t="s">
        <v>1139</v>
      </c>
    </row>
    <row r="1136">
      <c r="A1136" s="1490" t="s">
        <v>136</v>
      </c>
      <c r="B1136" s="1490" t="s">
        <v>1139</v>
      </c>
      <c r="C1136" s="1597">
        <v>20156.0</v>
      </c>
      <c r="D1136" s="1490">
        <v>62.0</v>
      </c>
      <c r="E1136" s="1" t="s">
        <v>1139</v>
      </c>
    </row>
    <row r="1137">
      <c r="A1137" s="1490" t="s">
        <v>278</v>
      </c>
      <c r="B1137" s="1490" t="s">
        <v>1139</v>
      </c>
      <c r="C1137" s="1597">
        <v>22482.0</v>
      </c>
      <c r="D1137" s="1490">
        <v>38.0</v>
      </c>
      <c r="E1137" s="1" t="s">
        <v>1139</v>
      </c>
    </row>
    <row r="1138">
      <c r="A1138" s="1490" t="s">
        <v>1157</v>
      </c>
      <c r="B1138" s="1490" t="s">
        <v>1139</v>
      </c>
      <c r="C1138" s="1597">
        <v>70941.0</v>
      </c>
      <c r="D1138" s="1490">
        <v>55.0</v>
      </c>
      <c r="E1138" s="1" t="s">
        <v>1139</v>
      </c>
    </row>
    <row r="1139">
      <c r="A1139" s="1490" t="s">
        <v>1158</v>
      </c>
      <c r="B1139" s="1490" t="s">
        <v>1139</v>
      </c>
      <c r="C1139" s="1597">
        <v>32721.0</v>
      </c>
      <c r="D1139" s="1490">
        <v>46.0</v>
      </c>
      <c r="E1139" s="1" t="s">
        <v>1139</v>
      </c>
    </row>
    <row r="1140">
      <c r="A1140" s="1490" t="s">
        <v>142</v>
      </c>
      <c r="B1140" s="1490" t="s">
        <v>1139</v>
      </c>
      <c r="C1140" s="1597">
        <v>15902.0</v>
      </c>
      <c r="D1140" s="1490">
        <v>37.0</v>
      </c>
      <c r="E1140" s="1" t="s">
        <v>1139</v>
      </c>
    </row>
    <row r="1141">
      <c r="A1141" s="1490" t="s">
        <v>143</v>
      </c>
      <c r="B1141" s="1490" t="s">
        <v>1139</v>
      </c>
      <c r="C1141" s="1597">
        <v>434051.0</v>
      </c>
      <c r="D1141" s="1490">
        <v>256.0</v>
      </c>
      <c r="E1141" s="1" t="s">
        <v>1139</v>
      </c>
    </row>
    <row r="1142">
      <c r="A1142" s="1490" t="s">
        <v>1159</v>
      </c>
      <c r="B1142" s="1490" t="s">
        <v>1139</v>
      </c>
      <c r="C1142" s="1597">
        <v>31582.0</v>
      </c>
      <c r="D1142" s="1490">
        <v>51.0</v>
      </c>
      <c r="E1142" s="1" t="s">
        <v>1139</v>
      </c>
    </row>
    <row r="1143">
      <c r="A1143" s="1490" t="s">
        <v>289</v>
      </c>
      <c r="B1143" s="1490" t="s">
        <v>1139</v>
      </c>
      <c r="C1143" s="1597">
        <v>242782.0</v>
      </c>
      <c r="D1143" s="1490">
        <v>118.0</v>
      </c>
      <c r="E1143" s="1" t="s">
        <v>1139</v>
      </c>
    </row>
    <row r="1144">
      <c r="A1144" s="1490" t="s">
        <v>1160</v>
      </c>
      <c r="B1144" s="1490" t="s">
        <v>1139</v>
      </c>
      <c r="C1144" s="1597">
        <v>98115.0</v>
      </c>
      <c r="D1144" s="1490">
        <v>59.0</v>
      </c>
      <c r="E1144" s="1" t="s">
        <v>1139</v>
      </c>
    </row>
    <row r="1145">
      <c r="A1145" s="1490" t="s">
        <v>729</v>
      </c>
      <c r="B1145" s="1490" t="s">
        <v>1139</v>
      </c>
      <c r="C1145" s="1597">
        <v>14917.0</v>
      </c>
      <c r="D1145" s="1490">
        <v>33.0</v>
      </c>
      <c r="E1145" s="1" t="s">
        <v>1139</v>
      </c>
    </row>
    <row r="1146">
      <c r="A1146" s="1490" t="s">
        <v>290</v>
      </c>
      <c r="B1146" s="1490" t="s">
        <v>1139</v>
      </c>
      <c r="C1146" s="1597">
        <v>47196.0</v>
      </c>
      <c r="D1146" s="1490">
        <v>62.0</v>
      </c>
      <c r="E1146" s="1" t="s">
        <v>1139</v>
      </c>
    </row>
    <row r="1147">
      <c r="A1147" s="1490" t="s">
        <v>730</v>
      </c>
      <c r="B1147" s="1490" t="s">
        <v>1139</v>
      </c>
      <c r="C1147" s="1597">
        <v>139567.0</v>
      </c>
      <c r="D1147" s="1490">
        <v>97.0</v>
      </c>
      <c r="E1147" s="1" t="s">
        <v>1139</v>
      </c>
    </row>
    <row r="1148">
      <c r="A1148" s="1490" t="s">
        <v>151</v>
      </c>
      <c r="B1148" s="1490" t="s">
        <v>1139</v>
      </c>
      <c r="C1148" s="1597">
        <v>11161.0</v>
      </c>
      <c r="D1148" s="1490">
        <v>16.0</v>
      </c>
      <c r="E1148" s="1" t="s">
        <v>1139</v>
      </c>
    </row>
    <row r="1149">
      <c r="A1149" s="1490" t="s">
        <v>1161</v>
      </c>
      <c r="B1149" s="1490" t="s">
        <v>1139</v>
      </c>
      <c r="C1149" s="1597">
        <v>25398.0</v>
      </c>
      <c r="D1149" s="1490">
        <v>74.0</v>
      </c>
      <c r="E1149" s="1" t="s">
        <v>1139</v>
      </c>
    </row>
    <row r="1150">
      <c r="A1150" s="1490" t="s">
        <v>1162</v>
      </c>
      <c r="B1150" s="1490" t="s">
        <v>1139</v>
      </c>
      <c r="C1150" s="1597">
        <v>38659.0</v>
      </c>
      <c r="D1150" s="1490">
        <v>81.0</v>
      </c>
      <c r="E1150" s="1" t="s">
        <v>1139</v>
      </c>
    </row>
    <row r="1151">
      <c r="A1151" s="1490" t="s">
        <v>1163</v>
      </c>
      <c r="B1151" s="1490" t="s">
        <v>1139</v>
      </c>
      <c r="C1151" s="1597">
        <v>391006.0</v>
      </c>
      <c r="D1151" s="1490">
        <v>344.0</v>
      </c>
      <c r="E1151" s="1" t="s">
        <v>1139</v>
      </c>
    </row>
    <row r="1152">
      <c r="A1152" s="1490" t="s">
        <v>298</v>
      </c>
      <c r="B1152" s="1490" t="s">
        <v>1139</v>
      </c>
      <c r="C1152" s="1597">
        <v>154475.0</v>
      </c>
      <c r="D1152" s="1490">
        <v>219.0</v>
      </c>
      <c r="E1152" s="1" t="s">
        <v>1139</v>
      </c>
    </row>
    <row r="1153">
      <c r="A1153" s="1490" t="s">
        <v>1164</v>
      </c>
      <c r="B1153" s="1490" t="s">
        <v>1139</v>
      </c>
      <c r="C1153" s="1597">
        <v>23410.0</v>
      </c>
      <c r="D1153" s="1490">
        <v>16.0</v>
      </c>
      <c r="E1153" s="1" t="s">
        <v>1139</v>
      </c>
    </row>
    <row r="1154">
      <c r="A1154" s="1490" t="s">
        <v>1165</v>
      </c>
      <c r="B1154" s="1490" t="s">
        <v>1139</v>
      </c>
      <c r="C1154" s="1597">
        <v>21940.0</v>
      </c>
      <c r="D1154" s="1490">
        <v>24.0</v>
      </c>
      <c r="E1154" s="1" t="s">
        <v>1139</v>
      </c>
    </row>
    <row r="1155">
      <c r="A1155" s="1490" t="s">
        <v>1166</v>
      </c>
      <c r="B1155" s="1490" t="s">
        <v>1139</v>
      </c>
      <c r="C1155" s="1597">
        <v>130562.0</v>
      </c>
      <c r="D1155" s="1490">
        <v>228.0</v>
      </c>
      <c r="E1155" s="1" t="s">
        <v>1139</v>
      </c>
    </row>
    <row r="1156">
      <c r="A1156" s="1490" t="s">
        <v>1167</v>
      </c>
      <c r="B1156" s="1490" t="s">
        <v>1139</v>
      </c>
      <c r="C1156" s="1597">
        <v>8477.0</v>
      </c>
      <c r="D1156" s="1490">
        <v>22.0</v>
      </c>
      <c r="E1156" s="1" t="s">
        <v>1139</v>
      </c>
    </row>
    <row r="1157">
      <c r="A1157" s="1490" t="s">
        <v>743</v>
      </c>
      <c r="B1157" s="1490" t="s">
        <v>1139</v>
      </c>
      <c r="C1157" s="1597">
        <v>20192.0</v>
      </c>
      <c r="D1157" s="1490">
        <v>49.0</v>
      </c>
      <c r="E1157" s="1" t="s">
        <v>1139</v>
      </c>
    </row>
    <row r="1158">
      <c r="A1158" s="1490" t="s">
        <v>1168</v>
      </c>
      <c r="B1158" s="1490" t="s">
        <v>1139</v>
      </c>
      <c r="C1158" s="1597">
        <v>24032.0</v>
      </c>
      <c r="D1158" s="1490">
        <v>55.0</v>
      </c>
      <c r="E1158" s="1" t="s">
        <v>1139</v>
      </c>
    </row>
    <row r="1159">
      <c r="A1159" s="1490" t="s">
        <v>2824</v>
      </c>
      <c r="B1159" s="1490" t="s">
        <v>1139</v>
      </c>
      <c r="C1159" s="1597">
        <v>46721.0</v>
      </c>
      <c r="D1159" s="1490">
        <v>20.0</v>
      </c>
      <c r="E1159" s="1" t="s">
        <v>1139</v>
      </c>
    </row>
    <row r="1160">
      <c r="A1160" s="1490" t="s">
        <v>2825</v>
      </c>
      <c r="B1160" s="1490" t="s">
        <v>1139</v>
      </c>
      <c r="C1160" s="1597">
        <v>52879.0</v>
      </c>
      <c r="D1160" s="1490">
        <v>49.0</v>
      </c>
      <c r="E1160" s="1" t="s">
        <v>1139</v>
      </c>
    </row>
    <row r="1161">
      <c r="A1161" s="1490" t="s">
        <v>2826</v>
      </c>
      <c r="B1161" s="1490" t="s">
        <v>1139</v>
      </c>
      <c r="C1161" s="1597">
        <v>10262.0</v>
      </c>
      <c r="D1161" s="1490">
        <v>23.0</v>
      </c>
      <c r="E1161" s="1" t="s">
        <v>1139</v>
      </c>
    </row>
    <row r="1162">
      <c r="A1162" s="1490" t="s">
        <v>2827</v>
      </c>
      <c r="B1162" s="1490" t="s">
        <v>1139</v>
      </c>
      <c r="C1162" s="1597">
        <v>21037.0</v>
      </c>
      <c r="D1162" s="1490">
        <v>24.0</v>
      </c>
      <c r="E1162" s="1" t="s">
        <v>1139</v>
      </c>
    </row>
    <row r="1163">
      <c r="A1163" s="1490" t="s">
        <v>4291</v>
      </c>
      <c r="B1163" s="1490" t="s">
        <v>1139</v>
      </c>
      <c r="C1163" s="1597">
        <v>43184.0</v>
      </c>
      <c r="D1163" s="1490">
        <v>45.0</v>
      </c>
      <c r="E1163" s="1" t="s">
        <v>1139</v>
      </c>
    </row>
    <row r="1164">
      <c r="A1164" s="1490" t="s">
        <v>2831</v>
      </c>
      <c r="B1164" s="1490" t="s">
        <v>1139</v>
      </c>
      <c r="C1164" s="1597">
        <v>82764.0</v>
      </c>
      <c r="D1164" s="1490">
        <v>85.0</v>
      </c>
      <c r="E1164" s="1" t="s">
        <v>1139</v>
      </c>
    </row>
    <row r="1165">
      <c r="A1165" s="1490" t="s">
        <v>2837</v>
      </c>
      <c r="B1165" s="1490" t="s">
        <v>1139</v>
      </c>
      <c r="C1165" s="1597">
        <v>53621.0</v>
      </c>
      <c r="D1165" s="1490">
        <v>20.0</v>
      </c>
      <c r="E1165" s="1" t="s">
        <v>1139</v>
      </c>
    </row>
    <row r="1166">
      <c r="A1166" s="1490" t="s">
        <v>2841</v>
      </c>
      <c r="B1166" s="1490" t="s">
        <v>1139</v>
      </c>
      <c r="C1166" s="1597">
        <v>49774.0</v>
      </c>
      <c r="D1166" s="1490">
        <v>71.0</v>
      </c>
      <c r="E1166" s="1" t="s">
        <v>1139</v>
      </c>
    </row>
    <row r="1167">
      <c r="A1167" s="1490" t="s">
        <v>2854</v>
      </c>
      <c r="B1167" s="1490" t="s">
        <v>1139</v>
      </c>
      <c r="C1167" s="1597">
        <v>258111.0</v>
      </c>
      <c r="D1167" s="1490">
        <v>173.0</v>
      </c>
      <c r="E1167" s="1" t="s">
        <v>1139</v>
      </c>
    </row>
    <row r="1168">
      <c r="A1168" s="1490" t="s">
        <v>1178</v>
      </c>
      <c r="B1168" s="1490" t="s">
        <v>1139</v>
      </c>
      <c r="C1168" s="1597">
        <v>133777.0</v>
      </c>
      <c r="D1168" s="1490">
        <v>146.0</v>
      </c>
      <c r="E1168" s="1" t="s">
        <v>1139</v>
      </c>
    </row>
    <row r="1169">
      <c r="A1169" s="1490" t="s">
        <v>1179</v>
      </c>
      <c r="B1169" s="1490" t="s">
        <v>1139</v>
      </c>
      <c r="C1169" s="1597">
        <v>4462.0</v>
      </c>
      <c r="D1169" s="1490">
        <v>10.0</v>
      </c>
      <c r="E1169" s="1" t="s">
        <v>1139</v>
      </c>
    </row>
    <row r="1170">
      <c r="A1170" s="1490" t="s">
        <v>1180</v>
      </c>
      <c r="B1170" s="1490" t="s">
        <v>1139</v>
      </c>
      <c r="C1170" s="1597">
        <v>111021.0</v>
      </c>
      <c r="D1170" s="1490">
        <v>78.0</v>
      </c>
      <c r="E1170" s="1" t="s">
        <v>1139</v>
      </c>
    </row>
    <row r="1171">
      <c r="A1171" s="1490" t="s">
        <v>316</v>
      </c>
      <c r="B1171" s="1490" t="s">
        <v>1139</v>
      </c>
      <c r="C1171" s="1597">
        <v>22330.0</v>
      </c>
      <c r="D1171" s="1490">
        <v>52.0</v>
      </c>
      <c r="E1171" s="1" t="s">
        <v>1139</v>
      </c>
    </row>
    <row r="1172">
      <c r="A1172" s="1490" t="s">
        <v>750</v>
      </c>
      <c r="B1172" s="1490" t="s">
        <v>1139</v>
      </c>
      <c r="C1172" s="1597">
        <v>59830.0</v>
      </c>
      <c r="D1172" s="1490">
        <v>34.0</v>
      </c>
      <c r="E1172" s="1" t="s">
        <v>1139</v>
      </c>
    </row>
    <row r="1173">
      <c r="A1173" s="1490" t="s">
        <v>1181</v>
      </c>
      <c r="B1173" s="1490" t="s">
        <v>1139</v>
      </c>
      <c r="C1173" s="1597">
        <v>48860.0</v>
      </c>
      <c r="D1173" s="1490">
        <v>86.0</v>
      </c>
      <c r="E1173" s="1" t="s">
        <v>1139</v>
      </c>
    </row>
    <row r="1174">
      <c r="A1174" s="1490" t="s">
        <v>119</v>
      </c>
      <c r="B1174" s="1490" t="s">
        <v>1139</v>
      </c>
      <c r="C1174" s="1597">
        <v>46582.0</v>
      </c>
      <c r="D1174" s="1490">
        <v>85.0</v>
      </c>
      <c r="E1174" s="1" t="s">
        <v>1139</v>
      </c>
    </row>
    <row r="1175">
      <c r="A1175" s="1490" t="s">
        <v>648</v>
      </c>
      <c r="B1175" s="1490" t="s">
        <v>1139</v>
      </c>
      <c r="C1175" s="1597">
        <v>38798.0</v>
      </c>
      <c r="D1175" s="1490">
        <v>90.0</v>
      </c>
      <c r="E1175" s="1" t="s">
        <v>1139</v>
      </c>
    </row>
    <row r="1176">
      <c r="A1176" s="1490" t="s">
        <v>1182</v>
      </c>
      <c r="B1176" s="1490" t="s">
        <v>1139</v>
      </c>
      <c r="C1176" s="1597">
        <v>26427.0</v>
      </c>
      <c r="D1176" s="1490">
        <v>24.0</v>
      </c>
      <c r="E1176" s="1" t="s">
        <v>1139</v>
      </c>
    </row>
    <row r="1177">
      <c r="A1177" s="1490" t="s">
        <v>1183</v>
      </c>
      <c r="B1177" s="1490" t="s">
        <v>1139</v>
      </c>
      <c r="C1177" s="1597">
        <v>10982.0</v>
      </c>
      <c r="D1177" s="1490">
        <v>34.0</v>
      </c>
      <c r="E1177" s="1" t="s">
        <v>1139</v>
      </c>
    </row>
    <row r="1178">
      <c r="A1178" s="1490" t="s">
        <v>1184</v>
      </c>
      <c r="B1178" s="1490" t="s">
        <v>1139</v>
      </c>
      <c r="C1178" s="1597">
        <v>15460.0</v>
      </c>
      <c r="D1178" s="1490">
        <v>21.0</v>
      </c>
      <c r="E1178" s="1" t="s">
        <v>1139</v>
      </c>
    </row>
    <row r="1179">
      <c r="A1179" s="1496" t="s">
        <v>1185</v>
      </c>
      <c r="B1179" s="1496" t="s">
        <v>1139</v>
      </c>
      <c r="C1179" s="1598">
        <v>14134.0</v>
      </c>
      <c r="D1179" s="1496">
        <v>37.0</v>
      </c>
      <c r="E1179" s="1624" t="s">
        <v>1139</v>
      </c>
      <c r="F1179" s="1624"/>
      <c r="G1179" s="1624"/>
      <c r="N1179" s="1489"/>
      <c r="O1179" s="1489"/>
      <c r="P1179" s="1489"/>
      <c r="Q1179" s="1489"/>
      <c r="R1179" s="1489"/>
      <c r="S1179" s="1489"/>
      <c r="T1179" s="1489"/>
      <c r="U1179" s="1489"/>
      <c r="V1179" s="1489"/>
      <c r="W1179" s="1489"/>
      <c r="X1179" s="1489"/>
      <c r="Y1179" s="1489"/>
      <c r="Z1179" s="1489"/>
    </row>
    <row r="1180">
      <c r="A1180" s="1490" t="s">
        <v>1187</v>
      </c>
      <c r="B1180" s="1490" t="s">
        <v>1186</v>
      </c>
      <c r="C1180" s="1597">
        <v>107679.0</v>
      </c>
      <c r="D1180" s="1490">
        <v>63.0</v>
      </c>
      <c r="E1180" s="1" t="s">
        <v>1186</v>
      </c>
    </row>
    <row r="1181">
      <c r="A1181" s="1490" t="s">
        <v>1188</v>
      </c>
      <c r="B1181" s="1490" t="s">
        <v>1186</v>
      </c>
      <c r="C1181" s="1597">
        <v>67111.0</v>
      </c>
      <c r="D1181" s="1490">
        <v>88.0</v>
      </c>
      <c r="E1181" s="1" t="s">
        <v>1186</v>
      </c>
    </row>
    <row r="1182">
      <c r="A1182" s="1490" t="s">
        <v>713</v>
      </c>
      <c r="B1182" s="1490" t="s">
        <v>1186</v>
      </c>
      <c r="C1182" s="1597">
        <v>293557.0</v>
      </c>
      <c r="D1182" s="1490">
        <v>172.0</v>
      </c>
      <c r="E1182" s="1" t="s">
        <v>1186</v>
      </c>
    </row>
    <row r="1183">
      <c r="A1183" s="1490" t="s">
        <v>136</v>
      </c>
      <c r="B1183" s="1490" t="s">
        <v>1186</v>
      </c>
      <c r="C1183" s="1597">
        <v>29897.0</v>
      </c>
      <c r="D1183" s="1490">
        <v>37.0</v>
      </c>
      <c r="E1183" s="1" t="s">
        <v>1186</v>
      </c>
      <c r="H1183" s="1489"/>
      <c r="I1183" s="1489"/>
      <c r="J1183" s="1489"/>
      <c r="K1183" s="1489"/>
      <c r="L1183" s="1489"/>
      <c r="M1183" s="1489"/>
    </row>
    <row r="1184">
      <c r="A1184" s="1490" t="s">
        <v>587</v>
      </c>
      <c r="B1184" s="1490" t="s">
        <v>1186</v>
      </c>
      <c r="C1184" s="1597">
        <v>54811.0</v>
      </c>
      <c r="D1184" s="1490">
        <v>68.0</v>
      </c>
      <c r="E1184" s="1" t="s">
        <v>1186</v>
      </c>
    </row>
    <row r="1185">
      <c r="A1185" s="1490" t="s">
        <v>1189</v>
      </c>
      <c r="B1185" s="1490" t="s">
        <v>1186</v>
      </c>
      <c r="C1185" s="1597">
        <v>122083.0</v>
      </c>
      <c r="D1185" s="1490">
        <v>96.0</v>
      </c>
      <c r="E1185" s="1" t="s">
        <v>1186</v>
      </c>
    </row>
    <row r="1186">
      <c r="A1186" s="1490" t="s">
        <v>728</v>
      </c>
      <c r="B1186" s="1490" t="s">
        <v>1186</v>
      </c>
      <c r="C1186" s="1597">
        <v>39771.0</v>
      </c>
      <c r="D1186" s="1490">
        <v>44.0</v>
      </c>
      <c r="E1186" s="1" t="s">
        <v>1186</v>
      </c>
    </row>
    <row r="1187">
      <c r="A1187" s="1490" t="s">
        <v>290</v>
      </c>
      <c r="B1187" s="1490" t="s">
        <v>1186</v>
      </c>
      <c r="C1187" s="1597">
        <v>34342.0</v>
      </c>
      <c r="D1187" s="1490">
        <v>36.0</v>
      </c>
      <c r="E1187" s="1" t="s">
        <v>1186</v>
      </c>
    </row>
    <row r="1188">
      <c r="A1188" s="1490" t="s">
        <v>1190</v>
      </c>
      <c r="B1188" s="1490" t="s">
        <v>1186</v>
      </c>
      <c r="C1188" s="1597">
        <v>57618.0</v>
      </c>
      <c r="D1188" s="1490">
        <v>51.0</v>
      </c>
      <c r="E1188" s="1" t="s">
        <v>1186</v>
      </c>
    </row>
    <row r="1189">
      <c r="A1189" s="1490" t="s">
        <v>1191</v>
      </c>
      <c r="B1189" s="1490" t="s">
        <v>1186</v>
      </c>
      <c r="C1189" s="1597">
        <v>151096.0</v>
      </c>
      <c r="D1189" s="1490">
        <v>128.0</v>
      </c>
      <c r="E1189" s="1" t="s">
        <v>1186</v>
      </c>
    </row>
    <row r="1190">
      <c r="A1190" s="1490" t="s">
        <v>1192</v>
      </c>
      <c r="B1190" s="1490" t="s">
        <v>1186</v>
      </c>
      <c r="C1190" s="1597">
        <v>16800.0</v>
      </c>
      <c r="D1190" s="1490">
        <v>24.0</v>
      </c>
      <c r="E1190" s="1" t="s">
        <v>1186</v>
      </c>
    </row>
    <row r="1191">
      <c r="A1191" s="1490" t="s">
        <v>1193</v>
      </c>
      <c r="B1191" s="1490" t="s">
        <v>1186</v>
      </c>
      <c r="C1191" s="1597">
        <v>35634.0</v>
      </c>
      <c r="D1191" s="1490">
        <v>34.0</v>
      </c>
      <c r="E1191" s="1" t="s">
        <v>1186</v>
      </c>
    </row>
    <row r="1192">
      <c r="A1192" s="1490" t="s">
        <v>1194</v>
      </c>
      <c r="B1192" s="1490" t="s">
        <v>1186</v>
      </c>
      <c r="C1192" s="1597">
        <v>50592.0</v>
      </c>
      <c r="D1192" s="1490">
        <v>47.0</v>
      </c>
      <c r="E1192" s="1" t="s">
        <v>1186</v>
      </c>
    </row>
    <row r="1193">
      <c r="A1193" s="1490" t="s">
        <v>1195</v>
      </c>
      <c r="B1193" s="1490" t="s">
        <v>1186</v>
      </c>
      <c r="C1193" s="1597">
        <v>39694.0</v>
      </c>
      <c r="D1193" s="1490">
        <v>33.0</v>
      </c>
      <c r="E1193" s="1" t="s">
        <v>1186</v>
      </c>
    </row>
    <row r="1194">
      <c r="A1194" s="1490" t="s">
        <v>119</v>
      </c>
      <c r="B1194" s="1490" t="s">
        <v>1186</v>
      </c>
      <c r="C1194" s="1597">
        <v>31490.0</v>
      </c>
      <c r="D1194" s="1490">
        <v>50.0</v>
      </c>
      <c r="E1194" s="1" t="s">
        <v>1186</v>
      </c>
    </row>
    <row r="1195">
      <c r="A1195" s="1496" t="s">
        <v>1196</v>
      </c>
      <c r="B1195" s="1496" t="s">
        <v>1186</v>
      </c>
      <c r="C1195" s="1598">
        <v>206229.0</v>
      </c>
      <c r="D1195" s="1496">
        <v>116.0</v>
      </c>
      <c r="E1195" s="1624" t="s">
        <v>1186</v>
      </c>
      <c r="F1195" s="1624"/>
      <c r="G1195" s="1624"/>
      <c r="N1195" s="1489"/>
      <c r="O1195" s="1489"/>
      <c r="P1195" s="1489"/>
      <c r="Q1195" s="1489"/>
      <c r="R1195" s="1489"/>
      <c r="S1195" s="1489"/>
      <c r="T1195" s="1489"/>
      <c r="U1195" s="1489"/>
      <c r="V1195" s="1489"/>
      <c r="W1195" s="1489"/>
      <c r="X1195" s="1489"/>
      <c r="Y1195" s="1489"/>
      <c r="Z1195" s="1489"/>
    </row>
    <row r="1196">
      <c r="A1196" s="355" t="s">
        <v>1197</v>
      </c>
      <c r="B1196" s="355" t="s">
        <v>387</v>
      </c>
      <c r="C1196" s="1562">
        <v>70975.0</v>
      </c>
      <c r="D1196" s="355">
        <v>104.0</v>
      </c>
      <c r="E1196" s="1" t="s">
        <v>387</v>
      </c>
    </row>
    <row r="1197">
      <c r="A1197" s="355" t="s">
        <v>620</v>
      </c>
      <c r="B1197" s="355" t="s">
        <v>387</v>
      </c>
      <c r="C1197" s="1562">
        <v>576031.0</v>
      </c>
      <c r="D1197" s="355">
        <v>286.0</v>
      </c>
      <c r="E1197" s="1" t="s">
        <v>387</v>
      </c>
    </row>
    <row r="1198">
      <c r="A1198" s="355" t="s">
        <v>503</v>
      </c>
      <c r="B1198" s="355" t="s">
        <v>387</v>
      </c>
      <c r="C1198" s="1562">
        <v>828431.0</v>
      </c>
      <c r="D1198" s="355">
        <v>431.0</v>
      </c>
      <c r="E1198" s="1" t="s">
        <v>387</v>
      </c>
    </row>
    <row r="1199">
      <c r="A1199" s="355" t="s">
        <v>1199</v>
      </c>
      <c r="B1199" s="355" t="s">
        <v>387</v>
      </c>
      <c r="C1199" s="1562">
        <v>92003.0</v>
      </c>
      <c r="D1199" s="355">
        <v>72.0</v>
      </c>
      <c r="E1199" s="1" t="s">
        <v>387</v>
      </c>
      <c r="H1199" s="1489"/>
      <c r="I1199" s="1489"/>
      <c r="J1199" s="1489"/>
      <c r="K1199" s="1489"/>
      <c r="L1199" s="1489"/>
      <c r="M1199" s="1489"/>
    </row>
    <row r="1200">
      <c r="A1200" s="355" t="s">
        <v>1200</v>
      </c>
      <c r="B1200" s="355" t="s">
        <v>387</v>
      </c>
      <c r="C1200" s="1562">
        <v>33304.0</v>
      </c>
      <c r="D1200" s="355">
        <v>37.0</v>
      </c>
      <c r="E1200" s="1" t="s">
        <v>387</v>
      </c>
    </row>
    <row r="1201">
      <c r="A1201" s="355" t="s">
        <v>248</v>
      </c>
      <c r="B1201" s="355" t="s">
        <v>387</v>
      </c>
      <c r="C1201" s="1562">
        <v>168429.0</v>
      </c>
      <c r="D1201" s="355">
        <v>115.0</v>
      </c>
      <c r="E1201" s="1" t="s">
        <v>387</v>
      </c>
    </row>
    <row r="1202">
      <c r="A1202" s="355" t="s">
        <v>1201</v>
      </c>
      <c r="B1202" s="355" t="s">
        <v>387</v>
      </c>
      <c r="C1202" s="1562">
        <v>102826.0</v>
      </c>
      <c r="D1202" s="355">
        <v>83.0</v>
      </c>
      <c r="E1202" s="1" t="s">
        <v>387</v>
      </c>
    </row>
    <row r="1203">
      <c r="A1203" s="355" t="s">
        <v>1203</v>
      </c>
      <c r="B1203" s="355" t="s">
        <v>387</v>
      </c>
      <c r="C1203" s="1562">
        <v>161503.0</v>
      </c>
      <c r="D1203" s="355">
        <v>100.0</v>
      </c>
      <c r="E1203" s="1" t="s">
        <v>387</v>
      </c>
    </row>
    <row r="1204">
      <c r="A1204" s="355" t="s">
        <v>1204</v>
      </c>
      <c r="B1204" s="355" t="s">
        <v>387</v>
      </c>
      <c r="C1204" s="1562">
        <v>31998.0</v>
      </c>
      <c r="D1204" s="355">
        <v>47.0</v>
      </c>
      <c r="E1204" s="1" t="s">
        <v>387</v>
      </c>
    </row>
    <row r="1205">
      <c r="A1205" s="355" t="s">
        <v>1206</v>
      </c>
      <c r="B1205" s="355" t="s">
        <v>387</v>
      </c>
      <c r="C1205" s="1562">
        <v>255648.0</v>
      </c>
      <c r="D1205" s="355">
        <v>186.0</v>
      </c>
      <c r="E1205" s="1" t="s">
        <v>387</v>
      </c>
    </row>
    <row r="1206">
      <c r="A1206" s="355" t="s">
        <v>1207</v>
      </c>
      <c r="B1206" s="355" t="s">
        <v>387</v>
      </c>
      <c r="C1206" s="1562">
        <v>29163.0</v>
      </c>
      <c r="D1206" s="355">
        <v>52.0</v>
      </c>
      <c r="E1206" s="1" t="s">
        <v>387</v>
      </c>
    </row>
    <row r="1207">
      <c r="A1207" s="355" t="s">
        <v>1208</v>
      </c>
      <c r="B1207" s="355" t="s">
        <v>387</v>
      </c>
      <c r="C1207" s="1562">
        <v>253956.0</v>
      </c>
      <c r="D1207" s="355">
        <v>166.0</v>
      </c>
      <c r="E1207" s="1" t="s">
        <v>387</v>
      </c>
    </row>
    <row r="1208">
      <c r="A1208" s="355" t="s">
        <v>283</v>
      </c>
      <c r="B1208" s="355" t="s">
        <v>387</v>
      </c>
      <c r="C1208" s="1562">
        <v>323196.0</v>
      </c>
      <c r="D1208" s="355">
        <v>162.0</v>
      </c>
      <c r="E1208" s="1" t="s">
        <v>387</v>
      </c>
    </row>
    <row r="1209">
      <c r="A1209" s="355" t="s">
        <v>474</v>
      </c>
      <c r="B1209" s="355" t="s">
        <v>387</v>
      </c>
      <c r="C1209" s="1562">
        <v>19383.0</v>
      </c>
      <c r="D1209" s="355">
        <v>35.0</v>
      </c>
      <c r="E1209" s="1" t="s">
        <v>387</v>
      </c>
    </row>
    <row r="1210">
      <c r="A1210" s="355" t="s">
        <v>157</v>
      </c>
      <c r="B1210" s="355" t="s">
        <v>387</v>
      </c>
      <c r="C1210" s="1562">
        <v>1052567.0</v>
      </c>
      <c r="D1210" s="355">
        <v>396.0</v>
      </c>
      <c r="E1210" s="1" t="s">
        <v>387</v>
      </c>
    </row>
    <row r="1211">
      <c r="A1211" s="355" t="s">
        <v>465</v>
      </c>
      <c r="B1211" s="355" t="s">
        <v>387</v>
      </c>
      <c r="C1211" s="1562">
        <v>909308.0</v>
      </c>
      <c r="D1211" s="355">
        <v>617.0</v>
      </c>
      <c r="E1211" s="1" t="s">
        <v>387</v>
      </c>
    </row>
    <row r="1212">
      <c r="A1212" s="355" t="s">
        <v>2817</v>
      </c>
      <c r="B1212" s="355" t="s">
        <v>387</v>
      </c>
      <c r="C1212" s="1562">
        <v>50251.0</v>
      </c>
      <c r="D1212" s="355">
        <v>39.0</v>
      </c>
      <c r="E1212" s="1" t="s">
        <v>387</v>
      </c>
    </row>
    <row r="1213">
      <c r="A1213" s="355" t="s">
        <v>2818</v>
      </c>
      <c r="B1213" s="355" t="s">
        <v>387</v>
      </c>
      <c r="C1213" s="1562">
        <v>112664.0</v>
      </c>
      <c r="D1213" s="355">
        <v>69.0</v>
      </c>
      <c r="E1213" s="1" t="s">
        <v>387</v>
      </c>
    </row>
    <row r="1214">
      <c r="A1214" s="355" t="s">
        <v>1194</v>
      </c>
      <c r="B1214" s="355" t="s">
        <v>387</v>
      </c>
      <c r="C1214" s="1562">
        <v>25675.0</v>
      </c>
      <c r="D1214" s="355">
        <v>36.0</v>
      </c>
      <c r="E1214" s="1" t="s">
        <v>387</v>
      </c>
    </row>
    <row r="1215">
      <c r="A1215" s="355" t="s">
        <v>630</v>
      </c>
      <c r="B1215" s="355" t="s">
        <v>387</v>
      </c>
      <c r="C1215" s="1562">
        <v>36968.0</v>
      </c>
      <c r="D1215" s="355">
        <v>50.0</v>
      </c>
      <c r="E1215" s="1" t="s">
        <v>387</v>
      </c>
    </row>
    <row r="1216">
      <c r="A1216" s="355" t="s">
        <v>119</v>
      </c>
      <c r="B1216" s="355" t="s">
        <v>387</v>
      </c>
      <c r="C1216" s="1562">
        <v>150926.0</v>
      </c>
      <c r="D1216" s="355">
        <v>183.0</v>
      </c>
      <c r="E1216" s="1" t="s">
        <v>387</v>
      </c>
    </row>
    <row r="1217">
      <c r="A1217" s="355" t="s">
        <v>1226</v>
      </c>
      <c r="B1217" s="355" t="s">
        <v>387</v>
      </c>
      <c r="C1217" s="1562">
        <v>103195.0</v>
      </c>
      <c r="D1217" s="355">
        <v>108.0</v>
      </c>
      <c r="E1217" s="1" t="s">
        <v>387</v>
      </c>
    </row>
    <row r="1218">
      <c r="A1218" s="355" t="s">
        <v>492</v>
      </c>
      <c r="B1218" s="355" t="s">
        <v>387</v>
      </c>
      <c r="C1218" s="1562">
        <v>51823.0</v>
      </c>
      <c r="D1218" s="355">
        <v>80.0</v>
      </c>
      <c r="E1218" s="1" t="s">
        <v>387</v>
      </c>
    </row>
    <row r="1219">
      <c r="A1219" s="1501" t="s">
        <v>607</v>
      </c>
      <c r="B1219" s="1501" t="s">
        <v>387</v>
      </c>
      <c r="C1219" s="1564">
        <v>602495.0</v>
      </c>
      <c r="D1219" s="1501">
        <v>558.0</v>
      </c>
      <c r="E1219" s="1624" t="s">
        <v>387</v>
      </c>
      <c r="F1219" s="1624"/>
      <c r="G1219" s="1624"/>
      <c r="N1219" s="1489"/>
      <c r="O1219" s="1489"/>
      <c r="P1219" s="1489"/>
      <c r="Q1219" s="1489"/>
      <c r="R1219" s="1489"/>
      <c r="S1219" s="1489"/>
      <c r="T1219" s="1489"/>
      <c r="U1219" s="1489"/>
      <c r="V1219" s="1489"/>
      <c r="W1219" s="1489"/>
      <c r="X1219" s="1489"/>
      <c r="Y1219" s="1489"/>
      <c r="Z1219" s="1489"/>
    </row>
    <row r="1220">
      <c r="A1220" s="1490" t="s">
        <v>1227</v>
      </c>
      <c r="B1220" s="1490" t="s">
        <v>282</v>
      </c>
      <c r="C1220" s="1597">
        <v>213413.0</v>
      </c>
      <c r="D1220" s="1490">
        <v>130.0</v>
      </c>
      <c r="E1220" s="1" t="s">
        <v>282</v>
      </c>
    </row>
    <row r="1221">
      <c r="A1221" s="1490" t="s">
        <v>1228</v>
      </c>
      <c r="B1221" s="1490" t="s">
        <v>282</v>
      </c>
      <c r="C1221" s="1597">
        <v>126348.0</v>
      </c>
      <c r="D1221" s="1490">
        <v>81.0</v>
      </c>
      <c r="E1221" s="1" t="s">
        <v>282</v>
      </c>
    </row>
    <row r="1222">
      <c r="A1222" s="1490" t="s">
        <v>634</v>
      </c>
      <c r="B1222" s="1490" t="s">
        <v>282</v>
      </c>
      <c r="C1222" s="1597">
        <v>564022.0</v>
      </c>
      <c r="D1222" s="1490">
        <v>226.0</v>
      </c>
      <c r="E1222" s="1" t="s">
        <v>282</v>
      </c>
    </row>
    <row r="1223">
      <c r="A1223" s="1490" t="s">
        <v>1229</v>
      </c>
      <c r="B1223" s="1490" t="s">
        <v>282</v>
      </c>
      <c r="C1223" s="1597">
        <v>17352.0</v>
      </c>
      <c r="D1223" s="1490">
        <v>19.0</v>
      </c>
      <c r="E1223" s="1" t="s">
        <v>282</v>
      </c>
      <c r="H1223" s="1489"/>
      <c r="I1223" s="1489"/>
      <c r="J1223" s="1489"/>
      <c r="K1223" s="1489"/>
      <c r="L1223" s="1489"/>
      <c r="M1223" s="1489"/>
    </row>
    <row r="1224">
      <c r="A1224" s="1490" t="s">
        <v>516</v>
      </c>
      <c r="B1224" s="1490" t="s">
        <v>282</v>
      </c>
      <c r="C1224" s="1597">
        <v>790638.0</v>
      </c>
      <c r="D1224" s="1490">
        <v>293.0</v>
      </c>
      <c r="E1224" s="1" t="s">
        <v>282</v>
      </c>
    </row>
    <row r="1225">
      <c r="A1225" s="1490" t="s">
        <v>136</v>
      </c>
      <c r="B1225" s="1490" t="s">
        <v>282</v>
      </c>
      <c r="C1225" s="1597">
        <v>70963.0</v>
      </c>
      <c r="D1225" s="1490">
        <v>49.0</v>
      </c>
      <c r="E1225" s="1" t="s">
        <v>282</v>
      </c>
    </row>
    <row r="1226">
      <c r="A1226" s="1490" t="s">
        <v>1230</v>
      </c>
      <c r="B1226" s="1490" t="s">
        <v>282</v>
      </c>
      <c r="C1226" s="1597">
        <v>470406.0</v>
      </c>
      <c r="D1226" s="1490">
        <v>254.0</v>
      </c>
      <c r="E1226" s="1" t="s">
        <v>282</v>
      </c>
    </row>
    <row r="1227">
      <c r="A1227" s="1490" t="s">
        <v>1231</v>
      </c>
      <c r="B1227" s="1490" t="s">
        <v>282</v>
      </c>
      <c r="C1227" s="1597">
        <v>161355.0</v>
      </c>
      <c r="D1227" s="1490">
        <v>69.0</v>
      </c>
      <c r="E1227" s="1" t="s">
        <v>282</v>
      </c>
    </row>
    <row r="1228">
      <c r="A1228" s="1490" t="s">
        <v>281</v>
      </c>
      <c r="B1228" s="1490" t="s">
        <v>282</v>
      </c>
      <c r="C1228" s="1597">
        <v>1614714.0</v>
      </c>
      <c r="D1228" s="1490">
        <v>580.0</v>
      </c>
      <c r="E1228" s="1" t="s">
        <v>282</v>
      </c>
    </row>
    <row r="1229">
      <c r="A1229" s="1490" t="s">
        <v>1232</v>
      </c>
      <c r="B1229" s="1490" t="s">
        <v>282</v>
      </c>
      <c r="C1229" s="1597">
        <v>11327.0</v>
      </c>
      <c r="D1229" s="1490">
        <v>7.0</v>
      </c>
      <c r="E1229" s="1" t="s">
        <v>282</v>
      </c>
    </row>
    <row r="1230">
      <c r="A1230" s="1490" t="s">
        <v>558</v>
      </c>
      <c r="B1230" s="1490" t="s">
        <v>282</v>
      </c>
      <c r="C1230" s="1597">
        <v>705388.0</v>
      </c>
      <c r="D1230" s="1490">
        <v>216.0</v>
      </c>
      <c r="E1230" s="1" t="s">
        <v>282</v>
      </c>
    </row>
    <row r="1231">
      <c r="A1231" s="1490" t="s">
        <v>929</v>
      </c>
      <c r="B1231" s="1490" t="s">
        <v>282</v>
      </c>
      <c r="C1231" s="1597">
        <v>518132.0</v>
      </c>
      <c r="D1231" s="1490">
        <v>205.0</v>
      </c>
      <c r="E1231" s="1" t="s">
        <v>282</v>
      </c>
    </row>
    <row r="1232">
      <c r="A1232" s="1490" t="s">
        <v>299</v>
      </c>
      <c r="B1232" s="1490" t="s">
        <v>282</v>
      </c>
      <c r="C1232" s="1597">
        <v>807252.0</v>
      </c>
      <c r="D1232" s="1490">
        <v>298.0</v>
      </c>
      <c r="E1232" s="1" t="s">
        <v>282</v>
      </c>
    </row>
    <row r="1233">
      <c r="A1233" s="1496" t="s">
        <v>492</v>
      </c>
      <c r="B1233" s="1496" t="s">
        <v>282</v>
      </c>
      <c r="C1233" s="1598">
        <v>830839.0</v>
      </c>
      <c r="D1233" s="1496">
        <v>397.0</v>
      </c>
      <c r="E1233" s="1624" t="s">
        <v>282</v>
      </c>
      <c r="F1233" s="1624"/>
      <c r="G1233" s="1624"/>
      <c r="N1233" s="1489"/>
      <c r="O1233" s="1489"/>
      <c r="P1233" s="1489"/>
      <c r="Q1233" s="1489"/>
      <c r="R1233" s="1489"/>
      <c r="S1233" s="1489"/>
      <c r="T1233" s="1489"/>
      <c r="U1233" s="1489"/>
      <c r="V1233" s="1489"/>
      <c r="W1233" s="1489"/>
      <c r="X1233" s="1489"/>
      <c r="Y1233" s="1489"/>
      <c r="Z1233" s="1489"/>
    </row>
    <row r="1234">
      <c r="A1234" s="355" t="s">
        <v>1233</v>
      </c>
      <c r="B1234" s="355" t="s">
        <v>274</v>
      </c>
      <c r="C1234" s="1562">
        <v>10362.0</v>
      </c>
      <c r="D1234" s="355">
        <v>20.0</v>
      </c>
      <c r="E1234" s="1" t="s">
        <v>274</v>
      </c>
    </row>
    <row r="1235">
      <c r="A1235" s="355" t="s">
        <v>1234</v>
      </c>
      <c r="B1235" s="355" t="s">
        <v>274</v>
      </c>
      <c r="C1235" s="1562">
        <v>9097.0</v>
      </c>
      <c r="D1235" s="355">
        <v>24.0</v>
      </c>
      <c r="E1235" s="1" t="s">
        <v>274</v>
      </c>
    </row>
    <row r="1236">
      <c r="A1236" s="355" t="s">
        <v>1235</v>
      </c>
      <c r="B1236" s="355" t="s">
        <v>274</v>
      </c>
      <c r="C1236" s="1562">
        <v>117327.0</v>
      </c>
      <c r="D1236" s="355">
        <v>102.0</v>
      </c>
      <c r="E1236" s="1" t="s">
        <v>274</v>
      </c>
    </row>
    <row r="1237">
      <c r="A1237" s="355" t="s">
        <v>1236</v>
      </c>
      <c r="B1237" s="355" t="s">
        <v>274</v>
      </c>
      <c r="C1237" s="1562">
        <v>28360.0</v>
      </c>
      <c r="D1237" s="355">
        <v>40.0</v>
      </c>
      <c r="E1237" s="1" t="s">
        <v>274</v>
      </c>
      <c r="H1237" s="1489"/>
      <c r="I1237" s="1489"/>
      <c r="J1237" s="1489"/>
      <c r="K1237" s="1489"/>
      <c r="L1237" s="1489"/>
      <c r="M1237" s="1489"/>
    </row>
    <row r="1238">
      <c r="A1238" s="355" t="s">
        <v>1237</v>
      </c>
      <c r="B1238" s="355" t="s">
        <v>274</v>
      </c>
      <c r="C1238" s="1562">
        <v>23365.0</v>
      </c>
      <c r="D1238" s="355">
        <v>29.0</v>
      </c>
      <c r="E1238" s="1" t="s">
        <v>274</v>
      </c>
    </row>
    <row r="1239">
      <c r="A1239" s="355" t="s">
        <v>1238</v>
      </c>
      <c r="B1239" s="355" t="s">
        <v>274</v>
      </c>
      <c r="C1239" s="1562">
        <v>15041.0</v>
      </c>
      <c r="D1239" s="355">
        <v>20.0</v>
      </c>
      <c r="E1239" s="1" t="s">
        <v>274</v>
      </c>
    </row>
    <row r="1240">
      <c r="A1240" s="355" t="s">
        <v>1239</v>
      </c>
      <c r="B1240" s="355" t="s">
        <v>274</v>
      </c>
      <c r="C1240" s="1562">
        <v>8320.0</v>
      </c>
      <c r="D1240" s="355">
        <v>9.0</v>
      </c>
      <c r="E1240" s="1" t="s">
        <v>274</v>
      </c>
    </row>
    <row r="1241">
      <c r="A1241" s="355" t="s">
        <v>1240</v>
      </c>
      <c r="B1241" s="355" t="s">
        <v>274</v>
      </c>
      <c r="C1241" s="1562">
        <v>61157.0</v>
      </c>
      <c r="D1241" s="355">
        <v>44.0</v>
      </c>
      <c r="E1241" s="1" t="s">
        <v>274</v>
      </c>
    </row>
    <row r="1242">
      <c r="A1242" s="355" t="s">
        <v>482</v>
      </c>
      <c r="B1242" s="355" t="s">
        <v>274</v>
      </c>
      <c r="C1242" s="1562">
        <v>103923.0</v>
      </c>
      <c r="D1242" s="355">
        <v>79.0</v>
      </c>
      <c r="E1242" s="1" t="s">
        <v>274</v>
      </c>
    </row>
    <row r="1243">
      <c r="A1243" s="355" t="s">
        <v>1241</v>
      </c>
      <c r="B1243" s="355" t="s">
        <v>274</v>
      </c>
      <c r="C1243" s="1562">
        <v>17753.0</v>
      </c>
      <c r="D1243" s="355">
        <v>26.0</v>
      </c>
      <c r="E1243" s="1" t="s">
        <v>274</v>
      </c>
    </row>
    <row r="1244">
      <c r="A1244" s="355" t="s">
        <v>540</v>
      </c>
      <c r="B1244" s="355" t="s">
        <v>274</v>
      </c>
      <c r="C1244" s="1562">
        <v>154141.0</v>
      </c>
      <c r="D1244" s="355">
        <v>188.0</v>
      </c>
      <c r="E1244" s="1" t="s">
        <v>274</v>
      </c>
    </row>
    <row r="1245">
      <c r="A1245" s="355" t="s">
        <v>1242</v>
      </c>
      <c r="B1245" s="355" t="s">
        <v>274</v>
      </c>
      <c r="C1245" s="1562">
        <v>43622.0</v>
      </c>
      <c r="D1245" s="355">
        <v>38.0</v>
      </c>
      <c r="E1245" s="1" t="s">
        <v>274</v>
      </c>
    </row>
    <row r="1246">
      <c r="A1246" s="355" t="s">
        <v>93</v>
      </c>
      <c r="B1246" s="355" t="s">
        <v>274</v>
      </c>
      <c r="C1246" s="1562">
        <v>134487.0</v>
      </c>
      <c r="D1246" s="355">
        <v>140.0</v>
      </c>
      <c r="E1246" s="1" t="s">
        <v>274</v>
      </c>
    </row>
    <row r="1247">
      <c r="A1247" s="355" t="s">
        <v>708</v>
      </c>
      <c r="B1247" s="355" t="s">
        <v>274</v>
      </c>
      <c r="C1247" s="1562">
        <v>51653.0</v>
      </c>
      <c r="D1247" s="355">
        <v>55.0</v>
      </c>
      <c r="E1247" s="1" t="s">
        <v>274</v>
      </c>
    </row>
    <row r="1248">
      <c r="A1248" s="355" t="s">
        <v>1243</v>
      </c>
      <c r="B1248" s="355" t="s">
        <v>274</v>
      </c>
      <c r="C1248" s="1562">
        <v>26244.0</v>
      </c>
      <c r="D1248" s="355">
        <v>34.0</v>
      </c>
      <c r="E1248" s="1" t="s">
        <v>274</v>
      </c>
    </row>
    <row r="1249">
      <c r="A1249" s="355" t="s">
        <v>1244</v>
      </c>
      <c r="B1249" s="355" t="s">
        <v>274</v>
      </c>
      <c r="C1249" s="1562">
        <v>25413.0</v>
      </c>
      <c r="D1249" s="355">
        <v>32.0</v>
      </c>
      <c r="E1249" s="1" t="s">
        <v>274</v>
      </c>
    </row>
    <row r="1250">
      <c r="A1250" s="355" t="s">
        <v>1245</v>
      </c>
      <c r="B1250" s="355" t="s">
        <v>274</v>
      </c>
      <c r="C1250" s="1562">
        <v>37517.0</v>
      </c>
      <c r="D1250" s="355">
        <v>45.0</v>
      </c>
      <c r="E1250" s="1" t="s">
        <v>274</v>
      </c>
    </row>
    <row r="1251">
      <c r="A1251" s="355" t="s">
        <v>1246</v>
      </c>
      <c r="B1251" s="355" t="s">
        <v>274</v>
      </c>
      <c r="C1251" s="1562">
        <v>30757.0</v>
      </c>
      <c r="D1251" s="355">
        <v>30.0</v>
      </c>
      <c r="E1251" s="1" t="s">
        <v>274</v>
      </c>
    </row>
    <row r="1252">
      <c r="A1252" s="355" t="s">
        <v>711</v>
      </c>
      <c r="B1252" s="355" t="s">
        <v>274</v>
      </c>
      <c r="C1252" s="1562">
        <v>79332.0</v>
      </c>
      <c r="D1252" s="355">
        <v>52.0</v>
      </c>
      <c r="E1252" s="1" t="s">
        <v>274</v>
      </c>
    </row>
    <row r="1253">
      <c r="A1253" s="355" t="s">
        <v>263</v>
      </c>
      <c r="B1253" s="355" t="s">
        <v>274</v>
      </c>
      <c r="C1253" s="1562">
        <v>13901.0</v>
      </c>
      <c r="D1253" s="355">
        <v>15.0</v>
      </c>
      <c r="E1253" s="1" t="s">
        <v>274</v>
      </c>
    </row>
    <row r="1254">
      <c r="A1254" s="355" t="s">
        <v>407</v>
      </c>
      <c r="B1254" s="355" t="s">
        <v>274</v>
      </c>
      <c r="C1254" s="1562">
        <v>35857.0</v>
      </c>
      <c r="D1254" s="355">
        <v>45.0</v>
      </c>
      <c r="E1254" s="1" t="s">
        <v>274</v>
      </c>
    </row>
    <row r="1255">
      <c r="A1255" s="355" t="s">
        <v>899</v>
      </c>
      <c r="B1255" s="355" t="s">
        <v>274</v>
      </c>
      <c r="C1255" s="1562">
        <v>25383.0</v>
      </c>
      <c r="D1255" s="355">
        <v>35.0</v>
      </c>
      <c r="E1255" s="1" t="s">
        <v>274</v>
      </c>
    </row>
    <row r="1256">
      <c r="A1256" s="355" t="s">
        <v>1247</v>
      </c>
      <c r="B1256" s="355" t="s">
        <v>274</v>
      </c>
      <c r="C1256" s="1562">
        <v>109826.0</v>
      </c>
      <c r="D1256" s="355">
        <v>83.0</v>
      </c>
      <c r="E1256" s="1" t="s">
        <v>274</v>
      </c>
    </row>
    <row r="1257">
      <c r="A1257" s="355" t="s">
        <v>901</v>
      </c>
      <c r="B1257" s="355" t="s">
        <v>274</v>
      </c>
      <c r="C1257" s="1562">
        <v>33308.0</v>
      </c>
      <c r="D1257" s="355">
        <v>45.0</v>
      </c>
      <c r="E1257" s="1" t="s">
        <v>274</v>
      </c>
    </row>
    <row r="1258">
      <c r="A1258" s="355" t="s">
        <v>1248</v>
      </c>
      <c r="B1258" s="355" t="s">
        <v>274</v>
      </c>
      <c r="C1258" s="1562">
        <v>406892.0</v>
      </c>
      <c r="D1258" s="355">
        <v>377.0</v>
      </c>
      <c r="E1258" s="1" t="s">
        <v>274</v>
      </c>
    </row>
    <row r="1259">
      <c r="A1259" s="355" t="s">
        <v>1249</v>
      </c>
      <c r="B1259" s="355" t="s">
        <v>274</v>
      </c>
      <c r="C1259" s="1562">
        <v>25337.0</v>
      </c>
      <c r="D1259" s="355">
        <v>29.0</v>
      </c>
      <c r="E1259" s="1" t="s">
        <v>274</v>
      </c>
    </row>
    <row r="1260">
      <c r="A1260" s="355" t="s">
        <v>1250</v>
      </c>
      <c r="B1260" s="355" t="s">
        <v>274</v>
      </c>
      <c r="C1260" s="1562">
        <v>15096.0</v>
      </c>
      <c r="D1260" s="355">
        <v>18.0</v>
      </c>
      <c r="E1260" s="1" t="s">
        <v>274</v>
      </c>
    </row>
    <row r="1261">
      <c r="A1261" s="355" t="s">
        <v>1251</v>
      </c>
      <c r="B1261" s="355" t="s">
        <v>274</v>
      </c>
      <c r="C1261" s="1562">
        <v>92573.0</v>
      </c>
      <c r="D1261" s="355">
        <v>66.0</v>
      </c>
      <c r="E1261" s="1" t="s">
        <v>274</v>
      </c>
    </row>
    <row r="1262">
      <c r="A1262" s="355" t="s">
        <v>1252</v>
      </c>
      <c r="B1262" s="355" t="s">
        <v>274</v>
      </c>
      <c r="C1262" s="1562">
        <v>40599.0</v>
      </c>
      <c r="D1262" s="355">
        <v>49.0</v>
      </c>
      <c r="E1262" s="1" t="s">
        <v>274</v>
      </c>
    </row>
    <row r="1263">
      <c r="A1263" s="355" t="s">
        <v>1253</v>
      </c>
      <c r="B1263" s="355" t="s">
        <v>274</v>
      </c>
      <c r="C1263" s="1562">
        <v>45749.0</v>
      </c>
      <c r="D1263" s="355">
        <v>58.0</v>
      </c>
      <c r="E1263" s="1" t="s">
        <v>274</v>
      </c>
    </row>
    <row r="1264">
      <c r="A1264" s="355" t="s">
        <v>1254</v>
      </c>
      <c r="B1264" s="355" t="s">
        <v>274</v>
      </c>
      <c r="C1264" s="1562">
        <v>36219.0</v>
      </c>
      <c r="D1264" s="355">
        <v>45.0</v>
      </c>
      <c r="E1264" s="1" t="s">
        <v>274</v>
      </c>
    </row>
    <row r="1265">
      <c r="A1265" s="355" t="s">
        <v>1255</v>
      </c>
      <c r="B1265" s="355" t="s">
        <v>274</v>
      </c>
      <c r="C1265" s="1562">
        <v>31166.0</v>
      </c>
      <c r="D1265" s="355">
        <v>57.0</v>
      </c>
      <c r="E1265" s="1" t="s">
        <v>274</v>
      </c>
    </row>
    <row r="1266">
      <c r="A1266" s="355" t="s">
        <v>1256</v>
      </c>
      <c r="B1266" s="355" t="s">
        <v>274</v>
      </c>
      <c r="C1266" s="1562">
        <v>292735.0</v>
      </c>
      <c r="D1266" s="355">
        <v>223.0</v>
      </c>
      <c r="E1266" s="1" t="s">
        <v>274</v>
      </c>
    </row>
    <row r="1267">
      <c r="A1267" s="355" t="s">
        <v>1257</v>
      </c>
      <c r="B1267" s="355" t="s">
        <v>274</v>
      </c>
      <c r="C1267" s="1562">
        <v>64210.0</v>
      </c>
      <c r="D1267" s="355">
        <v>61.0</v>
      </c>
      <c r="E1267" s="1" t="s">
        <v>274</v>
      </c>
    </row>
    <row r="1268">
      <c r="A1268" s="355" t="s">
        <v>1258</v>
      </c>
      <c r="B1268" s="355" t="s">
        <v>274</v>
      </c>
      <c r="C1268" s="1562">
        <v>25081.0</v>
      </c>
      <c r="D1268" s="355">
        <v>32.0</v>
      </c>
      <c r="E1268" s="1" t="s">
        <v>274</v>
      </c>
    </row>
    <row r="1269">
      <c r="A1269" s="355" t="s">
        <v>1259</v>
      </c>
      <c r="B1269" s="355" t="s">
        <v>274</v>
      </c>
      <c r="C1269" s="1562">
        <v>11117.0</v>
      </c>
      <c r="D1269" s="355">
        <v>23.0</v>
      </c>
      <c r="E1269" s="1" t="s">
        <v>274</v>
      </c>
    </row>
    <row r="1270">
      <c r="A1270" s="355" t="s">
        <v>1260</v>
      </c>
      <c r="B1270" s="355" t="s">
        <v>274</v>
      </c>
      <c r="C1270" s="1562">
        <v>70562.0</v>
      </c>
      <c r="D1270" s="355">
        <v>41.0</v>
      </c>
      <c r="E1270" s="1" t="s">
        <v>274</v>
      </c>
    </row>
    <row r="1271">
      <c r="A1271" s="355" t="s">
        <v>142</v>
      </c>
      <c r="B1271" s="355" t="s">
        <v>274</v>
      </c>
      <c r="C1271" s="1562">
        <v>158823.0</v>
      </c>
      <c r="D1271" s="355">
        <v>134.0</v>
      </c>
      <c r="E1271" s="1" t="s">
        <v>274</v>
      </c>
    </row>
    <row r="1272">
      <c r="A1272" s="355" t="s">
        <v>1261</v>
      </c>
      <c r="B1272" s="355" t="s">
        <v>274</v>
      </c>
      <c r="C1272" s="1562">
        <v>264870.0</v>
      </c>
      <c r="D1272" s="355">
        <v>172.0</v>
      </c>
      <c r="E1272" s="1" t="s">
        <v>274</v>
      </c>
    </row>
    <row r="1273">
      <c r="A1273" s="355" t="s">
        <v>1262</v>
      </c>
      <c r="B1273" s="355" t="s">
        <v>274</v>
      </c>
      <c r="C1273" s="1562">
        <v>17824.0</v>
      </c>
      <c r="D1273" s="355">
        <v>19.0</v>
      </c>
      <c r="E1273" s="1" t="s">
        <v>274</v>
      </c>
    </row>
    <row r="1274">
      <c r="A1274" s="355" t="s">
        <v>474</v>
      </c>
      <c r="B1274" s="355" t="s">
        <v>274</v>
      </c>
      <c r="C1274" s="1562">
        <v>653786.0</v>
      </c>
      <c r="D1274" s="355">
        <v>448.0</v>
      </c>
      <c r="E1274" s="1" t="s">
        <v>274</v>
      </c>
    </row>
    <row r="1275">
      <c r="A1275" s="355" t="s">
        <v>1263</v>
      </c>
      <c r="B1275" s="355" t="s">
        <v>274</v>
      </c>
      <c r="C1275" s="1562">
        <v>2113.0</v>
      </c>
      <c r="D1275" s="355">
        <v>4.0</v>
      </c>
      <c r="E1275" s="1" t="s">
        <v>274</v>
      </c>
    </row>
    <row r="1276">
      <c r="A1276" s="355" t="s">
        <v>337</v>
      </c>
      <c r="B1276" s="355" t="s">
        <v>274</v>
      </c>
      <c r="C1276" s="1562">
        <v>11881.0</v>
      </c>
      <c r="D1276" s="355">
        <v>24.0</v>
      </c>
      <c r="E1276" s="1" t="s">
        <v>274</v>
      </c>
    </row>
    <row r="1277">
      <c r="A1277" s="355" t="s">
        <v>1264</v>
      </c>
      <c r="B1277" s="355" t="s">
        <v>274</v>
      </c>
      <c r="C1277" s="1562">
        <v>88028.0</v>
      </c>
      <c r="D1277" s="355">
        <v>75.0</v>
      </c>
      <c r="E1277" s="1" t="s">
        <v>274</v>
      </c>
    </row>
    <row r="1278">
      <c r="A1278" s="355" t="s">
        <v>1265</v>
      </c>
      <c r="B1278" s="355" t="s">
        <v>274</v>
      </c>
      <c r="C1278" s="1562">
        <v>21764.0</v>
      </c>
      <c r="D1278" s="355">
        <v>25.0</v>
      </c>
      <c r="E1278" s="1" t="s">
        <v>274</v>
      </c>
    </row>
    <row r="1279">
      <c r="A1279" s="355" t="s">
        <v>1266</v>
      </c>
      <c r="B1279" s="355" t="s">
        <v>274</v>
      </c>
      <c r="C1279" s="1562">
        <v>98266.0</v>
      </c>
      <c r="D1279" s="355">
        <v>117.0</v>
      </c>
      <c r="E1279" s="1" t="s">
        <v>274</v>
      </c>
    </row>
    <row r="1280">
      <c r="A1280" s="355" t="s">
        <v>730</v>
      </c>
      <c r="B1280" s="355" t="s">
        <v>274</v>
      </c>
      <c r="C1280" s="1562">
        <v>191224.0</v>
      </c>
      <c r="D1280" s="355">
        <v>90.0</v>
      </c>
      <c r="E1280" s="1" t="s">
        <v>274</v>
      </c>
    </row>
    <row r="1281">
      <c r="A1281" s="355" t="s">
        <v>1267</v>
      </c>
      <c r="B1281" s="355" t="s">
        <v>274</v>
      </c>
      <c r="C1281" s="1562">
        <v>6283.0</v>
      </c>
      <c r="D1281" s="355">
        <v>11.0</v>
      </c>
      <c r="E1281" s="1" t="s">
        <v>274</v>
      </c>
    </row>
    <row r="1282">
      <c r="A1282" s="355" t="s">
        <v>1268</v>
      </c>
      <c r="B1282" s="355" t="s">
        <v>274</v>
      </c>
      <c r="C1282" s="1562">
        <v>10787.0</v>
      </c>
      <c r="D1282" s="355">
        <v>24.0</v>
      </c>
      <c r="E1282" s="1" t="s">
        <v>274</v>
      </c>
    </row>
    <row r="1283">
      <c r="A1283" s="355" t="s">
        <v>478</v>
      </c>
      <c r="B1283" s="355" t="s">
        <v>274</v>
      </c>
      <c r="C1283" s="1562">
        <v>874759.0</v>
      </c>
      <c r="D1283" s="355">
        <v>323.0</v>
      </c>
      <c r="E1283" s="1" t="s">
        <v>274</v>
      </c>
    </row>
    <row r="1284">
      <c r="A1284" s="355" t="s">
        <v>1269</v>
      </c>
      <c r="B1284" s="355" t="s">
        <v>274</v>
      </c>
      <c r="C1284" s="1562">
        <v>24528.0</v>
      </c>
      <c r="D1284" s="355">
        <v>29.0</v>
      </c>
      <c r="E1284" s="1" t="s">
        <v>274</v>
      </c>
    </row>
    <row r="1285">
      <c r="A1285" s="355" t="s">
        <v>1270</v>
      </c>
      <c r="B1285" s="355" t="s">
        <v>274</v>
      </c>
      <c r="C1285" s="1562">
        <v>66516.0</v>
      </c>
      <c r="D1285" s="355">
        <v>73.0</v>
      </c>
      <c r="E1285" s="1" t="s">
        <v>274</v>
      </c>
    </row>
    <row r="1286">
      <c r="A1286" s="355" t="s">
        <v>735</v>
      </c>
      <c r="B1286" s="355" t="s">
        <v>274</v>
      </c>
      <c r="C1286" s="1562">
        <v>29100.0</v>
      </c>
      <c r="D1286" s="355">
        <v>33.0</v>
      </c>
      <c r="E1286" s="1" t="s">
        <v>274</v>
      </c>
    </row>
    <row r="1287">
      <c r="A1287" s="355" t="s">
        <v>1271</v>
      </c>
      <c r="B1287" s="355" t="s">
        <v>274</v>
      </c>
      <c r="C1287" s="1562">
        <v>43545.0</v>
      </c>
      <c r="D1287" s="355">
        <v>42.0</v>
      </c>
      <c r="E1287" s="1" t="s">
        <v>274</v>
      </c>
    </row>
    <row r="1288">
      <c r="A1288" s="355" t="s">
        <v>1272</v>
      </c>
      <c r="B1288" s="355" t="s">
        <v>274</v>
      </c>
      <c r="C1288" s="1562">
        <v>22983.0</v>
      </c>
      <c r="D1288" s="355">
        <v>26.0</v>
      </c>
      <c r="E1288" s="1" t="s">
        <v>274</v>
      </c>
    </row>
    <row r="1289">
      <c r="A1289" s="355" t="s">
        <v>1273</v>
      </c>
      <c r="B1289" s="355" t="s">
        <v>274</v>
      </c>
      <c r="C1289" s="1562">
        <v>83209.0</v>
      </c>
      <c r="D1289" s="355">
        <v>77.0</v>
      </c>
      <c r="E1289" s="1" t="s">
        <v>274</v>
      </c>
    </row>
    <row r="1290">
      <c r="A1290" s="355" t="s">
        <v>1274</v>
      </c>
      <c r="B1290" s="355" t="s">
        <v>274</v>
      </c>
      <c r="C1290" s="1562">
        <v>15113.0</v>
      </c>
      <c r="D1290" s="355">
        <v>24.0</v>
      </c>
      <c r="E1290" s="1" t="s">
        <v>274</v>
      </c>
    </row>
    <row r="1291">
      <c r="A1291" s="355" t="s">
        <v>156</v>
      </c>
      <c r="B1291" s="355" t="s">
        <v>274</v>
      </c>
      <c r="C1291" s="1562">
        <v>150439.0</v>
      </c>
      <c r="D1291" s="355">
        <v>109.0</v>
      </c>
      <c r="E1291" s="1" t="s">
        <v>274</v>
      </c>
    </row>
    <row r="1292">
      <c r="A1292" s="355" t="s">
        <v>1275</v>
      </c>
      <c r="B1292" s="355" t="s">
        <v>274</v>
      </c>
      <c r="C1292" s="1562">
        <v>63968.0</v>
      </c>
      <c r="D1292" s="355">
        <v>72.0</v>
      </c>
      <c r="E1292" s="1" t="s">
        <v>274</v>
      </c>
    </row>
    <row r="1293">
      <c r="A1293" s="355" t="s">
        <v>1276</v>
      </c>
      <c r="B1293" s="355" t="s">
        <v>274</v>
      </c>
      <c r="C1293" s="1562">
        <v>9265.0</v>
      </c>
      <c r="D1293" s="355">
        <v>15.0</v>
      </c>
      <c r="E1293" s="1" t="s">
        <v>274</v>
      </c>
    </row>
    <row r="1294">
      <c r="A1294" s="355" t="s">
        <v>1277</v>
      </c>
      <c r="B1294" s="355" t="s">
        <v>274</v>
      </c>
      <c r="C1294" s="1562">
        <v>173588.0</v>
      </c>
      <c r="D1294" s="355">
        <v>160.0</v>
      </c>
      <c r="E1294" s="1" t="s">
        <v>274</v>
      </c>
    </row>
    <row r="1295">
      <c r="A1295" s="355" t="s">
        <v>1278</v>
      </c>
      <c r="B1295" s="355" t="s">
        <v>274</v>
      </c>
      <c r="C1295" s="1562">
        <v>48892.0</v>
      </c>
      <c r="D1295" s="355">
        <v>63.0</v>
      </c>
      <c r="E1295" s="1" t="s">
        <v>274</v>
      </c>
    </row>
    <row r="1296">
      <c r="A1296" s="355" t="s">
        <v>353</v>
      </c>
      <c r="B1296" s="355" t="s">
        <v>274</v>
      </c>
      <c r="C1296" s="1562">
        <v>1259201.0</v>
      </c>
      <c r="D1296" s="355">
        <v>531.0</v>
      </c>
      <c r="E1296" s="1" t="s">
        <v>274</v>
      </c>
    </row>
    <row r="1297">
      <c r="A1297" s="355" t="s">
        <v>1280</v>
      </c>
      <c r="B1297" s="355" t="s">
        <v>274</v>
      </c>
      <c r="C1297" s="1562">
        <v>26625.0</v>
      </c>
      <c r="D1297" s="355">
        <v>34.0</v>
      </c>
      <c r="E1297" s="1" t="s">
        <v>274</v>
      </c>
    </row>
    <row r="1298">
      <c r="A1298" s="355" t="s">
        <v>1281</v>
      </c>
      <c r="B1298" s="355" t="s">
        <v>274</v>
      </c>
      <c r="C1298" s="1562">
        <v>20952.0</v>
      </c>
      <c r="D1298" s="355">
        <v>22.0</v>
      </c>
      <c r="E1298" s="1" t="s">
        <v>274</v>
      </c>
    </row>
    <row r="1299">
      <c r="A1299" s="355" t="s">
        <v>1282</v>
      </c>
      <c r="B1299" s="355" t="s">
        <v>274</v>
      </c>
      <c r="C1299" s="1562">
        <v>5795.0</v>
      </c>
      <c r="D1299" s="355">
        <v>24.0</v>
      </c>
      <c r="E1299" s="1" t="s">
        <v>274</v>
      </c>
    </row>
    <row r="1300">
      <c r="A1300" s="355" t="s">
        <v>515</v>
      </c>
      <c r="B1300" s="355" t="s">
        <v>274</v>
      </c>
      <c r="C1300" s="1562">
        <v>23341.0</v>
      </c>
      <c r="D1300" s="355">
        <v>36.0</v>
      </c>
      <c r="E1300" s="1" t="s">
        <v>274</v>
      </c>
    </row>
    <row r="1301">
      <c r="A1301" s="355" t="s">
        <v>1284</v>
      </c>
      <c r="B1301" s="355" t="s">
        <v>274</v>
      </c>
      <c r="C1301" s="1562">
        <v>8276.0</v>
      </c>
      <c r="D1301" s="355">
        <v>11.0</v>
      </c>
      <c r="E1301" s="1" t="s">
        <v>274</v>
      </c>
    </row>
    <row r="1302">
      <c r="A1302" s="355" t="s">
        <v>1286</v>
      </c>
      <c r="B1302" s="355" t="s">
        <v>274</v>
      </c>
      <c r="C1302" s="1562">
        <v>24665.0</v>
      </c>
      <c r="D1302" s="355">
        <v>23.0</v>
      </c>
      <c r="E1302" s="1" t="s">
        <v>274</v>
      </c>
    </row>
    <row r="1303">
      <c r="A1303" s="355" t="s">
        <v>998</v>
      </c>
      <c r="B1303" s="355" t="s">
        <v>274</v>
      </c>
      <c r="C1303" s="1562">
        <v>290494.0</v>
      </c>
      <c r="D1303" s="355">
        <v>228.0</v>
      </c>
      <c r="E1303" s="1" t="s">
        <v>274</v>
      </c>
    </row>
    <row r="1304">
      <c r="A1304" s="355" t="s">
        <v>1288</v>
      </c>
      <c r="B1304" s="355" t="s">
        <v>274</v>
      </c>
      <c r="C1304" s="1562">
        <v>12738.0</v>
      </c>
      <c r="D1304" s="355">
        <v>24.0</v>
      </c>
      <c r="E1304" s="1" t="s">
        <v>274</v>
      </c>
    </row>
    <row r="1305">
      <c r="A1305" s="355" t="s">
        <v>1289</v>
      </c>
      <c r="B1305" s="355" t="s">
        <v>274</v>
      </c>
      <c r="C1305" s="1562">
        <v>23884.0</v>
      </c>
      <c r="D1305" s="355">
        <v>31.0</v>
      </c>
      <c r="E1305" s="1" t="s">
        <v>274</v>
      </c>
    </row>
    <row r="1306">
      <c r="A1306" s="355" t="s">
        <v>1290</v>
      </c>
      <c r="B1306" s="355" t="s">
        <v>274</v>
      </c>
      <c r="C1306" s="1562">
        <v>190800.0</v>
      </c>
      <c r="D1306" s="355">
        <v>202.0</v>
      </c>
      <c r="E1306" s="1" t="s">
        <v>274</v>
      </c>
    </row>
    <row r="1307">
      <c r="A1307" s="355" t="s">
        <v>768</v>
      </c>
      <c r="B1307" s="355" t="s">
        <v>274</v>
      </c>
      <c r="C1307" s="1562">
        <v>159337.0</v>
      </c>
      <c r="D1307" s="355">
        <v>129.0</v>
      </c>
      <c r="E1307" s="1" t="s">
        <v>274</v>
      </c>
    </row>
    <row r="1308">
      <c r="A1308" s="355" t="s">
        <v>2614</v>
      </c>
      <c r="B1308" s="355" t="s">
        <v>274</v>
      </c>
      <c r="C1308" s="1562">
        <v>61043.0</v>
      </c>
      <c r="D1308" s="355">
        <v>78.0</v>
      </c>
      <c r="E1308" s="1" t="s">
        <v>274</v>
      </c>
    </row>
    <row r="1309">
      <c r="A1309" s="355" t="s">
        <v>1291</v>
      </c>
      <c r="B1309" s="355" t="s">
        <v>274</v>
      </c>
      <c r="C1309" s="1562">
        <v>41182.0</v>
      </c>
      <c r="D1309" s="355">
        <v>52.0</v>
      </c>
      <c r="E1309" s="1" t="s">
        <v>274</v>
      </c>
    </row>
    <row r="1310">
      <c r="A1310" s="355" t="s">
        <v>1292</v>
      </c>
      <c r="B1310" s="355" t="s">
        <v>274</v>
      </c>
      <c r="C1310" s="1562">
        <v>8068.0</v>
      </c>
      <c r="D1310" s="355">
        <v>12.0</v>
      </c>
      <c r="E1310" s="1" t="s">
        <v>274</v>
      </c>
    </row>
    <row r="1311">
      <c r="A1311" s="355" t="s">
        <v>1293</v>
      </c>
      <c r="B1311" s="355" t="s">
        <v>274</v>
      </c>
      <c r="C1311" s="1562">
        <v>68192.0</v>
      </c>
      <c r="D1311" s="355">
        <v>81.0</v>
      </c>
      <c r="E1311" s="1" t="s">
        <v>274</v>
      </c>
    </row>
    <row r="1312">
      <c r="A1312" s="355" t="s">
        <v>1294</v>
      </c>
      <c r="B1312" s="355" t="s">
        <v>274</v>
      </c>
      <c r="C1312" s="1562">
        <v>52516.0</v>
      </c>
      <c r="D1312" s="355">
        <v>74.0</v>
      </c>
      <c r="E1312" s="1" t="s">
        <v>274</v>
      </c>
    </row>
    <row r="1313">
      <c r="A1313" s="355" t="s">
        <v>317</v>
      </c>
      <c r="B1313" s="355" t="s">
        <v>274</v>
      </c>
      <c r="C1313" s="1562">
        <v>75448.0</v>
      </c>
      <c r="D1313" s="355">
        <v>85.0</v>
      </c>
      <c r="E1313" s="1" t="s">
        <v>274</v>
      </c>
    </row>
    <row r="1314">
      <c r="A1314" s="355" t="s">
        <v>1295</v>
      </c>
      <c r="B1314" s="355" t="s">
        <v>274</v>
      </c>
      <c r="C1314" s="1562">
        <v>370963.0</v>
      </c>
      <c r="D1314" s="355">
        <v>224.0</v>
      </c>
      <c r="E1314" s="1" t="s">
        <v>274</v>
      </c>
    </row>
    <row r="1315">
      <c r="A1315" s="355" t="s">
        <v>273</v>
      </c>
      <c r="B1315" s="355" t="s">
        <v>274</v>
      </c>
      <c r="C1315" s="1562">
        <v>1753893.0</v>
      </c>
      <c r="D1315" s="364">
        <v>1155.0</v>
      </c>
      <c r="E1315" s="1" t="s">
        <v>274</v>
      </c>
      <c r="G1315" s="303"/>
    </row>
    <row r="1316">
      <c r="A1316" s="1501" t="s">
        <v>1296</v>
      </c>
      <c r="B1316" s="1501" t="s">
        <v>274</v>
      </c>
      <c r="C1316" s="1564">
        <v>33466.0</v>
      </c>
      <c r="D1316" s="1501">
        <v>42.0</v>
      </c>
      <c r="E1316" s="1624" t="s">
        <v>274</v>
      </c>
      <c r="F1316" s="1624"/>
      <c r="G1316" s="1624"/>
      <c r="N1316" s="1489"/>
      <c r="O1316" s="1489"/>
      <c r="P1316" s="1489"/>
      <c r="Q1316" s="1489"/>
      <c r="R1316" s="1489"/>
      <c r="S1316" s="1489"/>
      <c r="T1316" s="1489"/>
      <c r="U1316" s="1489"/>
      <c r="V1316" s="1489"/>
      <c r="W1316" s="1489"/>
      <c r="X1316" s="1489"/>
      <c r="Y1316" s="1489"/>
      <c r="Z1316" s="1489"/>
    </row>
    <row r="1317">
      <c r="A1317" s="1490" t="s">
        <v>1297</v>
      </c>
      <c r="B1317" s="1490" t="s">
        <v>351</v>
      </c>
      <c r="C1317" s="1597">
        <v>15902.0</v>
      </c>
      <c r="D1317" s="1490">
        <v>23.0</v>
      </c>
      <c r="E1317" s="1" t="s">
        <v>351</v>
      </c>
    </row>
    <row r="1318">
      <c r="A1318" s="1490" t="s">
        <v>1298</v>
      </c>
      <c r="B1318" s="1490" t="s">
        <v>351</v>
      </c>
      <c r="C1318" s="1597">
        <v>353813.0</v>
      </c>
      <c r="D1318" s="1490">
        <v>127.0</v>
      </c>
      <c r="E1318" s="1" t="s">
        <v>351</v>
      </c>
    </row>
    <row r="1319">
      <c r="A1319" s="1490" t="s">
        <v>1299</v>
      </c>
      <c r="B1319" s="1490" t="s">
        <v>351</v>
      </c>
      <c r="C1319" s="1597">
        <v>34371.0</v>
      </c>
      <c r="D1319" s="1490">
        <v>51.0</v>
      </c>
      <c r="E1319" s="1" t="s">
        <v>351</v>
      </c>
    </row>
    <row r="1320">
      <c r="A1320" s="1490" t="s">
        <v>1300</v>
      </c>
      <c r="B1320" s="1490" t="s">
        <v>351</v>
      </c>
      <c r="C1320" s="1597">
        <v>46847.0</v>
      </c>
      <c r="D1320" s="1490">
        <v>45.0</v>
      </c>
      <c r="E1320" s="1" t="s">
        <v>351</v>
      </c>
      <c r="H1320" s="1489"/>
      <c r="I1320" s="1489"/>
      <c r="J1320" s="1489"/>
      <c r="K1320" s="1489"/>
      <c r="L1320" s="1489"/>
      <c r="M1320" s="1489"/>
    </row>
    <row r="1321">
      <c r="A1321" s="1490" t="s">
        <v>243</v>
      </c>
      <c r="B1321" s="1490" t="s">
        <v>351</v>
      </c>
      <c r="C1321" s="1597">
        <v>40545.0</v>
      </c>
      <c r="D1321" s="1490">
        <v>29.0</v>
      </c>
      <c r="E1321" s="1" t="s">
        <v>351</v>
      </c>
    </row>
    <row r="1322">
      <c r="A1322" s="1490" t="s">
        <v>1301</v>
      </c>
      <c r="B1322" s="1490" t="s">
        <v>351</v>
      </c>
      <c r="C1322" s="1597">
        <v>4989.0</v>
      </c>
      <c r="D1322" s="1490">
        <v>11.0</v>
      </c>
      <c r="E1322" s="1" t="s">
        <v>351</v>
      </c>
    </row>
    <row r="1323">
      <c r="A1323" s="1490" t="s">
        <v>1302</v>
      </c>
      <c r="B1323" s="1490" t="s">
        <v>351</v>
      </c>
      <c r="C1323" s="1597">
        <v>67427.0</v>
      </c>
      <c r="D1323" s="1490">
        <v>66.0</v>
      </c>
      <c r="E1323" s="1" t="s">
        <v>351</v>
      </c>
    </row>
    <row r="1324">
      <c r="A1324" s="1490" t="s">
        <v>706</v>
      </c>
      <c r="B1324" s="1490" t="s">
        <v>351</v>
      </c>
      <c r="C1324" s="1597">
        <v>25111.0</v>
      </c>
      <c r="D1324" s="1490">
        <v>38.0</v>
      </c>
      <c r="E1324" s="1" t="s">
        <v>351</v>
      </c>
    </row>
    <row r="1325">
      <c r="A1325" s="1490" t="s">
        <v>1303</v>
      </c>
      <c r="B1325" s="1490" t="s">
        <v>351</v>
      </c>
      <c r="C1325" s="1597">
        <v>35837.0</v>
      </c>
      <c r="D1325" s="1490">
        <v>39.0</v>
      </c>
      <c r="E1325" s="1" t="s">
        <v>351</v>
      </c>
    </row>
    <row r="1326">
      <c r="A1326" s="1490" t="s">
        <v>1304</v>
      </c>
      <c r="B1326" s="1490" t="s">
        <v>351</v>
      </c>
      <c r="C1326" s="1597">
        <v>103551.0</v>
      </c>
      <c r="D1326" s="1490">
        <v>55.0</v>
      </c>
      <c r="E1326" s="1" t="s">
        <v>351</v>
      </c>
    </row>
    <row r="1327">
      <c r="A1327" s="1490" t="s">
        <v>708</v>
      </c>
      <c r="B1327" s="1490" t="s">
        <v>351</v>
      </c>
      <c r="C1327" s="1597">
        <v>29519.0</v>
      </c>
      <c r="D1327" s="1490">
        <v>50.0</v>
      </c>
      <c r="E1327" s="1" t="s">
        <v>351</v>
      </c>
    </row>
    <row r="1328">
      <c r="A1328" s="1490" t="s">
        <v>1245</v>
      </c>
      <c r="B1328" s="1490" t="s">
        <v>351</v>
      </c>
      <c r="C1328" s="1597">
        <v>11924.0</v>
      </c>
      <c r="D1328" s="1490">
        <v>28.0</v>
      </c>
      <c r="E1328" s="1" t="s">
        <v>351</v>
      </c>
    </row>
    <row r="1329">
      <c r="A1329" s="1490" t="s">
        <v>1305</v>
      </c>
      <c r="B1329" s="1490" t="s">
        <v>351</v>
      </c>
      <c r="C1329" s="1597">
        <v>55922.0</v>
      </c>
      <c r="D1329" s="1490">
        <v>44.0</v>
      </c>
      <c r="E1329" s="1" t="s">
        <v>351</v>
      </c>
    </row>
    <row r="1330">
      <c r="A1330" s="1490" t="s">
        <v>112</v>
      </c>
      <c r="B1330" s="1490" t="s">
        <v>351</v>
      </c>
      <c r="C1330" s="1597">
        <v>63955.0</v>
      </c>
      <c r="D1330" s="1490">
        <v>55.0</v>
      </c>
      <c r="E1330" s="1" t="s">
        <v>351</v>
      </c>
    </row>
    <row r="1331">
      <c r="A1331" s="1490" t="s">
        <v>675</v>
      </c>
      <c r="B1331" s="1490" t="s">
        <v>351</v>
      </c>
      <c r="C1331" s="1597">
        <v>8810.0</v>
      </c>
      <c r="D1331" s="1490">
        <v>27.0</v>
      </c>
      <c r="E1331" s="1" t="s">
        <v>351</v>
      </c>
    </row>
    <row r="1332">
      <c r="A1332" s="1490" t="s">
        <v>202</v>
      </c>
      <c r="B1332" s="1490" t="s">
        <v>351</v>
      </c>
      <c r="C1332" s="1597">
        <v>5393.0</v>
      </c>
      <c r="D1332" s="1490">
        <v>9.0</v>
      </c>
      <c r="E1332" s="1" t="s">
        <v>351</v>
      </c>
    </row>
    <row r="1333">
      <c r="A1333" s="1490" t="s">
        <v>1306</v>
      </c>
      <c r="B1333" s="1490" t="s">
        <v>351</v>
      </c>
      <c r="C1333" s="1597">
        <v>11277.0</v>
      </c>
      <c r="D1333" s="1490">
        <v>28.0</v>
      </c>
      <c r="E1333" s="1" t="s">
        <v>351</v>
      </c>
    </row>
    <row r="1334">
      <c r="A1334" s="1490" t="s">
        <v>1307</v>
      </c>
      <c r="B1334" s="1490" t="s">
        <v>351</v>
      </c>
      <c r="C1334" s="1597">
        <v>64889.0</v>
      </c>
      <c r="D1334" s="1490">
        <v>67.0</v>
      </c>
      <c r="E1334" s="1" t="s">
        <v>351</v>
      </c>
    </row>
    <row r="1335">
      <c r="A1335" s="1490" t="s">
        <v>1308</v>
      </c>
      <c r="B1335" s="1490" t="s">
        <v>351</v>
      </c>
      <c r="C1335" s="1597">
        <v>425423.0</v>
      </c>
      <c r="D1335" s="1490">
        <v>175.0</v>
      </c>
      <c r="E1335" s="1" t="s">
        <v>351</v>
      </c>
    </row>
    <row r="1336">
      <c r="A1336" s="1490" t="s">
        <v>564</v>
      </c>
      <c r="B1336" s="1490" t="s">
        <v>351</v>
      </c>
      <c r="C1336" s="1597">
        <v>20822.0</v>
      </c>
      <c r="D1336" s="1490">
        <v>28.0</v>
      </c>
      <c r="E1336" s="1" t="s">
        <v>351</v>
      </c>
    </row>
    <row r="1337">
      <c r="A1337" s="1490" t="s">
        <v>412</v>
      </c>
      <c r="B1337" s="1490" t="s">
        <v>351</v>
      </c>
      <c r="C1337" s="1597">
        <v>37964.0</v>
      </c>
      <c r="D1337" s="1490">
        <v>44.0</v>
      </c>
      <c r="E1337" s="1" t="s">
        <v>351</v>
      </c>
    </row>
    <row r="1338">
      <c r="A1338" s="1490" t="s">
        <v>1309</v>
      </c>
      <c r="B1338" s="1490" t="s">
        <v>351</v>
      </c>
      <c r="C1338" s="1597">
        <v>13758.0</v>
      </c>
      <c r="D1338" s="1490">
        <v>39.0</v>
      </c>
      <c r="E1338" s="1" t="s">
        <v>351</v>
      </c>
    </row>
    <row r="1339">
      <c r="A1339" s="1490" t="s">
        <v>1310</v>
      </c>
      <c r="B1339" s="1490" t="s">
        <v>351</v>
      </c>
      <c r="C1339" s="1597">
        <v>21058.0</v>
      </c>
      <c r="D1339" s="1490">
        <v>54.0</v>
      </c>
      <c r="E1339" s="1" t="s">
        <v>351</v>
      </c>
    </row>
    <row r="1340">
      <c r="A1340" s="1490" t="s">
        <v>1311</v>
      </c>
      <c r="B1340" s="1490" t="s">
        <v>351</v>
      </c>
      <c r="C1340" s="1597">
        <v>30444.0</v>
      </c>
      <c r="D1340" s="1490">
        <v>50.0</v>
      </c>
      <c r="E1340" s="1" t="s">
        <v>351</v>
      </c>
    </row>
    <row r="1341">
      <c r="A1341" s="1490" t="s">
        <v>1312</v>
      </c>
      <c r="B1341" s="1490" t="s">
        <v>351</v>
      </c>
      <c r="C1341" s="1597">
        <v>46403.0</v>
      </c>
      <c r="D1341" s="1490">
        <v>76.0</v>
      </c>
      <c r="E1341" s="1" t="s">
        <v>351</v>
      </c>
    </row>
    <row r="1342">
      <c r="A1342" s="1490" t="s">
        <v>278</v>
      </c>
      <c r="B1342" s="1490" t="s">
        <v>351</v>
      </c>
      <c r="C1342" s="1597">
        <v>6021.0</v>
      </c>
      <c r="D1342" s="1490">
        <v>21.0</v>
      </c>
      <c r="E1342" s="1" t="s">
        <v>351</v>
      </c>
    </row>
    <row r="1343">
      <c r="A1343" s="1490" t="s">
        <v>350</v>
      </c>
      <c r="B1343" s="1490" t="s">
        <v>351</v>
      </c>
      <c r="C1343" s="1597">
        <v>1259428.0</v>
      </c>
      <c r="D1343" s="1490">
        <v>580.0</v>
      </c>
      <c r="E1343" s="1" t="s">
        <v>351</v>
      </c>
    </row>
    <row r="1344">
      <c r="A1344" s="1490" t="s">
        <v>141</v>
      </c>
      <c r="B1344" s="1490" t="s">
        <v>351</v>
      </c>
      <c r="C1344" s="1597">
        <v>18578.0</v>
      </c>
      <c r="D1344" s="1490">
        <v>30.0</v>
      </c>
      <c r="E1344" s="1" t="s">
        <v>351</v>
      </c>
    </row>
    <row r="1345">
      <c r="A1345" s="1490" t="s">
        <v>1313</v>
      </c>
      <c r="B1345" s="1490" t="s">
        <v>351</v>
      </c>
      <c r="C1345" s="1597">
        <v>21332.0</v>
      </c>
      <c r="D1345" s="1490">
        <v>34.0</v>
      </c>
      <c r="E1345" s="1" t="s">
        <v>351</v>
      </c>
    </row>
    <row r="1346">
      <c r="A1346" s="1490" t="s">
        <v>1314</v>
      </c>
      <c r="B1346" s="1490" t="s">
        <v>351</v>
      </c>
      <c r="C1346" s="1597">
        <v>39966.0</v>
      </c>
      <c r="D1346" s="1490">
        <v>36.0</v>
      </c>
      <c r="E1346" s="1" t="s">
        <v>351</v>
      </c>
    </row>
    <row r="1347">
      <c r="A1347" s="1490" t="s">
        <v>1315</v>
      </c>
      <c r="B1347" s="1490" t="s">
        <v>351</v>
      </c>
      <c r="C1347" s="1597">
        <v>45108.0</v>
      </c>
      <c r="D1347" s="1490">
        <v>67.0</v>
      </c>
      <c r="E1347" s="1" t="s">
        <v>351</v>
      </c>
    </row>
    <row r="1348">
      <c r="A1348" s="1490" t="s">
        <v>142</v>
      </c>
      <c r="B1348" s="1490" t="s">
        <v>351</v>
      </c>
      <c r="C1348" s="1597">
        <v>9911.0</v>
      </c>
      <c r="D1348" s="1490">
        <v>22.0</v>
      </c>
      <c r="E1348" s="1" t="s">
        <v>351</v>
      </c>
    </row>
    <row r="1349">
      <c r="A1349" s="1490" t="s">
        <v>1316</v>
      </c>
      <c r="B1349" s="1490" t="s">
        <v>351</v>
      </c>
      <c r="C1349" s="1597">
        <v>16207.0</v>
      </c>
      <c r="D1349" s="1490">
        <v>20.0</v>
      </c>
      <c r="E1349" s="1" t="s">
        <v>351</v>
      </c>
    </row>
    <row r="1350">
      <c r="A1350" s="1490" t="s">
        <v>1317</v>
      </c>
      <c r="B1350" s="1490" t="s">
        <v>351</v>
      </c>
      <c r="C1350" s="1597">
        <v>42855.0</v>
      </c>
      <c r="D1350" s="1490">
        <v>56.0</v>
      </c>
      <c r="E1350" s="1" t="s">
        <v>351</v>
      </c>
    </row>
    <row r="1351">
      <c r="A1351" s="1490" t="s">
        <v>1318</v>
      </c>
      <c r="B1351" s="1490" t="s">
        <v>351</v>
      </c>
      <c r="C1351" s="1597">
        <v>4248.0</v>
      </c>
      <c r="D1351" s="1490">
        <v>11.0</v>
      </c>
      <c r="E1351" s="1" t="s">
        <v>351</v>
      </c>
    </row>
    <row r="1352">
      <c r="A1352" s="1490" t="s">
        <v>1319</v>
      </c>
      <c r="B1352" s="1490" t="s">
        <v>351</v>
      </c>
      <c r="C1352" s="1597">
        <v>12440.0</v>
      </c>
      <c r="D1352" s="1490">
        <v>20.0</v>
      </c>
      <c r="E1352" s="1" t="s">
        <v>351</v>
      </c>
    </row>
    <row r="1353">
      <c r="A1353" s="1490" t="s">
        <v>1320</v>
      </c>
      <c r="B1353" s="1490" t="s">
        <v>351</v>
      </c>
      <c r="C1353" s="1597">
        <v>6658.0</v>
      </c>
      <c r="D1353" s="1490">
        <v>16.0</v>
      </c>
      <c r="E1353" s="1" t="s">
        <v>351</v>
      </c>
    </row>
    <row r="1354">
      <c r="A1354" s="1490" t="s">
        <v>337</v>
      </c>
      <c r="B1354" s="1490" t="s">
        <v>351</v>
      </c>
      <c r="C1354" s="1597">
        <v>10658.0</v>
      </c>
      <c r="D1354" s="1490">
        <v>17.0</v>
      </c>
      <c r="E1354" s="1" t="s">
        <v>351</v>
      </c>
    </row>
    <row r="1355">
      <c r="A1355" s="1490" t="s">
        <v>4292</v>
      </c>
      <c r="B1355" s="1490" t="s">
        <v>351</v>
      </c>
      <c r="C1355" s="1597">
        <v>3758.0</v>
      </c>
      <c r="D1355" s="1490">
        <v>10.0</v>
      </c>
      <c r="E1355" s="1" t="s">
        <v>351</v>
      </c>
    </row>
    <row r="1356">
      <c r="A1356" s="1490" t="s">
        <v>1322</v>
      </c>
      <c r="B1356" s="1490" t="s">
        <v>351</v>
      </c>
      <c r="C1356" s="1597">
        <v>28494.0</v>
      </c>
      <c r="D1356" s="1490">
        <v>27.0</v>
      </c>
      <c r="E1356" s="1" t="s">
        <v>351</v>
      </c>
    </row>
    <row r="1357">
      <c r="A1357" s="1490" t="s">
        <v>290</v>
      </c>
      <c r="B1357" s="1490" t="s">
        <v>351</v>
      </c>
      <c r="C1357" s="1597">
        <v>5673.0</v>
      </c>
      <c r="D1357" s="1490">
        <v>16.0</v>
      </c>
      <c r="E1357" s="1" t="s">
        <v>351</v>
      </c>
    </row>
    <row r="1358">
      <c r="A1358" s="1490" t="s">
        <v>910</v>
      </c>
      <c r="B1358" s="1490" t="s">
        <v>351</v>
      </c>
      <c r="C1358" s="1597">
        <v>25629.0</v>
      </c>
      <c r="D1358" s="1490">
        <v>40.0</v>
      </c>
      <c r="E1358" s="1" t="s">
        <v>351</v>
      </c>
    </row>
    <row r="1359">
      <c r="A1359" s="1490" t="s">
        <v>1323</v>
      </c>
      <c r="B1359" s="1490" t="s">
        <v>351</v>
      </c>
      <c r="C1359" s="1597">
        <v>35873.0</v>
      </c>
      <c r="D1359" s="1490">
        <v>47.0</v>
      </c>
      <c r="E1359" s="1" t="s">
        <v>351</v>
      </c>
    </row>
    <row r="1360">
      <c r="A1360" s="1490" t="s">
        <v>1324</v>
      </c>
      <c r="B1360" s="1490" t="s">
        <v>351</v>
      </c>
      <c r="C1360" s="1597">
        <v>5519.0</v>
      </c>
      <c r="D1360" s="1490">
        <v>7.0</v>
      </c>
      <c r="E1360" s="1" t="s">
        <v>351</v>
      </c>
    </row>
    <row r="1361">
      <c r="A1361" s="1490" t="s">
        <v>154</v>
      </c>
      <c r="B1361" s="1490" t="s">
        <v>351</v>
      </c>
      <c r="C1361" s="1597">
        <v>9390.0</v>
      </c>
      <c r="D1361" s="1490">
        <v>31.0</v>
      </c>
      <c r="E1361" s="1" t="s">
        <v>351</v>
      </c>
    </row>
    <row r="1362">
      <c r="A1362" s="1490" t="s">
        <v>510</v>
      </c>
      <c r="B1362" s="1490" t="s">
        <v>351</v>
      </c>
      <c r="C1362" s="1597">
        <v>19785.0</v>
      </c>
      <c r="D1362" s="1490">
        <v>39.0</v>
      </c>
      <c r="E1362" s="1" t="s">
        <v>351</v>
      </c>
    </row>
    <row r="1363">
      <c r="A1363" s="1490" t="s">
        <v>1325</v>
      </c>
      <c r="B1363" s="1490" t="s">
        <v>351</v>
      </c>
      <c r="C1363" s="1597">
        <v>23141.0</v>
      </c>
      <c r="D1363" s="1490">
        <v>37.0</v>
      </c>
      <c r="E1363" s="1" t="s">
        <v>351</v>
      </c>
    </row>
    <row r="1364">
      <c r="A1364" s="1490" t="s">
        <v>1326</v>
      </c>
      <c r="B1364" s="1490" t="s">
        <v>351</v>
      </c>
      <c r="C1364" s="1597">
        <v>26139.0</v>
      </c>
      <c r="D1364" s="1490">
        <v>43.0</v>
      </c>
      <c r="E1364" s="1" t="s">
        <v>351</v>
      </c>
    </row>
    <row r="1365">
      <c r="A1365" s="1490" t="s">
        <v>1327</v>
      </c>
      <c r="B1365" s="1490" t="s">
        <v>351</v>
      </c>
      <c r="C1365" s="1597">
        <v>33169.0</v>
      </c>
      <c r="D1365" s="1490">
        <v>44.0</v>
      </c>
      <c r="E1365" s="1" t="s">
        <v>351</v>
      </c>
    </row>
    <row r="1366">
      <c r="A1366" s="1490" t="s">
        <v>1328</v>
      </c>
      <c r="B1366" s="1490" t="s">
        <v>351</v>
      </c>
      <c r="C1366" s="1597">
        <v>40011.0</v>
      </c>
      <c r="D1366" s="1490">
        <v>49.0</v>
      </c>
      <c r="E1366" s="1" t="s">
        <v>351</v>
      </c>
    </row>
    <row r="1367">
      <c r="A1367" s="1490" t="s">
        <v>611</v>
      </c>
      <c r="B1367" s="1490" t="s">
        <v>351</v>
      </c>
      <c r="C1367" s="1597">
        <v>8276.0</v>
      </c>
      <c r="D1367" s="1490">
        <v>20.0</v>
      </c>
      <c r="E1367" s="1" t="s">
        <v>351</v>
      </c>
    </row>
    <row r="1368">
      <c r="A1368" s="1490" t="s">
        <v>1329</v>
      </c>
      <c r="B1368" s="1490" t="s">
        <v>351</v>
      </c>
      <c r="C1368" s="1597">
        <v>34220.0</v>
      </c>
      <c r="D1368" s="1490">
        <v>30.0</v>
      </c>
      <c r="E1368" s="1" t="s">
        <v>351</v>
      </c>
    </row>
    <row r="1369">
      <c r="A1369" s="1490" t="s">
        <v>1330</v>
      </c>
      <c r="B1369" s="1490" t="s">
        <v>351</v>
      </c>
      <c r="C1369" s="1597">
        <v>21924.0</v>
      </c>
      <c r="D1369" s="1490">
        <v>34.0</v>
      </c>
      <c r="E1369" s="1" t="s">
        <v>351</v>
      </c>
    </row>
    <row r="1370">
      <c r="A1370" s="1490" t="s">
        <v>1331</v>
      </c>
      <c r="B1370" s="1490" t="s">
        <v>351</v>
      </c>
      <c r="C1370" s="1597">
        <v>6475.0</v>
      </c>
      <c r="D1370" s="1490">
        <v>18.0</v>
      </c>
      <c r="E1370" s="1" t="s">
        <v>351</v>
      </c>
    </row>
    <row r="1371">
      <c r="A1371" s="1490" t="s">
        <v>1332</v>
      </c>
      <c r="B1371" s="1490" t="s">
        <v>351</v>
      </c>
      <c r="C1371" s="1597">
        <v>156277.0</v>
      </c>
      <c r="D1371" s="1490">
        <v>110.0</v>
      </c>
      <c r="E1371" s="1" t="s">
        <v>351</v>
      </c>
    </row>
    <row r="1372">
      <c r="A1372" s="1490" t="s">
        <v>1333</v>
      </c>
      <c r="B1372" s="1490" t="s">
        <v>351</v>
      </c>
      <c r="C1372" s="1597">
        <v>58812.0</v>
      </c>
      <c r="D1372" s="1490">
        <v>100.0</v>
      </c>
      <c r="E1372" s="1" t="s">
        <v>351</v>
      </c>
    </row>
    <row r="1373">
      <c r="A1373" s="1490" t="s">
        <v>1334</v>
      </c>
      <c r="B1373" s="1490" t="s">
        <v>351</v>
      </c>
      <c r="C1373" s="1597">
        <v>14178.0</v>
      </c>
      <c r="D1373" s="1490">
        <v>27.0</v>
      </c>
      <c r="E1373" s="1" t="s">
        <v>351</v>
      </c>
    </row>
    <row r="1374">
      <c r="A1374" s="1490" t="s">
        <v>1336</v>
      </c>
      <c r="B1374" s="1490" t="s">
        <v>351</v>
      </c>
      <c r="C1374" s="1597">
        <v>29483.0</v>
      </c>
      <c r="D1374" s="1490">
        <v>39.0</v>
      </c>
      <c r="E1374" s="1" t="s">
        <v>351</v>
      </c>
    </row>
    <row r="1375">
      <c r="A1375" s="1490" t="s">
        <v>1337</v>
      </c>
      <c r="B1375" s="1490" t="s">
        <v>351</v>
      </c>
      <c r="C1375" s="1597">
        <v>9047.0</v>
      </c>
      <c r="D1375" s="1490">
        <v>24.0</v>
      </c>
      <c r="E1375" s="1" t="s">
        <v>351</v>
      </c>
    </row>
    <row r="1376">
      <c r="A1376" s="1490" t="s">
        <v>302</v>
      </c>
      <c r="B1376" s="1490" t="s">
        <v>351</v>
      </c>
      <c r="C1376" s="1597">
        <v>31529.0</v>
      </c>
      <c r="D1376" s="1490">
        <v>63.0</v>
      </c>
      <c r="E1376" s="1" t="s">
        <v>351</v>
      </c>
    </row>
    <row r="1377">
      <c r="A1377" s="1490" t="s">
        <v>303</v>
      </c>
      <c r="B1377" s="1490" t="s">
        <v>351</v>
      </c>
      <c r="C1377" s="1597">
        <v>11097.0</v>
      </c>
      <c r="D1377" s="1490">
        <v>21.0</v>
      </c>
      <c r="E1377" s="1" t="s">
        <v>351</v>
      </c>
    </row>
    <row r="1378">
      <c r="A1378" s="1490" t="s">
        <v>645</v>
      </c>
      <c r="B1378" s="1490" t="s">
        <v>351</v>
      </c>
      <c r="C1378" s="1597">
        <v>550210.0</v>
      </c>
      <c r="D1378" s="1490">
        <v>255.0</v>
      </c>
      <c r="E1378" s="1" t="s">
        <v>351</v>
      </c>
    </row>
    <row r="1379">
      <c r="A1379" s="1490" t="s">
        <v>1338</v>
      </c>
      <c r="B1379" s="1490" t="s">
        <v>351</v>
      </c>
      <c r="C1379" s="1597">
        <v>3999.0</v>
      </c>
      <c r="D1379" s="1490">
        <v>8.0</v>
      </c>
      <c r="E1379" s="1" t="s">
        <v>351</v>
      </c>
    </row>
    <row r="1380">
      <c r="A1380" s="1490" t="s">
        <v>1339</v>
      </c>
      <c r="B1380" s="1490" t="s">
        <v>351</v>
      </c>
      <c r="C1380" s="1597">
        <v>15249.0</v>
      </c>
      <c r="D1380" s="1490">
        <v>41.0</v>
      </c>
      <c r="E1380" s="1" t="s">
        <v>351</v>
      </c>
    </row>
    <row r="1381">
      <c r="A1381" s="1490" t="s">
        <v>1340</v>
      </c>
      <c r="B1381" s="1490" t="s">
        <v>351</v>
      </c>
      <c r="C1381" s="1597">
        <v>14612.0</v>
      </c>
      <c r="D1381" s="1490">
        <v>32.0</v>
      </c>
      <c r="E1381" s="1" t="s">
        <v>351</v>
      </c>
    </row>
    <row r="1382">
      <c r="A1382" s="1490" t="s">
        <v>1005</v>
      </c>
      <c r="B1382" s="1490" t="s">
        <v>351</v>
      </c>
      <c r="C1382" s="1597">
        <v>66523.0</v>
      </c>
      <c r="D1382" s="1490">
        <v>54.0</v>
      </c>
      <c r="E1382" s="1" t="s">
        <v>351</v>
      </c>
    </row>
    <row r="1383">
      <c r="A1383" s="1490" t="s">
        <v>1341</v>
      </c>
      <c r="B1383" s="1490" t="s">
        <v>351</v>
      </c>
      <c r="C1383" s="1597">
        <v>9414.0</v>
      </c>
      <c r="D1383" s="1490">
        <v>21.0</v>
      </c>
      <c r="E1383" s="1" t="s">
        <v>351</v>
      </c>
    </row>
    <row r="1384">
      <c r="A1384" s="1490" t="s">
        <v>1342</v>
      </c>
      <c r="B1384" s="1490" t="s">
        <v>351</v>
      </c>
      <c r="C1384" s="1597">
        <v>15150.0</v>
      </c>
      <c r="D1384" s="1490">
        <v>28.0</v>
      </c>
      <c r="E1384" s="1" t="s">
        <v>351</v>
      </c>
    </row>
    <row r="1385">
      <c r="A1385" s="1490" t="s">
        <v>409</v>
      </c>
      <c r="B1385" s="1490" t="s">
        <v>351</v>
      </c>
      <c r="C1385" s="1597">
        <v>199754.0</v>
      </c>
      <c r="D1385" s="1490">
        <v>205.0</v>
      </c>
      <c r="E1385" s="1" t="s">
        <v>351</v>
      </c>
    </row>
    <row r="1386">
      <c r="A1386" s="1490" t="s">
        <v>309</v>
      </c>
      <c r="B1386" s="1490" t="s">
        <v>351</v>
      </c>
      <c r="C1386" s="1597">
        <v>147381.0</v>
      </c>
      <c r="D1386" s="1490">
        <v>54.0</v>
      </c>
      <c r="E1386" s="1" t="s">
        <v>351</v>
      </c>
    </row>
    <row r="1387">
      <c r="A1387" s="1490" t="s">
        <v>1344</v>
      </c>
      <c r="B1387" s="1490" t="s">
        <v>351</v>
      </c>
      <c r="C1387" s="1597">
        <v>96036.0</v>
      </c>
      <c r="D1387" s="1490">
        <v>42.0</v>
      </c>
      <c r="E1387" s="1" t="s">
        <v>351</v>
      </c>
    </row>
    <row r="1388">
      <c r="A1388" s="1490" t="s">
        <v>1345</v>
      </c>
      <c r="B1388" s="1490" t="s">
        <v>351</v>
      </c>
      <c r="C1388" s="1597">
        <v>15028.0</v>
      </c>
      <c r="D1388" s="1490">
        <v>33.0</v>
      </c>
      <c r="E1388" s="1" t="s">
        <v>351</v>
      </c>
    </row>
    <row r="1389">
      <c r="A1389" s="1490" t="s">
        <v>1346</v>
      </c>
      <c r="B1389" s="1490" t="s">
        <v>351</v>
      </c>
      <c r="C1389" s="1597">
        <v>159256.0</v>
      </c>
      <c r="D1389" s="1490">
        <v>114.0</v>
      </c>
      <c r="E1389" s="1" t="s">
        <v>351</v>
      </c>
    </row>
    <row r="1390">
      <c r="A1390" s="1490" t="s">
        <v>1347</v>
      </c>
      <c r="B1390" s="1490" t="s">
        <v>351</v>
      </c>
      <c r="C1390" s="1597">
        <v>36803.0</v>
      </c>
      <c r="D1390" s="1490">
        <v>33.0</v>
      </c>
      <c r="E1390" s="1" t="s">
        <v>351</v>
      </c>
    </row>
    <row r="1391">
      <c r="A1391" s="1490" t="s">
        <v>1015</v>
      </c>
      <c r="B1391" s="1490" t="s">
        <v>351</v>
      </c>
      <c r="C1391" s="1597">
        <v>9753.0</v>
      </c>
      <c r="D1391" s="1490">
        <v>20.0</v>
      </c>
      <c r="E1391" s="1" t="s">
        <v>351</v>
      </c>
    </row>
    <row r="1392">
      <c r="A1392" s="1490" t="s">
        <v>1348</v>
      </c>
      <c r="B1392" s="1490" t="s">
        <v>351</v>
      </c>
      <c r="C1392" s="1597">
        <v>9345.0</v>
      </c>
      <c r="D1392" s="1490">
        <v>21.0</v>
      </c>
      <c r="E1392" s="1" t="s">
        <v>351</v>
      </c>
    </row>
    <row r="1393">
      <c r="A1393" s="1490" t="s">
        <v>1135</v>
      </c>
      <c r="B1393" s="1490" t="s">
        <v>351</v>
      </c>
      <c r="C1393" s="1597">
        <v>24582.0</v>
      </c>
      <c r="D1393" s="1490">
        <v>45.0</v>
      </c>
      <c r="E1393" s="1" t="s">
        <v>351</v>
      </c>
    </row>
    <row r="1394">
      <c r="A1394" s="1490" t="s">
        <v>1349</v>
      </c>
      <c r="B1394" s="1490" t="s">
        <v>351</v>
      </c>
      <c r="C1394" s="1597">
        <v>3308.0</v>
      </c>
      <c r="D1394" s="1490">
        <v>11.0</v>
      </c>
      <c r="E1394" s="1" t="s">
        <v>351</v>
      </c>
    </row>
    <row r="1395">
      <c r="A1395" s="1490" t="s">
        <v>1350</v>
      </c>
      <c r="B1395" s="1490" t="s">
        <v>351</v>
      </c>
      <c r="C1395" s="1597">
        <v>21645.0</v>
      </c>
      <c r="D1395" s="1490">
        <v>33.0</v>
      </c>
      <c r="E1395" s="1" t="s">
        <v>351</v>
      </c>
    </row>
    <row r="1396">
      <c r="A1396" s="1490" t="s">
        <v>1351</v>
      </c>
      <c r="B1396" s="1490" t="s">
        <v>351</v>
      </c>
      <c r="C1396" s="1597">
        <v>13773.0</v>
      </c>
      <c r="D1396" s="1490">
        <v>34.0</v>
      </c>
      <c r="E1396" s="1" t="s">
        <v>351</v>
      </c>
    </row>
    <row r="1397">
      <c r="A1397" s="1490" t="s">
        <v>1352</v>
      </c>
      <c r="B1397" s="1490" t="s">
        <v>351</v>
      </c>
      <c r="C1397" s="1597">
        <v>18691.0</v>
      </c>
      <c r="D1397" s="1490">
        <v>32.0</v>
      </c>
      <c r="E1397" s="1" t="s">
        <v>351</v>
      </c>
    </row>
    <row r="1398">
      <c r="A1398" s="1490" t="s">
        <v>119</v>
      </c>
      <c r="B1398" s="1490" t="s">
        <v>351</v>
      </c>
      <c r="C1398" s="1597">
        <v>259201.0</v>
      </c>
      <c r="D1398" s="1490">
        <v>95.0</v>
      </c>
      <c r="E1398" s="1" t="s">
        <v>351</v>
      </c>
    </row>
    <row r="1399">
      <c r="A1399" s="1490" t="s">
        <v>1353</v>
      </c>
      <c r="B1399" s="1490" t="s">
        <v>351</v>
      </c>
      <c r="C1399" s="1597">
        <v>10980.0</v>
      </c>
      <c r="D1399" s="1490">
        <v>23.0</v>
      </c>
      <c r="E1399" s="1" t="s">
        <v>351</v>
      </c>
    </row>
    <row r="1400">
      <c r="A1400" s="1490" t="s">
        <v>1354</v>
      </c>
      <c r="B1400" s="1490" t="s">
        <v>351</v>
      </c>
      <c r="C1400" s="1597">
        <v>6254.0</v>
      </c>
      <c r="D1400" s="1490">
        <v>11.0</v>
      </c>
      <c r="E1400" s="1" t="s">
        <v>351</v>
      </c>
    </row>
    <row r="1401">
      <c r="A1401" s="1490" t="s">
        <v>1355</v>
      </c>
      <c r="B1401" s="1490" t="s">
        <v>351</v>
      </c>
      <c r="C1401" s="1597">
        <v>50825.0</v>
      </c>
      <c r="D1401" s="1490">
        <v>46.0</v>
      </c>
      <c r="E1401" s="1" t="s">
        <v>351</v>
      </c>
    </row>
    <row r="1402">
      <c r="A1402" s="1490" t="s">
        <v>949</v>
      </c>
      <c r="B1402" s="1490" t="s">
        <v>351</v>
      </c>
      <c r="C1402" s="1597">
        <v>136349.0</v>
      </c>
      <c r="D1402" s="1490">
        <v>84.0</v>
      </c>
      <c r="E1402" s="1" t="s">
        <v>351</v>
      </c>
    </row>
    <row r="1403">
      <c r="A1403" s="1496" t="s">
        <v>1356</v>
      </c>
      <c r="B1403" s="1496" t="s">
        <v>351</v>
      </c>
      <c r="C1403" s="1598">
        <v>9795.0</v>
      </c>
      <c r="D1403" s="1496">
        <v>25.0</v>
      </c>
      <c r="E1403" s="1624" t="s">
        <v>351</v>
      </c>
      <c r="F1403" s="1624"/>
      <c r="G1403" s="1624"/>
      <c r="N1403" s="1489"/>
      <c r="O1403" s="1489"/>
      <c r="P1403" s="1489"/>
      <c r="Q1403" s="1489"/>
      <c r="R1403" s="1489"/>
      <c r="S1403" s="1489"/>
      <c r="T1403" s="1489"/>
      <c r="U1403" s="1489"/>
      <c r="V1403" s="1489"/>
      <c r="W1403" s="1489"/>
      <c r="X1403" s="1489"/>
      <c r="Y1403" s="1489"/>
      <c r="Z1403" s="1489"/>
    </row>
    <row r="1404">
      <c r="A1404" s="355" t="s">
        <v>386</v>
      </c>
      <c r="B1404" s="355" t="s">
        <v>1357</v>
      </c>
      <c r="C1404" s="1562">
        <v>31192.0</v>
      </c>
      <c r="D1404" s="355">
        <v>58.0</v>
      </c>
      <c r="E1404" s="1" t="s">
        <v>1357</v>
      </c>
    </row>
    <row r="1405">
      <c r="A1405" s="355" t="s">
        <v>1358</v>
      </c>
      <c r="B1405" s="355" t="s">
        <v>1357</v>
      </c>
      <c r="C1405" s="1562">
        <v>36925.0</v>
      </c>
      <c r="D1405" s="355">
        <v>50.0</v>
      </c>
      <c r="E1405" s="1" t="s">
        <v>1357</v>
      </c>
    </row>
    <row r="1406">
      <c r="A1406" s="355" t="s">
        <v>1359</v>
      </c>
      <c r="B1406" s="355" t="s">
        <v>1357</v>
      </c>
      <c r="C1406" s="1562">
        <v>12326.0</v>
      </c>
      <c r="D1406" s="355">
        <v>22.0</v>
      </c>
      <c r="E1406" s="1" t="s">
        <v>1357</v>
      </c>
    </row>
    <row r="1407">
      <c r="A1407" s="355" t="s">
        <v>1360</v>
      </c>
      <c r="B1407" s="355" t="s">
        <v>1357</v>
      </c>
      <c r="C1407" s="1562">
        <v>18365.0</v>
      </c>
      <c r="D1407" s="355">
        <v>31.0</v>
      </c>
      <c r="E1407" s="1" t="s">
        <v>1357</v>
      </c>
      <c r="H1407" s="1489"/>
      <c r="I1407" s="1489"/>
      <c r="J1407" s="1489"/>
      <c r="K1407" s="1489"/>
      <c r="L1407" s="1489"/>
      <c r="M1407" s="1489"/>
    </row>
    <row r="1408">
      <c r="A1408" s="355" t="s">
        <v>243</v>
      </c>
      <c r="B1408" s="355" t="s">
        <v>1357</v>
      </c>
      <c r="C1408" s="1562">
        <v>8271.0</v>
      </c>
      <c r="D1408" s="355">
        <v>12.0</v>
      </c>
      <c r="E1408" s="1" t="s">
        <v>1357</v>
      </c>
    </row>
    <row r="1409">
      <c r="A1409" s="355" t="s">
        <v>1361</v>
      </c>
      <c r="B1409" s="355" t="s">
        <v>1357</v>
      </c>
      <c r="C1409" s="1562">
        <v>31333.0</v>
      </c>
      <c r="D1409" s="355">
        <v>40.0</v>
      </c>
      <c r="E1409" s="1" t="s">
        <v>1357</v>
      </c>
    </row>
    <row r="1410">
      <c r="A1410" s="355" t="s">
        <v>93</v>
      </c>
      <c r="B1410" s="355" t="s">
        <v>1357</v>
      </c>
      <c r="C1410" s="1562">
        <v>14436.0</v>
      </c>
      <c r="D1410" s="355">
        <v>37.0</v>
      </c>
      <c r="E1410" s="1" t="s">
        <v>1357</v>
      </c>
    </row>
    <row r="1411">
      <c r="A1411" s="355" t="s">
        <v>248</v>
      </c>
      <c r="B1411" s="355" t="s">
        <v>1357</v>
      </c>
      <c r="C1411" s="1562">
        <v>9911.0</v>
      </c>
      <c r="D1411" s="355">
        <v>11.0</v>
      </c>
      <c r="E1411" s="1" t="s">
        <v>1357</v>
      </c>
    </row>
    <row r="1412">
      <c r="A1412" s="355" t="s">
        <v>896</v>
      </c>
      <c r="B1412" s="355" t="s">
        <v>1357</v>
      </c>
      <c r="C1412" s="1562">
        <v>17171.0</v>
      </c>
      <c r="D1412" s="355">
        <v>40.0</v>
      </c>
      <c r="E1412" s="1" t="s">
        <v>1357</v>
      </c>
    </row>
    <row r="1413">
      <c r="A1413" s="355" t="s">
        <v>107</v>
      </c>
      <c r="B1413" s="355" t="s">
        <v>1357</v>
      </c>
      <c r="C1413" s="1562">
        <v>8278.0</v>
      </c>
      <c r="D1413" s="355">
        <v>15.0</v>
      </c>
      <c r="E1413" s="1" t="s">
        <v>1357</v>
      </c>
    </row>
    <row r="1414">
      <c r="A1414" s="355" t="s">
        <v>1151</v>
      </c>
      <c r="B1414" s="355" t="s">
        <v>1357</v>
      </c>
      <c r="C1414" s="1562">
        <v>9002.0</v>
      </c>
      <c r="D1414" s="355">
        <v>24.0</v>
      </c>
      <c r="E1414" s="1" t="s">
        <v>1357</v>
      </c>
    </row>
    <row r="1415">
      <c r="A1415" s="355" t="s">
        <v>110</v>
      </c>
      <c r="B1415" s="355" t="s">
        <v>1357</v>
      </c>
      <c r="C1415" s="1562">
        <v>15604.0</v>
      </c>
      <c r="D1415" s="355">
        <v>38.0</v>
      </c>
      <c r="E1415" s="1" t="s">
        <v>1357</v>
      </c>
    </row>
    <row r="1416">
      <c r="A1416" s="355" t="s">
        <v>112</v>
      </c>
      <c r="B1416" s="355" t="s">
        <v>1357</v>
      </c>
      <c r="C1416" s="1562">
        <v>19386.0</v>
      </c>
      <c r="D1416" s="355">
        <v>41.0</v>
      </c>
      <c r="E1416" s="1" t="s">
        <v>1357</v>
      </c>
    </row>
    <row r="1417">
      <c r="A1417" s="355" t="s">
        <v>1362</v>
      </c>
      <c r="B1417" s="355" t="s">
        <v>1357</v>
      </c>
      <c r="C1417" s="1562">
        <v>22628.0</v>
      </c>
      <c r="D1417" s="355">
        <v>27.0</v>
      </c>
      <c r="E1417" s="1" t="s">
        <v>1357</v>
      </c>
    </row>
    <row r="1418">
      <c r="A1418" s="355" t="s">
        <v>1363</v>
      </c>
      <c r="B1418" s="355" t="s">
        <v>1357</v>
      </c>
      <c r="C1418" s="1562">
        <v>28543.0</v>
      </c>
      <c r="D1418" s="355">
        <v>44.0</v>
      </c>
      <c r="E1418" s="1" t="s">
        <v>1357</v>
      </c>
    </row>
    <row r="1419">
      <c r="A1419" s="355" t="s">
        <v>126</v>
      </c>
      <c r="B1419" s="355" t="s">
        <v>1357</v>
      </c>
      <c r="C1419" s="1562">
        <v>18853.0</v>
      </c>
      <c r="D1419" s="355">
        <v>30.0</v>
      </c>
      <c r="E1419" s="1" t="s">
        <v>1357</v>
      </c>
    </row>
    <row r="1420">
      <c r="A1420" s="355" t="s">
        <v>489</v>
      </c>
      <c r="B1420" s="355" t="s">
        <v>1357</v>
      </c>
      <c r="C1420" s="1562">
        <v>182001.0</v>
      </c>
      <c r="D1420" s="355">
        <v>157.0</v>
      </c>
      <c r="E1420" s="1" t="s">
        <v>1357</v>
      </c>
    </row>
    <row r="1421">
      <c r="A1421" s="355" t="s">
        <v>1364</v>
      </c>
      <c r="B1421" s="355" t="s">
        <v>1357</v>
      </c>
      <c r="C1421" s="1562">
        <v>75036.0</v>
      </c>
      <c r="D1421" s="355">
        <v>92.0</v>
      </c>
      <c r="E1421" s="1" t="s">
        <v>1357</v>
      </c>
    </row>
    <row r="1422">
      <c r="A1422" s="355" t="s">
        <v>136</v>
      </c>
      <c r="B1422" s="355" t="s">
        <v>1357</v>
      </c>
      <c r="C1422" s="1562">
        <v>7788.0</v>
      </c>
      <c r="D1422" s="355">
        <v>24.0</v>
      </c>
      <c r="E1422" s="1" t="s">
        <v>1357</v>
      </c>
    </row>
    <row r="1423">
      <c r="A1423" s="355" t="s">
        <v>1365</v>
      </c>
      <c r="B1423" s="355" t="s">
        <v>1357</v>
      </c>
      <c r="C1423" s="1562">
        <v>24250.0</v>
      </c>
      <c r="D1423" s="355">
        <v>20.0</v>
      </c>
      <c r="E1423" s="1" t="s">
        <v>1357</v>
      </c>
    </row>
    <row r="1424">
      <c r="A1424" s="355" t="s">
        <v>138</v>
      </c>
      <c r="B1424" s="355" t="s">
        <v>1357</v>
      </c>
      <c r="C1424" s="1562">
        <v>13586.0</v>
      </c>
      <c r="D1424" s="355">
        <v>30.0</v>
      </c>
      <c r="E1424" s="1" t="s">
        <v>1357</v>
      </c>
    </row>
    <row r="1425">
      <c r="A1425" s="355" t="s">
        <v>1366</v>
      </c>
      <c r="B1425" s="355" t="s">
        <v>1357</v>
      </c>
      <c r="C1425" s="1562">
        <v>21055.0</v>
      </c>
      <c r="D1425" s="355">
        <v>42.0</v>
      </c>
      <c r="E1425" s="1" t="s">
        <v>1357</v>
      </c>
    </row>
    <row r="1426">
      <c r="A1426" s="355" t="s">
        <v>587</v>
      </c>
      <c r="B1426" s="355" t="s">
        <v>1357</v>
      </c>
      <c r="C1426" s="1562">
        <v>47334.0</v>
      </c>
      <c r="D1426" s="355">
        <v>38.0</v>
      </c>
      <c r="E1426" s="1" t="s">
        <v>1357</v>
      </c>
    </row>
    <row r="1427">
      <c r="A1427" s="355" t="s">
        <v>775</v>
      </c>
      <c r="B1427" s="355" t="s">
        <v>1357</v>
      </c>
      <c r="C1427" s="1562">
        <v>206650.0</v>
      </c>
      <c r="D1427" s="355">
        <v>181.0</v>
      </c>
      <c r="E1427" s="1" t="s">
        <v>1357</v>
      </c>
    </row>
    <row r="1428">
      <c r="A1428" s="355" t="s">
        <v>1367</v>
      </c>
      <c r="B1428" s="355" t="s">
        <v>1357</v>
      </c>
      <c r="C1428" s="1562">
        <v>237085.0</v>
      </c>
      <c r="D1428" s="355">
        <v>296.0</v>
      </c>
      <c r="E1428" s="1" t="s">
        <v>1357</v>
      </c>
    </row>
    <row r="1429">
      <c r="A1429" s="355" t="s">
        <v>502</v>
      </c>
      <c r="B1429" s="355" t="s">
        <v>1357</v>
      </c>
      <c r="C1429" s="1562">
        <v>17622.0</v>
      </c>
      <c r="D1429" s="355">
        <v>22.0</v>
      </c>
      <c r="E1429" s="1" t="s">
        <v>1357</v>
      </c>
    </row>
    <row r="1430">
      <c r="A1430" s="355" t="s">
        <v>1368</v>
      </c>
      <c r="B1430" s="355" t="s">
        <v>1357</v>
      </c>
      <c r="C1430" s="1562">
        <v>8257.0</v>
      </c>
      <c r="D1430" s="355">
        <v>14.0</v>
      </c>
      <c r="E1430" s="1" t="s">
        <v>1357</v>
      </c>
    </row>
    <row r="1431">
      <c r="A1431" s="355" t="s">
        <v>1369</v>
      </c>
      <c r="B1431" s="355" t="s">
        <v>1357</v>
      </c>
      <c r="C1431" s="1562">
        <v>1308.0</v>
      </c>
      <c r="D1431" s="355" t="s">
        <v>63</v>
      </c>
      <c r="E1431" s="1"/>
    </row>
    <row r="1432">
      <c r="A1432" s="355" t="s">
        <v>1370</v>
      </c>
      <c r="B1432" s="355" t="s">
        <v>1357</v>
      </c>
      <c r="C1432" s="1562">
        <v>23517.0</v>
      </c>
      <c r="D1432" s="355">
        <v>38.0</v>
      </c>
      <c r="E1432" s="1" t="s">
        <v>1357</v>
      </c>
    </row>
    <row r="1433">
      <c r="A1433" s="355" t="s">
        <v>142</v>
      </c>
      <c r="B1433" s="355" t="s">
        <v>1357</v>
      </c>
      <c r="C1433" s="1562">
        <v>143277.0</v>
      </c>
      <c r="D1433" s="355">
        <v>156.0</v>
      </c>
      <c r="E1433" s="1" t="s">
        <v>1357</v>
      </c>
    </row>
    <row r="1434">
      <c r="A1434" s="355" t="s">
        <v>593</v>
      </c>
      <c r="B1434" s="355" t="s">
        <v>1357</v>
      </c>
      <c r="C1434" s="1562">
        <v>16428.0</v>
      </c>
      <c r="D1434" s="355">
        <v>29.0</v>
      </c>
      <c r="E1434" s="1" t="s">
        <v>1357</v>
      </c>
    </row>
    <row r="1435">
      <c r="A1435" s="355" t="s">
        <v>143</v>
      </c>
      <c r="B1435" s="355" t="s">
        <v>1357</v>
      </c>
      <c r="C1435" s="1562">
        <v>7106.0</v>
      </c>
      <c r="D1435" s="355">
        <v>7.0</v>
      </c>
      <c r="E1435" s="1" t="s">
        <v>1357</v>
      </c>
    </row>
    <row r="1436">
      <c r="A1436" s="355" t="s">
        <v>1159</v>
      </c>
      <c r="B1436" s="355" t="s">
        <v>1357</v>
      </c>
      <c r="C1436" s="1562">
        <v>11234.0</v>
      </c>
      <c r="D1436" s="355">
        <v>31.0</v>
      </c>
      <c r="E1436" s="1" t="s">
        <v>1357</v>
      </c>
    </row>
    <row r="1437">
      <c r="A1437" s="355" t="s">
        <v>598</v>
      </c>
      <c r="B1437" s="355" t="s">
        <v>1357</v>
      </c>
      <c r="C1437" s="1562">
        <v>68461.0</v>
      </c>
      <c r="D1437" s="355">
        <v>116.0</v>
      </c>
      <c r="E1437" s="1" t="s">
        <v>1357</v>
      </c>
    </row>
    <row r="1438">
      <c r="A1438" s="355" t="s">
        <v>1371</v>
      </c>
      <c r="B1438" s="355" t="s">
        <v>1357</v>
      </c>
      <c r="C1438" s="1562">
        <v>10027.0</v>
      </c>
      <c r="D1438" s="355">
        <v>21.0</v>
      </c>
      <c r="E1438" s="1" t="s">
        <v>1357</v>
      </c>
    </row>
    <row r="1439">
      <c r="A1439" s="355" t="s">
        <v>289</v>
      </c>
      <c r="B1439" s="355" t="s">
        <v>1357</v>
      </c>
      <c r="C1439" s="1562">
        <v>54793.0</v>
      </c>
      <c r="D1439" s="355">
        <v>52.0</v>
      </c>
      <c r="E1439" s="1" t="s">
        <v>1357</v>
      </c>
    </row>
    <row r="1440">
      <c r="A1440" s="355" t="s">
        <v>144</v>
      </c>
      <c r="B1440" s="355" t="s">
        <v>1357</v>
      </c>
      <c r="C1440" s="1562">
        <v>62447.0</v>
      </c>
      <c r="D1440" s="355">
        <v>52.0</v>
      </c>
      <c r="E1440" s="1" t="s">
        <v>1357</v>
      </c>
    </row>
    <row r="1441">
      <c r="A1441" s="355" t="s">
        <v>145</v>
      </c>
      <c r="B1441" s="355" t="s">
        <v>1357</v>
      </c>
      <c r="C1441" s="1562">
        <v>75317.0</v>
      </c>
      <c r="D1441" s="355">
        <v>131.0</v>
      </c>
      <c r="E1441" s="1" t="s">
        <v>1357</v>
      </c>
    </row>
    <row r="1442">
      <c r="A1442" s="355" t="s">
        <v>146</v>
      </c>
      <c r="B1442" s="355" t="s">
        <v>1357</v>
      </c>
      <c r="C1442" s="1562">
        <v>12455.0</v>
      </c>
      <c r="D1442" s="355">
        <v>33.0</v>
      </c>
      <c r="E1442" s="1" t="s">
        <v>1357</v>
      </c>
    </row>
    <row r="1443">
      <c r="A1443" s="355" t="s">
        <v>1372</v>
      </c>
      <c r="B1443" s="355" t="s">
        <v>1357</v>
      </c>
      <c r="C1443" s="1562">
        <v>22763.0</v>
      </c>
      <c r="D1443" s="355">
        <v>26.0</v>
      </c>
      <c r="E1443" s="1" t="s">
        <v>1357</v>
      </c>
    </row>
    <row r="1444">
      <c r="A1444" s="355" t="s">
        <v>147</v>
      </c>
      <c r="B1444" s="355" t="s">
        <v>1357</v>
      </c>
      <c r="C1444" s="1562">
        <v>85202.0</v>
      </c>
      <c r="D1444" s="355">
        <v>116.0</v>
      </c>
      <c r="E1444" s="1" t="s">
        <v>1357</v>
      </c>
    </row>
    <row r="1445">
      <c r="A1445" s="355" t="s">
        <v>1373</v>
      </c>
      <c r="B1445" s="355" t="s">
        <v>1357</v>
      </c>
      <c r="C1445" s="1562">
        <v>28919.0</v>
      </c>
      <c r="D1445" s="355">
        <v>43.0</v>
      </c>
      <c r="E1445" s="1" t="s">
        <v>1357</v>
      </c>
    </row>
    <row r="1446">
      <c r="A1446" s="355" t="s">
        <v>290</v>
      </c>
      <c r="B1446" s="355" t="s">
        <v>1357</v>
      </c>
      <c r="C1446" s="1562">
        <v>34205.0</v>
      </c>
      <c r="D1446" s="355">
        <v>60.0</v>
      </c>
      <c r="E1446" s="1" t="s">
        <v>1357</v>
      </c>
    </row>
    <row r="1447">
      <c r="A1447" s="355" t="s">
        <v>149</v>
      </c>
      <c r="B1447" s="355" t="s">
        <v>1357</v>
      </c>
      <c r="C1447" s="1562">
        <v>58930.0</v>
      </c>
      <c r="D1447" s="355">
        <v>84.0</v>
      </c>
      <c r="E1447" s="1" t="s">
        <v>1357</v>
      </c>
    </row>
    <row r="1448">
      <c r="A1448" s="355" t="s">
        <v>151</v>
      </c>
      <c r="B1448" s="355" t="s">
        <v>1357</v>
      </c>
      <c r="C1448" s="1562">
        <v>105630.0</v>
      </c>
      <c r="D1448" s="355">
        <v>114.0</v>
      </c>
      <c r="E1448" s="1" t="s">
        <v>1357</v>
      </c>
    </row>
    <row r="1449">
      <c r="A1449" s="355" t="s">
        <v>153</v>
      </c>
      <c r="B1449" s="355" t="s">
        <v>1357</v>
      </c>
      <c r="C1449" s="1562">
        <v>24715.0</v>
      </c>
      <c r="D1449" s="355">
        <v>50.0</v>
      </c>
      <c r="E1449" s="1" t="s">
        <v>1357</v>
      </c>
    </row>
    <row r="1450">
      <c r="A1450" s="355" t="s">
        <v>154</v>
      </c>
      <c r="B1450" s="355" t="s">
        <v>1357</v>
      </c>
      <c r="C1450" s="1562">
        <v>35451.0</v>
      </c>
      <c r="D1450" s="355">
        <v>60.0</v>
      </c>
      <c r="E1450" s="1" t="s">
        <v>1357</v>
      </c>
    </row>
    <row r="1451">
      <c r="A1451" s="355" t="s">
        <v>156</v>
      </c>
      <c r="B1451" s="355" t="s">
        <v>1357</v>
      </c>
      <c r="C1451" s="1562">
        <v>35564.0</v>
      </c>
      <c r="D1451" s="355">
        <v>65.0</v>
      </c>
      <c r="E1451" s="1" t="s">
        <v>1357</v>
      </c>
    </row>
    <row r="1452">
      <c r="A1452" s="355" t="s">
        <v>157</v>
      </c>
      <c r="B1452" s="355" t="s">
        <v>1357</v>
      </c>
      <c r="C1452" s="1562">
        <v>10023.0</v>
      </c>
      <c r="D1452" s="355">
        <v>17.0</v>
      </c>
      <c r="E1452" s="1" t="s">
        <v>1357</v>
      </c>
    </row>
    <row r="1453">
      <c r="A1453" s="355" t="s">
        <v>1374</v>
      </c>
      <c r="B1453" s="355" t="s">
        <v>1357</v>
      </c>
      <c r="C1453" s="1562">
        <v>29125.0</v>
      </c>
      <c r="D1453" s="355">
        <v>40.0</v>
      </c>
      <c r="E1453" s="1" t="s">
        <v>1357</v>
      </c>
    </row>
    <row r="1454">
      <c r="A1454" s="355" t="s">
        <v>297</v>
      </c>
      <c r="B1454" s="355" t="s">
        <v>1357</v>
      </c>
      <c r="C1454" s="1562">
        <v>21443.0</v>
      </c>
      <c r="D1454" s="355">
        <v>35.0</v>
      </c>
      <c r="E1454" s="1" t="s">
        <v>1357</v>
      </c>
    </row>
    <row r="1455">
      <c r="A1455" s="355" t="s">
        <v>1375</v>
      </c>
      <c r="B1455" s="355" t="s">
        <v>1357</v>
      </c>
      <c r="C1455" s="1562">
        <v>10535.0</v>
      </c>
      <c r="D1455" s="355">
        <v>22.0</v>
      </c>
      <c r="E1455" s="1" t="s">
        <v>1357</v>
      </c>
    </row>
    <row r="1456">
      <c r="A1456" s="355" t="s">
        <v>1376</v>
      </c>
      <c r="B1456" s="355" t="s">
        <v>1357</v>
      </c>
      <c r="C1456" s="1562">
        <v>49599.0</v>
      </c>
      <c r="D1456" s="355">
        <v>70.0</v>
      </c>
      <c r="E1456" s="1" t="s">
        <v>1357</v>
      </c>
    </row>
    <row r="1457">
      <c r="A1457" s="355" t="s">
        <v>1377</v>
      </c>
      <c r="B1457" s="355" t="s">
        <v>1357</v>
      </c>
      <c r="C1457" s="1562">
        <v>34178.0</v>
      </c>
      <c r="D1457" s="355">
        <v>41.0</v>
      </c>
      <c r="E1457" s="1" t="s">
        <v>1357</v>
      </c>
    </row>
    <row r="1458">
      <c r="A1458" s="355" t="s">
        <v>1378</v>
      </c>
      <c r="B1458" s="355" t="s">
        <v>1357</v>
      </c>
      <c r="C1458" s="1562">
        <v>55387.0</v>
      </c>
      <c r="D1458" s="355">
        <v>57.0</v>
      </c>
      <c r="E1458" s="1" t="s">
        <v>1357</v>
      </c>
    </row>
    <row r="1459">
      <c r="A1459" s="355" t="s">
        <v>159</v>
      </c>
      <c r="B1459" s="355" t="s">
        <v>1357</v>
      </c>
      <c r="C1459" s="1562">
        <v>11931.0</v>
      </c>
      <c r="D1459" s="355">
        <v>16.0</v>
      </c>
      <c r="E1459" s="1" t="s">
        <v>1357</v>
      </c>
    </row>
    <row r="1460">
      <c r="A1460" s="355" t="s">
        <v>162</v>
      </c>
      <c r="B1460" s="355" t="s">
        <v>1357</v>
      </c>
      <c r="C1460" s="1562">
        <v>39563.0</v>
      </c>
      <c r="D1460" s="355">
        <v>69.0</v>
      </c>
      <c r="E1460" s="1" t="s">
        <v>1357</v>
      </c>
    </row>
    <row r="1461">
      <c r="A1461" s="355" t="s">
        <v>1379</v>
      </c>
      <c r="B1461" s="355" t="s">
        <v>1357</v>
      </c>
      <c r="C1461" s="1562">
        <v>31833.0</v>
      </c>
      <c r="D1461" s="355">
        <v>33.0</v>
      </c>
      <c r="E1461" s="1" t="s">
        <v>1357</v>
      </c>
    </row>
    <row r="1462">
      <c r="A1462" s="355" t="s">
        <v>1380</v>
      </c>
      <c r="B1462" s="355" t="s">
        <v>1357</v>
      </c>
      <c r="C1462" s="1562">
        <v>25315.0</v>
      </c>
      <c r="D1462" s="355">
        <v>27.0</v>
      </c>
      <c r="E1462" s="1" t="s">
        <v>1357</v>
      </c>
    </row>
    <row r="1463">
      <c r="A1463" s="355" t="s">
        <v>618</v>
      </c>
      <c r="B1463" s="355" t="s">
        <v>1357</v>
      </c>
      <c r="C1463" s="1562">
        <v>7051.0</v>
      </c>
      <c r="D1463" s="355">
        <v>19.0</v>
      </c>
      <c r="E1463" s="1" t="s">
        <v>1357</v>
      </c>
    </row>
    <row r="1464">
      <c r="A1464" s="355" t="s">
        <v>1381</v>
      </c>
      <c r="B1464" s="355" t="s">
        <v>1357</v>
      </c>
      <c r="C1464" s="1562">
        <v>153902.0</v>
      </c>
      <c r="D1464" s="355">
        <v>146.0</v>
      </c>
      <c r="E1464" s="1" t="s">
        <v>1357</v>
      </c>
    </row>
    <row r="1465">
      <c r="A1465" s="355" t="s">
        <v>309</v>
      </c>
      <c r="B1465" s="355" t="s">
        <v>1357</v>
      </c>
      <c r="C1465" s="1562">
        <v>28287.0</v>
      </c>
      <c r="D1465" s="355">
        <v>42.0</v>
      </c>
      <c r="E1465" s="1" t="s">
        <v>1357</v>
      </c>
    </row>
    <row r="1466">
      <c r="A1466" s="355" t="s">
        <v>1382</v>
      </c>
      <c r="B1466" s="355" t="s">
        <v>1357</v>
      </c>
      <c r="C1466" s="1562">
        <v>4377.0</v>
      </c>
      <c r="D1466" s="355">
        <v>6.0</v>
      </c>
      <c r="E1466" s="1" t="s">
        <v>1357</v>
      </c>
    </row>
    <row r="1467">
      <c r="A1467" s="355" t="s">
        <v>1134</v>
      </c>
      <c r="B1467" s="355" t="s">
        <v>1357</v>
      </c>
      <c r="C1467" s="1562">
        <v>26758.0</v>
      </c>
      <c r="D1467" s="355">
        <v>36.0</v>
      </c>
      <c r="E1467" s="1" t="s">
        <v>1357</v>
      </c>
    </row>
    <row r="1468">
      <c r="A1468" s="355" t="s">
        <v>1012</v>
      </c>
      <c r="B1468" s="355" t="s">
        <v>1357</v>
      </c>
      <c r="C1468" s="1562">
        <v>16002.0</v>
      </c>
      <c r="D1468" s="355">
        <v>28.0</v>
      </c>
      <c r="E1468" s="1" t="s">
        <v>1357</v>
      </c>
    </row>
    <row r="1469">
      <c r="A1469" s="355" t="s">
        <v>315</v>
      </c>
      <c r="B1469" s="355" t="s">
        <v>1357</v>
      </c>
      <c r="C1469" s="1562">
        <v>18717.0</v>
      </c>
      <c r="D1469" s="355">
        <v>24.0</v>
      </c>
      <c r="E1469" s="1" t="s">
        <v>1357</v>
      </c>
    </row>
    <row r="1470">
      <c r="A1470" s="355" t="s">
        <v>1383</v>
      </c>
      <c r="B1470" s="355" t="s">
        <v>1357</v>
      </c>
      <c r="C1470" s="1562">
        <v>25735.0</v>
      </c>
      <c r="D1470" s="355">
        <v>44.0</v>
      </c>
      <c r="E1470" s="1" t="s">
        <v>1357</v>
      </c>
    </row>
    <row r="1471">
      <c r="A1471" s="355" t="s">
        <v>1384</v>
      </c>
      <c r="B1471" s="355" t="s">
        <v>1357</v>
      </c>
      <c r="C1471" s="1562">
        <v>13987.0</v>
      </c>
      <c r="D1471" s="355">
        <v>14.0</v>
      </c>
      <c r="E1471" s="1" t="s">
        <v>1357</v>
      </c>
    </row>
    <row r="1472">
      <c r="A1472" s="355" t="s">
        <v>1385</v>
      </c>
      <c r="B1472" s="355" t="s">
        <v>1357</v>
      </c>
      <c r="C1472" s="1562">
        <v>28759.0</v>
      </c>
      <c r="D1472" s="355">
        <v>44.0</v>
      </c>
      <c r="E1472" s="1" t="s">
        <v>1357</v>
      </c>
    </row>
    <row r="1473">
      <c r="A1473" s="355" t="s">
        <v>1386</v>
      </c>
      <c r="B1473" s="355" t="s">
        <v>1357</v>
      </c>
      <c r="C1473" s="1562">
        <v>21995.0</v>
      </c>
      <c r="D1473" s="355">
        <v>31.0</v>
      </c>
      <c r="E1473" s="1" t="s">
        <v>1357</v>
      </c>
    </row>
    <row r="1474">
      <c r="A1474" s="355" t="s">
        <v>1387</v>
      </c>
      <c r="B1474" s="355" t="s">
        <v>1357</v>
      </c>
      <c r="C1474" s="1562">
        <v>19454.0</v>
      </c>
      <c r="D1474" s="355">
        <v>29.0</v>
      </c>
      <c r="E1474" s="1" t="s">
        <v>1357</v>
      </c>
    </row>
    <row r="1475">
      <c r="A1475" s="355" t="s">
        <v>1388</v>
      </c>
      <c r="B1475" s="355" t="s">
        <v>1357</v>
      </c>
      <c r="C1475" s="1562">
        <v>9944.0</v>
      </c>
      <c r="D1475" s="355">
        <v>12.0</v>
      </c>
      <c r="E1475" s="1" t="s">
        <v>1357</v>
      </c>
    </row>
    <row r="1476">
      <c r="A1476" s="355" t="s">
        <v>316</v>
      </c>
      <c r="B1476" s="355" t="s">
        <v>1357</v>
      </c>
      <c r="C1476" s="1562">
        <v>28606.0</v>
      </c>
      <c r="D1476" s="355">
        <v>46.0</v>
      </c>
      <c r="E1476" s="1" t="s">
        <v>1357</v>
      </c>
    </row>
    <row r="1477">
      <c r="A1477" s="355" t="s">
        <v>1389</v>
      </c>
      <c r="B1477" s="355" t="s">
        <v>1357</v>
      </c>
      <c r="C1477" s="1562">
        <v>14465.0</v>
      </c>
      <c r="D1477" s="355">
        <v>19.0</v>
      </c>
      <c r="E1477" s="1" t="s">
        <v>1357</v>
      </c>
    </row>
    <row r="1478">
      <c r="A1478" s="355" t="s">
        <v>647</v>
      </c>
      <c r="B1478" s="355" t="s">
        <v>1357</v>
      </c>
      <c r="C1478" s="1562">
        <v>46176.0</v>
      </c>
      <c r="D1478" s="355">
        <v>80.0</v>
      </c>
      <c r="E1478" s="1" t="s">
        <v>1357</v>
      </c>
    </row>
    <row r="1479">
      <c r="A1479" s="355" t="s">
        <v>119</v>
      </c>
      <c r="B1479" s="355" t="s">
        <v>1357</v>
      </c>
      <c r="C1479" s="1562">
        <v>45063.0</v>
      </c>
      <c r="D1479" s="355">
        <v>92.0</v>
      </c>
      <c r="E1479" s="1" t="s">
        <v>1357</v>
      </c>
    </row>
    <row r="1480">
      <c r="A1480" s="355" t="s">
        <v>273</v>
      </c>
      <c r="B1480" s="355" t="s">
        <v>1357</v>
      </c>
      <c r="C1480" s="1562">
        <v>20298.0</v>
      </c>
      <c r="D1480" s="355">
        <v>43.0</v>
      </c>
      <c r="E1480" s="1" t="s">
        <v>1357</v>
      </c>
    </row>
    <row r="1481">
      <c r="A1481" s="355" t="s">
        <v>648</v>
      </c>
      <c r="B1481" s="355" t="s">
        <v>1357</v>
      </c>
      <c r="C1481" s="1562">
        <v>9788.0</v>
      </c>
      <c r="D1481" s="355">
        <v>20.0</v>
      </c>
      <c r="E1481" s="1" t="s">
        <v>1357</v>
      </c>
    </row>
    <row r="1482">
      <c r="A1482" s="355" t="s">
        <v>654</v>
      </c>
      <c r="B1482" s="355" t="s">
        <v>1357</v>
      </c>
      <c r="C1482" s="1562">
        <v>8792.0</v>
      </c>
      <c r="D1482" s="355">
        <v>14.0</v>
      </c>
      <c r="E1482" s="1" t="s">
        <v>1357</v>
      </c>
    </row>
    <row r="1483">
      <c r="A1483" s="355" t="s">
        <v>178</v>
      </c>
      <c r="B1483" s="355" t="s">
        <v>1357</v>
      </c>
      <c r="C1483" s="1562">
        <v>18165.0</v>
      </c>
      <c r="D1483" s="355">
        <v>39.0</v>
      </c>
      <c r="E1483" s="1" t="s">
        <v>1357</v>
      </c>
    </row>
    <row r="1484">
      <c r="A1484" s="355" t="s">
        <v>1390</v>
      </c>
      <c r="B1484" s="355" t="s">
        <v>1357</v>
      </c>
      <c r="C1484" s="1562">
        <v>12392.0</v>
      </c>
      <c r="D1484" s="355">
        <v>25.0</v>
      </c>
      <c r="E1484" s="1" t="s">
        <v>1357</v>
      </c>
    </row>
    <row r="1485">
      <c r="A1485" s="1501" t="s">
        <v>1391</v>
      </c>
      <c r="B1485" s="1501" t="s">
        <v>1357</v>
      </c>
      <c r="C1485" s="1564">
        <v>28248.0</v>
      </c>
      <c r="D1485" s="1501">
        <v>44.0</v>
      </c>
      <c r="E1485" s="1" t="s">
        <v>1357</v>
      </c>
      <c r="N1485" s="1489"/>
      <c r="O1485" s="1489"/>
      <c r="P1485" s="1489"/>
      <c r="Q1485" s="1489"/>
      <c r="R1485" s="1489"/>
      <c r="S1485" s="1489"/>
      <c r="T1485" s="1489"/>
      <c r="U1485" s="1489"/>
      <c r="V1485" s="1489"/>
      <c r="W1485" s="1489"/>
      <c r="X1485" s="1489"/>
      <c r="Y1485" s="1489"/>
      <c r="Z1485" s="1489"/>
    </row>
    <row r="1486">
      <c r="A1486" s="1490" t="s">
        <v>882</v>
      </c>
      <c r="B1486" s="1490" t="s">
        <v>410</v>
      </c>
      <c r="C1486" s="1597">
        <v>25339.0</v>
      </c>
      <c r="D1486" s="1490">
        <v>36.0</v>
      </c>
      <c r="E1486" s="1" t="s">
        <v>410</v>
      </c>
    </row>
    <row r="1487">
      <c r="A1487" s="1490" t="s">
        <v>1392</v>
      </c>
      <c r="B1487" s="1490" t="s">
        <v>410</v>
      </c>
      <c r="C1487" s="1597">
        <v>17607.0</v>
      </c>
      <c r="D1487" s="1490">
        <v>11.0</v>
      </c>
      <c r="E1487" s="1" t="s">
        <v>410</v>
      </c>
    </row>
    <row r="1488">
      <c r="A1488" s="1490" t="s">
        <v>955</v>
      </c>
      <c r="B1488" s="1490" t="s">
        <v>410</v>
      </c>
      <c r="C1488" s="1597">
        <v>5171.0</v>
      </c>
      <c r="D1488" s="1490">
        <v>16.0</v>
      </c>
      <c r="E1488" s="1" t="s">
        <v>410</v>
      </c>
    </row>
    <row r="1489">
      <c r="A1489" s="1490" t="s">
        <v>1393</v>
      </c>
      <c r="B1489" s="1490" t="s">
        <v>410</v>
      </c>
      <c r="C1489" s="1597">
        <v>25473.0</v>
      </c>
      <c r="D1489" s="1490">
        <v>38.0</v>
      </c>
      <c r="E1489" s="1" t="s">
        <v>410</v>
      </c>
      <c r="H1489" s="1489"/>
      <c r="I1489" s="1489"/>
      <c r="J1489" s="1489"/>
      <c r="K1489" s="1489"/>
      <c r="L1489" s="1489"/>
      <c r="M1489" s="1489"/>
    </row>
    <row r="1490">
      <c r="A1490" s="1490" t="s">
        <v>1240</v>
      </c>
      <c r="B1490" s="1490" t="s">
        <v>410</v>
      </c>
      <c r="C1490" s="1597">
        <v>35886.0</v>
      </c>
      <c r="D1490" s="1490">
        <v>70.0</v>
      </c>
      <c r="E1490" s="1" t="s">
        <v>410</v>
      </c>
    </row>
    <row r="1491">
      <c r="A1491" s="1490" t="s">
        <v>958</v>
      </c>
      <c r="B1491" s="1490" t="s">
        <v>410</v>
      </c>
      <c r="C1491" s="1597">
        <v>11798.0</v>
      </c>
      <c r="D1491" s="1490">
        <v>25.0</v>
      </c>
      <c r="E1491" s="1" t="s">
        <v>410</v>
      </c>
    </row>
    <row r="1492">
      <c r="A1492" s="1490" t="s">
        <v>1394</v>
      </c>
      <c r="B1492" s="1490" t="s">
        <v>410</v>
      </c>
      <c r="C1492" s="1597">
        <v>16320.0</v>
      </c>
      <c r="D1492" s="1490">
        <v>34.0</v>
      </c>
      <c r="E1492" s="1" t="s">
        <v>410</v>
      </c>
    </row>
    <row r="1493">
      <c r="A1493" s="1490" t="s">
        <v>243</v>
      </c>
      <c r="B1493" s="1490" t="s">
        <v>410</v>
      </c>
      <c r="C1493" s="1597">
        <v>19278.0</v>
      </c>
      <c r="D1493" s="1490">
        <v>27.0</v>
      </c>
      <c r="E1493" s="1" t="s">
        <v>410</v>
      </c>
    </row>
    <row r="1494">
      <c r="A1494" s="1490" t="s">
        <v>1395</v>
      </c>
      <c r="B1494" s="1490" t="s">
        <v>410</v>
      </c>
      <c r="C1494" s="1597">
        <v>12169.0</v>
      </c>
      <c r="D1494" s="1490">
        <v>13.0</v>
      </c>
      <c r="E1494" s="1" t="s">
        <v>410</v>
      </c>
    </row>
    <row r="1495">
      <c r="A1495" s="1490" t="s">
        <v>246</v>
      </c>
      <c r="B1495" s="1490" t="s">
        <v>410</v>
      </c>
      <c r="C1495" s="1597">
        <v>180005.0</v>
      </c>
      <c r="D1495" s="1490">
        <v>128.0</v>
      </c>
      <c r="E1495" s="1" t="s">
        <v>410</v>
      </c>
    </row>
    <row r="1496">
      <c r="A1496" s="1490" t="s">
        <v>892</v>
      </c>
      <c r="B1496" s="1490" t="s">
        <v>410</v>
      </c>
      <c r="C1496" s="1597">
        <v>88571.0</v>
      </c>
      <c r="D1496" s="1490">
        <v>92.0</v>
      </c>
      <c r="E1496" s="1" t="s">
        <v>410</v>
      </c>
    </row>
    <row r="1497">
      <c r="A1497" s="1490" t="s">
        <v>87</v>
      </c>
      <c r="B1497" s="1490" t="s">
        <v>410</v>
      </c>
      <c r="C1497" s="1597">
        <v>42639.0</v>
      </c>
      <c r="D1497" s="1490">
        <v>50.0</v>
      </c>
      <c r="E1497" s="1" t="s">
        <v>410</v>
      </c>
    </row>
    <row r="1498">
      <c r="A1498" s="1490" t="s">
        <v>1034</v>
      </c>
      <c r="B1498" s="1490" t="s">
        <v>410</v>
      </c>
      <c r="C1498" s="1597">
        <v>9108.0</v>
      </c>
      <c r="D1498" s="1490">
        <v>16.0</v>
      </c>
      <c r="E1498" s="1" t="s">
        <v>410</v>
      </c>
    </row>
    <row r="1499">
      <c r="A1499" s="1490" t="s">
        <v>1396</v>
      </c>
      <c r="B1499" s="1490" t="s">
        <v>410</v>
      </c>
      <c r="C1499" s="1597">
        <v>44889.0</v>
      </c>
      <c r="D1499" s="1490">
        <v>45.0</v>
      </c>
      <c r="E1499" s="1" t="s">
        <v>410</v>
      </c>
    </row>
    <row r="1500">
      <c r="A1500" s="1490" t="s">
        <v>548</v>
      </c>
      <c r="B1500" s="1490" t="s">
        <v>410</v>
      </c>
      <c r="C1500" s="1597">
        <v>45815.0</v>
      </c>
      <c r="D1500" s="1490">
        <v>39.0</v>
      </c>
      <c r="E1500" s="1" t="s">
        <v>410</v>
      </c>
    </row>
    <row r="1501">
      <c r="A1501" s="1490" t="s">
        <v>1397</v>
      </c>
      <c r="B1501" s="1490" t="s">
        <v>410</v>
      </c>
      <c r="C1501" s="1597">
        <v>78753.0</v>
      </c>
      <c r="D1501" s="1490">
        <v>83.0</v>
      </c>
      <c r="E1501" s="1" t="s">
        <v>410</v>
      </c>
    </row>
    <row r="1502">
      <c r="A1502" s="1490" t="s">
        <v>248</v>
      </c>
      <c r="B1502" s="1490" t="s">
        <v>410</v>
      </c>
      <c r="C1502" s="1597">
        <v>8743.0</v>
      </c>
      <c r="D1502" s="1490">
        <v>14.0</v>
      </c>
      <c r="E1502" s="1" t="s">
        <v>410</v>
      </c>
    </row>
    <row r="1503">
      <c r="A1503" s="1490" t="s">
        <v>1038</v>
      </c>
      <c r="B1503" s="1490" t="s">
        <v>410</v>
      </c>
      <c r="C1503" s="1597">
        <v>6054.0</v>
      </c>
      <c r="D1503" s="1490">
        <v>8.0</v>
      </c>
      <c r="E1503" s="1" t="s">
        <v>410</v>
      </c>
    </row>
    <row r="1504">
      <c r="A1504" s="1490" t="s">
        <v>708</v>
      </c>
      <c r="B1504" s="1490" t="s">
        <v>410</v>
      </c>
      <c r="C1504" s="1597">
        <v>104954.0</v>
      </c>
      <c r="D1504" s="1490">
        <v>102.0</v>
      </c>
      <c r="E1504" s="1" t="s">
        <v>410</v>
      </c>
    </row>
    <row r="1505">
      <c r="A1505" s="1490" t="s">
        <v>894</v>
      </c>
      <c r="B1505" s="1490" t="s">
        <v>410</v>
      </c>
      <c r="C1505" s="1597">
        <v>14165.0</v>
      </c>
      <c r="D1505" s="1490">
        <v>21.0</v>
      </c>
      <c r="E1505" s="1" t="s">
        <v>410</v>
      </c>
    </row>
    <row r="1506">
      <c r="A1506" s="1490" t="s">
        <v>1398</v>
      </c>
      <c r="B1506" s="1490" t="s">
        <v>410</v>
      </c>
      <c r="C1506" s="1597">
        <v>7451.0</v>
      </c>
      <c r="D1506" s="1490">
        <v>16.0</v>
      </c>
      <c r="E1506" s="1" t="s">
        <v>410</v>
      </c>
    </row>
    <row r="1507">
      <c r="A1507" s="1490" t="s">
        <v>710</v>
      </c>
      <c r="B1507" s="1490" t="s">
        <v>410</v>
      </c>
      <c r="C1507" s="1597">
        <v>86983.0</v>
      </c>
      <c r="D1507" s="1490">
        <v>73.0</v>
      </c>
      <c r="E1507" s="1" t="s">
        <v>410</v>
      </c>
    </row>
    <row r="1508">
      <c r="A1508" s="1490" t="s">
        <v>253</v>
      </c>
      <c r="B1508" s="1490" t="s">
        <v>410</v>
      </c>
      <c r="C1508" s="1597">
        <v>6842.0</v>
      </c>
      <c r="D1508" s="1490">
        <v>15.0</v>
      </c>
      <c r="E1508" s="1" t="s">
        <v>410</v>
      </c>
    </row>
    <row r="1509">
      <c r="A1509" s="1490" t="s">
        <v>112</v>
      </c>
      <c r="B1509" s="1490" t="s">
        <v>410</v>
      </c>
      <c r="C1509" s="1597">
        <v>246365.0</v>
      </c>
      <c r="D1509" s="1490">
        <v>175.0</v>
      </c>
      <c r="E1509" s="1" t="s">
        <v>410</v>
      </c>
    </row>
    <row r="1510">
      <c r="A1510" s="1490" t="s">
        <v>711</v>
      </c>
      <c r="B1510" s="1490" t="s">
        <v>410</v>
      </c>
      <c r="C1510" s="1597">
        <v>20470.0</v>
      </c>
      <c r="D1510" s="1490">
        <v>21.0</v>
      </c>
      <c r="E1510" s="1" t="s">
        <v>410</v>
      </c>
    </row>
    <row r="1511">
      <c r="A1511" s="1490" t="s">
        <v>1399</v>
      </c>
      <c r="B1511" s="1490" t="s">
        <v>410</v>
      </c>
      <c r="C1511" s="1597">
        <v>76796.0</v>
      </c>
      <c r="D1511" s="1490">
        <v>72.0</v>
      </c>
      <c r="E1511" s="1" t="s">
        <v>410</v>
      </c>
    </row>
    <row r="1512">
      <c r="A1512" s="1490" t="s">
        <v>1400</v>
      </c>
      <c r="B1512" s="1490" t="s">
        <v>410</v>
      </c>
      <c r="C1512" s="1597">
        <v>17603.0</v>
      </c>
      <c r="D1512" s="1490">
        <v>21.0</v>
      </c>
      <c r="E1512" s="1" t="s">
        <v>410</v>
      </c>
    </row>
    <row r="1513">
      <c r="A1513" s="1490" t="s">
        <v>263</v>
      </c>
      <c r="B1513" s="1490" t="s">
        <v>410</v>
      </c>
      <c r="C1513" s="1597">
        <v>23957.0</v>
      </c>
      <c r="D1513" s="1490">
        <v>46.0</v>
      </c>
      <c r="E1513" s="1" t="s">
        <v>410</v>
      </c>
    </row>
    <row r="1514">
      <c r="A1514" s="1490" t="s">
        <v>561</v>
      </c>
      <c r="B1514" s="1490" t="s">
        <v>410</v>
      </c>
      <c r="C1514" s="1597">
        <v>7569.0</v>
      </c>
      <c r="D1514" s="1490">
        <v>17.0</v>
      </c>
      <c r="E1514" s="1" t="s">
        <v>410</v>
      </c>
    </row>
    <row r="1515">
      <c r="A1515" s="1490" t="s">
        <v>130</v>
      </c>
      <c r="B1515" s="1490" t="s">
        <v>410</v>
      </c>
      <c r="C1515" s="1597">
        <v>16762.0</v>
      </c>
      <c r="D1515" s="1490">
        <v>19.0</v>
      </c>
      <c r="E1515" s="1" t="s">
        <v>410</v>
      </c>
    </row>
    <row r="1516">
      <c r="A1516" s="1490" t="s">
        <v>758</v>
      </c>
      <c r="B1516" s="1490" t="s">
        <v>410</v>
      </c>
      <c r="C1516" s="1597">
        <v>8313.0</v>
      </c>
      <c r="D1516" s="1490">
        <v>13.0</v>
      </c>
      <c r="E1516" s="1" t="s">
        <v>410</v>
      </c>
    </row>
    <row r="1517">
      <c r="A1517" s="1490" t="s">
        <v>131</v>
      </c>
      <c r="B1517" s="1490" t="s">
        <v>410</v>
      </c>
      <c r="C1517" s="1597">
        <v>12630.0</v>
      </c>
      <c r="D1517" s="1490">
        <v>14.0</v>
      </c>
      <c r="E1517" s="1" t="s">
        <v>410</v>
      </c>
    </row>
    <row r="1518">
      <c r="A1518" s="1490" t="s">
        <v>1402</v>
      </c>
      <c r="B1518" s="1490" t="s">
        <v>410</v>
      </c>
      <c r="C1518" s="1597">
        <v>15441.0</v>
      </c>
      <c r="D1518" s="1490">
        <v>32.0</v>
      </c>
      <c r="E1518" s="1" t="s">
        <v>410</v>
      </c>
    </row>
    <row r="1519">
      <c r="A1519" s="1490" t="s">
        <v>412</v>
      </c>
      <c r="B1519" s="1490" t="s">
        <v>410</v>
      </c>
      <c r="C1519" s="1597">
        <v>13373.0</v>
      </c>
      <c r="D1519" s="1490">
        <v>15.0</v>
      </c>
      <c r="E1519" s="1" t="s">
        <v>410</v>
      </c>
    </row>
    <row r="1520">
      <c r="A1520" s="1490" t="s">
        <v>1403</v>
      </c>
      <c r="B1520" s="1490" t="s">
        <v>410</v>
      </c>
      <c r="C1520" s="1597">
        <v>29423.0</v>
      </c>
      <c r="D1520" s="1490">
        <v>49.0</v>
      </c>
      <c r="E1520" s="1" t="s">
        <v>410</v>
      </c>
    </row>
    <row r="1521">
      <c r="A1521" s="1490" t="s">
        <v>136</v>
      </c>
      <c r="B1521" s="1490" t="s">
        <v>410</v>
      </c>
      <c r="C1521" s="1597">
        <v>103670.0</v>
      </c>
      <c r="D1521" s="1490">
        <v>129.0</v>
      </c>
      <c r="E1521" s="1" t="s">
        <v>410</v>
      </c>
    </row>
    <row r="1522">
      <c r="A1522" s="1490" t="s">
        <v>1404</v>
      </c>
      <c r="B1522" s="1490" t="s">
        <v>410</v>
      </c>
      <c r="C1522" s="1597">
        <v>14705.0</v>
      </c>
      <c r="D1522" s="1490">
        <v>38.0</v>
      </c>
      <c r="E1522" s="1" t="s">
        <v>410</v>
      </c>
    </row>
    <row r="1523">
      <c r="A1523" s="1490" t="s">
        <v>1405</v>
      </c>
      <c r="B1523" s="1490" t="s">
        <v>410</v>
      </c>
      <c r="C1523" s="1597">
        <v>6628.0</v>
      </c>
      <c r="D1523" s="1490">
        <v>12.0</v>
      </c>
      <c r="E1523" s="1" t="s">
        <v>410</v>
      </c>
    </row>
    <row r="1524">
      <c r="A1524" s="1490" t="s">
        <v>138</v>
      </c>
      <c r="B1524" s="1490" t="s">
        <v>410</v>
      </c>
      <c r="C1524" s="1597">
        <v>291923.0</v>
      </c>
      <c r="D1524" s="1490">
        <v>279.0</v>
      </c>
      <c r="E1524" s="1" t="s">
        <v>410</v>
      </c>
    </row>
    <row r="1525">
      <c r="A1525" s="1490" t="s">
        <v>720</v>
      </c>
      <c r="B1525" s="1490" t="s">
        <v>410</v>
      </c>
      <c r="C1525" s="1597">
        <v>9914.0</v>
      </c>
      <c r="D1525" s="1490">
        <v>21.0</v>
      </c>
      <c r="E1525" s="1" t="s">
        <v>410</v>
      </c>
    </row>
    <row r="1526">
      <c r="A1526" s="1490" t="s">
        <v>775</v>
      </c>
      <c r="B1526" s="1490" t="s">
        <v>410</v>
      </c>
      <c r="C1526" s="1597">
        <v>8414.0</v>
      </c>
      <c r="D1526" s="1490">
        <v>25.0</v>
      </c>
      <c r="E1526" s="1" t="s">
        <v>410</v>
      </c>
    </row>
    <row r="1527">
      <c r="A1527" s="1490" t="s">
        <v>140</v>
      </c>
      <c r="B1527" s="1490" t="s">
        <v>410</v>
      </c>
      <c r="C1527" s="1597">
        <v>21792.0</v>
      </c>
      <c r="D1527" s="1490">
        <v>32.0</v>
      </c>
      <c r="E1527" s="1" t="s">
        <v>410</v>
      </c>
    </row>
    <row r="1528">
      <c r="A1528" s="1490" t="s">
        <v>1406</v>
      </c>
      <c r="B1528" s="1490" t="s">
        <v>410</v>
      </c>
      <c r="C1528" s="1597">
        <v>9509.0</v>
      </c>
      <c r="D1528" s="1490">
        <v>13.0</v>
      </c>
      <c r="E1528" s="1" t="s">
        <v>410</v>
      </c>
    </row>
    <row r="1529">
      <c r="A1529" s="1490" t="s">
        <v>1407</v>
      </c>
      <c r="B1529" s="1490" t="s">
        <v>410</v>
      </c>
      <c r="C1529" s="1597">
        <v>4404.0</v>
      </c>
      <c r="D1529" s="1490">
        <v>13.0</v>
      </c>
      <c r="E1529" s="1" t="s">
        <v>410</v>
      </c>
    </row>
    <row r="1530">
      <c r="A1530" s="1490" t="s">
        <v>283</v>
      </c>
      <c r="B1530" s="1490" t="s">
        <v>410</v>
      </c>
      <c r="C1530" s="1597">
        <v>10137.0</v>
      </c>
      <c r="D1530" s="1490">
        <v>14.0</v>
      </c>
      <c r="E1530" s="1" t="s">
        <v>410</v>
      </c>
    </row>
    <row r="1531">
      <c r="A1531" s="1490" t="s">
        <v>1408</v>
      </c>
      <c r="B1531" s="1490" t="s">
        <v>410</v>
      </c>
      <c r="C1531" s="1597">
        <v>40076.0</v>
      </c>
      <c r="D1531" s="1490">
        <v>56.0</v>
      </c>
      <c r="E1531" s="1" t="s">
        <v>410</v>
      </c>
    </row>
    <row r="1532">
      <c r="A1532" s="1490" t="s">
        <v>1259</v>
      </c>
      <c r="B1532" s="1490" t="s">
        <v>410</v>
      </c>
      <c r="C1532" s="1597">
        <v>10177.0</v>
      </c>
      <c r="D1532" s="1490">
        <v>28.0</v>
      </c>
      <c r="E1532" s="1" t="s">
        <v>410</v>
      </c>
    </row>
    <row r="1533">
      <c r="A1533" s="1490" t="s">
        <v>142</v>
      </c>
      <c r="B1533" s="1490" t="s">
        <v>410</v>
      </c>
      <c r="C1533" s="1597">
        <v>700307.0</v>
      </c>
      <c r="D1533" s="1490">
        <v>629.0</v>
      </c>
      <c r="E1533" s="1" t="s">
        <v>410</v>
      </c>
    </row>
    <row r="1534">
      <c r="A1534" s="1490" t="s">
        <v>593</v>
      </c>
      <c r="B1534" s="1490" t="s">
        <v>410</v>
      </c>
      <c r="C1534" s="1597">
        <v>120636.0</v>
      </c>
      <c r="D1534" s="1490">
        <v>131.0</v>
      </c>
      <c r="E1534" s="1" t="s">
        <v>410</v>
      </c>
    </row>
    <row r="1535">
      <c r="A1535" s="1490" t="s">
        <v>143</v>
      </c>
      <c r="B1535" s="1490" t="s">
        <v>410</v>
      </c>
      <c r="C1535" s="1597">
        <v>224347.0</v>
      </c>
      <c r="D1535" s="1490">
        <v>126.0</v>
      </c>
      <c r="E1535" s="1" t="s">
        <v>410</v>
      </c>
    </row>
    <row r="1536">
      <c r="A1536" s="1490" t="s">
        <v>288</v>
      </c>
      <c r="B1536" s="1490" t="s">
        <v>410</v>
      </c>
      <c r="C1536" s="1597">
        <v>53652.0</v>
      </c>
      <c r="D1536" s="1490">
        <v>50.0</v>
      </c>
      <c r="E1536" s="1" t="s">
        <v>410</v>
      </c>
    </row>
    <row r="1537">
      <c r="A1537" s="1490" t="s">
        <v>728</v>
      </c>
      <c r="B1537" s="1490" t="s">
        <v>410</v>
      </c>
      <c r="C1537" s="1597">
        <v>3947.0</v>
      </c>
      <c r="D1537" s="1490">
        <v>6.0</v>
      </c>
      <c r="E1537" s="1" t="s">
        <v>410</v>
      </c>
    </row>
    <row r="1538">
      <c r="A1538" s="1490" t="s">
        <v>1409</v>
      </c>
      <c r="B1538" s="1490" t="s">
        <v>410</v>
      </c>
      <c r="C1538" s="1597">
        <v>35713.0</v>
      </c>
      <c r="D1538" s="1490">
        <v>56.0</v>
      </c>
      <c r="E1538" s="1" t="s">
        <v>410</v>
      </c>
    </row>
    <row r="1539">
      <c r="A1539" s="1490" t="s">
        <v>289</v>
      </c>
      <c r="B1539" s="1490" t="s">
        <v>410</v>
      </c>
      <c r="C1539" s="1597">
        <v>32598.0</v>
      </c>
      <c r="D1539" s="1490">
        <v>58.0</v>
      </c>
      <c r="E1539" s="1" t="s">
        <v>410</v>
      </c>
    </row>
    <row r="1540">
      <c r="A1540" s="1490" t="s">
        <v>146</v>
      </c>
      <c r="B1540" s="1490" t="s">
        <v>410</v>
      </c>
      <c r="C1540" s="1597">
        <v>38359.0</v>
      </c>
      <c r="D1540" s="1490">
        <v>74.0</v>
      </c>
      <c r="E1540" s="1" t="s">
        <v>410</v>
      </c>
    </row>
    <row r="1541">
      <c r="A1541" s="1490" t="s">
        <v>682</v>
      </c>
      <c r="B1541" s="1490" t="s">
        <v>410</v>
      </c>
      <c r="C1541" s="1597">
        <v>9855.0</v>
      </c>
      <c r="D1541" s="1490">
        <v>21.0</v>
      </c>
      <c r="E1541" s="1" t="s">
        <v>410</v>
      </c>
    </row>
    <row r="1542">
      <c r="A1542" s="1490" t="s">
        <v>290</v>
      </c>
      <c r="B1542" s="1490" t="s">
        <v>410</v>
      </c>
      <c r="C1542" s="1597">
        <v>57686.0</v>
      </c>
      <c r="D1542" s="1490">
        <v>52.0</v>
      </c>
      <c r="E1542" s="1" t="s">
        <v>410</v>
      </c>
    </row>
    <row r="1543">
      <c r="A1543" s="1490" t="s">
        <v>907</v>
      </c>
      <c r="B1543" s="1490" t="s">
        <v>410</v>
      </c>
      <c r="C1543" s="1597">
        <v>12037.0</v>
      </c>
      <c r="D1543" s="1490">
        <v>31.0</v>
      </c>
      <c r="E1543" s="1" t="s">
        <v>410</v>
      </c>
    </row>
    <row r="1544">
      <c r="A1544" s="1490" t="s">
        <v>730</v>
      </c>
      <c r="B1544" s="1490" t="s">
        <v>410</v>
      </c>
      <c r="C1544" s="1597">
        <v>15146.0</v>
      </c>
      <c r="D1544" s="1490">
        <v>20.0</v>
      </c>
      <c r="E1544" s="1" t="s">
        <v>410</v>
      </c>
    </row>
    <row r="1545">
      <c r="A1545" s="1490" t="s">
        <v>3729</v>
      </c>
      <c r="B1545" s="1490" t="s">
        <v>410</v>
      </c>
      <c r="C1545" s="1597">
        <v>23078.0</v>
      </c>
      <c r="D1545" s="1490">
        <v>34.0</v>
      </c>
      <c r="E1545" s="1" t="s">
        <v>410</v>
      </c>
    </row>
    <row r="1546">
      <c r="A1546" s="1490" t="s">
        <v>150</v>
      </c>
      <c r="B1546" s="1490" t="s">
        <v>410</v>
      </c>
      <c r="C1546" s="1597">
        <v>15153.0</v>
      </c>
      <c r="D1546" s="1490">
        <v>37.0</v>
      </c>
      <c r="E1546" s="1" t="s">
        <v>410</v>
      </c>
    </row>
    <row r="1547">
      <c r="A1547" s="1490" t="s">
        <v>151</v>
      </c>
      <c r="B1547" s="1490" t="s">
        <v>410</v>
      </c>
      <c r="C1547" s="1597">
        <v>12188.0</v>
      </c>
      <c r="D1547" s="1490">
        <v>21.0</v>
      </c>
      <c r="E1547" s="1" t="s">
        <v>410</v>
      </c>
    </row>
    <row r="1548">
      <c r="A1548" s="1490" t="s">
        <v>1411</v>
      </c>
      <c r="B1548" s="1490" t="s">
        <v>410</v>
      </c>
      <c r="C1548" s="1597">
        <v>8769.0</v>
      </c>
      <c r="D1548" s="1490">
        <v>15.0</v>
      </c>
      <c r="E1548" s="1" t="s">
        <v>410</v>
      </c>
    </row>
    <row r="1549">
      <c r="A1549" s="1490" t="s">
        <v>153</v>
      </c>
      <c r="B1549" s="1490" t="s">
        <v>410</v>
      </c>
      <c r="C1549" s="1597">
        <v>28592.0</v>
      </c>
      <c r="D1549" s="1490">
        <v>47.0</v>
      </c>
      <c r="E1549" s="1" t="s">
        <v>410</v>
      </c>
    </row>
    <row r="1550">
      <c r="A1550" s="1490" t="s">
        <v>738</v>
      </c>
      <c r="B1550" s="1490" t="s">
        <v>410</v>
      </c>
      <c r="C1550" s="1597">
        <v>3641.0</v>
      </c>
      <c r="D1550" s="1490">
        <v>9.0</v>
      </c>
      <c r="E1550" s="1" t="s">
        <v>410</v>
      </c>
    </row>
    <row r="1551">
      <c r="A1551" s="1490" t="s">
        <v>295</v>
      </c>
      <c r="B1551" s="1490" t="s">
        <v>410</v>
      </c>
      <c r="C1551" s="1597">
        <v>25336.0</v>
      </c>
      <c r="D1551" s="1490">
        <v>35.0</v>
      </c>
      <c r="E1551" s="1" t="s">
        <v>410</v>
      </c>
    </row>
    <row r="1552">
      <c r="A1552" s="1490" t="s">
        <v>67</v>
      </c>
      <c r="B1552" s="1490" t="s">
        <v>410</v>
      </c>
      <c r="C1552" s="1597">
        <v>13336.0</v>
      </c>
      <c r="D1552" s="1490">
        <v>26.0</v>
      </c>
      <c r="E1552" s="1" t="s">
        <v>410</v>
      </c>
    </row>
    <row r="1553">
      <c r="A1553" s="1490" t="s">
        <v>1412</v>
      </c>
      <c r="B1553" s="1490" t="s">
        <v>410</v>
      </c>
      <c r="C1553" s="1597">
        <v>16121.0</v>
      </c>
      <c r="D1553" s="1490">
        <v>28.0</v>
      </c>
      <c r="E1553" s="1" t="s">
        <v>410</v>
      </c>
    </row>
    <row r="1554">
      <c r="A1554" s="1490" t="s">
        <v>156</v>
      </c>
      <c r="B1554" s="1490" t="s">
        <v>410</v>
      </c>
      <c r="C1554" s="1597">
        <v>8664.0</v>
      </c>
      <c r="D1554" s="1490">
        <v>18.0</v>
      </c>
      <c r="E1554" s="1" t="s">
        <v>410</v>
      </c>
    </row>
    <row r="1555">
      <c r="A1555" s="1490" t="s">
        <v>157</v>
      </c>
      <c r="B1555" s="1490" t="s">
        <v>410</v>
      </c>
      <c r="C1555" s="1597">
        <v>11534.0</v>
      </c>
      <c r="D1555" s="1490">
        <v>20.0</v>
      </c>
      <c r="E1555" s="1" t="s">
        <v>410</v>
      </c>
    </row>
    <row r="1556">
      <c r="A1556" s="1490" t="s">
        <v>158</v>
      </c>
      <c r="B1556" s="1490" t="s">
        <v>410</v>
      </c>
      <c r="C1556" s="1597">
        <v>20358.0</v>
      </c>
      <c r="D1556" s="1490">
        <v>37.0</v>
      </c>
      <c r="E1556" s="1" t="s">
        <v>410</v>
      </c>
    </row>
    <row r="1557">
      <c r="A1557" s="1490" t="s">
        <v>1413</v>
      </c>
      <c r="B1557" s="1490" t="s">
        <v>410</v>
      </c>
      <c r="C1557" s="1597">
        <v>17296.0</v>
      </c>
      <c r="D1557" s="1490">
        <v>29.0</v>
      </c>
      <c r="E1557" s="1" t="s">
        <v>410</v>
      </c>
    </row>
    <row r="1558">
      <c r="A1558" s="1490" t="s">
        <v>297</v>
      </c>
      <c r="B1558" s="1490" t="s">
        <v>410</v>
      </c>
      <c r="C1558" s="1597">
        <v>58266.0</v>
      </c>
      <c r="D1558" s="1490">
        <v>73.0</v>
      </c>
      <c r="E1558" s="1" t="s">
        <v>410</v>
      </c>
    </row>
    <row r="1559">
      <c r="A1559" s="1490" t="s">
        <v>1414</v>
      </c>
      <c r="B1559" s="1490" t="s">
        <v>410</v>
      </c>
      <c r="C1559" s="1597">
        <v>22304.0</v>
      </c>
      <c r="D1559" s="1490">
        <v>24.0</v>
      </c>
      <c r="E1559" s="1" t="s">
        <v>410</v>
      </c>
    </row>
    <row r="1560">
      <c r="A1560" s="1490" t="s">
        <v>103</v>
      </c>
      <c r="B1560" s="1490" t="s">
        <v>410</v>
      </c>
      <c r="C1560" s="1597">
        <v>10541.0</v>
      </c>
      <c r="D1560" s="1490">
        <v>18.0</v>
      </c>
      <c r="E1560" s="1" t="s">
        <v>410</v>
      </c>
    </row>
    <row r="1561">
      <c r="A1561" s="1490" t="s">
        <v>996</v>
      </c>
      <c r="B1561" s="1490" t="s">
        <v>410</v>
      </c>
      <c r="C1561" s="1597">
        <v>13714.0</v>
      </c>
      <c r="D1561" s="1490">
        <v>13.0</v>
      </c>
      <c r="E1561" s="1" t="s">
        <v>410</v>
      </c>
    </row>
    <row r="1562">
      <c r="A1562" s="1490" t="s">
        <v>1415</v>
      </c>
      <c r="B1562" s="1490" t="s">
        <v>410</v>
      </c>
      <c r="C1562" s="1597">
        <v>9017.0</v>
      </c>
      <c r="D1562" s="1490">
        <v>13.0</v>
      </c>
      <c r="E1562" s="1" t="s">
        <v>410</v>
      </c>
    </row>
    <row r="1563">
      <c r="A1563" s="1490" t="s">
        <v>1416</v>
      </c>
      <c r="B1563" s="1490" t="s">
        <v>410</v>
      </c>
      <c r="C1563" s="1597">
        <v>16272.0</v>
      </c>
      <c r="D1563" s="1490">
        <v>35.0</v>
      </c>
      <c r="E1563" s="1" t="s">
        <v>410</v>
      </c>
    </row>
    <row r="1564">
      <c r="A1564" s="1490" t="s">
        <v>159</v>
      </c>
      <c r="B1564" s="1490" t="s">
        <v>410</v>
      </c>
      <c r="C1564" s="1597">
        <v>19150.0</v>
      </c>
      <c r="D1564" s="1490">
        <v>16.0</v>
      </c>
      <c r="E1564" s="1" t="s">
        <v>410</v>
      </c>
    </row>
    <row r="1565">
      <c r="A1565" s="1490" t="s">
        <v>1417</v>
      </c>
      <c r="B1565" s="1490" t="s">
        <v>410</v>
      </c>
      <c r="C1565" s="1597">
        <v>42542.0</v>
      </c>
      <c r="D1565" s="1490">
        <v>59.0</v>
      </c>
      <c r="E1565" s="1" t="s">
        <v>410</v>
      </c>
    </row>
    <row r="1566">
      <c r="A1566" s="1490" t="s">
        <v>1418</v>
      </c>
      <c r="B1566" s="1490" t="s">
        <v>410</v>
      </c>
      <c r="C1566" s="1597">
        <v>44732.0</v>
      </c>
      <c r="D1566" s="1490">
        <v>55.0</v>
      </c>
      <c r="E1566" s="1" t="s">
        <v>410</v>
      </c>
    </row>
    <row r="1567">
      <c r="A1567" s="1490" t="s">
        <v>162</v>
      </c>
      <c r="B1567" s="1490" t="s">
        <v>410</v>
      </c>
      <c r="C1567" s="1597">
        <v>18504.0</v>
      </c>
      <c r="D1567" s="1490">
        <v>23.0</v>
      </c>
      <c r="E1567" s="1" t="s">
        <v>410</v>
      </c>
    </row>
    <row r="1568">
      <c r="A1568" s="1490" t="s">
        <v>1419</v>
      </c>
      <c r="B1568" s="1490" t="s">
        <v>410</v>
      </c>
      <c r="C1568" s="1597">
        <v>102985.0</v>
      </c>
      <c r="D1568" s="1490">
        <v>59.0</v>
      </c>
      <c r="E1568" s="1" t="s">
        <v>410</v>
      </c>
    </row>
    <row r="1569">
      <c r="A1569" s="1490" t="s">
        <v>302</v>
      </c>
      <c r="B1569" s="1490" t="s">
        <v>410</v>
      </c>
      <c r="C1569" s="1597">
        <v>32201.0</v>
      </c>
      <c r="D1569" s="1490">
        <v>37.0</v>
      </c>
      <c r="E1569" s="1" t="s">
        <v>410</v>
      </c>
    </row>
    <row r="1570">
      <c r="A1570" s="1490" t="s">
        <v>305</v>
      </c>
      <c r="B1570" s="1490" t="s">
        <v>410</v>
      </c>
      <c r="C1570" s="1597">
        <v>52014.0</v>
      </c>
      <c r="D1570" s="1490">
        <v>53.0</v>
      </c>
      <c r="E1570" s="1" t="s">
        <v>410</v>
      </c>
    </row>
    <row r="1571">
      <c r="A1571" s="1490" t="s">
        <v>518</v>
      </c>
      <c r="B1571" s="1490" t="s">
        <v>410</v>
      </c>
      <c r="C1571" s="1597">
        <v>4757.0</v>
      </c>
      <c r="D1571" s="1490">
        <v>10.0</v>
      </c>
      <c r="E1571" s="1" t="s">
        <v>410</v>
      </c>
    </row>
    <row r="1572">
      <c r="A1572" s="1490" t="s">
        <v>1420</v>
      </c>
      <c r="B1572" s="1490" t="s">
        <v>410</v>
      </c>
      <c r="C1572" s="1597">
        <v>10212.0</v>
      </c>
      <c r="D1572" s="1490">
        <v>13.0</v>
      </c>
      <c r="E1572" s="1" t="s">
        <v>410</v>
      </c>
    </row>
    <row r="1573">
      <c r="A1573" s="1490" t="s">
        <v>163</v>
      </c>
      <c r="B1573" s="1490" t="s">
        <v>410</v>
      </c>
      <c r="C1573" s="1597">
        <v>24763.0</v>
      </c>
      <c r="D1573" s="1490">
        <v>37.0</v>
      </c>
      <c r="E1573" s="1" t="s">
        <v>410</v>
      </c>
    </row>
    <row r="1574">
      <c r="A1574" s="1490" t="s">
        <v>1421</v>
      </c>
      <c r="B1574" s="1490" t="s">
        <v>410</v>
      </c>
      <c r="C1574" s="1597">
        <v>22883.0</v>
      </c>
      <c r="D1574" s="1490">
        <v>32.0</v>
      </c>
      <c r="E1574" s="1" t="s">
        <v>410</v>
      </c>
    </row>
    <row r="1575">
      <c r="A1575" s="1490" t="s">
        <v>1422</v>
      </c>
      <c r="B1575" s="1490" t="s">
        <v>410</v>
      </c>
      <c r="C1575" s="1597">
        <v>6254.0</v>
      </c>
      <c r="D1575" s="1490">
        <v>17.0</v>
      </c>
      <c r="E1575" s="1" t="s">
        <v>410</v>
      </c>
    </row>
    <row r="1576">
      <c r="A1576" s="1490" t="s">
        <v>839</v>
      </c>
      <c r="B1576" s="1490" t="s">
        <v>410</v>
      </c>
      <c r="C1576" s="1597">
        <v>13401.0</v>
      </c>
      <c r="D1576" s="1490">
        <v>19.0</v>
      </c>
      <c r="E1576" s="1" t="s">
        <v>410</v>
      </c>
    </row>
    <row r="1577">
      <c r="A1577" s="1490" t="s">
        <v>2825</v>
      </c>
      <c r="B1577" s="1490" t="s">
        <v>410</v>
      </c>
      <c r="C1577" s="1597">
        <v>399182.0</v>
      </c>
      <c r="D1577" s="1490">
        <v>164.0</v>
      </c>
      <c r="E1577" s="1" t="s">
        <v>410</v>
      </c>
    </row>
    <row r="1578">
      <c r="A1578" s="1490" t="s">
        <v>768</v>
      </c>
      <c r="B1578" s="1490" t="s">
        <v>410</v>
      </c>
      <c r="C1578" s="1597">
        <v>9395.0</v>
      </c>
      <c r="D1578" s="1490">
        <v>12.0</v>
      </c>
      <c r="E1578" s="1" t="s">
        <v>410</v>
      </c>
    </row>
    <row r="1579">
      <c r="A1579" s="1490" t="s">
        <v>3749</v>
      </c>
      <c r="B1579" s="1490" t="s">
        <v>410</v>
      </c>
      <c r="C1579" s="1597">
        <v>17888.0</v>
      </c>
      <c r="D1579" s="1490">
        <v>15.0</v>
      </c>
      <c r="E1579" s="1" t="s">
        <v>410</v>
      </c>
    </row>
    <row r="1580">
      <c r="A1580" s="1490" t="s">
        <v>3750</v>
      </c>
      <c r="B1580" s="1490" t="s">
        <v>410</v>
      </c>
      <c r="C1580" s="1597">
        <v>66692.0</v>
      </c>
      <c r="D1580" s="1490">
        <v>77.0</v>
      </c>
      <c r="E1580" s="1" t="s">
        <v>410</v>
      </c>
    </row>
    <row r="1581">
      <c r="A1581" s="1490" t="s">
        <v>409</v>
      </c>
      <c r="B1581" s="1490" t="s">
        <v>410</v>
      </c>
      <c r="C1581" s="1597">
        <v>996945.0</v>
      </c>
      <c r="D1581" s="1490">
        <v>593.0</v>
      </c>
      <c r="E1581" s="1" t="s">
        <v>410</v>
      </c>
    </row>
    <row r="1582">
      <c r="A1582" s="1490" t="s">
        <v>308</v>
      </c>
      <c r="B1582" s="1490" t="s">
        <v>410</v>
      </c>
      <c r="C1582" s="1597">
        <v>22895.0</v>
      </c>
      <c r="D1582" s="1490">
        <v>39.0</v>
      </c>
      <c r="E1582" s="1" t="s">
        <v>410</v>
      </c>
    </row>
    <row r="1583">
      <c r="A1583" s="1490" t="s">
        <v>746</v>
      </c>
      <c r="B1583" s="1490" t="s">
        <v>410</v>
      </c>
      <c r="C1583" s="1597">
        <v>4599.0</v>
      </c>
      <c r="D1583" s="1490">
        <v>8.0</v>
      </c>
      <c r="E1583" s="1" t="s">
        <v>410</v>
      </c>
    </row>
    <row r="1584">
      <c r="A1584" s="1490" t="s">
        <v>1425</v>
      </c>
      <c r="B1584" s="1490" t="s">
        <v>410</v>
      </c>
      <c r="C1584" s="1597">
        <v>4966.0</v>
      </c>
      <c r="D1584" s="1490">
        <v>7.0</v>
      </c>
      <c r="E1584" s="1" t="s">
        <v>410</v>
      </c>
    </row>
    <row r="1585">
      <c r="A1585" s="1490" t="s">
        <v>309</v>
      </c>
      <c r="B1585" s="1490" t="s">
        <v>410</v>
      </c>
      <c r="C1585" s="1597">
        <v>38458.0</v>
      </c>
      <c r="D1585" s="1490">
        <v>65.0</v>
      </c>
      <c r="E1585" s="1" t="s">
        <v>410</v>
      </c>
    </row>
    <row r="1586">
      <c r="A1586" s="1490" t="s">
        <v>1426</v>
      </c>
      <c r="B1586" s="1490" t="s">
        <v>410</v>
      </c>
      <c r="C1586" s="1597">
        <v>8189.0</v>
      </c>
      <c r="D1586" s="1490">
        <v>9.0</v>
      </c>
      <c r="E1586" s="1" t="s">
        <v>410</v>
      </c>
    </row>
    <row r="1587">
      <c r="A1587" s="1490" t="s">
        <v>168</v>
      </c>
      <c r="B1587" s="1490" t="s">
        <v>410</v>
      </c>
      <c r="C1587" s="1597">
        <v>6050.0</v>
      </c>
      <c r="D1587" s="1490">
        <v>12.0</v>
      </c>
      <c r="E1587" s="1" t="s">
        <v>410</v>
      </c>
    </row>
    <row r="1588">
      <c r="A1588" s="1490" t="s">
        <v>1427</v>
      </c>
      <c r="B1588" s="1490" t="s">
        <v>410</v>
      </c>
      <c r="C1588" s="1597">
        <v>29206.0</v>
      </c>
      <c r="D1588" s="1490">
        <v>53.0</v>
      </c>
      <c r="E1588" s="1" t="s">
        <v>410</v>
      </c>
    </row>
    <row r="1589">
      <c r="A1589" s="1490" t="s">
        <v>315</v>
      </c>
      <c r="B1589" s="1490" t="s">
        <v>410</v>
      </c>
      <c r="C1589" s="1597">
        <v>31749.0</v>
      </c>
      <c r="D1589" s="1490">
        <v>43.0</v>
      </c>
      <c r="E1589" s="1" t="s">
        <v>410</v>
      </c>
    </row>
    <row r="1590">
      <c r="A1590" s="1490" t="s">
        <v>860</v>
      </c>
      <c r="B1590" s="1490" t="s">
        <v>410</v>
      </c>
      <c r="C1590" s="1597">
        <v>6221.0</v>
      </c>
      <c r="D1590" s="1490">
        <v>13.0</v>
      </c>
      <c r="E1590" s="1" t="s">
        <v>410</v>
      </c>
    </row>
    <row r="1591">
      <c r="A1591" s="1490" t="s">
        <v>1428</v>
      </c>
      <c r="B1591" s="1490" t="s">
        <v>410</v>
      </c>
      <c r="C1591" s="1597">
        <v>55852.0</v>
      </c>
      <c r="D1591" s="1490">
        <v>68.0</v>
      </c>
      <c r="E1591" s="1" t="s">
        <v>410</v>
      </c>
    </row>
    <row r="1592">
      <c r="A1592" s="1490" t="s">
        <v>113</v>
      </c>
      <c r="B1592" s="1490" t="s">
        <v>410</v>
      </c>
      <c r="C1592" s="1597">
        <v>25571.0</v>
      </c>
      <c r="D1592" s="1490">
        <v>44.0</v>
      </c>
      <c r="E1592" s="1" t="s">
        <v>410</v>
      </c>
    </row>
    <row r="1593">
      <c r="A1593" s="1490" t="s">
        <v>1181</v>
      </c>
      <c r="B1593" s="1490" t="s">
        <v>410</v>
      </c>
      <c r="C1593" s="1597">
        <v>20528.0</v>
      </c>
      <c r="D1593" s="1490">
        <v>29.0</v>
      </c>
      <c r="E1593" s="1" t="s">
        <v>410</v>
      </c>
    </row>
    <row r="1594">
      <c r="A1594" s="1490" t="s">
        <v>647</v>
      </c>
      <c r="B1594" s="1490" t="s">
        <v>410</v>
      </c>
      <c r="C1594" s="1597">
        <v>34711.0</v>
      </c>
      <c r="D1594" s="1490">
        <v>28.0</v>
      </c>
      <c r="E1594" s="1" t="s">
        <v>410</v>
      </c>
    </row>
    <row r="1595">
      <c r="A1595" s="1490" t="s">
        <v>119</v>
      </c>
      <c r="B1595" s="1490" t="s">
        <v>410</v>
      </c>
      <c r="C1595" s="1597">
        <v>24943.0</v>
      </c>
      <c r="D1595" s="1490">
        <v>39.0</v>
      </c>
      <c r="E1595" s="1" t="s">
        <v>410</v>
      </c>
    </row>
    <row r="1596">
      <c r="A1596" s="1490" t="s">
        <v>273</v>
      </c>
      <c r="B1596" s="1490" t="s">
        <v>410</v>
      </c>
      <c r="C1596" s="1597">
        <v>13122.0</v>
      </c>
      <c r="D1596" s="1490">
        <v>23.0</v>
      </c>
      <c r="E1596" s="1" t="s">
        <v>410</v>
      </c>
    </row>
    <row r="1597">
      <c r="A1597" s="1490" t="s">
        <v>648</v>
      </c>
      <c r="B1597" s="1490" t="s">
        <v>410</v>
      </c>
      <c r="C1597" s="1597">
        <v>39109.0</v>
      </c>
      <c r="D1597" s="1490">
        <v>35.0</v>
      </c>
      <c r="E1597" s="1" t="s">
        <v>410</v>
      </c>
    </row>
    <row r="1598">
      <c r="A1598" s="1490" t="s">
        <v>655</v>
      </c>
      <c r="B1598" s="1490" t="s">
        <v>410</v>
      </c>
      <c r="C1598" s="1597">
        <v>2040.0</v>
      </c>
      <c r="D1598" s="1490">
        <v>2.0</v>
      </c>
      <c r="E1598" s="1" t="s">
        <v>410</v>
      </c>
    </row>
    <row r="1599">
      <c r="A1599" s="1490" t="s">
        <v>949</v>
      </c>
      <c r="B1599" s="1490" t="s">
        <v>410</v>
      </c>
      <c r="C1599" s="1597">
        <v>18378.0</v>
      </c>
      <c r="D1599" s="1490">
        <v>27.0</v>
      </c>
      <c r="E1599" s="1" t="s">
        <v>410</v>
      </c>
    </row>
    <row r="1600">
      <c r="A1600" s="1496" t="s">
        <v>3751</v>
      </c>
      <c r="B1600" s="1496" t="s">
        <v>410</v>
      </c>
      <c r="C1600" s="1598">
        <v>302838.0</v>
      </c>
      <c r="D1600" s="1496">
        <v>349.0</v>
      </c>
      <c r="E1600" s="1624" t="s">
        <v>410</v>
      </c>
      <c r="F1600" s="1624"/>
      <c r="G1600" s="1624"/>
      <c r="N1600" s="1489"/>
      <c r="O1600" s="1489"/>
      <c r="P1600" s="1489"/>
      <c r="Q1600" s="1489"/>
      <c r="R1600" s="1489"/>
      <c r="S1600" s="1489"/>
      <c r="T1600" s="1489"/>
      <c r="U1600" s="1489"/>
      <c r="V1600" s="1489"/>
      <c r="W1600" s="1489"/>
      <c r="X1600" s="1489"/>
      <c r="Y1600" s="1489"/>
      <c r="Z1600" s="1489"/>
    </row>
    <row r="1601">
      <c r="A1601" s="355" t="s">
        <v>1431</v>
      </c>
      <c r="B1601" s="355" t="s">
        <v>1430</v>
      </c>
      <c r="C1601" s="1562">
        <v>9404.0</v>
      </c>
      <c r="D1601" s="355">
        <v>17.0</v>
      </c>
      <c r="E1601" s="1" t="s">
        <v>1430</v>
      </c>
    </row>
    <row r="1602">
      <c r="A1602" s="355" t="s">
        <v>1432</v>
      </c>
      <c r="B1602" s="355" t="s">
        <v>1430</v>
      </c>
      <c r="C1602" s="1562">
        <v>13338.0</v>
      </c>
      <c r="D1602" s="355">
        <v>13.0</v>
      </c>
      <c r="E1602" s="1" t="s">
        <v>1430</v>
      </c>
    </row>
    <row r="1603">
      <c r="A1603" s="355" t="s">
        <v>666</v>
      </c>
      <c r="B1603" s="355" t="s">
        <v>1430</v>
      </c>
      <c r="C1603" s="1562">
        <v>6807.0</v>
      </c>
      <c r="D1603" s="355">
        <v>11.0</v>
      </c>
      <c r="E1603" s="1" t="s">
        <v>1430</v>
      </c>
    </row>
    <row r="1604">
      <c r="A1604" s="355" t="s">
        <v>1433</v>
      </c>
      <c r="B1604" s="355" t="s">
        <v>1430</v>
      </c>
      <c r="C1604" s="1562">
        <v>6085.0</v>
      </c>
      <c r="D1604" s="355">
        <v>6.0</v>
      </c>
      <c r="E1604" s="1" t="s">
        <v>1430</v>
      </c>
      <c r="H1604" s="1489"/>
      <c r="I1604" s="1489"/>
      <c r="J1604" s="1489"/>
      <c r="K1604" s="1489"/>
      <c r="L1604" s="1489"/>
      <c r="M1604" s="1489"/>
    </row>
    <row r="1605">
      <c r="A1605" s="355" t="s">
        <v>1434</v>
      </c>
      <c r="B1605" s="355" t="s">
        <v>1430</v>
      </c>
      <c r="C1605" s="1562">
        <v>10714.0</v>
      </c>
      <c r="D1605" s="355">
        <v>16.0</v>
      </c>
      <c r="E1605" s="1" t="s">
        <v>1430</v>
      </c>
    </row>
    <row r="1606">
      <c r="A1606" s="355" t="s">
        <v>1038</v>
      </c>
      <c r="B1606" s="355" t="s">
        <v>1430</v>
      </c>
      <c r="C1606" s="1562">
        <v>1238.0</v>
      </c>
      <c r="D1606" s="355">
        <v>3.0</v>
      </c>
      <c r="E1606" s="1" t="s">
        <v>1430</v>
      </c>
    </row>
    <row r="1607">
      <c r="A1607" s="355" t="s">
        <v>1435</v>
      </c>
      <c r="B1607" s="355" t="s">
        <v>1430</v>
      </c>
      <c r="C1607" s="1562">
        <v>81643.0</v>
      </c>
      <c r="D1607" s="355">
        <v>80.0</v>
      </c>
      <c r="E1607" s="1" t="s">
        <v>1430</v>
      </c>
    </row>
    <row r="1608">
      <c r="A1608" s="355" t="s">
        <v>1436</v>
      </c>
      <c r="B1608" s="355" t="s">
        <v>1430</v>
      </c>
      <c r="C1608" s="1562">
        <v>5745.0</v>
      </c>
      <c r="D1608" s="355">
        <v>11.0</v>
      </c>
      <c r="E1608" s="1" t="s">
        <v>1430</v>
      </c>
    </row>
    <row r="1609">
      <c r="A1609" s="355" t="s">
        <v>406</v>
      </c>
      <c r="B1609" s="355" t="s">
        <v>1430</v>
      </c>
      <c r="C1609" s="1562">
        <v>11586.0</v>
      </c>
      <c r="D1609" s="355">
        <v>14.0</v>
      </c>
      <c r="E1609" s="1" t="s">
        <v>1430</v>
      </c>
    </row>
    <row r="1610">
      <c r="A1610" s="355" t="s">
        <v>1437</v>
      </c>
      <c r="B1610" s="355" t="s">
        <v>1430</v>
      </c>
      <c r="C1610" s="1562">
        <v>1747.0</v>
      </c>
      <c r="D1610" s="355">
        <v>6.0</v>
      </c>
      <c r="E1610" s="1" t="s">
        <v>1430</v>
      </c>
    </row>
    <row r="1611">
      <c r="A1611" s="355" t="s">
        <v>562</v>
      </c>
      <c r="B1611" s="355" t="s">
        <v>1430</v>
      </c>
      <c r="C1611" s="1562">
        <v>8680.0</v>
      </c>
      <c r="D1611" s="355">
        <v>13.0</v>
      </c>
      <c r="E1611" s="1" t="s">
        <v>1430</v>
      </c>
    </row>
    <row r="1612">
      <c r="A1612" s="355" t="s">
        <v>1438</v>
      </c>
      <c r="B1612" s="355" t="s">
        <v>1430</v>
      </c>
      <c r="C1612" s="1562">
        <v>9131.0</v>
      </c>
      <c r="D1612" s="355">
        <v>12.0</v>
      </c>
      <c r="E1612" s="1" t="s">
        <v>1430</v>
      </c>
    </row>
    <row r="1613">
      <c r="A1613" s="355" t="s">
        <v>1439</v>
      </c>
      <c r="B1613" s="355" t="s">
        <v>1430</v>
      </c>
      <c r="C1613" s="1562">
        <v>2920.0</v>
      </c>
      <c r="D1613" s="355">
        <v>10.0</v>
      </c>
      <c r="E1613" s="1" t="s">
        <v>1430</v>
      </c>
    </row>
    <row r="1614">
      <c r="A1614" s="355" t="s">
        <v>1440</v>
      </c>
      <c r="B1614" s="355" t="s">
        <v>1430</v>
      </c>
      <c r="C1614" s="1562">
        <v>11113.0</v>
      </c>
      <c r="D1614" s="355">
        <v>22.0</v>
      </c>
      <c r="E1614" s="1" t="s">
        <v>1430</v>
      </c>
    </row>
    <row r="1615">
      <c r="A1615" s="355" t="s">
        <v>1441</v>
      </c>
      <c r="B1615" s="355" t="s">
        <v>1430</v>
      </c>
      <c r="C1615" s="1562">
        <v>102106.0</v>
      </c>
      <c r="D1615" s="355">
        <v>96.0</v>
      </c>
      <c r="E1615" s="1" t="s">
        <v>1430</v>
      </c>
    </row>
    <row r="1616">
      <c r="A1616" s="355" t="s">
        <v>719</v>
      </c>
      <c r="B1616" s="355" t="s">
        <v>1430</v>
      </c>
      <c r="C1616" s="1562">
        <v>111876.0</v>
      </c>
      <c r="D1616" s="355">
        <v>70.0</v>
      </c>
      <c r="E1616" s="1" t="s">
        <v>1430</v>
      </c>
    </row>
    <row r="1617">
      <c r="A1617" s="355" t="s">
        <v>417</v>
      </c>
      <c r="B1617" s="355" t="s">
        <v>1430</v>
      </c>
      <c r="C1617" s="1562">
        <v>1268.0</v>
      </c>
      <c r="D1617" s="355">
        <v>3.0</v>
      </c>
      <c r="E1617" s="1" t="s">
        <v>1430</v>
      </c>
    </row>
    <row r="1618">
      <c r="A1618" s="355" t="s">
        <v>1442</v>
      </c>
      <c r="B1618" s="355" t="s">
        <v>1430</v>
      </c>
      <c r="C1618" s="1562">
        <v>13747.0</v>
      </c>
      <c r="D1618" s="355">
        <v>13.0</v>
      </c>
      <c r="E1618" s="1" t="s">
        <v>1430</v>
      </c>
    </row>
    <row r="1619">
      <c r="A1619" s="355" t="s">
        <v>1443</v>
      </c>
      <c r="B1619" s="355" t="s">
        <v>1430</v>
      </c>
      <c r="C1619" s="1562">
        <v>826.0</v>
      </c>
      <c r="D1619" s="355">
        <v>2.0</v>
      </c>
      <c r="E1619" s="1" t="s">
        <v>1430</v>
      </c>
    </row>
    <row r="1620">
      <c r="A1620" s="355" t="s">
        <v>1444</v>
      </c>
      <c r="B1620" s="355" t="s">
        <v>1430</v>
      </c>
      <c r="C1620" s="1562">
        <v>3378.0</v>
      </c>
      <c r="D1620" s="355">
        <v>2.0</v>
      </c>
      <c r="E1620" s="1" t="s">
        <v>1430</v>
      </c>
    </row>
    <row r="1621">
      <c r="A1621" s="355" t="s">
        <v>1445</v>
      </c>
      <c r="B1621" s="355" t="s">
        <v>1430</v>
      </c>
      <c r="C1621" s="1562">
        <v>16347.0</v>
      </c>
      <c r="D1621" s="355">
        <v>23.0</v>
      </c>
      <c r="E1621" s="1" t="s">
        <v>1430</v>
      </c>
    </row>
    <row r="1622">
      <c r="A1622" s="355" t="s">
        <v>143</v>
      </c>
      <c r="B1622" s="355" t="s">
        <v>1430</v>
      </c>
      <c r="C1622" s="1562">
        <v>12097.0</v>
      </c>
      <c r="D1622" s="355">
        <v>17.0</v>
      </c>
      <c r="E1622" s="1" t="s">
        <v>1430</v>
      </c>
    </row>
    <row r="1623">
      <c r="A1623" s="355" t="s">
        <v>1446</v>
      </c>
      <c r="B1623" s="355" t="s">
        <v>1430</v>
      </c>
      <c r="C1623" s="1562">
        <v>1952.0</v>
      </c>
      <c r="D1623" s="355">
        <v>4.0</v>
      </c>
      <c r="E1623" s="1" t="s">
        <v>1430</v>
      </c>
    </row>
    <row r="1624">
      <c r="A1624" s="355" t="s">
        <v>337</v>
      </c>
      <c r="B1624" s="355" t="s">
        <v>1430</v>
      </c>
      <c r="C1624" s="1562">
        <v>30250.0</v>
      </c>
      <c r="D1624" s="355">
        <v>35.0</v>
      </c>
      <c r="E1624" s="1" t="s">
        <v>1430</v>
      </c>
    </row>
    <row r="1625">
      <c r="A1625" s="355" t="s">
        <v>1447</v>
      </c>
      <c r="B1625" s="355" t="s">
        <v>1430</v>
      </c>
      <c r="C1625" s="1562">
        <v>68700.0</v>
      </c>
      <c r="D1625" s="355">
        <v>50.0</v>
      </c>
      <c r="E1625" s="1" t="s">
        <v>1430</v>
      </c>
    </row>
    <row r="1626">
      <c r="A1626" s="355" t="s">
        <v>508</v>
      </c>
      <c r="B1626" s="355" t="s">
        <v>1430</v>
      </c>
      <c r="C1626" s="1562">
        <v>2430.0</v>
      </c>
      <c r="D1626" s="355">
        <v>9.0</v>
      </c>
      <c r="E1626" s="1" t="s">
        <v>1430</v>
      </c>
    </row>
    <row r="1627">
      <c r="A1627" s="355" t="s">
        <v>290</v>
      </c>
      <c r="B1627" s="355" t="s">
        <v>1430</v>
      </c>
      <c r="C1627" s="1562">
        <v>19794.0</v>
      </c>
      <c r="D1627" s="355">
        <v>31.0</v>
      </c>
      <c r="E1627" s="1" t="s">
        <v>1430</v>
      </c>
    </row>
    <row r="1628">
      <c r="A1628" s="355" t="s">
        <v>4293</v>
      </c>
      <c r="B1628" s="355" t="s">
        <v>1430</v>
      </c>
      <c r="C1628" s="1562">
        <v>1675.0</v>
      </c>
      <c r="D1628" s="355">
        <v>6.0</v>
      </c>
      <c r="E1628" s="1" t="s">
        <v>1430</v>
      </c>
    </row>
    <row r="1629">
      <c r="A1629" s="355" t="s">
        <v>151</v>
      </c>
      <c r="B1629" s="355" t="s">
        <v>1430</v>
      </c>
      <c r="C1629" s="1562">
        <v>8768.0</v>
      </c>
      <c r="D1629" s="355">
        <v>19.0</v>
      </c>
      <c r="E1629" s="1" t="s">
        <v>1430</v>
      </c>
    </row>
    <row r="1630">
      <c r="A1630" s="355" t="s">
        <v>1449</v>
      </c>
      <c r="B1630" s="355" t="s">
        <v>1430</v>
      </c>
      <c r="C1630" s="1562">
        <v>1866.0</v>
      </c>
      <c r="D1630" s="355">
        <v>4.0</v>
      </c>
      <c r="E1630" s="1" t="s">
        <v>1430</v>
      </c>
    </row>
    <row r="1631">
      <c r="A1631" s="355" t="s">
        <v>435</v>
      </c>
      <c r="B1631" s="355" t="s">
        <v>1430</v>
      </c>
      <c r="C1631" s="1562">
        <v>4316.0</v>
      </c>
      <c r="D1631" s="355">
        <v>12.0</v>
      </c>
      <c r="E1631" s="1" t="s">
        <v>1430</v>
      </c>
    </row>
    <row r="1632">
      <c r="A1632" s="355" t="s">
        <v>1450</v>
      </c>
      <c r="B1632" s="355" t="s">
        <v>1430</v>
      </c>
      <c r="C1632" s="1562">
        <v>118791.0</v>
      </c>
      <c r="D1632" s="355">
        <v>74.0</v>
      </c>
      <c r="E1632" s="1" t="s">
        <v>1430</v>
      </c>
    </row>
    <row r="1633">
      <c r="A1633" s="355" t="s">
        <v>1451</v>
      </c>
      <c r="B1633" s="355" t="s">
        <v>1430</v>
      </c>
      <c r="C1633" s="1562">
        <v>4651.0</v>
      </c>
      <c r="D1633" s="355">
        <v>9.0</v>
      </c>
      <c r="E1633" s="1" t="s">
        <v>1430</v>
      </c>
    </row>
    <row r="1634">
      <c r="A1634" s="355" t="s">
        <v>445</v>
      </c>
      <c r="B1634" s="355" t="s">
        <v>1430</v>
      </c>
      <c r="C1634" s="1562">
        <v>16736.0</v>
      </c>
      <c r="D1634" s="355">
        <v>28.0</v>
      </c>
      <c r="E1634" s="1" t="s">
        <v>1430</v>
      </c>
    </row>
    <row r="1635">
      <c r="A1635" s="355" t="s">
        <v>1452</v>
      </c>
      <c r="B1635" s="355" t="s">
        <v>1430</v>
      </c>
      <c r="C1635" s="1562">
        <v>513.0</v>
      </c>
      <c r="D1635" s="355">
        <v>2.0</v>
      </c>
      <c r="E1635" s="1" t="s">
        <v>1430</v>
      </c>
    </row>
    <row r="1636">
      <c r="A1636" s="355" t="s">
        <v>300</v>
      </c>
      <c r="B1636" s="355" t="s">
        <v>1430</v>
      </c>
      <c r="C1636" s="1562">
        <v>4074.0</v>
      </c>
      <c r="D1636" s="355">
        <v>10.0</v>
      </c>
      <c r="E1636" s="1" t="s">
        <v>1430</v>
      </c>
    </row>
    <row r="1637">
      <c r="A1637" s="355" t="s">
        <v>1453</v>
      </c>
      <c r="B1637" s="355" t="s">
        <v>1430</v>
      </c>
      <c r="C1637" s="1562">
        <v>5972.0</v>
      </c>
      <c r="D1637" s="355">
        <v>14.0</v>
      </c>
      <c r="E1637" s="1" t="s">
        <v>1430</v>
      </c>
    </row>
    <row r="1638">
      <c r="A1638" s="355" t="s">
        <v>1454</v>
      </c>
      <c r="B1638" s="355" t="s">
        <v>1430</v>
      </c>
      <c r="C1638" s="1562">
        <v>1716.0</v>
      </c>
      <c r="D1638" s="355">
        <v>5.0</v>
      </c>
      <c r="E1638" s="1" t="s">
        <v>1430</v>
      </c>
    </row>
    <row r="1639">
      <c r="A1639" s="355" t="s">
        <v>1130</v>
      </c>
      <c r="B1639" s="355" t="s">
        <v>1430</v>
      </c>
      <c r="C1639" s="1562">
        <v>6968.0</v>
      </c>
      <c r="D1639" s="355">
        <v>13.0</v>
      </c>
      <c r="E1639" s="1" t="s">
        <v>1430</v>
      </c>
    </row>
    <row r="1640">
      <c r="A1640" s="355" t="s">
        <v>304</v>
      </c>
      <c r="B1640" s="355" t="s">
        <v>1430</v>
      </c>
      <c r="C1640" s="1562">
        <v>1087.0</v>
      </c>
      <c r="D1640" s="355">
        <v>5.0</v>
      </c>
      <c r="E1640" s="1" t="s">
        <v>1430</v>
      </c>
    </row>
    <row r="1641">
      <c r="A1641" s="355" t="s">
        <v>1455</v>
      </c>
      <c r="B1641" s="355" t="s">
        <v>1430</v>
      </c>
      <c r="C1641" s="1562">
        <v>43172.0</v>
      </c>
      <c r="D1641" s="355">
        <v>46.0</v>
      </c>
      <c r="E1641" s="1" t="s">
        <v>1430</v>
      </c>
    </row>
    <row r="1642">
      <c r="A1642" s="355" t="s">
        <v>743</v>
      </c>
      <c r="B1642" s="355" t="s">
        <v>1430</v>
      </c>
      <c r="C1642" s="1562">
        <v>10913.0</v>
      </c>
      <c r="D1642" s="355">
        <v>22.0</v>
      </c>
      <c r="E1642" s="1" t="s">
        <v>1430</v>
      </c>
    </row>
    <row r="1643">
      <c r="A1643" s="355" t="s">
        <v>1456</v>
      </c>
      <c r="B1643" s="355" t="s">
        <v>1430</v>
      </c>
      <c r="C1643" s="1562">
        <v>11059.0</v>
      </c>
      <c r="D1643" s="355">
        <v>18.0</v>
      </c>
      <c r="E1643" s="1" t="s">
        <v>1430</v>
      </c>
    </row>
    <row r="1644">
      <c r="A1644" s="355" t="s">
        <v>1457</v>
      </c>
      <c r="B1644" s="355" t="s">
        <v>1430</v>
      </c>
      <c r="C1644" s="1562">
        <v>9063.0</v>
      </c>
      <c r="D1644" s="355">
        <v>12.0</v>
      </c>
      <c r="E1644" s="1" t="s">
        <v>1430</v>
      </c>
    </row>
    <row r="1645">
      <c r="A1645" s="355" t="s">
        <v>1458</v>
      </c>
      <c r="B1645" s="355" t="s">
        <v>1430</v>
      </c>
      <c r="C1645" s="1562">
        <v>11844.0</v>
      </c>
      <c r="D1645" s="355">
        <v>23.0</v>
      </c>
      <c r="E1645" s="1" t="s">
        <v>1430</v>
      </c>
    </row>
    <row r="1646">
      <c r="A1646" s="355" t="s">
        <v>1010</v>
      </c>
      <c r="B1646" s="355" t="s">
        <v>1430</v>
      </c>
      <c r="C1646" s="1562">
        <v>3424.0</v>
      </c>
      <c r="D1646" s="355">
        <v>14.0</v>
      </c>
      <c r="E1646" s="1" t="s">
        <v>1430</v>
      </c>
    </row>
    <row r="1647">
      <c r="A1647" s="355" t="s">
        <v>1459</v>
      </c>
      <c r="B1647" s="355" t="s">
        <v>1430</v>
      </c>
      <c r="C1647" s="1562">
        <v>34993.0</v>
      </c>
      <c r="D1647" s="355">
        <v>24.0</v>
      </c>
      <c r="E1647" s="1" t="s">
        <v>1430</v>
      </c>
    </row>
    <row r="1648">
      <c r="A1648" s="355" t="s">
        <v>1460</v>
      </c>
      <c r="B1648" s="355" t="s">
        <v>1430</v>
      </c>
      <c r="C1648" s="1562">
        <v>9534.0</v>
      </c>
      <c r="D1648" s="355">
        <v>17.0</v>
      </c>
      <c r="E1648" s="1" t="s">
        <v>1430</v>
      </c>
    </row>
    <row r="1649">
      <c r="A1649" s="355" t="s">
        <v>1461</v>
      </c>
      <c r="B1649" s="355" t="s">
        <v>1430</v>
      </c>
      <c r="C1649" s="1562">
        <v>3710.0</v>
      </c>
      <c r="D1649" s="355">
        <v>9.0</v>
      </c>
      <c r="E1649" s="1" t="s">
        <v>1430</v>
      </c>
    </row>
    <row r="1650">
      <c r="A1650" s="355" t="s">
        <v>690</v>
      </c>
      <c r="B1650" s="355" t="s">
        <v>1430</v>
      </c>
      <c r="C1650" s="1562">
        <v>6162.0</v>
      </c>
      <c r="D1650" s="355">
        <v>18.0</v>
      </c>
      <c r="E1650" s="1" t="s">
        <v>1430</v>
      </c>
    </row>
    <row r="1651">
      <c r="A1651" s="355" t="s">
        <v>1462</v>
      </c>
      <c r="B1651" s="355" t="s">
        <v>1430</v>
      </c>
      <c r="C1651" s="1562">
        <v>4853.0</v>
      </c>
      <c r="D1651" s="355">
        <v>9.0</v>
      </c>
      <c r="E1651" s="1" t="s">
        <v>1430</v>
      </c>
    </row>
    <row r="1652">
      <c r="A1652" s="355" t="s">
        <v>1463</v>
      </c>
      <c r="B1652" s="355" t="s">
        <v>1430</v>
      </c>
      <c r="C1652" s="1562">
        <v>679.0</v>
      </c>
      <c r="D1652" s="355">
        <v>2.0</v>
      </c>
      <c r="E1652" s="1" t="s">
        <v>1430</v>
      </c>
    </row>
    <row r="1653">
      <c r="A1653" s="355" t="s">
        <v>692</v>
      </c>
      <c r="B1653" s="355" t="s">
        <v>1430</v>
      </c>
      <c r="C1653" s="1562">
        <v>7437.0</v>
      </c>
      <c r="D1653" s="355">
        <v>10.0</v>
      </c>
      <c r="E1653" s="1" t="s">
        <v>1430</v>
      </c>
    </row>
    <row r="1654">
      <c r="A1654" s="355" t="s">
        <v>1464</v>
      </c>
      <c r="B1654" s="355" t="s">
        <v>1430</v>
      </c>
      <c r="C1654" s="1562">
        <v>2236.0</v>
      </c>
      <c r="D1654" s="355">
        <v>5.0</v>
      </c>
      <c r="E1654" s="1" t="s">
        <v>1430</v>
      </c>
    </row>
    <row r="1655">
      <c r="A1655" s="355" t="s">
        <v>1465</v>
      </c>
      <c r="B1655" s="355" t="s">
        <v>1430</v>
      </c>
      <c r="C1655" s="1562">
        <v>1034.0</v>
      </c>
      <c r="D1655" s="355">
        <v>3.0</v>
      </c>
      <c r="E1655" s="1" t="s">
        <v>1430</v>
      </c>
    </row>
    <row r="1656">
      <c r="A1656" s="1501" t="s">
        <v>1466</v>
      </c>
      <c r="B1656" s="1501" t="s">
        <v>1430</v>
      </c>
      <c r="C1656" s="1564">
        <v>160137.0</v>
      </c>
      <c r="D1656" s="1501">
        <v>121.0</v>
      </c>
      <c r="E1656" s="1624" t="s">
        <v>1430</v>
      </c>
      <c r="F1656" s="1624"/>
      <c r="G1656" s="1624"/>
      <c r="N1656" s="1489"/>
      <c r="O1656" s="1489"/>
      <c r="P1656" s="1489"/>
      <c r="Q1656" s="1489"/>
      <c r="R1656" s="1489"/>
      <c r="S1656" s="1489"/>
      <c r="T1656" s="1489"/>
      <c r="U1656" s="1489"/>
      <c r="V1656" s="1489"/>
      <c r="W1656" s="1489"/>
      <c r="X1656" s="1489"/>
      <c r="Y1656" s="1489"/>
      <c r="Z1656" s="1489"/>
    </row>
    <row r="1657">
      <c r="A1657" s="1490" t="s">
        <v>386</v>
      </c>
      <c r="B1657" s="1490" t="s">
        <v>624</v>
      </c>
      <c r="C1657" s="1597">
        <v>31511.0</v>
      </c>
      <c r="D1657" s="1490">
        <v>31.0</v>
      </c>
      <c r="E1657" s="1" t="s">
        <v>624</v>
      </c>
    </row>
    <row r="1658">
      <c r="A1658" s="1490" t="s">
        <v>1467</v>
      </c>
      <c r="B1658" s="1490" t="s">
        <v>624</v>
      </c>
      <c r="C1658" s="1597">
        <v>6336.0</v>
      </c>
      <c r="D1658" s="1490">
        <v>18.0</v>
      </c>
      <c r="E1658" s="1" t="s">
        <v>624</v>
      </c>
    </row>
    <row r="1659">
      <c r="A1659" s="1490" t="s">
        <v>1468</v>
      </c>
      <c r="B1659" s="1490" t="s">
        <v>624</v>
      </c>
      <c r="C1659" s="1597">
        <v>465.0</v>
      </c>
      <c r="D1659" s="1490">
        <v>1.0</v>
      </c>
      <c r="E1659" s="1" t="s">
        <v>624</v>
      </c>
    </row>
    <row r="1660">
      <c r="A1660" s="1490" t="s">
        <v>1469</v>
      </c>
      <c r="B1660" s="1490" t="s">
        <v>624</v>
      </c>
      <c r="C1660" s="1597">
        <v>730.0</v>
      </c>
      <c r="D1660" s="1490">
        <v>1.0</v>
      </c>
      <c r="E1660" s="1" t="s">
        <v>624</v>
      </c>
      <c r="H1660" s="1489"/>
      <c r="I1660" s="1489"/>
      <c r="J1660" s="1489"/>
      <c r="K1660" s="1489"/>
      <c r="L1660" s="1489"/>
      <c r="M1660" s="1489"/>
    </row>
    <row r="1661">
      <c r="A1661" s="1490" t="s">
        <v>666</v>
      </c>
      <c r="B1661" s="1490" t="s">
        <v>624</v>
      </c>
      <c r="C1661" s="1597">
        <v>476.0</v>
      </c>
      <c r="D1661" s="1490">
        <v>4.0</v>
      </c>
      <c r="E1661" s="1" t="s">
        <v>624</v>
      </c>
    </row>
    <row r="1662">
      <c r="A1662" s="1490" t="s">
        <v>246</v>
      </c>
      <c r="B1662" s="1490" t="s">
        <v>624</v>
      </c>
      <c r="C1662" s="1597">
        <v>5239.0</v>
      </c>
      <c r="D1662" s="1490">
        <v>17.0</v>
      </c>
      <c r="E1662" s="1" t="s">
        <v>624</v>
      </c>
    </row>
    <row r="1663">
      <c r="A1663" s="1490" t="s">
        <v>1470</v>
      </c>
      <c r="B1663" s="1490" t="s">
        <v>624</v>
      </c>
      <c r="C1663" s="1597">
        <v>10772.0</v>
      </c>
      <c r="D1663" s="1490">
        <v>18.0</v>
      </c>
      <c r="E1663" s="1" t="s">
        <v>624</v>
      </c>
    </row>
    <row r="1664">
      <c r="A1664" s="1490" t="s">
        <v>1028</v>
      </c>
      <c r="B1664" s="1490" t="s">
        <v>624</v>
      </c>
      <c r="C1664" s="1597">
        <v>1955.0</v>
      </c>
      <c r="D1664" s="1490">
        <v>16.0</v>
      </c>
      <c r="E1664" s="1" t="s">
        <v>624</v>
      </c>
    </row>
    <row r="1665">
      <c r="A1665" s="1490" t="s">
        <v>706</v>
      </c>
      <c r="B1665" s="1490" t="s">
        <v>624</v>
      </c>
      <c r="C1665" s="1597">
        <v>2973.0</v>
      </c>
      <c r="D1665" s="1490">
        <v>10.0</v>
      </c>
      <c r="E1665" s="1" t="s">
        <v>624</v>
      </c>
    </row>
    <row r="1666">
      <c r="A1666" s="1490" t="s">
        <v>1471</v>
      </c>
      <c r="B1666" s="1490" t="s">
        <v>624</v>
      </c>
      <c r="C1666" s="1597">
        <v>49615.0</v>
      </c>
      <c r="D1666" s="1490">
        <v>49.0</v>
      </c>
      <c r="E1666" s="1" t="s">
        <v>624</v>
      </c>
    </row>
    <row r="1667">
      <c r="A1667" s="1490" t="s">
        <v>1472</v>
      </c>
      <c r="B1667" s="1490" t="s">
        <v>624</v>
      </c>
      <c r="C1667" s="1597">
        <v>6488.0</v>
      </c>
      <c r="D1667" s="1490">
        <v>14.0</v>
      </c>
      <c r="E1667" s="1" t="s">
        <v>624</v>
      </c>
    </row>
    <row r="1668">
      <c r="A1668" s="1490" t="s">
        <v>87</v>
      </c>
      <c r="B1668" s="1490" t="s">
        <v>624</v>
      </c>
      <c r="C1668" s="1597">
        <v>8058.0</v>
      </c>
      <c r="D1668" s="1490">
        <v>13.0</v>
      </c>
      <c r="E1668" s="1" t="s">
        <v>624</v>
      </c>
    </row>
    <row r="1669">
      <c r="A1669" s="1490" t="s">
        <v>708</v>
      </c>
      <c r="B1669" s="1490" t="s">
        <v>624</v>
      </c>
      <c r="C1669" s="1597">
        <v>26159.0</v>
      </c>
      <c r="D1669" s="1490">
        <v>30.0</v>
      </c>
      <c r="E1669" s="1" t="s">
        <v>624</v>
      </c>
    </row>
    <row r="1670">
      <c r="A1670" s="1490" t="s">
        <v>894</v>
      </c>
      <c r="B1670" s="1490" t="s">
        <v>624</v>
      </c>
      <c r="C1670" s="1597">
        <v>8446.0</v>
      </c>
      <c r="D1670" s="1490">
        <v>18.0</v>
      </c>
      <c r="E1670" s="1" t="s">
        <v>624</v>
      </c>
    </row>
    <row r="1671">
      <c r="A1671" s="1490" t="s">
        <v>960</v>
      </c>
      <c r="B1671" s="1490" t="s">
        <v>624</v>
      </c>
      <c r="C1671" s="1597">
        <v>3977.0</v>
      </c>
      <c r="D1671" s="1490">
        <v>12.0</v>
      </c>
      <c r="E1671" s="1" t="s">
        <v>624</v>
      </c>
    </row>
    <row r="1672">
      <c r="A1672" s="1490" t="s">
        <v>1473</v>
      </c>
      <c r="B1672" s="1490" t="s">
        <v>624</v>
      </c>
      <c r="C1672" s="1597">
        <v>5761.0</v>
      </c>
      <c r="D1672" s="1490">
        <v>13.0</v>
      </c>
      <c r="E1672" s="1" t="s">
        <v>624</v>
      </c>
    </row>
    <row r="1673">
      <c r="A1673" s="1490" t="s">
        <v>399</v>
      </c>
      <c r="B1673" s="1490" t="s">
        <v>624</v>
      </c>
      <c r="C1673" s="1597">
        <v>9310.0</v>
      </c>
      <c r="D1673" s="1490">
        <v>26.0</v>
      </c>
      <c r="E1673" s="1" t="s">
        <v>624</v>
      </c>
    </row>
    <row r="1674">
      <c r="A1674" s="1490" t="s">
        <v>112</v>
      </c>
      <c r="B1674" s="1490" t="s">
        <v>624</v>
      </c>
      <c r="C1674" s="1597">
        <v>6214.0</v>
      </c>
      <c r="D1674" s="1490">
        <v>18.0</v>
      </c>
      <c r="E1674" s="1" t="s">
        <v>624</v>
      </c>
    </row>
    <row r="1675">
      <c r="A1675" s="1490" t="s">
        <v>1474</v>
      </c>
      <c r="B1675" s="1490" t="s">
        <v>624</v>
      </c>
      <c r="C1675" s="1597">
        <v>10881.0</v>
      </c>
      <c r="D1675" s="1490">
        <v>12.0</v>
      </c>
      <c r="E1675" s="1" t="s">
        <v>624</v>
      </c>
    </row>
    <row r="1676">
      <c r="A1676" s="1490" t="s">
        <v>1475</v>
      </c>
      <c r="B1676" s="1490" t="s">
        <v>624</v>
      </c>
      <c r="C1676" s="1597">
        <v>8940.0</v>
      </c>
      <c r="D1676" s="1490">
        <v>21.0</v>
      </c>
      <c r="E1676" s="1" t="s">
        <v>624</v>
      </c>
    </row>
    <row r="1677">
      <c r="A1677" s="1490" t="s">
        <v>406</v>
      </c>
      <c r="B1677" s="1490" t="s">
        <v>624</v>
      </c>
      <c r="C1677" s="1597">
        <v>10840.0</v>
      </c>
      <c r="D1677" s="1490">
        <v>28.0</v>
      </c>
      <c r="E1677" s="1" t="s">
        <v>624</v>
      </c>
    </row>
    <row r="1678">
      <c r="A1678" s="1490" t="s">
        <v>1308</v>
      </c>
      <c r="B1678" s="1490" t="s">
        <v>624</v>
      </c>
      <c r="C1678" s="1597">
        <v>20083.0</v>
      </c>
      <c r="D1678" s="1490">
        <v>14.0</v>
      </c>
      <c r="E1678" s="1" t="s">
        <v>624</v>
      </c>
    </row>
    <row r="1679">
      <c r="A1679" s="1490" t="s">
        <v>1476</v>
      </c>
      <c r="B1679" s="1490" t="s">
        <v>624</v>
      </c>
      <c r="C1679" s="1597">
        <v>8716.0</v>
      </c>
      <c r="D1679" s="1490">
        <v>19.0</v>
      </c>
      <c r="E1679" s="1" t="s">
        <v>624</v>
      </c>
    </row>
    <row r="1680">
      <c r="A1680" s="1490" t="s">
        <v>562</v>
      </c>
      <c r="B1680" s="1490" t="s">
        <v>624</v>
      </c>
      <c r="C1680" s="1597">
        <v>23709.0</v>
      </c>
      <c r="D1680" s="1490">
        <v>39.0</v>
      </c>
      <c r="E1680" s="1" t="s">
        <v>624</v>
      </c>
    </row>
    <row r="1681">
      <c r="A1681" s="1490" t="s">
        <v>1477</v>
      </c>
      <c r="B1681" s="1490" t="s">
        <v>624</v>
      </c>
      <c r="C1681" s="1597">
        <v>1825.0</v>
      </c>
      <c r="D1681" s="1490">
        <v>8.0</v>
      </c>
      <c r="E1681" s="1" t="s">
        <v>624</v>
      </c>
    </row>
    <row r="1682">
      <c r="A1682" s="1490" t="s">
        <v>1478</v>
      </c>
      <c r="B1682" s="1490" t="s">
        <v>624</v>
      </c>
      <c r="C1682" s="1597">
        <v>5709.0</v>
      </c>
      <c r="D1682" s="1490">
        <v>17.0</v>
      </c>
      <c r="E1682" s="1" t="s">
        <v>624</v>
      </c>
    </row>
    <row r="1683">
      <c r="A1683" s="1490" t="s">
        <v>564</v>
      </c>
      <c r="B1683" s="1490" t="s">
        <v>624</v>
      </c>
      <c r="C1683" s="1597">
        <v>36791.0</v>
      </c>
      <c r="D1683" s="1490">
        <v>40.0</v>
      </c>
      <c r="E1683" s="1" t="s">
        <v>624</v>
      </c>
    </row>
    <row r="1684">
      <c r="A1684" s="1490" t="s">
        <v>412</v>
      </c>
      <c r="B1684" s="1490" t="s">
        <v>624</v>
      </c>
      <c r="C1684" s="1597">
        <v>566880.0</v>
      </c>
      <c r="D1684" s="1490">
        <v>300.0</v>
      </c>
      <c r="E1684" s="1" t="s">
        <v>624</v>
      </c>
    </row>
    <row r="1685">
      <c r="A1685" s="1490" t="s">
        <v>1479</v>
      </c>
      <c r="B1685" s="1490" t="s">
        <v>624</v>
      </c>
      <c r="C1685" s="1597">
        <v>1770.0</v>
      </c>
      <c r="D1685" s="1490">
        <v>7.0</v>
      </c>
      <c r="E1685" s="1" t="s">
        <v>624</v>
      </c>
    </row>
    <row r="1686">
      <c r="A1686" s="1490" t="s">
        <v>1310</v>
      </c>
      <c r="B1686" s="1490" t="s">
        <v>624</v>
      </c>
      <c r="C1686" s="1597">
        <v>5527.0</v>
      </c>
      <c r="D1686" s="1490">
        <v>15.0</v>
      </c>
      <c r="E1686" s="1" t="s">
        <v>624</v>
      </c>
    </row>
    <row r="1687">
      <c r="A1687" s="1490" t="s">
        <v>136</v>
      </c>
      <c r="B1687" s="1490" t="s">
        <v>624</v>
      </c>
      <c r="C1687" s="1597">
        <v>3023.0</v>
      </c>
      <c r="D1687" s="1490">
        <v>10.0</v>
      </c>
      <c r="E1687" s="1" t="s">
        <v>624</v>
      </c>
    </row>
    <row r="1688">
      <c r="A1688" s="1490" t="s">
        <v>1480</v>
      </c>
      <c r="B1688" s="1490" t="s">
        <v>624</v>
      </c>
      <c r="C1688" s="1597">
        <v>2608.0</v>
      </c>
      <c r="D1688" s="1490">
        <v>7.0</v>
      </c>
      <c r="E1688" s="1" t="s">
        <v>624</v>
      </c>
    </row>
    <row r="1689">
      <c r="A1689" s="1490" t="s">
        <v>1481</v>
      </c>
      <c r="B1689" s="1490" t="s">
        <v>624</v>
      </c>
      <c r="C1689" s="1597">
        <v>4715.0</v>
      </c>
      <c r="D1689" s="1490">
        <v>16.0</v>
      </c>
      <c r="E1689" s="1" t="s">
        <v>624</v>
      </c>
    </row>
    <row r="1690">
      <c r="A1690" s="1490" t="s">
        <v>1482</v>
      </c>
      <c r="B1690" s="1490" t="s">
        <v>624</v>
      </c>
      <c r="C1690" s="1597">
        <v>21493.0</v>
      </c>
      <c r="D1690" s="1490">
        <v>41.0</v>
      </c>
      <c r="E1690" s="1" t="s">
        <v>624</v>
      </c>
    </row>
    <row r="1691">
      <c r="A1691" s="1490" t="s">
        <v>1483</v>
      </c>
      <c r="B1691" s="1490" t="s">
        <v>624</v>
      </c>
      <c r="C1691" s="1597">
        <v>1897.0</v>
      </c>
      <c r="D1691" s="1490">
        <v>8.0</v>
      </c>
      <c r="E1691" s="1" t="s">
        <v>624</v>
      </c>
    </row>
    <row r="1692">
      <c r="A1692" s="1490" t="s">
        <v>417</v>
      </c>
      <c r="B1692" s="1490" t="s">
        <v>624</v>
      </c>
      <c r="C1692" s="1597">
        <v>1987.0</v>
      </c>
      <c r="D1692" s="1490">
        <v>9.0</v>
      </c>
      <c r="E1692" s="1" t="s">
        <v>624</v>
      </c>
    </row>
    <row r="1693">
      <c r="A1693" s="1490" t="s">
        <v>1484</v>
      </c>
      <c r="B1693" s="1490" t="s">
        <v>624</v>
      </c>
      <c r="C1693" s="1597">
        <v>1996.0</v>
      </c>
      <c r="D1693" s="1490">
        <v>4.0</v>
      </c>
      <c r="E1693" s="1" t="s">
        <v>624</v>
      </c>
    </row>
    <row r="1694">
      <c r="A1694" s="1490" t="s">
        <v>278</v>
      </c>
      <c r="B1694" s="1490" t="s">
        <v>624</v>
      </c>
      <c r="C1694" s="1597">
        <v>660.0</v>
      </c>
      <c r="D1694" s="1490">
        <v>2.0</v>
      </c>
      <c r="E1694" s="1" t="s">
        <v>624</v>
      </c>
    </row>
    <row r="1695">
      <c r="A1695" s="1490" t="s">
        <v>976</v>
      </c>
      <c r="B1695" s="1490" t="s">
        <v>624</v>
      </c>
      <c r="C1695" s="1597">
        <v>2356.0</v>
      </c>
      <c r="D1695" s="1490">
        <v>9.0</v>
      </c>
      <c r="E1695" s="1" t="s">
        <v>624</v>
      </c>
    </row>
    <row r="1696">
      <c r="A1696" s="1490" t="s">
        <v>586</v>
      </c>
      <c r="B1696" s="1490" t="s">
        <v>624</v>
      </c>
      <c r="C1696" s="1597">
        <v>61607.0</v>
      </c>
      <c r="D1696" s="1490">
        <v>46.0</v>
      </c>
      <c r="E1696" s="1" t="s">
        <v>624</v>
      </c>
    </row>
    <row r="1697">
      <c r="A1697" s="1490" t="s">
        <v>497</v>
      </c>
      <c r="B1697" s="1490" t="s">
        <v>624</v>
      </c>
      <c r="C1697" s="1597">
        <v>9280.0</v>
      </c>
      <c r="D1697" s="1490">
        <v>30.0</v>
      </c>
      <c r="E1697" s="1" t="s">
        <v>624</v>
      </c>
    </row>
    <row r="1698">
      <c r="A1698" s="1490" t="s">
        <v>1088</v>
      </c>
      <c r="B1698" s="1490" t="s">
        <v>624</v>
      </c>
      <c r="C1698" s="1597">
        <v>3401.0</v>
      </c>
      <c r="D1698" s="1490">
        <v>6.0</v>
      </c>
      <c r="E1698" s="1" t="s">
        <v>624</v>
      </c>
    </row>
    <row r="1699">
      <c r="A1699" s="1490" t="s">
        <v>1485</v>
      </c>
      <c r="B1699" s="1490" t="s">
        <v>624</v>
      </c>
      <c r="C1699" s="1597">
        <v>916.0</v>
      </c>
      <c r="D1699" s="1490">
        <v>1.0</v>
      </c>
      <c r="E1699" s="1" t="s">
        <v>624</v>
      </c>
    </row>
    <row r="1700">
      <c r="A1700" s="1490" t="s">
        <v>1486</v>
      </c>
      <c r="B1700" s="1490" t="s">
        <v>624</v>
      </c>
      <c r="C1700" s="1597">
        <v>2806.0</v>
      </c>
      <c r="D1700" s="1490">
        <v>7.0</v>
      </c>
      <c r="E1700" s="1" t="s">
        <v>624</v>
      </c>
    </row>
    <row r="1701">
      <c r="A1701" s="1490" t="s">
        <v>1407</v>
      </c>
      <c r="B1701" s="1490" t="s">
        <v>624</v>
      </c>
      <c r="C1701" s="1597">
        <v>10178.0</v>
      </c>
      <c r="D1701" s="1490">
        <v>27.0</v>
      </c>
      <c r="E1701" s="1" t="s">
        <v>624</v>
      </c>
    </row>
    <row r="1702">
      <c r="A1702" s="1490" t="s">
        <v>1487</v>
      </c>
      <c r="B1702" s="1490" t="s">
        <v>624</v>
      </c>
      <c r="C1702" s="1597">
        <v>682.0</v>
      </c>
      <c r="D1702" s="1490">
        <v>4.0</v>
      </c>
      <c r="E1702" s="1" t="s">
        <v>624</v>
      </c>
    </row>
    <row r="1703">
      <c r="A1703" s="1490" t="s">
        <v>283</v>
      </c>
      <c r="B1703" s="1490" t="s">
        <v>624</v>
      </c>
      <c r="C1703" s="1597">
        <v>6468.0</v>
      </c>
      <c r="D1703" s="1490">
        <v>11.0</v>
      </c>
      <c r="E1703" s="1" t="s">
        <v>624</v>
      </c>
    </row>
    <row r="1704">
      <c r="A1704" s="1490" t="s">
        <v>143</v>
      </c>
      <c r="B1704" s="1490" t="s">
        <v>624</v>
      </c>
      <c r="C1704" s="1597">
        <v>7097.0</v>
      </c>
      <c r="D1704" s="1490">
        <v>20.0</v>
      </c>
      <c r="E1704" s="1" t="s">
        <v>624</v>
      </c>
    </row>
    <row r="1705">
      <c r="A1705" s="1490" t="s">
        <v>288</v>
      </c>
      <c r="B1705" s="1490" t="s">
        <v>624</v>
      </c>
      <c r="C1705" s="1597">
        <v>5134.0</v>
      </c>
      <c r="D1705" s="1490">
        <v>7.0</v>
      </c>
      <c r="E1705" s="1" t="s">
        <v>624</v>
      </c>
    </row>
    <row r="1706">
      <c r="A1706" s="1490" t="s">
        <v>1488</v>
      </c>
      <c r="B1706" s="1490" t="s">
        <v>624</v>
      </c>
      <c r="C1706" s="1597">
        <v>6544.0</v>
      </c>
      <c r="D1706" s="1490">
        <v>11.0</v>
      </c>
      <c r="E1706" s="1" t="s">
        <v>624</v>
      </c>
    </row>
    <row r="1707">
      <c r="A1707" s="1490" t="s">
        <v>1489</v>
      </c>
      <c r="B1707" s="1490" t="s">
        <v>624</v>
      </c>
      <c r="C1707" s="1597">
        <v>8021.0</v>
      </c>
      <c r="D1707" s="1490">
        <v>21.0</v>
      </c>
      <c r="E1707" s="1" t="s">
        <v>624</v>
      </c>
    </row>
    <row r="1708">
      <c r="A1708" s="1490" t="s">
        <v>1490</v>
      </c>
      <c r="B1708" s="1490" t="s">
        <v>624</v>
      </c>
      <c r="C1708" s="1597">
        <v>810.0</v>
      </c>
      <c r="D1708" s="1490">
        <v>8.0</v>
      </c>
      <c r="E1708" s="1" t="s">
        <v>624</v>
      </c>
    </row>
    <row r="1709">
      <c r="A1709" s="1490" t="s">
        <v>1491</v>
      </c>
      <c r="B1709" s="1490" t="s">
        <v>624</v>
      </c>
      <c r="C1709" s="1597">
        <v>3618.0</v>
      </c>
      <c r="D1709" s="1490">
        <v>9.0</v>
      </c>
      <c r="E1709" s="1" t="s">
        <v>624</v>
      </c>
    </row>
    <row r="1710">
      <c r="A1710" s="1490" t="s">
        <v>728</v>
      </c>
      <c r="B1710" s="1490" t="s">
        <v>624</v>
      </c>
      <c r="C1710" s="1597">
        <v>8419.0</v>
      </c>
      <c r="D1710" s="1490">
        <v>26.0</v>
      </c>
      <c r="E1710" s="1" t="s">
        <v>624</v>
      </c>
    </row>
    <row r="1711">
      <c r="A1711" s="1490" t="s">
        <v>650</v>
      </c>
      <c r="B1711" s="1490" t="s">
        <v>624</v>
      </c>
      <c r="C1711" s="1597">
        <v>317272.0</v>
      </c>
      <c r="D1711" s="1490">
        <v>193.0</v>
      </c>
      <c r="E1711" s="1" t="s">
        <v>624</v>
      </c>
    </row>
    <row r="1712">
      <c r="A1712" s="1490" t="s">
        <v>290</v>
      </c>
      <c r="B1712" s="1490" t="s">
        <v>624</v>
      </c>
      <c r="C1712" s="1597">
        <v>35185.0</v>
      </c>
      <c r="D1712" s="1490">
        <v>50.0</v>
      </c>
      <c r="E1712" s="1" t="s">
        <v>624</v>
      </c>
    </row>
    <row r="1713">
      <c r="A1713" s="1490" t="s">
        <v>293</v>
      </c>
      <c r="B1713" s="1490" t="s">
        <v>624</v>
      </c>
      <c r="C1713" s="1597">
        <v>749.0</v>
      </c>
      <c r="D1713" s="1490">
        <v>3.0</v>
      </c>
      <c r="E1713" s="1" t="s">
        <v>624</v>
      </c>
    </row>
    <row r="1714">
      <c r="A1714" s="1490" t="s">
        <v>1492</v>
      </c>
      <c r="B1714" s="1490" t="s">
        <v>624</v>
      </c>
      <c r="C1714" s="1597">
        <v>618.0</v>
      </c>
      <c r="D1714" s="1490">
        <v>4.0</v>
      </c>
      <c r="E1714" s="1" t="s">
        <v>624</v>
      </c>
    </row>
    <row r="1715">
      <c r="A1715" s="1490" t="s">
        <v>988</v>
      </c>
      <c r="B1715" s="1490" t="s">
        <v>624</v>
      </c>
      <c r="C1715" s="1597">
        <v>492.0</v>
      </c>
      <c r="D1715" s="1490">
        <v>1.0</v>
      </c>
      <c r="E1715" s="1" t="s">
        <v>624</v>
      </c>
    </row>
    <row r="1716">
      <c r="A1716" s="1490" t="s">
        <v>151</v>
      </c>
      <c r="B1716" s="1490" t="s">
        <v>624</v>
      </c>
      <c r="C1716" s="1597">
        <v>35392.0</v>
      </c>
      <c r="D1716" s="1490">
        <v>43.0</v>
      </c>
      <c r="E1716" s="1" t="s">
        <v>624</v>
      </c>
    </row>
    <row r="1717">
      <c r="A1717" s="1490" t="s">
        <v>1493</v>
      </c>
      <c r="B1717" s="1490" t="s">
        <v>624</v>
      </c>
      <c r="C1717" s="1597">
        <v>7733.0</v>
      </c>
      <c r="D1717" s="1490">
        <v>16.0</v>
      </c>
      <c r="E1717" s="1" t="s">
        <v>624</v>
      </c>
    </row>
    <row r="1718">
      <c r="A1718" s="1490" t="s">
        <v>1494</v>
      </c>
      <c r="B1718" s="1490" t="s">
        <v>624</v>
      </c>
      <c r="C1718" s="1597">
        <v>4686.0</v>
      </c>
      <c r="D1718" s="1490">
        <v>12.0</v>
      </c>
      <c r="E1718" s="1" t="s">
        <v>624</v>
      </c>
    </row>
    <row r="1719">
      <c r="A1719" s="1490" t="s">
        <v>1495</v>
      </c>
      <c r="B1719" s="1490" t="s">
        <v>624</v>
      </c>
      <c r="C1719" s="1597">
        <v>3532.0</v>
      </c>
      <c r="D1719" s="1490">
        <v>4.0</v>
      </c>
      <c r="E1719" s="1" t="s">
        <v>624</v>
      </c>
    </row>
    <row r="1720">
      <c r="A1720" s="1490" t="s">
        <v>992</v>
      </c>
      <c r="B1720" s="1490" t="s">
        <v>624</v>
      </c>
      <c r="C1720" s="1597">
        <v>6958.0</v>
      </c>
      <c r="D1720" s="1490">
        <v>13.0</v>
      </c>
      <c r="E1720" s="1" t="s">
        <v>624</v>
      </c>
    </row>
    <row r="1721">
      <c r="A1721" s="1490" t="s">
        <v>1496</v>
      </c>
      <c r="B1721" s="1490" t="s">
        <v>624</v>
      </c>
      <c r="C1721" s="1597">
        <v>4195.0</v>
      </c>
      <c r="D1721" s="1490">
        <v>16.0</v>
      </c>
      <c r="E1721" s="1" t="s">
        <v>624</v>
      </c>
    </row>
    <row r="1722">
      <c r="A1722" s="1490" t="s">
        <v>1497</v>
      </c>
      <c r="B1722" s="1490" t="s">
        <v>624</v>
      </c>
      <c r="C1722" s="1597">
        <v>15985.0</v>
      </c>
      <c r="D1722" s="1490">
        <v>33.0</v>
      </c>
      <c r="E1722" s="1" t="s">
        <v>624</v>
      </c>
    </row>
    <row r="1723">
      <c r="A1723" s="1490" t="s">
        <v>999</v>
      </c>
      <c r="B1723" s="1490" t="s">
        <v>624</v>
      </c>
      <c r="C1723" s="1597">
        <v>2632.0</v>
      </c>
      <c r="D1723" s="1490">
        <v>6.0</v>
      </c>
      <c r="E1723" s="1" t="s">
        <v>624</v>
      </c>
    </row>
    <row r="1724">
      <c r="A1724" s="1490" t="s">
        <v>1498</v>
      </c>
      <c r="B1724" s="1490" t="s">
        <v>624</v>
      </c>
      <c r="C1724" s="1597">
        <v>2929.0</v>
      </c>
      <c r="D1724" s="1490">
        <v>10.0</v>
      </c>
      <c r="E1724" s="1" t="s">
        <v>624</v>
      </c>
    </row>
    <row r="1725">
      <c r="A1725" s="1490" t="s">
        <v>1418</v>
      </c>
      <c r="B1725" s="1490" t="s">
        <v>624</v>
      </c>
      <c r="C1725" s="1597">
        <v>8996.0</v>
      </c>
      <c r="D1725" s="1490">
        <v>20.0</v>
      </c>
      <c r="E1725" s="1" t="s">
        <v>624</v>
      </c>
    </row>
    <row r="1726">
      <c r="A1726" s="1490" t="s">
        <v>473</v>
      </c>
      <c r="B1726" s="1490" t="s">
        <v>624</v>
      </c>
      <c r="C1726" s="1597">
        <v>7142.0</v>
      </c>
      <c r="D1726" s="1490">
        <v>15.0</v>
      </c>
      <c r="E1726" s="1" t="s">
        <v>624</v>
      </c>
    </row>
    <row r="1727">
      <c r="A1727" s="1490" t="s">
        <v>1419</v>
      </c>
      <c r="B1727" s="1490" t="s">
        <v>624</v>
      </c>
      <c r="C1727" s="1597">
        <v>33363.0</v>
      </c>
      <c r="D1727" s="1490">
        <v>41.0</v>
      </c>
      <c r="E1727" s="1" t="s">
        <v>624</v>
      </c>
    </row>
    <row r="1728">
      <c r="A1728" s="1490" t="s">
        <v>302</v>
      </c>
      <c r="B1728" s="1490" t="s">
        <v>624</v>
      </c>
      <c r="C1728" s="1597">
        <v>5278.0</v>
      </c>
      <c r="D1728" s="1490">
        <v>18.0</v>
      </c>
      <c r="E1728" s="1" t="s">
        <v>624</v>
      </c>
    </row>
    <row r="1729">
      <c r="A1729" s="1490" t="s">
        <v>1499</v>
      </c>
      <c r="B1729" s="1490" t="s">
        <v>624</v>
      </c>
      <c r="C1729" s="1597">
        <v>10726.0</v>
      </c>
      <c r="D1729" s="1490">
        <v>18.0</v>
      </c>
      <c r="E1729" s="1" t="s">
        <v>624</v>
      </c>
    </row>
    <row r="1730">
      <c r="A1730" s="1490" t="s">
        <v>1500</v>
      </c>
      <c r="B1730" s="1490" t="s">
        <v>624</v>
      </c>
      <c r="C1730" s="1597">
        <v>7937.0</v>
      </c>
      <c r="D1730" s="1490">
        <v>31.0</v>
      </c>
      <c r="E1730" s="1" t="s">
        <v>624</v>
      </c>
    </row>
    <row r="1731">
      <c r="A1731" s="1490" t="s">
        <v>1341</v>
      </c>
      <c r="B1731" s="1490" t="s">
        <v>624</v>
      </c>
      <c r="C1731" s="1597">
        <v>1360.0</v>
      </c>
      <c r="D1731" s="1490">
        <v>5.0</v>
      </c>
      <c r="E1731" s="1" t="s">
        <v>624</v>
      </c>
    </row>
    <row r="1732">
      <c r="A1732" s="1490" t="s">
        <v>308</v>
      </c>
      <c r="B1732" s="1490" t="s">
        <v>624</v>
      </c>
      <c r="C1732" s="1597">
        <v>14350.0</v>
      </c>
      <c r="D1732" s="1490">
        <v>15.0</v>
      </c>
      <c r="E1732" s="1" t="s">
        <v>624</v>
      </c>
    </row>
    <row r="1733">
      <c r="A1733" s="1490" t="s">
        <v>1501</v>
      </c>
      <c r="B1733" s="1490" t="s">
        <v>624</v>
      </c>
      <c r="C1733" s="1597">
        <v>184459.0</v>
      </c>
      <c r="D1733" s="1490">
        <v>69.0</v>
      </c>
      <c r="E1733" s="1" t="s">
        <v>624</v>
      </c>
    </row>
    <row r="1734">
      <c r="A1734" s="1490" t="s">
        <v>1502</v>
      </c>
      <c r="B1734" s="1490" t="s">
        <v>624</v>
      </c>
      <c r="C1734" s="1597">
        <v>21303.0</v>
      </c>
      <c r="D1734" s="1490">
        <v>37.0</v>
      </c>
      <c r="E1734" s="1" t="s">
        <v>624</v>
      </c>
    </row>
    <row r="1735">
      <c r="A1735" s="1490" t="s">
        <v>1503</v>
      </c>
      <c r="B1735" s="1490" t="s">
        <v>624</v>
      </c>
      <c r="C1735" s="1597">
        <v>35989.0</v>
      </c>
      <c r="D1735" s="1490">
        <v>54.0</v>
      </c>
      <c r="E1735" s="1" t="s">
        <v>624</v>
      </c>
    </row>
    <row r="1736">
      <c r="A1736" s="1490" t="s">
        <v>1008</v>
      </c>
      <c r="B1736" s="1490" t="s">
        <v>624</v>
      </c>
      <c r="C1736" s="1597">
        <v>17318.0</v>
      </c>
      <c r="D1736" s="1490">
        <v>36.0</v>
      </c>
      <c r="E1736" s="1" t="s">
        <v>624</v>
      </c>
    </row>
    <row r="1737">
      <c r="A1737" s="1490" t="s">
        <v>1010</v>
      </c>
      <c r="B1737" s="1490" t="s">
        <v>624</v>
      </c>
      <c r="C1737" s="1597">
        <v>5190.0</v>
      </c>
      <c r="D1737" s="1490">
        <v>18.0</v>
      </c>
      <c r="E1737" s="1" t="s">
        <v>624</v>
      </c>
    </row>
    <row r="1738">
      <c r="A1738" s="1490" t="s">
        <v>1011</v>
      </c>
      <c r="B1738" s="1490" t="s">
        <v>624</v>
      </c>
      <c r="C1738" s="1597">
        <v>3038.0</v>
      </c>
      <c r="D1738" s="1490">
        <v>8.0</v>
      </c>
      <c r="E1738" s="1" t="s">
        <v>624</v>
      </c>
    </row>
    <row r="1739">
      <c r="A1739" s="1490" t="s">
        <v>937</v>
      </c>
      <c r="B1739" s="1490" t="s">
        <v>624</v>
      </c>
      <c r="C1739" s="1597">
        <v>1187.0</v>
      </c>
      <c r="D1739" s="1490">
        <v>4.0</v>
      </c>
      <c r="E1739" s="1" t="s">
        <v>624</v>
      </c>
    </row>
    <row r="1740">
      <c r="A1740" s="1490" t="s">
        <v>1014</v>
      </c>
      <c r="B1740" s="1490" t="s">
        <v>624</v>
      </c>
      <c r="C1740" s="1597">
        <v>5970.0</v>
      </c>
      <c r="D1740" s="1490">
        <v>10.0</v>
      </c>
      <c r="E1740" s="1" t="s">
        <v>624</v>
      </c>
    </row>
    <row r="1741">
      <c r="A1741" s="1490" t="s">
        <v>1504</v>
      </c>
      <c r="B1741" s="1490" t="s">
        <v>624</v>
      </c>
      <c r="C1741" s="1597">
        <v>5039.0</v>
      </c>
      <c r="D1741" s="1490">
        <v>21.0</v>
      </c>
      <c r="E1741" s="1" t="s">
        <v>624</v>
      </c>
    </row>
    <row r="1742">
      <c r="A1742" s="1490" t="s">
        <v>636</v>
      </c>
      <c r="B1742" s="1490" t="s">
        <v>624</v>
      </c>
      <c r="C1742" s="1597">
        <v>720.0</v>
      </c>
      <c r="D1742" s="1490">
        <v>2.0</v>
      </c>
      <c r="E1742" s="1" t="s">
        <v>624</v>
      </c>
    </row>
    <row r="1743">
      <c r="A1743" s="1490" t="s">
        <v>1505</v>
      </c>
      <c r="B1743" s="1490" t="s">
        <v>624</v>
      </c>
      <c r="C1743" s="1597">
        <v>7303.0</v>
      </c>
      <c r="D1743" s="1490">
        <v>9.0</v>
      </c>
      <c r="E1743" s="1" t="s">
        <v>624</v>
      </c>
    </row>
    <row r="1744">
      <c r="A1744" s="1490" t="s">
        <v>692</v>
      </c>
      <c r="B1744" s="1490" t="s">
        <v>624</v>
      </c>
      <c r="C1744" s="1597">
        <v>4190.0</v>
      </c>
      <c r="D1744" s="1490">
        <v>10.0</v>
      </c>
      <c r="E1744" s="1" t="s">
        <v>624</v>
      </c>
    </row>
    <row r="1745">
      <c r="A1745" s="1490" t="s">
        <v>119</v>
      </c>
      <c r="B1745" s="1490" t="s">
        <v>624</v>
      </c>
      <c r="C1745" s="1597">
        <v>20667.0</v>
      </c>
      <c r="D1745" s="1490">
        <v>25.0</v>
      </c>
      <c r="E1745" s="1" t="s">
        <v>624</v>
      </c>
    </row>
    <row r="1746">
      <c r="A1746" s="1490" t="s">
        <v>273</v>
      </c>
      <c r="B1746" s="1490" t="s">
        <v>624</v>
      </c>
      <c r="C1746" s="1597">
        <v>9403.0</v>
      </c>
      <c r="D1746" s="1490">
        <v>13.0</v>
      </c>
      <c r="E1746" s="1" t="s">
        <v>624</v>
      </c>
    </row>
    <row r="1747">
      <c r="A1747" s="1490" t="s">
        <v>648</v>
      </c>
      <c r="B1747" s="1490" t="s">
        <v>624</v>
      </c>
      <c r="C1747" s="1597">
        <v>3533.0</v>
      </c>
      <c r="D1747" s="1490">
        <v>10.0</v>
      </c>
      <c r="E1747" s="1" t="s">
        <v>624</v>
      </c>
    </row>
    <row r="1748">
      <c r="A1748" s="1490" t="s">
        <v>649</v>
      </c>
      <c r="B1748" s="1490" t="s">
        <v>624</v>
      </c>
      <c r="C1748" s="1597">
        <v>805.0</v>
      </c>
      <c r="D1748" s="1490" t="s">
        <v>63</v>
      </c>
      <c r="E1748" s="1"/>
    </row>
    <row r="1749">
      <c r="A1749" s="1496" t="s">
        <v>1196</v>
      </c>
      <c r="B1749" s="1496" t="s">
        <v>624</v>
      </c>
      <c r="C1749" s="1598">
        <v>13772.0</v>
      </c>
      <c r="D1749" s="1496">
        <v>25.0</v>
      </c>
      <c r="E1749" s="1" t="s">
        <v>624</v>
      </c>
      <c r="N1749" s="1489"/>
      <c r="O1749" s="1489"/>
      <c r="P1749" s="1489"/>
      <c r="Q1749" s="1489"/>
      <c r="R1749" s="1489"/>
      <c r="S1749" s="1489"/>
      <c r="T1749" s="1489"/>
      <c r="U1749" s="1489"/>
      <c r="V1749" s="1489"/>
      <c r="W1749" s="1489"/>
      <c r="X1749" s="1489"/>
      <c r="Y1749" s="1489"/>
      <c r="Z1749" s="1489"/>
    </row>
    <row r="1750">
      <c r="A1750" s="355" t="s">
        <v>1506</v>
      </c>
      <c r="B1750" s="355" t="s">
        <v>259</v>
      </c>
      <c r="C1750" s="1562">
        <v>24440.0</v>
      </c>
      <c r="D1750" s="355">
        <v>14.0</v>
      </c>
      <c r="E1750" s="1" t="s">
        <v>259</v>
      </c>
    </row>
    <row r="1751">
      <c r="A1751" s="355" t="s">
        <v>253</v>
      </c>
      <c r="B1751" s="355" t="s">
        <v>259</v>
      </c>
      <c r="C1751" s="1562">
        <v>2231647.0</v>
      </c>
      <c r="D1751" s="355">
        <v>440.0</v>
      </c>
      <c r="E1751" s="1" t="s">
        <v>259</v>
      </c>
    </row>
    <row r="1752">
      <c r="A1752" s="355" t="s">
        <v>412</v>
      </c>
      <c r="B1752" s="355" t="s">
        <v>259</v>
      </c>
      <c r="C1752" s="1562">
        <v>48467.0</v>
      </c>
      <c r="D1752" s="355">
        <v>24.0</v>
      </c>
      <c r="E1752" s="1" t="s">
        <v>259</v>
      </c>
    </row>
    <row r="1753">
      <c r="A1753" s="355" t="s">
        <v>1507</v>
      </c>
      <c r="B1753" s="355" t="s">
        <v>259</v>
      </c>
      <c r="C1753" s="1562">
        <v>52460.0</v>
      </c>
      <c r="D1753" s="355">
        <v>34.0</v>
      </c>
      <c r="E1753" s="1" t="s">
        <v>259</v>
      </c>
      <c r="H1753" s="1489"/>
      <c r="I1753" s="1489"/>
      <c r="J1753" s="1489"/>
      <c r="K1753" s="1489"/>
      <c r="L1753" s="1489"/>
      <c r="M1753" s="1489"/>
    </row>
    <row r="1754">
      <c r="A1754" s="355" t="s">
        <v>1508</v>
      </c>
      <c r="B1754" s="355" t="s">
        <v>259</v>
      </c>
      <c r="C1754" s="1562">
        <v>826.0</v>
      </c>
      <c r="D1754" s="355" t="s">
        <v>63</v>
      </c>
      <c r="E1754" s="1"/>
    </row>
    <row r="1755">
      <c r="A1755" s="355" t="s">
        <v>1509</v>
      </c>
      <c r="B1755" s="355" t="s">
        <v>259</v>
      </c>
      <c r="C1755" s="1562">
        <v>2003.0</v>
      </c>
      <c r="D1755" s="355">
        <v>1.0</v>
      </c>
      <c r="E1755" s="1" t="s">
        <v>259</v>
      </c>
    </row>
    <row r="1756">
      <c r="A1756" s="355" t="s">
        <v>333</v>
      </c>
      <c r="B1756" s="355" t="s">
        <v>259</v>
      </c>
      <c r="C1756" s="1562">
        <v>16786.0</v>
      </c>
      <c r="D1756" s="355">
        <v>11.0</v>
      </c>
      <c r="E1756" s="1" t="s">
        <v>259</v>
      </c>
    </row>
    <row r="1757">
      <c r="A1757" s="355" t="s">
        <v>1510</v>
      </c>
      <c r="B1757" s="355" t="s">
        <v>259</v>
      </c>
      <c r="C1757" s="1562">
        <v>5575.0</v>
      </c>
      <c r="D1757" s="355">
        <v>6.0</v>
      </c>
      <c r="E1757" s="1" t="s">
        <v>259</v>
      </c>
    </row>
    <row r="1758">
      <c r="A1758" s="355" t="s">
        <v>290</v>
      </c>
      <c r="B1758" s="355" t="s">
        <v>259</v>
      </c>
      <c r="C1758" s="1562">
        <v>5201.0</v>
      </c>
      <c r="D1758" s="355">
        <v>11.0</v>
      </c>
      <c r="E1758" s="1" t="s">
        <v>259</v>
      </c>
    </row>
    <row r="1759">
      <c r="A1759" s="355" t="s">
        <v>910</v>
      </c>
      <c r="B1759" s="355" t="s">
        <v>259</v>
      </c>
      <c r="C1759" s="1562">
        <v>55808.0</v>
      </c>
      <c r="D1759" s="355">
        <v>37.0</v>
      </c>
      <c r="E1759" s="1" t="s">
        <v>259</v>
      </c>
    </row>
    <row r="1760">
      <c r="A1760" s="355" t="s">
        <v>435</v>
      </c>
      <c r="B1760" s="355" t="s">
        <v>259</v>
      </c>
      <c r="C1760" s="1562">
        <v>4514.0</v>
      </c>
      <c r="D1760" s="355">
        <v>12.0</v>
      </c>
      <c r="E1760" s="1" t="s">
        <v>259</v>
      </c>
    </row>
    <row r="1761">
      <c r="A1761" s="355" t="s">
        <v>1511</v>
      </c>
      <c r="B1761" s="355" t="s">
        <v>259</v>
      </c>
      <c r="C1761" s="1562">
        <v>45346.0</v>
      </c>
      <c r="D1761" s="355">
        <v>30.0</v>
      </c>
      <c r="E1761" s="1" t="s">
        <v>259</v>
      </c>
    </row>
    <row r="1762">
      <c r="A1762" s="355" t="s">
        <v>1512</v>
      </c>
      <c r="B1762" s="355" t="s">
        <v>259</v>
      </c>
      <c r="C1762" s="1562">
        <v>6666.0</v>
      </c>
      <c r="D1762" s="355">
        <v>6.0</v>
      </c>
      <c r="E1762" s="1" t="s">
        <v>259</v>
      </c>
    </row>
    <row r="1763">
      <c r="A1763" s="355" t="s">
        <v>1513</v>
      </c>
      <c r="B1763" s="355" t="s">
        <v>259</v>
      </c>
      <c r="C1763" s="1562">
        <v>4029.0</v>
      </c>
      <c r="D1763" s="355">
        <v>1.0</v>
      </c>
      <c r="E1763" s="1" t="s">
        <v>259</v>
      </c>
    </row>
    <row r="1764">
      <c r="A1764" s="355" t="s">
        <v>1514</v>
      </c>
      <c r="B1764" s="355" t="s">
        <v>259</v>
      </c>
      <c r="C1764" s="1562">
        <v>465735.0</v>
      </c>
      <c r="D1764" s="355">
        <v>136.0</v>
      </c>
      <c r="E1764" s="1" t="s">
        <v>259</v>
      </c>
    </row>
    <row r="1765">
      <c r="A1765" s="355" t="s">
        <v>1515</v>
      </c>
      <c r="B1765" s="355" t="s">
        <v>259</v>
      </c>
      <c r="C1765" s="1562">
        <v>9475.0</v>
      </c>
      <c r="D1765" s="355">
        <v>8.0</v>
      </c>
      <c r="E1765" s="1" t="s">
        <v>259</v>
      </c>
    </row>
    <row r="1766">
      <c r="A1766" s="1501" t="s">
        <v>1516</v>
      </c>
      <c r="B1766" s="1501" t="s">
        <v>259</v>
      </c>
      <c r="C1766" s="1564">
        <v>55414.0</v>
      </c>
      <c r="D1766" s="1501">
        <v>23.0</v>
      </c>
      <c r="E1766" s="1" t="s">
        <v>259</v>
      </c>
      <c r="N1766" s="1489"/>
      <c r="O1766" s="1489"/>
      <c r="P1766" s="1489"/>
      <c r="Q1766" s="1489"/>
      <c r="R1766" s="1489"/>
      <c r="S1766" s="1489"/>
      <c r="T1766" s="1489"/>
      <c r="U1766" s="1489"/>
      <c r="V1766" s="1489"/>
      <c r="W1766" s="1489"/>
      <c r="X1766" s="1489"/>
      <c r="Y1766" s="1489"/>
      <c r="Z1766" s="1489"/>
    </row>
    <row r="1767">
      <c r="A1767" s="1490" t="s">
        <v>1518</v>
      </c>
      <c r="B1767" s="1490" t="s">
        <v>1517</v>
      </c>
      <c r="C1767" s="1597">
        <v>61022.0</v>
      </c>
      <c r="D1767" s="1490">
        <v>56.0</v>
      </c>
      <c r="E1767" s="1" t="s">
        <v>1517</v>
      </c>
    </row>
    <row r="1768">
      <c r="A1768" s="1490" t="s">
        <v>248</v>
      </c>
      <c r="B1768" s="1490" t="s">
        <v>1517</v>
      </c>
      <c r="C1768" s="1597">
        <v>48779.0</v>
      </c>
      <c r="D1768" s="1490">
        <v>46.0</v>
      </c>
      <c r="E1768" s="1" t="s">
        <v>1517</v>
      </c>
    </row>
    <row r="1769">
      <c r="A1769" s="1490" t="s">
        <v>1519</v>
      </c>
      <c r="B1769" s="1490" t="s">
        <v>1517</v>
      </c>
      <c r="C1769" s="1597">
        <v>76493.0</v>
      </c>
      <c r="D1769" s="1490">
        <v>63.0</v>
      </c>
      <c r="E1769" s="1" t="s">
        <v>1517</v>
      </c>
    </row>
    <row r="1770">
      <c r="A1770" s="1490" t="s">
        <v>1520</v>
      </c>
      <c r="B1770" s="1490" t="s">
        <v>1517</v>
      </c>
      <c r="C1770" s="1597">
        <v>31589.0</v>
      </c>
      <c r="D1770" s="1490">
        <v>39.0</v>
      </c>
      <c r="E1770" s="1" t="s">
        <v>1517</v>
      </c>
      <c r="H1770" s="1489"/>
      <c r="I1770" s="1489"/>
      <c r="J1770" s="1489"/>
      <c r="K1770" s="1489"/>
      <c r="L1770" s="1489"/>
      <c r="M1770" s="1489"/>
    </row>
    <row r="1771">
      <c r="A1771" s="1490" t="s">
        <v>1521</v>
      </c>
      <c r="B1771" s="1490" t="s">
        <v>1517</v>
      </c>
      <c r="C1771" s="1597">
        <v>89786.0</v>
      </c>
      <c r="D1771" s="1490">
        <v>87.0</v>
      </c>
      <c r="E1771" s="1" t="s">
        <v>1517</v>
      </c>
    </row>
    <row r="1772">
      <c r="A1772" s="1490" t="s">
        <v>306</v>
      </c>
      <c r="B1772" s="1490" t="s">
        <v>1517</v>
      </c>
      <c r="C1772" s="1597">
        <v>415247.0</v>
      </c>
      <c r="D1772" s="1490">
        <v>181.0</v>
      </c>
      <c r="E1772" s="1" t="s">
        <v>1517</v>
      </c>
    </row>
    <row r="1773">
      <c r="A1773" s="1490" t="s">
        <v>1522</v>
      </c>
      <c r="B1773" s="1490" t="s">
        <v>1517</v>
      </c>
      <c r="C1773" s="1597">
        <v>151132.0</v>
      </c>
      <c r="D1773" s="1490">
        <v>95.0</v>
      </c>
      <c r="E1773" s="1" t="s">
        <v>1517</v>
      </c>
    </row>
    <row r="1774">
      <c r="A1774" s="1490" t="s">
        <v>1523</v>
      </c>
      <c r="B1774" s="1490" t="s">
        <v>1517</v>
      </c>
      <c r="C1774" s="1597">
        <v>309176.0</v>
      </c>
      <c r="D1774" s="1490">
        <v>141.0</v>
      </c>
      <c r="E1774" s="1" t="s">
        <v>1517</v>
      </c>
    </row>
    <row r="1775">
      <c r="A1775" s="1490" t="s">
        <v>1524</v>
      </c>
      <c r="B1775" s="1490" t="s">
        <v>1517</v>
      </c>
      <c r="C1775" s="1597">
        <v>130090.0</v>
      </c>
      <c r="D1775" s="1490">
        <v>70.0</v>
      </c>
      <c r="E1775" s="1" t="s">
        <v>1517</v>
      </c>
    </row>
    <row r="1776">
      <c r="A1776" s="1496" t="s">
        <v>860</v>
      </c>
      <c r="B1776" s="1496" t="s">
        <v>1517</v>
      </c>
      <c r="C1776" s="1598">
        <v>43144.0</v>
      </c>
      <c r="D1776" s="1496">
        <v>40.0</v>
      </c>
      <c r="E1776" s="1624" t="s">
        <v>1517</v>
      </c>
      <c r="F1776" s="1624"/>
      <c r="G1776" s="1624"/>
      <c r="N1776" s="1489"/>
      <c r="O1776" s="1489"/>
      <c r="P1776" s="1489"/>
      <c r="Q1776" s="1489"/>
      <c r="R1776" s="1489"/>
      <c r="S1776" s="1489"/>
      <c r="T1776" s="1489"/>
      <c r="U1776" s="1489"/>
      <c r="V1776" s="1489"/>
      <c r="W1776" s="1489"/>
      <c r="X1776" s="1489"/>
      <c r="Y1776" s="1489"/>
      <c r="Z1776" s="1489"/>
    </row>
    <row r="1777">
      <c r="A1777" s="355" t="s">
        <v>1525</v>
      </c>
      <c r="B1777" s="355" t="s">
        <v>448</v>
      </c>
      <c r="C1777" s="1562">
        <v>265429.0</v>
      </c>
      <c r="D1777" s="355">
        <v>159.0</v>
      </c>
      <c r="E1777" s="1" t="s">
        <v>448</v>
      </c>
    </row>
    <row r="1778">
      <c r="A1778" s="355" t="s">
        <v>447</v>
      </c>
      <c r="B1778" s="355" t="s">
        <v>448</v>
      </c>
      <c r="C1778" s="1562">
        <v>936692.0</v>
      </c>
      <c r="D1778" s="355">
        <v>436.0</v>
      </c>
      <c r="E1778" s="1" t="s">
        <v>448</v>
      </c>
    </row>
    <row r="1779">
      <c r="A1779" s="355" t="s">
        <v>1526</v>
      </c>
      <c r="B1779" s="355" t="s">
        <v>448</v>
      </c>
      <c r="C1779" s="1562">
        <v>445384.0</v>
      </c>
      <c r="D1779" s="355">
        <v>231.0</v>
      </c>
      <c r="E1779" s="1" t="s">
        <v>448</v>
      </c>
    </row>
    <row r="1780">
      <c r="A1780" s="355" t="s">
        <v>548</v>
      </c>
      <c r="B1780" s="355" t="s">
        <v>448</v>
      </c>
      <c r="C1780" s="1562">
        <v>507078.0</v>
      </c>
      <c r="D1780" s="355">
        <v>275.0</v>
      </c>
      <c r="E1780" s="1" t="s">
        <v>448</v>
      </c>
      <c r="H1780" s="1489"/>
      <c r="I1780" s="1489"/>
      <c r="J1780" s="1489"/>
      <c r="K1780" s="1489"/>
      <c r="L1780" s="1489"/>
      <c r="M1780" s="1489"/>
    </row>
    <row r="1781">
      <c r="A1781" s="355" t="s">
        <v>1527</v>
      </c>
      <c r="B1781" s="355" t="s">
        <v>448</v>
      </c>
      <c r="C1781" s="1562">
        <v>92560.0</v>
      </c>
      <c r="D1781" s="355">
        <v>86.0</v>
      </c>
      <c r="E1781" s="1" t="s">
        <v>448</v>
      </c>
    </row>
    <row r="1782">
      <c r="A1782" s="355" t="s">
        <v>713</v>
      </c>
      <c r="B1782" s="355" t="s">
        <v>448</v>
      </c>
      <c r="C1782" s="1562">
        <v>150972.0</v>
      </c>
      <c r="D1782" s="355">
        <v>126.0</v>
      </c>
      <c r="E1782" s="1" t="s">
        <v>448</v>
      </c>
    </row>
    <row r="1783">
      <c r="A1783" s="355" t="s">
        <v>516</v>
      </c>
      <c r="B1783" s="355" t="s">
        <v>448</v>
      </c>
      <c r="C1783" s="1562">
        <v>799767.0</v>
      </c>
      <c r="D1783" s="355">
        <v>498.0</v>
      </c>
      <c r="E1783" s="1" t="s">
        <v>448</v>
      </c>
    </row>
    <row r="1784">
      <c r="A1784" s="355" t="s">
        <v>1528</v>
      </c>
      <c r="B1784" s="355" t="s">
        <v>448</v>
      </c>
      <c r="C1784" s="1562">
        <v>291408.0</v>
      </c>
      <c r="D1784" s="355">
        <v>182.0</v>
      </c>
      <c r="E1784" s="1" t="s">
        <v>448</v>
      </c>
    </row>
    <row r="1785">
      <c r="A1785" s="355" t="s">
        <v>580</v>
      </c>
      <c r="B1785" s="355" t="s">
        <v>448</v>
      </c>
      <c r="C1785" s="1562">
        <v>676061.0</v>
      </c>
      <c r="D1785" s="355">
        <v>246.0</v>
      </c>
      <c r="E1785" s="1" t="s">
        <v>448</v>
      </c>
    </row>
    <row r="1786">
      <c r="A1786" s="355" t="s">
        <v>1529</v>
      </c>
      <c r="B1786" s="355" t="s">
        <v>448</v>
      </c>
      <c r="C1786" s="1562">
        <v>124714.0</v>
      </c>
      <c r="D1786" s="355">
        <v>90.0</v>
      </c>
      <c r="E1786" s="1" t="s">
        <v>448</v>
      </c>
    </row>
    <row r="1787">
      <c r="A1787" s="355" t="s">
        <v>738</v>
      </c>
      <c r="B1787" s="355" t="s">
        <v>448</v>
      </c>
      <c r="C1787" s="1562">
        <v>369811.0</v>
      </c>
      <c r="D1787" s="355">
        <v>203.0</v>
      </c>
      <c r="E1787" s="1" t="s">
        <v>448</v>
      </c>
    </row>
    <row r="1788">
      <c r="A1788" s="355" t="s">
        <v>281</v>
      </c>
      <c r="B1788" s="355" t="s">
        <v>448</v>
      </c>
      <c r="C1788" s="1562">
        <v>829685.0</v>
      </c>
      <c r="D1788" s="355">
        <v>314.0</v>
      </c>
      <c r="E1788" s="1" t="s">
        <v>448</v>
      </c>
    </row>
    <row r="1789">
      <c r="A1789" s="355" t="s">
        <v>603</v>
      </c>
      <c r="B1789" s="355" t="s">
        <v>448</v>
      </c>
      <c r="C1789" s="1562">
        <v>621354.0</v>
      </c>
      <c r="D1789" s="355">
        <v>296.0</v>
      </c>
      <c r="E1789" s="1" t="s">
        <v>448</v>
      </c>
    </row>
    <row r="1790">
      <c r="A1790" s="355" t="s">
        <v>990</v>
      </c>
      <c r="B1790" s="355" t="s">
        <v>448</v>
      </c>
      <c r="C1790" s="1562">
        <v>494228.0</v>
      </c>
      <c r="D1790" s="355">
        <v>261.0</v>
      </c>
      <c r="E1790" s="1" t="s">
        <v>448</v>
      </c>
    </row>
    <row r="1791">
      <c r="A1791" s="355" t="s">
        <v>608</v>
      </c>
      <c r="B1791" s="355" t="s">
        <v>448</v>
      </c>
      <c r="C1791" s="1562">
        <v>601651.0</v>
      </c>
      <c r="D1791" s="355">
        <v>186.0</v>
      </c>
      <c r="E1791" s="1" t="s">
        <v>448</v>
      </c>
    </row>
    <row r="1792">
      <c r="A1792" s="355" t="s">
        <v>1530</v>
      </c>
      <c r="B1792" s="355" t="s">
        <v>448</v>
      </c>
      <c r="C1792" s="1562">
        <v>503310.0</v>
      </c>
      <c r="D1792" s="355">
        <v>265.0</v>
      </c>
      <c r="E1792" s="1" t="s">
        <v>448</v>
      </c>
    </row>
    <row r="1793">
      <c r="A1793" s="355" t="s">
        <v>1531</v>
      </c>
      <c r="B1793" s="355" t="s">
        <v>448</v>
      </c>
      <c r="C1793" s="1562">
        <v>62607.0</v>
      </c>
      <c r="D1793" s="355">
        <v>76.0</v>
      </c>
      <c r="E1793" s="1" t="s">
        <v>448</v>
      </c>
    </row>
    <row r="1794">
      <c r="A1794" s="355" t="s">
        <v>1194</v>
      </c>
      <c r="B1794" s="355" t="s">
        <v>448</v>
      </c>
      <c r="C1794" s="1562">
        <v>331164.0</v>
      </c>
      <c r="D1794" s="355">
        <v>147.0</v>
      </c>
      <c r="E1794" s="1" t="s">
        <v>448</v>
      </c>
    </row>
    <row r="1795">
      <c r="A1795" s="355" t="s">
        <v>476</v>
      </c>
      <c r="B1795" s="355" t="s">
        <v>448</v>
      </c>
      <c r="C1795" s="1562">
        <v>140799.0</v>
      </c>
      <c r="D1795" s="355">
        <v>85.0</v>
      </c>
      <c r="E1795" s="1" t="s">
        <v>448</v>
      </c>
    </row>
    <row r="1796">
      <c r="A1796" s="355" t="s">
        <v>316</v>
      </c>
      <c r="B1796" s="355" t="s">
        <v>448</v>
      </c>
      <c r="C1796" s="1562">
        <v>558067.0</v>
      </c>
      <c r="D1796" s="355">
        <v>270.0</v>
      </c>
      <c r="E1796" s="1" t="s">
        <v>448</v>
      </c>
    </row>
    <row r="1797">
      <c r="A1797" s="1501" t="s">
        <v>647</v>
      </c>
      <c r="B1797" s="1501" t="s">
        <v>448</v>
      </c>
      <c r="C1797" s="1564">
        <v>105779.0</v>
      </c>
      <c r="D1797" s="1501">
        <v>76.0</v>
      </c>
      <c r="E1797" s="1624" t="s">
        <v>448</v>
      </c>
      <c r="F1797" s="1624"/>
      <c r="G1797" s="1624"/>
      <c r="N1797" s="1489"/>
      <c r="O1797" s="1489"/>
      <c r="P1797" s="1489"/>
      <c r="Q1797" s="1489"/>
      <c r="R1797" s="1489"/>
      <c r="S1797" s="1489"/>
      <c r="T1797" s="1489"/>
      <c r="U1797" s="1489"/>
      <c r="V1797" s="1489"/>
      <c r="W1797" s="1489"/>
      <c r="X1797" s="1489"/>
      <c r="Y1797" s="1489"/>
      <c r="Z1797" s="1489"/>
    </row>
    <row r="1798">
      <c r="A1798" s="1490" t="s">
        <v>577</v>
      </c>
      <c r="B1798" s="1490" t="s">
        <v>578</v>
      </c>
      <c r="C1798" s="1597">
        <v>678701.0</v>
      </c>
      <c r="D1798" s="1490">
        <v>280.0</v>
      </c>
      <c r="E1798" s="1" t="s">
        <v>578</v>
      </c>
    </row>
    <row r="1799">
      <c r="A1799" s="1490" t="s">
        <v>1532</v>
      </c>
      <c r="B1799" s="1490" t="s">
        <v>578</v>
      </c>
      <c r="C1799" s="1597">
        <v>3578.0</v>
      </c>
      <c r="D1799" s="1490">
        <v>8.0</v>
      </c>
      <c r="E1799" s="1" t="s">
        <v>578</v>
      </c>
    </row>
    <row r="1800">
      <c r="A1800" s="1490" t="s">
        <v>1533</v>
      </c>
      <c r="B1800" s="1490" t="s">
        <v>578</v>
      </c>
      <c r="C1800" s="1597">
        <v>64689.0</v>
      </c>
      <c r="D1800" s="1490">
        <v>50.0</v>
      </c>
      <c r="E1800" s="1" t="s">
        <v>578</v>
      </c>
    </row>
    <row r="1801">
      <c r="A1801" s="1490" t="s">
        <v>1534</v>
      </c>
      <c r="B1801" s="1490" t="s">
        <v>578</v>
      </c>
      <c r="C1801" s="1597">
        <v>26746.0</v>
      </c>
      <c r="D1801" s="1490">
        <v>18.0</v>
      </c>
      <c r="E1801" s="1" t="s">
        <v>578</v>
      </c>
      <c r="H1801" s="1489"/>
      <c r="I1801" s="1489"/>
      <c r="J1801" s="1489"/>
      <c r="K1801" s="1489"/>
      <c r="L1801" s="1489"/>
      <c r="M1801" s="1489"/>
    </row>
    <row r="1802">
      <c r="A1802" s="1490" t="s">
        <v>1474</v>
      </c>
      <c r="B1802" s="1490" t="s">
        <v>578</v>
      </c>
      <c r="C1802" s="1597">
        <v>12110.0</v>
      </c>
      <c r="D1802" s="1490">
        <v>18.0</v>
      </c>
      <c r="E1802" s="1" t="s">
        <v>578</v>
      </c>
    </row>
    <row r="1803">
      <c r="A1803" s="1490" t="s">
        <v>1535</v>
      </c>
      <c r="B1803" s="1490" t="s">
        <v>578</v>
      </c>
      <c r="C1803" s="1597">
        <v>49437.0</v>
      </c>
      <c r="D1803" s="1490">
        <v>41.0</v>
      </c>
      <c r="E1803" s="1" t="s">
        <v>578</v>
      </c>
    </row>
    <row r="1804">
      <c r="A1804" s="1490" t="s">
        <v>1536</v>
      </c>
      <c r="B1804" s="1490" t="s">
        <v>578</v>
      </c>
      <c r="C1804" s="1597">
        <v>1781.0</v>
      </c>
      <c r="D1804" s="1490">
        <v>3.0</v>
      </c>
      <c r="E1804" s="1" t="s">
        <v>578</v>
      </c>
    </row>
    <row r="1805">
      <c r="A1805" s="1490" t="s">
        <v>1537</v>
      </c>
      <c r="B1805" s="1490" t="s">
        <v>578</v>
      </c>
      <c r="C1805" s="1597">
        <v>217522.0</v>
      </c>
      <c r="D1805" s="1490">
        <v>97.0</v>
      </c>
      <c r="E1805" s="1" t="s">
        <v>578</v>
      </c>
    </row>
    <row r="1806">
      <c r="A1806" s="1490" t="s">
        <v>1538</v>
      </c>
      <c r="B1806" s="1490" t="s">
        <v>578</v>
      </c>
      <c r="C1806" s="1597">
        <v>57900.0</v>
      </c>
      <c r="D1806" s="1490">
        <v>60.0</v>
      </c>
      <c r="E1806" s="1" t="s">
        <v>578</v>
      </c>
    </row>
    <row r="1807">
      <c r="A1807" s="1490" t="s">
        <v>278</v>
      </c>
      <c r="B1807" s="1490" t="s">
        <v>578</v>
      </c>
      <c r="C1807" s="1597">
        <v>27346.0</v>
      </c>
      <c r="D1807" s="1490">
        <v>27.0</v>
      </c>
      <c r="E1807" s="1" t="s">
        <v>578</v>
      </c>
    </row>
    <row r="1808">
      <c r="A1808" s="1490" t="s">
        <v>1539</v>
      </c>
      <c r="B1808" s="1490" t="s">
        <v>578</v>
      </c>
      <c r="C1808" s="1597">
        <v>4341.0</v>
      </c>
      <c r="D1808" s="1490">
        <v>6.0</v>
      </c>
      <c r="E1808" s="1" t="s">
        <v>578</v>
      </c>
    </row>
    <row r="1809">
      <c r="A1809" s="1490" t="s">
        <v>1540</v>
      </c>
      <c r="B1809" s="1490" t="s">
        <v>578</v>
      </c>
      <c r="C1809" s="1597">
        <v>655.0</v>
      </c>
      <c r="D1809" s="1490">
        <v>3.0</v>
      </c>
      <c r="E1809" s="1" t="s">
        <v>578</v>
      </c>
    </row>
    <row r="1810">
      <c r="A1810" s="1490" t="s">
        <v>480</v>
      </c>
      <c r="B1810" s="1490" t="s">
        <v>578</v>
      </c>
      <c r="C1810" s="1597">
        <v>4240.0</v>
      </c>
      <c r="D1810" s="1490">
        <v>6.0</v>
      </c>
      <c r="E1810" s="1" t="s">
        <v>578</v>
      </c>
    </row>
    <row r="1811">
      <c r="A1811" s="1490" t="s">
        <v>1541</v>
      </c>
      <c r="B1811" s="1490" t="s">
        <v>578</v>
      </c>
      <c r="C1811" s="1597">
        <v>69611.0</v>
      </c>
      <c r="D1811" s="1490">
        <v>83.0</v>
      </c>
      <c r="E1811" s="1" t="s">
        <v>578</v>
      </c>
    </row>
    <row r="1812">
      <c r="A1812" s="1490" t="s">
        <v>290</v>
      </c>
      <c r="B1812" s="1490" t="s">
        <v>578</v>
      </c>
      <c r="C1812" s="1597">
        <v>19556.0</v>
      </c>
      <c r="D1812" s="1490">
        <v>25.0</v>
      </c>
      <c r="E1812" s="1" t="s">
        <v>578</v>
      </c>
    </row>
    <row r="1813">
      <c r="A1813" s="1490" t="s">
        <v>1542</v>
      </c>
      <c r="B1813" s="1490" t="s">
        <v>578</v>
      </c>
      <c r="C1813" s="1597">
        <v>19101.0</v>
      </c>
      <c r="D1813" s="1490">
        <v>19.0</v>
      </c>
      <c r="E1813" s="1" t="s">
        <v>578</v>
      </c>
    </row>
    <row r="1814">
      <c r="A1814" s="1490" t="s">
        <v>1543</v>
      </c>
      <c r="B1814" s="1490" t="s">
        <v>578</v>
      </c>
      <c r="C1814" s="1597">
        <v>23963.0</v>
      </c>
      <c r="D1814" s="1490">
        <v>15.0</v>
      </c>
      <c r="E1814" s="1" t="s">
        <v>578</v>
      </c>
    </row>
    <row r="1815">
      <c r="A1815" s="1490" t="s">
        <v>3765</v>
      </c>
      <c r="B1815" s="1490" t="s">
        <v>578</v>
      </c>
      <c r="C1815" s="1597">
        <v>72290.0</v>
      </c>
      <c r="D1815" s="1490">
        <v>48.0</v>
      </c>
      <c r="E1815" s="1" t="s">
        <v>578</v>
      </c>
    </row>
    <row r="1816">
      <c r="A1816" s="1490" t="s">
        <v>1545</v>
      </c>
      <c r="B1816" s="1490" t="s">
        <v>578</v>
      </c>
      <c r="C1816" s="1597">
        <v>4506.0</v>
      </c>
      <c r="D1816" s="1490">
        <v>2.0</v>
      </c>
      <c r="E1816" s="1" t="s">
        <v>578</v>
      </c>
    </row>
    <row r="1817">
      <c r="A1817" s="1490" t="s">
        <v>441</v>
      </c>
      <c r="B1817" s="1490" t="s">
        <v>578</v>
      </c>
      <c r="C1817" s="1597">
        <v>66781.0</v>
      </c>
      <c r="D1817" s="1490">
        <v>47.0</v>
      </c>
      <c r="E1817" s="1" t="s">
        <v>578</v>
      </c>
    </row>
    <row r="1818">
      <c r="A1818" s="1490" t="s">
        <v>1546</v>
      </c>
      <c r="B1818" s="1490" t="s">
        <v>578</v>
      </c>
      <c r="C1818" s="1597">
        <v>8253.0</v>
      </c>
      <c r="D1818" s="1490">
        <v>18.0</v>
      </c>
      <c r="E1818" s="1" t="s">
        <v>578</v>
      </c>
    </row>
    <row r="1819">
      <c r="A1819" s="1490" t="s">
        <v>1547</v>
      </c>
      <c r="B1819" s="1490" t="s">
        <v>578</v>
      </c>
      <c r="C1819" s="1597">
        <v>39006.0</v>
      </c>
      <c r="D1819" s="1490">
        <v>30.0</v>
      </c>
      <c r="E1819" s="1" t="s">
        <v>578</v>
      </c>
    </row>
    <row r="1820">
      <c r="A1820" s="1490" t="s">
        <v>1456</v>
      </c>
      <c r="B1820" s="1490" t="s">
        <v>578</v>
      </c>
      <c r="C1820" s="1597">
        <v>18743.0</v>
      </c>
      <c r="D1820" s="1490">
        <v>30.0</v>
      </c>
      <c r="E1820" s="1" t="s">
        <v>578</v>
      </c>
    </row>
    <row r="1821">
      <c r="A1821" s="1490" t="s">
        <v>1548</v>
      </c>
      <c r="B1821" s="1490" t="s">
        <v>578</v>
      </c>
      <c r="C1821" s="1597">
        <v>145179.0</v>
      </c>
      <c r="D1821" s="1490">
        <v>59.0</v>
      </c>
      <c r="E1821" s="1" t="s">
        <v>578</v>
      </c>
    </row>
    <row r="1822">
      <c r="A1822" s="1490" t="s">
        <v>457</v>
      </c>
      <c r="B1822" s="1490" t="s">
        <v>578</v>
      </c>
      <c r="C1822" s="1597">
        <v>125043.0</v>
      </c>
      <c r="D1822" s="1490">
        <v>99.0</v>
      </c>
      <c r="E1822" s="1" t="s">
        <v>578</v>
      </c>
    </row>
    <row r="1823">
      <c r="A1823" s="1490" t="s">
        <v>458</v>
      </c>
      <c r="B1823" s="1490" t="s">
        <v>578</v>
      </c>
      <c r="C1823" s="1597">
        <v>27591.0</v>
      </c>
      <c r="D1823" s="1490">
        <v>18.0</v>
      </c>
      <c r="E1823" s="1" t="s">
        <v>578</v>
      </c>
    </row>
    <row r="1824">
      <c r="A1824" s="1490" t="s">
        <v>1549</v>
      </c>
      <c r="B1824" s="1490" t="s">
        <v>578</v>
      </c>
      <c r="C1824" s="1597">
        <v>150056.0</v>
      </c>
      <c r="D1824" s="1490">
        <v>65.0</v>
      </c>
      <c r="E1824" s="1" t="s">
        <v>578</v>
      </c>
    </row>
    <row r="1825">
      <c r="A1825" s="1490" t="s">
        <v>365</v>
      </c>
      <c r="B1825" s="1490" t="s">
        <v>578</v>
      </c>
      <c r="C1825" s="1597">
        <v>10968.0</v>
      </c>
      <c r="D1825" s="1490">
        <v>10.0</v>
      </c>
      <c r="E1825" s="1" t="s">
        <v>578</v>
      </c>
    </row>
    <row r="1826">
      <c r="A1826" s="1490" t="s">
        <v>1550</v>
      </c>
      <c r="B1826" s="1490" t="s">
        <v>578</v>
      </c>
      <c r="C1826" s="1597">
        <v>16735.0</v>
      </c>
      <c r="D1826" s="1490">
        <v>9.0</v>
      </c>
      <c r="E1826" s="1" t="s">
        <v>578</v>
      </c>
    </row>
    <row r="1827">
      <c r="A1827" s="1490" t="s">
        <v>1551</v>
      </c>
      <c r="B1827" s="1490" t="s">
        <v>578</v>
      </c>
      <c r="C1827" s="1597">
        <v>32835.0</v>
      </c>
      <c r="D1827" s="1490">
        <v>21.0</v>
      </c>
      <c r="E1827" s="1" t="s">
        <v>578</v>
      </c>
    </row>
    <row r="1828">
      <c r="A1828" s="1490" t="s">
        <v>1552</v>
      </c>
      <c r="B1828" s="1490" t="s">
        <v>578</v>
      </c>
      <c r="C1828" s="1597">
        <v>15591.0</v>
      </c>
      <c r="D1828" s="1490">
        <v>20.0</v>
      </c>
      <c r="E1828" s="1" t="s">
        <v>578</v>
      </c>
    </row>
    <row r="1829">
      <c r="A1829" s="1490" t="s">
        <v>316</v>
      </c>
      <c r="B1829" s="1490" t="s">
        <v>578</v>
      </c>
      <c r="C1829" s="1597">
        <v>4118.0</v>
      </c>
      <c r="D1829" s="1490">
        <v>9.0</v>
      </c>
      <c r="E1829" s="1" t="s">
        <v>578</v>
      </c>
    </row>
    <row r="1830">
      <c r="A1830" s="1496" t="s">
        <v>1553</v>
      </c>
      <c r="B1830" s="1496" t="s">
        <v>578</v>
      </c>
      <c r="C1830" s="1598">
        <v>76456.0</v>
      </c>
      <c r="D1830" s="1496">
        <v>40.0</v>
      </c>
      <c r="E1830" s="1624" t="s">
        <v>578</v>
      </c>
      <c r="F1830" s="1624"/>
      <c r="G1830" s="1624"/>
      <c r="N1830" s="1489"/>
      <c r="O1830" s="1489"/>
      <c r="P1830" s="1489"/>
      <c r="Q1830" s="1489"/>
      <c r="R1830" s="1489"/>
      <c r="S1830" s="1489"/>
      <c r="T1830" s="1489"/>
      <c r="U1830" s="1489"/>
      <c r="V1830" s="1489"/>
      <c r="W1830" s="1489"/>
      <c r="X1830" s="1489"/>
      <c r="Y1830" s="1489"/>
      <c r="Z1830" s="1489"/>
    </row>
    <row r="1831">
      <c r="A1831" s="355" t="s">
        <v>1554</v>
      </c>
      <c r="B1831" s="355" t="s">
        <v>250</v>
      </c>
      <c r="C1831" s="1562">
        <v>307117.0</v>
      </c>
      <c r="D1831" s="355">
        <v>183.0</v>
      </c>
      <c r="E1831" s="1" t="s">
        <v>250</v>
      </c>
    </row>
    <row r="1832">
      <c r="A1832" s="355" t="s">
        <v>1197</v>
      </c>
      <c r="B1832" s="355" t="s">
        <v>250</v>
      </c>
      <c r="C1832" s="1562">
        <v>46430.0</v>
      </c>
      <c r="D1832" s="355">
        <v>62.0</v>
      </c>
      <c r="E1832" s="1" t="s">
        <v>250</v>
      </c>
    </row>
    <row r="1833">
      <c r="A1833" s="355" t="s">
        <v>314</v>
      </c>
      <c r="B1833" s="355" t="s">
        <v>250</v>
      </c>
      <c r="C1833" s="1562">
        <v>1432132.0</v>
      </c>
      <c r="D1833" s="355">
        <v>448.0</v>
      </c>
      <c r="E1833" s="1" t="s">
        <v>250</v>
      </c>
    </row>
    <row r="1834">
      <c r="A1834" s="355" t="s">
        <v>1555</v>
      </c>
      <c r="B1834" s="355" t="s">
        <v>250</v>
      </c>
      <c r="C1834" s="1562">
        <v>191659.0</v>
      </c>
      <c r="D1834" s="355">
        <v>162.0</v>
      </c>
      <c r="E1834" s="1" t="s">
        <v>250</v>
      </c>
      <c r="H1834" s="1489"/>
      <c r="I1834" s="1489"/>
      <c r="J1834" s="1489"/>
      <c r="K1834" s="1489"/>
      <c r="L1834" s="1489"/>
      <c r="M1834" s="1489"/>
    </row>
    <row r="1835">
      <c r="A1835" s="355" t="s">
        <v>1556</v>
      </c>
      <c r="B1835" s="355" t="s">
        <v>250</v>
      </c>
      <c r="C1835" s="1562">
        <v>76840.0</v>
      </c>
      <c r="D1835" s="355">
        <v>83.0</v>
      </c>
      <c r="E1835" s="1" t="s">
        <v>250</v>
      </c>
    </row>
    <row r="1836">
      <c r="A1836" s="355" t="s">
        <v>1557</v>
      </c>
      <c r="B1836" s="355" t="s">
        <v>250</v>
      </c>
      <c r="C1836" s="1562">
        <v>77145.0</v>
      </c>
      <c r="D1836" s="355">
        <v>58.0</v>
      </c>
      <c r="E1836" s="1" t="s">
        <v>250</v>
      </c>
    </row>
    <row r="1837">
      <c r="A1837" s="355" t="s">
        <v>961</v>
      </c>
      <c r="B1837" s="355" t="s">
        <v>250</v>
      </c>
      <c r="C1837" s="1562">
        <v>127939.0</v>
      </c>
      <c r="D1837" s="355">
        <v>160.0</v>
      </c>
      <c r="E1837" s="1" t="s">
        <v>250</v>
      </c>
    </row>
    <row r="1838">
      <c r="A1838" s="355" t="s">
        <v>1558</v>
      </c>
      <c r="B1838" s="355" t="s">
        <v>250</v>
      </c>
      <c r="C1838" s="1562">
        <v>84254.0</v>
      </c>
      <c r="D1838" s="355">
        <v>72.0</v>
      </c>
      <c r="E1838" s="1" t="s">
        <v>250</v>
      </c>
    </row>
    <row r="1839">
      <c r="A1839" s="355" t="s">
        <v>1559</v>
      </c>
      <c r="B1839" s="355" t="s">
        <v>250</v>
      </c>
      <c r="C1839" s="1562">
        <v>47536.0</v>
      </c>
      <c r="D1839" s="355">
        <v>66.0</v>
      </c>
      <c r="E1839" s="1" t="s">
        <v>250</v>
      </c>
    </row>
    <row r="1840">
      <c r="A1840" s="355" t="s">
        <v>711</v>
      </c>
      <c r="B1840" s="355" t="s">
        <v>250</v>
      </c>
      <c r="C1840" s="1562">
        <v>80695.0</v>
      </c>
      <c r="D1840" s="355">
        <v>53.0</v>
      </c>
      <c r="E1840" s="1" t="s">
        <v>250</v>
      </c>
    </row>
    <row r="1841">
      <c r="A1841" s="355" t="s">
        <v>258</v>
      </c>
      <c r="B1841" s="355" t="s">
        <v>250</v>
      </c>
      <c r="C1841" s="1562">
        <v>59916.0</v>
      </c>
      <c r="D1841" s="355">
        <v>49.0</v>
      </c>
      <c r="E1841" s="1" t="s">
        <v>250</v>
      </c>
    </row>
    <row r="1842">
      <c r="A1842" s="355" t="s">
        <v>1560</v>
      </c>
      <c r="B1842" s="355" t="s">
        <v>250</v>
      </c>
      <c r="C1842" s="1562">
        <v>47823.0</v>
      </c>
      <c r="D1842" s="355">
        <v>37.0</v>
      </c>
      <c r="E1842" s="1" t="s">
        <v>250</v>
      </c>
    </row>
    <row r="1843">
      <c r="A1843" s="355" t="s">
        <v>40</v>
      </c>
      <c r="B1843" s="355" t="s">
        <v>250</v>
      </c>
      <c r="C1843" s="1562">
        <v>44527.0</v>
      </c>
      <c r="D1843" s="355">
        <v>69.0</v>
      </c>
      <c r="E1843" s="1" t="s">
        <v>250</v>
      </c>
    </row>
    <row r="1844">
      <c r="A1844" s="355" t="s">
        <v>1561</v>
      </c>
      <c r="B1844" s="355" t="s">
        <v>250</v>
      </c>
      <c r="C1844" s="1562">
        <v>293718.0</v>
      </c>
      <c r="D1844" s="355">
        <v>158.0</v>
      </c>
      <c r="E1844" s="1" t="s">
        <v>250</v>
      </c>
    </row>
    <row r="1845">
      <c r="A1845" s="355" t="s">
        <v>464</v>
      </c>
      <c r="B1845" s="355" t="s">
        <v>250</v>
      </c>
      <c r="C1845" s="1562">
        <v>919719.0</v>
      </c>
      <c r="D1845" s="355">
        <v>523.0</v>
      </c>
      <c r="E1845" s="1" t="s">
        <v>250</v>
      </c>
    </row>
    <row r="1846">
      <c r="A1846" s="355" t="s">
        <v>516</v>
      </c>
      <c r="B1846" s="355" t="s">
        <v>250</v>
      </c>
      <c r="C1846" s="1562">
        <v>37300.0</v>
      </c>
      <c r="D1846" s="355">
        <v>47.0</v>
      </c>
      <c r="E1846" s="1" t="s">
        <v>250</v>
      </c>
    </row>
    <row r="1847">
      <c r="A1847" s="355" t="s">
        <v>136</v>
      </c>
      <c r="B1847" s="355" t="s">
        <v>250</v>
      </c>
      <c r="C1847" s="1562">
        <v>50293.0</v>
      </c>
      <c r="D1847" s="355">
        <v>45.0</v>
      </c>
      <c r="E1847" s="1" t="s">
        <v>250</v>
      </c>
    </row>
    <row r="1848">
      <c r="A1848" s="355" t="s">
        <v>275</v>
      </c>
      <c r="B1848" s="355" t="s">
        <v>250</v>
      </c>
      <c r="C1848" s="1562">
        <v>53591.0</v>
      </c>
      <c r="D1848" s="355">
        <v>50.0</v>
      </c>
      <c r="E1848" s="1" t="s">
        <v>250</v>
      </c>
    </row>
    <row r="1849">
      <c r="A1849" s="355" t="s">
        <v>1248</v>
      </c>
      <c r="B1849" s="355" t="s">
        <v>250</v>
      </c>
      <c r="C1849" s="1562">
        <v>57511.0</v>
      </c>
      <c r="D1849" s="355">
        <v>52.0</v>
      </c>
      <c r="E1849" s="1" t="s">
        <v>250</v>
      </c>
    </row>
    <row r="1850">
      <c r="A1850" s="355" t="s">
        <v>138</v>
      </c>
      <c r="B1850" s="355" t="s">
        <v>250</v>
      </c>
      <c r="C1850" s="1562">
        <v>47491.0</v>
      </c>
      <c r="D1850" s="355">
        <v>43.0</v>
      </c>
      <c r="E1850" s="1" t="s">
        <v>250</v>
      </c>
    </row>
    <row r="1851">
      <c r="A1851" s="355" t="s">
        <v>497</v>
      </c>
      <c r="B1851" s="355" t="s">
        <v>250</v>
      </c>
      <c r="C1851" s="1562">
        <v>4434.0</v>
      </c>
      <c r="D1851" s="355">
        <v>15.0</v>
      </c>
      <c r="E1851" s="1" t="s">
        <v>250</v>
      </c>
    </row>
    <row r="1852">
      <c r="A1852" s="355" t="s">
        <v>1562</v>
      </c>
      <c r="B1852" s="355" t="s">
        <v>250</v>
      </c>
      <c r="C1852" s="1562">
        <v>61833.0</v>
      </c>
      <c r="D1852" s="355">
        <v>54.0</v>
      </c>
      <c r="E1852" s="1" t="s">
        <v>250</v>
      </c>
    </row>
    <row r="1853">
      <c r="A1853" s="355" t="s">
        <v>143</v>
      </c>
      <c r="B1853" s="355" t="s">
        <v>250</v>
      </c>
      <c r="C1853" s="1562">
        <v>111755.0</v>
      </c>
      <c r="D1853" s="355">
        <v>95.0</v>
      </c>
      <c r="E1853" s="1" t="s">
        <v>250</v>
      </c>
    </row>
    <row r="1854">
      <c r="A1854" s="355" t="s">
        <v>249</v>
      </c>
      <c r="B1854" s="355" t="s">
        <v>250</v>
      </c>
      <c r="C1854" s="1562">
        <v>2582830.0</v>
      </c>
      <c r="D1854" s="355">
        <v>806.0</v>
      </c>
      <c r="E1854" s="1" t="s">
        <v>250</v>
      </c>
    </row>
    <row r="1855">
      <c r="A1855" s="355" t="s">
        <v>682</v>
      </c>
      <c r="B1855" s="355" t="s">
        <v>250</v>
      </c>
      <c r="C1855" s="1562">
        <v>26447.0</v>
      </c>
      <c r="D1855" s="355">
        <v>32.0</v>
      </c>
      <c r="E1855" s="1" t="s">
        <v>250</v>
      </c>
    </row>
    <row r="1856">
      <c r="A1856" s="355" t="s">
        <v>730</v>
      </c>
      <c r="B1856" s="355" t="s">
        <v>250</v>
      </c>
      <c r="C1856" s="1562">
        <v>63227.0</v>
      </c>
      <c r="D1856" s="355">
        <v>71.0</v>
      </c>
      <c r="E1856" s="1" t="s">
        <v>250</v>
      </c>
    </row>
    <row r="1857">
      <c r="A1857" s="355" t="s">
        <v>151</v>
      </c>
      <c r="B1857" s="355" t="s">
        <v>250</v>
      </c>
      <c r="C1857" s="1562">
        <v>70795.0</v>
      </c>
      <c r="D1857" s="355">
        <v>57.0</v>
      </c>
      <c r="E1857" s="1" t="s">
        <v>250</v>
      </c>
    </row>
    <row r="1858">
      <c r="A1858" s="355" t="s">
        <v>156</v>
      </c>
      <c r="B1858" s="355" t="s">
        <v>250</v>
      </c>
      <c r="C1858" s="1562">
        <v>742474.0</v>
      </c>
      <c r="D1858" s="355">
        <v>471.0</v>
      </c>
      <c r="E1858" s="1" t="s">
        <v>250</v>
      </c>
    </row>
    <row r="1859">
      <c r="A1859" s="355" t="s">
        <v>157</v>
      </c>
      <c r="B1859" s="355" t="s">
        <v>250</v>
      </c>
      <c r="C1859" s="1562">
        <v>49455.0</v>
      </c>
      <c r="D1859" s="355">
        <v>46.0</v>
      </c>
      <c r="E1859" s="1" t="s">
        <v>250</v>
      </c>
    </row>
    <row r="1860">
      <c r="A1860" s="355" t="s">
        <v>330</v>
      </c>
      <c r="B1860" s="355" t="s">
        <v>250</v>
      </c>
      <c r="C1860" s="1562">
        <v>1358343.0</v>
      </c>
      <c r="D1860" s="355">
        <v>480.0</v>
      </c>
      <c r="E1860" s="1" t="s">
        <v>250</v>
      </c>
    </row>
    <row r="1861">
      <c r="A1861" s="355" t="s">
        <v>94</v>
      </c>
      <c r="B1861" s="355" t="s">
        <v>250</v>
      </c>
      <c r="C1861" s="1562">
        <v>1628701.0</v>
      </c>
      <c r="D1861" s="355">
        <v>446.0</v>
      </c>
      <c r="E1861" s="1" t="s">
        <v>250</v>
      </c>
    </row>
    <row r="1862">
      <c r="A1862" s="355" t="s">
        <v>1563</v>
      </c>
      <c r="B1862" s="355" t="s">
        <v>250</v>
      </c>
      <c r="C1862" s="1562">
        <v>210433.0</v>
      </c>
      <c r="D1862" s="355">
        <v>155.0</v>
      </c>
      <c r="E1862" s="1" t="s">
        <v>250</v>
      </c>
    </row>
    <row r="1863">
      <c r="A1863" s="355" t="s">
        <v>685</v>
      </c>
      <c r="B1863" s="355" t="s">
        <v>250</v>
      </c>
      <c r="C1863" s="1562">
        <v>229577.0</v>
      </c>
      <c r="D1863" s="355">
        <v>153.0</v>
      </c>
      <c r="E1863" s="1" t="s">
        <v>250</v>
      </c>
    </row>
    <row r="1864">
      <c r="A1864" s="355" t="s">
        <v>1564</v>
      </c>
      <c r="B1864" s="355" t="s">
        <v>250</v>
      </c>
      <c r="C1864" s="1562">
        <v>461809.0</v>
      </c>
      <c r="D1864" s="355">
        <v>266.0</v>
      </c>
      <c r="E1864" s="1" t="s">
        <v>250</v>
      </c>
    </row>
    <row r="1865">
      <c r="A1865" s="355" t="s">
        <v>1565</v>
      </c>
      <c r="B1865" s="355" t="s">
        <v>250</v>
      </c>
      <c r="C1865" s="1562">
        <v>109864.0</v>
      </c>
      <c r="D1865" s="355">
        <v>92.0</v>
      </c>
      <c r="E1865" s="1" t="s">
        <v>250</v>
      </c>
    </row>
    <row r="1866">
      <c r="A1866" s="355" t="s">
        <v>241</v>
      </c>
      <c r="B1866" s="355" t="s">
        <v>250</v>
      </c>
      <c r="C1866" s="1562">
        <v>381951.0</v>
      </c>
      <c r="D1866" s="355">
        <v>201.0</v>
      </c>
      <c r="E1866" s="1" t="s">
        <v>250</v>
      </c>
    </row>
    <row r="1867">
      <c r="A1867" s="355" t="s">
        <v>1163</v>
      </c>
      <c r="B1867" s="355" t="s">
        <v>250</v>
      </c>
      <c r="C1867" s="1562">
        <v>40612.0</v>
      </c>
      <c r="D1867" s="355">
        <v>41.0</v>
      </c>
      <c r="E1867" s="1" t="s">
        <v>250</v>
      </c>
    </row>
    <row r="1868">
      <c r="A1868" s="355" t="s">
        <v>1566</v>
      </c>
      <c r="B1868" s="355" t="s">
        <v>250</v>
      </c>
      <c r="C1868" s="1562">
        <v>117898.0</v>
      </c>
      <c r="D1868" s="355">
        <v>85.0</v>
      </c>
      <c r="E1868" s="1" t="s">
        <v>250</v>
      </c>
    </row>
    <row r="1869">
      <c r="A1869" s="355" t="s">
        <v>1286</v>
      </c>
      <c r="B1869" s="355" t="s">
        <v>250</v>
      </c>
      <c r="C1869" s="1562">
        <v>59749.0</v>
      </c>
      <c r="D1869" s="355">
        <v>68.0</v>
      </c>
      <c r="E1869" s="1" t="s">
        <v>250</v>
      </c>
    </row>
    <row r="1870">
      <c r="A1870" s="355" t="s">
        <v>518</v>
      </c>
      <c r="B1870" s="355" t="s">
        <v>250</v>
      </c>
      <c r="C1870" s="1562">
        <v>98892.0</v>
      </c>
      <c r="D1870" s="355">
        <v>37.0</v>
      </c>
      <c r="E1870" s="1" t="s">
        <v>250</v>
      </c>
    </row>
    <row r="1871">
      <c r="A1871" s="355" t="s">
        <v>254</v>
      </c>
      <c r="B1871" s="355" t="s">
        <v>250</v>
      </c>
      <c r="C1871" s="1562">
        <v>2278906.0</v>
      </c>
      <c r="D1871" s="355">
        <v>694.0</v>
      </c>
      <c r="E1871" s="1" t="s">
        <v>250</v>
      </c>
    </row>
    <row r="1872">
      <c r="A1872" s="355" t="s">
        <v>1567</v>
      </c>
      <c r="B1872" s="355" t="s">
        <v>250</v>
      </c>
      <c r="C1872" s="1562">
        <v>159442.0</v>
      </c>
      <c r="D1872" s="355">
        <v>108.0</v>
      </c>
      <c r="E1872" s="1" t="s">
        <v>250</v>
      </c>
    </row>
    <row r="1873">
      <c r="A1873" s="355" t="s">
        <v>621</v>
      </c>
      <c r="B1873" s="355" t="s">
        <v>250</v>
      </c>
      <c r="C1873" s="1562">
        <v>476179.0</v>
      </c>
      <c r="D1873" s="355">
        <v>116.0</v>
      </c>
      <c r="E1873" s="1" t="s">
        <v>250</v>
      </c>
    </row>
    <row r="1874">
      <c r="A1874" s="355" t="s">
        <v>1568</v>
      </c>
      <c r="B1874" s="355" t="s">
        <v>250</v>
      </c>
      <c r="C1874" s="1562">
        <v>325695.0</v>
      </c>
      <c r="D1874" s="355">
        <v>130.0</v>
      </c>
      <c r="E1874" s="1" t="s">
        <v>250</v>
      </c>
    </row>
    <row r="1875">
      <c r="A1875" s="355" t="s">
        <v>3845</v>
      </c>
      <c r="B1875" s="355" t="s">
        <v>250</v>
      </c>
      <c r="C1875" s="1562">
        <v>108047.0</v>
      </c>
      <c r="D1875" s="355">
        <v>84.0</v>
      </c>
      <c r="E1875" s="1" t="s">
        <v>250</v>
      </c>
    </row>
    <row r="1876">
      <c r="A1876" s="355" t="s">
        <v>1570</v>
      </c>
      <c r="B1876" s="355" t="s">
        <v>250</v>
      </c>
      <c r="C1876" s="1562">
        <v>230163.0</v>
      </c>
      <c r="D1876" s="355">
        <v>117.0</v>
      </c>
      <c r="E1876" s="1" t="s">
        <v>250</v>
      </c>
    </row>
    <row r="1877">
      <c r="A1877" s="355" t="s">
        <v>1571</v>
      </c>
      <c r="B1877" s="355" t="s">
        <v>250</v>
      </c>
      <c r="C1877" s="1562">
        <v>155350.0</v>
      </c>
      <c r="D1877" s="355">
        <v>95.0</v>
      </c>
      <c r="E1877" s="1" t="s">
        <v>250</v>
      </c>
    </row>
    <row r="1878">
      <c r="A1878" s="355" t="s">
        <v>1572</v>
      </c>
      <c r="B1878" s="355" t="s">
        <v>250</v>
      </c>
      <c r="C1878" s="1562">
        <v>31097.0</v>
      </c>
      <c r="D1878" s="355">
        <v>37.0</v>
      </c>
      <c r="E1878" s="1" t="s">
        <v>250</v>
      </c>
    </row>
    <row r="1879">
      <c r="A1879" s="355" t="s">
        <v>746</v>
      </c>
      <c r="B1879" s="355" t="s">
        <v>250</v>
      </c>
      <c r="C1879" s="1562">
        <v>17912.0</v>
      </c>
      <c r="D1879" s="355">
        <v>26.0</v>
      </c>
      <c r="E1879" s="1" t="s">
        <v>250</v>
      </c>
    </row>
    <row r="1880">
      <c r="A1880" s="355" t="s">
        <v>1573</v>
      </c>
      <c r="B1880" s="355" t="s">
        <v>250</v>
      </c>
      <c r="C1880" s="1562">
        <v>34300.0</v>
      </c>
      <c r="D1880" s="355">
        <v>27.0</v>
      </c>
      <c r="E1880" s="1" t="s">
        <v>250</v>
      </c>
    </row>
    <row r="1881">
      <c r="A1881" s="355" t="s">
        <v>859</v>
      </c>
      <c r="B1881" s="355" t="s">
        <v>250</v>
      </c>
      <c r="C1881" s="1562">
        <v>95796.0</v>
      </c>
      <c r="D1881" s="355">
        <v>101.0</v>
      </c>
      <c r="E1881" s="1" t="s">
        <v>250</v>
      </c>
    </row>
    <row r="1882">
      <c r="A1882" s="355" t="s">
        <v>299</v>
      </c>
      <c r="B1882" s="355" t="s">
        <v>250</v>
      </c>
      <c r="C1882" s="1562">
        <v>1481093.0</v>
      </c>
      <c r="D1882" s="355">
        <v>520.0</v>
      </c>
      <c r="E1882" s="1" t="s">
        <v>250</v>
      </c>
    </row>
    <row r="1883">
      <c r="A1883" s="355" t="s">
        <v>860</v>
      </c>
      <c r="B1883" s="355" t="s">
        <v>250</v>
      </c>
      <c r="C1883" s="1562">
        <v>75498.0</v>
      </c>
      <c r="D1883" s="355">
        <v>57.0</v>
      </c>
      <c r="E1883" s="1" t="s">
        <v>250</v>
      </c>
    </row>
    <row r="1884">
      <c r="A1884" s="355" t="s">
        <v>1574</v>
      </c>
      <c r="B1884" s="355" t="s">
        <v>250</v>
      </c>
      <c r="C1884" s="1562">
        <v>48560.0</v>
      </c>
      <c r="D1884" s="355">
        <v>48.0</v>
      </c>
      <c r="E1884" s="1" t="s">
        <v>250</v>
      </c>
    </row>
    <row r="1885">
      <c r="A1885" s="355" t="s">
        <v>1575</v>
      </c>
      <c r="B1885" s="355" t="s">
        <v>250</v>
      </c>
      <c r="C1885" s="1562">
        <v>102793.0</v>
      </c>
      <c r="D1885" s="355">
        <v>63.0</v>
      </c>
      <c r="E1885" s="1" t="s">
        <v>250</v>
      </c>
    </row>
    <row r="1886">
      <c r="A1886" s="355" t="s">
        <v>1576</v>
      </c>
      <c r="B1886" s="355" t="s">
        <v>250</v>
      </c>
      <c r="C1886" s="1562">
        <v>178599.0</v>
      </c>
      <c r="D1886" s="355">
        <v>124.0</v>
      </c>
      <c r="E1886" s="1" t="s">
        <v>250</v>
      </c>
    </row>
    <row r="1887">
      <c r="A1887" s="355" t="s">
        <v>647</v>
      </c>
      <c r="B1887" s="355" t="s">
        <v>250</v>
      </c>
      <c r="C1887" s="1562">
        <v>64265.0</v>
      </c>
      <c r="D1887" s="355">
        <v>44.0</v>
      </c>
      <c r="E1887" s="1" t="s">
        <v>250</v>
      </c>
    </row>
    <row r="1888">
      <c r="A1888" s="355" t="s">
        <v>119</v>
      </c>
      <c r="B1888" s="355" t="s">
        <v>250</v>
      </c>
      <c r="C1888" s="1562">
        <v>61197.0</v>
      </c>
      <c r="D1888" s="355">
        <v>51.0</v>
      </c>
      <c r="E1888" s="1" t="s">
        <v>250</v>
      </c>
    </row>
    <row r="1889">
      <c r="A1889" s="355" t="s">
        <v>273</v>
      </c>
      <c r="B1889" s="355" t="s">
        <v>250</v>
      </c>
      <c r="C1889" s="1562">
        <v>90064.0</v>
      </c>
      <c r="D1889" s="355">
        <v>79.0</v>
      </c>
      <c r="E1889" s="1" t="s">
        <v>250</v>
      </c>
    </row>
    <row r="1890">
      <c r="A1890" s="355" t="s">
        <v>426</v>
      </c>
      <c r="B1890" s="355" t="s">
        <v>250</v>
      </c>
      <c r="C1890" s="1562">
        <v>967612.0</v>
      </c>
      <c r="D1890" s="355">
        <v>418.0</v>
      </c>
      <c r="E1890" s="1" t="s">
        <v>250</v>
      </c>
    </row>
    <row r="1891">
      <c r="A1891" s="355" t="s">
        <v>123</v>
      </c>
      <c r="B1891" s="355" t="s">
        <v>250</v>
      </c>
      <c r="C1891" s="1562">
        <v>40085.0</v>
      </c>
      <c r="D1891" s="355">
        <v>56.0</v>
      </c>
      <c r="E1891" s="1624" t="s">
        <v>250</v>
      </c>
      <c r="F1891" s="1624"/>
      <c r="G1891" s="1624"/>
    </row>
    <row r="1892">
      <c r="A1892" s="1501" t="s">
        <v>1577</v>
      </c>
      <c r="B1892" s="1501" t="s">
        <v>250</v>
      </c>
      <c r="C1892" s="1564">
        <v>24841.0</v>
      </c>
      <c r="D1892" s="1501">
        <v>31.0</v>
      </c>
      <c r="E1892" s="1" t="s">
        <v>250</v>
      </c>
      <c r="N1892" s="1489"/>
      <c r="O1892" s="1489"/>
      <c r="P1892" s="1489"/>
      <c r="Q1892" s="1489"/>
      <c r="R1892" s="1489"/>
      <c r="S1892" s="1489"/>
      <c r="T1892" s="1489"/>
      <c r="U1892" s="1489"/>
      <c r="V1892" s="1489"/>
      <c r="W1892" s="1489"/>
      <c r="X1892" s="1489"/>
      <c r="Y1892" s="1489"/>
      <c r="Z1892" s="1489"/>
    </row>
    <row r="1893">
      <c r="A1893" s="1632" t="s">
        <v>1578</v>
      </c>
      <c r="B1893" s="1632" t="s">
        <v>382</v>
      </c>
      <c r="C1893" s="1633">
        <v>166436.0</v>
      </c>
      <c r="D1893" s="1632">
        <v>200.0</v>
      </c>
      <c r="E1893" s="1" t="s">
        <v>382</v>
      </c>
    </row>
    <row r="1894">
      <c r="A1894" s="1490" t="s">
        <v>704</v>
      </c>
      <c r="B1894" s="1490" t="s">
        <v>382</v>
      </c>
      <c r="C1894" s="1597">
        <v>37353.0</v>
      </c>
      <c r="D1894" s="1490">
        <v>62.0</v>
      </c>
      <c r="E1894" s="1" t="s">
        <v>382</v>
      </c>
    </row>
    <row r="1895">
      <c r="A1895" s="1490" t="s">
        <v>1579</v>
      </c>
      <c r="B1895" s="1490" t="s">
        <v>382</v>
      </c>
      <c r="C1895" s="1597">
        <v>11161.0</v>
      </c>
      <c r="D1895" s="1490">
        <v>19.0</v>
      </c>
      <c r="E1895" s="1" t="s">
        <v>382</v>
      </c>
    </row>
    <row r="1896">
      <c r="A1896" s="1490" t="s">
        <v>1580</v>
      </c>
      <c r="B1896" s="1490" t="s">
        <v>382</v>
      </c>
      <c r="C1896" s="1597">
        <v>24877.0</v>
      </c>
      <c r="D1896" s="1490">
        <v>80.0</v>
      </c>
      <c r="E1896" s="1" t="s">
        <v>382</v>
      </c>
      <c r="H1896" s="1489"/>
      <c r="I1896" s="1489"/>
      <c r="J1896" s="1489"/>
      <c r="K1896" s="1489"/>
      <c r="L1896" s="1489"/>
      <c r="M1896" s="1489"/>
    </row>
    <row r="1897">
      <c r="A1897" s="1490" t="s">
        <v>1581</v>
      </c>
      <c r="B1897" s="1490" t="s">
        <v>382</v>
      </c>
      <c r="C1897" s="1597">
        <v>27109.0</v>
      </c>
      <c r="D1897" s="1490">
        <v>51.0</v>
      </c>
      <c r="E1897" s="1" t="s">
        <v>382</v>
      </c>
    </row>
    <row r="1898">
      <c r="A1898" s="1490" t="s">
        <v>1582</v>
      </c>
      <c r="B1898" s="1490" t="s">
        <v>382</v>
      </c>
      <c r="C1898" s="1597">
        <v>17505.0</v>
      </c>
      <c r="D1898" s="1490">
        <v>32.0</v>
      </c>
      <c r="E1898" s="1" t="s">
        <v>382</v>
      </c>
    </row>
    <row r="1899">
      <c r="A1899" s="1490" t="s">
        <v>1583</v>
      </c>
      <c r="B1899" s="1490" t="s">
        <v>382</v>
      </c>
      <c r="C1899" s="1597">
        <v>47079.0</v>
      </c>
      <c r="D1899" s="1490">
        <v>115.0</v>
      </c>
      <c r="E1899" s="1" t="s">
        <v>382</v>
      </c>
    </row>
    <row r="1900">
      <c r="A1900" s="1490" t="s">
        <v>1584</v>
      </c>
      <c r="B1900" s="1490" t="s">
        <v>382</v>
      </c>
      <c r="C1900" s="1597">
        <v>19026.0</v>
      </c>
      <c r="D1900" s="1490">
        <v>53.0</v>
      </c>
      <c r="E1900" s="1" t="s">
        <v>382</v>
      </c>
    </row>
    <row r="1901">
      <c r="A1901" s="1490" t="s">
        <v>1585</v>
      </c>
      <c r="B1901" s="1490" t="s">
        <v>382</v>
      </c>
      <c r="C1901" s="1597">
        <v>33190.0</v>
      </c>
      <c r="D1901" s="1490">
        <v>92.0</v>
      </c>
      <c r="E1901" s="1" t="s">
        <v>382</v>
      </c>
    </row>
    <row r="1902">
      <c r="A1902" s="1490" t="s">
        <v>1586</v>
      </c>
      <c r="B1902" s="1490" t="s">
        <v>382</v>
      </c>
      <c r="C1902" s="1597">
        <v>136744.0</v>
      </c>
      <c r="D1902" s="1490">
        <v>135.0</v>
      </c>
      <c r="E1902" s="1" t="s">
        <v>382</v>
      </c>
    </row>
    <row r="1903">
      <c r="A1903" s="1490" t="s">
        <v>1587</v>
      </c>
      <c r="B1903" s="1490" t="s">
        <v>382</v>
      </c>
      <c r="C1903" s="1597">
        <v>259103.0</v>
      </c>
      <c r="D1903" s="1490">
        <v>266.0</v>
      </c>
      <c r="E1903" s="1" t="s">
        <v>382</v>
      </c>
    </row>
    <row r="1904">
      <c r="A1904" s="1490" t="s">
        <v>546</v>
      </c>
      <c r="B1904" s="1490" t="s">
        <v>382</v>
      </c>
      <c r="C1904" s="1597">
        <v>90382.0</v>
      </c>
      <c r="D1904" s="1490">
        <v>131.0</v>
      </c>
      <c r="E1904" s="1" t="s">
        <v>382</v>
      </c>
    </row>
    <row r="1905">
      <c r="A1905" s="1490" t="s">
        <v>1588</v>
      </c>
      <c r="B1905" s="1490" t="s">
        <v>382</v>
      </c>
      <c r="C1905" s="1597">
        <v>211342.0</v>
      </c>
      <c r="D1905" s="1490">
        <v>211.0</v>
      </c>
      <c r="E1905" s="1" t="s">
        <v>382</v>
      </c>
    </row>
    <row r="1906">
      <c r="A1906" s="1490" t="s">
        <v>1034</v>
      </c>
      <c r="B1906" s="1490" t="s">
        <v>382</v>
      </c>
      <c r="C1906" s="1597">
        <v>82029.0</v>
      </c>
      <c r="D1906" s="1490">
        <v>124.0</v>
      </c>
      <c r="E1906" s="1" t="s">
        <v>382</v>
      </c>
    </row>
    <row r="1907">
      <c r="A1907" s="1490" t="s">
        <v>548</v>
      </c>
      <c r="B1907" s="1490" t="s">
        <v>382</v>
      </c>
      <c r="C1907" s="1597">
        <v>10710.0</v>
      </c>
      <c r="D1907" s="1490">
        <v>21.0</v>
      </c>
      <c r="E1907" s="1" t="s">
        <v>382</v>
      </c>
    </row>
    <row r="1908">
      <c r="A1908" s="1490" t="s">
        <v>1589</v>
      </c>
      <c r="B1908" s="1490" t="s">
        <v>382</v>
      </c>
      <c r="C1908" s="1597">
        <v>69524.0</v>
      </c>
      <c r="D1908" s="1490">
        <v>83.0</v>
      </c>
      <c r="E1908" s="1" t="s">
        <v>382</v>
      </c>
    </row>
    <row r="1909">
      <c r="A1909" s="1490" t="s">
        <v>1590</v>
      </c>
      <c r="B1909" s="1490" t="s">
        <v>382</v>
      </c>
      <c r="C1909" s="1597">
        <v>22698.0</v>
      </c>
      <c r="D1909" s="1490">
        <v>59.0</v>
      </c>
      <c r="E1909" s="1" t="s">
        <v>382</v>
      </c>
    </row>
    <row r="1910">
      <c r="A1910" s="1490" t="s">
        <v>1591</v>
      </c>
      <c r="B1910" s="1490" t="s">
        <v>382</v>
      </c>
      <c r="C1910" s="1597">
        <v>158652.0</v>
      </c>
      <c r="D1910" s="1490">
        <v>224.0</v>
      </c>
      <c r="E1910" s="1" t="s">
        <v>382</v>
      </c>
    </row>
    <row r="1911">
      <c r="A1911" s="1490" t="s">
        <v>552</v>
      </c>
      <c r="B1911" s="1490" t="s">
        <v>382</v>
      </c>
      <c r="C1911" s="1597">
        <v>73139.0</v>
      </c>
      <c r="D1911" s="1490">
        <v>114.0</v>
      </c>
      <c r="E1911" s="1" t="s">
        <v>382</v>
      </c>
    </row>
    <row r="1912">
      <c r="A1912" s="1490" t="s">
        <v>101</v>
      </c>
      <c r="B1912" s="1490" t="s">
        <v>382</v>
      </c>
      <c r="C1912" s="1597">
        <v>28383.0</v>
      </c>
      <c r="D1912" s="1490">
        <v>55.0</v>
      </c>
      <c r="E1912" s="1" t="s">
        <v>382</v>
      </c>
    </row>
    <row r="1913">
      <c r="A1913" s="1490" t="s">
        <v>1592</v>
      </c>
      <c r="B1913" s="1490" t="s">
        <v>382</v>
      </c>
      <c r="C1913" s="1597">
        <v>14029.0</v>
      </c>
      <c r="D1913" s="1490">
        <v>30.0</v>
      </c>
      <c r="E1913" s="1" t="s">
        <v>382</v>
      </c>
    </row>
    <row r="1914">
      <c r="A1914" s="1490" t="s">
        <v>112</v>
      </c>
      <c r="B1914" s="1490" t="s">
        <v>382</v>
      </c>
      <c r="C1914" s="1597">
        <v>11139.0</v>
      </c>
      <c r="D1914" s="1490">
        <v>29.0</v>
      </c>
      <c r="E1914" s="1" t="s">
        <v>382</v>
      </c>
    </row>
    <row r="1915">
      <c r="A1915" s="1490" t="s">
        <v>257</v>
      </c>
      <c r="B1915" s="1490" t="s">
        <v>382</v>
      </c>
      <c r="C1915" s="1597">
        <v>97645.0</v>
      </c>
      <c r="D1915" s="1490">
        <v>173.0</v>
      </c>
      <c r="E1915" s="1" t="s">
        <v>382</v>
      </c>
    </row>
    <row r="1916">
      <c r="A1916" s="1490" t="s">
        <v>1593</v>
      </c>
      <c r="B1916" s="1490" t="s">
        <v>382</v>
      </c>
      <c r="C1916" s="1597">
        <v>55655.0</v>
      </c>
      <c r="D1916" s="1490">
        <v>121.0</v>
      </c>
      <c r="E1916" s="1" t="s">
        <v>382</v>
      </c>
    </row>
    <row r="1917">
      <c r="A1917" s="1490" t="s">
        <v>1594</v>
      </c>
      <c r="B1917" s="1490" t="s">
        <v>382</v>
      </c>
      <c r="C1917" s="1597">
        <v>102912.0</v>
      </c>
      <c r="D1917" s="1490">
        <v>135.0</v>
      </c>
      <c r="E1917" s="1" t="s">
        <v>382</v>
      </c>
    </row>
    <row r="1918">
      <c r="A1918" s="1490" t="s">
        <v>713</v>
      </c>
      <c r="B1918" s="1490" t="s">
        <v>382</v>
      </c>
      <c r="C1918" s="1597">
        <v>332330.0</v>
      </c>
      <c r="D1918" s="1490">
        <v>366.0</v>
      </c>
      <c r="E1918" s="1" t="s">
        <v>382</v>
      </c>
    </row>
    <row r="1919">
      <c r="A1919" s="1490" t="s">
        <v>1595</v>
      </c>
      <c r="B1919" s="1490" t="s">
        <v>382</v>
      </c>
      <c r="C1919" s="1597">
        <v>27072.0</v>
      </c>
      <c r="D1919" s="1490">
        <v>27.0</v>
      </c>
      <c r="E1919" s="1" t="s">
        <v>382</v>
      </c>
    </row>
    <row r="1920">
      <c r="A1920" s="1490" t="s">
        <v>1596</v>
      </c>
      <c r="B1920" s="1490" t="s">
        <v>382</v>
      </c>
      <c r="C1920" s="1597">
        <v>36501.0</v>
      </c>
      <c r="D1920" s="1490">
        <v>40.0</v>
      </c>
      <c r="E1920" s="1" t="s">
        <v>382</v>
      </c>
    </row>
    <row r="1921">
      <c r="A1921" s="1490" t="s">
        <v>570</v>
      </c>
      <c r="B1921" s="1490" t="s">
        <v>382</v>
      </c>
      <c r="C1921" s="1597">
        <v>166614.0</v>
      </c>
      <c r="D1921" s="1490">
        <v>208.0</v>
      </c>
      <c r="E1921" s="1" t="s">
        <v>382</v>
      </c>
    </row>
    <row r="1922">
      <c r="A1922" s="1490" t="s">
        <v>1597</v>
      </c>
      <c r="B1922" s="1490" t="s">
        <v>382</v>
      </c>
      <c r="C1922" s="1597">
        <v>42733.0</v>
      </c>
      <c r="D1922" s="1490">
        <v>78.0</v>
      </c>
      <c r="E1922" s="1" t="s">
        <v>382</v>
      </c>
    </row>
    <row r="1923">
      <c r="A1923" s="1490" t="s">
        <v>1598</v>
      </c>
      <c r="B1923" s="1490" t="s">
        <v>382</v>
      </c>
      <c r="C1923" s="1597">
        <v>58856.0</v>
      </c>
      <c r="D1923" s="1490">
        <v>95.0</v>
      </c>
      <c r="E1923" s="1" t="s">
        <v>382</v>
      </c>
    </row>
    <row r="1924">
      <c r="A1924" s="1490" t="s">
        <v>1599</v>
      </c>
      <c r="B1924" s="1490" t="s">
        <v>382</v>
      </c>
      <c r="C1924" s="1597">
        <v>316739.0</v>
      </c>
      <c r="D1924" s="1490">
        <v>251.0</v>
      </c>
      <c r="E1924" s="1" t="s">
        <v>382</v>
      </c>
    </row>
    <row r="1925">
      <c r="A1925" s="1490" t="s">
        <v>1600</v>
      </c>
      <c r="B1925" s="1490" t="s">
        <v>382</v>
      </c>
      <c r="C1925" s="1597">
        <v>52005.0</v>
      </c>
      <c r="D1925" s="1490">
        <v>96.0</v>
      </c>
      <c r="E1925" s="1" t="s">
        <v>382</v>
      </c>
    </row>
    <row r="1926">
      <c r="A1926" s="1490" t="s">
        <v>576</v>
      </c>
      <c r="B1926" s="1490" t="s">
        <v>382</v>
      </c>
      <c r="C1926" s="1597">
        <v>379099.0</v>
      </c>
      <c r="D1926" s="1490">
        <v>389.0</v>
      </c>
      <c r="E1926" s="1" t="s">
        <v>382</v>
      </c>
    </row>
    <row r="1927">
      <c r="A1927" s="1490" t="s">
        <v>136</v>
      </c>
      <c r="B1927" s="1490" t="s">
        <v>382</v>
      </c>
      <c r="C1927" s="1597">
        <v>67560.0</v>
      </c>
      <c r="D1927" s="1490">
        <v>74.0</v>
      </c>
      <c r="E1927" s="1" t="s">
        <v>382</v>
      </c>
    </row>
    <row r="1928">
      <c r="A1928" s="1490" t="s">
        <v>1601</v>
      </c>
      <c r="B1928" s="1490" t="s">
        <v>382</v>
      </c>
      <c r="C1928" s="1597">
        <v>222846.0</v>
      </c>
      <c r="D1928" s="1490">
        <v>304.0</v>
      </c>
      <c r="E1928" s="1" t="s">
        <v>382</v>
      </c>
    </row>
    <row r="1929">
      <c r="A1929" s="1490" t="s">
        <v>1602</v>
      </c>
      <c r="B1929" s="1490" t="s">
        <v>382</v>
      </c>
      <c r="C1929" s="1597">
        <v>11573.0</v>
      </c>
      <c r="D1929" s="1490">
        <v>25.0</v>
      </c>
      <c r="E1929" s="1" t="s">
        <v>382</v>
      </c>
    </row>
    <row r="1930">
      <c r="A1930" s="1490" t="s">
        <v>224</v>
      </c>
      <c r="B1930" s="1490" t="s">
        <v>382</v>
      </c>
      <c r="C1930" s="1597">
        <v>8484.0</v>
      </c>
      <c r="D1930" s="1490">
        <v>14.0</v>
      </c>
      <c r="E1930" s="1" t="s">
        <v>382</v>
      </c>
    </row>
    <row r="1931">
      <c r="A1931" s="1490" t="s">
        <v>1603</v>
      </c>
      <c r="B1931" s="1490" t="s">
        <v>382</v>
      </c>
      <c r="C1931" s="1597">
        <v>60115.0</v>
      </c>
      <c r="D1931" s="1490">
        <v>95.0</v>
      </c>
      <c r="E1931" s="1" t="s">
        <v>382</v>
      </c>
    </row>
    <row r="1932">
      <c r="A1932" s="1490" t="s">
        <v>138</v>
      </c>
      <c r="B1932" s="1490" t="s">
        <v>382</v>
      </c>
      <c r="C1932" s="1597">
        <v>21012.0</v>
      </c>
      <c r="D1932" s="1490">
        <v>31.0</v>
      </c>
      <c r="E1932" s="1" t="s">
        <v>382</v>
      </c>
    </row>
    <row r="1933">
      <c r="A1933" s="1490" t="s">
        <v>1604</v>
      </c>
      <c r="B1933" s="1490" t="s">
        <v>382</v>
      </c>
      <c r="C1933" s="1597">
        <v>533670.0</v>
      </c>
      <c r="D1933" s="1490">
        <v>532.0</v>
      </c>
      <c r="E1933" s="1" t="s">
        <v>382</v>
      </c>
    </row>
    <row r="1934">
      <c r="A1934" s="1490" t="s">
        <v>1605</v>
      </c>
      <c r="B1934" s="1490" t="s">
        <v>382</v>
      </c>
      <c r="C1934" s="1597">
        <v>50574.0</v>
      </c>
      <c r="D1934" s="1490">
        <v>135.0</v>
      </c>
      <c r="E1934" s="1" t="s">
        <v>382</v>
      </c>
    </row>
    <row r="1935">
      <c r="A1935" s="1490" t="s">
        <v>1606</v>
      </c>
      <c r="B1935" s="1490" t="s">
        <v>382</v>
      </c>
      <c r="C1935" s="1597">
        <v>134214.0</v>
      </c>
      <c r="D1935" s="1490">
        <v>164.0</v>
      </c>
      <c r="E1935" s="1" t="s">
        <v>382</v>
      </c>
    </row>
    <row r="1936">
      <c r="A1936" s="1490" t="s">
        <v>1607</v>
      </c>
      <c r="B1936" s="1490" t="s">
        <v>382</v>
      </c>
      <c r="C1936" s="1597">
        <v>61971.0</v>
      </c>
      <c r="D1936" s="1490">
        <v>85.0</v>
      </c>
      <c r="E1936" s="1" t="s">
        <v>382</v>
      </c>
    </row>
    <row r="1937">
      <c r="A1937" s="1490" t="s">
        <v>722</v>
      </c>
      <c r="B1937" s="1490" t="s">
        <v>382</v>
      </c>
      <c r="C1937" s="1597">
        <v>116748.0</v>
      </c>
      <c r="D1937" s="1490">
        <v>106.0</v>
      </c>
      <c r="E1937" s="1" t="s">
        <v>382</v>
      </c>
    </row>
    <row r="1938">
      <c r="A1938" s="1490" t="s">
        <v>1608</v>
      </c>
      <c r="B1938" s="1490" t="s">
        <v>382</v>
      </c>
      <c r="C1938" s="1597">
        <v>23659.0</v>
      </c>
      <c r="D1938" s="1490">
        <v>46.0</v>
      </c>
      <c r="E1938" s="1" t="s">
        <v>382</v>
      </c>
    </row>
    <row r="1939">
      <c r="A1939" s="1490" t="s">
        <v>1609</v>
      </c>
      <c r="B1939" s="1490" t="s">
        <v>382</v>
      </c>
      <c r="C1939" s="1597">
        <v>54764.0</v>
      </c>
      <c r="D1939" s="1490">
        <v>61.0</v>
      </c>
      <c r="E1939" s="1" t="s">
        <v>382</v>
      </c>
    </row>
    <row r="1940">
      <c r="A1940" s="1490" t="s">
        <v>1610</v>
      </c>
      <c r="B1940" s="1490" t="s">
        <v>382</v>
      </c>
      <c r="C1940" s="1597">
        <v>5230.0</v>
      </c>
      <c r="D1940" s="1490">
        <v>7.0</v>
      </c>
      <c r="E1940" s="1" t="s">
        <v>382</v>
      </c>
    </row>
    <row r="1941">
      <c r="A1941" s="1490" t="s">
        <v>1611</v>
      </c>
      <c r="B1941" s="1490" t="s">
        <v>382</v>
      </c>
      <c r="C1941" s="1597">
        <v>178435.0</v>
      </c>
      <c r="D1941" s="1490">
        <v>213.0</v>
      </c>
      <c r="E1941" s="1" t="s">
        <v>382</v>
      </c>
    </row>
    <row r="1942">
      <c r="A1942" s="1490" t="s">
        <v>142</v>
      </c>
      <c r="B1942" s="1490" t="s">
        <v>382</v>
      </c>
      <c r="C1942" s="1597">
        <v>43327.0</v>
      </c>
      <c r="D1942" s="1490">
        <v>51.0</v>
      </c>
      <c r="E1942" s="1" t="s">
        <v>382</v>
      </c>
    </row>
    <row r="1943">
      <c r="A1943" s="1490" t="s">
        <v>1612</v>
      </c>
      <c r="B1943" s="1490" t="s">
        <v>382</v>
      </c>
      <c r="C1943" s="1597">
        <v>202675.0</v>
      </c>
      <c r="D1943" s="1490">
        <v>209.0</v>
      </c>
      <c r="E1943" s="1" t="s">
        <v>382</v>
      </c>
    </row>
    <row r="1944">
      <c r="A1944" s="1490" t="s">
        <v>598</v>
      </c>
      <c r="B1944" s="1490" t="s">
        <v>382</v>
      </c>
      <c r="C1944" s="1597">
        <v>9637.0</v>
      </c>
      <c r="D1944" s="1490">
        <v>26.0</v>
      </c>
      <c r="E1944" s="1" t="s">
        <v>382</v>
      </c>
    </row>
    <row r="1945">
      <c r="A1945" s="1490" t="s">
        <v>147</v>
      </c>
      <c r="B1945" s="1490" t="s">
        <v>382</v>
      </c>
      <c r="C1945" s="1597">
        <v>61452.0</v>
      </c>
      <c r="D1945" s="1490">
        <v>101.0</v>
      </c>
      <c r="E1945" s="1" t="s">
        <v>382</v>
      </c>
    </row>
    <row r="1946">
      <c r="A1946" s="1490" t="s">
        <v>1613</v>
      </c>
      <c r="B1946" s="1490" t="s">
        <v>382</v>
      </c>
      <c r="C1946" s="1597">
        <v>55976.0</v>
      </c>
      <c r="D1946" s="1490">
        <v>120.0</v>
      </c>
      <c r="E1946" s="1" t="s">
        <v>382</v>
      </c>
    </row>
    <row r="1947">
      <c r="A1947" s="1490" t="s">
        <v>290</v>
      </c>
      <c r="B1947" s="1490" t="s">
        <v>382</v>
      </c>
      <c r="C1947" s="1597">
        <v>83770.0</v>
      </c>
      <c r="D1947" s="1490">
        <v>109.0</v>
      </c>
      <c r="E1947" s="1" t="s">
        <v>382</v>
      </c>
    </row>
    <row r="1948">
      <c r="A1948" s="1490" t="s">
        <v>1614</v>
      </c>
      <c r="B1948" s="1490" t="s">
        <v>382</v>
      </c>
      <c r="C1948" s="1597">
        <v>45507.0</v>
      </c>
      <c r="D1948" s="1490">
        <v>72.0</v>
      </c>
      <c r="E1948" s="1" t="s">
        <v>382</v>
      </c>
    </row>
    <row r="1949">
      <c r="A1949" s="1490" t="s">
        <v>150</v>
      </c>
      <c r="B1949" s="1490" t="s">
        <v>382</v>
      </c>
      <c r="C1949" s="1597">
        <v>35285.0</v>
      </c>
      <c r="D1949" s="1490">
        <v>63.0</v>
      </c>
      <c r="E1949" s="1" t="s">
        <v>382</v>
      </c>
    </row>
    <row r="1950">
      <c r="A1950" s="1490" t="s">
        <v>151</v>
      </c>
      <c r="B1950" s="1490" t="s">
        <v>382</v>
      </c>
      <c r="C1950" s="1597">
        <v>21763.0</v>
      </c>
      <c r="D1950" s="1490">
        <v>23.0</v>
      </c>
      <c r="E1950" s="1" t="s">
        <v>382</v>
      </c>
    </row>
    <row r="1951">
      <c r="A1951" s="1490" t="s">
        <v>510</v>
      </c>
      <c r="B1951" s="1490" t="s">
        <v>382</v>
      </c>
      <c r="C1951" s="1597">
        <v>22671.0</v>
      </c>
      <c r="D1951" s="1490">
        <v>66.0</v>
      </c>
      <c r="E1951" s="1" t="s">
        <v>382</v>
      </c>
    </row>
    <row r="1952">
      <c r="A1952" s="1490" t="s">
        <v>381</v>
      </c>
      <c r="B1952" s="1490" t="s">
        <v>382</v>
      </c>
      <c r="C1952" s="1597">
        <v>1093901.0</v>
      </c>
      <c r="D1952" s="1490">
        <v>583.0</v>
      </c>
      <c r="E1952" s="1" t="s">
        <v>382</v>
      </c>
    </row>
    <row r="1953">
      <c r="A1953" s="1490" t="s">
        <v>610</v>
      </c>
      <c r="B1953" s="1490" t="s">
        <v>382</v>
      </c>
      <c r="C1953" s="1597">
        <v>15000.0</v>
      </c>
      <c r="D1953" s="1490">
        <v>32.0</v>
      </c>
      <c r="E1953" s="1" t="s">
        <v>382</v>
      </c>
    </row>
    <row r="1954">
      <c r="A1954" s="1490" t="s">
        <v>157</v>
      </c>
      <c r="B1954" s="1490" t="s">
        <v>382</v>
      </c>
      <c r="C1954" s="1597">
        <v>27271.0</v>
      </c>
      <c r="D1954" s="1490">
        <v>59.0</v>
      </c>
      <c r="E1954" s="1" t="s">
        <v>382</v>
      </c>
    </row>
    <row r="1955">
      <c r="A1955" s="1490" t="s">
        <v>1615</v>
      </c>
      <c r="B1955" s="1490" t="s">
        <v>382</v>
      </c>
      <c r="C1955" s="1597">
        <v>98682.0</v>
      </c>
      <c r="D1955" s="1490">
        <v>128.0</v>
      </c>
      <c r="E1955" s="1" t="s">
        <v>382</v>
      </c>
    </row>
    <row r="1956">
      <c r="A1956" s="1490" t="s">
        <v>1616</v>
      </c>
      <c r="B1956" s="1490" t="s">
        <v>382</v>
      </c>
      <c r="C1956" s="1597">
        <v>94016.0</v>
      </c>
      <c r="D1956" s="1490">
        <v>168.0</v>
      </c>
      <c r="E1956" s="1" t="s">
        <v>382</v>
      </c>
    </row>
    <row r="1957">
      <c r="A1957" s="1490" t="s">
        <v>1617</v>
      </c>
      <c r="B1957" s="1490" t="s">
        <v>382</v>
      </c>
      <c r="C1957" s="1597">
        <v>232274.0</v>
      </c>
      <c r="D1957" s="1490">
        <v>177.0</v>
      </c>
      <c r="E1957" s="1" t="s">
        <v>382</v>
      </c>
    </row>
    <row r="1958">
      <c r="A1958" s="1490" t="s">
        <v>1618</v>
      </c>
      <c r="B1958" s="1490" t="s">
        <v>382</v>
      </c>
      <c r="C1958" s="1597">
        <v>19676.0</v>
      </c>
      <c r="D1958" s="1490">
        <v>39.0</v>
      </c>
      <c r="E1958" s="1" t="s">
        <v>382</v>
      </c>
    </row>
    <row r="1959">
      <c r="A1959" s="1490" t="s">
        <v>1619</v>
      </c>
      <c r="B1959" s="1490" t="s">
        <v>382</v>
      </c>
      <c r="C1959" s="1597">
        <v>197683.0</v>
      </c>
      <c r="D1959" s="1490">
        <v>146.0</v>
      </c>
      <c r="E1959" s="1" t="s">
        <v>382</v>
      </c>
    </row>
    <row r="1960">
      <c r="A1960" s="1490" t="s">
        <v>241</v>
      </c>
      <c r="B1960" s="1490" t="s">
        <v>382</v>
      </c>
      <c r="C1960" s="1597">
        <v>146027.0</v>
      </c>
      <c r="D1960" s="1490">
        <v>121.0</v>
      </c>
      <c r="E1960" s="1" t="s">
        <v>382</v>
      </c>
    </row>
    <row r="1961">
      <c r="A1961" s="1490" t="s">
        <v>1620</v>
      </c>
      <c r="B1961" s="1490" t="s">
        <v>382</v>
      </c>
      <c r="C1961" s="1597">
        <v>12670.0</v>
      </c>
      <c r="D1961" s="1490">
        <v>25.0</v>
      </c>
      <c r="E1961" s="1" t="s">
        <v>382</v>
      </c>
    </row>
    <row r="1962">
      <c r="A1962" s="1490" t="s">
        <v>1621</v>
      </c>
      <c r="B1962" s="1490" t="s">
        <v>382</v>
      </c>
      <c r="C1962" s="1597">
        <v>39639.0</v>
      </c>
      <c r="D1962" s="1490">
        <v>58.0</v>
      </c>
      <c r="E1962" s="1" t="s">
        <v>382</v>
      </c>
    </row>
    <row r="1963">
      <c r="A1963" s="1490" t="s">
        <v>1622</v>
      </c>
      <c r="B1963" s="1490" t="s">
        <v>382</v>
      </c>
      <c r="C1963" s="1597">
        <v>62162.0</v>
      </c>
      <c r="D1963" s="1490">
        <v>63.0</v>
      </c>
      <c r="E1963" s="1" t="s">
        <v>382</v>
      </c>
    </row>
    <row r="1964">
      <c r="A1964" s="1490" t="s">
        <v>1623</v>
      </c>
      <c r="B1964" s="1490" t="s">
        <v>382</v>
      </c>
      <c r="C1964" s="1597">
        <v>13422.0</v>
      </c>
      <c r="D1964" s="1490">
        <v>25.0</v>
      </c>
      <c r="E1964" s="1" t="s">
        <v>382</v>
      </c>
    </row>
    <row r="1965">
      <c r="A1965" s="1490" t="s">
        <v>1624</v>
      </c>
      <c r="B1965" s="1490" t="s">
        <v>382</v>
      </c>
      <c r="C1965" s="1597">
        <v>39507.0</v>
      </c>
      <c r="D1965" s="1490">
        <v>82.0</v>
      </c>
      <c r="E1965" s="1" t="s">
        <v>382</v>
      </c>
    </row>
    <row r="1966">
      <c r="A1966" s="1490" t="s">
        <v>1625</v>
      </c>
      <c r="B1966" s="1490" t="s">
        <v>382</v>
      </c>
      <c r="C1966" s="1597">
        <v>179914.0</v>
      </c>
      <c r="D1966" s="1490">
        <v>188.0</v>
      </c>
      <c r="E1966" s="1" t="s">
        <v>382</v>
      </c>
    </row>
    <row r="1967">
      <c r="A1967" s="1490" t="s">
        <v>302</v>
      </c>
      <c r="B1967" s="1490" t="s">
        <v>382</v>
      </c>
      <c r="C1967" s="1597">
        <v>20611.0</v>
      </c>
      <c r="D1967" s="1490">
        <v>40.0</v>
      </c>
      <c r="E1967" s="1" t="s">
        <v>382</v>
      </c>
    </row>
    <row r="1968">
      <c r="A1968" s="1490" t="s">
        <v>163</v>
      </c>
      <c r="B1968" s="1490" t="s">
        <v>382</v>
      </c>
      <c r="C1968" s="1597">
        <v>143351.0</v>
      </c>
      <c r="D1968" s="1490">
        <v>230.0</v>
      </c>
      <c r="E1968" s="1" t="s">
        <v>382</v>
      </c>
    </row>
    <row r="1969">
      <c r="A1969" s="1490" t="s">
        <v>621</v>
      </c>
      <c r="B1969" s="1490" t="s">
        <v>382</v>
      </c>
      <c r="C1969" s="1597">
        <v>44887.0</v>
      </c>
      <c r="D1969" s="1490">
        <v>111.0</v>
      </c>
      <c r="E1969" s="1" t="s">
        <v>382</v>
      </c>
    </row>
    <row r="1970">
      <c r="A1970" s="1490" t="s">
        <v>1626</v>
      </c>
      <c r="B1970" s="1490" t="s">
        <v>382</v>
      </c>
      <c r="C1970" s="1597">
        <v>131831.0</v>
      </c>
      <c r="D1970" s="1490">
        <v>248.0</v>
      </c>
      <c r="E1970" s="1" t="s">
        <v>382</v>
      </c>
    </row>
    <row r="1971">
      <c r="A1971" s="1490" t="s">
        <v>1523</v>
      </c>
      <c r="B1971" s="1490" t="s">
        <v>382</v>
      </c>
      <c r="C1971" s="1597">
        <v>90690.0</v>
      </c>
      <c r="D1971" s="1490">
        <v>175.0</v>
      </c>
      <c r="E1971" s="1" t="s">
        <v>382</v>
      </c>
    </row>
    <row r="1972">
      <c r="A1972" s="1490" t="s">
        <v>1133</v>
      </c>
      <c r="B1972" s="1490" t="s">
        <v>382</v>
      </c>
      <c r="C1972" s="1597">
        <v>141262.0</v>
      </c>
      <c r="D1972" s="1490">
        <v>253.0</v>
      </c>
      <c r="E1972" s="1" t="s">
        <v>382</v>
      </c>
    </row>
    <row r="1973">
      <c r="A1973" s="1490" t="s">
        <v>1627</v>
      </c>
      <c r="B1973" s="1490" t="s">
        <v>382</v>
      </c>
      <c r="C1973" s="1597">
        <v>66826.0</v>
      </c>
      <c r="D1973" s="1490">
        <v>119.0</v>
      </c>
      <c r="E1973" s="1" t="s">
        <v>382</v>
      </c>
    </row>
    <row r="1974">
      <c r="A1974" s="1490" t="s">
        <v>1628</v>
      </c>
      <c r="B1974" s="1490" t="s">
        <v>382</v>
      </c>
      <c r="C1974" s="1597">
        <v>63626.0</v>
      </c>
      <c r="D1974" s="1490">
        <v>182.0</v>
      </c>
      <c r="E1974" s="1" t="s">
        <v>382</v>
      </c>
    </row>
    <row r="1975">
      <c r="A1975" s="1490" t="s">
        <v>1425</v>
      </c>
      <c r="B1975" s="1490" t="s">
        <v>382</v>
      </c>
      <c r="C1975" s="1597">
        <v>34810.0</v>
      </c>
      <c r="D1975" s="1490">
        <v>65.0</v>
      </c>
      <c r="E1975" s="1" t="s">
        <v>382</v>
      </c>
    </row>
    <row r="1976">
      <c r="A1976" s="1490" t="s">
        <v>1629</v>
      </c>
      <c r="B1976" s="1490" t="s">
        <v>382</v>
      </c>
      <c r="C1976" s="1597">
        <v>62075.0</v>
      </c>
      <c r="D1976" s="1490">
        <v>130.0</v>
      </c>
      <c r="E1976" s="1" t="s">
        <v>382</v>
      </c>
    </row>
    <row r="1977">
      <c r="A1977" s="1490" t="s">
        <v>1630</v>
      </c>
      <c r="B1977" s="1490" t="s">
        <v>382</v>
      </c>
      <c r="C1977" s="1597">
        <v>45467.0</v>
      </c>
      <c r="D1977" s="1490">
        <v>66.0</v>
      </c>
      <c r="E1977" s="1" t="s">
        <v>382</v>
      </c>
    </row>
    <row r="1978">
      <c r="A1978" s="1490" t="s">
        <v>1631</v>
      </c>
      <c r="B1978" s="1490" t="s">
        <v>382</v>
      </c>
      <c r="C1978" s="1597">
        <v>71948.0</v>
      </c>
      <c r="D1978" s="1490">
        <v>129.0</v>
      </c>
      <c r="E1978" s="1" t="s">
        <v>382</v>
      </c>
    </row>
    <row r="1979">
      <c r="A1979" s="1490" t="s">
        <v>1632</v>
      </c>
      <c r="B1979" s="1490" t="s">
        <v>382</v>
      </c>
      <c r="C1979" s="1597">
        <v>14245.0</v>
      </c>
      <c r="D1979" s="1490">
        <v>23.0</v>
      </c>
      <c r="E1979" s="1" t="s">
        <v>382</v>
      </c>
    </row>
    <row r="1980">
      <c r="A1980" s="1490" t="s">
        <v>1633</v>
      </c>
      <c r="B1980" s="1490" t="s">
        <v>382</v>
      </c>
      <c r="C1980" s="1597">
        <v>34215.0</v>
      </c>
      <c r="D1980" s="1490">
        <v>53.0</v>
      </c>
      <c r="E1980" s="1" t="s">
        <v>382</v>
      </c>
    </row>
    <row r="1981">
      <c r="A1981" s="1490" t="s">
        <v>1634</v>
      </c>
      <c r="B1981" s="1490" t="s">
        <v>382</v>
      </c>
      <c r="C1981" s="1597">
        <v>4131.0</v>
      </c>
      <c r="D1981" s="1490">
        <v>9.0</v>
      </c>
      <c r="E1981" s="1" t="s">
        <v>382</v>
      </c>
    </row>
    <row r="1982">
      <c r="A1982" s="1490" t="s">
        <v>316</v>
      </c>
      <c r="B1982" s="1490" t="s">
        <v>382</v>
      </c>
      <c r="C1982" s="1597">
        <v>235908.0</v>
      </c>
      <c r="D1982" s="1490">
        <v>174.0</v>
      </c>
      <c r="E1982" s="1" t="s">
        <v>382</v>
      </c>
    </row>
    <row r="1983">
      <c r="A1983" s="1490" t="s">
        <v>1635</v>
      </c>
      <c r="B1983" s="1490" t="s">
        <v>382</v>
      </c>
      <c r="C1983" s="1597">
        <v>44582.0</v>
      </c>
      <c r="D1983" s="1490">
        <v>89.0</v>
      </c>
      <c r="E1983" s="1" t="s">
        <v>382</v>
      </c>
    </row>
    <row r="1984">
      <c r="A1984" s="1490" t="s">
        <v>385</v>
      </c>
      <c r="B1984" s="1490" t="s">
        <v>382</v>
      </c>
      <c r="C1984" s="1597">
        <v>1092305.0</v>
      </c>
      <c r="D1984" s="1490">
        <v>589.0</v>
      </c>
      <c r="E1984" s="1" t="s">
        <v>382</v>
      </c>
    </row>
    <row r="1985">
      <c r="A1985" s="1490" t="s">
        <v>647</v>
      </c>
      <c r="B1985" s="1490" t="s">
        <v>382</v>
      </c>
      <c r="C1985" s="1597">
        <v>19807.0</v>
      </c>
      <c r="D1985" s="1490">
        <v>46.0</v>
      </c>
      <c r="E1985" s="1" t="s">
        <v>382</v>
      </c>
    </row>
    <row r="1986">
      <c r="A1986" s="1490" t="s">
        <v>119</v>
      </c>
      <c r="B1986" s="1490" t="s">
        <v>382</v>
      </c>
      <c r="C1986" s="1597">
        <v>11859.0</v>
      </c>
      <c r="D1986" s="1490">
        <v>32.0</v>
      </c>
      <c r="E1986" s="1" t="s">
        <v>382</v>
      </c>
    </row>
    <row r="1987">
      <c r="A1987" s="1490" t="s">
        <v>1636</v>
      </c>
      <c r="B1987" s="1490" t="s">
        <v>382</v>
      </c>
      <c r="C1987" s="1597">
        <v>55945.0</v>
      </c>
      <c r="D1987" s="1490">
        <v>62.0</v>
      </c>
      <c r="E1987" s="1" t="s">
        <v>382</v>
      </c>
    </row>
    <row r="1988">
      <c r="A1988" s="1490" t="s">
        <v>273</v>
      </c>
      <c r="B1988" s="1490" t="s">
        <v>382</v>
      </c>
      <c r="C1988" s="1597">
        <v>123248.0</v>
      </c>
      <c r="D1988" s="1490">
        <v>217.0</v>
      </c>
      <c r="E1988" s="1" t="s">
        <v>382</v>
      </c>
    </row>
    <row r="1989">
      <c r="A1989" s="1490" t="s">
        <v>653</v>
      </c>
      <c r="B1989" s="1490" t="s">
        <v>382</v>
      </c>
      <c r="C1989" s="1597">
        <v>68557.0</v>
      </c>
      <c r="D1989" s="1490">
        <v>126.0</v>
      </c>
      <c r="E1989" s="1" t="s">
        <v>382</v>
      </c>
    </row>
    <row r="1990">
      <c r="A1990" s="1490" t="s">
        <v>1021</v>
      </c>
      <c r="B1990" s="1490" t="s">
        <v>382</v>
      </c>
      <c r="C1990" s="1597">
        <v>81455.0</v>
      </c>
      <c r="D1990" s="1490">
        <v>131.0</v>
      </c>
      <c r="E1990" s="1" t="s">
        <v>382</v>
      </c>
    </row>
    <row r="1991">
      <c r="A1991" s="1490" t="s">
        <v>1637</v>
      </c>
      <c r="B1991" s="1490" t="s">
        <v>382</v>
      </c>
      <c r="C1991" s="1597">
        <v>37543.0</v>
      </c>
      <c r="D1991" s="1490">
        <v>75.0</v>
      </c>
      <c r="E1991" s="1624" t="s">
        <v>382</v>
      </c>
      <c r="F1991" s="1624"/>
      <c r="G1991" s="1624"/>
    </row>
    <row r="1992">
      <c r="A1992" s="1496" t="s">
        <v>1638</v>
      </c>
      <c r="B1992" s="1496" t="s">
        <v>382</v>
      </c>
      <c r="C1992" s="1598">
        <v>17903.0</v>
      </c>
      <c r="D1992" s="1496">
        <v>17.0</v>
      </c>
      <c r="E1992" s="1" t="s">
        <v>382</v>
      </c>
      <c r="N1992" s="1489"/>
      <c r="O1992" s="1489"/>
      <c r="P1992" s="1489"/>
      <c r="Q1992" s="1489"/>
      <c r="R1992" s="1489"/>
      <c r="S1992" s="1489"/>
      <c r="T1992" s="1489"/>
      <c r="U1992" s="1489"/>
      <c r="V1992" s="1489"/>
      <c r="W1992" s="1489"/>
      <c r="X1992" s="1489"/>
      <c r="Y1992" s="1489"/>
      <c r="Z1992" s="1489"/>
    </row>
    <row r="1993">
      <c r="A1993" s="355" t="s">
        <v>386</v>
      </c>
      <c r="B1993" s="355" t="s">
        <v>1639</v>
      </c>
      <c r="C1993" s="1562">
        <v>2294.0</v>
      </c>
      <c r="D1993" s="355">
        <v>6.0</v>
      </c>
      <c r="E1993" s="1" t="s">
        <v>1639</v>
      </c>
    </row>
    <row r="1994">
      <c r="A1994" s="355" t="s">
        <v>1640</v>
      </c>
      <c r="B1994" s="355" t="s">
        <v>1639</v>
      </c>
      <c r="C1994" s="1562">
        <v>10542.0</v>
      </c>
      <c r="D1994" s="355">
        <v>26.0</v>
      </c>
      <c r="E1994" s="1" t="s">
        <v>1639</v>
      </c>
    </row>
    <row r="1995">
      <c r="A1995" s="355" t="s">
        <v>1641</v>
      </c>
      <c r="B1995" s="355" t="s">
        <v>1639</v>
      </c>
      <c r="C1995" s="1562">
        <v>6962.0</v>
      </c>
      <c r="D1995" s="355">
        <v>13.0</v>
      </c>
      <c r="E1995" s="1" t="s">
        <v>1639</v>
      </c>
    </row>
    <row r="1996">
      <c r="A1996" s="355" t="s">
        <v>1642</v>
      </c>
      <c r="B1996" s="355" t="s">
        <v>1639</v>
      </c>
      <c r="C1996" s="1562">
        <v>919.0</v>
      </c>
      <c r="D1996" s="355">
        <v>2.0</v>
      </c>
      <c r="E1996" s="1" t="s">
        <v>1639</v>
      </c>
      <c r="H1996" s="1489"/>
      <c r="I1996" s="1489"/>
      <c r="J1996" s="1489"/>
      <c r="K1996" s="1489"/>
      <c r="L1996" s="1489"/>
      <c r="M1996" s="1489"/>
    </row>
    <row r="1997">
      <c r="A1997" s="355" t="s">
        <v>1643</v>
      </c>
      <c r="B1997" s="355" t="s">
        <v>1639</v>
      </c>
      <c r="C1997" s="1562">
        <v>6411.0</v>
      </c>
      <c r="D1997" s="355">
        <v>16.0</v>
      </c>
      <c r="E1997" s="1" t="s">
        <v>1639</v>
      </c>
    </row>
    <row r="1998">
      <c r="A1998" s="355" t="s">
        <v>1644</v>
      </c>
      <c r="B1998" s="355" t="s">
        <v>1639</v>
      </c>
      <c r="C1998" s="1562">
        <v>3076.0</v>
      </c>
      <c r="D1998" s="355">
        <v>10.0</v>
      </c>
      <c r="E1998" s="1" t="s">
        <v>1639</v>
      </c>
    </row>
    <row r="1999">
      <c r="A1999" s="355" t="s">
        <v>546</v>
      </c>
      <c r="B1999" s="355" t="s">
        <v>1639</v>
      </c>
      <c r="C1999" s="1562">
        <v>2100.0</v>
      </c>
      <c r="D1999" s="355">
        <v>14.0</v>
      </c>
      <c r="E1999" s="1" t="s">
        <v>1639</v>
      </c>
    </row>
    <row r="2000">
      <c r="A2000" s="355" t="s">
        <v>1645</v>
      </c>
      <c r="B2000" s="355" t="s">
        <v>1639</v>
      </c>
      <c r="C2000" s="1562">
        <v>95273.0</v>
      </c>
      <c r="D2000" s="355">
        <v>58.0</v>
      </c>
      <c r="E2000" s="1" t="s">
        <v>1639</v>
      </c>
    </row>
    <row r="2001">
      <c r="A2001" s="355" t="s">
        <v>708</v>
      </c>
      <c r="B2001" s="355" t="s">
        <v>1639</v>
      </c>
      <c r="C2001" s="1562">
        <v>181516.0</v>
      </c>
      <c r="D2001" s="355">
        <v>103.0</v>
      </c>
      <c r="E2001" s="1" t="s">
        <v>1639</v>
      </c>
    </row>
    <row r="2002">
      <c r="A2002" s="355" t="s">
        <v>1646</v>
      </c>
      <c r="B2002" s="355" t="s">
        <v>1639</v>
      </c>
      <c r="C2002" s="1562">
        <v>3829.0</v>
      </c>
      <c r="D2002" s="355">
        <v>13.0</v>
      </c>
      <c r="E2002" s="1" t="s">
        <v>1639</v>
      </c>
    </row>
    <row r="2003">
      <c r="A2003" s="355" t="s">
        <v>1647</v>
      </c>
      <c r="B2003" s="355" t="s">
        <v>1639</v>
      </c>
      <c r="C2003" s="1562">
        <v>4903.0</v>
      </c>
      <c r="D2003" s="355">
        <v>18.0</v>
      </c>
      <c r="E2003" s="1" t="s">
        <v>1639</v>
      </c>
    </row>
    <row r="2004">
      <c r="A2004" s="355" t="s">
        <v>1648</v>
      </c>
      <c r="B2004" s="355" t="s">
        <v>1639</v>
      </c>
      <c r="C2004" s="1562">
        <v>2283.0</v>
      </c>
      <c r="D2004" s="355">
        <v>8.0</v>
      </c>
      <c r="E2004" s="1" t="s">
        <v>1639</v>
      </c>
    </row>
    <row r="2005">
      <c r="A2005" s="355" t="s">
        <v>1649</v>
      </c>
      <c r="B2005" s="355" t="s">
        <v>1639</v>
      </c>
      <c r="C2005" s="1562">
        <v>4332.0</v>
      </c>
      <c r="D2005" s="355">
        <v>7.0</v>
      </c>
      <c r="E2005" s="1" t="s">
        <v>1639</v>
      </c>
    </row>
    <row r="2006">
      <c r="A2006" s="355" t="s">
        <v>1538</v>
      </c>
      <c r="B2006" s="355" t="s">
        <v>1639</v>
      </c>
      <c r="C2006" s="1562">
        <v>2313.0</v>
      </c>
      <c r="D2006" s="355">
        <v>7.0</v>
      </c>
      <c r="E2006" s="1" t="s">
        <v>1639</v>
      </c>
    </row>
    <row r="2007">
      <c r="A2007" s="355" t="s">
        <v>1650</v>
      </c>
      <c r="B2007" s="355" t="s">
        <v>1639</v>
      </c>
      <c r="C2007" s="1562">
        <v>3295.0</v>
      </c>
      <c r="D2007" s="355">
        <v>11.0</v>
      </c>
      <c r="E2007" s="1" t="s">
        <v>1639</v>
      </c>
    </row>
    <row r="2008">
      <c r="A2008" s="355" t="s">
        <v>1651</v>
      </c>
      <c r="B2008" s="355" t="s">
        <v>1639</v>
      </c>
      <c r="C2008" s="1562">
        <v>3216.0</v>
      </c>
      <c r="D2008" s="355">
        <v>11.0</v>
      </c>
      <c r="E2008" s="1" t="s">
        <v>1639</v>
      </c>
    </row>
    <row r="2009">
      <c r="A2009" s="355" t="s">
        <v>1443</v>
      </c>
      <c r="B2009" s="355" t="s">
        <v>1639</v>
      </c>
      <c r="C2009" s="1562">
        <v>1769.0</v>
      </c>
      <c r="D2009" s="355">
        <v>7.0</v>
      </c>
      <c r="E2009" s="1" t="s">
        <v>1639</v>
      </c>
    </row>
    <row r="2010">
      <c r="A2010" s="355" t="s">
        <v>1652</v>
      </c>
      <c r="B2010" s="355" t="s">
        <v>1639</v>
      </c>
      <c r="C2010" s="1562">
        <v>70770.0</v>
      </c>
      <c r="D2010" s="355">
        <v>59.0</v>
      </c>
      <c r="E2010" s="1" t="s">
        <v>1639</v>
      </c>
    </row>
    <row r="2011">
      <c r="A2011" s="355" t="s">
        <v>278</v>
      </c>
      <c r="B2011" s="355" t="s">
        <v>1639</v>
      </c>
      <c r="C2011" s="1562">
        <v>2374.0</v>
      </c>
      <c r="D2011" s="355">
        <v>9.0</v>
      </c>
      <c r="E2011" s="1" t="s">
        <v>1639</v>
      </c>
    </row>
    <row r="2012">
      <c r="A2012" s="355" t="s">
        <v>1653</v>
      </c>
      <c r="B2012" s="355" t="s">
        <v>1639</v>
      </c>
      <c r="C2012" s="1562">
        <v>2232.0</v>
      </c>
      <c r="D2012" s="355">
        <v>10.0</v>
      </c>
      <c r="E2012" s="1" t="s">
        <v>1639</v>
      </c>
    </row>
    <row r="2013">
      <c r="A2013" s="355" t="s">
        <v>1654</v>
      </c>
      <c r="B2013" s="355" t="s">
        <v>1639</v>
      </c>
      <c r="C2013" s="1562">
        <v>2514.0</v>
      </c>
      <c r="D2013" s="355">
        <v>7.0</v>
      </c>
      <c r="E2013" s="1" t="s">
        <v>1639</v>
      </c>
    </row>
    <row r="2014">
      <c r="A2014" s="355" t="s">
        <v>1655</v>
      </c>
      <c r="B2014" s="355" t="s">
        <v>1639</v>
      </c>
      <c r="C2014" s="1562">
        <v>2450.0</v>
      </c>
      <c r="D2014" s="355">
        <v>9.0</v>
      </c>
      <c r="E2014" s="1" t="s">
        <v>1639</v>
      </c>
    </row>
    <row r="2015">
      <c r="A2015" s="355" t="s">
        <v>3867</v>
      </c>
      <c r="B2015" s="355" t="s">
        <v>1639</v>
      </c>
      <c r="C2015" s="1562">
        <v>4062.0</v>
      </c>
      <c r="D2015" s="355">
        <v>22.0</v>
      </c>
      <c r="E2015" s="1" t="s">
        <v>1639</v>
      </c>
    </row>
    <row r="2016">
      <c r="A2016" s="355" t="s">
        <v>293</v>
      </c>
      <c r="B2016" s="355" t="s">
        <v>1639</v>
      </c>
      <c r="C2016" s="1562">
        <v>1903.0</v>
      </c>
      <c r="D2016" s="355">
        <v>6.0</v>
      </c>
      <c r="E2016" s="1" t="s">
        <v>1639</v>
      </c>
    </row>
    <row r="2017">
      <c r="A2017" s="355" t="s">
        <v>732</v>
      </c>
      <c r="B2017" s="355" t="s">
        <v>1639</v>
      </c>
      <c r="C2017" s="1562">
        <v>5816.0</v>
      </c>
      <c r="D2017" s="355">
        <v>16.0</v>
      </c>
      <c r="E2017" s="1" t="s">
        <v>1639</v>
      </c>
    </row>
    <row r="2018">
      <c r="A2018" s="355" t="s">
        <v>606</v>
      </c>
      <c r="B2018" s="355" t="s">
        <v>1639</v>
      </c>
      <c r="C2018" s="1562">
        <v>2585.0</v>
      </c>
      <c r="D2018" s="355">
        <v>10.0</v>
      </c>
      <c r="E2018" s="1" t="s">
        <v>1639</v>
      </c>
    </row>
    <row r="2019">
      <c r="A2019" s="355" t="s">
        <v>3868</v>
      </c>
      <c r="B2019" s="355" t="s">
        <v>1639</v>
      </c>
      <c r="C2019" s="1562">
        <v>13632.0</v>
      </c>
      <c r="D2019" s="355">
        <v>10.0</v>
      </c>
      <c r="E2019" s="1" t="s">
        <v>1639</v>
      </c>
    </row>
    <row r="2020">
      <c r="A2020" s="355" t="s">
        <v>2515</v>
      </c>
      <c r="B2020" s="355" t="s">
        <v>1639</v>
      </c>
      <c r="C2020" s="1562">
        <v>9541.0</v>
      </c>
      <c r="D2020" s="355">
        <v>34.0</v>
      </c>
      <c r="E2020" s="1" t="s">
        <v>1639</v>
      </c>
    </row>
    <row r="2021">
      <c r="A2021" s="355" t="s">
        <v>738</v>
      </c>
      <c r="B2021" s="355" t="s">
        <v>1639</v>
      </c>
      <c r="C2021" s="1562">
        <v>8267.0</v>
      </c>
      <c r="D2021" s="355">
        <v>27.0</v>
      </c>
      <c r="E2021" s="1" t="s">
        <v>1639</v>
      </c>
    </row>
    <row r="2022">
      <c r="A2022" s="355" t="s">
        <v>991</v>
      </c>
      <c r="B2022" s="355" t="s">
        <v>1639</v>
      </c>
      <c r="C2022" s="1562">
        <v>31095.0</v>
      </c>
      <c r="D2022" s="355">
        <v>31.0</v>
      </c>
      <c r="E2022" s="1" t="s">
        <v>1639</v>
      </c>
    </row>
    <row r="2023">
      <c r="A2023" s="355" t="s">
        <v>1658</v>
      </c>
      <c r="B2023" s="355" t="s">
        <v>1639</v>
      </c>
      <c r="C2023" s="1562">
        <v>10218.0</v>
      </c>
      <c r="D2023" s="355">
        <v>16.0</v>
      </c>
      <c r="E2023" s="1" t="s">
        <v>1639</v>
      </c>
    </row>
    <row r="2024">
      <c r="A2024" s="355" t="s">
        <v>1125</v>
      </c>
      <c r="B2024" s="355" t="s">
        <v>1639</v>
      </c>
      <c r="C2024" s="1562">
        <v>2869.0</v>
      </c>
      <c r="D2024" s="355">
        <v>14.0</v>
      </c>
      <c r="E2024" s="1" t="s">
        <v>1639</v>
      </c>
    </row>
    <row r="2025">
      <c r="A2025" s="355" t="s">
        <v>1659</v>
      </c>
      <c r="B2025" s="355" t="s">
        <v>1639</v>
      </c>
      <c r="C2025" s="1562">
        <v>1952.0</v>
      </c>
      <c r="D2025" s="355">
        <v>4.0</v>
      </c>
      <c r="E2025" s="1" t="s">
        <v>1639</v>
      </c>
    </row>
    <row r="2026">
      <c r="A2026" s="355" t="s">
        <v>1660</v>
      </c>
      <c r="B2026" s="355" t="s">
        <v>1639</v>
      </c>
      <c r="C2026" s="1562">
        <v>6947.0</v>
      </c>
      <c r="D2026" s="355">
        <v>32.0</v>
      </c>
      <c r="E2026" s="1" t="s">
        <v>1639</v>
      </c>
    </row>
    <row r="2027">
      <c r="A2027" s="355" t="s">
        <v>473</v>
      </c>
      <c r="B2027" s="355" t="s">
        <v>1639</v>
      </c>
      <c r="C2027" s="1562">
        <v>4081.0</v>
      </c>
      <c r="D2027" s="355">
        <v>10.0</v>
      </c>
      <c r="E2027" s="1" t="s">
        <v>1639</v>
      </c>
    </row>
    <row r="2028">
      <c r="A2028" s="355" t="s">
        <v>645</v>
      </c>
      <c r="B2028" s="355" t="s">
        <v>1639</v>
      </c>
      <c r="C2028" s="1562">
        <v>11481.0</v>
      </c>
      <c r="D2028" s="355">
        <v>20.0</v>
      </c>
      <c r="E2028" s="1" t="s">
        <v>1639</v>
      </c>
    </row>
    <row r="2029">
      <c r="A2029" s="355" t="s">
        <v>1661</v>
      </c>
      <c r="B2029" s="355" t="s">
        <v>1639</v>
      </c>
      <c r="C2029" s="1562">
        <v>5237.0</v>
      </c>
      <c r="D2029" s="355">
        <v>14.0</v>
      </c>
      <c r="E2029" s="1" t="s">
        <v>1639</v>
      </c>
    </row>
    <row r="2030">
      <c r="A2030" s="355" t="s">
        <v>1340</v>
      </c>
      <c r="B2030" s="355" t="s">
        <v>1639</v>
      </c>
      <c r="C2030" s="1562">
        <v>2374.0</v>
      </c>
      <c r="D2030" s="355">
        <v>9.0</v>
      </c>
      <c r="E2030" s="1" t="s">
        <v>1639</v>
      </c>
    </row>
    <row r="2031">
      <c r="A2031" s="355" t="s">
        <v>743</v>
      </c>
      <c r="B2031" s="355" t="s">
        <v>1639</v>
      </c>
      <c r="C2031" s="1562">
        <v>16239.0</v>
      </c>
      <c r="D2031" s="355">
        <v>28.0</v>
      </c>
      <c r="E2031" s="1" t="s">
        <v>1639</v>
      </c>
    </row>
    <row r="2032">
      <c r="A2032" s="355" t="s">
        <v>1662</v>
      </c>
      <c r="B2032" s="355" t="s">
        <v>1639</v>
      </c>
      <c r="C2032" s="1562">
        <v>14301.0</v>
      </c>
      <c r="D2032" s="355">
        <v>20.0</v>
      </c>
      <c r="E2032" s="1" t="s">
        <v>1639</v>
      </c>
    </row>
    <row r="2033">
      <c r="A2033" s="355" t="s">
        <v>1663</v>
      </c>
      <c r="B2033" s="355" t="s">
        <v>1639</v>
      </c>
      <c r="C2033" s="1562">
        <v>3870.0</v>
      </c>
      <c r="D2033" s="355">
        <v>14.0</v>
      </c>
      <c r="E2033" s="1" t="s">
        <v>1639</v>
      </c>
    </row>
    <row r="2034">
      <c r="A2034" s="355" t="s">
        <v>1010</v>
      </c>
      <c r="B2034" s="355" t="s">
        <v>1639</v>
      </c>
      <c r="C2034" s="1562">
        <v>1349.0</v>
      </c>
      <c r="D2034" s="355">
        <v>7.0</v>
      </c>
      <c r="E2034" s="1" t="s">
        <v>1639</v>
      </c>
    </row>
    <row r="2035">
      <c r="A2035" s="355" t="s">
        <v>937</v>
      </c>
      <c r="B2035" s="355" t="s">
        <v>1639</v>
      </c>
      <c r="C2035" s="1562">
        <v>4358.0</v>
      </c>
      <c r="D2035" s="355">
        <v>4.0</v>
      </c>
      <c r="E2035" s="1" t="s">
        <v>1639</v>
      </c>
    </row>
    <row r="2036">
      <c r="A2036" s="355" t="s">
        <v>1664</v>
      </c>
      <c r="B2036" s="355" t="s">
        <v>1639</v>
      </c>
      <c r="C2036" s="1562">
        <v>763.0</v>
      </c>
      <c r="D2036" s="355" t="s">
        <v>63</v>
      </c>
      <c r="E2036" s="1"/>
    </row>
    <row r="2037">
      <c r="A2037" s="355" t="s">
        <v>747</v>
      </c>
      <c r="B2037" s="355" t="s">
        <v>1639</v>
      </c>
      <c r="C2037" s="1562">
        <v>30997.0</v>
      </c>
      <c r="D2037" s="355">
        <v>34.0</v>
      </c>
      <c r="E2037" s="1" t="s">
        <v>1639</v>
      </c>
    </row>
    <row r="2038">
      <c r="A2038" s="355" t="s">
        <v>1347</v>
      </c>
      <c r="B2038" s="355" t="s">
        <v>1639</v>
      </c>
      <c r="C2038" s="1562">
        <v>1903.0</v>
      </c>
      <c r="D2038" s="355">
        <v>6.0</v>
      </c>
      <c r="E2038" s="1" t="s">
        <v>1639</v>
      </c>
    </row>
    <row r="2039">
      <c r="A2039" s="355" t="s">
        <v>1665</v>
      </c>
      <c r="B2039" s="355" t="s">
        <v>1639</v>
      </c>
      <c r="C2039" s="1562">
        <v>20917.0</v>
      </c>
      <c r="D2039" s="355">
        <v>31.0</v>
      </c>
      <c r="E2039" s="1" t="s">
        <v>1639</v>
      </c>
    </row>
    <row r="2040">
      <c r="A2040" s="355" t="s">
        <v>1666</v>
      </c>
      <c r="B2040" s="355" t="s">
        <v>1639</v>
      </c>
      <c r="C2040" s="1562">
        <v>2192.0</v>
      </c>
      <c r="D2040" s="355">
        <v>9.0</v>
      </c>
      <c r="E2040" s="1" t="s">
        <v>1639</v>
      </c>
    </row>
    <row r="2041">
      <c r="A2041" s="355" t="s">
        <v>1667</v>
      </c>
      <c r="B2041" s="355" t="s">
        <v>1639</v>
      </c>
      <c r="C2041" s="1562">
        <v>8037.0</v>
      </c>
      <c r="D2041" s="355">
        <v>14.0</v>
      </c>
      <c r="E2041" s="1" t="s">
        <v>1639</v>
      </c>
    </row>
    <row r="2042">
      <c r="A2042" s="355" t="s">
        <v>1668</v>
      </c>
      <c r="B2042" s="355" t="s">
        <v>1639</v>
      </c>
      <c r="C2042" s="1562">
        <v>10667.0</v>
      </c>
      <c r="D2042" s="355">
        <v>24.0</v>
      </c>
      <c r="E2042" s="1" t="s">
        <v>1639</v>
      </c>
    </row>
    <row r="2043">
      <c r="A2043" s="355" t="s">
        <v>1669</v>
      </c>
      <c r="B2043" s="355" t="s">
        <v>1639</v>
      </c>
      <c r="C2043" s="1562">
        <v>67744.0</v>
      </c>
      <c r="D2043" s="355">
        <v>61.0</v>
      </c>
      <c r="E2043" s="1" t="s">
        <v>1639</v>
      </c>
    </row>
    <row r="2044">
      <c r="A2044" s="355" t="s">
        <v>876</v>
      </c>
      <c r="B2044" s="355" t="s">
        <v>1639</v>
      </c>
      <c r="C2044" s="1562">
        <v>3957.0</v>
      </c>
      <c r="D2044" s="355">
        <v>16.0</v>
      </c>
      <c r="E2044" s="1" t="s">
        <v>1639</v>
      </c>
    </row>
    <row r="2045">
      <c r="A2045" s="1501" t="s">
        <v>1670</v>
      </c>
      <c r="B2045" s="1501" t="s">
        <v>1639</v>
      </c>
      <c r="C2045" s="1564">
        <v>35350.0</v>
      </c>
      <c r="D2045" s="1501">
        <v>38.0</v>
      </c>
      <c r="E2045" s="1624" t="s">
        <v>1639</v>
      </c>
      <c r="F2045" s="1624"/>
      <c r="G2045" s="1624"/>
      <c r="N2045" s="1489"/>
      <c r="O2045" s="1489"/>
      <c r="P2045" s="1489"/>
      <c r="Q2045" s="1489"/>
      <c r="R2045" s="1489"/>
      <c r="S2045" s="1489"/>
      <c r="T2045" s="1489"/>
      <c r="U2045" s="1489"/>
      <c r="V2045" s="1489"/>
      <c r="W2045" s="1489"/>
      <c r="X2045" s="1489"/>
      <c r="Y2045" s="1489"/>
      <c r="Z2045" s="1489"/>
    </row>
    <row r="2046">
      <c r="A2046" s="1490" t="s">
        <v>386</v>
      </c>
      <c r="B2046" s="1490" t="s">
        <v>339</v>
      </c>
      <c r="C2046" s="1597">
        <v>27724.0</v>
      </c>
      <c r="D2046" s="1490">
        <v>26.0</v>
      </c>
      <c r="E2046" s="1" t="s">
        <v>339</v>
      </c>
    </row>
    <row r="2047">
      <c r="A2047" s="1490" t="s">
        <v>755</v>
      </c>
      <c r="B2047" s="1490" t="s">
        <v>339</v>
      </c>
      <c r="C2047" s="1597">
        <v>102663.0</v>
      </c>
      <c r="D2047" s="1490">
        <v>128.0</v>
      </c>
      <c r="E2047" s="1" t="s">
        <v>339</v>
      </c>
    </row>
    <row r="2048">
      <c r="A2048" s="1490" t="s">
        <v>1671</v>
      </c>
      <c r="B2048" s="1490" t="s">
        <v>339</v>
      </c>
      <c r="C2048" s="1597">
        <v>53745.0</v>
      </c>
      <c r="D2048" s="1490">
        <v>68.0</v>
      </c>
      <c r="E2048" s="1" t="s">
        <v>339</v>
      </c>
    </row>
    <row r="2049">
      <c r="A2049" s="1490" t="s">
        <v>1672</v>
      </c>
      <c r="B2049" s="1490" t="s">
        <v>339</v>
      </c>
      <c r="C2049" s="1597">
        <v>97493.0</v>
      </c>
      <c r="D2049" s="1490">
        <v>104.0</v>
      </c>
      <c r="E2049" s="1" t="s">
        <v>339</v>
      </c>
      <c r="H2049" s="1489"/>
      <c r="I2049" s="1489"/>
      <c r="J2049" s="1489"/>
      <c r="K2049" s="1489"/>
      <c r="L2049" s="1489"/>
      <c r="M2049" s="1489"/>
    </row>
    <row r="2050">
      <c r="A2050" s="1490" t="s">
        <v>1673</v>
      </c>
      <c r="B2050" s="1490" t="s">
        <v>339</v>
      </c>
      <c r="C2050" s="1597">
        <v>65818.0</v>
      </c>
      <c r="D2050" s="1490">
        <v>64.0</v>
      </c>
      <c r="E2050" s="1" t="s">
        <v>339</v>
      </c>
    </row>
    <row r="2051">
      <c r="A2051" s="1490" t="s">
        <v>1674</v>
      </c>
      <c r="B2051" s="1490" t="s">
        <v>339</v>
      </c>
      <c r="C2051" s="1597">
        <v>45804.0</v>
      </c>
      <c r="D2051" s="1490">
        <v>42.0</v>
      </c>
      <c r="E2051" s="1" t="s">
        <v>339</v>
      </c>
    </row>
    <row r="2052">
      <c r="A2052" s="1490" t="s">
        <v>1675</v>
      </c>
      <c r="B2052" s="1490" t="s">
        <v>339</v>
      </c>
      <c r="C2052" s="1597">
        <v>67505.0</v>
      </c>
      <c r="D2052" s="1490">
        <v>84.0</v>
      </c>
      <c r="E2052" s="1" t="s">
        <v>339</v>
      </c>
    </row>
    <row r="2053">
      <c r="A2053" s="1490" t="s">
        <v>706</v>
      </c>
      <c r="B2053" s="1490" t="s">
        <v>339</v>
      </c>
      <c r="C2053" s="1597">
        <v>43602.0</v>
      </c>
      <c r="D2053" s="1490">
        <v>44.0</v>
      </c>
      <c r="E2053" s="1" t="s">
        <v>339</v>
      </c>
    </row>
    <row r="2054">
      <c r="A2054" s="1490" t="s">
        <v>87</v>
      </c>
      <c r="B2054" s="1490" t="s">
        <v>339</v>
      </c>
      <c r="C2054" s="1597">
        <v>382378.0</v>
      </c>
      <c r="D2054" s="1490">
        <v>273.0</v>
      </c>
      <c r="E2054" s="1" t="s">
        <v>339</v>
      </c>
    </row>
    <row r="2055">
      <c r="A2055" s="1490" t="s">
        <v>248</v>
      </c>
      <c r="B2055" s="1490" t="s">
        <v>339</v>
      </c>
      <c r="C2055" s="1597">
        <v>27081.0</v>
      </c>
      <c r="D2055" s="1490">
        <v>42.0</v>
      </c>
      <c r="E2055" s="1" t="s">
        <v>339</v>
      </c>
    </row>
    <row r="2056">
      <c r="A2056" s="1490" t="s">
        <v>709</v>
      </c>
      <c r="B2056" s="1490" t="s">
        <v>339</v>
      </c>
      <c r="C2056" s="1597">
        <v>38754.0</v>
      </c>
      <c r="D2056" s="1490">
        <v>55.0</v>
      </c>
      <c r="E2056" s="1" t="s">
        <v>339</v>
      </c>
    </row>
    <row r="2057">
      <c r="A2057" s="1490" t="s">
        <v>253</v>
      </c>
      <c r="B2057" s="1490" t="s">
        <v>339</v>
      </c>
      <c r="C2057" s="1597">
        <v>134585.0</v>
      </c>
      <c r="D2057" s="1490">
        <v>141.0</v>
      </c>
      <c r="E2057" s="1" t="s">
        <v>339</v>
      </c>
    </row>
    <row r="2058">
      <c r="A2058" s="1490" t="s">
        <v>1676</v>
      </c>
      <c r="B2058" s="1490" t="s">
        <v>339</v>
      </c>
      <c r="C2058" s="1597">
        <v>205466.0</v>
      </c>
      <c r="D2058" s="1490">
        <v>140.0</v>
      </c>
      <c r="E2058" s="1" t="s">
        <v>339</v>
      </c>
    </row>
    <row r="2059">
      <c r="A2059" s="1490" t="s">
        <v>711</v>
      </c>
      <c r="B2059" s="1490" t="s">
        <v>339</v>
      </c>
      <c r="C2059" s="1597">
        <v>42057.0</v>
      </c>
      <c r="D2059" s="1490">
        <v>43.0</v>
      </c>
      <c r="E2059" s="1" t="s">
        <v>339</v>
      </c>
    </row>
    <row r="2060">
      <c r="A2060" s="1490" t="s">
        <v>1677</v>
      </c>
      <c r="B2060" s="1490" t="s">
        <v>339</v>
      </c>
      <c r="C2060" s="1597">
        <v>102665.0</v>
      </c>
      <c r="D2060" s="1490">
        <v>127.0</v>
      </c>
      <c r="E2060" s="1" t="s">
        <v>339</v>
      </c>
    </row>
    <row r="2061">
      <c r="A2061" s="1490" t="s">
        <v>1678</v>
      </c>
      <c r="B2061" s="1490" t="s">
        <v>339</v>
      </c>
      <c r="C2061" s="1597">
        <v>36629.0</v>
      </c>
      <c r="D2061" s="1490">
        <v>52.0</v>
      </c>
      <c r="E2061" s="1" t="s">
        <v>339</v>
      </c>
    </row>
    <row r="2062">
      <c r="A2062" s="1490" t="s">
        <v>263</v>
      </c>
      <c r="B2062" s="1490" t="s">
        <v>339</v>
      </c>
      <c r="C2062" s="1597">
        <v>41550.0</v>
      </c>
      <c r="D2062" s="1490">
        <v>70.0</v>
      </c>
      <c r="E2062" s="1" t="s">
        <v>339</v>
      </c>
    </row>
    <row r="2063">
      <c r="A2063" s="1490" t="s">
        <v>359</v>
      </c>
      <c r="B2063" s="1490" t="s">
        <v>339</v>
      </c>
      <c r="C2063" s="1597">
        <v>1243857.0</v>
      </c>
      <c r="D2063" s="1490">
        <v>805.0</v>
      </c>
      <c r="E2063" s="1" t="s">
        <v>339</v>
      </c>
    </row>
    <row r="2064">
      <c r="A2064" s="1490" t="s">
        <v>1679</v>
      </c>
      <c r="B2064" s="1490" t="s">
        <v>339</v>
      </c>
      <c r="C2064" s="1597">
        <v>51323.0</v>
      </c>
      <c r="D2064" s="1490">
        <v>71.0</v>
      </c>
      <c r="E2064" s="1" t="s">
        <v>339</v>
      </c>
    </row>
    <row r="2065">
      <c r="A2065" s="1490" t="s">
        <v>1680</v>
      </c>
      <c r="B2065" s="1490" t="s">
        <v>339</v>
      </c>
      <c r="C2065" s="1597">
        <v>38165.0</v>
      </c>
      <c r="D2065" s="1490">
        <v>54.0</v>
      </c>
      <c r="E2065" s="1" t="s">
        <v>339</v>
      </c>
    </row>
    <row r="2066">
      <c r="A2066" s="1490" t="s">
        <v>40</v>
      </c>
      <c r="B2066" s="1490" t="s">
        <v>339</v>
      </c>
      <c r="C2066" s="1597">
        <v>204826.0</v>
      </c>
      <c r="D2066" s="1490">
        <v>96.0</v>
      </c>
      <c r="E2066" s="1" t="s">
        <v>339</v>
      </c>
    </row>
    <row r="2067">
      <c r="A2067" s="1490" t="s">
        <v>464</v>
      </c>
      <c r="B2067" s="1490" t="s">
        <v>339</v>
      </c>
      <c r="C2067" s="1597">
        <v>74615.0</v>
      </c>
      <c r="D2067" s="1490">
        <v>70.0</v>
      </c>
      <c r="E2067" s="1" t="s">
        <v>339</v>
      </c>
    </row>
    <row r="2068">
      <c r="A2068" s="1490" t="s">
        <v>442</v>
      </c>
      <c r="B2068" s="1490" t="s">
        <v>339</v>
      </c>
      <c r="C2068" s="1597">
        <v>155782.0</v>
      </c>
      <c r="D2068" s="1490">
        <v>111.0</v>
      </c>
      <c r="E2068" s="1" t="s">
        <v>339</v>
      </c>
    </row>
    <row r="2069">
      <c r="A2069" s="1490" t="s">
        <v>135</v>
      </c>
      <c r="B2069" s="1490" t="s">
        <v>339</v>
      </c>
      <c r="C2069" s="1597">
        <v>28666.0</v>
      </c>
      <c r="D2069" s="1490">
        <v>30.0</v>
      </c>
      <c r="E2069" s="1" t="s">
        <v>339</v>
      </c>
    </row>
    <row r="2070">
      <c r="A2070" s="1490" t="s">
        <v>136</v>
      </c>
      <c r="B2070" s="1490" t="s">
        <v>339</v>
      </c>
      <c r="C2070" s="1597">
        <v>1310300.0</v>
      </c>
      <c r="D2070" s="1490">
        <v>685.0</v>
      </c>
      <c r="E2070" s="1" t="s">
        <v>339</v>
      </c>
    </row>
    <row r="2071">
      <c r="A2071" s="1490" t="s">
        <v>275</v>
      </c>
      <c r="B2071" s="1490" t="s">
        <v>339</v>
      </c>
      <c r="C2071" s="1597">
        <v>42276.0</v>
      </c>
      <c r="D2071" s="1490">
        <v>55.0</v>
      </c>
      <c r="E2071" s="1" t="s">
        <v>339</v>
      </c>
    </row>
    <row r="2072">
      <c r="A2072" s="1490" t="s">
        <v>1681</v>
      </c>
      <c r="B2072" s="1490" t="s">
        <v>339</v>
      </c>
      <c r="C2072" s="1597">
        <v>29979.0</v>
      </c>
      <c r="D2072" s="1490">
        <v>45.0</v>
      </c>
      <c r="E2072" s="1" t="s">
        <v>339</v>
      </c>
    </row>
    <row r="2073">
      <c r="A2073" s="1490" t="s">
        <v>1682</v>
      </c>
      <c r="B2073" s="1490" t="s">
        <v>339</v>
      </c>
      <c r="C2073" s="1597">
        <v>94031.0</v>
      </c>
      <c r="D2073" s="1490">
        <v>68.0</v>
      </c>
      <c r="E2073" s="1" t="s">
        <v>339</v>
      </c>
    </row>
    <row r="2074">
      <c r="A2074" s="1490" t="s">
        <v>138</v>
      </c>
      <c r="B2074" s="1490" t="s">
        <v>339</v>
      </c>
      <c r="C2074" s="1597">
        <v>167995.0</v>
      </c>
      <c r="D2074" s="1490">
        <v>153.0</v>
      </c>
      <c r="E2074" s="1" t="s">
        <v>339</v>
      </c>
    </row>
    <row r="2075">
      <c r="A2075" s="1490" t="s">
        <v>1683</v>
      </c>
      <c r="B2075" s="1490" t="s">
        <v>339</v>
      </c>
      <c r="C2075" s="1597">
        <v>39022.0</v>
      </c>
      <c r="D2075" s="1490">
        <v>56.0</v>
      </c>
      <c r="E2075" s="1" t="s">
        <v>339</v>
      </c>
    </row>
    <row r="2076">
      <c r="A2076" s="1490" t="s">
        <v>497</v>
      </c>
      <c r="B2076" s="1490" t="s">
        <v>339</v>
      </c>
      <c r="C2076" s="1597">
        <v>816684.0</v>
      </c>
      <c r="D2076" s="1490">
        <v>660.0</v>
      </c>
      <c r="E2076" s="1" t="s">
        <v>339</v>
      </c>
    </row>
    <row r="2077">
      <c r="A2077" s="1490" t="s">
        <v>587</v>
      </c>
      <c r="B2077" s="1490" t="s">
        <v>339</v>
      </c>
      <c r="C2077" s="1597">
        <v>75930.0</v>
      </c>
      <c r="D2077" s="1490">
        <v>77.0</v>
      </c>
      <c r="E2077" s="1" t="s">
        <v>339</v>
      </c>
    </row>
    <row r="2078">
      <c r="A2078" s="1490" t="s">
        <v>721</v>
      </c>
      <c r="B2078" s="1490" t="s">
        <v>339</v>
      </c>
      <c r="C2078" s="1597">
        <v>31480.0</v>
      </c>
      <c r="D2078" s="1490">
        <v>47.0</v>
      </c>
      <c r="E2078" s="1" t="s">
        <v>339</v>
      </c>
    </row>
    <row r="2079">
      <c r="A2079" s="1490" t="s">
        <v>775</v>
      </c>
      <c r="B2079" s="1490" t="s">
        <v>339</v>
      </c>
      <c r="C2079" s="1597">
        <v>15174.0</v>
      </c>
      <c r="D2079" s="1490">
        <v>25.0</v>
      </c>
      <c r="E2079" s="1" t="s">
        <v>339</v>
      </c>
    </row>
    <row r="2080">
      <c r="A2080" s="1490" t="s">
        <v>140</v>
      </c>
      <c r="B2080" s="1490" t="s">
        <v>339</v>
      </c>
      <c r="C2080" s="1597">
        <v>27086.0</v>
      </c>
      <c r="D2080" s="1490">
        <v>41.0</v>
      </c>
      <c r="E2080" s="1" t="s">
        <v>339</v>
      </c>
    </row>
    <row r="2081">
      <c r="A2081" s="1490" t="s">
        <v>1684</v>
      </c>
      <c r="B2081" s="1490" t="s">
        <v>339</v>
      </c>
      <c r="C2081" s="1597">
        <v>43058.0</v>
      </c>
      <c r="D2081" s="1490">
        <v>53.0</v>
      </c>
      <c r="E2081" s="1" t="s">
        <v>339</v>
      </c>
    </row>
    <row r="2082">
      <c r="A2082" s="1490" t="s">
        <v>1685</v>
      </c>
      <c r="B2082" s="1490" t="s">
        <v>339</v>
      </c>
      <c r="C2082" s="1597">
        <v>28385.0</v>
      </c>
      <c r="D2082" s="1490">
        <v>36.0</v>
      </c>
      <c r="E2082" s="1" t="s">
        <v>339</v>
      </c>
    </row>
    <row r="2083">
      <c r="A2083" s="1490" t="s">
        <v>502</v>
      </c>
      <c r="B2083" s="1490" t="s">
        <v>339</v>
      </c>
      <c r="C2083" s="1597">
        <v>43892.0</v>
      </c>
      <c r="D2083" s="1490">
        <v>53.0</v>
      </c>
      <c r="E2083" s="1" t="s">
        <v>339</v>
      </c>
    </row>
    <row r="2084">
      <c r="A2084" s="1490" t="s">
        <v>1255</v>
      </c>
      <c r="B2084" s="1490" t="s">
        <v>339</v>
      </c>
      <c r="C2084" s="1597">
        <v>58504.0</v>
      </c>
      <c r="D2084" s="1490">
        <v>65.0</v>
      </c>
      <c r="E2084" s="1" t="s">
        <v>339</v>
      </c>
    </row>
    <row r="2085">
      <c r="A2085" s="1490" t="s">
        <v>142</v>
      </c>
      <c r="B2085" s="1490" t="s">
        <v>339</v>
      </c>
      <c r="C2085" s="1597">
        <v>32384.0</v>
      </c>
      <c r="D2085" s="1490">
        <v>50.0</v>
      </c>
      <c r="E2085" s="1" t="s">
        <v>339</v>
      </c>
    </row>
    <row r="2086">
      <c r="A2086" s="1490" t="s">
        <v>143</v>
      </c>
      <c r="B2086" s="1490" t="s">
        <v>339</v>
      </c>
      <c r="C2086" s="1597">
        <v>65767.0</v>
      </c>
      <c r="D2086" s="1490">
        <v>104.0</v>
      </c>
      <c r="E2086" s="1" t="s">
        <v>339</v>
      </c>
    </row>
    <row r="2087">
      <c r="A2087" s="1490" t="s">
        <v>728</v>
      </c>
      <c r="B2087" s="1490" t="s">
        <v>339</v>
      </c>
      <c r="C2087" s="1597">
        <v>61893.0</v>
      </c>
      <c r="D2087" s="1490">
        <v>72.0</v>
      </c>
      <c r="E2087" s="1" t="s">
        <v>339</v>
      </c>
    </row>
    <row r="2088">
      <c r="A2088" s="1490" t="s">
        <v>337</v>
      </c>
      <c r="B2088" s="1490" t="s">
        <v>339</v>
      </c>
      <c r="C2088" s="1597">
        <v>230514.0</v>
      </c>
      <c r="D2088" s="1490">
        <v>133.0</v>
      </c>
      <c r="E2088" s="1" t="s">
        <v>339</v>
      </c>
    </row>
    <row r="2089">
      <c r="A2089" s="1490" t="s">
        <v>146</v>
      </c>
      <c r="B2089" s="1490" t="s">
        <v>339</v>
      </c>
      <c r="C2089" s="1597">
        <v>59866.0</v>
      </c>
      <c r="D2089" s="1490">
        <v>65.0</v>
      </c>
      <c r="E2089" s="1" t="s">
        <v>339</v>
      </c>
    </row>
    <row r="2090">
      <c r="A2090" s="1490" t="s">
        <v>1686</v>
      </c>
      <c r="B2090" s="1490" t="s">
        <v>339</v>
      </c>
      <c r="C2090" s="1597">
        <v>175769.0</v>
      </c>
      <c r="D2090" s="1490">
        <v>161.0</v>
      </c>
      <c r="E2090" s="1" t="s">
        <v>339</v>
      </c>
    </row>
    <row r="2091">
      <c r="A2091" s="1490" t="s">
        <v>293</v>
      </c>
      <c r="B2091" s="1490" t="s">
        <v>339</v>
      </c>
      <c r="C2091" s="1597">
        <v>45358.0</v>
      </c>
      <c r="D2091" s="1490">
        <v>56.0</v>
      </c>
      <c r="E2091" s="1" t="s">
        <v>339</v>
      </c>
    </row>
    <row r="2092">
      <c r="A2092" s="1490" t="s">
        <v>1687</v>
      </c>
      <c r="B2092" s="1490" t="s">
        <v>339</v>
      </c>
      <c r="C2092" s="1597">
        <v>309461.0</v>
      </c>
      <c r="D2092" s="1490">
        <v>247.0</v>
      </c>
      <c r="E2092" s="1" t="s">
        <v>339</v>
      </c>
    </row>
    <row r="2093">
      <c r="A2093" s="1490" t="s">
        <v>909</v>
      </c>
      <c r="B2093" s="1490" t="s">
        <v>339</v>
      </c>
      <c r="C2093" s="1597">
        <v>429899.0</v>
      </c>
      <c r="D2093" s="1490">
        <v>308.0</v>
      </c>
      <c r="E2093" s="1" t="s">
        <v>339</v>
      </c>
    </row>
    <row r="2094">
      <c r="A2094" s="1490" t="s">
        <v>151</v>
      </c>
      <c r="B2094" s="1490" t="s">
        <v>339</v>
      </c>
      <c r="C2094" s="1597">
        <v>44413.0</v>
      </c>
      <c r="D2094" s="1490">
        <v>53.0</v>
      </c>
      <c r="E2094" s="1" t="s">
        <v>339</v>
      </c>
    </row>
    <row r="2095">
      <c r="A2095" s="1490" t="s">
        <v>1688</v>
      </c>
      <c r="B2095" s="1490" t="s">
        <v>339</v>
      </c>
      <c r="C2095" s="1597">
        <v>229642.0</v>
      </c>
      <c r="D2095" s="1490">
        <v>242.0</v>
      </c>
      <c r="E2095" s="1" t="s">
        <v>339</v>
      </c>
    </row>
    <row r="2096">
      <c r="A2096" s="1490" t="s">
        <v>153</v>
      </c>
      <c r="B2096" s="1490" t="s">
        <v>339</v>
      </c>
      <c r="C2096" s="1597">
        <v>65256.0</v>
      </c>
      <c r="D2096" s="1490">
        <v>68.0</v>
      </c>
      <c r="E2096" s="1" t="s">
        <v>339</v>
      </c>
    </row>
    <row r="2097">
      <c r="A2097" s="1490" t="s">
        <v>1689</v>
      </c>
      <c r="B2097" s="1490" t="s">
        <v>339</v>
      </c>
      <c r="C2097" s="1597">
        <v>179146.0</v>
      </c>
      <c r="D2097" s="1490">
        <v>118.0</v>
      </c>
      <c r="E2097" s="1" t="s">
        <v>339</v>
      </c>
    </row>
    <row r="2098">
      <c r="A2098" s="1490" t="s">
        <v>1690</v>
      </c>
      <c r="B2098" s="1490" t="s">
        <v>339</v>
      </c>
      <c r="C2098" s="1597">
        <v>23106.0</v>
      </c>
      <c r="D2098" s="1490">
        <v>40.0</v>
      </c>
      <c r="E2098" s="1" t="s">
        <v>339</v>
      </c>
    </row>
    <row r="2099">
      <c r="A2099" s="1490" t="s">
        <v>738</v>
      </c>
      <c r="B2099" s="1490" t="s">
        <v>339</v>
      </c>
      <c r="C2099" s="1597">
        <v>40959.0</v>
      </c>
      <c r="D2099" s="1490">
        <v>50.0</v>
      </c>
      <c r="E2099" s="1" t="s">
        <v>339</v>
      </c>
    </row>
    <row r="2100">
      <c r="A2100" s="1490" t="s">
        <v>791</v>
      </c>
      <c r="B2100" s="1490" t="s">
        <v>339</v>
      </c>
      <c r="C2100" s="1597">
        <v>106222.0</v>
      </c>
      <c r="D2100" s="1490">
        <v>108.0</v>
      </c>
      <c r="E2100" s="1" t="s">
        <v>339</v>
      </c>
    </row>
    <row r="2101">
      <c r="A2101" s="1490" t="s">
        <v>156</v>
      </c>
      <c r="B2101" s="1490" t="s">
        <v>339</v>
      </c>
      <c r="C2101" s="1597">
        <v>13790.0</v>
      </c>
      <c r="D2101" s="1490">
        <v>34.0</v>
      </c>
      <c r="E2101" s="1" t="s">
        <v>339</v>
      </c>
    </row>
    <row r="2102">
      <c r="A2102" s="1490" t="s">
        <v>157</v>
      </c>
      <c r="B2102" s="1490" t="s">
        <v>339</v>
      </c>
      <c r="C2102" s="1597">
        <v>532331.0</v>
      </c>
      <c r="D2102" s="1490">
        <v>478.0</v>
      </c>
      <c r="E2102" s="1" t="s">
        <v>339</v>
      </c>
    </row>
    <row r="2103">
      <c r="A2103" s="1490" t="s">
        <v>158</v>
      </c>
      <c r="B2103" s="1490" t="s">
        <v>339</v>
      </c>
      <c r="C2103" s="1597">
        <v>14604.0</v>
      </c>
      <c r="D2103" s="1490">
        <v>24.0</v>
      </c>
      <c r="E2103" s="1" t="s">
        <v>339</v>
      </c>
    </row>
    <row r="2104">
      <c r="A2104" s="1490" t="s">
        <v>1691</v>
      </c>
      <c r="B2104" s="1490" t="s">
        <v>339</v>
      </c>
      <c r="C2104" s="1597">
        <v>35112.0</v>
      </c>
      <c r="D2104" s="1490">
        <v>32.0</v>
      </c>
      <c r="E2104" s="1" t="s">
        <v>339</v>
      </c>
    </row>
    <row r="2105">
      <c r="A2105" s="1490" t="s">
        <v>1692</v>
      </c>
      <c r="B2105" s="1490" t="s">
        <v>339</v>
      </c>
      <c r="C2105" s="1597">
        <v>86183.0</v>
      </c>
      <c r="D2105" s="1490">
        <v>102.0</v>
      </c>
      <c r="E2105" s="1" t="s">
        <v>339</v>
      </c>
    </row>
    <row r="2106">
      <c r="A2106" s="1490" t="s">
        <v>793</v>
      </c>
      <c r="B2106" s="1490" t="s">
        <v>339</v>
      </c>
      <c r="C2106" s="1597">
        <v>14354.0</v>
      </c>
      <c r="D2106" s="1490">
        <v>19.0</v>
      </c>
      <c r="E2106" s="1" t="s">
        <v>339</v>
      </c>
    </row>
    <row r="2107">
      <c r="A2107" s="1490" t="s">
        <v>998</v>
      </c>
      <c r="B2107" s="1490" t="s">
        <v>339</v>
      </c>
      <c r="C2107" s="1597">
        <v>40769.0</v>
      </c>
      <c r="D2107" s="1490">
        <v>51.0</v>
      </c>
      <c r="E2107" s="1" t="s">
        <v>339</v>
      </c>
    </row>
    <row r="2108">
      <c r="A2108" s="1490" t="s">
        <v>616</v>
      </c>
      <c r="B2108" s="1490" t="s">
        <v>339</v>
      </c>
      <c r="C2108" s="1597">
        <v>18760.0</v>
      </c>
      <c r="D2108" s="1490">
        <v>27.0</v>
      </c>
      <c r="E2108" s="1" t="s">
        <v>339</v>
      </c>
    </row>
    <row r="2109">
      <c r="A2109" s="1490" t="s">
        <v>159</v>
      </c>
      <c r="B2109" s="1490" t="s">
        <v>339</v>
      </c>
      <c r="C2109" s="1597">
        <v>36033.0</v>
      </c>
      <c r="D2109" s="1490">
        <v>46.0</v>
      </c>
      <c r="E2109" s="1" t="s">
        <v>339</v>
      </c>
    </row>
    <row r="2110">
      <c r="A2110" s="1490" t="s">
        <v>1693</v>
      </c>
      <c r="B2110" s="1490" t="s">
        <v>339</v>
      </c>
      <c r="C2110" s="1597">
        <v>58086.0</v>
      </c>
      <c r="D2110" s="1490">
        <v>54.0</v>
      </c>
      <c r="E2110" s="1" t="s">
        <v>339</v>
      </c>
    </row>
    <row r="2111">
      <c r="A2111" s="1490" t="s">
        <v>162</v>
      </c>
      <c r="B2111" s="1490" t="s">
        <v>339</v>
      </c>
      <c r="C2111" s="1597">
        <v>28067.0</v>
      </c>
      <c r="D2111" s="1490">
        <v>32.0</v>
      </c>
      <c r="E2111" s="1" t="s">
        <v>339</v>
      </c>
    </row>
    <row r="2112">
      <c r="A2112" s="1490" t="s">
        <v>1694</v>
      </c>
      <c r="B2112" s="1490" t="s">
        <v>339</v>
      </c>
      <c r="C2112" s="1597">
        <v>162927.0</v>
      </c>
      <c r="D2112" s="1490">
        <v>109.0</v>
      </c>
      <c r="E2112" s="1" t="s">
        <v>339</v>
      </c>
    </row>
    <row r="2113">
      <c r="A2113" s="1490" t="s">
        <v>1695</v>
      </c>
      <c r="B2113" s="1490" t="s">
        <v>339</v>
      </c>
      <c r="C2113" s="1597">
        <v>40997.0</v>
      </c>
      <c r="D2113" s="1490">
        <v>46.0</v>
      </c>
      <c r="E2113" s="1" t="s">
        <v>339</v>
      </c>
    </row>
    <row r="2114">
      <c r="A2114" s="1490" t="s">
        <v>518</v>
      </c>
      <c r="B2114" s="1490" t="s">
        <v>339</v>
      </c>
      <c r="C2114" s="1597">
        <v>33780.0</v>
      </c>
      <c r="D2114" s="1490">
        <v>35.0</v>
      </c>
      <c r="E2114" s="1" t="s">
        <v>339</v>
      </c>
    </row>
    <row r="2115">
      <c r="A2115" s="1490" t="s">
        <v>743</v>
      </c>
      <c r="B2115" s="1490" t="s">
        <v>339</v>
      </c>
      <c r="C2115" s="1597">
        <v>121099.0</v>
      </c>
      <c r="D2115" s="1490">
        <v>144.0</v>
      </c>
      <c r="E2115" s="1" t="s">
        <v>339</v>
      </c>
    </row>
    <row r="2116">
      <c r="A2116" s="1490" t="s">
        <v>1696</v>
      </c>
      <c r="B2116" s="1490" t="s">
        <v>339</v>
      </c>
      <c r="C2116" s="1597">
        <v>76931.0</v>
      </c>
      <c r="D2116" s="1490">
        <v>77.0</v>
      </c>
      <c r="E2116" s="1" t="s">
        <v>339</v>
      </c>
    </row>
    <row r="2117">
      <c r="A2117" s="1490" t="s">
        <v>1697</v>
      </c>
      <c r="B2117" s="1490" t="s">
        <v>339</v>
      </c>
      <c r="C2117" s="1597">
        <v>58799.0</v>
      </c>
      <c r="D2117" s="1490">
        <v>68.0</v>
      </c>
      <c r="E2117" s="1" t="s">
        <v>339</v>
      </c>
    </row>
    <row r="2118">
      <c r="A2118" s="1490" t="s">
        <v>1698</v>
      </c>
      <c r="B2118" s="1490" t="s">
        <v>339</v>
      </c>
      <c r="C2118" s="1597">
        <v>75502.0</v>
      </c>
      <c r="D2118" s="1490">
        <v>118.0</v>
      </c>
      <c r="E2118" s="1" t="s">
        <v>339</v>
      </c>
    </row>
    <row r="2119">
      <c r="A2119" s="1490" t="s">
        <v>1573</v>
      </c>
      <c r="B2119" s="1490" t="s">
        <v>339</v>
      </c>
      <c r="C2119" s="1597">
        <v>55207.0</v>
      </c>
      <c r="D2119" s="1490">
        <v>56.0</v>
      </c>
      <c r="E2119" s="1" t="s">
        <v>339</v>
      </c>
    </row>
    <row r="2120">
      <c r="A2120" s="1490" t="s">
        <v>168</v>
      </c>
      <c r="B2120" s="1490" t="s">
        <v>339</v>
      </c>
      <c r="C2120" s="1597">
        <v>48627.0</v>
      </c>
      <c r="D2120" s="1490">
        <v>50.0</v>
      </c>
      <c r="E2120" s="1" t="s">
        <v>339</v>
      </c>
    </row>
    <row r="2121">
      <c r="A2121" s="1490" t="s">
        <v>747</v>
      </c>
      <c r="B2121" s="1490" t="s">
        <v>339</v>
      </c>
      <c r="C2121" s="1597">
        <v>371574.0</v>
      </c>
      <c r="D2121" s="1490">
        <v>391.0</v>
      </c>
      <c r="E2121" s="1" t="s">
        <v>339</v>
      </c>
    </row>
    <row r="2122">
      <c r="A2122" s="1490" t="s">
        <v>461</v>
      </c>
      <c r="B2122" s="1490" t="s">
        <v>339</v>
      </c>
      <c r="C2122" s="1597">
        <v>541918.0</v>
      </c>
      <c r="D2122" s="1490">
        <v>420.0</v>
      </c>
      <c r="E2122" s="1" t="s">
        <v>339</v>
      </c>
    </row>
    <row r="2123">
      <c r="A2123" s="1490" t="s">
        <v>1699</v>
      </c>
      <c r="B2123" s="1490" t="s">
        <v>339</v>
      </c>
      <c r="C2123" s="1597">
        <v>198627.0</v>
      </c>
      <c r="D2123" s="1490">
        <v>217.0</v>
      </c>
      <c r="E2123" s="1" t="s">
        <v>339</v>
      </c>
    </row>
    <row r="2124">
      <c r="A2124" s="1490" t="s">
        <v>1700</v>
      </c>
      <c r="B2124" s="1490" t="s">
        <v>339</v>
      </c>
      <c r="C2124" s="1597">
        <v>92176.0</v>
      </c>
      <c r="D2124" s="1490">
        <v>128.0</v>
      </c>
      <c r="E2124" s="1" t="s">
        <v>339</v>
      </c>
    </row>
    <row r="2125">
      <c r="A2125" s="1490" t="s">
        <v>316</v>
      </c>
      <c r="B2125" s="1490" t="s">
        <v>339</v>
      </c>
      <c r="C2125" s="1597">
        <v>57835.0</v>
      </c>
      <c r="D2125" s="1490">
        <v>43.0</v>
      </c>
      <c r="E2125" s="1" t="s">
        <v>339</v>
      </c>
    </row>
    <row r="2126">
      <c r="A2126" s="1490" t="s">
        <v>1701</v>
      </c>
      <c r="B2126" s="1490" t="s">
        <v>339</v>
      </c>
      <c r="C2126" s="1597">
        <v>28281.0</v>
      </c>
      <c r="D2126" s="1490">
        <v>38.0</v>
      </c>
      <c r="E2126" s="1" t="s">
        <v>339</v>
      </c>
    </row>
    <row r="2127">
      <c r="A2127" s="1490" t="s">
        <v>1702</v>
      </c>
      <c r="B2127" s="1490" t="s">
        <v>339</v>
      </c>
      <c r="C2127" s="1597">
        <v>13139.0</v>
      </c>
      <c r="D2127" s="1490">
        <v>12.0</v>
      </c>
      <c r="E2127" s="1" t="s">
        <v>339</v>
      </c>
    </row>
    <row r="2128">
      <c r="A2128" s="1490" t="s">
        <v>647</v>
      </c>
      <c r="B2128" s="1490" t="s">
        <v>339</v>
      </c>
      <c r="C2128" s="1597">
        <v>232173.0</v>
      </c>
      <c r="D2128" s="1490">
        <v>155.0</v>
      </c>
      <c r="E2128" s="1" t="s">
        <v>339</v>
      </c>
    </row>
    <row r="2129">
      <c r="A2129" s="1490" t="s">
        <v>119</v>
      </c>
      <c r="B2129" s="1490" t="s">
        <v>339</v>
      </c>
      <c r="C2129" s="1597">
        <v>60155.0</v>
      </c>
      <c r="D2129" s="1490">
        <v>91.0</v>
      </c>
      <c r="E2129" s="1" t="s">
        <v>339</v>
      </c>
    </row>
    <row r="2130">
      <c r="A2130" s="1490" t="s">
        <v>273</v>
      </c>
      <c r="B2130" s="1490" t="s">
        <v>339</v>
      </c>
      <c r="C2130" s="1597">
        <v>115967.0</v>
      </c>
      <c r="D2130" s="1490">
        <v>131.0</v>
      </c>
      <c r="E2130" s="1" t="s">
        <v>339</v>
      </c>
    </row>
    <row r="2131">
      <c r="A2131" s="1490" t="s">
        <v>1670</v>
      </c>
      <c r="B2131" s="1490" t="s">
        <v>339</v>
      </c>
      <c r="C2131" s="1597">
        <v>36804.0</v>
      </c>
      <c r="D2131" s="1490">
        <v>53.0</v>
      </c>
      <c r="E2131" s="1" t="s">
        <v>339</v>
      </c>
    </row>
    <row r="2132">
      <c r="A2132" s="1490" t="s">
        <v>1703</v>
      </c>
      <c r="B2132" s="1490" t="s">
        <v>339</v>
      </c>
      <c r="C2132" s="1597">
        <v>130696.0</v>
      </c>
      <c r="D2132" s="1490">
        <v>94.0</v>
      </c>
      <c r="E2132" s="1" t="s">
        <v>339</v>
      </c>
    </row>
    <row r="2133">
      <c r="A2133" s="1496" t="s">
        <v>1704</v>
      </c>
      <c r="B2133" s="1496" t="s">
        <v>339</v>
      </c>
      <c r="C2133" s="1598">
        <v>21935.0</v>
      </c>
      <c r="D2133" s="1496">
        <v>31.0</v>
      </c>
      <c r="E2133" s="1624" t="s">
        <v>339</v>
      </c>
      <c r="F2133" s="1624"/>
      <c r="G2133" s="1624"/>
      <c r="N2133" s="1489"/>
      <c r="O2133" s="1489"/>
      <c r="P2133" s="1489"/>
      <c r="Q2133" s="1489"/>
      <c r="R2133" s="1489"/>
      <c r="S2133" s="1489"/>
      <c r="T2133" s="1489"/>
      <c r="U2133" s="1489"/>
      <c r="V2133" s="1489"/>
      <c r="W2133" s="1489"/>
      <c r="X2133" s="1489"/>
      <c r="Y2133" s="1489"/>
      <c r="Z2133" s="1489"/>
    </row>
    <row r="2134">
      <c r="A2134" s="355" t="s">
        <v>882</v>
      </c>
      <c r="B2134" s="355" t="s">
        <v>519</v>
      </c>
      <c r="C2134" s="1562">
        <v>22082.0</v>
      </c>
      <c r="D2134" s="355">
        <v>21.0</v>
      </c>
      <c r="E2134" s="1" t="s">
        <v>519</v>
      </c>
    </row>
    <row r="2135">
      <c r="A2135" s="355" t="s">
        <v>1705</v>
      </c>
      <c r="B2135" s="355" t="s">
        <v>519</v>
      </c>
      <c r="C2135" s="1562">
        <v>5754.0</v>
      </c>
      <c r="D2135" s="355">
        <v>19.0</v>
      </c>
      <c r="E2135" s="1" t="s">
        <v>519</v>
      </c>
    </row>
    <row r="2136">
      <c r="A2136" s="355" t="s">
        <v>1708</v>
      </c>
      <c r="B2136" s="355" t="s">
        <v>519</v>
      </c>
      <c r="C2136" s="1562">
        <v>13838.0</v>
      </c>
      <c r="D2136" s="355">
        <v>17.0</v>
      </c>
      <c r="E2136" s="1" t="s">
        <v>519</v>
      </c>
    </row>
    <row r="2137">
      <c r="A2137" s="355" t="s">
        <v>1710</v>
      </c>
      <c r="B2137" s="355" t="s">
        <v>519</v>
      </c>
      <c r="C2137" s="1562">
        <v>5319.0</v>
      </c>
      <c r="D2137" s="355">
        <v>16.0</v>
      </c>
      <c r="E2137" s="1" t="s">
        <v>519</v>
      </c>
      <c r="H2137" s="1489"/>
      <c r="I2137" s="1489"/>
      <c r="J2137" s="1489"/>
      <c r="K2137" s="1489"/>
      <c r="L2137" s="1489"/>
      <c r="M2137" s="1489"/>
    </row>
    <row r="2138">
      <c r="A2138" s="355" t="s">
        <v>1711</v>
      </c>
      <c r="B2138" s="355" t="s">
        <v>519</v>
      </c>
      <c r="C2138" s="1562">
        <v>21709.0</v>
      </c>
      <c r="D2138" s="355">
        <v>37.0</v>
      </c>
      <c r="E2138" s="1" t="s">
        <v>519</v>
      </c>
    </row>
    <row r="2139">
      <c r="A2139" s="355" t="s">
        <v>666</v>
      </c>
      <c r="B2139" s="355" t="s">
        <v>519</v>
      </c>
      <c r="C2139" s="1562">
        <v>9485.0</v>
      </c>
      <c r="D2139" s="355">
        <v>34.0</v>
      </c>
      <c r="E2139" s="1" t="s">
        <v>519</v>
      </c>
    </row>
    <row r="2140">
      <c r="A2140" s="355" t="s">
        <v>544</v>
      </c>
      <c r="B2140" s="355" t="s">
        <v>519</v>
      </c>
      <c r="C2140" s="1562">
        <v>47192.0</v>
      </c>
      <c r="D2140" s="355">
        <v>51.0</v>
      </c>
      <c r="E2140" s="1" t="s">
        <v>519</v>
      </c>
    </row>
    <row r="2141">
      <c r="A2141" s="355" t="s">
        <v>1147</v>
      </c>
      <c r="B2141" s="355" t="s">
        <v>519</v>
      </c>
      <c r="C2141" s="1562">
        <v>28977.0</v>
      </c>
      <c r="D2141" s="355">
        <v>58.0</v>
      </c>
      <c r="E2141" s="1" t="s">
        <v>519</v>
      </c>
    </row>
    <row r="2142">
      <c r="A2142" s="355" t="s">
        <v>1716</v>
      </c>
      <c r="B2142" s="355" t="s">
        <v>519</v>
      </c>
      <c r="C2142" s="1562">
        <v>144447.0</v>
      </c>
      <c r="D2142" s="355">
        <v>100.0</v>
      </c>
      <c r="E2142" s="1" t="s">
        <v>519</v>
      </c>
    </row>
    <row r="2143">
      <c r="A2143" s="355" t="s">
        <v>1038</v>
      </c>
      <c r="B2143" s="355" t="s">
        <v>519</v>
      </c>
      <c r="C2143" s="1562">
        <v>48177.0</v>
      </c>
      <c r="D2143" s="355">
        <v>78.0</v>
      </c>
      <c r="E2143" s="1" t="s">
        <v>519</v>
      </c>
    </row>
    <row r="2144">
      <c r="A2144" s="355" t="s">
        <v>101</v>
      </c>
      <c r="B2144" s="355" t="s">
        <v>519</v>
      </c>
      <c r="C2144" s="1562">
        <v>48675.0</v>
      </c>
      <c r="D2144" s="355">
        <v>32.0</v>
      </c>
      <c r="E2144" s="1" t="s">
        <v>519</v>
      </c>
    </row>
    <row r="2145">
      <c r="A2145" s="355" t="s">
        <v>107</v>
      </c>
      <c r="B2145" s="355" t="s">
        <v>519</v>
      </c>
      <c r="C2145" s="1562">
        <v>14668.0</v>
      </c>
      <c r="D2145" s="355">
        <v>17.0</v>
      </c>
      <c r="E2145" s="1" t="s">
        <v>519</v>
      </c>
    </row>
    <row r="2146">
      <c r="A2146" s="355" t="s">
        <v>1717</v>
      </c>
      <c r="B2146" s="355" t="s">
        <v>519</v>
      </c>
      <c r="C2146" s="1562">
        <v>2153.0</v>
      </c>
      <c r="D2146" s="355">
        <v>10.0</v>
      </c>
      <c r="E2146" s="1" t="s">
        <v>519</v>
      </c>
    </row>
    <row r="2147">
      <c r="A2147" s="355" t="s">
        <v>257</v>
      </c>
      <c r="B2147" s="355" t="s">
        <v>519</v>
      </c>
      <c r="C2147" s="1562">
        <v>281669.0</v>
      </c>
      <c r="D2147" s="355">
        <v>180.0</v>
      </c>
      <c r="E2147" s="1" t="s">
        <v>519</v>
      </c>
    </row>
    <row r="2148">
      <c r="A2148" s="355" t="s">
        <v>1718</v>
      </c>
      <c r="B2148" s="355" t="s">
        <v>519</v>
      </c>
      <c r="C2148" s="1562">
        <v>5520.0</v>
      </c>
      <c r="D2148" s="355">
        <v>10.0</v>
      </c>
      <c r="E2148" s="1" t="s">
        <v>519</v>
      </c>
    </row>
    <row r="2149">
      <c r="A2149" s="355" t="s">
        <v>964</v>
      </c>
      <c r="B2149" s="355" t="s">
        <v>519</v>
      </c>
      <c r="C2149" s="1562">
        <v>120422.0</v>
      </c>
      <c r="D2149" s="355">
        <v>125.0</v>
      </c>
      <c r="E2149" s="1" t="s">
        <v>519</v>
      </c>
    </row>
    <row r="2150">
      <c r="A2150" s="355" t="s">
        <v>1720</v>
      </c>
      <c r="B2150" s="355" t="s">
        <v>519</v>
      </c>
      <c r="C2150" s="1562">
        <v>5776.0</v>
      </c>
      <c r="D2150" s="355">
        <v>12.0</v>
      </c>
      <c r="E2150" s="1" t="s">
        <v>519</v>
      </c>
    </row>
    <row r="2151">
      <c r="A2151" s="355" t="s">
        <v>1721</v>
      </c>
      <c r="B2151" s="355" t="s">
        <v>519</v>
      </c>
      <c r="C2151" s="1562">
        <v>14306.0</v>
      </c>
      <c r="D2151" s="355">
        <v>29.0</v>
      </c>
      <c r="E2151" s="1" t="s">
        <v>519</v>
      </c>
    </row>
    <row r="2152">
      <c r="A2152" s="355" t="s">
        <v>1722</v>
      </c>
      <c r="B2152" s="355" t="s">
        <v>519</v>
      </c>
      <c r="C2152" s="1562">
        <v>71604.0</v>
      </c>
      <c r="D2152" s="355">
        <v>96.0</v>
      </c>
      <c r="E2152" s="1" t="s">
        <v>519</v>
      </c>
    </row>
    <row r="2153">
      <c r="A2153" s="355" t="s">
        <v>406</v>
      </c>
      <c r="B2153" s="355" t="s">
        <v>519</v>
      </c>
      <c r="C2153" s="1562">
        <v>29036.0</v>
      </c>
      <c r="D2153" s="355">
        <v>44.0</v>
      </c>
      <c r="E2153" s="1" t="s">
        <v>519</v>
      </c>
    </row>
    <row r="2154">
      <c r="A2154" s="355" t="s">
        <v>40</v>
      </c>
      <c r="B2154" s="355" t="s">
        <v>519</v>
      </c>
      <c r="C2154" s="1562">
        <v>42733.0</v>
      </c>
      <c r="D2154" s="355">
        <v>54.0</v>
      </c>
      <c r="E2154" s="1" t="s">
        <v>519</v>
      </c>
    </row>
    <row r="2155">
      <c r="A2155" s="355" t="s">
        <v>1723</v>
      </c>
      <c r="B2155" s="355" t="s">
        <v>519</v>
      </c>
      <c r="C2155" s="1562">
        <v>4894.0</v>
      </c>
      <c r="D2155" s="355">
        <v>19.0</v>
      </c>
      <c r="E2155" s="1" t="s">
        <v>519</v>
      </c>
    </row>
    <row r="2156">
      <c r="A2156" s="355" t="s">
        <v>969</v>
      </c>
      <c r="B2156" s="355" t="s">
        <v>519</v>
      </c>
      <c r="C2156" s="1562">
        <v>3952.0</v>
      </c>
      <c r="D2156" s="355">
        <v>13.0</v>
      </c>
      <c r="E2156" s="1" t="s">
        <v>519</v>
      </c>
    </row>
    <row r="2157">
      <c r="A2157" s="355" t="s">
        <v>417</v>
      </c>
      <c r="B2157" s="355" t="s">
        <v>519</v>
      </c>
      <c r="C2157" s="1562">
        <v>60913.0</v>
      </c>
      <c r="D2157" s="355">
        <v>79.0</v>
      </c>
      <c r="E2157" s="1" t="s">
        <v>519</v>
      </c>
    </row>
    <row r="2158">
      <c r="A2158" s="355" t="s">
        <v>1726</v>
      </c>
      <c r="B2158" s="355" t="s">
        <v>519</v>
      </c>
      <c r="C2158" s="1562">
        <v>27811.0</v>
      </c>
      <c r="D2158" s="355">
        <v>56.0</v>
      </c>
      <c r="E2158" s="1" t="s">
        <v>519</v>
      </c>
    </row>
    <row r="2159">
      <c r="A2159" s="355" t="s">
        <v>584</v>
      </c>
      <c r="B2159" s="355" t="s">
        <v>519</v>
      </c>
      <c r="C2159" s="1562">
        <v>55551.0</v>
      </c>
      <c r="D2159" s="355">
        <v>78.0</v>
      </c>
      <c r="E2159" s="1" t="s">
        <v>519</v>
      </c>
    </row>
    <row r="2160">
      <c r="A2160" s="355" t="s">
        <v>278</v>
      </c>
      <c r="B2160" s="355" t="s">
        <v>519</v>
      </c>
      <c r="C2160" s="1562">
        <v>4326.0</v>
      </c>
      <c r="D2160" s="355">
        <v>20.0</v>
      </c>
      <c r="E2160" s="1" t="s">
        <v>519</v>
      </c>
    </row>
    <row r="2161">
      <c r="A2161" s="355" t="s">
        <v>1727</v>
      </c>
      <c r="B2161" s="355" t="s">
        <v>519</v>
      </c>
      <c r="C2161" s="1562">
        <v>5821.0</v>
      </c>
      <c r="D2161" s="355">
        <v>12.0</v>
      </c>
      <c r="E2161" s="1" t="s">
        <v>519</v>
      </c>
    </row>
    <row r="2162">
      <c r="A2162" s="355" t="s">
        <v>1729</v>
      </c>
      <c r="B2162" s="355" t="s">
        <v>519</v>
      </c>
      <c r="C2162" s="1562">
        <v>2664.0</v>
      </c>
      <c r="D2162" s="355">
        <v>7.0</v>
      </c>
      <c r="E2162" s="1" t="s">
        <v>519</v>
      </c>
    </row>
    <row r="2163">
      <c r="A2163" s="355" t="s">
        <v>978</v>
      </c>
      <c r="B2163" s="355" t="s">
        <v>519</v>
      </c>
      <c r="C2163" s="1562">
        <v>3797.0</v>
      </c>
      <c r="D2163" s="355">
        <v>9.0</v>
      </c>
      <c r="E2163" s="1" t="s">
        <v>519</v>
      </c>
    </row>
    <row r="2164">
      <c r="A2164" s="355" t="s">
        <v>980</v>
      </c>
      <c r="B2164" s="355" t="s">
        <v>519</v>
      </c>
      <c r="C2164" s="1562">
        <v>12668.0</v>
      </c>
      <c r="D2164" s="355">
        <v>18.0</v>
      </c>
      <c r="E2164" s="1" t="s">
        <v>519</v>
      </c>
    </row>
    <row r="2165">
      <c r="A2165" s="355" t="s">
        <v>1730</v>
      </c>
      <c r="B2165" s="355" t="s">
        <v>519</v>
      </c>
      <c r="C2165" s="1562">
        <v>13335.0</v>
      </c>
      <c r="D2165" s="355">
        <v>22.0</v>
      </c>
      <c r="E2165" s="1" t="s">
        <v>519</v>
      </c>
    </row>
    <row r="2166">
      <c r="A2166" s="355" t="s">
        <v>142</v>
      </c>
      <c r="B2166" s="355" t="s">
        <v>519</v>
      </c>
      <c r="C2166" s="1562">
        <v>24949.0</v>
      </c>
      <c r="D2166" s="355">
        <v>38.0</v>
      </c>
      <c r="E2166" s="1" t="s">
        <v>519</v>
      </c>
    </row>
    <row r="2167">
      <c r="A2167" s="355" t="s">
        <v>143</v>
      </c>
      <c r="B2167" s="355" t="s">
        <v>519</v>
      </c>
      <c r="C2167" s="1562">
        <v>6123.0</v>
      </c>
      <c r="D2167" s="355">
        <v>12.0</v>
      </c>
      <c r="E2167" s="1" t="s">
        <v>519</v>
      </c>
    </row>
    <row r="2168">
      <c r="A2168" s="355" t="s">
        <v>1612</v>
      </c>
      <c r="B2168" s="355" t="s">
        <v>519</v>
      </c>
      <c r="C2168" s="1562">
        <v>10949.0</v>
      </c>
      <c r="D2168" s="355">
        <v>17.0</v>
      </c>
      <c r="E2168" s="1" t="s">
        <v>519</v>
      </c>
    </row>
    <row r="2169">
      <c r="A2169" s="355" t="s">
        <v>1732</v>
      </c>
      <c r="B2169" s="355" t="s">
        <v>519</v>
      </c>
      <c r="C2169" s="1562">
        <v>44161.0</v>
      </c>
      <c r="D2169" s="355">
        <v>71.0</v>
      </c>
      <c r="E2169" s="1" t="s">
        <v>519</v>
      </c>
    </row>
    <row r="2170">
      <c r="A2170" s="355" t="s">
        <v>1733</v>
      </c>
      <c r="B2170" s="355" t="s">
        <v>519</v>
      </c>
      <c r="C2170" s="1562">
        <v>15816.0</v>
      </c>
      <c r="D2170" s="355">
        <v>33.0</v>
      </c>
      <c r="E2170" s="1" t="s">
        <v>519</v>
      </c>
    </row>
    <row r="2171">
      <c r="A2171" s="355" t="s">
        <v>427</v>
      </c>
      <c r="B2171" s="355" t="s">
        <v>519</v>
      </c>
      <c r="C2171" s="1562">
        <v>8729.0</v>
      </c>
      <c r="D2171" s="355">
        <v>20.0</v>
      </c>
      <c r="E2171" s="1" t="s">
        <v>519</v>
      </c>
    </row>
    <row r="2172">
      <c r="A2172" s="355" t="s">
        <v>1735</v>
      </c>
      <c r="B2172" s="355" t="s">
        <v>519</v>
      </c>
      <c r="C2172" s="1562">
        <v>10231.0</v>
      </c>
      <c r="D2172" s="355">
        <v>22.0</v>
      </c>
      <c r="E2172" s="1" t="s">
        <v>519</v>
      </c>
    </row>
    <row r="2173">
      <c r="A2173" s="355" t="s">
        <v>1736</v>
      </c>
      <c r="B2173" s="355" t="s">
        <v>519</v>
      </c>
      <c r="C2173" s="1562">
        <v>49980.0</v>
      </c>
      <c r="D2173" s="355">
        <v>67.0</v>
      </c>
      <c r="E2173" s="1" t="s">
        <v>519</v>
      </c>
    </row>
    <row r="2174">
      <c r="A2174" s="355" t="s">
        <v>290</v>
      </c>
      <c r="B2174" s="355" t="s">
        <v>519</v>
      </c>
      <c r="C2174" s="1562">
        <v>34920.0</v>
      </c>
      <c r="D2174" s="355">
        <v>55.0</v>
      </c>
      <c r="E2174" s="1" t="s">
        <v>519</v>
      </c>
    </row>
    <row r="2175">
      <c r="A2175" s="355" t="s">
        <v>293</v>
      </c>
      <c r="B2175" s="355" t="s">
        <v>519</v>
      </c>
      <c r="C2175" s="1562">
        <v>47291.0</v>
      </c>
      <c r="D2175" s="355">
        <v>46.0</v>
      </c>
      <c r="E2175" s="1" t="s">
        <v>519</v>
      </c>
    </row>
    <row r="2176">
      <c r="A2176" s="355" t="s">
        <v>1739</v>
      </c>
      <c r="B2176" s="355" t="s">
        <v>519</v>
      </c>
      <c r="C2176" s="1562">
        <v>10134.0</v>
      </c>
      <c r="D2176" s="355">
        <v>12.0</v>
      </c>
      <c r="E2176" s="1" t="s">
        <v>519</v>
      </c>
    </row>
    <row r="2177">
      <c r="A2177" s="355" t="s">
        <v>3977</v>
      </c>
      <c r="B2177" s="355" t="s">
        <v>519</v>
      </c>
      <c r="C2177" s="1562">
        <v>39985.0</v>
      </c>
      <c r="D2177" s="355">
        <v>54.0</v>
      </c>
      <c r="E2177" s="1" t="s">
        <v>519</v>
      </c>
    </row>
    <row r="2178">
      <c r="A2178" s="355" t="s">
        <v>1742</v>
      </c>
      <c r="B2178" s="355" t="s">
        <v>519</v>
      </c>
      <c r="C2178" s="1562">
        <v>32703.0</v>
      </c>
      <c r="D2178" s="355">
        <v>64.0</v>
      </c>
      <c r="E2178" s="1" t="s">
        <v>519</v>
      </c>
    </row>
    <row r="2179">
      <c r="A2179" s="355" t="s">
        <v>4295</v>
      </c>
      <c r="B2179" s="355" t="s">
        <v>519</v>
      </c>
      <c r="C2179" s="1562">
        <v>19815.0</v>
      </c>
      <c r="D2179" s="355">
        <v>30.0</v>
      </c>
      <c r="E2179" s="1" t="s">
        <v>519</v>
      </c>
    </row>
    <row r="2180">
      <c r="A2180" s="355" t="s">
        <v>1744</v>
      </c>
      <c r="B2180" s="355" t="s">
        <v>519</v>
      </c>
      <c r="C2180" s="1562">
        <v>7644.0</v>
      </c>
      <c r="D2180" s="355">
        <v>24.0</v>
      </c>
      <c r="E2180" s="1" t="s">
        <v>519</v>
      </c>
    </row>
    <row r="2181">
      <c r="A2181" s="355" t="s">
        <v>154</v>
      </c>
      <c r="B2181" s="355" t="s">
        <v>519</v>
      </c>
      <c r="C2181" s="1562">
        <v>16806.0</v>
      </c>
      <c r="D2181" s="355">
        <v>17.0</v>
      </c>
      <c r="E2181" s="1" t="s">
        <v>519</v>
      </c>
    </row>
    <row r="2182">
      <c r="A2182" s="355" t="s">
        <v>1746</v>
      </c>
      <c r="B2182" s="355" t="s">
        <v>519</v>
      </c>
      <c r="C2182" s="1562">
        <v>41107.0</v>
      </c>
      <c r="D2182" s="355">
        <v>71.0</v>
      </c>
      <c r="E2182" s="1" t="s">
        <v>519</v>
      </c>
    </row>
    <row r="2183">
      <c r="A2183" s="355" t="s">
        <v>611</v>
      </c>
      <c r="B2183" s="355" t="s">
        <v>519</v>
      </c>
      <c r="C2183" s="1562">
        <v>13953.0</v>
      </c>
      <c r="D2183" s="355">
        <v>25.0</v>
      </c>
      <c r="E2183" s="1" t="s">
        <v>519</v>
      </c>
    </row>
    <row r="2184">
      <c r="A2184" s="355" t="s">
        <v>1747</v>
      </c>
      <c r="B2184" s="355" t="s">
        <v>519</v>
      </c>
      <c r="C2184" s="1562">
        <v>68362.0</v>
      </c>
      <c r="D2184" s="355">
        <v>92.0</v>
      </c>
      <c r="E2184" s="1" t="s">
        <v>519</v>
      </c>
    </row>
    <row r="2185">
      <c r="A2185" s="355" t="s">
        <v>793</v>
      </c>
      <c r="B2185" s="355" t="s">
        <v>519</v>
      </c>
      <c r="C2185" s="1562">
        <v>11289.0</v>
      </c>
      <c r="D2185" s="355">
        <v>17.0</v>
      </c>
      <c r="E2185" s="1" t="s">
        <v>519</v>
      </c>
    </row>
    <row r="2186">
      <c r="A2186" s="355" t="s">
        <v>1749</v>
      </c>
      <c r="B2186" s="355" t="s">
        <v>519</v>
      </c>
      <c r="C2186" s="1562">
        <v>10218.0</v>
      </c>
      <c r="D2186" s="355">
        <v>16.0</v>
      </c>
      <c r="E2186" s="1" t="s">
        <v>519</v>
      </c>
    </row>
    <row r="2187">
      <c r="A2187" s="355" t="s">
        <v>1750</v>
      </c>
      <c r="B2187" s="355" t="s">
        <v>519</v>
      </c>
      <c r="C2187" s="1562">
        <v>12098.0</v>
      </c>
      <c r="D2187" s="355">
        <v>18.0</v>
      </c>
      <c r="E2187" s="1" t="s">
        <v>519</v>
      </c>
    </row>
    <row r="2188">
      <c r="A2188" s="355" t="s">
        <v>102</v>
      </c>
      <c r="B2188" s="355" t="s">
        <v>519</v>
      </c>
      <c r="C2188" s="1562">
        <v>792582.0</v>
      </c>
      <c r="D2188" s="355">
        <v>643.0</v>
      </c>
      <c r="E2188" s="1" t="s">
        <v>519</v>
      </c>
    </row>
    <row r="2189">
      <c r="A2189" s="355" t="s">
        <v>1751</v>
      </c>
      <c r="B2189" s="355" t="s">
        <v>519</v>
      </c>
      <c r="C2189" s="1562">
        <v>38335.0</v>
      </c>
      <c r="D2189" s="355">
        <v>63.0</v>
      </c>
      <c r="E2189" s="1" t="s">
        <v>519</v>
      </c>
    </row>
    <row r="2190">
      <c r="A2190" s="355" t="s">
        <v>996</v>
      </c>
      <c r="B2190" s="355" t="s">
        <v>519</v>
      </c>
      <c r="C2190" s="1562">
        <v>47014.0</v>
      </c>
      <c r="D2190" s="355">
        <v>58.0</v>
      </c>
      <c r="E2190" s="1" t="s">
        <v>519</v>
      </c>
    </row>
    <row r="2191">
      <c r="A2191" s="355" t="s">
        <v>998</v>
      </c>
      <c r="B2191" s="355" t="s">
        <v>519</v>
      </c>
      <c r="C2191" s="1562">
        <v>31175.0</v>
      </c>
      <c r="D2191" s="355">
        <v>52.0</v>
      </c>
      <c r="E2191" s="1" t="s">
        <v>519</v>
      </c>
    </row>
    <row r="2192">
      <c r="A2192" s="355" t="s">
        <v>999</v>
      </c>
      <c r="B2192" s="355" t="s">
        <v>519</v>
      </c>
      <c r="C2192" s="1562">
        <v>16390.0</v>
      </c>
      <c r="D2192" s="355">
        <v>35.0</v>
      </c>
      <c r="E2192" s="1" t="s">
        <v>519</v>
      </c>
    </row>
    <row r="2193">
      <c r="A2193" s="355" t="s">
        <v>1752</v>
      </c>
      <c r="B2193" s="355" t="s">
        <v>519</v>
      </c>
      <c r="C2193" s="1562">
        <v>82040.0</v>
      </c>
      <c r="D2193" s="355">
        <v>82.0</v>
      </c>
      <c r="E2193" s="1" t="s">
        <v>519</v>
      </c>
    </row>
    <row r="2194">
      <c r="A2194" s="355" t="s">
        <v>1755</v>
      </c>
      <c r="B2194" s="355" t="s">
        <v>519</v>
      </c>
      <c r="C2194" s="1562">
        <v>43877.0</v>
      </c>
      <c r="D2194" s="355">
        <v>59.0</v>
      </c>
      <c r="E2194" s="1" t="s">
        <v>519</v>
      </c>
    </row>
    <row r="2195">
      <c r="A2195" s="355" t="s">
        <v>1379</v>
      </c>
      <c r="B2195" s="355" t="s">
        <v>519</v>
      </c>
      <c r="C2195" s="1562">
        <v>38247.0</v>
      </c>
      <c r="D2195" s="355">
        <v>47.0</v>
      </c>
      <c r="E2195" s="1" t="s">
        <v>519</v>
      </c>
    </row>
    <row r="2196">
      <c r="A2196" s="355" t="s">
        <v>1000</v>
      </c>
      <c r="B2196" s="355" t="s">
        <v>519</v>
      </c>
      <c r="C2196" s="1562">
        <v>72679.0</v>
      </c>
      <c r="D2196" s="355">
        <v>92.0</v>
      </c>
      <c r="E2196" s="1" t="s">
        <v>519</v>
      </c>
    </row>
    <row r="2197">
      <c r="A2197" s="355" t="s">
        <v>1757</v>
      </c>
      <c r="B2197" s="355" t="s">
        <v>519</v>
      </c>
      <c r="C2197" s="1562">
        <v>11179.0</v>
      </c>
      <c r="D2197" s="355">
        <v>17.0</v>
      </c>
      <c r="E2197" s="1" t="s">
        <v>519</v>
      </c>
    </row>
    <row r="2198">
      <c r="A2198" s="355" t="s">
        <v>1758</v>
      </c>
      <c r="B2198" s="355" t="s">
        <v>519</v>
      </c>
      <c r="C2198" s="1562">
        <v>3656.0</v>
      </c>
      <c r="D2198" s="355">
        <v>10.0</v>
      </c>
      <c r="E2198" s="1" t="s">
        <v>519</v>
      </c>
    </row>
    <row r="2199">
      <c r="A2199" s="355" t="s">
        <v>1759</v>
      </c>
      <c r="B2199" s="355" t="s">
        <v>519</v>
      </c>
      <c r="C2199" s="1562">
        <v>91984.0</v>
      </c>
      <c r="D2199" s="355">
        <v>83.0</v>
      </c>
      <c r="E2199" s="1" t="s">
        <v>519</v>
      </c>
    </row>
    <row r="2200">
      <c r="A2200" s="355" t="s">
        <v>524</v>
      </c>
      <c r="B2200" s="355" t="s">
        <v>519</v>
      </c>
      <c r="C2200" s="1562">
        <v>24578.0</v>
      </c>
      <c r="D2200" s="355">
        <v>39.0</v>
      </c>
      <c r="E2200" s="1" t="s">
        <v>519</v>
      </c>
    </row>
    <row r="2201">
      <c r="A2201" s="355" t="s">
        <v>1761</v>
      </c>
      <c r="B2201" s="355" t="s">
        <v>519</v>
      </c>
      <c r="C2201" s="1562">
        <v>41179.0</v>
      </c>
      <c r="D2201" s="355">
        <v>49.0</v>
      </c>
      <c r="E2201" s="1" t="s">
        <v>519</v>
      </c>
    </row>
    <row r="2202">
      <c r="A2202" s="355" t="s">
        <v>628</v>
      </c>
      <c r="B2202" s="355" t="s">
        <v>519</v>
      </c>
      <c r="C2202" s="1562">
        <v>43265.0</v>
      </c>
      <c r="D2202" s="355">
        <v>76.0</v>
      </c>
      <c r="E2202" s="1" t="s">
        <v>519</v>
      </c>
    </row>
    <row r="2203">
      <c r="A2203" s="355" t="s">
        <v>113</v>
      </c>
      <c r="B2203" s="355" t="s">
        <v>519</v>
      </c>
      <c r="C2203" s="1562">
        <v>20455.0</v>
      </c>
      <c r="D2203" s="355">
        <v>32.0</v>
      </c>
      <c r="E2203" s="1" t="s">
        <v>519</v>
      </c>
    </row>
    <row r="2204">
      <c r="A2204" s="355" t="s">
        <v>1762</v>
      </c>
      <c r="B2204" s="355" t="s">
        <v>519</v>
      </c>
      <c r="C2204" s="1562">
        <v>7348.0</v>
      </c>
      <c r="D2204" s="355">
        <v>25.0</v>
      </c>
      <c r="E2204" s="1" t="s">
        <v>519</v>
      </c>
    </row>
    <row r="2205">
      <c r="A2205" s="355" t="s">
        <v>592</v>
      </c>
      <c r="B2205" s="355" t="s">
        <v>519</v>
      </c>
      <c r="C2205" s="1562">
        <v>648360.0</v>
      </c>
      <c r="D2205" s="355">
        <v>519.0</v>
      </c>
      <c r="E2205" s="1" t="s">
        <v>519</v>
      </c>
    </row>
    <row r="2206">
      <c r="A2206" s="355" t="s">
        <v>1763</v>
      </c>
      <c r="B2206" s="355" t="s">
        <v>519</v>
      </c>
      <c r="C2206" s="1562">
        <v>80110.0</v>
      </c>
      <c r="D2206" s="355">
        <v>67.0</v>
      </c>
      <c r="E2206" s="1" t="s">
        <v>519</v>
      </c>
    </row>
    <row r="2207">
      <c r="A2207" s="355" t="s">
        <v>119</v>
      </c>
      <c r="B2207" s="355" t="s">
        <v>519</v>
      </c>
      <c r="C2207" s="1562">
        <v>51843.0</v>
      </c>
      <c r="D2207" s="355">
        <v>78.0</v>
      </c>
      <c r="E2207" s="1" t="s">
        <v>519</v>
      </c>
    </row>
    <row r="2208">
      <c r="A2208" s="355" t="s">
        <v>1765</v>
      </c>
      <c r="B2208" s="355" t="s">
        <v>519</v>
      </c>
      <c r="C2208" s="1562">
        <v>11127.0</v>
      </c>
      <c r="D2208" s="355">
        <v>20.0</v>
      </c>
      <c r="E2208" s="1" t="s">
        <v>519</v>
      </c>
    </row>
    <row r="2209">
      <c r="A2209" s="355" t="s">
        <v>1766</v>
      </c>
      <c r="B2209" s="355" t="s">
        <v>519</v>
      </c>
      <c r="C2209" s="1562">
        <v>8897.0</v>
      </c>
      <c r="D2209" s="355">
        <v>22.0</v>
      </c>
      <c r="E2209" s="1" t="s">
        <v>519</v>
      </c>
    </row>
    <row r="2210">
      <c r="A2210" s="1501" t="s">
        <v>1767</v>
      </c>
      <c r="B2210" s="1501" t="s">
        <v>519</v>
      </c>
      <c r="C2210" s="1564">
        <v>20222.0</v>
      </c>
      <c r="D2210" s="1501">
        <v>35.0</v>
      </c>
      <c r="E2210" s="1624" t="s">
        <v>519</v>
      </c>
      <c r="F2210" s="1624"/>
      <c r="G2210" s="1624"/>
      <c r="N2210" s="1489"/>
      <c r="O2210" s="1489"/>
      <c r="P2210" s="1489"/>
      <c r="Q2210" s="1489"/>
      <c r="R2210" s="1489"/>
      <c r="S2210" s="1489"/>
      <c r="T2210" s="1489"/>
      <c r="U2210" s="1489"/>
      <c r="V2210" s="1489"/>
      <c r="W2210" s="1489"/>
      <c r="X2210" s="1489"/>
      <c r="Y2210" s="1489"/>
      <c r="Z2210" s="1489"/>
    </row>
    <row r="2211">
      <c r="A2211" s="1490" t="s">
        <v>481</v>
      </c>
      <c r="B2211" s="1490" t="s">
        <v>512</v>
      </c>
      <c r="C2211" s="1597">
        <v>16006.0</v>
      </c>
      <c r="D2211" s="1490">
        <v>17.0</v>
      </c>
      <c r="E2211" s="1" t="s">
        <v>512</v>
      </c>
    </row>
    <row r="2212">
      <c r="A2212" s="1490" t="s">
        <v>243</v>
      </c>
      <c r="B2212" s="1490" t="s">
        <v>512</v>
      </c>
      <c r="C2212" s="1597">
        <v>92101.0</v>
      </c>
      <c r="D2212" s="1490">
        <v>58.0</v>
      </c>
      <c r="E2212" s="1" t="s">
        <v>512</v>
      </c>
    </row>
    <row r="2213">
      <c r="A2213" s="1490" t="s">
        <v>1768</v>
      </c>
      <c r="B2213" s="1490" t="s">
        <v>512</v>
      </c>
      <c r="C2213" s="1597">
        <v>416075.0</v>
      </c>
      <c r="D2213" s="1490">
        <v>203.0</v>
      </c>
      <c r="E2213" s="1" t="s">
        <v>512</v>
      </c>
    </row>
    <row r="2214">
      <c r="A2214" s="1490" t="s">
        <v>1769</v>
      </c>
      <c r="B2214" s="1490" t="s">
        <v>512</v>
      </c>
      <c r="C2214" s="1597">
        <v>39764.0</v>
      </c>
      <c r="D2214" s="1490">
        <v>39.0</v>
      </c>
      <c r="E2214" s="1" t="s">
        <v>512</v>
      </c>
      <c r="H2214" s="1489"/>
      <c r="I2214" s="1489"/>
      <c r="J2214" s="1489"/>
      <c r="K2214" s="1489"/>
      <c r="L2214" s="1489"/>
      <c r="M2214" s="1489"/>
    </row>
    <row r="2215">
      <c r="A2215" s="1490" t="s">
        <v>258</v>
      </c>
      <c r="B2215" s="1490" t="s">
        <v>512</v>
      </c>
      <c r="C2215" s="1597">
        <v>52377.0</v>
      </c>
      <c r="D2215" s="1490">
        <v>47.0</v>
      </c>
      <c r="E2215" s="1" t="s">
        <v>512</v>
      </c>
    </row>
    <row r="2216">
      <c r="A2216" s="1490" t="s">
        <v>1520</v>
      </c>
      <c r="B2216" s="1490" t="s">
        <v>512</v>
      </c>
      <c r="C2216" s="1597">
        <v>64389.0</v>
      </c>
      <c r="D2216" s="1490">
        <v>68.0</v>
      </c>
      <c r="E2216" s="1" t="s">
        <v>512</v>
      </c>
    </row>
    <row r="2217">
      <c r="A2217" s="1490" t="s">
        <v>1770</v>
      </c>
      <c r="B2217" s="1490" t="s">
        <v>512</v>
      </c>
      <c r="C2217" s="1597">
        <v>23867.0</v>
      </c>
      <c r="D2217" s="1490">
        <v>21.0</v>
      </c>
      <c r="E2217" s="1" t="s">
        <v>512</v>
      </c>
    </row>
    <row r="2218">
      <c r="A2218" s="1490" t="s">
        <v>1535</v>
      </c>
      <c r="B2218" s="1490" t="s">
        <v>512</v>
      </c>
      <c r="C2218" s="1597">
        <v>22813.0</v>
      </c>
      <c r="D2218" s="1490">
        <v>29.0</v>
      </c>
      <c r="E2218" s="1" t="s">
        <v>512</v>
      </c>
    </row>
    <row r="2219">
      <c r="A2219" s="1490" t="s">
        <v>1771</v>
      </c>
      <c r="B2219" s="1490" t="s">
        <v>512</v>
      </c>
      <c r="C2219" s="1597">
        <v>191996.0</v>
      </c>
      <c r="D2219" s="1490">
        <v>94.0</v>
      </c>
      <c r="E2219" s="1" t="s">
        <v>512</v>
      </c>
    </row>
    <row r="2220">
      <c r="A2220" s="1490" t="s">
        <v>412</v>
      </c>
      <c r="B2220" s="1490" t="s">
        <v>512</v>
      </c>
      <c r="C2220" s="1597">
        <v>110283.0</v>
      </c>
      <c r="D2220" s="1490">
        <v>110.0</v>
      </c>
      <c r="E2220" s="1" t="s">
        <v>512</v>
      </c>
    </row>
    <row r="2221">
      <c r="A2221" s="1490" t="s">
        <v>1772</v>
      </c>
      <c r="B2221" s="1490" t="s">
        <v>512</v>
      </c>
      <c r="C2221" s="1597">
        <v>1894.0</v>
      </c>
      <c r="D2221" s="1490">
        <v>4.0</v>
      </c>
      <c r="E2221" s="1" t="s">
        <v>512</v>
      </c>
    </row>
    <row r="2222">
      <c r="A2222" s="1490" t="s">
        <v>278</v>
      </c>
      <c r="B2222" s="1490" t="s">
        <v>512</v>
      </c>
      <c r="C2222" s="1597">
        <v>7176.0</v>
      </c>
      <c r="D2222" s="1490">
        <v>12.0</v>
      </c>
      <c r="E2222" s="1" t="s">
        <v>512</v>
      </c>
    </row>
    <row r="2223">
      <c r="A2223" s="1490" t="s">
        <v>1773</v>
      </c>
      <c r="B2223" s="1490" t="s">
        <v>512</v>
      </c>
      <c r="C2223" s="1597">
        <v>7329.0</v>
      </c>
      <c r="D2223" s="1490">
        <v>12.0</v>
      </c>
      <c r="E2223" s="1" t="s">
        <v>512</v>
      </c>
    </row>
    <row r="2224">
      <c r="A2224" s="1490" t="s">
        <v>1774</v>
      </c>
      <c r="B2224" s="1490" t="s">
        <v>512</v>
      </c>
      <c r="C2224" s="1597">
        <v>23428.0</v>
      </c>
      <c r="D2224" s="1490">
        <v>27.0</v>
      </c>
      <c r="E2224" s="1" t="s">
        <v>512</v>
      </c>
    </row>
    <row r="2225">
      <c r="A2225" s="1490" t="s">
        <v>142</v>
      </c>
      <c r="B2225" s="1490" t="s">
        <v>512</v>
      </c>
      <c r="C2225" s="1597">
        <v>219564.0</v>
      </c>
      <c r="D2225" s="1490">
        <v>112.0</v>
      </c>
      <c r="E2225" s="1" t="s">
        <v>512</v>
      </c>
    </row>
    <row r="2226">
      <c r="A2226" s="1490" t="s">
        <v>143</v>
      </c>
      <c r="B2226" s="1490" t="s">
        <v>512</v>
      </c>
      <c r="C2226" s="1597">
        <v>24192.0</v>
      </c>
      <c r="D2226" s="1490">
        <v>15.0</v>
      </c>
      <c r="E2226" s="1" t="s">
        <v>512</v>
      </c>
    </row>
    <row r="2227">
      <c r="A2227" s="1490" t="s">
        <v>1775</v>
      </c>
      <c r="B2227" s="1490" t="s">
        <v>512</v>
      </c>
      <c r="C2227" s="1597">
        <v>87393.0</v>
      </c>
      <c r="D2227" s="1490">
        <v>49.0</v>
      </c>
      <c r="E2227" s="1" t="s">
        <v>512</v>
      </c>
    </row>
    <row r="2228">
      <c r="A2228" s="1490" t="s">
        <v>1776</v>
      </c>
      <c r="B2228" s="1490" t="s">
        <v>512</v>
      </c>
      <c r="C2228" s="1597">
        <v>67653.0</v>
      </c>
      <c r="D2228" s="1490">
        <v>62.0</v>
      </c>
      <c r="E2228" s="1" t="s">
        <v>512</v>
      </c>
    </row>
    <row r="2229">
      <c r="A2229" s="1490" t="s">
        <v>337</v>
      </c>
      <c r="B2229" s="1490" t="s">
        <v>512</v>
      </c>
      <c r="C2229" s="1597">
        <v>7879.0</v>
      </c>
      <c r="D2229" s="1490">
        <v>14.0</v>
      </c>
      <c r="E2229" s="1" t="s">
        <v>512</v>
      </c>
    </row>
    <row r="2230">
      <c r="A2230" s="1490" t="s">
        <v>986</v>
      </c>
      <c r="B2230" s="1490" t="s">
        <v>512</v>
      </c>
      <c r="C2230" s="1597">
        <v>379611.0</v>
      </c>
      <c r="D2230" s="1490">
        <v>222.0</v>
      </c>
      <c r="E2230" s="1" t="s">
        <v>512</v>
      </c>
    </row>
    <row r="2231">
      <c r="A2231" s="1490" t="s">
        <v>290</v>
      </c>
      <c r="B2231" s="1490" t="s">
        <v>512</v>
      </c>
      <c r="C2231" s="1597">
        <v>49388.0</v>
      </c>
      <c r="D2231" s="1490">
        <v>57.0</v>
      </c>
      <c r="E2231" s="1" t="s">
        <v>512</v>
      </c>
    </row>
    <row r="2232">
      <c r="A2232" s="1490" t="s">
        <v>907</v>
      </c>
      <c r="B2232" s="1490" t="s">
        <v>512</v>
      </c>
      <c r="C2232" s="1597">
        <v>127335.0</v>
      </c>
      <c r="D2232" s="1490">
        <v>109.0</v>
      </c>
      <c r="E2232" s="1" t="s">
        <v>512</v>
      </c>
    </row>
    <row r="2233">
      <c r="A2233" s="1490" t="s">
        <v>1777</v>
      </c>
      <c r="B2233" s="1490" t="s">
        <v>512</v>
      </c>
      <c r="C2233" s="1597">
        <v>30725.0</v>
      </c>
      <c r="D2233" s="1490">
        <v>38.0</v>
      </c>
      <c r="E2233" s="1" t="s">
        <v>512</v>
      </c>
    </row>
    <row r="2234">
      <c r="A2234" s="1490" t="s">
        <v>153</v>
      </c>
      <c r="B2234" s="1490" t="s">
        <v>512</v>
      </c>
      <c r="C2234" s="1597">
        <v>346868.0</v>
      </c>
      <c r="D2234" s="1490">
        <v>194.0</v>
      </c>
      <c r="E2234" s="1" t="s">
        <v>512</v>
      </c>
    </row>
    <row r="2235">
      <c r="A2235" s="1490" t="s">
        <v>1691</v>
      </c>
      <c r="B2235" s="1490" t="s">
        <v>512</v>
      </c>
      <c r="C2235" s="1597">
        <v>11372.0</v>
      </c>
      <c r="D2235" s="1490">
        <v>12.0</v>
      </c>
      <c r="E2235" s="1" t="s">
        <v>512</v>
      </c>
    </row>
    <row r="2236">
      <c r="A2236" s="1490" t="s">
        <v>511</v>
      </c>
      <c r="B2236" s="1490" t="s">
        <v>512</v>
      </c>
      <c r="C2236" s="1597">
        <v>811880.0</v>
      </c>
      <c r="D2236" s="1490">
        <v>366.0</v>
      </c>
      <c r="E2236" s="1" t="s">
        <v>512</v>
      </c>
    </row>
    <row r="2237">
      <c r="A2237" s="1490" t="s">
        <v>302</v>
      </c>
      <c r="B2237" s="1490" t="s">
        <v>512</v>
      </c>
      <c r="C2237" s="1597">
        <v>85234.0</v>
      </c>
      <c r="D2237" s="1490">
        <v>53.0</v>
      </c>
      <c r="E2237" s="1" t="s">
        <v>512</v>
      </c>
    </row>
    <row r="2238">
      <c r="A2238" s="1490" t="s">
        <v>1011</v>
      </c>
      <c r="B2238" s="1490" t="s">
        <v>512</v>
      </c>
      <c r="C2238" s="1597">
        <v>1708.0</v>
      </c>
      <c r="D2238" s="1490">
        <v>5.0</v>
      </c>
      <c r="E2238" s="1" t="s">
        <v>512</v>
      </c>
    </row>
    <row r="2239">
      <c r="A2239" s="1490" t="s">
        <v>1778</v>
      </c>
      <c r="B2239" s="1490" t="s">
        <v>512</v>
      </c>
      <c r="C2239" s="1597">
        <v>26787.0</v>
      </c>
      <c r="D2239" s="1490">
        <v>34.0</v>
      </c>
      <c r="E2239" s="1" t="s">
        <v>512</v>
      </c>
    </row>
    <row r="2240">
      <c r="A2240" s="1490" t="s">
        <v>1779</v>
      </c>
      <c r="B2240" s="1490" t="s">
        <v>512</v>
      </c>
      <c r="C2240" s="1597">
        <v>77516.0</v>
      </c>
      <c r="D2240" s="1490">
        <v>71.0</v>
      </c>
      <c r="E2240" s="1" t="s">
        <v>512</v>
      </c>
    </row>
    <row r="2241">
      <c r="A2241" s="1490" t="s">
        <v>316</v>
      </c>
      <c r="B2241" s="1490" t="s">
        <v>512</v>
      </c>
      <c r="C2241" s="1597">
        <v>26461.0</v>
      </c>
      <c r="D2241" s="1490">
        <v>38.0</v>
      </c>
      <c r="E2241" s="1" t="s">
        <v>512</v>
      </c>
    </row>
    <row r="2242">
      <c r="A2242" s="1490" t="s">
        <v>1780</v>
      </c>
      <c r="B2242" s="1490" t="s">
        <v>512</v>
      </c>
      <c r="C2242" s="1597">
        <v>7081.0</v>
      </c>
      <c r="D2242" s="1490">
        <v>11.0</v>
      </c>
      <c r="E2242" s="1" t="s">
        <v>512</v>
      </c>
    </row>
    <row r="2243">
      <c r="A2243" s="1490" t="s">
        <v>1781</v>
      </c>
      <c r="B2243" s="1490" t="s">
        <v>512</v>
      </c>
      <c r="C2243" s="1597">
        <v>26505.0</v>
      </c>
      <c r="D2243" s="1490">
        <v>29.0</v>
      </c>
      <c r="E2243" s="1" t="s">
        <v>512</v>
      </c>
    </row>
    <row r="2244">
      <c r="A2244" s="1490" t="s">
        <v>119</v>
      </c>
      <c r="B2244" s="1490" t="s">
        <v>512</v>
      </c>
      <c r="C2244" s="1597">
        <v>597695.0</v>
      </c>
      <c r="D2244" s="1490">
        <v>220.0</v>
      </c>
      <c r="E2244" s="1" t="s">
        <v>512</v>
      </c>
    </row>
    <row r="2245">
      <c r="A2245" s="1490" t="s">
        <v>649</v>
      </c>
      <c r="B2245" s="1490" t="s">
        <v>512</v>
      </c>
      <c r="C2245" s="1597">
        <v>1366.0</v>
      </c>
      <c r="D2245" s="1490">
        <v>6.0</v>
      </c>
      <c r="E2245" s="1" t="s">
        <v>512</v>
      </c>
    </row>
    <row r="2246">
      <c r="A2246" s="1496" t="s">
        <v>1782</v>
      </c>
      <c r="B2246" s="1496" t="s">
        <v>512</v>
      </c>
      <c r="C2246" s="1598">
        <v>107002.0</v>
      </c>
      <c r="D2246" s="1496">
        <v>75.0</v>
      </c>
      <c r="E2246" s="1624" t="s">
        <v>512</v>
      </c>
      <c r="F2246" s="1624"/>
      <c r="G2246" s="1624"/>
      <c r="N2246" s="1489"/>
      <c r="O2246" s="1489"/>
      <c r="P2246" s="1489"/>
      <c r="Q2246" s="1489"/>
      <c r="R2246" s="1489"/>
      <c r="S2246" s="1489"/>
      <c r="T2246" s="1489"/>
      <c r="U2246" s="1489"/>
      <c r="V2246" s="1489"/>
      <c r="W2246" s="1489"/>
      <c r="X2246" s="1489"/>
      <c r="Y2246" s="1489"/>
      <c r="Z2246" s="1489"/>
    </row>
    <row r="2247">
      <c r="A2247" s="355" t="s">
        <v>386</v>
      </c>
      <c r="B2247" s="355" t="s">
        <v>287</v>
      </c>
      <c r="C2247" s="1562">
        <v>102811.0</v>
      </c>
      <c r="D2247" s="355">
        <v>90.0</v>
      </c>
      <c r="E2247" s="1" t="s">
        <v>287</v>
      </c>
    </row>
    <row r="2248">
      <c r="A2248" s="355" t="s">
        <v>363</v>
      </c>
      <c r="B2248" s="355" t="s">
        <v>287</v>
      </c>
      <c r="C2248" s="1562">
        <v>1218452.0</v>
      </c>
      <c r="D2248" s="355">
        <v>837.0</v>
      </c>
      <c r="E2248" s="1" t="s">
        <v>287</v>
      </c>
    </row>
    <row r="2249">
      <c r="A2249" s="355" t="s">
        <v>1783</v>
      </c>
      <c r="B2249" s="355" t="s">
        <v>287</v>
      </c>
      <c r="C2249" s="1562">
        <v>65263.0</v>
      </c>
      <c r="D2249" s="355">
        <v>108.0</v>
      </c>
      <c r="E2249" s="1" t="s">
        <v>287</v>
      </c>
    </row>
    <row r="2250">
      <c r="A2250" s="355" t="s">
        <v>1710</v>
      </c>
      <c r="B2250" s="355" t="s">
        <v>287</v>
      </c>
      <c r="C2250" s="1562">
        <v>164742.0</v>
      </c>
      <c r="D2250" s="355">
        <v>181.0</v>
      </c>
      <c r="E2250" s="1" t="s">
        <v>287</v>
      </c>
      <c r="H2250" s="1489"/>
      <c r="I2250" s="1489"/>
      <c r="J2250" s="1489"/>
      <c r="K2250" s="1489"/>
      <c r="L2250" s="1489"/>
      <c r="M2250" s="1489"/>
    </row>
    <row r="2251">
      <c r="A2251" s="355" t="s">
        <v>1784</v>
      </c>
      <c r="B2251" s="355" t="s">
        <v>287</v>
      </c>
      <c r="C2251" s="1562">
        <v>48176.0</v>
      </c>
      <c r="D2251" s="355">
        <v>113.0</v>
      </c>
      <c r="E2251" s="1" t="s">
        <v>287</v>
      </c>
    </row>
    <row r="2252">
      <c r="A2252" s="355" t="s">
        <v>1785</v>
      </c>
      <c r="B2252" s="355" t="s">
        <v>287</v>
      </c>
      <c r="C2252" s="1562">
        <v>420152.0</v>
      </c>
      <c r="D2252" s="355">
        <v>314.0</v>
      </c>
      <c r="E2252" s="1" t="s">
        <v>287</v>
      </c>
    </row>
    <row r="2253">
      <c r="A2253" s="355" t="s">
        <v>1786</v>
      </c>
      <c r="B2253" s="355" t="s">
        <v>287</v>
      </c>
      <c r="C2253" s="1562">
        <v>122492.0</v>
      </c>
      <c r="D2253" s="355">
        <v>164.0</v>
      </c>
      <c r="E2253" s="1" t="s">
        <v>287</v>
      </c>
    </row>
    <row r="2254">
      <c r="A2254" s="355" t="s">
        <v>483</v>
      </c>
      <c r="B2254" s="355" t="s">
        <v>287</v>
      </c>
      <c r="C2254" s="1562">
        <v>60833.0</v>
      </c>
      <c r="D2254" s="355">
        <v>84.0</v>
      </c>
      <c r="E2254" s="1" t="s">
        <v>287</v>
      </c>
    </row>
    <row r="2255">
      <c r="A2255" s="355" t="s">
        <v>599</v>
      </c>
      <c r="B2255" s="355" t="s">
        <v>287</v>
      </c>
      <c r="C2255" s="1562">
        <v>628195.0</v>
      </c>
      <c r="D2255" s="355">
        <v>318.0</v>
      </c>
      <c r="E2255" s="1" t="s">
        <v>287</v>
      </c>
    </row>
    <row r="2256">
      <c r="A2256" s="355" t="s">
        <v>87</v>
      </c>
      <c r="B2256" s="355" t="s">
        <v>287</v>
      </c>
      <c r="C2256" s="1562">
        <v>187888.0</v>
      </c>
      <c r="D2256" s="355">
        <v>200.0</v>
      </c>
      <c r="E2256" s="1" t="s">
        <v>287</v>
      </c>
    </row>
    <row r="2257">
      <c r="A2257" s="355" t="s">
        <v>1787</v>
      </c>
      <c r="B2257" s="355" t="s">
        <v>287</v>
      </c>
      <c r="C2257" s="1562">
        <v>131730.0</v>
      </c>
      <c r="D2257" s="355">
        <v>180.0</v>
      </c>
      <c r="E2257" s="1" t="s">
        <v>287</v>
      </c>
    </row>
    <row r="2258">
      <c r="A2258" s="355" t="s">
        <v>1149</v>
      </c>
      <c r="B2258" s="355" t="s">
        <v>287</v>
      </c>
      <c r="C2258" s="1562">
        <v>4492.0</v>
      </c>
      <c r="D2258" s="355">
        <v>8.0</v>
      </c>
      <c r="E2258" s="1" t="s">
        <v>287</v>
      </c>
    </row>
    <row r="2259">
      <c r="A2259" s="355" t="s">
        <v>1434</v>
      </c>
      <c r="B2259" s="355" t="s">
        <v>287</v>
      </c>
      <c r="C2259" s="1562">
        <v>64227.0</v>
      </c>
      <c r="D2259" s="355">
        <v>65.0</v>
      </c>
      <c r="E2259" s="1" t="s">
        <v>287</v>
      </c>
    </row>
    <row r="2260">
      <c r="A2260" s="355" t="s">
        <v>1788</v>
      </c>
      <c r="B2260" s="355" t="s">
        <v>287</v>
      </c>
      <c r="C2260" s="1562">
        <v>162805.0</v>
      </c>
      <c r="D2260" s="355">
        <v>123.0</v>
      </c>
      <c r="E2260" s="1" t="s">
        <v>287</v>
      </c>
    </row>
    <row r="2261">
      <c r="A2261" s="355" t="s">
        <v>1789</v>
      </c>
      <c r="B2261" s="355" t="s">
        <v>287</v>
      </c>
      <c r="C2261" s="1562">
        <v>522046.0</v>
      </c>
      <c r="D2261" s="355">
        <v>338.0</v>
      </c>
      <c r="E2261" s="1" t="s">
        <v>287</v>
      </c>
    </row>
    <row r="2262">
      <c r="A2262" s="355" t="s">
        <v>1790</v>
      </c>
      <c r="B2262" s="355" t="s">
        <v>287</v>
      </c>
      <c r="C2262" s="1562">
        <v>38779.0</v>
      </c>
      <c r="D2262" s="355">
        <v>72.0</v>
      </c>
      <c r="E2262" s="1" t="s">
        <v>287</v>
      </c>
    </row>
    <row r="2263">
      <c r="A2263" s="355" t="s">
        <v>1791</v>
      </c>
      <c r="B2263" s="355" t="s">
        <v>287</v>
      </c>
      <c r="C2263" s="1562">
        <v>79388.0</v>
      </c>
      <c r="D2263" s="355">
        <v>121.0</v>
      </c>
      <c r="E2263" s="1" t="s">
        <v>287</v>
      </c>
    </row>
    <row r="2264">
      <c r="A2264" s="355" t="s">
        <v>711</v>
      </c>
      <c r="B2264" s="355" t="s">
        <v>287</v>
      </c>
      <c r="C2264" s="1562">
        <v>38684.0</v>
      </c>
      <c r="D2264" s="355">
        <v>48.0</v>
      </c>
      <c r="E2264" s="1" t="s">
        <v>287</v>
      </c>
    </row>
    <row r="2265">
      <c r="A2265" s="355" t="s">
        <v>258</v>
      </c>
      <c r="B2265" s="355" t="s">
        <v>287</v>
      </c>
      <c r="C2265" s="1562">
        <v>65456.0</v>
      </c>
      <c r="D2265" s="355">
        <v>81.0</v>
      </c>
      <c r="E2265" s="1" t="s">
        <v>287</v>
      </c>
    </row>
    <row r="2266">
      <c r="A2266" s="355" t="s">
        <v>263</v>
      </c>
      <c r="B2266" s="355" t="s">
        <v>287</v>
      </c>
      <c r="C2266" s="1562">
        <v>85063.0</v>
      </c>
      <c r="D2266" s="355">
        <v>118.0</v>
      </c>
      <c r="E2266" s="1" t="s">
        <v>287</v>
      </c>
    </row>
    <row r="2267">
      <c r="A2267" s="355" t="s">
        <v>713</v>
      </c>
      <c r="B2267" s="355" t="s">
        <v>287</v>
      </c>
      <c r="C2267" s="1562">
        <v>251423.0</v>
      </c>
      <c r="D2267" s="355">
        <v>214.0</v>
      </c>
      <c r="E2267" s="1" t="s">
        <v>287</v>
      </c>
    </row>
    <row r="2268">
      <c r="A2268" s="355" t="s">
        <v>1792</v>
      </c>
      <c r="B2268" s="355" t="s">
        <v>287</v>
      </c>
      <c r="C2268" s="1562">
        <v>277097.0</v>
      </c>
      <c r="D2268" s="355">
        <v>278.0</v>
      </c>
      <c r="E2268" s="1" t="s">
        <v>287</v>
      </c>
    </row>
    <row r="2269">
      <c r="A2269" s="355" t="s">
        <v>40</v>
      </c>
      <c r="B2269" s="355" t="s">
        <v>287</v>
      </c>
      <c r="C2269" s="1562">
        <v>564751.0</v>
      </c>
      <c r="D2269" s="355">
        <v>315.0</v>
      </c>
      <c r="E2269" s="1" t="s">
        <v>287</v>
      </c>
    </row>
    <row r="2270">
      <c r="A2270" s="355" t="s">
        <v>968</v>
      </c>
      <c r="B2270" s="355" t="s">
        <v>287</v>
      </c>
      <c r="C2270" s="1562">
        <v>30169.0</v>
      </c>
      <c r="D2270" s="355">
        <v>35.0</v>
      </c>
      <c r="E2270" s="1" t="s">
        <v>287</v>
      </c>
    </row>
    <row r="2271">
      <c r="A2271" s="355" t="s">
        <v>464</v>
      </c>
      <c r="B2271" s="355" t="s">
        <v>287</v>
      </c>
      <c r="C2271" s="1562">
        <v>272061.0</v>
      </c>
      <c r="D2271" s="355">
        <v>230.0</v>
      </c>
      <c r="E2271" s="1" t="s">
        <v>287</v>
      </c>
    </row>
    <row r="2272">
      <c r="A2272" s="355" t="s">
        <v>135</v>
      </c>
      <c r="B2272" s="355" t="s">
        <v>287</v>
      </c>
      <c r="C2272" s="1562">
        <v>130441.0</v>
      </c>
      <c r="D2272" s="355">
        <v>171.0</v>
      </c>
      <c r="E2272" s="1" t="s">
        <v>287</v>
      </c>
    </row>
    <row r="2273">
      <c r="A2273" s="355" t="s">
        <v>1793</v>
      </c>
      <c r="B2273" s="355" t="s">
        <v>287</v>
      </c>
      <c r="C2273" s="1562">
        <v>7279.0</v>
      </c>
      <c r="D2273" s="355">
        <v>12.0</v>
      </c>
      <c r="E2273" s="1" t="s">
        <v>287</v>
      </c>
    </row>
    <row r="2274">
      <c r="A2274" s="355" t="s">
        <v>136</v>
      </c>
      <c r="B2274" s="355" t="s">
        <v>287</v>
      </c>
      <c r="C2274" s="1562">
        <v>154835.0</v>
      </c>
      <c r="D2274" s="355">
        <v>187.0</v>
      </c>
      <c r="E2274" s="1" t="s">
        <v>287</v>
      </c>
    </row>
    <row r="2275">
      <c r="A2275" s="355" t="s">
        <v>275</v>
      </c>
      <c r="B2275" s="355" t="s">
        <v>287</v>
      </c>
      <c r="C2275" s="1562">
        <v>14523.0</v>
      </c>
      <c r="D2275" s="355">
        <v>23.0</v>
      </c>
      <c r="E2275" s="1" t="s">
        <v>287</v>
      </c>
    </row>
    <row r="2276">
      <c r="A2276" s="355" t="s">
        <v>138</v>
      </c>
      <c r="B2276" s="355" t="s">
        <v>287</v>
      </c>
      <c r="C2276" s="1562">
        <v>36506.0</v>
      </c>
      <c r="D2276" s="355">
        <v>52.0</v>
      </c>
      <c r="E2276" s="1" t="s">
        <v>287</v>
      </c>
    </row>
    <row r="2277">
      <c r="A2277" s="355" t="s">
        <v>1794</v>
      </c>
      <c r="B2277" s="355" t="s">
        <v>287</v>
      </c>
      <c r="C2277" s="1562">
        <v>45168.0</v>
      </c>
      <c r="D2277" s="355">
        <v>93.0</v>
      </c>
      <c r="E2277" s="1" t="s">
        <v>287</v>
      </c>
    </row>
    <row r="2278">
      <c r="A2278" s="355" t="s">
        <v>49</v>
      </c>
      <c r="B2278" s="355" t="s">
        <v>287</v>
      </c>
      <c r="C2278" s="1562">
        <v>84501.0</v>
      </c>
      <c r="D2278" s="355">
        <v>112.0</v>
      </c>
      <c r="E2278" s="1" t="s">
        <v>287</v>
      </c>
    </row>
    <row r="2279">
      <c r="A2279" s="355" t="s">
        <v>143</v>
      </c>
      <c r="B2279" s="355" t="s">
        <v>287</v>
      </c>
      <c r="C2279" s="1562">
        <v>43641.0</v>
      </c>
      <c r="D2279" s="355">
        <v>74.0</v>
      </c>
      <c r="E2279" s="1" t="s">
        <v>287</v>
      </c>
    </row>
    <row r="2280">
      <c r="A2280" s="355" t="s">
        <v>1795</v>
      </c>
      <c r="B2280" s="355" t="s">
        <v>287</v>
      </c>
      <c r="C2280" s="1562">
        <v>24704.0</v>
      </c>
      <c r="D2280" s="355">
        <v>43.0</v>
      </c>
      <c r="E2280" s="1" t="s">
        <v>287</v>
      </c>
    </row>
    <row r="2281">
      <c r="A2281" s="355" t="s">
        <v>1796</v>
      </c>
      <c r="B2281" s="355" t="s">
        <v>287</v>
      </c>
      <c r="C2281" s="1562">
        <v>210793.0</v>
      </c>
      <c r="D2281" s="355">
        <v>170.0</v>
      </c>
      <c r="E2281" s="1" t="s">
        <v>287</v>
      </c>
    </row>
    <row r="2282">
      <c r="A2282" s="355" t="s">
        <v>650</v>
      </c>
      <c r="B2282" s="355" t="s">
        <v>287</v>
      </c>
      <c r="C2282" s="1562">
        <v>543557.0</v>
      </c>
      <c r="D2282" s="355">
        <v>542.0</v>
      </c>
      <c r="E2282" s="1" t="s">
        <v>287</v>
      </c>
    </row>
    <row r="2283">
      <c r="A2283" s="355" t="s">
        <v>146</v>
      </c>
      <c r="B2283" s="355" t="s">
        <v>287</v>
      </c>
      <c r="C2283" s="1562">
        <v>86184.0</v>
      </c>
      <c r="D2283" s="355">
        <v>118.0</v>
      </c>
      <c r="E2283" s="1" t="s">
        <v>287</v>
      </c>
    </row>
    <row r="2284">
      <c r="A2284" s="355" t="s">
        <v>1797</v>
      </c>
      <c r="B2284" s="355" t="s">
        <v>287</v>
      </c>
      <c r="C2284" s="1562">
        <v>141314.0</v>
      </c>
      <c r="D2284" s="355">
        <v>144.0</v>
      </c>
      <c r="E2284" s="1" t="s">
        <v>287</v>
      </c>
    </row>
    <row r="2285">
      <c r="A2285" s="355" t="s">
        <v>1798</v>
      </c>
      <c r="B2285" s="355" t="s">
        <v>287</v>
      </c>
      <c r="C2285" s="1562">
        <v>368100.0</v>
      </c>
      <c r="D2285" s="355">
        <v>235.0</v>
      </c>
      <c r="E2285" s="1" t="s">
        <v>287</v>
      </c>
    </row>
    <row r="2286">
      <c r="A2286" s="355" t="s">
        <v>1799</v>
      </c>
      <c r="B2286" s="355" t="s">
        <v>287</v>
      </c>
      <c r="C2286" s="1562">
        <v>317646.0</v>
      </c>
      <c r="D2286" s="355">
        <v>271.0</v>
      </c>
      <c r="E2286" s="1" t="s">
        <v>287</v>
      </c>
    </row>
    <row r="2287">
      <c r="A2287" s="355" t="s">
        <v>1800</v>
      </c>
      <c r="B2287" s="355" t="s">
        <v>287</v>
      </c>
      <c r="C2287" s="1562">
        <v>113664.0</v>
      </c>
      <c r="D2287" s="355">
        <v>145.0</v>
      </c>
      <c r="E2287" s="1" t="s">
        <v>287</v>
      </c>
    </row>
    <row r="2288">
      <c r="A2288" s="355" t="s">
        <v>1801</v>
      </c>
      <c r="B2288" s="355" t="s">
        <v>287</v>
      </c>
      <c r="C2288" s="1562">
        <v>40968.0</v>
      </c>
      <c r="D2288" s="355">
        <v>60.0</v>
      </c>
      <c r="E2288" s="1" t="s">
        <v>287</v>
      </c>
    </row>
    <row r="2289">
      <c r="A2289" s="355" t="s">
        <v>738</v>
      </c>
      <c r="B2289" s="355" t="s">
        <v>287</v>
      </c>
      <c r="C2289" s="1562">
        <v>110683.0</v>
      </c>
      <c r="D2289" s="355">
        <v>159.0</v>
      </c>
      <c r="E2289" s="1" t="s">
        <v>287</v>
      </c>
    </row>
    <row r="2290">
      <c r="A2290" s="355" t="s">
        <v>1802</v>
      </c>
      <c r="B2290" s="355" t="s">
        <v>287</v>
      </c>
      <c r="C2290" s="1562">
        <v>46222.0</v>
      </c>
      <c r="D2290" s="355">
        <v>71.0</v>
      </c>
      <c r="E2290" s="1" t="s">
        <v>287</v>
      </c>
    </row>
    <row r="2291">
      <c r="A2291" s="355" t="s">
        <v>156</v>
      </c>
      <c r="B2291" s="355" t="s">
        <v>287</v>
      </c>
      <c r="C2291" s="1562">
        <v>169507.0</v>
      </c>
      <c r="D2291" s="355">
        <v>91.0</v>
      </c>
      <c r="E2291" s="1" t="s">
        <v>287</v>
      </c>
    </row>
    <row r="2292">
      <c r="A2292" s="355" t="s">
        <v>157</v>
      </c>
      <c r="B2292" s="355" t="s">
        <v>287</v>
      </c>
      <c r="C2292" s="1562">
        <v>828604.0</v>
      </c>
      <c r="D2292" s="355">
        <v>479.0</v>
      </c>
      <c r="E2292" s="1" t="s">
        <v>287</v>
      </c>
    </row>
    <row r="2293">
      <c r="A2293" s="355" t="s">
        <v>1803</v>
      </c>
      <c r="B2293" s="355" t="s">
        <v>287</v>
      </c>
      <c r="C2293" s="1562">
        <v>18240.0</v>
      </c>
      <c r="D2293" s="355">
        <v>20.0</v>
      </c>
      <c r="E2293" s="1" t="s">
        <v>287</v>
      </c>
    </row>
    <row r="2294">
      <c r="A2294" s="355" t="s">
        <v>1618</v>
      </c>
      <c r="B2294" s="355" t="s">
        <v>287</v>
      </c>
      <c r="C2294" s="1562">
        <v>304807.0</v>
      </c>
      <c r="D2294" s="355">
        <v>196.0</v>
      </c>
      <c r="E2294" s="1" t="s">
        <v>287</v>
      </c>
    </row>
    <row r="2295">
      <c r="A2295" s="355" t="s">
        <v>1804</v>
      </c>
      <c r="B2295" s="355" t="s">
        <v>287</v>
      </c>
      <c r="C2295" s="1562">
        <v>91083.0</v>
      </c>
      <c r="D2295" s="355">
        <v>132.0</v>
      </c>
      <c r="E2295" s="1" t="s">
        <v>287</v>
      </c>
    </row>
    <row r="2296">
      <c r="A2296" s="355" t="s">
        <v>159</v>
      </c>
      <c r="B2296" s="355" t="s">
        <v>287</v>
      </c>
      <c r="C2296" s="1562">
        <v>46139.0</v>
      </c>
      <c r="D2296" s="355">
        <v>63.0</v>
      </c>
      <c r="E2296" s="1" t="s">
        <v>287</v>
      </c>
    </row>
    <row r="2297">
      <c r="A2297" s="355" t="s">
        <v>286</v>
      </c>
      <c r="B2297" s="355" t="s">
        <v>287</v>
      </c>
      <c r="C2297" s="1562">
        <v>1584138.0</v>
      </c>
      <c r="D2297" s="364">
        <v>1010.0</v>
      </c>
      <c r="E2297" s="1" t="s">
        <v>287</v>
      </c>
      <c r="G2297" s="303"/>
    </row>
    <row r="2298">
      <c r="A2298" s="355" t="s">
        <v>162</v>
      </c>
      <c r="B2298" s="355" t="s">
        <v>287</v>
      </c>
      <c r="C2298" s="1562">
        <v>55933.0</v>
      </c>
      <c r="D2298" s="355">
        <v>28.0</v>
      </c>
      <c r="E2298" s="1" t="s">
        <v>287</v>
      </c>
    </row>
    <row r="2299">
      <c r="A2299" s="355" t="s">
        <v>1805</v>
      </c>
      <c r="B2299" s="355" t="s">
        <v>287</v>
      </c>
      <c r="C2299" s="1562">
        <v>16622.0</v>
      </c>
      <c r="D2299" s="355">
        <v>36.0</v>
      </c>
      <c r="E2299" s="1" t="s">
        <v>287</v>
      </c>
    </row>
    <row r="2300">
      <c r="A2300" s="355" t="s">
        <v>1806</v>
      </c>
      <c r="B2300" s="355" t="s">
        <v>287</v>
      </c>
      <c r="C2300" s="1562">
        <v>142067.0</v>
      </c>
      <c r="D2300" s="355">
        <v>167.0</v>
      </c>
      <c r="E2300" s="1" t="s">
        <v>287</v>
      </c>
    </row>
    <row r="2301">
      <c r="A2301" s="355" t="s">
        <v>1807</v>
      </c>
      <c r="B2301" s="355" t="s">
        <v>287</v>
      </c>
      <c r="C2301" s="1562">
        <v>40540.0</v>
      </c>
      <c r="D2301" s="355">
        <v>59.0</v>
      </c>
      <c r="E2301" s="1" t="s">
        <v>287</v>
      </c>
    </row>
    <row r="2302">
      <c r="A2302" s="355" t="s">
        <v>1194</v>
      </c>
      <c r="B2302" s="355" t="s">
        <v>287</v>
      </c>
      <c r="C2302" s="1562">
        <v>73952.0</v>
      </c>
      <c r="D2302" s="355">
        <v>140.0</v>
      </c>
      <c r="E2302" s="1" t="s">
        <v>287</v>
      </c>
    </row>
    <row r="2303">
      <c r="A2303" s="355" t="s">
        <v>860</v>
      </c>
      <c r="B2303" s="355" t="s">
        <v>287</v>
      </c>
      <c r="C2303" s="1562">
        <v>6071.0</v>
      </c>
      <c r="D2303" s="355">
        <v>14.0</v>
      </c>
      <c r="E2303" s="1" t="s">
        <v>287</v>
      </c>
    </row>
    <row r="2304">
      <c r="A2304" s="355" t="s">
        <v>1808</v>
      </c>
      <c r="B2304" s="355" t="s">
        <v>287</v>
      </c>
      <c r="C2304" s="1562">
        <v>40589.0</v>
      </c>
      <c r="D2304" s="355">
        <v>67.0</v>
      </c>
      <c r="E2304" s="1" t="s">
        <v>287</v>
      </c>
    </row>
    <row r="2305">
      <c r="A2305" s="355" t="s">
        <v>1574</v>
      </c>
      <c r="B2305" s="355" t="s">
        <v>287</v>
      </c>
      <c r="C2305" s="1562">
        <v>40763.0</v>
      </c>
      <c r="D2305" s="355">
        <v>88.0</v>
      </c>
      <c r="E2305" s="1" t="s">
        <v>287</v>
      </c>
    </row>
    <row r="2306">
      <c r="A2306" s="355" t="s">
        <v>316</v>
      </c>
      <c r="B2306" s="355" t="s">
        <v>287</v>
      </c>
      <c r="C2306" s="1562">
        <v>44785.0</v>
      </c>
      <c r="D2306" s="355">
        <v>55.0</v>
      </c>
      <c r="E2306" s="1" t="s">
        <v>287</v>
      </c>
    </row>
    <row r="2307">
      <c r="A2307" s="355" t="s">
        <v>1809</v>
      </c>
      <c r="B2307" s="355" t="s">
        <v>287</v>
      </c>
      <c r="C2307" s="1562">
        <v>51266.0</v>
      </c>
      <c r="D2307" s="355">
        <v>92.0</v>
      </c>
      <c r="E2307" s="1" t="s">
        <v>287</v>
      </c>
    </row>
    <row r="2308">
      <c r="A2308" s="355" t="s">
        <v>647</v>
      </c>
      <c r="B2308" s="355" t="s">
        <v>287</v>
      </c>
      <c r="C2308" s="1562">
        <v>39498.0</v>
      </c>
      <c r="D2308" s="355">
        <v>55.0</v>
      </c>
      <c r="E2308" s="1" t="s">
        <v>287</v>
      </c>
    </row>
    <row r="2309">
      <c r="A2309" s="355" t="s">
        <v>119</v>
      </c>
      <c r="B2309" s="355" t="s">
        <v>287</v>
      </c>
      <c r="C2309" s="1562">
        <v>207346.0</v>
      </c>
      <c r="D2309" s="355">
        <v>202.0</v>
      </c>
      <c r="E2309" s="1" t="s">
        <v>287</v>
      </c>
    </row>
    <row r="2310">
      <c r="A2310" s="355" t="s">
        <v>273</v>
      </c>
      <c r="B2310" s="355" t="s">
        <v>287</v>
      </c>
      <c r="C2310" s="1562">
        <v>51276.0</v>
      </c>
      <c r="D2310" s="355">
        <v>56.0</v>
      </c>
      <c r="E2310" s="1" t="s">
        <v>287</v>
      </c>
    </row>
    <row r="2311">
      <c r="A2311" s="355" t="s">
        <v>1810</v>
      </c>
      <c r="B2311" s="355" t="s">
        <v>287</v>
      </c>
      <c r="C2311" s="1562">
        <v>350611.0</v>
      </c>
      <c r="D2311" s="355">
        <v>380.0</v>
      </c>
      <c r="E2311" s="1" t="s">
        <v>287</v>
      </c>
    </row>
    <row r="2312">
      <c r="A2312" s="355" t="s">
        <v>123</v>
      </c>
      <c r="B2312" s="355" t="s">
        <v>287</v>
      </c>
      <c r="C2312" s="1562">
        <v>27046.0</v>
      </c>
      <c r="D2312" s="355">
        <v>45.0</v>
      </c>
      <c r="E2312" s="1" t="s">
        <v>287</v>
      </c>
    </row>
    <row r="2313">
      <c r="A2313" s="1501" t="s">
        <v>1196</v>
      </c>
      <c r="B2313" s="1501" t="s">
        <v>287</v>
      </c>
      <c r="C2313" s="1564">
        <v>448273.0</v>
      </c>
      <c r="D2313" s="1501">
        <v>399.0</v>
      </c>
      <c r="E2313" s="1624" t="s">
        <v>287</v>
      </c>
      <c r="F2313" s="1624"/>
      <c r="G2313" s="1624"/>
      <c r="N2313" s="1489"/>
      <c r="O2313" s="1489"/>
      <c r="P2313" s="1489"/>
      <c r="Q2313" s="1489"/>
      <c r="R2313" s="1489"/>
      <c r="S2313" s="1489"/>
      <c r="T2313" s="1489"/>
      <c r="U2313" s="1489"/>
      <c r="V2313" s="1489"/>
      <c r="W2313" s="1489"/>
      <c r="X2313" s="1489"/>
      <c r="Y2313" s="1489"/>
      <c r="Z2313" s="1489"/>
    </row>
    <row r="2314">
      <c r="A2314" s="355" t="s">
        <v>634</v>
      </c>
      <c r="B2314" s="355" t="s">
        <v>596</v>
      </c>
      <c r="C2314" s="1562">
        <v>48649.0</v>
      </c>
      <c r="D2314" s="355">
        <v>22.0</v>
      </c>
      <c r="E2314" s="1" t="s">
        <v>596</v>
      </c>
    </row>
    <row r="2315">
      <c r="A2315" s="355" t="s">
        <v>474</v>
      </c>
      <c r="B2315" s="355" t="s">
        <v>596</v>
      </c>
      <c r="C2315" s="1562">
        <v>163861.0</v>
      </c>
      <c r="D2315" s="355">
        <v>67.0</v>
      </c>
      <c r="E2315" s="1" t="s">
        <v>596</v>
      </c>
    </row>
    <row r="2316">
      <c r="A2316" s="355" t="s">
        <v>1811</v>
      </c>
      <c r="B2316" s="355" t="s">
        <v>596</v>
      </c>
      <c r="C2316" s="1562">
        <v>82542.0</v>
      </c>
      <c r="D2316" s="355">
        <v>58.0</v>
      </c>
      <c r="E2316" s="1" t="s">
        <v>596</v>
      </c>
    </row>
    <row r="2317">
      <c r="A2317" s="355" t="s">
        <v>595</v>
      </c>
      <c r="B2317" s="355" t="s">
        <v>596</v>
      </c>
      <c r="C2317" s="1562">
        <v>636084.0</v>
      </c>
      <c r="D2317" s="355">
        <v>323.0</v>
      </c>
      <c r="E2317" s="1" t="s">
        <v>596</v>
      </c>
      <c r="H2317" s="1489"/>
      <c r="I2317" s="1489"/>
      <c r="J2317" s="1489"/>
      <c r="K2317" s="1489"/>
      <c r="L2317" s="1489"/>
      <c r="M2317" s="1489"/>
    </row>
    <row r="2318">
      <c r="A2318" s="1501" t="s">
        <v>119</v>
      </c>
      <c r="B2318" s="1501" t="s">
        <v>596</v>
      </c>
      <c r="C2318" s="1564">
        <v>126179.0</v>
      </c>
      <c r="D2318" s="1501">
        <v>80.0</v>
      </c>
      <c r="E2318" s="1624" t="s">
        <v>596</v>
      </c>
      <c r="F2318" s="1624"/>
      <c r="G2318" s="1624"/>
      <c r="N2318" s="1489"/>
      <c r="O2318" s="1489"/>
      <c r="P2318" s="1489"/>
      <c r="Q2318" s="1489"/>
      <c r="R2318" s="1489"/>
      <c r="S2318" s="1489"/>
      <c r="T2318" s="1489"/>
      <c r="U2318" s="1489"/>
      <c r="V2318" s="1489"/>
      <c r="W2318" s="1489"/>
      <c r="X2318" s="1489"/>
      <c r="Y2318" s="1489"/>
      <c r="Z2318" s="1489"/>
    </row>
    <row r="2319">
      <c r="A2319" s="1490" t="s">
        <v>1813</v>
      </c>
      <c r="B2319" s="1490" t="s">
        <v>1812</v>
      </c>
      <c r="C2319" s="1597">
        <v>24541.0</v>
      </c>
      <c r="D2319" s="1490">
        <v>77.0</v>
      </c>
      <c r="E2319" s="1" t="s">
        <v>1812</v>
      </c>
    </row>
    <row r="2320">
      <c r="A2320" s="1490" t="s">
        <v>1814</v>
      </c>
      <c r="B2320" s="1490" t="s">
        <v>1812</v>
      </c>
      <c r="C2320" s="1597">
        <v>169401.0</v>
      </c>
      <c r="D2320" s="1490">
        <v>219.0</v>
      </c>
      <c r="E2320" s="1" t="s">
        <v>1812</v>
      </c>
    </row>
    <row r="2321">
      <c r="A2321" s="1490" t="s">
        <v>1815</v>
      </c>
      <c r="B2321" s="1490" t="s">
        <v>1812</v>
      </c>
      <c r="C2321" s="1597">
        <v>8903.0</v>
      </c>
      <c r="D2321" s="1490">
        <v>29.0</v>
      </c>
      <c r="E2321" s="1" t="s">
        <v>1812</v>
      </c>
    </row>
    <row r="2322">
      <c r="A2322" s="1490" t="s">
        <v>954</v>
      </c>
      <c r="B2322" s="1490" t="s">
        <v>1812</v>
      </c>
      <c r="C2322" s="1597">
        <v>200482.0</v>
      </c>
      <c r="D2322" s="1490">
        <v>256.0</v>
      </c>
      <c r="E2322" s="1" t="s">
        <v>1812</v>
      </c>
      <c r="H2322" s="1489"/>
      <c r="I2322" s="1489"/>
      <c r="J2322" s="1489"/>
      <c r="K2322" s="1489"/>
      <c r="L2322" s="1489"/>
      <c r="M2322" s="1489"/>
    </row>
    <row r="2323">
      <c r="A2323" s="1490" t="s">
        <v>1816</v>
      </c>
      <c r="B2323" s="1490" t="s">
        <v>1812</v>
      </c>
      <c r="C2323" s="1597">
        <v>14275.0</v>
      </c>
      <c r="D2323" s="1490">
        <v>35.0</v>
      </c>
      <c r="E2323" s="1" t="s">
        <v>1812</v>
      </c>
    </row>
    <row r="2324">
      <c r="A2324" s="1490" t="s">
        <v>1817</v>
      </c>
      <c r="B2324" s="1490" t="s">
        <v>1812</v>
      </c>
      <c r="C2324" s="1597">
        <v>21112.0</v>
      </c>
      <c r="D2324" s="1490">
        <v>55.0</v>
      </c>
      <c r="E2324" s="1" t="s">
        <v>1812</v>
      </c>
    </row>
    <row r="2325">
      <c r="A2325" s="1490" t="s">
        <v>1583</v>
      </c>
      <c r="B2325" s="1490" t="s">
        <v>1812</v>
      </c>
      <c r="C2325" s="1597">
        <v>188715.0</v>
      </c>
      <c r="D2325" s="1490">
        <v>137.0</v>
      </c>
      <c r="E2325" s="1" t="s">
        <v>1812</v>
      </c>
    </row>
    <row r="2326">
      <c r="A2326" s="1490" t="s">
        <v>1818</v>
      </c>
      <c r="B2326" s="1490" t="s">
        <v>1812</v>
      </c>
      <c r="C2326" s="1597">
        <v>221091.0</v>
      </c>
      <c r="D2326" s="1490">
        <v>198.0</v>
      </c>
      <c r="E2326" s="1" t="s">
        <v>1812</v>
      </c>
    </row>
    <row r="2327">
      <c r="A2327" s="1490" t="s">
        <v>93</v>
      </c>
      <c r="B2327" s="1490" t="s">
        <v>1812</v>
      </c>
      <c r="C2327" s="1597">
        <v>14520.0</v>
      </c>
      <c r="D2327" s="1490">
        <v>42.0</v>
      </c>
      <c r="E2327" s="1" t="s">
        <v>1812</v>
      </c>
    </row>
    <row r="2328">
      <c r="A2328" s="1490" t="s">
        <v>1819</v>
      </c>
      <c r="B2328" s="1490" t="s">
        <v>1812</v>
      </c>
      <c r="C2328" s="1597">
        <v>405905.0</v>
      </c>
      <c r="D2328" s="1490">
        <v>394.0</v>
      </c>
      <c r="E2328" s="1" t="s">
        <v>1812</v>
      </c>
    </row>
    <row r="2329">
      <c r="A2329" s="1490" t="s">
        <v>101</v>
      </c>
      <c r="B2329" s="1490" t="s">
        <v>1812</v>
      </c>
      <c r="C2329" s="1597">
        <v>57078.0</v>
      </c>
      <c r="D2329" s="1490">
        <v>86.0</v>
      </c>
      <c r="E2329" s="1" t="s">
        <v>1812</v>
      </c>
    </row>
    <row r="2330">
      <c r="A2330" s="1490" t="s">
        <v>1789</v>
      </c>
      <c r="B2330" s="1490" t="s">
        <v>1812</v>
      </c>
      <c r="C2330" s="1597">
        <v>32251.0</v>
      </c>
      <c r="D2330" s="1490">
        <v>114.0</v>
      </c>
      <c r="E2330" s="1" t="s">
        <v>1812</v>
      </c>
    </row>
    <row r="2331">
      <c r="A2331" s="1490" t="s">
        <v>1820</v>
      </c>
      <c r="B2331" s="1490" t="s">
        <v>1812</v>
      </c>
      <c r="C2331" s="1597">
        <v>45754.0</v>
      </c>
      <c r="D2331" s="1490">
        <v>110.0</v>
      </c>
      <c r="E2331" s="1" t="s">
        <v>1812</v>
      </c>
    </row>
    <row r="2332">
      <c r="A2332" s="1490" t="s">
        <v>1821</v>
      </c>
      <c r="B2332" s="1490" t="s">
        <v>1812</v>
      </c>
      <c r="C2332" s="1597">
        <v>33700.0</v>
      </c>
      <c r="D2332" s="1490">
        <v>110.0</v>
      </c>
      <c r="E2332" s="1" t="s">
        <v>1812</v>
      </c>
    </row>
    <row r="2333">
      <c r="A2333" s="1490" t="s">
        <v>1822</v>
      </c>
      <c r="B2333" s="1490" t="s">
        <v>1812</v>
      </c>
      <c r="C2333" s="1597">
        <v>37660.0</v>
      </c>
      <c r="D2333" s="1490">
        <v>114.0</v>
      </c>
      <c r="E2333" s="1" t="s">
        <v>1812</v>
      </c>
    </row>
    <row r="2334">
      <c r="A2334" s="1490" t="s">
        <v>1823</v>
      </c>
      <c r="B2334" s="1490" t="s">
        <v>1812</v>
      </c>
      <c r="C2334" s="1597">
        <v>66802.0</v>
      </c>
      <c r="D2334" s="1490">
        <v>129.0</v>
      </c>
      <c r="E2334" s="1" t="s">
        <v>1812</v>
      </c>
    </row>
    <row r="2335">
      <c r="A2335" s="1490" t="s">
        <v>1824</v>
      </c>
      <c r="B2335" s="1490" t="s">
        <v>1812</v>
      </c>
      <c r="C2335" s="1597">
        <v>30599.0</v>
      </c>
      <c r="D2335" s="1490">
        <v>68.0</v>
      </c>
      <c r="E2335" s="1" t="s">
        <v>1812</v>
      </c>
    </row>
    <row r="2336">
      <c r="A2336" s="1490" t="s">
        <v>1204</v>
      </c>
      <c r="B2336" s="1490" t="s">
        <v>1812</v>
      </c>
      <c r="C2336" s="1597">
        <v>160647.0</v>
      </c>
      <c r="D2336" s="1490">
        <v>126.0</v>
      </c>
      <c r="E2336" s="1" t="s">
        <v>1812</v>
      </c>
    </row>
    <row r="2337">
      <c r="A2337" s="1490" t="s">
        <v>1825</v>
      </c>
      <c r="B2337" s="1490" t="s">
        <v>1812</v>
      </c>
      <c r="C2337" s="1597">
        <v>27052.0</v>
      </c>
      <c r="D2337" s="1490">
        <v>40.0</v>
      </c>
      <c r="E2337" s="1" t="s">
        <v>1812</v>
      </c>
    </row>
    <row r="2338">
      <c r="A2338" s="1490" t="s">
        <v>442</v>
      </c>
      <c r="B2338" s="1490" t="s">
        <v>1812</v>
      </c>
      <c r="C2338" s="1597">
        <v>22402.0</v>
      </c>
      <c r="D2338" s="1490">
        <v>75.0</v>
      </c>
      <c r="E2338" s="1" t="s">
        <v>1812</v>
      </c>
    </row>
    <row r="2339">
      <c r="A2339" s="1490" t="s">
        <v>1826</v>
      </c>
      <c r="B2339" s="1490" t="s">
        <v>1812</v>
      </c>
      <c r="C2339" s="1597">
        <v>138159.0</v>
      </c>
      <c r="D2339" s="1490">
        <v>218.0</v>
      </c>
      <c r="E2339" s="1" t="s">
        <v>1812</v>
      </c>
    </row>
    <row r="2340">
      <c r="A2340" s="1490" t="s">
        <v>1827</v>
      </c>
      <c r="B2340" s="1490" t="s">
        <v>1812</v>
      </c>
      <c r="C2340" s="1597">
        <v>62249.0</v>
      </c>
      <c r="D2340" s="1490">
        <v>112.0</v>
      </c>
      <c r="E2340" s="1" t="s">
        <v>1812</v>
      </c>
    </row>
    <row r="2341">
      <c r="A2341" s="1490" t="s">
        <v>1828</v>
      </c>
      <c r="B2341" s="1490" t="s">
        <v>1812</v>
      </c>
      <c r="C2341" s="1597">
        <v>514213.0</v>
      </c>
      <c r="D2341" s="1490">
        <v>478.0</v>
      </c>
      <c r="E2341" s="1" t="s">
        <v>1812</v>
      </c>
    </row>
    <row r="2342">
      <c r="A2342" s="1490" t="s">
        <v>977</v>
      </c>
      <c r="B2342" s="1490" t="s">
        <v>1812</v>
      </c>
      <c r="C2342" s="1597">
        <v>70741.0</v>
      </c>
      <c r="D2342" s="1490">
        <v>133.0</v>
      </c>
      <c r="E2342" s="1" t="s">
        <v>1812</v>
      </c>
    </row>
    <row r="2343">
      <c r="A2343" s="1490" t="s">
        <v>1829</v>
      </c>
      <c r="B2343" s="1490" t="s">
        <v>1812</v>
      </c>
      <c r="C2343" s="1597">
        <v>19351.0</v>
      </c>
      <c r="D2343" s="1490">
        <v>70.0</v>
      </c>
      <c r="E2343" s="1" t="s">
        <v>1812</v>
      </c>
    </row>
    <row r="2344">
      <c r="A2344" s="1490" t="s">
        <v>1830</v>
      </c>
      <c r="B2344" s="1490" t="s">
        <v>1812</v>
      </c>
      <c r="C2344" s="1597">
        <v>344147.0</v>
      </c>
      <c r="D2344" s="1490">
        <v>316.0</v>
      </c>
      <c r="E2344" s="1" t="s">
        <v>1812</v>
      </c>
    </row>
    <row r="2345">
      <c r="A2345" s="1490" t="s">
        <v>593</v>
      </c>
      <c r="B2345" s="1490" t="s">
        <v>1812</v>
      </c>
      <c r="C2345" s="1597">
        <v>28971.0</v>
      </c>
      <c r="D2345" s="1490">
        <v>55.0</v>
      </c>
      <c r="E2345" s="1" t="s">
        <v>1812</v>
      </c>
    </row>
    <row r="2346">
      <c r="A2346" s="1490" t="s">
        <v>1831</v>
      </c>
      <c r="B2346" s="1490" t="s">
        <v>1812</v>
      </c>
      <c r="C2346" s="1597">
        <v>65592.0</v>
      </c>
      <c r="D2346" s="1490">
        <v>108.0</v>
      </c>
      <c r="E2346" s="1" t="s">
        <v>1812</v>
      </c>
    </row>
    <row r="2347">
      <c r="A2347" s="1490" t="s">
        <v>650</v>
      </c>
      <c r="B2347" s="1490" t="s">
        <v>1812</v>
      </c>
      <c r="C2347" s="1597">
        <v>95380.0</v>
      </c>
      <c r="D2347" s="1490">
        <v>140.0</v>
      </c>
      <c r="E2347" s="1" t="s">
        <v>1812</v>
      </c>
    </row>
    <row r="2348">
      <c r="A2348" s="1490" t="s">
        <v>601</v>
      </c>
      <c r="B2348" s="1490" t="s">
        <v>1812</v>
      </c>
      <c r="C2348" s="1597">
        <v>66994.0</v>
      </c>
      <c r="D2348" s="1490">
        <v>129.0</v>
      </c>
      <c r="E2348" s="1" t="s">
        <v>1812</v>
      </c>
    </row>
    <row r="2349">
      <c r="A2349" s="1490" t="s">
        <v>147</v>
      </c>
      <c r="B2349" s="1490" t="s">
        <v>1812</v>
      </c>
      <c r="C2349" s="1597">
        <v>17142.0</v>
      </c>
      <c r="D2349" s="1490">
        <v>58.0</v>
      </c>
      <c r="E2349" s="1" t="s">
        <v>1812</v>
      </c>
    </row>
    <row r="2350">
      <c r="A2350" s="1490" t="s">
        <v>1832</v>
      </c>
      <c r="B2350" s="1490" t="s">
        <v>1812</v>
      </c>
      <c r="C2350" s="1597">
        <v>295032.0</v>
      </c>
      <c r="D2350" s="1490">
        <v>254.0</v>
      </c>
      <c r="E2350" s="1" t="s">
        <v>1812</v>
      </c>
    </row>
    <row r="2351">
      <c r="A2351" s="1490" t="s">
        <v>1833</v>
      </c>
      <c r="B2351" s="1490" t="s">
        <v>1812</v>
      </c>
      <c r="C2351" s="1597">
        <v>9410.0</v>
      </c>
      <c r="D2351" s="1490">
        <v>32.0</v>
      </c>
      <c r="E2351" s="1" t="s">
        <v>1812</v>
      </c>
    </row>
    <row r="2352">
      <c r="A2352" s="1490" t="s">
        <v>153</v>
      </c>
      <c r="B2352" s="1490" t="s">
        <v>1812</v>
      </c>
      <c r="C2352" s="1597">
        <v>31039.0</v>
      </c>
      <c r="D2352" s="1490">
        <v>63.0</v>
      </c>
      <c r="E2352" s="1" t="s">
        <v>1812</v>
      </c>
    </row>
    <row r="2353">
      <c r="A2353" s="1490" t="s">
        <v>1834</v>
      </c>
      <c r="B2353" s="1490" t="s">
        <v>1812</v>
      </c>
      <c r="C2353" s="1597">
        <v>26398.0</v>
      </c>
      <c r="D2353" s="1490">
        <v>48.0</v>
      </c>
      <c r="E2353" s="1" t="s">
        <v>1812</v>
      </c>
    </row>
    <row r="2354">
      <c r="A2354" s="1490" t="s">
        <v>1835</v>
      </c>
      <c r="B2354" s="1490" t="s">
        <v>1812</v>
      </c>
      <c r="C2354" s="1597">
        <v>38520.0</v>
      </c>
      <c r="D2354" s="1490">
        <v>65.0</v>
      </c>
      <c r="E2354" s="1" t="s">
        <v>1812</v>
      </c>
    </row>
    <row r="2355">
      <c r="A2355" s="1490" t="s">
        <v>614</v>
      </c>
      <c r="B2355" s="1490" t="s">
        <v>1812</v>
      </c>
      <c r="C2355" s="1597">
        <v>78374.0</v>
      </c>
      <c r="D2355" s="1490">
        <v>88.0</v>
      </c>
      <c r="E2355" s="1" t="s">
        <v>1812</v>
      </c>
    </row>
    <row r="2356">
      <c r="A2356" s="1490" t="s">
        <v>1836</v>
      </c>
      <c r="B2356" s="1490" t="s">
        <v>1812</v>
      </c>
      <c r="C2356" s="1597">
        <v>86934.0</v>
      </c>
      <c r="D2356" s="1490">
        <v>185.0</v>
      </c>
      <c r="E2356" s="1" t="s">
        <v>1812</v>
      </c>
    </row>
    <row r="2357">
      <c r="A2357" s="1490" t="s">
        <v>160</v>
      </c>
      <c r="B2357" s="1490" t="s">
        <v>1812</v>
      </c>
      <c r="C2357" s="1597">
        <v>124937.0</v>
      </c>
      <c r="D2357" s="1490">
        <v>145.0</v>
      </c>
      <c r="E2357" s="1" t="s">
        <v>1812</v>
      </c>
    </row>
    <row r="2358">
      <c r="A2358" s="1490" t="s">
        <v>743</v>
      </c>
      <c r="B2358" s="1490" t="s">
        <v>1812</v>
      </c>
      <c r="C2358" s="1597">
        <v>414576.0</v>
      </c>
      <c r="D2358" s="1490">
        <v>375.0</v>
      </c>
      <c r="E2358" s="1" t="s">
        <v>1812</v>
      </c>
    </row>
    <row r="2359">
      <c r="A2359" s="1490" t="s">
        <v>1837</v>
      </c>
      <c r="B2359" s="1490" t="s">
        <v>1812</v>
      </c>
      <c r="C2359" s="1597">
        <v>20544.0</v>
      </c>
      <c r="D2359" s="1490">
        <v>41.0</v>
      </c>
      <c r="E2359" s="1" t="s">
        <v>1812</v>
      </c>
    </row>
    <row r="2360">
      <c r="A2360" s="1490" t="s">
        <v>1838</v>
      </c>
      <c r="B2360" s="1490" t="s">
        <v>1812</v>
      </c>
      <c r="C2360" s="1597">
        <v>313888.0</v>
      </c>
      <c r="D2360" s="1490">
        <v>365.0</v>
      </c>
      <c r="E2360" s="1" t="s">
        <v>1812</v>
      </c>
    </row>
    <row r="2361">
      <c r="A2361" s="1490" t="s">
        <v>169</v>
      </c>
      <c r="B2361" s="1490" t="s">
        <v>1812</v>
      </c>
      <c r="C2361" s="1597">
        <v>106512.0</v>
      </c>
      <c r="D2361" s="1490">
        <v>177.0</v>
      </c>
      <c r="E2361" s="1" t="s">
        <v>1812</v>
      </c>
    </row>
    <row r="2362">
      <c r="A2362" s="1490" t="s">
        <v>316</v>
      </c>
      <c r="B2362" s="1490" t="s">
        <v>1812</v>
      </c>
      <c r="C2362" s="1597">
        <v>27410.0</v>
      </c>
      <c r="D2362" s="1490">
        <v>63.0</v>
      </c>
      <c r="E2362" s="1" t="s">
        <v>1812</v>
      </c>
    </row>
    <row r="2363">
      <c r="A2363" s="1490" t="s">
        <v>1839</v>
      </c>
      <c r="B2363" s="1490" t="s">
        <v>1812</v>
      </c>
      <c r="C2363" s="1597">
        <v>30606.0</v>
      </c>
      <c r="D2363" s="1490">
        <v>112.0</v>
      </c>
      <c r="E2363" s="1" t="s">
        <v>1812</v>
      </c>
    </row>
    <row r="2364">
      <c r="A2364" s="1496" t="s">
        <v>1196</v>
      </c>
      <c r="B2364" s="1496" t="s">
        <v>1812</v>
      </c>
      <c r="C2364" s="1598">
        <v>274118.0</v>
      </c>
      <c r="D2364" s="1496">
        <v>270.0</v>
      </c>
      <c r="E2364" s="1624" t="s">
        <v>1812</v>
      </c>
      <c r="F2364" s="1624"/>
      <c r="G2364" s="1624"/>
      <c r="N2364" s="1489"/>
      <c r="O2364" s="1489"/>
      <c r="P2364" s="1489"/>
      <c r="Q2364" s="1489"/>
      <c r="R2364" s="1489"/>
      <c r="S2364" s="1489"/>
      <c r="T2364" s="1489"/>
      <c r="U2364" s="1489"/>
      <c r="V2364" s="1489"/>
      <c r="W2364" s="1489"/>
      <c r="X2364" s="1489"/>
      <c r="Y2364" s="1489"/>
      <c r="Z2364" s="1489"/>
    </row>
    <row r="2365">
      <c r="A2365" s="355" t="s">
        <v>1841</v>
      </c>
      <c r="B2365" s="355" t="s">
        <v>1840</v>
      </c>
      <c r="C2365" s="1562">
        <v>2801.0</v>
      </c>
      <c r="D2365" s="355">
        <v>13.0</v>
      </c>
      <c r="E2365" s="1" t="s">
        <v>1840</v>
      </c>
    </row>
    <row r="2366">
      <c r="A2366" s="355" t="s">
        <v>1842</v>
      </c>
      <c r="B2366" s="355" t="s">
        <v>1840</v>
      </c>
      <c r="C2366" s="1562">
        <v>18883.0</v>
      </c>
      <c r="D2366" s="355">
        <v>31.0</v>
      </c>
      <c r="E2366" s="1" t="s">
        <v>1840</v>
      </c>
    </row>
    <row r="2367">
      <c r="A2367" s="355" t="s">
        <v>1843</v>
      </c>
      <c r="B2367" s="355" t="s">
        <v>1840</v>
      </c>
      <c r="C2367" s="1562">
        <v>3468.0</v>
      </c>
      <c r="D2367" s="355">
        <v>6.0</v>
      </c>
      <c r="E2367" s="1" t="s">
        <v>1840</v>
      </c>
    </row>
    <row r="2368">
      <c r="A2368" s="355" t="s">
        <v>1844</v>
      </c>
      <c r="B2368" s="355" t="s">
        <v>1840</v>
      </c>
      <c r="C2368" s="1562">
        <v>6980.0</v>
      </c>
      <c r="D2368" s="355">
        <v>13.0</v>
      </c>
      <c r="E2368" s="1" t="s">
        <v>1840</v>
      </c>
      <c r="H2368" s="1489"/>
      <c r="I2368" s="1489"/>
      <c r="J2368" s="1489"/>
      <c r="K2368" s="1489"/>
      <c r="L2368" s="1489"/>
      <c r="M2368" s="1489"/>
    </row>
    <row r="2369">
      <c r="A2369" s="355" t="s">
        <v>1845</v>
      </c>
      <c r="B2369" s="355" t="s">
        <v>1840</v>
      </c>
      <c r="C2369" s="1562">
        <v>35232.0</v>
      </c>
      <c r="D2369" s="355">
        <v>40.0</v>
      </c>
      <c r="E2369" s="1" t="s">
        <v>1840</v>
      </c>
    </row>
    <row r="2370">
      <c r="A2370" s="355" t="s">
        <v>706</v>
      </c>
      <c r="B2370" s="355" t="s">
        <v>1840</v>
      </c>
      <c r="C2370" s="1562">
        <v>39316.0</v>
      </c>
      <c r="D2370" s="355">
        <v>57.0</v>
      </c>
      <c r="E2370" s="1" t="s">
        <v>1840</v>
      </c>
    </row>
    <row r="2371">
      <c r="A2371" s="355" t="s">
        <v>1846</v>
      </c>
      <c r="B2371" s="355" t="s">
        <v>1840</v>
      </c>
      <c r="C2371" s="1562">
        <v>5229.0</v>
      </c>
      <c r="D2371" s="355">
        <v>8.0</v>
      </c>
      <c r="E2371" s="1" t="s">
        <v>1840</v>
      </c>
    </row>
    <row r="2372">
      <c r="A2372" s="355" t="s">
        <v>1471</v>
      </c>
      <c r="B2372" s="355" t="s">
        <v>1840</v>
      </c>
      <c r="C2372" s="1562">
        <v>2036.0</v>
      </c>
      <c r="D2372" s="355">
        <v>1.0</v>
      </c>
      <c r="E2372" s="1" t="s">
        <v>1840</v>
      </c>
    </row>
    <row r="2373">
      <c r="A2373" s="355" t="s">
        <v>324</v>
      </c>
      <c r="B2373" s="355" t="s">
        <v>1840</v>
      </c>
      <c r="C2373" s="1562">
        <v>10222.0</v>
      </c>
      <c r="D2373" s="355">
        <v>14.0</v>
      </c>
      <c r="E2373" s="1" t="s">
        <v>1840</v>
      </c>
    </row>
    <row r="2374">
      <c r="A2374" s="355" t="s">
        <v>1036</v>
      </c>
      <c r="B2374" s="355" t="s">
        <v>1840</v>
      </c>
      <c r="C2374" s="1562">
        <v>1377.0</v>
      </c>
      <c r="D2374" s="355">
        <v>8.0</v>
      </c>
      <c r="E2374" s="1" t="s">
        <v>1840</v>
      </c>
    </row>
    <row r="2375">
      <c r="A2375" s="355" t="s">
        <v>1847</v>
      </c>
      <c r="B2375" s="355" t="s">
        <v>1840</v>
      </c>
      <c r="C2375" s="1562">
        <v>9338.0</v>
      </c>
      <c r="D2375" s="355">
        <v>27.0</v>
      </c>
      <c r="E2375" s="1" t="s">
        <v>1840</v>
      </c>
    </row>
    <row r="2376">
      <c r="A2376" s="355" t="s">
        <v>253</v>
      </c>
      <c r="B2376" s="355" t="s">
        <v>1840</v>
      </c>
      <c r="C2376" s="1562">
        <v>3739.0</v>
      </c>
      <c r="D2376" s="355">
        <v>12.0</v>
      </c>
      <c r="E2376" s="1" t="s">
        <v>1840</v>
      </c>
    </row>
    <row r="2377">
      <c r="A2377" s="355" t="s">
        <v>112</v>
      </c>
      <c r="B2377" s="355" t="s">
        <v>1840</v>
      </c>
      <c r="C2377" s="1562">
        <v>14041.0</v>
      </c>
      <c r="D2377" s="355">
        <v>21.0</v>
      </c>
      <c r="E2377" s="1" t="s">
        <v>1840</v>
      </c>
    </row>
    <row r="2378">
      <c r="A2378" s="355" t="s">
        <v>1848</v>
      </c>
      <c r="B2378" s="355" t="s">
        <v>1840</v>
      </c>
      <c r="C2378" s="1562">
        <v>28015.0</v>
      </c>
      <c r="D2378" s="355">
        <v>33.0</v>
      </c>
      <c r="E2378" s="1" t="s">
        <v>1840</v>
      </c>
    </row>
    <row r="2379">
      <c r="A2379" s="355" t="s">
        <v>1849</v>
      </c>
      <c r="B2379" s="355" t="s">
        <v>1840</v>
      </c>
      <c r="C2379" s="1562">
        <v>4165.0</v>
      </c>
      <c r="D2379" s="355">
        <v>6.0</v>
      </c>
      <c r="E2379" s="1" t="s">
        <v>1840</v>
      </c>
    </row>
    <row r="2380">
      <c r="A2380" s="355" t="s">
        <v>406</v>
      </c>
      <c r="B2380" s="355" t="s">
        <v>1840</v>
      </c>
      <c r="C2380" s="1562">
        <v>8726.0</v>
      </c>
      <c r="D2380" s="355">
        <v>13.0</v>
      </c>
      <c r="E2380" s="1" t="s">
        <v>1840</v>
      </c>
    </row>
    <row r="2381">
      <c r="A2381" s="355" t="s">
        <v>1850</v>
      </c>
      <c r="B2381" s="355" t="s">
        <v>1840</v>
      </c>
      <c r="C2381" s="1562">
        <v>19790.0</v>
      </c>
      <c r="D2381" s="355">
        <v>28.0</v>
      </c>
      <c r="E2381" s="1" t="s">
        <v>1840</v>
      </c>
    </row>
    <row r="2382">
      <c r="A2382" s="355" t="s">
        <v>1851</v>
      </c>
      <c r="B2382" s="355" t="s">
        <v>1840</v>
      </c>
      <c r="C2382" s="1562">
        <v>5505.0</v>
      </c>
      <c r="D2382" s="355">
        <v>11.0</v>
      </c>
      <c r="E2382" s="1" t="s">
        <v>1840</v>
      </c>
    </row>
    <row r="2383">
      <c r="A2383" s="355" t="s">
        <v>1477</v>
      </c>
      <c r="B2383" s="355" t="s">
        <v>1840</v>
      </c>
      <c r="C2383" s="1562">
        <v>4337.0</v>
      </c>
      <c r="D2383" s="355">
        <v>15.0</v>
      </c>
      <c r="E2383" s="1" t="s">
        <v>1840</v>
      </c>
    </row>
    <row r="2384">
      <c r="A2384" s="355" t="s">
        <v>1723</v>
      </c>
      <c r="B2384" s="355" t="s">
        <v>1840</v>
      </c>
      <c r="C2384" s="1562">
        <v>5904.0</v>
      </c>
      <c r="D2384" s="355">
        <v>8.0</v>
      </c>
      <c r="E2384" s="1" t="s">
        <v>1840</v>
      </c>
    </row>
    <row r="2385">
      <c r="A2385" s="355" t="s">
        <v>412</v>
      </c>
      <c r="B2385" s="355" t="s">
        <v>1840</v>
      </c>
      <c r="C2385" s="1562">
        <v>2935.0</v>
      </c>
      <c r="D2385" s="355">
        <v>18.0</v>
      </c>
      <c r="E2385" s="1" t="s">
        <v>1840</v>
      </c>
    </row>
    <row r="2386">
      <c r="A2386" s="355" t="s">
        <v>1852</v>
      </c>
      <c r="B2386" s="355" t="s">
        <v>1840</v>
      </c>
      <c r="C2386" s="1562">
        <v>3875.0</v>
      </c>
      <c r="D2386" s="355">
        <v>13.0</v>
      </c>
      <c r="E2386" s="1" t="s">
        <v>1840</v>
      </c>
    </row>
    <row r="2387">
      <c r="A2387" s="355" t="s">
        <v>1853</v>
      </c>
      <c r="B2387" s="355" t="s">
        <v>1840</v>
      </c>
      <c r="C2387" s="1562">
        <v>6758.0</v>
      </c>
      <c r="D2387" s="355">
        <v>18.0</v>
      </c>
      <c r="E2387" s="1" t="s">
        <v>1840</v>
      </c>
    </row>
    <row r="2388">
      <c r="A2388" s="355" t="s">
        <v>1854</v>
      </c>
      <c r="B2388" s="355" t="s">
        <v>1840</v>
      </c>
      <c r="C2388" s="1562">
        <v>2330.0</v>
      </c>
      <c r="D2388" s="355">
        <v>7.0</v>
      </c>
      <c r="E2388" s="1" t="s">
        <v>1840</v>
      </c>
    </row>
    <row r="2389">
      <c r="A2389" s="355" t="s">
        <v>278</v>
      </c>
      <c r="B2389" s="355" t="s">
        <v>1840</v>
      </c>
      <c r="C2389" s="1562">
        <v>7147.0</v>
      </c>
      <c r="D2389" s="355">
        <v>21.0</v>
      </c>
      <c r="E2389" s="1" t="s">
        <v>1840</v>
      </c>
    </row>
    <row r="2390">
      <c r="A2390" s="355" t="s">
        <v>1855</v>
      </c>
      <c r="B2390" s="355" t="s">
        <v>1840</v>
      </c>
      <c r="C2390" s="1562">
        <v>4212.0</v>
      </c>
      <c r="D2390" s="355">
        <v>11.0</v>
      </c>
      <c r="E2390" s="1" t="s">
        <v>1840</v>
      </c>
    </row>
    <row r="2391">
      <c r="A2391" s="355" t="s">
        <v>1856</v>
      </c>
      <c r="B2391" s="355" t="s">
        <v>1840</v>
      </c>
      <c r="C2391" s="1562">
        <v>1918.0</v>
      </c>
      <c r="D2391" s="355">
        <v>6.0</v>
      </c>
      <c r="E2391" s="1" t="s">
        <v>1840</v>
      </c>
    </row>
    <row r="2392">
      <c r="A2392" s="355" t="s">
        <v>1857</v>
      </c>
      <c r="B2392" s="355" t="s">
        <v>1840</v>
      </c>
      <c r="C2392" s="1562">
        <v>6111.0</v>
      </c>
      <c r="D2392" s="355">
        <v>12.0</v>
      </c>
      <c r="E2392" s="1" t="s">
        <v>1840</v>
      </c>
    </row>
    <row r="2393">
      <c r="A2393" s="355" t="s">
        <v>1858</v>
      </c>
      <c r="B2393" s="355" t="s">
        <v>1840</v>
      </c>
      <c r="C2393" s="1562">
        <v>3262.0</v>
      </c>
      <c r="D2393" s="355">
        <v>8.0</v>
      </c>
      <c r="E2393" s="1" t="s">
        <v>1840</v>
      </c>
    </row>
    <row r="2394">
      <c r="A2394" s="355" t="s">
        <v>1859</v>
      </c>
      <c r="B2394" s="355" t="s">
        <v>1840</v>
      </c>
      <c r="C2394" s="1562">
        <v>3376.0</v>
      </c>
      <c r="D2394" s="355">
        <v>5.0</v>
      </c>
      <c r="E2394" s="1" t="s">
        <v>1840</v>
      </c>
    </row>
    <row r="2395">
      <c r="A2395" s="355" t="s">
        <v>1540</v>
      </c>
      <c r="B2395" s="355" t="s">
        <v>1840</v>
      </c>
      <c r="C2395" s="1562">
        <v>1249.0</v>
      </c>
      <c r="D2395" s="355">
        <v>5.0</v>
      </c>
      <c r="E2395" s="1" t="s">
        <v>1840</v>
      </c>
    </row>
    <row r="2396">
      <c r="A2396" s="355" t="s">
        <v>1730</v>
      </c>
      <c r="B2396" s="355" t="s">
        <v>1840</v>
      </c>
      <c r="C2396" s="1562">
        <v>17650.0</v>
      </c>
      <c r="D2396" s="355">
        <v>21.0</v>
      </c>
      <c r="E2396" s="1" t="s">
        <v>1840</v>
      </c>
    </row>
    <row r="2397">
      <c r="A2397" s="355" t="s">
        <v>1860</v>
      </c>
      <c r="B2397" s="355" t="s">
        <v>1840</v>
      </c>
      <c r="C2397" s="1562">
        <v>7380.0</v>
      </c>
      <c r="D2397" s="355">
        <v>25.0</v>
      </c>
      <c r="E2397" s="1" t="s">
        <v>1840</v>
      </c>
    </row>
    <row r="2398">
      <c r="A2398" s="355" t="s">
        <v>1610</v>
      </c>
      <c r="B2398" s="355" t="s">
        <v>1840</v>
      </c>
      <c r="C2398" s="1562">
        <v>1282.0</v>
      </c>
      <c r="D2398" s="355">
        <v>7.0</v>
      </c>
      <c r="E2398" s="1" t="s">
        <v>1840</v>
      </c>
    </row>
    <row r="2399">
      <c r="A2399" s="355" t="s">
        <v>142</v>
      </c>
      <c r="B2399" s="355" t="s">
        <v>1840</v>
      </c>
      <c r="C2399" s="1562">
        <v>3307.0</v>
      </c>
      <c r="D2399" s="355">
        <v>3.0</v>
      </c>
      <c r="E2399" s="1" t="s">
        <v>1840</v>
      </c>
    </row>
    <row r="2400">
      <c r="A2400" s="355" t="s">
        <v>1861</v>
      </c>
      <c r="B2400" s="355" t="s">
        <v>1840</v>
      </c>
      <c r="C2400" s="1562">
        <v>2043.0</v>
      </c>
      <c r="D2400" s="355">
        <v>9.0</v>
      </c>
      <c r="E2400" s="1" t="s">
        <v>1840</v>
      </c>
    </row>
    <row r="2401">
      <c r="A2401" s="355" t="s">
        <v>598</v>
      </c>
      <c r="B2401" s="355" t="s">
        <v>1840</v>
      </c>
      <c r="C2401" s="1562">
        <v>928.0</v>
      </c>
      <c r="D2401" s="355">
        <v>5.0</v>
      </c>
      <c r="E2401" s="1" t="s">
        <v>1840</v>
      </c>
    </row>
    <row r="2402">
      <c r="A2402" s="355" t="s">
        <v>1862</v>
      </c>
      <c r="B2402" s="355" t="s">
        <v>1840</v>
      </c>
      <c r="C2402" s="1562">
        <v>4919.0</v>
      </c>
      <c r="D2402" s="355">
        <v>13.0</v>
      </c>
      <c r="E2402" s="1" t="s">
        <v>1840</v>
      </c>
    </row>
    <row r="2403">
      <c r="A2403" s="355" t="s">
        <v>337</v>
      </c>
      <c r="B2403" s="355" t="s">
        <v>1840</v>
      </c>
      <c r="C2403" s="1562">
        <v>13057.0</v>
      </c>
      <c r="D2403" s="355">
        <v>17.0</v>
      </c>
      <c r="E2403" s="1" t="s">
        <v>1840</v>
      </c>
    </row>
    <row r="2404">
      <c r="A2404" s="355" t="s">
        <v>146</v>
      </c>
      <c r="B2404" s="355" t="s">
        <v>1840</v>
      </c>
      <c r="C2404" s="1562">
        <v>25741.0</v>
      </c>
      <c r="D2404" s="355">
        <v>27.0</v>
      </c>
      <c r="E2404" s="1" t="s">
        <v>1840</v>
      </c>
    </row>
    <row r="2405">
      <c r="A2405" s="355" t="s">
        <v>290</v>
      </c>
      <c r="B2405" s="355" t="s">
        <v>1840</v>
      </c>
      <c r="C2405" s="1562">
        <v>58807.0</v>
      </c>
      <c r="D2405" s="355">
        <v>45.0</v>
      </c>
      <c r="E2405" s="1" t="s">
        <v>1840</v>
      </c>
    </row>
    <row r="2406">
      <c r="A2406" s="355" t="s">
        <v>1863</v>
      </c>
      <c r="B2406" s="355" t="s">
        <v>1840</v>
      </c>
      <c r="C2406" s="1562">
        <v>3821.0</v>
      </c>
      <c r="D2406" s="355">
        <v>13.0</v>
      </c>
      <c r="E2406" s="1" t="s">
        <v>1840</v>
      </c>
    </row>
    <row r="2407">
      <c r="A2407" s="355" t="s">
        <v>1864</v>
      </c>
      <c r="B2407" s="355" t="s">
        <v>1840</v>
      </c>
      <c r="C2407" s="1562">
        <v>5546.0</v>
      </c>
      <c r="D2407" s="355">
        <v>19.0</v>
      </c>
      <c r="E2407" s="1" t="s">
        <v>1840</v>
      </c>
    </row>
    <row r="2408">
      <c r="A2408" s="355" t="s">
        <v>988</v>
      </c>
      <c r="B2408" s="355" t="s">
        <v>1840</v>
      </c>
      <c r="C2408" s="1562">
        <v>2407.0</v>
      </c>
      <c r="D2408" s="355">
        <v>14.0</v>
      </c>
      <c r="E2408" s="1" t="s">
        <v>1840</v>
      </c>
    </row>
    <row r="2409">
      <c r="A2409" s="355" t="s">
        <v>154</v>
      </c>
      <c r="B2409" s="355" t="s">
        <v>1840</v>
      </c>
      <c r="C2409" s="1562">
        <v>5112.0</v>
      </c>
      <c r="D2409" s="355">
        <v>15.0</v>
      </c>
      <c r="E2409" s="1" t="s">
        <v>1840</v>
      </c>
    </row>
    <row r="2410">
      <c r="A2410" s="355" t="s">
        <v>989</v>
      </c>
      <c r="B2410" s="355" t="s">
        <v>1840</v>
      </c>
      <c r="C2410" s="1562">
        <v>28294.0</v>
      </c>
      <c r="D2410" s="355">
        <v>37.0</v>
      </c>
      <c r="E2410" s="1" t="s">
        <v>1840</v>
      </c>
    </row>
    <row r="2411">
      <c r="A2411" s="355" t="s">
        <v>1872</v>
      </c>
      <c r="B2411" s="355" t="s">
        <v>1840</v>
      </c>
      <c r="C2411" s="1562">
        <v>2042.0</v>
      </c>
      <c r="D2411" s="355">
        <v>4.0</v>
      </c>
      <c r="E2411" s="1" t="s">
        <v>1840</v>
      </c>
    </row>
    <row r="2412">
      <c r="A2412" s="355" t="s">
        <v>1874</v>
      </c>
      <c r="B2412" s="355" t="s">
        <v>1840</v>
      </c>
      <c r="C2412" s="1562">
        <v>2213.0</v>
      </c>
      <c r="D2412" s="355">
        <v>9.0</v>
      </c>
      <c r="E2412" s="1" t="s">
        <v>1840</v>
      </c>
    </row>
    <row r="2413">
      <c r="A2413" s="355" t="s">
        <v>1875</v>
      </c>
      <c r="B2413" s="355" t="s">
        <v>1840</v>
      </c>
      <c r="C2413" s="1562">
        <v>192876.0</v>
      </c>
      <c r="D2413" s="355">
        <v>145.0</v>
      </c>
      <c r="E2413" s="1" t="s">
        <v>1840</v>
      </c>
    </row>
    <row r="2414">
      <c r="A2414" s="355" t="s">
        <v>1876</v>
      </c>
      <c r="B2414" s="355" t="s">
        <v>1840</v>
      </c>
      <c r="C2414" s="1562">
        <v>6579.0</v>
      </c>
      <c r="D2414" s="355">
        <v>7.0</v>
      </c>
      <c r="E2414" s="1" t="s">
        <v>1840</v>
      </c>
    </row>
    <row r="2415">
      <c r="A2415" s="355" t="s">
        <v>1877</v>
      </c>
      <c r="B2415" s="355" t="s">
        <v>1840</v>
      </c>
      <c r="C2415" s="1562">
        <v>14309.0</v>
      </c>
      <c r="D2415" s="355">
        <v>14.0</v>
      </c>
      <c r="E2415" s="1" t="s">
        <v>1840</v>
      </c>
    </row>
    <row r="2416">
      <c r="A2416" s="355" t="s">
        <v>1334</v>
      </c>
      <c r="B2416" s="355" t="s">
        <v>1840</v>
      </c>
      <c r="C2416" s="1562">
        <v>111729.0</v>
      </c>
      <c r="D2416" s="355">
        <v>91.0</v>
      </c>
      <c r="E2416" s="1" t="s">
        <v>1840</v>
      </c>
    </row>
    <row r="2417">
      <c r="A2417" s="355" t="s">
        <v>1498</v>
      </c>
      <c r="B2417" s="355" t="s">
        <v>1840</v>
      </c>
      <c r="C2417" s="1562">
        <v>2922.0</v>
      </c>
      <c r="D2417" s="355">
        <v>14.0</v>
      </c>
      <c r="E2417" s="1" t="s">
        <v>1840</v>
      </c>
    </row>
    <row r="2418">
      <c r="A2418" s="355" t="s">
        <v>1805</v>
      </c>
      <c r="B2418" s="355" t="s">
        <v>1840</v>
      </c>
      <c r="C2418" s="1562">
        <v>2207.0</v>
      </c>
      <c r="D2418" s="355">
        <v>11.0</v>
      </c>
      <c r="E2418" s="1" t="s">
        <v>1840</v>
      </c>
    </row>
    <row r="2419">
      <c r="A2419" s="355" t="s">
        <v>1879</v>
      </c>
      <c r="B2419" s="355" t="s">
        <v>1840</v>
      </c>
      <c r="C2419" s="1562">
        <v>10447.0</v>
      </c>
      <c r="D2419" s="355">
        <v>24.0</v>
      </c>
      <c r="E2419" s="1" t="s">
        <v>1840</v>
      </c>
    </row>
    <row r="2420">
      <c r="A2420" s="355" t="s">
        <v>1880</v>
      </c>
      <c r="B2420" s="355" t="s">
        <v>1840</v>
      </c>
      <c r="C2420" s="1562">
        <v>2429.0</v>
      </c>
      <c r="D2420" s="355">
        <v>1.0</v>
      </c>
      <c r="E2420" s="1" t="s">
        <v>1840</v>
      </c>
    </row>
    <row r="2421">
      <c r="A2421" s="355" t="s">
        <v>1881</v>
      </c>
      <c r="B2421" s="355" t="s">
        <v>1840</v>
      </c>
      <c r="C2421" s="1562">
        <v>6495.0</v>
      </c>
      <c r="D2421" s="355">
        <v>22.0</v>
      </c>
      <c r="E2421" s="1" t="s">
        <v>1840</v>
      </c>
    </row>
    <row r="2422">
      <c r="A2422" s="355" t="s">
        <v>1882</v>
      </c>
      <c r="B2422" s="355" t="s">
        <v>1840</v>
      </c>
      <c r="C2422" s="1562">
        <v>3022.0</v>
      </c>
      <c r="D2422" s="355">
        <v>1.0</v>
      </c>
      <c r="E2422" s="1" t="s">
        <v>1840</v>
      </c>
    </row>
    <row r="2423">
      <c r="A2423" s="355" t="s">
        <v>1884</v>
      </c>
      <c r="B2423" s="355" t="s">
        <v>1840</v>
      </c>
      <c r="C2423" s="1562">
        <v>1392.0</v>
      </c>
      <c r="D2423" s="355">
        <v>6.0</v>
      </c>
      <c r="E2423" s="1" t="s">
        <v>1840</v>
      </c>
    </row>
    <row r="2424">
      <c r="A2424" s="355" t="s">
        <v>1135</v>
      </c>
      <c r="B2424" s="355" t="s">
        <v>1840</v>
      </c>
      <c r="C2424" s="1562">
        <v>10283.0</v>
      </c>
      <c r="D2424" s="355">
        <v>6.0</v>
      </c>
      <c r="E2424" s="1" t="s">
        <v>1840</v>
      </c>
    </row>
    <row r="2425">
      <c r="A2425" s="355" t="s">
        <v>1885</v>
      </c>
      <c r="B2425" s="355" t="s">
        <v>1840</v>
      </c>
      <c r="C2425" s="1562">
        <v>5478.0</v>
      </c>
      <c r="D2425" s="355">
        <v>16.0</v>
      </c>
      <c r="E2425" s="1" t="s">
        <v>1840</v>
      </c>
    </row>
    <row r="2426">
      <c r="A2426" s="355" t="s">
        <v>642</v>
      </c>
      <c r="B2426" s="355" t="s">
        <v>1840</v>
      </c>
      <c r="C2426" s="1562">
        <v>8424.0</v>
      </c>
      <c r="D2426" s="355">
        <v>24.0</v>
      </c>
      <c r="E2426" s="1" t="s">
        <v>1840</v>
      </c>
    </row>
    <row r="2427">
      <c r="A2427" s="355" t="s">
        <v>316</v>
      </c>
      <c r="B2427" s="355" t="s">
        <v>1840</v>
      </c>
      <c r="C2427" s="1562">
        <v>15619.0</v>
      </c>
      <c r="D2427" s="355">
        <v>18.0</v>
      </c>
      <c r="E2427" s="1" t="s">
        <v>1840</v>
      </c>
    </row>
    <row r="2428">
      <c r="A2428" s="355" t="s">
        <v>1887</v>
      </c>
      <c r="B2428" s="355" t="s">
        <v>1840</v>
      </c>
      <c r="C2428" s="1562">
        <v>5587.0</v>
      </c>
      <c r="D2428" s="355">
        <v>22.0</v>
      </c>
      <c r="E2428" s="1" t="s">
        <v>1840</v>
      </c>
    </row>
    <row r="2429">
      <c r="A2429" s="355" t="s">
        <v>1889</v>
      </c>
      <c r="B2429" s="355" t="s">
        <v>1840</v>
      </c>
      <c r="C2429" s="1562">
        <v>22869.0</v>
      </c>
      <c r="D2429" s="355">
        <v>27.0</v>
      </c>
      <c r="E2429" s="1" t="s">
        <v>1840</v>
      </c>
    </row>
    <row r="2430">
      <c r="A2430" s="1501" t="s">
        <v>1890</v>
      </c>
      <c r="B2430" s="1501" t="s">
        <v>1840</v>
      </c>
      <c r="C2430" s="1564">
        <v>2742.0</v>
      </c>
      <c r="D2430" s="1501">
        <v>2.0</v>
      </c>
      <c r="E2430" s="1624" t="s">
        <v>1840</v>
      </c>
      <c r="F2430" s="1624"/>
      <c r="G2430" s="1624"/>
      <c r="N2430" s="1489"/>
      <c r="O2430" s="1489"/>
      <c r="P2430" s="1489"/>
      <c r="Q2430" s="1489"/>
      <c r="R2430" s="1489"/>
      <c r="S2430" s="1489"/>
      <c r="T2430" s="1489"/>
      <c r="U2430" s="1489"/>
      <c r="V2430" s="1489"/>
      <c r="W2430" s="1489"/>
      <c r="X2430" s="1489"/>
      <c r="Y2430" s="1489"/>
      <c r="Z2430" s="1489"/>
    </row>
    <row r="2431">
      <c r="A2431" s="1490" t="s">
        <v>954</v>
      </c>
      <c r="B2431" s="1490" t="s">
        <v>452</v>
      </c>
      <c r="C2431" s="1597">
        <v>76482.0</v>
      </c>
      <c r="D2431" s="1490">
        <v>93.0</v>
      </c>
      <c r="E2431" s="1" t="s">
        <v>452</v>
      </c>
    </row>
    <row r="2432">
      <c r="A2432" s="1490" t="s">
        <v>1784</v>
      </c>
      <c r="B2432" s="1490" t="s">
        <v>452</v>
      </c>
      <c r="C2432" s="1597">
        <v>49038.0</v>
      </c>
      <c r="D2432" s="1490">
        <v>59.0</v>
      </c>
      <c r="E2432" s="1" t="s">
        <v>452</v>
      </c>
    </row>
    <row r="2433">
      <c r="A2433" s="1490" t="s">
        <v>243</v>
      </c>
      <c r="B2433" s="1490" t="s">
        <v>452</v>
      </c>
      <c r="C2433" s="1597">
        <v>16184.0</v>
      </c>
      <c r="D2433" s="1490">
        <v>23.0</v>
      </c>
      <c r="E2433" s="1" t="s">
        <v>452</v>
      </c>
    </row>
    <row r="2434">
      <c r="A2434" s="1490" t="s">
        <v>1893</v>
      </c>
      <c r="B2434" s="1490" t="s">
        <v>452</v>
      </c>
      <c r="C2434" s="1597">
        <v>14755.0</v>
      </c>
      <c r="D2434" s="1490">
        <v>23.0</v>
      </c>
      <c r="E2434" s="1" t="s">
        <v>452</v>
      </c>
      <c r="H2434" s="1489"/>
      <c r="I2434" s="1489"/>
      <c r="J2434" s="1489"/>
      <c r="K2434" s="1489"/>
      <c r="L2434" s="1489"/>
      <c r="M2434" s="1489"/>
    </row>
    <row r="2435">
      <c r="A2435" s="1490" t="s">
        <v>77</v>
      </c>
      <c r="B2435" s="1490" t="s">
        <v>452</v>
      </c>
      <c r="C2435" s="1597">
        <v>131349.0</v>
      </c>
      <c r="D2435" s="1490">
        <v>132.0</v>
      </c>
      <c r="E2435" s="1" t="s">
        <v>452</v>
      </c>
    </row>
    <row r="2436">
      <c r="A2436" s="1490" t="s">
        <v>247</v>
      </c>
      <c r="B2436" s="1490" t="s">
        <v>452</v>
      </c>
      <c r="C2436" s="1597">
        <v>106727.0</v>
      </c>
      <c r="D2436" s="1490">
        <v>129.0</v>
      </c>
      <c r="E2436" s="1" t="s">
        <v>452</v>
      </c>
    </row>
    <row r="2437">
      <c r="A2437" s="1490" t="s">
        <v>1036</v>
      </c>
      <c r="B2437" s="1490" t="s">
        <v>452</v>
      </c>
      <c r="C2437" s="1597">
        <v>39583.0</v>
      </c>
      <c r="D2437" s="1490">
        <v>39.0</v>
      </c>
      <c r="E2437" s="1" t="s">
        <v>452</v>
      </c>
    </row>
    <row r="2438">
      <c r="A2438" s="1490" t="s">
        <v>1896</v>
      </c>
      <c r="B2438" s="1490" t="s">
        <v>452</v>
      </c>
      <c r="C2438" s="1597">
        <v>14462.0</v>
      </c>
      <c r="D2438" s="1490">
        <v>22.0</v>
      </c>
      <c r="E2438" s="1" t="s">
        <v>452</v>
      </c>
    </row>
    <row r="2439">
      <c r="A2439" s="1490" t="s">
        <v>248</v>
      </c>
      <c r="B2439" s="1490" t="s">
        <v>452</v>
      </c>
      <c r="C2439" s="1597">
        <v>28020.0</v>
      </c>
      <c r="D2439" s="1490">
        <v>39.0</v>
      </c>
      <c r="E2439" s="1" t="s">
        <v>452</v>
      </c>
    </row>
    <row r="2440">
      <c r="A2440" s="1490" t="s">
        <v>1038</v>
      </c>
      <c r="B2440" s="1490" t="s">
        <v>452</v>
      </c>
      <c r="C2440" s="1597">
        <v>56351.0</v>
      </c>
      <c r="D2440" s="1490">
        <v>82.0</v>
      </c>
      <c r="E2440" s="1" t="s">
        <v>452</v>
      </c>
    </row>
    <row r="2441">
      <c r="A2441" s="1490" t="s">
        <v>1898</v>
      </c>
      <c r="B2441" s="1490" t="s">
        <v>452</v>
      </c>
      <c r="C2441" s="1597">
        <v>40439.0</v>
      </c>
      <c r="D2441" s="1490">
        <v>37.0</v>
      </c>
      <c r="E2441" s="1" t="s">
        <v>452</v>
      </c>
    </row>
    <row r="2442">
      <c r="A2442" s="1490" t="s">
        <v>1789</v>
      </c>
      <c r="B2442" s="1490" t="s">
        <v>452</v>
      </c>
      <c r="C2442" s="1597">
        <v>17276.0</v>
      </c>
      <c r="D2442" s="1490">
        <v>25.0</v>
      </c>
      <c r="E2442" s="1" t="s">
        <v>452</v>
      </c>
    </row>
    <row r="2443">
      <c r="A2443" s="1490" t="s">
        <v>1151</v>
      </c>
      <c r="B2443" s="1490" t="s">
        <v>452</v>
      </c>
      <c r="C2443" s="1597">
        <v>31756.0</v>
      </c>
      <c r="D2443" s="1490">
        <v>31.0</v>
      </c>
      <c r="E2443" s="1" t="s">
        <v>452</v>
      </c>
    </row>
    <row r="2444">
      <c r="A2444" s="1490" t="s">
        <v>112</v>
      </c>
      <c r="B2444" s="1490" t="s">
        <v>452</v>
      </c>
      <c r="C2444" s="1597">
        <v>7717.0</v>
      </c>
      <c r="D2444" s="1490">
        <v>9.0</v>
      </c>
      <c r="E2444" s="1" t="s">
        <v>452</v>
      </c>
    </row>
    <row r="2445">
      <c r="A2445" s="1490" t="s">
        <v>1899</v>
      </c>
      <c r="B2445" s="1490" t="s">
        <v>452</v>
      </c>
      <c r="C2445" s="1597">
        <v>35774.0</v>
      </c>
      <c r="D2445" s="1490">
        <v>42.0</v>
      </c>
      <c r="E2445" s="1" t="s">
        <v>452</v>
      </c>
    </row>
    <row r="2446">
      <c r="A2446" s="1490" t="s">
        <v>118</v>
      </c>
      <c r="B2446" s="1490" t="s">
        <v>452</v>
      </c>
      <c r="C2446" s="1597">
        <v>55700.0</v>
      </c>
      <c r="D2446" s="1490">
        <v>71.0</v>
      </c>
      <c r="E2446" s="1" t="s">
        <v>452</v>
      </c>
    </row>
    <row r="2447">
      <c r="A2447" s="1490" t="s">
        <v>1900</v>
      </c>
      <c r="B2447" s="1490" t="s">
        <v>452</v>
      </c>
      <c r="C2447" s="1597">
        <v>14328.0</v>
      </c>
      <c r="D2447" s="1490">
        <v>29.0</v>
      </c>
      <c r="E2447" s="1" t="s">
        <v>452</v>
      </c>
    </row>
    <row r="2448">
      <c r="A2448" s="1490" t="s">
        <v>713</v>
      </c>
      <c r="B2448" s="1490" t="s">
        <v>452</v>
      </c>
      <c r="C2448" s="1597">
        <v>59673.0</v>
      </c>
      <c r="D2448" s="1490">
        <v>65.0</v>
      </c>
      <c r="E2448" s="1" t="s">
        <v>452</v>
      </c>
    </row>
    <row r="2449">
      <c r="A2449" s="1490" t="s">
        <v>570</v>
      </c>
      <c r="B2449" s="1490" t="s">
        <v>452</v>
      </c>
      <c r="C2449" s="1597">
        <v>692587.0</v>
      </c>
      <c r="D2449" s="1490">
        <v>598.0</v>
      </c>
      <c r="E2449" s="1" t="s">
        <v>452</v>
      </c>
    </row>
    <row r="2450">
      <c r="A2450" s="1490" t="s">
        <v>563</v>
      </c>
      <c r="B2450" s="1490" t="s">
        <v>452</v>
      </c>
      <c r="C2450" s="1597">
        <v>11706.0</v>
      </c>
      <c r="D2450" s="1490">
        <v>29.0</v>
      </c>
      <c r="E2450" s="1" t="s">
        <v>452</v>
      </c>
    </row>
    <row r="2451">
      <c r="A2451" s="1490" t="s">
        <v>1401</v>
      </c>
      <c r="B2451" s="1490" t="s">
        <v>452</v>
      </c>
      <c r="C2451" s="1597">
        <v>20138.0</v>
      </c>
      <c r="D2451" s="1490">
        <v>43.0</v>
      </c>
      <c r="E2451" s="1" t="s">
        <v>452</v>
      </c>
    </row>
    <row r="2452">
      <c r="A2452" s="1490" t="s">
        <v>1902</v>
      </c>
      <c r="B2452" s="1490" t="s">
        <v>452</v>
      </c>
      <c r="C2452" s="1597">
        <v>53446.0</v>
      </c>
      <c r="D2452" s="1490">
        <v>55.0</v>
      </c>
      <c r="E2452" s="1" t="s">
        <v>452</v>
      </c>
    </row>
    <row r="2453">
      <c r="A2453" s="1490" t="s">
        <v>1903</v>
      </c>
      <c r="B2453" s="1490" t="s">
        <v>452</v>
      </c>
      <c r="C2453" s="1597">
        <v>37320.0</v>
      </c>
      <c r="D2453" s="1490">
        <v>58.0</v>
      </c>
      <c r="E2453" s="1" t="s">
        <v>452</v>
      </c>
    </row>
    <row r="2454">
      <c r="A2454" s="1490" t="s">
        <v>135</v>
      </c>
      <c r="B2454" s="1490" t="s">
        <v>452</v>
      </c>
      <c r="C2454" s="1597">
        <v>40507.0</v>
      </c>
      <c r="D2454" s="1490">
        <v>76.0</v>
      </c>
      <c r="E2454" s="1" t="s">
        <v>452</v>
      </c>
    </row>
    <row r="2455">
      <c r="A2455" s="1490" t="s">
        <v>1905</v>
      </c>
      <c r="B2455" s="1490" t="s">
        <v>452</v>
      </c>
      <c r="C2455" s="1597">
        <v>18217.0</v>
      </c>
      <c r="D2455" s="1490">
        <v>29.0</v>
      </c>
      <c r="E2455" s="1" t="s">
        <v>452</v>
      </c>
    </row>
    <row r="2456">
      <c r="A2456" s="1490" t="s">
        <v>136</v>
      </c>
      <c r="B2456" s="1490" t="s">
        <v>452</v>
      </c>
      <c r="C2456" s="1597">
        <v>41890.0</v>
      </c>
      <c r="D2456" s="1490">
        <v>59.0</v>
      </c>
      <c r="E2456" s="1" t="s">
        <v>452</v>
      </c>
    </row>
    <row r="2457">
      <c r="A2457" s="1490" t="s">
        <v>763</v>
      </c>
      <c r="B2457" s="1490" t="s">
        <v>452</v>
      </c>
      <c r="C2457" s="1597">
        <v>49045.0</v>
      </c>
      <c r="D2457" s="1490">
        <v>93.0</v>
      </c>
      <c r="E2457" s="1" t="s">
        <v>452</v>
      </c>
    </row>
    <row r="2458">
      <c r="A2458" s="1490" t="s">
        <v>1907</v>
      </c>
      <c r="B2458" s="1490" t="s">
        <v>452</v>
      </c>
      <c r="C2458" s="1597">
        <v>29503.0</v>
      </c>
      <c r="D2458" s="1490">
        <v>48.0</v>
      </c>
      <c r="E2458" s="1" t="s">
        <v>452</v>
      </c>
    </row>
    <row r="2459">
      <c r="A2459" s="1490" t="s">
        <v>1908</v>
      </c>
      <c r="B2459" s="1490" t="s">
        <v>452</v>
      </c>
      <c r="C2459" s="1597">
        <v>23145.0</v>
      </c>
      <c r="D2459" s="1490">
        <v>31.0</v>
      </c>
      <c r="E2459" s="1" t="s">
        <v>452</v>
      </c>
    </row>
    <row r="2460">
      <c r="A2460" s="1490" t="s">
        <v>138</v>
      </c>
      <c r="B2460" s="1490" t="s">
        <v>452</v>
      </c>
      <c r="C2460" s="1597">
        <v>69087.0</v>
      </c>
      <c r="D2460" s="1490">
        <v>77.0</v>
      </c>
      <c r="E2460" s="1" t="s">
        <v>452</v>
      </c>
    </row>
    <row r="2461">
      <c r="A2461" s="1490" t="s">
        <v>720</v>
      </c>
      <c r="B2461" s="1490" t="s">
        <v>452</v>
      </c>
      <c r="C2461" s="1597">
        <v>13346.0</v>
      </c>
      <c r="D2461" s="1490">
        <v>25.0</v>
      </c>
      <c r="E2461" s="1" t="s">
        <v>452</v>
      </c>
    </row>
    <row r="2462">
      <c r="A2462" s="1490" t="s">
        <v>1911</v>
      </c>
      <c r="B2462" s="1490" t="s">
        <v>452</v>
      </c>
      <c r="C2462" s="1597">
        <v>64569.0</v>
      </c>
      <c r="D2462" s="1490">
        <v>66.0</v>
      </c>
      <c r="E2462" s="1" t="s">
        <v>452</v>
      </c>
    </row>
    <row r="2463">
      <c r="A2463" s="1490" t="s">
        <v>497</v>
      </c>
      <c r="B2463" s="1490" t="s">
        <v>452</v>
      </c>
      <c r="C2463" s="1597">
        <v>364286.0</v>
      </c>
      <c r="D2463" s="1490">
        <v>414.0</v>
      </c>
      <c r="E2463" s="1" t="s">
        <v>452</v>
      </c>
    </row>
    <row r="2464">
      <c r="A2464" s="1490" t="s">
        <v>587</v>
      </c>
      <c r="B2464" s="1490" t="s">
        <v>452</v>
      </c>
      <c r="C2464" s="1597">
        <v>6549.0</v>
      </c>
      <c r="D2464" s="1490">
        <v>4.0</v>
      </c>
      <c r="E2464" s="1" t="s">
        <v>452</v>
      </c>
    </row>
    <row r="2465">
      <c r="A2465" s="1490" t="s">
        <v>1915</v>
      </c>
      <c r="B2465" s="1490" t="s">
        <v>452</v>
      </c>
      <c r="C2465" s="1597">
        <v>25220.0</v>
      </c>
      <c r="D2465" s="1490">
        <v>42.0</v>
      </c>
      <c r="E2465" s="1" t="s">
        <v>452</v>
      </c>
    </row>
    <row r="2466">
      <c r="A2466" s="1490" t="s">
        <v>721</v>
      </c>
      <c r="B2466" s="1490" t="s">
        <v>452</v>
      </c>
      <c r="C2466" s="1597">
        <v>25776.0</v>
      </c>
      <c r="D2466" s="1490">
        <v>50.0</v>
      </c>
      <c r="E2466" s="1" t="s">
        <v>452</v>
      </c>
    </row>
    <row r="2467">
      <c r="A2467" s="1490" t="s">
        <v>1917</v>
      </c>
      <c r="B2467" s="1490" t="s">
        <v>452</v>
      </c>
      <c r="C2467" s="1597">
        <v>56530.0</v>
      </c>
      <c r="D2467" s="1490">
        <v>54.0</v>
      </c>
      <c r="E2467" s="1" t="s">
        <v>452</v>
      </c>
    </row>
    <row r="2468">
      <c r="A2468" s="1490" t="s">
        <v>1607</v>
      </c>
      <c r="B2468" s="1490" t="s">
        <v>452</v>
      </c>
      <c r="C2468" s="1597">
        <v>17335.0</v>
      </c>
      <c r="D2468" s="1490">
        <v>43.0</v>
      </c>
      <c r="E2468" s="1" t="s">
        <v>452</v>
      </c>
    </row>
    <row r="2469">
      <c r="A2469" s="1490" t="s">
        <v>722</v>
      </c>
      <c r="B2469" s="1490" t="s">
        <v>452</v>
      </c>
      <c r="C2469" s="1597">
        <v>27847.0</v>
      </c>
      <c r="D2469" s="1490">
        <v>31.0</v>
      </c>
      <c r="E2469" s="1" t="s">
        <v>452</v>
      </c>
    </row>
    <row r="2470">
      <c r="A2470" s="1490" t="s">
        <v>140</v>
      </c>
      <c r="B2470" s="1490" t="s">
        <v>452</v>
      </c>
      <c r="C2470" s="1597">
        <v>32358.0</v>
      </c>
      <c r="D2470" s="1490">
        <v>52.0</v>
      </c>
      <c r="E2470" s="1" t="s">
        <v>452</v>
      </c>
    </row>
    <row r="2471">
      <c r="A2471" s="1490" t="s">
        <v>1097</v>
      </c>
      <c r="B2471" s="1490" t="s">
        <v>452</v>
      </c>
      <c r="C2471" s="1597">
        <v>25063.0</v>
      </c>
      <c r="D2471" s="1490">
        <v>30.0</v>
      </c>
      <c r="E2471" s="1" t="s">
        <v>452</v>
      </c>
    </row>
    <row r="2472">
      <c r="A2472" s="1490" t="s">
        <v>141</v>
      </c>
      <c r="B2472" s="1490" t="s">
        <v>452</v>
      </c>
      <c r="C2472" s="1597">
        <v>8263.0</v>
      </c>
      <c r="D2472" s="1490">
        <v>19.0</v>
      </c>
      <c r="E2472" s="1" t="s">
        <v>452</v>
      </c>
    </row>
    <row r="2473">
      <c r="A2473" s="1490" t="s">
        <v>1368</v>
      </c>
      <c r="B2473" s="1490" t="s">
        <v>452</v>
      </c>
      <c r="C2473" s="1597">
        <v>18486.0</v>
      </c>
      <c r="D2473" s="1490">
        <v>32.0</v>
      </c>
      <c r="E2473" s="1" t="s">
        <v>452</v>
      </c>
    </row>
    <row r="2474">
      <c r="A2474" s="1490" t="s">
        <v>142</v>
      </c>
      <c r="B2474" s="1490" t="s">
        <v>452</v>
      </c>
      <c r="C2474" s="1597">
        <v>11758.0</v>
      </c>
      <c r="D2474" s="1490">
        <v>16.0</v>
      </c>
      <c r="E2474" s="1" t="s">
        <v>452</v>
      </c>
    </row>
    <row r="2475">
      <c r="A2475" s="1490" t="s">
        <v>143</v>
      </c>
      <c r="B2475" s="1490" t="s">
        <v>452</v>
      </c>
      <c r="C2475" s="1597">
        <v>54012.0</v>
      </c>
      <c r="D2475" s="1490">
        <v>61.0</v>
      </c>
      <c r="E2475" s="1" t="s">
        <v>452</v>
      </c>
    </row>
    <row r="2476">
      <c r="A2476" s="1490" t="s">
        <v>288</v>
      </c>
      <c r="B2476" s="1490" t="s">
        <v>452</v>
      </c>
      <c r="C2476" s="1597">
        <v>17778.0</v>
      </c>
      <c r="D2476" s="1490">
        <v>26.0</v>
      </c>
      <c r="E2476" s="1" t="s">
        <v>452</v>
      </c>
    </row>
    <row r="2477">
      <c r="A2477" s="1490" t="s">
        <v>728</v>
      </c>
      <c r="B2477" s="1490" t="s">
        <v>452</v>
      </c>
      <c r="C2477" s="1597">
        <v>465289.0</v>
      </c>
      <c r="D2477" s="1490">
        <v>430.0</v>
      </c>
      <c r="E2477" s="1" t="s">
        <v>452</v>
      </c>
    </row>
    <row r="2478">
      <c r="A2478" s="1490" t="s">
        <v>337</v>
      </c>
      <c r="B2478" s="1490" t="s">
        <v>452</v>
      </c>
      <c r="C2478" s="1597">
        <v>7411.0</v>
      </c>
      <c r="D2478" s="1490">
        <v>10.0</v>
      </c>
      <c r="E2478" s="1" t="s">
        <v>452</v>
      </c>
    </row>
    <row r="2479">
      <c r="A2479" s="1490" t="s">
        <v>145</v>
      </c>
      <c r="B2479" s="1490" t="s">
        <v>452</v>
      </c>
      <c r="C2479" s="1597">
        <v>25825.0</v>
      </c>
      <c r="D2479" s="1490">
        <v>38.0</v>
      </c>
      <c r="E2479" s="1" t="s">
        <v>452</v>
      </c>
    </row>
    <row r="2480">
      <c r="A2480" s="1490" t="s">
        <v>146</v>
      </c>
      <c r="B2480" s="1490" t="s">
        <v>452</v>
      </c>
      <c r="C2480" s="1597">
        <v>43734.0</v>
      </c>
      <c r="D2480" s="1490">
        <v>67.0</v>
      </c>
      <c r="E2480" s="1" t="s">
        <v>452</v>
      </c>
    </row>
    <row r="2481">
      <c r="A2481" s="1490" t="s">
        <v>682</v>
      </c>
      <c r="B2481" s="1490" t="s">
        <v>452</v>
      </c>
      <c r="C2481" s="1597">
        <v>12086.0</v>
      </c>
      <c r="D2481" s="1490">
        <v>17.0</v>
      </c>
      <c r="E2481" s="1" t="s">
        <v>452</v>
      </c>
    </row>
    <row r="2482">
      <c r="A2482" s="1490" t="s">
        <v>290</v>
      </c>
      <c r="B2482" s="1490" t="s">
        <v>452</v>
      </c>
      <c r="C2482" s="1597">
        <v>34117.0</v>
      </c>
      <c r="D2482" s="1490">
        <v>46.0</v>
      </c>
      <c r="E2482" s="1" t="s">
        <v>452</v>
      </c>
    </row>
    <row r="2483">
      <c r="A2483" s="1490" t="s">
        <v>1930</v>
      </c>
      <c r="B2483" s="1490" t="s">
        <v>452</v>
      </c>
      <c r="C2483" s="1597">
        <v>53054.0</v>
      </c>
      <c r="D2483" s="1490">
        <v>61.0</v>
      </c>
      <c r="E2483" s="1" t="s">
        <v>452</v>
      </c>
    </row>
    <row r="2484">
      <c r="A2484" s="1490" t="s">
        <v>1933</v>
      </c>
      <c r="B2484" s="1490" t="s">
        <v>452</v>
      </c>
      <c r="C2484" s="1597">
        <v>53285.0</v>
      </c>
      <c r="D2484" s="1490">
        <v>68.0</v>
      </c>
      <c r="E2484" s="1" t="s">
        <v>452</v>
      </c>
    </row>
    <row r="2485">
      <c r="A2485" s="1490" t="s">
        <v>1935</v>
      </c>
      <c r="B2485" s="1490" t="s">
        <v>452</v>
      </c>
      <c r="C2485" s="1597">
        <v>25832.0</v>
      </c>
      <c r="D2485" s="1490">
        <v>38.0</v>
      </c>
      <c r="E2485" s="1" t="s">
        <v>452</v>
      </c>
    </row>
    <row r="2486">
      <c r="A2486" s="1490" t="s">
        <v>150</v>
      </c>
      <c r="B2486" s="1490" t="s">
        <v>452</v>
      </c>
      <c r="C2486" s="1597">
        <v>24265.0</v>
      </c>
      <c r="D2486" s="1490">
        <v>18.0</v>
      </c>
      <c r="E2486" s="1" t="s">
        <v>452</v>
      </c>
    </row>
    <row r="2487">
      <c r="A2487" s="1490" t="s">
        <v>151</v>
      </c>
      <c r="B2487" s="1490" t="s">
        <v>452</v>
      </c>
      <c r="C2487" s="1597">
        <v>97605.0</v>
      </c>
      <c r="D2487" s="1490">
        <v>141.0</v>
      </c>
      <c r="E2487" s="1" t="s">
        <v>452</v>
      </c>
    </row>
    <row r="2488">
      <c r="A2488" s="1490" t="s">
        <v>153</v>
      </c>
      <c r="B2488" s="1490" t="s">
        <v>452</v>
      </c>
      <c r="C2488" s="1597">
        <v>28575.0</v>
      </c>
      <c r="D2488" s="1490">
        <v>45.0</v>
      </c>
      <c r="E2488" s="1" t="s">
        <v>452</v>
      </c>
    </row>
    <row r="2489">
      <c r="A2489" s="1490" t="s">
        <v>154</v>
      </c>
      <c r="B2489" s="1490" t="s">
        <v>452</v>
      </c>
      <c r="C2489" s="1597">
        <v>33683.0</v>
      </c>
      <c r="D2489" s="1490">
        <v>43.0</v>
      </c>
      <c r="E2489" s="1" t="s">
        <v>452</v>
      </c>
    </row>
    <row r="2490">
      <c r="A2490" s="1490" t="s">
        <v>1942</v>
      </c>
      <c r="B2490" s="1490" t="s">
        <v>452</v>
      </c>
      <c r="C2490" s="1597">
        <v>94340.0</v>
      </c>
      <c r="D2490" s="1490">
        <v>124.0</v>
      </c>
      <c r="E2490" s="1" t="s">
        <v>452</v>
      </c>
    </row>
    <row r="2491">
      <c r="A2491" s="1490" t="s">
        <v>1690</v>
      </c>
      <c r="B2491" s="1490" t="s">
        <v>452</v>
      </c>
      <c r="C2491" s="1597">
        <v>12306.0</v>
      </c>
      <c r="D2491" s="1490">
        <v>9.0</v>
      </c>
      <c r="E2491" s="1" t="s">
        <v>452</v>
      </c>
    </row>
    <row r="2492">
      <c r="A2492" s="1490" t="s">
        <v>156</v>
      </c>
      <c r="B2492" s="1490" t="s">
        <v>452</v>
      </c>
      <c r="C2492" s="1597">
        <v>46357.0</v>
      </c>
      <c r="D2492" s="1490">
        <v>54.0</v>
      </c>
      <c r="E2492" s="1" t="s">
        <v>452</v>
      </c>
    </row>
    <row r="2493">
      <c r="A2493" s="1490" t="s">
        <v>157</v>
      </c>
      <c r="B2493" s="1490" t="s">
        <v>452</v>
      </c>
      <c r="C2493" s="1597">
        <v>205950.0</v>
      </c>
      <c r="D2493" s="1490">
        <v>148.0</v>
      </c>
      <c r="E2493" s="1" t="s">
        <v>452</v>
      </c>
    </row>
    <row r="2494">
      <c r="A2494" s="1490" t="s">
        <v>1615</v>
      </c>
      <c r="B2494" s="1490" t="s">
        <v>452</v>
      </c>
      <c r="C2494" s="1597">
        <v>6411.0</v>
      </c>
      <c r="D2494" s="1490">
        <v>7.0</v>
      </c>
      <c r="E2494" s="1" t="s">
        <v>452</v>
      </c>
    </row>
    <row r="2495">
      <c r="A2495" s="1490" t="s">
        <v>158</v>
      </c>
      <c r="B2495" s="1490" t="s">
        <v>452</v>
      </c>
      <c r="C2495" s="1597">
        <v>21579.0</v>
      </c>
      <c r="D2495" s="1490">
        <v>33.0</v>
      </c>
      <c r="E2495" s="1" t="s">
        <v>452</v>
      </c>
    </row>
    <row r="2496">
      <c r="A2496" s="1490" t="s">
        <v>1957</v>
      </c>
      <c r="B2496" s="1490" t="s">
        <v>452</v>
      </c>
      <c r="C2496" s="1597">
        <v>30267.0</v>
      </c>
      <c r="D2496" s="1490">
        <v>55.0</v>
      </c>
      <c r="E2496" s="1" t="s">
        <v>452</v>
      </c>
    </row>
    <row r="2497">
      <c r="A2497" s="1490" t="s">
        <v>1960</v>
      </c>
      <c r="B2497" s="1490" t="s">
        <v>452</v>
      </c>
      <c r="C2497" s="1597">
        <v>22068.0</v>
      </c>
      <c r="D2497" s="1490">
        <v>26.0</v>
      </c>
      <c r="E2497" s="1" t="s">
        <v>452</v>
      </c>
    </row>
    <row r="2498">
      <c r="A2498" s="1490" t="s">
        <v>159</v>
      </c>
      <c r="B2498" s="1490" t="s">
        <v>452</v>
      </c>
      <c r="C2498" s="1597">
        <v>8064.0</v>
      </c>
      <c r="D2498" s="1490">
        <v>11.0</v>
      </c>
      <c r="E2498" s="1" t="s">
        <v>452</v>
      </c>
    </row>
    <row r="2499">
      <c r="A2499" s="1490" t="s">
        <v>1965</v>
      </c>
      <c r="B2499" s="1490" t="s">
        <v>452</v>
      </c>
      <c r="C2499" s="1597">
        <v>5082.0</v>
      </c>
      <c r="D2499" s="1490">
        <v>6.0</v>
      </c>
      <c r="E2499" s="1" t="s">
        <v>452</v>
      </c>
    </row>
    <row r="2500">
      <c r="A2500" s="1490" t="s">
        <v>302</v>
      </c>
      <c r="B2500" s="1490" t="s">
        <v>452</v>
      </c>
      <c r="C2500" s="1597">
        <v>16898.0</v>
      </c>
      <c r="D2500" s="1490">
        <v>28.0</v>
      </c>
      <c r="E2500" s="1" t="s">
        <v>452</v>
      </c>
    </row>
    <row r="2501">
      <c r="A2501" s="1490" t="s">
        <v>518</v>
      </c>
      <c r="B2501" s="1490" t="s">
        <v>452</v>
      </c>
      <c r="C2501" s="1597">
        <v>78843.0</v>
      </c>
      <c r="D2501" s="1490">
        <v>78.0</v>
      </c>
      <c r="E2501" s="1" t="s">
        <v>452</v>
      </c>
    </row>
    <row r="2502">
      <c r="A2502" s="1490" t="s">
        <v>1973</v>
      </c>
      <c r="B2502" s="1490" t="s">
        <v>452</v>
      </c>
      <c r="C2502" s="1597">
        <v>33044.0</v>
      </c>
      <c r="D2502" s="1490">
        <v>46.0</v>
      </c>
      <c r="E2502" s="1" t="s">
        <v>452</v>
      </c>
    </row>
    <row r="2503">
      <c r="A2503" s="1490" t="s">
        <v>1976</v>
      </c>
      <c r="B2503" s="1490" t="s">
        <v>452</v>
      </c>
      <c r="C2503" s="1597">
        <v>53140.0</v>
      </c>
      <c r="D2503" s="1490">
        <v>73.0</v>
      </c>
      <c r="E2503" s="1" t="s">
        <v>452</v>
      </c>
    </row>
    <row r="2504">
      <c r="A2504" s="1490" t="s">
        <v>1131</v>
      </c>
      <c r="B2504" s="1490" t="s">
        <v>452</v>
      </c>
      <c r="C2504" s="1597">
        <v>71012.0</v>
      </c>
      <c r="D2504" s="1490">
        <v>94.0</v>
      </c>
      <c r="E2504" s="1" t="s">
        <v>452</v>
      </c>
    </row>
    <row r="2505">
      <c r="A2505" s="1490" t="s">
        <v>1627</v>
      </c>
      <c r="B2505" s="1490" t="s">
        <v>452</v>
      </c>
      <c r="C2505" s="1597">
        <v>324890.0</v>
      </c>
      <c r="D2505" s="1490">
        <v>200.0</v>
      </c>
      <c r="E2505" s="1" t="s">
        <v>452</v>
      </c>
    </row>
    <row r="2506">
      <c r="A2506" s="1490" t="s">
        <v>309</v>
      </c>
      <c r="B2506" s="1490" t="s">
        <v>452</v>
      </c>
      <c r="C2506" s="1597">
        <v>22039.0</v>
      </c>
      <c r="D2506" s="1490">
        <v>29.0</v>
      </c>
      <c r="E2506" s="1" t="s">
        <v>452</v>
      </c>
    </row>
    <row r="2507">
      <c r="A2507" s="1490" t="s">
        <v>1985</v>
      </c>
      <c r="B2507" s="1490" t="s">
        <v>452</v>
      </c>
      <c r="C2507" s="1597">
        <v>14876.0</v>
      </c>
      <c r="D2507" s="1490">
        <v>22.0</v>
      </c>
      <c r="E2507" s="1" t="s">
        <v>452</v>
      </c>
    </row>
    <row r="2508">
      <c r="A2508" s="1490" t="s">
        <v>312</v>
      </c>
      <c r="B2508" s="1490" t="s">
        <v>452</v>
      </c>
      <c r="C2508" s="1597">
        <v>97892.0</v>
      </c>
      <c r="D2508" s="1490">
        <v>99.0</v>
      </c>
      <c r="E2508" s="1" t="s">
        <v>452</v>
      </c>
    </row>
    <row r="2509">
      <c r="A2509" s="1490" t="s">
        <v>168</v>
      </c>
      <c r="B2509" s="1490" t="s">
        <v>452</v>
      </c>
      <c r="C2509" s="1597">
        <v>935764.0</v>
      </c>
      <c r="D2509" s="1490">
        <v>849.0</v>
      </c>
      <c r="E2509" s="1" t="s">
        <v>452</v>
      </c>
    </row>
    <row r="2510">
      <c r="A2510" s="1490" t="s">
        <v>1012</v>
      </c>
      <c r="B2510" s="1490" t="s">
        <v>452</v>
      </c>
      <c r="C2510" s="1597">
        <v>19942.0</v>
      </c>
      <c r="D2510" s="1490">
        <v>34.0</v>
      </c>
      <c r="E2510" s="1" t="s">
        <v>452</v>
      </c>
    </row>
    <row r="2511">
      <c r="A2511" s="1490" t="s">
        <v>629</v>
      </c>
      <c r="B2511" s="1490" t="s">
        <v>452</v>
      </c>
      <c r="C2511" s="1597">
        <v>13561.0</v>
      </c>
      <c r="D2511" s="1490">
        <v>29.0</v>
      </c>
      <c r="E2511" s="1" t="s">
        <v>452</v>
      </c>
    </row>
    <row r="2512">
      <c r="A2512" s="1490" t="s">
        <v>860</v>
      </c>
      <c r="B2512" s="1490" t="s">
        <v>452</v>
      </c>
      <c r="C2512" s="1597">
        <v>157668.0</v>
      </c>
      <c r="D2512" s="1490">
        <v>204.0</v>
      </c>
      <c r="E2512" s="1" t="s">
        <v>452</v>
      </c>
    </row>
    <row r="2513">
      <c r="A2513" s="1490" t="s">
        <v>1016</v>
      </c>
      <c r="B2513" s="1490" t="s">
        <v>452</v>
      </c>
      <c r="C2513" s="1597">
        <v>187149.0</v>
      </c>
      <c r="D2513" s="1490">
        <v>148.0</v>
      </c>
      <c r="E2513" s="1" t="s">
        <v>452</v>
      </c>
    </row>
    <row r="2514">
      <c r="A2514" s="1490" t="s">
        <v>865</v>
      </c>
      <c r="B2514" s="1490" t="s">
        <v>452</v>
      </c>
      <c r="C2514" s="1597">
        <v>61581.0</v>
      </c>
      <c r="D2514" s="1490">
        <v>82.0</v>
      </c>
      <c r="E2514" s="1" t="s">
        <v>452</v>
      </c>
    </row>
    <row r="2515">
      <c r="A2515" s="1490" t="s">
        <v>1994</v>
      </c>
      <c r="B2515" s="1490" t="s">
        <v>452</v>
      </c>
      <c r="C2515" s="1597">
        <v>11012.0</v>
      </c>
      <c r="D2515" s="1490">
        <v>9.0</v>
      </c>
      <c r="E2515" s="1" t="s">
        <v>452</v>
      </c>
    </row>
    <row r="2516">
      <c r="A2516" s="1490" t="s">
        <v>1995</v>
      </c>
      <c r="B2516" s="1490" t="s">
        <v>452</v>
      </c>
      <c r="C2516" s="1597">
        <v>17761.0</v>
      </c>
      <c r="D2516" s="1490">
        <v>31.0</v>
      </c>
      <c r="E2516" s="1" t="s">
        <v>452</v>
      </c>
    </row>
    <row r="2517">
      <c r="A2517" s="1490" t="s">
        <v>316</v>
      </c>
      <c r="B2517" s="1490" t="s">
        <v>452</v>
      </c>
      <c r="C2517" s="1597">
        <v>19688.0</v>
      </c>
      <c r="D2517" s="1490">
        <v>11.0</v>
      </c>
      <c r="E2517" s="1" t="s">
        <v>452</v>
      </c>
    </row>
    <row r="2518">
      <c r="A2518" s="1490" t="s">
        <v>317</v>
      </c>
      <c r="B2518" s="1490" t="s">
        <v>452</v>
      </c>
      <c r="C2518" s="1597">
        <v>5765.0</v>
      </c>
      <c r="D2518" s="1490">
        <v>8.0</v>
      </c>
      <c r="E2518" s="1" t="s">
        <v>452</v>
      </c>
    </row>
    <row r="2519">
      <c r="A2519" s="1490" t="s">
        <v>647</v>
      </c>
      <c r="B2519" s="1490" t="s">
        <v>452</v>
      </c>
      <c r="C2519" s="1597">
        <v>40878.0</v>
      </c>
      <c r="D2519" s="1490">
        <v>77.0</v>
      </c>
      <c r="E2519" s="1" t="s">
        <v>452</v>
      </c>
    </row>
    <row r="2520">
      <c r="A2520" s="1490" t="s">
        <v>119</v>
      </c>
      <c r="B2520" s="1490" t="s">
        <v>452</v>
      </c>
      <c r="C2520" s="1597">
        <v>128607.0</v>
      </c>
      <c r="D2520" s="1490">
        <v>150.0</v>
      </c>
      <c r="E2520" s="1" t="s">
        <v>452</v>
      </c>
    </row>
    <row r="2521">
      <c r="A2521" s="1490" t="s">
        <v>273</v>
      </c>
      <c r="B2521" s="1490" t="s">
        <v>452</v>
      </c>
      <c r="C2521" s="1597">
        <v>16558.0</v>
      </c>
      <c r="D2521" s="1490">
        <v>21.0</v>
      </c>
      <c r="E2521" s="1" t="s">
        <v>452</v>
      </c>
    </row>
    <row r="2522">
      <c r="A2522" s="1490" t="s">
        <v>1999</v>
      </c>
      <c r="B2522" s="1490" t="s">
        <v>452</v>
      </c>
      <c r="C2522" s="1597">
        <v>33415.0</v>
      </c>
      <c r="D2522" s="1490">
        <v>56.0</v>
      </c>
      <c r="E2522" s="1" t="s">
        <v>452</v>
      </c>
    </row>
    <row r="2523">
      <c r="A2523" s="1490" t="s">
        <v>66</v>
      </c>
      <c r="B2523" s="1490" t="s">
        <v>452</v>
      </c>
      <c r="C2523" s="1597">
        <v>27107.0</v>
      </c>
      <c r="D2523" s="1490">
        <v>43.0</v>
      </c>
      <c r="E2523" s="1" t="s">
        <v>452</v>
      </c>
    </row>
    <row r="2524">
      <c r="A2524" s="1490" t="s">
        <v>627</v>
      </c>
      <c r="B2524" s="1490" t="s">
        <v>452</v>
      </c>
      <c r="C2524" s="1597">
        <v>231729.0</v>
      </c>
      <c r="D2524" s="1490">
        <v>157.0</v>
      </c>
      <c r="E2524" s="1" t="s">
        <v>452</v>
      </c>
    </row>
    <row r="2525">
      <c r="A2525" s="1496" t="s">
        <v>1021</v>
      </c>
      <c r="B2525" s="1496" t="s">
        <v>452</v>
      </c>
      <c r="C2525" s="1598">
        <v>140625.0</v>
      </c>
      <c r="D2525" s="1496">
        <v>109.0</v>
      </c>
      <c r="E2525" s="1624" t="s">
        <v>452</v>
      </c>
      <c r="F2525" s="1624"/>
      <c r="G2525" s="1624"/>
      <c r="N2525" s="1489"/>
      <c r="O2525" s="1489"/>
      <c r="P2525" s="1489"/>
      <c r="Q2525" s="1489"/>
      <c r="R2525" s="1489"/>
      <c r="S2525" s="1489"/>
      <c r="T2525" s="1489"/>
      <c r="U2525" s="1489"/>
      <c r="V2525" s="1489"/>
      <c r="W2525" s="1489"/>
      <c r="X2525" s="1489"/>
      <c r="Y2525" s="1489"/>
      <c r="Z2525" s="1489"/>
    </row>
    <row r="2526">
      <c r="A2526" s="355" t="s">
        <v>954</v>
      </c>
      <c r="B2526" s="355" t="s">
        <v>219</v>
      </c>
      <c r="C2526" s="1562">
        <v>58057.0</v>
      </c>
      <c r="D2526" s="355">
        <v>81.0</v>
      </c>
      <c r="E2526" s="1" t="s">
        <v>219</v>
      </c>
    </row>
    <row r="2527">
      <c r="A2527" s="355" t="s">
        <v>2005</v>
      </c>
      <c r="B2527" s="355" t="s">
        <v>219</v>
      </c>
      <c r="C2527" s="1562">
        <v>18128.0</v>
      </c>
      <c r="D2527" s="355">
        <v>21.0</v>
      </c>
      <c r="E2527" s="1" t="s">
        <v>219</v>
      </c>
    </row>
    <row r="2528">
      <c r="A2528" s="355" t="s">
        <v>2006</v>
      </c>
      <c r="B2528" s="355" t="s">
        <v>219</v>
      </c>
      <c r="C2528" s="1562">
        <v>87092.0</v>
      </c>
      <c r="D2528" s="355">
        <v>115.0</v>
      </c>
      <c r="E2528" s="1" t="s">
        <v>219</v>
      </c>
    </row>
    <row r="2529">
      <c r="A2529" s="355" t="s">
        <v>2007</v>
      </c>
      <c r="B2529" s="355" t="s">
        <v>219</v>
      </c>
      <c r="C2529" s="1562">
        <v>23792.0</v>
      </c>
      <c r="D2529" s="355">
        <v>16.0</v>
      </c>
      <c r="E2529" s="1" t="s">
        <v>219</v>
      </c>
      <c r="H2529" s="1489"/>
      <c r="I2529" s="1489"/>
      <c r="J2529" s="1489"/>
      <c r="K2529" s="1489"/>
      <c r="L2529" s="1489"/>
      <c r="M2529" s="1489"/>
    </row>
    <row r="2530">
      <c r="A2530" s="355" t="s">
        <v>2008</v>
      </c>
      <c r="B2530" s="355" t="s">
        <v>219</v>
      </c>
      <c r="C2530" s="1562">
        <v>8786.0</v>
      </c>
      <c r="D2530" s="355">
        <v>18.0</v>
      </c>
      <c r="E2530" s="1" t="s">
        <v>219</v>
      </c>
    </row>
    <row r="2531">
      <c r="A2531" s="355" t="s">
        <v>1783</v>
      </c>
      <c r="B2531" s="355" t="s">
        <v>219</v>
      </c>
      <c r="C2531" s="1562">
        <v>1892.0</v>
      </c>
      <c r="D2531" s="355">
        <v>3.0</v>
      </c>
      <c r="E2531" s="1" t="s">
        <v>219</v>
      </c>
    </row>
    <row r="2532">
      <c r="A2532" s="355" t="s">
        <v>2010</v>
      </c>
      <c r="B2532" s="355" t="s">
        <v>219</v>
      </c>
      <c r="C2532" s="1562">
        <v>50310.0</v>
      </c>
      <c r="D2532" s="355">
        <v>36.0</v>
      </c>
      <c r="E2532" s="1" t="s">
        <v>219</v>
      </c>
    </row>
    <row r="2533">
      <c r="A2533" s="355" t="s">
        <v>2011</v>
      </c>
      <c r="B2533" s="355" t="s">
        <v>219</v>
      </c>
      <c r="C2533" s="1562">
        <v>29989.0</v>
      </c>
      <c r="D2533" s="355">
        <v>41.0</v>
      </c>
      <c r="E2533" s="1" t="s">
        <v>219</v>
      </c>
    </row>
    <row r="2534">
      <c r="A2534" s="355" t="s">
        <v>2012</v>
      </c>
      <c r="B2534" s="355" t="s">
        <v>219</v>
      </c>
      <c r="C2534" s="1562">
        <v>7027.0</v>
      </c>
      <c r="D2534" s="355">
        <v>13.0</v>
      </c>
      <c r="E2534" s="1" t="s">
        <v>219</v>
      </c>
    </row>
    <row r="2535">
      <c r="A2535" s="355" t="s">
        <v>2013</v>
      </c>
      <c r="B2535" s="355" t="s">
        <v>219</v>
      </c>
      <c r="C2535" s="1562">
        <v>22824.0</v>
      </c>
      <c r="D2535" s="355">
        <v>25.0</v>
      </c>
      <c r="E2535" s="1" t="s">
        <v>219</v>
      </c>
    </row>
    <row r="2536">
      <c r="A2536" s="355" t="s">
        <v>2014</v>
      </c>
      <c r="B2536" s="355" t="s">
        <v>219</v>
      </c>
      <c r="C2536" s="1562">
        <v>86976.0</v>
      </c>
      <c r="D2536" s="355">
        <v>75.0</v>
      </c>
      <c r="E2536" s="1" t="s">
        <v>219</v>
      </c>
    </row>
    <row r="2537">
      <c r="A2537" s="355" t="s">
        <v>2015</v>
      </c>
      <c r="B2537" s="355" t="s">
        <v>219</v>
      </c>
      <c r="C2537" s="1562">
        <v>3582.0</v>
      </c>
      <c r="D2537" s="355">
        <v>9.0</v>
      </c>
      <c r="E2537" s="1" t="s">
        <v>219</v>
      </c>
    </row>
    <row r="2538">
      <c r="A2538" s="355" t="s">
        <v>2016</v>
      </c>
      <c r="B2538" s="355" t="s">
        <v>219</v>
      </c>
      <c r="C2538" s="1562">
        <v>32587.0</v>
      </c>
      <c r="D2538" s="355">
        <v>24.0</v>
      </c>
      <c r="E2538" s="1" t="s">
        <v>219</v>
      </c>
    </row>
    <row r="2539">
      <c r="A2539" s="355" t="s">
        <v>1027</v>
      </c>
      <c r="B2539" s="355" t="s">
        <v>219</v>
      </c>
      <c r="C2539" s="1562">
        <v>355642.0</v>
      </c>
      <c r="D2539" s="355">
        <v>216.0</v>
      </c>
      <c r="E2539" s="1" t="s">
        <v>219</v>
      </c>
    </row>
    <row r="2540">
      <c r="A2540" s="355" t="s">
        <v>267</v>
      </c>
      <c r="B2540" s="355" t="s">
        <v>219</v>
      </c>
      <c r="C2540" s="1562">
        <v>1986049.0</v>
      </c>
      <c r="D2540" s="355">
        <v>742.0</v>
      </c>
      <c r="E2540" s="1" t="s">
        <v>219</v>
      </c>
    </row>
    <row r="2541">
      <c r="A2541" s="355" t="s">
        <v>2017</v>
      </c>
      <c r="B2541" s="355" t="s">
        <v>219</v>
      </c>
      <c r="C2541" s="1562">
        <v>11702.0</v>
      </c>
      <c r="D2541" s="355">
        <v>20.0</v>
      </c>
      <c r="E2541" s="1" t="s">
        <v>219</v>
      </c>
    </row>
    <row r="2542">
      <c r="A2542" s="355" t="s">
        <v>2018</v>
      </c>
      <c r="B2542" s="355" t="s">
        <v>219</v>
      </c>
      <c r="C2542" s="1562">
        <v>648.0</v>
      </c>
      <c r="D2542" s="355">
        <v>2.0</v>
      </c>
      <c r="E2542" s="1" t="s">
        <v>219</v>
      </c>
    </row>
    <row r="2543">
      <c r="A2543" s="355" t="s">
        <v>2019</v>
      </c>
      <c r="B2543" s="355" t="s">
        <v>219</v>
      </c>
      <c r="C2543" s="1562">
        <v>18691.0</v>
      </c>
      <c r="D2543" s="355">
        <v>36.0</v>
      </c>
      <c r="E2543" s="1" t="s">
        <v>219</v>
      </c>
    </row>
    <row r="2544">
      <c r="A2544" s="355" t="s">
        <v>2020</v>
      </c>
      <c r="B2544" s="355" t="s">
        <v>219</v>
      </c>
      <c r="C2544" s="1562">
        <v>94324.0</v>
      </c>
      <c r="D2544" s="355">
        <v>147.0</v>
      </c>
      <c r="E2544" s="1" t="s">
        <v>219</v>
      </c>
    </row>
    <row r="2545">
      <c r="A2545" s="355" t="s">
        <v>2021</v>
      </c>
      <c r="B2545" s="355" t="s">
        <v>219</v>
      </c>
      <c r="C2545" s="1562">
        <v>370200.0</v>
      </c>
      <c r="D2545" s="355">
        <v>236.0</v>
      </c>
      <c r="E2545" s="1" t="s">
        <v>219</v>
      </c>
    </row>
    <row r="2546">
      <c r="A2546" s="355" t="s">
        <v>2022</v>
      </c>
      <c r="B2546" s="355" t="s">
        <v>219</v>
      </c>
      <c r="C2546" s="1562">
        <v>226758.0</v>
      </c>
      <c r="D2546" s="355">
        <v>130.0</v>
      </c>
      <c r="E2546" s="1" t="s">
        <v>219</v>
      </c>
    </row>
    <row r="2547">
      <c r="A2547" s="355" t="s">
        <v>2023</v>
      </c>
      <c r="B2547" s="355" t="s">
        <v>219</v>
      </c>
      <c r="C2547" s="1562">
        <v>9267.0</v>
      </c>
      <c r="D2547" s="355">
        <v>14.0</v>
      </c>
      <c r="E2547" s="1" t="s">
        <v>219</v>
      </c>
    </row>
    <row r="2548">
      <c r="A2548" s="355" t="s">
        <v>2025</v>
      </c>
      <c r="B2548" s="355" t="s">
        <v>219</v>
      </c>
      <c r="C2548" s="1562">
        <v>1516.0</v>
      </c>
      <c r="D2548" s="355">
        <v>7.0</v>
      </c>
      <c r="E2548" s="1" t="s">
        <v>219</v>
      </c>
    </row>
    <row r="2549">
      <c r="A2549" s="355" t="s">
        <v>543</v>
      </c>
      <c r="B2549" s="355" t="s">
        <v>219</v>
      </c>
      <c r="C2549" s="1562">
        <v>7114.0</v>
      </c>
      <c r="D2549" s="355">
        <v>7.0</v>
      </c>
      <c r="E2549" s="1" t="s">
        <v>219</v>
      </c>
    </row>
    <row r="2550">
      <c r="A2550" s="355" t="s">
        <v>706</v>
      </c>
      <c r="B2550" s="355" t="s">
        <v>219</v>
      </c>
      <c r="C2550" s="1562">
        <v>37924.0</v>
      </c>
      <c r="D2550" s="355">
        <v>48.0</v>
      </c>
      <c r="E2550" s="1" t="s">
        <v>219</v>
      </c>
    </row>
    <row r="2551">
      <c r="A2551" s="355" t="s">
        <v>2027</v>
      </c>
      <c r="B2551" s="355" t="s">
        <v>219</v>
      </c>
      <c r="C2551" s="1562">
        <v>18389.0</v>
      </c>
      <c r="D2551" s="355">
        <v>32.0</v>
      </c>
      <c r="E2551" s="1" t="s">
        <v>219</v>
      </c>
    </row>
    <row r="2552">
      <c r="A2552" s="355" t="s">
        <v>2028</v>
      </c>
      <c r="B2552" s="355" t="s">
        <v>219</v>
      </c>
      <c r="C2552" s="1562">
        <v>47542.0</v>
      </c>
      <c r="D2552" s="355">
        <v>47.0</v>
      </c>
      <c r="E2552" s="1" t="s">
        <v>219</v>
      </c>
    </row>
    <row r="2553">
      <c r="A2553" s="355" t="s">
        <v>1034</v>
      </c>
      <c r="B2553" s="355" t="s">
        <v>219</v>
      </c>
      <c r="C2553" s="1562">
        <v>43247.0</v>
      </c>
      <c r="D2553" s="355">
        <v>44.0</v>
      </c>
      <c r="E2553" s="1" t="s">
        <v>219</v>
      </c>
    </row>
    <row r="2554">
      <c r="A2554" s="355" t="s">
        <v>93</v>
      </c>
      <c r="B2554" s="355" t="s">
        <v>219</v>
      </c>
      <c r="C2554" s="1562">
        <v>21561.0</v>
      </c>
      <c r="D2554" s="355">
        <v>25.0</v>
      </c>
      <c r="E2554" s="1" t="s">
        <v>219</v>
      </c>
    </row>
    <row r="2555">
      <c r="A2555" s="355" t="s">
        <v>2029</v>
      </c>
      <c r="B2555" s="355" t="s">
        <v>219</v>
      </c>
      <c r="C2555" s="1562">
        <v>13994.0</v>
      </c>
      <c r="D2555" s="355">
        <v>22.0</v>
      </c>
      <c r="E2555" s="1" t="s">
        <v>219</v>
      </c>
    </row>
    <row r="2556">
      <c r="A2556" s="355" t="s">
        <v>1149</v>
      </c>
      <c r="B2556" s="355" t="s">
        <v>219</v>
      </c>
      <c r="C2556" s="1562">
        <v>423908.0</v>
      </c>
      <c r="D2556" s="355">
        <v>159.0</v>
      </c>
      <c r="E2556" s="1" t="s">
        <v>219</v>
      </c>
    </row>
    <row r="2557">
      <c r="A2557" s="355" t="s">
        <v>2031</v>
      </c>
      <c r="B2557" s="355" t="s">
        <v>219</v>
      </c>
      <c r="C2557" s="1562">
        <v>13033.0</v>
      </c>
      <c r="D2557" s="355">
        <v>18.0</v>
      </c>
      <c r="E2557" s="1" t="s">
        <v>219</v>
      </c>
    </row>
    <row r="2558">
      <c r="A2558" s="355" t="s">
        <v>2032</v>
      </c>
      <c r="B2558" s="355" t="s">
        <v>219</v>
      </c>
      <c r="C2558" s="1562">
        <v>6005.0</v>
      </c>
      <c r="D2558" s="355">
        <v>12.0</v>
      </c>
      <c r="E2558" s="1" t="s">
        <v>219</v>
      </c>
    </row>
    <row r="2559">
      <c r="A2559" s="355" t="s">
        <v>708</v>
      </c>
      <c r="B2559" s="355" t="s">
        <v>219</v>
      </c>
      <c r="C2559" s="1562">
        <v>30119.0</v>
      </c>
      <c r="D2559" s="355">
        <v>64.0</v>
      </c>
      <c r="E2559" s="1" t="s">
        <v>219</v>
      </c>
    </row>
    <row r="2560">
      <c r="A2560" s="355" t="s">
        <v>2033</v>
      </c>
      <c r="B2560" s="355" t="s">
        <v>219</v>
      </c>
      <c r="C2560" s="1562">
        <v>7665.0</v>
      </c>
      <c r="D2560" s="355">
        <v>14.0</v>
      </c>
      <c r="E2560" s="1" t="s">
        <v>219</v>
      </c>
    </row>
    <row r="2561">
      <c r="A2561" s="355" t="s">
        <v>98</v>
      </c>
      <c r="B2561" s="355" t="s">
        <v>219</v>
      </c>
      <c r="C2561" s="1562">
        <v>42454.0</v>
      </c>
      <c r="D2561" s="355">
        <v>31.0</v>
      </c>
      <c r="E2561" s="1" t="s">
        <v>219</v>
      </c>
    </row>
    <row r="2562">
      <c r="A2562" s="355" t="s">
        <v>101</v>
      </c>
      <c r="B2562" s="355" t="s">
        <v>219</v>
      </c>
      <c r="C2562" s="1562">
        <v>52592.0</v>
      </c>
      <c r="D2562" s="355">
        <v>82.0</v>
      </c>
      <c r="E2562" s="1" t="s">
        <v>219</v>
      </c>
    </row>
    <row r="2563">
      <c r="A2563" s="355" t="s">
        <v>2034</v>
      </c>
      <c r="B2563" s="355" t="s">
        <v>219</v>
      </c>
      <c r="C2563" s="1562">
        <v>7291.0</v>
      </c>
      <c r="D2563" s="355">
        <v>7.0</v>
      </c>
      <c r="E2563" s="1" t="s">
        <v>219</v>
      </c>
    </row>
    <row r="2564">
      <c r="A2564" s="355" t="s">
        <v>112</v>
      </c>
      <c r="B2564" s="355" t="s">
        <v>219</v>
      </c>
      <c r="C2564" s="1562">
        <v>10456.0</v>
      </c>
      <c r="D2564" s="355">
        <v>18.0</v>
      </c>
      <c r="E2564" s="1" t="s">
        <v>219</v>
      </c>
    </row>
    <row r="2565">
      <c r="A2565" s="355" t="s">
        <v>2035</v>
      </c>
      <c r="B2565" s="355" t="s">
        <v>219</v>
      </c>
      <c r="C2565" s="1562">
        <v>2836.0</v>
      </c>
      <c r="D2565" s="355">
        <v>10.0</v>
      </c>
      <c r="E2565" s="1" t="s">
        <v>219</v>
      </c>
    </row>
    <row r="2566">
      <c r="A2566" s="355" t="s">
        <v>2036</v>
      </c>
      <c r="B2566" s="355" t="s">
        <v>219</v>
      </c>
      <c r="C2566" s="1562">
        <v>3370.0</v>
      </c>
      <c r="D2566" s="355">
        <v>8.0</v>
      </c>
      <c r="E2566" s="1" t="s">
        <v>219</v>
      </c>
    </row>
    <row r="2567">
      <c r="A2567" s="355" t="s">
        <v>2037</v>
      </c>
      <c r="B2567" s="355" t="s">
        <v>219</v>
      </c>
      <c r="C2567" s="1562">
        <v>8397.0</v>
      </c>
      <c r="D2567" s="355">
        <v>18.0</v>
      </c>
      <c r="E2567" s="1" t="s">
        <v>219</v>
      </c>
    </row>
    <row r="2568">
      <c r="A2568" s="355" t="s">
        <v>405</v>
      </c>
      <c r="B2568" s="355" t="s">
        <v>219</v>
      </c>
      <c r="C2568" s="1562">
        <v>1005146.0</v>
      </c>
      <c r="D2568" s="355">
        <v>326.0</v>
      </c>
      <c r="E2568" s="1" t="s">
        <v>219</v>
      </c>
    </row>
    <row r="2569">
      <c r="A2569" s="355" t="s">
        <v>2038</v>
      </c>
      <c r="B2569" s="355" t="s">
        <v>219</v>
      </c>
      <c r="C2569" s="1562">
        <v>2962.0</v>
      </c>
      <c r="D2569" s="355">
        <v>9.0</v>
      </c>
      <c r="E2569" s="1" t="s">
        <v>219</v>
      </c>
    </row>
    <row r="2570">
      <c r="A2570" s="355" t="s">
        <v>36</v>
      </c>
      <c r="B2570" s="355" t="s">
        <v>219</v>
      </c>
      <c r="C2570" s="1562">
        <v>21217.0</v>
      </c>
      <c r="D2570" s="355">
        <v>33.0</v>
      </c>
      <c r="E2570" s="1" t="s">
        <v>219</v>
      </c>
    </row>
    <row r="2571">
      <c r="A2571" s="355" t="s">
        <v>2039</v>
      </c>
      <c r="B2571" s="355" t="s">
        <v>219</v>
      </c>
      <c r="C2571" s="1562">
        <v>148373.0</v>
      </c>
      <c r="D2571" s="355">
        <v>70.0</v>
      </c>
      <c r="E2571" s="1" t="s">
        <v>219</v>
      </c>
    </row>
    <row r="2572">
      <c r="A2572" s="355" t="s">
        <v>964</v>
      </c>
      <c r="B2572" s="355" t="s">
        <v>219</v>
      </c>
      <c r="C2572" s="1562">
        <v>13534.0</v>
      </c>
      <c r="D2572" s="355">
        <v>19.0</v>
      </c>
      <c r="E2572" s="1" t="s">
        <v>219</v>
      </c>
    </row>
    <row r="2573">
      <c r="A2573" s="355" t="s">
        <v>2041</v>
      </c>
      <c r="B2573" s="355" t="s">
        <v>219</v>
      </c>
      <c r="C2573" s="1562">
        <v>4276.0</v>
      </c>
      <c r="D2573" s="355">
        <v>3.0</v>
      </c>
      <c r="E2573" s="1" t="s">
        <v>219</v>
      </c>
    </row>
    <row r="2574">
      <c r="A2574" s="355" t="s">
        <v>2042</v>
      </c>
      <c r="B2574" s="355" t="s">
        <v>219</v>
      </c>
      <c r="C2574" s="1562">
        <v>40574.0</v>
      </c>
      <c r="D2574" s="355">
        <v>50.0</v>
      </c>
      <c r="E2574" s="1" t="s">
        <v>219</v>
      </c>
    </row>
    <row r="2575">
      <c r="A2575" s="355" t="s">
        <v>2043</v>
      </c>
      <c r="B2575" s="355" t="s">
        <v>219</v>
      </c>
      <c r="C2575" s="1562">
        <v>74808.0</v>
      </c>
      <c r="D2575" s="355">
        <v>56.0</v>
      </c>
      <c r="E2575" s="1" t="s">
        <v>219</v>
      </c>
    </row>
    <row r="2576">
      <c r="A2576" s="355" t="s">
        <v>2044</v>
      </c>
      <c r="B2576" s="355" t="s">
        <v>219</v>
      </c>
      <c r="C2576" s="1562">
        <v>1389.0</v>
      </c>
      <c r="D2576" s="355">
        <v>7.0</v>
      </c>
      <c r="E2576" s="1" t="s">
        <v>219</v>
      </c>
    </row>
    <row r="2577">
      <c r="A2577" s="355" t="s">
        <v>2046</v>
      </c>
      <c r="B2577" s="355" t="s">
        <v>219</v>
      </c>
      <c r="C2577" s="1562">
        <v>4794.0</v>
      </c>
      <c r="D2577" s="355">
        <v>6.0</v>
      </c>
      <c r="E2577" s="1" t="s">
        <v>219</v>
      </c>
    </row>
    <row r="2578">
      <c r="A2578" s="355" t="s">
        <v>1900</v>
      </c>
      <c r="B2578" s="355" t="s">
        <v>219</v>
      </c>
      <c r="C2578" s="1562">
        <v>3499.0</v>
      </c>
      <c r="D2578" s="355">
        <v>6.0</v>
      </c>
      <c r="E2578" s="1" t="s">
        <v>219</v>
      </c>
    </row>
    <row r="2579">
      <c r="A2579" s="355" t="s">
        <v>2047</v>
      </c>
      <c r="B2579" s="355" t="s">
        <v>219</v>
      </c>
      <c r="C2579" s="1562">
        <v>5779.0</v>
      </c>
      <c r="D2579" s="355">
        <v>19.0</v>
      </c>
      <c r="E2579" s="1" t="s">
        <v>219</v>
      </c>
    </row>
    <row r="2580">
      <c r="A2580" s="355" t="s">
        <v>2049</v>
      </c>
      <c r="B2580" s="355" t="s">
        <v>219</v>
      </c>
      <c r="C2580" s="1562">
        <v>2204.0</v>
      </c>
      <c r="D2580" s="355">
        <v>4.0</v>
      </c>
      <c r="E2580" s="1" t="s">
        <v>219</v>
      </c>
    </row>
    <row r="2581">
      <c r="A2581" s="355" t="s">
        <v>2050</v>
      </c>
      <c r="B2581" s="355" t="s">
        <v>219</v>
      </c>
      <c r="C2581" s="1562">
        <v>7200.0</v>
      </c>
      <c r="D2581" s="355">
        <v>16.0</v>
      </c>
      <c r="E2581" s="1" t="s">
        <v>219</v>
      </c>
    </row>
    <row r="2582">
      <c r="A2582" s="355" t="s">
        <v>130</v>
      </c>
      <c r="B2582" s="355" t="s">
        <v>219</v>
      </c>
      <c r="C2582" s="1562">
        <v>2637772.0</v>
      </c>
      <c r="D2582" s="364">
        <v>1368.0</v>
      </c>
      <c r="E2582" s="1" t="s">
        <v>219</v>
      </c>
      <c r="G2582" s="303"/>
    </row>
    <row r="2583">
      <c r="A2583" s="355" t="s">
        <v>562</v>
      </c>
      <c r="B2583" s="355" t="s">
        <v>219</v>
      </c>
      <c r="C2583" s="1562">
        <v>12619.0</v>
      </c>
      <c r="D2583" s="355">
        <v>25.0</v>
      </c>
      <c r="E2583" s="1" t="s">
        <v>219</v>
      </c>
    </row>
    <row r="2584">
      <c r="A2584" s="355" t="s">
        <v>2052</v>
      </c>
      <c r="B2584" s="355" t="s">
        <v>219</v>
      </c>
      <c r="C2584" s="1562">
        <v>18760.0</v>
      </c>
      <c r="D2584" s="355">
        <v>19.0</v>
      </c>
      <c r="E2584" s="1" t="s">
        <v>219</v>
      </c>
    </row>
    <row r="2585">
      <c r="A2585" s="355" t="s">
        <v>407</v>
      </c>
      <c r="B2585" s="355" t="s">
        <v>219</v>
      </c>
      <c r="C2585" s="1562">
        <v>5349.0</v>
      </c>
      <c r="D2585" s="355">
        <v>11.0</v>
      </c>
      <c r="E2585" s="1" t="s">
        <v>219</v>
      </c>
    </row>
    <row r="2586">
      <c r="A2586" s="355" t="s">
        <v>485</v>
      </c>
      <c r="B2586" s="355" t="s">
        <v>219</v>
      </c>
      <c r="C2586" s="1562">
        <v>859064.0</v>
      </c>
      <c r="D2586" s="355">
        <v>306.0</v>
      </c>
      <c r="E2586" s="1" t="s">
        <v>219</v>
      </c>
    </row>
    <row r="2587">
      <c r="A2587" s="355" t="s">
        <v>2531</v>
      </c>
      <c r="B2587" s="355" t="s">
        <v>219</v>
      </c>
      <c r="C2587" s="1562">
        <v>20187.0</v>
      </c>
      <c r="D2587" s="355">
        <v>24.0</v>
      </c>
      <c r="E2587" s="1" t="s">
        <v>219</v>
      </c>
    </row>
    <row r="2588">
      <c r="A2588" s="355" t="s">
        <v>2056</v>
      </c>
      <c r="B2588" s="355" t="s">
        <v>219</v>
      </c>
      <c r="C2588" s="1562">
        <v>2249.0</v>
      </c>
      <c r="D2588" s="355">
        <v>5.0</v>
      </c>
      <c r="E2588" s="1" t="s">
        <v>219</v>
      </c>
    </row>
    <row r="2589">
      <c r="A2589" s="355" t="s">
        <v>2057</v>
      </c>
      <c r="B2589" s="355" t="s">
        <v>219</v>
      </c>
      <c r="C2589" s="1562">
        <v>10308.0</v>
      </c>
      <c r="D2589" s="355">
        <v>7.0</v>
      </c>
      <c r="E2589" s="1" t="s">
        <v>219</v>
      </c>
    </row>
    <row r="2590">
      <c r="A2590" s="355" t="s">
        <v>2059</v>
      </c>
      <c r="B2590" s="355" t="s">
        <v>219</v>
      </c>
      <c r="C2590" s="1562">
        <v>3319.0</v>
      </c>
      <c r="D2590" s="355">
        <v>9.0</v>
      </c>
      <c r="E2590" s="1" t="s">
        <v>219</v>
      </c>
    </row>
    <row r="2591">
      <c r="A2591" s="355" t="s">
        <v>433</v>
      </c>
      <c r="B2591" s="355" t="s">
        <v>219</v>
      </c>
      <c r="C2591" s="1562">
        <v>11212.0</v>
      </c>
      <c r="D2591" s="355">
        <v>6.0</v>
      </c>
      <c r="E2591" s="1" t="s">
        <v>219</v>
      </c>
    </row>
    <row r="2592">
      <c r="A2592" s="355" t="s">
        <v>2061</v>
      </c>
      <c r="B2592" s="355" t="s">
        <v>219</v>
      </c>
      <c r="C2592" s="1562">
        <v>18322.0</v>
      </c>
      <c r="D2592" s="355">
        <v>29.0</v>
      </c>
      <c r="E2592" s="1" t="s">
        <v>219</v>
      </c>
    </row>
    <row r="2593">
      <c r="A2593" s="355" t="s">
        <v>2062</v>
      </c>
      <c r="B2593" s="355" t="s">
        <v>219</v>
      </c>
      <c r="C2593" s="1562">
        <v>162124.0</v>
      </c>
      <c r="D2593" s="355">
        <v>89.0</v>
      </c>
      <c r="E2593" s="1" t="s">
        <v>219</v>
      </c>
    </row>
    <row r="2594">
      <c r="A2594" s="355" t="s">
        <v>717</v>
      </c>
      <c r="B2594" s="355" t="s">
        <v>219</v>
      </c>
      <c r="C2594" s="1562">
        <v>1928.0</v>
      </c>
      <c r="D2594" s="355">
        <v>7.0</v>
      </c>
      <c r="E2594" s="1" t="s">
        <v>219</v>
      </c>
    </row>
    <row r="2595">
      <c r="A2595" s="355" t="s">
        <v>969</v>
      </c>
      <c r="B2595" s="355" t="s">
        <v>219</v>
      </c>
      <c r="C2595" s="1562">
        <v>179436.0</v>
      </c>
      <c r="D2595" s="355">
        <v>133.0</v>
      </c>
      <c r="E2595" s="1" t="s">
        <v>219</v>
      </c>
    </row>
    <row r="2596">
      <c r="A2596" s="355" t="s">
        <v>415</v>
      </c>
      <c r="B2596" s="355" t="s">
        <v>219</v>
      </c>
      <c r="C2596" s="1562">
        <v>840758.0</v>
      </c>
      <c r="D2596" s="355">
        <v>231.0</v>
      </c>
      <c r="E2596" s="1" t="s">
        <v>219</v>
      </c>
    </row>
    <row r="2597">
      <c r="A2597" s="355" t="s">
        <v>2064</v>
      </c>
      <c r="B2597" s="355" t="s">
        <v>219</v>
      </c>
      <c r="C2597" s="1562">
        <v>42446.0</v>
      </c>
      <c r="D2597" s="355">
        <v>50.0</v>
      </c>
      <c r="E2597" s="1" t="s">
        <v>219</v>
      </c>
    </row>
    <row r="2598">
      <c r="A2598" s="355" t="s">
        <v>2065</v>
      </c>
      <c r="B2598" s="355" t="s">
        <v>219</v>
      </c>
      <c r="C2598" s="1562">
        <v>17335.0</v>
      </c>
      <c r="D2598" s="355">
        <v>26.0</v>
      </c>
      <c r="E2598" s="1" t="s">
        <v>219</v>
      </c>
    </row>
    <row r="2599">
      <c r="A2599" s="355" t="s">
        <v>574</v>
      </c>
      <c r="B2599" s="355" t="s">
        <v>219</v>
      </c>
      <c r="C2599" s="1562">
        <v>35286.0</v>
      </c>
      <c r="D2599" s="355">
        <v>53.0</v>
      </c>
      <c r="E2599" s="1" t="s">
        <v>219</v>
      </c>
    </row>
    <row r="2600">
      <c r="A2600" s="355" t="s">
        <v>135</v>
      </c>
      <c r="B2600" s="355" t="s">
        <v>219</v>
      </c>
      <c r="C2600" s="1562">
        <v>25349.0</v>
      </c>
      <c r="D2600" s="355">
        <v>44.0</v>
      </c>
      <c r="E2600" s="1" t="s">
        <v>219</v>
      </c>
    </row>
    <row r="2601">
      <c r="A2601" s="355" t="s">
        <v>2066</v>
      </c>
      <c r="B2601" s="355" t="s">
        <v>219</v>
      </c>
      <c r="C2601" s="1562">
        <v>3839.0</v>
      </c>
      <c r="D2601" s="355">
        <v>8.0</v>
      </c>
      <c r="E2601" s="1" t="s">
        <v>219</v>
      </c>
    </row>
    <row r="2602">
      <c r="A2602" s="355" t="s">
        <v>575</v>
      </c>
      <c r="B2602" s="355" t="s">
        <v>219</v>
      </c>
      <c r="C2602" s="1562">
        <v>5837.0</v>
      </c>
      <c r="D2602" s="355">
        <v>15.0</v>
      </c>
      <c r="E2602" s="1" t="s">
        <v>219</v>
      </c>
    </row>
    <row r="2603">
      <c r="A2603" s="355" t="s">
        <v>2067</v>
      </c>
      <c r="B2603" s="355" t="s">
        <v>219</v>
      </c>
      <c r="C2603" s="1562">
        <v>1200.0</v>
      </c>
      <c r="D2603" s="355">
        <v>3.0</v>
      </c>
      <c r="E2603" s="1" t="s">
        <v>219</v>
      </c>
    </row>
    <row r="2604">
      <c r="A2604" s="355" t="s">
        <v>527</v>
      </c>
      <c r="B2604" s="355" t="s">
        <v>219</v>
      </c>
      <c r="C2604" s="1562">
        <v>787858.0</v>
      </c>
      <c r="D2604" s="355">
        <v>271.0</v>
      </c>
      <c r="E2604" s="1" t="s">
        <v>219</v>
      </c>
    </row>
    <row r="2605">
      <c r="A2605" s="355" t="s">
        <v>136</v>
      </c>
      <c r="B2605" s="355" t="s">
        <v>219</v>
      </c>
      <c r="C2605" s="1562">
        <v>10766.0</v>
      </c>
      <c r="D2605" s="355">
        <v>17.0</v>
      </c>
      <c r="E2605" s="1" t="s">
        <v>219</v>
      </c>
    </row>
    <row r="2606">
      <c r="A2606" s="355" t="s">
        <v>2068</v>
      </c>
      <c r="B2606" s="355" t="s">
        <v>219</v>
      </c>
      <c r="C2606" s="1562">
        <v>19808.0</v>
      </c>
      <c r="D2606" s="355">
        <v>32.0</v>
      </c>
      <c r="E2606" s="1" t="s">
        <v>219</v>
      </c>
    </row>
    <row r="2607">
      <c r="A2607" s="355" t="s">
        <v>2069</v>
      </c>
      <c r="B2607" s="355" t="s">
        <v>219</v>
      </c>
      <c r="C2607" s="1562">
        <v>19816.0</v>
      </c>
      <c r="D2607" s="355">
        <v>14.0</v>
      </c>
      <c r="E2607" s="1" t="s">
        <v>219</v>
      </c>
    </row>
    <row r="2608">
      <c r="A2608" s="355" t="s">
        <v>2070</v>
      </c>
      <c r="B2608" s="355" t="s">
        <v>219</v>
      </c>
      <c r="C2608" s="1562">
        <v>20901.0</v>
      </c>
      <c r="D2608" s="355">
        <v>18.0</v>
      </c>
      <c r="E2608" s="1" t="s">
        <v>219</v>
      </c>
    </row>
    <row r="2609">
      <c r="A2609" s="355" t="s">
        <v>2071</v>
      </c>
      <c r="B2609" s="355" t="s">
        <v>219</v>
      </c>
      <c r="C2609" s="1562">
        <v>337890.0</v>
      </c>
      <c r="D2609" s="355">
        <v>202.0</v>
      </c>
      <c r="E2609" s="1" t="s">
        <v>219</v>
      </c>
    </row>
    <row r="2610">
      <c r="A2610" s="355" t="s">
        <v>2072</v>
      </c>
      <c r="B2610" s="355" t="s">
        <v>219</v>
      </c>
      <c r="C2610" s="1562">
        <v>6578.0</v>
      </c>
      <c r="D2610" s="355">
        <v>10.0</v>
      </c>
      <c r="E2610" s="1" t="s">
        <v>219</v>
      </c>
    </row>
    <row r="2611">
      <c r="A2611" s="355" t="s">
        <v>2073</v>
      </c>
      <c r="B2611" s="355" t="s">
        <v>219</v>
      </c>
      <c r="C2611" s="1562">
        <v>26804.0</v>
      </c>
      <c r="D2611" s="355">
        <v>28.0</v>
      </c>
      <c r="E2611" s="1" t="s">
        <v>219</v>
      </c>
    </row>
    <row r="2612">
      <c r="A2612" s="355" t="s">
        <v>2074</v>
      </c>
      <c r="B2612" s="355" t="s">
        <v>219</v>
      </c>
      <c r="C2612" s="1562">
        <v>1388.0</v>
      </c>
      <c r="D2612" s="355">
        <v>1.0</v>
      </c>
      <c r="E2612" s="1" t="s">
        <v>219</v>
      </c>
    </row>
    <row r="2613">
      <c r="A2613" s="355" t="s">
        <v>2075</v>
      </c>
      <c r="B2613" s="355" t="s">
        <v>219</v>
      </c>
      <c r="C2613" s="1562">
        <v>7584.0</v>
      </c>
      <c r="D2613" s="355">
        <v>12.0</v>
      </c>
      <c r="E2613" s="1" t="s">
        <v>219</v>
      </c>
    </row>
    <row r="2614">
      <c r="A2614" s="355" t="s">
        <v>2076</v>
      </c>
      <c r="B2614" s="355" t="s">
        <v>219</v>
      </c>
      <c r="C2614" s="1562">
        <v>20826.0</v>
      </c>
      <c r="D2614" s="355">
        <v>34.0</v>
      </c>
      <c r="E2614" s="1" t="s">
        <v>219</v>
      </c>
    </row>
    <row r="2615">
      <c r="A2615" s="355" t="s">
        <v>975</v>
      </c>
      <c r="B2615" s="355" t="s">
        <v>219</v>
      </c>
      <c r="C2615" s="1562">
        <v>21895.0</v>
      </c>
      <c r="D2615" s="355">
        <v>31.0</v>
      </c>
      <c r="E2615" s="1" t="s">
        <v>219</v>
      </c>
    </row>
    <row r="2616">
      <c r="A2616" s="355" t="s">
        <v>1072</v>
      </c>
      <c r="B2616" s="355" t="s">
        <v>219</v>
      </c>
      <c r="C2616" s="1562">
        <v>133991.0</v>
      </c>
      <c r="D2616" s="355">
        <v>154.0</v>
      </c>
      <c r="E2616" s="1" t="s">
        <v>219</v>
      </c>
    </row>
    <row r="2617">
      <c r="A2617" s="355" t="s">
        <v>2078</v>
      </c>
      <c r="B2617" s="355" t="s">
        <v>219</v>
      </c>
      <c r="C2617" s="1562">
        <v>123707.0</v>
      </c>
      <c r="D2617" s="355">
        <v>171.0</v>
      </c>
      <c r="E2617" s="1" t="s">
        <v>219</v>
      </c>
    </row>
    <row r="2618">
      <c r="A2618" s="355" t="s">
        <v>2079</v>
      </c>
      <c r="B2618" s="355" t="s">
        <v>219</v>
      </c>
      <c r="C2618" s="1562">
        <v>28360.0</v>
      </c>
      <c r="D2618" s="355">
        <v>33.0</v>
      </c>
      <c r="E2618" s="1" t="s">
        <v>219</v>
      </c>
    </row>
    <row r="2619">
      <c r="A2619" s="355" t="s">
        <v>1539</v>
      </c>
      <c r="B2619" s="355" t="s">
        <v>219</v>
      </c>
      <c r="C2619" s="1562">
        <v>163694.0</v>
      </c>
      <c r="D2619" s="355">
        <v>79.0</v>
      </c>
      <c r="E2619" s="1" t="s">
        <v>219</v>
      </c>
    </row>
    <row r="2620">
      <c r="A2620" s="355" t="s">
        <v>139</v>
      </c>
      <c r="B2620" s="355" t="s">
        <v>219</v>
      </c>
      <c r="C2620" s="1562">
        <v>33830.0</v>
      </c>
      <c r="D2620" s="355">
        <v>46.0</v>
      </c>
      <c r="E2620" s="1" t="s">
        <v>219</v>
      </c>
    </row>
    <row r="2621">
      <c r="A2621" s="355" t="s">
        <v>586</v>
      </c>
      <c r="B2621" s="355" t="s">
        <v>219</v>
      </c>
      <c r="C2621" s="1562">
        <v>3028.0</v>
      </c>
      <c r="D2621" s="355">
        <v>7.0</v>
      </c>
      <c r="E2621" s="1" t="s">
        <v>219</v>
      </c>
    </row>
    <row r="2622">
      <c r="A2622" s="355" t="s">
        <v>497</v>
      </c>
      <c r="B2622" s="355" t="s">
        <v>219</v>
      </c>
      <c r="C2622" s="1562">
        <v>8484.0</v>
      </c>
      <c r="D2622" s="355">
        <v>13.0</v>
      </c>
      <c r="E2622" s="1" t="s">
        <v>219</v>
      </c>
    </row>
    <row r="2623">
      <c r="A2623" s="355" t="s">
        <v>2080</v>
      </c>
      <c r="B2623" s="355" t="s">
        <v>219</v>
      </c>
      <c r="C2623" s="1562">
        <v>5463.0</v>
      </c>
      <c r="D2623" s="355">
        <v>11.0</v>
      </c>
      <c r="E2623" s="1" t="s">
        <v>219</v>
      </c>
    </row>
    <row r="2624">
      <c r="A2624" s="355" t="s">
        <v>1915</v>
      </c>
      <c r="B2624" s="355" t="s">
        <v>219</v>
      </c>
      <c r="C2624" s="1562">
        <v>3922.0</v>
      </c>
      <c r="D2624" s="355">
        <v>8.0</v>
      </c>
      <c r="E2624" s="1" t="s">
        <v>219</v>
      </c>
    </row>
    <row r="2625">
      <c r="A2625" s="355" t="s">
        <v>721</v>
      </c>
      <c r="B2625" s="355" t="s">
        <v>219</v>
      </c>
      <c r="C2625" s="1562">
        <v>57207.0</v>
      </c>
      <c r="D2625" s="355">
        <v>70.0</v>
      </c>
      <c r="E2625" s="1" t="s">
        <v>219</v>
      </c>
    </row>
    <row r="2626">
      <c r="A2626" s="355" t="s">
        <v>218</v>
      </c>
      <c r="B2626" s="355" t="s">
        <v>219</v>
      </c>
      <c r="C2626" s="1562">
        <v>4698619.0</v>
      </c>
      <c r="D2626" s="364">
        <v>1795.0</v>
      </c>
      <c r="E2626" s="1" t="s">
        <v>219</v>
      </c>
      <c r="G2626" s="303"/>
    </row>
    <row r="2627">
      <c r="A2627" s="355" t="s">
        <v>775</v>
      </c>
      <c r="B2627" s="355" t="s">
        <v>219</v>
      </c>
      <c r="C2627" s="1562">
        <v>66726.0</v>
      </c>
      <c r="D2627" s="355">
        <v>112.0</v>
      </c>
      <c r="E2627" s="1" t="s">
        <v>219</v>
      </c>
    </row>
    <row r="2628">
      <c r="A2628" s="355" t="s">
        <v>2082</v>
      </c>
      <c r="B2628" s="355" t="s">
        <v>219</v>
      </c>
      <c r="C2628" s="1562">
        <v>5619.0</v>
      </c>
      <c r="D2628" s="355">
        <v>10.0</v>
      </c>
      <c r="E2628" s="1" t="s">
        <v>219</v>
      </c>
    </row>
    <row r="2629">
      <c r="A2629" s="355" t="s">
        <v>980</v>
      </c>
      <c r="B2629" s="355" t="s">
        <v>219</v>
      </c>
      <c r="C2629" s="1562">
        <v>5813.0</v>
      </c>
      <c r="D2629" s="355">
        <v>19.0</v>
      </c>
      <c r="E2629" s="1" t="s">
        <v>219</v>
      </c>
    </row>
    <row r="2630">
      <c r="A2630" s="355" t="s">
        <v>2083</v>
      </c>
      <c r="B2630" s="355" t="s">
        <v>219</v>
      </c>
      <c r="C2630" s="1562">
        <v>222631.0</v>
      </c>
      <c r="D2630" s="355">
        <v>89.0</v>
      </c>
      <c r="E2630" s="1" t="s">
        <v>219</v>
      </c>
    </row>
    <row r="2631">
      <c r="A2631" s="355" t="s">
        <v>2084</v>
      </c>
      <c r="B2631" s="355" t="s">
        <v>219</v>
      </c>
      <c r="C2631" s="1562">
        <v>3825.0</v>
      </c>
      <c r="D2631" s="355">
        <v>9.0</v>
      </c>
      <c r="E2631" s="1" t="s">
        <v>219</v>
      </c>
    </row>
    <row r="2632">
      <c r="A2632" s="355" t="s">
        <v>722</v>
      </c>
      <c r="B2632" s="355" t="s">
        <v>219</v>
      </c>
      <c r="C2632" s="1562">
        <v>82299.0</v>
      </c>
      <c r="D2632" s="355">
        <v>114.0</v>
      </c>
      <c r="E2632" s="1" t="s">
        <v>219</v>
      </c>
    </row>
    <row r="2633">
      <c r="A2633" s="355" t="s">
        <v>480</v>
      </c>
      <c r="B2633" s="355" t="s">
        <v>219</v>
      </c>
      <c r="C2633" s="1562">
        <v>865939.0</v>
      </c>
      <c r="D2633" s="355">
        <v>210.0</v>
      </c>
      <c r="E2633" s="1" t="s">
        <v>219</v>
      </c>
    </row>
    <row r="2634">
      <c r="A2634" s="355" t="s">
        <v>1445</v>
      </c>
      <c r="B2634" s="355" t="s">
        <v>219</v>
      </c>
      <c r="C2634" s="1562">
        <v>36354.0</v>
      </c>
      <c r="D2634" s="355">
        <v>54.0</v>
      </c>
      <c r="E2634" s="1" t="s">
        <v>219</v>
      </c>
    </row>
    <row r="2635">
      <c r="A2635" s="355" t="s">
        <v>2087</v>
      </c>
      <c r="B2635" s="355" t="s">
        <v>219</v>
      </c>
      <c r="C2635" s="1562">
        <v>22980.0</v>
      </c>
      <c r="D2635" s="355">
        <v>34.0</v>
      </c>
      <c r="E2635" s="1" t="s">
        <v>219</v>
      </c>
    </row>
    <row r="2636">
      <c r="A2636" s="355" t="s">
        <v>2088</v>
      </c>
      <c r="B2636" s="355" t="s">
        <v>219</v>
      </c>
      <c r="C2636" s="1562">
        <v>60537.0</v>
      </c>
      <c r="D2636" s="355">
        <v>43.0</v>
      </c>
      <c r="E2636" s="1" t="s">
        <v>219</v>
      </c>
    </row>
    <row r="2637">
      <c r="A2637" s="355" t="s">
        <v>1099</v>
      </c>
      <c r="B2637" s="355" t="s">
        <v>219</v>
      </c>
      <c r="C2637" s="1562">
        <v>36810.0</v>
      </c>
      <c r="D2637" s="355">
        <v>47.0</v>
      </c>
      <c r="E2637" s="1" t="s">
        <v>219</v>
      </c>
    </row>
    <row r="2638">
      <c r="A2638" s="355" t="s">
        <v>141</v>
      </c>
      <c r="B2638" s="355" t="s">
        <v>219</v>
      </c>
      <c r="C2638" s="1562">
        <v>23169.0</v>
      </c>
      <c r="D2638" s="355">
        <v>48.0</v>
      </c>
      <c r="E2638" s="1" t="s">
        <v>219</v>
      </c>
    </row>
    <row r="2639">
      <c r="A2639" s="355" t="s">
        <v>283</v>
      </c>
      <c r="B2639" s="355" t="s">
        <v>219</v>
      </c>
      <c r="C2639" s="1562">
        <v>36459.0</v>
      </c>
      <c r="D2639" s="355">
        <v>32.0</v>
      </c>
      <c r="E2639" s="1" t="s">
        <v>219</v>
      </c>
    </row>
    <row r="2640">
      <c r="A2640" s="355" t="s">
        <v>2089</v>
      </c>
      <c r="B2640" s="355" t="s">
        <v>219</v>
      </c>
      <c r="C2640" s="1562">
        <v>4795.0</v>
      </c>
      <c r="D2640" s="355">
        <v>4.0</v>
      </c>
      <c r="E2640" s="1" t="s">
        <v>219</v>
      </c>
    </row>
    <row r="2641">
      <c r="A2641" s="355" t="s">
        <v>2090</v>
      </c>
      <c r="B2641" s="355" t="s">
        <v>219</v>
      </c>
      <c r="C2641" s="1562">
        <v>96493.0</v>
      </c>
      <c r="D2641" s="355">
        <v>117.0</v>
      </c>
      <c r="E2641" s="1" t="s">
        <v>219</v>
      </c>
    </row>
    <row r="2642">
      <c r="A2642" s="355" t="s">
        <v>1860</v>
      </c>
      <c r="B2642" s="355" t="s">
        <v>219</v>
      </c>
      <c r="C2642" s="1562">
        <v>21198.0</v>
      </c>
      <c r="D2642" s="355">
        <v>43.0</v>
      </c>
      <c r="E2642" s="1" t="s">
        <v>219</v>
      </c>
    </row>
    <row r="2643">
      <c r="A2643" s="355" t="s">
        <v>2093</v>
      </c>
      <c r="B2643" s="355" t="s">
        <v>219</v>
      </c>
      <c r="C2643" s="1562">
        <v>1522.0</v>
      </c>
      <c r="D2643" s="355">
        <v>2.0</v>
      </c>
      <c r="E2643" s="1" t="s">
        <v>219</v>
      </c>
    </row>
    <row r="2644">
      <c r="A2644" s="355" t="s">
        <v>2094</v>
      </c>
      <c r="B2644" s="355" t="s">
        <v>219</v>
      </c>
      <c r="C2644" s="1562">
        <v>8843.0</v>
      </c>
      <c r="D2644" s="355">
        <v>17.0</v>
      </c>
      <c r="E2644" s="1" t="s">
        <v>219</v>
      </c>
    </row>
    <row r="2645">
      <c r="A2645" s="355" t="s">
        <v>142</v>
      </c>
      <c r="B2645" s="355" t="s">
        <v>219</v>
      </c>
      <c r="C2645" s="1562">
        <v>14874.0</v>
      </c>
      <c r="D2645" s="355">
        <v>29.0</v>
      </c>
      <c r="E2645" s="1" t="s">
        <v>219</v>
      </c>
    </row>
    <row r="2646">
      <c r="A2646" s="355" t="s">
        <v>593</v>
      </c>
      <c r="B2646" s="355" t="s">
        <v>219</v>
      </c>
      <c r="C2646" s="1562">
        <v>35872.0</v>
      </c>
      <c r="D2646" s="355">
        <v>50.0</v>
      </c>
      <c r="E2646" s="1" t="s">
        <v>219</v>
      </c>
    </row>
    <row r="2647">
      <c r="A2647" s="355" t="s">
        <v>594</v>
      </c>
      <c r="B2647" s="355" t="s">
        <v>219</v>
      </c>
      <c r="C2647" s="1562">
        <v>2252.0</v>
      </c>
      <c r="D2647" s="355">
        <v>4.0</v>
      </c>
      <c r="E2647" s="1" t="s">
        <v>219</v>
      </c>
    </row>
    <row r="2648">
      <c r="A2648" s="355" t="s">
        <v>143</v>
      </c>
      <c r="B2648" s="355" t="s">
        <v>219</v>
      </c>
      <c r="C2648" s="1562">
        <v>255001.0</v>
      </c>
      <c r="D2648" s="355">
        <v>273.0</v>
      </c>
      <c r="E2648" s="1" t="s">
        <v>219</v>
      </c>
    </row>
    <row r="2649">
      <c r="A2649" s="355" t="s">
        <v>2095</v>
      </c>
      <c r="B2649" s="355" t="s">
        <v>219</v>
      </c>
      <c r="C2649" s="1562">
        <v>5248.0</v>
      </c>
      <c r="D2649" s="355">
        <v>3.0</v>
      </c>
      <c r="E2649" s="1" t="s">
        <v>219</v>
      </c>
    </row>
    <row r="2650">
      <c r="A2650" s="355" t="s">
        <v>2096</v>
      </c>
      <c r="B2650" s="355" t="s">
        <v>219</v>
      </c>
      <c r="C2650" s="1562">
        <v>40822.0</v>
      </c>
      <c r="D2650" s="355">
        <v>32.0</v>
      </c>
      <c r="E2650" s="1" t="s">
        <v>219</v>
      </c>
    </row>
    <row r="2651">
      <c r="A2651" s="355" t="s">
        <v>288</v>
      </c>
      <c r="B2651" s="355" t="s">
        <v>219</v>
      </c>
      <c r="C2651" s="1562">
        <v>171361.0</v>
      </c>
      <c r="D2651" s="355">
        <v>123.0</v>
      </c>
      <c r="E2651" s="1" t="s">
        <v>219</v>
      </c>
    </row>
    <row r="2652">
      <c r="A2652" s="355" t="s">
        <v>598</v>
      </c>
      <c r="B2652" s="355" t="s">
        <v>219</v>
      </c>
      <c r="C2652" s="1562">
        <v>19817.0</v>
      </c>
      <c r="D2652" s="355">
        <v>29.0</v>
      </c>
      <c r="E2652" s="1" t="s">
        <v>219</v>
      </c>
    </row>
    <row r="2653">
      <c r="A2653" s="355" t="s">
        <v>2097</v>
      </c>
      <c r="B2653" s="355" t="s">
        <v>219</v>
      </c>
      <c r="C2653" s="1562">
        <v>15650.0</v>
      </c>
      <c r="D2653" s="355">
        <v>17.0</v>
      </c>
      <c r="E2653" s="1" t="s">
        <v>219</v>
      </c>
    </row>
    <row r="2654">
      <c r="A2654" s="355" t="s">
        <v>2098</v>
      </c>
      <c r="B2654" s="355" t="s">
        <v>219</v>
      </c>
      <c r="C2654" s="1562">
        <v>128622.0</v>
      </c>
      <c r="D2654" s="355">
        <v>114.0</v>
      </c>
      <c r="E2654" s="1" t="s">
        <v>219</v>
      </c>
    </row>
    <row r="2655">
      <c r="A2655" s="355" t="s">
        <v>727</v>
      </c>
      <c r="B2655" s="355" t="s">
        <v>219</v>
      </c>
      <c r="C2655" s="1562">
        <v>45641.0</v>
      </c>
      <c r="D2655" s="355">
        <v>27.0</v>
      </c>
      <c r="E2655" s="1" t="s">
        <v>219</v>
      </c>
    </row>
    <row r="2656">
      <c r="A2656" s="355" t="s">
        <v>2099</v>
      </c>
      <c r="B2656" s="355" t="s">
        <v>219</v>
      </c>
      <c r="C2656" s="1562">
        <v>442.0</v>
      </c>
      <c r="D2656" s="355">
        <v>1.0</v>
      </c>
      <c r="E2656" s="1" t="s">
        <v>219</v>
      </c>
    </row>
    <row r="2657">
      <c r="A2657" s="355" t="s">
        <v>474</v>
      </c>
      <c r="B2657" s="355" t="s">
        <v>219</v>
      </c>
      <c r="C2657" s="1562">
        <v>726.0</v>
      </c>
      <c r="D2657" s="355">
        <v>2.0</v>
      </c>
      <c r="E2657" s="1" t="s">
        <v>219</v>
      </c>
    </row>
    <row r="2658">
      <c r="A2658" s="355" t="s">
        <v>2100</v>
      </c>
      <c r="B2658" s="355" t="s">
        <v>219</v>
      </c>
      <c r="C2658" s="1562">
        <v>52405.0</v>
      </c>
      <c r="D2658" s="355">
        <v>52.0</v>
      </c>
      <c r="E2658" s="1" t="s">
        <v>219</v>
      </c>
    </row>
    <row r="2659">
      <c r="A2659" s="355" t="s">
        <v>2101</v>
      </c>
      <c r="B2659" s="355" t="s">
        <v>219</v>
      </c>
      <c r="C2659" s="1562">
        <v>4362.0</v>
      </c>
      <c r="D2659" s="355">
        <v>7.0</v>
      </c>
      <c r="E2659" s="1" t="s">
        <v>219</v>
      </c>
    </row>
    <row r="2660">
      <c r="A2660" s="355" t="s">
        <v>255</v>
      </c>
      <c r="B2660" s="355" t="s">
        <v>219</v>
      </c>
      <c r="C2660" s="1562">
        <v>277.0</v>
      </c>
      <c r="D2660" s="355" t="s">
        <v>63</v>
      </c>
      <c r="E2660" s="1"/>
    </row>
    <row r="2661">
      <c r="A2661" s="355" t="s">
        <v>2102</v>
      </c>
      <c r="B2661" s="355" t="s">
        <v>219</v>
      </c>
      <c r="C2661" s="1562">
        <v>3767.0</v>
      </c>
      <c r="D2661" s="355">
        <v>2.0</v>
      </c>
      <c r="E2661" s="1" t="s">
        <v>219</v>
      </c>
    </row>
    <row r="2662">
      <c r="A2662" s="355" t="s">
        <v>2103</v>
      </c>
      <c r="B2662" s="355" t="s">
        <v>219</v>
      </c>
      <c r="C2662" s="1562">
        <v>31129.0</v>
      </c>
      <c r="D2662" s="355">
        <v>21.0</v>
      </c>
      <c r="E2662" s="1" t="s">
        <v>219</v>
      </c>
    </row>
    <row r="2663">
      <c r="A2663" s="355" t="s">
        <v>728</v>
      </c>
      <c r="B2663" s="355" t="s">
        <v>219</v>
      </c>
      <c r="C2663" s="1562">
        <v>3653.0</v>
      </c>
      <c r="D2663" s="355">
        <v>14.0</v>
      </c>
      <c r="E2663" s="1" t="s">
        <v>219</v>
      </c>
    </row>
    <row r="2664">
      <c r="A2664" s="355" t="s">
        <v>144</v>
      </c>
      <c r="B2664" s="355" t="s">
        <v>219</v>
      </c>
      <c r="C2664" s="1562">
        <v>49728.0</v>
      </c>
      <c r="D2664" s="355">
        <v>81.0</v>
      </c>
      <c r="E2664" s="1" t="s">
        <v>219</v>
      </c>
    </row>
    <row r="2665">
      <c r="A2665" s="355" t="s">
        <v>2104</v>
      </c>
      <c r="B2665" s="355" t="s">
        <v>219</v>
      </c>
      <c r="C2665" s="1562">
        <v>13158.0</v>
      </c>
      <c r="D2665" s="355">
        <v>30.0</v>
      </c>
      <c r="E2665" s="1" t="s">
        <v>219</v>
      </c>
    </row>
    <row r="2666">
      <c r="A2666" s="355" t="s">
        <v>2105</v>
      </c>
      <c r="B2666" s="355" t="s">
        <v>219</v>
      </c>
      <c r="C2666" s="1562">
        <v>21229.0</v>
      </c>
      <c r="D2666" s="355">
        <v>20.0</v>
      </c>
      <c r="E2666" s="1" t="s">
        <v>219</v>
      </c>
    </row>
    <row r="2667">
      <c r="A2667" s="355" t="s">
        <v>729</v>
      </c>
      <c r="B2667" s="355" t="s">
        <v>219</v>
      </c>
      <c r="C2667" s="1562">
        <v>7531.0</v>
      </c>
      <c r="D2667" s="355">
        <v>6.0</v>
      </c>
      <c r="E2667" s="1" t="s">
        <v>219</v>
      </c>
    </row>
    <row r="2668">
      <c r="A2668" s="355" t="s">
        <v>2106</v>
      </c>
      <c r="B2668" s="355" t="s">
        <v>219</v>
      </c>
      <c r="C2668" s="1562">
        <v>20110.0</v>
      </c>
      <c r="D2668" s="355">
        <v>32.0</v>
      </c>
      <c r="E2668" s="1" t="s">
        <v>219</v>
      </c>
    </row>
    <row r="2669">
      <c r="A2669" s="355" t="s">
        <v>147</v>
      </c>
      <c r="B2669" s="355" t="s">
        <v>219</v>
      </c>
      <c r="C2669" s="1562">
        <v>17144.0</v>
      </c>
      <c r="D2669" s="355">
        <v>30.0</v>
      </c>
      <c r="E2669" s="1" t="s">
        <v>219</v>
      </c>
    </row>
    <row r="2670">
      <c r="A2670" s="355" t="s">
        <v>505</v>
      </c>
      <c r="B2670" s="355" t="s">
        <v>219</v>
      </c>
      <c r="C2670" s="1562">
        <v>17270.0</v>
      </c>
      <c r="D2670" s="355">
        <v>44.0</v>
      </c>
      <c r="E2670" s="1" t="s">
        <v>219</v>
      </c>
    </row>
    <row r="2671">
      <c r="A2671" s="355" t="s">
        <v>508</v>
      </c>
      <c r="B2671" s="355" t="s">
        <v>219</v>
      </c>
      <c r="C2671" s="1562">
        <v>86323.0</v>
      </c>
      <c r="D2671" s="355">
        <v>78.0</v>
      </c>
      <c r="E2671" s="1" t="s">
        <v>219</v>
      </c>
    </row>
    <row r="2672">
      <c r="A2672" s="355" t="s">
        <v>148</v>
      </c>
      <c r="B2672" s="355" t="s">
        <v>219</v>
      </c>
      <c r="C2672" s="1562">
        <v>23519.0</v>
      </c>
      <c r="D2672" s="355">
        <v>41.0</v>
      </c>
      <c r="E2672" s="1" t="s">
        <v>219</v>
      </c>
    </row>
    <row r="2673">
      <c r="A2673" s="355" t="s">
        <v>2107</v>
      </c>
      <c r="B2673" s="355" t="s">
        <v>219</v>
      </c>
      <c r="C2673" s="1562">
        <v>3355.0</v>
      </c>
      <c r="D2673" s="355">
        <v>15.0</v>
      </c>
      <c r="E2673" s="1" t="s">
        <v>219</v>
      </c>
    </row>
    <row r="2674">
      <c r="A2674" s="355" t="s">
        <v>2108</v>
      </c>
      <c r="B2674" s="355" t="s">
        <v>219</v>
      </c>
      <c r="C2674" s="1562">
        <v>12166.0</v>
      </c>
      <c r="D2674" s="355">
        <v>11.0</v>
      </c>
      <c r="E2674" s="1" t="s">
        <v>219</v>
      </c>
    </row>
    <row r="2675">
      <c r="A2675" s="355" t="s">
        <v>2109</v>
      </c>
      <c r="B2675" s="355" t="s">
        <v>219</v>
      </c>
      <c r="C2675" s="1562">
        <v>21646.0</v>
      </c>
      <c r="D2675" s="355">
        <v>23.0</v>
      </c>
      <c r="E2675" s="1" t="s">
        <v>219</v>
      </c>
    </row>
    <row r="2676">
      <c r="A2676" s="355" t="s">
        <v>2110</v>
      </c>
      <c r="B2676" s="355" t="s">
        <v>219</v>
      </c>
      <c r="C2676" s="1562">
        <v>152.0</v>
      </c>
      <c r="D2676" s="355" t="s">
        <v>63</v>
      </c>
      <c r="E2676" s="1"/>
    </row>
    <row r="2677">
      <c r="A2677" s="355" t="s">
        <v>2111</v>
      </c>
      <c r="B2677" s="355" t="s">
        <v>219</v>
      </c>
      <c r="C2677" s="1562">
        <v>307412.0</v>
      </c>
      <c r="D2677" s="355">
        <v>209.0</v>
      </c>
      <c r="E2677" s="1" t="s">
        <v>219</v>
      </c>
    </row>
    <row r="2678">
      <c r="A2678" s="355" t="s">
        <v>2112</v>
      </c>
      <c r="B2678" s="355" t="s">
        <v>219</v>
      </c>
      <c r="C2678" s="1562">
        <v>5877.0</v>
      </c>
      <c r="D2678" s="355">
        <v>14.0</v>
      </c>
      <c r="E2678" s="1" t="s">
        <v>219</v>
      </c>
    </row>
    <row r="2679">
      <c r="A2679" s="355" t="s">
        <v>2113</v>
      </c>
      <c r="B2679" s="355" t="s">
        <v>219</v>
      </c>
      <c r="C2679" s="1562">
        <v>7987.0</v>
      </c>
      <c r="D2679" s="355">
        <v>19.0</v>
      </c>
      <c r="E2679" s="1" t="s">
        <v>219</v>
      </c>
    </row>
    <row r="2680">
      <c r="A2680" s="355" t="s">
        <v>2114</v>
      </c>
      <c r="B2680" s="355" t="s">
        <v>219</v>
      </c>
      <c r="C2680" s="1562">
        <v>254607.0</v>
      </c>
      <c r="D2680" s="355">
        <v>254.0</v>
      </c>
      <c r="E2680" s="1" t="s">
        <v>219</v>
      </c>
    </row>
    <row r="2681">
      <c r="A2681" s="355" t="s">
        <v>2115</v>
      </c>
      <c r="B2681" s="355" t="s">
        <v>219</v>
      </c>
      <c r="C2681" s="1562">
        <v>749.0</v>
      </c>
      <c r="D2681" s="355">
        <v>2.0</v>
      </c>
      <c r="E2681" s="1" t="s">
        <v>219</v>
      </c>
    </row>
    <row r="2682">
      <c r="A2682" s="355" t="s">
        <v>151</v>
      </c>
      <c r="B2682" s="355" t="s">
        <v>219</v>
      </c>
      <c r="C2682" s="1562">
        <v>14422.0</v>
      </c>
      <c r="D2682" s="355">
        <v>17.0</v>
      </c>
      <c r="E2682" s="1" t="s">
        <v>219</v>
      </c>
    </row>
    <row r="2683">
      <c r="A2683" s="355" t="s">
        <v>153</v>
      </c>
      <c r="B2683" s="355" t="s">
        <v>219</v>
      </c>
      <c r="C2683" s="1562">
        <v>9928.0</v>
      </c>
      <c r="D2683" s="355">
        <v>22.0</v>
      </c>
      <c r="E2683" s="1" t="s">
        <v>219</v>
      </c>
    </row>
    <row r="2684">
      <c r="A2684" s="355" t="s">
        <v>510</v>
      </c>
      <c r="B2684" s="355" t="s">
        <v>219</v>
      </c>
      <c r="C2684" s="1562">
        <v>5753.0</v>
      </c>
      <c r="D2684" s="355">
        <v>7.0</v>
      </c>
      <c r="E2684" s="1" t="s">
        <v>219</v>
      </c>
    </row>
    <row r="2685">
      <c r="A2685" s="355" t="s">
        <v>735</v>
      </c>
      <c r="B2685" s="355" t="s">
        <v>219</v>
      </c>
      <c r="C2685" s="1562">
        <v>4280.0</v>
      </c>
      <c r="D2685" s="355">
        <v>7.0</v>
      </c>
      <c r="E2685" s="1" t="s">
        <v>219</v>
      </c>
    </row>
    <row r="2686">
      <c r="A2686" s="355" t="s">
        <v>2116</v>
      </c>
      <c r="B2686" s="355" t="s">
        <v>219</v>
      </c>
      <c r="C2686" s="1562">
        <v>36552.0</v>
      </c>
      <c r="D2686" s="355">
        <v>51.0</v>
      </c>
      <c r="E2686" s="1" t="s">
        <v>219</v>
      </c>
    </row>
    <row r="2687">
      <c r="A2687" s="355" t="s">
        <v>2117</v>
      </c>
      <c r="B2687" s="355" t="s">
        <v>219</v>
      </c>
      <c r="C2687" s="1562">
        <v>58485.0</v>
      </c>
      <c r="D2687" s="355">
        <v>15.0</v>
      </c>
      <c r="E2687" s="1" t="s">
        <v>219</v>
      </c>
    </row>
    <row r="2688">
      <c r="A2688" s="355" t="s">
        <v>1689</v>
      </c>
      <c r="B2688" s="355" t="s">
        <v>219</v>
      </c>
      <c r="C2688" s="1562">
        <v>50921.0</v>
      </c>
      <c r="D2688" s="355">
        <v>37.0</v>
      </c>
      <c r="E2688" s="1" t="s">
        <v>219</v>
      </c>
    </row>
    <row r="2689">
      <c r="A2689" s="355" t="s">
        <v>737</v>
      </c>
      <c r="B2689" s="355" t="s">
        <v>219</v>
      </c>
      <c r="C2689" s="1562">
        <v>2139.0</v>
      </c>
      <c r="D2689" s="355">
        <v>6.0</v>
      </c>
      <c r="E2689" s="1" t="s">
        <v>219</v>
      </c>
    </row>
    <row r="2690">
      <c r="A2690" s="355" t="s">
        <v>1273</v>
      </c>
      <c r="B2690" s="355" t="s">
        <v>219</v>
      </c>
      <c r="C2690" s="1562">
        <v>172578.0</v>
      </c>
      <c r="D2690" s="355">
        <v>98.0</v>
      </c>
      <c r="E2690" s="1" t="s">
        <v>219</v>
      </c>
    </row>
    <row r="2691">
      <c r="A2691" s="355" t="s">
        <v>2118</v>
      </c>
      <c r="B2691" s="355" t="s">
        <v>219</v>
      </c>
      <c r="C2691" s="1562">
        <v>25131.0</v>
      </c>
      <c r="D2691" s="355">
        <v>45.0</v>
      </c>
      <c r="E2691" s="1" t="s">
        <v>219</v>
      </c>
    </row>
    <row r="2692">
      <c r="A2692" s="355" t="s">
        <v>913</v>
      </c>
      <c r="B2692" s="355" t="s">
        <v>219</v>
      </c>
      <c r="C2692" s="1562">
        <v>4921.0</v>
      </c>
      <c r="D2692" s="355">
        <v>10.0</v>
      </c>
      <c r="E2692" s="1" t="s">
        <v>219</v>
      </c>
    </row>
    <row r="2693">
      <c r="A2693" s="355" t="s">
        <v>610</v>
      </c>
      <c r="B2693" s="355" t="s">
        <v>219</v>
      </c>
      <c r="C2693" s="1562">
        <v>8145.0</v>
      </c>
      <c r="D2693" s="355">
        <v>11.0</v>
      </c>
      <c r="E2693" s="1" t="s">
        <v>219</v>
      </c>
    </row>
    <row r="2694">
      <c r="A2694" s="355" t="s">
        <v>2119</v>
      </c>
      <c r="B2694" s="355" t="s">
        <v>219</v>
      </c>
      <c r="C2694" s="1562">
        <v>19596.0</v>
      </c>
      <c r="D2694" s="355">
        <v>33.0</v>
      </c>
      <c r="E2694" s="1" t="s">
        <v>219</v>
      </c>
    </row>
    <row r="2695">
      <c r="A2695" s="355" t="s">
        <v>157</v>
      </c>
      <c r="B2695" s="355" t="s">
        <v>219</v>
      </c>
      <c r="C2695" s="1562">
        <v>590925.0</v>
      </c>
      <c r="D2695" s="355">
        <v>262.0</v>
      </c>
      <c r="E2695" s="1" t="s">
        <v>219</v>
      </c>
    </row>
    <row r="2696">
      <c r="A2696" s="355" t="s">
        <v>1615</v>
      </c>
      <c r="B2696" s="355" t="s">
        <v>219</v>
      </c>
      <c r="C2696" s="1562">
        <v>21485.0</v>
      </c>
      <c r="D2696" s="355">
        <v>28.0</v>
      </c>
      <c r="E2696" s="1" t="s">
        <v>219</v>
      </c>
    </row>
    <row r="2697">
      <c r="A2697" s="355" t="s">
        <v>990</v>
      </c>
      <c r="B2697" s="355" t="s">
        <v>219</v>
      </c>
      <c r="C2697" s="1562">
        <v>12339.0</v>
      </c>
      <c r="D2697" s="355">
        <v>23.0</v>
      </c>
      <c r="E2697" s="1" t="s">
        <v>219</v>
      </c>
    </row>
    <row r="2698">
      <c r="A2698" s="355" t="s">
        <v>2120</v>
      </c>
      <c r="B2698" s="355" t="s">
        <v>219</v>
      </c>
      <c r="C2698" s="1562">
        <v>1234.0</v>
      </c>
      <c r="D2698" s="355">
        <v>4.0</v>
      </c>
      <c r="E2698" s="1" t="s">
        <v>219</v>
      </c>
    </row>
    <row r="2699">
      <c r="A2699" s="355" t="s">
        <v>2121</v>
      </c>
      <c r="B2699" s="355" t="s">
        <v>219</v>
      </c>
      <c r="C2699" s="1562">
        <v>65711.0</v>
      </c>
      <c r="D2699" s="355">
        <v>88.0</v>
      </c>
      <c r="E2699" s="1" t="s">
        <v>219</v>
      </c>
    </row>
    <row r="2700">
      <c r="A2700" s="355" t="s">
        <v>2122</v>
      </c>
      <c r="B2700" s="355" t="s">
        <v>219</v>
      </c>
      <c r="C2700" s="1562">
        <v>49565.0</v>
      </c>
      <c r="D2700" s="355">
        <v>77.0</v>
      </c>
      <c r="E2700" s="1" t="s">
        <v>219</v>
      </c>
    </row>
    <row r="2701">
      <c r="A2701" s="355" t="s">
        <v>297</v>
      </c>
      <c r="B2701" s="355" t="s">
        <v>219</v>
      </c>
      <c r="C2701" s="1562">
        <v>13746.0</v>
      </c>
      <c r="D2701" s="355">
        <v>23.0</v>
      </c>
      <c r="E2701" s="1" t="s">
        <v>219</v>
      </c>
    </row>
    <row r="2702">
      <c r="A2702" s="355" t="s">
        <v>2123</v>
      </c>
      <c r="B2702" s="355" t="s">
        <v>219</v>
      </c>
      <c r="C2702" s="1562">
        <v>14751.0</v>
      </c>
      <c r="D2702" s="355">
        <v>28.0</v>
      </c>
      <c r="E2702" s="1" t="s">
        <v>219</v>
      </c>
    </row>
    <row r="2703">
      <c r="A2703" s="355" t="s">
        <v>2124</v>
      </c>
      <c r="B2703" s="355" t="s">
        <v>219</v>
      </c>
      <c r="C2703" s="1562">
        <v>362265.0</v>
      </c>
      <c r="D2703" s="355">
        <v>185.0</v>
      </c>
      <c r="E2703" s="1" t="s">
        <v>219</v>
      </c>
    </row>
    <row r="2704">
      <c r="A2704" s="355" t="s">
        <v>2125</v>
      </c>
      <c r="B2704" s="355" t="s">
        <v>219</v>
      </c>
      <c r="C2704" s="1562">
        <v>9947.0</v>
      </c>
      <c r="D2704" s="355">
        <v>17.0</v>
      </c>
      <c r="E2704" s="1" t="s">
        <v>219</v>
      </c>
    </row>
    <row r="2705">
      <c r="A2705" s="355" t="s">
        <v>1127</v>
      </c>
      <c r="B2705" s="355" t="s">
        <v>219</v>
      </c>
      <c r="C2705" s="1562">
        <v>2131.0</v>
      </c>
      <c r="D2705" s="355">
        <v>4.0</v>
      </c>
      <c r="E2705" s="1" t="s">
        <v>219</v>
      </c>
    </row>
    <row r="2706">
      <c r="A2706" s="355" t="s">
        <v>241</v>
      </c>
      <c r="B2706" s="355" t="s">
        <v>219</v>
      </c>
      <c r="C2706" s="1562">
        <v>83572.0</v>
      </c>
      <c r="D2706" s="355">
        <v>98.0</v>
      </c>
      <c r="E2706" s="1" t="s">
        <v>219</v>
      </c>
    </row>
    <row r="2707">
      <c r="A2707" s="355" t="s">
        <v>2126</v>
      </c>
      <c r="B2707" s="355" t="s">
        <v>219</v>
      </c>
      <c r="C2707" s="1562">
        <v>28875.0</v>
      </c>
      <c r="D2707" s="355">
        <v>40.0</v>
      </c>
      <c r="E2707" s="1" t="s">
        <v>219</v>
      </c>
    </row>
    <row r="2708">
      <c r="A2708" s="355" t="s">
        <v>1377</v>
      </c>
      <c r="B2708" s="355" t="s">
        <v>219</v>
      </c>
      <c r="C2708" s="1562">
        <v>23148.0</v>
      </c>
      <c r="D2708" s="355">
        <v>40.0</v>
      </c>
      <c r="E2708" s="1" t="s">
        <v>219</v>
      </c>
    </row>
    <row r="2709">
      <c r="A2709" s="355" t="s">
        <v>2127</v>
      </c>
      <c r="B2709" s="355" t="s">
        <v>219</v>
      </c>
      <c r="C2709" s="1562">
        <v>138371.0</v>
      </c>
      <c r="D2709" s="355">
        <v>98.0</v>
      </c>
      <c r="E2709" s="1" t="s">
        <v>219</v>
      </c>
    </row>
    <row r="2710">
      <c r="A2710" s="355" t="s">
        <v>2128</v>
      </c>
      <c r="B2710" s="355" t="s">
        <v>219</v>
      </c>
      <c r="C2710" s="1562">
        <v>9864.0</v>
      </c>
      <c r="D2710" s="355">
        <v>23.0</v>
      </c>
      <c r="E2710" s="1" t="s">
        <v>219</v>
      </c>
    </row>
    <row r="2711">
      <c r="A2711" s="355" t="s">
        <v>2129</v>
      </c>
      <c r="B2711" s="355" t="s">
        <v>219</v>
      </c>
      <c r="C2711" s="1562">
        <v>15673.0</v>
      </c>
      <c r="D2711" s="355">
        <v>15.0</v>
      </c>
      <c r="E2711" s="1" t="s">
        <v>219</v>
      </c>
    </row>
    <row r="2712">
      <c r="A2712" s="355" t="s">
        <v>302</v>
      </c>
      <c r="B2712" s="355" t="s">
        <v>219</v>
      </c>
      <c r="C2712" s="1562">
        <v>50031.0</v>
      </c>
      <c r="D2712" s="355">
        <v>66.0</v>
      </c>
      <c r="E2712" s="1" t="s">
        <v>219</v>
      </c>
    </row>
    <row r="2713">
      <c r="A2713" s="355" t="s">
        <v>1805</v>
      </c>
      <c r="B2713" s="355" t="s">
        <v>219</v>
      </c>
      <c r="C2713" s="1562">
        <v>119648.0</v>
      </c>
      <c r="D2713" s="355">
        <v>109.0</v>
      </c>
      <c r="E2713" s="1" t="s">
        <v>219</v>
      </c>
    </row>
    <row r="2714">
      <c r="A2714" s="355" t="s">
        <v>2130</v>
      </c>
      <c r="B2714" s="355" t="s">
        <v>219</v>
      </c>
      <c r="C2714" s="1562">
        <v>6948.0</v>
      </c>
      <c r="D2714" s="355">
        <v>3.0</v>
      </c>
      <c r="E2714" s="1" t="s">
        <v>219</v>
      </c>
    </row>
    <row r="2715">
      <c r="A2715" s="355" t="s">
        <v>2131</v>
      </c>
      <c r="B2715" s="355" t="s">
        <v>219</v>
      </c>
      <c r="C2715" s="1562">
        <v>12159.0</v>
      </c>
      <c r="D2715" s="355">
        <v>16.0</v>
      </c>
      <c r="E2715" s="1" t="s">
        <v>219</v>
      </c>
    </row>
    <row r="2716">
      <c r="A2716" s="355" t="s">
        <v>2132</v>
      </c>
      <c r="B2716" s="355" t="s">
        <v>219</v>
      </c>
      <c r="C2716" s="1562">
        <v>136271.0</v>
      </c>
      <c r="D2716" s="355">
        <v>83.0</v>
      </c>
      <c r="E2716" s="1" t="s">
        <v>219</v>
      </c>
    </row>
    <row r="2717">
      <c r="A2717" s="355" t="s">
        <v>2133</v>
      </c>
      <c r="B2717" s="355" t="s">
        <v>219</v>
      </c>
      <c r="C2717" s="1562">
        <v>3741.0</v>
      </c>
      <c r="D2717" s="355">
        <v>10.0</v>
      </c>
      <c r="E2717" s="1" t="s">
        <v>219</v>
      </c>
    </row>
    <row r="2718">
      <c r="A2718" s="355" t="s">
        <v>2134</v>
      </c>
      <c r="B2718" s="355" t="s">
        <v>219</v>
      </c>
      <c r="C2718" s="1562">
        <v>3478.0</v>
      </c>
      <c r="D2718" s="355">
        <v>13.0</v>
      </c>
      <c r="E2718" s="1" t="s">
        <v>219</v>
      </c>
    </row>
    <row r="2719">
      <c r="A2719" s="355" t="s">
        <v>1167</v>
      </c>
      <c r="B2719" s="355" t="s">
        <v>219</v>
      </c>
      <c r="C2719" s="1562">
        <v>12175.0</v>
      </c>
      <c r="D2719" s="355">
        <v>27.0</v>
      </c>
      <c r="E2719" s="1" t="s">
        <v>219</v>
      </c>
    </row>
    <row r="2720">
      <c r="A2720" s="355" t="s">
        <v>2135</v>
      </c>
      <c r="B2720" s="355" t="s">
        <v>219</v>
      </c>
      <c r="C2720" s="1562">
        <v>15695.0</v>
      </c>
      <c r="D2720" s="355">
        <v>17.0</v>
      </c>
      <c r="E2720" s="1" t="s">
        <v>219</v>
      </c>
    </row>
    <row r="2721">
      <c r="A2721" s="355" t="s">
        <v>2136</v>
      </c>
      <c r="B2721" s="355" t="s">
        <v>219</v>
      </c>
      <c r="C2721" s="1562">
        <v>7032.0</v>
      </c>
      <c r="D2721" s="355">
        <v>10.0</v>
      </c>
      <c r="E2721" s="1" t="s">
        <v>219</v>
      </c>
    </row>
    <row r="2722">
      <c r="A2722" s="355" t="s">
        <v>1879</v>
      </c>
      <c r="B2722" s="355" t="s">
        <v>219</v>
      </c>
      <c r="C2722" s="1562">
        <v>903.0</v>
      </c>
      <c r="D2722" s="355">
        <v>5.0</v>
      </c>
      <c r="E2722" s="1" t="s">
        <v>219</v>
      </c>
    </row>
    <row r="2723">
      <c r="A2723" s="355" t="s">
        <v>1131</v>
      </c>
      <c r="B2723" s="355" t="s">
        <v>219</v>
      </c>
      <c r="C2723" s="1562">
        <v>17284.0</v>
      </c>
      <c r="D2723" s="355">
        <v>26.0</v>
      </c>
      <c r="E2723" s="1" t="s">
        <v>219</v>
      </c>
    </row>
    <row r="2724">
      <c r="A2724" s="355" t="s">
        <v>2137</v>
      </c>
      <c r="B2724" s="355" t="s">
        <v>219</v>
      </c>
      <c r="C2724" s="1562">
        <v>100657.0</v>
      </c>
      <c r="D2724" s="355">
        <v>46.0</v>
      </c>
      <c r="E2724" s="1" t="s">
        <v>219</v>
      </c>
    </row>
    <row r="2725">
      <c r="A2725" s="355" t="s">
        <v>2138</v>
      </c>
      <c r="B2725" s="355" t="s">
        <v>219</v>
      </c>
      <c r="C2725" s="1562">
        <v>10234.0</v>
      </c>
      <c r="D2725" s="355">
        <v>22.0</v>
      </c>
      <c r="E2725" s="1" t="s">
        <v>219</v>
      </c>
    </row>
    <row r="2726">
      <c r="A2726" s="355" t="s">
        <v>2139</v>
      </c>
      <c r="B2726" s="355" t="s">
        <v>219</v>
      </c>
      <c r="C2726" s="1562">
        <v>54450.0</v>
      </c>
      <c r="D2726" s="355">
        <v>103.0</v>
      </c>
      <c r="E2726" s="1" t="s">
        <v>219</v>
      </c>
    </row>
    <row r="2727">
      <c r="A2727" s="355" t="s">
        <v>1168</v>
      </c>
      <c r="B2727" s="355" t="s">
        <v>219</v>
      </c>
      <c r="C2727" s="1562">
        <v>10589.0</v>
      </c>
      <c r="D2727" s="355">
        <v>24.0</v>
      </c>
      <c r="E2727" s="1" t="s">
        <v>219</v>
      </c>
    </row>
    <row r="2728">
      <c r="A2728" s="355" t="s">
        <v>2140</v>
      </c>
      <c r="B2728" s="355" t="s">
        <v>219</v>
      </c>
      <c r="C2728" s="1562">
        <v>8232.0</v>
      </c>
      <c r="D2728" s="355">
        <v>21.0</v>
      </c>
      <c r="E2728" s="1" t="s">
        <v>219</v>
      </c>
    </row>
    <row r="2729">
      <c r="A2729" s="355" t="s">
        <v>2142</v>
      </c>
      <c r="B2729" s="355" t="s">
        <v>219</v>
      </c>
      <c r="C2729" s="1562">
        <v>28719.0</v>
      </c>
      <c r="D2729" s="355">
        <v>32.0</v>
      </c>
      <c r="E2729" s="1" t="s">
        <v>219</v>
      </c>
    </row>
    <row r="2730">
      <c r="A2730" s="355" t="s">
        <v>2143</v>
      </c>
      <c r="B2730" s="355" t="s">
        <v>219</v>
      </c>
      <c r="C2730" s="1562">
        <v>66893.0</v>
      </c>
      <c r="D2730" s="355">
        <v>65.0</v>
      </c>
      <c r="E2730" s="1" t="s">
        <v>219</v>
      </c>
    </row>
    <row r="2731">
      <c r="A2731" s="355" t="s">
        <v>2144</v>
      </c>
      <c r="B2731" s="355" t="s">
        <v>219</v>
      </c>
      <c r="C2731" s="1562">
        <v>6054.0</v>
      </c>
      <c r="D2731" s="355">
        <v>15.0</v>
      </c>
      <c r="E2731" s="1" t="s">
        <v>219</v>
      </c>
    </row>
    <row r="2732">
      <c r="A2732" s="355" t="s">
        <v>2145</v>
      </c>
      <c r="B2732" s="355" t="s">
        <v>219</v>
      </c>
      <c r="C2732" s="1562">
        <v>2895.0</v>
      </c>
      <c r="D2732" s="355">
        <v>8.0</v>
      </c>
      <c r="E2732" s="1" t="s">
        <v>219</v>
      </c>
    </row>
    <row r="2733">
      <c r="A2733" s="355" t="s">
        <v>2146</v>
      </c>
      <c r="B2733" s="355" t="s">
        <v>219</v>
      </c>
      <c r="C2733" s="1562">
        <v>16866.0</v>
      </c>
      <c r="D2733" s="355">
        <v>23.0</v>
      </c>
      <c r="E2733" s="1" t="s">
        <v>219</v>
      </c>
    </row>
    <row r="2734">
      <c r="A2734" s="355" t="s">
        <v>2148</v>
      </c>
      <c r="B2734" s="355" t="s">
        <v>219</v>
      </c>
      <c r="C2734" s="1562">
        <v>3253.0</v>
      </c>
      <c r="D2734" s="355">
        <v>6.0</v>
      </c>
      <c r="E2734" s="1" t="s">
        <v>219</v>
      </c>
    </row>
    <row r="2735">
      <c r="A2735" s="355" t="s">
        <v>168</v>
      </c>
      <c r="B2735" s="355" t="s">
        <v>219</v>
      </c>
      <c r="C2735" s="1562">
        <v>25418.0</v>
      </c>
      <c r="D2735" s="355">
        <v>46.0</v>
      </c>
      <c r="E2735" s="1" t="s">
        <v>219</v>
      </c>
    </row>
    <row r="2736">
      <c r="A2736" s="355" t="s">
        <v>1011</v>
      </c>
      <c r="B2736" s="355" t="s">
        <v>219</v>
      </c>
      <c r="C2736" s="1562">
        <v>3079.0</v>
      </c>
      <c r="D2736" s="355">
        <v>6.0</v>
      </c>
      <c r="E2736" s="1" t="s">
        <v>219</v>
      </c>
    </row>
    <row r="2737">
      <c r="A2737" s="355" t="s">
        <v>1012</v>
      </c>
      <c r="B2737" s="355" t="s">
        <v>219</v>
      </c>
      <c r="C2737" s="1562">
        <v>230221.0</v>
      </c>
      <c r="D2737" s="355">
        <v>270.0</v>
      </c>
      <c r="E2737" s="1" t="s">
        <v>219</v>
      </c>
    </row>
    <row r="2738">
      <c r="A2738" s="355" t="s">
        <v>2149</v>
      </c>
      <c r="B2738" s="355" t="s">
        <v>219</v>
      </c>
      <c r="C2738" s="1562">
        <v>9016.0</v>
      </c>
      <c r="D2738" s="355">
        <v>9.0</v>
      </c>
      <c r="E2738" s="1" t="s">
        <v>219</v>
      </c>
    </row>
    <row r="2739">
      <c r="A2739" s="355" t="s">
        <v>2150</v>
      </c>
      <c r="B2739" s="355" t="s">
        <v>219</v>
      </c>
      <c r="C2739" s="1562">
        <v>64525.0</v>
      </c>
      <c r="D2739" s="355">
        <v>26.0</v>
      </c>
      <c r="E2739" s="1" t="s">
        <v>219</v>
      </c>
    </row>
    <row r="2740">
      <c r="A2740" s="355" t="s">
        <v>628</v>
      </c>
      <c r="B2740" s="355" t="s">
        <v>219</v>
      </c>
      <c r="C2740" s="1562">
        <v>9433.0</v>
      </c>
      <c r="D2740" s="355">
        <v>16.0</v>
      </c>
      <c r="E2740" s="1" t="s">
        <v>219</v>
      </c>
    </row>
    <row r="2741">
      <c r="A2741" s="355" t="s">
        <v>2151</v>
      </c>
      <c r="B2741" s="355" t="s">
        <v>219</v>
      </c>
      <c r="C2741" s="1562">
        <v>1311.0</v>
      </c>
      <c r="D2741" s="355">
        <v>3.0</v>
      </c>
      <c r="E2741" s="1" t="s">
        <v>219</v>
      </c>
    </row>
    <row r="2742">
      <c r="A2742" s="355" t="s">
        <v>2152</v>
      </c>
      <c r="B2742" s="355" t="s">
        <v>219</v>
      </c>
      <c r="C2742" s="1562">
        <v>1362.0</v>
      </c>
      <c r="D2742" s="355">
        <v>5.0</v>
      </c>
      <c r="E2742" s="1" t="s">
        <v>219</v>
      </c>
    </row>
    <row r="2743">
      <c r="A2743" s="355" t="s">
        <v>2153</v>
      </c>
      <c r="B2743" s="355" t="s">
        <v>219</v>
      </c>
      <c r="C2743" s="1562">
        <v>3758.0</v>
      </c>
      <c r="D2743" s="355">
        <v>7.0</v>
      </c>
      <c r="E2743" s="1" t="s">
        <v>219</v>
      </c>
    </row>
    <row r="2744">
      <c r="A2744" s="355" t="s">
        <v>2154</v>
      </c>
      <c r="B2744" s="355" t="s">
        <v>219</v>
      </c>
      <c r="C2744" s="1562">
        <v>7462.0</v>
      </c>
      <c r="D2744" s="355">
        <v>14.0</v>
      </c>
      <c r="E2744" s="1" t="s">
        <v>219</v>
      </c>
    </row>
    <row r="2745">
      <c r="A2745" s="355" t="s">
        <v>265</v>
      </c>
      <c r="B2745" s="355" t="s">
        <v>219</v>
      </c>
      <c r="C2745" s="1562">
        <v>2084931.0</v>
      </c>
      <c r="D2745" s="364">
        <v>998.0</v>
      </c>
      <c r="E2745" s="1" t="s">
        <v>219</v>
      </c>
    </row>
    <row r="2746">
      <c r="A2746" s="355" t="s">
        <v>526</v>
      </c>
      <c r="B2746" s="355" t="s">
        <v>219</v>
      </c>
      <c r="C2746" s="1562">
        <v>137640.0</v>
      </c>
      <c r="D2746" s="355">
        <v>139.0</v>
      </c>
      <c r="E2746" s="1" t="s">
        <v>219</v>
      </c>
    </row>
    <row r="2747">
      <c r="A2747" s="355" t="s">
        <v>635</v>
      </c>
      <c r="B2747" s="355" t="s">
        <v>219</v>
      </c>
      <c r="C2747" s="1562">
        <v>823.0</v>
      </c>
      <c r="D2747" s="355">
        <v>3.0</v>
      </c>
      <c r="E2747" s="1" t="s">
        <v>219</v>
      </c>
    </row>
    <row r="2748">
      <c r="A2748" s="355" t="s">
        <v>2156</v>
      </c>
      <c r="B2748" s="355" t="s">
        <v>219</v>
      </c>
      <c r="C2748" s="1562">
        <v>12287.0</v>
      </c>
      <c r="D2748" s="355">
        <v>19.0</v>
      </c>
      <c r="E2748" s="1" t="s">
        <v>219</v>
      </c>
    </row>
    <row r="2749">
      <c r="A2749" s="355" t="s">
        <v>2157</v>
      </c>
      <c r="B2749" s="355" t="s">
        <v>219</v>
      </c>
      <c r="C2749" s="1562">
        <v>1515.0</v>
      </c>
      <c r="D2749" s="355">
        <v>7.0</v>
      </c>
      <c r="E2749" s="1" t="s">
        <v>219</v>
      </c>
    </row>
    <row r="2750">
      <c r="A2750" s="355" t="s">
        <v>2159</v>
      </c>
      <c r="B2750" s="355" t="s">
        <v>219</v>
      </c>
      <c r="C2750" s="1562">
        <v>33033.0</v>
      </c>
      <c r="D2750" s="355">
        <v>47.0</v>
      </c>
      <c r="E2750" s="1" t="s">
        <v>219</v>
      </c>
    </row>
    <row r="2751">
      <c r="A2751" s="355" t="s">
        <v>2160</v>
      </c>
      <c r="B2751" s="355" t="s">
        <v>219</v>
      </c>
      <c r="C2751" s="1562">
        <v>118189.0</v>
      </c>
      <c r="D2751" s="355">
        <v>100.0</v>
      </c>
      <c r="E2751" s="1" t="s">
        <v>219</v>
      </c>
    </row>
    <row r="2752">
      <c r="A2752" s="355" t="s">
        <v>355</v>
      </c>
      <c r="B2752" s="355" t="s">
        <v>219</v>
      </c>
      <c r="C2752" s="1562">
        <v>1248743.0</v>
      </c>
      <c r="D2752" s="355">
        <v>424.0</v>
      </c>
      <c r="E2752" s="1" t="s">
        <v>219</v>
      </c>
    </row>
    <row r="2753">
      <c r="A2753" s="355" t="s">
        <v>376</v>
      </c>
      <c r="B2753" s="355" t="s">
        <v>219</v>
      </c>
      <c r="C2753" s="1562">
        <v>14740.0</v>
      </c>
      <c r="D2753" s="355">
        <v>40.0</v>
      </c>
      <c r="E2753" s="1" t="s">
        <v>219</v>
      </c>
    </row>
    <row r="2754">
      <c r="A2754" s="355" t="s">
        <v>2161</v>
      </c>
      <c r="B2754" s="355" t="s">
        <v>219</v>
      </c>
      <c r="C2754" s="1562">
        <v>21696.0</v>
      </c>
      <c r="D2754" s="355">
        <v>34.0</v>
      </c>
      <c r="E2754" s="1" t="s">
        <v>219</v>
      </c>
    </row>
    <row r="2755">
      <c r="A2755" s="355" t="s">
        <v>2162</v>
      </c>
      <c r="B2755" s="355" t="s">
        <v>219</v>
      </c>
      <c r="C2755" s="1562">
        <v>41260.0</v>
      </c>
      <c r="D2755" s="355">
        <v>58.0</v>
      </c>
      <c r="E2755" s="1" t="s">
        <v>219</v>
      </c>
    </row>
    <row r="2756">
      <c r="A2756" s="355" t="s">
        <v>2164</v>
      </c>
      <c r="B2756" s="355" t="s">
        <v>219</v>
      </c>
      <c r="C2756" s="1562">
        <v>3671.0</v>
      </c>
      <c r="D2756" s="355">
        <v>4.0</v>
      </c>
      <c r="E2756" s="1" t="s">
        <v>219</v>
      </c>
    </row>
    <row r="2757">
      <c r="A2757" s="355" t="s">
        <v>2166</v>
      </c>
      <c r="B2757" s="355" t="s">
        <v>219</v>
      </c>
      <c r="C2757" s="1562">
        <v>26846.0</v>
      </c>
      <c r="D2757" s="355">
        <v>39.0</v>
      </c>
      <c r="E2757" s="1" t="s">
        <v>219</v>
      </c>
    </row>
    <row r="2758">
      <c r="A2758" s="355" t="s">
        <v>2167</v>
      </c>
      <c r="B2758" s="355" t="s">
        <v>219</v>
      </c>
      <c r="C2758" s="1562">
        <v>49208.0</v>
      </c>
      <c r="D2758" s="355">
        <v>26.0</v>
      </c>
      <c r="E2758" s="1" t="s">
        <v>219</v>
      </c>
    </row>
    <row r="2759">
      <c r="A2759" s="355" t="s">
        <v>2168</v>
      </c>
      <c r="B2759" s="355" t="s">
        <v>219</v>
      </c>
      <c r="C2759" s="1562">
        <v>56019.0</v>
      </c>
      <c r="D2759" s="355">
        <v>69.0</v>
      </c>
      <c r="E2759" s="1" t="s">
        <v>219</v>
      </c>
    </row>
    <row r="2760">
      <c r="A2760" s="355" t="s">
        <v>2169</v>
      </c>
      <c r="B2760" s="355" t="s">
        <v>219</v>
      </c>
      <c r="C2760" s="1562">
        <v>92035.0</v>
      </c>
      <c r="D2760" s="355">
        <v>72.0</v>
      </c>
      <c r="E2760" s="1" t="s">
        <v>219</v>
      </c>
    </row>
    <row r="2761">
      <c r="A2761" s="355" t="s">
        <v>175</v>
      </c>
      <c r="B2761" s="355" t="s">
        <v>219</v>
      </c>
      <c r="C2761" s="1562">
        <v>72480.0</v>
      </c>
      <c r="D2761" s="355">
        <v>56.0</v>
      </c>
      <c r="E2761" s="1" t="s">
        <v>219</v>
      </c>
    </row>
    <row r="2762">
      <c r="A2762" s="355" t="s">
        <v>2170</v>
      </c>
      <c r="B2762" s="355" t="s">
        <v>219</v>
      </c>
      <c r="C2762" s="1562">
        <v>53126.0</v>
      </c>
      <c r="D2762" s="355">
        <v>35.0</v>
      </c>
      <c r="E2762" s="1" t="s">
        <v>219</v>
      </c>
    </row>
    <row r="2763">
      <c r="A2763" s="355" t="s">
        <v>1669</v>
      </c>
      <c r="B2763" s="355" t="s">
        <v>219</v>
      </c>
      <c r="C2763" s="1562">
        <v>11720.0</v>
      </c>
      <c r="D2763" s="355">
        <v>15.0</v>
      </c>
      <c r="E2763" s="1" t="s">
        <v>219</v>
      </c>
    </row>
    <row r="2764">
      <c r="A2764" s="355" t="s">
        <v>119</v>
      </c>
      <c r="B2764" s="355" t="s">
        <v>219</v>
      </c>
      <c r="C2764" s="1562">
        <v>35108.0</v>
      </c>
      <c r="D2764" s="355">
        <v>56.0</v>
      </c>
      <c r="E2764" s="1" t="s">
        <v>219</v>
      </c>
    </row>
    <row r="2765">
      <c r="A2765" s="355" t="s">
        <v>2172</v>
      </c>
      <c r="B2765" s="355" t="s">
        <v>219</v>
      </c>
      <c r="C2765" s="1562">
        <v>275910.0</v>
      </c>
      <c r="D2765" s="355">
        <v>66.0</v>
      </c>
      <c r="E2765" s="1" t="s">
        <v>219</v>
      </c>
    </row>
    <row r="2766">
      <c r="A2766" s="355" t="s">
        <v>2173</v>
      </c>
      <c r="B2766" s="355" t="s">
        <v>219</v>
      </c>
      <c r="C2766" s="1562">
        <v>41619.0</v>
      </c>
      <c r="D2766" s="355">
        <v>63.0</v>
      </c>
      <c r="E2766" s="1" t="s">
        <v>219</v>
      </c>
    </row>
    <row r="2767">
      <c r="A2767" s="355" t="s">
        <v>649</v>
      </c>
      <c r="B2767" s="355" t="s">
        <v>219</v>
      </c>
      <c r="C2767" s="1562">
        <v>5191.0</v>
      </c>
      <c r="D2767" s="355">
        <v>14.0</v>
      </c>
      <c r="E2767" s="1" t="s">
        <v>219</v>
      </c>
    </row>
    <row r="2768">
      <c r="A2768" s="355" t="s">
        <v>1020</v>
      </c>
      <c r="B2768" s="355" t="s">
        <v>219</v>
      </c>
      <c r="C2768" s="1562">
        <v>132064.0</v>
      </c>
      <c r="D2768" s="355">
        <v>134.0</v>
      </c>
      <c r="E2768" s="1" t="s">
        <v>219</v>
      </c>
    </row>
    <row r="2769">
      <c r="A2769" s="355" t="s">
        <v>2174</v>
      </c>
      <c r="B2769" s="355" t="s">
        <v>219</v>
      </c>
      <c r="C2769" s="1562">
        <v>12820.0</v>
      </c>
      <c r="D2769" s="355">
        <v>16.0</v>
      </c>
      <c r="E2769" s="1" t="s">
        <v>219</v>
      </c>
    </row>
    <row r="2770">
      <c r="A2770" s="355" t="s">
        <v>2176</v>
      </c>
      <c r="B2770" s="355" t="s">
        <v>219</v>
      </c>
      <c r="C2770" s="1562">
        <v>21515.0</v>
      </c>
      <c r="D2770" s="355">
        <v>14.0</v>
      </c>
      <c r="E2770" s="1" t="s">
        <v>219</v>
      </c>
    </row>
    <row r="2771">
      <c r="A2771" s="355" t="s">
        <v>627</v>
      </c>
      <c r="B2771" s="355" t="s">
        <v>219</v>
      </c>
      <c r="C2771" s="1562">
        <v>566719.0</v>
      </c>
      <c r="D2771" s="355">
        <v>203.0</v>
      </c>
      <c r="E2771" s="1" t="s">
        <v>219</v>
      </c>
    </row>
    <row r="2772">
      <c r="A2772" s="355" t="s">
        <v>1021</v>
      </c>
      <c r="B2772" s="355" t="s">
        <v>219</v>
      </c>
      <c r="C2772" s="1562">
        <v>50224.0</v>
      </c>
      <c r="D2772" s="355">
        <v>31.0</v>
      </c>
      <c r="E2772" s="1" t="s">
        <v>219</v>
      </c>
    </row>
    <row r="2773">
      <c r="A2773" s="355" t="s">
        <v>2177</v>
      </c>
      <c r="B2773" s="355" t="s">
        <v>219</v>
      </c>
      <c r="C2773" s="1562">
        <v>7720.0</v>
      </c>
      <c r="D2773" s="355">
        <v>12.0</v>
      </c>
      <c r="E2773" s="1" t="s">
        <v>219</v>
      </c>
    </row>
    <row r="2774">
      <c r="A2774" s="355" t="s">
        <v>2178</v>
      </c>
      <c r="B2774" s="355" t="s">
        <v>219</v>
      </c>
      <c r="C2774" s="1562">
        <v>68305.0</v>
      </c>
      <c r="D2774" s="355">
        <v>74.0</v>
      </c>
      <c r="E2774" s="1" t="s">
        <v>219</v>
      </c>
    </row>
    <row r="2775">
      <c r="A2775" s="355" t="s">
        <v>1703</v>
      </c>
      <c r="B2775" s="355" t="s">
        <v>219</v>
      </c>
      <c r="C2775" s="1562">
        <v>45129.0</v>
      </c>
      <c r="D2775" s="355">
        <v>82.0</v>
      </c>
      <c r="E2775" s="1" t="s">
        <v>219</v>
      </c>
    </row>
    <row r="2776">
      <c r="A2776" s="355" t="s">
        <v>2179</v>
      </c>
      <c r="B2776" s="355" t="s">
        <v>219</v>
      </c>
      <c r="C2776" s="1562">
        <v>8591.0</v>
      </c>
      <c r="D2776" s="355">
        <v>11.0</v>
      </c>
      <c r="E2776" s="1" t="s">
        <v>219</v>
      </c>
    </row>
    <row r="2777">
      <c r="A2777" s="355" t="s">
        <v>2181</v>
      </c>
      <c r="B2777" s="355" t="s">
        <v>219</v>
      </c>
      <c r="C2777" s="1562">
        <v>18045.0</v>
      </c>
      <c r="D2777" s="355">
        <v>39.0</v>
      </c>
      <c r="E2777" s="1" t="s">
        <v>219</v>
      </c>
    </row>
    <row r="2778">
      <c r="A2778" s="355" t="s">
        <v>2182</v>
      </c>
      <c r="B2778" s="355" t="s">
        <v>219</v>
      </c>
      <c r="C2778" s="1562">
        <v>14190.0</v>
      </c>
      <c r="D2778" s="355">
        <v>4.0</v>
      </c>
      <c r="E2778" s="1" t="s">
        <v>219</v>
      </c>
    </row>
    <row r="2779">
      <c r="A2779" s="1501" t="s">
        <v>2183</v>
      </c>
      <c r="B2779" s="1501" t="s">
        <v>219</v>
      </c>
      <c r="C2779" s="1564">
        <v>11983.0</v>
      </c>
      <c r="D2779" s="1501">
        <v>4.0</v>
      </c>
      <c r="E2779" s="1" t="s">
        <v>219</v>
      </c>
      <c r="N2779" s="1489"/>
      <c r="O2779" s="1489"/>
      <c r="P2779" s="1489"/>
      <c r="Q2779" s="1489"/>
      <c r="R2779" s="1489"/>
      <c r="S2779" s="1489"/>
      <c r="T2779" s="1489"/>
      <c r="U2779" s="1489"/>
      <c r="V2779" s="1489"/>
      <c r="W2779" s="1489"/>
      <c r="X2779" s="1489"/>
      <c r="Y2779" s="1489"/>
      <c r="Z2779" s="1489"/>
    </row>
    <row r="2780">
      <c r="A2780" s="1490" t="s">
        <v>1710</v>
      </c>
      <c r="B2780" s="1490" t="s">
        <v>368</v>
      </c>
      <c r="C2780" s="1597">
        <v>6580.0</v>
      </c>
      <c r="D2780" s="1490">
        <v>7.0</v>
      </c>
      <c r="E2780" s="1" t="s">
        <v>368</v>
      </c>
    </row>
    <row r="2781">
      <c r="A2781" s="1490" t="s">
        <v>2185</v>
      </c>
      <c r="B2781" s="1490" t="s">
        <v>368</v>
      </c>
      <c r="C2781" s="1597">
        <v>54950.0</v>
      </c>
      <c r="D2781" s="1490">
        <v>39.0</v>
      </c>
      <c r="E2781" s="1" t="s">
        <v>368</v>
      </c>
    </row>
    <row r="2782">
      <c r="A2782" s="1490" t="s">
        <v>2186</v>
      </c>
      <c r="B2782" s="1490" t="s">
        <v>368</v>
      </c>
      <c r="C2782" s="1597">
        <v>127068.0</v>
      </c>
      <c r="D2782" s="1490">
        <v>43.0</v>
      </c>
      <c r="E2782" s="1" t="s">
        <v>368</v>
      </c>
    </row>
    <row r="2783">
      <c r="A2783" s="1490" t="s">
        <v>1434</v>
      </c>
      <c r="B2783" s="1490" t="s">
        <v>368</v>
      </c>
      <c r="C2783" s="1597">
        <v>20269.0</v>
      </c>
      <c r="D2783" s="1490">
        <v>28.0</v>
      </c>
      <c r="E2783" s="1" t="s">
        <v>368</v>
      </c>
      <c r="H2783" s="1489"/>
      <c r="I2783" s="1489"/>
      <c r="J2783" s="1489"/>
      <c r="K2783" s="1489"/>
      <c r="L2783" s="1489"/>
      <c r="M2783" s="1489"/>
    </row>
    <row r="2784">
      <c r="A2784" s="1490" t="s">
        <v>2187</v>
      </c>
      <c r="B2784" s="1490" t="s">
        <v>368</v>
      </c>
      <c r="C2784" s="1597">
        <v>980.0</v>
      </c>
      <c r="D2784" s="1490">
        <v>2.0</v>
      </c>
      <c r="E2784" s="1" t="s">
        <v>368</v>
      </c>
    </row>
    <row r="2785">
      <c r="A2785" s="1490" t="s">
        <v>897</v>
      </c>
      <c r="B2785" s="1490" t="s">
        <v>368</v>
      </c>
      <c r="C2785" s="1597">
        <v>351713.0</v>
      </c>
      <c r="D2785" s="1490">
        <v>126.0</v>
      </c>
      <c r="E2785" s="1" t="s">
        <v>368</v>
      </c>
    </row>
    <row r="2786">
      <c r="A2786" s="1490" t="s">
        <v>2188</v>
      </c>
      <c r="B2786" s="1490" t="s">
        <v>368</v>
      </c>
      <c r="C2786" s="1597">
        <v>19964.0</v>
      </c>
      <c r="D2786" s="1490">
        <v>15.0</v>
      </c>
      <c r="E2786" s="1" t="s">
        <v>368</v>
      </c>
    </row>
    <row r="2787">
      <c r="A2787" s="1490" t="s">
        <v>2190</v>
      </c>
      <c r="B2787" s="1490" t="s">
        <v>368</v>
      </c>
      <c r="C2787" s="1597">
        <v>10014.0</v>
      </c>
      <c r="D2787" s="1490">
        <v>11.0</v>
      </c>
      <c r="E2787" s="1" t="s">
        <v>368</v>
      </c>
    </row>
    <row r="2788">
      <c r="A2788" s="1490" t="s">
        <v>417</v>
      </c>
      <c r="B2788" s="1490" t="s">
        <v>368</v>
      </c>
      <c r="C2788" s="1597">
        <v>5080.0</v>
      </c>
      <c r="D2788" s="1490">
        <v>8.0</v>
      </c>
      <c r="E2788" s="1" t="s">
        <v>368</v>
      </c>
    </row>
    <row r="2789">
      <c r="A2789" s="1490" t="s">
        <v>421</v>
      </c>
      <c r="B2789" s="1490" t="s">
        <v>368</v>
      </c>
      <c r="C2789" s="1597">
        <v>9764.0</v>
      </c>
      <c r="D2789" s="1490">
        <v>10.0</v>
      </c>
      <c r="E2789" s="1" t="s">
        <v>368</v>
      </c>
    </row>
    <row r="2790">
      <c r="A2790" s="1490" t="s">
        <v>1259</v>
      </c>
      <c r="B2790" s="1490" t="s">
        <v>368</v>
      </c>
      <c r="C2790" s="1597">
        <v>52775.0</v>
      </c>
      <c r="D2790" s="1490">
        <v>28.0</v>
      </c>
      <c r="E2790" s="1" t="s">
        <v>368</v>
      </c>
    </row>
    <row r="2791">
      <c r="A2791" s="1490" t="s">
        <v>2191</v>
      </c>
      <c r="B2791" s="1490" t="s">
        <v>368</v>
      </c>
      <c r="C2791" s="1597">
        <v>11555.0</v>
      </c>
      <c r="D2791" s="1490">
        <v>5.0</v>
      </c>
      <c r="E2791" s="1" t="s">
        <v>368</v>
      </c>
    </row>
    <row r="2792">
      <c r="A2792" s="1490" t="s">
        <v>656</v>
      </c>
      <c r="B2792" s="1490" t="s">
        <v>368</v>
      </c>
      <c r="C2792" s="1597">
        <v>7709.0</v>
      </c>
      <c r="D2792" s="1490">
        <v>12.0</v>
      </c>
      <c r="E2792" s="1" t="s">
        <v>368</v>
      </c>
    </row>
    <row r="2793">
      <c r="A2793" s="1490" t="s">
        <v>2193</v>
      </c>
      <c r="B2793" s="1490" t="s">
        <v>368</v>
      </c>
      <c r="C2793" s="1597">
        <v>13006.0</v>
      </c>
      <c r="D2793" s="1490">
        <v>15.0</v>
      </c>
      <c r="E2793" s="1" t="s">
        <v>368</v>
      </c>
    </row>
    <row r="2794">
      <c r="A2794" s="1490" t="s">
        <v>158</v>
      </c>
      <c r="B2794" s="1490" t="s">
        <v>368</v>
      </c>
      <c r="C2794" s="1597">
        <v>12045.0</v>
      </c>
      <c r="D2794" s="1490">
        <v>5.0</v>
      </c>
      <c r="E2794" s="1" t="s">
        <v>368</v>
      </c>
    </row>
    <row r="2795">
      <c r="A2795" s="1490" t="s">
        <v>2194</v>
      </c>
      <c r="B2795" s="1490" t="s">
        <v>368</v>
      </c>
      <c r="C2795" s="1597">
        <v>1445.0</v>
      </c>
      <c r="D2795" s="1490">
        <v>2.0</v>
      </c>
      <c r="E2795" s="1" t="s">
        <v>368</v>
      </c>
    </row>
    <row r="2796">
      <c r="A2796" s="1490" t="s">
        <v>2195</v>
      </c>
      <c r="B2796" s="1490" t="s">
        <v>368</v>
      </c>
      <c r="C2796" s="1597">
        <v>2464.0</v>
      </c>
      <c r="D2796" s="1490">
        <v>5.0</v>
      </c>
      <c r="E2796" s="1" t="s">
        <v>368</v>
      </c>
    </row>
    <row r="2797">
      <c r="A2797" s="1490" t="s">
        <v>367</v>
      </c>
      <c r="B2797" s="1490" t="s">
        <v>368</v>
      </c>
      <c r="C2797" s="1597">
        <v>1152633.0</v>
      </c>
      <c r="D2797" s="1490">
        <v>510.0</v>
      </c>
      <c r="E2797" s="1" t="s">
        <v>368</v>
      </c>
    </row>
    <row r="2798">
      <c r="A2798" s="1490" t="s">
        <v>457</v>
      </c>
      <c r="B2798" s="1490" t="s">
        <v>368</v>
      </c>
      <c r="C2798" s="1597">
        <v>15449.0</v>
      </c>
      <c r="D2798" s="1490">
        <v>7.0</v>
      </c>
      <c r="E2798" s="1" t="s">
        <v>368</v>
      </c>
    </row>
    <row r="2799">
      <c r="A2799" s="1490" t="s">
        <v>2197</v>
      </c>
      <c r="B2799" s="1490" t="s">
        <v>368</v>
      </c>
      <c r="C2799" s="1597">
        <v>30623.0</v>
      </c>
      <c r="D2799" s="1490">
        <v>15.0</v>
      </c>
      <c r="E2799" s="1" t="s">
        <v>368</v>
      </c>
    </row>
    <row r="2800">
      <c r="A2800" s="1490" t="s">
        <v>312</v>
      </c>
      <c r="B2800" s="1490" t="s">
        <v>368</v>
      </c>
      <c r="C2800" s="1597">
        <v>21539.0</v>
      </c>
      <c r="D2800" s="1490">
        <v>19.0</v>
      </c>
      <c r="E2800" s="1" t="s">
        <v>368</v>
      </c>
    </row>
    <row r="2801">
      <c r="A2801" s="1490" t="s">
        <v>461</v>
      </c>
      <c r="B2801" s="1490" t="s">
        <v>368</v>
      </c>
      <c r="C2801" s="1597">
        <v>41933.0</v>
      </c>
      <c r="D2801" s="1490">
        <v>20.0</v>
      </c>
      <c r="E2801" s="1" t="s">
        <v>368</v>
      </c>
    </row>
    <row r="2802">
      <c r="A2802" s="1490" t="s">
        <v>2198</v>
      </c>
      <c r="B2802" s="1490" t="s">
        <v>368</v>
      </c>
      <c r="C2802" s="1597">
        <v>69907.0</v>
      </c>
      <c r="D2802" s="1490">
        <v>42.0</v>
      </c>
      <c r="E2802" s="1" t="s">
        <v>368</v>
      </c>
    </row>
    <row r="2803">
      <c r="A2803" s="1490" t="s">
        <v>2199</v>
      </c>
      <c r="B2803" s="1490" t="s">
        <v>368</v>
      </c>
      <c r="C2803" s="1597">
        <v>35438.0</v>
      </c>
      <c r="D2803" s="1490">
        <v>23.0</v>
      </c>
      <c r="E2803" s="1" t="s">
        <v>368</v>
      </c>
    </row>
    <row r="2804">
      <c r="A2804" s="1490" t="s">
        <v>114</v>
      </c>
      <c r="B2804" s="1490" t="s">
        <v>368</v>
      </c>
      <c r="C2804" s="1597">
        <v>622213.0</v>
      </c>
      <c r="D2804" s="1490">
        <v>106.0</v>
      </c>
      <c r="E2804" s="1" t="s">
        <v>368</v>
      </c>
    </row>
    <row r="2805">
      <c r="A2805" s="1490" t="s">
        <v>2200</v>
      </c>
      <c r="B2805" s="1490" t="s">
        <v>368</v>
      </c>
      <c r="C2805" s="1597">
        <v>33240.0</v>
      </c>
      <c r="D2805" s="1490">
        <v>14.0</v>
      </c>
      <c r="E2805" s="1" t="s">
        <v>368</v>
      </c>
    </row>
    <row r="2806">
      <c r="A2806" s="1490" t="s">
        <v>119</v>
      </c>
      <c r="B2806" s="1490" t="s">
        <v>368</v>
      </c>
      <c r="C2806" s="1597">
        <v>171700.0</v>
      </c>
      <c r="D2806" s="1490">
        <v>102.0</v>
      </c>
      <c r="E2806" s="1" t="s">
        <v>368</v>
      </c>
    </row>
    <row r="2807">
      <c r="A2807" s="1490" t="s">
        <v>273</v>
      </c>
      <c r="B2807" s="1490" t="s">
        <v>368</v>
      </c>
      <c r="C2807" s="1597">
        <v>2690.0</v>
      </c>
      <c r="D2807" s="1490">
        <v>5.0</v>
      </c>
      <c r="E2807" s="1" t="s">
        <v>368</v>
      </c>
    </row>
    <row r="2808">
      <c r="A2808" s="1496" t="s">
        <v>2202</v>
      </c>
      <c r="B2808" s="1496" t="s">
        <v>368</v>
      </c>
      <c r="C2808" s="1598">
        <v>256359.0</v>
      </c>
      <c r="D2808" s="1496">
        <v>105.0</v>
      </c>
      <c r="E2808" s="1624" t="s">
        <v>368</v>
      </c>
      <c r="F2808" s="1624"/>
      <c r="G2808" s="1624"/>
      <c r="N2808" s="1489"/>
      <c r="O2808" s="1489"/>
      <c r="P2808" s="1489"/>
      <c r="Q2808" s="1489"/>
      <c r="R2808" s="1489"/>
      <c r="S2808" s="1489"/>
      <c r="T2808" s="1489"/>
      <c r="U2808" s="1489"/>
      <c r="V2808" s="1489"/>
      <c r="W2808" s="1489"/>
      <c r="X2808" s="1489"/>
      <c r="Y2808" s="1489"/>
      <c r="Z2808" s="1489"/>
    </row>
    <row r="2809">
      <c r="A2809" s="355" t="s">
        <v>2204</v>
      </c>
      <c r="B2809" s="355" t="s">
        <v>2203</v>
      </c>
      <c r="C2809" s="1562">
        <v>36973.0</v>
      </c>
      <c r="D2809" s="355">
        <v>40.0</v>
      </c>
      <c r="E2809" s="1" t="s">
        <v>2203</v>
      </c>
    </row>
    <row r="2810">
      <c r="A2810" s="355" t="s">
        <v>2205</v>
      </c>
      <c r="B2810" s="355" t="s">
        <v>2203</v>
      </c>
      <c r="C2810" s="1562">
        <v>35631.0</v>
      </c>
      <c r="D2810" s="355">
        <v>36.0</v>
      </c>
      <c r="E2810" s="1" t="s">
        <v>2203</v>
      </c>
    </row>
    <row r="2811">
      <c r="A2811" s="355" t="s">
        <v>2206</v>
      </c>
      <c r="B2811" s="355" t="s">
        <v>2203</v>
      </c>
      <c r="C2811" s="1562">
        <v>30302.0</v>
      </c>
      <c r="D2811" s="355">
        <v>36.0</v>
      </c>
      <c r="E2811" s="1" t="s">
        <v>2203</v>
      </c>
    </row>
    <row r="2812">
      <c r="A2812" s="355" t="s">
        <v>2207</v>
      </c>
      <c r="B2812" s="355" t="s">
        <v>2203</v>
      </c>
      <c r="C2812" s="1562">
        <v>164572.0</v>
      </c>
      <c r="D2812" s="355">
        <v>92.0</v>
      </c>
      <c r="E2812" s="1" t="s">
        <v>2203</v>
      </c>
      <c r="H2812" s="1489"/>
      <c r="I2812" s="1489"/>
      <c r="J2812" s="1489"/>
      <c r="K2812" s="1489"/>
      <c r="L2812" s="1489"/>
      <c r="M2812" s="1489"/>
    </row>
    <row r="2813">
      <c r="A2813" s="355" t="s">
        <v>516</v>
      </c>
      <c r="B2813" s="355" t="s">
        <v>2203</v>
      </c>
      <c r="C2813" s="1562">
        <v>6250.0</v>
      </c>
      <c r="D2813" s="355">
        <v>4.0</v>
      </c>
      <c r="E2813" s="1" t="s">
        <v>2203</v>
      </c>
    </row>
    <row r="2814">
      <c r="A2814" s="355" t="s">
        <v>136</v>
      </c>
      <c r="B2814" s="355" t="s">
        <v>2203</v>
      </c>
      <c r="C2814" s="1562">
        <v>49421.0</v>
      </c>
      <c r="D2814" s="355">
        <v>34.0</v>
      </c>
      <c r="E2814" s="1" t="s">
        <v>2203</v>
      </c>
    </row>
    <row r="2815">
      <c r="A2815" s="355" t="s">
        <v>2209</v>
      </c>
      <c r="B2815" s="355" t="s">
        <v>2203</v>
      </c>
      <c r="C2815" s="1562">
        <v>7090.0</v>
      </c>
      <c r="D2815" s="355">
        <v>8.0</v>
      </c>
      <c r="E2815" s="1" t="s">
        <v>2203</v>
      </c>
    </row>
    <row r="2816">
      <c r="A2816" s="355" t="s">
        <v>2210</v>
      </c>
      <c r="B2816" s="355" t="s">
        <v>2203</v>
      </c>
      <c r="C2816" s="1562">
        <v>25300.0</v>
      </c>
      <c r="D2816" s="355">
        <v>19.0</v>
      </c>
      <c r="E2816" s="1" t="s">
        <v>2203</v>
      </c>
    </row>
    <row r="2817">
      <c r="A2817" s="355" t="s">
        <v>241</v>
      </c>
      <c r="B2817" s="355" t="s">
        <v>2203</v>
      </c>
      <c r="C2817" s="1562">
        <v>28999.0</v>
      </c>
      <c r="D2817" s="355">
        <v>35.0</v>
      </c>
      <c r="E2817" s="1" t="s">
        <v>2203</v>
      </c>
    </row>
    <row r="2818">
      <c r="A2818" s="355" t="s">
        <v>1163</v>
      </c>
      <c r="B2818" s="355" t="s">
        <v>2203</v>
      </c>
      <c r="C2818" s="1562">
        <v>26907.0</v>
      </c>
      <c r="D2818" s="355">
        <v>30.0</v>
      </c>
      <c r="E2818" s="1" t="s">
        <v>2203</v>
      </c>
    </row>
    <row r="2819">
      <c r="A2819" s="355" t="s">
        <v>2211</v>
      </c>
      <c r="B2819" s="355" t="s">
        <v>2203</v>
      </c>
      <c r="C2819" s="1562">
        <v>58672.0</v>
      </c>
      <c r="D2819" s="355">
        <v>57.0</v>
      </c>
      <c r="E2819" s="1" t="s">
        <v>2203</v>
      </c>
    </row>
    <row r="2820">
      <c r="A2820" s="355" t="s">
        <v>119</v>
      </c>
      <c r="B2820" s="355" t="s">
        <v>2203</v>
      </c>
      <c r="C2820" s="1562">
        <v>58140.0</v>
      </c>
      <c r="D2820" s="355">
        <v>55.0</v>
      </c>
      <c r="E2820" s="1" t="s">
        <v>2203</v>
      </c>
    </row>
    <row r="2821">
      <c r="A2821" s="355" t="s">
        <v>471</v>
      </c>
      <c r="B2821" s="355" t="s">
        <v>2203</v>
      </c>
      <c r="C2821" s="1562">
        <v>42756.0</v>
      </c>
      <c r="D2821" s="355">
        <v>49.0</v>
      </c>
      <c r="E2821" s="1" t="s">
        <v>2203</v>
      </c>
    </row>
    <row r="2822">
      <c r="A2822" s="1501" t="s">
        <v>2212</v>
      </c>
      <c r="B2822" s="1501" t="s">
        <v>2203</v>
      </c>
      <c r="C2822" s="1564">
        <v>55286.0</v>
      </c>
      <c r="D2822" s="1501">
        <v>68.0</v>
      </c>
      <c r="E2822" s="1624" t="s">
        <v>2203</v>
      </c>
      <c r="F2822" s="1624"/>
      <c r="G2822" s="1624"/>
      <c r="N2822" s="1489"/>
      <c r="O2822" s="1489"/>
      <c r="P2822" s="1489"/>
      <c r="Q2822" s="1489"/>
      <c r="R2822" s="1489"/>
      <c r="S2822" s="1489"/>
      <c r="T2822" s="1489"/>
      <c r="U2822" s="1489"/>
      <c r="V2822" s="1489"/>
      <c r="W2822" s="1489"/>
      <c r="X2822" s="1489"/>
      <c r="Y2822" s="1489"/>
      <c r="Z2822" s="1489"/>
    </row>
    <row r="2823">
      <c r="A2823" s="1490" t="s">
        <v>2213</v>
      </c>
      <c r="B2823" s="1490" t="s">
        <v>375</v>
      </c>
      <c r="C2823" s="1597">
        <v>32412.0</v>
      </c>
      <c r="D2823" s="1490">
        <v>62.0</v>
      </c>
      <c r="E2823" s="1" t="s">
        <v>375</v>
      </c>
    </row>
    <row r="2824">
      <c r="A2824" s="1490" t="s">
        <v>2214</v>
      </c>
      <c r="B2824" s="1490" t="s">
        <v>375</v>
      </c>
      <c r="C2824" s="1597">
        <v>108718.0</v>
      </c>
      <c r="D2824" s="1490">
        <v>106.0</v>
      </c>
      <c r="E2824" s="1" t="s">
        <v>375</v>
      </c>
    </row>
    <row r="2825">
      <c r="A2825" s="1490" t="s">
        <v>1579</v>
      </c>
      <c r="B2825" s="1490" t="s">
        <v>375</v>
      </c>
      <c r="C2825" s="1597">
        <v>14910.0</v>
      </c>
      <c r="D2825" s="1490">
        <v>36.0</v>
      </c>
      <c r="E2825" s="1" t="s">
        <v>375</v>
      </c>
    </row>
    <row r="2826">
      <c r="A2826" s="1490" t="s">
        <v>2216</v>
      </c>
      <c r="B2826" s="1490" t="s">
        <v>375</v>
      </c>
      <c r="C2826" s="1597">
        <v>13013.0</v>
      </c>
      <c r="D2826" s="1490">
        <v>37.0</v>
      </c>
      <c r="E2826" s="1" t="s">
        <v>375</v>
      </c>
      <c r="H2826" s="1489"/>
      <c r="I2826" s="1489"/>
      <c r="J2826" s="1489"/>
      <c r="K2826" s="1489"/>
      <c r="L2826" s="1489"/>
      <c r="M2826" s="1489"/>
    </row>
    <row r="2827">
      <c r="A2827" s="1490" t="s">
        <v>2217</v>
      </c>
      <c r="B2827" s="1490" t="s">
        <v>375</v>
      </c>
      <c r="C2827" s="1597">
        <v>31666.0</v>
      </c>
      <c r="D2827" s="1490">
        <v>60.0</v>
      </c>
      <c r="E2827" s="1" t="s">
        <v>375</v>
      </c>
    </row>
    <row r="2828">
      <c r="A2828" s="1490" t="s">
        <v>2218</v>
      </c>
      <c r="B2828" s="1490" t="s">
        <v>375</v>
      </c>
      <c r="C2828" s="1597">
        <v>15841.0</v>
      </c>
      <c r="D2828" s="1490">
        <v>39.0</v>
      </c>
      <c r="E2828" s="1" t="s">
        <v>375</v>
      </c>
    </row>
    <row r="2829">
      <c r="A2829" s="1490" t="s">
        <v>2219</v>
      </c>
      <c r="B2829" s="1490" t="s">
        <v>375</v>
      </c>
      <c r="C2829" s="1597">
        <v>237521.0</v>
      </c>
      <c r="D2829" s="1490">
        <v>80.0</v>
      </c>
      <c r="E2829" s="1" t="s">
        <v>375</v>
      </c>
    </row>
    <row r="2830">
      <c r="A2830" s="1490" t="s">
        <v>2220</v>
      </c>
      <c r="B2830" s="1490" t="s">
        <v>375</v>
      </c>
      <c r="C2830" s="1597">
        <v>75457.0</v>
      </c>
      <c r="D2830" s="1490">
        <v>117.0</v>
      </c>
      <c r="E2830" s="1" t="s">
        <v>375</v>
      </c>
    </row>
    <row r="2831">
      <c r="A2831" s="1490" t="s">
        <v>1026</v>
      </c>
      <c r="B2831" s="1490" t="s">
        <v>375</v>
      </c>
      <c r="C2831" s="1597">
        <v>4292.0</v>
      </c>
      <c r="D2831" s="1490">
        <v>21.0</v>
      </c>
      <c r="E2831" s="1" t="s">
        <v>375</v>
      </c>
    </row>
    <row r="2832">
      <c r="A2832" s="1490" t="s">
        <v>4194</v>
      </c>
      <c r="B2832" s="1490" t="s">
        <v>375</v>
      </c>
      <c r="C2832" s="1597">
        <v>78747.0</v>
      </c>
      <c r="D2832" s="1490">
        <v>101.0</v>
      </c>
      <c r="E2832" s="1" t="s">
        <v>375</v>
      </c>
    </row>
    <row r="2833">
      <c r="A2833" s="1490" t="s">
        <v>2222</v>
      </c>
      <c r="B2833" s="1490" t="s">
        <v>375</v>
      </c>
      <c r="C2833" s="1597">
        <v>6293.0</v>
      </c>
      <c r="D2833" s="1490">
        <v>8.0</v>
      </c>
      <c r="E2833" s="1" t="s">
        <v>375</v>
      </c>
    </row>
    <row r="2834">
      <c r="A2834" s="1490" t="s">
        <v>2223</v>
      </c>
      <c r="B2834" s="1490" t="s">
        <v>375</v>
      </c>
      <c r="C2834" s="1597">
        <v>33277.0</v>
      </c>
      <c r="D2834" s="1490">
        <v>56.0</v>
      </c>
      <c r="E2834" s="1" t="s">
        <v>375</v>
      </c>
    </row>
    <row r="2835">
      <c r="A2835" s="1490" t="s">
        <v>1586</v>
      </c>
      <c r="B2835" s="1490" t="s">
        <v>375</v>
      </c>
      <c r="C2835" s="1597">
        <v>16384.0</v>
      </c>
      <c r="D2835" s="1490">
        <v>42.0</v>
      </c>
      <c r="E2835" s="1" t="s">
        <v>375</v>
      </c>
    </row>
    <row r="2836">
      <c r="A2836" s="1490" t="s">
        <v>892</v>
      </c>
      <c r="B2836" s="1490" t="s">
        <v>375</v>
      </c>
      <c r="C2836" s="1597">
        <v>21221.0</v>
      </c>
      <c r="D2836" s="1490">
        <v>27.0</v>
      </c>
      <c r="E2836" s="1" t="s">
        <v>375</v>
      </c>
    </row>
    <row r="2837">
      <c r="A2837" s="1490" t="s">
        <v>2224</v>
      </c>
      <c r="B2837" s="1490" t="s">
        <v>375</v>
      </c>
      <c r="C2837" s="1597">
        <v>16999.0</v>
      </c>
      <c r="D2837" s="1490">
        <v>37.0</v>
      </c>
      <c r="E2837" s="1" t="s">
        <v>375</v>
      </c>
    </row>
    <row r="2838">
      <c r="A2838" s="1490" t="s">
        <v>1036</v>
      </c>
      <c r="B2838" s="1490" t="s">
        <v>375</v>
      </c>
      <c r="C2838" s="1597">
        <v>54973.0</v>
      </c>
      <c r="D2838" s="1490">
        <v>91.0</v>
      </c>
      <c r="E2838" s="1" t="s">
        <v>375</v>
      </c>
    </row>
    <row r="2839">
      <c r="A2839" s="1490" t="s">
        <v>1200</v>
      </c>
      <c r="B2839" s="1490" t="s">
        <v>375</v>
      </c>
      <c r="C2839" s="1597">
        <v>30772.0</v>
      </c>
      <c r="D2839" s="1490">
        <v>48.0</v>
      </c>
      <c r="E2839" s="1" t="s">
        <v>375</v>
      </c>
    </row>
    <row r="2840">
      <c r="A2840" s="1490" t="s">
        <v>248</v>
      </c>
      <c r="B2840" s="1490" t="s">
        <v>375</v>
      </c>
      <c r="C2840" s="1597">
        <v>29636.0</v>
      </c>
      <c r="D2840" s="1490">
        <v>46.0</v>
      </c>
      <c r="E2840" s="1" t="s">
        <v>375</v>
      </c>
    </row>
    <row r="2841">
      <c r="A2841" s="1490" t="s">
        <v>2226</v>
      </c>
      <c r="B2841" s="1490" t="s">
        <v>375</v>
      </c>
      <c r="C2841" s="1597">
        <v>6941.0</v>
      </c>
      <c r="D2841" s="1490">
        <v>14.0</v>
      </c>
      <c r="E2841" s="1" t="s">
        <v>375</v>
      </c>
    </row>
    <row r="2842">
      <c r="A2842" s="1490" t="s">
        <v>486</v>
      </c>
      <c r="B2842" s="1490" t="s">
        <v>375</v>
      </c>
      <c r="C2842" s="1597">
        <v>11938.0</v>
      </c>
      <c r="D2842" s="1490">
        <v>33.0</v>
      </c>
      <c r="E2842" s="1" t="s">
        <v>375</v>
      </c>
    </row>
    <row r="2843">
      <c r="A2843" s="1490" t="s">
        <v>1820</v>
      </c>
      <c r="B2843" s="1490" t="s">
        <v>375</v>
      </c>
      <c r="C2843" s="1597">
        <v>348556.0</v>
      </c>
      <c r="D2843" s="1490">
        <v>207.0</v>
      </c>
      <c r="E2843" s="1" t="s">
        <v>375</v>
      </c>
    </row>
    <row r="2844">
      <c r="A2844" s="1490" t="s">
        <v>110</v>
      </c>
      <c r="B2844" s="1490" t="s">
        <v>375</v>
      </c>
      <c r="C2844" s="1597">
        <v>14523.0</v>
      </c>
      <c r="D2844" s="1490">
        <v>15.0</v>
      </c>
      <c r="E2844" s="1" t="s">
        <v>375</v>
      </c>
    </row>
    <row r="2845">
      <c r="A2845" s="1490" t="s">
        <v>1721</v>
      </c>
      <c r="B2845" s="1490" t="s">
        <v>375</v>
      </c>
      <c r="C2845" s="1597">
        <v>5064.0</v>
      </c>
      <c r="D2845" s="1490">
        <v>7.0</v>
      </c>
      <c r="E2845" s="1" t="s">
        <v>375</v>
      </c>
    </row>
    <row r="2846">
      <c r="A2846" s="1490" t="s">
        <v>2228</v>
      </c>
      <c r="B2846" s="1490" t="s">
        <v>375</v>
      </c>
      <c r="C2846" s="1597">
        <v>51859.0</v>
      </c>
      <c r="D2846" s="1490">
        <v>60.0</v>
      </c>
      <c r="E2846" s="1" t="s">
        <v>375</v>
      </c>
    </row>
    <row r="2847">
      <c r="A2847" s="1490" t="s">
        <v>713</v>
      </c>
      <c r="B2847" s="1490" t="s">
        <v>375</v>
      </c>
      <c r="C2847" s="1597">
        <v>9809.0</v>
      </c>
      <c r="D2847" s="1490">
        <v>16.0</v>
      </c>
      <c r="E2847" s="1" t="s">
        <v>375</v>
      </c>
    </row>
    <row r="2848">
      <c r="A2848" s="1490" t="s">
        <v>2229</v>
      </c>
      <c r="B2848" s="1490" t="s">
        <v>375</v>
      </c>
      <c r="C2848" s="1597">
        <v>14523.0</v>
      </c>
      <c r="D2848" s="1490">
        <v>14.0</v>
      </c>
      <c r="E2848" s="1" t="s">
        <v>375</v>
      </c>
    </row>
    <row r="2849">
      <c r="A2849" s="1490" t="s">
        <v>2230</v>
      </c>
      <c r="B2849" s="1490" t="s">
        <v>375</v>
      </c>
      <c r="C2849" s="1597">
        <v>28529.0</v>
      </c>
      <c r="D2849" s="1490">
        <v>40.0</v>
      </c>
      <c r="E2849" s="1" t="s">
        <v>375</v>
      </c>
    </row>
    <row r="2850">
      <c r="A2850" s="1490" t="s">
        <v>516</v>
      </c>
      <c r="B2850" s="1490" t="s">
        <v>375</v>
      </c>
      <c r="C2850" s="1597">
        <v>10919.0</v>
      </c>
      <c r="D2850" s="1490">
        <v>24.0</v>
      </c>
      <c r="E2850" s="1" t="s">
        <v>375</v>
      </c>
    </row>
    <row r="2851">
      <c r="A2851" s="1490" t="s">
        <v>374</v>
      </c>
      <c r="B2851" s="1490" t="s">
        <v>375</v>
      </c>
      <c r="C2851" s="1597">
        <v>1150795.0</v>
      </c>
      <c r="D2851" s="1490">
        <v>440.0</v>
      </c>
      <c r="E2851" s="1" t="s">
        <v>375</v>
      </c>
    </row>
    <row r="2852">
      <c r="A2852" s="1490" t="s">
        <v>2232</v>
      </c>
      <c r="B2852" s="1490" t="s">
        <v>375</v>
      </c>
      <c r="C2852" s="1597">
        <v>70675.0</v>
      </c>
      <c r="D2852" s="1490">
        <v>93.0</v>
      </c>
      <c r="E2852" s="1" t="s">
        <v>375</v>
      </c>
    </row>
    <row r="2853">
      <c r="A2853" s="1490" t="s">
        <v>575</v>
      </c>
      <c r="B2853" s="1490" t="s">
        <v>375</v>
      </c>
      <c r="C2853" s="1597">
        <v>15795.0</v>
      </c>
      <c r="D2853" s="1490">
        <v>34.0</v>
      </c>
      <c r="E2853" s="1" t="s">
        <v>375</v>
      </c>
    </row>
    <row r="2854">
      <c r="A2854" s="1490" t="s">
        <v>2234</v>
      </c>
      <c r="B2854" s="1490" t="s">
        <v>375</v>
      </c>
      <c r="C2854" s="1597">
        <v>26783.0</v>
      </c>
      <c r="D2854" s="1490">
        <v>32.0</v>
      </c>
      <c r="E2854" s="1" t="s">
        <v>375</v>
      </c>
    </row>
    <row r="2855">
      <c r="A2855" s="1490" t="s">
        <v>4202</v>
      </c>
      <c r="B2855" s="1490" t="s">
        <v>375</v>
      </c>
      <c r="C2855" s="1597">
        <v>56195.0</v>
      </c>
      <c r="D2855" s="1490">
        <v>82.0</v>
      </c>
      <c r="E2855" s="1" t="s">
        <v>375</v>
      </c>
    </row>
    <row r="2856">
      <c r="A2856" s="1490" t="s">
        <v>1206</v>
      </c>
      <c r="B2856" s="1490" t="s">
        <v>375</v>
      </c>
      <c r="C2856" s="1597">
        <v>88355.0</v>
      </c>
      <c r="D2856" s="1490">
        <v>71.0</v>
      </c>
      <c r="E2856" s="1" t="s">
        <v>375</v>
      </c>
    </row>
    <row r="2857">
      <c r="A2857" s="1490" t="s">
        <v>1907</v>
      </c>
      <c r="B2857" s="1490" t="s">
        <v>375</v>
      </c>
      <c r="C2857" s="1597">
        <v>16844.0</v>
      </c>
      <c r="D2857" s="1490">
        <v>28.0</v>
      </c>
      <c r="E2857" s="1" t="s">
        <v>375</v>
      </c>
    </row>
    <row r="2858">
      <c r="A2858" s="1490" t="s">
        <v>1528</v>
      </c>
      <c r="B2858" s="1490" t="s">
        <v>375</v>
      </c>
      <c r="C2858" s="1597">
        <v>37349.0</v>
      </c>
      <c r="D2858" s="1490">
        <v>40.0</v>
      </c>
      <c r="E2858" s="1" t="s">
        <v>375</v>
      </c>
    </row>
    <row r="2859">
      <c r="A2859" s="1490" t="s">
        <v>2236</v>
      </c>
      <c r="B2859" s="1490" t="s">
        <v>375</v>
      </c>
      <c r="C2859" s="1597">
        <v>23244.0</v>
      </c>
      <c r="D2859" s="1490">
        <v>33.0</v>
      </c>
      <c r="E2859" s="1" t="s">
        <v>375</v>
      </c>
    </row>
    <row r="2860">
      <c r="A2860" s="1490" t="s">
        <v>1072</v>
      </c>
      <c r="B2860" s="1490" t="s">
        <v>375</v>
      </c>
      <c r="C2860" s="1597">
        <v>15631.0</v>
      </c>
      <c r="D2860" s="1490">
        <v>21.0</v>
      </c>
      <c r="E2860" s="1" t="s">
        <v>375</v>
      </c>
    </row>
    <row r="2861">
      <c r="A2861" s="1490" t="s">
        <v>138</v>
      </c>
      <c r="B2861" s="1490" t="s">
        <v>375</v>
      </c>
      <c r="C2861" s="1597">
        <v>19779.0</v>
      </c>
      <c r="D2861" s="1490">
        <v>16.0</v>
      </c>
      <c r="E2861" s="1" t="s">
        <v>375</v>
      </c>
    </row>
    <row r="2862">
      <c r="A2862" s="1490" t="s">
        <v>2237</v>
      </c>
      <c r="B2862" s="1490" t="s">
        <v>375</v>
      </c>
      <c r="C2862" s="1597">
        <v>11627.0</v>
      </c>
      <c r="D2862" s="1490">
        <v>22.0</v>
      </c>
      <c r="E2862" s="1" t="s">
        <v>375</v>
      </c>
    </row>
    <row r="2863">
      <c r="A2863" s="1490" t="s">
        <v>1605</v>
      </c>
      <c r="B2863" s="1490" t="s">
        <v>375</v>
      </c>
      <c r="C2863" s="1597">
        <v>34120.0</v>
      </c>
      <c r="D2863" s="1490">
        <v>81.0</v>
      </c>
      <c r="E2863" s="1" t="s">
        <v>375</v>
      </c>
    </row>
    <row r="2864">
      <c r="A2864" s="1490" t="s">
        <v>2238</v>
      </c>
      <c r="B2864" s="1490" t="s">
        <v>375</v>
      </c>
      <c r="C2864" s="1597">
        <v>107239.0</v>
      </c>
      <c r="D2864" s="1490">
        <v>116.0</v>
      </c>
      <c r="E2864" s="1" t="s">
        <v>375</v>
      </c>
    </row>
    <row r="2865">
      <c r="A2865" s="1490" t="s">
        <v>2239</v>
      </c>
      <c r="B2865" s="1490" t="s">
        <v>375</v>
      </c>
      <c r="C2865" s="1597">
        <v>329261.0</v>
      </c>
      <c r="D2865" s="1490">
        <v>184.0</v>
      </c>
      <c r="E2865" s="1" t="s">
        <v>375</v>
      </c>
    </row>
    <row r="2866">
      <c r="A2866" s="1490" t="s">
        <v>140</v>
      </c>
      <c r="B2866" s="1490" t="s">
        <v>375</v>
      </c>
      <c r="C2866" s="1597">
        <v>50953.0</v>
      </c>
      <c r="D2866" s="1490">
        <v>118.0</v>
      </c>
      <c r="E2866" s="1" t="s">
        <v>375</v>
      </c>
    </row>
    <row r="2867">
      <c r="A2867" s="1490" t="s">
        <v>1684</v>
      </c>
      <c r="B2867" s="1490" t="s">
        <v>375</v>
      </c>
      <c r="C2867" s="1597">
        <v>2210.0</v>
      </c>
      <c r="D2867" s="1490">
        <v>13.0</v>
      </c>
      <c r="E2867" s="1" t="s">
        <v>375</v>
      </c>
    </row>
    <row r="2868">
      <c r="A2868" s="1490" t="s">
        <v>4207</v>
      </c>
      <c r="B2868" s="1490" t="s">
        <v>375</v>
      </c>
      <c r="C2868" s="1597">
        <v>36953.0</v>
      </c>
      <c r="D2868" s="1490">
        <v>57.0</v>
      </c>
      <c r="E2868" s="1" t="s">
        <v>375</v>
      </c>
    </row>
    <row r="2869">
      <c r="A2869" s="1490" t="s">
        <v>2242</v>
      </c>
      <c r="B2869" s="1490" t="s">
        <v>375</v>
      </c>
      <c r="C2869" s="1597">
        <v>76397.0</v>
      </c>
      <c r="D2869" s="1490">
        <v>45.0</v>
      </c>
      <c r="E2869" s="1" t="s">
        <v>375</v>
      </c>
    </row>
    <row r="2870">
      <c r="A2870" s="1490" t="s">
        <v>4208</v>
      </c>
      <c r="B2870" s="1490" t="s">
        <v>375</v>
      </c>
      <c r="C2870" s="1597">
        <v>7042.0</v>
      </c>
      <c r="D2870" s="1490">
        <v>14.0</v>
      </c>
      <c r="E2870" s="1" t="s">
        <v>375</v>
      </c>
    </row>
    <row r="2871">
      <c r="A2871" s="1490" t="s">
        <v>2244</v>
      </c>
      <c r="B2871" s="1490" t="s">
        <v>375</v>
      </c>
      <c r="C2871" s="1597">
        <v>26575.0</v>
      </c>
      <c r="D2871" s="1490">
        <v>25.0</v>
      </c>
      <c r="E2871" s="1" t="s">
        <v>375</v>
      </c>
    </row>
    <row r="2872">
      <c r="A2872" s="1490" t="s">
        <v>2245</v>
      </c>
      <c r="B2872" s="1490" t="s">
        <v>375</v>
      </c>
      <c r="C2872" s="1597">
        <v>16939.0</v>
      </c>
      <c r="D2872" s="1490">
        <v>29.0</v>
      </c>
      <c r="E2872" s="1" t="s">
        <v>375</v>
      </c>
    </row>
    <row r="2873">
      <c r="A2873" s="1490" t="s">
        <v>650</v>
      </c>
      <c r="B2873" s="1490" t="s">
        <v>375</v>
      </c>
      <c r="C2873" s="1597">
        <v>10783.0</v>
      </c>
      <c r="D2873" s="1490">
        <v>26.0</v>
      </c>
      <c r="E2873" s="1" t="s">
        <v>375</v>
      </c>
    </row>
    <row r="2874">
      <c r="A2874" s="1490" t="s">
        <v>147</v>
      </c>
      <c r="B2874" s="1490" t="s">
        <v>375</v>
      </c>
      <c r="C2874" s="1597">
        <v>23541.0</v>
      </c>
      <c r="D2874" s="1490">
        <v>23.0</v>
      </c>
      <c r="E2874" s="1" t="s">
        <v>375</v>
      </c>
    </row>
    <row r="2875">
      <c r="A2875" s="1490" t="s">
        <v>2247</v>
      </c>
      <c r="B2875" s="1490" t="s">
        <v>375</v>
      </c>
      <c r="C2875" s="1597">
        <v>406850.0</v>
      </c>
      <c r="D2875" s="1490">
        <v>125.0</v>
      </c>
      <c r="E2875" s="1" t="s">
        <v>375</v>
      </c>
    </row>
    <row r="2876">
      <c r="A2876" s="1490" t="s">
        <v>908</v>
      </c>
      <c r="B2876" s="1490" t="s">
        <v>375</v>
      </c>
      <c r="C2876" s="1597">
        <v>36778.0</v>
      </c>
      <c r="D2876" s="1490">
        <v>58.0</v>
      </c>
      <c r="E2876" s="1" t="s">
        <v>375</v>
      </c>
    </row>
    <row r="2877">
      <c r="A2877" s="1490" t="s">
        <v>2248</v>
      </c>
      <c r="B2877" s="1490" t="s">
        <v>375</v>
      </c>
      <c r="C2877" s="1597">
        <v>12086.0</v>
      </c>
      <c r="D2877" s="1490">
        <v>35.0</v>
      </c>
      <c r="E2877" s="1" t="s">
        <v>375</v>
      </c>
    </row>
    <row r="2878">
      <c r="A2878" s="1490" t="s">
        <v>151</v>
      </c>
      <c r="B2878" s="1490" t="s">
        <v>375</v>
      </c>
      <c r="C2878" s="1597">
        <v>13295.0</v>
      </c>
      <c r="D2878" s="1490">
        <v>22.0</v>
      </c>
      <c r="E2878" s="1" t="s">
        <v>375</v>
      </c>
    </row>
    <row r="2879">
      <c r="A2879" s="1490" t="s">
        <v>2249</v>
      </c>
      <c r="B2879" s="1490" t="s">
        <v>375</v>
      </c>
      <c r="C2879" s="1597">
        <v>8802.0</v>
      </c>
      <c r="D2879" s="1490">
        <v>24.0</v>
      </c>
      <c r="E2879" s="1" t="s">
        <v>375</v>
      </c>
    </row>
    <row r="2880">
      <c r="A2880" s="1490" t="s">
        <v>381</v>
      </c>
      <c r="B2880" s="1490" t="s">
        <v>375</v>
      </c>
      <c r="C2880" s="1597">
        <v>30650.0</v>
      </c>
      <c r="D2880" s="1490">
        <v>59.0</v>
      </c>
      <c r="E2880" s="1" t="s">
        <v>375</v>
      </c>
    </row>
    <row r="2881">
      <c r="A2881" s="1490" t="s">
        <v>281</v>
      </c>
      <c r="B2881" s="1490" t="s">
        <v>375</v>
      </c>
      <c r="C2881" s="1597">
        <v>10769.0</v>
      </c>
      <c r="D2881" s="1490">
        <v>17.0</v>
      </c>
      <c r="E2881" s="1" t="s">
        <v>375</v>
      </c>
    </row>
    <row r="2882">
      <c r="A2882" s="1490" t="s">
        <v>157</v>
      </c>
      <c r="B2882" s="1490" t="s">
        <v>375</v>
      </c>
      <c r="C2882" s="1597">
        <v>98985.0</v>
      </c>
      <c r="D2882" s="1490">
        <v>92.0</v>
      </c>
      <c r="E2882" s="1" t="s">
        <v>375</v>
      </c>
    </row>
    <row r="2883">
      <c r="A2883" s="1490" t="s">
        <v>1125</v>
      </c>
      <c r="B2883" s="1490" t="s">
        <v>375</v>
      </c>
      <c r="C2883" s="1597">
        <v>14836.0</v>
      </c>
      <c r="D2883" s="1490">
        <v>42.0</v>
      </c>
      <c r="E2883" s="1" t="s">
        <v>375</v>
      </c>
    </row>
    <row r="2884">
      <c r="A2884" s="1490" t="s">
        <v>2250</v>
      </c>
      <c r="B2884" s="1490" t="s">
        <v>375</v>
      </c>
      <c r="C2884" s="1597">
        <v>22391.0</v>
      </c>
      <c r="D2884" s="1490">
        <v>25.0</v>
      </c>
      <c r="E2884" s="1" t="s">
        <v>375</v>
      </c>
    </row>
    <row r="2885">
      <c r="A2885" s="1490" t="s">
        <v>1618</v>
      </c>
      <c r="B2885" s="1490" t="s">
        <v>375</v>
      </c>
      <c r="C2885" s="1597">
        <v>11735.0</v>
      </c>
      <c r="D2885" s="1490">
        <v>31.0</v>
      </c>
      <c r="E2885" s="1" t="s">
        <v>375</v>
      </c>
    </row>
    <row r="2886">
      <c r="A2886" s="1490" t="s">
        <v>1804</v>
      </c>
      <c r="B2886" s="1490" t="s">
        <v>375</v>
      </c>
      <c r="C2886" s="1597">
        <v>12147.0</v>
      </c>
      <c r="D2886" s="1490">
        <v>27.0</v>
      </c>
      <c r="E2886" s="1" t="s">
        <v>375</v>
      </c>
    </row>
    <row r="2887">
      <c r="A2887" s="1490" t="s">
        <v>2251</v>
      </c>
      <c r="B2887" s="1490" t="s">
        <v>375</v>
      </c>
      <c r="C2887" s="1597">
        <v>15420.0</v>
      </c>
      <c r="D2887" s="1490">
        <v>38.0</v>
      </c>
      <c r="E2887" s="1" t="s">
        <v>375</v>
      </c>
    </row>
    <row r="2888">
      <c r="A2888" s="1490" t="s">
        <v>241</v>
      </c>
      <c r="B2888" s="1490" t="s">
        <v>375</v>
      </c>
      <c r="C2888" s="1597">
        <v>36644.0</v>
      </c>
      <c r="D2888" s="1490">
        <v>51.0</v>
      </c>
      <c r="E2888" s="1" t="s">
        <v>375</v>
      </c>
    </row>
    <row r="2889">
      <c r="A2889" s="1490" t="s">
        <v>927</v>
      </c>
      <c r="B2889" s="1490" t="s">
        <v>375</v>
      </c>
      <c r="C2889" s="1597">
        <v>23933.0</v>
      </c>
      <c r="D2889" s="1490">
        <v>37.0</v>
      </c>
      <c r="E2889" s="1" t="s">
        <v>375</v>
      </c>
    </row>
    <row r="2890">
      <c r="A2890" s="1490" t="s">
        <v>2252</v>
      </c>
      <c r="B2890" s="1490" t="s">
        <v>375</v>
      </c>
      <c r="C2890" s="1597">
        <v>17673.0</v>
      </c>
      <c r="D2890" s="1490">
        <v>42.0</v>
      </c>
      <c r="E2890" s="1" t="s">
        <v>375</v>
      </c>
    </row>
    <row r="2891">
      <c r="A2891" s="1490" t="s">
        <v>2254</v>
      </c>
      <c r="B2891" s="1490" t="s">
        <v>375</v>
      </c>
      <c r="C2891" s="1597">
        <v>60949.0</v>
      </c>
      <c r="D2891" s="1490">
        <v>147.0</v>
      </c>
      <c r="E2891" s="1" t="s">
        <v>375</v>
      </c>
    </row>
    <row r="2892">
      <c r="A2892" s="1490" t="s">
        <v>2255</v>
      </c>
      <c r="B2892" s="1490" t="s">
        <v>375</v>
      </c>
      <c r="C2892" s="1597">
        <v>29189.0</v>
      </c>
      <c r="D2892" s="1490">
        <v>33.0</v>
      </c>
      <c r="E2892" s="1" t="s">
        <v>375</v>
      </c>
    </row>
    <row r="2893">
      <c r="A2893" s="1490" t="s">
        <v>2256</v>
      </c>
      <c r="B2893" s="1490" t="s">
        <v>375</v>
      </c>
      <c r="C2893" s="1597">
        <v>22950.0</v>
      </c>
      <c r="D2893" s="1490">
        <v>42.0</v>
      </c>
      <c r="E2893" s="1" t="s">
        <v>375</v>
      </c>
    </row>
    <row r="2894">
      <c r="A2894" s="1490" t="s">
        <v>2257</v>
      </c>
      <c r="B2894" s="1490" t="s">
        <v>375</v>
      </c>
      <c r="C2894" s="1597">
        <v>38082.0</v>
      </c>
      <c r="D2894" s="1490">
        <v>30.0</v>
      </c>
      <c r="E2894" s="1" t="s">
        <v>375</v>
      </c>
    </row>
    <row r="2895">
      <c r="A2895" s="1490" t="s">
        <v>2258</v>
      </c>
      <c r="B2895" s="1490" t="s">
        <v>375</v>
      </c>
      <c r="C2895" s="1597">
        <v>468011.0</v>
      </c>
      <c r="D2895" s="1490">
        <v>190.0</v>
      </c>
      <c r="E2895" s="1" t="s">
        <v>375</v>
      </c>
    </row>
    <row r="2896">
      <c r="A2896" s="1490" t="s">
        <v>305</v>
      </c>
      <c r="B2896" s="1490" t="s">
        <v>375</v>
      </c>
      <c r="C2896" s="1597">
        <v>34066.0</v>
      </c>
      <c r="D2896" s="1490">
        <v>55.0</v>
      </c>
      <c r="E2896" s="1" t="s">
        <v>375</v>
      </c>
    </row>
    <row r="2897">
      <c r="A2897" s="1490" t="s">
        <v>2259</v>
      </c>
      <c r="B2897" s="1490" t="s">
        <v>375</v>
      </c>
      <c r="C2897" s="1597">
        <v>7252.0</v>
      </c>
      <c r="D2897" s="1490">
        <v>20.0</v>
      </c>
      <c r="E2897" s="1" t="s">
        <v>375</v>
      </c>
    </row>
    <row r="2898">
      <c r="A2898" s="1490" t="s">
        <v>4216</v>
      </c>
      <c r="B2898" s="1490" t="s">
        <v>375</v>
      </c>
      <c r="C2898" s="1597">
        <v>9038.0</v>
      </c>
      <c r="D2898" s="1490">
        <v>16.0</v>
      </c>
      <c r="E2898" s="1" t="s">
        <v>375</v>
      </c>
    </row>
    <row r="2899">
      <c r="A2899" s="1490" t="s">
        <v>4217</v>
      </c>
      <c r="B2899" s="1490" t="s">
        <v>375</v>
      </c>
      <c r="C2899" s="1597">
        <v>94073.0</v>
      </c>
      <c r="D2899" s="1490">
        <v>107.0</v>
      </c>
      <c r="E2899" s="1" t="s">
        <v>375</v>
      </c>
    </row>
    <row r="2900">
      <c r="A2900" s="1490" t="s">
        <v>2261</v>
      </c>
      <c r="B2900" s="1490" t="s">
        <v>375</v>
      </c>
      <c r="C2900" s="1597">
        <v>22752.0</v>
      </c>
      <c r="D2900" s="1490">
        <v>39.0</v>
      </c>
      <c r="E2900" s="1" t="s">
        <v>375</v>
      </c>
    </row>
    <row r="2901">
      <c r="A2901" s="1490" t="s">
        <v>1523</v>
      </c>
      <c r="B2901" s="1490" t="s">
        <v>375</v>
      </c>
      <c r="C2901" s="1597">
        <v>81244.0</v>
      </c>
      <c r="D2901" s="1490">
        <v>131.0</v>
      </c>
      <c r="E2901" s="1" t="s">
        <v>375</v>
      </c>
    </row>
    <row r="2902">
      <c r="A2902" s="1490" t="s">
        <v>165</v>
      </c>
      <c r="B2902" s="1490" t="s">
        <v>375</v>
      </c>
      <c r="C2902" s="1597">
        <v>26748.0</v>
      </c>
      <c r="D2902" s="1490">
        <v>39.0</v>
      </c>
      <c r="E2902" s="1" t="s">
        <v>375</v>
      </c>
    </row>
    <row r="2903">
      <c r="A2903" s="1490" t="s">
        <v>309</v>
      </c>
      <c r="B2903" s="1490" t="s">
        <v>375</v>
      </c>
      <c r="C2903" s="1597">
        <v>21534.0</v>
      </c>
      <c r="D2903" s="1490">
        <v>44.0</v>
      </c>
      <c r="E2903" s="1" t="s">
        <v>375</v>
      </c>
    </row>
    <row r="2904">
      <c r="A2904" s="1490" t="s">
        <v>2263</v>
      </c>
      <c r="B2904" s="1490" t="s">
        <v>375</v>
      </c>
      <c r="C2904" s="1597">
        <v>43497.0</v>
      </c>
      <c r="D2904" s="1490">
        <v>90.0</v>
      </c>
      <c r="E2904" s="1" t="s">
        <v>375</v>
      </c>
    </row>
    <row r="2905">
      <c r="A2905" s="1490" t="s">
        <v>2264</v>
      </c>
      <c r="B2905" s="1490" t="s">
        <v>375</v>
      </c>
      <c r="C2905" s="1597">
        <v>30472.0</v>
      </c>
      <c r="D2905" s="1490">
        <v>47.0</v>
      </c>
      <c r="E2905" s="1" t="s">
        <v>375</v>
      </c>
    </row>
    <row r="2906">
      <c r="A2906" s="1490" t="s">
        <v>2265</v>
      </c>
      <c r="B2906" s="1490" t="s">
        <v>375</v>
      </c>
      <c r="C2906" s="1597">
        <v>17586.0</v>
      </c>
      <c r="D2906" s="1490">
        <v>56.0</v>
      </c>
      <c r="E2906" s="1" t="s">
        <v>375</v>
      </c>
    </row>
    <row r="2907">
      <c r="A2907" s="1490" t="s">
        <v>2266</v>
      </c>
      <c r="B2907" s="1490" t="s">
        <v>375</v>
      </c>
      <c r="C2907" s="1597">
        <v>134238.0</v>
      </c>
      <c r="D2907" s="1490">
        <v>77.0</v>
      </c>
      <c r="E2907" s="1" t="s">
        <v>375</v>
      </c>
    </row>
    <row r="2908">
      <c r="A2908" s="1490" t="s">
        <v>1013</v>
      </c>
      <c r="B2908" s="1490" t="s">
        <v>375</v>
      </c>
      <c r="C2908" s="1597">
        <v>149960.0</v>
      </c>
      <c r="D2908" s="1490">
        <v>89.0</v>
      </c>
      <c r="E2908" s="1" t="s">
        <v>375</v>
      </c>
    </row>
    <row r="2909">
      <c r="A2909" s="1490" t="s">
        <v>1631</v>
      </c>
      <c r="B2909" s="1490" t="s">
        <v>375</v>
      </c>
      <c r="C2909" s="1597">
        <v>6474.0</v>
      </c>
      <c r="D2909" s="1490">
        <v>25.0</v>
      </c>
      <c r="E2909" s="1" t="s">
        <v>375</v>
      </c>
    </row>
    <row r="2910">
      <c r="A2910" s="1490" t="s">
        <v>476</v>
      </c>
      <c r="B2910" s="1490" t="s">
        <v>375</v>
      </c>
      <c r="C2910" s="1597">
        <v>11237.0</v>
      </c>
      <c r="D2910" s="1490">
        <v>37.0</v>
      </c>
      <c r="E2910" s="1" t="s">
        <v>375</v>
      </c>
    </row>
    <row r="2911">
      <c r="A2911" s="1490" t="s">
        <v>749</v>
      </c>
      <c r="B2911" s="1490" t="s">
        <v>375</v>
      </c>
      <c r="C2911" s="1597">
        <v>40855.0</v>
      </c>
      <c r="D2911" s="1490">
        <v>75.0</v>
      </c>
      <c r="E2911" s="1" t="s">
        <v>375</v>
      </c>
    </row>
    <row r="2912">
      <c r="A2912" s="1490" t="s">
        <v>647</v>
      </c>
      <c r="B2912" s="1490" t="s">
        <v>375</v>
      </c>
      <c r="C2912" s="1597">
        <v>40003.0</v>
      </c>
      <c r="D2912" s="1490">
        <v>37.0</v>
      </c>
      <c r="E2912" s="1" t="s">
        <v>375</v>
      </c>
    </row>
    <row r="2913">
      <c r="A2913" s="1490" t="s">
        <v>119</v>
      </c>
      <c r="B2913" s="1490" t="s">
        <v>375</v>
      </c>
      <c r="C2913" s="1597">
        <v>54402.0</v>
      </c>
      <c r="D2913" s="1490">
        <v>89.0</v>
      </c>
      <c r="E2913" s="1" t="s">
        <v>375</v>
      </c>
    </row>
    <row r="2914">
      <c r="A2914" s="1490" t="s">
        <v>1810</v>
      </c>
      <c r="B2914" s="1490" t="s">
        <v>375</v>
      </c>
      <c r="C2914" s="1597">
        <v>17830.0</v>
      </c>
      <c r="D2914" s="1490">
        <v>39.0</v>
      </c>
      <c r="E2914" s="1" t="s">
        <v>375</v>
      </c>
    </row>
    <row r="2915">
      <c r="A2915" s="1490" t="s">
        <v>2178</v>
      </c>
      <c r="B2915" s="1490" t="s">
        <v>375</v>
      </c>
      <c r="C2915" s="1597">
        <v>38012.0</v>
      </c>
      <c r="D2915" s="1490">
        <v>55.0</v>
      </c>
      <c r="E2915" s="1" t="s">
        <v>375</v>
      </c>
    </row>
    <row r="2916">
      <c r="A2916" s="1490" t="s">
        <v>2267</v>
      </c>
      <c r="B2916" s="1490" t="s">
        <v>375</v>
      </c>
      <c r="C2916" s="1597">
        <v>28754.0</v>
      </c>
      <c r="D2916" s="1490">
        <v>41.0</v>
      </c>
      <c r="E2916" s="1" t="s">
        <v>375</v>
      </c>
    </row>
    <row r="2917">
      <c r="A2917" s="1490" t="s">
        <v>1196</v>
      </c>
      <c r="B2917" s="1490" t="s">
        <v>375</v>
      </c>
      <c r="C2917" s="1597">
        <v>67846.0</v>
      </c>
      <c r="D2917" s="1490">
        <v>52.0</v>
      </c>
      <c r="E2917" s="1" t="s">
        <v>375</v>
      </c>
    </row>
    <row r="2918">
      <c r="A2918" s="1490" t="s">
        <v>4192</v>
      </c>
      <c r="B2918" s="1490" t="s">
        <v>375</v>
      </c>
      <c r="C2918" s="1597">
        <v>160530.0</v>
      </c>
      <c r="D2918" s="1490">
        <v>63.0</v>
      </c>
      <c r="E2918" s="1" t="s">
        <v>375</v>
      </c>
    </row>
    <row r="2919">
      <c r="A2919" s="1490" t="s">
        <v>634</v>
      </c>
      <c r="B2919" s="1490" t="s">
        <v>375</v>
      </c>
      <c r="C2919" s="1597">
        <v>16482.0</v>
      </c>
      <c r="D2919" s="1490">
        <v>44.0</v>
      </c>
      <c r="E2919" s="1" t="s">
        <v>375</v>
      </c>
    </row>
    <row r="2920">
      <c r="A2920" s="1490" t="s">
        <v>893</v>
      </c>
      <c r="B2920" s="1490" t="s">
        <v>375</v>
      </c>
      <c r="C2920" s="1597">
        <v>6237.0</v>
      </c>
      <c r="D2920" s="1490">
        <v>13.0</v>
      </c>
      <c r="E2920" s="1" t="s">
        <v>375</v>
      </c>
    </row>
    <row r="2921">
      <c r="A2921" s="1490" t="s">
        <v>4195</v>
      </c>
      <c r="B2921" s="1490" t="s">
        <v>375</v>
      </c>
      <c r="C2921" s="1597">
        <v>48117.0</v>
      </c>
      <c r="D2921" s="1490">
        <v>44.0</v>
      </c>
      <c r="E2921" s="1" t="s">
        <v>375</v>
      </c>
    </row>
    <row r="2922">
      <c r="A2922" s="1490" t="s">
        <v>4196</v>
      </c>
      <c r="B2922" s="1490" t="s">
        <v>375</v>
      </c>
      <c r="C2922" s="1597">
        <v>242634.0</v>
      </c>
      <c r="D2922" s="1490">
        <v>190.0</v>
      </c>
      <c r="E2922" s="1" t="s">
        <v>375</v>
      </c>
    </row>
    <row r="2923">
      <c r="A2923" s="1490" t="s">
        <v>4197</v>
      </c>
      <c r="B2923" s="1490" t="s">
        <v>375</v>
      </c>
      <c r="C2923" s="1597">
        <v>17833.0</v>
      </c>
      <c r="D2923" s="1490">
        <v>17.0</v>
      </c>
      <c r="E2923" s="1" t="s">
        <v>375</v>
      </c>
    </row>
    <row r="2924">
      <c r="A2924" s="1490" t="s">
        <v>126</v>
      </c>
      <c r="B2924" s="1490" t="s">
        <v>375</v>
      </c>
      <c r="C2924" s="1597">
        <v>5460.0</v>
      </c>
      <c r="D2924" s="1490">
        <v>28.0</v>
      </c>
      <c r="E2924" s="1" t="s">
        <v>375</v>
      </c>
    </row>
    <row r="2925">
      <c r="A2925" s="1490" t="s">
        <v>4199</v>
      </c>
      <c r="B2925" s="1490" t="s">
        <v>375</v>
      </c>
      <c r="C2925" s="1597">
        <v>40693.0</v>
      </c>
      <c r="D2925" s="1490">
        <v>94.0</v>
      </c>
      <c r="E2925" s="1" t="s">
        <v>375</v>
      </c>
    </row>
    <row r="2926">
      <c r="A2926" s="1490" t="s">
        <v>4200</v>
      </c>
      <c r="B2926" s="1490" t="s">
        <v>375</v>
      </c>
      <c r="C2926" s="1597">
        <v>5121.0</v>
      </c>
      <c r="D2926" s="1490">
        <v>16.0</v>
      </c>
      <c r="E2926" s="1" t="s">
        <v>375</v>
      </c>
    </row>
    <row r="2927">
      <c r="A2927" s="1490" t="s">
        <v>2279</v>
      </c>
      <c r="B2927" s="1490" t="s">
        <v>375</v>
      </c>
      <c r="C2927" s="1597">
        <v>24574.0</v>
      </c>
      <c r="D2927" s="1490">
        <v>22.0</v>
      </c>
      <c r="E2927" s="1" t="s">
        <v>375</v>
      </c>
    </row>
    <row r="2928">
      <c r="A2928" s="1490" t="s">
        <v>4201</v>
      </c>
      <c r="B2928" s="1490" t="s">
        <v>375</v>
      </c>
      <c r="C2928" s="1597">
        <v>14772.0</v>
      </c>
      <c r="D2928" s="1490">
        <v>11.0</v>
      </c>
      <c r="E2928" s="1" t="s">
        <v>375</v>
      </c>
    </row>
    <row r="2929">
      <c r="A2929" s="1490" t="s">
        <v>2281</v>
      </c>
      <c r="B2929" s="1490" t="s">
        <v>375</v>
      </c>
      <c r="C2929" s="1597">
        <v>8013.0</v>
      </c>
      <c r="D2929" s="1490">
        <v>18.0</v>
      </c>
      <c r="E2929" s="1" t="s">
        <v>375</v>
      </c>
    </row>
    <row r="2930">
      <c r="A2930" s="1490" t="s">
        <v>4203</v>
      </c>
      <c r="B2930" s="1490" t="s">
        <v>375</v>
      </c>
      <c r="C2930" s="1597">
        <v>29144.0</v>
      </c>
      <c r="D2930" s="1490">
        <v>32.0</v>
      </c>
      <c r="E2930" s="1" t="s">
        <v>375</v>
      </c>
    </row>
    <row r="2931">
      <c r="A2931" s="1490" t="s">
        <v>4204</v>
      </c>
      <c r="B2931" s="1490" t="s">
        <v>375</v>
      </c>
      <c r="C2931" s="1597">
        <v>6423.0</v>
      </c>
      <c r="D2931" s="1490">
        <v>13.0</v>
      </c>
      <c r="E2931" s="1" t="s">
        <v>375</v>
      </c>
    </row>
    <row r="2932">
      <c r="A2932" s="1490" t="s">
        <v>1829</v>
      </c>
      <c r="B2932" s="1490" t="s">
        <v>375</v>
      </c>
      <c r="C2932" s="1597">
        <v>134313.0</v>
      </c>
      <c r="D2932" s="1490">
        <v>115.0</v>
      </c>
      <c r="E2932" s="1" t="s">
        <v>375</v>
      </c>
    </row>
    <row r="2933">
      <c r="A2933" s="1490" t="s">
        <v>4205</v>
      </c>
      <c r="B2933" s="1490" t="s">
        <v>375</v>
      </c>
      <c r="C2933" s="1597">
        <v>54033.0</v>
      </c>
      <c r="D2933" s="1490">
        <v>54.0</v>
      </c>
      <c r="E2933" s="1" t="s">
        <v>375</v>
      </c>
    </row>
    <row r="2934">
      <c r="A2934" s="1490" t="s">
        <v>4206</v>
      </c>
      <c r="B2934" s="1490" t="s">
        <v>375</v>
      </c>
      <c r="C2934" s="1597">
        <v>22596.0</v>
      </c>
      <c r="D2934" s="1490">
        <v>32.0</v>
      </c>
      <c r="E2934" s="1" t="s">
        <v>375</v>
      </c>
    </row>
    <row r="2935">
      <c r="A2935" s="1490" t="s">
        <v>1832</v>
      </c>
      <c r="B2935" s="1490" t="s">
        <v>375</v>
      </c>
      <c r="C2935" s="1597">
        <v>7136.0</v>
      </c>
      <c r="D2935" s="1490">
        <v>15.0</v>
      </c>
      <c r="E2935" s="1" t="s">
        <v>375</v>
      </c>
    </row>
    <row r="2936">
      <c r="A2936" s="1490" t="s">
        <v>4209</v>
      </c>
      <c r="B2936" s="1490" t="s">
        <v>375</v>
      </c>
      <c r="C2936" s="1597">
        <v>82126.0</v>
      </c>
      <c r="D2936" s="1490">
        <v>95.0</v>
      </c>
      <c r="E2936" s="1" t="s">
        <v>375</v>
      </c>
    </row>
    <row r="2937">
      <c r="A2937" s="1490" t="s">
        <v>4210</v>
      </c>
      <c r="B2937" s="1490" t="s">
        <v>375</v>
      </c>
      <c r="C2937" s="1597">
        <v>41641.0</v>
      </c>
      <c r="D2937" s="1490">
        <v>22.0</v>
      </c>
      <c r="E2937" s="1" t="s">
        <v>375</v>
      </c>
    </row>
    <row r="2938">
      <c r="A2938" s="1490" t="s">
        <v>4211</v>
      </c>
      <c r="B2938" s="1490" t="s">
        <v>375</v>
      </c>
      <c r="C2938" s="1597">
        <v>17307.0</v>
      </c>
      <c r="D2938" s="1490">
        <v>3.0</v>
      </c>
      <c r="E2938" s="1" t="s">
        <v>375</v>
      </c>
    </row>
    <row r="2939">
      <c r="A2939" s="1490" t="s">
        <v>4212</v>
      </c>
      <c r="B2939" s="1490" t="s">
        <v>375</v>
      </c>
      <c r="C2939" s="1597">
        <v>12902.0</v>
      </c>
      <c r="D2939" s="1490">
        <v>33.0</v>
      </c>
      <c r="E2939" s="1" t="s">
        <v>375</v>
      </c>
    </row>
    <row r="2940">
      <c r="A2940" s="1490" t="s">
        <v>4213</v>
      </c>
      <c r="B2940" s="1490" t="s">
        <v>375</v>
      </c>
      <c r="C2940" s="1597">
        <v>178626.0</v>
      </c>
      <c r="D2940" s="1490">
        <v>139.0</v>
      </c>
      <c r="E2940" s="1" t="s">
        <v>375</v>
      </c>
    </row>
    <row r="2941">
      <c r="A2941" s="1490" t="s">
        <v>558</v>
      </c>
      <c r="B2941" s="1490" t="s">
        <v>375</v>
      </c>
      <c r="C2941" s="1597">
        <v>244076.0</v>
      </c>
      <c r="D2941" s="1490">
        <v>200.0</v>
      </c>
      <c r="E2941" s="1" t="s">
        <v>375</v>
      </c>
    </row>
    <row r="2942">
      <c r="A2942" s="1490" t="s">
        <v>995</v>
      </c>
      <c r="B2942" s="1490" t="s">
        <v>375</v>
      </c>
      <c r="C2942" s="1597">
        <v>3968.0</v>
      </c>
      <c r="D2942" s="1490">
        <v>7.0</v>
      </c>
      <c r="E2942" s="1" t="s">
        <v>375</v>
      </c>
    </row>
    <row r="2943">
      <c r="A2943" s="1490" t="s">
        <v>209</v>
      </c>
      <c r="B2943" s="1490" t="s">
        <v>375</v>
      </c>
      <c r="C2943" s="1597">
        <v>31567.0</v>
      </c>
      <c r="D2943" s="1490">
        <v>61.0</v>
      </c>
      <c r="E2943" s="1" t="s">
        <v>375</v>
      </c>
    </row>
    <row r="2944">
      <c r="A2944" s="1490" t="s">
        <v>4214</v>
      </c>
      <c r="B2944" s="1490" t="s">
        <v>375</v>
      </c>
      <c r="C2944" s="1597">
        <v>12190.0</v>
      </c>
      <c r="D2944" s="1490">
        <v>9.0</v>
      </c>
      <c r="E2944" s="1" t="s">
        <v>375</v>
      </c>
    </row>
    <row r="2945">
      <c r="A2945" s="1490" t="s">
        <v>4215</v>
      </c>
      <c r="B2945" s="1490" t="s">
        <v>375</v>
      </c>
      <c r="C2945" s="1597">
        <v>94632.0</v>
      </c>
      <c r="D2945" s="1490">
        <v>95.0</v>
      </c>
      <c r="E2945" s="1" t="s">
        <v>375</v>
      </c>
    </row>
    <row r="2946">
      <c r="A2946" s="1490" t="s">
        <v>2298</v>
      </c>
      <c r="B2946" s="1490" t="s">
        <v>375</v>
      </c>
      <c r="C2946" s="1597">
        <v>18339.0</v>
      </c>
      <c r="D2946" s="1490">
        <v>17.0</v>
      </c>
      <c r="E2946" s="1" t="s">
        <v>375</v>
      </c>
    </row>
    <row r="2947">
      <c r="A2947" s="1490" t="s">
        <v>2299</v>
      </c>
      <c r="B2947" s="1490" t="s">
        <v>375</v>
      </c>
      <c r="C2947" s="1597">
        <v>228783.0</v>
      </c>
      <c r="D2947" s="1490">
        <v>220.0</v>
      </c>
      <c r="E2947" s="1" t="s">
        <v>375</v>
      </c>
    </row>
    <row r="2948">
      <c r="A2948" s="1490" t="s">
        <v>2300</v>
      </c>
      <c r="B2948" s="1490" t="s">
        <v>375</v>
      </c>
      <c r="C2948" s="1597">
        <v>99920.0</v>
      </c>
      <c r="D2948" s="1490">
        <v>135.0</v>
      </c>
      <c r="E2948" s="1" t="s">
        <v>375</v>
      </c>
    </row>
    <row r="2949">
      <c r="A2949" s="1490" t="s">
        <v>1531</v>
      </c>
      <c r="B2949" s="1490" t="s">
        <v>375</v>
      </c>
      <c r="C2949" s="1597">
        <v>25643.0</v>
      </c>
      <c r="D2949" s="1490">
        <v>34.0</v>
      </c>
      <c r="E2949" s="1" t="s">
        <v>375</v>
      </c>
    </row>
    <row r="2950">
      <c r="A2950" s="1490" t="s">
        <v>4218</v>
      </c>
      <c r="B2950" s="1490" t="s">
        <v>375</v>
      </c>
      <c r="C2950" s="1597">
        <v>24922.0</v>
      </c>
      <c r="D2950" s="1490">
        <v>46.0</v>
      </c>
      <c r="E2950" s="1" t="s">
        <v>375</v>
      </c>
    </row>
    <row r="2951">
      <c r="A2951" s="1490" t="s">
        <v>299</v>
      </c>
      <c r="B2951" s="1490" t="s">
        <v>375</v>
      </c>
      <c r="C2951" s="1597">
        <v>91185.0</v>
      </c>
      <c r="D2951" s="1490">
        <v>108.0</v>
      </c>
      <c r="E2951" s="1" t="s">
        <v>375</v>
      </c>
    </row>
    <row r="2952">
      <c r="A2952" s="1490" t="s">
        <v>4219</v>
      </c>
      <c r="B2952" s="1490" t="s">
        <v>375</v>
      </c>
      <c r="C2952" s="1597">
        <v>450189.0</v>
      </c>
      <c r="D2952" s="1490">
        <v>211.0</v>
      </c>
      <c r="E2952" s="1" t="s">
        <v>375</v>
      </c>
    </row>
    <row r="2953">
      <c r="A2953" s="1490" t="s">
        <v>4220</v>
      </c>
      <c r="B2953" s="1490" t="s">
        <v>375</v>
      </c>
      <c r="C2953" s="1597">
        <v>22628.0</v>
      </c>
      <c r="D2953" s="1490">
        <v>37.0</v>
      </c>
      <c r="E2953" s="1" t="s">
        <v>375</v>
      </c>
    </row>
    <row r="2954">
      <c r="A2954" s="1490" t="s">
        <v>1839</v>
      </c>
      <c r="B2954" s="1490" t="s">
        <v>375</v>
      </c>
      <c r="C2954" s="1597">
        <v>14896.0</v>
      </c>
      <c r="D2954" s="1490">
        <v>15.0</v>
      </c>
      <c r="E2954" s="1" t="s">
        <v>375</v>
      </c>
    </row>
    <row r="2955">
      <c r="A2955" s="1496" t="s">
        <v>3440</v>
      </c>
      <c r="B2955" s="1496" t="s">
        <v>375</v>
      </c>
      <c r="C2955" s="1598">
        <v>28108.0</v>
      </c>
      <c r="D2955" s="1496">
        <v>33.0</v>
      </c>
      <c r="E2955" s="1624" t="s">
        <v>375</v>
      </c>
      <c r="F2955" s="1624"/>
      <c r="G2955" s="1624"/>
      <c r="N2955" s="1489"/>
      <c r="O2955" s="1489"/>
      <c r="P2955" s="1489"/>
      <c r="Q2955" s="1489"/>
      <c r="R2955" s="1489"/>
      <c r="S2955" s="1489"/>
      <c r="T2955" s="1489"/>
      <c r="U2955" s="1489"/>
      <c r="V2955" s="1489"/>
      <c r="W2955" s="1489"/>
      <c r="X2955" s="1489"/>
      <c r="Y2955" s="1489"/>
      <c r="Z2955" s="1489"/>
    </row>
    <row r="2956">
      <c r="A2956" s="355" t="s">
        <v>386</v>
      </c>
      <c r="B2956" s="355" t="s">
        <v>256</v>
      </c>
      <c r="C2956" s="1562">
        <v>19759.0</v>
      </c>
      <c r="D2956" s="355">
        <v>24.0</v>
      </c>
      <c r="E2956" s="1" t="s">
        <v>256</v>
      </c>
    </row>
    <row r="2957">
      <c r="A2957" s="355" t="s">
        <v>2308</v>
      </c>
      <c r="B2957" s="355" t="s">
        <v>256</v>
      </c>
      <c r="C2957" s="1562">
        <v>22610.0</v>
      </c>
      <c r="D2957" s="355">
        <v>17.0</v>
      </c>
      <c r="E2957" s="1" t="s">
        <v>256</v>
      </c>
    </row>
    <row r="2958">
      <c r="A2958" s="355" t="s">
        <v>243</v>
      </c>
      <c r="B2958" s="355" t="s">
        <v>256</v>
      </c>
      <c r="C2958" s="1562">
        <v>201877.0</v>
      </c>
      <c r="D2958" s="355">
        <v>98.0</v>
      </c>
      <c r="E2958" s="1" t="s">
        <v>256</v>
      </c>
    </row>
    <row r="2959">
      <c r="A2959" s="355" t="s">
        <v>2309</v>
      </c>
      <c r="B2959" s="355" t="s">
        <v>256</v>
      </c>
      <c r="C2959" s="1562">
        <v>77036.0</v>
      </c>
      <c r="D2959" s="355">
        <v>63.0</v>
      </c>
      <c r="E2959" s="1" t="s">
        <v>256</v>
      </c>
      <c r="H2959" s="1489"/>
      <c r="I2959" s="1489"/>
      <c r="J2959" s="1489"/>
      <c r="K2959" s="1489"/>
      <c r="L2959" s="1489"/>
      <c r="M2959" s="1489"/>
    </row>
    <row r="2960">
      <c r="A2960" s="355" t="s">
        <v>2310</v>
      </c>
      <c r="B2960" s="355" t="s">
        <v>256</v>
      </c>
      <c r="C2960" s="1562">
        <v>76737.0</v>
      </c>
      <c r="D2960" s="355">
        <v>61.0</v>
      </c>
      <c r="E2960" s="1" t="s">
        <v>256</v>
      </c>
    </row>
    <row r="2961">
      <c r="A2961" s="355" t="s">
        <v>253</v>
      </c>
      <c r="B2961" s="355" t="s">
        <v>256</v>
      </c>
      <c r="C2961" s="1562">
        <v>481857.0</v>
      </c>
      <c r="D2961" s="355">
        <v>181.0</v>
      </c>
      <c r="E2961" s="1" t="s">
        <v>256</v>
      </c>
    </row>
    <row r="2962">
      <c r="A2962" s="355" t="s">
        <v>258</v>
      </c>
      <c r="B2962" s="355" t="s">
        <v>256</v>
      </c>
      <c r="C2962" s="1562">
        <v>4059.0</v>
      </c>
      <c r="D2962" s="355">
        <v>8.0</v>
      </c>
      <c r="E2962" s="1" t="s">
        <v>256</v>
      </c>
    </row>
    <row r="2963">
      <c r="A2963" s="355" t="s">
        <v>2311</v>
      </c>
      <c r="B2963" s="355" t="s">
        <v>256</v>
      </c>
      <c r="C2963" s="1562">
        <v>108987.0</v>
      </c>
      <c r="D2963" s="355">
        <v>92.0</v>
      </c>
      <c r="E2963" s="1" t="s">
        <v>256</v>
      </c>
    </row>
    <row r="2964">
      <c r="A2964" s="355" t="s">
        <v>412</v>
      </c>
      <c r="B2964" s="355" t="s">
        <v>256</v>
      </c>
      <c r="C2964" s="1562">
        <v>42907.0</v>
      </c>
      <c r="D2964" s="355">
        <v>27.0</v>
      </c>
      <c r="E2964" s="1" t="s">
        <v>256</v>
      </c>
    </row>
    <row r="2965">
      <c r="A2965" s="355" t="s">
        <v>2312</v>
      </c>
      <c r="B2965" s="355" t="s">
        <v>256</v>
      </c>
      <c r="C2965" s="1562">
        <v>7649.0</v>
      </c>
      <c r="D2965" s="355">
        <v>9.0</v>
      </c>
      <c r="E2965" s="1" t="s">
        <v>256</v>
      </c>
    </row>
    <row r="2966">
      <c r="A2966" s="355" t="s">
        <v>136</v>
      </c>
      <c r="B2966" s="355" t="s">
        <v>256</v>
      </c>
      <c r="C2966" s="1562">
        <v>94347.0</v>
      </c>
      <c r="D2966" s="355">
        <v>39.0</v>
      </c>
      <c r="E2966" s="1" t="s">
        <v>256</v>
      </c>
    </row>
    <row r="2967">
      <c r="A2967" s="355" t="s">
        <v>417</v>
      </c>
      <c r="B2967" s="355" t="s">
        <v>256</v>
      </c>
      <c r="C2967" s="1562">
        <v>2247.0</v>
      </c>
      <c r="D2967" s="355">
        <v>5.0</v>
      </c>
      <c r="E2967" s="1" t="s">
        <v>256</v>
      </c>
    </row>
    <row r="2968">
      <c r="A2968" s="355" t="s">
        <v>278</v>
      </c>
      <c r="B2968" s="355" t="s">
        <v>256</v>
      </c>
      <c r="C2968" s="1562">
        <v>97331.0</v>
      </c>
      <c r="D2968" s="355">
        <v>78.0</v>
      </c>
      <c r="E2968" s="1" t="s">
        <v>256</v>
      </c>
    </row>
    <row r="2969">
      <c r="A2969" s="355" t="s">
        <v>2313</v>
      </c>
      <c r="B2969" s="355" t="s">
        <v>256</v>
      </c>
      <c r="C2969" s="1562">
        <v>73901.0</v>
      </c>
      <c r="D2969" s="355">
        <v>75.0</v>
      </c>
      <c r="E2969" s="1" t="s">
        <v>256</v>
      </c>
    </row>
    <row r="2970">
      <c r="A2970" s="355" t="s">
        <v>2314</v>
      </c>
      <c r="B2970" s="355" t="s">
        <v>256</v>
      </c>
      <c r="C2970" s="1562">
        <v>84460.0</v>
      </c>
      <c r="D2970" s="355">
        <v>51.0</v>
      </c>
      <c r="E2970" s="1" t="s">
        <v>256</v>
      </c>
    </row>
    <row r="2971">
      <c r="A2971" s="355" t="s">
        <v>143</v>
      </c>
      <c r="B2971" s="355" t="s">
        <v>256</v>
      </c>
      <c r="C2971" s="1562">
        <v>31729.0</v>
      </c>
      <c r="D2971" s="355">
        <v>24.0</v>
      </c>
      <c r="E2971" s="1" t="s">
        <v>256</v>
      </c>
    </row>
    <row r="2972">
      <c r="A2972" s="355" t="s">
        <v>255</v>
      </c>
      <c r="B2972" s="355" t="s">
        <v>256</v>
      </c>
      <c r="C2972" s="1562">
        <v>2233163.0</v>
      </c>
      <c r="D2972" s="355">
        <v>828.0</v>
      </c>
      <c r="E2972" s="1" t="s">
        <v>256</v>
      </c>
    </row>
    <row r="2973">
      <c r="A2973" s="355" t="s">
        <v>2315</v>
      </c>
      <c r="B2973" s="355" t="s">
        <v>256</v>
      </c>
      <c r="C2973" s="1562">
        <v>269805.0</v>
      </c>
      <c r="D2973" s="355">
        <v>151.0</v>
      </c>
      <c r="E2973" s="1" t="s">
        <v>256</v>
      </c>
    </row>
    <row r="2974">
      <c r="A2974" s="355" t="s">
        <v>2316</v>
      </c>
      <c r="B2974" s="355" t="s">
        <v>256</v>
      </c>
      <c r="C2974" s="1562">
        <v>47364.0</v>
      </c>
      <c r="D2974" s="355">
        <v>32.0</v>
      </c>
      <c r="E2974" s="1" t="s">
        <v>256</v>
      </c>
    </row>
    <row r="2975">
      <c r="A2975" s="355" t="s">
        <v>2317</v>
      </c>
      <c r="B2975" s="355" t="s">
        <v>256</v>
      </c>
      <c r="C2975" s="1562">
        <v>22107.0</v>
      </c>
      <c r="D2975" s="355">
        <v>28.0</v>
      </c>
      <c r="E2975" s="1" t="s">
        <v>256</v>
      </c>
    </row>
    <row r="2976">
      <c r="A2976" s="355" t="s">
        <v>682</v>
      </c>
      <c r="B2976" s="355" t="s">
        <v>256</v>
      </c>
      <c r="C2976" s="1562">
        <v>79604.0</v>
      </c>
      <c r="D2976" s="355">
        <v>77.0</v>
      </c>
      <c r="E2976" s="1" t="s">
        <v>256</v>
      </c>
    </row>
    <row r="2977">
      <c r="A2977" s="355" t="s">
        <v>290</v>
      </c>
      <c r="B2977" s="355" t="s">
        <v>256</v>
      </c>
      <c r="C2977" s="1562">
        <v>10740.0</v>
      </c>
      <c r="D2977" s="355">
        <v>29.0</v>
      </c>
      <c r="E2977" s="1" t="s">
        <v>256</v>
      </c>
    </row>
    <row r="2978">
      <c r="A2978" s="355" t="s">
        <v>735</v>
      </c>
      <c r="B2978" s="355" t="s">
        <v>256</v>
      </c>
      <c r="C2978" s="1562">
        <v>65507.0</v>
      </c>
      <c r="D2978" s="355">
        <v>42.0</v>
      </c>
      <c r="E2978" s="1" t="s">
        <v>256</v>
      </c>
    </row>
    <row r="2979">
      <c r="A2979" s="355" t="s">
        <v>2318</v>
      </c>
      <c r="B2979" s="355" t="s">
        <v>256</v>
      </c>
      <c r="C2979" s="1562">
        <v>42132.0</v>
      </c>
      <c r="D2979" s="355">
        <v>56.0</v>
      </c>
      <c r="E2979" s="1" t="s">
        <v>256</v>
      </c>
    </row>
    <row r="2980">
      <c r="A2980" s="355" t="s">
        <v>2319</v>
      </c>
      <c r="B2980" s="355" t="s">
        <v>256</v>
      </c>
      <c r="C2980" s="1562">
        <v>22036.0</v>
      </c>
      <c r="D2980" s="355">
        <v>31.0</v>
      </c>
      <c r="E2980" s="1" t="s">
        <v>256</v>
      </c>
    </row>
    <row r="2981">
      <c r="A2981" s="355" t="s">
        <v>2320</v>
      </c>
      <c r="B2981" s="355" t="s">
        <v>256</v>
      </c>
      <c r="C2981" s="1562">
        <v>13602.0</v>
      </c>
      <c r="D2981" s="355">
        <v>15.0</v>
      </c>
      <c r="E2981" s="1" t="s">
        <v>256</v>
      </c>
    </row>
    <row r="2982">
      <c r="A2982" s="355" t="s">
        <v>473</v>
      </c>
      <c r="B2982" s="355" t="s">
        <v>256</v>
      </c>
      <c r="C2982" s="1562">
        <v>891299.0</v>
      </c>
      <c r="D2982" s="355">
        <v>426.0</v>
      </c>
      <c r="E2982" s="1" t="s">
        <v>256</v>
      </c>
    </row>
    <row r="2983">
      <c r="A2983" s="355" t="s">
        <v>457</v>
      </c>
      <c r="B2983" s="355" t="s">
        <v>256</v>
      </c>
      <c r="C2983" s="1562">
        <v>17128.0</v>
      </c>
      <c r="D2983" s="355">
        <v>10.0</v>
      </c>
      <c r="E2983" s="1" t="s">
        <v>256</v>
      </c>
    </row>
    <row r="2984">
      <c r="A2984" s="355" t="s">
        <v>2321</v>
      </c>
      <c r="B2984" s="355" t="s">
        <v>256</v>
      </c>
      <c r="C2984" s="1562">
        <v>128206.0</v>
      </c>
      <c r="D2984" s="355">
        <v>90.0</v>
      </c>
      <c r="E2984" s="1" t="s">
        <v>256</v>
      </c>
    </row>
    <row r="2985">
      <c r="A2985" s="355" t="s">
        <v>2322</v>
      </c>
      <c r="B2985" s="355" t="s">
        <v>256</v>
      </c>
      <c r="C2985" s="1562">
        <v>11924.0</v>
      </c>
      <c r="D2985" s="355">
        <v>11.0</v>
      </c>
      <c r="E2985" s="1" t="s">
        <v>256</v>
      </c>
    </row>
    <row r="2986">
      <c r="A2986" s="355" t="s">
        <v>507</v>
      </c>
      <c r="B2986" s="355" t="s">
        <v>256</v>
      </c>
      <c r="C2986" s="1562">
        <v>814901.0</v>
      </c>
      <c r="D2986" s="355">
        <v>321.0</v>
      </c>
      <c r="E2986" s="1" t="s">
        <v>256</v>
      </c>
    </row>
    <row r="2987">
      <c r="A2987" s="355" t="s">
        <v>2323</v>
      </c>
      <c r="B2987" s="355" t="s">
        <v>256</v>
      </c>
      <c r="C2987" s="1562">
        <v>514631.0</v>
      </c>
      <c r="D2987" s="355">
        <v>283.0</v>
      </c>
      <c r="E2987" s="1" t="s">
        <v>256</v>
      </c>
    </row>
    <row r="2988">
      <c r="A2988" s="355" t="s">
        <v>1015</v>
      </c>
      <c r="B2988" s="355" t="s">
        <v>256</v>
      </c>
      <c r="C2988" s="1562">
        <v>45260.0</v>
      </c>
      <c r="D2988" s="355">
        <v>45.0</v>
      </c>
      <c r="E2988" s="1" t="s">
        <v>256</v>
      </c>
    </row>
    <row r="2989">
      <c r="A2989" s="355" t="s">
        <v>1505</v>
      </c>
      <c r="B2989" s="355" t="s">
        <v>256</v>
      </c>
      <c r="C2989" s="1562">
        <v>286419.0</v>
      </c>
      <c r="D2989" s="355">
        <v>124.0</v>
      </c>
      <c r="E2989" s="1" t="s">
        <v>256</v>
      </c>
    </row>
    <row r="2990">
      <c r="A2990" s="355" t="s">
        <v>2324</v>
      </c>
      <c r="B2990" s="355" t="s">
        <v>256</v>
      </c>
      <c r="C2990" s="1562">
        <v>4426.0</v>
      </c>
      <c r="D2990" s="355">
        <v>7.0</v>
      </c>
      <c r="E2990" s="1" t="s">
        <v>256</v>
      </c>
    </row>
    <row r="2991">
      <c r="A2991" s="355" t="s">
        <v>2325</v>
      </c>
      <c r="B2991" s="355" t="s">
        <v>256</v>
      </c>
      <c r="C2991" s="1562">
        <v>60922.0</v>
      </c>
      <c r="D2991" s="355">
        <v>41.0</v>
      </c>
      <c r="E2991" s="1" t="s">
        <v>256</v>
      </c>
    </row>
    <row r="2992">
      <c r="A2992" s="355" t="s">
        <v>2326</v>
      </c>
      <c r="B2992" s="355" t="s">
        <v>256</v>
      </c>
      <c r="C2992" s="1562">
        <v>225685.0</v>
      </c>
      <c r="D2992" s="355">
        <v>129.0</v>
      </c>
      <c r="E2992" s="1" t="s">
        <v>256</v>
      </c>
    </row>
    <row r="2993">
      <c r="A2993" s="355" t="s">
        <v>2327</v>
      </c>
      <c r="B2993" s="355" t="s">
        <v>256</v>
      </c>
      <c r="C2993" s="1562">
        <v>49791.0</v>
      </c>
      <c r="D2993" s="355">
        <v>49.0</v>
      </c>
      <c r="E2993" s="1" t="s">
        <v>256</v>
      </c>
    </row>
    <row r="2994">
      <c r="A2994" s="1501" t="s">
        <v>2328</v>
      </c>
      <c r="B2994" s="1501" t="s">
        <v>256</v>
      </c>
      <c r="C2994" s="1564">
        <v>251446.0</v>
      </c>
      <c r="D2994" s="1501">
        <v>155.0</v>
      </c>
      <c r="E2994" s="1624" t="s">
        <v>256</v>
      </c>
      <c r="F2994" s="1624"/>
      <c r="G2994" s="1624"/>
      <c r="N2994" s="1489"/>
      <c r="O2994" s="1489"/>
      <c r="P2994" s="1489"/>
      <c r="Q2994" s="1489"/>
      <c r="R2994" s="1489"/>
      <c r="S2994" s="1489"/>
      <c r="T2994" s="1489"/>
      <c r="U2994" s="1489"/>
      <c r="V2994" s="1489"/>
      <c r="W2994" s="1489"/>
      <c r="X2994" s="1489"/>
      <c r="Y2994" s="1489"/>
      <c r="Z2994" s="1489"/>
    </row>
    <row r="2995">
      <c r="A2995" s="1490" t="s">
        <v>62</v>
      </c>
      <c r="B2995" s="1490" t="s">
        <v>2329</v>
      </c>
      <c r="C2995" s="1597">
        <v>16535.0</v>
      </c>
      <c r="D2995" s="1490">
        <v>22.0</v>
      </c>
      <c r="E2995" s="1" t="s">
        <v>2329</v>
      </c>
    </row>
    <row r="2996">
      <c r="A2996" s="1490" t="s">
        <v>1818</v>
      </c>
      <c r="B2996" s="1490" t="s">
        <v>2329</v>
      </c>
      <c r="C2996" s="1597">
        <v>117123.0</v>
      </c>
      <c r="D2996" s="1490">
        <v>86.0</v>
      </c>
      <c r="E2996" s="1" t="s">
        <v>2329</v>
      </c>
    </row>
    <row r="2997">
      <c r="A2997" s="1490" t="s">
        <v>246</v>
      </c>
      <c r="B2997" s="1490" t="s">
        <v>2329</v>
      </c>
      <c r="C2997" s="1597">
        <v>21951.0</v>
      </c>
      <c r="D2997" s="1490">
        <v>29.0</v>
      </c>
      <c r="E2997" s="1" t="s">
        <v>2329</v>
      </c>
    </row>
    <row r="2998">
      <c r="A2998" s="1490" t="s">
        <v>2330</v>
      </c>
      <c r="B2998" s="1490" t="s">
        <v>2329</v>
      </c>
      <c r="C2998" s="1597">
        <v>14089.0</v>
      </c>
      <c r="D2998" s="1490">
        <v>14.0</v>
      </c>
      <c r="E2998" s="1" t="s">
        <v>2329</v>
      </c>
      <c r="H2998" s="1489"/>
      <c r="I2998" s="1489"/>
      <c r="J2998" s="1489"/>
      <c r="K2998" s="1489"/>
      <c r="L2998" s="1489"/>
      <c r="M2998" s="1489"/>
    </row>
    <row r="2999">
      <c r="A2999" s="1490" t="s">
        <v>2331</v>
      </c>
      <c r="B2999" s="1490" t="s">
        <v>2329</v>
      </c>
      <c r="C2999" s="1597">
        <v>22203.0</v>
      </c>
      <c r="D2999" s="1490">
        <v>30.0</v>
      </c>
      <c r="E2999" s="1" t="s">
        <v>2329</v>
      </c>
    </row>
    <row r="3000">
      <c r="A3000" s="1490" t="s">
        <v>2332</v>
      </c>
      <c r="B3000" s="1490" t="s">
        <v>2329</v>
      </c>
      <c r="C3000" s="1597">
        <v>93224.0</v>
      </c>
      <c r="D3000" s="1490">
        <v>120.0</v>
      </c>
      <c r="E3000" s="1" t="s">
        <v>2329</v>
      </c>
    </row>
    <row r="3001">
      <c r="A3001" s="1490" t="s">
        <v>93</v>
      </c>
      <c r="B3001" s="1490" t="s">
        <v>2329</v>
      </c>
      <c r="C3001" s="1597">
        <v>7254.0</v>
      </c>
      <c r="D3001" s="1490">
        <v>7.0</v>
      </c>
      <c r="E3001" s="1" t="s">
        <v>2329</v>
      </c>
    </row>
    <row r="3002">
      <c r="A3002" s="1490" t="s">
        <v>112</v>
      </c>
      <c r="B3002" s="1490" t="s">
        <v>2329</v>
      </c>
      <c r="C3002" s="1597">
        <v>8632.0</v>
      </c>
      <c r="D3002" s="1490">
        <v>9.0</v>
      </c>
      <c r="E3002" s="1" t="s">
        <v>2329</v>
      </c>
    </row>
    <row r="3003">
      <c r="A3003" s="1490" t="s">
        <v>2333</v>
      </c>
      <c r="B3003" s="1490" t="s">
        <v>2329</v>
      </c>
      <c r="C3003" s="1597">
        <v>8406.0</v>
      </c>
      <c r="D3003" s="1490">
        <v>16.0</v>
      </c>
      <c r="E3003" s="1" t="s">
        <v>2329</v>
      </c>
    </row>
    <row r="3004">
      <c r="A3004" s="1490" t="s">
        <v>135</v>
      </c>
      <c r="B3004" s="1490" t="s">
        <v>2329</v>
      </c>
      <c r="C3004" s="1597">
        <v>43018.0</v>
      </c>
      <c r="D3004" s="1490">
        <v>65.0</v>
      </c>
      <c r="E3004" s="1" t="s">
        <v>2329</v>
      </c>
    </row>
    <row r="3005">
      <c r="A3005" s="1490" t="s">
        <v>579</v>
      </c>
      <c r="B3005" s="1490" t="s">
        <v>2329</v>
      </c>
      <c r="C3005" s="1597">
        <v>8026.0</v>
      </c>
      <c r="D3005" s="1490">
        <v>11.0</v>
      </c>
      <c r="E3005" s="1" t="s">
        <v>2329</v>
      </c>
    </row>
    <row r="3006">
      <c r="A3006" s="1490" t="s">
        <v>278</v>
      </c>
      <c r="B3006" s="1490" t="s">
        <v>2329</v>
      </c>
      <c r="C3006" s="1597">
        <v>11626.0</v>
      </c>
      <c r="D3006" s="1490">
        <v>23.0</v>
      </c>
      <c r="E3006" s="1" t="s">
        <v>2329</v>
      </c>
    </row>
    <row r="3007">
      <c r="A3007" s="1490" t="s">
        <v>2334</v>
      </c>
      <c r="B3007" s="1490" t="s">
        <v>2329</v>
      </c>
      <c r="C3007" s="1597">
        <v>34786.0</v>
      </c>
      <c r="D3007" s="1490">
        <v>71.0</v>
      </c>
      <c r="E3007" s="1" t="s">
        <v>2329</v>
      </c>
    </row>
    <row r="3008">
      <c r="A3008" s="1490" t="s">
        <v>1231</v>
      </c>
      <c r="B3008" s="1490" t="s">
        <v>2329</v>
      </c>
      <c r="C3008" s="1597">
        <v>23347.0</v>
      </c>
      <c r="D3008" s="1490">
        <v>34.0</v>
      </c>
      <c r="E3008" s="1" t="s">
        <v>2329</v>
      </c>
    </row>
    <row r="3009">
      <c r="A3009" s="1490" t="s">
        <v>587</v>
      </c>
      <c r="B3009" s="1490" t="s">
        <v>2329</v>
      </c>
      <c r="C3009" s="1597">
        <v>29094.0</v>
      </c>
      <c r="D3009" s="1490">
        <v>38.0</v>
      </c>
      <c r="E3009" s="1" t="s">
        <v>2329</v>
      </c>
    </row>
    <row r="3010">
      <c r="A3010" s="1490" t="s">
        <v>2335</v>
      </c>
      <c r="B3010" s="1490" t="s">
        <v>2329</v>
      </c>
      <c r="C3010" s="1597">
        <v>13775.0</v>
      </c>
      <c r="D3010" s="1490">
        <v>33.0</v>
      </c>
      <c r="E3010" s="1" t="s">
        <v>2329</v>
      </c>
    </row>
    <row r="3011">
      <c r="A3011" s="1490" t="s">
        <v>775</v>
      </c>
      <c r="B3011" s="1490" t="s">
        <v>2329</v>
      </c>
      <c r="C3011" s="1597">
        <v>67554.0</v>
      </c>
      <c r="D3011" s="1490">
        <v>99.0</v>
      </c>
      <c r="E3011" s="1" t="s">
        <v>2329</v>
      </c>
    </row>
    <row r="3012">
      <c r="A3012" s="1490" t="s">
        <v>142</v>
      </c>
      <c r="B3012" s="1490" t="s">
        <v>2329</v>
      </c>
      <c r="C3012" s="1597">
        <v>28706.0</v>
      </c>
      <c r="D3012" s="1490">
        <v>44.0</v>
      </c>
      <c r="E3012" s="1" t="s">
        <v>2329</v>
      </c>
    </row>
    <row r="3013">
      <c r="A3013" s="1490" t="s">
        <v>143</v>
      </c>
      <c r="B3013" s="1490" t="s">
        <v>2329</v>
      </c>
      <c r="C3013" s="1597">
        <v>56811.0</v>
      </c>
      <c r="D3013" s="1490">
        <v>53.0</v>
      </c>
      <c r="E3013" s="1" t="s">
        <v>2329</v>
      </c>
    </row>
    <row r="3014">
      <c r="A3014" s="1490" t="s">
        <v>2336</v>
      </c>
      <c r="B3014" s="1490" t="s">
        <v>2329</v>
      </c>
      <c r="C3014" s="1597">
        <v>180454.0</v>
      </c>
      <c r="D3014" s="1490">
        <v>246.0</v>
      </c>
      <c r="E3014" s="1" t="s">
        <v>2329</v>
      </c>
    </row>
    <row r="3015">
      <c r="A3015" s="1490" t="s">
        <v>682</v>
      </c>
      <c r="B3015" s="1490" t="s">
        <v>2329</v>
      </c>
      <c r="C3015" s="1597">
        <v>16024.0</v>
      </c>
      <c r="D3015" s="1490">
        <v>22.0</v>
      </c>
      <c r="E3015" s="1" t="s">
        <v>2329</v>
      </c>
    </row>
    <row r="3016">
      <c r="A3016" s="1490" t="s">
        <v>290</v>
      </c>
      <c r="B3016" s="1490" t="s">
        <v>2329</v>
      </c>
      <c r="C3016" s="1597">
        <v>20599.0</v>
      </c>
      <c r="D3016" s="1490">
        <v>21.0</v>
      </c>
      <c r="E3016" s="1" t="s">
        <v>2329</v>
      </c>
    </row>
    <row r="3017">
      <c r="A3017" s="1490" t="s">
        <v>293</v>
      </c>
      <c r="B3017" s="1490" t="s">
        <v>2329</v>
      </c>
      <c r="C3017" s="1597">
        <v>32607.0</v>
      </c>
      <c r="D3017" s="1490">
        <v>49.0</v>
      </c>
      <c r="E3017" s="1" t="s">
        <v>2329</v>
      </c>
    </row>
    <row r="3018">
      <c r="A3018" s="1490" t="s">
        <v>1614</v>
      </c>
      <c r="B3018" s="1490" t="s">
        <v>2329</v>
      </c>
      <c r="C3018" s="1597">
        <v>18223.0</v>
      </c>
      <c r="D3018" s="1490">
        <v>42.0</v>
      </c>
      <c r="E3018" s="1" t="s">
        <v>2329</v>
      </c>
    </row>
    <row r="3019">
      <c r="A3019" s="1490" t="s">
        <v>153</v>
      </c>
      <c r="B3019" s="1490" t="s">
        <v>2329</v>
      </c>
      <c r="C3019" s="1597">
        <v>56097.0</v>
      </c>
      <c r="D3019" s="1490">
        <v>72.0</v>
      </c>
      <c r="E3019" s="1" t="s">
        <v>2329</v>
      </c>
    </row>
    <row r="3020">
      <c r="A3020" s="1490" t="s">
        <v>154</v>
      </c>
      <c r="B3020" s="1490" t="s">
        <v>2329</v>
      </c>
      <c r="C3020" s="1597">
        <v>30785.0</v>
      </c>
      <c r="D3020" s="1490">
        <v>39.0</v>
      </c>
      <c r="E3020" s="1" t="s">
        <v>2329</v>
      </c>
    </row>
    <row r="3021">
      <c r="A3021" s="1490" t="s">
        <v>735</v>
      </c>
      <c r="B3021" s="1490" t="s">
        <v>2329</v>
      </c>
      <c r="C3021" s="1597">
        <v>26718.0</v>
      </c>
      <c r="D3021" s="1490">
        <v>27.0</v>
      </c>
      <c r="E3021" s="1" t="s">
        <v>2329</v>
      </c>
    </row>
    <row r="3022">
      <c r="A3022" s="1490" t="s">
        <v>738</v>
      </c>
      <c r="B3022" s="1490" t="s">
        <v>2329</v>
      </c>
      <c r="C3022" s="1597">
        <v>59131.0</v>
      </c>
      <c r="D3022" s="1490">
        <v>97.0</v>
      </c>
      <c r="E3022" s="1" t="s">
        <v>2329</v>
      </c>
    </row>
    <row r="3023">
      <c r="A3023" s="1490" t="s">
        <v>435</v>
      </c>
      <c r="B3023" s="1490" t="s">
        <v>2329</v>
      </c>
      <c r="C3023" s="1597">
        <v>26940.0</v>
      </c>
      <c r="D3023" s="1490">
        <v>50.0</v>
      </c>
      <c r="E3023" s="1" t="s">
        <v>2329</v>
      </c>
    </row>
    <row r="3024">
      <c r="A3024" s="1490" t="s">
        <v>2337</v>
      </c>
      <c r="B3024" s="1490" t="s">
        <v>2329</v>
      </c>
      <c r="C3024" s="1597">
        <v>23785.0</v>
      </c>
      <c r="D3024" s="1490">
        <v>47.0</v>
      </c>
      <c r="E3024" s="1" t="s">
        <v>2329</v>
      </c>
    </row>
    <row r="3025">
      <c r="A3025" s="1490" t="s">
        <v>2338</v>
      </c>
      <c r="B3025" s="1490" t="s">
        <v>2329</v>
      </c>
      <c r="C3025" s="1597">
        <v>106420.0</v>
      </c>
      <c r="D3025" s="1490">
        <v>71.0</v>
      </c>
      <c r="E3025" s="1" t="s">
        <v>2329</v>
      </c>
    </row>
    <row r="3026">
      <c r="A3026" s="1490" t="s">
        <v>156</v>
      </c>
      <c r="B3026" s="1490" t="s">
        <v>2329</v>
      </c>
      <c r="C3026" s="1597">
        <v>13280.0</v>
      </c>
      <c r="D3026" s="1490">
        <v>12.0</v>
      </c>
      <c r="E3026" s="1" t="s">
        <v>2329</v>
      </c>
    </row>
    <row r="3027">
      <c r="A3027" s="1490" t="s">
        <v>158</v>
      </c>
      <c r="B3027" s="1490" t="s">
        <v>2329</v>
      </c>
      <c r="C3027" s="1597">
        <v>17787.0</v>
      </c>
      <c r="D3027" s="1490">
        <v>24.0</v>
      </c>
      <c r="E3027" s="1" t="s">
        <v>2329</v>
      </c>
    </row>
    <row r="3028">
      <c r="A3028" s="1490" t="s">
        <v>1126</v>
      </c>
      <c r="B3028" s="1490" t="s">
        <v>2329</v>
      </c>
      <c r="C3028" s="1597">
        <v>24842.0</v>
      </c>
      <c r="D3028" s="1490">
        <v>34.0</v>
      </c>
      <c r="E3028" s="1" t="s">
        <v>2329</v>
      </c>
    </row>
    <row r="3029">
      <c r="A3029" s="1490" t="s">
        <v>100</v>
      </c>
      <c r="B3029" s="1490" t="s">
        <v>2329</v>
      </c>
      <c r="C3029" s="1597">
        <v>41755.0</v>
      </c>
      <c r="D3029" s="1490">
        <v>61.0</v>
      </c>
      <c r="E3029" s="1" t="s">
        <v>2329</v>
      </c>
    </row>
    <row r="3030">
      <c r="A3030" s="1490" t="s">
        <v>1129</v>
      </c>
      <c r="B3030" s="1490" t="s">
        <v>2329</v>
      </c>
      <c r="C3030" s="1597">
        <v>6997.0</v>
      </c>
      <c r="D3030" s="1490">
        <v>18.0</v>
      </c>
      <c r="E3030" s="1" t="s">
        <v>2329</v>
      </c>
    </row>
    <row r="3031">
      <c r="A3031" s="1490" t="s">
        <v>2339</v>
      </c>
      <c r="B3031" s="1490" t="s">
        <v>2329</v>
      </c>
      <c r="C3031" s="1597">
        <v>7507.0</v>
      </c>
      <c r="D3031" s="1490">
        <v>12.0</v>
      </c>
      <c r="E3031" s="1" t="s">
        <v>2329</v>
      </c>
    </row>
    <row r="3032">
      <c r="A3032" s="1490" t="s">
        <v>930</v>
      </c>
      <c r="B3032" s="1490" t="s">
        <v>2329</v>
      </c>
      <c r="C3032" s="1597">
        <v>8414.0</v>
      </c>
      <c r="D3032" s="1490">
        <v>19.0</v>
      </c>
      <c r="E3032" s="1" t="s">
        <v>2329</v>
      </c>
    </row>
    <row r="3033">
      <c r="A3033" s="1490" t="s">
        <v>2340</v>
      </c>
      <c r="B3033" s="1490" t="s">
        <v>2329</v>
      </c>
      <c r="C3033" s="1597">
        <v>33839.0</v>
      </c>
      <c r="D3033" s="1490">
        <v>34.0</v>
      </c>
      <c r="E3033" s="1" t="s">
        <v>2329</v>
      </c>
    </row>
    <row r="3034">
      <c r="A3034" s="1490" t="s">
        <v>518</v>
      </c>
      <c r="B3034" s="1490" t="s">
        <v>2329</v>
      </c>
      <c r="C3034" s="1597">
        <v>56682.0</v>
      </c>
      <c r="D3034" s="1490">
        <v>53.0</v>
      </c>
      <c r="E3034" s="1" t="s">
        <v>2329</v>
      </c>
    </row>
    <row r="3035">
      <c r="A3035" s="1490" t="s">
        <v>2341</v>
      </c>
      <c r="B3035" s="1490" t="s">
        <v>2329</v>
      </c>
      <c r="C3035" s="1597">
        <v>74254.0</v>
      </c>
      <c r="D3035" s="1490">
        <v>117.0</v>
      </c>
      <c r="E3035" s="1" t="s">
        <v>2329</v>
      </c>
    </row>
    <row r="3036">
      <c r="A3036" s="1490" t="s">
        <v>163</v>
      </c>
      <c r="B3036" s="1490" t="s">
        <v>2329</v>
      </c>
      <c r="C3036" s="1597">
        <v>28823.0</v>
      </c>
      <c r="D3036" s="1490">
        <v>33.0</v>
      </c>
      <c r="E3036" s="1" t="s">
        <v>2329</v>
      </c>
    </row>
    <row r="3037">
      <c r="A3037" s="1490" t="s">
        <v>2342</v>
      </c>
      <c r="B3037" s="1490" t="s">
        <v>2329</v>
      </c>
      <c r="C3037" s="1597">
        <v>9721.0</v>
      </c>
      <c r="D3037" s="1490">
        <v>17.0</v>
      </c>
      <c r="E3037" s="1" t="s">
        <v>2329</v>
      </c>
    </row>
    <row r="3038">
      <c r="A3038" s="1490" t="s">
        <v>1976</v>
      </c>
      <c r="B3038" s="1490" t="s">
        <v>2329</v>
      </c>
      <c r="C3038" s="1597">
        <v>13932.0</v>
      </c>
      <c r="D3038" s="1490">
        <v>16.0</v>
      </c>
      <c r="E3038" s="1" t="s">
        <v>2329</v>
      </c>
    </row>
    <row r="3039">
      <c r="A3039" s="1490" t="s">
        <v>2343</v>
      </c>
      <c r="B3039" s="1490" t="s">
        <v>2329</v>
      </c>
      <c r="C3039" s="1597">
        <v>12760.0</v>
      </c>
      <c r="D3039" s="1490">
        <v>16.0</v>
      </c>
      <c r="E3039" s="1" t="s">
        <v>2329</v>
      </c>
    </row>
    <row r="3040">
      <c r="A3040" s="1490" t="s">
        <v>526</v>
      </c>
      <c r="B3040" s="1490" t="s">
        <v>2329</v>
      </c>
      <c r="C3040" s="1597">
        <v>16862.0</v>
      </c>
      <c r="D3040" s="1490">
        <v>22.0</v>
      </c>
      <c r="E3040" s="1" t="s">
        <v>2329</v>
      </c>
    </row>
    <row r="3041">
      <c r="A3041" s="1490" t="s">
        <v>2344</v>
      </c>
      <c r="B3041" s="1490" t="s">
        <v>2329</v>
      </c>
      <c r="C3041" s="1597">
        <v>6955.0</v>
      </c>
      <c r="D3041" s="1490">
        <v>16.0</v>
      </c>
      <c r="E3041" s="1" t="s">
        <v>2329</v>
      </c>
    </row>
    <row r="3042">
      <c r="A3042" s="1490" t="s">
        <v>2161</v>
      </c>
      <c r="B3042" s="1490" t="s">
        <v>2329</v>
      </c>
      <c r="C3042" s="1597">
        <v>8746.0</v>
      </c>
      <c r="D3042" s="1490">
        <v>22.0</v>
      </c>
      <c r="E3042" s="1" t="s">
        <v>2329</v>
      </c>
    </row>
    <row r="3043">
      <c r="A3043" s="1490" t="s">
        <v>2162</v>
      </c>
      <c r="B3043" s="1490" t="s">
        <v>2329</v>
      </c>
      <c r="C3043" s="1597">
        <v>24415.0</v>
      </c>
      <c r="D3043" s="1490">
        <v>20.0</v>
      </c>
      <c r="E3043" s="1" t="s">
        <v>2329</v>
      </c>
    </row>
    <row r="3044">
      <c r="A3044" s="1490" t="s">
        <v>273</v>
      </c>
      <c r="B3044" s="1490" t="s">
        <v>2329</v>
      </c>
      <c r="C3044" s="1597">
        <v>39944.0</v>
      </c>
      <c r="D3044" s="1490">
        <v>41.0</v>
      </c>
      <c r="E3044" s="1" t="s">
        <v>2329</v>
      </c>
    </row>
    <row r="3045">
      <c r="A3045" s="1490" t="s">
        <v>648</v>
      </c>
      <c r="B3045" s="1490" t="s">
        <v>2329</v>
      </c>
      <c r="C3045" s="1597">
        <v>8285.0</v>
      </c>
      <c r="D3045" s="1490">
        <v>10.0</v>
      </c>
      <c r="E3045" s="1" t="s">
        <v>2329</v>
      </c>
    </row>
    <row r="3046">
      <c r="A3046" s="1490" t="s">
        <v>2345</v>
      </c>
      <c r="B3046" s="1490" t="s">
        <v>2329</v>
      </c>
      <c r="C3046" s="1597">
        <v>15270.0</v>
      </c>
      <c r="D3046" s="1490">
        <v>33.0</v>
      </c>
      <c r="E3046" s="1" t="s">
        <v>2329</v>
      </c>
    </row>
    <row r="3047">
      <c r="A3047" s="1490" t="s">
        <v>2346</v>
      </c>
      <c r="B3047" s="1490" t="s">
        <v>2329</v>
      </c>
      <c r="C3047" s="1597">
        <v>5830.0</v>
      </c>
      <c r="D3047" s="1490">
        <v>3.0</v>
      </c>
      <c r="E3047" s="1" t="s">
        <v>2329</v>
      </c>
    </row>
    <row r="3048">
      <c r="A3048" s="1490" t="s">
        <v>1703</v>
      </c>
      <c r="B3048" s="1490" t="s">
        <v>2329</v>
      </c>
      <c r="C3048" s="1597">
        <v>84203.0</v>
      </c>
      <c r="D3048" s="1490">
        <v>127.0</v>
      </c>
      <c r="E3048" s="1" t="s">
        <v>2329</v>
      </c>
    </row>
    <row r="3049">
      <c r="A3049" s="1496" t="s">
        <v>123</v>
      </c>
      <c r="B3049" s="1496" t="s">
        <v>2329</v>
      </c>
      <c r="C3049" s="1598">
        <v>20786.0</v>
      </c>
      <c r="D3049" s="1496">
        <v>42.0</v>
      </c>
      <c r="E3049" s="1624" t="s">
        <v>2329</v>
      </c>
      <c r="F3049" s="1624"/>
      <c r="G3049" s="1624"/>
      <c r="N3049" s="1489"/>
      <c r="O3049" s="1489"/>
      <c r="P3049" s="1489"/>
      <c r="Q3049" s="1489"/>
      <c r="R3049" s="1489"/>
      <c r="S3049" s="1489"/>
      <c r="T3049" s="1489"/>
      <c r="U3049" s="1489"/>
      <c r="V3049" s="1489"/>
      <c r="W3049" s="1489"/>
      <c r="X3049" s="1489"/>
      <c r="Y3049" s="1489"/>
      <c r="Z3049" s="1489"/>
    </row>
    <row r="3050">
      <c r="A3050" s="355" t="s">
        <v>386</v>
      </c>
      <c r="B3050" s="355" t="s">
        <v>438</v>
      </c>
      <c r="C3050" s="1562">
        <v>20348.0</v>
      </c>
      <c r="D3050" s="355">
        <v>16.0</v>
      </c>
      <c r="E3050" s="1" t="s">
        <v>438</v>
      </c>
    </row>
    <row r="3051">
      <c r="A3051" s="355" t="s">
        <v>1671</v>
      </c>
      <c r="B3051" s="355" t="s">
        <v>438</v>
      </c>
      <c r="C3051" s="1562">
        <v>15600.0</v>
      </c>
      <c r="D3051" s="355">
        <v>28.0</v>
      </c>
      <c r="E3051" s="1" t="s">
        <v>438</v>
      </c>
    </row>
    <row r="3052">
      <c r="A3052" s="355" t="s">
        <v>2347</v>
      </c>
      <c r="B3052" s="355" t="s">
        <v>438</v>
      </c>
      <c r="C3052" s="1562">
        <v>45164.0</v>
      </c>
      <c r="D3052" s="355">
        <v>84.0</v>
      </c>
      <c r="E3052" s="1" t="s">
        <v>438</v>
      </c>
    </row>
    <row r="3053">
      <c r="A3053" s="355" t="s">
        <v>2348</v>
      </c>
      <c r="B3053" s="355" t="s">
        <v>438</v>
      </c>
      <c r="C3053" s="1562">
        <v>15042.0</v>
      </c>
      <c r="D3053" s="355">
        <v>30.0</v>
      </c>
      <c r="E3053" s="1" t="s">
        <v>438</v>
      </c>
      <c r="H3053" s="1489"/>
      <c r="I3053" s="1489"/>
      <c r="J3053" s="1489"/>
      <c r="K3053" s="1489"/>
      <c r="L3053" s="1489"/>
      <c r="M3053" s="1489"/>
    </row>
    <row r="3054">
      <c r="A3054" s="355" t="s">
        <v>706</v>
      </c>
      <c r="B3054" s="355" t="s">
        <v>438</v>
      </c>
      <c r="C3054" s="1562">
        <v>263378.0</v>
      </c>
      <c r="D3054" s="355">
        <v>148.0</v>
      </c>
      <c r="E3054" s="1" t="s">
        <v>438</v>
      </c>
    </row>
    <row r="3055">
      <c r="A3055" s="355" t="s">
        <v>1471</v>
      </c>
      <c r="B3055" s="355" t="s">
        <v>438</v>
      </c>
      <c r="C3055" s="1562">
        <v>13125.0</v>
      </c>
      <c r="D3055" s="355">
        <v>26.0</v>
      </c>
      <c r="E3055" s="1" t="s">
        <v>438</v>
      </c>
    </row>
    <row r="3056">
      <c r="A3056" s="355" t="s">
        <v>2349</v>
      </c>
      <c r="B3056" s="355" t="s">
        <v>438</v>
      </c>
      <c r="C3056" s="1562">
        <v>15392.0</v>
      </c>
      <c r="D3056" s="355">
        <v>31.0</v>
      </c>
      <c r="E3056" s="1" t="s">
        <v>438</v>
      </c>
    </row>
    <row r="3057">
      <c r="A3057" s="355" t="s">
        <v>2350</v>
      </c>
      <c r="B3057" s="355" t="s">
        <v>438</v>
      </c>
      <c r="C3057" s="1562">
        <v>50159.0</v>
      </c>
      <c r="D3057" s="355">
        <v>31.0</v>
      </c>
      <c r="E3057" s="1" t="s">
        <v>438</v>
      </c>
    </row>
    <row r="3058">
      <c r="A3058" s="355" t="s">
        <v>1245</v>
      </c>
      <c r="B3058" s="355" t="s">
        <v>438</v>
      </c>
      <c r="C3058" s="1562">
        <v>64135.0</v>
      </c>
      <c r="D3058" s="355">
        <v>62.0</v>
      </c>
      <c r="E3058" s="1" t="s">
        <v>438</v>
      </c>
    </row>
    <row r="3059">
      <c r="A3059" s="355" t="s">
        <v>253</v>
      </c>
      <c r="B3059" s="355" t="s">
        <v>438</v>
      </c>
      <c r="C3059" s="1562">
        <v>34709.0</v>
      </c>
      <c r="D3059" s="355">
        <v>49.0</v>
      </c>
      <c r="E3059" s="1" t="s">
        <v>438</v>
      </c>
    </row>
    <row r="3060">
      <c r="A3060" s="355" t="s">
        <v>258</v>
      </c>
      <c r="B3060" s="355" t="s">
        <v>438</v>
      </c>
      <c r="C3060" s="1562">
        <v>57358.0</v>
      </c>
      <c r="D3060" s="355">
        <v>66.0</v>
      </c>
      <c r="E3060" s="1" t="s">
        <v>438</v>
      </c>
    </row>
    <row r="3061">
      <c r="A3061" s="355" t="s">
        <v>263</v>
      </c>
      <c r="B3061" s="355" t="s">
        <v>438</v>
      </c>
      <c r="C3061" s="1562">
        <v>16291.0</v>
      </c>
      <c r="D3061" s="355">
        <v>24.0</v>
      </c>
      <c r="E3061" s="1" t="s">
        <v>438</v>
      </c>
    </row>
    <row r="3062">
      <c r="A3062" s="355" t="s">
        <v>652</v>
      </c>
      <c r="B3062" s="355" t="s">
        <v>438</v>
      </c>
      <c r="C3062" s="1562">
        <v>542364.0</v>
      </c>
      <c r="D3062" s="355">
        <v>265.0</v>
      </c>
      <c r="E3062" s="1" t="s">
        <v>438</v>
      </c>
    </row>
    <row r="3063">
      <c r="A3063" s="355" t="s">
        <v>564</v>
      </c>
      <c r="B3063" s="355" t="s">
        <v>438</v>
      </c>
      <c r="C3063" s="1562">
        <v>87847.0</v>
      </c>
      <c r="D3063" s="355">
        <v>99.0</v>
      </c>
      <c r="E3063" s="1" t="s">
        <v>438</v>
      </c>
    </row>
    <row r="3064">
      <c r="A3064" s="355" t="s">
        <v>2351</v>
      </c>
      <c r="B3064" s="355" t="s">
        <v>438</v>
      </c>
      <c r="C3064" s="1562">
        <v>27610.0</v>
      </c>
      <c r="D3064" s="355">
        <v>41.0</v>
      </c>
      <c r="E3064" s="1" t="s">
        <v>438</v>
      </c>
    </row>
    <row r="3065">
      <c r="A3065" s="355" t="s">
        <v>412</v>
      </c>
      <c r="B3065" s="355" t="s">
        <v>438</v>
      </c>
      <c r="C3065" s="1562">
        <v>43208.0</v>
      </c>
      <c r="D3065" s="355">
        <v>42.0</v>
      </c>
      <c r="E3065" s="1" t="s">
        <v>438</v>
      </c>
    </row>
    <row r="3066">
      <c r="A3066" s="355" t="s">
        <v>1649</v>
      </c>
      <c r="B3066" s="355" t="s">
        <v>438</v>
      </c>
      <c r="C3066" s="1562">
        <v>45131.0</v>
      </c>
      <c r="D3066" s="355">
        <v>55.0</v>
      </c>
      <c r="E3066" s="1" t="s">
        <v>438</v>
      </c>
    </row>
    <row r="3067">
      <c r="A3067" s="355" t="s">
        <v>2352</v>
      </c>
      <c r="B3067" s="355" t="s">
        <v>438</v>
      </c>
      <c r="C3067" s="1562">
        <v>104534.0</v>
      </c>
      <c r="D3067" s="355">
        <v>79.0</v>
      </c>
      <c r="E3067" s="1" t="s">
        <v>438</v>
      </c>
    </row>
    <row r="3068">
      <c r="A3068" s="355" t="s">
        <v>1826</v>
      </c>
      <c r="B3068" s="355" t="s">
        <v>438</v>
      </c>
      <c r="C3068" s="1562">
        <v>4321.0</v>
      </c>
      <c r="D3068" s="355">
        <v>8.0</v>
      </c>
      <c r="E3068" s="1" t="s">
        <v>438</v>
      </c>
    </row>
    <row r="3069">
      <c r="A3069" s="355" t="s">
        <v>2353</v>
      </c>
      <c r="B3069" s="355" t="s">
        <v>438</v>
      </c>
      <c r="C3069" s="1562">
        <v>103066.0</v>
      </c>
      <c r="D3069" s="355">
        <v>101.0</v>
      </c>
      <c r="E3069" s="1" t="s">
        <v>438</v>
      </c>
    </row>
    <row r="3070">
      <c r="A3070" s="355" t="s">
        <v>1793</v>
      </c>
      <c r="B3070" s="355" t="s">
        <v>438</v>
      </c>
      <c r="C3070" s="1562">
        <v>8991.0</v>
      </c>
      <c r="D3070" s="355">
        <v>11.0</v>
      </c>
      <c r="E3070" s="1" t="s">
        <v>438</v>
      </c>
    </row>
    <row r="3071">
      <c r="A3071" s="355" t="s">
        <v>278</v>
      </c>
      <c r="B3071" s="355" t="s">
        <v>438</v>
      </c>
      <c r="C3071" s="1562">
        <v>51554.0</v>
      </c>
      <c r="D3071" s="355">
        <v>62.0</v>
      </c>
      <c r="E3071" s="1" t="s">
        <v>438</v>
      </c>
    </row>
    <row r="3072">
      <c r="A3072" s="355" t="s">
        <v>1075</v>
      </c>
      <c r="B3072" s="355" t="s">
        <v>438</v>
      </c>
      <c r="C3072" s="1562">
        <v>36929.0</v>
      </c>
      <c r="D3072" s="355">
        <v>36.0</v>
      </c>
      <c r="E3072" s="1" t="s">
        <v>438</v>
      </c>
    </row>
    <row r="3073">
      <c r="A3073" s="355" t="s">
        <v>2354</v>
      </c>
      <c r="B3073" s="355" t="s">
        <v>438</v>
      </c>
      <c r="C3073" s="1562">
        <v>18918.0</v>
      </c>
      <c r="D3073" s="355">
        <v>25.0</v>
      </c>
      <c r="E3073" s="1" t="s">
        <v>438</v>
      </c>
    </row>
    <row r="3074">
      <c r="A3074" s="355" t="s">
        <v>50</v>
      </c>
      <c r="B3074" s="355" t="s">
        <v>438</v>
      </c>
      <c r="C3074" s="1562">
        <v>23771.0</v>
      </c>
      <c r="D3074" s="355">
        <v>29.0</v>
      </c>
      <c r="E3074" s="1" t="s">
        <v>438</v>
      </c>
    </row>
    <row r="3075">
      <c r="A3075" s="355" t="s">
        <v>1259</v>
      </c>
      <c r="B3075" s="355" t="s">
        <v>438</v>
      </c>
      <c r="C3075" s="1562">
        <v>5676.0</v>
      </c>
      <c r="D3075" s="355">
        <v>12.0</v>
      </c>
      <c r="E3075" s="1" t="s">
        <v>438</v>
      </c>
    </row>
    <row r="3076">
      <c r="A3076" s="355" t="s">
        <v>142</v>
      </c>
      <c r="B3076" s="355" t="s">
        <v>438</v>
      </c>
      <c r="C3076" s="1562">
        <v>20478.0</v>
      </c>
      <c r="D3076" s="355">
        <v>32.0</v>
      </c>
      <c r="E3076" s="1" t="s">
        <v>438</v>
      </c>
    </row>
    <row r="3077">
      <c r="A3077" s="355" t="s">
        <v>143</v>
      </c>
      <c r="B3077" s="355" t="s">
        <v>438</v>
      </c>
      <c r="C3077" s="1562">
        <v>85129.0</v>
      </c>
      <c r="D3077" s="355">
        <v>78.0</v>
      </c>
      <c r="E3077" s="1" t="s">
        <v>438</v>
      </c>
    </row>
    <row r="3078">
      <c r="A3078" s="355" t="s">
        <v>197</v>
      </c>
      <c r="B3078" s="355" t="s">
        <v>438</v>
      </c>
      <c r="C3078" s="1562">
        <v>26617.0</v>
      </c>
      <c r="D3078" s="355">
        <v>33.0</v>
      </c>
      <c r="E3078" s="1" t="s">
        <v>438</v>
      </c>
    </row>
    <row r="3079">
      <c r="A3079" s="355" t="s">
        <v>2355</v>
      </c>
      <c r="B3079" s="355" t="s">
        <v>438</v>
      </c>
      <c r="C3079" s="1562">
        <v>169290.0</v>
      </c>
      <c r="D3079" s="355">
        <v>87.0</v>
      </c>
      <c r="E3079" s="1" t="s">
        <v>438</v>
      </c>
    </row>
    <row r="3080">
      <c r="A3080" s="355" t="s">
        <v>2356</v>
      </c>
      <c r="B3080" s="355" t="s">
        <v>438</v>
      </c>
      <c r="C3080" s="1562">
        <v>20383.0</v>
      </c>
      <c r="D3080" s="355">
        <v>20.0</v>
      </c>
      <c r="E3080" s="1" t="s">
        <v>438</v>
      </c>
    </row>
    <row r="3081">
      <c r="A3081" s="355" t="s">
        <v>2357</v>
      </c>
      <c r="B3081" s="355" t="s">
        <v>438</v>
      </c>
      <c r="C3081" s="1562">
        <v>118230.0</v>
      </c>
      <c r="D3081" s="355">
        <v>87.0</v>
      </c>
      <c r="E3081" s="1" t="s">
        <v>438</v>
      </c>
    </row>
    <row r="3082">
      <c r="A3082" s="355" t="s">
        <v>289</v>
      </c>
      <c r="B3082" s="355" t="s">
        <v>438</v>
      </c>
      <c r="C3082" s="1562">
        <v>16665.0</v>
      </c>
      <c r="D3082" s="355">
        <v>23.0</v>
      </c>
      <c r="E3082" s="1" t="s">
        <v>438</v>
      </c>
    </row>
    <row r="3083">
      <c r="A3083" s="355" t="s">
        <v>2358</v>
      </c>
      <c r="B3083" s="355" t="s">
        <v>438</v>
      </c>
      <c r="C3083" s="1562">
        <v>19268.0</v>
      </c>
      <c r="D3083" s="355">
        <v>28.0</v>
      </c>
      <c r="E3083" s="1" t="s">
        <v>438</v>
      </c>
    </row>
    <row r="3084">
      <c r="A3084" s="355" t="s">
        <v>290</v>
      </c>
      <c r="B3084" s="355" t="s">
        <v>438</v>
      </c>
      <c r="C3084" s="1562">
        <v>27689.0</v>
      </c>
      <c r="D3084" s="355">
        <v>31.0</v>
      </c>
      <c r="E3084" s="1" t="s">
        <v>438</v>
      </c>
    </row>
    <row r="3085">
      <c r="A3085" s="355" t="s">
        <v>2359</v>
      </c>
      <c r="B3085" s="355" t="s">
        <v>438</v>
      </c>
      <c r="C3085" s="1562">
        <v>79074.0</v>
      </c>
      <c r="D3085" s="355">
        <v>69.0</v>
      </c>
      <c r="E3085" s="1" t="s">
        <v>438</v>
      </c>
    </row>
    <row r="3086">
      <c r="A3086" s="355" t="s">
        <v>2360</v>
      </c>
      <c r="B3086" s="355" t="s">
        <v>438</v>
      </c>
      <c r="C3086" s="1562">
        <v>135428.0</v>
      </c>
      <c r="D3086" s="355">
        <v>131.0</v>
      </c>
      <c r="E3086" s="1" t="s">
        <v>438</v>
      </c>
    </row>
    <row r="3087">
      <c r="A3087" s="355" t="s">
        <v>2361</v>
      </c>
      <c r="B3087" s="355" t="s">
        <v>438</v>
      </c>
      <c r="C3087" s="1562">
        <v>40434.0</v>
      </c>
      <c r="D3087" s="355">
        <v>49.0</v>
      </c>
      <c r="E3087" s="1" t="s">
        <v>438</v>
      </c>
    </row>
    <row r="3088">
      <c r="A3088" s="355" t="s">
        <v>1270</v>
      </c>
      <c r="B3088" s="355" t="s">
        <v>438</v>
      </c>
      <c r="C3088" s="1562">
        <v>15434.0</v>
      </c>
      <c r="D3088" s="355">
        <v>26.0</v>
      </c>
      <c r="E3088" s="1" t="s">
        <v>438</v>
      </c>
    </row>
    <row r="3089">
      <c r="A3089" s="355" t="s">
        <v>1272</v>
      </c>
      <c r="B3089" s="355" t="s">
        <v>438</v>
      </c>
      <c r="C3089" s="1562">
        <v>4658.0</v>
      </c>
      <c r="D3089" s="355">
        <v>3.0</v>
      </c>
      <c r="E3089" s="1" t="s">
        <v>438</v>
      </c>
    </row>
    <row r="3090">
      <c r="A3090" s="355" t="s">
        <v>437</v>
      </c>
      <c r="B3090" s="355" t="s">
        <v>438</v>
      </c>
      <c r="C3090" s="1562">
        <v>948201.0</v>
      </c>
      <c r="D3090" s="355">
        <v>625.0</v>
      </c>
      <c r="E3090" s="1" t="s">
        <v>438</v>
      </c>
    </row>
    <row r="3091">
      <c r="A3091" s="355" t="s">
        <v>156</v>
      </c>
      <c r="B3091" s="355" t="s">
        <v>438</v>
      </c>
      <c r="C3091" s="1562">
        <v>46051.0</v>
      </c>
      <c r="D3091" s="355">
        <v>53.0</v>
      </c>
      <c r="E3091" s="1" t="s">
        <v>438</v>
      </c>
    </row>
    <row r="3092">
      <c r="A3092" s="355" t="s">
        <v>2362</v>
      </c>
      <c r="B3092" s="355" t="s">
        <v>438</v>
      </c>
      <c r="C3092" s="1562">
        <v>37830.0</v>
      </c>
      <c r="D3092" s="355">
        <v>43.0</v>
      </c>
      <c r="E3092" s="1" t="s">
        <v>438</v>
      </c>
    </row>
    <row r="3093">
      <c r="A3093" s="355" t="s">
        <v>685</v>
      </c>
      <c r="B3093" s="355" t="s">
        <v>438</v>
      </c>
      <c r="C3093" s="1562">
        <v>35470.0</v>
      </c>
      <c r="D3093" s="355">
        <v>39.0</v>
      </c>
      <c r="E3093" s="1" t="s">
        <v>438</v>
      </c>
    </row>
    <row r="3094">
      <c r="A3094" s="355" t="s">
        <v>2363</v>
      </c>
      <c r="B3094" s="355" t="s">
        <v>438</v>
      </c>
      <c r="C3094" s="1562">
        <v>187365.0</v>
      </c>
      <c r="D3094" s="355">
        <v>111.0</v>
      </c>
      <c r="E3094" s="1" t="s">
        <v>438</v>
      </c>
    </row>
    <row r="3095">
      <c r="A3095" s="355" t="s">
        <v>2364</v>
      </c>
      <c r="B3095" s="355" t="s">
        <v>438</v>
      </c>
      <c r="C3095" s="1562">
        <v>89147.0</v>
      </c>
      <c r="D3095" s="355">
        <v>59.0</v>
      </c>
      <c r="E3095" s="1" t="s">
        <v>438</v>
      </c>
    </row>
    <row r="3096">
      <c r="A3096" s="355" t="s">
        <v>2365</v>
      </c>
      <c r="B3096" s="355" t="s">
        <v>438</v>
      </c>
      <c r="C3096" s="1562">
        <v>7289.0</v>
      </c>
      <c r="D3096" s="355">
        <v>11.0</v>
      </c>
      <c r="E3096" s="1" t="s">
        <v>438</v>
      </c>
    </row>
    <row r="3097">
      <c r="A3097" s="355" t="s">
        <v>473</v>
      </c>
      <c r="B3097" s="355" t="s">
        <v>438</v>
      </c>
      <c r="C3097" s="1562">
        <v>42555.0</v>
      </c>
      <c r="D3097" s="355">
        <v>46.0</v>
      </c>
      <c r="E3097" s="1" t="s">
        <v>438</v>
      </c>
    </row>
    <row r="3098">
      <c r="A3098" s="355" t="s">
        <v>302</v>
      </c>
      <c r="B3098" s="355" t="s">
        <v>438</v>
      </c>
      <c r="C3098" s="1562">
        <v>43598.0</v>
      </c>
      <c r="D3098" s="355">
        <v>74.0</v>
      </c>
      <c r="E3098" s="1" t="s">
        <v>438</v>
      </c>
    </row>
    <row r="3099">
      <c r="A3099" s="355" t="s">
        <v>1694</v>
      </c>
      <c r="B3099" s="355" t="s">
        <v>438</v>
      </c>
      <c r="C3099" s="1562">
        <v>70942.0</v>
      </c>
      <c r="D3099" s="355">
        <v>53.0</v>
      </c>
      <c r="E3099" s="1" t="s">
        <v>438</v>
      </c>
    </row>
    <row r="3100">
      <c r="A3100" s="355" t="s">
        <v>2366</v>
      </c>
      <c r="B3100" s="355" t="s">
        <v>438</v>
      </c>
      <c r="C3100" s="1562">
        <v>13397.0</v>
      </c>
      <c r="D3100" s="355">
        <v>27.0</v>
      </c>
      <c r="E3100" s="1" t="s">
        <v>438</v>
      </c>
    </row>
    <row r="3101">
      <c r="A3101" s="355" t="s">
        <v>2367</v>
      </c>
      <c r="B3101" s="355" t="s">
        <v>438</v>
      </c>
      <c r="C3101" s="1562">
        <v>196584.0</v>
      </c>
      <c r="D3101" s="355">
        <v>135.0</v>
      </c>
      <c r="E3101" s="1" t="s">
        <v>438</v>
      </c>
    </row>
    <row r="3102">
      <c r="A3102" s="355" t="s">
        <v>743</v>
      </c>
      <c r="B3102" s="355" t="s">
        <v>438</v>
      </c>
      <c r="C3102" s="1562">
        <v>17377.0</v>
      </c>
      <c r="D3102" s="355">
        <v>28.0</v>
      </c>
      <c r="E3102" s="1" t="s">
        <v>438</v>
      </c>
    </row>
    <row r="3103">
      <c r="A3103" s="355" t="s">
        <v>1341</v>
      </c>
      <c r="B3103" s="355" t="s">
        <v>438</v>
      </c>
      <c r="C3103" s="1562">
        <v>163129.0</v>
      </c>
      <c r="D3103" s="355">
        <v>127.0</v>
      </c>
      <c r="E3103" s="1" t="s">
        <v>438</v>
      </c>
    </row>
    <row r="3104">
      <c r="A3104" s="355" t="s">
        <v>2139</v>
      </c>
      <c r="B3104" s="355" t="s">
        <v>438</v>
      </c>
      <c r="C3104" s="1562">
        <v>14147.0</v>
      </c>
      <c r="D3104" s="355">
        <v>28.0</v>
      </c>
      <c r="E3104" s="1" t="s">
        <v>438</v>
      </c>
    </row>
    <row r="3105">
      <c r="A3105" s="355" t="s">
        <v>4244</v>
      </c>
      <c r="B3105" s="355" t="s">
        <v>438</v>
      </c>
      <c r="C3105" s="1562">
        <v>89694.0</v>
      </c>
      <c r="D3105" s="355">
        <v>74.0</v>
      </c>
      <c r="E3105" s="1" t="s">
        <v>438</v>
      </c>
    </row>
    <row r="3106">
      <c r="A3106" s="355" t="s">
        <v>2369</v>
      </c>
      <c r="B3106" s="355" t="s">
        <v>438</v>
      </c>
      <c r="C3106" s="1562">
        <v>64249.0</v>
      </c>
      <c r="D3106" s="355">
        <v>70.0</v>
      </c>
      <c r="E3106" s="1" t="s">
        <v>438</v>
      </c>
    </row>
    <row r="3107">
      <c r="A3107" s="355" t="s">
        <v>2370</v>
      </c>
      <c r="B3107" s="355" t="s">
        <v>438</v>
      </c>
      <c r="C3107" s="1562">
        <v>16489.0</v>
      </c>
      <c r="D3107" s="355">
        <v>29.0</v>
      </c>
      <c r="E3107" s="1" t="s">
        <v>438</v>
      </c>
    </row>
    <row r="3108">
      <c r="A3108" s="355" t="s">
        <v>2371</v>
      </c>
      <c r="B3108" s="355" t="s">
        <v>438</v>
      </c>
      <c r="C3108" s="1562">
        <v>40796.0</v>
      </c>
      <c r="D3108" s="355">
        <v>62.0</v>
      </c>
      <c r="E3108" s="1" t="s">
        <v>438</v>
      </c>
    </row>
    <row r="3109">
      <c r="A3109" s="355" t="s">
        <v>2372</v>
      </c>
      <c r="B3109" s="355" t="s">
        <v>438</v>
      </c>
      <c r="C3109" s="1562">
        <v>115456.0</v>
      </c>
      <c r="D3109" s="355">
        <v>123.0</v>
      </c>
      <c r="E3109" s="1" t="s">
        <v>438</v>
      </c>
    </row>
    <row r="3110">
      <c r="A3110" s="355" t="s">
        <v>526</v>
      </c>
      <c r="B3110" s="355" t="s">
        <v>438</v>
      </c>
      <c r="C3110" s="1562">
        <v>20412.0</v>
      </c>
      <c r="D3110" s="355">
        <v>25.0</v>
      </c>
      <c r="E3110" s="1" t="s">
        <v>438</v>
      </c>
    </row>
    <row r="3111">
      <c r="A3111" s="355" t="s">
        <v>2373</v>
      </c>
      <c r="B3111" s="355" t="s">
        <v>438</v>
      </c>
      <c r="C3111" s="1562">
        <v>29442.0</v>
      </c>
      <c r="D3111" s="355">
        <v>44.0</v>
      </c>
      <c r="E3111" s="1" t="s">
        <v>438</v>
      </c>
    </row>
    <row r="3112">
      <c r="A3112" s="355" t="s">
        <v>1181</v>
      </c>
      <c r="B3112" s="355" t="s">
        <v>438</v>
      </c>
      <c r="C3112" s="1562">
        <v>30785.0</v>
      </c>
      <c r="D3112" s="355">
        <v>61.0</v>
      </c>
      <c r="E3112" s="1" t="s">
        <v>438</v>
      </c>
    </row>
    <row r="3113">
      <c r="A3113" s="355" t="s">
        <v>2374</v>
      </c>
      <c r="B3113" s="355" t="s">
        <v>438</v>
      </c>
      <c r="C3113" s="1562">
        <v>21938.0</v>
      </c>
      <c r="D3113" s="355">
        <v>38.0</v>
      </c>
      <c r="E3113" s="1" t="s">
        <v>438</v>
      </c>
    </row>
    <row r="3114">
      <c r="A3114" s="355" t="s">
        <v>1887</v>
      </c>
      <c r="B3114" s="355" t="s">
        <v>438</v>
      </c>
      <c r="C3114" s="1562">
        <v>103718.0</v>
      </c>
      <c r="D3114" s="355">
        <v>86.0</v>
      </c>
      <c r="E3114" s="1" t="s">
        <v>438</v>
      </c>
    </row>
    <row r="3115">
      <c r="A3115" s="355" t="s">
        <v>2375</v>
      </c>
      <c r="B3115" s="355" t="s">
        <v>438</v>
      </c>
      <c r="C3115" s="1562">
        <v>15878.0</v>
      </c>
      <c r="D3115" s="355">
        <v>30.0</v>
      </c>
      <c r="E3115" s="1" t="s">
        <v>438</v>
      </c>
    </row>
    <row r="3116">
      <c r="A3116" s="355" t="s">
        <v>119</v>
      </c>
      <c r="B3116" s="355" t="s">
        <v>438</v>
      </c>
      <c r="C3116" s="1562">
        <v>135693.0</v>
      </c>
      <c r="D3116" s="355">
        <v>89.0</v>
      </c>
      <c r="E3116" s="1" t="s">
        <v>438</v>
      </c>
    </row>
    <row r="3117">
      <c r="A3117" s="355" t="s">
        <v>2376</v>
      </c>
      <c r="B3117" s="355" t="s">
        <v>438</v>
      </c>
      <c r="C3117" s="1562">
        <v>403072.0</v>
      </c>
      <c r="D3117" s="355">
        <v>216.0</v>
      </c>
      <c r="E3117" s="1" t="s">
        <v>438</v>
      </c>
    </row>
    <row r="3118">
      <c r="A3118" s="355" t="s">
        <v>2377</v>
      </c>
      <c r="B3118" s="355" t="s">
        <v>438</v>
      </c>
      <c r="C3118" s="1562">
        <v>51128.0</v>
      </c>
      <c r="D3118" s="355">
        <v>76.0</v>
      </c>
      <c r="E3118" s="1" t="s">
        <v>438</v>
      </c>
    </row>
    <row r="3119">
      <c r="A3119" s="355" t="s">
        <v>2378</v>
      </c>
      <c r="B3119" s="355" t="s">
        <v>438</v>
      </c>
      <c r="C3119" s="1562">
        <v>24263.0</v>
      </c>
      <c r="D3119" s="355">
        <v>39.0</v>
      </c>
      <c r="E3119" s="1" t="s">
        <v>438</v>
      </c>
    </row>
    <row r="3120">
      <c r="A3120" s="355" t="s">
        <v>753</v>
      </c>
      <c r="B3120" s="355" t="s">
        <v>438</v>
      </c>
      <c r="C3120" s="1562">
        <v>171020.0</v>
      </c>
      <c r="D3120" s="355">
        <v>108.0</v>
      </c>
      <c r="E3120" s="1" t="s">
        <v>438</v>
      </c>
    </row>
    <row r="3121">
      <c r="A3121" s="1501" t="s">
        <v>1703</v>
      </c>
      <c r="B3121" s="1501" t="s">
        <v>438</v>
      </c>
      <c r="C3121" s="1564">
        <v>73055.0</v>
      </c>
      <c r="D3121" s="1501">
        <v>78.0</v>
      </c>
      <c r="E3121" s="1624" t="s">
        <v>438</v>
      </c>
      <c r="F3121" s="1624"/>
      <c r="G3121" s="1624"/>
      <c r="N3121" s="1489"/>
      <c r="O3121" s="1489"/>
      <c r="P3121" s="1489"/>
      <c r="Q3121" s="1489"/>
      <c r="R3121" s="1489"/>
      <c r="S3121" s="1489"/>
      <c r="T3121" s="1489"/>
      <c r="U3121" s="1489"/>
      <c r="V3121" s="1489"/>
      <c r="W3121" s="1489"/>
      <c r="X3121" s="1489"/>
      <c r="Y3121" s="1489"/>
      <c r="Z3121" s="1489"/>
    </row>
    <row r="3122">
      <c r="A3122" s="1490" t="s">
        <v>1554</v>
      </c>
      <c r="B3122" s="1490" t="s">
        <v>2379</v>
      </c>
      <c r="C3122" s="1597">
        <v>38601.0</v>
      </c>
      <c r="D3122" s="1490">
        <v>29.0</v>
      </c>
      <c r="E3122" s="1" t="s">
        <v>2379</v>
      </c>
    </row>
    <row r="3123">
      <c r="A3123" s="1490" t="s">
        <v>1432</v>
      </c>
      <c r="B3123" s="1490" t="s">
        <v>2379</v>
      </c>
      <c r="C3123" s="1597">
        <v>11881.0</v>
      </c>
      <c r="D3123" s="1490">
        <v>21.0</v>
      </c>
      <c r="E3123" s="1" t="s">
        <v>2379</v>
      </c>
    </row>
    <row r="3124">
      <c r="A3124" s="1490" t="s">
        <v>1036</v>
      </c>
      <c r="B3124" s="1490" t="s">
        <v>2379</v>
      </c>
      <c r="C3124" s="1597">
        <v>46140.0</v>
      </c>
      <c r="D3124" s="1490">
        <v>35.0</v>
      </c>
      <c r="E3124" s="1" t="s">
        <v>2379</v>
      </c>
    </row>
    <row r="3125">
      <c r="A3125" s="1490" t="s">
        <v>1434</v>
      </c>
      <c r="B3125" s="1490" t="s">
        <v>2379</v>
      </c>
      <c r="C3125" s="1597">
        <v>14971.0</v>
      </c>
      <c r="D3125" s="1490">
        <v>27.0</v>
      </c>
      <c r="E3125" s="1" t="s">
        <v>2379</v>
      </c>
      <c r="H3125" s="1489"/>
      <c r="I3125" s="1489"/>
      <c r="J3125" s="1489"/>
      <c r="K3125" s="1489"/>
      <c r="L3125" s="1489"/>
      <c r="M3125" s="1489"/>
    </row>
    <row r="3126">
      <c r="A3126" s="1490" t="s">
        <v>2380</v>
      </c>
      <c r="B3126" s="1490" t="s">
        <v>2379</v>
      </c>
      <c r="C3126" s="1597">
        <v>13640.0</v>
      </c>
      <c r="D3126" s="1490">
        <v>20.0</v>
      </c>
      <c r="E3126" s="1" t="s">
        <v>2379</v>
      </c>
    </row>
    <row r="3127">
      <c r="A3127" s="1490" t="s">
        <v>1770</v>
      </c>
      <c r="B3127" s="1490" t="s">
        <v>2379</v>
      </c>
      <c r="C3127" s="1597">
        <v>7450.0</v>
      </c>
      <c r="D3127" s="1490">
        <v>16.0</v>
      </c>
      <c r="E3127" s="1" t="s">
        <v>2379</v>
      </c>
    </row>
    <row r="3128">
      <c r="A3128" s="1490" t="s">
        <v>416</v>
      </c>
      <c r="B3128" s="1490" t="s">
        <v>2379</v>
      </c>
      <c r="C3128" s="1597">
        <v>39531.0</v>
      </c>
      <c r="D3128" s="1490">
        <v>49.0</v>
      </c>
      <c r="E3128" s="1" t="s">
        <v>2379</v>
      </c>
    </row>
    <row r="3129">
      <c r="A3129" s="1490" t="s">
        <v>2381</v>
      </c>
      <c r="B3129" s="1490" t="s">
        <v>2379</v>
      </c>
      <c r="C3129" s="1597">
        <v>13376.0</v>
      </c>
      <c r="D3129" s="1490">
        <v>17.0</v>
      </c>
      <c r="E3129" s="1" t="s">
        <v>2379</v>
      </c>
    </row>
    <row r="3130">
      <c r="A3130" s="1490" t="s">
        <v>2382</v>
      </c>
      <c r="B3130" s="1490" t="s">
        <v>2379</v>
      </c>
      <c r="C3130" s="1597">
        <v>4555.0</v>
      </c>
      <c r="D3130" s="1490">
        <v>9.0</v>
      </c>
      <c r="E3130" s="1" t="s">
        <v>2379</v>
      </c>
    </row>
    <row r="3131">
      <c r="A3131" s="1490" t="s">
        <v>288</v>
      </c>
      <c r="B3131" s="1490" t="s">
        <v>2379</v>
      </c>
      <c r="C3131" s="1597">
        <v>8460.0</v>
      </c>
      <c r="D3131" s="1490">
        <v>18.0</v>
      </c>
      <c r="E3131" s="1" t="s">
        <v>2379</v>
      </c>
    </row>
    <row r="3132">
      <c r="A3132" s="1490" t="s">
        <v>2383</v>
      </c>
      <c r="B3132" s="1490" t="s">
        <v>2379</v>
      </c>
      <c r="C3132" s="1597">
        <v>98976.0</v>
      </c>
      <c r="D3132" s="1490">
        <v>92.0</v>
      </c>
      <c r="E3132" s="1" t="s">
        <v>2379</v>
      </c>
    </row>
    <row r="3133">
      <c r="A3133" s="1490" t="s">
        <v>290</v>
      </c>
      <c r="B3133" s="1490" t="s">
        <v>2379</v>
      </c>
      <c r="C3133" s="1597">
        <v>19434.0</v>
      </c>
      <c r="D3133" s="1490">
        <v>23.0</v>
      </c>
      <c r="E3133" s="1" t="s">
        <v>2379</v>
      </c>
    </row>
    <row r="3134">
      <c r="A3134" s="1490" t="s">
        <v>2384</v>
      </c>
      <c r="B3134" s="1490" t="s">
        <v>2379</v>
      </c>
      <c r="C3134" s="1597">
        <v>79115.0</v>
      </c>
      <c r="D3134" s="1490">
        <v>61.0</v>
      </c>
      <c r="E3134" s="1" t="s">
        <v>2379</v>
      </c>
    </row>
    <row r="3135">
      <c r="A3135" s="1490" t="s">
        <v>2385</v>
      </c>
      <c r="B3135" s="1490" t="s">
        <v>2379</v>
      </c>
      <c r="C3135" s="1597">
        <v>2388.0</v>
      </c>
      <c r="D3135" s="1490">
        <v>4.0</v>
      </c>
      <c r="E3135" s="1" t="s">
        <v>2379</v>
      </c>
    </row>
    <row r="3136">
      <c r="A3136" s="1490" t="s">
        <v>445</v>
      </c>
      <c r="B3136" s="1490" t="s">
        <v>2379</v>
      </c>
      <c r="C3136" s="1597">
        <v>29324.0</v>
      </c>
      <c r="D3136" s="1490">
        <v>51.0</v>
      </c>
      <c r="E3136" s="1" t="s">
        <v>2379</v>
      </c>
    </row>
    <row r="3137">
      <c r="A3137" s="1490" t="s">
        <v>1419</v>
      </c>
      <c r="B3137" s="1490" t="s">
        <v>2379</v>
      </c>
      <c r="C3137" s="1597">
        <v>8566.0</v>
      </c>
      <c r="D3137" s="1490">
        <v>19.0</v>
      </c>
      <c r="E3137" s="1" t="s">
        <v>2379</v>
      </c>
    </row>
    <row r="3138">
      <c r="A3138" s="1490" t="s">
        <v>1010</v>
      </c>
      <c r="B3138" s="1490" t="s">
        <v>2379</v>
      </c>
      <c r="C3138" s="1597">
        <v>30233.0</v>
      </c>
      <c r="D3138" s="1490">
        <v>39.0</v>
      </c>
      <c r="E3138" s="1" t="s">
        <v>2379</v>
      </c>
    </row>
    <row r="3139">
      <c r="A3139" s="1490" t="s">
        <v>2386</v>
      </c>
      <c r="B3139" s="1490" t="s">
        <v>2379</v>
      </c>
      <c r="C3139" s="1597">
        <v>9813.0</v>
      </c>
      <c r="D3139" s="1490">
        <v>13.0</v>
      </c>
      <c r="E3139" s="1" t="s">
        <v>2379</v>
      </c>
    </row>
    <row r="3140">
      <c r="A3140" s="1490" t="s">
        <v>2387</v>
      </c>
      <c r="B3140" s="1490" t="s">
        <v>2379</v>
      </c>
      <c r="C3140" s="1597">
        <v>43051.0</v>
      </c>
      <c r="D3140" s="1490">
        <v>41.0</v>
      </c>
      <c r="E3140" s="1" t="s">
        <v>2379</v>
      </c>
    </row>
    <row r="3141">
      <c r="A3141" s="1490" t="s">
        <v>690</v>
      </c>
      <c r="B3141" s="1490" t="s">
        <v>2379</v>
      </c>
      <c r="C3141" s="1597">
        <v>23081.0</v>
      </c>
      <c r="D3141" s="1490">
        <v>16.0</v>
      </c>
      <c r="E3141" s="1" t="s">
        <v>2379</v>
      </c>
    </row>
    <row r="3142">
      <c r="A3142" s="1490" t="s">
        <v>2388</v>
      </c>
      <c r="B3142" s="1490" t="s">
        <v>2379</v>
      </c>
      <c r="C3142" s="1597">
        <v>20299.0</v>
      </c>
      <c r="D3142" s="1490">
        <v>32.0</v>
      </c>
      <c r="E3142" s="1" t="s">
        <v>2379</v>
      </c>
    </row>
    <row r="3143">
      <c r="A3143" s="1490" t="s">
        <v>2389</v>
      </c>
      <c r="B3143" s="1490" t="s">
        <v>2379</v>
      </c>
      <c r="C3143" s="1597">
        <v>7885.0</v>
      </c>
      <c r="D3143" s="1490">
        <v>21.0</v>
      </c>
      <c r="E3143" s="1" t="s">
        <v>2379</v>
      </c>
    </row>
    <row r="3144">
      <c r="A3144" s="1496" t="s">
        <v>2390</v>
      </c>
      <c r="B3144" s="1496" t="s">
        <v>2379</v>
      </c>
      <c r="C3144" s="1598">
        <v>6967.0</v>
      </c>
      <c r="D3144" s="1496">
        <v>13.0</v>
      </c>
      <c r="E3144" s="1624" t="s">
        <v>2379</v>
      </c>
      <c r="F3144" s="1624"/>
      <c r="G3144" s="1624"/>
      <c r="N3144" s="1489"/>
      <c r="O3144" s="1489"/>
      <c r="P3144" s="1489"/>
      <c r="Q3144" s="1489"/>
      <c r="R3144" s="1489"/>
      <c r="S3144" s="1489"/>
      <c r="T3144" s="1489"/>
      <c r="U3144" s="1489"/>
      <c r="V3144" s="1489"/>
      <c r="W3144" s="1489"/>
      <c r="X3144" s="1489"/>
      <c r="Y3144" s="1489"/>
      <c r="Z3144" s="1489"/>
    </row>
    <row r="3145">
      <c r="C3145" s="137"/>
    </row>
    <row r="3146">
      <c r="C3146" s="137"/>
    </row>
    <row r="3147">
      <c r="C3147" s="137"/>
    </row>
    <row r="3148">
      <c r="C3148" s="137"/>
      <c r="H3148" s="1489"/>
      <c r="I3148" s="1489"/>
      <c r="J3148" s="1489"/>
      <c r="K3148" s="1489"/>
      <c r="L3148" s="1489"/>
      <c r="M3148" s="1489"/>
    </row>
    <row r="3149">
      <c r="C3149" s="137"/>
    </row>
    <row r="3150">
      <c r="C3150" s="137"/>
    </row>
    <row r="3151">
      <c r="C3151" s="137"/>
    </row>
    <row r="3152">
      <c r="C3152" s="137"/>
    </row>
    <row r="3153">
      <c r="C3153" s="137"/>
    </row>
  </sheetData>
  <drawing r:id="rId1"/>
</worksheet>
</file>

<file path=xl/worksheets/sheet1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7.75"/>
  </cols>
  <sheetData>
    <row r="1">
      <c r="B1" s="703"/>
      <c r="E1" s="727"/>
      <c r="F1" s="727"/>
      <c r="G1" s="727"/>
      <c r="H1" s="727"/>
      <c r="I1" s="727"/>
      <c r="J1" s="727"/>
      <c r="K1" s="727"/>
      <c r="L1" s="1505"/>
    </row>
    <row r="2">
      <c r="A2" s="1506"/>
      <c r="B2" s="1507"/>
      <c r="C2" s="1508"/>
      <c r="D2" s="1508"/>
      <c r="E2" s="727"/>
      <c r="F2" s="727"/>
      <c r="G2" s="727"/>
      <c r="H2" s="727"/>
      <c r="I2" s="727"/>
      <c r="J2" s="727"/>
      <c r="K2" s="727"/>
      <c r="L2" s="1505"/>
    </row>
    <row r="3">
      <c r="A3" s="1509"/>
      <c r="B3" s="1510"/>
      <c r="C3" s="1509"/>
      <c r="D3" s="1510"/>
      <c r="E3" s="1510"/>
      <c r="F3" s="1510"/>
      <c r="G3" s="1510"/>
      <c r="H3" s="1510"/>
      <c r="I3" s="1510"/>
      <c r="J3" s="1510"/>
      <c r="K3" s="1510"/>
      <c r="L3" s="1511"/>
    </row>
    <row r="4">
      <c r="A4" s="166"/>
      <c r="B4" s="1512"/>
      <c r="C4" s="1513" t="s">
        <v>4279</v>
      </c>
      <c r="D4" s="52"/>
      <c r="E4" s="1514" t="s">
        <v>4280</v>
      </c>
      <c r="F4" s="51"/>
      <c r="G4" s="51"/>
      <c r="H4" s="51"/>
      <c r="I4" s="51"/>
      <c r="J4" s="51"/>
      <c r="K4" s="52"/>
      <c r="L4" s="1515" t="s">
        <v>4281</v>
      </c>
    </row>
    <row r="5">
      <c r="A5" s="1517" t="s">
        <v>4282</v>
      </c>
      <c r="B5" s="1519">
        <v>2020.0</v>
      </c>
      <c r="C5" s="1520" t="s">
        <v>4283</v>
      </c>
      <c r="D5" s="1524" t="s">
        <v>4284</v>
      </c>
      <c r="E5" s="1525" t="s">
        <v>4285</v>
      </c>
      <c r="F5" s="1526" t="s">
        <v>4286</v>
      </c>
      <c r="G5" s="1526" t="s">
        <v>4287</v>
      </c>
      <c r="H5" s="1526" t="s">
        <v>4288</v>
      </c>
      <c r="I5" s="1526" t="s">
        <v>4289</v>
      </c>
      <c r="J5" s="1526" t="s">
        <v>4290</v>
      </c>
      <c r="K5" s="1527" t="s">
        <v>75</v>
      </c>
      <c r="L5" s="1515" t="s">
        <v>78</v>
      </c>
    </row>
    <row r="6">
      <c r="A6" s="1528" t="s">
        <v>401</v>
      </c>
      <c r="B6" s="1529">
        <v>3.31449281E8</v>
      </c>
      <c r="C6" s="1530">
        <v>1.2997532E7</v>
      </c>
      <c r="D6" s="1531">
        <v>18.0</v>
      </c>
      <c r="E6" s="1532">
        <v>2.04277273E8</v>
      </c>
      <c r="F6" s="1533">
        <v>4.11042E7</v>
      </c>
      <c r="G6" s="1533">
        <v>3727135.0</v>
      </c>
      <c r="H6" s="1533">
        <v>1.9886049E7</v>
      </c>
      <c r="I6" s="1533">
        <v>689966.0</v>
      </c>
      <c r="J6" s="1534">
        <v>2.7915715E7</v>
      </c>
      <c r="K6" s="1535">
        <v>3.3848943E7</v>
      </c>
      <c r="L6" s="1537">
        <v>61937.0</v>
      </c>
    </row>
    <row r="7">
      <c r="A7" s="1538" t="s">
        <v>0</v>
      </c>
      <c r="B7" s="1539">
        <v>5024279.0</v>
      </c>
      <c r="C7" s="1540">
        <v>255613.0</v>
      </c>
      <c r="D7" s="1541">
        <v>23.9</v>
      </c>
      <c r="E7" s="1542">
        <v>3220452.0</v>
      </c>
      <c r="F7" s="1542">
        <v>1296162.0</v>
      </c>
      <c r="G7" s="1542">
        <v>33625.0</v>
      </c>
      <c r="H7" s="1542">
        <v>76660.0</v>
      </c>
      <c r="I7" s="1542">
        <v>2984.0</v>
      </c>
      <c r="J7" s="1542">
        <v>137443.0</v>
      </c>
      <c r="K7" s="1543">
        <v>256953.0</v>
      </c>
      <c r="L7" s="1544">
        <v>49881.0</v>
      </c>
    </row>
    <row r="8">
      <c r="A8" s="1545" t="s">
        <v>52</v>
      </c>
      <c r="B8" s="1546">
        <v>58805.0</v>
      </c>
      <c r="C8" s="1547">
        <v>2509.0</v>
      </c>
      <c r="D8" s="1548">
        <v>19.3</v>
      </c>
      <c r="E8" s="1549">
        <v>42160.0</v>
      </c>
      <c r="F8" s="1549">
        <v>11445.0</v>
      </c>
      <c r="G8" s="1549">
        <v>217.0</v>
      </c>
      <c r="H8" s="1549">
        <v>881.0</v>
      </c>
      <c r="I8" s="1549">
        <v>35.0</v>
      </c>
      <c r="J8" s="1549">
        <v>910.0</v>
      </c>
      <c r="K8" s="1550">
        <v>3157.0</v>
      </c>
      <c r="L8" s="1551">
        <v>59338.0</v>
      </c>
    </row>
    <row r="9">
      <c r="A9" s="1545" t="s">
        <v>58</v>
      </c>
      <c r="B9" s="1546">
        <v>231767.0</v>
      </c>
      <c r="C9" s="1547">
        <v>6442.0</v>
      </c>
      <c r="D9" s="1548">
        <v>13.9</v>
      </c>
      <c r="E9" s="1552">
        <v>189399.0</v>
      </c>
      <c r="F9" s="1553">
        <v>18217.0</v>
      </c>
      <c r="G9" s="1553">
        <v>1582.0</v>
      </c>
      <c r="H9" s="1553">
        <v>2067.0</v>
      </c>
      <c r="I9" s="1553">
        <v>143.0</v>
      </c>
      <c r="J9" s="1553">
        <v>5335.0</v>
      </c>
      <c r="K9" s="1554">
        <v>15024.0</v>
      </c>
      <c r="L9" s="1555">
        <v>57588.0</v>
      </c>
    </row>
    <row r="10">
      <c r="A10" s="1545" t="s">
        <v>62</v>
      </c>
      <c r="B10" s="1546">
        <v>25223.0</v>
      </c>
      <c r="C10" s="1547">
        <v>2242.0</v>
      </c>
      <c r="D10" s="1548">
        <v>43.9</v>
      </c>
      <c r="E10" s="1549">
        <v>11317.0</v>
      </c>
      <c r="F10" s="1549">
        <v>11933.0</v>
      </c>
      <c r="G10" s="1549">
        <v>116.0</v>
      </c>
      <c r="H10" s="1549">
        <v>117.0</v>
      </c>
      <c r="I10" s="1549">
        <v>1.0</v>
      </c>
      <c r="J10" s="1549">
        <v>1039.0</v>
      </c>
      <c r="K10" s="1550">
        <v>700.0</v>
      </c>
      <c r="L10" s="1551">
        <v>34382.0</v>
      </c>
    </row>
    <row r="11">
      <c r="A11" s="1545" t="s">
        <v>68</v>
      </c>
      <c r="B11" s="1546">
        <v>22293.0</v>
      </c>
      <c r="C11" s="1547">
        <v>1238.0</v>
      </c>
      <c r="D11" s="1548">
        <v>27.8</v>
      </c>
      <c r="E11" s="1549">
        <v>16555.0</v>
      </c>
      <c r="F11" s="1549">
        <v>4413.0</v>
      </c>
      <c r="G11" s="1549">
        <v>60.0</v>
      </c>
      <c r="H11" s="1549">
        <v>32.0</v>
      </c>
      <c r="I11" s="1549">
        <v>9.0</v>
      </c>
      <c r="J11" s="1549">
        <v>465.0</v>
      </c>
      <c r="K11" s="1550">
        <v>759.0</v>
      </c>
      <c r="L11" s="1551">
        <v>46064.0</v>
      </c>
    </row>
    <row r="12">
      <c r="A12" s="1545" t="s">
        <v>77</v>
      </c>
      <c r="B12" s="1546">
        <v>59134.0</v>
      </c>
      <c r="C12" s="1547">
        <v>2374.0</v>
      </c>
      <c r="D12" s="1556">
        <v>18.0</v>
      </c>
      <c r="E12" s="1549">
        <v>50663.0</v>
      </c>
      <c r="F12" s="1549">
        <v>845.0</v>
      </c>
      <c r="G12" s="1549">
        <v>337.0</v>
      </c>
      <c r="H12" s="1549">
        <v>178.0</v>
      </c>
      <c r="I12" s="1549">
        <v>24.0</v>
      </c>
      <c r="J12" s="1549">
        <v>3431.0</v>
      </c>
      <c r="K12" s="1550">
        <v>3656.0</v>
      </c>
      <c r="L12" s="1551">
        <v>50412.0</v>
      </c>
    </row>
    <row r="13">
      <c r="A13" s="1545" t="s">
        <v>81</v>
      </c>
      <c r="B13" s="1546">
        <v>10357.0</v>
      </c>
      <c r="C13" s="1547">
        <v>1433.0</v>
      </c>
      <c r="D13" s="1548">
        <v>68.3</v>
      </c>
      <c r="E13" s="1549">
        <v>2320.0</v>
      </c>
      <c r="F13" s="1549">
        <v>7396.0</v>
      </c>
      <c r="G13" s="1549">
        <v>72.0</v>
      </c>
      <c r="H13" s="1549">
        <v>9.0</v>
      </c>
      <c r="I13" s="1549">
        <v>10.0</v>
      </c>
      <c r="J13" s="1549">
        <v>302.0</v>
      </c>
      <c r="K13" s="1550">
        <v>248.0</v>
      </c>
      <c r="L13" s="1551">
        <v>29267.0</v>
      </c>
    </row>
    <row r="14">
      <c r="A14" s="1545" t="s">
        <v>87</v>
      </c>
      <c r="B14" s="1546">
        <v>19051.0</v>
      </c>
      <c r="C14" s="1547">
        <v>1566.0</v>
      </c>
      <c r="D14" s="1548">
        <v>36.3</v>
      </c>
      <c r="E14" s="1549">
        <v>9752.0</v>
      </c>
      <c r="F14" s="1549">
        <v>8430.0</v>
      </c>
      <c r="G14" s="1549">
        <v>29.0</v>
      </c>
      <c r="H14" s="1549">
        <v>143.0</v>
      </c>
      <c r="I14" s="1549">
        <v>5.0</v>
      </c>
      <c r="J14" s="1549">
        <v>105.0</v>
      </c>
      <c r="K14" s="1550">
        <v>587.0</v>
      </c>
      <c r="L14" s="1551">
        <v>37365.0</v>
      </c>
    </row>
    <row r="15">
      <c r="A15" s="1545" t="s">
        <v>93</v>
      </c>
      <c r="B15" s="1546">
        <v>116441.0</v>
      </c>
      <c r="C15" s="1547">
        <v>6397.0</v>
      </c>
      <c r="D15" s="1548">
        <v>26.5</v>
      </c>
      <c r="E15" s="1557">
        <v>80586.0</v>
      </c>
      <c r="F15" s="598">
        <v>25559.0</v>
      </c>
      <c r="G15" s="598">
        <v>487.0</v>
      </c>
      <c r="H15" s="598">
        <v>1190.0</v>
      </c>
      <c r="I15" s="598">
        <v>119.0</v>
      </c>
      <c r="J15" s="598">
        <v>2471.0</v>
      </c>
      <c r="K15" s="1561">
        <v>6029.0</v>
      </c>
      <c r="L15" s="1555">
        <v>45400.0</v>
      </c>
    </row>
    <row r="16">
      <c r="A16" s="1545" t="s">
        <v>98</v>
      </c>
      <c r="B16" s="1546">
        <v>34772.0</v>
      </c>
      <c r="C16" s="1547">
        <v>2103.0</v>
      </c>
      <c r="D16" s="1548">
        <v>30.7</v>
      </c>
      <c r="E16" s="1549">
        <v>18850.0</v>
      </c>
      <c r="F16" s="1549">
        <v>13512.0</v>
      </c>
      <c r="G16" s="1549">
        <v>106.0</v>
      </c>
      <c r="H16" s="1549">
        <v>401.0</v>
      </c>
      <c r="I16" s="1549">
        <v>13.0</v>
      </c>
      <c r="J16" s="1549">
        <v>680.0</v>
      </c>
      <c r="K16" s="1550">
        <v>1210.0</v>
      </c>
      <c r="L16" s="1551">
        <v>39917.0</v>
      </c>
    </row>
    <row r="17">
      <c r="A17" s="1545" t="s">
        <v>101</v>
      </c>
      <c r="B17" s="1546">
        <v>24971.0</v>
      </c>
      <c r="C17" s="1547">
        <v>1215.0</v>
      </c>
      <c r="D17" s="1548">
        <v>24.7</v>
      </c>
      <c r="E17" s="1549">
        <v>22707.0</v>
      </c>
      <c r="F17" s="1549">
        <v>987.0</v>
      </c>
      <c r="G17" s="1549">
        <v>109.0</v>
      </c>
      <c r="H17" s="1549">
        <v>56.0</v>
      </c>
      <c r="I17" s="1549">
        <v>1.0</v>
      </c>
      <c r="J17" s="1549">
        <v>191.0</v>
      </c>
      <c r="K17" s="1550">
        <v>920.0</v>
      </c>
      <c r="L17" s="1551">
        <v>42132.0</v>
      </c>
    </row>
    <row r="18">
      <c r="A18" s="1545" t="s">
        <v>104</v>
      </c>
      <c r="B18" s="1546">
        <v>45014.0</v>
      </c>
      <c r="C18" s="1547">
        <v>2401.0</v>
      </c>
      <c r="D18" s="1548">
        <v>23.3</v>
      </c>
      <c r="E18" s="1549">
        <v>35527.0</v>
      </c>
      <c r="F18" s="1549">
        <v>4067.0</v>
      </c>
      <c r="G18" s="1549">
        <v>338.0</v>
      </c>
      <c r="H18" s="1549">
        <v>181.0</v>
      </c>
      <c r="I18" s="1549">
        <v>6.0</v>
      </c>
      <c r="J18" s="1549">
        <v>2892.0</v>
      </c>
      <c r="K18" s="1550">
        <v>2003.0</v>
      </c>
      <c r="L18" s="1551">
        <v>47547.0</v>
      </c>
    </row>
    <row r="19">
      <c r="A19" s="1545" t="s">
        <v>107</v>
      </c>
      <c r="B19" s="1546">
        <v>12665.0</v>
      </c>
      <c r="C19" s="1563">
        <v>813.0</v>
      </c>
      <c r="D19" s="1548">
        <v>32.1</v>
      </c>
      <c r="E19" s="1549">
        <v>7074.0</v>
      </c>
      <c r="F19" s="1549">
        <v>5232.0</v>
      </c>
      <c r="G19" s="1549">
        <v>30.0</v>
      </c>
      <c r="H19" s="1549">
        <v>22.0</v>
      </c>
      <c r="I19" s="1549">
        <v>0.0</v>
      </c>
      <c r="J19" s="1549">
        <v>47.0</v>
      </c>
      <c r="K19" s="1550">
        <v>260.0</v>
      </c>
      <c r="L19" s="1551">
        <v>39907.0</v>
      </c>
    </row>
    <row r="20">
      <c r="A20" s="1545" t="s">
        <v>110</v>
      </c>
      <c r="B20" s="1546">
        <v>23087.0</v>
      </c>
      <c r="C20" s="1547">
        <v>1625.0</v>
      </c>
      <c r="D20" s="1548">
        <v>31.7</v>
      </c>
      <c r="E20" s="1549">
        <v>12029.0</v>
      </c>
      <c r="F20" s="1549">
        <v>10255.0</v>
      </c>
      <c r="G20" s="1549">
        <v>74.0</v>
      </c>
      <c r="H20" s="1549">
        <v>94.0</v>
      </c>
      <c r="I20" s="1549">
        <v>1.0</v>
      </c>
      <c r="J20" s="1549">
        <v>82.0</v>
      </c>
      <c r="K20" s="1550">
        <v>552.0</v>
      </c>
      <c r="L20" s="1551">
        <v>40741.0</v>
      </c>
    </row>
    <row r="21">
      <c r="A21" s="1545" t="s">
        <v>112</v>
      </c>
      <c r="B21" s="1546">
        <v>14236.0</v>
      </c>
      <c r="C21" s="1563">
        <v>684.0</v>
      </c>
      <c r="D21" s="1548">
        <v>25.8</v>
      </c>
      <c r="E21" s="1549">
        <v>11375.0</v>
      </c>
      <c r="F21" s="1549">
        <v>1963.0</v>
      </c>
      <c r="G21" s="1549">
        <v>56.0</v>
      </c>
      <c r="H21" s="1549">
        <v>48.0</v>
      </c>
      <c r="I21" s="1549">
        <v>4.0</v>
      </c>
      <c r="J21" s="1549">
        <v>195.0</v>
      </c>
      <c r="K21" s="1550">
        <v>595.0</v>
      </c>
      <c r="L21" s="1551">
        <v>39201.0</v>
      </c>
    </row>
    <row r="22">
      <c r="A22" s="1545" t="s">
        <v>115</v>
      </c>
      <c r="B22" s="1546">
        <v>15056.0</v>
      </c>
      <c r="C22" s="1563">
        <v>764.0</v>
      </c>
      <c r="D22" s="1548">
        <v>22.9</v>
      </c>
      <c r="E22" s="1549">
        <v>13819.0</v>
      </c>
      <c r="F22" s="1549">
        <v>466.0</v>
      </c>
      <c r="G22" s="1549">
        <v>53.0</v>
      </c>
      <c r="H22" s="1549">
        <v>21.0</v>
      </c>
      <c r="I22" s="1549">
        <v>2.0</v>
      </c>
      <c r="J22" s="1549">
        <v>129.0</v>
      </c>
      <c r="K22" s="1550">
        <v>566.0</v>
      </c>
      <c r="L22" s="1551">
        <v>46495.0</v>
      </c>
    </row>
    <row r="23">
      <c r="A23" s="1545" t="s">
        <v>118</v>
      </c>
      <c r="B23" s="1546">
        <v>53465.0</v>
      </c>
      <c r="C23" s="1547">
        <v>2640.0</v>
      </c>
      <c r="D23" s="1548">
        <v>21.9</v>
      </c>
      <c r="E23" s="1549">
        <v>37080.0</v>
      </c>
      <c r="F23" s="1549">
        <v>8760.0</v>
      </c>
      <c r="G23" s="1549">
        <v>640.0</v>
      </c>
      <c r="H23" s="1549">
        <v>909.0</v>
      </c>
      <c r="I23" s="1549">
        <v>61.0</v>
      </c>
      <c r="J23" s="1549">
        <v>1908.0</v>
      </c>
      <c r="K23" s="1550">
        <v>4107.0</v>
      </c>
      <c r="L23" s="1551">
        <v>55122.0</v>
      </c>
    </row>
    <row r="24">
      <c r="A24" s="1545" t="s">
        <v>121</v>
      </c>
      <c r="B24" s="1546">
        <v>57227.0</v>
      </c>
      <c r="C24" s="1547">
        <v>2345.0</v>
      </c>
      <c r="D24" s="1556">
        <v>21.0</v>
      </c>
      <c r="E24" s="1549">
        <v>43631.0</v>
      </c>
      <c r="F24" s="1549">
        <v>9286.0</v>
      </c>
      <c r="G24" s="1549">
        <v>270.0</v>
      </c>
      <c r="H24" s="1549">
        <v>432.0</v>
      </c>
      <c r="I24" s="1549">
        <v>9.0</v>
      </c>
      <c r="J24" s="1549">
        <v>902.0</v>
      </c>
      <c r="K24" s="1550">
        <v>2697.0</v>
      </c>
      <c r="L24" s="1551">
        <v>49055.0</v>
      </c>
    </row>
    <row r="25">
      <c r="A25" s="1545" t="s">
        <v>124</v>
      </c>
      <c r="B25" s="1546">
        <v>11597.0</v>
      </c>
      <c r="C25" s="1547">
        <v>1005.0</v>
      </c>
      <c r="D25" s="1548">
        <v>40.1</v>
      </c>
      <c r="E25" s="1549">
        <v>5912.0</v>
      </c>
      <c r="F25" s="1549">
        <v>5104.0</v>
      </c>
      <c r="G25" s="1549">
        <v>72.0</v>
      </c>
      <c r="H25" s="1549">
        <v>40.0</v>
      </c>
      <c r="I25" s="1549">
        <v>1.0</v>
      </c>
      <c r="J25" s="1549">
        <v>99.0</v>
      </c>
      <c r="K25" s="1550">
        <v>369.0</v>
      </c>
      <c r="L25" s="1551">
        <v>32613.0</v>
      </c>
    </row>
    <row r="26">
      <c r="A26" s="1545" t="s">
        <v>125</v>
      </c>
      <c r="B26" s="1546">
        <v>10387.0</v>
      </c>
      <c r="C26" s="1563">
        <v>526.0</v>
      </c>
      <c r="D26" s="1548">
        <v>30.1</v>
      </c>
      <c r="E26" s="1549">
        <v>6824.0</v>
      </c>
      <c r="F26" s="1549">
        <v>3008.0</v>
      </c>
      <c r="G26" s="1549">
        <v>31.0</v>
      </c>
      <c r="H26" s="1549">
        <v>8.0</v>
      </c>
      <c r="I26" s="1549">
        <v>0.0</v>
      </c>
      <c r="J26" s="1549">
        <v>162.0</v>
      </c>
      <c r="K26" s="1550">
        <v>354.0</v>
      </c>
      <c r="L26" s="1551">
        <v>42423.0</v>
      </c>
    </row>
    <row r="27">
      <c r="A27" s="1545" t="s">
        <v>126</v>
      </c>
      <c r="B27" s="1546">
        <v>37570.0</v>
      </c>
      <c r="C27" s="1547">
        <v>2341.0</v>
      </c>
      <c r="D27" s="1548">
        <v>29.5</v>
      </c>
      <c r="E27" s="1549">
        <v>30877.0</v>
      </c>
      <c r="F27" s="1549">
        <v>4607.0</v>
      </c>
      <c r="G27" s="1549">
        <v>147.0</v>
      </c>
      <c r="H27" s="1549">
        <v>240.0</v>
      </c>
      <c r="I27" s="1549">
        <v>0.0</v>
      </c>
      <c r="J27" s="1549">
        <v>257.0</v>
      </c>
      <c r="K27" s="1550">
        <v>1442.0</v>
      </c>
      <c r="L27" s="1551">
        <v>40203.0</v>
      </c>
    </row>
    <row r="28">
      <c r="A28" s="1545" t="s">
        <v>127</v>
      </c>
      <c r="B28" s="1546">
        <v>13194.0</v>
      </c>
      <c r="C28" s="1563">
        <v>957.0</v>
      </c>
      <c r="D28" s="1548">
        <v>30.8</v>
      </c>
      <c r="E28" s="1549">
        <v>9388.0</v>
      </c>
      <c r="F28" s="1549">
        <v>3103.0</v>
      </c>
      <c r="G28" s="1549">
        <v>62.0</v>
      </c>
      <c r="H28" s="1549">
        <v>83.0</v>
      </c>
      <c r="I28" s="1549">
        <v>2.0</v>
      </c>
      <c r="J28" s="1549">
        <v>77.0</v>
      </c>
      <c r="K28" s="1550">
        <v>479.0</v>
      </c>
      <c r="L28" s="1551">
        <v>39057.0</v>
      </c>
    </row>
    <row r="29">
      <c r="A29" s="1545" t="s">
        <v>128</v>
      </c>
      <c r="B29" s="1546">
        <v>87866.0</v>
      </c>
      <c r="C29" s="1547">
        <v>3604.0</v>
      </c>
      <c r="D29" s="1548">
        <v>19.7</v>
      </c>
      <c r="E29" s="1557">
        <v>79142.0</v>
      </c>
      <c r="F29" s="598">
        <v>937.0</v>
      </c>
      <c r="G29" s="598">
        <v>408.0</v>
      </c>
      <c r="H29" s="598">
        <v>522.0</v>
      </c>
      <c r="I29" s="598">
        <v>64.0</v>
      </c>
      <c r="J29" s="598">
        <v>2136.0</v>
      </c>
      <c r="K29" s="1561">
        <v>4657.0</v>
      </c>
      <c r="L29" s="1555">
        <v>45796.0</v>
      </c>
    </row>
    <row r="30">
      <c r="A30" s="1545" t="s">
        <v>129</v>
      </c>
      <c r="B30" s="1546">
        <v>49326.0</v>
      </c>
      <c r="C30" s="1547">
        <v>2698.0</v>
      </c>
      <c r="D30" s="1548">
        <v>24.4</v>
      </c>
      <c r="E30" s="1549">
        <v>33429.0</v>
      </c>
      <c r="F30" s="1549">
        <v>10241.0</v>
      </c>
      <c r="G30" s="1549">
        <v>270.0</v>
      </c>
      <c r="H30" s="1549">
        <v>671.0</v>
      </c>
      <c r="I30" s="1549">
        <v>52.0</v>
      </c>
      <c r="J30" s="1549">
        <v>1243.0</v>
      </c>
      <c r="K30" s="1550">
        <v>3420.0</v>
      </c>
      <c r="L30" s="1551">
        <v>45309.0</v>
      </c>
    </row>
    <row r="31">
      <c r="A31" s="1545" t="s">
        <v>130</v>
      </c>
      <c r="B31" s="1546">
        <v>38462.0</v>
      </c>
      <c r="C31" s="1547">
        <v>4295.0</v>
      </c>
      <c r="D31" s="1556">
        <v>48.0</v>
      </c>
      <c r="E31" s="1549">
        <v>10409.0</v>
      </c>
      <c r="F31" s="1549">
        <v>26899.0</v>
      </c>
      <c r="G31" s="1549">
        <v>65.0</v>
      </c>
      <c r="H31" s="1549">
        <v>146.0</v>
      </c>
      <c r="I31" s="1549">
        <v>17.0</v>
      </c>
      <c r="J31" s="1549">
        <v>120.0</v>
      </c>
      <c r="K31" s="1550">
        <v>806.0</v>
      </c>
      <c r="L31" s="1551">
        <v>34035.0</v>
      </c>
    </row>
    <row r="32">
      <c r="A32" s="1545" t="s">
        <v>131</v>
      </c>
      <c r="B32" s="1546">
        <v>71608.0</v>
      </c>
      <c r="C32" s="1547">
        <v>4990.0</v>
      </c>
      <c r="D32" s="1548">
        <v>29.6</v>
      </c>
      <c r="E32" s="1557">
        <v>56420.0</v>
      </c>
      <c r="F32" s="598">
        <v>1046.0</v>
      </c>
      <c r="G32" s="598">
        <v>1992.0</v>
      </c>
      <c r="H32" s="598">
        <v>253.0</v>
      </c>
      <c r="I32" s="598">
        <v>22.0</v>
      </c>
      <c r="J32" s="598">
        <v>7171.0</v>
      </c>
      <c r="K32" s="1561">
        <v>4704.0</v>
      </c>
      <c r="L32" s="1555">
        <v>39491.0</v>
      </c>
    </row>
    <row r="33">
      <c r="A33" s="1545" t="s">
        <v>132</v>
      </c>
      <c r="B33" s="1546">
        <v>87977.0</v>
      </c>
      <c r="C33" s="1547">
        <v>2924.0</v>
      </c>
      <c r="D33" s="1548">
        <v>16.3</v>
      </c>
      <c r="E33" s="1557">
        <v>63139.0</v>
      </c>
      <c r="F33" s="598">
        <v>18211.0</v>
      </c>
      <c r="G33" s="598">
        <v>337.0</v>
      </c>
      <c r="H33" s="598">
        <v>674.0</v>
      </c>
      <c r="I33" s="598">
        <v>32.0</v>
      </c>
      <c r="J33" s="598">
        <v>1343.0</v>
      </c>
      <c r="K33" s="1561">
        <v>4241.0</v>
      </c>
      <c r="L33" s="1555">
        <v>60367.0</v>
      </c>
    </row>
    <row r="34">
      <c r="A34" s="1545" t="s">
        <v>133</v>
      </c>
      <c r="B34" s="1546">
        <v>36757.0</v>
      </c>
      <c r="C34" s="1547">
        <v>2648.0</v>
      </c>
      <c r="D34" s="1548">
        <v>32.8</v>
      </c>
      <c r="E34" s="1549">
        <v>22202.0</v>
      </c>
      <c r="F34" s="1549">
        <v>10991.0</v>
      </c>
      <c r="G34" s="1549">
        <v>1539.0</v>
      </c>
      <c r="H34" s="1549">
        <v>114.0</v>
      </c>
      <c r="I34" s="1549">
        <v>22.0</v>
      </c>
      <c r="J34" s="1549">
        <v>278.0</v>
      </c>
      <c r="K34" s="1550">
        <v>1611.0</v>
      </c>
      <c r="L34" s="1551">
        <v>38418.0</v>
      </c>
    </row>
    <row r="35">
      <c r="A35" s="1545" t="s">
        <v>134</v>
      </c>
      <c r="B35" s="1546">
        <v>103436.0</v>
      </c>
      <c r="C35" s="1547">
        <v>6191.0</v>
      </c>
      <c r="D35" s="1548">
        <v>28.8</v>
      </c>
      <c r="E35" s="1557">
        <v>78584.0</v>
      </c>
      <c r="F35" s="598">
        <v>15146.0</v>
      </c>
      <c r="G35" s="598">
        <v>739.0</v>
      </c>
      <c r="H35" s="598">
        <v>927.0</v>
      </c>
      <c r="I35" s="598">
        <v>54.0</v>
      </c>
      <c r="J35" s="598">
        <v>2729.0</v>
      </c>
      <c r="K35" s="1561">
        <v>5257.0</v>
      </c>
      <c r="L35" s="1555">
        <v>44903.0</v>
      </c>
    </row>
    <row r="36">
      <c r="A36" s="1545" t="s">
        <v>135</v>
      </c>
      <c r="B36" s="1546">
        <v>16321.0</v>
      </c>
      <c r="C36" s="1547">
        <v>1279.0</v>
      </c>
      <c r="D36" s="1548">
        <v>37.4</v>
      </c>
      <c r="E36" s="1549">
        <v>13666.0</v>
      </c>
      <c r="F36" s="1549">
        <v>1736.0</v>
      </c>
      <c r="G36" s="1549">
        <v>72.0</v>
      </c>
      <c r="H36" s="1549">
        <v>51.0</v>
      </c>
      <c r="I36" s="1549">
        <v>6.0</v>
      </c>
      <c r="J36" s="1549">
        <v>144.0</v>
      </c>
      <c r="K36" s="1550">
        <v>646.0</v>
      </c>
      <c r="L36" s="1551">
        <v>39254.0</v>
      </c>
    </row>
    <row r="37">
      <c r="A37" s="1545" t="s">
        <v>136</v>
      </c>
      <c r="B37" s="1546">
        <v>32113.0</v>
      </c>
      <c r="C37" s="1547">
        <v>2270.0</v>
      </c>
      <c r="D37" s="1548">
        <v>30.1</v>
      </c>
      <c r="E37" s="1549">
        <v>24333.0</v>
      </c>
      <c r="F37" s="1549">
        <v>1166.0</v>
      </c>
      <c r="G37" s="1549">
        <v>651.0</v>
      </c>
      <c r="H37" s="1549">
        <v>68.0</v>
      </c>
      <c r="I37" s="1549">
        <v>10.0</v>
      </c>
      <c r="J37" s="1549">
        <v>4293.0</v>
      </c>
      <c r="K37" s="1550">
        <v>1592.0</v>
      </c>
      <c r="L37" s="1551">
        <v>39388.0</v>
      </c>
    </row>
    <row r="38">
      <c r="A38" s="1545" t="s">
        <v>137</v>
      </c>
      <c r="B38" s="1546">
        <v>26659.0</v>
      </c>
      <c r="C38" s="1547">
        <v>1676.0</v>
      </c>
      <c r="D38" s="1548">
        <v>29.5</v>
      </c>
      <c r="E38" s="1549">
        <v>22078.0</v>
      </c>
      <c r="F38" s="1549">
        <v>2241.0</v>
      </c>
      <c r="G38" s="1549">
        <v>182.0</v>
      </c>
      <c r="H38" s="1549">
        <v>89.0</v>
      </c>
      <c r="I38" s="1549">
        <v>7.0</v>
      </c>
      <c r="J38" s="1549">
        <v>543.0</v>
      </c>
      <c r="K38" s="1550">
        <v>1519.0</v>
      </c>
      <c r="L38" s="1551">
        <v>37823.0</v>
      </c>
    </row>
    <row r="39">
      <c r="A39" s="1545" t="s">
        <v>138</v>
      </c>
      <c r="B39" s="1546">
        <v>7730.0</v>
      </c>
      <c r="C39" s="1563">
        <v>796.0</v>
      </c>
      <c r="D39" s="1556">
        <v>44.0</v>
      </c>
      <c r="E39" s="1549">
        <v>1301.0</v>
      </c>
      <c r="F39" s="1549">
        <v>6246.0</v>
      </c>
      <c r="G39" s="1549">
        <v>5.0</v>
      </c>
      <c r="H39" s="1549">
        <v>7.0</v>
      </c>
      <c r="I39" s="1549">
        <v>0.0</v>
      </c>
      <c r="J39" s="1549">
        <v>33.0</v>
      </c>
      <c r="K39" s="1550">
        <v>138.0</v>
      </c>
      <c r="L39" s="1551">
        <v>28524.0</v>
      </c>
    </row>
    <row r="40">
      <c r="A40" s="1545" t="s">
        <v>139</v>
      </c>
      <c r="B40" s="1546">
        <v>14785.0</v>
      </c>
      <c r="C40" s="1547">
        <v>1194.0</v>
      </c>
      <c r="D40" s="1548">
        <v>35.6</v>
      </c>
      <c r="E40" s="1549">
        <v>5999.0</v>
      </c>
      <c r="F40" s="1549">
        <v>8337.0</v>
      </c>
      <c r="G40" s="1549">
        <v>39.0</v>
      </c>
      <c r="H40" s="1549">
        <v>25.0</v>
      </c>
      <c r="I40" s="1549">
        <v>15.0</v>
      </c>
      <c r="J40" s="1549">
        <v>66.0</v>
      </c>
      <c r="K40" s="1550">
        <v>304.0</v>
      </c>
      <c r="L40" s="1551">
        <v>34724.0</v>
      </c>
    </row>
    <row r="41">
      <c r="A41" s="1545" t="s">
        <v>140</v>
      </c>
      <c r="B41" s="1546">
        <v>17146.0</v>
      </c>
      <c r="C41" s="1563">
        <v>945.0</v>
      </c>
      <c r="D41" s="1548">
        <v>27.2</v>
      </c>
      <c r="E41" s="1549">
        <v>11888.0</v>
      </c>
      <c r="F41" s="1549">
        <v>4248.0</v>
      </c>
      <c r="G41" s="1549">
        <v>50.0</v>
      </c>
      <c r="H41" s="1549">
        <v>73.0</v>
      </c>
      <c r="I41" s="1549">
        <v>4.0</v>
      </c>
      <c r="J41" s="1549">
        <v>201.0</v>
      </c>
      <c r="K41" s="1550">
        <v>682.0</v>
      </c>
      <c r="L41" s="1551">
        <v>46027.0</v>
      </c>
    </row>
    <row r="42">
      <c r="A42" s="1545" t="s">
        <v>141</v>
      </c>
      <c r="B42" s="1546">
        <v>107202.0</v>
      </c>
      <c r="C42" s="1547">
        <v>5158.0</v>
      </c>
      <c r="D42" s="1548">
        <v>21.9</v>
      </c>
      <c r="E42" s="1557">
        <v>69265.0</v>
      </c>
      <c r="F42" s="598">
        <v>28408.0</v>
      </c>
      <c r="G42" s="598">
        <v>496.0</v>
      </c>
      <c r="H42" s="598">
        <v>1282.0</v>
      </c>
      <c r="I42" s="598">
        <v>63.0</v>
      </c>
      <c r="J42" s="598">
        <v>2097.0</v>
      </c>
      <c r="K42" s="1561">
        <v>5591.0</v>
      </c>
      <c r="L42" s="1555">
        <v>47993.0</v>
      </c>
    </row>
    <row r="43">
      <c r="A43" s="1545" t="s">
        <v>142</v>
      </c>
      <c r="B43" s="1546">
        <v>52579.0</v>
      </c>
      <c r="C43" s="1547">
        <v>2834.0</v>
      </c>
      <c r="D43" s="1548">
        <v>26.8</v>
      </c>
      <c r="E43" s="1549">
        <v>45480.0</v>
      </c>
      <c r="F43" s="1549">
        <v>1636.0</v>
      </c>
      <c r="G43" s="1549">
        <v>770.0</v>
      </c>
      <c r="H43" s="1549">
        <v>214.0</v>
      </c>
      <c r="I43" s="1549">
        <v>4.0</v>
      </c>
      <c r="J43" s="1549">
        <v>921.0</v>
      </c>
      <c r="K43" s="1550">
        <v>3554.0</v>
      </c>
      <c r="L43" s="1551">
        <v>41929.0</v>
      </c>
    </row>
    <row r="44">
      <c r="A44" s="1545" t="s">
        <v>143</v>
      </c>
      <c r="B44" s="1546">
        <v>674721.0</v>
      </c>
      <c r="C44" s="1547">
        <v>33329.0</v>
      </c>
      <c r="D44" s="1548">
        <v>22.6</v>
      </c>
      <c r="E44" s="1557">
        <v>329590.0</v>
      </c>
      <c r="F44" s="598">
        <v>281326.0</v>
      </c>
      <c r="G44" s="598">
        <v>2321.0</v>
      </c>
      <c r="H44" s="598">
        <v>13109.0</v>
      </c>
      <c r="I44" s="598">
        <v>352.0</v>
      </c>
      <c r="J44" s="598">
        <v>19074.0</v>
      </c>
      <c r="K44" s="1561">
        <v>28949.0</v>
      </c>
      <c r="L44" s="1555">
        <v>55013.0</v>
      </c>
    </row>
    <row r="45">
      <c r="A45" s="1545" t="s">
        <v>144</v>
      </c>
      <c r="B45" s="1546">
        <v>13972.0</v>
      </c>
      <c r="C45" s="1563">
        <v>739.0</v>
      </c>
      <c r="D45" s="1548">
        <v>25.3</v>
      </c>
      <c r="E45" s="1549">
        <v>11962.0</v>
      </c>
      <c r="F45" s="1549">
        <v>1425.0</v>
      </c>
      <c r="G45" s="1549">
        <v>35.0</v>
      </c>
      <c r="H45" s="1549">
        <v>6.0</v>
      </c>
      <c r="I45" s="1549">
        <v>6.0</v>
      </c>
      <c r="J45" s="1549">
        <v>96.0</v>
      </c>
      <c r="K45" s="1550">
        <v>442.0</v>
      </c>
      <c r="L45" s="1551">
        <v>40936.0</v>
      </c>
    </row>
    <row r="46">
      <c r="A46" s="1545" t="s">
        <v>145</v>
      </c>
      <c r="B46" s="1546">
        <v>93564.0</v>
      </c>
      <c r="C46" s="1547">
        <v>3196.0</v>
      </c>
      <c r="D46" s="1548">
        <v>17.9</v>
      </c>
      <c r="E46" s="1557">
        <v>77141.0</v>
      </c>
      <c r="F46" s="598">
        <v>9243.0</v>
      </c>
      <c r="G46" s="598">
        <v>368.0</v>
      </c>
      <c r="H46" s="598">
        <v>770.0</v>
      </c>
      <c r="I46" s="598">
        <v>32.0</v>
      </c>
      <c r="J46" s="598">
        <v>1552.0</v>
      </c>
      <c r="K46" s="1561">
        <v>4458.0</v>
      </c>
      <c r="L46" s="1555">
        <v>48707.0</v>
      </c>
    </row>
    <row r="47">
      <c r="A47" s="1545" t="s">
        <v>146</v>
      </c>
      <c r="B47" s="1546">
        <v>33073.0</v>
      </c>
      <c r="C47" s="1547">
        <v>2200.0</v>
      </c>
      <c r="D47" s="1548">
        <v>31.4</v>
      </c>
      <c r="E47" s="1549">
        <v>24915.0</v>
      </c>
      <c r="F47" s="1549">
        <v>3304.0</v>
      </c>
      <c r="G47" s="1549">
        <v>1447.0</v>
      </c>
      <c r="H47" s="1549">
        <v>87.0</v>
      </c>
      <c r="I47" s="1549">
        <v>8.0</v>
      </c>
      <c r="J47" s="1549">
        <v>438.0</v>
      </c>
      <c r="K47" s="1550">
        <v>2874.0</v>
      </c>
      <c r="L47" s="1551">
        <v>43909.0</v>
      </c>
    </row>
    <row r="48">
      <c r="A48" s="1545" t="s">
        <v>147</v>
      </c>
      <c r="B48" s="1546">
        <v>174241.0</v>
      </c>
      <c r="C48" s="1547">
        <v>6608.0</v>
      </c>
      <c r="D48" s="1548">
        <v>19.3</v>
      </c>
      <c r="E48" s="1557">
        <v>111651.0</v>
      </c>
      <c r="F48" s="598">
        <v>39570.0</v>
      </c>
      <c r="G48" s="598">
        <v>720.0</v>
      </c>
      <c r="H48" s="598">
        <v>8572.0</v>
      </c>
      <c r="I48" s="598">
        <v>120.0</v>
      </c>
      <c r="J48" s="598">
        <v>4392.0</v>
      </c>
      <c r="K48" s="1561">
        <v>9216.0</v>
      </c>
      <c r="L48" s="1555">
        <v>48937.0</v>
      </c>
    </row>
    <row r="49">
      <c r="A49" s="1545" t="s">
        <v>148</v>
      </c>
      <c r="B49" s="1546">
        <v>103570.0</v>
      </c>
      <c r="C49" s="1547">
        <v>3377.0</v>
      </c>
      <c r="D49" s="1548">
        <v>15.8</v>
      </c>
      <c r="E49" s="1557">
        <v>77064.0</v>
      </c>
      <c r="F49" s="598">
        <v>13307.0</v>
      </c>
      <c r="G49" s="598">
        <v>708.0</v>
      </c>
      <c r="H49" s="598">
        <v>1869.0</v>
      </c>
      <c r="I49" s="598">
        <v>75.0</v>
      </c>
      <c r="J49" s="598">
        <v>3862.0</v>
      </c>
      <c r="K49" s="1561">
        <v>6685.0</v>
      </c>
      <c r="L49" s="1555">
        <v>64863.0</v>
      </c>
    </row>
    <row r="50">
      <c r="A50" s="1545" t="s">
        <v>149</v>
      </c>
      <c r="B50" s="1546">
        <v>10311.0</v>
      </c>
      <c r="C50" s="1563">
        <v>886.0</v>
      </c>
      <c r="D50" s="1548">
        <v>39.6</v>
      </c>
      <c r="E50" s="1549">
        <v>2818.0</v>
      </c>
      <c r="F50" s="1549">
        <v>7192.0</v>
      </c>
      <c r="G50" s="1549">
        <v>17.0</v>
      </c>
      <c r="H50" s="1549">
        <v>15.0</v>
      </c>
      <c r="I50" s="1549">
        <v>5.0</v>
      </c>
      <c r="J50" s="1549">
        <v>39.0</v>
      </c>
      <c r="K50" s="1550">
        <v>225.0</v>
      </c>
      <c r="L50" s="1551">
        <v>33973.0</v>
      </c>
    </row>
    <row r="51">
      <c r="A51" s="1545" t="s">
        <v>150</v>
      </c>
      <c r="B51" s="1546">
        <v>19532.0</v>
      </c>
      <c r="C51" s="1547">
        <v>1199.0</v>
      </c>
      <c r="D51" s="1548">
        <v>39.7</v>
      </c>
      <c r="E51" s="1549">
        <v>3252.0</v>
      </c>
      <c r="F51" s="1549">
        <v>15441.0</v>
      </c>
      <c r="G51" s="1549">
        <v>48.0</v>
      </c>
      <c r="H51" s="1549">
        <v>74.0</v>
      </c>
      <c r="I51" s="1549">
        <v>4.0</v>
      </c>
      <c r="J51" s="1549">
        <v>213.0</v>
      </c>
      <c r="K51" s="1550">
        <v>500.0</v>
      </c>
      <c r="L51" s="1551">
        <v>32495.0</v>
      </c>
    </row>
    <row r="52">
      <c r="A52" s="1545" t="s">
        <v>151</v>
      </c>
      <c r="B52" s="1546">
        <v>388153.0</v>
      </c>
      <c r="C52" s="1547">
        <v>13306.0</v>
      </c>
      <c r="D52" s="1548">
        <v>16.9</v>
      </c>
      <c r="E52" s="1557">
        <v>242510.0</v>
      </c>
      <c r="F52" s="598">
        <v>92066.0</v>
      </c>
      <c r="G52" s="598">
        <v>2978.0</v>
      </c>
      <c r="H52" s="598">
        <v>10292.0</v>
      </c>
      <c r="I52" s="598">
        <v>482.0</v>
      </c>
      <c r="J52" s="598">
        <v>10436.0</v>
      </c>
      <c r="K52" s="1561">
        <v>29389.0</v>
      </c>
      <c r="L52" s="1555">
        <v>63755.0</v>
      </c>
    </row>
    <row r="53">
      <c r="A53" s="1545" t="s">
        <v>152</v>
      </c>
      <c r="B53" s="1546">
        <v>19323.0</v>
      </c>
      <c r="C53" s="1547">
        <v>1479.0</v>
      </c>
      <c r="D53" s="1548">
        <v>34.5</v>
      </c>
      <c r="E53" s="1549">
        <v>8428.0</v>
      </c>
      <c r="F53" s="1549">
        <v>10188.0</v>
      </c>
      <c r="G53" s="1549">
        <v>9.0</v>
      </c>
      <c r="H53" s="1549">
        <v>54.0</v>
      </c>
      <c r="I53" s="1549">
        <v>3.0</v>
      </c>
      <c r="J53" s="1549">
        <v>218.0</v>
      </c>
      <c r="K53" s="1550">
        <v>423.0</v>
      </c>
      <c r="L53" s="1551">
        <v>37733.0</v>
      </c>
    </row>
    <row r="54">
      <c r="A54" s="1545" t="s">
        <v>153</v>
      </c>
      <c r="B54" s="1546">
        <v>29341.0</v>
      </c>
      <c r="C54" s="1547">
        <v>1664.0</v>
      </c>
      <c r="D54" s="1548">
        <v>27.4</v>
      </c>
      <c r="E54" s="1549">
        <v>26312.0</v>
      </c>
      <c r="F54" s="1549">
        <v>1106.0</v>
      </c>
      <c r="G54" s="1549">
        <v>106.0</v>
      </c>
      <c r="H54" s="1549">
        <v>75.0</v>
      </c>
      <c r="I54" s="1549">
        <v>14.0</v>
      </c>
      <c r="J54" s="1549">
        <v>415.0</v>
      </c>
      <c r="K54" s="1550">
        <v>1313.0</v>
      </c>
      <c r="L54" s="1551">
        <v>37887.0</v>
      </c>
    </row>
    <row r="55">
      <c r="A55" s="1545" t="s">
        <v>154</v>
      </c>
      <c r="B55" s="1546">
        <v>97612.0</v>
      </c>
      <c r="C55" s="1547">
        <v>6532.0</v>
      </c>
      <c r="D55" s="1548">
        <v>27.9</v>
      </c>
      <c r="E55" s="1557">
        <v>76926.0</v>
      </c>
      <c r="F55" s="598">
        <v>2428.0</v>
      </c>
      <c r="G55" s="598">
        <v>1398.0</v>
      </c>
      <c r="H55" s="598">
        <v>602.0</v>
      </c>
      <c r="I55" s="598">
        <v>137.0</v>
      </c>
      <c r="J55" s="598">
        <v>9587.0</v>
      </c>
      <c r="K55" s="1561">
        <v>6534.0</v>
      </c>
      <c r="L55" s="1555">
        <v>46233.0</v>
      </c>
    </row>
    <row r="56">
      <c r="A56" s="1545" t="s">
        <v>155</v>
      </c>
      <c r="B56" s="1546">
        <v>414809.0</v>
      </c>
      <c r="C56" s="1547">
        <v>29853.0</v>
      </c>
      <c r="D56" s="1548">
        <v>31.4</v>
      </c>
      <c r="E56" s="1557">
        <v>229550.0</v>
      </c>
      <c r="F56" s="598">
        <v>146254.0</v>
      </c>
      <c r="G56" s="598">
        <v>4057.0</v>
      </c>
      <c r="H56" s="598">
        <v>8585.0</v>
      </c>
      <c r="I56" s="598">
        <v>234.0</v>
      </c>
      <c r="J56" s="598">
        <v>5998.0</v>
      </c>
      <c r="K56" s="1561">
        <v>20131.0</v>
      </c>
      <c r="L56" s="1555">
        <v>43598.0</v>
      </c>
    </row>
    <row r="57">
      <c r="A57" s="1545" t="s">
        <v>156</v>
      </c>
      <c r="B57" s="1546">
        <v>19772.0</v>
      </c>
      <c r="C57" s="1547">
        <v>1416.0</v>
      </c>
      <c r="D57" s="1548">
        <v>31.6</v>
      </c>
      <c r="E57" s="1549">
        <v>10391.0</v>
      </c>
      <c r="F57" s="1549">
        <v>8299.0</v>
      </c>
      <c r="G57" s="1549">
        <v>289.0</v>
      </c>
      <c r="H57" s="1549">
        <v>88.0</v>
      </c>
      <c r="I57" s="1549">
        <v>3.0</v>
      </c>
      <c r="J57" s="1549">
        <v>79.0</v>
      </c>
      <c r="K57" s="1550">
        <v>623.0</v>
      </c>
      <c r="L57" s="1551">
        <v>39556.0</v>
      </c>
    </row>
    <row r="58">
      <c r="A58" s="1545" t="s">
        <v>157</v>
      </c>
      <c r="B58" s="1546">
        <v>228954.0</v>
      </c>
      <c r="C58" s="1547">
        <v>16182.0</v>
      </c>
      <c r="D58" s="1548">
        <v>31.3</v>
      </c>
      <c r="E58" s="1557">
        <v>75074.0</v>
      </c>
      <c r="F58" s="598">
        <v>130467.0</v>
      </c>
      <c r="G58" s="598">
        <v>795.0</v>
      </c>
      <c r="H58" s="598">
        <v>7995.0</v>
      </c>
      <c r="I58" s="598">
        <v>146.0</v>
      </c>
      <c r="J58" s="598">
        <v>6282.0</v>
      </c>
      <c r="K58" s="1561">
        <v>8195.0</v>
      </c>
      <c r="L58" s="1555">
        <v>49640.0</v>
      </c>
    </row>
    <row r="59">
      <c r="A59" s="1545" t="s">
        <v>158</v>
      </c>
      <c r="B59" s="1546">
        <v>123421.0</v>
      </c>
      <c r="C59" s="1547">
        <v>5355.0</v>
      </c>
      <c r="D59" s="1548">
        <v>20.1</v>
      </c>
      <c r="E59" s="1557">
        <v>89869.0</v>
      </c>
      <c r="F59" s="598">
        <v>15453.0</v>
      </c>
      <c r="G59" s="598">
        <v>951.0</v>
      </c>
      <c r="H59" s="598">
        <v>850.0</v>
      </c>
      <c r="I59" s="598">
        <v>85.0</v>
      </c>
      <c r="J59" s="598">
        <v>7974.0</v>
      </c>
      <c r="K59" s="1561">
        <v>8239.0</v>
      </c>
      <c r="L59" s="1555">
        <v>52797.0</v>
      </c>
    </row>
    <row r="60">
      <c r="A60" s="1545" t="s">
        <v>159</v>
      </c>
      <c r="B60" s="1546">
        <v>8511.0</v>
      </c>
      <c r="C60" s="1547">
        <v>1010.0</v>
      </c>
      <c r="D60" s="1548">
        <v>52.8</v>
      </c>
      <c r="E60" s="1549">
        <v>2359.0</v>
      </c>
      <c r="F60" s="1549">
        <v>5936.0</v>
      </c>
      <c r="G60" s="1549">
        <v>16.0</v>
      </c>
      <c r="H60" s="1549">
        <v>10.0</v>
      </c>
      <c r="I60" s="1549">
        <v>3.0</v>
      </c>
      <c r="J60" s="1549">
        <v>11.0</v>
      </c>
      <c r="K60" s="1550">
        <v>176.0</v>
      </c>
      <c r="L60" s="1551">
        <v>26814.0</v>
      </c>
    </row>
    <row r="61">
      <c r="A61" s="1545" t="s">
        <v>160</v>
      </c>
      <c r="B61" s="1546">
        <v>19123.0</v>
      </c>
      <c r="C61" s="1547">
        <v>1183.0</v>
      </c>
      <c r="D61" s="1548">
        <v>30.8</v>
      </c>
      <c r="E61" s="1549">
        <v>10739.0</v>
      </c>
      <c r="F61" s="1549">
        <v>7489.0</v>
      </c>
      <c r="G61" s="1549">
        <v>27.0</v>
      </c>
      <c r="H61" s="1549">
        <v>78.0</v>
      </c>
      <c r="I61" s="1549">
        <v>0.0</v>
      </c>
      <c r="J61" s="1549">
        <v>290.0</v>
      </c>
      <c r="K61" s="1550">
        <v>500.0</v>
      </c>
      <c r="L61" s="1551">
        <v>37586.0</v>
      </c>
    </row>
    <row r="62">
      <c r="A62" s="1545" t="s">
        <v>162</v>
      </c>
      <c r="B62" s="1546">
        <v>33009.0</v>
      </c>
      <c r="C62" s="1547">
        <v>1900.0</v>
      </c>
      <c r="D62" s="1548">
        <v>30.6</v>
      </c>
      <c r="E62" s="1549">
        <v>18275.0</v>
      </c>
      <c r="F62" s="1549">
        <v>12138.0</v>
      </c>
      <c r="G62" s="1549">
        <v>192.0</v>
      </c>
      <c r="H62" s="1549">
        <v>588.0</v>
      </c>
      <c r="I62" s="1549">
        <v>21.0</v>
      </c>
      <c r="J62" s="1549">
        <v>439.0</v>
      </c>
      <c r="K62" s="1550">
        <v>1356.0</v>
      </c>
      <c r="L62" s="1551">
        <v>37259.0</v>
      </c>
    </row>
    <row r="63">
      <c r="A63" s="1545" t="s">
        <v>163</v>
      </c>
      <c r="B63" s="1546">
        <v>21967.0</v>
      </c>
      <c r="C63" s="1547">
        <v>1504.0</v>
      </c>
      <c r="D63" s="1548">
        <v>31.4</v>
      </c>
      <c r="E63" s="1549">
        <v>16772.0</v>
      </c>
      <c r="F63" s="1549">
        <v>3815.0</v>
      </c>
      <c r="G63" s="1549">
        <v>76.0</v>
      </c>
      <c r="H63" s="1549">
        <v>87.0</v>
      </c>
      <c r="I63" s="1549">
        <v>3.0</v>
      </c>
      <c r="J63" s="1549">
        <v>370.0</v>
      </c>
      <c r="K63" s="1550">
        <v>844.0</v>
      </c>
      <c r="L63" s="1551">
        <v>40546.0</v>
      </c>
    </row>
    <row r="64">
      <c r="A64" s="1545" t="s">
        <v>165</v>
      </c>
      <c r="B64" s="1546">
        <v>59183.0</v>
      </c>
      <c r="C64" s="1547">
        <v>4340.0</v>
      </c>
      <c r="D64" s="1548">
        <v>31.6</v>
      </c>
      <c r="E64" s="1549">
        <v>27532.0</v>
      </c>
      <c r="F64" s="1549">
        <v>26243.0</v>
      </c>
      <c r="G64" s="1549">
        <v>228.0</v>
      </c>
      <c r="H64" s="1549">
        <v>420.0</v>
      </c>
      <c r="I64" s="1549">
        <v>140.0</v>
      </c>
      <c r="J64" s="1549">
        <v>1213.0</v>
      </c>
      <c r="K64" s="1550">
        <v>3407.0</v>
      </c>
      <c r="L64" s="1551">
        <v>39104.0</v>
      </c>
    </row>
    <row r="65">
      <c r="A65" s="1545" t="s">
        <v>768</v>
      </c>
      <c r="B65" s="1546">
        <v>91103.0</v>
      </c>
      <c r="C65" s="1547">
        <v>2957.0</v>
      </c>
      <c r="D65" s="1556">
        <v>15.0</v>
      </c>
      <c r="E65" s="1557">
        <v>75728.0</v>
      </c>
      <c r="F65" s="598">
        <v>8652.0</v>
      </c>
      <c r="G65" s="598">
        <v>324.0</v>
      </c>
      <c r="H65" s="598">
        <v>663.0</v>
      </c>
      <c r="I65" s="598">
        <v>21.0</v>
      </c>
      <c r="J65" s="598">
        <v>1064.0</v>
      </c>
      <c r="K65" s="1561">
        <v>4651.0</v>
      </c>
      <c r="L65" s="1555">
        <v>57284.0</v>
      </c>
    </row>
    <row r="66">
      <c r="A66" s="1545" t="s">
        <v>168</v>
      </c>
      <c r="B66" s="1546">
        <v>223024.0</v>
      </c>
      <c r="C66" s="1547">
        <v>4444.0</v>
      </c>
      <c r="D66" s="1548">
        <v>8.9</v>
      </c>
      <c r="E66" s="1557">
        <v>165206.0</v>
      </c>
      <c r="F66" s="598">
        <v>28939.0</v>
      </c>
      <c r="G66" s="598">
        <v>1128.0</v>
      </c>
      <c r="H66" s="598">
        <v>5152.0</v>
      </c>
      <c r="I66" s="598">
        <v>108.0</v>
      </c>
      <c r="J66" s="598">
        <v>8907.0</v>
      </c>
      <c r="K66" s="1561">
        <v>13584.0</v>
      </c>
      <c r="L66" s="1555">
        <v>75663.0</v>
      </c>
    </row>
    <row r="67">
      <c r="A67" s="1545" t="s">
        <v>169</v>
      </c>
      <c r="B67" s="1546">
        <v>12345.0</v>
      </c>
      <c r="C67" s="1547">
        <v>1140.0</v>
      </c>
      <c r="D67" s="1548">
        <v>48.1</v>
      </c>
      <c r="E67" s="1549">
        <v>2974.0</v>
      </c>
      <c r="F67" s="1549">
        <v>8997.0</v>
      </c>
      <c r="G67" s="1549">
        <v>26.0</v>
      </c>
      <c r="H67" s="1549">
        <v>102.0</v>
      </c>
      <c r="I67" s="1549">
        <v>5.0</v>
      </c>
      <c r="J67" s="1549">
        <v>27.0</v>
      </c>
      <c r="K67" s="1550">
        <v>214.0</v>
      </c>
      <c r="L67" s="1551">
        <v>27859.0</v>
      </c>
    </row>
    <row r="68">
      <c r="A68" s="1545" t="s">
        <v>170</v>
      </c>
      <c r="B68" s="1546">
        <v>82149.0</v>
      </c>
      <c r="C68" s="1547">
        <v>4301.0</v>
      </c>
      <c r="D68" s="1548">
        <v>26.4</v>
      </c>
      <c r="E68" s="1557">
        <v>51214.0</v>
      </c>
      <c r="F68" s="598">
        <v>26439.0</v>
      </c>
      <c r="G68" s="598">
        <v>209.0</v>
      </c>
      <c r="H68" s="598">
        <v>395.0</v>
      </c>
      <c r="I68" s="598">
        <v>27.0</v>
      </c>
      <c r="J68" s="598">
        <v>957.0</v>
      </c>
      <c r="K68" s="1561">
        <v>2908.0</v>
      </c>
      <c r="L68" s="1555">
        <v>41630.0</v>
      </c>
    </row>
    <row r="69">
      <c r="A69" s="1545" t="s">
        <v>171</v>
      </c>
      <c r="B69" s="1546">
        <v>41311.0</v>
      </c>
      <c r="C69" s="1547">
        <v>2525.0</v>
      </c>
      <c r="D69" s="1548">
        <v>30.7</v>
      </c>
      <c r="E69" s="1549">
        <v>28477.0</v>
      </c>
      <c r="F69" s="1549">
        <v>10409.0</v>
      </c>
      <c r="G69" s="1549">
        <v>127.0</v>
      </c>
      <c r="H69" s="1549">
        <v>222.0</v>
      </c>
      <c r="I69" s="1549">
        <v>0.0</v>
      </c>
      <c r="J69" s="1549">
        <v>677.0</v>
      </c>
      <c r="K69" s="1550">
        <v>1399.0</v>
      </c>
      <c r="L69" s="1551">
        <v>42205.0</v>
      </c>
    </row>
    <row r="70">
      <c r="A70" s="1545" t="s">
        <v>173</v>
      </c>
      <c r="B70" s="1546">
        <v>227036.0</v>
      </c>
      <c r="C70" s="1547">
        <v>8956.0</v>
      </c>
      <c r="D70" s="1548">
        <v>20.9</v>
      </c>
      <c r="E70" s="1557">
        <v>136582.0</v>
      </c>
      <c r="F70" s="598">
        <v>69088.0</v>
      </c>
      <c r="G70" s="598">
        <v>963.0</v>
      </c>
      <c r="H70" s="598">
        <v>3253.0</v>
      </c>
      <c r="I70" s="598">
        <v>104.0</v>
      </c>
      <c r="J70" s="598">
        <v>6311.0</v>
      </c>
      <c r="K70" s="1561">
        <v>10735.0</v>
      </c>
      <c r="L70" s="1555">
        <v>52557.0</v>
      </c>
    </row>
    <row r="71">
      <c r="A71" s="1545" t="s">
        <v>175</v>
      </c>
      <c r="B71" s="1546">
        <v>65342.0</v>
      </c>
      <c r="C71" s="1547">
        <v>3415.0</v>
      </c>
      <c r="D71" s="1548">
        <v>24.7</v>
      </c>
      <c r="E71" s="1557">
        <v>57012.0</v>
      </c>
      <c r="F71" s="598">
        <v>3929.0</v>
      </c>
      <c r="G71" s="598">
        <v>321.0</v>
      </c>
      <c r="H71" s="598">
        <v>297.0</v>
      </c>
      <c r="I71" s="598">
        <v>6.0</v>
      </c>
      <c r="J71" s="598">
        <v>1047.0</v>
      </c>
      <c r="K71" s="1561">
        <v>2730.0</v>
      </c>
      <c r="L71" s="1555">
        <v>45434.0</v>
      </c>
    </row>
    <row r="72">
      <c r="A72" s="1545" t="s">
        <v>119</v>
      </c>
      <c r="B72" s="1546">
        <v>15388.0</v>
      </c>
      <c r="C72" s="1563">
        <v>916.0</v>
      </c>
      <c r="D72" s="1548">
        <v>25.8</v>
      </c>
      <c r="E72" s="1549">
        <v>10309.0</v>
      </c>
      <c r="F72" s="1549">
        <v>3318.0</v>
      </c>
      <c r="G72" s="1549">
        <v>1114.0</v>
      </c>
      <c r="H72" s="1549">
        <v>14.0</v>
      </c>
      <c r="I72" s="1549">
        <v>7.0</v>
      </c>
      <c r="J72" s="1549">
        <v>54.0</v>
      </c>
      <c r="K72" s="1550">
        <v>572.0</v>
      </c>
      <c r="L72" s="1551">
        <v>44424.0</v>
      </c>
    </row>
    <row r="73">
      <c r="A73" s="1545" t="s">
        <v>176</v>
      </c>
      <c r="B73" s="1546">
        <v>10600.0</v>
      </c>
      <c r="C73" s="1547">
        <v>1262.0</v>
      </c>
      <c r="D73" s="1548">
        <v>50.6</v>
      </c>
      <c r="E73" s="1549">
        <v>2880.0</v>
      </c>
      <c r="F73" s="1549">
        <v>7483.0</v>
      </c>
      <c r="G73" s="1549">
        <v>11.0</v>
      </c>
      <c r="H73" s="1549">
        <v>7.0</v>
      </c>
      <c r="I73" s="1549">
        <v>6.0</v>
      </c>
      <c r="J73" s="1549">
        <v>35.0</v>
      </c>
      <c r="K73" s="1550">
        <v>178.0</v>
      </c>
      <c r="L73" s="1551">
        <v>25385.0</v>
      </c>
    </row>
    <row r="74">
      <c r="A74" s="1528" t="s">
        <v>178</v>
      </c>
      <c r="B74" s="1566">
        <v>23540.0</v>
      </c>
      <c r="C74" s="1530">
        <v>1314.0</v>
      </c>
      <c r="D74" s="1567">
        <v>27.6</v>
      </c>
      <c r="E74" s="1534">
        <v>21760.0</v>
      </c>
      <c r="F74" s="1534">
        <v>141.0</v>
      </c>
      <c r="G74" s="1534">
        <v>113.0</v>
      </c>
      <c r="H74" s="1534">
        <v>61.0</v>
      </c>
      <c r="I74" s="1534">
        <v>9.0</v>
      </c>
      <c r="J74" s="1534">
        <v>389.0</v>
      </c>
      <c r="K74" s="1568">
        <v>1067.0</v>
      </c>
      <c r="L74" s="1569">
        <v>41156.0</v>
      </c>
    </row>
    <row r="75">
      <c r="A75" s="1538" t="s">
        <v>23</v>
      </c>
      <c r="B75" s="1570">
        <v>733391.0</v>
      </c>
      <c r="C75" s="1540">
        <v>26096.0</v>
      </c>
      <c r="D75" s="1571">
        <v>14.5</v>
      </c>
      <c r="E75" s="1572">
        <v>435392.0</v>
      </c>
      <c r="F75" s="1572">
        <v>21898.0</v>
      </c>
      <c r="G75" s="1572">
        <v>111575.0</v>
      </c>
      <c r="H75" s="1572">
        <v>44032.0</v>
      </c>
      <c r="I75" s="1572">
        <v>12698.0</v>
      </c>
      <c r="J75" s="1572">
        <v>18272.0</v>
      </c>
      <c r="K75" s="1573">
        <v>89524.0</v>
      </c>
      <c r="L75" s="1544">
        <v>74912.0</v>
      </c>
    </row>
    <row r="76">
      <c r="A76" s="1545" t="s">
        <v>185</v>
      </c>
      <c r="B76" s="1574">
        <v>3420.0</v>
      </c>
      <c r="C76" s="1563">
        <v>34.0</v>
      </c>
      <c r="D76" s="1548">
        <v>12.5</v>
      </c>
      <c r="E76" s="1549">
        <v>684.0</v>
      </c>
      <c r="F76" s="1549">
        <v>297.0</v>
      </c>
      <c r="G76" s="1549">
        <v>802.0</v>
      </c>
      <c r="H76" s="1549">
        <v>771.0</v>
      </c>
      <c r="I76" s="1549">
        <v>32.0</v>
      </c>
      <c r="J76" s="1549">
        <v>626.0</v>
      </c>
      <c r="K76" s="1550">
        <v>208.0</v>
      </c>
      <c r="L76" s="1551">
        <v>70081.0</v>
      </c>
    </row>
    <row r="77">
      <c r="A77" s="1545" t="s">
        <v>186</v>
      </c>
      <c r="B77" s="1546">
        <v>5232.0</v>
      </c>
      <c r="C77" s="1563">
        <v>51.0</v>
      </c>
      <c r="D77" s="1548">
        <v>8.1</v>
      </c>
      <c r="E77" s="1549">
        <v>1667.0</v>
      </c>
      <c r="F77" s="1549">
        <v>259.0</v>
      </c>
      <c r="G77" s="1549">
        <v>728.0</v>
      </c>
      <c r="H77" s="1549">
        <v>1513.0</v>
      </c>
      <c r="I77" s="1549">
        <v>239.0</v>
      </c>
      <c r="J77" s="1549">
        <v>452.0</v>
      </c>
      <c r="K77" s="1550">
        <v>374.0</v>
      </c>
      <c r="L77" s="1551">
        <v>82633.0</v>
      </c>
    </row>
    <row r="78">
      <c r="A78" s="1545" t="s">
        <v>187</v>
      </c>
      <c r="B78" s="1546">
        <v>291247.0</v>
      </c>
      <c r="C78" s="1547">
        <v>8467.0</v>
      </c>
      <c r="D78" s="1548">
        <v>12.1</v>
      </c>
      <c r="E78" s="1557">
        <v>164446.0</v>
      </c>
      <c r="F78" s="598">
        <v>14576.0</v>
      </c>
      <c r="G78" s="598">
        <v>23661.0</v>
      </c>
      <c r="H78" s="598">
        <v>27646.0</v>
      </c>
      <c r="I78" s="598">
        <v>10001.0</v>
      </c>
      <c r="J78" s="598">
        <v>10115.0</v>
      </c>
      <c r="K78" s="1561">
        <v>40802.0</v>
      </c>
      <c r="L78" s="1555">
        <v>82113.0</v>
      </c>
    </row>
    <row r="79">
      <c r="A79" s="1545" t="s">
        <v>188</v>
      </c>
      <c r="B79" s="1546">
        <v>18666.0</v>
      </c>
      <c r="C79" s="1547">
        <v>2651.0</v>
      </c>
      <c r="D79" s="1548">
        <v>41.2</v>
      </c>
      <c r="E79" s="1549">
        <v>1665.0</v>
      </c>
      <c r="F79" s="1549">
        <v>85.0</v>
      </c>
      <c r="G79" s="1549">
        <v>15632.0</v>
      </c>
      <c r="H79" s="1549">
        <v>202.0</v>
      </c>
      <c r="I79" s="1549">
        <v>2.0</v>
      </c>
      <c r="J79" s="1549">
        <v>64.0</v>
      </c>
      <c r="K79" s="1550">
        <v>1016.0</v>
      </c>
      <c r="L79" s="1551">
        <v>44304.0</v>
      </c>
    </row>
    <row r="80">
      <c r="A80" s="1545" t="s">
        <v>189</v>
      </c>
      <c r="B80" s="1546">
        <v>844.0</v>
      </c>
      <c r="C80" s="1563">
        <v>25.0</v>
      </c>
      <c r="D80" s="1548">
        <v>15.2</v>
      </c>
      <c r="E80" s="1549">
        <v>370.0</v>
      </c>
      <c r="F80" s="1549">
        <v>6.0</v>
      </c>
      <c r="G80" s="1549">
        <v>305.0</v>
      </c>
      <c r="H80" s="1549">
        <v>5.0</v>
      </c>
      <c r="I80" s="1549">
        <v>3.0</v>
      </c>
      <c r="J80" s="1549">
        <v>12.0</v>
      </c>
      <c r="K80" s="1550">
        <v>143.0</v>
      </c>
      <c r="L80" s="1551">
        <v>77257.0</v>
      </c>
    </row>
    <row r="81">
      <c r="A81" s="1545" t="s">
        <v>190</v>
      </c>
      <c r="B81" s="1546">
        <v>7102.0</v>
      </c>
      <c r="C81" s="1563" t="s">
        <v>63</v>
      </c>
      <c r="D81" s="1548" t="s">
        <v>63</v>
      </c>
      <c r="E81" s="1549">
        <v>4907.0</v>
      </c>
      <c r="F81" s="1549">
        <v>49.0</v>
      </c>
      <c r="G81" s="1549">
        <v>669.0</v>
      </c>
      <c r="H81" s="1549">
        <v>529.0</v>
      </c>
      <c r="I81" s="1549">
        <v>62.0</v>
      </c>
      <c r="J81" s="1549">
        <v>126.0</v>
      </c>
      <c r="K81" s="1550">
        <v>760.0</v>
      </c>
      <c r="L81" s="1550" t="s">
        <v>63</v>
      </c>
    </row>
    <row r="82">
      <c r="A82" s="1545" t="s">
        <v>191</v>
      </c>
      <c r="B82" s="1546">
        <v>2617.0</v>
      </c>
      <c r="C82" s="1563" t="s">
        <v>63</v>
      </c>
      <c r="D82" s="1548" t="s">
        <v>63</v>
      </c>
      <c r="E82" s="1549">
        <v>1611.0</v>
      </c>
      <c r="F82" s="1549">
        <v>8.0</v>
      </c>
      <c r="G82" s="1549">
        <v>663.0</v>
      </c>
      <c r="H82" s="1549">
        <v>17.0</v>
      </c>
      <c r="I82" s="1549">
        <v>10.0</v>
      </c>
      <c r="J82" s="1549">
        <v>26.0</v>
      </c>
      <c r="K82" s="1550">
        <v>282.0</v>
      </c>
      <c r="L82" s="1550" t="s">
        <v>63</v>
      </c>
    </row>
    <row r="83">
      <c r="A83" s="1545" t="s">
        <v>192</v>
      </c>
      <c r="B83" s="1546">
        <v>1619.0</v>
      </c>
      <c r="C83" s="1563">
        <v>28.0</v>
      </c>
      <c r="D83" s="1548">
        <v>7.3</v>
      </c>
      <c r="E83" s="1557">
        <v>1382.0</v>
      </c>
      <c r="F83" s="598">
        <v>11.0</v>
      </c>
      <c r="G83" s="598">
        <v>61.0</v>
      </c>
      <c r="H83" s="598">
        <v>13.0</v>
      </c>
      <c r="I83" s="598">
        <v>5.0</v>
      </c>
      <c r="J83" s="598">
        <v>8.0</v>
      </c>
      <c r="K83" s="1561">
        <v>139.0</v>
      </c>
      <c r="L83" s="1551">
        <v>75477.0</v>
      </c>
    </row>
    <row r="84">
      <c r="A84" s="1545" t="s">
        <v>193</v>
      </c>
      <c r="B84" s="1546">
        <v>4857.0</v>
      </c>
      <c r="C84" s="1563">
        <v>489.0</v>
      </c>
      <c r="D84" s="1548">
        <v>31.6</v>
      </c>
      <c r="E84" s="1549">
        <v>799.0</v>
      </c>
      <c r="F84" s="1549">
        <v>25.0</v>
      </c>
      <c r="G84" s="1549">
        <v>3453.0</v>
      </c>
      <c r="H84" s="1549">
        <v>48.0</v>
      </c>
      <c r="I84" s="1549">
        <v>9.0</v>
      </c>
      <c r="J84" s="1549">
        <v>27.0</v>
      </c>
      <c r="K84" s="1550">
        <v>496.0</v>
      </c>
      <c r="L84" s="1551">
        <v>54524.0</v>
      </c>
    </row>
    <row r="85">
      <c r="A85" s="1545" t="s">
        <v>194</v>
      </c>
      <c r="B85" s="1546">
        <v>95655.0</v>
      </c>
      <c r="C85" s="1547">
        <v>2205.0</v>
      </c>
      <c r="D85" s="1548">
        <v>9.4</v>
      </c>
      <c r="E85" s="1549">
        <v>65971.0</v>
      </c>
      <c r="F85" s="1549">
        <v>4014.0</v>
      </c>
      <c r="G85" s="1549">
        <v>7555.0</v>
      </c>
      <c r="H85" s="1549">
        <v>3104.0</v>
      </c>
      <c r="I85" s="1549">
        <v>604.0</v>
      </c>
      <c r="J85" s="1549">
        <v>2237.0</v>
      </c>
      <c r="K85" s="1550">
        <v>12170.0</v>
      </c>
      <c r="L85" s="1555">
        <v>74268.0</v>
      </c>
    </row>
    <row r="86">
      <c r="A86" s="1545" t="s">
        <v>195</v>
      </c>
      <c r="B86" s="1546">
        <v>2080.0</v>
      </c>
      <c r="C86" s="1563">
        <v>69.0</v>
      </c>
      <c r="D86" s="1548">
        <v>16.4</v>
      </c>
      <c r="E86" s="1549">
        <v>1589.0</v>
      </c>
      <c r="F86" s="1549">
        <v>2.0</v>
      </c>
      <c r="G86" s="1549">
        <v>214.0</v>
      </c>
      <c r="H86" s="1549">
        <v>14.0</v>
      </c>
      <c r="I86" s="1549">
        <v>2.0</v>
      </c>
      <c r="J86" s="1549">
        <v>17.0</v>
      </c>
      <c r="K86" s="1550">
        <v>242.0</v>
      </c>
      <c r="L86" s="1551">
        <v>58943.0</v>
      </c>
    </row>
    <row r="87">
      <c r="A87" s="1545" t="s">
        <v>196</v>
      </c>
      <c r="B87" s="1546">
        <v>2365.0</v>
      </c>
      <c r="C87" s="1563">
        <v>109.0</v>
      </c>
      <c r="D87" s="1548">
        <v>27.6</v>
      </c>
      <c r="E87" s="1549">
        <v>1147.0</v>
      </c>
      <c r="F87" s="1549">
        <v>6.0</v>
      </c>
      <c r="G87" s="1549">
        <v>878.0</v>
      </c>
      <c r="H87" s="1549">
        <v>16.0</v>
      </c>
      <c r="I87" s="1549">
        <v>5.0</v>
      </c>
      <c r="J87" s="1549">
        <v>29.0</v>
      </c>
      <c r="K87" s="1550">
        <v>284.0</v>
      </c>
      <c r="L87" s="1551">
        <v>51188.0</v>
      </c>
    </row>
    <row r="88">
      <c r="A88" s="1545" t="s">
        <v>197</v>
      </c>
      <c r="B88" s="1546">
        <v>32255.0</v>
      </c>
      <c r="C88" s="1563">
        <v>573.0</v>
      </c>
      <c r="D88" s="1548">
        <v>8.5</v>
      </c>
      <c r="E88" s="1549">
        <v>20124.0</v>
      </c>
      <c r="F88" s="1549">
        <v>350.0</v>
      </c>
      <c r="G88" s="1549">
        <v>3614.0</v>
      </c>
      <c r="H88" s="1549">
        <v>2101.0</v>
      </c>
      <c r="I88" s="1549">
        <v>476.0</v>
      </c>
      <c r="J88" s="1549">
        <v>653.0</v>
      </c>
      <c r="K88" s="1550">
        <v>4937.0</v>
      </c>
      <c r="L88" s="1551">
        <v>79173.0</v>
      </c>
    </row>
    <row r="89">
      <c r="A89" s="1545" t="s">
        <v>198</v>
      </c>
      <c r="B89" s="1546">
        <v>58799.0</v>
      </c>
      <c r="C89" s="1547">
        <v>1890.0</v>
      </c>
      <c r="D89" s="1548">
        <v>14.5</v>
      </c>
      <c r="E89" s="1549">
        <v>46382.0</v>
      </c>
      <c r="F89" s="1549">
        <v>386.0</v>
      </c>
      <c r="G89" s="1549">
        <v>4228.0</v>
      </c>
      <c r="H89" s="1549">
        <v>809.0</v>
      </c>
      <c r="I89" s="1549">
        <v>182.0</v>
      </c>
      <c r="J89" s="1549">
        <v>824.0</v>
      </c>
      <c r="K89" s="1550">
        <v>5988.0</v>
      </c>
      <c r="L89" s="1551">
        <v>65439.0</v>
      </c>
    </row>
    <row r="90">
      <c r="A90" s="1545" t="s">
        <v>199</v>
      </c>
      <c r="B90" s="1546">
        <v>13948.0</v>
      </c>
      <c r="C90" s="1563">
        <v>375.0</v>
      </c>
      <c r="D90" s="1548">
        <v>12.5</v>
      </c>
      <c r="E90" s="1549">
        <v>8430.0</v>
      </c>
      <c r="F90" s="1549">
        <v>103.0</v>
      </c>
      <c r="G90" s="1549">
        <v>2334.0</v>
      </c>
      <c r="H90" s="1549">
        <v>1129.0</v>
      </c>
      <c r="I90" s="1549">
        <v>26.0</v>
      </c>
      <c r="J90" s="1549">
        <v>224.0</v>
      </c>
      <c r="K90" s="1550">
        <v>1702.0</v>
      </c>
      <c r="L90" s="1551">
        <v>68309.0</v>
      </c>
    </row>
    <row r="91">
      <c r="A91" s="1545" t="s">
        <v>200</v>
      </c>
      <c r="B91" s="1546">
        <v>13101.0</v>
      </c>
      <c r="C91" s="1563">
        <v>331.0</v>
      </c>
      <c r="D91" s="1548">
        <v>9.9</v>
      </c>
      <c r="E91" s="1549">
        <v>6570.0</v>
      </c>
      <c r="F91" s="1549">
        <v>90.0</v>
      </c>
      <c r="G91" s="1549">
        <v>1826.0</v>
      </c>
      <c r="H91" s="1549">
        <v>2803.0</v>
      </c>
      <c r="I91" s="1549">
        <v>117.0</v>
      </c>
      <c r="J91" s="1549">
        <v>388.0</v>
      </c>
      <c r="K91" s="1550">
        <v>1307.0</v>
      </c>
      <c r="L91" s="1551">
        <v>74109.0</v>
      </c>
    </row>
    <row r="92">
      <c r="A92" s="1545" t="s">
        <v>201</v>
      </c>
      <c r="B92" s="1546">
        <v>8368.0</v>
      </c>
      <c r="C92" s="1547">
        <v>1600.0</v>
      </c>
      <c r="D92" s="1548">
        <v>47.4</v>
      </c>
      <c r="E92" s="1557">
        <v>173.0</v>
      </c>
      <c r="F92" s="598">
        <v>16.0</v>
      </c>
      <c r="G92" s="598">
        <v>7946.0</v>
      </c>
      <c r="H92" s="598">
        <v>23.0</v>
      </c>
      <c r="I92" s="598">
        <v>0.0</v>
      </c>
      <c r="J92" s="598">
        <v>18.0</v>
      </c>
      <c r="K92" s="1561">
        <v>192.0</v>
      </c>
      <c r="L92" s="1551">
        <v>32728.0</v>
      </c>
    </row>
    <row r="93">
      <c r="A93" s="1545" t="s">
        <v>204</v>
      </c>
      <c r="B93" s="1546">
        <v>1476.0</v>
      </c>
      <c r="C93" s="1563">
        <v>106.0</v>
      </c>
      <c r="D93" s="1548">
        <v>23.7</v>
      </c>
      <c r="E93" s="1549">
        <v>303.0</v>
      </c>
      <c r="F93" s="1549">
        <v>2.0</v>
      </c>
      <c r="G93" s="1549">
        <v>994.0</v>
      </c>
      <c r="H93" s="1549">
        <v>9.0</v>
      </c>
      <c r="I93" s="1549">
        <v>1.0</v>
      </c>
      <c r="J93" s="1549">
        <v>0.0</v>
      </c>
      <c r="K93" s="1550">
        <v>167.0</v>
      </c>
      <c r="L93" s="1551">
        <v>49403.0</v>
      </c>
    </row>
    <row r="94">
      <c r="A94" s="1545" t="s">
        <v>205</v>
      </c>
      <c r="B94" s="1546">
        <v>107081.0</v>
      </c>
      <c r="C94" s="1547">
        <v>3348.0</v>
      </c>
      <c r="D94" s="1548">
        <v>11.8</v>
      </c>
      <c r="E94" s="1549">
        <v>83035.0</v>
      </c>
      <c r="F94" s="1549">
        <v>1121.0</v>
      </c>
      <c r="G94" s="1549">
        <v>6844.0</v>
      </c>
      <c r="H94" s="1549">
        <v>1559.0</v>
      </c>
      <c r="I94" s="1549">
        <v>506.0</v>
      </c>
      <c r="J94" s="1549">
        <v>1717.0</v>
      </c>
      <c r="K94" s="1550">
        <v>12299.0</v>
      </c>
      <c r="L94" s="1555">
        <v>74649.0</v>
      </c>
    </row>
    <row r="95">
      <c r="A95" s="1545" t="s">
        <v>206</v>
      </c>
      <c r="B95" s="1546">
        <v>10046.0</v>
      </c>
      <c r="C95" s="1563">
        <v>920.0</v>
      </c>
      <c r="D95" s="1548">
        <v>26.9</v>
      </c>
      <c r="E95" s="1549">
        <v>1422.0</v>
      </c>
      <c r="F95" s="1549">
        <v>55.0</v>
      </c>
      <c r="G95" s="1549">
        <v>7556.0</v>
      </c>
      <c r="H95" s="1549">
        <v>111.0</v>
      </c>
      <c r="I95" s="1549">
        <v>5.0</v>
      </c>
      <c r="J95" s="1549">
        <v>56.0</v>
      </c>
      <c r="K95" s="1550">
        <v>841.0</v>
      </c>
      <c r="L95" s="1551">
        <v>55318.0</v>
      </c>
    </row>
    <row r="96">
      <c r="A96" s="1545" t="s">
        <v>207</v>
      </c>
      <c r="B96" s="1546">
        <v>11031.0</v>
      </c>
      <c r="C96" s="1563">
        <v>393.0</v>
      </c>
      <c r="D96" s="1548">
        <v>15.2</v>
      </c>
      <c r="E96" s="1549">
        <v>3082.0</v>
      </c>
      <c r="F96" s="1549">
        <v>162.0</v>
      </c>
      <c r="G96" s="1549">
        <v>5748.0</v>
      </c>
      <c r="H96" s="1549">
        <v>641.0</v>
      </c>
      <c r="I96" s="1549">
        <v>321.0</v>
      </c>
      <c r="J96" s="1549">
        <v>118.0</v>
      </c>
      <c r="K96" s="1550">
        <v>959.0</v>
      </c>
      <c r="L96" s="1551">
        <v>89276.0</v>
      </c>
    </row>
    <row r="97">
      <c r="A97" s="1545" t="s">
        <v>208</v>
      </c>
      <c r="B97" s="1546">
        <v>7793.0</v>
      </c>
      <c r="C97" s="1563">
        <v>742.0</v>
      </c>
      <c r="D97" s="1548">
        <v>27.7</v>
      </c>
      <c r="E97" s="1549">
        <v>700.0</v>
      </c>
      <c r="F97" s="1549">
        <v>72.0</v>
      </c>
      <c r="G97" s="1549">
        <v>6469.0</v>
      </c>
      <c r="H97" s="1549">
        <v>55.0</v>
      </c>
      <c r="I97" s="1549">
        <v>12.0</v>
      </c>
      <c r="J97" s="1549">
        <v>23.0</v>
      </c>
      <c r="K97" s="1550">
        <v>462.0</v>
      </c>
      <c r="L97" s="1551">
        <v>59337.0</v>
      </c>
    </row>
    <row r="98">
      <c r="A98" s="1545" t="s">
        <v>209</v>
      </c>
      <c r="B98" s="1546">
        <v>3398.0</v>
      </c>
      <c r="C98" s="1563">
        <v>63.0</v>
      </c>
      <c r="D98" s="1548">
        <v>9.5</v>
      </c>
      <c r="E98" s="1549">
        <v>2470.0</v>
      </c>
      <c r="F98" s="1549">
        <v>49.0</v>
      </c>
      <c r="G98" s="1549">
        <v>247.0</v>
      </c>
      <c r="H98" s="1549">
        <v>123.0</v>
      </c>
      <c r="I98" s="1549">
        <v>12.0</v>
      </c>
      <c r="J98" s="1549">
        <v>61.0</v>
      </c>
      <c r="K98" s="1550">
        <v>436.0</v>
      </c>
      <c r="L98" s="1551">
        <v>66075.0</v>
      </c>
    </row>
    <row r="99">
      <c r="A99" s="1545" t="s">
        <v>972</v>
      </c>
      <c r="B99" s="1546">
        <v>5753.0</v>
      </c>
      <c r="C99" s="1563">
        <v>340.0</v>
      </c>
      <c r="D99" s="1548">
        <v>23.4</v>
      </c>
      <c r="E99" s="1549">
        <v>2403.0</v>
      </c>
      <c r="F99" s="1549">
        <v>22.0</v>
      </c>
      <c r="G99" s="1549">
        <v>2584.0</v>
      </c>
      <c r="H99" s="1549">
        <v>27.0</v>
      </c>
      <c r="I99" s="1549">
        <v>30.0</v>
      </c>
      <c r="J99" s="1549">
        <v>29.0</v>
      </c>
      <c r="K99" s="1550">
        <v>658.0</v>
      </c>
      <c r="L99" s="1551">
        <v>49356.0</v>
      </c>
    </row>
    <row r="100">
      <c r="A100" s="1545" t="s">
        <v>211</v>
      </c>
      <c r="B100" s="1546">
        <v>8458.0</v>
      </c>
      <c r="C100" s="1563">
        <v>159.0</v>
      </c>
      <c r="D100" s="1548">
        <v>8.8</v>
      </c>
      <c r="E100" s="1549">
        <v>5174.0</v>
      </c>
      <c r="F100" s="1549">
        <v>37.0</v>
      </c>
      <c r="G100" s="1549">
        <v>1248.0</v>
      </c>
      <c r="H100" s="1549">
        <v>573.0</v>
      </c>
      <c r="I100" s="1549">
        <v>14.0</v>
      </c>
      <c r="J100" s="1549">
        <v>215.0</v>
      </c>
      <c r="K100" s="1550">
        <v>1197.0</v>
      </c>
      <c r="L100" s="1551">
        <v>71825.0</v>
      </c>
    </row>
    <row r="101">
      <c r="A101" s="1545" t="s">
        <v>212</v>
      </c>
      <c r="B101" s="1546">
        <v>1240.0</v>
      </c>
      <c r="C101" s="1563">
        <v>16.0</v>
      </c>
      <c r="D101" s="1548">
        <v>8.9</v>
      </c>
      <c r="E101" s="1549">
        <v>1070.0</v>
      </c>
      <c r="F101" s="1549">
        <v>10.0</v>
      </c>
      <c r="G101" s="1549">
        <v>32.0</v>
      </c>
      <c r="H101" s="1549">
        <v>39.0</v>
      </c>
      <c r="I101" s="1549">
        <v>0.0</v>
      </c>
      <c r="J101" s="1549">
        <v>9.0</v>
      </c>
      <c r="K101" s="1550">
        <v>80.0</v>
      </c>
      <c r="L101" s="1551">
        <v>74635.0</v>
      </c>
    </row>
    <row r="102">
      <c r="A102" s="1545" t="s">
        <v>213</v>
      </c>
      <c r="B102" s="1546">
        <v>6808.0</v>
      </c>
      <c r="C102" s="1563">
        <v>306.0</v>
      </c>
      <c r="D102" s="1548">
        <v>17.7</v>
      </c>
      <c r="E102" s="1549">
        <v>5085.0</v>
      </c>
      <c r="F102" s="1549">
        <v>74.0</v>
      </c>
      <c r="G102" s="1549">
        <v>817.0</v>
      </c>
      <c r="H102" s="1549">
        <v>87.0</v>
      </c>
      <c r="I102" s="1549">
        <v>16.0</v>
      </c>
      <c r="J102" s="1549">
        <v>137.0</v>
      </c>
      <c r="K102" s="1550">
        <v>592.0</v>
      </c>
      <c r="L102" s="1551">
        <v>63527.0</v>
      </c>
    </row>
    <row r="103">
      <c r="A103" s="1545" t="s">
        <v>214</v>
      </c>
      <c r="B103" s="1575">
        <v>2127.0</v>
      </c>
      <c r="C103" s="1563">
        <v>79.0</v>
      </c>
      <c r="D103" s="1548">
        <v>16.0</v>
      </c>
      <c r="E103" s="1549">
        <v>1352.0</v>
      </c>
      <c r="F103" s="1549">
        <v>0.0</v>
      </c>
      <c r="G103" s="1549">
        <v>380.0</v>
      </c>
      <c r="H103" s="1549">
        <v>25.0</v>
      </c>
      <c r="I103" s="1549">
        <v>2.0</v>
      </c>
      <c r="J103" s="1549">
        <v>30.0</v>
      </c>
      <c r="K103" s="1550">
        <v>338.0</v>
      </c>
      <c r="L103" s="1551">
        <v>57832.0</v>
      </c>
    </row>
    <row r="104">
      <c r="A104" s="1576" t="s">
        <v>215</v>
      </c>
      <c r="B104" s="1577">
        <v>662.0</v>
      </c>
      <c r="C104" s="1563">
        <v>17.0</v>
      </c>
      <c r="D104" s="1548">
        <v>15.3</v>
      </c>
      <c r="E104" s="1578">
        <v>249.0</v>
      </c>
      <c r="F104" s="1578">
        <v>4.0</v>
      </c>
      <c r="G104" s="1578">
        <v>255.0</v>
      </c>
      <c r="H104" s="1578">
        <v>32.0</v>
      </c>
      <c r="I104" s="1578">
        <v>1.0</v>
      </c>
      <c r="J104" s="1578">
        <v>3.0</v>
      </c>
      <c r="K104" s="1579">
        <v>118.0</v>
      </c>
      <c r="L104" s="1551">
        <v>59523.0</v>
      </c>
    </row>
    <row r="105">
      <c r="A105" s="1580" t="s">
        <v>216</v>
      </c>
      <c r="B105" s="1581">
        <v>5343.0</v>
      </c>
      <c r="C105" s="1582">
        <v>452.0</v>
      </c>
      <c r="D105" s="1567">
        <v>31.4</v>
      </c>
      <c r="E105" s="1532">
        <v>1130.0</v>
      </c>
      <c r="F105" s="1533">
        <v>7.0</v>
      </c>
      <c r="G105" s="1533">
        <v>3832.0</v>
      </c>
      <c r="H105" s="1533">
        <v>8.0</v>
      </c>
      <c r="I105" s="1533">
        <v>3.0</v>
      </c>
      <c r="J105" s="1533">
        <v>28.0</v>
      </c>
      <c r="K105" s="1535">
        <v>335.0</v>
      </c>
      <c r="L105" s="1583">
        <v>38912.0</v>
      </c>
      <c r="M105" s="1489"/>
      <c r="N105" s="1489"/>
      <c r="O105" s="1489"/>
      <c r="P105" s="1489"/>
      <c r="Q105" s="1489"/>
      <c r="R105" s="1489"/>
      <c r="S105" s="1489"/>
      <c r="T105" s="1489"/>
    </row>
    <row r="106">
      <c r="A106" s="1538" t="s">
        <v>33</v>
      </c>
      <c r="B106" s="1584">
        <v>7151502.0</v>
      </c>
      <c r="C106" s="1540">
        <v>328780.0</v>
      </c>
      <c r="D106" s="1571">
        <v>20.4</v>
      </c>
      <c r="E106" s="1572">
        <v>4322337.0</v>
      </c>
      <c r="F106" s="1572">
        <v>339150.0</v>
      </c>
      <c r="G106" s="1572">
        <v>319512.0</v>
      </c>
      <c r="H106" s="1572">
        <v>257430.0</v>
      </c>
      <c r="I106" s="1572">
        <v>16397.0</v>
      </c>
      <c r="J106" s="1572">
        <v>899870.0</v>
      </c>
      <c r="K106" s="1573">
        <v>996806.0</v>
      </c>
      <c r="L106" s="1585">
        <v>59079.0</v>
      </c>
    </row>
    <row r="107">
      <c r="A107" s="1545" t="s">
        <v>220</v>
      </c>
      <c r="B107" s="1586">
        <v>66021.0</v>
      </c>
      <c r="C107" s="1547">
        <v>9129.0</v>
      </c>
      <c r="D107" s="1548">
        <v>47.3</v>
      </c>
      <c r="E107" s="1557">
        <v>14873.0</v>
      </c>
      <c r="F107" s="598">
        <v>185.0</v>
      </c>
      <c r="G107" s="598">
        <v>47016.0</v>
      </c>
      <c r="H107" s="598">
        <v>312.0</v>
      </c>
      <c r="I107" s="598">
        <v>20.0</v>
      </c>
      <c r="J107" s="598">
        <v>1225.0</v>
      </c>
      <c r="K107" s="1561">
        <v>2390.0</v>
      </c>
      <c r="L107" s="1555">
        <v>33652.0</v>
      </c>
    </row>
    <row r="108">
      <c r="A108" s="1545" t="s">
        <v>221</v>
      </c>
      <c r="B108" s="1587">
        <v>125447.0</v>
      </c>
      <c r="C108" s="1547">
        <v>6129.0</v>
      </c>
      <c r="D108" s="1548">
        <v>22.8</v>
      </c>
      <c r="E108" s="1557">
        <v>81733.0</v>
      </c>
      <c r="F108" s="598">
        <v>4783.0</v>
      </c>
      <c r="G108" s="598">
        <v>1510.0</v>
      </c>
      <c r="H108" s="598">
        <v>2712.0</v>
      </c>
      <c r="I108" s="598">
        <v>488.0</v>
      </c>
      <c r="J108" s="598">
        <v>12678.0</v>
      </c>
      <c r="K108" s="1561">
        <v>21543.0</v>
      </c>
      <c r="L108" s="1555">
        <v>49164.0</v>
      </c>
    </row>
    <row r="109">
      <c r="A109" s="1545" t="s">
        <v>222</v>
      </c>
      <c r="B109" s="1587">
        <v>145101.0</v>
      </c>
      <c r="C109" s="1547">
        <v>5037.0</v>
      </c>
      <c r="D109" s="1548">
        <v>17.3</v>
      </c>
      <c r="E109" s="1557">
        <v>83360.0</v>
      </c>
      <c r="F109" s="598">
        <v>1961.0</v>
      </c>
      <c r="G109" s="598">
        <v>36225.0</v>
      </c>
      <c r="H109" s="598">
        <v>2674.0</v>
      </c>
      <c r="I109" s="598">
        <v>262.0</v>
      </c>
      <c r="J109" s="598">
        <v>7656.0</v>
      </c>
      <c r="K109" s="1561">
        <v>12963.0</v>
      </c>
      <c r="L109" s="1555">
        <v>60187.0</v>
      </c>
    </row>
    <row r="110">
      <c r="A110" s="1545" t="s">
        <v>223</v>
      </c>
      <c r="B110" s="1587">
        <v>53272.0</v>
      </c>
      <c r="C110" s="1547">
        <v>3558.0</v>
      </c>
      <c r="D110" s="1548">
        <v>33.6</v>
      </c>
      <c r="E110" s="1549">
        <v>35904.0</v>
      </c>
      <c r="F110" s="1549">
        <v>282.0</v>
      </c>
      <c r="G110" s="1549">
        <v>8928.0</v>
      </c>
      <c r="H110" s="1549">
        <v>445.0</v>
      </c>
      <c r="I110" s="1549">
        <v>48.0</v>
      </c>
      <c r="J110" s="1549">
        <v>3073.0</v>
      </c>
      <c r="K110" s="1550">
        <v>4592.0</v>
      </c>
      <c r="L110" s="1551">
        <v>43585.0</v>
      </c>
    </row>
    <row r="111">
      <c r="A111" s="1545" t="s">
        <v>224</v>
      </c>
      <c r="B111" s="1587">
        <v>38533.0</v>
      </c>
      <c r="C111" s="1547">
        <v>2463.0</v>
      </c>
      <c r="D111" s="1548">
        <v>24.4</v>
      </c>
      <c r="E111" s="1549">
        <v>25043.0</v>
      </c>
      <c r="F111" s="1549">
        <v>537.0</v>
      </c>
      <c r="G111" s="1549">
        <v>5390.0</v>
      </c>
      <c r="H111" s="1549">
        <v>192.0</v>
      </c>
      <c r="I111" s="1549">
        <v>20.0</v>
      </c>
      <c r="J111" s="1549">
        <v>3225.0</v>
      </c>
      <c r="K111" s="1550">
        <v>4126.0</v>
      </c>
      <c r="L111" s="1551">
        <v>50157.0</v>
      </c>
    </row>
    <row r="112">
      <c r="A112" s="1545" t="s">
        <v>226</v>
      </c>
      <c r="B112" s="1587">
        <v>9563.0</v>
      </c>
      <c r="C112" s="1563">
        <v>296.0</v>
      </c>
      <c r="D112" s="1548">
        <v>11.7</v>
      </c>
      <c r="E112" s="1549">
        <v>6584.0</v>
      </c>
      <c r="F112" s="1549">
        <v>87.0</v>
      </c>
      <c r="G112" s="1549">
        <v>355.0</v>
      </c>
      <c r="H112" s="1549">
        <v>75.0</v>
      </c>
      <c r="I112" s="1549">
        <v>5.0</v>
      </c>
      <c r="J112" s="1549">
        <v>893.0</v>
      </c>
      <c r="K112" s="1550">
        <v>1564.0</v>
      </c>
      <c r="L112" s="1551">
        <v>65818.0</v>
      </c>
    </row>
    <row r="113">
      <c r="A113" s="1545" t="s">
        <v>227</v>
      </c>
      <c r="B113" s="1587">
        <v>16557.0</v>
      </c>
      <c r="C113" s="1547">
        <v>1104.0</v>
      </c>
      <c r="D113" s="1548">
        <v>31.8</v>
      </c>
      <c r="E113" s="1549">
        <v>9772.0</v>
      </c>
      <c r="F113" s="1549">
        <v>114.0</v>
      </c>
      <c r="G113" s="1549">
        <v>2833.0</v>
      </c>
      <c r="H113" s="1549">
        <v>115.0</v>
      </c>
      <c r="I113" s="1549">
        <v>49.0</v>
      </c>
      <c r="J113" s="1549">
        <v>1613.0</v>
      </c>
      <c r="K113" s="1550">
        <v>2061.0</v>
      </c>
      <c r="L113" s="1551">
        <v>37350.0</v>
      </c>
    </row>
    <row r="114">
      <c r="A114" s="1545" t="s">
        <v>225</v>
      </c>
      <c r="B114" s="1587">
        <v>4420568.0</v>
      </c>
      <c r="C114" s="1547">
        <v>188910.0</v>
      </c>
      <c r="D114" s="1548">
        <v>18.2</v>
      </c>
      <c r="E114" s="1557">
        <v>2645512.0</v>
      </c>
      <c r="F114" s="598">
        <v>260469.0</v>
      </c>
      <c r="G114" s="598">
        <v>100645.0</v>
      </c>
      <c r="H114" s="598">
        <v>203696.0</v>
      </c>
      <c r="I114" s="598">
        <v>10966.0</v>
      </c>
      <c r="J114" s="598">
        <v>598605.0</v>
      </c>
      <c r="K114" s="1561">
        <v>600675.0</v>
      </c>
      <c r="L114" s="1555">
        <v>65234.0</v>
      </c>
    </row>
    <row r="115">
      <c r="A115" s="1545" t="s">
        <v>228</v>
      </c>
      <c r="B115" s="1587">
        <v>213267.0</v>
      </c>
      <c r="C115" s="1547">
        <v>9385.0</v>
      </c>
      <c r="D115" s="1548">
        <v>26.9</v>
      </c>
      <c r="E115" s="1557">
        <v>169732.0</v>
      </c>
      <c r="F115" s="598">
        <v>2221.0</v>
      </c>
      <c r="G115" s="598">
        <v>5185.0</v>
      </c>
      <c r="H115" s="598">
        <v>2734.0</v>
      </c>
      <c r="I115" s="598">
        <v>409.0</v>
      </c>
      <c r="J115" s="598">
        <v>12676.0</v>
      </c>
      <c r="K115" s="1561">
        <v>20310.0</v>
      </c>
      <c r="L115" s="1555">
        <v>45129.0</v>
      </c>
    </row>
    <row r="116">
      <c r="A116" s="1545" t="s">
        <v>229</v>
      </c>
      <c r="B116" s="1587">
        <v>106717.0</v>
      </c>
      <c r="C116" s="1547">
        <v>11680.0</v>
      </c>
      <c r="D116" s="1548">
        <v>40.2</v>
      </c>
      <c r="E116" s="1588">
        <v>48430.0</v>
      </c>
      <c r="F116" s="1589">
        <v>760.0</v>
      </c>
      <c r="G116" s="1589">
        <v>47442.0</v>
      </c>
      <c r="H116" s="1589">
        <v>567.0</v>
      </c>
      <c r="I116" s="1589">
        <v>86.0</v>
      </c>
      <c r="J116" s="1589">
        <v>3149.0</v>
      </c>
      <c r="K116" s="1590">
        <v>6283.0</v>
      </c>
      <c r="L116" s="1555">
        <v>40650.0</v>
      </c>
    </row>
    <row r="117">
      <c r="A117" s="1545" t="s">
        <v>230</v>
      </c>
      <c r="B117" s="1587">
        <v>1043433.0</v>
      </c>
      <c r="C117" s="1547">
        <v>47203.0</v>
      </c>
      <c r="D117" s="1591">
        <v>22.2</v>
      </c>
      <c r="E117" s="1592">
        <v>633382.0</v>
      </c>
      <c r="F117" s="1553">
        <v>39954.0</v>
      </c>
      <c r="G117" s="1553">
        <v>34593.0</v>
      </c>
      <c r="H117" s="1553">
        <v>31367.0</v>
      </c>
      <c r="I117" s="1553">
        <v>2229.0</v>
      </c>
      <c r="J117" s="1553">
        <v>127663.0</v>
      </c>
      <c r="K117" s="1554">
        <v>174245.0</v>
      </c>
      <c r="L117" s="1555">
        <v>53395.0</v>
      </c>
    </row>
    <row r="118">
      <c r="A118" s="1545" t="s">
        <v>231</v>
      </c>
      <c r="B118" s="1587">
        <v>425264.0</v>
      </c>
      <c r="C118" s="1547">
        <v>17340.0</v>
      </c>
      <c r="D118" s="1548">
        <v>17.5</v>
      </c>
      <c r="E118" s="1549">
        <v>269258.0</v>
      </c>
      <c r="F118" s="1593">
        <v>21968.0</v>
      </c>
      <c r="G118" s="1593">
        <v>21128.0</v>
      </c>
      <c r="H118" s="1593">
        <v>6718.0</v>
      </c>
      <c r="I118" s="1593">
        <v>1219.0</v>
      </c>
      <c r="J118" s="1593">
        <v>49997.0</v>
      </c>
      <c r="K118" s="1594">
        <v>54976.0</v>
      </c>
      <c r="L118" s="1555">
        <v>58848.0</v>
      </c>
    </row>
    <row r="119">
      <c r="A119" s="1545" t="s">
        <v>232</v>
      </c>
      <c r="B119" s="1587">
        <v>47669.0</v>
      </c>
      <c r="C119" s="1547">
        <v>4440.0</v>
      </c>
      <c r="D119" s="1556">
        <v>36.0</v>
      </c>
      <c r="E119" s="1549">
        <v>15929.0</v>
      </c>
      <c r="F119" s="1549">
        <v>187.0</v>
      </c>
      <c r="G119" s="1549">
        <v>457.0</v>
      </c>
      <c r="H119" s="1549">
        <v>304.0</v>
      </c>
      <c r="I119" s="1549">
        <v>19.0</v>
      </c>
      <c r="J119" s="1549">
        <v>13762.0</v>
      </c>
      <c r="K119" s="1550">
        <v>17011.0</v>
      </c>
      <c r="L119" s="1551">
        <v>40545.0</v>
      </c>
    </row>
    <row r="120">
      <c r="A120" s="1545" t="s">
        <v>234</v>
      </c>
      <c r="B120" s="1587">
        <v>236209.0</v>
      </c>
      <c r="C120" s="1547">
        <v>7101.0</v>
      </c>
      <c r="D120" s="1548">
        <v>19.2</v>
      </c>
      <c r="E120" s="1557">
        <v>192507.0</v>
      </c>
      <c r="F120" s="598">
        <v>1543.0</v>
      </c>
      <c r="G120" s="598">
        <v>4283.0</v>
      </c>
      <c r="H120" s="598">
        <v>2932.0</v>
      </c>
      <c r="I120" s="598">
        <v>294.0</v>
      </c>
      <c r="J120" s="598">
        <v>12411.0</v>
      </c>
      <c r="K120" s="1561">
        <v>22239.0</v>
      </c>
      <c r="L120" s="1555">
        <v>48758.0</v>
      </c>
    </row>
    <row r="121">
      <c r="A121" s="1528" t="s">
        <v>236</v>
      </c>
      <c r="B121" s="1595">
        <v>203881.0</v>
      </c>
      <c r="C121" s="1530">
        <v>15003.0</v>
      </c>
      <c r="D121" s="1567">
        <v>28.3</v>
      </c>
      <c r="E121" s="1532">
        <v>90318.0</v>
      </c>
      <c r="F121" s="1533">
        <v>4099.0</v>
      </c>
      <c r="G121" s="1533">
        <v>3522.0</v>
      </c>
      <c r="H121" s="1533">
        <v>2587.0</v>
      </c>
      <c r="I121" s="1533">
        <v>283.0</v>
      </c>
      <c r="J121" s="1533">
        <v>51244.0</v>
      </c>
      <c r="K121" s="1535">
        <v>51828.0</v>
      </c>
      <c r="L121" s="1537">
        <v>44116.0</v>
      </c>
    </row>
    <row r="122">
      <c r="A122" s="1538" t="s">
        <v>237</v>
      </c>
      <c r="B122" s="1570">
        <v>3011524.0</v>
      </c>
      <c r="C122" s="1540">
        <v>164056.0</v>
      </c>
      <c r="D122" s="1571">
        <v>23.8</v>
      </c>
      <c r="E122" s="1572">
        <v>2114512.0</v>
      </c>
      <c r="F122" s="1572">
        <v>453783.0</v>
      </c>
      <c r="G122" s="1572">
        <v>27177.0</v>
      </c>
      <c r="H122" s="1572">
        <v>51839.0</v>
      </c>
      <c r="I122" s="1572">
        <v>14533.0</v>
      </c>
      <c r="J122" s="1572">
        <v>136105.0</v>
      </c>
      <c r="K122" s="1573">
        <v>213575.0</v>
      </c>
      <c r="L122" s="1544">
        <v>47094.0</v>
      </c>
    </row>
    <row r="123">
      <c r="A123" s="1545" t="s">
        <v>34</v>
      </c>
      <c r="B123" s="1586">
        <v>17149.0</v>
      </c>
      <c r="C123" s="1563">
        <v>972.0</v>
      </c>
      <c r="D123" s="1548">
        <v>24.4</v>
      </c>
      <c r="E123" s="1549">
        <v>11698.0</v>
      </c>
      <c r="F123" s="1549">
        <v>4156.0</v>
      </c>
      <c r="G123" s="1549">
        <v>44.0</v>
      </c>
      <c r="H123" s="1549">
        <v>94.0</v>
      </c>
      <c r="I123" s="1549">
        <v>9.0</v>
      </c>
      <c r="J123" s="1549">
        <v>405.0</v>
      </c>
      <c r="K123" s="1550">
        <v>743.0</v>
      </c>
      <c r="L123" s="1551">
        <v>43887.0</v>
      </c>
    </row>
    <row r="124">
      <c r="A124" s="1545" t="s">
        <v>240</v>
      </c>
      <c r="B124" s="1587">
        <v>19062.0</v>
      </c>
      <c r="C124" s="1547">
        <v>1298.0</v>
      </c>
      <c r="D124" s="1548">
        <v>28.8</v>
      </c>
      <c r="E124" s="1549">
        <v>12958.0</v>
      </c>
      <c r="F124" s="1549">
        <v>4669.0</v>
      </c>
      <c r="G124" s="1549">
        <v>56.0</v>
      </c>
      <c r="H124" s="1549">
        <v>41.0</v>
      </c>
      <c r="I124" s="1549">
        <v>6.0</v>
      </c>
      <c r="J124" s="1549">
        <v>625.0</v>
      </c>
      <c r="K124" s="1550">
        <v>707.0</v>
      </c>
      <c r="L124" s="1551">
        <v>41127.0</v>
      </c>
    </row>
    <row r="125">
      <c r="A125" s="1545" t="s">
        <v>242</v>
      </c>
      <c r="B125" s="1587">
        <v>41627.0</v>
      </c>
      <c r="C125" s="1547">
        <v>1662.0</v>
      </c>
      <c r="D125" s="1556">
        <v>23.0</v>
      </c>
      <c r="E125" s="1549">
        <v>38489.0</v>
      </c>
      <c r="F125" s="1549">
        <v>90.0</v>
      </c>
      <c r="G125" s="1549">
        <v>255.0</v>
      </c>
      <c r="H125" s="1549">
        <v>234.0</v>
      </c>
      <c r="I125" s="1549">
        <v>9.0</v>
      </c>
      <c r="J125" s="1549">
        <v>327.0</v>
      </c>
      <c r="K125" s="1550">
        <v>2223.0</v>
      </c>
      <c r="L125" s="1551">
        <v>39686.0</v>
      </c>
    </row>
    <row r="126">
      <c r="A126" s="1545" t="s">
        <v>243</v>
      </c>
      <c r="B126" s="1587">
        <v>284333.0</v>
      </c>
      <c r="C126" s="1547">
        <v>8567.0</v>
      </c>
      <c r="D126" s="1548">
        <v>12.1</v>
      </c>
      <c r="E126" s="1557">
        <v>201188.0</v>
      </c>
      <c r="F126" s="598">
        <v>4732.0</v>
      </c>
      <c r="G126" s="598">
        <v>5093.0</v>
      </c>
      <c r="H126" s="598">
        <v>13721.0</v>
      </c>
      <c r="I126" s="598">
        <v>2629.0</v>
      </c>
      <c r="J126" s="598">
        <v>25559.0</v>
      </c>
      <c r="K126" s="1561">
        <v>31411.0</v>
      </c>
      <c r="L126" s="1555">
        <v>68978.0</v>
      </c>
    </row>
    <row r="127">
      <c r="A127" s="1545" t="s">
        <v>246</v>
      </c>
      <c r="B127" s="1587">
        <v>37373.0</v>
      </c>
      <c r="C127" s="1547">
        <v>1815.0</v>
      </c>
      <c r="D127" s="1548">
        <v>21.5</v>
      </c>
      <c r="E127" s="1549">
        <v>34128.0</v>
      </c>
      <c r="F127" s="1549">
        <v>108.0</v>
      </c>
      <c r="G127" s="1549">
        <v>276.0</v>
      </c>
      <c r="H127" s="1549">
        <v>246.0</v>
      </c>
      <c r="I127" s="1549">
        <v>28.0</v>
      </c>
      <c r="J127" s="1549">
        <v>259.0</v>
      </c>
      <c r="K127" s="1550">
        <v>2328.0</v>
      </c>
      <c r="L127" s="1551">
        <v>44482.0</v>
      </c>
    </row>
    <row r="128">
      <c r="A128" s="1545" t="s">
        <v>247</v>
      </c>
      <c r="B128" s="1587">
        <v>10545.0</v>
      </c>
      <c r="C128" s="1563">
        <v>770.0</v>
      </c>
      <c r="D128" s="1548">
        <v>29.8</v>
      </c>
      <c r="E128" s="1549">
        <v>5890.0</v>
      </c>
      <c r="F128" s="1549">
        <v>2937.0</v>
      </c>
      <c r="G128" s="1549">
        <v>92.0</v>
      </c>
      <c r="H128" s="1549">
        <v>30.0</v>
      </c>
      <c r="I128" s="1549">
        <v>0.0</v>
      </c>
      <c r="J128" s="1549">
        <v>1156.0</v>
      </c>
      <c r="K128" s="1550">
        <v>440.0</v>
      </c>
      <c r="L128" s="1551">
        <v>37729.0</v>
      </c>
    </row>
    <row r="129">
      <c r="A129" s="1545" t="s">
        <v>93</v>
      </c>
      <c r="B129" s="1587">
        <v>4739.0</v>
      </c>
      <c r="C129" s="1563">
        <v>208.0</v>
      </c>
      <c r="D129" s="1548">
        <v>21.1</v>
      </c>
      <c r="E129" s="1549">
        <v>3539.0</v>
      </c>
      <c r="F129" s="1549">
        <v>913.0</v>
      </c>
      <c r="G129" s="1549">
        <v>10.0</v>
      </c>
      <c r="H129" s="1549">
        <v>6.0</v>
      </c>
      <c r="I129" s="1549">
        <v>9.0</v>
      </c>
      <c r="J129" s="1549">
        <v>54.0</v>
      </c>
      <c r="K129" s="1550">
        <v>208.0</v>
      </c>
      <c r="L129" s="1551">
        <v>44969.0</v>
      </c>
    </row>
    <row r="130">
      <c r="A130" s="1545" t="s">
        <v>248</v>
      </c>
      <c r="B130" s="1587">
        <v>28260.0</v>
      </c>
      <c r="C130" s="1547">
        <v>1476.0</v>
      </c>
      <c r="D130" s="1548">
        <v>24.8</v>
      </c>
      <c r="E130" s="1549">
        <v>21952.0</v>
      </c>
      <c r="F130" s="1549">
        <v>95.0</v>
      </c>
      <c r="G130" s="1549">
        <v>369.0</v>
      </c>
      <c r="H130" s="1549">
        <v>567.0</v>
      </c>
      <c r="I130" s="1549">
        <v>444.0</v>
      </c>
      <c r="J130" s="1549">
        <v>2475.0</v>
      </c>
      <c r="K130" s="1550">
        <v>2358.0</v>
      </c>
      <c r="L130" s="1551">
        <v>45023.0</v>
      </c>
    </row>
    <row r="131">
      <c r="A131" s="1545" t="s">
        <v>251</v>
      </c>
      <c r="B131" s="1587">
        <v>10208.0</v>
      </c>
      <c r="C131" s="1547">
        <v>1013.0</v>
      </c>
      <c r="D131" s="1548">
        <v>44.1</v>
      </c>
      <c r="E131" s="1549">
        <v>3953.0</v>
      </c>
      <c r="F131" s="1549">
        <v>5417.0</v>
      </c>
      <c r="G131" s="1549">
        <v>36.0</v>
      </c>
      <c r="H131" s="1549">
        <v>38.0</v>
      </c>
      <c r="I131" s="1549">
        <v>9.0</v>
      </c>
      <c r="J131" s="1549">
        <v>414.0</v>
      </c>
      <c r="K131" s="1550">
        <v>341.0</v>
      </c>
      <c r="L131" s="1551">
        <v>31787.0</v>
      </c>
    </row>
    <row r="132">
      <c r="A132" s="1545" t="s">
        <v>253</v>
      </c>
      <c r="B132" s="1587">
        <v>21446.0</v>
      </c>
      <c r="C132" s="1547">
        <v>1083.0</v>
      </c>
      <c r="D132" s="1548">
        <v>26.4</v>
      </c>
      <c r="E132" s="1549">
        <v>14316.0</v>
      </c>
      <c r="F132" s="1549">
        <v>5127.0</v>
      </c>
      <c r="G132" s="1549">
        <v>96.0</v>
      </c>
      <c r="H132" s="1549">
        <v>153.0</v>
      </c>
      <c r="I132" s="1549">
        <v>18.0</v>
      </c>
      <c r="J132" s="1549">
        <v>623.0</v>
      </c>
      <c r="K132" s="1550">
        <v>1113.0</v>
      </c>
      <c r="L132" s="1551">
        <v>45408.0</v>
      </c>
    </row>
    <row r="133">
      <c r="A133" s="1545" t="s">
        <v>112</v>
      </c>
      <c r="B133" s="1587">
        <v>14552.0</v>
      </c>
      <c r="C133" s="1563">
        <v>927.0</v>
      </c>
      <c r="D133" s="1548">
        <v>29.3</v>
      </c>
      <c r="E133" s="1549">
        <v>13731.0</v>
      </c>
      <c r="F133" s="1549">
        <v>42.0</v>
      </c>
      <c r="G133" s="1549">
        <v>44.0</v>
      </c>
      <c r="H133" s="1549">
        <v>15.0</v>
      </c>
      <c r="I133" s="1549">
        <v>8.0</v>
      </c>
      <c r="J133" s="1549">
        <v>97.0</v>
      </c>
      <c r="K133" s="1550">
        <v>615.0</v>
      </c>
      <c r="L133" s="1551">
        <v>37687.0</v>
      </c>
    </row>
    <row r="134">
      <c r="A134" s="1545" t="s">
        <v>115</v>
      </c>
      <c r="B134" s="1587">
        <v>24711.0</v>
      </c>
      <c r="C134" s="1547">
        <v>1107.0</v>
      </c>
      <c r="D134" s="1548">
        <v>23.8</v>
      </c>
      <c r="E134" s="1549">
        <v>22953.0</v>
      </c>
      <c r="F134" s="1549">
        <v>69.0</v>
      </c>
      <c r="G134" s="1549">
        <v>133.0</v>
      </c>
      <c r="H134" s="1549">
        <v>102.0</v>
      </c>
      <c r="I134" s="1549">
        <v>11.0</v>
      </c>
      <c r="J134" s="1549">
        <v>232.0</v>
      </c>
      <c r="K134" s="1550">
        <v>1211.0</v>
      </c>
      <c r="L134" s="1551">
        <v>44902.0</v>
      </c>
    </row>
    <row r="135">
      <c r="A135" s="1545" t="s">
        <v>257</v>
      </c>
      <c r="B135" s="1587">
        <v>7550.0</v>
      </c>
      <c r="C135" s="1563">
        <v>365.0</v>
      </c>
      <c r="D135" s="1556">
        <v>21.0</v>
      </c>
      <c r="E135" s="1549">
        <v>6466.0</v>
      </c>
      <c r="F135" s="1549">
        <v>686.0</v>
      </c>
      <c r="G135" s="1549">
        <v>35.0</v>
      </c>
      <c r="H135" s="1549">
        <v>7.0</v>
      </c>
      <c r="I135" s="1549">
        <v>1.0</v>
      </c>
      <c r="J135" s="1549">
        <v>87.0</v>
      </c>
      <c r="K135" s="1550">
        <v>268.0</v>
      </c>
      <c r="L135" s="1551">
        <v>47600.0</v>
      </c>
    </row>
    <row r="136">
      <c r="A136" s="1545" t="s">
        <v>258</v>
      </c>
      <c r="B136" s="1587">
        <v>22801.0</v>
      </c>
      <c r="C136" s="1547">
        <v>1308.0</v>
      </c>
      <c r="D136" s="1548">
        <v>27.6</v>
      </c>
      <c r="E136" s="1549">
        <v>13371.0</v>
      </c>
      <c r="F136" s="1549">
        <v>7866.0</v>
      </c>
      <c r="G136" s="1549">
        <v>74.0</v>
      </c>
      <c r="H136" s="1549">
        <v>168.0</v>
      </c>
      <c r="I136" s="1549">
        <v>0.0</v>
      </c>
      <c r="J136" s="1549">
        <v>481.0</v>
      </c>
      <c r="K136" s="1550">
        <v>841.0</v>
      </c>
      <c r="L136" s="1551">
        <v>40909.0</v>
      </c>
    </row>
    <row r="137">
      <c r="A137" s="1545" t="s">
        <v>260</v>
      </c>
      <c r="B137" s="1587">
        <v>20715.0</v>
      </c>
      <c r="C137" s="1547">
        <v>1214.0</v>
      </c>
      <c r="D137" s="1548">
        <v>26.5</v>
      </c>
      <c r="E137" s="1549">
        <v>16367.0</v>
      </c>
      <c r="F137" s="1549">
        <v>2209.0</v>
      </c>
      <c r="G137" s="1549">
        <v>167.0</v>
      </c>
      <c r="H137" s="1549">
        <v>90.0</v>
      </c>
      <c r="I137" s="1549">
        <v>8.0</v>
      </c>
      <c r="J137" s="1549">
        <v>433.0</v>
      </c>
      <c r="K137" s="1550">
        <v>1441.0</v>
      </c>
      <c r="L137" s="1551">
        <v>44565.0</v>
      </c>
    </row>
    <row r="138">
      <c r="A138" s="1545" t="s">
        <v>262</v>
      </c>
      <c r="B138" s="1587">
        <v>111231.0</v>
      </c>
      <c r="C138" s="1547">
        <v>6626.0</v>
      </c>
      <c r="D138" s="1548">
        <v>24.9</v>
      </c>
      <c r="E138" s="1557">
        <v>80639.0</v>
      </c>
      <c r="F138" s="598">
        <v>18473.0</v>
      </c>
      <c r="G138" s="598">
        <v>356.0</v>
      </c>
      <c r="H138" s="598">
        <v>1692.0</v>
      </c>
      <c r="I138" s="598">
        <v>61.0</v>
      </c>
      <c r="J138" s="598">
        <v>3446.0</v>
      </c>
      <c r="K138" s="1561">
        <v>6564.0</v>
      </c>
      <c r="L138" s="1555">
        <v>45615.0</v>
      </c>
    </row>
    <row r="139">
      <c r="A139" s="1545" t="s">
        <v>263</v>
      </c>
      <c r="B139" s="1587">
        <v>60133.0</v>
      </c>
      <c r="C139" s="1547">
        <v>3472.0</v>
      </c>
      <c r="D139" s="1548">
        <v>22.8</v>
      </c>
      <c r="E139" s="1549">
        <v>48610.0</v>
      </c>
      <c r="F139" s="1549">
        <v>897.0</v>
      </c>
      <c r="G139" s="1549">
        <v>1486.0</v>
      </c>
      <c r="H139" s="1549">
        <v>947.0</v>
      </c>
      <c r="I139" s="1549">
        <v>35.0</v>
      </c>
      <c r="J139" s="1549">
        <v>2342.0</v>
      </c>
      <c r="K139" s="1550">
        <v>5816.0</v>
      </c>
      <c r="L139" s="1551">
        <v>47363.0</v>
      </c>
    </row>
    <row r="140">
      <c r="A140" s="1545" t="s">
        <v>264</v>
      </c>
      <c r="B140" s="1587">
        <v>48163.0</v>
      </c>
      <c r="C140" s="1547">
        <v>3745.0</v>
      </c>
      <c r="D140" s="1556">
        <v>29.0</v>
      </c>
      <c r="E140" s="1549">
        <v>19276.0</v>
      </c>
      <c r="F140" s="1549">
        <v>25905.0</v>
      </c>
      <c r="G140" s="1549">
        <v>136.0</v>
      </c>
      <c r="H140" s="1549">
        <v>327.0</v>
      </c>
      <c r="I140" s="1549">
        <v>17.0</v>
      </c>
      <c r="J140" s="1549">
        <v>683.0</v>
      </c>
      <c r="K140" s="1550">
        <v>1819.0</v>
      </c>
      <c r="L140" s="1551">
        <v>42606.0</v>
      </c>
    </row>
    <row r="141">
      <c r="A141" s="1545" t="s">
        <v>266</v>
      </c>
      <c r="B141" s="1587">
        <v>16833.0</v>
      </c>
      <c r="C141" s="1547">
        <v>1054.0</v>
      </c>
      <c r="D141" s="1548">
        <v>27.6</v>
      </c>
      <c r="E141" s="1549">
        <v>12213.0</v>
      </c>
      <c r="F141" s="1549">
        <v>3658.0</v>
      </c>
      <c r="G141" s="1549">
        <v>48.0</v>
      </c>
      <c r="H141" s="1549">
        <v>102.0</v>
      </c>
      <c r="I141" s="1549">
        <v>5.0</v>
      </c>
      <c r="J141" s="1549">
        <v>146.0</v>
      </c>
      <c r="K141" s="1550">
        <v>661.0</v>
      </c>
      <c r="L141" s="1551">
        <v>41214.0</v>
      </c>
    </row>
    <row r="142">
      <c r="A142" s="1545" t="s">
        <v>130</v>
      </c>
      <c r="B142" s="1587">
        <v>6482.0</v>
      </c>
      <c r="C142" s="1563">
        <v>467.0</v>
      </c>
      <c r="D142" s="1548">
        <v>34.2</v>
      </c>
      <c r="E142" s="1549">
        <v>3487.0</v>
      </c>
      <c r="F142" s="1549">
        <v>2592.0</v>
      </c>
      <c r="G142" s="1549">
        <v>17.0</v>
      </c>
      <c r="H142" s="1549">
        <v>7.0</v>
      </c>
      <c r="I142" s="1549">
        <v>0.0</v>
      </c>
      <c r="J142" s="1549">
        <v>103.0</v>
      </c>
      <c r="K142" s="1550">
        <v>276.0</v>
      </c>
      <c r="L142" s="1551">
        <v>37259.0</v>
      </c>
    </row>
    <row r="143">
      <c r="A143" s="1545" t="s">
        <v>268</v>
      </c>
      <c r="B143" s="1587">
        <v>11395.0</v>
      </c>
      <c r="C143" s="1547">
        <v>1051.0</v>
      </c>
      <c r="D143" s="1548">
        <v>36.1</v>
      </c>
      <c r="E143" s="1549">
        <v>4845.0</v>
      </c>
      <c r="F143" s="1549">
        <v>5398.0</v>
      </c>
      <c r="G143" s="1549">
        <v>47.0</v>
      </c>
      <c r="H143" s="1549">
        <v>61.0</v>
      </c>
      <c r="I143" s="1549">
        <v>4.0</v>
      </c>
      <c r="J143" s="1549">
        <v>527.0</v>
      </c>
      <c r="K143" s="1550">
        <v>513.0</v>
      </c>
      <c r="L143" s="1551">
        <v>36132.0</v>
      </c>
    </row>
    <row r="144">
      <c r="A144" s="1545" t="s">
        <v>270</v>
      </c>
      <c r="B144" s="1587">
        <v>17350.0</v>
      </c>
      <c r="C144" s="1547">
        <v>1036.0</v>
      </c>
      <c r="D144" s="1548">
        <v>27.3</v>
      </c>
      <c r="E144" s="1549">
        <v>11291.0</v>
      </c>
      <c r="F144" s="1549">
        <v>4846.0</v>
      </c>
      <c r="G144" s="1549">
        <v>90.0</v>
      </c>
      <c r="H144" s="1549">
        <v>108.0</v>
      </c>
      <c r="I144" s="1549">
        <v>13.0</v>
      </c>
      <c r="J144" s="1549">
        <v>366.0</v>
      </c>
      <c r="K144" s="1550">
        <v>636.0</v>
      </c>
      <c r="L144" s="1551">
        <v>42494.0</v>
      </c>
    </row>
    <row r="145">
      <c r="A145" s="1545" t="s">
        <v>271</v>
      </c>
      <c r="B145" s="1587">
        <v>123498.0</v>
      </c>
      <c r="C145" s="1547">
        <v>4850.0</v>
      </c>
      <c r="D145" s="1548">
        <v>17.2</v>
      </c>
      <c r="E145" s="1557">
        <v>94088.0</v>
      </c>
      <c r="F145" s="598">
        <v>14384.0</v>
      </c>
      <c r="G145" s="598">
        <v>719.0</v>
      </c>
      <c r="H145" s="598">
        <v>1475.0</v>
      </c>
      <c r="I145" s="598">
        <v>73.0</v>
      </c>
      <c r="J145" s="598">
        <v>3337.0</v>
      </c>
      <c r="K145" s="1561">
        <v>9422.0</v>
      </c>
      <c r="L145" s="1555">
        <v>53882.0</v>
      </c>
    </row>
    <row r="146">
      <c r="A146" s="1545" t="s">
        <v>136</v>
      </c>
      <c r="B146" s="1587">
        <v>17097.0</v>
      </c>
      <c r="C146" s="1563">
        <v>928.0</v>
      </c>
      <c r="D146" s="1548">
        <v>23.2</v>
      </c>
      <c r="E146" s="1549">
        <v>15367.0</v>
      </c>
      <c r="F146" s="1549">
        <v>79.0</v>
      </c>
      <c r="G146" s="1549">
        <v>214.0</v>
      </c>
      <c r="H146" s="1549">
        <v>163.0</v>
      </c>
      <c r="I146" s="1549">
        <v>10.0</v>
      </c>
      <c r="J146" s="1549">
        <v>183.0</v>
      </c>
      <c r="K146" s="1550">
        <v>1081.0</v>
      </c>
      <c r="L146" s="1551">
        <v>43696.0</v>
      </c>
    </row>
    <row r="147">
      <c r="A147" s="1545" t="s">
        <v>275</v>
      </c>
      <c r="B147" s="1587">
        <v>12075.0</v>
      </c>
      <c r="C147" s="1563">
        <v>810.0</v>
      </c>
      <c r="D147" s="1548">
        <v>32.8</v>
      </c>
      <c r="E147" s="1549">
        <v>11249.0</v>
      </c>
      <c r="F147" s="1549">
        <v>27.0</v>
      </c>
      <c r="G147" s="1549">
        <v>66.0</v>
      </c>
      <c r="H147" s="1549">
        <v>35.0</v>
      </c>
      <c r="I147" s="1549">
        <v>0.0</v>
      </c>
      <c r="J147" s="1549">
        <v>63.0</v>
      </c>
      <c r="K147" s="1550">
        <v>635.0</v>
      </c>
      <c r="L147" s="1551">
        <v>35630.0</v>
      </c>
    </row>
    <row r="148">
      <c r="A148" s="1545" t="s">
        <v>277</v>
      </c>
      <c r="B148" s="1587">
        <v>100180.0</v>
      </c>
      <c r="C148" s="1547">
        <v>6872.0</v>
      </c>
      <c r="D148" s="1548">
        <v>35.4</v>
      </c>
      <c r="E148" s="1557">
        <v>78837.0</v>
      </c>
      <c r="F148" s="598">
        <v>8128.0</v>
      </c>
      <c r="G148" s="598">
        <v>802.0</v>
      </c>
      <c r="H148" s="598">
        <v>972.0</v>
      </c>
      <c r="I148" s="598">
        <v>71.0</v>
      </c>
      <c r="J148" s="598">
        <v>3371.0</v>
      </c>
      <c r="K148" s="1561">
        <v>7999.0</v>
      </c>
      <c r="L148" s="1555">
        <v>43610.0</v>
      </c>
    </row>
    <row r="149">
      <c r="A149" s="1545" t="s">
        <v>278</v>
      </c>
      <c r="B149" s="1587">
        <v>17958.0</v>
      </c>
      <c r="C149" s="1563">
        <v>735.0</v>
      </c>
      <c r="D149" s="1548">
        <v>18.3</v>
      </c>
      <c r="E149" s="1549">
        <v>16304.0</v>
      </c>
      <c r="F149" s="1549">
        <v>458.0</v>
      </c>
      <c r="G149" s="1549">
        <v>81.0</v>
      </c>
      <c r="H149" s="1549">
        <v>77.0</v>
      </c>
      <c r="I149" s="1549">
        <v>1.0</v>
      </c>
      <c r="J149" s="1549">
        <v>178.0</v>
      </c>
      <c r="K149" s="1550">
        <v>859.0</v>
      </c>
      <c r="L149" s="1551">
        <v>52050.0</v>
      </c>
    </row>
    <row r="150">
      <c r="A150" s="1545" t="s">
        <v>138</v>
      </c>
      <c r="B150" s="1587">
        <v>45736.0</v>
      </c>
      <c r="C150" s="1547">
        <v>2543.0</v>
      </c>
      <c r="D150" s="1548">
        <v>23.5</v>
      </c>
      <c r="E150" s="1549">
        <v>41038.0</v>
      </c>
      <c r="F150" s="1549">
        <v>933.0</v>
      </c>
      <c r="G150" s="1549">
        <v>163.0</v>
      </c>
      <c r="H150" s="1549">
        <v>181.0</v>
      </c>
      <c r="I150" s="1549">
        <v>292.0</v>
      </c>
      <c r="J150" s="1549">
        <v>699.0</v>
      </c>
      <c r="K150" s="1550">
        <v>2430.0</v>
      </c>
      <c r="L150" s="1551">
        <v>46512.0</v>
      </c>
    </row>
    <row r="151">
      <c r="A151" s="1545" t="s">
        <v>279</v>
      </c>
      <c r="B151" s="1587">
        <v>20065.0</v>
      </c>
      <c r="C151" s="1547">
        <v>1708.0</v>
      </c>
      <c r="D151" s="1548">
        <v>30.9</v>
      </c>
      <c r="E151" s="1549">
        <v>11006.0</v>
      </c>
      <c r="F151" s="1549">
        <v>5683.0</v>
      </c>
      <c r="G151" s="1549">
        <v>140.0</v>
      </c>
      <c r="H151" s="1549">
        <v>96.0</v>
      </c>
      <c r="I151" s="1549">
        <v>5.0</v>
      </c>
      <c r="J151" s="1549">
        <v>1783.0</v>
      </c>
      <c r="K151" s="1550">
        <v>1352.0</v>
      </c>
      <c r="L151" s="1551">
        <v>38682.0</v>
      </c>
    </row>
    <row r="152">
      <c r="A152" s="1545" t="s">
        <v>280</v>
      </c>
      <c r="B152" s="1587">
        <v>33040.0</v>
      </c>
      <c r="C152" s="1547">
        <v>1937.0</v>
      </c>
      <c r="D152" s="1548">
        <v>29.7</v>
      </c>
      <c r="E152" s="1549">
        <v>26525.0</v>
      </c>
      <c r="F152" s="1549">
        <v>3472.0</v>
      </c>
      <c r="G152" s="1549">
        <v>189.0</v>
      </c>
      <c r="H152" s="1549">
        <v>114.0</v>
      </c>
      <c r="I152" s="1549">
        <v>11.0</v>
      </c>
      <c r="J152" s="1549">
        <v>659.0</v>
      </c>
      <c r="K152" s="1550">
        <v>2070.0</v>
      </c>
      <c r="L152" s="1551">
        <v>47205.0</v>
      </c>
    </row>
    <row r="153">
      <c r="A153" s="1545" t="s">
        <v>283</v>
      </c>
      <c r="B153" s="1587">
        <v>12785.0</v>
      </c>
      <c r="C153" s="1563">
        <v>933.0</v>
      </c>
      <c r="D153" s="1548">
        <v>27.3</v>
      </c>
      <c r="E153" s="1549">
        <v>8164.0</v>
      </c>
      <c r="F153" s="1549">
        <v>2642.0</v>
      </c>
      <c r="G153" s="1549">
        <v>114.0</v>
      </c>
      <c r="H153" s="1549">
        <v>63.0</v>
      </c>
      <c r="I153" s="1549">
        <v>6.0</v>
      </c>
      <c r="J153" s="1549">
        <v>1036.0</v>
      </c>
      <c r="K153" s="1550">
        <v>760.0</v>
      </c>
      <c r="L153" s="1551">
        <v>40199.0</v>
      </c>
    </row>
    <row r="154">
      <c r="A154" s="1545" t="s">
        <v>284</v>
      </c>
      <c r="B154" s="1587">
        <v>37938.0</v>
      </c>
      <c r="C154" s="1547">
        <v>1804.0</v>
      </c>
      <c r="D154" s="1548">
        <v>20.3</v>
      </c>
      <c r="E154" s="1549">
        <v>32108.0</v>
      </c>
      <c r="F154" s="1549">
        <v>849.0</v>
      </c>
      <c r="G154" s="1549">
        <v>243.0</v>
      </c>
      <c r="H154" s="1549">
        <v>345.0</v>
      </c>
      <c r="I154" s="1549">
        <v>33.0</v>
      </c>
      <c r="J154" s="1549">
        <v>1934.0</v>
      </c>
      <c r="K154" s="1550">
        <v>2426.0</v>
      </c>
      <c r="L154" s="1551">
        <v>45596.0</v>
      </c>
    </row>
    <row r="155">
      <c r="A155" s="1545" t="s">
        <v>285</v>
      </c>
      <c r="B155" s="1587">
        <v>13577.0</v>
      </c>
      <c r="C155" s="1563">
        <v>671.0</v>
      </c>
      <c r="D155" s="1548">
        <v>27.9</v>
      </c>
      <c r="E155" s="1549">
        <v>12306.0</v>
      </c>
      <c r="F155" s="1549">
        <v>256.0</v>
      </c>
      <c r="G155" s="1549">
        <v>87.0</v>
      </c>
      <c r="H155" s="1549">
        <v>27.0</v>
      </c>
      <c r="I155" s="1549">
        <v>11.0</v>
      </c>
      <c r="J155" s="1549">
        <v>123.0</v>
      </c>
      <c r="K155" s="1550">
        <v>767.0</v>
      </c>
      <c r="L155" s="1551">
        <v>37828.0</v>
      </c>
    </row>
    <row r="156">
      <c r="A156" s="1545" t="s">
        <v>142</v>
      </c>
      <c r="B156" s="1587">
        <v>16755.0</v>
      </c>
      <c r="C156" s="1547">
        <v>1012.0</v>
      </c>
      <c r="D156" s="1548">
        <v>30.4</v>
      </c>
      <c r="E156" s="1549">
        <v>12890.0</v>
      </c>
      <c r="F156" s="1549">
        <v>2786.0</v>
      </c>
      <c r="G156" s="1549">
        <v>47.0</v>
      </c>
      <c r="H156" s="1549">
        <v>63.0</v>
      </c>
      <c r="I156" s="1549">
        <v>4.0</v>
      </c>
      <c r="J156" s="1549">
        <v>267.0</v>
      </c>
      <c r="K156" s="1550">
        <v>698.0</v>
      </c>
      <c r="L156" s="1551">
        <v>36573.0</v>
      </c>
    </row>
    <row r="157">
      <c r="A157" s="1545" t="s">
        <v>143</v>
      </c>
      <c r="B157" s="1587">
        <v>67260.0</v>
      </c>
      <c r="C157" s="1547">
        <v>4976.0</v>
      </c>
      <c r="D157" s="1548">
        <v>33.8</v>
      </c>
      <c r="E157" s="1557">
        <v>25478.0</v>
      </c>
      <c r="F157" s="598">
        <v>37835.0</v>
      </c>
      <c r="G157" s="598">
        <v>240.0</v>
      </c>
      <c r="H157" s="598">
        <v>673.0</v>
      </c>
      <c r="I157" s="598">
        <v>94.0</v>
      </c>
      <c r="J157" s="598">
        <v>869.0</v>
      </c>
      <c r="K157" s="1561">
        <v>2071.0</v>
      </c>
      <c r="L157" s="1555">
        <v>38596.0</v>
      </c>
    </row>
    <row r="158">
      <c r="A158" s="1545" t="s">
        <v>288</v>
      </c>
      <c r="B158" s="1587">
        <v>25749.0</v>
      </c>
      <c r="C158" s="1547">
        <v>2173.0</v>
      </c>
      <c r="D158" s="1548">
        <v>33.5</v>
      </c>
      <c r="E158" s="1557">
        <v>20088.0</v>
      </c>
      <c r="F158" s="598">
        <v>482.0</v>
      </c>
      <c r="G158" s="598">
        <v>274.0</v>
      </c>
      <c r="H158" s="598">
        <v>926.0</v>
      </c>
      <c r="I158" s="598">
        <v>36.0</v>
      </c>
      <c r="J158" s="598">
        <v>1952.0</v>
      </c>
      <c r="K158" s="1561">
        <v>1991.0</v>
      </c>
      <c r="L158" s="1551">
        <v>39381.0</v>
      </c>
    </row>
    <row r="159">
      <c r="A159" s="1545" t="s">
        <v>289</v>
      </c>
      <c r="B159" s="1587">
        <v>6308.0</v>
      </c>
      <c r="C159" s="1563">
        <v>414.0</v>
      </c>
      <c r="D159" s="1548">
        <v>34.8</v>
      </c>
      <c r="E159" s="1557">
        <v>3906.0</v>
      </c>
      <c r="F159" s="598">
        <v>2057.0</v>
      </c>
      <c r="G159" s="598">
        <v>36.0</v>
      </c>
      <c r="H159" s="598">
        <v>32.0</v>
      </c>
      <c r="I159" s="598">
        <v>5.0</v>
      </c>
      <c r="J159" s="598">
        <v>48.0</v>
      </c>
      <c r="K159" s="1561">
        <v>224.0</v>
      </c>
      <c r="L159" s="1551">
        <v>35527.0</v>
      </c>
    </row>
    <row r="160">
      <c r="A160" s="1545" t="s">
        <v>146</v>
      </c>
      <c r="B160" s="1587">
        <v>16216.0</v>
      </c>
      <c r="C160" s="1563">
        <v>944.0</v>
      </c>
      <c r="D160" s="1548">
        <v>26.8</v>
      </c>
      <c r="E160" s="1557">
        <v>15044.0</v>
      </c>
      <c r="F160" s="598">
        <v>143.0</v>
      </c>
      <c r="G160" s="598">
        <v>52.0</v>
      </c>
      <c r="H160" s="598">
        <v>39.0</v>
      </c>
      <c r="I160" s="598">
        <v>12.0</v>
      </c>
      <c r="J160" s="598">
        <v>175.0</v>
      </c>
      <c r="K160" s="1561">
        <v>751.0</v>
      </c>
      <c r="L160" s="1551">
        <v>40308.0</v>
      </c>
    </row>
    <row r="161">
      <c r="A161" s="1545" t="s">
        <v>147</v>
      </c>
      <c r="B161" s="1587">
        <v>8600.0</v>
      </c>
      <c r="C161" s="1563">
        <v>815.0</v>
      </c>
      <c r="D161" s="1548">
        <v>50.9</v>
      </c>
      <c r="E161" s="1557">
        <v>3465.0</v>
      </c>
      <c r="F161" s="598">
        <v>4663.0</v>
      </c>
      <c r="G161" s="598">
        <v>39.0</v>
      </c>
      <c r="H161" s="598">
        <v>13.0</v>
      </c>
      <c r="I161" s="598">
        <v>2.0</v>
      </c>
      <c r="J161" s="598">
        <v>121.0</v>
      </c>
      <c r="K161" s="1561">
        <v>297.0</v>
      </c>
      <c r="L161" s="1551">
        <v>28080.0</v>
      </c>
    </row>
    <row r="162">
      <c r="A162" s="1545" t="s">
        <v>290</v>
      </c>
      <c r="B162" s="1587">
        <v>12941.0</v>
      </c>
      <c r="C162" s="1563">
        <v>602.0</v>
      </c>
      <c r="D162" s="1548">
        <v>27.1</v>
      </c>
      <c r="E162" s="1557">
        <v>8324.0</v>
      </c>
      <c r="F162" s="598">
        <v>3652.0</v>
      </c>
      <c r="G162" s="598">
        <v>41.0</v>
      </c>
      <c r="H162" s="598">
        <v>23.0</v>
      </c>
      <c r="I162" s="598">
        <v>9.0</v>
      </c>
      <c r="J162" s="598">
        <v>384.0</v>
      </c>
      <c r="K162" s="1561">
        <v>508.0</v>
      </c>
      <c r="L162" s="1551">
        <v>44951.0</v>
      </c>
    </row>
    <row r="163">
      <c r="A163" s="1545" t="s">
        <v>291</v>
      </c>
      <c r="B163" s="1587">
        <v>12026.0</v>
      </c>
      <c r="C163" s="1563">
        <v>651.0</v>
      </c>
      <c r="D163" s="1548">
        <v>24.1</v>
      </c>
      <c r="E163" s="1557">
        <v>8714.0</v>
      </c>
      <c r="F163" s="598">
        <v>2178.0</v>
      </c>
      <c r="G163" s="598">
        <v>170.0</v>
      </c>
      <c r="H163" s="598">
        <v>23.0</v>
      </c>
      <c r="I163" s="598">
        <v>9.0</v>
      </c>
      <c r="J163" s="598">
        <v>171.0</v>
      </c>
      <c r="K163" s="1561">
        <v>761.0</v>
      </c>
      <c r="L163" s="1551">
        <v>43559.0</v>
      </c>
    </row>
    <row r="164">
      <c r="A164" s="1545" t="s">
        <v>293</v>
      </c>
      <c r="B164" s="1587">
        <v>21131.0</v>
      </c>
      <c r="C164" s="1547">
        <v>1324.0</v>
      </c>
      <c r="D164" s="1548">
        <v>29.5</v>
      </c>
      <c r="E164" s="1557">
        <v>18826.0</v>
      </c>
      <c r="F164" s="598">
        <v>232.0</v>
      </c>
      <c r="G164" s="598">
        <v>241.0</v>
      </c>
      <c r="H164" s="598">
        <v>328.0</v>
      </c>
      <c r="I164" s="598">
        <v>8.0</v>
      </c>
      <c r="J164" s="598">
        <v>225.0</v>
      </c>
      <c r="K164" s="1561">
        <v>1271.0</v>
      </c>
      <c r="L164" s="1551">
        <v>41471.0</v>
      </c>
    </row>
    <row r="165">
      <c r="A165" s="1545" t="s">
        <v>294</v>
      </c>
      <c r="B165" s="1587">
        <v>74015.0</v>
      </c>
      <c r="C165" s="1547">
        <v>2976.0</v>
      </c>
      <c r="D165" s="1548">
        <v>15.9</v>
      </c>
      <c r="E165" s="1557">
        <v>61624.0</v>
      </c>
      <c r="F165" s="598">
        <v>4386.0</v>
      </c>
      <c r="G165" s="598">
        <v>368.0</v>
      </c>
      <c r="H165" s="598">
        <v>733.0</v>
      </c>
      <c r="I165" s="598">
        <v>50.0</v>
      </c>
      <c r="J165" s="598">
        <v>1485.0</v>
      </c>
      <c r="K165" s="1561">
        <v>5369.0</v>
      </c>
      <c r="L165" s="1555">
        <v>56651.0</v>
      </c>
    </row>
    <row r="166">
      <c r="A166" s="1545" t="s">
        <v>151</v>
      </c>
      <c r="B166" s="1587">
        <v>16521.0</v>
      </c>
      <c r="C166" s="1547">
        <v>1015.0</v>
      </c>
      <c r="D166" s="1548">
        <v>26.5</v>
      </c>
      <c r="E166" s="1557">
        <v>14275.0</v>
      </c>
      <c r="F166" s="598">
        <v>41.0</v>
      </c>
      <c r="G166" s="598">
        <v>235.0</v>
      </c>
      <c r="H166" s="598">
        <v>102.0</v>
      </c>
      <c r="I166" s="598">
        <v>246.0</v>
      </c>
      <c r="J166" s="598">
        <v>473.0</v>
      </c>
      <c r="K166" s="1561">
        <v>1149.0</v>
      </c>
      <c r="L166" s="1551">
        <v>42674.0</v>
      </c>
    </row>
    <row r="167">
      <c r="A167" s="1545" t="s">
        <v>153</v>
      </c>
      <c r="B167" s="1587">
        <v>16826.0</v>
      </c>
      <c r="C167" s="1563">
        <v>978.0</v>
      </c>
      <c r="D167" s="1556">
        <v>32.0</v>
      </c>
      <c r="E167" s="1557">
        <v>15569.0</v>
      </c>
      <c r="F167" s="598">
        <v>20.0</v>
      </c>
      <c r="G167" s="598">
        <v>138.0</v>
      </c>
      <c r="H167" s="598">
        <v>56.0</v>
      </c>
      <c r="I167" s="598">
        <v>5.0</v>
      </c>
      <c r="J167" s="598">
        <v>77.0</v>
      </c>
      <c r="K167" s="1561">
        <v>961.0</v>
      </c>
      <c r="L167" s="1551">
        <v>36581.0</v>
      </c>
    </row>
    <row r="168">
      <c r="A168" s="1545" t="s">
        <v>295</v>
      </c>
      <c r="B168" s="1587">
        <v>42600.0</v>
      </c>
      <c r="C168" s="1547">
        <v>3290.0</v>
      </c>
      <c r="D168" s="1548">
        <v>32.7</v>
      </c>
      <c r="E168" s="1557">
        <v>28036.0</v>
      </c>
      <c r="F168" s="598">
        <v>10988.0</v>
      </c>
      <c r="G168" s="598">
        <v>281.0</v>
      </c>
      <c r="H168" s="598">
        <v>205.0</v>
      </c>
      <c r="I168" s="598">
        <v>4.0</v>
      </c>
      <c r="J168" s="598">
        <v>745.0</v>
      </c>
      <c r="K168" s="1561">
        <v>2341.0</v>
      </c>
      <c r="L168" s="1551">
        <v>42162.0</v>
      </c>
    </row>
    <row r="169">
      <c r="A169" s="1545" t="s">
        <v>67</v>
      </c>
      <c r="B169" s="1587">
        <v>40685.0</v>
      </c>
      <c r="C169" s="1547">
        <v>3782.0</v>
      </c>
      <c r="D169" s="1548">
        <v>35.9</v>
      </c>
      <c r="E169" s="1557">
        <v>23208.0</v>
      </c>
      <c r="F169" s="598">
        <v>14323.0</v>
      </c>
      <c r="G169" s="598">
        <v>99.0</v>
      </c>
      <c r="H169" s="598">
        <v>245.0</v>
      </c>
      <c r="I169" s="598">
        <v>8.0</v>
      </c>
      <c r="J169" s="598">
        <v>1025.0</v>
      </c>
      <c r="K169" s="1561">
        <v>1777.0</v>
      </c>
      <c r="L169" s="1551">
        <v>36718.0</v>
      </c>
    </row>
    <row r="170">
      <c r="A170" s="1545" t="s">
        <v>156</v>
      </c>
      <c r="B170" s="1587">
        <v>6799.0</v>
      </c>
      <c r="C170" s="1563">
        <v>557.0</v>
      </c>
      <c r="D170" s="1548">
        <v>38.9</v>
      </c>
      <c r="E170" s="1557">
        <v>3568.0</v>
      </c>
      <c r="F170" s="598">
        <v>2760.0</v>
      </c>
      <c r="G170" s="598">
        <v>35.0</v>
      </c>
      <c r="H170" s="598">
        <v>28.0</v>
      </c>
      <c r="I170" s="598">
        <v>7.0</v>
      </c>
      <c r="J170" s="598">
        <v>144.0</v>
      </c>
      <c r="K170" s="1561">
        <v>257.0</v>
      </c>
      <c r="L170" s="1551">
        <v>32922.0</v>
      </c>
    </row>
    <row r="171">
      <c r="A171" s="1545" t="s">
        <v>157</v>
      </c>
      <c r="B171" s="1587">
        <v>8484.0</v>
      </c>
      <c r="C171" s="1563">
        <v>495.0</v>
      </c>
      <c r="D171" s="1548">
        <v>30.8</v>
      </c>
      <c r="E171" s="1557">
        <v>7577.0</v>
      </c>
      <c r="F171" s="598">
        <v>18.0</v>
      </c>
      <c r="G171" s="598">
        <v>103.0</v>
      </c>
      <c r="H171" s="598">
        <v>50.0</v>
      </c>
      <c r="I171" s="598">
        <v>5.0</v>
      </c>
      <c r="J171" s="598">
        <v>226.0</v>
      </c>
      <c r="K171" s="1561">
        <v>505.0</v>
      </c>
      <c r="L171" s="1551">
        <v>38318.0</v>
      </c>
    </row>
    <row r="172">
      <c r="A172" s="1545" t="s">
        <v>82</v>
      </c>
      <c r="B172" s="1587">
        <v>8310.0</v>
      </c>
      <c r="C172" s="1563">
        <v>558.0</v>
      </c>
      <c r="D172" s="1548">
        <v>30.0</v>
      </c>
      <c r="E172" s="1557">
        <v>5218.0</v>
      </c>
      <c r="F172" s="598">
        <v>2444.0</v>
      </c>
      <c r="G172" s="598">
        <v>45.0</v>
      </c>
      <c r="H172" s="598">
        <v>45.0</v>
      </c>
      <c r="I172" s="598">
        <v>0.0</v>
      </c>
      <c r="J172" s="598">
        <v>175.0</v>
      </c>
      <c r="K172" s="1561">
        <v>383.0</v>
      </c>
      <c r="L172" s="1551">
        <v>37626.0</v>
      </c>
    </row>
    <row r="173">
      <c r="A173" s="1545" t="s">
        <v>297</v>
      </c>
      <c r="B173" s="1587">
        <v>7225.0</v>
      </c>
      <c r="C173" s="1563">
        <v>483.0</v>
      </c>
      <c r="D173" s="1548">
        <v>32.9</v>
      </c>
      <c r="E173" s="1557">
        <v>6689.0</v>
      </c>
      <c r="F173" s="598">
        <v>7.0</v>
      </c>
      <c r="G173" s="598">
        <v>71.0</v>
      </c>
      <c r="H173" s="598">
        <v>24.0</v>
      </c>
      <c r="I173" s="598">
        <v>2.0</v>
      </c>
      <c r="J173" s="598">
        <v>31.0</v>
      </c>
      <c r="K173" s="1561">
        <v>401.0</v>
      </c>
      <c r="L173" s="1551">
        <v>36078.0</v>
      </c>
    </row>
    <row r="174">
      <c r="A174" s="1545" t="s">
        <v>298</v>
      </c>
      <c r="B174" s="1587">
        <v>22650.0</v>
      </c>
      <c r="C174" s="1547">
        <v>1699.0</v>
      </c>
      <c r="D174" s="1548">
        <v>32.7</v>
      </c>
      <c r="E174" s="1557">
        <v>12194.0</v>
      </c>
      <c r="F174" s="598">
        <v>8899.0</v>
      </c>
      <c r="G174" s="598">
        <v>71.0</v>
      </c>
      <c r="H174" s="598">
        <v>126.0</v>
      </c>
      <c r="I174" s="598">
        <v>3.0</v>
      </c>
      <c r="J174" s="598">
        <v>225.0</v>
      </c>
      <c r="K174" s="1561">
        <v>1132.0</v>
      </c>
      <c r="L174" s="1551">
        <v>37624.0</v>
      </c>
    </row>
    <row r="175">
      <c r="A175" s="1545" t="s">
        <v>159</v>
      </c>
      <c r="B175" s="1587">
        <v>10019.0</v>
      </c>
      <c r="C175" s="1563">
        <v>536.0</v>
      </c>
      <c r="D175" s="1548">
        <v>23.7</v>
      </c>
      <c r="E175" s="1557">
        <v>9165.0</v>
      </c>
      <c r="F175" s="598">
        <v>107.0</v>
      </c>
      <c r="G175" s="598">
        <v>54.0</v>
      </c>
      <c r="H175" s="598">
        <v>12.0</v>
      </c>
      <c r="I175" s="598">
        <v>1.0</v>
      </c>
      <c r="J175" s="598">
        <v>113.0</v>
      </c>
      <c r="K175" s="1561">
        <v>567.0</v>
      </c>
      <c r="L175" s="1551">
        <v>45342.0</v>
      </c>
    </row>
    <row r="176">
      <c r="A176" s="1545" t="s">
        <v>300</v>
      </c>
      <c r="B176" s="1587">
        <v>16568.0</v>
      </c>
      <c r="C176" s="1547">
        <v>2189.0</v>
      </c>
      <c r="D176" s="1548">
        <v>47.9</v>
      </c>
      <c r="E176" s="1557">
        <v>5616.0</v>
      </c>
      <c r="F176" s="598">
        <v>10343.0</v>
      </c>
      <c r="G176" s="598">
        <v>44.0</v>
      </c>
      <c r="H176" s="598">
        <v>65.0</v>
      </c>
      <c r="I176" s="598">
        <v>4.0</v>
      </c>
      <c r="J176" s="598">
        <v>87.0</v>
      </c>
      <c r="K176" s="1561">
        <v>409.0</v>
      </c>
      <c r="L176" s="1551">
        <v>29945.0</v>
      </c>
    </row>
    <row r="177">
      <c r="A177" s="1545" t="s">
        <v>162</v>
      </c>
      <c r="B177" s="1587">
        <v>10171.0</v>
      </c>
      <c r="C177" s="1563">
        <v>619.0</v>
      </c>
      <c r="D177" s="1548">
        <v>27.9</v>
      </c>
      <c r="E177" s="1557">
        <v>8681.0</v>
      </c>
      <c r="F177" s="598">
        <v>241.0</v>
      </c>
      <c r="G177" s="598">
        <v>94.0</v>
      </c>
      <c r="H177" s="598">
        <v>16.0</v>
      </c>
      <c r="I177" s="598">
        <v>2.0</v>
      </c>
      <c r="J177" s="598">
        <v>509.0</v>
      </c>
      <c r="K177" s="1561">
        <v>628.0</v>
      </c>
      <c r="L177" s="1551">
        <v>41534.0</v>
      </c>
    </row>
    <row r="178">
      <c r="A178" s="1545" t="s">
        <v>301</v>
      </c>
      <c r="B178" s="1587">
        <v>22965.0</v>
      </c>
      <c r="C178" s="1547">
        <v>1993.0</v>
      </c>
      <c r="D178" s="1548">
        <v>35.2</v>
      </c>
      <c r="E178" s="1557">
        <v>19391.0</v>
      </c>
      <c r="F178" s="598">
        <v>1783.0</v>
      </c>
      <c r="G178" s="598">
        <v>102.0</v>
      </c>
      <c r="H178" s="598">
        <v>61.0</v>
      </c>
      <c r="I178" s="598">
        <v>1.0</v>
      </c>
      <c r="J178" s="598">
        <v>461.0</v>
      </c>
      <c r="K178" s="1561">
        <v>1166.0</v>
      </c>
      <c r="L178" s="1551">
        <v>37370.0</v>
      </c>
    </row>
    <row r="179">
      <c r="A179" s="1545" t="s">
        <v>302</v>
      </c>
      <c r="B179" s="1587">
        <v>19221.0</v>
      </c>
      <c r="C179" s="1547">
        <v>1333.0</v>
      </c>
      <c r="D179" s="1548">
        <v>29.7</v>
      </c>
      <c r="E179" s="1557">
        <v>16428.0</v>
      </c>
      <c r="F179" s="598">
        <v>43.0</v>
      </c>
      <c r="G179" s="598">
        <v>366.0</v>
      </c>
      <c r="H179" s="598">
        <v>100.0</v>
      </c>
      <c r="I179" s="598">
        <v>9.0</v>
      </c>
      <c r="J179" s="598">
        <v>617.0</v>
      </c>
      <c r="K179" s="1561">
        <v>1658.0</v>
      </c>
      <c r="L179" s="1551">
        <v>39048.0</v>
      </c>
    </row>
    <row r="180">
      <c r="A180" s="1545" t="s">
        <v>303</v>
      </c>
      <c r="B180" s="1587">
        <v>63381.0</v>
      </c>
      <c r="C180" s="1547">
        <v>2910.0</v>
      </c>
      <c r="D180" s="1548">
        <v>20.4</v>
      </c>
      <c r="E180" s="1557">
        <v>51409.0</v>
      </c>
      <c r="F180" s="598">
        <v>2100.0</v>
      </c>
      <c r="G180" s="598">
        <v>609.0</v>
      </c>
      <c r="H180" s="598">
        <v>679.0</v>
      </c>
      <c r="I180" s="598">
        <v>23.0</v>
      </c>
      <c r="J180" s="598">
        <v>3399.0</v>
      </c>
      <c r="K180" s="1561">
        <v>5162.0</v>
      </c>
      <c r="L180" s="1551">
        <v>45788.0</v>
      </c>
    </row>
    <row r="181">
      <c r="A181" s="1545" t="s">
        <v>304</v>
      </c>
      <c r="B181" s="1587">
        <v>8282.0</v>
      </c>
      <c r="C181" s="1563">
        <v>384.0</v>
      </c>
      <c r="D181" s="1548">
        <v>24.1</v>
      </c>
      <c r="E181" s="1557">
        <v>6964.0</v>
      </c>
      <c r="F181" s="598">
        <v>925.0</v>
      </c>
      <c r="G181" s="598">
        <v>23.0</v>
      </c>
      <c r="H181" s="598">
        <v>21.0</v>
      </c>
      <c r="I181" s="598">
        <v>3.0</v>
      </c>
      <c r="J181" s="598">
        <v>44.0</v>
      </c>
      <c r="K181" s="1561">
        <v>302.0</v>
      </c>
      <c r="L181" s="1551">
        <v>43245.0</v>
      </c>
    </row>
    <row r="182">
      <c r="A182" s="1545" t="s">
        <v>305</v>
      </c>
      <c r="B182" s="1587">
        <v>399125.0</v>
      </c>
      <c r="C182" s="1547">
        <v>23132.0</v>
      </c>
      <c r="D182" s="1548">
        <v>25.9</v>
      </c>
      <c r="E182" s="1557">
        <v>199197.0</v>
      </c>
      <c r="F182" s="598">
        <v>143548.0</v>
      </c>
      <c r="G182" s="598">
        <v>2226.0</v>
      </c>
      <c r="H182" s="598">
        <v>10035.0</v>
      </c>
      <c r="I182" s="598">
        <v>225.0</v>
      </c>
      <c r="J182" s="598">
        <v>18600.0</v>
      </c>
      <c r="K182" s="1561">
        <v>25294.0</v>
      </c>
      <c r="L182" s="1555">
        <v>49957.0</v>
      </c>
    </row>
    <row r="183">
      <c r="A183" s="1545" t="s">
        <v>163</v>
      </c>
      <c r="B183" s="1587">
        <v>18571.0</v>
      </c>
      <c r="C183" s="1547">
        <v>1078.0</v>
      </c>
      <c r="D183" s="1548">
        <v>26.5</v>
      </c>
      <c r="E183" s="1557">
        <v>16684.0</v>
      </c>
      <c r="F183" s="598">
        <v>140.0</v>
      </c>
      <c r="G183" s="598">
        <v>87.0</v>
      </c>
      <c r="H183" s="598">
        <v>75.0</v>
      </c>
      <c r="I183" s="598">
        <v>596.0</v>
      </c>
      <c r="J183" s="598">
        <v>139.0</v>
      </c>
      <c r="K183" s="1561">
        <v>850.0</v>
      </c>
      <c r="L183" s="1551">
        <v>37799.0</v>
      </c>
    </row>
    <row r="184">
      <c r="A184" s="1545" t="s">
        <v>1335</v>
      </c>
      <c r="B184" s="1587">
        <v>23090.0</v>
      </c>
      <c r="C184" s="1547">
        <v>2425.0</v>
      </c>
      <c r="D184" s="1548">
        <v>46.0</v>
      </c>
      <c r="E184" s="1557">
        <v>9551.0</v>
      </c>
      <c r="F184" s="598">
        <v>12561.0</v>
      </c>
      <c r="G184" s="598">
        <v>65.0</v>
      </c>
      <c r="H184" s="598">
        <v>127.0</v>
      </c>
      <c r="I184" s="598">
        <v>8.0</v>
      </c>
      <c r="J184" s="598">
        <v>189.0</v>
      </c>
      <c r="K184" s="1561">
        <v>589.0</v>
      </c>
      <c r="L184" s="1551">
        <v>33257.0</v>
      </c>
    </row>
    <row r="185">
      <c r="A185" s="1545" t="s">
        <v>308</v>
      </c>
      <c r="B185" s="1587">
        <v>123416.0</v>
      </c>
      <c r="C185" s="1547">
        <v>3606.0</v>
      </c>
      <c r="D185" s="1548">
        <v>13.0</v>
      </c>
      <c r="E185" s="1557">
        <v>98388.0</v>
      </c>
      <c r="F185" s="598">
        <v>10414.0</v>
      </c>
      <c r="G185" s="598">
        <v>833.0</v>
      </c>
      <c r="H185" s="598">
        <v>1467.0</v>
      </c>
      <c r="I185" s="598">
        <v>71.0</v>
      </c>
      <c r="J185" s="598">
        <v>4268.0</v>
      </c>
      <c r="K185" s="1561">
        <v>7975.0</v>
      </c>
      <c r="L185" s="1555">
        <v>63677.0</v>
      </c>
    </row>
    <row r="186">
      <c r="A186" s="1545" t="s">
        <v>309</v>
      </c>
      <c r="B186" s="1587">
        <v>9836.0</v>
      </c>
      <c r="C186" s="1563">
        <v>700.0</v>
      </c>
      <c r="D186" s="1548">
        <v>30.1</v>
      </c>
      <c r="E186" s="1557">
        <v>8210.0</v>
      </c>
      <c r="F186" s="598">
        <v>35.0</v>
      </c>
      <c r="G186" s="598">
        <v>211.0</v>
      </c>
      <c r="H186" s="598">
        <v>278.0</v>
      </c>
      <c r="I186" s="598">
        <v>5.0</v>
      </c>
      <c r="J186" s="598">
        <v>358.0</v>
      </c>
      <c r="K186" s="1561">
        <v>739.0</v>
      </c>
      <c r="L186" s="1551">
        <v>35826.0</v>
      </c>
    </row>
    <row r="187">
      <c r="A187" s="1545" t="s">
        <v>310</v>
      </c>
      <c r="B187" s="1587">
        <v>7828.0</v>
      </c>
      <c r="C187" s="1563">
        <v>558.0</v>
      </c>
      <c r="D187" s="1548">
        <v>34.9</v>
      </c>
      <c r="E187" s="1557">
        <v>7123.0</v>
      </c>
      <c r="F187" s="598">
        <v>5.0</v>
      </c>
      <c r="G187" s="598">
        <v>73.0</v>
      </c>
      <c r="H187" s="598">
        <v>20.0</v>
      </c>
      <c r="I187" s="598">
        <v>5.0</v>
      </c>
      <c r="J187" s="598">
        <v>46.0</v>
      </c>
      <c r="K187" s="1561">
        <v>556.0</v>
      </c>
      <c r="L187" s="1551">
        <v>31659.0</v>
      </c>
    </row>
    <row r="188">
      <c r="A188" s="1545" t="s">
        <v>311</v>
      </c>
      <c r="B188" s="1587">
        <v>127799.0</v>
      </c>
      <c r="C188" s="1547">
        <v>6870.0</v>
      </c>
      <c r="D188" s="1548">
        <v>23.0</v>
      </c>
      <c r="E188" s="1557">
        <v>86828.0</v>
      </c>
      <c r="F188" s="598">
        <v>8061.0</v>
      </c>
      <c r="G188" s="598">
        <v>2890.0</v>
      </c>
      <c r="H188" s="598">
        <v>5789.0</v>
      </c>
      <c r="I188" s="598">
        <v>105.0</v>
      </c>
      <c r="J188" s="598">
        <v>10404.0</v>
      </c>
      <c r="K188" s="1561">
        <v>13722.0</v>
      </c>
      <c r="L188" s="1555">
        <v>46843.0</v>
      </c>
    </row>
    <row r="189">
      <c r="A189" s="1545" t="s">
        <v>312</v>
      </c>
      <c r="B189" s="1587">
        <v>15839.0</v>
      </c>
      <c r="C189" s="1547">
        <v>1416.0</v>
      </c>
      <c r="D189" s="1548">
        <v>29.5</v>
      </c>
      <c r="E189" s="1557">
        <v>9594.0</v>
      </c>
      <c r="F189" s="598">
        <v>578.0</v>
      </c>
      <c r="G189" s="598">
        <v>478.0</v>
      </c>
      <c r="H189" s="598">
        <v>65.0</v>
      </c>
      <c r="I189" s="598">
        <v>248.0</v>
      </c>
      <c r="J189" s="598">
        <v>3088.0</v>
      </c>
      <c r="K189" s="1561">
        <v>1788.0</v>
      </c>
      <c r="L189" s="1551">
        <v>44100.0</v>
      </c>
    </row>
    <row r="190">
      <c r="A190" s="1545" t="s">
        <v>313</v>
      </c>
      <c r="B190" s="1587">
        <v>17271.0</v>
      </c>
      <c r="C190" s="1547">
        <v>1205.0</v>
      </c>
      <c r="D190" s="1548">
        <v>34.4</v>
      </c>
      <c r="E190" s="1557">
        <v>15876.0</v>
      </c>
      <c r="F190" s="598">
        <v>118.0</v>
      </c>
      <c r="G190" s="598">
        <v>126.0</v>
      </c>
      <c r="H190" s="598">
        <v>60.0</v>
      </c>
      <c r="I190" s="598">
        <v>20.0</v>
      </c>
      <c r="J190" s="598">
        <v>136.0</v>
      </c>
      <c r="K190" s="1561">
        <v>935.0</v>
      </c>
      <c r="L190" s="1551">
        <v>36032.0</v>
      </c>
    </row>
    <row r="191">
      <c r="A191" s="1545" t="s">
        <v>315</v>
      </c>
      <c r="B191" s="1587">
        <v>12359.0</v>
      </c>
      <c r="C191" s="1563">
        <v>776.0</v>
      </c>
      <c r="D191" s="1548">
        <v>33.0</v>
      </c>
      <c r="E191" s="1557">
        <v>11488.0</v>
      </c>
      <c r="F191" s="598">
        <v>21.0</v>
      </c>
      <c r="G191" s="598">
        <v>103.0</v>
      </c>
      <c r="H191" s="598">
        <v>30.0</v>
      </c>
      <c r="I191" s="598">
        <v>2.0</v>
      </c>
      <c r="J191" s="598">
        <v>88.0</v>
      </c>
      <c r="K191" s="1561">
        <v>627.0</v>
      </c>
      <c r="L191" s="1551">
        <v>34009.0</v>
      </c>
    </row>
    <row r="192">
      <c r="A192" s="1545" t="s">
        <v>316</v>
      </c>
      <c r="B192" s="1587">
        <v>39054.0</v>
      </c>
      <c r="C192" s="1547">
        <v>2339.0</v>
      </c>
      <c r="D192" s="1548">
        <v>25.1</v>
      </c>
      <c r="E192" s="1557">
        <v>23216.0</v>
      </c>
      <c r="F192" s="598">
        <v>12729.0</v>
      </c>
      <c r="G192" s="598">
        <v>150.0</v>
      </c>
      <c r="H192" s="598">
        <v>280.0</v>
      </c>
      <c r="I192" s="598">
        <v>16.0</v>
      </c>
      <c r="J192" s="598">
        <v>1045.0</v>
      </c>
      <c r="K192" s="1561">
        <v>1618.0</v>
      </c>
      <c r="L192" s="1551">
        <v>45335.0</v>
      </c>
    </row>
    <row r="193">
      <c r="A193" s="1545" t="s">
        <v>317</v>
      </c>
      <c r="B193" s="1587">
        <v>15796.0</v>
      </c>
      <c r="C193" s="1563">
        <v>873.0</v>
      </c>
      <c r="D193" s="1548">
        <v>26.9</v>
      </c>
      <c r="E193" s="1557">
        <v>14485.0</v>
      </c>
      <c r="F193" s="598">
        <v>77.0</v>
      </c>
      <c r="G193" s="598">
        <v>133.0</v>
      </c>
      <c r="H193" s="598">
        <v>56.0</v>
      </c>
      <c r="I193" s="598">
        <v>0.0</v>
      </c>
      <c r="J193" s="598">
        <v>200.0</v>
      </c>
      <c r="K193" s="1561">
        <v>845.0</v>
      </c>
      <c r="L193" s="1551">
        <v>40486.0</v>
      </c>
    </row>
    <row r="194">
      <c r="A194" s="1545" t="s">
        <v>119</v>
      </c>
      <c r="B194" s="1587">
        <v>245871.0</v>
      </c>
      <c r="C194" s="1547">
        <v>9552.0</v>
      </c>
      <c r="D194" s="1548">
        <v>16.9</v>
      </c>
      <c r="E194" s="1557">
        <v>168351.0</v>
      </c>
      <c r="F194" s="598">
        <v>8652.0</v>
      </c>
      <c r="G194" s="598">
        <v>3573.0</v>
      </c>
      <c r="H194" s="598">
        <v>5718.0</v>
      </c>
      <c r="I194" s="598">
        <v>8799.0</v>
      </c>
      <c r="J194" s="598">
        <v>24958.0</v>
      </c>
      <c r="K194" s="1561">
        <v>25820.0</v>
      </c>
      <c r="L194" s="1555">
        <v>50893.0</v>
      </c>
    </row>
    <row r="195">
      <c r="A195" s="1545" t="s">
        <v>66</v>
      </c>
      <c r="B195" s="1587">
        <v>76822.0</v>
      </c>
      <c r="C195" s="1547">
        <v>3988.0</v>
      </c>
      <c r="D195" s="1548">
        <v>22.4</v>
      </c>
      <c r="E195" s="1557">
        <v>65237.0</v>
      </c>
      <c r="F195" s="598">
        <v>3728.0</v>
      </c>
      <c r="G195" s="598">
        <v>368.0</v>
      </c>
      <c r="H195" s="598">
        <v>623.0</v>
      </c>
      <c r="I195" s="598">
        <v>31.0</v>
      </c>
      <c r="J195" s="598">
        <v>1737.0</v>
      </c>
      <c r="K195" s="1561">
        <v>5098.0</v>
      </c>
      <c r="L195" s="1555">
        <v>44811.0</v>
      </c>
    </row>
    <row r="196">
      <c r="A196" s="1545" t="s">
        <v>318</v>
      </c>
      <c r="B196" s="1587">
        <v>6269.0</v>
      </c>
      <c r="C196" s="1563">
        <v>510.0</v>
      </c>
      <c r="D196" s="1548">
        <v>36.4</v>
      </c>
      <c r="E196" s="1557">
        <v>4255.0</v>
      </c>
      <c r="F196" s="598">
        <v>1613.0</v>
      </c>
      <c r="G196" s="598">
        <v>8.0</v>
      </c>
      <c r="H196" s="598">
        <v>22.0</v>
      </c>
      <c r="I196" s="598">
        <v>0.0</v>
      </c>
      <c r="J196" s="598">
        <v>53.0</v>
      </c>
      <c r="K196" s="1561">
        <v>318.0</v>
      </c>
      <c r="L196" s="1551">
        <v>34306.0</v>
      </c>
    </row>
    <row r="197">
      <c r="A197" s="1528" t="s">
        <v>319</v>
      </c>
      <c r="B197" s="1595">
        <v>20263.0</v>
      </c>
      <c r="C197" s="1530">
        <v>1293.0</v>
      </c>
      <c r="D197" s="1567">
        <v>24.8</v>
      </c>
      <c r="E197" s="1532">
        <v>15330.0</v>
      </c>
      <c r="F197" s="1533">
        <v>251.0</v>
      </c>
      <c r="G197" s="1533">
        <v>197.0</v>
      </c>
      <c r="H197" s="1533">
        <v>202.0</v>
      </c>
      <c r="I197" s="1533">
        <v>13.0</v>
      </c>
      <c r="J197" s="1533">
        <v>2542.0</v>
      </c>
      <c r="K197" s="1535">
        <v>1728.0</v>
      </c>
      <c r="L197" s="1569">
        <v>41729.0</v>
      </c>
    </row>
    <row r="198">
      <c r="A198" s="1538" t="s">
        <v>35</v>
      </c>
      <c r="B198" s="1596">
        <v>3.9538223E7</v>
      </c>
      <c r="C198" s="1540">
        <v>1539628.0</v>
      </c>
      <c r="D198" s="1571">
        <v>17.4</v>
      </c>
      <c r="E198" s="1572">
        <v>1.6296122E7</v>
      </c>
      <c r="F198" s="1542">
        <v>2237044.0</v>
      </c>
      <c r="G198" s="1542">
        <v>631016.0</v>
      </c>
      <c r="H198" s="1542">
        <v>6085947.0</v>
      </c>
      <c r="I198" s="1542">
        <v>157263.0</v>
      </c>
      <c r="J198" s="1542">
        <v>8370596.0</v>
      </c>
      <c r="K198" s="1543">
        <v>5760235.0</v>
      </c>
      <c r="L198" s="1544">
        <v>75250.0</v>
      </c>
    </row>
    <row r="199">
      <c r="A199" s="1545" t="s">
        <v>276</v>
      </c>
      <c r="B199" s="1586">
        <v>1682353.0</v>
      </c>
      <c r="C199" s="1547">
        <v>33305.0</v>
      </c>
      <c r="D199" s="1548">
        <v>9.8</v>
      </c>
      <c r="E199" s="1557">
        <v>523836.0</v>
      </c>
      <c r="F199" s="598">
        <v>164879.0</v>
      </c>
      <c r="G199" s="598">
        <v>19659.0</v>
      </c>
      <c r="H199" s="598">
        <v>545261.0</v>
      </c>
      <c r="I199" s="598">
        <v>14123.0</v>
      </c>
      <c r="J199" s="598">
        <v>223779.0</v>
      </c>
      <c r="K199" s="1561">
        <v>190816.0</v>
      </c>
      <c r="L199" s="1555">
        <v>101744.0</v>
      </c>
    </row>
    <row r="200">
      <c r="A200" s="1545" t="s">
        <v>320</v>
      </c>
      <c r="B200" s="1587">
        <v>1204.0</v>
      </c>
      <c r="C200" s="1563">
        <v>66.0</v>
      </c>
      <c r="D200" s="1548">
        <v>34.7</v>
      </c>
      <c r="E200" s="1557">
        <v>814.0</v>
      </c>
      <c r="F200" s="598">
        <v>10.0</v>
      </c>
      <c r="G200" s="598">
        <v>236.0</v>
      </c>
      <c r="H200" s="598">
        <v>12.0</v>
      </c>
      <c r="I200" s="598">
        <v>0.0</v>
      </c>
      <c r="J200" s="598">
        <v>13.0</v>
      </c>
      <c r="K200" s="1561">
        <v>119.0</v>
      </c>
      <c r="L200" s="1551">
        <v>55384.0</v>
      </c>
    </row>
    <row r="201">
      <c r="A201" s="1545" t="s">
        <v>322</v>
      </c>
      <c r="B201" s="1587">
        <v>40474.0</v>
      </c>
      <c r="C201" s="1563">
        <v>804.0</v>
      </c>
      <c r="D201" s="1548">
        <v>13.8</v>
      </c>
      <c r="E201" s="1557">
        <v>31104.0</v>
      </c>
      <c r="F201" s="598">
        <v>1236.0</v>
      </c>
      <c r="G201" s="598">
        <v>757.0</v>
      </c>
      <c r="H201" s="598">
        <v>582.0</v>
      </c>
      <c r="I201" s="598">
        <v>82.0</v>
      </c>
      <c r="J201" s="598">
        <v>2835.0</v>
      </c>
      <c r="K201" s="1561">
        <v>3878.0</v>
      </c>
      <c r="L201" s="1551">
        <v>58515.0</v>
      </c>
    </row>
    <row r="202">
      <c r="A202" s="1545" t="s">
        <v>324</v>
      </c>
      <c r="B202" s="1587">
        <v>211632.0</v>
      </c>
      <c r="C202" s="1547">
        <v>9152.0</v>
      </c>
      <c r="D202" s="1548">
        <v>20.1</v>
      </c>
      <c r="E202" s="1557">
        <v>149557.0</v>
      </c>
      <c r="F202" s="598">
        <v>3644.0</v>
      </c>
      <c r="G202" s="598">
        <v>4492.0</v>
      </c>
      <c r="H202" s="598">
        <v>10533.0</v>
      </c>
      <c r="I202" s="598">
        <v>573.0</v>
      </c>
      <c r="J202" s="598">
        <v>18148.0</v>
      </c>
      <c r="K202" s="1561">
        <v>24685.0</v>
      </c>
      <c r="L202" s="1555">
        <v>50945.0</v>
      </c>
    </row>
    <row r="203">
      <c r="A203" s="1545" t="s">
        <v>325</v>
      </c>
      <c r="B203" s="1587">
        <v>45292.0</v>
      </c>
      <c r="C203" s="1547">
        <v>1311.0</v>
      </c>
      <c r="D203" s="1548">
        <v>17.5</v>
      </c>
      <c r="E203" s="1557">
        <v>36315.0</v>
      </c>
      <c r="F203" s="598">
        <v>364.0</v>
      </c>
      <c r="G203" s="598">
        <v>747.0</v>
      </c>
      <c r="H203" s="598">
        <v>743.0</v>
      </c>
      <c r="I203" s="598">
        <v>100.0</v>
      </c>
      <c r="J203" s="598">
        <v>1995.0</v>
      </c>
      <c r="K203" s="1561">
        <v>5028.0</v>
      </c>
      <c r="L203" s="1551">
        <v>62984.0</v>
      </c>
    </row>
    <row r="204">
      <c r="A204" s="1545" t="s">
        <v>326</v>
      </c>
      <c r="B204" s="1587">
        <v>21839.0</v>
      </c>
      <c r="C204" s="1563">
        <v>822.0</v>
      </c>
      <c r="D204" s="1548">
        <v>14.1</v>
      </c>
      <c r="E204" s="1557">
        <v>9364.0</v>
      </c>
      <c r="F204" s="598">
        <v>198.0</v>
      </c>
      <c r="G204" s="598">
        <v>513.0</v>
      </c>
      <c r="H204" s="598">
        <v>276.0</v>
      </c>
      <c r="I204" s="598">
        <v>80.0</v>
      </c>
      <c r="J204" s="598">
        <v>7149.0</v>
      </c>
      <c r="K204" s="1561">
        <v>4259.0</v>
      </c>
      <c r="L204" s="1551">
        <v>57249.0</v>
      </c>
    </row>
    <row r="205">
      <c r="A205" s="1545" t="s">
        <v>327</v>
      </c>
      <c r="B205" s="1587">
        <v>1165927.0</v>
      </c>
      <c r="C205" s="1547">
        <v>23732.0</v>
      </c>
      <c r="D205" s="1548">
        <v>9.2</v>
      </c>
      <c r="E205" s="1557">
        <v>501697.0</v>
      </c>
      <c r="F205" s="598">
        <v>101485.0</v>
      </c>
      <c r="G205" s="598">
        <v>12043.0</v>
      </c>
      <c r="H205" s="598">
        <v>217823.0</v>
      </c>
      <c r="I205" s="598">
        <v>6250.0</v>
      </c>
      <c r="J205" s="598">
        <v>173154.0</v>
      </c>
      <c r="K205" s="1561">
        <v>153475.0</v>
      </c>
      <c r="L205" s="1555">
        <v>101463.0</v>
      </c>
    </row>
    <row r="206">
      <c r="A206" s="1545" t="s">
        <v>328</v>
      </c>
      <c r="B206" s="1587">
        <v>27743.0</v>
      </c>
      <c r="C206" s="1547">
        <v>1517.0</v>
      </c>
      <c r="D206" s="1548">
        <v>26.6</v>
      </c>
      <c r="E206" s="1557">
        <v>17193.0</v>
      </c>
      <c r="F206" s="598">
        <v>855.0</v>
      </c>
      <c r="G206" s="598">
        <v>2434.0</v>
      </c>
      <c r="H206" s="598">
        <v>840.0</v>
      </c>
      <c r="I206" s="598">
        <v>46.0</v>
      </c>
      <c r="J206" s="598">
        <v>2936.0</v>
      </c>
      <c r="K206" s="1561">
        <v>3439.0</v>
      </c>
      <c r="L206" s="1551">
        <v>48518.0</v>
      </c>
    </row>
    <row r="207">
      <c r="A207" s="1545" t="s">
        <v>329</v>
      </c>
      <c r="B207" s="1587">
        <v>191185.0</v>
      </c>
      <c r="C207" s="1547">
        <v>3384.0</v>
      </c>
      <c r="D207" s="1548">
        <v>9.0</v>
      </c>
      <c r="E207" s="1557">
        <v>146624.0</v>
      </c>
      <c r="F207" s="598">
        <v>1537.0</v>
      </c>
      <c r="G207" s="598">
        <v>1929.0</v>
      </c>
      <c r="H207" s="598">
        <v>9200.0</v>
      </c>
      <c r="I207" s="598">
        <v>313.0</v>
      </c>
      <c r="J207" s="598">
        <v>9634.0</v>
      </c>
      <c r="K207" s="1561">
        <v>21948.0</v>
      </c>
      <c r="L207" s="1555">
        <v>81869.0</v>
      </c>
    </row>
    <row r="208">
      <c r="A208" s="1545" t="s">
        <v>331</v>
      </c>
      <c r="B208" s="1587">
        <v>1008654.0</v>
      </c>
      <c r="C208" s="1547">
        <v>84228.0</v>
      </c>
      <c r="D208" s="1548">
        <v>30.2</v>
      </c>
      <c r="E208" s="1557">
        <v>374678.0</v>
      </c>
      <c r="F208" s="598">
        <v>48707.0</v>
      </c>
      <c r="G208" s="598">
        <v>22043.0</v>
      </c>
      <c r="H208" s="598">
        <v>113328.0</v>
      </c>
      <c r="I208" s="598">
        <v>1665.0</v>
      </c>
      <c r="J208" s="598">
        <v>284830.0</v>
      </c>
      <c r="K208" s="1561">
        <v>163403.0</v>
      </c>
      <c r="L208" s="1555">
        <v>52318.0</v>
      </c>
    </row>
    <row r="209">
      <c r="A209" s="1545" t="s">
        <v>332</v>
      </c>
      <c r="B209" s="1587">
        <v>28917.0</v>
      </c>
      <c r="C209" s="1547">
        <v>1373.0</v>
      </c>
      <c r="D209" s="1548">
        <v>18.6</v>
      </c>
      <c r="E209" s="1557">
        <v>15753.0</v>
      </c>
      <c r="F209" s="598">
        <v>177.0</v>
      </c>
      <c r="G209" s="598">
        <v>1092.0</v>
      </c>
      <c r="H209" s="598">
        <v>647.0</v>
      </c>
      <c r="I209" s="598">
        <v>49.0</v>
      </c>
      <c r="J209" s="598">
        <v>7253.0</v>
      </c>
      <c r="K209" s="1561">
        <v>3946.0</v>
      </c>
      <c r="L209" s="1551">
        <v>47365.0</v>
      </c>
    </row>
    <row r="210">
      <c r="A210" s="1545" t="s">
        <v>333</v>
      </c>
      <c r="B210" s="1587">
        <v>136463.0</v>
      </c>
      <c r="C210" s="1547">
        <v>5953.0</v>
      </c>
      <c r="D210" s="1548">
        <v>23.2</v>
      </c>
      <c r="E210" s="1557">
        <v>98095.0</v>
      </c>
      <c r="F210" s="598">
        <v>1879.0</v>
      </c>
      <c r="G210" s="598">
        <v>8481.0</v>
      </c>
      <c r="H210" s="598">
        <v>3615.0</v>
      </c>
      <c r="I210" s="598">
        <v>455.0</v>
      </c>
      <c r="J210" s="598">
        <v>7782.0</v>
      </c>
      <c r="K210" s="1561">
        <v>16156.0</v>
      </c>
      <c r="L210" s="1555">
        <v>49471.0</v>
      </c>
    </row>
    <row r="211">
      <c r="A211" s="1545" t="s">
        <v>334</v>
      </c>
      <c r="B211" s="1587">
        <v>179702.0</v>
      </c>
      <c r="C211" s="1547">
        <v>15519.0</v>
      </c>
      <c r="D211" s="1548">
        <v>30.2</v>
      </c>
      <c r="E211" s="1557">
        <v>47537.0</v>
      </c>
      <c r="F211" s="598">
        <v>4362.0</v>
      </c>
      <c r="G211" s="598">
        <v>4266.0</v>
      </c>
      <c r="H211" s="598">
        <v>3049.0</v>
      </c>
      <c r="I211" s="598">
        <v>165.0</v>
      </c>
      <c r="J211" s="598">
        <v>70528.0</v>
      </c>
      <c r="K211" s="1561">
        <v>49795.0</v>
      </c>
      <c r="L211" s="1555">
        <v>46633.0</v>
      </c>
    </row>
    <row r="212">
      <c r="A212" s="1545" t="s">
        <v>335</v>
      </c>
      <c r="B212" s="1587">
        <v>19016.0</v>
      </c>
      <c r="C212" s="1563">
        <v>555.0</v>
      </c>
      <c r="D212" s="1548">
        <v>15.1</v>
      </c>
      <c r="E212" s="1557">
        <v>11752.0</v>
      </c>
      <c r="F212" s="598">
        <v>97.0</v>
      </c>
      <c r="G212" s="598">
        <v>2473.0</v>
      </c>
      <c r="H212" s="598">
        <v>282.0</v>
      </c>
      <c r="I212" s="598">
        <v>17.0</v>
      </c>
      <c r="J212" s="598">
        <v>2267.0</v>
      </c>
      <c r="K212" s="1561">
        <v>2128.0</v>
      </c>
      <c r="L212" s="1551">
        <v>53793.0</v>
      </c>
    </row>
    <row r="213">
      <c r="A213" s="1545" t="s">
        <v>336</v>
      </c>
      <c r="B213" s="1587">
        <v>909235.0</v>
      </c>
      <c r="C213" s="1547">
        <v>70272.0</v>
      </c>
      <c r="D213" s="1548">
        <v>27.4</v>
      </c>
      <c r="E213" s="1557">
        <v>371734.0</v>
      </c>
      <c r="F213" s="598">
        <v>50130.0</v>
      </c>
      <c r="G213" s="598">
        <v>18163.0</v>
      </c>
      <c r="H213" s="598">
        <v>46777.0</v>
      </c>
      <c r="I213" s="598">
        <v>1508.0</v>
      </c>
      <c r="J213" s="598">
        <v>274153.0</v>
      </c>
      <c r="K213" s="1561">
        <v>146770.0</v>
      </c>
      <c r="L213" s="1555">
        <v>51586.0</v>
      </c>
    </row>
    <row r="214">
      <c r="A214" s="1545" t="s">
        <v>249</v>
      </c>
      <c r="B214" s="1587">
        <v>152486.0</v>
      </c>
      <c r="C214" s="1547">
        <v>9426.0</v>
      </c>
      <c r="D214" s="1548">
        <v>23.2</v>
      </c>
      <c r="E214" s="1557">
        <v>61226.0</v>
      </c>
      <c r="F214" s="598">
        <v>9023.0</v>
      </c>
      <c r="G214" s="598">
        <v>3671.0</v>
      </c>
      <c r="H214" s="598">
        <v>5923.0</v>
      </c>
      <c r="I214" s="598">
        <v>412.0</v>
      </c>
      <c r="J214" s="598">
        <v>48001.0</v>
      </c>
      <c r="K214" s="1561">
        <v>24230.0</v>
      </c>
      <c r="L214" s="1555">
        <v>58255.0</v>
      </c>
    </row>
    <row r="215">
      <c r="A215" s="1545" t="s">
        <v>337</v>
      </c>
      <c r="B215" s="1587">
        <v>68163.0</v>
      </c>
      <c r="C215" s="1547">
        <v>3468.0</v>
      </c>
      <c r="D215" s="1548">
        <v>26.3</v>
      </c>
      <c r="E215" s="1557">
        <v>46858.0</v>
      </c>
      <c r="F215" s="598">
        <v>1199.0</v>
      </c>
      <c r="G215" s="598">
        <v>2356.0</v>
      </c>
      <c r="H215" s="598">
        <v>1004.0</v>
      </c>
      <c r="I215" s="598">
        <v>106.0</v>
      </c>
      <c r="J215" s="598">
        <v>7699.0</v>
      </c>
      <c r="K215" s="1561">
        <v>8941.0</v>
      </c>
      <c r="L215" s="1555">
        <v>45086.0</v>
      </c>
    </row>
    <row r="216">
      <c r="A216" s="1545" t="s">
        <v>338</v>
      </c>
      <c r="B216" s="1587">
        <v>32730.0</v>
      </c>
      <c r="C216" s="1563">
        <v>811.0</v>
      </c>
      <c r="D216" s="1548">
        <v>15.8</v>
      </c>
      <c r="E216" s="1557">
        <v>21066.0</v>
      </c>
      <c r="F216" s="598">
        <v>2277.0</v>
      </c>
      <c r="G216" s="598">
        <v>1088.0</v>
      </c>
      <c r="H216" s="598">
        <v>494.0</v>
      </c>
      <c r="I216" s="598">
        <v>285.0</v>
      </c>
      <c r="J216" s="598">
        <v>4930.0</v>
      </c>
      <c r="K216" s="1561">
        <v>2590.0</v>
      </c>
      <c r="L216" s="1551">
        <v>57705.0</v>
      </c>
    </row>
    <row r="217">
      <c r="A217" s="1545" t="s">
        <v>183</v>
      </c>
      <c r="B217" s="1587">
        <v>1.0014009E7</v>
      </c>
      <c r="C217" s="1547">
        <v>429467.0</v>
      </c>
      <c r="D217" s="1548">
        <v>19.9</v>
      </c>
      <c r="E217" s="1557">
        <v>3259427.0</v>
      </c>
      <c r="F217" s="598">
        <v>794364.0</v>
      </c>
      <c r="G217" s="598">
        <v>163464.0</v>
      </c>
      <c r="H217" s="598">
        <v>1499984.0</v>
      </c>
      <c r="I217" s="598">
        <v>24522.0</v>
      </c>
      <c r="J217" s="598">
        <v>2784180.0</v>
      </c>
      <c r="K217" s="1561">
        <v>1488068.0</v>
      </c>
      <c r="L217" s="1555">
        <v>67986.0</v>
      </c>
    </row>
    <row r="218">
      <c r="A218" s="1545" t="s">
        <v>340</v>
      </c>
      <c r="B218" s="1587">
        <v>156255.0</v>
      </c>
      <c r="C218" s="1547">
        <v>12147.0</v>
      </c>
      <c r="D218" s="1548">
        <v>28.5</v>
      </c>
      <c r="E218" s="1557">
        <v>65248.0</v>
      </c>
      <c r="F218" s="598">
        <v>4596.0</v>
      </c>
      <c r="G218" s="598">
        <v>7674.0</v>
      </c>
      <c r="H218" s="598">
        <v>3907.0</v>
      </c>
      <c r="I218" s="598">
        <v>173.0</v>
      </c>
      <c r="J218" s="598">
        <v>49303.0</v>
      </c>
      <c r="K218" s="1561">
        <v>25354.0</v>
      </c>
      <c r="L218" s="1555">
        <v>53632.0</v>
      </c>
    </row>
    <row r="219">
      <c r="A219" s="1545" t="s">
        <v>341</v>
      </c>
      <c r="B219" s="1587">
        <v>262321.0</v>
      </c>
      <c r="C219" s="1547">
        <v>3290.0</v>
      </c>
      <c r="D219" s="1548">
        <v>6.4</v>
      </c>
      <c r="E219" s="1557">
        <v>179377.0</v>
      </c>
      <c r="F219" s="598">
        <v>6339.0</v>
      </c>
      <c r="G219" s="598">
        <v>3996.0</v>
      </c>
      <c r="H219" s="598">
        <v>16431.0</v>
      </c>
      <c r="I219" s="598">
        <v>493.0</v>
      </c>
      <c r="J219" s="598">
        <v>26000.0</v>
      </c>
      <c r="K219" s="1561">
        <v>29685.0</v>
      </c>
      <c r="L219" s="1555">
        <v>122933.0</v>
      </c>
    </row>
    <row r="220">
      <c r="A220" s="1545" t="s">
        <v>342</v>
      </c>
      <c r="B220" s="1587">
        <v>17131.0</v>
      </c>
      <c r="C220" s="1563">
        <v>646.0</v>
      </c>
      <c r="D220" s="1548">
        <v>23.2</v>
      </c>
      <c r="E220" s="1557">
        <v>13385.0</v>
      </c>
      <c r="F220" s="598">
        <v>108.0</v>
      </c>
      <c r="G220" s="598">
        <v>497.0</v>
      </c>
      <c r="H220" s="598">
        <v>298.0</v>
      </c>
      <c r="I220" s="598">
        <v>15.0</v>
      </c>
      <c r="J220" s="598">
        <v>796.0</v>
      </c>
      <c r="K220" s="1561">
        <v>2032.0</v>
      </c>
      <c r="L220" s="1551">
        <v>51402.0</v>
      </c>
    </row>
    <row r="221">
      <c r="A221" s="1545" t="s">
        <v>343</v>
      </c>
      <c r="B221" s="1587">
        <v>91601.0</v>
      </c>
      <c r="C221" s="1547">
        <v>4654.0</v>
      </c>
      <c r="D221" s="1548">
        <v>25.5</v>
      </c>
      <c r="E221" s="1557">
        <v>59510.0</v>
      </c>
      <c r="F221" s="598">
        <v>642.0</v>
      </c>
      <c r="G221" s="598">
        <v>4679.0</v>
      </c>
      <c r="H221" s="598">
        <v>1788.0</v>
      </c>
      <c r="I221" s="598">
        <v>138.0</v>
      </c>
      <c r="J221" s="598">
        <v>12777.0</v>
      </c>
      <c r="K221" s="1561">
        <v>12067.0</v>
      </c>
      <c r="L221" s="1555">
        <v>51386.0</v>
      </c>
    </row>
    <row r="222">
      <c r="A222" s="1545" t="s">
        <v>344</v>
      </c>
      <c r="B222" s="1587">
        <v>281202.0</v>
      </c>
      <c r="C222" s="1547">
        <v>22723.0</v>
      </c>
      <c r="D222" s="1548">
        <v>28.5</v>
      </c>
      <c r="E222" s="1557">
        <v>104534.0</v>
      </c>
      <c r="F222" s="598">
        <v>9158.0</v>
      </c>
      <c r="G222" s="598">
        <v>7518.0</v>
      </c>
      <c r="H222" s="598">
        <v>20715.0</v>
      </c>
      <c r="I222" s="598">
        <v>807.0</v>
      </c>
      <c r="J222" s="598">
        <v>89115.0</v>
      </c>
      <c r="K222" s="1561">
        <v>49355.0</v>
      </c>
      <c r="L222" s="1555">
        <v>56169.0</v>
      </c>
    </row>
    <row r="223">
      <c r="A223" s="1545" t="s">
        <v>345</v>
      </c>
      <c r="B223" s="1587">
        <v>8700.0</v>
      </c>
      <c r="C223" s="1563">
        <v>445.0</v>
      </c>
      <c r="D223" s="1548">
        <v>27.2</v>
      </c>
      <c r="E223" s="1557">
        <v>6772.0</v>
      </c>
      <c r="F223" s="598">
        <v>67.0</v>
      </c>
      <c r="G223" s="598">
        <v>446.0</v>
      </c>
      <c r="H223" s="598">
        <v>61.0</v>
      </c>
      <c r="I223" s="598">
        <v>13.0</v>
      </c>
      <c r="J223" s="598">
        <v>602.0</v>
      </c>
      <c r="K223" s="1561">
        <v>739.0</v>
      </c>
      <c r="L223" s="1551">
        <v>45227.0</v>
      </c>
    </row>
    <row r="224">
      <c r="A224" s="1545" t="s">
        <v>346</v>
      </c>
      <c r="B224" s="1587">
        <v>13195.0</v>
      </c>
      <c r="C224" s="1563">
        <v>301.0</v>
      </c>
      <c r="D224" s="1548">
        <v>11.6</v>
      </c>
      <c r="E224" s="1557">
        <v>9349.0</v>
      </c>
      <c r="F224" s="598">
        <v>74.0</v>
      </c>
      <c r="G224" s="598">
        <v>295.0</v>
      </c>
      <c r="H224" s="598">
        <v>163.0</v>
      </c>
      <c r="I224" s="598">
        <v>31.0</v>
      </c>
      <c r="J224" s="598">
        <v>1699.0</v>
      </c>
      <c r="K224" s="1561">
        <v>1584.0</v>
      </c>
      <c r="L224" s="1551">
        <v>66499.0</v>
      </c>
    </row>
    <row r="225">
      <c r="A225" s="1545" t="s">
        <v>348</v>
      </c>
      <c r="B225" s="1587">
        <v>439035.0</v>
      </c>
      <c r="C225" s="1547">
        <v>21430.0</v>
      </c>
      <c r="D225" s="1548">
        <v>19.2</v>
      </c>
      <c r="E225" s="1557">
        <v>158879.0</v>
      </c>
      <c r="F225" s="598">
        <v>9943.0</v>
      </c>
      <c r="G225" s="598">
        <v>12781.0</v>
      </c>
      <c r="H225" s="598">
        <v>26680.0</v>
      </c>
      <c r="I225" s="598">
        <v>2132.0</v>
      </c>
      <c r="J225" s="598">
        <v>150161.0</v>
      </c>
      <c r="K225" s="1561">
        <v>78459.0</v>
      </c>
      <c r="L225" s="1555">
        <v>69665.0</v>
      </c>
    </row>
    <row r="226">
      <c r="A226" s="1545" t="s">
        <v>349</v>
      </c>
      <c r="B226" s="1587">
        <v>138019.0</v>
      </c>
      <c r="C226" s="1547">
        <v>2528.0</v>
      </c>
      <c r="D226" s="1548">
        <v>8.9</v>
      </c>
      <c r="E226" s="1557">
        <v>76158.0</v>
      </c>
      <c r="F226" s="598">
        <v>2443.0</v>
      </c>
      <c r="G226" s="598">
        <v>1949.0</v>
      </c>
      <c r="H226" s="598">
        <v>10753.0</v>
      </c>
      <c r="I226" s="598">
        <v>348.0</v>
      </c>
      <c r="J226" s="598">
        <v>25631.0</v>
      </c>
      <c r="K226" s="1561">
        <v>20737.0</v>
      </c>
      <c r="L226" s="1555">
        <v>85624.0</v>
      </c>
    </row>
    <row r="227">
      <c r="A227" s="1545" t="s">
        <v>82</v>
      </c>
      <c r="B227" s="1587">
        <v>102241.0</v>
      </c>
      <c r="C227" s="1547">
        <v>2297.0</v>
      </c>
      <c r="D227" s="1548">
        <v>13.7</v>
      </c>
      <c r="E227" s="1557">
        <v>85604.0</v>
      </c>
      <c r="F227" s="598">
        <v>460.0</v>
      </c>
      <c r="G227" s="598">
        <v>1012.0</v>
      </c>
      <c r="H227" s="598">
        <v>1427.0</v>
      </c>
      <c r="I227" s="598">
        <v>147.0</v>
      </c>
      <c r="J227" s="598">
        <v>3494.0</v>
      </c>
      <c r="K227" s="1561">
        <v>10097.0</v>
      </c>
      <c r="L227" s="1555">
        <v>66681.0</v>
      </c>
    </row>
    <row r="228">
      <c r="A228" s="1545" t="s">
        <v>241</v>
      </c>
      <c r="B228" s="1587">
        <v>3186989.0</v>
      </c>
      <c r="C228" s="1547">
        <v>91498.0</v>
      </c>
      <c r="D228" s="1548">
        <v>13.3</v>
      </c>
      <c r="E228" s="1557">
        <v>1383257.0</v>
      </c>
      <c r="F228" s="598">
        <v>53842.0</v>
      </c>
      <c r="G228" s="598">
        <v>38322.0</v>
      </c>
      <c r="H228" s="598">
        <v>706813.0</v>
      </c>
      <c r="I228" s="598">
        <v>9035.0</v>
      </c>
      <c r="J228" s="598">
        <v>548539.0</v>
      </c>
      <c r="K228" s="1561">
        <v>447181.0</v>
      </c>
      <c r="L228" s="1555">
        <v>89373.0</v>
      </c>
    </row>
    <row r="229">
      <c r="A229" s="1545" t="s">
        <v>352</v>
      </c>
      <c r="B229" s="1587">
        <v>404739.0</v>
      </c>
      <c r="C229" s="1547">
        <v>6278.0</v>
      </c>
      <c r="D229" s="1548">
        <v>7.2</v>
      </c>
      <c r="E229" s="1557">
        <v>288586.0</v>
      </c>
      <c r="F229" s="598">
        <v>6890.0</v>
      </c>
      <c r="G229" s="598">
        <v>3547.0</v>
      </c>
      <c r="H229" s="598">
        <v>35500.0</v>
      </c>
      <c r="I229" s="598">
        <v>1117.0</v>
      </c>
      <c r="J229" s="598">
        <v>20224.0</v>
      </c>
      <c r="K229" s="1561">
        <v>48875.0</v>
      </c>
      <c r="L229" s="1555">
        <v>89175.0</v>
      </c>
    </row>
    <row r="230">
      <c r="A230" s="1545" t="s">
        <v>354</v>
      </c>
      <c r="B230" s="1587">
        <v>19790.0</v>
      </c>
      <c r="C230" s="1563">
        <v>610.0</v>
      </c>
      <c r="D230" s="1548">
        <v>19.6</v>
      </c>
      <c r="E230" s="1557">
        <v>16608.0</v>
      </c>
      <c r="F230" s="598">
        <v>103.0</v>
      </c>
      <c r="G230" s="598">
        <v>453.0</v>
      </c>
      <c r="H230" s="598">
        <v>152.0</v>
      </c>
      <c r="I230" s="598">
        <v>44.0</v>
      </c>
      <c r="J230" s="598">
        <v>600.0</v>
      </c>
      <c r="K230" s="1561">
        <v>1830.0</v>
      </c>
      <c r="L230" s="1555">
        <v>55079.0</v>
      </c>
    </row>
    <row r="231">
      <c r="A231" s="1545" t="s">
        <v>252</v>
      </c>
      <c r="B231" s="1587">
        <v>2418185.0</v>
      </c>
      <c r="C231" s="1547">
        <v>103757.0</v>
      </c>
      <c r="D231" s="1548">
        <v>17.1</v>
      </c>
      <c r="E231" s="1557">
        <v>995627.0</v>
      </c>
      <c r="F231" s="598">
        <v>156477.0</v>
      </c>
      <c r="G231" s="598">
        <v>43808.0</v>
      </c>
      <c r="H231" s="598">
        <v>171243.0</v>
      </c>
      <c r="I231" s="598">
        <v>8116.0</v>
      </c>
      <c r="J231" s="598">
        <v>637243.0</v>
      </c>
      <c r="K231" s="1561">
        <v>405671.0</v>
      </c>
      <c r="L231" s="1551">
        <v>66793.0</v>
      </c>
    </row>
    <row r="232">
      <c r="A232" s="1545" t="s">
        <v>292</v>
      </c>
      <c r="B232" s="1587">
        <v>1585055.0</v>
      </c>
      <c r="C232" s="1547">
        <v>73661.0</v>
      </c>
      <c r="D232" s="1548">
        <v>20.5</v>
      </c>
      <c r="E232" s="1557">
        <v>715722.0</v>
      </c>
      <c r="F232" s="598">
        <v>152795.0</v>
      </c>
      <c r="G232" s="598">
        <v>18637.0</v>
      </c>
      <c r="H232" s="598">
        <v>281733.0</v>
      </c>
      <c r="I232" s="598">
        <v>18914.0</v>
      </c>
      <c r="J232" s="598">
        <v>185585.0</v>
      </c>
      <c r="K232" s="1561">
        <v>211669.0</v>
      </c>
      <c r="L232" s="1555">
        <v>69475.0</v>
      </c>
    </row>
    <row r="233">
      <c r="A233" s="1545" t="s">
        <v>356</v>
      </c>
      <c r="B233" s="1587">
        <v>64209.0</v>
      </c>
      <c r="C233" s="1547">
        <v>1863.0</v>
      </c>
      <c r="D233" s="1548">
        <v>11.9</v>
      </c>
      <c r="E233" s="1557">
        <v>27230.0</v>
      </c>
      <c r="F233" s="598">
        <v>634.0</v>
      </c>
      <c r="G233" s="598">
        <v>1647.0</v>
      </c>
      <c r="H233" s="598">
        <v>2423.0</v>
      </c>
      <c r="I233" s="598">
        <v>176.0</v>
      </c>
      <c r="J233" s="598">
        <v>20629.0</v>
      </c>
      <c r="K233" s="1561">
        <v>11470.0</v>
      </c>
      <c r="L233" s="1551">
        <v>80063.0</v>
      </c>
    </row>
    <row r="234">
      <c r="A234" s="1545" t="s">
        <v>261</v>
      </c>
      <c r="B234" s="1587">
        <v>2181654.0</v>
      </c>
      <c r="C234" s="1547">
        <v>120887.0</v>
      </c>
      <c r="D234" s="1548">
        <v>21.4</v>
      </c>
      <c r="E234" s="1557">
        <v>782691.0</v>
      </c>
      <c r="F234" s="598">
        <v>184558.0</v>
      </c>
      <c r="G234" s="598">
        <v>41663.0</v>
      </c>
      <c r="H234" s="598">
        <v>182287.0</v>
      </c>
      <c r="I234" s="598">
        <v>7461.0</v>
      </c>
      <c r="J234" s="598">
        <v>621140.0</v>
      </c>
      <c r="K234" s="1561">
        <v>361854.0</v>
      </c>
      <c r="L234" s="1555">
        <v>63310.0</v>
      </c>
    </row>
    <row r="235">
      <c r="A235" s="1545" t="s">
        <v>239</v>
      </c>
      <c r="B235" s="1587">
        <v>3298634.0</v>
      </c>
      <c r="C235" s="1547">
        <v>106558.0</v>
      </c>
      <c r="D235" s="1548">
        <v>14.9</v>
      </c>
      <c r="E235" s="1557">
        <v>1633129.0</v>
      </c>
      <c r="F235" s="598">
        <v>155813.0</v>
      </c>
      <c r="G235" s="598">
        <v>40968.0</v>
      </c>
      <c r="H235" s="598">
        <v>410752.0</v>
      </c>
      <c r="I235" s="598">
        <v>15286.0</v>
      </c>
      <c r="J235" s="598">
        <v>520994.0</v>
      </c>
      <c r="K235" s="1561">
        <v>521692.0</v>
      </c>
      <c r="L235" s="1555">
        <v>78777.0</v>
      </c>
    </row>
    <row r="236">
      <c r="A236" s="1545" t="s">
        <v>357</v>
      </c>
      <c r="B236" s="1587">
        <v>873965.0</v>
      </c>
      <c r="C236" s="1547">
        <v>12646.0</v>
      </c>
      <c r="D236" s="1548">
        <v>10.9</v>
      </c>
      <c r="E236" s="1557">
        <v>361382.0</v>
      </c>
      <c r="F236" s="598">
        <v>46725.0</v>
      </c>
      <c r="G236" s="598">
        <v>6475.0</v>
      </c>
      <c r="H236" s="598">
        <v>296505.0</v>
      </c>
      <c r="I236" s="598">
        <v>3476.0</v>
      </c>
      <c r="J236" s="598">
        <v>73169.0</v>
      </c>
      <c r="K236" s="1561">
        <v>86233.0</v>
      </c>
      <c r="L236" s="1555">
        <v>110601.0</v>
      </c>
    </row>
    <row r="237">
      <c r="A237" s="1545" t="s">
        <v>358</v>
      </c>
      <c r="B237" s="1587">
        <v>779233.0</v>
      </c>
      <c r="C237" s="1547">
        <v>41234.0</v>
      </c>
      <c r="D237" s="1548">
        <v>20.5</v>
      </c>
      <c r="E237" s="1557">
        <v>267339.0</v>
      </c>
      <c r="F237" s="598">
        <v>60351.0</v>
      </c>
      <c r="G237" s="598">
        <v>12107.0</v>
      </c>
      <c r="H237" s="598">
        <v>139323.0</v>
      </c>
      <c r="I237" s="598">
        <v>5567.0</v>
      </c>
      <c r="J237" s="598">
        <v>181741.0</v>
      </c>
      <c r="K237" s="1561">
        <v>112805.0</v>
      </c>
      <c r="L237" s="1555">
        <v>63567.0</v>
      </c>
    </row>
    <row r="238">
      <c r="A238" s="1545" t="s">
        <v>360</v>
      </c>
      <c r="B238" s="1587">
        <v>282424.0</v>
      </c>
      <c r="C238" s="1547">
        <v>5291.0</v>
      </c>
      <c r="D238" s="1548">
        <v>10.8</v>
      </c>
      <c r="E238" s="1557">
        <v>198338.0</v>
      </c>
      <c r="F238" s="598">
        <v>4610.0</v>
      </c>
      <c r="G238" s="598">
        <v>3159.0</v>
      </c>
      <c r="H238" s="598">
        <v>10402.0</v>
      </c>
      <c r="I238" s="598">
        <v>413.0</v>
      </c>
      <c r="J238" s="598">
        <v>27444.0</v>
      </c>
      <c r="K238" s="1561">
        <v>38058.0</v>
      </c>
      <c r="L238" s="1555">
        <v>70626.0</v>
      </c>
    </row>
    <row r="239">
      <c r="A239" s="1545" t="s">
        <v>361</v>
      </c>
      <c r="B239" s="1587">
        <v>764442.0</v>
      </c>
      <c r="C239" s="1547">
        <v>10900.0</v>
      </c>
      <c r="D239" s="1548">
        <v>7.0</v>
      </c>
      <c r="E239" s="1557">
        <v>300188.0</v>
      </c>
      <c r="F239" s="598">
        <v>15707.0</v>
      </c>
      <c r="G239" s="598">
        <v>6812.0</v>
      </c>
      <c r="H239" s="598">
        <v>230242.0</v>
      </c>
      <c r="I239" s="598">
        <v>9302.0</v>
      </c>
      <c r="J239" s="598">
        <v>107924.0</v>
      </c>
      <c r="K239" s="1561">
        <v>94267.0</v>
      </c>
      <c r="L239" s="1555">
        <v>122930.0</v>
      </c>
    </row>
    <row r="240">
      <c r="A240" s="1545" t="s">
        <v>362</v>
      </c>
      <c r="B240" s="1587">
        <v>448229.0</v>
      </c>
      <c r="C240" s="1547">
        <v>14182.0</v>
      </c>
      <c r="D240" s="1548">
        <v>14.7</v>
      </c>
      <c r="E240" s="1557">
        <v>224748.0</v>
      </c>
      <c r="F240" s="598">
        <v>7374.0</v>
      </c>
      <c r="G240" s="598">
        <v>9633.0</v>
      </c>
      <c r="H240" s="598">
        <v>26549.0</v>
      </c>
      <c r="I240" s="598">
        <v>703.0</v>
      </c>
      <c r="J240" s="598">
        <v>99502.0</v>
      </c>
      <c r="K240" s="1561">
        <v>79720.0</v>
      </c>
      <c r="L240" s="1555">
        <v>75646.0</v>
      </c>
    </row>
    <row r="241">
      <c r="A241" s="1545" t="s">
        <v>272</v>
      </c>
      <c r="B241" s="1587">
        <v>1936259.0</v>
      </c>
      <c r="C241" s="1547">
        <v>29633.0</v>
      </c>
      <c r="D241" s="1548">
        <v>7.1</v>
      </c>
      <c r="E241" s="1557">
        <v>622617.0</v>
      </c>
      <c r="F241" s="598">
        <v>44966.0</v>
      </c>
      <c r="G241" s="598">
        <v>22142.0</v>
      </c>
      <c r="H241" s="598">
        <v>759030.0</v>
      </c>
      <c r="I241" s="598">
        <v>6904.0</v>
      </c>
      <c r="J241" s="598">
        <v>271132.0</v>
      </c>
      <c r="K241" s="1561">
        <v>209468.0</v>
      </c>
      <c r="L241" s="1555">
        <v>125933.0</v>
      </c>
    </row>
    <row r="242">
      <c r="A242" s="1545" t="s">
        <v>232</v>
      </c>
      <c r="B242" s="1587">
        <v>270861.0</v>
      </c>
      <c r="C242" s="1547">
        <v>7533.0</v>
      </c>
      <c r="D242" s="1548">
        <v>14.5</v>
      </c>
      <c r="E242" s="1557">
        <v>160565.0</v>
      </c>
      <c r="F242" s="598">
        <v>3150.0</v>
      </c>
      <c r="G242" s="598">
        <v>3607.0</v>
      </c>
      <c r="H242" s="598">
        <v>12553.0</v>
      </c>
      <c r="I242" s="598">
        <v>384.0</v>
      </c>
      <c r="J242" s="598">
        <v>51894.0</v>
      </c>
      <c r="K242" s="1561">
        <v>38708.0</v>
      </c>
      <c r="L242" s="1555">
        <v>84213.0</v>
      </c>
    </row>
    <row r="243">
      <c r="A243" s="1545" t="s">
        <v>364</v>
      </c>
      <c r="B243" s="1587">
        <v>182155.0</v>
      </c>
      <c r="C243" s="1547">
        <v>6838.0</v>
      </c>
      <c r="D243" s="1548">
        <v>18.2</v>
      </c>
      <c r="E243" s="1557">
        <v>142899.0</v>
      </c>
      <c r="F243" s="598">
        <v>1912.0</v>
      </c>
      <c r="G243" s="598">
        <v>4911.0</v>
      </c>
      <c r="H243" s="598">
        <v>5978.0</v>
      </c>
      <c r="I243" s="598">
        <v>371.0</v>
      </c>
      <c r="J243" s="598">
        <v>6523.0</v>
      </c>
      <c r="K243" s="1561">
        <v>19561.0</v>
      </c>
      <c r="L243" s="1555">
        <v>53908.0</v>
      </c>
    </row>
    <row r="244">
      <c r="A244" s="1545" t="s">
        <v>365</v>
      </c>
      <c r="B244" s="1587">
        <v>3236.0</v>
      </c>
      <c r="C244" s="1563">
        <v>85.0</v>
      </c>
      <c r="D244" s="1548">
        <v>18.0</v>
      </c>
      <c r="E244" s="1557">
        <v>2703.0</v>
      </c>
      <c r="F244" s="598">
        <v>7.0</v>
      </c>
      <c r="G244" s="598">
        <v>24.0</v>
      </c>
      <c r="H244" s="598">
        <v>7.0</v>
      </c>
      <c r="I244" s="598">
        <v>1.0</v>
      </c>
      <c r="J244" s="598">
        <v>106.0</v>
      </c>
      <c r="K244" s="1561">
        <v>388.0</v>
      </c>
      <c r="L244" s="1551">
        <v>52308.0</v>
      </c>
    </row>
    <row r="245">
      <c r="A245" s="1545" t="s">
        <v>366</v>
      </c>
      <c r="B245" s="1587">
        <v>44076.0</v>
      </c>
      <c r="C245" s="1547">
        <v>2099.0</v>
      </c>
      <c r="D245" s="1548">
        <v>24.2</v>
      </c>
      <c r="E245" s="1557">
        <v>33597.0</v>
      </c>
      <c r="F245" s="598">
        <v>496.0</v>
      </c>
      <c r="G245" s="598">
        <v>2019.0</v>
      </c>
      <c r="H245" s="598">
        <v>888.0</v>
      </c>
      <c r="I245" s="598">
        <v>38.0</v>
      </c>
      <c r="J245" s="598">
        <v>1988.0</v>
      </c>
      <c r="K245" s="1561">
        <v>5050.0</v>
      </c>
      <c r="L245" s="1551">
        <v>47560.0</v>
      </c>
    </row>
    <row r="246">
      <c r="A246" s="1545" t="s">
        <v>369</v>
      </c>
      <c r="B246" s="1587">
        <v>453491.0</v>
      </c>
      <c r="C246" s="1547">
        <v>9906.0</v>
      </c>
      <c r="D246" s="1548">
        <v>10.2</v>
      </c>
      <c r="E246" s="1557">
        <v>175768.0</v>
      </c>
      <c r="F246" s="598">
        <v>62157.0</v>
      </c>
      <c r="G246" s="598">
        <v>5388.0</v>
      </c>
      <c r="H246" s="598">
        <v>72766.0</v>
      </c>
      <c r="I246" s="598">
        <v>4162.0</v>
      </c>
      <c r="J246" s="598">
        <v>66793.0</v>
      </c>
      <c r="K246" s="1561">
        <v>66457.0</v>
      </c>
      <c r="L246" s="1555">
        <v>82808.0</v>
      </c>
    </row>
    <row r="247">
      <c r="A247" s="1545" t="s">
        <v>370</v>
      </c>
      <c r="B247" s="1587">
        <v>488863.0</v>
      </c>
      <c r="C247" s="1547">
        <v>11309.0</v>
      </c>
      <c r="D247" s="1548">
        <v>11.7</v>
      </c>
      <c r="E247" s="1557">
        <v>306684.0</v>
      </c>
      <c r="F247" s="598">
        <v>7615.0</v>
      </c>
      <c r="G247" s="598">
        <v>8855.0</v>
      </c>
      <c r="H247" s="598">
        <v>22845.0</v>
      </c>
      <c r="I247" s="598">
        <v>1840.0</v>
      </c>
      <c r="J247" s="598">
        <v>75003.0</v>
      </c>
      <c r="K247" s="1561">
        <v>66021.0</v>
      </c>
      <c r="L247" s="1555">
        <v>81002.0</v>
      </c>
    </row>
    <row r="248">
      <c r="A248" s="1545" t="s">
        <v>371</v>
      </c>
      <c r="B248" s="1587">
        <v>552878.0</v>
      </c>
      <c r="C248" s="1547">
        <v>31365.0</v>
      </c>
      <c r="D248" s="1548">
        <v>21.4</v>
      </c>
      <c r="E248" s="1557">
        <v>256602.0</v>
      </c>
      <c r="F248" s="598">
        <v>15913.0</v>
      </c>
      <c r="G248" s="598">
        <v>10543.0</v>
      </c>
      <c r="H248" s="598">
        <v>34778.0</v>
      </c>
      <c r="I248" s="598">
        <v>4269.0</v>
      </c>
      <c r="J248" s="598">
        <v>146129.0</v>
      </c>
      <c r="K248" s="1561">
        <v>84644.0</v>
      </c>
      <c r="L248" s="1555">
        <v>59616.0</v>
      </c>
    </row>
    <row r="249">
      <c r="A249" s="1545" t="s">
        <v>372</v>
      </c>
      <c r="B249" s="1587">
        <v>99633.0</v>
      </c>
      <c r="C249" s="1547">
        <v>4466.0</v>
      </c>
      <c r="D249" s="1548">
        <v>18.0</v>
      </c>
      <c r="E249" s="1557">
        <v>46810.0</v>
      </c>
      <c r="F249" s="598">
        <v>1982.0</v>
      </c>
      <c r="G249" s="598">
        <v>1902.0</v>
      </c>
      <c r="H249" s="598">
        <v>18234.0</v>
      </c>
      <c r="I249" s="598">
        <v>319.0</v>
      </c>
      <c r="J249" s="598">
        <v>17896.0</v>
      </c>
      <c r="K249" s="1561">
        <v>12490.0</v>
      </c>
      <c r="L249" s="1555">
        <v>57879.0</v>
      </c>
    </row>
    <row r="250">
      <c r="A250" s="1545" t="s">
        <v>373</v>
      </c>
      <c r="B250" s="1587">
        <v>65829.0</v>
      </c>
      <c r="C250" s="1547">
        <v>3649.0</v>
      </c>
      <c r="D250" s="1548">
        <v>24.2</v>
      </c>
      <c r="E250" s="1557">
        <v>44926.0</v>
      </c>
      <c r="F250" s="598">
        <v>420.0</v>
      </c>
      <c r="G250" s="598">
        <v>1881.0</v>
      </c>
      <c r="H250" s="598">
        <v>1027.0</v>
      </c>
      <c r="I250" s="598">
        <v>132.0</v>
      </c>
      <c r="J250" s="598">
        <v>9599.0</v>
      </c>
      <c r="K250" s="1561">
        <v>7844.0</v>
      </c>
      <c r="L250" s="1551">
        <v>47572.0</v>
      </c>
    </row>
    <row r="251">
      <c r="A251" s="1545" t="s">
        <v>376</v>
      </c>
      <c r="B251" s="1587">
        <v>16112.0</v>
      </c>
      <c r="C251" s="1563">
        <v>649.0</v>
      </c>
      <c r="D251" s="1548">
        <v>31.3</v>
      </c>
      <c r="E251" s="1557">
        <v>11627.0</v>
      </c>
      <c r="F251" s="598">
        <v>71.0</v>
      </c>
      <c r="G251" s="598">
        <v>437.0</v>
      </c>
      <c r="H251" s="598">
        <v>2222.0</v>
      </c>
      <c r="I251" s="598">
        <v>32.0</v>
      </c>
      <c r="J251" s="598">
        <v>367.0</v>
      </c>
      <c r="K251" s="1561">
        <v>1356.0</v>
      </c>
      <c r="L251" s="1551">
        <v>40680.0</v>
      </c>
    </row>
    <row r="252">
      <c r="A252" s="1545" t="s">
        <v>377</v>
      </c>
      <c r="B252" s="1587">
        <v>473117.0</v>
      </c>
      <c r="C252" s="1547">
        <v>40404.0</v>
      </c>
      <c r="D252" s="1548">
        <v>28.6</v>
      </c>
      <c r="E252" s="1557">
        <v>186255.0</v>
      </c>
      <c r="F252" s="598">
        <v>6668.0</v>
      </c>
      <c r="G252" s="598">
        <v>10645.0</v>
      </c>
      <c r="H252" s="598">
        <v>17194.0</v>
      </c>
      <c r="I252" s="598">
        <v>723.0</v>
      </c>
      <c r="J252" s="598">
        <v>165230.0</v>
      </c>
      <c r="K252" s="1561">
        <v>86402.0</v>
      </c>
      <c r="L252" s="1555">
        <v>48763.0</v>
      </c>
    </row>
    <row r="253">
      <c r="A253" s="1545" t="s">
        <v>378</v>
      </c>
      <c r="B253" s="1587">
        <v>55620.0</v>
      </c>
      <c r="C253" s="1547">
        <v>1479.0</v>
      </c>
      <c r="D253" s="1548">
        <v>16.5</v>
      </c>
      <c r="E253" s="1557">
        <v>44207.0</v>
      </c>
      <c r="F253" s="598">
        <v>1009.0</v>
      </c>
      <c r="G253" s="598">
        <v>984.0</v>
      </c>
      <c r="H253" s="598">
        <v>816.0</v>
      </c>
      <c r="I253" s="598">
        <v>123.0</v>
      </c>
      <c r="J253" s="598">
        <v>2808.0</v>
      </c>
      <c r="K253" s="1561">
        <v>5673.0</v>
      </c>
      <c r="L253" s="1551">
        <v>56500.0</v>
      </c>
    </row>
    <row r="254">
      <c r="A254" s="1545" t="s">
        <v>379</v>
      </c>
      <c r="B254" s="1587">
        <v>843843.0</v>
      </c>
      <c r="C254" s="1547">
        <v>23617.0</v>
      </c>
      <c r="D254" s="1548">
        <v>12.4</v>
      </c>
      <c r="E254" s="1557">
        <v>428677.0</v>
      </c>
      <c r="F254" s="598">
        <v>15330.0</v>
      </c>
      <c r="G254" s="598">
        <v>14573.0</v>
      </c>
      <c r="H254" s="598">
        <v>64923.0</v>
      </c>
      <c r="I254" s="598">
        <v>1723.0</v>
      </c>
      <c r="J254" s="598">
        <v>173436.0</v>
      </c>
      <c r="K254" s="1561">
        <v>145181.0</v>
      </c>
      <c r="L254" s="1555">
        <v>84170.0</v>
      </c>
    </row>
    <row r="255">
      <c r="A255" s="1545" t="s">
        <v>380</v>
      </c>
      <c r="B255" s="1587">
        <v>216403.0</v>
      </c>
      <c r="C255" s="1547">
        <v>6967.0</v>
      </c>
      <c r="D255" s="1548">
        <v>15.2</v>
      </c>
      <c r="E255" s="1557">
        <v>107304.0</v>
      </c>
      <c r="F255" s="598">
        <v>6164.0</v>
      </c>
      <c r="G255" s="598">
        <v>3366.0</v>
      </c>
      <c r="H255" s="598">
        <v>30392.0</v>
      </c>
      <c r="I255" s="598">
        <v>1179.0</v>
      </c>
      <c r="J255" s="598">
        <v>33887.0</v>
      </c>
      <c r="K255" s="1561">
        <v>34111.0</v>
      </c>
      <c r="L255" s="1555">
        <v>67804.0</v>
      </c>
    </row>
    <row r="256">
      <c r="A256" s="1528" t="s">
        <v>383</v>
      </c>
      <c r="B256" s="1595">
        <v>81575.0</v>
      </c>
      <c r="C256" s="1530">
        <v>4642.0</v>
      </c>
      <c r="D256" s="1567">
        <v>21.8</v>
      </c>
      <c r="E256" s="1532">
        <v>46590.0</v>
      </c>
      <c r="F256" s="1533">
        <v>3052.0</v>
      </c>
      <c r="G256" s="1533">
        <v>1754.0</v>
      </c>
      <c r="H256" s="1533">
        <v>5774.0</v>
      </c>
      <c r="I256" s="1533">
        <v>405.0</v>
      </c>
      <c r="J256" s="1533">
        <v>12227.0</v>
      </c>
      <c r="K256" s="1535">
        <v>11773.0</v>
      </c>
      <c r="L256" s="1537">
        <v>47504.0</v>
      </c>
    </row>
    <row r="257">
      <c r="A257" s="1538" t="s">
        <v>36</v>
      </c>
      <c r="B257" s="1596">
        <v>5773714.0</v>
      </c>
      <c r="C257" s="1540">
        <v>151618.0</v>
      </c>
      <c r="D257" s="1571">
        <v>12.1</v>
      </c>
      <c r="E257" s="1572">
        <v>4082927.0</v>
      </c>
      <c r="F257" s="1542">
        <v>234828.0</v>
      </c>
      <c r="G257" s="1542">
        <v>74129.0</v>
      </c>
      <c r="H257" s="1542">
        <v>199827.0</v>
      </c>
      <c r="I257" s="1542">
        <v>10287.0</v>
      </c>
      <c r="J257" s="1542">
        <v>464046.0</v>
      </c>
      <c r="K257" s="1543">
        <v>707670.0</v>
      </c>
      <c r="L257" s="1544">
        <v>71949.0</v>
      </c>
    </row>
    <row r="258">
      <c r="A258" s="1545" t="s">
        <v>386</v>
      </c>
      <c r="B258" s="1586">
        <v>519572.0</v>
      </c>
      <c r="C258" s="1547">
        <v>16897.0</v>
      </c>
      <c r="D258" s="1548">
        <v>12.6</v>
      </c>
      <c r="E258" s="1549">
        <v>289718.0</v>
      </c>
      <c r="F258" s="1593">
        <v>17463.0</v>
      </c>
      <c r="G258" s="1593">
        <v>9520.0</v>
      </c>
      <c r="H258" s="1593">
        <v>23268.0</v>
      </c>
      <c r="I258" s="1593">
        <v>925.0</v>
      </c>
      <c r="J258" s="1593">
        <v>87386.0</v>
      </c>
      <c r="K258" s="1594">
        <v>91292.0</v>
      </c>
      <c r="L258" s="1555">
        <v>70199.0</v>
      </c>
    </row>
    <row r="259">
      <c r="A259" s="1545" t="s">
        <v>388</v>
      </c>
      <c r="B259" s="1587">
        <v>16376.0</v>
      </c>
      <c r="C259" s="1563">
        <v>968.0</v>
      </c>
      <c r="D259" s="1548">
        <v>24.3</v>
      </c>
      <c r="E259" s="1549">
        <v>10069.0</v>
      </c>
      <c r="F259" s="1593">
        <v>251.0</v>
      </c>
      <c r="G259" s="1593">
        <v>709.0</v>
      </c>
      <c r="H259" s="1593">
        <v>180.0</v>
      </c>
      <c r="I259" s="1593">
        <v>19.0</v>
      </c>
      <c r="J259" s="1593">
        <v>2242.0</v>
      </c>
      <c r="K259" s="1594">
        <v>2906.0</v>
      </c>
      <c r="L259" s="1551">
        <v>42897.0</v>
      </c>
    </row>
    <row r="260">
      <c r="A260" s="1545" t="s">
        <v>389</v>
      </c>
      <c r="B260" s="1587">
        <v>655070.0</v>
      </c>
      <c r="C260" s="1547">
        <v>15606.0</v>
      </c>
      <c r="D260" s="1548">
        <v>10.3</v>
      </c>
      <c r="E260" s="1557">
        <v>396027.0</v>
      </c>
      <c r="F260" s="598">
        <v>70787.0</v>
      </c>
      <c r="G260" s="598">
        <v>6820.0</v>
      </c>
      <c r="H260" s="598">
        <v>42472.0</v>
      </c>
      <c r="I260" s="598">
        <v>1777.0</v>
      </c>
      <c r="J260" s="598">
        <v>54355.0</v>
      </c>
      <c r="K260" s="1561">
        <v>82832.0</v>
      </c>
      <c r="L260" s="1555">
        <v>76665.0</v>
      </c>
    </row>
    <row r="261">
      <c r="A261" s="1545" t="s">
        <v>390</v>
      </c>
      <c r="B261" s="1587">
        <v>13359.0</v>
      </c>
      <c r="C261" s="1563">
        <v>506.0</v>
      </c>
      <c r="D261" s="1548">
        <v>20.7</v>
      </c>
      <c r="E261" s="1557">
        <v>10749.0</v>
      </c>
      <c r="F261" s="598">
        <v>41.0</v>
      </c>
      <c r="G261" s="598">
        <v>240.0</v>
      </c>
      <c r="H261" s="598">
        <v>105.0</v>
      </c>
      <c r="I261" s="598">
        <v>6.0</v>
      </c>
      <c r="J261" s="598">
        <v>620.0</v>
      </c>
      <c r="K261" s="1561">
        <v>1598.0</v>
      </c>
      <c r="L261" s="1551">
        <v>53337.0</v>
      </c>
    </row>
    <row r="262">
      <c r="A262" s="1545" t="s">
        <v>392</v>
      </c>
      <c r="B262" s="1587">
        <v>3506.0</v>
      </c>
      <c r="C262" s="1563">
        <v>233.0</v>
      </c>
      <c r="D262" s="1548">
        <v>29.3</v>
      </c>
      <c r="E262" s="1557">
        <v>3043.0</v>
      </c>
      <c r="F262" s="598">
        <v>26.0</v>
      </c>
      <c r="G262" s="598">
        <v>42.0</v>
      </c>
      <c r="H262" s="598">
        <v>13.0</v>
      </c>
      <c r="I262" s="598">
        <v>0.0</v>
      </c>
      <c r="J262" s="598">
        <v>150.0</v>
      </c>
      <c r="K262" s="1561">
        <v>232.0</v>
      </c>
      <c r="L262" s="1551">
        <v>38294.0</v>
      </c>
    </row>
    <row r="263">
      <c r="A263" s="1545" t="s">
        <v>394</v>
      </c>
      <c r="B263" s="1587">
        <v>5650.0</v>
      </c>
      <c r="C263" s="1563">
        <v>266.0</v>
      </c>
      <c r="D263" s="1548">
        <v>30.4</v>
      </c>
      <c r="E263" s="1557">
        <v>3831.0</v>
      </c>
      <c r="F263" s="598">
        <v>256.0</v>
      </c>
      <c r="G263" s="598">
        <v>162.0</v>
      </c>
      <c r="H263" s="598">
        <v>52.0</v>
      </c>
      <c r="I263" s="598">
        <v>0.0</v>
      </c>
      <c r="J263" s="598">
        <v>862.0</v>
      </c>
      <c r="K263" s="1561">
        <v>487.0</v>
      </c>
      <c r="L263" s="1551">
        <v>37659.0</v>
      </c>
    </row>
    <row r="264">
      <c r="A264" s="1545" t="s">
        <v>395</v>
      </c>
      <c r="B264" s="1587">
        <v>330758.0</v>
      </c>
      <c r="C264" s="1547">
        <v>4149.0</v>
      </c>
      <c r="D264" s="1548">
        <v>6.7</v>
      </c>
      <c r="E264" s="1557">
        <v>255983.0</v>
      </c>
      <c r="F264" s="598">
        <v>3393.0</v>
      </c>
      <c r="G264" s="598">
        <v>2509.0</v>
      </c>
      <c r="H264" s="598">
        <v>16450.0</v>
      </c>
      <c r="I264" s="598">
        <v>274.0</v>
      </c>
      <c r="J264" s="598">
        <v>19148.0</v>
      </c>
      <c r="K264" s="1561">
        <v>33001.0</v>
      </c>
      <c r="L264" s="1555">
        <v>83591.0</v>
      </c>
    </row>
    <row r="265">
      <c r="A265" s="1545" t="s">
        <v>396</v>
      </c>
      <c r="B265" s="1587">
        <v>74112.0</v>
      </c>
      <c r="C265" s="1563">
        <v>814.0</v>
      </c>
      <c r="D265" s="1548">
        <v>5.1</v>
      </c>
      <c r="E265" s="1557">
        <v>56334.0</v>
      </c>
      <c r="F265" s="598">
        <v>989.0</v>
      </c>
      <c r="G265" s="598">
        <v>435.0</v>
      </c>
      <c r="H265" s="598">
        <v>5146.0</v>
      </c>
      <c r="I265" s="598">
        <v>89.0</v>
      </c>
      <c r="J265" s="598">
        <v>3017.0</v>
      </c>
      <c r="K265" s="1561">
        <v>8102.0</v>
      </c>
      <c r="L265" s="1555">
        <v>96924.0</v>
      </c>
    </row>
    <row r="266">
      <c r="A266" s="1545" t="s">
        <v>397</v>
      </c>
      <c r="B266" s="1587">
        <v>19476.0</v>
      </c>
      <c r="C266" s="1563">
        <v>408.0</v>
      </c>
      <c r="D266" s="1548">
        <v>13.7</v>
      </c>
      <c r="E266" s="1557">
        <v>16693.0</v>
      </c>
      <c r="F266" s="598">
        <v>296.0</v>
      </c>
      <c r="G266" s="598">
        <v>185.0</v>
      </c>
      <c r="H266" s="598">
        <v>137.0</v>
      </c>
      <c r="I266" s="598">
        <v>13.0</v>
      </c>
      <c r="J266" s="598">
        <v>782.0</v>
      </c>
      <c r="K266" s="1561">
        <v>1370.0</v>
      </c>
      <c r="L266" s="1551">
        <v>56168.0</v>
      </c>
    </row>
    <row r="267">
      <c r="A267" s="1545" t="s">
        <v>399</v>
      </c>
      <c r="B267" s="1587">
        <v>1748.0</v>
      </c>
      <c r="C267" s="1563">
        <v>93.0</v>
      </c>
      <c r="D267" s="1548">
        <v>20.4</v>
      </c>
      <c r="E267" s="1557">
        <v>1534.0</v>
      </c>
      <c r="F267" s="598">
        <v>1.0</v>
      </c>
      <c r="G267" s="598">
        <v>13.0</v>
      </c>
      <c r="H267" s="598">
        <v>4.0</v>
      </c>
      <c r="I267" s="598">
        <v>0.0</v>
      </c>
      <c r="J267" s="598">
        <v>84.0</v>
      </c>
      <c r="K267" s="1561">
        <v>112.0</v>
      </c>
      <c r="L267" s="1551">
        <v>54504.0</v>
      </c>
    </row>
    <row r="268">
      <c r="A268" s="1545" t="s">
        <v>400</v>
      </c>
      <c r="B268" s="1587">
        <v>9397.0</v>
      </c>
      <c r="C268" s="1563">
        <v>146.0</v>
      </c>
      <c r="D268" s="1548">
        <v>10.2</v>
      </c>
      <c r="E268" s="1557">
        <v>8323.0</v>
      </c>
      <c r="F268" s="598">
        <v>52.0</v>
      </c>
      <c r="G268" s="598">
        <v>73.0</v>
      </c>
      <c r="H268" s="598">
        <v>83.0</v>
      </c>
      <c r="I268" s="598">
        <v>9.0</v>
      </c>
      <c r="J268" s="598">
        <v>162.0</v>
      </c>
      <c r="K268" s="1561">
        <v>695.0</v>
      </c>
      <c r="L268" s="1551">
        <v>74019.0</v>
      </c>
    </row>
    <row r="269">
      <c r="A269" s="1545" t="s">
        <v>402</v>
      </c>
      <c r="B269" s="1587">
        <v>7461.0</v>
      </c>
      <c r="C269" s="1563">
        <v>582.0</v>
      </c>
      <c r="D269" s="1548">
        <v>27.5</v>
      </c>
      <c r="E269" s="1557">
        <v>5045.0</v>
      </c>
      <c r="F269" s="598">
        <v>27.0</v>
      </c>
      <c r="G269" s="598">
        <v>167.0</v>
      </c>
      <c r="H269" s="598">
        <v>21.0</v>
      </c>
      <c r="I269" s="598">
        <v>2.0</v>
      </c>
      <c r="J269" s="598">
        <v>1056.0</v>
      </c>
      <c r="K269" s="1561">
        <v>1143.0</v>
      </c>
      <c r="L269" s="1551">
        <v>38777.0</v>
      </c>
    </row>
    <row r="270">
      <c r="A270" s="1545" t="s">
        <v>403</v>
      </c>
      <c r="B270" s="1587">
        <v>3499.0</v>
      </c>
      <c r="C270" s="1563">
        <v>266.0</v>
      </c>
      <c r="D270" s="1548">
        <v>36.9</v>
      </c>
      <c r="E270" s="1557">
        <v>1827.0</v>
      </c>
      <c r="F270" s="598">
        <v>40.0</v>
      </c>
      <c r="G270" s="598">
        <v>66.0</v>
      </c>
      <c r="H270" s="598">
        <v>56.0</v>
      </c>
      <c r="I270" s="598">
        <v>0.0</v>
      </c>
      <c r="J270" s="598">
        <v>518.0</v>
      </c>
      <c r="K270" s="1561">
        <v>992.0</v>
      </c>
      <c r="L270" s="1551">
        <v>31557.0</v>
      </c>
    </row>
    <row r="271">
      <c r="A271" s="1545" t="s">
        <v>404</v>
      </c>
      <c r="B271" s="1587">
        <v>5922.0</v>
      </c>
      <c r="C271" s="1563">
        <v>197.0</v>
      </c>
      <c r="D271" s="1548">
        <v>29.7</v>
      </c>
      <c r="E271" s="1557">
        <v>3747.0</v>
      </c>
      <c r="F271" s="598">
        <v>517.0</v>
      </c>
      <c r="G271" s="598">
        <v>180.0</v>
      </c>
      <c r="H271" s="598">
        <v>74.0</v>
      </c>
      <c r="I271" s="598">
        <v>2.0</v>
      </c>
      <c r="J271" s="598">
        <v>1022.0</v>
      </c>
      <c r="K271" s="1561">
        <v>380.0</v>
      </c>
      <c r="L271" s="1551">
        <v>35880.0</v>
      </c>
    </row>
    <row r="272">
      <c r="A272" s="1545" t="s">
        <v>406</v>
      </c>
      <c r="B272" s="1587">
        <v>4704.0</v>
      </c>
      <c r="C272" s="1563">
        <v>169.0</v>
      </c>
      <c r="D272" s="1548">
        <v>24.9</v>
      </c>
      <c r="E272" s="1557">
        <v>4279.0</v>
      </c>
      <c r="F272" s="598">
        <v>11.0</v>
      </c>
      <c r="G272" s="598">
        <v>53.0</v>
      </c>
      <c r="H272" s="598">
        <v>23.0</v>
      </c>
      <c r="I272" s="598">
        <v>0.0</v>
      </c>
      <c r="J272" s="598">
        <v>80.0</v>
      </c>
      <c r="K272" s="1561">
        <v>258.0</v>
      </c>
      <c r="L272" s="1551">
        <v>55242.0</v>
      </c>
    </row>
    <row r="273">
      <c r="A273" s="1545" t="s">
        <v>407</v>
      </c>
      <c r="B273" s="1587">
        <v>31196.0</v>
      </c>
      <c r="C273" s="1547">
        <v>1411.0</v>
      </c>
      <c r="D273" s="1548">
        <v>23.1</v>
      </c>
      <c r="E273" s="1557">
        <v>26117.0</v>
      </c>
      <c r="F273" s="598">
        <v>145.0</v>
      </c>
      <c r="G273" s="598">
        <v>294.0</v>
      </c>
      <c r="H273" s="598">
        <v>243.0</v>
      </c>
      <c r="I273" s="598">
        <v>9.0</v>
      </c>
      <c r="J273" s="598">
        <v>1761.0</v>
      </c>
      <c r="K273" s="1561">
        <v>2627.0</v>
      </c>
      <c r="L273" s="1551">
        <v>46786.0</v>
      </c>
    </row>
    <row r="274">
      <c r="A274" s="1545" t="s">
        <v>408</v>
      </c>
      <c r="B274" s="1587">
        <v>715522.0</v>
      </c>
      <c r="C274" s="1547">
        <v>23024.0</v>
      </c>
      <c r="D274" s="1548">
        <v>16.7</v>
      </c>
      <c r="E274" s="1557">
        <v>433946.0</v>
      </c>
      <c r="F274" s="598">
        <v>64038.0</v>
      </c>
      <c r="G274" s="598">
        <v>10601.0</v>
      </c>
      <c r="H274" s="598">
        <v>27875.0</v>
      </c>
      <c r="I274" s="598">
        <v>1531.0</v>
      </c>
      <c r="J274" s="598">
        <v>80773.0</v>
      </c>
      <c r="K274" s="1561">
        <v>96758.0</v>
      </c>
      <c r="L274" s="1555">
        <v>68069.0</v>
      </c>
    </row>
    <row r="275">
      <c r="A275" s="1545" t="s">
        <v>411</v>
      </c>
      <c r="B275" s="1587">
        <v>2326.0</v>
      </c>
      <c r="C275" s="1563">
        <v>68.0</v>
      </c>
      <c r="D275" s="1548">
        <v>16.5</v>
      </c>
      <c r="E275" s="1557">
        <v>2021.0</v>
      </c>
      <c r="F275" s="598">
        <v>18.0</v>
      </c>
      <c r="G275" s="598">
        <v>42.0</v>
      </c>
      <c r="H275" s="598">
        <v>6.0</v>
      </c>
      <c r="I275" s="598">
        <v>4.0</v>
      </c>
      <c r="J275" s="598">
        <v>34.0</v>
      </c>
      <c r="K275" s="1561">
        <v>201.0</v>
      </c>
      <c r="L275" s="1551">
        <v>47482.0</v>
      </c>
    </row>
    <row r="276">
      <c r="A276" s="1545" t="s">
        <v>412</v>
      </c>
      <c r="B276" s="1587">
        <v>357978.0</v>
      </c>
      <c r="C276" s="1547">
        <v>2227.0</v>
      </c>
      <c r="D276" s="1548">
        <v>2.5</v>
      </c>
      <c r="E276" s="1557">
        <v>289005.0</v>
      </c>
      <c r="F276" s="598">
        <v>5160.0</v>
      </c>
      <c r="G276" s="598">
        <v>1820.0</v>
      </c>
      <c r="H276" s="598">
        <v>20064.0</v>
      </c>
      <c r="I276" s="598">
        <v>345.0</v>
      </c>
      <c r="J276" s="598">
        <v>7685.0</v>
      </c>
      <c r="K276" s="1561">
        <v>33899.0</v>
      </c>
      <c r="L276" s="1555">
        <v>120670.0</v>
      </c>
    </row>
    <row r="277">
      <c r="A277" s="1545" t="s">
        <v>413</v>
      </c>
      <c r="B277" s="1587">
        <v>55731.0</v>
      </c>
      <c r="C277" s="1563">
        <v>959.0</v>
      </c>
      <c r="D277" s="1548">
        <v>8.1</v>
      </c>
      <c r="E277" s="1557">
        <v>39594.0</v>
      </c>
      <c r="F277" s="598">
        <v>340.0</v>
      </c>
      <c r="G277" s="598">
        <v>497.0</v>
      </c>
      <c r="H277" s="598">
        <v>727.0</v>
      </c>
      <c r="I277" s="598">
        <v>47.0</v>
      </c>
      <c r="J277" s="598">
        <v>6608.0</v>
      </c>
      <c r="K277" s="1561">
        <v>7918.0</v>
      </c>
      <c r="L277" s="1551">
        <v>86896.0</v>
      </c>
    </row>
    <row r="278">
      <c r="A278" s="1545" t="s">
        <v>414</v>
      </c>
      <c r="B278" s="1587">
        <v>26062.0</v>
      </c>
      <c r="C278" s="1563">
        <v>409.0</v>
      </c>
      <c r="D278" s="1548">
        <v>7.2</v>
      </c>
      <c r="E278" s="1557">
        <v>22817.0</v>
      </c>
      <c r="F278" s="598">
        <v>123.0</v>
      </c>
      <c r="G278" s="598">
        <v>182.0</v>
      </c>
      <c r="H278" s="598">
        <v>187.0</v>
      </c>
      <c r="I278" s="598">
        <v>22.0</v>
      </c>
      <c r="J278" s="598">
        <v>569.0</v>
      </c>
      <c r="K278" s="1561">
        <v>2162.0</v>
      </c>
      <c r="L278" s="1551">
        <v>98247.0</v>
      </c>
    </row>
    <row r="279">
      <c r="A279" s="1545" t="s">
        <v>415</v>
      </c>
      <c r="B279" s="1587">
        <v>730395.0</v>
      </c>
      <c r="C279" s="1547">
        <v>22394.0</v>
      </c>
      <c r="D279" s="1548">
        <v>13.2</v>
      </c>
      <c r="E279" s="1557">
        <v>516911.0</v>
      </c>
      <c r="F279" s="598">
        <v>43822.0</v>
      </c>
      <c r="G279" s="598">
        <v>7519.0</v>
      </c>
      <c r="H279" s="598">
        <v>22471.0</v>
      </c>
      <c r="I279" s="598">
        <v>3091.0</v>
      </c>
      <c r="J279" s="598">
        <v>43074.0</v>
      </c>
      <c r="K279" s="1561">
        <v>93507.0</v>
      </c>
      <c r="L279" s="1555">
        <v>67923.0</v>
      </c>
    </row>
    <row r="280">
      <c r="A280" s="1545" t="s">
        <v>416</v>
      </c>
      <c r="B280" s="1587">
        <v>48939.0</v>
      </c>
      <c r="C280" s="1547">
        <v>1693.0</v>
      </c>
      <c r="D280" s="1548">
        <v>22.1</v>
      </c>
      <c r="E280" s="1557">
        <v>39965.0</v>
      </c>
      <c r="F280" s="598">
        <v>1848.0</v>
      </c>
      <c r="G280" s="598">
        <v>850.0</v>
      </c>
      <c r="H280" s="598">
        <v>338.0</v>
      </c>
      <c r="I280" s="598">
        <v>30.0</v>
      </c>
      <c r="J280" s="598">
        <v>2515.0</v>
      </c>
      <c r="K280" s="1561">
        <v>3393.0</v>
      </c>
      <c r="L280" s="1551">
        <v>47885.0</v>
      </c>
    </row>
    <row r="281">
      <c r="A281" s="1545" t="s">
        <v>417</v>
      </c>
      <c r="B281" s="1587">
        <v>61685.0</v>
      </c>
      <c r="C281" s="1547">
        <v>1696.0</v>
      </c>
      <c r="D281" s="1548">
        <v>11.4</v>
      </c>
      <c r="E281" s="1557">
        <v>42038.0</v>
      </c>
      <c r="F281" s="598">
        <v>335.0</v>
      </c>
      <c r="G281" s="598">
        <v>870.0</v>
      </c>
      <c r="H281" s="598">
        <v>411.0</v>
      </c>
      <c r="I281" s="598">
        <v>40.0</v>
      </c>
      <c r="J281" s="598">
        <v>9751.0</v>
      </c>
      <c r="K281" s="1561">
        <v>8240.0</v>
      </c>
      <c r="L281" s="1551">
        <v>74421.0</v>
      </c>
    </row>
    <row r="282">
      <c r="A282" s="1545" t="s">
        <v>418</v>
      </c>
      <c r="B282" s="1587">
        <v>5808.0</v>
      </c>
      <c r="C282" s="1563">
        <v>95.0</v>
      </c>
      <c r="D282" s="1548">
        <v>10.1</v>
      </c>
      <c r="E282" s="1557">
        <v>5077.0</v>
      </c>
      <c r="F282" s="598">
        <v>38.0</v>
      </c>
      <c r="G282" s="598">
        <v>59.0</v>
      </c>
      <c r="H282" s="598">
        <v>94.0</v>
      </c>
      <c r="I282" s="598">
        <v>4.0</v>
      </c>
      <c r="J282" s="598">
        <v>76.0</v>
      </c>
      <c r="K282" s="1561">
        <v>460.0</v>
      </c>
      <c r="L282" s="1551">
        <v>72949.0</v>
      </c>
    </row>
    <row r="283">
      <c r="A283" s="1545" t="s">
        <v>421</v>
      </c>
      <c r="B283" s="1587">
        <v>15717.0</v>
      </c>
      <c r="C283" s="1563">
        <v>302.0</v>
      </c>
      <c r="D283" s="1548">
        <v>11.7</v>
      </c>
      <c r="E283" s="1557">
        <v>13772.0</v>
      </c>
      <c r="F283" s="598">
        <v>64.0</v>
      </c>
      <c r="G283" s="598">
        <v>80.0</v>
      </c>
      <c r="H283" s="598">
        <v>90.0</v>
      </c>
      <c r="I283" s="598">
        <v>17.0</v>
      </c>
      <c r="J283" s="598">
        <v>734.0</v>
      </c>
      <c r="K283" s="1561">
        <v>960.0</v>
      </c>
      <c r="L283" s="1551">
        <v>69214.0</v>
      </c>
    </row>
    <row r="284">
      <c r="A284" s="1545" t="s">
        <v>422</v>
      </c>
      <c r="B284" s="1587">
        <v>16918.0</v>
      </c>
      <c r="C284" s="1563">
        <v>301.0</v>
      </c>
      <c r="D284" s="1548">
        <v>10.4</v>
      </c>
      <c r="E284" s="1557">
        <v>14652.0</v>
      </c>
      <c r="F284" s="598">
        <v>88.0</v>
      </c>
      <c r="G284" s="598">
        <v>203.0</v>
      </c>
      <c r="H284" s="598">
        <v>122.0</v>
      </c>
      <c r="I284" s="598">
        <v>7.0</v>
      </c>
      <c r="J284" s="598">
        <v>672.0</v>
      </c>
      <c r="K284" s="1561">
        <v>1174.0</v>
      </c>
      <c r="L284" s="1551">
        <v>61268.0</v>
      </c>
    </row>
    <row r="285">
      <c r="A285" s="1545" t="s">
        <v>424</v>
      </c>
      <c r="B285" s="1587">
        <v>788.0</v>
      </c>
      <c r="C285" s="1563">
        <v>19.0</v>
      </c>
      <c r="D285" s="1548">
        <v>17.0</v>
      </c>
      <c r="E285" s="1557">
        <v>706.0</v>
      </c>
      <c r="F285" s="598">
        <v>8.0</v>
      </c>
      <c r="G285" s="598">
        <v>6.0</v>
      </c>
      <c r="H285" s="598">
        <v>3.0</v>
      </c>
      <c r="I285" s="598">
        <v>1.0</v>
      </c>
      <c r="J285" s="598">
        <v>6.0</v>
      </c>
      <c r="K285" s="1561">
        <v>58.0</v>
      </c>
      <c r="L285" s="1551">
        <v>62149.0</v>
      </c>
    </row>
    <row r="286">
      <c r="A286" s="1545" t="s">
        <v>425</v>
      </c>
      <c r="B286" s="1587">
        <v>6820.0</v>
      </c>
      <c r="C286" s="1563">
        <v>415.0</v>
      </c>
      <c r="D286" s="1548">
        <v>37.4</v>
      </c>
      <c r="E286" s="1557">
        <v>4997.0</v>
      </c>
      <c r="F286" s="598">
        <v>65.0</v>
      </c>
      <c r="G286" s="598">
        <v>175.0</v>
      </c>
      <c r="H286" s="598">
        <v>31.0</v>
      </c>
      <c r="I286" s="598">
        <v>0.0</v>
      </c>
      <c r="J286" s="598">
        <v>532.0</v>
      </c>
      <c r="K286" s="1561">
        <v>1020.0</v>
      </c>
      <c r="L286" s="1551">
        <v>38242.0</v>
      </c>
    </row>
    <row r="287">
      <c r="A287" s="1545" t="s">
        <v>142</v>
      </c>
      <c r="B287" s="1587">
        <v>1379.0</v>
      </c>
      <c r="C287" s="1563">
        <v>48.0</v>
      </c>
      <c r="D287" s="1548">
        <v>20.0</v>
      </c>
      <c r="E287" s="1557">
        <v>1199.0</v>
      </c>
      <c r="F287" s="598">
        <v>0.0</v>
      </c>
      <c r="G287" s="598">
        <v>14.0</v>
      </c>
      <c r="H287" s="598">
        <v>2.0</v>
      </c>
      <c r="I287" s="598">
        <v>2.0</v>
      </c>
      <c r="J287" s="598">
        <v>50.0</v>
      </c>
      <c r="K287" s="1561">
        <v>112.0</v>
      </c>
      <c r="L287" s="1551">
        <v>51457.0</v>
      </c>
    </row>
    <row r="288">
      <c r="A288" s="1545" t="s">
        <v>143</v>
      </c>
      <c r="B288" s="1587">
        <v>582910.0</v>
      </c>
      <c r="C288" s="1547">
        <v>9004.0</v>
      </c>
      <c r="D288" s="1548">
        <v>8.0</v>
      </c>
      <c r="E288" s="1557">
        <v>460764.0</v>
      </c>
      <c r="F288" s="598">
        <v>7356.0</v>
      </c>
      <c r="G288" s="598">
        <v>6039.0</v>
      </c>
      <c r="H288" s="598">
        <v>18157.0</v>
      </c>
      <c r="I288" s="598">
        <v>536.0</v>
      </c>
      <c r="J288" s="598">
        <v>27086.0</v>
      </c>
      <c r="K288" s="1561">
        <v>62972.0</v>
      </c>
      <c r="L288" s="1555">
        <v>85550.0</v>
      </c>
    </row>
    <row r="289">
      <c r="A289" s="1545" t="s">
        <v>427</v>
      </c>
      <c r="B289" s="1587">
        <v>1446.0</v>
      </c>
      <c r="C289" s="1563">
        <v>59.0</v>
      </c>
      <c r="D289" s="1548">
        <v>19.2</v>
      </c>
      <c r="E289" s="1557">
        <v>1290.0</v>
      </c>
      <c r="F289" s="598">
        <v>4.0</v>
      </c>
      <c r="G289" s="598">
        <v>0.0</v>
      </c>
      <c r="H289" s="598">
        <v>9.0</v>
      </c>
      <c r="I289" s="598">
        <v>1.0</v>
      </c>
      <c r="J289" s="598">
        <v>20.0</v>
      </c>
      <c r="K289" s="1561">
        <v>122.0</v>
      </c>
      <c r="L289" s="1551">
        <v>44704.0</v>
      </c>
    </row>
    <row r="290">
      <c r="A290" s="1545" t="s">
        <v>428</v>
      </c>
      <c r="B290" s="1587">
        <v>7087.0</v>
      </c>
      <c r="C290" s="1563">
        <v>365.0</v>
      </c>
      <c r="D290" s="1548">
        <v>20.1</v>
      </c>
      <c r="E290" s="1557">
        <v>5649.0</v>
      </c>
      <c r="F290" s="598">
        <v>24.0</v>
      </c>
      <c r="G290" s="598">
        <v>45.0</v>
      </c>
      <c r="H290" s="598">
        <v>31.0</v>
      </c>
      <c r="I290" s="598">
        <v>10.0</v>
      </c>
      <c r="J290" s="598">
        <v>613.0</v>
      </c>
      <c r="K290" s="1561">
        <v>715.0</v>
      </c>
      <c r="L290" s="1551">
        <v>48342.0</v>
      </c>
    </row>
    <row r="291">
      <c r="A291" s="1545" t="s">
        <v>337</v>
      </c>
      <c r="B291" s="1587">
        <v>7436.0</v>
      </c>
      <c r="C291" s="1563">
        <v>284.0</v>
      </c>
      <c r="D291" s="1548">
        <v>18.5</v>
      </c>
      <c r="E291" s="1557">
        <v>4996.0</v>
      </c>
      <c r="F291" s="598">
        <v>38.0</v>
      </c>
      <c r="G291" s="598">
        <v>157.0</v>
      </c>
      <c r="H291" s="598">
        <v>67.0</v>
      </c>
      <c r="I291" s="598">
        <v>8.0</v>
      </c>
      <c r="J291" s="598">
        <v>1057.0</v>
      </c>
      <c r="K291" s="1561">
        <v>1113.0</v>
      </c>
      <c r="L291" s="1551">
        <v>51802.0</v>
      </c>
    </row>
    <row r="292">
      <c r="A292" s="1545" t="s">
        <v>429</v>
      </c>
      <c r="B292" s="1587">
        <v>55638.0</v>
      </c>
      <c r="C292" s="1547">
        <v>1148.0</v>
      </c>
      <c r="D292" s="1548">
        <v>10.8</v>
      </c>
      <c r="E292" s="1557">
        <v>44366.0</v>
      </c>
      <c r="F292" s="598">
        <v>205.0</v>
      </c>
      <c r="G292" s="598">
        <v>3342.0</v>
      </c>
      <c r="H292" s="598">
        <v>397.0</v>
      </c>
      <c r="I292" s="598">
        <v>36.0</v>
      </c>
      <c r="J292" s="598">
        <v>2280.0</v>
      </c>
      <c r="K292" s="1561">
        <v>5012.0</v>
      </c>
      <c r="L292" s="1551">
        <v>66219.0</v>
      </c>
    </row>
    <row r="293">
      <c r="A293" s="1545" t="s">
        <v>431</v>
      </c>
      <c r="B293" s="1587">
        <v>359066.0</v>
      </c>
      <c r="C293" s="1547">
        <v>5812.0</v>
      </c>
      <c r="D293" s="1548">
        <v>8.5</v>
      </c>
      <c r="E293" s="1557">
        <v>295995.0</v>
      </c>
      <c r="F293" s="598">
        <v>3815.0</v>
      </c>
      <c r="G293" s="598">
        <v>2878.0</v>
      </c>
      <c r="H293" s="598">
        <v>8538.0</v>
      </c>
      <c r="I293" s="598">
        <v>325.0</v>
      </c>
      <c r="J293" s="598">
        <v>13795.0</v>
      </c>
      <c r="K293" s="1561">
        <v>33720.0</v>
      </c>
      <c r="L293" s="1555">
        <v>71306.0</v>
      </c>
    </row>
    <row r="294">
      <c r="A294" s="1545" t="s">
        <v>432</v>
      </c>
      <c r="B294" s="1587">
        <v>14555.0</v>
      </c>
      <c r="C294" s="1563">
        <v>719.0</v>
      </c>
      <c r="D294" s="1548">
        <v>26.6</v>
      </c>
      <c r="E294" s="1557">
        <v>10035.0</v>
      </c>
      <c r="F294" s="598">
        <v>211.0</v>
      </c>
      <c r="G294" s="598">
        <v>367.0</v>
      </c>
      <c r="H294" s="598">
        <v>116.0</v>
      </c>
      <c r="I294" s="598">
        <v>19.0</v>
      </c>
      <c r="J294" s="598">
        <v>1603.0</v>
      </c>
      <c r="K294" s="1561">
        <v>2204.0</v>
      </c>
      <c r="L294" s="1551">
        <v>41485.0</v>
      </c>
    </row>
    <row r="295">
      <c r="A295" s="1545" t="s">
        <v>290</v>
      </c>
      <c r="B295" s="1587">
        <v>5675.0</v>
      </c>
      <c r="C295" s="1563">
        <v>232.0</v>
      </c>
      <c r="D295" s="1548">
        <v>21.0</v>
      </c>
      <c r="E295" s="1557">
        <v>4397.0</v>
      </c>
      <c r="F295" s="598">
        <v>275.0</v>
      </c>
      <c r="G295" s="598">
        <v>75.0</v>
      </c>
      <c r="H295" s="598">
        <v>47.0</v>
      </c>
      <c r="I295" s="598">
        <v>24.0</v>
      </c>
      <c r="J295" s="598">
        <v>493.0</v>
      </c>
      <c r="K295" s="1561">
        <v>364.0</v>
      </c>
      <c r="L295" s="1551">
        <v>46690.0</v>
      </c>
    </row>
    <row r="296">
      <c r="A296" s="1545" t="s">
        <v>293</v>
      </c>
      <c r="B296" s="1587">
        <v>21528.0</v>
      </c>
      <c r="C296" s="1563">
        <v>657.0</v>
      </c>
      <c r="D296" s="1548">
        <v>16.9</v>
      </c>
      <c r="E296" s="1557">
        <v>17261.0</v>
      </c>
      <c r="F296" s="598">
        <v>765.0</v>
      </c>
      <c r="G296" s="598">
        <v>231.0</v>
      </c>
      <c r="H296" s="598">
        <v>128.0</v>
      </c>
      <c r="I296" s="598">
        <v>23.0</v>
      </c>
      <c r="J296" s="598">
        <v>1618.0</v>
      </c>
      <c r="K296" s="1561">
        <v>1502.0</v>
      </c>
      <c r="L296" s="1551">
        <v>53168.0</v>
      </c>
    </row>
    <row r="297">
      <c r="A297" s="1545" t="s">
        <v>434</v>
      </c>
      <c r="B297" s="1587">
        <v>155703.0</v>
      </c>
      <c r="C297" s="1547">
        <v>6397.0</v>
      </c>
      <c r="D297" s="1548">
        <v>19.7</v>
      </c>
      <c r="E297" s="1557">
        <v>127970.0</v>
      </c>
      <c r="F297" s="598">
        <v>1151.0</v>
      </c>
      <c r="G297" s="598">
        <v>1723.0</v>
      </c>
      <c r="H297" s="598">
        <v>1676.0</v>
      </c>
      <c r="I297" s="598">
        <v>208.0</v>
      </c>
      <c r="J297" s="598">
        <v>7821.0</v>
      </c>
      <c r="K297" s="1561">
        <v>15154.0</v>
      </c>
      <c r="L297" s="1555">
        <v>51132.0</v>
      </c>
    </row>
    <row r="298">
      <c r="A298" s="1545" t="s">
        <v>435</v>
      </c>
      <c r="B298" s="1587">
        <v>865.0</v>
      </c>
      <c r="C298" s="1563">
        <v>18.0</v>
      </c>
      <c r="D298" s="1548">
        <v>15.9</v>
      </c>
      <c r="E298" s="1557">
        <v>789.0</v>
      </c>
      <c r="F298" s="598">
        <v>3.0</v>
      </c>
      <c r="G298" s="598">
        <v>6.0</v>
      </c>
      <c r="H298" s="598">
        <v>3.0</v>
      </c>
      <c r="I298" s="598">
        <v>0.0</v>
      </c>
      <c r="J298" s="598">
        <v>0.0</v>
      </c>
      <c r="K298" s="1561">
        <v>64.0</v>
      </c>
      <c r="L298" s="1551">
        <v>60210.0</v>
      </c>
    </row>
    <row r="299">
      <c r="A299" s="1545" t="s">
        <v>436</v>
      </c>
      <c r="B299" s="1587">
        <v>13292.0</v>
      </c>
      <c r="C299" s="1563">
        <v>565.0</v>
      </c>
      <c r="D299" s="1548">
        <v>16.7</v>
      </c>
      <c r="E299" s="1557">
        <v>10872.0</v>
      </c>
      <c r="F299" s="598">
        <v>77.0</v>
      </c>
      <c r="G299" s="598">
        <v>155.0</v>
      </c>
      <c r="H299" s="598">
        <v>54.0</v>
      </c>
      <c r="I299" s="598">
        <v>2.0</v>
      </c>
      <c r="J299" s="598">
        <v>789.0</v>
      </c>
      <c r="K299" s="1561">
        <v>1343.0</v>
      </c>
      <c r="L299" s="1551">
        <v>59500.0</v>
      </c>
    </row>
    <row r="300">
      <c r="A300" s="1545" t="s">
        <v>439</v>
      </c>
      <c r="B300" s="1587">
        <v>25849.0</v>
      </c>
      <c r="C300" s="1547">
        <v>1645.0</v>
      </c>
      <c r="D300" s="1548">
        <v>28.8</v>
      </c>
      <c r="E300" s="1557">
        <v>18958.0</v>
      </c>
      <c r="F300" s="598">
        <v>80.0</v>
      </c>
      <c r="G300" s="598">
        <v>3342.0</v>
      </c>
      <c r="H300" s="598">
        <v>143.0</v>
      </c>
      <c r="I300" s="598">
        <v>28.0</v>
      </c>
      <c r="J300" s="598">
        <v>1095.0</v>
      </c>
      <c r="K300" s="1561">
        <v>2203.0</v>
      </c>
      <c r="L300" s="1551">
        <v>50180.0</v>
      </c>
    </row>
    <row r="301">
      <c r="A301" s="1545" t="s">
        <v>440</v>
      </c>
      <c r="B301" s="1587">
        <v>42679.0</v>
      </c>
      <c r="C301" s="1547">
        <v>1573.0</v>
      </c>
      <c r="D301" s="1548">
        <v>17.4</v>
      </c>
      <c r="E301" s="1557">
        <v>33395.0</v>
      </c>
      <c r="F301" s="598">
        <v>181.0</v>
      </c>
      <c r="G301" s="598">
        <v>577.0</v>
      </c>
      <c r="H301" s="598">
        <v>338.0</v>
      </c>
      <c r="I301" s="598">
        <v>36.0</v>
      </c>
      <c r="J301" s="598">
        <v>3870.0</v>
      </c>
      <c r="K301" s="1561">
        <v>4282.0</v>
      </c>
      <c r="L301" s="1551">
        <v>52576.0</v>
      </c>
    </row>
    <row r="302">
      <c r="A302" s="1545" t="s">
        <v>158</v>
      </c>
      <c r="B302" s="1587">
        <v>29111.0</v>
      </c>
      <c r="C302" s="1547">
        <v>1123.0</v>
      </c>
      <c r="D302" s="1548">
        <v>15.3</v>
      </c>
      <c r="E302" s="1557">
        <v>19184.0</v>
      </c>
      <c r="F302" s="598">
        <v>975.0</v>
      </c>
      <c r="G302" s="598">
        <v>404.0</v>
      </c>
      <c r="H302" s="598">
        <v>157.0</v>
      </c>
      <c r="I302" s="598">
        <v>11.0</v>
      </c>
      <c r="J302" s="598">
        <v>4422.0</v>
      </c>
      <c r="K302" s="1561">
        <v>3958.0</v>
      </c>
      <c r="L302" s="1551">
        <v>55387.0</v>
      </c>
    </row>
    <row r="303">
      <c r="A303" s="1545" t="s">
        <v>441</v>
      </c>
      <c r="B303" s="1587">
        <v>18690.0</v>
      </c>
      <c r="C303" s="1547">
        <v>1297.0</v>
      </c>
      <c r="D303" s="1548">
        <v>29.9</v>
      </c>
      <c r="E303" s="1557">
        <v>12847.0</v>
      </c>
      <c r="F303" s="598">
        <v>165.0</v>
      </c>
      <c r="G303" s="598">
        <v>376.0</v>
      </c>
      <c r="H303" s="598">
        <v>101.0</v>
      </c>
      <c r="I303" s="598">
        <v>28.0</v>
      </c>
      <c r="J303" s="598">
        <v>2356.0</v>
      </c>
      <c r="K303" s="1561">
        <v>2817.0</v>
      </c>
      <c r="L303" s="1551">
        <v>40064.0</v>
      </c>
    </row>
    <row r="304">
      <c r="A304" s="1545" t="s">
        <v>444</v>
      </c>
      <c r="B304" s="1587">
        <v>4874.0</v>
      </c>
      <c r="C304" s="1563">
        <v>81.0</v>
      </c>
      <c r="D304" s="1548">
        <v>11.0</v>
      </c>
      <c r="E304" s="1557">
        <v>4396.0</v>
      </c>
      <c r="F304" s="598">
        <v>16.0</v>
      </c>
      <c r="G304" s="598">
        <v>16.0</v>
      </c>
      <c r="H304" s="598">
        <v>28.0</v>
      </c>
      <c r="I304" s="598">
        <v>4.0</v>
      </c>
      <c r="J304" s="598">
        <v>93.0</v>
      </c>
      <c r="K304" s="1561">
        <v>321.0</v>
      </c>
      <c r="L304" s="1551">
        <v>68900.0</v>
      </c>
    </row>
    <row r="305">
      <c r="A305" s="1545" t="s">
        <v>445</v>
      </c>
      <c r="B305" s="1587">
        <v>17390.0</v>
      </c>
      <c r="C305" s="1563">
        <v>335.0</v>
      </c>
      <c r="D305" s="1548">
        <v>12.1</v>
      </c>
      <c r="E305" s="1557">
        <v>15318.0</v>
      </c>
      <c r="F305" s="598">
        <v>94.0</v>
      </c>
      <c r="G305" s="598">
        <v>167.0</v>
      </c>
      <c r="H305" s="598">
        <v>104.0</v>
      </c>
      <c r="I305" s="598">
        <v>9.0</v>
      </c>
      <c r="J305" s="598">
        <v>335.0</v>
      </c>
      <c r="K305" s="1561">
        <v>1363.0</v>
      </c>
      <c r="L305" s="1551">
        <v>72121.0</v>
      </c>
    </row>
    <row r="306">
      <c r="A306" s="1545" t="s">
        <v>300</v>
      </c>
      <c r="B306" s="1587">
        <v>4530.0</v>
      </c>
      <c r="C306" s="1563">
        <v>165.0</v>
      </c>
      <c r="D306" s="1548">
        <v>15.6</v>
      </c>
      <c r="E306" s="1557">
        <v>3500.0</v>
      </c>
      <c r="F306" s="598">
        <v>19.0</v>
      </c>
      <c r="G306" s="598">
        <v>52.0</v>
      </c>
      <c r="H306" s="598">
        <v>22.0</v>
      </c>
      <c r="I306" s="598">
        <v>2.0</v>
      </c>
      <c r="J306" s="598">
        <v>480.0</v>
      </c>
      <c r="K306" s="1561">
        <v>455.0</v>
      </c>
      <c r="L306" s="1551">
        <v>52367.0</v>
      </c>
    </row>
    <row r="307">
      <c r="A307" s="1545" t="s">
        <v>446</v>
      </c>
      <c r="B307" s="1587">
        <v>17358.0</v>
      </c>
      <c r="C307" s="1563">
        <v>166.0</v>
      </c>
      <c r="D307" s="1548">
        <v>6.2</v>
      </c>
      <c r="E307" s="1557">
        <v>14797.0</v>
      </c>
      <c r="F307" s="598">
        <v>106.0</v>
      </c>
      <c r="G307" s="598">
        <v>76.0</v>
      </c>
      <c r="H307" s="598">
        <v>290.0</v>
      </c>
      <c r="I307" s="598">
        <v>14.0</v>
      </c>
      <c r="J307" s="598">
        <v>836.0</v>
      </c>
      <c r="K307" s="1561">
        <v>1239.0</v>
      </c>
      <c r="L307" s="1551">
        <v>89034.0</v>
      </c>
    </row>
    <row r="308">
      <c r="A308" s="1545" t="s">
        <v>449</v>
      </c>
      <c r="B308" s="1587">
        <v>11999.0</v>
      </c>
      <c r="C308" s="1563">
        <v>890.0</v>
      </c>
      <c r="D308" s="1548">
        <v>28.6</v>
      </c>
      <c r="E308" s="1557">
        <v>8131.0</v>
      </c>
      <c r="F308" s="598">
        <v>109.0</v>
      </c>
      <c r="G308" s="598">
        <v>275.0</v>
      </c>
      <c r="H308" s="598">
        <v>31.0</v>
      </c>
      <c r="I308" s="598">
        <v>6.0</v>
      </c>
      <c r="J308" s="598">
        <v>1916.0</v>
      </c>
      <c r="K308" s="1561">
        <v>1531.0</v>
      </c>
      <c r="L308" s="1551">
        <v>42455.0</v>
      </c>
    </row>
    <row r="309">
      <c r="A309" s="1545" t="s">
        <v>450</v>
      </c>
      <c r="B309" s="1587">
        <v>168162.0</v>
      </c>
      <c r="C309" s="1547">
        <v>8485.0</v>
      </c>
      <c r="D309" s="1548">
        <v>22.9</v>
      </c>
      <c r="E309" s="1557">
        <v>108805.0</v>
      </c>
      <c r="F309" s="598">
        <v>3642.0</v>
      </c>
      <c r="G309" s="598">
        <v>3867.0</v>
      </c>
      <c r="H309" s="598">
        <v>1730.0</v>
      </c>
      <c r="I309" s="598">
        <v>208.0</v>
      </c>
      <c r="J309" s="598">
        <v>20226.0</v>
      </c>
      <c r="K309" s="1561">
        <v>29684.0</v>
      </c>
      <c r="L309" s="1555">
        <v>48308.0</v>
      </c>
    </row>
    <row r="310">
      <c r="A310" s="1545" t="s">
        <v>451</v>
      </c>
      <c r="B310" s="1587">
        <v>6529.0</v>
      </c>
      <c r="C310" s="1563">
        <v>179.0</v>
      </c>
      <c r="D310" s="1548">
        <v>12.0</v>
      </c>
      <c r="E310" s="1557">
        <v>5699.0</v>
      </c>
      <c r="F310" s="598">
        <v>34.0</v>
      </c>
      <c r="G310" s="598">
        <v>58.0</v>
      </c>
      <c r="H310" s="598">
        <v>22.0</v>
      </c>
      <c r="I310" s="598">
        <v>2.0</v>
      </c>
      <c r="J310" s="598">
        <v>264.0</v>
      </c>
      <c r="K310" s="1561">
        <v>450.0</v>
      </c>
      <c r="L310" s="1551">
        <v>63411.0</v>
      </c>
    </row>
    <row r="311">
      <c r="A311" s="1545" t="s">
        <v>453</v>
      </c>
      <c r="B311" s="1587">
        <v>11539.0</v>
      </c>
      <c r="C311" s="1563">
        <v>589.0</v>
      </c>
      <c r="D311" s="1548">
        <v>23.4</v>
      </c>
      <c r="E311" s="1557">
        <v>8093.0</v>
      </c>
      <c r="F311" s="598">
        <v>61.0</v>
      </c>
      <c r="G311" s="598">
        <v>288.0</v>
      </c>
      <c r="H311" s="598">
        <v>42.0</v>
      </c>
      <c r="I311" s="598">
        <v>9.0</v>
      </c>
      <c r="J311" s="598">
        <v>1332.0</v>
      </c>
      <c r="K311" s="1561">
        <v>1714.0</v>
      </c>
      <c r="L311" s="1551">
        <v>44171.0</v>
      </c>
    </row>
    <row r="312">
      <c r="A312" s="1545" t="s">
        <v>454</v>
      </c>
      <c r="B312" s="1587">
        <v>24829.0</v>
      </c>
      <c r="C312" s="1563">
        <v>339.0</v>
      </c>
      <c r="D312" s="1548">
        <v>7.3</v>
      </c>
      <c r="E312" s="1557">
        <v>21726.0</v>
      </c>
      <c r="F312" s="598">
        <v>156.0</v>
      </c>
      <c r="G312" s="598">
        <v>116.0</v>
      </c>
      <c r="H312" s="598">
        <v>176.0</v>
      </c>
      <c r="I312" s="598">
        <v>38.0</v>
      </c>
      <c r="J312" s="598">
        <v>792.0</v>
      </c>
      <c r="K312" s="1561">
        <v>1825.0</v>
      </c>
      <c r="L312" s="1551">
        <v>81033.0</v>
      </c>
    </row>
    <row r="313">
      <c r="A313" s="1545" t="s">
        <v>455</v>
      </c>
      <c r="B313" s="1587">
        <v>6368.0</v>
      </c>
      <c r="C313" s="1563">
        <v>538.0</v>
      </c>
      <c r="D313" s="1548">
        <v>37.0</v>
      </c>
      <c r="E313" s="1557">
        <v>4209.0</v>
      </c>
      <c r="F313" s="598">
        <v>20.0</v>
      </c>
      <c r="G313" s="598">
        <v>192.0</v>
      </c>
      <c r="H313" s="598">
        <v>63.0</v>
      </c>
      <c r="I313" s="598">
        <v>2.0</v>
      </c>
      <c r="J313" s="598">
        <v>585.0</v>
      </c>
      <c r="K313" s="1561">
        <v>1297.0</v>
      </c>
      <c r="L313" s="1551">
        <v>36869.0</v>
      </c>
    </row>
    <row r="314">
      <c r="A314" s="1545" t="s">
        <v>457</v>
      </c>
      <c r="B314" s="1587">
        <v>705.0</v>
      </c>
      <c r="C314" s="1563">
        <v>19.0</v>
      </c>
      <c r="D314" s="1548">
        <v>20.4</v>
      </c>
      <c r="E314" s="1557">
        <v>606.0</v>
      </c>
      <c r="F314" s="598">
        <v>3.0</v>
      </c>
      <c r="G314" s="598">
        <v>6.0</v>
      </c>
      <c r="H314" s="598">
        <v>2.0</v>
      </c>
      <c r="I314" s="598">
        <v>0.0</v>
      </c>
      <c r="J314" s="598">
        <v>11.0</v>
      </c>
      <c r="K314" s="1561">
        <v>77.0</v>
      </c>
      <c r="L314" s="1551">
        <v>46878.0</v>
      </c>
    </row>
    <row r="315">
      <c r="A315" s="1545" t="s">
        <v>458</v>
      </c>
      <c r="B315" s="1587">
        <v>8072.0</v>
      </c>
      <c r="C315" s="1563">
        <v>140.0</v>
      </c>
      <c r="D315" s="1548">
        <v>9.8</v>
      </c>
      <c r="E315" s="1557">
        <v>6922.0</v>
      </c>
      <c r="F315" s="598">
        <v>21.0</v>
      </c>
      <c r="G315" s="598">
        <v>92.0</v>
      </c>
      <c r="H315" s="598">
        <v>55.0</v>
      </c>
      <c r="I315" s="598">
        <v>2.0</v>
      </c>
      <c r="J315" s="598">
        <v>395.0</v>
      </c>
      <c r="K315" s="1561">
        <v>585.0</v>
      </c>
      <c r="L315" s="1551">
        <v>69458.0</v>
      </c>
    </row>
    <row r="316">
      <c r="A316" s="1545" t="s">
        <v>459</v>
      </c>
      <c r="B316" s="1587">
        <v>2404.0</v>
      </c>
      <c r="C316" s="1563">
        <v>121.0</v>
      </c>
      <c r="D316" s="1548">
        <v>25.9</v>
      </c>
      <c r="E316" s="1557">
        <v>2062.0</v>
      </c>
      <c r="F316" s="598">
        <v>5.0</v>
      </c>
      <c r="G316" s="598">
        <v>19.0</v>
      </c>
      <c r="H316" s="598">
        <v>12.0</v>
      </c>
      <c r="I316" s="598">
        <v>1.0</v>
      </c>
      <c r="J316" s="598">
        <v>121.0</v>
      </c>
      <c r="K316" s="1561">
        <v>184.0</v>
      </c>
      <c r="L316" s="1551">
        <v>40009.0</v>
      </c>
    </row>
    <row r="317">
      <c r="A317" s="1545" t="s">
        <v>461</v>
      </c>
      <c r="B317" s="1587">
        <v>31055.0</v>
      </c>
      <c r="C317" s="1563">
        <v>350.0</v>
      </c>
      <c r="D317" s="1548">
        <v>7.1</v>
      </c>
      <c r="E317" s="1557">
        <v>24751.0</v>
      </c>
      <c r="F317" s="598">
        <v>247.0</v>
      </c>
      <c r="G317" s="598">
        <v>253.0</v>
      </c>
      <c r="H317" s="598">
        <v>418.0</v>
      </c>
      <c r="I317" s="598">
        <v>32.0</v>
      </c>
      <c r="J317" s="598">
        <v>2728.0</v>
      </c>
      <c r="K317" s="1561">
        <v>2626.0</v>
      </c>
      <c r="L317" s="1551">
        <v>80078.0</v>
      </c>
    </row>
    <row r="318">
      <c r="A318" s="1545" t="s">
        <v>462</v>
      </c>
      <c r="B318" s="1587">
        <v>24710.0</v>
      </c>
      <c r="C318" s="1563">
        <v>528.0</v>
      </c>
      <c r="D318" s="1548">
        <v>12.5</v>
      </c>
      <c r="E318" s="1557">
        <v>21566.0</v>
      </c>
      <c r="F318" s="598">
        <v>135.0</v>
      </c>
      <c r="G318" s="598">
        <v>182.0</v>
      </c>
      <c r="H318" s="598">
        <v>212.0</v>
      </c>
      <c r="I318" s="598">
        <v>12.0</v>
      </c>
      <c r="J318" s="598">
        <v>398.0</v>
      </c>
      <c r="K318" s="1561">
        <v>2205.0</v>
      </c>
      <c r="L318" s="1551">
        <v>64850.0</v>
      </c>
    </row>
    <row r="319">
      <c r="A319" s="1545" t="s">
        <v>119</v>
      </c>
      <c r="B319" s="1587">
        <v>4817.0</v>
      </c>
      <c r="C319" s="1563">
        <v>217.0</v>
      </c>
      <c r="D319" s="1548">
        <v>19.6</v>
      </c>
      <c r="E319" s="1557">
        <v>4230.0</v>
      </c>
      <c r="F319" s="598">
        <v>32.0</v>
      </c>
      <c r="G319" s="598">
        <v>20.0</v>
      </c>
      <c r="H319" s="598">
        <v>19.0</v>
      </c>
      <c r="I319" s="598">
        <v>14.0</v>
      </c>
      <c r="J319" s="598">
        <v>158.0</v>
      </c>
      <c r="K319" s="1561">
        <v>344.0</v>
      </c>
      <c r="L319" s="1551">
        <v>47869.0</v>
      </c>
    </row>
    <row r="320">
      <c r="A320" s="1545" t="s">
        <v>463</v>
      </c>
      <c r="B320" s="1587">
        <v>328981.0</v>
      </c>
      <c r="C320" s="1547">
        <v>10772.0</v>
      </c>
      <c r="D320" s="1548">
        <v>13.2</v>
      </c>
      <c r="E320" s="1557">
        <v>231892.0</v>
      </c>
      <c r="F320" s="598">
        <v>4539.0</v>
      </c>
      <c r="G320" s="598">
        <v>4274.0</v>
      </c>
      <c r="H320" s="598">
        <v>5857.0</v>
      </c>
      <c r="I320" s="598">
        <v>365.0</v>
      </c>
      <c r="J320" s="598">
        <v>36769.0</v>
      </c>
      <c r="K320" s="1561">
        <v>45285.0</v>
      </c>
      <c r="L320" s="1555">
        <v>75629.0</v>
      </c>
    </row>
    <row r="321">
      <c r="A321" s="1528" t="s">
        <v>236</v>
      </c>
      <c r="B321" s="1595">
        <v>9988.0</v>
      </c>
      <c r="C321" s="1582">
        <v>445.0</v>
      </c>
      <c r="D321" s="1567">
        <v>16.6</v>
      </c>
      <c r="E321" s="1532">
        <v>7437.0</v>
      </c>
      <c r="F321" s="1533">
        <v>22.0</v>
      </c>
      <c r="G321" s="1533">
        <v>73.0</v>
      </c>
      <c r="H321" s="1533">
        <v>34.0</v>
      </c>
      <c r="I321" s="1533">
        <v>6.0</v>
      </c>
      <c r="J321" s="1533">
        <v>1365.0</v>
      </c>
      <c r="K321" s="1535">
        <v>1051.0</v>
      </c>
      <c r="L321" s="1537">
        <v>53253.0</v>
      </c>
    </row>
    <row r="322">
      <c r="A322" s="1538" t="s">
        <v>37</v>
      </c>
      <c r="B322" s="1596">
        <v>3605944.0</v>
      </c>
      <c r="C322" s="1540">
        <v>100250.0</v>
      </c>
      <c r="D322" s="1571">
        <v>13.8</v>
      </c>
      <c r="E322" s="1572">
        <v>2395128.0</v>
      </c>
      <c r="F322" s="1542">
        <v>388675.0</v>
      </c>
      <c r="G322" s="1542">
        <v>16051.0</v>
      </c>
      <c r="H322" s="1542">
        <v>172455.0</v>
      </c>
      <c r="I322" s="1542">
        <v>1598.0</v>
      </c>
      <c r="J322" s="1542">
        <v>299133.0</v>
      </c>
      <c r="K322" s="1543">
        <v>332904.0</v>
      </c>
      <c r="L322" s="1544">
        <v>76366.0</v>
      </c>
    </row>
    <row r="323">
      <c r="A323" s="1545" t="s">
        <v>442</v>
      </c>
      <c r="B323" s="1586">
        <v>957419.0</v>
      </c>
      <c r="C323" s="1547">
        <v>26730.0</v>
      </c>
      <c r="D323" s="1548">
        <v>12.7</v>
      </c>
      <c r="E323" s="1557">
        <v>584184.0</v>
      </c>
      <c r="F323" s="598">
        <v>106756.0</v>
      </c>
      <c r="G323" s="598">
        <v>4369.0</v>
      </c>
      <c r="H323" s="598">
        <v>51341.0</v>
      </c>
      <c r="I323" s="598">
        <v>347.0</v>
      </c>
      <c r="J323" s="598">
        <v>107587.0</v>
      </c>
      <c r="K323" s="1561">
        <v>102835.0</v>
      </c>
      <c r="L323" s="1555">
        <v>91183.0</v>
      </c>
    </row>
    <row r="324">
      <c r="A324" s="1545" t="s">
        <v>466</v>
      </c>
      <c r="B324" s="1587">
        <v>899498.0</v>
      </c>
      <c r="C324" s="1547">
        <v>28641.0</v>
      </c>
      <c r="D324" s="1548">
        <v>15.5</v>
      </c>
      <c r="E324" s="1557">
        <v>554184.0</v>
      </c>
      <c r="F324" s="598">
        <v>127194.0</v>
      </c>
      <c r="G324" s="598">
        <v>3145.0</v>
      </c>
      <c r="H324" s="598">
        <v>53844.0</v>
      </c>
      <c r="I324" s="598">
        <v>328.0</v>
      </c>
      <c r="J324" s="598">
        <v>80430.0</v>
      </c>
      <c r="K324" s="1561">
        <v>80373.0</v>
      </c>
      <c r="L324" s="1555">
        <v>73037.0</v>
      </c>
    </row>
    <row r="325">
      <c r="A325" s="1545" t="s">
        <v>467</v>
      </c>
      <c r="B325" s="1587">
        <v>185186.0</v>
      </c>
      <c r="C325" s="1547">
        <v>2643.0</v>
      </c>
      <c r="D325" s="1548">
        <v>8.1</v>
      </c>
      <c r="E325" s="1557">
        <v>158774.0</v>
      </c>
      <c r="F325" s="598">
        <v>3348.0</v>
      </c>
      <c r="G325" s="598">
        <v>511.0</v>
      </c>
      <c r="H325" s="598">
        <v>3486.0</v>
      </c>
      <c r="I325" s="598">
        <v>67.0</v>
      </c>
      <c r="J325" s="598">
        <v>5995.0</v>
      </c>
      <c r="K325" s="1561">
        <v>13005.0</v>
      </c>
      <c r="L325" s="1555">
        <v>76304.0</v>
      </c>
    </row>
    <row r="326">
      <c r="A326" s="1545" t="s">
        <v>281</v>
      </c>
      <c r="B326" s="1587">
        <v>164245.0</v>
      </c>
      <c r="C326" s="1547">
        <v>2314.0</v>
      </c>
      <c r="D326" s="1548">
        <v>8.1</v>
      </c>
      <c r="E326" s="1557">
        <v>134715.0</v>
      </c>
      <c r="F326" s="598">
        <v>8565.0</v>
      </c>
      <c r="G326" s="598">
        <v>392.0</v>
      </c>
      <c r="H326" s="598">
        <v>4987.0</v>
      </c>
      <c r="I326" s="598">
        <v>50.0</v>
      </c>
      <c r="J326" s="598">
        <v>4189.0</v>
      </c>
      <c r="K326" s="1561">
        <v>11347.0</v>
      </c>
      <c r="L326" s="1555">
        <v>88709.0</v>
      </c>
    </row>
    <row r="327">
      <c r="A327" s="1545" t="s">
        <v>468</v>
      </c>
      <c r="B327" s="1587">
        <v>864835.0</v>
      </c>
      <c r="C327" s="1547">
        <v>28530.0</v>
      </c>
      <c r="D327" s="1548">
        <v>16.7</v>
      </c>
      <c r="E327" s="1557">
        <v>543831.0</v>
      </c>
      <c r="F327" s="598">
        <v>118933.0</v>
      </c>
      <c r="G327" s="598">
        <v>4058.0</v>
      </c>
      <c r="H327" s="598">
        <v>37520.0</v>
      </c>
      <c r="I327" s="598">
        <v>470.0</v>
      </c>
      <c r="J327" s="598">
        <v>77660.0</v>
      </c>
      <c r="K327" s="1561">
        <v>82363.0</v>
      </c>
      <c r="L327" s="1555">
        <v>67720.0</v>
      </c>
    </row>
    <row r="328">
      <c r="A328" s="1545" t="s">
        <v>469</v>
      </c>
      <c r="B328" s="1587">
        <v>268555.0</v>
      </c>
      <c r="C328" s="1547">
        <v>6388.0</v>
      </c>
      <c r="D328" s="1548">
        <v>12.5</v>
      </c>
      <c r="E328" s="1557">
        <v>201548.0</v>
      </c>
      <c r="F328" s="598">
        <v>16026.0</v>
      </c>
      <c r="G328" s="598">
        <v>2488.0</v>
      </c>
      <c r="H328" s="598">
        <v>10814.0</v>
      </c>
      <c r="I328" s="598">
        <v>255.0</v>
      </c>
      <c r="J328" s="598">
        <v>13210.0</v>
      </c>
      <c r="K328" s="1561">
        <v>24214.0</v>
      </c>
      <c r="L328" s="1555">
        <v>67790.0</v>
      </c>
    </row>
    <row r="329">
      <c r="A329" s="1545" t="s">
        <v>470</v>
      </c>
      <c r="B329" s="1587">
        <v>149788.0</v>
      </c>
      <c r="C329" s="1547">
        <v>1652.0</v>
      </c>
      <c r="D329" s="1548">
        <v>6.4</v>
      </c>
      <c r="E329" s="1557">
        <v>122869.0</v>
      </c>
      <c r="F329" s="598">
        <v>5450.0</v>
      </c>
      <c r="G329" s="598">
        <v>272.0</v>
      </c>
      <c r="H329" s="598">
        <v>8465.0</v>
      </c>
      <c r="I329" s="598">
        <v>59.0</v>
      </c>
      <c r="J329" s="598">
        <v>3452.0</v>
      </c>
      <c r="K329" s="1561">
        <v>9221.0</v>
      </c>
      <c r="L329" s="1555">
        <v>89584.0</v>
      </c>
    </row>
    <row r="330">
      <c r="A330" s="1528" t="s">
        <v>471</v>
      </c>
      <c r="B330" s="1595">
        <v>116418.0</v>
      </c>
      <c r="C330" s="1530">
        <v>3351.0</v>
      </c>
      <c r="D330" s="1567">
        <v>14.8</v>
      </c>
      <c r="E330" s="1532">
        <v>95023.0</v>
      </c>
      <c r="F330" s="1533">
        <v>2403.0</v>
      </c>
      <c r="G330" s="1533">
        <v>816.0</v>
      </c>
      <c r="H330" s="1533">
        <v>1998.0</v>
      </c>
      <c r="I330" s="1533">
        <v>22.0</v>
      </c>
      <c r="J330" s="1533">
        <v>6610.0</v>
      </c>
      <c r="K330" s="1535">
        <v>9546.0</v>
      </c>
      <c r="L330" s="1537">
        <v>65182.0</v>
      </c>
    </row>
    <row r="331">
      <c r="A331" s="1538" t="s">
        <v>40</v>
      </c>
      <c r="B331" s="1596">
        <v>989948.0</v>
      </c>
      <c r="C331" s="1540">
        <v>35031.0</v>
      </c>
      <c r="D331" s="1571">
        <v>17.6</v>
      </c>
      <c r="E331" s="1572">
        <v>597763.0</v>
      </c>
      <c r="F331" s="1542">
        <v>218899.0</v>
      </c>
      <c r="G331" s="1542">
        <v>5148.0</v>
      </c>
      <c r="H331" s="1542">
        <v>42699.0</v>
      </c>
      <c r="I331" s="1542">
        <v>412.0</v>
      </c>
      <c r="J331" s="1542">
        <v>48509.0</v>
      </c>
      <c r="K331" s="1543">
        <v>76518.0</v>
      </c>
      <c r="L331" s="1544">
        <v>65467.0</v>
      </c>
    </row>
    <row r="332">
      <c r="A332" s="1545" t="s">
        <v>474</v>
      </c>
      <c r="B332" s="1586">
        <v>181851.0</v>
      </c>
      <c r="C332" s="1547">
        <v>7848.0</v>
      </c>
      <c r="D332" s="1548">
        <v>19.6</v>
      </c>
      <c r="E332" s="1549">
        <v>107685.0</v>
      </c>
      <c r="F332" s="1593">
        <v>46998.0</v>
      </c>
      <c r="G332" s="1593">
        <v>1149.0</v>
      </c>
      <c r="H332" s="1593">
        <v>4429.0</v>
      </c>
      <c r="I332" s="1593">
        <v>125.0</v>
      </c>
      <c r="J332" s="1593">
        <v>5658.0</v>
      </c>
      <c r="K332" s="1594">
        <v>15807.0</v>
      </c>
      <c r="L332" s="1555">
        <v>54980.0</v>
      </c>
    </row>
    <row r="333">
      <c r="A333" s="1545" t="s">
        <v>475</v>
      </c>
      <c r="B333" s="1587">
        <v>570719.0</v>
      </c>
      <c r="C333" s="1547">
        <v>18240.0</v>
      </c>
      <c r="D333" s="1548">
        <v>15.5</v>
      </c>
      <c r="E333" s="1557">
        <v>314231.0</v>
      </c>
      <c r="F333" s="598">
        <v>146544.0</v>
      </c>
      <c r="G333" s="598">
        <v>2156.0</v>
      </c>
      <c r="H333" s="598">
        <v>35200.0</v>
      </c>
      <c r="I333" s="598">
        <v>175.0</v>
      </c>
      <c r="J333" s="598">
        <v>28714.0</v>
      </c>
      <c r="K333" s="1561">
        <v>43699.0</v>
      </c>
      <c r="L333" s="1555">
        <v>69562.0</v>
      </c>
    </row>
    <row r="334">
      <c r="A334" s="1528" t="s">
        <v>476</v>
      </c>
      <c r="B334" s="1595">
        <v>237378.0</v>
      </c>
      <c r="C334" s="1530">
        <v>8943.0</v>
      </c>
      <c r="D334" s="1567">
        <v>21.6</v>
      </c>
      <c r="E334" s="1532">
        <v>175847.0</v>
      </c>
      <c r="F334" s="1533">
        <v>25357.0</v>
      </c>
      <c r="G334" s="1533">
        <v>1843.0</v>
      </c>
      <c r="H334" s="1533">
        <v>3070.0</v>
      </c>
      <c r="I334" s="1533">
        <v>112.0</v>
      </c>
      <c r="J334" s="1533">
        <v>14137.0</v>
      </c>
      <c r="K334" s="1535">
        <v>17012.0</v>
      </c>
      <c r="L334" s="1537">
        <v>59821.0</v>
      </c>
    </row>
    <row r="335">
      <c r="A335" s="1599" t="s">
        <v>39</v>
      </c>
      <c r="B335" s="1600">
        <v>689545.0</v>
      </c>
      <c r="C335" s="1601">
        <v>30803.0</v>
      </c>
      <c r="D335" s="1602">
        <v>24.5</v>
      </c>
      <c r="E335" s="1603">
        <v>273194.0</v>
      </c>
      <c r="F335" s="1604">
        <v>285810.0</v>
      </c>
      <c r="G335" s="1604">
        <v>3193.0</v>
      </c>
      <c r="H335" s="1604">
        <v>33545.0</v>
      </c>
      <c r="I335" s="1604">
        <v>432.0</v>
      </c>
      <c r="J335" s="1604">
        <v>37294.0</v>
      </c>
      <c r="K335" s="1605">
        <v>56077.0</v>
      </c>
      <c r="L335" s="1606">
        <v>82533.0</v>
      </c>
    </row>
    <row r="336">
      <c r="A336" s="1607" t="s">
        <v>42</v>
      </c>
      <c r="B336" s="1608">
        <v>2.1538187E7</v>
      </c>
      <c r="C336" s="1609">
        <v>831420.0</v>
      </c>
      <c r="D336" s="1610">
        <v>20.0</v>
      </c>
      <c r="E336" s="1611">
        <v>1.2422961E7</v>
      </c>
      <c r="F336" s="1612">
        <v>3246381.0</v>
      </c>
      <c r="G336" s="1612">
        <v>94795.0</v>
      </c>
      <c r="H336" s="1612">
        <v>643682.0</v>
      </c>
      <c r="I336" s="1612">
        <v>14014.0</v>
      </c>
      <c r="J336" s="1612">
        <v>1564282.0</v>
      </c>
      <c r="K336" s="1613">
        <v>3552072.0</v>
      </c>
      <c r="L336" s="1614">
        <v>55433.0</v>
      </c>
    </row>
    <row r="337">
      <c r="A337" s="1545" t="s">
        <v>479</v>
      </c>
      <c r="B337" s="1586">
        <v>278468.0</v>
      </c>
      <c r="C337" s="1547">
        <v>10092.0</v>
      </c>
      <c r="D337" s="1548">
        <v>21.1</v>
      </c>
      <c r="E337" s="1557">
        <v>170245.0</v>
      </c>
      <c r="F337" s="598">
        <v>52156.0</v>
      </c>
      <c r="G337" s="598">
        <v>849.0</v>
      </c>
      <c r="H337" s="598">
        <v>18076.0</v>
      </c>
      <c r="I337" s="598">
        <v>112.0</v>
      </c>
      <c r="J337" s="598">
        <v>9522.0</v>
      </c>
      <c r="K337" s="1561">
        <v>27508.0</v>
      </c>
      <c r="L337" s="1551">
        <v>51026.0</v>
      </c>
    </row>
    <row r="338">
      <c r="A338" s="1545" t="s">
        <v>481</v>
      </c>
      <c r="B338" s="1587">
        <v>28259.0</v>
      </c>
      <c r="C338" s="1547">
        <v>1432.0</v>
      </c>
      <c r="D338" s="1548">
        <v>21.7</v>
      </c>
      <c r="E338" s="1557">
        <v>22565.0</v>
      </c>
      <c r="F338" s="598">
        <v>3847.0</v>
      </c>
      <c r="G338" s="598">
        <v>122.0</v>
      </c>
      <c r="H338" s="598">
        <v>157.0</v>
      </c>
      <c r="I338" s="598">
        <v>14.0</v>
      </c>
      <c r="J338" s="598">
        <v>449.0</v>
      </c>
      <c r="K338" s="1561">
        <v>1105.0</v>
      </c>
      <c r="L338" s="1555">
        <v>52804.0</v>
      </c>
    </row>
    <row r="339">
      <c r="A339" s="1545" t="s">
        <v>482</v>
      </c>
      <c r="B339" s="1587">
        <v>175216.0</v>
      </c>
      <c r="C339" s="1547">
        <v>8000.0</v>
      </c>
      <c r="D339" s="1548">
        <v>20.5</v>
      </c>
      <c r="E339" s="1557">
        <v>131304.0</v>
      </c>
      <c r="F339" s="598">
        <v>17856.0</v>
      </c>
      <c r="G339" s="598">
        <v>1033.0</v>
      </c>
      <c r="H339" s="598">
        <v>4138.0</v>
      </c>
      <c r="I339" s="598">
        <v>208.0</v>
      </c>
      <c r="J339" s="598">
        <v>5349.0</v>
      </c>
      <c r="K339" s="1561">
        <v>15328.0</v>
      </c>
      <c r="L339" s="1551">
        <v>51777.0</v>
      </c>
    </row>
    <row r="340">
      <c r="A340" s="1545" t="s">
        <v>483</v>
      </c>
      <c r="B340" s="1587">
        <v>28303.0</v>
      </c>
      <c r="C340" s="1547">
        <v>1384.0</v>
      </c>
      <c r="D340" s="1548">
        <v>26.0</v>
      </c>
      <c r="E340" s="1557">
        <v>20929.0</v>
      </c>
      <c r="F340" s="598">
        <v>5478.0</v>
      </c>
      <c r="G340" s="598">
        <v>77.0</v>
      </c>
      <c r="H340" s="598">
        <v>142.0</v>
      </c>
      <c r="I340" s="598">
        <v>17.0</v>
      </c>
      <c r="J340" s="598">
        <v>492.0</v>
      </c>
      <c r="K340" s="1561">
        <v>1168.0</v>
      </c>
      <c r="L340" s="1555">
        <v>45075.0</v>
      </c>
    </row>
    <row r="341">
      <c r="A341" s="1545" t="s">
        <v>484</v>
      </c>
      <c r="B341" s="1587">
        <v>606612.0</v>
      </c>
      <c r="C341" s="1547">
        <v>17698.0</v>
      </c>
      <c r="D341" s="1548">
        <v>16.5</v>
      </c>
      <c r="E341" s="1557">
        <v>448180.0</v>
      </c>
      <c r="F341" s="598">
        <v>58692.0</v>
      </c>
      <c r="G341" s="598">
        <v>2293.0</v>
      </c>
      <c r="H341" s="598">
        <v>15913.0</v>
      </c>
      <c r="I341" s="598">
        <v>544.0</v>
      </c>
      <c r="J341" s="598">
        <v>20172.0</v>
      </c>
      <c r="K341" s="1561">
        <v>60818.0</v>
      </c>
      <c r="L341" s="1555">
        <v>57612.0</v>
      </c>
    </row>
    <row r="342">
      <c r="A342" s="1545" t="s">
        <v>269</v>
      </c>
      <c r="B342" s="1587">
        <v>1944375.0</v>
      </c>
      <c r="C342" s="1547">
        <v>70489.0</v>
      </c>
      <c r="D342" s="1548">
        <v>17.3</v>
      </c>
      <c r="E342" s="1557">
        <v>776174.0</v>
      </c>
      <c r="F342" s="598">
        <v>531910.0</v>
      </c>
      <c r="G342" s="598">
        <v>7442.0</v>
      </c>
      <c r="H342" s="598">
        <v>75922.0</v>
      </c>
      <c r="I342" s="598">
        <v>901.0</v>
      </c>
      <c r="J342" s="598">
        <v>167236.0</v>
      </c>
      <c r="K342" s="1561">
        <v>384790.0</v>
      </c>
      <c r="L342" s="1551">
        <v>57200.0</v>
      </c>
    </row>
    <row r="343">
      <c r="A343" s="1545" t="s">
        <v>93</v>
      </c>
      <c r="B343" s="1587">
        <v>13648.0</v>
      </c>
      <c r="C343" s="1563">
        <v>846.0</v>
      </c>
      <c r="D343" s="1548">
        <v>29.3</v>
      </c>
      <c r="E343" s="1557">
        <v>10741.0</v>
      </c>
      <c r="F343" s="598">
        <v>1682.0</v>
      </c>
      <c r="G343" s="598">
        <v>111.0</v>
      </c>
      <c r="H343" s="598">
        <v>46.0</v>
      </c>
      <c r="I343" s="598">
        <v>0.0</v>
      </c>
      <c r="J343" s="598">
        <v>222.0</v>
      </c>
      <c r="K343" s="1561">
        <v>846.0</v>
      </c>
      <c r="L343" s="1555">
        <v>38323.0</v>
      </c>
    </row>
    <row r="344">
      <c r="A344" s="1545" t="s">
        <v>486</v>
      </c>
      <c r="B344" s="1587">
        <v>186847.0</v>
      </c>
      <c r="C344" s="1547">
        <v>4323.0</v>
      </c>
      <c r="D344" s="1548">
        <v>20.0</v>
      </c>
      <c r="E344" s="1557">
        <v>157543.0</v>
      </c>
      <c r="F344" s="598">
        <v>9268.0</v>
      </c>
      <c r="G344" s="598">
        <v>517.0</v>
      </c>
      <c r="H344" s="598">
        <v>2627.0</v>
      </c>
      <c r="I344" s="598">
        <v>72.0</v>
      </c>
      <c r="J344" s="598">
        <v>3876.0</v>
      </c>
      <c r="K344" s="1561">
        <v>12944.0</v>
      </c>
      <c r="L344" s="1555">
        <v>52724.0</v>
      </c>
    </row>
    <row r="345">
      <c r="A345" s="1545" t="s">
        <v>487</v>
      </c>
      <c r="B345" s="1587">
        <v>153843.0</v>
      </c>
      <c r="C345" s="1547">
        <v>5257.0</v>
      </c>
      <c r="D345" s="1548">
        <v>24.5</v>
      </c>
      <c r="E345" s="1557">
        <v>134596.0</v>
      </c>
      <c r="F345" s="598">
        <v>4122.0</v>
      </c>
      <c r="G345" s="598">
        <v>568.0</v>
      </c>
      <c r="H345" s="598">
        <v>2449.0</v>
      </c>
      <c r="I345" s="598">
        <v>54.0</v>
      </c>
      <c r="J345" s="598">
        <v>2321.0</v>
      </c>
      <c r="K345" s="1561">
        <v>9733.0</v>
      </c>
      <c r="L345" s="1555">
        <v>41556.0</v>
      </c>
    </row>
    <row r="346">
      <c r="A346" s="1545" t="s">
        <v>112</v>
      </c>
      <c r="B346" s="1587">
        <v>218245.0</v>
      </c>
      <c r="C346" s="1547">
        <v>5973.0</v>
      </c>
      <c r="D346" s="1548">
        <v>12.1</v>
      </c>
      <c r="E346" s="1557">
        <v>154895.0</v>
      </c>
      <c r="F346" s="598">
        <v>26624.0</v>
      </c>
      <c r="G346" s="598">
        <v>943.0</v>
      </c>
      <c r="H346" s="598">
        <v>6804.0</v>
      </c>
      <c r="I346" s="598">
        <v>385.0</v>
      </c>
      <c r="J346" s="598">
        <v>7389.0</v>
      </c>
      <c r="K346" s="1561">
        <v>21205.0</v>
      </c>
      <c r="L346" s="1555">
        <v>62835.0</v>
      </c>
    </row>
    <row r="347">
      <c r="A347" s="1545" t="s">
        <v>488</v>
      </c>
      <c r="B347" s="1587">
        <v>375752.0</v>
      </c>
      <c r="C347" s="1547">
        <v>11752.0</v>
      </c>
      <c r="D347" s="1548">
        <v>18.5</v>
      </c>
      <c r="E347" s="1557">
        <v>257007.0</v>
      </c>
      <c r="F347" s="598">
        <v>23349.0</v>
      </c>
      <c r="G347" s="598">
        <v>2050.0</v>
      </c>
      <c r="H347" s="598">
        <v>5571.0</v>
      </c>
      <c r="I347" s="598">
        <v>92.0</v>
      </c>
      <c r="J347" s="598">
        <v>32747.0</v>
      </c>
      <c r="K347" s="1561">
        <v>54936.0</v>
      </c>
      <c r="L347" s="1555">
        <v>70649.0</v>
      </c>
    </row>
    <row r="348">
      <c r="A348" s="1545" t="s">
        <v>258</v>
      </c>
      <c r="B348" s="1587">
        <v>69698.0</v>
      </c>
      <c r="C348" s="1547">
        <v>3973.0</v>
      </c>
      <c r="D348" s="1548">
        <v>26.4</v>
      </c>
      <c r="E348" s="1557">
        <v>50735.0</v>
      </c>
      <c r="F348" s="598">
        <v>11593.0</v>
      </c>
      <c r="G348" s="598">
        <v>273.0</v>
      </c>
      <c r="H348" s="598">
        <v>882.0</v>
      </c>
      <c r="I348" s="598">
        <v>41.0</v>
      </c>
      <c r="J348" s="598">
        <v>1508.0</v>
      </c>
      <c r="K348" s="1561">
        <v>4666.0</v>
      </c>
      <c r="L348" s="1551">
        <v>46195.0</v>
      </c>
    </row>
    <row r="349">
      <c r="A349" s="1545" t="s">
        <v>2446</v>
      </c>
      <c r="B349" s="1587">
        <v>33976.0</v>
      </c>
      <c r="C349" s="1547">
        <v>2311.0</v>
      </c>
      <c r="D349" s="1548">
        <v>34.5</v>
      </c>
      <c r="E349" s="1557">
        <v>21320.0</v>
      </c>
      <c r="F349" s="598">
        <v>4270.0</v>
      </c>
      <c r="G349" s="598">
        <v>177.0</v>
      </c>
      <c r="H349" s="598">
        <v>192.0</v>
      </c>
      <c r="I349" s="598">
        <v>8.0</v>
      </c>
      <c r="J349" s="598">
        <v>4053.0</v>
      </c>
      <c r="K349" s="1561">
        <v>3956.0</v>
      </c>
      <c r="L349" s="1551">
        <v>37233.0</v>
      </c>
    </row>
    <row r="350">
      <c r="A350" s="1545" t="s">
        <v>490</v>
      </c>
      <c r="B350" s="1587">
        <v>16759.0</v>
      </c>
      <c r="C350" s="1563">
        <v>935.0</v>
      </c>
      <c r="D350" s="1548">
        <v>31.1</v>
      </c>
      <c r="E350" s="1557">
        <v>14057.0</v>
      </c>
      <c r="F350" s="598">
        <v>1571.0</v>
      </c>
      <c r="G350" s="598">
        <v>61.0</v>
      </c>
      <c r="H350" s="598">
        <v>64.0</v>
      </c>
      <c r="I350" s="598">
        <v>4.0</v>
      </c>
      <c r="J350" s="598">
        <v>214.0</v>
      </c>
      <c r="K350" s="1561">
        <v>788.0</v>
      </c>
      <c r="L350" s="1555">
        <v>37148.0</v>
      </c>
    </row>
    <row r="351">
      <c r="A351" s="1545" t="s">
        <v>433</v>
      </c>
      <c r="B351" s="1587">
        <v>995567.0</v>
      </c>
      <c r="C351" s="1547">
        <v>46040.0</v>
      </c>
      <c r="D351" s="1548">
        <v>21.8</v>
      </c>
      <c r="E351" s="1557">
        <v>514782.0</v>
      </c>
      <c r="F351" s="598">
        <v>292337.0</v>
      </c>
      <c r="G351" s="598">
        <v>3712.0</v>
      </c>
      <c r="H351" s="598">
        <v>49467.0</v>
      </c>
      <c r="I351" s="598">
        <v>1079.0</v>
      </c>
      <c r="J351" s="598">
        <v>44710.0</v>
      </c>
      <c r="K351" s="1561">
        <v>89480.0</v>
      </c>
      <c r="L351" s="1555">
        <v>55733.0</v>
      </c>
    </row>
    <row r="352">
      <c r="A352" s="1545" t="s">
        <v>133</v>
      </c>
      <c r="B352" s="1587">
        <v>321905.0</v>
      </c>
      <c r="C352" s="1547">
        <v>15792.0</v>
      </c>
      <c r="D352" s="1548">
        <v>24.4</v>
      </c>
      <c r="E352" s="1557">
        <v>206982.0</v>
      </c>
      <c r="F352" s="598">
        <v>68978.0</v>
      </c>
      <c r="G352" s="598">
        <v>2355.0</v>
      </c>
      <c r="H352" s="598">
        <v>10039.0</v>
      </c>
      <c r="I352" s="598">
        <v>437.0</v>
      </c>
      <c r="J352" s="598">
        <v>7487.0</v>
      </c>
      <c r="K352" s="1561">
        <v>25627.0</v>
      </c>
      <c r="L352" s="1555">
        <v>50644.0</v>
      </c>
    </row>
    <row r="353">
      <c r="A353" s="1545" t="s">
        <v>491</v>
      </c>
      <c r="B353" s="1587">
        <v>115378.0</v>
      </c>
      <c r="C353" s="1547">
        <v>3423.0</v>
      </c>
      <c r="D353" s="1548">
        <v>18.4</v>
      </c>
      <c r="E353" s="1557">
        <v>87661.0</v>
      </c>
      <c r="F353" s="598">
        <v>10935.0</v>
      </c>
      <c r="G353" s="598">
        <v>385.0</v>
      </c>
      <c r="H353" s="598">
        <v>2512.0</v>
      </c>
      <c r="I353" s="598">
        <v>65.0</v>
      </c>
      <c r="J353" s="598">
        <v>3436.0</v>
      </c>
      <c r="K353" s="1561">
        <v>10384.0</v>
      </c>
      <c r="L353" s="1551">
        <v>58975.0</v>
      </c>
    </row>
    <row r="354">
      <c r="A354" s="1545" t="s">
        <v>136</v>
      </c>
      <c r="B354" s="1587">
        <v>12451.0</v>
      </c>
      <c r="C354" s="1563">
        <v>681.0</v>
      </c>
      <c r="D354" s="1548">
        <v>36.6</v>
      </c>
      <c r="E354" s="1557">
        <v>10002.0</v>
      </c>
      <c r="F354" s="598">
        <v>1422.0</v>
      </c>
      <c r="G354" s="598">
        <v>46.0</v>
      </c>
      <c r="H354" s="598">
        <v>30.0</v>
      </c>
      <c r="I354" s="598">
        <v>2.0</v>
      </c>
      <c r="J354" s="598">
        <v>309.0</v>
      </c>
      <c r="K354" s="1561">
        <v>640.0</v>
      </c>
      <c r="L354" s="1551">
        <v>40297.0</v>
      </c>
    </row>
    <row r="355">
      <c r="A355" s="1545" t="s">
        <v>493</v>
      </c>
      <c r="B355" s="1587">
        <v>43826.0</v>
      </c>
      <c r="C355" s="1547">
        <v>3822.0</v>
      </c>
      <c r="D355" s="1548">
        <v>38.2</v>
      </c>
      <c r="E355" s="1557">
        <v>14936.0</v>
      </c>
      <c r="F355" s="598">
        <v>23435.0</v>
      </c>
      <c r="G355" s="598">
        <v>201.0</v>
      </c>
      <c r="H355" s="598">
        <v>148.0</v>
      </c>
      <c r="I355" s="598">
        <v>13.0</v>
      </c>
      <c r="J355" s="598">
        <v>2851.0</v>
      </c>
      <c r="K355" s="1561">
        <v>2242.0</v>
      </c>
      <c r="L355" s="1551">
        <v>42259.0</v>
      </c>
    </row>
    <row r="356">
      <c r="A356" s="1545" t="s">
        <v>494</v>
      </c>
      <c r="B356" s="1587">
        <v>17864.0</v>
      </c>
      <c r="C356" s="1563">
        <v>861.0</v>
      </c>
      <c r="D356" s="1548">
        <v>23.8</v>
      </c>
      <c r="E356" s="1557">
        <v>15170.0</v>
      </c>
      <c r="F356" s="598">
        <v>801.0</v>
      </c>
      <c r="G356" s="598">
        <v>73.0</v>
      </c>
      <c r="H356" s="598">
        <v>64.0</v>
      </c>
      <c r="I356" s="598">
        <v>6.0</v>
      </c>
      <c r="J356" s="598">
        <v>590.0</v>
      </c>
      <c r="K356" s="1561">
        <v>1160.0</v>
      </c>
      <c r="L356" s="1551">
        <v>42186.0</v>
      </c>
    </row>
    <row r="357">
      <c r="A357" s="1545" t="s">
        <v>495</v>
      </c>
      <c r="B357" s="1587">
        <v>12126.0</v>
      </c>
      <c r="C357" s="1563">
        <v>566.0</v>
      </c>
      <c r="D357" s="1548">
        <v>27.6</v>
      </c>
      <c r="E357" s="1557">
        <v>8241.0</v>
      </c>
      <c r="F357" s="598">
        <v>1469.0</v>
      </c>
      <c r="G357" s="598">
        <v>201.0</v>
      </c>
      <c r="H357" s="598">
        <v>35.0</v>
      </c>
      <c r="I357" s="598">
        <v>1.0</v>
      </c>
      <c r="J357" s="598">
        <v>855.0</v>
      </c>
      <c r="K357" s="1561">
        <v>1324.0</v>
      </c>
      <c r="L357" s="1551">
        <v>38680.0</v>
      </c>
    </row>
    <row r="358">
      <c r="A358" s="1545" t="s">
        <v>496</v>
      </c>
      <c r="B358" s="1587">
        <v>14192.0</v>
      </c>
      <c r="C358" s="1563">
        <v>642.0</v>
      </c>
      <c r="D358" s="1548">
        <v>26.3</v>
      </c>
      <c r="E358" s="1557">
        <v>11399.0</v>
      </c>
      <c r="F358" s="598">
        <v>1703.0</v>
      </c>
      <c r="G358" s="598">
        <v>76.0</v>
      </c>
      <c r="H358" s="598">
        <v>57.0</v>
      </c>
      <c r="I358" s="598">
        <v>4.0</v>
      </c>
      <c r="J358" s="598">
        <v>236.0</v>
      </c>
      <c r="K358" s="1561">
        <v>717.0</v>
      </c>
      <c r="L358" s="1551">
        <v>45426.0</v>
      </c>
    </row>
    <row r="359">
      <c r="A359" s="1545" t="s">
        <v>497</v>
      </c>
      <c r="B359" s="1587">
        <v>14004.0</v>
      </c>
      <c r="C359" s="1563">
        <v>938.0</v>
      </c>
      <c r="D359" s="1548">
        <v>35.9</v>
      </c>
      <c r="E359" s="1557">
        <v>8028.0</v>
      </c>
      <c r="F359" s="598">
        <v>4477.0</v>
      </c>
      <c r="G359" s="598">
        <v>58.0</v>
      </c>
      <c r="H359" s="598">
        <v>43.0</v>
      </c>
      <c r="I359" s="598">
        <v>0.0</v>
      </c>
      <c r="J359" s="598">
        <v>709.0</v>
      </c>
      <c r="K359" s="1561">
        <v>689.0</v>
      </c>
      <c r="L359" s="1551">
        <v>36299.0</v>
      </c>
    </row>
    <row r="360">
      <c r="A360" s="1545" t="s">
        <v>498</v>
      </c>
      <c r="B360" s="1587">
        <v>25327.0</v>
      </c>
      <c r="C360" s="1547">
        <v>2679.0</v>
      </c>
      <c r="D360" s="1548">
        <v>38.2</v>
      </c>
      <c r="E360" s="1557">
        <v>14821.0</v>
      </c>
      <c r="F360" s="598">
        <v>2179.0</v>
      </c>
      <c r="G360" s="598">
        <v>189.0</v>
      </c>
      <c r="H360" s="598">
        <v>172.0</v>
      </c>
      <c r="I360" s="598">
        <v>8.0</v>
      </c>
      <c r="J360" s="598">
        <v>3592.0</v>
      </c>
      <c r="K360" s="1561">
        <v>4366.0</v>
      </c>
      <c r="L360" s="1551">
        <v>39169.0</v>
      </c>
    </row>
    <row r="361">
      <c r="A361" s="1545" t="s">
        <v>499</v>
      </c>
      <c r="B361" s="1587">
        <v>39619.0</v>
      </c>
      <c r="C361" s="1547">
        <v>3611.0</v>
      </c>
      <c r="D361" s="1548">
        <v>33.5</v>
      </c>
      <c r="E361" s="1557">
        <v>18446.0</v>
      </c>
      <c r="F361" s="598">
        <v>4357.0</v>
      </c>
      <c r="G361" s="598">
        <v>648.0</v>
      </c>
      <c r="H361" s="598">
        <v>350.0</v>
      </c>
      <c r="I361" s="598">
        <v>14.0</v>
      </c>
      <c r="J361" s="598">
        <v>8019.0</v>
      </c>
      <c r="K361" s="1561">
        <v>7785.0</v>
      </c>
      <c r="L361" s="1555">
        <v>44391.0</v>
      </c>
    </row>
    <row r="362">
      <c r="A362" s="1545" t="s">
        <v>500</v>
      </c>
      <c r="B362" s="1587">
        <v>194515.0</v>
      </c>
      <c r="C362" s="1547">
        <v>6635.0</v>
      </c>
      <c r="D362" s="1548">
        <v>19.3</v>
      </c>
      <c r="E362" s="1557">
        <v>152496.0</v>
      </c>
      <c r="F362" s="598">
        <v>10263.0</v>
      </c>
      <c r="G362" s="598">
        <v>826.0</v>
      </c>
      <c r="H362" s="598">
        <v>2669.0</v>
      </c>
      <c r="I362" s="598">
        <v>107.0</v>
      </c>
      <c r="J362" s="598">
        <v>8087.0</v>
      </c>
      <c r="K362" s="1561">
        <v>20067.0</v>
      </c>
      <c r="L362" s="1555">
        <v>45884.0</v>
      </c>
    </row>
    <row r="363">
      <c r="A363" s="1545" t="s">
        <v>501</v>
      </c>
      <c r="B363" s="1587">
        <v>101235.0</v>
      </c>
      <c r="C363" s="1547">
        <v>6801.0</v>
      </c>
      <c r="D363" s="1548">
        <v>38.5</v>
      </c>
      <c r="E363" s="1557">
        <v>71549.0</v>
      </c>
      <c r="F363" s="598">
        <v>9891.0</v>
      </c>
      <c r="G363" s="598">
        <v>503.0</v>
      </c>
      <c r="H363" s="598">
        <v>1644.0</v>
      </c>
      <c r="I363" s="598">
        <v>58.0</v>
      </c>
      <c r="J363" s="598">
        <v>6639.0</v>
      </c>
      <c r="K363" s="1561">
        <v>10951.0</v>
      </c>
      <c r="L363" s="1555">
        <v>39994.0</v>
      </c>
    </row>
    <row r="364">
      <c r="A364" s="1545" t="s">
        <v>306</v>
      </c>
      <c r="B364" s="1587">
        <v>1459762.0</v>
      </c>
      <c r="C364" s="1547">
        <v>63884.0</v>
      </c>
      <c r="D364" s="1548">
        <v>20.1</v>
      </c>
      <c r="E364" s="1557">
        <v>767348.0</v>
      </c>
      <c r="F364" s="598">
        <v>237434.0</v>
      </c>
      <c r="G364" s="598">
        <v>7229.0</v>
      </c>
      <c r="H364" s="598">
        <v>71080.0</v>
      </c>
      <c r="I364" s="598">
        <v>1149.0</v>
      </c>
      <c r="J364" s="598">
        <v>129490.0</v>
      </c>
      <c r="K364" s="1561">
        <v>246032.0</v>
      </c>
      <c r="L364" s="1551">
        <v>58361.0</v>
      </c>
    </row>
    <row r="365">
      <c r="A365" s="1545" t="s">
        <v>502</v>
      </c>
      <c r="B365" s="1587">
        <v>19653.0</v>
      </c>
      <c r="C365" s="1547">
        <v>1172.0</v>
      </c>
      <c r="D365" s="1548">
        <v>30.6</v>
      </c>
      <c r="E365" s="1557">
        <v>17063.0</v>
      </c>
      <c r="F365" s="598">
        <v>1237.0</v>
      </c>
      <c r="G365" s="598">
        <v>128.0</v>
      </c>
      <c r="H365" s="598">
        <v>90.0</v>
      </c>
      <c r="I365" s="598">
        <v>13.0</v>
      </c>
      <c r="J365" s="598">
        <v>235.0</v>
      </c>
      <c r="K365" s="1561">
        <v>887.0</v>
      </c>
      <c r="L365" s="1555">
        <v>38040.0</v>
      </c>
    </row>
    <row r="366">
      <c r="A366" s="1545" t="s">
        <v>504</v>
      </c>
      <c r="B366" s="1587">
        <v>159788.0</v>
      </c>
      <c r="C366" s="1547">
        <v>4414.0</v>
      </c>
      <c r="D366" s="1548">
        <v>17.9</v>
      </c>
      <c r="E366" s="1557">
        <v>122541.0</v>
      </c>
      <c r="F366" s="598">
        <v>13367.0</v>
      </c>
      <c r="G366" s="598">
        <v>531.0</v>
      </c>
      <c r="H366" s="598">
        <v>2390.0</v>
      </c>
      <c r="I366" s="598">
        <v>68.0</v>
      </c>
      <c r="J366" s="598">
        <v>6823.0</v>
      </c>
      <c r="K366" s="1561">
        <v>14068.0</v>
      </c>
      <c r="L366" s="1551">
        <v>58228.0</v>
      </c>
    </row>
    <row r="367">
      <c r="A367" s="1545" t="s">
        <v>142</v>
      </c>
      <c r="B367" s="1587">
        <v>47319.0</v>
      </c>
      <c r="C367" s="1547">
        <v>2915.0</v>
      </c>
      <c r="D367" s="1548">
        <v>33.5</v>
      </c>
      <c r="E367" s="1557">
        <v>31381.0</v>
      </c>
      <c r="F367" s="598">
        <v>12150.0</v>
      </c>
      <c r="G367" s="598">
        <v>225.0</v>
      </c>
      <c r="H367" s="598">
        <v>294.0</v>
      </c>
      <c r="I367" s="598">
        <v>18.0</v>
      </c>
      <c r="J367" s="598">
        <v>986.0</v>
      </c>
      <c r="K367" s="1561">
        <v>2265.0</v>
      </c>
      <c r="L367" s="1551">
        <v>39545.0</v>
      </c>
    </row>
    <row r="368">
      <c r="A368" s="1545" t="s">
        <v>143</v>
      </c>
      <c r="B368" s="1587">
        <v>14510.0</v>
      </c>
      <c r="C368" s="1563">
        <v>685.0</v>
      </c>
      <c r="D368" s="1548">
        <v>28.6</v>
      </c>
      <c r="E368" s="1557">
        <v>8905.0</v>
      </c>
      <c r="F368" s="598">
        <v>4621.0</v>
      </c>
      <c r="G368" s="598">
        <v>42.0</v>
      </c>
      <c r="H368" s="598">
        <v>34.0</v>
      </c>
      <c r="I368" s="598">
        <v>4.0</v>
      </c>
      <c r="J368" s="598">
        <v>316.0</v>
      </c>
      <c r="K368" s="1561">
        <v>588.0</v>
      </c>
      <c r="L368" s="1551">
        <v>46332.0</v>
      </c>
    </row>
    <row r="369">
      <c r="A369" s="1545" t="s">
        <v>289</v>
      </c>
      <c r="B369" s="1587">
        <v>8226.0</v>
      </c>
      <c r="C369" s="1563">
        <v>456.0</v>
      </c>
      <c r="D369" s="1548">
        <v>26.1</v>
      </c>
      <c r="E369" s="1557">
        <v>6363.0</v>
      </c>
      <c r="F369" s="598">
        <v>1045.0</v>
      </c>
      <c r="G369" s="598">
        <v>24.0</v>
      </c>
      <c r="H369" s="598">
        <v>10.0</v>
      </c>
      <c r="I369" s="598">
        <v>6.0</v>
      </c>
      <c r="J369" s="598">
        <v>422.0</v>
      </c>
      <c r="K369" s="1561">
        <v>356.0</v>
      </c>
      <c r="L369" s="1555">
        <v>42689.0</v>
      </c>
    </row>
    <row r="370">
      <c r="A370" s="1545" t="s">
        <v>337</v>
      </c>
      <c r="B370" s="1587">
        <v>383956.0</v>
      </c>
      <c r="C370" s="1547">
        <v>13120.0</v>
      </c>
      <c r="D370" s="1548">
        <v>19.5</v>
      </c>
      <c r="E370" s="1557">
        <v>269452.0</v>
      </c>
      <c r="F370" s="598">
        <v>39544.0</v>
      </c>
      <c r="G370" s="598">
        <v>1625.0</v>
      </c>
      <c r="H370" s="598">
        <v>8566.0</v>
      </c>
      <c r="I370" s="598">
        <v>346.0</v>
      </c>
      <c r="J370" s="598">
        <v>23021.0</v>
      </c>
      <c r="K370" s="1561">
        <v>41402.0</v>
      </c>
      <c r="L370" s="1555">
        <v>52447.0</v>
      </c>
    </row>
    <row r="371">
      <c r="A371" s="1545" t="s">
        <v>147</v>
      </c>
      <c r="B371" s="1587">
        <v>760822.0</v>
      </c>
      <c r="C371" s="1547">
        <v>23935.0</v>
      </c>
      <c r="D371" s="1548">
        <v>18.4</v>
      </c>
      <c r="E371" s="1557">
        <v>530637.0</v>
      </c>
      <c r="F371" s="598">
        <v>58916.0</v>
      </c>
      <c r="G371" s="598">
        <v>3828.0</v>
      </c>
      <c r="H371" s="598">
        <v>13090.0</v>
      </c>
      <c r="I371" s="598">
        <v>312.0</v>
      </c>
      <c r="J371" s="598">
        <v>56861.0</v>
      </c>
      <c r="K371" s="1561">
        <v>97178.0</v>
      </c>
      <c r="L371" s="1555">
        <v>56343.0</v>
      </c>
    </row>
    <row r="372">
      <c r="A372" s="1545" t="s">
        <v>505</v>
      </c>
      <c r="B372" s="1587">
        <v>292198.0</v>
      </c>
      <c r="C372" s="1547">
        <v>10788.0</v>
      </c>
      <c r="D372" s="1548">
        <v>20.1</v>
      </c>
      <c r="E372" s="1557">
        <v>163927.0</v>
      </c>
      <c r="F372" s="598">
        <v>88862.0</v>
      </c>
      <c r="G372" s="598">
        <v>838.0</v>
      </c>
      <c r="H372" s="598">
        <v>10590.0</v>
      </c>
      <c r="I372" s="598">
        <v>174.0</v>
      </c>
      <c r="J372" s="598">
        <v>6175.0</v>
      </c>
      <c r="K372" s="1561">
        <v>21632.0</v>
      </c>
      <c r="L372" s="1551">
        <v>51046.0</v>
      </c>
    </row>
    <row r="373">
      <c r="A373" s="1545" t="s">
        <v>506</v>
      </c>
      <c r="B373" s="1587">
        <v>42915.0</v>
      </c>
      <c r="C373" s="1547">
        <v>2059.0</v>
      </c>
      <c r="D373" s="1548">
        <v>26.3</v>
      </c>
      <c r="E373" s="1557">
        <v>34111.0</v>
      </c>
      <c r="F373" s="598">
        <v>3690.0</v>
      </c>
      <c r="G373" s="598">
        <v>232.0</v>
      </c>
      <c r="H373" s="598">
        <v>293.0</v>
      </c>
      <c r="I373" s="598">
        <v>17.0</v>
      </c>
      <c r="J373" s="598">
        <v>1415.0</v>
      </c>
      <c r="K373" s="1561">
        <v>3157.0</v>
      </c>
      <c r="L373" s="1551">
        <v>39037.0</v>
      </c>
    </row>
    <row r="374">
      <c r="A374" s="1545" t="s">
        <v>508</v>
      </c>
      <c r="B374" s="1587">
        <v>7974.0</v>
      </c>
      <c r="C374" s="1563">
        <v>392.0</v>
      </c>
      <c r="D374" s="1548">
        <v>27.1</v>
      </c>
      <c r="E374" s="1557">
        <v>5926.0</v>
      </c>
      <c r="F374" s="598">
        <v>1357.0</v>
      </c>
      <c r="G374" s="598">
        <v>63.0</v>
      </c>
      <c r="H374" s="598">
        <v>18.0</v>
      </c>
      <c r="I374" s="598">
        <v>2.0</v>
      </c>
      <c r="J374" s="598">
        <v>279.0</v>
      </c>
      <c r="K374" s="1561">
        <v>329.0</v>
      </c>
      <c r="L374" s="1551">
        <v>40814.0</v>
      </c>
    </row>
    <row r="375">
      <c r="A375" s="1545" t="s">
        <v>151</v>
      </c>
      <c r="B375" s="1587">
        <v>17968.0</v>
      </c>
      <c r="C375" s="1547">
        <v>1077.0</v>
      </c>
      <c r="D375" s="1548">
        <v>32.5</v>
      </c>
      <c r="E375" s="1557">
        <v>10425.0</v>
      </c>
      <c r="F375" s="598">
        <v>6310.0</v>
      </c>
      <c r="G375" s="598">
        <v>59.0</v>
      </c>
      <c r="H375" s="598">
        <v>46.0</v>
      </c>
      <c r="I375" s="598">
        <v>0.0</v>
      </c>
      <c r="J375" s="598">
        <v>327.0</v>
      </c>
      <c r="K375" s="1561">
        <v>801.0</v>
      </c>
      <c r="L375" s="1555">
        <v>38249.0</v>
      </c>
    </row>
    <row r="376">
      <c r="A376" s="1545" t="s">
        <v>509</v>
      </c>
      <c r="B376" s="1587">
        <v>399710.0</v>
      </c>
      <c r="C376" s="1547">
        <v>12197.0</v>
      </c>
      <c r="D376" s="1548">
        <v>17.3</v>
      </c>
      <c r="E376" s="1557">
        <v>289188.0</v>
      </c>
      <c r="F376" s="598">
        <v>32121.0</v>
      </c>
      <c r="G376" s="598">
        <v>1642.0</v>
      </c>
      <c r="H376" s="598">
        <v>8555.0</v>
      </c>
      <c r="I376" s="598">
        <v>275.0</v>
      </c>
      <c r="J376" s="598">
        <v>26548.0</v>
      </c>
      <c r="K376" s="1561">
        <v>41381.0</v>
      </c>
      <c r="L376" s="1555">
        <v>59587.0</v>
      </c>
    </row>
    <row r="377">
      <c r="A377" s="1545" t="s">
        <v>153</v>
      </c>
      <c r="B377" s="1587">
        <v>375908.0</v>
      </c>
      <c r="C377" s="1547">
        <v>16997.0</v>
      </c>
      <c r="D377" s="1548">
        <v>25.9</v>
      </c>
      <c r="E377" s="1557">
        <v>268563.0</v>
      </c>
      <c r="F377" s="598">
        <v>44411.0</v>
      </c>
      <c r="G377" s="598">
        <v>1527.0</v>
      </c>
      <c r="H377" s="598">
        <v>6072.0</v>
      </c>
      <c r="I377" s="598">
        <v>171.0</v>
      </c>
      <c r="J377" s="598">
        <v>17865.0</v>
      </c>
      <c r="K377" s="1561">
        <v>37299.0</v>
      </c>
      <c r="L377" s="1555">
        <v>44517.0</v>
      </c>
    </row>
    <row r="378">
      <c r="A378" s="1545" t="s">
        <v>510</v>
      </c>
      <c r="B378" s="1587">
        <v>158431.0</v>
      </c>
      <c r="C378" s="1547">
        <v>4275.0</v>
      </c>
      <c r="D378" s="1548">
        <v>16.4</v>
      </c>
      <c r="E378" s="1557">
        <v>124465.0</v>
      </c>
      <c r="F378" s="598">
        <v>7582.0</v>
      </c>
      <c r="G378" s="598">
        <v>1223.0</v>
      </c>
      <c r="H378" s="598">
        <v>2291.0</v>
      </c>
      <c r="I378" s="598">
        <v>60.0</v>
      </c>
      <c r="J378" s="598">
        <v>9241.0</v>
      </c>
      <c r="K378" s="1561">
        <v>13569.0</v>
      </c>
      <c r="L378" s="1555">
        <v>61592.0</v>
      </c>
    </row>
    <row r="379">
      <c r="A379" s="1545" t="s">
        <v>244</v>
      </c>
      <c r="B379" s="1587">
        <v>2701767.0</v>
      </c>
      <c r="C379" s="1547">
        <v>124301.0</v>
      </c>
      <c r="D379" s="1548">
        <v>22.6</v>
      </c>
      <c r="E379" s="1557">
        <v>796893.0</v>
      </c>
      <c r="F379" s="598">
        <v>400002.0</v>
      </c>
      <c r="G379" s="598">
        <v>9107.0</v>
      </c>
      <c r="H379" s="598">
        <v>44124.0</v>
      </c>
      <c r="I379" s="598">
        <v>641.0</v>
      </c>
      <c r="J379" s="598">
        <v>319419.0</v>
      </c>
      <c r="K379" s="1561">
        <v>1131581.0</v>
      </c>
      <c r="L379" s="1555">
        <v>52043.0</v>
      </c>
    </row>
    <row r="380">
      <c r="A380" s="1545" t="s">
        <v>156</v>
      </c>
      <c r="B380" s="1587">
        <v>82874.0</v>
      </c>
      <c r="C380" s="1547">
        <v>2146.0</v>
      </c>
      <c r="D380" s="1548">
        <v>19.2</v>
      </c>
      <c r="E380" s="1557">
        <v>60153.0</v>
      </c>
      <c r="F380" s="598">
        <v>4807.0</v>
      </c>
      <c r="G380" s="598">
        <v>345.0</v>
      </c>
      <c r="H380" s="598">
        <v>1170.0</v>
      </c>
      <c r="I380" s="598">
        <v>64.0</v>
      </c>
      <c r="J380" s="598">
        <v>3858.0</v>
      </c>
      <c r="K380" s="1561">
        <v>12477.0</v>
      </c>
      <c r="L380" s="1555">
        <v>67094.0</v>
      </c>
    </row>
    <row r="381">
      <c r="A381" s="1545" t="s">
        <v>330</v>
      </c>
      <c r="B381" s="1587">
        <v>90352.0</v>
      </c>
      <c r="C381" s="1547">
        <v>2282.0</v>
      </c>
      <c r="D381" s="1548">
        <v>13.7</v>
      </c>
      <c r="E381" s="1557">
        <v>77047.0</v>
      </c>
      <c r="F381" s="598">
        <v>5035.0</v>
      </c>
      <c r="G381" s="598">
        <v>300.0</v>
      </c>
      <c r="H381" s="598">
        <v>890.0</v>
      </c>
      <c r="I381" s="598">
        <v>61.0</v>
      </c>
      <c r="J381" s="598">
        <v>1278.0</v>
      </c>
      <c r="K381" s="1561">
        <v>5741.0</v>
      </c>
      <c r="L381" s="1555">
        <v>66898.0</v>
      </c>
    </row>
    <row r="382">
      <c r="A382" s="1545" t="s">
        <v>513</v>
      </c>
      <c r="B382" s="1587">
        <v>211668.0</v>
      </c>
      <c r="C382" s="1547">
        <v>8202.0</v>
      </c>
      <c r="D382" s="1548">
        <v>18.1</v>
      </c>
      <c r="E382" s="1557">
        <v>151861.0</v>
      </c>
      <c r="F382" s="598">
        <v>19660.0</v>
      </c>
      <c r="G382" s="598">
        <v>1206.0</v>
      </c>
      <c r="H382" s="598">
        <v>6802.0</v>
      </c>
      <c r="I382" s="598">
        <v>489.0</v>
      </c>
      <c r="J382" s="598">
        <v>8017.0</v>
      </c>
      <c r="K382" s="1561">
        <v>23633.0</v>
      </c>
      <c r="L382" s="1551">
        <v>62779.0</v>
      </c>
    </row>
    <row r="383">
      <c r="A383" s="1545" t="s">
        <v>514</v>
      </c>
      <c r="B383" s="1587">
        <v>39644.0</v>
      </c>
      <c r="C383" s="1547">
        <v>2900.0</v>
      </c>
      <c r="D383" s="1548">
        <v>34.4</v>
      </c>
      <c r="E383" s="1557">
        <v>27333.0</v>
      </c>
      <c r="F383" s="598">
        <v>3405.0</v>
      </c>
      <c r="G383" s="598">
        <v>404.0</v>
      </c>
      <c r="H383" s="598">
        <v>335.0</v>
      </c>
      <c r="I383" s="598">
        <v>14.0</v>
      </c>
      <c r="J383" s="598">
        <v>4021.0</v>
      </c>
      <c r="K383" s="1561">
        <v>4132.0</v>
      </c>
      <c r="L383" s="1555">
        <v>42258.0</v>
      </c>
    </row>
    <row r="384">
      <c r="A384" s="1545" t="s">
        <v>241</v>
      </c>
      <c r="B384" s="1587">
        <v>1429908.0</v>
      </c>
      <c r="C384" s="1547">
        <v>68769.0</v>
      </c>
      <c r="D384" s="1548">
        <v>22.8</v>
      </c>
      <c r="E384" s="1557">
        <v>629789.0</v>
      </c>
      <c r="F384" s="598">
        <v>277027.0</v>
      </c>
      <c r="G384" s="598">
        <v>6328.0</v>
      </c>
      <c r="H384" s="598">
        <v>78348.0</v>
      </c>
      <c r="I384" s="598">
        <v>1417.0</v>
      </c>
      <c r="J384" s="598">
        <v>171904.0</v>
      </c>
      <c r="K384" s="1561">
        <v>265095.0</v>
      </c>
      <c r="L384" s="1555">
        <v>58037.0</v>
      </c>
    </row>
    <row r="385">
      <c r="A385" s="1545" t="s">
        <v>515</v>
      </c>
      <c r="B385" s="1587">
        <v>388656.0</v>
      </c>
      <c r="C385" s="1547">
        <v>17933.0</v>
      </c>
      <c r="D385" s="1548">
        <v>20.2</v>
      </c>
      <c r="E385" s="1557">
        <v>157720.0</v>
      </c>
      <c r="F385" s="598">
        <v>40775.0</v>
      </c>
      <c r="G385" s="598">
        <v>2253.0</v>
      </c>
      <c r="H385" s="598">
        <v>11803.0</v>
      </c>
      <c r="I385" s="598">
        <v>338.0</v>
      </c>
      <c r="J385" s="598">
        <v>78160.0</v>
      </c>
      <c r="K385" s="1561">
        <v>97607.0</v>
      </c>
      <c r="L385" s="1555">
        <v>50473.0</v>
      </c>
    </row>
    <row r="386">
      <c r="A386" s="1545" t="s">
        <v>296</v>
      </c>
      <c r="B386" s="1587">
        <v>1492191.0</v>
      </c>
      <c r="C386" s="1547">
        <v>51636.0</v>
      </c>
      <c r="D386" s="1548">
        <v>18.5</v>
      </c>
      <c r="E386" s="1557">
        <v>855682.0</v>
      </c>
      <c r="F386" s="598">
        <v>262422.0</v>
      </c>
      <c r="G386" s="598">
        <v>9598.0</v>
      </c>
      <c r="H386" s="598">
        <v>44140.0</v>
      </c>
      <c r="I386" s="598">
        <v>685.0</v>
      </c>
      <c r="J386" s="598">
        <v>111406.0</v>
      </c>
      <c r="K386" s="1561">
        <v>208258.0</v>
      </c>
      <c r="L386" s="1555">
        <v>61735.0</v>
      </c>
    </row>
    <row r="387">
      <c r="A387" s="1545" t="s">
        <v>517</v>
      </c>
      <c r="B387" s="1587">
        <v>561891.0</v>
      </c>
      <c r="C387" s="1547">
        <v>18748.0</v>
      </c>
      <c r="D387" s="1548">
        <v>17.4</v>
      </c>
      <c r="E387" s="1557">
        <v>417086.0</v>
      </c>
      <c r="F387" s="598">
        <v>34004.0</v>
      </c>
      <c r="G387" s="598">
        <v>2205.0</v>
      </c>
      <c r="H387" s="598">
        <v>16775.0</v>
      </c>
      <c r="I387" s="598">
        <v>391.0</v>
      </c>
      <c r="J387" s="598">
        <v>26351.0</v>
      </c>
      <c r="K387" s="1561">
        <v>65079.0</v>
      </c>
      <c r="L387" s="1555">
        <v>53788.0</v>
      </c>
    </row>
    <row r="388">
      <c r="A388" s="1545" t="s">
        <v>423</v>
      </c>
      <c r="B388" s="1587">
        <v>959107.0</v>
      </c>
      <c r="C388" s="1547">
        <v>25092.0</v>
      </c>
      <c r="D388" s="1548">
        <v>16.2</v>
      </c>
      <c r="E388" s="1557">
        <v>709036.0</v>
      </c>
      <c r="F388" s="598">
        <v>94154.0</v>
      </c>
      <c r="G388" s="598">
        <v>3561.0</v>
      </c>
      <c r="H388" s="598">
        <v>34167.0</v>
      </c>
      <c r="I388" s="598">
        <v>852.0</v>
      </c>
      <c r="J388" s="598">
        <v>32875.0</v>
      </c>
      <c r="K388" s="1561">
        <v>84462.0</v>
      </c>
      <c r="L388" s="1555">
        <v>52226.0</v>
      </c>
    </row>
    <row r="389">
      <c r="A389" s="1545" t="s">
        <v>302</v>
      </c>
      <c r="B389" s="1587">
        <v>725046.0</v>
      </c>
      <c r="C389" s="1547">
        <v>36944.0</v>
      </c>
      <c r="D389" s="1548">
        <v>24.0</v>
      </c>
      <c r="E389" s="1557">
        <v>439034.0</v>
      </c>
      <c r="F389" s="598">
        <v>105533.0</v>
      </c>
      <c r="G389" s="598">
        <v>3884.0</v>
      </c>
      <c r="H389" s="598">
        <v>13514.0</v>
      </c>
      <c r="I389" s="598">
        <v>463.0</v>
      </c>
      <c r="J389" s="598">
        <v>68847.0</v>
      </c>
      <c r="K389" s="1561">
        <v>93771.0</v>
      </c>
      <c r="L389" s="1555">
        <v>51354.0</v>
      </c>
    </row>
    <row r="390">
      <c r="A390" s="1545" t="s">
        <v>518</v>
      </c>
      <c r="B390" s="1587">
        <v>73321.0</v>
      </c>
      <c r="C390" s="1547">
        <v>5172.0</v>
      </c>
      <c r="D390" s="1548">
        <v>33.3</v>
      </c>
      <c r="E390" s="1557">
        <v>52345.0</v>
      </c>
      <c r="F390" s="598">
        <v>11444.0</v>
      </c>
      <c r="G390" s="598">
        <v>434.0</v>
      </c>
      <c r="H390" s="598">
        <v>481.0</v>
      </c>
      <c r="I390" s="598">
        <v>39.0</v>
      </c>
      <c r="J390" s="598">
        <v>3350.0</v>
      </c>
      <c r="K390" s="1561">
        <v>5228.0</v>
      </c>
      <c r="L390" s="1555">
        <v>39578.0</v>
      </c>
    </row>
    <row r="391">
      <c r="A391" s="1545" t="s">
        <v>2457</v>
      </c>
      <c r="B391" s="1587">
        <v>273425.0</v>
      </c>
      <c r="C391" s="1547">
        <v>3990.0</v>
      </c>
      <c r="D391" s="1548">
        <v>7.3</v>
      </c>
      <c r="E391" s="1557">
        <v>220420.0</v>
      </c>
      <c r="F391" s="598">
        <v>13363.0</v>
      </c>
      <c r="G391" s="598">
        <v>726.0</v>
      </c>
      <c r="H391" s="598">
        <v>9882.0</v>
      </c>
      <c r="I391" s="598">
        <v>160.0</v>
      </c>
      <c r="J391" s="598">
        <v>4766.0</v>
      </c>
      <c r="K391" s="1561">
        <v>24108.0</v>
      </c>
      <c r="L391" s="1555">
        <v>81925.0</v>
      </c>
    </row>
    <row r="392">
      <c r="A392" s="1545" t="s">
        <v>2458</v>
      </c>
      <c r="B392" s="1587">
        <v>329226.0</v>
      </c>
      <c r="C392" s="1547">
        <v>11538.0</v>
      </c>
      <c r="D392" s="1548">
        <v>18.5</v>
      </c>
      <c r="E392" s="1557">
        <v>192202.0</v>
      </c>
      <c r="F392" s="598">
        <v>66407.0</v>
      </c>
      <c r="G392" s="598">
        <v>1398.0</v>
      </c>
      <c r="H392" s="598">
        <v>5818.0</v>
      </c>
      <c r="I392" s="598">
        <v>185.0</v>
      </c>
      <c r="J392" s="598">
        <v>22160.0</v>
      </c>
      <c r="K392" s="1561">
        <v>41056.0</v>
      </c>
      <c r="L392" s="1555">
        <v>53377.0</v>
      </c>
    </row>
    <row r="393">
      <c r="A393" s="1545" t="s">
        <v>522</v>
      </c>
      <c r="B393" s="1587">
        <v>188000.0</v>
      </c>
      <c r="C393" s="1547">
        <v>4711.0</v>
      </c>
      <c r="D393" s="1548">
        <v>12.2</v>
      </c>
      <c r="E393" s="1557">
        <v>151133.0</v>
      </c>
      <c r="F393" s="598">
        <v>11035.0</v>
      </c>
      <c r="G393" s="598">
        <v>1309.0</v>
      </c>
      <c r="H393" s="598">
        <v>3928.0</v>
      </c>
      <c r="I393" s="598">
        <v>392.0</v>
      </c>
      <c r="J393" s="598">
        <v>3627.0</v>
      </c>
      <c r="K393" s="1561">
        <v>16576.0</v>
      </c>
      <c r="L393" s="1555">
        <v>69541.0</v>
      </c>
    </row>
    <row r="394">
      <c r="A394" s="1545" t="s">
        <v>523</v>
      </c>
      <c r="B394" s="1587">
        <v>434006.0</v>
      </c>
      <c r="C394" s="1547">
        <v>9962.0</v>
      </c>
      <c r="D394" s="1548">
        <v>16.7</v>
      </c>
      <c r="E394" s="1557">
        <v>359053.0</v>
      </c>
      <c r="F394" s="598">
        <v>16781.0</v>
      </c>
      <c r="G394" s="598">
        <v>1320.0</v>
      </c>
      <c r="H394" s="598">
        <v>8515.0</v>
      </c>
      <c r="I394" s="598">
        <v>182.0</v>
      </c>
      <c r="J394" s="598">
        <v>14536.0</v>
      </c>
      <c r="K394" s="1561">
        <v>33619.0</v>
      </c>
      <c r="L394" s="1555">
        <v>61652.0</v>
      </c>
    </row>
    <row r="395">
      <c r="A395" s="1545" t="s">
        <v>524</v>
      </c>
      <c r="B395" s="1587">
        <v>470856.0</v>
      </c>
      <c r="C395" s="1547">
        <v>12986.0</v>
      </c>
      <c r="D395" s="1548">
        <v>13.4</v>
      </c>
      <c r="E395" s="1557">
        <v>289597.0</v>
      </c>
      <c r="F395" s="598">
        <v>53509.0</v>
      </c>
      <c r="G395" s="598">
        <v>1623.0</v>
      </c>
      <c r="H395" s="598">
        <v>25615.0</v>
      </c>
      <c r="I395" s="598">
        <v>322.0</v>
      </c>
      <c r="J395" s="598">
        <v>30950.0</v>
      </c>
      <c r="K395" s="1561">
        <v>69240.0</v>
      </c>
      <c r="L395" s="1555">
        <v>67187.0</v>
      </c>
    </row>
    <row r="396">
      <c r="A396" s="1545" t="s">
        <v>169</v>
      </c>
      <c r="B396" s="1587">
        <v>129752.0</v>
      </c>
      <c r="C396" s="1547">
        <v>2378.0</v>
      </c>
      <c r="D396" s="1548">
        <v>26.6</v>
      </c>
      <c r="E396" s="1557">
        <v>112058.0</v>
      </c>
      <c r="F396" s="598">
        <v>8593.0</v>
      </c>
      <c r="G396" s="598">
        <v>386.0</v>
      </c>
      <c r="H396" s="598">
        <v>1256.0</v>
      </c>
      <c r="I396" s="598">
        <v>41.0</v>
      </c>
      <c r="J396" s="598">
        <v>1906.0</v>
      </c>
      <c r="K396" s="1561">
        <v>5512.0</v>
      </c>
      <c r="L396" s="1551">
        <v>55324.0</v>
      </c>
    </row>
    <row r="397">
      <c r="A397" s="1545" t="s">
        <v>525</v>
      </c>
      <c r="B397" s="1587">
        <v>43474.0</v>
      </c>
      <c r="C397" s="1547">
        <v>2602.0</v>
      </c>
      <c r="D397" s="1548">
        <v>28.2</v>
      </c>
      <c r="E397" s="1557">
        <v>33024.0</v>
      </c>
      <c r="F397" s="598">
        <v>5010.0</v>
      </c>
      <c r="G397" s="598">
        <v>228.0</v>
      </c>
      <c r="H397" s="598">
        <v>275.0</v>
      </c>
      <c r="I397" s="598">
        <v>19.0</v>
      </c>
      <c r="J397" s="598">
        <v>1892.0</v>
      </c>
      <c r="K397" s="1561">
        <v>3026.0</v>
      </c>
      <c r="L397" s="1551">
        <v>38525.0</v>
      </c>
    </row>
    <row r="398">
      <c r="A398" s="1545" t="s">
        <v>526</v>
      </c>
      <c r="B398" s="1587">
        <v>21796.0</v>
      </c>
      <c r="C398" s="1547">
        <v>1273.0</v>
      </c>
      <c r="D398" s="1548">
        <v>29.8</v>
      </c>
      <c r="E398" s="1557">
        <v>16047.0</v>
      </c>
      <c r="F398" s="598">
        <v>4209.0</v>
      </c>
      <c r="G398" s="598">
        <v>114.0</v>
      </c>
      <c r="H398" s="598">
        <v>225.0</v>
      </c>
      <c r="I398" s="598">
        <v>0.0</v>
      </c>
      <c r="J398" s="598">
        <v>292.0</v>
      </c>
      <c r="K398" s="1561">
        <v>909.0</v>
      </c>
      <c r="L398" s="1551">
        <v>42307.0</v>
      </c>
    </row>
    <row r="399">
      <c r="A399" s="1545" t="s">
        <v>316</v>
      </c>
      <c r="B399" s="1587">
        <v>16147.0</v>
      </c>
      <c r="C399" s="1563">
        <v>595.0</v>
      </c>
      <c r="D399" s="1548">
        <v>21.0</v>
      </c>
      <c r="E399" s="1557">
        <v>11903.0</v>
      </c>
      <c r="F399" s="598">
        <v>3233.0</v>
      </c>
      <c r="G399" s="598">
        <v>50.0</v>
      </c>
      <c r="H399" s="598">
        <v>35.0</v>
      </c>
      <c r="I399" s="598">
        <v>0.0</v>
      </c>
      <c r="J399" s="598">
        <v>307.0</v>
      </c>
      <c r="K399" s="1561">
        <v>619.0</v>
      </c>
      <c r="L399" s="1555">
        <v>45906.0</v>
      </c>
    </row>
    <row r="400">
      <c r="A400" s="1545" t="s">
        <v>528</v>
      </c>
      <c r="B400" s="1587">
        <v>553543.0</v>
      </c>
      <c r="C400" s="1547">
        <v>16634.0</v>
      </c>
      <c r="D400" s="1548">
        <v>17.5</v>
      </c>
      <c r="E400" s="1557">
        <v>400163.0</v>
      </c>
      <c r="F400" s="598">
        <v>57789.0</v>
      </c>
      <c r="G400" s="598">
        <v>2085.0</v>
      </c>
      <c r="H400" s="598">
        <v>10689.0</v>
      </c>
      <c r="I400" s="598">
        <v>305.0</v>
      </c>
      <c r="J400" s="598">
        <v>27530.0</v>
      </c>
      <c r="K400" s="1561">
        <v>54982.0</v>
      </c>
      <c r="L400" s="1551">
        <v>50285.0</v>
      </c>
    </row>
    <row r="401">
      <c r="A401" s="1545" t="s">
        <v>529</v>
      </c>
      <c r="B401" s="1587">
        <v>33764.0</v>
      </c>
      <c r="C401" s="1547">
        <v>1110.0</v>
      </c>
      <c r="D401" s="1548">
        <v>16.2</v>
      </c>
      <c r="E401" s="1557">
        <v>26614.0</v>
      </c>
      <c r="F401" s="598">
        <v>4250.0</v>
      </c>
      <c r="G401" s="598">
        <v>165.0</v>
      </c>
      <c r="H401" s="598">
        <v>203.0</v>
      </c>
      <c r="I401" s="598">
        <v>19.0</v>
      </c>
      <c r="J401" s="598">
        <v>544.0</v>
      </c>
      <c r="K401" s="1561">
        <v>1969.0</v>
      </c>
      <c r="L401" s="1555">
        <v>58203.0</v>
      </c>
    </row>
    <row r="402">
      <c r="A402" s="1545" t="s">
        <v>530</v>
      </c>
      <c r="B402" s="1587">
        <v>75305.0</v>
      </c>
      <c r="C402" s="1547">
        <v>2631.0</v>
      </c>
      <c r="D402" s="1548">
        <v>18.6</v>
      </c>
      <c r="E402" s="1557">
        <v>61858.0</v>
      </c>
      <c r="F402" s="598">
        <v>3339.0</v>
      </c>
      <c r="G402" s="598">
        <v>539.0</v>
      </c>
      <c r="H402" s="598">
        <v>923.0</v>
      </c>
      <c r="I402" s="598">
        <v>46.0</v>
      </c>
      <c r="J402" s="598">
        <v>2862.0</v>
      </c>
      <c r="K402" s="1561">
        <v>5738.0</v>
      </c>
      <c r="L402" s="1615">
        <v>60973.0</v>
      </c>
    </row>
    <row r="403">
      <c r="A403" s="1528" t="s">
        <v>119</v>
      </c>
      <c r="B403" s="1595">
        <v>25318.0</v>
      </c>
      <c r="C403" s="1530">
        <v>1563.0</v>
      </c>
      <c r="D403" s="1567">
        <v>32.0</v>
      </c>
      <c r="E403" s="1588">
        <v>19811.0</v>
      </c>
      <c r="F403" s="1589">
        <v>3283.0</v>
      </c>
      <c r="G403" s="1589">
        <v>222.0</v>
      </c>
      <c r="H403" s="1589">
        <v>137.0</v>
      </c>
      <c r="I403" s="1589">
        <v>28.0</v>
      </c>
      <c r="J403" s="1589">
        <v>350.0</v>
      </c>
      <c r="K403" s="1616">
        <v>1487.0</v>
      </c>
      <c r="L403" s="1617">
        <v>39225.0</v>
      </c>
    </row>
    <row r="404">
      <c r="A404" s="1538" t="s">
        <v>44</v>
      </c>
      <c r="B404" s="1596">
        <v>1.0711908E7</v>
      </c>
      <c r="C404" s="1540">
        <v>516311.0</v>
      </c>
      <c r="D404" s="1541">
        <v>21.0</v>
      </c>
      <c r="E404" s="1618">
        <v>5555483.0</v>
      </c>
      <c r="F404" s="1612">
        <v>3320513.0</v>
      </c>
      <c r="G404" s="1612">
        <v>50618.0</v>
      </c>
      <c r="H404" s="1612">
        <v>479028.0</v>
      </c>
      <c r="I404" s="1612">
        <v>7299.0</v>
      </c>
      <c r="J404" s="1612">
        <v>555059.0</v>
      </c>
      <c r="K404" s="1613">
        <v>743908.0</v>
      </c>
      <c r="L404" s="1619">
        <v>58634.0</v>
      </c>
    </row>
    <row r="405">
      <c r="A405" s="1545" t="s">
        <v>532</v>
      </c>
      <c r="B405" s="1586">
        <v>18444.0</v>
      </c>
      <c r="C405" s="1547">
        <v>1522.0</v>
      </c>
      <c r="D405" s="1591">
        <v>34.0</v>
      </c>
      <c r="E405" s="1620">
        <v>13071.0</v>
      </c>
      <c r="F405" s="598">
        <v>3387.0</v>
      </c>
      <c r="G405" s="598">
        <v>91.0</v>
      </c>
      <c r="H405" s="598">
        <v>128.0</v>
      </c>
      <c r="I405" s="598">
        <v>1.0</v>
      </c>
      <c r="J405" s="598">
        <v>1059.0</v>
      </c>
      <c r="K405" s="1561">
        <v>707.0</v>
      </c>
      <c r="L405" s="1551">
        <v>42781.0</v>
      </c>
    </row>
    <row r="406">
      <c r="A406" s="1545" t="s">
        <v>533</v>
      </c>
      <c r="B406" s="1587">
        <v>8286.0</v>
      </c>
      <c r="C406" s="1563">
        <v>906.0</v>
      </c>
      <c r="D406" s="1591">
        <v>42.2</v>
      </c>
      <c r="E406" s="1620">
        <v>5280.0</v>
      </c>
      <c r="F406" s="598">
        <v>1213.0</v>
      </c>
      <c r="G406" s="598">
        <v>64.0</v>
      </c>
      <c r="H406" s="598">
        <v>13.0</v>
      </c>
      <c r="I406" s="598">
        <v>4.0</v>
      </c>
      <c r="J406" s="598">
        <v>1039.0</v>
      </c>
      <c r="K406" s="1561">
        <v>673.0</v>
      </c>
      <c r="L406" s="1551">
        <v>36779.0</v>
      </c>
    </row>
    <row r="407">
      <c r="A407" s="1545" t="s">
        <v>534</v>
      </c>
      <c r="B407" s="1587">
        <v>11140.0</v>
      </c>
      <c r="C407" s="1563">
        <v>945.0</v>
      </c>
      <c r="D407" s="1591">
        <v>33.6</v>
      </c>
      <c r="E407" s="1620">
        <v>8251.0</v>
      </c>
      <c r="F407" s="598">
        <v>1763.0</v>
      </c>
      <c r="G407" s="598">
        <v>14.0</v>
      </c>
      <c r="H407" s="598">
        <v>40.0</v>
      </c>
      <c r="I407" s="598">
        <v>4.0</v>
      </c>
      <c r="J407" s="598">
        <v>571.0</v>
      </c>
      <c r="K407" s="1561">
        <v>497.0</v>
      </c>
      <c r="L407" s="1551">
        <v>38775.0</v>
      </c>
    </row>
    <row r="408">
      <c r="A408" s="1545" t="s">
        <v>481</v>
      </c>
      <c r="B408" s="1587">
        <v>2876.0</v>
      </c>
      <c r="C408" s="1563">
        <v>253.0</v>
      </c>
      <c r="D408" s="1591">
        <v>43.2</v>
      </c>
      <c r="E408" s="1620">
        <v>1536.0</v>
      </c>
      <c r="F408" s="598">
        <v>1130.0</v>
      </c>
      <c r="G408" s="598">
        <v>1.0</v>
      </c>
      <c r="H408" s="598">
        <v>18.0</v>
      </c>
      <c r="I408" s="598">
        <v>0.0</v>
      </c>
      <c r="J408" s="598">
        <v>73.0</v>
      </c>
      <c r="K408" s="1561">
        <v>118.0</v>
      </c>
      <c r="L408" s="1551">
        <v>38288.0</v>
      </c>
    </row>
    <row r="409">
      <c r="A409" s="1545" t="s">
        <v>58</v>
      </c>
      <c r="B409" s="1587">
        <v>43799.0</v>
      </c>
      <c r="C409" s="1547">
        <v>2591.0</v>
      </c>
      <c r="D409" s="1591">
        <v>31.3</v>
      </c>
      <c r="E409" s="1620">
        <v>22655.0</v>
      </c>
      <c r="F409" s="598">
        <v>18404.0</v>
      </c>
      <c r="G409" s="598">
        <v>83.0</v>
      </c>
      <c r="H409" s="598">
        <v>599.0</v>
      </c>
      <c r="I409" s="598">
        <v>28.0</v>
      </c>
      <c r="J409" s="598">
        <v>670.0</v>
      </c>
      <c r="K409" s="1561">
        <v>1360.0</v>
      </c>
      <c r="L409" s="1551">
        <v>42727.0</v>
      </c>
    </row>
    <row r="410">
      <c r="A410" s="1545" t="s">
        <v>535</v>
      </c>
      <c r="B410" s="1587">
        <v>18035.0</v>
      </c>
      <c r="C410" s="1563">
        <v>812.0</v>
      </c>
      <c r="D410" s="1591">
        <v>19.5</v>
      </c>
      <c r="E410" s="1620">
        <v>15838.0</v>
      </c>
      <c r="F410" s="598">
        <v>395.0</v>
      </c>
      <c r="G410" s="598">
        <v>103.0</v>
      </c>
      <c r="H410" s="598">
        <v>190.0</v>
      </c>
      <c r="I410" s="598">
        <v>14.0</v>
      </c>
      <c r="J410" s="598">
        <v>513.0</v>
      </c>
      <c r="K410" s="1561">
        <v>982.0</v>
      </c>
      <c r="L410" s="1555">
        <v>55384.0</v>
      </c>
    </row>
    <row r="411">
      <c r="A411" s="1545" t="s">
        <v>537</v>
      </c>
      <c r="B411" s="1587">
        <v>83505.0</v>
      </c>
      <c r="C411" s="1547">
        <v>3099.0</v>
      </c>
      <c r="D411" s="1548">
        <v>15.0</v>
      </c>
      <c r="E411" s="1549">
        <v>57644.0</v>
      </c>
      <c r="F411" s="1593">
        <v>10369.0</v>
      </c>
      <c r="G411" s="1593">
        <v>405.0</v>
      </c>
      <c r="H411" s="1593">
        <v>3274.0</v>
      </c>
      <c r="I411" s="1593">
        <v>23.0</v>
      </c>
      <c r="J411" s="1593">
        <v>5025.0</v>
      </c>
      <c r="K411" s="1594">
        <v>6765.0</v>
      </c>
      <c r="L411" s="1555">
        <v>61413.0</v>
      </c>
    </row>
    <row r="412">
      <c r="A412" s="1545" t="s">
        <v>538</v>
      </c>
      <c r="B412" s="1587">
        <v>108901.0</v>
      </c>
      <c r="C412" s="1547">
        <v>4305.0</v>
      </c>
      <c r="D412" s="1548">
        <v>17.1</v>
      </c>
      <c r="E412" s="1557">
        <v>82391.0</v>
      </c>
      <c r="F412" s="598">
        <v>11512.0</v>
      </c>
      <c r="G412" s="598">
        <v>481.0</v>
      </c>
      <c r="H412" s="598">
        <v>1186.0</v>
      </c>
      <c r="I412" s="598">
        <v>44.0</v>
      </c>
      <c r="J412" s="598">
        <v>5370.0</v>
      </c>
      <c r="K412" s="1561">
        <v>7917.0</v>
      </c>
      <c r="L412" s="1551">
        <v>57409.0</v>
      </c>
    </row>
    <row r="413">
      <c r="A413" s="1545" t="s">
        <v>539</v>
      </c>
      <c r="B413" s="1587">
        <v>17194.0</v>
      </c>
      <c r="C413" s="1547">
        <v>1668.0</v>
      </c>
      <c r="D413" s="1548">
        <v>40.9</v>
      </c>
      <c r="E413" s="1557">
        <v>9432.0</v>
      </c>
      <c r="F413" s="598">
        <v>6267.0</v>
      </c>
      <c r="G413" s="598">
        <v>70.0</v>
      </c>
      <c r="H413" s="598">
        <v>119.0</v>
      </c>
      <c r="I413" s="598">
        <v>0.0</v>
      </c>
      <c r="J413" s="598">
        <v>546.0</v>
      </c>
      <c r="K413" s="1561">
        <v>760.0</v>
      </c>
      <c r="L413" s="1551">
        <v>35020.0</v>
      </c>
    </row>
    <row r="414">
      <c r="A414" s="1545" t="s">
        <v>540</v>
      </c>
      <c r="B414" s="1587">
        <v>18160.0</v>
      </c>
      <c r="C414" s="1547">
        <v>1424.0</v>
      </c>
      <c r="D414" s="1548">
        <v>31.1</v>
      </c>
      <c r="E414" s="1557">
        <v>14643.0</v>
      </c>
      <c r="F414" s="598">
        <v>1954.0</v>
      </c>
      <c r="G414" s="598">
        <v>37.0</v>
      </c>
      <c r="H414" s="598">
        <v>80.0</v>
      </c>
      <c r="I414" s="598">
        <v>10.0</v>
      </c>
      <c r="J414" s="598">
        <v>480.0</v>
      </c>
      <c r="K414" s="1561">
        <v>956.0</v>
      </c>
      <c r="L414" s="1555">
        <v>39412.0</v>
      </c>
    </row>
    <row r="415">
      <c r="A415" s="1545" t="s">
        <v>68</v>
      </c>
      <c r="B415" s="1587">
        <v>157346.0</v>
      </c>
      <c r="C415" s="1547">
        <v>13487.0</v>
      </c>
      <c r="D415" s="1548">
        <v>36.6</v>
      </c>
      <c r="E415" s="1557">
        <v>57778.0</v>
      </c>
      <c r="F415" s="598">
        <v>85885.0</v>
      </c>
      <c r="G415" s="598">
        <v>373.0</v>
      </c>
      <c r="H415" s="598">
        <v>3251.0</v>
      </c>
      <c r="I415" s="598">
        <v>53.0</v>
      </c>
      <c r="J415" s="598">
        <v>3735.0</v>
      </c>
      <c r="K415" s="1561">
        <v>6271.0</v>
      </c>
      <c r="L415" s="1551">
        <v>41390.0</v>
      </c>
    </row>
    <row r="416">
      <c r="A416" s="1545" t="s">
        <v>541</v>
      </c>
      <c r="B416" s="1587">
        <v>12583.0</v>
      </c>
      <c r="C416" s="1563">
        <v>707.0</v>
      </c>
      <c r="D416" s="1548">
        <v>28.0</v>
      </c>
      <c r="E416" s="1557">
        <v>9016.0</v>
      </c>
      <c r="F416" s="598">
        <v>2818.0</v>
      </c>
      <c r="G416" s="598">
        <v>20.0</v>
      </c>
      <c r="H416" s="598">
        <v>154.0</v>
      </c>
      <c r="I416" s="598">
        <v>8.0</v>
      </c>
      <c r="J416" s="598">
        <v>200.0</v>
      </c>
      <c r="K416" s="1561">
        <v>367.0</v>
      </c>
      <c r="L416" s="1551">
        <v>46019.0</v>
      </c>
    </row>
    <row r="417">
      <c r="A417" s="1545" t="s">
        <v>542</v>
      </c>
      <c r="B417" s="1587">
        <v>18021.0</v>
      </c>
      <c r="C417" s="1547">
        <v>1273.0</v>
      </c>
      <c r="D417" s="1548">
        <v>29.3</v>
      </c>
      <c r="E417" s="1557">
        <v>16427.0</v>
      </c>
      <c r="F417" s="598">
        <v>568.0</v>
      </c>
      <c r="G417" s="598">
        <v>57.0</v>
      </c>
      <c r="H417" s="598">
        <v>42.0</v>
      </c>
      <c r="I417" s="598">
        <v>3.0</v>
      </c>
      <c r="J417" s="598">
        <v>129.0</v>
      </c>
      <c r="K417" s="1561">
        <v>795.0</v>
      </c>
      <c r="L417" s="1551">
        <v>41874.0</v>
      </c>
    </row>
    <row r="418">
      <c r="A418" s="1545" t="s">
        <v>543</v>
      </c>
      <c r="B418" s="1587">
        <v>16301.0</v>
      </c>
      <c r="C418" s="1547">
        <v>1124.0</v>
      </c>
      <c r="D418" s="1548">
        <v>33.7</v>
      </c>
      <c r="E418" s="1557">
        <v>9307.0</v>
      </c>
      <c r="F418" s="598">
        <v>5714.0</v>
      </c>
      <c r="G418" s="598">
        <v>50.0</v>
      </c>
      <c r="H418" s="598">
        <v>67.0</v>
      </c>
      <c r="I418" s="598">
        <v>6.0</v>
      </c>
      <c r="J418" s="598">
        <v>456.0</v>
      </c>
      <c r="K418" s="1561">
        <v>701.0</v>
      </c>
      <c r="L418" s="1551">
        <v>36354.0</v>
      </c>
    </row>
    <row r="419">
      <c r="A419" s="1545" t="s">
        <v>544</v>
      </c>
      <c r="B419" s="1587">
        <v>44738.0</v>
      </c>
      <c r="C419" s="1547">
        <v>1263.0</v>
      </c>
      <c r="D419" s="1548">
        <v>11.5</v>
      </c>
      <c r="E419" s="1557">
        <v>32217.0</v>
      </c>
      <c r="F419" s="598">
        <v>6486.0</v>
      </c>
      <c r="G419" s="598">
        <v>140.0</v>
      </c>
      <c r="H419" s="598">
        <v>1060.0</v>
      </c>
      <c r="I419" s="598">
        <v>53.0</v>
      </c>
      <c r="J419" s="598">
        <v>987.0</v>
      </c>
      <c r="K419" s="1561">
        <v>3795.0</v>
      </c>
      <c r="L419" s="1555">
        <v>79658.0</v>
      </c>
    </row>
    <row r="420">
      <c r="A420" s="1545" t="s">
        <v>545</v>
      </c>
      <c r="B420" s="1587">
        <v>81099.0</v>
      </c>
      <c r="C420" s="1547">
        <v>3713.0</v>
      </c>
      <c r="D420" s="1548">
        <v>24.4</v>
      </c>
      <c r="E420" s="1557">
        <v>50718.0</v>
      </c>
      <c r="F420" s="598">
        <v>23052.0</v>
      </c>
      <c r="G420" s="598">
        <v>225.0</v>
      </c>
      <c r="H420" s="598">
        <v>1303.0</v>
      </c>
      <c r="I420" s="598">
        <v>71.0</v>
      </c>
      <c r="J420" s="598">
        <v>1874.0</v>
      </c>
      <c r="K420" s="1561">
        <v>3856.0</v>
      </c>
      <c r="L420" s="1551">
        <v>43766.0</v>
      </c>
    </row>
    <row r="421">
      <c r="A421" s="1545" t="s">
        <v>546</v>
      </c>
      <c r="B421" s="1587">
        <v>24596.0</v>
      </c>
      <c r="C421" s="1547">
        <v>1915.0</v>
      </c>
      <c r="D421" s="1548">
        <v>33.2</v>
      </c>
      <c r="E421" s="1557">
        <v>12166.0</v>
      </c>
      <c r="F421" s="598">
        <v>11027.0</v>
      </c>
      <c r="G421" s="598">
        <v>58.0</v>
      </c>
      <c r="H421" s="598">
        <v>97.0</v>
      </c>
      <c r="I421" s="598">
        <v>13.0</v>
      </c>
      <c r="J421" s="598">
        <v>329.0</v>
      </c>
      <c r="K421" s="1561">
        <v>906.0</v>
      </c>
      <c r="L421" s="1551">
        <v>42785.0</v>
      </c>
    </row>
    <row r="422">
      <c r="A422" s="1545" t="s">
        <v>547</v>
      </c>
      <c r="B422" s="1587">
        <v>25434.0</v>
      </c>
      <c r="C422" s="1547">
        <v>1485.0</v>
      </c>
      <c r="D422" s="1548">
        <v>30.0</v>
      </c>
      <c r="E422" s="1557">
        <v>16823.0</v>
      </c>
      <c r="F422" s="598">
        <v>6832.0</v>
      </c>
      <c r="G422" s="598">
        <v>39.0</v>
      </c>
      <c r="H422" s="598">
        <v>107.0</v>
      </c>
      <c r="I422" s="598">
        <v>9.0</v>
      </c>
      <c r="J422" s="598">
        <v>432.0</v>
      </c>
      <c r="K422" s="1561">
        <v>1192.0</v>
      </c>
      <c r="L422" s="1551">
        <v>48831.0</v>
      </c>
    </row>
    <row r="423">
      <c r="A423" s="1545" t="s">
        <v>93</v>
      </c>
      <c r="B423" s="1587">
        <v>5573.0</v>
      </c>
      <c r="C423" s="1563">
        <v>476.0</v>
      </c>
      <c r="D423" s="1548">
        <v>43.2</v>
      </c>
      <c r="E423" s="1557">
        <v>1783.0</v>
      </c>
      <c r="F423" s="598">
        <v>3581.0</v>
      </c>
      <c r="G423" s="598">
        <v>8.0</v>
      </c>
      <c r="H423" s="598">
        <v>19.0</v>
      </c>
      <c r="I423" s="598">
        <v>0.0</v>
      </c>
      <c r="J423" s="598">
        <v>102.0</v>
      </c>
      <c r="K423" s="1561">
        <v>80.0</v>
      </c>
      <c r="L423" s="1551">
        <v>33393.0</v>
      </c>
    </row>
    <row r="424">
      <c r="A424" s="1545" t="s">
        <v>548</v>
      </c>
      <c r="B424" s="1587">
        <v>54768.0</v>
      </c>
      <c r="C424" s="1547">
        <v>2680.0</v>
      </c>
      <c r="D424" s="1548">
        <v>20.8</v>
      </c>
      <c r="E424" s="1557">
        <v>38371.0</v>
      </c>
      <c r="F424" s="598">
        <v>9697.0</v>
      </c>
      <c r="G424" s="598">
        <v>261.0</v>
      </c>
      <c r="H424" s="598">
        <v>882.0</v>
      </c>
      <c r="I424" s="598">
        <v>77.0</v>
      </c>
      <c r="J424" s="598">
        <v>1176.0</v>
      </c>
      <c r="K424" s="1561">
        <v>4304.0</v>
      </c>
      <c r="L424" s="1551">
        <v>56555.0</v>
      </c>
    </row>
    <row r="425">
      <c r="A425" s="1545" t="s">
        <v>549</v>
      </c>
      <c r="B425" s="1587">
        <v>10981.0</v>
      </c>
      <c r="C425" s="1563">
        <v>942.0</v>
      </c>
      <c r="D425" s="1548">
        <v>35.3</v>
      </c>
      <c r="E425" s="1557">
        <v>6768.0</v>
      </c>
      <c r="F425" s="598">
        <v>2695.0</v>
      </c>
      <c r="G425" s="598">
        <v>30.0</v>
      </c>
      <c r="H425" s="598">
        <v>65.0</v>
      </c>
      <c r="I425" s="598">
        <v>3.0</v>
      </c>
      <c r="J425" s="598">
        <v>811.0</v>
      </c>
      <c r="K425" s="1561">
        <v>609.0</v>
      </c>
      <c r="L425" s="1555">
        <v>35841.0</v>
      </c>
    </row>
    <row r="426">
      <c r="A426" s="1545" t="s">
        <v>248</v>
      </c>
      <c r="B426" s="1587">
        <v>119148.0</v>
      </c>
      <c r="C426" s="1547">
        <v>5899.0</v>
      </c>
      <c r="D426" s="1548">
        <v>21.5</v>
      </c>
      <c r="E426" s="1557">
        <v>82566.0</v>
      </c>
      <c r="F426" s="598">
        <v>22126.0</v>
      </c>
      <c r="G426" s="598">
        <v>520.0</v>
      </c>
      <c r="H426" s="598">
        <v>1121.0</v>
      </c>
      <c r="I426" s="598">
        <v>23.0</v>
      </c>
      <c r="J426" s="598">
        <v>4978.0</v>
      </c>
      <c r="K426" s="1561">
        <v>7814.0</v>
      </c>
      <c r="L426" s="1555">
        <v>52502.0</v>
      </c>
    </row>
    <row r="427">
      <c r="A427" s="1545" t="s">
        <v>550</v>
      </c>
      <c r="B427" s="1587">
        <v>67872.0</v>
      </c>
      <c r="C427" s="1547">
        <v>2514.0</v>
      </c>
      <c r="D427" s="1548">
        <v>16.5</v>
      </c>
      <c r="E427" s="1557">
        <v>59903.0</v>
      </c>
      <c r="F427" s="598">
        <v>1858.0</v>
      </c>
      <c r="G427" s="598">
        <v>244.0</v>
      </c>
      <c r="H427" s="598">
        <v>1035.0</v>
      </c>
      <c r="I427" s="598">
        <v>85.0</v>
      </c>
      <c r="J427" s="598">
        <v>895.0</v>
      </c>
      <c r="K427" s="1561">
        <v>3852.0</v>
      </c>
      <c r="L427" s="1551">
        <v>55807.0</v>
      </c>
    </row>
    <row r="428">
      <c r="A428" s="1545" t="s">
        <v>551</v>
      </c>
      <c r="B428" s="1587">
        <v>12518.0</v>
      </c>
      <c r="C428" s="1563">
        <v>743.0</v>
      </c>
      <c r="D428" s="1548">
        <v>30.5</v>
      </c>
      <c r="E428" s="1557">
        <v>8745.0</v>
      </c>
      <c r="F428" s="598">
        <v>2627.0</v>
      </c>
      <c r="G428" s="598">
        <v>47.0</v>
      </c>
      <c r="H428" s="598">
        <v>116.0</v>
      </c>
      <c r="I428" s="598">
        <v>2.0</v>
      </c>
      <c r="J428" s="598">
        <v>533.0</v>
      </c>
      <c r="K428" s="1561">
        <v>448.0</v>
      </c>
      <c r="L428" s="1555">
        <v>40499.0</v>
      </c>
    </row>
    <row r="429">
      <c r="A429" s="1545" t="s">
        <v>552</v>
      </c>
      <c r="B429" s="1587">
        <v>295291.0</v>
      </c>
      <c r="C429" s="1547">
        <v>12031.0</v>
      </c>
      <c r="D429" s="1548">
        <v>20.0</v>
      </c>
      <c r="E429" s="1557">
        <v>143891.0</v>
      </c>
      <c r="F429" s="598">
        <v>109313.0</v>
      </c>
      <c r="G429" s="598">
        <v>1079.0</v>
      </c>
      <c r="H429" s="598">
        <v>10709.0</v>
      </c>
      <c r="I429" s="598">
        <v>456.0</v>
      </c>
      <c r="J429" s="598">
        <v>11609.0</v>
      </c>
      <c r="K429" s="1561">
        <v>18234.0</v>
      </c>
      <c r="L429" s="1551">
        <v>54165.0</v>
      </c>
    </row>
    <row r="430">
      <c r="A430" s="1545" t="s">
        <v>553</v>
      </c>
      <c r="B430" s="1587">
        <v>9565.0</v>
      </c>
      <c r="C430" s="1563">
        <v>443.0</v>
      </c>
      <c r="D430" s="1548">
        <v>19.3</v>
      </c>
      <c r="E430" s="1557">
        <v>5965.0</v>
      </c>
      <c r="F430" s="598">
        <v>1511.0</v>
      </c>
      <c r="G430" s="598">
        <v>46.0</v>
      </c>
      <c r="H430" s="598">
        <v>306.0</v>
      </c>
      <c r="I430" s="598">
        <v>111.0</v>
      </c>
      <c r="J430" s="598">
        <v>586.0</v>
      </c>
      <c r="K430" s="1561">
        <v>1040.0</v>
      </c>
      <c r="L430" s="1551">
        <v>46869.0</v>
      </c>
    </row>
    <row r="431">
      <c r="A431" s="1545" t="s">
        <v>554</v>
      </c>
      <c r="B431" s="1587">
        <v>24965.0</v>
      </c>
      <c r="C431" s="1547">
        <v>1343.0</v>
      </c>
      <c r="D431" s="1548">
        <v>24.7</v>
      </c>
      <c r="E431" s="1557">
        <v>20293.0</v>
      </c>
      <c r="F431" s="598">
        <v>2408.0</v>
      </c>
      <c r="G431" s="598">
        <v>98.0</v>
      </c>
      <c r="H431" s="598">
        <v>102.0</v>
      </c>
      <c r="I431" s="598">
        <v>0.0</v>
      </c>
      <c r="J431" s="598">
        <v>860.0</v>
      </c>
      <c r="K431" s="1561">
        <v>1204.0</v>
      </c>
      <c r="L431" s="1555">
        <v>39513.0</v>
      </c>
    </row>
    <row r="432">
      <c r="A432" s="1545" t="s">
        <v>101</v>
      </c>
      <c r="B432" s="1587">
        <v>266620.0</v>
      </c>
      <c r="C432" s="1547">
        <v>5763.0</v>
      </c>
      <c r="D432" s="1548">
        <v>9.4</v>
      </c>
      <c r="E432" s="1557">
        <v>204670.0</v>
      </c>
      <c r="F432" s="598">
        <v>17785.0</v>
      </c>
      <c r="G432" s="598">
        <v>1343.0</v>
      </c>
      <c r="H432" s="598">
        <v>5497.0</v>
      </c>
      <c r="I432" s="598">
        <v>117.0</v>
      </c>
      <c r="J432" s="598">
        <v>12616.0</v>
      </c>
      <c r="K432" s="1561">
        <v>24592.0</v>
      </c>
      <c r="L432" s="1555">
        <v>82733.0</v>
      </c>
    </row>
    <row r="433">
      <c r="A433" s="1545" t="s">
        <v>110</v>
      </c>
      <c r="B433" s="1587">
        <v>128671.0</v>
      </c>
      <c r="C433" s="1547">
        <v>6504.0</v>
      </c>
      <c r="D433" s="1548">
        <v>30.0</v>
      </c>
      <c r="E433" s="1557">
        <v>74925.0</v>
      </c>
      <c r="F433" s="598">
        <v>31660.0</v>
      </c>
      <c r="G433" s="598">
        <v>580.0</v>
      </c>
      <c r="H433" s="598">
        <v>4954.0</v>
      </c>
      <c r="I433" s="598">
        <v>86.0</v>
      </c>
      <c r="J433" s="598">
        <v>7849.0</v>
      </c>
      <c r="K433" s="1561">
        <v>8617.0</v>
      </c>
      <c r="L433" s="1551">
        <v>42112.0</v>
      </c>
    </row>
    <row r="434">
      <c r="A434" s="1545" t="s">
        <v>112</v>
      </c>
      <c r="B434" s="1587">
        <v>2848.0</v>
      </c>
      <c r="C434" s="1563">
        <v>260.0</v>
      </c>
      <c r="D434" s="1548">
        <v>44.8</v>
      </c>
      <c r="E434" s="1557">
        <v>1151.0</v>
      </c>
      <c r="F434" s="598">
        <v>1597.0</v>
      </c>
      <c r="G434" s="598">
        <v>1.0</v>
      </c>
      <c r="H434" s="598">
        <v>6.0</v>
      </c>
      <c r="I434" s="598">
        <v>0.0</v>
      </c>
      <c r="J434" s="598">
        <v>8.0</v>
      </c>
      <c r="K434" s="1561">
        <v>85.0</v>
      </c>
      <c r="L434" s="1555">
        <v>30239.0</v>
      </c>
    </row>
    <row r="435">
      <c r="A435" s="1545" t="s">
        <v>555</v>
      </c>
      <c r="B435" s="1587">
        <v>297595.0</v>
      </c>
      <c r="C435" s="1547">
        <v>21552.0</v>
      </c>
      <c r="D435" s="1548">
        <v>27.3</v>
      </c>
      <c r="E435" s="1557">
        <v>30505.0</v>
      </c>
      <c r="F435" s="598">
        <v>207981.0</v>
      </c>
      <c r="G435" s="598">
        <v>1991.0</v>
      </c>
      <c r="H435" s="598">
        <v>13640.0</v>
      </c>
      <c r="I435" s="598">
        <v>178.0</v>
      </c>
      <c r="J435" s="598">
        <v>26319.0</v>
      </c>
      <c r="K435" s="1561">
        <v>16981.0</v>
      </c>
      <c r="L435" s="1551">
        <v>46059.0</v>
      </c>
    </row>
    <row r="436">
      <c r="A436" s="1545" t="s">
        <v>556</v>
      </c>
      <c r="B436" s="1587">
        <v>6749.0</v>
      </c>
      <c r="C436" s="1563">
        <v>584.0</v>
      </c>
      <c r="D436" s="1548">
        <v>34.8</v>
      </c>
      <c r="E436" s="1557">
        <v>4309.0</v>
      </c>
      <c r="F436" s="598">
        <v>1965.0</v>
      </c>
      <c r="G436" s="598">
        <v>30.0</v>
      </c>
      <c r="H436" s="598">
        <v>23.0</v>
      </c>
      <c r="I436" s="598">
        <v>14.0</v>
      </c>
      <c r="J436" s="598">
        <v>142.0</v>
      </c>
      <c r="K436" s="1561">
        <v>266.0</v>
      </c>
      <c r="L436" s="1555">
        <v>37593.0</v>
      </c>
    </row>
    <row r="437">
      <c r="A437" s="1545" t="s">
        <v>536</v>
      </c>
      <c r="B437" s="1587">
        <v>766149.0</v>
      </c>
      <c r="C437" s="1547">
        <v>23291.0</v>
      </c>
      <c r="D437" s="1548">
        <v>13.2</v>
      </c>
      <c r="E437" s="1557">
        <v>387625.0</v>
      </c>
      <c r="F437" s="598">
        <v>203840.0</v>
      </c>
      <c r="G437" s="598">
        <v>4260.0</v>
      </c>
      <c r="H437" s="598">
        <v>42810.0</v>
      </c>
      <c r="I437" s="598">
        <v>395.0</v>
      </c>
      <c r="J437" s="598">
        <v>54070.0</v>
      </c>
      <c r="K437" s="1561">
        <v>73149.0</v>
      </c>
      <c r="L437" s="1551">
        <v>78603.0</v>
      </c>
    </row>
    <row r="438">
      <c r="A438" s="1545" t="s">
        <v>118</v>
      </c>
      <c r="B438" s="1587">
        <v>43092.0</v>
      </c>
      <c r="C438" s="1547">
        <v>3252.0</v>
      </c>
      <c r="D438" s="1548">
        <v>31.4</v>
      </c>
      <c r="E438" s="1557">
        <v>25437.0</v>
      </c>
      <c r="F438" s="598">
        <v>11972.0</v>
      </c>
      <c r="G438" s="598">
        <v>210.0</v>
      </c>
      <c r="H438" s="598">
        <v>301.0</v>
      </c>
      <c r="I438" s="598">
        <v>26.0</v>
      </c>
      <c r="J438" s="598">
        <v>2974.0</v>
      </c>
      <c r="K438" s="1561">
        <v>2172.0</v>
      </c>
      <c r="L438" s="1551">
        <v>39480.0</v>
      </c>
    </row>
    <row r="439">
      <c r="A439" s="1545" t="s">
        <v>557</v>
      </c>
      <c r="B439" s="1587">
        <v>45898.0</v>
      </c>
      <c r="C439" s="1547">
        <v>3963.0</v>
      </c>
      <c r="D439" s="1548">
        <v>33.8</v>
      </c>
      <c r="E439" s="1557">
        <v>27248.0</v>
      </c>
      <c r="F439" s="598">
        <v>10068.0</v>
      </c>
      <c r="G439" s="598">
        <v>400.0</v>
      </c>
      <c r="H439" s="598">
        <v>388.0</v>
      </c>
      <c r="I439" s="598">
        <v>15.0</v>
      </c>
      <c r="J439" s="598">
        <v>4808.0</v>
      </c>
      <c r="K439" s="1561">
        <v>2971.0</v>
      </c>
      <c r="L439" s="1555">
        <v>38633.0</v>
      </c>
    </row>
    <row r="440">
      <c r="A440" s="1545" t="s">
        <v>258</v>
      </c>
      <c r="B440" s="1587">
        <v>156010.0</v>
      </c>
      <c r="C440" s="1547">
        <v>3813.0</v>
      </c>
      <c r="D440" s="1548">
        <v>9.8</v>
      </c>
      <c r="E440" s="1557">
        <v>102028.0</v>
      </c>
      <c r="F440" s="598">
        <v>28315.0</v>
      </c>
      <c r="G440" s="598">
        <v>540.0</v>
      </c>
      <c r="H440" s="598">
        <v>7211.0</v>
      </c>
      <c r="I440" s="598">
        <v>302.0</v>
      </c>
      <c r="J440" s="598">
        <v>3917.0</v>
      </c>
      <c r="K440" s="1561">
        <v>13697.0</v>
      </c>
      <c r="L440" s="1551">
        <v>82184.0</v>
      </c>
    </row>
    <row r="441">
      <c r="A441" s="1545" t="s">
        <v>202</v>
      </c>
      <c r="B441" s="1587">
        <v>17229.0</v>
      </c>
      <c r="C441" s="1547">
        <v>1548.0</v>
      </c>
      <c r="D441" s="1548">
        <v>36.6</v>
      </c>
      <c r="E441" s="1557">
        <v>10975.0</v>
      </c>
      <c r="F441" s="598">
        <v>4772.0</v>
      </c>
      <c r="G441" s="598">
        <v>73.0</v>
      </c>
      <c r="H441" s="598">
        <v>101.0</v>
      </c>
      <c r="I441" s="598">
        <v>9.0</v>
      </c>
      <c r="J441" s="598">
        <v>540.0</v>
      </c>
      <c r="K441" s="1561">
        <v>759.0</v>
      </c>
      <c r="L441" s="1555">
        <v>38827.0</v>
      </c>
    </row>
    <row r="442">
      <c r="A442" s="1545" t="s">
        <v>559</v>
      </c>
      <c r="B442" s="1587">
        <v>146158.0</v>
      </c>
      <c r="C442" s="1547">
        <v>4977.0</v>
      </c>
      <c r="D442" s="1548">
        <v>14.1</v>
      </c>
      <c r="E442" s="1557">
        <v>101755.0</v>
      </c>
      <c r="F442" s="598">
        <v>25867.0</v>
      </c>
      <c r="G442" s="598">
        <v>525.0</v>
      </c>
      <c r="H442" s="598">
        <v>3365.0</v>
      </c>
      <c r="I442" s="598">
        <v>66.0</v>
      </c>
      <c r="J442" s="598">
        <v>4649.0</v>
      </c>
      <c r="K442" s="1561">
        <v>9931.0</v>
      </c>
      <c r="L442" s="1551">
        <v>70974.0</v>
      </c>
    </row>
    <row r="443">
      <c r="A443" s="1545" t="s">
        <v>263</v>
      </c>
      <c r="B443" s="1587">
        <v>12130.0</v>
      </c>
      <c r="C443" s="1563">
        <v>679.0</v>
      </c>
      <c r="D443" s="1548">
        <v>27.2</v>
      </c>
      <c r="E443" s="1557">
        <v>9008.0</v>
      </c>
      <c r="F443" s="598">
        <v>2268.0</v>
      </c>
      <c r="G443" s="598">
        <v>58.0</v>
      </c>
      <c r="H443" s="598">
        <v>31.0</v>
      </c>
      <c r="I443" s="598">
        <v>4.0</v>
      </c>
      <c r="J443" s="598">
        <v>152.0</v>
      </c>
      <c r="K443" s="1561">
        <v>609.0</v>
      </c>
      <c r="L443" s="1551">
        <v>48004.0</v>
      </c>
    </row>
    <row r="444">
      <c r="A444" s="1545" t="s">
        <v>560</v>
      </c>
      <c r="B444" s="1587">
        <v>20128.0</v>
      </c>
      <c r="C444" s="1547">
        <v>2294.0</v>
      </c>
      <c r="D444" s="1548">
        <v>43.0</v>
      </c>
      <c r="E444" s="1557">
        <v>10007.0</v>
      </c>
      <c r="F444" s="598">
        <v>8879.0</v>
      </c>
      <c r="G444" s="598">
        <v>35.0</v>
      </c>
      <c r="H444" s="598">
        <v>180.0</v>
      </c>
      <c r="I444" s="598">
        <v>4.0</v>
      </c>
      <c r="J444" s="598">
        <v>377.0</v>
      </c>
      <c r="K444" s="1561">
        <v>646.0</v>
      </c>
      <c r="L444" s="1551">
        <v>36096.0</v>
      </c>
    </row>
    <row r="445">
      <c r="A445" s="1545" t="s">
        <v>561</v>
      </c>
      <c r="B445" s="1587">
        <v>16251.0</v>
      </c>
      <c r="C445" s="1563">
        <v>562.0</v>
      </c>
      <c r="D445" s="1548">
        <v>18.3</v>
      </c>
      <c r="E445" s="1557">
        <v>14895.0</v>
      </c>
      <c r="F445" s="598">
        <v>142.0</v>
      </c>
      <c r="G445" s="598">
        <v>83.0</v>
      </c>
      <c r="H445" s="598">
        <v>131.0</v>
      </c>
      <c r="I445" s="598">
        <v>5.0</v>
      </c>
      <c r="J445" s="598">
        <v>129.0</v>
      </c>
      <c r="K445" s="1561">
        <v>866.0</v>
      </c>
      <c r="L445" s="1551">
        <v>48779.0</v>
      </c>
    </row>
    <row r="446">
      <c r="A446" s="1545" t="s">
        <v>562</v>
      </c>
      <c r="B446" s="1587">
        <v>26798.0</v>
      </c>
      <c r="C446" s="1563">
        <v>677.0</v>
      </c>
      <c r="D446" s="1548">
        <v>13.4</v>
      </c>
      <c r="E446" s="1557">
        <v>23852.0</v>
      </c>
      <c r="F446" s="598">
        <v>209.0</v>
      </c>
      <c r="G446" s="598">
        <v>90.0</v>
      </c>
      <c r="H446" s="598">
        <v>236.0</v>
      </c>
      <c r="I446" s="598">
        <v>15.0</v>
      </c>
      <c r="J446" s="598">
        <v>671.0</v>
      </c>
      <c r="K446" s="1561">
        <v>1725.0</v>
      </c>
      <c r="L446" s="1551">
        <v>68835.0</v>
      </c>
    </row>
    <row r="447">
      <c r="A447" s="1545" t="s">
        <v>563</v>
      </c>
      <c r="B447" s="1587">
        <v>29367.0</v>
      </c>
      <c r="C447" s="1547">
        <v>2273.0</v>
      </c>
      <c r="D447" s="1548">
        <v>35.7</v>
      </c>
      <c r="E447" s="1557">
        <v>14558.0</v>
      </c>
      <c r="F447" s="598">
        <v>12241.0</v>
      </c>
      <c r="G447" s="598">
        <v>109.0</v>
      </c>
      <c r="H447" s="598">
        <v>186.0</v>
      </c>
      <c r="I447" s="598">
        <v>16.0</v>
      </c>
      <c r="J447" s="598">
        <v>1198.0</v>
      </c>
      <c r="K447" s="1561">
        <v>1059.0</v>
      </c>
      <c r="L447" s="1555">
        <v>38441.0</v>
      </c>
    </row>
    <row r="448">
      <c r="A448" s="1545" t="s">
        <v>131</v>
      </c>
      <c r="B448" s="1587">
        <v>764382.0</v>
      </c>
      <c r="C448" s="1547">
        <v>40171.0</v>
      </c>
      <c r="D448" s="1548">
        <v>23.4</v>
      </c>
      <c r="E448" s="1557">
        <v>225752.0</v>
      </c>
      <c r="F448" s="598">
        <v>388963.0</v>
      </c>
      <c r="G448" s="598">
        <v>4412.0</v>
      </c>
      <c r="H448" s="598">
        <v>50384.0</v>
      </c>
      <c r="I448" s="598">
        <v>250.0</v>
      </c>
      <c r="J448" s="598">
        <v>44728.0</v>
      </c>
      <c r="K448" s="1561">
        <v>49893.0</v>
      </c>
      <c r="L448" s="1551">
        <v>63477.0</v>
      </c>
    </row>
    <row r="449">
      <c r="A449" s="1545" t="s">
        <v>564</v>
      </c>
      <c r="B449" s="1587">
        <v>19925.0</v>
      </c>
      <c r="C449" s="1547">
        <v>1310.0</v>
      </c>
      <c r="D449" s="1548">
        <v>33.9</v>
      </c>
      <c r="E449" s="1557">
        <v>13020.0</v>
      </c>
      <c r="F449" s="598">
        <v>5870.0</v>
      </c>
      <c r="G449" s="598">
        <v>23.0</v>
      </c>
      <c r="H449" s="598">
        <v>95.0</v>
      </c>
      <c r="I449" s="598">
        <v>17.0</v>
      </c>
      <c r="J449" s="598">
        <v>280.0</v>
      </c>
      <c r="K449" s="1561">
        <v>620.0</v>
      </c>
      <c r="L449" s="1551">
        <v>35636.0</v>
      </c>
    </row>
    <row r="450">
      <c r="A450" s="1545" t="s">
        <v>565</v>
      </c>
      <c r="B450" s="1587">
        <v>11208.0</v>
      </c>
      <c r="C450" s="1563">
        <v>886.0</v>
      </c>
      <c r="D450" s="1548">
        <v>38.2</v>
      </c>
      <c r="E450" s="1557">
        <v>4691.0</v>
      </c>
      <c r="F450" s="598">
        <v>5561.0</v>
      </c>
      <c r="G450" s="598">
        <v>27.0</v>
      </c>
      <c r="H450" s="598">
        <v>51.0</v>
      </c>
      <c r="I450" s="598">
        <v>5.0</v>
      </c>
      <c r="J450" s="598">
        <v>563.0</v>
      </c>
      <c r="K450" s="1561">
        <v>310.0</v>
      </c>
      <c r="L450" s="1555">
        <v>37278.0</v>
      </c>
    </row>
    <row r="451">
      <c r="A451" s="1545" t="s">
        <v>566</v>
      </c>
      <c r="B451" s="1587">
        <v>85790.0</v>
      </c>
      <c r="C451" s="1547">
        <v>9103.0</v>
      </c>
      <c r="D451" s="1548">
        <v>43.7</v>
      </c>
      <c r="E451" s="1557">
        <v>20976.0</v>
      </c>
      <c r="F451" s="598">
        <v>59988.0</v>
      </c>
      <c r="G451" s="598">
        <v>167.0</v>
      </c>
      <c r="H451" s="598">
        <v>668.0</v>
      </c>
      <c r="I451" s="598">
        <v>30.0</v>
      </c>
      <c r="J451" s="598">
        <v>1401.0</v>
      </c>
      <c r="K451" s="1561">
        <v>2560.0</v>
      </c>
      <c r="L451" s="1555">
        <v>38806.0</v>
      </c>
    </row>
    <row r="452">
      <c r="A452" s="1545" t="s">
        <v>412</v>
      </c>
      <c r="B452" s="1587">
        <v>144237.0</v>
      </c>
      <c r="C452" s="1547">
        <v>7700.0</v>
      </c>
      <c r="D452" s="1548">
        <v>20.9</v>
      </c>
      <c r="E452" s="1557">
        <v>52285.0</v>
      </c>
      <c r="F452" s="598">
        <v>69870.0</v>
      </c>
      <c r="G452" s="598">
        <v>689.0</v>
      </c>
      <c r="H452" s="598">
        <v>2347.0</v>
      </c>
      <c r="I452" s="598">
        <v>118.0</v>
      </c>
      <c r="J452" s="598">
        <v>8383.0</v>
      </c>
      <c r="K452" s="1561">
        <v>10545.0</v>
      </c>
      <c r="L452" s="1555">
        <v>60512.0</v>
      </c>
    </row>
    <row r="453">
      <c r="A453" s="1545" t="s">
        <v>567</v>
      </c>
      <c r="B453" s="1587">
        <v>10854.0</v>
      </c>
      <c r="C453" s="1547">
        <v>1030.0</v>
      </c>
      <c r="D453" s="1548">
        <v>40.4</v>
      </c>
      <c r="E453" s="1557">
        <v>4864.0</v>
      </c>
      <c r="F453" s="598">
        <v>5562.0</v>
      </c>
      <c r="G453" s="598">
        <v>36.0</v>
      </c>
      <c r="H453" s="598">
        <v>47.0</v>
      </c>
      <c r="I453" s="598">
        <v>3.0</v>
      </c>
      <c r="J453" s="598">
        <v>60.0</v>
      </c>
      <c r="K453" s="1561">
        <v>282.0</v>
      </c>
      <c r="L453" s="1551">
        <v>34984.0</v>
      </c>
    </row>
    <row r="454">
      <c r="A454" s="1545" t="s">
        <v>568</v>
      </c>
      <c r="B454" s="1587">
        <v>3697.0</v>
      </c>
      <c r="C454" s="1563">
        <v>379.0</v>
      </c>
      <c r="D454" s="1548">
        <v>36.3</v>
      </c>
      <c r="E454" s="1557">
        <v>2534.0</v>
      </c>
      <c r="F454" s="598">
        <v>157.0</v>
      </c>
      <c r="G454" s="598">
        <v>66.0</v>
      </c>
      <c r="H454" s="598">
        <v>11.0</v>
      </c>
      <c r="I454" s="598">
        <v>0.0</v>
      </c>
      <c r="J454" s="598">
        <v>545.0</v>
      </c>
      <c r="K454" s="1561">
        <v>384.0</v>
      </c>
      <c r="L454" s="1551">
        <v>38667.0</v>
      </c>
    </row>
    <row r="455">
      <c r="A455" s="1545" t="s">
        <v>569</v>
      </c>
      <c r="B455" s="1587">
        <v>64769.0</v>
      </c>
      <c r="C455" s="1547">
        <v>1991.0</v>
      </c>
      <c r="D455" s="1548">
        <v>12.3</v>
      </c>
      <c r="E455" s="1557">
        <v>49132.0</v>
      </c>
      <c r="F455" s="598">
        <v>8845.0</v>
      </c>
      <c r="G455" s="598">
        <v>249.0</v>
      </c>
      <c r="H455" s="598">
        <v>681.0</v>
      </c>
      <c r="I455" s="598">
        <v>40.0</v>
      </c>
      <c r="J455" s="598">
        <v>1331.0</v>
      </c>
      <c r="K455" s="1561">
        <v>4491.0</v>
      </c>
      <c r="L455" s="1551">
        <v>65793.0</v>
      </c>
    </row>
    <row r="456">
      <c r="A456" s="1545" t="s">
        <v>414</v>
      </c>
      <c r="B456" s="1587">
        <v>19637.0</v>
      </c>
      <c r="C456" s="1547">
        <v>1223.0</v>
      </c>
      <c r="D456" s="1548">
        <v>30.1</v>
      </c>
      <c r="E456" s="1557">
        <v>12824.0</v>
      </c>
      <c r="F456" s="598">
        <v>5280.0</v>
      </c>
      <c r="G456" s="598">
        <v>59.0</v>
      </c>
      <c r="H456" s="598">
        <v>182.0</v>
      </c>
      <c r="I456" s="598">
        <v>9.0</v>
      </c>
      <c r="J456" s="598">
        <v>509.0</v>
      </c>
      <c r="K456" s="1561">
        <v>774.0</v>
      </c>
      <c r="L456" s="1551">
        <v>39681.0</v>
      </c>
    </row>
    <row r="457">
      <c r="A457" s="1545" t="s">
        <v>571</v>
      </c>
      <c r="B457" s="1587">
        <v>22768.0</v>
      </c>
      <c r="C457" s="1547">
        <v>1890.0</v>
      </c>
      <c r="D457" s="1548">
        <v>34.4</v>
      </c>
      <c r="E457" s="1557">
        <v>14026.0</v>
      </c>
      <c r="F457" s="598">
        <v>7264.0</v>
      </c>
      <c r="G457" s="598">
        <v>60.0</v>
      </c>
      <c r="H457" s="598">
        <v>143.0</v>
      </c>
      <c r="I457" s="598">
        <v>2.0</v>
      </c>
      <c r="J457" s="598">
        <v>571.0</v>
      </c>
      <c r="K457" s="1561">
        <v>702.0</v>
      </c>
      <c r="L457" s="1551">
        <v>37574.0</v>
      </c>
    </row>
    <row r="458">
      <c r="A458" s="1545" t="s">
        <v>572</v>
      </c>
      <c r="B458" s="1587">
        <v>10774.0</v>
      </c>
      <c r="C458" s="1547">
        <v>1088.0</v>
      </c>
      <c r="D458" s="1548">
        <v>38.7</v>
      </c>
      <c r="E458" s="1557">
        <v>6240.0</v>
      </c>
      <c r="F458" s="598">
        <v>3114.0</v>
      </c>
      <c r="G458" s="598">
        <v>29.0</v>
      </c>
      <c r="H458" s="598">
        <v>82.0</v>
      </c>
      <c r="I458" s="598">
        <v>12.0</v>
      </c>
      <c r="J458" s="598">
        <v>691.0</v>
      </c>
      <c r="K458" s="1561">
        <v>606.0</v>
      </c>
      <c r="L458" s="1551">
        <v>37319.0</v>
      </c>
    </row>
    <row r="459">
      <c r="A459" s="1545" t="s">
        <v>574</v>
      </c>
      <c r="B459" s="1587">
        <v>25319.0</v>
      </c>
      <c r="C459" s="1547">
        <v>1151.0</v>
      </c>
      <c r="D459" s="1548">
        <v>27.2</v>
      </c>
      <c r="E459" s="1557">
        <v>23549.0</v>
      </c>
      <c r="F459" s="598">
        <v>85.0</v>
      </c>
      <c r="G459" s="598">
        <v>95.0</v>
      </c>
      <c r="H459" s="598">
        <v>113.0</v>
      </c>
      <c r="I459" s="598">
        <v>5.0</v>
      </c>
      <c r="J459" s="598">
        <v>332.0</v>
      </c>
      <c r="K459" s="1561">
        <v>1140.0</v>
      </c>
      <c r="L459" s="1555">
        <v>43439.0</v>
      </c>
    </row>
    <row r="460">
      <c r="A460" s="1545" t="s">
        <v>135</v>
      </c>
      <c r="B460" s="1587">
        <v>119194.0</v>
      </c>
      <c r="C460" s="1547">
        <v>1971.0</v>
      </c>
      <c r="D460" s="1548">
        <v>7.6</v>
      </c>
      <c r="E460" s="1557">
        <v>69788.0</v>
      </c>
      <c r="F460" s="598">
        <v>29559.0</v>
      </c>
      <c r="G460" s="598">
        <v>410.0</v>
      </c>
      <c r="H460" s="598">
        <v>6419.0</v>
      </c>
      <c r="I460" s="598">
        <v>58.0</v>
      </c>
      <c r="J460" s="598">
        <v>3935.0</v>
      </c>
      <c r="K460" s="1561">
        <v>9025.0</v>
      </c>
      <c r="L460" s="1555">
        <v>95021.0</v>
      </c>
    </row>
    <row r="461">
      <c r="A461" s="1545" t="s">
        <v>575</v>
      </c>
      <c r="B461" s="1587">
        <v>98584.0</v>
      </c>
      <c r="C461" s="1547">
        <v>7160.0</v>
      </c>
      <c r="D461" s="1548">
        <v>32.3</v>
      </c>
      <c r="E461" s="1557">
        <v>69485.0</v>
      </c>
      <c r="F461" s="598">
        <v>14087.0</v>
      </c>
      <c r="G461" s="598">
        <v>698.0</v>
      </c>
      <c r="H461" s="598">
        <v>1289.0</v>
      </c>
      <c r="I461" s="598">
        <v>24.0</v>
      </c>
      <c r="J461" s="598">
        <v>5790.0</v>
      </c>
      <c r="K461" s="1561">
        <v>7211.0</v>
      </c>
      <c r="L461" s="1555">
        <v>44906.0</v>
      </c>
    </row>
    <row r="462">
      <c r="A462" s="1545" t="s">
        <v>576</v>
      </c>
      <c r="B462" s="1587">
        <v>251283.0</v>
      </c>
      <c r="C462" s="1547">
        <v>3454.0</v>
      </c>
      <c r="D462" s="1548">
        <v>5.4</v>
      </c>
      <c r="E462" s="1557">
        <v>163687.0</v>
      </c>
      <c r="F462" s="598">
        <v>10721.0</v>
      </c>
      <c r="G462" s="598">
        <v>1017.0</v>
      </c>
      <c r="H462" s="598">
        <v>45203.0</v>
      </c>
      <c r="I462" s="598">
        <v>92.0</v>
      </c>
      <c r="J462" s="598">
        <v>10270.0</v>
      </c>
      <c r="K462" s="1561">
        <v>20293.0</v>
      </c>
      <c r="L462" s="1551">
        <v>105921.0</v>
      </c>
    </row>
    <row r="463">
      <c r="A463" s="1545" t="s">
        <v>136</v>
      </c>
      <c r="B463" s="1587">
        <v>23424.0</v>
      </c>
      <c r="C463" s="1547">
        <v>1250.0</v>
      </c>
      <c r="D463" s="1548">
        <v>25.5</v>
      </c>
      <c r="E463" s="1557">
        <v>19449.0</v>
      </c>
      <c r="F463" s="598">
        <v>1904.0</v>
      </c>
      <c r="G463" s="598">
        <v>43.0</v>
      </c>
      <c r="H463" s="598">
        <v>261.0</v>
      </c>
      <c r="I463" s="598">
        <v>6.0</v>
      </c>
      <c r="J463" s="598">
        <v>649.0</v>
      </c>
      <c r="K463" s="1561">
        <v>1112.0</v>
      </c>
      <c r="L463" s="1555">
        <v>42904.0</v>
      </c>
    </row>
    <row r="464">
      <c r="A464" s="1545" t="s">
        <v>275</v>
      </c>
      <c r="B464" s="1587">
        <v>1066710.0</v>
      </c>
      <c r="C464" s="1547">
        <v>43669.0</v>
      </c>
      <c r="D464" s="1548">
        <v>19.3</v>
      </c>
      <c r="E464" s="1557">
        <v>418700.0</v>
      </c>
      <c r="F464" s="598">
        <v>453834.0</v>
      </c>
      <c r="G464" s="598">
        <v>3255.0</v>
      </c>
      <c r="H464" s="598">
        <v>80949.0</v>
      </c>
      <c r="I464" s="598">
        <v>452.0</v>
      </c>
      <c r="J464" s="598">
        <v>38612.0</v>
      </c>
      <c r="K464" s="1561">
        <v>70908.0</v>
      </c>
      <c r="L464" s="1551">
        <v>70808.0</v>
      </c>
    </row>
    <row r="465">
      <c r="A465" s="1545" t="s">
        <v>579</v>
      </c>
      <c r="B465" s="1587">
        <v>31353.0</v>
      </c>
      <c r="C465" s="1547">
        <v>1742.0</v>
      </c>
      <c r="D465" s="1548">
        <v>30.2</v>
      </c>
      <c r="E465" s="1557">
        <v>26962.0</v>
      </c>
      <c r="F465" s="598">
        <v>146.0</v>
      </c>
      <c r="G465" s="598">
        <v>260.0</v>
      </c>
      <c r="H465" s="598">
        <v>143.0</v>
      </c>
      <c r="I465" s="598">
        <v>5.0</v>
      </c>
      <c r="J465" s="598">
        <v>2050.0</v>
      </c>
      <c r="K465" s="1561">
        <v>1787.0</v>
      </c>
      <c r="L465" s="1551">
        <v>47757.0</v>
      </c>
    </row>
    <row r="466">
      <c r="A466" s="1545" t="s">
        <v>581</v>
      </c>
      <c r="B466" s="1587">
        <v>2884.0</v>
      </c>
      <c r="C466" s="1563">
        <v>136.0</v>
      </c>
      <c r="D466" s="1548">
        <v>21.2</v>
      </c>
      <c r="E466" s="1557">
        <v>2590.0</v>
      </c>
      <c r="F466" s="598">
        <v>196.0</v>
      </c>
      <c r="G466" s="598">
        <v>0.0</v>
      </c>
      <c r="H466" s="598">
        <v>7.0</v>
      </c>
      <c r="I466" s="598">
        <v>4.0</v>
      </c>
      <c r="J466" s="598">
        <v>4.0</v>
      </c>
      <c r="K466" s="1561">
        <v>83.0</v>
      </c>
      <c r="L466" s="1551">
        <v>42820.0</v>
      </c>
    </row>
    <row r="467">
      <c r="A467" s="1545" t="s">
        <v>582</v>
      </c>
      <c r="B467" s="1587">
        <v>84499.0</v>
      </c>
      <c r="C467" s="1547">
        <v>4823.0</v>
      </c>
      <c r="D467" s="1548">
        <v>26.6</v>
      </c>
      <c r="E467" s="1557">
        <v>54229.0</v>
      </c>
      <c r="F467" s="598">
        <v>20676.0</v>
      </c>
      <c r="G467" s="598">
        <v>372.0</v>
      </c>
      <c r="H467" s="598">
        <v>1189.0</v>
      </c>
      <c r="I467" s="598">
        <v>121.0</v>
      </c>
      <c r="J467" s="598">
        <v>3086.0</v>
      </c>
      <c r="K467" s="1561">
        <v>4826.0</v>
      </c>
      <c r="L467" s="1555">
        <v>53906.0</v>
      </c>
    </row>
    <row r="468">
      <c r="A468" s="1545" t="s">
        <v>583</v>
      </c>
      <c r="B468" s="1587">
        <v>57544.0</v>
      </c>
      <c r="C468" s="1547">
        <v>3659.0</v>
      </c>
      <c r="D468" s="1548">
        <v>26.8</v>
      </c>
      <c r="E468" s="1557">
        <v>45135.0</v>
      </c>
      <c r="F468" s="598">
        <v>2147.0</v>
      </c>
      <c r="G468" s="598">
        <v>358.0</v>
      </c>
      <c r="H468" s="598">
        <v>722.0</v>
      </c>
      <c r="I468" s="598">
        <v>21.0</v>
      </c>
      <c r="J468" s="598">
        <v>4577.0</v>
      </c>
      <c r="K468" s="1561">
        <v>4584.0</v>
      </c>
      <c r="L468" s="1551">
        <v>49101.0</v>
      </c>
    </row>
    <row r="469">
      <c r="A469" s="1545" t="s">
        <v>584</v>
      </c>
      <c r="B469" s="1587">
        <v>26236.0</v>
      </c>
      <c r="C469" s="1547">
        <v>1879.0</v>
      </c>
      <c r="D469" s="1548">
        <v>31.1</v>
      </c>
      <c r="E469" s="1557">
        <v>15065.0</v>
      </c>
      <c r="F469" s="598">
        <v>7336.0</v>
      </c>
      <c r="G469" s="598">
        <v>256.0</v>
      </c>
      <c r="H469" s="598">
        <v>120.0</v>
      </c>
      <c r="I469" s="598">
        <v>6.0</v>
      </c>
      <c r="J469" s="598">
        <v>2104.0</v>
      </c>
      <c r="K469" s="1561">
        <v>1349.0</v>
      </c>
      <c r="L469" s="1551">
        <v>41002.0</v>
      </c>
    </row>
    <row r="470">
      <c r="A470" s="1545" t="s">
        <v>138</v>
      </c>
      <c r="B470" s="1587">
        <v>18915.0</v>
      </c>
      <c r="C470" s="1547">
        <v>1151.0</v>
      </c>
      <c r="D470" s="1548">
        <v>35.4</v>
      </c>
      <c r="E470" s="1557">
        <v>11296.0</v>
      </c>
      <c r="F470" s="598">
        <v>5810.0</v>
      </c>
      <c r="G470" s="598">
        <v>37.0</v>
      </c>
      <c r="H470" s="598">
        <v>174.0</v>
      </c>
      <c r="I470" s="598">
        <v>4.0</v>
      </c>
      <c r="J470" s="598">
        <v>705.0</v>
      </c>
      <c r="K470" s="1561">
        <v>889.0</v>
      </c>
      <c r="L470" s="1555">
        <v>54016.0</v>
      </c>
    </row>
    <row r="471">
      <c r="A471" s="1545" t="s">
        <v>460</v>
      </c>
      <c r="B471" s="1587">
        <v>957062.0</v>
      </c>
      <c r="C471" s="1547">
        <v>31490.0</v>
      </c>
      <c r="D471" s="1548">
        <v>12.8</v>
      </c>
      <c r="E471" s="1557">
        <v>339822.0</v>
      </c>
      <c r="F471" s="598">
        <v>262709.0</v>
      </c>
      <c r="G471" s="598">
        <v>7918.0</v>
      </c>
      <c r="H471" s="598">
        <v>127152.0</v>
      </c>
      <c r="I471" s="598">
        <v>604.0</v>
      </c>
      <c r="J471" s="598">
        <v>116276.0</v>
      </c>
      <c r="K471" s="1561">
        <v>102581.0</v>
      </c>
      <c r="L471" s="1551">
        <v>72008.0</v>
      </c>
    </row>
    <row r="472">
      <c r="A472" s="1545" t="s">
        <v>585</v>
      </c>
      <c r="B472" s="1587">
        <v>46031.0</v>
      </c>
      <c r="C472" s="1547">
        <v>2068.0</v>
      </c>
      <c r="D472" s="1548">
        <v>20.7</v>
      </c>
      <c r="E472" s="1557">
        <v>36249.0</v>
      </c>
      <c r="F472" s="598">
        <v>1749.0</v>
      </c>
      <c r="G472" s="598">
        <v>236.0</v>
      </c>
      <c r="H472" s="598">
        <v>999.0</v>
      </c>
      <c r="I472" s="598">
        <v>36.0</v>
      </c>
      <c r="J472" s="598">
        <v>3044.0</v>
      </c>
      <c r="K472" s="1561">
        <v>3718.0</v>
      </c>
      <c r="L472" s="1555">
        <v>51829.0</v>
      </c>
    </row>
    <row r="473">
      <c r="A473" s="1545" t="s">
        <v>586</v>
      </c>
      <c r="B473" s="1587">
        <v>203136.0</v>
      </c>
      <c r="C473" s="1547">
        <v>10116.0</v>
      </c>
      <c r="D473" s="1548">
        <v>20.2</v>
      </c>
      <c r="E473" s="1557">
        <v>130744.0</v>
      </c>
      <c r="F473" s="598">
        <v>14660.0</v>
      </c>
      <c r="G473" s="598">
        <v>1739.0</v>
      </c>
      <c r="H473" s="598">
        <v>4254.0</v>
      </c>
      <c r="I473" s="598">
        <v>107.0</v>
      </c>
      <c r="J473" s="598">
        <v>29343.0</v>
      </c>
      <c r="K473" s="1561">
        <v>22289.0</v>
      </c>
      <c r="L473" s="1551">
        <v>61631.0</v>
      </c>
    </row>
    <row r="474">
      <c r="A474" s="1545" t="s">
        <v>587</v>
      </c>
      <c r="B474" s="1587">
        <v>8735.0</v>
      </c>
      <c r="C474" s="1563">
        <v>570.0</v>
      </c>
      <c r="D474" s="1548">
        <v>44.7</v>
      </c>
      <c r="E474" s="1557">
        <v>2421.0</v>
      </c>
      <c r="F474" s="598">
        <v>6028.0</v>
      </c>
      <c r="G474" s="598">
        <v>25.0</v>
      </c>
      <c r="H474" s="598">
        <v>37.0</v>
      </c>
      <c r="I474" s="598">
        <v>1.0</v>
      </c>
      <c r="J474" s="598">
        <v>23.0</v>
      </c>
      <c r="K474" s="1561">
        <v>200.0</v>
      </c>
      <c r="L474" s="1551">
        <v>31716.0</v>
      </c>
    </row>
    <row r="475">
      <c r="A475" s="1545" t="s">
        <v>588</v>
      </c>
      <c r="B475" s="1587">
        <v>29919.0</v>
      </c>
      <c r="C475" s="1547">
        <v>1596.0</v>
      </c>
      <c r="D475" s="1548">
        <v>23.0</v>
      </c>
      <c r="E475" s="1557">
        <v>27011.0</v>
      </c>
      <c r="F475" s="598">
        <v>1253.0</v>
      </c>
      <c r="G475" s="598">
        <v>64.0</v>
      </c>
      <c r="H475" s="598">
        <v>187.0</v>
      </c>
      <c r="I475" s="598">
        <v>11.0</v>
      </c>
      <c r="J475" s="598">
        <v>223.0</v>
      </c>
      <c r="K475" s="1561">
        <v>1170.0</v>
      </c>
      <c r="L475" s="1551">
        <v>47662.0</v>
      </c>
    </row>
    <row r="476">
      <c r="A476" s="1545" t="s">
        <v>218</v>
      </c>
      <c r="B476" s="1587">
        <v>34668.0</v>
      </c>
      <c r="C476" s="1563">
        <v>920.0</v>
      </c>
      <c r="D476" s="1548">
        <v>12.8</v>
      </c>
      <c r="E476" s="1557">
        <v>26353.0</v>
      </c>
      <c r="F476" s="598">
        <v>5237.0</v>
      </c>
      <c r="G476" s="598">
        <v>122.0</v>
      </c>
      <c r="H476" s="598">
        <v>397.0</v>
      </c>
      <c r="I476" s="598">
        <v>21.0</v>
      </c>
      <c r="J476" s="598">
        <v>477.0</v>
      </c>
      <c r="K476" s="1561">
        <v>2061.0</v>
      </c>
      <c r="L476" s="1551">
        <v>74686.0</v>
      </c>
    </row>
    <row r="477">
      <c r="A477" s="1545" t="s">
        <v>589</v>
      </c>
      <c r="B477" s="1587">
        <v>25828.0</v>
      </c>
      <c r="C477" s="1547">
        <v>1271.0</v>
      </c>
      <c r="D477" s="1548">
        <v>23.6</v>
      </c>
      <c r="E477" s="1557">
        <v>19447.0</v>
      </c>
      <c r="F477" s="598">
        <v>4334.0</v>
      </c>
      <c r="G477" s="598">
        <v>63.0</v>
      </c>
      <c r="H477" s="598">
        <v>335.0</v>
      </c>
      <c r="I477" s="598">
        <v>2.0</v>
      </c>
      <c r="J477" s="598">
        <v>467.0</v>
      </c>
      <c r="K477" s="1561">
        <v>1180.0</v>
      </c>
      <c r="L477" s="1551">
        <v>47171.0</v>
      </c>
    </row>
    <row r="478">
      <c r="A478" s="1545" t="s">
        <v>590</v>
      </c>
      <c r="B478" s="1587">
        <v>11412.0</v>
      </c>
      <c r="C478" s="1563">
        <v>681.0</v>
      </c>
      <c r="D478" s="1548">
        <v>25.7</v>
      </c>
      <c r="E478" s="1557">
        <v>9672.0</v>
      </c>
      <c r="F478" s="598">
        <v>942.0</v>
      </c>
      <c r="G478" s="598">
        <v>33.0</v>
      </c>
      <c r="H478" s="598">
        <v>53.0</v>
      </c>
      <c r="I478" s="598">
        <v>6.0</v>
      </c>
      <c r="J478" s="598">
        <v>104.0</v>
      </c>
      <c r="K478" s="1561">
        <v>602.0</v>
      </c>
      <c r="L478" s="1555">
        <v>46218.0</v>
      </c>
    </row>
    <row r="479">
      <c r="A479" s="1545" t="s">
        <v>140</v>
      </c>
      <c r="B479" s="1587">
        <v>240712.0</v>
      </c>
      <c r="C479" s="1547">
        <v>7177.0</v>
      </c>
      <c r="D479" s="1548">
        <v>12.3</v>
      </c>
      <c r="E479" s="1557">
        <v>89241.0</v>
      </c>
      <c r="F479" s="598">
        <v>118124.0</v>
      </c>
      <c r="G479" s="598">
        <v>832.0</v>
      </c>
      <c r="H479" s="598">
        <v>8064.0</v>
      </c>
      <c r="I479" s="598">
        <v>132.0</v>
      </c>
      <c r="J479" s="598">
        <v>8717.0</v>
      </c>
      <c r="K479" s="1561">
        <v>15602.0</v>
      </c>
      <c r="L479" s="1555">
        <v>72970.0</v>
      </c>
    </row>
    <row r="480">
      <c r="A480" s="1545" t="s">
        <v>141</v>
      </c>
      <c r="B480" s="1587">
        <v>163633.0</v>
      </c>
      <c r="C480" s="1547">
        <v>6843.0</v>
      </c>
      <c r="D480" s="1548">
        <v>17.5</v>
      </c>
      <c r="E480" s="1557">
        <v>88519.0</v>
      </c>
      <c r="F480" s="598">
        <v>52610.0</v>
      </c>
      <c r="G480" s="598">
        <v>574.0</v>
      </c>
      <c r="H480" s="598">
        <v>4975.0</v>
      </c>
      <c r="I480" s="598">
        <v>153.0</v>
      </c>
      <c r="J480" s="598">
        <v>4938.0</v>
      </c>
      <c r="K480" s="1561">
        <v>11864.0</v>
      </c>
      <c r="L480" s="1551">
        <v>60728.0</v>
      </c>
    </row>
    <row r="481">
      <c r="A481" s="1545" t="s">
        <v>591</v>
      </c>
      <c r="B481" s="1587">
        <v>9666.0</v>
      </c>
      <c r="C481" s="1563">
        <v>653.0</v>
      </c>
      <c r="D481" s="1548">
        <v>33.3</v>
      </c>
      <c r="E481" s="1557">
        <v>6487.0</v>
      </c>
      <c r="F481" s="598">
        <v>2229.0</v>
      </c>
      <c r="G481" s="598">
        <v>24.0</v>
      </c>
      <c r="H481" s="598">
        <v>119.0</v>
      </c>
      <c r="I481" s="598">
        <v>1.0</v>
      </c>
      <c r="J481" s="598">
        <v>498.0</v>
      </c>
      <c r="K481" s="1561">
        <v>308.0</v>
      </c>
      <c r="L481" s="1555">
        <v>38156.0</v>
      </c>
    </row>
    <row r="482">
      <c r="A482" s="1545" t="s">
        <v>142</v>
      </c>
      <c r="B482" s="1587">
        <v>75907.0</v>
      </c>
      <c r="C482" s="1547">
        <v>2323.0</v>
      </c>
      <c r="D482" s="1548">
        <v>13.2</v>
      </c>
      <c r="E482" s="1557">
        <v>60464.0</v>
      </c>
      <c r="F482" s="598">
        <v>5232.0</v>
      </c>
      <c r="G482" s="598">
        <v>245.0</v>
      </c>
      <c r="H482" s="598">
        <v>1780.0</v>
      </c>
      <c r="I482" s="598">
        <v>44.0</v>
      </c>
      <c r="J482" s="598">
        <v>3128.0</v>
      </c>
      <c r="K482" s="1561">
        <v>5014.0</v>
      </c>
      <c r="L482" s="1551">
        <v>68984.0</v>
      </c>
    </row>
    <row r="483">
      <c r="A483" s="1545" t="s">
        <v>593</v>
      </c>
      <c r="B483" s="1587">
        <v>14588.0</v>
      </c>
      <c r="C483" s="1563">
        <v>785.0</v>
      </c>
      <c r="D483" s="1548">
        <v>23.8</v>
      </c>
      <c r="E483" s="1557">
        <v>10913.0</v>
      </c>
      <c r="F483" s="598">
        <v>2464.0</v>
      </c>
      <c r="G483" s="598">
        <v>42.0</v>
      </c>
      <c r="H483" s="598">
        <v>24.0</v>
      </c>
      <c r="I483" s="598">
        <v>9.0</v>
      </c>
      <c r="J483" s="598">
        <v>367.0</v>
      </c>
      <c r="K483" s="1561">
        <v>769.0</v>
      </c>
      <c r="L483" s="1551">
        <v>51241.0</v>
      </c>
    </row>
    <row r="484">
      <c r="A484" s="1545" t="s">
        <v>594</v>
      </c>
      <c r="B484" s="1587">
        <v>14779.0</v>
      </c>
      <c r="C484" s="1547">
        <v>1209.0</v>
      </c>
      <c r="D484" s="1548">
        <v>30.9</v>
      </c>
      <c r="E484" s="1557">
        <v>10354.0</v>
      </c>
      <c r="F484" s="598">
        <v>2307.0</v>
      </c>
      <c r="G484" s="598">
        <v>82.0</v>
      </c>
      <c r="H484" s="598">
        <v>54.0</v>
      </c>
      <c r="I484" s="598">
        <v>7.0</v>
      </c>
      <c r="J484" s="598">
        <v>1254.0</v>
      </c>
      <c r="K484" s="1561">
        <v>721.0</v>
      </c>
      <c r="L484" s="1551">
        <v>37211.0</v>
      </c>
    </row>
    <row r="485">
      <c r="A485" s="1545" t="s">
        <v>143</v>
      </c>
      <c r="B485" s="1587">
        <v>15709.0</v>
      </c>
      <c r="C485" s="1547">
        <v>1264.0</v>
      </c>
      <c r="D485" s="1548">
        <v>35.2</v>
      </c>
      <c r="E485" s="1557">
        <v>6941.0</v>
      </c>
      <c r="F485" s="598">
        <v>7976.0</v>
      </c>
      <c r="G485" s="598">
        <v>44.0</v>
      </c>
      <c r="H485" s="598">
        <v>70.0</v>
      </c>
      <c r="I485" s="598">
        <v>0.0</v>
      </c>
      <c r="J485" s="598">
        <v>268.0</v>
      </c>
      <c r="K485" s="1561">
        <v>410.0</v>
      </c>
      <c r="L485" s="1551">
        <v>38274.0</v>
      </c>
    </row>
    <row r="486">
      <c r="A486" s="1545" t="s">
        <v>597</v>
      </c>
      <c r="B486" s="1587">
        <v>8674.0</v>
      </c>
      <c r="C486" s="1563">
        <v>732.0</v>
      </c>
      <c r="D486" s="1548">
        <v>42.6</v>
      </c>
      <c r="E486" s="1557">
        <v>4679.0</v>
      </c>
      <c r="F486" s="598">
        <v>3545.0</v>
      </c>
      <c r="G486" s="598">
        <v>35.0</v>
      </c>
      <c r="H486" s="598">
        <v>12.0</v>
      </c>
      <c r="I486" s="598">
        <v>5.0</v>
      </c>
      <c r="J486" s="598">
        <v>186.0</v>
      </c>
      <c r="K486" s="1561">
        <v>212.0</v>
      </c>
      <c r="L486" s="1551">
        <v>31419.0</v>
      </c>
    </row>
    <row r="487">
      <c r="A487" s="1545" t="s">
        <v>288</v>
      </c>
      <c r="B487" s="1587">
        <v>9189.0</v>
      </c>
      <c r="C487" s="1563">
        <v>594.0</v>
      </c>
      <c r="D487" s="1548">
        <v>32.9</v>
      </c>
      <c r="E487" s="1557">
        <v>5822.0</v>
      </c>
      <c r="F487" s="598">
        <v>3032.0</v>
      </c>
      <c r="G487" s="598">
        <v>23.0</v>
      </c>
      <c r="H487" s="598">
        <v>28.0</v>
      </c>
      <c r="I487" s="598">
        <v>15.0</v>
      </c>
      <c r="J487" s="598">
        <v>47.0</v>
      </c>
      <c r="K487" s="1561">
        <v>222.0</v>
      </c>
      <c r="L487" s="1551">
        <v>34849.0</v>
      </c>
    </row>
    <row r="488">
      <c r="A488" s="1545" t="s">
        <v>598</v>
      </c>
      <c r="B488" s="1587">
        <v>28347.0</v>
      </c>
      <c r="C488" s="1547">
        <v>1344.0</v>
      </c>
      <c r="D488" s="1548">
        <v>20.6</v>
      </c>
      <c r="E488" s="1557">
        <v>20206.0</v>
      </c>
      <c r="F488" s="598">
        <v>6767.0</v>
      </c>
      <c r="G488" s="598">
        <v>49.0</v>
      </c>
      <c r="H488" s="598">
        <v>141.0</v>
      </c>
      <c r="I488" s="598">
        <v>7.0</v>
      </c>
      <c r="J488" s="598">
        <v>193.0</v>
      </c>
      <c r="K488" s="1561">
        <v>984.0</v>
      </c>
      <c r="L488" s="1551">
        <v>55737.0</v>
      </c>
    </row>
    <row r="489">
      <c r="A489" s="1545" t="s">
        <v>144</v>
      </c>
      <c r="B489" s="1587">
        <v>18500.0</v>
      </c>
      <c r="C489" s="1563">
        <v>931.0</v>
      </c>
      <c r="D489" s="1548">
        <v>24.3</v>
      </c>
      <c r="E489" s="1557">
        <v>12475.0</v>
      </c>
      <c r="F489" s="598">
        <v>4914.0</v>
      </c>
      <c r="G489" s="598">
        <v>21.0</v>
      </c>
      <c r="H489" s="598">
        <v>103.0</v>
      </c>
      <c r="I489" s="598">
        <v>4.0</v>
      </c>
      <c r="J489" s="598">
        <v>209.0</v>
      </c>
      <c r="K489" s="1561">
        <v>774.0</v>
      </c>
      <c r="L489" s="1551">
        <v>48323.0</v>
      </c>
    </row>
    <row r="490">
      <c r="A490" s="1545" t="s">
        <v>600</v>
      </c>
      <c r="B490" s="1587">
        <v>9877.0</v>
      </c>
      <c r="C490" s="1563">
        <v>744.0</v>
      </c>
      <c r="D490" s="1548">
        <v>30.7</v>
      </c>
      <c r="E490" s="1557">
        <v>6794.0</v>
      </c>
      <c r="F490" s="598">
        <v>2173.0</v>
      </c>
      <c r="G490" s="598">
        <v>40.0</v>
      </c>
      <c r="H490" s="598">
        <v>81.0</v>
      </c>
      <c r="I490" s="598">
        <v>20.0</v>
      </c>
      <c r="J490" s="598">
        <v>192.0</v>
      </c>
      <c r="K490" s="1561">
        <v>577.0</v>
      </c>
      <c r="L490" s="1551">
        <v>41564.0</v>
      </c>
    </row>
    <row r="491">
      <c r="A491" s="1545" t="s">
        <v>601</v>
      </c>
      <c r="B491" s="1587">
        <v>49570.0</v>
      </c>
      <c r="C491" s="1547">
        <v>3999.0</v>
      </c>
      <c r="D491" s="1548">
        <v>34.7</v>
      </c>
      <c r="E491" s="1557">
        <v>28160.0</v>
      </c>
      <c r="F491" s="598">
        <v>18332.0</v>
      </c>
      <c r="G491" s="598">
        <v>102.0</v>
      </c>
      <c r="H491" s="598">
        <v>513.0</v>
      </c>
      <c r="I491" s="598">
        <v>14.0</v>
      </c>
      <c r="J491" s="598">
        <v>783.0</v>
      </c>
      <c r="K491" s="1561">
        <v>1666.0</v>
      </c>
      <c r="L491" s="1551">
        <v>42114.0</v>
      </c>
    </row>
    <row r="492">
      <c r="A492" s="1545" t="s">
        <v>147</v>
      </c>
      <c r="B492" s="1587">
        <v>33163.0</v>
      </c>
      <c r="C492" s="1547">
        <v>1382.0</v>
      </c>
      <c r="D492" s="1548">
        <v>18.0</v>
      </c>
      <c r="E492" s="1557">
        <v>22985.0</v>
      </c>
      <c r="F492" s="598">
        <v>7375.0</v>
      </c>
      <c r="G492" s="598">
        <v>78.0</v>
      </c>
      <c r="H492" s="598">
        <v>854.0</v>
      </c>
      <c r="I492" s="598">
        <v>13.0</v>
      </c>
      <c r="J492" s="598">
        <v>370.0</v>
      </c>
      <c r="K492" s="1561">
        <v>1488.0</v>
      </c>
      <c r="L492" s="1551">
        <v>66090.0</v>
      </c>
    </row>
    <row r="493">
      <c r="A493" s="1545" t="s">
        <v>508</v>
      </c>
      <c r="B493" s="1587">
        <v>65256.0</v>
      </c>
      <c r="C493" s="1547">
        <v>3847.0</v>
      </c>
      <c r="D493" s="1548">
        <v>22.7</v>
      </c>
      <c r="E493" s="1557">
        <v>25953.0</v>
      </c>
      <c r="F493" s="598">
        <v>28095.0</v>
      </c>
      <c r="G493" s="598">
        <v>320.0</v>
      </c>
      <c r="H493" s="598">
        <v>1380.0</v>
      </c>
      <c r="I493" s="598">
        <v>478.0</v>
      </c>
      <c r="J493" s="598">
        <v>2671.0</v>
      </c>
      <c r="K493" s="1561">
        <v>6359.0</v>
      </c>
      <c r="L493" s="1551">
        <v>47685.0</v>
      </c>
    </row>
    <row r="494">
      <c r="A494" s="1545" t="s">
        <v>290</v>
      </c>
      <c r="B494" s="1587">
        <v>7690.0</v>
      </c>
      <c r="C494" s="1563">
        <v>377.0</v>
      </c>
      <c r="D494" s="1548">
        <v>25.4</v>
      </c>
      <c r="E494" s="1557">
        <v>5239.0</v>
      </c>
      <c r="F494" s="598">
        <v>2124.0</v>
      </c>
      <c r="G494" s="598">
        <v>18.0</v>
      </c>
      <c r="H494" s="598">
        <v>20.0</v>
      </c>
      <c r="I494" s="598">
        <v>3.0</v>
      </c>
      <c r="J494" s="598">
        <v>22.0</v>
      </c>
      <c r="K494" s="1561">
        <v>264.0</v>
      </c>
      <c r="L494" s="1551">
        <v>46967.0</v>
      </c>
    </row>
    <row r="495">
      <c r="A495" s="1545" t="s">
        <v>602</v>
      </c>
      <c r="B495" s="1587">
        <v>16168.0</v>
      </c>
      <c r="C495" s="1547">
        <v>1200.0</v>
      </c>
      <c r="D495" s="1548">
        <v>23.7</v>
      </c>
      <c r="E495" s="1557">
        <v>9197.0</v>
      </c>
      <c r="F495" s="598">
        <v>4125.0</v>
      </c>
      <c r="G495" s="598">
        <v>137.0</v>
      </c>
      <c r="H495" s="598">
        <v>181.0</v>
      </c>
      <c r="I495" s="598">
        <v>91.0</v>
      </c>
      <c r="J495" s="598">
        <v>903.0</v>
      </c>
      <c r="K495" s="1561">
        <v>1534.0</v>
      </c>
      <c r="L495" s="1555">
        <v>46428.0</v>
      </c>
    </row>
    <row r="496">
      <c r="A496" s="1545" t="s">
        <v>149</v>
      </c>
      <c r="B496" s="1587">
        <v>118251.0</v>
      </c>
      <c r="C496" s="1547">
        <v>9109.0</v>
      </c>
      <c r="D496" s="1548">
        <v>33.4</v>
      </c>
      <c r="E496" s="1557">
        <v>61186.0</v>
      </c>
      <c r="F496" s="598">
        <v>44434.0</v>
      </c>
      <c r="G496" s="598">
        <v>477.0</v>
      </c>
      <c r="H496" s="598">
        <v>1952.0</v>
      </c>
      <c r="I496" s="598">
        <v>117.0</v>
      </c>
      <c r="J496" s="598">
        <v>3224.0</v>
      </c>
      <c r="K496" s="1561">
        <v>6861.0</v>
      </c>
      <c r="L496" s="1551">
        <v>41820.0</v>
      </c>
    </row>
    <row r="497">
      <c r="A497" s="1545" t="s">
        <v>604</v>
      </c>
      <c r="B497" s="1587">
        <v>33488.0</v>
      </c>
      <c r="C497" s="1547">
        <v>1056.0</v>
      </c>
      <c r="D497" s="1548">
        <v>18.6</v>
      </c>
      <c r="E497" s="1557">
        <v>29750.0</v>
      </c>
      <c r="F497" s="598">
        <v>429.0</v>
      </c>
      <c r="G497" s="598">
        <v>187.0</v>
      </c>
      <c r="H497" s="598">
        <v>257.0</v>
      </c>
      <c r="I497" s="598">
        <v>21.0</v>
      </c>
      <c r="J497" s="598">
        <v>691.0</v>
      </c>
      <c r="K497" s="1561">
        <v>2153.0</v>
      </c>
      <c r="L497" s="1551">
        <v>55583.0</v>
      </c>
    </row>
    <row r="498">
      <c r="A498" s="1545" t="s">
        <v>605</v>
      </c>
      <c r="B498" s="1587">
        <v>21632.0</v>
      </c>
      <c r="C498" s="1547">
        <v>1670.0</v>
      </c>
      <c r="D498" s="1548">
        <v>31.3</v>
      </c>
      <c r="E498" s="1557">
        <v>11580.0</v>
      </c>
      <c r="F498" s="598">
        <v>8682.0</v>
      </c>
      <c r="G498" s="598">
        <v>50.0</v>
      </c>
      <c r="H498" s="598">
        <v>77.0</v>
      </c>
      <c r="I498" s="598">
        <v>20.0</v>
      </c>
      <c r="J498" s="598">
        <v>350.0</v>
      </c>
      <c r="K498" s="1561">
        <v>873.0</v>
      </c>
      <c r="L498" s="1551">
        <v>42768.0</v>
      </c>
    </row>
    <row r="499">
      <c r="A499" s="1545" t="s">
        <v>606</v>
      </c>
      <c r="B499" s="1587">
        <v>10975.0</v>
      </c>
      <c r="C499" s="1563">
        <v>815.0</v>
      </c>
      <c r="D499" s="1548">
        <v>35.7</v>
      </c>
      <c r="E499" s="1557">
        <v>7145.0</v>
      </c>
      <c r="F499" s="598">
        <v>3192.0</v>
      </c>
      <c r="G499" s="598">
        <v>38.0</v>
      </c>
      <c r="H499" s="598">
        <v>43.0</v>
      </c>
      <c r="I499" s="598">
        <v>0.0</v>
      </c>
      <c r="J499" s="598">
        <v>70.0</v>
      </c>
      <c r="K499" s="1561">
        <v>487.0</v>
      </c>
      <c r="L499" s="1551">
        <v>42513.0</v>
      </c>
    </row>
    <row r="500">
      <c r="A500" s="1545" t="s">
        <v>150</v>
      </c>
      <c r="B500" s="1587">
        <v>12082.0</v>
      </c>
      <c r="C500" s="1563">
        <v>953.0</v>
      </c>
      <c r="D500" s="1548">
        <v>39.2</v>
      </c>
      <c r="E500" s="1557">
        <v>4153.0</v>
      </c>
      <c r="F500" s="598">
        <v>7164.0</v>
      </c>
      <c r="G500" s="598">
        <v>32.0</v>
      </c>
      <c r="H500" s="598">
        <v>156.0</v>
      </c>
      <c r="I500" s="598">
        <v>8.0</v>
      </c>
      <c r="J500" s="598">
        <v>322.0</v>
      </c>
      <c r="K500" s="1561">
        <v>247.0</v>
      </c>
      <c r="L500" s="1551">
        <v>32868.0</v>
      </c>
    </row>
    <row r="501">
      <c r="A501" s="1545" t="s">
        <v>151</v>
      </c>
      <c r="B501" s="1587">
        <v>30120.0</v>
      </c>
      <c r="C501" s="1547">
        <v>1652.0</v>
      </c>
      <c r="D501" s="1548">
        <v>24.6</v>
      </c>
      <c r="E501" s="1557">
        <v>23977.0</v>
      </c>
      <c r="F501" s="598">
        <v>2769.0</v>
      </c>
      <c r="G501" s="598">
        <v>82.0</v>
      </c>
      <c r="H501" s="598">
        <v>529.0</v>
      </c>
      <c r="I501" s="598">
        <v>7.0</v>
      </c>
      <c r="J501" s="598">
        <v>1017.0</v>
      </c>
      <c r="K501" s="1561">
        <v>1739.0</v>
      </c>
      <c r="L501" s="1551">
        <v>51338.0</v>
      </c>
    </row>
    <row r="502">
      <c r="A502" s="1545" t="s">
        <v>153</v>
      </c>
      <c r="B502" s="1587">
        <v>7498.0</v>
      </c>
      <c r="C502" s="1563">
        <v>643.0</v>
      </c>
      <c r="D502" s="1548">
        <v>36.7</v>
      </c>
      <c r="E502" s="1557">
        <v>4551.0</v>
      </c>
      <c r="F502" s="598">
        <v>2150.0</v>
      </c>
      <c r="G502" s="598">
        <v>24.0</v>
      </c>
      <c r="H502" s="598">
        <v>55.0</v>
      </c>
      <c r="I502" s="598">
        <v>16.0</v>
      </c>
      <c r="J502" s="598">
        <v>347.0</v>
      </c>
      <c r="K502" s="1561">
        <v>355.0</v>
      </c>
      <c r="L502" s="1551">
        <v>39114.0</v>
      </c>
    </row>
    <row r="503">
      <c r="A503" s="1545" t="s">
        <v>609</v>
      </c>
      <c r="B503" s="1587">
        <v>20613.0</v>
      </c>
      <c r="C503" s="1547">
        <v>1567.0</v>
      </c>
      <c r="D503" s="1548">
        <v>35.6</v>
      </c>
      <c r="E503" s="1557">
        <v>12233.0</v>
      </c>
      <c r="F503" s="598">
        <v>7286.0</v>
      </c>
      <c r="G503" s="598">
        <v>64.0</v>
      </c>
      <c r="H503" s="598">
        <v>78.0</v>
      </c>
      <c r="I503" s="598">
        <v>6.0</v>
      </c>
      <c r="J503" s="598">
        <v>213.0</v>
      </c>
      <c r="K503" s="1561">
        <v>733.0</v>
      </c>
      <c r="L503" s="1551">
        <v>38886.0</v>
      </c>
    </row>
    <row r="504">
      <c r="A504" s="1545" t="s">
        <v>295</v>
      </c>
      <c r="B504" s="1587">
        <v>6000.0</v>
      </c>
      <c r="C504" s="1563">
        <v>400.0</v>
      </c>
      <c r="D504" s="1548">
        <v>31.2</v>
      </c>
      <c r="E504" s="1557">
        <v>3986.0</v>
      </c>
      <c r="F504" s="598">
        <v>1751.0</v>
      </c>
      <c r="G504" s="598">
        <v>10.0</v>
      </c>
      <c r="H504" s="598">
        <v>31.0</v>
      </c>
      <c r="I504" s="598">
        <v>3.0</v>
      </c>
      <c r="J504" s="598">
        <v>55.0</v>
      </c>
      <c r="K504" s="1561">
        <v>164.0</v>
      </c>
      <c r="L504" s="1551">
        <v>42483.0</v>
      </c>
    </row>
    <row r="505">
      <c r="A505" s="1545" t="s">
        <v>610</v>
      </c>
      <c r="B505" s="1587">
        <v>21755.0</v>
      </c>
      <c r="C505" s="1547">
        <v>1958.0</v>
      </c>
      <c r="D505" s="1548">
        <v>39.6</v>
      </c>
      <c r="E505" s="1557">
        <v>10273.0</v>
      </c>
      <c r="F505" s="598">
        <v>10114.0</v>
      </c>
      <c r="G505" s="598">
        <v>45.0</v>
      </c>
      <c r="H505" s="598">
        <v>108.0</v>
      </c>
      <c r="I505" s="598">
        <v>0.0</v>
      </c>
      <c r="J505" s="598">
        <v>619.0</v>
      </c>
      <c r="K505" s="1561">
        <v>596.0</v>
      </c>
      <c r="L505" s="1551">
        <v>36788.0</v>
      </c>
    </row>
    <row r="506">
      <c r="A506" s="1545" t="s">
        <v>156</v>
      </c>
      <c r="B506" s="1587">
        <v>27957.0</v>
      </c>
      <c r="C506" s="1547">
        <v>1019.0</v>
      </c>
      <c r="D506" s="1548">
        <v>18.5</v>
      </c>
      <c r="E506" s="1557">
        <v>20122.0</v>
      </c>
      <c r="F506" s="598">
        <v>6113.0</v>
      </c>
      <c r="G506" s="598">
        <v>43.0</v>
      </c>
      <c r="H506" s="598">
        <v>244.0</v>
      </c>
      <c r="I506" s="598">
        <v>4.0</v>
      </c>
      <c r="J506" s="598">
        <v>307.0</v>
      </c>
      <c r="K506" s="1561">
        <v>1124.0</v>
      </c>
      <c r="L506" s="1551">
        <v>59362.0</v>
      </c>
    </row>
    <row r="507">
      <c r="A507" s="1545" t="s">
        <v>157</v>
      </c>
      <c r="B507" s="1587">
        <v>8610.0</v>
      </c>
      <c r="C507" s="1563">
        <v>529.0</v>
      </c>
      <c r="D507" s="1548">
        <v>28.9</v>
      </c>
      <c r="E507" s="1557">
        <v>5789.0</v>
      </c>
      <c r="F507" s="598">
        <v>2133.0</v>
      </c>
      <c r="G507" s="598">
        <v>25.0</v>
      </c>
      <c r="H507" s="598">
        <v>39.0</v>
      </c>
      <c r="I507" s="598">
        <v>2.0</v>
      </c>
      <c r="J507" s="598">
        <v>324.0</v>
      </c>
      <c r="K507" s="1561">
        <v>298.0</v>
      </c>
      <c r="L507" s="1551">
        <v>41834.0</v>
      </c>
    </row>
    <row r="508">
      <c r="A508" s="1545" t="s">
        <v>158</v>
      </c>
      <c r="B508" s="1587">
        <v>20097.0</v>
      </c>
      <c r="C508" s="1563">
        <v>867.0</v>
      </c>
      <c r="D508" s="1548">
        <v>20.4</v>
      </c>
      <c r="E508" s="1557">
        <v>14609.0</v>
      </c>
      <c r="F508" s="598">
        <v>4122.0</v>
      </c>
      <c r="G508" s="598">
        <v>48.0</v>
      </c>
      <c r="H508" s="598">
        <v>126.0</v>
      </c>
      <c r="I508" s="598">
        <v>1.0</v>
      </c>
      <c r="J508" s="598">
        <v>378.0</v>
      </c>
      <c r="K508" s="1561">
        <v>813.0</v>
      </c>
      <c r="L508" s="1551">
        <v>57978.0</v>
      </c>
    </row>
    <row r="509">
      <c r="A509" s="1545" t="s">
        <v>611</v>
      </c>
      <c r="B509" s="1587">
        <v>39973.0</v>
      </c>
      <c r="C509" s="1547">
        <v>2145.0</v>
      </c>
      <c r="D509" s="1548">
        <v>22.1</v>
      </c>
      <c r="E509" s="1557">
        <v>33343.0</v>
      </c>
      <c r="F509" s="598">
        <v>282.0</v>
      </c>
      <c r="G509" s="598">
        <v>599.0</v>
      </c>
      <c r="H509" s="598">
        <v>134.0</v>
      </c>
      <c r="I509" s="598">
        <v>2.0</v>
      </c>
      <c r="J509" s="598">
        <v>2804.0</v>
      </c>
      <c r="K509" s="1561">
        <v>2809.0</v>
      </c>
      <c r="L509" s="1555">
        <v>46810.0</v>
      </c>
    </row>
    <row r="510">
      <c r="A510" s="1545" t="s">
        <v>613</v>
      </c>
      <c r="B510" s="1587">
        <v>206922.0</v>
      </c>
      <c r="C510" s="1547">
        <v>13442.0</v>
      </c>
      <c r="D510" s="1548">
        <v>28.4</v>
      </c>
      <c r="E510" s="1557">
        <v>82467.0</v>
      </c>
      <c r="F510" s="598">
        <v>96163.0</v>
      </c>
      <c r="G510" s="598">
        <v>827.0</v>
      </c>
      <c r="H510" s="598">
        <v>5661.0</v>
      </c>
      <c r="I510" s="598">
        <v>555.0</v>
      </c>
      <c r="J510" s="598">
        <v>6614.0</v>
      </c>
      <c r="K510" s="1561">
        <v>14635.0</v>
      </c>
      <c r="L510" s="1555">
        <v>46628.0</v>
      </c>
    </row>
    <row r="511">
      <c r="A511" s="1545" t="s">
        <v>297</v>
      </c>
      <c r="B511" s="1587">
        <v>112483.0</v>
      </c>
      <c r="C511" s="1547">
        <v>6240.0</v>
      </c>
      <c r="D511" s="1548">
        <v>22.4</v>
      </c>
      <c r="E511" s="1557">
        <v>48030.0</v>
      </c>
      <c r="F511" s="598">
        <v>52794.0</v>
      </c>
      <c r="G511" s="598">
        <v>330.0</v>
      </c>
      <c r="H511" s="598">
        <v>1053.0</v>
      </c>
      <c r="I511" s="598">
        <v>125.0</v>
      </c>
      <c r="J511" s="598">
        <v>3698.0</v>
      </c>
      <c r="K511" s="1561">
        <v>6453.0</v>
      </c>
      <c r="L511" s="1551">
        <v>56598.0</v>
      </c>
    </row>
    <row r="512">
      <c r="A512" s="1545" t="s">
        <v>614</v>
      </c>
      <c r="B512" s="1587">
        <v>41799.0</v>
      </c>
      <c r="C512" s="1563">
        <v>722.0</v>
      </c>
      <c r="D512" s="1548">
        <v>6.9</v>
      </c>
      <c r="E512" s="1557">
        <v>34450.0</v>
      </c>
      <c r="F512" s="598">
        <v>1921.0</v>
      </c>
      <c r="G512" s="598">
        <v>76.0</v>
      </c>
      <c r="H512" s="598">
        <v>2082.0</v>
      </c>
      <c r="I512" s="598">
        <v>0.0</v>
      </c>
      <c r="J512" s="598">
        <v>884.0</v>
      </c>
      <c r="K512" s="1561">
        <v>2386.0</v>
      </c>
      <c r="L512" s="1551">
        <v>99497.0</v>
      </c>
    </row>
    <row r="513">
      <c r="A513" s="1545" t="s">
        <v>615</v>
      </c>
      <c r="B513" s="1587">
        <v>14825.0</v>
      </c>
      <c r="C513" s="1563">
        <v>663.0</v>
      </c>
      <c r="D513" s="1548">
        <v>21.4</v>
      </c>
      <c r="E513" s="1557">
        <v>11072.0</v>
      </c>
      <c r="F513" s="598">
        <v>2260.0</v>
      </c>
      <c r="G513" s="598">
        <v>54.0</v>
      </c>
      <c r="H513" s="598">
        <v>134.0</v>
      </c>
      <c r="I513" s="598">
        <v>5.0</v>
      </c>
      <c r="J513" s="598">
        <v>408.0</v>
      </c>
      <c r="K513" s="1561">
        <v>892.0</v>
      </c>
      <c r="L513" s="1555">
        <v>51105.0</v>
      </c>
    </row>
    <row r="514">
      <c r="A514" s="1545" t="s">
        <v>616</v>
      </c>
      <c r="B514" s="1587">
        <v>168661.0</v>
      </c>
      <c r="C514" s="1547">
        <v>4934.0</v>
      </c>
      <c r="D514" s="1548">
        <v>11.7</v>
      </c>
      <c r="E514" s="1557">
        <v>111196.0</v>
      </c>
      <c r="F514" s="598">
        <v>37353.0</v>
      </c>
      <c r="G514" s="598">
        <v>614.0</v>
      </c>
      <c r="H514" s="598">
        <v>1956.0</v>
      </c>
      <c r="I514" s="598">
        <v>126.0</v>
      </c>
      <c r="J514" s="598">
        <v>5090.0</v>
      </c>
      <c r="K514" s="1561">
        <v>12326.0</v>
      </c>
      <c r="L514" s="1551">
        <v>73309.0</v>
      </c>
    </row>
    <row r="515">
      <c r="A515" s="1545" t="s">
        <v>617</v>
      </c>
      <c r="B515" s="1587">
        <v>27981.0</v>
      </c>
      <c r="C515" s="1547">
        <v>1866.0</v>
      </c>
      <c r="D515" s="1548">
        <v>33.2</v>
      </c>
      <c r="E515" s="1557">
        <v>12499.0</v>
      </c>
      <c r="F515" s="598">
        <v>12219.0</v>
      </c>
      <c r="G515" s="598">
        <v>110.0</v>
      </c>
      <c r="H515" s="598">
        <v>199.0</v>
      </c>
      <c r="I515" s="598">
        <v>7.0</v>
      </c>
      <c r="J515" s="598">
        <v>1496.0</v>
      </c>
      <c r="K515" s="1561">
        <v>1451.0</v>
      </c>
      <c r="L515" s="1551">
        <v>46525.0</v>
      </c>
    </row>
    <row r="516">
      <c r="A516" s="1545" t="s">
        <v>160</v>
      </c>
      <c r="B516" s="1587">
        <v>33216.0</v>
      </c>
      <c r="C516" s="1547">
        <v>1260.0</v>
      </c>
      <c r="D516" s="1548">
        <v>19.8</v>
      </c>
      <c r="E516" s="1557">
        <v>30400.0</v>
      </c>
      <c r="F516" s="598">
        <v>301.0</v>
      </c>
      <c r="G516" s="598">
        <v>141.0</v>
      </c>
      <c r="H516" s="598">
        <v>194.0</v>
      </c>
      <c r="I516" s="598">
        <v>6.0</v>
      </c>
      <c r="J516" s="598">
        <v>477.0</v>
      </c>
      <c r="K516" s="1561">
        <v>1697.0</v>
      </c>
      <c r="L516" s="1551">
        <v>65062.0</v>
      </c>
    </row>
    <row r="517">
      <c r="A517" s="1545" t="s">
        <v>473</v>
      </c>
      <c r="B517" s="1587">
        <v>19716.0</v>
      </c>
      <c r="C517" s="1547">
        <v>1300.0</v>
      </c>
      <c r="D517" s="1548">
        <v>27.4</v>
      </c>
      <c r="E517" s="1557">
        <v>16654.0</v>
      </c>
      <c r="F517" s="598">
        <v>1603.0</v>
      </c>
      <c r="G517" s="598">
        <v>77.0</v>
      </c>
      <c r="H517" s="598">
        <v>83.0</v>
      </c>
      <c r="I517" s="598">
        <v>2.0</v>
      </c>
      <c r="J517" s="598">
        <v>559.0</v>
      </c>
      <c r="K517" s="1561">
        <v>738.0</v>
      </c>
      <c r="L517" s="1551">
        <v>44389.0</v>
      </c>
    </row>
    <row r="518">
      <c r="A518" s="1545" t="s">
        <v>162</v>
      </c>
      <c r="B518" s="1587">
        <v>18889.0</v>
      </c>
      <c r="C518" s="1563">
        <v>623.0</v>
      </c>
      <c r="D518" s="1548">
        <v>14.6</v>
      </c>
      <c r="E518" s="1557">
        <v>16439.0</v>
      </c>
      <c r="F518" s="598">
        <v>1447.0</v>
      </c>
      <c r="G518" s="598">
        <v>34.0</v>
      </c>
      <c r="H518" s="598">
        <v>79.0</v>
      </c>
      <c r="I518" s="598">
        <v>0.0</v>
      </c>
      <c r="J518" s="598">
        <v>137.0</v>
      </c>
      <c r="K518" s="1561">
        <v>753.0</v>
      </c>
      <c r="L518" s="1551">
        <v>66901.0</v>
      </c>
    </row>
    <row r="519">
      <c r="A519" s="1545" t="s">
        <v>302</v>
      </c>
      <c r="B519" s="1587">
        <v>42853.0</v>
      </c>
      <c r="C519" s="1547">
        <v>3286.0</v>
      </c>
      <c r="D519" s="1548">
        <v>31.2</v>
      </c>
      <c r="E519" s="1557">
        <v>31249.0</v>
      </c>
      <c r="F519" s="598">
        <v>5212.0</v>
      </c>
      <c r="G519" s="598">
        <v>325.0</v>
      </c>
      <c r="H519" s="598">
        <v>240.0</v>
      </c>
      <c r="I519" s="598">
        <v>26.0</v>
      </c>
      <c r="J519" s="598">
        <v>3355.0</v>
      </c>
      <c r="K519" s="1561">
        <v>2446.0</v>
      </c>
      <c r="L519" s="1551">
        <v>43679.0</v>
      </c>
    </row>
    <row r="520">
      <c r="A520" s="1545" t="s">
        <v>305</v>
      </c>
      <c r="B520" s="1587">
        <v>9855.0</v>
      </c>
      <c r="C520" s="1563">
        <v>734.0</v>
      </c>
      <c r="D520" s="1548">
        <v>36.6</v>
      </c>
      <c r="E520" s="1557">
        <v>6098.0</v>
      </c>
      <c r="F520" s="598">
        <v>3170.0</v>
      </c>
      <c r="G520" s="598">
        <v>13.0</v>
      </c>
      <c r="H520" s="598">
        <v>93.0</v>
      </c>
      <c r="I520" s="598">
        <v>3.0</v>
      </c>
      <c r="J520" s="598">
        <v>201.0</v>
      </c>
      <c r="K520" s="1561">
        <v>277.0</v>
      </c>
      <c r="L520" s="1551">
        <v>40582.0</v>
      </c>
    </row>
    <row r="521">
      <c r="A521" s="1545" t="s">
        <v>518</v>
      </c>
      <c r="B521" s="1587">
        <v>22047.0</v>
      </c>
      <c r="C521" s="1547">
        <v>1265.0</v>
      </c>
      <c r="D521" s="1548">
        <v>29.5</v>
      </c>
      <c r="E521" s="1557">
        <v>14669.0</v>
      </c>
      <c r="F521" s="598">
        <v>5419.0</v>
      </c>
      <c r="G521" s="598">
        <v>83.0</v>
      </c>
      <c r="H521" s="598">
        <v>108.0</v>
      </c>
      <c r="I521" s="598">
        <v>1.0</v>
      </c>
      <c r="J521" s="598">
        <v>622.0</v>
      </c>
      <c r="K521" s="1561">
        <v>1145.0</v>
      </c>
      <c r="L521" s="1551">
        <v>51205.0</v>
      </c>
    </row>
    <row r="522">
      <c r="A522" s="1545" t="s">
        <v>618</v>
      </c>
      <c r="B522" s="1587">
        <v>2235.0</v>
      </c>
      <c r="C522" s="1563">
        <v>161.0</v>
      </c>
      <c r="D522" s="1548">
        <v>40.5</v>
      </c>
      <c r="E522" s="1557">
        <v>1190.0</v>
      </c>
      <c r="F522" s="598">
        <v>919.0</v>
      </c>
      <c r="G522" s="598">
        <v>13.0</v>
      </c>
      <c r="H522" s="598">
        <v>12.0</v>
      </c>
      <c r="I522" s="598">
        <v>0.0</v>
      </c>
      <c r="J522" s="598">
        <v>9.0</v>
      </c>
      <c r="K522" s="1561">
        <v>92.0</v>
      </c>
      <c r="L522" s="1551">
        <v>33908.0</v>
      </c>
    </row>
    <row r="523">
      <c r="A523" s="1545" t="s">
        <v>619</v>
      </c>
      <c r="B523" s="1587">
        <v>16883.0</v>
      </c>
      <c r="C523" s="1563">
        <v>696.0</v>
      </c>
      <c r="D523" s="1548">
        <v>25.1</v>
      </c>
      <c r="E523" s="1557">
        <v>15033.0</v>
      </c>
      <c r="F523" s="598">
        <v>114.0</v>
      </c>
      <c r="G523" s="598">
        <v>70.0</v>
      </c>
      <c r="H523" s="598">
        <v>63.0</v>
      </c>
      <c r="I523" s="598">
        <v>1.0</v>
      </c>
      <c r="J523" s="598">
        <v>515.0</v>
      </c>
      <c r="K523" s="1561">
        <v>1087.0</v>
      </c>
      <c r="L523" s="1551">
        <v>44213.0</v>
      </c>
    </row>
    <row r="524">
      <c r="A524" s="1545" t="s">
        <v>163</v>
      </c>
      <c r="B524" s="1587">
        <v>6425.0</v>
      </c>
      <c r="C524" s="1563">
        <v>607.0</v>
      </c>
      <c r="D524" s="1548">
        <v>44.3</v>
      </c>
      <c r="E524" s="1557">
        <v>2253.0</v>
      </c>
      <c r="F524" s="598">
        <v>3877.0</v>
      </c>
      <c r="G524" s="598">
        <v>12.0</v>
      </c>
      <c r="H524" s="598">
        <v>21.0</v>
      </c>
      <c r="I524" s="598">
        <v>3.0</v>
      </c>
      <c r="J524" s="598">
        <v>93.0</v>
      </c>
      <c r="K524" s="1561">
        <v>166.0</v>
      </c>
      <c r="L524" s="1555">
        <v>28298.0</v>
      </c>
    </row>
    <row r="525">
      <c r="A525" s="1545" t="s">
        <v>621</v>
      </c>
      <c r="B525" s="1587">
        <v>206607.0</v>
      </c>
      <c r="C525" s="1547">
        <v>15297.0</v>
      </c>
      <c r="D525" s="1548">
        <v>34.1</v>
      </c>
      <c r="E525" s="1557">
        <v>70997.0</v>
      </c>
      <c r="F525" s="598">
        <v>114201.0</v>
      </c>
      <c r="G525" s="598">
        <v>690.0</v>
      </c>
      <c r="H525" s="598">
        <v>3975.0</v>
      </c>
      <c r="I525" s="598">
        <v>416.0</v>
      </c>
      <c r="J525" s="598">
        <v>4722.0</v>
      </c>
      <c r="K525" s="1561">
        <v>11606.0</v>
      </c>
      <c r="L525" s="1555">
        <v>40168.0</v>
      </c>
    </row>
    <row r="526">
      <c r="A526" s="1545" t="s">
        <v>622</v>
      </c>
      <c r="B526" s="1587">
        <v>93570.0</v>
      </c>
      <c r="C526" s="1547">
        <v>5040.0</v>
      </c>
      <c r="D526" s="1548">
        <v>22.9</v>
      </c>
      <c r="E526" s="1557">
        <v>25661.0</v>
      </c>
      <c r="F526" s="598">
        <v>54409.0</v>
      </c>
      <c r="G526" s="598">
        <v>312.0</v>
      </c>
      <c r="H526" s="598">
        <v>1542.0</v>
      </c>
      <c r="I526" s="598">
        <v>83.0</v>
      </c>
      <c r="J526" s="598">
        <v>5358.0</v>
      </c>
      <c r="K526" s="1561">
        <v>6205.0</v>
      </c>
      <c r="L526" s="1551">
        <v>59673.0</v>
      </c>
    </row>
    <row r="527">
      <c r="A527" s="1545" t="s">
        <v>623</v>
      </c>
      <c r="B527" s="1587">
        <v>4547.0</v>
      </c>
      <c r="C527" s="1563">
        <v>318.0</v>
      </c>
      <c r="D527" s="1548">
        <v>24.6</v>
      </c>
      <c r="E527" s="1557">
        <v>3425.0</v>
      </c>
      <c r="F527" s="598">
        <v>877.0</v>
      </c>
      <c r="G527" s="598">
        <v>4.0</v>
      </c>
      <c r="H527" s="598">
        <v>20.0</v>
      </c>
      <c r="I527" s="598">
        <v>2.0</v>
      </c>
      <c r="J527" s="598">
        <v>51.0</v>
      </c>
      <c r="K527" s="1561">
        <v>168.0</v>
      </c>
      <c r="L527" s="1551">
        <v>45378.0</v>
      </c>
    </row>
    <row r="528">
      <c r="A528" s="1545" t="s">
        <v>625</v>
      </c>
      <c r="B528" s="1587">
        <v>14067.0</v>
      </c>
      <c r="C528" s="1547">
        <v>1141.0</v>
      </c>
      <c r="D528" s="1548">
        <v>41.2</v>
      </c>
      <c r="E528" s="1557">
        <v>8087.0</v>
      </c>
      <c r="F528" s="598">
        <v>5308.0</v>
      </c>
      <c r="G528" s="598">
        <v>51.0</v>
      </c>
      <c r="H528" s="598">
        <v>61.0</v>
      </c>
      <c r="I528" s="598">
        <v>8.0</v>
      </c>
      <c r="J528" s="598">
        <v>106.0</v>
      </c>
      <c r="K528" s="1561">
        <v>446.0</v>
      </c>
      <c r="L528" s="1551">
        <v>39048.0</v>
      </c>
    </row>
    <row r="529">
      <c r="A529" s="1545" t="s">
        <v>524</v>
      </c>
      <c r="B529" s="1587">
        <v>9147.0</v>
      </c>
      <c r="C529" s="1563">
        <v>678.0</v>
      </c>
      <c r="D529" s="1548">
        <v>40.1</v>
      </c>
      <c r="E529" s="1557">
        <v>5658.0</v>
      </c>
      <c r="F529" s="598">
        <v>2995.0</v>
      </c>
      <c r="G529" s="598">
        <v>7.0</v>
      </c>
      <c r="H529" s="598">
        <v>64.0</v>
      </c>
      <c r="I529" s="598">
        <v>2.0</v>
      </c>
      <c r="J529" s="598">
        <v>127.0</v>
      </c>
      <c r="K529" s="1561">
        <v>294.0</v>
      </c>
      <c r="L529" s="1555">
        <v>36869.0</v>
      </c>
    </row>
    <row r="530">
      <c r="A530" s="1545" t="s">
        <v>626</v>
      </c>
      <c r="B530" s="1587">
        <v>67306.0</v>
      </c>
      <c r="C530" s="1547">
        <v>4435.0</v>
      </c>
      <c r="D530" s="1548">
        <v>29.1</v>
      </c>
      <c r="E530" s="1557">
        <v>37855.0</v>
      </c>
      <c r="F530" s="598">
        <v>23301.0</v>
      </c>
      <c r="G530" s="598">
        <v>245.0</v>
      </c>
      <c r="H530" s="598">
        <v>648.0</v>
      </c>
      <c r="I530" s="598">
        <v>24.0</v>
      </c>
      <c r="J530" s="598">
        <v>1693.0</v>
      </c>
      <c r="K530" s="1561">
        <v>3540.0</v>
      </c>
      <c r="L530" s="1551">
        <v>43510.0</v>
      </c>
    </row>
    <row r="531">
      <c r="A531" s="1545" t="s">
        <v>628</v>
      </c>
      <c r="B531" s="1587">
        <v>26784.0</v>
      </c>
      <c r="C531" s="1547">
        <v>1449.0</v>
      </c>
      <c r="D531" s="1548">
        <v>25.6</v>
      </c>
      <c r="E531" s="1557">
        <v>21589.0</v>
      </c>
      <c r="F531" s="598">
        <v>2976.0</v>
      </c>
      <c r="G531" s="598">
        <v>94.0</v>
      </c>
      <c r="H531" s="598">
        <v>229.0</v>
      </c>
      <c r="I531" s="598">
        <v>11.0</v>
      </c>
      <c r="J531" s="598">
        <v>300.0</v>
      </c>
      <c r="K531" s="1561">
        <v>1585.0</v>
      </c>
      <c r="L531" s="1551">
        <v>45850.0</v>
      </c>
    </row>
    <row r="532">
      <c r="A532" s="1545" t="s">
        <v>629</v>
      </c>
      <c r="B532" s="1587">
        <v>5314.0</v>
      </c>
      <c r="C532" s="1563">
        <v>294.0</v>
      </c>
      <c r="D532" s="1548">
        <v>39.8</v>
      </c>
      <c r="E532" s="1557">
        <v>1352.0</v>
      </c>
      <c r="F532" s="598">
        <v>2466.0</v>
      </c>
      <c r="G532" s="598">
        <v>13.0</v>
      </c>
      <c r="H532" s="598">
        <v>169.0</v>
      </c>
      <c r="I532" s="598">
        <v>6.0</v>
      </c>
      <c r="J532" s="598">
        <v>1173.0</v>
      </c>
      <c r="K532" s="1561">
        <v>135.0</v>
      </c>
      <c r="L532" s="1551">
        <v>33053.0</v>
      </c>
    </row>
    <row r="533">
      <c r="A533" s="1545" t="s">
        <v>169</v>
      </c>
      <c r="B533" s="1587">
        <v>29616.0</v>
      </c>
      <c r="C533" s="1547">
        <v>2612.0</v>
      </c>
      <c r="D533" s="1548">
        <v>39.5</v>
      </c>
      <c r="E533" s="1557">
        <v>11783.0</v>
      </c>
      <c r="F533" s="598">
        <v>15120.0</v>
      </c>
      <c r="G533" s="598">
        <v>81.0</v>
      </c>
      <c r="H533" s="598">
        <v>504.0</v>
      </c>
      <c r="I533" s="598">
        <v>11.0</v>
      </c>
      <c r="J533" s="598">
        <v>1208.0</v>
      </c>
      <c r="K533" s="1561">
        <v>909.0</v>
      </c>
      <c r="L533" s="1551">
        <v>37562.0</v>
      </c>
    </row>
    <row r="534">
      <c r="A534" s="1545" t="s">
        <v>630</v>
      </c>
      <c r="B534" s="1587">
        <v>5733.0</v>
      </c>
      <c r="C534" s="1563">
        <v>395.0</v>
      </c>
      <c r="D534" s="1548">
        <v>39.5</v>
      </c>
      <c r="E534" s="1557">
        <v>2461.0</v>
      </c>
      <c r="F534" s="598">
        <v>3079.0</v>
      </c>
      <c r="G534" s="598">
        <v>5.0</v>
      </c>
      <c r="H534" s="598">
        <v>17.0</v>
      </c>
      <c r="I534" s="598">
        <v>1.0</v>
      </c>
      <c r="J534" s="598">
        <v>9.0</v>
      </c>
      <c r="K534" s="1561">
        <v>161.0</v>
      </c>
      <c r="L534" s="1551">
        <v>37265.0</v>
      </c>
    </row>
    <row r="535">
      <c r="A535" s="1545" t="s">
        <v>631</v>
      </c>
      <c r="B535" s="1587">
        <v>1559.0</v>
      </c>
      <c r="C535" s="1563">
        <v>112.0</v>
      </c>
      <c r="D535" s="1548">
        <v>41.8</v>
      </c>
      <c r="E535" s="1557">
        <v>606.0</v>
      </c>
      <c r="F535" s="598">
        <v>833.0</v>
      </c>
      <c r="G535" s="598">
        <v>4.0</v>
      </c>
      <c r="H535" s="598">
        <v>6.0</v>
      </c>
      <c r="I535" s="598">
        <v>0.0</v>
      </c>
      <c r="J535" s="598">
        <v>28.0</v>
      </c>
      <c r="K535" s="1561">
        <v>82.0</v>
      </c>
      <c r="L535" s="1551">
        <v>34090.0</v>
      </c>
    </row>
    <row r="536">
      <c r="A536" s="1545" t="s">
        <v>632</v>
      </c>
      <c r="B536" s="1587">
        <v>22842.0</v>
      </c>
      <c r="C536" s="1547">
        <v>1656.0</v>
      </c>
      <c r="D536" s="1548">
        <v>32.7</v>
      </c>
      <c r="E536" s="1557">
        <v>14276.0</v>
      </c>
      <c r="F536" s="598">
        <v>6018.0</v>
      </c>
      <c r="G536" s="598">
        <v>83.0</v>
      </c>
      <c r="H536" s="598">
        <v>127.0</v>
      </c>
      <c r="I536" s="598">
        <v>6.0</v>
      </c>
      <c r="J536" s="598">
        <v>1288.0</v>
      </c>
      <c r="K536" s="1561">
        <v>1044.0</v>
      </c>
      <c r="L536" s="1551">
        <v>41440.0</v>
      </c>
    </row>
    <row r="537">
      <c r="A537" s="1545" t="s">
        <v>526</v>
      </c>
      <c r="B537" s="1587">
        <v>7816.0</v>
      </c>
      <c r="C537" s="1563">
        <v>560.0</v>
      </c>
      <c r="D537" s="1548">
        <v>35.5</v>
      </c>
      <c r="E537" s="1557">
        <v>4640.0</v>
      </c>
      <c r="F537" s="598">
        <v>2826.0</v>
      </c>
      <c r="G537" s="598">
        <v>27.0</v>
      </c>
      <c r="H537" s="598">
        <v>39.0</v>
      </c>
      <c r="I537" s="598">
        <v>5.0</v>
      </c>
      <c r="J537" s="598">
        <v>60.0</v>
      </c>
      <c r="K537" s="1561">
        <v>219.0</v>
      </c>
      <c r="L537" s="1551">
        <v>36310.0</v>
      </c>
    </row>
    <row r="538">
      <c r="A538" s="1545" t="s">
        <v>633</v>
      </c>
      <c r="B538" s="1587">
        <v>12477.0</v>
      </c>
      <c r="C538" s="1563">
        <v>922.0</v>
      </c>
      <c r="D538" s="1548">
        <v>36.7</v>
      </c>
      <c r="E538" s="1557">
        <v>7269.0</v>
      </c>
      <c r="F538" s="598">
        <v>4630.0</v>
      </c>
      <c r="G538" s="598">
        <v>35.0</v>
      </c>
      <c r="H538" s="598">
        <v>32.0</v>
      </c>
      <c r="I538" s="598">
        <v>0.0</v>
      </c>
      <c r="J538" s="598">
        <v>209.0</v>
      </c>
      <c r="K538" s="1561">
        <v>302.0</v>
      </c>
      <c r="L538" s="1551">
        <v>34297.0</v>
      </c>
    </row>
    <row r="539">
      <c r="A539" s="1545" t="s">
        <v>635</v>
      </c>
      <c r="B539" s="1587">
        <v>9185.0</v>
      </c>
      <c r="C539" s="1563">
        <v>875.0</v>
      </c>
      <c r="D539" s="1548">
        <v>44.5</v>
      </c>
      <c r="E539" s="1557">
        <v>3237.0</v>
      </c>
      <c r="F539" s="598">
        <v>5565.0</v>
      </c>
      <c r="G539" s="598">
        <v>11.0</v>
      </c>
      <c r="H539" s="598">
        <v>67.0</v>
      </c>
      <c r="I539" s="598">
        <v>4.0</v>
      </c>
      <c r="J539" s="598">
        <v>58.0</v>
      </c>
      <c r="K539" s="1561">
        <v>243.0</v>
      </c>
      <c r="L539" s="1551">
        <v>35290.0</v>
      </c>
    </row>
    <row r="540">
      <c r="A540" s="1545" t="s">
        <v>636</v>
      </c>
      <c r="B540" s="1587">
        <v>45798.0</v>
      </c>
      <c r="C540" s="1547">
        <v>3179.0</v>
      </c>
      <c r="D540" s="1548">
        <v>30.7</v>
      </c>
      <c r="E540" s="1557">
        <v>26375.0</v>
      </c>
      <c r="F540" s="598">
        <v>16343.0</v>
      </c>
      <c r="G540" s="598">
        <v>189.0</v>
      </c>
      <c r="H540" s="598">
        <v>424.0</v>
      </c>
      <c r="I540" s="598">
        <v>9.0</v>
      </c>
      <c r="J540" s="598">
        <v>724.0</v>
      </c>
      <c r="K540" s="1561">
        <v>1734.0</v>
      </c>
      <c r="L540" s="1551">
        <v>41642.0</v>
      </c>
    </row>
    <row r="541">
      <c r="A541" s="1545" t="s">
        <v>637</v>
      </c>
      <c r="B541" s="1587">
        <v>41344.0</v>
      </c>
      <c r="C541" s="1547">
        <v>3014.0</v>
      </c>
      <c r="D541" s="1548">
        <v>30.4</v>
      </c>
      <c r="E541" s="1557">
        <v>23237.0</v>
      </c>
      <c r="F541" s="598">
        <v>12131.0</v>
      </c>
      <c r="G541" s="598">
        <v>136.0</v>
      </c>
      <c r="H541" s="598">
        <v>651.0</v>
      </c>
      <c r="I541" s="598">
        <v>2.0</v>
      </c>
      <c r="J541" s="598">
        <v>2769.0</v>
      </c>
      <c r="K541" s="1561">
        <v>2418.0</v>
      </c>
      <c r="L541" s="1551">
        <v>45680.0</v>
      </c>
    </row>
    <row r="542">
      <c r="A542" s="1545" t="s">
        <v>638</v>
      </c>
      <c r="B542" s="1587">
        <v>27030.0</v>
      </c>
      <c r="C542" s="1547">
        <v>2846.0</v>
      </c>
      <c r="D542" s="1548">
        <v>40.6</v>
      </c>
      <c r="E542" s="1557">
        <v>16560.0</v>
      </c>
      <c r="F542" s="598">
        <v>7023.0</v>
      </c>
      <c r="G542" s="598">
        <v>101.0</v>
      </c>
      <c r="H542" s="598">
        <v>209.0</v>
      </c>
      <c r="I542" s="598">
        <v>6.0</v>
      </c>
      <c r="J542" s="598">
        <v>1761.0</v>
      </c>
      <c r="K542" s="1561">
        <v>1370.0</v>
      </c>
      <c r="L542" s="1551">
        <v>37148.0</v>
      </c>
    </row>
    <row r="543">
      <c r="A543" s="1545" t="s">
        <v>639</v>
      </c>
      <c r="B543" s="1587">
        <v>12493.0</v>
      </c>
      <c r="C543" s="1563">
        <v>355.0</v>
      </c>
      <c r="D543" s="1548">
        <v>24.0</v>
      </c>
      <c r="E543" s="1557">
        <v>11594.0</v>
      </c>
      <c r="F543" s="598">
        <v>128.0</v>
      </c>
      <c r="G543" s="598">
        <v>30.0</v>
      </c>
      <c r="H543" s="598">
        <v>81.0</v>
      </c>
      <c r="I543" s="598">
        <v>3.0</v>
      </c>
      <c r="J543" s="598">
        <v>187.0</v>
      </c>
      <c r="K543" s="1561">
        <v>470.0</v>
      </c>
      <c r="L543" s="1551">
        <v>45853.0</v>
      </c>
    </row>
    <row r="544">
      <c r="A544" s="1545" t="s">
        <v>640</v>
      </c>
      <c r="B544" s="1587">
        <v>6406.0</v>
      </c>
      <c r="C544" s="1563">
        <v>526.0</v>
      </c>
      <c r="D544" s="1548">
        <v>34.5</v>
      </c>
      <c r="E544" s="1557">
        <v>4106.0</v>
      </c>
      <c r="F544" s="598">
        <v>2024.0</v>
      </c>
      <c r="G544" s="598">
        <v>21.0</v>
      </c>
      <c r="H544" s="598">
        <v>7.0</v>
      </c>
      <c r="I544" s="598">
        <v>1.0</v>
      </c>
      <c r="J544" s="598">
        <v>65.0</v>
      </c>
      <c r="K544" s="1561">
        <v>182.0</v>
      </c>
      <c r="L544" s="1555">
        <v>35069.0</v>
      </c>
    </row>
    <row r="545">
      <c r="A545" s="1545" t="s">
        <v>641</v>
      </c>
      <c r="B545" s="1587">
        <v>69426.0</v>
      </c>
      <c r="C545" s="1547">
        <v>4593.0</v>
      </c>
      <c r="D545" s="1548">
        <v>27.7</v>
      </c>
      <c r="E545" s="1557">
        <v>38639.0</v>
      </c>
      <c r="F545" s="598">
        <v>24287.0</v>
      </c>
      <c r="G545" s="598">
        <v>203.0</v>
      </c>
      <c r="H545" s="598">
        <v>1610.0</v>
      </c>
      <c r="I545" s="598">
        <v>37.0</v>
      </c>
      <c r="J545" s="598">
        <v>1710.0</v>
      </c>
      <c r="K545" s="1561">
        <v>2940.0</v>
      </c>
      <c r="L545" s="1551">
        <v>45234.0</v>
      </c>
    </row>
    <row r="546">
      <c r="A546" s="1545" t="s">
        <v>642</v>
      </c>
      <c r="B546" s="1587">
        <v>9006.0</v>
      </c>
      <c r="C546" s="1563">
        <v>795.0</v>
      </c>
      <c r="D546" s="1548">
        <v>42.2</v>
      </c>
      <c r="E546" s="1557">
        <v>4812.0</v>
      </c>
      <c r="F546" s="598">
        <v>3666.0</v>
      </c>
      <c r="G546" s="598">
        <v>7.0</v>
      </c>
      <c r="H546" s="598">
        <v>51.0</v>
      </c>
      <c r="I546" s="598">
        <v>0.0</v>
      </c>
      <c r="J546" s="598">
        <v>175.0</v>
      </c>
      <c r="K546" s="1561">
        <v>295.0</v>
      </c>
      <c r="L546" s="1551">
        <v>33261.0</v>
      </c>
    </row>
    <row r="547">
      <c r="A547" s="1545" t="s">
        <v>643</v>
      </c>
      <c r="B547" s="1587">
        <v>8022.0</v>
      </c>
      <c r="C547" s="1563">
        <v>515.0</v>
      </c>
      <c r="D547" s="1548">
        <v>33.0</v>
      </c>
      <c r="E547" s="1557">
        <v>4522.0</v>
      </c>
      <c r="F547" s="598">
        <v>3124.0</v>
      </c>
      <c r="G547" s="598">
        <v>22.0</v>
      </c>
      <c r="H547" s="598">
        <v>37.0</v>
      </c>
      <c r="I547" s="598">
        <v>0.0</v>
      </c>
      <c r="J547" s="598">
        <v>39.0</v>
      </c>
      <c r="K547" s="1561">
        <v>278.0</v>
      </c>
      <c r="L547" s="1551">
        <v>42054.0</v>
      </c>
    </row>
    <row r="548">
      <c r="A548" s="1545" t="s">
        <v>316</v>
      </c>
      <c r="B548" s="1587">
        <v>24632.0</v>
      </c>
      <c r="C548" s="1563">
        <v>914.0</v>
      </c>
      <c r="D548" s="1548">
        <v>24.4</v>
      </c>
      <c r="E548" s="1557">
        <v>22836.0</v>
      </c>
      <c r="F548" s="598">
        <v>129.0</v>
      </c>
      <c r="G548" s="598">
        <v>93.0</v>
      </c>
      <c r="H548" s="598">
        <v>106.0</v>
      </c>
      <c r="I548" s="598">
        <v>0.0</v>
      </c>
      <c r="J548" s="598">
        <v>273.0</v>
      </c>
      <c r="K548" s="1561">
        <v>1195.0</v>
      </c>
      <c r="L548" s="1551">
        <v>45943.0</v>
      </c>
    </row>
    <row r="549">
      <c r="A549" s="1545" t="s">
        <v>644</v>
      </c>
      <c r="B549" s="1587">
        <v>27700.0</v>
      </c>
      <c r="C549" s="1547">
        <v>1862.0</v>
      </c>
      <c r="D549" s="1548">
        <v>32.7</v>
      </c>
      <c r="E549" s="1557">
        <v>18141.0</v>
      </c>
      <c r="F549" s="598">
        <v>7899.0</v>
      </c>
      <c r="G549" s="598">
        <v>93.0</v>
      </c>
      <c r="H549" s="598">
        <v>151.0</v>
      </c>
      <c r="I549" s="598">
        <v>1.0</v>
      </c>
      <c r="J549" s="598">
        <v>363.0</v>
      </c>
      <c r="K549" s="1561">
        <v>1052.0</v>
      </c>
      <c r="L549" s="1555">
        <v>40965.0</v>
      </c>
    </row>
    <row r="550">
      <c r="A550" s="1545" t="s">
        <v>175</v>
      </c>
      <c r="B550" s="1587">
        <v>67654.0</v>
      </c>
      <c r="C550" s="1547">
        <v>3287.0</v>
      </c>
      <c r="D550" s="1548">
        <v>22.2</v>
      </c>
      <c r="E550" s="1557">
        <v>60122.0</v>
      </c>
      <c r="F550" s="598">
        <v>2871.0</v>
      </c>
      <c r="G550" s="598">
        <v>208.0</v>
      </c>
      <c r="H550" s="598">
        <v>299.0</v>
      </c>
      <c r="I550" s="598">
        <v>34.0</v>
      </c>
      <c r="J550" s="598">
        <v>726.0</v>
      </c>
      <c r="K550" s="1561">
        <v>3394.0</v>
      </c>
      <c r="L550" s="1555">
        <v>43767.0</v>
      </c>
    </row>
    <row r="551">
      <c r="A551" s="1545" t="s">
        <v>530</v>
      </c>
      <c r="B551" s="1587">
        <v>96673.0</v>
      </c>
      <c r="C551" s="1547">
        <v>4078.0</v>
      </c>
      <c r="D551" s="1548">
        <v>17.9</v>
      </c>
      <c r="E551" s="1557">
        <v>69649.0</v>
      </c>
      <c r="F551" s="598">
        <v>17325.0</v>
      </c>
      <c r="G551" s="598">
        <v>290.0</v>
      </c>
      <c r="H551" s="598">
        <v>1414.0</v>
      </c>
      <c r="I551" s="598">
        <v>54.0</v>
      </c>
      <c r="J551" s="598">
        <v>2516.0</v>
      </c>
      <c r="K551" s="1561">
        <v>5425.0</v>
      </c>
      <c r="L551" s="1551">
        <v>65416.0</v>
      </c>
    </row>
    <row r="552">
      <c r="A552" s="1545" t="s">
        <v>646</v>
      </c>
      <c r="B552" s="1587">
        <v>36251.0</v>
      </c>
      <c r="C552" s="1547">
        <v>2987.0</v>
      </c>
      <c r="D552" s="1548">
        <v>35.6</v>
      </c>
      <c r="E552" s="1557">
        <v>22626.0</v>
      </c>
      <c r="F552" s="598">
        <v>10768.0</v>
      </c>
      <c r="G552" s="598">
        <v>101.0</v>
      </c>
      <c r="H552" s="598">
        <v>333.0</v>
      </c>
      <c r="I552" s="598">
        <v>18.0</v>
      </c>
      <c r="J552" s="598">
        <v>861.0</v>
      </c>
      <c r="K552" s="1561">
        <v>1544.0</v>
      </c>
      <c r="L552" s="1551">
        <v>38357.0</v>
      </c>
    </row>
    <row r="553">
      <c r="A553" s="1545" t="s">
        <v>647</v>
      </c>
      <c r="B553" s="1587">
        <v>5215.0</v>
      </c>
      <c r="C553" s="1563">
        <v>442.0</v>
      </c>
      <c r="D553" s="1548">
        <v>41.7</v>
      </c>
      <c r="E553" s="1557">
        <v>1994.0</v>
      </c>
      <c r="F553" s="598">
        <v>3053.0</v>
      </c>
      <c r="G553" s="598">
        <v>18.0</v>
      </c>
      <c r="H553" s="598">
        <v>15.0</v>
      </c>
      <c r="I553" s="598">
        <v>3.0</v>
      </c>
      <c r="J553" s="598">
        <v>14.0</v>
      </c>
      <c r="K553" s="1561">
        <v>118.0</v>
      </c>
      <c r="L553" s="1551">
        <v>38352.0</v>
      </c>
    </row>
    <row r="554">
      <c r="A554" s="1545" t="s">
        <v>119</v>
      </c>
      <c r="B554" s="1587">
        <v>19988.0</v>
      </c>
      <c r="C554" s="1547">
        <v>1709.0</v>
      </c>
      <c r="D554" s="1548">
        <v>39.6</v>
      </c>
      <c r="E554" s="1557">
        <v>8482.0</v>
      </c>
      <c r="F554" s="598">
        <v>10724.0</v>
      </c>
      <c r="G554" s="598">
        <v>43.0</v>
      </c>
      <c r="H554" s="598">
        <v>76.0</v>
      </c>
      <c r="I554" s="598">
        <v>0.0</v>
      </c>
      <c r="J554" s="598">
        <v>162.0</v>
      </c>
      <c r="K554" s="1561">
        <v>501.0</v>
      </c>
      <c r="L554" s="1551">
        <v>39444.0</v>
      </c>
    </row>
    <row r="555">
      <c r="A555" s="1545" t="s">
        <v>273</v>
      </c>
      <c r="B555" s="1587">
        <v>30144.0</v>
      </c>
      <c r="C555" s="1547">
        <v>2052.0</v>
      </c>
      <c r="D555" s="1548">
        <v>28.7</v>
      </c>
      <c r="E555" s="1557">
        <v>21859.0</v>
      </c>
      <c r="F555" s="598">
        <v>5978.0</v>
      </c>
      <c r="G555" s="598">
        <v>101.0</v>
      </c>
      <c r="H555" s="598">
        <v>174.0</v>
      </c>
      <c r="I555" s="598">
        <v>2.0</v>
      </c>
      <c r="J555" s="598">
        <v>753.0</v>
      </c>
      <c r="K555" s="1561">
        <v>1277.0</v>
      </c>
      <c r="L555" s="1551">
        <v>44607.0</v>
      </c>
    </row>
    <row r="556">
      <c r="A556" s="1545" t="s">
        <v>648</v>
      </c>
      <c r="B556" s="1587">
        <v>2348.0</v>
      </c>
      <c r="C556" s="1563">
        <v>172.0</v>
      </c>
      <c r="D556" s="1548">
        <v>34.4</v>
      </c>
      <c r="E556" s="1557">
        <v>1145.0</v>
      </c>
      <c r="F556" s="598">
        <v>1063.0</v>
      </c>
      <c r="G556" s="598">
        <v>3.0</v>
      </c>
      <c r="H556" s="598">
        <v>12.0</v>
      </c>
      <c r="I556" s="598">
        <v>6.0</v>
      </c>
      <c r="J556" s="598">
        <v>20.0</v>
      </c>
      <c r="K556" s="1561">
        <v>99.0</v>
      </c>
      <c r="L556" s="1551">
        <v>38187.0</v>
      </c>
    </row>
    <row r="557">
      <c r="A557" s="1545" t="s">
        <v>649</v>
      </c>
      <c r="B557" s="1587">
        <v>7471.0</v>
      </c>
      <c r="C557" s="1563">
        <v>486.0</v>
      </c>
      <c r="D557" s="1548">
        <v>36.7</v>
      </c>
      <c r="E557" s="1557">
        <v>4226.0</v>
      </c>
      <c r="F557" s="598">
        <v>2882.0</v>
      </c>
      <c r="G557" s="598">
        <v>28.0</v>
      </c>
      <c r="H557" s="598">
        <v>18.0</v>
      </c>
      <c r="I557" s="598">
        <v>0.0</v>
      </c>
      <c r="J557" s="598">
        <v>149.0</v>
      </c>
      <c r="K557" s="1561">
        <v>168.0</v>
      </c>
      <c r="L557" s="1551">
        <v>32691.0</v>
      </c>
    </row>
    <row r="558">
      <c r="A558" s="1545" t="s">
        <v>66</v>
      </c>
      <c r="B558" s="1587">
        <v>28003.0</v>
      </c>
      <c r="C558" s="1547">
        <v>1344.0</v>
      </c>
      <c r="D558" s="1548">
        <v>23.1</v>
      </c>
      <c r="E558" s="1557">
        <v>25261.0</v>
      </c>
      <c r="F558" s="598">
        <v>476.0</v>
      </c>
      <c r="G558" s="598">
        <v>144.0</v>
      </c>
      <c r="H558" s="598">
        <v>161.0</v>
      </c>
      <c r="I558" s="598">
        <v>0.0</v>
      </c>
      <c r="J558" s="598">
        <v>347.0</v>
      </c>
      <c r="K558" s="1561">
        <v>1614.0</v>
      </c>
      <c r="L558" s="1555">
        <v>51579.0</v>
      </c>
    </row>
    <row r="559">
      <c r="A559" s="1545" t="s">
        <v>651</v>
      </c>
      <c r="B559" s="1587">
        <v>102864.0</v>
      </c>
      <c r="C559" s="1547">
        <v>5155.0</v>
      </c>
      <c r="D559" s="1548">
        <v>19.5</v>
      </c>
      <c r="E559" s="1557">
        <v>65152.0</v>
      </c>
      <c r="F559" s="598">
        <v>3765.0</v>
      </c>
      <c r="G559" s="598">
        <v>2037.0</v>
      </c>
      <c r="H559" s="598">
        <v>1427.0</v>
      </c>
      <c r="I559" s="598">
        <v>37.0</v>
      </c>
      <c r="J559" s="598">
        <v>18244.0</v>
      </c>
      <c r="K559" s="1561">
        <v>12202.0</v>
      </c>
      <c r="L559" s="1555">
        <v>47074.0</v>
      </c>
    </row>
    <row r="560">
      <c r="A560" s="1545" t="s">
        <v>176</v>
      </c>
      <c r="B560" s="1587">
        <v>8766.0</v>
      </c>
      <c r="C560" s="1563">
        <v>578.0</v>
      </c>
      <c r="D560" s="1548">
        <v>35.3</v>
      </c>
      <c r="E560" s="1557">
        <v>5254.0</v>
      </c>
      <c r="F560" s="598">
        <v>3099.0</v>
      </c>
      <c r="G560" s="598">
        <v>3.0</v>
      </c>
      <c r="H560" s="598">
        <v>49.0</v>
      </c>
      <c r="I560" s="598">
        <v>3.0</v>
      </c>
      <c r="J560" s="598">
        <v>134.0</v>
      </c>
      <c r="K560" s="1561">
        <v>224.0</v>
      </c>
      <c r="L560" s="1555">
        <v>35961.0</v>
      </c>
    </row>
    <row r="561">
      <c r="A561" s="1545" t="s">
        <v>653</v>
      </c>
      <c r="B561" s="1587">
        <v>9565.0</v>
      </c>
      <c r="C561" s="1563">
        <v>664.0</v>
      </c>
      <c r="D561" s="1548">
        <v>32.3</v>
      </c>
      <c r="E561" s="1557">
        <v>5050.0</v>
      </c>
      <c r="F561" s="598">
        <v>3846.0</v>
      </c>
      <c r="G561" s="598">
        <v>35.0</v>
      </c>
      <c r="H561" s="598">
        <v>62.0</v>
      </c>
      <c r="I561" s="598">
        <v>1.0</v>
      </c>
      <c r="J561" s="598">
        <v>178.0</v>
      </c>
      <c r="K561" s="1561">
        <v>393.0</v>
      </c>
      <c r="L561" s="1555">
        <v>39361.0</v>
      </c>
    </row>
    <row r="562">
      <c r="A562" s="1545" t="s">
        <v>654</v>
      </c>
      <c r="B562" s="1587">
        <v>8877.0</v>
      </c>
      <c r="C562" s="1563">
        <v>795.0</v>
      </c>
      <c r="D562" s="1548">
        <v>39.3</v>
      </c>
      <c r="E562" s="1557">
        <v>5167.0</v>
      </c>
      <c r="F562" s="598">
        <v>3175.0</v>
      </c>
      <c r="G562" s="598">
        <v>30.0</v>
      </c>
      <c r="H562" s="598">
        <v>30.0</v>
      </c>
      <c r="I562" s="598">
        <v>7.0</v>
      </c>
      <c r="J562" s="598">
        <v>111.0</v>
      </c>
      <c r="K562" s="1561">
        <v>357.0</v>
      </c>
      <c r="L562" s="1615">
        <v>41036.0</v>
      </c>
    </row>
    <row r="563">
      <c r="A563" s="1528" t="s">
        <v>655</v>
      </c>
      <c r="B563" s="1595">
        <v>20784.0</v>
      </c>
      <c r="C563" s="1530">
        <v>1505.0</v>
      </c>
      <c r="D563" s="1567">
        <v>33.6</v>
      </c>
      <c r="E563" s="1532">
        <v>14529.0</v>
      </c>
      <c r="F563" s="1533">
        <v>5273.0</v>
      </c>
      <c r="G563" s="1533">
        <v>61.0</v>
      </c>
      <c r="H563" s="1533">
        <v>88.0</v>
      </c>
      <c r="I563" s="1533">
        <v>8.0</v>
      </c>
      <c r="J563" s="1533">
        <v>173.0</v>
      </c>
      <c r="K563" s="1616">
        <v>652.0</v>
      </c>
      <c r="L563" s="1617">
        <v>48708.0</v>
      </c>
    </row>
    <row r="564">
      <c r="A564" s="1538" t="s">
        <v>420</v>
      </c>
      <c r="B564" s="1600">
        <v>1455271.0</v>
      </c>
      <c r="C564" s="1540">
        <v>35184.0</v>
      </c>
      <c r="D564" s="1571">
        <v>11.8</v>
      </c>
      <c r="E564" s="1572">
        <v>333261.0</v>
      </c>
      <c r="F564" s="1542">
        <v>23417.0</v>
      </c>
      <c r="G564" s="1542">
        <v>4370.0</v>
      </c>
      <c r="H564" s="1542">
        <v>541902.0</v>
      </c>
      <c r="I564" s="1542">
        <v>157445.0</v>
      </c>
      <c r="J564" s="1542">
        <v>26747.0</v>
      </c>
      <c r="K564" s="1543">
        <v>368129.0</v>
      </c>
      <c r="L564" s="1614">
        <v>80527.0</v>
      </c>
    </row>
    <row r="565">
      <c r="A565" s="1545" t="s">
        <v>45</v>
      </c>
      <c r="B565" s="1586">
        <v>200629.0</v>
      </c>
      <c r="C565" s="1547">
        <v>9591.0</v>
      </c>
      <c r="D565" s="1548">
        <v>22.5</v>
      </c>
      <c r="E565" s="1557">
        <v>67365.0</v>
      </c>
      <c r="F565" s="598">
        <v>1251.0</v>
      </c>
      <c r="G565" s="598">
        <v>1027.0</v>
      </c>
      <c r="H565" s="598">
        <v>39607.0</v>
      </c>
      <c r="I565" s="598">
        <v>28096.0</v>
      </c>
      <c r="J565" s="598">
        <v>4038.0</v>
      </c>
      <c r="K565" s="1561">
        <v>59245.0</v>
      </c>
      <c r="L565" s="1555">
        <v>56383.0</v>
      </c>
    </row>
    <row r="566">
      <c r="A566" s="1545" t="s">
        <v>419</v>
      </c>
      <c r="B566" s="1587">
        <v>1016508.0</v>
      </c>
      <c r="C566" s="1547">
        <v>20035.0</v>
      </c>
      <c r="D566" s="1548">
        <v>9.8</v>
      </c>
      <c r="E566" s="1557">
        <v>188462.0</v>
      </c>
      <c r="F566" s="598">
        <v>20723.0</v>
      </c>
      <c r="G566" s="598">
        <v>2278.0</v>
      </c>
      <c r="H566" s="598">
        <v>436853.0</v>
      </c>
      <c r="I566" s="598">
        <v>102099.0</v>
      </c>
      <c r="J566" s="598">
        <v>17407.0</v>
      </c>
      <c r="K566" s="1561">
        <v>248686.0</v>
      </c>
      <c r="L566" s="1551">
        <v>83695.0</v>
      </c>
    </row>
    <row r="567">
      <c r="A567" s="1545" t="s">
        <v>657</v>
      </c>
      <c r="B567" s="1621">
        <v>82.0</v>
      </c>
      <c r="C567" s="1563" t="s">
        <v>63</v>
      </c>
      <c r="D567" s="1548" t="s">
        <v>63</v>
      </c>
      <c r="E567" s="1557">
        <v>27.0</v>
      </c>
      <c r="F567" s="598">
        <v>2.0</v>
      </c>
      <c r="G567" s="598">
        <v>0.0</v>
      </c>
      <c r="H567" s="598">
        <v>12.0</v>
      </c>
      <c r="I567" s="598">
        <v>15.0</v>
      </c>
      <c r="J567" s="598">
        <v>4.0</v>
      </c>
      <c r="K567" s="1561">
        <v>22.0</v>
      </c>
      <c r="L567" s="1622" t="s">
        <v>63</v>
      </c>
    </row>
    <row r="568">
      <c r="A568" s="1545" t="s">
        <v>658</v>
      </c>
      <c r="B568" s="1587">
        <v>73298.0</v>
      </c>
      <c r="C568" s="1547">
        <v>1836.0</v>
      </c>
      <c r="D568" s="1548">
        <v>11.9</v>
      </c>
      <c r="E568" s="1557">
        <v>23204.0</v>
      </c>
      <c r="F568" s="598">
        <v>376.0</v>
      </c>
      <c r="G568" s="598">
        <v>287.0</v>
      </c>
      <c r="H568" s="598">
        <v>21102.0</v>
      </c>
      <c r="I568" s="598">
        <v>7227.0</v>
      </c>
      <c r="J568" s="598">
        <v>1094.0</v>
      </c>
      <c r="K568" s="1561">
        <v>20008.0</v>
      </c>
      <c r="L568" s="1615">
        <v>73981.0</v>
      </c>
    </row>
    <row r="569">
      <c r="A569" s="1528" t="s">
        <v>659</v>
      </c>
      <c r="B569" s="1595">
        <v>164754.0</v>
      </c>
      <c r="C569" s="1530">
        <v>3721.0</v>
      </c>
      <c r="D569" s="1567">
        <v>10.5</v>
      </c>
      <c r="E569" s="1532">
        <v>54203.0</v>
      </c>
      <c r="F569" s="1533">
        <v>1065.0</v>
      </c>
      <c r="G569" s="1533">
        <v>778.0</v>
      </c>
      <c r="H569" s="1533">
        <v>44328.0</v>
      </c>
      <c r="I569" s="1533">
        <v>20008.0</v>
      </c>
      <c r="J569" s="1533">
        <v>4204.0</v>
      </c>
      <c r="K569" s="1616">
        <v>40168.0</v>
      </c>
      <c r="L569" s="1623">
        <v>78503.0</v>
      </c>
    </row>
    <row r="570">
      <c r="A570" s="1538" t="s">
        <v>660</v>
      </c>
      <c r="B570" s="1596">
        <v>1839106.0</v>
      </c>
      <c r="C570" s="1540">
        <v>62392.0</v>
      </c>
      <c r="D570" s="1571">
        <v>14.2</v>
      </c>
      <c r="E570" s="1572">
        <v>1510360.0</v>
      </c>
      <c r="F570" s="1542">
        <v>15726.0</v>
      </c>
      <c r="G570" s="1542">
        <v>25621.0</v>
      </c>
      <c r="H570" s="1542">
        <v>26836.0</v>
      </c>
      <c r="I570" s="1542">
        <v>3726.0</v>
      </c>
      <c r="J570" s="1542">
        <v>103632.0</v>
      </c>
      <c r="K570" s="1543">
        <v>153205.0</v>
      </c>
      <c r="L570" s="1614">
        <v>55524.0</v>
      </c>
    </row>
    <row r="571">
      <c r="A571" s="1545" t="s">
        <v>661</v>
      </c>
      <c r="B571" s="1586">
        <v>494967.0</v>
      </c>
      <c r="C571" s="1547">
        <v>11261.0</v>
      </c>
      <c r="D571" s="1548">
        <v>10.2</v>
      </c>
      <c r="E571" s="1549">
        <v>410263.0</v>
      </c>
      <c r="F571" s="1593">
        <v>8058.0</v>
      </c>
      <c r="G571" s="1593">
        <v>3274.0</v>
      </c>
      <c r="H571" s="1593">
        <v>13929.0</v>
      </c>
      <c r="I571" s="1593">
        <v>1318.0</v>
      </c>
      <c r="J571" s="1593">
        <v>16268.0</v>
      </c>
      <c r="K571" s="1594">
        <v>41857.0</v>
      </c>
      <c r="L571" s="1551">
        <v>66827.0</v>
      </c>
    </row>
    <row r="572">
      <c r="A572" s="1545" t="s">
        <v>386</v>
      </c>
      <c r="B572" s="1587">
        <v>4379.0</v>
      </c>
      <c r="C572" s="1563">
        <v>177.0</v>
      </c>
      <c r="D572" s="1548">
        <v>24.1</v>
      </c>
      <c r="E572" s="1549">
        <v>4060.0</v>
      </c>
      <c r="F572" s="1593">
        <v>3.0</v>
      </c>
      <c r="G572" s="1593">
        <v>38.0</v>
      </c>
      <c r="H572" s="1593">
        <v>11.0</v>
      </c>
      <c r="I572" s="1593">
        <v>0.0</v>
      </c>
      <c r="J572" s="1593">
        <v>47.0</v>
      </c>
      <c r="K572" s="1594">
        <v>220.0</v>
      </c>
      <c r="L572" s="1555">
        <v>45311.0</v>
      </c>
    </row>
    <row r="573">
      <c r="A573" s="1545" t="s">
        <v>662</v>
      </c>
      <c r="B573" s="1587">
        <v>87018.0</v>
      </c>
      <c r="C573" s="1547">
        <v>3506.0</v>
      </c>
      <c r="D573" s="1548">
        <v>15.5</v>
      </c>
      <c r="E573" s="1557">
        <v>72902.0</v>
      </c>
      <c r="F573" s="598">
        <v>748.0</v>
      </c>
      <c r="G573" s="598">
        <v>3104.0</v>
      </c>
      <c r="H573" s="598">
        <v>1197.0</v>
      </c>
      <c r="I573" s="598">
        <v>268.0</v>
      </c>
      <c r="J573" s="598">
        <v>2792.0</v>
      </c>
      <c r="K573" s="1561">
        <v>6007.0</v>
      </c>
      <c r="L573" s="1551">
        <v>51300.0</v>
      </c>
    </row>
    <row r="574">
      <c r="A574" s="1545" t="s">
        <v>663</v>
      </c>
      <c r="B574" s="1587">
        <v>6372.0</v>
      </c>
      <c r="C574" s="1563">
        <v>232.0</v>
      </c>
      <c r="D574" s="1548">
        <v>14.4</v>
      </c>
      <c r="E574" s="1557">
        <v>6036.0</v>
      </c>
      <c r="F574" s="598">
        <v>10.0</v>
      </c>
      <c r="G574" s="598">
        <v>32.0</v>
      </c>
      <c r="H574" s="598">
        <v>13.0</v>
      </c>
      <c r="I574" s="598">
        <v>2.0</v>
      </c>
      <c r="J574" s="598">
        <v>44.0</v>
      </c>
      <c r="K574" s="1561">
        <v>235.0</v>
      </c>
      <c r="L574" s="1551">
        <v>53780.0</v>
      </c>
    </row>
    <row r="575">
      <c r="A575" s="1545" t="s">
        <v>664</v>
      </c>
      <c r="B575" s="1587">
        <v>9530.0</v>
      </c>
      <c r="C575" s="1563">
        <v>468.0</v>
      </c>
      <c r="D575" s="1548">
        <v>22.8</v>
      </c>
      <c r="E575" s="1557">
        <v>7853.0</v>
      </c>
      <c r="F575" s="598">
        <v>8.0</v>
      </c>
      <c r="G575" s="598">
        <v>828.0</v>
      </c>
      <c r="H575" s="598">
        <v>35.0</v>
      </c>
      <c r="I575" s="598">
        <v>15.0</v>
      </c>
      <c r="J575" s="598">
        <v>111.0</v>
      </c>
      <c r="K575" s="1561">
        <v>680.0</v>
      </c>
      <c r="L575" s="1551">
        <v>48451.0</v>
      </c>
    </row>
    <row r="576">
      <c r="A576" s="1545" t="s">
        <v>665</v>
      </c>
      <c r="B576" s="1587">
        <v>47992.0</v>
      </c>
      <c r="C576" s="1547">
        <v>2243.0</v>
      </c>
      <c r="D576" s="1548">
        <v>15.9</v>
      </c>
      <c r="E576" s="1557">
        <v>36630.0</v>
      </c>
      <c r="F576" s="598">
        <v>126.0</v>
      </c>
      <c r="G576" s="598">
        <v>3340.0</v>
      </c>
      <c r="H576" s="598">
        <v>200.0</v>
      </c>
      <c r="I576" s="598">
        <v>39.0</v>
      </c>
      <c r="J576" s="598">
        <v>4172.0</v>
      </c>
      <c r="K576" s="1561">
        <v>3485.0</v>
      </c>
      <c r="L576" s="1551">
        <v>50941.0</v>
      </c>
    </row>
    <row r="577">
      <c r="A577" s="1545" t="s">
        <v>666</v>
      </c>
      <c r="B577" s="1587">
        <v>24272.0</v>
      </c>
      <c r="C577" s="1563">
        <v>401.0</v>
      </c>
      <c r="D577" s="1548">
        <v>8.1</v>
      </c>
      <c r="E577" s="1557">
        <v>18677.0</v>
      </c>
      <c r="F577" s="598">
        <v>50.0</v>
      </c>
      <c r="G577" s="598">
        <v>144.0</v>
      </c>
      <c r="H577" s="598">
        <v>212.0</v>
      </c>
      <c r="I577" s="598">
        <v>16.0</v>
      </c>
      <c r="J577" s="598">
        <v>2952.0</v>
      </c>
      <c r="K577" s="1561">
        <v>2221.0</v>
      </c>
      <c r="L577" s="1551">
        <v>76113.0</v>
      </c>
    </row>
    <row r="578">
      <c r="A578" s="1545" t="s">
        <v>667</v>
      </c>
      <c r="B578" s="1587">
        <v>7610.0</v>
      </c>
      <c r="C578" s="1563">
        <v>241.0</v>
      </c>
      <c r="D578" s="1548">
        <v>19.4</v>
      </c>
      <c r="E578" s="1557">
        <v>6844.0</v>
      </c>
      <c r="F578" s="598">
        <v>26.0</v>
      </c>
      <c r="G578" s="598">
        <v>66.0</v>
      </c>
      <c r="H578" s="598">
        <v>37.0</v>
      </c>
      <c r="I578" s="598">
        <v>7.0</v>
      </c>
      <c r="J578" s="598">
        <v>145.0</v>
      </c>
      <c r="K578" s="1561">
        <v>485.0</v>
      </c>
      <c r="L578" s="1551">
        <v>56837.0</v>
      </c>
    </row>
    <row r="579">
      <c r="A579" s="1545" t="s">
        <v>668</v>
      </c>
      <c r="B579" s="1587">
        <v>47110.0</v>
      </c>
      <c r="C579" s="1547">
        <v>1529.0</v>
      </c>
      <c r="D579" s="1548">
        <v>17.7</v>
      </c>
      <c r="E579" s="1557">
        <v>42939.0</v>
      </c>
      <c r="F579" s="598">
        <v>118.0</v>
      </c>
      <c r="G579" s="598">
        <v>346.0</v>
      </c>
      <c r="H579" s="598">
        <v>255.0</v>
      </c>
      <c r="I579" s="598">
        <v>42.0</v>
      </c>
      <c r="J579" s="598">
        <v>532.0</v>
      </c>
      <c r="K579" s="1561">
        <v>2878.0</v>
      </c>
      <c r="L579" s="1555">
        <v>51373.0</v>
      </c>
    </row>
    <row r="580">
      <c r="A580" s="1545" t="s">
        <v>669</v>
      </c>
      <c r="B580" s="1587">
        <v>123964.0</v>
      </c>
      <c r="C580" s="1547">
        <v>4687.0</v>
      </c>
      <c r="D580" s="1548">
        <v>13.2</v>
      </c>
      <c r="E580" s="1557">
        <v>103736.0</v>
      </c>
      <c r="F580" s="598">
        <v>626.0</v>
      </c>
      <c r="G580" s="598">
        <v>1261.0</v>
      </c>
      <c r="H580" s="598">
        <v>1423.0</v>
      </c>
      <c r="I580" s="598">
        <v>154.0</v>
      </c>
      <c r="J580" s="598">
        <v>7890.0</v>
      </c>
      <c r="K580" s="1561">
        <v>8874.0</v>
      </c>
      <c r="L580" s="1551">
        <v>60444.0</v>
      </c>
    </row>
    <row r="581">
      <c r="A581" s="1545" t="s">
        <v>670</v>
      </c>
      <c r="B581" s="1587">
        <v>12056.0</v>
      </c>
      <c r="C581" s="1563">
        <v>608.0</v>
      </c>
      <c r="D581" s="1548">
        <v>22.3</v>
      </c>
      <c r="E581" s="1557">
        <v>10715.0</v>
      </c>
      <c r="F581" s="598">
        <v>27.0</v>
      </c>
      <c r="G581" s="598">
        <v>169.0</v>
      </c>
      <c r="H581" s="598">
        <v>75.0</v>
      </c>
      <c r="I581" s="598">
        <v>9.0</v>
      </c>
      <c r="J581" s="598">
        <v>299.0</v>
      </c>
      <c r="K581" s="1561">
        <v>762.0</v>
      </c>
      <c r="L581" s="1551">
        <v>47118.0</v>
      </c>
    </row>
    <row r="582">
      <c r="A582" s="1545" t="s">
        <v>324</v>
      </c>
      <c r="B582" s="1587">
        <v>2574.0</v>
      </c>
      <c r="C582" s="1563">
        <v>114.0</v>
      </c>
      <c r="D582" s="1548">
        <v>18.2</v>
      </c>
      <c r="E582" s="1557">
        <v>2372.0</v>
      </c>
      <c r="F582" s="598">
        <v>2.0</v>
      </c>
      <c r="G582" s="598">
        <v>18.0</v>
      </c>
      <c r="H582" s="598">
        <v>3.0</v>
      </c>
      <c r="I582" s="598">
        <v>3.0</v>
      </c>
      <c r="J582" s="598">
        <v>33.0</v>
      </c>
      <c r="K582" s="1561">
        <v>143.0</v>
      </c>
      <c r="L582" s="1551">
        <v>50050.0</v>
      </c>
    </row>
    <row r="583">
      <c r="A583" s="1545" t="s">
        <v>671</v>
      </c>
      <c r="B583" s="1587">
        <v>1077.0</v>
      </c>
      <c r="C583" s="1563">
        <v>40.0</v>
      </c>
      <c r="D583" s="1548">
        <v>15.2</v>
      </c>
      <c r="E583" s="1557">
        <v>948.0</v>
      </c>
      <c r="F583" s="598">
        <v>2.0</v>
      </c>
      <c r="G583" s="598">
        <v>1.0</v>
      </c>
      <c r="H583" s="598">
        <v>9.0</v>
      </c>
      <c r="I583" s="598">
        <v>0.0</v>
      </c>
      <c r="J583" s="598">
        <v>18.0</v>
      </c>
      <c r="K583" s="1561">
        <v>99.0</v>
      </c>
      <c r="L583" s="1555">
        <v>53866.0</v>
      </c>
    </row>
    <row r="584">
      <c r="A584" s="1545" t="s">
        <v>672</v>
      </c>
      <c r="B584" s="1587">
        <v>231105.0</v>
      </c>
      <c r="C584" s="1547">
        <v>9517.0</v>
      </c>
      <c r="D584" s="1548">
        <v>15.2</v>
      </c>
      <c r="E584" s="1557">
        <v>169392.0</v>
      </c>
      <c r="F584" s="598">
        <v>1629.0</v>
      </c>
      <c r="G584" s="598">
        <v>2670.0</v>
      </c>
      <c r="H584" s="598">
        <v>2119.0</v>
      </c>
      <c r="I584" s="598">
        <v>699.0</v>
      </c>
      <c r="J584" s="598">
        <v>26368.0</v>
      </c>
      <c r="K584" s="1561">
        <v>28228.0</v>
      </c>
      <c r="L584" s="1551">
        <v>53381.0</v>
      </c>
    </row>
    <row r="585">
      <c r="A585" s="1545" t="s">
        <v>673</v>
      </c>
      <c r="B585" s="1587">
        <v>7027.0</v>
      </c>
      <c r="C585" s="1563">
        <v>230.0</v>
      </c>
      <c r="D585" s="1548">
        <v>11.5</v>
      </c>
      <c r="E585" s="1557">
        <v>6504.0</v>
      </c>
      <c r="F585" s="598">
        <v>1.0</v>
      </c>
      <c r="G585" s="598">
        <v>50.0</v>
      </c>
      <c r="H585" s="598">
        <v>13.0</v>
      </c>
      <c r="I585" s="598">
        <v>15.0</v>
      </c>
      <c r="J585" s="598">
        <v>154.0</v>
      </c>
      <c r="K585" s="1561">
        <v>290.0</v>
      </c>
      <c r="L585" s="1551">
        <v>61219.0</v>
      </c>
    </row>
    <row r="586">
      <c r="A586" s="1545" t="s">
        <v>674</v>
      </c>
      <c r="B586" s="1587">
        <v>24655.0</v>
      </c>
      <c r="C586" s="1547">
        <v>1277.0</v>
      </c>
      <c r="D586" s="1548">
        <v>17.1</v>
      </c>
      <c r="E586" s="1557">
        <v>17797.0</v>
      </c>
      <c r="F586" s="598">
        <v>68.0</v>
      </c>
      <c r="G586" s="598">
        <v>256.0</v>
      </c>
      <c r="H586" s="598">
        <v>134.0</v>
      </c>
      <c r="I586" s="598">
        <v>30.0</v>
      </c>
      <c r="J586" s="598">
        <v>4263.0</v>
      </c>
      <c r="K586" s="1561">
        <v>2107.0</v>
      </c>
      <c r="L586" s="1551">
        <v>51804.0</v>
      </c>
    </row>
    <row r="587">
      <c r="A587" s="1545" t="s">
        <v>253</v>
      </c>
      <c r="B587" s="1621">
        <v>790.0</v>
      </c>
      <c r="C587" s="1563">
        <v>41.0</v>
      </c>
      <c r="D587" s="1548">
        <v>20.8</v>
      </c>
      <c r="E587" s="1557">
        <v>498.0</v>
      </c>
      <c r="F587" s="598">
        <v>10.0</v>
      </c>
      <c r="G587" s="598">
        <v>2.0</v>
      </c>
      <c r="H587" s="598">
        <v>1.0</v>
      </c>
      <c r="I587" s="598">
        <v>0.0</v>
      </c>
      <c r="J587" s="598">
        <v>175.0</v>
      </c>
      <c r="K587" s="1561">
        <v>104.0</v>
      </c>
      <c r="L587" s="1551">
        <v>48471.0</v>
      </c>
    </row>
    <row r="588">
      <c r="A588" s="1545" t="s">
        <v>675</v>
      </c>
      <c r="B588" s="1587">
        <v>8734.0</v>
      </c>
      <c r="C588" s="1563">
        <v>314.0</v>
      </c>
      <c r="D588" s="1548">
        <v>23.2</v>
      </c>
      <c r="E588" s="1557">
        <v>7964.0</v>
      </c>
      <c r="F588" s="598">
        <v>40.0</v>
      </c>
      <c r="G588" s="598">
        <v>149.0</v>
      </c>
      <c r="H588" s="598">
        <v>48.0</v>
      </c>
      <c r="I588" s="598">
        <v>2.0</v>
      </c>
      <c r="J588" s="598">
        <v>118.0</v>
      </c>
      <c r="K588" s="1561">
        <v>413.0</v>
      </c>
      <c r="L588" s="1551">
        <v>46417.0</v>
      </c>
    </row>
    <row r="589">
      <c r="A589" s="1545" t="s">
        <v>406</v>
      </c>
      <c r="B589" s="1587">
        <v>4275.0</v>
      </c>
      <c r="C589" s="1563">
        <v>170.0</v>
      </c>
      <c r="D589" s="1548">
        <v>23.2</v>
      </c>
      <c r="E589" s="1557">
        <v>3942.0</v>
      </c>
      <c r="F589" s="598">
        <v>5.0</v>
      </c>
      <c r="G589" s="598">
        <v>35.0</v>
      </c>
      <c r="H589" s="598">
        <v>17.0</v>
      </c>
      <c r="I589" s="598">
        <v>2.0</v>
      </c>
      <c r="J589" s="598">
        <v>58.0</v>
      </c>
      <c r="K589" s="1561">
        <v>216.0</v>
      </c>
      <c r="L589" s="1551">
        <v>47682.0</v>
      </c>
    </row>
    <row r="590">
      <c r="A590" s="1545" t="s">
        <v>132</v>
      </c>
      <c r="B590" s="1587">
        <v>28666.0</v>
      </c>
      <c r="C590" s="1547">
        <v>1373.0</v>
      </c>
      <c r="D590" s="1548">
        <v>20.1</v>
      </c>
      <c r="E590" s="1557">
        <v>21488.0</v>
      </c>
      <c r="F590" s="598">
        <v>757.0</v>
      </c>
      <c r="G590" s="598">
        <v>358.0</v>
      </c>
      <c r="H590" s="598">
        <v>800.0</v>
      </c>
      <c r="I590" s="598">
        <v>109.0</v>
      </c>
      <c r="J590" s="598">
        <v>2139.0</v>
      </c>
      <c r="K590" s="1561">
        <v>3015.0</v>
      </c>
      <c r="L590" s="1551">
        <v>49344.0</v>
      </c>
    </row>
    <row r="591">
      <c r="A591" s="1545" t="s">
        <v>136</v>
      </c>
      <c r="B591" s="1587">
        <v>14194.0</v>
      </c>
      <c r="C591" s="1563">
        <v>521.0</v>
      </c>
      <c r="D591" s="1548">
        <v>12.0</v>
      </c>
      <c r="E591" s="1557">
        <v>12908.0</v>
      </c>
      <c r="F591" s="598">
        <v>26.0</v>
      </c>
      <c r="G591" s="598">
        <v>103.0</v>
      </c>
      <c r="H591" s="598">
        <v>30.0</v>
      </c>
      <c r="I591" s="598">
        <v>7.0</v>
      </c>
      <c r="J591" s="598">
        <v>453.0</v>
      </c>
      <c r="K591" s="1561">
        <v>667.0</v>
      </c>
      <c r="L591" s="1551">
        <v>58170.0</v>
      </c>
    </row>
    <row r="592">
      <c r="A592" s="1545" t="s">
        <v>416</v>
      </c>
      <c r="B592" s="1587">
        <v>13388.0</v>
      </c>
      <c r="C592" s="1563">
        <v>722.0</v>
      </c>
      <c r="D592" s="1548">
        <v>22.2</v>
      </c>
      <c r="E592" s="1557">
        <v>11563.0</v>
      </c>
      <c r="F592" s="598">
        <v>21.0</v>
      </c>
      <c r="G592" s="598">
        <v>94.0</v>
      </c>
      <c r="H592" s="598">
        <v>46.0</v>
      </c>
      <c r="I592" s="598">
        <v>25.0</v>
      </c>
      <c r="J592" s="598">
        <v>980.0</v>
      </c>
      <c r="K592" s="1561">
        <v>659.0</v>
      </c>
      <c r="L592" s="1551">
        <v>51155.0</v>
      </c>
    </row>
    <row r="593">
      <c r="A593" s="1545" t="s">
        <v>676</v>
      </c>
      <c r="B593" s="1587">
        <v>19123.0</v>
      </c>
      <c r="C593" s="1563">
        <v>797.0</v>
      </c>
      <c r="D593" s="1548">
        <v>20.1</v>
      </c>
      <c r="E593" s="1557">
        <v>16623.0</v>
      </c>
      <c r="F593" s="598">
        <v>30.0</v>
      </c>
      <c r="G593" s="598">
        <v>155.0</v>
      </c>
      <c r="H593" s="598">
        <v>99.0</v>
      </c>
      <c r="I593" s="598">
        <v>27.0</v>
      </c>
      <c r="J593" s="598">
        <v>757.0</v>
      </c>
      <c r="K593" s="1561">
        <v>1432.0</v>
      </c>
      <c r="L593" s="1551">
        <v>49857.0</v>
      </c>
    </row>
    <row r="594">
      <c r="A594" s="1545" t="s">
        <v>677</v>
      </c>
      <c r="B594" s="1587">
        <v>15598.0</v>
      </c>
      <c r="C594" s="1563">
        <v>808.0</v>
      </c>
      <c r="D594" s="1548">
        <v>19.6</v>
      </c>
      <c r="E594" s="1557">
        <v>11227.0</v>
      </c>
      <c r="F594" s="598">
        <v>29.0</v>
      </c>
      <c r="G594" s="598">
        <v>165.0</v>
      </c>
      <c r="H594" s="598">
        <v>44.0</v>
      </c>
      <c r="I594" s="598">
        <v>7.0</v>
      </c>
      <c r="J594" s="598">
        <v>2296.0</v>
      </c>
      <c r="K594" s="1561">
        <v>1830.0</v>
      </c>
      <c r="L594" s="1551">
        <v>51302.0</v>
      </c>
    </row>
    <row r="595">
      <c r="A595" s="1545" t="s">
        <v>47</v>
      </c>
      <c r="B595" s="1587">
        <v>16541.0</v>
      </c>
      <c r="C595" s="1563">
        <v>696.0</v>
      </c>
      <c r="D595" s="1548">
        <v>21.7</v>
      </c>
      <c r="E595" s="1557">
        <v>14819.0</v>
      </c>
      <c r="F595" s="598">
        <v>58.0</v>
      </c>
      <c r="G595" s="598">
        <v>441.0</v>
      </c>
      <c r="H595" s="598">
        <v>61.0</v>
      </c>
      <c r="I595" s="598">
        <v>5.0</v>
      </c>
      <c r="J595" s="598">
        <v>253.0</v>
      </c>
      <c r="K595" s="1561">
        <v>904.0</v>
      </c>
      <c r="L595" s="1551">
        <v>40569.0</v>
      </c>
    </row>
    <row r="596">
      <c r="A596" s="1545" t="s">
        <v>143</v>
      </c>
      <c r="B596" s="1587">
        <v>30891.0</v>
      </c>
      <c r="C596" s="1547">
        <v>1103.0</v>
      </c>
      <c r="D596" s="1548">
        <v>11.0</v>
      </c>
      <c r="E596" s="1557">
        <v>27092.0</v>
      </c>
      <c r="F596" s="598">
        <v>86.0</v>
      </c>
      <c r="G596" s="598">
        <v>204.0</v>
      </c>
      <c r="H596" s="598">
        <v>124.0</v>
      </c>
      <c r="I596" s="598">
        <v>34.0</v>
      </c>
      <c r="J596" s="598">
        <v>1732.0</v>
      </c>
      <c r="K596" s="1561">
        <v>1619.0</v>
      </c>
      <c r="L596" s="1551">
        <v>61927.0</v>
      </c>
    </row>
    <row r="597">
      <c r="A597" s="1545" t="s">
        <v>678</v>
      </c>
      <c r="B597" s="1587">
        <v>24237.0</v>
      </c>
      <c r="C597" s="1547">
        <v>1268.0</v>
      </c>
      <c r="D597" s="1548">
        <v>17.5</v>
      </c>
      <c r="E597" s="1557">
        <v>16412.0</v>
      </c>
      <c r="F597" s="598">
        <v>48.0</v>
      </c>
      <c r="G597" s="598">
        <v>440.0</v>
      </c>
      <c r="H597" s="598">
        <v>97.0</v>
      </c>
      <c r="I597" s="598">
        <v>22.0</v>
      </c>
      <c r="J597" s="598">
        <v>3923.0</v>
      </c>
      <c r="K597" s="1561">
        <v>3295.0</v>
      </c>
      <c r="L597" s="1555">
        <v>54020.0</v>
      </c>
    </row>
    <row r="598">
      <c r="A598" s="1545" t="s">
        <v>679</v>
      </c>
      <c r="B598" s="1587">
        <v>171362.0</v>
      </c>
      <c r="C598" s="1547">
        <v>4548.0</v>
      </c>
      <c r="D598" s="1548">
        <v>12.6</v>
      </c>
      <c r="E598" s="1557">
        <v>152438.0</v>
      </c>
      <c r="F598" s="598">
        <v>522.0</v>
      </c>
      <c r="G598" s="598">
        <v>1925.0</v>
      </c>
      <c r="H598" s="598">
        <v>1420.0</v>
      </c>
      <c r="I598" s="598">
        <v>216.0</v>
      </c>
      <c r="J598" s="598">
        <v>2318.0</v>
      </c>
      <c r="K598" s="1561">
        <v>12523.0</v>
      </c>
      <c r="L598" s="1551">
        <v>56188.0</v>
      </c>
    </row>
    <row r="599">
      <c r="A599" s="1545" t="s">
        <v>680</v>
      </c>
      <c r="B599" s="1587">
        <v>39517.0</v>
      </c>
      <c r="C599" s="1563">
        <v>769.0</v>
      </c>
      <c r="D599" s="1548">
        <v>10.2</v>
      </c>
      <c r="E599" s="1557">
        <v>34294.0</v>
      </c>
      <c r="F599" s="598">
        <v>332.0</v>
      </c>
      <c r="G599" s="598">
        <v>315.0</v>
      </c>
      <c r="H599" s="598">
        <v>981.0</v>
      </c>
      <c r="I599" s="598">
        <v>60.0</v>
      </c>
      <c r="J599" s="598">
        <v>655.0</v>
      </c>
      <c r="K599" s="1561">
        <v>2880.0</v>
      </c>
      <c r="L599" s="1551">
        <v>49538.0</v>
      </c>
    </row>
    <row r="600">
      <c r="A600" s="1545" t="s">
        <v>681</v>
      </c>
      <c r="B600" s="1587">
        <v>7974.0</v>
      </c>
      <c r="C600" s="1563">
        <v>337.0</v>
      </c>
      <c r="D600" s="1548">
        <v>22.9</v>
      </c>
      <c r="E600" s="1557">
        <v>7386.0</v>
      </c>
      <c r="F600" s="598">
        <v>19.0</v>
      </c>
      <c r="G600" s="598">
        <v>56.0</v>
      </c>
      <c r="H600" s="598">
        <v>37.0</v>
      </c>
      <c r="I600" s="598">
        <v>6.0</v>
      </c>
      <c r="J600" s="598">
        <v>94.0</v>
      </c>
      <c r="K600" s="1561">
        <v>376.0</v>
      </c>
      <c r="L600" s="1551">
        <v>44248.0</v>
      </c>
    </row>
    <row r="601">
      <c r="A601" s="1545" t="s">
        <v>682</v>
      </c>
      <c r="B601" s="1587">
        <v>3533.0</v>
      </c>
      <c r="C601" s="1563">
        <v>200.0</v>
      </c>
      <c r="D601" s="1548">
        <v>23.3</v>
      </c>
      <c r="E601" s="1557">
        <v>3085.0</v>
      </c>
      <c r="F601" s="598">
        <v>6.0</v>
      </c>
      <c r="G601" s="598">
        <v>184.0</v>
      </c>
      <c r="H601" s="598">
        <v>10.0</v>
      </c>
      <c r="I601" s="598">
        <v>1.0</v>
      </c>
      <c r="J601" s="598">
        <v>42.0</v>
      </c>
      <c r="K601" s="1561">
        <v>205.0</v>
      </c>
      <c r="L601" s="1551">
        <v>44911.0</v>
      </c>
    </row>
    <row r="602">
      <c r="A602" s="1545" t="s">
        <v>290</v>
      </c>
      <c r="B602" s="1587">
        <v>5127.0</v>
      </c>
      <c r="C602" s="1563">
        <v>308.0</v>
      </c>
      <c r="D602" s="1548">
        <v>20.2</v>
      </c>
      <c r="E602" s="1557">
        <v>3594.0</v>
      </c>
      <c r="F602" s="598">
        <v>6.0</v>
      </c>
      <c r="G602" s="598">
        <v>77.0</v>
      </c>
      <c r="H602" s="598">
        <v>10.0</v>
      </c>
      <c r="I602" s="598">
        <v>4.0</v>
      </c>
      <c r="J602" s="598">
        <v>807.0</v>
      </c>
      <c r="K602" s="1561">
        <v>629.0</v>
      </c>
      <c r="L602" s="1551">
        <v>50464.0</v>
      </c>
    </row>
    <row r="603">
      <c r="A603" s="1545" t="s">
        <v>151</v>
      </c>
      <c r="B603" s="1587">
        <v>52913.0</v>
      </c>
      <c r="C603" s="1547">
        <v>1726.0</v>
      </c>
      <c r="D603" s="1548">
        <v>16.4</v>
      </c>
      <c r="E603" s="1557">
        <v>45273.0</v>
      </c>
      <c r="F603" s="598">
        <v>736.0</v>
      </c>
      <c r="G603" s="598">
        <v>244.0</v>
      </c>
      <c r="H603" s="598">
        <v>959.0</v>
      </c>
      <c r="I603" s="598">
        <v>231.0</v>
      </c>
      <c r="J603" s="598">
        <v>2533.0</v>
      </c>
      <c r="K603" s="1561">
        <v>2937.0</v>
      </c>
      <c r="L603" s="1551">
        <v>41827.0</v>
      </c>
    </row>
    <row r="604">
      <c r="A604" s="1545" t="s">
        <v>683</v>
      </c>
      <c r="B604" s="1587">
        <v>21613.0</v>
      </c>
      <c r="C604" s="1563">
        <v>931.0</v>
      </c>
      <c r="D604" s="1548">
        <v>15.9</v>
      </c>
      <c r="E604" s="1557">
        <v>14591.0</v>
      </c>
      <c r="F604" s="598">
        <v>39.0</v>
      </c>
      <c r="G604" s="598">
        <v>282.0</v>
      </c>
      <c r="H604" s="598">
        <v>63.0</v>
      </c>
      <c r="I604" s="598">
        <v>20.0</v>
      </c>
      <c r="J604" s="598">
        <v>4118.0</v>
      </c>
      <c r="K604" s="1561">
        <v>2500.0</v>
      </c>
      <c r="L604" s="1551">
        <v>53447.0</v>
      </c>
    </row>
    <row r="605">
      <c r="A605" s="1545" t="s">
        <v>684</v>
      </c>
      <c r="B605" s="1587">
        <v>42090.0</v>
      </c>
      <c r="C605" s="1547">
        <v>1252.0</v>
      </c>
      <c r="D605" s="1548">
        <v>15.1</v>
      </c>
      <c r="E605" s="1557">
        <v>36104.0</v>
      </c>
      <c r="F605" s="598">
        <v>193.0</v>
      </c>
      <c r="G605" s="598">
        <v>2445.0</v>
      </c>
      <c r="H605" s="598">
        <v>334.0</v>
      </c>
      <c r="I605" s="598">
        <v>33.0</v>
      </c>
      <c r="J605" s="598">
        <v>411.0</v>
      </c>
      <c r="K605" s="1561">
        <v>2570.0</v>
      </c>
      <c r="L605" s="1551">
        <v>54476.0</v>
      </c>
    </row>
    <row r="606">
      <c r="A606" s="1545" t="s">
        <v>685</v>
      </c>
      <c r="B606" s="1587">
        <v>4564.0</v>
      </c>
      <c r="C606" s="1563">
        <v>187.0</v>
      </c>
      <c r="D606" s="1548">
        <v>14.9</v>
      </c>
      <c r="E606" s="1557">
        <v>4313.0</v>
      </c>
      <c r="F606" s="598">
        <v>3.0</v>
      </c>
      <c r="G606" s="598">
        <v>17.0</v>
      </c>
      <c r="H606" s="598">
        <v>16.0</v>
      </c>
      <c r="I606" s="598">
        <v>4.0</v>
      </c>
      <c r="J606" s="598">
        <v>48.0</v>
      </c>
      <c r="K606" s="1561">
        <v>163.0</v>
      </c>
      <c r="L606" s="1551">
        <v>52602.0</v>
      </c>
    </row>
    <row r="607">
      <c r="A607" s="1545" t="s">
        <v>686</v>
      </c>
      <c r="B607" s="1587">
        <v>11913.0</v>
      </c>
      <c r="C607" s="1563">
        <v>657.0</v>
      </c>
      <c r="D607" s="1548">
        <v>22.2</v>
      </c>
      <c r="E607" s="1557">
        <v>8686.0</v>
      </c>
      <c r="F607" s="598">
        <v>30.0</v>
      </c>
      <c r="G607" s="598">
        <v>421.0</v>
      </c>
      <c r="H607" s="598">
        <v>45.0</v>
      </c>
      <c r="I607" s="598">
        <v>10.0</v>
      </c>
      <c r="J607" s="598">
        <v>1449.0</v>
      </c>
      <c r="K607" s="1561">
        <v>1272.0</v>
      </c>
      <c r="L607" s="1551">
        <v>48192.0</v>
      </c>
    </row>
    <row r="608">
      <c r="A608" s="1545" t="s">
        <v>687</v>
      </c>
      <c r="B608" s="1587">
        <v>25386.0</v>
      </c>
      <c r="C608" s="1563">
        <v>981.0</v>
      </c>
      <c r="D608" s="1548">
        <v>16.1</v>
      </c>
      <c r="E608" s="1557">
        <v>20431.0</v>
      </c>
      <c r="F608" s="598">
        <v>66.0</v>
      </c>
      <c r="G608" s="598">
        <v>330.0</v>
      </c>
      <c r="H608" s="598">
        <v>226.0</v>
      </c>
      <c r="I608" s="598">
        <v>35.0</v>
      </c>
      <c r="J608" s="598">
        <v>1670.0</v>
      </c>
      <c r="K608" s="1561">
        <v>2628.0</v>
      </c>
      <c r="L608" s="1551">
        <v>51835.0</v>
      </c>
    </row>
    <row r="609">
      <c r="A609" s="1545" t="s">
        <v>688</v>
      </c>
      <c r="B609" s="1587">
        <v>7878.0</v>
      </c>
      <c r="C609" s="1563">
        <v>466.0</v>
      </c>
      <c r="D609" s="1548">
        <v>19.4</v>
      </c>
      <c r="E609" s="1557">
        <v>5183.0</v>
      </c>
      <c r="F609" s="598">
        <v>20.0</v>
      </c>
      <c r="G609" s="598">
        <v>222.0</v>
      </c>
      <c r="H609" s="598">
        <v>18.0</v>
      </c>
      <c r="I609" s="598">
        <v>11.0</v>
      </c>
      <c r="J609" s="598">
        <v>1715.0</v>
      </c>
      <c r="K609" s="1561">
        <v>709.0</v>
      </c>
      <c r="L609" s="1551">
        <v>51921.0</v>
      </c>
    </row>
    <row r="610">
      <c r="A610" s="1545" t="s">
        <v>689</v>
      </c>
      <c r="B610" s="1587">
        <v>13169.0</v>
      </c>
      <c r="C610" s="1563">
        <v>638.0</v>
      </c>
      <c r="D610" s="1548">
        <v>24.6</v>
      </c>
      <c r="E610" s="1557">
        <v>11982.0</v>
      </c>
      <c r="F610" s="598">
        <v>21.0</v>
      </c>
      <c r="G610" s="598">
        <v>164.0</v>
      </c>
      <c r="H610" s="598">
        <v>57.0</v>
      </c>
      <c r="I610" s="598">
        <v>6.0</v>
      </c>
      <c r="J610" s="598">
        <v>146.0</v>
      </c>
      <c r="K610" s="1561">
        <v>793.0</v>
      </c>
      <c r="L610" s="1551">
        <v>36085.0</v>
      </c>
    </row>
    <row r="611">
      <c r="A611" s="1545" t="s">
        <v>690</v>
      </c>
      <c r="B611" s="1587">
        <v>11630.0</v>
      </c>
      <c r="C611" s="1563">
        <v>309.0</v>
      </c>
      <c r="D611" s="1548">
        <v>10.9</v>
      </c>
      <c r="E611" s="1557">
        <v>9413.0</v>
      </c>
      <c r="F611" s="598">
        <v>25.0</v>
      </c>
      <c r="G611" s="598">
        <v>77.0</v>
      </c>
      <c r="H611" s="598">
        <v>54.0</v>
      </c>
      <c r="I611" s="598">
        <v>0.0</v>
      </c>
      <c r="J611" s="598">
        <v>1192.0</v>
      </c>
      <c r="K611" s="1561">
        <v>869.0</v>
      </c>
      <c r="L611" s="1555">
        <v>68749.0</v>
      </c>
    </row>
    <row r="612">
      <c r="A612" s="1545" t="s">
        <v>691</v>
      </c>
      <c r="B612" s="1587">
        <v>90046.0</v>
      </c>
      <c r="C612" s="1547">
        <v>3954.0</v>
      </c>
      <c r="D612" s="1548">
        <v>16.9</v>
      </c>
      <c r="E612" s="1557">
        <v>72215.0</v>
      </c>
      <c r="F612" s="598">
        <v>1057.0</v>
      </c>
      <c r="G612" s="598">
        <v>934.0</v>
      </c>
      <c r="H612" s="598">
        <v>1431.0</v>
      </c>
      <c r="I612" s="598">
        <v>217.0</v>
      </c>
      <c r="J612" s="598">
        <v>6356.0</v>
      </c>
      <c r="K612" s="1561">
        <v>7836.0</v>
      </c>
      <c r="L612" s="1555">
        <v>51594.0</v>
      </c>
    </row>
    <row r="613">
      <c r="A613" s="1545" t="s">
        <v>692</v>
      </c>
      <c r="B613" s="1587">
        <v>11746.0</v>
      </c>
      <c r="C613" s="1563">
        <v>277.0</v>
      </c>
      <c r="D613" s="1548">
        <v>13.9</v>
      </c>
      <c r="E613" s="1557">
        <v>10597.0</v>
      </c>
      <c r="F613" s="598">
        <v>17.0</v>
      </c>
      <c r="G613" s="598">
        <v>73.0</v>
      </c>
      <c r="H613" s="598">
        <v>61.0</v>
      </c>
      <c r="I613" s="598">
        <v>8.0</v>
      </c>
      <c r="J613" s="598">
        <v>308.0</v>
      </c>
      <c r="K613" s="1561">
        <v>682.0</v>
      </c>
      <c r="L613" s="1615">
        <v>60285.0</v>
      </c>
    </row>
    <row r="614">
      <c r="A614" s="1528" t="s">
        <v>119</v>
      </c>
      <c r="B614" s="1595">
        <v>10500.0</v>
      </c>
      <c r="C614" s="1582">
        <v>509.0</v>
      </c>
      <c r="D614" s="1567">
        <v>22.5</v>
      </c>
      <c r="E614" s="1532">
        <v>8571.0</v>
      </c>
      <c r="F614" s="1533">
        <v>22.0</v>
      </c>
      <c r="G614" s="1533">
        <v>112.0</v>
      </c>
      <c r="H614" s="1533">
        <v>82.0</v>
      </c>
      <c r="I614" s="1533">
        <v>7.0</v>
      </c>
      <c r="J614" s="1533">
        <v>798.0</v>
      </c>
      <c r="K614" s="1616">
        <v>908.0</v>
      </c>
      <c r="L614" s="1617">
        <v>43402.0</v>
      </c>
    </row>
    <row r="615">
      <c r="A615" s="1538" t="s">
        <v>48</v>
      </c>
      <c r="B615" s="1596">
        <v>1.2812508E7</v>
      </c>
      <c r="C615" s="1540">
        <v>457282.0</v>
      </c>
      <c r="D615" s="1571">
        <v>16.2</v>
      </c>
      <c r="E615" s="1572">
        <v>7868227.0</v>
      </c>
      <c r="F615" s="1542">
        <v>1808271.0</v>
      </c>
      <c r="G615" s="1542">
        <v>96498.0</v>
      </c>
      <c r="H615" s="1542">
        <v>754878.0</v>
      </c>
      <c r="I615" s="1542">
        <v>4501.0</v>
      </c>
      <c r="J615" s="1542">
        <v>1135149.0</v>
      </c>
      <c r="K615" s="1543">
        <v>1144984.0</v>
      </c>
      <c r="L615" s="1625">
        <v>65063.0</v>
      </c>
    </row>
    <row r="616">
      <c r="A616" s="1545" t="s">
        <v>386</v>
      </c>
      <c r="B616" s="1586">
        <v>65737.0</v>
      </c>
      <c r="C616" s="1547">
        <v>2295.0</v>
      </c>
      <c r="D616" s="1548">
        <v>15.9</v>
      </c>
      <c r="E616" s="1557">
        <v>58837.0</v>
      </c>
      <c r="F616" s="598">
        <v>2501.0</v>
      </c>
      <c r="G616" s="598">
        <v>104.0</v>
      </c>
      <c r="H616" s="598">
        <v>513.0</v>
      </c>
      <c r="I616" s="598">
        <v>39.0</v>
      </c>
      <c r="J616" s="598">
        <v>526.0</v>
      </c>
      <c r="K616" s="1561">
        <v>3217.0</v>
      </c>
      <c r="L616" s="1551">
        <v>55174.0</v>
      </c>
    </row>
    <row r="617">
      <c r="A617" s="1545" t="s">
        <v>704</v>
      </c>
      <c r="B617" s="1587">
        <v>5240.0</v>
      </c>
      <c r="C617" s="1563">
        <v>615.0</v>
      </c>
      <c r="D617" s="1548">
        <v>44.5</v>
      </c>
      <c r="E617" s="1557">
        <v>3311.0</v>
      </c>
      <c r="F617" s="598">
        <v>1617.0</v>
      </c>
      <c r="G617" s="598">
        <v>24.0</v>
      </c>
      <c r="H617" s="598">
        <v>6.0</v>
      </c>
      <c r="I617" s="598">
        <v>0.0</v>
      </c>
      <c r="J617" s="598">
        <v>20.0</v>
      </c>
      <c r="K617" s="1561">
        <v>262.0</v>
      </c>
      <c r="L617" s="1551">
        <v>35249.0</v>
      </c>
    </row>
    <row r="618">
      <c r="A618" s="1545" t="s">
        <v>705</v>
      </c>
      <c r="B618" s="1587">
        <v>16725.0</v>
      </c>
      <c r="C618" s="1563">
        <v>579.0</v>
      </c>
      <c r="D618" s="1548">
        <v>18.3</v>
      </c>
      <c r="E618" s="1557">
        <v>14446.0</v>
      </c>
      <c r="F618" s="598">
        <v>1077.0</v>
      </c>
      <c r="G618" s="598">
        <v>52.0</v>
      </c>
      <c r="H618" s="598">
        <v>105.0</v>
      </c>
      <c r="I618" s="598">
        <v>11.0</v>
      </c>
      <c r="J618" s="598">
        <v>360.0</v>
      </c>
      <c r="K618" s="1561">
        <v>674.0</v>
      </c>
      <c r="L618" s="1551">
        <v>54800.0</v>
      </c>
    </row>
    <row r="619">
      <c r="A619" s="1545" t="s">
        <v>246</v>
      </c>
      <c r="B619" s="1587">
        <v>53448.0</v>
      </c>
      <c r="C619" s="1547">
        <v>1773.0</v>
      </c>
      <c r="D619" s="1548">
        <v>13.5</v>
      </c>
      <c r="E619" s="1557">
        <v>38766.0</v>
      </c>
      <c r="F619" s="598">
        <v>1245.0</v>
      </c>
      <c r="G619" s="598">
        <v>498.0</v>
      </c>
      <c r="H619" s="598">
        <v>659.0</v>
      </c>
      <c r="I619" s="598">
        <v>24.0</v>
      </c>
      <c r="J619" s="598">
        <v>6176.0</v>
      </c>
      <c r="K619" s="1561">
        <v>6080.0</v>
      </c>
      <c r="L619" s="1551">
        <v>74507.0</v>
      </c>
    </row>
    <row r="620">
      <c r="A620" s="1545" t="s">
        <v>706</v>
      </c>
      <c r="B620" s="1587">
        <v>6244.0</v>
      </c>
      <c r="C620" s="1563">
        <v>150.0</v>
      </c>
      <c r="D620" s="1548">
        <v>14.8</v>
      </c>
      <c r="E620" s="1557">
        <v>4779.0</v>
      </c>
      <c r="F620" s="598">
        <v>1054.0</v>
      </c>
      <c r="G620" s="598">
        <v>11.0</v>
      </c>
      <c r="H620" s="598">
        <v>12.0</v>
      </c>
      <c r="I620" s="598">
        <v>0.0</v>
      </c>
      <c r="J620" s="598">
        <v>210.0</v>
      </c>
      <c r="K620" s="1561">
        <v>178.0</v>
      </c>
      <c r="L620" s="1551">
        <v>55327.0</v>
      </c>
    </row>
    <row r="621">
      <c r="A621" s="1545" t="s">
        <v>707</v>
      </c>
      <c r="B621" s="1587">
        <v>33244.0</v>
      </c>
      <c r="C621" s="1547">
        <v>1183.0</v>
      </c>
      <c r="D621" s="1548">
        <v>17.1</v>
      </c>
      <c r="E621" s="1557">
        <v>29358.0</v>
      </c>
      <c r="F621" s="598">
        <v>275.0</v>
      </c>
      <c r="G621" s="598">
        <v>147.0</v>
      </c>
      <c r="H621" s="598">
        <v>300.0</v>
      </c>
      <c r="I621" s="598">
        <v>21.0</v>
      </c>
      <c r="J621" s="598">
        <v>1091.0</v>
      </c>
      <c r="K621" s="1561">
        <v>2052.0</v>
      </c>
      <c r="L621" s="1551">
        <v>56099.0</v>
      </c>
    </row>
    <row r="622">
      <c r="A622" s="1545" t="s">
        <v>93</v>
      </c>
      <c r="B622" s="1587">
        <v>4437.0</v>
      </c>
      <c r="C622" s="1563">
        <v>150.0</v>
      </c>
      <c r="D622" s="1548">
        <v>15.3</v>
      </c>
      <c r="E622" s="1557">
        <v>4227.0</v>
      </c>
      <c r="F622" s="598">
        <v>7.0</v>
      </c>
      <c r="G622" s="598">
        <v>10.0</v>
      </c>
      <c r="H622" s="598">
        <v>7.0</v>
      </c>
      <c r="I622" s="598">
        <v>0.0</v>
      </c>
      <c r="J622" s="598">
        <v>20.0</v>
      </c>
      <c r="K622" s="1561">
        <v>166.0</v>
      </c>
      <c r="L622" s="1551">
        <v>56099.0</v>
      </c>
    </row>
    <row r="623">
      <c r="A623" s="1545" t="s">
        <v>248</v>
      </c>
      <c r="B623" s="1587">
        <v>15702.0</v>
      </c>
      <c r="C623" s="1563">
        <v>458.0</v>
      </c>
      <c r="D623" s="1548">
        <v>17.0</v>
      </c>
      <c r="E623" s="1557">
        <v>14117.0</v>
      </c>
      <c r="F623" s="598">
        <v>694.0</v>
      </c>
      <c r="G623" s="598">
        <v>63.0</v>
      </c>
      <c r="H623" s="598">
        <v>40.0</v>
      </c>
      <c r="I623" s="598">
        <v>5.0</v>
      </c>
      <c r="J623" s="598">
        <v>178.0</v>
      </c>
      <c r="K623" s="1561">
        <v>605.0</v>
      </c>
      <c r="L623" s="1551">
        <v>51963.0</v>
      </c>
    </row>
    <row r="624">
      <c r="A624" s="1545" t="s">
        <v>708</v>
      </c>
      <c r="B624" s="1587">
        <v>13042.0</v>
      </c>
      <c r="C624" s="1563">
        <v>449.0</v>
      </c>
      <c r="D624" s="1548">
        <v>15.8</v>
      </c>
      <c r="E624" s="1557">
        <v>9528.0</v>
      </c>
      <c r="F624" s="598">
        <v>725.0</v>
      </c>
      <c r="G624" s="598">
        <v>129.0</v>
      </c>
      <c r="H624" s="598">
        <v>117.0</v>
      </c>
      <c r="I624" s="598">
        <v>41.0</v>
      </c>
      <c r="J624" s="598">
        <v>1594.0</v>
      </c>
      <c r="K624" s="1561">
        <v>908.0</v>
      </c>
      <c r="L624" s="1555">
        <v>52486.0</v>
      </c>
    </row>
    <row r="625">
      <c r="A625" s="1545" t="s">
        <v>709</v>
      </c>
      <c r="B625" s="1587">
        <v>205865.0</v>
      </c>
      <c r="C625" s="1547">
        <v>6755.0</v>
      </c>
      <c r="D625" s="1548">
        <v>17.5</v>
      </c>
      <c r="E625" s="1557">
        <v>129083.0</v>
      </c>
      <c r="F625" s="598">
        <v>28675.0</v>
      </c>
      <c r="G625" s="598">
        <v>783.0</v>
      </c>
      <c r="H625" s="598">
        <v>24487.0</v>
      </c>
      <c r="I625" s="598">
        <v>84.0</v>
      </c>
      <c r="J625" s="598">
        <v>7756.0</v>
      </c>
      <c r="K625" s="1561">
        <v>14997.0</v>
      </c>
      <c r="L625" s="1551">
        <v>53251.0</v>
      </c>
    </row>
    <row r="626">
      <c r="A626" s="1545" t="s">
        <v>710</v>
      </c>
      <c r="B626" s="1587">
        <v>34032.0</v>
      </c>
      <c r="C626" s="1547">
        <v>1155.0</v>
      </c>
      <c r="D626" s="1548">
        <v>17.9</v>
      </c>
      <c r="E626" s="1557">
        <v>31437.0</v>
      </c>
      <c r="F626" s="598">
        <v>390.0</v>
      </c>
      <c r="G626" s="598">
        <v>62.0</v>
      </c>
      <c r="H626" s="598">
        <v>179.0</v>
      </c>
      <c r="I626" s="598">
        <v>3.0</v>
      </c>
      <c r="J626" s="598">
        <v>786.0</v>
      </c>
      <c r="K626" s="1561">
        <v>1175.0</v>
      </c>
      <c r="L626" s="1551">
        <v>52936.0</v>
      </c>
    </row>
    <row r="627">
      <c r="A627" s="1545" t="s">
        <v>253</v>
      </c>
      <c r="B627" s="1587">
        <v>15455.0</v>
      </c>
      <c r="C627" s="1563">
        <v>561.0</v>
      </c>
      <c r="D627" s="1548">
        <v>16.2</v>
      </c>
      <c r="E627" s="1557">
        <v>14784.0</v>
      </c>
      <c r="F627" s="598">
        <v>54.0</v>
      </c>
      <c r="G627" s="598">
        <v>28.0</v>
      </c>
      <c r="H627" s="598">
        <v>60.0</v>
      </c>
      <c r="I627" s="598">
        <v>0.0</v>
      </c>
      <c r="J627" s="598">
        <v>99.0</v>
      </c>
      <c r="K627" s="1561">
        <v>430.0</v>
      </c>
      <c r="L627" s="1551">
        <v>54092.0</v>
      </c>
    </row>
    <row r="628">
      <c r="A628" s="1545" t="s">
        <v>112</v>
      </c>
      <c r="B628" s="1587">
        <v>13288.0</v>
      </c>
      <c r="C628" s="1563">
        <v>558.0</v>
      </c>
      <c r="D628" s="1548">
        <v>18.8</v>
      </c>
      <c r="E628" s="1557">
        <v>12524.0</v>
      </c>
      <c r="F628" s="598">
        <v>38.0</v>
      </c>
      <c r="G628" s="598">
        <v>40.0</v>
      </c>
      <c r="H628" s="598">
        <v>79.0</v>
      </c>
      <c r="I628" s="598">
        <v>3.0</v>
      </c>
      <c r="J628" s="598">
        <v>97.0</v>
      </c>
      <c r="K628" s="1561">
        <v>507.0</v>
      </c>
      <c r="L628" s="1551">
        <v>45427.0</v>
      </c>
    </row>
    <row r="629">
      <c r="A629" s="1545" t="s">
        <v>711</v>
      </c>
      <c r="B629" s="1587">
        <v>36899.0</v>
      </c>
      <c r="C629" s="1563">
        <v>797.0</v>
      </c>
      <c r="D629" s="1548">
        <v>10.2</v>
      </c>
      <c r="E629" s="1557">
        <v>33085.0</v>
      </c>
      <c r="F629" s="598">
        <v>1151.0</v>
      </c>
      <c r="G629" s="598">
        <v>106.0</v>
      </c>
      <c r="H629" s="598">
        <v>180.0</v>
      </c>
      <c r="I629" s="598">
        <v>5.0</v>
      </c>
      <c r="J629" s="598">
        <v>790.0</v>
      </c>
      <c r="K629" s="1561">
        <v>1582.0</v>
      </c>
      <c r="L629" s="1551">
        <v>66597.0</v>
      </c>
    </row>
    <row r="630">
      <c r="A630" s="1545" t="s">
        <v>712</v>
      </c>
      <c r="B630" s="1587">
        <v>46863.0</v>
      </c>
      <c r="C630" s="1547">
        <v>1960.0</v>
      </c>
      <c r="D630" s="1548">
        <v>21.8</v>
      </c>
      <c r="E630" s="1557">
        <v>40838.0</v>
      </c>
      <c r="F630" s="598">
        <v>2083.0</v>
      </c>
      <c r="G630" s="598">
        <v>114.0</v>
      </c>
      <c r="H630" s="598">
        <v>623.0</v>
      </c>
      <c r="I630" s="598">
        <v>26.0</v>
      </c>
      <c r="J630" s="598">
        <v>913.0</v>
      </c>
      <c r="K630" s="1561">
        <v>2266.0</v>
      </c>
      <c r="L630" s="1555">
        <v>47291.0</v>
      </c>
    </row>
    <row r="631">
      <c r="A631" s="1545" t="s">
        <v>202</v>
      </c>
      <c r="B631" s="1587">
        <v>5275541.0</v>
      </c>
      <c r="C631" s="1547">
        <v>210345.0</v>
      </c>
      <c r="D631" s="1548">
        <v>18.8</v>
      </c>
      <c r="E631" s="1557">
        <v>2345983.0</v>
      </c>
      <c r="F631" s="598">
        <v>1205824.0</v>
      </c>
      <c r="G631" s="598">
        <v>56894.0</v>
      </c>
      <c r="H631" s="598">
        <v>413271.0</v>
      </c>
      <c r="I631" s="598">
        <v>1864.0</v>
      </c>
      <c r="J631" s="598">
        <v>705153.0</v>
      </c>
      <c r="K631" s="1561">
        <v>546552.0</v>
      </c>
      <c r="L631" s="1551">
        <v>63347.0</v>
      </c>
    </row>
    <row r="632">
      <c r="A632" s="1545" t="s">
        <v>263</v>
      </c>
      <c r="B632" s="1587">
        <v>18679.0</v>
      </c>
      <c r="C632" s="1563">
        <v>624.0</v>
      </c>
      <c r="D632" s="1548">
        <v>17.1</v>
      </c>
      <c r="E632" s="1557">
        <v>17032.0</v>
      </c>
      <c r="F632" s="598">
        <v>621.0</v>
      </c>
      <c r="G632" s="598">
        <v>44.0</v>
      </c>
      <c r="H632" s="598">
        <v>85.0</v>
      </c>
      <c r="I632" s="598">
        <v>2.0</v>
      </c>
      <c r="J632" s="598">
        <v>266.0</v>
      </c>
      <c r="K632" s="1561">
        <v>629.0</v>
      </c>
      <c r="L632" s="1551">
        <v>52313.0</v>
      </c>
    </row>
    <row r="633">
      <c r="A633" s="1545" t="s">
        <v>713</v>
      </c>
      <c r="B633" s="1587">
        <v>10450.0</v>
      </c>
      <c r="C633" s="1563">
        <v>357.0</v>
      </c>
      <c r="D633" s="1548">
        <v>15.2</v>
      </c>
      <c r="E633" s="1557">
        <v>9984.0</v>
      </c>
      <c r="F633" s="598">
        <v>28.0</v>
      </c>
      <c r="G633" s="598">
        <v>22.0</v>
      </c>
      <c r="H633" s="598">
        <v>23.0</v>
      </c>
      <c r="I633" s="598">
        <v>5.0</v>
      </c>
      <c r="J633" s="598">
        <v>30.0</v>
      </c>
      <c r="K633" s="1561">
        <v>358.0</v>
      </c>
      <c r="L633" s="1555">
        <v>60572.0</v>
      </c>
    </row>
    <row r="634">
      <c r="A634" s="1545" t="s">
        <v>131</v>
      </c>
      <c r="B634" s="1587">
        <v>100420.0</v>
      </c>
      <c r="C634" s="1547">
        <v>2903.0</v>
      </c>
      <c r="D634" s="1548">
        <v>13.2</v>
      </c>
      <c r="E634" s="1557">
        <v>74258.0</v>
      </c>
      <c r="F634" s="598">
        <v>8954.0</v>
      </c>
      <c r="G634" s="598">
        <v>553.0</v>
      </c>
      <c r="H634" s="598">
        <v>2299.0</v>
      </c>
      <c r="I634" s="598">
        <v>29.0</v>
      </c>
      <c r="J634" s="598">
        <v>5609.0</v>
      </c>
      <c r="K634" s="1561">
        <v>8718.0</v>
      </c>
      <c r="L634" s="1551">
        <v>63274.0</v>
      </c>
    </row>
    <row r="635">
      <c r="A635" s="1545" t="s">
        <v>2055</v>
      </c>
      <c r="B635" s="1587">
        <v>15516.0</v>
      </c>
      <c r="C635" s="1563">
        <v>574.0</v>
      </c>
      <c r="D635" s="1548">
        <v>17.4</v>
      </c>
      <c r="E635" s="1557">
        <v>14526.0</v>
      </c>
      <c r="F635" s="598">
        <v>110.0</v>
      </c>
      <c r="G635" s="598">
        <v>28.0</v>
      </c>
      <c r="H635" s="598">
        <v>40.0</v>
      </c>
      <c r="I635" s="598">
        <v>18.0</v>
      </c>
      <c r="J635" s="598">
        <v>219.0</v>
      </c>
      <c r="K635" s="1561">
        <v>575.0</v>
      </c>
      <c r="L635" s="1551">
        <v>55300.0</v>
      </c>
    </row>
    <row r="636">
      <c r="A636" s="1545" t="s">
        <v>412</v>
      </c>
      <c r="B636" s="1587">
        <v>19740.0</v>
      </c>
      <c r="C636" s="1563">
        <v>635.0</v>
      </c>
      <c r="D636" s="1548">
        <v>13.3</v>
      </c>
      <c r="E636" s="1557">
        <v>17855.0</v>
      </c>
      <c r="F636" s="598">
        <v>67.0</v>
      </c>
      <c r="G636" s="598">
        <v>60.0</v>
      </c>
      <c r="H636" s="598">
        <v>105.0</v>
      </c>
      <c r="I636" s="598">
        <v>7.0</v>
      </c>
      <c r="J636" s="598">
        <v>777.0</v>
      </c>
      <c r="K636" s="1561">
        <v>869.0</v>
      </c>
      <c r="L636" s="1555">
        <v>56976.0</v>
      </c>
    </row>
    <row r="637">
      <c r="A637" s="1545" t="s">
        <v>456</v>
      </c>
      <c r="B637" s="1587">
        <v>932877.0</v>
      </c>
      <c r="C637" s="1547">
        <v>16581.0</v>
      </c>
      <c r="D637" s="1548">
        <v>7.9</v>
      </c>
      <c r="E637" s="1557">
        <v>616830.0</v>
      </c>
      <c r="F637" s="598">
        <v>45516.0</v>
      </c>
      <c r="G637" s="598">
        <v>5154.0</v>
      </c>
      <c r="H637" s="598">
        <v>119672.0</v>
      </c>
      <c r="I637" s="598">
        <v>315.0</v>
      </c>
      <c r="J637" s="598">
        <v>62732.0</v>
      </c>
      <c r="K637" s="1561">
        <v>82658.0</v>
      </c>
      <c r="L637" s="1551">
        <v>93540.0</v>
      </c>
    </row>
    <row r="638">
      <c r="A638" s="1545" t="s">
        <v>716</v>
      </c>
      <c r="B638" s="1587">
        <v>16866.0</v>
      </c>
      <c r="C638" s="1563">
        <v>674.0</v>
      </c>
      <c r="D638" s="1548">
        <v>19.5</v>
      </c>
      <c r="E638" s="1557">
        <v>16070.0</v>
      </c>
      <c r="F638" s="598">
        <v>83.0</v>
      </c>
      <c r="G638" s="598">
        <v>34.0</v>
      </c>
      <c r="H638" s="598">
        <v>55.0</v>
      </c>
      <c r="I638" s="598">
        <v>0.0</v>
      </c>
      <c r="J638" s="598">
        <v>104.0</v>
      </c>
      <c r="K638" s="1561">
        <v>520.0</v>
      </c>
      <c r="L638" s="1551">
        <v>51577.0</v>
      </c>
    </row>
    <row r="639">
      <c r="A639" s="1545" t="s">
        <v>717</v>
      </c>
      <c r="B639" s="1587">
        <v>6245.0</v>
      </c>
      <c r="C639" s="1563">
        <v>205.0</v>
      </c>
      <c r="D639" s="1548">
        <v>14.7</v>
      </c>
      <c r="E639" s="1557">
        <v>6019.0</v>
      </c>
      <c r="F639" s="598">
        <v>22.0</v>
      </c>
      <c r="G639" s="598">
        <v>8.0</v>
      </c>
      <c r="H639" s="598">
        <v>21.0</v>
      </c>
      <c r="I639" s="598">
        <v>9.0</v>
      </c>
      <c r="J639" s="598">
        <v>20.0</v>
      </c>
      <c r="K639" s="1561">
        <v>146.0</v>
      </c>
      <c r="L639" s="1551">
        <v>51280.0</v>
      </c>
    </row>
    <row r="640">
      <c r="A640" s="1545" t="s">
        <v>569</v>
      </c>
      <c r="B640" s="1587">
        <v>34668.0</v>
      </c>
      <c r="C640" s="1547">
        <v>1012.0</v>
      </c>
      <c r="D640" s="1548">
        <v>12.7</v>
      </c>
      <c r="E640" s="1557">
        <v>32597.0</v>
      </c>
      <c r="F640" s="598">
        <v>155.0</v>
      </c>
      <c r="G640" s="598">
        <v>59.0</v>
      </c>
      <c r="H640" s="598">
        <v>248.0</v>
      </c>
      <c r="I640" s="598">
        <v>6.0</v>
      </c>
      <c r="J640" s="598">
        <v>327.0</v>
      </c>
      <c r="K640" s="1561">
        <v>1276.0</v>
      </c>
      <c r="L640" s="1551">
        <v>60773.0</v>
      </c>
    </row>
    <row r="641">
      <c r="A641" s="1545" t="s">
        <v>135</v>
      </c>
      <c r="B641" s="1587">
        <v>21488.0</v>
      </c>
      <c r="C641" s="1563">
        <v>917.0</v>
      </c>
      <c r="D641" s="1548">
        <v>20.9</v>
      </c>
      <c r="E641" s="1557">
        <v>19778.0</v>
      </c>
      <c r="F641" s="598">
        <v>797.0</v>
      </c>
      <c r="G641" s="598">
        <v>82.0</v>
      </c>
      <c r="H641" s="598">
        <v>67.0</v>
      </c>
      <c r="I641" s="598">
        <v>1.0</v>
      </c>
      <c r="J641" s="598">
        <v>185.0</v>
      </c>
      <c r="K641" s="1561">
        <v>578.0</v>
      </c>
      <c r="L641" s="1551">
        <v>47484.0</v>
      </c>
    </row>
    <row r="642">
      <c r="A642" s="1545" t="s">
        <v>718</v>
      </c>
      <c r="B642" s="1587">
        <v>13534.0</v>
      </c>
      <c r="C642" s="1563">
        <v>476.0</v>
      </c>
      <c r="D642" s="1548">
        <v>15.9</v>
      </c>
      <c r="E642" s="1557">
        <v>12458.0</v>
      </c>
      <c r="F642" s="598">
        <v>76.0</v>
      </c>
      <c r="G642" s="598">
        <v>32.0</v>
      </c>
      <c r="H642" s="598">
        <v>62.0</v>
      </c>
      <c r="I642" s="598">
        <v>0.0</v>
      </c>
      <c r="J642" s="598">
        <v>221.0</v>
      </c>
      <c r="K642" s="1561">
        <v>685.0</v>
      </c>
      <c r="L642" s="1551">
        <v>55357.0</v>
      </c>
    </row>
    <row r="643">
      <c r="A643" s="1545" t="s">
        <v>136</v>
      </c>
      <c r="B643" s="1587">
        <v>37804.0</v>
      </c>
      <c r="C643" s="1547">
        <v>2187.0</v>
      </c>
      <c r="D643" s="1548">
        <v>26.0</v>
      </c>
      <c r="E643" s="1557">
        <v>35451.0</v>
      </c>
      <c r="F643" s="598">
        <v>181.0</v>
      </c>
      <c r="G643" s="598">
        <v>111.0</v>
      </c>
      <c r="H643" s="598">
        <v>119.0</v>
      </c>
      <c r="I643" s="598">
        <v>4.0</v>
      </c>
      <c r="J643" s="598">
        <v>200.0</v>
      </c>
      <c r="K643" s="1561">
        <v>1738.0</v>
      </c>
      <c r="L643" s="1551">
        <v>42071.0</v>
      </c>
    </row>
    <row r="644">
      <c r="A644" s="1545" t="s">
        <v>275</v>
      </c>
      <c r="B644" s="1587">
        <v>33609.0</v>
      </c>
      <c r="C644" s="1547">
        <v>1375.0</v>
      </c>
      <c r="D644" s="1548">
        <v>20.5</v>
      </c>
      <c r="E644" s="1557">
        <v>30803.0</v>
      </c>
      <c r="F644" s="598">
        <v>1125.0</v>
      </c>
      <c r="G644" s="598">
        <v>63.0</v>
      </c>
      <c r="H644" s="598">
        <v>69.0</v>
      </c>
      <c r="I644" s="598">
        <v>6.0</v>
      </c>
      <c r="J644" s="598">
        <v>475.0</v>
      </c>
      <c r="K644" s="1561">
        <v>1068.0</v>
      </c>
      <c r="L644" s="1551">
        <v>51258.0</v>
      </c>
    </row>
    <row r="645">
      <c r="A645" s="1545" t="s">
        <v>719</v>
      </c>
      <c r="B645" s="1587">
        <v>4946.0</v>
      </c>
      <c r="C645" s="1563">
        <v>323.0</v>
      </c>
      <c r="D645" s="1548">
        <v>31.9</v>
      </c>
      <c r="E645" s="1557">
        <v>4700.0</v>
      </c>
      <c r="F645" s="598">
        <v>26.0</v>
      </c>
      <c r="G645" s="598">
        <v>5.0</v>
      </c>
      <c r="H645" s="598">
        <v>24.0</v>
      </c>
      <c r="I645" s="598">
        <v>0.0</v>
      </c>
      <c r="J645" s="598">
        <v>22.0</v>
      </c>
      <c r="K645" s="1561">
        <v>169.0</v>
      </c>
      <c r="L645" s="1551">
        <v>43330.0</v>
      </c>
    </row>
    <row r="646">
      <c r="A646" s="1545" t="s">
        <v>138</v>
      </c>
      <c r="B646" s="1587">
        <v>11985.0</v>
      </c>
      <c r="C646" s="1563">
        <v>542.0</v>
      </c>
      <c r="D646" s="1548">
        <v>19.9</v>
      </c>
      <c r="E646" s="1557">
        <v>11492.0</v>
      </c>
      <c r="F646" s="598">
        <v>23.0</v>
      </c>
      <c r="G646" s="598">
        <v>13.0</v>
      </c>
      <c r="H646" s="598">
        <v>22.0</v>
      </c>
      <c r="I646" s="598">
        <v>3.0</v>
      </c>
      <c r="J646" s="598">
        <v>36.0</v>
      </c>
      <c r="K646" s="1561">
        <v>396.0</v>
      </c>
      <c r="L646" s="1551">
        <v>47314.0</v>
      </c>
    </row>
    <row r="647">
      <c r="A647" s="1545" t="s">
        <v>720</v>
      </c>
      <c r="B647" s="1587">
        <v>52533.0</v>
      </c>
      <c r="C647" s="1547">
        <v>1058.0</v>
      </c>
      <c r="D647" s="1548">
        <v>8.3</v>
      </c>
      <c r="E647" s="1557">
        <v>45106.0</v>
      </c>
      <c r="F647" s="598">
        <v>865.0</v>
      </c>
      <c r="G647" s="598">
        <v>185.0</v>
      </c>
      <c r="H647" s="598">
        <v>482.0</v>
      </c>
      <c r="I647" s="598">
        <v>26.0</v>
      </c>
      <c r="J647" s="598">
        <v>1778.0</v>
      </c>
      <c r="K647" s="1561">
        <v>4091.0</v>
      </c>
      <c r="L647" s="1551">
        <v>79348.0</v>
      </c>
    </row>
    <row r="648">
      <c r="A648" s="1545" t="s">
        <v>497</v>
      </c>
      <c r="B648" s="1587">
        <v>7993.0</v>
      </c>
      <c r="C648" s="1563">
        <v>347.0</v>
      </c>
      <c r="D648" s="1548">
        <v>19.6</v>
      </c>
      <c r="E648" s="1557">
        <v>7601.0</v>
      </c>
      <c r="F648" s="598">
        <v>41.0</v>
      </c>
      <c r="G648" s="598">
        <v>16.0</v>
      </c>
      <c r="H648" s="598">
        <v>13.0</v>
      </c>
      <c r="I648" s="598">
        <v>0.0</v>
      </c>
      <c r="J648" s="598">
        <v>25.0</v>
      </c>
      <c r="K648" s="1561">
        <v>297.0</v>
      </c>
      <c r="L648" s="1551">
        <v>53028.0</v>
      </c>
    </row>
    <row r="649">
      <c r="A649" s="1545" t="s">
        <v>587</v>
      </c>
      <c r="B649" s="1587">
        <v>17620.0</v>
      </c>
      <c r="C649" s="1563">
        <v>617.0</v>
      </c>
      <c r="D649" s="1548">
        <v>16.8</v>
      </c>
      <c r="E649" s="1557">
        <v>16683.0</v>
      </c>
      <c r="F649" s="598">
        <v>73.0</v>
      </c>
      <c r="G649" s="598">
        <v>51.0</v>
      </c>
      <c r="H649" s="598">
        <v>61.0</v>
      </c>
      <c r="I649" s="598">
        <v>4.0</v>
      </c>
      <c r="J649" s="598">
        <v>118.0</v>
      </c>
      <c r="K649" s="1561">
        <v>630.0</v>
      </c>
      <c r="L649" s="1551">
        <v>53553.0</v>
      </c>
    </row>
    <row r="650">
      <c r="A650" s="1545" t="s">
        <v>721</v>
      </c>
      <c r="B650" s="1587">
        <v>3649.0</v>
      </c>
      <c r="C650" s="1563">
        <v>222.0</v>
      </c>
      <c r="D650" s="1548">
        <v>32.0</v>
      </c>
      <c r="E650" s="1557">
        <v>3414.0</v>
      </c>
      <c r="F650" s="598">
        <v>13.0</v>
      </c>
      <c r="G650" s="598">
        <v>0.0</v>
      </c>
      <c r="H650" s="598">
        <v>18.0</v>
      </c>
      <c r="I650" s="598">
        <v>4.0</v>
      </c>
      <c r="J650" s="598">
        <v>17.0</v>
      </c>
      <c r="K650" s="1561">
        <v>183.0</v>
      </c>
      <c r="L650" s="1551">
        <v>41713.0</v>
      </c>
    </row>
    <row r="651">
      <c r="A651" s="1545" t="s">
        <v>722</v>
      </c>
      <c r="B651" s="1587">
        <v>6387.0</v>
      </c>
      <c r="C651" s="1563">
        <v>190.0</v>
      </c>
      <c r="D651" s="1548">
        <v>16.1</v>
      </c>
      <c r="E651" s="1557">
        <v>6092.0</v>
      </c>
      <c r="F651" s="598">
        <v>30.0</v>
      </c>
      <c r="G651" s="598">
        <v>12.0</v>
      </c>
      <c r="H651" s="598">
        <v>17.0</v>
      </c>
      <c r="I651" s="598">
        <v>5.0</v>
      </c>
      <c r="J651" s="598">
        <v>27.0</v>
      </c>
      <c r="K651" s="1561">
        <v>204.0</v>
      </c>
      <c r="L651" s="1551">
        <v>53632.0</v>
      </c>
    </row>
    <row r="652">
      <c r="A652" s="1545" t="s">
        <v>140</v>
      </c>
      <c r="B652" s="1587">
        <v>49284.0</v>
      </c>
      <c r="C652" s="1547">
        <v>1767.0</v>
      </c>
      <c r="D652" s="1548">
        <v>16.6</v>
      </c>
      <c r="E652" s="1557">
        <v>43920.0</v>
      </c>
      <c r="F652" s="598">
        <v>1078.0</v>
      </c>
      <c r="G652" s="598">
        <v>109.0</v>
      </c>
      <c r="H652" s="598">
        <v>197.0</v>
      </c>
      <c r="I652" s="598">
        <v>16.0</v>
      </c>
      <c r="J652" s="598">
        <v>1281.0</v>
      </c>
      <c r="K652" s="1561">
        <v>2683.0</v>
      </c>
      <c r="L652" s="1551">
        <v>58042.0</v>
      </c>
    </row>
    <row r="653">
      <c r="A653" s="1545" t="s">
        <v>723</v>
      </c>
      <c r="B653" s="1587">
        <v>27077.0</v>
      </c>
      <c r="C653" s="1563">
        <v>966.0</v>
      </c>
      <c r="D653" s="1548">
        <v>16.6</v>
      </c>
      <c r="E653" s="1557">
        <v>24203.0</v>
      </c>
      <c r="F653" s="598">
        <v>231.0</v>
      </c>
      <c r="G653" s="598">
        <v>66.0</v>
      </c>
      <c r="H653" s="598">
        <v>103.0</v>
      </c>
      <c r="I653" s="598">
        <v>2.0</v>
      </c>
      <c r="J653" s="598">
        <v>788.0</v>
      </c>
      <c r="K653" s="1561">
        <v>1684.0</v>
      </c>
      <c r="L653" s="1551">
        <v>55247.0</v>
      </c>
    </row>
    <row r="654">
      <c r="A654" s="1545" t="s">
        <v>142</v>
      </c>
      <c r="B654" s="1587">
        <v>52974.0</v>
      </c>
      <c r="C654" s="1547">
        <v>2923.0</v>
      </c>
      <c r="D654" s="1548">
        <v>28.9</v>
      </c>
      <c r="E654" s="1557">
        <v>38171.0</v>
      </c>
      <c r="F654" s="598">
        <v>7598.0</v>
      </c>
      <c r="G654" s="598">
        <v>208.0</v>
      </c>
      <c r="H654" s="598">
        <v>2056.0</v>
      </c>
      <c r="I654" s="598">
        <v>31.0</v>
      </c>
      <c r="J654" s="598">
        <v>1438.0</v>
      </c>
      <c r="K654" s="1561">
        <v>3472.0</v>
      </c>
      <c r="L654" s="1551">
        <v>41445.0</v>
      </c>
    </row>
    <row r="655">
      <c r="A655" s="1545" t="s">
        <v>593</v>
      </c>
      <c r="B655" s="1587">
        <v>9287.0</v>
      </c>
      <c r="C655" s="1563">
        <v>336.0</v>
      </c>
      <c r="D655" s="1548">
        <v>15.4</v>
      </c>
      <c r="E655" s="1557">
        <v>8968.0</v>
      </c>
      <c r="F655" s="598">
        <v>23.0</v>
      </c>
      <c r="G655" s="598">
        <v>22.0</v>
      </c>
      <c r="H655" s="598">
        <v>17.0</v>
      </c>
      <c r="I655" s="598">
        <v>4.0</v>
      </c>
      <c r="J655" s="598">
        <v>38.0</v>
      </c>
      <c r="K655" s="1561">
        <v>215.0</v>
      </c>
      <c r="L655" s="1551">
        <v>54552.0</v>
      </c>
    </row>
    <row r="656">
      <c r="A656" s="1545" t="s">
        <v>143</v>
      </c>
      <c r="B656" s="1587">
        <v>37113.0</v>
      </c>
      <c r="C656" s="1547">
        <v>2093.0</v>
      </c>
      <c r="D656" s="1548">
        <v>25.5</v>
      </c>
      <c r="E656" s="1557">
        <v>31440.0</v>
      </c>
      <c r="F656" s="598">
        <v>2842.0</v>
      </c>
      <c r="G656" s="598">
        <v>92.0</v>
      </c>
      <c r="H656" s="598">
        <v>365.0</v>
      </c>
      <c r="I656" s="598">
        <v>7.0</v>
      </c>
      <c r="J656" s="598">
        <v>343.0</v>
      </c>
      <c r="K656" s="1561">
        <v>2024.0</v>
      </c>
      <c r="L656" s="1551">
        <v>47425.0</v>
      </c>
    </row>
    <row r="657">
      <c r="A657" s="1545" t="s">
        <v>724</v>
      </c>
      <c r="B657" s="1587">
        <v>21512.0</v>
      </c>
      <c r="C657" s="1563">
        <v>591.0</v>
      </c>
      <c r="D657" s="1548">
        <v>13.6</v>
      </c>
      <c r="E657" s="1557">
        <v>20209.0</v>
      </c>
      <c r="F657" s="598">
        <v>157.0</v>
      </c>
      <c r="G657" s="598">
        <v>23.0</v>
      </c>
      <c r="H657" s="598">
        <v>77.0</v>
      </c>
      <c r="I657" s="598">
        <v>3.0</v>
      </c>
      <c r="J657" s="598">
        <v>83.0</v>
      </c>
      <c r="K657" s="1561">
        <v>960.0</v>
      </c>
      <c r="L657" s="1551">
        <v>59117.0</v>
      </c>
    </row>
    <row r="658">
      <c r="A658" s="1545" t="s">
        <v>725</v>
      </c>
      <c r="B658" s="1587">
        <v>22035.0</v>
      </c>
      <c r="C658" s="1563">
        <v>481.0</v>
      </c>
      <c r="D658" s="1548">
        <v>12.2</v>
      </c>
      <c r="E658" s="1557">
        <v>20574.0</v>
      </c>
      <c r="F658" s="598">
        <v>114.0</v>
      </c>
      <c r="G658" s="598">
        <v>67.0</v>
      </c>
      <c r="H658" s="598">
        <v>99.0</v>
      </c>
      <c r="I658" s="598">
        <v>6.0</v>
      </c>
      <c r="J658" s="598">
        <v>329.0</v>
      </c>
      <c r="K658" s="1561">
        <v>846.0</v>
      </c>
      <c r="L658" s="1551">
        <v>56832.0</v>
      </c>
    </row>
    <row r="659">
      <c r="A659" s="1545" t="s">
        <v>288</v>
      </c>
      <c r="B659" s="1587">
        <v>13308.0</v>
      </c>
      <c r="C659" s="1563">
        <v>371.0</v>
      </c>
      <c r="D659" s="1548">
        <v>16.4</v>
      </c>
      <c r="E659" s="1557">
        <v>10978.0</v>
      </c>
      <c r="F659" s="598">
        <v>1431.0</v>
      </c>
      <c r="G659" s="598">
        <v>28.0</v>
      </c>
      <c r="H659" s="598">
        <v>20.0</v>
      </c>
      <c r="I659" s="598">
        <v>4.0</v>
      </c>
      <c r="J659" s="598">
        <v>416.0</v>
      </c>
      <c r="K659" s="1561">
        <v>431.0</v>
      </c>
      <c r="L659" s="1555">
        <v>53884.0</v>
      </c>
    </row>
    <row r="660">
      <c r="A660" s="1545" t="s">
        <v>656</v>
      </c>
      <c r="B660" s="1587">
        <v>516522.0</v>
      </c>
      <c r="C660" s="1547">
        <v>15962.0</v>
      </c>
      <c r="D660" s="1548">
        <v>11.9</v>
      </c>
      <c r="E660" s="1557">
        <v>309835.0</v>
      </c>
      <c r="F660" s="598">
        <v>27538.0</v>
      </c>
      <c r="G660" s="598">
        <v>6997.0</v>
      </c>
      <c r="H660" s="598">
        <v>21634.0</v>
      </c>
      <c r="I660" s="598">
        <v>217.0</v>
      </c>
      <c r="J660" s="598">
        <v>83560.0</v>
      </c>
      <c r="K660" s="1561">
        <v>66741.0</v>
      </c>
      <c r="L660" s="1555">
        <v>79834.0</v>
      </c>
    </row>
    <row r="661">
      <c r="A661" s="1545" t="s">
        <v>726</v>
      </c>
      <c r="B661" s="1587">
        <v>107502.0</v>
      </c>
      <c r="C661" s="1547">
        <v>4949.0</v>
      </c>
      <c r="D661" s="1548">
        <v>20.2</v>
      </c>
      <c r="E661" s="1557">
        <v>76327.0</v>
      </c>
      <c r="F661" s="598">
        <v>15573.0</v>
      </c>
      <c r="G661" s="598">
        <v>432.0</v>
      </c>
      <c r="H661" s="598">
        <v>1090.0</v>
      </c>
      <c r="I661" s="598">
        <v>23.0</v>
      </c>
      <c r="J661" s="598">
        <v>6279.0</v>
      </c>
      <c r="K661" s="1561">
        <v>7778.0</v>
      </c>
      <c r="L661" s="1555">
        <v>53884.0</v>
      </c>
    </row>
    <row r="662">
      <c r="A662" s="1545" t="s">
        <v>727</v>
      </c>
      <c r="B662" s="1587">
        <v>131869.0</v>
      </c>
      <c r="C662" s="1547">
        <v>1933.0</v>
      </c>
      <c r="D662" s="1548">
        <v>5.4</v>
      </c>
      <c r="E662" s="1557">
        <v>90245.0</v>
      </c>
      <c r="F662" s="598">
        <v>10027.0</v>
      </c>
      <c r="G662" s="598">
        <v>742.0</v>
      </c>
      <c r="H662" s="598">
        <v>4700.0</v>
      </c>
      <c r="I662" s="598">
        <v>24.0</v>
      </c>
      <c r="J662" s="598">
        <v>10742.0</v>
      </c>
      <c r="K662" s="1561">
        <v>15389.0</v>
      </c>
      <c r="L662" s="1551">
        <v>93345.0</v>
      </c>
    </row>
    <row r="663">
      <c r="A663" s="1545" t="s">
        <v>728</v>
      </c>
      <c r="B663" s="1587">
        <v>49967.0</v>
      </c>
      <c r="C663" s="1547">
        <v>2171.0</v>
      </c>
      <c r="D663" s="1548">
        <v>22.7</v>
      </c>
      <c r="E663" s="1557">
        <v>40664.0</v>
      </c>
      <c r="F663" s="598">
        <v>4457.0</v>
      </c>
      <c r="G663" s="598">
        <v>117.0</v>
      </c>
      <c r="H663" s="598">
        <v>363.0</v>
      </c>
      <c r="I663" s="598">
        <v>18.0</v>
      </c>
      <c r="J663" s="598">
        <v>1141.0</v>
      </c>
      <c r="K663" s="1561">
        <v>3207.0</v>
      </c>
      <c r="L663" s="1555">
        <v>44553.0</v>
      </c>
    </row>
    <row r="664">
      <c r="A664" s="1545" t="s">
        <v>337</v>
      </c>
      <c r="B664" s="1587">
        <v>714342.0</v>
      </c>
      <c r="C664" s="1547">
        <v>17155.0</v>
      </c>
      <c r="D664" s="1548">
        <v>10.3</v>
      </c>
      <c r="E664" s="1557">
        <v>435395.0</v>
      </c>
      <c r="F664" s="598">
        <v>49035.0</v>
      </c>
      <c r="G664" s="598">
        <v>7112.0</v>
      </c>
      <c r="H664" s="598">
        <v>59390.0</v>
      </c>
      <c r="I664" s="598">
        <v>440.0</v>
      </c>
      <c r="J664" s="598">
        <v>86580.0</v>
      </c>
      <c r="K664" s="1561">
        <v>76390.0</v>
      </c>
      <c r="L664" s="1555">
        <v>87336.0</v>
      </c>
    </row>
    <row r="665">
      <c r="A665" s="1545" t="s">
        <v>729</v>
      </c>
      <c r="B665" s="1587">
        <v>109658.0</v>
      </c>
      <c r="C665" s="1547">
        <v>4665.0</v>
      </c>
      <c r="D665" s="1548">
        <v>20.2</v>
      </c>
      <c r="E665" s="1557">
        <v>93847.0</v>
      </c>
      <c r="F665" s="598">
        <v>2633.0</v>
      </c>
      <c r="G665" s="598">
        <v>446.0</v>
      </c>
      <c r="H665" s="598">
        <v>860.0</v>
      </c>
      <c r="I665" s="598">
        <v>18.0</v>
      </c>
      <c r="J665" s="598">
        <v>3999.0</v>
      </c>
      <c r="K665" s="1561">
        <v>7855.0</v>
      </c>
      <c r="L665" s="1551">
        <v>54063.0</v>
      </c>
    </row>
    <row r="666">
      <c r="A666" s="1545" t="s">
        <v>146</v>
      </c>
      <c r="B666" s="1587">
        <v>15280.0</v>
      </c>
      <c r="C666" s="1563">
        <v>605.0</v>
      </c>
      <c r="D666" s="1548">
        <v>20.9</v>
      </c>
      <c r="E666" s="1557">
        <v>12885.0</v>
      </c>
      <c r="F666" s="598">
        <v>1406.0</v>
      </c>
      <c r="G666" s="598">
        <v>18.0</v>
      </c>
      <c r="H666" s="598">
        <v>58.0</v>
      </c>
      <c r="I666" s="598">
        <v>8.0</v>
      </c>
      <c r="J666" s="598">
        <v>361.0</v>
      </c>
      <c r="K666" s="1561">
        <v>544.0</v>
      </c>
      <c r="L666" s="1551">
        <v>43767.0</v>
      </c>
    </row>
    <row r="667">
      <c r="A667" s="1545" t="s">
        <v>147</v>
      </c>
      <c r="B667" s="1587">
        <v>34145.0</v>
      </c>
      <c r="C667" s="1563">
        <v>936.0</v>
      </c>
      <c r="D667" s="1548">
        <v>14.3</v>
      </c>
      <c r="E667" s="1557">
        <v>29109.0</v>
      </c>
      <c r="F667" s="598">
        <v>1867.0</v>
      </c>
      <c r="G667" s="598">
        <v>88.0</v>
      </c>
      <c r="H667" s="598">
        <v>248.0</v>
      </c>
      <c r="I667" s="598">
        <v>10.0</v>
      </c>
      <c r="J667" s="598">
        <v>935.0</v>
      </c>
      <c r="K667" s="1561">
        <v>1888.0</v>
      </c>
      <c r="L667" s="1551">
        <v>54915.0</v>
      </c>
    </row>
    <row r="668">
      <c r="A668" s="1545" t="s">
        <v>730</v>
      </c>
      <c r="B668" s="1587">
        <v>35815.0</v>
      </c>
      <c r="C668" s="1547">
        <v>1229.0</v>
      </c>
      <c r="D668" s="1548">
        <v>16.3</v>
      </c>
      <c r="E668" s="1557">
        <v>32068.0</v>
      </c>
      <c r="F668" s="598">
        <v>1113.0</v>
      </c>
      <c r="G668" s="598">
        <v>77.0</v>
      </c>
      <c r="H668" s="598">
        <v>171.0</v>
      </c>
      <c r="I668" s="598">
        <v>1.0</v>
      </c>
      <c r="J668" s="598">
        <v>751.0</v>
      </c>
      <c r="K668" s="1561">
        <v>1634.0</v>
      </c>
      <c r="L668" s="1551">
        <v>59323.0</v>
      </c>
    </row>
    <row r="669">
      <c r="A669" s="1545" t="s">
        <v>293</v>
      </c>
      <c r="B669" s="1587">
        <v>27987.0</v>
      </c>
      <c r="C669" s="1563">
        <v>927.0</v>
      </c>
      <c r="D669" s="1548">
        <v>17.0</v>
      </c>
      <c r="E669" s="1557">
        <v>24669.0</v>
      </c>
      <c r="F669" s="598">
        <v>1520.0</v>
      </c>
      <c r="G669" s="598">
        <v>50.0</v>
      </c>
      <c r="H669" s="598">
        <v>181.0</v>
      </c>
      <c r="I669" s="598">
        <v>1.0</v>
      </c>
      <c r="J669" s="598">
        <v>437.0</v>
      </c>
      <c r="K669" s="1561">
        <v>1129.0</v>
      </c>
      <c r="L669" s="1551">
        <v>52959.0</v>
      </c>
    </row>
    <row r="670">
      <c r="A670" s="1545" t="s">
        <v>731</v>
      </c>
      <c r="B670" s="1587">
        <v>27238.0</v>
      </c>
      <c r="C670" s="1547">
        <v>1145.0</v>
      </c>
      <c r="D670" s="1548">
        <v>22.9</v>
      </c>
      <c r="E670" s="1557">
        <v>23330.0</v>
      </c>
      <c r="F670" s="598">
        <v>1531.0</v>
      </c>
      <c r="G670" s="598">
        <v>58.0</v>
      </c>
      <c r="H670" s="598">
        <v>567.0</v>
      </c>
      <c r="I670" s="598">
        <v>6.0</v>
      </c>
      <c r="J670" s="598">
        <v>431.0</v>
      </c>
      <c r="K670" s="1561">
        <v>1315.0</v>
      </c>
      <c r="L670" s="1555">
        <v>42887.0</v>
      </c>
    </row>
    <row r="671">
      <c r="A671" s="1545" t="s">
        <v>732</v>
      </c>
      <c r="B671" s="1587">
        <v>310229.0</v>
      </c>
      <c r="C671" s="1547">
        <v>5589.0</v>
      </c>
      <c r="D671" s="1548">
        <v>7.8</v>
      </c>
      <c r="E671" s="1557">
        <v>247894.0</v>
      </c>
      <c r="F671" s="598">
        <v>4284.0</v>
      </c>
      <c r="G671" s="598">
        <v>1534.0</v>
      </c>
      <c r="H671" s="598">
        <v>8803.0</v>
      </c>
      <c r="I671" s="598">
        <v>61.0</v>
      </c>
      <c r="J671" s="598">
        <v>19440.0</v>
      </c>
      <c r="K671" s="1561">
        <v>28213.0</v>
      </c>
      <c r="L671" s="1555">
        <v>86268.0</v>
      </c>
    </row>
    <row r="672">
      <c r="A672" s="1545" t="s">
        <v>2515</v>
      </c>
      <c r="B672" s="1587">
        <v>170954.0</v>
      </c>
      <c r="C672" s="1547">
        <v>3859.0</v>
      </c>
      <c r="D672" s="1548">
        <v>10.5</v>
      </c>
      <c r="E672" s="1557">
        <v>132148.0</v>
      </c>
      <c r="F672" s="598">
        <v>14996.0</v>
      </c>
      <c r="G672" s="598">
        <v>483.0</v>
      </c>
      <c r="H672" s="598">
        <v>8142.0</v>
      </c>
      <c r="I672" s="598">
        <v>62.0</v>
      </c>
      <c r="J672" s="598">
        <v>4314.0</v>
      </c>
      <c r="K672" s="1561">
        <v>10809.0</v>
      </c>
      <c r="L672" s="1555">
        <v>67087.0</v>
      </c>
    </row>
    <row r="673">
      <c r="A673" s="1545" t="s">
        <v>150</v>
      </c>
      <c r="B673" s="1587">
        <v>103998.0</v>
      </c>
      <c r="C673" s="1547">
        <v>6135.0</v>
      </c>
      <c r="D673" s="1548">
        <v>27.0</v>
      </c>
      <c r="E673" s="1557">
        <v>75809.0</v>
      </c>
      <c r="F673" s="598">
        <v>19047.0</v>
      </c>
      <c r="G673" s="598">
        <v>237.0</v>
      </c>
      <c r="H673" s="598">
        <v>1515.0</v>
      </c>
      <c r="I673" s="598">
        <v>36.0</v>
      </c>
      <c r="J673" s="598">
        <v>1238.0</v>
      </c>
      <c r="K673" s="1561">
        <v>6116.0</v>
      </c>
      <c r="L673" s="1551">
        <v>50684.0</v>
      </c>
    </row>
    <row r="674">
      <c r="A674" s="1545" t="s">
        <v>734</v>
      </c>
      <c r="B674" s="1587">
        <v>44967.0</v>
      </c>
      <c r="C674" s="1547">
        <v>1820.0</v>
      </c>
      <c r="D674" s="1548">
        <v>19.3</v>
      </c>
      <c r="E674" s="1557">
        <v>42082.0</v>
      </c>
      <c r="F674" s="598">
        <v>369.0</v>
      </c>
      <c r="G674" s="598">
        <v>120.0</v>
      </c>
      <c r="H674" s="598">
        <v>179.0</v>
      </c>
      <c r="I674" s="598">
        <v>0.0</v>
      </c>
      <c r="J674" s="598">
        <v>135.0</v>
      </c>
      <c r="K674" s="1561">
        <v>2082.0</v>
      </c>
      <c r="L674" s="1555">
        <v>53409.0</v>
      </c>
    </row>
    <row r="675">
      <c r="A675" s="1545" t="s">
        <v>151</v>
      </c>
      <c r="B675" s="1587">
        <v>265859.0</v>
      </c>
      <c r="C675" s="1547">
        <v>9829.0</v>
      </c>
      <c r="D675" s="1548">
        <v>17.3</v>
      </c>
      <c r="E675" s="1557">
        <v>216458.0</v>
      </c>
      <c r="F675" s="598">
        <v>24892.0</v>
      </c>
      <c r="G675" s="598">
        <v>787.0</v>
      </c>
      <c r="H675" s="598">
        <v>2754.0</v>
      </c>
      <c r="I675" s="598">
        <v>94.0</v>
      </c>
      <c r="J675" s="598">
        <v>4011.0</v>
      </c>
      <c r="K675" s="1561">
        <v>16863.0</v>
      </c>
      <c r="L675" s="1551">
        <v>60121.0</v>
      </c>
    </row>
    <row r="676">
      <c r="A676" s="1545" t="s">
        <v>153</v>
      </c>
      <c r="B676" s="1587">
        <v>37729.0</v>
      </c>
      <c r="C676" s="1547">
        <v>2570.0</v>
      </c>
      <c r="D676" s="1548">
        <v>30.2</v>
      </c>
      <c r="E676" s="1557">
        <v>33440.0</v>
      </c>
      <c r="F676" s="598">
        <v>1514.0</v>
      </c>
      <c r="G676" s="598">
        <v>116.0</v>
      </c>
      <c r="H676" s="598">
        <v>349.0</v>
      </c>
      <c r="I676" s="598">
        <v>4.0</v>
      </c>
      <c r="J676" s="598">
        <v>243.0</v>
      </c>
      <c r="K676" s="1561">
        <v>2063.0</v>
      </c>
      <c r="L676" s="1551">
        <v>46096.0</v>
      </c>
    </row>
    <row r="677">
      <c r="A677" s="1545" t="s">
        <v>154</v>
      </c>
      <c r="B677" s="1587">
        <v>11742.0</v>
      </c>
      <c r="C677" s="1563">
        <v>306.0</v>
      </c>
      <c r="D677" s="1548">
        <v>13.6</v>
      </c>
      <c r="E677" s="1557">
        <v>10965.0</v>
      </c>
      <c r="F677" s="598">
        <v>88.0</v>
      </c>
      <c r="G677" s="598">
        <v>32.0</v>
      </c>
      <c r="H677" s="598">
        <v>43.0</v>
      </c>
      <c r="I677" s="598">
        <v>0.0</v>
      </c>
      <c r="J677" s="598">
        <v>109.0</v>
      </c>
      <c r="K677" s="1561">
        <v>505.0</v>
      </c>
      <c r="L677" s="1551">
        <v>57422.0</v>
      </c>
    </row>
    <row r="678">
      <c r="A678" s="1545" t="s">
        <v>735</v>
      </c>
      <c r="B678" s="1587">
        <v>13086.0</v>
      </c>
      <c r="C678" s="1563">
        <v>642.0</v>
      </c>
      <c r="D678" s="1548">
        <v>23.4</v>
      </c>
      <c r="E678" s="1557">
        <v>12423.0</v>
      </c>
      <c r="F678" s="598">
        <v>51.0</v>
      </c>
      <c r="G678" s="598">
        <v>24.0</v>
      </c>
      <c r="H678" s="598">
        <v>28.0</v>
      </c>
      <c r="I678" s="598">
        <v>1.0</v>
      </c>
      <c r="J678" s="598">
        <v>43.0</v>
      </c>
      <c r="K678" s="1561">
        <v>516.0</v>
      </c>
      <c r="L678" s="1551">
        <v>48764.0</v>
      </c>
    </row>
    <row r="679">
      <c r="A679" s="1545" t="s">
        <v>736</v>
      </c>
      <c r="B679" s="1587">
        <v>14169.0</v>
      </c>
      <c r="C679" s="1563">
        <v>796.0</v>
      </c>
      <c r="D679" s="1548">
        <v>26.1</v>
      </c>
      <c r="E679" s="1557">
        <v>12179.0</v>
      </c>
      <c r="F679" s="598">
        <v>887.0</v>
      </c>
      <c r="G679" s="598">
        <v>37.0</v>
      </c>
      <c r="H679" s="598">
        <v>44.0</v>
      </c>
      <c r="I679" s="598">
        <v>6.0</v>
      </c>
      <c r="J679" s="598">
        <v>173.0</v>
      </c>
      <c r="K679" s="1561">
        <v>843.0</v>
      </c>
      <c r="L679" s="1551">
        <v>43783.0</v>
      </c>
    </row>
    <row r="680">
      <c r="A680" s="1545" t="s">
        <v>737</v>
      </c>
      <c r="B680" s="1587">
        <v>12297.0</v>
      </c>
      <c r="C680" s="1563">
        <v>386.0</v>
      </c>
      <c r="D680" s="1548">
        <v>14.5</v>
      </c>
      <c r="E680" s="1557">
        <v>11555.0</v>
      </c>
      <c r="F680" s="598">
        <v>84.0</v>
      </c>
      <c r="G680" s="598">
        <v>20.0</v>
      </c>
      <c r="H680" s="598">
        <v>50.0</v>
      </c>
      <c r="I680" s="598">
        <v>2.0</v>
      </c>
      <c r="J680" s="598">
        <v>38.0</v>
      </c>
      <c r="K680" s="1561">
        <v>548.0</v>
      </c>
      <c r="L680" s="1551">
        <v>74872.0</v>
      </c>
    </row>
    <row r="681">
      <c r="A681" s="1545" t="s">
        <v>738</v>
      </c>
      <c r="B681" s="1587">
        <v>15699.0</v>
      </c>
      <c r="C681" s="1563">
        <v>414.0</v>
      </c>
      <c r="D681" s="1548">
        <v>12.6</v>
      </c>
      <c r="E681" s="1557">
        <v>14763.0</v>
      </c>
      <c r="F681" s="598">
        <v>77.0</v>
      </c>
      <c r="G681" s="598">
        <v>30.0</v>
      </c>
      <c r="H681" s="598">
        <v>37.0</v>
      </c>
      <c r="I681" s="598">
        <v>2.0</v>
      </c>
      <c r="J681" s="598">
        <v>84.0</v>
      </c>
      <c r="K681" s="1561">
        <v>706.0</v>
      </c>
      <c r="L681" s="1551">
        <v>58384.0</v>
      </c>
    </row>
    <row r="682">
      <c r="A682" s="1545" t="s">
        <v>156</v>
      </c>
      <c r="B682" s="1587">
        <v>34962.0</v>
      </c>
      <c r="C682" s="1563">
        <v>322.0</v>
      </c>
      <c r="D682" s="1548">
        <v>4.3</v>
      </c>
      <c r="E682" s="1557">
        <v>32855.0</v>
      </c>
      <c r="F682" s="598">
        <v>119.0</v>
      </c>
      <c r="G682" s="598">
        <v>68.0</v>
      </c>
      <c r="H682" s="598">
        <v>186.0</v>
      </c>
      <c r="I682" s="598">
        <v>2.0</v>
      </c>
      <c r="J682" s="598">
        <v>175.0</v>
      </c>
      <c r="K682" s="1561">
        <v>1557.0</v>
      </c>
      <c r="L682" s="1551">
        <v>88481.0</v>
      </c>
    </row>
    <row r="683">
      <c r="A683" s="1545" t="s">
        <v>157</v>
      </c>
      <c r="B683" s="1587">
        <v>28288.0</v>
      </c>
      <c r="C683" s="1547">
        <v>1126.0</v>
      </c>
      <c r="D683" s="1548">
        <v>20.1</v>
      </c>
      <c r="E683" s="1557">
        <v>25872.0</v>
      </c>
      <c r="F683" s="598">
        <v>926.0</v>
      </c>
      <c r="G683" s="598">
        <v>64.0</v>
      </c>
      <c r="H683" s="598">
        <v>135.0</v>
      </c>
      <c r="I683" s="598">
        <v>9.0</v>
      </c>
      <c r="J683" s="598">
        <v>242.0</v>
      </c>
      <c r="K683" s="1561">
        <v>1040.0</v>
      </c>
      <c r="L683" s="1551">
        <v>53138.0</v>
      </c>
    </row>
    <row r="684">
      <c r="A684" s="1545" t="s">
        <v>158</v>
      </c>
      <c r="B684" s="1587">
        <v>32915.0</v>
      </c>
      <c r="C684" s="1547">
        <v>1431.0</v>
      </c>
      <c r="D684" s="1548">
        <v>23.1</v>
      </c>
      <c r="E684" s="1557">
        <v>28786.0</v>
      </c>
      <c r="F684" s="598">
        <v>1983.0</v>
      </c>
      <c r="G684" s="598">
        <v>68.0</v>
      </c>
      <c r="H684" s="598">
        <v>270.0</v>
      </c>
      <c r="I684" s="598">
        <v>16.0</v>
      </c>
      <c r="J684" s="598">
        <v>366.0</v>
      </c>
      <c r="K684" s="1561">
        <v>1426.0</v>
      </c>
      <c r="L684" s="1551">
        <v>48976.0</v>
      </c>
    </row>
    <row r="685">
      <c r="A685" s="1545" t="s">
        <v>739</v>
      </c>
      <c r="B685" s="1587">
        <v>14526.0</v>
      </c>
      <c r="C685" s="1563">
        <v>496.0</v>
      </c>
      <c r="D685" s="1548">
        <v>13.4</v>
      </c>
      <c r="E685" s="1557">
        <v>13815.0</v>
      </c>
      <c r="F685" s="598">
        <v>84.0</v>
      </c>
      <c r="G685" s="598">
        <v>26.0</v>
      </c>
      <c r="H685" s="598">
        <v>49.0</v>
      </c>
      <c r="I685" s="598">
        <v>1.0</v>
      </c>
      <c r="J685" s="598">
        <v>85.0</v>
      </c>
      <c r="K685" s="1561">
        <v>466.0</v>
      </c>
      <c r="L685" s="1551">
        <v>59901.0</v>
      </c>
    </row>
    <row r="686">
      <c r="A686" s="1545" t="s">
        <v>740</v>
      </c>
      <c r="B686" s="1587">
        <v>51788.0</v>
      </c>
      <c r="C686" s="1547">
        <v>1259.0</v>
      </c>
      <c r="D686" s="1548">
        <v>11.2</v>
      </c>
      <c r="E686" s="1557">
        <v>44519.0</v>
      </c>
      <c r="F686" s="598">
        <v>578.0</v>
      </c>
      <c r="G686" s="598">
        <v>279.0</v>
      </c>
      <c r="H686" s="598">
        <v>263.0</v>
      </c>
      <c r="I686" s="598">
        <v>1.0</v>
      </c>
      <c r="J686" s="598">
        <v>2359.0</v>
      </c>
      <c r="K686" s="1561">
        <v>3789.0</v>
      </c>
      <c r="L686" s="1555">
        <v>61794.0</v>
      </c>
    </row>
    <row r="687">
      <c r="A687" s="1545" t="s">
        <v>741</v>
      </c>
      <c r="B687" s="1587">
        <v>181830.0</v>
      </c>
      <c r="C687" s="1547">
        <v>9499.0</v>
      </c>
      <c r="D687" s="1548">
        <v>22.8</v>
      </c>
      <c r="E687" s="1557">
        <v>122629.0</v>
      </c>
      <c r="F687" s="598">
        <v>34015.0</v>
      </c>
      <c r="G687" s="598">
        <v>550.0</v>
      </c>
      <c r="H687" s="598">
        <v>7779.0</v>
      </c>
      <c r="I687" s="598">
        <v>66.0</v>
      </c>
      <c r="J687" s="598">
        <v>5035.0</v>
      </c>
      <c r="K687" s="1561">
        <v>11756.0</v>
      </c>
      <c r="L687" s="1551">
        <v>56478.0</v>
      </c>
    </row>
    <row r="688">
      <c r="A688" s="1545" t="s">
        <v>159</v>
      </c>
      <c r="B688" s="1587">
        <v>20945.0</v>
      </c>
      <c r="C688" s="1563">
        <v>943.0</v>
      </c>
      <c r="D688" s="1548">
        <v>23.4</v>
      </c>
      <c r="E688" s="1557">
        <v>17919.0</v>
      </c>
      <c r="F688" s="598">
        <v>1681.0</v>
      </c>
      <c r="G688" s="598">
        <v>44.0</v>
      </c>
      <c r="H688" s="598">
        <v>126.0</v>
      </c>
      <c r="I688" s="598">
        <v>1.0</v>
      </c>
      <c r="J688" s="598">
        <v>392.0</v>
      </c>
      <c r="K688" s="1561">
        <v>782.0</v>
      </c>
      <c r="L688" s="1551">
        <v>49965.0</v>
      </c>
    </row>
    <row r="689">
      <c r="A689" s="1545" t="s">
        <v>742</v>
      </c>
      <c r="B689" s="1587">
        <v>16673.0</v>
      </c>
      <c r="C689" s="1563">
        <v>299.0</v>
      </c>
      <c r="D689" s="1548">
        <v>8.2</v>
      </c>
      <c r="E689" s="1557">
        <v>15692.0</v>
      </c>
      <c r="F689" s="598">
        <v>83.0</v>
      </c>
      <c r="G689" s="598">
        <v>24.0</v>
      </c>
      <c r="H689" s="598">
        <v>84.0</v>
      </c>
      <c r="I689" s="598">
        <v>1.0</v>
      </c>
      <c r="J689" s="598">
        <v>87.0</v>
      </c>
      <c r="K689" s="1561">
        <v>702.0</v>
      </c>
      <c r="L689" s="1551">
        <v>67460.0</v>
      </c>
    </row>
    <row r="690">
      <c r="A690" s="1545" t="s">
        <v>162</v>
      </c>
      <c r="B690" s="1587">
        <v>14739.0</v>
      </c>
      <c r="C690" s="1563">
        <v>669.0</v>
      </c>
      <c r="D690" s="1548">
        <v>19.6</v>
      </c>
      <c r="E690" s="1557">
        <v>13969.0</v>
      </c>
      <c r="F690" s="598">
        <v>73.0</v>
      </c>
      <c r="G690" s="598">
        <v>38.0</v>
      </c>
      <c r="H690" s="598">
        <v>43.0</v>
      </c>
      <c r="I690" s="598">
        <v>7.0</v>
      </c>
      <c r="J690" s="598">
        <v>104.0</v>
      </c>
      <c r="K690" s="1561">
        <v>505.0</v>
      </c>
      <c r="L690" s="1551">
        <v>47815.0</v>
      </c>
    </row>
    <row r="691">
      <c r="A691" s="1545" t="s">
        <v>303</v>
      </c>
      <c r="B691" s="1587">
        <v>3763.0</v>
      </c>
      <c r="C691" s="1563">
        <v>133.0</v>
      </c>
      <c r="D691" s="1548">
        <v>27.1</v>
      </c>
      <c r="E691" s="1557">
        <v>3513.0</v>
      </c>
      <c r="F691" s="598">
        <v>43.0</v>
      </c>
      <c r="G691" s="598">
        <v>7.0</v>
      </c>
      <c r="H691" s="598">
        <v>19.0</v>
      </c>
      <c r="I691" s="598">
        <v>0.0</v>
      </c>
      <c r="J691" s="598">
        <v>17.0</v>
      </c>
      <c r="K691" s="1561">
        <v>164.0</v>
      </c>
      <c r="L691" s="1551">
        <v>43053.0</v>
      </c>
    </row>
    <row r="692">
      <c r="A692" s="1545" t="s">
        <v>305</v>
      </c>
      <c r="B692" s="1587">
        <v>5193.0</v>
      </c>
      <c r="C692" s="1563">
        <v>390.0</v>
      </c>
      <c r="D692" s="1548">
        <v>33.4</v>
      </c>
      <c r="E692" s="1557">
        <v>3261.0</v>
      </c>
      <c r="F692" s="598">
        <v>1466.0</v>
      </c>
      <c r="G692" s="598">
        <v>41.0</v>
      </c>
      <c r="H692" s="598">
        <v>13.0</v>
      </c>
      <c r="I692" s="598">
        <v>0.0</v>
      </c>
      <c r="J692" s="598">
        <v>162.0</v>
      </c>
      <c r="K692" s="1561">
        <v>250.0</v>
      </c>
      <c r="L692" s="1551">
        <v>38400.0</v>
      </c>
    </row>
    <row r="693">
      <c r="A693" s="1545" t="s">
        <v>518</v>
      </c>
      <c r="B693" s="1587">
        <v>5637.0</v>
      </c>
      <c r="C693" s="1563">
        <v>141.0</v>
      </c>
      <c r="D693" s="1548">
        <v>12.5</v>
      </c>
      <c r="E693" s="1557">
        <v>5175.0</v>
      </c>
      <c r="F693" s="598">
        <v>26.0</v>
      </c>
      <c r="G693" s="598">
        <v>13.0</v>
      </c>
      <c r="H693" s="598">
        <v>18.0</v>
      </c>
      <c r="I693" s="598">
        <v>4.0</v>
      </c>
      <c r="J693" s="598">
        <v>132.0</v>
      </c>
      <c r="K693" s="1561">
        <v>269.0</v>
      </c>
      <c r="L693" s="1551">
        <v>66319.0</v>
      </c>
    </row>
    <row r="694">
      <c r="A694" s="1545" t="s">
        <v>163</v>
      </c>
      <c r="B694" s="1587">
        <v>30163.0</v>
      </c>
      <c r="C694" s="1547">
        <v>1090.0</v>
      </c>
      <c r="D694" s="1548">
        <v>17.8</v>
      </c>
      <c r="E694" s="1557">
        <v>25626.0</v>
      </c>
      <c r="F694" s="598">
        <v>2395.0</v>
      </c>
      <c r="G694" s="598">
        <v>62.0</v>
      </c>
      <c r="H694" s="598">
        <v>86.0</v>
      </c>
      <c r="I694" s="598">
        <v>8.0</v>
      </c>
      <c r="J694" s="598">
        <v>697.0</v>
      </c>
      <c r="K694" s="1561">
        <v>1289.0</v>
      </c>
      <c r="L694" s="1551">
        <v>53607.0</v>
      </c>
    </row>
    <row r="695">
      <c r="A695" s="1545" t="s">
        <v>743</v>
      </c>
      <c r="B695" s="1587">
        <v>15813.0</v>
      </c>
      <c r="C695" s="1563">
        <v>752.0</v>
      </c>
      <c r="D695" s="1548">
        <v>20.9</v>
      </c>
      <c r="E695" s="1557">
        <v>14896.0</v>
      </c>
      <c r="F695" s="598">
        <v>77.0</v>
      </c>
      <c r="G695" s="598">
        <v>37.0</v>
      </c>
      <c r="H695" s="598">
        <v>127.0</v>
      </c>
      <c r="I695" s="598">
        <v>7.0</v>
      </c>
      <c r="J695" s="598">
        <v>80.0</v>
      </c>
      <c r="K695" s="1561">
        <v>589.0</v>
      </c>
      <c r="L695" s="1555">
        <v>48152.0</v>
      </c>
    </row>
    <row r="696">
      <c r="A696" s="1545" t="s">
        <v>744</v>
      </c>
      <c r="B696" s="1587">
        <v>144672.0</v>
      </c>
      <c r="C696" s="1547">
        <v>6890.0</v>
      </c>
      <c r="D696" s="1548">
        <v>21.9</v>
      </c>
      <c r="E696" s="1557">
        <v>102939.0</v>
      </c>
      <c r="F696" s="598">
        <v>16607.0</v>
      </c>
      <c r="G696" s="598">
        <v>748.0</v>
      </c>
      <c r="H696" s="598">
        <v>4089.0</v>
      </c>
      <c r="I696" s="598">
        <v>45.0</v>
      </c>
      <c r="J696" s="598">
        <v>7552.0</v>
      </c>
      <c r="K696" s="1561">
        <v>12692.0</v>
      </c>
      <c r="L696" s="1555">
        <v>52642.0</v>
      </c>
    </row>
    <row r="697">
      <c r="A697" s="1545" t="s">
        <v>768</v>
      </c>
      <c r="B697" s="1587">
        <v>257400.0</v>
      </c>
      <c r="C697" s="1547">
        <v>13269.0</v>
      </c>
      <c r="D697" s="1548">
        <v>22.0</v>
      </c>
      <c r="E697" s="1557">
        <v>153376.0</v>
      </c>
      <c r="F697" s="598">
        <v>76564.0</v>
      </c>
      <c r="G697" s="598">
        <v>881.0</v>
      </c>
      <c r="H697" s="598">
        <v>3711.0</v>
      </c>
      <c r="I697" s="598">
        <v>188.0</v>
      </c>
      <c r="J697" s="598">
        <v>5288.0</v>
      </c>
      <c r="K697" s="1561">
        <v>17392.0</v>
      </c>
      <c r="L697" s="1551">
        <v>58222.0</v>
      </c>
    </row>
    <row r="698">
      <c r="A698" s="1545" t="s">
        <v>308</v>
      </c>
      <c r="B698" s="1587">
        <v>23768.0</v>
      </c>
      <c r="C698" s="1547">
        <v>1449.0</v>
      </c>
      <c r="D698" s="1548">
        <v>29.7</v>
      </c>
      <c r="E698" s="1557">
        <v>21481.0</v>
      </c>
      <c r="F698" s="598">
        <v>700.0</v>
      </c>
      <c r="G698" s="598">
        <v>81.0</v>
      </c>
      <c r="H698" s="598">
        <v>126.0</v>
      </c>
      <c r="I698" s="598">
        <v>0.0</v>
      </c>
      <c r="J698" s="598">
        <v>200.0</v>
      </c>
      <c r="K698" s="1561">
        <v>1180.0</v>
      </c>
      <c r="L698" s="1555">
        <v>40761.0</v>
      </c>
    </row>
    <row r="699">
      <c r="A699" s="1545" t="s">
        <v>745</v>
      </c>
      <c r="B699" s="1587">
        <v>196343.0</v>
      </c>
      <c r="C699" s="1547">
        <v>8496.0</v>
      </c>
      <c r="D699" s="1548">
        <v>20.0</v>
      </c>
      <c r="E699" s="1557">
        <v>151998.0</v>
      </c>
      <c r="F699" s="598">
        <v>25958.0</v>
      </c>
      <c r="G699" s="598">
        <v>496.0</v>
      </c>
      <c r="H699" s="598">
        <v>4335.0</v>
      </c>
      <c r="I699" s="598">
        <v>65.0</v>
      </c>
      <c r="J699" s="598">
        <v>1886.0</v>
      </c>
      <c r="K699" s="1561">
        <v>11605.0</v>
      </c>
      <c r="L699" s="1551">
        <v>62242.0</v>
      </c>
    </row>
    <row r="700">
      <c r="A700" s="1545" t="s">
        <v>746</v>
      </c>
      <c r="B700" s="1587">
        <v>6902.0</v>
      </c>
      <c r="C700" s="1563">
        <v>182.0</v>
      </c>
      <c r="D700" s="1548">
        <v>14.9</v>
      </c>
      <c r="E700" s="1557">
        <v>6211.0</v>
      </c>
      <c r="F700" s="598">
        <v>289.0</v>
      </c>
      <c r="G700" s="598">
        <v>29.0</v>
      </c>
      <c r="H700" s="598">
        <v>26.0</v>
      </c>
      <c r="I700" s="598">
        <v>2.0</v>
      </c>
      <c r="J700" s="598">
        <v>45.0</v>
      </c>
      <c r="K700" s="1561">
        <v>300.0</v>
      </c>
      <c r="L700" s="1551">
        <v>52018.0</v>
      </c>
    </row>
    <row r="701">
      <c r="A701" s="1545" t="s">
        <v>309</v>
      </c>
      <c r="B701" s="1587">
        <v>4949.0</v>
      </c>
      <c r="C701" s="1563">
        <v>156.0</v>
      </c>
      <c r="D701" s="1548">
        <v>15.0</v>
      </c>
      <c r="E701" s="1557">
        <v>4765.0</v>
      </c>
      <c r="F701" s="598">
        <v>5.0</v>
      </c>
      <c r="G701" s="598">
        <v>3.0</v>
      </c>
      <c r="H701" s="598">
        <v>11.0</v>
      </c>
      <c r="I701" s="598">
        <v>1.0</v>
      </c>
      <c r="J701" s="598">
        <v>13.0</v>
      </c>
      <c r="K701" s="1561">
        <v>151.0</v>
      </c>
      <c r="L701" s="1551">
        <v>55198.0</v>
      </c>
    </row>
    <row r="702">
      <c r="A702" s="1545" t="s">
        <v>168</v>
      </c>
      <c r="B702" s="1587">
        <v>20990.0</v>
      </c>
      <c r="C702" s="1563">
        <v>609.0</v>
      </c>
      <c r="D702" s="1548">
        <v>13.3</v>
      </c>
      <c r="E702" s="1557">
        <v>20197.0</v>
      </c>
      <c r="F702" s="598">
        <v>65.0</v>
      </c>
      <c r="G702" s="598">
        <v>39.0</v>
      </c>
      <c r="H702" s="598">
        <v>83.0</v>
      </c>
      <c r="I702" s="598">
        <v>1.0</v>
      </c>
      <c r="J702" s="598">
        <v>95.0</v>
      </c>
      <c r="K702" s="1561">
        <v>510.0</v>
      </c>
      <c r="L702" s="1551">
        <v>56509.0</v>
      </c>
    </row>
    <row r="703">
      <c r="A703" s="1545" t="s">
        <v>747</v>
      </c>
      <c r="B703" s="1587">
        <v>5400.0</v>
      </c>
      <c r="C703" s="1563">
        <v>197.0</v>
      </c>
      <c r="D703" s="1548">
        <v>17.2</v>
      </c>
      <c r="E703" s="1557">
        <v>5129.0</v>
      </c>
      <c r="F703" s="598">
        <v>18.0</v>
      </c>
      <c r="G703" s="598">
        <v>12.0</v>
      </c>
      <c r="H703" s="598">
        <v>23.0</v>
      </c>
      <c r="I703" s="598">
        <v>0.0</v>
      </c>
      <c r="J703" s="598">
        <v>28.0</v>
      </c>
      <c r="K703" s="1561">
        <v>190.0</v>
      </c>
      <c r="L703" s="1551">
        <v>52651.0</v>
      </c>
    </row>
    <row r="704">
      <c r="A704" s="1545" t="s">
        <v>748</v>
      </c>
      <c r="B704" s="1587">
        <v>44630.0</v>
      </c>
      <c r="C704" s="1547">
        <v>1960.0</v>
      </c>
      <c r="D704" s="1548">
        <v>20.9</v>
      </c>
      <c r="E704" s="1557">
        <v>35911.0</v>
      </c>
      <c r="F704" s="598">
        <v>4456.0</v>
      </c>
      <c r="G704" s="598">
        <v>118.0</v>
      </c>
      <c r="H704" s="598">
        <v>306.0</v>
      </c>
      <c r="I704" s="598">
        <v>11.0</v>
      </c>
      <c r="J704" s="598">
        <v>897.0</v>
      </c>
      <c r="K704" s="1561">
        <v>2931.0</v>
      </c>
      <c r="L704" s="1555">
        <v>47357.0</v>
      </c>
    </row>
    <row r="705">
      <c r="A705" s="1545" t="s">
        <v>749</v>
      </c>
      <c r="B705" s="1587">
        <v>131343.0</v>
      </c>
      <c r="C705" s="1547">
        <v>3587.0</v>
      </c>
      <c r="D705" s="1548">
        <v>12.2</v>
      </c>
      <c r="E705" s="1557">
        <v>121078.0</v>
      </c>
      <c r="F705" s="598">
        <v>1683.0</v>
      </c>
      <c r="G705" s="598">
        <v>345.0</v>
      </c>
      <c r="H705" s="598">
        <v>1090.0</v>
      </c>
      <c r="I705" s="598">
        <v>51.0</v>
      </c>
      <c r="J705" s="598">
        <v>964.0</v>
      </c>
      <c r="K705" s="1561">
        <v>6132.0</v>
      </c>
      <c r="L705" s="1551">
        <v>61508.0</v>
      </c>
    </row>
    <row r="706">
      <c r="A706" s="1545" t="s">
        <v>316</v>
      </c>
      <c r="B706" s="1587">
        <v>17244.0</v>
      </c>
      <c r="C706" s="1563">
        <v>852.0</v>
      </c>
      <c r="D706" s="1548">
        <v>24.5</v>
      </c>
      <c r="E706" s="1557">
        <v>15513.0</v>
      </c>
      <c r="F706" s="598">
        <v>228.0</v>
      </c>
      <c r="G706" s="598">
        <v>90.0</v>
      </c>
      <c r="H706" s="598">
        <v>67.0</v>
      </c>
      <c r="I706" s="598">
        <v>11.0</v>
      </c>
      <c r="J706" s="598">
        <v>288.0</v>
      </c>
      <c r="K706" s="1561">
        <v>1047.0</v>
      </c>
      <c r="L706" s="1555">
        <v>49716.0</v>
      </c>
    </row>
    <row r="707">
      <c r="A707" s="1545" t="s">
        <v>750</v>
      </c>
      <c r="B707" s="1587">
        <v>74188.0</v>
      </c>
      <c r="C707" s="1547">
        <v>5232.0</v>
      </c>
      <c r="D707" s="1548">
        <v>29.5</v>
      </c>
      <c r="E707" s="1557">
        <v>57282.0</v>
      </c>
      <c r="F707" s="598">
        <v>10421.0</v>
      </c>
      <c r="G707" s="598">
        <v>234.0</v>
      </c>
      <c r="H707" s="598">
        <v>577.0</v>
      </c>
      <c r="I707" s="598">
        <v>10.0</v>
      </c>
      <c r="J707" s="598">
        <v>1644.0</v>
      </c>
      <c r="K707" s="1561">
        <v>4020.0</v>
      </c>
      <c r="L707" s="1551">
        <v>44638.0</v>
      </c>
    </row>
    <row r="708">
      <c r="A708" s="1545" t="s">
        <v>751</v>
      </c>
      <c r="B708" s="1587">
        <v>11361.0</v>
      </c>
      <c r="C708" s="1563">
        <v>482.0</v>
      </c>
      <c r="D708" s="1548">
        <v>18.8</v>
      </c>
      <c r="E708" s="1557">
        <v>10581.0</v>
      </c>
      <c r="F708" s="598">
        <v>58.0</v>
      </c>
      <c r="G708" s="598">
        <v>20.0</v>
      </c>
      <c r="H708" s="598">
        <v>251.0</v>
      </c>
      <c r="I708" s="598">
        <v>6.0</v>
      </c>
      <c r="J708" s="598">
        <v>52.0</v>
      </c>
      <c r="K708" s="1561">
        <v>393.0</v>
      </c>
      <c r="L708" s="1551">
        <v>53414.0</v>
      </c>
    </row>
    <row r="709">
      <c r="A709" s="1545" t="s">
        <v>647</v>
      </c>
      <c r="B709" s="1587">
        <v>16835.0</v>
      </c>
      <c r="C709" s="1563">
        <v>632.0</v>
      </c>
      <c r="D709" s="1548">
        <v>17.2</v>
      </c>
      <c r="E709" s="1557">
        <v>13842.0</v>
      </c>
      <c r="F709" s="598">
        <v>587.0</v>
      </c>
      <c r="G709" s="598">
        <v>72.0</v>
      </c>
      <c r="H709" s="598">
        <v>330.0</v>
      </c>
      <c r="I709" s="598">
        <v>18.0</v>
      </c>
      <c r="J709" s="598">
        <v>935.0</v>
      </c>
      <c r="K709" s="1561">
        <v>1051.0</v>
      </c>
      <c r="L709" s="1551">
        <v>53532.0</v>
      </c>
    </row>
    <row r="710">
      <c r="A710" s="1545" t="s">
        <v>119</v>
      </c>
      <c r="B710" s="1587">
        <v>13761.0</v>
      </c>
      <c r="C710" s="1563">
        <v>307.0</v>
      </c>
      <c r="D710" s="1548">
        <v>10.5</v>
      </c>
      <c r="E710" s="1557">
        <v>13028.0</v>
      </c>
      <c r="F710" s="598">
        <v>97.0</v>
      </c>
      <c r="G710" s="598">
        <v>30.0</v>
      </c>
      <c r="H710" s="598">
        <v>69.0</v>
      </c>
      <c r="I710" s="598">
        <v>20.0</v>
      </c>
      <c r="J710" s="598">
        <v>70.0</v>
      </c>
      <c r="K710" s="1561">
        <v>447.0</v>
      </c>
      <c r="L710" s="1551">
        <v>66937.0</v>
      </c>
    </row>
    <row r="711">
      <c r="A711" s="1545" t="s">
        <v>273</v>
      </c>
      <c r="B711" s="1587">
        <v>16179.0</v>
      </c>
      <c r="C711" s="1563">
        <v>769.0</v>
      </c>
      <c r="D711" s="1548">
        <v>21.0</v>
      </c>
      <c r="E711" s="1557">
        <v>15458.0</v>
      </c>
      <c r="F711" s="598">
        <v>91.0</v>
      </c>
      <c r="G711" s="598">
        <v>34.0</v>
      </c>
      <c r="H711" s="598">
        <v>49.0</v>
      </c>
      <c r="I711" s="598">
        <v>6.0</v>
      </c>
      <c r="J711" s="598">
        <v>95.0</v>
      </c>
      <c r="K711" s="1561">
        <v>446.0</v>
      </c>
      <c r="L711" s="1551">
        <v>50471.0</v>
      </c>
    </row>
    <row r="712">
      <c r="A712" s="1545" t="s">
        <v>66</v>
      </c>
      <c r="B712" s="1587">
        <v>13877.0</v>
      </c>
      <c r="C712" s="1563">
        <v>562.0</v>
      </c>
      <c r="D712" s="1548">
        <v>19.3</v>
      </c>
      <c r="E712" s="1557">
        <v>13062.0</v>
      </c>
      <c r="F712" s="598">
        <v>91.0</v>
      </c>
      <c r="G712" s="598">
        <v>23.0</v>
      </c>
      <c r="H712" s="598">
        <v>65.0</v>
      </c>
      <c r="I712" s="598">
        <v>21.0</v>
      </c>
      <c r="J712" s="598">
        <v>57.0</v>
      </c>
      <c r="K712" s="1561">
        <v>558.0</v>
      </c>
      <c r="L712" s="1551">
        <v>49507.0</v>
      </c>
    </row>
    <row r="713">
      <c r="A713" s="1545" t="s">
        <v>752</v>
      </c>
      <c r="B713" s="1587">
        <v>55691.0</v>
      </c>
      <c r="C713" s="1547">
        <v>2042.0</v>
      </c>
      <c r="D713" s="1548">
        <v>17.1</v>
      </c>
      <c r="E713" s="1557">
        <v>47759.0</v>
      </c>
      <c r="F713" s="598">
        <v>839.0</v>
      </c>
      <c r="G713" s="598">
        <v>235.0</v>
      </c>
      <c r="H713" s="598">
        <v>311.0</v>
      </c>
      <c r="I713" s="598">
        <v>12.0</v>
      </c>
      <c r="J713" s="598">
        <v>2134.0</v>
      </c>
      <c r="K713" s="1561">
        <v>4401.0</v>
      </c>
      <c r="L713" s="1555">
        <v>57197.0</v>
      </c>
    </row>
    <row r="714">
      <c r="A714" s="1545" t="s">
        <v>573</v>
      </c>
      <c r="B714" s="1587">
        <v>696355.0</v>
      </c>
      <c r="C714" s="1547">
        <v>14595.0</v>
      </c>
      <c r="D714" s="1548">
        <v>8.6</v>
      </c>
      <c r="E714" s="1557">
        <v>443562.0</v>
      </c>
      <c r="F714" s="598">
        <v>80979.0</v>
      </c>
      <c r="G714" s="598">
        <v>3974.0</v>
      </c>
      <c r="H714" s="598">
        <v>42849.0</v>
      </c>
      <c r="I714" s="598">
        <v>126.0</v>
      </c>
      <c r="J714" s="598">
        <v>54431.0</v>
      </c>
      <c r="K714" s="1561">
        <v>70434.0</v>
      </c>
      <c r="L714" s="1555">
        <v>86108.0</v>
      </c>
    </row>
    <row r="715">
      <c r="A715" s="1545" t="s">
        <v>627</v>
      </c>
      <c r="B715" s="1587">
        <v>67153.0</v>
      </c>
      <c r="C715" s="1547">
        <v>2876.0</v>
      </c>
      <c r="D715" s="1548">
        <v>20.0</v>
      </c>
      <c r="E715" s="1557">
        <v>58897.0</v>
      </c>
      <c r="F715" s="598">
        <v>2870.0</v>
      </c>
      <c r="G715" s="598">
        <v>263.0</v>
      </c>
      <c r="H715" s="598">
        <v>776.0</v>
      </c>
      <c r="I715" s="598">
        <v>9.0</v>
      </c>
      <c r="J715" s="598">
        <v>554.0</v>
      </c>
      <c r="K715" s="1561">
        <v>3784.0</v>
      </c>
      <c r="L715" s="1555">
        <v>46187.0</v>
      </c>
    </row>
    <row r="716">
      <c r="A716" s="1545" t="s">
        <v>753</v>
      </c>
      <c r="B716" s="1587">
        <v>285350.0</v>
      </c>
      <c r="C716" s="1547">
        <v>17728.0</v>
      </c>
      <c r="D716" s="1548">
        <v>27.2</v>
      </c>
      <c r="E716" s="1557">
        <v>191124.0</v>
      </c>
      <c r="F716" s="598">
        <v>39159.0</v>
      </c>
      <c r="G716" s="598">
        <v>1632.0</v>
      </c>
      <c r="H716" s="598">
        <v>8039.0</v>
      </c>
      <c r="I716" s="598">
        <v>84.0</v>
      </c>
      <c r="J716" s="598">
        <v>19059.0</v>
      </c>
      <c r="K716" s="1561">
        <v>26253.0</v>
      </c>
      <c r="L716" s="1615">
        <v>53795.0</v>
      </c>
    </row>
    <row r="717">
      <c r="A717" s="1528" t="s">
        <v>754</v>
      </c>
      <c r="B717" s="1595">
        <v>38467.0</v>
      </c>
      <c r="C717" s="1582">
        <v>705.0</v>
      </c>
      <c r="D717" s="1567">
        <v>7.7</v>
      </c>
      <c r="E717" s="1532">
        <v>36102.0</v>
      </c>
      <c r="F717" s="1533">
        <v>278.0</v>
      </c>
      <c r="G717" s="1533">
        <v>49.0</v>
      </c>
      <c r="H717" s="1533">
        <v>217.0</v>
      </c>
      <c r="I717" s="1533">
        <v>14.0</v>
      </c>
      <c r="J717" s="1533">
        <v>212.0</v>
      </c>
      <c r="K717" s="1616">
        <v>1595.0</v>
      </c>
      <c r="L717" s="1617">
        <v>72247.0</v>
      </c>
    </row>
    <row r="718">
      <c r="A718" s="1538" t="s">
        <v>49</v>
      </c>
      <c r="B718" s="1596">
        <v>6785528.0</v>
      </c>
      <c r="C718" s="1540">
        <v>268470.0</v>
      </c>
      <c r="D718" s="1571">
        <v>17.5</v>
      </c>
      <c r="E718" s="1572">
        <v>5241795.0</v>
      </c>
      <c r="F718" s="1542">
        <v>648513.0</v>
      </c>
      <c r="G718" s="1542">
        <v>26086.0</v>
      </c>
      <c r="H718" s="1542">
        <v>167959.0</v>
      </c>
      <c r="I718" s="1542">
        <v>3137.0</v>
      </c>
      <c r="J718" s="1542">
        <v>261312.0</v>
      </c>
      <c r="K718" s="1543">
        <v>436726.0</v>
      </c>
      <c r="L718" s="1544">
        <v>55725.0</v>
      </c>
    </row>
    <row r="719">
      <c r="A719" s="1545" t="s">
        <v>386</v>
      </c>
      <c r="B719" s="1586">
        <v>35809.0</v>
      </c>
      <c r="C719" s="1547">
        <v>2387.0</v>
      </c>
      <c r="D719" s="1548">
        <v>21.7</v>
      </c>
      <c r="E719" s="1557">
        <v>33670.0</v>
      </c>
      <c r="F719" s="598">
        <v>183.0</v>
      </c>
      <c r="G719" s="598">
        <v>105.0</v>
      </c>
      <c r="H719" s="598">
        <v>137.0</v>
      </c>
      <c r="I719" s="598">
        <v>4.0</v>
      </c>
      <c r="J719" s="598">
        <v>533.0</v>
      </c>
      <c r="K719" s="1561">
        <v>1177.0</v>
      </c>
      <c r="L719" s="1555">
        <v>56693.0</v>
      </c>
    </row>
    <row r="720">
      <c r="A720" s="1545" t="s">
        <v>755</v>
      </c>
      <c r="B720" s="1587">
        <v>385410.0</v>
      </c>
      <c r="C720" s="1547">
        <v>19810.0</v>
      </c>
      <c r="D720" s="1548">
        <v>21.0</v>
      </c>
      <c r="E720" s="1557">
        <v>277055.0</v>
      </c>
      <c r="F720" s="598">
        <v>44481.0</v>
      </c>
      <c r="G720" s="598">
        <v>1671.0</v>
      </c>
      <c r="H720" s="598">
        <v>18304.0</v>
      </c>
      <c r="I720" s="598">
        <v>154.0</v>
      </c>
      <c r="J720" s="598">
        <v>16532.0</v>
      </c>
      <c r="K720" s="1561">
        <v>27213.0</v>
      </c>
      <c r="L720" s="1555">
        <v>54473.0</v>
      </c>
    </row>
    <row r="721">
      <c r="A721" s="1545" t="s">
        <v>756</v>
      </c>
      <c r="B721" s="1587">
        <v>82208.0</v>
      </c>
      <c r="C721" s="1547">
        <v>2415.0</v>
      </c>
      <c r="D721" s="1548">
        <v>12.6</v>
      </c>
      <c r="E721" s="1557">
        <v>65763.0</v>
      </c>
      <c r="F721" s="598">
        <v>1826.0</v>
      </c>
      <c r="G721" s="598">
        <v>305.0</v>
      </c>
      <c r="H721" s="598">
        <v>5390.0</v>
      </c>
      <c r="I721" s="598">
        <v>49.0</v>
      </c>
      <c r="J721" s="598">
        <v>3865.0</v>
      </c>
      <c r="K721" s="1561">
        <v>5010.0</v>
      </c>
      <c r="L721" s="1551">
        <v>63067.0</v>
      </c>
    </row>
    <row r="722">
      <c r="A722" s="1545" t="s">
        <v>243</v>
      </c>
      <c r="B722" s="1587">
        <v>8719.0</v>
      </c>
      <c r="C722" s="1563">
        <v>374.0</v>
      </c>
      <c r="D722" s="1548">
        <v>17.8</v>
      </c>
      <c r="E722" s="1557">
        <v>7954.0</v>
      </c>
      <c r="F722" s="598">
        <v>51.0</v>
      </c>
      <c r="G722" s="598">
        <v>27.0</v>
      </c>
      <c r="H722" s="598">
        <v>13.0</v>
      </c>
      <c r="I722" s="598">
        <v>9.0</v>
      </c>
      <c r="J722" s="598">
        <v>308.0</v>
      </c>
      <c r="K722" s="1561">
        <v>357.0</v>
      </c>
      <c r="L722" s="1551">
        <v>51649.0</v>
      </c>
    </row>
    <row r="723">
      <c r="A723" s="1545" t="s">
        <v>757</v>
      </c>
      <c r="B723" s="1587">
        <v>12112.0</v>
      </c>
      <c r="C723" s="1563">
        <v>563.0</v>
      </c>
      <c r="D723" s="1548">
        <v>22.3</v>
      </c>
      <c r="E723" s="1557">
        <v>11380.0</v>
      </c>
      <c r="F723" s="598">
        <v>59.0</v>
      </c>
      <c r="G723" s="598">
        <v>39.0</v>
      </c>
      <c r="H723" s="598">
        <v>24.0</v>
      </c>
      <c r="I723" s="598">
        <v>0.0</v>
      </c>
      <c r="J723" s="598">
        <v>98.0</v>
      </c>
      <c r="K723" s="1561">
        <v>512.0</v>
      </c>
      <c r="L723" s="1555">
        <v>45161.0</v>
      </c>
    </row>
    <row r="724">
      <c r="A724" s="1545" t="s">
        <v>246</v>
      </c>
      <c r="B724" s="1587">
        <v>70812.0</v>
      </c>
      <c r="C724" s="1563">
        <v>910.0</v>
      </c>
      <c r="D724" s="1548">
        <v>5.2</v>
      </c>
      <c r="E724" s="1557">
        <v>61825.0</v>
      </c>
      <c r="F724" s="598">
        <v>1441.0</v>
      </c>
      <c r="G724" s="598">
        <v>164.0</v>
      </c>
      <c r="H724" s="598">
        <v>2401.0</v>
      </c>
      <c r="I724" s="598">
        <v>19.0</v>
      </c>
      <c r="J724" s="598">
        <v>869.0</v>
      </c>
      <c r="K724" s="1561">
        <v>4093.0</v>
      </c>
      <c r="L724" s="1551">
        <v>85876.0</v>
      </c>
    </row>
    <row r="725">
      <c r="A725" s="1545" t="s">
        <v>706</v>
      </c>
      <c r="B725" s="1587">
        <v>15475.0</v>
      </c>
      <c r="C725" s="1563">
        <v>435.0</v>
      </c>
      <c r="D725" s="1548">
        <v>16.3</v>
      </c>
      <c r="E725" s="1557">
        <v>14565.0</v>
      </c>
      <c r="F725" s="598">
        <v>64.0</v>
      </c>
      <c r="G725" s="598">
        <v>38.0</v>
      </c>
      <c r="H725" s="598">
        <v>68.0</v>
      </c>
      <c r="I725" s="598">
        <v>5.0</v>
      </c>
      <c r="J725" s="598">
        <v>108.0</v>
      </c>
      <c r="K725" s="1561">
        <v>627.0</v>
      </c>
      <c r="L725" s="1551">
        <v>60944.0</v>
      </c>
    </row>
    <row r="726">
      <c r="A726" s="1545" t="s">
        <v>248</v>
      </c>
      <c r="B726" s="1587">
        <v>20306.0</v>
      </c>
      <c r="C726" s="1563">
        <v>513.0</v>
      </c>
      <c r="D726" s="1548">
        <v>11.9</v>
      </c>
      <c r="E726" s="1557">
        <v>18985.0</v>
      </c>
      <c r="F726" s="598">
        <v>155.0</v>
      </c>
      <c r="G726" s="598">
        <v>60.0</v>
      </c>
      <c r="H726" s="598">
        <v>48.0</v>
      </c>
      <c r="I726" s="598">
        <v>0.0</v>
      </c>
      <c r="J726" s="598">
        <v>351.0</v>
      </c>
      <c r="K726" s="1561">
        <v>707.0</v>
      </c>
      <c r="L726" s="1551">
        <v>57092.0</v>
      </c>
    </row>
    <row r="727">
      <c r="A727" s="1545" t="s">
        <v>708</v>
      </c>
      <c r="B727" s="1587">
        <v>37870.0</v>
      </c>
      <c r="C727" s="1547">
        <v>1456.0</v>
      </c>
      <c r="D727" s="1548">
        <v>17.3</v>
      </c>
      <c r="E727" s="1557">
        <v>30122.0</v>
      </c>
      <c r="F727" s="598">
        <v>604.0</v>
      </c>
      <c r="G727" s="598">
        <v>426.0</v>
      </c>
      <c r="H727" s="598">
        <v>577.0</v>
      </c>
      <c r="I727" s="598">
        <v>8.0</v>
      </c>
      <c r="J727" s="598">
        <v>3385.0</v>
      </c>
      <c r="K727" s="1561">
        <v>2748.0</v>
      </c>
      <c r="L727" s="1555">
        <v>48598.0</v>
      </c>
    </row>
    <row r="728">
      <c r="A728" s="1545" t="s">
        <v>253</v>
      </c>
      <c r="B728" s="1587">
        <v>121093.0</v>
      </c>
      <c r="C728" s="1547">
        <v>4073.0</v>
      </c>
      <c r="D728" s="1548">
        <v>15.9</v>
      </c>
      <c r="E728" s="1557">
        <v>97115.0</v>
      </c>
      <c r="F728" s="598">
        <v>9390.0</v>
      </c>
      <c r="G728" s="598">
        <v>549.0</v>
      </c>
      <c r="H728" s="598">
        <v>1340.0</v>
      </c>
      <c r="I728" s="598">
        <v>134.0</v>
      </c>
      <c r="J728" s="598">
        <v>3960.0</v>
      </c>
      <c r="K728" s="1561">
        <v>8605.0</v>
      </c>
      <c r="L728" s="1551">
        <v>56774.0</v>
      </c>
    </row>
    <row r="729">
      <c r="A729" s="1545" t="s">
        <v>112</v>
      </c>
      <c r="B729" s="1587">
        <v>26466.0</v>
      </c>
      <c r="C729" s="1547">
        <v>1310.0</v>
      </c>
      <c r="D729" s="1548">
        <v>22.4</v>
      </c>
      <c r="E729" s="1557">
        <v>25043.0</v>
      </c>
      <c r="F729" s="598">
        <v>138.0</v>
      </c>
      <c r="G729" s="598">
        <v>56.0</v>
      </c>
      <c r="H729" s="598">
        <v>93.0</v>
      </c>
      <c r="I729" s="598">
        <v>6.0</v>
      </c>
      <c r="J729" s="598">
        <v>187.0</v>
      </c>
      <c r="K729" s="1561">
        <v>943.0</v>
      </c>
      <c r="L729" s="1551">
        <v>52699.0</v>
      </c>
    </row>
    <row r="730">
      <c r="A730" s="1545" t="s">
        <v>711</v>
      </c>
      <c r="B730" s="1587">
        <v>33190.0</v>
      </c>
      <c r="C730" s="1547">
        <v>1346.0</v>
      </c>
      <c r="D730" s="1548">
        <v>16.3</v>
      </c>
      <c r="E730" s="1557">
        <v>26867.0</v>
      </c>
      <c r="F730" s="598">
        <v>201.0</v>
      </c>
      <c r="G730" s="598">
        <v>162.0</v>
      </c>
      <c r="H730" s="598">
        <v>73.0</v>
      </c>
      <c r="I730" s="598">
        <v>15.0</v>
      </c>
      <c r="J730" s="598">
        <v>3258.0</v>
      </c>
      <c r="K730" s="1561">
        <v>2614.0</v>
      </c>
      <c r="L730" s="1551">
        <v>51730.0</v>
      </c>
    </row>
    <row r="731">
      <c r="A731" s="1545" t="s">
        <v>263</v>
      </c>
      <c r="B731" s="1587">
        <v>10526.0</v>
      </c>
      <c r="C731" s="1563">
        <v>563.0</v>
      </c>
      <c r="D731" s="1548">
        <v>25.3</v>
      </c>
      <c r="E731" s="1557">
        <v>10030.0</v>
      </c>
      <c r="F731" s="598">
        <v>30.0</v>
      </c>
      <c r="G731" s="598">
        <v>35.0</v>
      </c>
      <c r="H731" s="598">
        <v>23.0</v>
      </c>
      <c r="I731" s="598">
        <v>1.0</v>
      </c>
      <c r="J731" s="598">
        <v>40.0</v>
      </c>
      <c r="K731" s="1561">
        <v>367.0</v>
      </c>
      <c r="L731" s="1551">
        <v>44152.0</v>
      </c>
    </row>
    <row r="732">
      <c r="A732" s="1545" t="s">
        <v>758</v>
      </c>
      <c r="B732" s="1587">
        <v>33381.0</v>
      </c>
      <c r="C732" s="1547">
        <v>1661.0</v>
      </c>
      <c r="D732" s="1548">
        <v>17.4</v>
      </c>
      <c r="E732" s="1557">
        <v>30340.0</v>
      </c>
      <c r="F732" s="598">
        <v>638.0</v>
      </c>
      <c r="G732" s="598">
        <v>69.0</v>
      </c>
      <c r="H732" s="598">
        <v>133.0</v>
      </c>
      <c r="I732" s="598">
        <v>8.0</v>
      </c>
      <c r="J732" s="598">
        <v>859.0</v>
      </c>
      <c r="K732" s="1561">
        <v>1334.0</v>
      </c>
      <c r="L732" s="1551">
        <v>55434.0</v>
      </c>
    </row>
    <row r="733">
      <c r="A733" s="1545" t="s">
        <v>759</v>
      </c>
      <c r="B733" s="1587">
        <v>50679.0</v>
      </c>
      <c r="C733" s="1547">
        <v>1297.0</v>
      </c>
      <c r="D733" s="1548">
        <v>12.0</v>
      </c>
      <c r="E733" s="1557">
        <v>47563.0</v>
      </c>
      <c r="F733" s="598">
        <v>307.0</v>
      </c>
      <c r="G733" s="598">
        <v>84.0</v>
      </c>
      <c r="H733" s="598">
        <v>211.0</v>
      </c>
      <c r="I733" s="598">
        <v>11.0</v>
      </c>
      <c r="J733" s="598">
        <v>336.0</v>
      </c>
      <c r="K733" s="1561">
        <v>2167.0</v>
      </c>
      <c r="L733" s="1551">
        <v>66502.0</v>
      </c>
    </row>
    <row r="734">
      <c r="A734" s="1545" t="s">
        <v>563</v>
      </c>
      <c r="B734" s="1587">
        <v>26472.0</v>
      </c>
      <c r="C734" s="1563">
        <v>982.0</v>
      </c>
      <c r="D734" s="1548">
        <v>15.4</v>
      </c>
      <c r="E734" s="1557">
        <v>24961.0</v>
      </c>
      <c r="F734" s="598">
        <v>91.0</v>
      </c>
      <c r="G734" s="598">
        <v>44.0</v>
      </c>
      <c r="H734" s="598">
        <v>160.0</v>
      </c>
      <c r="I734" s="598">
        <v>8.0</v>
      </c>
      <c r="J734" s="598">
        <v>238.0</v>
      </c>
      <c r="K734" s="1561">
        <v>970.0</v>
      </c>
      <c r="L734" s="1551">
        <v>57441.0</v>
      </c>
    </row>
    <row r="735">
      <c r="A735" s="1545" t="s">
        <v>131</v>
      </c>
      <c r="B735" s="1587">
        <v>43265.0</v>
      </c>
      <c r="C735" s="1547">
        <v>1297.0</v>
      </c>
      <c r="D735" s="1548">
        <v>12.8</v>
      </c>
      <c r="E735" s="1557">
        <v>40666.0</v>
      </c>
      <c r="F735" s="598">
        <v>190.0</v>
      </c>
      <c r="G735" s="598">
        <v>95.0</v>
      </c>
      <c r="H735" s="598">
        <v>228.0</v>
      </c>
      <c r="I735" s="598">
        <v>39.0</v>
      </c>
      <c r="J735" s="598">
        <v>361.0</v>
      </c>
      <c r="K735" s="1561">
        <v>1686.0</v>
      </c>
      <c r="L735" s="1555">
        <v>58987.0</v>
      </c>
    </row>
    <row r="736">
      <c r="A736" s="1545" t="s">
        <v>40</v>
      </c>
      <c r="B736" s="1587">
        <v>111903.0</v>
      </c>
      <c r="C736" s="1547">
        <v>5441.0</v>
      </c>
      <c r="D736" s="1548">
        <v>27.0</v>
      </c>
      <c r="E736" s="1557">
        <v>94312.0</v>
      </c>
      <c r="F736" s="598">
        <v>8249.0</v>
      </c>
      <c r="G736" s="598">
        <v>272.0</v>
      </c>
      <c r="H736" s="598">
        <v>1400.0</v>
      </c>
      <c r="I736" s="598">
        <v>58.0</v>
      </c>
      <c r="J736" s="598">
        <v>1627.0</v>
      </c>
      <c r="K736" s="1561">
        <v>5985.0</v>
      </c>
      <c r="L736" s="1551">
        <v>43096.0</v>
      </c>
    </row>
    <row r="737">
      <c r="A737" s="1545" t="s">
        <v>760</v>
      </c>
      <c r="B737" s="1587">
        <v>43637.0</v>
      </c>
      <c r="C737" s="1563">
        <v>919.0</v>
      </c>
      <c r="D737" s="1548">
        <v>9.1</v>
      </c>
      <c r="E737" s="1557">
        <v>38864.0</v>
      </c>
      <c r="F737" s="598">
        <v>202.0</v>
      </c>
      <c r="G737" s="598">
        <v>148.0</v>
      </c>
      <c r="H737" s="598">
        <v>249.0</v>
      </c>
      <c r="I737" s="598">
        <v>5.0</v>
      </c>
      <c r="J737" s="598">
        <v>2461.0</v>
      </c>
      <c r="K737" s="1561">
        <v>1708.0</v>
      </c>
      <c r="L737" s="1555">
        <v>62126.0</v>
      </c>
    </row>
    <row r="738">
      <c r="A738" s="1545" t="s">
        <v>761</v>
      </c>
      <c r="B738" s="1587">
        <v>207047.0</v>
      </c>
      <c r="C738" s="1547">
        <v>8810.0</v>
      </c>
      <c r="D738" s="1548">
        <v>16.0</v>
      </c>
      <c r="E738" s="1557">
        <v>151468.0</v>
      </c>
      <c r="F738" s="598">
        <v>11372.0</v>
      </c>
      <c r="G738" s="598">
        <v>1413.0</v>
      </c>
      <c r="H738" s="598">
        <v>2274.0</v>
      </c>
      <c r="I738" s="598">
        <v>78.0</v>
      </c>
      <c r="J738" s="598">
        <v>21989.0</v>
      </c>
      <c r="K738" s="1561">
        <v>18453.0</v>
      </c>
      <c r="L738" s="1551">
        <v>59251.0</v>
      </c>
    </row>
    <row r="739">
      <c r="A739" s="1545" t="s">
        <v>135</v>
      </c>
      <c r="B739" s="1587">
        <v>23398.0</v>
      </c>
      <c r="C739" s="1547">
        <v>1004.0</v>
      </c>
      <c r="D739" s="1548">
        <v>20.9</v>
      </c>
      <c r="E739" s="1557">
        <v>22089.0</v>
      </c>
      <c r="F739" s="598">
        <v>281.0</v>
      </c>
      <c r="G739" s="598">
        <v>34.0</v>
      </c>
      <c r="H739" s="598">
        <v>59.0</v>
      </c>
      <c r="I739" s="598">
        <v>2.0</v>
      </c>
      <c r="J739" s="598">
        <v>134.0</v>
      </c>
      <c r="K739" s="1561">
        <v>799.0</v>
      </c>
      <c r="L739" s="1555">
        <v>47737.0</v>
      </c>
    </row>
    <row r="740">
      <c r="A740" s="1545" t="s">
        <v>575</v>
      </c>
      <c r="B740" s="1587">
        <v>80484.0</v>
      </c>
      <c r="C740" s="1547">
        <v>2519.0</v>
      </c>
      <c r="D740" s="1548">
        <v>14.5</v>
      </c>
      <c r="E740" s="1557">
        <v>68660.0</v>
      </c>
      <c r="F740" s="598">
        <v>4341.0</v>
      </c>
      <c r="G740" s="598">
        <v>270.0</v>
      </c>
      <c r="H740" s="598">
        <v>991.0</v>
      </c>
      <c r="I740" s="598">
        <v>21.0</v>
      </c>
      <c r="J740" s="598">
        <v>1317.0</v>
      </c>
      <c r="K740" s="1561">
        <v>4884.0</v>
      </c>
      <c r="L740" s="1551">
        <v>64992.0</v>
      </c>
    </row>
    <row r="741">
      <c r="A741" s="1545" t="s">
        <v>762</v>
      </c>
      <c r="B741" s="1587">
        <v>16479.0</v>
      </c>
      <c r="C741" s="1563">
        <v>580.0</v>
      </c>
      <c r="D741" s="1548">
        <v>16.8</v>
      </c>
      <c r="E741" s="1557">
        <v>15463.0</v>
      </c>
      <c r="F741" s="598">
        <v>64.0</v>
      </c>
      <c r="G741" s="598">
        <v>40.0</v>
      </c>
      <c r="H741" s="598">
        <v>43.0</v>
      </c>
      <c r="I741" s="598">
        <v>12.0</v>
      </c>
      <c r="J741" s="598">
        <v>193.0</v>
      </c>
      <c r="K741" s="1561">
        <v>664.0</v>
      </c>
      <c r="L741" s="1551">
        <v>53493.0</v>
      </c>
    </row>
    <row r="742">
      <c r="A742" s="1545" t="s">
        <v>136</v>
      </c>
      <c r="B742" s="1587">
        <v>22785.0</v>
      </c>
      <c r="C742" s="1563">
        <v>580.0</v>
      </c>
      <c r="D742" s="1548">
        <v>11.4</v>
      </c>
      <c r="E742" s="1557">
        <v>21830.0</v>
      </c>
      <c r="F742" s="598">
        <v>31.0</v>
      </c>
      <c r="G742" s="598">
        <v>36.0</v>
      </c>
      <c r="H742" s="598">
        <v>91.0</v>
      </c>
      <c r="I742" s="598">
        <v>2.0</v>
      </c>
      <c r="J742" s="598">
        <v>89.0</v>
      </c>
      <c r="K742" s="1561">
        <v>706.0</v>
      </c>
      <c r="L742" s="1551">
        <v>62251.0</v>
      </c>
    </row>
    <row r="743">
      <c r="A743" s="1545" t="s">
        <v>275</v>
      </c>
      <c r="B743" s="1587">
        <v>20480.0</v>
      </c>
      <c r="C743" s="1547">
        <v>1006.0</v>
      </c>
      <c r="D743" s="1548">
        <v>22.0</v>
      </c>
      <c r="E743" s="1557">
        <v>18848.0</v>
      </c>
      <c r="F743" s="598">
        <v>148.0</v>
      </c>
      <c r="G743" s="598">
        <v>88.0</v>
      </c>
      <c r="H743" s="598">
        <v>78.0</v>
      </c>
      <c r="I743" s="598">
        <v>0.0</v>
      </c>
      <c r="J743" s="598">
        <v>351.0</v>
      </c>
      <c r="K743" s="1561">
        <v>967.0</v>
      </c>
      <c r="L743" s="1551">
        <v>52798.0</v>
      </c>
    </row>
    <row r="744">
      <c r="A744" s="1545" t="s">
        <v>763</v>
      </c>
      <c r="B744" s="1587">
        <v>33011.0</v>
      </c>
      <c r="C744" s="1563">
        <v>895.0</v>
      </c>
      <c r="D744" s="1548">
        <v>11.7</v>
      </c>
      <c r="E744" s="1557">
        <v>30378.0</v>
      </c>
      <c r="F744" s="598">
        <v>639.0</v>
      </c>
      <c r="G744" s="598">
        <v>72.0</v>
      </c>
      <c r="H744" s="598">
        <v>214.0</v>
      </c>
      <c r="I744" s="598">
        <v>18.0</v>
      </c>
      <c r="J744" s="598">
        <v>331.0</v>
      </c>
      <c r="K744" s="1561">
        <v>1359.0</v>
      </c>
      <c r="L744" s="1555">
        <v>56960.0</v>
      </c>
    </row>
    <row r="745">
      <c r="A745" s="1545" t="s">
        <v>278</v>
      </c>
      <c r="B745" s="1587">
        <v>66674.0</v>
      </c>
      <c r="C745" s="1547">
        <v>4090.0</v>
      </c>
      <c r="D745" s="1548">
        <v>31.0</v>
      </c>
      <c r="E745" s="1557">
        <v>55610.0</v>
      </c>
      <c r="F745" s="598">
        <v>4689.0</v>
      </c>
      <c r="G745" s="598">
        <v>219.0</v>
      </c>
      <c r="H745" s="598">
        <v>527.0</v>
      </c>
      <c r="I745" s="598">
        <v>27.0</v>
      </c>
      <c r="J745" s="598">
        <v>1134.0</v>
      </c>
      <c r="K745" s="1561">
        <v>4468.0</v>
      </c>
      <c r="L745" s="1551">
        <v>45138.0</v>
      </c>
    </row>
    <row r="746">
      <c r="A746" s="1545" t="s">
        <v>138</v>
      </c>
      <c r="B746" s="1587">
        <v>30803.0</v>
      </c>
      <c r="C746" s="1547">
        <v>1280.0</v>
      </c>
      <c r="D746" s="1548">
        <v>18.7</v>
      </c>
      <c r="E746" s="1557">
        <v>29226.0</v>
      </c>
      <c r="F746" s="598">
        <v>54.0</v>
      </c>
      <c r="G746" s="598">
        <v>85.0</v>
      </c>
      <c r="H746" s="598">
        <v>108.0</v>
      </c>
      <c r="I746" s="598">
        <v>4.0</v>
      </c>
      <c r="J746" s="598">
        <v>181.0</v>
      </c>
      <c r="K746" s="1561">
        <v>1145.0</v>
      </c>
      <c r="L746" s="1555">
        <v>46835.0</v>
      </c>
    </row>
    <row r="747">
      <c r="A747" s="1545" t="s">
        <v>497</v>
      </c>
      <c r="B747" s="1587">
        <v>347467.0</v>
      </c>
      <c r="C747" s="1547">
        <v>3997.0</v>
      </c>
      <c r="D747" s="1548">
        <v>4.5</v>
      </c>
      <c r="E747" s="1557">
        <v>278968.0</v>
      </c>
      <c r="F747" s="598">
        <v>14993.0</v>
      </c>
      <c r="G747" s="598">
        <v>671.0</v>
      </c>
      <c r="H747" s="598">
        <v>23595.0</v>
      </c>
      <c r="I747" s="598">
        <v>140.0</v>
      </c>
      <c r="J747" s="598">
        <v>6536.0</v>
      </c>
      <c r="K747" s="1561">
        <v>22564.0</v>
      </c>
      <c r="L747" s="1555">
        <v>101740.0</v>
      </c>
    </row>
    <row r="748">
      <c r="A748" s="1545" t="s">
        <v>587</v>
      </c>
      <c r="B748" s="1587">
        <v>79840.0</v>
      </c>
      <c r="C748" s="1547">
        <v>1161.0</v>
      </c>
      <c r="D748" s="1548">
        <v>6.6</v>
      </c>
      <c r="E748" s="1557">
        <v>71721.0</v>
      </c>
      <c r="F748" s="598">
        <v>2393.0</v>
      </c>
      <c r="G748" s="598">
        <v>169.0</v>
      </c>
      <c r="H748" s="598">
        <v>746.0</v>
      </c>
      <c r="I748" s="598">
        <v>44.0</v>
      </c>
      <c r="J748" s="598">
        <v>787.0</v>
      </c>
      <c r="K748" s="1561">
        <v>3980.0</v>
      </c>
      <c r="L748" s="1551">
        <v>73831.0</v>
      </c>
    </row>
    <row r="749">
      <c r="A749" s="1545" t="s">
        <v>775</v>
      </c>
      <c r="B749" s="1587">
        <v>39654.0</v>
      </c>
      <c r="C749" s="1547">
        <v>1131.0</v>
      </c>
      <c r="D749" s="1548">
        <v>12.7</v>
      </c>
      <c r="E749" s="1557">
        <v>36967.0</v>
      </c>
      <c r="F749" s="598">
        <v>190.0</v>
      </c>
      <c r="G749" s="598">
        <v>116.0</v>
      </c>
      <c r="H749" s="598">
        <v>189.0</v>
      </c>
      <c r="I749" s="598">
        <v>18.0</v>
      </c>
      <c r="J749" s="598">
        <v>446.0</v>
      </c>
      <c r="K749" s="1561">
        <v>1728.0</v>
      </c>
      <c r="L749" s="1555">
        <v>60379.0</v>
      </c>
    </row>
    <row r="750">
      <c r="A750" s="1545" t="s">
        <v>778</v>
      </c>
      <c r="B750" s="1587">
        <v>174788.0</v>
      </c>
      <c r="C750" s="1547">
        <v>2713.0</v>
      </c>
      <c r="D750" s="1548">
        <v>6.6</v>
      </c>
      <c r="E750" s="1557">
        <v>141092.0</v>
      </c>
      <c r="F750" s="598">
        <v>13521.0</v>
      </c>
      <c r="G750" s="598">
        <v>429.0</v>
      </c>
      <c r="H750" s="598">
        <v>5693.0</v>
      </c>
      <c r="I750" s="598">
        <v>78.0</v>
      </c>
      <c r="J750" s="598">
        <v>3210.0</v>
      </c>
      <c r="K750" s="1561">
        <v>10765.0</v>
      </c>
      <c r="L750" s="1551">
        <v>80834.0</v>
      </c>
    </row>
    <row r="751">
      <c r="A751" s="1545" t="s">
        <v>140</v>
      </c>
      <c r="B751" s="1587">
        <v>48914.0</v>
      </c>
      <c r="C751" s="1547">
        <v>1791.0</v>
      </c>
      <c r="D751" s="1548">
        <v>18.6</v>
      </c>
      <c r="E751" s="1557">
        <v>45401.0</v>
      </c>
      <c r="F751" s="598">
        <v>1071.0</v>
      </c>
      <c r="G751" s="598">
        <v>84.0</v>
      </c>
      <c r="H751" s="598">
        <v>198.0</v>
      </c>
      <c r="I751" s="598">
        <v>8.0</v>
      </c>
      <c r="J751" s="598">
        <v>525.0</v>
      </c>
      <c r="K751" s="1561">
        <v>1627.0</v>
      </c>
      <c r="L751" s="1555">
        <v>50183.0</v>
      </c>
    </row>
    <row r="752">
      <c r="A752" s="1545" t="s">
        <v>283</v>
      </c>
      <c r="B752" s="1587">
        <v>83658.0</v>
      </c>
      <c r="C752" s="1547">
        <v>3498.0</v>
      </c>
      <c r="D752" s="1548">
        <v>19.3</v>
      </c>
      <c r="E752" s="1557">
        <v>69540.0</v>
      </c>
      <c r="F752" s="598">
        <v>6516.0</v>
      </c>
      <c r="G752" s="598">
        <v>257.0</v>
      </c>
      <c r="H752" s="598">
        <v>1030.0</v>
      </c>
      <c r="I752" s="598">
        <v>24.0</v>
      </c>
      <c r="J752" s="598">
        <v>1117.0</v>
      </c>
      <c r="K752" s="1561">
        <v>5174.0</v>
      </c>
      <c r="L752" s="1551">
        <v>55365.0</v>
      </c>
    </row>
    <row r="753">
      <c r="A753" s="1545" t="s">
        <v>785</v>
      </c>
      <c r="B753" s="1587">
        <v>36662.0</v>
      </c>
      <c r="C753" s="1547">
        <v>1079.0</v>
      </c>
      <c r="D753" s="1548">
        <v>14.2</v>
      </c>
      <c r="E753" s="1557">
        <v>34213.0</v>
      </c>
      <c r="F753" s="598">
        <v>223.0</v>
      </c>
      <c r="G753" s="598">
        <v>181.0</v>
      </c>
      <c r="H753" s="598">
        <v>169.0</v>
      </c>
      <c r="I753" s="598">
        <v>7.0</v>
      </c>
      <c r="J753" s="598">
        <v>365.0</v>
      </c>
      <c r="K753" s="1561">
        <v>1504.0</v>
      </c>
      <c r="L753" s="1551">
        <v>53809.0</v>
      </c>
    </row>
    <row r="754">
      <c r="A754" s="1545" t="s">
        <v>142</v>
      </c>
      <c r="B754" s="1587">
        <v>46428.0</v>
      </c>
      <c r="C754" s="1547">
        <v>1597.0</v>
      </c>
      <c r="D754" s="1548">
        <v>15.2</v>
      </c>
      <c r="E754" s="1557">
        <v>38701.0</v>
      </c>
      <c r="F754" s="598">
        <v>501.0</v>
      </c>
      <c r="G754" s="598">
        <v>462.0</v>
      </c>
      <c r="H754" s="598">
        <v>471.0</v>
      </c>
      <c r="I754" s="598">
        <v>12.0</v>
      </c>
      <c r="J754" s="598">
        <v>2962.0</v>
      </c>
      <c r="K754" s="1561">
        <v>3319.0</v>
      </c>
      <c r="L754" s="1551">
        <v>55518.0</v>
      </c>
    </row>
    <row r="755">
      <c r="A755" s="1545" t="s">
        <v>593</v>
      </c>
      <c r="B755" s="1587">
        <v>32918.0</v>
      </c>
      <c r="C755" s="1563">
        <v>926.0</v>
      </c>
      <c r="D755" s="1548">
        <v>12.3</v>
      </c>
      <c r="E755" s="1557">
        <v>29690.0</v>
      </c>
      <c r="F755" s="598">
        <v>144.0</v>
      </c>
      <c r="G755" s="598">
        <v>92.0</v>
      </c>
      <c r="H755" s="598">
        <v>91.0</v>
      </c>
      <c r="I755" s="598">
        <v>17.0</v>
      </c>
      <c r="J755" s="598">
        <v>903.0</v>
      </c>
      <c r="K755" s="1561">
        <v>1981.0</v>
      </c>
      <c r="L755" s="1551">
        <v>66720.0</v>
      </c>
    </row>
    <row r="756">
      <c r="A756" s="1545" t="s">
        <v>786</v>
      </c>
      <c r="B756" s="1587">
        <v>20478.0</v>
      </c>
      <c r="C756" s="1547">
        <v>1024.0</v>
      </c>
      <c r="D756" s="1548">
        <v>20.0</v>
      </c>
      <c r="E756" s="1557">
        <v>19145.0</v>
      </c>
      <c r="F756" s="598">
        <v>55.0</v>
      </c>
      <c r="G756" s="598">
        <v>33.0</v>
      </c>
      <c r="H756" s="598">
        <v>68.0</v>
      </c>
      <c r="I756" s="598">
        <v>12.0</v>
      </c>
      <c r="J756" s="598">
        <v>482.0</v>
      </c>
      <c r="K756" s="1561">
        <v>683.0</v>
      </c>
      <c r="L756" s="1551">
        <v>48392.0</v>
      </c>
    </row>
    <row r="757">
      <c r="A757" s="1545" t="s">
        <v>143</v>
      </c>
      <c r="B757" s="1587">
        <v>33147.0</v>
      </c>
      <c r="C757" s="1547">
        <v>1406.0</v>
      </c>
      <c r="D757" s="1548">
        <v>22.4</v>
      </c>
      <c r="E757" s="1557">
        <v>30340.0</v>
      </c>
      <c r="F757" s="598">
        <v>524.0</v>
      </c>
      <c r="G757" s="598">
        <v>97.0</v>
      </c>
      <c r="H757" s="598">
        <v>299.0</v>
      </c>
      <c r="I757" s="598">
        <v>10.0</v>
      </c>
      <c r="J757" s="598">
        <v>596.0</v>
      </c>
      <c r="K757" s="1561">
        <v>1281.0</v>
      </c>
      <c r="L757" s="1551">
        <v>51031.0</v>
      </c>
    </row>
    <row r="758">
      <c r="A758" s="1545" t="s">
        <v>787</v>
      </c>
      <c r="B758" s="1587">
        <v>27613.0</v>
      </c>
      <c r="C758" s="1547">
        <v>1344.0</v>
      </c>
      <c r="D758" s="1548">
        <v>21.9</v>
      </c>
      <c r="E758" s="1557">
        <v>25880.0</v>
      </c>
      <c r="F758" s="598">
        <v>178.0</v>
      </c>
      <c r="G758" s="598">
        <v>73.0</v>
      </c>
      <c r="H758" s="598">
        <v>51.0</v>
      </c>
      <c r="I758" s="598">
        <v>6.0</v>
      </c>
      <c r="J758" s="598">
        <v>402.0</v>
      </c>
      <c r="K758" s="1561">
        <v>1023.0</v>
      </c>
      <c r="L758" s="1555">
        <v>51560.0</v>
      </c>
    </row>
    <row r="759">
      <c r="A759" s="1545" t="s">
        <v>288</v>
      </c>
      <c r="B759" s="1587">
        <v>161765.0</v>
      </c>
      <c r="C759" s="1547">
        <v>3812.0</v>
      </c>
      <c r="D759" s="1548">
        <v>10.1</v>
      </c>
      <c r="E759" s="1557">
        <v>138621.0</v>
      </c>
      <c r="F759" s="598">
        <v>3915.0</v>
      </c>
      <c r="G759" s="598">
        <v>396.0</v>
      </c>
      <c r="H759" s="598">
        <v>7448.0</v>
      </c>
      <c r="I759" s="598">
        <v>80.0</v>
      </c>
      <c r="J759" s="598">
        <v>2532.0</v>
      </c>
      <c r="K759" s="1561">
        <v>8773.0</v>
      </c>
      <c r="L759" s="1551">
        <v>69880.0</v>
      </c>
    </row>
    <row r="760">
      <c r="A760" s="1545" t="s">
        <v>728</v>
      </c>
      <c r="B760" s="1587">
        <v>36282.0</v>
      </c>
      <c r="C760" s="1547">
        <v>1540.0</v>
      </c>
      <c r="D760" s="1548">
        <v>20.2</v>
      </c>
      <c r="E760" s="1557">
        <v>33366.0</v>
      </c>
      <c r="F760" s="598">
        <v>714.0</v>
      </c>
      <c r="G760" s="598">
        <v>75.0</v>
      </c>
      <c r="H760" s="598">
        <v>283.0</v>
      </c>
      <c r="I760" s="598">
        <v>13.0</v>
      </c>
      <c r="J760" s="598">
        <v>450.0</v>
      </c>
      <c r="K760" s="1561">
        <v>1381.0</v>
      </c>
      <c r="L760" s="1555">
        <v>48606.0</v>
      </c>
    </row>
    <row r="761">
      <c r="A761" s="1545" t="s">
        <v>788</v>
      </c>
      <c r="B761" s="1587">
        <v>80240.0</v>
      </c>
      <c r="C761" s="1547">
        <v>2277.0</v>
      </c>
      <c r="D761" s="1548">
        <v>12.3</v>
      </c>
      <c r="E761" s="1557">
        <v>69590.0</v>
      </c>
      <c r="F761" s="598">
        <v>707.0</v>
      </c>
      <c r="G761" s="598">
        <v>275.0</v>
      </c>
      <c r="H761" s="598">
        <v>1353.0</v>
      </c>
      <c r="I761" s="598">
        <v>24.0</v>
      </c>
      <c r="J761" s="598">
        <v>3738.0</v>
      </c>
      <c r="K761" s="1561">
        <v>4553.0</v>
      </c>
      <c r="L761" s="1551">
        <v>57367.0</v>
      </c>
    </row>
    <row r="762">
      <c r="A762" s="1545" t="s">
        <v>789</v>
      </c>
      <c r="B762" s="1587">
        <v>40446.0</v>
      </c>
      <c r="C762" s="1547">
        <v>1406.0</v>
      </c>
      <c r="D762" s="1548">
        <v>11.2</v>
      </c>
      <c r="E762" s="1557">
        <v>38277.0</v>
      </c>
      <c r="F762" s="598">
        <v>93.0</v>
      </c>
      <c r="G762" s="598">
        <v>68.0</v>
      </c>
      <c r="H762" s="598">
        <v>80.0</v>
      </c>
      <c r="I762" s="598">
        <v>3.0</v>
      </c>
      <c r="J762" s="598">
        <v>695.0</v>
      </c>
      <c r="K762" s="1561">
        <v>1230.0</v>
      </c>
      <c r="L762" s="1555">
        <v>67498.0</v>
      </c>
    </row>
    <row r="763">
      <c r="A763" s="1545" t="s">
        <v>337</v>
      </c>
      <c r="B763" s="1587">
        <v>498700.0</v>
      </c>
      <c r="C763" s="1547">
        <v>27338.0</v>
      </c>
      <c r="D763" s="1548">
        <v>24.6</v>
      </c>
      <c r="E763" s="1557">
        <v>275069.0</v>
      </c>
      <c r="F763" s="598">
        <v>124073.0</v>
      </c>
      <c r="G763" s="598">
        <v>3050.0</v>
      </c>
      <c r="H763" s="598">
        <v>7553.0</v>
      </c>
      <c r="I763" s="598">
        <v>148.0</v>
      </c>
      <c r="J763" s="598">
        <v>38650.0</v>
      </c>
      <c r="K763" s="1561">
        <v>50157.0</v>
      </c>
      <c r="L763" s="1555">
        <v>55280.0</v>
      </c>
    </row>
    <row r="764">
      <c r="A764" s="1545" t="s">
        <v>790</v>
      </c>
      <c r="B764" s="1587">
        <v>112417.0</v>
      </c>
      <c r="C764" s="1547">
        <v>5727.0</v>
      </c>
      <c r="D764" s="1548">
        <v>24.9</v>
      </c>
      <c r="E764" s="1557">
        <v>88106.0</v>
      </c>
      <c r="F764" s="598">
        <v>12090.0</v>
      </c>
      <c r="G764" s="598">
        <v>431.0</v>
      </c>
      <c r="H764" s="598">
        <v>754.0</v>
      </c>
      <c r="I764" s="598">
        <v>25.0</v>
      </c>
      <c r="J764" s="598">
        <v>3421.0</v>
      </c>
      <c r="K764" s="1561">
        <v>7590.0</v>
      </c>
      <c r="L764" s="1551">
        <v>52095.0</v>
      </c>
    </row>
    <row r="765">
      <c r="A765" s="1545" t="s">
        <v>146</v>
      </c>
      <c r="B765" s="1587">
        <v>45011.0</v>
      </c>
      <c r="C765" s="1547">
        <v>1686.0</v>
      </c>
      <c r="D765" s="1548">
        <v>17.3</v>
      </c>
      <c r="E765" s="1557">
        <v>42528.0</v>
      </c>
      <c r="F765" s="598">
        <v>204.0</v>
      </c>
      <c r="G765" s="598">
        <v>155.0</v>
      </c>
      <c r="H765" s="598">
        <v>208.0</v>
      </c>
      <c r="I765" s="598">
        <v>11.0</v>
      </c>
      <c r="J765" s="598">
        <v>241.0</v>
      </c>
      <c r="K765" s="1561">
        <v>1664.0</v>
      </c>
      <c r="L765" s="1555">
        <v>53187.0</v>
      </c>
    </row>
    <row r="766">
      <c r="A766" s="1545" t="s">
        <v>151</v>
      </c>
      <c r="B766" s="1587">
        <v>130129.0</v>
      </c>
      <c r="C766" s="1547">
        <v>6685.0</v>
      </c>
      <c r="D766" s="1548">
        <v>24.7</v>
      </c>
      <c r="E766" s="1557">
        <v>108594.0</v>
      </c>
      <c r="F766" s="598">
        <v>10225.0</v>
      </c>
      <c r="G766" s="598">
        <v>407.0</v>
      </c>
      <c r="H766" s="598">
        <v>655.0</v>
      </c>
      <c r="I766" s="598">
        <v>43.0</v>
      </c>
      <c r="J766" s="598">
        <v>3139.0</v>
      </c>
      <c r="K766" s="1561">
        <v>7066.0</v>
      </c>
      <c r="L766" s="1555">
        <v>49522.0</v>
      </c>
    </row>
    <row r="767">
      <c r="A767" s="1545" t="s">
        <v>153</v>
      </c>
      <c r="B767" s="1587">
        <v>977203.0</v>
      </c>
      <c r="C767" s="1547">
        <v>56364.0</v>
      </c>
      <c r="D767" s="1548">
        <v>24.5</v>
      </c>
      <c r="E767" s="1557">
        <v>513036.0</v>
      </c>
      <c r="F767" s="598">
        <v>268694.0</v>
      </c>
      <c r="G767" s="598">
        <v>5200.0</v>
      </c>
      <c r="H767" s="598">
        <v>40062.0</v>
      </c>
      <c r="I767" s="598">
        <v>463.0</v>
      </c>
      <c r="J767" s="598">
        <v>75488.0</v>
      </c>
      <c r="K767" s="1561">
        <v>74260.0</v>
      </c>
      <c r="L767" s="1551">
        <v>48409.0</v>
      </c>
    </row>
    <row r="768">
      <c r="A768" s="1545" t="s">
        <v>154</v>
      </c>
      <c r="B768" s="1587">
        <v>46095.0</v>
      </c>
      <c r="C768" s="1547">
        <v>1600.0</v>
      </c>
      <c r="D768" s="1548">
        <v>14.1</v>
      </c>
      <c r="E768" s="1557">
        <v>40306.0</v>
      </c>
      <c r="F768" s="598">
        <v>223.0</v>
      </c>
      <c r="G768" s="598">
        <v>187.0</v>
      </c>
      <c r="H768" s="598">
        <v>280.0</v>
      </c>
      <c r="I768" s="598">
        <v>7.0</v>
      </c>
      <c r="J768" s="598">
        <v>2326.0</v>
      </c>
      <c r="K768" s="1561">
        <v>2766.0</v>
      </c>
      <c r="L768" s="1551">
        <v>55766.0</v>
      </c>
    </row>
    <row r="769">
      <c r="A769" s="1545" t="s">
        <v>510</v>
      </c>
      <c r="B769" s="1587">
        <v>9812.0</v>
      </c>
      <c r="C769" s="1563">
        <v>346.0</v>
      </c>
      <c r="D769" s="1548">
        <v>15.6</v>
      </c>
      <c r="E769" s="1557">
        <v>9365.0</v>
      </c>
      <c r="F769" s="598">
        <v>20.0</v>
      </c>
      <c r="G769" s="598">
        <v>21.0</v>
      </c>
      <c r="H769" s="598">
        <v>36.0</v>
      </c>
      <c r="I769" s="598">
        <v>6.0</v>
      </c>
      <c r="J769" s="598">
        <v>23.0</v>
      </c>
      <c r="K769" s="1561">
        <v>341.0</v>
      </c>
      <c r="L769" s="1551">
        <v>55444.0</v>
      </c>
    </row>
    <row r="770">
      <c r="A770" s="1545" t="s">
        <v>791</v>
      </c>
      <c r="B770" s="1587">
        <v>35962.0</v>
      </c>
      <c r="C770" s="1547">
        <v>1632.0</v>
      </c>
      <c r="D770" s="1548">
        <v>22.3</v>
      </c>
      <c r="E770" s="1557">
        <v>31502.0</v>
      </c>
      <c r="F770" s="598">
        <v>1805.0</v>
      </c>
      <c r="G770" s="598">
        <v>310.0</v>
      </c>
      <c r="H770" s="598">
        <v>131.0</v>
      </c>
      <c r="I770" s="598">
        <v>5.0</v>
      </c>
      <c r="J770" s="598">
        <v>552.0</v>
      </c>
      <c r="K770" s="1561">
        <v>1657.0</v>
      </c>
      <c r="L770" s="1555">
        <v>47624.0</v>
      </c>
    </row>
    <row r="771">
      <c r="A771" s="1545" t="s">
        <v>156</v>
      </c>
      <c r="B771" s="1587">
        <v>139718.0</v>
      </c>
      <c r="C771" s="1547">
        <v>3187.0</v>
      </c>
      <c r="D771" s="1548">
        <v>14.2</v>
      </c>
      <c r="E771" s="1557">
        <v>114435.0</v>
      </c>
      <c r="F771" s="598">
        <v>5144.0</v>
      </c>
      <c r="G771" s="598">
        <v>347.0</v>
      </c>
      <c r="H771" s="598">
        <v>8376.0</v>
      </c>
      <c r="I771" s="598">
        <v>46.0</v>
      </c>
      <c r="J771" s="598">
        <v>2165.0</v>
      </c>
      <c r="K771" s="1561">
        <v>9205.0</v>
      </c>
      <c r="L771" s="1551">
        <v>48883.0</v>
      </c>
    </row>
    <row r="772">
      <c r="A772" s="1545" t="s">
        <v>157</v>
      </c>
      <c r="B772" s="1587">
        <v>37936.0</v>
      </c>
      <c r="C772" s="1547">
        <v>1334.0</v>
      </c>
      <c r="D772" s="1548">
        <v>15.5</v>
      </c>
      <c r="E772" s="1557">
        <v>34268.0</v>
      </c>
      <c r="F772" s="598">
        <v>346.0</v>
      </c>
      <c r="G772" s="598">
        <v>140.0</v>
      </c>
      <c r="H772" s="598">
        <v>244.0</v>
      </c>
      <c r="I772" s="598">
        <v>13.0</v>
      </c>
      <c r="J772" s="598">
        <v>1126.0</v>
      </c>
      <c r="K772" s="1561">
        <v>1799.0</v>
      </c>
      <c r="L772" s="1555">
        <v>53700.0</v>
      </c>
    </row>
    <row r="773">
      <c r="A773" s="1545" t="s">
        <v>158</v>
      </c>
      <c r="B773" s="1587">
        <v>71780.0</v>
      </c>
      <c r="C773" s="1547">
        <v>2275.0</v>
      </c>
      <c r="D773" s="1548">
        <v>14.7</v>
      </c>
      <c r="E773" s="1557">
        <v>67398.0</v>
      </c>
      <c r="F773" s="598">
        <v>347.0</v>
      </c>
      <c r="G773" s="598">
        <v>217.0</v>
      </c>
      <c r="H773" s="598">
        <v>288.0</v>
      </c>
      <c r="I773" s="598">
        <v>14.0</v>
      </c>
      <c r="J773" s="598">
        <v>458.0</v>
      </c>
      <c r="K773" s="1561">
        <v>3058.0</v>
      </c>
      <c r="L773" s="1551">
        <v>66151.0</v>
      </c>
    </row>
    <row r="774">
      <c r="A774" s="1545" t="s">
        <v>297</v>
      </c>
      <c r="B774" s="1587">
        <v>13830.0</v>
      </c>
      <c r="C774" s="1563">
        <v>424.0</v>
      </c>
      <c r="D774" s="1548">
        <v>14.7</v>
      </c>
      <c r="E774" s="1557">
        <v>12322.0</v>
      </c>
      <c r="F774" s="598">
        <v>43.0</v>
      </c>
      <c r="G774" s="598">
        <v>30.0</v>
      </c>
      <c r="H774" s="598">
        <v>38.0</v>
      </c>
      <c r="I774" s="598">
        <v>6.0</v>
      </c>
      <c r="J774" s="598">
        <v>506.0</v>
      </c>
      <c r="K774" s="1561">
        <v>885.0</v>
      </c>
      <c r="L774" s="1551">
        <v>53060.0</v>
      </c>
    </row>
    <row r="775">
      <c r="A775" s="1545" t="s">
        <v>793</v>
      </c>
      <c r="B775" s="1587">
        <v>47457.0</v>
      </c>
      <c r="C775" s="1547">
        <v>1367.0</v>
      </c>
      <c r="D775" s="1548">
        <v>12.1</v>
      </c>
      <c r="E775" s="1557">
        <v>41352.0</v>
      </c>
      <c r="F775" s="598">
        <v>233.0</v>
      </c>
      <c r="G775" s="598">
        <v>205.0</v>
      </c>
      <c r="H775" s="598">
        <v>226.0</v>
      </c>
      <c r="I775" s="598">
        <v>8.0</v>
      </c>
      <c r="J775" s="598">
        <v>2537.0</v>
      </c>
      <c r="K775" s="1561">
        <v>2896.0</v>
      </c>
      <c r="L775" s="1551">
        <v>61341.0</v>
      </c>
    </row>
    <row r="776">
      <c r="A776" s="1545" t="s">
        <v>100</v>
      </c>
      <c r="B776" s="1587">
        <v>5940.0</v>
      </c>
      <c r="C776" s="1563">
        <v>137.0</v>
      </c>
      <c r="D776" s="1548">
        <v>12.6</v>
      </c>
      <c r="E776" s="1557">
        <v>5654.0</v>
      </c>
      <c r="F776" s="598">
        <v>16.0</v>
      </c>
      <c r="G776" s="598">
        <v>4.0</v>
      </c>
      <c r="H776" s="598">
        <v>31.0</v>
      </c>
      <c r="I776" s="598">
        <v>0.0</v>
      </c>
      <c r="J776" s="598">
        <v>23.0</v>
      </c>
      <c r="K776" s="1561">
        <v>212.0</v>
      </c>
      <c r="L776" s="1551">
        <v>58022.0</v>
      </c>
    </row>
    <row r="777">
      <c r="A777" s="1545" t="s">
        <v>241</v>
      </c>
      <c r="B777" s="1587">
        <v>19867.0</v>
      </c>
      <c r="C777" s="1563">
        <v>941.0</v>
      </c>
      <c r="D777" s="1548">
        <v>21.8</v>
      </c>
      <c r="E777" s="1557">
        <v>18630.0</v>
      </c>
      <c r="F777" s="598">
        <v>207.0</v>
      </c>
      <c r="G777" s="598">
        <v>49.0</v>
      </c>
      <c r="H777" s="598">
        <v>60.0</v>
      </c>
      <c r="I777" s="598">
        <v>11.0</v>
      </c>
      <c r="J777" s="598">
        <v>131.0</v>
      </c>
      <c r="K777" s="1561">
        <v>779.0</v>
      </c>
      <c r="L777" s="1551">
        <v>44968.0</v>
      </c>
    </row>
    <row r="778">
      <c r="A778" s="1545" t="s">
        <v>802</v>
      </c>
      <c r="B778" s="1587">
        <v>21321.0</v>
      </c>
      <c r="C778" s="1563">
        <v>833.0</v>
      </c>
      <c r="D778" s="1548">
        <v>19.5</v>
      </c>
      <c r="E778" s="1557">
        <v>19962.0</v>
      </c>
      <c r="F778" s="598">
        <v>84.0</v>
      </c>
      <c r="G778" s="598">
        <v>52.0</v>
      </c>
      <c r="H778" s="598">
        <v>62.0</v>
      </c>
      <c r="I778" s="598">
        <v>0.0</v>
      </c>
      <c r="J778" s="598">
        <v>109.0</v>
      </c>
      <c r="K778" s="1561">
        <v>1052.0</v>
      </c>
      <c r="L778" s="1551">
        <v>49731.0</v>
      </c>
    </row>
    <row r="779">
      <c r="A779" s="1545" t="s">
        <v>807</v>
      </c>
      <c r="B779" s="1587">
        <v>16156.0</v>
      </c>
      <c r="C779" s="1563">
        <v>848.0</v>
      </c>
      <c r="D779" s="1548">
        <v>23.7</v>
      </c>
      <c r="E779" s="1557">
        <v>15406.0</v>
      </c>
      <c r="F779" s="598">
        <v>198.0</v>
      </c>
      <c r="G779" s="598">
        <v>57.0</v>
      </c>
      <c r="H779" s="598">
        <v>30.0</v>
      </c>
      <c r="I779" s="598">
        <v>0.0</v>
      </c>
      <c r="J779" s="598">
        <v>90.0</v>
      </c>
      <c r="K779" s="1561">
        <v>375.0</v>
      </c>
      <c r="L779" s="1551">
        <v>49639.0</v>
      </c>
    </row>
    <row r="780">
      <c r="A780" s="1545" t="s">
        <v>159</v>
      </c>
      <c r="B780" s="1587">
        <v>19170.0</v>
      </c>
      <c r="C780" s="1563">
        <v>642.0</v>
      </c>
      <c r="D780" s="1548">
        <v>16.4</v>
      </c>
      <c r="E780" s="1557">
        <v>17915.0</v>
      </c>
      <c r="F780" s="598">
        <v>397.0</v>
      </c>
      <c r="G780" s="598">
        <v>44.0</v>
      </c>
      <c r="H780" s="598">
        <v>103.0</v>
      </c>
      <c r="I780" s="598">
        <v>3.0</v>
      </c>
      <c r="J780" s="598">
        <v>120.0</v>
      </c>
      <c r="K780" s="1561">
        <v>588.0</v>
      </c>
      <c r="L780" s="1551">
        <v>52332.0</v>
      </c>
    </row>
    <row r="781">
      <c r="A781" s="1545" t="s">
        <v>162</v>
      </c>
      <c r="B781" s="1587">
        <v>12250.0</v>
      </c>
      <c r="C781" s="1563">
        <v>363.0</v>
      </c>
      <c r="D781" s="1548">
        <v>13.7</v>
      </c>
      <c r="E781" s="1557">
        <v>11716.0</v>
      </c>
      <c r="F781" s="598">
        <v>39.0</v>
      </c>
      <c r="G781" s="598">
        <v>41.0</v>
      </c>
      <c r="H781" s="598">
        <v>15.0</v>
      </c>
      <c r="I781" s="598">
        <v>0.0</v>
      </c>
      <c r="J781" s="598">
        <v>59.0</v>
      </c>
      <c r="K781" s="1561">
        <v>380.0</v>
      </c>
      <c r="L781" s="1555">
        <v>54265.0</v>
      </c>
    </row>
    <row r="782">
      <c r="A782" s="1545" t="s">
        <v>819</v>
      </c>
      <c r="B782" s="1587">
        <v>173215.0</v>
      </c>
      <c r="C782" s="1547">
        <v>4157.0</v>
      </c>
      <c r="D782" s="1548">
        <v>11.3</v>
      </c>
      <c r="E782" s="1557">
        <v>143005.0</v>
      </c>
      <c r="F782" s="598">
        <v>7588.0</v>
      </c>
      <c r="G782" s="598">
        <v>526.0</v>
      </c>
      <c r="H782" s="598">
        <v>2238.0</v>
      </c>
      <c r="I782" s="598">
        <v>63.0</v>
      </c>
      <c r="J782" s="598">
        <v>5064.0</v>
      </c>
      <c r="K782" s="1561">
        <v>14731.0</v>
      </c>
      <c r="L782" s="1551">
        <v>69298.0</v>
      </c>
    </row>
    <row r="783">
      <c r="A783" s="1545" t="s">
        <v>823</v>
      </c>
      <c r="B783" s="1587">
        <v>25222.0</v>
      </c>
      <c r="C783" s="1563">
        <v>633.0</v>
      </c>
      <c r="D783" s="1548">
        <v>11.4</v>
      </c>
      <c r="E783" s="1557">
        <v>23775.0</v>
      </c>
      <c r="F783" s="598">
        <v>211.0</v>
      </c>
      <c r="G783" s="598">
        <v>45.0</v>
      </c>
      <c r="H783" s="598">
        <v>107.0</v>
      </c>
      <c r="I783" s="598">
        <v>3.0</v>
      </c>
      <c r="J783" s="598">
        <v>141.0</v>
      </c>
      <c r="K783" s="1561">
        <v>940.0</v>
      </c>
      <c r="L783" s="1551">
        <v>68162.0</v>
      </c>
    </row>
    <row r="784">
      <c r="A784" s="1545" t="s">
        <v>305</v>
      </c>
      <c r="B784" s="1587">
        <v>12514.0</v>
      </c>
      <c r="C784" s="1563">
        <v>461.0</v>
      </c>
      <c r="D784" s="1548">
        <v>17.0</v>
      </c>
      <c r="E784" s="1557">
        <v>11603.0</v>
      </c>
      <c r="F784" s="598">
        <v>73.0</v>
      </c>
      <c r="G784" s="598">
        <v>37.0</v>
      </c>
      <c r="H784" s="598">
        <v>44.0</v>
      </c>
      <c r="I784" s="598">
        <v>3.0</v>
      </c>
      <c r="J784" s="598">
        <v>125.0</v>
      </c>
      <c r="K784" s="1561">
        <v>629.0</v>
      </c>
      <c r="L784" s="1551">
        <v>49730.0</v>
      </c>
    </row>
    <row r="785">
      <c r="A785" s="1545" t="s">
        <v>518</v>
      </c>
      <c r="B785" s="1587">
        <v>36726.0</v>
      </c>
      <c r="C785" s="1547">
        <v>1059.0</v>
      </c>
      <c r="D785" s="1548">
        <v>14.8</v>
      </c>
      <c r="E785" s="1557">
        <v>33332.0</v>
      </c>
      <c r="F785" s="598">
        <v>1030.0</v>
      </c>
      <c r="G785" s="598">
        <v>83.0</v>
      </c>
      <c r="H785" s="598">
        <v>355.0</v>
      </c>
      <c r="I785" s="598">
        <v>17.0</v>
      </c>
      <c r="J785" s="598">
        <v>512.0</v>
      </c>
      <c r="K785" s="1561">
        <v>1397.0</v>
      </c>
      <c r="L785" s="1551">
        <v>54718.0</v>
      </c>
    </row>
    <row r="786">
      <c r="A786" s="1545" t="s">
        <v>163</v>
      </c>
      <c r="B786" s="1587">
        <v>24502.0</v>
      </c>
      <c r="C786" s="1547">
        <v>1157.0</v>
      </c>
      <c r="D786" s="1548">
        <v>20.9</v>
      </c>
      <c r="E786" s="1557">
        <v>22601.0</v>
      </c>
      <c r="F786" s="598">
        <v>126.0</v>
      </c>
      <c r="G786" s="598">
        <v>71.0</v>
      </c>
      <c r="H786" s="598">
        <v>67.0</v>
      </c>
      <c r="I786" s="598">
        <v>0.0</v>
      </c>
      <c r="J786" s="598">
        <v>648.0</v>
      </c>
      <c r="K786" s="1561">
        <v>989.0</v>
      </c>
      <c r="L786" s="1551">
        <v>46441.0</v>
      </c>
    </row>
    <row r="787">
      <c r="A787" s="1545" t="s">
        <v>839</v>
      </c>
      <c r="B787" s="1587">
        <v>28995.0</v>
      </c>
      <c r="C787" s="1563">
        <v>994.0</v>
      </c>
      <c r="D787" s="1548">
        <v>15.0</v>
      </c>
      <c r="E787" s="1557">
        <v>27332.0</v>
      </c>
      <c r="F787" s="598">
        <v>82.0</v>
      </c>
      <c r="G787" s="598">
        <v>65.0</v>
      </c>
      <c r="H787" s="598">
        <v>188.0</v>
      </c>
      <c r="I787" s="598">
        <v>2.0</v>
      </c>
      <c r="J787" s="598">
        <v>241.0</v>
      </c>
      <c r="K787" s="1561">
        <v>1085.0</v>
      </c>
      <c r="L787" s="1551">
        <v>57436.0</v>
      </c>
    </row>
    <row r="788">
      <c r="A788" s="1545" t="s">
        <v>842</v>
      </c>
      <c r="B788" s="1587">
        <v>16752.0</v>
      </c>
      <c r="C788" s="1563">
        <v>581.0</v>
      </c>
      <c r="D788" s="1548">
        <v>15.8</v>
      </c>
      <c r="E788" s="1557">
        <v>15952.0</v>
      </c>
      <c r="F788" s="598">
        <v>96.0</v>
      </c>
      <c r="G788" s="598">
        <v>22.0</v>
      </c>
      <c r="H788" s="598">
        <v>58.0</v>
      </c>
      <c r="I788" s="598">
        <v>3.0</v>
      </c>
      <c r="J788" s="598">
        <v>110.0</v>
      </c>
      <c r="K788" s="1561">
        <v>511.0</v>
      </c>
      <c r="L788" s="1555">
        <v>53271.0</v>
      </c>
    </row>
    <row r="789">
      <c r="A789" s="1545" t="s">
        <v>2614</v>
      </c>
      <c r="B789" s="1587">
        <v>272912.0</v>
      </c>
      <c r="C789" s="1547">
        <v>11030.0</v>
      </c>
      <c r="D789" s="1548">
        <v>17.7</v>
      </c>
      <c r="E789" s="1557">
        <v>194810.0</v>
      </c>
      <c r="F789" s="598">
        <v>36123.0</v>
      </c>
      <c r="G789" s="598">
        <v>1300.0</v>
      </c>
      <c r="H789" s="598">
        <v>6643.0</v>
      </c>
      <c r="I789" s="598">
        <v>163.0</v>
      </c>
      <c r="J789" s="598">
        <v>12166.0</v>
      </c>
      <c r="K789" s="1561">
        <v>21707.0</v>
      </c>
      <c r="L789" s="1551">
        <v>54674.0</v>
      </c>
    </row>
    <row r="790">
      <c r="A790" s="1545" t="s">
        <v>309</v>
      </c>
      <c r="B790" s="1587">
        <v>24384.0</v>
      </c>
      <c r="C790" s="1547">
        <v>1077.0</v>
      </c>
      <c r="D790" s="1548">
        <v>20.5</v>
      </c>
      <c r="E790" s="1557">
        <v>23039.0</v>
      </c>
      <c r="F790" s="598">
        <v>92.0</v>
      </c>
      <c r="G790" s="598">
        <v>28.0</v>
      </c>
      <c r="H790" s="598">
        <v>88.0</v>
      </c>
      <c r="I790" s="598">
        <v>17.0</v>
      </c>
      <c r="J790" s="598">
        <v>195.0</v>
      </c>
      <c r="K790" s="1561">
        <v>925.0</v>
      </c>
      <c r="L790" s="1551">
        <v>44913.0</v>
      </c>
    </row>
    <row r="791">
      <c r="A791" s="1545" t="s">
        <v>168</v>
      </c>
      <c r="B791" s="1587">
        <v>45055.0</v>
      </c>
      <c r="C791" s="1547">
        <v>1648.0</v>
      </c>
      <c r="D791" s="1548">
        <v>16.6</v>
      </c>
      <c r="E791" s="1557">
        <v>40877.0</v>
      </c>
      <c r="F791" s="598">
        <v>569.0</v>
      </c>
      <c r="G791" s="598">
        <v>133.0</v>
      </c>
      <c r="H791" s="598">
        <v>353.0</v>
      </c>
      <c r="I791" s="598">
        <v>3.0</v>
      </c>
      <c r="J791" s="598">
        <v>1282.0</v>
      </c>
      <c r="K791" s="1561">
        <v>1838.0</v>
      </c>
      <c r="L791" s="1551">
        <v>57193.0</v>
      </c>
    </row>
    <row r="792">
      <c r="A792" s="1545" t="s">
        <v>854</v>
      </c>
      <c r="B792" s="1587">
        <v>19810.0</v>
      </c>
      <c r="C792" s="1563">
        <v>514.0</v>
      </c>
      <c r="D792" s="1548">
        <v>11.8</v>
      </c>
      <c r="E792" s="1557">
        <v>18557.0</v>
      </c>
      <c r="F792" s="598">
        <v>131.0</v>
      </c>
      <c r="G792" s="598">
        <v>61.0</v>
      </c>
      <c r="H792" s="598">
        <v>73.0</v>
      </c>
      <c r="I792" s="598">
        <v>1.0</v>
      </c>
      <c r="J792" s="598">
        <v>288.0</v>
      </c>
      <c r="K792" s="1561">
        <v>699.0</v>
      </c>
      <c r="L792" s="1551">
        <v>56862.0</v>
      </c>
    </row>
    <row r="793">
      <c r="A793" s="1545" t="s">
        <v>856</v>
      </c>
      <c r="B793" s="1587">
        <v>23371.0</v>
      </c>
      <c r="C793" s="1563">
        <v>986.0</v>
      </c>
      <c r="D793" s="1548">
        <v>19.3</v>
      </c>
      <c r="E793" s="1557">
        <v>21768.0</v>
      </c>
      <c r="F793" s="598">
        <v>87.0</v>
      </c>
      <c r="G793" s="598">
        <v>72.0</v>
      </c>
      <c r="H793" s="598">
        <v>40.0</v>
      </c>
      <c r="I793" s="598">
        <v>4.0</v>
      </c>
      <c r="J793" s="598">
        <v>238.0</v>
      </c>
      <c r="K793" s="1561">
        <v>1162.0</v>
      </c>
      <c r="L793" s="1551">
        <v>49972.0</v>
      </c>
    </row>
    <row r="794">
      <c r="A794" s="1545" t="s">
        <v>859</v>
      </c>
      <c r="B794" s="1587">
        <v>34435.0</v>
      </c>
      <c r="C794" s="1547">
        <v>1104.0</v>
      </c>
      <c r="D794" s="1548">
        <v>15.9</v>
      </c>
      <c r="E794" s="1557">
        <v>31842.0</v>
      </c>
      <c r="F794" s="598">
        <v>234.0</v>
      </c>
      <c r="G794" s="598">
        <v>105.0</v>
      </c>
      <c r="H794" s="598">
        <v>187.0</v>
      </c>
      <c r="I794" s="598">
        <v>2.0</v>
      </c>
      <c r="J794" s="598">
        <v>698.0</v>
      </c>
      <c r="K794" s="1561">
        <v>1367.0</v>
      </c>
      <c r="L794" s="1551">
        <v>58295.0</v>
      </c>
    </row>
    <row r="795">
      <c r="A795" s="1545" t="s">
        <v>860</v>
      </c>
      <c r="B795" s="1587">
        <v>20817.0</v>
      </c>
      <c r="C795" s="1563">
        <v>707.0</v>
      </c>
      <c r="D795" s="1548">
        <v>18.4</v>
      </c>
      <c r="E795" s="1557">
        <v>18960.0</v>
      </c>
      <c r="F795" s="598">
        <v>878.0</v>
      </c>
      <c r="G795" s="598">
        <v>51.0</v>
      </c>
      <c r="H795" s="598">
        <v>39.0</v>
      </c>
      <c r="I795" s="598">
        <v>9.0</v>
      </c>
      <c r="J795" s="598">
        <v>160.0</v>
      </c>
      <c r="K795" s="1561">
        <v>720.0</v>
      </c>
      <c r="L795" s="1551">
        <v>47554.0</v>
      </c>
    </row>
    <row r="796">
      <c r="A796" s="1545" t="s">
        <v>862</v>
      </c>
      <c r="B796" s="1587">
        <v>9737.0</v>
      </c>
      <c r="C796" s="1563">
        <v>770.0</v>
      </c>
      <c r="D796" s="1548">
        <v>29.8</v>
      </c>
      <c r="E796" s="1557">
        <v>9298.0</v>
      </c>
      <c r="F796" s="598">
        <v>16.0</v>
      </c>
      <c r="G796" s="598">
        <v>31.0</v>
      </c>
      <c r="H796" s="598">
        <v>24.0</v>
      </c>
      <c r="I796" s="598">
        <v>0.0</v>
      </c>
      <c r="J796" s="598">
        <v>37.0</v>
      </c>
      <c r="K796" s="1561">
        <v>331.0</v>
      </c>
      <c r="L796" s="1555">
        <v>47713.0</v>
      </c>
    </row>
    <row r="797">
      <c r="A797" s="1545" t="s">
        <v>864</v>
      </c>
      <c r="B797" s="1587">
        <v>186251.0</v>
      </c>
      <c r="C797" s="1547">
        <v>5762.0</v>
      </c>
      <c r="D797" s="1548">
        <v>14.7</v>
      </c>
      <c r="E797" s="1557">
        <v>135611.0</v>
      </c>
      <c r="F797" s="598">
        <v>11252.0</v>
      </c>
      <c r="G797" s="598">
        <v>725.0</v>
      </c>
      <c r="H797" s="598">
        <v>13657.0</v>
      </c>
      <c r="I797" s="598">
        <v>48.0</v>
      </c>
      <c r="J797" s="598">
        <v>8403.0</v>
      </c>
      <c r="K797" s="1561">
        <v>16555.0</v>
      </c>
      <c r="L797" s="1551">
        <v>52269.0</v>
      </c>
    </row>
    <row r="798">
      <c r="A798" s="1545" t="s">
        <v>865</v>
      </c>
      <c r="B798" s="1587">
        <v>15359.0</v>
      </c>
      <c r="C798" s="1563">
        <v>337.0</v>
      </c>
      <c r="D798" s="1548">
        <v>11.0</v>
      </c>
      <c r="E798" s="1557">
        <v>14509.0</v>
      </c>
      <c r="F798" s="598">
        <v>46.0</v>
      </c>
      <c r="G798" s="598">
        <v>21.0</v>
      </c>
      <c r="H798" s="598">
        <v>50.0</v>
      </c>
      <c r="I798" s="598">
        <v>2.0</v>
      </c>
      <c r="J798" s="598">
        <v>189.0</v>
      </c>
      <c r="K798" s="1561">
        <v>542.0</v>
      </c>
      <c r="L798" s="1551">
        <v>60896.0</v>
      </c>
    </row>
    <row r="799">
      <c r="A799" s="1545" t="s">
        <v>316</v>
      </c>
      <c r="B799" s="1587">
        <v>7087.0</v>
      </c>
      <c r="C799" s="1563">
        <v>235.0</v>
      </c>
      <c r="D799" s="1548">
        <v>16.8</v>
      </c>
      <c r="E799" s="1557">
        <v>6789.0</v>
      </c>
      <c r="F799" s="598">
        <v>21.0</v>
      </c>
      <c r="G799" s="598">
        <v>24.0</v>
      </c>
      <c r="H799" s="598">
        <v>33.0</v>
      </c>
      <c r="I799" s="598">
        <v>8.0</v>
      </c>
      <c r="J799" s="598">
        <v>33.0</v>
      </c>
      <c r="K799" s="1561">
        <v>179.0</v>
      </c>
      <c r="L799" s="1555">
        <v>50300.0</v>
      </c>
    </row>
    <row r="800">
      <c r="A800" s="1545" t="s">
        <v>866</v>
      </c>
      <c r="B800" s="1587">
        <v>180136.0</v>
      </c>
      <c r="C800" s="1547">
        <v>7663.0</v>
      </c>
      <c r="D800" s="1548">
        <v>20.1</v>
      </c>
      <c r="E800" s="1557">
        <v>145199.0</v>
      </c>
      <c r="F800" s="598">
        <v>17668.0</v>
      </c>
      <c r="G800" s="598">
        <v>438.0</v>
      </c>
      <c r="H800" s="598">
        <v>2438.0</v>
      </c>
      <c r="I800" s="598">
        <v>684.0</v>
      </c>
      <c r="J800" s="598">
        <v>2831.0</v>
      </c>
      <c r="K800" s="1561">
        <v>10878.0</v>
      </c>
      <c r="L800" s="1551">
        <v>50500.0</v>
      </c>
    </row>
    <row r="801">
      <c r="A801" s="1545" t="s">
        <v>868</v>
      </c>
      <c r="B801" s="1587">
        <v>15439.0</v>
      </c>
      <c r="C801" s="1563">
        <v>676.0</v>
      </c>
      <c r="D801" s="1548">
        <v>20.5</v>
      </c>
      <c r="E801" s="1557">
        <v>14753.0</v>
      </c>
      <c r="F801" s="598">
        <v>37.0</v>
      </c>
      <c r="G801" s="598">
        <v>31.0</v>
      </c>
      <c r="H801" s="598">
        <v>46.0</v>
      </c>
      <c r="I801" s="598">
        <v>11.0</v>
      </c>
      <c r="J801" s="598">
        <v>71.0</v>
      </c>
      <c r="K801" s="1561">
        <v>490.0</v>
      </c>
      <c r="L801" s="1555">
        <v>49287.0</v>
      </c>
    </row>
    <row r="802">
      <c r="A802" s="1545" t="s">
        <v>870</v>
      </c>
      <c r="B802" s="1587">
        <v>106153.0</v>
      </c>
      <c r="C802" s="1547">
        <v>4612.0</v>
      </c>
      <c r="D802" s="1548">
        <v>21.6</v>
      </c>
      <c r="E802" s="1557">
        <v>89410.0</v>
      </c>
      <c r="F802" s="598">
        <v>7177.0</v>
      </c>
      <c r="G802" s="598">
        <v>361.0</v>
      </c>
      <c r="H802" s="598">
        <v>2013.0</v>
      </c>
      <c r="I802" s="598">
        <v>27.0</v>
      </c>
      <c r="J802" s="598">
        <v>1530.0</v>
      </c>
      <c r="K802" s="1561">
        <v>5635.0</v>
      </c>
      <c r="L802" s="1551">
        <v>48335.0</v>
      </c>
    </row>
    <row r="803">
      <c r="A803" s="1545" t="s">
        <v>751</v>
      </c>
      <c r="B803" s="1587">
        <v>30976.0</v>
      </c>
      <c r="C803" s="1547">
        <v>1065.0</v>
      </c>
      <c r="D803" s="1548">
        <v>17.3</v>
      </c>
      <c r="E803" s="1557">
        <v>28937.0</v>
      </c>
      <c r="F803" s="598">
        <v>160.0</v>
      </c>
      <c r="G803" s="598">
        <v>149.0</v>
      </c>
      <c r="H803" s="598">
        <v>161.0</v>
      </c>
      <c r="I803" s="598">
        <v>9.0</v>
      </c>
      <c r="J803" s="598">
        <v>378.0</v>
      </c>
      <c r="K803" s="1561">
        <v>1182.0</v>
      </c>
      <c r="L803" s="1551">
        <v>51487.0</v>
      </c>
    </row>
    <row r="804">
      <c r="A804" s="1545" t="s">
        <v>647</v>
      </c>
      <c r="B804" s="1587">
        <v>8440.0</v>
      </c>
      <c r="C804" s="1563">
        <v>289.0</v>
      </c>
      <c r="D804" s="1548">
        <v>16.1</v>
      </c>
      <c r="E804" s="1557">
        <v>8064.0</v>
      </c>
      <c r="F804" s="598">
        <v>8.0</v>
      </c>
      <c r="G804" s="598">
        <v>8.0</v>
      </c>
      <c r="H804" s="598">
        <v>26.0</v>
      </c>
      <c r="I804" s="598">
        <v>1.0</v>
      </c>
      <c r="J804" s="598">
        <v>80.0</v>
      </c>
      <c r="K804" s="1561">
        <v>253.0</v>
      </c>
      <c r="L804" s="1551">
        <v>60596.0</v>
      </c>
    </row>
    <row r="805">
      <c r="A805" s="1545" t="s">
        <v>872</v>
      </c>
      <c r="B805" s="1587">
        <v>63898.0</v>
      </c>
      <c r="C805" s="1547">
        <v>1169.0</v>
      </c>
      <c r="D805" s="1548">
        <v>8.0</v>
      </c>
      <c r="E805" s="1557">
        <v>57756.0</v>
      </c>
      <c r="F805" s="598">
        <v>1057.0</v>
      </c>
      <c r="G805" s="598">
        <v>111.0</v>
      </c>
      <c r="H805" s="598">
        <v>1644.0</v>
      </c>
      <c r="I805" s="598">
        <v>14.0</v>
      </c>
      <c r="J805" s="598">
        <v>531.0</v>
      </c>
      <c r="K805" s="1561">
        <v>2785.0</v>
      </c>
      <c r="L805" s="1551">
        <v>75534.0</v>
      </c>
    </row>
    <row r="806">
      <c r="A806" s="1545" t="s">
        <v>119</v>
      </c>
      <c r="B806" s="1587">
        <v>28182.0</v>
      </c>
      <c r="C806" s="1547">
        <v>1267.0</v>
      </c>
      <c r="D806" s="1548">
        <v>20.4</v>
      </c>
      <c r="E806" s="1557">
        <v>26791.0</v>
      </c>
      <c r="F806" s="598">
        <v>117.0</v>
      </c>
      <c r="G806" s="598">
        <v>75.0</v>
      </c>
      <c r="H806" s="598">
        <v>96.0</v>
      </c>
      <c r="I806" s="598">
        <v>10.0</v>
      </c>
      <c r="J806" s="598">
        <v>146.0</v>
      </c>
      <c r="K806" s="1561">
        <v>947.0</v>
      </c>
      <c r="L806" s="1555">
        <v>44534.0</v>
      </c>
    </row>
    <row r="807">
      <c r="A807" s="1545" t="s">
        <v>273</v>
      </c>
      <c r="B807" s="1587">
        <v>66553.0</v>
      </c>
      <c r="C807" s="1547">
        <v>3274.0</v>
      </c>
      <c r="D807" s="1548">
        <v>23.3</v>
      </c>
      <c r="E807" s="1557">
        <v>57392.0</v>
      </c>
      <c r="F807" s="598">
        <v>3076.0</v>
      </c>
      <c r="G807" s="598">
        <v>203.0</v>
      </c>
      <c r="H807" s="598">
        <v>717.0</v>
      </c>
      <c r="I807" s="598">
        <v>17.0</v>
      </c>
      <c r="J807" s="598">
        <v>1343.0</v>
      </c>
      <c r="K807" s="1561">
        <v>3805.0</v>
      </c>
      <c r="L807" s="1555">
        <v>45130.0</v>
      </c>
    </row>
    <row r="808">
      <c r="A808" s="1545" t="s">
        <v>876</v>
      </c>
      <c r="B808" s="1587">
        <v>28180.0</v>
      </c>
      <c r="C808" s="1563">
        <v>817.0</v>
      </c>
      <c r="D808" s="1548">
        <v>12.0</v>
      </c>
      <c r="E808" s="1557">
        <v>26322.0</v>
      </c>
      <c r="F808" s="598">
        <v>225.0</v>
      </c>
      <c r="G808" s="598">
        <v>71.0</v>
      </c>
      <c r="H808" s="598">
        <v>130.0</v>
      </c>
      <c r="I808" s="598">
        <v>5.0</v>
      </c>
      <c r="J808" s="598">
        <v>314.0</v>
      </c>
      <c r="K808" s="1561">
        <v>1113.0</v>
      </c>
      <c r="L808" s="1555">
        <v>60010.0</v>
      </c>
    </row>
    <row r="809">
      <c r="A809" s="1545" t="s">
        <v>66</v>
      </c>
      <c r="B809" s="1587">
        <v>24688.0</v>
      </c>
      <c r="C809" s="1563">
        <v>749.0</v>
      </c>
      <c r="D809" s="1548">
        <v>13.6</v>
      </c>
      <c r="E809" s="1557">
        <v>21657.0</v>
      </c>
      <c r="F809" s="598">
        <v>126.0</v>
      </c>
      <c r="G809" s="598">
        <v>109.0</v>
      </c>
      <c r="H809" s="598">
        <v>98.0</v>
      </c>
      <c r="I809" s="598">
        <v>6.0</v>
      </c>
      <c r="J809" s="598">
        <v>1264.0</v>
      </c>
      <c r="K809" s="1561">
        <v>1428.0</v>
      </c>
      <c r="L809" s="1615">
        <v>58380.0</v>
      </c>
    </row>
    <row r="810">
      <c r="A810" s="1528" t="s">
        <v>879</v>
      </c>
      <c r="B810" s="1595">
        <v>34191.0</v>
      </c>
      <c r="C810" s="1582">
        <v>734.0</v>
      </c>
      <c r="D810" s="1567">
        <v>9.5</v>
      </c>
      <c r="E810" s="1532">
        <v>32126.0</v>
      </c>
      <c r="F810" s="1533">
        <v>162.0</v>
      </c>
      <c r="G810" s="1533">
        <v>99.0</v>
      </c>
      <c r="H810" s="1533">
        <v>173.0</v>
      </c>
      <c r="I810" s="1533">
        <v>3.0</v>
      </c>
      <c r="J810" s="1533">
        <v>289.0</v>
      </c>
      <c r="K810" s="1616">
        <v>1339.0</v>
      </c>
      <c r="L810" s="1617">
        <v>67758.0</v>
      </c>
    </row>
    <row r="811">
      <c r="A811" s="1538" t="s">
        <v>881</v>
      </c>
      <c r="B811" s="1596">
        <v>3190369.0</v>
      </c>
      <c r="C811" s="1540">
        <v>96859.0</v>
      </c>
      <c r="D811" s="1571">
        <v>13.5</v>
      </c>
      <c r="E811" s="1572">
        <v>2694521.0</v>
      </c>
      <c r="F811" s="1542">
        <v>131972.0</v>
      </c>
      <c r="G811" s="1542">
        <v>14486.0</v>
      </c>
      <c r="H811" s="1542">
        <v>75629.0</v>
      </c>
      <c r="I811" s="1542">
        <v>5758.0</v>
      </c>
      <c r="J811" s="1542">
        <v>88720.0</v>
      </c>
      <c r="K811" s="1543">
        <v>179283.0</v>
      </c>
      <c r="L811" s="1544">
        <v>60071.0</v>
      </c>
    </row>
    <row r="812">
      <c r="A812" s="1545" t="s">
        <v>882</v>
      </c>
      <c r="B812" s="1586">
        <v>7496.0</v>
      </c>
      <c r="C812" s="1563">
        <v>196.0</v>
      </c>
      <c r="D812" s="1548">
        <v>13.0</v>
      </c>
      <c r="E812" s="1557">
        <v>7149.0</v>
      </c>
      <c r="F812" s="598">
        <v>46.0</v>
      </c>
      <c r="G812" s="598">
        <v>19.0</v>
      </c>
      <c r="H812" s="598">
        <v>23.0</v>
      </c>
      <c r="I812" s="598">
        <v>2.0</v>
      </c>
      <c r="J812" s="598">
        <v>23.0</v>
      </c>
      <c r="K812" s="1561">
        <v>234.0</v>
      </c>
      <c r="L812" s="1551">
        <v>54282.0</v>
      </c>
    </row>
    <row r="813">
      <c r="A813" s="1545" t="s">
        <v>386</v>
      </c>
      <c r="B813" s="1587">
        <v>3704.0</v>
      </c>
      <c r="C813" s="1563">
        <v>154.0</v>
      </c>
      <c r="D813" s="1548">
        <v>20.3</v>
      </c>
      <c r="E813" s="1557">
        <v>3531.0</v>
      </c>
      <c r="F813" s="598">
        <v>12.0</v>
      </c>
      <c r="G813" s="598">
        <v>19.0</v>
      </c>
      <c r="H813" s="598">
        <v>13.0</v>
      </c>
      <c r="I813" s="598">
        <v>0.0</v>
      </c>
      <c r="J813" s="598">
        <v>22.0</v>
      </c>
      <c r="K813" s="1561">
        <v>107.0</v>
      </c>
      <c r="L813" s="1551">
        <v>51577.0</v>
      </c>
    </row>
    <row r="814">
      <c r="A814" s="1545" t="s">
        <v>886</v>
      </c>
      <c r="B814" s="1587">
        <v>14061.0</v>
      </c>
      <c r="C814" s="1563">
        <v>579.0</v>
      </c>
      <c r="D814" s="1548">
        <v>18.1</v>
      </c>
      <c r="E814" s="1557">
        <v>12621.0</v>
      </c>
      <c r="F814" s="598">
        <v>154.0</v>
      </c>
      <c r="G814" s="598">
        <v>91.0</v>
      </c>
      <c r="H814" s="598">
        <v>41.0</v>
      </c>
      <c r="I814" s="598">
        <v>5.0</v>
      </c>
      <c r="J814" s="598">
        <v>710.0</v>
      </c>
      <c r="K814" s="1561">
        <v>439.0</v>
      </c>
      <c r="L814" s="1551">
        <v>53359.0</v>
      </c>
    </row>
    <row r="815">
      <c r="A815" s="1545" t="s">
        <v>887</v>
      </c>
      <c r="B815" s="1587">
        <v>12317.0</v>
      </c>
      <c r="C815" s="1563">
        <v>611.0</v>
      </c>
      <c r="D815" s="1548">
        <v>22.5</v>
      </c>
      <c r="E815" s="1557">
        <v>11690.0</v>
      </c>
      <c r="F815" s="598">
        <v>75.0</v>
      </c>
      <c r="G815" s="598">
        <v>24.0</v>
      </c>
      <c r="H815" s="598">
        <v>70.0</v>
      </c>
      <c r="I815" s="598">
        <v>7.0</v>
      </c>
      <c r="J815" s="598">
        <v>40.0</v>
      </c>
      <c r="K815" s="1561">
        <v>411.0</v>
      </c>
      <c r="L815" s="1551">
        <v>44298.0</v>
      </c>
    </row>
    <row r="816">
      <c r="A816" s="1545" t="s">
        <v>888</v>
      </c>
      <c r="B816" s="1587">
        <v>5674.0</v>
      </c>
      <c r="C816" s="1563">
        <v>201.0</v>
      </c>
      <c r="D816" s="1548">
        <v>18.1</v>
      </c>
      <c r="E816" s="1557">
        <v>5469.0</v>
      </c>
      <c r="F816" s="598">
        <v>17.0</v>
      </c>
      <c r="G816" s="598">
        <v>5.0</v>
      </c>
      <c r="H816" s="598">
        <v>5.0</v>
      </c>
      <c r="I816" s="598">
        <v>1.0</v>
      </c>
      <c r="J816" s="598">
        <v>30.0</v>
      </c>
      <c r="K816" s="1561">
        <v>147.0</v>
      </c>
      <c r="L816" s="1551">
        <v>51210.0</v>
      </c>
    </row>
    <row r="817">
      <c r="A817" s="1545" t="s">
        <v>243</v>
      </c>
      <c r="B817" s="1587">
        <v>25575.0</v>
      </c>
      <c r="C817" s="1563">
        <v>527.0</v>
      </c>
      <c r="D817" s="1548">
        <v>9.0</v>
      </c>
      <c r="E817" s="1557">
        <v>24258.0</v>
      </c>
      <c r="F817" s="598">
        <v>114.0</v>
      </c>
      <c r="G817" s="598">
        <v>34.0</v>
      </c>
      <c r="H817" s="598">
        <v>83.0</v>
      </c>
      <c r="I817" s="598">
        <v>2.0</v>
      </c>
      <c r="J817" s="598">
        <v>135.0</v>
      </c>
      <c r="K817" s="1561">
        <v>949.0</v>
      </c>
      <c r="L817" s="1555">
        <v>62799.0</v>
      </c>
    </row>
    <row r="818">
      <c r="A818" s="1545" t="s">
        <v>890</v>
      </c>
      <c r="B818" s="1587">
        <v>131144.0</v>
      </c>
      <c r="C818" s="1547">
        <v>5324.0</v>
      </c>
      <c r="D818" s="1548">
        <v>18.8</v>
      </c>
      <c r="E818" s="1557">
        <v>102832.0</v>
      </c>
      <c r="F818" s="598">
        <v>13676.0</v>
      </c>
      <c r="G818" s="598">
        <v>422.0</v>
      </c>
      <c r="H818" s="598">
        <v>3427.0</v>
      </c>
      <c r="I818" s="598">
        <v>854.0</v>
      </c>
      <c r="J818" s="598">
        <v>2792.0</v>
      </c>
      <c r="K818" s="1561">
        <v>7141.0</v>
      </c>
      <c r="L818" s="1551">
        <v>52320.0</v>
      </c>
    </row>
    <row r="819">
      <c r="A819" s="1545" t="s">
        <v>246</v>
      </c>
      <c r="B819" s="1587">
        <v>26715.0</v>
      </c>
      <c r="C819" s="1563">
        <v>520.0</v>
      </c>
      <c r="D819" s="1548">
        <v>9.8</v>
      </c>
      <c r="E819" s="1557">
        <v>24943.0</v>
      </c>
      <c r="F819" s="598">
        <v>301.0</v>
      </c>
      <c r="G819" s="598">
        <v>65.0</v>
      </c>
      <c r="H819" s="598">
        <v>100.0</v>
      </c>
      <c r="I819" s="598">
        <v>3.0</v>
      </c>
      <c r="J819" s="598">
        <v>248.0</v>
      </c>
      <c r="K819" s="1561">
        <v>1055.0</v>
      </c>
      <c r="L819" s="1551">
        <v>63099.0</v>
      </c>
    </row>
    <row r="820">
      <c r="A820" s="1545" t="s">
        <v>891</v>
      </c>
      <c r="B820" s="1587">
        <v>24988.0</v>
      </c>
      <c r="C820" s="1563">
        <v>350.0</v>
      </c>
      <c r="D820" s="1548">
        <v>6.4</v>
      </c>
      <c r="E820" s="1557">
        <v>23597.0</v>
      </c>
      <c r="F820" s="598">
        <v>239.0</v>
      </c>
      <c r="G820" s="598">
        <v>46.0</v>
      </c>
      <c r="H820" s="598">
        <v>196.0</v>
      </c>
      <c r="I820" s="598">
        <v>2.0</v>
      </c>
      <c r="J820" s="598">
        <v>160.0</v>
      </c>
      <c r="K820" s="1561">
        <v>748.0</v>
      </c>
      <c r="L820" s="1551">
        <v>74646.0</v>
      </c>
    </row>
    <row r="821">
      <c r="A821" s="1545" t="s">
        <v>892</v>
      </c>
      <c r="B821" s="1587">
        <v>20565.0</v>
      </c>
      <c r="C821" s="1563">
        <v>807.0</v>
      </c>
      <c r="D821" s="1548">
        <v>15.0</v>
      </c>
      <c r="E821" s="1557">
        <v>19696.0</v>
      </c>
      <c r="F821" s="598">
        <v>72.0</v>
      </c>
      <c r="G821" s="598">
        <v>28.0</v>
      </c>
      <c r="H821" s="598">
        <v>52.0</v>
      </c>
      <c r="I821" s="598">
        <v>12.0</v>
      </c>
      <c r="J821" s="598">
        <v>100.0</v>
      </c>
      <c r="K821" s="1561">
        <v>605.0</v>
      </c>
      <c r="L821" s="1551">
        <v>59724.0</v>
      </c>
    </row>
    <row r="822">
      <c r="A822" s="1545" t="s">
        <v>893</v>
      </c>
      <c r="B822" s="1587">
        <v>20823.0</v>
      </c>
      <c r="C822" s="1563">
        <v>670.0</v>
      </c>
      <c r="D822" s="1548">
        <v>13.6</v>
      </c>
      <c r="E822" s="1557">
        <v>12597.0</v>
      </c>
      <c r="F822" s="598">
        <v>591.0</v>
      </c>
      <c r="G822" s="598">
        <v>124.0</v>
      </c>
      <c r="H822" s="598">
        <v>1907.0</v>
      </c>
      <c r="I822" s="598">
        <v>620.0</v>
      </c>
      <c r="J822" s="598">
        <v>2786.0</v>
      </c>
      <c r="K822" s="1561">
        <v>2198.0</v>
      </c>
      <c r="L822" s="1551">
        <v>52683.0</v>
      </c>
    </row>
    <row r="823">
      <c r="A823" s="1545" t="s">
        <v>87</v>
      </c>
      <c r="B823" s="1587">
        <v>14334.0</v>
      </c>
      <c r="C823" s="1563">
        <v>363.0</v>
      </c>
      <c r="D823" s="1548">
        <v>11.4</v>
      </c>
      <c r="E823" s="1557">
        <v>13827.0</v>
      </c>
      <c r="F823" s="598">
        <v>26.0</v>
      </c>
      <c r="G823" s="598">
        <v>25.0</v>
      </c>
      <c r="H823" s="598">
        <v>28.0</v>
      </c>
      <c r="I823" s="598">
        <v>0.0</v>
      </c>
      <c r="J823" s="598">
        <v>68.0</v>
      </c>
      <c r="K823" s="1561">
        <v>360.0</v>
      </c>
      <c r="L823" s="1551">
        <v>57971.0</v>
      </c>
    </row>
    <row r="824">
      <c r="A824" s="1545" t="s">
        <v>93</v>
      </c>
      <c r="B824" s="1587">
        <v>9927.0</v>
      </c>
      <c r="C824" s="1563">
        <v>304.0</v>
      </c>
      <c r="D824" s="1548">
        <v>14.7</v>
      </c>
      <c r="E824" s="1557">
        <v>9357.0</v>
      </c>
      <c r="F824" s="598">
        <v>152.0</v>
      </c>
      <c r="G824" s="598">
        <v>24.0</v>
      </c>
      <c r="H824" s="598">
        <v>26.0</v>
      </c>
      <c r="I824" s="598">
        <v>8.0</v>
      </c>
      <c r="J824" s="598">
        <v>84.0</v>
      </c>
      <c r="K824" s="1561">
        <v>276.0</v>
      </c>
      <c r="L824" s="1551">
        <v>54865.0</v>
      </c>
    </row>
    <row r="825">
      <c r="A825" s="1545" t="s">
        <v>248</v>
      </c>
      <c r="B825" s="1587">
        <v>20760.0</v>
      </c>
      <c r="C825" s="1563">
        <v>455.0</v>
      </c>
      <c r="D825" s="1548">
        <v>9.4</v>
      </c>
      <c r="E825" s="1557">
        <v>19543.0</v>
      </c>
      <c r="F825" s="598">
        <v>262.0</v>
      </c>
      <c r="G825" s="598">
        <v>32.0</v>
      </c>
      <c r="H825" s="598">
        <v>75.0</v>
      </c>
      <c r="I825" s="598">
        <v>0.0</v>
      </c>
      <c r="J825" s="598">
        <v>254.0</v>
      </c>
      <c r="K825" s="1561">
        <v>594.0</v>
      </c>
      <c r="L825" s="1551">
        <v>60531.0</v>
      </c>
    </row>
    <row r="826">
      <c r="A826" s="1545" t="s">
        <v>708</v>
      </c>
      <c r="B826" s="1587">
        <v>13127.0</v>
      </c>
      <c r="C826" s="1563">
        <v>500.0</v>
      </c>
      <c r="D826" s="1548">
        <v>17.6</v>
      </c>
      <c r="E826" s="1557">
        <v>12413.0</v>
      </c>
      <c r="F826" s="598">
        <v>29.0</v>
      </c>
      <c r="G826" s="598">
        <v>25.0</v>
      </c>
      <c r="H826" s="598">
        <v>35.0</v>
      </c>
      <c r="I826" s="598">
        <v>78.0</v>
      </c>
      <c r="J826" s="598">
        <v>120.0</v>
      </c>
      <c r="K826" s="1561">
        <v>427.0</v>
      </c>
      <c r="L826" s="1551">
        <v>50356.0</v>
      </c>
    </row>
    <row r="827">
      <c r="A827" s="1545" t="s">
        <v>894</v>
      </c>
      <c r="B827" s="1587">
        <v>18505.0</v>
      </c>
      <c r="C827" s="1563">
        <v>387.0</v>
      </c>
      <c r="D827" s="1548">
        <v>9.5</v>
      </c>
      <c r="E827" s="1557">
        <v>17472.0</v>
      </c>
      <c r="F827" s="598">
        <v>83.0</v>
      </c>
      <c r="G827" s="598">
        <v>52.0</v>
      </c>
      <c r="H827" s="598">
        <v>62.0</v>
      </c>
      <c r="I827" s="598">
        <v>2.0</v>
      </c>
      <c r="J827" s="598">
        <v>147.0</v>
      </c>
      <c r="K827" s="1561">
        <v>687.0</v>
      </c>
      <c r="L827" s="1551">
        <v>67597.0</v>
      </c>
    </row>
    <row r="828">
      <c r="A828" s="1545" t="s">
        <v>895</v>
      </c>
      <c r="B828" s="1587">
        <v>43127.0</v>
      </c>
      <c r="C828" s="1547">
        <v>1146.0</v>
      </c>
      <c r="D828" s="1548">
        <v>13.3</v>
      </c>
      <c r="E828" s="1557">
        <v>38618.0</v>
      </c>
      <c r="F828" s="598">
        <v>930.0</v>
      </c>
      <c r="G828" s="598">
        <v>143.0</v>
      </c>
      <c r="H828" s="598">
        <v>535.0</v>
      </c>
      <c r="I828" s="598">
        <v>137.0</v>
      </c>
      <c r="J828" s="598">
        <v>624.0</v>
      </c>
      <c r="K828" s="1561">
        <v>2140.0</v>
      </c>
      <c r="L828" s="1551">
        <v>51939.0</v>
      </c>
    </row>
    <row r="829">
      <c r="A829" s="1545" t="s">
        <v>101</v>
      </c>
      <c r="B829" s="1587">
        <v>11658.0</v>
      </c>
      <c r="C829" s="1563">
        <v>276.0</v>
      </c>
      <c r="D829" s="1548">
        <v>11.4</v>
      </c>
      <c r="E829" s="1557">
        <v>10831.0</v>
      </c>
      <c r="F829" s="598">
        <v>87.0</v>
      </c>
      <c r="G829" s="598">
        <v>33.0</v>
      </c>
      <c r="H829" s="598">
        <v>57.0</v>
      </c>
      <c r="I829" s="598">
        <v>14.0</v>
      </c>
      <c r="J829" s="598">
        <v>238.0</v>
      </c>
      <c r="K829" s="1561">
        <v>398.0</v>
      </c>
      <c r="L829" s="1551">
        <v>56312.0</v>
      </c>
    </row>
    <row r="830">
      <c r="A830" s="1545" t="s">
        <v>896</v>
      </c>
      <c r="B830" s="1587">
        <v>12012.0</v>
      </c>
      <c r="C830" s="1563">
        <v>330.0</v>
      </c>
      <c r="D830" s="1548">
        <v>11.9</v>
      </c>
      <c r="E830" s="1557">
        <v>11252.0</v>
      </c>
      <c r="F830" s="598">
        <v>80.0</v>
      </c>
      <c r="G830" s="598">
        <v>21.0</v>
      </c>
      <c r="H830" s="598">
        <v>30.0</v>
      </c>
      <c r="I830" s="598">
        <v>7.0</v>
      </c>
      <c r="J830" s="598">
        <v>176.0</v>
      </c>
      <c r="K830" s="1561">
        <v>446.0</v>
      </c>
      <c r="L830" s="1551">
        <v>64190.0</v>
      </c>
    </row>
    <row r="831">
      <c r="A831" s="1545" t="s">
        <v>110</v>
      </c>
      <c r="B831" s="1587">
        <v>9748.0</v>
      </c>
      <c r="C831" s="1563">
        <v>384.0</v>
      </c>
      <c r="D831" s="1548">
        <v>16.1</v>
      </c>
      <c r="E831" s="1557">
        <v>8231.0</v>
      </c>
      <c r="F831" s="598">
        <v>44.0</v>
      </c>
      <c r="G831" s="598">
        <v>55.0</v>
      </c>
      <c r="H831" s="598">
        <v>81.0</v>
      </c>
      <c r="I831" s="598">
        <v>40.0</v>
      </c>
      <c r="J831" s="598">
        <v>632.0</v>
      </c>
      <c r="K831" s="1561">
        <v>665.0</v>
      </c>
      <c r="L831" s="1551">
        <v>52541.0</v>
      </c>
    </row>
    <row r="832">
      <c r="A832" s="1545" t="s">
        <v>112</v>
      </c>
      <c r="B832" s="1587">
        <v>16384.0</v>
      </c>
      <c r="C832" s="1563">
        <v>454.0</v>
      </c>
      <c r="D832" s="1548">
        <v>12.6</v>
      </c>
      <c r="E832" s="1557">
        <v>15230.0</v>
      </c>
      <c r="F832" s="598">
        <v>100.0</v>
      </c>
      <c r="G832" s="598">
        <v>56.0</v>
      </c>
      <c r="H832" s="598">
        <v>105.0</v>
      </c>
      <c r="I832" s="598">
        <v>6.0</v>
      </c>
      <c r="J832" s="598">
        <v>265.0</v>
      </c>
      <c r="K832" s="1561">
        <v>622.0</v>
      </c>
      <c r="L832" s="1551">
        <v>56338.0</v>
      </c>
    </row>
    <row r="833">
      <c r="A833" s="1545" t="s">
        <v>555</v>
      </c>
      <c r="B833" s="1587">
        <v>17043.0</v>
      </c>
      <c r="C833" s="1563">
        <v>477.0</v>
      </c>
      <c r="D833" s="1548">
        <v>13.2</v>
      </c>
      <c r="E833" s="1557">
        <v>16229.0</v>
      </c>
      <c r="F833" s="598">
        <v>158.0</v>
      </c>
      <c r="G833" s="598">
        <v>43.0</v>
      </c>
      <c r="H833" s="598">
        <v>47.0</v>
      </c>
      <c r="I833" s="598">
        <v>6.0</v>
      </c>
      <c r="J833" s="598">
        <v>135.0</v>
      </c>
      <c r="K833" s="1561">
        <v>425.0</v>
      </c>
      <c r="L833" s="1551">
        <v>53968.0</v>
      </c>
    </row>
    <row r="834">
      <c r="A834" s="1545" t="s">
        <v>711</v>
      </c>
      <c r="B834" s="1587">
        <v>46460.0</v>
      </c>
      <c r="C834" s="1547">
        <v>1737.0</v>
      </c>
      <c r="D834" s="1548">
        <v>16.8</v>
      </c>
      <c r="E834" s="1557">
        <v>41771.0</v>
      </c>
      <c r="F834" s="598">
        <v>1420.0</v>
      </c>
      <c r="G834" s="598">
        <v>142.0</v>
      </c>
      <c r="H834" s="598">
        <v>263.0</v>
      </c>
      <c r="I834" s="598">
        <v>14.0</v>
      </c>
      <c r="J834" s="598">
        <v>506.0</v>
      </c>
      <c r="K834" s="1561">
        <v>2344.0</v>
      </c>
      <c r="L834" s="1551">
        <v>51317.0</v>
      </c>
    </row>
    <row r="835">
      <c r="A835" s="1545" t="s">
        <v>263</v>
      </c>
      <c r="B835" s="1587">
        <v>16525.0</v>
      </c>
      <c r="C835" s="1563">
        <v>691.0</v>
      </c>
      <c r="D835" s="1548">
        <v>16.4</v>
      </c>
      <c r="E835" s="1557">
        <v>11262.0</v>
      </c>
      <c r="F835" s="598">
        <v>394.0</v>
      </c>
      <c r="G835" s="598">
        <v>162.0</v>
      </c>
      <c r="H835" s="598">
        <v>308.0</v>
      </c>
      <c r="I835" s="598">
        <v>4.0</v>
      </c>
      <c r="J835" s="598">
        <v>2633.0</v>
      </c>
      <c r="K835" s="1561">
        <v>1762.0</v>
      </c>
      <c r="L835" s="1555">
        <v>54828.0</v>
      </c>
    </row>
    <row r="836">
      <c r="A836" s="1545" t="s">
        <v>130</v>
      </c>
      <c r="B836" s="1587">
        <v>99678.0</v>
      </c>
      <c r="C836" s="1547">
        <v>1335.0</v>
      </c>
      <c r="D836" s="1548">
        <v>5.4</v>
      </c>
      <c r="E836" s="1557">
        <v>83359.0</v>
      </c>
      <c r="F836" s="598">
        <v>2698.0</v>
      </c>
      <c r="G836" s="598">
        <v>224.0</v>
      </c>
      <c r="H836" s="598">
        <v>5009.0</v>
      </c>
      <c r="I836" s="598">
        <v>38.0</v>
      </c>
      <c r="J836" s="598">
        <v>2556.0</v>
      </c>
      <c r="K836" s="1561">
        <v>5794.0</v>
      </c>
      <c r="L836" s="1551">
        <v>87267.0</v>
      </c>
    </row>
    <row r="837">
      <c r="A837" s="1545" t="s">
        <v>897</v>
      </c>
      <c r="B837" s="1587">
        <v>9110.0</v>
      </c>
      <c r="C837" s="1563">
        <v>496.0</v>
      </c>
      <c r="D837" s="1548">
        <v>18.9</v>
      </c>
      <c r="E837" s="1557">
        <v>8797.0</v>
      </c>
      <c r="F837" s="598">
        <v>8.0</v>
      </c>
      <c r="G837" s="598">
        <v>11.0</v>
      </c>
      <c r="H837" s="598">
        <v>15.0</v>
      </c>
      <c r="I837" s="598">
        <v>0.0</v>
      </c>
      <c r="J837" s="598">
        <v>50.0</v>
      </c>
      <c r="K837" s="1561">
        <v>229.0</v>
      </c>
      <c r="L837" s="1551">
        <v>54830.0</v>
      </c>
    </row>
    <row r="838">
      <c r="A838" s="1545" t="s">
        <v>563</v>
      </c>
      <c r="B838" s="1587">
        <v>7645.0</v>
      </c>
      <c r="C838" s="1563">
        <v>434.0</v>
      </c>
      <c r="D838" s="1548">
        <v>25.6</v>
      </c>
      <c r="E838" s="1557">
        <v>7081.0</v>
      </c>
      <c r="F838" s="598">
        <v>108.0</v>
      </c>
      <c r="G838" s="598">
        <v>20.0</v>
      </c>
      <c r="H838" s="598">
        <v>39.0</v>
      </c>
      <c r="I838" s="598">
        <v>24.0</v>
      </c>
      <c r="J838" s="598">
        <v>101.0</v>
      </c>
      <c r="K838" s="1561">
        <v>272.0</v>
      </c>
      <c r="L838" s="1551">
        <v>41101.0</v>
      </c>
    </row>
    <row r="839">
      <c r="A839" s="1545" t="s">
        <v>40</v>
      </c>
      <c r="B839" s="1587">
        <v>17488.0</v>
      </c>
      <c r="C839" s="1563">
        <v>472.0</v>
      </c>
      <c r="D839" s="1548">
        <v>11.9</v>
      </c>
      <c r="E839" s="1557">
        <v>16787.0</v>
      </c>
      <c r="F839" s="598">
        <v>122.0</v>
      </c>
      <c r="G839" s="598">
        <v>50.0</v>
      </c>
      <c r="H839" s="598">
        <v>48.0</v>
      </c>
      <c r="I839" s="598">
        <v>1.0</v>
      </c>
      <c r="J839" s="598">
        <v>86.0</v>
      </c>
      <c r="K839" s="1561">
        <v>394.0</v>
      </c>
      <c r="L839" s="1551">
        <v>61342.0</v>
      </c>
    </row>
    <row r="840">
      <c r="A840" s="1545" t="s">
        <v>898</v>
      </c>
      <c r="B840" s="1587">
        <v>38910.0</v>
      </c>
      <c r="C840" s="1547">
        <v>1698.0</v>
      </c>
      <c r="D840" s="1548">
        <v>19.8</v>
      </c>
      <c r="E840" s="1557">
        <v>33164.0</v>
      </c>
      <c r="F840" s="598">
        <v>2532.0</v>
      </c>
      <c r="G840" s="598">
        <v>78.0</v>
      </c>
      <c r="H840" s="598">
        <v>403.0</v>
      </c>
      <c r="I840" s="598">
        <v>22.0</v>
      </c>
      <c r="J840" s="598">
        <v>476.0</v>
      </c>
      <c r="K840" s="1561">
        <v>2235.0</v>
      </c>
      <c r="L840" s="1551">
        <v>51805.0</v>
      </c>
    </row>
    <row r="841">
      <c r="A841" s="1545" t="s">
        <v>899</v>
      </c>
      <c r="B841" s="1587">
        <v>17703.0</v>
      </c>
      <c r="C841" s="1563">
        <v>300.0</v>
      </c>
      <c r="D841" s="1548">
        <v>9.3</v>
      </c>
      <c r="E841" s="1557">
        <v>16819.0</v>
      </c>
      <c r="F841" s="598">
        <v>79.0</v>
      </c>
      <c r="G841" s="598">
        <v>21.0</v>
      </c>
      <c r="H841" s="598">
        <v>82.0</v>
      </c>
      <c r="I841" s="598">
        <v>1.0</v>
      </c>
      <c r="J841" s="598">
        <v>142.0</v>
      </c>
      <c r="K841" s="1561">
        <v>559.0</v>
      </c>
      <c r="L841" s="1555">
        <v>55603.0</v>
      </c>
    </row>
    <row r="842">
      <c r="A842" s="1545" t="s">
        <v>900</v>
      </c>
      <c r="B842" s="1587">
        <v>99266.0</v>
      </c>
      <c r="C842" s="1547">
        <v>2618.0</v>
      </c>
      <c r="D842" s="1548">
        <v>12.1</v>
      </c>
      <c r="E842" s="1557">
        <v>88314.0</v>
      </c>
      <c r="F842" s="598">
        <v>4126.0</v>
      </c>
      <c r="G842" s="598">
        <v>261.0</v>
      </c>
      <c r="H842" s="598">
        <v>1028.0</v>
      </c>
      <c r="I842" s="598">
        <v>829.0</v>
      </c>
      <c r="J842" s="598">
        <v>1074.0</v>
      </c>
      <c r="K842" s="1561">
        <v>3634.0</v>
      </c>
      <c r="L842" s="1551">
        <v>60367.0</v>
      </c>
    </row>
    <row r="843">
      <c r="A843" s="1545" t="s">
        <v>901</v>
      </c>
      <c r="B843" s="1587">
        <v>9388.0</v>
      </c>
      <c r="C843" s="1563">
        <v>296.0</v>
      </c>
      <c r="D843" s="1548">
        <v>16.6</v>
      </c>
      <c r="E843" s="1557">
        <v>8356.0</v>
      </c>
      <c r="F843" s="598">
        <v>92.0</v>
      </c>
      <c r="G843" s="598">
        <v>54.0</v>
      </c>
      <c r="H843" s="598">
        <v>32.0</v>
      </c>
      <c r="I843" s="598">
        <v>3.0</v>
      </c>
      <c r="J843" s="598">
        <v>367.0</v>
      </c>
      <c r="K843" s="1561">
        <v>484.0</v>
      </c>
      <c r="L843" s="1551">
        <v>51497.0</v>
      </c>
    </row>
    <row r="844">
      <c r="A844" s="1545" t="s">
        <v>135</v>
      </c>
      <c r="B844" s="1587">
        <v>19509.0</v>
      </c>
      <c r="C844" s="1563">
        <v>657.0</v>
      </c>
      <c r="D844" s="1548">
        <v>16.4</v>
      </c>
      <c r="E844" s="1557">
        <v>18271.0</v>
      </c>
      <c r="F844" s="598">
        <v>203.0</v>
      </c>
      <c r="G844" s="598">
        <v>40.0</v>
      </c>
      <c r="H844" s="598">
        <v>78.0</v>
      </c>
      <c r="I844" s="598">
        <v>1.0</v>
      </c>
      <c r="J844" s="598">
        <v>153.0</v>
      </c>
      <c r="K844" s="1561">
        <v>763.0</v>
      </c>
      <c r="L844" s="1551">
        <v>50893.0</v>
      </c>
    </row>
    <row r="845">
      <c r="A845" s="1545" t="s">
        <v>575</v>
      </c>
      <c r="B845" s="1587">
        <v>15627.0</v>
      </c>
      <c r="C845" s="1563">
        <v>607.0</v>
      </c>
      <c r="D845" s="1548">
        <v>17.0</v>
      </c>
      <c r="E845" s="1557">
        <v>14094.0</v>
      </c>
      <c r="F845" s="598">
        <v>419.0</v>
      </c>
      <c r="G845" s="598">
        <v>33.0</v>
      </c>
      <c r="H845" s="598">
        <v>295.0</v>
      </c>
      <c r="I845" s="598">
        <v>12.0</v>
      </c>
      <c r="J845" s="598">
        <v>182.0</v>
      </c>
      <c r="K845" s="1561">
        <v>592.0</v>
      </c>
      <c r="L845" s="1551">
        <v>53811.0</v>
      </c>
    </row>
    <row r="846">
      <c r="A846" s="1545" t="s">
        <v>136</v>
      </c>
      <c r="B846" s="1587">
        <v>10019.0</v>
      </c>
      <c r="C846" s="1563">
        <v>370.0</v>
      </c>
      <c r="D846" s="1548">
        <v>16.0</v>
      </c>
      <c r="E846" s="1557">
        <v>8366.0</v>
      </c>
      <c r="F846" s="598">
        <v>32.0</v>
      </c>
      <c r="G846" s="598">
        <v>68.0</v>
      </c>
      <c r="H846" s="598">
        <v>50.0</v>
      </c>
      <c r="I846" s="598">
        <v>0.0</v>
      </c>
      <c r="J846" s="598">
        <v>764.0</v>
      </c>
      <c r="K846" s="1561">
        <v>739.0</v>
      </c>
      <c r="L846" s="1551">
        <v>59367.0</v>
      </c>
    </row>
    <row r="847">
      <c r="A847" s="1545" t="s">
        <v>416</v>
      </c>
      <c r="B847" s="1587">
        <v>6605.0</v>
      </c>
      <c r="C847" s="1563">
        <v>251.0</v>
      </c>
      <c r="D847" s="1548">
        <v>16.4</v>
      </c>
      <c r="E847" s="1557">
        <v>6201.0</v>
      </c>
      <c r="F847" s="598">
        <v>11.0</v>
      </c>
      <c r="G847" s="598">
        <v>19.0</v>
      </c>
      <c r="H847" s="598">
        <v>11.0</v>
      </c>
      <c r="I847" s="598">
        <v>5.0</v>
      </c>
      <c r="J847" s="598">
        <v>71.0</v>
      </c>
      <c r="K847" s="1561">
        <v>287.0</v>
      </c>
      <c r="L847" s="1551">
        <v>54658.0</v>
      </c>
    </row>
    <row r="848">
      <c r="A848" s="1545" t="s">
        <v>138</v>
      </c>
      <c r="B848" s="1587">
        <v>8771.0</v>
      </c>
      <c r="C848" s="1563">
        <v>351.0</v>
      </c>
      <c r="D848" s="1548">
        <v>17.2</v>
      </c>
      <c r="E848" s="1557">
        <v>8258.0</v>
      </c>
      <c r="F848" s="598">
        <v>28.0</v>
      </c>
      <c r="G848" s="598">
        <v>16.0</v>
      </c>
      <c r="H848" s="598">
        <v>50.0</v>
      </c>
      <c r="I848" s="598">
        <v>1.0</v>
      </c>
      <c r="J848" s="598">
        <v>86.0</v>
      </c>
      <c r="K848" s="1561">
        <v>332.0</v>
      </c>
      <c r="L848" s="1551">
        <v>51861.0</v>
      </c>
    </row>
    <row r="849">
      <c r="A849" s="1545" t="s">
        <v>720</v>
      </c>
      <c r="B849" s="1587">
        <v>12329.0</v>
      </c>
      <c r="C849" s="1563">
        <v>248.0</v>
      </c>
      <c r="D849" s="1548">
        <v>8.9</v>
      </c>
      <c r="E849" s="1557">
        <v>11836.0</v>
      </c>
      <c r="F849" s="598">
        <v>49.0</v>
      </c>
      <c r="G849" s="598">
        <v>10.0</v>
      </c>
      <c r="H849" s="598">
        <v>24.0</v>
      </c>
      <c r="I849" s="598">
        <v>0.0</v>
      </c>
      <c r="J849" s="598">
        <v>36.0</v>
      </c>
      <c r="K849" s="1561">
        <v>374.0</v>
      </c>
      <c r="L849" s="1551">
        <v>65060.0</v>
      </c>
    </row>
    <row r="850">
      <c r="A850" s="1545" t="s">
        <v>902</v>
      </c>
      <c r="B850" s="1587">
        <v>10623.0</v>
      </c>
      <c r="C850" s="1563">
        <v>329.0</v>
      </c>
      <c r="D850" s="1548">
        <v>14.0</v>
      </c>
      <c r="E850" s="1557">
        <v>10032.0</v>
      </c>
      <c r="F850" s="598">
        <v>36.0</v>
      </c>
      <c r="G850" s="598">
        <v>23.0</v>
      </c>
      <c r="H850" s="598">
        <v>38.0</v>
      </c>
      <c r="I850" s="598">
        <v>16.0</v>
      </c>
      <c r="J850" s="598">
        <v>144.0</v>
      </c>
      <c r="K850" s="1561">
        <v>334.0</v>
      </c>
      <c r="L850" s="1551">
        <v>60306.0</v>
      </c>
    </row>
    <row r="851">
      <c r="A851" s="1545" t="s">
        <v>497</v>
      </c>
      <c r="B851" s="1587">
        <v>15039.0</v>
      </c>
      <c r="C851" s="1563">
        <v>390.0</v>
      </c>
      <c r="D851" s="1548">
        <v>11.8</v>
      </c>
      <c r="E851" s="1557">
        <v>13079.0</v>
      </c>
      <c r="F851" s="598">
        <v>103.0</v>
      </c>
      <c r="G851" s="598">
        <v>77.0</v>
      </c>
      <c r="H851" s="598">
        <v>319.0</v>
      </c>
      <c r="I851" s="598">
        <v>0.0</v>
      </c>
      <c r="J851" s="598">
        <v>672.0</v>
      </c>
      <c r="K851" s="1561">
        <v>789.0</v>
      </c>
      <c r="L851" s="1551">
        <v>56738.0</v>
      </c>
    </row>
    <row r="852">
      <c r="A852" s="1545" t="s">
        <v>587</v>
      </c>
      <c r="B852" s="1587">
        <v>10795.0</v>
      </c>
      <c r="C852" s="1563">
        <v>256.0</v>
      </c>
      <c r="D852" s="1548">
        <v>11.2</v>
      </c>
      <c r="E852" s="1557">
        <v>9959.0</v>
      </c>
      <c r="F852" s="598">
        <v>76.0</v>
      </c>
      <c r="G852" s="598">
        <v>39.0</v>
      </c>
      <c r="H852" s="598">
        <v>25.0</v>
      </c>
      <c r="I852" s="598">
        <v>5.0</v>
      </c>
      <c r="J852" s="598">
        <v>186.0</v>
      </c>
      <c r="K852" s="1561">
        <v>505.0</v>
      </c>
      <c r="L852" s="1551">
        <v>60859.0</v>
      </c>
    </row>
    <row r="853">
      <c r="A853" s="1545" t="s">
        <v>721</v>
      </c>
      <c r="B853" s="1587">
        <v>16878.0</v>
      </c>
      <c r="C853" s="1563">
        <v>470.0</v>
      </c>
      <c r="D853" s="1548">
        <v>14.9</v>
      </c>
      <c r="E853" s="1557">
        <v>15465.0</v>
      </c>
      <c r="F853" s="598">
        <v>147.0</v>
      </c>
      <c r="G853" s="598">
        <v>32.0</v>
      </c>
      <c r="H853" s="598">
        <v>91.0</v>
      </c>
      <c r="I853" s="598">
        <v>6.0</v>
      </c>
      <c r="J853" s="598">
        <v>413.0</v>
      </c>
      <c r="K853" s="1561">
        <v>724.0</v>
      </c>
      <c r="L853" s="1551">
        <v>55303.0</v>
      </c>
    </row>
    <row r="854">
      <c r="A854" s="1545" t="s">
        <v>775</v>
      </c>
      <c r="B854" s="1587">
        <v>14582.0</v>
      </c>
      <c r="C854" s="1563">
        <v>413.0</v>
      </c>
      <c r="D854" s="1548">
        <v>12.8</v>
      </c>
      <c r="E854" s="1557">
        <v>13922.0</v>
      </c>
      <c r="F854" s="598">
        <v>27.0</v>
      </c>
      <c r="G854" s="598">
        <v>29.0</v>
      </c>
      <c r="H854" s="598">
        <v>50.0</v>
      </c>
      <c r="I854" s="598">
        <v>3.0</v>
      </c>
      <c r="J854" s="598">
        <v>82.0</v>
      </c>
      <c r="K854" s="1561">
        <v>469.0</v>
      </c>
      <c r="L854" s="1551">
        <v>60044.0</v>
      </c>
    </row>
    <row r="855">
      <c r="A855" s="1545" t="s">
        <v>140</v>
      </c>
      <c r="B855" s="1587">
        <v>20482.0</v>
      </c>
      <c r="C855" s="1563">
        <v>591.0</v>
      </c>
      <c r="D855" s="1548">
        <v>13.9</v>
      </c>
      <c r="E855" s="1557">
        <v>17990.0</v>
      </c>
      <c r="F855" s="598">
        <v>506.0</v>
      </c>
      <c r="G855" s="598">
        <v>86.0</v>
      </c>
      <c r="H855" s="598">
        <v>453.0</v>
      </c>
      <c r="I855" s="598">
        <v>8.0</v>
      </c>
      <c r="J855" s="598">
        <v>463.0</v>
      </c>
      <c r="K855" s="1561">
        <v>976.0</v>
      </c>
      <c r="L855" s="1551">
        <v>55856.0</v>
      </c>
    </row>
    <row r="856">
      <c r="A856" s="1545" t="s">
        <v>283</v>
      </c>
      <c r="B856" s="1587">
        <v>9469.0</v>
      </c>
      <c r="C856" s="1563">
        <v>307.0</v>
      </c>
      <c r="D856" s="1548">
        <v>13.8</v>
      </c>
      <c r="E856" s="1557">
        <v>8940.0</v>
      </c>
      <c r="F856" s="598">
        <v>23.0</v>
      </c>
      <c r="G856" s="598">
        <v>48.0</v>
      </c>
      <c r="H856" s="598">
        <v>27.0</v>
      </c>
      <c r="I856" s="598">
        <v>7.0</v>
      </c>
      <c r="J856" s="598">
        <v>116.0</v>
      </c>
      <c r="K856" s="1561">
        <v>308.0</v>
      </c>
      <c r="L856" s="1551">
        <v>53500.0</v>
      </c>
    </row>
    <row r="857">
      <c r="A857" s="1545" t="s">
        <v>333</v>
      </c>
      <c r="B857" s="1587">
        <v>9597.0</v>
      </c>
      <c r="C857" s="1563">
        <v>278.0</v>
      </c>
      <c r="D857" s="1548">
        <v>12.7</v>
      </c>
      <c r="E857" s="1557">
        <v>8920.0</v>
      </c>
      <c r="F857" s="598">
        <v>56.0</v>
      </c>
      <c r="G857" s="598">
        <v>16.0</v>
      </c>
      <c r="H857" s="598">
        <v>21.0</v>
      </c>
      <c r="I857" s="598">
        <v>6.0</v>
      </c>
      <c r="J857" s="598">
        <v>270.0</v>
      </c>
      <c r="K857" s="1561">
        <v>308.0</v>
      </c>
      <c r="L857" s="1551">
        <v>60166.0</v>
      </c>
    </row>
    <row r="858">
      <c r="A858" s="1545" t="s">
        <v>903</v>
      </c>
      <c r="B858" s="1587">
        <v>7005.0</v>
      </c>
      <c r="C858" s="1563">
        <v>206.0</v>
      </c>
      <c r="D858" s="1548">
        <v>12.6</v>
      </c>
      <c r="E858" s="1557">
        <v>6662.0</v>
      </c>
      <c r="F858" s="598">
        <v>31.0</v>
      </c>
      <c r="G858" s="598">
        <v>4.0</v>
      </c>
      <c r="H858" s="598">
        <v>22.0</v>
      </c>
      <c r="I858" s="598">
        <v>11.0</v>
      </c>
      <c r="J858" s="598">
        <v>87.0</v>
      </c>
      <c r="K858" s="1561">
        <v>188.0</v>
      </c>
      <c r="L858" s="1551">
        <v>60312.0</v>
      </c>
    </row>
    <row r="859">
      <c r="A859" s="1545" t="s">
        <v>50</v>
      </c>
      <c r="B859" s="1587">
        <v>16662.0</v>
      </c>
      <c r="C859" s="1563">
        <v>299.0</v>
      </c>
      <c r="D859" s="1548">
        <v>8.1</v>
      </c>
      <c r="E859" s="1557">
        <v>15571.0</v>
      </c>
      <c r="F859" s="598">
        <v>111.0</v>
      </c>
      <c r="G859" s="598">
        <v>35.0</v>
      </c>
      <c r="H859" s="598">
        <v>94.0</v>
      </c>
      <c r="I859" s="598">
        <v>1.0</v>
      </c>
      <c r="J859" s="598">
        <v>223.0</v>
      </c>
      <c r="K859" s="1561">
        <v>627.0</v>
      </c>
      <c r="L859" s="1551">
        <v>64188.0</v>
      </c>
    </row>
    <row r="860">
      <c r="A860" s="1545" t="s">
        <v>142</v>
      </c>
      <c r="B860" s="1587">
        <v>19485.0</v>
      </c>
      <c r="C860" s="1563">
        <v>639.0</v>
      </c>
      <c r="D860" s="1548">
        <v>15.1</v>
      </c>
      <c r="E860" s="1557">
        <v>18461.0</v>
      </c>
      <c r="F860" s="598">
        <v>152.0</v>
      </c>
      <c r="G860" s="598">
        <v>43.0</v>
      </c>
      <c r="H860" s="598">
        <v>46.0</v>
      </c>
      <c r="I860" s="598">
        <v>192.0</v>
      </c>
      <c r="J860" s="598">
        <v>89.0</v>
      </c>
      <c r="K860" s="1561">
        <v>502.0</v>
      </c>
      <c r="L860" s="1551">
        <v>54663.0</v>
      </c>
    </row>
    <row r="861">
      <c r="A861" s="1545" t="s">
        <v>593</v>
      </c>
      <c r="B861" s="1587">
        <v>37813.0</v>
      </c>
      <c r="C861" s="1563">
        <v>924.0</v>
      </c>
      <c r="D861" s="1548">
        <v>11.2</v>
      </c>
      <c r="E861" s="1557">
        <v>34866.0</v>
      </c>
      <c r="F861" s="598">
        <v>703.0</v>
      </c>
      <c r="G861" s="598">
        <v>124.0</v>
      </c>
      <c r="H861" s="598">
        <v>215.0</v>
      </c>
      <c r="I861" s="598">
        <v>30.0</v>
      </c>
      <c r="J861" s="598">
        <v>379.0</v>
      </c>
      <c r="K861" s="1561">
        <v>1496.0</v>
      </c>
      <c r="L861" s="1551">
        <v>60378.0</v>
      </c>
    </row>
    <row r="862">
      <c r="A862" s="1545" t="s">
        <v>143</v>
      </c>
      <c r="B862" s="1587">
        <v>15663.0</v>
      </c>
      <c r="C862" s="1563">
        <v>557.0</v>
      </c>
      <c r="D862" s="1548">
        <v>19.9</v>
      </c>
      <c r="E862" s="1557">
        <v>13565.0</v>
      </c>
      <c r="F862" s="598">
        <v>419.0</v>
      </c>
      <c r="G862" s="598">
        <v>55.0</v>
      </c>
      <c r="H862" s="598">
        <v>500.0</v>
      </c>
      <c r="I862" s="598">
        <v>9.0</v>
      </c>
      <c r="J862" s="598">
        <v>312.0</v>
      </c>
      <c r="K862" s="1561">
        <v>803.0</v>
      </c>
      <c r="L862" s="1555">
        <v>46715.0</v>
      </c>
    </row>
    <row r="863">
      <c r="A863" s="1545" t="s">
        <v>288</v>
      </c>
      <c r="B863" s="1587">
        <v>152854.0</v>
      </c>
      <c r="C863" s="1547">
        <v>4075.0</v>
      </c>
      <c r="D863" s="1548">
        <v>13.7</v>
      </c>
      <c r="E863" s="1557">
        <v>117090.0</v>
      </c>
      <c r="F863" s="598">
        <v>12847.0</v>
      </c>
      <c r="G863" s="598">
        <v>322.0</v>
      </c>
      <c r="H863" s="598">
        <v>8599.0</v>
      </c>
      <c r="I863" s="598">
        <v>43.0</v>
      </c>
      <c r="J863" s="598">
        <v>4204.0</v>
      </c>
      <c r="K863" s="1561">
        <v>9749.0</v>
      </c>
      <c r="L863" s="1551">
        <v>64387.0</v>
      </c>
    </row>
    <row r="864">
      <c r="A864" s="1545" t="s">
        <v>598</v>
      </c>
      <c r="B864" s="1587">
        <v>20646.0</v>
      </c>
      <c r="C864" s="1563">
        <v>578.0</v>
      </c>
      <c r="D864" s="1548">
        <v>13.3</v>
      </c>
      <c r="E864" s="1557">
        <v>19244.0</v>
      </c>
      <c r="F864" s="598">
        <v>441.0</v>
      </c>
      <c r="G864" s="598">
        <v>54.0</v>
      </c>
      <c r="H864" s="598">
        <v>59.0</v>
      </c>
      <c r="I864" s="598">
        <v>2.0</v>
      </c>
      <c r="J864" s="598">
        <v>177.0</v>
      </c>
      <c r="K864" s="1561">
        <v>669.0</v>
      </c>
      <c r="L864" s="1551">
        <v>55405.0</v>
      </c>
    </row>
    <row r="865">
      <c r="A865" s="1545" t="s">
        <v>905</v>
      </c>
      <c r="B865" s="1587">
        <v>10033.0</v>
      </c>
      <c r="C865" s="1563">
        <v>416.0</v>
      </c>
      <c r="D865" s="1548">
        <v>18.1</v>
      </c>
      <c r="E865" s="1557">
        <v>9547.0</v>
      </c>
      <c r="F865" s="598">
        <v>51.0</v>
      </c>
      <c r="G865" s="598">
        <v>15.0</v>
      </c>
      <c r="H865" s="598">
        <v>16.0</v>
      </c>
      <c r="I865" s="598">
        <v>0.0</v>
      </c>
      <c r="J865" s="598">
        <v>84.0</v>
      </c>
      <c r="K865" s="1561">
        <v>320.0</v>
      </c>
      <c r="L865" s="1551">
        <v>52122.0</v>
      </c>
    </row>
    <row r="866">
      <c r="A866" s="1545" t="s">
        <v>906</v>
      </c>
      <c r="B866" s="1587">
        <v>14828.0</v>
      </c>
      <c r="C866" s="1563">
        <v>388.0</v>
      </c>
      <c r="D866" s="1548">
        <v>12.1</v>
      </c>
      <c r="E866" s="1557">
        <v>13916.0</v>
      </c>
      <c r="F866" s="598">
        <v>78.0</v>
      </c>
      <c r="G866" s="598">
        <v>14.0</v>
      </c>
      <c r="H866" s="598">
        <v>74.0</v>
      </c>
      <c r="I866" s="598">
        <v>3.0</v>
      </c>
      <c r="J866" s="598">
        <v>228.0</v>
      </c>
      <c r="K866" s="1561">
        <v>515.0</v>
      </c>
      <c r="L866" s="1551">
        <v>55486.0</v>
      </c>
    </row>
    <row r="867">
      <c r="A867" s="1545" t="s">
        <v>147</v>
      </c>
      <c r="B867" s="1587">
        <v>33555.0</v>
      </c>
      <c r="C867" s="1547">
        <v>1535.0</v>
      </c>
      <c r="D867" s="1548">
        <v>21.5</v>
      </c>
      <c r="E867" s="1557">
        <v>30336.0</v>
      </c>
      <c r="F867" s="598">
        <v>910.0</v>
      </c>
      <c r="G867" s="598">
        <v>72.0</v>
      </c>
      <c r="H867" s="598">
        <v>140.0</v>
      </c>
      <c r="I867" s="598">
        <v>8.0</v>
      </c>
      <c r="J867" s="598">
        <v>300.0</v>
      </c>
      <c r="K867" s="1561">
        <v>1789.0</v>
      </c>
      <c r="L867" s="1555">
        <v>48241.0</v>
      </c>
    </row>
    <row r="868">
      <c r="A868" s="1545" t="s">
        <v>907</v>
      </c>
      <c r="B868" s="1587">
        <v>230299.0</v>
      </c>
      <c r="C868" s="1547">
        <v>5866.0</v>
      </c>
      <c r="D868" s="1548">
        <v>11.4</v>
      </c>
      <c r="E868" s="1557">
        <v>190644.0</v>
      </c>
      <c r="F868" s="598">
        <v>16449.0</v>
      </c>
      <c r="G868" s="598">
        <v>548.0</v>
      </c>
      <c r="H868" s="598">
        <v>5374.0</v>
      </c>
      <c r="I868" s="598">
        <v>528.0</v>
      </c>
      <c r="J868" s="598">
        <v>3019.0</v>
      </c>
      <c r="K868" s="1561">
        <v>13737.0</v>
      </c>
      <c r="L868" s="1551">
        <v>64878.0</v>
      </c>
    </row>
    <row r="869">
      <c r="A869" s="1545" t="s">
        <v>908</v>
      </c>
      <c r="B869" s="1587">
        <v>10837.0</v>
      </c>
      <c r="C869" s="1563">
        <v>343.0</v>
      </c>
      <c r="D869" s="1548">
        <v>13.8</v>
      </c>
      <c r="E869" s="1557">
        <v>8834.0</v>
      </c>
      <c r="F869" s="598">
        <v>78.0</v>
      </c>
      <c r="G869" s="598">
        <v>54.0</v>
      </c>
      <c r="H869" s="598">
        <v>270.0</v>
      </c>
      <c r="I869" s="598">
        <v>0.0</v>
      </c>
      <c r="J869" s="598">
        <v>836.0</v>
      </c>
      <c r="K869" s="1561">
        <v>765.0</v>
      </c>
      <c r="L869" s="1551">
        <v>49585.0</v>
      </c>
    </row>
    <row r="870">
      <c r="A870" s="1545" t="s">
        <v>909</v>
      </c>
      <c r="B870" s="1587">
        <v>8634.0</v>
      </c>
      <c r="C870" s="1563">
        <v>473.0</v>
      </c>
      <c r="D870" s="1548">
        <v>24.1</v>
      </c>
      <c r="E870" s="1557">
        <v>8207.0</v>
      </c>
      <c r="F870" s="598">
        <v>23.0</v>
      </c>
      <c r="G870" s="598">
        <v>7.0</v>
      </c>
      <c r="H870" s="598">
        <v>29.0</v>
      </c>
      <c r="I870" s="598">
        <v>0.0</v>
      </c>
      <c r="J870" s="598">
        <v>87.0</v>
      </c>
      <c r="K870" s="1561">
        <v>281.0</v>
      </c>
      <c r="L870" s="1551">
        <v>49956.0</v>
      </c>
    </row>
    <row r="871">
      <c r="A871" s="1545" t="s">
        <v>910</v>
      </c>
      <c r="B871" s="1587">
        <v>11934.0</v>
      </c>
      <c r="C871" s="1563">
        <v>316.0</v>
      </c>
      <c r="D871" s="1548">
        <v>9.5</v>
      </c>
      <c r="E871" s="1557">
        <v>11270.0</v>
      </c>
      <c r="F871" s="598">
        <v>41.0</v>
      </c>
      <c r="G871" s="598">
        <v>32.0</v>
      </c>
      <c r="H871" s="598">
        <v>24.0</v>
      </c>
      <c r="I871" s="598">
        <v>46.0</v>
      </c>
      <c r="J871" s="598">
        <v>186.0</v>
      </c>
      <c r="K871" s="1561">
        <v>335.0</v>
      </c>
      <c r="L871" s="1551">
        <v>69048.0</v>
      </c>
    </row>
    <row r="872">
      <c r="A872" s="1545" t="s">
        <v>151</v>
      </c>
      <c r="B872" s="1587">
        <v>16548.0</v>
      </c>
      <c r="C872" s="1563">
        <v>310.0</v>
      </c>
      <c r="D872" s="1548">
        <v>7.8</v>
      </c>
      <c r="E872" s="1557">
        <v>15609.0</v>
      </c>
      <c r="F872" s="598">
        <v>50.0</v>
      </c>
      <c r="G872" s="598">
        <v>25.0</v>
      </c>
      <c r="H872" s="598">
        <v>85.0</v>
      </c>
      <c r="I872" s="598">
        <v>13.0</v>
      </c>
      <c r="J872" s="598">
        <v>102.0</v>
      </c>
      <c r="K872" s="1561">
        <v>664.0</v>
      </c>
      <c r="L872" s="1551">
        <v>74794.0</v>
      </c>
    </row>
    <row r="873">
      <c r="A873" s="1545" t="s">
        <v>912</v>
      </c>
      <c r="B873" s="1587">
        <v>22190.0</v>
      </c>
      <c r="C873" s="1563">
        <v>806.0</v>
      </c>
      <c r="D873" s="1548">
        <v>15.5</v>
      </c>
      <c r="E873" s="1557">
        <v>20453.0</v>
      </c>
      <c r="F873" s="598">
        <v>394.0</v>
      </c>
      <c r="G873" s="598">
        <v>41.0</v>
      </c>
      <c r="H873" s="598">
        <v>253.0</v>
      </c>
      <c r="I873" s="598">
        <v>15.0</v>
      </c>
      <c r="J873" s="598">
        <v>151.0</v>
      </c>
      <c r="K873" s="1561">
        <v>883.0</v>
      </c>
      <c r="L873" s="1551">
        <v>56492.0</v>
      </c>
    </row>
    <row r="874">
      <c r="A874" s="1545" t="s">
        <v>153</v>
      </c>
      <c r="B874" s="1587">
        <v>33414.0</v>
      </c>
      <c r="C874" s="1563">
        <v>762.0</v>
      </c>
      <c r="D874" s="1548">
        <v>9.8</v>
      </c>
      <c r="E874" s="1557">
        <v>31156.0</v>
      </c>
      <c r="F874" s="598">
        <v>292.0</v>
      </c>
      <c r="G874" s="598">
        <v>69.0</v>
      </c>
      <c r="H874" s="598">
        <v>401.0</v>
      </c>
      <c r="I874" s="598">
        <v>21.0</v>
      </c>
      <c r="J874" s="598">
        <v>217.0</v>
      </c>
      <c r="K874" s="1561">
        <v>1258.0</v>
      </c>
      <c r="L874" s="1551">
        <v>63491.0</v>
      </c>
    </row>
    <row r="875">
      <c r="A875" s="1545" t="s">
        <v>154</v>
      </c>
      <c r="B875" s="1587">
        <v>40105.0</v>
      </c>
      <c r="C875" s="1547">
        <v>1447.0</v>
      </c>
      <c r="D875" s="1548">
        <v>14.6</v>
      </c>
      <c r="E875" s="1557">
        <v>29579.0</v>
      </c>
      <c r="F875" s="598">
        <v>815.0</v>
      </c>
      <c r="G875" s="598">
        <v>330.0</v>
      </c>
      <c r="H875" s="598">
        <v>1517.0</v>
      </c>
      <c r="I875" s="598">
        <v>33.0</v>
      </c>
      <c r="J875" s="598">
        <v>4125.0</v>
      </c>
      <c r="K875" s="1561">
        <v>3706.0</v>
      </c>
      <c r="L875" s="1551">
        <v>59552.0</v>
      </c>
    </row>
    <row r="876">
      <c r="A876" s="1545" t="s">
        <v>913</v>
      </c>
      <c r="B876" s="1587">
        <v>14484.0</v>
      </c>
      <c r="C876" s="1563">
        <v>363.0</v>
      </c>
      <c r="D876" s="1548">
        <v>10.5</v>
      </c>
      <c r="E876" s="1557">
        <v>13504.0</v>
      </c>
      <c r="F876" s="598">
        <v>77.0</v>
      </c>
      <c r="G876" s="598">
        <v>30.0</v>
      </c>
      <c r="H876" s="598">
        <v>48.0</v>
      </c>
      <c r="I876" s="598">
        <v>10.0</v>
      </c>
      <c r="J876" s="598">
        <v>114.0</v>
      </c>
      <c r="K876" s="1561">
        <v>701.0</v>
      </c>
      <c r="L876" s="1551">
        <v>64271.0</v>
      </c>
    </row>
    <row r="877">
      <c r="A877" s="1545" t="s">
        <v>610</v>
      </c>
      <c r="B877" s="1587">
        <v>10565.0</v>
      </c>
      <c r="C877" s="1563">
        <v>303.0</v>
      </c>
      <c r="D877" s="1548">
        <v>12.3</v>
      </c>
      <c r="E877" s="1557">
        <v>10107.0</v>
      </c>
      <c r="F877" s="598">
        <v>42.0</v>
      </c>
      <c r="G877" s="598">
        <v>12.0</v>
      </c>
      <c r="H877" s="598">
        <v>46.0</v>
      </c>
      <c r="I877" s="598">
        <v>4.0</v>
      </c>
      <c r="J877" s="598">
        <v>87.0</v>
      </c>
      <c r="K877" s="1561">
        <v>267.0</v>
      </c>
      <c r="L877" s="1551">
        <v>59558.0</v>
      </c>
    </row>
    <row r="878">
      <c r="A878" s="1545" t="s">
        <v>915</v>
      </c>
      <c r="B878" s="1587">
        <v>8751.0</v>
      </c>
      <c r="C878" s="1563">
        <v>347.0</v>
      </c>
      <c r="D878" s="1548">
        <v>18.5</v>
      </c>
      <c r="E878" s="1557">
        <v>8141.0</v>
      </c>
      <c r="F878" s="598">
        <v>28.0</v>
      </c>
      <c r="G878" s="598">
        <v>146.0</v>
      </c>
      <c r="H878" s="598">
        <v>28.0</v>
      </c>
      <c r="I878" s="598">
        <v>2.0</v>
      </c>
      <c r="J878" s="598">
        <v>59.0</v>
      </c>
      <c r="K878" s="1561">
        <v>347.0</v>
      </c>
      <c r="L878" s="1551">
        <v>50530.0</v>
      </c>
    </row>
    <row r="879">
      <c r="A879" s="1545" t="s">
        <v>156</v>
      </c>
      <c r="B879" s="1587">
        <v>7577.0</v>
      </c>
      <c r="C879" s="1563">
        <v>301.0</v>
      </c>
      <c r="D879" s="1548">
        <v>16.6</v>
      </c>
      <c r="E879" s="1557">
        <v>7225.0</v>
      </c>
      <c r="F879" s="598">
        <v>19.0</v>
      </c>
      <c r="G879" s="598">
        <v>13.0</v>
      </c>
      <c r="H879" s="598">
        <v>16.0</v>
      </c>
      <c r="I879" s="598">
        <v>2.0</v>
      </c>
      <c r="J879" s="598">
        <v>64.0</v>
      </c>
      <c r="K879" s="1561">
        <v>238.0</v>
      </c>
      <c r="L879" s="1551">
        <v>56541.0</v>
      </c>
    </row>
    <row r="880">
      <c r="A880" s="1545" t="s">
        <v>157</v>
      </c>
      <c r="B880" s="1587">
        <v>10330.0</v>
      </c>
      <c r="C880" s="1563">
        <v>486.0</v>
      </c>
      <c r="D880" s="1548">
        <v>21.9</v>
      </c>
      <c r="E880" s="1557">
        <v>9698.0</v>
      </c>
      <c r="F880" s="598">
        <v>25.0</v>
      </c>
      <c r="G880" s="598">
        <v>35.0</v>
      </c>
      <c r="H880" s="598">
        <v>26.0</v>
      </c>
      <c r="I880" s="598">
        <v>2.0</v>
      </c>
      <c r="J880" s="598">
        <v>170.0</v>
      </c>
      <c r="K880" s="1561">
        <v>374.0</v>
      </c>
      <c r="L880" s="1551">
        <v>49966.0</v>
      </c>
    </row>
    <row r="881">
      <c r="A881" s="1545" t="s">
        <v>917</v>
      </c>
      <c r="B881" s="1587">
        <v>43235.0</v>
      </c>
      <c r="C881" s="1547">
        <v>1669.0</v>
      </c>
      <c r="D881" s="1548">
        <v>16.0</v>
      </c>
      <c r="E881" s="1557">
        <v>34598.0</v>
      </c>
      <c r="F881" s="598">
        <v>1141.0</v>
      </c>
      <c r="G881" s="598">
        <v>214.0</v>
      </c>
      <c r="H881" s="598">
        <v>406.0</v>
      </c>
      <c r="I881" s="598">
        <v>0.0</v>
      </c>
      <c r="J881" s="598">
        <v>3469.0</v>
      </c>
      <c r="K881" s="1561">
        <v>3407.0</v>
      </c>
      <c r="L881" s="1551">
        <v>58465.0</v>
      </c>
    </row>
    <row r="882">
      <c r="A882" s="1545" t="s">
        <v>2618</v>
      </c>
      <c r="B882" s="1587">
        <v>14182.0</v>
      </c>
      <c r="C882" s="1563">
        <v>339.0</v>
      </c>
      <c r="D882" s="1548">
        <v>10.5</v>
      </c>
      <c r="E882" s="1557">
        <v>12825.0</v>
      </c>
      <c r="F882" s="598">
        <v>161.0</v>
      </c>
      <c r="G882" s="598">
        <v>80.0</v>
      </c>
      <c r="H882" s="598">
        <v>80.0</v>
      </c>
      <c r="I882" s="598">
        <v>11.0</v>
      </c>
      <c r="J882" s="598">
        <v>376.0</v>
      </c>
      <c r="K882" s="1561">
        <v>649.0</v>
      </c>
      <c r="L882" s="1551">
        <v>53147.0</v>
      </c>
    </row>
    <row r="883">
      <c r="A883" s="1545" t="s">
        <v>515</v>
      </c>
      <c r="B883" s="1587">
        <v>6192.0</v>
      </c>
      <c r="C883" s="1563">
        <v>187.0</v>
      </c>
      <c r="D883" s="1548">
        <v>13.3</v>
      </c>
      <c r="E883" s="1557">
        <v>5485.0</v>
      </c>
      <c r="F883" s="598">
        <v>30.0</v>
      </c>
      <c r="G883" s="598">
        <v>32.0</v>
      </c>
      <c r="H883" s="598">
        <v>21.0</v>
      </c>
      <c r="I883" s="598">
        <v>36.0</v>
      </c>
      <c r="J883" s="598">
        <v>275.0</v>
      </c>
      <c r="K883" s="1561">
        <v>313.0</v>
      </c>
      <c r="L883" s="1551">
        <v>60627.0</v>
      </c>
    </row>
    <row r="884">
      <c r="A884" s="1545" t="s">
        <v>927</v>
      </c>
      <c r="B884" s="1587">
        <v>15211.0</v>
      </c>
      <c r="C884" s="1563">
        <v>524.0</v>
      </c>
      <c r="D884" s="1548">
        <v>19.5</v>
      </c>
      <c r="E884" s="1557">
        <v>13858.0</v>
      </c>
      <c r="F884" s="598">
        <v>365.0</v>
      </c>
      <c r="G884" s="598">
        <v>62.0</v>
      </c>
      <c r="H884" s="598">
        <v>124.0</v>
      </c>
      <c r="I884" s="598">
        <v>0.0</v>
      </c>
      <c r="J884" s="598">
        <v>149.0</v>
      </c>
      <c r="K884" s="1561">
        <v>653.0</v>
      </c>
      <c r="L884" s="1551">
        <v>54313.0</v>
      </c>
    </row>
    <row r="885">
      <c r="A885" s="1545" t="s">
        <v>928</v>
      </c>
      <c r="B885" s="1587">
        <v>8996.0</v>
      </c>
      <c r="C885" s="1563">
        <v>282.0</v>
      </c>
      <c r="D885" s="1548">
        <v>14.1</v>
      </c>
      <c r="E885" s="1557">
        <v>8465.0</v>
      </c>
      <c r="F885" s="598">
        <v>52.0</v>
      </c>
      <c r="G885" s="598">
        <v>23.0</v>
      </c>
      <c r="H885" s="598">
        <v>39.0</v>
      </c>
      <c r="I885" s="598">
        <v>6.0</v>
      </c>
      <c r="J885" s="598">
        <v>104.0</v>
      </c>
      <c r="K885" s="1561">
        <v>307.0</v>
      </c>
      <c r="L885" s="1551">
        <v>55322.0</v>
      </c>
    </row>
    <row r="886">
      <c r="A886" s="1545" t="s">
        <v>929</v>
      </c>
      <c r="B886" s="1587">
        <v>25698.0</v>
      </c>
      <c r="C886" s="1563">
        <v>578.0</v>
      </c>
      <c r="D886" s="1548">
        <v>9.4</v>
      </c>
      <c r="E886" s="1557">
        <v>23289.0</v>
      </c>
      <c r="F886" s="598">
        <v>356.0</v>
      </c>
      <c r="G886" s="598">
        <v>88.0</v>
      </c>
      <c r="H886" s="598">
        <v>116.0</v>
      </c>
      <c r="I886" s="598">
        <v>117.0</v>
      </c>
      <c r="J886" s="598">
        <v>656.0</v>
      </c>
      <c r="K886" s="1561">
        <v>1076.0</v>
      </c>
      <c r="L886" s="1551">
        <v>66360.0</v>
      </c>
    </row>
    <row r="887">
      <c r="A887" s="1545" t="s">
        <v>930</v>
      </c>
      <c r="B887" s="1587">
        <v>7078.0</v>
      </c>
      <c r="C887" s="1563">
        <v>263.0</v>
      </c>
      <c r="D887" s="1548">
        <v>17.5</v>
      </c>
      <c r="E887" s="1557">
        <v>6459.0</v>
      </c>
      <c r="F887" s="598">
        <v>66.0</v>
      </c>
      <c r="G887" s="598">
        <v>21.0</v>
      </c>
      <c r="H887" s="598">
        <v>29.0</v>
      </c>
      <c r="I887" s="598">
        <v>23.0</v>
      </c>
      <c r="J887" s="598">
        <v>182.0</v>
      </c>
      <c r="K887" s="1561">
        <v>298.0</v>
      </c>
      <c r="L887" s="1555">
        <v>55865.0</v>
      </c>
    </row>
    <row r="888">
      <c r="A888" s="1545" t="s">
        <v>302</v>
      </c>
      <c r="B888" s="1587">
        <v>492401.0</v>
      </c>
      <c r="C888" s="1547">
        <v>13958.0</v>
      </c>
      <c r="D888" s="1548">
        <v>11.7</v>
      </c>
      <c r="E888" s="1557">
        <v>373903.0</v>
      </c>
      <c r="F888" s="598">
        <v>35623.0</v>
      </c>
      <c r="G888" s="598">
        <v>2274.0</v>
      </c>
      <c r="H888" s="598">
        <v>24510.0</v>
      </c>
      <c r="I888" s="598">
        <v>302.0</v>
      </c>
      <c r="J888" s="598">
        <v>19100.0</v>
      </c>
      <c r="K888" s="1561">
        <v>36689.0</v>
      </c>
      <c r="L888" s="1555">
        <v>68479.0</v>
      </c>
    </row>
    <row r="889">
      <c r="A889" s="1545" t="s">
        <v>931</v>
      </c>
      <c r="B889" s="1587">
        <v>93667.0</v>
      </c>
      <c r="C889" s="1547">
        <v>3235.0</v>
      </c>
      <c r="D889" s="1548">
        <v>15.1</v>
      </c>
      <c r="E889" s="1557">
        <v>81329.0</v>
      </c>
      <c r="F889" s="598">
        <v>1889.0</v>
      </c>
      <c r="G889" s="598">
        <v>655.0</v>
      </c>
      <c r="H889" s="598">
        <v>785.0</v>
      </c>
      <c r="I889" s="598">
        <v>80.0</v>
      </c>
      <c r="J889" s="598">
        <v>3390.0</v>
      </c>
      <c r="K889" s="1561">
        <v>5539.0</v>
      </c>
      <c r="L889" s="1551">
        <v>56337.0</v>
      </c>
    </row>
    <row r="890">
      <c r="A890" s="1545" t="s">
        <v>932</v>
      </c>
      <c r="B890" s="1587">
        <v>18662.0</v>
      </c>
      <c r="C890" s="1563">
        <v>443.0</v>
      </c>
      <c r="D890" s="1548">
        <v>12.3</v>
      </c>
      <c r="E890" s="1557">
        <v>17209.0</v>
      </c>
      <c r="F890" s="598">
        <v>328.0</v>
      </c>
      <c r="G890" s="598">
        <v>65.0</v>
      </c>
      <c r="H890" s="598">
        <v>223.0</v>
      </c>
      <c r="I890" s="598">
        <v>21.0</v>
      </c>
      <c r="J890" s="598">
        <v>172.0</v>
      </c>
      <c r="K890" s="1561">
        <v>644.0</v>
      </c>
      <c r="L890" s="1551">
        <v>56170.0</v>
      </c>
    </row>
    <row r="891">
      <c r="A891" s="1545" t="s">
        <v>935</v>
      </c>
      <c r="B891" s="1587">
        <v>4663.0</v>
      </c>
      <c r="C891" s="1563">
        <v>265.0</v>
      </c>
      <c r="D891" s="1548">
        <v>23.1</v>
      </c>
      <c r="E891" s="1557">
        <v>4469.0</v>
      </c>
      <c r="F891" s="598">
        <v>3.0</v>
      </c>
      <c r="G891" s="598">
        <v>7.0</v>
      </c>
      <c r="H891" s="598">
        <v>8.0</v>
      </c>
      <c r="I891" s="598">
        <v>1.0</v>
      </c>
      <c r="J891" s="598">
        <v>20.0</v>
      </c>
      <c r="K891" s="1561">
        <v>155.0</v>
      </c>
      <c r="L891" s="1551">
        <v>48754.0</v>
      </c>
    </row>
    <row r="892">
      <c r="A892" s="1545" t="s">
        <v>936</v>
      </c>
      <c r="B892" s="1587">
        <v>9814.0</v>
      </c>
      <c r="C892" s="1563">
        <v>313.0</v>
      </c>
      <c r="D892" s="1548">
        <v>14.6</v>
      </c>
      <c r="E892" s="1557">
        <v>9271.0</v>
      </c>
      <c r="F892" s="598">
        <v>46.0</v>
      </c>
      <c r="G892" s="598">
        <v>11.0</v>
      </c>
      <c r="H892" s="598">
        <v>31.0</v>
      </c>
      <c r="I892" s="598">
        <v>9.0</v>
      </c>
      <c r="J892" s="598">
        <v>160.0</v>
      </c>
      <c r="K892" s="1561">
        <v>286.0</v>
      </c>
      <c r="L892" s="1555">
        <v>56698.0</v>
      </c>
    </row>
    <row r="893">
      <c r="A893" s="1545" t="s">
        <v>309</v>
      </c>
      <c r="B893" s="1587">
        <v>174669.0</v>
      </c>
      <c r="C893" s="1547">
        <v>7137.0</v>
      </c>
      <c r="D893" s="1548">
        <v>17.8</v>
      </c>
      <c r="E893" s="1557">
        <v>138752.0</v>
      </c>
      <c r="F893" s="598">
        <v>14117.0</v>
      </c>
      <c r="G893" s="598">
        <v>585.0</v>
      </c>
      <c r="H893" s="598">
        <v>4858.0</v>
      </c>
      <c r="I893" s="598">
        <v>61.0</v>
      </c>
      <c r="J893" s="598">
        <v>3384.0</v>
      </c>
      <c r="K893" s="1561">
        <v>12912.0</v>
      </c>
      <c r="L893" s="1551">
        <v>59865.0</v>
      </c>
    </row>
    <row r="894">
      <c r="A894" s="1545" t="s">
        <v>168</v>
      </c>
      <c r="B894" s="1587">
        <v>11746.0</v>
      </c>
      <c r="C894" s="1563">
        <v>252.0</v>
      </c>
      <c r="D894" s="1548">
        <v>9.9</v>
      </c>
      <c r="E894" s="1557">
        <v>10990.0</v>
      </c>
      <c r="F894" s="598">
        <v>53.0</v>
      </c>
      <c r="G894" s="598">
        <v>55.0</v>
      </c>
      <c r="H894" s="598">
        <v>49.0</v>
      </c>
      <c r="I894" s="598">
        <v>4.0</v>
      </c>
      <c r="J894" s="598">
        <v>185.0</v>
      </c>
      <c r="K894" s="1561">
        <v>410.0</v>
      </c>
      <c r="L894" s="1551">
        <v>58862.0</v>
      </c>
    </row>
    <row r="895">
      <c r="A895" s="1545" t="s">
        <v>937</v>
      </c>
      <c r="B895" s="1587">
        <v>35872.0</v>
      </c>
      <c r="C895" s="1563">
        <v>673.0</v>
      </c>
      <c r="D895" s="1548">
        <v>7.2</v>
      </c>
      <c r="E895" s="1557">
        <v>30745.0</v>
      </c>
      <c r="F895" s="598">
        <v>195.0</v>
      </c>
      <c r="G895" s="598">
        <v>218.0</v>
      </c>
      <c r="H895" s="598">
        <v>224.0</v>
      </c>
      <c r="I895" s="598">
        <v>5.0</v>
      </c>
      <c r="J895" s="598">
        <v>2241.0</v>
      </c>
      <c r="K895" s="1561">
        <v>2244.0</v>
      </c>
      <c r="L895" s="1555">
        <v>70162.0</v>
      </c>
    </row>
    <row r="896">
      <c r="A896" s="1545" t="s">
        <v>939</v>
      </c>
      <c r="B896" s="1587">
        <v>98537.0</v>
      </c>
      <c r="C896" s="1547">
        <v>1327.0</v>
      </c>
      <c r="D896" s="1548">
        <v>8.3</v>
      </c>
      <c r="E896" s="1557">
        <v>81046.0</v>
      </c>
      <c r="F896" s="598">
        <v>3019.0</v>
      </c>
      <c r="G896" s="598">
        <v>324.0</v>
      </c>
      <c r="H896" s="598">
        <v>5461.0</v>
      </c>
      <c r="I896" s="598">
        <v>34.0</v>
      </c>
      <c r="J896" s="598">
        <v>2641.0</v>
      </c>
      <c r="K896" s="1561">
        <v>6012.0</v>
      </c>
      <c r="L896" s="1551">
        <v>57464.0</v>
      </c>
    </row>
    <row r="897">
      <c r="A897" s="1545" t="s">
        <v>940</v>
      </c>
      <c r="B897" s="1587">
        <v>17135.0</v>
      </c>
      <c r="C897" s="1563">
        <v>609.0</v>
      </c>
      <c r="D897" s="1548">
        <v>15.2</v>
      </c>
      <c r="E897" s="1557">
        <v>13658.0</v>
      </c>
      <c r="F897" s="598">
        <v>137.0</v>
      </c>
      <c r="G897" s="598">
        <v>1427.0</v>
      </c>
      <c r="H897" s="598">
        <v>81.0</v>
      </c>
      <c r="I897" s="598">
        <v>2.0</v>
      </c>
      <c r="J897" s="598">
        <v>767.0</v>
      </c>
      <c r="K897" s="1561">
        <v>1063.0</v>
      </c>
      <c r="L897" s="1551">
        <v>56954.0</v>
      </c>
    </row>
    <row r="898">
      <c r="A898" s="1545" t="s">
        <v>526</v>
      </c>
      <c r="B898" s="1587">
        <v>5896.0</v>
      </c>
      <c r="C898" s="1563">
        <v>223.0</v>
      </c>
      <c r="D898" s="1548">
        <v>15.6</v>
      </c>
      <c r="E898" s="1557">
        <v>5412.0</v>
      </c>
      <c r="F898" s="598">
        <v>2.0</v>
      </c>
      <c r="G898" s="598">
        <v>17.0</v>
      </c>
      <c r="H898" s="598">
        <v>15.0</v>
      </c>
      <c r="I898" s="598">
        <v>4.0</v>
      </c>
      <c r="J898" s="598">
        <v>196.0</v>
      </c>
      <c r="K898" s="1561">
        <v>250.0</v>
      </c>
      <c r="L898" s="1551">
        <v>47781.0</v>
      </c>
    </row>
    <row r="899">
      <c r="A899" s="1545" t="s">
        <v>316</v>
      </c>
      <c r="B899" s="1587">
        <v>12138.0</v>
      </c>
      <c r="C899" s="1563">
        <v>475.0</v>
      </c>
      <c r="D899" s="1548">
        <v>17.7</v>
      </c>
      <c r="E899" s="1557">
        <v>11365.0</v>
      </c>
      <c r="F899" s="598">
        <v>118.0</v>
      </c>
      <c r="G899" s="598">
        <v>38.0</v>
      </c>
      <c r="H899" s="598">
        <v>65.0</v>
      </c>
      <c r="I899" s="598">
        <v>7.0</v>
      </c>
      <c r="J899" s="598">
        <v>104.0</v>
      </c>
      <c r="K899" s="1561">
        <v>441.0</v>
      </c>
      <c r="L899" s="1551">
        <v>49887.0</v>
      </c>
    </row>
    <row r="900">
      <c r="A900" s="1545" t="s">
        <v>317</v>
      </c>
      <c r="B900" s="1587">
        <v>7203.0</v>
      </c>
      <c r="C900" s="1563">
        <v>332.0</v>
      </c>
      <c r="D900" s="1548">
        <v>20.9</v>
      </c>
      <c r="E900" s="1557">
        <v>6923.0</v>
      </c>
      <c r="F900" s="598">
        <v>28.0</v>
      </c>
      <c r="G900" s="598">
        <v>7.0</v>
      </c>
      <c r="H900" s="598">
        <v>24.0</v>
      </c>
      <c r="I900" s="598">
        <v>0.0</v>
      </c>
      <c r="J900" s="598">
        <v>22.0</v>
      </c>
      <c r="K900" s="1561">
        <v>199.0</v>
      </c>
      <c r="L900" s="1551">
        <v>47905.0</v>
      </c>
    </row>
    <row r="901">
      <c r="A901" s="1545" t="s">
        <v>942</v>
      </c>
      <c r="B901" s="1587">
        <v>35437.0</v>
      </c>
      <c r="C901" s="1547">
        <v>1529.0</v>
      </c>
      <c r="D901" s="1548">
        <v>19.8</v>
      </c>
      <c r="E901" s="1557">
        <v>28180.0</v>
      </c>
      <c r="F901" s="598">
        <v>1469.0</v>
      </c>
      <c r="G901" s="598">
        <v>232.0</v>
      </c>
      <c r="H901" s="598">
        <v>629.0</v>
      </c>
      <c r="I901" s="598">
        <v>520.0</v>
      </c>
      <c r="J901" s="598">
        <v>2372.0</v>
      </c>
      <c r="K901" s="1561">
        <v>2035.0</v>
      </c>
      <c r="L901" s="1551">
        <v>48226.0</v>
      </c>
    </row>
    <row r="902">
      <c r="A902" s="1545" t="s">
        <v>647</v>
      </c>
      <c r="B902" s="1587">
        <v>52403.0</v>
      </c>
      <c r="C902" s="1563">
        <v>898.0</v>
      </c>
      <c r="D902" s="1548">
        <v>7.2</v>
      </c>
      <c r="E902" s="1557">
        <v>48539.0</v>
      </c>
      <c r="F902" s="598">
        <v>455.0</v>
      </c>
      <c r="G902" s="598">
        <v>98.0</v>
      </c>
      <c r="H902" s="598">
        <v>383.0</v>
      </c>
      <c r="I902" s="598">
        <v>22.0</v>
      </c>
      <c r="J902" s="598">
        <v>526.0</v>
      </c>
      <c r="K902" s="1561">
        <v>2380.0</v>
      </c>
      <c r="L902" s="1551">
        <v>78192.0</v>
      </c>
    </row>
    <row r="903">
      <c r="A903" s="1545" t="s">
        <v>119</v>
      </c>
      <c r="B903" s="1587">
        <v>22565.0</v>
      </c>
      <c r="C903" s="1563">
        <v>628.0</v>
      </c>
      <c r="D903" s="1548">
        <v>11.6</v>
      </c>
      <c r="E903" s="1557">
        <v>20374.0</v>
      </c>
      <c r="F903" s="598">
        <v>188.0</v>
      </c>
      <c r="G903" s="598">
        <v>70.0</v>
      </c>
      <c r="H903" s="598">
        <v>116.0</v>
      </c>
      <c r="I903" s="598">
        <v>3.0</v>
      </c>
      <c r="J903" s="598">
        <v>756.0</v>
      </c>
      <c r="K903" s="1561">
        <v>1058.0</v>
      </c>
      <c r="L903" s="1551">
        <v>65849.0</v>
      </c>
    </row>
    <row r="904">
      <c r="A904" s="1545" t="s">
        <v>273</v>
      </c>
      <c r="B904" s="1587">
        <v>6497.0</v>
      </c>
      <c r="C904" s="1563">
        <v>357.0</v>
      </c>
      <c r="D904" s="1548">
        <v>22.2</v>
      </c>
      <c r="E904" s="1557">
        <v>6261.0</v>
      </c>
      <c r="F904" s="598">
        <v>10.0</v>
      </c>
      <c r="G904" s="598">
        <v>17.0</v>
      </c>
      <c r="H904" s="598">
        <v>25.0</v>
      </c>
      <c r="I904" s="598">
        <v>2.0</v>
      </c>
      <c r="J904" s="598">
        <v>12.0</v>
      </c>
      <c r="K904" s="1561">
        <v>170.0</v>
      </c>
      <c r="L904" s="1551">
        <v>46725.0</v>
      </c>
    </row>
    <row r="905">
      <c r="A905" s="1545" t="s">
        <v>648</v>
      </c>
      <c r="B905" s="1587">
        <v>36999.0</v>
      </c>
      <c r="C905" s="1547">
        <v>1421.0</v>
      </c>
      <c r="D905" s="1548">
        <v>18.5</v>
      </c>
      <c r="E905" s="1557">
        <v>32108.0</v>
      </c>
      <c r="F905" s="598">
        <v>1825.0</v>
      </c>
      <c r="G905" s="598">
        <v>176.0</v>
      </c>
      <c r="H905" s="598">
        <v>303.0</v>
      </c>
      <c r="I905" s="598">
        <v>16.0</v>
      </c>
      <c r="J905" s="598">
        <v>670.0</v>
      </c>
      <c r="K905" s="1561">
        <v>1901.0</v>
      </c>
      <c r="L905" s="1551">
        <v>52093.0</v>
      </c>
    </row>
    <row r="906">
      <c r="A906" s="1545" t="s">
        <v>753</v>
      </c>
      <c r="B906" s="1587">
        <v>10679.0</v>
      </c>
      <c r="C906" s="1563">
        <v>310.0</v>
      </c>
      <c r="D906" s="1548">
        <v>13.5</v>
      </c>
      <c r="E906" s="1557">
        <v>9665.0</v>
      </c>
      <c r="F906" s="598">
        <v>214.0</v>
      </c>
      <c r="G906" s="598">
        <v>22.0</v>
      </c>
      <c r="H906" s="598">
        <v>98.0</v>
      </c>
      <c r="I906" s="598">
        <v>3.0</v>
      </c>
      <c r="J906" s="598">
        <v>257.0</v>
      </c>
      <c r="K906" s="1561">
        <v>420.0</v>
      </c>
      <c r="L906" s="1551">
        <v>54433.0</v>
      </c>
    </row>
    <row r="907">
      <c r="A907" s="1545" t="s">
        <v>945</v>
      </c>
      <c r="B907" s="1587">
        <v>20070.0</v>
      </c>
      <c r="C907" s="1563">
        <v>363.0</v>
      </c>
      <c r="D907" s="1548">
        <v>9.9</v>
      </c>
      <c r="E907" s="1557">
        <v>18852.0</v>
      </c>
      <c r="F907" s="598">
        <v>131.0</v>
      </c>
      <c r="G907" s="598">
        <v>34.0</v>
      </c>
      <c r="H907" s="598">
        <v>178.0</v>
      </c>
      <c r="I907" s="598">
        <v>12.0</v>
      </c>
      <c r="J907" s="598">
        <v>302.0</v>
      </c>
      <c r="K907" s="1561">
        <v>561.0</v>
      </c>
      <c r="L907" s="1555">
        <v>61807.0</v>
      </c>
    </row>
    <row r="908">
      <c r="A908" s="1545" t="s">
        <v>946</v>
      </c>
      <c r="B908" s="1587">
        <v>105941.0</v>
      </c>
      <c r="C908" s="1547">
        <v>5183.0</v>
      </c>
      <c r="D908" s="1548">
        <v>19.8</v>
      </c>
      <c r="E908" s="1557">
        <v>76794.0</v>
      </c>
      <c r="F908" s="598">
        <v>5197.0</v>
      </c>
      <c r="G908" s="598">
        <v>2515.0</v>
      </c>
      <c r="H908" s="598">
        <v>3008.0</v>
      </c>
      <c r="I908" s="598">
        <v>661.0</v>
      </c>
      <c r="J908" s="598">
        <v>8155.0</v>
      </c>
      <c r="K908" s="1561">
        <v>9611.0</v>
      </c>
      <c r="L908" s="1555">
        <v>60059.0</v>
      </c>
    </row>
    <row r="909">
      <c r="A909" s="1545" t="s">
        <v>655</v>
      </c>
      <c r="B909" s="1587">
        <v>7443.0</v>
      </c>
      <c r="C909" s="1563">
        <v>232.0</v>
      </c>
      <c r="D909" s="1548">
        <v>15.4</v>
      </c>
      <c r="E909" s="1557">
        <v>7041.0</v>
      </c>
      <c r="F909" s="598">
        <v>60.0</v>
      </c>
      <c r="G909" s="598">
        <v>8.0</v>
      </c>
      <c r="H909" s="598">
        <v>32.0</v>
      </c>
      <c r="I909" s="598">
        <v>1.0</v>
      </c>
      <c r="J909" s="598">
        <v>40.0</v>
      </c>
      <c r="K909" s="1561">
        <v>261.0</v>
      </c>
      <c r="L909" s="1615">
        <v>58587.0</v>
      </c>
    </row>
    <row r="910">
      <c r="A910" s="1528" t="s">
        <v>949</v>
      </c>
      <c r="B910" s="1595">
        <v>12943.0</v>
      </c>
      <c r="C910" s="1582">
        <v>505.0</v>
      </c>
      <c r="D910" s="1567">
        <v>17.0</v>
      </c>
      <c r="E910" s="1532">
        <v>10542.0</v>
      </c>
      <c r="F910" s="1533">
        <v>75.0</v>
      </c>
      <c r="G910" s="1533">
        <v>86.0</v>
      </c>
      <c r="H910" s="1533">
        <v>69.0</v>
      </c>
      <c r="I910" s="1533">
        <v>8.0</v>
      </c>
      <c r="J910" s="1533">
        <v>1319.0</v>
      </c>
      <c r="K910" s="1616">
        <v>844.0</v>
      </c>
      <c r="L910" s="1617">
        <v>54802.0</v>
      </c>
    </row>
    <row r="911">
      <c r="A911" s="1538" t="s">
        <v>53</v>
      </c>
      <c r="B911" s="1596">
        <v>2937880.0</v>
      </c>
      <c r="C911" s="1540">
        <v>102616.0</v>
      </c>
      <c r="D911" s="1571">
        <v>14.8</v>
      </c>
      <c r="E911" s="1572">
        <v>2222462.0</v>
      </c>
      <c r="F911" s="1542">
        <v>168809.0</v>
      </c>
      <c r="G911" s="1542">
        <v>30995.0</v>
      </c>
      <c r="H911" s="1542">
        <v>86273.0</v>
      </c>
      <c r="I911" s="1542">
        <v>3412.0</v>
      </c>
      <c r="J911" s="1542">
        <v>145422.0</v>
      </c>
      <c r="K911" s="1543">
        <v>280507.0</v>
      </c>
      <c r="L911" s="1544">
        <v>58150.0</v>
      </c>
    </row>
    <row r="912">
      <c r="A912" s="1545" t="s">
        <v>755</v>
      </c>
      <c r="B912" s="1586">
        <v>12526.0</v>
      </c>
      <c r="C912" s="1563">
        <v>725.0</v>
      </c>
      <c r="D912" s="1548">
        <v>26.8</v>
      </c>
      <c r="E912" s="1557">
        <v>11180.0</v>
      </c>
      <c r="F912" s="598">
        <v>186.0</v>
      </c>
      <c r="G912" s="598">
        <v>150.0</v>
      </c>
      <c r="H912" s="598">
        <v>67.0</v>
      </c>
      <c r="I912" s="598">
        <v>2.0</v>
      </c>
      <c r="J912" s="598">
        <v>159.0</v>
      </c>
      <c r="K912" s="1561">
        <v>782.0</v>
      </c>
      <c r="L912" s="1551">
        <v>44423.0</v>
      </c>
    </row>
    <row r="913">
      <c r="A913" s="1545" t="s">
        <v>954</v>
      </c>
      <c r="B913" s="1587">
        <v>7836.0</v>
      </c>
      <c r="C913" s="1563">
        <v>328.0</v>
      </c>
      <c r="D913" s="1548">
        <v>16.7</v>
      </c>
      <c r="E913" s="1557">
        <v>7312.0</v>
      </c>
      <c r="F913" s="598">
        <v>26.0</v>
      </c>
      <c r="G913" s="598">
        <v>53.0</v>
      </c>
      <c r="H913" s="598">
        <v>47.0</v>
      </c>
      <c r="I913" s="598">
        <v>2.0</v>
      </c>
      <c r="J913" s="598">
        <v>66.0</v>
      </c>
      <c r="K913" s="1561">
        <v>330.0</v>
      </c>
      <c r="L913" s="1551">
        <v>50646.0</v>
      </c>
    </row>
    <row r="914">
      <c r="A914" s="1545" t="s">
        <v>955</v>
      </c>
      <c r="B914" s="1587">
        <v>16348.0</v>
      </c>
      <c r="C914" s="1563">
        <v>677.0</v>
      </c>
      <c r="D914" s="1548">
        <v>18.3</v>
      </c>
      <c r="E914" s="1557">
        <v>14111.0</v>
      </c>
      <c r="F914" s="598">
        <v>788.0</v>
      </c>
      <c r="G914" s="598">
        <v>88.0</v>
      </c>
      <c r="H914" s="598">
        <v>83.0</v>
      </c>
      <c r="I914" s="598">
        <v>7.0</v>
      </c>
      <c r="J914" s="598">
        <v>269.0</v>
      </c>
      <c r="K914" s="1561">
        <v>1002.0</v>
      </c>
      <c r="L914" s="1551">
        <v>49332.0</v>
      </c>
    </row>
    <row r="915">
      <c r="A915" s="1545" t="s">
        <v>957</v>
      </c>
      <c r="B915" s="1587">
        <v>4228.0</v>
      </c>
      <c r="C915" s="1563">
        <v>201.0</v>
      </c>
      <c r="D915" s="1548">
        <v>19.9</v>
      </c>
      <c r="E915" s="1557">
        <v>3857.0</v>
      </c>
      <c r="F915" s="598">
        <v>8.0</v>
      </c>
      <c r="G915" s="598">
        <v>34.0</v>
      </c>
      <c r="H915" s="598">
        <v>16.0</v>
      </c>
      <c r="I915" s="598">
        <v>5.0</v>
      </c>
      <c r="J915" s="598">
        <v>91.0</v>
      </c>
      <c r="K915" s="1561">
        <v>217.0</v>
      </c>
      <c r="L915" s="1551">
        <v>47634.0</v>
      </c>
    </row>
    <row r="916">
      <c r="A916" s="1545" t="s">
        <v>958</v>
      </c>
      <c r="B916" s="1587">
        <v>25493.0</v>
      </c>
      <c r="C916" s="1547">
        <v>1142.0</v>
      </c>
      <c r="D916" s="1548">
        <v>18.9</v>
      </c>
      <c r="E916" s="1557">
        <v>21157.0</v>
      </c>
      <c r="F916" s="598">
        <v>312.0</v>
      </c>
      <c r="G916" s="598">
        <v>149.0</v>
      </c>
      <c r="H916" s="598">
        <v>80.0</v>
      </c>
      <c r="I916" s="598">
        <v>3.0</v>
      </c>
      <c r="J916" s="598">
        <v>1855.0</v>
      </c>
      <c r="K916" s="1561">
        <v>1937.0</v>
      </c>
      <c r="L916" s="1551">
        <v>49991.0</v>
      </c>
    </row>
    <row r="917">
      <c r="A917" s="1545" t="s">
        <v>959</v>
      </c>
      <c r="B917" s="1587">
        <v>14360.0</v>
      </c>
      <c r="C917" s="1563">
        <v>828.0</v>
      </c>
      <c r="D917" s="1548">
        <v>22.5</v>
      </c>
      <c r="E917" s="1557">
        <v>12585.0</v>
      </c>
      <c r="F917" s="598">
        <v>469.0</v>
      </c>
      <c r="G917" s="598">
        <v>100.0</v>
      </c>
      <c r="H917" s="598">
        <v>98.0</v>
      </c>
      <c r="I917" s="598">
        <v>2.0</v>
      </c>
      <c r="J917" s="598">
        <v>146.0</v>
      </c>
      <c r="K917" s="1561">
        <v>960.0</v>
      </c>
      <c r="L917" s="1551">
        <v>41807.0</v>
      </c>
    </row>
    <row r="918">
      <c r="A918" s="1545" t="s">
        <v>706</v>
      </c>
      <c r="B918" s="1587">
        <v>9508.0</v>
      </c>
      <c r="C918" s="1563">
        <v>466.0</v>
      </c>
      <c r="D918" s="1548">
        <v>19.7</v>
      </c>
      <c r="E918" s="1557">
        <v>7772.0</v>
      </c>
      <c r="F918" s="598">
        <v>100.0</v>
      </c>
      <c r="G918" s="598">
        <v>872.0</v>
      </c>
      <c r="H918" s="598">
        <v>45.0</v>
      </c>
      <c r="I918" s="598">
        <v>7.0</v>
      </c>
      <c r="J918" s="598">
        <v>105.0</v>
      </c>
      <c r="K918" s="1561">
        <v>607.0</v>
      </c>
      <c r="L918" s="1555">
        <v>47529.0</v>
      </c>
    </row>
    <row r="919">
      <c r="A919" s="1545" t="s">
        <v>87</v>
      </c>
      <c r="B919" s="1587">
        <v>67380.0</v>
      </c>
      <c r="C919" s="1547">
        <v>1969.0</v>
      </c>
      <c r="D919" s="1548">
        <v>11.8</v>
      </c>
      <c r="E919" s="1557">
        <v>58119.0</v>
      </c>
      <c r="F919" s="598">
        <v>1463.0</v>
      </c>
      <c r="G919" s="598">
        <v>569.0</v>
      </c>
      <c r="H919" s="598">
        <v>1005.0</v>
      </c>
      <c r="I919" s="598">
        <v>39.0</v>
      </c>
      <c r="J919" s="598">
        <v>957.0</v>
      </c>
      <c r="K919" s="1561">
        <v>5228.0</v>
      </c>
      <c r="L919" s="1551">
        <v>65953.0</v>
      </c>
    </row>
    <row r="920">
      <c r="A920" s="1545" t="s">
        <v>960</v>
      </c>
      <c r="B920" s="1587">
        <v>2572.0</v>
      </c>
      <c r="C920" s="1563">
        <v>66.0</v>
      </c>
      <c r="D920" s="1548">
        <v>12.8</v>
      </c>
      <c r="E920" s="1557">
        <v>2271.0</v>
      </c>
      <c r="F920" s="598">
        <v>20.0</v>
      </c>
      <c r="G920" s="598">
        <v>16.0</v>
      </c>
      <c r="H920" s="598">
        <v>8.0</v>
      </c>
      <c r="I920" s="598">
        <v>3.0</v>
      </c>
      <c r="J920" s="598">
        <v>146.0</v>
      </c>
      <c r="K920" s="1561">
        <v>108.0</v>
      </c>
      <c r="L920" s="1551">
        <v>50981.0</v>
      </c>
    </row>
    <row r="921">
      <c r="A921" s="1545" t="s">
        <v>961</v>
      </c>
      <c r="B921" s="1587">
        <v>3379.0</v>
      </c>
      <c r="C921" s="1563">
        <v>170.0</v>
      </c>
      <c r="D921" s="1548">
        <v>26.8</v>
      </c>
      <c r="E921" s="1557">
        <v>2847.0</v>
      </c>
      <c r="F921" s="598">
        <v>23.0</v>
      </c>
      <c r="G921" s="598">
        <v>189.0</v>
      </c>
      <c r="H921" s="598">
        <v>19.0</v>
      </c>
      <c r="I921" s="598">
        <v>0.0</v>
      </c>
      <c r="J921" s="598">
        <v>76.0</v>
      </c>
      <c r="K921" s="1561">
        <v>225.0</v>
      </c>
      <c r="L921" s="1551">
        <v>41129.0</v>
      </c>
    </row>
    <row r="922">
      <c r="A922" s="1545" t="s">
        <v>101</v>
      </c>
      <c r="B922" s="1587">
        <v>19362.0</v>
      </c>
      <c r="C922" s="1547">
        <v>1014.0</v>
      </c>
      <c r="D922" s="1548">
        <v>22.5</v>
      </c>
      <c r="E922" s="1557">
        <v>16475.0</v>
      </c>
      <c r="F922" s="598">
        <v>80.0</v>
      </c>
      <c r="G922" s="598">
        <v>799.0</v>
      </c>
      <c r="H922" s="598">
        <v>65.0</v>
      </c>
      <c r="I922" s="598">
        <v>26.0</v>
      </c>
      <c r="J922" s="598">
        <v>148.0</v>
      </c>
      <c r="K922" s="1561">
        <v>1769.0</v>
      </c>
      <c r="L922" s="1551">
        <v>44475.0</v>
      </c>
    </row>
    <row r="923">
      <c r="A923" s="1545" t="s">
        <v>399</v>
      </c>
      <c r="B923" s="1587">
        <v>2616.0</v>
      </c>
      <c r="C923" s="1563">
        <v>110.0</v>
      </c>
      <c r="D923" s="1548">
        <v>20.0</v>
      </c>
      <c r="E923" s="1557">
        <v>2282.0</v>
      </c>
      <c r="F923" s="598">
        <v>7.0</v>
      </c>
      <c r="G923" s="598">
        <v>7.0</v>
      </c>
      <c r="H923" s="598">
        <v>12.0</v>
      </c>
      <c r="I923" s="598">
        <v>0.0</v>
      </c>
      <c r="J923" s="598">
        <v>105.0</v>
      </c>
      <c r="K923" s="1561">
        <v>203.0</v>
      </c>
      <c r="L923" s="1551">
        <v>43274.0</v>
      </c>
    </row>
    <row r="924">
      <c r="A924" s="1545" t="s">
        <v>253</v>
      </c>
      <c r="B924" s="1587">
        <v>1991.0</v>
      </c>
      <c r="C924" s="1563">
        <v>92.0</v>
      </c>
      <c r="D924" s="1548">
        <v>19.5</v>
      </c>
      <c r="E924" s="1557">
        <v>1724.0</v>
      </c>
      <c r="F924" s="598">
        <v>6.0</v>
      </c>
      <c r="G924" s="598">
        <v>21.0</v>
      </c>
      <c r="H924" s="598">
        <v>24.0</v>
      </c>
      <c r="I924" s="598">
        <v>1.0</v>
      </c>
      <c r="J924" s="598">
        <v>90.0</v>
      </c>
      <c r="K924" s="1561">
        <v>125.0</v>
      </c>
      <c r="L924" s="1551">
        <v>51235.0</v>
      </c>
    </row>
    <row r="925">
      <c r="A925" s="1545" t="s">
        <v>112</v>
      </c>
      <c r="B925" s="1587">
        <v>8117.0</v>
      </c>
      <c r="C925" s="1563">
        <v>309.0</v>
      </c>
      <c r="D925" s="1548">
        <v>16.8</v>
      </c>
      <c r="E925" s="1557">
        <v>7542.0</v>
      </c>
      <c r="F925" s="598">
        <v>50.0</v>
      </c>
      <c r="G925" s="598">
        <v>50.0</v>
      </c>
      <c r="H925" s="598">
        <v>53.0</v>
      </c>
      <c r="I925" s="598">
        <v>0.0</v>
      </c>
      <c r="J925" s="598">
        <v>66.0</v>
      </c>
      <c r="K925" s="1561">
        <v>356.0</v>
      </c>
      <c r="L925" s="1551">
        <v>52681.0</v>
      </c>
    </row>
    <row r="926">
      <c r="A926" s="1545" t="s">
        <v>962</v>
      </c>
      <c r="B926" s="1587">
        <v>9032.0</v>
      </c>
      <c r="C926" s="1563">
        <v>352.0</v>
      </c>
      <c r="D926" s="1548">
        <v>18.4</v>
      </c>
      <c r="E926" s="1557">
        <v>8338.0</v>
      </c>
      <c r="F926" s="598">
        <v>123.0</v>
      </c>
      <c r="G926" s="598">
        <v>44.0</v>
      </c>
      <c r="H926" s="598">
        <v>40.0</v>
      </c>
      <c r="I926" s="598">
        <v>9.0</v>
      </c>
      <c r="J926" s="598">
        <v>77.0</v>
      </c>
      <c r="K926" s="1561">
        <v>401.0</v>
      </c>
      <c r="L926" s="1551">
        <v>44467.0</v>
      </c>
    </row>
    <row r="927">
      <c r="A927" s="1545" t="s">
        <v>963</v>
      </c>
      <c r="B927" s="1587">
        <v>8360.0</v>
      </c>
      <c r="C927" s="1563">
        <v>260.0</v>
      </c>
      <c r="D927" s="1548">
        <v>14.8</v>
      </c>
      <c r="E927" s="1557">
        <v>7777.0</v>
      </c>
      <c r="F927" s="598">
        <v>45.0</v>
      </c>
      <c r="G927" s="598">
        <v>37.0</v>
      </c>
      <c r="H927" s="598">
        <v>44.0</v>
      </c>
      <c r="I927" s="598">
        <v>1.0</v>
      </c>
      <c r="J927" s="598">
        <v>50.0</v>
      </c>
      <c r="K927" s="1561">
        <v>406.0</v>
      </c>
      <c r="L927" s="1551">
        <v>58371.0</v>
      </c>
    </row>
    <row r="928">
      <c r="A928" s="1545" t="s">
        <v>964</v>
      </c>
      <c r="B928" s="1587">
        <v>1689.0</v>
      </c>
      <c r="C928" s="1563">
        <v>58.0</v>
      </c>
      <c r="D928" s="1548">
        <v>14.6</v>
      </c>
      <c r="E928" s="1557">
        <v>1560.0</v>
      </c>
      <c r="F928" s="598">
        <v>12.0</v>
      </c>
      <c r="G928" s="598">
        <v>2.0</v>
      </c>
      <c r="H928" s="598">
        <v>0.0</v>
      </c>
      <c r="I928" s="598">
        <v>1.0</v>
      </c>
      <c r="J928" s="598">
        <v>24.0</v>
      </c>
      <c r="K928" s="1561">
        <v>90.0</v>
      </c>
      <c r="L928" s="1551">
        <v>46818.0</v>
      </c>
    </row>
    <row r="929">
      <c r="A929" s="1545" t="s">
        <v>965</v>
      </c>
      <c r="B929" s="1587">
        <v>34549.0</v>
      </c>
      <c r="C929" s="1547">
        <v>1746.0</v>
      </c>
      <c r="D929" s="1548">
        <v>21.6</v>
      </c>
      <c r="E929" s="1557">
        <v>27413.0</v>
      </c>
      <c r="F929" s="598">
        <v>895.0</v>
      </c>
      <c r="G929" s="598">
        <v>784.0</v>
      </c>
      <c r="H929" s="598">
        <v>505.0</v>
      </c>
      <c r="I929" s="598">
        <v>179.0</v>
      </c>
      <c r="J929" s="598">
        <v>1425.0</v>
      </c>
      <c r="K929" s="1561">
        <v>3348.0</v>
      </c>
      <c r="L929" s="1551">
        <v>47864.0</v>
      </c>
    </row>
    <row r="930">
      <c r="A930" s="1545" t="s">
        <v>263</v>
      </c>
      <c r="B930" s="1587">
        <v>38972.0</v>
      </c>
      <c r="C930" s="1547">
        <v>1752.0</v>
      </c>
      <c r="D930" s="1548">
        <v>21.4</v>
      </c>
      <c r="E930" s="1557">
        <v>32587.0</v>
      </c>
      <c r="F930" s="598">
        <v>913.0</v>
      </c>
      <c r="G930" s="598">
        <v>373.0</v>
      </c>
      <c r="H930" s="598">
        <v>461.0</v>
      </c>
      <c r="I930" s="598">
        <v>193.0</v>
      </c>
      <c r="J930" s="598">
        <v>1271.0</v>
      </c>
      <c r="K930" s="1561">
        <v>3174.0</v>
      </c>
      <c r="L930" s="1551">
        <v>43852.0</v>
      </c>
    </row>
    <row r="931">
      <c r="A931" s="1545" t="s">
        <v>563</v>
      </c>
      <c r="B931" s="1587">
        <v>2764.0</v>
      </c>
      <c r="C931" s="1563">
        <v>113.0</v>
      </c>
      <c r="D931" s="1548">
        <v>21.0</v>
      </c>
      <c r="E931" s="1557">
        <v>2605.0</v>
      </c>
      <c r="F931" s="598">
        <v>9.0</v>
      </c>
      <c r="G931" s="598">
        <v>9.0</v>
      </c>
      <c r="H931" s="598">
        <v>15.0</v>
      </c>
      <c r="I931" s="598">
        <v>0.0</v>
      </c>
      <c r="J931" s="598">
        <v>7.0</v>
      </c>
      <c r="K931" s="1561">
        <v>119.0</v>
      </c>
      <c r="L931" s="1551">
        <v>44774.0</v>
      </c>
    </row>
    <row r="932">
      <c r="A932" s="1545" t="s">
        <v>899</v>
      </c>
      <c r="B932" s="1587">
        <v>18402.0</v>
      </c>
      <c r="C932" s="1563">
        <v>668.0</v>
      </c>
      <c r="D932" s="1548">
        <v>15.4</v>
      </c>
      <c r="E932" s="1557">
        <v>16814.0</v>
      </c>
      <c r="F932" s="598">
        <v>117.0</v>
      </c>
      <c r="G932" s="598">
        <v>87.0</v>
      </c>
      <c r="H932" s="598">
        <v>80.0</v>
      </c>
      <c r="I932" s="598">
        <v>21.0</v>
      </c>
      <c r="J932" s="598">
        <v>248.0</v>
      </c>
      <c r="K932" s="1561">
        <v>1035.0</v>
      </c>
      <c r="L932" s="1551">
        <v>50605.0</v>
      </c>
    </row>
    <row r="933">
      <c r="A933" s="1545" t="s">
        <v>967</v>
      </c>
      <c r="B933" s="1587">
        <v>7510.0</v>
      </c>
      <c r="C933" s="1563">
        <v>281.0</v>
      </c>
      <c r="D933" s="1548">
        <v>17.8</v>
      </c>
      <c r="E933" s="1557">
        <v>6701.0</v>
      </c>
      <c r="F933" s="598">
        <v>268.0</v>
      </c>
      <c r="G933" s="598">
        <v>83.0</v>
      </c>
      <c r="H933" s="598">
        <v>32.0</v>
      </c>
      <c r="I933" s="598">
        <v>19.0</v>
      </c>
      <c r="J933" s="598">
        <v>66.0</v>
      </c>
      <c r="K933" s="1561">
        <v>341.0</v>
      </c>
      <c r="L933" s="1555">
        <v>50949.0</v>
      </c>
    </row>
    <row r="934">
      <c r="A934" s="1545" t="s">
        <v>412</v>
      </c>
      <c r="B934" s="1587">
        <v>118785.0</v>
      </c>
      <c r="C934" s="1547">
        <v>2694.0</v>
      </c>
      <c r="D934" s="1548">
        <v>12.4</v>
      </c>
      <c r="E934" s="1557">
        <v>92694.0</v>
      </c>
      <c r="F934" s="598">
        <v>5301.0</v>
      </c>
      <c r="G934" s="598">
        <v>2950.0</v>
      </c>
      <c r="H934" s="598">
        <v>4685.0</v>
      </c>
      <c r="I934" s="598">
        <v>86.0</v>
      </c>
      <c r="J934" s="598">
        <v>2569.0</v>
      </c>
      <c r="K934" s="1561">
        <v>10500.0</v>
      </c>
      <c r="L934" s="1551">
        <v>57120.0</v>
      </c>
    </row>
    <row r="935">
      <c r="A935" s="1545" t="s">
        <v>717</v>
      </c>
      <c r="B935" s="1587">
        <v>2907.0</v>
      </c>
      <c r="C935" s="1563">
        <v>108.0</v>
      </c>
      <c r="D935" s="1548">
        <v>16.5</v>
      </c>
      <c r="E935" s="1557">
        <v>2400.0</v>
      </c>
      <c r="F935" s="598">
        <v>14.0</v>
      </c>
      <c r="G935" s="598">
        <v>17.0</v>
      </c>
      <c r="H935" s="598">
        <v>2.0</v>
      </c>
      <c r="I935" s="598">
        <v>1.0</v>
      </c>
      <c r="J935" s="598">
        <v>211.0</v>
      </c>
      <c r="K935" s="1561">
        <v>262.0</v>
      </c>
      <c r="L935" s="1551">
        <v>46962.0</v>
      </c>
    </row>
    <row r="936">
      <c r="A936" s="1545" t="s">
        <v>968</v>
      </c>
      <c r="B936" s="1587">
        <v>2483.0</v>
      </c>
      <c r="C936" s="1563">
        <v>148.0</v>
      </c>
      <c r="D936" s="1548">
        <v>27.8</v>
      </c>
      <c r="E936" s="1557">
        <v>2253.0</v>
      </c>
      <c r="F936" s="598">
        <v>5.0</v>
      </c>
      <c r="G936" s="598">
        <v>48.0</v>
      </c>
      <c r="H936" s="598">
        <v>4.0</v>
      </c>
      <c r="I936" s="598">
        <v>0.0</v>
      </c>
      <c r="J936" s="598">
        <v>18.0</v>
      </c>
      <c r="K936" s="1561">
        <v>155.0</v>
      </c>
      <c r="L936" s="1551">
        <v>37360.0</v>
      </c>
    </row>
    <row r="937">
      <c r="A937" s="1545" t="s">
        <v>969</v>
      </c>
      <c r="B937" s="1587">
        <v>28934.0</v>
      </c>
      <c r="C937" s="1563">
        <v>741.0</v>
      </c>
      <c r="D937" s="1548">
        <v>12.2</v>
      </c>
      <c r="E937" s="1557">
        <v>25584.0</v>
      </c>
      <c r="F937" s="598">
        <v>340.0</v>
      </c>
      <c r="G937" s="598">
        <v>96.0</v>
      </c>
      <c r="H937" s="598">
        <v>266.0</v>
      </c>
      <c r="I937" s="598">
        <v>2.0</v>
      </c>
      <c r="J937" s="598">
        <v>996.0</v>
      </c>
      <c r="K937" s="1561">
        <v>1650.0</v>
      </c>
      <c r="L937" s="1551">
        <v>53840.0</v>
      </c>
    </row>
    <row r="938">
      <c r="A938" s="1545" t="s">
        <v>970</v>
      </c>
      <c r="B938" s="1587">
        <v>6376.0</v>
      </c>
      <c r="C938" s="1563">
        <v>152.0</v>
      </c>
      <c r="D938" s="1548">
        <v>14.2</v>
      </c>
      <c r="E938" s="1557">
        <v>5655.0</v>
      </c>
      <c r="F938" s="598">
        <v>254.0</v>
      </c>
      <c r="G938" s="598">
        <v>53.0</v>
      </c>
      <c r="H938" s="598">
        <v>31.0</v>
      </c>
      <c r="I938" s="598">
        <v>0.0</v>
      </c>
      <c r="J938" s="598">
        <v>66.0</v>
      </c>
      <c r="K938" s="1561">
        <v>317.0</v>
      </c>
      <c r="L938" s="1551">
        <v>50261.0</v>
      </c>
    </row>
    <row r="939">
      <c r="A939" s="1545" t="s">
        <v>971</v>
      </c>
      <c r="B939" s="1587">
        <v>38470.0</v>
      </c>
      <c r="C939" s="1547">
        <v>1895.0</v>
      </c>
      <c r="D939" s="1548">
        <v>17.5</v>
      </c>
      <c r="E939" s="1557">
        <v>19812.0</v>
      </c>
      <c r="F939" s="598">
        <v>1542.0</v>
      </c>
      <c r="G939" s="598">
        <v>367.0</v>
      </c>
      <c r="H939" s="598">
        <v>1548.0</v>
      </c>
      <c r="I939" s="598">
        <v>35.0</v>
      </c>
      <c r="J939" s="598">
        <v>6541.0</v>
      </c>
      <c r="K939" s="1561">
        <v>8625.0</v>
      </c>
      <c r="L939" s="1551">
        <v>56206.0</v>
      </c>
    </row>
    <row r="940">
      <c r="A940" s="1545" t="s">
        <v>718</v>
      </c>
      <c r="B940" s="1587">
        <v>34287.0</v>
      </c>
      <c r="C940" s="1547">
        <v>1572.0</v>
      </c>
      <c r="D940" s="1548">
        <v>15.8</v>
      </c>
      <c r="E940" s="1557">
        <v>17167.0</v>
      </c>
      <c r="F940" s="598">
        <v>978.0</v>
      </c>
      <c r="G940" s="598">
        <v>753.0</v>
      </c>
      <c r="H940" s="598">
        <v>417.0</v>
      </c>
      <c r="I940" s="598">
        <v>14.0</v>
      </c>
      <c r="J940" s="598">
        <v>8409.0</v>
      </c>
      <c r="K940" s="1561">
        <v>6549.0</v>
      </c>
      <c r="L940" s="1551">
        <v>56052.0</v>
      </c>
    </row>
    <row r="941">
      <c r="A941" s="1545" t="s">
        <v>136</v>
      </c>
      <c r="B941" s="1587">
        <v>25996.0</v>
      </c>
      <c r="C941" s="1563">
        <v>804.0</v>
      </c>
      <c r="D941" s="1548">
        <v>13.6</v>
      </c>
      <c r="E941" s="1557">
        <v>23187.0</v>
      </c>
      <c r="F941" s="598">
        <v>305.0</v>
      </c>
      <c r="G941" s="598">
        <v>220.0</v>
      </c>
      <c r="H941" s="598">
        <v>108.0</v>
      </c>
      <c r="I941" s="598">
        <v>7.0</v>
      </c>
      <c r="J941" s="598">
        <v>381.0</v>
      </c>
      <c r="K941" s="1561">
        <v>1788.0</v>
      </c>
      <c r="L941" s="1551">
        <v>58033.0</v>
      </c>
    </row>
    <row r="942">
      <c r="A942" s="1545" t="s">
        <v>973</v>
      </c>
      <c r="B942" s="1587">
        <v>36739.0</v>
      </c>
      <c r="C942" s="1547">
        <v>1562.0</v>
      </c>
      <c r="D942" s="1548">
        <v>16.0</v>
      </c>
      <c r="E942" s="1557">
        <v>21857.0</v>
      </c>
      <c r="F942" s="598">
        <v>6303.0</v>
      </c>
      <c r="G942" s="598">
        <v>325.0</v>
      </c>
      <c r="H942" s="598">
        <v>1250.0</v>
      </c>
      <c r="I942" s="598">
        <v>458.0</v>
      </c>
      <c r="J942" s="598">
        <v>1682.0</v>
      </c>
      <c r="K942" s="1561">
        <v>4864.0</v>
      </c>
      <c r="L942" s="1551">
        <v>50856.0</v>
      </c>
    </row>
    <row r="943">
      <c r="A943" s="1545" t="s">
        <v>974</v>
      </c>
      <c r="B943" s="1587">
        <v>2718.0</v>
      </c>
      <c r="C943" s="1563">
        <v>107.0</v>
      </c>
      <c r="D943" s="1548">
        <v>17.5</v>
      </c>
      <c r="E943" s="1557">
        <v>2516.0</v>
      </c>
      <c r="F943" s="598">
        <v>5.0</v>
      </c>
      <c r="G943" s="598">
        <v>3.0</v>
      </c>
      <c r="H943" s="598">
        <v>15.0</v>
      </c>
      <c r="I943" s="598">
        <v>1.0</v>
      </c>
      <c r="J943" s="598">
        <v>31.0</v>
      </c>
      <c r="K943" s="1561">
        <v>147.0</v>
      </c>
      <c r="L943" s="1551">
        <v>49626.0</v>
      </c>
    </row>
    <row r="944">
      <c r="A944" s="1545" t="s">
        <v>224</v>
      </c>
      <c r="B944" s="1587">
        <v>2415.0</v>
      </c>
      <c r="C944" s="1563">
        <v>82.0</v>
      </c>
      <c r="D944" s="1548">
        <v>17.2</v>
      </c>
      <c r="E944" s="1557">
        <v>2212.0</v>
      </c>
      <c r="F944" s="598">
        <v>57.0</v>
      </c>
      <c r="G944" s="598">
        <v>14.0</v>
      </c>
      <c r="H944" s="598">
        <v>14.0</v>
      </c>
      <c r="I944" s="598">
        <v>3.0</v>
      </c>
      <c r="J944" s="598">
        <v>14.0</v>
      </c>
      <c r="K944" s="1561">
        <v>101.0</v>
      </c>
      <c r="L944" s="1551">
        <v>41906.0</v>
      </c>
    </row>
    <row r="945">
      <c r="A945" s="1545" t="s">
        <v>278</v>
      </c>
      <c r="B945" s="1587">
        <v>7352.0</v>
      </c>
      <c r="C945" s="1563">
        <v>380.0</v>
      </c>
      <c r="D945" s="1548">
        <v>17.0</v>
      </c>
      <c r="E945" s="1557">
        <v>4223.0</v>
      </c>
      <c r="F945" s="598">
        <v>10.0</v>
      </c>
      <c r="G945" s="598">
        <v>164.0</v>
      </c>
      <c r="H945" s="598">
        <v>14.0</v>
      </c>
      <c r="I945" s="598">
        <v>5.0</v>
      </c>
      <c r="J945" s="598">
        <v>1510.0</v>
      </c>
      <c r="K945" s="1561">
        <v>1426.0</v>
      </c>
      <c r="L945" s="1551">
        <v>61614.0</v>
      </c>
    </row>
    <row r="946">
      <c r="A946" s="1545" t="s">
        <v>975</v>
      </c>
      <c r="B946" s="1587">
        <v>5653.0</v>
      </c>
      <c r="C946" s="1563">
        <v>160.0</v>
      </c>
      <c r="D946" s="1548">
        <v>9.3</v>
      </c>
      <c r="E946" s="1557">
        <v>4879.0</v>
      </c>
      <c r="F946" s="598">
        <v>19.0</v>
      </c>
      <c r="G946" s="598">
        <v>15.0</v>
      </c>
      <c r="H946" s="598">
        <v>14.0</v>
      </c>
      <c r="I946" s="598">
        <v>0.0</v>
      </c>
      <c r="J946" s="598">
        <v>278.0</v>
      </c>
      <c r="K946" s="1561">
        <v>448.0</v>
      </c>
      <c r="L946" s="1551">
        <v>65771.0</v>
      </c>
    </row>
    <row r="947">
      <c r="A947" s="1545" t="s">
        <v>976</v>
      </c>
      <c r="B947" s="1587">
        <v>1284.0</v>
      </c>
      <c r="C947" s="1563">
        <v>59.0</v>
      </c>
      <c r="D947" s="1548">
        <v>18.6</v>
      </c>
      <c r="E947" s="1557">
        <v>1075.0</v>
      </c>
      <c r="F947" s="598">
        <v>2.0</v>
      </c>
      <c r="G947" s="598">
        <v>12.0</v>
      </c>
      <c r="H947" s="598">
        <v>5.0</v>
      </c>
      <c r="I947" s="598">
        <v>1.0</v>
      </c>
      <c r="J947" s="598">
        <v>84.0</v>
      </c>
      <c r="K947" s="1561">
        <v>105.0</v>
      </c>
      <c r="L947" s="1551">
        <v>51606.0</v>
      </c>
    </row>
    <row r="948">
      <c r="A948" s="1545" t="s">
        <v>977</v>
      </c>
      <c r="B948" s="1587">
        <v>6016.0</v>
      </c>
      <c r="C948" s="1563">
        <v>273.0</v>
      </c>
      <c r="D948" s="1548">
        <v>21.3</v>
      </c>
      <c r="E948" s="1557">
        <v>5494.0</v>
      </c>
      <c r="F948" s="598">
        <v>28.0</v>
      </c>
      <c r="G948" s="598">
        <v>35.0</v>
      </c>
      <c r="H948" s="598">
        <v>36.0</v>
      </c>
      <c r="I948" s="598">
        <v>1.0</v>
      </c>
      <c r="J948" s="598">
        <v>52.0</v>
      </c>
      <c r="K948" s="1561">
        <v>370.0</v>
      </c>
      <c r="L948" s="1551">
        <v>43083.0</v>
      </c>
    </row>
    <row r="949">
      <c r="A949" s="1545" t="s">
        <v>497</v>
      </c>
      <c r="B949" s="1587">
        <v>2518.0</v>
      </c>
      <c r="C949" s="1563">
        <v>145.0</v>
      </c>
      <c r="D949" s="1548">
        <v>19.6</v>
      </c>
      <c r="E949" s="1557">
        <v>1597.0</v>
      </c>
      <c r="F949" s="598">
        <v>13.0</v>
      </c>
      <c r="G949" s="598">
        <v>27.0</v>
      </c>
      <c r="H949" s="598">
        <v>5.0</v>
      </c>
      <c r="I949" s="598">
        <v>0.0</v>
      </c>
      <c r="J949" s="598">
        <v>538.0</v>
      </c>
      <c r="K949" s="1561">
        <v>338.0</v>
      </c>
      <c r="L949" s="1551">
        <v>51559.0</v>
      </c>
    </row>
    <row r="950">
      <c r="A950" s="1545" t="s">
        <v>978</v>
      </c>
      <c r="B950" s="1587">
        <v>5485.0</v>
      </c>
      <c r="C950" s="1563">
        <v>271.0</v>
      </c>
      <c r="D950" s="1548">
        <v>20.2</v>
      </c>
      <c r="E950" s="1557">
        <v>4829.0</v>
      </c>
      <c r="F950" s="598">
        <v>17.0</v>
      </c>
      <c r="G950" s="598">
        <v>98.0</v>
      </c>
      <c r="H950" s="598">
        <v>15.0</v>
      </c>
      <c r="I950" s="598">
        <v>5.0</v>
      </c>
      <c r="J950" s="598">
        <v>204.0</v>
      </c>
      <c r="K950" s="1561">
        <v>317.0</v>
      </c>
      <c r="L950" s="1551">
        <v>45570.0</v>
      </c>
    </row>
    <row r="951">
      <c r="A951" s="1545" t="s">
        <v>979</v>
      </c>
      <c r="B951" s="1587">
        <v>34024.0</v>
      </c>
      <c r="C951" s="1547">
        <v>1100.0</v>
      </c>
      <c r="D951" s="1548">
        <v>13.7</v>
      </c>
      <c r="E951" s="1557">
        <v>28658.0</v>
      </c>
      <c r="F951" s="598">
        <v>650.0</v>
      </c>
      <c r="G951" s="598">
        <v>267.0</v>
      </c>
      <c r="H951" s="598">
        <v>261.0</v>
      </c>
      <c r="I951" s="598">
        <v>11.0</v>
      </c>
      <c r="J951" s="598">
        <v>1482.0</v>
      </c>
      <c r="K951" s="1561">
        <v>2695.0</v>
      </c>
      <c r="L951" s="1551">
        <v>57934.0</v>
      </c>
    </row>
    <row r="952">
      <c r="A952" s="1545" t="s">
        <v>980</v>
      </c>
      <c r="B952" s="1587">
        <v>3780.0</v>
      </c>
      <c r="C952" s="1563">
        <v>163.0</v>
      </c>
      <c r="D952" s="1548">
        <v>14.7</v>
      </c>
      <c r="E952" s="1557">
        <v>2842.0</v>
      </c>
      <c r="F952" s="598">
        <v>13.0</v>
      </c>
      <c r="G952" s="598">
        <v>11.0</v>
      </c>
      <c r="H952" s="598">
        <v>2.0</v>
      </c>
      <c r="I952" s="598">
        <v>0.0</v>
      </c>
      <c r="J952" s="598">
        <v>557.0</v>
      </c>
      <c r="K952" s="1561">
        <v>355.0</v>
      </c>
      <c r="L952" s="1551">
        <v>60808.0</v>
      </c>
    </row>
    <row r="953">
      <c r="A953" s="1545" t="s">
        <v>981</v>
      </c>
      <c r="B953" s="1587">
        <v>1723.0</v>
      </c>
      <c r="C953" s="1563">
        <v>54.0</v>
      </c>
      <c r="D953" s="1548">
        <v>13.4</v>
      </c>
      <c r="E953" s="1557">
        <v>1584.0</v>
      </c>
      <c r="F953" s="598">
        <v>14.0</v>
      </c>
      <c r="G953" s="598">
        <v>12.0</v>
      </c>
      <c r="H953" s="598">
        <v>12.0</v>
      </c>
      <c r="I953" s="598">
        <v>1.0</v>
      </c>
      <c r="J953" s="598">
        <v>19.0</v>
      </c>
      <c r="K953" s="1561">
        <v>81.0</v>
      </c>
      <c r="L953" s="1551">
        <v>54058.0</v>
      </c>
    </row>
    <row r="954">
      <c r="A954" s="1545" t="s">
        <v>142</v>
      </c>
      <c r="B954" s="1587">
        <v>13232.0</v>
      </c>
      <c r="C954" s="1563">
        <v>470.0</v>
      </c>
      <c r="D954" s="1548">
        <v>14.6</v>
      </c>
      <c r="E954" s="1557">
        <v>10727.0</v>
      </c>
      <c r="F954" s="598">
        <v>103.0</v>
      </c>
      <c r="G954" s="598">
        <v>1213.0</v>
      </c>
      <c r="H954" s="598">
        <v>34.0</v>
      </c>
      <c r="I954" s="598">
        <v>18.0</v>
      </c>
      <c r="J954" s="598">
        <v>165.0</v>
      </c>
      <c r="K954" s="1561">
        <v>972.0</v>
      </c>
      <c r="L954" s="1551">
        <v>56330.0</v>
      </c>
    </row>
    <row r="955">
      <c r="A955" s="1545" t="s">
        <v>143</v>
      </c>
      <c r="B955" s="1587">
        <v>18368.0</v>
      </c>
      <c r="C955" s="1563">
        <v>442.0</v>
      </c>
      <c r="D955" s="1548">
        <v>10.5</v>
      </c>
      <c r="E955" s="1557">
        <v>16797.0</v>
      </c>
      <c r="F955" s="598">
        <v>103.0</v>
      </c>
      <c r="G955" s="598">
        <v>128.0</v>
      </c>
      <c r="H955" s="598">
        <v>43.0</v>
      </c>
      <c r="I955" s="598">
        <v>31.0</v>
      </c>
      <c r="J955" s="598">
        <v>124.0</v>
      </c>
      <c r="K955" s="1561">
        <v>1142.0</v>
      </c>
      <c r="L955" s="1551">
        <v>69246.0</v>
      </c>
    </row>
    <row r="956">
      <c r="A956" s="1545" t="s">
        <v>982</v>
      </c>
      <c r="B956" s="1587">
        <v>2932.0</v>
      </c>
      <c r="C956" s="1563">
        <v>121.0</v>
      </c>
      <c r="D956" s="1548">
        <v>22.9</v>
      </c>
      <c r="E956" s="1557">
        <v>2757.0</v>
      </c>
      <c r="F956" s="598">
        <v>5.0</v>
      </c>
      <c r="G956" s="598">
        <v>12.0</v>
      </c>
      <c r="H956" s="598">
        <v>10.0</v>
      </c>
      <c r="I956" s="598">
        <v>0.0</v>
      </c>
      <c r="J956" s="598">
        <v>19.0</v>
      </c>
      <c r="K956" s="1561">
        <v>129.0</v>
      </c>
      <c r="L956" s="1555">
        <v>44271.0</v>
      </c>
    </row>
    <row r="957">
      <c r="A957" s="1545" t="s">
        <v>288</v>
      </c>
      <c r="B957" s="1587">
        <v>609863.0</v>
      </c>
      <c r="C957" s="1547">
        <v>8555.0</v>
      </c>
      <c r="D957" s="1548">
        <v>6.0</v>
      </c>
      <c r="E957" s="1557">
        <v>473342.0</v>
      </c>
      <c r="F957" s="598">
        <v>28781.0</v>
      </c>
      <c r="G957" s="598">
        <v>2568.0</v>
      </c>
      <c r="H957" s="598">
        <v>33030.0</v>
      </c>
      <c r="I957" s="598">
        <v>384.0</v>
      </c>
      <c r="J957" s="598">
        <v>18692.0</v>
      </c>
      <c r="K957" s="1561">
        <v>53066.0</v>
      </c>
      <c r="L957" s="1551">
        <v>87087.0</v>
      </c>
    </row>
    <row r="958">
      <c r="A958" s="1545" t="s">
        <v>983</v>
      </c>
      <c r="B958" s="1587">
        <v>3983.0</v>
      </c>
      <c r="C958" s="1563">
        <v>198.0</v>
      </c>
      <c r="D958" s="1548">
        <v>17.6</v>
      </c>
      <c r="E958" s="1557">
        <v>2661.0</v>
      </c>
      <c r="F958" s="598">
        <v>41.0</v>
      </c>
      <c r="G958" s="598">
        <v>35.0</v>
      </c>
      <c r="H958" s="598">
        <v>7.0</v>
      </c>
      <c r="I958" s="598">
        <v>1.0</v>
      </c>
      <c r="J958" s="598">
        <v>492.0</v>
      </c>
      <c r="K958" s="1561">
        <v>746.0</v>
      </c>
      <c r="L958" s="1551">
        <v>63248.0</v>
      </c>
    </row>
    <row r="959">
      <c r="A959" s="1545" t="s">
        <v>984</v>
      </c>
      <c r="B959" s="1587">
        <v>7470.0</v>
      </c>
      <c r="C959" s="1563">
        <v>280.0</v>
      </c>
      <c r="D959" s="1548">
        <v>18.3</v>
      </c>
      <c r="E959" s="1557">
        <v>6925.0</v>
      </c>
      <c r="F959" s="598">
        <v>38.0</v>
      </c>
      <c r="G959" s="598">
        <v>36.0</v>
      </c>
      <c r="H959" s="598">
        <v>35.0</v>
      </c>
      <c r="I959" s="598">
        <v>4.0</v>
      </c>
      <c r="J959" s="598">
        <v>99.0</v>
      </c>
      <c r="K959" s="1561">
        <v>333.0</v>
      </c>
      <c r="L959" s="1551">
        <v>56005.0</v>
      </c>
    </row>
    <row r="960">
      <c r="A960" s="1545" t="s">
        <v>427</v>
      </c>
      <c r="B960" s="1587">
        <v>2460.0</v>
      </c>
      <c r="C960" s="1563">
        <v>90.0</v>
      </c>
      <c r="D960" s="1548">
        <v>16.0</v>
      </c>
      <c r="E960" s="1557">
        <v>2184.0</v>
      </c>
      <c r="F960" s="598">
        <v>43.0</v>
      </c>
      <c r="G960" s="598">
        <v>12.0</v>
      </c>
      <c r="H960" s="598">
        <v>16.0</v>
      </c>
      <c r="I960" s="598">
        <v>4.0</v>
      </c>
      <c r="J960" s="598">
        <v>30.0</v>
      </c>
      <c r="K960" s="1561">
        <v>171.0</v>
      </c>
      <c r="L960" s="1551">
        <v>64399.0</v>
      </c>
    </row>
    <row r="961">
      <c r="A961" s="1545" t="s">
        <v>985</v>
      </c>
      <c r="B961" s="1587">
        <v>20184.0</v>
      </c>
      <c r="C961" s="1547">
        <v>1053.0</v>
      </c>
      <c r="D961" s="1548">
        <v>22.7</v>
      </c>
      <c r="E961" s="1557">
        <v>16464.0</v>
      </c>
      <c r="F961" s="598">
        <v>867.0</v>
      </c>
      <c r="G961" s="598">
        <v>451.0</v>
      </c>
      <c r="H961" s="598">
        <v>91.0</v>
      </c>
      <c r="I961" s="598">
        <v>9.0</v>
      </c>
      <c r="J961" s="598">
        <v>264.0</v>
      </c>
      <c r="K961" s="1561">
        <v>2038.0</v>
      </c>
      <c r="L961" s="1551">
        <v>44571.0</v>
      </c>
    </row>
    <row r="962">
      <c r="A962" s="1545" t="s">
        <v>986</v>
      </c>
      <c r="B962" s="1587">
        <v>1574.0</v>
      </c>
      <c r="C962" s="1563">
        <v>50.0</v>
      </c>
      <c r="D962" s="1548">
        <v>14.9</v>
      </c>
      <c r="E962" s="1557">
        <v>1406.0</v>
      </c>
      <c r="F962" s="598">
        <v>0.0</v>
      </c>
      <c r="G962" s="598">
        <v>8.0</v>
      </c>
      <c r="H962" s="598">
        <v>0.0</v>
      </c>
      <c r="I962" s="598">
        <v>3.0</v>
      </c>
      <c r="J962" s="598">
        <v>51.0</v>
      </c>
      <c r="K962" s="1561">
        <v>106.0</v>
      </c>
      <c r="L962" s="1555">
        <v>59240.0</v>
      </c>
    </row>
    <row r="963">
      <c r="A963" s="1545" t="s">
        <v>987</v>
      </c>
      <c r="B963" s="1587">
        <v>81881.0</v>
      </c>
      <c r="C963" s="1547">
        <v>2290.0</v>
      </c>
      <c r="D963" s="1548">
        <v>12.1</v>
      </c>
      <c r="E963" s="1557">
        <v>64640.0</v>
      </c>
      <c r="F963" s="598">
        <v>6858.0</v>
      </c>
      <c r="G963" s="598">
        <v>697.0</v>
      </c>
      <c r="H963" s="598">
        <v>1103.0</v>
      </c>
      <c r="I963" s="598">
        <v>153.0</v>
      </c>
      <c r="J963" s="598">
        <v>1313.0</v>
      </c>
      <c r="K963" s="1561">
        <v>7117.0</v>
      </c>
      <c r="L963" s="1551">
        <v>70807.0</v>
      </c>
    </row>
    <row r="964">
      <c r="A964" s="1545" t="s">
        <v>290</v>
      </c>
      <c r="B964" s="1587">
        <v>2939.0</v>
      </c>
      <c r="C964" s="1563">
        <v>123.0</v>
      </c>
      <c r="D964" s="1548">
        <v>18.6</v>
      </c>
      <c r="E964" s="1557">
        <v>2740.0</v>
      </c>
      <c r="F964" s="598">
        <v>8.0</v>
      </c>
      <c r="G964" s="598">
        <v>16.0</v>
      </c>
      <c r="H964" s="598">
        <v>10.0</v>
      </c>
      <c r="I964" s="598">
        <v>1.0</v>
      </c>
      <c r="J964" s="598">
        <v>46.0</v>
      </c>
      <c r="K964" s="1561">
        <v>118.0</v>
      </c>
      <c r="L964" s="1551">
        <v>44439.0</v>
      </c>
    </row>
    <row r="965">
      <c r="A965" s="1545" t="s">
        <v>907</v>
      </c>
      <c r="B965" s="1587">
        <v>9591.0</v>
      </c>
      <c r="C965" s="1563">
        <v>376.0</v>
      </c>
      <c r="D965" s="1548">
        <v>17.5</v>
      </c>
      <c r="E965" s="1557">
        <v>8906.0</v>
      </c>
      <c r="F965" s="598">
        <v>67.0</v>
      </c>
      <c r="G965" s="598">
        <v>48.0</v>
      </c>
      <c r="H965" s="598">
        <v>20.0</v>
      </c>
      <c r="I965" s="598">
        <v>8.0</v>
      </c>
      <c r="J965" s="598">
        <v>44.0</v>
      </c>
      <c r="K965" s="1561">
        <v>498.0</v>
      </c>
      <c r="L965" s="1551">
        <v>47153.0</v>
      </c>
    </row>
    <row r="966">
      <c r="A966" s="1545" t="s">
        <v>293</v>
      </c>
      <c r="B966" s="1587">
        <v>2762.0</v>
      </c>
      <c r="C966" s="1563">
        <v>101.0</v>
      </c>
      <c r="D966" s="1548">
        <v>15.2</v>
      </c>
      <c r="E966" s="1557">
        <v>2513.0</v>
      </c>
      <c r="F966" s="598">
        <v>5.0</v>
      </c>
      <c r="G966" s="598">
        <v>1.0</v>
      </c>
      <c r="H966" s="598">
        <v>10.0</v>
      </c>
      <c r="I966" s="598">
        <v>2.0</v>
      </c>
      <c r="J966" s="598">
        <v>87.0</v>
      </c>
      <c r="K966" s="1561">
        <v>144.0</v>
      </c>
      <c r="L966" s="1551">
        <v>50267.0</v>
      </c>
    </row>
    <row r="967">
      <c r="A967" s="1545" t="s">
        <v>910</v>
      </c>
      <c r="B967" s="1587">
        <v>32179.0</v>
      </c>
      <c r="C967" s="1547">
        <v>1107.0</v>
      </c>
      <c r="D967" s="1548">
        <v>15.2</v>
      </c>
      <c r="E967" s="1557">
        <v>23801.0</v>
      </c>
      <c r="F967" s="598">
        <v>651.0</v>
      </c>
      <c r="G967" s="598">
        <v>266.0</v>
      </c>
      <c r="H967" s="598">
        <v>574.0</v>
      </c>
      <c r="I967" s="598">
        <v>16.0</v>
      </c>
      <c r="J967" s="598">
        <v>3774.0</v>
      </c>
      <c r="K967" s="1561">
        <v>3097.0</v>
      </c>
      <c r="L967" s="1551">
        <v>47982.0</v>
      </c>
    </row>
    <row r="968">
      <c r="A968" s="1545" t="s">
        <v>988</v>
      </c>
      <c r="B968" s="1587">
        <v>30223.0</v>
      </c>
      <c r="C968" s="1563">
        <v>684.0</v>
      </c>
      <c r="D968" s="1548">
        <v>10.7</v>
      </c>
      <c r="E968" s="1557">
        <v>26965.0</v>
      </c>
      <c r="F968" s="598">
        <v>478.0</v>
      </c>
      <c r="G968" s="598">
        <v>151.0</v>
      </c>
      <c r="H968" s="598">
        <v>225.0</v>
      </c>
      <c r="I968" s="598">
        <v>13.0</v>
      </c>
      <c r="J968" s="598">
        <v>673.0</v>
      </c>
      <c r="K968" s="1561">
        <v>1718.0</v>
      </c>
      <c r="L968" s="1551">
        <v>58017.0</v>
      </c>
    </row>
    <row r="969">
      <c r="A969" s="1545" t="s">
        <v>153</v>
      </c>
      <c r="B969" s="1587">
        <v>11823.0</v>
      </c>
      <c r="C969" s="1563">
        <v>301.0</v>
      </c>
      <c r="D969" s="1548">
        <v>12.2</v>
      </c>
      <c r="E969" s="1557">
        <v>10910.0</v>
      </c>
      <c r="F969" s="598">
        <v>122.0</v>
      </c>
      <c r="G969" s="598">
        <v>54.0</v>
      </c>
      <c r="H969" s="598">
        <v>39.0</v>
      </c>
      <c r="I969" s="598">
        <v>7.0</v>
      </c>
      <c r="J969" s="598">
        <v>178.0</v>
      </c>
      <c r="K969" s="1561">
        <v>513.0</v>
      </c>
      <c r="L969" s="1551">
        <v>51712.0</v>
      </c>
    </row>
    <row r="970">
      <c r="A970" s="1545" t="s">
        <v>154</v>
      </c>
      <c r="B970" s="1587">
        <v>10038.0</v>
      </c>
      <c r="C970" s="1563">
        <v>337.0</v>
      </c>
      <c r="D970" s="1548">
        <v>14.8</v>
      </c>
      <c r="E970" s="1557">
        <v>9480.0</v>
      </c>
      <c r="F970" s="598">
        <v>42.0</v>
      </c>
      <c r="G970" s="598">
        <v>23.0</v>
      </c>
      <c r="H970" s="598">
        <v>46.0</v>
      </c>
      <c r="I970" s="598">
        <v>2.0</v>
      </c>
      <c r="J970" s="598">
        <v>56.0</v>
      </c>
      <c r="K970" s="1561">
        <v>389.0</v>
      </c>
      <c r="L970" s="1551">
        <v>51066.0</v>
      </c>
    </row>
    <row r="971">
      <c r="A971" s="1545" t="s">
        <v>989</v>
      </c>
      <c r="B971" s="1587">
        <v>4055.0</v>
      </c>
      <c r="C971" s="1563">
        <v>139.0</v>
      </c>
      <c r="D971" s="1548">
        <v>13.3</v>
      </c>
      <c r="E971" s="1557">
        <v>3262.0</v>
      </c>
      <c r="F971" s="598">
        <v>37.0</v>
      </c>
      <c r="G971" s="598">
        <v>12.0</v>
      </c>
      <c r="H971" s="598">
        <v>13.0</v>
      </c>
      <c r="I971" s="598">
        <v>0.0</v>
      </c>
      <c r="J971" s="598">
        <v>316.0</v>
      </c>
      <c r="K971" s="1561">
        <v>415.0</v>
      </c>
      <c r="L971" s="1551">
        <v>67220.0</v>
      </c>
    </row>
    <row r="972">
      <c r="A972" s="1545" t="s">
        <v>791</v>
      </c>
      <c r="B972" s="1587">
        <v>34191.0</v>
      </c>
      <c r="C972" s="1563">
        <v>781.0</v>
      </c>
      <c r="D972" s="1548">
        <v>9.7</v>
      </c>
      <c r="E972" s="1557">
        <v>30907.0</v>
      </c>
      <c r="F972" s="598">
        <v>436.0</v>
      </c>
      <c r="G972" s="598">
        <v>166.0</v>
      </c>
      <c r="H972" s="598">
        <v>161.0</v>
      </c>
      <c r="I972" s="598">
        <v>16.0</v>
      </c>
      <c r="J972" s="598">
        <v>317.0</v>
      </c>
      <c r="K972" s="1561">
        <v>2188.0</v>
      </c>
      <c r="L972" s="1551">
        <v>71770.0</v>
      </c>
    </row>
    <row r="973">
      <c r="A973" s="1545" t="s">
        <v>610</v>
      </c>
      <c r="B973" s="1587">
        <v>5796.0</v>
      </c>
      <c r="C973" s="1563">
        <v>244.0</v>
      </c>
      <c r="D973" s="1548">
        <v>17.5</v>
      </c>
      <c r="E973" s="1557">
        <v>5490.0</v>
      </c>
      <c r="F973" s="598">
        <v>19.0</v>
      </c>
      <c r="G973" s="598">
        <v>12.0</v>
      </c>
      <c r="H973" s="598">
        <v>13.0</v>
      </c>
      <c r="I973" s="598">
        <v>0.0</v>
      </c>
      <c r="J973" s="598">
        <v>40.0</v>
      </c>
      <c r="K973" s="1561">
        <v>222.0</v>
      </c>
      <c r="L973" s="1551">
        <v>51514.0</v>
      </c>
    </row>
    <row r="974">
      <c r="A974" s="1545" t="s">
        <v>157</v>
      </c>
      <c r="B974" s="1587">
        <v>31486.0</v>
      </c>
      <c r="C974" s="1547">
        <v>2147.0</v>
      </c>
      <c r="D974" s="1548">
        <v>28.9</v>
      </c>
      <c r="E974" s="1557">
        <v>24297.0</v>
      </c>
      <c r="F974" s="598">
        <v>1566.0</v>
      </c>
      <c r="G974" s="598">
        <v>1023.0</v>
      </c>
      <c r="H974" s="598">
        <v>201.0</v>
      </c>
      <c r="I974" s="598">
        <v>24.0</v>
      </c>
      <c r="J974" s="598">
        <v>949.0</v>
      </c>
      <c r="K974" s="1561">
        <v>3426.0</v>
      </c>
      <c r="L974" s="1551">
        <v>42479.0</v>
      </c>
    </row>
    <row r="975">
      <c r="A975" s="1545" t="s">
        <v>990</v>
      </c>
      <c r="B975" s="1587">
        <v>5386.0</v>
      </c>
      <c r="C975" s="1563">
        <v>193.0</v>
      </c>
      <c r="D975" s="1548">
        <v>17.4</v>
      </c>
      <c r="E975" s="1557">
        <v>4985.0</v>
      </c>
      <c r="F975" s="598">
        <v>16.0</v>
      </c>
      <c r="G975" s="598">
        <v>15.0</v>
      </c>
      <c r="H975" s="598">
        <v>18.0</v>
      </c>
      <c r="I975" s="598">
        <v>1.0</v>
      </c>
      <c r="J975" s="598">
        <v>63.0</v>
      </c>
      <c r="K975" s="1561">
        <v>288.0</v>
      </c>
      <c r="L975" s="1551">
        <v>49287.0</v>
      </c>
    </row>
    <row r="976">
      <c r="A976" s="1545" t="s">
        <v>991</v>
      </c>
      <c r="B976" s="1587">
        <v>2701.0</v>
      </c>
      <c r="C976" s="1563">
        <v>106.0</v>
      </c>
      <c r="D976" s="1548">
        <v>16.7</v>
      </c>
      <c r="E976" s="1557">
        <v>2076.0</v>
      </c>
      <c r="F976" s="598">
        <v>20.0</v>
      </c>
      <c r="G976" s="598">
        <v>16.0</v>
      </c>
      <c r="H976" s="598">
        <v>31.0</v>
      </c>
      <c r="I976" s="598">
        <v>9.0</v>
      </c>
      <c r="J976" s="598">
        <v>275.0</v>
      </c>
      <c r="K976" s="1561">
        <v>274.0</v>
      </c>
      <c r="L976" s="1551">
        <v>53785.0</v>
      </c>
    </row>
    <row r="977">
      <c r="A977" s="1545" t="s">
        <v>992</v>
      </c>
      <c r="B977" s="1587">
        <v>10273.0</v>
      </c>
      <c r="C977" s="1563">
        <v>283.0</v>
      </c>
      <c r="D977" s="1548">
        <v>10.9</v>
      </c>
      <c r="E977" s="1557">
        <v>9700.0</v>
      </c>
      <c r="F977" s="598">
        <v>64.0</v>
      </c>
      <c r="G977" s="598">
        <v>39.0</v>
      </c>
      <c r="H977" s="598">
        <v>39.0</v>
      </c>
      <c r="I977" s="598">
        <v>7.0</v>
      </c>
      <c r="J977" s="598">
        <v>96.0</v>
      </c>
      <c r="K977" s="1561">
        <v>328.0</v>
      </c>
      <c r="L977" s="1551">
        <v>59567.0</v>
      </c>
    </row>
    <row r="978">
      <c r="A978" s="1545" t="s">
        <v>993</v>
      </c>
      <c r="B978" s="1587">
        <v>15904.0</v>
      </c>
      <c r="C978" s="1563">
        <v>866.0</v>
      </c>
      <c r="D978" s="1548">
        <v>22.7</v>
      </c>
      <c r="E978" s="1557">
        <v>14105.0</v>
      </c>
      <c r="F978" s="598">
        <v>148.0</v>
      </c>
      <c r="G978" s="598">
        <v>166.0</v>
      </c>
      <c r="H978" s="598">
        <v>84.0</v>
      </c>
      <c r="I978" s="598">
        <v>6.0</v>
      </c>
      <c r="J978" s="598">
        <v>254.0</v>
      </c>
      <c r="K978" s="1561">
        <v>1141.0</v>
      </c>
      <c r="L978" s="1551">
        <v>46176.0</v>
      </c>
    </row>
    <row r="979">
      <c r="A979" s="1545" t="s">
        <v>994</v>
      </c>
      <c r="B979" s="1587">
        <v>2687.0</v>
      </c>
      <c r="C979" s="1563">
        <v>84.0</v>
      </c>
      <c r="D979" s="1548">
        <v>13.8</v>
      </c>
      <c r="E979" s="1557">
        <v>2347.0</v>
      </c>
      <c r="F979" s="598">
        <v>2.0</v>
      </c>
      <c r="G979" s="598">
        <v>19.0</v>
      </c>
      <c r="H979" s="598">
        <v>2.0</v>
      </c>
      <c r="I979" s="598">
        <v>2.0</v>
      </c>
      <c r="J979" s="598">
        <v>173.0</v>
      </c>
      <c r="K979" s="1561">
        <v>142.0</v>
      </c>
      <c r="L979" s="1551">
        <v>51757.0</v>
      </c>
    </row>
    <row r="980">
      <c r="A980" s="1545" t="s">
        <v>995</v>
      </c>
      <c r="B980" s="1587">
        <v>5459.0</v>
      </c>
      <c r="C980" s="1563">
        <v>191.0</v>
      </c>
      <c r="D980" s="1548">
        <v>18.8</v>
      </c>
      <c r="E980" s="1557">
        <v>4863.0</v>
      </c>
      <c r="F980" s="598">
        <v>210.0</v>
      </c>
      <c r="G980" s="598">
        <v>42.0</v>
      </c>
      <c r="H980" s="598">
        <v>35.0</v>
      </c>
      <c r="I980" s="598">
        <v>2.0</v>
      </c>
      <c r="J980" s="598">
        <v>48.0</v>
      </c>
      <c r="K980" s="1561">
        <v>259.0</v>
      </c>
      <c r="L980" s="1551">
        <v>47252.0</v>
      </c>
    </row>
    <row r="981">
      <c r="A981" s="1545" t="s">
        <v>996</v>
      </c>
      <c r="B981" s="1587">
        <v>15766.0</v>
      </c>
      <c r="C981" s="1563">
        <v>604.0</v>
      </c>
      <c r="D981" s="1548">
        <v>16.6</v>
      </c>
      <c r="E981" s="1557">
        <v>14706.0</v>
      </c>
      <c r="F981" s="598">
        <v>33.0</v>
      </c>
      <c r="G981" s="598">
        <v>48.0</v>
      </c>
      <c r="H981" s="598">
        <v>52.0</v>
      </c>
      <c r="I981" s="598">
        <v>3.0</v>
      </c>
      <c r="J981" s="598">
        <v>99.0</v>
      </c>
      <c r="K981" s="1561">
        <v>825.0</v>
      </c>
      <c r="L981" s="1551">
        <v>53864.0</v>
      </c>
    </row>
    <row r="982">
      <c r="A982" s="1545" t="s">
        <v>997</v>
      </c>
      <c r="B982" s="1587">
        <v>3500.0</v>
      </c>
      <c r="C982" s="1563">
        <v>129.0</v>
      </c>
      <c r="D982" s="1548">
        <v>18.6</v>
      </c>
      <c r="E982" s="1557">
        <v>3304.0</v>
      </c>
      <c r="F982" s="598">
        <v>1.0</v>
      </c>
      <c r="G982" s="598">
        <v>19.0</v>
      </c>
      <c r="H982" s="598">
        <v>18.0</v>
      </c>
      <c r="I982" s="598">
        <v>0.0</v>
      </c>
      <c r="J982" s="598">
        <v>29.0</v>
      </c>
      <c r="K982" s="1561">
        <v>129.0</v>
      </c>
      <c r="L982" s="1551">
        <v>46101.0</v>
      </c>
    </row>
    <row r="983">
      <c r="A983" s="1545" t="s">
        <v>998</v>
      </c>
      <c r="B983" s="1587">
        <v>5735.0</v>
      </c>
      <c r="C983" s="1563">
        <v>172.0</v>
      </c>
      <c r="D983" s="1548">
        <v>13.4</v>
      </c>
      <c r="E983" s="1557">
        <v>5338.0</v>
      </c>
      <c r="F983" s="598">
        <v>30.0</v>
      </c>
      <c r="G983" s="598">
        <v>22.0</v>
      </c>
      <c r="H983" s="598">
        <v>11.0</v>
      </c>
      <c r="I983" s="598">
        <v>0.0</v>
      </c>
      <c r="J983" s="598">
        <v>30.0</v>
      </c>
      <c r="K983" s="1561">
        <v>304.0</v>
      </c>
      <c r="L983" s="1551">
        <v>56451.0</v>
      </c>
    </row>
    <row r="984">
      <c r="A984" s="1545" t="s">
        <v>999</v>
      </c>
      <c r="B984" s="1587">
        <v>6253.0</v>
      </c>
      <c r="C984" s="1563">
        <v>169.0</v>
      </c>
      <c r="D984" s="1548">
        <v>18.1</v>
      </c>
      <c r="E984" s="1557">
        <v>5361.0</v>
      </c>
      <c r="F984" s="598">
        <v>249.0</v>
      </c>
      <c r="G984" s="598">
        <v>38.0</v>
      </c>
      <c r="H984" s="598">
        <v>28.0</v>
      </c>
      <c r="I984" s="598">
        <v>3.0</v>
      </c>
      <c r="J984" s="598">
        <v>128.0</v>
      </c>
      <c r="K984" s="1561">
        <v>446.0</v>
      </c>
      <c r="L984" s="1551">
        <v>47039.0</v>
      </c>
    </row>
    <row r="985">
      <c r="A985" s="1545" t="s">
        <v>300</v>
      </c>
      <c r="B985" s="1587">
        <v>4981.0</v>
      </c>
      <c r="C985" s="1563">
        <v>216.0</v>
      </c>
      <c r="D985" s="1548">
        <v>18.5</v>
      </c>
      <c r="E985" s="1557">
        <v>4684.0</v>
      </c>
      <c r="F985" s="598">
        <v>19.0</v>
      </c>
      <c r="G985" s="598">
        <v>22.0</v>
      </c>
      <c r="H985" s="598">
        <v>15.0</v>
      </c>
      <c r="I985" s="598">
        <v>1.0</v>
      </c>
      <c r="J985" s="598">
        <v>27.0</v>
      </c>
      <c r="K985" s="1561">
        <v>213.0</v>
      </c>
      <c r="L985" s="1551">
        <v>47405.0</v>
      </c>
    </row>
    <row r="986">
      <c r="A986" s="1545" t="s">
        <v>1000</v>
      </c>
      <c r="B986" s="1587">
        <v>25348.0</v>
      </c>
      <c r="C986" s="1563">
        <v>656.0</v>
      </c>
      <c r="D986" s="1548">
        <v>9.4</v>
      </c>
      <c r="E986" s="1557">
        <v>22618.0</v>
      </c>
      <c r="F986" s="598">
        <v>286.0</v>
      </c>
      <c r="G986" s="598">
        <v>150.0</v>
      </c>
      <c r="H986" s="598">
        <v>200.0</v>
      </c>
      <c r="I986" s="598">
        <v>27.0</v>
      </c>
      <c r="J986" s="598">
        <v>294.0</v>
      </c>
      <c r="K986" s="1561">
        <v>1773.0</v>
      </c>
      <c r="L986" s="1551">
        <v>69975.0</v>
      </c>
    </row>
    <row r="987">
      <c r="A987" s="1545" t="s">
        <v>1001</v>
      </c>
      <c r="B987" s="1587">
        <v>9157.0</v>
      </c>
      <c r="C987" s="1563">
        <v>381.0</v>
      </c>
      <c r="D987" s="1548">
        <v>16.7</v>
      </c>
      <c r="E987" s="1557">
        <v>8104.0</v>
      </c>
      <c r="F987" s="598">
        <v>106.0</v>
      </c>
      <c r="G987" s="598">
        <v>67.0</v>
      </c>
      <c r="H987" s="598">
        <v>45.0</v>
      </c>
      <c r="I987" s="598">
        <v>7.0</v>
      </c>
      <c r="J987" s="598">
        <v>323.0</v>
      </c>
      <c r="K987" s="1561">
        <v>505.0</v>
      </c>
      <c r="L987" s="1551">
        <v>52567.0</v>
      </c>
    </row>
    <row r="988">
      <c r="A988" s="1545" t="s">
        <v>1002</v>
      </c>
      <c r="B988" s="1587">
        <v>2561.0</v>
      </c>
      <c r="C988" s="1563">
        <v>99.0</v>
      </c>
      <c r="D988" s="1548">
        <v>19.2</v>
      </c>
      <c r="E988" s="1557">
        <v>2283.0</v>
      </c>
      <c r="F988" s="598">
        <v>19.0</v>
      </c>
      <c r="G988" s="598">
        <v>3.0</v>
      </c>
      <c r="H988" s="598">
        <v>11.0</v>
      </c>
      <c r="I988" s="598">
        <v>0.0</v>
      </c>
      <c r="J988" s="598">
        <v>73.0</v>
      </c>
      <c r="K988" s="1561">
        <v>172.0</v>
      </c>
      <c r="L988" s="1551">
        <v>46638.0</v>
      </c>
    </row>
    <row r="989">
      <c r="A989" s="1545" t="s">
        <v>1003</v>
      </c>
      <c r="B989" s="1587">
        <v>61898.0</v>
      </c>
      <c r="C989" s="1547">
        <v>2094.0</v>
      </c>
      <c r="D989" s="1548">
        <v>15.4</v>
      </c>
      <c r="E989" s="1557">
        <v>52761.0</v>
      </c>
      <c r="F989" s="598">
        <v>1863.0</v>
      </c>
      <c r="G989" s="598">
        <v>519.0</v>
      </c>
      <c r="H989" s="598">
        <v>352.0</v>
      </c>
      <c r="I989" s="598">
        <v>48.0</v>
      </c>
      <c r="J989" s="598">
        <v>1776.0</v>
      </c>
      <c r="K989" s="1561">
        <v>4579.0</v>
      </c>
      <c r="L989" s="1551">
        <v>49341.0</v>
      </c>
    </row>
    <row r="990">
      <c r="A990" s="1545" t="s">
        <v>1004</v>
      </c>
      <c r="B990" s="1587">
        <v>4674.0</v>
      </c>
      <c r="C990" s="1563">
        <v>143.0</v>
      </c>
      <c r="D990" s="1548">
        <v>15.0</v>
      </c>
      <c r="E990" s="1557">
        <v>4437.0</v>
      </c>
      <c r="F990" s="598">
        <v>15.0</v>
      </c>
      <c r="G990" s="598">
        <v>13.0</v>
      </c>
      <c r="H990" s="598">
        <v>11.0</v>
      </c>
      <c r="I990" s="598">
        <v>9.0</v>
      </c>
      <c r="J990" s="598">
        <v>11.0</v>
      </c>
      <c r="K990" s="1561">
        <v>178.0</v>
      </c>
      <c r="L990" s="1551">
        <v>48566.0</v>
      </c>
    </row>
    <row r="991">
      <c r="A991" s="1545" t="s">
        <v>1005</v>
      </c>
      <c r="B991" s="1587">
        <v>9427.0</v>
      </c>
      <c r="C991" s="1563">
        <v>407.0</v>
      </c>
      <c r="D991" s="1548">
        <v>19.2</v>
      </c>
      <c r="E991" s="1557">
        <v>7853.0</v>
      </c>
      <c r="F991" s="598">
        <v>145.0</v>
      </c>
      <c r="G991" s="598">
        <v>63.0</v>
      </c>
      <c r="H991" s="598">
        <v>30.0</v>
      </c>
      <c r="I991" s="598">
        <v>0.0</v>
      </c>
      <c r="J991" s="598">
        <v>438.0</v>
      </c>
      <c r="K991" s="1561">
        <v>898.0</v>
      </c>
      <c r="L991" s="1555">
        <v>51686.0</v>
      </c>
    </row>
    <row r="992">
      <c r="A992" s="1545" t="s">
        <v>1006</v>
      </c>
      <c r="B992" s="1587">
        <v>71959.0</v>
      </c>
      <c r="C992" s="1547">
        <v>1535.0</v>
      </c>
      <c r="D992" s="1548">
        <v>12.7</v>
      </c>
      <c r="E992" s="1557">
        <v>54567.0</v>
      </c>
      <c r="F992" s="598">
        <v>5011.0</v>
      </c>
      <c r="G992" s="598">
        <v>440.0</v>
      </c>
      <c r="H992" s="598">
        <v>3367.0</v>
      </c>
      <c r="I992" s="598">
        <v>225.0</v>
      </c>
      <c r="J992" s="598">
        <v>2322.0</v>
      </c>
      <c r="K992" s="1561">
        <v>6027.0</v>
      </c>
      <c r="L992" s="1551">
        <v>47057.0</v>
      </c>
    </row>
    <row r="993">
      <c r="A993" s="1545" t="s">
        <v>1007</v>
      </c>
      <c r="B993" s="1587">
        <v>4919.0</v>
      </c>
      <c r="C993" s="1563">
        <v>169.0</v>
      </c>
      <c r="D993" s="1548">
        <v>15.4</v>
      </c>
      <c r="E993" s="1557">
        <v>4619.0</v>
      </c>
      <c r="F993" s="598">
        <v>29.0</v>
      </c>
      <c r="G993" s="598">
        <v>21.0</v>
      </c>
      <c r="H993" s="598">
        <v>5.0</v>
      </c>
      <c r="I993" s="598">
        <v>10.0</v>
      </c>
      <c r="J993" s="598">
        <v>12.0</v>
      </c>
      <c r="K993" s="1561">
        <v>223.0</v>
      </c>
      <c r="L993" s="1551">
        <v>47365.0</v>
      </c>
    </row>
    <row r="994">
      <c r="A994" s="1545" t="s">
        <v>842</v>
      </c>
      <c r="B994" s="1587">
        <v>2956.0</v>
      </c>
      <c r="C994" s="1563">
        <v>125.0</v>
      </c>
      <c r="D994" s="1548">
        <v>19.6</v>
      </c>
      <c r="E994" s="1557">
        <v>2800.0</v>
      </c>
      <c r="F994" s="598">
        <v>7.0</v>
      </c>
      <c r="G994" s="598">
        <v>4.0</v>
      </c>
      <c r="H994" s="598">
        <v>14.0</v>
      </c>
      <c r="I994" s="598">
        <v>0.0</v>
      </c>
      <c r="J994" s="598">
        <v>18.0</v>
      </c>
      <c r="K994" s="1561">
        <v>113.0</v>
      </c>
      <c r="L994" s="1551">
        <v>44121.0</v>
      </c>
    </row>
    <row r="995">
      <c r="A995" s="1545" t="s">
        <v>165</v>
      </c>
      <c r="B995" s="1587">
        <v>6691.0</v>
      </c>
      <c r="C995" s="1563">
        <v>303.0</v>
      </c>
      <c r="D995" s="1548">
        <v>20.6</v>
      </c>
      <c r="E995" s="1557">
        <v>6138.0</v>
      </c>
      <c r="F995" s="598">
        <v>60.0</v>
      </c>
      <c r="G995" s="598">
        <v>32.0</v>
      </c>
      <c r="H995" s="598">
        <v>28.0</v>
      </c>
      <c r="I995" s="598">
        <v>0.0</v>
      </c>
      <c r="J995" s="598">
        <v>64.0</v>
      </c>
      <c r="K995" s="1561">
        <v>369.0</v>
      </c>
      <c r="L995" s="1551">
        <v>45879.0</v>
      </c>
    </row>
    <row r="996">
      <c r="A996" s="1545" t="s">
        <v>308</v>
      </c>
      <c r="B996" s="1587">
        <v>54303.0</v>
      </c>
      <c r="C996" s="1547">
        <v>1939.0</v>
      </c>
      <c r="D996" s="1548">
        <v>15.8</v>
      </c>
      <c r="E996" s="1557">
        <v>43415.0</v>
      </c>
      <c r="F996" s="598">
        <v>1830.0</v>
      </c>
      <c r="G996" s="598">
        <v>349.0</v>
      </c>
      <c r="H996" s="598">
        <v>1139.0</v>
      </c>
      <c r="I996" s="598">
        <v>31.0</v>
      </c>
      <c r="J996" s="598">
        <v>2262.0</v>
      </c>
      <c r="K996" s="1561">
        <v>5277.0</v>
      </c>
      <c r="L996" s="1551">
        <v>53961.0</v>
      </c>
    </row>
    <row r="997">
      <c r="A997" s="1545" t="s">
        <v>309</v>
      </c>
      <c r="B997" s="1587">
        <v>5151.0</v>
      </c>
      <c r="C997" s="1563">
        <v>166.0</v>
      </c>
      <c r="D997" s="1548">
        <v>12.8</v>
      </c>
      <c r="E997" s="1557">
        <v>4173.0</v>
      </c>
      <c r="F997" s="598">
        <v>14.0</v>
      </c>
      <c r="G997" s="598">
        <v>44.0</v>
      </c>
      <c r="H997" s="598">
        <v>16.0</v>
      </c>
      <c r="I997" s="598">
        <v>8.0</v>
      </c>
      <c r="J997" s="598">
        <v>325.0</v>
      </c>
      <c r="K997" s="1561">
        <v>571.0</v>
      </c>
      <c r="L997" s="1555">
        <v>63790.0</v>
      </c>
    </row>
    <row r="998">
      <c r="A998" s="1545" t="s">
        <v>459</v>
      </c>
      <c r="B998" s="1587">
        <v>523824.0</v>
      </c>
      <c r="C998" s="1547">
        <v>22111.0</v>
      </c>
      <c r="D998" s="1548">
        <v>17.1</v>
      </c>
      <c r="E998" s="1557">
        <v>357757.0</v>
      </c>
      <c r="F998" s="598">
        <v>46531.0</v>
      </c>
      <c r="G998" s="598">
        <v>6581.0</v>
      </c>
      <c r="H998" s="598">
        <v>22511.0</v>
      </c>
      <c r="I998" s="598">
        <v>575.0</v>
      </c>
      <c r="J998" s="598">
        <v>32207.0</v>
      </c>
      <c r="K998" s="1561">
        <v>57662.0</v>
      </c>
      <c r="L998" s="1551">
        <v>56381.0</v>
      </c>
    </row>
    <row r="999">
      <c r="A999" s="1545" t="s">
        <v>1008</v>
      </c>
      <c r="B999" s="1587">
        <v>21964.0</v>
      </c>
      <c r="C999" s="1547">
        <v>1257.0</v>
      </c>
      <c r="D999" s="1548">
        <v>18.5</v>
      </c>
      <c r="E999" s="1557">
        <v>9015.0</v>
      </c>
      <c r="F999" s="598">
        <v>672.0</v>
      </c>
      <c r="G999" s="598">
        <v>527.0</v>
      </c>
      <c r="H999" s="598">
        <v>535.0</v>
      </c>
      <c r="I999" s="598">
        <v>6.0</v>
      </c>
      <c r="J999" s="598">
        <v>5982.0</v>
      </c>
      <c r="K999" s="1561">
        <v>5227.0</v>
      </c>
      <c r="L999" s="1555">
        <v>50671.0</v>
      </c>
    </row>
    <row r="1000">
      <c r="A1000" s="1545" t="s">
        <v>1009</v>
      </c>
      <c r="B1000" s="1587">
        <v>178909.0</v>
      </c>
      <c r="C1000" s="1547">
        <v>7149.0</v>
      </c>
      <c r="D1000" s="1548">
        <v>17.5</v>
      </c>
      <c r="E1000" s="1557">
        <v>132398.0</v>
      </c>
      <c r="F1000" s="598">
        <v>14211.0</v>
      </c>
      <c r="G1000" s="598">
        <v>2213.0</v>
      </c>
      <c r="H1000" s="598">
        <v>2521.0</v>
      </c>
      <c r="I1000" s="598">
        <v>180.0</v>
      </c>
      <c r="J1000" s="598">
        <v>8403.0</v>
      </c>
      <c r="K1000" s="1561">
        <v>18983.0</v>
      </c>
      <c r="L1000" s="1551">
        <v>53612.0</v>
      </c>
    </row>
    <row r="1001">
      <c r="A1001" s="1545" t="s">
        <v>1010</v>
      </c>
      <c r="B1001" s="1587">
        <v>2447.0</v>
      </c>
      <c r="C1001" s="1563">
        <v>138.0</v>
      </c>
      <c r="D1001" s="1548">
        <v>21.9</v>
      </c>
      <c r="E1001" s="1557">
        <v>2257.0</v>
      </c>
      <c r="F1001" s="598">
        <v>3.0</v>
      </c>
      <c r="G1001" s="598">
        <v>11.0</v>
      </c>
      <c r="H1001" s="598">
        <v>12.0</v>
      </c>
      <c r="I1001" s="598">
        <v>2.0</v>
      </c>
      <c r="J1001" s="598">
        <v>46.0</v>
      </c>
      <c r="K1001" s="1561">
        <v>116.0</v>
      </c>
      <c r="L1001" s="1551">
        <v>50553.0</v>
      </c>
    </row>
    <row r="1002">
      <c r="A1002" s="1545" t="s">
        <v>1011</v>
      </c>
      <c r="B1002" s="1587">
        <v>5927.0</v>
      </c>
      <c r="C1002" s="1563">
        <v>276.0</v>
      </c>
      <c r="D1002" s="1548">
        <v>20.1</v>
      </c>
      <c r="E1002" s="1557">
        <v>5025.0</v>
      </c>
      <c r="F1002" s="598">
        <v>103.0</v>
      </c>
      <c r="G1002" s="598">
        <v>19.0</v>
      </c>
      <c r="H1002" s="598">
        <v>17.0</v>
      </c>
      <c r="I1002" s="598">
        <v>1.0</v>
      </c>
      <c r="J1002" s="598">
        <v>328.0</v>
      </c>
      <c r="K1002" s="1561">
        <v>434.0</v>
      </c>
      <c r="L1002" s="1551">
        <v>45966.0</v>
      </c>
    </row>
    <row r="1003">
      <c r="A1003" s="1545" t="s">
        <v>1012</v>
      </c>
      <c r="B1003" s="1587">
        <v>3570.0</v>
      </c>
      <c r="C1003" s="1563">
        <v>128.0</v>
      </c>
      <c r="D1003" s="1548">
        <v>18.0</v>
      </c>
      <c r="E1003" s="1557">
        <v>3390.0</v>
      </c>
      <c r="F1003" s="598">
        <v>17.0</v>
      </c>
      <c r="G1003" s="598">
        <v>15.0</v>
      </c>
      <c r="H1003" s="598">
        <v>9.0</v>
      </c>
      <c r="I1003" s="598">
        <v>1.0</v>
      </c>
      <c r="J1003" s="598">
        <v>36.0</v>
      </c>
      <c r="K1003" s="1561">
        <v>102.0</v>
      </c>
      <c r="L1003" s="1551">
        <v>41899.0</v>
      </c>
    </row>
    <row r="1004">
      <c r="A1004" s="1545" t="s">
        <v>1013</v>
      </c>
      <c r="B1004" s="1587">
        <v>4072.0</v>
      </c>
      <c r="C1004" s="1563">
        <v>197.0</v>
      </c>
      <c r="D1004" s="1548">
        <v>20.5</v>
      </c>
      <c r="E1004" s="1557">
        <v>3500.0</v>
      </c>
      <c r="F1004" s="598">
        <v>14.0</v>
      </c>
      <c r="G1004" s="598">
        <v>36.0</v>
      </c>
      <c r="H1004" s="598">
        <v>13.0</v>
      </c>
      <c r="I1004" s="598">
        <v>1.0</v>
      </c>
      <c r="J1004" s="598">
        <v>175.0</v>
      </c>
      <c r="K1004" s="1561">
        <v>333.0</v>
      </c>
      <c r="L1004" s="1551">
        <v>47835.0</v>
      </c>
    </row>
    <row r="1005">
      <c r="A1005" s="1545" t="s">
        <v>1014</v>
      </c>
      <c r="B1005" s="1587">
        <v>2084.0</v>
      </c>
      <c r="C1005" s="1563">
        <v>85.0</v>
      </c>
      <c r="D1005" s="1548">
        <v>16.6</v>
      </c>
      <c r="E1005" s="1557">
        <v>1257.0</v>
      </c>
      <c r="F1005" s="598">
        <v>14.0</v>
      </c>
      <c r="G1005" s="598">
        <v>44.0</v>
      </c>
      <c r="H1005" s="598">
        <v>2.0</v>
      </c>
      <c r="I1005" s="598">
        <v>1.0</v>
      </c>
      <c r="J1005" s="598">
        <v>439.0</v>
      </c>
      <c r="K1005" s="1561">
        <v>327.0</v>
      </c>
      <c r="L1005" s="1551">
        <v>60136.0</v>
      </c>
    </row>
    <row r="1006">
      <c r="A1006" s="1545" t="s">
        <v>1015</v>
      </c>
      <c r="B1006" s="1587">
        <v>5250.0</v>
      </c>
      <c r="C1006" s="1563">
        <v>244.0</v>
      </c>
      <c r="D1006" s="1548">
        <v>15.3</v>
      </c>
      <c r="E1006" s="1557">
        <v>3484.0</v>
      </c>
      <c r="F1006" s="598">
        <v>20.0</v>
      </c>
      <c r="G1006" s="598">
        <v>62.0</v>
      </c>
      <c r="H1006" s="598">
        <v>22.0</v>
      </c>
      <c r="I1006" s="598">
        <v>0.0</v>
      </c>
      <c r="J1006" s="598">
        <v>1066.0</v>
      </c>
      <c r="K1006" s="1561">
        <v>596.0</v>
      </c>
      <c r="L1006" s="1551">
        <v>58817.0</v>
      </c>
    </row>
    <row r="1007">
      <c r="A1007" s="1545" t="s">
        <v>1016</v>
      </c>
      <c r="B1007" s="1587">
        <v>22382.0</v>
      </c>
      <c r="C1007" s="1563">
        <v>930.0</v>
      </c>
      <c r="D1007" s="1548">
        <v>16.7</v>
      </c>
      <c r="E1007" s="1557">
        <v>19934.0</v>
      </c>
      <c r="F1007" s="598">
        <v>205.0</v>
      </c>
      <c r="G1007" s="598">
        <v>240.0</v>
      </c>
      <c r="H1007" s="598">
        <v>73.0</v>
      </c>
      <c r="I1007" s="598">
        <v>0.0</v>
      </c>
      <c r="J1007" s="598">
        <v>358.0</v>
      </c>
      <c r="K1007" s="1561">
        <v>1572.0</v>
      </c>
      <c r="L1007" s="1551">
        <v>56946.0</v>
      </c>
    </row>
    <row r="1008">
      <c r="A1008" s="1545" t="s">
        <v>636</v>
      </c>
      <c r="B1008" s="1587">
        <v>7930.0</v>
      </c>
      <c r="C1008" s="1563">
        <v>213.0</v>
      </c>
      <c r="D1008" s="1548">
        <v>12.0</v>
      </c>
      <c r="E1008" s="1557">
        <v>7100.0</v>
      </c>
      <c r="F1008" s="598">
        <v>108.0</v>
      </c>
      <c r="G1008" s="598">
        <v>48.0</v>
      </c>
      <c r="H1008" s="598">
        <v>47.0</v>
      </c>
      <c r="I1008" s="598">
        <v>0.0</v>
      </c>
      <c r="J1008" s="598">
        <v>184.0</v>
      </c>
      <c r="K1008" s="1561">
        <v>443.0</v>
      </c>
      <c r="L1008" s="1551">
        <v>55345.0</v>
      </c>
    </row>
    <row r="1009">
      <c r="A1009" s="1545" t="s">
        <v>1017</v>
      </c>
      <c r="B1009" s="1587">
        <v>2808.0</v>
      </c>
      <c r="C1009" s="1563">
        <v>78.0</v>
      </c>
      <c r="D1009" s="1548">
        <v>16.3</v>
      </c>
      <c r="E1009" s="1557">
        <v>2644.0</v>
      </c>
      <c r="F1009" s="598">
        <v>5.0</v>
      </c>
      <c r="G1009" s="598">
        <v>5.0</v>
      </c>
      <c r="H1009" s="598">
        <v>12.0</v>
      </c>
      <c r="I1009" s="598">
        <v>0.0</v>
      </c>
      <c r="J1009" s="598">
        <v>9.0</v>
      </c>
      <c r="K1009" s="1561">
        <v>133.0</v>
      </c>
      <c r="L1009" s="1551">
        <v>48520.0</v>
      </c>
    </row>
    <row r="1010">
      <c r="A1010" s="1545" t="s">
        <v>1018</v>
      </c>
      <c r="B1010" s="1587">
        <v>6877.0</v>
      </c>
      <c r="C1010" s="1563">
        <v>171.0</v>
      </c>
      <c r="D1010" s="1548">
        <v>10.8</v>
      </c>
      <c r="E1010" s="1557">
        <v>6303.0</v>
      </c>
      <c r="F1010" s="598">
        <v>31.0</v>
      </c>
      <c r="G1010" s="598">
        <v>40.0</v>
      </c>
      <c r="H1010" s="598">
        <v>18.0</v>
      </c>
      <c r="I1010" s="598">
        <v>4.0</v>
      </c>
      <c r="J1010" s="598">
        <v>53.0</v>
      </c>
      <c r="K1010" s="1561">
        <v>428.0</v>
      </c>
      <c r="L1010" s="1551">
        <v>59744.0</v>
      </c>
    </row>
    <row r="1011">
      <c r="A1011" s="1545" t="s">
        <v>1019</v>
      </c>
      <c r="B1011" s="1587">
        <v>1512.0</v>
      </c>
      <c r="C1011" s="1563">
        <v>58.0</v>
      </c>
      <c r="D1011" s="1548">
        <v>15.4</v>
      </c>
      <c r="E1011" s="1557">
        <v>1370.0</v>
      </c>
      <c r="F1011" s="598">
        <v>3.0</v>
      </c>
      <c r="G1011" s="598">
        <v>5.0</v>
      </c>
      <c r="H1011" s="598">
        <v>0.0</v>
      </c>
      <c r="I1011" s="598">
        <v>2.0</v>
      </c>
      <c r="J1011" s="598">
        <v>46.0</v>
      </c>
      <c r="K1011" s="1561">
        <v>86.0</v>
      </c>
      <c r="L1011" s="1551">
        <v>51350.0</v>
      </c>
    </row>
    <row r="1012">
      <c r="A1012" s="1545" t="s">
        <v>119</v>
      </c>
      <c r="B1012" s="1587">
        <v>5530.0</v>
      </c>
      <c r="C1012" s="1563">
        <v>204.0</v>
      </c>
      <c r="D1012" s="1548">
        <v>17.1</v>
      </c>
      <c r="E1012" s="1557">
        <v>5153.0</v>
      </c>
      <c r="F1012" s="598">
        <v>13.0</v>
      </c>
      <c r="G1012" s="598">
        <v>5.0</v>
      </c>
      <c r="H1012" s="598">
        <v>4.0</v>
      </c>
      <c r="I1012" s="598">
        <v>2.0</v>
      </c>
      <c r="J1012" s="598">
        <v>111.0</v>
      </c>
      <c r="K1012" s="1561">
        <v>242.0</v>
      </c>
      <c r="L1012" s="1551">
        <v>48104.0</v>
      </c>
    </row>
    <row r="1013">
      <c r="A1013" s="1545" t="s">
        <v>1020</v>
      </c>
      <c r="B1013" s="1587">
        <v>2152.0</v>
      </c>
      <c r="C1013" s="1563">
        <v>105.0</v>
      </c>
      <c r="D1013" s="1548">
        <v>19.3</v>
      </c>
      <c r="E1013" s="1557">
        <v>1547.0</v>
      </c>
      <c r="F1013" s="598">
        <v>3.0</v>
      </c>
      <c r="G1013" s="598">
        <v>23.0</v>
      </c>
      <c r="H1013" s="598">
        <v>2.0</v>
      </c>
      <c r="I1013" s="598">
        <v>2.0</v>
      </c>
      <c r="J1013" s="598">
        <v>273.0</v>
      </c>
      <c r="K1013" s="1561">
        <v>302.0</v>
      </c>
      <c r="L1013" s="1551">
        <v>59800.0</v>
      </c>
    </row>
    <row r="1014">
      <c r="A1014" s="1545" t="s">
        <v>1021</v>
      </c>
      <c r="B1014" s="1587">
        <v>8624.0</v>
      </c>
      <c r="C1014" s="1563">
        <v>452.0</v>
      </c>
      <c r="D1014" s="1548">
        <v>22.2</v>
      </c>
      <c r="E1014" s="1557">
        <v>7759.0</v>
      </c>
      <c r="F1014" s="598">
        <v>22.0</v>
      </c>
      <c r="G1014" s="598">
        <v>88.0</v>
      </c>
      <c r="H1014" s="598">
        <v>35.0</v>
      </c>
      <c r="I1014" s="598">
        <v>2.0</v>
      </c>
      <c r="J1014" s="598">
        <v>88.0</v>
      </c>
      <c r="K1014" s="1561">
        <v>630.0</v>
      </c>
      <c r="L1014" s="1551">
        <v>45697.0</v>
      </c>
    </row>
    <row r="1015">
      <c r="A1015" s="1545" t="s">
        <v>1022</v>
      </c>
      <c r="B1015" s="1587">
        <v>3115.0</v>
      </c>
      <c r="C1015" s="1563">
        <v>156.0</v>
      </c>
      <c r="D1015" s="1548">
        <v>24.0</v>
      </c>
      <c r="E1015" s="1557">
        <v>2890.0</v>
      </c>
      <c r="F1015" s="598">
        <v>8.0</v>
      </c>
      <c r="G1015" s="598">
        <v>30.0</v>
      </c>
      <c r="H1015" s="598">
        <v>0.0</v>
      </c>
      <c r="I1015" s="598">
        <v>0.0</v>
      </c>
      <c r="J1015" s="598">
        <v>17.0</v>
      </c>
      <c r="K1015" s="1561">
        <v>170.0</v>
      </c>
      <c r="L1015" s="1615">
        <v>43894.0</v>
      </c>
    </row>
    <row r="1016">
      <c r="A1016" s="1528" t="s">
        <v>1023</v>
      </c>
      <c r="B1016" s="1595">
        <v>169245.0</v>
      </c>
      <c r="C1016" s="1530">
        <v>11949.0</v>
      </c>
      <c r="D1016" s="1567">
        <v>26.5</v>
      </c>
      <c r="E1016" s="1532">
        <v>73721.0</v>
      </c>
      <c r="F1016" s="1533">
        <v>34589.0</v>
      </c>
      <c r="G1016" s="1533">
        <v>1917.0</v>
      </c>
      <c r="H1016" s="1533">
        <v>7705.0</v>
      </c>
      <c r="I1016" s="1533">
        <v>387.0</v>
      </c>
      <c r="J1016" s="1533">
        <v>25643.0</v>
      </c>
      <c r="K1016" s="1616">
        <v>25283.0</v>
      </c>
      <c r="L1016" s="1623">
        <v>47084.0</v>
      </c>
    </row>
    <row r="1017">
      <c r="A1017" s="1538" t="s">
        <v>54</v>
      </c>
      <c r="B1017" s="1596">
        <v>4505836.0</v>
      </c>
      <c r="C1017" s="1540">
        <v>219283.0</v>
      </c>
      <c r="D1017" s="1571">
        <v>22.3</v>
      </c>
      <c r="E1017" s="1572">
        <v>3711254.0</v>
      </c>
      <c r="F1017" s="1542">
        <v>362417.0</v>
      </c>
      <c r="G1017" s="1542">
        <v>12801.0</v>
      </c>
      <c r="H1017" s="1542">
        <v>74426.0</v>
      </c>
      <c r="I1017" s="1542">
        <v>3681.0</v>
      </c>
      <c r="J1017" s="1542">
        <v>96417.0</v>
      </c>
      <c r="K1017" s="1543">
        <v>244840.0</v>
      </c>
      <c r="L1017" s="1625">
        <v>50189.0</v>
      </c>
    </row>
    <row r="1018">
      <c r="A1018" s="1545" t="s">
        <v>882</v>
      </c>
      <c r="B1018" s="1586">
        <v>18903.0</v>
      </c>
      <c r="C1018" s="1547">
        <v>1298.0</v>
      </c>
      <c r="D1018" s="1548">
        <v>35.0</v>
      </c>
      <c r="E1018" s="1557">
        <v>17322.0</v>
      </c>
      <c r="F1018" s="598">
        <v>529.0</v>
      </c>
      <c r="G1018" s="598">
        <v>34.0</v>
      </c>
      <c r="H1018" s="598">
        <v>64.0</v>
      </c>
      <c r="I1018" s="598">
        <v>6.0</v>
      </c>
      <c r="J1018" s="598">
        <v>271.0</v>
      </c>
      <c r="K1018" s="1561">
        <v>677.0</v>
      </c>
      <c r="L1018" s="1555">
        <v>37392.0</v>
      </c>
    </row>
    <row r="1019">
      <c r="A1019" s="1545" t="s">
        <v>755</v>
      </c>
      <c r="B1019" s="1587">
        <v>20588.0</v>
      </c>
      <c r="C1019" s="1547">
        <v>1168.0</v>
      </c>
      <c r="D1019" s="1548">
        <v>24.6</v>
      </c>
      <c r="E1019" s="1557">
        <v>19135.0</v>
      </c>
      <c r="F1019" s="598">
        <v>204.0</v>
      </c>
      <c r="G1019" s="598">
        <v>50.0</v>
      </c>
      <c r="H1019" s="598">
        <v>48.0</v>
      </c>
      <c r="I1019" s="598">
        <v>7.0</v>
      </c>
      <c r="J1019" s="598">
        <v>246.0</v>
      </c>
      <c r="K1019" s="1561">
        <v>898.0</v>
      </c>
      <c r="L1019" s="1555">
        <v>44624.0</v>
      </c>
    </row>
    <row r="1020">
      <c r="A1020" s="1545" t="s">
        <v>954</v>
      </c>
      <c r="B1020" s="1587">
        <v>23852.0</v>
      </c>
      <c r="C1020" s="1563">
        <v>747.0</v>
      </c>
      <c r="D1020" s="1548">
        <v>14.4</v>
      </c>
      <c r="E1020" s="1557">
        <v>21797.0</v>
      </c>
      <c r="F1020" s="598">
        <v>492.0</v>
      </c>
      <c r="G1020" s="598">
        <v>60.0</v>
      </c>
      <c r="H1020" s="598">
        <v>105.0</v>
      </c>
      <c r="I1020" s="598">
        <v>7.0</v>
      </c>
      <c r="J1020" s="598">
        <v>245.0</v>
      </c>
      <c r="K1020" s="1561">
        <v>1146.0</v>
      </c>
      <c r="L1020" s="1555">
        <v>60908.0</v>
      </c>
    </row>
    <row r="1021">
      <c r="A1021" s="1545" t="s">
        <v>1024</v>
      </c>
      <c r="B1021" s="1587">
        <v>7728.0</v>
      </c>
      <c r="C1021" s="1563">
        <v>403.0</v>
      </c>
      <c r="D1021" s="1548">
        <v>24.4</v>
      </c>
      <c r="E1021" s="1557">
        <v>7103.0</v>
      </c>
      <c r="F1021" s="598">
        <v>208.0</v>
      </c>
      <c r="G1021" s="598">
        <v>13.0</v>
      </c>
      <c r="H1021" s="598">
        <v>33.0</v>
      </c>
      <c r="I1021" s="598">
        <v>0.0</v>
      </c>
      <c r="J1021" s="598">
        <v>5.0</v>
      </c>
      <c r="K1021" s="1561">
        <v>366.0</v>
      </c>
      <c r="L1021" s="1555">
        <v>47658.0</v>
      </c>
    </row>
    <row r="1022">
      <c r="A1022" s="1545" t="s">
        <v>1025</v>
      </c>
      <c r="B1022" s="1587">
        <v>44485.0</v>
      </c>
      <c r="C1022" s="1547">
        <v>2690.0</v>
      </c>
      <c r="D1022" s="1548">
        <v>26.8</v>
      </c>
      <c r="E1022" s="1557">
        <v>39270.0</v>
      </c>
      <c r="F1022" s="598">
        <v>1724.0</v>
      </c>
      <c r="G1022" s="598">
        <v>147.0</v>
      </c>
      <c r="H1022" s="598">
        <v>260.0</v>
      </c>
      <c r="I1022" s="598">
        <v>54.0</v>
      </c>
      <c r="J1022" s="598">
        <v>802.0</v>
      </c>
      <c r="K1022" s="1561">
        <v>2228.0</v>
      </c>
      <c r="L1022" s="1555">
        <v>42439.0</v>
      </c>
    </row>
    <row r="1023">
      <c r="A1023" s="1545" t="s">
        <v>1026</v>
      </c>
      <c r="B1023" s="1587">
        <v>12750.0</v>
      </c>
      <c r="C1023" s="1547">
        <v>1000.0</v>
      </c>
      <c r="D1023" s="1548">
        <v>33.1</v>
      </c>
      <c r="E1023" s="1557">
        <v>12192.0</v>
      </c>
      <c r="F1023" s="598">
        <v>128.0</v>
      </c>
      <c r="G1023" s="598">
        <v>4.0</v>
      </c>
      <c r="H1023" s="598">
        <v>21.0</v>
      </c>
      <c r="I1023" s="598">
        <v>1.0</v>
      </c>
      <c r="J1023" s="598">
        <v>59.0</v>
      </c>
      <c r="K1023" s="1561">
        <v>345.0</v>
      </c>
      <c r="L1023" s="1555">
        <v>44183.0</v>
      </c>
    </row>
    <row r="1024">
      <c r="A1024" s="1545" t="s">
        <v>1027</v>
      </c>
      <c r="B1024" s="1587">
        <v>24097.0</v>
      </c>
      <c r="C1024" s="1547">
        <v>2399.0</v>
      </c>
      <c r="D1024" s="1548">
        <v>43.5</v>
      </c>
      <c r="E1024" s="1557">
        <v>22388.0</v>
      </c>
      <c r="F1024" s="598">
        <v>558.0</v>
      </c>
      <c r="G1024" s="598">
        <v>37.0</v>
      </c>
      <c r="H1024" s="598">
        <v>124.0</v>
      </c>
      <c r="I1024" s="598">
        <v>4.0</v>
      </c>
      <c r="J1024" s="598">
        <v>135.0</v>
      </c>
      <c r="K1024" s="1561">
        <v>851.0</v>
      </c>
      <c r="L1024" s="1555">
        <v>29362.0</v>
      </c>
    </row>
    <row r="1025">
      <c r="A1025" s="1545" t="s">
        <v>246</v>
      </c>
      <c r="B1025" s="1587">
        <v>135968.0</v>
      </c>
      <c r="C1025" s="1547">
        <v>2900.0</v>
      </c>
      <c r="D1025" s="1548">
        <v>8.7</v>
      </c>
      <c r="E1025" s="1549">
        <v>114457.0</v>
      </c>
      <c r="F1025" s="1593">
        <v>5728.0</v>
      </c>
      <c r="G1025" s="1593">
        <v>443.0</v>
      </c>
      <c r="H1025" s="1593">
        <v>3078.0</v>
      </c>
      <c r="I1025" s="1593">
        <v>307.0</v>
      </c>
      <c r="J1025" s="1593">
        <v>3275.0</v>
      </c>
      <c r="K1025" s="1594">
        <v>8680.0</v>
      </c>
      <c r="L1025" s="1551">
        <v>77696.0</v>
      </c>
    </row>
    <row r="1026">
      <c r="A1026" s="1545" t="s">
        <v>959</v>
      </c>
      <c r="B1026" s="1587">
        <v>20252.0</v>
      </c>
      <c r="C1026" s="1547">
        <v>1098.0</v>
      </c>
      <c r="D1026" s="1548">
        <v>24.2</v>
      </c>
      <c r="E1026" s="1549">
        <v>17076.0</v>
      </c>
      <c r="F1026" s="1593">
        <v>1035.0</v>
      </c>
      <c r="G1026" s="1593">
        <v>60.0</v>
      </c>
      <c r="H1026" s="1593">
        <v>77.0</v>
      </c>
      <c r="I1026" s="1593">
        <v>9.0</v>
      </c>
      <c r="J1026" s="1593">
        <v>922.0</v>
      </c>
      <c r="K1026" s="1594">
        <v>1073.0</v>
      </c>
      <c r="L1026" s="1551">
        <v>48614.0</v>
      </c>
    </row>
    <row r="1027">
      <c r="A1027" s="1545" t="s">
        <v>1028</v>
      </c>
      <c r="B1027" s="1587">
        <v>48261.0</v>
      </c>
      <c r="C1027" s="1547">
        <v>2595.0</v>
      </c>
      <c r="D1027" s="1548">
        <v>26.8</v>
      </c>
      <c r="E1027" s="1549">
        <v>44282.0</v>
      </c>
      <c r="F1027" s="1593">
        <v>1310.0</v>
      </c>
      <c r="G1027" s="1593">
        <v>116.0</v>
      </c>
      <c r="H1027" s="1593">
        <v>278.0</v>
      </c>
      <c r="I1027" s="1593">
        <v>7.0</v>
      </c>
      <c r="J1027" s="1593">
        <v>309.0</v>
      </c>
      <c r="K1027" s="1594">
        <v>1959.0</v>
      </c>
      <c r="L1027" s="1551">
        <v>48020.0</v>
      </c>
    </row>
    <row r="1028">
      <c r="A1028" s="1545" t="s">
        <v>1029</v>
      </c>
      <c r="B1028" s="1587">
        <v>30614.0</v>
      </c>
      <c r="C1028" s="1547">
        <v>1174.0</v>
      </c>
      <c r="D1028" s="1548">
        <v>20.3</v>
      </c>
      <c r="E1028" s="1549">
        <v>25365.0</v>
      </c>
      <c r="F1028" s="1593">
        <v>2194.0</v>
      </c>
      <c r="G1028" s="1593">
        <v>61.0</v>
      </c>
      <c r="H1028" s="1593">
        <v>361.0</v>
      </c>
      <c r="I1028" s="1593">
        <v>4.0</v>
      </c>
      <c r="J1028" s="1593">
        <v>619.0</v>
      </c>
      <c r="K1028" s="1594">
        <v>2010.0</v>
      </c>
      <c r="L1028" s="1551">
        <v>47528.0</v>
      </c>
    </row>
    <row r="1029">
      <c r="A1029" s="1545" t="s">
        <v>1030</v>
      </c>
      <c r="B1029" s="1587">
        <v>8400.0</v>
      </c>
      <c r="C1029" s="1563">
        <v>402.0</v>
      </c>
      <c r="D1029" s="1548">
        <v>21.6</v>
      </c>
      <c r="E1029" s="1549">
        <v>7994.0</v>
      </c>
      <c r="F1029" s="1593">
        <v>51.0</v>
      </c>
      <c r="G1029" s="1593">
        <v>14.0</v>
      </c>
      <c r="H1029" s="1593">
        <v>13.0</v>
      </c>
      <c r="I1029" s="1593">
        <v>2.0</v>
      </c>
      <c r="J1029" s="1593">
        <v>33.0</v>
      </c>
      <c r="K1029" s="1594">
        <v>293.0</v>
      </c>
      <c r="L1029" s="1551">
        <v>56432.0</v>
      </c>
    </row>
    <row r="1030">
      <c r="A1030" s="1545" t="s">
        <v>1031</v>
      </c>
      <c r="B1030" s="1587">
        <v>13718.0</v>
      </c>
      <c r="C1030" s="1547">
        <v>1068.0</v>
      </c>
      <c r="D1030" s="1548">
        <v>43.4</v>
      </c>
      <c r="E1030" s="1549">
        <v>13083.0</v>
      </c>
      <c r="F1030" s="1593">
        <v>57.0</v>
      </c>
      <c r="G1030" s="1593">
        <v>11.0</v>
      </c>
      <c r="H1030" s="1593">
        <v>39.0</v>
      </c>
      <c r="I1030" s="1593">
        <v>11.0</v>
      </c>
      <c r="J1030" s="1593">
        <v>16.0</v>
      </c>
      <c r="K1030" s="1594">
        <v>501.0</v>
      </c>
      <c r="L1030" s="1551">
        <v>31182.0</v>
      </c>
    </row>
    <row r="1031">
      <c r="A1031" s="1545" t="s">
        <v>1032</v>
      </c>
      <c r="B1031" s="1587">
        <v>20432.0</v>
      </c>
      <c r="C1031" s="1547">
        <v>1071.0</v>
      </c>
      <c r="D1031" s="1548">
        <v>23.7</v>
      </c>
      <c r="E1031" s="1549">
        <v>18831.0</v>
      </c>
      <c r="F1031" s="1593">
        <v>426.0</v>
      </c>
      <c r="G1031" s="1593">
        <v>46.0</v>
      </c>
      <c r="H1031" s="1593">
        <v>39.0</v>
      </c>
      <c r="I1031" s="1593">
        <v>3.0</v>
      </c>
      <c r="J1031" s="1593">
        <v>122.0</v>
      </c>
      <c r="K1031" s="1594">
        <v>965.0</v>
      </c>
      <c r="L1031" s="1555">
        <v>47284.0</v>
      </c>
    </row>
    <row r="1032">
      <c r="A1032" s="1545" t="s">
        <v>1033</v>
      </c>
      <c r="B1032" s="1587">
        <v>82217.0</v>
      </c>
      <c r="C1032" s="1547">
        <v>2184.0</v>
      </c>
      <c r="D1032" s="1548">
        <v>12.6</v>
      </c>
      <c r="E1032" s="1557">
        <v>75417.0</v>
      </c>
      <c r="F1032" s="598">
        <v>1045.0</v>
      </c>
      <c r="G1032" s="598">
        <v>212.0</v>
      </c>
      <c r="H1032" s="598">
        <v>451.0</v>
      </c>
      <c r="I1032" s="598">
        <v>25.0</v>
      </c>
      <c r="J1032" s="598">
        <v>738.0</v>
      </c>
      <c r="K1032" s="1561">
        <v>4329.0</v>
      </c>
      <c r="L1032" s="1551">
        <v>61022.0</v>
      </c>
    </row>
    <row r="1033">
      <c r="A1033" s="1545" t="s">
        <v>87</v>
      </c>
      <c r="B1033" s="1587">
        <v>12371.0</v>
      </c>
      <c r="C1033" s="1563">
        <v>607.0</v>
      </c>
      <c r="D1033" s="1548">
        <v>22.1</v>
      </c>
      <c r="E1033" s="1557">
        <v>11464.0</v>
      </c>
      <c r="F1033" s="598">
        <v>15.0</v>
      </c>
      <c r="G1033" s="598">
        <v>32.0</v>
      </c>
      <c r="H1033" s="598">
        <v>23.0</v>
      </c>
      <c r="I1033" s="598">
        <v>3.0</v>
      </c>
      <c r="J1033" s="598">
        <v>407.0</v>
      </c>
      <c r="K1033" s="1561">
        <v>427.0</v>
      </c>
      <c r="L1033" s="1551">
        <v>43048.0</v>
      </c>
    </row>
    <row r="1034">
      <c r="A1034" s="1545" t="s">
        <v>1034</v>
      </c>
      <c r="B1034" s="1587">
        <v>12649.0</v>
      </c>
      <c r="C1034" s="1563">
        <v>732.0</v>
      </c>
      <c r="D1034" s="1548">
        <v>26.6</v>
      </c>
      <c r="E1034" s="1557">
        <v>11244.0</v>
      </c>
      <c r="F1034" s="598">
        <v>674.0</v>
      </c>
      <c r="G1034" s="598">
        <v>25.0</v>
      </c>
      <c r="H1034" s="598">
        <v>56.0</v>
      </c>
      <c r="I1034" s="598">
        <v>2.0</v>
      </c>
      <c r="J1034" s="598">
        <v>70.0</v>
      </c>
      <c r="K1034" s="1561">
        <v>578.0</v>
      </c>
      <c r="L1034" s="1551">
        <v>43659.0</v>
      </c>
    </row>
    <row r="1035">
      <c r="A1035" s="1545" t="s">
        <v>1035</v>
      </c>
      <c r="B1035" s="1587">
        <v>37103.0</v>
      </c>
      <c r="C1035" s="1547">
        <v>1591.0</v>
      </c>
      <c r="D1035" s="1548">
        <v>23.1</v>
      </c>
      <c r="E1035" s="1557">
        <v>32626.0</v>
      </c>
      <c r="F1035" s="598">
        <v>1313.0</v>
      </c>
      <c r="G1035" s="598">
        <v>64.0</v>
      </c>
      <c r="H1035" s="598">
        <v>435.0</v>
      </c>
      <c r="I1035" s="598">
        <v>11.0</v>
      </c>
      <c r="J1035" s="598">
        <v>547.0</v>
      </c>
      <c r="K1035" s="1561">
        <v>2107.0</v>
      </c>
      <c r="L1035" s="1555">
        <v>41873.0</v>
      </c>
    </row>
    <row r="1036">
      <c r="A1036" s="1545" t="s">
        <v>1036</v>
      </c>
      <c r="B1036" s="1587">
        <v>93076.0</v>
      </c>
      <c r="C1036" s="1547">
        <v>2719.0</v>
      </c>
      <c r="D1036" s="1548">
        <v>14.4</v>
      </c>
      <c r="E1036" s="1557">
        <v>83361.0</v>
      </c>
      <c r="F1036" s="598">
        <v>2832.0</v>
      </c>
      <c r="G1036" s="598">
        <v>203.0</v>
      </c>
      <c r="H1036" s="598">
        <v>1034.0</v>
      </c>
      <c r="I1036" s="598">
        <v>30.0</v>
      </c>
      <c r="J1036" s="598">
        <v>1123.0</v>
      </c>
      <c r="K1036" s="1561">
        <v>4493.0</v>
      </c>
      <c r="L1036" s="1551">
        <v>60904.0</v>
      </c>
    </row>
    <row r="1037">
      <c r="A1037" s="1545" t="s">
        <v>1037</v>
      </c>
      <c r="B1037" s="1587">
        <v>4826.0</v>
      </c>
      <c r="C1037" s="1563">
        <v>252.0</v>
      </c>
      <c r="D1037" s="1548">
        <v>23.7</v>
      </c>
      <c r="E1037" s="1557">
        <v>4531.0</v>
      </c>
      <c r="F1037" s="598">
        <v>63.0</v>
      </c>
      <c r="G1037" s="598">
        <v>29.0</v>
      </c>
      <c r="H1037" s="598">
        <v>10.0</v>
      </c>
      <c r="I1037" s="598">
        <v>0.0</v>
      </c>
      <c r="J1037" s="598">
        <v>9.0</v>
      </c>
      <c r="K1037" s="1561">
        <v>184.0</v>
      </c>
      <c r="L1037" s="1551">
        <v>41249.0</v>
      </c>
    </row>
    <row r="1038">
      <c r="A1038" s="1545" t="s">
        <v>248</v>
      </c>
      <c r="B1038" s="1587">
        <v>10810.0</v>
      </c>
      <c r="C1038" s="1563">
        <v>668.0</v>
      </c>
      <c r="D1038" s="1548">
        <v>24.8</v>
      </c>
      <c r="E1038" s="1557">
        <v>9567.0</v>
      </c>
      <c r="F1038" s="598">
        <v>184.0</v>
      </c>
      <c r="G1038" s="598">
        <v>40.0</v>
      </c>
      <c r="H1038" s="598">
        <v>44.0</v>
      </c>
      <c r="I1038" s="598">
        <v>4.0</v>
      </c>
      <c r="J1038" s="598">
        <v>314.0</v>
      </c>
      <c r="K1038" s="1561">
        <v>657.0</v>
      </c>
      <c r="L1038" s="1551">
        <v>47623.0</v>
      </c>
    </row>
    <row r="1039">
      <c r="A1039" s="1545" t="s">
        <v>1038</v>
      </c>
      <c r="B1039" s="1587">
        <v>26627.0</v>
      </c>
      <c r="C1039" s="1547">
        <v>1977.0</v>
      </c>
      <c r="D1039" s="1548">
        <v>33.4</v>
      </c>
      <c r="E1039" s="1557">
        <v>25560.0</v>
      </c>
      <c r="F1039" s="598">
        <v>212.0</v>
      </c>
      <c r="G1039" s="598">
        <v>58.0</v>
      </c>
      <c r="H1039" s="598">
        <v>63.0</v>
      </c>
      <c r="I1039" s="598">
        <v>1.0</v>
      </c>
      <c r="J1039" s="598">
        <v>84.0</v>
      </c>
      <c r="K1039" s="1561">
        <v>649.0</v>
      </c>
      <c r="L1039" s="1551">
        <v>32906.0</v>
      </c>
    </row>
    <row r="1040">
      <c r="A1040" s="1545" t="s">
        <v>1039</v>
      </c>
      <c r="B1040" s="1587">
        <v>15941.0</v>
      </c>
      <c r="C1040" s="1547">
        <v>1358.0</v>
      </c>
      <c r="D1040" s="1548">
        <v>38.5</v>
      </c>
      <c r="E1040" s="1557">
        <v>14974.0</v>
      </c>
      <c r="F1040" s="598">
        <v>83.0</v>
      </c>
      <c r="G1040" s="598">
        <v>53.0</v>
      </c>
      <c r="H1040" s="598">
        <v>55.0</v>
      </c>
      <c r="I1040" s="598">
        <v>1.0</v>
      </c>
      <c r="J1040" s="598">
        <v>332.0</v>
      </c>
      <c r="K1040" s="1561">
        <v>443.0</v>
      </c>
      <c r="L1040" s="1555">
        <v>34358.0</v>
      </c>
    </row>
    <row r="1041">
      <c r="A1041" s="1545" t="s">
        <v>710</v>
      </c>
      <c r="B1041" s="1587">
        <v>72748.0</v>
      </c>
      <c r="C1041" s="1547">
        <v>4941.0</v>
      </c>
      <c r="D1041" s="1548">
        <v>26.3</v>
      </c>
      <c r="E1041" s="1557">
        <v>48279.0</v>
      </c>
      <c r="F1041" s="598">
        <v>15527.0</v>
      </c>
      <c r="G1041" s="598">
        <v>389.0</v>
      </c>
      <c r="H1041" s="598">
        <v>973.0</v>
      </c>
      <c r="I1041" s="598">
        <v>246.0</v>
      </c>
      <c r="J1041" s="598">
        <v>2219.0</v>
      </c>
      <c r="K1041" s="1561">
        <v>5115.0</v>
      </c>
      <c r="L1041" s="1551">
        <v>40299.0</v>
      </c>
    </row>
    <row r="1042">
      <c r="A1042" s="1545" t="s">
        <v>253</v>
      </c>
      <c r="B1042" s="1587">
        <v>36972.0</v>
      </c>
      <c r="C1042" s="1547">
        <v>1953.0</v>
      </c>
      <c r="D1042" s="1548">
        <v>24.8</v>
      </c>
      <c r="E1042" s="1557">
        <v>32555.0</v>
      </c>
      <c r="F1042" s="598">
        <v>1648.0</v>
      </c>
      <c r="G1042" s="598">
        <v>98.0</v>
      </c>
      <c r="H1042" s="598">
        <v>212.0</v>
      </c>
      <c r="I1042" s="598">
        <v>17.0</v>
      </c>
      <c r="J1042" s="598">
        <v>709.0</v>
      </c>
      <c r="K1042" s="1561">
        <v>1733.0</v>
      </c>
      <c r="L1042" s="1551">
        <v>50162.0</v>
      </c>
    </row>
    <row r="1043">
      <c r="A1043" s="1545" t="s">
        <v>112</v>
      </c>
      <c r="B1043" s="1587">
        <v>20345.0</v>
      </c>
      <c r="C1043" s="1547">
        <v>1887.0</v>
      </c>
      <c r="D1043" s="1548">
        <v>47.2</v>
      </c>
      <c r="E1043" s="1557">
        <v>18891.0</v>
      </c>
      <c r="F1043" s="598">
        <v>839.0</v>
      </c>
      <c r="G1043" s="598">
        <v>32.0</v>
      </c>
      <c r="H1043" s="598">
        <v>23.0</v>
      </c>
      <c r="I1043" s="598">
        <v>11.0</v>
      </c>
      <c r="J1043" s="598">
        <v>65.0</v>
      </c>
      <c r="K1043" s="1561">
        <v>484.0</v>
      </c>
      <c r="L1043" s="1551">
        <v>28146.0</v>
      </c>
    </row>
    <row r="1044">
      <c r="A1044" s="1545" t="s">
        <v>711</v>
      </c>
      <c r="B1044" s="1587">
        <v>9253.0</v>
      </c>
      <c r="C1044" s="1563">
        <v>823.0</v>
      </c>
      <c r="D1044" s="1548">
        <v>37.5</v>
      </c>
      <c r="E1044" s="1557">
        <v>8745.0</v>
      </c>
      <c r="F1044" s="598">
        <v>40.0</v>
      </c>
      <c r="G1044" s="598">
        <v>22.0</v>
      </c>
      <c r="H1044" s="598">
        <v>10.0</v>
      </c>
      <c r="I1044" s="598">
        <v>3.0</v>
      </c>
      <c r="J1044" s="598">
        <v>139.0</v>
      </c>
      <c r="K1044" s="1561">
        <v>294.0</v>
      </c>
      <c r="L1044" s="1551">
        <v>31118.0</v>
      </c>
    </row>
    <row r="1045">
      <c r="A1045" s="1545" t="s">
        <v>264</v>
      </c>
      <c r="B1045" s="1587">
        <v>8990.0</v>
      </c>
      <c r="C1045" s="1563">
        <v>553.0</v>
      </c>
      <c r="D1045" s="1548">
        <v>28.7</v>
      </c>
      <c r="E1045" s="1557">
        <v>8559.0</v>
      </c>
      <c r="F1045" s="598">
        <v>82.0</v>
      </c>
      <c r="G1045" s="598">
        <v>15.0</v>
      </c>
      <c r="H1045" s="598">
        <v>6.0</v>
      </c>
      <c r="I1045" s="598">
        <v>5.0</v>
      </c>
      <c r="J1045" s="598">
        <v>39.0</v>
      </c>
      <c r="K1045" s="1561">
        <v>284.0</v>
      </c>
      <c r="L1045" s="1551">
        <v>43624.0</v>
      </c>
    </row>
    <row r="1046">
      <c r="A1046" s="1545" t="s">
        <v>713</v>
      </c>
      <c r="B1046" s="1587">
        <v>5888.0</v>
      </c>
      <c r="C1046" s="1563">
        <v>466.0</v>
      </c>
      <c r="D1046" s="1548">
        <v>33.1</v>
      </c>
      <c r="E1046" s="1557">
        <v>5462.0</v>
      </c>
      <c r="F1046" s="598">
        <v>150.0</v>
      </c>
      <c r="G1046" s="598">
        <v>6.0</v>
      </c>
      <c r="H1046" s="598">
        <v>4.0</v>
      </c>
      <c r="I1046" s="598">
        <v>6.0</v>
      </c>
      <c r="J1046" s="598">
        <v>38.0</v>
      </c>
      <c r="K1046" s="1561">
        <v>222.0</v>
      </c>
      <c r="L1046" s="1555">
        <v>33541.0</v>
      </c>
    </row>
    <row r="1047">
      <c r="A1047" s="1545" t="s">
        <v>758</v>
      </c>
      <c r="B1047" s="1587">
        <v>103312.0</v>
      </c>
      <c r="C1047" s="1547">
        <v>4598.0</v>
      </c>
      <c r="D1047" s="1548">
        <v>19.2</v>
      </c>
      <c r="E1047" s="1557">
        <v>88425.0</v>
      </c>
      <c r="F1047" s="598">
        <v>4872.0</v>
      </c>
      <c r="G1047" s="598">
        <v>262.0</v>
      </c>
      <c r="H1047" s="598">
        <v>2427.0</v>
      </c>
      <c r="I1047" s="598">
        <v>59.0</v>
      </c>
      <c r="J1047" s="598">
        <v>1908.0</v>
      </c>
      <c r="K1047" s="1561">
        <v>5359.0</v>
      </c>
      <c r="L1047" s="1551">
        <v>51441.0</v>
      </c>
    </row>
    <row r="1048">
      <c r="A1048" s="1545" t="s">
        <v>1041</v>
      </c>
      <c r="B1048" s="1587">
        <v>12126.0</v>
      </c>
      <c r="C1048" s="1563">
        <v>484.0</v>
      </c>
      <c r="D1048" s="1548">
        <v>22.1</v>
      </c>
      <c r="E1048" s="1557">
        <v>11546.0</v>
      </c>
      <c r="F1048" s="598">
        <v>98.0</v>
      </c>
      <c r="G1048" s="598">
        <v>32.0</v>
      </c>
      <c r="H1048" s="598">
        <v>32.0</v>
      </c>
      <c r="I1048" s="598">
        <v>7.0</v>
      </c>
      <c r="J1048" s="598">
        <v>49.0</v>
      </c>
      <c r="K1048" s="1561">
        <v>362.0</v>
      </c>
      <c r="L1048" s="1551">
        <v>43151.0</v>
      </c>
    </row>
    <row r="1049">
      <c r="A1049" s="1545" t="s">
        <v>1045</v>
      </c>
      <c r="B1049" s="1587">
        <v>7354.0</v>
      </c>
      <c r="C1049" s="1563">
        <v>389.0</v>
      </c>
      <c r="D1049" s="1548">
        <v>29.1</v>
      </c>
      <c r="E1049" s="1557">
        <v>6903.0</v>
      </c>
      <c r="F1049" s="598">
        <v>246.0</v>
      </c>
      <c r="G1049" s="598">
        <v>19.0</v>
      </c>
      <c r="H1049" s="598">
        <v>18.0</v>
      </c>
      <c r="I1049" s="598">
        <v>0.0</v>
      </c>
      <c r="J1049" s="598">
        <v>51.0</v>
      </c>
      <c r="K1049" s="1561">
        <v>117.0</v>
      </c>
      <c r="L1049" s="1551">
        <v>35446.0</v>
      </c>
    </row>
    <row r="1050">
      <c r="A1050" s="1545" t="s">
        <v>1046</v>
      </c>
      <c r="B1050" s="1587">
        <v>14163.0</v>
      </c>
      <c r="C1050" s="1563">
        <v>980.0</v>
      </c>
      <c r="D1050" s="1548">
        <v>33.0</v>
      </c>
      <c r="E1050" s="1557">
        <v>13666.0</v>
      </c>
      <c r="F1050" s="598">
        <v>30.0</v>
      </c>
      <c r="G1050" s="598">
        <v>30.0</v>
      </c>
      <c r="H1050" s="598">
        <v>7.0</v>
      </c>
      <c r="I1050" s="598">
        <v>0.0</v>
      </c>
      <c r="J1050" s="598">
        <v>30.0</v>
      </c>
      <c r="K1050" s="1561">
        <v>400.0</v>
      </c>
      <c r="L1050" s="1555">
        <v>35701.0</v>
      </c>
    </row>
    <row r="1051">
      <c r="A1051" s="1545" t="s">
        <v>135</v>
      </c>
      <c r="B1051" s="1587">
        <v>322570.0</v>
      </c>
      <c r="C1051" s="1547">
        <v>11428.0</v>
      </c>
      <c r="D1051" s="1548">
        <v>17.3</v>
      </c>
      <c r="E1051" s="1557">
        <v>220236.0</v>
      </c>
      <c r="F1051" s="598">
        <v>48076.0</v>
      </c>
      <c r="G1051" s="598">
        <v>1105.0</v>
      </c>
      <c r="H1051" s="598">
        <v>13427.0</v>
      </c>
      <c r="I1051" s="598">
        <v>144.0</v>
      </c>
      <c r="J1051" s="598">
        <v>16732.0</v>
      </c>
      <c r="K1051" s="1561">
        <v>22850.0</v>
      </c>
      <c r="L1051" s="1551">
        <v>55358.0</v>
      </c>
    </row>
    <row r="1052">
      <c r="A1052" s="1545" t="s">
        <v>1049</v>
      </c>
      <c r="B1052" s="1587">
        <v>15082.0</v>
      </c>
      <c r="C1052" s="1563">
        <v>985.0</v>
      </c>
      <c r="D1052" s="1548">
        <v>29.1</v>
      </c>
      <c r="E1052" s="1557">
        <v>14381.0</v>
      </c>
      <c r="F1052" s="598">
        <v>148.0</v>
      </c>
      <c r="G1052" s="598">
        <v>35.0</v>
      </c>
      <c r="H1052" s="598">
        <v>17.0</v>
      </c>
      <c r="I1052" s="598">
        <v>3.0</v>
      </c>
      <c r="J1052" s="598">
        <v>128.0</v>
      </c>
      <c r="K1052" s="1561">
        <v>370.0</v>
      </c>
      <c r="L1052" s="1551">
        <v>42571.0</v>
      </c>
    </row>
    <row r="1053">
      <c r="A1053" s="1545" t="s">
        <v>575</v>
      </c>
      <c r="B1053" s="1587">
        <v>35942.0</v>
      </c>
      <c r="C1053" s="1547">
        <v>3390.0</v>
      </c>
      <c r="D1053" s="1548">
        <v>44.3</v>
      </c>
      <c r="E1053" s="1557">
        <v>34828.0</v>
      </c>
      <c r="F1053" s="598">
        <v>122.0</v>
      </c>
      <c r="G1053" s="598">
        <v>33.0</v>
      </c>
      <c r="H1053" s="598">
        <v>97.0</v>
      </c>
      <c r="I1053" s="598">
        <v>1.0</v>
      </c>
      <c r="J1053" s="598">
        <v>74.0</v>
      </c>
      <c r="K1053" s="1561">
        <v>787.0</v>
      </c>
      <c r="L1053" s="1551">
        <v>33218.0</v>
      </c>
    </row>
    <row r="1054">
      <c r="A1054" s="1545" t="s">
        <v>136</v>
      </c>
      <c r="B1054" s="1587">
        <v>51541.0</v>
      </c>
      <c r="C1054" s="1547">
        <v>1945.0</v>
      </c>
      <c r="D1054" s="1548">
        <v>18.8</v>
      </c>
      <c r="E1054" s="1557">
        <v>41736.0</v>
      </c>
      <c r="F1054" s="598">
        <v>4481.0</v>
      </c>
      <c r="G1054" s="598">
        <v>162.0</v>
      </c>
      <c r="H1054" s="598">
        <v>1032.0</v>
      </c>
      <c r="I1054" s="598">
        <v>17.0</v>
      </c>
      <c r="J1054" s="598">
        <v>1011.0</v>
      </c>
      <c r="K1054" s="1561">
        <v>3102.0</v>
      </c>
      <c r="L1054" s="1551">
        <v>53134.0</v>
      </c>
    </row>
    <row r="1055">
      <c r="A1055" s="1545" t="s">
        <v>275</v>
      </c>
      <c r="B1055" s="1587">
        <v>6515.0</v>
      </c>
      <c r="C1055" s="1563">
        <v>608.0</v>
      </c>
      <c r="D1055" s="1548">
        <v>46.1</v>
      </c>
      <c r="E1055" s="1557">
        <v>4599.0</v>
      </c>
      <c r="F1055" s="598">
        <v>1444.0</v>
      </c>
      <c r="G1055" s="598">
        <v>26.0</v>
      </c>
      <c r="H1055" s="598">
        <v>21.0</v>
      </c>
      <c r="I1055" s="598">
        <v>11.0</v>
      </c>
      <c r="J1055" s="598">
        <v>67.0</v>
      </c>
      <c r="K1055" s="1561">
        <v>347.0</v>
      </c>
      <c r="L1055" s="1551">
        <v>32355.0</v>
      </c>
    </row>
    <row r="1056">
      <c r="A1056" s="1545" t="s">
        <v>719</v>
      </c>
      <c r="B1056" s="1587">
        <v>8690.0</v>
      </c>
      <c r="C1056" s="1563">
        <v>488.0</v>
      </c>
      <c r="D1056" s="1548">
        <v>23.6</v>
      </c>
      <c r="E1056" s="1557">
        <v>7862.0</v>
      </c>
      <c r="F1056" s="598">
        <v>74.0</v>
      </c>
      <c r="G1056" s="598">
        <v>23.0</v>
      </c>
      <c r="H1056" s="598">
        <v>13.0</v>
      </c>
      <c r="I1056" s="598">
        <v>7.0</v>
      </c>
      <c r="J1056" s="598">
        <v>259.0</v>
      </c>
      <c r="K1056" s="1561">
        <v>452.0</v>
      </c>
      <c r="L1056" s="1551">
        <v>49060.0</v>
      </c>
    </row>
    <row r="1057">
      <c r="A1057" s="1545" t="s">
        <v>1060</v>
      </c>
      <c r="B1057" s="1587">
        <v>16953.0</v>
      </c>
      <c r="C1057" s="1563">
        <v>878.0</v>
      </c>
      <c r="D1057" s="1548">
        <v>23.5</v>
      </c>
      <c r="E1057" s="1557">
        <v>15581.0</v>
      </c>
      <c r="F1057" s="598">
        <v>302.0</v>
      </c>
      <c r="G1057" s="598">
        <v>37.0</v>
      </c>
      <c r="H1057" s="598">
        <v>51.0</v>
      </c>
      <c r="I1057" s="598">
        <v>9.0</v>
      </c>
      <c r="J1057" s="598">
        <v>175.0</v>
      </c>
      <c r="K1057" s="1561">
        <v>798.0</v>
      </c>
      <c r="L1057" s="1551">
        <v>51203.0</v>
      </c>
    </row>
    <row r="1058">
      <c r="A1058" s="1545" t="s">
        <v>278</v>
      </c>
      <c r="B1058" s="1587">
        <v>24941.0</v>
      </c>
      <c r="C1058" s="1547">
        <v>1303.0</v>
      </c>
      <c r="D1058" s="1548">
        <v>20.3</v>
      </c>
      <c r="E1058" s="1557">
        <v>23002.0</v>
      </c>
      <c r="F1058" s="598">
        <v>195.0</v>
      </c>
      <c r="G1058" s="598">
        <v>51.0</v>
      </c>
      <c r="H1058" s="598">
        <v>67.0</v>
      </c>
      <c r="I1058" s="598">
        <v>33.0</v>
      </c>
      <c r="J1058" s="598">
        <v>328.0</v>
      </c>
      <c r="K1058" s="1561">
        <v>1265.0</v>
      </c>
      <c r="L1058" s="1551">
        <v>53965.0</v>
      </c>
    </row>
    <row r="1059">
      <c r="A1059" s="1545" t="s">
        <v>1068</v>
      </c>
      <c r="B1059" s="1587">
        <v>36649.0</v>
      </c>
      <c r="C1059" s="1547">
        <v>2195.0</v>
      </c>
      <c r="D1059" s="1548">
        <v>25.4</v>
      </c>
      <c r="E1059" s="1557">
        <v>31149.0</v>
      </c>
      <c r="F1059" s="598">
        <v>1564.0</v>
      </c>
      <c r="G1059" s="598">
        <v>128.0</v>
      </c>
      <c r="H1059" s="598">
        <v>181.0</v>
      </c>
      <c r="I1059" s="598">
        <v>4.0</v>
      </c>
      <c r="J1059" s="598">
        <v>1421.0</v>
      </c>
      <c r="K1059" s="1561">
        <v>2202.0</v>
      </c>
      <c r="L1059" s="1551">
        <v>46785.0</v>
      </c>
    </row>
    <row r="1060">
      <c r="A1060" s="1545" t="s">
        <v>1072</v>
      </c>
      <c r="B1060" s="1587">
        <v>26420.0</v>
      </c>
      <c r="C1060" s="1547">
        <v>1709.0</v>
      </c>
      <c r="D1060" s="1548">
        <v>28.7</v>
      </c>
      <c r="E1060" s="1557">
        <v>24904.0</v>
      </c>
      <c r="F1060" s="598">
        <v>310.0</v>
      </c>
      <c r="G1060" s="598">
        <v>77.0</v>
      </c>
      <c r="H1060" s="598">
        <v>96.0</v>
      </c>
      <c r="I1060" s="598">
        <v>2.0</v>
      </c>
      <c r="J1060" s="598">
        <v>154.0</v>
      </c>
      <c r="K1060" s="1561">
        <v>877.0</v>
      </c>
      <c r="L1060" s="1551">
        <v>40780.0</v>
      </c>
    </row>
    <row r="1061">
      <c r="A1061" s="1545" t="s">
        <v>1075</v>
      </c>
      <c r="B1061" s="1587">
        <v>11107.0</v>
      </c>
      <c r="C1061" s="1563">
        <v>588.0</v>
      </c>
      <c r="D1061" s="1548">
        <v>26.1</v>
      </c>
      <c r="E1061" s="1557">
        <v>10447.0</v>
      </c>
      <c r="F1061" s="598">
        <v>160.0</v>
      </c>
      <c r="G1061" s="598">
        <v>20.0</v>
      </c>
      <c r="H1061" s="598">
        <v>31.0</v>
      </c>
      <c r="I1061" s="598">
        <v>2.0</v>
      </c>
      <c r="J1061" s="598">
        <v>95.0</v>
      </c>
      <c r="K1061" s="1561">
        <v>352.0</v>
      </c>
      <c r="L1061" s="1551">
        <v>36782.0</v>
      </c>
    </row>
    <row r="1062">
      <c r="A1062" s="1545" t="s">
        <v>1078</v>
      </c>
      <c r="B1062" s="1587">
        <v>35962.0</v>
      </c>
      <c r="C1062" s="1547">
        <v>1565.0</v>
      </c>
      <c r="D1062" s="1548">
        <v>21.3</v>
      </c>
      <c r="E1062" s="1557">
        <v>34096.0</v>
      </c>
      <c r="F1062" s="598">
        <v>220.0</v>
      </c>
      <c r="G1062" s="598">
        <v>74.0</v>
      </c>
      <c r="H1062" s="598">
        <v>230.0</v>
      </c>
      <c r="I1062" s="598">
        <v>5.0</v>
      </c>
      <c r="J1062" s="598">
        <v>145.0</v>
      </c>
      <c r="K1062" s="1561">
        <v>1192.0</v>
      </c>
      <c r="L1062" s="1551">
        <v>49457.0</v>
      </c>
    </row>
    <row r="1063">
      <c r="A1063" s="1545" t="s">
        <v>587</v>
      </c>
      <c r="B1063" s="1587">
        <v>9095.0</v>
      </c>
      <c r="C1063" s="1563">
        <v>355.0</v>
      </c>
      <c r="D1063" s="1548">
        <v>16.3</v>
      </c>
      <c r="E1063" s="1557">
        <v>8624.0</v>
      </c>
      <c r="F1063" s="598">
        <v>79.0</v>
      </c>
      <c r="G1063" s="598">
        <v>4.0</v>
      </c>
      <c r="H1063" s="598">
        <v>38.0</v>
      </c>
      <c r="I1063" s="598">
        <v>0.0</v>
      </c>
      <c r="J1063" s="598">
        <v>64.0</v>
      </c>
      <c r="K1063" s="1561">
        <v>286.0</v>
      </c>
      <c r="L1063" s="1555">
        <v>56769.0</v>
      </c>
    </row>
    <row r="1064">
      <c r="A1064" s="1545" t="s">
        <v>721</v>
      </c>
      <c r="B1064" s="1587">
        <v>110702.0</v>
      </c>
      <c r="C1064" s="1547">
        <v>4673.0</v>
      </c>
      <c r="D1064" s="1548">
        <v>17.7</v>
      </c>
      <c r="E1064" s="1557">
        <v>82959.0</v>
      </c>
      <c r="F1064" s="598">
        <v>12825.0</v>
      </c>
      <c r="G1064" s="598">
        <v>490.0</v>
      </c>
      <c r="H1064" s="598">
        <v>2277.0</v>
      </c>
      <c r="I1064" s="598">
        <v>421.0</v>
      </c>
      <c r="J1064" s="598">
        <v>2330.0</v>
      </c>
      <c r="K1064" s="1561">
        <v>9400.0</v>
      </c>
      <c r="L1064" s="1551">
        <v>52278.0</v>
      </c>
    </row>
    <row r="1065">
      <c r="A1065" s="1545" t="s">
        <v>1088</v>
      </c>
      <c r="B1065" s="1587">
        <v>26831.0</v>
      </c>
      <c r="C1065" s="1547">
        <v>2591.0</v>
      </c>
      <c r="D1065" s="1548">
        <v>43.6</v>
      </c>
      <c r="E1065" s="1557">
        <v>25107.0</v>
      </c>
      <c r="F1065" s="598">
        <v>541.0</v>
      </c>
      <c r="G1065" s="598">
        <v>56.0</v>
      </c>
      <c r="H1065" s="598">
        <v>85.0</v>
      </c>
      <c r="I1065" s="598">
        <v>0.0</v>
      </c>
      <c r="J1065" s="598">
        <v>115.0</v>
      </c>
      <c r="K1065" s="1561">
        <v>927.0</v>
      </c>
      <c r="L1065" s="1551">
        <v>29521.0</v>
      </c>
    </row>
    <row r="1066">
      <c r="A1066" s="1545" t="s">
        <v>775</v>
      </c>
      <c r="B1066" s="1587">
        <v>18692.0</v>
      </c>
      <c r="C1066" s="1563">
        <v>894.0</v>
      </c>
      <c r="D1066" s="1548">
        <v>21.7</v>
      </c>
      <c r="E1066" s="1557">
        <v>17357.0</v>
      </c>
      <c r="F1066" s="598">
        <v>307.0</v>
      </c>
      <c r="G1066" s="598">
        <v>34.0</v>
      </c>
      <c r="H1066" s="598">
        <v>46.0</v>
      </c>
      <c r="I1066" s="598">
        <v>1.0</v>
      </c>
      <c r="J1066" s="598">
        <v>169.0</v>
      </c>
      <c r="K1066" s="1561">
        <v>778.0</v>
      </c>
      <c r="L1066" s="1551">
        <v>51709.0</v>
      </c>
    </row>
    <row r="1067">
      <c r="A1067" s="1545" t="s">
        <v>589</v>
      </c>
      <c r="B1067" s="1587">
        <v>19288.0</v>
      </c>
      <c r="C1067" s="1547">
        <v>1291.0</v>
      </c>
      <c r="D1067" s="1548">
        <v>28.5</v>
      </c>
      <c r="E1067" s="1557">
        <v>17577.0</v>
      </c>
      <c r="F1067" s="598">
        <v>705.0</v>
      </c>
      <c r="G1067" s="598">
        <v>39.0</v>
      </c>
      <c r="H1067" s="598">
        <v>47.0</v>
      </c>
      <c r="I1067" s="598">
        <v>6.0</v>
      </c>
      <c r="J1067" s="598">
        <v>135.0</v>
      </c>
      <c r="K1067" s="1561">
        <v>779.0</v>
      </c>
      <c r="L1067" s="1551">
        <v>37038.0</v>
      </c>
    </row>
    <row r="1068">
      <c r="A1068" s="1545" t="s">
        <v>722</v>
      </c>
      <c r="B1068" s="1587">
        <v>44793.0</v>
      </c>
      <c r="C1068" s="1547">
        <v>2213.0</v>
      </c>
      <c r="D1068" s="1548">
        <v>21.6</v>
      </c>
      <c r="E1068" s="1557">
        <v>37648.0</v>
      </c>
      <c r="F1068" s="598">
        <v>3652.0</v>
      </c>
      <c r="G1068" s="598">
        <v>101.0</v>
      </c>
      <c r="H1068" s="598">
        <v>241.0</v>
      </c>
      <c r="I1068" s="598">
        <v>44.0</v>
      </c>
      <c r="J1068" s="598">
        <v>774.0</v>
      </c>
      <c r="K1068" s="1561">
        <v>2333.0</v>
      </c>
      <c r="L1068" s="1551">
        <v>51161.0</v>
      </c>
    </row>
    <row r="1069">
      <c r="A1069" s="1545" t="s">
        <v>140</v>
      </c>
      <c r="B1069" s="1587">
        <v>15678.0</v>
      </c>
      <c r="C1069" s="1563">
        <v>797.0</v>
      </c>
      <c r="D1069" s="1548">
        <v>21.7</v>
      </c>
      <c r="E1069" s="1557">
        <v>14215.0</v>
      </c>
      <c r="F1069" s="598">
        <v>372.0</v>
      </c>
      <c r="G1069" s="598">
        <v>60.0</v>
      </c>
      <c r="H1069" s="598">
        <v>36.0</v>
      </c>
      <c r="I1069" s="598">
        <v>0.0</v>
      </c>
      <c r="J1069" s="598">
        <v>260.0</v>
      </c>
      <c r="K1069" s="1561">
        <v>735.0</v>
      </c>
      <c r="L1069" s="1551">
        <v>53405.0</v>
      </c>
    </row>
    <row r="1070">
      <c r="A1070" s="1545" t="s">
        <v>1097</v>
      </c>
      <c r="B1070" s="1587">
        <v>4521.0</v>
      </c>
      <c r="C1070" s="1563">
        <v>228.0</v>
      </c>
      <c r="D1070" s="1548">
        <v>27.8</v>
      </c>
      <c r="E1070" s="1557">
        <v>3902.0</v>
      </c>
      <c r="F1070" s="598">
        <v>386.0</v>
      </c>
      <c r="G1070" s="598">
        <v>14.0</v>
      </c>
      <c r="H1070" s="598">
        <v>11.0</v>
      </c>
      <c r="I1070" s="598">
        <v>1.0</v>
      </c>
      <c r="J1070" s="598">
        <v>17.0</v>
      </c>
      <c r="K1070" s="1561">
        <v>190.0</v>
      </c>
      <c r="L1070" s="1551">
        <v>44290.0</v>
      </c>
    </row>
    <row r="1071">
      <c r="A1071" s="1545" t="s">
        <v>1099</v>
      </c>
      <c r="B1071" s="1587">
        <v>45423.0</v>
      </c>
      <c r="C1071" s="1547">
        <v>2342.0</v>
      </c>
      <c r="D1071" s="1548">
        <v>23.6</v>
      </c>
      <c r="E1071" s="1557">
        <v>39331.0</v>
      </c>
      <c r="F1071" s="598">
        <v>2947.0</v>
      </c>
      <c r="G1071" s="598">
        <v>98.0</v>
      </c>
      <c r="H1071" s="598">
        <v>232.0</v>
      </c>
      <c r="I1071" s="598">
        <v>29.0</v>
      </c>
      <c r="J1071" s="598">
        <v>540.0</v>
      </c>
      <c r="K1071" s="1561">
        <v>2246.0</v>
      </c>
      <c r="L1071" s="1551">
        <v>45512.0</v>
      </c>
    </row>
    <row r="1072">
      <c r="A1072" s="1545" t="s">
        <v>142</v>
      </c>
      <c r="B1072" s="1587">
        <v>12955.0</v>
      </c>
      <c r="C1072" s="1547">
        <v>1078.0</v>
      </c>
      <c r="D1072" s="1548">
        <v>36.5</v>
      </c>
      <c r="E1072" s="1557">
        <v>12559.0</v>
      </c>
      <c r="F1072" s="598">
        <v>12.0</v>
      </c>
      <c r="G1072" s="598">
        <v>41.0</v>
      </c>
      <c r="H1072" s="598">
        <v>19.0</v>
      </c>
      <c r="I1072" s="598">
        <v>4.0</v>
      </c>
      <c r="J1072" s="598">
        <v>29.0</v>
      </c>
      <c r="K1072" s="1561">
        <v>291.0</v>
      </c>
      <c r="L1072" s="1555">
        <v>35317.0</v>
      </c>
    </row>
    <row r="1073">
      <c r="A1073" s="1545" t="s">
        <v>143</v>
      </c>
      <c r="B1073" s="1587">
        <v>782969.0</v>
      </c>
      <c r="C1073" s="1547">
        <v>37248.0</v>
      </c>
      <c r="D1073" s="1548">
        <v>22.4</v>
      </c>
      <c r="E1073" s="1557">
        <v>499868.0</v>
      </c>
      <c r="F1073" s="598">
        <v>168910.0</v>
      </c>
      <c r="G1073" s="598">
        <v>2502.0</v>
      </c>
      <c r="H1073" s="598">
        <v>27115.0</v>
      </c>
      <c r="I1073" s="598">
        <v>612.0</v>
      </c>
      <c r="J1073" s="598">
        <v>26788.0</v>
      </c>
      <c r="K1073" s="1561">
        <v>57174.0</v>
      </c>
      <c r="L1073" s="1551">
        <v>55860.0</v>
      </c>
    </row>
    <row r="1074">
      <c r="A1074" s="1545" t="s">
        <v>1102</v>
      </c>
      <c r="B1074" s="1587">
        <v>52991.0</v>
      </c>
      <c r="C1074" s="1547">
        <v>2144.0</v>
      </c>
      <c r="D1074" s="1548">
        <v>17.0</v>
      </c>
      <c r="E1074" s="1557">
        <v>45878.0</v>
      </c>
      <c r="F1074" s="598">
        <v>2290.0</v>
      </c>
      <c r="G1074" s="598">
        <v>135.0</v>
      </c>
      <c r="H1074" s="598">
        <v>658.0</v>
      </c>
      <c r="I1074" s="598">
        <v>28.0</v>
      </c>
      <c r="J1074" s="598">
        <v>987.0</v>
      </c>
      <c r="K1074" s="1561">
        <v>3015.0</v>
      </c>
      <c r="L1074" s="1551">
        <v>59443.0</v>
      </c>
    </row>
    <row r="1075">
      <c r="A1075" s="1545" t="s">
        <v>288</v>
      </c>
      <c r="B1075" s="1587">
        <v>22680.0</v>
      </c>
      <c r="C1075" s="1547">
        <v>1384.0</v>
      </c>
      <c r="D1075" s="1548">
        <v>29.0</v>
      </c>
      <c r="E1075" s="1557">
        <v>21933.0</v>
      </c>
      <c r="F1075" s="598">
        <v>45.0</v>
      </c>
      <c r="G1075" s="598">
        <v>39.0</v>
      </c>
      <c r="H1075" s="598">
        <v>101.0</v>
      </c>
      <c r="I1075" s="598">
        <v>4.0</v>
      </c>
      <c r="J1075" s="598">
        <v>55.0</v>
      </c>
      <c r="K1075" s="1561">
        <v>503.0</v>
      </c>
      <c r="L1075" s="1555">
        <v>39381.0</v>
      </c>
    </row>
    <row r="1076">
      <c r="A1076" s="1545" t="s">
        <v>1105</v>
      </c>
      <c r="B1076" s="1587">
        <v>169064.0</v>
      </c>
      <c r="C1076" s="1547">
        <v>5423.0</v>
      </c>
      <c r="D1076" s="1548">
        <v>14.1</v>
      </c>
      <c r="E1076" s="1557">
        <v>143992.0</v>
      </c>
      <c r="F1076" s="598">
        <v>8195.0</v>
      </c>
      <c r="G1076" s="598">
        <v>445.0</v>
      </c>
      <c r="H1076" s="598">
        <v>2032.0</v>
      </c>
      <c r="I1076" s="598">
        <v>244.0</v>
      </c>
      <c r="J1076" s="598">
        <v>3658.0</v>
      </c>
      <c r="K1076" s="1561">
        <v>10498.0</v>
      </c>
      <c r="L1076" s="1551">
        <v>64644.0</v>
      </c>
    </row>
    <row r="1077">
      <c r="A1077" s="1545" t="s">
        <v>1107</v>
      </c>
      <c r="B1077" s="1587">
        <v>14251.0</v>
      </c>
      <c r="C1077" s="1547">
        <v>1232.0</v>
      </c>
      <c r="D1077" s="1548">
        <v>41.4</v>
      </c>
      <c r="E1077" s="1557">
        <v>13861.0</v>
      </c>
      <c r="F1077" s="598">
        <v>67.0</v>
      </c>
      <c r="G1077" s="598">
        <v>9.0</v>
      </c>
      <c r="H1077" s="598">
        <v>18.0</v>
      </c>
      <c r="I1077" s="598">
        <v>1.0</v>
      </c>
      <c r="J1077" s="598">
        <v>21.0</v>
      </c>
      <c r="K1077" s="1561">
        <v>274.0</v>
      </c>
      <c r="L1077" s="1551">
        <v>32228.0</v>
      </c>
    </row>
    <row r="1078">
      <c r="A1078" s="1545" t="s">
        <v>728</v>
      </c>
      <c r="B1078" s="1587">
        <v>30193.0</v>
      </c>
      <c r="C1078" s="1547">
        <v>3164.0</v>
      </c>
      <c r="D1078" s="1548">
        <v>44.5</v>
      </c>
      <c r="E1078" s="1557">
        <v>28616.0</v>
      </c>
      <c r="F1078" s="598">
        <v>296.0</v>
      </c>
      <c r="G1078" s="598">
        <v>87.0</v>
      </c>
      <c r="H1078" s="598">
        <v>85.0</v>
      </c>
      <c r="I1078" s="598">
        <v>1.0</v>
      </c>
      <c r="J1078" s="598">
        <v>109.0</v>
      </c>
      <c r="K1078" s="1561">
        <v>999.0</v>
      </c>
      <c r="L1078" s="1551">
        <v>30742.0</v>
      </c>
    </row>
    <row r="1079">
      <c r="A1079" s="1545" t="s">
        <v>1110</v>
      </c>
      <c r="B1079" s="1587">
        <v>14867.0</v>
      </c>
      <c r="C1079" s="1563">
        <v>682.0</v>
      </c>
      <c r="D1079" s="1548">
        <v>22.2</v>
      </c>
      <c r="E1079" s="1557">
        <v>13490.0</v>
      </c>
      <c r="F1079" s="598">
        <v>377.0</v>
      </c>
      <c r="G1079" s="598">
        <v>56.0</v>
      </c>
      <c r="H1079" s="598">
        <v>29.0</v>
      </c>
      <c r="I1079" s="598">
        <v>18.0</v>
      </c>
      <c r="J1079" s="598">
        <v>204.0</v>
      </c>
      <c r="K1079" s="1561">
        <v>693.0</v>
      </c>
      <c r="L1079" s="1551">
        <v>45458.0</v>
      </c>
    </row>
    <row r="1080">
      <c r="A1080" s="1545" t="s">
        <v>1111</v>
      </c>
      <c r="B1080" s="1587">
        <v>62613.0</v>
      </c>
      <c r="C1080" s="1547">
        <v>4024.0</v>
      </c>
      <c r="D1080" s="1548">
        <v>29.4</v>
      </c>
      <c r="E1080" s="1557">
        <v>58888.0</v>
      </c>
      <c r="F1080" s="598">
        <v>447.0</v>
      </c>
      <c r="G1080" s="598">
        <v>169.0</v>
      </c>
      <c r="H1080" s="598">
        <v>429.0</v>
      </c>
      <c r="I1080" s="598">
        <v>4.0</v>
      </c>
      <c r="J1080" s="598">
        <v>410.0</v>
      </c>
      <c r="K1080" s="1561">
        <v>2266.0</v>
      </c>
      <c r="L1080" s="1551">
        <v>41425.0</v>
      </c>
    </row>
    <row r="1081">
      <c r="A1081" s="1545" t="s">
        <v>146</v>
      </c>
      <c r="B1081" s="1587">
        <v>16293.0</v>
      </c>
      <c r="C1081" s="1547">
        <v>1118.0</v>
      </c>
      <c r="D1081" s="1548">
        <v>31.1</v>
      </c>
      <c r="E1081" s="1557">
        <v>15787.0</v>
      </c>
      <c r="F1081" s="598">
        <v>36.0</v>
      </c>
      <c r="G1081" s="598">
        <v>2.0</v>
      </c>
      <c r="H1081" s="598">
        <v>23.0</v>
      </c>
      <c r="I1081" s="598">
        <v>4.0</v>
      </c>
      <c r="J1081" s="598">
        <v>46.0</v>
      </c>
      <c r="K1081" s="1561">
        <v>395.0</v>
      </c>
      <c r="L1081" s="1551">
        <v>36667.0</v>
      </c>
    </row>
    <row r="1082">
      <c r="A1082" s="1545" t="s">
        <v>147</v>
      </c>
      <c r="B1082" s="1587">
        <v>7395.0</v>
      </c>
      <c r="C1082" s="1563">
        <v>570.0</v>
      </c>
      <c r="D1082" s="1548">
        <v>43.7</v>
      </c>
      <c r="E1082" s="1557">
        <v>6909.0</v>
      </c>
      <c r="F1082" s="598">
        <v>280.0</v>
      </c>
      <c r="G1082" s="598">
        <v>2.0</v>
      </c>
      <c r="H1082" s="598">
        <v>0.0</v>
      </c>
      <c r="I1082" s="598">
        <v>0.0</v>
      </c>
      <c r="J1082" s="598">
        <v>35.0</v>
      </c>
      <c r="K1082" s="1561">
        <v>169.0</v>
      </c>
      <c r="L1082" s="1551">
        <v>29124.0</v>
      </c>
    </row>
    <row r="1083">
      <c r="A1083" s="1545" t="s">
        <v>1115</v>
      </c>
      <c r="B1083" s="1587">
        <v>10513.0</v>
      </c>
      <c r="C1083" s="1563">
        <v>833.0</v>
      </c>
      <c r="D1083" s="1548">
        <v>38.8</v>
      </c>
      <c r="E1083" s="1557">
        <v>10197.0</v>
      </c>
      <c r="F1083" s="598">
        <v>45.0</v>
      </c>
      <c r="G1083" s="598">
        <v>22.0</v>
      </c>
      <c r="H1083" s="598">
        <v>16.0</v>
      </c>
      <c r="I1083" s="598">
        <v>0.0</v>
      </c>
      <c r="J1083" s="598">
        <v>11.0</v>
      </c>
      <c r="K1083" s="1561">
        <v>222.0</v>
      </c>
      <c r="L1083" s="1551">
        <v>31921.0</v>
      </c>
    </row>
    <row r="1084">
      <c r="A1084" s="1545" t="s">
        <v>1116</v>
      </c>
      <c r="B1084" s="1587">
        <v>21548.0</v>
      </c>
      <c r="C1084" s="1547">
        <v>1662.0</v>
      </c>
      <c r="D1084" s="1548">
        <v>36.0</v>
      </c>
      <c r="E1084" s="1557">
        <v>20841.0</v>
      </c>
      <c r="F1084" s="598">
        <v>92.0</v>
      </c>
      <c r="G1084" s="598">
        <v>34.0</v>
      </c>
      <c r="H1084" s="598">
        <v>57.0</v>
      </c>
      <c r="I1084" s="598">
        <v>0.0</v>
      </c>
      <c r="J1084" s="598">
        <v>38.0</v>
      </c>
      <c r="K1084" s="1561">
        <v>486.0</v>
      </c>
      <c r="L1084" s="1551">
        <v>32321.0</v>
      </c>
    </row>
    <row r="1085">
      <c r="A1085" s="1545" t="s">
        <v>682</v>
      </c>
      <c r="B1085" s="1587">
        <v>13080.0</v>
      </c>
      <c r="C1085" s="1563">
        <v>919.0</v>
      </c>
      <c r="D1085" s="1548">
        <v>33.1</v>
      </c>
      <c r="E1085" s="1557">
        <v>12633.0</v>
      </c>
      <c r="F1085" s="598">
        <v>36.0</v>
      </c>
      <c r="G1085" s="598">
        <v>18.0</v>
      </c>
      <c r="H1085" s="598">
        <v>9.0</v>
      </c>
      <c r="I1085" s="598">
        <v>4.0</v>
      </c>
      <c r="J1085" s="598">
        <v>25.0</v>
      </c>
      <c r="K1085" s="1561">
        <v>355.0</v>
      </c>
      <c r="L1085" s="1551">
        <v>35751.0</v>
      </c>
    </row>
    <row r="1086">
      <c r="A1086" s="1545" t="s">
        <v>290</v>
      </c>
      <c r="B1086" s="1587">
        <v>24275.0</v>
      </c>
      <c r="C1086" s="1547">
        <v>1642.0</v>
      </c>
      <c r="D1086" s="1548">
        <v>28.7</v>
      </c>
      <c r="E1086" s="1557">
        <v>22671.0</v>
      </c>
      <c r="F1086" s="598">
        <v>470.0</v>
      </c>
      <c r="G1086" s="598">
        <v>40.0</v>
      </c>
      <c r="H1086" s="598">
        <v>60.0</v>
      </c>
      <c r="I1086" s="598">
        <v>2.0</v>
      </c>
      <c r="J1086" s="598">
        <v>183.0</v>
      </c>
      <c r="K1086" s="1561">
        <v>849.0</v>
      </c>
      <c r="L1086" s="1551">
        <v>42190.0</v>
      </c>
    </row>
    <row r="1087">
      <c r="A1087" s="1545" t="s">
        <v>730</v>
      </c>
      <c r="B1087" s="1587">
        <v>8888.0</v>
      </c>
      <c r="C1087" s="1563">
        <v>426.0</v>
      </c>
      <c r="D1087" s="1548">
        <v>23.3</v>
      </c>
      <c r="E1087" s="1557">
        <v>8287.0</v>
      </c>
      <c r="F1087" s="598">
        <v>25.0</v>
      </c>
      <c r="G1087" s="598">
        <v>25.0</v>
      </c>
      <c r="H1087" s="598">
        <v>15.0</v>
      </c>
      <c r="I1087" s="598">
        <v>6.0</v>
      </c>
      <c r="J1087" s="598">
        <v>81.0</v>
      </c>
      <c r="K1087" s="1561">
        <v>449.0</v>
      </c>
      <c r="L1087" s="1551">
        <v>48182.0</v>
      </c>
    </row>
    <row r="1088">
      <c r="A1088" s="1545" t="s">
        <v>293</v>
      </c>
      <c r="B1088" s="1587">
        <v>27432.0</v>
      </c>
      <c r="C1088" s="1547">
        <v>1626.0</v>
      </c>
      <c r="D1088" s="1548">
        <v>26.5</v>
      </c>
      <c r="E1088" s="1557">
        <v>23902.0</v>
      </c>
      <c r="F1088" s="598">
        <v>1682.0</v>
      </c>
      <c r="G1088" s="598">
        <v>59.0</v>
      </c>
      <c r="H1088" s="598">
        <v>95.0</v>
      </c>
      <c r="I1088" s="598">
        <v>2.0</v>
      </c>
      <c r="J1088" s="598">
        <v>486.0</v>
      </c>
      <c r="K1088" s="1561">
        <v>1206.0</v>
      </c>
      <c r="L1088" s="1551">
        <v>46742.0</v>
      </c>
    </row>
    <row r="1089">
      <c r="A1089" s="1545" t="s">
        <v>910</v>
      </c>
      <c r="B1089" s="1587">
        <v>8680.0</v>
      </c>
      <c r="C1089" s="1563">
        <v>228.0</v>
      </c>
      <c r="D1089" s="1548">
        <v>20.1</v>
      </c>
      <c r="E1089" s="1557">
        <v>7772.0</v>
      </c>
      <c r="F1089" s="598">
        <v>510.0</v>
      </c>
      <c r="G1089" s="598">
        <v>27.0</v>
      </c>
      <c r="H1089" s="598">
        <v>34.0</v>
      </c>
      <c r="I1089" s="598">
        <v>1.0</v>
      </c>
      <c r="J1089" s="598">
        <v>84.0</v>
      </c>
      <c r="K1089" s="1561">
        <v>252.0</v>
      </c>
      <c r="L1089" s="1555">
        <v>48395.0</v>
      </c>
    </row>
    <row r="1090">
      <c r="A1090" s="1545" t="s">
        <v>1117</v>
      </c>
      <c r="B1090" s="1587">
        <v>67875.0</v>
      </c>
      <c r="C1090" s="1547">
        <v>3083.0</v>
      </c>
      <c r="D1090" s="1548">
        <v>21.7</v>
      </c>
      <c r="E1090" s="1557">
        <v>54304.0</v>
      </c>
      <c r="F1090" s="598">
        <v>7598.0</v>
      </c>
      <c r="G1090" s="598">
        <v>214.0</v>
      </c>
      <c r="H1090" s="598">
        <v>663.0</v>
      </c>
      <c r="I1090" s="598">
        <v>18.0</v>
      </c>
      <c r="J1090" s="598">
        <v>975.0</v>
      </c>
      <c r="K1090" s="1561">
        <v>4103.0</v>
      </c>
      <c r="L1090" s="1551">
        <v>48950.0</v>
      </c>
    </row>
    <row r="1091">
      <c r="A1091" s="1545" t="s">
        <v>1118</v>
      </c>
      <c r="B1091" s="1587">
        <v>16888.0</v>
      </c>
      <c r="C1091" s="1547">
        <v>1437.0</v>
      </c>
      <c r="D1091" s="1548">
        <v>39.4</v>
      </c>
      <c r="E1091" s="1557">
        <v>15315.0</v>
      </c>
      <c r="F1091" s="598">
        <v>916.0</v>
      </c>
      <c r="G1091" s="598">
        <v>64.0</v>
      </c>
      <c r="H1091" s="598">
        <v>32.0</v>
      </c>
      <c r="I1091" s="598">
        <v>3.0</v>
      </c>
      <c r="J1091" s="598">
        <v>69.0</v>
      </c>
      <c r="K1091" s="1561">
        <v>489.0</v>
      </c>
      <c r="L1091" s="1551">
        <v>30029.0</v>
      </c>
    </row>
    <row r="1092">
      <c r="A1092" s="1545" t="s">
        <v>2515</v>
      </c>
      <c r="B1092" s="1587">
        <v>9152.0</v>
      </c>
      <c r="C1092" s="1563">
        <v>409.0</v>
      </c>
      <c r="D1092" s="1548">
        <v>19.0</v>
      </c>
      <c r="E1092" s="1557">
        <v>8737.0</v>
      </c>
      <c r="F1092" s="598">
        <v>49.0</v>
      </c>
      <c r="G1092" s="598">
        <v>10.0</v>
      </c>
      <c r="H1092" s="598">
        <v>13.0</v>
      </c>
      <c r="I1092" s="598">
        <v>2.0</v>
      </c>
      <c r="J1092" s="598">
        <v>78.0</v>
      </c>
      <c r="K1092" s="1561">
        <v>263.0</v>
      </c>
      <c r="L1092" s="1555">
        <v>48080.0</v>
      </c>
    </row>
    <row r="1093">
      <c r="A1093" s="1545" t="s">
        <v>151</v>
      </c>
      <c r="B1093" s="1587">
        <v>92701.0</v>
      </c>
      <c r="C1093" s="1547">
        <v>3280.0</v>
      </c>
      <c r="D1093" s="1548">
        <v>17.6</v>
      </c>
      <c r="E1093" s="1557">
        <v>80557.0</v>
      </c>
      <c r="F1093" s="598">
        <v>3963.0</v>
      </c>
      <c r="G1093" s="598">
        <v>271.0</v>
      </c>
      <c r="H1093" s="598">
        <v>1006.0</v>
      </c>
      <c r="I1093" s="598">
        <v>60.0</v>
      </c>
      <c r="J1093" s="598">
        <v>1218.0</v>
      </c>
      <c r="K1093" s="1561">
        <v>5626.0</v>
      </c>
      <c r="L1093" s="1551">
        <v>51897.0</v>
      </c>
    </row>
    <row r="1094">
      <c r="A1094" s="1545" t="s">
        <v>1119</v>
      </c>
      <c r="B1094" s="1587">
        <v>11637.0</v>
      </c>
      <c r="C1094" s="1547">
        <v>1018.0</v>
      </c>
      <c r="D1094" s="1548">
        <v>37.6</v>
      </c>
      <c r="E1094" s="1557">
        <v>11360.0</v>
      </c>
      <c r="F1094" s="598">
        <v>14.0</v>
      </c>
      <c r="G1094" s="598">
        <v>14.0</v>
      </c>
      <c r="H1094" s="598">
        <v>5.0</v>
      </c>
      <c r="I1094" s="598">
        <v>6.0</v>
      </c>
      <c r="J1094" s="598">
        <v>32.0</v>
      </c>
      <c r="K1094" s="1561">
        <v>206.0</v>
      </c>
      <c r="L1094" s="1551">
        <v>30950.0</v>
      </c>
    </row>
    <row r="1095">
      <c r="A1095" s="1545" t="s">
        <v>153</v>
      </c>
      <c r="B1095" s="1587">
        <v>19581.0</v>
      </c>
      <c r="C1095" s="1547">
        <v>1030.0</v>
      </c>
      <c r="D1095" s="1548">
        <v>22.3</v>
      </c>
      <c r="E1095" s="1557">
        <v>16948.0</v>
      </c>
      <c r="F1095" s="598">
        <v>1214.0</v>
      </c>
      <c r="G1095" s="598">
        <v>23.0</v>
      </c>
      <c r="H1095" s="598">
        <v>134.0</v>
      </c>
      <c r="I1095" s="598">
        <v>47.0</v>
      </c>
      <c r="J1095" s="598">
        <v>339.0</v>
      </c>
      <c r="K1095" s="1561">
        <v>876.0</v>
      </c>
      <c r="L1095" s="1551">
        <v>45661.0</v>
      </c>
    </row>
    <row r="1096">
      <c r="A1096" s="1545" t="s">
        <v>154</v>
      </c>
      <c r="B1096" s="1587">
        <v>31659.0</v>
      </c>
      <c r="C1096" s="1547">
        <v>1104.0</v>
      </c>
      <c r="D1096" s="1548">
        <v>17.6</v>
      </c>
      <c r="E1096" s="1557">
        <v>29908.0</v>
      </c>
      <c r="F1096" s="598">
        <v>101.0</v>
      </c>
      <c r="G1096" s="598">
        <v>69.0</v>
      </c>
      <c r="H1096" s="598">
        <v>136.0</v>
      </c>
      <c r="I1096" s="598">
        <v>9.0</v>
      </c>
      <c r="J1096" s="598">
        <v>155.0</v>
      </c>
      <c r="K1096" s="1561">
        <v>1281.0</v>
      </c>
      <c r="L1096" s="1551">
        <v>52388.0</v>
      </c>
    </row>
    <row r="1097">
      <c r="A1097" s="1545" t="s">
        <v>510</v>
      </c>
      <c r="B1097" s="1587">
        <v>11287.0</v>
      </c>
      <c r="C1097" s="1563">
        <v>961.0</v>
      </c>
      <c r="D1097" s="1548">
        <v>44.1</v>
      </c>
      <c r="E1097" s="1557">
        <v>10259.0</v>
      </c>
      <c r="F1097" s="598">
        <v>796.0</v>
      </c>
      <c r="G1097" s="598">
        <v>42.0</v>
      </c>
      <c r="H1097" s="598">
        <v>17.0</v>
      </c>
      <c r="I1097" s="598">
        <v>1.0</v>
      </c>
      <c r="J1097" s="598">
        <v>5.0</v>
      </c>
      <c r="K1097" s="1561">
        <v>167.0</v>
      </c>
      <c r="L1097" s="1551">
        <v>28925.0</v>
      </c>
    </row>
    <row r="1098">
      <c r="A1098" s="1545" t="s">
        <v>735</v>
      </c>
      <c r="B1098" s="1587">
        <v>17120.0</v>
      </c>
      <c r="C1098" s="1563">
        <v>970.0</v>
      </c>
      <c r="D1098" s="1548">
        <v>24.8</v>
      </c>
      <c r="E1098" s="1557">
        <v>14867.0</v>
      </c>
      <c r="F1098" s="598">
        <v>1024.0</v>
      </c>
      <c r="G1098" s="598">
        <v>40.0</v>
      </c>
      <c r="H1098" s="598">
        <v>111.0</v>
      </c>
      <c r="I1098" s="598">
        <v>0.0</v>
      </c>
      <c r="J1098" s="598">
        <v>168.0</v>
      </c>
      <c r="K1098" s="1561">
        <v>910.0</v>
      </c>
      <c r="L1098" s="1551">
        <v>41807.0</v>
      </c>
    </row>
    <row r="1099">
      <c r="A1099" s="1545" t="s">
        <v>989</v>
      </c>
      <c r="B1099" s="1587">
        <v>30003.0</v>
      </c>
      <c r="C1099" s="1563">
        <v>985.0</v>
      </c>
      <c r="D1099" s="1548">
        <v>15.7</v>
      </c>
      <c r="E1099" s="1557">
        <v>26321.0</v>
      </c>
      <c r="F1099" s="598">
        <v>987.0</v>
      </c>
      <c r="G1099" s="598">
        <v>139.0</v>
      </c>
      <c r="H1099" s="598">
        <v>218.0</v>
      </c>
      <c r="I1099" s="598">
        <v>74.0</v>
      </c>
      <c r="J1099" s="598">
        <v>341.0</v>
      </c>
      <c r="K1099" s="1561">
        <v>1923.0</v>
      </c>
      <c r="L1099" s="1551">
        <v>57613.0</v>
      </c>
    </row>
    <row r="1100">
      <c r="A1100" s="1545" t="s">
        <v>1121</v>
      </c>
      <c r="B1100" s="1587">
        <v>6113.0</v>
      </c>
      <c r="C1100" s="1563">
        <v>446.0</v>
      </c>
      <c r="D1100" s="1548">
        <v>39.2</v>
      </c>
      <c r="E1100" s="1557">
        <v>5891.0</v>
      </c>
      <c r="F1100" s="598">
        <v>30.0</v>
      </c>
      <c r="G1100" s="598">
        <v>12.0</v>
      </c>
      <c r="H1100" s="598">
        <v>2.0</v>
      </c>
      <c r="I1100" s="598">
        <v>2.0</v>
      </c>
      <c r="J1100" s="598">
        <v>14.0</v>
      </c>
      <c r="K1100" s="1561">
        <v>162.0</v>
      </c>
      <c r="L1100" s="1551">
        <v>34002.0</v>
      </c>
    </row>
    <row r="1101">
      <c r="A1101" s="1545" t="s">
        <v>738</v>
      </c>
      <c r="B1101" s="1587">
        <v>22641.0</v>
      </c>
      <c r="C1101" s="1563">
        <v>973.0</v>
      </c>
      <c r="D1101" s="1548">
        <v>20.8</v>
      </c>
      <c r="E1101" s="1557">
        <v>20268.0</v>
      </c>
      <c r="F1101" s="598">
        <v>768.0</v>
      </c>
      <c r="G1101" s="598">
        <v>62.0</v>
      </c>
      <c r="H1101" s="598">
        <v>74.0</v>
      </c>
      <c r="I1101" s="598">
        <v>14.0</v>
      </c>
      <c r="J1101" s="598">
        <v>362.0</v>
      </c>
      <c r="K1101" s="1561">
        <v>1093.0</v>
      </c>
      <c r="L1101" s="1551">
        <v>53921.0</v>
      </c>
    </row>
    <row r="1102">
      <c r="A1102" s="1545" t="s">
        <v>1122</v>
      </c>
      <c r="B1102" s="1587">
        <v>10286.0</v>
      </c>
      <c r="C1102" s="1563">
        <v>850.0</v>
      </c>
      <c r="D1102" s="1548">
        <v>37.0</v>
      </c>
      <c r="E1102" s="1557">
        <v>9701.0</v>
      </c>
      <c r="F1102" s="598">
        <v>117.0</v>
      </c>
      <c r="G1102" s="598">
        <v>5.0</v>
      </c>
      <c r="H1102" s="598">
        <v>7.0</v>
      </c>
      <c r="I1102" s="598">
        <v>0.0</v>
      </c>
      <c r="J1102" s="598">
        <v>136.0</v>
      </c>
      <c r="K1102" s="1561">
        <v>320.0</v>
      </c>
      <c r="L1102" s="1551">
        <v>35906.0</v>
      </c>
    </row>
    <row r="1103">
      <c r="A1103" s="1545" t="s">
        <v>156</v>
      </c>
      <c r="B1103" s="1587">
        <v>11338.0</v>
      </c>
      <c r="C1103" s="1563">
        <v>813.0</v>
      </c>
      <c r="D1103" s="1548">
        <v>34.6</v>
      </c>
      <c r="E1103" s="1557">
        <v>10489.0</v>
      </c>
      <c r="F1103" s="598">
        <v>218.0</v>
      </c>
      <c r="G1103" s="598">
        <v>39.0</v>
      </c>
      <c r="H1103" s="598">
        <v>11.0</v>
      </c>
      <c r="I1103" s="598">
        <v>0.0</v>
      </c>
      <c r="J1103" s="598">
        <v>270.0</v>
      </c>
      <c r="K1103" s="1561">
        <v>311.0</v>
      </c>
      <c r="L1103" s="1551">
        <v>35596.0</v>
      </c>
    </row>
    <row r="1104">
      <c r="A1104" s="1545" t="s">
        <v>157</v>
      </c>
      <c r="B1104" s="1587">
        <v>28114.0</v>
      </c>
      <c r="C1104" s="1547">
        <v>1358.0</v>
      </c>
      <c r="D1104" s="1548">
        <v>21.1</v>
      </c>
      <c r="E1104" s="1557">
        <v>25566.0</v>
      </c>
      <c r="F1104" s="598">
        <v>621.0</v>
      </c>
      <c r="G1104" s="598">
        <v>57.0</v>
      </c>
      <c r="H1104" s="598">
        <v>146.0</v>
      </c>
      <c r="I1104" s="598">
        <v>1.0</v>
      </c>
      <c r="J1104" s="598">
        <v>468.0</v>
      </c>
      <c r="K1104" s="1561">
        <v>1255.0</v>
      </c>
      <c r="L1104" s="1551">
        <v>46629.0</v>
      </c>
    </row>
    <row r="1105">
      <c r="A1105" s="1545" t="s">
        <v>158</v>
      </c>
      <c r="B1105" s="1587">
        <v>13726.0</v>
      </c>
      <c r="C1105" s="1563">
        <v>754.0</v>
      </c>
      <c r="D1105" s="1548">
        <v>32.2</v>
      </c>
      <c r="E1105" s="1557">
        <v>12570.0</v>
      </c>
      <c r="F1105" s="598">
        <v>496.0</v>
      </c>
      <c r="G1105" s="598">
        <v>20.0</v>
      </c>
      <c r="H1105" s="598">
        <v>17.0</v>
      </c>
      <c r="I1105" s="598">
        <v>4.0</v>
      </c>
      <c r="J1105" s="598">
        <v>66.0</v>
      </c>
      <c r="K1105" s="1561">
        <v>553.0</v>
      </c>
      <c r="L1105" s="1551">
        <v>35848.0</v>
      </c>
    </row>
    <row r="1106">
      <c r="A1106" s="1545" t="s">
        <v>1124</v>
      </c>
      <c r="B1106" s="1587">
        <v>30928.0</v>
      </c>
      <c r="C1106" s="1547">
        <v>1395.0</v>
      </c>
      <c r="D1106" s="1548">
        <v>22.7</v>
      </c>
      <c r="E1106" s="1557">
        <v>28366.0</v>
      </c>
      <c r="F1106" s="598">
        <v>1215.0</v>
      </c>
      <c r="G1106" s="598">
        <v>65.0</v>
      </c>
      <c r="H1106" s="598">
        <v>59.0</v>
      </c>
      <c r="I1106" s="598">
        <v>3.0</v>
      </c>
      <c r="J1106" s="598">
        <v>222.0</v>
      </c>
      <c r="K1106" s="1561">
        <v>998.0</v>
      </c>
      <c r="L1106" s="1551">
        <v>43722.0</v>
      </c>
    </row>
    <row r="1107">
      <c r="A1107" s="1545" t="s">
        <v>1125</v>
      </c>
      <c r="B1107" s="1587">
        <v>46738.0</v>
      </c>
      <c r="C1107" s="1547">
        <v>1725.0</v>
      </c>
      <c r="D1107" s="1548">
        <v>16.4</v>
      </c>
      <c r="E1107" s="1557">
        <v>41500.0</v>
      </c>
      <c r="F1107" s="598">
        <v>2200.0</v>
      </c>
      <c r="G1107" s="598">
        <v>95.0</v>
      </c>
      <c r="H1107" s="598">
        <v>268.0</v>
      </c>
      <c r="I1107" s="598">
        <v>8.0</v>
      </c>
      <c r="J1107" s="598">
        <v>462.0</v>
      </c>
      <c r="K1107" s="1561">
        <v>2205.0</v>
      </c>
      <c r="L1107" s="1551">
        <v>55602.0</v>
      </c>
    </row>
    <row r="1108">
      <c r="A1108" s="1545" t="s">
        <v>1126</v>
      </c>
      <c r="B1108" s="1587">
        <v>7537.0</v>
      </c>
      <c r="C1108" s="1563">
        <v>470.0</v>
      </c>
      <c r="D1108" s="1548">
        <v>28.2</v>
      </c>
      <c r="E1108" s="1557">
        <v>7178.0</v>
      </c>
      <c r="F1108" s="598">
        <v>41.0</v>
      </c>
      <c r="G1108" s="598">
        <v>15.0</v>
      </c>
      <c r="H1108" s="598">
        <v>7.0</v>
      </c>
      <c r="I1108" s="598">
        <v>3.0</v>
      </c>
      <c r="J1108" s="598">
        <v>66.0</v>
      </c>
      <c r="K1108" s="1561">
        <v>227.0</v>
      </c>
      <c r="L1108" s="1551">
        <v>41428.0</v>
      </c>
    </row>
    <row r="1109">
      <c r="A1109" s="1545" t="s">
        <v>100</v>
      </c>
      <c r="B1109" s="1587">
        <v>23772.0</v>
      </c>
      <c r="C1109" s="1547">
        <v>1432.0</v>
      </c>
      <c r="D1109" s="1548">
        <v>25.0</v>
      </c>
      <c r="E1109" s="1557">
        <v>22070.0</v>
      </c>
      <c r="F1109" s="598">
        <v>166.0</v>
      </c>
      <c r="G1109" s="598">
        <v>57.0</v>
      </c>
      <c r="H1109" s="598">
        <v>45.0</v>
      </c>
      <c r="I1109" s="598">
        <v>3.0</v>
      </c>
      <c r="J1109" s="598">
        <v>644.0</v>
      </c>
      <c r="K1109" s="1561">
        <v>787.0</v>
      </c>
      <c r="L1109" s="1555">
        <v>44751.0</v>
      </c>
    </row>
    <row r="1110">
      <c r="A1110" s="1545" t="s">
        <v>1127</v>
      </c>
      <c r="B1110" s="1587">
        <v>67607.0</v>
      </c>
      <c r="C1110" s="1563">
        <v>846.0</v>
      </c>
      <c r="D1110" s="1548">
        <v>5.1</v>
      </c>
      <c r="E1110" s="1557">
        <v>58537.0</v>
      </c>
      <c r="F1110" s="598">
        <v>2244.0</v>
      </c>
      <c r="G1110" s="598">
        <v>200.0</v>
      </c>
      <c r="H1110" s="598">
        <v>1177.0</v>
      </c>
      <c r="I1110" s="598">
        <v>17.0</v>
      </c>
      <c r="J1110" s="598">
        <v>1162.0</v>
      </c>
      <c r="K1110" s="1561">
        <v>4270.0</v>
      </c>
      <c r="L1110" s="1551">
        <v>102136.0</v>
      </c>
    </row>
    <row r="1111">
      <c r="A1111" s="1545" t="s">
        <v>802</v>
      </c>
      <c r="B1111" s="1587">
        <v>11278.0</v>
      </c>
      <c r="C1111" s="1563">
        <v>514.0</v>
      </c>
      <c r="D1111" s="1548">
        <v>21.9</v>
      </c>
      <c r="E1111" s="1557">
        <v>10550.0</v>
      </c>
      <c r="F1111" s="598">
        <v>83.0</v>
      </c>
      <c r="G1111" s="598">
        <v>26.0</v>
      </c>
      <c r="H1111" s="598">
        <v>18.0</v>
      </c>
      <c r="I1111" s="598">
        <v>4.0</v>
      </c>
      <c r="J1111" s="598">
        <v>132.0</v>
      </c>
      <c r="K1111" s="1561">
        <v>465.0</v>
      </c>
      <c r="L1111" s="1551">
        <v>48998.0</v>
      </c>
    </row>
    <row r="1112">
      <c r="A1112" s="1545" t="s">
        <v>1128</v>
      </c>
      <c r="B1112" s="1587">
        <v>4051.0</v>
      </c>
      <c r="C1112" s="1563">
        <v>470.0</v>
      </c>
      <c r="D1112" s="1548">
        <v>47.8</v>
      </c>
      <c r="E1112" s="1557">
        <v>3905.0</v>
      </c>
      <c r="F1112" s="598">
        <v>14.0</v>
      </c>
      <c r="G1112" s="598">
        <v>6.0</v>
      </c>
      <c r="H1112" s="598">
        <v>3.0</v>
      </c>
      <c r="I1112" s="598">
        <v>5.0</v>
      </c>
      <c r="J1112" s="598">
        <v>5.0</v>
      </c>
      <c r="K1112" s="1561">
        <v>113.0</v>
      </c>
      <c r="L1112" s="1551">
        <v>26278.0</v>
      </c>
    </row>
    <row r="1113">
      <c r="A1113" s="1545" t="s">
        <v>1129</v>
      </c>
      <c r="B1113" s="1587">
        <v>14644.0</v>
      </c>
      <c r="C1113" s="1563">
        <v>722.0</v>
      </c>
      <c r="D1113" s="1548">
        <v>22.7</v>
      </c>
      <c r="E1113" s="1557">
        <v>13904.0</v>
      </c>
      <c r="F1113" s="598">
        <v>56.0</v>
      </c>
      <c r="G1113" s="598">
        <v>21.0</v>
      </c>
      <c r="H1113" s="598">
        <v>30.0</v>
      </c>
      <c r="I1113" s="598">
        <v>4.0</v>
      </c>
      <c r="J1113" s="598">
        <v>105.0</v>
      </c>
      <c r="K1113" s="1561">
        <v>524.0</v>
      </c>
      <c r="L1113" s="1551">
        <v>54583.0</v>
      </c>
    </row>
    <row r="1114">
      <c r="A1114" s="1545" t="s">
        <v>159</v>
      </c>
      <c r="B1114" s="1587">
        <v>28473.0</v>
      </c>
      <c r="C1114" s="1547">
        <v>2144.0</v>
      </c>
      <c r="D1114" s="1548">
        <v>37.0</v>
      </c>
      <c r="E1114" s="1557">
        <v>26820.0</v>
      </c>
      <c r="F1114" s="598">
        <v>375.0</v>
      </c>
      <c r="G1114" s="598">
        <v>57.0</v>
      </c>
      <c r="H1114" s="598">
        <v>255.0</v>
      </c>
      <c r="I1114" s="598">
        <v>1.0</v>
      </c>
      <c r="J1114" s="598">
        <v>102.0</v>
      </c>
      <c r="K1114" s="1561">
        <v>863.0</v>
      </c>
      <c r="L1114" s="1551">
        <v>33108.0</v>
      </c>
    </row>
    <row r="1115">
      <c r="A1115" s="1545" t="s">
        <v>162</v>
      </c>
      <c r="B1115" s="1587">
        <v>58669.0</v>
      </c>
      <c r="C1115" s="1547">
        <v>3696.0</v>
      </c>
      <c r="D1115" s="1548">
        <v>31.5</v>
      </c>
      <c r="E1115" s="1557">
        <v>55974.0</v>
      </c>
      <c r="F1115" s="598">
        <v>496.0</v>
      </c>
      <c r="G1115" s="598">
        <v>81.0</v>
      </c>
      <c r="H1115" s="598">
        <v>373.0</v>
      </c>
      <c r="I1115" s="598">
        <v>14.0</v>
      </c>
      <c r="J1115" s="598">
        <v>253.0</v>
      </c>
      <c r="K1115" s="1561">
        <v>1478.0</v>
      </c>
      <c r="L1115" s="1551">
        <v>37124.0</v>
      </c>
    </row>
    <row r="1116">
      <c r="A1116" s="1545" t="s">
        <v>1130</v>
      </c>
      <c r="B1116" s="1587">
        <v>13129.0</v>
      </c>
      <c r="C1116" s="1563">
        <v>949.0</v>
      </c>
      <c r="D1116" s="1548">
        <v>32.9</v>
      </c>
      <c r="E1116" s="1557">
        <v>12559.0</v>
      </c>
      <c r="F1116" s="598">
        <v>66.0</v>
      </c>
      <c r="G1116" s="598">
        <v>28.0</v>
      </c>
      <c r="H1116" s="598">
        <v>30.0</v>
      </c>
      <c r="I1116" s="598">
        <v>0.0</v>
      </c>
      <c r="J1116" s="598">
        <v>93.0</v>
      </c>
      <c r="K1116" s="1561">
        <v>353.0</v>
      </c>
      <c r="L1116" s="1551">
        <v>37776.0</v>
      </c>
    </row>
    <row r="1117">
      <c r="A1117" s="1545" t="s">
        <v>305</v>
      </c>
      <c r="B1117" s="1587">
        <v>65034.0</v>
      </c>
      <c r="C1117" s="1547">
        <v>3677.0</v>
      </c>
      <c r="D1117" s="1548">
        <v>26.4</v>
      </c>
      <c r="E1117" s="1557">
        <v>60111.0</v>
      </c>
      <c r="F1117" s="598">
        <v>695.0</v>
      </c>
      <c r="G1117" s="598">
        <v>210.0</v>
      </c>
      <c r="H1117" s="598">
        <v>440.0</v>
      </c>
      <c r="I1117" s="598">
        <v>13.0</v>
      </c>
      <c r="J1117" s="598">
        <v>806.0</v>
      </c>
      <c r="K1117" s="1561">
        <v>2759.0</v>
      </c>
      <c r="L1117" s="1551">
        <v>41541.0</v>
      </c>
    </row>
    <row r="1118">
      <c r="A1118" s="1545" t="s">
        <v>1131</v>
      </c>
      <c r="B1118" s="1587">
        <v>2193.0</v>
      </c>
      <c r="C1118" s="1563">
        <v>125.0</v>
      </c>
      <c r="D1118" s="1548">
        <v>28.9</v>
      </c>
      <c r="E1118" s="1557">
        <v>2112.0</v>
      </c>
      <c r="F1118" s="598">
        <v>6.0</v>
      </c>
      <c r="G1118" s="598">
        <v>3.0</v>
      </c>
      <c r="H1118" s="598">
        <v>7.0</v>
      </c>
      <c r="I1118" s="598">
        <v>0.0</v>
      </c>
      <c r="J1118" s="598">
        <v>3.0</v>
      </c>
      <c r="K1118" s="1561">
        <v>62.0</v>
      </c>
      <c r="L1118" s="1551">
        <v>45146.0</v>
      </c>
    </row>
    <row r="1119">
      <c r="A1119" s="1545" t="s">
        <v>1132</v>
      </c>
      <c r="B1119" s="1587">
        <v>16037.0</v>
      </c>
      <c r="C1119" s="1547">
        <v>1058.0</v>
      </c>
      <c r="D1119" s="1548">
        <v>30.2</v>
      </c>
      <c r="E1119" s="1557">
        <v>15378.0</v>
      </c>
      <c r="F1119" s="598">
        <v>60.0</v>
      </c>
      <c r="G1119" s="598">
        <v>35.0</v>
      </c>
      <c r="H1119" s="598">
        <v>30.0</v>
      </c>
      <c r="I1119" s="598">
        <v>0.0</v>
      </c>
      <c r="J1119" s="598">
        <v>83.0</v>
      </c>
      <c r="K1119" s="1561">
        <v>451.0</v>
      </c>
      <c r="L1119" s="1551">
        <v>37732.0</v>
      </c>
    </row>
    <row r="1120">
      <c r="A1120" s="1545" t="s">
        <v>1133</v>
      </c>
      <c r="B1120" s="1587">
        <v>24662.0</v>
      </c>
      <c r="C1120" s="1547">
        <v>1097.0</v>
      </c>
      <c r="D1120" s="1548">
        <v>23.9</v>
      </c>
      <c r="E1120" s="1557">
        <v>22914.0</v>
      </c>
      <c r="F1120" s="598">
        <v>383.0</v>
      </c>
      <c r="G1120" s="598">
        <v>47.0</v>
      </c>
      <c r="H1120" s="598">
        <v>170.0</v>
      </c>
      <c r="I1120" s="598">
        <v>5.0</v>
      </c>
      <c r="J1120" s="598">
        <v>340.0</v>
      </c>
      <c r="K1120" s="1561">
        <v>803.0</v>
      </c>
      <c r="L1120" s="1551">
        <v>41196.0</v>
      </c>
    </row>
    <row r="1121">
      <c r="A1121" s="1545" t="s">
        <v>165</v>
      </c>
      <c r="B1121" s="1587">
        <v>17991.0</v>
      </c>
      <c r="C1121" s="1547">
        <v>1189.0</v>
      </c>
      <c r="D1121" s="1548">
        <v>30.5</v>
      </c>
      <c r="E1121" s="1557">
        <v>16733.0</v>
      </c>
      <c r="F1121" s="598">
        <v>113.0</v>
      </c>
      <c r="G1121" s="598">
        <v>78.0</v>
      </c>
      <c r="H1121" s="598">
        <v>104.0</v>
      </c>
      <c r="I1121" s="598">
        <v>3.0</v>
      </c>
      <c r="J1121" s="598">
        <v>359.0</v>
      </c>
      <c r="K1121" s="1561">
        <v>601.0</v>
      </c>
      <c r="L1121" s="1551">
        <v>34648.0</v>
      </c>
    </row>
    <row r="1122">
      <c r="A1122" s="1545" t="s">
        <v>309</v>
      </c>
      <c r="B1122" s="1587">
        <v>57155.0</v>
      </c>
      <c r="C1122" s="1547">
        <v>1503.0</v>
      </c>
      <c r="D1122" s="1548">
        <v>10.9</v>
      </c>
      <c r="E1122" s="1557">
        <v>48523.0</v>
      </c>
      <c r="F1122" s="598">
        <v>2951.0</v>
      </c>
      <c r="G1122" s="598">
        <v>185.0</v>
      </c>
      <c r="H1122" s="598">
        <v>594.0</v>
      </c>
      <c r="I1122" s="598">
        <v>25.0</v>
      </c>
      <c r="J1122" s="598">
        <v>1218.0</v>
      </c>
      <c r="K1122" s="1561">
        <v>3659.0</v>
      </c>
      <c r="L1122" s="1551">
        <v>73500.0</v>
      </c>
    </row>
    <row r="1123">
      <c r="A1123" s="1545" t="s">
        <v>168</v>
      </c>
      <c r="B1123" s="1587">
        <v>48065.0</v>
      </c>
      <c r="C1123" s="1547">
        <v>1487.0</v>
      </c>
      <c r="D1123" s="1548">
        <v>13.6</v>
      </c>
      <c r="E1123" s="1557">
        <v>38653.0</v>
      </c>
      <c r="F1123" s="598">
        <v>2755.0</v>
      </c>
      <c r="G1123" s="598">
        <v>257.0</v>
      </c>
      <c r="H1123" s="598">
        <v>369.0</v>
      </c>
      <c r="I1123" s="598">
        <v>33.0</v>
      </c>
      <c r="J1123" s="598">
        <v>2432.0</v>
      </c>
      <c r="K1123" s="1561">
        <v>3566.0</v>
      </c>
      <c r="L1123" s="1551">
        <v>66056.0</v>
      </c>
    </row>
    <row r="1124">
      <c r="A1124" s="1545" t="s">
        <v>1134</v>
      </c>
      <c r="B1124" s="1587">
        <v>19594.0</v>
      </c>
      <c r="C1124" s="1563">
        <v>937.0</v>
      </c>
      <c r="D1124" s="1548">
        <v>21.5</v>
      </c>
      <c r="E1124" s="1557">
        <v>16374.0</v>
      </c>
      <c r="F1124" s="598">
        <v>1640.0</v>
      </c>
      <c r="G1124" s="598">
        <v>80.0</v>
      </c>
      <c r="H1124" s="598">
        <v>94.0</v>
      </c>
      <c r="I1124" s="598">
        <v>8.0</v>
      </c>
      <c r="J1124" s="598">
        <v>303.0</v>
      </c>
      <c r="K1124" s="1561">
        <v>1095.0</v>
      </c>
      <c r="L1124" s="1551">
        <v>51769.0</v>
      </c>
    </row>
    <row r="1125">
      <c r="A1125" s="1545" t="s">
        <v>854</v>
      </c>
      <c r="B1125" s="1587">
        <v>19490.0</v>
      </c>
      <c r="C1125" s="1563">
        <v>406.0</v>
      </c>
      <c r="D1125" s="1548">
        <v>9.7</v>
      </c>
      <c r="E1125" s="1557">
        <v>17910.0</v>
      </c>
      <c r="F1125" s="598">
        <v>299.0</v>
      </c>
      <c r="G1125" s="598">
        <v>38.0</v>
      </c>
      <c r="H1125" s="598">
        <v>90.0</v>
      </c>
      <c r="I1125" s="598">
        <v>12.0</v>
      </c>
      <c r="J1125" s="598">
        <v>146.0</v>
      </c>
      <c r="K1125" s="1561">
        <v>995.0</v>
      </c>
      <c r="L1125" s="1551">
        <v>85899.0</v>
      </c>
    </row>
    <row r="1126">
      <c r="A1126" s="1545" t="s">
        <v>526</v>
      </c>
      <c r="B1126" s="1587">
        <v>26023.0</v>
      </c>
      <c r="C1126" s="1547">
        <v>1481.0</v>
      </c>
      <c r="D1126" s="1548">
        <v>26.7</v>
      </c>
      <c r="E1126" s="1557">
        <v>22938.0</v>
      </c>
      <c r="F1126" s="598">
        <v>1255.0</v>
      </c>
      <c r="G1126" s="598">
        <v>32.0</v>
      </c>
      <c r="H1126" s="598">
        <v>246.0</v>
      </c>
      <c r="I1126" s="598">
        <v>10.0</v>
      </c>
      <c r="J1126" s="598">
        <v>379.0</v>
      </c>
      <c r="K1126" s="1561">
        <v>1163.0</v>
      </c>
      <c r="L1126" s="1551">
        <v>45429.0</v>
      </c>
    </row>
    <row r="1127">
      <c r="A1127" s="1545" t="s">
        <v>1135</v>
      </c>
      <c r="B1127" s="1587">
        <v>12243.0</v>
      </c>
      <c r="C1127" s="1563">
        <v>779.0</v>
      </c>
      <c r="D1127" s="1548">
        <v>24.2</v>
      </c>
      <c r="E1127" s="1557">
        <v>10354.0</v>
      </c>
      <c r="F1127" s="598">
        <v>887.0</v>
      </c>
      <c r="G1127" s="598">
        <v>43.0</v>
      </c>
      <c r="H1127" s="598">
        <v>22.0</v>
      </c>
      <c r="I1127" s="598">
        <v>6.0</v>
      </c>
      <c r="J1127" s="598">
        <v>352.0</v>
      </c>
      <c r="K1127" s="1561">
        <v>579.0</v>
      </c>
      <c r="L1127" s="1551">
        <v>51027.0</v>
      </c>
    </row>
    <row r="1128">
      <c r="A1128" s="1545" t="s">
        <v>1136</v>
      </c>
      <c r="B1128" s="1587">
        <v>14061.0</v>
      </c>
      <c r="C1128" s="1563">
        <v>787.0</v>
      </c>
      <c r="D1128" s="1548">
        <v>25.0</v>
      </c>
      <c r="E1128" s="1557">
        <v>12309.0</v>
      </c>
      <c r="F1128" s="598">
        <v>952.0</v>
      </c>
      <c r="G1128" s="598">
        <v>35.0</v>
      </c>
      <c r="H1128" s="598">
        <v>27.0</v>
      </c>
      <c r="I1128" s="598">
        <v>6.0</v>
      </c>
      <c r="J1128" s="598">
        <v>113.0</v>
      </c>
      <c r="K1128" s="1561">
        <v>619.0</v>
      </c>
      <c r="L1128" s="1551">
        <v>49767.0</v>
      </c>
    </row>
    <row r="1129">
      <c r="A1129" s="1545" t="s">
        <v>1137</v>
      </c>
      <c r="B1129" s="1587">
        <v>8474.0</v>
      </c>
      <c r="C1129" s="1563">
        <v>378.0</v>
      </c>
      <c r="D1129" s="1548">
        <v>20.6</v>
      </c>
      <c r="E1129" s="1557">
        <v>7992.0</v>
      </c>
      <c r="F1129" s="598">
        <v>30.0</v>
      </c>
      <c r="G1129" s="598">
        <v>38.0</v>
      </c>
      <c r="H1129" s="598">
        <v>27.0</v>
      </c>
      <c r="I1129" s="598">
        <v>4.0</v>
      </c>
      <c r="J1129" s="598">
        <v>50.0</v>
      </c>
      <c r="K1129" s="1561">
        <v>333.0</v>
      </c>
      <c r="L1129" s="1551">
        <v>51674.0</v>
      </c>
    </row>
    <row r="1130">
      <c r="A1130" s="1545" t="s">
        <v>316</v>
      </c>
      <c r="B1130" s="1587">
        <v>13668.0</v>
      </c>
      <c r="C1130" s="1563">
        <v>571.0</v>
      </c>
      <c r="D1130" s="1548">
        <v>21.9</v>
      </c>
      <c r="E1130" s="1557">
        <v>11873.0</v>
      </c>
      <c r="F1130" s="598">
        <v>1041.0</v>
      </c>
      <c r="G1130" s="598">
        <v>27.0</v>
      </c>
      <c r="H1130" s="598">
        <v>32.0</v>
      </c>
      <c r="I1130" s="598">
        <v>1.0</v>
      </c>
      <c r="J1130" s="598">
        <v>102.0</v>
      </c>
      <c r="K1130" s="1561">
        <v>592.0</v>
      </c>
      <c r="L1130" s="1555">
        <v>47067.0</v>
      </c>
    </row>
    <row r="1131">
      <c r="A1131" s="1545" t="s">
        <v>647</v>
      </c>
      <c r="B1131" s="1587">
        <v>134554.0</v>
      </c>
      <c r="C1131" s="1547">
        <v>5741.0</v>
      </c>
      <c r="D1131" s="1548">
        <v>19.6</v>
      </c>
      <c r="E1131" s="1557">
        <v>99453.0</v>
      </c>
      <c r="F1131" s="598">
        <v>12933.0</v>
      </c>
      <c r="G1131" s="598">
        <v>481.0</v>
      </c>
      <c r="H1131" s="598">
        <v>7326.0</v>
      </c>
      <c r="I1131" s="598">
        <v>682.0</v>
      </c>
      <c r="J1131" s="598">
        <v>5156.0</v>
      </c>
      <c r="K1131" s="1561">
        <v>8523.0</v>
      </c>
      <c r="L1131" s="1555">
        <v>53478.0</v>
      </c>
    </row>
    <row r="1132">
      <c r="A1132" s="1545" t="s">
        <v>119</v>
      </c>
      <c r="B1132" s="1587">
        <v>12027.0</v>
      </c>
      <c r="C1132" s="1563">
        <v>590.0</v>
      </c>
      <c r="D1132" s="1548">
        <v>20.9</v>
      </c>
      <c r="E1132" s="1557">
        <v>10538.0</v>
      </c>
      <c r="F1132" s="598">
        <v>659.0</v>
      </c>
      <c r="G1132" s="598">
        <v>30.0</v>
      </c>
      <c r="H1132" s="598">
        <v>38.0</v>
      </c>
      <c r="I1132" s="598">
        <v>5.0</v>
      </c>
      <c r="J1132" s="598">
        <v>278.0</v>
      </c>
      <c r="K1132" s="1561">
        <v>479.0</v>
      </c>
      <c r="L1132" s="1555">
        <v>50246.0</v>
      </c>
    </row>
    <row r="1133">
      <c r="A1133" s="1545" t="s">
        <v>273</v>
      </c>
      <c r="B1133" s="1587">
        <v>19555.0</v>
      </c>
      <c r="C1133" s="1547">
        <v>1454.0</v>
      </c>
      <c r="D1133" s="1548">
        <v>36.0</v>
      </c>
      <c r="E1133" s="1557">
        <v>18139.0</v>
      </c>
      <c r="F1133" s="598">
        <v>240.0</v>
      </c>
      <c r="G1133" s="598">
        <v>49.0</v>
      </c>
      <c r="H1133" s="598">
        <v>62.0</v>
      </c>
      <c r="I1133" s="598">
        <v>6.0</v>
      </c>
      <c r="J1133" s="598">
        <v>453.0</v>
      </c>
      <c r="K1133" s="1561">
        <v>606.0</v>
      </c>
      <c r="L1133" s="1555">
        <v>33701.0</v>
      </c>
    </row>
    <row r="1134">
      <c r="A1134" s="1545" t="s">
        <v>648</v>
      </c>
      <c r="B1134" s="1587">
        <v>13017.0</v>
      </c>
      <c r="C1134" s="1563">
        <v>659.0</v>
      </c>
      <c r="D1134" s="1548">
        <v>22.0</v>
      </c>
      <c r="E1134" s="1557">
        <v>11440.0</v>
      </c>
      <c r="F1134" s="598">
        <v>485.0</v>
      </c>
      <c r="G1134" s="598">
        <v>95.0</v>
      </c>
      <c r="H1134" s="598">
        <v>26.0</v>
      </c>
      <c r="I1134" s="598">
        <v>1.0</v>
      </c>
      <c r="J1134" s="598">
        <v>409.0</v>
      </c>
      <c r="K1134" s="1561">
        <v>561.0</v>
      </c>
      <c r="L1134" s="1555">
        <v>47132.0</v>
      </c>
    </row>
    <row r="1135">
      <c r="A1135" s="1545" t="s">
        <v>879</v>
      </c>
      <c r="B1135" s="1587">
        <v>36712.0</v>
      </c>
      <c r="C1135" s="1547">
        <v>3040.0</v>
      </c>
      <c r="D1135" s="1548">
        <v>33.9</v>
      </c>
      <c r="E1135" s="1557">
        <v>34307.0</v>
      </c>
      <c r="F1135" s="598">
        <v>568.0</v>
      </c>
      <c r="G1135" s="598">
        <v>92.0</v>
      </c>
      <c r="H1135" s="598">
        <v>207.0</v>
      </c>
      <c r="I1135" s="598">
        <v>10.0</v>
      </c>
      <c r="J1135" s="598">
        <v>266.0</v>
      </c>
      <c r="K1135" s="1561">
        <v>1262.0</v>
      </c>
      <c r="L1135" s="1555">
        <v>36863.0</v>
      </c>
    </row>
    <row r="1136">
      <c r="A1136" s="1545" t="s">
        <v>1138</v>
      </c>
      <c r="B1136" s="1587">
        <v>6562.0</v>
      </c>
      <c r="C1136" s="1563">
        <v>693.0</v>
      </c>
      <c r="D1136" s="1548">
        <v>43.6</v>
      </c>
      <c r="E1136" s="1557">
        <v>6383.0</v>
      </c>
      <c r="F1136" s="598">
        <v>27.0</v>
      </c>
      <c r="G1136" s="598">
        <v>10.0</v>
      </c>
      <c r="H1136" s="598">
        <v>5.0</v>
      </c>
      <c r="I1136" s="598">
        <v>8.0</v>
      </c>
      <c r="J1136" s="598">
        <v>21.0</v>
      </c>
      <c r="K1136" s="1561">
        <v>108.0</v>
      </c>
      <c r="L1136" s="1615">
        <v>30144.0</v>
      </c>
    </row>
    <row r="1137">
      <c r="A1137" s="1528" t="s">
        <v>754</v>
      </c>
      <c r="B1137" s="1595">
        <v>26871.0</v>
      </c>
      <c r="C1137" s="1582">
        <v>750.0</v>
      </c>
      <c r="D1137" s="1567">
        <v>13.2</v>
      </c>
      <c r="E1137" s="1532">
        <v>22701.0</v>
      </c>
      <c r="F1137" s="1533">
        <v>1248.0</v>
      </c>
      <c r="G1137" s="1533">
        <v>108.0</v>
      </c>
      <c r="H1137" s="1533">
        <v>159.0</v>
      </c>
      <c r="I1137" s="1533">
        <v>12.0</v>
      </c>
      <c r="J1137" s="1533">
        <v>1033.0</v>
      </c>
      <c r="K1137" s="1616">
        <v>1610.0</v>
      </c>
      <c r="L1137" s="1617">
        <v>66164.0</v>
      </c>
    </row>
    <row r="1138">
      <c r="A1138" s="1538" t="s">
        <v>55</v>
      </c>
      <c r="B1138" s="1596">
        <v>4657757.0</v>
      </c>
      <c r="C1138" s="1540">
        <v>286532.0</v>
      </c>
      <c r="D1138" s="1571">
        <v>26.5</v>
      </c>
      <c r="E1138" s="1572">
        <v>2657652.0</v>
      </c>
      <c r="F1138" s="1542">
        <v>1464023.0</v>
      </c>
      <c r="G1138" s="1542">
        <v>31657.0</v>
      </c>
      <c r="H1138" s="1542">
        <v>86438.0</v>
      </c>
      <c r="I1138" s="1542">
        <v>1911.0</v>
      </c>
      <c r="J1138" s="1542">
        <v>142699.0</v>
      </c>
      <c r="K1138" s="1543">
        <v>273377.0</v>
      </c>
      <c r="L1138" s="1544">
        <v>48021.0</v>
      </c>
    </row>
    <row r="1139">
      <c r="A1139" s="1545" t="s">
        <v>1140</v>
      </c>
      <c r="B1139" s="1586">
        <v>57576.0</v>
      </c>
      <c r="C1139" s="1547">
        <v>5587.0</v>
      </c>
      <c r="D1139" s="1548">
        <v>35.4</v>
      </c>
      <c r="E1139" s="1557">
        <v>44480.0</v>
      </c>
      <c r="F1139" s="598">
        <v>9989.0</v>
      </c>
      <c r="G1139" s="598">
        <v>152.0</v>
      </c>
      <c r="H1139" s="598">
        <v>163.0</v>
      </c>
      <c r="I1139" s="598">
        <v>2.0</v>
      </c>
      <c r="J1139" s="598">
        <v>817.0</v>
      </c>
      <c r="K1139" s="1561">
        <v>1973.0</v>
      </c>
      <c r="L1139" s="1551">
        <v>40484.0</v>
      </c>
    </row>
    <row r="1140">
      <c r="A1140" s="1545" t="s">
        <v>755</v>
      </c>
      <c r="B1140" s="1587">
        <v>22750.0</v>
      </c>
      <c r="C1140" s="1547">
        <v>1264.0</v>
      </c>
      <c r="D1140" s="1548">
        <v>22.7</v>
      </c>
      <c r="E1140" s="1557">
        <v>16327.0</v>
      </c>
      <c r="F1140" s="598">
        <v>4102.0</v>
      </c>
      <c r="G1140" s="598">
        <v>539.0</v>
      </c>
      <c r="H1140" s="598">
        <v>183.0</v>
      </c>
      <c r="I1140" s="598">
        <v>7.0</v>
      </c>
      <c r="J1140" s="598">
        <v>521.0</v>
      </c>
      <c r="K1140" s="1561">
        <v>1071.0</v>
      </c>
      <c r="L1140" s="1555">
        <v>44395.0</v>
      </c>
    </row>
    <row r="1141">
      <c r="A1141" s="1545" t="s">
        <v>1141</v>
      </c>
      <c r="B1141" s="1587">
        <v>126500.0</v>
      </c>
      <c r="C1141" s="1547">
        <v>4681.0</v>
      </c>
      <c r="D1141" s="1548">
        <v>14.2</v>
      </c>
      <c r="E1141" s="1557">
        <v>81141.0</v>
      </c>
      <c r="F1141" s="598">
        <v>30521.0</v>
      </c>
      <c r="G1141" s="598">
        <v>513.0</v>
      </c>
      <c r="H1141" s="598">
        <v>1709.0</v>
      </c>
      <c r="I1141" s="598">
        <v>33.0</v>
      </c>
      <c r="J1141" s="598">
        <v>4801.0</v>
      </c>
      <c r="K1141" s="1561">
        <v>7782.0</v>
      </c>
      <c r="L1141" s="1551">
        <v>77758.0</v>
      </c>
    </row>
    <row r="1142">
      <c r="A1142" s="1545" t="s">
        <v>1142</v>
      </c>
      <c r="B1142" s="1587">
        <v>21039.0</v>
      </c>
      <c r="C1142" s="1547">
        <v>1359.0</v>
      </c>
      <c r="D1142" s="1548">
        <v>28.7</v>
      </c>
      <c r="E1142" s="1557">
        <v>13722.0</v>
      </c>
      <c r="F1142" s="598">
        <v>6013.0</v>
      </c>
      <c r="G1142" s="598">
        <v>102.0</v>
      </c>
      <c r="H1142" s="598">
        <v>62.0</v>
      </c>
      <c r="I1142" s="598">
        <v>0.0</v>
      </c>
      <c r="J1142" s="598">
        <v>285.0</v>
      </c>
      <c r="K1142" s="1561">
        <v>855.0</v>
      </c>
      <c r="L1142" s="1551">
        <v>48120.0</v>
      </c>
    </row>
    <row r="1143">
      <c r="A1143" s="1545" t="s">
        <v>1143</v>
      </c>
      <c r="B1143" s="1587">
        <v>39693.0</v>
      </c>
      <c r="C1143" s="1547">
        <v>3475.0</v>
      </c>
      <c r="D1143" s="1548">
        <v>36.9</v>
      </c>
      <c r="E1143" s="1557">
        <v>25625.0</v>
      </c>
      <c r="F1143" s="598">
        <v>10706.0</v>
      </c>
      <c r="G1143" s="598">
        <v>364.0</v>
      </c>
      <c r="H1143" s="598">
        <v>359.0</v>
      </c>
      <c r="I1143" s="598">
        <v>9.0</v>
      </c>
      <c r="J1143" s="598">
        <v>823.0</v>
      </c>
      <c r="K1143" s="1561">
        <v>1807.0</v>
      </c>
      <c r="L1143" s="1551">
        <v>37731.0</v>
      </c>
    </row>
    <row r="1144">
      <c r="A1144" s="1545" t="s">
        <v>1144</v>
      </c>
      <c r="B1144" s="1587">
        <v>36549.0</v>
      </c>
      <c r="C1144" s="1547">
        <v>1679.0</v>
      </c>
      <c r="D1144" s="1548">
        <v>18.7</v>
      </c>
      <c r="E1144" s="1557">
        <v>29529.0</v>
      </c>
      <c r="F1144" s="598">
        <v>4111.0</v>
      </c>
      <c r="G1144" s="598">
        <v>304.0</v>
      </c>
      <c r="H1144" s="598">
        <v>223.0</v>
      </c>
      <c r="I1144" s="598">
        <v>32.0</v>
      </c>
      <c r="J1144" s="598">
        <v>367.0</v>
      </c>
      <c r="K1144" s="1561">
        <v>1983.0</v>
      </c>
      <c r="L1144" s="1551">
        <v>57005.0</v>
      </c>
    </row>
    <row r="1145">
      <c r="A1145" s="1545" t="s">
        <v>1145</v>
      </c>
      <c r="B1145" s="1587">
        <v>12981.0</v>
      </c>
      <c r="C1145" s="1547">
        <v>1061.0</v>
      </c>
      <c r="D1145" s="1548">
        <v>36.3</v>
      </c>
      <c r="E1145" s="1557">
        <v>6950.0</v>
      </c>
      <c r="F1145" s="598">
        <v>5307.0</v>
      </c>
      <c r="G1145" s="598">
        <v>62.0</v>
      </c>
      <c r="H1145" s="598">
        <v>21.0</v>
      </c>
      <c r="I1145" s="598">
        <v>5.0</v>
      </c>
      <c r="J1145" s="598">
        <v>61.0</v>
      </c>
      <c r="K1145" s="1561">
        <v>575.0</v>
      </c>
      <c r="L1145" s="1555">
        <v>34047.0</v>
      </c>
    </row>
    <row r="1146">
      <c r="A1146" s="1545" t="s">
        <v>1146</v>
      </c>
      <c r="B1146" s="1587">
        <v>128746.0</v>
      </c>
      <c r="C1146" s="1547">
        <v>6275.0</v>
      </c>
      <c r="D1146" s="1548">
        <v>20.2</v>
      </c>
      <c r="E1146" s="1557">
        <v>81052.0</v>
      </c>
      <c r="F1146" s="598">
        <v>30099.0</v>
      </c>
      <c r="G1146" s="598">
        <v>797.0</v>
      </c>
      <c r="H1146" s="598">
        <v>2396.0</v>
      </c>
      <c r="I1146" s="598">
        <v>119.0</v>
      </c>
      <c r="J1146" s="598">
        <v>4948.0</v>
      </c>
      <c r="K1146" s="1561">
        <v>9335.0</v>
      </c>
      <c r="L1146" s="1555">
        <v>56754.0</v>
      </c>
    </row>
    <row r="1147">
      <c r="A1147" s="1545" t="s">
        <v>1147</v>
      </c>
      <c r="B1147" s="1587">
        <v>237848.0</v>
      </c>
      <c r="C1147" s="1547">
        <v>20156.0</v>
      </c>
      <c r="D1147" s="1548">
        <v>35.6</v>
      </c>
      <c r="E1147" s="1557">
        <v>103457.0</v>
      </c>
      <c r="F1147" s="598">
        <v>115298.0</v>
      </c>
      <c r="G1147" s="598">
        <v>1093.0</v>
      </c>
      <c r="H1147" s="598">
        <v>3206.0</v>
      </c>
      <c r="I1147" s="598">
        <v>126.0</v>
      </c>
      <c r="J1147" s="598">
        <v>3808.0</v>
      </c>
      <c r="K1147" s="1561">
        <v>10860.0</v>
      </c>
      <c r="L1147" s="1555">
        <v>40467.0</v>
      </c>
    </row>
    <row r="1148">
      <c r="A1148" s="1545" t="s">
        <v>1148</v>
      </c>
      <c r="B1148" s="1587">
        <v>216785.0</v>
      </c>
      <c r="C1148" s="1547">
        <v>10506.0</v>
      </c>
      <c r="D1148" s="1548">
        <v>21.1</v>
      </c>
      <c r="E1148" s="1557">
        <v>139772.0</v>
      </c>
      <c r="F1148" s="598">
        <v>55263.0</v>
      </c>
      <c r="G1148" s="598">
        <v>1100.0</v>
      </c>
      <c r="H1148" s="598">
        <v>3827.0</v>
      </c>
      <c r="I1148" s="598">
        <v>138.0</v>
      </c>
      <c r="J1148" s="598">
        <v>4818.0</v>
      </c>
      <c r="K1148" s="1561">
        <v>11867.0</v>
      </c>
      <c r="L1148" s="1551">
        <v>50531.0</v>
      </c>
    </row>
    <row r="1149">
      <c r="A1149" s="1545" t="s">
        <v>1034</v>
      </c>
      <c r="B1149" s="1587">
        <v>9645.0</v>
      </c>
      <c r="C1149" s="1563">
        <v>684.0</v>
      </c>
      <c r="D1149" s="1548">
        <v>30.1</v>
      </c>
      <c r="E1149" s="1557">
        <v>7646.0</v>
      </c>
      <c r="F1149" s="598">
        <v>1534.0</v>
      </c>
      <c r="G1149" s="598">
        <v>19.0</v>
      </c>
      <c r="H1149" s="598">
        <v>42.0</v>
      </c>
      <c r="I1149" s="598">
        <v>3.0</v>
      </c>
      <c r="J1149" s="598">
        <v>57.0</v>
      </c>
      <c r="K1149" s="1561">
        <v>344.0</v>
      </c>
      <c r="L1149" s="1551">
        <v>40842.0</v>
      </c>
    </row>
    <row r="1150">
      <c r="A1150" s="1545" t="s">
        <v>1149</v>
      </c>
      <c r="B1150" s="1587">
        <v>5617.0</v>
      </c>
      <c r="C1150" s="1563">
        <v>299.0</v>
      </c>
      <c r="D1150" s="1548">
        <v>19.6</v>
      </c>
      <c r="E1150" s="1557">
        <v>5232.0</v>
      </c>
      <c r="F1150" s="598">
        <v>72.0</v>
      </c>
      <c r="G1150" s="598">
        <v>28.0</v>
      </c>
      <c r="H1150" s="598">
        <v>13.0</v>
      </c>
      <c r="I1150" s="598">
        <v>1.0</v>
      </c>
      <c r="J1150" s="598">
        <v>70.0</v>
      </c>
      <c r="K1150" s="1561">
        <v>201.0</v>
      </c>
      <c r="L1150" s="1551">
        <v>57299.0</v>
      </c>
    </row>
    <row r="1151">
      <c r="A1151" s="1545" t="s">
        <v>1150</v>
      </c>
      <c r="B1151" s="1587">
        <v>8906.0</v>
      </c>
      <c r="C1151" s="1563">
        <v>756.0</v>
      </c>
      <c r="D1151" s="1548">
        <v>37.0</v>
      </c>
      <c r="E1151" s="1557">
        <v>5776.0</v>
      </c>
      <c r="F1151" s="598">
        <v>2297.0</v>
      </c>
      <c r="G1151" s="598">
        <v>46.0</v>
      </c>
      <c r="H1151" s="598">
        <v>28.0</v>
      </c>
      <c r="I1151" s="598">
        <v>6.0</v>
      </c>
      <c r="J1151" s="598">
        <v>509.0</v>
      </c>
      <c r="K1151" s="1561">
        <v>244.0</v>
      </c>
      <c r="L1151" s="1551">
        <v>35812.0</v>
      </c>
    </row>
    <row r="1152">
      <c r="A1152" s="1545" t="s">
        <v>1151</v>
      </c>
      <c r="B1152" s="1587">
        <v>14170.0</v>
      </c>
      <c r="C1152" s="1547">
        <v>1169.0</v>
      </c>
      <c r="D1152" s="1548">
        <v>41.1</v>
      </c>
      <c r="E1152" s="1557">
        <v>7263.0</v>
      </c>
      <c r="F1152" s="598">
        <v>6184.0</v>
      </c>
      <c r="G1152" s="598">
        <v>43.0</v>
      </c>
      <c r="H1152" s="598">
        <v>42.0</v>
      </c>
      <c r="I1152" s="598">
        <v>0.0</v>
      </c>
      <c r="J1152" s="598">
        <v>209.0</v>
      </c>
      <c r="K1152" s="1561">
        <v>429.0</v>
      </c>
      <c r="L1152" s="1551">
        <v>33659.0</v>
      </c>
    </row>
    <row r="1153">
      <c r="A1153" s="1545" t="s">
        <v>1152</v>
      </c>
      <c r="B1153" s="1587">
        <v>18687.0</v>
      </c>
      <c r="C1153" s="1547">
        <v>1796.0</v>
      </c>
      <c r="D1153" s="1548">
        <v>38.7</v>
      </c>
      <c r="E1153" s="1557">
        <v>10275.0</v>
      </c>
      <c r="F1153" s="598">
        <v>7518.0</v>
      </c>
      <c r="G1153" s="598">
        <v>50.0</v>
      </c>
      <c r="H1153" s="598">
        <v>117.0</v>
      </c>
      <c r="I1153" s="598">
        <v>0.0</v>
      </c>
      <c r="J1153" s="598">
        <v>180.0</v>
      </c>
      <c r="K1153" s="1561">
        <v>547.0</v>
      </c>
      <c r="L1153" s="1551">
        <v>35840.0</v>
      </c>
    </row>
    <row r="1154">
      <c r="A1154" s="1545" t="s">
        <v>2446</v>
      </c>
      <c r="B1154" s="1587">
        <v>26812.0</v>
      </c>
      <c r="C1154" s="1547">
        <v>1585.0</v>
      </c>
      <c r="D1154" s="1548">
        <v>24.5</v>
      </c>
      <c r="E1154" s="1557">
        <v>15284.0</v>
      </c>
      <c r="F1154" s="598">
        <v>9621.0</v>
      </c>
      <c r="G1154" s="598">
        <v>269.0</v>
      </c>
      <c r="H1154" s="598">
        <v>99.0</v>
      </c>
      <c r="I1154" s="598">
        <v>0.0</v>
      </c>
      <c r="J1154" s="598">
        <v>402.0</v>
      </c>
      <c r="K1154" s="1561">
        <v>1137.0</v>
      </c>
      <c r="L1154" s="1555">
        <v>44457.0</v>
      </c>
    </row>
    <row r="1155">
      <c r="A1155" s="1545" t="s">
        <v>1153</v>
      </c>
      <c r="B1155" s="1587">
        <v>456781.0</v>
      </c>
      <c r="C1155" s="1547">
        <v>23483.0</v>
      </c>
      <c r="D1155" s="1548">
        <v>23.8</v>
      </c>
      <c r="E1155" s="1557">
        <v>196069.0</v>
      </c>
      <c r="F1155" s="598">
        <v>206681.0</v>
      </c>
      <c r="G1155" s="598">
        <v>1285.0</v>
      </c>
      <c r="H1155" s="598">
        <v>14499.0</v>
      </c>
      <c r="I1155" s="598">
        <v>121.0</v>
      </c>
      <c r="J1155" s="598">
        <v>15503.0</v>
      </c>
      <c r="K1155" s="1561">
        <v>22623.0</v>
      </c>
      <c r="L1155" s="1551">
        <v>52945.0</v>
      </c>
    </row>
    <row r="1156">
      <c r="A1156" s="1545" t="s">
        <v>1154</v>
      </c>
      <c r="B1156" s="1587">
        <v>7459.0</v>
      </c>
      <c r="C1156" s="1547">
        <v>1053.0</v>
      </c>
      <c r="D1156" s="1548">
        <v>61.5</v>
      </c>
      <c r="E1156" s="1557">
        <v>2054.0</v>
      </c>
      <c r="F1156" s="598">
        <v>5188.0</v>
      </c>
      <c r="G1156" s="598">
        <v>3.0</v>
      </c>
      <c r="H1156" s="598">
        <v>19.0</v>
      </c>
      <c r="I1156" s="598">
        <v>0.0</v>
      </c>
      <c r="J1156" s="598">
        <v>35.0</v>
      </c>
      <c r="K1156" s="1561">
        <v>160.0</v>
      </c>
      <c r="L1156" s="1551">
        <v>27714.0</v>
      </c>
    </row>
    <row r="1157">
      <c r="A1157" s="1545" t="s">
        <v>1155</v>
      </c>
      <c r="B1157" s="1587">
        <v>19539.0</v>
      </c>
      <c r="C1157" s="1563">
        <v>836.0</v>
      </c>
      <c r="D1157" s="1548">
        <v>24.1</v>
      </c>
      <c r="E1157" s="1557">
        <v>11516.0</v>
      </c>
      <c r="F1157" s="598">
        <v>7139.0</v>
      </c>
      <c r="G1157" s="598">
        <v>61.0</v>
      </c>
      <c r="H1157" s="598">
        <v>48.0</v>
      </c>
      <c r="I1157" s="598">
        <v>11.0</v>
      </c>
      <c r="J1157" s="598">
        <v>164.0</v>
      </c>
      <c r="K1157" s="1561">
        <v>600.0</v>
      </c>
      <c r="L1157" s="1551">
        <v>45174.0</v>
      </c>
    </row>
    <row r="1158">
      <c r="A1158" s="1545" t="s">
        <v>1156</v>
      </c>
      <c r="B1158" s="1587">
        <v>32350.0</v>
      </c>
      <c r="C1158" s="1547">
        <v>2833.0</v>
      </c>
      <c r="D1158" s="1548">
        <v>34.2</v>
      </c>
      <c r="E1158" s="1557">
        <v>21354.0</v>
      </c>
      <c r="F1158" s="598">
        <v>8664.0</v>
      </c>
      <c r="G1158" s="598">
        <v>57.0</v>
      </c>
      <c r="H1158" s="598">
        <v>183.0</v>
      </c>
      <c r="I1158" s="598">
        <v>2.0</v>
      </c>
      <c r="J1158" s="598">
        <v>921.0</v>
      </c>
      <c r="K1158" s="1561">
        <v>1169.0</v>
      </c>
      <c r="L1158" s="1551">
        <v>34113.0</v>
      </c>
    </row>
    <row r="1159">
      <c r="A1159" s="1545" t="s">
        <v>136</v>
      </c>
      <c r="B1159" s="1587">
        <v>19774.0</v>
      </c>
      <c r="C1159" s="1547">
        <v>2122.0</v>
      </c>
      <c r="D1159" s="1548">
        <v>41.7</v>
      </c>
      <c r="E1159" s="1557">
        <v>12492.0</v>
      </c>
      <c r="F1159" s="598">
        <v>6554.0</v>
      </c>
      <c r="G1159" s="598">
        <v>31.0</v>
      </c>
      <c r="H1159" s="598">
        <v>41.0</v>
      </c>
      <c r="I1159" s="598">
        <v>0.0</v>
      </c>
      <c r="J1159" s="598">
        <v>77.0</v>
      </c>
      <c r="K1159" s="1561">
        <v>579.0</v>
      </c>
      <c r="L1159" s="1551">
        <v>34446.0</v>
      </c>
    </row>
    <row r="1160">
      <c r="A1160" s="1545" t="s">
        <v>278</v>
      </c>
      <c r="B1160" s="1587">
        <v>22169.0</v>
      </c>
      <c r="C1160" s="1547">
        <v>1140.0</v>
      </c>
      <c r="D1160" s="1548">
        <v>24.4</v>
      </c>
      <c r="E1160" s="1557">
        <v>17709.0</v>
      </c>
      <c r="F1160" s="598">
        <v>3108.0</v>
      </c>
      <c r="G1160" s="598">
        <v>206.0</v>
      </c>
      <c r="H1160" s="598">
        <v>67.0</v>
      </c>
      <c r="I1160" s="598">
        <v>6.0</v>
      </c>
      <c r="J1160" s="598">
        <v>104.0</v>
      </c>
      <c r="K1160" s="1561">
        <v>969.0</v>
      </c>
      <c r="L1160" s="1555">
        <v>43502.0</v>
      </c>
    </row>
    <row r="1161">
      <c r="A1161" s="1545" t="s">
        <v>1157</v>
      </c>
      <c r="B1161" s="1587">
        <v>69929.0</v>
      </c>
      <c r="C1161" s="1547">
        <v>7088.0</v>
      </c>
      <c r="D1161" s="1548">
        <v>39.3</v>
      </c>
      <c r="E1161" s="1557">
        <v>39206.0</v>
      </c>
      <c r="F1161" s="598">
        <v>23162.0</v>
      </c>
      <c r="G1161" s="598">
        <v>307.0</v>
      </c>
      <c r="H1161" s="598">
        <v>1943.0</v>
      </c>
      <c r="I1161" s="598">
        <v>3.0</v>
      </c>
      <c r="J1161" s="598">
        <v>1586.0</v>
      </c>
      <c r="K1161" s="1561">
        <v>3722.0</v>
      </c>
      <c r="L1161" s="1551">
        <v>42909.0</v>
      </c>
    </row>
    <row r="1162">
      <c r="A1162" s="1545" t="s">
        <v>1158</v>
      </c>
      <c r="B1162" s="1587">
        <v>30241.0</v>
      </c>
      <c r="C1162" s="1547">
        <v>2182.0</v>
      </c>
      <c r="D1162" s="1548">
        <v>32.7</v>
      </c>
      <c r="E1162" s="1557">
        <v>14833.0</v>
      </c>
      <c r="F1162" s="598">
        <v>13377.0</v>
      </c>
      <c r="G1162" s="598">
        <v>67.0</v>
      </c>
      <c r="H1162" s="598">
        <v>123.0</v>
      </c>
      <c r="I1162" s="598">
        <v>13.0</v>
      </c>
      <c r="J1162" s="598">
        <v>752.0</v>
      </c>
      <c r="K1162" s="1561">
        <v>1076.0</v>
      </c>
      <c r="L1162" s="1551">
        <v>47917.0</v>
      </c>
    </row>
    <row r="1163">
      <c r="A1163" s="1545" t="s">
        <v>142</v>
      </c>
      <c r="B1163" s="1587">
        <v>15031.0</v>
      </c>
      <c r="C1163" s="1547">
        <v>1091.0</v>
      </c>
      <c r="D1163" s="1548">
        <v>31.5</v>
      </c>
      <c r="E1163" s="1557">
        <v>9967.0</v>
      </c>
      <c r="F1163" s="598">
        <v>3956.0</v>
      </c>
      <c r="G1163" s="598">
        <v>37.0</v>
      </c>
      <c r="H1163" s="598">
        <v>149.0</v>
      </c>
      <c r="I1163" s="598">
        <v>5.0</v>
      </c>
      <c r="J1163" s="598">
        <v>304.0</v>
      </c>
      <c r="K1163" s="1561">
        <v>613.0</v>
      </c>
      <c r="L1163" s="1555">
        <v>40828.0</v>
      </c>
    </row>
    <row r="1164">
      <c r="A1164" s="1545" t="s">
        <v>143</v>
      </c>
      <c r="B1164" s="1587">
        <v>440781.0</v>
      </c>
      <c r="C1164" s="1547">
        <v>24225.0</v>
      </c>
      <c r="D1164" s="1548">
        <v>25.7</v>
      </c>
      <c r="E1164" s="1557">
        <v>220935.0</v>
      </c>
      <c r="F1164" s="598">
        <v>117892.0</v>
      </c>
      <c r="G1164" s="598">
        <v>2524.0</v>
      </c>
      <c r="H1164" s="598">
        <v>19780.0</v>
      </c>
      <c r="I1164" s="598">
        <v>152.0</v>
      </c>
      <c r="J1164" s="598">
        <v>36689.0</v>
      </c>
      <c r="K1164" s="1561">
        <v>42809.0</v>
      </c>
      <c r="L1164" s="1551">
        <v>50871.0</v>
      </c>
    </row>
    <row r="1165">
      <c r="A1165" s="1545" t="s">
        <v>1159</v>
      </c>
      <c r="B1165" s="1587">
        <v>32250.0</v>
      </c>
      <c r="C1165" s="1547">
        <v>1902.0</v>
      </c>
      <c r="D1165" s="1548">
        <v>23.8</v>
      </c>
      <c r="E1165" s="1557">
        <v>25066.0</v>
      </c>
      <c r="F1165" s="598">
        <v>5148.0</v>
      </c>
      <c r="G1165" s="598">
        <v>168.0</v>
      </c>
      <c r="H1165" s="598">
        <v>100.0</v>
      </c>
      <c r="I1165" s="598">
        <v>14.0</v>
      </c>
      <c r="J1165" s="598">
        <v>325.0</v>
      </c>
      <c r="K1165" s="1561">
        <v>1429.0</v>
      </c>
      <c r="L1165" s="1555">
        <v>44492.0</v>
      </c>
    </row>
    <row r="1166">
      <c r="A1166" s="1545" t="s">
        <v>289</v>
      </c>
      <c r="B1166" s="1587">
        <v>241753.0</v>
      </c>
      <c r="C1166" s="1547">
        <v>11532.0</v>
      </c>
      <c r="D1166" s="1548">
        <v>20.4</v>
      </c>
      <c r="E1166" s="1557">
        <v>153363.0</v>
      </c>
      <c r="F1166" s="598">
        <v>61086.0</v>
      </c>
      <c r="G1166" s="598">
        <v>961.0</v>
      </c>
      <c r="H1166" s="598">
        <v>5268.0</v>
      </c>
      <c r="I1166" s="598">
        <v>76.0</v>
      </c>
      <c r="J1166" s="598">
        <v>6717.0</v>
      </c>
      <c r="K1166" s="1561">
        <v>14282.0</v>
      </c>
      <c r="L1166" s="1555">
        <v>57821.0</v>
      </c>
    </row>
    <row r="1167">
      <c r="A1167" s="1545" t="s">
        <v>1160</v>
      </c>
      <c r="B1167" s="1587">
        <v>97557.0</v>
      </c>
      <c r="C1167" s="1547">
        <v>5115.0</v>
      </c>
      <c r="D1167" s="1548">
        <v>22.8</v>
      </c>
      <c r="E1167" s="1557">
        <v>71710.0</v>
      </c>
      <c r="F1167" s="598">
        <v>14640.0</v>
      </c>
      <c r="G1167" s="598">
        <v>2554.0</v>
      </c>
      <c r="H1167" s="598">
        <v>773.0</v>
      </c>
      <c r="I1167" s="598">
        <v>31.0</v>
      </c>
      <c r="J1167" s="598">
        <v>2542.0</v>
      </c>
      <c r="K1167" s="1561">
        <v>5307.0</v>
      </c>
      <c r="L1167" s="1551">
        <v>52651.0</v>
      </c>
    </row>
    <row r="1168">
      <c r="A1168" s="1545" t="s">
        <v>729</v>
      </c>
      <c r="B1168" s="1587">
        <v>14791.0</v>
      </c>
      <c r="C1168" s="1563">
        <v>820.0</v>
      </c>
      <c r="D1168" s="1548">
        <v>24.2</v>
      </c>
      <c r="E1168" s="1557">
        <v>11348.0</v>
      </c>
      <c r="F1168" s="598">
        <v>1299.0</v>
      </c>
      <c r="G1168" s="598">
        <v>135.0</v>
      </c>
      <c r="H1168" s="598">
        <v>252.0</v>
      </c>
      <c r="I1168" s="598">
        <v>10.0</v>
      </c>
      <c r="J1168" s="598">
        <v>1254.0</v>
      </c>
      <c r="K1168" s="1561">
        <v>493.0</v>
      </c>
      <c r="L1168" s="1551">
        <v>45742.0</v>
      </c>
    </row>
    <row r="1169">
      <c r="A1169" s="1545" t="s">
        <v>290</v>
      </c>
      <c r="B1169" s="1587">
        <v>48396.0</v>
      </c>
      <c r="C1169" s="1547">
        <v>2783.0</v>
      </c>
      <c r="D1169" s="1548">
        <v>29.9</v>
      </c>
      <c r="E1169" s="1557">
        <v>26034.0</v>
      </c>
      <c r="F1169" s="598">
        <v>18729.0</v>
      </c>
      <c r="G1169" s="598">
        <v>188.0</v>
      </c>
      <c r="H1169" s="598">
        <v>685.0</v>
      </c>
      <c r="I1169" s="598">
        <v>5.0</v>
      </c>
      <c r="J1169" s="598">
        <v>836.0</v>
      </c>
      <c r="K1169" s="1561">
        <v>1919.0</v>
      </c>
      <c r="L1169" s="1555">
        <v>36525.0</v>
      </c>
    </row>
    <row r="1170">
      <c r="A1170" s="1545" t="s">
        <v>730</v>
      </c>
      <c r="B1170" s="1587">
        <v>142282.0</v>
      </c>
      <c r="C1170" s="1547">
        <v>5267.0</v>
      </c>
      <c r="D1170" s="1548">
        <v>15.0</v>
      </c>
      <c r="E1170" s="1557">
        <v>116855.0</v>
      </c>
      <c r="F1170" s="598">
        <v>11268.0</v>
      </c>
      <c r="G1170" s="598">
        <v>463.0</v>
      </c>
      <c r="H1170" s="598">
        <v>1123.0</v>
      </c>
      <c r="I1170" s="598">
        <v>38.0</v>
      </c>
      <c r="J1170" s="598">
        <v>3531.0</v>
      </c>
      <c r="K1170" s="1561">
        <v>9004.0</v>
      </c>
      <c r="L1170" s="1551">
        <v>63088.0</v>
      </c>
    </row>
    <row r="1171">
      <c r="A1171" s="1545" t="s">
        <v>151</v>
      </c>
      <c r="B1171" s="1587">
        <v>10017.0</v>
      </c>
      <c r="C1171" s="1547">
        <v>1476.0</v>
      </c>
      <c r="D1171" s="1548">
        <v>56.3</v>
      </c>
      <c r="E1171" s="1557">
        <v>3475.0</v>
      </c>
      <c r="F1171" s="598">
        <v>6224.0</v>
      </c>
      <c r="G1171" s="598">
        <v>29.0</v>
      </c>
      <c r="H1171" s="598">
        <v>6.0</v>
      </c>
      <c r="I1171" s="598">
        <v>5.0</v>
      </c>
      <c r="J1171" s="598">
        <v>45.0</v>
      </c>
      <c r="K1171" s="1561">
        <v>233.0</v>
      </c>
      <c r="L1171" s="1551">
        <v>28452.0</v>
      </c>
    </row>
    <row r="1172">
      <c r="A1172" s="1545" t="s">
        <v>1161</v>
      </c>
      <c r="B1172" s="1587">
        <v>25629.0</v>
      </c>
      <c r="C1172" s="1547">
        <v>2486.0</v>
      </c>
      <c r="D1172" s="1548">
        <v>41.1</v>
      </c>
      <c r="E1172" s="1557">
        <v>12281.0</v>
      </c>
      <c r="F1172" s="598">
        <v>12048.0</v>
      </c>
      <c r="G1172" s="598">
        <v>85.0</v>
      </c>
      <c r="H1172" s="598">
        <v>96.0</v>
      </c>
      <c r="I1172" s="598">
        <v>3.0</v>
      </c>
      <c r="J1172" s="598">
        <v>184.0</v>
      </c>
      <c r="K1172" s="1561">
        <v>932.0</v>
      </c>
      <c r="L1172" s="1551">
        <v>34023.0</v>
      </c>
    </row>
    <row r="1173">
      <c r="A1173" s="1545" t="s">
        <v>1162</v>
      </c>
      <c r="B1173" s="1587">
        <v>37515.0</v>
      </c>
      <c r="C1173" s="1547">
        <v>2983.0</v>
      </c>
      <c r="D1173" s="1548">
        <v>33.4</v>
      </c>
      <c r="E1173" s="1557">
        <v>19361.0</v>
      </c>
      <c r="F1173" s="598">
        <v>14948.0</v>
      </c>
      <c r="G1173" s="598">
        <v>326.0</v>
      </c>
      <c r="H1173" s="598">
        <v>173.0</v>
      </c>
      <c r="I1173" s="598">
        <v>20.0</v>
      </c>
      <c r="J1173" s="598">
        <v>805.0</v>
      </c>
      <c r="K1173" s="1561">
        <v>1882.0</v>
      </c>
      <c r="L1173" s="1555">
        <v>36298.0</v>
      </c>
    </row>
    <row r="1174">
      <c r="A1174" s="1545" t="s">
        <v>1163</v>
      </c>
      <c r="B1174" s="1587">
        <v>383997.0</v>
      </c>
      <c r="C1174" s="1547">
        <v>25916.0</v>
      </c>
      <c r="D1174" s="1548">
        <v>33.6</v>
      </c>
      <c r="E1174" s="1557">
        <v>126462.0</v>
      </c>
      <c r="F1174" s="598">
        <v>208273.0</v>
      </c>
      <c r="G1174" s="598">
        <v>1337.0</v>
      </c>
      <c r="H1174" s="598">
        <v>10703.0</v>
      </c>
      <c r="I1174" s="598">
        <v>147.0</v>
      </c>
      <c r="J1174" s="598">
        <v>12409.0</v>
      </c>
      <c r="K1174" s="1561">
        <v>24666.0</v>
      </c>
      <c r="L1174" s="1555">
        <v>38855.0</v>
      </c>
    </row>
    <row r="1175">
      <c r="A1175" s="1545" t="s">
        <v>298</v>
      </c>
      <c r="B1175" s="1587">
        <v>160368.0</v>
      </c>
      <c r="C1175" s="1547">
        <v>11397.0</v>
      </c>
      <c r="D1175" s="1548">
        <v>30.3</v>
      </c>
      <c r="E1175" s="1557">
        <v>88545.0</v>
      </c>
      <c r="F1175" s="598">
        <v>59083.0</v>
      </c>
      <c r="G1175" s="598">
        <v>510.0</v>
      </c>
      <c r="H1175" s="598">
        <v>2291.0</v>
      </c>
      <c r="I1175" s="598">
        <v>42.0</v>
      </c>
      <c r="J1175" s="598">
        <v>3118.0</v>
      </c>
      <c r="K1175" s="1561">
        <v>6779.0</v>
      </c>
      <c r="L1175" s="1551">
        <v>44371.0</v>
      </c>
    </row>
    <row r="1176">
      <c r="A1176" s="1545" t="s">
        <v>1164</v>
      </c>
      <c r="B1176" s="1587">
        <v>23515.0</v>
      </c>
      <c r="C1176" s="1547">
        <v>1215.0</v>
      </c>
      <c r="D1176" s="1548">
        <v>20.3</v>
      </c>
      <c r="E1176" s="1557">
        <v>14287.0</v>
      </c>
      <c r="F1176" s="598">
        <v>4920.0</v>
      </c>
      <c r="G1176" s="598">
        <v>285.0</v>
      </c>
      <c r="H1176" s="598">
        <v>1053.0</v>
      </c>
      <c r="I1176" s="598">
        <v>40.0</v>
      </c>
      <c r="J1176" s="598">
        <v>949.0</v>
      </c>
      <c r="K1176" s="1561">
        <v>1981.0</v>
      </c>
      <c r="L1176" s="1551">
        <v>58643.0</v>
      </c>
    </row>
    <row r="1177">
      <c r="A1177" s="1545" t="s">
        <v>1165</v>
      </c>
      <c r="B1177" s="1587">
        <v>20758.0</v>
      </c>
      <c r="C1177" s="1547">
        <v>1318.0</v>
      </c>
      <c r="D1177" s="1548">
        <v>27.7</v>
      </c>
      <c r="E1177" s="1557">
        <v>12395.0</v>
      </c>
      <c r="F1177" s="598">
        <v>7245.0</v>
      </c>
      <c r="G1177" s="598">
        <v>50.0</v>
      </c>
      <c r="H1177" s="598">
        <v>65.0</v>
      </c>
      <c r="I1177" s="598">
        <v>2.0</v>
      </c>
      <c r="J1177" s="598">
        <v>271.0</v>
      </c>
      <c r="K1177" s="1561">
        <v>730.0</v>
      </c>
      <c r="L1177" s="1555">
        <v>46603.0</v>
      </c>
    </row>
    <row r="1178">
      <c r="A1178" s="1545" t="s">
        <v>1166</v>
      </c>
      <c r="B1178" s="1587">
        <v>130023.0</v>
      </c>
      <c r="C1178" s="1547">
        <v>8007.0</v>
      </c>
      <c r="D1178" s="1548">
        <v>25.2</v>
      </c>
      <c r="E1178" s="1557">
        <v>77510.0</v>
      </c>
      <c r="F1178" s="598">
        <v>40484.0</v>
      </c>
      <c r="G1178" s="598">
        <v>1026.0</v>
      </c>
      <c r="H1178" s="598">
        <v>1828.0</v>
      </c>
      <c r="I1178" s="598">
        <v>35.0</v>
      </c>
      <c r="J1178" s="598">
        <v>2284.0</v>
      </c>
      <c r="K1178" s="1561">
        <v>6856.0</v>
      </c>
      <c r="L1178" s="1551">
        <v>48116.0</v>
      </c>
    </row>
    <row r="1179">
      <c r="A1179" s="1545" t="s">
        <v>1167</v>
      </c>
      <c r="B1179" s="1587">
        <v>7620.0</v>
      </c>
      <c r="C1179" s="1563">
        <v>645.0</v>
      </c>
      <c r="D1179" s="1548">
        <v>33.3</v>
      </c>
      <c r="E1179" s="1557">
        <v>4195.0</v>
      </c>
      <c r="F1179" s="598">
        <v>2965.0</v>
      </c>
      <c r="G1179" s="598">
        <v>47.0</v>
      </c>
      <c r="H1179" s="598">
        <v>1.0</v>
      </c>
      <c r="I1179" s="598">
        <v>0.0</v>
      </c>
      <c r="J1179" s="598">
        <v>67.0</v>
      </c>
      <c r="K1179" s="1561">
        <v>345.0</v>
      </c>
      <c r="L1179" s="1551">
        <v>36865.0</v>
      </c>
    </row>
    <row r="1180">
      <c r="A1180" s="1545" t="s">
        <v>743</v>
      </c>
      <c r="B1180" s="1587">
        <v>20043.0</v>
      </c>
      <c r="C1180" s="1547">
        <v>1715.0</v>
      </c>
      <c r="D1180" s="1548">
        <v>36.9</v>
      </c>
      <c r="E1180" s="1557">
        <v>11785.0</v>
      </c>
      <c r="F1180" s="598">
        <v>7336.0</v>
      </c>
      <c r="G1180" s="598">
        <v>55.0</v>
      </c>
      <c r="H1180" s="598">
        <v>50.0</v>
      </c>
      <c r="I1180" s="598">
        <v>0.0</v>
      </c>
      <c r="J1180" s="598">
        <v>171.0</v>
      </c>
      <c r="K1180" s="1561">
        <v>646.0</v>
      </c>
      <c r="L1180" s="1551">
        <v>35103.0</v>
      </c>
    </row>
    <row r="1181">
      <c r="A1181" s="1545" t="s">
        <v>1168</v>
      </c>
      <c r="B1181" s="1587">
        <v>22155.0</v>
      </c>
      <c r="C1181" s="1547">
        <v>1684.0</v>
      </c>
      <c r="D1181" s="1548">
        <v>30.1</v>
      </c>
      <c r="E1181" s="1557">
        <v>15036.0</v>
      </c>
      <c r="F1181" s="598">
        <v>3529.0</v>
      </c>
      <c r="G1181" s="598">
        <v>1926.0</v>
      </c>
      <c r="H1181" s="598">
        <v>63.0</v>
      </c>
      <c r="I1181" s="598">
        <v>12.0</v>
      </c>
      <c r="J1181" s="598">
        <v>226.0</v>
      </c>
      <c r="K1181" s="1561">
        <v>1363.0</v>
      </c>
      <c r="L1181" s="1551">
        <v>36423.0</v>
      </c>
    </row>
    <row r="1182">
      <c r="A1182" s="1545" t="s">
        <v>2824</v>
      </c>
      <c r="B1182" s="1587">
        <v>43764.0</v>
      </c>
      <c r="C1182" s="1547">
        <v>3649.0</v>
      </c>
      <c r="D1182" s="1548">
        <v>29.8</v>
      </c>
      <c r="E1182" s="1557">
        <v>24497.0</v>
      </c>
      <c r="F1182" s="598">
        <v>11507.0</v>
      </c>
      <c r="G1182" s="598">
        <v>323.0</v>
      </c>
      <c r="H1182" s="598">
        <v>997.0</v>
      </c>
      <c r="I1182" s="598">
        <v>18.0</v>
      </c>
      <c r="J1182" s="598">
        <v>2101.0</v>
      </c>
      <c r="K1182" s="1561">
        <v>4321.0</v>
      </c>
      <c r="L1182" s="1551">
        <v>43983.0</v>
      </c>
    </row>
    <row r="1183">
      <c r="A1183" s="1545" t="s">
        <v>2825</v>
      </c>
      <c r="B1183" s="1587">
        <v>52549.0</v>
      </c>
      <c r="C1183" s="1547">
        <v>2774.0</v>
      </c>
      <c r="D1183" s="1548">
        <v>21.7</v>
      </c>
      <c r="E1183" s="1557">
        <v>33550.0</v>
      </c>
      <c r="F1183" s="598">
        <v>13133.0</v>
      </c>
      <c r="G1183" s="598">
        <v>259.0</v>
      </c>
      <c r="H1183" s="598">
        <v>576.0</v>
      </c>
      <c r="I1183" s="598">
        <v>20.0</v>
      </c>
      <c r="J1183" s="598">
        <v>1315.0</v>
      </c>
      <c r="K1183" s="1561">
        <v>3696.0</v>
      </c>
      <c r="L1183" s="1551">
        <v>67585.0</v>
      </c>
    </row>
    <row r="1184">
      <c r="A1184" s="1545" t="s">
        <v>2826</v>
      </c>
      <c r="B1184" s="1587">
        <v>10920.0</v>
      </c>
      <c r="C1184" s="1563">
        <v>748.0</v>
      </c>
      <c r="D1184" s="1548">
        <v>35.3</v>
      </c>
      <c r="E1184" s="1557">
        <v>4527.0</v>
      </c>
      <c r="F1184" s="598">
        <v>5861.0</v>
      </c>
      <c r="G1184" s="598">
        <v>45.0</v>
      </c>
      <c r="H1184" s="598">
        <v>20.0</v>
      </c>
      <c r="I1184" s="598">
        <v>7.0</v>
      </c>
      <c r="J1184" s="598">
        <v>107.0</v>
      </c>
      <c r="K1184" s="1561">
        <v>353.0</v>
      </c>
      <c r="L1184" s="1551">
        <v>38699.0</v>
      </c>
    </row>
    <row r="1185">
      <c r="A1185" s="1545" t="s">
        <v>2827</v>
      </c>
      <c r="B1185" s="1587">
        <v>20192.0</v>
      </c>
      <c r="C1185" s="1547">
        <v>1173.0</v>
      </c>
      <c r="D1185" s="1548">
        <v>25.0</v>
      </c>
      <c r="E1185" s="1557">
        <v>9973.0</v>
      </c>
      <c r="F1185" s="598">
        <v>9523.0</v>
      </c>
      <c r="G1185" s="598">
        <v>34.0</v>
      </c>
      <c r="H1185" s="598">
        <v>31.0</v>
      </c>
      <c r="I1185" s="598">
        <v>5.0</v>
      </c>
      <c r="J1185" s="598">
        <v>147.0</v>
      </c>
      <c r="K1185" s="1561">
        <v>479.0</v>
      </c>
      <c r="L1185" s="1551">
        <v>53903.0</v>
      </c>
    </row>
    <row r="1186">
      <c r="A1186" s="1545" t="s">
        <v>4291</v>
      </c>
      <c r="B1186" s="1587">
        <v>42477.0</v>
      </c>
      <c r="C1186" s="1547">
        <v>3040.0</v>
      </c>
      <c r="D1186" s="1548">
        <v>28.9</v>
      </c>
      <c r="E1186" s="1557">
        <v>13877.0</v>
      </c>
      <c r="F1186" s="598">
        <v>24305.0</v>
      </c>
      <c r="G1186" s="598">
        <v>167.0</v>
      </c>
      <c r="H1186" s="598">
        <v>317.0</v>
      </c>
      <c r="I1186" s="598">
        <v>12.0</v>
      </c>
      <c r="J1186" s="598">
        <v>1505.0</v>
      </c>
      <c r="K1186" s="1561">
        <v>2294.0</v>
      </c>
      <c r="L1186" s="1555">
        <v>50830.0</v>
      </c>
    </row>
    <row r="1187">
      <c r="A1187" s="1545" t="s">
        <v>2831</v>
      </c>
      <c r="B1187" s="1587">
        <v>82540.0</v>
      </c>
      <c r="C1187" s="1547">
        <v>10228.0</v>
      </c>
      <c r="D1187" s="1548">
        <v>46.6</v>
      </c>
      <c r="E1187" s="1557">
        <v>43611.0</v>
      </c>
      <c r="F1187" s="598">
        <v>34360.0</v>
      </c>
      <c r="G1187" s="598">
        <v>202.0</v>
      </c>
      <c r="H1187" s="598">
        <v>380.0</v>
      </c>
      <c r="I1187" s="598">
        <v>13.0</v>
      </c>
      <c r="J1187" s="598">
        <v>1206.0</v>
      </c>
      <c r="K1187" s="1561">
        <v>2768.0</v>
      </c>
      <c r="L1187" s="1551">
        <v>36624.0</v>
      </c>
    </row>
    <row r="1188">
      <c r="A1188" s="1545" t="s">
        <v>2837</v>
      </c>
      <c r="B1188" s="1587">
        <v>51767.0</v>
      </c>
      <c r="C1188" s="1547">
        <v>3507.0</v>
      </c>
      <c r="D1188" s="1548">
        <v>27.5</v>
      </c>
      <c r="E1188" s="1557">
        <v>33259.0</v>
      </c>
      <c r="F1188" s="598">
        <v>15099.0</v>
      </c>
      <c r="G1188" s="598">
        <v>202.0</v>
      </c>
      <c r="H1188" s="598">
        <v>441.0</v>
      </c>
      <c r="I1188" s="598">
        <v>3.0</v>
      </c>
      <c r="J1188" s="598">
        <v>730.0</v>
      </c>
      <c r="K1188" s="1561">
        <v>2033.0</v>
      </c>
      <c r="L1188" s="1551">
        <v>46229.0</v>
      </c>
    </row>
    <row r="1189">
      <c r="A1189" s="1545" t="s">
        <v>2841</v>
      </c>
      <c r="B1189" s="1587">
        <v>49406.0</v>
      </c>
      <c r="C1189" s="1547">
        <v>3368.0</v>
      </c>
      <c r="D1189" s="1548">
        <v>28.8</v>
      </c>
      <c r="E1189" s="1557">
        <v>26949.0</v>
      </c>
      <c r="F1189" s="598">
        <v>15058.0</v>
      </c>
      <c r="G1189" s="598">
        <v>1006.0</v>
      </c>
      <c r="H1189" s="598">
        <v>647.0</v>
      </c>
      <c r="I1189" s="598">
        <v>13.0</v>
      </c>
      <c r="J1189" s="598">
        <v>2465.0</v>
      </c>
      <c r="K1189" s="1561">
        <v>3268.0</v>
      </c>
      <c r="L1189" s="1555">
        <v>39764.0</v>
      </c>
    </row>
    <row r="1190">
      <c r="A1190" s="1545" t="s">
        <v>2854</v>
      </c>
      <c r="B1190" s="1587">
        <v>264570.0</v>
      </c>
      <c r="C1190" s="1547">
        <v>10358.0</v>
      </c>
      <c r="D1190" s="1548">
        <v>17.0</v>
      </c>
      <c r="E1190" s="1557">
        <v>196641.0</v>
      </c>
      <c r="F1190" s="598">
        <v>34356.0</v>
      </c>
      <c r="G1190" s="598">
        <v>1184.0</v>
      </c>
      <c r="H1190" s="598">
        <v>3898.0</v>
      </c>
      <c r="I1190" s="598">
        <v>105.0</v>
      </c>
      <c r="J1190" s="598">
        <v>6012.0</v>
      </c>
      <c r="K1190" s="1561">
        <v>22374.0</v>
      </c>
      <c r="L1190" s="1555">
        <v>67054.0</v>
      </c>
    </row>
    <row r="1191">
      <c r="A1191" s="1545" t="s">
        <v>1178</v>
      </c>
      <c r="B1191" s="1587">
        <v>133157.0</v>
      </c>
      <c r="C1191" s="1547">
        <v>7838.0</v>
      </c>
      <c r="D1191" s="1548">
        <v>24.3</v>
      </c>
      <c r="E1191" s="1557">
        <v>81336.0</v>
      </c>
      <c r="F1191" s="598">
        <v>40039.0</v>
      </c>
      <c r="G1191" s="598">
        <v>533.0</v>
      </c>
      <c r="H1191" s="598">
        <v>1003.0</v>
      </c>
      <c r="I1191" s="598">
        <v>24.0</v>
      </c>
      <c r="J1191" s="598">
        <v>2986.0</v>
      </c>
      <c r="K1191" s="1561">
        <v>7236.0</v>
      </c>
      <c r="L1191" s="1551">
        <v>47128.0</v>
      </c>
    </row>
    <row r="1192">
      <c r="A1192" s="1545" t="s">
        <v>1179</v>
      </c>
      <c r="B1192" s="1587">
        <v>4147.0</v>
      </c>
      <c r="C1192" s="1563">
        <v>486.0</v>
      </c>
      <c r="D1192" s="1548">
        <v>47.7</v>
      </c>
      <c r="E1192" s="1557">
        <v>1744.0</v>
      </c>
      <c r="F1192" s="598">
        <v>2250.0</v>
      </c>
      <c r="G1192" s="598">
        <v>0.0</v>
      </c>
      <c r="H1192" s="598">
        <v>6.0</v>
      </c>
      <c r="I1192" s="598">
        <v>1.0</v>
      </c>
      <c r="J1192" s="598">
        <v>19.0</v>
      </c>
      <c r="K1192" s="1561">
        <v>127.0</v>
      </c>
      <c r="L1192" s="1555">
        <v>28962.0</v>
      </c>
    </row>
    <row r="1193">
      <c r="A1193" s="1545" t="s">
        <v>1180</v>
      </c>
      <c r="B1193" s="1587">
        <v>109580.0</v>
      </c>
      <c r="C1193" s="1547">
        <v>6216.0</v>
      </c>
      <c r="D1193" s="1548">
        <v>22.6</v>
      </c>
      <c r="E1193" s="1557">
        <v>69934.0</v>
      </c>
      <c r="F1193" s="598">
        <v>21253.0</v>
      </c>
      <c r="G1193" s="598">
        <v>6070.0</v>
      </c>
      <c r="H1193" s="598">
        <v>1322.0</v>
      </c>
      <c r="I1193" s="598">
        <v>40.0</v>
      </c>
      <c r="J1193" s="598">
        <v>3834.0</v>
      </c>
      <c r="K1193" s="1561">
        <v>7127.0</v>
      </c>
      <c r="L1193" s="1555">
        <v>51665.0</v>
      </c>
    </row>
    <row r="1194">
      <c r="A1194" s="1545" t="s">
        <v>316</v>
      </c>
      <c r="B1194" s="1587">
        <v>21107.0</v>
      </c>
      <c r="C1194" s="1547">
        <v>1427.0</v>
      </c>
      <c r="D1194" s="1548">
        <v>29.5</v>
      </c>
      <c r="E1194" s="1557">
        <v>14460.0</v>
      </c>
      <c r="F1194" s="598">
        <v>4995.0</v>
      </c>
      <c r="G1194" s="598">
        <v>77.0</v>
      </c>
      <c r="H1194" s="598">
        <v>38.0</v>
      </c>
      <c r="I1194" s="598">
        <v>10.0</v>
      </c>
      <c r="J1194" s="598">
        <v>728.0</v>
      </c>
      <c r="K1194" s="1561">
        <v>799.0</v>
      </c>
      <c r="L1194" s="1555">
        <v>43584.0</v>
      </c>
    </row>
    <row r="1195">
      <c r="A1195" s="1545" t="s">
        <v>750</v>
      </c>
      <c r="B1195" s="1587">
        <v>57359.0</v>
      </c>
      <c r="C1195" s="1547">
        <v>3775.0</v>
      </c>
      <c r="D1195" s="1548">
        <v>25.2</v>
      </c>
      <c r="E1195" s="1557">
        <v>44477.0</v>
      </c>
      <c r="F1195" s="598">
        <v>7931.0</v>
      </c>
      <c r="G1195" s="598">
        <v>195.0</v>
      </c>
      <c r="H1195" s="598">
        <v>1263.0</v>
      </c>
      <c r="I1195" s="598">
        <v>13.0</v>
      </c>
      <c r="J1195" s="598">
        <v>969.0</v>
      </c>
      <c r="K1195" s="1561">
        <v>2511.0</v>
      </c>
      <c r="L1195" s="1555">
        <v>48263.0</v>
      </c>
    </row>
    <row r="1196">
      <c r="A1196" s="1545" t="s">
        <v>1181</v>
      </c>
      <c r="B1196" s="1587">
        <v>48750.0</v>
      </c>
      <c r="C1196" s="1547">
        <v>2827.0</v>
      </c>
      <c r="D1196" s="1548">
        <v>23.6</v>
      </c>
      <c r="E1196" s="1557">
        <v>35087.0</v>
      </c>
      <c r="F1196" s="598">
        <v>6491.0</v>
      </c>
      <c r="G1196" s="598">
        <v>566.0</v>
      </c>
      <c r="H1196" s="598">
        <v>888.0</v>
      </c>
      <c r="I1196" s="598">
        <v>301.0</v>
      </c>
      <c r="J1196" s="598">
        <v>1334.0</v>
      </c>
      <c r="K1196" s="1561">
        <v>4083.0</v>
      </c>
      <c r="L1196" s="1555">
        <v>47664.0</v>
      </c>
    </row>
    <row r="1197">
      <c r="A1197" s="1545" t="s">
        <v>119</v>
      </c>
      <c r="B1197" s="1587">
        <v>45463.0</v>
      </c>
      <c r="C1197" s="1547">
        <v>4046.0</v>
      </c>
      <c r="D1197" s="1548">
        <v>36.7</v>
      </c>
      <c r="E1197" s="1557">
        <v>29943.0</v>
      </c>
      <c r="F1197" s="598">
        <v>12858.0</v>
      </c>
      <c r="G1197" s="598">
        <v>143.0</v>
      </c>
      <c r="H1197" s="598">
        <v>164.0</v>
      </c>
      <c r="I1197" s="598">
        <v>0.0</v>
      </c>
      <c r="J1197" s="598">
        <v>556.0</v>
      </c>
      <c r="K1197" s="1561">
        <v>1799.0</v>
      </c>
      <c r="L1197" s="1555">
        <v>36850.0</v>
      </c>
    </row>
    <row r="1198">
      <c r="A1198" s="1545" t="s">
        <v>648</v>
      </c>
      <c r="B1198" s="1587">
        <v>36967.0</v>
      </c>
      <c r="C1198" s="1547">
        <v>2983.0</v>
      </c>
      <c r="D1198" s="1548">
        <v>34.5</v>
      </c>
      <c r="E1198" s="1557">
        <v>22735.0</v>
      </c>
      <c r="F1198" s="598">
        <v>12185.0</v>
      </c>
      <c r="G1198" s="598">
        <v>149.0</v>
      </c>
      <c r="H1198" s="598">
        <v>138.0</v>
      </c>
      <c r="I1198" s="598">
        <v>12.0</v>
      </c>
      <c r="J1198" s="598">
        <v>328.0</v>
      </c>
      <c r="K1198" s="1561">
        <v>1420.0</v>
      </c>
      <c r="L1198" s="1555">
        <v>35070.0</v>
      </c>
    </row>
    <row r="1199">
      <c r="A1199" s="1545" t="s">
        <v>1182</v>
      </c>
      <c r="B1199" s="1587">
        <v>27199.0</v>
      </c>
      <c r="C1199" s="1547">
        <v>1277.0</v>
      </c>
      <c r="D1199" s="1548">
        <v>20.0</v>
      </c>
      <c r="E1199" s="1557">
        <v>14307.0</v>
      </c>
      <c r="F1199" s="598">
        <v>10754.0</v>
      </c>
      <c r="G1199" s="598">
        <v>85.0</v>
      </c>
      <c r="H1199" s="598">
        <v>220.0</v>
      </c>
      <c r="I1199" s="598">
        <v>10.0</v>
      </c>
      <c r="J1199" s="598">
        <v>586.0</v>
      </c>
      <c r="K1199" s="1561">
        <v>1237.0</v>
      </c>
      <c r="L1199" s="1555">
        <v>58205.0</v>
      </c>
    </row>
    <row r="1200">
      <c r="A1200" s="1545" t="s">
        <v>1183</v>
      </c>
      <c r="B1200" s="1587">
        <v>9751.0</v>
      </c>
      <c r="C1200" s="1563">
        <v>847.0</v>
      </c>
      <c r="D1200" s="1548">
        <v>34.0</v>
      </c>
      <c r="E1200" s="1557">
        <v>7894.0</v>
      </c>
      <c r="F1200" s="598">
        <v>1341.0</v>
      </c>
      <c r="G1200" s="598">
        <v>37.0</v>
      </c>
      <c r="H1200" s="598">
        <v>14.0</v>
      </c>
      <c r="I1200" s="598">
        <v>5.0</v>
      </c>
      <c r="J1200" s="598">
        <v>130.0</v>
      </c>
      <c r="K1200" s="1561">
        <v>330.0</v>
      </c>
      <c r="L1200" s="1555">
        <v>39332.0</v>
      </c>
    </row>
    <row r="1201">
      <c r="A1201" s="1545" t="s">
        <v>1184</v>
      </c>
      <c r="B1201" s="1587">
        <v>15310.0</v>
      </c>
      <c r="C1201" s="1563">
        <v>480.0</v>
      </c>
      <c r="D1201" s="1548">
        <v>19.3</v>
      </c>
      <c r="E1201" s="1557">
        <v>10883.0</v>
      </c>
      <c r="F1201" s="598">
        <v>3618.0</v>
      </c>
      <c r="G1201" s="598">
        <v>99.0</v>
      </c>
      <c r="H1201" s="598">
        <v>30.0</v>
      </c>
      <c r="I1201" s="598">
        <v>5.0</v>
      </c>
      <c r="J1201" s="598">
        <v>224.0</v>
      </c>
      <c r="K1201" s="1561">
        <v>451.0</v>
      </c>
      <c r="L1201" s="1615">
        <v>60296.0</v>
      </c>
    </row>
    <row r="1202">
      <c r="A1202" s="1528" t="s">
        <v>1185</v>
      </c>
      <c r="B1202" s="1595">
        <v>13755.0</v>
      </c>
      <c r="C1202" s="1582">
        <v>844.0</v>
      </c>
      <c r="D1202" s="1567">
        <v>28.7</v>
      </c>
      <c r="E1202" s="1532">
        <v>8594.0</v>
      </c>
      <c r="F1202" s="1533">
        <v>3525.0</v>
      </c>
      <c r="G1202" s="1533">
        <v>77.0</v>
      </c>
      <c r="H1202" s="1533">
        <v>173.0</v>
      </c>
      <c r="I1202" s="1533">
        <v>20.0</v>
      </c>
      <c r="J1202" s="1533">
        <v>872.0</v>
      </c>
      <c r="K1202" s="1616">
        <v>494.0</v>
      </c>
      <c r="L1202" s="1617">
        <v>40133.0</v>
      </c>
    </row>
    <row r="1203">
      <c r="A1203" s="1538" t="s">
        <v>56</v>
      </c>
      <c r="B1203" s="1626">
        <v>1338404.0</v>
      </c>
      <c r="C1203" s="1540">
        <v>35960.0</v>
      </c>
      <c r="D1203" s="1571">
        <v>14.8</v>
      </c>
      <c r="E1203" s="1572">
        <v>1237041.0</v>
      </c>
      <c r="F1203" s="1542">
        <v>25752.0</v>
      </c>
      <c r="G1203" s="1542">
        <v>7885.0</v>
      </c>
      <c r="H1203" s="1542">
        <v>16798.0</v>
      </c>
      <c r="I1203" s="1542">
        <v>443.0</v>
      </c>
      <c r="J1203" s="1542">
        <v>9730.0</v>
      </c>
      <c r="K1203" s="1543">
        <v>64710.0</v>
      </c>
      <c r="L1203" s="1625">
        <v>55579.0</v>
      </c>
    </row>
    <row r="1204">
      <c r="A1204" s="1545" t="s">
        <v>1187</v>
      </c>
      <c r="B1204" s="1627">
        <v>107914.0</v>
      </c>
      <c r="C1204" s="1547">
        <v>3908.0</v>
      </c>
      <c r="D1204" s="1548">
        <v>17.3</v>
      </c>
      <c r="E1204" s="1557">
        <v>96625.0</v>
      </c>
      <c r="F1204" s="598">
        <v>6531.0</v>
      </c>
      <c r="G1204" s="598">
        <v>420.0</v>
      </c>
      <c r="H1204" s="598">
        <v>906.0</v>
      </c>
      <c r="I1204" s="598">
        <v>58.0</v>
      </c>
      <c r="J1204" s="598">
        <v>830.0</v>
      </c>
      <c r="K1204" s="1561">
        <v>5769.0</v>
      </c>
      <c r="L1204" s="1555">
        <v>49935.0</v>
      </c>
    </row>
    <row r="1205">
      <c r="A1205" s="1545" t="s">
        <v>1188</v>
      </c>
      <c r="B1205" s="1628">
        <v>67318.0</v>
      </c>
      <c r="C1205" s="1547">
        <v>2258.0</v>
      </c>
      <c r="D1205" s="1548">
        <v>19.1</v>
      </c>
      <c r="E1205" s="1557">
        <v>62521.0</v>
      </c>
      <c r="F1205" s="598">
        <v>447.0</v>
      </c>
      <c r="G1205" s="598">
        <v>1221.0</v>
      </c>
      <c r="H1205" s="598">
        <v>396.0</v>
      </c>
      <c r="I1205" s="598">
        <v>21.0</v>
      </c>
      <c r="J1205" s="598">
        <v>294.0</v>
      </c>
      <c r="K1205" s="1561">
        <v>2205.0</v>
      </c>
      <c r="L1205" s="1555">
        <v>39450.0</v>
      </c>
    </row>
    <row r="1206">
      <c r="A1206" s="1545" t="s">
        <v>713</v>
      </c>
      <c r="B1206" s="1628">
        <v>293673.0</v>
      </c>
      <c r="C1206" s="1547">
        <v>4296.0</v>
      </c>
      <c r="D1206" s="1548">
        <v>8.0</v>
      </c>
      <c r="E1206" s="1557">
        <v>264408.0</v>
      </c>
      <c r="F1206" s="598">
        <v>12120.0</v>
      </c>
      <c r="G1206" s="598">
        <v>831.0</v>
      </c>
      <c r="H1206" s="598">
        <v>7204.0</v>
      </c>
      <c r="I1206" s="598">
        <v>98.0</v>
      </c>
      <c r="J1206" s="598">
        <v>2962.0</v>
      </c>
      <c r="K1206" s="1561">
        <v>15446.0</v>
      </c>
      <c r="L1206" s="1551">
        <v>71586.0</v>
      </c>
    </row>
    <row r="1207">
      <c r="A1207" s="1545" t="s">
        <v>136</v>
      </c>
      <c r="B1207" s="1628">
        <v>29915.0</v>
      </c>
      <c r="C1207" s="1547">
        <v>1032.0</v>
      </c>
      <c r="D1207" s="1548">
        <v>20.4</v>
      </c>
      <c r="E1207" s="1557">
        <v>27356.0</v>
      </c>
      <c r="F1207" s="598">
        <v>174.0</v>
      </c>
      <c r="G1207" s="598">
        <v>73.0</v>
      </c>
      <c r="H1207" s="598">
        <v>386.0</v>
      </c>
      <c r="I1207" s="598">
        <v>24.0</v>
      </c>
      <c r="J1207" s="598">
        <v>182.0</v>
      </c>
      <c r="K1207" s="1561">
        <v>1261.0</v>
      </c>
      <c r="L1207" s="1551">
        <v>49561.0</v>
      </c>
    </row>
    <row r="1208">
      <c r="A1208" s="1545" t="s">
        <v>587</v>
      </c>
      <c r="B1208" s="1628">
        <v>54734.0</v>
      </c>
      <c r="C1208" s="1547">
        <v>1444.0</v>
      </c>
      <c r="D1208" s="1548">
        <v>15.9</v>
      </c>
      <c r="E1208" s="1557">
        <v>51444.0</v>
      </c>
      <c r="F1208" s="598">
        <v>355.0</v>
      </c>
      <c r="G1208" s="598">
        <v>262.0</v>
      </c>
      <c r="H1208" s="598">
        <v>566.0</v>
      </c>
      <c r="I1208" s="598">
        <v>10.0</v>
      </c>
      <c r="J1208" s="598">
        <v>393.0</v>
      </c>
      <c r="K1208" s="1561">
        <v>2448.0</v>
      </c>
      <c r="L1208" s="1555">
        <v>52148.0</v>
      </c>
    </row>
    <row r="1209">
      <c r="A1209" s="1545" t="s">
        <v>1189</v>
      </c>
      <c r="B1209" s="1628">
        <v>122044.0</v>
      </c>
      <c r="C1209" s="1547">
        <v>3413.0</v>
      </c>
      <c r="D1209" s="1548">
        <v>15.0</v>
      </c>
      <c r="E1209" s="1557">
        <v>113639.0</v>
      </c>
      <c r="F1209" s="598">
        <v>919.0</v>
      </c>
      <c r="G1209" s="598">
        <v>511.0</v>
      </c>
      <c r="H1209" s="598">
        <v>1227.0</v>
      </c>
      <c r="I1209" s="598">
        <v>29.0</v>
      </c>
      <c r="J1209" s="598">
        <v>850.0</v>
      </c>
      <c r="K1209" s="1561">
        <v>6467.0</v>
      </c>
      <c r="L1209" s="1551">
        <v>52154.0</v>
      </c>
    </row>
    <row r="1210">
      <c r="A1210" s="1545" t="s">
        <v>728</v>
      </c>
      <c r="B1210" s="1628">
        <v>39717.0</v>
      </c>
      <c r="C1210" s="1547">
        <v>1109.0</v>
      </c>
      <c r="D1210" s="1548">
        <v>16.1</v>
      </c>
      <c r="E1210" s="1557">
        <v>37713.0</v>
      </c>
      <c r="F1210" s="598">
        <v>272.0</v>
      </c>
      <c r="G1210" s="598">
        <v>154.0</v>
      </c>
      <c r="H1210" s="598">
        <v>250.0</v>
      </c>
      <c r="I1210" s="598">
        <v>18.0</v>
      </c>
      <c r="J1210" s="598">
        <v>276.0</v>
      </c>
      <c r="K1210" s="1561">
        <v>1924.0</v>
      </c>
      <c r="L1210" s="1551">
        <v>56678.0</v>
      </c>
    </row>
    <row r="1211">
      <c r="A1211" s="1545" t="s">
        <v>290</v>
      </c>
      <c r="B1211" s="1628">
        <v>34399.0</v>
      </c>
      <c r="C1211" s="1563">
        <v>935.0</v>
      </c>
      <c r="D1211" s="1548">
        <v>16.8</v>
      </c>
      <c r="E1211" s="1557">
        <v>33215.0</v>
      </c>
      <c r="F1211" s="598">
        <v>165.0</v>
      </c>
      <c r="G1211" s="598">
        <v>105.0</v>
      </c>
      <c r="H1211" s="598">
        <v>234.0</v>
      </c>
      <c r="I1211" s="598">
        <v>9.0</v>
      </c>
      <c r="J1211" s="598">
        <v>141.0</v>
      </c>
      <c r="K1211" s="1561">
        <v>1368.0</v>
      </c>
      <c r="L1211" s="1551">
        <v>56211.0</v>
      </c>
    </row>
    <row r="1212">
      <c r="A1212" s="1545" t="s">
        <v>1190</v>
      </c>
      <c r="B1212" s="1628">
        <v>57754.0</v>
      </c>
      <c r="C1212" s="1547">
        <v>2674.0</v>
      </c>
      <c r="D1212" s="1548">
        <v>26.3</v>
      </c>
      <c r="E1212" s="1557">
        <v>53795.0</v>
      </c>
      <c r="F1212" s="598">
        <v>229.0</v>
      </c>
      <c r="G1212" s="598">
        <v>197.0</v>
      </c>
      <c r="H1212" s="598">
        <v>275.0</v>
      </c>
      <c r="I1212" s="598">
        <v>18.0</v>
      </c>
      <c r="J1212" s="598">
        <v>312.0</v>
      </c>
      <c r="K1212" s="1561">
        <v>2951.0</v>
      </c>
      <c r="L1212" s="1555">
        <v>44243.0</v>
      </c>
    </row>
    <row r="1213">
      <c r="A1213" s="1545" t="s">
        <v>1191</v>
      </c>
      <c r="B1213" s="1628">
        <v>151817.0</v>
      </c>
      <c r="C1213" s="1547">
        <v>4554.0</v>
      </c>
      <c r="D1213" s="1548">
        <v>17.1</v>
      </c>
      <c r="E1213" s="1557">
        <v>139311.0</v>
      </c>
      <c r="F1213" s="598">
        <v>1507.0</v>
      </c>
      <c r="G1213" s="598">
        <v>1431.0</v>
      </c>
      <c r="H1213" s="598">
        <v>1865.0</v>
      </c>
      <c r="I1213" s="598">
        <v>46.0</v>
      </c>
      <c r="J1213" s="598">
        <v>901.0</v>
      </c>
      <c r="K1213" s="1561">
        <v>7138.0</v>
      </c>
      <c r="L1213" s="1551">
        <v>47840.0</v>
      </c>
    </row>
    <row r="1214">
      <c r="A1214" s="1545" t="s">
        <v>1192</v>
      </c>
      <c r="B1214" s="1628">
        <v>16746.0</v>
      </c>
      <c r="C1214" s="1563">
        <v>640.0</v>
      </c>
      <c r="D1214" s="1548">
        <v>23.8</v>
      </c>
      <c r="E1214" s="1557">
        <v>15572.0</v>
      </c>
      <c r="F1214" s="598">
        <v>61.0</v>
      </c>
      <c r="G1214" s="598">
        <v>113.0</v>
      </c>
      <c r="H1214" s="598">
        <v>120.0</v>
      </c>
      <c r="I1214" s="598">
        <v>7.0</v>
      </c>
      <c r="J1214" s="598">
        <v>119.0</v>
      </c>
      <c r="K1214" s="1561">
        <v>808.0</v>
      </c>
      <c r="L1214" s="1551">
        <v>40066.0</v>
      </c>
    </row>
    <row r="1215">
      <c r="A1215" s="1545" t="s">
        <v>1193</v>
      </c>
      <c r="B1215" s="1628">
        <v>35690.0</v>
      </c>
      <c r="C1215" s="1563">
        <v>865.0</v>
      </c>
      <c r="D1215" s="1548">
        <v>13.0</v>
      </c>
      <c r="E1215" s="1557">
        <v>34046.0</v>
      </c>
      <c r="F1215" s="598">
        <v>314.0</v>
      </c>
      <c r="G1215" s="598">
        <v>113.0</v>
      </c>
      <c r="H1215" s="598">
        <v>258.0</v>
      </c>
      <c r="I1215" s="598">
        <v>4.0</v>
      </c>
      <c r="J1215" s="598">
        <v>189.0</v>
      </c>
      <c r="K1215" s="1561">
        <v>1775.0</v>
      </c>
      <c r="L1215" s="1551">
        <v>65969.0</v>
      </c>
    </row>
    <row r="1216">
      <c r="A1216" s="1545" t="s">
        <v>1194</v>
      </c>
      <c r="B1216" s="1628">
        <v>50489.0</v>
      </c>
      <c r="C1216" s="1547">
        <v>1938.0</v>
      </c>
      <c r="D1216" s="1548">
        <v>21.1</v>
      </c>
      <c r="E1216" s="1557">
        <v>47184.0</v>
      </c>
      <c r="F1216" s="598">
        <v>250.0</v>
      </c>
      <c r="G1216" s="598">
        <v>237.0</v>
      </c>
      <c r="H1216" s="598">
        <v>263.0</v>
      </c>
      <c r="I1216" s="598">
        <v>18.0</v>
      </c>
      <c r="J1216" s="598">
        <v>258.0</v>
      </c>
      <c r="K1216" s="1561">
        <v>2267.0</v>
      </c>
      <c r="L1216" s="1551">
        <v>43755.0</v>
      </c>
    </row>
    <row r="1217">
      <c r="A1217" s="1545" t="s">
        <v>1195</v>
      </c>
      <c r="B1217" s="1628">
        <v>39657.0</v>
      </c>
      <c r="C1217" s="1547">
        <v>1421.0</v>
      </c>
      <c r="D1217" s="1548">
        <v>20.2</v>
      </c>
      <c r="E1217" s="1557">
        <v>37097.0</v>
      </c>
      <c r="F1217" s="598">
        <v>148.0</v>
      </c>
      <c r="G1217" s="598">
        <v>153.0</v>
      </c>
      <c r="H1217" s="598">
        <v>207.0</v>
      </c>
      <c r="I1217" s="598">
        <v>12.0</v>
      </c>
      <c r="J1217" s="598">
        <v>227.0</v>
      </c>
      <c r="K1217" s="1561">
        <v>1763.0</v>
      </c>
      <c r="L1217" s="1583">
        <v>49482.0</v>
      </c>
    </row>
    <row r="1218">
      <c r="A1218" s="1545" t="s">
        <v>119</v>
      </c>
      <c r="B1218" s="1628">
        <v>31321.0</v>
      </c>
      <c r="C1218" s="1547">
        <v>1534.0</v>
      </c>
      <c r="D1218" s="1548">
        <v>26.8</v>
      </c>
      <c r="E1218" s="1557">
        <v>27789.0</v>
      </c>
      <c r="F1218" s="598">
        <v>162.0</v>
      </c>
      <c r="G1218" s="598">
        <v>1407.0</v>
      </c>
      <c r="H1218" s="598">
        <v>121.0</v>
      </c>
      <c r="I1218" s="598">
        <v>10.0</v>
      </c>
      <c r="J1218" s="598">
        <v>294.0</v>
      </c>
      <c r="K1218" s="1629">
        <v>1312.0</v>
      </c>
      <c r="L1218" s="1630">
        <v>39522.0</v>
      </c>
    </row>
    <row r="1219">
      <c r="A1219" s="1528" t="s">
        <v>1196</v>
      </c>
      <c r="B1219" s="1631">
        <v>205869.0</v>
      </c>
      <c r="C1219" s="1530">
        <v>3940.0</v>
      </c>
      <c r="D1219" s="1567">
        <v>10.5</v>
      </c>
      <c r="E1219" s="1532">
        <v>195326.0</v>
      </c>
      <c r="F1219" s="1533">
        <v>2098.0</v>
      </c>
      <c r="G1219" s="1533">
        <v>657.0</v>
      </c>
      <c r="H1219" s="1533">
        <v>2520.0</v>
      </c>
      <c r="I1219" s="1533">
        <v>61.0</v>
      </c>
      <c r="J1219" s="1533">
        <v>1502.0</v>
      </c>
      <c r="K1219" s="1616">
        <v>9808.0</v>
      </c>
      <c r="L1219" s="1623">
        <v>65984.0</v>
      </c>
    </row>
    <row r="1220">
      <c r="A1220" s="1538" t="s">
        <v>57</v>
      </c>
      <c r="B1220" s="1596">
        <v>6177224.0</v>
      </c>
      <c r="C1220" s="1540">
        <v>159872.0</v>
      </c>
      <c r="D1220" s="1571">
        <v>12.1</v>
      </c>
      <c r="E1220" s="1572">
        <v>3007874.0</v>
      </c>
      <c r="F1220" s="1542">
        <v>1820472.0</v>
      </c>
      <c r="G1220" s="1542">
        <v>31845.0</v>
      </c>
      <c r="H1220" s="1542">
        <v>420944.0</v>
      </c>
      <c r="I1220" s="1542">
        <v>3247.0</v>
      </c>
      <c r="J1220" s="1542">
        <v>410941.0</v>
      </c>
      <c r="K1220" s="1543">
        <v>481901.0</v>
      </c>
      <c r="L1220" s="1625">
        <v>83076.0</v>
      </c>
    </row>
    <row r="1221">
      <c r="A1221" s="1545" t="s">
        <v>1197</v>
      </c>
      <c r="B1221" s="1586">
        <v>68106.0</v>
      </c>
      <c r="C1221" s="1547">
        <v>2557.0</v>
      </c>
      <c r="D1221" s="1548">
        <v>21.3</v>
      </c>
      <c r="E1221" s="1549">
        <v>58377.0</v>
      </c>
      <c r="F1221" s="1593">
        <v>5341.0</v>
      </c>
      <c r="G1221" s="1593">
        <v>137.0</v>
      </c>
      <c r="H1221" s="1593">
        <v>742.0</v>
      </c>
      <c r="I1221" s="1593">
        <v>22.0</v>
      </c>
      <c r="J1221" s="1593">
        <v>468.0</v>
      </c>
      <c r="K1221" s="1594">
        <v>3019.0</v>
      </c>
      <c r="L1221" s="1555">
        <v>43535.0</v>
      </c>
    </row>
    <row r="1222">
      <c r="A1222" s="1545" t="s">
        <v>620</v>
      </c>
      <c r="B1222" s="1587">
        <v>588261.0</v>
      </c>
      <c r="C1222" s="1547">
        <v>12144.0</v>
      </c>
      <c r="D1222" s="1548">
        <v>9.6</v>
      </c>
      <c r="E1222" s="1557">
        <v>377634.0</v>
      </c>
      <c r="F1222" s="598">
        <v>104473.0</v>
      </c>
      <c r="G1222" s="598">
        <v>2354.0</v>
      </c>
      <c r="H1222" s="598">
        <v>25504.0</v>
      </c>
      <c r="I1222" s="598">
        <v>449.0</v>
      </c>
      <c r="J1222" s="598">
        <v>28369.0</v>
      </c>
      <c r="K1222" s="1561">
        <v>49478.0</v>
      </c>
      <c r="L1222" s="1555">
        <v>97051.0</v>
      </c>
    </row>
    <row r="1223">
      <c r="A1223" s="1545" t="s">
        <v>503</v>
      </c>
      <c r="B1223" s="1587">
        <v>854535.0</v>
      </c>
      <c r="C1223" s="1547">
        <v>22854.0</v>
      </c>
      <c r="D1223" s="1548">
        <v>13.0</v>
      </c>
      <c r="E1223" s="1557">
        <v>452124.0</v>
      </c>
      <c r="F1223" s="598">
        <v>255793.0</v>
      </c>
      <c r="G1223" s="598">
        <v>3527.0</v>
      </c>
      <c r="H1223" s="598">
        <v>54968.0</v>
      </c>
      <c r="I1223" s="598">
        <v>304.0</v>
      </c>
      <c r="J1223" s="598">
        <v>34198.0</v>
      </c>
      <c r="K1223" s="1561">
        <v>53621.0</v>
      </c>
      <c r="L1223" s="1555">
        <v>75836.0</v>
      </c>
    </row>
    <row r="1224">
      <c r="A1224" s="1545" t="s">
        <v>1199</v>
      </c>
      <c r="B1224" s="1587">
        <v>92783.0</v>
      </c>
      <c r="C1224" s="1547">
        <v>1394.0</v>
      </c>
      <c r="D1224" s="1548">
        <v>6.6</v>
      </c>
      <c r="E1224" s="1557">
        <v>69935.0</v>
      </c>
      <c r="F1224" s="598">
        <v>12100.0</v>
      </c>
      <c r="G1224" s="598">
        <v>305.0</v>
      </c>
      <c r="H1224" s="598">
        <v>1581.0</v>
      </c>
      <c r="I1224" s="598">
        <v>79.0</v>
      </c>
      <c r="J1224" s="598">
        <v>1298.0</v>
      </c>
      <c r="K1224" s="1561">
        <v>7485.0</v>
      </c>
      <c r="L1224" s="1551">
        <v>106270.0</v>
      </c>
    </row>
    <row r="1225">
      <c r="A1225" s="1545" t="s">
        <v>1200</v>
      </c>
      <c r="B1225" s="1587">
        <v>33293.0</v>
      </c>
      <c r="C1225" s="1547">
        <v>1529.0</v>
      </c>
      <c r="D1225" s="1548">
        <v>19.9</v>
      </c>
      <c r="E1225" s="1557">
        <v>24479.0</v>
      </c>
      <c r="F1225" s="598">
        <v>4434.0</v>
      </c>
      <c r="G1225" s="598">
        <v>146.0</v>
      </c>
      <c r="H1225" s="598">
        <v>350.0</v>
      </c>
      <c r="I1225" s="598">
        <v>19.0</v>
      </c>
      <c r="J1225" s="598">
        <v>1696.0</v>
      </c>
      <c r="K1225" s="1561">
        <v>2169.0</v>
      </c>
      <c r="L1225" s="1555">
        <v>56627.0</v>
      </c>
    </row>
    <row r="1226">
      <c r="A1226" s="1545" t="s">
        <v>248</v>
      </c>
      <c r="B1226" s="1587">
        <v>172891.0</v>
      </c>
      <c r="C1226" s="1547">
        <v>2197.0</v>
      </c>
      <c r="D1226" s="1548">
        <v>6.1</v>
      </c>
      <c r="E1226" s="1557">
        <v>148621.0</v>
      </c>
      <c r="F1226" s="598">
        <v>6482.0</v>
      </c>
      <c r="G1226" s="598">
        <v>396.0</v>
      </c>
      <c r="H1226" s="598">
        <v>3775.0</v>
      </c>
      <c r="I1226" s="598">
        <v>43.0</v>
      </c>
      <c r="J1226" s="598">
        <v>2974.0</v>
      </c>
      <c r="K1226" s="1561">
        <v>10600.0</v>
      </c>
      <c r="L1226" s="1555">
        <v>95956.0</v>
      </c>
    </row>
    <row r="1227">
      <c r="A1227" s="1545" t="s">
        <v>1201</v>
      </c>
      <c r="B1227" s="1587">
        <v>103725.0</v>
      </c>
      <c r="C1227" s="1547">
        <v>2914.0</v>
      </c>
      <c r="D1227" s="1548">
        <v>12.8</v>
      </c>
      <c r="E1227" s="1557">
        <v>84806.0</v>
      </c>
      <c r="F1227" s="598">
        <v>7803.0</v>
      </c>
      <c r="G1227" s="598">
        <v>294.0</v>
      </c>
      <c r="H1227" s="598">
        <v>1247.0</v>
      </c>
      <c r="I1227" s="598">
        <v>23.0</v>
      </c>
      <c r="J1227" s="598">
        <v>2083.0</v>
      </c>
      <c r="K1227" s="1561">
        <v>7469.0</v>
      </c>
      <c r="L1227" s="1555">
        <v>72739.0</v>
      </c>
    </row>
    <row r="1228">
      <c r="A1228" s="1545" t="s">
        <v>1203</v>
      </c>
      <c r="B1228" s="1587">
        <v>166617.0</v>
      </c>
      <c r="C1228" s="1547">
        <v>3559.0</v>
      </c>
      <c r="D1228" s="1548">
        <v>9.3</v>
      </c>
      <c r="E1228" s="1557">
        <v>58587.0</v>
      </c>
      <c r="F1228" s="598">
        <v>82035.0</v>
      </c>
      <c r="G1228" s="598">
        <v>1236.0</v>
      </c>
      <c r="H1228" s="598">
        <v>5706.0</v>
      </c>
      <c r="I1228" s="598">
        <v>168.0</v>
      </c>
      <c r="J1228" s="598">
        <v>5544.0</v>
      </c>
      <c r="K1228" s="1561">
        <v>13341.0</v>
      </c>
      <c r="L1228" s="1551">
        <v>92616.0</v>
      </c>
    </row>
    <row r="1229">
      <c r="A1229" s="1545" t="s">
        <v>1204</v>
      </c>
      <c r="B1229" s="1587">
        <v>32531.0</v>
      </c>
      <c r="C1229" s="1547">
        <v>1779.0</v>
      </c>
      <c r="D1229" s="1548">
        <v>27.0</v>
      </c>
      <c r="E1229" s="1557">
        <v>20128.0</v>
      </c>
      <c r="F1229" s="598">
        <v>9140.0</v>
      </c>
      <c r="G1229" s="598">
        <v>132.0</v>
      </c>
      <c r="H1229" s="598">
        <v>355.0</v>
      </c>
      <c r="I1229" s="598">
        <v>9.0</v>
      </c>
      <c r="J1229" s="598">
        <v>958.0</v>
      </c>
      <c r="K1229" s="1561">
        <v>1809.0</v>
      </c>
      <c r="L1229" s="1555">
        <v>48682.0</v>
      </c>
    </row>
    <row r="1230">
      <c r="A1230" s="1545" t="s">
        <v>1206</v>
      </c>
      <c r="B1230" s="1587">
        <v>271717.0</v>
      </c>
      <c r="C1230" s="1547">
        <v>4320.0</v>
      </c>
      <c r="D1230" s="1548">
        <v>7.4</v>
      </c>
      <c r="E1230" s="1557">
        <v>189470.0</v>
      </c>
      <c r="F1230" s="598">
        <v>27802.0</v>
      </c>
      <c r="G1230" s="598">
        <v>1165.0</v>
      </c>
      <c r="H1230" s="598">
        <v>13570.0</v>
      </c>
      <c r="I1230" s="598">
        <v>189.0</v>
      </c>
      <c r="J1230" s="598">
        <v>14435.0</v>
      </c>
      <c r="K1230" s="1561">
        <v>25086.0</v>
      </c>
      <c r="L1230" s="1551">
        <v>95196.0</v>
      </c>
    </row>
    <row r="1231">
      <c r="A1231" s="1545" t="s">
        <v>1207</v>
      </c>
      <c r="B1231" s="1587">
        <v>28806.0</v>
      </c>
      <c r="C1231" s="1563">
        <v>969.0</v>
      </c>
      <c r="D1231" s="1548">
        <v>18.4</v>
      </c>
      <c r="E1231" s="1557">
        <v>27521.0</v>
      </c>
      <c r="F1231" s="598">
        <v>246.0</v>
      </c>
      <c r="G1231" s="598">
        <v>33.0</v>
      </c>
      <c r="H1231" s="598">
        <v>85.0</v>
      </c>
      <c r="I1231" s="598">
        <v>7.0</v>
      </c>
      <c r="J1231" s="598">
        <v>131.0</v>
      </c>
      <c r="K1231" s="1561">
        <v>783.0</v>
      </c>
      <c r="L1231" s="1555">
        <v>49147.0</v>
      </c>
    </row>
    <row r="1232">
      <c r="A1232" s="1545" t="s">
        <v>1208</v>
      </c>
      <c r="B1232" s="1587">
        <v>260924.0</v>
      </c>
      <c r="C1232" s="1547">
        <v>5404.0</v>
      </c>
      <c r="D1232" s="1548">
        <v>9.7</v>
      </c>
      <c r="E1232" s="1557">
        <v>190128.0</v>
      </c>
      <c r="F1232" s="598">
        <v>37706.0</v>
      </c>
      <c r="G1232" s="598">
        <v>712.0</v>
      </c>
      <c r="H1232" s="598">
        <v>8173.0</v>
      </c>
      <c r="I1232" s="598">
        <v>198.0</v>
      </c>
      <c r="J1232" s="598">
        <v>5508.0</v>
      </c>
      <c r="K1232" s="1561">
        <v>18499.0</v>
      </c>
      <c r="L1232" s="1555">
        <v>87959.0</v>
      </c>
    </row>
    <row r="1233">
      <c r="A1233" s="1545" t="s">
        <v>283</v>
      </c>
      <c r="B1233" s="1587">
        <v>332317.0</v>
      </c>
      <c r="C1233" s="1547">
        <v>4871.0</v>
      </c>
      <c r="D1233" s="1548">
        <v>6.2</v>
      </c>
      <c r="E1233" s="1557">
        <v>159329.0</v>
      </c>
      <c r="F1233" s="598">
        <v>65275.0</v>
      </c>
      <c r="G1233" s="598">
        <v>1190.0</v>
      </c>
      <c r="H1233" s="598">
        <v>66288.0</v>
      </c>
      <c r="I1233" s="598">
        <v>134.0</v>
      </c>
      <c r="J1233" s="598">
        <v>12981.0</v>
      </c>
      <c r="K1233" s="1561">
        <v>27120.0</v>
      </c>
      <c r="L1233" s="1551">
        <v>116719.0</v>
      </c>
    </row>
    <row r="1234">
      <c r="A1234" s="1545" t="s">
        <v>474</v>
      </c>
      <c r="B1234" s="1587">
        <v>19198.0</v>
      </c>
      <c r="C1234" s="1563">
        <v>574.0</v>
      </c>
      <c r="D1234" s="1548">
        <v>19.2</v>
      </c>
      <c r="E1234" s="1557">
        <v>14574.0</v>
      </c>
      <c r="F1234" s="598">
        <v>2808.0</v>
      </c>
      <c r="G1234" s="598">
        <v>41.0</v>
      </c>
      <c r="H1234" s="598">
        <v>251.0</v>
      </c>
      <c r="I1234" s="598">
        <v>0.0</v>
      </c>
      <c r="J1234" s="598">
        <v>441.0</v>
      </c>
      <c r="K1234" s="1561">
        <v>1083.0</v>
      </c>
      <c r="L1234" s="1555">
        <v>55514.0</v>
      </c>
    </row>
    <row r="1235">
      <c r="A1235" s="1545" t="s">
        <v>157</v>
      </c>
      <c r="B1235" s="1587">
        <v>1062061.0</v>
      </c>
      <c r="C1235" s="1547">
        <v>20168.0</v>
      </c>
      <c r="D1235" s="1548">
        <v>8.4</v>
      </c>
      <c r="E1235" s="1557">
        <v>457783.0</v>
      </c>
      <c r="F1235" s="598">
        <v>197077.0</v>
      </c>
      <c r="G1235" s="598">
        <v>7036.0</v>
      </c>
      <c r="H1235" s="598">
        <v>163507.0</v>
      </c>
      <c r="I1235" s="598">
        <v>610.0</v>
      </c>
      <c r="J1235" s="598">
        <v>116786.0</v>
      </c>
      <c r="K1235" s="1561">
        <v>119262.0</v>
      </c>
      <c r="L1235" s="1555">
        <v>107758.0</v>
      </c>
    </row>
    <row r="1236">
      <c r="A1236" s="1545" t="s">
        <v>465</v>
      </c>
      <c r="B1236" s="1587">
        <v>967201.0</v>
      </c>
      <c r="C1236" s="1547">
        <v>23778.0</v>
      </c>
      <c r="D1236" s="1548">
        <v>12.0</v>
      </c>
      <c r="E1236" s="1557">
        <v>124863.0</v>
      </c>
      <c r="F1236" s="598">
        <v>578703.0</v>
      </c>
      <c r="G1236" s="598">
        <v>8935.0</v>
      </c>
      <c r="H1236" s="598">
        <v>41875.0</v>
      </c>
      <c r="I1236" s="598">
        <v>546.0</v>
      </c>
      <c r="J1236" s="598">
        <v>139685.0</v>
      </c>
      <c r="K1236" s="1561">
        <v>72594.0</v>
      </c>
      <c r="L1236" s="1551">
        <v>82445.0</v>
      </c>
    </row>
    <row r="1237">
      <c r="A1237" s="1545" t="s">
        <v>2817</v>
      </c>
      <c r="B1237" s="1587">
        <v>49874.0</v>
      </c>
      <c r="C1237" s="1563">
        <v>923.0</v>
      </c>
      <c r="D1237" s="1548">
        <v>8.6</v>
      </c>
      <c r="E1237" s="1557">
        <v>42290.0</v>
      </c>
      <c r="F1237" s="598">
        <v>2811.0</v>
      </c>
      <c r="G1237" s="598">
        <v>156.0</v>
      </c>
      <c r="H1237" s="598">
        <v>589.0</v>
      </c>
      <c r="I1237" s="598">
        <v>19.0</v>
      </c>
      <c r="J1237" s="598">
        <v>1269.0</v>
      </c>
      <c r="K1237" s="1561">
        <v>2740.0</v>
      </c>
      <c r="L1237" s="1555">
        <v>93751.0</v>
      </c>
    </row>
    <row r="1238">
      <c r="A1238" s="1545" t="s">
        <v>2818</v>
      </c>
      <c r="B1238" s="1587">
        <v>113777.0</v>
      </c>
      <c r="C1238" s="1547">
        <v>2847.0</v>
      </c>
      <c r="D1238" s="1548">
        <v>10.6</v>
      </c>
      <c r="E1238" s="1557">
        <v>81952.0</v>
      </c>
      <c r="F1238" s="598">
        <v>16294.0</v>
      </c>
      <c r="G1238" s="598">
        <v>438.0</v>
      </c>
      <c r="H1238" s="598">
        <v>3362.0</v>
      </c>
      <c r="I1238" s="598">
        <v>90.0</v>
      </c>
      <c r="J1238" s="598">
        <v>2279.0</v>
      </c>
      <c r="K1238" s="1561">
        <v>9362.0</v>
      </c>
      <c r="L1238" s="1551">
        <v>89964.0</v>
      </c>
    </row>
    <row r="1239">
      <c r="A1239" s="1545" t="s">
        <v>1194</v>
      </c>
      <c r="B1239" s="1587">
        <v>24620.0</v>
      </c>
      <c r="C1239" s="1547">
        <v>1339.0</v>
      </c>
      <c r="D1239" s="1548">
        <v>31.4</v>
      </c>
      <c r="E1239" s="1557">
        <v>13076.0</v>
      </c>
      <c r="F1239" s="598">
        <v>9505.0</v>
      </c>
      <c r="G1239" s="598">
        <v>115.0</v>
      </c>
      <c r="H1239" s="598">
        <v>254.0</v>
      </c>
      <c r="I1239" s="598">
        <v>1.0</v>
      </c>
      <c r="J1239" s="598">
        <v>675.0</v>
      </c>
      <c r="K1239" s="1561">
        <v>994.0</v>
      </c>
      <c r="L1239" s="1551">
        <v>42098.0</v>
      </c>
    </row>
    <row r="1240">
      <c r="A1240" s="1545" t="s">
        <v>630</v>
      </c>
      <c r="B1240" s="1587">
        <v>37526.0</v>
      </c>
      <c r="C1240" s="1563">
        <v>967.0</v>
      </c>
      <c r="D1240" s="1548">
        <v>14.6</v>
      </c>
      <c r="E1240" s="1557">
        <v>28436.0</v>
      </c>
      <c r="F1240" s="598">
        <v>4249.0</v>
      </c>
      <c r="G1240" s="598">
        <v>146.0</v>
      </c>
      <c r="H1240" s="598">
        <v>538.0</v>
      </c>
      <c r="I1240" s="598">
        <v>12.0</v>
      </c>
      <c r="J1240" s="598">
        <v>1906.0</v>
      </c>
      <c r="K1240" s="1561">
        <v>2239.0</v>
      </c>
      <c r="L1240" s="1555">
        <v>64245.0</v>
      </c>
    </row>
    <row r="1241">
      <c r="A1241" s="1545" t="s">
        <v>119</v>
      </c>
      <c r="B1241" s="1587">
        <v>154705.0</v>
      </c>
      <c r="C1241" s="1547">
        <v>5304.0</v>
      </c>
      <c r="D1241" s="1548">
        <v>16.5</v>
      </c>
      <c r="E1241" s="1557">
        <v>117465.0</v>
      </c>
      <c r="F1241" s="598">
        <v>17691.0</v>
      </c>
      <c r="G1241" s="598">
        <v>465.0</v>
      </c>
      <c r="H1241" s="598">
        <v>3109.0</v>
      </c>
      <c r="I1241" s="598">
        <v>89.0</v>
      </c>
      <c r="J1241" s="598">
        <v>4605.0</v>
      </c>
      <c r="K1241" s="1561">
        <v>11281.0</v>
      </c>
      <c r="L1241" s="1555">
        <v>62556.0</v>
      </c>
    </row>
    <row r="1242">
      <c r="A1242" s="1545" t="s">
        <v>1226</v>
      </c>
      <c r="B1242" s="1587">
        <v>103588.0</v>
      </c>
      <c r="C1242" s="1547">
        <v>4484.0</v>
      </c>
      <c r="D1242" s="1548">
        <v>20.1</v>
      </c>
      <c r="E1242" s="1557">
        <v>61425.0</v>
      </c>
      <c r="F1242" s="598">
        <v>27990.0</v>
      </c>
      <c r="G1242" s="598">
        <v>438.0</v>
      </c>
      <c r="H1242" s="598">
        <v>3152.0</v>
      </c>
      <c r="I1242" s="598">
        <v>42.0</v>
      </c>
      <c r="J1242" s="598">
        <v>3766.0</v>
      </c>
      <c r="K1242" s="1561">
        <v>6775.0</v>
      </c>
      <c r="L1242" s="1551">
        <v>54313.0</v>
      </c>
    </row>
    <row r="1243">
      <c r="A1243" s="1545" t="s">
        <v>492</v>
      </c>
      <c r="B1243" s="1587">
        <v>52460.0</v>
      </c>
      <c r="C1243" s="1547">
        <v>1552.0</v>
      </c>
      <c r="D1243" s="1548">
        <v>17.7</v>
      </c>
      <c r="E1243" s="1557">
        <v>41845.0</v>
      </c>
      <c r="F1243" s="598">
        <v>6236.0</v>
      </c>
      <c r="G1243" s="598">
        <v>136.0</v>
      </c>
      <c r="H1243" s="598">
        <v>753.0</v>
      </c>
      <c r="I1243" s="598">
        <v>8.0</v>
      </c>
      <c r="J1243" s="598">
        <v>840.0</v>
      </c>
      <c r="K1243" s="1561">
        <v>2642.0</v>
      </c>
      <c r="L1243" s="1615">
        <v>59266.0</v>
      </c>
    </row>
    <row r="1244">
      <c r="A1244" s="1528" t="s">
        <v>607</v>
      </c>
      <c r="B1244" s="1595">
        <v>585708.0</v>
      </c>
      <c r="C1244" s="1530">
        <v>31447.0</v>
      </c>
      <c r="D1244" s="1567">
        <v>26.1</v>
      </c>
      <c r="E1244" s="1532">
        <v>163026.0</v>
      </c>
      <c r="F1244" s="1533">
        <v>338478.0</v>
      </c>
      <c r="G1244" s="1533">
        <v>2312.0</v>
      </c>
      <c r="H1244" s="1533">
        <v>21210.0</v>
      </c>
      <c r="I1244" s="1533">
        <v>186.0</v>
      </c>
      <c r="J1244" s="1533">
        <v>28046.0</v>
      </c>
      <c r="K1244" s="1616">
        <v>32450.0</v>
      </c>
      <c r="L1244" s="1623">
        <v>50501.0</v>
      </c>
    </row>
    <row r="1245">
      <c r="A1245" s="1538" t="s">
        <v>59</v>
      </c>
      <c r="B1245" s="1596">
        <v>7029917.0</v>
      </c>
      <c r="C1245" s="1540">
        <v>166516.0</v>
      </c>
      <c r="D1245" s="1571">
        <v>12.4</v>
      </c>
      <c r="E1245" s="1572">
        <v>4896037.0</v>
      </c>
      <c r="F1245" s="1542">
        <v>494029.0</v>
      </c>
      <c r="G1245" s="1542">
        <v>24018.0</v>
      </c>
      <c r="H1245" s="1542">
        <v>507934.0</v>
      </c>
      <c r="I1245" s="1542">
        <v>2301.0</v>
      </c>
      <c r="J1245" s="1542">
        <v>496731.0</v>
      </c>
      <c r="K1245" s="1543">
        <v>608867.0</v>
      </c>
      <c r="L1245" s="1625">
        <v>79817.0</v>
      </c>
    </row>
    <row r="1246">
      <c r="A1246" s="1545" t="s">
        <v>1227</v>
      </c>
      <c r="B1246" s="1586">
        <v>228996.0</v>
      </c>
      <c r="C1246" s="1547">
        <v>3136.0</v>
      </c>
      <c r="D1246" s="1548">
        <v>9.9</v>
      </c>
      <c r="E1246" s="1549">
        <v>196459.0</v>
      </c>
      <c r="F1246" s="1593">
        <v>6603.0</v>
      </c>
      <c r="G1246" s="1593">
        <v>1224.0</v>
      </c>
      <c r="H1246" s="1593">
        <v>3223.0</v>
      </c>
      <c r="I1246" s="1593">
        <v>81.0</v>
      </c>
      <c r="J1246" s="1593">
        <v>5524.0</v>
      </c>
      <c r="K1246" s="1594">
        <v>15882.0</v>
      </c>
      <c r="L1246" s="1555">
        <v>69001.0</v>
      </c>
    </row>
    <row r="1247">
      <c r="A1247" s="1545" t="s">
        <v>1228</v>
      </c>
      <c r="B1247" s="1587">
        <v>129026.0</v>
      </c>
      <c r="C1247" s="1547">
        <v>3270.0</v>
      </c>
      <c r="D1247" s="1548">
        <v>15.9</v>
      </c>
      <c r="E1247" s="1557">
        <v>110862.0</v>
      </c>
      <c r="F1247" s="598">
        <v>4296.0</v>
      </c>
      <c r="G1247" s="598">
        <v>287.0</v>
      </c>
      <c r="H1247" s="598">
        <v>2019.0</v>
      </c>
      <c r="I1247" s="598">
        <v>24.0</v>
      </c>
      <c r="J1247" s="598">
        <v>3211.0</v>
      </c>
      <c r="K1247" s="1561">
        <v>8327.0</v>
      </c>
      <c r="L1247" s="1555">
        <v>58375.0</v>
      </c>
    </row>
    <row r="1248">
      <c r="A1248" s="1545" t="s">
        <v>634</v>
      </c>
      <c r="B1248" s="1587">
        <v>579200.0</v>
      </c>
      <c r="C1248" s="1547">
        <v>16341.0</v>
      </c>
      <c r="D1248" s="1548">
        <v>14.3</v>
      </c>
      <c r="E1248" s="1557">
        <v>455763.0</v>
      </c>
      <c r="F1248" s="598">
        <v>25668.0</v>
      </c>
      <c r="G1248" s="598">
        <v>2443.0</v>
      </c>
      <c r="H1248" s="598">
        <v>13779.0</v>
      </c>
      <c r="I1248" s="598">
        <v>171.0</v>
      </c>
      <c r="J1248" s="598">
        <v>30694.0</v>
      </c>
      <c r="K1248" s="1561">
        <v>50682.0</v>
      </c>
      <c r="L1248" s="1551">
        <v>66005.0</v>
      </c>
    </row>
    <row r="1249">
      <c r="A1249" s="1545" t="s">
        <v>1229</v>
      </c>
      <c r="B1249" s="1587">
        <v>20600.0</v>
      </c>
      <c r="C1249" s="1563">
        <v>349.0</v>
      </c>
      <c r="D1249" s="1548">
        <v>11.7</v>
      </c>
      <c r="E1249" s="1557">
        <v>16321.0</v>
      </c>
      <c r="F1249" s="598">
        <v>813.0</v>
      </c>
      <c r="G1249" s="598">
        <v>214.0</v>
      </c>
      <c r="H1249" s="598">
        <v>185.0</v>
      </c>
      <c r="I1249" s="598">
        <v>10.0</v>
      </c>
      <c r="J1249" s="598">
        <v>830.0</v>
      </c>
      <c r="K1249" s="1561">
        <v>2227.0</v>
      </c>
      <c r="L1249" s="1555">
        <v>70224.0</v>
      </c>
    </row>
    <row r="1250">
      <c r="A1250" s="1545" t="s">
        <v>516</v>
      </c>
      <c r="B1250" s="1587">
        <v>809829.0</v>
      </c>
      <c r="C1250" s="1547">
        <v>22071.0</v>
      </c>
      <c r="D1250" s="1548">
        <v>13.3</v>
      </c>
      <c r="E1250" s="1557">
        <v>558325.0</v>
      </c>
      <c r="F1250" s="598">
        <v>33524.0</v>
      </c>
      <c r="G1250" s="598">
        <v>4076.0</v>
      </c>
      <c r="H1250" s="598">
        <v>29819.0</v>
      </c>
      <c r="I1250" s="598">
        <v>285.0</v>
      </c>
      <c r="J1250" s="598">
        <v>108568.0</v>
      </c>
      <c r="K1250" s="1561">
        <v>75232.0</v>
      </c>
      <c r="L1250" s="1555">
        <v>76373.0</v>
      </c>
    </row>
    <row r="1251">
      <c r="A1251" s="1545" t="s">
        <v>136</v>
      </c>
      <c r="B1251" s="1587">
        <v>71029.0</v>
      </c>
      <c r="C1251" s="1547">
        <v>1730.0</v>
      </c>
      <c r="D1251" s="1548">
        <v>14.5</v>
      </c>
      <c r="E1251" s="1557">
        <v>62398.0</v>
      </c>
      <c r="F1251" s="598">
        <v>1075.0</v>
      </c>
      <c r="G1251" s="598">
        <v>195.0</v>
      </c>
      <c r="H1251" s="598">
        <v>1198.0</v>
      </c>
      <c r="I1251" s="598">
        <v>11.0</v>
      </c>
      <c r="J1251" s="598">
        <v>1350.0</v>
      </c>
      <c r="K1251" s="1561">
        <v>4802.0</v>
      </c>
      <c r="L1251" s="1555">
        <v>58992.0</v>
      </c>
    </row>
    <row r="1252">
      <c r="A1252" s="1545" t="s">
        <v>1230</v>
      </c>
      <c r="B1252" s="1587">
        <v>465825.0</v>
      </c>
      <c r="C1252" s="1547">
        <v>25571.0</v>
      </c>
      <c r="D1252" s="1548">
        <v>25.8</v>
      </c>
      <c r="E1252" s="1557">
        <v>302357.0</v>
      </c>
      <c r="F1252" s="598">
        <v>41556.0</v>
      </c>
      <c r="G1252" s="598">
        <v>2338.0</v>
      </c>
      <c r="H1252" s="598">
        <v>12344.0</v>
      </c>
      <c r="I1252" s="598">
        <v>286.0</v>
      </c>
      <c r="J1252" s="598">
        <v>59013.0</v>
      </c>
      <c r="K1252" s="1561">
        <v>47931.0</v>
      </c>
      <c r="L1252" s="1555">
        <v>52682.0</v>
      </c>
    </row>
    <row r="1253">
      <c r="A1253" s="1545" t="s">
        <v>1231</v>
      </c>
      <c r="B1253" s="1587">
        <v>162308.0</v>
      </c>
      <c r="C1253" s="1547">
        <v>2182.0</v>
      </c>
      <c r="D1253" s="1548">
        <v>9.4</v>
      </c>
      <c r="E1253" s="1557">
        <v>130161.0</v>
      </c>
      <c r="F1253" s="598">
        <v>4706.0</v>
      </c>
      <c r="G1253" s="598">
        <v>426.0</v>
      </c>
      <c r="H1253" s="598">
        <v>10796.0</v>
      </c>
      <c r="I1253" s="598">
        <v>58.0</v>
      </c>
      <c r="J1253" s="598">
        <v>4215.0</v>
      </c>
      <c r="K1253" s="1561">
        <v>11946.0</v>
      </c>
      <c r="L1253" s="1555">
        <v>74456.0</v>
      </c>
    </row>
    <row r="1254">
      <c r="A1254" s="1545" t="s">
        <v>281</v>
      </c>
      <c r="B1254" s="1587">
        <v>1632002.0</v>
      </c>
      <c r="C1254" s="1547">
        <v>25043.0</v>
      </c>
      <c r="D1254" s="1548">
        <v>8.0</v>
      </c>
      <c r="E1254" s="1557">
        <v>1112445.0</v>
      </c>
      <c r="F1254" s="598">
        <v>84670.0</v>
      </c>
      <c r="G1254" s="598">
        <v>3676.0</v>
      </c>
      <c r="H1254" s="598">
        <v>210462.0</v>
      </c>
      <c r="I1254" s="598">
        <v>444.0</v>
      </c>
      <c r="J1254" s="598">
        <v>85566.0</v>
      </c>
      <c r="K1254" s="1561">
        <v>134739.0</v>
      </c>
      <c r="L1254" s="1551">
        <v>100374.0</v>
      </c>
    </row>
    <row r="1255">
      <c r="A1255" s="1545" t="s">
        <v>1232</v>
      </c>
      <c r="B1255" s="1587">
        <v>14255.0</v>
      </c>
      <c r="C1255" s="1563">
        <v>132.0</v>
      </c>
      <c r="D1255" s="1548">
        <v>5.6</v>
      </c>
      <c r="E1255" s="1557">
        <v>10159.0</v>
      </c>
      <c r="F1255" s="598">
        <v>1027.0</v>
      </c>
      <c r="G1255" s="598">
        <v>87.0</v>
      </c>
      <c r="H1255" s="598">
        <v>264.0</v>
      </c>
      <c r="I1255" s="598">
        <v>5.0</v>
      </c>
      <c r="J1255" s="598">
        <v>1326.0</v>
      </c>
      <c r="K1255" s="1561">
        <v>1387.0</v>
      </c>
      <c r="L1255" s="1555">
        <v>97525.0</v>
      </c>
    </row>
    <row r="1256">
      <c r="A1256" s="1545" t="s">
        <v>558</v>
      </c>
      <c r="B1256" s="1587">
        <v>725981.0</v>
      </c>
      <c r="C1256" s="1547">
        <v>8675.0</v>
      </c>
      <c r="D1256" s="1548">
        <v>5.9</v>
      </c>
      <c r="E1256" s="1557">
        <v>519522.0</v>
      </c>
      <c r="F1256" s="598">
        <v>51371.0</v>
      </c>
      <c r="G1256" s="598">
        <v>1257.0</v>
      </c>
      <c r="H1256" s="598">
        <v>88512.0</v>
      </c>
      <c r="I1256" s="598">
        <v>166.0</v>
      </c>
      <c r="J1256" s="598">
        <v>18569.0</v>
      </c>
      <c r="K1256" s="1561">
        <v>46584.0</v>
      </c>
      <c r="L1256" s="1555">
        <v>100184.0</v>
      </c>
    </row>
    <row r="1257">
      <c r="A1257" s="1545" t="s">
        <v>929</v>
      </c>
      <c r="B1257" s="1587">
        <v>530819.0</v>
      </c>
      <c r="C1257" s="1547">
        <v>7992.0</v>
      </c>
      <c r="D1257" s="1548">
        <v>7.3</v>
      </c>
      <c r="E1257" s="1557">
        <v>411558.0</v>
      </c>
      <c r="F1257" s="598">
        <v>45132.0</v>
      </c>
      <c r="G1257" s="598">
        <v>1218.0</v>
      </c>
      <c r="H1257" s="598">
        <v>7772.0</v>
      </c>
      <c r="I1257" s="598">
        <v>101.0</v>
      </c>
      <c r="J1257" s="598">
        <v>19940.0</v>
      </c>
      <c r="K1257" s="1561">
        <v>45098.0</v>
      </c>
      <c r="L1257" s="1555">
        <v>89678.0</v>
      </c>
    </row>
    <row r="1258">
      <c r="A1258" s="1545" t="s">
        <v>299</v>
      </c>
      <c r="B1258" s="1587">
        <v>797936.0</v>
      </c>
      <c r="C1258" s="1547">
        <v>31609.0</v>
      </c>
      <c r="D1258" s="1548">
        <v>24.1</v>
      </c>
      <c r="E1258" s="1557">
        <v>375467.0</v>
      </c>
      <c r="F1258" s="598">
        <v>145566.0</v>
      </c>
      <c r="G1258" s="598">
        <v>3865.0</v>
      </c>
      <c r="H1258" s="598">
        <v>81140.0</v>
      </c>
      <c r="I1258" s="598">
        <v>409.0</v>
      </c>
      <c r="J1258" s="598">
        <v>102522.0</v>
      </c>
      <c r="K1258" s="1561">
        <v>88967.0</v>
      </c>
      <c r="L1258" s="1615">
        <v>68743.0</v>
      </c>
    </row>
    <row r="1259">
      <c r="A1259" s="1528" t="s">
        <v>492</v>
      </c>
      <c r="B1259" s="1595">
        <v>862111.0</v>
      </c>
      <c r="C1259" s="1530">
        <v>18414.0</v>
      </c>
      <c r="D1259" s="1567">
        <v>10.8</v>
      </c>
      <c r="E1259" s="1532">
        <v>634240.0</v>
      </c>
      <c r="F1259" s="1533">
        <v>48022.0</v>
      </c>
      <c r="G1259" s="1533">
        <v>2712.0</v>
      </c>
      <c r="H1259" s="1533">
        <v>46421.0</v>
      </c>
      <c r="I1259" s="1533">
        <v>250.0</v>
      </c>
      <c r="J1259" s="1533">
        <v>55403.0</v>
      </c>
      <c r="K1259" s="1616">
        <v>75063.0</v>
      </c>
      <c r="L1259" s="1623">
        <v>71767.0</v>
      </c>
    </row>
    <row r="1260">
      <c r="A1260" s="1538" t="s">
        <v>60</v>
      </c>
      <c r="B1260" s="1596">
        <v>1.0077331E7</v>
      </c>
      <c r="C1260" s="1540">
        <v>409201.0</v>
      </c>
      <c r="D1260" s="1571">
        <v>19.3</v>
      </c>
      <c r="E1260" s="1572">
        <v>7444974.0</v>
      </c>
      <c r="F1260" s="1542">
        <v>1376579.0</v>
      </c>
      <c r="G1260" s="1542">
        <v>61261.0</v>
      </c>
      <c r="H1260" s="1542">
        <v>334300.0</v>
      </c>
      <c r="I1260" s="1542">
        <v>3051.0</v>
      </c>
      <c r="J1260" s="1542">
        <v>221851.0</v>
      </c>
      <c r="K1260" s="1543">
        <v>635315.0</v>
      </c>
      <c r="L1260" s="1625">
        <v>56640.0</v>
      </c>
    </row>
    <row r="1261">
      <c r="A1261" s="1545" t="s">
        <v>1233</v>
      </c>
      <c r="B1261" s="1586">
        <v>10167.0</v>
      </c>
      <c r="C1261" s="1563">
        <v>406.0</v>
      </c>
      <c r="D1261" s="1548">
        <v>31.6</v>
      </c>
      <c r="E1261" s="1578">
        <v>9644.0</v>
      </c>
      <c r="F1261" s="1634">
        <v>23.0</v>
      </c>
      <c r="G1261" s="1634">
        <v>61.0</v>
      </c>
      <c r="H1261" s="1634">
        <v>14.0</v>
      </c>
      <c r="I1261" s="1634">
        <v>1.0</v>
      </c>
      <c r="J1261" s="1634">
        <v>42.0</v>
      </c>
      <c r="K1261" s="1635">
        <v>382.0</v>
      </c>
      <c r="L1261" s="1555">
        <v>39862.0</v>
      </c>
    </row>
    <row r="1262">
      <c r="A1262" s="1545" t="s">
        <v>1234</v>
      </c>
      <c r="B1262" s="1587">
        <v>8842.0</v>
      </c>
      <c r="C1262" s="1563">
        <v>247.0</v>
      </c>
      <c r="D1262" s="1548">
        <v>18.5</v>
      </c>
      <c r="E1262" s="1578">
        <v>7363.0</v>
      </c>
      <c r="F1262" s="1634">
        <v>587.0</v>
      </c>
      <c r="G1262" s="1634">
        <v>328.0</v>
      </c>
      <c r="H1262" s="1634">
        <v>26.0</v>
      </c>
      <c r="I1262" s="1634">
        <v>1.0</v>
      </c>
      <c r="J1262" s="1634">
        <v>46.0</v>
      </c>
      <c r="K1262" s="1635">
        <v>491.0</v>
      </c>
      <c r="L1262" s="1555">
        <v>47441.0</v>
      </c>
    </row>
    <row r="1263">
      <c r="A1263" s="1545" t="s">
        <v>1235</v>
      </c>
      <c r="B1263" s="1587">
        <v>120502.0</v>
      </c>
      <c r="C1263" s="1547">
        <v>3771.0</v>
      </c>
      <c r="D1263" s="1548">
        <v>13.6</v>
      </c>
      <c r="E1263" s="1549">
        <v>105564.0</v>
      </c>
      <c r="F1263" s="1593">
        <v>1584.0</v>
      </c>
      <c r="G1263" s="1593">
        <v>799.0</v>
      </c>
      <c r="H1263" s="1593">
        <v>874.0</v>
      </c>
      <c r="I1263" s="1593">
        <v>22.0</v>
      </c>
      <c r="J1263" s="1593">
        <v>4127.0</v>
      </c>
      <c r="K1263" s="1594">
        <v>7532.0</v>
      </c>
      <c r="L1263" s="1551">
        <v>62247.0</v>
      </c>
    </row>
    <row r="1264">
      <c r="A1264" s="1545" t="s">
        <v>1236</v>
      </c>
      <c r="B1264" s="1587">
        <v>28907.0</v>
      </c>
      <c r="C1264" s="1547">
        <v>1148.0</v>
      </c>
      <c r="D1264" s="1548">
        <v>22.6</v>
      </c>
      <c r="E1264" s="1549">
        <v>27177.0</v>
      </c>
      <c r="F1264" s="1593">
        <v>99.0</v>
      </c>
      <c r="G1264" s="1593">
        <v>122.0</v>
      </c>
      <c r="H1264" s="1593">
        <v>119.0</v>
      </c>
      <c r="I1264" s="1593">
        <v>12.0</v>
      </c>
      <c r="J1264" s="1593">
        <v>127.0</v>
      </c>
      <c r="K1264" s="1594">
        <v>1251.0</v>
      </c>
      <c r="L1264" s="1551">
        <v>42792.0</v>
      </c>
    </row>
    <row r="1265">
      <c r="A1265" s="1545" t="s">
        <v>1237</v>
      </c>
      <c r="B1265" s="1587">
        <v>23431.0</v>
      </c>
      <c r="C1265" s="1563">
        <v>772.0</v>
      </c>
      <c r="D1265" s="1548">
        <v>18.7</v>
      </c>
      <c r="E1265" s="1549">
        <v>21902.0</v>
      </c>
      <c r="F1265" s="1593">
        <v>39.0</v>
      </c>
      <c r="G1265" s="1593">
        <v>201.0</v>
      </c>
      <c r="H1265" s="1593">
        <v>72.0</v>
      </c>
      <c r="I1265" s="1593">
        <v>20.0</v>
      </c>
      <c r="J1265" s="1593">
        <v>138.0</v>
      </c>
      <c r="K1265" s="1594">
        <v>1059.0</v>
      </c>
      <c r="L1265" s="1551">
        <v>56456.0</v>
      </c>
    </row>
    <row r="1266">
      <c r="A1266" s="1545" t="s">
        <v>1238</v>
      </c>
      <c r="B1266" s="1587">
        <v>15002.0</v>
      </c>
      <c r="C1266" s="1563">
        <v>643.0</v>
      </c>
      <c r="D1266" s="1548">
        <v>24.1</v>
      </c>
      <c r="E1266" s="1549">
        <v>14017.0</v>
      </c>
      <c r="F1266" s="1593">
        <v>35.0</v>
      </c>
      <c r="G1266" s="1593">
        <v>130.0</v>
      </c>
      <c r="H1266" s="1593">
        <v>38.0</v>
      </c>
      <c r="I1266" s="1593">
        <v>1.0</v>
      </c>
      <c r="J1266" s="1593">
        <v>77.0</v>
      </c>
      <c r="K1266" s="1594">
        <v>704.0</v>
      </c>
      <c r="L1266" s="1551">
        <v>42540.0</v>
      </c>
    </row>
    <row r="1267">
      <c r="A1267" s="1545" t="s">
        <v>1239</v>
      </c>
      <c r="B1267" s="1587">
        <v>8158.0</v>
      </c>
      <c r="C1267" s="1563">
        <v>299.0</v>
      </c>
      <c r="D1267" s="1548">
        <v>21.0</v>
      </c>
      <c r="E1267" s="1549">
        <v>5772.0</v>
      </c>
      <c r="F1267" s="1593">
        <v>604.0</v>
      </c>
      <c r="G1267" s="1593">
        <v>1097.0</v>
      </c>
      <c r="H1267" s="1593">
        <v>16.0</v>
      </c>
      <c r="I1267" s="1593">
        <v>3.0</v>
      </c>
      <c r="J1267" s="1593">
        <v>36.0</v>
      </c>
      <c r="K1267" s="1594">
        <v>630.0</v>
      </c>
      <c r="L1267" s="1551">
        <v>43435.0</v>
      </c>
    </row>
    <row r="1268">
      <c r="A1268" s="1545" t="s">
        <v>1240</v>
      </c>
      <c r="B1268" s="1587">
        <v>62423.0</v>
      </c>
      <c r="C1268" s="1547">
        <v>1422.0</v>
      </c>
      <c r="D1268" s="1548">
        <v>10.8</v>
      </c>
      <c r="E1268" s="1549">
        <v>57488.0</v>
      </c>
      <c r="F1268" s="1593">
        <v>313.0</v>
      </c>
      <c r="G1268" s="1593">
        <v>261.0</v>
      </c>
      <c r="H1268" s="1593">
        <v>247.0</v>
      </c>
      <c r="I1268" s="1593">
        <v>15.0</v>
      </c>
      <c r="J1268" s="1593">
        <v>759.0</v>
      </c>
      <c r="K1268" s="1594">
        <v>3340.0</v>
      </c>
      <c r="L1268" s="1555">
        <v>64121.0</v>
      </c>
    </row>
    <row r="1269">
      <c r="A1269" s="1545" t="s">
        <v>482</v>
      </c>
      <c r="B1269" s="1587">
        <v>103856.0</v>
      </c>
      <c r="C1269" s="1547">
        <v>5116.0</v>
      </c>
      <c r="D1269" s="1548">
        <v>24.8</v>
      </c>
      <c r="E1269" s="1557">
        <v>93305.0</v>
      </c>
      <c r="F1269" s="598">
        <v>1705.0</v>
      </c>
      <c r="G1269" s="598">
        <v>463.0</v>
      </c>
      <c r="H1269" s="598">
        <v>538.0</v>
      </c>
      <c r="I1269" s="598">
        <v>5.0</v>
      </c>
      <c r="J1269" s="598">
        <v>1349.0</v>
      </c>
      <c r="K1269" s="1561">
        <v>6491.0</v>
      </c>
      <c r="L1269" s="1551">
        <v>50576.0</v>
      </c>
    </row>
    <row r="1270">
      <c r="A1270" s="1545" t="s">
        <v>1241</v>
      </c>
      <c r="B1270" s="1587">
        <v>17970.0</v>
      </c>
      <c r="C1270" s="1563">
        <v>494.0</v>
      </c>
      <c r="D1270" s="1548">
        <v>15.7</v>
      </c>
      <c r="E1270" s="1557">
        <v>16726.0</v>
      </c>
      <c r="F1270" s="598">
        <v>67.0</v>
      </c>
      <c r="G1270" s="598">
        <v>177.0</v>
      </c>
      <c r="H1270" s="598">
        <v>71.0</v>
      </c>
      <c r="I1270" s="598">
        <v>1.0</v>
      </c>
      <c r="J1270" s="598">
        <v>128.0</v>
      </c>
      <c r="K1270" s="1561">
        <v>800.0</v>
      </c>
      <c r="L1270" s="1555">
        <v>51905.0</v>
      </c>
    </row>
    <row r="1271">
      <c r="A1271" s="1545" t="s">
        <v>540</v>
      </c>
      <c r="B1271" s="1587">
        <v>154316.0</v>
      </c>
      <c r="C1271" s="1547">
        <v>6898.0</v>
      </c>
      <c r="D1271" s="1548">
        <v>21.1</v>
      </c>
      <c r="E1271" s="1557">
        <v>113608.0</v>
      </c>
      <c r="F1271" s="598">
        <v>21420.0</v>
      </c>
      <c r="G1271" s="598">
        <v>943.0</v>
      </c>
      <c r="H1271" s="598">
        <v>3189.0</v>
      </c>
      <c r="I1271" s="598">
        <v>120.0</v>
      </c>
      <c r="J1271" s="598">
        <v>4291.0</v>
      </c>
      <c r="K1271" s="1561">
        <v>10745.0</v>
      </c>
      <c r="L1271" s="1551">
        <v>51509.0</v>
      </c>
    </row>
    <row r="1272">
      <c r="A1272" s="1545" t="s">
        <v>1242</v>
      </c>
      <c r="B1272" s="1587">
        <v>44862.0</v>
      </c>
      <c r="C1272" s="1547">
        <v>2087.0</v>
      </c>
      <c r="D1272" s="1548">
        <v>21.2</v>
      </c>
      <c r="E1272" s="1557">
        <v>39595.0</v>
      </c>
      <c r="F1272" s="598">
        <v>1156.0</v>
      </c>
      <c r="G1272" s="598">
        <v>192.0</v>
      </c>
      <c r="H1272" s="598">
        <v>270.0</v>
      </c>
      <c r="I1272" s="598">
        <v>10.0</v>
      </c>
      <c r="J1272" s="598">
        <v>1184.0</v>
      </c>
      <c r="K1272" s="1561">
        <v>2455.0</v>
      </c>
      <c r="L1272" s="1555">
        <v>50477.0</v>
      </c>
    </row>
    <row r="1273">
      <c r="A1273" s="1545" t="s">
        <v>93</v>
      </c>
      <c r="B1273" s="1587">
        <v>134310.0</v>
      </c>
      <c r="C1273" s="1547">
        <v>8196.0</v>
      </c>
      <c r="D1273" s="1548">
        <v>27.6</v>
      </c>
      <c r="E1273" s="1557">
        <v>102712.0</v>
      </c>
      <c r="F1273" s="598">
        <v>14513.0</v>
      </c>
      <c r="G1273" s="598">
        <v>879.0</v>
      </c>
      <c r="H1273" s="598">
        <v>3742.0</v>
      </c>
      <c r="I1273" s="598">
        <v>35.0</v>
      </c>
      <c r="J1273" s="598">
        <v>2841.0</v>
      </c>
      <c r="K1273" s="1561">
        <v>9588.0</v>
      </c>
      <c r="L1273" s="1551">
        <v>48413.0</v>
      </c>
    </row>
    <row r="1274">
      <c r="A1274" s="1545" t="s">
        <v>708</v>
      </c>
      <c r="B1274" s="1587">
        <v>51589.0</v>
      </c>
      <c r="C1274" s="1547">
        <v>1791.0</v>
      </c>
      <c r="D1274" s="1548">
        <v>17.3</v>
      </c>
      <c r="E1274" s="1557">
        <v>44005.0</v>
      </c>
      <c r="F1274" s="598">
        <v>2321.0</v>
      </c>
      <c r="G1274" s="598">
        <v>597.0</v>
      </c>
      <c r="H1274" s="598">
        <v>319.0</v>
      </c>
      <c r="I1274" s="598">
        <v>11.0</v>
      </c>
      <c r="J1274" s="598">
        <v>927.0</v>
      </c>
      <c r="K1274" s="1561">
        <v>3409.0</v>
      </c>
      <c r="L1274" s="1551">
        <v>55978.0</v>
      </c>
    </row>
    <row r="1275">
      <c r="A1275" s="1545" t="s">
        <v>1243</v>
      </c>
      <c r="B1275" s="1587">
        <v>26054.0</v>
      </c>
      <c r="C1275" s="1563">
        <v>774.0</v>
      </c>
      <c r="D1275" s="1548">
        <v>16.0</v>
      </c>
      <c r="E1275" s="1557">
        <v>24052.0</v>
      </c>
      <c r="F1275" s="598">
        <v>78.0</v>
      </c>
      <c r="G1275" s="598">
        <v>384.0</v>
      </c>
      <c r="H1275" s="598">
        <v>124.0</v>
      </c>
      <c r="I1275" s="598">
        <v>10.0</v>
      </c>
      <c r="J1275" s="598">
        <v>164.0</v>
      </c>
      <c r="K1275" s="1561">
        <v>1242.0</v>
      </c>
      <c r="L1275" s="1551">
        <v>54491.0</v>
      </c>
    </row>
    <row r="1276">
      <c r="A1276" s="1545" t="s">
        <v>1244</v>
      </c>
      <c r="B1276" s="1587">
        <v>25579.0</v>
      </c>
      <c r="C1276" s="1547">
        <v>1039.0</v>
      </c>
      <c r="D1276" s="1548">
        <v>25.9</v>
      </c>
      <c r="E1276" s="1557">
        <v>23016.0</v>
      </c>
      <c r="F1276" s="598">
        <v>96.0</v>
      </c>
      <c r="G1276" s="598">
        <v>715.0</v>
      </c>
      <c r="H1276" s="598">
        <v>91.0</v>
      </c>
      <c r="I1276" s="598">
        <v>6.0</v>
      </c>
      <c r="J1276" s="598">
        <v>96.0</v>
      </c>
      <c r="K1276" s="1561">
        <v>1559.0</v>
      </c>
      <c r="L1276" s="1551">
        <v>48589.0</v>
      </c>
    </row>
    <row r="1277">
      <c r="A1277" s="1545" t="s">
        <v>1245</v>
      </c>
      <c r="B1277" s="1587">
        <v>36785.0</v>
      </c>
      <c r="C1277" s="1547">
        <v>1509.0</v>
      </c>
      <c r="D1277" s="1548">
        <v>22.4</v>
      </c>
      <c r="E1277" s="1557">
        <v>24803.0</v>
      </c>
      <c r="F1277" s="598">
        <v>2625.0</v>
      </c>
      <c r="G1277" s="598">
        <v>5669.0</v>
      </c>
      <c r="H1277" s="598">
        <v>194.0</v>
      </c>
      <c r="I1277" s="598">
        <v>12.0</v>
      </c>
      <c r="J1277" s="598">
        <v>198.0</v>
      </c>
      <c r="K1277" s="1561">
        <v>3284.0</v>
      </c>
      <c r="L1277" s="1551">
        <v>47380.0</v>
      </c>
    </row>
    <row r="1278">
      <c r="A1278" s="1545" t="s">
        <v>1246</v>
      </c>
      <c r="B1278" s="1587">
        <v>30856.0</v>
      </c>
      <c r="C1278" s="1547">
        <v>1925.0</v>
      </c>
      <c r="D1278" s="1548">
        <v>32.4</v>
      </c>
      <c r="E1278" s="1557">
        <v>28880.0</v>
      </c>
      <c r="F1278" s="598">
        <v>150.0</v>
      </c>
      <c r="G1278" s="598">
        <v>211.0</v>
      </c>
      <c r="H1278" s="598">
        <v>72.0</v>
      </c>
      <c r="I1278" s="598">
        <v>0.0</v>
      </c>
      <c r="J1278" s="598">
        <v>201.0</v>
      </c>
      <c r="K1278" s="1561">
        <v>1342.0</v>
      </c>
      <c r="L1278" s="1555">
        <v>39394.0</v>
      </c>
    </row>
    <row r="1279">
      <c r="A1279" s="1545" t="s">
        <v>711</v>
      </c>
      <c r="B1279" s="1587">
        <v>79128.0</v>
      </c>
      <c r="C1279" s="1547">
        <v>1486.0</v>
      </c>
      <c r="D1279" s="1548">
        <v>8.6</v>
      </c>
      <c r="E1279" s="1557">
        <v>69204.0</v>
      </c>
      <c r="F1279" s="598">
        <v>1715.0</v>
      </c>
      <c r="G1279" s="598">
        <v>313.0</v>
      </c>
      <c r="H1279" s="598">
        <v>1877.0</v>
      </c>
      <c r="I1279" s="598">
        <v>25.0</v>
      </c>
      <c r="J1279" s="598">
        <v>1199.0</v>
      </c>
      <c r="K1279" s="1561">
        <v>4795.0</v>
      </c>
      <c r="L1279" s="1551">
        <v>70967.0</v>
      </c>
    </row>
    <row r="1280">
      <c r="A1280" s="1545" t="s">
        <v>263</v>
      </c>
      <c r="B1280" s="1587">
        <v>12988.0</v>
      </c>
      <c r="C1280" s="1563">
        <v>620.0</v>
      </c>
      <c r="D1280" s="1548">
        <v>26.1</v>
      </c>
      <c r="E1280" s="1557">
        <v>12140.0</v>
      </c>
      <c r="F1280" s="598">
        <v>57.0</v>
      </c>
      <c r="G1280" s="598">
        <v>89.0</v>
      </c>
      <c r="H1280" s="598">
        <v>55.0</v>
      </c>
      <c r="I1280" s="598">
        <v>4.0</v>
      </c>
      <c r="J1280" s="598">
        <v>67.0</v>
      </c>
      <c r="K1280" s="1561">
        <v>576.0</v>
      </c>
      <c r="L1280" s="1551">
        <v>46930.0</v>
      </c>
    </row>
    <row r="1281">
      <c r="A1281" s="1545" t="s">
        <v>407</v>
      </c>
      <c r="B1281" s="1587">
        <v>36903.0</v>
      </c>
      <c r="C1281" s="1547">
        <v>1197.0</v>
      </c>
      <c r="D1281" s="1548">
        <v>17.4</v>
      </c>
      <c r="E1281" s="1557">
        <v>33684.0</v>
      </c>
      <c r="F1281" s="598">
        <v>93.0</v>
      </c>
      <c r="G1281" s="598">
        <v>849.0</v>
      </c>
      <c r="H1281" s="598">
        <v>156.0</v>
      </c>
      <c r="I1281" s="598">
        <v>8.0</v>
      </c>
      <c r="J1281" s="598">
        <v>151.0</v>
      </c>
      <c r="K1281" s="1561">
        <v>1962.0</v>
      </c>
      <c r="L1281" s="1551">
        <v>49292.0</v>
      </c>
    </row>
    <row r="1282">
      <c r="A1282" s="1545" t="s">
        <v>899</v>
      </c>
      <c r="B1282" s="1587">
        <v>25947.0</v>
      </c>
      <c r="C1282" s="1563">
        <v>758.0</v>
      </c>
      <c r="D1282" s="1548">
        <v>15.1</v>
      </c>
      <c r="E1282" s="1557">
        <v>24379.0</v>
      </c>
      <c r="F1282" s="598">
        <v>65.0</v>
      </c>
      <c r="G1282" s="598">
        <v>127.0</v>
      </c>
      <c r="H1282" s="598">
        <v>147.0</v>
      </c>
      <c r="I1282" s="598">
        <v>7.0</v>
      </c>
      <c r="J1282" s="598">
        <v>124.0</v>
      </c>
      <c r="K1282" s="1561">
        <v>1098.0</v>
      </c>
      <c r="L1282" s="1555">
        <v>52348.0</v>
      </c>
    </row>
    <row r="1283">
      <c r="A1283" s="1545" t="s">
        <v>1247</v>
      </c>
      <c r="B1283" s="1587">
        <v>109175.0</v>
      </c>
      <c r="C1283" s="1547">
        <v>2720.0</v>
      </c>
      <c r="D1283" s="1548">
        <v>12.2</v>
      </c>
      <c r="E1283" s="1557">
        <v>89292.0</v>
      </c>
      <c r="F1283" s="598">
        <v>7688.0</v>
      </c>
      <c r="G1283" s="598">
        <v>451.0</v>
      </c>
      <c r="H1283" s="598">
        <v>2478.0</v>
      </c>
      <c r="I1283" s="598">
        <v>18.0</v>
      </c>
      <c r="J1283" s="598">
        <v>1879.0</v>
      </c>
      <c r="K1283" s="1561">
        <v>7369.0</v>
      </c>
      <c r="L1283" s="1551">
        <v>66716.0</v>
      </c>
    </row>
    <row r="1284">
      <c r="A1284" s="1545" t="s">
        <v>901</v>
      </c>
      <c r="B1284" s="1587">
        <v>34112.0</v>
      </c>
      <c r="C1284" s="1563">
        <v>712.0</v>
      </c>
      <c r="D1284" s="1548">
        <v>11.4</v>
      </c>
      <c r="E1284" s="1557">
        <v>30578.0</v>
      </c>
      <c r="F1284" s="598">
        <v>163.0</v>
      </c>
      <c r="G1284" s="598">
        <v>1123.0</v>
      </c>
      <c r="H1284" s="598">
        <v>176.0</v>
      </c>
      <c r="I1284" s="598">
        <v>22.0</v>
      </c>
      <c r="J1284" s="598">
        <v>193.0</v>
      </c>
      <c r="K1284" s="1561">
        <v>1857.0</v>
      </c>
      <c r="L1284" s="1555">
        <v>58891.0</v>
      </c>
    </row>
    <row r="1285">
      <c r="A1285" s="1545" t="s">
        <v>1248</v>
      </c>
      <c r="B1285" s="1587">
        <v>406211.0</v>
      </c>
      <c r="C1285" s="1547">
        <v>25855.0</v>
      </c>
      <c r="D1285" s="1548">
        <v>28.9</v>
      </c>
      <c r="E1285" s="1557">
        <v>289255.0</v>
      </c>
      <c r="F1285" s="598">
        <v>79914.0</v>
      </c>
      <c r="G1285" s="598">
        <v>1745.0</v>
      </c>
      <c r="H1285" s="598">
        <v>4088.0</v>
      </c>
      <c r="I1285" s="598">
        <v>122.0</v>
      </c>
      <c r="J1285" s="598">
        <v>4809.0</v>
      </c>
      <c r="K1285" s="1561">
        <v>26278.0</v>
      </c>
      <c r="L1285" s="1551">
        <v>48370.0</v>
      </c>
    </row>
    <row r="1286">
      <c r="A1286" s="1545" t="s">
        <v>1249</v>
      </c>
      <c r="B1286" s="1587">
        <v>25386.0</v>
      </c>
      <c r="C1286" s="1547">
        <v>1248.0</v>
      </c>
      <c r="D1286" s="1548">
        <v>26.8</v>
      </c>
      <c r="E1286" s="1557">
        <v>24049.0</v>
      </c>
      <c r="F1286" s="598">
        <v>70.0</v>
      </c>
      <c r="G1286" s="598">
        <v>101.0</v>
      </c>
      <c r="H1286" s="598">
        <v>82.0</v>
      </c>
      <c r="I1286" s="598">
        <v>1.0</v>
      </c>
      <c r="J1286" s="598">
        <v>130.0</v>
      </c>
      <c r="K1286" s="1561">
        <v>953.0</v>
      </c>
      <c r="L1286" s="1551">
        <v>44635.0</v>
      </c>
    </row>
    <row r="1287">
      <c r="A1287" s="1545" t="s">
        <v>1250</v>
      </c>
      <c r="B1287" s="1587">
        <v>14380.0</v>
      </c>
      <c r="C1287" s="1563">
        <v>618.0</v>
      </c>
      <c r="D1287" s="1548">
        <v>26.8</v>
      </c>
      <c r="E1287" s="1557">
        <v>13052.0</v>
      </c>
      <c r="F1287" s="598">
        <v>79.0</v>
      </c>
      <c r="G1287" s="598">
        <v>523.0</v>
      </c>
      <c r="H1287" s="598">
        <v>35.0</v>
      </c>
      <c r="I1287" s="598">
        <v>3.0</v>
      </c>
      <c r="J1287" s="598">
        <v>67.0</v>
      </c>
      <c r="K1287" s="1561">
        <v>621.0</v>
      </c>
      <c r="L1287" s="1555">
        <v>39934.0</v>
      </c>
    </row>
    <row r="1288">
      <c r="A1288" s="1545" t="s">
        <v>1251</v>
      </c>
      <c r="B1288" s="1587">
        <v>95238.0</v>
      </c>
      <c r="C1288" s="1547">
        <v>2112.0</v>
      </c>
      <c r="D1288" s="1548">
        <v>11.5</v>
      </c>
      <c r="E1288" s="1557">
        <v>86508.0</v>
      </c>
      <c r="F1288" s="598">
        <v>595.0</v>
      </c>
      <c r="G1288" s="598">
        <v>969.0</v>
      </c>
      <c r="H1288" s="598">
        <v>824.0</v>
      </c>
      <c r="I1288" s="598">
        <v>52.0</v>
      </c>
      <c r="J1288" s="598">
        <v>1041.0</v>
      </c>
      <c r="K1288" s="1561">
        <v>5249.0</v>
      </c>
      <c r="L1288" s="1551">
        <v>64591.0</v>
      </c>
    </row>
    <row r="1289">
      <c r="A1289" s="1545" t="s">
        <v>1252</v>
      </c>
      <c r="B1289" s="1587">
        <v>41761.0</v>
      </c>
      <c r="C1289" s="1547">
        <v>1610.0</v>
      </c>
      <c r="D1289" s="1548">
        <v>20.8</v>
      </c>
      <c r="E1289" s="1557">
        <v>36008.0</v>
      </c>
      <c r="F1289" s="598">
        <v>2238.0</v>
      </c>
      <c r="G1289" s="598">
        <v>198.0</v>
      </c>
      <c r="H1289" s="598">
        <v>164.0</v>
      </c>
      <c r="I1289" s="598">
        <v>31.0</v>
      </c>
      <c r="J1289" s="598">
        <v>1153.0</v>
      </c>
      <c r="K1289" s="1561">
        <v>1969.0</v>
      </c>
      <c r="L1289" s="1551">
        <v>48988.0</v>
      </c>
    </row>
    <row r="1290">
      <c r="A1290" s="1545" t="s">
        <v>1253</v>
      </c>
      <c r="B1290" s="1587">
        <v>45746.0</v>
      </c>
      <c r="C1290" s="1547">
        <v>1936.0</v>
      </c>
      <c r="D1290" s="1548">
        <v>20.0</v>
      </c>
      <c r="E1290" s="1557">
        <v>42658.0</v>
      </c>
      <c r="F1290" s="598">
        <v>206.0</v>
      </c>
      <c r="G1290" s="598">
        <v>168.0</v>
      </c>
      <c r="H1290" s="598">
        <v>177.0</v>
      </c>
      <c r="I1290" s="598">
        <v>6.0</v>
      </c>
      <c r="J1290" s="598">
        <v>310.0</v>
      </c>
      <c r="K1290" s="1561">
        <v>2221.0</v>
      </c>
      <c r="L1290" s="1551">
        <v>50388.0</v>
      </c>
    </row>
    <row r="1291">
      <c r="A1291" s="1545" t="s">
        <v>1254</v>
      </c>
      <c r="B1291" s="1587">
        <v>37361.0</v>
      </c>
      <c r="C1291" s="1547">
        <v>1099.0</v>
      </c>
      <c r="D1291" s="1548">
        <v>15.5</v>
      </c>
      <c r="E1291" s="1557">
        <v>34107.0</v>
      </c>
      <c r="F1291" s="598">
        <v>286.0</v>
      </c>
      <c r="G1291" s="598">
        <v>165.0</v>
      </c>
      <c r="H1291" s="598">
        <v>857.0</v>
      </c>
      <c r="I1291" s="598">
        <v>22.0</v>
      </c>
      <c r="J1291" s="598">
        <v>270.0</v>
      </c>
      <c r="K1291" s="1561">
        <v>1654.0</v>
      </c>
      <c r="L1291" s="1551">
        <v>42282.0</v>
      </c>
    </row>
    <row r="1292">
      <c r="A1292" s="1545" t="s">
        <v>1255</v>
      </c>
      <c r="B1292" s="1587">
        <v>31407.0</v>
      </c>
      <c r="C1292" s="1547">
        <v>1081.0</v>
      </c>
      <c r="D1292" s="1548">
        <v>18.4</v>
      </c>
      <c r="E1292" s="1557">
        <v>29807.0</v>
      </c>
      <c r="F1292" s="598">
        <v>83.0</v>
      </c>
      <c r="G1292" s="598">
        <v>101.0</v>
      </c>
      <c r="H1292" s="598">
        <v>152.0</v>
      </c>
      <c r="I1292" s="598">
        <v>6.0</v>
      </c>
      <c r="J1292" s="598">
        <v>280.0</v>
      </c>
      <c r="K1292" s="1561">
        <v>978.0</v>
      </c>
      <c r="L1292" s="1555">
        <v>45817.0</v>
      </c>
    </row>
    <row r="1293">
      <c r="A1293" s="1545" t="s">
        <v>1256</v>
      </c>
      <c r="B1293" s="1587">
        <v>284900.0</v>
      </c>
      <c r="C1293" s="1547">
        <v>10895.0</v>
      </c>
      <c r="D1293" s="1548">
        <v>19.1</v>
      </c>
      <c r="E1293" s="1557">
        <v>198552.0</v>
      </c>
      <c r="F1293" s="598">
        <v>35580.0</v>
      </c>
      <c r="G1293" s="598">
        <v>1535.0</v>
      </c>
      <c r="H1293" s="598">
        <v>16522.0</v>
      </c>
      <c r="I1293" s="598">
        <v>124.0</v>
      </c>
      <c r="J1293" s="598">
        <v>8365.0</v>
      </c>
      <c r="K1293" s="1561">
        <v>24222.0</v>
      </c>
      <c r="L1293" s="1551">
        <v>52837.0</v>
      </c>
    </row>
    <row r="1294">
      <c r="A1294" s="1545" t="s">
        <v>1257</v>
      </c>
      <c r="B1294" s="1587">
        <v>66804.0</v>
      </c>
      <c r="C1294" s="1547">
        <v>1725.0</v>
      </c>
      <c r="D1294" s="1548">
        <v>12.4</v>
      </c>
      <c r="E1294" s="1557">
        <v>58946.0</v>
      </c>
      <c r="F1294" s="598">
        <v>3229.0</v>
      </c>
      <c r="G1294" s="598">
        <v>303.0</v>
      </c>
      <c r="H1294" s="598">
        <v>232.0</v>
      </c>
      <c r="I1294" s="598">
        <v>23.0</v>
      </c>
      <c r="J1294" s="598">
        <v>1046.0</v>
      </c>
      <c r="K1294" s="1561">
        <v>3025.0</v>
      </c>
      <c r="L1294" s="1551">
        <v>61667.0</v>
      </c>
    </row>
    <row r="1295">
      <c r="A1295" s="1545" t="s">
        <v>1258</v>
      </c>
      <c r="B1295" s="1587">
        <v>25237.0</v>
      </c>
      <c r="C1295" s="1547">
        <v>1092.0</v>
      </c>
      <c r="D1295" s="1548">
        <v>27.5</v>
      </c>
      <c r="E1295" s="1557">
        <v>23459.0</v>
      </c>
      <c r="F1295" s="598">
        <v>171.0</v>
      </c>
      <c r="G1295" s="598">
        <v>137.0</v>
      </c>
      <c r="H1295" s="598">
        <v>169.0</v>
      </c>
      <c r="I1295" s="598">
        <v>7.0</v>
      </c>
      <c r="J1295" s="598">
        <v>197.0</v>
      </c>
      <c r="K1295" s="1561">
        <v>1097.0</v>
      </c>
      <c r="L1295" s="1551">
        <v>41256.0</v>
      </c>
    </row>
    <row r="1296">
      <c r="A1296" s="1545" t="s">
        <v>1259</v>
      </c>
      <c r="B1296" s="1587">
        <v>11631.0</v>
      </c>
      <c r="C1296" s="1563">
        <v>445.0</v>
      </c>
      <c r="D1296" s="1548">
        <v>24.7</v>
      </c>
      <c r="E1296" s="1557">
        <v>10930.0</v>
      </c>
      <c r="F1296" s="598">
        <v>24.0</v>
      </c>
      <c r="G1296" s="598">
        <v>93.0</v>
      </c>
      <c r="H1296" s="598">
        <v>42.0</v>
      </c>
      <c r="I1296" s="598">
        <v>0.0</v>
      </c>
      <c r="J1296" s="598">
        <v>55.0</v>
      </c>
      <c r="K1296" s="1561">
        <v>487.0</v>
      </c>
      <c r="L1296" s="1555">
        <v>40959.0</v>
      </c>
    </row>
    <row r="1297">
      <c r="A1297" s="1545" t="s">
        <v>1260</v>
      </c>
      <c r="B1297" s="1587">
        <v>64394.0</v>
      </c>
      <c r="C1297" s="1547">
        <v>1985.0</v>
      </c>
      <c r="D1297" s="1548">
        <v>16.8</v>
      </c>
      <c r="E1297" s="1557">
        <v>54159.0</v>
      </c>
      <c r="F1297" s="598">
        <v>2134.0</v>
      </c>
      <c r="G1297" s="598">
        <v>2282.0</v>
      </c>
      <c r="H1297" s="598">
        <v>1117.0</v>
      </c>
      <c r="I1297" s="598">
        <v>20.0</v>
      </c>
      <c r="J1297" s="598">
        <v>742.0</v>
      </c>
      <c r="K1297" s="1561">
        <v>3940.0</v>
      </c>
      <c r="L1297" s="1555">
        <v>47056.0</v>
      </c>
    </row>
    <row r="1298">
      <c r="A1298" s="1545" t="s">
        <v>142</v>
      </c>
      <c r="B1298" s="1587">
        <v>160366.0</v>
      </c>
      <c r="C1298" s="1547">
        <v>6610.0</v>
      </c>
      <c r="D1298" s="1548">
        <v>19.9</v>
      </c>
      <c r="E1298" s="1557">
        <v>133257.0</v>
      </c>
      <c r="F1298" s="598">
        <v>12632.0</v>
      </c>
      <c r="G1298" s="598">
        <v>656.0</v>
      </c>
      <c r="H1298" s="598">
        <v>1493.0</v>
      </c>
      <c r="I1298" s="598">
        <v>30.0</v>
      </c>
      <c r="J1298" s="598">
        <v>1886.0</v>
      </c>
      <c r="K1298" s="1561">
        <v>10412.0</v>
      </c>
      <c r="L1298" s="1555">
        <v>52047.0</v>
      </c>
    </row>
    <row r="1299">
      <c r="A1299" s="1545" t="s">
        <v>1261</v>
      </c>
      <c r="B1299" s="1587">
        <v>261670.0</v>
      </c>
      <c r="C1299" s="1547">
        <v>9240.0</v>
      </c>
      <c r="D1299" s="1548">
        <v>16.5</v>
      </c>
      <c r="E1299" s="1557">
        <v>197010.0</v>
      </c>
      <c r="F1299" s="598">
        <v>30352.0</v>
      </c>
      <c r="G1299" s="598">
        <v>1275.0</v>
      </c>
      <c r="H1299" s="598">
        <v>7042.0</v>
      </c>
      <c r="I1299" s="598">
        <v>76.0</v>
      </c>
      <c r="J1299" s="598">
        <v>6399.0</v>
      </c>
      <c r="K1299" s="1561">
        <v>19516.0</v>
      </c>
      <c r="L1299" s="1551">
        <v>55881.0</v>
      </c>
    </row>
    <row r="1300">
      <c r="A1300" s="1545" t="s">
        <v>1262</v>
      </c>
      <c r="B1300" s="1587">
        <v>17939.0</v>
      </c>
      <c r="C1300" s="1563">
        <v>789.0</v>
      </c>
      <c r="D1300" s="1548">
        <v>21.8</v>
      </c>
      <c r="E1300" s="1557">
        <v>16671.0</v>
      </c>
      <c r="F1300" s="598">
        <v>40.0</v>
      </c>
      <c r="G1300" s="598">
        <v>151.0</v>
      </c>
      <c r="H1300" s="598">
        <v>60.0</v>
      </c>
      <c r="I1300" s="598">
        <v>3.0</v>
      </c>
      <c r="J1300" s="598">
        <v>121.0</v>
      </c>
      <c r="K1300" s="1561">
        <v>893.0</v>
      </c>
      <c r="L1300" s="1555">
        <v>46068.0</v>
      </c>
    </row>
    <row r="1301">
      <c r="A1301" s="1545" t="s">
        <v>474</v>
      </c>
      <c r="B1301" s="1587">
        <v>657974.0</v>
      </c>
      <c r="C1301" s="1547">
        <v>22657.0</v>
      </c>
      <c r="D1301" s="1548">
        <v>14.6</v>
      </c>
      <c r="E1301" s="1557">
        <v>480003.0</v>
      </c>
      <c r="F1301" s="598">
        <v>64499.0</v>
      </c>
      <c r="G1301" s="598">
        <v>4013.0</v>
      </c>
      <c r="H1301" s="598">
        <v>21980.0</v>
      </c>
      <c r="I1301" s="598">
        <v>214.0</v>
      </c>
      <c r="J1301" s="598">
        <v>37268.0</v>
      </c>
      <c r="K1301" s="1561">
        <v>49997.0</v>
      </c>
      <c r="L1301" s="1551">
        <v>61675.0</v>
      </c>
    </row>
    <row r="1302">
      <c r="A1302" s="1545" t="s">
        <v>1263</v>
      </c>
      <c r="B1302" s="1587">
        <v>2046.0</v>
      </c>
      <c r="C1302" s="1563">
        <v>58.0</v>
      </c>
      <c r="D1302" s="1548">
        <v>18.6</v>
      </c>
      <c r="E1302" s="1557">
        <v>1954.0</v>
      </c>
      <c r="F1302" s="598">
        <v>5.0</v>
      </c>
      <c r="G1302" s="598">
        <v>1.0</v>
      </c>
      <c r="H1302" s="598">
        <v>0.0</v>
      </c>
      <c r="I1302" s="598">
        <v>0.0</v>
      </c>
      <c r="J1302" s="598">
        <v>14.0</v>
      </c>
      <c r="K1302" s="1561">
        <v>72.0</v>
      </c>
      <c r="L1302" s="1551">
        <v>51641.0</v>
      </c>
    </row>
    <row r="1303">
      <c r="A1303" s="1545" t="s">
        <v>337</v>
      </c>
      <c r="B1303" s="1587">
        <v>12096.0</v>
      </c>
      <c r="C1303" s="1563">
        <v>680.0</v>
      </c>
      <c r="D1303" s="1548">
        <v>36.4</v>
      </c>
      <c r="E1303" s="1557">
        <v>10295.0</v>
      </c>
      <c r="F1303" s="598">
        <v>891.0</v>
      </c>
      <c r="G1303" s="598">
        <v>85.0</v>
      </c>
      <c r="H1303" s="598">
        <v>45.0</v>
      </c>
      <c r="I1303" s="598">
        <v>8.0</v>
      </c>
      <c r="J1303" s="598">
        <v>58.0</v>
      </c>
      <c r="K1303" s="1561">
        <v>714.0</v>
      </c>
      <c r="L1303" s="1555">
        <v>36044.0</v>
      </c>
    </row>
    <row r="1304">
      <c r="A1304" s="1545" t="s">
        <v>1264</v>
      </c>
      <c r="B1304" s="1587">
        <v>88619.0</v>
      </c>
      <c r="C1304" s="1547">
        <v>2476.0</v>
      </c>
      <c r="D1304" s="1548">
        <v>13.9</v>
      </c>
      <c r="E1304" s="1557">
        <v>80249.0</v>
      </c>
      <c r="F1304" s="598">
        <v>984.0</v>
      </c>
      <c r="G1304" s="598">
        <v>361.0</v>
      </c>
      <c r="H1304" s="598">
        <v>408.0</v>
      </c>
      <c r="I1304" s="598">
        <v>8.0</v>
      </c>
      <c r="J1304" s="598">
        <v>1484.0</v>
      </c>
      <c r="K1304" s="1561">
        <v>5125.0</v>
      </c>
      <c r="L1304" s="1551">
        <v>65209.0</v>
      </c>
    </row>
    <row r="1305">
      <c r="A1305" s="1545" t="s">
        <v>1265</v>
      </c>
      <c r="B1305" s="1587">
        <v>22301.0</v>
      </c>
      <c r="C1305" s="1563">
        <v>362.0</v>
      </c>
      <c r="D1305" s="1548">
        <v>10.6</v>
      </c>
      <c r="E1305" s="1557">
        <v>20039.0</v>
      </c>
      <c r="F1305" s="598">
        <v>67.0</v>
      </c>
      <c r="G1305" s="598">
        <v>672.0</v>
      </c>
      <c r="H1305" s="598">
        <v>110.0</v>
      </c>
      <c r="I1305" s="598">
        <v>7.0</v>
      </c>
      <c r="J1305" s="598">
        <v>306.0</v>
      </c>
      <c r="K1305" s="1561">
        <v>1100.0</v>
      </c>
      <c r="L1305" s="1555">
        <v>67349.0</v>
      </c>
    </row>
    <row r="1306">
      <c r="A1306" s="1545" t="s">
        <v>1266</v>
      </c>
      <c r="B1306" s="1587">
        <v>99423.0</v>
      </c>
      <c r="C1306" s="1547">
        <v>2814.0</v>
      </c>
      <c r="D1306" s="1548">
        <v>14.0</v>
      </c>
      <c r="E1306" s="1557">
        <v>86549.0</v>
      </c>
      <c r="F1306" s="598">
        <v>2614.0</v>
      </c>
      <c r="G1306" s="598">
        <v>504.0</v>
      </c>
      <c r="H1306" s="598">
        <v>497.0</v>
      </c>
      <c r="I1306" s="598">
        <v>17.0</v>
      </c>
      <c r="J1306" s="598">
        <v>2224.0</v>
      </c>
      <c r="K1306" s="1561">
        <v>7018.0</v>
      </c>
      <c r="L1306" s="1555">
        <v>55762.0</v>
      </c>
    </row>
    <row r="1307">
      <c r="A1307" s="1545" t="s">
        <v>730</v>
      </c>
      <c r="B1307" s="1587">
        <v>193866.0</v>
      </c>
      <c r="C1307" s="1547">
        <v>2192.0</v>
      </c>
      <c r="D1307" s="1548">
        <v>5.5</v>
      </c>
      <c r="E1307" s="1557">
        <v>178408.0</v>
      </c>
      <c r="F1307" s="598">
        <v>1144.0</v>
      </c>
      <c r="G1307" s="598">
        <v>620.0</v>
      </c>
      <c r="H1307" s="598">
        <v>1658.0</v>
      </c>
      <c r="I1307" s="598">
        <v>114.0</v>
      </c>
      <c r="J1307" s="598">
        <v>1435.0</v>
      </c>
      <c r="K1307" s="1561">
        <v>10487.0</v>
      </c>
      <c r="L1307" s="1551">
        <v>84048.0</v>
      </c>
    </row>
    <row r="1308">
      <c r="A1308" s="1545" t="s">
        <v>1267</v>
      </c>
      <c r="B1308" s="1587">
        <v>5339.0</v>
      </c>
      <c r="C1308" s="1563">
        <v>269.0</v>
      </c>
      <c r="D1308" s="1548">
        <v>26.8</v>
      </c>
      <c r="E1308" s="1557">
        <v>4533.0</v>
      </c>
      <c r="F1308" s="598">
        <v>12.0</v>
      </c>
      <c r="G1308" s="598">
        <v>367.0</v>
      </c>
      <c r="H1308" s="598">
        <v>2.0</v>
      </c>
      <c r="I1308" s="598">
        <v>1.0</v>
      </c>
      <c r="J1308" s="598">
        <v>16.0</v>
      </c>
      <c r="K1308" s="1561">
        <v>408.0</v>
      </c>
      <c r="L1308" s="1551">
        <v>43196.0</v>
      </c>
    </row>
    <row r="1309">
      <c r="A1309" s="1545" t="s">
        <v>1268</v>
      </c>
      <c r="B1309" s="1587">
        <v>10834.0</v>
      </c>
      <c r="C1309" s="1563">
        <v>343.0</v>
      </c>
      <c r="D1309" s="1548">
        <v>20.8</v>
      </c>
      <c r="E1309" s="1557">
        <v>8080.0</v>
      </c>
      <c r="F1309" s="598">
        <v>61.0</v>
      </c>
      <c r="G1309" s="598">
        <v>1699.0</v>
      </c>
      <c r="H1309" s="598">
        <v>28.0</v>
      </c>
      <c r="I1309" s="598">
        <v>2.0</v>
      </c>
      <c r="J1309" s="598">
        <v>62.0</v>
      </c>
      <c r="K1309" s="1561">
        <v>902.0</v>
      </c>
      <c r="L1309" s="1555">
        <v>46645.0</v>
      </c>
    </row>
    <row r="1310">
      <c r="A1310" s="1545" t="s">
        <v>478</v>
      </c>
      <c r="B1310" s="1587">
        <v>881217.0</v>
      </c>
      <c r="C1310" s="1547">
        <v>29100.0</v>
      </c>
      <c r="D1310" s="1548">
        <v>16.0</v>
      </c>
      <c r="E1310" s="1557">
        <v>672264.0</v>
      </c>
      <c r="F1310" s="598">
        <v>109476.0</v>
      </c>
      <c r="G1310" s="598">
        <v>2225.0</v>
      </c>
      <c r="H1310" s="598">
        <v>38421.0</v>
      </c>
      <c r="I1310" s="598">
        <v>229.0</v>
      </c>
      <c r="J1310" s="598">
        <v>8825.0</v>
      </c>
      <c r="K1310" s="1561">
        <v>49777.0</v>
      </c>
      <c r="L1310" s="1551">
        <v>62191.0</v>
      </c>
    </row>
    <row r="1311">
      <c r="A1311" s="1545" t="s">
        <v>1269</v>
      </c>
      <c r="B1311" s="1587">
        <v>25032.0</v>
      </c>
      <c r="C1311" s="1563">
        <v>905.0</v>
      </c>
      <c r="D1311" s="1548">
        <v>21.9</v>
      </c>
      <c r="E1311" s="1557">
        <v>22153.0</v>
      </c>
      <c r="F1311" s="598">
        <v>614.0</v>
      </c>
      <c r="G1311" s="598">
        <v>528.0</v>
      </c>
      <c r="H1311" s="598">
        <v>82.0</v>
      </c>
      <c r="I1311" s="598">
        <v>2.0</v>
      </c>
      <c r="J1311" s="598">
        <v>212.0</v>
      </c>
      <c r="K1311" s="1561">
        <v>1441.0</v>
      </c>
      <c r="L1311" s="1555">
        <v>47401.0</v>
      </c>
    </row>
    <row r="1312">
      <c r="A1312" s="1545" t="s">
        <v>1270</v>
      </c>
      <c r="B1312" s="1587">
        <v>66017.0</v>
      </c>
      <c r="C1312" s="1547">
        <v>1745.0</v>
      </c>
      <c r="D1312" s="1548">
        <v>14.8</v>
      </c>
      <c r="E1312" s="1557">
        <v>59551.0</v>
      </c>
      <c r="F1312" s="598">
        <v>805.0</v>
      </c>
      <c r="G1312" s="598">
        <v>1062.0</v>
      </c>
      <c r="H1312" s="598">
        <v>406.0</v>
      </c>
      <c r="I1312" s="598">
        <v>27.0</v>
      </c>
      <c r="J1312" s="598">
        <v>359.0</v>
      </c>
      <c r="K1312" s="1561">
        <v>3807.0</v>
      </c>
      <c r="L1312" s="1551">
        <v>54093.0</v>
      </c>
    </row>
    <row r="1313">
      <c r="A1313" s="1545" t="s">
        <v>735</v>
      </c>
      <c r="B1313" s="1587">
        <v>29052.0</v>
      </c>
      <c r="C1313" s="1547">
        <v>1060.0</v>
      </c>
      <c r="D1313" s="1548">
        <v>18.6</v>
      </c>
      <c r="E1313" s="1557">
        <v>26456.0</v>
      </c>
      <c r="F1313" s="598">
        <v>181.0</v>
      </c>
      <c r="G1313" s="598">
        <v>245.0</v>
      </c>
      <c r="H1313" s="598">
        <v>157.0</v>
      </c>
      <c r="I1313" s="598">
        <v>9.0</v>
      </c>
      <c r="J1313" s="598">
        <v>394.0</v>
      </c>
      <c r="K1313" s="1561">
        <v>1610.0</v>
      </c>
      <c r="L1313" s="1551">
        <v>51083.0</v>
      </c>
    </row>
    <row r="1314">
      <c r="A1314" s="1545" t="s">
        <v>1271</v>
      </c>
      <c r="B1314" s="1587">
        <v>39714.0</v>
      </c>
      <c r="C1314" s="1547">
        <v>1614.0</v>
      </c>
      <c r="D1314" s="1548">
        <v>20.7</v>
      </c>
      <c r="E1314" s="1557">
        <v>35916.0</v>
      </c>
      <c r="F1314" s="598">
        <v>794.0</v>
      </c>
      <c r="G1314" s="598">
        <v>225.0</v>
      </c>
      <c r="H1314" s="598">
        <v>320.0</v>
      </c>
      <c r="I1314" s="598">
        <v>17.0</v>
      </c>
      <c r="J1314" s="598">
        <v>303.0</v>
      </c>
      <c r="K1314" s="1561">
        <v>2139.0</v>
      </c>
      <c r="L1314" s="1551">
        <v>45804.0</v>
      </c>
    </row>
    <row r="1315">
      <c r="A1315" s="1545" t="s">
        <v>1272</v>
      </c>
      <c r="B1315" s="1587">
        <v>23502.0</v>
      </c>
      <c r="C1315" s="1563">
        <v>708.0</v>
      </c>
      <c r="D1315" s="1548">
        <v>17.3</v>
      </c>
      <c r="E1315" s="1557">
        <v>21499.0</v>
      </c>
      <c r="F1315" s="598">
        <v>107.0</v>
      </c>
      <c r="G1315" s="598">
        <v>749.0</v>
      </c>
      <c r="H1315" s="598">
        <v>98.0</v>
      </c>
      <c r="I1315" s="598">
        <v>5.0</v>
      </c>
      <c r="J1315" s="598">
        <v>137.0</v>
      </c>
      <c r="K1315" s="1561">
        <v>907.0</v>
      </c>
      <c r="L1315" s="1555">
        <v>46486.0</v>
      </c>
    </row>
    <row r="1316">
      <c r="A1316" s="1545" t="s">
        <v>1273</v>
      </c>
      <c r="B1316" s="1587">
        <v>83494.0</v>
      </c>
      <c r="C1316" s="1547">
        <v>2345.0</v>
      </c>
      <c r="D1316" s="1548">
        <v>13.5</v>
      </c>
      <c r="E1316" s="1557">
        <v>74791.0</v>
      </c>
      <c r="F1316" s="598">
        <v>963.0</v>
      </c>
      <c r="G1316" s="598">
        <v>343.0</v>
      </c>
      <c r="H1316" s="598">
        <v>1730.0</v>
      </c>
      <c r="I1316" s="598">
        <v>88.0</v>
      </c>
      <c r="J1316" s="598">
        <v>769.0</v>
      </c>
      <c r="K1316" s="1561">
        <v>4810.0</v>
      </c>
      <c r="L1316" s="1551">
        <v>58057.0</v>
      </c>
    </row>
    <row r="1317">
      <c r="A1317" s="1545" t="s">
        <v>1274</v>
      </c>
      <c r="B1317" s="1587">
        <v>15052.0</v>
      </c>
      <c r="C1317" s="1563">
        <v>717.0</v>
      </c>
      <c r="D1317" s="1548">
        <v>21.1</v>
      </c>
      <c r="E1317" s="1557">
        <v>14086.0</v>
      </c>
      <c r="F1317" s="598">
        <v>33.0</v>
      </c>
      <c r="G1317" s="598">
        <v>71.0</v>
      </c>
      <c r="H1317" s="598">
        <v>46.0</v>
      </c>
      <c r="I1317" s="598">
        <v>1.0</v>
      </c>
      <c r="J1317" s="598">
        <v>199.0</v>
      </c>
      <c r="K1317" s="1561">
        <v>616.0</v>
      </c>
      <c r="L1317" s="1555">
        <v>48413.0</v>
      </c>
    </row>
    <row r="1318">
      <c r="A1318" s="1545" t="s">
        <v>156</v>
      </c>
      <c r="B1318" s="1587">
        <v>154809.0</v>
      </c>
      <c r="C1318" s="1547">
        <v>4256.0</v>
      </c>
      <c r="D1318" s="1548">
        <v>13.5</v>
      </c>
      <c r="E1318" s="1557">
        <v>137561.0</v>
      </c>
      <c r="F1318" s="598">
        <v>4138.0</v>
      </c>
      <c r="G1318" s="598">
        <v>544.0</v>
      </c>
      <c r="H1318" s="598">
        <v>959.0</v>
      </c>
      <c r="I1318" s="598">
        <v>24.0</v>
      </c>
      <c r="J1318" s="598">
        <v>1921.0</v>
      </c>
      <c r="K1318" s="1561">
        <v>9662.0</v>
      </c>
      <c r="L1318" s="1551">
        <v>62522.0</v>
      </c>
    </row>
    <row r="1319">
      <c r="A1319" s="1545" t="s">
        <v>1275</v>
      </c>
      <c r="B1319" s="1587">
        <v>66614.0</v>
      </c>
      <c r="C1319" s="1547">
        <v>2759.0</v>
      </c>
      <c r="D1319" s="1548">
        <v>19.9</v>
      </c>
      <c r="E1319" s="1557">
        <v>60106.0</v>
      </c>
      <c r="F1319" s="598">
        <v>2152.0</v>
      </c>
      <c r="G1319" s="598">
        <v>243.0</v>
      </c>
      <c r="H1319" s="598">
        <v>227.0</v>
      </c>
      <c r="I1319" s="598">
        <v>24.0</v>
      </c>
      <c r="J1319" s="598">
        <v>717.0</v>
      </c>
      <c r="K1319" s="1561">
        <v>3145.0</v>
      </c>
      <c r="L1319" s="1551">
        <v>50396.0</v>
      </c>
    </row>
    <row r="1320">
      <c r="A1320" s="1545" t="s">
        <v>1276</v>
      </c>
      <c r="B1320" s="1587">
        <v>9153.0</v>
      </c>
      <c r="C1320" s="1563">
        <v>434.0</v>
      </c>
      <c r="D1320" s="1548">
        <v>32.2</v>
      </c>
      <c r="E1320" s="1557">
        <v>8619.0</v>
      </c>
      <c r="F1320" s="598">
        <v>18.0</v>
      </c>
      <c r="G1320" s="598">
        <v>68.0</v>
      </c>
      <c r="H1320" s="598">
        <v>24.0</v>
      </c>
      <c r="I1320" s="598">
        <v>0.0</v>
      </c>
      <c r="J1320" s="598">
        <v>48.0</v>
      </c>
      <c r="K1320" s="1561">
        <v>376.0</v>
      </c>
      <c r="L1320" s="1555">
        <v>40650.0</v>
      </c>
    </row>
    <row r="1321">
      <c r="A1321" s="1545" t="s">
        <v>1277</v>
      </c>
      <c r="B1321" s="1587">
        <v>175824.0</v>
      </c>
      <c r="C1321" s="1547">
        <v>8567.0</v>
      </c>
      <c r="D1321" s="1548">
        <v>21.9</v>
      </c>
      <c r="E1321" s="1557">
        <v>133720.0</v>
      </c>
      <c r="F1321" s="598">
        <v>23908.0</v>
      </c>
      <c r="G1321" s="598">
        <v>1380.0</v>
      </c>
      <c r="H1321" s="598">
        <v>1103.0</v>
      </c>
      <c r="I1321" s="598">
        <v>40.0</v>
      </c>
      <c r="J1321" s="598">
        <v>3392.0</v>
      </c>
      <c r="K1321" s="1561">
        <v>12281.0</v>
      </c>
      <c r="L1321" s="1551">
        <v>49960.0</v>
      </c>
    </row>
    <row r="1322">
      <c r="A1322" s="1545" t="s">
        <v>1278</v>
      </c>
      <c r="B1322" s="1587">
        <v>49978.0</v>
      </c>
      <c r="C1322" s="1547">
        <v>2472.0</v>
      </c>
      <c r="D1322" s="1548">
        <v>23.0</v>
      </c>
      <c r="E1322" s="1557">
        <v>44822.0</v>
      </c>
      <c r="F1322" s="598">
        <v>434.0</v>
      </c>
      <c r="G1322" s="598">
        <v>336.0</v>
      </c>
      <c r="H1322" s="598">
        <v>198.0</v>
      </c>
      <c r="I1322" s="598">
        <v>15.0</v>
      </c>
      <c r="J1322" s="598">
        <v>1121.0</v>
      </c>
      <c r="K1322" s="1561">
        <v>3052.0</v>
      </c>
      <c r="L1322" s="1555">
        <v>48860.0</v>
      </c>
    </row>
    <row r="1323">
      <c r="A1323" s="1545" t="s">
        <v>353</v>
      </c>
      <c r="B1323" s="1587">
        <v>1274395.0</v>
      </c>
      <c r="C1323" s="1547">
        <v>25043.0</v>
      </c>
      <c r="D1323" s="1548">
        <v>9.6</v>
      </c>
      <c r="E1323" s="1557">
        <v>893318.0</v>
      </c>
      <c r="F1323" s="598">
        <v>170753.0</v>
      </c>
      <c r="G1323" s="598">
        <v>3356.0</v>
      </c>
      <c r="H1323" s="598">
        <v>105974.0</v>
      </c>
      <c r="I1323" s="598">
        <v>337.0</v>
      </c>
      <c r="J1323" s="598">
        <v>22479.0</v>
      </c>
      <c r="K1323" s="1561">
        <v>78178.0</v>
      </c>
      <c r="L1323" s="1551">
        <v>80319.0</v>
      </c>
    </row>
    <row r="1324">
      <c r="A1324" s="1545" t="s">
        <v>1280</v>
      </c>
      <c r="B1324" s="1587">
        <v>26659.0</v>
      </c>
      <c r="C1324" s="1547">
        <v>1374.0</v>
      </c>
      <c r="D1324" s="1548">
        <v>23.3</v>
      </c>
      <c r="E1324" s="1557">
        <v>22260.0</v>
      </c>
      <c r="F1324" s="598">
        <v>133.0</v>
      </c>
      <c r="G1324" s="598">
        <v>316.0</v>
      </c>
      <c r="H1324" s="598">
        <v>69.0</v>
      </c>
      <c r="I1324" s="598">
        <v>4.0</v>
      </c>
      <c r="J1324" s="598">
        <v>1687.0</v>
      </c>
      <c r="K1324" s="1561">
        <v>2190.0</v>
      </c>
      <c r="L1324" s="1551">
        <v>50374.0</v>
      </c>
    </row>
    <row r="1325">
      <c r="A1325" s="1545" t="s">
        <v>1281</v>
      </c>
      <c r="B1325" s="1587">
        <v>20770.0</v>
      </c>
      <c r="C1325" s="1547">
        <v>1005.0</v>
      </c>
      <c r="D1325" s="1548">
        <v>26.6</v>
      </c>
      <c r="E1325" s="1557">
        <v>19509.0</v>
      </c>
      <c r="F1325" s="598">
        <v>63.0</v>
      </c>
      <c r="G1325" s="598">
        <v>123.0</v>
      </c>
      <c r="H1325" s="598">
        <v>57.0</v>
      </c>
      <c r="I1325" s="598">
        <v>8.0</v>
      </c>
      <c r="J1325" s="598">
        <v>118.0</v>
      </c>
      <c r="K1325" s="1561">
        <v>892.0</v>
      </c>
      <c r="L1325" s="1551">
        <v>41201.0</v>
      </c>
    </row>
    <row r="1326">
      <c r="A1326" s="1545" t="s">
        <v>1282</v>
      </c>
      <c r="B1326" s="1587">
        <v>5816.0</v>
      </c>
      <c r="C1326" s="1563">
        <v>180.0</v>
      </c>
      <c r="D1326" s="1548">
        <v>25.0</v>
      </c>
      <c r="E1326" s="1557">
        <v>5473.0</v>
      </c>
      <c r="F1326" s="598">
        <v>8.0</v>
      </c>
      <c r="G1326" s="598">
        <v>62.0</v>
      </c>
      <c r="H1326" s="598">
        <v>21.0</v>
      </c>
      <c r="I1326" s="598">
        <v>2.0</v>
      </c>
      <c r="J1326" s="598">
        <v>10.0</v>
      </c>
      <c r="K1326" s="1561">
        <v>240.0</v>
      </c>
      <c r="L1326" s="1551">
        <v>40798.0</v>
      </c>
    </row>
    <row r="1327">
      <c r="A1327" s="1545" t="s">
        <v>515</v>
      </c>
      <c r="B1327" s="1587">
        <v>22891.0</v>
      </c>
      <c r="C1327" s="1547">
        <v>1247.0</v>
      </c>
      <c r="D1327" s="1548">
        <v>25.2</v>
      </c>
      <c r="E1327" s="1557">
        <v>21414.0</v>
      </c>
      <c r="F1327" s="598">
        <v>165.0</v>
      </c>
      <c r="G1327" s="598">
        <v>150.0</v>
      </c>
      <c r="H1327" s="598">
        <v>34.0</v>
      </c>
      <c r="I1327" s="598">
        <v>6.0</v>
      </c>
      <c r="J1327" s="598">
        <v>115.0</v>
      </c>
      <c r="K1327" s="1561">
        <v>1007.0</v>
      </c>
      <c r="L1327" s="1551">
        <v>45607.0</v>
      </c>
    </row>
    <row r="1328">
      <c r="A1328" s="1545" t="s">
        <v>1284</v>
      </c>
      <c r="B1328" s="1587">
        <v>8219.0</v>
      </c>
      <c r="C1328" s="1563">
        <v>446.0</v>
      </c>
      <c r="D1328" s="1548">
        <v>28.2</v>
      </c>
      <c r="E1328" s="1557">
        <v>7741.0</v>
      </c>
      <c r="F1328" s="598">
        <v>8.0</v>
      </c>
      <c r="G1328" s="598">
        <v>38.0</v>
      </c>
      <c r="H1328" s="598">
        <v>12.0</v>
      </c>
      <c r="I1328" s="598">
        <v>0.0</v>
      </c>
      <c r="J1328" s="598">
        <v>28.0</v>
      </c>
      <c r="K1328" s="1561">
        <v>392.0</v>
      </c>
      <c r="L1328" s="1551">
        <v>38927.0</v>
      </c>
    </row>
    <row r="1329">
      <c r="A1329" s="1545" t="s">
        <v>1286</v>
      </c>
      <c r="B1329" s="1587">
        <v>25091.0</v>
      </c>
      <c r="C1329" s="1563">
        <v>827.0</v>
      </c>
      <c r="D1329" s="1548">
        <v>16.3</v>
      </c>
      <c r="E1329" s="1557">
        <v>23320.0</v>
      </c>
      <c r="F1329" s="598">
        <v>101.0</v>
      </c>
      <c r="G1329" s="598">
        <v>169.0</v>
      </c>
      <c r="H1329" s="598">
        <v>91.0</v>
      </c>
      <c r="I1329" s="598">
        <v>2.0</v>
      </c>
      <c r="J1329" s="598">
        <v>129.0</v>
      </c>
      <c r="K1329" s="1561">
        <v>1279.0</v>
      </c>
      <c r="L1329" s="1555">
        <v>51292.0</v>
      </c>
    </row>
    <row r="1330">
      <c r="A1330" s="1545" t="s">
        <v>998</v>
      </c>
      <c r="B1330" s="1587">
        <v>296200.0</v>
      </c>
      <c r="C1330" s="1547">
        <v>3896.0</v>
      </c>
      <c r="D1330" s="1548">
        <v>5.7</v>
      </c>
      <c r="E1330" s="1557">
        <v>248796.0</v>
      </c>
      <c r="F1330" s="598">
        <v>5462.0</v>
      </c>
      <c r="G1330" s="598">
        <v>1442.0</v>
      </c>
      <c r="H1330" s="598">
        <v>8088.0</v>
      </c>
      <c r="I1330" s="598">
        <v>109.0</v>
      </c>
      <c r="J1330" s="598">
        <v>11961.0</v>
      </c>
      <c r="K1330" s="1561">
        <v>20342.0</v>
      </c>
      <c r="L1330" s="1551">
        <v>70420.0</v>
      </c>
    </row>
    <row r="1331">
      <c r="A1331" s="1545" t="s">
        <v>1288</v>
      </c>
      <c r="B1331" s="1587">
        <v>12982.0</v>
      </c>
      <c r="C1331" s="1563">
        <v>463.0</v>
      </c>
      <c r="D1331" s="1548">
        <v>23.2</v>
      </c>
      <c r="E1331" s="1557">
        <v>12342.0</v>
      </c>
      <c r="F1331" s="598">
        <v>35.0</v>
      </c>
      <c r="G1331" s="598">
        <v>68.0</v>
      </c>
      <c r="H1331" s="598">
        <v>52.0</v>
      </c>
      <c r="I1331" s="598">
        <v>1.0</v>
      </c>
      <c r="J1331" s="598">
        <v>39.0</v>
      </c>
      <c r="K1331" s="1561">
        <v>445.0</v>
      </c>
      <c r="L1331" s="1551">
        <v>45502.0</v>
      </c>
    </row>
    <row r="1332">
      <c r="A1332" s="1545" t="s">
        <v>1289</v>
      </c>
      <c r="B1332" s="1587">
        <v>23459.0</v>
      </c>
      <c r="C1332" s="1547">
        <v>1138.0</v>
      </c>
      <c r="D1332" s="1548">
        <v>33.3</v>
      </c>
      <c r="E1332" s="1557">
        <v>22067.0</v>
      </c>
      <c r="F1332" s="598">
        <v>65.0</v>
      </c>
      <c r="G1332" s="598">
        <v>105.0</v>
      </c>
      <c r="H1332" s="598">
        <v>78.0</v>
      </c>
      <c r="I1332" s="598">
        <v>10.0</v>
      </c>
      <c r="J1332" s="598">
        <v>110.0</v>
      </c>
      <c r="K1332" s="1561">
        <v>1024.0</v>
      </c>
      <c r="L1332" s="1555">
        <v>38613.0</v>
      </c>
    </row>
    <row r="1333">
      <c r="A1333" s="1545" t="s">
        <v>1290</v>
      </c>
      <c r="B1333" s="1587">
        <v>190124.0</v>
      </c>
      <c r="C1333" s="1547">
        <v>9508.0</v>
      </c>
      <c r="D1333" s="1548">
        <v>23.9</v>
      </c>
      <c r="E1333" s="1557">
        <v>133915.0</v>
      </c>
      <c r="F1333" s="598">
        <v>34615.0</v>
      </c>
      <c r="G1333" s="598">
        <v>818.0</v>
      </c>
      <c r="H1333" s="598">
        <v>2420.0</v>
      </c>
      <c r="I1333" s="598">
        <v>85.0</v>
      </c>
      <c r="J1333" s="598">
        <v>5579.0</v>
      </c>
      <c r="K1333" s="1561">
        <v>12692.0</v>
      </c>
      <c r="L1333" s="1555">
        <v>48805.0</v>
      </c>
    </row>
    <row r="1334">
      <c r="A1334" s="1545" t="s">
        <v>768</v>
      </c>
      <c r="B1334" s="1587">
        <v>160383.0</v>
      </c>
      <c r="C1334" s="1547">
        <v>6338.0</v>
      </c>
      <c r="D1334" s="1548">
        <v>19.6</v>
      </c>
      <c r="E1334" s="1557">
        <v>144476.0</v>
      </c>
      <c r="F1334" s="598">
        <v>3937.0</v>
      </c>
      <c r="G1334" s="598">
        <v>701.0</v>
      </c>
      <c r="H1334" s="598">
        <v>826.0</v>
      </c>
      <c r="I1334" s="598">
        <v>16.0</v>
      </c>
      <c r="J1334" s="598">
        <v>1482.0</v>
      </c>
      <c r="K1334" s="1561">
        <v>8945.0</v>
      </c>
      <c r="L1334" s="1551">
        <v>56557.0</v>
      </c>
    </row>
    <row r="1335">
      <c r="A1335" s="1545" t="s">
        <v>2614</v>
      </c>
      <c r="B1335" s="1587">
        <v>60939.0</v>
      </c>
      <c r="C1335" s="1547">
        <v>2591.0</v>
      </c>
      <c r="D1335" s="1548">
        <v>17.9</v>
      </c>
      <c r="E1335" s="1557">
        <v>51530.0</v>
      </c>
      <c r="F1335" s="598">
        <v>1367.0</v>
      </c>
      <c r="G1335" s="598">
        <v>277.0</v>
      </c>
      <c r="H1335" s="598">
        <v>414.0</v>
      </c>
      <c r="I1335" s="598">
        <v>9.0</v>
      </c>
      <c r="J1335" s="598">
        <v>3198.0</v>
      </c>
      <c r="K1335" s="1561">
        <v>4144.0</v>
      </c>
      <c r="L1335" s="1551">
        <v>52689.0</v>
      </c>
    </row>
    <row r="1336">
      <c r="A1336" s="1545" t="s">
        <v>1291</v>
      </c>
      <c r="B1336" s="1587">
        <v>40611.0</v>
      </c>
      <c r="C1336" s="1547">
        <v>1899.0</v>
      </c>
      <c r="D1336" s="1548">
        <v>22.0</v>
      </c>
      <c r="E1336" s="1557">
        <v>37883.0</v>
      </c>
      <c r="F1336" s="598">
        <v>168.0</v>
      </c>
      <c r="G1336" s="598">
        <v>141.0</v>
      </c>
      <c r="H1336" s="598">
        <v>84.0</v>
      </c>
      <c r="I1336" s="598">
        <v>2.0</v>
      </c>
      <c r="J1336" s="598">
        <v>449.0</v>
      </c>
      <c r="K1336" s="1561">
        <v>1884.0</v>
      </c>
      <c r="L1336" s="1551">
        <v>46184.0</v>
      </c>
    </row>
    <row r="1337">
      <c r="A1337" s="1545" t="s">
        <v>1292</v>
      </c>
      <c r="B1337" s="1587">
        <v>8047.0</v>
      </c>
      <c r="C1337" s="1563">
        <v>293.0</v>
      </c>
      <c r="D1337" s="1548">
        <v>22.0</v>
      </c>
      <c r="E1337" s="1557">
        <v>6756.0</v>
      </c>
      <c r="F1337" s="598">
        <v>10.0</v>
      </c>
      <c r="G1337" s="598">
        <v>703.0</v>
      </c>
      <c r="H1337" s="598">
        <v>15.0</v>
      </c>
      <c r="I1337" s="598">
        <v>1.0</v>
      </c>
      <c r="J1337" s="598">
        <v>9.0</v>
      </c>
      <c r="K1337" s="1561">
        <v>553.0</v>
      </c>
      <c r="L1337" s="1555">
        <v>44887.0</v>
      </c>
    </row>
    <row r="1338">
      <c r="A1338" s="1545" t="s">
        <v>1293</v>
      </c>
      <c r="B1338" s="1587">
        <v>68094.0</v>
      </c>
      <c r="C1338" s="1547">
        <v>2146.0</v>
      </c>
      <c r="D1338" s="1548">
        <v>15.3</v>
      </c>
      <c r="E1338" s="1557">
        <v>63132.0</v>
      </c>
      <c r="F1338" s="598">
        <v>325.0</v>
      </c>
      <c r="G1338" s="598">
        <v>263.0</v>
      </c>
      <c r="H1338" s="598">
        <v>297.0</v>
      </c>
      <c r="I1338" s="598">
        <v>22.0</v>
      </c>
      <c r="J1338" s="598">
        <v>499.0</v>
      </c>
      <c r="K1338" s="1561">
        <v>3556.0</v>
      </c>
      <c r="L1338" s="1551">
        <v>54149.0</v>
      </c>
    </row>
    <row r="1339">
      <c r="A1339" s="1545" t="s">
        <v>1294</v>
      </c>
      <c r="B1339" s="1587">
        <v>53323.0</v>
      </c>
      <c r="C1339" s="1547">
        <v>1824.0</v>
      </c>
      <c r="D1339" s="1548">
        <v>17.8</v>
      </c>
      <c r="E1339" s="1557">
        <v>49413.0</v>
      </c>
      <c r="F1339" s="598">
        <v>413.0</v>
      </c>
      <c r="G1339" s="598">
        <v>200.0</v>
      </c>
      <c r="H1339" s="598">
        <v>157.0</v>
      </c>
      <c r="I1339" s="598">
        <v>15.0</v>
      </c>
      <c r="J1339" s="598">
        <v>452.0</v>
      </c>
      <c r="K1339" s="1561">
        <v>2673.0</v>
      </c>
      <c r="L1339" s="1555">
        <v>51113.0</v>
      </c>
    </row>
    <row r="1340">
      <c r="A1340" s="1545" t="s">
        <v>317</v>
      </c>
      <c r="B1340" s="1587">
        <v>75587.0</v>
      </c>
      <c r="C1340" s="1547">
        <v>3965.0</v>
      </c>
      <c r="D1340" s="1548">
        <v>23.2</v>
      </c>
      <c r="E1340" s="1557">
        <v>61345.0</v>
      </c>
      <c r="F1340" s="598">
        <v>2428.0</v>
      </c>
      <c r="G1340" s="598">
        <v>819.0</v>
      </c>
      <c r="H1340" s="598">
        <v>386.0</v>
      </c>
      <c r="I1340" s="598">
        <v>40.0</v>
      </c>
      <c r="J1340" s="598">
        <v>4397.0</v>
      </c>
      <c r="K1340" s="1561">
        <v>6172.0</v>
      </c>
      <c r="L1340" s="1555">
        <v>57363.0</v>
      </c>
    </row>
    <row r="1341">
      <c r="A1341" s="1545" t="s">
        <v>1295</v>
      </c>
      <c r="B1341" s="1587">
        <v>372258.0</v>
      </c>
      <c r="C1341" s="1547">
        <v>8599.0</v>
      </c>
      <c r="D1341" s="1548">
        <v>12.6</v>
      </c>
      <c r="E1341" s="1557">
        <v>257688.0</v>
      </c>
      <c r="F1341" s="598">
        <v>42819.0</v>
      </c>
      <c r="G1341" s="598">
        <v>1190.0</v>
      </c>
      <c r="H1341" s="598">
        <v>33632.0</v>
      </c>
      <c r="I1341" s="598">
        <v>201.0</v>
      </c>
      <c r="J1341" s="598">
        <v>7429.0</v>
      </c>
      <c r="K1341" s="1561">
        <v>29299.0</v>
      </c>
      <c r="L1341" s="1555">
        <v>72267.0</v>
      </c>
    </row>
    <row r="1342">
      <c r="A1342" s="1545" t="s">
        <v>273</v>
      </c>
      <c r="B1342" s="1587">
        <v>1793561.0</v>
      </c>
      <c r="C1342" s="1547">
        <v>132037.0</v>
      </c>
      <c r="D1342" s="1548">
        <v>32.4</v>
      </c>
      <c r="E1342" s="1557">
        <v>882484.0</v>
      </c>
      <c r="F1342" s="598">
        <v>674782.0</v>
      </c>
      <c r="G1342" s="598">
        <v>7218.0</v>
      </c>
      <c r="H1342" s="598">
        <v>64947.0</v>
      </c>
      <c r="I1342" s="598">
        <v>433.0</v>
      </c>
      <c r="J1342" s="598">
        <v>52972.0</v>
      </c>
      <c r="K1342" s="1561">
        <v>110725.0</v>
      </c>
      <c r="L1342" s="1615">
        <v>46440.0</v>
      </c>
    </row>
    <row r="1343">
      <c r="A1343" s="1528" t="s">
        <v>1296</v>
      </c>
      <c r="B1343" s="1595">
        <v>33673.0</v>
      </c>
      <c r="C1343" s="1530">
        <v>1479.0</v>
      </c>
      <c r="D1343" s="1567">
        <v>19.7</v>
      </c>
      <c r="E1343" s="1532">
        <v>31124.0</v>
      </c>
      <c r="F1343" s="1533">
        <v>193.0</v>
      </c>
      <c r="G1343" s="1533">
        <v>178.0</v>
      </c>
      <c r="H1343" s="1533">
        <v>186.0</v>
      </c>
      <c r="I1343" s="1533">
        <v>1.0</v>
      </c>
      <c r="J1343" s="1533">
        <v>230.0</v>
      </c>
      <c r="K1343" s="1616">
        <v>1761.0</v>
      </c>
      <c r="L1343" s="1617">
        <v>46396.0</v>
      </c>
    </row>
    <row r="1344">
      <c r="A1344" s="1538" t="s">
        <v>65</v>
      </c>
      <c r="B1344" s="1596">
        <v>5706494.0</v>
      </c>
      <c r="C1344" s="1540">
        <v>147732.0</v>
      </c>
      <c r="D1344" s="1571">
        <v>11.5</v>
      </c>
      <c r="E1344" s="1572">
        <v>4423146.0</v>
      </c>
      <c r="F1344" s="1542">
        <v>398434.0</v>
      </c>
      <c r="G1344" s="1542">
        <v>68641.0</v>
      </c>
      <c r="H1344" s="1542">
        <v>299190.0</v>
      </c>
      <c r="I1344" s="1542">
        <v>2918.0</v>
      </c>
      <c r="J1344" s="1542">
        <v>168444.0</v>
      </c>
      <c r="K1344" s="1543">
        <v>345721.0</v>
      </c>
      <c r="L1344" s="1544">
        <v>70295.0</v>
      </c>
    </row>
    <row r="1345">
      <c r="A1345" s="1545" t="s">
        <v>1297</v>
      </c>
      <c r="B1345" s="1586">
        <v>15697.0</v>
      </c>
      <c r="C1345" s="1563">
        <v>522.0</v>
      </c>
      <c r="D1345" s="1548">
        <v>20.1</v>
      </c>
      <c r="E1345" s="1557">
        <v>14538.0</v>
      </c>
      <c r="F1345" s="598">
        <v>62.0</v>
      </c>
      <c r="G1345" s="598">
        <v>395.0</v>
      </c>
      <c r="H1345" s="598">
        <v>38.0</v>
      </c>
      <c r="I1345" s="598">
        <v>1.0</v>
      </c>
      <c r="J1345" s="598">
        <v>64.0</v>
      </c>
      <c r="K1345" s="1561">
        <v>599.0</v>
      </c>
      <c r="L1345" s="1555">
        <v>44016.0</v>
      </c>
    </row>
    <row r="1346">
      <c r="A1346" s="1545" t="s">
        <v>1298</v>
      </c>
      <c r="B1346" s="1587">
        <v>363887.0</v>
      </c>
      <c r="C1346" s="1547">
        <v>6117.0</v>
      </c>
      <c r="D1346" s="1548">
        <v>7.4</v>
      </c>
      <c r="E1346" s="1557">
        <v>280171.0</v>
      </c>
      <c r="F1346" s="598">
        <v>28657.0</v>
      </c>
      <c r="G1346" s="598">
        <v>2531.0</v>
      </c>
      <c r="H1346" s="598">
        <v>19257.0</v>
      </c>
      <c r="I1346" s="598">
        <v>105.0</v>
      </c>
      <c r="J1346" s="598">
        <v>9597.0</v>
      </c>
      <c r="K1346" s="1561">
        <v>23569.0</v>
      </c>
      <c r="L1346" s="1551">
        <v>82284.0</v>
      </c>
    </row>
    <row r="1347">
      <c r="A1347" s="1545" t="s">
        <v>1299</v>
      </c>
      <c r="B1347" s="1587">
        <v>35183.0</v>
      </c>
      <c r="C1347" s="1547">
        <v>1299.0</v>
      </c>
      <c r="D1347" s="1548">
        <v>15.8</v>
      </c>
      <c r="E1347" s="1557">
        <v>29818.0</v>
      </c>
      <c r="F1347" s="598">
        <v>203.0</v>
      </c>
      <c r="G1347" s="598">
        <v>2468.0</v>
      </c>
      <c r="H1347" s="598">
        <v>162.0</v>
      </c>
      <c r="I1347" s="598">
        <v>22.0</v>
      </c>
      <c r="J1347" s="598">
        <v>189.0</v>
      </c>
      <c r="K1347" s="1561">
        <v>2321.0</v>
      </c>
      <c r="L1347" s="1551">
        <v>59440.0</v>
      </c>
    </row>
    <row r="1348">
      <c r="A1348" s="1545" t="s">
        <v>1300</v>
      </c>
      <c r="B1348" s="1587">
        <v>46228.0</v>
      </c>
      <c r="C1348" s="1547">
        <v>2682.0</v>
      </c>
      <c r="D1348" s="1548">
        <v>23.6</v>
      </c>
      <c r="E1348" s="1557">
        <v>32794.0</v>
      </c>
      <c r="F1348" s="598">
        <v>543.0</v>
      </c>
      <c r="G1348" s="598">
        <v>9418.0</v>
      </c>
      <c r="H1348" s="598">
        <v>280.0</v>
      </c>
      <c r="I1348" s="598">
        <v>18.0</v>
      </c>
      <c r="J1348" s="598">
        <v>272.0</v>
      </c>
      <c r="K1348" s="1561">
        <v>2903.0</v>
      </c>
      <c r="L1348" s="1551">
        <v>47073.0</v>
      </c>
    </row>
    <row r="1349">
      <c r="A1349" s="1545" t="s">
        <v>243</v>
      </c>
      <c r="B1349" s="1587">
        <v>41379.0</v>
      </c>
      <c r="C1349" s="1547">
        <v>1208.0</v>
      </c>
      <c r="D1349" s="1548">
        <v>12.0</v>
      </c>
      <c r="E1349" s="1557">
        <v>36145.0</v>
      </c>
      <c r="F1349" s="598">
        <v>2022.0</v>
      </c>
      <c r="G1349" s="598">
        <v>232.0</v>
      </c>
      <c r="H1349" s="598">
        <v>466.0</v>
      </c>
      <c r="I1349" s="598">
        <v>9.0</v>
      </c>
      <c r="J1349" s="598">
        <v>495.0</v>
      </c>
      <c r="K1349" s="1561">
        <v>2010.0</v>
      </c>
      <c r="L1349" s="1551">
        <v>61341.0</v>
      </c>
    </row>
    <row r="1350">
      <c r="A1350" s="1545" t="s">
        <v>1301</v>
      </c>
      <c r="B1350" s="1587">
        <v>5166.0</v>
      </c>
      <c r="C1350" s="1563">
        <v>158.0</v>
      </c>
      <c r="D1350" s="1548">
        <v>15.4</v>
      </c>
      <c r="E1350" s="1557">
        <v>4832.0</v>
      </c>
      <c r="F1350" s="598">
        <v>29.0</v>
      </c>
      <c r="G1350" s="598">
        <v>49.0</v>
      </c>
      <c r="H1350" s="598">
        <v>17.0</v>
      </c>
      <c r="I1350" s="598">
        <v>4.0</v>
      </c>
      <c r="J1350" s="598">
        <v>77.0</v>
      </c>
      <c r="K1350" s="1561">
        <v>158.0</v>
      </c>
      <c r="L1350" s="1555">
        <v>51058.0</v>
      </c>
    </row>
    <row r="1351">
      <c r="A1351" s="1545" t="s">
        <v>1302</v>
      </c>
      <c r="B1351" s="1587">
        <v>69112.0</v>
      </c>
      <c r="C1351" s="1547">
        <v>1424.0</v>
      </c>
      <c r="D1351" s="1548">
        <v>10.9</v>
      </c>
      <c r="E1351" s="1557">
        <v>58205.0</v>
      </c>
      <c r="F1351" s="598">
        <v>3970.0</v>
      </c>
      <c r="G1351" s="598">
        <v>292.0</v>
      </c>
      <c r="H1351" s="598">
        <v>1841.0</v>
      </c>
      <c r="I1351" s="598">
        <v>33.0</v>
      </c>
      <c r="J1351" s="598">
        <v>1248.0</v>
      </c>
      <c r="K1351" s="1561">
        <v>3523.0</v>
      </c>
      <c r="L1351" s="1551">
        <v>58132.0</v>
      </c>
    </row>
    <row r="1352">
      <c r="A1352" s="1545" t="s">
        <v>706</v>
      </c>
      <c r="B1352" s="1587">
        <v>25912.0</v>
      </c>
      <c r="C1352" s="1563">
        <v>563.0</v>
      </c>
      <c r="D1352" s="1548">
        <v>10.4</v>
      </c>
      <c r="E1352" s="1557">
        <v>24321.0</v>
      </c>
      <c r="F1352" s="598">
        <v>128.0</v>
      </c>
      <c r="G1352" s="598">
        <v>51.0</v>
      </c>
      <c r="H1352" s="598">
        <v>127.0</v>
      </c>
      <c r="I1352" s="598">
        <v>6.0</v>
      </c>
      <c r="J1352" s="598">
        <v>401.0</v>
      </c>
      <c r="K1352" s="1561">
        <v>878.0</v>
      </c>
      <c r="L1352" s="1551">
        <v>60626.0</v>
      </c>
    </row>
    <row r="1353">
      <c r="A1353" s="1545" t="s">
        <v>1303</v>
      </c>
      <c r="B1353" s="1587">
        <v>36207.0</v>
      </c>
      <c r="C1353" s="1563">
        <v>866.0</v>
      </c>
      <c r="D1353" s="1548">
        <v>11.0</v>
      </c>
      <c r="E1353" s="1557">
        <v>31151.0</v>
      </c>
      <c r="F1353" s="598">
        <v>562.0</v>
      </c>
      <c r="G1353" s="598">
        <v>2217.0</v>
      </c>
      <c r="H1353" s="598">
        <v>153.0</v>
      </c>
      <c r="I1353" s="598">
        <v>12.0</v>
      </c>
      <c r="J1353" s="598">
        <v>165.0</v>
      </c>
      <c r="K1353" s="1561">
        <v>1947.0</v>
      </c>
      <c r="L1353" s="1555">
        <v>60412.0</v>
      </c>
    </row>
    <row r="1354">
      <c r="A1354" s="1545" t="s">
        <v>1304</v>
      </c>
      <c r="B1354" s="1587">
        <v>106922.0</v>
      </c>
      <c r="C1354" s="1547">
        <v>1005.0</v>
      </c>
      <c r="D1354" s="1548">
        <v>3.7</v>
      </c>
      <c r="E1354" s="1557">
        <v>92448.0</v>
      </c>
      <c r="F1354" s="598">
        <v>2208.0</v>
      </c>
      <c r="G1354" s="598">
        <v>291.0</v>
      </c>
      <c r="H1354" s="598">
        <v>3641.0</v>
      </c>
      <c r="I1354" s="598">
        <v>18.0</v>
      </c>
      <c r="J1354" s="598">
        <v>2485.0</v>
      </c>
      <c r="K1354" s="1561">
        <v>5831.0</v>
      </c>
      <c r="L1354" s="1551">
        <v>104248.0</v>
      </c>
    </row>
    <row r="1355">
      <c r="A1355" s="1545" t="s">
        <v>708</v>
      </c>
      <c r="B1355" s="1587">
        <v>30066.0</v>
      </c>
      <c r="C1355" s="1547">
        <v>1236.0</v>
      </c>
      <c r="D1355" s="1548">
        <v>20.3</v>
      </c>
      <c r="E1355" s="1557">
        <v>24801.0</v>
      </c>
      <c r="F1355" s="598">
        <v>73.0</v>
      </c>
      <c r="G1355" s="598">
        <v>3512.0</v>
      </c>
      <c r="H1355" s="598">
        <v>111.0</v>
      </c>
      <c r="I1355" s="598">
        <v>0.0</v>
      </c>
      <c r="J1355" s="598">
        <v>157.0</v>
      </c>
      <c r="K1355" s="1561">
        <v>1412.0</v>
      </c>
      <c r="L1355" s="1551">
        <v>48651.0</v>
      </c>
    </row>
    <row r="1356">
      <c r="A1356" s="1545" t="s">
        <v>1245</v>
      </c>
      <c r="B1356" s="1587">
        <v>12598.0</v>
      </c>
      <c r="C1356" s="1563">
        <v>360.0</v>
      </c>
      <c r="D1356" s="1548">
        <v>13.0</v>
      </c>
      <c r="E1356" s="1557">
        <v>10653.0</v>
      </c>
      <c r="F1356" s="598">
        <v>75.0</v>
      </c>
      <c r="G1356" s="598">
        <v>131.0</v>
      </c>
      <c r="H1356" s="598">
        <v>49.0</v>
      </c>
      <c r="I1356" s="598">
        <v>296.0</v>
      </c>
      <c r="J1356" s="598">
        <v>776.0</v>
      </c>
      <c r="K1356" s="1561">
        <v>618.0</v>
      </c>
      <c r="L1356" s="1551">
        <v>53540.0</v>
      </c>
    </row>
    <row r="1357">
      <c r="A1357" s="1545" t="s">
        <v>1305</v>
      </c>
      <c r="B1357" s="1587">
        <v>56621.0</v>
      </c>
      <c r="C1357" s="1563">
        <v>922.0</v>
      </c>
      <c r="D1357" s="1548">
        <v>7.4</v>
      </c>
      <c r="E1357" s="1557">
        <v>51394.0</v>
      </c>
      <c r="F1357" s="598">
        <v>853.0</v>
      </c>
      <c r="G1357" s="598">
        <v>339.0</v>
      </c>
      <c r="H1357" s="598">
        <v>776.0</v>
      </c>
      <c r="I1357" s="598">
        <v>6.0</v>
      </c>
      <c r="J1357" s="598">
        <v>482.0</v>
      </c>
      <c r="K1357" s="1561">
        <v>2771.0</v>
      </c>
      <c r="L1357" s="1551">
        <v>82814.0</v>
      </c>
    </row>
    <row r="1358">
      <c r="A1358" s="1545" t="s">
        <v>112</v>
      </c>
      <c r="B1358" s="1587">
        <v>65318.0</v>
      </c>
      <c r="C1358" s="1547">
        <v>2057.0</v>
      </c>
      <c r="D1358" s="1548">
        <v>13.2</v>
      </c>
      <c r="E1358" s="1557">
        <v>55451.0</v>
      </c>
      <c r="F1358" s="598">
        <v>3190.0</v>
      </c>
      <c r="G1358" s="598">
        <v>1147.0</v>
      </c>
      <c r="H1358" s="598">
        <v>781.0</v>
      </c>
      <c r="I1358" s="598">
        <v>20.0</v>
      </c>
      <c r="J1358" s="598">
        <v>869.0</v>
      </c>
      <c r="K1358" s="1561">
        <v>3860.0</v>
      </c>
      <c r="L1358" s="1551">
        <v>65914.0</v>
      </c>
    </row>
    <row r="1359">
      <c r="A1359" s="1545" t="s">
        <v>675</v>
      </c>
      <c r="B1359" s="1587">
        <v>8524.0</v>
      </c>
      <c r="C1359" s="1563">
        <v>383.0</v>
      </c>
      <c r="D1359" s="1548">
        <v>17.8</v>
      </c>
      <c r="E1359" s="1557">
        <v>7197.0</v>
      </c>
      <c r="F1359" s="598">
        <v>23.0</v>
      </c>
      <c r="G1359" s="598">
        <v>757.0</v>
      </c>
      <c r="H1359" s="598">
        <v>23.0</v>
      </c>
      <c r="I1359" s="598">
        <v>2.0</v>
      </c>
      <c r="J1359" s="598">
        <v>34.0</v>
      </c>
      <c r="K1359" s="1561">
        <v>488.0</v>
      </c>
      <c r="L1359" s="1551">
        <v>51475.0</v>
      </c>
    </row>
    <row r="1360">
      <c r="A1360" s="1545" t="s">
        <v>202</v>
      </c>
      <c r="B1360" s="1587">
        <v>5600.0</v>
      </c>
      <c r="C1360" s="1563">
        <v>114.0</v>
      </c>
      <c r="D1360" s="1548">
        <v>13.6</v>
      </c>
      <c r="E1360" s="1557">
        <v>4686.0</v>
      </c>
      <c r="F1360" s="598">
        <v>25.0</v>
      </c>
      <c r="G1360" s="598">
        <v>458.0</v>
      </c>
      <c r="H1360" s="598">
        <v>49.0</v>
      </c>
      <c r="I1360" s="598">
        <v>1.0</v>
      </c>
      <c r="J1360" s="598">
        <v>50.0</v>
      </c>
      <c r="K1360" s="1561">
        <v>331.0</v>
      </c>
      <c r="L1360" s="1551">
        <v>54465.0</v>
      </c>
    </row>
    <row r="1361">
      <c r="A1361" s="1545" t="s">
        <v>1306</v>
      </c>
      <c r="B1361" s="1587">
        <v>11517.0</v>
      </c>
      <c r="C1361" s="1563">
        <v>437.0</v>
      </c>
      <c r="D1361" s="1548">
        <v>16.1</v>
      </c>
      <c r="E1361" s="1557">
        <v>9617.0</v>
      </c>
      <c r="F1361" s="598">
        <v>143.0</v>
      </c>
      <c r="G1361" s="598">
        <v>51.0</v>
      </c>
      <c r="H1361" s="598">
        <v>369.0</v>
      </c>
      <c r="I1361" s="598">
        <v>80.0</v>
      </c>
      <c r="J1361" s="598">
        <v>682.0</v>
      </c>
      <c r="K1361" s="1561">
        <v>575.0</v>
      </c>
      <c r="L1361" s="1551">
        <v>51788.0</v>
      </c>
    </row>
    <row r="1362">
      <c r="A1362" s="1545" t="s">
        <v>1307</v>
      </c>
      <c r="B1362" s="1587">
        <v>66123.0</v>
      </c>
      <c r="C1362" s="1547">
        <v>2280.0</v>
      </c>
      <c r="D1362" s="1548">
        <v>16.6</v>
      </c>
      <c r="E1362" s="1557">
        <v>61586.0</v>
      </c>
      <c r="F1362" s="598">
        <v>419.0</v>
      </c>
      <c r="G1362" s="598">
        <v>663.0</v>
      </c>
      <c r="H1362" s="598">
        <v>332.0</v>
      </c>
      <c r="I1362" s="598">
        <v>19.0</v>
      </c>
      <c r="J1362" s="598">
        <v>392.0</v>
      </c>
      <c r="K1362" s="1561">
        <v>2712.0</v>
      </c>
      <c r="L1362" s="1555">
        <v>53481.0</v>
      </c>
    </row>
    <row r="1363">
      <c r="A1363" s="1545" t="s">
        <v>1308</v>
      </c>
      <c r="B1363" s="1587">
        <v>439882.0</v>
      </c>
      <c r="C1363" s="1547">
        <v>8033.0</v>
      </c>
      <c r="D1363" s="1548">
        <v>7.9</v>
      </c>
      <c r="E1363" s="1557">
        <v>330482.0</v>
      </c>
      <c r="F1363" s="598">
        <v>32740.0</v>
      </c>
      <c r="G1363" s="598">
        <v>2392.0</v>
      </c>
      <c r="H1363" s="598">
        <v>24118.0</v>
      </c>
      <c r="I1363" s="598">
        <v>222.0</v>
      </c>
      <c r="J1363" s="598">
        <v>18009.0</v>
      </c>
      <c r="K1363" s="1561">
        <v>31919.0</v>
      </c>
      <c r="L1363" s="1551">
        <v>86403.0</v>
      </c>
    </row>
    <row r="1364">
      <c r="A1364" s="1545" t="s">
        <v>564</v>
      </c>
      <c r="B1364" s="1587">
        <v>20867.0</v>
      </c>
      <c r="C1364" s="1563">
        <v>386.0</v>
      </c>
      <c r="D1364" s="1548">
        <v>7.3</v>
      </c>
      <c r="E1364" s="1557">
        <v>19088.0</v>
      </c>
      <c r="F1364" s="598">
        <v>134.0</v>
      </c>
      <c r="G1364" s="598">
        <v>67.0</v>
      </c>
      <c r="H1364" s="598">
        <v>110.0</v>
      </c>
      <c r="I1364" s="598">
        <v>1.0</v>
      </c>
      <c r="J1364" s="598">
        <v>488.0</v>
      </c>
      <c r="K1364" s="1561">
        <v>979.0</v>
      </c>
      <c r="L1364" s="1551">
        <v>75955.0</v>
      </c>
    </row>
    <row r="1365">
      <c r="A1365" s="1545" t="s">
        <v>412</v>
      </c>
      <c r="B1365" s="1587">
        <v>39006.0</v>
      </c>
      <c r="C1365" s="1563">
        <v>762.0</v>
      </c>
      <c r="D1365" s="1548">
        <v>9.5</v>
      </c>
      <c r="E1365" s="1557">
        <v>36887.0</v>
      </c>
      <c r="F1365" s="598">
        <v>235.0</v>
      </c>
      <c r="G1365" s="598">
        <v>129.0</v>
      </c>
      <c r="H1365" s="598">
        <v>228.0</v>
      </c>
      <c r="I1365" s="598">
        <v>11.0</v>
      </c>
      <c r="J1365" s="598">
        <v>285.0</v>
      </c>
      <c r="K1365" s="1561">
        <v>1231.0</v>
      </c>
      <c r="L1365" s="1551">
        <v>60979.0</v>
      </c>
    </row>
    <row r="1366">
      <c r="A1366" s="1545" t="s">
        <v>1309</v>
      </c>
      <c r="B1366" s="1587">
        <v>13921.0</v>
      </c>
      <c r="C1366" s="1563">
        <v>514.0</v>
      </c>
      <c r="D1366" s="1548">
        <v>17.6</v>
      </c>
      <c r="E1366" s="1557">
        <v>12736.0</v>
      </c>
      <c r="F1366" s="598">
        <v>60.0</v>
      </c>
      <c r="G1366" s="598">
        <v>82.0</v>
      </c>
      <c r="H1366" s="598">
        <v>46.0</v>
      </c>
      <c r="I1366" s="598">
        <v>1.0</v>
      </c>
      <c r="J1366" s="598">
        <v>402.0</v>
      </c>
      <c r="K1366" s="1561">
        <v>594.0</v>
      </c>
      <c r="L1366" s="1551">
        <v>52560.0</v>
      </c>
    </row>
    <row r="1367">
      <c r="A1367" s="1545" t="s">
        <v>1310</v>
      </c>
      <c r="B1367" s="1587">
        <v>21228.0</v>
      </c>
      <c r="C1367" s="1563">
        <v>744.0</v>
      </c>
      <c r="D1367" s="1548">
        <v>14.5</v>
      </c>
      <c r="E1367" s="1557">
        <v>20278.0</v>
      </c>
      <c r="F1367" s="598">
        <v>101.0</v>
      </c>
      <c r="G1367" s="598">
        <v>16.0</v>
      </c>
      <c r="H1367" s="598">
        <v>71.0</v>
      </c>
      <c r="I1367" s="598">
        <v>2.0</v>
      </c>
      <c r="J1367" s="598">
        <v>161.0</v>
      </c>
      <c r="K1367" s="1561">
        <v>599.0</v>
      </c>
      <c r="L1367" s="1551">
        <v>58761.0</v>
      </c>
    </row>
    <row r="1368">
      <c r="A1368" s="1545" t="s">
        <v>1311</v>
      </c>
      <c r="B1368" s="1587">
        <v>30895.0</v>
      </c>
      <c r="C1368" s="1563">
        <v>857.0</v>
      </c>
      <c r="D1368" s="1548">
        <v>13.2</v>
      </c>
      <c r="E1368" s="1557">
        <v>25988.0</v>
      </c>
      <c r="F1368" s="598">
        <v>486.0</v>
      </c>
      <c r="G1368" s="598">
        <v>136.0</v>
      </c>
      <c r="H1368" s="598">
        <v>1148.0</v>
      </c>
      <c r="I1368" s="598">
        <v>5.0</v>
      </c>
      <c r="J1368" s="598">
        <v>1275.0</v>
      </c>
      <c r="K1368" s="1561">
        <v>1857.0</v>
      </c>
      <c r="L1368" s="1551">
        <v>52010.0</v>
      </c>
    </row>
    <row r="1369">
      <c r="A1369" s="1545" t="s">
        <v>1312</v>
      </c>
      <c r="B1369" s="1587">
        <v>47582.0</v>
      </c>
      <c r="C1369" s="1563">
        <v>792.0</v>
      </c>
      <c r="D1369" s="1548">
        <v>7.9</v>
      </c>
      <c r="E1369" s="1557">
        <v>42850.0</v>
      </c>
      <c r="F1369" s="598">
        <v>685.0</v>
      </c>
      <c r="G1369" s="598">
        <v>614.0</v>
      </c>
      <c r="H1369" s="598">
        <v>348.0</v>
      </c>
      <c r="I1369" s="598">
        <v>33.0</v>
      </c>
      <c r="J1369" s="598">
        <v>902.0</v>
      </c>
      <c r="K1369" s="1561">
        <v>2150.0</v>
      </c>
      <c r="L1369" s="1551">
        <v>67039.0</v>
      </c>
    </row>
    <row r="1370">
      <c r="A1370" s="1545" t="s">
        <v>278</v>
      </c>
      <c r="B1370" s="1587">
        <v>6074.0</v>
      </c>
      <c r="C1370" s="1563">
        <v>192.0</v>
      </c>
      <c r="D1370" s="1548">
        <v>14.4</v>
      </c>
      <c r="E1370" s="1557">
        <v>5721.0</v>
      </c>
      <c r="F1370" s="598">
        <v>13.0</v>
      </c>
      <c r="G1370" s="598">
        <v>31.0</v>
      </c>
      <c r="H1370" s="598">
        <v>20.0</v>
      </c>
      <c r="I1370" s="598">
        <v>8.0</v>
      </c>
      <c r="J1370" s="598">
        <v>50.0</v>
      </c>
      <c r="K1370" s="1561">
        <v>231.0</v>
      </c>
      <c r="L1370" s="1555">
        <v>54917.0</v>
      </c>
    </row>
    <row r="1371">
      <c r="A1371" s="1545" t="s">
        <v>350</v>
      </c>
      <c r="B1371" s="1587">
        <v>1281565.0</v>
      </c>
      <c r="C1371" s="1547">
        <v>31551.0</v>
      </c>
      <c r="D1371" s="1548">
        <v>11.6</v>
      </c>
      <c r="E1371" s="1557">
        <v>855122.0</v>
      </c>
      <c r="F1371" s="598">
        <v>171511.0</v>
      </c>
      <c r="G1371" s="598">
        <v>11938.0</v>
      </c>
      <c r="H1371" s="598">
        <v>97864.0</v>
      </c>
      <c r="I1371" s="598">
        <v>459.0</v>
      </c>
      <c r="J1371" s="598">
        <v>54040.0</v>
      </c>
      <c r="K1371" s="1561">
        <v>90631.0</v>
      </c>
      <c r="L1371" s="1551">
        <v>76067.0</v>
      </c>
    </row>
    <row r="1372">
      <c r="A1372" s="1545" t="s">
        <v>141</v>
      </c>
      <c r="B1372" s="1587">
        <v>18843.0</v>
      </c>
      <c r="C1372" s="1563">
        <v>365.0</v>
      </c>
      <c r="D1372" s="1548">
        <v>9.2</v>
      </c>
      <c r="E1372" s="1557">
        <v>17900.0</v>
      </c>
      <c r="F1372" s="598">
        <v>98.0</v>
      </c>
      <c r="G1372" s="598">
        <v>54.0</v>
      </c>
      <c r="H1372" s="598">
        <v>101.0</v>
      </c>
      <c r="I1372" s="598">
        <v>4.0</v>
      </c>
      <c r="J1372" s="598">
        <v>96.0</v>
      </c>
      <c r="K1372" s="1561">
        <v>590.0</v>
      </c>
      <c r="L1372" s="1551">
        <v>59613.0</v>
      </c>
    </row>
    <row r="1373">
      <c r="A1373" s="1545" t="s">
        <v>1313</v>
      </c>
      <c r="B1373" s="1587">
        <v>21344.0</v>
      </c>
      <c r="C1373" s="1563">
        <v>833.0</v>
      </c>
      <c r="D1373" s="1548">
        <v>18.9</v>
      </c>
      <c r="E1373" s="1557">
        <v>19265.0</v>
      </c>
      <c r="F1373" s="598">
        <v>93.0</v>
      </c>
      <c r="G1373" s="598">
        <v>581.0</v>
      </c>
      <c r="H1373" s="598">
        <v>66.0</v>
      </c>
      <c r="I1373" s="598">
        <v>13.0</v>
      </c>
      <c r="J1373" s="598">
        <v>226.0</v>
      </c>
      <c r="K1373" s="1561">
        <v>1100.0</v>
      </c>
      <c r="L1373" s="1551">
        <v>55687.0</v>
      </c>
    </row>
    <row r="1374">
      <c r="A1374" s="1545" t="s">
        <v>1314</v>
      </c>
      <c r="B1374" s="1587">
        <v>41135.0</v>
      </c>
      <c r="C1374" s="1563">
        <v>859.0</v>
      </c>
      <c r="D1374" s="1548">
        <v>9.4</v>
      </c>
      <c r="E1374" s="1557">
        <v>37888.0</v>
      </c>
      <c r="F1374" s="598">
        <v>318.0</v>
      </c>
      <c r="G1374" s="598">
        <v>213.0</v>
      </c>
      <c r="H1374" s="598">
        <v>489.0</v>
      </c>
      <c r="I1374" s="598">
        <v>13.0</v>
      </c>
      <c r="J1374" s="598">
        <v>346.0</v>
      </c>
      <c r="K1374" s="1561">
        <v>1868.0</v>
      </c>
      <c r="L1374" s="1551">
        <v>73468.0</v>
      </c>
    </row>
    <row r="1375">
      <c r="A1375" s="1545" t="s">
        <v>1315</v>
      </c>
      <c r="B1375" s="1587">
        <v>45014.0</v>
      </c>
      <c r="C1375" s="1547">
        <v>1460.0</v>
      </c>
      <c r="D1375" s="1548">
        <v>16.2</v>
      </c>
      <c r="E1375" s="1557">
        <v>40371.0</v>
      </c>
      <c r="F1375" s="598">
        <v>178.0</v>
      </c>
      <c r="G1375" s="598">
        <v>1552.0</v>
      </c>
      <c r="H1375" s="598">
        <v>145.0</v>
      </c>
      <c r="I1375" s="598">
        <v>7.0</v>
      </c>
      <c r="J1375" s="598">
        <v>210.0</v>
      </c>
      <c r="K1375" s="1561">
        <v>2551.0</v>
      </c>
      <c r="L1375" s="1551">
        <v>53143.0</v>
      </c>
    </row>
    <row r="1376">
      <c r="A1376" s="1545" t="s">
        <v>142</v>
      </c>
      <c r="B1376" s="1587">
        <v>9989.0</v>
      </c>
      <c r="C1376" s="1563">
        <v>256.0</v>
      </c>
      <c r="D1376" s="1548">
        <v>12.1</v>
      </c>
      <c r="E1376" s="1557">
        <v>9133.0</v>
      </c>
      <c r="F1376" s="598">
        <v>120.0</v>
      </c>
      <c r="G1376" s="598">
        <v>31.0</v>
      </c>
      <c r="H1376" s="598">
        <v>124.0</v>
      </c>
      <c r="I1376" s="598">
        <v>0.0</v>
      </c>
      <c r="J1376" s="598">
        <v>195.0</v>
      </c>
      <c r="K1376" s="1561">
        <v>386.0</v>
      </c>
      <c r="L1376" s="1551">
        <v>57786.0</v>
      </c>
    </row>
    <row r="1377">
      <c r="A1377" s="1545" t="s">
        <v>1316</v>
      </c>
      <c r="B1377" s="1587">
        <v>16032.0</v>
      </c>
      <c r="C1377" s="1563">
        <v>590.0</v>
      </c>
      <c r="D1377" s="1548">
        <v>17.4</v>
      </c>
      <c r="E1377" s="1557">
        <v>15088.0</v>
      </c>
      <c r="F1377" s="598">
        <v>67.0</v>
      </c>
      <c r="G1377" s="598">
        <v>128.0</v>
      </c>
      <c r="H1377" s="598">
        <v>84.0</v>
      </c>
      <c r="I1377" s="598">
        <v>0.0</v>
      </c>
      <c r="J1377" s="598">
        <v>40.0</v>
      </c>
      <c r="K1377" s="1561">
        <v>625.0</v>
      </c>
      <c r="L1377" s="1551">
        <v>56950.0</v>
      </c>
    </row>
    <row r="1378">
      <c r="A1378" s="1545" t="s">
        <v>1317</v>
      </c>
      <c r="B1378" s="1587">
        <v>43732.0</v>
      </c>
      <c r="C1378" s="1547">
        <v>1834.0</v>
      </c>
      <c r="D1378" s="1548">
        <v>17.9</v>
      </c>
      <c r="E1378" s="1557">
        <v>35004.0</v>
      </c>
      <c r="F1378" s="598">
        <v>2649.0</v>
      </c>
      <c r="G1378" s="598">
        <v>218.0</v>
      </c>
      <c r="H1378" s="598">
        <v>590.0</v>
      </c>
      <c r="I1378" s="598">
        <v>37.0</v>
      </c>
      <c r="J1378" s="598">
        <v>2233.0</v>
      </c>
      <c r="K1378" s="1561">
        <v>3001.0</v>
      </c>
      <c r="L1378" s="1551">
        <v>60579.0</v>
      </c>
    </row>
    <row r="1379">
      <c r="A1379" s="1545" t="s">
        <v>1318</v>
      </c>
      <c r="B1379" s="1587">
        <v>4207.0</v>
      </c>
      <c r="C1379" s="1563">
        <v>125.0</v>
      </c>
      <c r="D1379" s="1548">
        <v>13.8</v>
      </c>
      <c r="E1379" s="1557">
        <v>4011.0</v>
      </c>
      <c r="F1379" s="598">
        <v>3.0</v>
      </c>
      <c r="G1379" s="598">
        <v>15.0</v>
      </c>
      <c r="H1379" s="598">
        <v>18.0</v>
      </c>
      <c r="I1379" s="598">
        <v>6.0</v>
      </c>
      <c r="J1379" s="598">
        <v>20.0</v>
      </c>
      <c r="K1379" s="1561">
        <v>134.0</v>
      </c>
      <c r="L1379" s="1551">
        <v>54438.0</v>
      </c>
    </row>
    <row r="1380">
      <c r="A1380" s="1545" t="s">
        <v>1319</v>
      </c>
      <c r="B1380" s="1587">
        <v>12062.0</v>
      </c>
      <c r="C1380" s="1563">
        <v>477.0</v>
      </c>
      <c r="D1380" s="1548">
        <v>21.6</v>
      </c>
      <c r="E1380" s="1557">
        <v>10975.0</v>
      </c>
      <c r="F1380" s="598">
        <v>44.0</v>
      </c>
      <c r="G1380" s="598">
        <v>284.0</v>
      </c>
      <c r="H1380" s="598">
        <v>39.0</v>
      </c>
      <c r="I1380" s="598">
        <v>12.0</v>
      </c>
      <c r="J1380" s="598">
        <v>54.0</v>
      </c>
      <c r="K1380" s="1561">
        <v>654.0</v>
      </c>
      <c r="L1380" s="1551">
        <v>46281.0</v>
      </c>
    </row>
    <row r="1381">
      <c r="A1381" s="1545" t="s">
        <v>1320</v>
      </c>
      <c r="B1381" s="1587">
        <v>6719.0</v>
      </c>
      <c r="C1381" s="1563">
        <v>155.0</v>
      </c>
      <c r="D1381" s="1548">
        <v>11.8</v>
      </c>
      <c r="E1381" s="1557">
        <v>6290.0</v>
      </c>
      <c r="F1381" s="598">
        <v>36.0</v>
      </c>
      <c r="G1381" s="598">
        <v>15.0</v>
      </c>
      <c r="H1381" s="598">
        <v>40.0</v>
      </c>
      <c r="I1381" s="598">
        <v>0.0</v>
      </c>
      <c r="J1381" s="598">
        <v>113.0</v>
      </c>
      <c r="K1381" s="1561">
        <v>225.0</v>
      </c>
      <c r="L1381" s="1551">
        <v>52445.0</v>
      </c>
    </row>
    <row r="1382">
      <c r="A1382" s="1545" t="s">
        <v>337</v>
      </c>
      <c r="B1382" s="1587">
        <v>10905.0</v>
      </c>
      <c r="C1382" s="1563">
        <v>227.0</v>
      </c>
      <c r="D1382" s="1548">
        <v>11.6</v>
      </c>
      <c r="E1382" s="1557">
        <v>10326.0</v>
      </c>
      <c r="F1382" s="598">
        <v>11.0</v>
      </c>
      <c r="G1382" s="598">
        <v>51.0</v>
      </c>
      <c r="H1382" s="598">
        <v>55.0</v>
      </c>
      <c r="I1382" s="598">
        <v>0.0</v>
      </c>
      <c r="J1382" s="598">
        <v>45.0</v>
      </c>
      <c r="K1382" s="1561">
        <v>417.0</v>
      </c>
      <c r="L1382" s="1551">
        <v>61015.0</v>
      </c>
    </row>
    <row r="1383">
      <c r="A1383" s="1545" t="s">
        <v>4294</v>
      </c>
      <c r="B1383" s="1587">
        <v>3763.0</v>
      </c>
      <c r="C1383" s="1563">
        <v>98.0</v>
      </c>
      <c r="D1383" s="1548">
        <v>14.0</v>
      </c>
      <c r="E1383" s="1557">
        <v>3512.0</v>
      </c>
      <c r="F1383" s="598">
        <v>13.0</v>
      </c>
      <c r="G1383" s="598">
        <v>19.0</v>
      </c>
      <c r="H1383" s="598">
        <v>18.0</v>
      </c>
      <c r="I1383" s="598">
        <v>0.0</v>
      </c>
      <c r="J1383" s="598">
        <v>14.0</v>
      </c>
      <c r="K1383" s="1561">
        <v>187.0</v>
      </c>
      <c r="L1383" s="1551">
        <v>52058.0</v>
      </c>
    </row>
    <row r="1384">
      <c r="A1384" s="1545" t="s">
        <v>1322</v>
      </c>
      <c r="B1384" s="1587">
        <v>28674.0</v>
      </c>
      <c r="C1384" s="1563">
        <v>585.0</v>
      </c>
      <c r="D1384" s="1548">
        <v>8.7</v>
      </c>
      <c r="E1384" s="1557">
        <v>25991.0</v>
      </c>
      <c r="F1384" s="598">
        <v>264.0</v>
      </c>
      <c r="G1384" s="598">
        <v>102.0</v>
      </c>
      <c r="H1384" s="598">
        <v>134.0</v>
      </c>
      <c r="I1384" s="598">
        <v>20.0</v>
      </c>
      <c r="J1384" s="598">
        <v>700.0</v>
      </c>
      <c r="K1384" s="1561">
        <v>1463.0</v>
      </c>
      <c r="L1384" s="1551">
        <v>67269.0</v>
      </c>
    </row>
    <row r="1385">
      <c r="A1385" s="1545" t="s">
        <v>290</v>
      </c>
      <c r="B1385" s="1587">
        <v>5640.0</v>
      </c>
      <c r="C1385" s="1563">
        <v>155.0</v>
      </c>
      <c r="D1385" s="1548">
        <v>11.8</v>
      </c>
      <c r="E1385" s="1557">
        <v>5406.0</v>
      </c>
      <c r="F1385" s="598">
        <v>10.0</v>
      </c>
      <c r="G1385" s="598">
        <v>21.0</v>
      </c>
      <c r="H1385" s="598">
        <v>22.0</v>
      </c>
      <c r="I1385" s="598">
        <v>0.0</v>
      </c>
      <c r="J1385" s="598">
        <v>33.0</v>
      </c>
      <c r="K1385" s="1561">
        <v>148.0</v>
      </c>
      <c r="L1385" s="1551">
        <v>51305.0</v>
      </c>
    </row>
    <row r="1386">
      <c r="A1386" s="1545" t="s">
        <v>910</v>
      </c>
      <c r="B1386" s="1587">
        <v>25269.0</v>
      </c>
      <c r="C1386" s="1563">
        <v>920.0</v>
      </c>
      <c r="D1386" s="1548">
        <v>14.1</v>
      </c>
      <c r="E1386" s="1557">
        <v>20946.0</v>
      </c>
      <c r="F1386" s="598">
        <v>922.0</v>
      </c>
      <c r="G1386" s="598">
        <v>133.0</v>
      </c>
      <c r="H1386" s="598">
        <v>1268.0</v>
      </c>
      <c r="I1386" s="598">
        <v>3.0</v>
      </c>
      <c r="J1386" s="598">
        <v>797.0</v>
      </c>
      <c r="K1386" s="1561">
        <v>1200.0</v>
      </c>
      <c r="L1386" s="1551">
        <v>57690.0</v>
      </c>
    </row>
    <row r="1387">
      <c r="A1387" s="1545" t="s">
        <v>1323</v>
      </c>
      <c r="B1387" s="1587">
        <v>36771.0</v>
      </c>
      <c r="C1387" s="1563">
        <v>735.0</v>
      </c>
      <c r="D1387" s="1548">
        <v>9.1</v>
      </c>
      <c r="E1387" s="1557">
        <v>33216.0</v>
      </c>
      <c r="F1387" s="598">
        <v>235.0</v>
      </c>
      <c r="G1387" s="598">
        <v>159.0</v>
      </c>
      <c r="H1387" s="598">
        <v>238.0</v>
      </c>
      <c r="I1387" s="598">
        <v>30.0</v>
      </c>
      <c r="J1387" s="598">
        <v>914.0</v>
      </c>
      <c r="K1387" s="1561">
        <v>1979.0</v>
      </c>
      <c r="L1387" s="1551">
        <v>61959.0</v>
      </c>
    </row>
    <row r="1388">
      <c r="A1388" s="1545" t="s">
        <v>1324</v>
      </c>
      <c r="B1388" s="1587">
        <v>5411.0</v>
      </c>
      <c r="C1388" s="1563">
        <v>505.0</v>
      </c>
      <c r="D1388" s="1548">
        <v>29.7</v>
      </c>
      <c r="E1388" s="1557">
        <v>2303.0</v>
      </c>
      <c r="F1388" s="598">
        <v>8.0</v>
      </c>
      <c r="G1388" s="598">
        <v>2324.0</v>
      </c>
      <c r="H1388" s="598">
        <v>7.0</v>
      </c>
      <c r="I1388" s="598">
        <v>0.0</v>
      </c>
      <c r="J1388" s="598">
        <v>37.0</v>
      </c>
      <c r="K1388" s="1561">
        <v>732.0</v>
      </c>
      <c r="L1388" s="1551">
        <v>43162.0</v>
      </c>
    </row>
    <row r="1389">
      <c r="A1389" s="1545" t="s">
        <v>154</v>
      </c>
      <c r="B1389" s="1587">
        <v>9040.0</v>
      </c>
      <c r="C1389" s="1563">
        <v>205.0</v>
      </c>
      <c r="D1389" s="1548">
        <v>9.7</v>
      </c>
      <c r="E1389" s="1557">
        <v>8473.0</v>
      </c>
      <c r="F1389" s="598">
        <v>13.0</v>
      </c>
      <c r="G1389" s="598">
        <v>37.0</v>
      </c>
      <c r="H1389" s="598">
        <v>19.0</v>
      </c>
      <c r="I1389" s="598">
        <v>0.0</v>
      </c>
      <c r="J1389" s="598">
        <v>103.0</v>
      </c>
      <c r="K1389" s="1561">
        <v>395.0</v>
      </c>
      <c r="L1389" s="1551">
        <v>58105.0</v>
      </c>
    </row>
    <row r="1390">
      <c r="A1390" s="1545" t="s">
        <v>510</v>
      </c>
      <c r="B1390" s="1587">
        <v>20025.0</v>
      </c>
      <c r="C1390" s="1563">
        <v>818.0</v>
      </c>
      <c r="D1390" s="1548">
        <v>19.4</v>
      </c>
      <c r="E1390" s="1557">
        <v>18361.0</v>
      </c>
      <c r="F1390" s="598">
        <v>118.0</v>
      </c>
      <c r="G1390" s="598">
        <v>76.0</v>
      </c>
      <c r="H1390" s="598">
        <v>102.0</v>
      </c>
      <c r="I1390" s="598">
        <v>6.0</v>
      </c>
      <c r="J1390" s="598">
        <v>529.0</v>
      </c>
      <c r="K1390" s="1561">
        <v>833.0</v>
      </c>
      <c r="L1390" s="1551">
        <v>50821.0</v>
      </c>
    </row>
    <row r="1391">
      <c r="A1391" s="1545" t="s">
        <v>1325</v>
      </c>
      <c r="B1391" s="1587">
        <v>23400.0</v>
      </c>
      <c r="C1391" s="1563">
        <v>523.0</v>
      </c>
      <c r="D1391" s="1548">
        <v>9.5</v>
      </c>
      <c r="E1391" s="1557">
        <v>21865.0</v>
      </c>
      <c r="F1391" s="598">
        <v>93.0</v>
      </c>
      <c r="G1391" s="598">
        <v>48.0</v>
      </c>
      <c r="H1391" s="598">
        <v>59.0</v>
      </c>
      <c r="I1391" s="598">
        <v>5.0</v>
      </c>
      <c r="J1391" s="598">
        <v>400.0</v>
      </c>
      <c r="K1391" s="1561">
        <v>930.0</v>
      </c>
      <c r="L1391" s="1551">
        <v>66557.0</v>
      </c>
    </row>
    <row r="1392">
      <c r="A1392" s="1545" t="s">
        <v>1326</v>
      </c>
      <c r="B1392" s="1587">
        <v>26459.0</v>
      </c>
      <c r="C1392" s="1563">
        <v>995.0</v>
      </c>
      <c r="D1392" s="1548">
        <v>16.5</v>
      </c>
      <c r="E1392" s="1557">
        <v>23281.0</v>
      </c>
      <c r="F1392" s="598">
        <v>83.0</v>
      </c>
      <c r="G1392" s="598">
        <v>1499.0</v>
      </c>
      <c r="H1392" s="598">
        <v>130.0</v>
      </c>
      <c r="I1392" s="598">
        <v>6.0</v>
      </c>
      <c r="J1392" s="598">
        <v>187.0</v>
      </c>
      <c r="K1392" s="1561">
        <v>1273.0</v>
      </c>
      <c r="L1392" s="1551">
        <v>53289.0</v>
      </c>
    </row>
    <row r="1393">
      <c r="A1393" s="1545" t="s">
        <v>1327</v>
      </c>
      <c r="B1393" s="1587">
        <v>34010.0</v>
      </c>
      <c r="C1393" s="1563">
        <v>907.0</v>
      </c>
      <c r="D1393" s="1548">
        <v>11.9</v>
      </c>
      <c r="E1393" s="1557">
        <v>32245.0</v>
      </c>
      <c r="F1393" s="598">
        <v>185.0</v>
      </c>
      <c r="G1393" s="598">
        <v>133.0</v>
      </c>
      <c r="H1393" s="598">
        <v>110.0</v>
      </c>
      <c r="I1393" s="598">
        <v>14.0</v>
      </c>
      <c r="J1393" s="598">
        <v>236.0</v>
      </c>
      <c r="K1393" s="1561">
        <v>1087.0</v>
      </c>
      <c r="L1393" s="1551">
        <v>57471.0</v>
      </c>
    </row>
    <row r="1394">
      <c r="A1394" s="1545" t="s">
        <v>1328</v>
      </c>
      <c r="B1394" s="1587">
        <v>40029.0</v>
      </c>
      <c r="C1394" s="1547">
        <v>1317.0</v>
      </c>
      <c r="D1394" s="1548">
        <v>13.4</v>
      </c>
      <c r="E1394" s="1557">
        <v>30804.0</v>
      </c>
      <c r="F1394" s="598">
        <v>1638.0</v>
      </c>
      <c r="G1394" s="598">
        <v>189.0</v>
      </c>
      <c r="H1394" s="598">
        <v>2072.0</v>
      </c>
      <c r="I1394" s="598">
        <v>255.0</v>
      </c>
      <c r="J1394" s="598">
        <v>2524.0</v>
      </c>
      <c r="K1394" s="1561">
        <v>2547.0</v>
      </c>
      <c r="L1394" s="1551">
        <v>53387.0</v>
      </c>
    </row>
    <row r="1395">
      <c r="A1395" s="1545" t="s">
        <v>611</v>
      </c>
      <c r="B1395" s="1587">
        <v>8179.0</v>
      </c>
      <c r="C1395" s="1563">
        <v>204.0</v>
      </c>
      <c r="D1395" s="1548">
        <v>11.5</v>
      </c>
      <c r="E1395" s="1557">
        <v>7571.0</v>
      </c>
      <c r="F1395" s="598">
        <v>26.0</v>
      </c>
      <c r="G1395" s="598">
        <v>25.0</v>
      </c>
      <c r="H1395" s="598">
        <v>105.0</v>
      </c>
      <c r="I1395" s="598">
        <v>3.0</v>
      </c>
      <c r="J1395" s="598">
        <v>194.0</v>
      </c>
      <c r="K1395" s="1561">
        <v>255.0</v>
      </c>
      <c r="L1395" s="1551">
        <v>59938.0</v>
      </c>
    </row>
    <row r="1396">
      <c r="A1396" s="1545" t="s">
        <v>1329</v>
      </c>
      <c r="B1396" s="1587">
        <v>34454.0</v>
      </c>
      <c r="C1396" s="1563">
        <v>665.0</v>
      </c>
      <c r="D1396" s="1548">
        <v>9.0</v>
      </c>
      <c r="E1396" s="1557">
        <v>29744.0</v>
      </c>
      <c r="F1396" s="598">
        <v>1707.0</v>
      </c>
      <c r="G1396" s="598">
        <v>178.0</v>
      </c>
      <c r="H1396" s="598">
        <v>562.0</v>
      </c>
      <c r="I1396" s="598">
        <v>15.0</v>
      </c>
      <c r="J1396" s="598">
        <v>722.0</v>
      </c>
      <c r="K1396" s="1561">
        <v>1526.0</v>
      </c>
      <c r="L1396" s="1551">
        <v>66209.0</v>
      </c>
    </row>
    <row r="1397">
      <c r="A1397" s="1545" t="s">
        <v>1330</v>
      </c>
      <c r="B1397" s="1587">
        <v>22290.0</v>
      </c>
      <c r="C1397" s="1563">
        <v>838.0</v>
      </c>
      <c r="D1397" s="1548">
        <v>14.3</v>
      </c>
      <c r="E1397" s="1557">
        <v>13109.0</v>
      </c>
      <c r="F1397" s="598">
        <v>983.0</v>
      </c>
      <c r="G1397" s="598">
        <v>459.0</v>
      </c>
      <c r="H1397" s="598">
        <v>1362.0</v>
      </c>
      <c r="I1397" s="598">
        <v>41.0</v>
      </c>
      <c r="J1397" s="598">
        <v>4368.0</v>
      </c>
      <c r="K1397" s="1561">
        <v>1968.0</v>
      </c>
      <c r="L1397" s="1551">
        <v>55766.0</v>
      </c>
    </row>
    <row r="1398">
      <c r="A1398" s="1545" t="s">
        <v>1331</v>
      </c>
      <c r="B1398" s="1587">
        <v>6441.0</v>
      </c>
      <c r="C1398" s="1563">
        <v>257.0</v>
      </c>
      <c r="D1398" s="1548">
        <v>16.8</v>
      </c>
      <c r="E1398" s="1557">
        <v>5814.0</v>
      </c>
      <c r="F1398" s="598">
        <v>20.0</v>
      </c>
      <c r="G1398" s="598">
        <v>117.0</v>
      </c>
      <c r="H1398" s="598">
        <v>18.0</v>
      </c>
      <c r="I1398" s="598">
        <v>0.0</v>
      </c>
      <c r="J1398" s="598">
        <v>98.0</v>
      </c>
      <c r="K1398" s="1561">
        <v>374.0</v>
      </c>
      <c r="L1398" s="1555">
        <v>48799.0</v>
      </c>
    </row>
    <row r="1399">
      <c r="A1399" s="1545" t="s">
        <v>1332</v>
      </c>
      <c r="B1399" s="1587">
        <v>162847.0</v>
      </c>
      <c r="C1399" s="1547">
        <v>3141.0</v>
      </c>
      <c r="D1399" s="1548">
        <v>8.3</v>
      </c>
      <c r="E1399" s="1557">
        <v>126764.0</v>
      </c>
      <c r="F1399" s="598">
        <v>11113.0</v>
      </c>
      <c r="G1399" s="598">
        <v>613.0</v>
      </c>
      <c r="H1399" s="598">
        <v>10278.0</v>
      </c>
      <c r="I1399" s="598">
        <v>83.0</v>
      </c>
      <c r="J1399" s="598">
        <v>4036.0</v>
      </c>
      <c r="K1399" s="1561">
        <v>9960.0</v>
      </c>
      <c r="L1399" s="1551">
        <v>76001.0</v>
      </c>
    </row>
    <row r="1400">
      <c r="A1400" s="1545" t="s">
        <v>1333</v>
      </c>
      <c r="B1400" s="1587">
        <v>60081.0</v>
      </c>
      <c r="C1400" s="1547">
        <v>1776.0</v>
      </c>
      <c r="D1400" s="1548">
        <v>14.0</v>
      </c>
      <c r="E1400" s="1557">
        <v>54910.0</v>
      </c>
      <c r="F1400" s="598">
        <v>856.0</v>
      </c>
      <c r="G1400" s="598">
        <v>323.0</v>
      </c>
      <c r="H1400" s="598">
        <v>334.0</v>
      </c>
      <c r="I1400" s="598">
        <v>17.0</v>
      </c>
      <c r="J1400" s="598">
        <v>1081.0</v>
      </c>
      <c r="K1400" s="1561">
        <v>2560.0</v>
      </c>
      <c r="L1400" s="1551">
        <v>53778.0</v>
      </c>
    </row>
    <row r="1401">
      <c r="A1401" s="1545" t="s">
        <v>1334</v>
      </c>
      <c r="B1401" s="1587">
        <v>13992.0</v>
      </c>
      <c r="C1401" s="1563">
        <v>346.0</v>
      </c>
      <c r="D1401" s="1548">
        <v>11.0</v>
      </c>
      <c r="E1401" s="1557">
        <v>12434.0</v>
      </c>
      <c r="F1401" s="598">
        <v>181.0</v>
      </c>
      <c r="G1401" s="598">
        <v>203.0</v>
      </c>
      <c r="H1401" s="598">
        <v>123.0</v>
      </c>
      <c r="I1401" s="598">
        <v>6.0</v>
      </c>
      <c r="J1401" s="598">
        <v>261.0</v>
      </c>
      <c r="K1401" s="1561">
        <v>784.0</v>
      </c>
      <c r="L1401" s="1551">
        <v>57494.0</v>
      </c>
    </row>
    <row r="1402">
      <c r="A1402" s="1545" t="s">
        <v>1336</v>
      </c>
      <c r="B1402" s="1587">
        <v>28876.0</v>
      </c>
      <c r="C1402" s="1563">
        <v>877.0</v>
      </c>
      <c r="D1402" s="1548">
        <v>15.7</v>
      </c>
      <c r="E1402" s="1557">
        <v>25480.0</v>
      </c>
      <c r="F1402" s="598">
        <v>478.0</v>
      </c>
      <c r="G1402" s="598">
        <v>998.0</v>
      </c>
      <c r="H1402" s="598">
        <v>264.0</v>
      </c>
      <c r="I1402" s="598">
        <v>4.0</v>
      </c>
      <c r="J1402" s="598">
        <v>224.0</v>
      </c>
      <c r="K1402" s="1561">
        <v>1428.0</v>
      </c>
      <c r="L1402" s="1551">
        <v>50387.0</v>
      </c>
    </row>
    <row r="1403">
      <c r="A1403" s="1545" t="s">
        <v>1337</v>
      </c>
      <c r="B1403" s="1587">
        <v>9424.0</v>
      </c>
      <c r="C1403" s="1563">
        <v>345.0</v>
      </c>
      <c r="D1403" s="1548">
        <v>15.0</v>
      </c>
      <c r="E1403" s="1557">
        <v>8159.0</v>
      </c>
      <c r="F1403" s="598">
        <v>107.0</v>
      </c>
      <c r="G1403" s="598">
        <v>126.0</v>
      </c>
      <c r="H1403" s="598">
        <v>66.0</v>
      </c>
      <c r="I1403" s="598">
        <v>0.0</v>
      </c>
      <c r="J1403" s="598">
        <v>537.0</v>
      </c>
      <c r="K1403" s="1561">
        <v>429.0</v>
      </c>
      <c r="L1403" s="1551">
        <v>55378.0</v>
      </c>
    </row>
    <row r="1404">
      <c r="A1404" s="1545" t="s">
        <v>302</v>
      </c>
      <c r="B1404" s="1587">
        <v>31192.0</v>
      </c>
      <c r="C1404" s="1547">
        <v>1206.0</v>
      </c>
      <c r="D1404" s="1548">
        <v>16.1</v>
      </c>
      <c r="E1404" s="1557">
        <v>27229.0</v>
      </c>
      <c r="F1404" s="598">
        <v>977.0</v>
      </c>
      <c r="G1404" s="598">
        <v>456.0</v>
      </c>
      <c r="H1404" s="598">
        <v>157.0</v>
      </c>
      <c r="I1404" s="598">
        <v>4.0</v>
      </c>
      <c r="J1404" s="598">
        <v>615.0</v>
      </c>
      <c r="K1404" s="1561">
        <v>1754.0</v>
      </c>
      <c r="L1404" s="1551">
        <v>60180.0</v>
      </c>
    </row>
    <row r="1405">
      <c r="A1405" s="1545" t="s">
        <v>303</v>
      </c>
      <c r="B1405" s="1587">
        <v>11308.0</v>
      </c>
      <c r="C1405" s="1563">
        <v>227.0</v>
      </c>
      <c r="D1405" s="1548">
        <v>10.0</v>
      </c>
      <c r="E1405" s="1557">
        <v>10802.0</v>
      </c>
      <c r="F1405" s="598">
        <v>39.0</v>
      </c>
      <c r="G1405" s="598">
        <v>36.0</v>
      </c>
      <c r="H1405" s="598">
        <v>50.0</v>
      </c>
      <c r="I1405" s="598">
        <v>2.0</v>
      </c>
      <c r="J1405" s="598">
        <v>66.0</v>
      </c>
      <c r="K1405" s="1561">
        <v>313.0</v>
      </c>
      <c r="L1405" s="1555">
        <v>60975.0</v>
      </c>
    </row>
    <row r="1406">
      <c r="A1406" s="1545" t="s">
        <v>645</v>
      </c>
      <c r="B1406" s="1587">
        <v>552352.0</v>
      </c>
      <c r="C1406" s="1547">
        <v>26401.0</v>
      </c>
      <c r="D1406" s="1548">
        <v>20.9</v>
      </c>
      <c r="E1406" s="1557">
        <v>328949.0</v>
      </c>
      <c r="F1406" s="598">
        <v>71390.0</v>
      </c>
      <c r="G1406" s="598">
        <v>4480.0</v>
      </c>
      <c r="H1406" s="598">
        <v>86079.0</v>
      </c>
      <c r="I1406" s="598">
        <v>252.0</v>
      </c>
      <c r="J1406" s="598">
        <v>22001.0</v>
      </c>
      <c r="K1406" s="1561">
        <v>39201.0</v>
      </c>
      <c r="L1406" s="1551">
        <v>62937.0</v>
      </c>
    </row>
    <row r="1407">
      <c r="A1407" s="1545" t="s">
        <v>1338</v>
      </c>
      <c r="B1407" s="1587">
        <v>3935.0</v>
      </c>
      <c r="C1407" s="1563">
        <v>120.0</v>
      </c>
      <c r="D1407" s="1548">
        <v>12.6</v>
      </c>
      <c r="E1407" s="1557">
        <v>3647.0</v>
      </c>
      <c r="F1407" s="598">
        <v>15.0</v>
      </c>
      <c r="G1407" s="598">
        <v>60.0</v>
      </c>
      <c r="H1407" s="598">
        <v>6.0</v>
      </c>
      <c r="I1407" s="598">
        <v>5.0</v>
      </c>
      <c r="J1407" s="598">
        <v>53.0</v>
      </c>
      <c r="K1407" s="1561">
        <v>149.0</v>
      </c>
      <c r="L1407" s="1551">
        <v>54412.0</v>
      </c>
    </row>
    <row r="1408">
      <c r="A1408" s="1545" t="s">
        <v>1339</v>
      </c>
      <c r="B1408" s="1587">
        <v>15425.0</v>
      </c>
      <c r="C1408" s="1563">
        <v>535.0</v>
      </c>
      <c r="D1408" s="1548">
        <v>14.4</v>
      </c>
      <c r="E1408" s="1557">
        <v>13250.0</v>
      </c>
      <c r="F1408" s="598">
        <v>80.0</v>
      </c>
      <c r="G1408" s="598">
        <v>846.0</v>
      </c>
      <c r="H1408" s="598">
        <v>414.0</v>
      </c>
      <c r="I1408" s="598">
        <v>1.0</v>
      </c>
      <c r="J1408" s="598">
        <v>117.0</v>
      </c>
      <c r="K1408" s="1561">
        <v>717.0</v>
      </c>
      <c r="L1408" s="1551">
        <v>56760.0</v>
      </c>
    </row>
    <row r="1409">
      <c r="A1409" s="1545" t="s">
        <v>1340</v>
      </c>
      <c r="B1409" s="1587">
        <v>14723.0</v>
      </c>
      <c r="C1409" s="1563">
        <v>513.0</v>
      </c>
      <c r="D1409" s="1548">
        <v>15.4</v>
      </c>
      <c r="E1409" s="1557">
        <v>13158.0</v>
      </c>
      <c r="F1409" s="598">
        <v>69.0</v>
      </c>
      <c r="G1409" s="598">
        <v>126.0</v>
      </c>
      <c r="H1409" s="598">
        <v>69.0</v>
      </c>
      <c r="I1409" s="598">
        <v>7.0</v>
      </c>
      <c r="J1409" s="598">
        <v>496.0</v>
      </c>
      <c r="K1409" s="1561">
        <v>798.0</v>
      </c>
      <c r="L1409" s="1555">
        <v>59787.0</v>
      </c>
    </row>
    <row r="1410">
      <c r="A1410" s="1545" t="s">
        <v>1005</v>
      </c>
      <c r="B1410" s="1587">
        <v>67097.0</v>
      </c>
      <c r="C1410" s="1547">
        <v>1661.0</v>
      </c>
      <c r="D1410" s="1548">
        <v>11.6</v>
      </c>
      <c r="E1410" s="1557">
        <v>52637.0</v>
      </c>
      <c r="F1410" s="598">
        <v>4386.0</v>
      </c>
      <c r="G1410" s="598">
        <v>456.0</v>
      </c>
      <c r="H1410" s="598">
        <v>1564.0</v>
      </c>
      <c r="I1410" s="598">
        <v>10.0</v>
      </c>
      <c r="J1410" s="598">
        <v>3843.0</v>
      </c>
      <c r="K1410" s="1561">
        <v>4201.0</v>
      </c>
      <c r="L1410" s="1551">
        <v>67024.0</v>
      </c>
    </row>
    <row r="1411">
      <c r="A1411" s="1545" t="s">
        <v>1341</v>
      </c>
      <c r="B1411" s="1587">
        <v>9704.0</v>
      </c>
      <c r="C1411" s="1563">
        <v>282.0</v>
      </c>
      <c r="D1411" s="1548">
        <v>12.0</v>
      </c>
      <c r="E1411" s="1557">
        <v>8997.0</v>
      </c>
      <c r="F1411" s="598">
        <v>51.0</v>
      </c>
      <c r="G1411" s="598">
        <v>56.0</v>
      </c>
      <c r="H1411" s="598">
        <v>65.0</v>
      </c>
      <c r="I1411" s="598">
        <v>10.0</v>
      </c>
      <c r="J1411" s="598">
        <v>109.0</v>
      </c>
      <c r="K1411" s="1561">
        <v>416.0</v>
      </c>
      <c r="L1411" s="1551">
        <v>63503.0</v>
      </c>
    </row>
    <row r="1412">
      <c r="A1412" s="1545" t="s">
        <v>1342</v>
      </c>
      <c r="B1412" s="1587">
        <v>15331.0</v>
      </c>
      <c r="C1412" s="1563">
        <v>419.0</v>
      </c>
      <c r="D1412" s="1548">
        <v>11.7</v>
      </c>
      <c r="E1412" s="1557">
        <v>13762.0</v>
      </c>
      <c r="F1412" s="598">
        <v>87.0</v>
      </c>
      <c r="G1412" s="598">
        <v>241.0</v>
      </c>
      <c r="H1412" s="598">
        <v>398.0</v>
      </c>
      <c r="I1412" s="598">
        <v>10.0</v>
      </c>
      <c r="J1412" s="598">
        <v>128.0</v>
      </c>
      <c r="K1412" s="1561">
        <v>705.0</v>
      </c>
      <c r="L1412" s="1555">
        <v>60239.0</v>
      </c>
    </row>
    <row r="1413">
      <c r="A1413" s="1545" t="s">
        <v>409</v>
      </c>
      <c r="B1413" s="1587">
        <v>200231.0</v>
      </c>
      <c r="C1413" s="1547">
        <v>5327.0</v>
      </c>
      <c r="D1413" s="1548">
        <v>14.5</v>
      </c>
      <c r="E1413" s="1557">
        <v>177385.0</v>
      </c>
      <c r="F1413" s="598">
        <v>4189.0</v>
      </c>
      <c r="G1413" s="598">
        <v>4520.0</v>
      </c>
      <c r="H1413" s="598">
        <v>1915.0</v>
      </c>
      <c r="I1413" s="598">
        <v>67.0</v>
      </c>
      <c r="J1413" s="598">
        <v>1203.0</v>
      </c>
      <c r="K1413" s="1561">
        <v>10952.0</v>
      </c>
      <c r="L1413" s="1555">
        <v>53833.0</v>
      </c>
    </row>
    <row r="1414">
      <c r="A1414" s="1545" t="s">
        <v>309</v>
      </c>
      <c r="B1414" s="1587">
        <v>150928.0</v>
      </c>
      <c r="C1414" s="1547">
        <v>2421.0</v>
      </c>
      <c r="D1414" s="1548">
        <v>6.1</v>
      </c>
      <c r="E1414" s="1557">
        <v>117201.0</v>
      </c>
      <c r="F1414" s="598">
        <v>8225.0</v>
      </c>
      <c r="G1414" s="598">
        <v>1650.0</v>
      </c>
      <c r="H1414" s="598">
        <v>10015.0</v>
      </c>
      <c r="I1414" s="598">
        <v>72.0</v>
      </c>
      <c r="J1414" s="598">
        <v>4432.0</v>
      </c>
      <c r="K1414" s="1561">
        <v>9333.0</v>
      </c>
      <c r="L1414" s="1555">
        <v>101427.0</v>
      </c>
    </row>
    <row r="1415">
      <c r="A1415" s="1545" t="s">
        <v>1344</v>
      </c>
      <c r="B1415" s="1587">
        <v>97183.0</v>
      </c>
      <c r="C1415" s="1547">
        <v>1718.0</v>
      </c>
      <c r="D1415" s="1548">
        <v>6.9</v>
      </c>
      <c r="E1415" s="1557">
        <v>85504.0</v>
      </c>
      <c r="F1415" s="598">
        <v>3666.0</v>
      </c>
      <c r="G1415" s="598">
        <v>444.0</v>
      </c>
      <c r="H1415" s="598">
        <v>1295.0</v>
      </c>
      <c r="I1415" s="598">
        <v>22.0</v>
      </c>
      <c r="J1415" s="598">
        <v>1189.0</v>
      </c>
      <c r="K1415" s="1561">
        <v>5063.0</v>
      </c>
      <c r="L1415" s="1551">
        <v>81850.0</v>
      </c>
    </row>
    <row r="1416">
      <c r="A1416" s="1545" t="s">
        <v>1345</v>
      </c>
      <c r="B1416" s="1587">
        <v>14836.0</v>
      </c>
      <c r="C1416" s="1563">
        <v>357.0</v>
      </c>
      <c r="D1416" s="1548">
        <v>10.3</v>
      </c>
      <c r="E1416" s="1557">
        <v>13304.0</v>
      </c>
      <c r="F1416" s="598">
        <v>84.0</v>
      </c>
      <c r="G1416" s="598">
        <v>51.0</v>
      </c>
      <c r="H1416" s="598">
        <v>76.0</v>
      </c>
      <c r="I1416" s="598">
        <v>11.0</v>
      </c>
      <c r="J1416" s="598">
        <v>551.0</v>
      </c>
      <c r="K1416" s="1561">
        <v>759.0</v>
      </c>
      <c r="L1416" s="1555">
        <v>66209.0</v>
      </c>
    </row>
    <row r="1417">
      <c r="A1417" s="1545" t="s">
        <v>1346</v>
      </c>
      <c r="B1417" s="1587">
        <v>158292.0</v>
      </c>
      <c r="C1417" s="1547">
        <v>4972.0</v>
      </c>
      <c r="D1417" s="1548">
        <v>13.8</v>
      </c>
      <c r="E1417" s="1557">
        <v>130858.0</v>
      </c>
      <c r="F1417" s="598">
        <v>13315.0</v>
      </c>
      <c r="G1417" s="598">
        <v>628.0</v>
      </c>
      <c r="H1417" s="598">
        <v>3188.0</v>
      </c>
      <c r="I1417" s="598">
        <v>69.0</v>
      </c>
      <c r="J1417" s="598">
        <v>3546.0</v>
      </c>
      <c r="K1417" s="1561">
        <v>6688.0</v>
      </c>
      <c r="L1417" s="1551">
        <v>60843.0</v>
      </c>
    </row>
    <row r="1418">
      <c r="A1418" s="1545" t="s">
        <v>1347</v>
      </c>
      <c r="B1418" s="1587">
        <v>37406.0</v>
      </c>
      <c r="C1418" s="1547">
        <v>1096.0</v>
      </c>
      <c r="D1418" s="1548">
        <v>12.2</v>
      </c>
      <c r="E1418" s="1557">
        <v>32151.0</v>
      </c>
      <c r="F1418" s="598">
        <v>1373.0</v>
      </c>
      <c r="G1418" s="598">
        <v>120.0</v>
      </c>
      <c r="H1418" s="598">
        <v>342.0</v>
      </c>
      <c r="I1418" s="598">
        <v>22.0</v>
      </c>
      <c r="J1418" s="598">
        <v>1413.0</v>
      </c>
      <c r="K1418" s="1561">
        <v>1985.0</v>
      </c>
      <c r="L1418" s="1551">
        <v>65323.0</v>
      </c>
    </row>
    <row r="1419">
      <c r="A1419" s="1545" t="s">
        <v>1015</v>
      </c>
      <c r="B1419" s="1587">
        <v>9671.0</v>
      </c>
      <c r="C1419" s="1563">
        <v>182.0</v>
      </c>
      <c r="D1419" s="1548">
        <v>9.0</v>
      </c>
      <c r="E1419" s="1557">
        <v>8254.0</v>
      </c>
      <c r="F1419" s="598">
        <v>84.0</v>
      </c>
      <c r="G1419" s="598">
        <v>170.0</v>
      </c>
      <c r="H1419" s="598">
        <v>70.0</v>
      </c>
      <c r="I1419" s="598">
        <v>1.0</v>
      </c>
      <c r="J1419" s="598">
        <v>597.0</v>
      </c>
      <c r="K1419" s="1561">
        <v>495.0</v>
      </c>
      <c r="L1419" s="1551">
        <v>61929.0</v>
      </c>
    </row>
    <row r="1420">
      <c r="A1420" s="1545" t="s">
        <v>1348</v>
      </c>
      <c r="B1420" s="1587">
        <v>9838.0</v>
      </c>
      <c r="C1420" s="1563">
        <v>293.0</v>
      </c>
      <c r="D1420" s="1548">
        <v>13.8</v>
      </c>
      <c r="E1420" s="1557">
        <v>8807.0</v>
      </c>
      <c r="F1420" s="598">
        <v>88.0</v>
      </c>
      <c r="G1420" s="598">
        <v>49.0</v>
      </c>
      <c r="H1420" s="598">
        <v>78.0</v>
      </c>
      <c r="I1420" s="598">
        <v>133.0</v>
      </c>
      <c r="J1420" s="598">
        <v>271.0</v>
      </c>
      <c r="K1420" s="1561">
        <v>412.0</v>
      </c>
      <c r="L1420" s="1551">
        <v>51552.0</v>
      </c>
    </row>
    <row r="1421">
      <c r="A1421" s="1545" t="s">
        <v>1135</v>
      </c>
      <c r="B1421" s="1587">
        <v>25262.0</v>
      </c>
      <c r="C1421" s="1563">
        <v>953.0</v>
      </c>
      <c r="D1421" s="1548">
        <v>16.6</v>
      </c>
      <c r="E1421" s="1557">
        <v>22415.0</v>
      </c>
      <c r="F1421" s="598">
        <v>119.0</v>
      </c>
      <c r="G1421" s="598">
        <v>99.0</v>
      </c>
      <c r="H1421" s="598">
        <v>101.0</v>
      </c>
      <c r="I1421" s="598">
        <v>72.0</v>
      </c>
      <c r="J1421" s="598">
        <v>1303.0</v>
      </c>
      <c r="K1421" s="1561">
        <v>1153.0</v>
      </c>
      <c r="L1421" s="1551">
        <v>58113.0</v>
      </c>
    </row>
    <row r="1422">
      <c r="A1422" s="1545" t="s">
        <v>1349</v>
      </c>
      <c r="B1422" s="1587">
        <v>3360.0</v>
      </c>
      <c r="C1422" s="1563">
        <v>149.0</v>
      </c>
      <c r="D1422" s="1548">
        <v>22.0</v>
      </c>
      <c r="E1422" s="1557">
        <v>2870.0</v>
      </c>
      <c r="F1422" s="598">
        <v>27.0</v>
      </c>
      <c r="G1422" s="598">
        <v>217.0</v>
      </c>
      <c r="H1422" s="598">
        <v>0.0</v>
      </c>
      <c r="I1422" s="598">
        <v>0.0</v>
      </c>
      <c r="J1422" s="598">
        <v>82.0</v>
      </c>
      <c r="K1422" s="1561">
        <v>164.0</v>
      </c>
      <c r="L1422" s="1551">
        <v>49773.0</v>
      </c>
    </row>
    <row r="1423">
      <c r="A1423" s="1545" t="s">
        <v>1350</v>
      </c>
      <c r="B1423" s="1587">
        <v>21387.0</v>
      </c>
      <c r="C1423" s="1563">
        <v>385.0</v>
      </c>
      <c r="D1423" s="1548">
        <v>8.3</v>
      </c>
      <c r="E1423" s="1557">
        <v>20091.0</v>
      </c>
      <c r="F1423" s="598">
        <v>122.0</v>
      </c>
      <c r="G1423" s="598">
        <v>53.0</v>
      </c>
      <c r="H1423" s="598">
        <v>97.0</v>
      </c>
      <c r="I1423" s="598">
        <v>6.0</v>
      </c>
      <c r="J1423" s="598">
        <v>261.0</v>
      </c>
      <c r="K1423" s="1561">
        <v>757.0</v>
      </c>
      <c r="L1423" s="1551">
        <v>63633.0</v>
      </c>
    </row>
    <row r="1424">
      <c r="A1424" s="1545" t="s">
        <v>1351</v>
      </c>
      <c r="B1424" s="1587">
        <v>14065.0</v>
      </c>
      <c r="C1424" s="1563">
        <v>629.0</v>
      </c>
      <c r="D1424" s="1548">
        <v>18.2</v>
      </c>
      <c r="E1424" s="1557">
        <v>13128.0</v>
      </c>
      <c r="F1424" s="598">
        <v>131.0</v>
      </c>
      <c r="G1424" s="598">
        <v>73.0</v>
      </c>
      <c r="H1424" s="598">
        <v>65.0</v>
      </c>
      <c r="I1424" s="598">
        <v>12.0</v>
      </c>
      <c r="J1424" s="598">
        <v>83.0</v>
      </c>
      <c r="K1424" s="1561">
        <v>573.0</v>
      </c>
      <c r="L1424" s="1551">
        <v>46312.0</v>
      </c>
    </row>
    <row r="1425">
      <c r="A1425" s="1545" t="s">
        <v>1352</v>
      </c>
      <c r="B1425" s="1587">
        <v>18968.0</v>
      </c>
      <c r="C1425" s="1563">
        <v>508.0</v>
      </c>
      <c r="D1425" s="1548">
        <v>12.0</v>
      </c>
      <c r="E1425" s="1557">
        <v>17040.0</v>
      </c>
      <c r="F1425" s="598">
        <v>359.0</v>
      </c>
      <c r="G1425" s="598">
        <v>149.0</v>
      </c>
      <c r="H1425" s="598">
        <v>111.0</v>
      </c>
      <c r="I1425" s="598">
        <v>14.0</v>
      </c>
      <c r="J1425" s="598">
        <v>389.0</v>
      </c>
      <c r="K1425" s="1561">
        <v>906.0</v>
      </c>
      <c r="L1425" s="1555">
        <v>58335.0</v>
      </c>
    </row>
    <row r="1426">
      <c r="A1426" s="1545" t="s">
        <v>119</v>
      </c>
      <c r="B1426" s="1587">
        <v>267568.0</v>
      </c>
      <c r="C1426" s="1547">
        <v>2851.0</v>
      </c>
      <c r="D1426" s="1548">
        <v>4.5</v>
      </c>
      <c r="E1426" s="1557">
        <v>211654.0</v>
      </c>
      <c r="F1426" s="598">
        <v>14041.0</v>
      </c>
      <c r="G1426" s="598">
        <v>1284.0</v>
      </c>
      <c r="H1426" s="598">
        <v>18604.0</v>
      </c>
      <c r="I1426" s="598">
        <v>78.0</v>
      </c>
      <c r="J1426" s="598">
        <v>4939.0</v>
      </c>
      <c r="K1426" s="1561">
        <v>16968.0</v>
      </c>
      <c r="L1426" s="1551">
        <v>95840.0</v>
      </c>
    </row>
    <row r="1427">
      <c r="A1427" s="1545" t="s">
        <v>1353</v>
      </c>
      <c r="B1427" s="1587">
        <v>11253.0</v>
      </c>
      <c r="C1427" s="1563">
        <v>376.0</v>
      </c>
      <c r="D1427" s="1548">
        <v>14.2</v>
      </c>
      <c r="E1427" s="1557">
        <v>8209.0</v>
      </c>
      <c r="F1427" s="598">
        <v>48.0</v>
      </c>
      <c r="G1427" s="598">
        <v>95.0</v>
      </c>
      <c r="H1427" s="598">
        <v>96.0</v>
      </c>
      <c r="I1427" s="598">
        <v>0.0</v>
      </c>
      <c r="J1427" s="598">
        <v>1749.0</v>
      </c>
      <c r="K1427" s="1561">
        <v>1056.0</v>
      </c>
      <c r="L1427" s="1551">
        <v>51962.0</v>
      </c>
    </row>
    <row r="1428">
      <c r="A1428" s="1545" t="s">
        <v>1354</v>
      </c>
      <c r="B1428" s="1587">
        <v>6506.0</v>
      </c>
      <c r="C1428" s="1563">
        <v>185.0</v>
      </c>
      <c r="D1428" s="1548">
        <v>13.6</v>
      </c>
      <c r="E1428" s="1557">
        <v>5993.0</v>
      </c>
      <c r="F1428" s="598">
        <v>42.0</v>
      </c>
      <c r="G1428" s="598">
        <v>96.0</v>
      </c>
      <c r="H1428" s="598">
        <v>9.0</v>
      </c>
      <c r="I1428" s="598">
        <v>2.0</v>
      </c>
      <c r="J1428" s="598">
        <v>62.0</v>
      </c>
      <c r="K1428" s="1561">
        <v>302.0</v>
      </c>
      <c r="L1428" s="1551">
        <v>61387.0</v>
      </c>
    </row>
    <row r="1429">
      <c r="A1429" s="1545" t="s">
        <v>1355</v>
      </c>
      <c r="B1429" s="1587">
        <v>49671.0</v>
      </c>
      <c r="C1429" s="1563">
        <v>997.0</v>
      </c>
      <c r="D1429" s="1548">
        <v>11.1</v>
      </c>
      <c r="E1429" s="1557">
        <v>44638.0</v>
      </c>
      <c r="F1429" s="598">
        <v>917.0</v>
      </c>
      <c r="G1429" s="598">
        <v>118.0</v>
      </c>
      <c r="H1429" s="598">
        <v>933.0</v>
      </c>
      <c r="I1429" s="598">
        <v>0.0</v>
      </c>
      <c r="J1429" s="598">
        <v>914.0</v>
      </c>
      <c r="K1429" s="1561">
        <v>2151.0</v>
      </c>
      <c r="L1429" s="1555">
        <v>56076.0</v>
      </c>
    </row>
    <row r="1430">
      <c r="A1430" s="1545" t="s">
        <v>949</v>
      </c>
      <c r="B1430" s="1587">
        <v>141337.0</v>
      </c>
      <c r="C1430" s="1547">
        <v>1771.0</v>
      </c>
      <c r="D1430" s="1548">
        <v>4.7</v>
      </c>
      <c r="E1430" s="1557">
        <v>127090.0</v>
      </c>
      <c r="F1430" s="598">
        <v>2637.0</v>
      </c>
      <c r="G1430" s="598">
        <v>446.0</v>
      </c>
      <c r="H1430" s="598">
        <v>1898.0</v>
      </c>
      <c r="I1430" s="598">
        <v>41.0</v>
      </c>
      <c r="J1430" s="598">
        <v>2212.0</v>
      </c>
      <c r="K1430" s="1561">
        <v>7013.0</v>
      </c>
      <c r="L1430" s="1615">
        <v>87377.0</v>
      </c>
    </row>
    <row r="1431">
      <c r="A1431" s="1528" t="s">
        <v>1356</v>
      </c>
      <c r="B1431" s="1595">
        <v>9528.0</v>
      </c>
      <c r="C1431" s="1582">
        <v>340.0</v>
      </c>
      <c r="D1431" s="1567">
        <v>15.0</v>
      </c>
      <c r="E1431" s="1532">
        <v>8524.0</v>
      </c>
      <c r="F1431" s="1533">
        <v>53.0</v>
      </c>
      <c r="G1431" s="1533">
        <v>291.0</v>
      </c>
      <c r="H1431" s="1533">
        <v>28.0</v>
      </c>
      <c r="I1431" s="1533">
        <v>1.0</v>
      </c>
      <c r="J1431" s="1533">
        <v>200.0</v>
      </c>
      <c r="K1431" s="1616">
        <v>431.0</v>
      </c>
      <c r="L1431" s="1617">
        <v>56528.0</v>
      </c>
    </row>
    <row r="1432">
      <c r="A1432" s="1538" t="s">
        <v>67</v>
      </c>
      <c r="B1432" s="1596">
        <v>2961279.0</v>
      </c>
      <c r="C1432" s="1540">
        <v>195794.0</v>
      </c>
      <c r="D1432" s="1571">
        <v>28.2</v>
      </c>
      <c r="E1432" s="1572">
        <v>1658893.0</v>
      </c>
      <c r="F1432" s="1542">
        <v>1084481.0</v>
      </c>
      <c r="G1432" s="1542">
        <v>16450.0</v>
      </c>
      <c r="H1432" s="1542">
        <v>32709.0</v>
      </c>
      <c r="I1432" s="1542">
        <v>1154.0</v>
      </c>
      <c r="J1432" s="1542">
        <v>56860.0</v>
      </c>
      <c r="K1432" s="1543">
        <v>110732.0</v>
      </c>
      <c r="L1432" s="1544">
        <v>44740.0</v>
      </c>
    </row>
    <row r="1433">
      <c r="A1433" s="1545" t="s">
        <v>386</v>
      </c>
      <c r="B1433" s="1586">
        <v>29538.0</v>
      </c>
      <c r="C1433" s="1547">
        <v>2493.0</v>
      </c>
      <c r="D1433" s="1548">
        <v>40.4</v>
      </c>
      <c r="E1433" s="1557">
        <v>10994.0</v>
      </c>
      <c r="F1433" s="598">
        <v>16785.0</v>
      </c>
      <c r="G1433" s="598">
        <v>66.0</v>
      </c>
      <c r="H1433" s="598">
        <v>165.0</v>
      </c>
      <c r="I1433" s="598">
        <v>8.0</v>
      </c>
      <c r="J1433" s="598">
        <v>761.0</v>
      </c>
      <c r="K1433" s="1561">
        <v>759.0</v>
      </c>
      <c r="L1433" s="1551">
        <v>33392.0</v>
      </c>
    </row>
    <row r="1434">
      <c r="A1434" s="1545" t="s">
        <v>1358</v>
      </c>
      <c r="B1434" s="1587">
        <v>34740.0</v>
      </c>
      <c r="C1434" s="1547">
        <v>1940.0</v>
      </c>
      <c r="D1434" s="1548">
        <v>23.4</v>
      </c>
      <c r="E1434" s="1557">
        <v>27992.0</v>
      </c>
      <c r="F1434" s="598">
        <v>4337.0</v>
      </c>
      <c r="G1434" s="598">
        <v>101.0</v>
      </c>
      <c r="H1434" s="598">
        <v>181.0</v>
      </c>
      <c r="I1434" s="598">
        <v>19.0</v>
      </c>
      <c r="J1434" s="598">
        <v>723.0</v>
      </c>
      <c r="K1434" s="1561">
        <v>1387.0</v>
      </c>
      <c r="L1434" s="1551">
        <v>40010.0</v>
      </c>
    </row>
    <row r="1435">
      <c r="A1435" s="1545" t="s">
        <v>1359</v>
      </c>
      <c r="B1435" s="1587">
        <v>12720.0</v>
      </c>
      <c r="C1435" s="1563">
        <v>819.0</v>
      </c>
      <c r="D1435" s="1548">
        <v>32.9</v>
      </c>
      <c r="E1435" s="1557">
        <v>7463.0</v>
      </c>
      <c r="F1435" s="598">
        <v>4854.0</v>
      </c>
      <c r="G1435" s="598">
        <v>32.0</v>
      </c>
      <c r="H1435" s="598">
        <v>31.0</v>
      </c>
      <c r="I1435" s="598">
        <v>0.0</v>
      </c>
      <c r="J1435" s="598">
        <v>64.0</v>
      </c>
      <c r="K1435" s="1561">
        <v>276.0</v>
      </c>
      <c r="L1435" s="1551">
        <v>38092.0</v>
      </c>
    </row>
    <row r="1436">
      <c r="A1436" s="1545" t="s">
        <v>1360</v>
      </c>
      <c r="B1436" s="1587">
        <v>17889.0</v>
      </c>
      <c r="C1436" s="1547">
        <v>1493.0</v>
      </c>
      <c r="D1436" s="1548">
        <v>32.6</v>
      </c>
      <c r="E1436" s="1557">
        <v>9440.0</v>
      </c>
      <c r="F1436" s="598">
        <v>7678.0</v>
      </c>
      <c r="G1436" s="598">
        <v>39.0</v>
      </c>
      <c r="H1436" s="598">
        <v>97.0</v>
      </c>
      <c r="I1436" s="598">
        <v>4.0</v>
      </c>
      <c r="J1436" s="598">
        <v>236.0</v>
      </c>
      <c r="K1436" s="1561">
        <v>395.0</v>
      </c>
      <c r="L1436" s="1551">
        <v>36761.0</v>
      </c>
    </row>
    <row r="1437">
      <c r="A1437" s="1545" t="s">
        <v>243</v>
      </c>
      <c r="B1437" s="1587">
        <v>7646.0</v>
      </c>
      <c r="C1437" s="1563">
        <v>580.0</v>
      </c>
      <c r="D1437" s="1548">
        <v>32.8</v>
      </c>
      <c r="E1437" s="1557">
        <v>4582.0</v>
      </c>
      <c r="F1437" s="598">
        <v>2666.0</v>
      </c>
      <c r="G1437" s="598">
        <v>16.0</v>
      </c>
      <c r="H1437" s="598">
        <v>1.0</v>
      </c>
      <c r="I1437" s="598">
        <v>0.0</v>
      </c>
      <c r="J1437" s="598">
        <v>102.0</v>
      </c>
      <c r="K1437" s="1561">
        <v>279.0</v>
      </c>
      <c r="L1437" s="1551">
        <v>35184.0</v>
      </c>
    </row>
    <row r="1438">
      <c r="A1438" s="1545" t="s">
        <v>1361</v>
      </c>
      <c r="B1438" s="1587">
        <v>30985.0</v>
      </c>
      <c r="C1438" s="1547">
        <v>2923.0</v>
      </c>
      <c r="D1438" s="1548">
        <v>38.9</v>
      </c>
      <c r="E1438" s="1557">
        <v>10111.0</v>
      </c>
      <c r="F1438" s="598">
        <v>19365.0</v>
      </c>
      <c r="G1438" s="598">
        <v>27.0</v>
      </c>
      <c r="H1438" s="598">
        <v>262.0</v>
      </c>
      <c r="I1438" s="598">
        <v>0.0</v>
      </c>
      <c r="J1438" s="598">
        <v>419.0</v>
      </c>
      <c r="K1438" s="1561">
        <v>801.0</v>
      </c>
      <c r="L1438" s="1551">
        <v>33116.0</v>
      </c>
    </row>
    <row r="1439">
      <c r="A1439" s="1545" t="s">
        <v>93</v>
      </c>
      <c r="B1439" s="1587">
        <v>13266.0</v>
      </c>
      <c r="C1439" s="1547">
        <v>1140.0</v>
      </c>
      <c r="D1439" s="1548">
        <v>34.2</v>
      </c>
      <c r="E1439" s="1557">
        <v>8776.0</v>
      </c>
      <c r="F1439" s="598">
        <v>3467.0</v>
      </c>
      <c r="G1439" s="598">
        <v>27.0</v>
      </c>
      <c r="H1439" s="598">
        <v>17.0</v>
      </c>
      <c r="I1439" s="598">
        <v>0.0</v>
      </c>
      <c r="J1439" s="598">
        <v>497.0</v>
      </c>
      <c r="K1439" s="1561">
        <v>482.0</v>
      </c>
      <c r="L1439" s="1551">
        <v>39176.0</v>
      </c>
    </row>
    <row r="1440">
      <c r="A1440" s="1545" t="s">
        <v>248</v>
      </c>
      <c r="B1440" s="1587">
        <v>9998.0</v>
      </c>
      <c r="C1440" s="1563">
        <v>437.0</v>
      </c>
      <c r="D1440" s="1548">
        <v>24.0</v>
      </c>
      <c r="E1440" s="1557">
        <v>6543.0</v>
      </c>
      <c r="F1440" s="598">
        <v>3044.0</v>
      </c>
      <c r="G1440" s="598">
        <v>20.0</v>
      </c>
      <c r="H1440" s="598">
        <v>31.0</v>
      </c>
      <c r="I1440" s="598">
        <v>0.0</v>
      </c>
      <c r="J1440" s="598">
        <v>109.0</v>
      </c>
      <c r="K1440" s="1561">
        <v>251.0</v>
      </c>
      <c r="L1440" s="1551">
        <v>42588.0</v>
      </c>
    </row>
    <row r="1441">
      <c r="A1441" s="1545" t="s">
        <v>896</v>
      </c>
      <c r="B1441" s="1587">
        <v>17106.0</v>
      </c>
      <c r="C1441" s="1547">
        <v>1140.0</v>
      </c>
      <c r="D1441" s="1548">
        <v>27.1</v>
      </c>
      <c r="E1441" s="1557">
        <v>8664.0</v>
      </c>
      <c r="F1441" s="598">
        <v>7436.0</v>
      </c>
      <c r="G1441" s="598">
        <v>32.0</v>
      </c>
      <c r="H1441" s="598">
        <v>43.0</v>
      </c>
      <c r="I1441" s="598">
        <v>0.0</v>
      </c>
      <c r="J1441" s="598">
        <v>424.0</v>
      </c>
      <c r="K1441" s="1561">
        <v>507.0</v>
      </c>
      <c r="L1441" s="1551">
        <v>37429.0</v>
      </c>
    </row>
    <row r="1442">
      <c r="A1442" s="1545" t="s">
        <v>107</v>
      </c>
      <c r="B1442" s="1587">
        <v>8246.0</v>
      </c>
      <c r="C1442" s="1563">
        <v>505.0</v>
      </c>
      <c r="D1442" s="1548">
        <v>28.6</v>
      </c>
      <c r="E1442" s="1557">
        <v>5593.0</v>
      </c>
      <c r="F1442" s="598">
        <v>2343.0</v>
      </c>
      <c r="G1442" s="598">
        <v>15.0</v>
      </c>
      <c r="H1442" s="598">
        <v>6.0</v>
      </c>
      <c r="I1442" s="598">
        <v>0.0</v>
      </c>
      <c r="J1442" s="598">
        <v>21.0</v>
      </c>
      <c r="K1442" s="1561">
        <v>268.0</v>
      </c>
      <c r="L1442" s="1551">
        <v>38479.0</v>
      </c>
    </row>
    <row r="1443">
      <c r="A1443" s="1545" t="s">
        <v>1151</v>
      </c>
      <c r="B1443" s="1587">
        <v>9135.0</v>
      </c>
      <c r="C1443" s="1563">
        <v>858.0</v>
      </c>
      <c r="D1443" s="1548">
        <v>45.9</v>
      </c>
      <c r="E1443" s="1557">
        <v>974.0</v>
      </c>
      <c r="F1443" s="598">
        <v>7989.0</v>
      </c>
      <c r="G1443" s="598">
        <v>9.0</v>
      </c>
      <c r="H1443" s="598">
        <v>3.0</v>
      </c>
      <c r="I1443" s="598">
        <v>0.0</v>
      </c>
      <c r="J1443" s="598">
        <v>17.0</v>
      </c>
      <c r="K1443" s="1561">
        <v>143.0</v>
      </c>
      <c r="L1443" s="1551">
        <v>29631.0</v>
      </c>
    </row>
    <row r="1444">
      <c r="A1444" s="1545" t="s">
        <v>110</v>
      </c>
      <c r="B1444" s="1587">
        <v>15615.0</v>
      </c>
      <c r="C1444" s="1547">
        <v>1112.0</v>
      </c>
      <c r="D1444" s="1548">
        <v>32.8</v>
      </c>
      <c r="E1444" s="1557">
        <v>9988.0</v>
      </c>
      <c r="F1444" s="598">
        <v>5115.0</v>
      </c>
      <c r="G1444" s="598">
        <v>25.0</v>
      </c>
      <c r="H1444" s="598">
        <v>8.0</v>
      </c>
      <c r="I1444" s="598">
        <v>6.0</v>
      </c>
      <c r="J1444" s="598">
        <v>61.0</v>
      </c>
      <c r="K1444" s="1561">
        <v>412.0</v>
      </c>
      <c r="L1444" s="1551">
        <v>41495.0</v>
      </c>
    </row>
    <row r="1445">
      <c r="A1445" s="1545" t="s">
        <v>112</v>
      </c>
      <c r="B1445" s="1587">
        <v>18636.0</v>
      </c>
      <c r="C1445" s="1547">
        <v>1541.0</v>
      </c>
      <c r="D1445" s="1548">
        <v>35.6</v>
      </c>
      <c r="E1445" s="1557">
        <v>7212.0</v>
      </c>
      <c r="F1445" s="598">
        <v>10803.0</v>
      </c>
      <c r="G1445" s="598">
        <v>39.0</v>
      </c>
      <c r="H1445" s="598">
        <v>57.0</v>
      </c>
      <c r="I1445" s="598">
        <v>1.0</v>
      </c>
      <c r="J1445" s="598">
        <v>136.0</v>
      </c>
      <c r="K1445" s="1561">
        <v>388.0</v>
      </c>
      <c r="L1445" s="1551">
        <v>38121.0</v>
      </c>
    </row>
    <row r="1446">
      <c r="A1446" s="1545" t="s">
        <v>1362</v>
      </c>
      <c r="B1446" s="1587">
        <v>21390.0</v>
      </c>
      <c r="C1446" s="1547">
        <v>3021.0</v>
      </c>
      <c r="D1446" s="1548">
        <v>50.3</v>
      </c>
      <c r="E1446" s="1557">
        <v>4312.0</v>
      </c>
      <c r="F1446" s="598">
        <v>16281.0</v>
      </c>
      <c r="G1446" s="598">
        <v>31.0</v>
      </c>
      <c r="H1446" s="598">
        <v>116.0</v>
      </c>
      <c r="I1446" s="598">
        <v>2.0</v>
      </c>
      <c r="J1446" s="598">
        <v>222.0</v>
      </c>
      <c r="K1446" s="1561">
        <v>426.0</v>
      </c>
      <c r="L1446" s="1551">
        <v>29380.0</v>
      </c>
    </row>
    <row r="1447">
      <c r="A1447" s="1545" t="s">
        <v>1363</v>
      </c>
      <c r="B1447" s="1587">
        <v>28368.0</v>
      </c>
      <c r="C1447" s="1547">
        <v>2336.0</v>
      </c>
      <c r="D1447" s="1548">
        <v>36.1</v>
      </c>
      <c r="E1447" s="1557">
        <v>12305.0</v>
      </c>
      <c r="F1447" s="598">
        <v>14342.0</v>
      </c>
      <c r="G1447" s="598">
        <v>60.0</v>
      </c>
      <c r="H1447" s="598">
        <v>122.0</v>
      </c>
      <c r="I1447" s="598">
        <v>26.0</v>
      </c>
      <c r="J1447" s="598">
        <v>698.0</v>
      </c>
      <c r="K1447" s="1561">
        <v>815.0</v>
      </c>
      <c r="L1447" s="1551">
        <v>38664.0</v>
      </c>
    </row>
    <row r="1448">
      <c r="A1448" s="1545" t="s">
        <v>126</v>
      </c>
      <c r="B1448" s="1587">
        <v>18340.0</v>
      </c>
      <c r="C1448" s="1547">
        <v>1644.0</v>
      </c>
      <c r="D1448" s="1548">
        <v>36.0</v>
      </c>
      <c r="E1448" s="1557">
        <v>11118.0</v>
      </c>
      <c r="F1448" s="598">
        <v>6416.0</v>
      </c>
      <c r="G1448" s="598">
        <v>35.0</v>
      </c>
      <c r="H1448" s="598">
        <v>83.0</v>
      </c>
      <c r="I1448" s="598">
        <v>4.0</v>
      </c>
      <c r="J1448" s="598">
        <v>253.0</v>
      </c>
      <c r="K1448" s="1561">
        <v>431.0</v>
      </c>
      <c r="L1448" s="1555">
        <v>36083.0</v>
      </c>
    </row>
    <row r="1449">
      <c r="A1449" s="1545" t="s">
        <v>489</v>
      </c>
      <c r="B1449" s="1587">
        <v>185314.0</v>
      </c>
      <c r="C1449" s="1547">
        <v>5799.0</v>
      </c>
      <c r="D1449" s="1548">
        <v>12.6</v>
      </c>
      <c r="E1449" s="1557">
        <v>110064.0</v>
      </c>
      <c r="F1449" s="598">
        <v>56205.0</v>
      </c>
      <c r="G1449" s="598">
        <v>526.0</v>
      </c>
      <c r="H1449" s="598">
        <v>3045.0</v>
      </c>
      <c r="I1449" s="598">
        <v>140.0</v>
      </c>
      <c r="J1449" s="598">
        <v>6024.0</v>
      </c>
      <c r="K1449" s="1561">
        <v>9310.0</v>
      </c>
      <c r="L1449" s="1555">
        <v>68126.0</v>
      </c>
    </row>
    <row r="1450">
      <c r="A1450" s="1545" t="s">
        <v>1364</v>
      </c>
      <c r="B1450" s="1587">
        <v>78158.0</v>
      </c>
      <c r="C1450" s="1547">
        <v>5339.0</v>
      </c>
      <c r="D1450" s="1548">
        <v>31.2</v>
      </c>
      <c r="E1450" s="1557">
        <v>43597.0</v>
      </c>
      <c r="F1450" s="598">
        <v>28330.0</v>
      </c>
      <c r="G1450" s="598">
        <v>227.0</v>
      </c>
      <c r="H1450" s="598">
        <v>796.0</v>
      </c>
      <c r="I1450" s="598">
        <v>29.0</v>
      </c>
      <c r="J1450" s="598">
        <v>2130.0</v>
      </c>
      <c r="K1450" s="1561">
        <v>3049.0</v>
      </c>
      <c r="L1450" s="1551">
        <v>39061.0</v>
      </c>
    </row>
    <row r="1451">
      <c r="A1451" s="1545" t="s">
        <v>136</v>
      </c>
      <c r="B1451" s="1587">
        <v>7675.0</v>
      </c>
      <c r="C1451" s="1563">
        <v>495.0</v>
      </c>
      <c r="D1451" s="1548">
        <v>27.6</v>
      </c>
      <c r="E1451" s="1557">
        <v>4921.0</v>
      </c>
      <c r="F1451" s="598">
        <v>2585.0</v>
      </c>
      <c r="G1451" s="598">
        <v>4.0</v>
      </c>
      <c r="H1451" s="598">
        <v>10.0</v>
      </c>
      <c r="I1451" s="598">
        <v>0.0</v>
      </c>
      <c r="J1451" s="598">
        <v>19.0</v>
      </c>
      <c r="K1451" s="1561">
        <v>136.0</v>
      </c>
      <c r="L1451" s="1551">
        <v>39508.0</v>
      </c>
    </row>
    <row r="1452">
      <c r="A1452" s="1545" t="s">
        <v>1365</v>
      </c>
      <c r="B1452" s="1587">
        <v>24350.0</v>
      </c>
      <c r="C1452" s="1547">
        <v>1490.0</v>
      </c>
      <c r="D1452" s="1548">
        <v>23.6</v>
      </c>
      <c r="E1452" s="1557">
        <v>21112.0</v>
      </c>
      <c r="F1452" s="598">
        <v>1782.0</v>
      </c>
      <c r="G1452" s="598">
        <v>96.0</v>
      </c>
      <c r="H1452" s="598">
        <v>79.0</v>
      </c>
      <c r="I1452" s="598">
        <v>1.0</v>
      </c>
      <c r="J1452" s="598">
        <v>363.0</v>
      </c>
      <c r="K1452" s="1561">
        <v>917.0</v>
      </c>
      <c r="L1452" s="1551">
        <v>47246.0</v>
      </c>
    </row>
    <row r="1453">
      <c r="A1453" s="1545" t="s">
        <v>138</v>
      </c>
      <c r="B1453" s="1587">
        <v>13530.0</v>
      </c>
      <c r="C1453" s="1563">
        <v>657.0</v>
      </c>
      <c r="D1453" s="1548">
        <v>25.0</v>
      </c>
      <c r="E1453" s="1557">
        <v>9848.0</v>
      </c>
      <c r="F1453" s="598">
        <v>3149.0</v>
      </c>
      <c r="G1453" s="598">
        <v>64.0</v>
      </c>
      <c r="H1453" s="598">
        <v>21.0</v>
      </c>
      <c r="I1453" s="598">
        <v>3.0</v>
      </c>
      <c r="J1453" s="598">
        <v>84.0</v>
      </c>
      <c r="K1453" s="1561">
        <v>361.0</v>
      </c>
      <c r="L1453" s="1551">
        <v>42022.0</v>
      </c>
    </row>
    <row r="1454">
      <c r="A1454" s="1545" t="s">
        <v>1366</v>
      </c>
      <c r="B1454" s="1587">
        <v>21629.0</v>
      </c>
      <c r="C1454" s="1547">
        <v>1682.0</v>
      </c>
      <c r="D1454" s="1548">
        <v>33.8</v>
      </c>
      <c r="E1454" s="1557">
        <v>11339.0</v>
      </c>
      <c r="F1454" s="598">
        <v>9409.0</v>
      </c>
      <c r="G1454" s="598">
        <v>41.0</v>
      </c>
      <c r="H1454" s="598">
        <v>90.0</v>
      </c>
      <c r="I1454" s="598">
        <v>2.0</v>
      </c>
      <c r="J1454" s="598">
        <v>96.0</v>
      </c>
      <c r="K1454" s="1561">
        <v>652.0</v>
      </c>
      <c r="L1454" s="1551">
        <v>39633.0</v>
      </c>
    </row>
    <row r="1455">
      <c r="A1455" s="1545" t="s">
        <v>587</v>
      </c>
      <c r="B1455" s="1587">
        <v>46053.0</v>
      </c>
      <c r="C1455" s="1547">
        <v>2485.0</v>
      </c>
      <c r="D1455" s="1548">
        <v>26.2</v>
      </c>
      <c r="E1455" s="1557">
        <v>37847.0</v>
      </c>
      <c r="F1455" s="598">
        <v>3957.0</v>
      </c>
      <c r="G1455" s="598">
        <v>293.0</v>
      </c>
      <c r="H1455" s="598">
        <v>429.0</v>
      </c>
      <c r="I1455" s="598">
        <v>9.0</v>
      </c>
      <c r="J1455" s="598">
        <v>577.0</v>
      </c>
      <c r="K1455" s="1561">
        <v>2941.0</v>
      </c>
      <c r="L1455" s="1555">
        <v>49843.0</v>
      </c>
    </row>
    <row r="1456">
      <c r="A1456" s="1545" t="s">
        <v>775</v>
      </c>
      <c r="B1456" s="1587">
        <v>208621.0</v>
      </c>
      <c r="C1456" s="1547">
        <v>14063.0</v>
      </c>
      <c r="D1456" s="1548">
        <v>29.0</v>
      </c>
      <c r="E1456" s="1557">
        <v>128098.0</v>
      </c>
      <c r="F1456" s="598">
        <v>51706.0</v>
      </c>
      <c r="G1456" s="598">
        <v>1055.0</v>
      </c>
      <c r="H1456" s="598">
        <v>6008.0</v>
      </c>
      <c r="I1456" s="598">
        <v>275.0</v>
      </c>
      <c r="J1456" s="598">
        <v>6020.0</v>
      </c>
      <c r="K1456" s="1561">
        <v>15459.0</v>
      </c>
      <c r="L1456" s="1555">
        <v>45355.0</v>
      </c>
    </row>
    <row r="1457">
      <c r="A1457" s="1545" t="s">
        <v>1367</v>
      </c>
      <c r="B1457" s="1587">
        <v>227742.0</v>
      </c>
      <c r="C1457" s="1547">
        <v>17022.0</v>
      </c>
      <c r="D1457" s="1548">
        <v>30.4</v>
      </c>
      <c r="E1457" s="1557">
        <v>58644.0</v>
      </c>
      <c r="F1457" s="598">
        <v>158112.0</v>
      </c>
      <c r="G1457" s="598">
        <v>386.0</v>
      </c>
      <c r="H1457" s="598">
        <v>2186.0</v>
      </c>
      <c r="I1457" s="598">
        <v>47.0</v>
      </c>
      <c r="J1457" s="598">
        <v>2661.0</v>
      </c>
      <c r="K1457" s="1561">
        <v>5706.0</v>
      </c>
      <c r="L1457" s="1551">
        <v>44776.0</v>
      </c>
    </row>
    <row r="1458">
      <c r="A1458" s="1545" t="s">
        <v>502</v>
      </c>
      <c r="B1458" s="1587">
        <v>17000.0</v>
      </c>
      <c r="C1458" s="1547">
        <v>2015.0</v>
      </c>
      <c r="D1458" s="1548">
        <v>45.5</v>
      </c>
      <c r="E1458" s="1557">
        <v>2378.0</v>
      </c>
      <c r="F1458" s="598">
        <v>14256.0</v>
      </c>
      <c r="G1458" s="598">
        <v>36.0</v>
      </c>
      <c r="H1458" s="598">
        <v>20.0</v>
      </c>
      <c r="I1458" s="598">
        <v>2.0</v>
      </c>
      <c r="J1458" s="598">
        <v>28.0</v>
      </c>
      <c r="K1458" s="1561">
        <v>280.0</v>
      </c>
      <c r="L1458" s="1551">
        <v>26449.0</v>
      </c>
    </row>
    <row r="1459">
      <c r="A1459" s="1545" t="s">
        <v>1368</v>
      </c>
      <c r="B1459" s="1587">
        <v>7785.0</v>
      </c>
      <c r="C1459" s="1547">
        <v>1193.0</v>
      </c>
      <c r="D1459" s="1548">
        <v>56.3</v>
      </c>
      <c r="E1459" s="1557">
        <v>1438.0</v>
      </c>
      <c r="F1459" s="598">
        <v>6110.0</v>
      </c>
      <c r="G1459" s="598">
        <v>13.0</v>
      </c>
      <c r="H1459" s="598">
        <v>10.0</v>
      </c>
      <c r="I1459" s="598">
        <v>1.0</v>
      </c>
      <c r="J1459" s="598">
        <v>35.0</v>
      </c>
      <c r="K1459" s="1561">
        <v>178.0</v>
      </c>
      <c r="L1459" s="1551">
        <v>28542.0</v>
      </c>
    </row>
    <row r="1460">
      <c r="A1460" s="1545" t="s">
        <v>1369</v>
      </c>
      <c r="B1460" s="1587">
        <v>1338.0</v>
      </c>
      <c r="C1460" s="1563">
        <v>66.0</v>
      </c>
      <c r="D1460" s="1548">
        <v>50.8</v>
      </c>
      <c r="E1460" s="1557">
        <v>530.0</v>
      </c>
      <c r="F1460" s="598">
        <v>757.0</v>
      </c>
      <c r="G1460" s="598">
        <v>3.0</v>
      </c>
      <c r="H1460" s="598">
        <v>5.0</v>
      </c>
      <c r="I1460" s="598">
        <v>0.0</v>
      </c>
      <c r="J1460" s="598">
        <v>12.0</v>
      </c>
      <c r="K1460" s="1561">
        <v>31.0</v>
      </c>
      <c r="L1460" s="1551">
        <v>26936.0</v>
      </c>
    </row>
    <row r="1461">
      <c r="A1461" s="1545" t="s">
        <v>1370</v>
      </c>
      <c r="B1461" s="1587">
        <v>23863.0</v>
      </c>
      <c r="C1461" s="1563">
        <v>880.0</v>
      </c>
      <c r="D1461" s="1548">
        <v>17.5</v>
      </c>
      <c r="E1461" s="1557">
        <v>21217.0</v>
      </c>
      <c r="F1461" s="598">
        <v>1625.0</v>
      </c>
      <c r="G1461" s="598">
        <v>60.0</v>
      </c>
      <c r="H1461" s="598">
        <v>51.0</v>
      </c>
      <c r="I1461" s="598">
        <v>0.0</v>
      </c>
      <c r="J1461" s="598">
        <v>191.0</v>
      </c>
      <c r="K1461" s="1561">
        <v>719.0</v>
      </c>
      <c r="L1461" s="1555">
        <v>45720.0</v>
      </c>
    </row>
    <row r="1462">
      <c r="A1462" s="1545" t="s">
        <v>142</v>
      </c>
      <c r="B1462" s="1587">
        <v>143252.0</v>
      </c>
      <c r="C1462" s="1547">
        <v>8720.0</v>
      </c>
      <c r="D1462" s="1548">
        <v>26.5</v>
      </c>
      <c r="E1462" s="1557">
        <v>94709.0</v>
      </c>
      <c r="F1462" s="598">
        <v>30070.0</v>
      </c>
      <c r="G1462" s="598">
        <v>734.0</v>
      </c>
      <c r="H1462" s="598">
        <v>3204.0</v>
      </c>
      <c r="I1462" s="598">
        <v>115.0</v>
      </c>
      <c r="J1462" s="598">
        <v>4764.0</v>
      </c>
      <c r="K1462" s="1561">
        <v>9656.0</v>
      </c>
      <c r="L1462" s="1551">
        <v>51771.0</v>
      </c>
    </row>
    <row r="1463">
      <c r="A1463" s="1545" t="s">
        <v>593</v>
      </c>
      <c r="B1463" s="1587">
        <v>16367.0</v>
      </c>
      <c r="C1463" s="1547">
        <v>1036.0</v>
      </c>
      <c r="D1463" s="1548">
        <v>28.2</v>
      </c>
      <c r="E1463" s="1557">
        <v>7561.0</v>
      </c>
      <c r="F1463" s="598">
        <v>8341.0</v>
      </c>
      <c r="G1463" s="598">
        <v>29.0</v>
      </c>
      <c r="H1463" s="598">
        <v>8.0</v>
      </c>
      <c r="I1463" s="598">
        <v>0.0</v>
      </c>
      <c r="J1463" s="598">
        <v>105.0</v>
      </c>
      <c r="K1463" s="1561">
        <v>323.0</v>
      </c>
      <c r="L1463" s="1551">
        <v>36987.0</v>
      </c>
    </row>
    <row r="1464">
      <c r="A1464" s="1545" t="s">
        <v>143</v>
      </c>
      <c r="B1464" s="1587">
        <v>7260.0</v>
      </c>
      <c r="C1464" s="1563">
        <v>806.0</v>
      </c>
      <c r="D1464" s="1548">
        <v>50.8</v>
      </c>
      <c r="E1464" s="1557">
        <v>894.0</v>
      </c>
      <c r="F1464" s="598">
        <v>6191.0</v>
      </c>
      <c r="G1464" s="598">
        <v>12.0</v>
      </c>
      <c r="H1464" s="598">
        <v>15.0</v>
      </c>
      <c r="I1464" s="598">
        <v>5.0</v>
      </c>
      <c r="J1464" s="598">
        <v>9.0</v>
      </c>
      <c r="K1464" s="1561">
        <v>134.0</v>
      </c>
      <c r="L1464" s="1551">
        <v>28024.0</v>
      </c>
    </row>
    <row r="1465">
      <c r="A1465" s="1545" t="s">
        <v>1159</v>
      </c>
      <c r="B1465" s="1587">
        <v>11321.0</v>
      </c>
      <c r="C1465" s="1563">
        <v>819.0</v>
      </c>
      <c r="D1465" s="1548">
        <v>37.6</v>
      </c>
      <c r="E1465" s="1557">
        <v>4357.0</v>
      </c>
      <c r="F1465" s="598">
        <v>6643.0</v>
      </c>
      <c r="G1465" s="598">
        <v>11.0</v>
      </c>
      <c r="H1465" s="598">
        <v>21.0</v>
      </c>
      <c r="I1465" s="598">
        <v>0.0</v>
      </c>
      <c r="J1465" s="598">
        <v>42.0</v>
      </c>
      <c r="K1465" s="1561">
        <v>247.0</v>
      </c>
      <c r="L1465" s="1555">
        <v>31739.0</v>
      </c>
    </row>
    <row r="1466">
      <c r="A1466" s="1545" t="s">
        <v>598</v>
      </c>
      <c r="B1466" s="1587">
        <v>67246.0</v>
      </c>
      <c r="C1466" s="1547">
        <v>4811.0</v>
      </c>
      <c r="D1466" s="1548">
        <v>28.6</v>
      </c>
      <c r="E1466" s="1557">
        <v>42076.0</v>
      </c>
      <c r="F1466" s="598">
        <v>19239.0</v>
      </c>
      <c r="G1466" s="598">
        <v>458.0</v>
      </c>
      <c r="H1466" s="598">
        <v>279.0</v>
      </c>
      <c r="I1466" s="598">
        <v>30.0</v>
      </c>
      <c r="J1466" s="598">
        <v>3025.0</v>
      </c>
      <c r="K1466" s="1561">
        <v>2139.0</v>
      </c>
      <c r="L1466" s="1551">
        <v>42435.0</v>
      </c>
    </row>
    <row r="1467">
      <c r="A1467" s="1545" t="s">
        <v>1371</v>
      </c>
      <c r="B1467" s="1587">
        <v>8988.0</v>
      </c>
      <c r="C1467" s="1563">
        <v>712.0</v>
      </c>
      <c r="D1467" s="1548">
        <v>39.4</v>
      </c>
      <c r="E1467" s="1557">
        <v>2820.0</v>
      </c>
      <c r="F1467" s="598">
        <v>5495.0</v>
      </c>
      <c r="G1467" s="598">
        <v>465.0</v>
      </c>
      <c r="H1467" s="598">
        <v>6.0</v>
      </c>
      <c r="I1467" s="598">
        <v>9.0</v>
      </c>
      <c r="J1467" s="598">
        <v>26.0</v>
      </c>
      <c r="K1467" s="1561">
        <v>167.0</v>
      </c>
      <c r="L1467" s="1551">
        <v>33437.0</v>
      </c>
    </row>
    <row r="1468">
      <c r="A1468" s="1545" t="s">
        <v>289</v>
      </c>
      <c r="B1468" s="1587">
        <v>55813.0</v>
      </c>
      <c r="C1468" s="1547">
        <v>1585.0</v>
      </c>
      <c r="D1468" s="1548">
        <v>16.2</v>
      </c>
      <c r="E1468" s="1557">
        <v>39274.0</v>
      </c>
      <c r="F1468" s="598">
        <v>11381.0</v>
      </c>
      <c r="G1468" s="598">
        <v>84.0</v>
      </c>
      <c r="H1468" s="598">
        <v>1685.0</v>
      </c>
      <c r="I1468" s="598">
        <v>24.0</v>
      </c>
      <c r="J1468" s="598">
        <v>930.0</v>
      </c>
      <c r="K1468" s="1561">
        <v>2435.0</v>
      </c>
      <c r="L1468" s="1551">
        <v>49381.0</v>
      </c>
    </row>
    <row r="1469">
      <c r="A1469" s="1545" t="s">
        <v>144</v>
      </c>
      <c r="B1469" s="1587">
        <v>64222.0</v>
      </c>
      <c r="C1469" s="1547">
        <v>2793.0</v>
      </c>
      <c r="D1469" s="1548">
        <v>18.3</v>
      </c>
      <c r="E1469" s="1557">
        <v>44456.0</v>
      </c>
      <c r="F1469" s="598">
        <v>14372.0</v>
      </c>
      <c r="G1469" s="598">
        <v>149.0</v>
      </c>
      <c r="H1469" s="598">
        <v>1102.0</v>
      </c>
      <c r="I1469" s="598">
        <v>50.0</v>
      </c>
      <c r="J1469" s="598">
        <v>1191.0</v>
      </c>
      <c r="K1469" s="1561">
        <v>2902.0</v>
      </c>
      <c r="L1469" s="1555">
        <v>58377.0</v>
      </c>
    </row>
    <row r="1470">
      <c r="A1470" s="1545" t="s">
        <v>145</v>
      </c>
      <c r="B1470" s="1587">
        <v>72984.0</v>
      </c>
      <c r="C1470" s="1547">
        <v>5864.0</v>
      </c>
      <c r="D1470" s="1548">
        <v>33.9</v>
      </c>
      <c r="E1470" s="1557">
        <v>36919.0</v>
      </c>
      <c r="F1470" s="598">
        <v>32133.0</v>
      </c>
      <c r="G1470" s="598">
        <v>137.0</v>
      </c>
      <c r="H1470" s="598">
        <v>587.0</v>
      </c>
      <c r="I1470" s="598">
        <v>36.0</v>
      </c>
      <c r="J1470" s="598">
        <v>996.0</v>
      </c>
      <c r="K1470" s="1561">
        <v>2176.0</v>
      </c>
      <c r="L1470" s="1551">
        <v>40077.0</v>
      </c>
    </row>
    <row r="1471">
      <c r="A1471" s="1545" t="s">
        <v>146</v>
      </c>
      <c r="B1471" s="1587">
        <v>12016.0</v>
      </c>
      <c r="C1471" s="1563">
        <v>821.0</v>
      </c>
      <c r="D1471" s="1548">
        <v>27.2</v>
      </c>
      <c r="E1471" s="1557">
        <v>7847.0</v>
      </c>
      <c r="F1471" s="598">
        <v>3703.0</v>
      </c>
      <c r="G1471" s="598">
        <v>17.0</v>
      </c>
      <c r="H1471" s="598">
        <v>36.0</v>
      </c>
      <c r="I1471" s="598">
        <v>4.0</v>
      </c>
      <c r="J1471" s="598">
        <v>90.0</v>
      </c>
      <c r="K1471" s="1561">
        <v>319.0</v>
      </c>
      <c r="L1471" s="1551">
        <v>40510.0</v>
      </c>
    </row>
    <row r="1472">
      <c r="A1472" s="1545" t="s">
        <v>1372</v>
      </c>
      <c r="B1472" s="1587">
        <v>21275.0</v>
      </c>
      <c r="C1472" s="1547">
        <v>1920.0</v>
      </c>
      <c r="D1472" s="1548">
        <v>39.7</v>
      </c>
      <c r="E1472" s="1557">
        <v>10145.0</v>
      </c>
      <c r="F1472" s="598">
        <v>8235.0</v>
      </c>
      <c r="G1472" s="598">
        <v>1430.0</v>
      </c>
      <c r="H1472" s="598">
        <v>78.0</v>
      </c>
      <c r="I1472" s="598">
        <v>7.0</v>
      </c>
      <c r="J1472" s="598">
        <v>884.0</v>
      </c>
      <c r="K1472" s="1561">
        <v>496.0</v>
      </c>
      <c r="L1472" s="1555">
        <v>37212.0</v>
      </c>
    </row>
    <row r="1473">
      <c r="A1473" s="1545" t="s">
        <v>147</v>
      </c>
      <c r="B1473" s="1587">
        <v>83343.0</v>
      </c>
      <c r="C1473" s="1547">
        <v>4218.0</v>
      </c>
      <c r="D1473" s="1548">
        <v>19.9</v>
      </c>
      <c r="E1473" s="1557">
        <v>53394.0</v>
      </c>
      <c r="F1473" s="598">
        <v>24246.0</v>
      </c>
      <c r="G1473" s="598">
        <v>180.0</v>
      </c>
      <c r="H1473" s="598">
        <v>924.0</v>
      </c>
      <c r="I1473" s="598">
        <v>25.0</v>
      </c>
      <c r="J1473" s="598">
        <v>1631.0</v>
      </c>
      <c r="K1473" s="1561">
        <v>2943.0</v>
      </c>
      <c r="L1473" s="1551">
        <v>51088.0</v>
      </c>
    </row>
    <row r="1474">
      <c r="A1474" s="1545" t="s">
        <v>1373</v>
      </c>
      <c r="B1474" s="1587">
        <v>28339.0</v>
      </c>
      <c r="C1474" s="1547">
        <v>3862.0</v>
      </c>
      <c r="D1474" s="1548">
        <v>49.0</v>
      </c>
      <c r="E1474" s="1557">
        <v>6022.0</v>
      </c>
      <c r="F1474" s="598">
        <v>20895.0</v>
      </c>
      <c r="G1474" s="598">
        <v>34.0</v>
      </c>
      <c r="H1474" s="598">
        <v>212.0</v>
      </c>
      <c r="I1474" s="598">
        <v>0.0</v>
      </c>
      <c r="J1474" s="598">
        <v>591.0</v>
      </c>
      <c r="K1474" s="1561">
        <v>585.0</v>
      </c>
      <c r="L1474" s="1551">
        <v>29244.0</v>
      </c>
    </row>
    <row r="1475">
      <c r="A1475" s="1545" t="s">
        <v>290</v>
      </c>
      <c r="B1475" s="1587">
        <v>34907.0</v>
      </c>
      <c r="C1475" s="1547">
        <v>1961.0</v>
      </c>
      <c r="D1475" s="1548">
        <v>24.8</v>
      </c>
      <c r="E1475" s="1557">
        <v>23091.0</v>
      </c>
      <c r="F1475" s="598">
        <v>10542.0</v>
      </c>
      <c r="G1475" s="598">
        <v>79.0</v>
      </c>
      <c r="H1475" s="598">
        <v>164.0</v>
      </c>
      <c r="I1475" s="598">
        <v>9.0</v>
      </c>
      <c r="J1475" s="598">
        <v>188.0</v>
      </c>
      <c r="K1475" s="1561">
        <v>834.0</v>
      </c>
      <c r="L1475" s="1551">
        <v>43478.0</v>
      </c>
    </row>
    <row r="1476">
      <c r="A1476" s="1545" t="s">
        <v>149</v>
      </c>
      <c r="B1476" s="1587">
        <v>58879.0</v>
      </c>
      <c r="C1476" s="1547">
        <v>4355.0</v>
      </c>
      <c r="D1476" s="1548">
        <v>31.8</v>
      </c>
      <c r="E1476" s="1557">
        <v>29775.0</v>
      </c>
      <c r="F1476" s="598">
        <v>25997.0</v>
      </c>
      <c r="G1476" s="598">
        <v>130.0</v>
      </c>
      <c r="H1476" s="598">
        <v>534.0</v>
      </c>
      <c r="I1476" s="598">
        <v>16.0</v>
      </c>
      <c r="J1476" s="598">
        <v>511.0</v>
      </c>
      <c r="K1476" s="1561">
        <v>1916.0</v>
      </c>
      <c r="L1476" s="1555">
        <v>44348.0</v>
      </c>
    </row>
    <row r="1477">
      <c r="A1477" s="1545" t="s">
        <v>151</v>
      </c>
      <c r="B1477" s="1587">
        <v>109145.0</v>
      </c>
      <c r="C1477" s="1547">
        <v>3557.0</v>
      </c>
      <c r="D1477" s="1548">
        <v>13.6</v>
      </c>
      <c r="E1477" s="1557">
        <v>60827.0</v>
      </c>
      <c r="F1477" s="598">
        <v>38647.0</v>
      </c>
      <c r="G1477" s="598">
        <v>305.0</v>
      </c>
      <c r="H1477" s="598">
        <v>3196.0</v>
      </c>
      <c r="I1477" s="598">
        <v>20.0</v>
      </c>
      <c r="J1477" s="598">
        <v>2568.0</v>
      </c>
      <c r="K1477" s="1561">
        <v>3582.0</v>
      </c>
      <c r="L1477" s="1551">
        <v>75740.0</v>
      </c>
    </row>
    <row r="1478">
      <c r="A1478" s="1545" t="s">
        <v>153</v>
      </c>
      <c r="B1478" s="1587">
        <v>24441.0</v>
      </c>
      <c r="C1478" s="1547">
        <v>2009.0</v>
      </c>
      <c r="D1478" s="1548">
        <v>35.7</v>
      </c>
      <c r="E1478" s="1557">
        <v>15820.0</v>
      </c>
      <c r="F1478" s="598">
        <v>7623.0</v>
      </c>
      <c r="G1478" s="598">
        <v>49.0</v>
      </c>
      <c r="H1478" s="598">
        <v>69.0</v>
      </c>
      <c r="I1478" s="598">
        <v>2.0</v>
      </c>
      <c r="J1478" s="598">
        <v>221.0</v>
      </c>
      <c r="K1478" s="1561">
        <v>657.0</v>
      </c>
      <c r="L1478" s="1551">
        <v>36408.0</v>
      </c>
    </row>
    <row r="1479">
      <c r="A1479" s="1545" t="s">
        <v>154</v>
      </c>
      <c r="B1479" s="1587">
        <v>33752.0</v>
      </c>
      <c r="C1479" s="1547">
        <v>2448.0</v>
      </c>
      <c r="D1479" s="1548">
        <v>33.3</v>
      </c>
      <c r="E1479" s="1557">
        <v>16500.0</v>
      </c>
      <c r="F1479" s="598">
        <v>14912.0</v>
      </c>
      <c r="G1479" s="598">
        <v>97.0</v>
      </c>
      <c r="H1479" s="598">
        <v>78.0</v>
      </c>
      <c r="I1479" s="598">
        <v>20.0</v>
      </c>
      <c r="J1479" s="598">
        <v>1072.0</v>
      </c>
      <c r="K1479" s="1561">
        <v>1073.0</v>
      </c>
      <c r="L1479" s="1551">
        <v>40285.0</v>
      </c>
    </row>
    <row r="1480">
      <c r="A1480" s="1545" t="s">
        <v>156</v>
      </c>
      <c r="B1480" s="1587">
        <v>34180.0</v>
      </c>
      <c r="C1480" s="1547">
        <v>1949.0</v>
      </c>
      <c r="D1480" s="1548">
        <v>24.5</v>
      </c>
      <c r="E1480" s="1557">
        <v>22629.0</v>
      </c>
      <c r="F1480" s="598">
        <v>10337.0</v>
      </c>
      <c r="G1480" s="598">
        <v>53.0</v>
      </c>
      <c r="H1480" s="598">
        <v>67.0</v>
      </c>
      <c r="I1480" s="598">
        <v>3.0</v>
      </c>
      <c r="J1480" s="598">
        <v>208.0</v>
      </c>
      <c r="K1480" s="1561">
        <v>883.0</v>
      </c>
      <c r="L1480" s="1551">
        <v>44681.0</v>
      </c>
    </row>
    <row r="1481">
      <c r="A1481" s="1545" t="s">
        <v>157</v>
      </c>
      <c r="B1481" s="1587">
        <v>9822.0</v>
      </c>
      <c r="C1481" s="1563">
        <v>810.0</v>
      </c>
      <c r="D1481" s="1548">
        <v>36.0</v>
      </c>
      <c r="E1481" s="1557">
        <v>5114.0</v>
      </c>
      <c r="F1481" s="598">
        <v>4373.0</v>
      </c>
      <c r="G1481" s="598">
        <v>11.0</v>
      </c>
      <c r="H1481" s="598">
        <v>28.0</v>
      </c>
      <c r="I1481" s="598">
        <v>1.0</v>
      </c>
      <c r="J1481" s="598">
        <v>55.0</v>
      </c>
      <c r="K1481" s="1561">
        <v>240.0</v>
      </c>
      <c r="L1481" s="1551">
        <v>36311.0</v>
      </c>
    </row>
    <row r="1482">
      <c r="A1482" s="1545" t="s">
        <v>1374</v>
      </c>
      <c r="B1482" s="1587">
        <v>29087.0</v>
      </c>
      <c r="C1482" s="1547">
        <v>3015.0</v>
      </c>
      <c r="D1482" s="1548">
        <v>37.6</v>
      </c>
      <c r="E1482" s="1557">
        <v>16523.0</v>
      </c>
      <c r="F1482" s="598">
        <v>6404.0</v>
      </c>
      <c r="G1482" s="598">
        <v>4997.0</v>
      </c>
      <c r="H1482" s="598">
        <v>126.0</v>
      </c>
      <c r="I1482" s="598">
        <v>0.0</v>
      </c>
      <c r="J1482" s="598">
        <v>185.0</v>
      </c>
      <c r="K1482" s="1561">
        <v>852.0</v>
      </c>
      <c r="L1482" s="1551">
        <v>36236.0</v>
      </c>
    </row>
    <row r="1483">
      <c r="A1483" s="1545" t="s">
        <v>297</v>
      </c>
      <c r="B1483" s="1587">
        <v>21291.0</v>
      </c>
      <c r="C1483" s="1547">
        <v>1666.0</v>
      </c>
      <c r="D1483" s="1548">
        <v>31.1</v>
      </c>
      <c r="E1483" s="1557">
        <v>12857.0</v>
      </c>
      <c r="F1483" s="598">
        <v>6472.0</v>
      </c>
      <c r="G1483" s="598">
        <v>1180.0</v>
      </c>
      <c r="H1483" s="598">
        <v>77.0</v>
      </c>
      <c r="I1483" s="598">
        <v>0.0</v>
      </c>
      <c r="J1483" s="598">
        <v>166.0</v>
      </c>
      <c r="K1483" s="1561">
        <v>539.0</v>
      </c>
      <c r="L1483" s="1551">
        <v>40792.0</v>
      </c>
    </row>
    <row r="1484">
      <c r="A1484" s="1545" t="s">
        <v>1375</v>
      </c>
      <c r="B1484" s="1587">
        <v>10285.0</v>
      </c>
      <c r="C1484" s="1547">
        <v>1044.0</v>
      </c>
      <c r="D1484" s="1548">
        <v>40.8</v>
      </c>
      <c r="E1484" s="1557">
        <v>2661.0</v>
      </c>
      <c r="F1484" s="598">
        <v>7227.0</v>
      </c>
      <c r="G1484" s="598">
        <v>13.0</v>
      </c>
      <c r="H1484" s="598">
        <v>15.0</v>
      </c>
      <c r="I1484" s="598">
        <v>0.0</v>
      </c>
      <c r="J1484" s="598">
        <v>84.0</v>
      </c>
      <c r="K1484" s="1561">
        <v>285.0</v>
      </c>
      <c r="L1484" s="1551">
        <v>32167.0</v>
      </c>
    </row>
    <row r="1485">
      <c r="A1485" s="1545" t="s">
        <v>1376</v>
      </c>
      <c r="B1485" s="1587">
        <v>51788.0</v>
      </c>
      <c r="C1485" s="1547">
        <v>2330.0</v>
      </c>
      <c r="D1485" s="1548">
        <v>26.7</v>
      </c>
      <c r="E1485" s="1557">
        <v>29606.0</v>
      </c>
      <c r="F1485" s="598">
        <v>18330.0</v>
      </c>
      <c r="G1485" s="598">
        <v>111.0</v>
      </c>
      <c r="H1485" s="598">
        <v>1507.0</v>
      </c>
      <c r="I1485" s="598">
        <v>12.0</v>
      </c>
      <c r="J1485" s="598">
        <v>620.0</v>
      </c>
      <c r="K1485" s="1561">
        <v>1602.0</v>
      </c>
      <c r="L1485" s="1551">
        <v>39130.0</v>
      </c>
    </row>
    <row r="1486">
      <c r="A1486" s="1545" t="s">
        <v>1377</v>
      </c>
      <c r="B1486" s="1587">
        <v>33208.0</v>
      </c>
      <c r="C1486" s="1547">
        <v>2873.0</v>
      </c>
      <c r="D1486" s="1548">
        <v>34.4</v>
      </c>
      <c r="E1486" s="1557">
        <v>15765.0</v>
      </c>
      <c r="F1486" s="598">
        <v>16092.0</v>
      </c>
      <c r="G1486" s="598">
        <v>62.0</v>
      </c>
      <c r="H1486" s="598">
        <v>64.0</v>
      </c>
      <c r="I1486" s="598">
        <v>9.0</v>
      </c>
      <c r="J1486" s="598">
        <v>338.0</v>
      </c>
      <c r="K1486" s="1561">
        <v>878.0</v>
      </c>
      <c r="L1486" s="1551">
        <v>39198.0</v>
      </c>
    </row>
    <row r="1487">
      <c r="A1487" s="1545" t="s">
        <v>1378</v>
      </c>
      <c r="B1487" s="1587">
        <v>56145.0</v>
      </c>
      <c r="C1487" s="1547">
        <v>3235.0</v>
      </c>
      <c r="D1487" s="1548">
        <v>26.2</v>
      </c>
      <c r="E1487" s="1557">
        <v>44833.0</v>
      </c>
      <c r="F1487" s="598">
        <v>6710.0</v>
      </c>
      <c r="G1487" s="598">
        <v>296.0</v>
      </c>
      <c r="H1487" s="598">
        <v>283.0</v>
      </c>
      <c r="I1487" s="598">
        <v>2.0</v>
      </c>
      <c r="J1487" s="598">
        <v>694.0</v>
      </c>
      <c r="K1487" s="1561">
        <v>3327.0</v>
      </c>
      <c r="L1487" s="1551">
        <v>45268.0</v>
      </c>
    </row>
    <row r="1488">
      <c r="A1488" s="1545" t="s">
        <v>159</v>
      </c>
      <c r="B1488" s="1587">
        <v>11511.0</v>
      </c>
      <c r="C1488" s="1563">
        <v>906.0</v>
      </c>
      <c r="D1488" s="1548">
        <v>34.3</v>
      </c>
      <c r="E1488" s="1557">
        <v>8942.0</v>
      </c>
      <c r="F1488" s="598">
        <v>2097.0</v>
      </c>
      <c r="G1488" s="598">
        <v>49.0</v>
      </c>
      <c r="H1488" s="598">
        <v>29.0</v>
      </c>
      <c r="I1488" s="598">
        <v>3.0</v>
      </c>
      <c r="J1488" s="598">
        <v>54.0</v>
      </c>
      <c r="K1488" s="1561">
        <v>337.0</v>
      </c>
      <c r="L1488" s="1551">
        <v>39687.0</v>
      </c>
    </row>
    <row r="1489">
      <c r="A1489" s="1545" t="s">
        <v>162</v>
      </c>
      <c r="B1489" s="1587">
        <v>40324.0</v>
      </c>
      <c r="C1489" s="1547">
        <v>4679.0</v>
      </c>
      <c r="D1489" s="1548">
        <v>46.2</v>
      </c>
      <c r="E1489" s="1557">
        <v>16889.0</v>
      </c>
      <c r="F1489" s="598">
        <v>21562.0</v>
      </c>
      <c r="G1489" s="598">
        <v>130.0</v>
      </c>
      <c r="H1489" s="598">
        <v>255.0</v>
      </c>
      <c r="I1489" s="598">
        <v>7.0</v>
      </c>
      <c r="J1489" s="598">
        <v>332.0</v>
      </c>
      <c r="K1489" s="1561">
        <v>1149.0</v>
      </c>
      <c r="L1489" s="1551">
        <v>33983.0</v>
      </c>
    </row>
    <row r="1490">
      <c r="A1490" s="1545" t="s">
        <v>1379</v>
      </c>
      <c r="B1490" s="1587">
        <v>31184.0</v>
      </c>
      <c r="C1490" s="1547">
        <v>2164.0</v>
      </c>
      <c r="D1490" s="1548">
        <v>26.2</v>
      </c>
      <c r="E1490" s="1557">
        <v>24126.0</v>
      </c>
      <c r="F1490" s="598">
        <v>4226.0</v>
      </c>
      <c r="G1490" s="598">
        <v>142.0</v>
      </c>
      <c r="H1490" s="598">
        <v>55.0</v>
      </c>
      <c r="I1490" s="598">
        <v>5.0</v>
      </c>
      <c r="J1490" s="598">
        <v>1392.0</v>
      </c>
      <c r="K1490" s="1561">
        <v>1238.0</v>
      </c>
      <c r="L1490" s="1551">
        <v>44297.0</v>
      </c>
    </row>
    <row r="1491">
      <c r="A1491" s="1545" t="s">
        <v>1380</v>
      </c>
      <c r="B1491" s="1587">
        <v>25008.0</v>
      </c>
      <c r="C1491" s="1547">
        <v>1544.0</v>
      </c>
      <c r="D1491" s="1548">
        <v>28.1</v>
      </c>
      <c r="E1491" s="1557">
        <v>20303.0</v>
      </c>
      <c r="F1491" s="598">
        <v>3570.0</v>
      </c>
      <c r="G1491" s="598">
        <v>67.0</v>
      </c>
      <c r="H1491" s="598">
        <v>85.0</v>
      </c>
      <c r="I1491" s="598">
        <v>5.0</v>
      </c>
      <c r="J1491" s="598">
        <v>188.0</v>
      </c>
      <c r="K1491" s="1561">
        <v>790.0</v>
      </c>
      <c r="L1491" s="1551">
        <v>41281.0</v>
      </c>
    </row>
    <row r="1492">
      <c r="A1492" s="1545" t="s">
        <v>618</v>
      </c>
      <c r="B1492" s="1587">
        <v>6176.0</v>
      </c>
      <c r="C1492" s="1563">
        <v>876.0</v>
      </c>
      <c r="D1492" s="1548">
        <v>55.0</v>
      </c>
      <c r="E1492" s="1557">
        <v>1490.0</v>
      </c>
      <c r="F1492" s="598">
        <v>4546.0</v>
      </c>
      <c r="G1492" s="598">
        <v>1.0</v>
      </c>
      <c r="H1492" s="598">
        <v>12.0</v>
      </c>
      <c r="I1492" s="598">
        <v>3.0</v>
      </c>
      <c r="J1492" s="598">
        <v>8.0</v>
      </c>
      <c r="K1492" s="1561">
        <v>116.0</v>
      </c>
      <c r="L1492" s="1555">
        <v>27767.0</v>
      </c>
    </row>
    <row r="1493">
      <c r="A1493" s="1545" t="s">
        <v>1381</v>
      </c>
      <c r="B1493" s="1587">
        <v>157031.0</v>
      </c>
      <c r="C1493" s="1547">
        <v>4216.0</v>
      </c>
      <c r="D1493" s="1548">
        <v>12.0</v>
      </c>
      <c r="E1493" s="1557">
        <v>112872.0</v>
      </c>
      <c r="F1493" s="598">
        <v>32566.0</v>
      </c>
      <c r="G1493" s="598">
        <v>343.0</v>
      </c>
      <c r="H1493" s="598">
        <v>2269.0</v>
      </c>
      <c r="I1493" s="598">
        <v>94.0</v>
      </c>
      <c r="J1493" s="598">
        <v>2795.0</v>
      </c>
      <c r="K1493" s="1561">
        <v>6092.0</v>
      </c>
      <c r="L1493" s="1555">
        <v>66296.0</v>
      </c>
    </row>
    <row r="1494">
      <c r="A1494" s="1545" t="s">
        <v>309</v>
      </c>
      <c r="B1494" s="1587">
        <v>27990.0</v>
      </c>
      <c r="C1494" s="1547">
        <v>2733.0</v>
      </c>
      <c r="D1494" s="1548">
        <v>36.8</v>
      </c>
      <c r="E1494" s="1557">
        <v>13451.0</v>
      </c>
      <c r="F1494" s="598">
        <v>10012.0</v>
      </c>
      <c r="G1494" s="598">
        <v>259.0</v>
      </c>
      <c r="H1494" s="598">
        <v>103.0</v>
      </c>
      <c r="I1494" s="598">
        <v>1.0</v>
      </c>
      <c r="J1494" s="598">
        <v>3023.0</v>
      </c>
      <c r="K1494" s="1561">
        <v>1141.0</v>
      </c>
      <c r="L1494" s="1555">
        <v>38034.0</v>
      </c>
    </row>
    <row r="1495">
      <c r="A1495" s="1545" t="s">
        <v>1382</v>
      </c>
      <c r="B1495" s="1587">
        <v>3800.0</v>
      </c>
      <c r="C1495" s="1563">
        <v>516.0</v>
      </c>
      <c r="D1495" s="1548">
        <v>49.1</v>
      </c>
      <c r="E1495" s="1557">
        <v>970.0</v>
      </c>
      <c r="F1495" s="598">
        <v>2689.0</v>
      </c>
      <c r="G1495" s="598">
        <v>1.0</v>
      </c>
      <c r="H1495" s="598">
        <v>20.0</v>
      </c>
      <c r="I1495" s="598">
        <v>5.0</v>
      </c>
      <c r="J1495" s="598">
        <v>13.0</v>
      </c>
      <c r="K1495" s="1561">
        <v>102.0</v>
      </c>
      <c r="L1495" s="1555">
        <v>28887.0</v>
      </c>
    </row>
    <row r="1496">
      <c r="A1496" s="1545" t="s">
        <v>1134</v>
      </c>
      <c r="B1496" s="1587">
        <v>25949.0</v>
      </c>
      <c r="C1496" s="1547">
        <v>1856.0</v>
      </c>
      <c r="D1496" s="1548">
        <v>30.6</v>
      </c>
      <c r="E1496" s="1557">
        <v>15986.0</v>
      </c>
      <c r="F1496" s="598">
        <v>8838.0</v>
      </c>
      <c r="G1496" s="598">
        <v>41.0</v>
      </c>
      <c r="H1496" s="598">
        <v>84.0</v>
      </c>
      <c r="I1496" s="598">
        <v>2.0</v>
      </c>
      <c r="J1496" s="598">
        <v>235.0</v>
      </c>
      <c r="K1496" s="1561">
        <v>763.0</v>
      </c>
      <c r="L1496" s="1555">
        <v>38173.0</v>
      </c>
    </row>
    <row r="1497">
      <c r="A1497" s="1545" t="s">
        <v>1012</v>
      </c>
      <c r="B1497" s="1587">
        <v>14209.0</v>
      </c>
      <c r="C1497" s="1563">
        <v>908.0</v>
      </c>
      <c r="D1497" s="1548">
        <v>24.8</v>
      </c>
      <c r="E1497" s="1557">
        <v>10613.0</v>
      </c>
      <c r="F1497" s="598">
        <v>3112.0</v>
      </c>
      <c r="G1497" s="598">
        <v>20.0</v>
      </c>
      <c r="H1497" s="598">
        <v>21.0</v>
      </c>
      <c r="I1497" s="598">
        <v>3.0</v>
      </c>
      <c r="J1497" s="598">
        <v>112.0</v>
      </c>
      <c r="K1497" s="1561">
        <v>328.0</v>
      </c>
      <c r="L1497" s="1555">
        <v>46764.0</v>
      </c>
    </row>
    <row r="1498">
      <c r="A1498" s="1545" t="s">
        <v>315</v>
      </c>
      <c r="B1498" s="1587">
        <v>18333.0</v>
      </c>
      <c r="C1498" s="1547">
        <v>1082.0</v>
      </c>
      <c r="D1498" s="1548">
        <v>27.9</v>
      </c>
      <c r="E1498" s="1557">
        <v>13933.0</v>
      </c>
      <c r="F1498" s="598">
        <v>3253.0</v>
      </c>
      <c r="G1498" s="598">
        <v>84.0</v>
      </c>
      <c r="H1498" s="598">
        <v>101.0</v>
      </c>
      <c r="I1498" s="598">
        <v>9.0</v>
      </c>
      <c r="J1498" s="598">
        <v>256.0</v>
      </c>
      <c r="K1498" s="1561">
        <v>697.0</v>
      </c>
      <c r="L1498" s="1555">
        <v>44622.0</v>
      </c>
    </row>
    <row r="1499">
      <c r="A1499" s="1545" t="s">
        <v>1383</v>
      </c>
      <c r="B1499" s="1587">
        <v>25971.0</v>
      </c>
      <c r="C1499" s="1547">
        <v>2378.0</v>
      </c>
      <c r="D1499" s="1548">
        <v>42.3</v>
      </c>
      <c r="E1499" s="1557">
        <v>6894.0</v>
      </c>
      <c r="F1499" s="598">
        <v>18164.0</v>
      </c>
      <c r="G1499" s="598">
        <v>23.0</v>
      </c>
      <c r="H1499" s="598">
        <v>84.0</v>
      </c>
      <c r="I1499" s="598">
        <v>1.0</v>
      </c>
      <c r="J1499" s="598">
        <v>367.0</v>
      </c>
      <c r="K1499" s="1561">
        <v>438.0</v>
      </c>
      <c r="L1499" s="1555">
        <v>31329.0</v>
      </c>
    </row>
    <row r="1500">
      <c r="A1500" s="1545" t="s">
        <v>1384</v>
      </c>
      <c r="B1500" s="1587">
        <v>12715.0</v>
      </c>
      <c r="C1500" s="1547">
        <v>1098.0</v>
      </c>
      <c r="D1500" s="1548">
        <v>40.5</v>
      </c>
      <c r="E1500" s="1557">
        <v>5029.0</v>
      </c>
      <c r="F1500" s="598">
        <v>7454.0</v>
      </c>
      <c r="G1500" s="598">
        <v>17.0</v>
      </c>
      <c r="H1500" s="598">
        <v>10.0</v>
      </c>
      <c r="I1500" s="598">
        <v>3.0</v>
      </c>
      <c r="J1500" s="598">
        <v>17.0</v>
      </c>
      <c r="K1500" s="1561">
        <v>185.0</v>
      </c>
      <c r="L1500" s="1555">
        <v>32692.0</v>
      </c>
    </row>
    <row r="1501">
      <c r="A1501" s="1545" t="s">
        <v>1385</v>
      </c>
      <c r="B1501" s="1587">
        <v>28064.0</v>
      </c>
      <c r="C1501" s="1547">
        <v>1667.0</v>
      </c>
      <c r="D1501" s="1548">
        <v>25.9</v>
      </c>
      <c r="E1501" s="1557">
        <v>18168.0</v>
      </c>
      <c r="F1501" s="598">
        <v>8262.0</v>
      </c>
      <c r="G1501" s="598">
        <v>72.0</v>
      </c>
      <c r="H1501" s="598">
        <v>70.0</v>
      </c>
      <c r="I1501" s="598">
        <v>3.0</v>
      </c>
      <c r="J1501" s="598">
        <v>488.0</v>
      </c>
      <c r="K1501" s="1561">
        <v>1001.0</v>
      </c>
      <c r="L1501" s="1555">
        <v>48082.0</v>
      </c>
    </row>
    <row r="1502">
      <c r="A1502" s="1545" t="s">
        <v>1386</v>
      </c>
      <c r="B1502" s="1587">
        <v>21815.0</v>
      </c>
      <c r="C1502" s="1547">
        <v>1224.0</v>
      </c>
      <c r="D1502" s="1548">
        <v>23.1</v>
      </c>
      <c r="E1502" s="1557">
        <v>16806.0</v>
      </c>
      <c r="F1502" s="598">
        <v>3464.0</v>
      </c>
      <c r="G1502" s="598">
        <v>42.0</v>
      </c>
      <c r="H1502" s="598">
        <v>25.0</v>
      </c>
      <c r="I1502" s="598">
        <v>0.0</v>
      </c>
      <c r="J1502" s="598">
        <v>758.0</v>
      </c>
      <c r="K1502" s="1561">
        <v>720.0</v>
      </c>
      <c r="L1502" s="1555">
        <v>39833.0</v>
      </c>
    </row>
    <row r="1503">
      <c r="A1503" s="1545" t="s">
        <v>1387</v>
      </c>
      <c r="B1503" s="1587">
        <v>18850.0</v>
      </c>
      <c r="C1503" s="1563">
        <v>881.0</v>
      </c>
      <c r="D1503" s="1548">
        <v>21.5</v>
      </c>
      <c r="E1503" s="1557">
        <v>17349.0</v>
      </c>
      <c r="F1503" s="598">
        <v>434.0</v>
      </c>
      <c r="G1503" s="598">
        <v>59.0</v>
      </c>
      <c r="H1503" s="598">
        <v>41.0</v>
      </c>
      <c r="I1503" s="598">
        <v>0.0</v>
      </c>
      <c r="J1503" s="598">
        <v>250.0</v>
      </c>
      <c r="K1503" s="1561">
        <v>717.0</v>
      </c>
      <c r="L1503" s="1555">
        <v>41455.0</v>
      </c>
    </row>
    <row r="1504">
      <c r="A1504" s="1545" t="s">
        <v>1388</v>
      </c>
      <c r="B1504" s="1587">
        <v>9782.0</v>
      </c>
      <c r="C1504" s="1547">
        <v>1253.0</v>
      </c>
      <c r="D1504" s="1548">
        <v>43.5</v>
      </c>
      <c r="E1504" s="1557">
        <v>1869.0</v>
      </c>
      <c r="F1504" s="598">
        <v>7559.0</v>
      </c>
      <c r="G1504" s="598">
        <v>13.0</v>
      </c>
      <c r="H1504" s="598">
        <v>28.0</v>
      </c>
      <c r="I1504" s="598">
        <v>0.0</v>
      </c>
      <c r="J1504" s="598">
        <v>151.0</v>
      </c>
      <c r="K1504" s="1561">
        <v>162.0</v>
      </c>
      <c r="L1504" s="1555">
        <v>33143.0</v>
      </c>
    </row>
    <row r="1505">
      <c r="A1505" s="1545" t="s">
        <v>316</v>
      </c>
      <c r="B1505" s="1587">
        <v>27777.0</v>
      </c>
      <c r="C1505" s="1547">
        <v>1323.0</v>
      </c>
      <c r="D1505" s="1548">
        <v>18.8</v>
      </c>
      <c r="E1505" s="1557">
        <v>21752.0</v>
      </c>
      <c r="F1505" s="598">
        <v>3974.0</v>
      </c>
      <c r="G1505" s="598">
        <v>68.0</v>
      </c>
      <c r="H1505" s="598">
        <v>117.0</v>
      </c>
      <c r="I1505" s="598">
        <v>0.0</v>
      </c>
      <c r="J1505" s="598">
        <v>892.0</v>
      </c>
      <c r="K1505" s="1561">
        <v>974.0</v>
      </c>
      <c r="L1505" s="1555">
        <v>46600.0</v>
      </c>
    </row>
    <row r="1506">
      <c r="A1506" s="1545" t="s">
        <v>1389</v>
      </c>
      <c r="B1506" s="1587">
        <v>13884.0</v>
      </c>
      <c r="C1506" s="1547">
        <v>1203.0</v>
      </c>
      <c r="D1506" s="1548">
        <v>36.8</v>
      </c>
      <c r="E1506" s="1557">
        <v>7593.0</v>
      </c>
      <c r="F1506" s="598">
        <v>5732.0</v>
      </c>
      <c r="G1506" s="598">
        <v>42.0</v>
      </c>
      <c r="H1506" s="598">
        <v>51.0</v>
      </c>
      <c r="I1506" s="598">
        <v>8.0</v>
      </c>
      <c r="J1506" s="598">
        <v>125.0</v>
      </c>
      <c r="K1506" s="1561">
        <v>333.0</v>
      </c>
      <c r="L1506" s="1555">
        <v>33566.0</v>
      </c>
    </row>
    <row r="1507">
      <c r="A1507" s="1545" t="s">
        <v>647</v>
      </c>
      <c r="B1507" s="1587">
        <v>44722.0</v>
      </c>
      <c r="C1507" s="1547">
        <v>3368.0</v>
      </c>
      <c r="D1507" s="1548">
        <v>31.0</v>
      </c>
      <c r="E1507" s="1557">
        <v>21126.0</v>
      </c>
      <c r="F1507" s="598">
        <v>21417.0</v>
      </c>
      <c r="G1507" s="598">
        <v>80.0</v>
      </c>
      <c r="H1507" s="598">
        <v>365.0</v>
      </c>
      <c r="I1507" s="598">
        <v>0.0</v>
      </c>
      <c r="J1507" s="598">
        <v>353.0</v>
      </c>
      <c r="K1507" s="1561">
        <v>1381.0</v>
      </c>
      <c r="L1507" s="1555">
        <v>46049.0</v>
      </c>
    </row>
    <row r="1508">
      <c r="A1508" s="1545" t="s">
        <v>119</v>
      </c>
      <c r="B1508" s="1587">
        <v>44922.0</v>
      </c>
      <c r="C1508" s="1547">
        <v>5952.0</v>
      </c>
      <c r="D1508" s="1548">
        <v>52.0</v>
      </c>
      <c r="E1508" s="1557">
        <v>11264.0</v>
      </c>
      <c r="F1508" s="598">
        <v>32042.0</v>
      </c>
      <c r="G1508" s="598">
        <v>64.0</v>
      </c>
      <c r="H1508" s="598">
        <v>302.0</v>
      </c>
      <c r="I1508" s="598">
        <v>11.0</v>
      </c>
      <c r="J1508" s="598">
        <v>325.0</v>
      </c>
      <c r="K1508" s="1561">
        <v>914.0</v>
      </c>
      <c r="L1508" s="1555">
        <v>33991.0</v>
      </c>
    </row>
    <row r="1509">
      <c r="A1509" s="1545" t="s">
        <v>273</v>
      </c>
      <c r="B1509" s="1587">
        <v>19779.0</v>
      </c>
      <c r="C1509" s="1547">
        <v>1609.0</v>
      </c>
      <c r="D1509" s="1548">
        <v>32.8</v>
      </c>
      <c r="E1509" s="1557">
        <v>11352.0</v>
      </c>
      <c r="F1509" s="598">
        <v>7732.0</v>
      </c>
      <c r="G1509" s="598">
        <v>39.0</v>
      </c>
      <c r="H1509" s="598">
        <v>35.0</v>
      </c>
      <c r="I1509" s="598">
        <v>2.0</v>
      </c>
      <c r="J1509" s="598">
        <v>210.0</v>
      </c>
      <c r="K1509" s="1561">
        <v>409.0</v>
      </c>
      <c r="L1509" s="1555">
        <v>37401.0</v>
      </c>
    </row>
    <row r="1510">
      <c r="A1510" s="1545" t="s">
        <v>648</v>
      </c>
      <c r="B1510" s="1587">
        <v>9926.0</v>
      </c>
      <c r="C1510" s="1563">
        <v>595.0</v>
      </c>
      <c r="D1510" s="1548">
        <v>25.9</v>
      </c>
      <c r="E1510" s="1557">
        <v>7726.0</v>
      </c>
      <c r="F1510" s="598">
        <v>1785.0</v>
      </c>
      <c r="G1510" s="598">
        <v>20.0</v>
      </c>
      <c r="H1510" s="598">
        <v>13.0</v>
      </c>
      <c r="I1510" s="598">
        <v>1.0</v>
      </c>
      <c r="J1510" s="598">
        <v>49.0</v>
      </c>
      <c r="K1510" s="1561">
        <v>332.0</v>
      </c>
      <c r="L1510" s="1555">
        <v>43349.0</v>
      </c>
    </row>
    <row r="1511">
      <c r="A1511" s="1545" t="s">
        <v>654</v>
      </c>
      <c r="B1511" s="1587">
        <v>8587.0</v>
      </c>
      <c r="C1511" s="1563">
        <v>716.0</v>
      </c>
      <c r="D1511" s="1548">
        <v>38.7</v>
      </c>
      <c r="E1511" s="1557">
        <v>2531.0</v>
      </c>
      <c r="F1511" s="598">
        <v>5787.0</v>
      </c>
      <c r="G1511" s="598">
        <v>19.0</v>
      </c>
      <c r="H1511" s="598">
        <v>15.0</v>
      </c>
      <c r="I1511" s="598">
        <v>0.0</v>
      </c>
      <c r="J1511" s="598">
        <v>16.0</v>
      </c>
      <c r="K1511" s="1561">
        <v>219.0</v>
      </c>
      <c r="L1511" s="1555">
        <v>29900.0</v>
      </c>
    </row>
    <row r="1512">
      <c r="A1512" s="1545" t="s">
        <v>178</v>
      </c>
      <c r="B1512" s="1587">
        <v>17714.0</v>
      </c>
      <c r="C1512" s="1547">
        <v>1296.0</v>
      </c>
      <c r="D1512" s="1548">
        <v>32.1</v>
      </c>
      <c r="E1512" s="1557">
        <v>8894.0</v>
      </c>
      <c r="F1512" s="598">
        <v>8121.0</v>
      </c>
      <c r="G1512" s="598">
        <v>178.0</v>
      </c>
      <c r="H1512" s="598">
        <v>42.0</v>
      </c>
      <c r="I1512" s="598">
        <v>1.0</v>
      </c>
      <c r="J1512" s="598">
        <v>109.0</v>
      </c>
      <c r="K1512" s="1561">
        <v>369.0</v>
      </c>
      <c r="L1512" s="1555">
        <v>39498.0</v>
      </c>
    </row>
    <row r="1513">
      <c r="A1513" s="1545" t="s">
        <v>1390</v>
      </c>
      <c r="B1513" s="1587">
        <v>12481.0</v>
      </c>
      <c r="C1513" s="1563">
        <v>842.0</v>
      </c>
      <c r="D1513" s="1548">
        <v>30.8</v>
      </c>
      <c r="E1513" s="1557">
        <v>7381.0</v>
      </c>
      <c r="F1513" s="598">
        <v>4638.0</v>
      </c>
      <c r="G1513" s="598">
        <v>24.0</v>
      </c>
      <c r="H1513" s="598">
        <v>24.0</v>
      </c>
      <c r="I1513" s="598">
        <v>3.0</v>
      </c>
      <c r="J1513" s="598">
        <v>63.0</v>
      </c>
      <c r="K1513" s="1561">
        <v>348.0</v>
      </c>
      <c r="L1513" s="1615">
        <v>39551.0</v>
      </c>
    </row>
    <row r="1514">
      <c r="A1514" s="1528" t="s">
        <v>1391</v>
      </c>
      <c r="B1514" s="1595">
        <v>26743.0</v>
      </c>
      <c r="C1514" s="1530">
        <v>2522.0</v>
      </c>
      <c r="D1514" s="1567">
        <v>41.2</v>
      </c>
      <c r="E1514" s="1532">
        <v>10009.0</v>
      </c>
      <c r="F1514" s="1533">
        <v>15931.0</v>
      </c>
      <c r="G1514" s="1533">
        <v>52.0</v>
      </c>
      <c r="H1514" s="1533">
        <v>115.0</v>
      </c>
      <c r="I1514" s="1533">
        <v>6.0</v>
      </c>
      <c r="J1514" s="1533">
        <v>102.0</v>
      </c>
      <c r="K1514" s="1616">
        <v>528.0</v>
      </c>
      <c r="L1514" s="1617">
        <v>33111.0</v>
      </c>
    </row>
    <row r="1515">
      <c r="A1515" s="1538" t="s">
        <v>73</v>
      </c>
      <c r="B1515" s="1596">
        <v>6154913.0</v>
      </c>
      <c r="C1515" s="1540">
        <v>245703.0</v>
      </c>
      <c r="D1515" s="1571">
        <v>18.3</v>
      </c>
      <c r="E1515" s="1572">
        <v>4740335.0</v>
      </c>
      <c r="F1515" s="1542">
        <v>699840.0</v>
      </c>
      <c r="G1515" s="1542">
        <v>30518.0</v>
      </c>
      <c r="H1515" s="1542">
        <v>133377.0</v>
      </c>
      <c r="I1515" s="1542">
        <v>9730.0</v>
      </c>
      <c r="J1515" s="1542">
        <v>127942.0</v>
      </c>
      <c r="K1515" s="1543">
        <v>413171.0</v>
      </c>
      <c r="L1515" s="1544">
        <v>54412.0</v>
      </c>
    </row>
    <row r="1516">
      <c r="A1516" s="1545" t="s">
        <v>882</v>
      </c>
      <c r="B1516" s="1586">
        <v>25314.0</v>
      </c>
      <c r="C1516" s="1563">
        <v>897.0</v>
      </c>
      <c r="D1516" s="1548">
        <v>19.9</v>
      </c>
      <c r="E1516" s="1557">
        <v>21843.0</v>
      </c>
      <c r="F1516" s="598">
        <v>1279.0</v>
      </c>
      <c r="G1516" s="598">
        <v>51.0</v>
      </c>
      <c r="H1516" s="598">
        <v>687.0</v>
      </c>
      <c r="I1516" s="598">
        <v>13.0</v>
      </c>
      <c r="J1516" s="598">
        <v>230.0</v>
      </c>
      <c r="K1516" s="1561">
        <v>1211.0</v>
      </c>
      <c r="L1516" s="1551">
        <v>40395.0</v>
      </c>
    </row>
    <row r="1517">
      <c r="A1517" s="1545" t="s">
        <v>1392</v>
      </c>
      <c r="B1517" s="1587">
        <v>18135.0</v>
      </c>
      <c r="C1517" s="1563">
        <v>453.0</v>
      </c>
      <c r="D1517" s="1548">
        <v>11.4</v>
      </c>
      <c r="E1517" s="1557">
        <v>16907.0</v>
      </c>
      <c r="F1517" s="598">
        <v>156.0</v>
      </c>
      <c r="G1517" s="598">
        <v>53.0</v>
      </c>
      <c r="H1517" s="598">
        <v>89.0</v>
      </c>
      <c r="I1517" s="598">
        <v>1.0</v>
      </c>
      <c r="J1517" s="598">
        <v>82.0</v>
      </c>
      <c r="K1517" s="1561">
        <v>847.0</v>
      </c>
      <c r="L1517" s="1551">
        <v>57459.0</v>
      </c>
    </row>
    <row r="1518">
      <c r="A1518" s="1545" t="s">
        <v>955</v>
      </c>
      <c r="B1518" s="1587">
        <v>5305.0</v>
      </c>
      <c r="C1518" s="1563">
        <v>163.0</v>
      </c>
      <c r="D1518" s="1548">
        <v>16.0</v>
      </c>
      <c r="E1518" s="1557">
        <v>5008.0</v>
      </c>
      <c r="F1518" s="598">
        <v>23.0</v>
      </c>
      <c r="G1518" s="598">
        <v>25.0</v>
      </c>
      <c r="H1518" s="598">
        <v>8.0</v>
      </c>
      <c r="I1518" s="598">
        <v>0.0</v>
      </c>
      <c r="J1518" s="598">
        <v>30.0</v>
      </c>
      <c r="K1518" s="1561">
        <v>211.0</v>
      </c>
      <c r="L1518" s="1551">
        <v>49122.0</v>
      </c>
    </row>
    <row r="1519">
      <c r="A1519" s="1545" t="s">
        <v>1393</v>
      </c>
      <c r="B1519" s="1587">
        <v>24962.0</v>
      </c>
      <c r="C1519" s="1547">
        <v>1430.0</v>
      </c>
      <c r="D1519" s="1548">
        <v>25.6</v>
      </c>
      <c r="E1519" s="1557">
        <v>21648.0</v>
      </c>
      <c r="F1519" s="598">
        <v>1307.0</v>
      </c>
      <c r="G1519" s="598">
        <v>89.0</v>
      </c>
      <c r="H1519" s="598">
        <v>114.0</v>
      </c>
      <c r="I1519" s="598">
        <v>2.0</v>
      </c>
      <c r="J1519" s="598">
        <v>374.0</v>
      </c>
      <c r="K1519" s="1561">
        <v>1428.0</v>
      </c>
      <c r="L1519" s="1551">
        <v>44340.0</v>
      </c>
    </row>
    <row r="1520">
      <c r="A1520" s="1545" t="s">
        <v>1240</v>
      </c>
      <c r="B1520" s="1587">
        <v>34534.0</v>
      </c>
      <c r="C1520" s="1547">
        <v>2143.0</v>
      </c>
      <c r="D1520" s="1548">
        <v>26.9</v>
      </c>
      <c r="E1520" s="1557">
        <v>28655.0</v>
      </c>
      <c r="F1520" s="598">
        <v>106.0</v>
      </c>
      <c r="G1520" s="598">
        <v>453.0</v>
      </c>
      <c r="H1520" s="598">
        <v>811.0</v>
      </c>
      <c r="I1520" s="598">
        <v>73.0</v>
      </c>
      <c r="J1520" s="598">
        <v>1693.0</v>
      </c>
      <c r="K1520" s="1561">
        <v>2743.0</v>
      </c>
      <c r="L1520" s="1551">
        <v>42457.0</v>
      </c>
    </row>
    <row r="1521">
      <c r="A1521" s="1545" t="s">
        <v>958</v>
      </c>
      <c r="B1521" s="1587">
        <v>11637.0</v>
      </c>
      <c r="C1521" s="1563">
        <v>642.0</v>
      </c>
      <c r="D1521" s="1548">
        <v>23.9</v>
      </c>
      <c r="E1521" s="1557">
        <v>10462.0</v>
      </c>
      <c r="F1521" s="598">
        <v>32.0</v>
      </c>
      <c r="G1521" s="598">
        <v>151.0</v>
      </c>
      <c r="H1521" s="598">
        <v>39.0</v>
      </c>
      <c r="I1521" s="598">
        <v>2.0</v>
      </c>
      <c r="J1521" s="598">
        <v>106.0</v>
      </c>
      <c r="K1521" s="1561">
        <v>845.0</v>
      </c>
      <c r="L1521" s="1551">
        <v>41583.0</v>
      </c>
    </row>
    <row r="1522">
      <c r="A1522" s="1545" t="s">
        <v>1394</v>
      </c>
      <c r="B1522" s="1587">
        <v>16042.0</v>
      </c>
      <c r="C1522" s="1563">
        <v>748.0</v>
      </c>
      <c r="D1522" s="1548">
        <v>20.3</v>
      </c>
      <c r="E1522" s="1557">
        <v>14925.0</v>
      </c>
      <c r="F1522" s="598">
        <v>155.0</v>
      </c>
      <c r="G1522" s="598">
        <v>99.0</v>
      </c>
      <c r="H1522" s="598">
        <v>48.0</v>
      </c>
      <c r="I1522" s="598">
        <v>9.0</v>
      </c>
      <c r="J1522" s="598">
        <v>116.0</v>
      </c>
      <c r="K1522" s="1561">
        <v>690.0</v>
      </c>
      <c r="L1522" s="1551">
        <v>45955.0</v>
      </c>
    </row>
    <row r="1523">
      <c r="A1523" s="1545" t="s">
        <v>243</v>
      </c>
      <c r="B1523" s="1587">
        <v>19394.0</v>
      </c>
      <c r="C1523" s="1547">
        <v>1094.0</v>
      </c>
      <c r="D1523" s="1548">
        <v>33.7</v>
      </c>
      <c r="E1523" s="1557">
        <v>18031.0</v>
      </c>
      <c r="F1523" s="598">
        <v>76.0</v>
      </c>
      <c r="G1523" s="598">
        <v>108.0</v>
      </c>
      <c r="H1523" s="598">
        <v>57.0</v>
      </c>
      <c r="I1523" s="598">
        <v>2.0</v>
      </c>
      <c r="J1523" s="598">
        <v>106.0</v>
      </c>
      <c r="K1523" s="1561">
        <v>1014.0</v>
      </c>
      <c r="L1523" s="1551">
        <v>40025.0</v>
      </c>
    </row>
    <row r="1524">
      <c r="A1524" s="1545" t="s">
        <v>1395</v>
      </c>
      <c r="B1524" s="1587">
        <v>10567.0</v>
      </c>
      <c r="C1524" s="1563">
        <v>549.0</v>
      </c>
      <c r="D1524" s="1548">
        <v>21.9</v>
      </c>
      <c r="E1524" s="1557">
        <v>9932.0</v>
      </c>
      <c r="F1524" s="598">
        <v>39.0</v>
      </c>
      <c r="G1524" s="598">
        <v>34.0</v>
      </c>
      <c r="H1524" s="598">
        <v>23.0</v>
      </c>
      <c r="I1524" s="598">
        <v>3.0</v>
      </c>
      <c r="J1524" s="598">
        <v>36.0</v>
      </c>
      <c r="K1524" s="1561">
        <v>500.0</v>
      </c>
      <c r="L1524" s="1555">
        <v>44233.0</v>
      </c>
    </row>
    <row r="1525">
      <c r="A1525" s="1545" t="s">
        <v>246</v>
      </c>
      <c r="B1525" s="1587">
        <v>183610.0</v>
      </c>
      <c r="C1525" s="1547">
        <v>4720.0</v>
      </c>
      <c r="D1525" s="1548">
        <v>13.2</v>
      </c>
      <c r="E1525" s="1557">
        <v>139955.0</v>
      </c>
      <c r="F1525" s="598">
        <v>18100.0</v>
      </c>
      <c r="G1525" s="598">
        <v>627.0</v>
      </c>
      <c r="H1525" s="598">
        <v>7820.0</v>
      </c>
      <c r="I1525" s="598">
        <v>125.0</v>
      </c>
      <c r="J1525" s="598">
        <v>3610.0</v>
      </c>
      <c r="K1525" s="1561">
        <v>13373.0</v>
      </c>
      <c r="L1525" s="1555">
        <v>55136.0</v>
      </c>
    </row>
    <row r="1526">
      <c r="A1526" s="1545" t="s">
        <v>892</v>
      </c>
      <c r="B1526" s="1587">
        <v>84793.0</v>
      </c>
      <c r="C1526" s="1547">
        <v>4325.0</v>
      </c>
      <c r="D1526" s="1548">
        <v>22.4</v>
      </c>
      <c r="E1526" s="1557">
        <v>70025.0</v>
      </c>
      <c r="F1526" s="598">
        <v>4423.0</v>
      </c>
      <c r="G1526" s="598">
        <v>449.0</v>
      </c>
      <c r="H1526" s="598">
        <v>1063.0</v>
      </c>
      <c r="I1526" s="598">
        <v>439.0</v>
      </c>
      <c r="J1526" s="598">
        <v>1984.0</v>
      </c>
      <c r="K1526" s="1561">
        <v>6410.0</v>
      </c>
      <c r="L1526" s="1551">
        <v>52506.0</v>
      </c>
    </row>
    <row r="1527">
      <c r="A1527" s="1545" t="s">
        <v>87</v>
      </c>
      <c r="B1527" s="1587">
        <v>42130.0</v>
      </c>
      <c r="C1527" s="1547">
        <v>2932.0</v>
      </c>
      <c r="D1527" s="1548">
        <v>30.2</v>
      </c>
      <c r="E1527" s="1557">
        <v>36033.0</v>
      </c>
      <c r="F1527" s="598">
        <v>2488.0</v>
      </c>
      <c r="G1527" s="598">
        <v>205.0</v>
      </c>
      <c r="H1527" s="598">
        <v>304.0</v>
      </c>
      <c r="I1527" s="598">
        <v>16.0</v>
      </c>
      <c r="J1527" s="598">
        <v>352.0</v>
      </c>
      <c r="K1527" s="1561">
        <v>2732.0</v>
      </c>
      <c r="L1527" s="1551">
        <v>38067.0</v>
      </c>
    </row>
    <row r="1528">
      <c r="A1528" s="1545" t="s">
        <v>1034</v>
      </c>
      <c r="B1528" s="1587">
        <v>8815.0</v>
      </c>
      <c r="C1528" s="1563">
        <v>417.0</v>
      </c>
      <c r="D1528" s="1548">
        <v>19.6</v>
      </c>
      <c r="E1528" s="1557">
        <v>8251.0</v>
      </c>
      <c r="F1528" s="598">
        <v>69.0</v>
      </c>
      <c r="G1528" s="598">
        <v>38.0</v>
      </c>
      <c r="H1528" s="598">
        <v>26.0</v>
      </c>
      <c r="I1528" s="598">
        <v>7.0</v>
      </c>
      <c r="J1528" s="598">
        <v>49.0</v>
      </c>
      <c r="K1528" s="1561">
        <v>375.0</v>
      </c>
      <c r="L1528" s="1551">
        <v>47591.0</v>
      </c>
    </row>
    <row r="1529">
      <c r="A1529" s="1545" t="s">
        <v>1396</v>
      </c>
      <c r="B1529" s="1587">
        <v>44283.0</v>
      </c>
      <c r="C1529" s="1547">
        <v>1567.0</v>
      </c>
      <c r="D1529" s="1548">
        <v>17.5</v>
      </c>
      <c r="E1529" s="1557">
        <v>38771.0</v>
      </c>
      <c r="F1529" s="598">
        <v>1974.0</v>
      </c>
      <c r="G1529" s="598">
        <v>157.0</v>
      </c>
      <c r="H1529" s="598">
        <v>226.0</v>
      </c>
      <c r="I1529" s="598">
        <v>30.0</v>
      </c>
      <c r="J1529" s="598">
        <v>403.0</v>
      </c>
      <c r="K1529" s="1561">
        <v>2722.0</v>
      </c>
      <c r="L1529" s="1551">
        <v>53970.0</v>
      </c>
    </row>
    <row r="1530">
      <c r="A1530" s="1545" t="s">
        <v>548</v>
      </c>
      <c r="B1530" s="1587">
        <v>42745.0</v>
      </c>
      <c r="C1530" s="1547">
        <v>1781.0</v>
      </c>
      <c r="D1530" s="1548">
        <v>22.9</v>
      </c>
      <c r="E1530" s="1557">
        <v>39109.0</v>
      </c>
      <c r="F1530" s="598">
        <v>258.0</v>
      </c>
      <c r="G1530" s="598">
        <v>210.0</v>
      </c>
      <c r="H1530" s="598">
        <v>221.0</v>
      </c>
      <c r="I1530" s="598">
        <v>29.0</v>
      </c>
      <c r="J1530" s="598">
        <v>507.0</v>
      </c>
      <c r="K1530" s="1561">
        <v>2411.0</v>
      </c>
      <c r="L1530" s="1555">
        <v>48580.0</v>
      </c>
    </row>
    <row r="1531">
      <c r="A1531" s="1545" t="s">
        <v>1397</v>
      </c>
      <c r="B1531" s="1587">
        <v>81710.0</v>
      </c>
      <c r="C1531" s="1547">
        <v>2816.0</v>
      </c>
      <c r="D1531" s="1548">
        <v>17.2</v>
      </c>
      <c r="E1531" s="1557">
        <v>67937.0</v>
      </c>
      <c r="F1531" s="598">
        <v>6503.0</v>
      </c>
      <c r="G1531" s="598">
        <v>226.0</v>
      </c>
      <c r="H1531" s="598">
        <v>1314.0</v>
      </c>
      <c r="I1531" s="598">
        <v>15.0</v>
      </c>
      <c r="J1531" s="598">
        <v>957.0</v>
      </c>
      <c r="K1531" s="1561">
        <v>4758.0</v>
      </c>
      <c r="L1531" s="1551">
        <v>51962.0</v>
      </c>
    </row>
    <row r="1532">
      <c r="A1532" s="1545" t="s">
        <v>248</v>
      </c>
      <c r="B1532" s="1587">
        <v>8495.0</v>
      </c>
      <c r="C1532" s="1563">
        <v>409.0</v>
      </c>
      <c r="D1532" s="1548">
        <v>20.8</v>
      </c>
      <c r="E1532" s="1557">
        <v>7944.0</v>
      </c>
      <c r="F1532" s="598">
        <v>97.0</v>
      </c>
      <c r="G1532" s="598">
        <v>17.0</v>
      </c>
      <c r="H1532" s="598">
        <v>15.0</v>
      </c>
      <c r="I1532" s="598">
        <v>0.0</v>
      </c>
      <c r="J1532" s="598">
        <v>44.0</v>
      </c>
      <c r="K1532" s="1561">
        <v>378.0</v>
      </c>
      <c r="L1532" s="1551">
        <v>47049.0</v>
      </c>
    </row>
    <row r="1533">
      <c r="A1533" s="1545" t="s">
        <v>1038</v>
      </c>
      <c r="B1533" s="1587">
        <v>5202.0</v>
      </c>
      <c r="C1533" s="1563">
        <v>495.0</v>
      </c>
      <c r="D1533" s="1548">
        <v>35.3</v>
      </c>
      <c r="E1533" s="1557">
        <v>4837.0</v>
      </c>
      <c r="F1533" s="598">
        <v>13.0</v>
      </c>
      <c r="G1533" s="598">
        <v>20.0</v>
      </c>
      <c r="H1533" s="598">
        <v>22.0</v>
      </c>
      <c r="I1533" s="598">
        <v>4.0</v>
      </c>
      <c r="J1533" s="598">
        <v>14.0</v>
      </c>
      <c r="K1533" s="1561">
        <v>292.0</v>
      </c>
      <c r="L1533" s="1555">
        <v>34134.0</v>
      </c>
    </row>
    <row r="1534">
      <c r="A1534" s="1545" t="s">
        <v>708</v>
      </c>
      <c r="B1534" s="1587">
        <v>107824.0</v>
      </c>
      <c r="C1534" s="1547">
        <v>2683.0</v>
      </c>
      <c r="D1534" s="1548">
        <v>10.8</v>
      </c>
      <c r="E1534" s="1557">
        <v>91092.0</v>
      </c>
      <c r="F1534" s="598">
        <v>5018.0</v>
      </c>
      <c r="G1534" s="598">
        <v>574.0</v>
      </c>
      <c r="H1534" s="598">
        <v>853.0</v>
      </c>
      <c r="I1534" s="598">
        <v>109.0</v>
      </c>
      <c r="J1534" s="598">
        <v>1906.0</v>
      </c>
      <c r="K1534" s="1561">
        <v>8272.0</v>
      </c>
      <c r="L1534" s="1551">
        <v>71374.0</v>
      </c>
    </row>
    <row r="1535">
      <c r="A1535" s="1545" t="s">
        <v>894</v>
      </c>
      <c r="B1535" s="1587">
        <v>14188.0</v>
      </c>
      <c r="C1535" s="1547">
        <v>1006.0</v>
      </c>
      <c r="D1535" s="1548">
        <v>30.2</v>
      </c>
      <c r="E1535" s="1557">
        <v>12996.0</v>
      </c>
      <c r="F1535" s="598">
        <v>64.0</v>
      </c>
      <c r="G1535" s="598">
        <v>105.0</v>
      </c>
      <c r="H1535" s="598">
        <v>42.0</v>
      </c>
      <c r="I1535" s="598">
        <v>9.0</v>
      </c>
      <c r="J1535" s="598">
        <v>95.0</v>
      </c>
      <c r="K1535" s="1561">
        <v>877.0</v>
      </c>
      <c r="L1535" s="1551">
        <v>37288.0</v>
      </c>
    </row>
    <row r="1536">
      <c r="A1536" s="1545" t="s">
        <v>1398</v>
      </c>
      <c r="B1536" s="1587">
        <v>7408.0</v>
      </c>
      <c r="C1536" s="1563">
        <v>322.0</v>
      </c>
      <c r="D1536" s="1548">
        <v>19.3</v>
      </c>
      <c r="E1536" s="1557">
        <v>6969.0</v>
      </c>
      <c r="F1536" s="598">
        <v>149.0</v>
      </c>
      <c r="G1536" s="598">
        <v>20.0</v>
      </c>
      <c r="H1536" s="598">
        <v>5.0</v>
      </c>
      <c r="I1536" s="598">
        <v>3.0</v>
      </c>
      <c r="J1536" s="598">
        <v>8.0</v>
      </c>
      <c r="K1536" s="1561">
        <v>254.0</v>
      </c>
      <c r="L1536" s="1555">
        <v>48421.0</v>
      </c>
    </row>
    <row r="1537">
      <c r="A1537" s="1545" t="s">
        <v>710</v>
      </c>
      <c r="B1537" s="1587">
        <v>88842.0</v>
      </c>
      <c r="C1537" s="1547">
        <v>2484.0</v>
      </c>
      <c r="D1537" s="1548">
        <v>11.5</v>
      </c>
      <c r="E1537" s="1557">
        <v>79916.0</v>
      </c>
      <c r="F1537" s="598">
        <v>616.0</v>
      </c>
      <c r="G1537" s="598">
        <v>539.0</v>
      </c>
      <c r="H1537" s="598">
        <v>647.0</v>
      </c>
      <c r="I1537" s="598">
        <v>72.0</v>
      </c>
      <c r="J1537" s="598">
        <v>972.0</v>
      </c>
      <c r="K1537" s="1561">
        <v>6080.0</v>
      </c>
      <c r="L1537" s="1551">
        <v>58057.0</v>
      </c>
    </row>
    <row r="1538">
      <c r="A1538" s="1545" t="s">
        <v>253</v>
      </c>
      <c r="B1538" s="1587">
        <v>6634.0</v>
      </c>
      <c r="C1538" s="1563">
        <v>352.0</v>
      </c>
      <c r="D1538" s="1548">
        <v>23.2</v>
      </c>
      <c r="E1538" s="1557">
        <v>6363.0</v>
      </c>
      <c r="F1538" s="598">
        <v>23.0</v>
      </c>
      <c r="G1538" s="598">
        <v>9.0</v>
      </c>
      <c r="H1538" s="598">
        <v>12.0</v>
      </c>
      <c r="I1538" s="598">
        <v>0.0</v>
      </c>
      <c r="J1538" s="598">
        <v>18.0</v>
      </c>
      <c r="K1538" s="1561">
        <v>209.0</v>
      </c>
      <c r="L1538" s="1555">
        <v>46832.0</v>
      </c>
    </row>
    <row r="1539">
      <c r="A1539" s="1545" t="s">
        <v>112</v>
      </c>
      <c r="B1539" s="1587">
        <v>253335.0</v>
      </c>
      <c r="C1539" s="1547">
        <v>5057.0</v>
      </c>
      <c r="D1539" s="1548">
        <v>8.7</v>
      </c>
      <c r="E1539" s="1557">
        <v>198714.0</v>
      </c>
      <c r="F1539" s="598">
        <v>18271.0</v>
      </c>
      <c r="G1539" s="598">
        <v>1429.0</v>
      </c>
      <c r="H1539" s="598">
        <v>6126.0</v>
      </c>
      <c r="I1539" s="598">
        <v>1017.0</v>
      </c>
      <c r="J1539" s="598">
        <v>5936.0</v>
      </c>
      <c r="K1539" s="1561">
        <v>21842.0</v>
      </c>
      <c r="L1539" s="1551">
        <v>68943.0</v>
      </c>
    </row>
    <row r="1540">
      <c r="A1540" s="1545" t="s">
        <v>711</v>
      </c>
      <c r="B1540" s="1587">
        <v>21184.0</v>
      </c>
      <c r="C1540" s="1563">
        <v>608.0</v>
      </c>
      <c r="D1540" s="1548">
        <v>12.9</v>
      </c>
      <c r="E1540" s="1557">
        <v>19426.0</v>
      </c>
      <c r="F1540" s="598">
        <v>209.0</v>
      </c>
      <c r="G1540" s="598">
        <v>78.0</v>
      </c>
      <c r="H1540" s="598">
        <v>85.0</v>
      </c>
      <c r="I1540" s="598">
        <v>6.0</v>
      </c>
      <c r="J1540" s="598">
        <v>137.0</v>
      </c>
      <c r="K1540" s="1561">
        <v>1243.0</v>
      </c>
      <c r="L1540" s="1555">
        <v>58641.0</v>
      </c>
    </row>
    <row r="1541">
      <c r="A1541" s="1545" t="s">
        <v>1399</v>
      </c>
      <c r="B1541" s="1587">
        <v>77279.0</v>
      </c>
      <c r="C1541" s="1547">
        <v>2019.0</v>
      </c>
      <c r="D1541" s="1548">
        <v>12.0</v>
      </c>
      <c r="E1541" s="1557">
        <v>62241.0</v>
      </c>
      <c r="F1541" s="598">
        <v>8123.0</v>
      </c>
      <c r="G1541" s="598">
        <v>257.0</v>
      </c>
      <c r="H1541" s="598">
        <v>975.0</v>
      </c>
      <c r="I1541" s="598">
        <v>70.0</v>
      </c>
      <c r="J1541" s="598">
        <v>1013.0</v>
      </c>
      <c r="K1541" s="1561">
        <v>4600.0</v>
      </c>
      <c r="L1541" s="1551">
        <v>62817.0</v>
      </c>
    </row>
    <row r="1542">
      <c r="A1542" s="1545" t="s">
        <v>1400</v>
      </c>
      <c r="B1542" s="1587">
        <v>17103.0</v>
      </c>
      <c r="C1542" s="1563">
        <v>753.0</v>
      </c>
      <c r="D1542" s="1548">
        <v>20.7</v>
      </c>
      <c r="E1542" s="1557">
        <v>14850.0</v>
      </c>
      <c r="F1542" s="598">
        <v>924.0</v>
      </c>
      <c r="G1542" s="598">
        <v>56.0</v>
      </c>
      <c r="H1542" s="598">
        <v>67.0</v>
      </c>
      <c r="I1542" s="598">
        <v>6.0</v>
      </c>
      <c r="J1542" s="598">
        <v>117.0</v>
      </c>
      <c r="K1542" s="1561">
        <v>1083.0</v>
      </c>
      <c r="L1542" s="1551">
        <v>52513.0</v>
      </c>
    </row>
    <row r="1543">
      <c r="A1543" s="1545" t="s">
        <v>263</v>
      </c>
      <c r="B1543" s="1587">
        <v>23056.0</v>
      </c>
      <c r="C1543" s="1547">
        <v>1274.0</v>
      </c>
      <c r="D1543" s="1548">
        <v>24.1</v>
      </c>
      <c r="E1543" s="1557">
        <v>21138.0</v>
      </c>
      <c r="F1543" s="598">
        <v>148.0</v>
      </c>
      <c r="G1543" s="598">
        <v>124.0</v>
      </c>
      <c r="H1543" s="598">
        <v>92.0</v>
      </c>
      <c r="I1543" s="598">
        <v>14.0</v>
      </c>
      <c r="J1543" s="598">
        <v>177.0</v>
      </c>
      <c r="K1543" s="1561">
        <v>1363.0</v>
      </c>
      <c r="L1543" s="1551">
        <v>42774.0</v>
      </c>
    </row>
    <row r="1544">
      <c r="A1544" s="1545" t="s">
        <v>561</v>
      </c>
      <c r="B1544" s="1587">
        <v>7569.0</v>
      </c>
      <c r="C1544" s="1563">
        <v>384.0</v>
      </c>
      <c r="D1544" s="1548">
        <v>25.2</v>
      </c>
      <c r="E1544" s="1557">
        <v>7038.0</v>
      </c>
      <c r="F1544" s="598">
        <v>36.0</v>
      </c>
      <c r="G1544" s="598">
        <v>50.0</v>
      </c>
      <c r="H1544" s="598">
        <v>24.0</v>
      </c>
      <c r="I1544" s="598">
        <v>0.0</v>
      </c>
      <c r="J1544" s="598">
        <v>40.0</v>
      </c>
      <c r="K1544" s="1561">
        <v>381.0</v>
      </c>
      <c r="L1544" s="1551">
        <v>41381.0</v>
      </c>
    </row>
    <row r="1545">
      <c r="A1545" s="1545" t="s">
        <v>130</v>
      </c>
      <c r="B1545" s="1587">
        <v>17071.0</v>
      </c>
      <c r="C1545" s="1563">
        <v>993.0</v>
      </c>
      <c r="D1545" s="1548">
        <v>25.5</v>
      </c>
      <c r="E1545" s="1557">
        <v>15843.0</v>
      </c>
      <c r="F1545" s="598">
        <v>46.0</v>
      </c>
      <c r="G1545" s="598">
        <v>100.0</v>
      </c>
      <c r="H1545" s="598">
        <v>25.0</v>
      </c>
      <c r="I1545" s="598">
        <v>19.0</v>
      </c>
      <c r="J1545" s="598">
        <v>104.0</v>
      </c>
      <c r="K1545" s="1561">
        <v>934.0</v>
      </c>
      <c r="L1545" s="1551">
        <v>38765.0</v>
      </c>
    </row>
    <row r="1546">
      <c r="A1546" s="1545" t="s">
        <v>758</v>
      </c>
      <c r="B1546" s="1587">
        <v>8430.0</v>
      </c>
      <c r="C1546" s="1563">
        <v>539.0</v>
      </c>
      <c r="D1546" s="1548">
        <v>26.0</v>
      </c>
      <c r="E1546" s="1557">
        <v>7977.0</v>
      </c>
      <c r="F1546" s="598">
        <v>33.0</v>
      </c>
      <c r="G1546" s="598">
        <v>29.0</v>
      </c>
      <c r="H1546" s="598">
        <v>18.0</v>
      </c>
      <c r="I1546" s="598">
        <v>10.0</v>
      </c>
      <c r="J1546" s="598">
        <v>24.0</v>
      </c>
      <c r="K1546" s="1561">
        <v>339.0</v>
      </c>
      <c r="L1546" s="1551">
        <v>51255.0</v>
      </c>
    </row>
    <row r="1547">
      <c r="A1547" s="1545" t="s">
        <v>131</v>
      </c>
      <c r="B1547" s="1587">
        <v>11029.0</v>
      </c>
      <c r="C1547" s="1563">
        <v>292.0</v>
      </c>
      <c r="D1547" s="1548">
        <v>13.7</v>
      </c>
      <c r="E1547" s="1557">
        <v>9780.0</v>
      </c>
      <c r="F1547" s="598">
        <v>672.0</v>
      </c>
      <c r="G1547" s="598">
        <v>33.0</v>
      </c>
      <c r="H1547" s="598">
        <v>43.0</v>
      </c>
      <c r="I1547" s="598">
        <v>2.0</v>
      </c>
      <c r="J1547" s="598">
        <v>60.0</v>
      </c>
      <c r="K1547" s="1561">
        <v>439.0</v>
      </c>
      <c r="L1547" s="1551">
        <v>48920.0</v>
      </c>
    </row>
    <row r="1548">
      <c r="A1548" s="1545" t="s">
        <v>1402</v>
      </c>
      <c r="B1548" s="1587">
        <v>14421.0</v>
      </c>
      <c r="C1548" s="1547">
        <v>1070.0</v>
      </c>
      <c r="D1548" s="1548">
        <v>31.6</v>
      </c>
      <c r="E1548" s="1557">
        <v>13307.0</v>
      </c>
      <c r="F1548" s="598">
        <v>70.0</v>
      </c>
      <c r="G1548" s="598">
        <v>68.0</v>
      </c>
      <c r="H1548" s="598">
        <v>54.0</v>
      </c>
      <c r="I1548" s="598">
        <v>7.0</v>
      </c>
      <c r="J1548" s="598">
        <v>87.0</v>
      </c>
      <c r="K1548" s="1561">
        <v>828.0</v>
      </c>
      <c r="L1548" s="1551">
        <v>39392.0</v>
      </c>
    </row>
    <row r="1549">
      <c r="A1549" s="1545" t="s">
        <v>412</v>
      </c>
      <c r="B1549" s="1587">
        <v>11578.0</v>
      </c>
      <c r="C1549" s="1563">
        <v>840.0</v>
      </c>
      <c r="D1549" s="1548">
        <v>29.5</v>
      </c>
      <c r="E1549" s="1557">
        <v>10673.0</v>
      </c>
      <c r="F1549" s="598">
        <v>40.0</v>
      </c>
      <c r="G1549" s="598">
        <v>77.0</v>
      </c>
      <c r="H1549" s="598">
        <v>25.0</v>
      </c>
      <c r="I1549" s="598">
        <v>4.0</v>
      </c>
      <c r="J1549" s="598">
        <v>61.0</v>
      </c>
      <c r="K1549" s="1561">
        <v>698.0</v>
      </c>
      <c r="L1549" s="1551">
        <v>36762.0</v>
      </c>
    </row>
    <row r="1550">
      <c r="A1550" s="1545" t="s">
        <v>1403</v>
      </c>
      <c r="B1550" s="1587">
        <v>28283.0</v>
      </c>
      <c r="C1550" s="1547">
        <v>2785.0</v>
      </c>
      <c r="D1550" s="1548">
        <v>38.1</v>
      </c>
      <c r="E1550" s="1557">
        <v>22068.0</v>
      </c>
      <c r="F1550" s="598">
        <v>3184.0</v>
      </c>
      <c r="G1550" s="598">
        <v>84.0</v>
      </c>
      <c r="H1550" s="598">
        <v>80.0</v>
      </c>
      <c r="I1550" s="598">
        <v>4.0</v>
      </c>
      <c r="J1550" s="598">
        <v>1160.0</v>
      </c>
      <c r="K1550" s="1561">
        <v>1703.0</v>
      </c>
      <c r="L1550" s="1555">
        <v>37331.0</v>
      </c>
    </row>
    <row r="1551">
      <c r="A1551" s="1545" t="s">
        <v>136</v>
      </c>
      <c r="B1551" s="1587">
        <v>104682.0</v>
      </c>
      <c r="C1551" s="1547">
        <v>3074.0</v>
      </c>
      <c r="D1551" s="1548">
        <v>13.2</v>
      </c>
      <c r="E1551" s="1557">
        <v>96383.0</v>
      </c>
      <c r="F1551" s="598">
        <v>904.0</v>
      </c>
      <c r="G1551" s="598">
        <v>354.0</v>
      </c>
      <c r="H1551" s="598">
        <v>540.0</v>
      </c>
      <c r="I1551" s="598">
        <v>37.0</v>
      </c>
      <c r="J1551" s="598">
        <v>826.0</v>
      </c>
      <c r="K1551" s="1561">
        <v>5638.0</v>
      </c>
      <c r="L1551" s="1551">
        <v>58738.0</v>
      </c>
    </row>
    <row r="1552">
      <c r="A1552" s="1545" t="s">
        <v>1404</v>
      </c>
      <c r="B1552" s="1587">
        <v>14794.0</v>
      </c>
      <c r="C1552" s="1563">
        <v>514.0</v>
      </c>
      <c r="D1552" s="1548">
        <v>17.4</v>
      </c>
      <c r="E1552" s="1557">
        <v>13756.0</v>
      </c>
      <c r="F1552" s="598">
        <v>23.0</v>
      </c>
      <c r="G1552" s="598">
        <v>37.0</v>
      </c>
      <c r="H1552" s="598">
        <v>51.0</v>
      </c>
      <c r="I1552" s="598">
        <v>14.0</v>
      </c>
      <c r="J1552" s="598">
        <v>55.0</v>
      </c>
      <c r="K1552" s="1561">
        <v>858.0</v>
      </c>
      <c r="L1552" s="1551">
        <v>52282.0</v>
      </c>
    </row>
    <row r="1553">
      <c r="A1553" s="1545" t="s">
        <v>1405</v>
      </c>
      <c r="B1553" s="1587">
        <v>6162.0</v>
      </c>
      <c r="C1553" s="1563">
        <v>317.0</v>
      </c>
      <c r="D1553" s="1548">
        <v>19.6</v>
      </c>
      <c r="E1553" s="1557">
        <v>5883.0</v>
      </c>
      <c r="F1553" s="598">
        <v>15.0</v>
      </c>
      <c r="G1553" s="598">
        <v>6.0</v>
      </c>
      <c r="H1553" s="598">
        <v>9.0</v>
      </c>
      <c r="I1553" s="598">
        <v>1.0</v>
      </c>
      <c r="J1553" s="598">
        <v>38.0</v>
      </c>
      <c r="K1553" s="1561">
        <v>210.0</v>
      </c>
      <c r="L1553" s="1555">
        <v>43731.0</v>
      </c>
    </row>
    <row r="1554">
      <c r="A1554" s="1545" t="s">
        <v>138</v>
      </c>
      <c r="B1554" s="1587">
        <v>298915.0</v>
      </c>
      <c r="C1554" s="1547">
        <v>9804.0</v>
      </c>
      <c r="D1554" s="1548">
        <v>16.5</v>
      </c>
      <c r="E1554" s="1557">
        <v>250745.0</v>
      </c>
      <c r="F1554" s="598">
        <v>10233.0</v>
      </c>
      <c r="G1554" s="598">
        <v>2140.0</v>
      </c>
      <c r="H1554" s="598">
        <v>6250.0</v>
      </c>
      <c r="I1554" s="598">
        <v>407.0</v>
      </c>
      <c r="J1554" s="598">
        <v>5207.0</v>
      </c>
      <c r="K1554" s="1561">
        <v>23933.0</v>
      </c>
      <c r="L1554" s="1551">
        <v>44799.0</v>
      </c>
    </row>
    <row r="1555">
      <c r="A1555" s="1545" t="s">
        <v>720</v>
      </c>
      <c r="B1555" s="1587">
        <v>9808.0</v>
      </c>
      <c r="C1555" s="1563">
        <v>597.0</v>
      </c>
      <c r="D1555" s="1548">
        <v>25.8</v>
      </c>
      <c r="E1555" s="1557">
        <v>9225.0</v>
      </c>
      <c r="F1555" s="598">
        <v>56.0</v>
      </c>
      <c r="G1555" s="598">
        <v>37.0</v>
      </c>
      <c r="H1555" s="598">
        <v>54.0</v>
      </c>
      <c r="I1555" s="598">
        <v>8.0</v>
      </c>
      <c r="J1555" s="598">
        <v>89.0</v>
      </c>
      <c r="K1555" s="1561">
        <v>339.0</v>
      </c>
      <c r="L1555" s="1551">
        <v>40315.0</v>
      </c>
    </row>
    <row r="1556">
      <c r="A1556" s="1545" t="s">
        <v>775</v>
      </c>
      <c r="B1556" s="1587">
        <v>8157.0</v>
      </c>
      <c r="C1556" s="1563">
        <v>449.0</v>
      </c>
      <c r="D1556" s="1548">
        <v>22.5</v>
      </c>
      <c r="E1556" s="1557">
        <v>7673.0</v>
      </c>
      <c r="F1556" s="598">
        <v>37.0</v>
      </c>
      <c r="G1556" s="598">
        <v>48.0</v>
      </c>
      <c r="H1556" s="598">
        <v>24.0</v>
      </c>
      <c r="I1556" s="598">
        <v>7.0</v>
      </c>
      <c r="J1556" s="598">
        <v>65.0</v>
      </c>
      <c r="K1556" s="1561">
        <v>303.0</v>
      </c>
      <c r="L1556" s="1551">
        <v>40639.0</v>
      </c>
    </row>
    <row r="1557">
      <c r="A1557" s="1545" t="s">
        <v>140</v>
      </c>
      <c r="B1557" s="1587">
        <v>21946.0</v>
      </c>
      <c r="C1557" s="1547">
        <v>1108.0</v>
      </c>
      <c r="D1557" s="1548">
        <v>23.9</v>
      </c>
      <c r="E1557" s="1557">
        <v>20008.0</v>
      </c>
      <c r="F1557" s="598">
        <v>187.0</v>
      </c>
      <c r="G1557" s="598">
        <v>107.0</v>
      </c>
      <c r="H1557" s="598">
        <v>97.0</v>
      </c>
      <c r="I1557" s="598">
        <v>8.0</v>
      </c>
      <c r="J1557" s="598">
        <v>190.0</v>
      </c>
      <c r="K1557" s="1561">
        <v>1349.0</v>
      </c>
      <c r="L1557" s="1551">
        <v>44978.0</v>
      </c>
    </row>
    <row r="1558">
      <c r="A1558" s="1545" t="s">
        <v>1406</v>
      </c>
      <c r="B1558" s="1587">
        <v>8279.0</v>
      </c>
      <c r="C1558" s="1563">
        <v>547.0</v>
      </c>
      <c r="D1558" s="1548">
        <v>34.5</v>
      </c>
      <c r="E1558" s="1557">
        <v>7683.0</v>
      </c>
      <c r="F1558" s="598">
        <v>18.0</v>
      </c>
      <c r="G1558" s="598">
        <v>50.0</v>
      </c>
      <c r="H1558" s="598">
        <v>15.0</v>
      </c>
      <c r="I1558" s="598">
        <v>0.0</v>
      </c>
      <c r="J1558" s="598">
        <v>68.0</v>
      </c>
      <c r="K1558" s="1561">
        <v>445.0</v>
      </c>
      <c r="L1558" s="1551">
        <v>35025.0</v>
      </c>
    </row>
    <row r="1559">
      <c r="A1559" s="1545" t="s">
        <v>1407</v>
      </c>
      <c r="B1559" s="1587">
        <v>4223.0</v>
      </c>
      <c r="C1559" s="1563">
        <v>178.0</v>
      </c>
      <c r="D1559" s="1548">
        <v>19.7</v>
      </c>
      <c r="E1559" s="1557">
        <v>4004.0</v>
      </c>
      <c r="F1559" s="598">
        <v>10.0</v>
      </c>
      <c r="G1559" s="598">
        <v>32.0</v>
      </c>
      <c r="H1559" s="598">
        <v>2.0</v>
      </c>
      <c r="I1559" s="598">
        <v>0.0</v>
      </c>
      <c r="J1559" s="598">
        <v>32.0</v>
      </c>
      <c r="K1559" s="1561">
        <v>143.0</v>
      </c>
      <c r="L1559" s="1551">
        <v>47191.0</v>
      </c>
    </row>
    <row r="1560">
      <c r="A1560" s="1545" t="s">
        <v>283</v>
      </c>
      <c r="B1560" s="1587">
        <v>10151.0</v>
      </c>
      <c r="C1560" s="1563">
        <v>389.0</v>
      </c>
      <c r="D1560" s="1548">
        <v>18.2</v>
      </c>
      <c r="E1560" s="1557">
        <v>8931.0</v>
      </c>
      <c r="F1560" s="598">
        <v>542.0</v>
      </c>
      <c r="G1560" s="598">
        <v>37.0</v>
      </c>
      <c r="H1560" s="598">
        <v>27.0</v>
      </c>
      <c r="I1560" s="598">
        <v>3.0</v>
      </c>
      <c r="J1560" s="598">
        <v>101.0</v>
      </c>
      <c r="K1560" s="1561">
        <v>510.0</v>
      </c>
      <c r="L1560" s="1551">
        <v>45767.0</v>
      </c>
    </row>
    <row r="1561">
      <c r="A1561" s="1545" t="s">
        <v>1408</v>
      </c>
      <c r="B1561" s="1587">
        <v>39750.0</v>
      </c>
      <c r="C1561" s="1547">
        <v>2859.0</v>
      </c>
      <c r="D1561" s="1548">
        <v>30.6</v>
      </c>
      <c r="E1561" s="1557">
        <v>36329.0</v>
      </c>
      <c r="F1561" s="598">
        <v>194.0</v>
      </c>
      <c r="G1561" s="598">
        <v>291.0</v>
      </c>
      <c r="H1561" s="598">
        <v>222.0</v>
      </c>
      <c r="I1561" s="598">
        <v>23.0</v>
      </c>
      <c r="J1561" s="598">
        <v>259.0</v>
      </c>
      <c r="K1561" s="1561">
        <v>2432.0</v>
      </c>
      <c r="L1561" s="1551">
        <v>36762.0</v>
      </c>
    </row>
    <row r="1562">
      <c r="A1562" s="1545" t="s">
        <v>1259</v>
      </c>
      <c r="B1562" s="1587">
        <v>9537.0</v>
      </c>
      <c r="C1562" s="1563">
        <v>612.0</v>
      </c>
      <c r="D1562" s="1548">
        <v>29.8</v>
      </c>
      <c r="E1562" s="1557">
        <v>8689.0</v>
      </c>
      <c r="F1562" s="598">
        <v>147.0</v>
      </c>
      <c r="G1562" s="598">
        <v>65.0</v>
      </c>
      <c r="H1562" s="598">
        <v>34.0</v>
      </c>
      <c r="I1562" s="598">
        <v>2.0</v>
      </c>
      <c r="J1562" s="598">
        <v>14.0</v>
      </c>
      <c r="K1562" s="1561">
        <v>586.0</v>
      </c>
      <c r="L1562" s="1555">
        <v>37755.0</v>
      </c>
    </row>
    <row r="1563">
      <c r="A1563" s="1545" t="s">
        <v>142</v>
      </c>
      <c r="B1563" s="1587">
        <v>717204.0</v>
      </c>
      <c r="C1563" s="1547">
        <v>30541.0</v>
      </c>
      <c r="D1563" s="1548">
        <v>19.0</v>
      </c>
      <c r="E1563" s="1557">
        <v>435820.0</v>
      </c>
      <c r="F1563" s="598">
        <v>158559.0</v>
      </c>
      <c r="G1563" s="598">
        <v>4410.0</v>
      </c>
      <c r="H1563" s="598">
        <v>15201.0</v>
      </c>
      <c r="I1563" s="598">
        <v>1811.0</v>
      </c>
      <c r="J1563" s="598">
        <v>36218.0</v>
      </c>
      <c r="K1563" s="1561">
        <v>65185.0</v>
      </c>
      <c r="L1563" s="1555">
        <v>55864.0</v>
      </c>
    </row>
    <row r="1564">
      <c r="A1564" s="1545" t="s">
        <v>593</v>
      </c>
      <c r="B1564" s="1587">
        <v>122761.0</v>
      </c>
      <c r="C1564" s="1547">
        <v>6616.0</v>
      </c>
      <c r="D1564" s="1548">
        <v>22.7</v>
      </c>
      <c r="E1564" s="1557">
        <v>98581.0</v>
      </c>
      <c r="F1564" s="598">
        <v>2342.0</v>
      </c>
      <c r="G1564" s="598">
        <v>2249.0</v>
      </c>
      <c r="H1564" s="598">
        <v>1507.0</v>
      </c>
      <c r="I1564" s="598">
        <v>456.0</v>
      </c>
      <c r="J1564" s="598">
        <v>6705.0</v>
      </c>
      <c r="K1564" s="1561">
        <v>10921.0</v>
      </c>
      <c r="L1564" s="1555">
        <v>46596.0</v>
      </c>
    </row>
    <row r="1565">
      <c r="A1565" s="1545" t="s">
        <v>143</v>
      </c>
      <c r="B1565" s="1587">
        <v>226739.0</v>
      </c>
      <c r="C1565" s="1547">
        <v>5298.0</v>
      </c>
      <c r="D1565" s="1548">
        <v>10.4</v>
      </c>
      <c r="E1565" s="1557">
        <v>205007.0</v>
      </c>
      <c r="F1565" s="598">
        <v>2344.0</v>
      </c>
      <c r="G1565" s="598">
        <v>709.0</v>
      </c>
      <c r="H1565" s="598">
        <v>1859.0</v>
      </c>
      <c r="I1565" s="598">
        <v>72.0</v>
      </c>
      <c r="J1565" s="598">
        <v>1757.0</v>
      </c>
      <c r="K1565" s="1561">
        <v>14991.0</v>
      </c>
      <c r="L1565" s="1551">
        <v>65150.0</v>
      </c>
    </row>
    <row r="1566">
      <c r="A1566" s="1545" t="s">
        <v>288</v>
      </c>
      <c r="B1566" s="1587">
        <v>54013.0</v>
      </c>
      <c r="C1566" s="1547">
        <v>1557.0</v>
      </c>
      <c r="D1566" s="1548">
        <v>13.9</v>
      </c>
      <c r="E1566" s="1557">
        <v>45354.0</v>
      </c>
      <c r="F1566" s="598">
        <v>2369.0</v>
      </c>
      <c r="G1566" s="598">
        <v>305.0</v>
      </c>
      <c r="H1566" s="598">
        <v>844.0</v>
      </c>
      <c r="I1566" s="598">
        <v>215.0</v>
      </c>
      <c r="J1566" s="598">
        <v>723.0</v>
      </c>
      <c r="K1566" s="1561">
        <v>4203.0</v>
      </c>
      <c r="L1566" s="1551">
        <v>52151.0</v>
      </c>
    </row>
    <row r="1567">
      <c r="A1567" s="1545" t="s">
        <v>728</v>
      </c>
      <c r="B1567" s="1587">
        <v>3744.0</v>
      </c>
      <c r="C1567" s="1563">
        <v>247.0</v>
      </c>
      <c r="D1567" s="1548">
        <v>27.5</v>
      </c>
      <c r="E1567" s="1557">
        <v>3573.0</v>
      </c>
      <c r="F1567" s="598">
        <v>20.0</v>
      </c>
      <c r="G1567" s="598">
        <v>8.0</v>
      </c>
      <c r="H1567" s="598">
        <v>18.0</v>
      </c>
      <c r="I1567" s="598">
        <v>0.0</v>
      </c>
      <c r="J1567" s="598">
        <v>16.0</v>
      </c>
      <c r="K1567" s="1561">
        <v>109.0</v>
      </c>
      <c r="L1567" s="1551">
        <v>39309.0</v>
      </c>
    </row>
    <row r="1568">
      <c r="A1568" s="1545" t="s">
        <v>1409</v>
      </c>
      <c r="B1568" s="1587">
        <v>36039.0</v>
      </c>
      <c r="C1568" s="1547">
        <v>1898.0</v>
      </c>
      <c r="D1568" s="1548">
        <v>22.2</v>
      </c>
      <c r="E1568" s="1557">
        <v>32848.0</v>
      </c>
      <c r="F1568" s="598">
        <v>268.0</v>
      </c>
      <c r="G1568" s="598">
        <v>219.0</v>
      </c>
      <c r="H1568" s="598">
        <v>194.0</v>
      </c>
      <c r="I1568" s="598">
        <v>18.0</v>
      </c>
      <c r="J1568" s="598">
        <v>277.0</v>
      </c>
      <c r="K1568" s="1561">
        <v>2215.0</v>
      </c>
      <c r="L1568" s="1551">
        <v>44562.0</v>
      </c>
    </row>
    <row r="1569">
      <c r="A1569" s="1545" t="s">
        <v>289</v>
      </c>
      <c r="B1569" s="1587">
        <v>32984.0</v>
      </c>
      <c r="C1569" s="1547">
        <v>1058.0</v>
      </c>
      <c r="D1569" s="1548">
        <v>14.6</v>
      </c>
      <c r="E1569" s="1557">
        <v>29627.0</v>
      </c>
      <c r="F1569" s="598">
        <v>679.0</v>
      </c>
      <c r="G1569" s="598">
        <v>155.0</v>
      </c>
      <c r="H1569" s="598">
        <v>116.0</v>
      </c>
      <c r="I1569" s="598">
        <v>12.0</v>
      </c>
      <c r="J1569" s="598">
        <v>375.0</v>
      </c>
      <c r="K1569" s="1561">
        <v>2020.0</v>
      </c>
      <c r="L1569" s="1551">
        <v>53389.0</v>
      </c>
    </row>
    <row r="1570">
      <c r="A1570" s="1545" t="s">
        <v>146</v>
      </c>
      <c r="B1570" s="1587">
        <v>38001.0</v>
      </c>
      <c r="C1570" s="1547">
        <v>2213.0</v>
      </c>
      <c r="D1570" s="1548">
        <v>23.5</v>
      </c>
      <c r="E1570" s="1557">
        <v>33137.0</v>
      </c>
      <c r="F1570" s="598">
        <v>135.0</v>
      </c>
      <c r="G1570" s="598">
        <v>415.0</v>
      </c>
      <c r="H1570" s="598">
        <v>176.0</v>
      </c>
      <c r="I1570" s="598">
        <v>40.0</v>
      </c>
      <c r="J1570" s="598">
        <v>1360.0</v>
      </c>
      <c r="K1570" s="1561">
        <v>2738.0</v>
      </c>
      <c r="L1570" s="1551">
        <v>45074.0</v>
      </c>
    </row>
    <row r="1571">
      <c r="A1571" s="1545" t="s">
        <v>682</v>
      </c>
      <c r="B1571" s="1587">
        <v>10032.0</v>
      </c>
      <c r="C1571" s="1563">
        <v>454.0</v>
      </c>
      <c r="D1571" s="1548">
        <v>21.5</v>
      </c>
      <c r="E1571" s="1557">
        <v>9362.0</v>
      </c>
      <c r="F1571" s="598">
        <v>185.0</v>
      </c>
      <c r="G1571" s="598">
        <v>34.0</v>
      </c>
      <c r="H1571" s="598">
        <v>22.0</v>
      </c>
      <c r="I1571" s="598">
        <v>0.0</v>
      </c>
      <c r="J1571" s="598">
        <v>90.0</v>
      </c>
      <c r="K1571" s="1561">
        <v>339.0</v>
      </c>
      <c r="L1571" s="1551">
        <v>48179.0</v>
      </c>
    </row>
    <row r="1572">
      <c r="A1572" s="1545" t="s">
        <v>290</v>
      </c>
      <c r="B1572" s="1587">
        <v>59574.0</v>
      </c>
      <c r="C1572" s="1547">
        <v>2185.0</v>
      </c>
      <c r="D1572" s="1548">
        <v>15.3</v>
      </c>
      <c r="E1572" s="1557">
        <v>53497.0</v>
      </c>
      <c r="F1572" s="598">
        <v>1097.0</v>
      </c>
      <c r="G1572" s="598">
        <v>232.0</v>
      </c>
      <c r="H1572" s="598">
        <v>235.0</v>
      </c>
      <c r="I1572" s="598">
        <v>31.0</v>
      </c>
      <c r="J1572" s="598">
        <v>592.0</v>
      </c>
      <c r="K1572" s="1561">
        <v>3890.0</v>
      </c>
      <c r="L1572" s="1551">
        <v>62238.0</v>
      </c>
    </row>
    <row r="1573">
      <c r="A1573" s="1545" t="s">
        <v>907</v>
      </c>
      <c r="B1573" s="1587">
        <v>11874.0</v>
      </c>
      <c r="C1573" s="1563">
        <v>709.0</v>
      </c>
      <c r="D1573" s="1548">
        <v>25.7</v>
      </c>
      <c r="E1573" s="1557">
        <v>11136.0</v>
      </c>
      <c r="F1573" s="598">
        <v>67.0</v>
      </c>
      <c r="G1573" s="598">
        <v>37.0</v>
      </c>
      <c r="H1573" s="598">
        <v>25.0</v>
      </c>
      <c r="I1573" s="598">
        <v>6.0</v>
      </c>
      <c r="J1573" s="598">
        <v>94.0</v>
      </c>
      <c r="K1573" s="1561">
        <v>509.0</v>
      </c>
      <c r="L1573" s="1551">
        <v>44992.0</v>
      </c>
    </row>
    <row r="1574">
      <c r="A1574" s="1545" t="s">
        <v>730</v>
      </c>
      <c r="B1574" s="1587">
        <v>14557.0</v>
      </c>
      <c r="C1574" s="1563">
        <v>640.0</v>
      </c>
      <c r="D1574" s="1548">
        <v>20.7</v>
      </c>
      <c r="E1574" s="1557">
        <v>13473.0</v>
      </c>
      <c r="F1574" s="598">
        <v>316.0</v>
      </c>
      <c r="G1574" s="598">
        <v>47.0</v>
      </c>
      <c r="H1574" s="598">
        <v>90.0</v>
      </c>
      <c r="I1574" s="598">
        <v>5.0</v>
      </c>
      <c r="J1574" s="598">
        <v>64.0</v>
      </c>
      <c r="K1574" s="1561">
        <v>562.0</v>
      </c>
      <c r="L1574" s="1551">
        <v>48749.0</v>
      </c>
    </row>
    <row r="1575">
      <c r="A1575" s="1545" t="s">
        <v>3729</v>
      </c>
      <c r="B1575" s="1587">
        <v>23303.0</v>
      </c>
      <c r="C1575" s="1547">
        <v>1517.0</v>
      </c>
      <c r="D1575" s="1548">
        <v>26.2</v>
      </c>
      <c r="E1575" s="1557">
        <v>17093.0</v>
      </c>
      <c r="F1575" s="598">
        <v>435.0</v>
      </c>
      <c r="G1575" s="598">
        <v>586.0</v>
      </c>
      <c r="H1575" s="598">
        <v>379.0</v>
      </c>
      <c r="I1575" s="598">
        <v>870.0</v>
      </c>
      <c r="J1575" s="598">
        <v>1509.0</v>
      </c>
      <c r="K1575" s="1561">
        <v>2431.0</v>
      </c>
      <c r="L1575" s="1551">
        <v>40204.0</v>
      </c>
    </row>
    <row r="1576">
      <c r="A1576" s="1545" t="s">
        <v>150</v>
      </c>
      <c r="B1576" s="1587">
        <v>15209.0</v>
      </c>
      <c r="C1576" s="1563">
        <v>741.0</v>
      </c>
      <c r="D1576" s="1548">
        <v>21.8</v>
      </c>
      <c r="E1576" s="1557">
        <v>13855.0</v>
      </c>
      <c r="F1576" s="598">
        <v>309.0</v>
      </c>
      <c r="G1576" s="598">
        <v>33.0</v>
      </c>
      <c r="H1576" s="598">
        <v>84.0</v>
      </c>
      <c r="I1576" s="598">
        <v>4.0</v>
      </c>
      <c r="J1576" s="598">
        <v>89.0</v>
      </c>
      <c r="K1576" s="1561">
        <v>835.0</v>
      </c>
      <c r="L1576" s="1551">
        <v>45440.0</v>
      </c>
    </row>
    <row r="1577">
      <c r="A1577" s="1545" t="s">
        <v>151</v>
      </c>
      <c r="B1577" s="1587">
        <v>12626.0</v>
      </c>
      <c r="C1577" s="1563">
        <v>659.0</v>
      </c>
      <c r="D1577" s="1548">
        <v>24.5</v>
      </c>
      <c r="E1577" s="1557">
        <v>11615.0</v>
      </c>
      <c r="F1577" s="598">
        <v>56.0</v>
      </c>
      <c r="G1577" s="598">
        <v>63.0</v>
      </c>
      <c r="H1577" s="598">
        <v>46.0</v>
      </c>
      <c r="I1577" s="598">
        <v>0.0</v>
      </c>
      <c r="J1577" s="598">
        <v>142.0</v>
      </c>
      <c r="K1577" s="1561">
        <v>704.0</v>
      </c>
      <c r="L1577" s="1551">
        <v>40191.0</v>
      </c>
    </row>
    <row r="1578">
      <c r="A1578" s="1545" t="s">
        <v>1411</v>
      </c>
      <c r="B1578" s="1587">
        <v>8432.0</v>
      </c>
      <c r="C1578" s="1563">
        <v>339.0</v>
      </c>
      <c r="D1578" s="1548">
        <v>19.7</v>
      </c>
      <c r="E1578" s="1557">
        <v>7841.0</v>
      </c>
      <c r="F1578" s="598">
        <v>23.0</v>
      </c>
      <c r="G1578" s="598">
        <v>43.0</v>
      </c>
      <c r="H1578" s="598">
        <v>7.0</v>
      </c>
      <c r="I1578" s="598">
        <v>0.0</v>
      </c>
      <c r="J1578" s="598">
        <v>42.0</v>
      </c>
      <c r="K1578" s="1561">
        <v>476.0</v>
      </c>
      <c r="L1578" s="1551">
        <v>46371.0</v>
      </c>
    </row>
    <row r="1579">
      <c r="A1579" s="1545" t="s">
        <v>153</v>
      </c>
      <c r="B1579" s="1587">
        <v>28525.0</v>
      </c>
      <c r="C1579" s="1547">
        <v>1233.0</v>
      </c>
      <c r="D1579" s="1548">
        <v>19.0</v>
      </c>
      <c r="E1579" s="1557">
        <v>25119.0</v>
      </c>
      <c r="F1579" s="598">
        <v>1374.0</v>
      </c>
      <c r="G1579" s="598">
        <v>94.0</v>
      </c>
      <c r="H1579" s="598">
        <v>172.0</v>
      </c>
      <c r="I1579" s="598">
        <v>16.0</v>
      </c>
      <c r="J1579" s="598">
        <v>184.0</v>
      </c>
      <c r="K1579" s="1561">
        <v>1566.0</v>
      </c>
      <c r="L1579" s="1551">
        <v>49393.0</v>
      </c>
    </row>
    <row r="1580">
      <c r="A1580" s="1545" t="s">
        <v>738</v>
      </c>
      <c r="B1580" s="1587">
        <v>3538.0</v>
      </c>
      <c r="C1580" s="1563">
        <v>168.0</v>
      </c>
      <c r="D1580" s="1548">
        <v>19.6</v>
      </c>
      <c r="E1580" s="1557">
        <v>3303.0</v>
      </c>
      <c r="F1580" s="598">
        <v>1.0</v>
      </c>
      <c r="G1580" s="598">
        <v>46.0</v>
      </c>
      <c r="H1580" s="598">
        <v>3.0</v>
      </c>
      <c r="I1580" s="598">
        <v>0.0</v>
      </c>
      <c r="J1580" s="598">
        <v>78.0</v>
      </c>
      <c r="K1580" s="1561">
        <v>107.0</v>
      </c>
      <c r="L1580" s="1551">
        <v>46014.0</v>
      </c>
    </row>
    <row r="1581">
      <c r="A1581" s="1545" t="s">
        <v>295</v>
      </c>
      <c r="B1581" s="1587">
        <v>24722.0</v>
      </c>
      <c r="C1581" s="1547">
        <v>1431.0</v>
      </c>
      <c r="D1581" s="1548">
        <v>24.8</v>
      </c>
      <c r="E1581" s="1557">
        <v>23089.0</v>
      </c>
      <c r="F1581" s="598">
        <v>117.0</v>
      </c>
      <c r="G1581" s="598">
        <v>124.0</v>
      </c>
      <c r="H1581" s="598">
        <v>67.0</v>
      </c>
      <c r="I1581" s="598">
        <v>32.0</v>
      </c>
      <c r="J1581" s="598">
        <v>134.0</v>
      </c>
      <c r="K1581" s="1561">
        <v>1159.0</v>
      </c>
      <c r="L1581" s="1551">
        <v>47225.0</v>
      </c>
    </row>
    <row r="1582">
      <c r="A1582" s="1545" t="s">
        <v>67</v>
      </c>
      <c r="B1582" s="1587">
        <v>12577.0</v>
      </c>
      <c r="C1582" s="1563">
        <v>968.0</v>
      </c>
      <c r="D1582" s="1548">
        <v>35.3</v>
      </c>
      <c r="E1582" s="1557">
        <v>8910.0</v>
      </c>
      <c r="F1582" s="598">
        <v>3083.0</v>
      </c>
      <c r="G1582" s="598">
        <v>37.0</v>
      </c>
      <c r="H1582" s="598">
        <v>20.0</v>
      </c>
      <c r="I1582" s="598">
        <v>0.0</v>
      </c>
      <c r="J1582" s="598">
        <v>114.0</v>
      </c>
      <c r="K1582" s="1561">
        <v>413.0</v>
      </c>
      <c r="L1582" s="1551">
        <v>34735.0</v>
      </c>
    </row>
    <row r="1583">
      <c r="A1583" s="1545" t="s">
        <v>1412</v>
      </c>
      <c r="B1583" s="1587">
        <v>15473.0</v>
      </c>
      <c r="C1583" s="1563">
        <v>592.0</v>
      </c>
      <c r="D1583" s="1548">
        <v>15.3</v>
      </c>
      <c r="E1583" s="1557">
        <v>13876.0</v>
      </c>
      <c r="F1583" s="598">
        <v>282.0</v>
      </c>
      <c r="G1583" s="598">
        <v>72.0</v>
      </c>
      <c r="H1583" s="598">
        <v>49.0</v>
      </c>
      <c r="I1583" s="598">
        <v>16.0</v>
      </c>
      <c r="J1583" s="598">
        <v>338.0</v>
      </c>
      <c r="K1583" s="1561">
        <v>840.0</v>
      </c>
      <c r="L1583" s="1551">
        <v>57047.0</v>
      </c>
    </row>
    <row r="1584">
      <c r="A1584" s="1545" t="s">
        <v>156</v>
      </c>
      <c r="B1584" s="1587">
        <v>8666.0</v>
      </c>
      <c r="C1584" s="1563">
        <v>418.0</v>
      </c>
      <c r="D1584" s="1548">
        <v>22.5</v>
      </c>
      <c r="E1584" s="1557">
        <v>7956.0</v>
      </c>
      <c r="F1584" s="598">
        <v>181.0</v>
      </c>
      <c r="G1584" s="598">
        <v>32.0</v>
      </c>
      <c r="H1584" s="598">
        <v>31.0</v>
      </c>
      <c r="I1584" s="598">
        <v>1.0</v>
      </c>
      <c r="J1584" s="598">
        <v>58.0</v>
      </c>
      <c r="K1584" s="1561">
        <v>407.0</v>
      </c>
      <c r="L1584" s="1551">
        <v>46216.0</v>
      </c>
    </row>
    <row r="1585">
      <c r="A1585" s="1545" t="s">
        <v>157</v>
      </c>
      <c r="B1585" s="1587">
        <v>11322.0</v>
      </c>
      <c r="C1585" s="1563">
        <v>524.0</v>
      </c>
      <c r="D1585" s="1548">
        <v>21.5</v>
      </c>
      <c r="E1585" s="1557">
        <v>10518.0</v>
      </c>
      <c r="F1585" s="598">
        <v>106.0</v>
      </c>
      <c r="G1585" s="598">
        <v>30.0</v>
      </c>
      <c r="H1585" s="598">
        <v>55.0</v>
      </c>
      <c r="I1585" s="598">
        <v>5.0</v>
      </c>
      <c r="J1585" s="598">
        <v>87.0</v>
      </c>
      <c r="K1585" s="1561">
        <v>521.0</v>
      </c>
      <c r="L1585" s="1551">
        <v>48951.0</v>
      </c>
    </row>
    <row r="1586">
      <c r="A1586" s="1545" t="s">
        <v>158</v>
      </c>
      <c r="B1586" s="1587">
        <v>21006.0</v>
      </c>
      <c r="C1586" s="1547">
        <v>1185.0</v>
      </c>
      <c r="D1586" s="1548">
        <v>26.0</v>
      </c>
      <c r="E1586" s="1557">
        <v>19497.0</v>
      </c>
      <c r="F1586" s="598">
        <v>126.0</v>
      </c>
      <c r="G1586" s="598">
        <v>116.0</v>
      </c>
      <c r="H1586" s="598">
        <v>61.0</v>
      </c>
      <c r="I1586" s="598">
        <v>8.0</v>
      </c>
      <c r="J1586" s="598">
        <v>159.0</v>
      </c>
      <c r="K1586" s="1561">
        <v>1039.0</v>
      </c>
      <c r="L1586" s="1551">
        <v>45276.0</v>
      </c>
    </row>
    <row r="1587">
      <c r="A1587" s="1545" t="s">
        <v>1413</v>
      </c>
      <c r="B1587" s="1587">
        <v>16434.0</v>
      </c>
      <c r="C1587" s="1547">
        <v>1048.0</v>
      </c>
      <c r="D1587" s="1548">
        <v>26.6</v>
      </c>
      <c r="E1587" s="1557">
        <v>12703.0</v>
      </c>
      <c r="F1587" s="598">
        <v>2741.0</v>
      </c>
      <c r="G1587" s="598">
        <v>38.0</v>
      </c>
      <c r="H1587" s="598">
        <v>62.0</v>
      </c>
      <c r="I1587" s="598">
        <v>4.0</v>
      </c>
      <c r="J1587" s="598">
        <v>97.0</v>
      </c>
      <c r="K1587" s="1561">
        <v>789.0</v>
      </c>
      <c r="L1587" s="1551">
        <v>38093.0</v>
      </c>
    </row>
    <row r="1588">
      <c r="A1588" s="1545" t="s">
        <v>297</v>
      </c>
      <c r="B1588" s="1587">
        <v>58648.0</v>
      </c>
      <c r="C1588" s="1547">
        <v>3029.0</v>
      </c>
      <c r="D1588" s="1548">
        <v>22.5</v>
      </c>
      <c r="E1588" s="1557">
        <v>48383.0</v>
      </c>
      <c r="F1588" s="598">
        <v>532.0</v>
      </c>
      <c r="G1588" s="598">
        <v>1483.0</v>
      </c>
      <c r="H1588" s="598">
        <v>798.0</v>
      </c>
      <c r="I1588" s="598">
        <v>805.0</v>
      </c>
      <c r="J1588" s="598">
        <v>1839.0</v>
      </c>
      <c r="K1588" s="1561">
        <v>4808.0</v>
      </c>
      <c r="L1588" s="1551">
        <v>49220.0</v>
      </c>
    </row>
    <row r="1589">
      <c r="A1589" s="1545" t="s">
        <v>1414</v>
      </c>
      <c r="B1589" s="1587">
        <v>21241.0</v>
      </c>
      <c r="C1589" s="1563">
        <v>463.0</v>
      </c>
      <c r="D1589" s="1548">
        <v>13.8</v>
      </c>
      <c r="E1589" s="1557">
        <v>19465.0</v>
      </c>
      <c r="F1589" s="598">
        <v>363.0</v>
      </c>
      <c r="G1589" s="598">
        <v>47.0</v>
      </c>
      <c r="H1589" s="598">
        <v>403.0</v>
      </c>
      <c r="I1589" s="598">
        <v>2.0</v>
      </c>
      <c r="J1589" s="598">
        <v>133.0</v>
      </c>
      <c r="K1589" s="1561">
        <v>828.0</v>
      </c>
      <c r="L1589" s="1551">
        <v>46698.0</v>
      </c>
    </row>
    <row r="1590">
      <c r="A1590" s="1545" t="s">
        <v>103</v>
      </c>
      <c r="B1590" s="1587">
        <v>8635.0</v>
      </c>
      <c r="C1590" s="1563">
        <v>874.0</v>
      </c>
      <c r="D1590" s="1548">
        <v>37.7</v>
      </c>
      <c r="E1590" s="1557">
        <v>8049.0</v>
      </c>
      <c r="F1590" s="598">
        <v>25.0</v>
      </c>
      <c r="G1590" s="598">
        <v>69.0</v>
      </c>
      <c r="H1590" s="598">
        <v>9.0</v>
      </c>
      <c r="I1590" s="598">
        <v>0.0</v>
      </c>
      <c r="J1590" s="598">
        <v>26.0</v>
      </c>
      <c r="K1590" s="1561">
        <v>457.0</v>
      </c>
      <c r="L1590" s="1551">
        <v>32720.0</v>
      </c>
    </row>
    <row r="1591">
      <c r="A1591" s="1545" t="s">
        <v>996</v>
      </c>
      <c r="B1591" s="1587">
        <v>13274.0</v>
      </c>
      <c r="C1591" s="1563">
        <v>316.0</v>
      </c>
      <c r="D1591" s="1548">
        <v>10.1</v>
      </c>
      <c r="E1591" s="1557">
        <v>12745.0</v>
      </c>
      <c r="F1591" s="598">
        <v>24.0</v>
      </c>
      <c r="G1591" s="598">
        <v>30.0</v>
      </c>
      <c r="H1591" s="598">
        <v>3.0</v>
      </c>
      <c r="I1591" s="598">
        <v>10.0</v>
      </c>
      <c r="J1591" s="598">
        <v>22.0</v>
      </c>
      <c r="K1591" s="1561">
        <v>440.0</v>
      </c>
      <c r="L1591" s="1551">
        <v>58855.0</v>
      </c>
    </row>
    <row r="1592">
      <c r="A1592" s="1545" t="s">
        <v>1415</v>
      </c>
      <c r="B1592" s="1587">
        <v>8553.0</v>
      </c>
      <c r="C1592" s="1563">
        <v>548.0</v>
      </c>
      <c r="D1592" s="1548">
        <v>33.2</v>
      </c>
      <c r="E1592" s="1557">
        <v>8035.0</v>
      </c>
      <c r="F1592" s="598">
        <v>19.0</v>
      </c>
      <c r="G1592" s="598">
        <v>47.0</v>
      </c>
      <c r="H1592" s="598">
        <v>15.0</v>
      </c>
      <c r="I1592" s="598">
        <v>5.0</v>
      </c>
      <c r="J1592" s="598">
        <v>58.0</v>
      </c>
      <c r="K1592" s="1561">
        <v>374.0</v>
      </c>
      <c r="L1592" s="1551">
        <v>34367.0</v>
      </c>
    </row>
    <row r="1593">
      <c r="A1593" s="1545" t="s">
        <v>1416</v>
      </c>
      <c r="B1593" s="1587">
        <v>15661.0</v>
      </c>
      <c r="C1593" s="1547">
        <v>1827.0</v>
      </c>
      <c r="D1593" s="1548">
        <v>44.5</v>
      </c>
      <c r="E1593" s="1557">
        <v>10280.0</v>
      </c>
      <c r="F1593" s="598">
        <v>4308.0</v>
      </c>
      <c r="G1593" s="598">
        <v>38.0</v>
      </c>
      <c r="H1593" s="598">
        <v>36.0</v>
      </c>
      <c r="I1593" s="598">
        <v>4.0</v>
      </c>
      <c r="J1593" s="598">
        <v>221.0</v>
      </c>
      <c r="K1593" s="1561">
        <v>774.0</v>
      </c>
      <c r="L1593" s="1551">
        <v>31831.0</v>
      </c>
    </row>
    <row r="1594">
      <c r="A1594" s="1545" t="s">
        <v>159</v>
      </c>
      <c r="B1594" s="1587">
        <v>18956.0</v>
      </c>
      <c r="C1594" s="1563">
        <v>648.0</v>
      </c>
      <c r="D1594" s="1548">
        <v>14.9</v>
      </c>
      <c r="E1594" s="1557">
        <v>17748.0</v>
      </c>
      <c r="F1594" s="598">
        <v>102.0</v>
      </c>
      <c r="G1594" s="598">
        <v>30.0</v>
      </c>
      <c r="H1594" s="598">
        <v>123.0</v>
      </c>
      <c r="I1594" s="598">
        <v>0.0</v>
      </c>
      <c r="J1594" s="598">
        <v>192.0</v>
      </c>
      <c r="K1594" s="1561">
        <v>761.0</v>
      </c>
      <c r="L1594" s="1551">
        <v>53871.0</v>
      </c>
    </row>
    <row r="1595">
      <c r="A1595" s="1545" t="s">
        <v>1417</v>
      </c>
      <c r="B1595" s="1587">
        <v>42980.0</v>
      </c>
      <c r="C1595" s="1547">
        <v>2365.0</v>
      </c>
      <c r="D1595" s="1548">
        <v>23.3</v>
      </c>
      <c r="E1595" s="1557">
        <v>35508.0</v>
      </c>
      <c r="F1595" s="598">
        <v>1390.0</v>
      </c>
      <c r="G1595" s="598">
        <v>238.0</v>
      </c>
      <c r="H1595" s="598">
        <v>296.0</v>
      </c>
      <c r="I1595" s="598">
        <v>120.0</v>
      </c>
      <c r="J1595" s="598">
        <v>2169.0</v>
      </c>
      <c r="K1595" s="1561">
        <v>3259.0</v>
      </c>
      <c r="L1595" s="1551">
        <v>45254.0</v>
      </c>
    </row>
    <row r="1596">
      <c r="A1596" s="1545" t="s">
        <v>1418</v>
      </c>
      <c r="B1596" s="1587">
        <v>44638.0</v>
      </c>
      <c r="C1596" s="1547">
        <v>1952.0</v>
      </c>
      <c r="D1596" s="1548">
        <v>21.8</v>
      </c>
      <c r="E1596" s="1557">
        <v>38383.0</v>
      </c>
      <c r="F1596" s="598">
        <v>1044.0</v>
      </c>
      <c r="G1596" s="598">
        <v>261.0</v>
      </c>
      <c r="H1596" s="598">
        <v>1517.0</v>
      </c>
      <c r="I1596" s="598">
        <v>27.0</v>
      </c>
      <c r="J1596" s="598">
        <v>484.0</v>
      </c>
      <c r="K1596" s="1561">
        <v>2922.0</v>
      </c>
      <c r="L1596" s="1551">
        <v>43079.0</v>
      </c>
    </row>
    <row r="1597">
      <c r="A1597" s="1545" t="s">
        <v>162</v>
      </c>
      <c r="B1597" s="1587">
        <v>17587.0</v>
      </c>
      <c r="C1597" s="1563">
        <v>812.0</v>
      </c>
      <c r="D1597" s="1548">
        <v>20.5</v>
      </c>
      <c r="E1597" s="1557">
        <v>15546.0</v>
      </c>
      <c r="F1597" s="598">
        <v>944.0</v>
      </c>
      <c r="G1597" s="598">
        <v>46.0</v>
      </c>
      <c r="H1597" s="598">
        <v>27.0</v>
      </c>
      <c r="I1597" s="598">
        <v>8.0</v>
      </c>
      <c r="J1597" s="598">
        <v>161.0</v>
      </c>
      <c r="K1597" s="1561">
        <v>855.0</v>
      </c>
      <c r="L1597" s="1555">
        <v>43591.0</v>
      </c>
    </row>
    <row r="1598">
      <c r="A1598" s="1545" t="s">
        <v>1419</v>
      </c>
      <c r="B1598" s="1587">
        <v>106718.0</v>
      </c>
      <c r="C1598" s="1547">
        <v>1780.0</v>
      </c>
      <c r="D1598" s="1548">
        <v>7.4</v>
      </c>
      <c r="E1598" s="1557">
        <v>83516.0</v>
      </c>
      <c r="F1598" s="598">
        <v>8296.0</v>
      </c>
      <c r="G1598" s="598">
        <v>544.0</v>
      </c>
      <c r="H1598" s="598">
        <v>2746.0</v>
      </c>
      <c r="I1598" s="598">
        <v>700.0</v>
      </c>
      <c r="J1598" s="598">
        <v>2185.0</v>
      </c>
      <c r="K1598" s="1561">
        <v>8731.0</v>
      </c>
      <c r="L1598" s="1551">
        <v>82567.0</v>
      </c>
    </row>
    <row r="1599">
      <c r="A1599" s="1545" t="s">
        <v>302</v>
      </c>
      <c r="B1599" s="1587">
        <v>31519.0</v>
      </c>
      <c r="C1599" s="1547">
        <v>1673.0</v>
      </c>
      <c r="D1599" s="1548">
        <v>23.8</v>
      </c>
      <c r="E1599" s="1557">
        <v>29053.0</v>
      </c>
      <c r="F1599" s="598">
        <v>247.0</v>
      </c>
      <c r="G1599" s="598">
        <v>212.0</v>
      </c>
      <c r="H1599" s="598">
        <v>131.0</v>
      </c>
      <c r="I1599" s="598">
        <v>6.0</v>
      </c>
      <c r="J1599" s="598">
        <v>198.0</v>
      </c>
      <c r="K1599" s="1561">
        <v>1672.0</v>
      </c>
      <c r="L1599" s="1551">
        <v>45336.0</v>
      </c>
    </row>
    <row r="1600">
      <c r="A1600" s="1545" t="s">
        <v>305</v>
      </c>
      <c r="B1600" s="1587">
        <v>53955.0</v>
      </c>
      <c r="C1600" s="1547">
        <v>1842.0</v>
      </c>
      <c r="D1600" s="1548">
        <v>16.6</v>
      </c>
      <c r="E1600" s="1557">
        <v>38553.0</v>
      </c>
      <c r="F1600" s="598">
        <v>6322.0</v>
      </c>
      <c r="G1600" s="598">
        <v>447.0</v>
      </c>
      <c r="H1600" s="598">
        <v>1835.0</v>
      </c>
      <c r="I1600" s="598">
        <v>410.0</v>
      </c>
      <c r="J1600" s="598">
        <v>1426.0</v>
      </c>
      <c r="K1600" s="1561">
        <v>4962.0</v>
      </c>
      <c r="L1600" s="1551">
        <v>52532.0</v>
      </c>
    </row>
    <row r="1601">
      <c r="A1601" s="1545" t="s">
        <v>518</v>
      </c>
      <c r="B1601" s="1587">
        <v>4681.0</v>
      </c>
      <c r="C1601" s="1563">
        <v>233.0</v>
      </c>
      <c r="D1601" s="1548">
        <v>22.5</v>
      </c>
      <c r="E1601" s="1557">
        <v>4475.0</v>
      </c>
      <c r="F1601" s="598">
        <v>12.0</v>
      </c>
      <c r="G1601" s="598">
        <v>14.0</v>
      </c>
      <c r="H1601" s="598">
        <v>4.0</v>
      </c>
      <c r="I1601" s="598">
        <v>0.0</v>
      </c>
      <c r="J1601" s="598">
        <v>39.0</v>
      </c>
      <c r="K1601" s="1561">
        <v>137.0</v>
      </c>
      <c r="L1601" s="1551">
        <v>40866.0</v>
      </c>
    </row>
    <row r="1602">
      <c r="A1602" s="1545" t="s">
        <v>1420</v>
      </c>
      <c r="B1602" s="1587">
        <v>10355.0</v>
      </c>
      <c r="C1602" s="1563">
        <v>283.0</v>
      </c>
      <c r="D1602" s="1548">
        <v>13.3</v>
      </c>
      <c r="E1602" s="1557">
        <v>9748.0</v>
      </c>
      <c r="F1602" s="598">
        <v>114.0</v>
      </c>
      <c r="G1602" s="598">
        <v>26.0</v>
      </c>
      <c r="H1602" s="598">
        <v>24.0</v>
      </c>
      <c r="I1602" s="598">
        <v>4.0</v>
      </c>
      <c r="J1602" s="598">
        <v>71.0</v>
      </c>
      <c r="K1602" s="1561">
        <v>368.0</v>
      </c>
      <c r="L1602" s="1551">
        <v>57549.0</v>
      </c>
    </row>
    <row r="1603">
      <c r="A1603" s="1545" t="s">
        <v>163</v>
      </c>
      <c r="B1603" s="1587">
        <v>24716.0</v>
      </c>
      <c r="C1603" s="1547">
        <v>1365.0</v>
      </c>
      <c r="D1603" s="1548">
        <v>26.1</v>
      </c>
      <c r="E1603" s="1557">
        <v>21535.0</v>
      </c>
      <c r="F1603" s="598">
        <v>1361.0</v>
      </c>
      <c r="G1603" s="598">
        <v>111.0</v>
      </c>
      <c r="H1603" s="598">
        <v>95.0</v>
      </c>
      <c r="I1603" s="598">
        <v>9.0</v>
      </c>
      <c r="J1603" s="598">
        <v>158.0</v>
      </c>
      <c r="K1603" s="1561">
        <v>1447.0</v>
      </c>
      <c r="L1603" s="1551">
        <v>44975.0</v>
      </c>
    </row>
    <row r="1604">
      <c r="A1604" s="1545" t="s">
        <v>1421</v>
      </c>
      <c r="B1604" s="1587">
        <v>23158.0</v>
      </c>
      <c r="C1604" s="1563">
        <v>738.0</v>
      </c>
      <c r="D1604" s="1548">
        <v>14.6</v>
      </c>
      <c r="E1604" s="1557">
        <v>21109.0</v>
      </c>
      <c r="F1604" s="598">
        <v>233.0</v>
      </c>
      <c r="G1604" s="598">
        <v>145.0</v>
      </c>
      <c r="H1604" s="598">
        <v>79.0</v>
      </c>
      <c r="I1604" s="598">
        <v>8.0</v>
      </c>
      <c r="J1604" s="598">
        <v>187.0</v>
      </c>
      <c r="K1604" s="1561">
        <v>1397.0</v>
      </c>
      <c r="L1604" s="1551">
        <v>58693.0</v>
      </c>
    </row>
    <row r="1605">
      <c r="A1605" s="1545" t="s">
        <v>1422</v>
      </c>
      <c r="B1605" s="1587">
        <v>6096.0</v>
      </c>
      <c r="C1605" s="1563">
        <v>378.0</v>
      </c>
      <c r="D1605" s="1548">
        <v>33.0</v>
      </c>
      <c r="E1605" s="1557">
        <v>5690.0</v>
      </c>
      <c r="F1605" s="598">
        <v>36.0</v>
      </c>
      <c r="G1605" s="598">
        <v>31.0</v>
      </c>
      <c r="H1605" s="598">
        <v>26.0</v>
      </c>
      <c r="I1605" s="598">
        <v>2.0</v>
      </c>
      <c r="J1605" s="598">
        <v>20.0</v>
      </c>
      <c r="K1605" s="1561">
        <v>291.0</v>
      </c>
      <c r="L1605" s="1551">
        <v>36592.0</v>
      </c>
    </row>
    <row r="1606">
      <c r="A1606" s="1545" t="s">
        <v>839</v>
      </c>
      <c r="B1606" s="1587">
        <v>10679.0</v>
      </c>
      <c r="C1606" s="1547">
        <v>1009.0</v>
      </c>
      <c r="D1606" s="1548">
        <v>34.0</v>
      </c>
      <c r="E1606" s="1557">
        <v>9942.0</v>
      </c>
      <c r="F1606" s="598">
        <v>31.0</v>
      </c>
      <c r="G1606" s="598">
        <v>44.0</v>
      </c>
      <c r="H1606" s="598">
        <v>29.0</v>
      </c>
      <c r="I1606" s="598">
        <v>1.0</v>
      </c>
      <c r="J1606" s="598">
        <v>23.0</v>
      </c>
      <c r="K1606" s="1561">
        <v>609.0</v>
      </c>
      <c r="L1606" s="1555">
        <v>32802.0</v>
      </c>
    </row>
    <row r="1607">
      <c r="A1607" s="1545" t="s">
        <v>2825</v>
      </c>
      <c r="B1607" s="1587">
        <v>405262.0</v>
      </c>
      <c r="C1607" s="1547">
        <v>6411.0</v>
      </c>
      <c r="D1607" s="1548">
        <v>7.0</v>
      </c>
      <c r="E1607" s="1557">
        <v>339665.0</v>
      </c>
      <c r="F1607" s="598">
        <v>20894.0</v>
      </c>
      <c r="G1607" s="598">
        <v>910.0</v>
      </c>
      <c r="H1607" s="598">
        <v>11147.0</v>
      </c>
      <c r="I1607" s="598">
        <v>230.0</v>
      </c>
      <c r="J1607" s="598">
        <v>6180.0</v>
      </c>
      <c r="K1607" s="1561">
        <v>26236.0</v>
      </c>
      <c r="L1607" s="1551">
        <v>82048.0</v>
      </c>
    </row>
    <row r="1608">
      <c r="A1608" s="1545" t="s">
        <v>768</v>
      </c>
      <c r="B1608" s="1587">
        <v>9284.0</v>
      </c>
      <c r="C1608" s="1563">
        <v>546.0</v>
      </c>
      <c r="D1608" s="1548">
        <v>29.6</v>
      </c>
      <c r="E1608" s="1557">
        <v>8643.0</v>
      </c>
      <c r="F1608" s="598">
        <v>26.0</v>
      </c>
      <c r="G1608" s="598">
        <v>67.0</v>
      </c>
      <c r="H1608" s="598">
        <v>21.0</v>
      </c>
      <c r="I1608" s="598">
        <v>9.0</v>
      </c>
      <c r="J1608" s="598">
        <v>66.0</v>
      </c>
      <c r="K1608" s="1561">
        <v>452.0</v>
      </c>
      <c r="L1608" s="1551">
        <v>37013.0</v>
      </c>
    </row>
    <row r="1609">
      <c r="A1609" s="1545" t="s">
        <v>3749</v>
      </c>
      <c r="B1609" s="1587">
        <v>18479.0</v>
      </c>
      <c r="C1609" s="1563">
        <v>526.0</v>
      </c>
      <c r="D1609" s="1548">
        <v>13.9</v>
      </c>
      <c r="E1609" s="1557">
        <v>17270.0</v>
      </c>
      <c r="F1609" s="598">
        <v>320.0</v>
      </c>
      <c r="G1609" s="598">
        <v>54.0</v>
      </c>
      <c r="H1609" s="598">
        <v>29.0</v>
      </c>
      <c r="I1609" s="598">
        <v>2.0</v>
      </c>
      <c r="J1609" s="598">
        <v>61.0</v>
      </c>
      <c r="K1609" s="1561">
        <v>743.0</v>
      </c>
      <c r="L1609" s="1555">
        <v>59043.0</v>
      </c>
    </row>
    <row r="1610">
      <c r="A1610" s="1545" t="s">
        <v>3750</v>
      </c>
      <c r="B1610" s="1587">
        <v>66922.0</v>
      </c>
      <c r="C1610" s="1547">
        <v>3366.0</v>
      </c>
      <c r="D1610" s="1548">
        <v>24.6</v>
      </c>
      <c r="E1610" s="1557">
        <v>59940.0</v>
      </c>
      <c r="F1610" s="598">
        <v>2658.0</v>
      </c>
      <c r="G1610" s="598">
        <v>212.0</v>
      </c>
      <c r="H1610" s="598">
        <v>403.0</v>
      </c>
      <c r="I1610" s="598">
        <v>21.0</v>
      </c>
      <c r="J1610" s="598">
        <v>404.0</v>
      </c>
      <c r="K1610" s="1561">
        <v>3284.0</v>
      </c>
      <c r="L1610" s="1555">
        <v>45584.0</v>
      </c>
    </row>
    <row r="1611">
      <c r="A1611" s="1545" t="s">
        <v>409</v>
      </c>
      <c r="B1611" s="1587">
        <v>1004125.0</v>
      </c>
      <c r="C1611" s="1547">
        <v>33839.0</v>
      </c>
      <c r="D1611" s="1548">
        <v>15.7</v>
      </c>
      <c r="E1611" s="1557">
        <v>632283.0</v>
      </c>
      <c r="F1611" s="598">
        <v>246642.0</v>
      </c>
      <c r="G1611" s="598">
        <v>2376.0</v>
      </c>
      <c r="H1611" s="598">
        <v>48784.0</v>
      </c>
      <c r="I1611" s="598">
        <v>295.0</v>
      </c>
      <c r="J1611" s="598">
        <v>16162.0</v>
      </c>
      <c r="K1611" s="1561">
        <v>57583.0</v>
      </c>
      <c r="L1611" s="1551">
        <v>66992.0</v>
      </c>
    </row>
    <row r="1612">
      <c r="A1612" s="1545" t="s">
        <v>308</v>
      </c>
      <c r="B1612" s="1587">
        <v>23333.0</v>
      </c>
      <c r="C1612" s="1563">
        <v>981.0</v>
      </c>
      <c r="D1612" s="1548">
        <v>20.0</v>
      </c>
      <c r="E1612" s="1557">
        <v>17995.0</v>
      </c>
      <c r="F1612" s="598">
        <v>1172.0</v>
      </c>
      <c r="G1612" s="598">
        <v>101.0</v>
      </c>
      <c r="H1612" s="598">
        <v>175.0</v>
      </c>
      <c r="I1612" s="598">
        <v>410.0</v>
      </c>
      <c r="J1612" s="598">
        <v>1864.0</v>
      </c>
      <c r="K1612" s="1561">
        <v>1616.0</v>
      </c>
      <c r="L1612" s="1551">
        <v>43776.0</v>
      </c>
    </row>
    <row r="1613">
      <c r="A1613" s="1545" t="s">
        <v>746</v>
      </c>
      <c r="B1613" s="1587">
        <v>4032.0</v>
      </c>
      <c r="C1613" s="1563">
        <v>306.0</v>
      </c>
      <c r="D1613" s="1548">
        <v>27.3</v>
      </c>
      <c r="E1613" s="1557">
        <v>3878.0</v>
      </c>
      <c r="F1613" s="598">
        <v>0.0</v>
      </c>
      <c r="G1613" s="598">
        <v>1.0</v>
      </c>
      <c r="H1613" s="598">
        <v>15.0</v>
      </c>
      <c r="I1613" s="598">
        <v>1.0</v>
      </c>
      <c r="J1613" s="598">
        <v>23.0</v>
      </c>
      <c r="K1613" s="1561">
        <v>114.0</v>
      </c>
      <c r="L1613" s="1551">
        <v>39463.0</v>
      </c>
    </row>
    <row r="1614">
      <c r="A1614" s="1545" t="s">
        <v>1425</v>
      </c>
      <c r="B1614" s="1587">
        <v>4716.0</v>
      </c>
      <c r="C1614" s="1563">
        <v>333.0</v>
      </c>
      <c r="D1614" s="1548">
        <v>23.3</v>
      </c>
      <c r="E1614" s="1557">
        <v>4550.0</v>
      </c>
      <c r="F1614" s="598">
        <v>12.0</v>
      </c>
      <c r="G1614" s="598">
        <v>5.0</v>
      </c>
      <c r="H1614" s="598">
        <v>10.0</v>
      </c>
      <c r="I1614" s="598">
        <v>4.0</v>
      </c>
      <c r="J1614" s="598">
        <v>0.0</v>
      </c>
      <c r="K1614" s="1561">
        <v>135.0</v>
      </c>
      <c r="L1614" s="1551">
        <v>42053.0</v>
      </c>
    </row>
    <row r="1615">
      <c r="A1615" s="1545" t="s">
        <v>309</v>
      </c>
      <c r="B1615" s="1587">
        <v>38059.0</v>
      </c>
      <c r="C1615" s="1547">
        <v>2412.0</v>
      </c>
      <c r="D1615" s="1548">
        <v>26.7</v>
      </c>
      <c r="E1615" s="1557">
        <v>30913.0</v>
      </c>
      <c r="F1615" s="598">
        <v>4502.0</v>
      </c>
      <c r="G1615" s="598">
        <v>103.0</v>
      </c>
      <c r="H1615" s="598">
        <v>154.0</v>
      </c>
      <c r="I1615" s="598">
        <v>5.0</v>
      </c>
      <c r="J1615" s="598">
        <v>383.0</v>
      </c>
      <c r="K1615" s="1561">
        <v>1999.0</v>
      </c>
      <c r="L1615" s="1551">
        <v>44261.0</v>
      </c>
    </row>
    <row r="1616">
      <c r="A1616" s="1545" t="s">
        <v>1426</v>
      </c>
      <c r="B1616" s="1587">
        <v>7031.0</v>
      </c>
      <c r="C1616" s="1563">
        <v>643.0</v>
      </c>
      <c r="D1616" s="1548">
        <v>37.4</v>
      </c>
      <c r="E1616" s="1557">
        <v>6506.0</v>
      </c>
      <c r="F1616" s="598">
        <v>7.0</v>
      </c>
      <c r="G1616" s="598">
        <v>37.0</v>
      </c>
      <c r="H1616" s="598">
        <v>13.0</v>
      </c>
      <c r="I1616" s="598">
        <v>0.0</v>
      </c>
      <c r="J1616" s="598">
        <v>39.0</v>
      </c>
      <c r="K1616" s="1561">
        <v>429.0</v>
      </c>
      <c r="L1616" s="1551">
        <v>32715.0</v>
      </c>
    </row>
    <row r="1617">
      <c r="A1617" s="1545" t="s">
        <v>168</v>
      </c>
      <c r="B1617" s="1587">
        <v>6103.0</v>
      </c>
      <c r="C1617" s="1563">
        <v>287.0</v>
      </c>
      <c r="D1617" s="1548">
        <v>20.7</v>
      </c>
      <c r="E1617" s="1557">
        <v>5791.0</v>
      </c>
      <c r="F1617" s="598">
        <v>24.0</v>
      </c>
      <c r="G1617" s="598">
        <v>31.0</v>
      </c>
      <c r="H1617" s="598">
        <v>2.0</v>
      </c>
      <c r="I1617" s="598">
        <v>1.0</v>
      </c>
      <c r="J1617" s="598">
        <v>38.0</v>
      </c>
      <c r="K1617" s="1561">
        <v>216.0</v>
      </c>
      <c r="L1617" s="1551">
        <v>44564.0</v>
      </c>
    </row>
    <row r="1618">
      <c r="A1618" s="1545" t="s">
        <v>1427</v>
      </c>
      <c r="B1618" s="1587">
        <v>28672.0</v>
      </c>
      <c r="C1618" s="1547">
        <v>1356.0</v>
      </c>
      <c r="D1618" s="1548">
        <v>21.9</v>
      </c>
      <c r="E1618" s="1557">
        <v>26836.0</v>
      </c>
      <c r="F1618" s="598">
        <v>305.0</v>
      </c>
      <c r="G1618" s="598">
        <v>89.0</v>
      </c>
      <c r="H1618" s="598">
        <v>94.0</v>
      </c>
      <c r="I1618" s="598">
        <v>2.0</v>
      </c>
      <c r="J1618" s="598">
        <v>202.0</v>
      </c>
      <c r="K1618" s="1561">
        <v>1144.0</v>
      </c>
      <c r="L1618" s="1551">
        <v>40808.0</v>
      </c>
    </row>
    <row r="1619">
      <c r="A1619" s="1545" t="s">
        <v>315</v>
      </c>
      <c r="B1619" s="1587">
        <v>31076.0</v>
      </c>
      <c r="C1619" s="1547">
        <v>1089.0</v>
      </c>
      <c r="D1619" s="1548">
        <v>21.5</v>
      </c>
      <c r="E1619" s="1557">
        <v>28574.0</v>
      </c>
      <c r="F1619" s="598">
        <v>85.0</v>
      </c>
      <c r="G1619" s="598">
        <v>220.0</v>
      </c>
      <c r="H1619" s="598">
        <v>115.0</v>
      </c>
      <c r="I1619" s="598">
        <v>20.0</v>
      </c>
      <c r="J1619" s="598">
        <v>257.0</v>
      </c>
      <c r="K1619" s="1561">
        <v>1805.0</v>
      </c>
      <c r="L1619" s="1551">
        <v>46026.0</v>
      </c>
    </row>
    <row r="1620">
      <c r="A1620" s="1545" t="s">
        <v>860</v>
      </c>
      <c r="B1620" s="1587">
        <v>5999.0</v>
      </c>
      <c r="C1620" s="1563">
        <v>291.0</v>
      </c>
      <c r="D1620" s="1548">
        <v>21.3</v>
      </c>
      <c r="E1620" s="1557">
        <v>4680.0</v>
      </c>
      <c r="F1620" s="598">
        <v>208.0</v>
      </c>
      <c r="G1620" s="598">
        <v>53.0</v>
      </c>
      <c r="H1620" s="598">
        <v>30.0</v>
      </c>
      <c r="I1620" s="598">
        <v>1.0</v>
      </c>
      <c r="J1620" s="598">
        <v>545.0</v>
      </c>
      <c r="K1620" s="1561">
        <v>482.0</v>
      </c>
      <c r="L1620" s="1551">
        <v>41978.0</v>
      </c>
    </row>
    <row r="1621">
      <c r="A1621" s="1545" t="s">
        <v>1428</v>
      </c>
      <c r="B1621" s="1587">
        <v>56066.0</v>
      </c>
      <c r="C1621" s="1547">
        <v>2645.0</v>
      </c>
      <c r="D1621" s="1548">
        <v>23.0</v>
      </c>
      <c r="E1621" s="1557">
        <v>47719.0</v>
      </c>
      <c r="F1621" s="598">
        <v>851.0</v>
      </c>
      <c r="G1621" s="598">
        <v>487.0</v>
      </c>
      <c r="H1621" s="598">
        <v>617.0</v>
      </c>
      <c r="I1621" s="598">
        <v>197.0</v>
      </c>
      <c r="J1621" s="598">
        <v>1929.0</v>
      </c>
      <c r="K1621" s="1561">
        <v>4266.0</v>
      </c>
      <c r="L1621" s="1551">
        <v>40887.0</v>
      </c>
    </row>
    <row r="1622">
      <c r="A1622" s="1545" t="s">
        <v>113</v>
      </c>
      <c r="B1622" s="1587">
        <v>24487.0</v>
      </c>
      <c r="C1622" s="1547">
        <v>1844.0</v>
      </c>
      <c r="D1622" s="1548">
        <v>34.8</v>
      </c>
      <c r="E1622" s="1557">
        <v>22240.0</v>
      </c>
      <c r="F1622" s="598">
        <v>790.0</v>
      </c>
      <c r="G1622" s="598">
        <v>150.0</v>
      </c>
      <c r="H1622" s="598">
        <v>65.0</v>
      </c>
      <c r="I1622" s="598">
        <v>8.0</v>
      </c>
      <c r="J1622" s="598">
        <v>150.0</v>
      </c>
      <c r="K1622" s="1561">
        <v>1084.0</v>
      </c>
      <c r="L1622" s="1551">
        <v>34824.0</v>
      </c>
    </row>
    <row r="1623">
      <c r="A1623" s="1545" t="s">
        <v>1181</v>
      </c>
      <c r="B1623" s="1587">
        <v>19707.0</v>
      </c>
      <c r="C1623" s="1547">
        <v>1109.0</v>
      </c>
      <c r="D1623" s="1548">
        <v>24.0</v>
      </c>
      <c r="E1623" s="1557">
        <v>18097.0</v>
      </c>
      <c r="F1623" s="598">
        <v>110.0</v>
      </c>
      <c r="G1623" s="598">
        <v>161.0</v>
      </c>
      <c r="H1623" s="598">
        <v>103.0</v>
      </c>
      <c r="I1623" s="598">
        <v>18.0</v>
      </c>
      <c r="J1623" s="598">
        <v>197.0</v>
      </c>
      <c r="K1623" s="1561">
        <v>1021.0</v>
      </c>
      <c r="L1623" s="1551">
        <v>42552.0</v>
      </c>
    </row>
    <row r="1624">
      <c r="A1624" s="1545" t="s">
        <v>647</v>
      </c>
      <c r="B1624" s="1587">
        <v>35532.0</v>
      </c>
      <c r="C1624" s="1547">
        <v>1294.0</v>
      </c>
      <c r="D1624" s="1548">
        <v>16.0</v>
      </c>
      <c r="E1624" s="1557">
        <v>31419.0</v>
      </c>
      <c r="F1624" s="598">
        <v>731.0</v>
      </c>
      <c r="G1624" s="598">
        <v>161.0</v>
      </c>
      <c r="H1624" s="598">
        <v>149.0</v>
      </c>
      <c r="I1624" s="598">
        <v>3.0</v>
      </c>
      <c r="J1624" s="598">
        <v>668.0</v>
      </c>
      <c r="K1624" s="1561">
        <v>2401.0</v>
      </c>
      <c r="L1624" s="1551">
        <v>62056.0</v>
      </c>
    </row>
    <row r="1625">
      <c r="A1625" s="1545" t="s">
        <v>119</v>
      </c>
      <c r="B1625" s="1587">
        <v>23514.0</v>
      </c>
      <c r="C1625" s="1547">
        <v>1546.0</v>
      </c>
      <c r="D1625" s="1548">
        <v>27.9</v>
      </c>
      <c r="E1625" s="1557">
        <v>21465.0</v>
      </c>
      <c r="F1625" s="598">
        <v>610.0</v>
      </c>
      <c r="G1625" s="598">
        <v>79.0</v>
      </c>
      <c r="H1625" s="598">
        <v>40.0</v>
      </c>
      <c r="I1625" s="598">
        <v>1.0</v>
      </c>
      <c r="J1625" s="598">
        <v>103.0</v>
      </c>
      <c r="K1625" s="1561">
        <v>1216.0</v>
      </c>
      <c r="L1625" s="1551">
        <v>38591.0</v>
      </c>
    </row>
    <row r="1626">
      <c r="A1626" s="1545" t="s">
        <v>273</v>
      </c>
      <c r="B1626" s="1587">
        <v>10974.0</v>
      </c>
      <c r="C1626" s="1563">
        <v>941.0</v>
      </c>
      <c r="D1626" s="1548">
        <v>35.8</v>
      </c>
      <c r="E1626" s="1557">
        <v>10165.0</v>
      </c>
      <c r="F1626" s="598">
        <v>50.0</v>
      </c>
      <c r="G1626" s="598">
        <v>72.0</v>
      </c>
      <c r="H1626" s="598">
        <v>23.0</v>
      </c>
      <c r="I1626" s="598">
        <v>5.0</v>
      </c>
      <c r="J1626" s="598">
        <v>30.0</v>
      </c>
      <c r="K1626" s="1561">
        <v>629.0</v>
      </c>
      <c r="L1626" s="1551">
        <v>33703.0</v>
      </c>
    </row>
    <row r="1627">
      <c r="A1627" s="1545" t="s">
        <v>648</v>
      </c>
      <c r="B1627" s="1587">
        <v>39085.0</v>
      </c>
      <c r="C1627" s="1547">
        <v>2597.0</v>
      </c>
      <c r="D1627" s="1548">
        <v>24.7</v>
      </c>
      <c r="E1627" s="1557">
        <v>36178.0</v>
      </c>
      <c r="F1627" s="598">
        <v>203.0</v>
      </c>
      <c r="G1627" s="598">
        <v>273.0</v>
      </c>
      <c r="H1627" s="598">
        <v>141.0</v>
      </c>
      <c r="I1627" s="598">
        <v>10.0</v>
      </c>
      <c r="J1627" s="598">
        <v>274.0</v>
      </c>
      <c r="K1627" s="1561">
        <v>2006.0</v>
      </c>
      <c r="L1627" s="1551">
        <v>51141.0</v>
      </c>
    </row>
    <row r="1628">
      <c r="A1628" s="1545" t="s">
        <v>655</v>
      </c>
      <c r="B1628" s="1587">
        <v>1973.0</v>
      </c>
      <c r="C1628" s="1563">
        <v>82.0</v>
      </c>
      <c r="D1628" s="1548">
        <v>20.0</v>
      </c>
      <c r="E1628" s="1557">
        <v>1897.0</v>
      </c>
      <c r="F1628" s="598">
        <v>0.0</v>
      </c>
      <c r="G1628" s="598">
        <v>4.0</v>
      </c>
      <c r="H1628" s="598">
        <v>6.0</v>
      </c>
      <c r="I1628" s="598">
        <v>5.0</v>
      </c>
      <c r="J1628" s="598">
        <v>5.0</v>
      </c>
      <c r="K1628" s="1561">
        <v>56.0</v>
      </c>
      <c r="L1628" s="1551">
        <v>43119.0</v>
      </c>
    </row>
    <row r="1629">
      <c r="A1629" s="1545" t="s">
        <v>949</v>
      </c>
      <c r="B1629" s="1587">
        <v>18188.0</v>
      </c>
      <c r="C1629" s="1547">
        <v>1832.0</v>
      </c>
      <c r="D1629" s="1548">
        <v>39.9</v>
      </c>
      <c r="E1629" s="1557">
        <v>16813.0</v>
      </c>
      <c r="F1629" s="598">
        <v>118.0</v>
      </c>
      <c r="G1629" s="598">
        <v>79.0</v>
      </c>
      <c r="H1629" s="598">
        <v>48.0</v>
      </c>
      <c r="I1629" s="598">
        <v>5.0</v>
      </c>
      <c r="J1629" s="598">
        <v>136.0</v>
      </c>
      <c r="K1629" s="1561">
        <v>989.0</v>
      </c>
      <c r="L1629" s="1615">
        <v>35293.0</v>
      </c>
    </row>
    <row r="1630">
      <c r="A1630" s="1528" t="s">
        <v>3751</v>
      </c>
      <c r="B1630" s="1595">
        <v>301578.0</v>
      </c>
      <c r="C1630" s="1530">
        <v>21558.0</v>
      </c>
      <c r="D1630" s="1567">
        <v>38.4</v>
      </c>
      <c r="E1630" s="1532">
        <v>132292.0</v>
      </c>
      <c r="F1630" s="1533">
        <v>129814.0</v>
      </c>
      <c r="G1630" s="1533">
        <v>948.0</v>
      </c>
      <c r="H1630" s="1533">
        <v>12289.0</v>
      </c>
      <c r="I1630" s="1533">
        <v>102.0</v>
      </c>
      <c r="J1630" s="1533">
        <v>7760.0</v>
      </c>
      <c r="K1630" s="1616">
        <v>18373.0</v>
      </c>
      <c r="L1630" s="1623">
        <v>43263.0</v>
      </c>
    </row>
    <row r="1631">
      <c r="A1631" s="1538" t="s">
        <v>76</v>
      </c>
      <c r="B1631" s="1596">
        <v>1084225.0</v>
      </c>
      <c r="C1631" s="1540">
        <v>36711.0</v>
      </c>
      <c r="D1631" s="1571">
        <v>16.4</v>
      </c>
      <c r="E1631" s="1572">
        <v>916524.0</v>
      </c>
      <c r="F1631" s="1542">
        <v>5484.0</v>
      </c>
      <c r="G1631" s="1542">
        <v>67612.0</v>
      </c>
      <c r="H1631" s="1542">
        <v>8300.0</v>
      </c>
      <c r="I1631" s="1542">
        <v>941.0</v>
      </c>
      <c r="J1631" s="1542">
        <v>14089.0</v>
      </c>
      <c r="K1631" s="1543">
        <v>71275.0</v>
      </c>
      <c r="L1631" s="1625">
        <v>55248.0</v>
      </c>
    </row>
    <row r="1632">
      <c r="A1632" s="1545" t="s">
        <v>1431</v>
      </c>
      <c r="B1632" s="1586">
        <v>9371.0</v>
      </c>
      <c r="C1632" s="1563">
        <v>262.0</v>
      </c>
      <c r="D1632" s="1548">
        <v>17.0</v>
      </c>
      <c r="E1632" s="1557">
        <v>8451.0</v>
      </c>
      <c r="F1632" s="598">
        <v>29.0</v>
      </c>
      <c r="G1632" s="598">
        <v>132.0</v>
      </c>
      <c r="H1632" s="598">
        <v>39.0</v>
      </c>
      <c r="I1632" s="598">
        <v>3.0</v>
      </c>
      <c r="J1632" s="598">
        <v>144.0</v>
      </c>
      <c r="K1632" s="1561">
        <v>573.0</v>
      </c>
      <c r="L1632" s="1555">
        <v>47674.0</v>
      </c>
    </row>
    <row r="1633">
      <c r="A1633" s="1545" t="s">
        <v>1432</v>
      </c>
      <c r="B1633" s="1587">
        <v>13124.0</v>
      </c>
      <c r="C1633" s="1547">
        <v>1484.0</v>
      </c>
      <c r="D1633" s="1548">
        <v>33.7</v>
      </c>
      <c r="E1633" s="1557">
        <v>3520.0</v>
      </c>
      <c r="F1633" s="598">
        <v>11.0</v>
      </c>
      <c r="G1633" s="598">
        <v>8794.0</v>
      </c>
      <c r="H1633" s="598">
        <v>46.0</v>
      </c>
      <c r="I1633" s="598">
        <v>9.0</v>
      </c>
      <c r="J1633" s="598">
        <v>97.0</v>
      </c>
      <c r="K1633" s="1561">
        <v>647.0</v>
      </c>
      <c r="L1633" s="1555">
        <v>40425.0</v>
      </c>
    </row>
    <row r="1634">
      <c r="A1634" s="1545" t="s">
        <v>666</v>
      </c>
      <c r="B1634" s="1587">
        <v>7044.0</v>
      </c>
      <c r="C1634" s="1563">
        <v>525.0</v>
      </c>
      <c r="D1634" s="1548">
        <v>26.7</v>
      </c>
      <c r="E1634" s="1557">
        <v>2956.0</v>
      </c>
      <c r="F1634" s="598">
        <v>13.0</v>
      </c>
      <c r="G1634" s="598">
        <v>3718.0</v>
      </c>
      <c r="H1634" s="598">
        <v>13.0</v>
      </c>
      <c r="I1634" s="598">
        <v>0.0</v>
      </c>
      <c r="J1634" s="598">
        <v>48.0</v>
      </c>
      <c r="K1634" s="1561">
        <v>296.0</v>
      </c>
      <c r="L1634" s="1555">
        <v>39237.0</v>
      </c>
    </row>
    <row r="1635">
      <c r="A1635" s="1545" t="s">
        <v>1433</v>
      </c>
      <c r="B1635" s="1587">
        <v>6774.0</v>
      </c>
      <c r="C1635" s="1563">
        <v>186.0</v>
      </c>
      <c r="D1635" s="1548">
        <v>15.5</v>
      </c>
      <c r="E1635" s="1557">
        <v>6222.0</v>
      </c>
      <c r="F1635" s="598">
        <v>17.0</v>
      </c>
      <c r="G1635" s="598">
        <v>63.0</v>
      </c>
      <c r="H1635" s="598">
        <v>7.0</v>
      </c>
      <c r="I1635" s="598">
        <v>0.0</v>
      </c>
      <c r="J1635" s="598">
        <v>38.0</v>
      </c>
      <c r="K1635" s="1561">
        <v>427.0</v>
      </c>
      <c r="L1635" s="1555">
        <v>52840.0</v>
      </c>
    </row>
    <row r="1636">
      <c r="A1636" s="1545" t="s">
        <v>1434</v>
      </c>
      <c r="B1636" s="1587">
        <v>10473.0</v>
      </c>
      <c r="C1636" s="1563">
        <v>282.0</v>
      </c>
      <c r="D1636" s="1548">
        <v>15.2</v>
      </c>
      <c r="E1636" s="1557">
        <v>9720.0</v>
      </c>
      <c r="F1636" s="598">
        <v>22.0</v>
      </c>
      <c r="G1636" s="598">
        <v>111.0</v>
      </c>
      <c r="H1636" s="598">
        <v>21.0</v>
      </c>
      <c r="I1636" s="598">
        <v>0.0</v>
      </c>
      <c r="J1636" s="598">
        <v>75.0</v>
      </c>
      <c r="K1636" s="1561">
        <v>524.0</v>
      </c>
      <c r="L1636" s="1555">
        <v>53661.0</v>
      </c>
    </row>
    <row r="1637">
      <c r="A1637" s="1545" t="s">
        <v>1038</v>
      </c>
      <c r="B1637" s="1587">
        <v>1415.0</v>
      </c>
      <c r="C1637" s="1563">
        <v>49.0</v>
      </c>
      <c r="D1637" s="1548">
        <v>20.1</v>
      </c>
      <c r="E1637" s="1588">
        <v>1347.0</v>
      </c>
      <c r="F1637" s="1589">
        <v>0.0</v>
      </c>
      <c r="G1637" s="1589">
        <v>7.0</v>
      </c>
      <c r="H1637" s="1589">
        <v>1.0</v>
      </c>
      <c r="I1637" s="1589">
        <v>0.0</v>
      </c>
      <c r="J1637" s="1589">
        <v>4.0</v>
      </c>
      <c r="K1637" s="1590">
        <v>56.0</v>
      </c>
      <c r="L1637" s="1555">
        <v>47985.0</v>
      </c>
    </row>
    <row r="1638">
      <c r="A1638" s="1545" t="s">
        <v>1435</v>
      </c>
      <c r="B1638" s="1587">
        <v>84414.0</v>
      </c>
      <c r="C1638" s="1547">
        <v>2859.0</v>
      </c>
      <c r="D1638" s="1548">
        <v>16.0</v>
      </c>
      <c r="E1638" s="1557">
        <v>70265.0</v>
      </c>
      <c r="F1638" s="598">
        <v>1196.0</v>
      </c>
      <c r="G1638" s="598">
        <v>4004.0</v>
      </c>
      <c r="H1638" s="598">
        <v>952.0</v>
      </c>
      <c r="I1638" s="598">
        <v>123.0</v>
      </c>
      <c r="J1638" s="598">
        <v>1139.0</v>
      </c>
      <c r="K1638" s="1561">
        <v>6735.0</v>
      </c>
      <c r="L1638" s="1551">
        <v>50054.0</v>
      </c>
    </row>
    <row r="1639">
      <c r="A1639" s="1545" t="s">
        <v>1436</v>
      </c>
      <c r="B1639" s="1587">
        <v>5895.0</v>
      </c>
      <c r="C1639" s="1563">
        <v>331.0</v>
      </c>
      <c r="D1639" s="1548">
        <v>25.2</v>
      </c>
      <c r="E1639" s="1549">
        <v>4214.0</v>
      </c>
      <c r="F1639" s="1593">
        <v>10.0</v>
      </c>
      <c r="G1639" s="1593">
        <v>1409.0</v>
      </c>
      <c r="H1639" s="1593">
        <v>18.0</v>
      </c>
      <c r="I1639" s="1593">
        <v>0.0</v>
      </c>
      <c r="J1639" s="1593">
        <v>31.0</v>
      </c>
      <c r="K1639" s="1594">
        <v>213.0</v>
      </c>
      <c r="L1639" s="1551">
        <v>44645.0</v>
      </c>
    </row>
    <row r="1640">
      <c r="A1640" s="1545" t="s">
        <v>406</v>
      </c>
      <c r="B1640" s="1587">
        <v>11867.0</v>
      </c>
      <c r="C1640" s="1563">
        <v>378.0</v>
      </c>
      <c r="D1640" s="1548">
        <v>16.2</v>
      </c>
      <c r="E1640" s="1549">
        <v>10838.0</v>
      </c>
      <c r="F1640" s="1593">
        <v>71.0</v>
      </c>
      <c r="G1640" s="1593">
        <v>207.0</v>
      </c>
      <c r="H1640" s="1593">
        <v>52.0</v>
      </c>
      <c r="I1640" s="1593">
        <v>7.0</v>
      </c>
      <c r="J1640" s="1593">
        <v>101.0</v>
      </c>
      <c r="K1640" s="1594">
        <v>591.0</v>
      </c>
      <c r="L1640" s="1551">
        <v>50525.0</v>
      </c>
    </row>
    <row r="1641">
      <c r="A1641" s="1545" t="s">
        <v>1437</v>
      </c>
      <c r="B1641" s="1587">
        <v>1661.0</v>
      </c>
      <c r="C1641" s="1563">
        <v>37.0</v>
      </c>
      <c r="D1641" s="1548">
        <v>10.1</v>
      </c>
      <c r="E1641" s="1549">
        <v>1474.0</v>
      </c>
      <c r="F1641" s="1593">
        <v>0.0</v>
      </c>
      <c r="G1641" s="1593">
        <v>40.0</v>
      </c>
      <c r="H1641" s="1593">
        <v>13.0</v>
      </c>
      <c r="I1641" s="1593">
        <v>3.0</v>
      </c>
      <c r="J1641" s="1593">
        <v>2.0</v>
      </c>
      <c r="K1641" s="1594">
        <v>129.0</v>
      </c>
      <c r="L1641" s="1551">
        <v>44659.0</v>
      </c>
    </row>
    <row r="1642">
      <c r="A1642" s="1545" t="s">
        <v>562</v>
      </c>
      <c r="B1642" s="1587">
        <v>8940.0</v>
      </c>
      <c r="C1642" s="1563">
        <v>249.0</v>
      </c>
      <c r="D1642" s="1548">
        <v>13.4</v>
      </c>
      <c r="E1642" s="1549">
        <v>8080.0</v>
      </c>
      <c r="F1642" s="1593">
        <v>42.0</v>
      </c>
      <c r="G1642" s="1593">
        <v>178.0</v>
      </c>
      <c r="H1642" s="1593">
        <v>57.0</v>
      </c>
      <c r="I1642" s="1593">
        <v>1.0</v>
      </c>
      <c r="J1642" s="1593">
        <v>100.0</v>
      </c>
      <c r="K1642" s="1594">
        <v>482.0</v>
      </c>
      <c r="L1642" s="1551">
        <v>56167.0</v>
      </c>
    </row>
    <row r="1643">
      <c r="A1643" s="1545" t="s">
        <v>1438</v>
      </c>
      <c r="B1643" s="1587">
        <v>9421.0</v>
      </c>
      <c r="C1643" s="1563">
        <v>267.0</v>
      </c>
      <c r="D1643" s="1548">
        <v>21.6</v>
      </c>
      <c r="E1643" s="1549">
        <v>8638.0</v>
      </c>
      <c r="F1643" s="1593">
        <v>23.0</v>
      </c>
      <c r="G1643" s="1593">
        <v>239.0</v>
      </c>
      <c r="H1643" s="1593">
        <v>37.0</v>
      </c>
      <c r="I1643" s="1593">
        <v>2.0</v>
      </c>
      <c r="J1643" s="1593">
        <v>48.0</v>
      </c>
      <c r="K1643" s="1594">
        <v>434.0</v>
      </c>
      <c r="L1643" s="1551">
        <v>45641.0</v>
      </c>
    </row>
    <row r="1644">
      <c r="A1644" s="1545" t="s">
        <v>1439</v>
      </c>
      <c r="B1644" s="1587">
        <v>3049.0</v>
      </c>
      <c r="C1644" s="1563">
        <v>90.0</v>
      </c>
      <c r="D1644" s="1548">
        <v>11.4</v>
      </c>
      <c r="E1644" s="1549">
        <v>2888.0</v>
      </c>
      <c r="F1644" s="1593">
        <v>5.0</v>
      </c>
      <c r="G1644" s="1593">
        <v>27.0</v>
      </c>
      <c r="H1644" s="1593">
        <v>7.0</v>
      </c>
      <c r="I1644" s="1593">
        <v>3.0</v>
      </c>
      <c r="J1644" s="1593">
        <v>11.0</v>
      </c>
      <c r="K1644" s="1594">
        <v>108.0</v>
      </c>
      <c r="L1644" s="1551">
        <v>62029.0</v>
      </c>
    </row>
    <row r="1645">
      <c r="A1645" s="1545" t="s">
        <v>1440</v>
      </c>
      <c r="B1645" s="1587">
        <v>11446.0</v>
      </c>
      <c r="C1645" s="1563">
        <v>364.0</v>
      </c>
      <c r="D1645" s="1548">
        <v>16.2</v>
      </c>
      <c r="E1645" s="1549">
        <v>10673.0</v>
      </c>
      <c r="F1645" s="1593">
        <v>21.0</v>
      </c>
      <c r="G1645" s="1593">
        <v>132.0</v>
      </c>
      <c r="H1645" s="1593">
        <v>38.0</v>
      </c>
      <c r="I1645" s="1593">
        <v>0.0</v>
      </c>
      <c r="J1645" s="1593">
        <v>60.0</v>
      </c>
      <c r="K1645" s="1594">
        <v>522.0</v>
      </c>
      <c r="L1645" s="1555">
        <v>49147.0</v>
      </c>
    </row>
    <row r="1646">
      <c r="A1646" s="1545" t="s">
        <v>1441</v>
      </c>
      <c r="B1646" s="1587">
        <v>104357.0</v>
      </c>
      <c r="C1646" s="1547">
        <v>3438.0</v>
      </c>
      <c r="D1646" s="1548">
        <v>15.5</v>
      </c>
      <c r="E1646" s="1557">
        <v>94605.0</v>
      </c>
      <c r="F1646" s="598">
        <v>280.0</v>
      </c>
      <c r="G1646" s="598">
        <v>985.0</v>
      </c>
      <c r="H1646" s="598">
        <v>717.0</v>
      </c>
      <c r="I1646" s="598">
        <v>90.0</v>
      </c>
      <c r="J1646" s="598">
        <v>1039.0</v>
      </c>
      <c r="K1646" s="1561">
        <v>6641.0</v>
      </c>
      <c r="L1646" s="1555">
        <v>54382.0</v>
      </c>
    </row>
    <row r="1647">
      <c r="A1647" s="1545" t="s">
        <v>719</v>
      </c>
      <c r="B1647" s="1587">
        <v>118960.0</v>
      </c>
      <c r="C1647" s="1547">
        <v>1691.0</v>
      </c>
      <c r="D1647" s="1548">
        <v>7.6</v>
      </c>
      <c r="E1647" s="1557">
        <v>105886.0</v>
      </c>
      <c r="F1647" s="598">
        <v>526.0</v>
      </c>
      <c r="G1647" s="598">
        <v>1043.0</v>
      </c>
      <c r="H1647" s="598">
        <v>1413.0</v>
      </c>
      <c r="I1647" s="598">
        <v>99.0</v>
      </c>
      <c r="J1647" s="598">
        <v>2184.0</v>
      </c>
      <c r="K1647" s="1561">
        <v>7809.0</v>
      </c>
      <c r="L1647" s="1551">
        <v>67569.0</v>
      </c>
    </row>
    <row r="1648">
      <c r="A1648" s="1545" t="s">
        <v>417</v>
      </c>
      <c r="B1648" s="1587">
        <v>1173.0</v>
      </c>
      <c r="C1648" s="1563">
        <v>77.0</v>
      </c>
      <c r="D1648" s="1548">
        <v>27.4</v>
      </c>
      <c r="E1648" s="1557">
        <v>1126.0</v>
      </c>
      <c r="F1648" s="598">
        <v>0.0</v>
      </c>
      <c r="G1648" s="598">
        <v>10.0</v>
      </c>
      <c r="H1648" s="598">
        <v>2.0</v>
      </c>
      <c r="I1648" s="598">
        <v>1.0</v>
      </c>
      <c r="J1648" s="598">
        <v>6.0</v>
      </c>
      <c r="K1648" s="1561">
        <v>28.0</v>
      </c>
      <c r="L1648" s="1551">
        <v>44580.0</v>
      </c>
    </row>
    <row r="1649">
      <c r="A1649" s="1545" t="s">
        <v>1442</v>
      </c>
      <c r="B1649" s="1587">
        <v>13778.0</v>
      </c>
      <c r="C1649" s="1547">
        <v>1449.0</v>
      </c>
      <c r="D1649" s="1548">
        <v>35.4</v>
      </c>
      <c r="E1649" s="1557">
        <v>3526.0</v>
      </c>
      <c r="F1649" s="598">
        <v>20.0</v>
      </c>
      <c r="G1649" s="598">
        <v>9253.0</v>
      </c>
      <c r="H1649" s="598">
        <v>40.0</v>
      </c>
      <c r="I1649" s="598">
        <v>16.0</v>
      </c>
      <c r="J1649" s="598">
        <v>33.0</v>
      </c>
      <c r="K1649" s="1561">
        <v>890.0</v>
      </c>
      <c r="L1649" s="1551">
        <v>37719.0</v>
      </c>
    </row>
    <row r="1650">
      <c r="A1650" s="1545" t="s">
        <v>1443</v>
      </c>
      <c r="B1650" s="1587">
        <v>823.0</v>
      </c>
      <c r="C1650" s="1563">
        <v>47.0</v>
      </c>
      <c r="D1650" s="1548">
        <v>32.6</v>
      </c>
      <c r="E1650" s="1557">
        <v>724.0</v>
      </c>
      <c r="F1650" s="598">
        <v>10.0</v>
      </c>
      <c r="G1650" s="598">
        <v>4.0</v>
      </c>
      <c r="H1650" s="598">
        <v>0.0</v>
      </c>
      <c r="I1650" s="598">
        <v>4.0</v>
      </c>
      <c r="J1650" s="598">
        <v>19.0</v>
      </c>
      <c r="K1650" s="1561">
        <v>62.0</v>
      </c>
      <c r="L1650" s="1551">
        <v>38782.0</v>
      </c>
    </row>
    <row r="1651">
      <c r="A1651" s="1545" t="s">
        <v>1444</v>
      </c>
      <c r="B1651" s="1587">
        <v>3309.0</v>
      </c>
      <c r="C1651" s="1563">
        <v>103.0</v>
      </c>
      <c r="D1651" s="1548">
        <v>20.1</v>
      </c>
      <c r="E1651" s="1557">
        <v>3089.0</v>
      </c>
      <c r="F1651" s="598">
        <v>0.0</v>
      </c>
      <c r="G1651" s="598">
        <v>31.0</v>
      </c>
      <c r="H1651" s="598">
        <v>8.0</v>
      </c>
      <c r="I1651" s="598">
        <v>3.0</v>
      </c>
      <c r="J1651" s="598">
        <v>30.0</v>
      </c>
      <c r="K1651" s="1561">
        <v>148.0</v>
      </c>
      <c r="L1651" s="1551">
        <v>48410.0</v>
      </c>
    </row>
    <row r="1652">
      <c r="A1652" s="1545" t="s">
        <v>1445</v>
      </c>
      <c r="B1652" s="1587">
        <v>16309.0</v>
      </c>
      <c r="C1652" s="1563">
        <v>774.0</v>
      </c>
      <c r="D1652" s="1548">
        <v>17.6</v>
      </c>
      <c r="E1652" s="1557">
        <v>11172.0</v>
      </c>
      <c r="F1652" s="598">
        <v>46.0</v>
      </c>
      <c r="G1652" s="598">
        <v>3763.0</v>
      </c>
      <c r="H1652" s="598">
        <v>79.0</v>
      </c>
      <c r="I1652" s="598">
        <v>8.0</v>
      </c>
      <c r="J1652" s="598">
        <v>104.0</v>
      </c>
      <c r="K1652" s="1561">
        <v>1137.0</v>
      </c>
      <c r="L1652" s="1551">
        <v>50136.0</v>
      </c>
    </row>
    <row r="1653">
      <c r="A1653" s="1545" t="s">
        <v>143</v>
      </c>
      <c r="B1653" s="1587">
        <v>12085.0</v>
      </c>
      <c r="C1653" s="1563">
        <v>251.0</v>
      </c>
      <c r="D1653" s="1548">
        <v>10.4</v>
      </c>
      <c r="E1653" s="1557">
        <v>11016.0</v>
      </c>
      <c r="F1653" s="598">
        <v>16.0</v>
      </c>
      <c r="G1653" s="598">
        <v>162.0</v>
      </c>
      <c r="H1653" s="598">
        <v>50.0</v>
      </c>
      <c r="I1653" s="598">
        <v>0.0</v>
      </c>
      <c r="J1653" s="598">
        <v>93.0</v>
      </c>
      <c r="K1653" s="1561">
        <v>748.0</v>
      </c>
      <c r="L1653" s="1551">
        <v>68381.0</v>
      </c>
    </row>
    <row r="1654">
      <c r="A1654" s="1545" t="s">
        <v>1446</v>
      </c>
      <c r="B1654" s="1587">
        <v>2023.0</v>
      </c>
      <c r="C1654" s="1563">
        <v>63.0</v>
      </c>
      <c r="D1654" s="1548">
        <v>16.8</v>
      </c>
      <c r="E1654" s="1557">
        <v>1895.0</v>
      </c>
      <c r="F1654" s="598">
        <v>9.0</v>
      </c>
      <c r="G1654" s="598">
        <v>1.0</v>
      </c>
      <c r="H1654" s="598">
        <v>4.0</v>
      </c>
      <c r="I1654" s="598">
        <v>3.0</v>
      </c>
      <c r="J1654" s="598">
        <v>19.0</v>
      </c>
      <c r="K1654" s="1561">
        <v>92.0</v>
      </c>
      <c r="L1654" s="1551">
        <v>50197.0</v>
      </c>
    </row>
    <row r="1655">
      <c r="A1655" s="1545" t="s">
        <v>337</v>
      </c>
      <c r="B1655" s="1587">
        <v>31134.0</v>
      </c>
      <c r="C1655" s="1547">
        <v>1816.0</v>
      </c>
      <c r="D1655" s="1548">
        <v>26.2</v>
      </c>
      <c r="E1655" s="1557">
        <v>20640.0</v>
      </c>
      <c r="F1655" s="598">
        <v>64.0</v>
      </c>
      <c r="G1655" s="598">
        <v>6953.0</v>
      </c>
      <c r="H1655" s="598">
        <v>141.0</v>
      </c>
      <c r="I1655" s="598">
        <v>25.0</v>
      </c>
      <c r="J1655" s="598">
        <v>249.0</v>
      </c>
      <c r="K1655" s="1561">
        <v>3062.0</v>
      </c>
      <c r="L1655" s="1555">
        <v>44833.0</v>
      </c>
    </row>
    <row r="1656">
      <c r="A1656" s="1545" t="s">
        <v>1447</v>
      </c>
      <c r="B1656" s="1587">
        <v>70973.0</v>
      </c>
      <c r="C1656" s="1547">
        <v>1931.0</v>
      </c>
      <c r="D1656" s="1548">
        <v>13.4</v>
      </c>
      <c r="E1656" s="1557">
        <v>63037.0</v>
      </c>
      <c r="F1656" s="598">
        <v>282.0</v>
      </c>
      <c r="G1656" s="598">
        <v>1363.0</v>
      </c>
      <c r="H1656" s="598">
        <v>559.0</v>
      </c>
      <c r="I1656" s="598">
        <v>54.0</v>
      </c>
      <c r="J1656" s="598">
        <v>673.0</v>
      </c>
      <c r="K1656" s="1561">
        <v>5005.0</v>
      </c>
      <c r="L1656" s="1551">
        <v>63860.0</v>
      </c>
    </row>
    <row r="1657">
      <c r="A1657" s="1545" t="s">
        <v>508</v>
      </c>
      <c r="B1657" s="1587">
        <v>1959.0</v>
      </c>
      <c r="C1657" s="1563">
        <v>118.0</v>
      </c>
      <c r="D1657" s="1548">
        <v>26.9</v>
      </c>
      <c r="E1657" s="1557">
        <v>1856.0</v>
      </c>
      <c r="F1657" s="598">
        <v>2.0</v>
      </c>
      <c r="G1657" s="598">
        <v>10.0</v>
      </c>
      <c r="H1657" s="598">
        <v>6.0</v>
      </c>
      <c r="I1657" s="598">
        <v>1.0</v>
      </c>
      <c r="J1657" s="598">
        <v>6.0</v>
      </c>
      <c r="K1657" s="1561">
        <v>78.0</v>
      </c>
      <c r="L1657" s="1551">
        <v>42742.0</v>
      </c>
    </row>
    <row r="1658">
      <c r="A1658" s="1545" t="s">
        <v>290</v>
      </c>
      <c r="B1658" s="1587">
        <v>19677.0</v>
      </c>
      <c r="C1658" s="1547">
        <v>1180.0</v>
      </c>
      <c r="D1658" s="1548">
        <v>33.7</v>
      </c>
      <c r="E1658" s="1557">
        <v>17948.0</v>
      </c>
      <c r="F1658" s="598">
        <v>37.0</v>
      </c>
      <c r="G1658" s="598">
        <v>223.0</v>
      </c>
      <c r="H1658" s="598">
        <v>101.0</v>
      </c>
      <c r="I1658" s="598">
        <v>22.0</v>
      </c>
      <c r="J1658" s="598">
        <v>178.0</v>
      </c>
      <c r="K1658" s="1561">
        <v>1168.0</v>
      </c>
      <c r="L1658" s="1551">
        <v>40602.0</v>
      </c>
    </row>
    <row r="1659">
      <c r="A1659" s="1545" t="s">
        <v>1448</v>
      </c>
      <c r="B1659" s="1587">
        <v>1729.0</v>
      </c>
      <c r="C1659" s="1563">
        <v>60.0</v>
      </c>
      <c r="D1659" s="1548">
        <v>17.9</v>
      </c>
      <c r="E1659" s="1557">
        <v>1606.0</v>
      </c>
      <c r="F1659" s="598">
        <v>1.0</v>
      </c>
      <c r="G1659" s="598">
        <v>23.0</v>
      </c>
      <c r="H1659" s="598">
        <v>8.0</v>
      </c>
      <c r="I1659" s="598">
        <v>2.0</v>
      </c>
      <c r="J1659" s="598">
        <v>15.0</v>
      </c>
      <c r="K1659" s="1561">
        <v>74.0</v>
      </c>
      <c r="L1659" s="1551">
        <v>43650.0</v>
      </c>
    </row>
    <row r="1660">
      <c r="A1660" s="1545" t="s">
        <v>151</v>
      </c>
      <c r="B1660" s="1587">
        <v>8623.0</v>
      </c>
      <c r="C1660" s="1563">
        <v>198.0</v>
      </c>
      <c r="D1660" s="1548">
        <v>14.6</v>
      </c>
      <c r="E1660" s="1557">
        <v>8012.0</v>
      </c>
      <c r="F1660" s="598">
        <v>15.0</v>
      </c>
      <c r="G1660" s="598">
        <v>34.0</v>
      </c>
      <c r="H1660" s="598">
        <v>30.0</v>
      </c>
      <c r="I1660" s="598">
        <v>6.0</v>
      </c>
      <c r="J1660" s="598">
        <v>94.0</v>
      </c>
      <c r="K1660" s="1561">
        <v>432.0</v>
      </c>
      <c r="L1660" s="1551">
        <v>53031.0</v>
      </c>
    </row>
    <row r="1661">
      <c r="A1661" s="1545" t="s">
        <v>1449</v>
      </c>
      <c r="B1661" s="1587">
        <v>1927.0</v>
      </c>
      <c r="C1661" s="1563">
        <v>97.0</v>
      </c>
      <c r="D1661" s="1548">
        <v>31.3</v>
      </c>
      <c r="E1661" s="1557">
        <v>1789.0</v>
      </c>
      <c r="F1661" s="598">
        <v>13.0</v>
      </c>
      <c r="G1661" s="598">
        <v>4.0</v>
      </c>
      <c r="H1661" s="598">
        <v>3.0</v>
      </c>
      <c r="I1661" s="598">
        <v>0.0</v>
      </c>
      <c r="J1661" s="598">
        <v>10.0</v>
      </c>
      <c r="K1661" s="1561">
        <v>108.0</v>
      </c>
      <c r="L1661" s="1551">
        <v>44572.0</v>
      </c>
    </row>
    <row r="1662">
      <c r="A1662" s="1545" t="s">
        <v>435</v>
      </c>
      <c r="B1662" s="1587">
        <v>4535.0</v>
      </c>
      <c r="C1662" s="1563">
        <v>190.0</v>
      </c>
      <c r="D1662" s="1548">
        <v>24.9</v>
      </c>
      <c r="E1662" s="1557">
        <v>4097.0</v>
      </c>
      <c r="F1662" s="598">
        <v>10.0</v>
      </c>
      <c r="G1662" s="598">
        <v>68.0</v>
      </c>
      <c r="H1662" s="598">
        <v>21.0</v>
      </c>
      <c r="I1662" s="598">
        <v>5.0</v>
      </c>
      <c r="J1662" s="598">
        <v>43.0</v>
      </c>
      <c r="K1662" s="1561">
        <v>291.0</v>
      </c>
      <c r="L1662" s="1555">
        <v>43458.0</v>
      </c>
    </row>
    <row r="1663">
      <c r="A1663" s="1545" t="s">
        <v>1450</v>
      </c>
      <c r="B1663" s="1587">
        <v>117922.0</v>
      </c>
      <c r="C1663" s="1547">
        <v>2904.0</v>
      </c>
      <c r="D1663" s="1548">
        <v>13.2</v>
      </c>
      <c r="E1663" s="1557">
        <v>101540.0</v>
      </c>
      <c r="F1663" s="598">
        <v>752.0</v>
      </c>
      <c r="G1663" s="598">
        <v>3299.0</v>
      </c>
      <c r="H1663" s="598">
        <v>1456.0</v>
      </c>
      <c r="I1663" s="598">
        <v>125.0</v>
      </c>
      <c r="J1663" s="598">
        <v>2629.0</v>
      </c>
      <c r="K1663" s="1561">
        <v>8121.0</v>
      </c>
      <c r="L1663" s="1551">
        <v>56207.0</v>
      </c>
    </row>
    <row r="1664">
      <c r="A1664" s="1545" t="s">
        <v>1451</v>
      </c>
      <c r="B1664" s="1587">
        <v>4730.0</v>
      </c>
      <c r="C1664" s="1563">
        <v>227.0</v>
      </c>
      <c r="D1664" s="1548">
        <v>27.2</v>
      </c>
      <c r="E1664" s="1557">
        <v>4339.0</v>
      </c>
      <c r="F1664" s="598">
        <v>7.0</v>
      </c>
      <c r="G1664" s="598">
        <v>102.0</v>
      </c>
      <c r="H1664" s="598">
        <v>22.0</v>
      </c>
      <c r="I1664" s="598">
        <v>6.0</v>
      </c>
      <c r="J1664" s="598">
        <v>40.0</v>
      </c>
      <c r="K1664" s="1561">
        <v>214.0</v>
      </c>
      <c r="L1664" s="1551">
        <v>43371.0</v>
      </c>
    </row>
    <row r="1665">
      <c r="A1665" s="1545" t="s">
        <v>445</v>
      </c>
      <c r="B1665" s="1587">
        <v>17191.0</v>
      </c>
      <c r="C1665" s="1563">
        <v>386.0</v>
      </c>
      <c r="D1665" s="1548">
        <v>13.4</v>
      </c>
      <c r="E1665" s="1557">
        <v>15849.0</v>
      </c>
      <c r="F1665" s="598">
        <v>62.0</v>
      </c>
      <c r="G1665" s="598">
        <v>159.0</v>
      </c>
      <c r="H1665" s="598">
        <v>75.0</v>
      </c>
      <c r="I1665" s="598">
        <v>1.0</v>
      </c>
      <c r="J1665" s="598">
        <v>130.0</v>
      </c>
      <c r="K1665" s="1561">
        <v>915.0</v>
      </c>
      <c r="L1665" s="1551">
        <v>61044.0</v>
      </c>
    </row>
    <row r="1666">
      <c r="A1666" s="1545" t="s">
        <v>1452</v>
      </c>
      <c r="B1666" s="1621">
        <v>496.0</v>
      </c>
      <c r="C1666" s="1563">
        <v>29.0</v>
      </c>
      <c r="D1666" s="1548">
        <v>31.5</v>
      </c>
      <c r="E1666" s="1557">
        <v>466.0</v>
      </c>
      <c r="F1666" s="598">
        <v>0.0</v>
      </c>
      <c r="G1666" s="598">
        <v>0.0</v>
      </c>
      <c r="H1666" s="598">
        <v>1.0</v>
      </c>
      <c r="I1666" s="598">
        <v>0.0</v>
      </c>
      <c r="J1666" s="598">
        <v>0.0</v>
      </c>
      <c r="K1666" s="1561">
        <v>29.0</v>
      </c>
      <c r="L1666" s="1551">
        <v>41009.0</v>
      </c>
    </row>
    <row r="1667">
      <c r="A1667" s="1545" t="s">
        <v>300</v>
      </c>
      <c r="B1667" s="1587">
        <v>4217.0</v>
      </c>
      <c r="C1667" s="1563">
        <v>211.0</v>
      </c>
      <c r="D1667" s="1548">
        <v>22.4</v>
      </c>
      <c r="E1667" s="1557">
        <v>3524.0</v>
      </c>
      <c r="F1667" s="598">
        <v>5.0</v>
      </c>
      <c r="G1667" s="598">
        <v>341.0</v>
      </c>
      <c r="H1667" s="598">
        <v>15.0</v>
      </c>
      <c r="I1667" s="598">
        <v>0.0</v>
      </c>
      <c r="J1667" s="598">
        <v>50.0</v>
      </c>
      <c r="K1667" s="1561">
        <v>282.0</v>
      </c>
      <c r="L1667" s="1551">
        <v>44730.0</v>
      </c>
    </row>
    <row r="1668">
      <c r="A1668" s="1545" t="s">
        <v>1453</v>
      </c>
      <c r="B1668" s="1587">
        <v>5898.0</v>
      </c>
      <c r="C1668" s="1563">
        <v>346.0</v>
      </c>
      <c r="D1668" s="1548">
        <v>26.8</v>
      </c>
      <c r="E1668" s="1557">
        <v>4676.0</v>
      </c>
      <c r="F1668" s="598">
        <v>5.0</v>
      </c>
      <c r="G1668" s="598">
        <v>907.0</v>
      </c>
      <c r="H1668" s="598">
        <v>25.0</v>
      </c>
      <c r="I1668" s="598">
        <v>11.0</v>
      </c>
      <c r="J1668" s="598">
        <v>17.0</v>
      </c>
      <c r="K1668" s="1561">
        <v>257.0</v>
      </c>
      <c r="L1668" s="1551">
        <v>42890.0</v>
      </c>
    </row>
    <row r="1669">
      <c r="A1669" s="1545" t="s">
        <v>1454</v>
      </c>
      <c r="B1669" s="1587">
        <v>1694.0</v>
      </c>
      <c r="C1669" s="1563">
        <v>46.0</v>
      </c>
      <c r="D1669" s="1548">
        <v>16.4</v>
      </c>
      <c r="E1669" s="1557">
        <v>1547.0</v>
      </c>
      <c r="F1669" s="598">
        <v>5.0</v>
      </c>
      <c r="G1669" s="598">
        <v>33.0</v>
      </c>
      <c r="H1669" s="598">
        <v>0.0</v>
      </c>
      <c r="I1669" s="598">
        <v>0.0</v>
      </c>
      <c r="J1669" s="598">
        <v>10.0</v>
      </c>
      <c r="K1669" s="1561">
        <v>99.0</v>
      </c>
      <c r="L1669" s="1551">
        <v>47378.0</v>
      </c>
    </row>
    <row r="1670">
      <c r="A1670" s="1545" t="s">
        <v>1130</v>
      </c>
      <c r="B1670" s="1587">
        <v>6946.0</v>
      </c>
      <c r="C1670" s="1563">
        <v>210.0</v>
      </c>
      <c r="D1670" s="1548">
        <v>20.8</v>
      </c>
      <c r="E1670" s="1557">
        <v>6092.0</v>
      </c>
      <c r="F1670" s="598">
        <v>67.0</v>
      </c>
      <c r="G1670" s="598">
        <v>408.0</v>
      </c>
      <c r="H1670" s="598">
        <v>23.0</v>
      </c>
      <c r="I1670" s="598">
        <v>3.0</v>
      </c>
      <c r="J1670" s="598">
        <v>22.0</v>
      </c>
      <c r="K1670" s="1561">
        <v>331.0</v>
      </c>
      <c r="L1670" s="1551">
        <v>48966.0</v>
      </c>
    </row>
    <row r="1671">
      <c r="A1671" s="1545" t="s">
        <v>304</v>
      </c>
      <c r="B1671" s="1587">
        <v>1088.0</v>
      </c>
      <c r="C1671" s="1563">
        <v>44.0</v>
      </c>
      <c r="D1671" s="1548">
        <v>23.9</v>
      </c>
      <c r="E1671" s="1557">
        <v>1004.0</v>
      </c>
      <c r="F1671" s="598">
        <v>2.0</v>
      </c>
      <c r="G1671" s="598">
        <v>13.0</v>
      </c>
      <c r="H1671" s="598">
        <v>7.0</v>
      </c>
      <c r="I1671" s="598">
        <v>0.0</v>
      </c>
      <c r="J1671" s="598">
        <v>0.0</v>
      </c>
      <c r="K1671" s="1561">
        <v>62.0</v>
      </c>
      <c r="L1671" s="1551">
        <v>42754.0</v>
      </c>
    </row>
    <row r="1672">
      <c r="A1672" s="1545" t="s">
        <v>1455</v>
      </c>
      <c r="B1672" s="1587">
        <v>44174.0</v>
      </c>
      <c r="C1672" s="1547">
        <v>1875.0</v>
      </c>
      <c r="D1672" s="1548">
        <v>23.0</v>
      </c>
      <c r="E1672" s="1557">
        <v>40362.0</v>
      </c>
      <c r="F1672" s="598">
        <v>94.0</v>
      </c>
      <c r="G1672" s="598">
        <v>369.0</v>
      </c>
      <c r="H1672" s="598">
        <v>253.0</v>
      </c>
      <c r="I1672" s="598">
        <v>29.0</v>
      </c>
      <c r="J1672" s="598">
        <v>534.0</v>
      </c>
      <c r="K1672" s="1561">
        <v>2533.0</v>
      </c>
      <c r="L1672" s="1551">
        <v>50055.0</v>
      </c>
    </row>
    <row r="1673">
      <c r="A1673" s="1545" t="s">
        <v>743</v>
      </c>
      <c r="B1673" s="1587">
        <v>11491.0</v>
      </c>
      <c r="C1673" s="1563">
        <v>280.0</v>
      </c>
      <c r="D1673" s="1548">
        <v>10.3</v>
      </c>
      <c r="E1673" s="1557">
        <v>10117.0</v>
      </c>
      <c r="F1673" s="598">
        <v>63.0</v>
      </c>
      <c r="G1673" s="598">
        <v>180.0</v>
      </c>
      <c r="H1673" s="598">
        <v>121.0</v>
      </c>
      <c r="I1673" s="598">
        <v>5.0</v>
      </c>
      <c r="J1673" s="598">
        <v>205.0</v>
      </c>
      <c r="K1673" s="1561">
        <v>800.0</v>
      </c>
      <c r="L1673" s="1551">
        <v>67242.0</v>
      </c>
    </row>
    <row r="1674">
      <c r="A1674" s="1545" t="s">
        <v>1456</v>
      </c>
      <c r="B1674" s="1587">
        <v>10794.0</v>
      </c>
      <c r="C1674" s="1547">
        <v>1065.0</v>
      </c>
      <c r="D1674" s="1548">
        <v>29.2</v>
      </c>
      <c r="E1674" s="1557">
        <v>3630.0</v>
      </c>
      <c r="F1674" s="598">
        <v>32.0</v>
      </c>
      <c r="G1674" s="598">
        <v>6246.0</v>
      </c>
      <c r="H1674" s="598">
        <v>48.0</v>
      </c>
      <c r="I1674" s="598">
        <v>0.0</v>
      </c>
      <c r="J1674" s="598">
        <v>62.0</v>
      </c>
      <c r="K1674" s="1561">
        <v>776.0</v>
      </c>
      <c r="L1674" s="1551">
        <v>40179.0</v>
      </c>
    </row>
    <row r="1675">
      <c r="A1675" s="1545" t="s">
        <v>1457</v>
      </c>
      <c r="B1675" s="1587">
        <v>8329.0</v>
      </c>
      <c r="C1675" s="1563">
        <v>570.0</v>
      </c>
      <c r="D1675" s="1548">
        <v>22.0</v>
      </c>
      <c r="E1675" s="1557">
        <v>4834.0</v>
      </c>
      <c r="F1675" s="598">
        <v>20.0</v>
      </c>
      <c r="G1675" s="598">
        <v>2948.0</v>
      </c>
      <c r="H1675" s="598">
        <v>38.0</v>
      </c>
      <c r="I1675" s="598">
        <v>2.0</v>
      </c>
      <c r="J1675" s="598">
        <v>60.0</v>
      </c>
      <c r="K1675" s="1561">
        <v>427.0</v>
      </c>
      <c r="L1675" s="1551">
        <v>57674.0</v>
      </c>
    </row>
    <row r="1676">
      <c r="A1676" s="1545" t="s">
        <v>1458</v>
      </c>
      <c r="B1676" s="1587">
        <v>12400.0</v>
      </c>
      <c r="C1676" s="1563">
        <v>499.0</v>
      </c>
      <c r="D1676" s="1548">
        <v>24.8</v>
      </c>
      <c r="E1676" s="1557">
        <v>10888.0</v>
      </c>
      <c r="F1676" s="598">
        <v>23.0</v>
      </c>
      <c r="G1676" s="598">
        <v>459.0</v>
      </c>
      <c r="H1676" s="598">
        <v>56.0</v>
      </c>
      <c r="I1676" s="598">
        <v>3.0</v>
      </c>
      <c r="J1676" s="598">
        <v>147.0</v>
      </c>
      <c r="K1676" s="1561">
        <v>824.0</v>
      </c>
      <c r="L1676" s="1551">
        <v>39861.0</v>
      </c>
    </row>
    <row r="1677">
      <c r="A1677" s="1545" t="s">
        <v>1010</v>
      </c>
      <c r="B1677" s="1587">
        <v>3539.0</v>
      </c>
      <c r="C1677" s="1563">
        <v>91.0</v>
      </c>
      <c r="D1677" s="1548">
        <v>13.2</v>
      </c>
      <c r="E1677" s="1557">
        <v>3200.0</v>
      </c>
      <c r="F1677" s="598">
        <v>14.0</v>
      </c>
      <c r="G1677" s="598">
        <v>63.0</v>
      </c>
      <c r="H1677" s="598">
        <v>13.0</v>
      </c>
      <c r="I1677" s="598">
        <v>0.0</v>
      </c>
      <c r="J1677" s="598">
        <v>25.0</v>
      </c>
      <c r="K1677" s="1561">
        <v>224.0</v>
      </c>
      <c r="L1677" s="1551">
        <v>51690.0</v>
      </c>
    </row>
    <row r="1678">
      <c r="A1678" s="1545" t="s">
        <v>1459</v>
      </c>
      <c r="B1678" s="1587">
        <v>35133.0</v>
      </c>
      <c r="C1678" s="1547">
        <v>1399.0</v>
      </c>
      <c r="D1678" s="1548">
        <v>20.1</v>
      </c>
      <c r="E1678" s="1557">
        <v>31800.0</v>
      </c>
      <c r="F1678" s="598">
        <v>131.0</v>
      </c>
      <c r="G1678" s="598">
        <v>565.0</v>
      </c>
      <c r="H1678" s="598">
        <v>219.0</v>
      </c>
      <c r="I1678" s="598">
        <v>20.0</v>
      </c>
      <c r="J1678" s="598">
        <v>338.0</v>
      </c>
      <c r="K1678" s="1561">
        <v>2060.0</v>
      </c>
      <c r="L1678" s="1551">
        <v>47302.0</v>
      </c>
    </row>
    <row r="1679">
      <c r="A1679" s="1545" t="s">
        <v>1460</v>
      </c>
      <c r="B1679" s="1587">
        <v>8963.0</v>
      </c>
      <c r="C1679" s="1563">
        <v>224.0</v>
      </c>
      <c r="D1679" s="1548">
        <v>10.9</v>
      </c>
      <c r="E1679" s="1557">
        <v>8216.0</v>
      </c>
      <c r="F1679" s="598">
        <v>17.0</v>
      </c>
      <c r="G1679" s="598">
        <v>89.0</v>
      </c>
      <c r="H1679" s="598">
        <v>25.0</v>
      </c>
      <c r="I1679" s="598">
        <v>0.0</v>
      </c>
      <c r="J1679" s="598">
        <v>83.0</v>
      </c>
      <c r="K1679" s="1561">
        <v>533.0</v>
      </c>
      <c r="L1679" s="1551">
        <v>66226.0</v>
      </c>
    </row>
    <row r="1680">
      <c r="A1680" s="1545" t="s">
        <v>1461</v>
      </c>
      <c r="B1680" s="1587">
        <v>3678.0</v>
      </c>
      <c r="C1680" s="1563">
        <v>90.0</v>
      </c>
      <c r="D1680" s="1548">
        <v>12.4</v>
      </c>
      <c r="E1680" s="1557">
        <v>3375.0</v>
      </c>
      <c r="F1680" s="598">
        <v>8.0</v>
      </c>
      <c r="G1680" s="598">
        <v>25.0</v>
      </c>
      <c r="H1680" s="598">
        <v>15.0</v>
      </c>
      <c r="I1680" s="598">
        <v>4.0</v>
      </c>
      <c r="J1680" s="598">
        <v>23.0</v>
      </c>
      <c r="K1680" s="1561">
        <v>228.0</v>
      </c>
      <c r="L1680" s="1551">
        <v>52747.0</v>
      </c>
    </row>
    <row r="1681">
      <c r="A1681" s="1545" t="s">
        <v>690</v>
      </c>
      <c r="B1681" s="1587">
        <v>6226.0</v>
      </c>
      <c r="C1681" s="1563">
        <v>289.0</v>
      </c>
      <c r="D1681" s="1548">
        <v>21.5</v>
      </c>
      <c r="E1681" s="1557">
        <v>5685.0</v>
      </c>
      <c r="F1681" s="598">
        <v>21.0</v>
      </c>
      <c r="G1681" s="598">
        <v>102.0</v>
      </c>
      <c r="H1681" s="598">
        <v>18.0</v>
      </c>
      <c r="I1681" s="598">
        <v>6.0</v>
      </c>
      <c r="J1681" s="598">
        <v>45.0</v>
      </c>
      <c r="K1681" s="1561">
        <v>349.0</v>
      </c>
      <c r="L1681" s="1551">
        <v>48368.0</v>
      </c>
    </row>
    <row r="1682">
      <c r="A1682" s="1545" t="s">
        <v>1462</v>
      </c>
      <c r="B1682" s="1587">
        <v>4971.0</v>
      </c>
      <c r="C1682" s="1563">
        <v>170.0</v>
      </c>
      <c r="D1682" s="1548">
        <v>17.9</v>
      </c>
      <c r="E1682" s="1557">
        <v>4268.0</v>
      </c>
      <c r="F1682" s="598">
        <v>32.0</v>
      </c>
      <c r="G1682" s="598">
        <v>346.0</v>
      </c>
      <c r="H1682" s="598">
        <v>37.0</v>
      </c>
      <c r="I1682" s="598">
        <v>1.0</v>
      </c>
      <c r="J1682" s="598">
        <v>46.0</v>
      </c>
      <c r="K1682" s="1561">
        <v>241.0</v>
      </c>
      <c r="L1682" s="1551">
        <v>46326.0</v>
      </c>
    </row>
    <row r="1683">
      <c r="A1683" s="1545" t="s">
        <v>1463</v>
      </c>
      <c r="B1683" s="1621">
        <v>762.0</v>
      </c>
      <c r="C1683" s="1563">
        <v>31.0</v>
      </c>
      <c r="D1683" s="1548">
        <v>22.0</v>
      </c>
      <c r="E1683" s="1557">
        <v>698.0</v>
      </c>
      <c r="F1683" s="598">
        <v>1.0</v>
      </c>
      <c r="G1683" s="598">
        <v>20.0</v>
      </c>
      <c r="H1683" s="598">
        <v>4.0</v>
      </c>
      <c r="I1683" s="598">
        <v>1.0</v>
      </c>
      <c r="J1683" s="598">
        <v>5.0</v>
      </c>
      <c r="K1683" s="1561">
        <v>33.0</v>
      </c>
      <c r="L1683" s="1551">
        <v>50774.0</v>
      </c>
    </row>
    <row r="1684">
      <c r="A1684" s="1545" t="s">
        <v>692</v>
      </c>
      <c r="B1684" s="1587">
        <v>7578.0</v>
      </c>
      <c r="C1684" s="1563">
        <v>281.0</v>
      </c>
      <c r="D1684" s="1548">
        <v>16.8</v>
      </c>
      <c r="E1684" s="1557">
        <v>6392.0</v>
      </c>
      <c r="F1684" s="598">
        <v>15.0</v>
      </c>
      <c r="G1684" s="598">
        <v>696.0</v>
      </c>
      <c r="H1684" s="598">
        <v>21.0</v>
      </c>
      <c r="I1684" s="598">
        <v>0.0</v>
      </c>
      <c r="J1684" s="598">
        <v>67.0</v>
      </c>
      <c r="K1684" s="1561">
        <v>387.0</v>
      </c>
      <c r="L1684" s="1551">
        <v>48390.0</v>
      </c>
    </row>
    <row r="1685">
      <c r="A1685" s="1545" t="s">
        <v>1464</v>
      </c>
      <c r="B1685" s="1587">
        <v>2069.0</v>
      </c>
      <c r="C1685" s="1563">
        <v>140.0</v>
      </c>
      <c r="D1685" s="1548">
        <v>27.8</v>
      </c>
      <c r="E1685" s="1557">
        <v>1877.0</v>
      </c>
      <c r="F1685" s="598">
        <v>6.0</v>
      </c>
      <c r="G1685" s="598">
        <v>18.0</v>
      </c>
      <c r="H1685" s="598">
        <v>3.0</v>
      </c>
      <c r="I1685" s="598">
        <v>0.0</v>
      </c>
      <c r="J1685" s="598">
        <v>11.0</v>
      </c>
      <c r="K1685" s="1561">
        <v>154.0</v>
      </c>
      <c r="L1685" s="1583">
        <v>38449.0</v>
      </c>
    </row>
    <row r="1686">
      <c r="A1686" s="1545" t="s">
        <v>1465</v>
      </c>
      <c r="B1686" s="1587">
        <v>937.0</v>
      </c>
      <c r="C1686" s="1563">
        <v>29.0</v>
      </c>
      <c r="D1686" s="1548">
        <v>13.4</v>
      </c>
      <c r="E1686" s="1557">
        <v>870.0</v>
      </c>
      <c r="F1686" s="598">
        <v>2.0</v>
      </c>
      <c r="G1686" s="598">
        <v>7.0</v>
      </c>
      <c r="H1686" s="598">
        <v>2.0</v>
      </c>
      <c r="I1686" s="598">
        <v>2.0</v>
      </c>
      <c r="J1686" s="598">
        <v>6.0</v>
      </c>
      <c r="K1686" s="1629">
        <v>48.0</v>
      </c>
      <c r="L1686" s="1630">
        <v>49532.0</v>
      </c>
    </row>
    <row r="1687">
      <c r="A1687" s="1528" t="s">
        <v>1466</v>
      </c>
      <c r="B1687" s="1595">
        <v>164731.0</v>
      </c>
      <c r="C1687" s="1530">
        <v>4429.0</v>
      </c>
      <c r="D1687" s="1567">
        <v>12.0</v>
      </c>
      <c r="E1687" s="1532">
        <v>139965.0</v>
      </c>
      <c r="F1687" s="1533">
        <v>1309.0</v>
      </c>
      <c r="G1687" s="1533">
        <v>7226.0</v>
      </c>
      <c r="H1687" s="1533">
        <v>1320.0</v>
      </c>
      <c r="I1687" s="1533">
        <v>232.0</v>
      </c>
      <c r="J1687" s="1533">
        <v>2841.0</v>
      </c>
      <c r="K1687" s="1535">
        <v>11838.0</v>
      </c>
      <c r="L1687" s="1636">
        <v>59975.0</v>
      </c>
    </row>
    <row r="1688">
      <c r="A1688" s="1538" t="s">
        <v>79</v>
      </c>
      <c r="B1688" s="1596">
        <v>1961504.0</v>
      </c>
      <c r="C1688" s="1540">
        <v>60389.0</v>
      </c>
      <c r="D1688" s="1571">
        <v>12.9</v>
      </c>
      <c r="E1688" s="1572">
        <v>1538052.0</v>
      </c>
      <c r="F1688" s="1542">
        <v>96535.0</v>
      </c>
      <c r="G1688" s="1542">
        <v>23102.0</v>
      </c>
      <c r="H1688" s="1542">
        <v>52951.0</v>
      </c>
      <c r="I1688" s="1542">
        <v>1534.0</v>
      </c>
      <c r="J1688" s="1542">
        <v>105167.0</v>
      </c>
      <c r="K1688" s="1543">
        <v>144163.0</v>
      </c>
      <c r="L1688" s="1625">
        <v>59724.0</v>
      </c>
    </row>
    <row r="1689">
      <c r="A1689" s="1545" t="s">
        <v>386</v>
      </c>
      <c r="B1689" s="1586">
        <v>31205.0</v>
      </c>
      <c r="C1689" s="1547">
        <v>1051.0</v>
      </c>
      <c r="D1689" s="1548">
        <v>14.4</v>
      </c>
      <c r="E1689" s="1557">
        <v>26656.0</v>
      </c>
      <c r="F1689" s="598">
        <v>258.0</v>
      </c>
      <c r="G1689" s="598">
        <v>186.0</v>
      </c>
      <c r="H1689" s="598">
        <v>429.0</v>
      </c>
      <c r="I1689" s="598">
        <v>9.0</v>
      </c>
      <c r="J1689" s="598">
        <v>1555.0</v>
      </c>
      <c r="K1689" s="1561">
        <v>2112.0</v>
      </c>
      <c r="L1689" s="1555">
        <v>55167.0</v>
      </c>
    </row>
    <row r="1690">
      <c r="A1690" s="1545" t="s">
        <v>1467</v>
      </c>
      <c r="B1690" s="1587">
        <v>6295.0</v>
      </c>
      <c r="C1690" s="1563">
        <v>251.0</v>
      </c>
      <c r="D1690" s="1548">
        <v>16.7</v>
      </c>
      <c r="E1690" s="1557">
        <v>5937.0</v>
      </c>
      <c r="F1690" s="598">
        <v>22.0</v>
      </c>
      <c r="G1690" s="598">
        <v>16.0</v>
      </c>
      <c r="H1690" s="598">
        <v>22.0</v>
      </c>
      <c r="I1690" s="598">
        <v>1.0</v>
      </c>
      <c r="J1690" s="598">
        <v>93.0</v>
      </c>
      <c r="K1690" s="1561">
        <v>204.0</v>
      </c>
      <c r="L1690" s="1555">
        <v>55371.0</v>
      </c>
    </row>
    <row r="1691">
      <c r="A1691" s="1545" t="s">
        <v>1468</v>
      </c>
      <c r="B1691" s="1621">
        <v>434.0</v>
      </c>
      <c r="C1691" s="1563">
        <v>21.0</v>
      </c>
      <c r="D1691" s="1548">
        <v>17.5</v>
      </c>
      <c r="E1691" s="1557">
        <v>400.0</v>
      </c>
      <c r="F1691" s="598">
        <v>3.0</v>
      </c>
      <c r="G1691" s="598">
        <v>0.0</v>
      </c>
      <c r="H1691" s="598">
        <v>0.0</v>
      </c>
      <c r="I1691" s="598">
        <v>0.0</v>
      </c>
      <c r="J1691" s="598">
        <v>0.0</v>
      </c>
      <c r="K1691" s="1561">
        <v>31.0</v>
      </c>
      <c r="L1691" s="1555">
        <v>46862.0</v>
      </c>
    </row>
    <row r="1692">
      <c r="A1692" s="1545" t="s">
        <v>1469</v>
      </c>
      <c r="B1692" s="1621">
        <v>674.0</v>
      </c>
      <c r="C1692" s="1563">
        <v>43.0</v>
      </c>
      <c r="D1692" s="1548">
        <v>25.0</v>
      </c>
      <c r="E1692" s="1557">
        <v>614.0</v>
      </c>
      <c r="F1692" s="598">
        <v>0.0</v>
      </c>
      <c r="G1692" s="598">
        <v>5.0</v>
      </c>
      <c r="H1692" s="598">
        <v>3.0</v>
      </c>
      <c r="I1692" s="598">
        <v>0.0</v>
      </c>
      <c r="J1692" s="598">
        <v>13.0</v>
      </c>
      <c r="K1692" s="1561">
        <v>39.0</v>
      </c>
      <c r="L1692" s="1555">
        <v>53865.0</v>
      </c>
    </row>
    <row r="1693">
      <c r="A1693" s="1545" t="s">
        <v>666</v>
      </c>
      <c r="B1693" s="1621">
        <v>431.0</v>
      </c>
      <c r="C1693" s="1563">
        <v>22.0</v>
      </c>
      <c r="D1693" s="1548">
        <v>24.2</v>
      </c>
      <c r="E1693" s="1557">
        <v>397.0</v>
      </c>
      <c r="F1693" s="598">
        <v>1.0</v>
      </c>
      <c r="G1693" s="598">
        <v>0.0</v>
      </c>
      <c r="H1693" s="598">
        <v>3.0</v>
      </c>
      <c r="I1693" s="598">
        <v>0.0</v>
      </c>
      <c r="J1693" s="598">
        <v>6.0</v>
      </c>
      <c r="K1693" s="1561">
        <v>24.0</v>
      </c>
      <c r="L1693" s="1555">
        <v>44467.0</v>
      </c>
    </row>
    <row r="1694">
      <c r="A1694" s="1545" t="s">
        <v>246</v>
      </c>
      <c r="B1694" s="1587">
        <v>5379.0</v>
      </c>
      <c r="C1694" s="1563">
        <v>157.0</v>
      </c>
      <c r="D1694" s="1548">
        <v>13.1</v>
      </c>
      <c r="E1694" s="1557">
        <v>5091.0</v>
      </c>
      <c r="F1694" s="598">
        <v>21.0</v>
      </c>
      <c r="G1694" s="598">
        <v>18.0</v>
      </c>
      <c r="H1694" s="598">
        <v>7.0</v>
      </c>
      <c r="I1694" s="598">
        <v>1.0</v>
      </c>
      <c r="J1694" s="598">
        <v>75.0</v>
      </c>
      <c r="K1694" s="1561">
        <v>166.0</v>
      </c>
      <c r="L1694" s="1555">
        <v>51911.0</v>
      </c>
    </row>
    <row r="1695">
      <c r="A1695" s="1545" t="s">
        <v>1470</v>
      </c>
      <c r="B1695" s="1587">
        <v>10842.0</v>
      </c>
      <c r="C1695" s="1563">
        <v>501.0</v>
      </c>
      <c r="D1695" s="1548">
        <v>18.9</v>
      </c>
      <c r="E1695" s="1557">
        <v>9063.0</v>
      </c>
      <c r="F1695" s="598">
        <v>66.0</v>
      </c>
      <c r="G1695" s="598">
        <v>365.0</v>
      </c>
      <c r="H1695" s="598">
        <v>75.0</v>
      </c>
      <c r="I1695" s="598">
        <v>5.0</v>
      </c>
      <c r="J1695" s="598">
        <v>415.0</v>
      </c>
      <c r="K1695" s="1561">
        <v>853.0</v>
      </c>
      <c r="L1695" s="1555">
        <v>57952.0</v>
      </c>
    </row>
    <row r="1696">
      <c r="A1696" s="1545" t="s">
        <v>1028</v>
      </c>
      <c r="B1696" s="1587">
        <v>1810.0</v>
      </c>
      <c r="C1696" s="1563">
        <v>88.0</v>
      </c>
      <c r="D1696" s="1548">
        <v>25.1</v>
      </c>
      <c r="E1696" s="1557">
        <v>1724.0</v>
      </c>
      <c r="F1696" s="598">
        <v>0.0</v>
      </c>
      <c r="G1696" s="598">
        <v>18.0</v>
      </c>
      <c r="H1696" s="598">
        <v>0.0</v>
      </c>
      <c r="I1696" s="598">
        <v>0.0</v>
      </c>
      <c r="J1696" s="598">
        <v>13.0</v>
      </c>
      <c r="K1696" s="1561">
        <v>55.0</v>
      </c>
      <c r="L1696" s="1555">
        <v>42431.0</v>
      </c>
    </row>
    <row r="1697">
      <c r="A1697" s="1545" t="s">
        <v>706</v>
      </c>
      <c r="B1697" s="1587">
        <v>2903.0</v>
      </c>
      <c r="C1697" s="1563">
        <v>107.0</v>
      </c>
      <c r="D1697" s="1548">
        <v>17.1</v>
      </c>
      <c r="E1697" s="1557">
        <v>2664.0</v>
      </c>
      <c r="F1697" s="598">
        <v>2.0</v>
      </c>
      <c r="G1697" s="598">
        <v>12.0</v>
      </c>
      <c r="H1697" s="598">
        <v>8.0</v>
      </c>
      <c r="I1697" s="598">
        <v>0.0</v>
      </c>
      <c r="J1697" s="598">
        <v>104.0</v>
      </c>
      <c r="K1697" s="1561">
        <v>113.0</v>
      </c>
      <c r="L1697" s="1555">
        <v>46191.0</v>
      </c>
    </row>
    <row r="1698">
      <c r="A1698" s="1545" t="s">
        <v>1471</v>
      </c>
      <c r="B1698" s="1587">
        <v>50084.0</v>
      </c>
      <c r="C1698" s="1547">
        <v>1316.0</v>
      </c>
      <c r="D1698" s="1548">
        <v>11.6</v>
      </c>
      <c r="E1698" s="1557">
        <v>43363.0</v>
      </c>
      <c r="F1698" s="598">
        <v>643.0</v>
      </c>
      <c r="G1698" s="598">
        <v>275.0</v>
      </c>
      <c r="H1698" s="598">
        <v>670.0</v>
      </c>
      <c r="I1698" s="598">
        <v>33.0</v>
      </c>
      <c r="J1698" s="598">
        <v>2175.0</v>
      </c>
      <c r="K1698" s="1561">
        <v>2925.0</v>
      </c>
      <c r="L1698" s="1555">
        <v>59193.0</v>
      </c>
    </row>
    <row r="1699">
      <c r="A1699" s="1545" t="s">
        <v>1472</v>
      </c>
      <c r="B1699" s="1587">
        <v>6722.0</v>
      </c>
      <c r="C1699" s="1563">
        <v>196.0</v>
      </c>
      <c r="D1699" s="1548">
        <v>13.8</v>
      </c>
      <c r="E1699" s="1557">
        <v>6248.0</v>
      </c>
      <c r="F1699" s="598">
        <v>22.0</v>
      </c>
      <c r="G1699" s="598">
        <v>83.0</v>
      </c>
      <c r="H1699" s="598">
        <v>35.0</v>
      </c>
      <c r="I1699" s="598">
        <v>17.0</v>
      </c>
      <c r="J1699" s="598">
        <v>51.0</v>
      </c>
      <c r="K1699" s="1561">
        <v>266.0</v>
      </c>
      <c r="L1699" s="1555">
        <v>57548.0</v>
      </c>
    </row>
    <row r="1700">
      <c r="A1700" s="1545" t="s">
        <v>87</v>
      </c>
      <c r="B1700" s="1587">
        <v>8369.0</v>
      </c>
      <c r="C1700" s="1563">
        <v>202.0</v>
      </c>
      <c r="D1700" s="1548">
        <v>10.9</v>
      </c>
      <c r="E1700" s="1557">
        <v>7725.0</v>
      </c>
      <c r="F1700" s="598">
        <v>28.0</v>
      </c>
      <c r="G1700" s="598">
        <v>23.0</v>
      </c>
      <c r="H1700" s="598">
        <v>9.0</v>
      </c>
      <c r="I1700" s="598">
        <v>1.0</v>
      </c>
      <c r="J1700" s="598">
        <v>292.0</v>
      </c>
      <c r="K1700" s="1561">
        <v>291.0</v>
      </c>
      <c r="L1700" s="1555">
        <v>57208.0</v>
      </c>
    </row>
    <row r="1701">
      <c r="A1701" s="1545" t="s">
        <v>708</v>
      </c>
      <c r="B1701" s="1587">
        <v>26598.0</v>
      </c>
      <c r="C1701" s="1563">
        <v>581.0</v>
      </c>
      <c r="D1701" s="1548">
        <v>9.4</v>
      </c>
      <c r="E1701" s="1557">
        <v>24633.0</v>
      </c>
      <c r="F1701" s="598">
        <v>103.0</v>
      </c>
      <c r="G1701" s="598">
        <v>99.0</v>
      </c>
      <c r="H1701" s="598">
        <v>108.0</v>
      </c>
      <c r="I1701" s="598">
        <v>9.0</v>
      </c>
      <c r="J1701" s="598">
        <v>309.0</v>
      </c>
      <c r="K1701" s="1561">
        <v>1337.0</v>
      </c>
      <c r="L1701" s="1555">
        <v>75177.0</v>
      </c>
    </row>
    <row r="1702">
      <c r="A1702" s="1545" t="s">
        <v>894</v>
      </c>
      <c r="B1702" s="1587">
        <v>8380.0</v>
      </c>
      <c r="C1702" s="1563">
        <v>249.0</v>
      </c>
      <c r="D1702" s="1548">
        <v>11.7</v>
      </c>
      <c r="E1702" s="1557">
        <v>8064.0</v>
      </c>
      <c r="F1702" s="598">
        <v>28.0</v>
      </c>
      <c r="G1702" s="598">
        <v>13.0</v>
      </c>
      <c r="H1702" s="598">
        <v>12.0</v>
      </c>
      <c r="I1702" s="598">
        <v>2.0</v>
      </c>
      <c r="J1702" s="598">
        <v>76.0</v>
      </c>
      <c r="K1702" s="1561">
        <v>185.0</v>
      </c>
      <c r="L1702" s="1555">
        <v>64570.0</v>
      </c>
    </row>
    <row r="1703">
      <c r="A1703" s="1545" t="s">
        <v>960</v>
      </c>
      <c r="B1703" s="1587">
        <v>3893.0</v>
      </c>
      <c r="C1703" s="1563">
        <v>116.0</v>
      </c>
      <c r="D1703" s="1548">
        <v>11.6</v>
      </c>
      <c r="E1703" s="1557">
        <v>3310.0</v>
      </c>
      <c r="F1703" s="598">
        <v>20.0</v>
      </c>
      <c r="G1703" s="598">
        <v>9.0</v>
      </c>
      <c r="H1703" s="598">
        <v>11.0</v>
      </c>
      <c r="I1703" s="598">
        <v>0.0</v>
      </c>
      <c r="J1703" s="598">
        <v>297.0</v>
      </c>
      <c r="K1703" s="1561">
        <v>246.0</v>
      </c>
      <c r="L1703" s="1555">
        <v>54866.0</v>
      </c>
    </row>
    <row r="1704">
      <c r="A1704" s="1545" t="s">
        <v>1473</v>
      </c>
      <c r="B1704" s="1587">
        <v>5455.0</v>
      </c>
      <c r="C1704" s="1563">
        <v>215.0</v>
      </c>
      <c r="D1704" s="1548">
        <v>16.3</v>
      </c>
      <c r="E1704" s="1557">
        <v>4830.0</v>
      </c>
      <c r="F1704" s="598">
        <v>11.0</v>
      </c>
      <c r="G1704" s="598">
        <v>292.0</v>
      </c>
      <c r="H1704" s="598">
        <v>7.0</v>
      </c>
      <c r="I1704" s="598">
        <v>0.0</v>
      </c>
      <c r="J1704" s="598">
        <v>35.0</v>
      </c>
      <c r="K1704" s="1561">
        <v>280.0</v>
      </c>
      <c r="L1704" s="1555">
        <v>49782.0</v>
      </c>
    </row>
    <row r="1705">
      <c r="A1705" s="1545" t="s">
        <v>399</v>
      </c>
      <c r="B1705" s="1587">
        <v>9468.0</v>
      </c>
      <c r="C1705" s="1563">
        <v>308.0</v>
      </c>
      <c r="D1705" s="1548">
        <v>14.3</v>
      </c>
      <c r="E1705" s="1557">
        <v>8518.0</v>
      </c>
      <c r="F1705" s="598">
        <v>60.0</v>
      </c>
      <c r="G1705" s="598">
        <v>52.0</v>
      </c>
      <c r="H1705" s="598">
        <v>75.0</v>
      </c>
      <c r="I1705" s="598">
        <v>1.0</v>
      </c>
      <c r="J1705" s="598">
        <v>284.0</v>
      </c>
      <c r="K1705" s="1561">
        <v>478.0</v>
      </c>
      <c r="L1705" s="1555">
        <v>53132.0</v>
      </c>
    </row>
    <row r="1706">
      <c r="A1706" s="1545" t="s">
        <v>112</v>
      </c>
      <c r="B1706" s="1587">
        <v>6104.0</v>
      </c>
      <c r="C1706" s="1563">
        <v>220.0</v>
      </c>
      <c r="D1706" s="1548">
        <v>14.6</v>
      </c>
      <c r="E1706" s="1557">
        <v>5502.0</v>
      </c>
      <c r="F1706" s="598">
        <v>10.0</v>
      </c>
      <c r="G1706" s="598">
        <v>34.0</v>
      </c>
      <c r="H1706" s="598">
        <v>10.0</v>
      </c>
      <c r="I1706" s="598">
        <v>0.0</v>
      </c>
      <c r="J1706" s="598">
        <v>239.0</v>
      </c>
      <c r="K1706" s="1561">
        <v>309.0</v>
      </c>
      <c r="L1706" s="1555">
        <v>56259.0</v>
      </c>
    </row>
    <row r="1707">
      <c r="A1707" s="1545" t="s">
        <v>1474</v>
      </c>
      <c r="B1707" s="1587">
        <v>10582.0</v>
      </c>
      <c r="C1707" s="1563">
        <v>401.0</v>
      </c>
      <c r="D1707" s="1548">
        <v>12.7</v>
      </c>
      <c r="E1707" s="1557">
        <v>5839.0</v>
      </c>
      <c r="F1707" s="598">
        <v>378.0</v>
      </c>
      <c r="G1707" s="598">
        <v>301.0</v>
      </c>
      <c r="H1707" s="598">
        <v>50.0</v>
      </c>
      <c r="I1707" s="598">
        <v>2.0</v>
      </c>
      <c r="J1707" s="598">
        <v>2981.0</v>
      </c>
      <c r="K1707" s="1561">
        <v>1031.0</v>
      </c>
      <c r="L1707" s="1555">
        <v>55787.0</v>
      </c>
    </row>
    <row r="1708">
      <c r="A1708" s="1545" t="s">
        <v>1475</v>
      </c>
      <c r="B1708" s="1587">
        <v>9013.0</v>
      </c>
      <c r="C1708" s="1563">
        <v>245.0</v>
      </c>
      <c r="D1708" s="1548">
        <v>11.3</v>
      </c>
      <c r="E1708" s="1557">
        <v>7841.0</v>
      </c>
      <c r="F1708" s="598">
        <v>23.0</v>
      </c>
      <c r="G1708" s="598">
        <v>71.0</v>
      </c>
      <c r="H1708" s="598">
        <v>18.0</v>
      </c>
      <c r="I1708" s="598">
        <v>9.0</v>
      </c>
      <c r="J1708" s="598">
        <v>619.0</v>
      </c>
      <c r="K1708" s="1561">
        <v>432.0</v>
      </c>
      <c r="L1708" s="1555">
        <v>59219.0</v>
      </c>
    </row>
    <row r="1709">
      <c r="A1709" s="1545" t="s">
        <v>406</v>
      </c>
      <c r="B1709" s="1587">
        <v>10545.0</v>
      </c>
      <c r="C1709" s="1563">
        <v>396.0</v>
      </c>
      <c r="D1709" s="1548">
        <v>15.6</v>
      </c>
      <c r="E1709" s="1557">
        <v>9920.0</v>
      </c>
      <c r="F1709" s="598">
        <v>48.0</v>
      </c>
      <c r="G1709" s="598">
        <v>43.0</v>
      </c>
      <c r="H1709" s="598">
        <v>19.0</v>
      </c>
      <c r="I1709" s="598">
        <v>2.0</v>
      </c>
      <c r="J1709" s="598">
        <v>148.0</v>
      </c>
      <c r="K1709" s="1561">
        <v>365.0</v>
      </c>
      <c r="L1709" s="1555">
        <v>49995.0</v>
      </c>
    </row>
    <row r="1710">
      <c r="A1710" s="1545" t="s">
        <v>1308</v>
      </c>
      <c r="B1710" s="1587">
        <v>21582.0</v>
      </c>
      <c r="C1710" s="1547">
        <v>1011.0</v>
      </c>
      <c r="D1710" s="1548">
        <v>18.0</v>
      </c>
      <c r="E1710" s="1557">
        <v>11028.0</v>
      </c>
      <c r="F1710" s="598">
        <v>1613.0</v>
      </c>
      <c r="G1710" s="598">
        <v>711.0</v>
      </c>
      <c r="H1710" s="598">
        <v>609.0</v>
      </c>
      <c r="I1710" s="598">
        <v>154.0</v>
      </c>
      <c r="J1710" s="598">
        <v>4177.0</v>
      </c>
      <c r="K1710" s="1561">
        <v>3290.0</v>
      </c>
      <c r="L1710" s="1555">
        <v>55522.0</v>
      </c>
    </row>
    <row r="1711">
      <c r="A1711" s="1545" t="s">
        <v>1476</v>
      </c>
      <c r="B1711" s="1587">
        <v>8199.0</v>
      </c>
      <c r="C1711" s="1563">
        <v>291.0</v>
      </c>
      <c r="D1711" s="1548">
        <v>19.2</v>
      </c>
      <c r="E1711" s="1557">
        <v>7069.0</v>
      </c>
      <c r="F1711" s="598">
        <v>164.0</v>
      </c>
      <c r="G1711" s="598">
        <v>341.0</v>
      </c>
      <c r="H1711" s="598">
        <v>53.0</v>
      </c>
      <c r="I1711" s="598">
        <v>6.0</v>
      </c>
      <c r="J1711" s="598">
        <v>120.0</v>
      </c>
      <c r="K1711" s="1561">
        <v>446.0</v>
      </c>
      <c r="L1711" s="1555">
        <v>47487.0</v>
      </c>
    </row>
    <row r="1712">
      <c r="A1712" s="1545" t="s">
        <v>562</v>
      </c>
      <c r="B1712" s="1587">
        <v>24111.0</v>
      </c>
      <c r="C1712" s="1547">
        <v>1036.0</v>
      </c>
      <c r="D1712" s="1548">
        <v>16.3</v>
      </c>
      <c r="E1712" s="1557">
        <v>15098.0</v>
      </c>
      <c r="F1712" s="598">
        <v>1210.0</v>
      </c>
      <c r="G1712" s="598">
        <v>270.0</v>
      </c>
      <c r="H1712" s="598">
        <v>200.0</v>
      </c>
      <c r="I1712" s="598">
        <v>46.0</v>
      </c>
      <c r="J1712" s="598">
        <v>4777.0</v>
      </c>
      <c r="K1712" s="1561">
        <v>2510.0</v>
      </c>
      <c r="L1712" s="1555">
        <v>56818.0</v>
      </c>
    </row>
    <row r="1713">
      <c r="A1713" s="1545" t="s">
        <v>1477</v>
      </c>
      <c r="B1713" s="1587">
        <v>1838.0</v>
      </c>
      <c r="C1713" s="1563">
        <v>79.0</v>
      </c>
      <c r="D1713" s="1548">
        <v>20.2</v>
      </c>
      <c r="E1713" s="1557">
        <v>1709.0</v>
      </c>
      <c r="F1713" s="598">
        <v>1.0</v>
      </c>
      <c r="G1713" s="598">
        <v>13.0</v>
      </c>
      <c r="H1713" s="598">
        <v>6.0</v>
      </c>
      <c r="I1713" s="598">
        <v>0.0</v>
      </c>
      <c r="J1713" s="598">
        <v>34.0</v>
      </c>
      <c r="K1713" s="1561">
        <v>75.0</v>
      </c>
      <c r="L1713" s="1555">
        <v>47097.0</v>
      </c>
    </row>
    <row r="1714">
      <c r="A1714" s="1545" t="s">
        <v>1478</v>
      </c>
      <c r="B1714" s="1587">
        <v>5606.0</v>
      </c>
      <c r="C1714" s="1563">
        <v>157.0</v>
      </c>
      <c r="D1714" s="1548">
        <v>11.0</v>
      </c>
      <c r="E1714" s="1557">
        <v>4735.0</v>
      </c>
      <c r="F1714" s="598">
        <v>18.0</v>
      </c>
      <c r="G1714" s="598">
        <v>33.0</v>
      </c>
      <c r="H1714" s="598">
        <v>22.0</v>
      </c>
      <c r="I1714" s="598">
        <v>0.0</v>
      </c>
      <c r="J1714" s="598">
        <v>408.0</v>
      </c>
      <c r="K1714" s="1561">
        <v>390.0</v>
      </c>
      <c r="L1714" s="1555">
        <v>54635.0</v>
      </c>
    </row>
    <row r="1715">
      <c r="A1715" s="1545" t="s">
        <v>564</v>
      </c>
      <c r="B1715" s="1587">
        <v>37167.0</v>
      </c>
      <c r="C1715" s="1547">
        <v>1041.0</v>
      </c>
      <c r="D1715" s="1548">
        <v>11.9</v>
      </c>
      <c r="E1715" s="1557">
        <v>30548.0</v>
      </c>
      <c r="F1715" s="598">
        <v>247.0</v>
      </c>
      <c r="G1715" s="598">
        <v>349.0</v>
      </c>
      <c r="H1715" s="598">
        <v>204.0</v>
      </c>
      <c r="I1715" s="598">
        <v>20.0</v>
      </c>
      <c r="J1715" s="598">
        <v>3179.0</v>
      </c>
      <c r="K1715" s="1561">
        <v>2620.0</v>
      </c>
      <c r="L1715" s="1555">
        <v>51682.0</v>
      </c>
    </row>
    <row r="1716">
      <c r="A1716" s="1545" t="s">
        <v>412</v>
      </c>
      <c r="B1716" s="1587">
        <v>584526.0</v>
      </c>
      <c r="C1716" s="1547">
        <v>18941.0</v>
      </c>
      <c r="D1716" s="1548">
        <v>13.3</v>
      </c>
      <c r="E1716" s="1557">
        <v>398426.0</v>
      </c>
      <c r="F1716" s="598">
        <v>64721.0</v>
      </c>
      <c r="G1716" s="598">
        <v>5779.0</v>
      </c>
      <c r="H1716" s="598">
        <v>27827.0</v>
      </c>
      <c r="I1716" s="598">
        <v>500.0</v>
      </c>
      <c r="J1716" s="598">
        <v>37032.0</v>
      </c>
      <c r="K1716" s="1561">
        <v>50241.0</v>
      </c>
      <c r="L1716" s="1551">
        <v>64580.0</v>
      </c>
    </row>
    <row r="1717">
      <c r="A1717" s="1545" t="s">
        <v>1479</v>
      </c>
      <c r="B1717" s="1587">
        <v>1654.0</v>
      </c>
      <c r="C1717" s="1563">
        <v>72.0</v>
      </c>
      <c r="D1717" s="1548">
        <v>21.4</v>
      </c>
      <c r="E1717" s="1557">
        <v>1506.0</v>
      </c>
      <c r="F1717" s="598">
        <v>7.0</v>
      </c>
      <c r="G1717" s="598">
        <v>20.0</v>
      </c>
      <c r="H1717" s="598">
        <v>1.0</v>
      </c>
      <c r="I1717" s="598">
        <v>3.0</v>
      </c>
      <c r="J1717" s="598">
        <v>39.0</v>
      </c>
      <c r="K1717" s="1561">
        <v>78.0</v>
      </c>
      <c r="L1717" s="1551">
        <v>48574.0</v>
      </c>
    </row>
    <row r="1718">
      <c r="A1718" s="1545" t="s">
        <v>1310</v>
      </c>
      <c r="B1718" s="1587">
        <v>5551.0</v>
      </c>
      <c r="C1718" s="1563">
        <v>119.0</v>
      </c>
      <c r="D1718" s="1548">
        <v>11.8</v>
      </c>
      <c r="E1718" s="1557">
        <v>5227.0</v>
      </c>
      <c r="F1718" s="598">
        <v>22.0</v>
      </c>
      <c r="G1718" s="598">
        <v>21.0</v>
      </c>
      <c r="H1718" s="598">
        <v>13.0</v>
      </c>
      <c r="I1718" s="598">
        <v>1.0</v>
      </c>
      <c r="J1718" s="598">
        <v>67.0</v>
      </c>
      <c r="K1718" s="1561">
        <v>200.0</v>
      </c>
      <c r="L1718" s="1551">
        <v>56697.0</v>
      </c>
    </row>
    <row r="1719">
      <c r="A1719" s="1545" t="s">
        <v>136</v>
      </c>
      <c r="B1719" s="1587">
        <v>2889.0</v>
      </c>
      <c r="C1719" s="1563">
        <v>106.0</v>
      </c>
      <c r="D1719" s="1548">
        <v>18.4</v>
      </c>
      <c r="E1719" s="1557">
        <v>2760.0</v>
      </c>
      <c r="F1719" s="598">
        <v>6.0</v>
      </c>
      <c r="G1719" s="598">
        <v>6.0</v>
      </c>
      <c r="H1719" s="598">
        <v>17.0</v>
      </c>
      <c r="I1719" s="598">
        <v>0.0</v>
      </c>
      <c r="J1719" s="598">
        <v>31.0</v>
      </c>
      <c r="K1719" s="1561">
        <v>69.0</v>
      </c>
      <c r="L1719" s="1551">
        <v>48778.0</v>
      </c>
    </row>
    <row r="1720">
      <c r="A1720" s="1545" t="s">
        <v>1480</v>
      </c>
      <c r="B1720" s="1587">
        <v>2519.0</v>
      </c>
      <c r="C1720" s="1563">
        <v>92.0</v>
      </c>
      <c r="D1720" s="1548">
        <v>19.3</v>
      </c>
      <c r="E1720" s="1557">
        <v>2376.0</v>
      </c>
      <c r="F1720" s="598">
        <v>17.0</v>
      </c>
      <c r="G1720" s="598">
        <v>6.0</v>
      </c>
      <c r="H1720" s="598">
        <v>0.0</v>
      </c>
      <c r="I1720" s="598">
        <v>3.0</v>
      </c>
      <c r="J1720" s="598">
        <v>29.0</v>
      </c>
      <c r="K1720" s="1561">
        <v>88.0</v>
      </c>
      <c r="L1720" s="1551">
        <v>43650.0</v>
      </c>
    </row>
    <row r="1721">
      <c r="A1721" s="1545" t="s">
        <v>1481</v>
      </c>
      <c r="B1721" s="1587">
        <v>4636.0</v>
      </c>
      <c r="C1721" s="1563">
        <v>177.0</v>
      </c>
      <c r="D1721" s="1548">
        <v>17.6</v>
      </c>
      <c r="E1721" s="1557">
        <v>4293.0</v>
      </c>
      <c r="F1721" s="598">
        <v>9.0</v>
      </c>
      <c r="G1721" s="598">
        <v>31.0</v>
      </c>
      <c r="H1721" s="598">
        <v>6.0</v>
      </c>
      <c r="I1721" s="598">
        <v>0.0</v>
      </c>
      <c r="J1721" s="598">
        <v>76.0</v>
      </c>
      <c r="K1721" s="1561">
        <v>221.0</v>
      </c>
      <c r="L1721" s="1551">
        <v>49685.0</v>
      </c>
    </row>
    <row r="1722">
      <c r="A1722" s="1545" t="s">
        <v>1482</v>
      </c>
      <c r="B1722" s="1587">
        <v>21704.0</v>
      </c>
      <c r="C1722" s="1563">
        <v>661.0</v>
      </c>
      <c r="D1722" s="1548">
        <v>13.9</v>
      </c>
      <c r="E1722" s="1557">
        <v>20298.0</v>
      </c>
      <c r="F1722" s="598">
        <v>140.0</v>
      </c>
      <c r="G1722" s="598">
        <v>100.0</v>
      </c>
      <c r="H1722" s="598">
        <v>99.0</v>
      </c>
      <c r="I1722" s="598">
        <v>2.0</v>
      </c>
      <c r="J1722" s="598">
        <v>188.0</v>
      </c>
      <c r="K1722" s="1561">
        <v>877.0</v>
      </c>
      <c r="L1722" s="1551">
        <v>49931.0</v>
      </c>
    </row>
    <row r="1723">
      <c r="A1723" s="1545" t="s">
        <v>1483</v>
      </c>
      <c r="B1723" s="1587">
        <v>1874.0</v>
      </c>
      <c r="C1723" s="1563">
        <v>96.0</v>
      </c>
      <c r="D1723" s="1548">
        <v>26.2</v>
      </c>
      <c r="E1723" s="1557">
        <v>1748.0</v>
      </c>
      <c r="F1723" s="598">
        <v>7.0</v>
      </c>
      <c r="G1723" s="598">
        <v>4.0</v>
      </c>
      <c r="H1723" s="598">
        <v>2.0</v>
      </c>
      <c r="I1723" s="598">
        <v>1.0</v>
      </c>
      <c r="J1723" s="598">
        <v>39.0</v>
      </c>
      <c r="K1723" s="1561">
        <v>73.0</v>
      </c>
      <c r="L1723" s="1551">
        <v>39192.0</v>
      </c>
    </row>
    <row r="1724">
      <c r="A1724" s="1545" t="s">
        <v>417</v>
      </c>
      <c r="B1724" s="1587">
        <v>1813.0</v>
      </c>
      <c r="C1724" s="1563">
        <v>66.0</v>
      </c>
      <c r="D1724" s="1548">
        <v>18.2</v>
      </c>
      <c r="E1724" s="1557">
        <v>1758.0</v>
      </c>
      <c r="F1724" s="598">
        <v>3.0</v>
      </c>
      <c r="G1724" s="598">
        <v>3.0</v>
      </c>
      <c r="H1724" s="598">
        <v>0.0</v>
      </c>
      <c r="I1724" s="598">
        <v>0.0</v>
      </c>
      <c r="J1724" s="598">
        <v>1.0</v>
      </c>
      <c r="K1724" s="1561">
        <v>48.0</v>
      </c>
      <c r="L1724" s="1551">
        <v>46245.0</v>
      </c>
    </row>
    <row r="1725">
      <c r="A1725" s="1545" t="s">
        <v>1484</v>
      </c>
      <c r="B1725" s="1587">
        <v>1893.0</v>
      </c>
      <c r="C1725" s="1563">
        <v>69.0</v>
      </c>
      <c r="D1725" s="1548">
        <v>15.6</v>
      </c>
      <c r="E1725" s="1557">
        <v>1778.0</v>
      </c>
      <c r="F1725" s="598">
        <v>4.0</v>
      </c>
      <c r="G1725" s="598">
        <v>4.0</v>
      </c>
      <c r="H1725" s="598">
        <v>11.0</v>
      </c>
      <c r="I1725" s="598">
        <v>1.0</v>
      </c>
      <c r="J1725" s="598">
        <v>24.0</v>
      </c>
      <c r="K1725" s="1561">
        <v>71.0</v>
      </c>
      <c r="L1725" s="1551">
        <v>59722.0</v>
      </c>
    </row>
    <row r="1726">
      <c r="A1726" s="1545" t="s">
        <v>278</v>
      </c>
      <c r="B1726" s="1621">
        <v>611.0</v>
      </c>
      <c r="C1726" s="1563">
        <v>29.0</v>
      </c>
      <c r="D1726" s="1548">
        <v>17.9</v>
      </c>
      <c r="E1726" s="1557">
        <v>580.0</v>
      </c>
      <c r="F1726" s="598">
        <v>5.0</v>
      </c>
      <c r="G1726" s="598">
        <v>12.0</v>
      </c>
      <c r="H1726" s="598">
        <v>1.0</v>
      </c>
      <c r="I1726" s="598">
        <v>0.0</v>
      </c>
      <c r="J1726" s="598">
        <v>1.0</v>
      </c>
      <c r="K1726" s="1561">
        <v>12.0</v>
      </c>
      <c r="L1726" s="1551">
        <v>56724.0</v>
      </c>
    </row>
    <row r="1727">
      <c r="A1727" s="1545" t="s">
        <v>976</v>
      </c>
      <c r="B1727" s="1587">
        <v>2188.0</v>
      </c>
      <c r="C1727" s="1563">
        <v>102.0</v>
      </c>
      <c r="D1727" s="1548">
        <v>19.2</v>
      </c>
      <c r="E1727" s="1557">
        <v>2102.0</v>
      </c>
      <c r="F1727" s="598">
        <v>1.0</v>
      </c>
      <c r="G1727" s="598">
        <v>5.0</v>
      </c>
      <c r="H1727" s="598">
        <v>6.0</v>
      </c>
      <c r="I1727" s="598">
        <v>1.0</v>
      </c>
      <c r="J1727" s="598">
        <v>37.0</v>
      </c>
      <c r="K1727" s="1561">
        <v>36.0</v>
      </c>
      <c r="L1727" s="1551">
        <v>45221.0</v>
      </c>
    </row>
    <row r="1728">
      <c r="A1728" s="1545" t="s">
        <v>586</v>
      </c>
      <c r="B1728" s="1587">
        <v>62895.0</v>
      </c>
      <c r="C1728" s="1547">
        <v>3044.0</v>
      </c>
      <c r="D1728" s="1548">
        <v>18.4</v>
      </c>
      <c r="E1728" s="1557">
        <v>43702.0</v>
      </c>
      <c r="F1728" s="598">
        <v>1919.0</v>
      </c>
      <c r="G1728" s="598">
        <v>913.0</v>
      </c>
      <c r="H1728" s="598">
        <v>727.0</v>
      </c>
      <c r="I1728" s="598">
        <v>37.0</v>
      </c>
      <c r="J1728" s="598">
        <v>9698.0</v>
      </c>
      <c r="K1728" s="1561">
        <v>5899.0</v>
      </c>
      <c r="L1728" s="1551">
        <v>53792.0</v>
      </c>
    </row>
    <row r="1729">
      <c r="A1729" s="1545" t="s">
        <v>497</v>
      </c>
      <c r="B1729" s="1587">
        <v>9429.0</v>
      </c>
      <c r="C1729" s="1563">
        <v>176.0</v>
      </c>
      <c r="D1729" s="1548">
        <v>8.1</v>
      </c>
      <c r="E1729" s="1557">
        <v>8894.0</v>
      </c>
      <c r="F1729" s="598">
        <v>27.0</v>
      </c>
      <c r="G1729" s="598">
        <v>40.0</v>
      </c>
      <c r="H1729" s="598">
        <v>15.0</v>
      </c>
      <c r="I1729" s="598">
        <v>2.0</v>
      </c>
      <c r="J1729" s="598">
        <v>113.0</v>
      </c>
      <c r="K1729" s="1561">
        <v>338.0</v>
      </c>
      <c r="L1729" s="1551">
        <v>60608.0</v>
      </c>
    </row>
    <row r="1730">
      <c r="A1730" s="1545" t="s">
        <v>1088</v>
      </c>
      <c r="B1730" s="1587">
        <v>3073.0</v>
      </c>
      <c r="C1730" s="1563">
        <v>111.0</v>
      </c>
      <c r="D1730" s="1548">
        <v>15.7</v>
      </c>
      <c r="E1730" s="1557">
        <v>2926.0</v>
      </c>
      <c r="F1730" s="598">
        <v>2.0</v>
      </c>
      <c r="G1730" s="598">
        <v>16.0</v>
      </c>
      <c r="H1730" s="598">
        <v>11.0</v>
      </c>
      <c r="I1730" s="598">
        <v>0.0</v>
      </c>
      <c r="J1730" s="598">
        <v>19.0</v>
      </c>
      <c r="K1730" s="1561">
        <v>99.0</v>
      </c>
      <c r="L1730" s="1551">
        <v>49321.0</v>
      </c>
    </row>
    <row r="1731">
      <c r="A1731" s="1545" t="s">
        <v>1485</v>
      </c>
      <c r="B1731" s="1621">
        <v>856.0</v>
      </c>
      <c r="C1731" s="1563">
        <v>38.0</v>
      </c>
      <c r="D1731" s="1548">
        <v>18.7</v>
      </c>
      <c r="E1731" s="1557">
        <v>768.0</v>
      </c>
      <c r="F1731" s="598">
        <v>0.0</v>
      </c>
      <c r="G1731" s="598">
        <v>5.0</v>
      </c>
      <c r="H1731" s="598">
        <v>2.0</v>
      </c>
      <c r="I1731" s="598">
        <v>0.0</v>
      </c>
      <c r="J1731" s="598">
        <v>36.0</v>
      </c>
      <c r="K1731" s="1561">
        <v>45.0</v>
      </c>
      <c r="L1731" s="1551">
        <v>47047.0</v>
      </c>
    </row>
    <row r="1732">
      <c r="A1732" s="1545" t="s">
        <v>1486</v>
      </c>
      <c r="B1732" s="1587">
        <v>2616.0</v>
      </c>
      <c r="C1732" s="1563">
        <v>134.0</v>
      </c>
      <c r="D1732" s="1548">
        <v>21.1</v>
      </c>
      <c r="E1732" s="1557">
        <v>2497.0</v>
      </c>
      <c r="F1732" s="598">
        <v>1.0</v>
      </c>
      <c r="G1732" s="598">
        <v>0.0</v>
      </c>
      <c r="H1732" s="598">
        <v>2.0</v>
      </c>
      <c r="I1732" s="598">
        <v>4.0</v>
      </c>
      <c r="J1732" s="598">
        <v>21.0</v>
      </c>
      <c r="K1732" s="1561">
        <v>91.0</v>
      </c>
      <c r="L1732" s="1551">
        <v>43880.0</v>
      </c>
    </row>
    <row r="1733">
      <c r="A1733" s="1545" t="s">
        <v>1407</v>
      </c>
      <c r="B1733" s="1587">
        <v>10127.0</v>
      </c>
      <c r="C1733" s="1563">
        <v>412.0</v>
      </c>
      <c r="D1733" s="1548">
        <v>16.4</v>
      </c>
      <c r="E1733" s="1557">
        <v>9460.0</v>
      </c>
      <c r="F1733" s="598">
        <v>43.0</v>
      </c>
      <c r="G1733" s="598">
        <v>53.0</v>
      </c>
      <c r="H1733" s="598">
        <v>52.0</v>
      </c>
      <c r="I1733" s="598">
        <v>1.0</v>
      </c>
      <c r="J1733" s="598">
        <v>239.0</v>
      </c>
      <c r="K1733" s="1561">
        <v>279.0</v>
      </c>
      <c r="L1733" s="1551">
        <v>55965.0</v>
      </c>
    </row>
    <row r="1734">
      <c r="A1734" s="1545" t="s">
        <v>1487</v>
      </c>
      <c r="B1734" s="1621">
        <v>711.0</v>
      </c>
      <c r="C1734" s="1563">
        <v>19.0</v>
      </c>
      <c r="D1734" s="1548">
        <v>12.8</v>
      </c>
      <c r="E1734" s="1557">
        <v>665.0</v>
      </c>
      <c r="F1734" s="598">
        <v>4.0</v>
      </c>
      <c r="G1734" s="598">
        <v>5.0</v>
      </c>
      <c r="H1734" s="598">
        <v>1.0</v>
      </c>
      <c r="I1734" s="598">
        <v>0.0</v>
      </c>
      <c r="J1734" s="598">
        <v>1.0</v>
      </c>
      <c r="K1734" s="1561">
        <v>35.0</v>
      </c>
      <c r="L1734" s="1551">
        <v>46220.0</v>
      </c>
    </row>
    <row r="1735">
      <c r="A1735" s="1545" t="s">
        <v>283</v>
      </c>
      <c r="B1735" s="1587">
        <v>6475.0</v>
      </c>
      <c r="C1735" s="1563">
        <v>190.0</v>
      </c>
      <c r="D1735" s="1548">
        <v>12.3</v>
      </c>
      <c r="E1735" s="1557">
        <v>6200.0</v>
      </c>
      <c r="F1735" s="598">
        <v>14.0</v>
      </c>
      <c r="G1735" s="598">
        <v>27.0</v>
      </c>
      <c r="H1735" s="598">
        <v>12.0</v>
      </c>
      <c r="I1735" s="598">
        <v>1.0</v>
      </c>
      <c r="J1735" s="598">
        <v>43.0</v>
      </c>
      <c r="K1735" s="1561">
        <v>178.0</v>
      </c>
      <c r="L1735" s="1551">
        <v>52292.0</v>
      </c>
    </row>
    <row r="1736">
      <c r="A1736" s="1545" t="s">
        <v>143</v>
      </c>
      <c r="B1736" s="1587">
        <v>7240.0</v>
      </c>
      <c r="C1736" s="1563">
        <v>234.0</v>
      </c>
      <c r="D1736" s="1548">
        <v>15.3</v>
      </c>
      <c r="E1736" s="1557">
        <v>6671.0</v>
      </c>
      <c r="F1736" s="598">
        <v>20.0</v>
      </c>
      <c r="G1736" s="598">
        <v>45.0</v>
      </c>
      <c r="H1736" s="598">
        <v>15.0</v>
      </c>
      <c r="I1736" s="598">
        <v>0.0</v>
      </c>
      <c r="J1736" s="598">
        <v>181.0</v>
      </c>
      <c r="K1736" s="1561">
        <v>308.0</v>
      </c>
      <c r="L1736" s="1551">
        <v>47075.0</v>
      </c>
    </row>
    <row r="1737">
      <c r="A1737" s="1545" t="s">
        <v>288</v>
      </c>
      <c r="B1737" s="1587">
        <v>5290.0</v>
      </c>
      <c r="C1737" s="1563">
        <v>132.0</v>
      </c>
      <c r="D1737" s="1548">
        <v>13.9</v>
      </c>
      <c r="E1737" s="1557">
        <v>4187.0</v>
      </c>
      <c r="F1737" s="598">
        <v>315.0</v>
      </c>
      <c r="G1737" s="598">
        <v>52.0</v>
      </c>
      <c r="H1737" s="598">
        <v>76.0</v>
      </c>
      <c r="I1737" s="598">
        <v>0.0</v>
      </c>
      <c r="J1737" s="598">
        <v>442.0</v>
      </c>
      <c r="K1737" s="1561">
        <v>218.0</v>
      </c>
      <c r="L1737" s="1551">
        <v>52401.0</v>
      </c>
    </row>
    <row r="1738">
      <c r="A1738" s="1545" t="s">
        <v>1488</v>
      </c>
      <c r="B1738" s="1587">
        <v>6688.0</v>
      </c>
      <c r="C1738" s="1563">
        <v>200.0</v>
      </c>
      <c r="D1738" s="1548">
        <v>12.7</v>
      </c>
      <c r="E1738" s="1557">
        <v>6159.0</v>
      </c>
      <c r="F1738" s="598">
        <v>3.0</v>
      </c>
      <c r="G1738" s="598">
        <v>19.0</v>
      </c>
      <c r="H1738" s="598">
        <v>12.0</v>
      </c>
      <c r="I1738" s="598">
        <v>9.0</v>
      </c>
      <c r="J1738" s="598">
        <v>175.0</v>
      </c>
      <c r="K1738" s="1561">
        <v>311.0</v>
      </c>
      <c r="L1738" s="1551">
        <v>64456.0</v>
      </c>
    </row>
    <row r="1739">
      <c r="A1739" s="1545" t="s">
        <v>1489</v>
      </c>
      <c r="B1739" s="1587">
        <v>8335.0</v>
      </c>
      <c r="C1739" s="1563">
        <v>302.0</v>
      </c>
      <c r="D1739" s="1548">
        <v>19.4</v>
      </c>
      <c r="E1739" s="1557">
        <v>7509.0</v>
      </c>
      <c r="F1739" s="598">
        <v>19.0</v>
      </c>
      <c r="G1739" s="598">
        <v>35.0</v>
      </c>
      <c r="H1739" s="598">
        <v>46.0</v>
      </c>
      <c r="I1739" s="598">
        <v>7.0</v>
      </c>
      <c r="J1739" s="598">
        <v>239.0</v>
      </c>
      <c r="K1739" s="1561">
        <v>480.0</v>
      </c>
      <c r="L1739" s="1551">
        <v>52086.0</v>
      </c>
    </row>
    <row r="1740">
      <c r="A1740" s="1545" t="s">
        <v>1490</v>
      </c>
      <c r="B1740" s="1621">
        <v>769.0</v>
      </c>
      <c r="C1740" s="1563">
        <v>51.0</v>
      </c>
      <c r="D1740" s="1548">
        <v>32.5</v>
      </c>
      <c r="E1740" s="1557">
        <v>737.0</v>
      </c>
      <c r="F1740" s="598">
        <v>0.0</v>
      </c>
      <c r="G1740" s="598">
        <v>2.0</v>
      </c>
      <c r="H1740" s="598">
        <v>0.0</v>
      </c>
      <c r="I1740" s="598">
        <v>1.0</v>
      </c>
      <c r="J1740" s="598">
        <v>6.0</v>
      </c>
      <c r="K1740" s="1561">
        <v>23.0</v>
      </c>
      <c r="L1740" s="1551">
        <v>48429.0</v>
      </c>
    </row>
    <row r="1741">
      <c r="A1741" s="1545" t="s">
        <v>1491</v>
      </c>
      <c r="B1741" s="1587">
        <v>3434.0</v>
      </c>
      <c r="C1741" s="1563">
        <v>126.0</v>
      </c>
      <c r="D1741" s="1548">
        <v>16.6</v>
      </c>
      <c r="E1741" s="1557">
        <v>3122.0</v>
      </c>
      <c r="F1741" s="598">
        <v>1.0</v>
      </c>
      <c r="G1741" s="598">
        <v>42.0</v>
      </c>
      <c r="H1741" s="598">
        <v>15.0</v>
      </c>
      <c r="I1741" s="598">
        <v>0.0</v>
      </c>
      <c r="J1741" s="598">
        <v>61.0</v>
      </c>
      <c r="K1741" s="1561">
        <v>193.0</v>
      </c>
      <c r="L1741" s="1551">
        <v>46986.0</v>
      </c>
    </row>
    <row r="1742">
      <c r="A1742" s="1545" t="s">
        <v>728</v>
      </c>
      <c r="B1742" s="1587">
        <v>8391.0</v>
      </c>
      <c r="C1742" s="1563">
        <v>351.0</v>
      </c>
      <c r="D1742" s="1548">
        <v>17.4</v>
      </c>
      <c r="E1742" s="1557">
        <v>7018.0</v>
      </c>
      <c r="F1742" s="598">
        <v>16.0</v>
      </c>
      <c r="G1742" s="598">
        <v>961.0</v>
      </c>
      <c r="H1742" s="598">
        <v>28.0</v>
      </c>
      <c r="I1742" s="598">
        <v>4.0</v>
      </c>
      <c r="J1742" s="598">
        <v>91.0</v>
      </c>
      <c r="K1742" s="1561">
        <v>273.0</v>
      </c>
      <c r="L1742" s="1555">
        <v>47906.0</v>
      </c>
    </row>
    <row r="1743">
      <c r="A1743" s="1545" t="s">
        <v>650</v>
      </c>
      <c r="B1743" s="1587">
        <v>322608.0</v>
      </c>
      <c r="C1743" s="1547">
        <v>9071.0</v>
      </c>
      <c r="D1743" s="1548">
        <v>12.7</v>
      </c>
      <c r="E1743" s="1557">
        <v>258438.0</v>
      </c>
      <c r="F1743" s="598">
        <v>13759.0</v>
      </c>
      <c r="G1743" s="598">
        <v>2665.0</v>
      </c>
      <c r="H1743" s="598">
        <v>14086.0</v>
      </c>
      <c r="I1743" s="598">
        <v>206.0</v>
      </c>
      <c r="J1743" s="598">
        <v>10467.0</v>
      </c>
      <c r="K1743" s="1561">
        <v>22987.0</v>
      </c>
      <c r="L1743" s="1551">
        <v>58618.0</v>
      </c>
    </row>
    <row r="1744">
      <c r="A1744" s="1545" t="s">
        <v>290</v>
      </c>
      <c r="B1744" s="1587">
        <v>34676.0</v>
      </c>
      <c r="C1744" s="1547">
        <v>1056.0</v>
      </c>
      <c r="D1744" s="1548">
        <v>13.1</v>
      </c>
      <c r="E1744" s="1557">
        <v>30678.0</v>
      </c>
      <c r="F1744" s="598">
        <v>427.0</v>
      </c>
      <c r="G1744" s="598">
        <v>214.0</v>
      </c>
      <c r="H1744" s="598">
        <v>325.0</v>
      </c>
      <c r="I1744" s="598">
        <v>7.0</v>
      </c>
      <c r="J1744" s="598">
        <v>939.0</v>
      </c>
      <c r="K1744" s="1561">
        <v>2086.0</v>
      </c>
      <c r="L1744" s="1551">
        <v>56803.0</v>
      </c>
    </row>
    <row r="1745">
      <c r="A1745" s="1545" t="s">
        <v>293</v>
      </c>
      <c r="B1745" s="1621">
        <v>716.0</v>
      </c>
      <c r="C1745" s="1563">
        <v>22.0</v>
      </c>
      <c r="D1745" s="1548">
        <v>11.7</v>
      </c>
      <c r="E1745" s="1557">
        <v>676.0</v>
      </c>
      <c r="F1745" s="598">
        <v>0.0</v>
      </c>
      <c r="G1745" s="598">
        <v>1.0</v>
      </c>
      <c r="H1745" s="598">
        <v>4.0</v>
      </c>
      <c r="I1745" s="598">
        <v>0.0</v>
      </c>
      <c r="J1745" s="598">
        <v>0.0</v>
      </c>
      <c r="K1745" s="1561">
        <v>35.0</v>
      </c>
      <c r="L1745" s="1551">
        <v>55531.0</v>
      </c>
    </row>
    <row r="1746">
      <c r="A1746" s="1545" t="s">
        <v>1492</v>
      </c>
      <c r="B1746" s="1621">
        <v>607.0</v>
      </c>
      <c r="C1746" s="1563">
        <v>32.0</v>
      </c>
      <c r="D1746" s="1548">
        <v>28.1</v>
      </c>
      <c r="E1746" s="1557">
        <v>565.0</v>
      </c>
      <c r="F1746" s="598">
        <v>0.0</v>
      </c>
      <c r="G1746" s="598">
        <v>0.0</v>
      </c>
      <c r="H1746" s="598">
        <v>1.0</v>
      </c>
      <c r="I1746" s="598">
        <v>0.0</v>
      </c>
      <c r="J1746" s="598">
        <v>8.0</v>
      </c>
      <c r="K1746" s="1561">
        <v>33.0</v>
      </c>
      <c r="L1746" s="1551">
        <v>47797.0</v>
      </c>
    </row>
    <row r="1747">
      <c r="A1747" s="1545" t="s">
        <v>988</v>
      </c>
      <c r="B1747" s="1621">
        <v>399.0</v>
      </c>
      <c r="C1747" s="1563">
        <v>15.0</v>
      </c>
      <c r="D1747" s="1548">
        <v>16.9</v>
      </c>
      <c r="E1747" s="1557">
        <v>378.0</v>
      </c>
      <c r="F1747" s="598">
        <v>0.0</v>
      </c>
      <c r="G1747" s="598">
        <v>4.0</v>
      </c>
      <c r="H1747" s="598">
        <v>2.0</v>
      </c>
      <c r="I1747" s="598">
        <v>0.0</v>
      </c>
      <c r="J1747" s="598">
        <v>1.0</v>
      </c>
      <c r="K1747" s="1561">
        <v>14.0</v>
      </c>
      <c r="L1747" s="1551">
        <v>53207.0</v>
      </c>
    </row>
    <row r="1748">
      <c r="A1748" s="1545" t="s">
        <v>151</v>
      </c>
      <c r="B1748" s="1587">
        <v>35585.0</v>
      </c>
      <c r="C1748" s="1547">
        <v>1115.0</v>
      </c>
      <c r="D1748" s="1548">
        <v>12.7</v>
      </c>
      <c r="E1748" s="1557">
        <v>28898.0</v>
      </c>
      <c r="F1748" s="598">
        <v>414.0</v>
      </c>
      <c r="G1748" s="598">
        <v>533.0</v>
      </c>
      <c r="H1748" s="598">
        <v>448.0</v>
      </c>
      <c r="I1748" s="598">
        <v>9.0</v>
      </c>
      <c r="J1748" s="598">
        <v>2564.0</v>
      </c>
      <c r="K1748" s="1561">
        <v>2719.0</v>
      </c>
      <c r="L1748" s="1551">
        <v>55226.0</v>
      </c>
    </row>
    <row r="1749">
      <c r="A1749" s="1545" t="s">
        <v>1493</v>
      </c>
      <c r="B1749" s="1587">
        <v>7668.0</v>
      </c>
      <c r="C1749" s="1563">
        <v>243.0</v>
      </c>
      <c r="D1749" s="1548">
        <v>14.4</v>
      </c>
      <c r="E1749" s="1557">
        <v>7049.0</v>
      </c>
      <c r="F1749" s="598">
        <v>44.0</v>
      </c>
      <c r="G1749" s="598">
        <v>37.0</v>
      </c>
      <c r="H1749" s="598">
        <v>32.0</v>
      </c>
      <c r="I1749" s="598">
        <v>6.0</v>
      </c>
      <c r="J1749" s="598">
        <v>155.0</v>
      </c>
      <c r="K1749" s="1561">
        <v>345.0</v>
      </c>
      <c r="L1749" s="1551">
        <v>56493.0</v>
      </c>
    </row>
    <row r="1750">
      <c r="A1750" s="1545" t="s">
        <v>1494</v>
      </c>
      <c r="B1750" s="1587">
        <v>4555.0</v>
      </c>
      <c r="C1750" s="1563">
        <v>202.0</v>
      </c>
      <c r="D1750" s="1548">
        <v>18.9</v>
      </c>
      <c r="E1750" s="1557">
        <v>3892.0</v>
      </c>
      <c r="F1750" s="598">
        <v>20.0</v>
      </c>
      <c r="G1750" s="598">
        <v>54.0</v>
      </c>
      <c r="H1750" s="598">
        <v>21.0</v>
      </c>
      <c r="I1750" s="598">
        <v>0.0</v>
      </c>
      <c r="J1750" s="598">
        <v>251.0</v>
      </c>
      <c r="K1750" s="1561">
        <v>317.0</v>
      </c>
      <c r="L1750" s="1551">
        <v>49151.0</v>
      </c>
    </row>
    <row r="1751">
      <c r="A1751" s="1545" t="s">
        <v>1495</v>
      </c>
      <c r="B1751" s="1587">
        <v>3380.0</v>
      </c>
      <c r="C1751" s="1563">
        <v>108.0</v>
      </c>
      <c r="D1751" s="1548">
        <v>13.9</v>
      </c>
      <c r="E1751" s="1557">
        <v>3224.0</v>
      </c>
      <c r="F1751" s="598">
        <v>4.0</v>
      </c>
      <c r="G1751" s="598">
        <v>14.0</v>
      </c>
      <c r="H1751" s="598">
        <v>6.0</v>
      </c>
      <c r="I1751" s="598">
        <v>0.0</v>
      </c>
      <c r="J1751" s="598">
        <v>11.0</v>
      </c>
      <c r="K1751" s="1561">
        <v>121.0</v>
      </c>
      <c r="L1751" s="1551">
        <v>47279.0</v>
      </c>
    </row>
    <row r="1752">
      <c r="A1752" s="1545" t="s">
        <v>992</v>
      </c>
      <c r="B1752" s="1587">
        <v>7074.0</v>
      </c>
      <c r="C1752" s="1563">
        <v>205.0</v>
      </c>
      <c r="D1752" s="1548">
        <v>13.8</v>
      </c>
      <c r="E1752" s="1557">
        <v>6602.0</v>
      </c>
      <c r="F1752" s="598">
        <v>66.0</v>
      </c>
      <c r="G1752" s="598">
        <v>33.0</v>
      </c>
      <c r="H1752" s="598">
        <v>33.0</v>
      </c>
      <c r="I1752" s="598">
        <v>0.0</v>
      </c>
      <c r="J1752" s="598">
        <v>87.0</v>
      </c>
      <c r="K1752" s="1561">
        <v>253.0</v>
      </c>
      <c r="L1752" s="1551">
        <v>52069.0</v>
      </c>
    </row>
    <row r="1753">
      <c r="A1753" s="1545" t="s">
        <v>1496</v>
      </c>
      <c r="B1753" s="1587">
        <v>4095.0</v>
      </c>
      <c r="C1753" s="1563">
        <v>139.0</v>
      </c>
      <c r="D1753" s="1548">
        <v>16.8</v>
      </c>
      <c r="E1753" s="1557">
        <v>3862.0</v>
      </c>
      <c r="F1753" s="598">
        <v>6.0</v>
      </c>
      <c r="G1753" s="598">
        <v>4.0</v>
      </c>
      <c r="H1753" s="598">
        <v>4.0</v>
      </c>
      <c r="I1753" s="598">
        <v>0.0</v>
      </c>
      <c r="J1753" s="598">
        <v>49.0</v>
      </c>
      <c r="K1753" s="1561">
        <v>170.0</v>
      </c>
      <c r="L1753" s="1551">
        <v>46954.0</v>
      </c>
    </row>
    <row r="1754">
      <c r="A1754" s="1545" t="s">
        <v>1497</v>
      </c>
      <c r="B1754" s="1587">
        <v>15912.0</v>
      </c>
      <c r="C1754" s="1563">
        <v>435.0</v>
      </c>
      <c r="D1754" s="1548">
        <v>11.5</v>
      </c>
      <c r="E1754" s="1557">
        <v>14172.0</v>
      </c>
      <c r="F1754" s="598">
        <v>89.0</v>
      </c>
      <c r="G1754" s="598">
        <v>76.0</v>
      </c>
      <c r="H1754" s="598">
        <v>90.0</v>
      </c>
      <c r="I1754" s="598">
        <v>0.0</v>
      </c>
      <c r="J1754" s="598">
        <v>561.0</v>
      </c>
      <c r="K1754" s="1561">
        <v>924.0</v>
      </c>
      <c r="L1754" s="1551">
        <v>60734.0</v>
      </c>
    </row>
    <row r="1755">
      <c r="A1755" s="1545" t="s">
        <v>999</v>
      </c>
      <c r="B1755" s="1587">
        <v>2544.0</v>
      </c>
      <c r="C1755" s="1563">
        <v>118.0</v>
      </c>
      <c r="D1755" s="1548">
        <v>21.2</v>
      </c>
      <c r="E1755" s="1557">
        <v>2461.0</v>
      </c>
      <c r="F1755" s="598">
        <v>4.0</v>
      </c>
      <c r="G1755" s="598">
        <v>7.0</v>
      </c>
      <c r="H1755" s="598">
        <v>0.0</v>
      </c>
      <c r="I1755" s="598">
        <v>1.0</v>
      </c>
      <c r="J1755" s="598">
        <v>14.0</v>
      </c>
      <c r="K1755" s="1561">
        <v>57.0</v>
      </c>
      <c r="L1755" s="1551">
        <v>45487.0</v>
      </c>
    </row>
    <row r="1756">
      <c r="A1756" s="1545" t="s">
        <v>1498</v>
      </c>
      <c r="B1756" s="1587">
        <v>2858.0</v>
      </c>
      <c r="C1756" s="1563">
        <v>86.0</v>
      </c>
      <c r="D1756" s="1548">
        <v>11.9</v>
      </c>
      <c r="E1756" s="1557">
        <v>2660.0</v>
      </c>
      <c r="F1756" s="598">
        <v>10.0</v>
      </c>
      <c r="G1756" s="598">
        <v>3.0</v>
      </c>
      <c r="H1756" s="598">
        <v>3.0</v>
      </c>
      <c r="I1756" s="598">
        <v>5.0</v>
      </c>
      <c r="J1756" s="598">
        <v>65.0</v>
      </c>
      <c r="K1756" s="1561">
        <v>112.0</v>
      </c>
      <c r="L1756" s="1551">
        <v>57251.0</v>
      </c>
    </row>
    <row r="1757">
      <c r="A1757" s="1545" t="s">
        <v>1418</v>
      </c>
      <c r="B1757" s="1587">
        <v>8968.0</v>
      </c>
      <c r="C1757" s="1563">
        <v>251.0</v>
      </c>
      <c r="D1757" s="1548">
        <v>11.9</v>
      </c>
      <c r="E1757" s="1557">
        <v>8286.0</v>
      </c>
      <c r="F1757" s="598">
        <v>35.0</v>
      </c>
      <c r="G1757" s="598">
        <v>36.0</v>
      </c>
      <c r="H1757" s="598">
        <v>28.0</v>
      </c>
      <c r="I1757" s="598">
        <v>1.0</v>
      </c>
      <c r="J1757" s="598">
        <v>199.0</v>
      </c>
      <c r="K1757" s="1561">
        <v>383.0</v>
      </c>
      <c r="L1757" s="1551">
        <v>59003.0</v>
      </c>
    </row>
    <row r="1758">
      <c r="A1758" s="1545" t="s">
        <v>473</v>
      </c>
      <c r="B1758" s="1587">
        <v>7317.0</v>
      </c>
      <c r="C1758" s="1563">
        <v>200.0</v>
      </c>
      <c r="D1758" s="1548">
        <v>11.5</v>
      </c>
      <c r="E1758" s="1557">
        <v>6993.0</v>
      </c>
      <c r="F1758" s="598">
        <v>31.0</v>
      </c>
      <c r="G1758" s="598">
        <v>22.0</v>
      </c>
      <c r="H1758" s="598">
        <v>16.0</v>
      </c>
      <c r="I1758" s="598">
        <v>2.0</v>
      </c>
      <c r="J1758" s="598">
        <v>53.0</v>
      </c>
      <c r="K1758" s="1561">
        <v>200.0</v>
      </c>
      <c r="L1758" s="1551">
        <v>57367.0</v>
      </c>
    </row>
    <row r="1759">
      <c r="A1759" s="1545" t="s">
        <v>1419</v>
      </c>
      <c r="B1759" s="1587">
        <v>34296.0</v>
      </c>
      <c r="C1759" s="1563">
        <v>904.0</v>
      </c>
      <c r="D1759" s="1548">
        <v>10.6</v>
      </c>
      <c r="E1759" s="1557">
        <v>26932.0</v>
      </c>
      <c r="F1759" s="598">
        <v>374.0</v>
      </c>
      <c r="G1759" s="598">
        <v>306.0</v>
      </c>
      <c r="H1759" s="598">
        <v>205.0</v>
      </c>
      <c r="I1759" s="598">
        <v>9.0</v>
      </c>
      <c r="J1759" s="598">
        <v>3680.0</v>
      </c>
      <c r="K1759" s="1561">
        <v>2790.0</v>
      </c>
      <c r="L1759" s="1551">
        <v>63656.0</v>
      </c>
    </row>
    <row r="1760">
      <c r="A1760" s="1545" t="s">
        <v>302</v>
      </c>
      <c r="B1760" s="1587">
        <v>5214.0</v>
      </c>
      <c r="C1760" s="1563">
        <v>140.0</v>
      </c>
      <c r="D1760" s="1548">
        <v>11.8</v>
      </c>
      <c r="E1760" s="1557">
        <v>4798.0</v>
      </c>
      <c r="F1760" s="598">
        <v>11.0</v>
      </c>
      <c r="G1760" s="598">
        <v>23.0</v>
      </c>
      <c r="H1760" s="598">
        <v>2.0</v>
      </c>
      <c r="I1760" s="598">
        <v>1.0</v>
      </c>
      <c r="J1760" s="598">
        <v>116.0</v>
      </c>
      <c r="K1760" s="1561">
        <v>263.0</v>
      </c>
      <c r="L1760" s="1551">
        <v>59815.0</v>
      </c>
    </row>
    <row r="1761">
      <c r="A1761" s="1545" t="s">
        <v>1499</v>
      </c>
      <c r="B1761" s="1587">
        <v>10702.0</v>
      </c>
      <c r="C1761" s="1563">
        <v>336.0</v>
      </c>
      <c r="D1761" s="1548">
        <v>14.5</v>
      </c>
      <c r="E1761" s="1557">
        <v>9734.0</v>
      </c>
      <c r="F1761" s="598">
        <v>113.0</v>
      </c>
      <c r="G1761" s="598">
        <v>50.0</v>
      </c>
      <c r="H1761" s="598">
        <v>39.0</v>
      </c>
      <c r="I1761" s="598">
        <v>12.0</v>
      </c>
      <c r="J1761" s="598">
        <v>319.0</v>
      </c>
      <c r="K1761" s="1561">
        <v>435.0</v>
      </c>
      <c r="L1761" s="1551">
        <v>49034.0</v>
      </c>
    </row>
    <row r="1762">
      <c r="A1762" s="1545" t="s">
        <v>1500</v>
      </c>
      <c r="B1762" s="1587">
        <v>7871.0</v>
      </c>
      <c r="C1762" s="1563">
        <v>290.0</v>
      </c>
      <c r="D1762" s="1548">
        <v>17.8</v>
      </c>
      <c r="E1762" s="1557">
        <v>7151.0</v>
      </c>
      <c r="F1762" s="598">
        <v>24.0</v>
      </c>
      <c r="G1762" s="598">
        <v>226.0</v>
      </c>
      <c r="H1762" s="598">
        <v>36.0</v>
      </c>
      <c r="I1762" s="598">
        <v>1.0</v>
      </c>
      <c r="J1762" s="598">
        <v>27.0</v>
      </c>
      <c r="K1762" s="1561">
        <v>406.0</v>
      </c>
      <c r="L1762" s="1551">
        <v>47573.0</v>
      </c>
    </row>
    <row r="1763">
      <c r="A1763" s="1545" t="s">
        <v>1341</v>
      </c>
      <c r="B1763" s="1587">
        <v>1262.0</v>
      </c>
      <c r="C1763" s="1563">
        <v>62.0</v>
      </c>
      <c r="D1763" s="1548">
        <v>23.6</v>
      </c>
      <c r="E1763" s="1557">
        <v>1223.0</v>
      </c>
      <c r="F1763" s="598">
        <v>3.0</v>
      </c>
      <c r="G1763" s="598">
        <v>1.0</v>
      </c>
      <c r="H1763" s="598">
        <v>0.0</v>
      </c>
      <c r="I1763" s="598">
        <v>0.0</v>
      </c>
      <c r="J1763" s="598">
        <v>9.0</v>
      </c>
      <c r="K1763" s="1561">
        <v>26.0</v>
      </c>
      <c r="L1763" s="1551">
        <v>48260.0</v>
      </c>
    </row>
    <row r="1764">
      <c r="A1764" s="1545" t="s">
        <v>308</v>
      </c>
      <c r="B1764" s="1587">
        <v>14292.0</v>
      </c>
      <c r="C1764" s="1563">
        <v>516.0</v>
      </c>
      <c r="D1764" s="1548">
        <v>14.6</v>
      </c>
      <c r="E1764" s="1557">
        <v>9893.0</v>
      </c>
      <c r="F1764" s="598">
        <v>137.0</v>
      </c>
      <c r="G1764" s="598">
        <v>204.0</v>
      </c>
      <c r="H1764" s="598">
        <v>277.0</v>
      </c>
      <c r="I1764" s="598">
        <v>48.0</v>
      </c>
      <c r="J1764" s="598">
        <v>2300.0</v>
      </c>
      <c r="K1764" s="1561">
        <v>1433.0</v>
      </c>
      <c r="L1764" s="1555">
        <v>54569.0</v>
      </c>
    </row>
    <row r="1765">
      <c r="A1765" s="1545" t="s">
        <v>1501</v>
      </c>
      <c r="B1765" s="1587">
        <v>190604.0</v>
      </c>
      <c r="C1765" s="1547">
        <v>3183.0</v>
      </c>
      <c r="D1765" s="1548">
        <v>6.4</v>
      </c>
      <c r="E1765" s="1557">
        <v>152525.0</v>
      </c>
      <c r="F1765" s="598">
        <v>7459.0</v>
      </c>
      <c r="G1765" s="598">
        <v>1012.0</v>
      </c>
      <c r="H1765" s="598">
        <v>4794.0</v>
      </c>
      <c r="I1765" s="598">
        <v>239.0</v>
      </c>
      <c r="J1765" s="598">
        <v>7064.0</v>
      </c>
      <c r="K1765" s="1561">
        <v>17511.0</v>
      </c>
      <c r="L1765" s="1555">
        <v>79358.0</v>
      </c>
    </row>
    <row r="1766">
      <c r="A1766" s="1545" t="s">
        <v>1502</v>
      </c>
      <c r="B1766" s="1587">
        <v>22278.0</v>
      </c>
      <c r="C1766" s="1563">
        <v>424.0</v>
      </c>
      <c r="D1766" s="1548">
        <v>8.3</v>
      </c>
      <c r="E1766" s="1557">
        <v>20897.0</v>
      </c>
      <c r="F1766" s="598">
        <v>80.0</v>
      </c>
      <c r="G1766" s="598">
        <v>85.0</v>
      </c>
      <c r="H1766" s="598">
        <v>86.0</v>
      </c>
      <c r="I1766" s="598">
        <v>5.0</v>
      </c>
      <c r="J1766" s="598">
        <v>228.0</v>
      </c>
      <c r="K1766" s="1561">
        <v>897.0</v>
      </c>
      <c r="L1766" s="1555">
        <v>67897.0</v>
      </c>
    </row>
    <row r="1767">
      <c r="A1767" s="1545" t="s">
        <v>1503</v>
      </c>
      <c r="B1767" s="1587">
        <v>36084.0</v>
      </c>
      <c r="C1767" s="1547">
        <v>1678.0</v>
      </c>
      <c r="D1767" s="1548">
        <v>19.0</v>
      </c>
      <c r="E1767" s="1557">
        <v>28265.0</v>
      </c>
      <c r="F1767" s="598">
        <v>287.0</v>
      </c>
      <c r="G1767" s="598">
        <v>768.0</v>
      </c>
      <c r="H1767" s="598">
        <v>281.0</v>
      </c>
      <c r="I1767" s="598">
        <v>25.0</v>
      </c>
      <c r="J1767" s="598">
        <v>2664.0</v>
      </c>
      <c r="K1767" s="1561">
        <v>3794.0</v>
      </c>
      <c r="L1767" s="1555">
        <v>50247.0</v>
      </c>
    </row>
    <row r="1768">
      <c r="A1768" s="1545" t="s">
        <v>1008</v>
      </c>
      <c r="B1768" s="1587">
        <v>17609.0</v>
      </c>
      <c r="C1768" s="1563">
        <v>293.0</v>
      </c>
      <c r="D1768" s="1548">
        <v>7.3</v>
      </c>
      <c r="E1768" s="1557">
        <v>16566.0</v>
      </c>
      <c r="F1768" s="598">
        <v>105.0</v>
      </c>
      <c r="G1768" s="598">
        <v>56.0</v>
      </c>
      <c r="H1768" s="598">
        <v>57.0</v>
      </c>
      <c r="I1768" s="598">
        <v>6.0</v>
      </c>
      <c r="J1768" s="598">
        <v>169.0</v>
      </c>
      <c r="K1768" s="1561">
        <v>650.0</v>
      </c>
      <c r="L1768" s="1555">
        <v>71024.0</v>
      </c>
    </row>
    <row r="1769">
      <c r="A1769" s="1545" t="s">
        <v>1010</v>
      </c>
      <c r="B1769" s="1587">
        <v>5127.0</v>
      </c>
      <c r="C1769" s="1563">
        <v>300.0</v>
      </c>
      <c r="D1769" s="1548">
        <v>26.5</v>
      </c>
      <c r="E1769" s="1557">
        <v>4143.0</v>
      </c>
      <c r="F1769" s="598">
        <v>15.0</v>
      </c>
      <c r="G1769" s="598">
        <v>566.0</v>
      </c>
      <c r="H1769" s="598">
        <v>30.0</v>
      </c>
      <c r="I1769" s="598">
        <v>2.0</v>
      </c>
      <c r="J1769" s="598">
        <v>85.0</v>
      </c>
      <c r="K1769" s="1561">
        <v>286.0</v>
      </c>
      <c r="L1769" s="1555">
        <v>43819.0</v>
      </c>
    </row>
    <row r="1770">
      <c r="A1770" s="1545" t="s">
        <v>1011</v>
      </c>
      <c r="B1770" s="1587">
        <v>2959.0</v>
      </c>
      <c r="C1770" s="1563">
        <v>133.0</v>
      </c>
      <c r="D1770" s="1548">
        <v>21.2</v>
      </c>
      <c r="E1770" s="1557">
        <v>2807.0</v>
      </c>
      <c r="F1770" s="598">
        <v>10.0</v>
      </c>
      <c r="G1770" s="598">
        <v>16.0</v>
      </c>
      <c r="H1770" s="598">
        <v>5.0</v>
      </c>
      <c r="I1770" s="598">
        <v>2.0</v>
      </c>
      <c r="J1770" s="598">
        <v>10.0</v>
      </c>
      <c r="K1770" s="1561">
        <v>109.0</v>
      </c>
      <c r="L1770" s="1555">
        <v>47499.0</v>
      </c>
    </row>
    <row r="1771">
      <c r="A1771" s="1545" t="s">
        <v>937</v>
      </c>
      <c r="B1771" s="1587">
        <v>1135.0</v>
      </c>
      <c r="C1771" s="1563">
        <v>59.0</v>
      </c>
      <c r="D1771" s="1548">
        <v>26.8</v>
      </c>
      <c r="E1771" s="1557">
        <v>1065.0</v>
      </c>
      <c r="F1771" s="598">
        <v>0.0</v>
      </c>
      <c r="G1771" s="598">
        <v>2.0</v>
      </c>
      <c r="H1771" s="598">
        <v>4.0</v>
      </c>
      <c r="I1771" s="598">
        <v>2.0</v>
      </c>
      <c r="J1771" s="598">
        <v>18.0</v>
      </c>
      <c r="K1771" s="1561">
        <v>44.0</v>
      </c>
      <c r="L1771" s="1555">
        <v>50861.0</v>
      </c>
    </row>
    <row r="1772">
      <c r="A1772" s="1545" t="s">
        <v>1014</v>
      </c>
      <c r="B1772" s="1587">
        <v>5842.0</v>
      </c>
      <c r="C1772" s="1563">
        <v>155.0</v>
      </c>
      <c r="D1772" s="1548">
        <v>10.5</v>
      </c>
      <c r="E1772" s="1557">
        <v>5308.0</v>
      </c>
      <c r="F1772" s="598">
        <v>22.0</v>
      </c>
      <c r="G1772" s="598">
        <v>32.0</v>
      </c>
      <c r="H1772" s="598">
        <v>18.0</v>
      </c>
      <c r="I1772" s="598">
        <v>7.0</v>
      </c>
      <c r="J1772" s="598">
        <v>142.0</v>
      </c>
      <c r="K1772" s="1561">
        <v>313.0</v>
      </c>
      <c r="L1772" s="1555">
        <v>66228.0</v>
      </c>
    </row>
    <row r="1773">
      <c r="A1773" s="1545" t="s">
        <v>1504</v>
      </c>
      <c r="B1773" s="1587">
        <v>5034.0</v>
      </c>
      <c r="C1773" s="1563">
        <v>167.0</v>
      </c>
      <c r="D1773" s="1548">
        <v>14.8</v>
      </c>
      <c r="E1773" s="1557">
        <v>4817.0</v>
      </c>
      <c r="F1773" s="598">
        <v>10.0</v>
      </c>
      <c r="G1773" s="598">
        <v>15.0</v>
      </c>
      <c r="H1773" s="598">
        <v>10.0</v>
      </c>
      <c r="I1773" s="598">
        <v>6.0</v>
      </c>
      <c r="J1773" s="598">
        <v>44.0</v>
      </c>
      <c r="K1773" s="1561">
        <v>132.0</v>
      </c>
      <c r="L1773" s="1555">
        <v>51299.0</v>
      </c>
    </row>
    <row r="1774">
      <c r="A1774" s="1545" t="s">
        <v>636</v>
      </c>
      <c r="B1774" s="1621">
        <v>669.0</v>
      </c>
      <c r="C1774" s="1563">
        <v>39.0</v>
      </c>
      <c r="D1774" s="1548">
        <v>23.4</v>
      </c>
      <c r="E1774" s="1557">
        <v>630.0</v>
      </c>
      <c r="F1774" s="598">
        <v>0.0</v>
      </c>
      <c r="G1774" s="598">
        <v>4.0</v>
      </c>
      <c r="H1774" s="598">
        <v>1.0</v>
      </c>
      <c r="I1774" s="598">
        <v>0.0</v>
      </c>
      <c r="J1774" s="598">
        <v>4.0</v>
      </c>
      <c r="K1774" s="1561">
        <v>30.0</v>
      </c>
      <c r="L1774" s="1555">
        <v>48275.0</v>
      </c>
    </row>
    <row r="1775">
      <c r="A1775" s="1545" t="s">
        <v>1505</v>
      </c>
      <c r="B1775" s="1587">
        <v>6773.0</v>
      </c>
      <c r="C1775" s="1563">
        <v>848.0</v>
      </c>
      <c r="D1775" s="1548">
        <v>32.7</v>
      </c>
      <c r="E1775" s="1557">
        <v>2475.0</v>
      </c>
      <c r="F1775" s="598">
        <v>24.0</v>
      </c>
      <c r="G1775" s="598">
        <v>3980.0</v>
      </c>
      <c r="H1775" s="598">
        <v>9.0</v>
      </c>
      <c r="I1775" s="598">
        <v>9.0</v>
      </c>
      <c r="J1775" s="598">
        <v>84.0</v>
      </c>
      <c r="K1775" s="1561">
        <v>192.0</v>
      </c>
      <c r="L1775" s="1555">
        <v>45405.0</v>
      </c>
    </row>
    <row r="1776">
      <c r="A1776" s="1545" t="s">
        <v>692</v>
      </c>
      <c r="B1776" s="1587">
        <v>4059.0</v>
      </c>
      <c r="C1776" s="1563">
        <v>152.0</v>
      </c>
      <c r="D1776" s="1548">
        <v>16.1</v>
      </c>
      <c r="E1776" s="1557">
        <v>3865.0</v>
      </c>
      <c r="F1776" s="598">
        <v>15.0</v>
      </c>
      <c r="G1776" s="598">
        <v>10.0</v>
      </c>
      <c r="H1776" s="598">
        <v>10.0</v>
      </c>
      <c r="I1776" s="598">
        <v>10.0</v>
      </c>
      <c r="J1776" s="598">
        <v>43.0</v>
      </c>
      <c r="K1776" s="1561">
        <v>106.0</v>
      </c>
      <c r="L1776" s="1555">
        <v>48604.0</v>
      </c>
    </row>
    <row r="1777">
      <c r="A1777" s="1545" t="s">
        <v>119</v>
      </c>
      <c r="B1777" s="1587">
        <v>20865.0</v>
      </c>
      <c r="C1777" s="1563">
        <v>348.0</v>
      </c>
      <c r="D1777" s="1548">
        <v>7.0</v>
      </c>
      <c r="E1777" s="1557">
        <v>19518.0</v>
      </c>
      <c r="F1777" s="598">
        <v>72.0</v>
      </c>
      <c r="G1777" s="598">
        <v>37.0</v>
      </c>
      <c r="H1777" s="598">
        <v>100.0</v>
      </c>
      <c r="I1777" s="598">
        <v>4.0</v>
      </c>
      <c r="J1777" s="598">
        <v>247.0</v>
      </c>
      <c r="K1777" s="1561">
        <v>887.0</v>
      </c>
      <c r="L1777" s="1555">
        <v>77838.0</v>
      </c>
    </row>
    <row r="1778">
      <c r="A1778" s="1545" t="s">
        <v>273</v>
      </c>
      <c r="B1778" s="1587">
        <v>9697.0</v>
      </c>
      <c r="C1778" s="1563">
        <v>183.0</v>
      </c>
      <c r="D1778" s="1548">
        <v>9.9</v>
      </c>
      <c r="E1778" s="1557">
        <v>8023.0</v>
      </c>
      <c r="F1778" s="598">
        <v>351.0</v>
      </c>
      <c r="G1778" s="598">
        <v>61.0</v>
      </c>
      <c r="H1778" s="598">
        <v>122.0</v>
      </c>
      <c r="I1778" s="598">
        <v>8.0</v>
      </c>
      <c r="J1778" s="598">
        <v>649.0</v>
      </c>
      <c r="K1778" s="1561">
        <v>483.0</v>
      </c>
      <c r="L1778" s="1555">
        <v>55970.0</v>
      </c>
    </row>
    <row r="1779">
      <c r="A1779" s="1545" t="s">
        <v>648</v>
      </c>
      <c r="B1779" s="1587">
        <v>3395.0</v>
      </c>
      <c r="C1779" s="1563">
        <v>124.0</v>
      </c>
      <c r="D1779" s="1548">
        <v>16.3</v>
      </c>
      <c r="E1779" s="1557">
        <v>3160.0</v>
      </c>
      <c r="F1779" s="598">
        <v>14.0</v>
      </c>
      <c r="G1779" s="598">
        <v>16.0</v>
      </c>
      <c r="H1779" s="598">
        <v>9.0</v>
      </c>
      <c r="I1779" s="598">
        <v>0.0</v>
      </c>
      <c r="J1779" s="598">
        <v>39.0</v>
      </c>
      <c r="K1779" s="1561">
        <v>157.0</v>
      </c>
      <c r="L1779" s="1555">
        <v>45058.0</v>
      </c>
    </row>
    <row r="1780">
      <c r="A1780" s="1545" t="s">
        <v>649</v>
      </c>
      <c r="B1780" s="1621">
        <v>774.0</v>
      </c>
      <c r="C1780" s="1563">
        <v>30.0</v>
      </c>
      <c r="D1780" s="1548">
        <v>19.6</v>
      </c>
      <c r="E1780" s="1557">
        <v>741.0</v>
      </c>
      <c r="F1780" s="598">
        <v>0.0</v>
      </c>
      <c r="G1780" s="598">
        <v>3.0</v>
      </c>
      <c r="H1780" s="598">
        <v>0.0</v>
      </c>
      <c r="I1780" s="598">
        <v>0.0</v>
      </c>
      <c r="J1780" s="598">
        <v>1.0</v>
      </c>
      <c r="K1780" s="1561">
        <v>29.0</v>
      </c>
      <c r="L1780" s="1615">
        <v>53369.0</v>
      </c>
    </row>
    <row r="1781">
      <c r="A1781" s="1528" t="s">
        <v>1196</v>
      </c>
      <c r="B1781" s="1595">
        <v>14125.0</v>
      </c>
      <c r="C1781" s="1582">
        <v>374.0</v>
      </c>
      <c r="D1781" s="1567">
        <v>12.0</v>
      </c>
      <c r="E1781" s="1532">
        <v>12789.0</v>
      </c>
      <c r="F1781" s="1533">
        <v>174.0</v>
      </c>
      <c r="G1781" s="1533">
        <v>88.0</v>
      </c>
      <c r="H1781" s="1533">
        <v>95.0</v>
      </c>
      <c r="I1781" s="1533">
        <v>5.0</v>
      </c>
      <c r="J1781" s="1533">
        <v>397.0</v>
      </c>
      <c r="K1781" s="1616">
        <v>577.0</v>
      </c>
      <c r="L1781" s="1617">
        <v>61478.0</v>
      </c>
    </row>
    <row r="1782">
      <c r="A1782" s="1538" t="s">
        <v>82</v>
      </c>
      <c r="B1782" s="1596">
        <v>3104614.0</v>
      </c>
      <c r="C1782" s="1540">
        <v>124828.0</v>
      </c>
      <c r="D1782" s="1571">
        <v>18.4</v>
      </c>
      <c r="E1782" s="1572">
        <v>1588463.0</v>
      </c>
      <c r="F1782" s="1542">
        <v>304739.0</v>
      </c>
      <c r="G1782" s="1542">
        <v>43932.0</v>
      </c>
      <c r="H1782" s="1542">
        <v>272703.0</v>
      </c>
      <c r="I1782" s="1542">
        <v>25011.0</v>
      </c>
      <c r="J1782" s="1542">
        <v>435757.0</v>
      </c>
      <c r="K1782" s="1543">
        <v>434009.0</v>
      </c>
      <c r="L1782" s="1544">
        <v>58740.0</v>
      </c>
    </row>
    <row r="1783">
      <c r="A1783" s="1545" t="s">
        <v>1506</v>
      </c>
      <c r="B1783" s="1586">
        <v>25516.0</v>
      </c>
      <c r="C1783" s="1563">
        <v>977.0</v>
      </c>
      <c r="D1783" s="1548">
        <v>18.0</v>
      </c>
      <c r="E1783" s="1557">
        <v>18717.0</v>
      </c>
      <c r="F1783" s="598">
        <v>460.0</v>
      </c>
      <c r="G1783" s="598">
        <v>1174.0</v>
      </c>
      <c r="H1783" s="598">
        <v>680.0</v>
      </c>
      <c r="I1783" s="598">
        <v>93.0</v>
      </c>
      <c r="J1783" s="598">
        <v>1499.0</v>
      </c>
      <c r="K1783" s="1561">
        <v>2893.0</v>
      </c>
      <c r="L1783" s="1555">
        <v>58429.0</v>
      </c>
    </row>
    <row r="1784">
      <c r="A1784" s="1545" t="s">
        <v>253</v>
      </c>
      <c r="B1784" s="1587">
        <v>2265461.0</v>
      </c>
      <c r="C1784" s="1547">
        <v>100286.0</v>
      </c>
      <c r="D1784" s="1548">
        <v>19.7</v>
      </c>
      <c r="E1784" s="1557">
        <v>1016368.0</v>
      </c>
      <c r="F1784" s="598">
        <v>286684.0</v>
      </c>
      <c r="G1784" s="598">
        <v>23735.0</v>
      </c>
      <c r="H1784" s="598">
        <v>237663.0</v>
      </c>
      <c r="I1784" s="598">
        <v>20572.0</v>
      </c>
      <c r="J1784" s="598">
        <v>348344.0</v>
      </c>
      <c r="K1784" s="1561">
        <v>332095.0</v>
      </c>
      <c r="L1784" s="1551">
        <v>57155.0</v>
      </c>
    </row>
    <row r="1785">
      <c r="A1785" s="1545" t="s">
        <v>412</v>
      </c>
      <c r="B1785" s="1587">
        <v>49488.0</v>
      </c>
      <c r="C1785" s="1563">
        <v>912.0</v>
      </c>
      <c r="D1785" s="1548">
        <v>11.8</v>
      </c>
      <c r="E1785" s="1557">
        <v>40307.0</v>
      </c>
      <c r="F1785" s="598">
        <v>243.0</v>
      </c>
      <c r="G1785" s="598">
        <v>1014.0</v>
      </c>
      <c r="H1785" s="598">
        <v>934.0</v>
      </c>
      <c r="I1785" s="598">
        <v>95.0</v>
      </c>
      <c r="J1785" s="598">
        <v>2244.0</v>
      </c>
      <c r="K1785" s="1561">
        <v>4651.0</v>
      </c>
      <c r="L1785" s="1551">
        <v>70495.0</v>
      </c>
    </row>
    <row r="1786">
      <c r="A1786" s="1545" t="s">
        <v>1507</v>
      </c>
      <c r="B1786" s="1587">
        <v>53702.0</v>
      </c>
      <c r="C1786" s="1547">
        <v>1413.0</v>
      </c>
      <c r="D1786" s="1548">
        <v>10.1</v>
      </c>
      <c r="E1786" s="1557">
        <v>37435.0</v>
      </c>
      <c r="F1786" s="598">
        <v>522.0</v>
      </c>
      <c r="G1786" s="598">
        <v>2849.0</v>
      </c>
      <c r="H1786" s="598">
        <v>598.0</v>
      </c>
      <c r="I1786" s="598">
        <v>87.0</v>
      </c>
      <c r="J1786" s="598">
        <v>6294.0</v>
      </c>
      <c r="K1786" s="1561">
        <v>5917.0</v>
      </c>
      <c r="L1786" s="1551">
        <v>79134.0</v>
      </c>
    </row>
    <row r="1787">
      <c r="A1787" s="1545" t="s">
        <v>1508</v>
      </c>
      <c r="B1787" s="1621">
        <v>729.0</v>
      </c>
      <c r="C1787" s="1563">
        <v>26.0</v>
      </c>
      <c r="D1787" s="1548">
        <v>20.6</v>
      </c>
      <c r="E1787" s="1557">
        <v>548.0</v>
      </c>
      <c r="F1787" s="598">
        <v>4.0</v>
      </c>
      <c r="G1787" s="598">
        <v>30.0</v>
      </c>
      <c r="H1787" s="598">
        <v>6.0</v>
      </c>
      <c r="I1787" s="598">
        <v>0.0</v>
      </c>
      <c r="J1787" s="598">
        <v>65.0</v>
      </c>
      <c r="K1787" s="1561">
        <v>76.0</v>
      </c>
      <c r="L1787" s="1551">
        <v>50179.0</v>
      </c>
    </row>
    <row r="1788">
      <c r="A1788" s="1545" t="s">
        <v>1509</v>
      </c>
      <c r="B1788" s="1587">
        <v>1855.0</v>
      </c>
      <c r="C1788" s="1563">
        <v>45.0</v>
      </c>
      <c r="D1788" s="1548">
        <v>9.6</v>
      </c>
      <c r="E1788" s="1557">
        <v>1577.0</v>
      </c>
      <c r="F1788" s="598">
        <v>3.0</v>
      </c>
      <c r="G1788" s="598">
        <v>22.0</v>
      </c>
      <c r="H1788" s="598">
        <v>4.0</v>
      </c>
      <c r="I1788" s="598">
        <v>3.0</v>
      </c>
      <c r="J1788" s="598">
        <v>53.0</v>
      </c>
      <c r="K1788" s="1561">
        <v>193.0</v>
      </c>
      <c r="L1788" s="1551">
        <v>70036.0</v>
      </c>
    </row>
    <row r="1789">
      <c r="A1789" s="1545" t="s">
        <v>333</v>
      </c>
      <c r="B1789" s="1587">
        <v>17285.0</v>
      </c>
      <c r="C1789" s="1563">
        <v>781.0</v>
      </c>
      <c r="D1789" s="1548">
        <v>17.5</v>
      </c>
      <c r="E1789" s="1557">
        <v>12063.0</v>
      </c>
      <c r="F1789" s="598">
        <v>147.0</v>
      </c>
      <c r="G1789" s="598">
        <v>697.0</v>
      </c>
      <c r="H1789" s="598">
        <v>164.0</v>
      </c>
      <c r="I1789" s="598">
        <v>27.0</v>
      </c>
      <c r="J1789" s="598">
        <v>2167.0</v>
      </c>
      <c r="K1789" s="1561">
        <v>2020.0</v>
      </c>
      <c r="L1789" s="1551">
        <v>72873.0</v>
      </c>
    </row>
    <row r="1790">
      <c r="A1790" s="1545" t="s">
        <v>1510</v>
      </c>
      <c r="B1790" s="1587">
        <v>5734.0</v>
      </c>
      <c r="C1790" s="1563">
        <v>201.0</v>
      </c>
      <c r="D1790" s="1548">
        <v>13.7</v>
      </c>
      <c r="E1790" s="1557">
        <v>4282.0</v>
      </c>
      <c r="F1790" s="598">
        <v>12.0</v>
      </c>
      <c r="G1790" s="598">
        <v>268.0</v>
      </c>
      <c r="H1790" s="598">
        <v>27.0</v>
      </c>
      <c r="I1790" s="598">
        <v>10.0</v>
      </c>
      <c r="J1790" s="598">
        <v>534.0</v>
      </c>
      <c r="K1790" s="1561">
        <v>601.0</v>
      </c>
      <c r="L1790" s="1551">
        <v>79278.0</v>
      </c>
    </row>
    <row r="1791">
      <c r="A1791" s="1545" t="s">
        <v>290</v>
      </c>
      <c r="B1791" s="1587">
        <v>4499.0</v>
      </c>
      <c r="C1791" s="1563">
        <v>166.0</v>
      </c>
      <c r="D1791" s="1548">
        <v>16.4</v>
      </c>
      <c r="E1791" s="1557">
        <v>3950.0</v>
      </c>
      <c r="F1791" s="598">
        <v>171.0</v>
      </c>
      <c r="G1791" s="598">
        <v>29.0</v>
      </c>
      <c r="H1791" s="598">
        <v>21.0</v>
      </c>
      <c r="I1791" s="598">
        <v>24.0</v>
      </c>
      <c r="J1791" s="598">
        <v>108.0</v>
      </c>
      <c r="K1791" s="1561">
        <v>196.0</v>
      </c>
      <c r="L1791" s="1551">
        <v>55504.0</v>
      </c>
    </row>
    <row r="1792">
      <c r="A1792" s="1545" t="s">
        <v>910</v>
      </c>
      <c r="B1792" s="1587">
        <v>59235.0</v>
      </c>
      <c r="C1792" s="1547">
        <v>2084.0</v>
      </c>
      <c r="D1792" s="1548">
        <v>18.0</v>
      </c>
      <c r="E1792" s="1557">
        <v>44813.0</v>
      </c>
      <c r="F1792" s="598">
        <v>530.0</v>
      </c>
      <c r="G1792" s="598">
        <v>1368.0</v>
      </c>
      <c r="H1792" s="598">
        <v>980.0</v>
      </c>
      <c r="I1792" s="598">
        <v>196.0</v>
      </c>
      <c r="J1792" s="598">
        <v>4264.0</v>
      </c>
      <c r="K1792" s="1561">
        <v>7084.0</v>
      </c>
      <c r="L1792" s="1551">
        <v>59732.0</v>
      </c>
    </row>
    <row r="1793">
      <c r="A1793" s="1545" t="s">
        <v>435</v>
      </c>
      <c r="B1793" s="1587">
        <v>4554.0</v>
      </c>
      <c r="C1793" s="1563">
        <v>235.0</v>
      </c>
      <c r="D1793" s="1548">
        <v>27.0</v>
      </c>
      <c r="E1793" s="1557">
        <v>3001.0</v>
      </c>
      <c r="F1793" s="598">
        <v>165.0</v>
      </c>
      <c r="G1793" s="598">
        <v>785.0</v>
      </c>
      <c r="H1793" s="598">
        <v>65.0</v>
      </c>
      <c r="I1793" s="598">
        <v>8.0</v>
      </c>
      <c r="J1793" s="598">
        <v>169.0</v>
      </c>
      <c r="K1793" s="1561">
        <v>361.0</v>
      </c>
      <c r="L1793" s="1551">
        <v>44438.0</v>
      </c>
    </row>
    <row r="1794">
      <c r="A1794" s="1545" t="s">
        <v>1511</v>
      </c>
      <c r="B1794" s="1587">
        <v>51591.0</v>
      </c>
      <c r="C1794" s="1547">
        <v>1935.0</v>
      </c>
      <c r="D1794" s="1548">
        <v>25.9</v>
      </c>
      <c r="E1794" s="1557">
        <v>39153.0</v>
      </c>
      <c r="F1794" s="598">
        <v>1573.0</v>
      </c>
      <c r="G1794" s="598">
        <v>809.0</v>
      </c>
      <c r="H1794" s="598">
        <v>1060.0</v>
      </c>
      <c r="I1794" s="598">
        <v>245.0</v>
      </c>
      <c r="J1794" s="598">
        <v>3320.0</v>
      </c>
      <c r="K1794" s="1561">
        <v>5431.0</v>
      </c>
      <c r="L1794" s="1551">
        <v>47031.0</v>
      </c>
    </row>
    <row r="1795">
      <c r="A1795" s="1545" t="s">
        <v>1512</v>
      </c>
      <c r="B1795" s="1587">
        <v>6650.0</v>
      </c>
      <c r="C1795" s="1563">
        <v>193.0</v>
      </c>
      <c r="D1795" s="1548">
        <v>18.1</v>
      </c>
      <c r="E1795" s="1557">
        <v>4455.0</v>
      </c>
      <c r="F1795" s="598">
        <v>322.0</v>
      </c>
      <c r="G1795" s="598">
        <v>233.0</v>
      </c>
      <c r="H1795" s="598">
        <v>113.0</v>
      </c>
      <c r="I1795" s="598">
        <v>14.0</v>
      </c>
      <c r="J1795" s="598">
        <v>922.0</v>
      </c>
      <c r="K1795" s="1561">
        <v>591.0</v>
      </c>
      <c r="L1795" s="1551">
        <v>42522.0</v>
      </c>
    </row>
    <row r="1796">
      <c r="A1796" s="1545" t="s">
        <v>1513</v>
      </c>
      <c r="B1796" s="1587">
        <v>4104.0</v>
      </c>
      <c r="C1796" s="1563">
        <v>56.0</v>
      </c>
      <c r="D1796" s="1548">
        <v>11.6</v>
      </c>
      <c r="E1796" s="1557">
        <v>3427.0</v>
      </c>
      <c r="F1796" s="598">
        <v>24.0</v>
      </c>
      <c r="G1796" s="598">
        <v>45.0</v>
      </c>
      <c r="H1796" s="598">
        <v>67.0</v>
      </c>
      <c r="I1796" s="598">
        <v>12.0</v>
      </c>
      <c r="J1796" s="598">
        <v>124.0</v>
      </c>
      <c r="K1796" s="1561">
        <v>405.0</v>
      </c>
      <c r="L1796" s="1555">
        <v>68236.0</v>
      </c>
    </row>
    <row r="1797">
      <c r="A1797" s="1545" t="s">
        <v>1514</v>
      </c>
      <c r="B1797" s="1587">
        <v>486492.0</v>
      </c>
      <c r="C1797" s="1547">
        <v>13369.0</v>
      </c>
      <c r="D1797" s="1548">
        <v>13.5</v>
      </c>
      <c r="E1797" s="1557">
        <v>311769.0</v>
      </c>
      <c r="F1797" s="598">
        <v>12295.0</v>
      </c>
      <c r="G1797" s="598">
        <v>9014.0</v>
      </c>
      <c r="H1797" s="598">
        <v>28799.0</v>
      </c>
      <c r="I1797" s="598">
        <v>3466.0</v>
      </c>
      <c r="J1797" s="598">
        <v>57961.0</v>
      </c>
      <c r="K1797" s="1561">
        <v>63188.0</v>
      </c>
      <c r="L1797" s="1555">
        <v>63636.0</v>
      </c>
    </row>
    <row r="1798">
      <c r="A1798" s="1545" t="s">
        <v>1515</v>
      </c>
      <c r="B1798" s="1587">
        <v>9080.0</v>
      </c>
      <c r="C1798" s="1563">
        <v>284.0</v>
      </c>
      <c r="D1798" s="1548">
        <v>15.6</v>
      </c>
      <c r="E1798" s="1557">
        <v>6746.0</v>
      </c>
      <c r="F1798" s="598">
        <v>442.0</v>
      </c>
      <c r="G1798" s="598">
        <v>401.0</v>
      </c>
      <c r="H1798" s="598">
        <v>106.0</v>
      </c>
      <c r="I1798" s="598">
        <v>24.0</v>
      </c>
      <c r="J1798" s="598">
        <v>596.0</v>
      </c>
      <c r="K1798" s="1561">
        <v>765.0</v>
      </c>
      <c r="L1798" s="1615">
        <v>58942.0</v>
      </c>
    </row>
    <row r="1799">
      <c r="A1799" s="1528" t="s">
        <v>1516</v>
      </c>
      <c r="B1799" s="1595">
        <v>58639.0</v>
      </c>
      <c r="C1799" s="1530">
        <v>1866.0</v>
      </c>
      <c r="D1799" s="1567">
        <v>16.9</v>
      </c>
      <c r="E1799" s="1532">
        <v>39852.0</v>
      </c>
      <c r="F1799" s="1533">
        <v>1142.0</v>
      </c>
      <c r="G1799" s="1533">
        <v>1459.0</v>
      </c>
      <c r="H1799" s="1533">
        <v>1416.0</v>
      </c>
      <c r="I1799" s="1533">
        <v>135.0</v>
      </c>
      <c r="J1799" s="1533">
        <v>7093.0</v>
      </c>
      <c r="K1799" s="1616">
        <v>7542.0</v>
      </c>
      <c r="L1799" s="1617">
        <v>56382.0</v>
      </c>
    </row>
    <row r="1800">
      <c r="A1800" s="1538" t="s">
        <v>85</v>
      </c>
      <c r="B1800" s="1596">
        <v>1377529.0</v>
      </c>
      <c r="C1800" s="1540">
        <v>25379.0</v>
      </c>
      <c r="D1800" s="1571">
        <v>10.1</v>
      </c>
      <c r="E1800" s="1572">
        <v>1216203.0</v>
      </c>
      <c r="F1800" s="1542">
        <v>20127.0</v>
      </c>
      <c r="G1800" s="1542">
        <v>3031.0</v>
      </c>
      <c r="H1800" s="1542">
        <v>35871.0</v>
      </c>
      <c r="I1800" s="1542">
        <v>453.0</v>
      </c>
      <c r="J1800" s="1542">
        <v>24102.0</v>
      </c>
      <c r="K1800" s="1543">
        <v>77742.0</v>
      </c>
      <c r="L1800" s="1544">
        <v>75322.0</v>
      </c>
    </row>
    <row r="1801">
      <c r="A1801" s="1545" t="s">
        <v>1518</v>
      </c>
      <c r="B1801" s="1586">
        <v>63705.0</v>
      </c>
      <c r="C1801" s="1547">
        <v>1272.0</v>
      </c>
      <c r="D1801" s="1548">
        <v>11.6</v>
      </c>
      <c r="E1801" s="1557">
        <v>59134.0</v>
      </c>
      <c r="F1801" s="598">
        <v>359.0</v>
      </c>
      <c r="G1801" s="598">
        <v>128.0</v>
      </c>
      <c r="H1801" s="598">
        <v>588.0</v>
      </c>
      <c r="I1801" s="598">
        <v>14.0</v>
      </c>
      <c r="J1801" s="598">
        <v>392.0</v>
      </c>
      <c r="K1801" s="1561">
        <v>3090.0</v>
      </c>
      <c r="L1801" s="1551">
        <v>64777.0</v>
      </c>
    </row>
    <row r="1802">
      <c r="A1802" s="1545" t="s">
        <v>248</v>
      </c>
      <c r="B1802" s="1587">
        <v>50107.0</v>
      </c>
      <c r="C1802" s="1547">
        <v>1071.0</v>
      </c>
      <c r="D1802" s="1548">
        <v>14.3</v>
      </c>
      <c r="E1802" s="1557">
        <v>47199.0</v>
      </c>
      <c r="F1802" s="598">
        <v>134.0</v>
      </c>
      <c r="G1802" s="598">
        <v>111.0</v>
      </c>
      <c r="H1802" s="598">
        <v>359.0</v>
      </c>
      <c r="I1802" s="598">
        <v>9.0</v>
      </c>
      <c r="J1802" s="598">
        <v>343.0</v>
      </c>
      <c r="K1802" s="1561">
        <v>1952.0</v>
      </c>
      <c r="L1802" s="1555">
        <v>59413.0</v>
      </c>
    </row>
    <row r="1803">
      <c r="A1803" s="1545" t="s">
        <v>1519</v>
      </c>
      <c r="B1803" s="1587">
        <v>76458.0</v>
      </c>
      <c r="C1803" s="1547">
        <v>1715.0</v>
      </c>
      <c r="D1803" s="1548">
        <v>12.9</v>
      </c>
      <c r="E1803" s="1557">
        <v>69907.0</v>
      </c>
      <c r="F1803" s="598">
        <v>708.0</v>
      </c>
      <c r="G1803" s="598">
        <v>169.0</v>
      </c>
      <c r="H1803" s="598">
        <v>1079.0</v>
      </c>
      <c r="I1803" s="598">
        <v>53.0</v>
      </c>
      <c r="J1803" s="598">
        <v>642.0</v>
      </c>
      <c r="K1803" s="1561">
        <v>3900.0</v>
      </c>
      <c r="L1803" s="1551">
        <v>60251.0</v>
      </c>
    </row>
    <row r="1804">
      <c r="A1804" s="1545" t="s">
        <v>1520</v>
      </c>
      <c r="B1804" s="1587">
        <v>31268.0</v>
      </c>
      <c r="C1804" s="1547">
        <v>1027.0</v>
      </c>
      <c r="D1804" s="1548">
        <v>21.0</v>
      </c>
      <c r="E1804" s="1557">
        <v>28946.0</v>
      </c>
      <c r="F1804" s="598">
        <v>526.0</v>
      </c>
      <c r="G1804" s="598">
        <v>93.0</v>
      </c>
      <c r="H1804" s="598">
        <v>202.0</v>
      </c>
      <c r="I1804" s="598">
        <v>3.0</v>
      </c>
      <c r="J1804" s="598">
        <v>155.0</v>
      </c>
      <c r="K1804" s="1561">
        <v>1343.0</v>
      </c>
      <c r="L1804" s="1555">
        <v>44259.0</v>
      </c>
    </row>
    <row r="1805">
      <c r="A1805" s="1545" t="s">
        <v>1521</v>
      </c>
      <c r="B1805" s="1587">
        <v>91118.0</v>
      </c>
      <c r="C1805" s="1547">
        <v>1761.0</v>
      </c>
      <c r="D1805" s="1548">
        <v>12.5</v>
      </c>
      <c r="E1805" s="1557">
        <v>81268.0</v>
      </c>
      <c r="F1805" s="598">
        <v>819.0</v>
      </c>
      <c r="G1805" s="598">
        <v>222.0</v>
      </c>
      <c r="H1805" s="598">
        <v>2867.0</v>
      </c>
      <c r="I1805" s="598">
        <v>24.0</v>
      </c>
      <c r="J1805" s="598">
        <v>914.0</v>
      </c>
      <c r="K1805" s="1561">
        <v>5004.0</v>
      </c>
      <c r="L1805" s="1555">
        <v>65163.0</v>
      </c>
    </row>
    <row r="1806">
      <c r="A1806" s="1545" t="s">
        <v>306</v>
      </c>
      <c r="B1806" s="1587">
        <v>422937.0</v>
      </c>
      <c r="C1806" s="1547">
        <v>8294.0</v>
      </c>
      <c r="D1806" s="1548">
        <v>10.0</v>
      </c>
      <c r="E1806" s="1557">
        <v>350270.0</v>
      </c>
      <c r="F1806" s="598">
        <v>10937.0</v>
      </c>
      <c r="G1806" s="598">
        <v>1021.0</v>
      </c>
      <c r="H1806" s="598">
        <v>16523.0</v>
      </c>
      <c r="I1806" s="598">
        <v>141.0</v>
      </c>
      <c r="J1806" s="598">
        <v>14855.0</v>
      </c>
      <c r="K1806" s="1561">
        <v>29190.0</v>
      </c>
      <c r="L1806" s="1555">
        <v>78714.0</v>
      </c>
    </row>
    <row r="1807">
      <c r="A1807" s="1545" t="s">
        <v>1522</v>
      </c>
      <c r="B1807" s="1587">
        <v>153808.0</v>
      </c>
      <c r="C1807" s="1547">
        <v>2544.0</v>
      </c>
      <c r="D1807" s="1548">
        <v>9.0</v>
      </c>
      <c r="E1807" s="1557">
        <v>138454.0</v>
      </c>
      <c r="F1807" s="598">
        <v>2650.0</v>
      </c>
      <c r="G1807" s="598">
        <v>362.0</v>
      </c>
      <c r="H1807" s="598">
        <v>3026.0</v>
      </c>
      <c r="I1807" s="598">
        <v>64.0</v>
      </c>
      <c r="J1807" s="598">
        <v>1336.0</v>
      </c>
      <c r="K1807" s="1561">
        <v>7916.0</v>
      </c>
      <c r="L1807" s="1555">
        <v>74351.0</v>
      </c>
    </row>
    <row r="1808">
      <c r="A1808" s="1545" t="s">
        <v>1523</v>
      </c>
      <c r="B1808" s="1587">
        <v>314176.0</v>
      </c>
      <c r="C1808" s="1547">
        <v>3939.0</v>
      </c>
      <c r="D1808" s="1548">
        <v>6.7</v>
      </c>
      <c r="E1808" s="1557">
        <v>285715.0</v>
      </c>
      <c r="F1808" s="598">
        <v>2278.0</v>
      </c>
      <c r="G1808" s="598">
        <v>460.0</v>
      </c>
      <c r="H1808" s="598">
        <v>6316.0</v>
      </c>
      <c r="I1808" s="598">
        <v>92.0</v>
      </c>
      <c r="J1808" s="598">
        <v>3787.0</v>
      </c>
      <c r="K1808" s="1561">
        <v>15528.0</v>
      </c>
      <c r="L1808" s="1555">
        <v>93645.0</v>
      </c>
    </row>
    <row r="1809">
      <c r="A1809" s="1545" t="s">
        <v>1524</v>
      </c>
      <c r="B1809" s="1587">
        <v>130889.0</v>
      </c>
      <c r="C1809" s="1547">
        <v>2558.0</v>
      </c>
      <c r="D1809" s="1548">
        <v>10.9</v>
      </c>
      <c r="E1809" s="1557">
        <v>115890.0</v>
      </c>
      <c r="F1809" s="598">
        <v>1513.0</v>
      </c>
      <c r="G1809" s="598">
        <v>310.0</v>
      </c>
      <c r="H1809" s="598">
        <v>4506.0</v>
      </c>
      <c r="I1809" s="598">
        <v>47.0</v>
      </c>
      <c r="J1809" s="598">
        <v>1367.0</v>
      </c>
      <c r="K1809" s="1561">
        <v>7256.0</v>
      </c>
      <c r="L1809" s="1615">
        <v>69919.0</v>
      </c>
    </row>
    <row r="1810">
      <c r="A1810" s="1528" t="s">
        <v>860</v>
      </c>
      <c r="B1810" s="1595">
        <v>43063.0</v>
      </c>
      <c r="C1810" s="1530">
        <v>1198.0</v>
      </c>
      <c r="D1810" s="1567">
        <v>15.2</v>
      </c>
      <c r="E1810" s="1588">
        <v>39420.0</v>
      </c>
      <c r="F1810" s="1589">
        <v>203.0</v>
      </c>
      <c r="G1810" s="1589">
        <v>155.0</v>
      </c>
      <c r="H1810" s="1589">
        <v>405.0</v>
      </c>
      <c r="I1810" s="1589">
        <v>6.0</v>
      </c>
      <c r="J1810" s="1589">
        <v>311.0</v>
      </c>
      <c r="K1810" s="1616">
        <v>2563.0</v>
      </c>
      <c r="L1810" s="1617">
        <v>60034.0</v>
      </c>
    </row>
    <row r="1811">
      <c r="A1811" s="1538" t="s">
        <v>88</v>
      </c>
      <c r="B1811" s="1596">
        <v>9288994.0</v>
      </c>
      <c r="C1811" s="1540">
        <v>261055.0</v>
      </c>
      <c r="D1811" s="1571">
        <v>13.5</v>
      </c>
      <c r="E1811" s="1611">
        <v>5112280.0</v>
      </c>
      <c r="F1811" s="1612">
        <v>1219770.0</v>
      </c>
      <c r="G1811" s="1612">
        <v>51186.0</v>
      </c>
      <c r="H1811" s="1612">
        <v>950090.0</v>
      </c>
      <c r="I1811" s="1612">
        <v>3533.0</v>
      </c>
      <c r="J1811" s="1612">
        <v>1048641.0</v>
      </c>
      <c r="K1811" s="1613">
        <v>903494.0</v>
      </c>
      <c r="L1811" s="1625">
        <v>81777.0</v>
      </c>
    </row>
    <row r="1812">
      <c r="A1812" s="1545" t="s">
        <v>1525</v>
      </c>
      <c r="B1812" s="1586">
        <v>274534.0</v>
      </c>
      <c r="C1812" s="1547">
        <v>10629.0</v>
      </c>
      <c r="D1812" s="1548">
        <v>19.1</v>
      </c>
      <c r="E1812" s="1557">
        <v>156796.0</v>
      </c>
      <c r="F1812" s="598">
        <v>41519.0</v>
      </c>
      <c r="G1812" s="598">
        <v>1253.0</v>
      </c>
      <c r="H1812" s="598">
        <v>21784.0</v>
      </c>
      <c r="I1812" s="598">
        <v>342.0</v>
      </c>
      <c r="J1812" s="598">
        <v>27192.0</v>
      </c>
      <c r="K1812" s="1561">
        <v>25648.0</v>
      </c>
      <c r="L1812" s="1555">
        <v>60826.0</v>
      </c>
    </row>
    <row r="1813">
      <c r="A1813" s="1545" t="s">
        <v>447</v>
      </c>
      <c r="B1813" s="1587">
        <v>955732.0</v>
      </c>
      <c r="C1813" s="1547">
        <v>16130.0</v>
      </c>
      <c r="D1813" s="1548">
        <v>8.2</v>
      </c>
      <c r="E1813" s="1557">
        <v>543849.0</v>
      </c>
      <c r="F1813" s="598">
        <v>54831.0</v>
      </c>
      <c r="G1813" s="598">
        <v>4535.0</v>
      </c>
      <c r="H1813" s="598">
        <v>158630.0</v>
      </c>
      <c r="I1813" s="598">
        <v>217.0</v>
      </c>
      <c r="J1813" s="598">
        <v>96383.0</v>
      </c>
      <c r="K1813" s="1561">
        <v>97287.0</v>
      </c>
      <c r="L1813" s="1555">
        <v>100181.0</v>
      </c>
    </row>
    <row r="1814">
      <c r="A1814" s="1545" t="s">
        <v>1526</v>
      </c>
      <c r="B1814" s="1587">
        <v>461860.0</v>
      </c>
      <c r="C1814" s="1547">
        <v>7267.0</v>
      </c>
      <c r="D1814" s="1548">
        <v>7.9</v>
      </c>
      <c r="E1814" s="1557">
        <v>303024.0</v>
      </c>
      <c r="F1814" s="598">
        <v>77749.0</v>
      </c>
      <c r="G1814" s="598">
        <v>1168.0</v>
      </c>
      <c r="H1814" s="598">
        <v>26235.0</v>
      </c>
      <c r="I1814" s="598">
        <v>303.0</v>
      </c>
      <c r="J1814" s="598">
        <v>16041.0</v>
      </c>
      <c r="K1814" s="1561">
        <v>37340.0</v>
      </c>
      <c r="L1814" s="1555">
        <v>84470.0</v>
      </c>
    </row>
    <row r="1815">
      <c r="A1815" s="1545" t="s">
        <v>548</v>
      </c>
      <c r="B1815" s="1587">
        <v>523485.0</v>
      </c>
      <c r="C1815" s="1547">
        <v>20926.0</v>
      </c>
      <c r="D1815" s="1548">
        <v>18.4</v>
      </c>
      <c r="E1815" s="1557">
        <v>293198.0</v>
      </c>
      <c r="F1815" s="598">
        <v>101109.0</v>
      </c>
      <c r="G1815" s="598">
        <v>2468.0</v>
      </c>
      <c r="H1815" s="598">
        <v>32598.0</v>
      </c>
      <c r="I1815" s="598">
        <v>196.0</v>
      </c>
      <c r="J1815" s="598">
        <v>51285.0</v>
      </c>
      <c r="K1815" s="1561">
        <v>42631.0</v>
      </c>
      <c r="L1815" s="1555">
        <v>67135.0</v>
      </c>
    </row>
    <row r="1816">
      <c r="A1816" s="1545" t="s">
        <v>1527</v>
      </c>
      <c r="B1816" s="1587">
        <v>95263.0</v>
      </c>
      <c r="C1816" s="1547">
        <v>2480.0</v>
      </c>
      <c r="D1816" s="1548">
        <v>15.5</v>
      </c>
      <c r="E1816" s="1557">
        <v>81536.0</v>
      </c>
      <c r="F1816" s="598">
        <v>3567.0</v>
      </c>
      <c r="G1816" s="598">
        <v>253.0</v>
      </c>
      <c r="H1816" s="598">
        <v>908.0</v>
      </c>
      <c r="I1816" s="598">
        <v>28.0</v>
      </c>
      <c r="J1816" s="598">
        <v>3296.0</v>
      </c>
      <c r="K1816" s="1561">
        <v>5675.0</v>
      </c>
      <c r="L1816" s="1555">
        <v>62175.0</v>
      </c>
    </row>
    <row r="1817">
      <c r="A1817" s="1545" t="s">
        <v>713</v>
      </c>
      <c r="B1817" s="1587">
        <v>154152.0</v>
      </c>
      <c r="C1817" s="1547">
        <v>7704.0</v>
      </c>
      <c r="D1817" s="1548">
        <v>21.8</v>
      </c>
      <c r="E1817" s="1557">
        <v>74606.0</v>
      </c>
      <c r="F1817" s="598">
        <v>28581.0</v>
      </c>
      <c r="G1817" s="598">
        <v>2382.0</v>
      </c>
      <c r="H1817" s="598">
        <v>2108.0</v>
      </c>
      <c r="I1817" s="598">
        <v>19.0</v>
      </c>
      <c r="J1817" s="598">
        <v>28050.0</v>
      </c>
      <c r="K1817" s="1561">
        <v>18406.0</v>
      </c>
      <c r="L1817" s="1555">
        <v>51790.0</v>
      </c>
    </row>
    <row r="1818">
      <c r="A1818" s="1545" t="s">
        <v>516</v>
      </c>
      <c r="B1818" s="1587">
        <v>863728.0</v>
      </c>
      <c r="C1818" s="1547">
        <v>39344.0</v>
      </c>
      <c r="D1818" s="1548">
        <v>21.0</v>
      </c>
      <c r="E1818" s="1557">
        <v>261487.0</v>
      </c>
      <c r="F1818" s="598">
        <v>335047.0</v>
      </c>
      <c r="G1818" s="598">
        <v>4604.0</v>
      </c>
      <c r="H1818" s="598">
        <v>47591.0</v>
      </c>
      <c r="I1818" s="598">
        <v>378.0</v>
      </c>
      <c r="J1818" s="598">
        <v>124085.0</v>
      </c>
      <c r="K1818" s="1561">
        <v>90536.0</v>
      </c>
      <c r="L1818" s="1555">
        <v>62875.0</v>
      </c>
    </row>
    <row r="1819">
      <c r="A1819" s="1545" t="s">
        <v>1528</v>
      </c>
      <c r="B1819" s="1587">
        <v>302294.0</v>
      </c>
      <c r="C1819" s="1547">
        <v>5565.0</v>
      </c>
      <c r="D1819" s="1548">
        <v>8.9</v>
      </c>
      <c r="E1819" s="1557">
        <v>230313.0</v>
      </c>
      <c r="F1819" s="598">
        <v>32992.0</v>
      </c>
      <c r="G1819" s="598">
        <v>727.0</v>
      </c>
      <c r="H1819" s="598">
        <v>9543.0</v>
      </c>
      <c r="I1819" s="598">
        <v>84.0</v>
      </c>
      <c r="J1819" s="598">
        <v>8134.0</v>
      </c>
      <c r="K1819" s="1561">
        <v>20501.0</v>
      </c>
      <c r="L1819" s="1555">
        <v>81315.0</v>
      </c>
    </row>
    <row r="1820">
      <c r="A1820" s="1545" t="s">
        <v>580</v>
      </c>
      <c r="B1820" s="1587">
        <v>724854.0</v>
      </c>
      <c r="C1820" s="1547">
        <v>30428.0</v>
      </c>
      <c r="D1820" s="1548">
        <v>22.3</v>
      </c>
      <c r="E1820" s="1557">
        <v>248561.0</v>
      </c>
      <c r="F1820" s="598">
        <v>79498.0</v>
      </c>
      <c r="G1820" s="598">
        <v>7388.0</v>
      </c>
      <c r="H1820" s="598">
        <v>124555.0</v>
      </c>
      <c r="I1820" s="598">
        <v>417.0</v>
      </c>
      <c r="J1820" s="598">
        <v>159950.0</v>
      </c>
      <c r="K1820" s="1561">
        <v>104485.0</v>
      </c>
      <c r="L1820" s="1555">
        <v>73337.0</v>
      </c>
    </row>
    <row r="1821">
      <c r="A1821" s="1545" t="s">
        <v>1529</v>
      </c>
      <c r="B1821" s="1587">
        <v>128947.0</v>
      </c>
      <c r="C1821" s="1563">
        <v>967.0</v>
      </c>
      <c r="D1821" s="1548">
        <v>4.0</v>
      </c>
      <c r="E1821" s="1557">
        <v>106790.0</v>
      </c>
      <c r="F1821" s="598">
        <v>3174.0</v>
      </c>
      <c r="G1821" s="598">
        <v>282.0</v>
      </c>
      <c r="H1821" s="598">
        <v>5714.0</v>
      </c>
      <c r="I1821" s="598">
        <v>23.0</v>
      </c>
      <c r="J1821" s="598">
        <v>4105.0</v>
      </c>
      <c r="K1821" s="1561">
        <v>8859.0</v>
      </c>
      <c r="L1821" s="1555">
        <v>112335.0</v>
      </c>
    </row>
    <row r="1822">
      <c r="A1822" s="1545" t="s">
        <v>738</v>
      </c>
      <c r="B1822" s="1587">
        <v>387340.0</v>
      </c>
      <c r="C1822" s="1547">
        <v>10649.0</v>
      </c>
      <c r="D1822" s="1548">
        <v>13.7</v>
      </c>
      <c r="E1822" s="1557">
        <v>178447.0</v>
      </c>
      <c r="F1822" s="598">
        <v>74993.0</v>
      </c>
      <c r="G1822" s="598">
        <v>2442.0</v>
      </c>
      <c r="H1822" s="598">
        <v>48537.0</v>
      </c>
      <c r="I1822" s="598">
        <v>206.0</v>
      </c>
      <c r="J1822" s="598">
        <v>49572.0</v>
      </c>
      <c r="K1822" s="1561">
        <v>33143.0</v>
      </c>
      <c r="L1822" s="1555">
        <v>79979.0</v>
      </c>
    </row>
    <row r="1823">
      <c r="A1823" s="1545" t="s">
        <v>281</v>
      </c>
      <c r="B1823" s="1587">
        <v>863162.0</v>
      </c>
      <c r="C1823" s="1547">
        <v>19925.0</v>
      </c>
      <c r="D1823" s="1548">
        <v>11.2</v>
      </c>
      <c r="E1823" s="1557">
        <v>361742.0</v>
      </c>
      <c r="F1823" s="598">
        <v>84360.0</v>
      </c>
      <c r="G1823" s="598">
        <v>4614.0</v>
      </c>
      <c r="H1823" s="598">
        <v>228813.0</v>
      </c>
      <c r="I1823" s="598">
        <v>340.0</v>
      </c>
      <c r="J1823" s="598">
        <v>105028.0</v>
      </c>
      <c r="K1823" s="1561">
        <v>78265.0</v>
      </c>
      <c r="L1823" s="1555">
        <v>87666.0</v>
      </c>
    </row>
    <row r="1824">
      <c r="A1824" s="1545" t="s">
        <v>603</v>
      </c>
      <c r="B1824" s="1587">
        <v>643615.0</v>
      </c>
      <c r="C1824" s="1547">
        <v>11882.0</v>
      </c>
      <c r="D1824" s="1548">
        <v>9.1</v>
      </c>
      <c r="E1824" s="1557">
        <v>476056.0</v>
      </c>
      <c r="F1824" s="598">
        <v>41124.0</v>
      </c>
      <c r="G1824" s="598">
        <v>2361.0</v>
      </c>
      <c r="H1824" s="598">
        <v>36316.0</v>
      </c>
      <c r="I1824" s="598">
        <v>163.0</v>
      </c>
      <c r="J1824" s="598">
        <v>36259.0</v>
      </c>
      <c r="K1824" s="1561">
        <v>51336.0</v>
      </c>
      <c r="L1824" s="1555">
        <v>99223.0</v>
      </c>
    </row>
    <row r="1825">
      <c r="A1825" s="1545" t="s">
        <v>990</v>
      </c>
      <c r="B1825" s="1587">
        <v>509285.0</v>
      </c>
      <c r="C1825" s="1547">
        <v>5202.0</v>
      </c>
      <c r="D1825" s="1548">
        <v>5.0</v>
      </c>
      <c r="E1825" s="1557">
        <v>354824.0</v>
      </c>
      <c r="F1825" s="598">
        <v>16669.0</v>
      </c>
      <c r="G1825" s="598">
        <v>1632.0</v>
      </c>
      <c r="H1825" s="598">
        <v>58034.0</v>
      </c>
      <c r="I1825" s="598">
        <v>127.0</v>
      </c>
      <c r="J1825" s="598">
        <v>31260.0</v>
      </c>
      <c r="K1825" s="1561">
        <v>46739.0</v>
      </c>
      <c r="L1825" s="1555">
        <v>112396.0</v>
      </c>
    </row>
    <row r="1826">
      <c r="A1826" s="1545" t="s">
        <v>608</v>
      </c>
      <c r="B1826" s="1587">
        <v>637229.0</v>
      </c>
      <c r="C1826" s="1547">
        <v>22926.0</v>
      </c>
      <c r="D1826" s="1548">
        <v>16.1</v>
      </c>
      <c r="E1826" s="1557">
        <v>534036.0</v>
      </c>
      <c r="F1826" s="598">
        <v>19079.0</v>
      </c>
      <c r="G1826" s="598">
        <v>2257.0</v>
      </c>
      <c r="H1826" s="598">
        <v>11526.0</v>
      </c>
      <c r="I1826" s="598">
        <v>129.0</v>
      </c>
      <c r="J1826" s="598">
        <v>27850.0</v>
      </c>
      <c r="K1826" s="1561">
        <v>42352.0</v>
      </c>
      <c r="L1826" s="1555">
        <v>68483.0</v>
      </c>
    </row>
    <row r="1827">
      <c r="A1827" s="1545" t="s">
        <v>1530</v>
      </c>
      <c r="B1827" s="1587">
        <v>524118.0</v>
      </c>
      <c r="C1827" s="1547">
        <v>25897.0</v>
      </c>
      <c r="D1827" s="1548">
        <v>21.9</v>
      </c>
      <c r="E1827" s="1557">
        <v>229573.0</v>
      </c>
      <c r="F1827" s="598">
        <v>57809.0</v>
      </c>
      <c r="G1827" s="598">
        <v>6383.0</v>
      </c>
      <c r="H1827" s="598">
        <v>30852.0</v>
      </c>
      <c r="I1827" s="598">
        <v>195.0</v>
      </c>
      <c r="J1827" s="598">
        <v>134687.0</v>
      </c>
      <c r="K1827" s="1561">
        <v>64619.0</v>
      </c>
      <c r="L1827" s="1555">
        <v>71959.0</v>
      </c>
    </row>
    <row r="1828">
      <c r="A1828" s="1545" t="s">
        <v>1531</v>
      </c>
      <c r="B1828" s="1587">
        <v>64837.0</v>
      </c>
      <c r="C1828" s="1547">
        <v>2131.0</v>
      </c>
      <c r="D1828" s="1548">
        <v>16.2</v>
      </c>
      <c r="E1828" s="1557">
        <v>46600.0</v>
      </c>
      <c r="F1828" s="598">
        <v>9534.0</v>
      </c>
      <c r="G1828" s="598">
        <v>342.0</v>
      </c>
      <c r="H1828" s="598">
        <v>667.0</v>
      </c>
      <c r="I1828" s="598">
        <v>13.0</v>
      </c>
      <c r="J1828" s="598">
        <v>3004.0</v>
      </c>
      <c r="K1828" s="1561">
        <v>4677.0</v>
      </c>
      <c r="L1828" s="1555">
        <v>64524.0</v>
      </c>
    </row>
    <row r="1829">
      <c r="A1829" s="1545" t="s">
        <v>1194</v>
      </c>
      <c r="B1829" s="1587">
        <v>345361.0</v>
      </c>
      <c r="C1829" s="1547">
        <v>3743.0</v>
      </c>
      <c r="D1829" s="1548">
        <v>5.2</v>
      </c>
      <c r="E1829" s="1557">
        <v>185499.0</v>
      </c>
      <c r="F1829" s="598">
        <v>31842.0</v>
      </c>
      <c r="G1829" s="598">
        <v>1520.0</v>
      </c>
      <c r="H1829" s="598">
        <v>67309.0</v>
      </c>
      <c r="I1829" s="598">
        <v>98.0</v>
      </c>
      <c r="J1829" s="598">
        <v>27854.0</v>
      </c>
      <c r="K1829" s="1561">
        <v>31239.0</v>
      </c>
      <c r="L1829" s="1555">
        <v>119731.0</v>
      </c>
    </row>
    <row r="1830">
      <c r="A1830" s="1545" t="s">
        <v>476</v>
      </c>
      <c r="B1830" s="1587">
        <v>144221.0</v>
      </c>
      <c r="C1830" s="1547">
        <v>1640.0</v>
      </c>
      <c r="D1830" s="1548">
        <v>5.9</v>
      </c>
      <c r="E1830" s="1557">
        <v>121879.0</v>
      </c>
      <c r="F1830" s="598">
        <v>3088.0</v>
      </c>
      <c r="G1830" s="598">
        <v>336.0</v>
      </c>
      <c r="H1830" s="598">
        <v>3002.0</v>
      </c>
      <c r="I1830" s="598">
        <v>20.0</v>
      </c>
      <c r="J1830" s="598">
        <v>4469.0</v>
      </c>
      <c r="K1830" s="1561">
        <v>11427.0</v>
      </c>
      <c r="L1830" s="1555">
        <v>92284.0</v>
      </c>
    </row>
    <row r="1831">
      <c r="A1831" s="1545" t="s">
        <v>316</v>
      </c>
      <c r="B1831" s="1587">
        <v>575345.0</v>
      </c>
      <c r="C1831" s="1547">
        <v>13788.0</v>
      </c>
      <c r="D1831" s="1548">
        <v>10.7</v>
      </c>
      <c r="E1831" s="1557">
        <v>236589.0</v>
      </c>
      <c r="F1831" s="598">
        <v>117306.0</v>
      </c>
      <c r="G1831" s="598">
        <v>4022.0</v>
      </c>
      <c r="H1831" s="598">
        <v>32434.0</v>
      </c>
      <c r="I1831" s="598">
        <v>200.0</v>
      </c>
      <c r="J1831" s="598">
        <v>105583.0</v>
      </c>
      <c r="K1831" s="1561">
        <v>79211.0</v>
      </c>
      <c r="L1831" s="1615">
        <v>80737.0</v>
      </c>
    </row>
    <row r="1832">
      <c r="A1832" s="1528" t="s">
        <v>647</v>
      </c>
      <c r="B1832" s="1595">
        <v>109632.0</v>
      </c>
      <c r="C1832" s="1530">
        <v>1831.0</v>
      </c>
      <c r="D1832" s="1567">
        <v>8.9</v>
      </c>
      <c r="E1832" s="1532">
        <v>86875.0</v>
      </c>
      <c r="F1832" s="1533">
        <v>5899.0</v>
      </c>
      <c r="G1832" s="1533">
        <v>217.0</v>
      </c>
      <c r="H1832" s="1533">
        <v>2934.0</v>
      </c>
      <c r="I1832" s="1533">
        <v>35.0</v>
      </c>
      <c r="J1832" s="1533">
        <v>4554.0</v>
      </c>
      <c r="K1832" s="1616">
        <v>9118.0</v>
      </c>
      <c r="L1832" s="1623">
        <v>77571.0</v>
      </c>
    </row>
    <row r="1833">
      <c r="A1833" s="1538" t="s">
        <v>91</v>
      </c>
      <c r="B1833" s="1596">
        <v>2117522.0</v>
      </c>
      <c r="C1833" s="1540">
        <v>119378.0</v>
      </c>
      <c r="D1833" s="1571">
        <v>25.3</v>
      </c>
      <c r="E1833" s="1572">
        <v>1078937.0</v>
      </c>
      <c r="F1833" s="1542">
        <v>45904.0</v>
      </c>
      <c r="G1833" s="1542">
        <v>212241.0</v>
      </c>
      <c r="H1833" s="1542">
        <v>37469.0</v>
      </c>
      <c r="I1833" s="1542">
        <v>2093.0</v>
      </c>
      <c r="J1833" s="1542">
        <v>318632.0</v>
      </c>
      <c r="K1833" s="1543">
        <v>422246.0</v>
      </c>
      <c r="L1833" s="1625">
        <v>47405.0</v>
      </c>
    </row>
    <row r="1834">
      <c r="A1834" s="1545" t="s">
        <v>577</v>
      </c>
      <c r="B1834" s="1586">
        <v>676444.0</v>
      </c>
      <c r="C1834" s="1547">
        <v>31993.0</v>
      </c>
      <c r="D1834" s="1548">
        <v>22.2</v>
      </c>
      <c r="E1834" s="1549">
        <v>353144.0</v>
      </c>
      <c r="F1834" s="1593">
        <v>21344.0</v>
      </c>
      <c r="G1834" s="1593">
        <v>38197.0</v>
      </c>
      <c r="H1834" s="1593">
        <v>20253.0</v>
      </c>
      <c r="I1834" s="1593">
        <v>794.0</v>
      </c>
      <c r="J1834" s="1593">
        <v>100713.0</v>
      </c>
      <c r="K1834" s="1594">
        <v>141999.0</v>
      </c>
      <c r="L1834" s="1551">
        <v>51372.0</v>
      </c>
    </row>
    <row r="1835">
      <c r="A1835" s="1545" t="s">
        <v>1532</v>
      </c>
      <c r="B1835" s="1587">
        <v>3579.0</v>
      </c>
      <c r="C1835" s="1563">
        <v>167.0</v>
      </c>
      <c r="D1835" s="1548">
        <v>40.2</v>
      </c>
      <c r="E1835" s="1549">
        <v>2961.0</v>
      </c>
      <c r="F1835" s="1593">
        <v>37.0</v>
      </c>
      <c r="G1835" s="1593">
        <v>59.0</v>
      </c>
      <c r="H1835" s="1593">
        <v>8.0</v>
      </c>
      <c r="I1835" s="1593">
        <v>0.0</v>
      </c>
      <c r="J1835" s="1593">
        <v>154.0</v>
      </c>
      <c r="K1835" s="1594">
        <v>360.0</v>
      </c>
      <c r="L1835" s="1555">
        <v>34777.0</v>
      </c>
    </row>
    <row r="1836">
      <c r="A1836" s="1545" t="s">
        <v>1533</v>
      </c>
      <c r="B1836" s="1587">
        <v>65157.0</v>
      </c>
      <c r="C1836" s="1547">
        <v>3977.0</v>
      </c>
      <c r="D1836" s="1548">
        <v>24.1</v>
      </c>
      <c r="E1836" s="1557">
        <v>36649.0</v>
      </c>
      <c r="F1836" s="598">
        <v>1225.0</v>
      </c>
      <c r="G1836" s="598">
        <v>903.0</v>
      </c>
      <c r="H1836" s="598">
        <v>667.0</v>
      </c>
      <c r="I1836" s="598">
        <v>43.0</v>
      </c>
      <c r="J1836" s="598">
        <v>13399.0</v>
      </c>
      <c r="K1836" s="1561">
        <v>12271.0</v>
      </c>
      <c r="L1836" s="1551">
        <v>43527.0</v>
      </c>
    </row>
    <row r="1837">
      <c r="A1837" s="1545" t="s">
        <v>1534</v>
      </c>
      <c r="B1837" s="1587">
        <v>27172.0</v>
      </c>
      <c r="C1837" s="1547">
        <v>2117.0</v>
      </c>
      <c r="D1837" s="1548">
        <v>34.3</v>
      </c>
      <c r="E1837" s="1557">
        <v>8080.0</v>
      </c>
      <c r="F1837" s="598">
        <v>284.0</v>
      </c>
      <c r="G1837" s="598">
        <v>12240.0</v>
      </c>
      <c r="H1837" s="598">
        <v>209.0</v>
      </c>
      <c r="I1837" s="598">
        <v>18.0</v>
      </c>
      <c r="J1837" s="598">
        <v>2865.0</v>
      </c>
      <c r="K1837" s="1561">
        <v>3476.0</v>
      </c>
      <c r="L1837" s="1551">
        <v>38097.0</v>
      </c>
    </row>
    <row r="1838">
      <c r="A1838" s="1545" t="s">
        <v>1474</v>
      </c>
      <c r="B1838" s="1587">
        <v>12387.0</v>
      </c>
      <c r="C1838" s="1563">
        <v>647.0</v>
      </c>
      <c r="D1838" s="1548">
        <v>30.2</v>
      </c>
      <c r="E1838" s="1557">
        <v>8137.0</v>
      </c>
      <c r="F1838" s="598">
        <v>36.0</v>
      </c>
      <c r="G1838" s="598">
        <v>211.0</v>
      </c>
      <c r="H1838" s="598">
        <v>61.0</v>
      </c>
      <c r="I1838" s="598">
        <v>18.0</v>
      </c>
      <c r="J1838" s="598">
        <v>1316.0</v>
      </c>
      <c r="K1838" s="1561">
        <v>2608.0</v>
      </c>
      <c r="L1838" s="1551">
        <v>41592.0</v>
      </c>
    </row>
    <row r="1839">
      <c r="A1839" s="1545" t="s">
        <v>1535</v>
      </c>
      <c r="B1839" s="1587">
        <v>48430.0</v>
      </c>
      <c r="C1839" s="1547">
        <v>3251.0</v>
      </c>
      <c r="D1839" s="1548">
        <v>25.6</v>
      </c>
      <c r="E1839" s="1557">
        <v>27928.0</v>
      </c>
      <c r="F1839" s="598">
        <v>2900.0</v>
      </c>
      <c r="G1839" s="598">
        <v>634.0</v>
      </c>
      <c r="H1839" s="598">
        <v>810.0</v>
      </c>
      <c r="I1839" s="598">
        <v>37.0</v>
      </c>
      <c r="J1839" s="598">
        <v>8211.0</v>
      </c>
      <c r="K1839" s="1561">
        <v>7910.0</v>
      </c>
      <c r="L1839" s="1551">
        <v>47202.0</v>
      </c>
    </row>
    <row r="1840">
      <c r="A1840" s="1545" t="s">
        <v>1536</v>
      </c>
      <c r="B1840" s="1587">
        <v>1698.0</v>
      </c>
      <c r="C1840" s="1563">
        <v>143.0</v>
      </c>
      <c r="D1840" s="1548">
        <v>36.3</v>
      </c>
      <c r="E1840" s="1557">
        <v>1298.0</v>
      </c>
      <c r="F1840" s="598">
        <v>8.0</v>
      </c>
      <c r="G1840" s="598">
        <v>10.0</v>
      </c>
      <c r="H1840" s="598">
        <v>11.0</v>
      </c>
      <c r="I1840" s="598">
        <v>5.0</v>
      </c>
      <c r="J1840" s="598">
        <v>178.0</v>
      </c>
      <c r="K1840" s="1561">
        <v>188.0</v>
      </c>
      <c r="L1840" s="1555">
        <v>35087.0</v>
      </c>
    </row>
    <row r="1841">
      <c r="A1841" s="1545" t="s">
        <v>1537</v>
      </c>
      <c r="B1841" s="1587">
        <v>219561.0</v>
      </c>
      <c r="C1841" s="1547">
        <v>17441.0</v>
      </c>
      <c r="D1841" s="1548">
        <v>33.3</v>
      </c>
      <c r="E1841" s="1557">
        <v>104209.0</v>
      </c>
      <c r="F1841" s="598">
        <v>4072.0</v>
      </c>
      <c r="G1841" s="598">
        <v>4089.0</v>
      </c>
      <c r="H1841" s="598">
        <v>2700.0</v>
      </c>
      <c r="I1841" s="598">
        <v>195.0</v>
      </c>
      <c r="J1841" s="598">
        <v>44199.0</v>
      </c>
      <c r="K1841" s="1561">
        <v>60097.0</v>
      </c>
      <c r="L1841" s="1551">
        <v>38409.0</v>
      </c>
    </row>
    <row r="1842">
      <c r="A1842" s="1545" t="s">
        <v>1538</v>
      </c>
      <c r="B1842" s="1587">
        <v>62314.0</v>
      </c>
      <c r="C1842" s="1547">
        <v>2676.0</v>
      </c>
      <c r="D1842" s="1548">
        <v>17.8</v>
      </c>
      <c r="E1842" s="1557">
        <v>36266.0</v>
      </c>
      <c r="F1842" s="598">
        <v>977.0</v>
      </c>
      <c r="G1842" s="598">
        <v>922.0</v>
      </c>
      <c r="H1842" s="598">
        <v>597.0</v>
      </c>
      <c r="I1842" s="598">
        <v>61.0</v>
      </c>
      <c r="J1842" s="598">
        <v>11825.0</v>
      </c>
      <c r="K1842" s="1561">
        <v>11666.0</v>
      </c>
      <c r="L1842" s="1551">
        <v>58320.0</v>
      </c>
    </row>
    <row r="1843">
      <c r="A1843" s="1545" t="s">
        <v>278</v>
      </c>
      <c r="B1843" s="1587">
        <v>28185.0</v>
      </c>
      <c r="C1843" s="1547">
        <v>1624.0</v>
      </c>
      <c r="D1843" s="1548">
        <v>30.3</v>
      </c>
      <c r="E1843" s="1557">
        <v>18266.0</v>
      </c>
      <c r="F1843" s="598">
        <v>309.0</v>
      </c>
      <c r="G1843" s="598">
        <v>588.0</v>
      </c>
      <c r="H1843" s="598">
        <v>202.0</v>
      </c>
      <c r="I1843" s="598">
        <v>21.0</v>
      </c>
      <c r="J1843" s="598">
        <v>3306.0</v>
      </c>
      <c r="K1843" s="1561">
        <v>5493.0</v>
      </c>
      <c r="L1843" s="1551">
        <v>38341.0</v>
      </c>
    </row>
    <row r="1844">
      <c r="A1844" s="1545" t="s">
        <v>1539</v>
      </c>
      <c r="B1844" s="1587">
        <v>4452.0</v>
      </c>
      <c r="C1844" s="1563">
        <v>264.0</v>
      </c>
      <c r="D1844" s="1548">
        <v>29.4</v>
      </c>
      <c r="E1844" s="1557">
        <v>2067.0</v>
      </c>
      <c r="F1844" s="598">
        <v>74.0</v>
      </c>
      <c r="G1844" s="598">
        <v>62.0</v>
      </c>
      <c r="H1844" s="598">
        <v>50.0</v>
      </c>
      <c r="I1844" s="598">
        <v>0.0</v>
      </c>
      <c r="J1844" s="598">
        <v>842.0</v>
      </c>
      <c r="K1844" s="1561">
        <v>1357.0</v>
      </c>
      <c r="L1844" s="1551">
        <v>29515.0</v>
      </c>
    </row>
    <row r="1845">
      <c r="A1845" s="1545" t="s">
        <v>1540</v>
      </c>
      <c r="B1845" s="1587">
        <v>657.0</v>
      </c>
      <c r="C1845" s="1563">
        <v>16.0</v>
      </c>
      <c r="D1845" s="1548">
        <v>20.3</v>
      </c>
      <c r="E1845" s="1557">
        <v>428.0</v>
      </c>
      <c r="F1845" s="598">
        <v>4.0</v>
      </c>
      <c r="G1845" s="598">
        <v>7.0</v>
      </c>
      <c r="H1845" s="598">
        <v>0.0</v>
      </c>
      <c r="I1845" s="598">
        <v>0.0</v>
      </c>
      <c r="J1845" s="598">
        <v>46.0</v>
      </c>
      <c r="K1845" s="1561">
        <v>172.0</v>
      </c>
      <c r="L1845" s="1551">
        <v>37544.0</v>
      </c>
    </row>
    <row r="1846">
      <c r="A1846" s="1545" t="s">
        <v>480</v>
      </c>
      <c r="B1846" s="1587">
        <v>4178.0</v>
      </c>
      <c r="C1846" s="1563">
        <v>346.0</v>
      </c>
      <c r="D1846" s="1548">
        <v>36.6</v>
      </c>
      <c r="E1846" s="1557">
        <v>2655.0</v>
      </c>
      <c r="F1846" s="598">
        <v>14.0</v>
      </c>
      <c r="G1846" s="598">
        <v>40.0</v>
      </c>
      <c r="H1846" s="598">
        <v>14.0</v>
      </c>
      <c r="I1846" s="598">
        <v>7.0</v>
      </c>
      <c r="J1846" s="598">
        <v>475.0</v>
      </c>
      <c r="K1846" s="1561">
        <v>973.0</v>
      </c>
      <c r="L1846" s="1555">
        <v>39882.0</v>
      </c>
    </row>
    <row r="1847">
      <c r="A1847" s="1545" t="s">
        <v>1541</v>
      </c>
      <c r="B1847" s="1587">
        <v>74455.0</v>
      </c>
      <c r="C1847" s="1547">
        <v>3708.0</v>
      </c>
      <c r="D1847" s="1548">
        <v>18.2</v>
      </c>
      <c r="E1847" s="1557">
        <v>34303.0</v>
      </c>
      <c r="F1847" s="598">
        <v>2801.0</v>
      </c>
      <c r="G1847" s="598">
        <v>965.0</v>
      </c>
      <c r="H1847" s="598">
        <v>661.0</v>
      </c>
      <c r="I1847" s="598">
        <v>22.0</v>
      </c>
      <c r="J1847" s="598">
        <v>20145.0</v>
      </c>
      <c r="K1847" s="1561">
        <v>15558.0</v>
      </c>
      <c r="L1847" s="1551">
        <v>51656.0</v>
      </c>
    </row>
    <row r="1848">
      <c r="A1848" s="1545" t="s">
        <v>290</v>
      </c>
      <c r="B1848" s="1587">
        <v>20269.0</v>
      </c>
      <c r="C1848" s="1547">
        <v>1032.0</v>
      </c>
      <c r="D1848" s="1548">
        <v>29.3</v>
      </c>
      <c r="E1848" s="1557">
        <v>14263.0</v>
      </c>
      <c r="F1848" s="598">
        <v>88.0</v>
      </c>
      <c r="G1848" s="598">
        <v>591.0</v>
      </c>
      <c r="H1848" s="598">
        <v>162.0</v>
      </c>
      <c r="I1848" s="598">
        <v>13.0</v>
      </c>
      <c r="J1848" s="598">
        <v>1972.0</v>
      </c>
      <c r="K1848" s="1561">
        <v>3180.0</v>
      </c>
      <c r="L1848" s="1551">
        <v>45095.0</v>
      </c>
    </row>
    <row r="1849">
      <c r="A1849" s="1545" t="s">
        <v>1542</v>
      </c>
      <c r="B1849" s="1587">
        <v>19419.0</v>
      </c>
      <c r="C1849" s="1563">
        <v>131.0</v>
      </c>
      <c r="D1849" s="1548">
        <v>3.1</v>
      </c>
      <c r="E1849" s="1557">
        <v>14513.0</v>
      </c>
      <c r="F1849" s="598">
        <v>167.0</v>
      </c>
      <c r="G1849" s="598">
        <v>157.0</v>
      </c>
      <c r="H1849" s="598">
        <v>1238.0</v>
      </c>
      <c r="I1849" s="598">
        <v>15.0</v>
      </c>
      <c r="J1849" s="598">
        <v>730.0</v>
      </c>
      <c r="K1849" s="1561">
        <v>2599.0</v>
      </c>
      <c r="L1849" s="1551">
        <v>124947.0</v>
      </c>
    </row>
    <row r="1850">
      <c r="A1850" s="1545" t="s">
        <v>1543</v>
      </c>
      <c r="B1850" s="1587">
        <v>25427.0</v>
      </c>
      <c r="C1850" s="1547">
        <v>2321.0</v>
      </c>
      <c r="D1850" s="1548">
        <v>37.8</v>
      </c>
      <c r="E1850" s="1557">
        <v>12797.0</v>
      </c>
      <c r="F1850" s="598">
        <v>304.0</v>
      </c>
      <c r="G1850" s="598">
        <v>344.0</v>
      </c>
      <c r="H1850" s="598">
        <v>175.0</v>
      </c>
      <c r="I1850" s="598">
        <v>20.0</v>
      </c>
      <c r="J1850" s="598">
        <v>5456.0</v>
      </c>
      <c r="K1850" s="1561">
        <v>6331.0</v>
      </c>
      <c r="L1850" s="1555">
        <v>30570.0</v>
      </c>
    </row>
    <row r="1851">
      <c r="A1851" s="1545" t="s">
        <v>3765</v>
      </c>
      <c r="B1851" s="1587">
        <v>72902.0</v>
      </c>
      <c r="C1851" s="1547">
        <v>8760.0</v>
      </c>
      <c r="D1851" s="1548">
        <v>42.8</v>
      </c>
      <c r="E1851" s="1557">
        <v>7639.0</v>
      </c>
      <c r="F1851" s="598">
        <v>353.0</v>
      </c>
      <c r="G1851" s="598">
        <v>56941.0</v>
      </c>
      <c r="H1851" s="598">
        <v>948.0</v>
      </c>
      <c r="I1851" s="598">
        <v>36.0</v>
      </c>
      <c r="J1851" s="598">
        <v>3151.0</v>
      </c>
      <c r="K1851" s="1561">
        <v>3834.0</v>
      </c>
      <c r="L1851" s="1551">
        <v>33976.0</v>
      </c>
    </row>
    <row r="1852">
      <c r="A1852" s="1545" t="s">
        <v>1545</v>
      </c>
      <c r="B1852" s="1587">
        <v>4189.0</v>
      </c>
      <c r="C1852" s="1563">
        <v>251.0</v>
      </c>
      <c r="D1852" s="1548">
        <v>31.8</v>
      </c>
      <c r="E1852" s="1557">
        <v>2020.0</v>
      </c>
      <c r="F1852" s="598">
        <v>14.0</v>
      </c>
      <c r="G1852" s="598">
        <v>112.0</v>
      </c>
      <c r="H1852" s="598">
        <v>16.0</v>
      </c>
      <c r="I1852" s="598">
        <v>0.0</v>
      </c>
      <c r="J1852" s="598">
        <v>705.0</v>
      </c>
      <c r="K1852" s="1561">
        <v>1322.0</v>
      </c>
      <c r="L1852" s="1555">
        <v>34491.0</v>
      </c>
    </row>
    <row r="1853">
      <c r="A1853" s="1545" t="s">
        <v>441</v>
      </c>
      <c r="B1853" s="1587">
        <v>67839.0</v>
      </c>
      <c r="C1853" s="1547">
        <v>4503.0</v>
      </c>
      <c r="D1853" s="1548">
        <v>29.6</v>
      </c>
      <c r="E1853" s="1557">
        <v>38167.0</v>
      </c>
      <c r="F1853" s="598">
        <v>2662.0</v>
      </c>
      <c r="G1853" s="598">
        <v>4981.0</v>
      </c>
      <c r="H1853" s="598">
        <v>1056.0</v>
      </c>
      <c r="I1853" s="598">
        <v>183.0</v>
      </c>
      <c r="J1853" s="598">
        <v>8371.0</v>
      </c>
      <c r="K1853" s="1561">
        <v>12419.0</v>
      </c>
      <c r="L1853" s="1551">
        <v>42701.0</v>
      </c>
    </row>
    <row r="1854">
      <c r="A1854" s="1545" t="s">
        <v>1546</v>
      </c>
      <c r="B1854" s="1587">
        <v>8746.0</v>
      </c>
      <c r="C1854" s="1563">
        <v>646.0</v>
      </c>
      <c r="D1854" s="1548">
        <v>37.7</v>
      </c>
      <c r="E1854" s="1557">
        <v>6181.0</v>
      </c>
      <c r="F1854" s="598">
        <v>110.0</v>
      </c>
      <c r="G1854" s="598">
        <v>137.0</v>
      </c>
      <c r="H1854" s="598">
        <v>49.0</v>
      </c>
      <c r="I1854" s="598">
        <v>9.0</v>
      </c>
      <c r="J1854" s="598">
        <v>1004.0</v>
      </c>
      <c r="K1854" s="1561">
        <v>1256.0</v>
      </c>
      <c r="L1854" s="1551">
        <v>33085.0</v>
      </c>
    </row>
    <row r="1855">
      <c r="A1855" s="1545" t="s">
        <v>1547</v>
      </c>
      <c r="B1855" s="1587">
        <v>40363.0</v>
      </c>
      <c r="C1855" s="1547">
        <v>2577.0</v>
      </c>
      <c r="D1855" s="1548">
        <v>28.7</v>
      </c>
      <c r="E1855" s="1557">
        <v>13865.0</v>
      </c>
      <c r="F1855" s="598">
        <v>206.0</v>
      </c>
      <c r="G1855" s="598">
        <v>6929.0</v>
      </c>
      <c r="H1855" s="598">
        <v>256.0</v>
      </c>
      <c r="I1855" s="598">
        <v>13.0</v>
      </c>
      <c r="J1855" s="598">
        <v>8553.0</v>
      </c>
      <c r="K1855" s="1561">
        <v>10541.0</v>
      </c>
      <c r="L1855" s="1551">
        <v>41511.0</v>
      </c>
    </row>
    <row r="1856">
      <c r="A1856" s="1545" t="s">
        <v>1456</v>
      </c>
      <c r="B1856" s="1587">
        <v>19191.0</v>
      </c>
      <c r="C1856" s="1547">
        <v>1214.0</v>
      </c>
      <c r="D1856" s="1548">
        <v>27.6</v>
      </c>
      <c r="E1856" s="1557">
        <v>11910.0</v>
      </c>
      <c r="F1856" s="598">
        <v>504.0</v>
      </c>
      <c r="G1856" s="598">
        <v>244.0</v>
      </c>
      <c r="H1856" s="598">
        <v>189.0</v>
      </c>
      <c r="I1856" s="598">
        <v>18.0</v>
      </c>
      <c r="J1856" s="598">
        <v>3220.0</v>
      </c>
      <c r="K1856" s="1561">
        <v>3106.0</v>
      </c>
      <c r="L1856" s="1555">
        <v>41700.0</v>
      </c>
    </row>
    <row r="1857">
      <c r="A1857" s="1545" t="s">
        <v>1548</v>
      </c>
      <c r="B1857" s="1587">
        <v>148834.0</v>
      </c>
      <c r="C1857" s="1547">
        <v>5268.0</v>
      </c>
      <c r="D1857" s="1548">
        <v>15.9</v>
      </c>
      <c r="E1857" s="1557">
        <v>81521.0</v>
      </c>
      <c r="F1857" s="598">
        <v>3327.0</v>
      </c>
      <c r="G1857" s="598">
        <v>18314.0</v>
      </c>
      <c r="H1857" s="598">
        <v>2545.0</v>
      </c>
      <c r="I1857" s="598">
        <v>265.0</v>
      </c>
      <c r="J1857" s="598">
        <v>15768.0</v>
      </c>
      <c r="K1857" s="1561">
        <v>27094.0</v>
      </c>
      <c r="L1857" s="1555">
        <v>57036.0</v>
      </c>
    </row>
    <row r="1858">
      <c r="A1858" s="1545" t="s">
        <v>457</v>
      </c>
      <c r="B1858" s="1587">
        <v>121661.0</v>
      </c>
      <c r="C1858" s="1547">
        <v>8691.0</v>
      </c>
      <c r="D1858" s="1548">
        <v>26.9</v>
      </c>
      <c r="E1858" s="1557">
        <v>50416.0</v>
      </c>
      <c r="F1858" s="598">
        <v>714.0</v>
      </c>
      <c r="G1858" s="598">
        <v>50021.0</v>
      </c>
      <c r="H1858" s="598">
        <v>916.0</v>
      </c>
      <c r="I1858" s="598">
        <v>71.0</v>
      </c>
      <c r="J1858" s="598">
        <v>8456.0</v>
      </c>
      <c r="K1858" s="1561">
        <v>11067.0</v>
      </c>
      <c r="L1858" s="1551">
        <v>46578.0</v>
      </c>
    </row>
    <row r="1859">
      <c r="A1859" s="1545" t="s">
        <v>458</v>
      </c>
      <c r="B1859" s="1587">
        <v>27201.0</v>
      </c>
      <c r="C1859" s="1547">
        <v>1686.0</v>
      </c>
      <c r="D1859" s="1548">
        <v>34.1</v>
      </c>
      <c r="E1859" s="1557">
        <v>12382.0</v>
      </c>
      <c r="F1859" s="598">
        <v>344.0</v>
      </c>
      <c r="G1859" s="598">
        <v>546.0</v>
      </c>
      <c r="H1859" s="598">
        <v>156.0</v>
      </c>
      <c r="I1859" s="598">
        <v>2.0</v>
      </c>
      <c r="J1859" s="598">
        <v>5691.0</v>
      </c>
      <c r="K1859" s="1561">
        <v>8080.0</v>
      </c>
      <c r="L1859" s="1555">
        <v>35292.0</v>
      </c>
    </row>
    <row r="1860">
      <c r="A1860" s="1545" t="s">
        <v>1549</v>
      </c>
      <c r="B1860" s="1587">
        <v>154823.0</v>
      </c>
      <c r="C1860" s="1547">
        <v>4698.0</v>
      </c>
      <c r="D1860" s="1548">
        <v>17.7</v>
      </c>
      <c r="E1860" s="1557">
        <v>88915.0</v>
      </c>
      <c r="F1860" s="598">
        <v>1412.0</v>
      </c>
      <c r="G1860" s="598">
        <v>5558.0</v>
      </c>
      <c r="H1860" s="598">
        <v>2367.0</v>
      </c>
      <c r="I1860" s="598">
        <v>128.0</v>
      </c>
      <c r="J1860" s="598">
        <v>22348.0</v>
      </c>
      <c r="K1860" s="1561">
        <v>34095.0</v>
      </c>
      <c r="L1860" s="1551">
        <v>60187.0</v>
      </c>
    </row>
    <row r="1861">
      <c r="A1861" s="1545" t="s">
        <v>365</v>
      </c>
      <c r="B1861" s="1587">
        <v>11576.0</v>
      </c>
      <c r="C1861" s="1563">
        <v>713.0</v>
      </c>
      <c r="D1861" s="1548">
        <v>42.5</v>
      </c>
      <c r="E1861" s="1557">
        <v>8815.0</v>
      </c>
      <c r="F1861" s="598">
        <v>93.0</v>
      </c>
      <c r="G1861" s="598">
        <v>241.0</v>
      </c>
      <c r="H1861" s="598">
        <v>125.0</v>
      </c>
      <c r="I1861" s="598">
        <v>3.0</v>
      </c>
      <c r="J1861" s="598">
        <v>855.0</v>
      </c>
      <c r="K1861" s="1561">
        <v>1444.0</v>
      </c>
      <c r="L1861" s="1551">
        <v>31741.0</v>
      </c>
    </row>
    <row r="1862">
      <c r="A1862" s="1545" t="s">
        <v>1550</v>
      </c>
      <c r="B1862" s="1587">
        <v>16595.0</v>
      </c>
      <c r="C1862" s="1547">
        <v>1326.0</v>
      </c>
      <c r="D1862" s="1548">
        <v>36.0</v>
      </c>
      <c r="E1862" s="1557">
        <v>8099.0</v>
      </c>
      <c r="F1862" s="598">
        <v>176.0</v>
      </c>
      <c r="G1862" s="598">
        <v>2185.0</v>
      </c>
      <c r="H1862" s="598">
        <v>311.0</v>
      </c>
      <c r="I1862" s="598">
        <v>8.0</v>
      </c>
      <c r="J1862" s="598">
        <v>2629.0</v>
      </c>
      <c r="K1862" s="1561">
        <v>3187.0</v>
      </c>
      <c r="L1862" s="1551">
        <v>33989.0</v>
      </c>
    </row>
    <row r="1863">
      <c r="A1863" s="1545" t="s">
        <v>1551</v>
      </c>
      <c r="B1863" s="1587">
        <v>34489.0</v>
      </c>
      <c r="C1863" s="1547">
        <v>1625.0</v>
      </c>
      <c r="D1863" s="1548">
        <v>28.6</v>
      </c>
      <c r="E1863" s="1557">
        <v>19084.0</v>
      </c>
      <c r="F1863" s="598">
        <v>173.0</v>
      </c>
      <c r="G1863" s="598">
        <v>2289.0</v>
      </c>
      <c r="H1863" s="598">
        <v>210.0</v>
      </c>
      <c r="I1863" s="598">
        <v>15.0</v>
      </c>
      <c r="J1863" s="598">
        <v>5130.0</v>
      </c>
      <c r="K1863" s="1561">
        <v>7588.0</v>
      </c>
      <c r="L1863" s="1551">
        <v>38405.0</v>
      </c>
    </row>
    <row r="1864">
      <c r="A1864" s="1545" t="s">
        <v>1552</v>
      </c>
      <c r="B1864" s="1587">
        <v>15045.0</v>
      </c>
      <c r="C1864" s="1547">
        <v>1119.0</v>
      </c>
      <c r="D1864" s="1548">
        <v>35.4</v>
      </c>
      <c r="E1864" s="1557">
        <v>9801.0</v>
      </c>
      <c r="F1864" s="598">
        <v>133.0</v>
      </c>
      <c r="G1864" s="598">
        <v>387.0</v>
      </c>
      <c r="H1864" s="598">
        <v>54.0</v>
      </c>
      <c r="I1864" s="598">
        <v>11.0</v>
      </c>
      <c r="J1864" s="598">
        <v>2332.0</v>
      </c>
      <c r="K1864" s="1561">
        <v>2327.0</v>
      </c>
      <c r="L1864" s="1551">
        <v>39123.0</v>
      </c>
    </row>
    <row r="1865">
      <c r="A1865" s="1545" t="s">
        <v>316</v>
      </c>
      <c r="B1865" s="1587">
        <v>4079.0</v>
      </c>
      <c r="C1865" s="1563">
        <v>206.0</v>
      </c>
      <c r="D1865" s="1548">
        <v>27.2</v>
      </c>
      <c r="E1865" s="1557">
        <v>2712.0</v>
      </c>
      <c r="F1865" s="598">
        <v>66.0</v>
      </c>
      <c r="G1865" s="598">
        <v>84.0</v>
      </c>
      <c r="H1865" s="598">
        <v>7.0</v>
      </c>
      <c r="I1865" s="598">
        <v>4.0</v>
      </c>
      <c r="J1865" s="598">
        <v>368.0</v>
      </c>
      <c r="K1865" s="1561">
        <v>838.0</v>
      </c>
      <c r="L1865" s="1615">
        <v>40426.0</v>
      </c>
    </row>
    <row r="1866">
      <c r="A1866" s="1528" t="s">
        <v>1553</v>
      </c>
      <c r="B1866" s="1595">
        <v>76205.0</v>
      </c>
      <c r="C1866" s="1530">
        <v>4237.0</v>
      </c>
      <c r="D1866" s="1567">
        <v>24.2</v>
      </c>
      <c r="E1866" s="1532">
        <v>39446.0</v>
      </c>
      <c r="F1866" s="1533">
        <v>973.0</v>
      </c>
      <c r="G1866" s="1533">
        <v>3253.0</v>
      </c>
      <c r="H1866" s="1533">
        <v>446.0</v>
      </c>
      <c r="I1866" s="1533">
        <v>58.0</v>
      </c>
      <c r="J1866" s="1533">
        <v>14219.0</v>
      </c>
      <c r="K1866" s="1616">
        <v>17810.0</v>
      </c>
      <c r="L1866" s="1623">
        <v>46365.0</v>
      </c>
    </row>
    <row r="1867">
      <c r="A1867" s="1538" t="s">
        <v>250</v>
      </c>
      <c r="B1867" s="1596">
        <v>2.0201249E7</v>
      </c>
      <c r="C1867" s="1540">
        <v>751694.0</v>
      </c>
      <c r="D1867" s="1571">
        <v>18.8</v>
      </c>
      <c r="E1867" s="1572">
        <v>1.1143349E7</v>
      </c>
      <c r="F1867" s="1542">
        <v>2986172.0</v>
      </c>
      <c r="G1867" s="1542">
        <v>149690.0</v>
      </c>
      <c r="H1867" s="1542">
        <v>1933127.0</v>
      </c>
      <c r="I1867" s="1542">
        <v>10815.0</v>
      </c>
      <c r="J1867" s="1542">
        <v>2210633.0</v>
      </c>
      <c r="K1867" s="1543">
        <v>1767463.0</v>
      </c>
      <c r="L1867" s="1625">
        <v>67648.0</v>
      </c>
    </row>
    <row r="1868">
      <c r="A1868" s="1545" t="s">
        <v>1554</v>
      </c>
      <c r="B1868" s="1586">
        <v>314848.0</v>
      </c>
      <c r="C1868" s="1547">
        <v>8462.0</v>
      </c>
      <c r="D1868" s="1548">
        <v>15.3</v>
      </c>
      <c r="E1868" s="1549">
        <v>215496.0</v>
      </c>
      <c r="F1868" s="1593">
        <v>43206.0</v>
      </c>
      <c r="G1868" s="1593">
        <v>845.0</v>
      </c>
      <c r="H1868" s="1593">
        <v>24473.0</v>
      </c>
      <c r="I1868" s="1593">
        <v>183.0</v>
      </c>
      <c r="J1868" s="1593">
        <v>8873.0</v>
      </c>
      <c r="K1868" s="1594">
        <v>21772.0</v>
      </c>
      <c r="L1868" s="1551">
        <v>64536.0</v>
      </c>
    </row>
    <row r="1869">
      <c r="A1869" s="1545" t="s">
        <v>1197</v>
      </c>
      <c r="B1869" s="1587">
        <v>46456.0</v>
      </c>
      <c r="C1869" s="1547">
        <v>2093.0</v>
      </c>
      <c r="D1869" s="1548">
        <v>22.8</v>
      </c>
      <c r="E1869" s="1549">
        <v>42555.0</v>
      </c>
      <c r="F1869" s="1593">
        <v>829.0</v>
      </c>
      <c r="G1869" s="1593">
        <v>91.0</v>
      </c>
      <c r="H1869" s="1593">
        <v>379.0</v>
      </c>
      <c r="I1869" s="1593">
        <v>9.0</v>
      </c>
      <c r="J1869" s="1593">
        <v>678.0</v>
      </c>
      <c r="K1869" s="1594">
        <v>1915.0</v>
      </c>
      <c r="L1869" s="1555">
        <v>46262.0</v>
      </c>
    </row>
    <row r="1870">
      <c r="A1870" s="1545" t="s">
        <v>314</v>
      </c>
      <c r="B1870" s="1587">
        <v>1472654.0</v>
      </c>
      <c r="C1870" s="1547">
        <v>130167.0</v>
      </c>
      <c r="D1870" s="1548">
        <v>37.6</v>
      </c>
      <c r="E1870" s="1557">
        <v>207573.0</v>
      </c>
      <c r="F1870" s="598">
        <v>487118.0</v>
      </c>
      <c r="G1870" s="598">
        <v>21539.0</v>
      </c>
      <c r="H1870" s="598">
        <v>69559.0</v>
      </c>
      <c r="I1870" s="598">
        <v>1640.0</v>
      </c>
      <c r="J1870" s="598">
        <v>493052.0</v>
      </c>
      <c r="K1870" s="1561">
        <v>192173.0</v>
      </c>
      <c r="L1870" s="1555">
        <v>38566.0</v>
      </c>
    </row>
    <row r="1871">
      <c r="A1871" s="1545" t="s">
        <v>1555</v>
      </c>
      <c r="B1871" s="1587">
        <v>198683.0</v>
      </c>
      <c r="C1871" s="1547">
        <v>8608.0</v>
      </c>
      <c r="D1871" s="1548">
        <v>23.9</v>
      </c>
      <c r="E1871" s="1557">
        <v>158674.0</v>
      </c>
      <c r="F1871" s="598">
        <v>12684.0</v>
      </c>
      <c r="G1871" s="598">
        <v>556.0</v>
      </c>
      <c r="H1871" s="598">
        <v>9372.0</v>
      </c>
      <c r="I1871" s="598">
        <v>84.0</v>
      </c>
      <c r="J1871" s="598">
        <v>3975.0</v>
      </c>
      <c r="K1871" s="1561">
        <v>13338.0</v>
      </c>
      <c r="L1871" s="1555">
        <v>50928.0</v>
      </c>
    </row>
    <row r="1872">
      <c r="A1872" s="1545" t="s">
        <v>1556</v>
      </c>
      <c r="B1872" s="1587">
        <v>77042.0</v>
      </c>
      <c r="C1872" s="1547">
        <v>4023.0</v>
      </c>
      <c r="D1872" s="1548">
        <v>24.4</v>
      </c>
      <c r="E1872" s="1557">
        <v>68128.0</v>
      </c>
      <c r="F1872" s="598">
        <v>1043.0</v>
      </c>
      <c r="G1872" s="598">
        <v>2706.0</v>
      </c>
      <c r="H1872" s="598">
        <v>567.0</v>
      </c>
      <c r="I1872" s="598">
        <v>14.0</v>
      </c>
      <c r="J1872" s="598">
        <v>571.0</v>
      </c>
      <c r="K1872" s="1561">
        <v>4013.0</v>
      </c>
      <c r="L1872" s="1555">
        <v>48017.0</v>
      </c>
    </row>
    <row r="1873">
      <c r="A1873" s="1545" t="s">
        <v>1557</v>
      </c>
      <c r="B1873" s="1587">
        <v>76248.0</v>
      </c>
      <c r="C1873" s="1547">
        <v>2584.0</v>
      </c>
      <c r="D1873" s="1548">
        <v>17.6</v>
      </c>
      <c r="E1873" s="1557">
        <v>67017.0</v>
      </c>
      <c r="F1873" s="598">
        <v>2910.0</v>
      </c>
      <c r="G1873" s="598">
        <v>310.0</v>
      </c>
      <c r="H1873" s="598">
        <v>385.0</v>
      </c>
      <c r="I1873" s="598">
        <v>54.0</v>
      </c>
      <c r="J1873" s="598">
        <v>1033.0</v>
      </c>
      <c r="K1873" s="1561">
        <v>4539.0</v>
      </c>
      <c r="L1873" s="1555">
        <v>52945.0</v>
      </c>
    </row>
    <row r="1874">
      <c r="A1874" s="1545" t="s">
        <v>961</v>
      </c>
      <c r="B1874" s="1587">
        <v>127657.0</v>
      </c>
      <c r="C1874" s="1547">
        <v>6857.0</v>
      </c>
      <c r="D1874" s="1548">
        <v>27.0</v>
      </c>
      <c r="E1874" s="1557">
        <v>109333.0</v>
      </c>
      <c r="F1874" s="598">
        <v>3354.0</v>
      </c>
      <c r="G1874" s="598">
        <v>673.0</v>
      </c>
      <c r="H1874" s="598">
        <v>818.0</v>
      </c>
      <c r="I1874" s="598">
        <v>57.0</v>
      </c>
      <c r="J1874" s="598">
        <v>4278.0</v>
      </c>
      <c r="K1874" s="1561">
        <v>9144.0</v>
      </c>
      <c r="L1874" s="1555">
        <v>45689.0</v>
      </c>
    </row>
    <row r="1875">
      <c r="A1875" s="1545" t="s">
        <v>1558</v>
      </c>
      <c r="B1875" s="1587">
        <v>84148.0</v>
      </c>
      <c r="C1875" s="1547">
        <v>3518.0</v>
      </c>
      <c r="D1875" s="1548">
        <v>20.0</v>
      </c>
      <c r="E1875" s="1557">
        <v>70463.0</v>
      </c>
      <c r="F1875" s="598">
        <v>5315.0</v>
      </c>
      <c r="G1875" s="598">
        <v>240.0</v>
      </c>
      <c r="H1875" s="598">
        <v>1432.0</v>
      </c>
      <c r="I1875" s="598">
        <v>15.0</v>
      </c>
      <c r="J1875" s="598">
        <v>947.0</v>
      </c>
      <c r="K1875" s="1561">
        <v>5736.0</v>
      </c>
      <c r="L1875" s="1551">
        <v>52565.0</v>
      </c>
    </row>
    <row r="1876">
      <c r="A1876" s="1545" t="s">
        <v>1559</v>
      </c>
      <c r="B1876" s="1587">
        <v>47220.0</v>
      </c>
      <c r="C1876" s="1547">
        <v>2135.0</v>
      </c>
      <c r="D1876" s="1548">
        <v>22.3</v>
      </c>
      <c r="E1876" s="1557">
        <v>43531.0</v>
      </c>
      <c r="F1876" s="598">
        <v>357.0</v>
      </c>
      <c r="G1876" s="598">
        <v>126.0</v>
      </c>
      <c r="H1876" s="598">
        <v>245.0</v>
      </c>
      <c r="I1876" s="598">
        <v>15.0</v>
      </c>
      <c r="J1876" s="598">
        <v>353.0</v>
      </c>
      <c r="K1876" s="1561">
        <v>2593.0</v>
      </c>
      <c r="L1876" s="1555">
        <v>50312.0</v>
      </c>
    </row>
    <row r="1877">
      <c r="A1877" s="1545" t="s">
        <v>711</v>
      </c>
      <c r="B1877" s="1587">
        <v>79843.0</v>
      </c>
      <c r="C1877" s="1547">
        <v>2389.0</v>
      </c>
      <c r="D1877" s="1548">
        <v>16.9</v>
      </c>
      <c r="E1877" s="1557">
        <v>70142.0</v>
      </c>
      <c r="F1877" s="598">
        <v>3060.0</v>
      </c>
      <c r="G1877" s="598">
        <v>285.0</v>
      </c>
      <c r="H1877" s="598">
        <v>975.0</v>
      </c>
      <c r="I1877" s="598">
        <v>26.0</v>
      </c>
      <c r="J1877" s="598">
        <v>1010.0</v>
      </c>
      <c r="K1877" s="1561">
        <v>4345.0</v>
      </c>
      <c r="L1877" s="1551">
        <v>55517.0</v>
      </c>
    </row>
    <row r="1878">
      <c r="A1878" s="1545" t="s">
        <v>258</v>
      </c>
      <c r="B1878" s="1587">
        <v>61570.0</v>
      </c>
      <c r="C1878" s="1547">
        <v>1622.0</v>
      </c>
      <c r="D1878" s="1548">
        <v>16.4</v>
      </c>
      <c r="E1878" s="1557">
        <v>51533.0</v>
      </c>
      <c r="F1878" s="598">
        <v>2557.0</v>
      </c>
      <c r="G1878" s="598">
        <v>188.0</v>
      </c>
      <c r="H1878" s="598">
        <v>1431.0</v>
      </c>
      <c r="I1878" s="598">
        <v>21.0</v>
      </c>
      <c r="J1878" s="598">
        <v>1584.0</v>
      </c>
      <c r="K1878" s="1561">
        <v>4256.0</v>
      </c>
      <c r="L1878" s="1551">
        <v>64916.0</v>
      </c>
    </row>
    <row r="1879">
      <c r="A1879" s="1545" t="s">
        <v>1560</v>
      </c>
      <c r="B1879" s="1587">
        <v>46809.0</v>
      </c>
      <c r="C1879" s="1547">
        <v>1657.0</v>
      </c>
      <c r="D1879" s="1548">
        <v>18.4</v>
      </c>
      <c r="E1879" s="1557">
        <v>41250.0</v>
      </c>
      <c r="F1879" s="598">
        <v>895.0</v>
      </c>
      <c r="G1879" s="598">
        <v>124.0</v>
      </c>
      <c r="H1879" s="598">
        <v>1028.0</v>
      </c>
      <c r="I1879" s="598">
        <v>15.0</v>
      </c>
      <c r="J1879" s="598">
        <v>825.0</v>
      </c>
      <c r="K1879" s="1561">
        <v>2672.0</v>
      </c>
      <c r="L1879" s="1551">
        <v>51751.0</v>
      </c>
    </row>
    <row r="1880">
      <c r="A1880" s="1545" t="s">
        <v>40</v>
      </c>
      <c r="B1880" s="1587">
        <v>44308.0</v>
      </c>
      <c r="C1880" s="1547">
        <v>1885.0</v>
      </c>
      <c r="D1880" s="1548">
        <v>26.2</v>
      </c>
      <c r="E1880" s="1557">
        <v>39466.0</v>
      </c>
      <c r="F1880" s="598">
        <v>1072.0</v>
      </c>
      <c r="G1880" s="598">
        <v>145.0</v>
      </c>
      <c r="H1880" s="598">
        <v>489.0</v>
      </c>
      <c r="I1880" s="598">
        <v>10.0</v>
      </c>
      <c r="J1880" s="598">
        <v>651.0</v>
      </c>
      <c r="K1880" s="1561">
        <v>2475.0</v>
      </c>
      <c r="L1880" s="1555">
        <v>47382.0</v>
      </c>
    </row>
    <row r="1881">
      <c r="A1881" s="1545" t="s">
        <v>1561</v>
      </c>
      <c r="B1881" s="1587">
        <v>295911.0</v>
      </c>
      <c r="C1881" s="1547">
        <v>5914.0</v>
      </c>
      <c r="D1881" s="1548">
        <v>11.0</v>
      </c>
      <c r="E1881" s="1557">
        <v>207251.0</v>
      </c>
      <c r="F1881" s="598">
        <v>32289.0</v>
      </c>
      <c r="G1881" s="598">
        <v>1312.0</v>
      </c>
      <c r="H1881" s="598">
        <v>10781.0</v>
      </c>
      <c r="I1881" s="598">
        <v>74.0</v>
      </c>
      <c r="J1881" s="598">
        <v>18380.0</v>
      </c>
      <c r="K1881" s="1561">
        <v>25824.0</v>
      </c>
      <c r="L1881" s="1555">
        <v>79604.0</v>
      </c>
    </row>
    <row r="1882">
      <c r="A1882" s="1545" t="s">
        <v>464</v>
      </c>
      <c r="B1882" s="1587">
        <v>954236.0</v>
      </c>
      <c r="C1882" s="1547">
        <v>35354.0</v>
      </c>
      <c r="D1882" s="1548">
        <v>19.2</v>
      </c>
      <c r="E1882" s="1557">
        <v>693563.0</v>
      </c>
      <c r="F1882" s="598">
        <v>134795.0</v>
      </c>
      <c r="G1882" s="598">
        <v>5594.0</v>
      </c>
      <c r="H1882" s="598">
        <v>46384.0</v>
      </c>
      <c r="I1882" s="598">
        <v>280.0</v>
      </c>
      <c r="J1882" s="598">
        <v>21804.0</v>
      </c>
      <c r="K1882" s="1561">
        <v>51816.0</v>
      </c>
      <c r="L1882" s="1551">
        <v>56375.0</v>
      </c>
    </row>
    <row r="1883">
      <c r="A1883" s="1545" t="s">
        <v>516</v>
      </c>
      <c r="B1883" s="1587">
        <v>37381.0</v>
      </c>
      <c r="C1883" s="1563">
        <v>945.0</v>
      </c>
      <c r="D1883" s="1548">
        <v>16.1</v>
      </c>
      <c r="E1883" s="1557">
        <v>34102.0</v>
      </c>
      <c r="F1883" s="598">
        <v>676.0</v>
      </c>
      <c r="G1883" s="598">
        <v>78.0</v>
      </c>
      <c r="H1883" s="598">
        <v>229.0</v>
      </c>
      <c r="I1883" s="598">
        <v>12.0</v>
      </c>
      <c r="J1883" s="598">
        <v>306.0</v>
      </c>
      <c r="K1883" s="1561">
        <v>1978.0</v>
      </c>
      <c r="L1883" s="1551">
        <v>54376.0</v>
      </c>
    </row>
    <row r="1884">
      <c r="A1884" s="1545" t="s">
        <v>136</v>
      </c>
      <c r="B1884" s="1587">
        <v>47555.0</v>
      </c>
      <c r="C1884" s="1547">
        <v>2104.0</v>
      </c>
      <c r="D1884" s="1548">
        <v>22.1</v>
      </c>
      <c r="E1884" s="1557">
        <v>39036.0</v>
      </c>
      <c r="F1884" s="598">
        <v>1848.0</v>
      </c>
      <c r="G1884" s="598">
        <v>4141.0</v>
      </c>
      <c r="H1884" s="598">
        <v>191.0</v>
      </c>
      <c r="I1884" s="598">
        <v>0.0</v>
      </c>
      <c r="J1884" s="598">
        <v>483.0</v>
      </c>
      <c r="K1884" s="1561">
        <v>1856.0</v>
      </c>
      <c r="L1884" s="1551">
        <v>48722.0</v>
      </c>
    </row>
    <row r="1885">
      <c r="A1885" s="1545" t="s">
        <v>275</v>
      </c>
      <c r="B1885" s="1587">
        <v>53324.0</v>
      </c>
      <c r="C1885" s="1547">
        <v>2069.0</v>
      </c>
      <c r="D1885" s="1548">
        <v>19.8</v>
      </c>
      <c r="E1885" s="1557">
        <v>47775.0</v>
      </c>
      <c r="F1885" s="598">
        <v>1068.0</v>
      </c>
      <c r="G1885" s="598">
        <v>121.0</v>
      </c>
      <c r="H1885" s="598">
        <v>349.0</v>
      </c>
      <c r="I1885" s="598">
        <v>4.0</v>
      </c>
      <c r="J1885" s="598">
        <v>688.0</v>
      </c>
      <c r="K1885" s="1561">
        <v>3319.0</v>
      </c>
      <c r="L1885" s="1551">
        <v>51388.0</v>
      </c>
    </row>
    <row r="1886">
      <c r="A1886" s="1545" t="s">
        <v>1248</v>
      </c>
      <c r="B1886" s="1587">
        <v>58388.0</v>
      </c>
      <c r="C1886" s="1547">
        <v>1618.0</v>
      </c>
      <c r="D1886" s="1548">
        <v>14.1</v>
      </c>
      <c r="E1886" s="1557">
        <v>51541.0</v>
      </c>
      <c r="F1886" s="598">
        <v>1441.0</v>
      </c>
      <c r="G1886" s="598">
        <v>419.0</v>
      </c>
      <c r="H1886" s="598">
        <v>416.0</v>
      </c>
      <c r="I1886" s="598">
        <v>17.0</v>
      </c>
      <c r="J1886" s="598">
        <v>1421.0</v>
      </c>
      <c r="K1886" s="1561">
        <v>3133.0</v>
      </c>
      <c r="L1886" s="1551">
        <v>58925.0</v>
      </c>
    </row>
    <row r="1887">
      <c r="A1887" s="1545" t="s">
        <v>138</v>
      </c>
      <c r="B1887" s="1587">
        <v>47931.0</v>
      </c>
      <c r="C1887" s="1547">
        <v>1349.0</v>
      </c>
      <c r="D1887" s="1548">
        <v>17.9</v>
      </c>
      <c r="E1887" s="1557">
        <v>40490.0</v>
      </c>
      <c r="F1887" s="598">
        <v>2370.0</v>
      </c>
      <c r="G1887" s="598">
        <v>161.0</v>
      </c>
      <c r="H1887" s="598">
        <v>506.0</v>
      </c>
      <c r="I1887" s="598">
        <v>7.0</v>
      </c>
      <c r="J1887" s="598">
        <v>948.0</v>
      </c>
      <c r="K1887" s="1561">
        <v>3449.0</v>
      </c>
      <c r="L1887" s="1551">
        <v>54514.0</v>
      </c>
    </row>
    <row r="1888">
      <c r="A1888" s="1545" t="s">
        <v>497</v>
      </c>
      <c r="B1888" s="1587">
        <v>5107.0</v>
      </c>
      <c r="C1888" s="1563">
        <v>87.0</v>
      </c>
      <c r="D1888" s="1548">
        <v>15.5</v>
      </c>
      <c r="E1888" s="1557">
        <v>4785.0</v>
      </c>
      <c r="F1888" s="598">
        <v>31.0</v>
      </c>
      <c r="G1888" s="598">
        <v>14.0</v>
      </c>
      <c r="H1888" s="598">
        <v>12.0</v>
      </c>
      <c r="I1888" s="598">
        <v>1.0</v>
      </c>
      <c r="J1888" s="598">
        <v>22.0</v>
      </c>
      <c r="K1888" s="1561">
        <v>242.0</v>
      </c>
      <c r="L1888" s="1551">
        <v>59020.0</v>
      </c>
    </row>
    <row r="1889">
      <c r="A1889" s="1545" t="s">
        <v>1562</v>
      </c>
      <c r="B1889" s="1587">
        <v>60139.0</v>
      </c>
      <c r="C1889" s="1547">
        <v>2516.0</v>
      </c>
      <c r="D1889" s="1548">
        <v>20.1</v>
      </c>
      <c r="E1889" s="1557">
        <v>55246.0</v>
      </c>
      <c r="F1889" s="598">
        <v>759.0</v>
      </c>
      <c r="G1889" s="598">
        <v>108.0</v>
      </c>
      <c r="H1889" s="598">
        <v>370.0</v>
      </c>
      <c r="I1889" s="598">
        <v>35.0</v>
      </c>
      <c r="J1889" s="598">
        <v>382.0</v>
      </c>
      <c r="K1889" s="1561">
        <v>3239.0</v>
      </c>
      <c r="L1889" s="1555">
        <v>53168.0</v>
      </c>
    </row>
    <row r="1890">
      <c r="A1890" s="1545" t="s">
        <v>143</v>
      </c>
      <c r="B1890" s="1587">
        <v>116721.0</v>
      </c>
      <c r="C1890" s="1547">
        <v>4202.0</v>
      </c>
      <c r="D1890" s="1548">
        <v>16.0</v>
      </c>
      <c r="E1890" s="1557">
        <v>96244.0</v>
      </c>
      <c r="F1890" s="598">
        <v>6707.0</v>
      </c>
      <c r="G1890" s="598">
        <v>594.0</v>
      </c>
      <c r="H1890" s="598">
        <v>2248.0</v>
      </c>
      <c r="I1890" s="598">
        <v>309.0</v>
      </c>
      <c r="J1890" s="598">
        <v>2341.0</v>
      </c>
      <c r="K1890" s="1561">
        <v>8278.0</v>
      </c>
      <c r="L1890" s="1555">
        <v>52798.0</v>
      </c>
    </row>
    <row r="1891">
      <c r="A1891" s="1545" t="s">
        <v>249</v>
      </c>
      <c r="B1891" s="1587">
        <v>2736074.0</v>
      </c>
      <c r="C1891" s="1547">
        <v>150672.0</v>
      </c>
      <c r="D1891" s="1548">
        <v>26.0</v>
      </c>
      <c r="E1891" s="1557">
        <v>1028774.0</v>
      </c>
      <c r="F1891" s="598">
        <v>772050.0</v>
      </c>
      <c r="G1891" s="598">
        <v>20598.0</v>
      </c>
      <c r="H1891" s="598">
        <v>373680.0</v>
      </c>
      <c r="I1891" s="598">
        <v>1487.0</v>
      </c>
      <c r="J1891" s="598">
        <v>302186.0</v>
      </c>
      <c r="K1891" s="1561">
        <v>237299.0</v>
      </c>
      <c r="L1891" s="1551">
        <v>60862.0</v>
      </c>
    </row>
    <row r="1892">
      <c r="A1892" s="1545" t="s">
        <v>682</v>
      </c>
      <c r="B1892" s="1587">
        <v>26582.0</v>
      </c>
      <c r="C1892" s="1547">
        <v>1062.0</v>
      </c>
      <c r="D1892" s="1548">
        <v>18.0</v>
      </c>
      <c r="E1892" s="1557">
        <v>25121.0</v>
      </c>
      <c r="F1892" s="598">
        <v>109.0</v>
      </c>
      <c r="G1892" s="598">
        <v>57.0</v>
      </c>
      <c r="H1892" s="598">
        <v>76.0</v>
      </c>
      <c r="I1892" s="598">
        <v>11.0</v>
      </c>
      <c r="J1892" s="598">
        <v>184.0</v>
      </c>
      <c r="K1892" s="1561">
        <v>1024.0</v>
      </c>
      <c r="L1892" s="1555">
        <v>52660.0</v>
      </c>
    </row>
    <row r="1893">
      <c r="A1893" s="1545" t="s">
        <v>730</v>
      </c>
      <c r="B1893" s="1587">
        <v>61834.0</v>
      </c>
      <c r="C1893" s="1547">
        <v>1538.0</v>
      </c>
      <c r="D1893" s="1548">
        <v>14.1</v>
      </c>
      <c r="E1893" s="1557">
        <v>55442.0</v>
      </c>
      <c r="F1893" s="598">
        <v>1191.0</v>
      </c>
      <c r="G1893" s="598">
        <v>145.0</v>
      </c>
      <c r="H1893" s="598">
        <v>657.0</v>
      </c>
      <c r="I1893" s="598">
        <v>6.0</v>
      </c>
      <c r="J1893" s="598">
        <v>995.0</v>
      </c>
      <c r="K1893" s="1561">
        <v>3398.0</v>
      </c>
      <c r="L1893" s="1555">
        <v>61027.0</v>
      </c>
    </row>
    <row r="1894">
      <c r="A1894" s="1545" t="s">
        <v>151</v>
      </c>
      <c r="B1894" s="1587">
        <v>68016.0</v>
      </c>
      <c r="C1894" s="1547">
        <v>1892.0</v>
      </c>
      <c r="D1894" s="1548">
        <v>14.3</v>
      </c>
      <c r="E1894" s="1557">
        <v>61504.0</v>
      </c>
      <c r="F1894" s="598">
        <v>1120.0</v>
      </c>
      <c r="G1894" s="598">
        <v>466.0</v>
      </c>
      <c r="H1894" s="598">
        <v>679.0</v>
      </c>
      <c r="I1894" s="598">
        <v>11.0</v>
      </c>
      <c r="J1894" s="598">
        <v>517.0</v>
      </c>
      <c r="K1894" s="1561">
        <v>3719.0</v>
      </c>
      <c r="L1894" s="1555">
        <v>59114.0</v>
      </c>
    </row>
    <row r="1895">
      <c r="A1895" s="1545" t="s">
        <v>156</v>
      </c>
      <c r="B1895" s="1587">
        <v>759443.0</v>
      </c>
      <c r="C1895" s="1547">
        <v>28687.0</v>
      </c>
      <c r="D1895" s="1548">
        <v>18.9</v>
      </c>
      <c r="E1895" s="1557">
        <v>521127.0</v>
      </c>
      <c r="F1895" s="598">
        <v>118879.0</v>
      </c>
      <c r="G1895" s="598">
        <v>2094.0</v>
      </c>
      <c r="H1895" s="598">
        <v>32630.0</v>
      </c>
      <c r="I1895" s="598">
        <v>270.0</v>
      </c>
      <c r="J1895" s="598">
        <v>30359.0</v>
      </c>
      <c r="K1895" s="1561">
        <v>54084.0</v>
      </c>
      <c r="L1895" s="1551">
        <v>60240.0</v>
      </c>
    </row>
    <row r="1896">
      <c r="A1896" s="1545" t="s">
        <v>157</v>
      </c>
      <c r="B1896" s="1587">
        <v>49532.0</v>
      </c>
      <c r="C1896" s="1547">
        <v>2715.0</v>
      </c>
      <c r="D1896" s="1548">
        <v>24.7</v>
      </c>
      <c r="E1896" s="1557">
        <v>40209.0</v>
      </c>
      <c r="F1896" s="598">
        <v>1267.0</v>
      </c>
      <c r="G1896" s="598">
        <v>159.0</v>
      </c>
      <c r="H1896" s="598">
        <v>489.0</v>
      </c>
      <c r="I1896" s="598">
        <v>20.0</v>
      </c>
      <c r="J1896" s="598">
        <v>2935.0</v>
      </c>
      <c r="K1896" s="1561">
        <v>4453.0</v>
      </c>
      <c r="L1896" s="1555">
        <v>43799.0</v>
      </c>
    </row>
    <row r="1897">
      <c r="A1897" s="1545" t="s">
        <v>330</v>
      </c>
      <c r="B1897" s="1587">
        <v>1395774.0</v>
      </c>
      <c r="C1897" s="1547">
        <v>21787.0</v>
      </c>
      <c r="D1897" s="1548">
        <v>7.6</v>
      </c>
      <c r="E1897" s="1557">
        <v>817196.0</v>
      </c>
      <c r="F1897" s="598">
        <v>153274.0</v>
      </c>
      <c r="G1897" s="598">
        <v>6219.0</v>
      </c>
      <c r="H1897" s="598">
        <v>164201.0</v>
      </c>
      <c r="I1897" s="598">
        <v>435.0</v>
      </c>
      <c r="J1897" s="598">
        <v>137138.0</v>
      </c>
      <c r="K1897" s="1561">
        <v>117311.0</v>
      </c>
      <c r="L1897" s="1555">
        <v>115301.0</v>
      </c>
    </row>
    <row r="1898">
      <c r="A1898" s="1545" t="s">
        <v>94</v>
      </c>
      <c r="B1898" s="1587">
        <v>1694251.0</v>
      </c>
      <c r="C1898" s="1547">
        <v>45017.0</v>
      </c>
      <c r="D1898" s="1548">
        <v>19.7</v>
      </c>
      <c r="E1898" s="1557">
        <v>847604.0</v>
      </c>
      <c r="F1898" s="598">
        <v>229361.0</v>
      </c>
      <c r="G1898" s="598">
        <v>9969.0</v>
      </c>
      <c r="H1898" s="598">
        <v>221995.0</v>
      </c>
      <c r="I1898" s="598">
        <v>1795.0</v>
      </c>
      <c r="J1898" s="598">
        <v>208086.0</v>
      </c>
      <c r="K1898" s="1561">
        <v>175441.0</v>
      </c>
      <c r="L1898" s="1555">
        <v>84610.0</v>
      </c>
    </row>
    <row r="1899">
      <c r="A1899" s="1545" t="s">
        <v>1563</v>
      </c>
      <c r="B1899" s="1587">
        <v>212666.0</v>
      </c>
      <c r="C1899" s="1547">
        <v>7659.0</v>
      </c>
      <c r="D1899" s="1548">
        <v>18.5</v>
      </c>
      <c r="E1899" s="1557">
        <v>175821.0</v>
      </c>
      <c r="F1899" s="598">
        <v>16740.0</v>
      </c>
      <c r="G1899" s="598">
        <v>2428.0</v>
      </c>
      <c r="H1899" s="598">
        <v>2459.0</v>
      </c>
      <c r="I1899" s="598">
        <v>47.0</v>
      </c>
      <c r="J1899" s="598">
        <v>2807.0</v>
      </c>
      <c r="K1899" s="1561">
        <v>12364.0</v>
      </c>
      <c r="L1899" s="1555">
        <v>55013.0</v>
      </c>
    </row>
    <row r="1900">
      <c r="A1900" s="1545" t="s">
        <v>685</v>
      </c>
      <c r="B1900" s="1587">
        <v>232125.0</v>
      </c>
      <c r="C1900" s="1547">
        <v>9585.0</v>
      </c>
      <c r="D1900" s="1548">
        <v>20.1</v>
      </c>
      <c r="E1900" s="1557">
        <v>185042.0</v>
      </c>
      <c r="F1900" s="598">
        <v>16184.0</v>
      </c>
      <c r="G1900" s="598">
        <v>692.0</v>
      </c>
      <c r="H1900" s="598">
        <v>10626.0</v>
      </c>
      <c r="I1900" s="598">
        <v>93.0</v>
      </c>
      <c r="J1900" s="598">
        <v>5967.0</v>
      </c>
      <c r="K1900" s="1561">
        <v>13521.0</v>
      </c>
      <c r="L1900" s="1555">
        <v>54096.0</v>
      </c>
    </row>
    <row r="1901">
      <c r="A1901" s="1545" t="s">
        <v>1564</v>
      </c>
      <c r="B1901" s="1587">
        <v>476516.0</v>
      </c>
      <c r="C1901" s="1547">
        <v>19493.0</v>
      </c>
      <c r="D1901" s="1548">
        <v>20.2</v>
      </c>
      <c r="E1901" s="1557">
        <v>353232.0</v>
      </c>
      <c r="F1901" s="598">
        <v>56947.0</v>
      </c>
      <c r="G1901" s="598">
        <v>3364.0</v>
      </c>
      <c r="H1901" s="598">
        <v>20235.0</v>
      </c>
      <c r="I1901" s="598">
        <v>138.0</v>
      </c>
      <c r="J1901" s="598">
        <v>9913.0</v>
      </c>
      <c r="K1901" s="1561">
        <v>32687.0</v>
      </c>
      <c r="L1901" s="1555">
        <v>59786.0</v>
      </c>
    </row>
    <row r="1902">
      <c r="A1902" s="1545" t="s">
        <v>1565</v>
      </c>
      <c r="B1902" s="1587">
        <v>112458.0</v>
      </c>
      <c r="C1902" s="1547">
        <v>2425.0</v>
      </c>
      <c r="D1902" s="1548">
        <v>11.1</v>
      </c>
      <c r="E1902" s="1557">
        <v>98880.0</v>
      </c>
      <c r="F1902" s="598">
        <v>2662.0</v>
      </c>
      <c r="G1902" s="598">
        <v>265.0</v>
      </c>
      <c r="H1902" s="598">
        <v>1383.0</v>
      </c>
      <c r="I1902" s="598">
        <v>24.0</v>
      </c>
      <c r="J1902" s="598">
        <v>2647.0</v>
      </c>
      <c r="K1902" s="1561">
        <v>6597.0</v>
      </c>
      <c r="L1902" s="1555">
        <v>62930.0</v>
      </c>
    </row>
    <row r="1903">
      <c r="A1903" s="1545" t="s">
        <v>241</v>
      </c>
      <c r="B1903" s="1587">
        <v>401310.0</v>
      </c>
      <c r="C1903" s="1547">
        <v>16816.0</v>
      </c>
      <c r="D1903" s="1548">
        <v>17.5</v>
      </c>
      <c r="E1903" s="1557">
        <v>248085.0</v>
      </c>
      <c r="F1903" s="598">
        <v>45543.0</v>
      </c>
      <c r="G1903" s="598">
        <v>2949.0</v>
      </c>
      <c r="H1903" s="598">
        <v>12025.0</v>
      </c>
      <c r="I1903" s="598">
        <v>185.0</v>
      </c>
      <c r="J1903" s="598">
        <v>52023.0</v>
      </c>
      <c r="K1903" s="1561">
        <v>40500.0</v>
      </c>
      <c r="L1903" s="1551">
        <v>75048.0</v>
      </c>
    </row>
    <row r="1904">
      <c r="A1904" s="1545" t="s">
        <v>1163</v>
      </c>
      <c r="B1904" s="1587">
        <v>40343.0</v>
      </c>
      <c r="C1904" s="1547">
        <v>1358.0</v>
      </c>
      <c r="D1904" s="1548">
        <v>17.6</v>
      </c>
      <c r="E1904" s="1557">
        <v>34643.0</v>
      </c>
      <c r="F1904" s="598">
        <v>1951.0</v>
      </c>
      <c r="G1904" s="598">
        <v>223.0</v>
      </c>
      <c r="H1904" s="598">
        <v>154.0</v>
      </c>
      <c r="I1904" s="598">
        <v>13.0</v>
      </c>
      <c r="J1904" s="598">
        <v>922.0</v>
      </c>
      <c r="K1904" s="1561">
        <v>2437.0</v>
      </c>
      <c r="L1904" s="1555">
        <v>52658.0</v>
      </c>
    </row>
    <row r="1905">
      <c r="A1905" s="1545" t="s">
        <v>1566</v>
      </c>
      <c r="B1905" s="1587">
        <v>117525.0</v>
      </c>
      <c r="C1905" s="1547">
        <v>5572.0</v>
      </c>
      <c r="D1905" s="1548">
        <v>23.0</v>
      </c>
      <c r="E1905" s="1557">
        <v>107264.0</v>
      </c>
      <c r="F1905" s="598">
        <v>1584.0</v>
      </c>
      <c r="G1905" s="598">
        <v>508.0</v>
      </c>
      <c r="H1905" s="598">
        <v>871.0</v>
      </c>
      <c r="I1905" s="598">
        <v>31.0</v>
      </c>
      <c r="J1905" s="598">
        <v>1003.0</v>
      </c>
      <c r="K1905" s="1561">
        <v>6264.0</v>
      </c>
      <c r="L1905" s="1551">
        <v>53745.0</v>
      </c>
    </row>
    <row r="1906">
      <c r="A1906" s="1545" t="s">
        <v>1286</v>
      </c>
      <c r="B1906" s="1587">
        <v>58524.0</v>
      </c>
      <c r="C1906" s="1547">
        <v>1480.0</v>
      </c>
      <c r="D1906" s="1548">
        <v>15.9</v>
      </c>
      <c r="E1906" s="1557">
        <v>52403.0</v>
      </c>
      <c r="F1906" s="598">
        <v>1286.0</v>
      </c>
      <c r="G1906" s="598">
        <v>121.0</v>
      </c>
      <c r="H1906" s="598">
        <v>827.0</v>
      </c>
      <c r="I1906" s="598">
        <v>11.0</v>
      </c>
      <c r="J1906" s="598">
        <v>748.0</v>
      </c>
      <c r="K1906" s="1561">
        <v>3128.0</v>
      </c>
      <c r="L1906" s="1555">
        <v>54321.0</v>
      </c>
    </row>
    <row r="1907">
      <c r="A1907" s="1545" t="s">
        <v>518</v>
      </c>
      <c r="B1907" s="1587">
        <v>97668.0</v>
      </c>
      <c r="C1907" s="1547">
        <v>1283.0</v>
      </c>
      <c r="D1907" s="1548">
        <v>6.6</v>
      </c>
      <c r="E1907" s="1557">
        <v>75406.0</v>
      </c>
      <c r="F1907" s="598">
        <v>2828.0</v>
      </c>
      <c r="G1907" s="598">
        <v>425.0</v>
      </c>
      <c r="H1907" s="598">
        <v>2225.0</v>
      </c>
      <c r="I1907" s="598">
        <v>25.0</v>
      </c>
      <c r="J1907" s="598">
        <v>7312.0</v>
      </c>
      <c r="K1907" s="1561">
        <v>9447.0</v>
      </c>
      <c r="L1907" s="1555">
        <v>100887.0</v>
      </c>
    </row>
    <row r="1908">
      <c r="A1908" s="1545" t="s">
        <v>254</v>
      </c>
      <c r="B1908" s="1587">
        <v>2405464.0</v>
      </c>
      <c r="C1908" s="1547">
        <v>68473.0</v>
      </c>
      <c r="D1908" s="1548">
        <v>15.2</v>
      </c>
      <c r="E1908" s="1557">
        <v>621475.0</v>
      </c>
      <c r="F1908" s="598">
        <v>403077.0</v>
      </c>
      <c r="G1908" s="598">
        <v>30513.0</v>
      </c>
      <c r="H1908" s="598">
        <v>660631.0</v>
      </c>
      <c r="I1908" s="598">
        <v>1718.0</v>
      </c>
      <c r="J1908" s="598">
        <v>444686.0</v>
      </c>
      <c r="K1908" s="1561">
        <v>243364.0</v>
      </c>
      <c r="L1908" s="1555">
        <v>68432.0</v>
      </c>
    </row>
    <row r="1909">
      <c r="A1909" s="1545" t="s">
        <v>1567</v>
      </c>
      <c r="B1909" s="1587">
        <v>161130.0</v>
      </c>
      <c r="C1909" s="1547">
        <v>4765.0</v>
      </c>
      <c r="D1909" s="1548">
        <v>15.5</v>
      </c>
      <c r="E1909" s="1557">
        <v>126828.0</v>
      </c>
      <c r="F1909" s="598">
        <v>12872.0</v>
      </c>
      <c r="G1909" s="598">
        <v>441.0</v>
      </c>
      <c r="H1909" s="598">
        <v>5776.0</v>
      </c>
      <c r="I1909" s="598">
        <v>25.0</v>
      </c>
      <c r="J1909" s="598">
        <v>3062.0</v>
      </c>
      <c r="K1909" s="1561">
        <v>12126.0</v>
      </c>
      <c r="L1909" s="1555">
        <v>71084.0</v>
      </c>
    </row>
    <row r="1910">
      <c r="A1910" s="1545" t="s">
        <v>621</v>
      </c>
      <c r="B1910" s="1587">
        <v>495747.0</v>
      </c>
      <c r="C1910" s="1547">
        <v>15706.0</v>
      </c>
      <c r="D1910" s="1548">
        <v>15.2</v>
      </c>
      <c r="E1910" s="1557">
        <v>295519.0</v>
      </c>
      <c r="F1910" s="598">
        <v>52039.0</v>
      </c>
      <c r="G1910" s="598">
        <v>3599.0</v>
      </c>
      <c r="H1910" s="598">
        <v>59279.0</v>
      </c>
      <c r="I1910" s="598">
        <v>234.0</v>
      </c>
      <c r="J1910" s="598">
        <v>46257.0</v>
      </c>
      <c r="K1910" s="1561">
        <v>38820.0</v>
      </c>
      <c r="L1910" s="1555">
        <v>79719.0</v>
      </c>
    </row>
    <row r="1911">
      <c r="A1911" s="1545" t="s">
        <v>1568</v>
      </c>
      <c r="B1911" s="1587">
        <v>338329.0</v>
      </c>
      <c r="C1911" s="1547">
        <v>21078.0</v>
      </c>
      <c r="D1911" s="1548">
        <v>23.2</v>
      </c>
      <c r="E1911" s="1557">
        <v>214890.0</v>
      </c>
      <c r="F1911" s="598">
        <v>35542.0</v>
      </c>
      <c r="G1911" s="598">
        <v>1716.0</v>
      </c>
      <c r="H1911" s="598">
        <v>20685.0</v>
      </c>
      <c r="I1911" s="598">
        <v>110.0</v>
      </c>
      <c r="J1911" s="598">
        <v>38086.0</v>
      </c>
      <c r="K1911" s="1561">
        <v>27300.0</v>
      </c>
      <c r="L1911" s="1555">
        <v>88960.0</v>
      </c>
    </row>
    <row r="1912">
      <c r="A1912" s="1545" t="s">
        <v>3845</v>
      </c>
      <c r="B1912" s="1587">
        <v>108505.0</v>
      </c>
      <c r="C1912" s="1547">
        <v>4261.0</v>
      </c>
      <c r="D1912" s="1548">
        <v>20.0</v>
      </c>
      <c r="E1912" s="1557">
        <v>97530.0</v>
      </c>
      <c r="F1912" s="598">
        <v>3074.0</v>
      </c>
      <c r="G1912" s="598">
        <v>1194.0</v>
      </c>
      <c r="H1912" s="598">
        <v>1105.0</v>
      </c>
      <c r="I1912" s="598">
        <v>34.0</v>
      </c>
      <c r="J1912" s="598">
        <v>1005.0</v>
      </c>
      <c r="K1912" s="1561">
        <v>4563.0</v>
      </c>
      <c r="L1912" s="1555">
        <v>49356.0</v>
      </c>
    </row>
    <row r="1913">
      <c r="A1913" s="1545" t="s">
        <v>1570</v>
      </c>
      <c r="B1913" s="1587">
        <v>235509.0</v>
      </c>
      <c r="C1913" s="1547">
        <v>3355.0</v>
      </c>
      <c r="D1913" s="1548">
        <v>7.4</v>
      </c>
      <c r="E1913" s="1557">
        <v>206278.0</v>
      </c>
      <c r="F1913" s="598">
        <v>4047.0</v>
      </c>
      <c r="G1913" s="598">
        <v>438.0</v>
      </c>
      <c r="H1913" s="598">
        <v>7494.0</v>
      </c>
      <c r="I1913" s="598">
        <v>68.0</v>
      </c>
      <c r="J1913" s="598">
        <v>2603.0</v>
      </c>
      <c r="K1913" s="1561">
        <v>14581.0</v>
      </c>
      <c r="L1913" s="1555">
        <v>83210.0</v>
      </c>
    </row>
    <row r="1914">
      <c r="A1914" s="1545" t="s">
        <v>1571</v>
      </c>
      <c r="B1914" s="1587">
        <v>158061.0</v>
      </c>
      <c r="C1914" s="1547">
        <v>5648.0</v>
      </c>
      <c r="D1914" s="1548">
        <v>17.3</v>
      </c>
      <c r="E1914" s="1557">
        <v>107493.0</v>
      </c>
      <c r="F1914" s="598">
        <v>17322.0</v>
      </c>
      <c r="G1914" s="598">
        <v>1125.0</v>
      </c>
      <c r="H1914" s="598">
        <v>8354.0</v>
      </c>
      <c r="I1914" s="598">
        <v>145.0</v>
      </c>
      <c r="J1914" s="598">
        <v>8463.0</v>
      </c>
      <c r="K1914" s="1561">
        <v>15159.0</v>
      </c>
      <c r="L1914" s="1551">
        <v>63297.0</v>
      </c>
    </row>
    <row r="1915">
      <c r="A1915" s="1545" t="s">
        <v>1572</v>
      </c>
      <c r="B1915" s="1587">
        <v>29714.0</v>
      </c>
      <c r="C1915" s="1563">
        <v>853.0</v>
      </c>
      <c r="D1915" s="1548">
        <v>16.1</v>
      </c>
      <c r="E1915" s="1557">
        <v>27112.0</v>
      </c>
      <c r="F1915" s="598">
        <v>305.0</v>
      </c>
      <c r="G1915" s="598">
        <v>83.0</v>
      </c>
      <c r="H1915" s="598">
        <v>211.0</v>
      </c>
      <c r="I1915" s="598">
        <v>3.0</v>
      </c>
      <c r="J1915" s="598">
        <v>304.0</v>
      </c>
      <c r="K1915" s="1561">
        <v>1696.0</v>
      </c>
      <c r="L1915" s="1551">
        <v>57757.0</v>
      </c>
    </row>
    <row r="1916">
      <c r="A1916" s="1545" t="s">
        <v>746</v>
      </c>
      <c r="B1916" s="1587">
        <v>17898.0</v>
      </c>
      <c r="C1916" s="1563">
        <v>706.0</v>
      </c>
      <c r="D1916" s="1548">
        <v>21.1</v>
      </c>
      <c r="E1916" s="1557">
        <v>16750.0</v>
      </c>
      <c r="F1916" s="598">
        <v>101.0</v>
      </c>
      <c r="G1916" s="598">
        <v>50.0</v>
      </c>
      <c r="H1916" s="598">
        <v>108.0</v>
      </c>
      <c r="I1916" s="598">
        <v>1.0</v>
      </c>
      <c r="J1916" s="598">
        <v>93.0</v>
      </c>
      <c r="K1916" s="1561">
        <v>795.0</v>
      </c>
      <c r="L1916" s="1551">
        <v>50190.0</v>
      </c>
    </row>
    <row r="1917">
      <c r="A1917" s="1545" t="s">
        <v>1573</v>
      </c>
      <c r="B1917" s="1587">
        <v>33814.0</v>
      </c>
      <c r="C1917" s="1547">
        <v>1304.0</v>
      </c>
      <c r="D1917" s="1548">
        <v>19.9</v>
      </c>
      <c r="E1917" s="1557">
        <v>29737.0</v>
      </c>
      <c r="F1917" s="598">
        <v>1414.0</v>
      </c>
      <c r="G1917" s="598">
        <v>162.0</v>
      </c>
      <c r="H1917" s="598">
        <v>269.0</v>
      </c>
      <c r="I1917" s="598">
        <v>3.0</v>
      </c>
      <c r="J1917" s="598">
        <v>454.0</v>
      </c>
      <c r="K1917" s="1561">
        <v>1775.0</v>
      </c>
      <c r="L1917" s="1555">
        <v>54184.0</v>
      </c>
    </row>
    <row r="1918">
      <c r="A1918" s="1545" t="s">
        <v>859</v>
      </c>
      <c r="B1918" s="1587">
        <v>93584.0</v>
      </c>
      <c r="C1918" s="1547">
        <v>3743.0</v>
      </c>
      <c r="D1918" s="1548">
        <v>18.7</v>
      </c>
      <c r="E1918" s="1557">
        <v>84953.0</v>
      </c>
      <c r="F1918" s="598">
        <v>1469.0</v>
      </c>
      <c r="G1918" s="598">
        <v>234.0</v>
      </c>
      <c r="H1918" s="598">
        <v>1633.0</v>
      </c>
      <c r="I1918" s="598">
        <v>12.0</v>
      </c>
      <c r="J1918" s="598">
        <v>665.0</v>
      </c>
      <c r="K1918" s="1561">
        <v>4618.0</v>
      </c>
      <c r="L1918" s="1555">
        <v>54862.0</v>
      </c>
    </row>
    <row r="1919">
      <c r="A1919" s="1545" t="s">
        <v>299</v>
      </c>
      <c r="B1919" s="1587">
        <v>1525920.0</v>
      </c>
      <c r="C1919" s="1547">
        <v>28669.0</v>
      </c>
      <c r="D1919" s="1548">
        <v>9.4</v>
      </c>
      <c r="E1919" s="1557">
        <v>1022846.0</v>
      </c>
      <c r="F1919" s="598">
        <v>114294.0</v>
      </c>
      <c r="G1919" s="598">
        <v>9188.0</v>
      </c>
      <c r="H1919" s="598">
        <v>65779.0</v>
      </c>
      <c r="I1919" s="598">
        <v>427.0</v>
      </c>
      <c r="J1919" s="598">
        <v>166174.0</v>
      </c>
      <c r="K1919" s="1561">
        <v>147212.0</v>
      </c>
      <c r="L1919" s="1555">
        <v>100075.0</v>
      </c>
    </row>
    <row r="1920">
      <c r="A1920" s="1545" t="s">
        <v>860</v>
      </c>
      <c r="B1920" s="1587">
        <v>78624.0</v>
      </c>
      <c r="C1920" s="1547">
        <v>3801.0</v>
      </c>
      <c r="D1920" s="1548">
        <v>24.4</v>
      </c>
      <c r="E1920" s="1557">
        <v>56040.0</v>
      </c>
      <c r="F1920" s="598">
        <v>6814.0</v>
      </c>
      <c r="G1920" s="598">
        <v>418.0</v>
      </c>
      <c r="H1920" s="598">
        <v>1597.0</v>
      </c>
      <c r="I1920" s="598">
        <v>29.0</v>
      </c>
      <c r="J1920" s="598">
        <v>6168.0</v>
      </c>
      <c r="K1920" s="1561">
        <v>7558.0</v>
      </c>
      <c r="L1920" s="1551">
        <v>51985.0</v>
      </c>
    </row>
    <row r="1921">
      <c r="A1921" s="1545" t="s">
        <v>1574</v>
      </c>
      <c r="B1921" s="1587">
        <v>48455.0</v>
      </c>
      <c r="C1921" s="1547">
        <v>1521.0</v>
      </c>
      <c r="D1921" s="1548">
        <v>15.2</v>
      </c>
      <c r="E1921" s="1557">
        <v>44557.0</v>
      </c>
      <c r="F1921" s="598">
        <v>452.0</v>
      </c>
      <c r="G1921" s="598">
        <v>75.0</v>
      </c>
      <c r="H1921" s="598">
        <v>379.0</v>
      </c>
      <c r="I1921" s="598">
        <v>18.0</v>
      </c>
      <c r="J1921" s="598">
        <v>399.0</v>
      </c>
      <c r="K1921" s="1561">
        <v>2575.0</v>
      </c>
      <c r="L1921" s="1555">
        <v>60309.0</v>
      </c>
    </row>
    <row r="1922">
      <c r="A1922" s="1545" t="s">
        <v>1575</v>
      </c>
      <c r="B1922" s="1587">
        <v>105740.0</v>
      </c>
      <c r="C1922" s="1547">
        <v>1982.0</v>
      </c>
      <c r="D1922" s="1548">
        <v>13.7</v>
      </c>
      <c r="E1922" s="1557">
        <v>78657.0</v>
      </c>
      <c r="F1922" s="598">
        <v>4597.0</v>
      </c>
      <c r="G1922" s="598">
        <v>353.0</v>
      </c>
      <c r="H1922" s="598">
        <v>10532.0</v>
      </c>
      <c r="I1922" s="598">
        <v>47.0</v>
      </c>
      <c r="J1922" s="598">
        <v>2855.0</v>
      </c>
      <c r="K1922" s="1561">
        <v>8699.0</v>
      </c>
      <c r="L1922" s="1555">
        <v>57383.0</v>
      </c>
    </row>
    <row r="1923">
      <c r="A1923" s="1545" t="s">
        <v>1576</v>
      </c>
      <c r="B1923" s="1587">
        <v>181851.0</v>
      </c>
      <c r="C1923" s="1547">
        <v>4993.0</v>
      </c>
      <c r="D1923" s="1548">
        <v>16.2</v>
      </c>
      <c r="E1923" s="1557">
        <v>141728.0</v>
      </c>
      <c r="F1923" s="598">
        <v>11063.0</v>
      </c>
      <c r="G1923" s="598">
        <v>829.0</v>
      </c>
      <c r="H1923" s="598">
        <v>3860.0</v>
      </c>
      <c r="I1923" s="598">
        <v>63.0</v>
      </c>
      <c r="J1923" s="598">
        <v>8390.0</v>
      </c>
      <c r="K1923" s="1561">
        <v>15918.0</v>
      </c>
      <c r="L1923" s="1555">
        <v>63073.0</v>
      </c>
    </row>
    <row r="1924">
      <c r="A1924" s="1545" t="s">
        <v>647</v>
      </c>
      <c r="B1924" s="1587">
        <v>65737.0</v>
      </c>
      <c r="C1924" s="1547">
        <v>1787.0</v>
      </c>
      <c r="D1924" s="1548">
        <v>15.5</v>
      </c>
      <c r="E1924" s="1557">
        <v>59911.0</v>
      </c>
      <c r="F1924" s="598">
        <v>799.0</v>
      </c>
      <c r="G1924" s="598">
        <v>170.0</v>
      </c>
      <c r="H1924" s="598">
        <v>753.0</v>
      </c>
      <c r="I1924" s="598">
        <v>1.0</v>
      </c>
      <c r="J1924" s="598">
        <v>497.0</v>
      </c>
      <c r="K1924" s="1561">
        <v>3606.0</v>
      </c>
      <c r="L1924" s="1551">
        <v>56694.0</v>
      </c>
    </row>
    <row r="1925">
      <c r="A1925" s="1545" t="s">
        <v>119</v>
      </c>
      <c r="B1925" s="1587">
        <v>61302.0</v>
      </c>
      <c r="C1925" s="1547">
        <v>1781.0</v>
      </c>
      <c r="D1925" s="1548">
        <v>16.0</v>
      </c>
      <c r="E1925" s="1557">
        <v>55162.0</v>
      </c>
      <c r="F1925" s="598">
        <v>1715.0</v>
      </c>
      <c r="G1925" s="598">
        <v>174.0</v>
      </c>
      <c r="H1925" s="598">
        <v>326.0</v>
      </c>
      <c r="I1925" s="598">
        <v>23.0</v>
      </c>
      <c r="J1925" s="598">
        <v>703.0</v>
      </c>
      <c r="K1925" s="1561">
        <v>3199.0</v>
      </c>
      <c r="L1925" s="1555">
        <v>55913.0</v>
      </c>
    </row>
    <row r="1926">
      <c r="A1926" s="1545" t="s">
        <v>273</v>
      </c>
      <c r="B1926" s="1587">
        <v>91283.0</v>
      </c>
      <c r="C1926" s="1547">
        <v>2746.0</v>
      </c>
      <c r="D1926" s="1548">
        <v>14.6</v>
      </c>
      <c r="E1926" s="1557">
        <v>80476.0</v>
      </c>
      <c r="F1926" s="598">
        <v>2562.0</v>
      </c>
      <c r="G1926" s="598">
        <v>263.0</v>
      </c>
      <c r="H1926" s="598">
        <v>487.0</v>
      </c>
      <c r="I1926" s="598">
        <v>15.0</v>
      </c>
      <c r="J1926" s="598">
        <v>1667.0</v>
      </c>
      <c r="K1926" s="1561">
        <v>5813.0</v>
      </c>
      <c r="L1926" s="1555">
        <v>61118.0</v>
      </c>
    </row>
    <row r="1927">
      <c r="A1927" s="1545" t="s">
        <v>426</v>
      </c>
      <c r="B1927" s="1587">
        <v>1004457.0</v>
      </c>
      <c r="C1927" s="1547">
        <v>21291.0</v>
      </c>
      <c r="D1927" s="1548">
        <v>10.3</v>
      </c>
      <c r="E1927" s="1557">
        <v>533150.0</v>
      </c>
      <c r="F1927" s="598">
        <v>141094.0</v>
      </c>
      <c r="G1927" s="598">
        <v>7466.0</v>
      </c>
      <c r="H1927" s="598">
        <v>65707.0</v>
      </c>
      <c r="I1927" s="598">
        <v>339.0</v>
      </c>
      <c r="J1927" s="598">
        <v>146911.0</v>
      </c>
      <c r="K1927" s="1561">
        <v>109790.0</v>
      </c>
      <c r="L1927" s="1555">
        <v>94521.0</v>
      </c>
    </row>
    <row r="1928">
      <c r="A1928" s="1545" t="s">
        <v>123</v>
      </c>
      <c r="B1928" s="1587">
        <v>40531.0</v>
      </c>
      <c r="C1928" s="1563">
        <v>911.0</v>
      </c>
      <c r="D1928" s="1548">
        <v>12.2</v>
      </c>
      <c r="E1928" s="1557">
        <v>36046.0</v>
      </c>
      <c r="F1928" s="598">
        <v>1999.0</v>
      </c>
      <c r="G1928" s="598">
        <v>98.0</v>
      </c>
      <c r="H1928" s="598">
        <v>218.0</v>
      </c>
      <c r="I1928" s="598">
        <v>6.0</v>
      </c>
      <c r="J1928" s="598">
        <v>594.0</v>
      </c>
      <c r="K1928" s="1561">
        <v>1570.0</v>
      </c>
      <c r="L1928" s="1615">
        <v>57709.0</v>
      </c>
    </row>
    <row r="1929">
      <c r="A1929" s="1528" t="s">
        <v>1577</v>
      </c>
      <c r="B1929" s="1595">
        <v>24774.0</v>
      </c>
      <c r="C1929" s="1530">
        <v>1122.0</v>
      </c>
      <c r="D1929" s="1567">
        <v>21.1</v>
      </c>
      <c r="E1929" s="1532">
        <v>23264.0</v>
      </c>
      <c r="F1929" s="1533">
        <v>161.0</v>
      </c>
      <c r="G1929" s="1533">
        <v>49.0</v>
      </c>
      <c r="H1929" s="1533">
        <v>93.0</v>
      </c>
      <c r="I1929" s="1533">
        <v>10.0</v>
      </c>
      <c r="J1929" s="1533">
        <v>250.0</v>
      </c>
      <c r="K1929" s="1616">
        <v>947.0</v>
      </c>
      <c r="L1929" s="1617">
        <v>51089.0</v>
      </c>
    </row>
    <row r="1930">
      <c r="A1930" s="1538" t="s">
        <v>96</v>
      </c>
      <c r="B1930" s="1596">
        <v>1.0439388E7</v>
      </c>
      <c r="C1930" s="1540">
        <v>457103.0</v>
      </c>
      <c r="D1930" s="1571">
        <v>20.2</v>
      </c>
      <c r="E1930" s="1572">
        <v>6488459.0</v>
      </c>
      <c r="F1930" s="1542">
        <v>2140217.0</v>
      </c>
      <c r="G1930" s="1542">
        <v>130032.0</v>
      </c>
      <c r="H1930" s="1542">
        <v>343051.0</v>
      </c>
      <c r="I1930" s="1542">
        <v>8518.0</v>
      </c>
      <c r="J1930" s="1542">
        <v>617390.0</v>
      </c>
      <c r="K1930" s="1543">
        <v>711721.0</v>
      </c>
      <c r="L1930" s="1625">
        <v>53922.0</v>
      </c>
    </row>
    <row r="1931">
      <c r="A1931" s="1545" t="s">
        <v>1578</v>
      </c>
      <c r="B1931" s="1586">
        <v>171415.0</v>
      </c>
      <c r="C1931" s="1547">
        <v>7209.0</v>
      </c>
      <c r="D1931" s="1548">
        <v>19.8</v>
      </c>
      <c r="E1931" s="1557">
        <v>105847.0</v>
      </c>
      <c r="F1931" s="598">
        <v>34014.0</v>
      </c>
      <c r="G1931" s="598">
        <v>1427.0</v>
      </c>
      <c r="H1931" s="598">
        <v>2848.0</v>
      </c>
      <c r="I1931" s="598">
        <v>105.0</v>
      </c>
      <c r="J1931" s="598">
        <v>15439.0</v>
      </c>
      <c r="K1931" s="1561">
        <v>11735.0</v>
      </c>
      <c r="L1931" s="1551">
        <v>50480.0</v>
      </c>
    </row>
    <row r="1932">
      <c r="A1932" s="1545" t="s">
        <v>704</v>
      </c>
      <c r="B1932" s="1587">
        <v>36444.0</v>
      </c>
      <c r="C1932" s="1547">
        <v>1442.0</v>
      </c>
      <c r="D1932" s="1548">
        <v>19.6</v>
      </c>
      <c r="E1932" s="1557">
        <v>31284.0</v>
      </c>
      <c r="F1932" s="598">
        <v>1932.0</v>
      </c>
      <c r="G1932" s="598">
        <v>144.0</v>
      </c>
      <c r="H1932" s="598">
        <v>392.0</v>
      </c>
      <c r="I1932" s="598">
        <v>5.0</v>
      </c>
      <c r="J1932" s="598">
        <v>1009.0</v>
      </c>
      <c r="K1932" s="1561">
        <v>1678.0</v>
      </c>
      <c r="L1932" s="1551">
        <v>49138.0</v>
      </c>
    </row>
    <row r="1933">
      <c r="A1933" s="1545" t="s">
        <v>1579</v>
      </c>
      <c r="B1933" s="1587">
        <v>10888.0</v>
      </c>
      <c r="C1933" s="1563">
        <v>567.0</v>
      </c>
      <c r="D1933" s="1548">
        <v>29.8</v>
      </c>
      <c r="E1933" s="1557">
        <v>9544.0</v>
      </c>
      <c r="F1933" s="598">
        <v>104.0</v>
      </c>
      <c r="G1933" s="598">
        <v>47.0</v>
      </c>
      <c r="H1933" s="598">
        <v>15.0</v>
      </c>
      <c r="I1933" s="598">
        <v>6.0</v>
      </c>
      <c r="J1933" s="598">
        <v>602.0</v>
      </c>
      <c r="K1933" s="1561">
        <v>570.0</v>
      </c>
      <c r="L1933" s="1551">
        <v>39735.0</v>
      </c>
    </row>
    <row r="1934">
      <c r="A1934" s="1545" t="s">
        <v>1580</v>
      </c>
      <c r="B1934" s="1587">
        <v>22055.0</v>
      </c>
      <c r="C1934" s="1547">
        <v>1515.0</v>
      </c>
      <c r="D1934" s="1548">
        <v>31.5</v>
      </c>
      <c r="E1934" s="1557">
        <v>10692.0</v>
      </c>
      <c r="F1934" s="598">
        <v>9871.0</v>
      </c>
      <c r="G1934" s="598">
        <v>106.0</v>
      </c>
      <c r="H1934" s="598">
        <v>221.0</v>
      </c>
      <c r="I1934" s="598">
        <v>7.0</v>
      </c>
      <c r="J1934" s="598">
        <v>443.0</v>
      </c>
      <c r="K1934" s="1561">
        <v>715.0</v>
      </c>
      <c r="L1934" s="1551">
        <v>38023.0</v>
      </c>
    </row>
    <row r="1935">
      <c r="A1935" s="1545" t="s">
        <v>1581</v>
      </c>
      <c r="B1935" s="1587">
        <v>26577.0</v>
      </c>
      <c r="C1935" s="1547">
        <v>1235.0</v>
      </c>
      <c r="D1935" s="1548">
        <v>26.2</v>
      </c>
      <c r="E1935" s="1557">
        <v>24435.0</v>
      </c>
      <c r="F1935" s="598">
        <v>127.0</v>
      </c>
      <c r="G1935" s="598">
        <v>77.0</v>
      </c>
      <c r="H1935" s="598">
        <v>103.0</v>
      </c>
      <c r="I1935" s="598">
        <v>12.0</v>
      </c>
      <c r="J1935" s="598">
        <v>723.0</v>
      </c>
      <c r="K1935" s="1561">
        <v>1100.0</v>
      </c>
      <c r="L1935" s="1551">
        <v>41864.0</v>
      </c>
    </row>
    <row r="1936">
      <c r="A1936" s="1545" t="s">
        <v>1582</v>
      </c>
      <c r="B1936" s="1587">
        <v>17806.0</v>
      </c>
      <c r="C1936" s="1563">
        <v>638.0</v>
      </c>
      <c r="D1936" s="1548">
        <v>25.4</v>
      </c>
      <c r="E1936" s="1557">
        <v>15746.0</v>
      </c>
      <c r="F1936" s="598">
        <v>664.0</v>
      </c>
      <c r="G1936" s="598">
        <v>89.0</v>
      </c>
      <c r="H1936" s="598">
        <v>63.0</v>
      </c>
      <c r="I1936" s="598">
        <v>1.0</v>
      </c>
      <c r="J1936" s="598">
        <v>547.0</v>
      </c>
      <c r="K1936" s="1561">
        <v>696.0</v>
      </c>
      <c r="L1936" s="1551">
        <v>41701.0</v>
      </c>
    </row>
    <row r="1937">
      <c r="A1937" s="1545" t="s">
        <v>1583</v>
      </c>
      <c r="B1937" s="1587">
        <v>44652.0</v>
      </c>
      <c r="C1937" s="1547">
        <v>2564.0</v>
      </c>
      <c r="D1937" s="1548">
        <v>27.5</v>
      </c>
      <c r="E1937" s="1557">
        <v>29817.0</v>
      </c>
      <c r="F1937" s="598">
        <v>10303.0</v>
      </c>
      <c r="G1937" s="598">
        <v>168.0</v>
      </c>
      <c r="H1937" s="598">
        <v>166.0</v>
      </c>
      <c r="I1937" s="598">
        <v>16.0</v>
      </c>
      <c r="J1937" s="598">
        <v>2352.0</v>
      </c>
      <c r="K1937" s="1561">
        <v>1830.0</v>
      </c>
      <c r="L1937" s="1551">
        <v>46411.0</v>
      </c>
    </row>
    <row r="1938">
      <c r="A1938" s="1545" t="s">
        <v>1584</v>
      </c>
      <c r="B1938" s="1587">
        <v>17934.0</v>
      </c>
      <c r="C1938" s="1547">
        <v>1053.0</v>
      </c>
      <c r="D1938" s="1548">
        <v>32.0</v>
      </c>
      <c r="E1938" s="1557">
        <v>6339.0</v>
      </c>
      <c r="F1938" s="598">
        <v>10720.0</v>
      </c>
      <c r="G1938" s="598">
        <v>63.0</v>
      </c>
      <c r="H1938" s="598">
        <v>63.0</v>
      </c>
      <c r="I1938" s="598">
        <v>6.0</v>
      </c>
      <c r="J1938" s="598">
        <v>207.0</v>
      </c>
      <c r="K1938" s="1561">
        <v>536.0</v>
      </c>
      <c r="L1938" s="1551">
        <v>35433.0</v>
      </c>
    </row>
    <row r="1939">
      <c r="A1939" s="1545" t="s">
        <v>1585</v>
      </c>
      <c r="B1939" s="1587">
        <v>29606.0</v>
      </c>
      <c r="C1939" s="1547">
        <v>2945.0</v>
      </c>
      <c r="D1939" s="1548">
        <v>44.2</v>
      </c>
      <c r="E1939" s="1557">
        <v>16102.0</v>
      </c>
      <c r="F1939" s="598">
        <v>9576.0</v>
      </c>
      <c r="G1939" s="598">
        <v>799.0</v>
      </c>
      <c r="H1939" s="598">
        <v>48.0</v>
      </c>
      <c r="I1939" s="598">
        <v>11.0</v>
      </c>
      <c r="J1939" s="598">
        <v>1792.0</v>
      </c>
      <c r="K1939" s="1561">
        <v>1278.0</v>
      </c>
      <c r="L1939" s="1555">
        <v>36976.0</v>
      </c>
    </row>
    <row r="1940">
      <c r="A1940" s="1545" t="s">
        <v>1586</v>
      </c>
      <c r="B1940" s="1587">
        <v>136693.0</v>
      </c>
      <c r="C1940" s="1547">
        <v>4104.0</v>
      </c>
      <c r="D1940" s="1548">
        <v>20.1</v>
      </c>
      <c r="E1940" s="1557">
        <v>112307.0</v>
      </c>
      <c r="F1940" s="598">
        <v>11546.0</v>
      </c>
      <c r="G1940" s="598">
        <v>895.0</v>
      </c>
      <c r="H1940" s="598">
        <v>910.0</v>
      </c>
      <c r="I1940" s="598">
        <v>92.0</v>
      </c>
      <c r="J1940" s="598">
        <v>3554.0</v>
      </c>
      <c r="K1940" s="1561">
        <v>7389.0</v>
      </c>
      <c r="L1940" s="1555">
        <v>60163.0</v>
      </c>
    </row>
    <row r="1941">
      <c r="A1941" s="1545" t="s">
        <v>1587</v>
      </c>
      <c r="B1941" s="1587">
        <v>269452.0</v>
      </c>
      <c r="C1941" s="1547">
        <v>7814.0</v>
      </c>
      <c r="D1941" s="1548">
        <v>16.8</v>
      </c>
      <c r="E1941" s="1557">
        <v>218867.0</v>
      </c>
      <c r="F1941" s="598">
        <v>15311.0</v>
      </c>
      <c r="G1941" s="598">
        <v>1243.0</v>
      </c>
      <c r="H1941" s="598">
        <v>3322.0</v>
      </c>
      <c r="I1941" s="598">
        <v>496.0</v>
      </c>
      <c r="J1941" s="598">
        <v>11249.0</v>
      </c>
      <c r="K1941" s="1561">
        <v>18964.0</v>
      </c>
      <c r="L1941" s="1555">
        <v>53960.0</v>
      </c>
    </row>
    <row r="1942">
      <c r="A1942" s="1545" t="s">
        <v>546</v>
      </c>
      <c r="B1942" s="1587">
        <v>87570.0</v>
      </c>
      <c r="C1942" s="1547">
        <v>3372.0</v>
      </c>
      <c r="D1942" s="1548">
        <v>20.6</v>
      </c>
      <c r="E1942" s="1557">
        <v>69671.0</v>
      </c>
      <c r="F1942" s="598">
        <v>4854.0</v>
      </c>
      <c r="G1942" s="598">
        <v>1337.0</v>
      </c>
      <c r="H1942" s="598">
        <v>3168.0</v>
      </c>
      <c r="I1942" s="598">
        <v>70.0</v>
      </c>
      <c r="J1942" s="598">
        <v>3829.0</v>
      </c>
      <c r="K1942" s="1561">
        <v>4641.0</v>
      </c>
      <c r="L1942" s="1555">
        <v>44946.0</v>
      </c>
    </row>
    <row r="1943">
      <c r="A1943" s="1545" t="s">
        <v>1588</v>
      </c>
      <c r="B1943" s="1587">
        <v>225804.0</v>
      </c>
      <c r="C1943" s="1547">
        <v>6867.0</v>
      </c>
      <c r="D1943" s="1548">
        <v>12.9</v>
      </c>
      <c r="E1943" s="1557">
        <v>137756.0</v>
      </c>
      <c r="F1943" s="598">
        <v>42622.0</v>
      </c>
      <c r="G1943" s="598">
        <v>1133.0</v>
      </c>
      <c r="H1943" s="598">
        <v>11984.0</v>
      </c>
      <c r="I1943" s="598">
        <v>137.0</v>
      </c>
      <c r="J1943" s="598">
        <v>14863.0</v>
      </c>
      <c r="K1943" s="1561">
        <v>17309.0</v>
      </c>
      <c r="L1943" s="1555">
        <v>69297.0</v>
      </c>
    </row>
    <row r="1944">
      <c r="A1944" s="1545" t="s">
        <v>1034</v>
      </c>
      <c r="B1944" s="1587">
        <v>80652.0</v>
      </c>
      <c r="C1944" s="1547">
        <v>3603.0</v>
      </c>
      <c r="D1944" s="1548">
        <v>22.4</v>
      </c>
      <c r="E1944" s="1557">
        <v>68859.0</v>
      </c>
      <c r="F1944" s="598">
        <v>3914.0</v>
      </c>
      <c r="G1944" s="598">
        <v>340.0</v>
      </c>
      <c r="H1944" s="598">
        <v>544.0</v>
      </c>
      <c r="I1944" s="598">
        <v>16.0</v>
      </c>
      <c r="J1944" s="598">
        <v>2521.0</v>
      </c>
      <c r="K1944" s="1561">
        <v>4458.0</v>
      </c>
      <c r="L1944" s="1551">
        <v>43328.0</v>
      </c>
    </row>
    <row r="1945">
      <c r="A1945" s="1545" t="s">
        <v>548</v>
      </c>
      <c r="B1945" s="1587">
        <v>10355.0</v>
      </c>
      <c r="C1945" s="1563">
        <v>240.0</v>
      </c>
      <c r="D1945" s="1548">
        <v>9.9</v>
      </c>
      <c r="E1945" s="1557">
        <v>8312.0</v>
      </c>
      <c r="F1945" s="598">
        <v>1055.0</v>
      </c>
      <c r="G1945" s="598">
        <v>49.0</v>
      </c>
      <c r="H1945" s="598">
        <v>119.0</v>
      </c>
      <c r="I1945" s="598">
        <v>2.0</v>
      </c>
      <c r="J1945" s="598">
        <v>122.0</v>
      </c>
      <c r="K1945" s="1561">
        <v>696.0</v>
      </c>
      <c r="L1945" s="1555">
        <v>65955.0</v>
      </c>
    </row>
    <row r="1946">
      <c r="A1946" s="1545" t="s">
        <v>1589</v>
      </c>
      <c r="B1946" s="1587">
        <v>67686.0</v>
      </c>
      <c r="C1946" s="1547">
        <v>1898.0</v>
      </c>
      <c r="D1946" s="1548">
        <v>15.9</v>
      </c>
      <c r="E1946" s="1557">
        <v>58255.0</v>
      </c>
      <c r="F1946" s="598">
        <v>3274.0</v>
      </c>
      <c r="G1946" s="598">
        <v>312.0</v>
      </c>
      <c r="H1946" s="598">
        <v>594.0</v>
      </c>
      <c r="I1946" s="598">
        <v>63.0</v>
      </c>
      <c r="J1946" s="598">
        <v>1417.0</v>
      </c>
      <c r="K1946" s="1561">
        <v>3771.0</v>
      </c>
      <c r="L1946" s="1551">
        <v>55052.0</v>
      </c>
    </row>
    <row r="1947">
      <c r="A1947" s="1545" t="s">
        <v>1590</v>
      </c>
      <c r="B1947" s="1587">
        <v>22736.0</v>
      </c>
      <c r="C1947" s="1547">
        <v>1176.0</v>
      </c>
      <c r="D1947" s="1548">
        <v>28.1</v>
      </c>
      <c r="E1947" s="1557">
        <v>14232.0</v>
      </c>
      <c r="F1947" s="598">
        <v>6824.0</v>
      </c>
      <c r="G1947" s="598">
        <v>85.0</v>
      </c>
      <c r="H1947" s="598">
        <v>64.0</v>
      </c>
      <c r="I1947" s="598">
        <v>22.0</v>
      </c>
      <c r="J1947" s="598">
        <v>553.0</v>
      </c>
      <c r="K1947" s="1561">
        <v>956.0</v>
      </c>
      <c r="L1947" s="1555">
        <v>45517.0</v>
      </c>
    </row>
    <row r="1948">
      <c r="A1948" s="1545" t="s">
        <v>1591</v>
      </c>
      <c r="B1948" s="1587">
        <v>160610.0</v>
      </c>
      <c r="C1948" s="1547">
        <v>6873.0</v>
      </c>
      <c r="D1948" s="1548">
        <v>20.0</v>
      </c>
      <c r="E1948" s="1557">
        <v>118946.0</v>
      </c>
      <c r="F1948" s="598">
        <v>12835.0</v>
      </c>
      <c r="G1948" s="598">
        <v>1023.0</v>
      </c>
      <c r="H1948" s="598">
        <v>7023.0</v>
      </c>
      <c r="I1948" s="598">
        <v>94.0</v>
      </c>
      <c r="J1948" s="598">
        <v>9488.0</v>
      </c>
      <c r="K1948" s="1561">
        <v>11201.0</v>
      </c>
      <c r="L1948" s="1555">
        <v>53738.0</v>
      </c>
    </row>
    <row r="1949">
      <c r="A1949" s="1545" t="s">
        <v>552</v>
      </c>
      <c r="B1949" s="1587">
        <v>76285.0</v>
      </c>
      <c r="C1949" s="1547">
        <v>2060.0</v>
      </c>
      <c r="D1949" s="1548">
        <v>14.2</v>
      </c>
      <c r="E1949" s="1557">
        <v>54431.0</v>
      </c>
      <c r="F1949" s="598">
        <v>7914.0</v>
      </c>
      <c r="G1949" s="598">
        <v>471.0</v>
      </c>
      <c r="H1949" s="598">
        <v>1627.0</v>
      </c>
      <c r="I1949" s="598">
        <v>37.0</v>
      </c>
      <c r="J1949" s="598">
        <v>6343.0</v>
      </c>
      <c r="K1949" s="1561">
        <v>5462.0</v>
      </c>
      <c r="L1949" s="1551">
        <v>73703.0</v>
      </c>
    </row>
    <row r="1950">
      <c r="A1950" s="1545" t="s">
        <v>101</v>
      </c>
      <c r="B1950" s="1587">
        <v>28774.0</v>
      </c>
      <c r="C1950" s="1547">
        <v>1307.0</v>
      </c>
      <c r="D1950" s="1548">
        <v>27.9</v>
      </c>
      <c r="E1950" s="1557">
        <v>25640.0</v>
      </c>
      <c r="F1950" s="598">
        <v>381.0</v>
      </c>
      <c r="G1950" s="598">
        <v>436.0</v>
      </c>
      <c r="H1950" s="598">
        <v>158.0</v>
      </c>
      <c r="I1950" s="598">
        <v>0.0</v>
      </c>
      <c r="J1950" s="598">
        <v>327.0</v>
      </c>
      <c r="K1950" s="1561">
        <v>1832.0</v>
      </c>
      <c r="L1950" s="1551">
        <v>41262.0</v>
      </c>
    </row>
    <row r="1951">
      <c r="A1951" s="1545" t="s">
        <v>1592</v>
      </c>
      <c r="B1951" s="1587">
        <v>13708.0</v>
      </c>
      <c r="C1951" s="1563">
        <v>839.0</v>
      </c>
      <c r="D1951" s="1548">
        <v>30.2</v>
      </c>
      <c r="E1951" s="1557">
        <v>8351.0</v>
      </c>
      <c r="F1951" s="598">
        <v>4408.0</v>
      </c>
      <c r="G1951" s="598">
        <v>47.0</v>
      </c>
      <c r="H1951" s="598">
        <v>40.0</v>
      </c>
      <c r="I1951" s="598">
        <v>1.0</v>
      </c>
      <c r="J1951" s="598">
        <v>302.0</v>
      </c>
      <c r="K1951" s="1561">
        <v>559.0</v>
      </c>
      <c r="L1951" s="1551">
        <v>42618.0</v>
      </c>
    </row>
    <row r="1952">
      <c r="A1952" s="1545" t="s">
        <v>112</v>
      </c>
      <c r="B1952" s="1587">
        <v>11089.0</v>
      </c>
      <c r="C1952" s="1563">
        <v>454.0</v>
      </c>
      <c r="D1952" s="1548">
        <v>24.2</v>
      </c>
      <c r="E1952" s="1557">
        <v>10150.0</v>
      </c>
      <c r="F1952" s="598">
        <v>65.0</v>
      </c>
      <c r="G1952" s="598">
        <v>44.0</v>
      </c>
      <c r="H1952" s="598">
        <v>40.0</v>
      </c>
      <c r="I1952" s="598">
        <v>9.0</v>
      </c>
      <c r="J1952" s="598">
        <v>177.0</v>
      </c>
      <c r="K1952" s="1561">
        <v>604.0</v>
      </c>
      <c r="L1952" s="1555">
        <v>42878.0</v>
      </c>
    </row>
    <row r="1953">
      <c r="A1953" s="1545" t="s">
        <v>257</v>
      </c>
      <c r="B1953" s="1587">
        <v>99519.0</v>
      </c>
      <c r="C1953" s="1547">
        <v>5974.0</v>
      </c>
      <c r="D1953" s="1548">
        <v>28.4</v>
      </c>
      <c r="E1953" s="1557">
        <v>71076.0</v>
      </c>
      <c r="F1953" s="598">
        <v>20159.0</v>
      </c>
      <c r="G1953" s="598">
        <v>277.0</v>
      </c>
      <c r="H1953" s="598">
        <v>861.0</v>
      </c>
      <c r="I1953" s="598">
        <v>25.0</v>
      </c>
      <c r="J1953" s="598">
        <v>2091.0</v>
      </c>
      <c r="K1953" s="1561">
        <v>5030.0</v>
      </c>
      <c r="L1953" s="1551">
        <v>42728.0</v>
      </c>
    </row>
    <row r="1954">
      <c r="A1954" s="1545" t="s">
        <v>1593</v>
      </c>
      <c r="B1954" s="1587">
        <v>50623.0</v>
      </c>
      <c r="C1954" s="1547">
        <v>4126.0</v>
      </c>
      <c r="D1954" s="1548">
        <v>36.2</v>
      </c>
      <c r="E1954" s="1557">
        <v>30380.0</v>
      </c>
      <c r="F1954" s="598">
        <v>14586.0</v>
      </c>
      <c r="G1954" s="598">
        <v>1732.0</v>
      </c>
      <c r="H1954" s="598">
        <v>161.0</v>
      </c>
      <c r="I1954" s="598">
        <v>14.0</v>
      </c>
      <c r="J1954" s="598">
        <v>1771.0</v>
      </c>
      <c r="K1954" s="1561">
        <v>1979.0</v>
      </c>
      <c r="L1954" s="1555">
        <v>36862.0</v>
      </c>
    </row>
    <row r="1955">
      <c r="A1955" s="1545" t="s">
        <v>1594</v>
      </c>
      <c r="B1955" s="1587">
        <v>100720.0</v>
      </c>
      <c r="C1955" s="1547">
        <v>4754.0</v>
      </c>
      <c r="D1955" s="1548">
        <v>21.8</v>
      </c>
      <c r="E1955" s="1557">
        <v>66703.0</v>
      </c>
      <c r="F1955" s="598">
        <v>20204.0</v>
      </c>
      <c r="G1955" s="598">
        <v>413.0</v>
      </c>
      <c r="H1955" s="598">
        <v>3093.0</v>
      </c>
      <c r="I1955" s="598">
        <v>167.0</v>
      </c>
      <c r="J1955" s="598">
        <v>3003.0</v>
      </c>
      <c r="K1955" s="1561">
        <v>7137.0</v>
      </c>
      <c r="L1955" s="1555">
        <v>50748.0</v>
      </c>
    </row>
    <row r="1956">
      <c r="A1956" s="1545" t="s">
        <v>713</v>
      </c>
      <c r="B1956" s="1587">
        <v>334728.0</v>
      </c>
      <c r="C1956" s="1547">
        <v>19073.0</v>
      </c>
      <c r="D1956" s="1548">
        <v>23.7</v>
      </c>
      <c r="E1956" s="1557">
        <v>141912.0</v>
      </c>
      <c r="F1956" s="598">
        <v>127610.0</v>
      </c>
      <c r="G1956" s="598">
        <v>5556.0</v>
      </c>
      <c r="H1956" s="598">
        <v>9173.0</v>
      </c>
      <c r="I1956" s="598">
        <v>1454.0</v>
      </c>
      <c r="J1956" s="598">
        <v>15833.0</v>
      </c>
      <c r="K1956" s="1561">
        <v>33190.0</v>
      </c>
      <c r="L1956" s="1551">
        <v>46779.0</v>
      </c>
    </row>
    <row r="1957">
      <c r="A1957" s="1545" t="s">
        <v>1595</v>
      </c>
      <c r="B1957" s="1587">
        <v>28100.0</v>
      </c>
      <c r="C1957" s="1563">
        <v>821.0</v>
      </c>
      <c r="D1957" s="1548">
        <v>13.8</v>
      </c>
      <c r="E1957" s="1557">
        <v>23878.0</v>
      </c>
      <c r="F1957" s="598">
        <v>1392.0</v>
      </c>
      <c r="G1957" s="598">
        <v>118.0</v>
      </c>
      <c r="H1957" s="598">
        <v>275.0</v>
      </c>
      <c r="I1957" s="598">
        <v>27.0</v>
      </c>
      <c r="J1957" s="598">
        <v>407.0</v>
      </c>
      <c r="K1957" s="1561">
        <v>2003.0</v>
      </c>
      <c r="L1957" s="1551">
        <v>64426.0</v>
      </c>
    </row>
    <row r="1958">
      <c r="A1958" s="1545" t="s">
        <v>1596</v>
      </c>
      <c r="B1958" s="1587">
        <v>36915.0</v>
      </c>
      <c r="C1958" s="1563">
        <v>921.0</v>
      </c>
      <c r="D1958" s="1548">
        <v>13.6</v>
      </c>
      <c r="E1958" s="1557">
        <v>32429.0</v>
      </c>
      <c r="F1958" s="598">
        <v>703.0</v>
      </c>
      <c r="G1958" s="598">
        <v>181.0</v>
      </c>
      <c r="H1958" s="598">
        <v>265.0</v>
      </c>
      <c r="I1958" s="598">
        <v>10.0</v>
      </c>
      <c r="J1958" s="598">
        <v>1166.0</v>
      </c>
      <c r="K1958" s="1561">
        <v>2161.0</v>
      </c>
      <c r="L1958" s="1555">
        <v>64768.0</v>
      </c>
    </row>
    <row r="1959">
      <c r="A1959" s="1545" t="s">
        <v>570</v>
      </c>
      <c r="B1959" s="1587">
        <v>168930.0</v>
      </c>
      <c r="C1959" s="1547">
        <v>8318.0</v>
      </c>
      <c r="D1959" s="1548">
        <v>23.2</v>
      </c>
      <c r="E1959" s="1557">
        <v>131922.0</v>
      </c>
      <c r="F1959" s="598">
        <v>16065.0</v>
      </c>
      <c r="G1959" s="598">
        <v>1018.0</v>
      </c>
      <c r="H1959" s="598">
        <v>2468.0</v>
      </c>
      <c r="I1959" s="598">
        <v>50.0</v>
      </c>
      <c r="J1959" s="598">
        <v>7791.0</v>
      </c>
      <c r="K1959" s="1561">
        <v>9616.0</v>
      </c>
      <c r="L1959" s="1551">
        <v>47758.0</v>
      </c>
    </row>
    <row r="1960">
      <c r="A1960" s="1545" t="s">
        <v>1597</v>
      </c>
      <c r="B1960" s="1587">
        <v>42712.0</v>
      </c>
      <c r="C1960" s="1547">
        <v>1377.0</v>
      </c>
      <c r="D1960" s="1548">
        <v>15.5</v>
      </c>
      <c r="E1960" s="1557">
        <v>35340.0</v>
      </c>
      <c r="F1960" s="598">
        <v>2428.0</v>
      </c>
      <c r="G1960" s="598">
        <v>207.0</v>
      </c>
      <c r="H1960" s="598">
        <v>280.0</v>
      </c>
      <c r="I1960" s="598">
        <v>7.0</v>
      </c>
      <c r="J1960" s="598">
        <v>1913.0</v>
      </c>
      <c r="K1960" s="1561">
        <v>2537.0</v>
      </c>
      <c r="L1960" s="1551">
        <v>60801.0</v>
      </c>
    </row>
    <row r="1961">
      <c r="A1961" s="1545" t="s">
        <v>1598</v>
      </c>
      <c r="B1961" s="1587">
        <v>48715.0</v>
      </c>
      <c r="C1961" s="1547">
        <v>4198.0</v>
      </c>
      <c r="D1961" s="1548">
        <v>30.7</v>
      </c>
      <c r="E1961" s="1557">
        <v>26084.0</v>
      </c>
      <c r="F1961" s="598">
        <v>11604.0</v>
      </c>
      <c r="G1961" s="598">
        <v>488.0</v>
      </c>
      <c r="H1961" s="598">
        <v>173.0</v>
      </c>
      <c r="I1961" s="598">
        <v>14.0</v>
      </c>
      <c r="J1961" s="598">
        <v>7210.0</v>
      </c>
      <c r="K1961" s="1561">
        <v>3142.0</v>
      </c>
      <c r="L1961" s="1555">
        <v>42725.0</v>
      </c>
    </row>
    <row r="1962">
      <c r="A1962" s="1545" t="s">
        <v>1599</v>
      </c>
      <c r="B1962" s="1587">
        <v>324833.0</v>
      </c>
      <c r="C1962" s="1547">
        <v>12484.0</v>
      </c>
      <c r="D1962" s="1548">
        <v>19.3</v>
      </c>
      <c r="E1962" s="1557">
        <v>139231.0</v>
      </c>
      <c r="F1962" s="598">
        <v>110610.0</v>
      </c>
      <c r="G1962" s="598">
        <v>2285.0</v>
      </c>
      <c r="H1962" s="598">
        <v>16817.0</v>
      </c>
      <c r="I1962" s="598">
        <v>131.0</v>
      </c>
      <c r="J1962" s="598">
        <v>32046.0</v>
      </c>
      <c r="K1962" s="1561">
        <v>23713.0</v>
      </c>
      <c r="L1962" s="1551">
        <v>59329.0</v>
      </c>
    </row>
    <row r="1963">
      <c r="A1963" s="1545" t="s">
        <v>1600</v>
      </c>
      <c r="B1963" s="1587">
        <v>48900.0</v>
      </c>
      <c r="C1963" s="1547">
        <v>4237.0</v>
      </c>
      <c r="D1963" s="1548">
        <v>37.0</v>
      </c>
      <c r="E1963" s="1557">
        <v>17631.0</v>
      </c>
      <c r="F1963" s="598">
        <v>27429.0</v>
      </c>
      <c r="G1963" s="598">
        <v>194.0</v>
      </c>
      <c r="H1963" s="598">
        <v>113.0</v>
      </c>
      <c r="I1963" s="598">
        <v>12.0</v>
      </c>
      <c r="J1963" s="598">
        <v>1867.0</v>
      </c>
      <c r="K1963" s="1561">
        <v>1654.0</v>
      </c>
      <c r="L1963" s="1555">
        <v>38818.0</v>
      </c>
    </row>
    <row r="1964">
      <c r="A1964" s="1545" t="s">
        <v>576</v>
      </c>
      <c r="B1964" s="1587">
        <v>382590.0</v>
      </c>
      <c r="C1964" s="1547">
        <v>21426.0</v>
      </c>
      <c r="D1964" s="1548">
        <v>25.1</v>
      </c>
      <c r="E1964" s="1557">
        <v>214877.0</v>
      </c>
      <c r="F1964" s="598">
        <v>95324.0</v>
      </c>
      <c r="G1964" s="598">
        <v>2528.0</v>
      </c>
      <c r="H1964" s="598">
        <v>9280.0</v>
      </c>
      <c r="I1964" s="598">
        <v>285.0</v>
      </c>
      <c r="J1964" s="598">
        <v>32196.0</v>
      </c>
      <c r="K1964" s="1561">
        <v>28100.0</v>
      </c>
      <c r="L1964" s="1555">
        <v>50112.0</v>
      </c>
    </row>
    <row r="1965">
      <c r="A1965" s="1545" t="s">
        <v>136</v>
      </c>
      <c r="B1965" s="1587">
        <v>68573.0</v>
      </c>
      <c r="C1965" s="1547">
        <v>2906.0</v>
      </c>
      <c r="D1965" s="1548">
        <v>20.0</v>
      </c>
      <c r="E1965" s="1557">
        <v>43473.0</v>
      </c>
      <c r="F1965" s="598">
        <v>15990.0</v>
      </c>
      <c r="G1965" s="598">
        <v>491.0</v>
      </c>
      <c r="H1965" s="598">
        <v>465.0</v>
      </c>
      <c r="I1965" s="598">
        <v>24.0</v>
      </c>
      <c r="J1965" s="598">
        <v>4131.0</v>
      </c>
      <c r="K1965" s="1561">
        <v>3999.0</v>
      </c>
      <c r="L1965" s="1555">
        <v>57710.0</v>
      </c>
    </row>
    <row r="1966">
      <c r="A1966" s="1545" t="s">
        <v>1601</v>
      </c>
      <c r="B1966" s="1587">
        <v>227943.0</v>
      </c>
      <c r="C1966" s="1547">
        <v>9423.0</v>
      </c>
      <c r="D1966" s="1548">
        <v>19.2</v>
      </c>
      <c r="E1966" s="1557">
        <v>156794.0</v>
      </c>
      <c r="F1966" s="598">
        <v>40323.0</v>
      </c>
      <c r="G1966" s="598">
        <v>1082.0</v>
      </c>
      <c r="H1966" s="598">
        <v>3543.0</v>
      </c>
      <c r="I1966" s="598">
        <v>74.0</v>
      </c>
      <c r="J1966" s="598">
        <v>11018.0</v>
      </c>
      <c r="K1966" s="1561">
        <v>15109.0</v>
      </c>
      <c r="L1966" s="1551">
        <v>52798.0</v>
      </c>
    </row>
    <row r="1967">
      <c r="A1967" s="1545" t="s">
        <v>1602</v>
      </c>
      <c r="B1967" s="1587">
        <v>10478.0</v>
      </c>
      <c r="C1967" s="1563">
        <v>486.0</v>
      </c>
      <c r="D1967" s="1548">
        <v>21.1</v>
      </c>
      <c r="E1967" s="1557">
        <v>6762.0</v>
      </c>
      <c r="F1967" s="598">
        <v>3023.0</v>
      </c>
      <c r="G1967" s="598">
        <v>71.0</v>
      </c>
      <c r="H1967" s="598">
        <v>25.0</v>
      </c>
      <c r="I1967" s="598">
        <v>12.0</v>
      </c>
      <c r="J1967" s="598">
        <v>87.0</v>
      </c>
      <c r="K1967" s="1561">
        <v>498.0</v>
      </c>
      <c r="L1967" s="1551">
        <v>51746.0</v>
      </c>
    </row>
    <row r="1968">
      <c r="A1968" s="1545" t="s">
        <v>224</v>
      </c>
      <c r="B1968" s="1587">
        <v>8030.0</v>
      </c>
      <c r="C1968" s="1563">
        <v>431.0</v>
      </c>
      <c r="D1968" s="1548">
        <v>26.3</v>
      </c>
      <c r="E1968" s="1557">
        <v>6913.0</v>
      </c>
      <c r="F1968" s="598">
        <v>50.0</v>
      </c>
      <c r="G1968" s="598">
        <v>590.0</v>
      </c>
      <c r="H1968" s="598">
        <v>22.0</v>
      </c>
      <c r="I1968" s="598">
        <v>5.0</v>
      </c>
      <c r="J1968" s="598">
        <v>97.0</v>
      </c>
      <c r="K1968" s="1561">
        <v>353.0</v>
      </c>
      <c r="L1968" s="1551">
        <v>39502.0</v>
      </c>
    </row>
    <row r="1969">
      <c r="A1969" s="1545" t="s">
        <v>1603</v>
      </c>
      <c r="B1969" s="1587">
        <v>60992.0</v>
      </c>
      <c r="C1969" s="1547">
        <v>2287.0</v>
      </c>
      <c r="D1969" s="1548">
        <v>19.1</v>
      </c>
      <c r="E1969" s="1557">
        <v>34579.0</v>
      </c>
      <c r="F1969" s="598">
        <v>18435.0</v>
      </c>
      <c r="G1969" s="598">
        <v>370.0</v>
      </c>
      <c r="H1969" s="598">
        <v>370.0</v>
      </c>
      <c r="I1969" s="598">
        <v>36.0</v>
      </c>
      <c r="J1969" s="598">
        <v>3926.0</v>
      </c>
      <c r="K1969" s="1561">
        <v>3276.0</v>
      </c>
      <c r="L1969" s="1551">
        <v>58956.0</v>
      </c>
    </row>
    <row r="1970">
      <c r="A1970" s="1545" t="s">
        <v>138</v>
      </c>
      <c r="B1970" s="1587">
        <v>20451.0</v>
      </c>
      <c r="C1970" s="1547">
        <v>1419.0</v>
      </c>
      <c r="D1970" s="1548">
        <v>34.3</v>
      </c>
      <c r="E1970" s="1557">
        <v>9992.0</v>
      </c>
      <c r="F1970" s="598">
        <v>7250.0</v>
      </c>
      <c r="G1970" s="598">
        <v>185.0</v>
      </c>
      <c r="H1970" s="598">
        <v>37.0</v>
      </c>
      <c r="I1970" s="598">
        <v>12.0</v>
      </c>
      <c r="J1970" s="598">
        <v>2095.0</v>
      </c>
      <c r="K1970" s="1561">
        <v>880.0</v>
      </c>
      <c r="L1970" s="1555">
        <v>43591.0</v>
      </c>
    </row>
    <row r="1971">
      <c r="A1971" s="1545" t="s">
        <v>1604</v>
      </c>
      <c r="B1971" s="1587">
        <v>541299.0</v>
      </c>
      <c r="C1971" s="1547">
        <v>27022.0</v>
      </c>
      <c r="D1971" s="1548">
        <v>23.1</v>
      </c>
      <c r="E1971" s="1557">
        <v>263428.0</v>
      </c>
      <c r="F1971" s="598">
        <v>181848.0</v>
      </c>
      <c r="G1971" s="598">
        <v>3183.0</v>
      </c>
      <c r="H1971" s="598">
        <v>28922.0</v>
      </c>
      <c r="I1971" s="598">
        <v>265.0</v>
      </c>
      <c r="J1971" s="598">
        <v>28722.0</v>
      </c>
      <c r="K1971" s="1561">
        <v>34931.0</v>
      </c>
      <c r="L1971" s="1551">
        <v>52166.0</v>
      </c>
    </row>
    <row r="1972">
      <c r="A1972" s="1545" t="s">
        <v>1605</v>
      </c>
      <c r="B1972" s="1587">
        <v>48622.0</v>
      </c>
      <c r="C1972" s="1547">
        <v>3583.0</v>
      </c>
      <c r="D1972" s="1548">
        <v>33.6</v>
      </c>
      <c r="E1972" s="1557">
        <v>19304.0</v>
      </c>
      <c r="F1972" s="598">
        <v>24846.0</v>
      </c>
      <c r="G1972" s="598">
        <v>1667.0</v>
      </c>
      <c r="H1972" s="598">
        <v>284.0</v>
      </c>
      <c r="I1972" s="598">
        <v>11.0</v>
      </c>
      <c r="J1972" s="598">
        <v>856.0</v>
      </c>
      <c r="K1972" s="1561">
        <v>1654.0</v>
      </c>
      <c r="L1972" s="1555">
        <v>36760.0</v>
      </c>
    </row>
    <row r="1973">
      <c r="A1973" s="1545" t="s">
        <v>1606</v>
      </c>
      <c r="B1973" s="1587">
        <v>133568.0</v>
      </c>
      <c r="C1973" s="1547">
        <v>6760.0</v>
      </c>
      <c r="D1973" s="1548">
        <v>19.7</v>
      </c>
      <c r="E1973" s="1557">
        <v>81867.0</v>
      </c>
      <c r="F1973" s="598">
        <v>27417.0</v>
      </c>
      <c r="G1973" s="598">
        <v>1423.0</v>
      </c>
      <c r="H1973" s="598">
        <v>1494.0</v>
      </c>
      <c r="I1973" s="598">
        <v>274.0</v>
      </c>
      <c r="J1973" s="598">
        <v>9481.0</v>
      </c>
      <c r="K1973" s="1561">
        <v>11612.0</v>
      </c>
      <c r="L1973" s="1551">
        <v>51225.0</v>
      </c>
    </row>
    <row r="1974">
      <c r="A1974" s="1545" t="s">
        <v>1607</v>
      </c>
      <c r="B1974" s="1587">
        <v>62089.0</v>
      </c>
      <c r="C1974" s="1547">
        <v>2415.0</v>
      </c>
      <c r="D1974" s="1548">
        <v>21.8</v>
      </c>
      <c r="E1974" s="1557">
        <v>56440.0</v>
      </c>
      <c r="F1974" s="598">
        <v>663.0</v>
      </c>
      <c r="G1974" s="598">
        <v>363.0</v>
      </c>
      <c r="H1974" s="598">
        <v>370.0</v>
      </c>
      <c r="I1974" s="598">
        <v>1.0</v>
      </c>
      <c r="J1974" s="598">
        <v>1230.0</v>
      </c>
      <c r="K1974" s="1561">
        <v>3022.0</v>
      </c>
      <c r="L1974" s="1555">
        <v>47183.0</v>
      </c>
    </row>
    <row r="1975">
      <c r="A1975" s="1545" t="s">
        <v>722</v>
      </c>
      <c r="B1975" s="1587">
        <v>116281.0</v>
      </c>
      <c r="C1975" s="1547">
        <v>3354.0</v>
      </c>
      <c r="D1975" s="1548">
        <v>15.5</v>
      </c>
      <c r="E1975" s="1557">
        <v>94151.0</v>
      </c>
      <c r="F1975" s="598">
        <v>3388.0</v>
      </c>
      <c r="G1975" s="598">
        <v>565.0</v>
      </c>
      <c r="H1975" s="598">
        <v>1347.0</v>
      </c>
      <c r="I1975" s="598">
        <v>629.0</v>
      </c>
      <c r="J1975" s="598">
        <v>8394.0</v>
      </c>
      <c r="K1975" s="1561">
        <v>7807.0</v>
      </c>
      <c r="L1975" s="1551">
        <v>54012.0</v>
      </c>
    </row>
    <row r="1976">
      <c r="A1976" s="1545" t="s">
        <v>1608</v>
      </c>
      <c r="B1976" s="1587">
        <v>21552.0</v>
      </c>
      <c r="C1976" s="1547">
        <v>1392.0</v>
      </c>
      <c r="D1976" s="1548">
        <v>31.7</v>
      </c>
      <c r="E1976" s="1557">
        <v>7622.0</v>
      </c>
      <c r="F1976" s="598">
        <v>12393.0</v>
      </c>
      <c r="G1976" s="598">
        <v>206.0</v>
      </c>
      <c r="H1976" s="598">
        <v>123.0</v>
      </c>
      <c r="I1976" s="598">
        <v>3.0</v>
      </c>
      <c r="J1976" s="598">
        <v>466.0</v>
      </c>
      <c r="K1976" s="1561">
        <v>739.0</v>
      </c>
      <c r="L1976" s="1551">
        <v>38216.0</v>
      </c>
    </row>
    <row r="1977">
      <c r="A1977" s="1545" t="s">
        <v>1609</v>
      </c>
      <c r="B1977" s="1587">
        <v>52082.0</v>
      </c>
      <c r="C1977" s="1547">
        <v>3740.0</v>
      </c>
      <c r="D1977" s="1548">
        <v>25.6</v>
      </c>
      <c r="E1977" s="1557">
        <v>21031.0</v>
      </c>
      <c r="F1977" s="598">
        <v>16766.0</v>
      </c>
      <c r="G1977" s="598">
        <v>4063.0</v>
      </c>
      <c r="H1977" s="598">
        <v>750.0</v>
      </c>
      <c r="I1977" s="598">
        <v>213.0</v>
      </c>
      <c r="J1977" s="598">
        <v>3730.0</v>
      </c>
      <c r="K1977" s="1561">
        <v>5529.0</v>
      </c>
      <c r="L1977" s="1551">
        <v>47892.0</v>
      </c>
    </row>
    <row r="1978">
      <c r="A1978" s="1545" t="s">
        <v>1610</v>
      </c>
      <c r="B1978" s="1587">
        <v>4589.0</v>
      </c>
      <c r="C1978" s="1563">
        <v>274.0</v>
      </c>
      <c r="D1978" s="1548">
        <v>31.9</v>
      </c>
      <c r="E1978" s="1557">
        <v>2956.0</v>
      </c>
      <c r="F1978" s="598">
        <v>1169.0</v>
      </c>
      <c r="G1978" s="598">
        <v>10.0</v>
      </c>
      <c r="H1978" s="598">
        <v>7.0</v>
      </c>
      <c r="I1978" s="598">
        <v>2.0</v>
      </c>
      <c r="J1978" s="598">
        <v>216.0</v>
      </c>
      <c r="K1978" s="1561">
        <v>229.0</v>
      </c>
      <c r="L1978" s="1555">
        <v>40653.0</v>
      </c>
    </row>
    <row r="1979">
      <c r="A1979" s="1545" t="s">
        <v>1611</v>
      </c>
      <c r="B1979" s="1587">
        <v>186693.0</v>
      </c>
      <c r="C1979" s="1547">
        <v>5497.0</v>
      </c>
      <c r="D1979" s="1548">
        <v>13.6</v>
      </c>
      <c r="E1979" s="1557">
        <v>139369.0</v>
      </c>
      <c r="F1979" s="598">
        <v>21678.0</v>
      </c>
      <c r="G1979" s="598">
        <v>711.0</v>
      </c>
      <c r="H1979" s="598">
        <v>4785.0</v>
      </c>
      <c r="I1979" s="598">
        <v>82.0</v>
      </c>
      <c r="J1979" s="598">
        <v>7612.0</v>
      </c>
      <c r="K1979" s="1561">
        <v>12456.0</v>
      </c>
      <c r="L1979" s="1551">
        <v>60044.0</v>
      </c>
    </row>
    <row r="1980">
      <c r="A1980" s="1545" t="s">
        <v>142</v>
      </c>
      <c r="B1980" s="1587">
        <v>43109.0</v>
      </c>
      <c r="C1980" s="1547">
        <v>1508.0</v>
      </c>
      <c r="D1980" s="1548">
        <v>21.4</v>
      </c>
      <c r="E1980" s="1557">
        <v>33426.0</v>
      </c>
      <c r="F1980" s="598">
        <v>856.0</v>
      </c>
      <c r="G1980" s="598">
        <v>4098.0</v>
      </c>
      <c r="H1980" s="598">
        <v>512.0</v>
      </c>
      <c r="I1980" s="598">
        <v>10.0</v>
      </c>
      <c r="J1980" s="598">
        <v>1663.0</v>
      </c>
      <c r="K1980" s="1561">
        <v>2544.0</v>
      </c>
      <c r="L1980" s="1555">
        <v>44502.0</v>
      </c>
    </row>
    <row r="1981">
      <c r="A1981" s="1545" t="s">
        <v>1612</v>
      </c>
      <c r="B1981" s="1587">
        <v>215999.0</v>
      </c>
      <c r="C1981" s="1547">
        <v>8516.0</v>
      </c>
      <c r="D1981" s="1548">
        <v>16.7</v>
      </c>
      <c r="E1981" s="1557">
        <v>142425.0</v>
      </c>
      <c r="F1981" s="598">
        <v>33730.0</v>
      </c>
      <c r="G1981" s="598">
        <v>1767.0</v>
      </c>
      <c r="H1981" s="598">
        <v>1886.0</v>
      </c>
      <c r="I1981" s="598">
        <v>103.0</v>
      </c>
      <c r="J1981" s="598">
        <v>18150.0</v>
      </c>
      <c r="K1981" s="1561">
        <v>17938.0</v>
      </c>
      <c r="L1981" s="1551">
        <v>60296.0</v>
      </c>
    </row>
    <row r="1982">
      <c r="A1982" s="1545" t="s">
        <v>598</v>
      </c>
      <c r="B1982" s="1587">
        <v>9172.0</v>
      </c>
      <c r="C1982" s="1563">
        <v>503.0</v>
      </c>
      <c r="D1982" s="1548">
        <v>28.9</v>
      </c>
      <c r="E1982" s="1557">
        <v>5867.0</v>
      </c>
      <c r="F1982" s="598">
        <v>2579.0</v>
      </c>
      <c r="G1982" s="598">
        <v>61.0</v>
      </c>
      <c r="H1982" s="598">
        <v>34.0</v>
      </c>
      <c r="I1982" s="598">
        <v>5.0</v>
      </c>
      <c r="J1982" s="598">
        <v>208.0</v>
      </c>
      <c r="K1982" s="1561">
        <v>418.0</v>
      </c>
      <c r="L1982" s="1551">
        <v>43302.0</v>
      </c>
    </row>
    <row r="1983">
      <c r="A1983" s="1545" t="s">
        <v>147</v>
      </c>
      <c r="B1983" s="1587">
        <v>63285.0</v>
      </c>
      <c r="C1983" s="1547">
        <v>3252.0</v>
      </c>
      <c r="D1983" s="1548">
        <v>22.5</v>
      </c>
      <c r="E1983" s="1557">
        <v>38413.0</v>
      </c>
      <c r="F1983" s="598">
        <v>10885.0</v>
      </c>
      <c r="G1983" s="598">
        <v>533.0</v>
      </c>
      <c r="H1983" s="598">
        <v>663.0</v>
      </c>
      <c r="I1983" s="598">
        <v>49.0</v>
      </c>
      <c r="J1983" s="598">
        <v>7418.0</v>
      </c>
      <c r="K1983" s="1561">
        <v>5324.0</v>
      </c>
      <c r="L1983" s="1551">
        <v>48984.0</v>
      </c>
    </row>
    <row r="1984">
      <c r="A1984" s="1545" t="s">
        <v>1613</v>
      </c>
      <c r="B1984" s="1587">
        <v>55122.0</v>
      </c>
      <c r="C1984" s="1547">
        <v>4631.0</v>
      </c>
      <c r="D1984" s="1548">
        <v>37.7</v>
      </c>
      <c r="E1984" s="1557">
        <v>27113.0</v>
      </c>
      <c r="F1984" s="598">
        <v>22195.0</v>
      </c>
      <c r="G1984" s="598">
        <v>182.0</v>
      </c>
      <c r="H1984" s="598">
        <v>336.0</v>
      </c>
      <c r="I1984" s="598">
        <v>31.0</v>
      </c>
      <c r="J1984" s="598">
        <v>2675.0</v>
      </c>
      <c r="K1984" s="1561">
        <v>2590.0</v>
      </c>
      <c r="L1984" s="1555">
        <v>40433.0</v>
      </c>
    </row>
    <row r="1985">
      <c r="A1985" s="1545" t="s">
        <v>290</v>
      </c>
      <c r="B1985" s="1587">
        <v>86810.0</v>
      </c>
      <c r="C1985" s="1547">
        <v>2516.0</v>
      </c>
      <c r="D1985" s="1548">
        <v>14.6</v>
      </c>
      <c r="E1985" s="1557">
        <v>72716.0</v>
      </c>
      <c r="F1985" s="598">
        <v>4482.0</v>
      </c>
      <c r="G1985" s="598">
        <v>328.0</v>
      </c>
      <c r="H1985" s="598">
        <v>711.0</v>
      </c>
      <c r="I1985" s="598">
        <v>33.0</v>
      </c>
      <c r="J1985" s="598">
        <v>3004.0</v>
      </c>
      <c r="K1985" s="1561">
        <v>5536.0</v>
      </c>
      <c r="L1985" s="1551">
        <v>62963.0</v>
      </c>
    </row>
    <row r="1986">
      <c r="A1986" s="1545" t="s">
        <v>1614</v>
      </c>
      <c r="B1986" s="1587">
        <v>44578.0</v>
      </c>
      <c r="C1986" s="1547">
        <v>1914.0</v>
      </c>
      <c r="D1986" s="1548">
        <v>21.4</v>
      </c>
      <c r="E1986" s="1557">
        <v>38356.0</v>
      </c>
      <c r="F1986" s="598">
        <v>1732.0</v>
      </c>
      <c r="G1986" s="598">
        <v>216.0</v>
      </c>
      <c r="H1986" s="598">
        <v>388.0</v>
      </c>
      <c r="I1986" s="598">
        <v>0.0</v>
      </c>
      <c r="J1986" s="598">
        <v>1777.0</v>
      </c>
      <c r="K1986" s="1561">
        <v>2109.0</v>
      </c>
      <c r="L1986" s="1551">
        <v>43972.0</v>
      </c>
    </row>
    <row r="1987">
      <c r="A1987" s="1545" t="s">
        <v>150</v>
      </c>
      <c r="B1987" s="1587">
        <v>37014.0</v>
      </c>
      <c r="C1987" s="1547">
        <v>1679.0</v>
      </c>
      <c r="D1987" s="1548">
        <v>26.1</v>
      </c>
      <c r="E1987" s="1557">
        <v>32099.0</v>
      </c>
      <c r="F1987" s="598">
        <v>257.0</v>
      </c>
      <c r="G1987" s="598">
        <v>279.0</v>
      </c>
      <c r="H1987" s="598">
        <v>265.0</v>
      </c>
      <c r="I1987" s="598">
        <v>8.0</v>
      </c>
      <c r="J1987" s="598">
        <v>1770.0</v>
      </c>
      <c r="K1987" s="1561">
        <v>2336.0</v>
      </c>
      <c r="L1987" s="1551">
        <v>46426.0</v>
      </c>
    </row>
    <row r="1988">
      <c r="A1988" s="1545" t="s">
        <v>151</v>
      </c>
      <c r="B1988" s="1587">
        <v>21193.0</v>
      </c>
      <c r="C1988" s="1563">
        <v>877.0</v>
      </c>
      <c r="D1988" s="1548">
        <v>23.0</v>
      </c>
      <c r="E1988" s="1557">
        <v>19373.0</v>
      </c>
      <c r="F1988" s="598">
        <v>215.0</v>
      </c>
      <c r="G1988" s="598">
        <v>71.0</v>
      </c>
      <c r="H1988" s="598">
        <v>87.0</v>
      </c>
      <c r="I1988" s="598">
        <v>3.0</v>
      </c>
      <c r="J1988" s="598">
        <v>325.0</v>
      </c>
      <c r="K1988" s="1561">
        <v>1119.0</v>
      </c>
      <c r="L1988" s="1551">
        <v>44693.0</v>
      </c>
    </row>
    <row r="1989">
      <c r="A1989" s="1545" t="s">
        <v>510</v>
      </c>
      <c r="B1989" s="1587">
        <v>22031.0</v>
      </c>
      <c r="C1989" s="1547">
        <v>1380.0</v>
      </c>
      <c r="D1989" s="1548">
        <v>30.6</v>
      </c>
      <c r="E1989" s="1557">
        <v>11624.0</v>
      </c>
      <c r="F1989" s="598">
        <v>8922.0</v>
      </c>
      <c r="G1989" s="598">
        <v>82.0</v>
      </c>
      <c r="H1989" s="598">
        <v>99.0</v>
      </c>
      <c r="I1989" s="598">
        <v>3.0</v>
      </c>
      <c r="J1989" s="598">
        <v>570.0</v>
      </c>
      <c r="K1989" s="1561">
        <v>731.0</v>
      </c>
      <c r="L1989" s="1555">
        <v>43569.0</v>
      </c>
    </row>
    <row r="1990">
      <c r="A1990" s="1545" t="s">
        <v>381</v>
      </c>
      <c r="B1990" s="1587">
        <v>1115482.0</v>
      </c>
      <c r="C1990" s="1547">
        <v>44260.0</v>
      </c>
      <c r="D1990" s="1548">
        <v>17.5</v>
      </c>
      <c r="E1990" s="1557">
        <v>520567.0</v>
      </c>
      <c r="F1990" s="598">
        <v>330458.0</v>
      </c>
      <c r="G1990" s="598">
        <v>6700.0</v>
      </c>
      <c r="H1990" s="598">
        <v>72035.0</v>
      </c>
      <c r="I1990" s="598">
        <v>651.0</v>
      </c>
      <c r="J1990" s="598">
        <v>97581.0</v>
      </c>
      <c r="K1990" s="1561">
        <v>87490.0</v>
      </c>
      <c r="L1990" s="1551">
        <v>64509.0</v>
      </c>
    </row>
    <row r="1991">
      <c r="A1991" s="1545" t="s">
        <v>610</v>
      </c>
      <c r="B1991" s="1587">
        <v>14903.0</v>
      </c>
      <c r="C1991" s="1563">
        <v>647.0</v>
      </c>
      <c r="D1991" s="1548">
        <v>23.9</v>
      </c>
      <c r="E1991" s="1557">
        <v>13663.0</v>
      </c>
      <c r="F1991" s="598">
        <v>53.0</v>
      </c>
      <c r="G1991" s="598">
        <v>30.0</v>
      </c>
      <c r="H1991" s="598">
        <v>54.0</v>
      </c>
      <c r="I1991" s="598">
        <v>1.0</v>
      </c>
      <c r="J1991" s="598">
        <v>357.0</v>
      </c>
      <c r="K1991" s="1561">
        <v>745.0</v>
      </c>
      <c r="L1991" s="1551">
        <v>43967.0</v>
      </c>
    </row>
    <row r="1992">
      <c r="A1992" s="1545" t="s">
        <v>157</v>
      </c>
      <c r="B1992" s="1587">
        <v>25751.0</v>
      </c>
      <c r="C1992" s="1547">
        <v>1524.0</v>
      </c>
      <c r="D1992" s="1548">
        <v>26.1</v>
      </c>
      <c r="E1992" s="1557">
        <v>16917.0</v>
      </c>
      <c r="F1992" s="598">
        <v>4226.0</v>
      </c>
      <c r="G1992" s="598">
        <v>139.0</v>
      </c>
      <c r="H1992" s="598">
        <v>393.0</v>
      </c>
      <c r="I1992" s="598">
        <v>9.0</v>
      </c>
      <c r="J1992" s="598">
        <v>2746.0</v>
      </c>
      <c r="K1992" s="1561">
        <v>1321.0</v>
      </c>
      <c r="L1992" s="1555">
        <v>47757.0</v>
      </c>
    </row>
    <row r="1993">
      <c r="A1993" s="1545" t="s">
        <v>1615</v>
      </c>
      <c r="B1993" s="1587">
        <v>99727.0</v>
      </c>
      <c r="C1993" s="1547">
        <v>3076.0</v>
      </c>
      <c r="D1993" s="1548">
        <v>14.9</v>
      </c>
      <c r="E1993" s="1557">
        <v>77010.0</v>
      </c>
      <c r="F1993" s="598">
        <v>10671.0</v>
      </c>
      <c r="G1993" s="598">
        <v>825.0</v>
      </c>
      <c r="H1993" s="598">
        <v>1264.0</v>
      </c>
      <c r="I1993" s="598">
        <v>60.0</v>
      </c>
      <c r="J1993" s="598">
        <v>3341.0</v>
      </c>
      <c r="K1993" s="1561">
        <v>6556.0</v>
      </c>
      <c r="L1993" s="1555">
        <v>59471.0</v>
      </c>
    </row>
    <row r="1994">
      <c r="A1994" s="1545" t="s">
        <v>1616</v>
      </c>
      <c r="B1994" s="1587">
        <v>94970.0</v>
      </c>
      <c r="C1994" s="1547">
        <v>4620.0</v>
      </c>
      <c r="D1994" s="1548">
        <v>22.8</v>
      </c>
      <c r="E1994" s="1557">
        <v>47378.0</v>
      </c>
      <c r="F1994" s="598">
        <v>36958.0</v>
      </c>
      <c r="G1994" s="598">
        <v>739.0</v>
      </c>
      <c r="H1994" s="598">
        <v>915.0</v>
      </c>
      <c r="I1994" s="598">
        <v>42.0</v>
      </c>
      <c r="J1994" s="598">
        <v>4675.0</v>
      </c>
      <c r="K1994" s="1561">
        <v>4263.0</v>
      </c>
      <c r="L1994" s="1555">
        <v>50122.0</v>
      </c>
    </row>
    <row r="1995">
      <c r="A1995" s="1545" t="s">
        <v>1617</v>
      </c>
      <c r="B1995" s="1587">
        <v>225702.0</v>
      </c>
      <c r="C1995" s="1547">
        <v>8116.0</v>
      </c>
      <c r="D1995" s="1548">
        <v>19.3</v>
      </c>
      <c r="E1995" s="1557">
        <v>170837.0</v>
      </c>
      <c r="F1995" s="598">
        <v>27386.0</v>
      </c>
      <c r="G1995" s="598">
        <v>1038.0</v>
      </c>
      <c r="H1995" s="598">
        <v>3515.0</v>
      </c>
      <c r="I1995" s="598">
        <v>154.0</v>
      </c>
      <c r="J1995" s="598">
        <v>8128.0</v>
      </c>
      <c r="K1995" s="1561">
        <v>14644.0</v>
      </c>
      <c r="L1995" s="1551">
        <v>53419.0</v>
      </c>
    </row>
    <row r="1996">
      <c r="A1996" s="1545" t="s">
        <v>1618</v>
      </c>
      <c r="B1996" s="1587">
        <v>17471.0</v>
      </c>
      <c r="C1996" s="1547">
        <v>1156.0</v>
      </c>
      <c r="D1996" s="1548">
        <v>34.3</v>
      </c>
      <c r="E1996" s="1557">
        <v>6915.0</v>
      </c>
      <c r="F1996" s="598">
        <v>9689.0</v>
      </c>
      <c r="G1996" s="598">
        <v>48.0</v>
      </c>
      <c r="H1996" s="598">
        <v>27.0</v>
      </c>
      <c r="I1996" s="598">
        <v>4.0</v>
      </c>
      <c r="J1996" s="598">
        <v>214.0</v>
      </c>
      <c r="K1996" s="1561">
        <v>574.0</v>
      </c>
      <c r="L1996" s="1555">
        <v>37233.0</v>
      </c>
    </row>
    <row r="1997">
      <c r="A1997" s="1545" t="s">
        <v>1619</v>
      </c>
      <c r="B1997" s="1587">
        <v>204576.0</v>
      </c>
      <c r="C1997" s="1547">
        <v>9888.0</v>
      </c>
      <c r="D1997" s="1548">
        <v>20.8</v>
      </c>
      <c r="E1997" s="1557">
        <v>137072.0</v>
      </c>
      <c r="F1997" s="598">
        <v>28026.0</v>
      </c>
      <c r="G1997" s="598">
        <v>1460.0</v>
      </c>
      <c r="H1997" s="598">
        <v>4729.0</v>
      </c>
      <c r="I1997" s="598">
        <v>825.0</v>
      </c>
      <c r="J1997" s="598">
        <v>10196.0</v>
      </c>
      <c r="K1997" s="1561">
        <v>22268.0</v>
      </c>
      <c r="L1997" s="1555">
        <v>50531.0</v>
      </c>
    </row>
    <row r="1998">
      <c r="A1998" s="1545" t="s">
        <v>241</v>
      </c>
      <c r="B1998" s="1587">
        <v>148696.0</v>
      </c>
      <c r="C1998" s="1547">
        <v>3064.0</v>
      </c>
      <c r="D1998" s="1548">
        <v>10.8</v>
      </c>
      <c r="E1998" s="1557">
        <v>99091.0</v>
      </c>
      <c r="F1998" s="598">
        <v>15848.0</v>
      </c>
      <c r="G1998" s="598">
        <v>851.0</v>
      </c>
      <c r="H1998" s="598">
        <v>12674.0</v>
      </c>
      <c r="I1998" s="598">
        <v>51.0</v>
      </c>
      <c r="J1998" s="598">
        <v>8092.0</v>
      </c>
      <c r="K1998" s="1561">
        <v>12089.0</v>
      </c>
      <c r="L1998" s="1551">
        <v>71920.0</v>
      </c>
    </row>
    <row r="1999">
      <c r="A1999" s="1545" t="s">
        <v>1620</v>
      </c>
      <c r="B1999" s="1587">
        <v>12276.0</v>
      </c>
      <c r="C1999" s="1563">
        <v>535.0</v>
      </c>
      <c r="D1999" s="1548">
        <v>29.3</v>
      </c>
      <c r="E1999" s="1557">
        <v>9216.0</v>
      </c>
      <c r="F1999" s="598">
        <v>2061.0</v>
      </c>
      <c r="G1999" s="598">
        <v>58.0</v>
      </c>
      <c r="H1999" s="598">
        <v>62.0</v>
      </c>
      <c r="I1999" s="598">
        <v>8.0</v>
      </c>
      <c r="J1999" s="598">
        <v>243.0</v>
      </c>
      <c r="K1999" s="1561">
        <v>628.0</v>
      </c>
      <c r="L1999" s="1551">
        <v>46447.0</v>
      </c>
    </row>
    <row r="2000">
      <c r="A2000" s="1545" t="s">
        <v>1621</v>
      </c>
      <c r="B2000" s="1587">
        <v>40568.0</v>
      </c>
      <c r="C2000" s="1547">
        <v>2444.0</v>
      </c>
      <c r="D2000" s="1548">
        <v>28.2</v>
      </c>
      <c r="E2000" s="1557">
        <v>22019.0</v>
      </c>
      <c r="F2000" s="598">
        <v>14478.0</v>
      </c>
      <c r="G2000" s="598">
        <v>213.0</v>
      </c>
      <c r="H2000" s="598">
        <v>470.0</v>
      </c>
      <c r="I2000" s="598">
        <v>30.0</v>
      </c>
      <c r="J2000" s="598">
        <v>1029.0</v>
      </c>
      <c r="K2000" s="1561">
        <v>2329.0</v>
      </c>
      <c r="L2000" s="1551">
        <v>46355.0</v>
      </c>
    </row>
    <row r="2001">
      <c r="A2001" s="1545" t="s">
        <v>1622</v>
      </c>
      <c r="B2001" s="1587">
        <v>60203.0</v>
      </c>
      <c r="C2001" s="1547">
        <v>2966.0</v>
      </c>
      <c r="D2001" s="1548">
        <v>21.9</v>
      </c>
      <c r="E2001" s="1557">
        <v>45305.0</v>
      </c>
      <c r="F2001" s="598">
        <v>7619.0</v>
      </c>
      <c r="G2001" s="598">
        <v>354.0</v>
      </c>
      <c r="H2001" s="598">
        <v>342.0</v>
      </c>
      <c r="I2001" s="598">
        <v>31.0</v>
      </c>
      <c r="J2001" s="598">
        <v>2834.0</v>
      </c>
      <c r="K2001" s="1561">
        <v>3718.0</v>
      </c>
      <c r="L2001" s="1551">
        <v>54900.0</v>
      </c>
    </row>
    <row r="2002">
      <c r="A2002" s="1545" t="s">
        <v>1623</v>
      </c>
      <c r="B2002" s="1587">
        <v>13005.0</v>
      </c>
      <c r="C2002" s="1563">
        <v>666.0</v>
      </c>
      <c r="D2002" s="1548">
        <v>27.6</v>
      </c>
      <c r="E2002" s="1557">
        <v>9412.0</v>
      </c>
      <c r="F2002" s="598">
        <v>2715.0</v>
      </c>
      <c r="G2002" s="598">
        <v>39.0</v>
      </c>
      <c r="H2002" s="598">
        <v>39.0</v>
      </c>
      <c r="I2002" s="598">
        <v>10.0</v>
      </c>
      <c r="J2002" s="598">
        <v>136.0</v>
      </c>
      <c r="K2002" s="1561">
        <v>654.0</v>
      </c>
      <c r="L2002" s="1551">
        <v>48337.0</v>
      </c>
    </row>
    <row r="2003">
      <c r="A2003" s="1545" t="s">
        <v>1624</v>
      </c>
      <c r="B2003" s="1587">
        <v>39097.0</v>
      </c>
      <c r="C2003" s="1547">
        <v>1905.0</v>
      </c>
      <c r="D2003" s="1548">
        <v>23.4</v>
      </c>
      <c r="E2003" s="1557">
        <v>25554.0</v>
      </c>
      <c r="F2003" s="598">
        <v>9937.0</v>
      </c>
      <c r="G2003" s="598">
        <v>281.0</v>
      </c>
      <c r="H2003" s="598">
        <v>125.0</v>
      </c>
      <c r="I2003" s="598">
        <v>8.0</v>
      </c>
      <c r="J2003" s="598">
        <v>1256.0</v>
      </c>
      <c r="K2003" s="1561">
        <v>1936.0</v>
      </c>
      <c r="L2003" s="1555">
        <v>50149.0</v>
      </c>
    </row>
    <row r="2004">
      <c r="A2004" s="1545" t="s">
        <v>1625</v>
      </c>
      <c r="B2004" s="1587">
        <v>170243.0</v>
      </c>
      <c r="C2004" s="1547">
        <v>10022.0</v>
      </c>
      <c r="D2004" s="1548">
        <v>26.5</v>
      </c>
      <c r="E2004" s="1557">
        <v>88790.0</v>
      </c>
      <c r="F2004" s="598">
        <v>60414.0</v>
      </c>
      <c r="G2004" s="598">
        <v>711.0</v>
      </c>
      <c r="H2004" s="598">
        <v>3078.0</v>
      </c>
      <c r="I2004" s="598">
        <v>106.0</v>
      </c>
      <c r="J2004" s="598">
        <v>7779.0</v>
      </c>
      <c r="K2004" s="1561">
        <v>9365.0</v>
      </c>
      <c r="L2004" s="1551">
        <v>43303.0</v>
      </c>
    </row>
    <row r="2005">
      <c r="A2005" s="1545" t="s">
        <v>302</v>
      </c>
      <c r="B2005" s="1587">
        <v>19328.0</v>
      </c>
      <c r="C2005" s="1563">
        <v>662.0</v>
      </c>
      <c r="D2005" s="1548">
        <v>20.4</v>
      </c>
      <c r="E2005" s="1557">
        <v>16934.0</v>
      </c>
      <c r="F2005" s="598">
        <v>698.0</v>
      </c>
      <c r="G2005" s="598">
        <v>81.0</v>
      </c>
      <c r="H2005" s="598">
        <v>60.0</v>
      </c>
      <c r="I2005" s="598">
        <v>14.0</v>
      </c>
      <c r="J2005" s="598">
        <v>446.0</v>
      </c>
      <c r="K2005" s="1561">
        <v>1095.0</v>
      </c>
      <c r="L2005" s="1555">
        <v>50467.0</v>
      </c>
    </row>
    <row r="2006">
      <c r="A2006" s="1545" t="s">
        <v>163</v>
      </c>
      <c r="B2006" s="1587">
        <v>144171.0</v>
      </c>
      <c r="C2006" s="1547">
        <v>6530.0</v>
      </c>
      <c r="D2006" s="1548">
        <v>20.6</v>
      </c>
      <c r="E2006" s="1557">
        <v>111459.0</v>
      </c>
      <c r="F2006" s="598">
        <v>8748.0</v>
      </c>
      <c r="G2006" s="598">
        <v>1150.0</v>
      </c>
      <c r="H2006" s="598">
        <v>2173.0</v>
      </c>
      <c r="I2006" s="598">
        <v>16.0</v>
      </c>
      <c r="J2006" s="598">
        <v>10775.0</v>
      </c>
      <c r="K2006" s="1561">
        <v>9850.0</v>
      </c>
      <c r="L2006" s="1551">
        <v>48372.0</v>
      </c>
    </row>
    <row r="2007">
      <c r="A2007" s="1545" t="s">
        <v>621</v>
      </c>
      <c r="B2007" s="1587">
        <v>42946.0</v>
      </c>
      <c r="C2007" s="1547">
        <v>3115.0</v>
      </c>
      <c r="D2007" s="1548">
        <v>31.1</v>
      </c>
      <c r="E2007" s="1557">
        <v>23969.0</v>
      </c>
      <c r="F2007" s="598">
        <v>12881.0</v>
      </c>
      <c r="G2007" s="598">
        <v>1041.0</v>
      </c>
      <c r="H2007" s="598">
        <v>364.0</v>
      </c>
      <c r="I2007" s="598">
        <v>20.0</v>
      </c>
      <c r="J2007" s="598">
        <v>2217.0</v>
      </c>
      <c r="K2007" s="1561">
        <v>2454.0</v>
      </c>
      <c r="L2007" s="1555">
        <v>38514.0</v>
      </c>
    </row>
    <row r="2008">
      <c r="A2008" s="1545" t="s">
        <v>1626</v>
      </c>
      <c r="B2008" s="1587">
        <v>116530.0</v>
      </c>
      <c r="C2008" s="1547">
        <v>11405.0</v>
      </c>
      <c r="D2008" s="1548">
        <v>35.6</v>
      </c>
      <c r="E2008" s="1557">
        <v>30041.0</v>
      </c>
      <c r="F2008" s="598">
        <v>26424.0</v>
      </c>
      <c r="G2008" s="598">
        <v>44871.0</v>
      </c>
      <c r="H2008" s="598">
        <v>908.0</v>
      </c>
      <c r="I2008" s="598">
        <v>79.0</v>
      </c>
      <c r="J2008" s="598">
        <v>8192.0</v>
      </c>
      <c r="K2008" s="1561">
        <v>6015.0</v>
      </c>
      <c r="L2008" s="1555">
        <v>35407.0</v>
      </c>
    </row>
    <row r="2009">
      <c r="A2009" s="1545" t="s">
        <v>1523</v>
      </c>
      <c r="B2009" s="1587">
        <v>91096.0</v>
      </c>
      <c r="C2009" s="1547">
        <v>4689.0</v>
      </c>
      <c r="D2009" s="1548">
        <v>26.0</v>
      </c>
      <c r="E2009" s="1557">
        <v>65434.0</v>
      </c>
      <c r="F2009" s="598">
        <v>16789.0</v>
      </c>
      <c r="G2009" s="598">
        <v>441.0</v>
      </c>
      <c r="H2009" s="598">
        <v>500.0</v>
      </c>
      <c r="I2009" s="598">
        <v>30.0</v>
      </c>
      <c r="J2009" s="598">
        <v>3248.0</v>
      </c>
      <c r="K2009" s="1561">
        <v>4654.0</v>
      </c>
      <c r="L2009" s="1555">
        <v>41869.0</v>
      </c>
    </row>
    <row r="2010">
      <c r="A2010" s="1545" t="s">
        <v>1133</v>
      </c>
      <c r="B2010" s="1587">
        <v>146875.0</v>
      </c>
      <c r="C2010" s="1547">
        <v>7729.0</v>
      </c>
      <c r="D2010" s="1548">
        <v>25.2</v>
      </c>
      <c r="E2010" s="1557">
        <v>102693.0</v>
      </c>
      <c r="F2010" s="598">
        <v>23012.0</v>
      </c>
      <c r="G2010" s="598">
        <v>761.0</v>
      </c>
      <c r="H2010" s="598">
        <v>1522.0</v>
      </c>
      <c r="I2010" s="598">
        <v>88.0</v>
      </c>
      <c r="J2010" s="598">
        <v>9003.0</v>
      </c>
      <c r="K2010" s="1561">
        <v>9796.0</v>
      </c>
      <c r="L2010" s="1555">
        <v>46864.0</v>
      </c>
    </row>
    <row r="2011">
      <c r="A2011" s="1545" t="s">
        <v>1627</v>
      </c>
      <c r="B2011" s="1587">
        <v>64444.0</v>
      </c>
      <c r="C2011" s="1547">
        <v>3813.0</v>
      </c>
      <c r="D2011" s="1548">
        <v>28.3</v>
      </c>
      <c r="E2011" s="1557">
        <v>52808.0</v>
      </c>
      <c r="F2011" s="598">
        <v>5903.0</v>
      </c>
      <c r="G2011" s="598">
        <v>224.0</v>
      </c>
      <c r="H2011" s="598">
        <v>348.0</v>
      </c>
      <c r="I2011" s="598">
        <v>25.0</v>
      </c>
      <c r="J2011" s="598">
        <v>1506.0</v>
      </c>
      <c r="K2011" s="1561">
        <v>3630.0</v>
      </c>
      <c r="L2011" s="1551">
        <v>42831.0</v>
      </c>
    </row>
    <row r="2012">
      <c r="A2012" s="1545" t="s">
        <v>1628</v>
      </c>
      <c r="B2012" s="1587">
        <v>59036.0</v>
      </c>
      <c r="C2012" s="1547">
        <v>5004.0</v>
      </c>
      <c r="D2012" s="1548">
        <v>33.0</v>
      </c>
      <c r="E2012" s="1557">
        <v>31254.0</v>
      </c>
      <c r="F2012" s="598">
        <v>14130.0</v>
      </c>
      <c r="G2012" s="598">
        <v>1294.0</v>
      </c>
      <c r="H2012" s="598">
        <v>231.0</v>
      </c>
      <c r="I2012" s="598">
        <v>22.0</v>
      </c>
      <c r="J2012" s="598">
        <v>8500.0</v>
      </c>
      <c r="K2012" s="1561">
        <v>3605.0</v>
      </c>
      <c r="L2012" s="1551">
        <v>42807.0</v>
      </c>
    </row>
    <row r="2013">
      <c r="A2013" s="1545" t="s">
        <v>1425</v>
      </c>
      <c r="B2013" s="1587">
        <v>34174.0</v>
      </c>
      <c r="C2013" s="1547">
        <v>3228.0</v>
      </c>
      <c r="D2013" s="1548">
        <v>41.8</v>
      </c>
      <c r="E2013" s="1557">
        <v>14402.0</v>
      </c>
      <c r="F2013" s="598">
        <v>13162.0</v>
      </c>
      <c r="G2013" s="598">
        <v>3745.0</v>
      </c>
      <c r="H2013" s="598">
        <v>343.0</v>
      </c>
      <c r="I2013" s="598">
        <v>15.0</v>
      </c>
      <c r="J2013" s="598">
        <v>718.0</v>
      </c>
      <c r="K2013" s="1561">
        <v>1789.0</v>
      </c>
      <c r="L2013" s="1551">
        <v>36730.0</v>
      </c>
    </row>
    <row r="2014">
      <c r="A2014" s="1545" t="s">
        <v>1629</v>
      </c>
      <c r="B2014" s="1587">
        <v>62504.0</v>
      </c>
      <c r="C2014" s="1547">
        <v>2528.0</v>
      </c>
      <c r="D2014" s="1548">
        <v>19.2</v>
      </c>
      <c r="E2014" s="1557">
        <v>49149.0</v>
      </c>
      <c r="F2014" s="598">
        <v>7079.0</v>
      </c>
      <c r="G2014" s="598">
        <v>275.0</v>
      </c>
      <c r="H2014" s="598">
        <v>1145.0</v>
      </c>
      <c r="I2014" s="598">
        <v>9.0</v>
      </c>
      <c r="J2014" s="598">
        <v>1881.0</v>
      </c>
      <c r="K2014" s="1561">
        <v>2966.0</v>
      </c>
      <c r="L2014" s="1551">
        <v>51491.0</v>
      </c>
    </row>
    <row r="2015">
      <c r="A2015" s="1545" t="s">
        <v>1630</v>
      </c>
      <c r="B2015" s="1587">
        <v>44520.0</v>
      </c>
      <c r="C2015" s="1547">
        <v>1528.0</v>
      </c>
      <c r="D2015" s="1548">
        <v>18.2</v>
      </c>
      <c r="E2015" s="1557">
        <v>39966.0</v>
      </c>
      <c r="F2015" s="598">
        <v>1644.0</v>
      </c>
      <c r="G2015" s="598">
        <v>181.0</v>
      </c>
      <c r="H2015" s="598">
        <v>159.0</v>
      </c>
      <c r="I2015" s="598">
        <v>13.0</v>
      </c>
      <c r="J2015" s="598">
        <v>628.0</v>
      </c>
      <c r="K2015" s="1561">
        <v>1929.0</v>
      </c>
      <c r="L2015" s="1555">
        <v>50826.0</v>
      </c>
    </row>
    <row r="2016">
      <c r="A2016" s="1545" t="s">
        <v>1631</v>
      </c>
      <c r="B2016" s="1587">
        <v>71359.0</v>
      </c>
      <c r="C2016" s="1547">
        <v>3524.0</v>
      </c>
      <c r="D2016" s="1548">
        <v>23.6</v>
      </c>
      <c r="E2016" s="1557">
        <v>59307.0</v>
      </c>
      <c r="F2016" s="598">
        <v>2486.0</v>
      </c>
      <c r="G2016" s="598">
        <v>314.0</v>
      </c>
      <c r="H2016" s="598">
        <v>378.0</v>
      </c>
      <c r="I2016" s="598">
        <v>16.0</v>
      </c>
      <c r="J2016" s="598">
        <v>4754.0</v>
      </c>
      <c r="K2016" s="1561">
        <v>4104.0</v>
      </c>
      <c r="L2016" s="1551">
        <v>46342.0</v>
      </c>
    </row>
    <row r="2017">
      <c r="A2017" s="1545" t="s">
        <v>1632</v>
      </c>
      <c r="B2017" s="1587">
        <v>14117.0</v>
      </c>
      <c r="C2017" s="1563">
        <v>699.0</v>
      </c>
      <c r="D2017" s="1548">
        <v>22.9</v>
      </c>
      <c r="E2017" s="1557">
        <v>8638.0</v>
      </c>
      <c r="F2017" s="598">
        <v>108.0</v>
      </c>
      <c r="G2017" s="598">
        <v>4171.0</v>
      </c>
      <c r="H2017" s="598">
        <v>54.0</v>
      </c>
      <c r="I2017" s="598">
        <v>14.0</v>
      </c>
      <c r="J2017" s="598">
        <v>224.0</v>
      </c>
      <c r="K2017" s="1561">
        <v>908.0</v>
      </c>
      <c r="L2017" s="1551">
        <v>43121.0</v>
      </c>
    </row>
    <row r="2018">
      <c r="A2018" s="1545" t="s">
        <v>1633</v>
      </c>
      <c r="B2018" s="1587">
        <v>32986.0</v>
      </c>
      <c r="C2018" s="1547">
        <v>1184.0</v>
      </c>
      <c r="D2018" s="1548">
        <v>22.6</v>
      </c>
      <c r="E2018" s="1557">
        <v>28957.0</v>
      </c>
      <c r="F2018" s="598">
        <v>1037.0</v>
      </c>
      <c r="G2018" s="598">
        <v>125.0</v>
      </c>
      <c r="H2018" s="598">
        <v>173.0</v>
      </c>
      <c r="I2018" s="598">
        <v>22.0</v>
      </c>
      <c r="J2018" s="598">
        <v>848.0</v>
      </c>
      <c r="K2018" s="1561">
        <v>1824.0</v>
      </c>
      <c r="L2018" s="1551">
        <v>51398.0</v>
      </c>
    </row>
    <row r="2019">
      <c r="A2019" s="1545" t="s">
        <v>1634</v>
      </c>
      <c r="B2019" s="1587">
        <v>3245.0</v>
      </c>
      <c r="C2019" s="1563">
        <v>266.0</v>
      </c>
      <c r="D2019" s="1548">
        <v>35.1</v>
      </c>
      <c r="E2019" s="1557">
        <v>1903.0</v>
      </c>
      <c r="F2019" s="598">
        <v>938.0</v>
      </c>
      <c r="G2019" s="598">
        <v>5.0</v>
      </c>
      <c r="H2019" s="598">
        <v>43.0</v>
      </c>
      <c r="I2019" s="598">
        <v>0.0</v>
      </c>
      <c r="J2019" s="598">
        <v>154.0</v>
      </c>
      <c r="K2019" s="1561">
        <v>202.0</v>
      </c>
      <c r="L2019" s="1555">
        <v>36765.0</v>
      </c>
    </row>
    <row r="2020">
      <c r="A2020" s="1545" t="s">
        <v>316</v>
      </c>
      <c r="B2020" s="1587">
        <v>238267.0</v>
      </c>
      <c r="C2020" s="1547">
        <v>5898.0</v>
      </c>
      <c r="D2020" s="1548">
        <v>9.4</v>
      </c>
      <c r="E2020" s="1557">
        <v>165562.0</v>
      </c>
      <c r="F2020" s="598">
        <v>26981.0</v>
      </c>
      <c r="G2020" s="598">
        <v>1215.0</v>
      </c>
      <c r="H2020" s="598">
        <v>9572.0</v>
      </c>
      <c r="I2020" s="598">
        <v>122.0</v>
      </c>
      <c r="J2020" s="598">
        <v>16335.0</v>
      </c>
      <c r="K2020" s="1561">
        <v>18480.0</v>
      </c>
      <c r="L2020" s="1551">
        <v>80428.0</v>
      </c>
    </row>
    <row r="2021">
      <c r="A2021" s="1545" t="s">
        <v>1635</v>
      </c>
      <c r="B2021" s="1587">
        <v>42578.0</v>
      </c>
      <c r="C2021" s="1547">
        <v>3692.0</v>
      </c>
      <c r="D2021" s="1548">
        <v>35.8</v>
      </c>
      <c r="E2021" s="1557">
        <v>16682.0</v>
      </c>
      <c r="F2021" s="598">
        <v>21237.0</v>
      </c>
      <c r="G2021" s="598">
        <v>161.0</v>
      </c>
      <c r="H2021" s="598">
        <v>286.0</v>
      </c>
      <c r="I2021" s="598">
        <v>11.0</v>
      </c>
      <c r="J2021" s="598">
        <v>2493.0</v>
      </c>
      <c r="K2021" s="1561">
        <v>1708.0</v>
      </c>
      <c r="L2021" s="1555">
        <v>40263.0</v>
      </c>
    </row>
    <row r="2022">
      <c r="A2022" s="1545" t="s">
        <v>385</v>
      </c>
      <c r="B2022" s="1587">
        <v>1129410.0</v>
      </c>
      <c r="C2022" s="1547">
        <v>26906.0</v>
      </c>
      <c r="D2022" s="1548">
        <v>10.4</v>
      </c>
      <c r="E2022" s="1557">
        <v>663832.0</v>
      </c>
      <c r="F2022" s="598">
        <v>208493.0</v>
      </c>
      <c r="G2022" s="598">
        <v>5756.0</v>
      </c>
      <c r="H2022" s="598">
        <v>97042.0</v>
      </c>
      <c r="I2022" s="598">
        <v>572.0</v>
      </c>
      <c r="J2022" s="598">
        <v>68297.0</v>
      </c>
      <c r="K2022" s="1561">
        <v>85418.0</v>
      </c>
      <c r="L2022" s="1551">
        <v>80169.0</v>
      </c>
    </row>
    <row r="2023">
      <c r="A2023" s="1545" t="s">
        <v>647</v>
      </c>
      <c r="B2023" s="1587">
        <v>18642.0</v>
      </c>
      <c r="C2023" s="1547">
        <v>1078.0</v>
      </c>
      <c r="D2023" s="1548">
        <v>30.1</v>
      </c>
      <c r="E2023" s="1557">
        <v>7253.0</v>
      </c>
      <c r="F2023" s="598">
        <v>9114.0</v>
      </c>
      <c r="G2023" s="598">
        <v>978.0</v>
      </c>
      <c r="H2023" s="598">
        <v>62.0</v>
      </c>
      <c r="I2023" s="598">
        <v>4.0</v>
      </c>
      <c r="J2023" s="598">
        <v>509.0</v>
      </c>
      <c r="K2023" s="1561">
        <v>722.0</v>
      </c>
      <c r="L2023" s="1551">
        <v>38430.0</v>
      </c>
    </row>
    <row r="2024">
      <c r="A2024" s="1545" t="s">
        <v>119</v>
      </c>
      <c r="B2024" s="1587">
        <v>11003.0</v>
      </c>
      <c r="C2024" s="1563">
        <v>906.0</v>
      </c>
      <c r="D2024" s="1548">
        <v>38.7</v>
      </c>
      <c r="E2024" s="1557">
        <v>4999.0</v>
      </c>
      <c r="F2024" s="598">
        <v>5375.0</v>
      </c>
      <c r="G2024" s="598">
        <v>23.0</v>
      </c>
      <c r="H2024" s="598">
        <v>37.0</v>
      </c>
      <c r="I2024" s="598">
        <v>9.0</v>
      </c>
      <c r="J2024" s="598">
        <v>223.0</v>
      </c>
      <c r="K2024" s="1561">
        <v>337.0</v>
      </c>
      <c r="L2024" s="1551">
        <v>36042.0</v>
      </c>
    </row>
    <row r="2025">
      <c r="A2025" s="1545" t="s">
        <v>1636</v>
      </c>
      <c r="B2025" s="1587">
        <v>54086.0</v>
      </c>
      <c r="C2025" s="1547">
        <v>1082.0</v>
      </c>
      <c r="D2025" s="1548">
        <v>15.3</v>
      </c>
      <c r="E2025" s="1557">
        <v>45726.0</v>
      </c>
      <c r="F2025" s="598">
        <v>2149.0</v>
      </c>
      <c r="G2025" s="598">
        <v>131.0</v>
      </c>
      <c r="H2025" s="598">
        <v>945.0</v>
      </c>
      <c r="I2025" s="598">
        <v>19.0</v>
      </c>
      <c r="J2025" s="598">
        <v>2161.0</v>
      </c>
      <c r="K2025" s="1561">
        <v>2955.0</v>
      </c>
      <c r="L2025" s="1555">
        <v>48489.0</v>
      </c>
    </row>
    <row r="2026">
      <c r="A2026" s="1545" t="s">
        <v>273</v>
      </c>
      <c r="B2026" s="1587">
        <v>117333.0</v>
      </c>
      <c r="C2026" s="1547">
        <v>9062.0</v>
      </c>
      <c r="D2026" s="1548">
        <v>31.5</v>
      </c>
      <c r="E2026" s="1557">
        <v>62452.0</v>
      </c>
      <c r="F2026" s="598">
        <v>35795.0</v>
      </c>
      <c r="G2026" s="598">
        <v>682.0</v>
      </c>
      <c r="H2026" s="598">
        <v>1580.0</v>
      </c>
      <c r="I2026" s="598">
        <v>77.0</v>
      </c>
      <c r="J2026" s="598">
        <v>9153.0</v>
      </c>
      <c r="K2026" s="1561">
        <v>7594.0</v>
      </c>
      <c r="L2026" s="1555">
        <v>41572.0</v>
      </c>
    </row>
    <row r="2027">
      <c r="A2027" s="1545" t="s">
        <v>653</v>
      </c>
      <c r="B2027" s="1587">
        <v>65969.0</v>
      </c>
      <c r="C2027" s="1547">
        <v>4322.0</v>
      </c>
      <c r="D2027" s="1548">
        <v>31.6</v>
      </c>
      <c r="E2027" s="1557">
        <v>57105.0</v>
      </c>
      <c r="F2027" s="598">
        <v>2634.0</v>
      </c>
      <c r="G2027" s="598">
        <v>218.0</v>
      </c>
      <c r="H2027" s="598">
        <v>325.0</v>
      </c>
      <c r="I2027" s="598">
        <v>11.0</v>
      </c>
      <c r="J2027" s="598">
        <v>2725.0</v>
      </c>
      <c r="K2027" s="1561">
        <v>2951.0</v>
      </c>
      <c r="L2027" s="1555">
        <v>44080.0</v>
      </c>
    </row>
    <row r="2028">
      <c r="A2028" s="1545" t="s">
        <v>1021</v>
      </c>
      <c r="B2028" s="1587">
        <v>78784.0</v>
      </c>
      <c r="C2028" s="1547">
        <v>5703.0</v>
      </c>
      <c r="D2028" s="1548">
        <v>31.1</v>
      </c>
      <c r="E2028" s="1557">
        <v>37341.0</v>
      </c>
      <c r="F2028" s="598">
        <v>30097.0</v>
      </c>
      <c r="G2028" s="598">
        <v>489.0</v>
      </c>
      <c r="H2028" s="598">
        <v>900.0</v>
      </c>
      <c r="I2028" s="598">
        <v>25.0</v>
      </c>
      <c r="J2028" s="598">
        <v>5661.0</v>
      </c>
      <c r="K2028" s="1561">
        <v>4271.0</v>
      </c>
      <c r="L2028" s="1555">
        <v>44015.0</v>
      </c>
    </row>
    <row r="2029">
      <c r="A2029" s="1545" t="s">
        <v>1637</v>
      </c>
      <c r="B2029" s="1587">
        <v>37214.0</v>
      </c>
      <c r="C2029" s="1547">
        <v>1569.0</v>
      </c>
      <c r="D2029" s="1548">
        <v>20.5</v>
      </c>
      <c r="E2029" s="1557">
        <v>30842.0</v>
      </c>
      <c r="F2029" s="598">
        <v>1136.0</v>
      </c>
      <c r="G2029" s="598">
        <v>203.0</v>
      </c>
      <c r="H2029" s="598">
        <v>143.0</v>
      </c>
      <c r="I2029" s="598">
        <v>0.0</v>
      </c>
      <c r="J2029" s="598">
        <v>2855.0</v>
      </c>
      <c r="K2029" s="1561">
        <v>2035.0</v>
      </c>
      <c r="L2029" s="1615">
        <v>49070.0</v>
      </c>
    </row>
    <row r="2030">
      <c r="A2030" s="1528" t="s">
        <v>1638</v>
      </c>
      <c r="B2030" s="1595">
        <v>18470.0</v>
      </c>
      <c r="C2030" s="1582">
        <v>846.0</v>
      </c>
      <c r="D2030" s="1567">
        <v>26.3</v>
      </c>
      <c r="E2030" s="1532">
        <v>16866.0</v>
      </c>
      <c r="F2030" s="1533">
        <v>108.0</v>
      </c>
      <c r="G2030" s="1533">
        <v>82.0</v>
      </c>
      <c r="H2030" s="1533">
        <v>40.0</v>
      </c>
      <c r="I2030" s="1533">
        <v>3.0</v>
      </c>
      <c r="J2030" s="1533">
        <v>503.0</v>
      </c>
      <c r="K2030" s="1616">
        <v>868.0</v>
      </c>
      <c r="L2030" s="1617">
        <v>44756.0</v>
      </c>
    </row>
    <row r="2031">
      <c r="A2031" s="1538" t="s">
        <v>99</v>
      </c>
      <c r="B2031" s="1600">
        <v>779094.0</v>
      </c>
      <c r="C2031" s="1540">
        <v>19332.0</v>
      </c>
      <c r="D2031" s="1571">
        <v>11.0</v>
      </c>
      <c r="E2031" s="1572">
        <v>645938.0</v>
      </c>
      <c r="F2031" s="1542">
        <v>26783.0</v>
      </c>
      <c r="G2031" s="1542">
        <v>38914.0</v>
      </c>
      <c r="H2031" s="1542">
        <v>13213.0</v>
      </c>
      <c r="I2031" s="1542">
        <v>924.0</v>
      </c>
      <c r="J2031" s="1542">
        <v>11382.0</v>
      </c>
      <c r="K2031" s="1543">
        <v>41940.0</v>
      </c>
      <c r="L2031" s="1544">
        <v>65250.0</v>
      </c>
    </row>
    <row r="2032">
      <c r="A2032" s="1545" t="s">
        <v>386</v>
      </c>
      <c r="B2032" s="1586">
        <v>2200.0</v>
      </c>
      <c r="C2032" s="1563">
        <v>55.0</v>
      </c>
      <c r="D2032" s="1548">
        <v>12.8</v>
      </c>
      <c r="E2032" s="1557">
        <v>2039.0</v>
      </c>
      <c r="F2032" s="598">
        <v>13.0</v>
      </c>
      <c r="G2032" s="598">
        <v>14.0</v>
      </c>
      <c r="H2032" s="598">
        <v>39.0</v>
      </c>
      <c r="I2032" s="598">
        <v>1.0</v>
      </c>
      <c r="J2032" s="598">
        <v>11.0</v>
      </c>
      <c r="K2032" s="1561">
        <v>83.0</v>
      </c>
      <c r="L2032" s="1551">
        <v>53162.0</v>
      </c>
    </row>
    <row r="2033">
      <c r="A2033" s="1545" t="s">
        <v>1640</v>
      </c>
      <c r="B2033" s="1587">
        <v>10853.0</v>
      </c>
      <c r="C2033" s="1563">
        <v>266.0</v>
      </c>
      <c r="D2033" s="1548">
        <v>12.7</v>
      </c>
      <c r="E2033" s="1557">
        <v>10025.0</v>
      </c>
      <c r="F2033" s="598">
        <v>186.0</v>
      </c>
      <c r="G2033" s="598">
        <v>103.0</v>
      </c>
      <c r="H2033" s="598">
        <v>69.0</v>
      </c>
      <c r="I2033" s="598">
        <v>3.0</v>
      </c>
      <c r="J2033" s="598">
        <v>73.0</v>
      </c>
      <c r="K2033" s="1561">
        <v>394.0</v>
      </c>
      <c r="L2033" s="1551">
        <v>54984.0</v>
      </c>
    </row>
    <row r="2034">
      <c r="A2034" s="1545" t="s">
        <v>1641</v>
      </c>
      <c r="B2034" s="1587">
        <v>5964.0</v>
      </c>
      <c r="C2034" s="1563">
        <v>982.0</v>
      </c>
      <c r="D2034" s="1548">
        <v>40.4</v>
      </c>
      <c r="E2034" s="1557">
        <v>2542.0</v>
      </c>
      <c r="F2034" s="598">
        <v>7.0</v>
      </c>
      <c r="G2034" s="598">
        <v>3216.0</v>
      </c>
      <c r="H2034" s="598">
        <v>7.0</v>
      </c>
      <c r="I2034" s="598">
        <v>2.0</v>
      </c>
      <c r="J2034" s="598">
        <v>20.0</v>
      </c>
      <c r="K2034" s="1561">
        <v>170.0</v>
      </c>
      <c r="L2034" s="1551">
        <v>42407.0</v>
      </c>
    </row>
    <row r="2035">
      <c r="A2035" s="1545" t="s">
        <v>1642</v>
      </c>
      <c r="B2035" s="1587">
        <v>945.0</v>
      </c>
      <c r="C2035" s="1563">
        <v>21.0</v>
      </c>
      <c r="D2035" s="1548">
        <v>11.5</v>
      </c>
      <c r="E2035" s="1557">
        <v>911.0</v>
      </c>
      <c r="F2035" s="598">
        <v>4.0</v>
      </c>
      <c r="G2035" s="598">
        <v>5.0</v>
      </c>
      <c r="H2035" s="598">
        <v>6.0</v>
      </c>
      <c r="I2035" s="598">
        <v>0.0</v>
      </c>
      <c r="J2035" s="598">
        <v>0.0</v>
      </c>
      <c r="K2035" s="1561">
        <v>19.0</v>
      </c>
      <c r="L2035" s="1551">
        <v>76235.0</v>
      </c>
    </row>
    <row r="2036">
      <c r="A2036" s="1545" t="s">
        <v>1643</v>
      </c>
      <c r="B2036" s="1587">
        <v>6379.0</v>
      </c>
      <c r="C2036" s="1563">
        <v>201.0</v>
      </c>
      <c r="D2036" s="1548">
        <v>15.2</v>
      </c>
      <c r="E2036" s="1557">
        <v>5754.0</v>
      </c>
      <c r="F2036" s="598">
        <v>31.0</v>
      </c>
      <c r="G2036" s="598">
        <v>217.0</v>
      </c>
      <c r="H2036" s="598">
        <v>42.0</v>
      </c>
      <c r="I2036" s="598">
        <v>1.0</v>
      </c>
      <c r="J2036" s="598">
        <v>41.0</v>
      </c>
      <c r="K2036" s="1561">
        <v>293.0</v>
      </c>
      <c r="L2036" s="1551">
        <v>59161.0</v>
      </c>
    </row>
    <row r="2037">
      <c r="A2037" s="1545" t="s">
        <v>1644</v>
      </c>
      <c r="B2037" s="1587">
        <v>2993.0</v>
      </c>
      <c r="C2037" s="1563">
        <v>75.0</v>
      </c>
      <c r="D2037" s="1548">
        <v>9.9</v>
      </c>
      <c r="E2037" s="1557">
        <v>2793.0</v>
      </c>
      <c r="F2037" s="598">
        <v>0.0</v>
      </c>
      <c r="G2037" s="598">
        <v>37.0</v>
      </c>
      <c r="H2037" s="598">
        <v>17.0</v>
      </c>
      <c r="I2037" s="598">
        <v>3.0</v>
      </c>
      <c r="J2037" s="598">
        <v>38.0</v>
      </c>
      <c r="K2037" s="1561">
        <v>105.0</v>
      </c>
      <c r="L2037" s="1551">
        <v>62270.0</v>
      </c>
    </row>
    <row r="2038">
      <c r="A2038" s="1545" t="s">
        <v>546</v>
      </c>
      <c r="B2038" s="1587">
        <v>2201.0</v>
      </c>
      <c r="C2038" s="1563">
        <v>53.0</v>
      </c>
      <c r="D2038" s="1548">
        <v>10.3</v>
      </c>
      <c r="E2038" s="1557">
        <v>2082.0</v>
      </c>
      <c r="F2038" s="598">
        <v>13.0</v>
      </c>
      <c r="G2038" s="598">
        <v>25.0</v>
      </c>
      <c r="H2038" s="598">
        <v>12.0</v>
      </c>
      <c r="I2038" s="598">
        <v>0.0</v>
      </c>
      <c r="J2038" s="598">
        <v>15.0</v>
      </c>
      <c r="K2038" s="1561">
        <v>54.0</v>
      </c>
      <c r="L2038" s="1555">
        <v>63261.0</v>
      </c>
    </row>
    <row r="2039">
      <c r="A2039" s="1545" t="s">
        <v>1645</v>
      </c>
      <c r="B2039" s="1587">
        <v>98458.0</v>
      </c>
      <c r="C2039" s="1547">
        <v>1590.0</v>
      </c>
      <c r="D2039" s="1548">
        <v>7.2</v>
      </c>
      <c r="E2039" s="1557">
        <v>85148.0</v>
      </c>
      <c r="F2039" s="598">
        <v>2283.0</v>
      </c>
      <c r="G2039" s="598">
        <v>4257.0</v>
      </c>
      <c r="H2039" s="598">
        <v>1054.0</v>
      </c>
      <c r="I2039" s="598">
        <v>317.0</v>
      </c>
      <c r="J2039" s="598">
        <v>1114.0</v>
      </c>
      <c r="K2039" s="1561">
        <v>4285.0</v>
      </c>
      <c r="L2039" s="1555">
        <v>72277.0</v>
      </c>
    </row>
    <row r="2040">
      <c r="A2040" s="1545" t="s">
        <v>708</v>
      </c>
      <c r="B2040" s="1587">
        <v>184525.0</v>
      </c>
      <c r="C2040" s="1547">
        <v>3658.0</v>
      </c>
      <c r="D2040" s="1548">
        <v>9.1</v>
      </c>
      <c r="E2040" s="1557">
        <v>151307.0</v>
      </c>
      <c r="F2040" s="598">
        <v>12963.0</v>
      </c>
      <c r="G2040" s="598">
        <v>2614.0</v>
      </c>
      <c r="H2040" s="598">
        <v>6068.0</v>
      </c>
      <c r="I2040" s="598">
        <v>101.0</v>
      </c>
      <c r="J2040" s="598">
        <v>1994.0</v>
      </c>
      <c r="K2040" s="1561">
        <v>9478.0</v>
      </c>
      <c r="L2040" s="1551">
        <v>63885.0</v>
      </c>
    </row>
    <row r="2041">
      <c r="A2041" s="1545" t="s">
        <v>1646</v>
      </c>
      <c r="B2041" s="1587">
        <v>3704.0</v>
      </c>
      <c r="C2041" s="1563">
        <v>115.0</v>
      </c>
      <c r="D2041" s="1548">
        <v>13.5</v>
      </c>
      <c r="E2041" s="1557">
        <v>3504.0</v>
      </c>
      <c r="F2041" s="598">
        <v>3.0</v>
      </c>
      <c r="G2041" s="598">
        <v>28.0</v>
      </c>
      <c r="H2041" s="598">
        <v>16.0</v>
      </c>
      <c r="I2041" s="598">
        <v>0.0</v>
      </c>
      <c r="J2041" s="598">
        <v>22.0</v>
      </c>
      <c r="K2041" s="1561">
        <v>131.0</v>
      </c>
      <c r="L2041" s="1551">
        <v>60314.0</v>
      </c>
    </row>
    <row r="2042">
      <c r="A2042" s="1545" t="s">
        <v>1647</v>
      </c>
      <c r="B2042" s="1587">
        <v>4999.0</v>
      </c>
      <c r="C2042" s="1563">
        <v>130.0</v>
      </c>
      <c r="D2042" s="1548">
        <v>10.9</v>
      </c>
      <c r="E2042" s="1557">
        <v>4628.0</v>
      </c>
      <c r="F2042" s="598">
        <v>28.0</v>
      </c>
      <c r="G2042" s="598">
        <v>28.0</v>
      </c>
      <c r="H2042" s="598">
        <v>30.0</v>
      </c>
      <c r="I2042" s="598">
        <v>0.0</v>
      </c>
      <c r="J2042" s="598">
        <v>78.0</v>
      </c>
      <c r="K2042" s="1561">
        <v>207.0</v>
      </c>
      <c r="L2042" s="1551">
        <v>53286.0</v>
      </c>
    </row>
    <row r="2043">
      <c r="A2043" s="1545" t="s">
        <v>1648</v>
      </c>
      <c r="B2043" s="1587">
        <v>2195.0</v>
      </c>
      <c r="C2043" s="1563">
        <v>69.0</v>
      </c>
      <c r="D2043" s="1548">
        <v>13.6</v>
      </c>
      <c r="E2043" s="1557">
        <v>2054.0</v>
      </c>
      <c r="F2043" s="598">
        <v>23.0</v>
      </c>
      <c r="G2043" s="598">
        <v>19.0</v>
      </c>
      <c r="H2043" s="598">
        <v>11.0</v>
      </c>
      <c r="I2043" s="598">
        <v>4.0</v>
      </c>
      <c r="J2043" s="598">
        <v>5.0</v>
      </c>
      <c r="K2043" s="1561">
        <v>79.0</v>
      </c>
      <c r="L2043" s="1551">
        <v>58715.0</v>
      </c>
    </row>
    <row r="2044">
      <c r="A2044" s="1545" t="s">
        <v>1649</v>
      </c>
      <c r="B2044" s="1587">
        <v>4095.0</v>
      </c>
      <c r="C2044" s="1563">
        <v>130.0</v>
      </c>
      <c r="D2044" s="1548">
        <v>12.7</v>
      </c>
      <c r="E2044" s="1557">
        <v>3277.0</v>
      </c>
      <c r="F2044" s="598">
        <v>25.0</v>
      </c>
      <c r="G2044" s="598">
        <v>457.0</v>
      </c>
      <c r="H2044" s="598">
        <v>33.0</v>
      </c>
      <c r="I2044" s="598">
        <v>0.0</v>
      </c>
      <c r="J2044" s="598">
        <v>40.0</v>
      </c>
      <c r="K2044" s="1561">
        <v>263.0</v>
      </c>
      <c r="L2044" s="1551">
        <v>66383.0</v>
      </c>
    </row>
    <row r="2045">
      <c r="A2045" s="1545" t="s">
        <v>1538</v>
      </c>
      <c r="B2045" s="1587">
        <v>2347.0</v>
      </c>
      <c r="C2045" s="1563">
        <v>77.0</v>
      </c>
      <c r="D2045" s="1548">
        <v>14.2</v>
      </c>
      <c r="E2045" s="1557">
        <v>2109.0</v>
      </c>
      <c r="F2045" s="598">
        <v>5.0</v>
      </c>
      <c r="G2045" s="598">
        <v>65.0</v>
      </c>
      <c r="H2045" s="598">
        <v>2.0</v>
      </c>
      <c r="I2045" s="598">
        <v>0.0</v>
      </c>
      <c r="J2045" s="598">
        <v>33.0</v>
      </c>
      <c r="K2045" s="1561">
        <v>133.0</v>
      </c>
      <c r="L2045" s="1551">
        <v>51327.0</v>
      </c>
    </row>
    <row r="2046">
      <c r="A2046" s="1545" t="s">
        <v>1650</v>
      </c>
      <c r="B2046" s="1587">
        <v>3301.0</v>
      </c>
      <c r="C2046" s="1563">
        <v>108.0</v>
      </c>
      <c r="D2046" s="1548">
        <v>16.8</v>
      </c>
      <c r="E2046" s="1557">
        <v>3179.0</v>
      </c>
      <c r="F2046" s="598">
        <v>0.0</v>
      </c>
      <c r="G2046" s="598">
        <v>13.0</v>
      </c>
      <c r="H2046" s="598">
        <v>12.0</v>
      </c>
      <c r="I2046" s="598">
        <v>0.0</v>
      </c>
      <c r="J2046" s="598">
        <v>10.0</v>
      </c>
      <c r="K2046" s="1561">
        <v>87.0</v>
      </c>
      <c r="L2046" s="1551">
        <v>47976.0</v>
      </c>
    </row>
    <row r="2047">
      <c r="A2047" s="1545" t="s">
        <v>1651</v>
      </c>
      <c r="B2047" s="1587">
        <v>3397.0</v>
      </c>
      <c r="C2047" s="1563">
        <v>70.0</v>
      </c>
      <c r="D2047" s="1548">
        <v>10.4</v>
      </c>
      <c r="E2047" s="1557">
        <v>3212.0</v>
      </c>
      <c r="F2047" s="598">
        <v>8.0</v>
      </c>
      <c r="G2047" s="598">
        <v>20.0</v>
      </c>
      <c r="H2047" s="598">
        <v>15.0</v>
      </c>
      <c r="I2047" s="598">
        <v>0.0</v>
      </c>
      <c r="J2047" s="598">
        <v>30.0</v>
      </c>
      <c r="K2047" s="1561">
        <v>112.0</v>
      </c>
      <c r="L2047" s="1551">
        <v>58096.0</v>
      </c>
    </row>
    <row r="2048">
      <c r="A2048" s="1545" t="s">
        <v>1443</v>
      </c>
      <c r="B2048" s="1587">
        <v>1736.0</v>
      </c>
      <c r="C2048" s="1563">
        <v>56.0</v>
      </c>
      <c r="D2048" s="1548">
        <v>16.3</v>
      </c>
      <c r="E2048" s="1557">
        <v>1620.0</v>
      </c>
      <c r="F2048" s="598">
        <v>5.0</v>
      </c>
      <c r="G2048" s="598">
        <v>12.0</v>
      </c>
      <c r="H2048" s="598">
        <v>1.0</v>
      </c>
      <c r="I2048" s="598">
        <v>1.0</v>
      </c>
      <c r="J2048" s="598">
        <v>6.0</v>
      </c>
      <c r="K2048" s="1561">
        <v>91.0</v>
      </c>
      <c r="L2048" s="1555">
        <v>58075.0</v>
      </c>
    </row>
    <row r="2049">
      <c r="A2049" s="1545" t="s">
        <v>1652</v>
      </c>
      <c r="B2049" s="1587">
        <v>73170.0</v>
      </c>
      <c r="C2049" s="1547">
        <v>1567.0</v>
      </c>
      <c r="D2049" s="1548">
        <v>10.6</v>
      </c>
      <c r="E2049" s="1557">
        <v>60056.0</v>
      </c>
      <c r="F2049" s="598">
        <v>3065.0</v>
      </c>
      <c r="G2049" s="598">
        <v>1810.0</v>
      </c>
      <c r="H2049" s="598">
        <v>2495.0</v>
      </c>
      <c r="I2049" s="598">
        <v>59.0</v>
      </c>
      <c r="J2049" s="598">
        <v>1006.0</v>
      </c>
      <c r="K2049" s="1561">
        <v>4679.0</v>
      </c>
      <c r="L2049" s="1551">
        <v>54311.0</v>
      </c>
    </row>
    <row r="2050">
      <c r="A2050" s="1545" t="s">
        <v>278</v>
      </c>
      <c r="B2050" s="1587">
        <v>2301.0</v>
      </c>
      <c r="C2050" s="1563">
        <v>102.0</v>
      </c>
      <c r="D2050" s="1548">
        <v>20.9</v>
      </c>
      <c r="E2050" s="1557">
        <v>2176.0</v>
      </c>
      <c r="F2050" s="598">
        <v>10.0</v>
      </c>
      <c r="G2050" s="598">
        <v>34.0</v>
      </c>
      <c r="H2050" s="598">
        <v>11.0</v>
      </c>
      <c r="I2050" s="598">
        <v>0.0</v>
      </c>
      <c r="J2050" s="598">
        <v>2.0</v>
      </c>
      <c r="K2050" s="1561">
        <v>68.0</v>
      </c>
      <c r="L2050" s="1551">
        <v>41295.0</v>
      </c>
    </row>
    <row r="2051">
      <c r="A2051" s="1545" t="s">
        <v>1653</v>
      </c>
      <c r="B2051" s="1587">
        <v>2306.0</v>
      </c>
      <c r="C2051" s="1563">
        <v>56.0</v>
      </c>
      <c r="D2051" s="1548">
        <v>12.5</v>
      </c>
      <c r="E2051" s="1557">
        <v>2205.0</v>
      </c>
      <c r="F2051" s="598">
        <v>8.0</v>
      </c>
      <c r="G2051" s="598">
        <v>12.0</v>
      </c>
      <c r="H2051" s="598">
        <v>7.0</v>
      </c>
      <c r="I2051" s="598">
        <v>0.0</v>
      </c>
      <c r="J2051" s="598">
        <v>6.0</v>
      </c>
      <c r="K2051" s="1561">
        <v>68.0</v>
      </c>
      <c r="L2051" s="1551">
        <v>54250.0</v>
      </c>
    </row>
    <row r="2052">
      <c r="A2052" s="1545" t="s">
        <v>1654</v>
      </c>
      <c r="B2052" s="1587">
        <v>2489.0</v>
      </c>
      <c r="C2052" s="1563">
        <v>93.0</v>
      </c>
      <c r="D2052" s="1548">
        <v>15.4</v>
      </c>
      <c r="E2052" s="1557">
        <v>2327.0</v>
      </c>
      <c r="F2052" s="598">
        <v>5.0</v>
      </c>
      <c r="G2052" s="598">
        <v>45.0</v>
      </c>
      <c r="H2052" s="598">
        <v>7.0</v>
      </c>
      <c r="I2052" s="598">
        <v>7.0</v>
      </c>
      <c r="J2052" s="598">
        <v>10.0</v>
      </c>
      <c r="K2052" s="1561">
        <v>88.0</v>
      </c>
      <c r="L2052" s="1551">
        <v>51455.0</v>
      </c>
    </row>
    <row r="2053">
      <c r="A2053" s="1545" t="s">
        <v>1655</v>
      </c>
      <c r="B2053" s="1587">
        <v>2394.0</v>
      </c>
      <c r="C2053" s="1563">
        <v>84.0</v>
      </c>
      <c r="D2053" s="1548">
        <v>16.5</v>
      </c>
      <c r="E2053" s="1557">
        <v>2278.0</v>
      </c>
      <c r="F2053" s="598">
        <v>3.0</v>
      </c>
      <c r="G2053" s="598">
        <v>12.0</v>
      </c>
      <c r="H2053" s="598">
        <v>2.0</v>
      </c>
      <c r="I2053" s="598">
        <v>6.0</v>
      </c>
      <c r="J2053" s="598">
        <v>29.0</v>
      </c>
      <c r="K2053" s="1561">
        <v>64.0</v>
      </c>
      <c r="L2053" s="1551">
        <v>45401.0</v>
      </c>
    </row>
    <row r="2054">
      <c r="A2054" s="1545" t="s">
        <v>3867</v>
      </c>
      <c r="B2054" s="1587">
        <v>4093.0</v>
      </c>
      <c r="C2054" s="1563">
        <v>117.0</v>
      </c>
      <c r="D2054" s="1548">
        <v>13.5</v>
      </c>
      <c r="E2054" s="1557">
        <v>3923.0</v>
      </c>
      <c r="F2054" s="598">
        <v>14.0</v>
      </c>
      <c r="G2054" s="598">
        <v>26.0</v>
      </c>
      <c r="H2054" s="598">
        <v>9.0</v>
      </c>
      <c r="I2054" s="598">
        <v>4.0</v>
      </c>
      <c r="J2054" s="598">
        <v>32.0</v>
      </c>
      <c r="K2054" s="1561">
        <v>85.0</v>
      </c>
      <c r="L2054" s="1551">
        <v>54514.0</v>
      </c>
    </row>
    <row r="2055">
      <c r="A2055" s="1545" t="s">
        <v>293</v>
      </c>
      <c r="B2055" s="1587">
        <v>1876.0</v>
      </c>
      <c r="C2055" s="1563">
        <v>78.0</v>
      </c>
      <c r="D2055" s="1548">
        <v>17.9</v>
      </c>
      <c r="E2055" s="1557">
        <v>1778.0</v>
      </c>
      <c r="F2055" s="598">
        <v>2.0</v>
      </c>
      <c r="G2055" s="598">
        <v>14.0</v>
      </c>
      <c r="H2055" s="598">
        <v>0.0</v>
      </c>
      <c r="I2055" s="598">
        <v>0.0</v>
      </c>
      <c r="J2055" s="598">
        <v>16.0</v>
      </c>
      <c r="K2055" s="1561">
        <v>66.0</v>
      </c>
      <c r="L2055" s="1551">
        <v>50141.0</v>
      </c>
    </row>
    <row r="2056">
      <c r="A2056" s="1545" t="s">
        <v>732</v>
      </c>
      <c r="B2056" s="1587">
        <v>5345.0</v>
      </c>
      <c r="C2056" s="1563">
        <v>171.0</v>
      </c>
      <c r="D2056" s="1548">
        <v>12.4</v>
      </c>
      <c r="E2056" s="1557">
        <v>5054.0</v>
      </c>
      <c r="F2056" s="598">
        <v>11.0</v>
      </c>
      <c r="G2056" s="598">
        <v>27.0</v>
      </c>
      <c r="H2056" s="598">
        <v>13.0</v>
      </c>
      <c r="I2056" s="598">
        <v>6.0</v>
      </c>
      <c r="J2056" s="598">
        <v>26.0</v>
      </c>
      <c r="K2056" s="1561">
        <v>208.0</v>
      </c>
      <c r="L2056" s="1551">
        <v>54795.0</v>
      </c>
    </row>
    <row r="2057">
      <c r="A2057" s="1545" t="s">
        <v>606</v>
      </c>
      <c r="B2057" s="1587">
        <v>2530.0</v>
      </c>
      <c r="C2057" s="1563">
        <v>81.0</v>
      </c>
      <c r="D2057" s="1548">
        <v>16.8</v>
      </c>
      <c r="E2057" s="1557">
        <v>2390.0</v>
      </c>
      <c r="F2057" s="598">
        <v>7.0</v>
      </c>
      <c r="G2057" s="598">
        <v>7.0</v>
      </c>
      <c r="H2057" s="598">
        <v>23.0</v>
      </c>
      <c r="I2057" s="598">
        <v>0.0</v>
      </c>
      <c r="J2057" s="598">
        <v>29.0</v>
      </c>
      <c r="K2057" s="1561">
        <v>74.0</v>
      </c>
      <c r="L2057" s="1551">
        <v>47288.0</v>
      </c>
    </row>
    <row r="2058">
      <c r="A2058" s="1545" t="s">
        <v>3868</v>
      </c>
      <c r="B2058" s="1587">
        <v>14704.0</v>
      </c>
      <c r="C2058" s="1563">
        <v>438.0</v>
      </c>
      <c r="D2058" s="1548">
        <v>10.4</v>
      </c>
      <c r="E2058" s="1557">
        <v>10638.0</v>
      </c>
      <c r="F2058" s="598">
        <v>218.0</v>
      </c>
      <c r="G2058" s="598">
        <v>1894.0</v>
      </c>
      <c r="H2058" s="598">
        <v>171.0</v>
      </c>
      <c r="I2058" s="598">
        <v>5.0</v>
      </c>
      <c r="J2058" s="598">
        <v>709.0</v>
      </c>
      <c r="K2058" s="1561">
        <v>1069.0</v>
      </c>
      <c r="L2058" s="1551">
        <v>76224.0</v>
      </c>
    </row>
    <row r="2059">
      <c r="A2059" s="1545" t="s">
        <v>2515</v>
      </c>
      <c r="B2059" s="1587">
        <v>9771.0</v>
      </c>
      <c r="C2059" s="1563">
        <v>225.0</v>
      </c>
      <c r="D2059" s="1548">
        <v>11.0</v>
      </c>
      <c r="E2059" s="1557">
        <v>8405.0</v>
      </c>
      <c r="F2059" s="598">
        <v>32.0</v>
      </c>
      <c r="G2059" s="598">
        <v>808.0</v>
      </c>
      <c r="H2059" s="598">
        <v>48.0</v>
      </c>
      <c r="I2059" s="598">
        <v>7.0</v>
      </c>
      <c r="J2059" s="598">
        <v>36.0</v>
      </c>
      <c r="K2059" s="1561">
        <v>435.0</v>
      </c>
      <c r="L2059" s="1551">
        <v>64524.0</v>
      </c>
    </row>
    <row r="2060">
      <c r="A2060" s="1545" t="s">
        <v>738</v>
      </c>
      <c r="B2060" s="1587">
        <v>8350.0</v>
      </c>
      <c r="C2060" s="1563">
        <v>129.0</v>
      </c>
      <c r="D2060" s="1548">
        <v>6.8</v>
      </c>
      <c r="E2060" s="1557">
        <v>7622.0</v>
      </c>
      <c r="F2060" s="598">
        <v>42.0</v>
      </c>
      <c r="G2060" s="598">
        <v>200.0</v>
      </c>
      <c r="H2060" s="598">
        <v>44.0</v>
      </c>
      <c r="I2060" s="598">
        <v>1.0</v>
      </c>
      <c r="J2060" s="598">
        <v>75.0</v>
      </c>
      <c r="K2060" s="1561">
        <v>366.0</v>
      </c>
      <c r="L2060" s="1551">
        <v>82303.0</v>
      </c>
    </row>
    <row r="2061">
      <c r="A2061" s="1545" t="s">
        <v>991</v>
      </c>
      <c r="B2061" s="1587">
        <v>33291.0</v>
      </c>
      <c r="C2061" s="1563">
        <v>684.0</v>
      </c>
      <c r="D2061" s="1548">
        <v>9.7</v>
      </c>
      <c r="E2061" s="1557">
        <v>29150.0</v>
      </c>
      <c r="F2061" s="598">
        <v>466.0</v>
      </c>
      <c r="G2061" s="598">
        <v>1323.0</v>
      </c>
      <c r="H2061" s="598">
        <v>175.0</v>
      </c>
      <c r="I2061" s="598">
        <v>40.0</v>
      </c>
      <c r="J2061" s="598">
        <v>508.0</v>
      </c>
      <c r="K2061" s="1561">
        <v>1629.0</v>
      </c>
      <c r="L2061" s="1551">
        <v>68043.0</v>
      </c>
    </row>
    <row r="2062">
      <c r="A2062" s="1545" t="s">
        <v>1658</v>
      </c>
      <c r="B2062" s="1587">
        <v>9809.0</v>
      </c>
      <c r="C2062" s="1563">
        <v>362.0</v>
      </c>
      <c r="D2062" s="1548">
        <v>13.4</v>
      </c>
      <c r="E2062" s="1557">
        <v>5706.0</v>
      </c>
      <c r="F2062" s="598">
        <v>113.0</v>
      </c>
      <c r="G2062" s="598">
        <v>2840.0</v>
      </c>
      <c r="H2062" s="598">
        <v>105.0</v>
      </c>
      <c r="I2062" s="598">
        <v>3.0</v>
      </c>
      <c r="J2062" s="598">
        <v>244.0</v>
      </c>
      <c r="K2062" s="1561">
        <v>798.0</v>
      </c>
      <c r="L2062" s="1551">
        <v>67162.0</v>
      </c>
    </row>
    <row r="2063">
      <c r="A2063" s="1545" t="s">
        <v>1125</v>
      </c>
      <c r="B2063" s="1587">
        <v>3015.0</v>
      </c>
      <c r="C2063" s="1563">
        <v>62.0</v>
      </c>
      <c r="D2063" s="1548">
        <v>11.2</v>
      </c>
      <c r="E2063" s="1557">
        <v>2863.0</v>
      </c>
      <c r="F2063" s="598">
        <v>6.0</v>
      </c>
      <c r="G2063" s="598">
        <v>26.0</v>
      </c>
      <c r="H2063" s="598">
        <v>9.0</v>
      </c>
      <c r="I2063" s="598">
        <v>1.0</v>
      </c>
      <c r="J2063" s="598">
        <v>23.0</v>
      </c>
      <c r="K2063" s="1561">
        <v>87.0</v>
      </c>
      <c r="L2063" s="1551">
        <v>50093.0</v>
      </c>
    </row>
    <row r="2064">
      <c r="A2064" s="1545" t="s">
        <v>1659</v>
      </c>
      <c r="B2064" s="1587">
        <v>1877.0</v>
      </c>
      <c r="C2064" s="1563">
        <v>62.0</v>
      </c>
      <c r="D2064" s="1548">
        <v>12.9</v>
      </c>
      <c r="E2064" s="1557">
        <v>1757.0</v>
      </c>
      <c r="F2064" s="598">
        <v>3.0</v>
      </c>
      <c r="G2064" s="598">
        <v>24.0</v>
      </c>
      <c r="H2064" s="598">
        <v>5.0</v>
      </c>
      <c r="I2064" s="598">
        <v>3.0</v>
      </c>
      <c r="J2064" s="598">
        <v>13.0</v>
      </c>
      <c r="K2064" s="1561">
        <v>72.0</v>
      </c>
      <c r="L2064" s="1551">
        <v>68243.0</v>
      </c>
    </row>
    <row r="2065">
      <c r="A2065" s="1545" t="s">
        <v>1660</v>
      </c>
      <c r="B2065" s="1587">
        <v>6844.0</v>
      </c>
      <c r="C2065" s="1563">
        <v>159.0</v>
      </c>
      <c r="D2065" s="1548">
        <v>11.2</v>
      </c>
      <c r="E2065" s="1557">
        <v>6173.0</v>
      </c>
      <c r="F2065" s="598">
        <v>29.0</v>
      </c>
      <c r="G2065" s="598">
        <v>135.0</v>
      </c>
      <c r="H2065" s="598">
        <v>27.0</v>
      </c>
      <c r="I2065" s="598">
        <v>0.0</v>
      </c>
      <c r="J2065" s="598">
        <v>76.0</v>
      </c>
      <c r="K2065" s="1561">
        <v>404.0</v>
      </c>
      <c r="L2065" s="1551">
        <v>58766.0</v>
      </c>
    </row>
    <row r="2066">
      <c r="A2066" s="1545" t="s">
        <v>473</v>
      </c>
      <c r="B2066" s="1587">
        <v>3990.0</v>
      </c>
      <c r="C2066" s="1563">
        <v>135.0</v>
      </c>
      <c r="D2066" s="1548">
        <v>14.8</v>
      </c>
      <c r="E2066" s="1557">
        <v>3637.0</v>
      </c>
      <c r="F2066" s="598">
        <v>38.0</v>
      </c>
      <c r="G2066" s="598">
        <v>146.0</v>
      </c>
      <c r="H2066" s="598">
        <v>17.0</v>
      </c>
      <c r="I2066" s="598">
        <v>5.0</v>
      </c>
      <c r="J2066" s="598">
        <v>27.0</v>
      </c>
      <c r="K2066" s="1561">
        <v>120.0</v>
      </c>
      <c r="L2066" s="1551">
        <v>47360.0</v>
      </c>
    </row>
    <row r="2067">
      <c r="A2067" s="1545" t="s">
        <v>645</v>
      </c>
      <c r="B2067" s="1587">
        <v>11605.0</v>
      </c>
      <c r="C2067" s="1563">
        <v>424.0</v>
      </c>
      <c r="D2067" s="1548">
        <v>16.0</v>
      </c>
      <c r="E2067" s="1557">
        <v>9438.0</v>
      </c>
      <c r="F2067" s="598">
        <v>73.0</v>
      </c>
      <c r="G2067" s="598">
        <v>1276.0</v>
      </c>
      <c r="H2067" s="598">
        <v>72.0</v>
      </c>
      <c r="I2067" s="598">
        <v>10.0</v>
      </c>
      <c r="J2067" s="598">
        <v>72.0</v>
      </c>
      <c r="K2067" s="1561">
        <v>664.0</v>
      </c>
      <c r="L2067" s="1551">
        <v>54814.0</v>
      </c>
    </row>
    <row r="2068">
      <c r="A2068" s="1545" t="s">
        <v>1661</v>
      </c>
      <c r="B2068" s="1587">
        <v>5703.0</v>
      </c>
      <c r="C2068" s="1563">
        <v>104.0</v>
      </c>
      <c r="D2068" s="1548">
        <v>9.0</v>
      </c>
      <c r="E2068" s="1557">
        <v>5400.0</v>
      </c>
      <c r="F2068" s="598">
        <v>38.0</v>
      </c>
      <c r="G2068" s="598">
        <v>18.0</v>
      </c>
      <c r="H2068" s="598">
        <v>25.0</v>
      </c>
      <c r="I2068" s="598">
        <v>0.0</v>
      </c>
      <c r="J2068" s="598">
        <v>53.0</v>
      </c>
      <c r="K2068" s="1561">
        <v>169.0</v>
      </c>
      <c r="L2068" s="1551">
        <v>61634.0</v>
      </c>
    </row>
    <row r="2069">
      <c r="A2069" s="1545" t="s">
        <v>1340</v>
      </c>
      <c r="B2069" s="1587">
        <v>2282.0</v>
      </c>
      <c r="C2069" s="1563">
        <v>42.0</v>
      </c>
      <c r="D2069" s="1548">
        <v>7.8</v>
      </c>
      <c r="E2069" s="1557">
        <v>2161.0</v>
      </c>
      <c r="F2069" s="598">
        <v>5.0</v>
      </c>
      <c r="G2069" s="598">
        <v>15.0</v>
      </c>
      <c r="H2069" s="598">
        <v>1.0</v>
      </c>
      <c r="I2069" s="598">
        <v>0.0</v>
      </c>
      <c r="J2069" s="598">
        <v>7.0</v>
      </c>
      <c r="K2069" s="1561">
        <v>93.0</v>
      </c>
      <c r="L2069" s="1551">
        <v>60205.0</v>
      </c>
    </row>
    <row r="2070">
      <c r="A2070" s="1545" t="s">
        <v>743</v>
      </c>
      <c r="B2070" s="1587">
        <v>16529.0</v>
      </c>
      <c r="C2070" s="1563">
        <v>392.0</v>
      </c>
      <c r="D2070" s="1548">
        <v>11.1</v>
      </c>
      <c r="E2070" s="1557">
        <v>14874.0</v>
      </c>
      <c r="F2070" s="598">
        <v>155.0</v>
      </c>
      <c r="G2070" s="598">
        <v>467.0</v>
      </c>
      <c r="H2070" s="598">
        <v>128.0</v>
      </c>
      <c r="I2070" s="598">
        <v>23.0</v>
      </c>
      <c r="J2070" s="598">
        <v>244.0</v>
      </c>
      <c r="K2070" s="1561">
        <v>638.0</v>
      </c>
      <c r="L2070" s="1551">
        <v>61174.0</v>
      </c>
    </row>
    <row r="2071">
      <c r="A2071" s="1545" t="s">
        <v>1662</v>
      </c>
      <c r="B2071" s="1587">
        <v>12187.0</v>
      </c>
      <c r="C2071" s="1547">
        <v>1338.0</v>
      </c>
      <c r="D2071" s="1548">
        <v>27.7</v>
      </c>
      <c r="E2071" s="1557">
        <v>2319.0</v>
      </c>
      <c r="F2071" s="598">
        <v>17.0</v>
      </c>
      <c r="G2071" s="598">
        <v>9278.0</v>
      </c>
      <c r="H2071" s="598">
        <v>25.0</v>
      </c>
      <c r="I2071" s="598">
        <v>8.0</v>
      </c>
      <c r="J2071" s="598">
        <v>17.0</v>
      </c>
      <c r="K2071" s="1561">
        <v>523.0</v>
      </c>
      <c r="L2071" s="1551">
        <v>42021.0</v>
      </c>
    </row>
    <row r="2072">
      <c r="A2072" s="1545" t="s">
        <v>1663</v>
      </c>
      <c r="B2072" s="1587">
        <v>3862.0</v>
      </c>
      <c r="C2072" s="1563">
        <v>86.0</v>
      </c>
      <c r="D2072" s="1548">
        <v>10.9</v>
      </c>
      <c r="E2072" s="1557">
        <v>3599.0</v>
      </c>
      <c r="F2072" s="598">
        <v>50.0</v>
      </c>
      <c r="G2072" s="598">
        <v>13.0</v>
      </c>
      <c r="H2072" s="598">
        <v>14.0</v>
      </c>
      <c r="I2072" s="598">
        <v>0.0</v>
      </c>
      <c r="J2072" s="598">
        <v>28.0</v>
      </c>
      <c r="K2072" s="1561">
        <v>158.0</v>
      </c>
      <c r="L2072" s="1551">
        <v>64756.0</v>
      </c>
    </row>
    <row r="2073">
      <c r="A2073" s="1545" t="s">
        <v>1010</v>
      </c>
      <c r="B2073" s="1587">
        <v>1265.0</v>
      </c>
      <c r="C2073" s="1563">
        <v>60.0</v>
      </c>
      <c r="D2073" s="1548">
        <v>23.4</v>
      </c>
      <c r="E2073" s="1557">
        <v>1191.0</v>
      </c>
      <c r="F2073" s="598">
        <v>2.0</v>
      </c>
      <c r="G2073" s="598">
        <v>11.0</v>
      </c>
      <c r="H2073" s="598">
        <v>8.0</v>
      </c>
      <c r="I2073" s="598">
        <v>0.0</v>
      </c>
      <c r="J2073" s="598">
        <v>5.0</v>
      </c>
      <c r="K2073" s="1561">
        <v>48.0</v>
      </c>
      <c r="L2073" s="1551">
        <v>39439.0</v>
      </c>
    </row>
    <row r="2074">
      <c r="A2074" s="1545" t="s">
        <v>937</v>
      </c>
      <c r="B2074" s="1587">
        <v>3898.0</v>
      </c>
      <c r="C2074" s="1563">
        <v>575.0</v>
      </c>
      <c r="D2074" s="1548">
        <v>37.6</v>
      </c>
      <c r="E2074" s="1557">
        <v>401.0</v>
      </c>
      <c r="F2074" s="598">
        <v>3.0</v>
      </c>
      <c r="G2074" s="598">
        <v>3332.0</v>
      </c>
      <c r="H2074" s="598">
        <v>2.0</v>
      </c>
      <c r="I2074" s="598">
        <v>0.0</v>
      </c>
      <c r="J2074" s="598">
        <v>5.0</v>
      </c>
      <c r="K2074" s="1561">
        <v>155.0</v>
      </c>
      <c r="L2074" s="1551">
        <v>37002.0</v>
      </c>
    </row>
    <row r="2075">
      <c r="A2075" s="1545" t="s">
        <v>1664</v>
      </c>
      <c r="B2075" s="1621">
        <v>706.0</v>
      </c>
      <c r="C2075" s="1563">
        <v>27.0</v>
      </c>
      <c r="D2075" s="1548">
        <v>17.3</v>
      </c>
      <c r="E2075" s="1557">
        <v>680.0</v>
      </c>
      <c r="F2075" s="598">
        <v>3.0</v>
      </c>
      <c r="G2075" s="598">
        <v>2.0</v>
      </c>
      <c r="H2075" s="598">
        <v>0.0</v>
      </c>
      <c r="I2075" s="598">
        <v>0.0</v>
      </c>
      <c r="J2075" s="598">
        <v>0.0</v>
      </c>
      <c r="K2075" s="1561">
        <v>21.0</v>
      </c>
      <c r="L2075" s="1551">
        <v>49843.0</v>
      </c>
    </row>
    <row r="2076">
      <c r="A2076" s="1545" t="s">
        <v>747</v>
      </c>
      <c r="B2076" s="1587">
        <v>33646.0</v>
      </c>
      <c r="C2076" s="1563">
        <v>613.0</v>
      </c>
      <c r="D2076" s="1548">
        <v>7.4</v>
      </c>
      <c r="E2076" s="1557">
        <v>28924.0</v>
      </c>
      <c r="F2076" s="598">
        <v>1050.0</v>
      </c>
      <c r="G2076" s="598">
        <v>469.0</v>
      </c>
      <c r="H2076" s="598">
        <v>356.0</v>
      </c>
      <c r="I2076" s="598">
        <v>56.0</v>
      </c>
      <c r="J2076" s="598">
        <v>928.0</v>
      </c>
      <c r="K2076" s="1561">
        <v>1863.0</v>
      </c>
      <c r="L2076" s="1551">
        <v>71888.0</v>
      </c>
    </row>
    <row r="2077">
      <c r="A2077" s="1545" t="s">
        <v>1347</v>
      </c>
      <c r="B2077" s="1587">
        <v>1798.0</v>
      </c>
      <c r="C2077" s="1563">
        <v>45.0</v>
      </c>
      <c r="D2077" s="1548">
        <v>11.0</v>
      </c>
      <c r="E2077" s="1557">
        <v>1732.0</v>
      </c>
      <c r="F2077" s="598">
        <v>3.0</v>
      </c>
      <c r="G2077" s="598">
        <v>7.0</v>
      </c>
      <c r="H2077" s="598">
        <v>0.0</v>
      </c>
      <c r="I2077" s="598">
        <v>4.0</v>
      </c>
      <c r="J2077" s="598">
        <v>5.0</v>
      </c>
      <c r="K2077" s="1561">
        <v>47.0</v>
      </c>
      <c r="L2077" s="1551">
        <v>66929.0</v>
      </c>
    </row>
    <row r="2078">
      <c r="A2078" s="1545" t="s">
        <v>1665</v>
      </c>
      <c r="B2078" s="1587">
        <v>21593.0</v>
      </c>
      <c r="C2078" s="1563">
        <v>471.0</v>
      </c>
      <c r="D2078" s="1548">
        <v>11.5</v>
      </c>
      <c r="E2078" s="1557">
        <v>19722.0</v>
      </c>
      <c r="F2078" s="598">
        <v>456.0</v>
      </c>
      <c r="G2078" s="598">
        <v>301.0</v>
      </c>
      <c r="H2078" s="598">
        <v>137.0</v>
      </c>
      <c r="I2078" s="598">
        <v>4.0</v>
      </c>
      <c r="J2078" s="598">
        <v>190.0</v>
      </c>
      <c r="K2078" s="1561">
        <v>783.0</v>
      </c>
      <c r="L2078" s="1551">
        <v>57002.0</v>
      </c>
    </row>
    <row r="2079">
      <c r="A2079" s="1545" t="s">
        <v>1666</v>
      </c>
      <c r="B2079" s="1587">
        <v>2162.0</v>
      </c>
      <c r="C2079" s="1563">
        <v>51.0</v>
      </c>
      <c r="D2079" s="1548">
        <v>11.0</v>
      </c>
      <c r="E2079" s="1557">
        <v>1987.0</v>
      </c>
      <c r="F2079" s="598">
        <v>2.0</v>
      </c>
      <c r="G2079" s="598">
        <v>71.0</v>
      </c>
      <c r="H2079" s="598">
        <v>10.0</v>
      </c>
      <c r="I2079" s="598">
        <v>1.0</v>
      </c>
      <c r="J2079" s="598">
        <v>14.0</v>
      </c>
      <c r="K2079" s="1561">
        <v>77.0</v>
      </c>
      <c r="L2079" s="1551">
        <v>51848.0</v>
      </c>
    </row>
    <row r="2080">
      <c r="A2080" s="1545" t="s">
        <v>1667</v>
      </c>
      <c r="B2080" s="1587">
        <v>7997.0</v>
      </c>
      <c r="C2080" s="1563">
        <v>152.0</v>
      </c>
      <c r="D2080" s="1548">
        <v>8.3</v>
      </c>
      <c r="E2080" s="1557">
        <v>7410.0</v>
      </c>
      <c r="F2080" s="598">
        <v>48.0</v>
      </c>
      <c r="G2080" s="598">
        <v>74.0</v>
      </c>
      <c r="H2080" s="598">
        <v>18.0</v>
      </c>
      <c r="I2080" s="598">
        <v>4.0</v>
      </c>
      <c r="J2080" s="598">
        <v>83.0</v>
      </c>
      <c r="K2080" s="1561">
        <v>360.0</v>
      </c>
      <c r="L2080" s="1551">
        <v>59931.0</v>
      </c>
    </row>
    <row r="2081">
      <c r="A2081" s="1545" t="s">
        <v>1668</v>
      </c>
      <c r="B2081" s="1587">
        <v>10563.0</v>
      </c>
      <c r="C2081" s="1563">
        <v>315.0</v>
      </c>
      <c r="D2081" s="1548">
        <v>13.1</v>
      </c>
      <c r="E2081" s="1557">
        <v>9085.0</v>
      </c>
      <c r="F2081" s="598">
        <v>71.0</v>
      </c>
      <c r="G2081" s="598">
        <v>145.0</v>
      </c>
      <c r="H2081" s="598">
        <v>47.0</v>
      </c>
      <c r="I2081" s="598">
        <v>0.0</v>
      </c>
      <c r="J2081" s="598">
        <v>416.0</v>
      </c>
      <c r="K2081" s="1561">
        <v>799.0</v>
      </c>
      <c r="L2081" s="1555">
        <v>59705.0</v>
      </c>
    </row>
    <row r="2082">
      <c r="A2082" s="1545" t="s">
        <v>1669</v>
      </c>
      <c r="B2082" s="1587">
        <v>69919.0</v>
      </c>
      <c r="C2082" s="1547">
        <v>1497.0</v>
      </c>
      <c r="D2082" s="1548">
        <v>9.5</v>
      </c>
      <c r="E2082" s="1557">
        <v>57038.0</v>
      </c>
      <c r="F2082" s="598">
        <v>3024.0</v>
      </c>
      <c r="G2082" s="598">
        <v>1706.0</v>
      </c>
      <c r="H2082" s="598">
        <v>1120.0</v>
      </c>
      <c r="I2082" s="598">
        <v>133.0</v>
      </c>
      <c r="J2082" s="598">
        <v>1380.0</v>
      </c>
      <c r="K2082" s="1561">
        <v>5518.0</v>
      </c>
      <c r="L2082" s="1555">
        <v>63938.0</v>
      </c>
    </row>
    <row r="2083">
      <c r="A2083" s="1545" t="s">
        <v>876</v>
      </c>
      <c r="B2083" s="1587">
        <v>3982.0</v>
      </c>
      <c r="C2083" s="1563">
        <v>120.0</v>
      </c>
      <c r="D2083" s="1548">
        <v>14.5</v>
      </c>
      <c r="E2083" s="1557">
        <v>3801.0</v>
      </c>
      <c r="F2083" s="598">
        <v>18.0</v>
      </c>
      <c r="G2083" s="598">
        <v>17.0</v>
      </c>
      <c r="H2083" s="598">
        <v>12.0</v>
      </c>
      <c r="I2083" s="598">
        <v>0.0</v>
      </c>
      <c r="J2083" s="598">
        <v>11.0</v>
      </c>
      <c r="K2083" s="1561">
        <v>123.0</v>
      </c>
      <c r="L2083" s="1615">
        <v>58261.0</v>
      </c>
    </row>
    <row r="2084">
      <c r="A2084" s="1528" t="s">
        <v>1670</v>
      </c>
      <c r="B2084" s="1595">
        <v>40950.0</v>
      </c>
      <c r="C2084" s="1582">
        <v>758.0</v>
      </c>
      <c r="D2084" s="1567">
        <v>7.6</v>
      </c>
      <c r="E2084" s="1532">
        <v>31854.0</v>
      </c>
      <c r="F2084" s="1533">
        <v>2096.0</v>
      </c>
      <c r="G2084" s="1533">
        <v>1199.0</v>
      </c>
      <c r="H2084" s="1533">
        <v>636.0</v>
      </c>
      <c r="I2084" s="1533">
        <v>101.0</v>
      </c>
      <c r="J2084" s="1533">
        <v>1527.0</v>
      </c>
      <c r="K2084" s="1616">
        <v>3537.0</v>
      </c>
      <c r="L2084" s="1617">
        <v>79354.0</v>
      </c>
    </row>
    <row r="2085">
      <c r="A2085" s="1538" t="s">
        <v>100</v>
      </c>
      <c r="B2085" s="1596">
        <v>1.1799448E7</v>
      </c>
      <c r="C2085" s="1540">
        <v>489053.0</v>
      </c>
      <c r="D2085" s="1571">
        <v>19.2</v>
      </c>
      <c r="E2085" s="1572">
        <v>9080688.0</v>
      </c>
      <c r="F2085" s="1542">
        <v>1478781.0</v>
      </c>
      <c r="G2085" s="1542">
        <v>30720.0</v>
      </c>
      <c r="H2085" s="1542">
        <v>298509.0</v>
      </c>
      <c r="I2085" s="1542">
        <v>5034.0</v>
      </c>
      <c r="J2085" s="1542">
        <v>224344.0</v>
      </c>
      <c r="K2085" s="1543">
        <v>681372.0</v>
      </c>
      <c r="L2085" s="1544">
        <v>56155.0</v>
      </c>
    </row>
    <row r="2086">
      <c r="A2086" s="1545" t="s">
        <v>386</v>
      </c>
      <c r="B2086" s="1586">
        <v>27477.0</v>
      </c>
      <c r="C2086" s="1547">
        <v>1865.0</v>
      </c>
      <c r="D2086" s="1548">
        <v>29.1</v>
      </c>
      <c r="E2086" s="1557">
        <v>26277.0</v>
      </c>
      <c r="F2086" s="598">
        <v>84.0</v>
      </c>
      <c r="G2086" s="598">
        <v>78.0</v>
      </c>
      <c r="H2086" s="598">
        <v>39.0</v>
      </c>
      <c r="I2086" s="598">
        <v>1.0</v>
      </c>
      <c r="J2086" s="598">
        <v>79.0</v>
      </c>
      <c r="K2086" s="1561">
        <v>919.0</v>
      </c>
      <c r="L2086" s="1555">
        <v>42154.0</v>
      </c>
    </row>
    <row r="2087">
      <c r="A2087" s="1545" t="s">
        <v>755</v>
      </c>
      <c r="B2087" s="1587">
        <v>102206.0</v>
      </c>
      <c r="C2087" s="1547">
        <v>4315.0</v>
      </c>
      <c r="D2087" s="1548">
        <v>18.7</v>
      </c>
      <c r="E2087" s="1557">
        <v>80753.0</v>
      </c>
      <c r="F2087" s="598">
        <v>12573.0</v>
      </c>
      <c r="G2087" s="598">
        <v>300.0</v>
      </c>
      <c r="H2087" s="598">
        <v>840.0</v>
      </c>
      <c r="I2087" s="598">
        <v>53.0</v>
      </c>
      <c r="J2087" s="598">
        <v>1450.0</v>
      </c>
      <c r="K2087" s="1561">
        <v>6237.0</v>
      </c>
      <c r="L2087" s="1551">
        <v>50301.0</v>
      </c>
    </row>
    <row r="2088">
      <c r="A2088" s="1545" t="s">
        <v>1671</v>
      </c>
      <c r="B2088" s="1587">
        <v>52447.0</v>
      </c>
      <c r="C2088" s="1547">
        <v>1481.0</v>
      </c>
      <c r="D2088" s="1548">
        <v>12.6</v>
      </c>
      <c r="E2088" s="1557">
        <v>49249.0</v>
      </c>
      <c r="F2088" s="598">
        <v>394.0</v>
      </c>
      <c r="G2088" s="598">
        <v>114.0</v>
      </c>
      <c r="H2088" s="598">
        <v>322.0</v>
      </c>
      <c r="I2088" s="598">
        <v>33.0</v>
      </c>
      <c r="J2088" s="598">
        <v>285.0</v>
      </c>
      <c r="K2088" s="1561">
        <v>2050.0</v>
      </c>
      <c r="L2088" s="1555">
        <v>54362.0</v>
      </c>
    </row>
    <row r="2089">
      <c r="A2089" s="1545" t="s">
        <v>1672</v>
      </c>
      <c r="B2089" s="1587">
        <v>97574.0</v>
      </c>
      <c r="C2089" s="1547">
        <v>5031.0</v>
      </c>
      <c r="D2089" s="1548">
        <v>24.0</v>
      </c>
      <c r="E2089" s="1557">
        <v>85486.0</v>
      </c>
      <c r="F2089" s="598">
        <v>3606.0</v>
      </c>
      <c r="G2089" s="598">
        <v>203.0</v>
      </c>
      <c r="H2089" s="598">
        <v>349.0</v>
      </c>
      <c r="I2089" s="598">
        <v>18.0</v>
      </c>
      <c r="J2089" s="598">
        <v>1659.0</v>
      </c>
      <c r="K2089" s="1561">
        <v>6253.0</v>
      </c>
      <c r="L2089" s="1555">
        <v>46950.0</v>
      </c>
    </row>
    <row r="2090">
      <c r="A2090" s="1545" t="s">
        <v>1673</v>
      </c>
      <c r="B2090" s="1587">
        <v>62431.0</v>
      </c>
      <c r="C2090" s="1547">
        <v>2491.0</v>
      </c>
      <c r="D2090" s="1548">
        <v>26.8</v>
      </c>
      <c r="E2090" s="1557">
        <v>54513.0</v>
      </c>
      <c r="F2090" s="598">
        <v>2894.0</v>
      </c>
      <c r="G2090" s="598">
        <v>247.0</v>
      </c>
      <c r="H2090" s="598">
        <v>1223.0</v>
      </c>
      <c r="I2090" s="598">
        <v>2.0</v>
      </c>
      <c r="J2090" s="598">
        <v>630.0</v>
      </c>
      <c r="K2090" s="1561">
        <v>2922.0</v>
      </c>
      <c r="L2090" s="1551">
        <v>40416.0</v>
      </c>
    </row>
    <row r="2091">
      <c r="A2091" s="1545" t="s">
        <v>1674</v>
      </c>
      <c r="B2091" s="1587">
        <v>46422.0</v>
      </c>
      <c r="C2091" s="1563">
        <v>889.0</v>
      </c>
      <c r="D2091" s="1548">
        <v>8.2</v>
      </c>
      <c r="E2091" s="1557">
        <v>43929.0</v>
      </c>
      <c r="F2091" s="598">
        <v>240.0</v>
      </c>
      <c r="G2091" s="598">
        <v>86.0</v>
      </c>
      <c r="H2091" s="598">
        <v>255.0</v>
      </c>
      <c r="I2091" s="598">
        <v>41.0</v>
      </c>
      <c r="J2091" s="598">
        <v>271.0</v>
      </c>
      <c r="K2091" s="1561">
        <v>1600.0</v>
      </c>
      <c r="L2091" s="1555">
        <v>63754.0</v>
      </c>
    </row>
    <row r="2092">
      <c r="A2092" s="1545" t="s">
        <v>1675</v>
      </c>
      <c r="B2092" s="1587">
        <v>66497.0</v>
      </c>
      <c r="C2092" s="1547">
        <v>2184.0</v>
      </c>
      <c r="D2092" s="1548">
        <v>17.7</v>
      </c>
      <c r="E2092" s="1557">
        <v>60831.0</v>
      </c>
      <c r="F2092" s="598">
        <v>2117.0</v>
      </c>
      <c r="G2092" s="598">
        <v>89.0</v>
      </c>
      <c r="H2092" s="598">
        <v>266.0</v>
      </c>
      <c r="I2092" s="598">
        <v>11.0</v>
      </c>
      <c r="J2092" s="598">
        <v>337.0</v>
      </c>
      <c r="K2092" s="1561">
        <v>2846.0</v>
      </c>
      <c r="L2092" s="1551">
        <v>48989.0</v>
      </c>
    </row>
    <row r="2093">
      <c r="A2093" s="1545" t="s">
        <v>706</v>
      </c>
      <c r="B2093" s="1587">
        <v>43676.0</v>
      </c>
      <c r="C2093" s="1547">
        <v>1788.0</v>
      </c>
      <c r="D2093" s="1548">
        <v>18.4</v>
      </c>
      <c r="E2093" s="1557">
        <v>41237.0</v>
      </c>
      <c r="F2093" s="598">
        <v>304.0</v>
      </c>
      <c r="G2093" s="598">
        <v>75.0</v>
      </c>
      <c r="H2093" s="598">
        <v>97.0</v>
      </c>
      <c r="I2093" s="598">
        <v>5.0</v>
      </c>
      <c r="J2093" s="598">
        <v>196.0</v>
      </c>
      <c r="K2093" s="1561">
        <v>1762.0</v>
      </c>
      <c r="L2093" s="1555">
        <v>55334.0</v>
      </c>
    </row>
    <row r="2094">
      <c r="A2094" s="1545" t="s">
        <v>87</v>
      </c>
      <c r="B2094" s="1587">
        <v>390357.0</v>
      </c>
      <c r="C2094" s="1547">
        <v>13610.0</v>
      </c>
      <c r="D2094" s="1548">
        <v>15.4</v>
      </c>
      <c r="E2094" s="1557">
        <v>299100.0</v>
      </c>
      <c r="F2094" s="598">
        <v>34704.0</v>
      </c>
      <c r="G2094" s="598">
        <v>1481.0</v>
      </c>
      <c r="H2094" s="598">
        <v>15730.0</v>
      </c>
      <c r="I2094" s="598">
        <v>494.0</v>
      </c>
      <c r="J2094" s="598">
        <v>13495.0</v>
      </c>
      <c r="K2094" s="1561">
        <v>25353.0</v>
      </c>
      <c r="L2094" s="1551">
        <v>61053.0</v>
      </c>
    </row>
    <row r="2095">
      <c r="A2095" s="1545" t="s">
        <v>248</v>
      </c>
      <c r="B2095" s="1587">
        <v>26721.0</v>
      </c>
      <c r="C2095" s="1563">
        <v>956.0</v>
      </c>
      <c r="D2095" s="1548">
        <v>17.3</v>
      </c>
      <c r="E2095" s="1557">
        <v>25307.0</v>
      </c>
      <c r="F2095" s="598">
        <v>122.0</v>
      </c>
      <c r="G2095" s="598">
        <v>77.0</v>
      </c>
      <c r="H2095" s="598">
        <v>52.0</v>
      </c>
      <c r="I2095" s="598">
        <v>4.0</v>
      </c>
      <c r="J2095" s="598">
        <v>135.0</v>
      </c>
      <c r="K2095" s="1561">
        <v>1024.0</v>
      </c>
      <c r="L2095" s="1551">
        <v>50002.0</v>
      </c>
    </row>
    <row r="2096">
      <c r="A2096" s="1545" t="s">
        <v>709</v>
      </c>
      <c r="B2096" s="1587">
        <v>38714.0</v>
      </c>
      <c r="C2096" s="1547">
        <v>1239.0</v>
      </c>
      <c r="D2096" s="1548">
        <v>14.8</v>
      </c>
      <c r="E2096" s="1557">
        <v>35615.0</v>
      </c>
      <c r="F2096" s="598">
        <v>688.0</v>
      </c>
      <c r="G2096" s="598">
        <v>91.0</v>
      </c>
      <c r="H2096" s="598">
        <v>129.0</v>
      </c>
      <c r="I2096" s="598">
        <v>7.0</v>
      </c>
      <c r="J2096" s="598">
        <v>238.0</v>
      </c>
      <c r="K2096" s="1561">
        <v>1946.0</v>
      </c>
      <c r="L2096" s="1555">
        <v>57701.0</v>
      </c>
    </row>
    <row r="2097">
      <c r="A2097" s="1545" t="s">
        <v>253</v>
      </c>
      <c r="B2097" s="1587">
        <v>136001.0</v>
      </c>
      <c r="C2097" s="1547">
        <v>6352.0</v>
      </c>
      <c r="D2097" s="1548">
        <v>21.7</v>
      </c>
      <c r="E2097" s="1557">
        <v>111088.0</v>
      </c>
      <c r="F2097" s="598">
        <v>12200.0</v>
      </c>
      <c r="G2097" s="598">
        <v>419.0</v>
      </c>
      <c r="H2097" s="598">
        <v>902.0</v>
      </c>
      <c r="I2097" s="598">
        <v>93.0</v>
      </c>
      <c r="J2097" s="598">
        <v>2635.0</v>
      </c>
      <c r="K2097" s="1561">
        <v>8664.0</v>
      </c>
      <c r="L2097" s="1555">
        <v>50089.0</v>
      </c>
    </row>
    <row r="2098">
      <c r="A2098" s="1545" t="s">
        <v>1676</v>
      </c>
      <c r="B2098" s="1587">
        <v>208601.0</v>
      </c>
      <c r="C2098" s="1547">
        <v>4723.0</v>
      </c>
      <c r="D2098" s="1548">
        <v>10.2</v>
      </c>
      <c r="E2098" s="1557">
        <v>189024.0</v>
      </c>
      <c r="F2098" s="598">
        <v>3347.0</v>
      </c>
      <c r="G2098" s="598">
        <v>449.0</v>
      </c>
      <c r="H2098" s="598">
        <v>2549.0</v>
      </c>
      <c r="I2098" s="598">
        <v>63.0</v>
      </c>
      <c r="J2098" s="598">
        <v>1946.0</v>
      </c>
      <c r="K2098" s="1561">
        <v>11223.0</v>
      </c>
      <c r="L2098" s="1551">
        <v>65280.0</v>
      </c>
    </row>
    <row r="2099">
      <c r="A2099" s="1545" t="s">
        <v>711</v>
      </c>
      <c r="B2099" s="1587">
        <v>42018.0</v>
      </c>
      <c r="C2099" s="1547">
        <v>1571.0</v>
      </c>
      <c r="D2099" s="1548">
        <v>16.6</v>
      </c>
      <c r="E2099" s="1557">
        <v>38484.0</v>
      </c>
      <c r="F2099" s="598">
        <v>832.0</v>
      </c>
      <c r="G2099" s="598">
        <v>104.0</v>
      </c>
      <c r="H2099" s="598">
        <v>206.0</v>
      </c>
      <c r="I2099" s="598">
        <v>6.0</v>
      </c>
      <c r="J2099" s="598">
        <v>433.0</v>
      </c>
      <c r="K2099" s="1561">
        <v>1953.0</v>
      </c>
      <c r="L2099" s="1555">
        <v>53947.0</v>
      </c>
    </row>
    <row r="2100">
      <c r="A2100" s="1545" t="s">
        <v>1677</v>
      </c>
      <c r="B2100" s="1587">
        <v>101877.0</v>
      </c>
      <c r="C2100" s="1547">
        <v>4539.0</v>
      </c>
      <c r="D2100" s="1548">
        <v>22.3</v>
      </c>
      <c r="E2100" s="1557">
        <v>94155.0</v>
      </c>
      <c r="F2100" s="598">
        <v>2122.0</v>
      </c>
      <c r="G2100" s="598">
        <v>319.0</v>
      </c>
      <c r="H2100" s="598">
        <v>346.0</v>
      </c>
      <c r="I2100" s="598">
        <v>16.0</v>
      </c>
      <c r="J2100" s="598">
        <v>615.0</v>
      </c>
      <c r="K2100" s="1561">
        <v>4304.0</v>
      </c>
      <c r="L2100" s="1551">
        <v>44938.0</v>
      </c>
    </row>
    <row r="2101">
      <c r="A2101" s="1545" t="s">
        <v>1678</v>
      </c>
      <c r="B2101" s="1587">
        <v>36612.0</v>
      </c>
      <c r="C2101" s="1547">
        <v>2048.0</v>
      </c>
      <c r="D2101" s="1548">
        <v>24.2</v>
      </c>
      <c r="E2101" s="1557">
        <v>34730.0</v>
      </c>
      <c r="F2101" s="598">
        <v>397.0</v>
      </c>
      <c r="G2101" s="598">
        <v>63.0</v>
      </c>
      <c r="H2101" s="598">
        <v>104.0</v>
      </c>
      <c r="I2101" s="598">
        <v>13.0</v>
      </c>
      <c r="J2101" s="598">
        <v>120.0</v>
      </c>
      <c r="K2101" s="1561">
        <v>1185.0</v>
      </c>
      <c r="L2101" s="1551">
        <v>46420.0</v>
      </c>
    </row>
    <row r="2102">
      <c r="A2102" s="1545" t="s">
        <v>263</v>
      </c>
      <c r="B2102" s="1587">
        <v>42025.0</v>
      </c>
      <c r="C2102" s="1547">
        <v>1772.0</v>
      </c>
      <c r="D2102" s="1548">
        <v>20.4</v>
      </c>
      <c r="E2102" s="1557">
        <v>39652.0</v>
      </c>
      <c r="F2102" s="598">
        <v>319.0</v>
      </c>
      <c r="G2102" s="598">
        <v>40.0</v>
      </c>
      <c r="H2102" s="598">
        <v>137.0</v>
      </c>
      <c r="I2102" s="598">
        <v>12.0</v>
      </c>
      <c r="J2102" s="598">
        <v>181.0</v>
      </c>
      <c r="K2102" s="1561">
        <v>1684.0</v>
      </c>
      <c r="L2102" s="1555">
        <v>44715.0</v>
      </c>
    </row>
    <row r="2103">
      <c r="A2103" s="1545" t="s">
        <v>359</v>
      </c>
      <c r="B2103" s="1587">
        <v>1264817.0</v>
      </c>
      <c r="C2103" s="1547">
        <v>67452.0</v>
      </c>
      <c r="D2103" s="1548">
        <v>26.6</v>
      </c>
      <c r="E2103" s="1557">
        <v>736116.0</v>
      </c>
      <c r="F2103" s="598">
        <v>370895.0</v>
      </c>
      <c r="G2103" s="598">
        <v>2990.0</v>
      </c>
      <c r="H2103" s="598">
        <v>44071.0</v>
      </c>
      <c r="I2103" s="598">
        <v>361.0</v>
      </c>
      <c r="J2103" s="598">
        <v>35716.0</v>
      </c>
      <c r="K2103" s="1561">
        <v>74668.0</v>
      </c>
      <c r="L2103" s="1551">
        <v>50006.0</v>
      </c>
    </row>
    <row r="2104">
      <c r="A2104" s="1545" t="s">
        <v>1679</v>
      </c>
      <c r="B2104" s="1587">
        <v>51881.0</v>
      </c>
      <c r="C2104" s="1547">
        <v>1493.0</v>
      </c>
      <c r="D2104" s="1548">
        <v>12.6</v>
      </c>
      <c r="E2104" s="1557">
        <v>49322.0</v>
      </c>
      <c r="F2104" s="598">
        <v>303.0</v>
      </c>
      <c r="G2104" s="598">
        <v>107.0</v>
      </c>
      <c r="H2104" s="598">
        <v>182.0</v>
      </c>
      <c r="I2104" s="598">
        <v>26.0</v>
      </c>
      <c r="J2104" s="598">
        <v>353.0</v>
      </c>
      <c r="K2104" s="1561">
        <v>1588.0</v>
      </c>
      <c r="L2104" s="1551">
        <v>53853.0</v>
      </c>
    </row>
    <row r="2105">
      <c r="A2105" s="1545" t="s">
        <v>1680</v>
      </c>
      <c r="B2105" s="1587">
        <v>38286.0</v>
      </c>
      <c r="C2105" s="1547">
        <v>1192.0</v>
      </c>
      <c r="D2105" s="1548">
        <v>14.0</v>
      </c>
      <c r="E2105" s="1557">
        <v>33648.0</v>
      </c>
      <c r="F2105" s="598">
        <v>668.0</v>
      </c>
      <c r="G2105" s="598">
        <v>145.0</v>
      </c>
      <c r="H2105" s="598">
        <v>142.0</v>
      </c>
      <c r="I2105" s="598">
        <v>17.0</v>
      </c>
      <c r="J2105" s="598">
        <v>1358.0</v>
      </c>
      <c r="K2105" s="1561">
        <v>2308.0</v>
      </c>
      <c r="L2105" s="1555">
        <v>56740.0</v>
      </c>
    </row>
    <row r="2106">
      <c r="A2106" s="1545" t="s">
        <v>40</v>
      </c>
      <c r="B2106" s="1587">
        <v>214124.0</v>
      </c>
      <c r="C2106" s="1547">
        <v>2025.0</v>
      </c>
      <c r="D2106" s="1548">
        <v>3.8</v>
      </c>
      <c r="E2106" s="1557">
        <v>173231.0</v>
      </c>
      <c r="F2106" s="598">
        <v>7840.0</v>
      </c>
      <c r="G2106" s="598">
        <v>324.0</v>
      </c>
      <c r="H2106" s="598">
        <v>18216.0</v>
      </c>
      <c r="I2106" s="598">
        <v>75.0</v>
      </c>
      <c r="J2106" s="598">
        <v>2460.0</v>
      </c>
      <c r="K2106" s="1561">
        <v>11978.0</v>
      </c>
      <c r="L2106" s="1555">
        <v>103536.0</v>
      </c>
    </row>
    <row r="2107">
      <c r="A2107" s="1545" t="s">
        <v>464</v>
      </c>
      <c r="B2107" s="1587">
        <v>75622.0</v>
      </c>
      <c r="C2107" s="1547">
        <v>2494.0</v>
      </c>
      <c r="D2107" s="1548">
        <v>16.9</v>
      </c>
      <c r="E2107" s="1557">
        <v>62122.0</v>
      </c>
      <c r="F2107" s="598">
        <v>6807.0</v>
      </c>
      <c r="G2107" s="598">
        <v>195.0</v>
      </c>
      <c r="H2107" s="598">
        <v>481.0</v>
      </c>
      <c r="I2107" s="598">
        <v>11.0</v>
      </c>
      <c r="J2107" s="598">
        <v>815.0</v>
      </c>
      <c r="K2107" s="1561">
        <v>5191.0</v>
      </c>
      <c r="L2107" s="1555">
        <v>53135.0</v>
      </c>
    </row>
    <row r="2108">
      <c r="A2108" s="1545" t="s">
        <v>442</v>
      </c>
      <c r="B2108" s="1587">
        <v>158921.0</v>
      </c>
      <c r="C2108" s="1547">
        <v>4238.0</v>
      </c>
      <c r="D2108" s="1548">
        <v>11.6</v>
      </c>
      <c r="E2108" s="1557">
        <v>131676.0</v>
      </c>
      <c r="F2108" s="598">
        <v>13484.0</v>
      </c>
      <c r="G2108" s="598">
        <v>378.0</v>
      </c>
      <c r="H2108" s="598">
        <v>3093.0</v>
      </c>
      <c r="I2108" s="598">
        <v>35.0</v>
      </c>
      <c r="J2108" s="598">
        <v>1625.0</v>
      </c>
      <c r="K2108" s="1561">
        <v>8630.0</v>
      </c>
      <c r="L2108" s="1551">
        <v>67654.0</v>
      </c>
    </row>
    <row r="2109">
      <c r="A2109" s="1545" t="s">
        <v>135</v>
      </c>
      <c r="B2109" s="1587">
        <v>28951.0</v>
      </c>
      <c r="C2109" s="1547">
        <v>1492.0</v>
      </c>
      <c r="D2109" s="1548">
        <v>23.0</v>
      </c>
      <c r="E2109" s="1557">
        <v>26523.0</v>
      </c>
      <c r="F2109" s="598">
        <v>543.0</v>
      </c>
      <c r="G2109" s="598">
        <v>69.0</v>
      </c>
      <c r="H2109" s="598">
        <v>171.0</v>
      </c>
      <c r="I2109" s="598">
        <v>11.0</v>
      </c>
      <c r="J2109" s="598">
        <v>235.0</v>
      </c>
      <c r="K2109" s="1561">
        <v>1399.0</v>
      </c>
      <c r="L2109" s="1555">
        <v>47733.0</v>
      </c>
    </row>
    <row r="2110">
      <c r="A2110" s="1545" t="s">
        <v>136</v>
      </c>
      <c r="B2110" s="1587">
        <v>1323807.0</v>
      </c>
      <c r="C2110" s="1547">
        <v>66321.0</v>
      </c>
      <c r="D2110" s="1548">
        <v>22.2</v>
      </c>
      <c r="E2110" s="1557">
        <v>802685.0</v>
      </c>
      <c r="F2110" s="598">
        <v>299771.0</v>
      </c>
      <c r="G2110" s="598">
        <v>4564.0</v>
      </c>
      <c r="H2110" s="598">
        <v>74071.0</v>
      </c>
      <c r="I2110" s="598">
        <v>534.0</v>
      </c>
      <c r="J2110" s="598">
        <v>49083.0</v>
      </c>
      <c r="K2110" s="1561">
        <v>93099.0</v>
      </c>
      <c r="L2110" s="1551">
        <v>60383.0</v>
      </c>
    </row>
    <row r="2111">
      <c r="A2111" s="1545" t="s">
        <v>275</v>
      </c>
      <c r="B2111" s="1587">
        <v>42713.0</v>
      </c>
      <c r="C2111" s="1547">
        <v>1018.0</v>
      </c>
      <c r="D2111" s="1548">
        <v>10.4</v>
      </c>
      <c r="E2111" s="1557">
        <v>38092.0</v>
      </c>
      <c r="F2111" s="598">
        <v>254.0</v>
      </c>
      <c r="G2111" s="598">
        <v>148.0</v>
      </c>
      <c r="H2111" s="598">
        <v>153.0</v>
      </c>
      <c r="I2111" s="598">
        <v>9.0</v>
      </c>
      <c r="J2111" s="598">
        <v>1349.0</v>
      </c>
      <c r="K2111" s="1561">
        <v>2708.0</v>
      </c>
      <c r="L2111" s="1551">
        <v>62800.0</v>
      </c>
    </row>
    <row r="2112">
      <c r="A2112" s="1545" t="s">
        <v>1681</v>
      </c>
      <c r="B2112" s="1587">
        <v>29220.0</v>
      </c>
      <c r="C2112" s="1547">
        <v>2052.0</v>
      </c>
      <c r="D2112" s="1548">
        <v>30.9</v>
      </c>
      <c r="E2112" s="1557">
        <v>27049.0</v>
      </c>
      <c r="F2112" s="598">
        <v>600.0</v>
      </c>
      <c r="G2112" s="598">
        <v>64.0</v>
      </c>
      <c r="H2112" s="598">
        <v>148.0</v>
      </c>
      <c r="I2112" s="598">
        <v>5.0</v>
      </c>
      <c r="J2112" s="598">
        <v>141.0</v>
      </c>
      <c r="K2112" s="1561">
        <v>1213.0</v>
      </c>
      <c r="L2112" s="1555">
        <v>43785.0</v>
      </c>
    </row>
    <row r="2113">
      <c r="A2113" s="1545" t="s">
        <v>1682</v>
      </c>
      <c r="B2113" s="1587">
        <v>95397.0</v>
      </c>
      <c r="C2113" s="1547">
        <v>1439.0</v>
      </c>
      <c r="D2113" s="1548">
        <v>6.8</v>
      </c>
      <c r="E2113" s="1557">
        <v>89422.0</v>
      </c>
      <c r="F2113" s="598">
        <v>1082.0</v>
      </c>
      <c r="G2113" s="598">
        <v>53.0</v>
      </c>
      <c r="H2113" s="598">
        <v>673.0</v>
      </c>
      <c r="I2113" s="598">
        <v>9.0</v>
      </c>
      <c r="J2113" s="598">
        <v>540.0</v>
      </c>
      <c r="K2113" s="1561">
        <v>3618.0</v>
      </c>
      <c r="L2113" s="1555">
        <v>84093.0</v>
      </c>
    </row>
    <row r="2114">
      <c r="A2114" s="1545" t="s">
        <v>138</v>
      </c>
      <c r="B2114" s="1587">
        <v>167966.0</v>
      </c>
      <c r="C2114" s="1547">
        <v>4519.0</v>
      </c>
      <c r="D2114" s="1548">
        <v>13.3</v>
      </c>
      <c r="E2114" s="1557">
        <v>137146.0</v>
      </c>
      <c r="F2114" s="598">
        <v>11486.0</v>
      </c>
      <c r="G2114" s="598">
        <v>432.0</v>
      </c>
      <c r="H2114" s="598">
        <v>5571.0</v>
      </c>
      <c r="I2114" s="598">
        <v>105.0</v>
      </c>
      <c r="J2114" s="598">
        <v>1817.0</v>
      </c>
      <c r="K2114" s="1561">
        <v>11409.0</v>
      </c>
      <c r="L2114" s="1551">
        <v>68380.0</v>
      </c>
    </row>
    <row r="2115">
      <c r="A2115" s="1545" t="s">
        <v>1683</v>
      </c>
      <c r="B2115" s="1587">
        <v>38438.0</v>
      </c>
      <c r="C2115" s="1547">
        <v>2268.0</v>
      </c>
      <c r="D2115" s="1548">
        <v>26.8</v>
      </c>
      <c r="E2115" s="1557">
        <v>35898.0</v>
      </c>
      <c r="F2115" s="598">
        <v>535.0</v>
      </c>
      <c r="G2115" s="598">
        <v>94.0</v>
      </c>
      <c r="H2115" s="598">
        <v>154.0</v>
      </c>
      <c r="I2115" s="598">
        <v>8.0</v>
      </c>
      <c r="J2115" s="598">
        <v>184.0</v>
      </c>
      <c r="K2115" s="1561">
        <v>1565.0</v>
      </c>
      <c r="L2115" s="1555">
        <v>44623.0</v>
      </c>
    </row>
    <row r="2116">
      <c r="A2116" s="1545" t="s">
        <v>497</v>
      </c>
      <c r="B2116" s="1587">
        <v>830639.0</v>
      </c>
      <c r="C2116" s="1547">
        <v>40374.0</v>
      </c>
      <c r="D2116" s="1548">
        <v>21.9</v>
      </c>
      <c r="E2116" s="1557">
        <v>525850.0</v>
      </c>
      <c r="F2116" s="598">
        <v>209173.0</v>
      </c>
      <c r="G2116" s="598">
        <v>2244.0</v>
      </c>
      <c r="H2116" s="598">
        <v>25333.0</v>
      </c>
      <c r="I2116" s="598">
        <v>673.0</v>
      </c>
      <c r="J2116" s="598">
        <v>19713.0</v>
      </c>
      <c r="K2116" s="1561">
        <v>47653.0</v>
      </c>
      <c r="L2116" s="1555">
        <v>57300.0</v>
      </c>
    </row>
    <row r="2117">
      <c r="A2117" s="1545" t="s">
        <v>587</v>
      </c>
      <c r="B2117" s="1587">
        <v>74920.0</v>
      </c>
      <c r="C2117" s="1547">
        <v>2191.0</v>
      </c>
      <c r="D2117" s="1548">
        <v>13.3</v>
      </c>
      <c r="E2117" s="1557">
        <v>66590.0</v>
      </c>
      <c r="F2117" s="598">
        <v>1431.0</v>
      </c>
      <c r="G2117" s="598">
        <v>149.0</v>
      </c>
      <c r="H2117" s="598">
        <v>1402.0</v>
      </c>
      <c r="I2117" s="598">
        <v>31.0</v>
      </c>
      <c r="J2117" s="598">
        <v>1292.0</v>
      </c>
      <c r="K2117" s="1561">
        <v>4025.0</v>
      </c>
      <c r="L2117" s="1551">
        <v>61579.0</v>
      </c>
    </row>
    <row r="2118">
      <c r="A2118" s="1545" t="s">
        <v>721</v>
      </c>
      <c r="B2118" s="1587">
        <v>30696.0</v>
      </c>
      <c r="C2118" s="1547">
        <v>1259.0</v>
      </c>
      <c r="D2118" s="1548">
        <v>17.7</v>
      </c>
      <c r="E2118" s="1557">
        <v>28650.0</v>
      </c>
      <c r="F2118" s="598">
        <v>262.0</v>
      </c>
      <c r="G2118" s="598">
        <v>58.0</v>
      </c>
      <c r="H2118" s="598">
        <v>169.0</v>
      </c>
      <c r="I2118" s="598">
        <v>12.0</v>
      </c>
      <c r="J2118" s="598">
        <v>307.0</v>
      </c>
      <c r="K2118" s="1561">
        <v>1238.0</v>
      </c>
      <c r="L2118" s="1551">
        <v>49580.0</v>
      </c>
    </row>
    <row r="2119">
      <c r="A2119" s="1545" t="s">
        <v>775</v>
      </c>
      <c r="B2119" s="1587">
        <v>14483.0</v>
      </c>
      <c r="C2119" s="1563">
        <v>680.0</v>
      </c>
      <c r="D2119" s="1548">
        <v>21.8</v>
      </c>
      <c r="E2119" s="1557">
        <v>13456.0</v>
      </c>
      <c r="F2119" s="598">
        <v>241.0</v>
      </c>
      <c r="G2119" s="598">
        <v>19.0</v>
      </c>
      <c r="H2119" s="598">
        <v>40.0</v>
      </c>
      <c r="I2119" s="598">
        <v>6.0</v>
      </c>
      <c r="J2119" s="598">
        <v>44.0</v>
      </c>
      <c r="K2119" s="1561">
        <v>677.0</v>
      </c>
      <c r="L2119" s="1551">
        <v>50301.0</v>
      </c>
    </row>
    <row r="2120">
      <c r="A2120" s="1545" t="s">
        <v>140</v>
      </c>
      <c r="B2120" s="1587">
        <v>27662.0</v>
      </c>
      <c r="C2120" s="1547">
        <v>1066.0</v>
      </c>
      <c r="D2120" s="1548">
        <v>17.4</v>
      </c>
      <c r="E2120" s="1557">
        <v>25244.0</v>
      </c>
      <c r="F2120" s="598">
        <v>160.0</v>
      </c>
      <c r="G2120" s="598">
        <v>103.0</v>
      </c>
      <c r="H2120" s="598">
        <v>126.0</v>
      </c>
      <c r="I2120" s="598">
        <v>4.0</v>
      </c>
      <c r="J2120" s="598">
        <v>739.0</v>
      </c>
      <c r="K2120" s="1561">
        <v>1286.0</v>
      </c>
      <c r="L2120" s="1551">
        <v>57705.0</v>
      </c>
    </row>
    <row r="2121">
      <c r="A2121" s="1545" t="s">
        <v>1684</v>
      </c>
      <c r="B2121" s="1587">
        <v>43317.0</v>
      </c>
      <c r="C2121" s="1547">
        <v>2195.0</v>
      </c>
      <c r="D2121" s="1548">
        <v>21.9</v>
      </c>
      <c r="E2121" s="1557">
        <v>40662.0</v>
      </c>
      <c r="F2121" s="598">
        <v>520.0</v>
      </c>
      <c r="G2121" s="598">
        <v>119.0</v>
      </c>
      <c r="H2121" s="598">
        <v>110.0</v>
      </c>
      <c r="I2121" s="598">
        <v>8.0</v>
      </c>
      <c r="J2121" s="598">
        <v>184.0</v>
      </c>
      <c r="K2121" s="1561">
        <v>1714.0</v>
      </c>
      <c r="L2121" s="1551">
        <v>49161.0</v>
      </c>
    </row>
    <row r="2122">
      <c r="A2122" s="1545" t="s">
        <v>1685</v>
      </c>
      <c r="B2122" s="1587">
        <v>28050.0</v>
      </c>
      <c r="C2122" s="1547">
        <v>1293.0</v>
      </c>
      <c r="D2122" s="1548">
        <v>21.2</v>
      </c>
      <c r="E2122" s="1557">
        <v>26595.0</v>
      </c>
      <c r="F2122" s="598">
        <v>140.0</v>
      </c>
      <c r="G2122" s="598">
        <v>50.0</v>
      </c>
      <c r="H2122" s="598">
        <v>71.0</v>
      </c>
      <c r="I2122" s="598">
        <v>0.0</v>
      </c>
      <c r="J2122" s="598">
        <v>90.0</v>
      </c>
      <c r="K2122" s="1561">
        <v>1104.0</v>
      </c>
      <c r="L2122" s="1551">
        <v>50568.0</v>
      </c>
    </row>
    <row r="2123">
      <c r="A2123" s="1545" t="s">
        <v>502</v>
      </c>
      <c r="B2123" s="1587">
        <v>44223.0</v>
      </c>
      <c r="C2123" s="1547">
        <v>1703.0</v>
      </c>
      <c r="D2123" s="1548">
        <v>12.6</v>
      </c>
      <c r="E2123" s="1557">
        <v>43088.0</v>
      </c>
      <c r="F2123" s="598">
        <v>123.0</v>
      </c>
      <c r="G2123" s="598">
        <v>36.0</v>
      </c>
      <c r="H2123" s="598">
        <v>64.0</v>
      </c>
      <c r="I2123" s="598">
        <v>5.0</v>
      </c>
      <c r="J2123" s="598">
        <v>131.0</v>
      </c>
      <c r="K2123" s="1561">
        <v>776.0</v>
      </c>
      <c r="L2123" s="1551">
        <v>60828.0</v>
      </c>
    </row>
    <row r="2124">
      <c r="A2124" s="1545" t="s">
        <v>1255</v>
      </c>
      <c r="B2124" s="1587">
        <v>58565.0</v>
      </c>
      <c r="C2124" s="1547">
        <v>2006.0</v>
      </c>
      <c r="D2124" s="1548">
        <v>14.6</v>
      </c>
      <c r="E2124" s="1557">
        <v>52412.0</v>
      </c>
      <c r="F2124" s="598">
        <v>605.0</v>
      </c>
      <c r="G2124" s="598">
        <v>201.0</v>
      </c>
      <c r="H2124" s="598">
        <v>221.0</v>
      </c>
      <c r="I2124" s="598">
        <v>14.0</v>
      </c>
      <c r="J2124" s="598">
        <v>1465.0</v>
      </c>
      <c r="K2124" s="1561">
        <v>3647.0</v>
      </c>
      <c r="L2124" s="1551">
        <v>55202.0</v>
      </c>
    </row>
    <row r="2125">
      <c r="A2125" s="1545" t="s">
        <v>142</v>
      </c>
      <c r="B2125" s="1587">
        <v>32653.0</v>
      </c>
      <c r="C2125" s="1547">
        <v>1822.0</v>
      </c>
      <c r="D2125" s="1548">
        <v>24.5</v>
      </c>
      <c r="E2125" s="1557">
        <v>30956.0</v>
      </c>
      <c r="F2125" s="598">
        <v>159.0</v>
      </c>
      <c r="G2125" s="598">
        <v>107.0</v>
      </c>
      <c r="H2125" s="598">
        <v>105.0</v>
      </c>
      <c r="I2125" s="598">
        <v>1.0</v>
      </c>
      <c r="J2125" s="598">
        <v>97.0</v>
      </c>
      <c r="K2125" s="1561">
        <v>1228.0</v>
      </c>
      <c r="L2125" s="1555">
        <v>44726.0</v>
      </c>
    </row>
    <row r="2126">
      <c r="A2126" s="1545" t="s">
        <v>143</v>
      </c>
      <c r="B2126" s="1587">
        <v>65249.0</v>
      </c>
      <c r="C2126" s="1547">
        <v>3295.0</v>
      </c>
      <c r="D2126" s="1548">
        <v>26.8</v>
      </c>
      <c r="E2126" s="1557">
        <v>56954.0</v>
      </c>
      <c r="F2126" s="598">
        <v>3687.0</v>
      </c>
      <c r="G2126" s="598">
        <v>136.0</v>
      </c>
      <c r="H2126" s="598">
        <v>344.0</v>
      </c>
      <c r="I2126" s="598">
        <v>33.0</v>
      </c>
      <c r="J2126" s="598">
        <v>454.0</v>
      </c>
      <c r="K2126" s="1561">
        <v>3641.0</v>
      </c>
      <c r="L2126" s="1551">
        <v>42821.0</v>
      </c>
    </row>
    <row r="2127">
      <c r="A2127" s="1545" t="s">
        <v>728</v>
      </c>
      <c r="B2127" s="1587">
        <v>62721.0</v>
      </c>
      <c r="C2127" s="1547">
        <v>2808.0</v>
      </c>
      <c r="D2127" s="1548">
        <v>20.4</v>
      </c>
      <c r="E2127" s="1557">
        <v>58400.0</v>
      </c>
      <c r="F2127" s="598">
        <v>566.0</v>
      </c>
      <c r="G2127" s="598">
        <v>147.0</v>
      </c>
      <c r="H2127" s="598">
        <v>367.0</v>
      </c>
      <c r="I2127" s="598">
        <v>20.0</v>
      </c>
      <c r="J2127" s="598">
        <v>600.0</v>
      </c>
      <c r="K2127" s="1561">
        <v>2621.0</v>
      </c>
      <c r="L2127" s="1555">
        <v>56885.0</v>
      </c>
    </row>
    <row r="2128">
      <c r="A2128" s="1545" t="s">
        <v>337</v>
      </c>
      <c r="B2128" s="1587">
        <v>232603.0</v>
      </c>
      <c r="C2128" s="1547">
        <v>4811.0</v>
      </c>
      <c r="D2128" s="1548">
        <v>10.6</v>
      </c>
      <c r="E2128" s="1557">
        <v>199296.0</v>
      </c>
      <c r="F2128" s="598">
        <v>11022.0</v>
      </c>
      <c r="G2128" s="598">
        <v>546.0</v>
      </c>
      <c r="H2128" s="598">
        <v>3273.0</v>
      </c>
      <c r="I2128" s="598">
        <v>39.0</v>
      </c>
      <c r="J2128" s="598">
        <v>5604.0</v>
      </c>
      <c r="K2128" s="1561">
        <v>12823.0</v>
      </c>
      <c r="L2128" s="1551">
        <v>65883.0</v>
      </c>
    </row>
    <row r="2129">
      <c r="A2129" s="1545" t="s">
        <v>146</v>
      </c>
      <c r="B2129" s="1587">
        <v>58240.0</v>
      </c>
      <c r="C2129" s="1547">
        <v>3212.0</v>
      </c>
      <c r="D2129" s="1548">
        <v>25.3</v>
      </c>
      <c r="E2129" s="1557">
        <v>54258.0</v>
      </c>
      <c r="F2129" s="598">
        <v>1115.0</v>
      </c>
      <c r="G2129" s="598">
        <v>136.0</v>
      </c>
      <c r="H2129" s="598">
        <v>225.0</v>
      </c>
      <c r="I2129" s="598">
        <v>10.0</v>
      </c>
      <c r="J2129" s="598">
        <v>260.0</v>
      </c>
      <c r="K2129" s="1561">
        <v>2236.0</v>
      </c>
      <c r="L2129" s="1555">
        <v>43031.0</v>
      </c>
    </row>
    <row r="2130">
      <c r="A2130" s="1545" t="s">
        <v>1686</v>
      </c>
      <c r="B2130" s="1587">
        <v>178519.0</v>
      </c>
      <c r="C2130" s="1547">
        <v>4988.0</v>
      </c>
      <c r="D2130" s="1548">
        <v>12.5</v>
      </c>
      <c r="E2130" s="1557">
        <v>154070.0</v>
      </c>
      <c r="F2130" s="598">
        <v>7213.0</v>
      </c>
      <c r="G2130" s="598">
        <v>452.0</v>
      </c>
      <c r="H2130" s="598">
        <v>5028.0</v>
      </c>
      <c r="I2130" s="598">
        <v>52.0</v>
      </c>
      <c r="J2130" s="598">
        <v>1930.0</v>
      </c>
      <c r="K2130" s="1561">
        <v>9774.0</v>
      </c>
      <c r="L2130" s="1551">
        <v>66145.0</v>
      </c>
    </row>
    <row r="2131">
      <c r="A2131" s="1545" t="s">
        <v>293</v>
      </c>
      <c r="B2131" s="1587">
        <v>46150.0</v>
      </c>
      <c r="C2131" s="1547">
        <v>1636.0</v>
      </c>
      <c r="D2131" s="1548">
        <v>16.2</v>
      </c>
      <c r="E2131" s="1557">
        <v>42049.0</v>
      </c>
      <c r="F2131" s="598">
        <v>677.0</v>
      </c>
      <c r="G2131" s="598">
        <v>99.0</v>
      </c>
      <c r="H2131" s="598">
        <v>327.0</v>
      </c>
      <c r="I2131" s="598">
        <v>14.0</v>
      </c>
      <c r="J2131" s="598">
        <v>451.0</v>
      </c>
      <c r="K2131" s="1561">
        <v>2533.0</v>
      </c>
      <c r="L2131" s="1555">
        <v>61699.0</v>
      </c>
    </row>
    <row r="2132">
      <c r="A2132" s="1545" t="s">
        <v>1687</v>
      </c>
      <c r="B2132" s="1587">
        <v>312964.0</v>
      </c>
      <c r="C2132" s="1547">
        <v>14475.0</v>
      </c>
      <c r="D2132" s="1548">
        <v>21.6</v>
      </c>
      <c r="E2132" s="1557">
        <v>247300.0</v>
      </c>
      <c r="F2132" s="598">
        <v>24863.0</v>
      </c>
      <c r="G2132" s="598">
        <v>920.0</v>
      </c>
      <c r="H2132" s="598">
        <v>3623.0</v>
      </c>
      <c r="I2132" s="598">
        <v>75.0</v>
      </c>
      <c r="J2132" s="598">
        <v>10177.0</v>
      </c>
      <c r="K2132" s="1561">
        <v>26006.0</v>
      </c>
      <c r="L2132" s="1555">
        <v>59265.0</v>
      </c>
    </row>
    <row r="2133">
      <c r="A2133" s="1545" t="s">
        <v>909</v>
      </c>
      <c r="B2133" s="1587">
        <v>431279.0</v>
      </c>
      <c r="C2133" s="1547">
        <v>24153.0</v>
      </c>
      <c r="D2133" s="1548">
        <v>25.0</v>
      </c>
      <c r="E2133" s="1557">
        <v>295109.0</v>
      </c>
      <c r="F2133" s="598">
        <v>85081.0</v>
      </c>
      <c r="G2133" s="598">
        <v>1433.0</v>
      </c>
      <c r="H2133" s="598">
        <v>7185.0</v>
      </c>
      <c r="I2133" s="598">
        <v>136.0</v>
      </c>
      <c r="J2133" s="598">
        <v>10160.0</v>
      </c>
      <c r="K2133" s="1561">
        <v>32175.0</v>
      </c>
      <c r="L2133" s="1551">
        <v>47865.0</v>
      </c>
    </row>
    <row r="2134">
      <c r="A2134" s="1545" t="s">
        <v>151</v>
      </c>
      <c r="B2134" s="1587">
        <v>43824.0</v>
      </c>
      <c r="C2134" s="1547">
        <v>1246.0</v>
      </c>
      <c r="D2134" s="1548">
        <v>14.1</v>
      </c>
      <c r="E2134" s="1557">
        <v>38046.0</v>
      </c>
      <c r="F2134" s="598">
        <v>2686.0</v>
      </c>
      <c r="G2134" s="598">
        <v>72.0</v>
      </c>
      <c r="H2134" s="598">
        <v>256.0</v>
      </c>
      <c r="I2134" s="598">
        <v>4.0</v>
      </c>
      <c r="J2134" s="598">
        <v>673.0</v>
      </c>
      <c r="K2134" s="1561">
        <v>2087.0</v>
      </c>
      <c r="L2134" s="1555">
        <v>61645.0</v>
      </c>
    </row>
    <row r="2135">
      <c r="A2135" s="1545" t="s">
        <v>1688</v>
      </c>
      <c r="B2135" s="1587">
        <v>228614.0</v>
      </c>
      <c r="C2135" s="1547">
        <v>10996.0</v>
      </c>
      <c r="D2135" s="1548">
        <v>24.3</v>
      </c>
      <c r="E2135" s="1557">
        <v>172721.0</v>
      </c>
      <c r="F2135" s="598">
        <v>34835.0</v>
      </c>
      <c r="G2135" s="598">
        <v>528.0</v>
      </c>
      <c r="H2135" s="598">
        <v>1981.0</v>
      </c>
      <c r="I2135" s="598">
        <v>77.0</v>
      </c>
      <c r="J2135" s="598">
        <v>5039.0</v>
      </c>
      <c r="K2135" s="1561">
        <v>13433.0</v>
      </c>
      <c r="L2135" s="1555">
        <v>48010.0</v>
      </c>
    </row>
    <row r="2136">
      <c r="A2136" s="1545" t="s">
        <v>153</v>
      </c>
      <c r="B2136" s="1587">
        <v>65359.0</v>
      </c>
      <c r="C2136" s="1547">
        <v>3274.0</v>
      </c>
      <c r="D2136" s="1548">
        <v>24.7</v>
      </c>
      <c r="E2136" s="1557">
        <v>56754.0</v>
      </c>
      <c r="F2136" s="598">
        <v>4107.0</v>
      </c>
      <c r="G2136" s="598">
        <v>193.0</v>
      </c>
      <c r="H2136" s="598">
        <v>362.0</v>
      </c>
      <c r="I2136" s="598">
        <v>16.0</v>
      </c>
      <c r="J2136" s="598">
        <v>827.0</v>
      </c>
      <c r="K2136" s="1561">
        <v>3100.0</v>
      </c>
      <c r="L2136" s="1555">
        <v>45419.0</v>
      </c>
    </row>
    <row r="2137">
      <c r="A2137" s="1545" t="s">
        <v>1689</v>
      </c>
      <c r="B2137" s="1587">
        <v>182470.0</v>
      </c>
      <c r="C2137" s="1547">
        <v>2938.0</v>
      </c>
      <c r="D2137" s="1548">
        <v>7.5</v>
      </c>
      <c r="E2137" s="1557">
        <v>167082.0</v>
      </c>
      <c r="F2137" s="598">
        <v>2344.0</v>
      </c>
      <c r="G2137" s="598">
        <v>250.0</v>
      </c>
      <c r="H2137" s="598">
        <v>2212.0</v>
      </c>
      <c r="I2137" s="598">
        <v>34.0</v>
      </c>
      <c r="J2137" s="598">
        <v>1469.0</v>
      </c>
      <c r="K2137" s="1561">
        <v>9079.0</v>
      </c>
      <c r="L2137" s="1551">
        <v>76475.0</v>
      </c>
    </row>
    <row r="2138">
      <c r="A2138" s="1545" t="s">
        <v>1690</v>
      </c>
      <c r="B2138" s="1587">
        <v>22210.0</v>
      </c>
      <c r="C2138" s="1547">
        <v>1247.0</v>
      </c>
      <c r="D2138" s="1548">
        <v>25.9</v>
      </c>
      <c r="E2138" s="1557">
        <v>21250.0</v>
      </c>
      <c r="F2138" s="598">
        <v>153.0</v>
      </c>
      <c r="G2138" s="598">
        <v>50.0</v>
      </c>
      <c r="H2138" s="598">
        <v>23.0</v>
      </c>
      <c r="I2138" s="598">
        <v>0.0</v>
      </c>
      <c r="J2138" s="598">
        <v>90.0</v>
      </c>
      <c r="K2138" s="1561">
        <v>644.0</v>
      </c>
      <c r="L2138" s="1551">
        <v>44286.0</v>
      </c>
    </row>
    <row r="2139">
      <c r="A2139" s="1545" t="s">
        <v>738</v>
      </c>
      <c r="B2139" s="1587">
        <v>42528.0</v>
      </c>
      <c r="C2139" s="1547">
        <v>1047.0</v>
      </c>
      <c r="D2139" s="1548">
        <v>10.1</v>
      </c>
      <c r="E2139" s="1557">
        <v>40057.0</v>
      </c>
      <c r="F2139" s="598">
        <v>204.0</v>
      </c>
      <c r="G2139" s="598">
        <v>82.0</v>
      </c>
      <c r="H2139" s="598">
        <v>189.0</v>
      </c>
      <c r="I2139" s="598">
        <v>566.0</v>
      </c>
      <c r="J2139" s="598">
        <v>339.0</v>
      </c>
      <c r="K2139" s="1561">
        <v>1091.0</v>
      </c>
      <c r="L2139" s="1555">
        <v>62782.0</v>
      </c>
    </row>
    <row r="2140">
      <c r="A2140" s="1545" t="s">
        <v>791</v>
      </c>
      <c r="B2140" s="1587">
        <v>108774.0</v>
      </c>
      <c r="C2140" s="1547">
        <v>2764.0</v>
      </c>
      <c r="D2140" s="1548">
        <v>11.6</v>
      </c>
      <c r="E2140" s="1557">
        <v>97622.0</v>
      </c>
      <c r="F2140" s="598">
        <v>2593.0</v>
      </c>
      <c r="G2140" s="598">
        <v>195.0</v>
      </c>
      <c r="H2140" s="598">
        <v>1644.0</v>
      </c>
      <c r="I2140" s="598">
        <v>21.0</v>
      </c>
      <c r="J2140" s="598">
        <v>1097.0</v>
      </c>
      <c r="K2140" s="1561">
        <v>5602.0</v>
      </c>
      <c r="L2140" s="1551">
        <v>59922.0</v>
      </c>
    </row>
    <row r="2141">
      <c r="A2141" s="1545" t="s">
        <v>156</v>
      </c>
      <c r="B2141" s="1587">
        <v>13385.0</v>
      </c>
      <c r="C2141" s="1563">
        <v>521.0</v>
      </c>
      <c r="D2141" s="1548">
        <v>19.1</v>
      </c>
      <c r="E2141" s="1557">
        <v>12945.0</v>
      </c>
      <c r="F2141" s="598">
        <v>19.0</v>
      </c>
      <c r="G2141" s="598">
        <v>12.0</v>
      </c>
      <c r="H2141" s="598">
        <v>21.0</v>
      </c>
      <c r="I2141" s="598">
        <v>3.0</v>
      </c>
      <c r="J2141" s="598">
        <v>30.0</v>
      </c>
      <c r="K2141" s="1561">
        <v>355.0</v>
      </c>
      <c r="L2141" s="1555">
        <v>46314.0</v>
      </c>
    </row>
    <row r="2142">
      <c r="A2142" s="1545" t="s">
        <v>157</v>
      </c>
      <c r="B2142" s="1587">
        <v>537309.0</v>
      </c>
      <c r="C2142" s="1547">
        <v>28924.0</v>
      </c>
      <c r="D2142" s="1548">
        <v>25.1</v>
      </c>
      <c r="E2142" s="1557">
        <v>365077.0</v>
      </c>
      <c r="F2142" s="598">
        <v>113728.0</v>
      </c>
      <c r="G2142" s="598">
        <v>1374.0</v>
      </c>
      <c r="H2142" s="598">
        <v>12814.0</v>
      </c>
      <c r="I2142" s="598">
        <v>258.0</v>
      </c>
      <c r="J2142" s="598">
        <v>10014.0</v>
      </c>
      <c r="K2142" s="1561">
        <v>34044.0</v>
      </c>
      <c r="L2142" s="1551">
        <v>51071.0</v>
      </c>
    </row>
    <row r="2143">
      <c r="A2143" s="1545" t="s">
        <v>158</v>
      </c>
      <c r="B2143" s="1587">
        <v>13802.0</v>
      </c>
      <c r="C2143" s="1563">
        <v>753.0</v>
      </c>
      <c r="D2143" s="1548">
        <v>25.2</v>
      </c>
      <c r="E2143" s="1557">
        <v>12568.0</v>
      </c>
      <c r="F2143" s="598">
        <v>405.0</v>
      </c>
      <c r="G2143" s="598">
        <v>20.0</v>
      </c>
      <c r="H2143" s="598">
        <v>24.0</v>
      </c>
      <c r="I2143" s="598">
        <v>4.0</v>
      </c>
      <c r="J2143" s="598">
        <v>71.0</v>
      </c>
      <c r="K2143" s="1561">
        <v>710.0</v>
      </c>
      <c r="L2143" s="1551">
        <v>40557.0</v>
      </c>
    </row>
    <row r="2144">
      <c r="A2144" s="1545" t="s">
        <v>1691</v>
      </c>
      <c r="B2144" s="1587">
        <v>34950.0</v>
      </c>
      <c r="C2144" s="1547">
        <v>1345.0</v>
      </c>
      <c r="D2144" s="1548">
        <v>17.2</v>
      </c>
      <c r="E2144" s="1557">
        <v>32933.0</v>
      </c>
      <c r="F2144" s="598">
        <v>159.0</v>
      </c>
      <c r="G2144" s="598">
        <v>88.0</v>
      </c>
      <c r="H2144" s="598">
        <v>90.0</v>
      </c>
      <c r="I2144" s="598">
        <v>8.0</v>
      </c>
      <c r="J2144" s="598">
        <v>234.0</v>
      </c>
      <c r="K2144" s="1561">
        <v>1438.0</v>
      </c>
      <c r="L2144" s="1555">
        <v>60452.0</v>
      </c>
    </row>
    <row r="2145">
      <c r="A2145" s="1545" t="s">
        <v>1692</v>
      </c>
      <c r="B2145" s="1587">
        <v>86410.0</v>
      </c>
      <c r="C2145" s="1547">
        <v>4545.0</v>
      </c>
      <c r="D2145" s="1548">
        <v>24.0</v>
      </c>
      <c r="E2145" s="1557">
        <v>77309.0</v>
      </c>
      <c r="F2145" s="598">
        <v>3032.0</v>
      </c>
      <c r="G2145" s="598">
        <v>149.0</v>
      </c>
      <c r="H2145" s="598">
        <v>391.0</v>
      </c>
      <c r="I2145" s="598">
        <v>8.0</v>
      </c>
      <c r="J2145" s="598">
        <v>566.0</v>
      </c>
      <c r="K2145" s="1561">
        <v>4955.0</v>
      </c>
      <c r="L2145" s="1551">
        <v>49586.0</v>
      </c>
    </row>
    <row r="2146">
      <c r="A2146" s="1545" t="s">
        <v>793</v>
      </c>
      <c r="B2146" s="1587">
        <v>14115.0</v>
      </c>
      <c r="C2146" s="1563">
        <v>490.0</v>
      </c>
      <c r="D2146" s="1548">
        <v>19.0</v>
      </c>
      <c r="E2146" s="1557">
        <v>12886.0</v>
      </c>
      <c r="F2146" s="598">
        <v>757.0</v>
      </c>
      <c r="G2146" s="598">
        <v>34.0</v>
      </c>
      <c r="H2146" s="598">
        <v>23.0</v>
      </c>
      <c r="I2146" s="598">
        <v>0.0</v>
      </c>
      <c r="J2146" s="598">
        <v>83.0</v>
      </c>
      <c r="K2146" s="1561">
        <v>332.0</v>
      </c>
      <c r="L2146" s="1551">
        <v>48792.0</v>
      </c>
    </row>
    <row r="2147">
      <c r="A2147" s="1545" t="s">
        <v>998</v>
      </c>
      <c r="B2147" s="1587">
        <v>40364.0</v>
      </c>
      <c r="C2147" s="1563">
        <v>931.0</v>
      </c>
      <c r="D2147" s="1548">
        <v>12.5</v>
      </c>
      <c r="E2147" s="1557">
        <v>37275.0</v>
      </c>
      <c r="F2147" s="598">
        <v>358.0</v>
      </c>
      <c r="G2147" s="598">
        <v>78.0</v>
      </c>
      <c r="H2147" s="598">
        <v>174.0</v>
      </c>
      <c r="I2147" s="598">
        <v>7.0</v>
      </c>
      <c r="J2147" s="598">
        <v>482.0</v>
      </c>
      <c r="K2147" s="1561">
        <v>1990.0</v>
      </c>
      <c r="L2147" s="1551">
        <v>58345.0</v>
      </c>
    </row>
    <row r="2148">
      <c r="A2148" s="1545" t="s">
        <v>616</v>
      </c>
      <c r="B2148" s="1587">
        <v>18806.0</v>
      </c>
      <c r="C2148" s="1563">
        <v>629.0</v>
      </c>
      <c r="D2148" s="1548">
        <v>14.7</v>
      </c>
      <c r="E2148" s="1557">
        <v>17255.0</v>
      </c>
      <c r="F2148" s="598">
        <v>155.0</v>
      </c>
      <c r="G2148" s="598">
        <v>91.0</v>
      </c>
      <c r="H2148" s="598">
        <v>30.0</v>
      </c>
      <c r="I2148" s="598">
        <v>5.0</v>
      </c>
      <c r="J2148" s="598">
        <v>370.0</v>
      </c>
      <c r="K2148" s="1561">
        <v>900.0</v>
      </c>
      <c r="L2148" s="1551">
        <v>53876.0</v>
      </c>
    </row>
    <row r="2149">
      <c r="A2149" s="1545" t="s">
        <v>159</v>
      </c>
      <c r="B2149" s="1587">
        <v>35408.0</v>
      </c>
      <c r="C2149" s="1547">
        <v>1874.0</v>
      </c>
      <c r="D2149" s="1548">
        <v>22.9</v>
      </c>
      <c r="E2149" s="1557">
        <v>33710.0</v>
      </c>
      <c r="F2149" s="598">
        <v>90.0</v>
      </c>
      <c r="G2149" s="598">
        <v>100.0</v>
      </c>
      <c r="H2149" s="598">
        <v>67.0</v>
      </c>
      <c r="I2149" s="598">
        <v>0.0</v>
      </c>
      <c r="J2149" s="598">
        <v>113.0</v>
      </c>
      <c r="K2149" s="1561">
        <v>1328.0</v>
      </c>
      <c r="L2149" s="1551">
        <v>51534.0</v>
      </c>
    </row>
    <row r="2150">
      <c r="A2150" s="1545" t="s">
        <v>1693</v>
      </c>
      <c r="B2150" s="1587">
        <v>58539.0</v>
      </c>
      <c r="C2150" s="1547">
        <v>1886.0</v>
      </c>
      <c r="D2150" s="1548">
        <v>15.6</v>
      </c>
      <c r="E2150" s="1557">
        <v>52734.0</v>
      </c>
      <c r="F2150" s="598">
        <v>2159.0</v>
      </c>
      <c r="G2150" s="598">
        <v>164.0</v>
      </c>
      <c r="H2150" s="598">
        <v>300.0</v>
      </c>
      <c r="I2150" s="598">
        <v>11.0</v>
      </c>
      <c r="J2150" s="598">
        <v>367.0</v>
      </c>
      <c r="K2150" s="1561">
        <v>2804.0</v>
      </c>
      <c r="L2150" s="1551">
        <v>58742.0</v>
      </c>
    </row>
    <row r="2151">
      <c r="A2151" s="1545" t="s">
        <v>162</v>
      </c>
      <c r="B2151" s="1587">
        <v>27088.0</v>
      </c>
      <c r="C2151" s="1547">
        <v>1991.0</v>
      </c>
      <c r="D2151" s="1548">
        <v>30.9</v>
      </c>
      <c r="E2151" s="1557">
        <v>25559.0</v>
      </c>
      <c r="F2151" s="598">
        <v>190.0</v>
      </c>
      <c r="G2151" s="598">
        <v>115.0</v>
      </c>
      <c r="H2151" s="598">
        <v>70.0</v>
      </c>
      <c r="I2151" s="598">
        <v>7.0</v>
      </c>
      <c r="J2151" s="598">
        <v>76.0</v>
      </c>
      <c r="K2151" s="1561">
        <v>1071.0</v>
      </c>
      <c r="L2151" s="1555">
        <v>45163.0</v>
      </c>
    </row>
    <row r="2152">
      <c r="A2152" s="1545" t="s">
        <v>1694</v>
      </c>
      <c r="B2152" s="1587">
        <v>161791.0</v>
      </c>
      <c r="C2152" s="1547">
        <v>4285.0</v>
      </c>
      <c r="D2152" s="1548">
        <v>14.3</v>
      </c>
      <c r="E2152" s="1557">
        <v>139778.0</v>
      </c>
      <c r="F2152" s="598">
        <v>8037.0</v>
      </c>
      <c r="G2152" s="598">
        <v>277.0</v>
      </c>
      <c r="H2152" s="598">
        <v>3425.0</v>
      </c>
      <c r="I2152" s="598">
        <v>46.0</v>
      </c>
      <c r="J2152" s="598">
        <v>1280.0</v>
      </c>
      <c r="K2152" s="1561">
        <v>8948.0</v>
      </c>
      <c r="L2152" s="1551">
        <v>63689.0</v>
      </c>
    </row>
    <row r="2153">
      <c r="A2153" s="1545" t="s">
        <v>1695</v>
      </c>
      <c r="B2153" s="1587">
        <v>40999.0</v>
      </c>
      <c r="C2153" s="1547">
        <v>1285.0</v>
      </c>
      <c r="D2153" s="1548">
        <v>14.4</v>
      </c>
      <c r="E2153" s="1557">
        <v>38857.0</v>
      </c>
      <c r="F2153" s="598">
        <v>186.0</v>
      </c>
      <c r="G2153" s="598">
        <v>91.0</v>
      </c>
      <c r="H2153" s="598">
        <v>162.0</v>
      </c>
      <c r="I2153" s="598">
        <v>4.0</v>
      </c>
      <c r="J2153" s="598">
        <v>170.0</v>
      </c>
      <c r="K2153" s="1561">
        <v>1529.0</v>
      </c>
      <c r="L2153" s="1551">
        <v>53904.0</v>
      </c>
    </row>
    <row r="2154">
      <c r="A2154" s="1545" t="s">
        <v>518</v>
      </c>
      <c r="B2154" s="1587">
        <v>34451.0</v>
      </c>
      <c r="C2154" s="1563">
        <v>550.0</v>
      </c>
      <c r="D2154" s="1548">
        <v>6.5</v>
      </c>
      <c r="E2154" s="1557">
        <v>32077.0</v>
      </c>
      <c r="F2154" s="598">
        <v>125.0</v>
      </c>
      <c r="G2154" s="598">
        <v>56.0</v>
      </c>
      <c r="H2154" s="598">
        <v>64.0</v>
      </c>
      <c r="I2154" s="598">
        <v>3.0</v>
      </c>
      <c r="J2154" s="598">
        <v>1006.0</v>
      </c>
      <c r="K2154" s="1561">
        <v>1120.0</v>
      </c>
      <c r="L2154" s="1555">
        <v>64304.0</v>
      </c>
    </row>
    <row r="2155">
      <c r="A2155" s="1545" t="s">
        <v>743</v>
      </c>
      <c r="B2155" s="1587">
        <v>124936.0</v>
      </c>
      <c r="C2155" s="1547">
        <v>5287.0</v>
      </c>
      <c r="D2155" s="1548">
        <v>20.7</v>
      </c>
      <c r="E2155" s="1557">
        <v>105139.0</v>
      </c>
      <c r="F2155" s="598">
        <v>11312.0</v>
      </c>
      <c r="G2155" s="598">
        <v>246.0</v>
      </c>
      <c r="H2155" s="598">
        <v>793.0</v>
      </c>
      <c r="I2155" s="598">
        <v>58.0</v>
      </c>
      <c r="J2155" s="598">
        <v>1024.0</v>
      </c>
      <c r="K2155" s="1561">
        <v>6364.0</v>
      </c>
      <c r="L2155" s="1555">
        <v>49668.0</v>
      </c>
    </row>
    <row r="2156">
      <c r="A2156" s="1545" t="s">
        <v>1696</v>
      </c>
      <c r="B2156" s="1587">
        <v>77093.0</v>
      </c>
      <c r="C2156" s="1547">
        <v>4029.0</v>
      </c>
      <c r="D2156" s="1548">
        <v>25.5</v>
      </c>
      <c r="E2156" s="1557">
        <v>68104.0</v>
      </c>
      <c r="F2156" s="598">
        <v>4044.0</v>
      </c>
      <c r="G2156" s="598">
        <v>212.0</v>
      </c>
      <c r="H2156" s="598">
        <v>372.0</v>
      </c>
      <c r="I2156" s="598">
        <v>20.0</v>
      </c>
      <c r="J2156" s="598">
        <v>397.0</v>
      </c>
      <c r="K2156" s="1561">
        <v>3944.0</v>
      </c>
      <c r="L2156" s="1551">
        <v>49385.0</v>
      </c>
    </row>
    <row r="2157">
      <c r="A2157" s="1545" t="s">
        <v>1697</v>
      </c>
      <c r="B2157" s="1587">
        <v>58896.0</v>
      </c>
      <c r="C2157" s="1547">
        <v>1707.0</v>
      </c>
      <c r="D2157" s="1548">
        <v>13.4</v>
      </c>
      <c r="E2157" s="1557">
        <v>50425.0</v>
      </c>
      <c r="F2157" s="598">
        <v>1886.0</v>
      </c>
      <c r="G2157" s="598">
        <v>197.0</v>
      </c>
      <c r="H2157" s="598">
        <v>202.0</v>
      </c>
      <c r="I2157" s="598">
        <v>8.0</v>
      </c>
      <c r="J2157" s="598">
        <v>1829.0</v>
      </c>
      <c r="K2157" s="1561">
        <v>4349.0</v>
      </c>
      <c r="L2157" s="1551">
        <v>53978.0</v>
      </c>
    </row>
    <row r="2158">
      <c r="A2158" s="1545" t="s">
        <v>1698</v>
      </c>
      <c r="B2158" s="1587">
        <v>74008.0</v>
      </c>
      <c r="C2158" s="1547">
        <v>4604.0</v>
      </c>
      <c r="D2158" s="1548">
        <v>28.8</v>
      </c>
      <c r="E2158" s="1557">
        <v>67925.0</v>
      </c>
      <c r="F2158" s="598">
        <v>2075.0</v>
      </c>
      <c r="G2158" s="598">
        <v>264.0</v>
      </c>
      <c r="H2158" s="598">
        <v>274.0</v>
      </c>
      <c r="I2158" s="598">
        <v>12.0</v>
      </c>
      <c r="J2158" s="598">
        <v>527.0</v>
      </c>
      <c r="K2158" s="1561">
        <v>2931.0</v>
      </c>
      <c r="L2158" s="1551">
        <v>41267.0</v>
      </c>
    </row>
    <row r="2159">
      <c r="A2159" s="1545" t="s">
        <v>1573</v>
      </c>
      <c r="B2159" s="1587">
        <v>55069.0</v>
      </c>
      <c r="C2159" s="1547">
        <v>1902.0</v>
      </c>
      <c r="D2159" s="1548">
        <v>16.2</v>
      </c>
      <c r="E2159" s="1557">
        <v>49358.0</v>
      </c>
      <c r="F2159" s="598">
        <v>1380.0</v>
      </c>
      <c r="G2159" s="598">
        <v>120.0</v>
      </c>
      <c r="H2159" s="598">
        <v>363.0</v>
      </c>
      <c r="I2159" s="598">
        <v>37.0</v>
      </c>
      <c r="J2159" s="598">
        <v>891.0</v>
      </c>
      <c r="K2159" s="1561">
        <v>2920.0</v>
      </c>
      <c r="L2159" s="1551">
        <v>52165.0</v>
      </c>
    </row>
    <row r="2160">
      <c r="A2160" s="1545" t="s">
        <v>168</v>
      </c>
      <c r="B2160" s="1587">
        <v>48230.0</v>
      </c>
      <c r="C2160" s="1547">
        <v>1390.0</v>
      </c>
      <c r="D2160" s="1548">
        <v>11.8</v>
      </c>
      <c r="E2160" s="1557">
        <v>44280.0</v>
      </c>
      <c r="F2160" s="598">
        <v>849.0</v>
      </c>
      <c r="G2160" s="598">
        <v>98.0</v>
      </c>
      <c r="H2160" s="598">
        <v>451.0</v>
      </c>
      <c r="I2160" s="598">
        <v>29.0</v>
      </c>
      <c r="J2160" s="598">
        <v>455.0</v>
      </c>
      <c r="K2160" s="1561">
        <v>2068.0</v>
      </c>
      <c r="L2160" s="1555">
        <v>63398.0</v>
      </c>
    </row>
    <row r="2161">
      <c r="A2161" s="1545" t="s">
        <v>747</v>
      </c>
      <c r="B2161" s="1587">
        <v>374853.0</v>
      </c>
      <c r="C2161" s="1547">
        <v>18104.0</v>
      </c>
      <c r="D2161" s="1548">
        <v>23.2</v>
      </c>
      <c r="E2161" s="1557">
        <v>313356.0</v>
      </c>
      <c r="F2161" s="598">
        <v>29118.0</v>
      </c>
      <c r="G2161" s="598">
        <v>1148.0</v>
      </c>
      <c r="H2161" s="598">
        <v>3200.0</v>
      </c>
      <c r="I2161" s="598">
        <v>119.0</v>
      </c>
      <c r="J2161" s="598">
        <v>4060.0</v>
      </c>
      <c r="K2161" s="1561">
        <v>23852.0</v>
      </c>
      <c r="L2161" s="1555">
        <v>52310.0</v>
      </c>
    </row>
    <row r="2162">
      <c r="A2162" s="1545" t="s">
        <v>461</v>
      </c>
      <c r="B2162" s="1587">
        <v>540428.0</v>
      </c>
      <c r="C2162" s="1547">
        <v>19469.0</v>
      </c>
      <c r="D2162" s="1548">
        <v>17.5</v>
      </c>
      <c r="E2162" s="1557">
        <v>400818.0</v>
      </c>
      <c r="F2162" s="598">
        <v>79726.0</v>
      </c>
      <c r="G2162" s="598">
        <v>1050.0</v>
      </c>
      <c r="H2162" s="598">
        <v>22621.0</v>
      </c>
      <c r="I2162" s="598">
        <v>160.0</v>
      </c>
      <c r="J2162" s="598">
        <v>5379.0</v>
      </c>
      <c r="K2162" s="1561">
        <v>30674.0</v>
      </c>
      <c r="L2162" s="1555">
        <v>58890.0</v>
      </c>
    </row>
    <row r="2163">
      <c r="A2163" s="1545" t="s">
        <v>1699</v>
      </c>
      <c r="B2163" s="1587">
        <v>201977.0</v>
      </c>
      <c r="C2163" s="1547">
        <v>10261.0</v>
      </c>
      <c r="D2163" s="1548">
        <v>25.7</v>
      </c>
      <c r="E2163" s="1557">
        <v>171062.0</v>
      </c>
      <c r="F2163" s="598">
        <v>17200.0</v>
      </c>
      <c r="G2163" s="598">
        <v>299.0</v>
      </c>
      <c r="H2163" s="598">
        <v>1107.0</v>
      </c>
      <c r="I2163" s="598">
        <v>26.0</v>
      </c>
      <c r="J2163" s="598">
        <v>1339.0</v>
      </c>
      <c r="K2163" s="1561">
        <v>10944.0</v>
      </c>
      <c r="L2163" s="1555">
        <v>47424.0</v>
      </c>
    </row>
    <row r="2164">
      <c r="A2164" s="1545" t="s">
        <v>1700</v>
      </c>
      <c r="B2164" s="1587">
        <v>93263.0</v>
      </c>
      <c r="C2164" s="1547">
        <v>3544.0</v>
      </c>
      <c r="D2164" s="1548">
        <v>17.3</v>
      </c>
      <c r="E2164" s="1557">
        <v>85679.0</v>
      </c>
      <c r="F2164" s="598">
        <v>724.0</v>
      </c>
      <c r="G2164" s="598">
        <v>967.0</v>
      </c>
      <c r="H2164" s="598">
        <v>306.0</v>
      </c>
      <c r="I2164" s="598">
        <v>29.0</v>
      </c>
      <c r="J2164" s="598">
        <v>1727.0</v>
      </c>
      <c r="K2164" s="1561">
        <v>3831.0</v>
      </c>
      <c r="L2164" s="1555">
        <v>51030.0</v>
      </c>
    </row>
    <row r="2165">
      <c r="A2165" s="1545" t="s">
        <v>316</v>
      </c>
      <c r="B2165" s="1587">
        <v>62784.0</v>
      </c>
      <c r="C2165" s="1563">
        <v>711.0</v>
      </c>
      <c r="D2165" s="1548">
        <v>5.1</v>
      </c>
      <c r="E2165" s="1557">
        <v>53670.0</v>
      </c>
      <c r="F2165" s="598">
        <v>1300.0</v>
      </c>
      <c r="G2165" s="598">
        <v>120.0</v>
      </c>
      <c r="H2165" s="598">
        <v>4045.0</v>
      </c>
      <c r="I2165" s="598">
        <v>0.0</v>
      </c>
      <c r="J2165" s="598">
        <v>526.0</v>
      </c>
      <c r="K2165" s="1561">
        <v>3123.0</v>
      </c>
      <c r="L2165" s="1551">
        <v>84861.0</v>
      </c>
    </row>
    <row r="2166">
      <c r="A2166" s="1545" t="s">
        <v>1701</v>
      </c>
      <c r="B2166" s="1587">
        <v>28931.0</v>
      </c>
      <c r="C2166" s="1563">
        <v>731.0</v>
      </c>
      <c r="D2166" s="1548">
        <v>11.5</v>
      </c>
      <c r="E2166" s="1557">
        <v>26833.0</v>
      </c>
      <c r="F2166" s="598">
        <v>265.0</v>
      </c>
      <c r="G2166" s="598">
        <v>58.0</v>
      </c>
      <c r="H2166" s="598">
        <v>89.0</v>
      </c>
      <c r="I2166" s="598">
        <v>13.0</v>
      </c>
      <c r="J2166" s="598">
        <v>459.0</v>
      </c>
      <c r="K2166" s="1561">
        <v>1214.0</v>
      </c>
      <c r="L2166" s="1551">
        <v>54331.0</v>
      </c>
    </row>
    <row r="2167">
      <c r="A2167" s="1545" t="s">
        <v>1702</v>
      </c>
      <c r="B2167" s="1587">
        <v>12800.0</v>
      </c>
      <c r="C2167" s="1563">
        <v>807.0</v>
      </c>
      <c r="D2167" s="1548">
        <v>28.8</v>
      </c>
      <c r="E2167" s="1557">
        <v>12258.0</v>
      </c>
      <c r="F2167" s="598">
        <v>51.0</v>
      </c>
      <c r="G2167" s="598">
        <v>19.0</v>
      </c>
      <c r="H2167" s="598">
        <v>22.0</v>
      </c>
      <c r="I2167" s="598">
        <v>0.0</v>
      </c>
      <c r="J2167" s="598">
        <v>19.0</v>
      </c>
      <c r="K2167" s="1561">
        <v>431.0</v>
      </c>
      <c r="L2167" s="1555">
        <v>43457.0</v>
      </c>
    </row>
    <row r="2168">
      <c r="A2168" s="1545" t="s">
        <v>647</v>
      </c>
      <c r="B2168" s="1587">
        <v>242337.0</v>
      </c>
      <c r="C2168" s="1547">
        <v>3346.0</v>
      </c>
      <c r="D2168" s="1548">
        <v>5.9</v>
      </c>
      <c r="E2168" s="1557">
        <v>200073.0</v>
      </c>
      <c r="F2168" s="598">
        <v>8288.0</v>
      </c>
      <c r="G2168" s="598">
        <v>407.0</v>
      </c>
      <c r="H2168" s="598">
        <v>17331.0</v>
      </c>
      <c r="I2168" s="598">
        <v>158.0</v>
      </c>
      <c r="J2168" s="598">
        <v>2610.0</v>
      </c>
      <c r="K2168" s="1561">
        <v>13470.0</v>
      </c>
      <c r="L2168" s="1551">
        <v>87391.0</v>
      </c>
    </row>
    <row r="2169">
      <c r="A2169" s="1545" t="s">
        <v>119</v>
      </c>
      <c r="B2169" s="1587">
        <v>59771.0</v>
      </c>
      <c r="C2169" s="1547">
        <v>2517.0</v>
      </c>
      <c r="D2169" s="1548">
        <v>21.7</v>
      </c>
      <c r="E2169" s="1557">
        <v>55950.0</v>
      </c>
      <c r="F2169" s="598">
        <v>605.0</v>
      </c>
      <c r="G2169" s="598">
        <v>126.0</v>
      </c>
      <c r="H2169" s="598">
        <v>312.0</v>
      </c>
      <c r="I2169" s="598">
        <v>11.0</v>
      </c>
      <c r="J2169" s="598">
        <v>315.0</v>
      </c>
      <c r="K2169" s="1561">
        <v>2452.0</v>
      </c>
      <c r="L2169" s="1555">
        <v>50904.0</v>
      </c>
    </row>
    <row r="2170">
      <c r="A2170" s="1545" t="s">
        <v>273</v>
      </c>
      <c r="B2170" s="1587">
        <v>116894.0</v>
      </c>
      <c r="C2170" s="1547">
        <v>3803.0</v>
      </c>
      <c r="D2170" s="1548">
        <v>13.8</v>
      </c>
      <c r="E2170" s="1557">
        <v>107729.0</v>
      </c>
      <c r="F2170" s="598">
        <v>1786.0</v>
      </c>
      <c r="G2170" s="598">
        <v>197.0</v>
      </c>
      <c r="H2170" s="598">
        <v>966.0</v>
      </c>
      <c r="I2170" s="598">
        <v>40.0</v>
      </c>
      <c r="J2170" s="598">
        <v>1155.0</v>
      </c>
      <c r="K2170" s="1561">
        <v>5021.0</v>
      </c>
      <c r="L2170" s="1551">
        <v>59142.0</v>
      </c>
    </row>
    <row r="2171">
      <c r="A2171" s="1545" t="s">
        <v>1670</v>
      </c>
      <c r="B2171" s="1587">
        <v>37102.0</v>
      </c>
      <c r="C2171" s="1547">
        <v>1156.0</v>
      </c>
      <c r="D2171" s="1548">
        <v>14.2</v>
      </c>
      <c r="E2171" s="1557">
        <v>34164.0</v>
      </c>
      <c r="F2171" s="598">
        <v>335.0</v>
      </c>
      <c r="G2171" s="598">
        <v>85.0</v>
      </c>
      <c r="H2171" s="598">
        <v>199.0</v>
      </c>
      <c r="I2171" s="598">
        <v>8.0</v>
      </c>
      <c r="J2171" s="598">
        <v>658.0</v>
      </c>
      <c r="K2171" s="1561">
        <v>1653.0</v>
      </c>
      <c r="L2171" s="1555">
        <v>54581.0</v>
      </c>
    </row>
    <row r="2172">
      <c r="A2172" s="1545" t="s">
        <v>1703</v>
      </c>
      <c r="B2172" s="1587">
        <v>132248.0</v>
      </c>
      <c r="C2172" s="1547">
        <v>2845.0</v>
      </c>
      <c r="D2172" s="1548">
        <v>10.9</v>
      </c>
      <c r="E2172" s="1557">
        <v>115339.0</v>
      </c>
      <c r="F2172" s="598">
        <v>3185.0</v>
      </c>
      <c r="G2172" s="598">
        <v>310.0</v>
      </c>
      <c r="H2172" s="598">
        <v>2764.0</v>
      </c>
      <c r="I2172" s="598">
        <v>10.0</v>
      </c>
      <c r="J2172" s="598">
        <v>2232.0</v>
      </c>
      <c r="K2172" s="1561">
        <v>8408.0</v>
      </c>
      <c r="L2172" s="1615">
        <v>64282.0</v>
      </c>
    </row>
    <row r="2173">
      <c r="A2173" s="1528" t="s">
        <v>1704</v>
      </c>
      <c r="B2173" s="1595">
        <v>21900.0</v>
      </c>
      <c r="C2173" s="1582">
        <v>494.0</v>
      </c>
      <c r="D2173" s="1567">
        <v>10.2</v>
      </c>
      <c r="E2173" s="1532">
        <v>20732.0</v>
      </c>
      <c r="F2173" s="1533">
        <v>81.0</v>
      </c>
      <c r="G2173" s="1533">
        <v>25.0</v>
      </c>
      <c r="H2173" s="1533">
        <v>85.0</v>
      </c>
      <c r="I2173" s="1533">
        <v>3.0</v>
      </c>
      <c r="J2173" s="1533">
        <v>267.0</v>
      </c>
      <c r="K2173" s="1616">
        <v>707.0</v>
      </c>
      <c r="L2173" s="1617">
        <v>55995.0</v>
      </c>
    </row>
    <row r="2174">
      <c r="A2174" s="1538" t="s">
        <v>519</v>
      </c>
      <c r="B2174" s="1596">
        <v>3959353.0</v>
      </c>
      <c r="C2174" s="1540">
        <v>200399.0</v>
      </c>
      <c r="D2174" s="1571">
        <v>21.4</v>
      </c>
      <c r="E2174" s="1572">
        <v>2514885.0</v>
      </c>
      <c r="F2174" s="1542">
        <v>289961.0</v>
      </c>
      <c r="G2174" s="1542">
        <v>332791.0</v>
      </c>
      <c r="H2174" s="1542">
        <v>90949.0</v>
      </c>
      <c r="I2174" s="1542">
        <v>8608.0</v>
      </c>
      <c r="J2174" s="1542">
        <v>214001.0</v>
      </c>
      <c r="K2174" s="1543">
        <v>508158.0</v>
      </c>
      <c r="L2174" s="1544">
        <v>51914.0</v>
      </c>
    </row>
    <row r="2175">
      <c r="A2175" s="1545" t="s">
        <v>882</v>
      </c>
      <c r="B2175" s="1586">
        <v>19495.0</v>
      </c>
      <c r="C2175" s="1547">
        <v>2005.0</v>
      </c>
      <c r="D2175" s="1548">
        <v>34.9</v>
      </c>
      <c r="E2175" s="1557">
        <v>7645.0</v>
      </c>
      <c r="F2175" s="598">
        <v>41.0</v>
      </c>
      <c r="G2175" s="598">
        <v>8570.0</v>
      </c>
      <c r="H2175" s="598">
        <v>162.0</v>
      </c>
      <c r="I2175" s="598">
        <v>12.0</v>
      </c>
      <c r="J2175" s="598">
        <v>452.0</v>
      </c>
      <c r="K2175" s="1561">
        <v>2613.0</v>
      </c>
      <c r="L2175" s="1551">
        <v>35156.0</v>
      </c>
    </row>
    <row r="2176">
      <c r="A2176" s="1545" t="s">
        <v>1705</v>
      </c>
      <c r="B2176" s="1587">
        <v>5699.0</v>
      </c>
      <c r="C2176" s="1563">
        <v>206.0</v>
      </c>
      <c r="D2176" s="1548">
        <v>18.5</v>
      </c>
      <c r="E2176" s="1557">
        <v>4771.0</v>
      </c>
      <c r="F2176" s="598">
        <v>238.0</v>
      </c>
      <c r="G2176" s="598">
        <v>195.0</v>
      </c>
      <c r="H2176" s="598">
        <v>7.0</v>
      </c>
      <c r="I2176" s="598">
        <v>0.0</v>
      </c>
      <c r="J2176" s="598">
        <v>134.0</v>
      </c>
      <c r="K2176" s="1561">
        <v>354.0</v>
      </c>
      <c r="L2176" s="1551">
        <v>52952.0</v>
      </c>
    </row>
    <row r="2177">
      <c r="A2177" s="1545" t="s">
        <v>1708</v>
      </c>
      <c r="B2177" s="1587">
        <v>14143.0</v>
      </c>
      <c r="C2177" s="1563">
        <v>848.0</v>
      </c>
      <c r="D2177" s="1548">
        <v>27.8</v>
      </c>
      <c r="E2177" s="1557">
        <v>9480.0</v>
      </c>
      <c r="F2177" s="598">
        <v>565.0</v>
      </c>
      <c r="G2177" s="598">
        <v>2253.0</v>
      </c>
      <c r="H2177" s="598">
        <v>49.0</v>
      </c>
      <c r="I2177" s="598">
        <v>4.0</v>
      </c>
      <c r="J2177" s="598">
        <v>263.0</v>
      </c>
      <c r="K2177" s="1561">
        <v>1529.0</v>
      </c>
      <c r="L2177" s="1551">
        <v>39702.0</v>
      </c>
    </row>
    <row r="2178">
      <c r="A2178" s="1545" t="s">
        <v>1710</v>
      </c>
      <c r="B2178" s="1587">
        <v>5049.0</v>
      </c>
      <c r="C2178" s="1563">
        <v>227.0</v>
      </c>
      <c r="D2178" s="1548">
        <v>17.0</v>
      </c>
      <c r="E2178" s="1557">
        <v>3811.0</v>
      </c>
      <c r="F2178" s="598">
        <v>4.0</v>
      </c>
      <c r="G2178" s="598">
        <v>46.0</v>
      </c>
      <c r="H2178" s="598">
        <v>15.0</v>
      </c>
      <c r="I2178" s="598">
        <v>7.0</v>
      </c>
      <c r="J2178" s="598">
        <v>797.0</v>
      </c>
      <c r="K2178" s="1561">
        <v>369.0</v>
      </c>
      <c r="L2178" s="1551">
        <v>52550.0</v>
      </c>
    </row>
    <row r="2179">
      <c r="A2179" s="1545" t="s">
        <v>1711</v>
      </c>
      <c r="B2179" s="1587">
        <v>22410.0</v>
      </c>
      <c r="C2179" s="1547">
        <v>1106.0</v>
      </c>
      <c r="D2179" s="1548">
        <v>21.3</v>
      </c>
      <c r="E2179" s="1557">
        <v>17519.0</v>
      </c>
      <c r="F2179" s="598">
        <v>1136.0</v>
      </c>
      <c r="G2179" s="598">
        <v>852.0</v>
      </c>
      <c r="H2179" s="598">
        <v>131.0</v>
      </c>
      <c r="I2179" s="598">
        <v>12.0</v>
      </c>
      <c r="J2179" s="598">
        <v>1076.0</v>
      </c>
      <c r="K2179" s="1561">
        <v>1684.0</v>
      </c>
      <c r="L2179" s="1551">
        <v>47825.0</v>
      </c>
    </row>
    <row r="2180">
      <c r="A2180" s="1545" t="s">
        <v>666</v>
      </c>
      <c r="B2180" s="1587">
        <v>8735.0</v>
      </c>
      <c r="C2180" s="1563">
        <v>565.0</v>
      </c>
      <c r="D2180" s="1548">
        <v>23.4</v>
      </c>
      <c r="E2180" s="1557">
        <v>6463.0</v>
      </c>
      <c r="F2180" s="598">
        <v>263.0</v>
      </c>
      <c r="G2180" s="598">
        <v>672.0</v>
      </c>
      <c r="H2180" s="598">
        <v>26.0</v>
      </c>
      <c r="I2180" s="598">
        <v>8.0</v>
      </c>
      <c r="J2180" s="598">
        <v>397.0</v>
      </c>
      <c r="K2180" s="1561">
        <v>906.0</v>
      </c>
      <c r="L2180" s="1551">
        <v>49513.0</v>
      </c>
    </row>
    <row r="2181">
      <c r="A2181" s="1545" t="s">
        <v>544</v>
      </c>
      <c r="B2181" s="1587">
        <v>46067.0</v>
      </c>
      <c r="C2181" s="1547">
        <v>2366.0</v>
      </c>
      <c r="D2181" s="1548">
        <v>22.0</v>
      </c>
      <c r="E2181" s="1557">
        <v>31023.0</v>
      </c>
      <c r="F2181" s="598">
        <v>744.0</v>
      </c>
      <c r="G2181" s="598">
        <v>6820.0</v>
      </c>
      <c r="H2181" s="598">
        <v>295.0</v>
      </c>
      <c r="I2181" s="598">
        <v>14.0</v>
      </c>
      <c r="J2181" s="598">
        <v>1366.0</v>
      </c>
      <c r="K2181" s="1561">
        <v>5805.0</v>
      </c>
      <c r="L2181" s="1551">
        <v>43445.0</v>
      </c>
    </row>
    <row r="2182">
      <c r="A2182" s="1545" t="s">
        <v>1147</v>
      </c>
      <c r="B2182" s="1587">
        <v>26945.0</v>
      </c>
      <c r="C2182" s="1547">
        <v>1847.0</v>
      </c>
      <c r="D2182" s="1548">
        <v>25.9</v>
      </c>
      <c r="E2182" s="1557">
        <v>16743.0</v>
      </c>
      <c r="F2182" s="598">
        <v>690.0</v>
      </c>
      <c r="G2182" s="598">
        <v>5773.0</v>
      </c>
      <c r="H2182" s="598">
        <v>68.0</v>
      </c>
      <c r="I2182" s="598">
        <v>17.0</v>
      </c>
      <c r="J2182" s="598">
        <v>1019.0</v>
      </c>
      <c r="K2182" s="1561">
        <v>2635.0</v>
      </c>
      <c r="L2182" s="1555">
        <v>48533.0</v>
      </c>
    </row>
    <row r="2183">
      <c r="A2183" s="1545" t="s">
        <v>1716</v>
      </c>
      <c r="B2183" s="1587">
        <v>154405.0</v>
      </c>
      <c r="C2183" s="1547">
        <v>3272.0</v>
      </c>
      <c r="D2183" s="1548">
        <v>8.8</v>
      </c>
      <c r="E2183" s="1557">
        <v>112548.0</v>
      </c>
      <c r="F2183" s="598">
        <v>5467.0</v>
      </c>
      <c r="G2183" s="598">
        <v>6922.0</v>
      </c>
      <c r="H2183" s="598">
        <v>4847.0</v>
      </c>
      <c r="I2183" s="598">
        <v>114.0</v>
      </c>
      <c r="J2183" s="598">
        <v>6196.0</v>
      </c>
      <c r="K2183" s="1561">
        <v>18311.0</v>
      </c>
      <c r="L2183" s="1551">
        <v>70942.0</v>
      </c>
    </row>
    <row r="2184">
      <c r="A2184" s="1545" t="s">
        <v>1038</v>
      </c>
      <c r="B2184" s="1587">
        <v>48003.0</v>
      </c>
      <c r="C2184" s="1547">
        <v>2837.0</v>
      </c>
      <c r="D2184" s="1548">
        <v>24.0</v>
      </c>
      <c r="E2184" s="1557">
        <v>32121.0</v>
      </c>
      <c r="F2184" s="598">
        <v>2872.0</v>
      </c>
      <c r="G2184" s="598">
        <v>4430.0</v>
      </c>
      <c r="H2184" s="598">
        <v>588.0</v>
      </c>
      <c r="I2184" s="598">
        <v>51.0</v>
      </c>
      <c r="J2184" s="598">
        <v>2035.0</v>
      </c>
      <c r="K2184" s="1561">
        <v>5906.0</v>
      </c>
      <c r="L2184" s="1551">
        <v>48660.0</v>
      </c>
    </row>
    <row r="2185">
      <c r="A2185" s="1545" t="s">
        <v>101</v>
      </c>
      <c r="B2185" s="1587">
        <v>47078.0</v>
      </c>
      <c r="C2185" s="1547">
        <v>2784.0</v>
      </c>
      <c r="D2185" s="1548">
        <v>26.6</v>
      </c>
      <c r="E2185" s="1557">
        <v>20787.0</v>
      </c>
      <c r="F2185" s="598">
        <v>537.0</v>
      </c>
      <c r="G2185" s="598">
        <v>16271.0</v>
      </c>
      <c r="H2185" s="598">
        <v>311.0</v>
      </c>
      <c r="I2185" s="598">
        <v>21.0</v>
      </c>
      <c r="J2185" s="598">
        <v>1468.0</v>
      </c>
      <c r="K2185" s="1561">
        <v>7683.0</v>
      </c>
      <c r="L2185" s="1551">
        <v>42913.0</v>
      </c>
    </row>
    <row r="2186">
      <c r="A2186" s="1545" t="s">
        <v>107</v>
      </c>
      <c r="B2186" s="1587">
        <v>14204.0</v>
      </c>
      <c r="C2186" s="1547">
        <v>1107.0</v>
      </c>
      <c r="D2186" s="1548">
        <v>31.9</v>
      </c>
      <c r="E2186" s="1557">
        <v>8284.0</v>
      </c>
      <c r="F2186" s="598">
        <v>1383.0</v>
      </c>
      <c r="G2186" s="598">
        <v>2579.0</v>
      </c>
      <c r="H2186" s="598">
        <v>29.0</v>
      </c>
      <c r="I2186" s="598">
        <v>5.0</v>
      </c>
      <c r="J2186" s="598">
        <v>176.0</v>
      </c>
      <c r="K2186" s="1561">
        <v>1748.0</v>
      </c>
      <c r="L2186" s="1551">
        <v>35308.0</v>
      </c>
    </row>
    <row r="2187">
      <c r="A2187" s="1545" t="s">
        <v>1717</v>
      </c>
      <c r="B2187" s="1587">
        <v>2296.0</v>
      </c>
      <c r="C2187" s="1563">
        <v>142.0</v>
      </c>
      <c r="D2187" s="1548">
        <v>26.7</v>
      </c>
      <c r="E2187" s="1557">
        <v>1801.0</v>
      </c>
      <c r="F2187" s="598">
        <v>1.0</v>
      </c>
      <c r="G2187" s="598">
        <v>17.0</v>
      </c>
      <c r="H2187" s="598">
        <v>1.0</v>
      </c>
      <c r="I2187" s="598">
        <v>0.0</v>
      </c>
      <c r="J2187" s="598">
        <v>271.0</v>
      </c>
      <c r="K2187" s="1561">
        <v>205.0</v>
      </c>
      <c r="L2187" s="1555">
        <v>46777.0</v>
      </c>
    </row>
    <row r="2188">
      <c r="A2188" s="1545" t="s">
        <v>257</v>
      </c>
      <c r="B2188" s="1587">
        <v>295528.0</v>
      </c>
      <c r="C2188" s="1547">
        <v>7423.0</v>
      </c>
      <c r="D2188" s="1548">
        <v>12.5</v>
      </c>
      <c r="E2188" s="1557">
        <v>203615.0</v>
      </c>
      <c r="F2188" s="598">
        <v>15147.0</v>
      </c>
      <c r="G2188" s="598">
        <v>13274.0</v>
      </c>
      <c r="H2188" s="598">
        <v>12827.0</v>
      </c>
      <c r="I2188" s="598">
        <v>278.0</v>
      </c>
      <c r="J2188" s="598">
        <v>11765.0</v>
      </c>
      <c r="K2188" s="1561">
        <v>38622.0</v>
      </c>
      <c r="L2188" s="1551">
        <v>62343.0</v>
      </c>
    </row>
    <row r="2189">
      <c r="A2189" s="1545" t="s">
        <v>1718</v>
      </c>
      <c r="B2189" s="1587">
        <v>5266.0</v>
      </c>
      <c r="C2189" s="1563">
        <v>373.0</v>
      </c>
      <c r="D2189" s="1548">
        <v>28.5</v>
      </c>
      <c r="E2189" s="1557">
        <v>3441.0</v>
      </c>
      <c r="F2189" s="598">
        <v>27.0</v>
      </c>
      <c r="G2189" s="598">
        <v>1035.0</v>
      </c>
      <c r="H2189" s="598">
        <v>15.0</v>
      </c>
      <c r="I2189" s="598">
        <v>2.0</v>
      </c>
      <c r="J2189" s="598">
        <v>86.0</v>
      </c>
      <c r="K2189" s="1561">
        <v>660.0</v>
      </c>
      <c r="L2189" s="1555">
        <v>39396.0</v>
      </c>
    </row>
    <row r="2190">
      <c r="A2190" s="1545" t="s">
        <v>964</v>
      </c>
      <c r="B2190" s="1587">
        <v>121125.0</v>
      </c>
      <c r="C2190" s="1547">
        <v>6515.0</v>
      </c>
      <c r="D2190" s="1548">
        <v>23.6</v>
      </c>
      <c r="E2190" s="1557">
        <v>69301.0</v>
      </c>
      <c r="F2190" s="598">
        <v>19802.0</v>
      </c>
      <c r="G2190" s="598">
        <v>7237.0</v>
      </c>
      <c r="H2190" s="598">
        <v>3141.0</v>
      </c>
      <c r="I2190" s="598">
        <v>877.0</v>
      </c>
      <c r="J2190" s="598">
        <v>5222.0</v>
      </c>
      <c r="K2190" s="1561">
        <v>15545.0</v>
      </c>
      <c r="L2190" s="1551">
        <v>51382.0</v>
      </c>
    </row>
    <row r="2191">
      <c r="A2191" s="1545" t="s">
        <v>1720</v>
      </c>
      <c r="B2191" s="1587">
        <v>5527.0</v>
      </c>
      <c r="C2191" s="1563">
        <v>281.0</v>
      </c>
      <c r="D2191" s="1548">
        <v>22.2</v>
      </c>
      <c r="E2191" s="1557">
        <v>4212.0</v>
      </c>
      <c r="F2191" s="598">
        <v>76.0</v>
      </c>
      <c r="G2191" s="598">
        <v>528.0</v>
      </c>
      <c r="H2191" s="598">
        <v>28.0</v>
      </c>
      <c r="I2191" s="598">
        <v>9.0</v>
      </c>
      <c r="J2191" s="598">
        <v>96.0</v>
      </c>
      <c r="K2191" s="1561">
        <v>578.0</v>
      </c>
      <c r="L2191" s="1551">
        <v>43386.0</v>
      </c>
    </row>
    <row r="2192">
      <c r="A2192" s="1545" t="s">
        <v>1721</v>
      </c>
      <c r="B2192" s="1587">
        <v>14107.0</v>
      </c>
      <c r="C2192" s="1563">
        <v>866.0</v>
      </c>
      <c r="D2192" s="1548">
        <v>28.1</v>
      </c>
      <c r="E2192" s="1557">
        <v>8581.0</v>
      </c>
      <c r="F2192" s="598">
        <v>378.0</v>
      </c>
      <c r="G2192" s="598">
        <v>2854.0</v>
      </c>
      <c r="H2192" s="598">
        <v>76.0</v>
      </c>
      <c r="I2192" s="598">
        <v>3.0</v>
      </c>
      <c r="J2192" s="598">
        <v>149.0</v>
      </c>
      <c r="K2192" s="1561">
        <v>2066.0</v>
      </c>
      <c r="L2192" s="1555">
        <v>43074.0</v>
      </c>
    </row>
    <row r="2193">
      <c r="A2193" s="1545" t="s">
        <v>1722</v>
      </c>
      <c r="B2193" s="1587">
        <v>71754.0</v>
      </c>
      <c r="C2193" s="1547">
        <v>3345.0</v>
      </c>
      <c r="D2193" s="1548">
        <v>19.9</v>
      </c>
      <c r="E2193" s="1557">
        <v>52436.0</v>
      </c>
      <c r="F2193" s="598">
        <v>1480.0</v>
      </c>
      <c r="G2193" s="598">
        <v>7188.0</v>
      </c>
      <c r="H2193" s="598">
        <v>309.0</v>
      </c>
      <c r="I2193" s="598">
        <v>67.0</v>
      </c>
      <c r="J2193" s="598">
        <v>1236.0</v>
      </c>
      <c r="K2193" s="1561">
        <v>9038.0</v>
      </c>
      <c r="L2193" s="1551">
        <v>54478.0</v>
      </c>
    </row>
    <row r="2194">
      <c r="A2194" s="1545" t="s">
        <v>406</v>
      </c>
      <c r="B2194" s="1587">
        <v>28513.0</v>
      </c>
      <c r="C2194" s="1547">
        <v>1327.0</v>
      </c>
      <c r="D2194" s="1548">
        <v>18.7</v>
      </c>
      <c r="E2194" s="1557">
        <v>20025.0</v>
      </c>
      <c r="F2194" s="598">
        <v>823.0</v>
      </c>
      <c r="G2194" s="598">
        <v>1945.0</v>
      </c>
      <c r="H2194" s="598">
        <v>311.0</v>
      </c>
      <c r="I2194" s="598">
        <v>12.0</v>
      </c>
      <c r="J2194" s="598">
        <v>1937.0</v>
      </c>
      <c r="K2194" s="1561">
        <v>3460.0</v>
      </c>
      <c r="L2194" s="1551">
        <v>49577.0</v>
      </c>
    </row>
    <row r="2195">
      <c r="A2195" s="1545" t="s">
        <v>40</v>
      </c>
      <c r="B2195" s="1587">
        <v>40397.0</v>
      </c>
      <c r="C2195" s="1547">
        <v>2798.0</v>
      </c>
      <c r="D2195" s="1548">
        <v>33.6</v>
      </c>
      <c r="E2195" s="1557">
        <v>25394.0</v>
      </c>
      <c r="F2195" s="598">
        <v>136.0</v>
      </c>
      <c r="G2195" s="598">
        <v>8695.0</v>
      </c>
      <c r="H2195" s="598">
        <v>474.0</v>
      </c>
      <c r="I2195" s="598">
        <v>36.0</v>
      </c>
      <c r="J2195" s="598">
        <v>603.0</v>
      </c>
      <c r="K2195" s="1561">
        <v>5059.0</v>
      </c>
      <c r="L2195" s="1551">
        <v>40287.0</v>
      </c>
    </row>
    <row r="2196">
      <c r="A2196" s="1545" t="s">
        <v>1723</v>
      </c>
      <c r="B2196" s="1587">
        <v>4484.0</v>
      </c>
      <c r="C2196" s="1563">
        <v>210.0</v>
      </c>
      <c r="D2196" s="1548">
        <v>16.1</v>
      </c>
      <c r="E2196" s="1557">
        <v>3827.0</v>
      </c>
      <c r="F2196" s="598">
        <v>7.0</v>
      </c>
      <c r="G2196" s="598">
        <v>268.0</v>
      </c>
      <c r="H2196" s="598">
        <v>4.0</v>
      </c>
      <c r="I2196" s="598">
        <v>2.0</v>
      </c>
      <c r="J2196" s="598">
        <v>60.0</v>
      </c>
      <c r="K2196" s="1561">
        <v>316.0</v>
      </c>
      <c r="L2196" s="1551">
        <v>50728.0</v>
      </c>
    </row>
    <row r="2197">
      <c r="A2197" s="1545" t="s">
        <v>969</v>
      </c>
      <c r="B2197" s="1587">
        <v>3749.0</v>
      </c>
      <c r="C2197" s="1563">
        <v>165.0</v>
      </c>
      <c r="D2197" s="1548">
        <v>18.3</v>
      </c>
      <c r="E2197" s="1557">
        <v>3269.0</v>
      </c>
      <c r="F2197" s="598">
        <v>20.0</v>
      </c>
      <c r="G2197" s="598">
        <v>61.0</v>
      </c>
      <c r="H2197" s="598">
        <v>15.0</v>
      </c>
      <c r="I2197" s="598">
        <v>0.0</v>
      </c>
      <c r="J2197" s="598">
        <v>103.0</v>
      </c>
      <c r="K2197" s="1561">
        <v>281.0</v>
      </c>
      <c r="L2197" s="1551">
        <v>51867.0</v>
      </c>
    </row>
    <row r="2198">
      <c r="A2198" s="1545" t="s">
        <v>417</v>
      </c>
      <c r="B2198" s="1587">
        <v>62846.0</v>
      </c>
      <c r="C2198" s="1547">
        <v>3350.0</v>
      </c>
      <c r="D2198" s="1548">
        <v>21.9</v>
      </c>
      <c r="E2198" s="1557">
        <v>45297.0</v>
      </c>
      <c r="F2198" s="598">
        <v>1747.0</v>
      </c>
      <c r="G2198" s="598">
        <v>1579.0</v>
      </c>
      <c r="H2198" s="598">
        <v>706.0</v>
      </c>
      <c r="I2198" s="598">
        <v>2941.0</v>
      </c>
      <c r="J2198" s="598">
        <v>4087.0</v>
      </c>
      <c r="K2198" s="1561">
        <v>6489.0</v>
      </c>
      <c r="L2198" s="1551">
        <v>52387.0</v>
      </c>
    </row>
    <row r="2199">
      <c r="A2199" s="1545" t="s">
        <v>1726</v>
      </c>
      <c r="B2199" s="1587">
        <v>25656.0</v>
      </c>
      <c r="C2199" s="1547">
        <v>1349.0</v>
      </c>
      <c r="D2199" s="1548">
        <v>19.9</v>
      </c>
      <c r="E2199" s="1557">
        <v>18904.0</v>
      </c>
      <c r="F2199" s="598">
        <v>552.0</v>
      </c>
      <c r="G2199" s="598">
        <v>2190.0</v>
      </c>
      <c r="H2199" s="598">
        <v>118.0</v>
      </c>
      <c r="I2199" s="598">
        <v>13.0</v>
      </c>
      <c r="J2199" s="598">
        <v>1073.0</v>
      </c>
      <c r="K2199" s="1561">
        <v>2806.0</v>
      </c>
      <c r="L2199" s="1551">
        <v>47858.0</v>
      </c>
    </row>
    <row r="2200">
      <c r="A2200" s="1545" t="s">
        <v>584</v>
      </c>
      <c r="B2200" s="1587">
        <v>54795.0</v>
      </c>
      <c r="C2200" s="1547">
        <v>1779.0</v>
      </c>
      <c r="D2200" s="1548">
        <v>13.6</v>
      </c>
      <c r="E2200" s="1557">
        <v>43117.0</v>
      </c>
      <c r="F2200" s="598">
        <v>1324.0</v>
      </c>
      <c r="G2200" s="598">
        <v>3050.0</v>
      </c>
      <c r="H2200" s="598">
        <v>204.0</v>
      </c>
      <c r="I2200" s="598">
        <v>38.0</v>
      </c>
      <c r="J2200" s="598">
        <v>1211.0</v>
      </c>
      <c r="K2200" s="1561">
        <v>5851.0</v>
      </c>
      <c r="L2200" s="1551">
        <v>56489.0</v>
      </c>
    </row>
    <row r="2201">
      <c r="A2201" s="1545" t="s">
        <v>278</v>
      </c>
      <c r="B2201" s="1587">
        <v>4169.0</v>
      </c>
      <c r="C2201" s="1563">
        <v>169.0</v>
      </c>
      <c r="D2201" s="1548">
        <v>16.8</v>
      </c>
      <c r="E2201" s="1557">
        <v>3701.0</v>
      </c>
      <c r="F2201" s="598">
        <v>44.0</v>
      </c>
      <c r="G2201" s="598">
        <v>80.0</v>
      </c>
      <c r="H2201" s="598">
        <v>12.0</v>
      </c>
      <c r="I2201" s="598">
        <v>8.0</v>
      </c>
      <c r="J2201" s="598">
        <v>73.0</v>
      </c>
      <c r="K2201" s="1561">
        <v>251.0</v>
      </c>
      <c r="L2201" s="1551">
        <v>49073.0</v>
      </c>
    </row>
    <row r="2202">
      <c r="A2202" s="1545" t="s">
        <v>1727</v>
      </c>
      <c r="B2202" s="1587">
        <v>5491.0</v>
      </c>
      <c r="C2202" s="1563">
        <v>354.0</v>
      </c>
      <c r="D2202" s="1548">
        <v>30.8</v>
      </c>
      <c r="E2202" s="1557">
        <v>4277.0</v>
      </c>
      <c r="F2202" s="598">
        <v>362.0</v>
      </c>
      <c r="G2202" s="598">
        <v>186.0</v>
      </c>
      <c r="H2202" s="598">
        <v>7.0</v>
      </c>
      <c r="I2202" s="598">
        <v>1.0</v>
      </c>
      <c r="J2202" s="598">
        <v>198.0</v>
      </c>
      <c r="K2202" s="1561">
        <v>460.0</v>
      </c>
      <c r="L2202" s="1551">
        <v>37445.0</v>
      </c>
    </row>
    <row r="2203">
      <c r="A2203" s="1545" t="s">
        <v>1729</v>
      </c>
      <c r="B2203" s="1587">
        <v>2488.0</v>
      </c>
      <c r="C2203" s="1563">
        <v>210.0</v>
      </c>
      <c r="D2203" s="1548">
        <v>31.5</v>
      </c>
      <c r="E2203" s="1557">
        <v>1742.0</v>
      </c>
      <c r="F2203" s="598">
        <v>164.0</v>
      </c>
      <c r="G2203" s="598">
        <v>57.0</v>
      </c>
      <c r="H2203" s="598">
        <v>11.0</v>
      </c>
      <c r="I2203" s="598">
        <v>0.0</v>
      </c>
      <c r="J2203" s="598">
        <v>219.0</v>
      </c>
      <c r="K2203" s="1561">
        <v>295.0</v>
      </c>
      <c r="L2203" s="1551">
        <v>38537.0</v>
      </c>
    </row>
    <row r="2204">
      <c r="A2204" s="1545" t="s">
        <v>978</v>
      </c>
      <c r="B2204" s="1587">
        <v>3272.0</v>
      </c>
      <c r="C2204" s="1563">
        <v>157.0</v>
      </c>
      <c r="D2204" s="1548">
        <v>15.7</v>
      </c>
      <c r="E2204" s="1557">
        <v>2488.0</v>
      </c>
      <c r="F2204" s="598">
        <v>4.0</v>
      </c>
      <c r="G2204" s="598">
        <v>50.0</v>
      </c>
      <c r="H2204" s="598">
        <v>1.0</v>
      </c>
      <c r="I2204" s="598">
        <v>0.0</v>
      </c>
      <c r="J2204" s="598">
        <v>469.0</v>
      </c>
      <c r="K2204" s="1561">
        <v>260.0</v>
      </c>
      <c r="L2204" s="1551">
        <v>55112.0</v>
      </c>
    </row>
    <row r="2205">
      <c r="A2205" s="1545" t="s">
        <v>980</v>
      </c>
      <c r="B2205" s="1587">
        <v>11561.0</v>
      </c>
      <c r="C2205" s="1563">
        <v>958.0</v>
      </c>
      <c r="D2205" s="1548">
        <v>32.7</v>
      </c>
      <c r="E2205" s="1557">
        <v>7855.0</v>
      </c>
      <c r="F2205" s="598">
        <v>66.0</v>
      </c>
      <c r="G2205" s="598">
        <v>2242.0</v>
      </c>
      <c r="H2205" s="598">
        <v>21.0</v>
      </c>
      <c r="I2205" s="598">
        <v>7.0</v>
      </c>
      <c r="J2205" s="598">
        <v>225.0</v>
      </c>
      <c r="K2205" s="1561">
        <v>1145.0</v>
      </c>
      <c r="L2205" s="1551">
        <v>37776.0</v>
      </c>
    </row>
    <row r="2206">
      <c r="A2206" s="1545" t="s">
        <v>1730</v>
      </c>
      <c r="B2206" s="1587">
        <v>13367.0</v>
      </c>
      <c r="C2206" s="1563">
        <v>886.0</v>
      </c>
      <c r="D2206" s="1548">
        <v>31.2</v>
      </c>
      <c r="E2206" s="1557">
        <v>8227.0</v>
      </c>
      <c r="F2206" s="598">
        <v>732.0</v>
      </c>
      <c r="G2206" s="598">
        <v>2587.0</v>
      </c>
      <c r="H2206" s="598">
        <v>41.0</v>
      </c>
      <c r="I2206" s="598">
        <v>14.0</v>
      </c>
      <c r="J2206" s="598">
        <v>434.0</v>
      </c>
      <c r="K2206" s="1561">
        <v>1332.0</v>
      </c>
      <c r="L2206" s="1551">
        <v>37566.0</v>
      </c>
    </row>
    <row r="2207">
      <c r="A2207" s="1545" t="s">
        <v>142</v>
      </c>
      <c r="B2207" s="1587">
        <v>24785.0</v>
      </c>
      <c r="C2207" s="1547">
        <v>1423.0</v>
      </c>
      <c r="D2207" s="1548">
        <v>22.9</v>
      </c>
      <c r="E2207" s="1557">
        <v>16532.0</v>
      </c>
      <c r="F2207" s="598">
        <v>1726.0</v>
      </c>
      <c r="G2207" s="598">
        <v>535.0</v>
      </c>
      <c r="H2207" s="598">
        <v>344.0</v>
      </c>
      <c r="I2207" s="598">
        <v>77.0</v>
      </c>
      <c r="J2207" s="598">
        <v>2395.0</v>
      </c>
      <c r="K2207" s="1561">
        <v>3176.0</v>
      </c>
      <c r="L2207" s="1551">
        <v>47747.0</v>
      </c>
    </row>
    <row r="2208">
      <c r="A2208" s="1545" t="s">
        <v>143</v>
      </c>
      <c r="B2208" s="1587">
        <v>5337.0</v>
      </c>
      <c r="C2208" s="1563">
        <v>550.0</v>
      </c>
      <c r="D2208" s="1548">
        <v>37.9</v>
      </c>
      <c r="E2208" s="1557">
        <v>4206.0</v>
      </c>
      <c r="F2208" s="598">
        <v>27.0</v>
      </c>
      <c r="G2208" s="598">
        <v>286.0</v>
      </c>
      <c r="H2208" s="598">
        <v>30.0</v>
      </c>
      <c r="I2208" s="598">
        <v>5.0</v>
      </c>
      <c r="J2208" s="598">
        <v>245.0</v>
      </c>
      <c r="K2208" s="1561">
        <v>538.0</v>
      </c>
      <c r="L2208" s="1551">
        <v>37338.0</v>
      </c>
    </row>
    <row r="2209">
      <c r="A2209" s="1545" t="s">
        <v>1612</v>
      </c>
      <c r="B2209" s="1587">
        <v>10272.0</v>
      </c>
      <c r="C2209" s="1563">
        <v>656.0</v>
      </c>
      <c r="D2209" s="1548">
        <v>25.9</v>
      </c>
      <c r="E2209" s="1557">
        <v>6892.0</v>
      </c>
      <c r="F2209" s="598">
        <v>247.0</v>
      </c>
      <c r="G2209" s="598">
        <v>1662.0</v>
      </c>
      <c r="H2209" s="598">
        <v>52.0</v>
      </c>
      <c r="I2209" s="598">
        <v>5.0</v>
      </c>
      <c r="J2209" s="598">
        <v>244.0</v>
      </c>
      <c r="K2209" s="1561">
        <v>1170.0</v>
      </c>
      <c r="L2209" s="1551">
        <v>39756.0</v>
      </c>
    </row>
    <row r="2210">
      <c r="A2210" s="1545" t="s">
        <v>1732</v>
      </c>
      <c r="B2210" s="1587">
        <v>43700.0</v>
      </c>
      <c r="C2210" s="1547">
        <v>3264.0</v>
      </c>
      <c r="D2210" s="1548">
        <v>30.3</v>
      </c>
      <c r="E2210" s="1557">
        <v>31801.0</v>
      </c>
      <c r="F2210" s="598">
        <v>879.0</v>
      </c>
      <c r="G2210" s="598">
        <v>4427.0</v>
      </c>
      <c r="H2210" s="598">
        <v>254.0</v>
      </c>
      <c r="I2210" s="598">
        <v>277.0</v>
      </c>
      <c r="J2210" s="598">
        <v>1363.0</v>
      </c>
      <c r="K2210" s="1561">
        <v>4699.0</v>
      </c>
      <c r="L2210" s="1551">
        <v>45700.0</v>
      </c>
    </row>
    <row r="2211">
      <c r="A2211" s="1545" t="s">
        <v>1733</v>
      </c>
      <c r="B2211" s="1587">
        <v>15184.0</v>
      </c>
      <c r="C2211" s="1563">
        <v>542.0</v>
      </c>
      <c r="D2211" s="1548">
        <v>12.8</v>
      </c>
      <c r="E2211" s="1557">
        <v>11652.0</v>
      </c>
      <c r="F2211" s="598">
        <v>179.0</v>
      </c>
      <c r="G2211" s="598">
        <v>473.0</v>
      </c>
      <c r="H2211" s="598">
        <v>47.0</v>
      </c>
      <c r="I2211" s="598">
        <v>3.0</v>
      </c>
      <c r="J2211" s="598">
        <v>1273.0</v>
      </c>
      <c r="K2211" s="1561">
        <v>1557.0</v>
      </c>
      <c r="L2211" s="1551">
        <v>59266.0</v>
      </c>
    </row>
    <row r="2212">
      <c r="A2212" s="1545" t="s">
        <v>427</v>
      </c>
      <c r="B2212" s="1587">
        <v>8509.0</v>
      </c>
      <c r="C2212" s="1563">
        <v>575.0</v>
      </c>
      <c r="D2212" s="1548">
        <v>28.5</v>
      </c>
      <c r="E2212" s="1557">
        <v>6519.0</v>
      </c>
      <c r="F2212" s="598">
        <v>327.0</v>
      </c>
      <c r="G2212" s="598">
        <v>559.0</v>
      </c>
      <c r="H2212" s="598">
        <v>52.0</v>
      </c>
      <c r="I2212" s="598">
        <v>3.0</v>
      </c>
      <c r="J2212" s="598">
        <v>312.0</v>
      </c>
      <c r="K2212" s="1561">
        <v>737.0</v>
      </c>
      <c r="L2212" s="1551">
        <v>37831.0</v>
      </c>
    </row>
    <row r="2213">
      <c r="A2213" s="1545" t="s">
        <v>1735</v>
      </c>
      <c r="B2213" s="1587">
        <v>9444.0</v>
      </c>
      <c r="C2213" s="1563">
        <v>516.0</v>
      </c>
      <c r="D2213" s="1548">
        <v>24.1</v>
      </c>
      <c r="E2213" s="1557">
        <v>5925.0</v>
      </c>
      <c r="F2213" s="598">
        <v>43.0</v>
      </c>
      <c r="G2213" s="598">
        <v>2283.0</v>
      </c>
      <c r="H2213" s="598">
        <v>68.0</v>
      </c>
      <c r="I2213" s="598">
        <v>5.0</v>
      </c>
      <c r="J2213" s="598">
        <v>74.0</v>
      </c>
      <c r="K2213" s="1561">
        <v>1046.0</v>
      </c>
      <c r="L2213" s="1551">
        <v>38284.0</v>
      </c>
    </row>
    <row r="2214">
      <c r="A2214" s="1545" t="s">
        <v>1736</v>
      </c>
      <c r="B2214" s="1587">
        <v>48129.0</v>
      </c>
      <c r="C2214" s="1547">
        <v>3593.0</v>
      </c>
      <c r="D2214" s="1548">
        <v>30.6</v>
      </c>
      <c r="E2214" s="1557">
        <v>32654.0</v>
      </c>
      <c r="F2214" s="598">
        <v>859.0</v>
      </c>
      <c r="G2214" s="598">
        <v>7113.0</v>
      </c>
      <c r="H2214" s="598">
        <v>295.0</v>
      </c>
      <c r="I2214" s="598">
        <v>32.0</v>
      </c>
      <c r="J2214" s="598">
        <v>1843.0</v>
      </c>
      <c r="K2214" s="1561">
        <v>5333.0</v>
      </c>
      <c r="L2214" s="1551">
        <v>38709.0</v>
      </c>
    </row>
    <row r="2215">
      <c r="A2215" s="1545" t="s">
        <v>290</v>
      </c>
      <c r="B2215" s="1587">
        <v>33458.0</v>
      </c>
      <c r="C2215" s="1547">
        <v>1686.0</v>
      </c>
      <c r="D2215" s="1548">
        <v>20.8</v>
      </c>
      <c r="E2215" s="1557">
        <v>26543.0</v>
      </c>
      <c r="F2215" s="598">
        <v>598.0</v>
      </c>
      <c r="G2215" s="598">
        <v>2359.0</v>
      </c>
      <c r="H2215" s="598">
        <v>119.0</v>
      </c>
      <c r="I2215" s="598">
        <v>13.0</v>
      </c>
      <c r="J2215" s="598">
        <v>369.0</v>
      </c>
      <c r="K2215" s="1561">
        <v>3457.0</v>
      </c>
      <c r="L2215" s="1551">
        <v>48039.0</v>
      </c>
    </row>
    <row r="2216">
      <c r="A2216" s="1545" t="s">
        <v>293</v>
      </c>
      <c r="B2216" s="1587">
        <v>49555.0</v>
      </c>
      <c r="C2216" s="1547">
        <v>1455.0</v>
      </c>
      <c r="D2216" s="1548">
        <v>13.7</v>
      </c>
      <c r="E2216" s="1557">
        <v>37097.0</v>
      </c>
      <c r="F2216" s="598">
        <v>3286.0</v>
      </c>
      <c r="G2216" s="598">
        <v>1743.0</v>
      </c>
      <c r="H2216" s="598">
        <v>275.0</v>
      </c>
      <c r="I2216" s="598">
        <v>31.0</v>
      </c>
      <c r="J2216" s="598">
        <v>1665.0</v>
      </c>
      <c r="K2216" s="1561">
        <v>5458.0</v>
      </c>
      <c r="L2216" s="1551">
        <v>69114.0</v>
      </c>
    </row>
    <row r="2217">
      <c r="A2217" s="1545" t="s">
        <v>1739</v>
      </c>
      <c r="B2217" s="1587">
        <v>10146.0</v>
      </c>
      <c r="C2217" s="1563">
        <v>505.0</v>
      </c>
      <c r="D2217" s="1548">
        <v>20.9</v>
      </c>
      <c r="E2217" s="1557">
        <v>7206.0</v>
      </c>
      <c r="F2217" s="598">
        <v>198.0</v>
      </c>
      <c r="G2217" s="598">
        <v>649.0</v>
      </c>
      <c r="H2217" s="598">
        <v>72.0</v>
      </c>
      <c r="I2217" s="598">
        <v>0.0</v>
      </c>
      <c r="J2217" s="598">
        <v>893.0</v>
      </c>
      <c r="K2217" s="1561">
        <v>1128.0</v>
      </c>
      <c r="L2217" s="1551">
        <v>48725.0</v>
      </c>
    </row>
    <row r="2218">
      <c r="A2218" s="1545" t="s">
        <v>3977</v>
      </c>
      <c r="B2218" s="1587">
        <v>41662.0</v>
      </c>
      <c r="C2218" s="1547">
        <v>1286.0</v>
      </c>
      <c r="D2218" s="1548">
        <v>12.7</v>
      </c>
      <c r="E2218" s="1557">
        <v>31626.0</v>
      </c>
      <c r="F2218" s="598">
        <v>352.0</v>
      </c>
      <c r="G2218" s="598">
        <v>2834.0</v>
      </c>
      <c r="H2218" s="598">
        <v>212.0</v>
      </c>
      <c r="I2218" s="598">
        <v>36.0</v>
      </c>
      <c r="J2218" s="598">
        <v>1494.0</v>
      </c>
      <c r="K2218" s="1561">
        <v>5108.0</v>
      </c>
      <c r="L2218" s="1551">
        <v>65831.0</v>
      </c>
    </row>
    <row r="2219">
      <c r="A2219" s="1545" t="s">
        <v>1742</v>
      </c>
      <c r="B2219" s="1587">
        <v>30814.0</v>
      </c>
      <c r="C2219" s="1547">
        <v>2323.0</v>
      </c>
      <c r="D2219" s="1548">
        <v>28.8</v>
      </c>
      <c r="E2219" s="1557">
        <v>18494.0</v>
      </c>
      <c r="F2219" s="598">
        <v>2564.0</v>
      </c>
      <c r="G2219" s="598">
        <v>4515.0</v>
      </c>
      <c r="H2219" s="598">
        <v>132.0</v>
      </c>
      <c r="I2219" s="598">
        <v>460.0</v>
      </c>
      <c r="J2219" s="598">
        <v>864.0</v>
      </c>
      <c r="K2219" s="1561">
        <v>3785.0</v>
      </c>
      <c r="L2219" s="1551">
        <v>37390.0</v>
      </c>
    </row>
    <row r="2220">
      <c r="A2220" s="1545" t="s">
        <v>606</v>
      </c>
      <c r="B2220" s="1587">
        <v>18941.0</v>
      </c>
      <c r="C2220" s="1547">
        <v>1486.0</v>
      </c>
      <c r="D2220" s="1548">
        <v>37.6</v>
      </c>
      <c r="E2220" s="1557">
        <v>12810.0</v>
      </c>
      <c r="F2220" s="598">
        <v>547.0</v>
      </c>
      <c r="G2220" s="598">
        <v>3249.0</v>
      </c>
      <c r="H2220" s="598">
        <v>73.0</v>
      </c>
      <c r="I2220" s="598">
        <v>5.0</v>
      </c>
      <c r="J2220" s="598">
        <v>134.0</v>
      </c>
      <c r="K2220" s="1561">
        <v>2123.0</v>
      </c>
      <c r="L2220" s="1551">
        <v>37468.0</v>
      </c>
    </row>
    <row r="2221">
      <c r="A2221" s="1545" t="s">
        <v>1744</v>
      </c>
      <c r="B2221" s="1587">
        <v>7782.0</v>
      </c>
      <c r="C2221" s="1563">
        <v>290.0</v>
      </c>
      <c r="D2221" s="1548">
        <v>15.3</v>
      </c>
      <c r="E2221" s="1557">
        <v>6622.0</v>
      </c>
      <c r="F2221" s="598">
        <v>16.0</v>
      </c>
      <c r="G2221" s="598">
        <v>165.0</v>
      </c>
      <c r="H2221" s="598">
        <v>47.0</v>
      </c>
      <c r="I2221" s="598">
        <v>0.0</v>
      </c>
      <c r="J2221" s="598">
        <v>293.0</v>
      </c>
      <c r="K2221" s="1561">
        <v>639.0</v>
      </c>
      <c r="L2221" s="1551">
        <v>56102.0</v>
      </c>
    </row>
    <row r="2222">
      <c r="A2222" s="1545" t="s">
        <v>154</v>
      </c>
      <c r="B2222" s="1587">
        <v>15312.0</v>
      </c>
      <c r="C2222" s="1563">
        <v>953.0</v>
      </c>
      <c r="D2222" s="1548">
        <v>25.6</v>
      </c>
      <c r="E2222" s="1557">
        <v>10210.0</v>
      </c>
      <c r="F2222" s="598">
        <v>170.0</v>
      </c>
      <c r="G2222" s="598">
        <v>1509.0</v>
      </c>
      <c r="H2222" s="598">
        <v>44.0</v>
      </c>
      <c r="I2222" s="598">
        <v>6.0</v>
      </c>
      <c r="J2222" s="598">
        <v>1569.0</v>
      </c>
      <c r="K2222" s="1561">
        <v>1804.0</v>
      </c>
      <c r="L2222" s="1551">
        <v>42258.0</v>
      </c>
    </row>
    <row r="2223">
      <c r="A2223" s="1545" t="s">
        <v>1746</v>
      </c>
      <c r="B2223" s="1587">
        <v>39046.0</v>
      </c>
      <c r="C2223" s="1547">
        <v>1885.0</v>
      </c>
      <c r="D2223" s="1548">
        <v>20.3</v>
      </c>
      <c r="E2223" s="1557">
        <v>23933.0</v>
      </c>
      <c r="F2223" s="598">
        <v>191.0</v>
      </c>
      <c r="G2223" s="598">
        <v>8225.0</v>
      </c>
      <c r="H2223" s="598">
        <v>193.0</v>
      </c>
      <c r="I2223" s="598">
        <v>27.0</v>
      </c>
      <c r="J2223" s="598">
        <v>424.0</v>
      </c>
      <c r="K2223" s="1561">
        <v>6053.0</v>
      </c>
      <c r="L2223" s="1551">
        <v>50951.0</v>
      </c>
    </row>
    <row r="2224">
      <c r="A2224" s="1545" t="s">
        <v>611</v>
      </c>
      <c r="B2224" s="1587">
        <v>13904.0</v>
      </c>
      <c r="C2224" s="1563">
        <v>652.0</v>
      </c>
      <c r="D2224" s="1548">
        <v>20.7</v>
      </c>
      <c r="E2224" s="1557">
        <v>9668.0</v>
      </c>
      <c r="F2224" s="598">
        <v>167.0</v>
      </c>
      <c r="G2224" s="598">
        <v>2017.0</v>
      </c>
      <c r="H2224" s="598">
        <v>48.0</v>
      </c>
      <c r="I2224" s="598">
        <v>27.0</v>
      </c>
      <c r="J2224" s="598">
        <v>378.0</v>
      </c>
      <c r="K2224" s="1561">
        <v>1599.0</v>
      </c>
      <c r="L2224" s="1555">
        <v>50031.0</v>
      </c>
    </row>
    <row r="2225">
      <c r="A2225" s="1545" t="s">
        <v>1747</v>
      </c>
      <c r="B2225" s="1587">
        <v>66339.0</v>
      </c>
      <c r="C2225" s="1547">
        <v>3464.0</v>
      </c>
      <c r="D2225" s="1548">
        <v>21.4</v>
      </c>
      <c r="E2225" s="1557">
        <v>35802.0</v>
      </c>
      <c r="F2225" s="598">
        <v>6622.0</v>
      </c>
      <c r="G2225" s="598">
        <v>12086.0</v>
      </c>
      <c r="H2225" s="598">
        <v>512.0</v>
      </c>
      <c r="I2225" s="598">
        <v>39.0</v>
      </c>
      <c r="J2225" s="598">
        <v>2152.0</v>
      </c>
      <c r="K2225" s="1561">
        <v>9126.0</v>
      </c>
      <c r="L2225" s="1551">
        <v>43911.0</v>
      </c>
    </row>
    <row r="2226">
      <c r="A2226" s="1545" t="s">
        <v>793</v>
      </c>
      <c r="B2226" s="1587">
        <v>10924.0</v>
      </c>
      <c r="C2226" s="1563">
        <v>421.0</v>
      </c>
      <c r="D2226" s="1548">
        <v>16.3</v>
      </c>
      <c r="E2226" s="1557">
        <v>8560.0</v>
      </c>
      <c r="F2226" s="598">
        <v>153.0</v>
      </c>
      <c r="G2226" s="598">
        <v>988.0</v>
      </c>
      <c r="H2226" s="598">
        <v>47.0</v>
      </c>
      <c r="I2226" s="598">
        <v>0.0</v>
      </c>
      <c r="J2226" s="598">
        <v>102.0</v>
      </c>
      <c r="K2226" s="1561">
        <v>1074.0</v>
      </c>
      <c r="L2226" s="1551">
        <v>54210.0</v>
      </c>
    </row>
    <row r="2227">
      <c r="A2227" s="1545" t="s">
        <v>1749</v>
      </c>
      <c r="B2227" s="1587">
        <v>9320.0</v>
      </c>
      <c r="C2227" s="1563">
        <v>582.0</v>
      </c>
      <c r="D2227" s="1548">
        <v>25.4</v>
      </c>
      <c r="E2227" s="1557">
        <v>5900.0</v>
      </c>
      <c r="F2227" s="598">
        <v>108.0</v>
      </c>
      <c r="G2227" s="598">
        <v>1602.0</v>
      </c>
      <c r="H2227" s="598">
        <v>8.0</v>
      </c>
      <c r="I2227" s="598">
        <v>5.0</v>
      </c>
      <c r="J2227" s="598">
        <v>38.0</v>
      </c>
      <c r="K2227" s="1561">
        <v>1659.0</v>
      </c>
      <c r="L2227" s="1551">
        <v>45734.0</v>
      </c>
    </row>
    <row r="2228">
      <c r="A2228" s="1545" t="s">
        <v>1750</v>
      </c>
      <c r="B2228" s="1587">
        <v>11310.0</v>
      </c>
      <c r="C2228" s="1563">
        <v>834.0</v>
      </c>
      <c r="D2228" s="1548">
        <v>31.2</v>
      </c>
      <c r="E2228" s="1557">
        <v>6685.0</v>
      </c>
      <c r="F2228" s="598">
        <v>700.0</v>
      </c>
      <c r="G2228" s="598">
        <v>2588.0</v>
      </c>
      <c r="H2228" s="598">
        <v>32.0</v>
      </c>
      <c r="I2228" s="598">
        <v>0.0</v>
      </c>
      <c r="J2228" s="598">
        <v>150.0</v>
      </c>
      <c r="K2228" s="1561">
        <v>1155.0</v>
      </c>
      <c r="L2228" s="1555">
        <v>37545.0</v>
      </c>
    </row>
    <row r="2229">
      <c r="A2229" s="1545" t="s">
        <v>102</v>
      </c>
      <c r="B2229" s="1587">
        <v>796292.0</v>
      </c>
      <c r="C2229" s="1547">
        <v>50600.0</v>
      </c>
      <c r="D2229" s="1548">
        <v>25.4</v>
      </c>
      <c r="E2229" s="1557">
        <v>437129.0</v>
      </c>
      <c r="F2229" s="598">
        <v>120320.0</v>
      </c>
      <c r="G2229" s="598">
        <v>27075.0</v>
      </c>
      <c r="H2229" s="598">
        <v>28178.0</v>
      </c>
      <c r="I2229" s="598">
        <v>1304.0</v>
      </c>
      <c r="J2229" s="598">
        <v>79257.0</v>
      </c>
      <c r="K2229" s="1561">
        <v>103029.0</v>
      </c>
      <c r="L2229" s="1551">
        <v>52346.0</v>
      </c>
    </row>
    <row r="2230">
      <c r="A2230" s="1545" t="s">
        <v>1751</v>
      </c>
      <c r="B2230" s="1587">
        <v>36706.0</v>
      </c>
      <c r="C2230" s="1547">
        <v>2574.0</v>
      </c>
      <c r="D2230" s="1548">
        <v>29.1</v>
      </c>
      <c r="E2230" s="1557">
        <v>22091.0</v>
      </c>
      <c r="F2230" s="598">
        <v>2768.0</v>
      </c>
      <c r="G2230" s="598">
        <v>6115.0</v>
      </c>
      <c r="H2230" s="598">
        <v>164.0</v>
      </c>
      <c r="I2230" s="598">
        <v>22.0</v>
      </c>
      <c r="J2230" s="598">
        <v>638.0</v>
      </c>
      <c r="K2230" s="1561">
        <v>4908.0</v>
      </c>
      <c r="L2230" s="1551">
        <v>42354.0</v>
      </c>
    </row>
    <row r="2231">
      <c r="A2231" s="1545" t="s">
        <v>996</v>
      </c>
      <c r="B2231" s="1587">
        <v>45818.0</v>
      </c>
      <c r="C2231" s="1547">
        <v>2205.0</v>
      </c>
      <c r="D2231" s="1548">
        <v>22.1</v>
      </c>
      <c r="E2231" s="1557">
        <v>27903.0</v>
      </c>
      <c r="F2231" s="598">
        <v>4842.0</v>
      </c>
      <c r="G2231" s="598">
        <v>6555.0</v>
      </c>
      <c r="H2231" s="598">
        <v>128.0</v>
      </c>
      <c r="I2231" s="598">
        <v>19.0</v>
      </c>
      <c r="J2231" s="598">
        <v>734.0</v>
      </c>
      <c r="K2231" s="1561">
        <v>5637.0</v>
      </c>
      <c r="L2231" s="1551">
        <v>48826.0</v>
      </c>
    </row>
    <row r="2232">
      <c r="A2232" s="1545" t="s">
        <v>998</v>
      </c>
      <c r="B2232" s="1587">
        <v>30285.0</v>
      </c>
      <c r="C2232" s="1547">
        <v>2304.0</v>
      </c>
      <c r="D2232" s="1548">
        <v>30.8</v>
      </c>
      <c r="E2232" s="1557">
        <v>19365.0</v>
      </c>
      <c r="F2232" s="598">
        <v>298.0</v>
      </c>
      <c r="G2232" s="598">
        <v>5704.0</v>
      </c>
      <c r="H2232" s="598">
        <v>154.0</v>
      </c>
      <c r="I2232" s="598">
        <v>232.0</v>
      </c>
      <c r="J2232" s="598">
        <v>551.0</v>
      </c>
      <c r="K2232" s="1561">
        <v>3981.0</v>
      </c>
      <c r="L2232" s="1551">
        <v>38194.0</v>
      </c>
    </row>
    <row r="2233">
      <c r="A2233" s="1545" t="s">
        <v>999</v>
      </c>
      <c r="B2233" s="1587">
        <v>15553.0</v>
      </c>
      <c r="C2233" s="1563">
        <v>741.0</v>
      </c>
      <c r="D2233" s="1548">
        <v>19.5</v>
      </c>
      <c r="E2233" s="1557">
        <v>11702.0</v>
      </c>
      <c r="F2233" s="598">
        <v>79.0</v>
      </c>
      <c r="G2233" s="598">
        <v>1960.0</v>
      </c>
      <c r="H2233" s="598">
        <v>50.0</v>
      </c>
      <c r="I2233" s="598">
        <v>0.0</v>
      </c>
      <c r="J2233" s="598">
        <v>167.0</v>
      </c>
      <c r="K2233" s="1561">
        <v>1595.0</v>
      </c>
      <c r="L2233" s="1555">
        <v>46949.0</v>
      </c>
    </row>
    <row r="2234">
      <c r="A2234" s="1545" t="s">
        <v>1752</v>
      </c>
      <c r="B2234" s="1587">
        <v>81646.0</v>
      </c>
      <c r="C2234" s="1547">
        <v>2787.0</v>
      </c>
      <c r="D2234" s="1548">
        <v>18.0</v>
      </c>
      <c r="E2234" s="1557">
        <v>60654.0</v>
      </c>
      <c r="F2234" s="598">
        <v>3195.0</v>
      </c>
      <c r="G2234" s="598">
        <v>3797.0</v>
      </c>
      <c r="H2234" s="598">
        <v>2673.0</v>
      </c>
      <c r="I2234" s="598">
        <v>59.0</v>
      </c>
      <c r="J2234" s="598">
        <v>1916.0</v>
      </c>
      <c r="K2234" s="1561">
        <v>9352.0</v>
      </c>
      <c r="L2234" s="1551">
        <v>47748.0</v>
      </c>
    </row>
    <row r="2235">
      <c r="A2235" s="1545" t="s">
        <v>1755</v>
      </c>
      <c r="B2235" s="1587">
        <v>43773.0</v>
      </c>
      <c r="C2235" s="1547">
        <v>2606.0</v>
      </c>
      <c r="D2235" s="1548">
        <v>27.4</v>
      </c>
      <c r="E2235" s="1557">
        <v>29042.0</v>
      </c>
      <c r="F2235" s="598">
        <v>1251.0</v>
      </c>
      <c r="G2235" s="598">
        <v>6597.0</v>
      </c>
      <c r="H2235" s="598">
        <v>284.0</v>
      </c>
      <c r="I2235" s="598">
        <v>37.0</v>
      </c>
      <c r="J2235" s="598">
        <v>889.0</v>
      </c>
      <c r="K2235" s="1561">
        <v>5673.0</v>
      </c>
      <c r="L2235" s="1551">
        <v>42376.0</v>
      </c>
    </row>
    <row r="2236">
      <c r="A2236" s="1545" t="s">
        <v>1379</v>
      </c>
      <c r="B2236" s="1587">
        <v>38065.0</v>
      </c>
      <c r="C2236" s="1547">
        <v>1836.0</v>
      </c>
      <c r="D2236" s="1548">
        <v>20.2</v>
      </c>
      <c r="E2236" s="1557">
        <v>23271.0</v>
      </c>
      <c r="F2236" s="598">
        <v>884.0</v>
      </c>
      <c r="G2236" s="598">
        <v>7171.0</v>
      </c>
      <c r="H2236" s="598">
        <v>373.0</v>
      </c>
      <c r="I2236" s="598">
        <v>13.0</v>
      </c>
      <c r="J2236" s="598">
        <v>774.0</v>
      </c>
      <c r="K2236" s="1561">
        <v>5579.0</v>
      </c>
      <c r="L2236" s="1555">
        <v>48450.0</v>
      </c>
    </row>
    <row r="2237">
      <c r="A2237" s="1545" t="s">
        <v>1000</v>
      </c>
      <c r="B2237" s="1587">
        <v>72454.0</v>
      </c>
      <c r="C2237" s="1547">
        <v>4190.0</v>
      </c>
      <c r="D2237" s="1548">
        <v>25.1</v>
      </c>
      <c r="E2237" s="1557">
        <v>50484.0</v>
      </c>
      <c r="F2237" s="598">
        <v>2242.0</v>
      </c>
      <c r="G2237" s="598">
        <v>9145.0</v>
      </c>
      <c r="H2237" s="598">
        <v>514.0</v>
      </c>
      <c r="I2237" s="598">
        <v>47.0</v>
      </c>
      <c r="J2237" s="598">
        <v>1457.0</v>
      </c>
      <c r="K2237" s="1561">
        <v>8565.0</v>
      </c>
      <c r="L2237" s="1551">
        <v>48499.0</v>
      </c>
    </row>
    <row r="2238">
      <c r="A2238" s="1545" t="s">
        <v>1757</v>
      </c>
      <c r="B2238" s="1587">
        <v>10812.0</v>
      </c>
      <c r="C2238" s="1563">
        <v>730.0</v>
      </c>
      <c r="D2238" s="1548">
        <v>30.0</v>
      </c>
      <c r="E2238" s="1557">
        <v>7507.0</v>
      </c>
      <c r="F2238" s="598">
        <v>67.0</v>
      </c>
      <c r="G2238" s="598">
        <v>1856.0</v>
      </c>
      <c r="H2238" s="598">
        <v>52.0</v>
      </c>
      <c r="I2238" s="598">
        <v>0.0</v>
      </c>
      <c r="J2238" s="598">
        <v>138.0</v>
      </c>
      <c r="K2238" s="1561">
        <v>1192.0</v>
      </c>
      <c r="L2238" s="1551">
        <v>37026.0</v>
      </c>
    </row>
    <row r="2239">
      <c r="A2239" s="1545" t="s">
        <v>1758</v>
      </c>
      <c r="B2239" s="1587">
        <v>3442.0</v>
      </c>
      <c r="C2239" s="1563">
        <v>169.0</v>
      </c>
      <c r="D2239" s="1548">
        <v>18.7</v>
      </c>
      <c r="E2239" s="1557">
        <v>2945.0</v>
      </c>
      <c r="F2239" s="598">
        <v>8.0</v>
      </c>
      <c r="G2239" s="598">
        <v>122.0</v>
      </c>
      <c r="H2239" s="598">
        <v>5.0</v>
      </c>
      <c r="I2239" s="598">
        <v>2.0</v>
      </c>
      <c r="J2239" s="598">
        <v>62.0</v>
      </c>
      <c r="K2239" s="1561">
        <v>298.0</v>
      </c>
      <c r="L2239" s="1555">
        <v>53871.0</v>
      </c>
    </row>
    <row r="2240">
      <c r="A2240" s="1545" t="s">
        <v>1759</v>
      </c>
      <c r="B2240" s="1587">
        <v>95240.0</v>
      </c>
      <c r="C2240" s="1547">
        <v>2634.0</v>
      </c>
      <c r="D2240" s="1548">
        <v>12.5</v>
      </c>
      <c r="E2240" s="1557">
        <v>63792.0</v>
      </c>
      <c r="F2240" s="598">
        <v>1167.0</v>
      </c>
      <c r="G2240" s="598">
        <v>12425.0</v>
      </c>
      <c r="H2240" s="598">
        <v>1687.0</v>
      </c>
      <c r="I2240" s="598">
        <v>45.0</v>
      </c>
      <c r="J2240" s="598">
        <v>2012.0</v>
      </c>
      <c r="K2240" s="1561">
        <v>14112.0</v>
      </c>
      <c r="L2240" s="1551">
        <v>61849.0</v>
      </c>
    </row>
    <row r="2241">
      <c r="A2241" s="1545" t="s">
        <v>524</v>
      </c>
      <c r="B2241" s="1587">
        <v>23556.0</v>
      </c>
      <c r="C2241" s="1547">
        <v>1594.0</v>
      </c>
      <c r="D2241" s="1548">
        <v>26.8</v>
      </c>
      <c r="E2241" s="1557">
        <v>14438.0</v>
      </c>
      <c r="F2241" s="598">
        <v>923.0</v>
      </c>
      <c r="G2241" s="598">
        <v>4638.0</v>
      </c>
      <c r="H2241" s="598">
        <v>76.0</v>
      </c>
      <c r="I2241" s="598">
        <v>8.0</v>
      </c>
      <c r="J2241" s="598">
        <v>390.0</v>
      </c>
      <c r="K2241" s="1561">
        <v>3083.0</v>
      </c>
      <c r="L2241" s="1551">
        <v>37901.0</v>
      </c>
    </row>
    <row r="2242">
      <c r="A2242" s="1545" t="s">
        <v>1761</v>
      </c>
      <c r="B2242" s="1587">
        <v>39281.0</v>
      </c>
      <c r="C2242" s="1547">
        <v>2625.0</v>
      </c>
      <c r="D2242" s="1548">
        <v>28.4</v>
      </c>
      <c r="E2242" s="1557">
        <v>22928.0</v>
      </c>
      <c r="F2242" s="598">
        <v>616.0</v>
      </c>
      <c r="G2242" s="598">
        <v>9205.0</v>
      </c>
      <c r="H2242" s="598">
        <v>288.0</v>
      </c>
      <c r="I2242" s="598">
        <v>14.0</v>
      </c>
      <c r="J2242" s="598">
        <v>704.0</v>
      </c>
      <c r="K2242" s="1561">
        <v>5526.0</v>
      </c>
      <c r="L2242" s="1551">
        <v>38998.0</v>
      </c>
    </row>
    <row r="2243">
      <c r="A2243" s="1545" t="s">
        <v>628</v>
      </c>
      <c r="B2243" s="1587">
        <v>42848.0</v>
      </c>
      <c r="C2243" s="1547">
        <v>2232.0</v>
      </c>
      <c r="D2243" s="1548">
        <v>22.7</v>
      </c>
      <c r="E2243" s="1557">
        <v>33461.0</v>
      </c>
      <c r="F2243" s="598">
        <v>822.0</v>
      </c>
      <c r="G2243" s="598">
        <v>2183.0</v>
      </c>
      <c r="H2243" s="598">
        <v>250.0</v>
      </c>
      <c r="I2243" s="598">
        <v>21.0</v>
      </c>
      <c r="J2243" s="598">
        <v>1337.0</v>
      </c>
      <c r="K2243" s="1561">
        <v>4774.0</v>
      </c>
      <c r="L2243" s="1551">
        <v>46512.0</v>
      </c>
    </row>
    <row r="2244">
      <c r="A2244" s="1545" t="s">
        <v>113</v>
      </c>
      <c r="B2244" s="1587">
        <v>21384.0</v>
      </c>
      <c r="C2244" s="1563">
        <v>949.0</v>
      </c>
      <c r="D2244" s="1548">
        <v>16.9</v>
      </c>
      <c r="E2244" s="1557">
        <v>10136.0</v>
      </c>
      <c r="F2244" s="598">
        <v>1025.0</v>
      </c>
      <c r="G2244" s="598">
        <v>563.0</v>
      </c>
      <c r="H2244" s="598">
        <v>475.0</v>
      </c>
      <c r="I2244" s="598">
        <v>0.0</v>
      </c>
      <c r="J2244" s="598">
        <v>5598.0</v>
      </c>
      <c r="K2244" s="1561">
        <v>3587.0</v>
      </c>
      <c r="L2244" s="1551">
        <v>51812.0</v>
      </c>
    </row>
    <row r="2245">
      <c r="A2245" s="1545" t="s">
        <v>1762</v>
      </c>
      <c r="B2245" s="1587">
        <v>6968.0</v>
      </c>
      <c r="C2245" s="1563">
        <v>510.0</v>
      </c>
      <c r="D2245" s="1548">
        <v>31.3</v>
      </c>
      <c r="E2245" s="1557">
        <v>4554.0</v>
      </c>
      <c r="F2245" s="598">
        <v>497.0</v>
      </c>
      <c r="G2245" s="598">
        <v>242.0</v>
      </c>
      <c r="H2245" s="598">
        <v>31.0</v>
      </c>
      <c r="I2245" s="598">
        <v>0.0</v>
      </c>
      <c r="J2245" s="598">
        <v>800.0</v>
      </c>
      <c r="K2245" s="1561">
        <v>844.0</v>
      </c>
      <c r="L2245" s="1555">
        <v>41186.0</v>
      </c>
    </row>
    <row r="2246">
      <c r="A2246" s="1545" t="s">
        <v>592</v>
      </c>
      <c r="B2246" s="1587">
        <v>669279.0</v>
      </c>
      <c r="C2246" s="1547">
        <v>31442.0</v>
      </c>
      <c r="D2246" s="1548">
        <v>19.6</v>
      </c>
      <c r="E2246" s="1557">
        <v>390702.0</v>
      </c>
      <c r="F2246" s="598">
        <v>67414.0</v>
      </c>
      <c r="G2246" s="598">
        <v>40047.0</v>
      </c>
      <c r="H2246" s="598">
        <v>25122.0</v>
      </c>
      <c r="I2246" s="598">
        <v>1099.0</v>
      </c>
      <c r="J2246" s="598">
        <v>48015.0</v>
      </c>
      <c r="K2246" s="1561">
        <v>96880.0</v>
      </c>
      <c r="L2246" s="1555">
        <v>55796.0</v>
      </c>
    </row>
    <row r="2247">
      <c r="A2247" s="1545" t="s">
        <v>1763</v>
      </c>
      <c r="B2247" s="1587">
        <v>80981.0</v>
      </c>
      <c r="C2247" s="1547">
        <v>2628.0</v>
      </c>
      <c r="D2247" s="1548">
        <v>13.7</v>
      </c>
      <c r="E2247" s="1557">
        <v>54125.0</v>
      </c>
      <c r="F2247" s="598">
        <v>2709.0</v>
      </c>
      <c r="G2247" s="598">
        <v>8372.0</v>
      </c>
      <c r="H2247" s="598">
        <v>1434.0</v>
      </c>
      <c r="I2247" s="598">
        <v>38.0</v>
      </c>
      <c r="J2247" s="598">
        <v>2383.0</v>
      </c>
      <c r="K2247" s="1561">
        <v>11920.0</v>
      </c>
      <c r="L2247" s="1555">
        <v>62889.0</v>
      </c>
    </row>
    <row r="2248">
      <c r="A2248" s="1545" t="s">
        <v>119</v>
      </c>
      <c r="B2248" s="1587">
        <v>52455.0</v>
      </c>
      <c r="C2248" s="1547">
        <v>2223.0</v>
      </c>
      <c r="D2248" s="1548">
        <v>18.4</v>
      </c>
      <c r="E2248" s="1557">
        <v>36126.0</v>
      </c>
      <c r="F2248" s="598">
        <v>1354.0</v>
      </c>
      <c r="G2248" s="598">
        <v>5409.0</v>
      </c>
      <c r="H2248" s="598">
        <v>980.0</v>
      </c>
      <c r="I2248" s="598">
        <v>12.0</v>
      </c>
      <c r="J2248" s="598">
        <v>1222.0</v>
      </c>
      <c r="K2248" s="1561">
        <v>7352.0</v>
      </c>
      <c r="L2248" s="1555">
        <v>53992.0</v>
      </c>
    </row>
    <row r="2249">
      <c r="A2249" s="1545" t="s">
        <v>1765</v>
      </c>
      <c r="B2249" s="1587">
        <v>10924.0</v>
      </c>
      <c r="C2249" s="1563">
        <v>667.0</v>
      </c>
      <c r="D2249" s="1548">
        <v>24.5</v>
      </c>
      <c r="E2249" s="1557">
        <v>9161.0</v>
      </c>
      <c r="F2249" s="598">
        <v>101.0</v>
      </c>
      <c r="G2249" s="598">
        <v>340.0</v>
      </c>
      <c r="H2249" s="598">
        <v>23.0</v>
      </c>
      <c r="I2249" s="598">
        <v>0.0</v>
      </c>
      <c r="J2249" s="598">
        <v>296.0</v>
      </c>
      <c r="K2249" s="1561">
        <v>1003.0</v>
      </c>
      <c r="L2249" s="1555">
        <v>47484.0</v>
      </c>
    </row>
    <row r="2250">
      <c r="A2250" s="1545" t="s">
        <v>1766</v>
      </c>
      <c r="B2250" s="1587">
        <v>8624.0</v>
      </c>
      <c r="C2250" s="1563">
        <v>299.0</v>
      </c>
      <c r="D2250" s="1548">
        <v>17.0</v>
      </c>
      <c r="E2250" s="1557">
        <v>7191.0</v>
      </c>
      <c r="F2250" s="598">
        <v>237.0</v>
      </c>
      <c r="G2250" s="598">
        <v>264.0</v>
      </c>
      <c r="H2250" s="598">
        <v>76.0</v>
      </c>
      <c r="I2250" s="598">
        <v>1.0</v>
      </c>
      <c r="J2250" s="598">
        <v>253.0</v>
      </c>
      <c r="K2250" s="1561">
        <v>602.0</v>
      </c>
      <c r="L2250" s="1615">
        <v>51715.0</v>
      </c>
    </row>
    <row r="2251">
      <c r="A2251" s="1528" t="s">
        <v>1767</v>
      </c>
      <c r="B2251" s="1595">
        <v>20470.0</v>
      </c>
      <c r="C2251" s="1530">
        <v>1090.0</v>
      </c>
      <c r="D2251" s="1567">
        <v>22.5</v>
      </c>
      <c r="E2251" s="1532">
        <v>16136.0</v>
      </c>
      <c r="F2251" s="1533">
        <v>351.0</v>
      </c>
      <c r="G2251" s="1533">
        <v>633.0</v>
      </c>
      <c r="H2251" s="1533">
        <v>126.0</v>
      </c>
      <c r="I2251" s="1533">
        <v>6.0</v>
      </c>
      <c r="J2251" s="1533">
        <v>1238.0</v>
      </c>
      <c r="K2251" s="1616">
        <v>1980.0</v>
      </c>
      <c r="L2251" s="1617">
        <v>55134.0</v>
      </c>
    </row>
    <row r="2252">
      <c r="A2252" s="1538" t="s">
        <v>103</v>
      </c>
      <c r="B2252" s="1596">
        <v>4237256.0</v>
      </c>
      <c r="C2252" s="1540">
        <v>134073.0</v>
      </c>
      <c r="D2252" s="1571">
        <v>15.7</v>
      </c>
      <c r="E2252" s="1572">
        <v>3169096.0</v>
      </c>
      <c r="F2252" s="1542">
        <v>82655.0</v>
      </c>
      <c r="G2252" s="1542">
        <v>62993.0</v>
      </c>
      <c r="H2252" s="1542">
        <v>194538.0</v>
      </c>
      <c r="I2252" s="1542">
        <v>19204.0</v>
      </c>
      <c r="J2252" s="1542">
        <v>265431.0</v>
      </c>
      <c r="K2252" s="1543">
        <v>443339.0</v>
      </c>
      <c r="L2252" s="1544">
        <v>63168.0</v>
      </c>
    </row>
    <row r="2253">
      <c r="A2253" s="1545" t="s">
        <v>481</v>
      </c>
      <c r="B2253" s="1586">
        <v>16668.0</v>
      </c>
      <c r="C2253" s="1563">
        <v>702.0</v>
      </c>
      <c r="D2253" s="1548">
        <v>22.7</v>
      </c>
      <c r="E2253" s="1557">
        <v>14936.0</v>
      </c>
      <c r="F2253" s="598">
        <v>77.0</v>
      </c>
      <c r="G2253" s="598">
        <v>186.0</v>
      </c>
      <c r="H2253" s="598">
        <v>66.0</v>
      </c>
      <c r="I2253" s="598">
        <v>21.0</v>
      </c>
      <c r="J2253" s="598">
        <v>349.0</v>
      </c>
      <c r="K2253" s="1561">
        <v>1033.0</v>
      </c>
      <c r="L2253" s="1555">
        <v>45972.0</v>
      </c>
    </row>
    <row r="2254">
      <c r="A2254" s="1545" t="s">
        <v>243</v>
      </c>
      <c r="B2254" s="1587">
        <v>95184.0</v>
      </c>
      <c r="C2254" s="1547">
        <v>1742.0</v>
      </c>
      <c r="D2254" s="1548">
        <v>11.9</v>
      </c>
      <c r="E2254" s="1557">
        <v>74612.0</v>
      </c>
      <c r="F2254" s="598">
        <v>1002.0</v>
      </c>
      <c r="G2254" s="598">
        <v>819.0</v>
      </c>
      <c r="H2254" s="598">
        <v>6428.0</v>
      </c>
      <c r="I2254" s="598">
        <v>292.0</v>
      </c>
      <c r="J2254" s="598">
        <v>3139.0</v>
      </c>
      <c r="K2254" s="1561">
        <v>8892.0</v>
      </c>
      <c r="L2254" s="1555">
        <v>63600.0</v>
      </c>
    </row>
    <row r="2255">
      <c r="A2255" s="1545" t="s">
        <v>1768</v>
      </c>
      <c r="B2255" s="1587">
        <v>421401.0</v>
      </c>
      <c r="C2255" s="1547">
        <v>6938.0</v>
      </c>
      <c r="D2255" s="1548">
        <v>7.9</v>
      </c>
      <c r="E2255" s="1557">
        <v>334855.0</v>
      </c>
      <c r="F2255" s="598">
        <v>4554.0</v>
      </c>
      <c r="G2255" s="598">
        <v>3510.0</v>
      </c>
      <c r="H2255" s="598">
        <v>20699.0</v>
      </c>
      <c r="I2255" s="598">
        <v>1117.0</v>
      </c>
      <c r="J2255" s="598">
        <v>16123.0</v>
      </c>
      <c r="K2255" s="1561">
        <v>40543.0</v>
      </c>
      <c r="L2255" s="1551">
        <v>81061.0</v>
      </c>
    </row>
    <row r="2256">
      <c r="A2256" s="1545" t="s">
        <v>1769</v>
      </c>
      <c r="B2256" s="1587">
        <v>41072.0</v>
      </c>
      <c r="C2256" s="1547">
        <v>1188.0</v>
      </c>
      <c r="D2256" s="1548">
        <v>16.0</v>
      </c>
      <c r="E2256" s="1557">
        <v>34525.0</v>
      </c>
      <c r="F2256" s="598">
        <v>226.0</v>
      </c>
      <c r="G2256" s="598">
        <v>431.0</v>
      </c>
      <c r="H2256" s="598">
        <v>564.0</v>
      </c>
      <c r="I2256" s="598">
        <v>104.0</v>
      </c>
      <c r="J2256" s="598">
        <v>1627.0</v>
      </c>
      <c r="K2256" s="1561">
        <v>3595.0</v>
      </c>
      <c r="L2256" s="1551">
        <v>53806.0</v>
      </c>
    </row>
    <row r="2257">
      <c r="A2257" s="1545" t="s">
        <v>258</v>
      </c>
      <c r="B2257" s="1587">
        <v>52589.0</v>
      </c>
      <c r="C2257" s="1547">
        <v>1423.0</v>
      </c>
      <c r="D2257" s="1548">
        <v>13.1</v>
      </c>
      <c r="E2257" s="1557">
        <v>45243.0</v>
      </c>
      <c r="F2257" s="598">
        <v>323.0</v>
      </c>
      <c r="G2257" s="598">
        <v>733.0</v>
      </c>
      <c r="H2257" s="598">
        <v>583.0</v>
      </c>
      <c r="I2257" s="598">
        <v>121.0</v>
      </c>
      <c r="J2257" s="598">
        <v>1004.0</v>
      </c>
      <c r="K2257" s="1561">
        <v>4582.0</v>
      </c>
      <c r="L2257" s="1551">
        <v>63338.0</v>
      </c>
    </row>
    <row r="2258">
      <c r="A2258" s="1545" t="s">
        <v>1520</v>
      </c>
      <c r="B2258" s="1587">
        <v>64929.0</v>
      </c>
      <c r="C2258" s="1547">
        <v>2757.0</v>
      </c>
      <c r="D2258" s="1548">
        <v>24.1</v>
      </c>
      <c r="E2258" s="1557">
        <v>54930.0</v>
      </c>
      <c r="F2258" s="598">
        <v>289.0</v>
      </c>
      <c r="G2258" s="598">
        <v>1493.0</v>
      </c>
      <c r="H2258" s="598">
        <v>747.0</v>
      </c>
      <c r="I2258" s="598">
        <v>128.0</v>
      </c>
      <c r="J2258" s="598">
        <v>1549.0</v>
      </c>
      <c r="K2258" s="1561">
        <v>5793.0</v>
      </c>
      <c r="L2258" s="1551">
        <v>48352.0</v>
      </c>
    </row>
    <row r="2259">
      <c r="A2259" s="1545" t="s">
        <v>1770</v>
      </c>
      <c r="B2259" s="1587">
        <v>24738.0</v>
      </c>
      <c r="C2259" s="1563">
        <v>906.0</v>
      </c>
      <c r="D2259" s="1548">
        <v>19.7</v>
      </c>
      <c r="E2259" s="1557">
        <v>21349.0</v>
      </c>
      <c r="F2259" s="598">
        <v>80.0</v>
      </c>
      <c r="G2259" s="598">
        <v>317.0</v>
      </c>
      <c r="H2259" s="598">
        <v>114.0</v>
      </c>
      <c r="I2259" s="598">
        <v>30.0</v>
      </c>
      <c r="J2259" s="598">
        <v>832.0</v>
      </c>
      <c r="K2259" s="1561">
        <v>2016.0</v>
      </c>
      <c r="L2259" s="1551">
        <v>51348.0</v>
      </c>
    </row>
    <row r="2260">
      <c r="A2260" s="1545" t="s">
        <v>1535</v>
      </c>
      <c r="B2260" s="1587">
        <v>23446.0</v>
      </c>
      <c r="C2260" s="1563">
        <v>725.0</v>
      </c>
      <c r="D2260" s="1548">
        <v>22.3</v>
      </c>
      <c r="E2260" s="1557">
        <v>19925.0</v>
      </c>
      <c r="F2260" s="598">
        <v>84.0</v>
      </c>
      <c r="G2260" s="598">
        <v>541.0</v>
      </c>
      <c r="H2260" s="598">
        <v>214.0</v>
      </c>
      <c r="I2260" s="598">
        <v>25.0</v>
      </c>
      <c r="J2260" s="598">
        <v>542.0</v>
      </c>
      <c r="K2260" s="1561">
        <v>2115.0</v>
      </c>
      <c r="L2260" s="1555">
        <v>48788.0</v>
      </c>
    </row>
    <row r="2261">
      <c r="A2261" s="1545" t="s">
        <v>1771</v>
      </c>
      <c r="B2261" s="1587">
        <v>198253.0</v>
      </c>
      <c r="C2261" s="1547">
        <v>4376.0</v>
      </c>
      <c r="D2261" s="1548">
        <v>11.5</v>
      </c>
      <c r="E2261" s="1557">
        <v>169137.0</v>
      </c>
      <c r="F2261" s="598">
        <v>887.0</v>
      </c>
      <c r="G2261" s="598">
        <v>1563.0</v>
      </c>
      <c r="H2261" s="598">
        <v>2481.0</v>
      </c>
      <c r="I2261" s="598">
        <v>272.0</v>
      </c>
      <c r="J2261" s="598">
        <v>6653.0</v>
      </c>
      <c r="K2261" s="1561">
        <v>17260.0</v>
      </c>
      <c r="L2261" s="1555">
        <v>67372.0</v>
      </c>
    </row>
    <row r="2262">
      <c r="A2262" s="1545" t="s">
        <v>412</v>
      </c>
      <c r="B2262" s="1587">
        <v>111201.0</v>
      </c>
      <c r="C2262" s="1547">
        <v>4415.0</v>
      </c>
      <c r="D2262" s="1548">
        <v>21.3</v>
      </c>
      <c r="E2262" s="1557">
        <v>96048.0</v>
      </c>
      <c r="F2262" s="598">
        <v>400.0</v>
      </c>
      <c r="G2262" s="598">
        <v>1950.0</v>
      </c>
      <c r="H2262" s="598">
        <v>1231.0</v>
      </c>
      <c r="I2262" s="598">
        <v>164.0</v>
      </c>
      <c r="J2262" s="598">
        <v>2103.0</v>
      </c>
      <c r="K2262" s="1561">
        <v>9305.0</v>
      </c>
      <c r="L2262" s="1551">
        <v>47020.0</v>
      </c>
    </row>
    <row r="2263">
      <c r="A2263" s="1545" t="s">
        <v>1772</v>
      </c>
      <c r="B2263" s="1587">
        <v>1995.0</v>
      </c>
      <c r="C2263" s="1563">
        <v>57.0</v>
      </c>
      <c r="D2263" s="1548">
        <v>15.8</v>
      </c>
      <c r="E2263" s="1557">
        <v>1770.0</v>
      </c>
      <c r="F2263" s="598">
        <v>4.0</v>
      </c>
      <c r="G2263" s="598">
        <v>29.0</v>
      </c>
      <c r="H2263" s="598">
        <v>9.0</v>
      </c>
      <c r="I2263" s="598">
        <v>11.0</v>
      </c>
      <c r="J2263" s="598">
        <v>27.0</v>
      </c>
      <c r="K2263" s="1561">
        <v>145.0</v>
      </c>
      <c r="L2263" s="1551">
        <v>54325.0</v>
      </c>
    </row>
    <row r="2264">
      <c r="A2264" s="1545" t="s">
        <v>278</v>
      </c>
      <c r="B2264" s="1587">
        <v>7233.0</v>
      </c>
      <c r="C2264" s="1563">
        <v>252.0</v>
      </c>
      <c r="D2264" s="1548">
        <v>20.0</v>
      </c>
      <c r="E2264" s="1557">
        <v>6523.0</v>
      </c>
      <c r="F2264" s="598">
        <v>13.0</v>
      </c>
      <c r="G2264" s="598">
        <v>65.0</v>
      </c>
      <c r="H2264" s="598">
        <v>23.0</v>
      </c>
      <c r="I2264" s="598">
        <v>10.0</v>
      </c>
      <c r="J2264" s="598">
        <v>69.0</v>
      </c>
      <c r="K2264" s="1561">
        <v>530.0</v>
      </c>
      <c r="L2264" s="1551">
        <v>46141.0</v>
      </c>
    </row>
    <row r="2265">
      <c r="A2265" s="1545" t="s">
        <v>1773</v>
      </c>
      <c r="B2265" s="1587">
        <v>7495.0</v>
      </c>
      <c r="C2265" s="1563">
        <v>322.0</v>
      </c>
      <c r="D2265" s="1548">
        <v>22.5</v>
      </c>
      <c r="E2265" s="1557">
        <v>6566.0</v>
      </c>
      <c r="F2265" s="598">
        <v>8.0</v>
      </c>
      <c r="G2265" s="598">
        <v>246.0</v>
      </c>
      <c r="H2265" s="598">
        <v>36.0</v>
      </c>
      <c r="I2265" s="598">
        <v>0.0</v>
      </c>
      <c r="J2265" s="598">
        <v>113.0</v>
      </c>
      <c r="K2265" s="1561">
        <v>526.0</v>
      </c>
      <c r="L2265" s="1551">
        <v>43370.0</v>
      </c>
    </row>
    <row r="2266">
      <c r="A2266" s="1545" t="s">
        <v>1774</v>
      </c>
      <c r="B2266" s="1587">
        <v>23977.0</v>
      </c>
      <c r="C2266" s="1563">
        <v>799.0</v>
      </c>
      <c r="D2266" s="1548">
        <v>14.7</v>
      </c>
      <c r="E2266" s="1557">
        <v>16381.0</v>
      </c>
      <c r="F2266" s="598">
        <v>53.0</v>
      </c>
      <c r="G2266" s="598">
        <v>274.0</v>
      </c>
      <c r="H2266" s="598">
        <v>392.0</v>
      </c>
      <c r="I2266" s="598">
        <v>37.0</v>
      </c>
      <c r="J2266" s="598">
        <v>3130.0</v>
      </c>
      <c r="K2266" s="1561">
        <v>3710.0</v>
      </c>
      <c r="L2266" s="1555">
        <v>66607.0</v>
      </c>
    </row>
    <row r="2267">
      <c r="A2267" s="1545" t="s">
        <v>142</v>
      </c>
      <c r="B2267" s="1587">
        <v>223259.0</v>
      </c>
      <c r="C2267" s="1547">
        <v>9287.0</v>
      </c>
      <c r="D2267" s="1548">
        <v>21.0</v>
      </c>
      <c r="E2267" s="1557">
        <v>178193.0</v>
      </c>
      <c r="F2267" s="598">
        <v>1734.0</v>
      </c>
      <c r="G2267" s="598">
        <v>2781.0</v>
      </c>
      <c r="H2267" s="598">
        <v>3387.0</v>
      </c>
      <c r="I2267" s="598">
        <v>867.0</v>
      </c>
      <c r="J2267" s="598">
        <v>11739.0</v>
      </c>
      <c r="K2267" s="1561">
        <v>24558.0</v>
      </c>
      <c r="L2267" s="1551">
        <v>55511.0</v>
      </c>
    </row>
    <row r="2268">
      <c r="A2268" s="1545" t="s">
        <v>143</v>
      </c>
      <c r="B2268" s="1587">
        <v>24502.0</v>
      </c>
      <c r="C2268" s="1547">
        <v>1249.0</v>
      </c>
      <c r="D2268" s="1548">
        <v>22.4</v>
      </c>
      <c r="E2268" s="1557">
        <v>15992.0</v>
      </c>
      <c r="F2268" s="598">
        <v>145.0</v>
      </c>
      <c r="G2268" s="598">
        <v>3323.0</v>
      </c>
      <c r="H2268" s="598">
        <v>149.0</v>
      </c>
      <c r="I2268" s="598">
        <v>24.0</v>
      </c>
      <c r="J2268" s="598">
        <v>2458.0</v>
      </c>
      <c r="K2268" s="1561">
        <v>2411.0</v>
      </c>
      <c r="L2268" s="1555">
        <v>50376.0</v>
      </c>
    </row>
    <row r="2269">
      <c r="A2269" s="1545" t="s">
        <v>1775</v>
      </c>
      <c r="B2269" s="1587">
        <v>88090.0</v>
      </c>
      <c r="C2269" s="1547">
        <v>4093.0</v>
      </c>
      <c r="D2269" s="1548">
        <v>25.2</v>
      </c>
      <c r="E2269" s="1557">
        <v>75344.0</v>
      </c>
      <c r="F2269" s="598">
        <v>415.0</v>
      </c>
      <c r="G2269" s="598">
        <v>1071.0</v>
      </c>
      <c r="H2269" s="598">
        <v>886.0</v>
      </c>
      <c r="I2269" s="598">
        <v>128.0</v>
      </c>
      <c r="J2269" s="598">
        <v>2194.0</v>
      </c>
      <c r="K2269" s="1561">
        <v>8052.0</v>
      </c>
      <c r="L2269" s="1555">
        <v>46578.0</v>
      </c>
    </row>
    <row r="2270">
      <c r="A2270" s="1545" t="s">
        <v>1776</v>
      </c>
      <c r="B2270" s="1587">
        <v>69413.0</v>
      </c>
      <c r="C2270" s="1547">
        <v>3605.0</v>
      </c>
      <c r="D2270" s="1548">
        <v>25.0</v>
      </c>
      <c r="E2270" s="1557">
        <v>54494.0</v>
      </c>
      <c r="F2270" s="598">
        <v>562.0</v>
      </c>
      <c r="G2270" s="598">
        <v>2998.0</v>
      </c>
      <c r="H2270" s="598">
        <v>786.0</v>
      </c>
      <c r="I2270" s="598">
        <v>122.0</v>
      </c>
      <c r="J2270" s="598">
        <v>3532.0</v>
      </c>
      <c r="K2270" s="1561">
        <v>6919.0</v>
      </c>
      <c r="L2270" s="1551">
        <v>45374.0</v>
      </c>
    </row>
    <row r="2271">
      <c r="A2271" s="1545" t="s">
        <v>337</v>
      </c>
      <c r="B2271" s="1587">
        <v>8160.0</v>
      </c>
      <c r="C2271" s="1563">
        <v>342.0</v>
      </c>
      <c r="D2271" s="1548">
        <v>22.8</v>
      </c>
      <c r="E2271" s="1557">
        <v>6691.0</v>
      </c>
      <c r="F2271" s="598">
        <v>49.0</v>
      </c>
      <c r="G2271" s="598">
        <v>131.0</v>
      </c>
      <c r="H2271" s="598">
        <v>54.0</v>
      </c>
      <c r="I2271" s="598">
        <v>10.0</v>
      </c>
      <c r="J2271" s="598">
        <v>322.0</v>
      </c>
      <c r="K2271" s="1561">
        <v>903.0</v>
      </c>
      <c r="L2271" s="1555">
        <v>44847.0</v>
      </c>
    </row>
    <row r="2272">
      <c r="A2272" s="1545" t="s">
        <v>986</v>
      </c>
      <c r="B2272" s="1587">
        <v>382971.0</v>
      </c>
      <c r="C2272" s="1547">
        <v>15221.0</v>
      </c>
      <c r="D2272" s="1548">
        <v>22.4</v>
      </c>
      <c r="E2272" s="1557">
        <v>309194.0</v>
      </c>
      <c r="F2272" s="598">
        <v>4660.0</v>
      </c>
      <c r="G2272" s="598">
        <v>4674.0</v>
      </c>
      <c r="H2272" s="598">
        <v>9620.0</v>
      </c>
      <c r="I2272" s="598">
        <v>1015.0</v>
      </c>
      <c r="J2272" s="598">
        <v>15016.0</v>
      </c>
      <c r="K2272" s="1561">
        <v>38792.0</v>
      </c>
      <c r="L2272" s="1551">
        <v>53161.0</v>
      </c>
    </row>
    <row r="2273">
      <c r="A2273" s="1545" t="s">
        <v>290</v>
      </c>
      <c r="B2273" s="1587">
        <v>50395.0</v>
      </c>
      <c r="C2273" s="1547">
        <v>1650.0</v>
      </c>
      <c r="D2273" s="1548">
        <v>20.3</v>
      </c>
      <c r="E2273" s="1557">
        <v>40624.0</v>
      </c>
      <c r="F2273" s="598">
        <v>199.0</v>
      </c>
      <c r="G2273" s="598">
        <v>1795.0</v>
      </c>
      <c r="H2273" s="598">
        <v>658.0</v>
      </c>
      <c r="I2273" s="598">
        <v>95.0</v>
      </c>
      <c r="J2273" s="598">
        <v>2140.0</v>
      </c>
      <c r="K2273" s="1561">
        <v>4884.0</v>
      </c>
      <c r="L2273" s="1555">
        <v>49265.0</v>
      </c>
    </row>
    <row r="2274">
      <c r="A2274" s="1545" t="s">
        <v>907</v>
      </c>
      <c r="B2274" s="1587">
        <v>128610.0</v>
      </c>
      <c r="C2274" s="1547">
        <v>4559.0</v>
      </c>
      <c r="D2274" s="1548">
        <v>16.3</v>
      </c>
      <c r="E2274" s="1557">
        <v>107700.0</v>
      </c>
      <c r="F2274" s="598">
        <v>681.0</v>
      </c>
      <c r="G2274" s="598">
        <v>1727.0</v>
      </c>
      <c r="H2274" s="598">
        <v>1477.0</v>
      </c>
      <c r="I2274" s="598">
        <v>295.0</v>
      </c>
      <c r="J2274" s="598">
        <v>4716.0</v>
      </c>
      <c r="K2274" s="1561">
        <v>12014.0</v>
      </c>
      <c r="L2274" s="1551">
        <v>54292.0</v>
      </c>
    </row>
    <row r="2275">
      <c r="A2275" s="1545" t="s">
        <v>1777</v>
      </c>
      <c r="B2275" s="1587">
        <v>31571.0</v>
      </c>
      <c r="C2275" s="1547">
        <v>2288.0</v>
      </c>
      <c r="D2275" s="1548">
        <v>29.0</v>
      </c>
      <c r="E2275" s="1557">
        <v>21619.0</v>
      </c>
      <c r="F2275" s="598">
        <v>465.0</v>
      </c>
      <c r="G2275" s="598">
        <v>539.0</v>
      </c>
      <c r="H2275" s="598">
        <v>396.0</v>
      </c>
      <c r="I2275" s="598">
        <v>53.0</v>
      </c>
      <c r="J2275" s="598">
        <v>5255.0</v>
      </c>
      <c r="K2275" s="1561">
        <v>3244.0</v>
      </c>
      <c r="L2275" s="1555">
        <v>42624.0</v>
      </c>
    </row>
    <row r="2276">
      <c r="A2276" s="1545" t="s">
        <v>153</v>
      </c>
      <c r="B2276" s="1587">
        <v>345920.0</v>
      </c>
      <c r="C2276" s="1547">
        <v>16073.0</v>
      </c>
      <c r="D2276" s="1548">
        <v>19.2</v>
      </c>
      <c r="E2276" s="1557">
        <v>233321.0</v>
      </c>
      <c r="F2276" s="598">
        <v>4161.0</v>
      </c>
      <c r="G2276" s="598">
        <v>6836.0</v>
      </c>
      <c r="H2276" s="598">
        <v>7501.0</v>
      </c>
      <c r="I2276" s="598">
        <v>3821.0</v>
      </c>
      <c r="J2276" s="598">
        <v>47723.0</v>
      </c>
      <c r="K2276" s="1561">
        <v>42557.0</v>
      </c>
      <c r="L2276" s="1551">
        <v>56408.0</v>
      </c>
    </row>
    <row r="2277">
      <c r="A2277" s="1545" t="s">
        <v>1691</v>
      </c>
      <c r="B2277" s="1587">
        <v>12186.0</v>
      </c>
      <c r="C2277" s="1563">
        <v>655.0</v>
      </c>
      <c r="D2277" s="1548">
        <v>21.1</v>
      </c>
      <c r="E2277" s="1557">
        <v>7472.0</v>
      </c>
      <c r="F2277" s="598">
        <v>58.0</v>
      </c>
      <c r="G2277" s="598">
        <v>167.0</v>
      </c>
      <c r="H2277" s="598">
        <v>33.0</v>
      </c>
      <c r="I2277" s="598">
        <v>5.0</v>
      </c>
      <c r="J2277" s="598">
        <v>2779.0</v>
      </c>
      <c r="K2277" s="1561">
        <v>1672.0</v>
      </c>
      <c r="L2277" s="1555">
        <v>55343.0</v>
      </c>
    </row>
    <row r="2278">
      <c r="A2278" s="1545" t="s">
        <v>511</v>
      </c>
      <c r="B2278" s="1587">
        <v>815428.0</v>
      </c>
      <c r="C2278" s="1547">
        <v>21633.0</v>
      </c>
      <c r="D2278" s="1548">
        <v>14.4</v>
      </c>
      <c r="E2278" s="1557">
        <v>556202.0</v>
      </c>
      <c r="F2278" s="598">
        <v>45370.0</v>
      </c>
      <c r="G2278" s="598">
        <v>9906.0</v>
      </c>
      <c r="H2278" s="598">
        <v>62022.0</v>
      </c>
      <c r="I2278" s="598">
        <v>5457.0</v>
      </c>
      <c r="J2278" s="598">
        <v>48057.0</v>
      </c>
      <c r="K2278" s="1561">
        <v>88414.0</v>
      </c>
      <c r="L2278" s="1555">
        <v>70756.0</v>
      </c>
    </row>
    <row r="2279">
      <c r="A2279" s="1545" t="s">
        <v>302</v>
      </c>
      <c r="B2279" s="1587">
        <v>87433.0</v>
      </c>
      <c r="C2279" s="1547">
        <v>2578.0</v>
      </c>
      <c r="D2279" s="1548">
        <v>13.5</v>
      </c>
      <c r="E2279" s="1557">
        <v>68274.0</v>
      </c>
      <c r="F2279" s="598">
        <v>735.0</v>
      </c>
      <c r="G2279" s="598">
        <v>1912.0</v>
      </c>
      <c r="H2279" s="598">
        <v>1774.0</v>
      </c>
      <c r="I2279" s="598">
        <v>361.0</v>
      </c>
      <c r="J2279" s="598">
        <v>5061.0</v>
      </c>
      <c r="K2279" s="1561">
        <v>9316.0</v>
      </c>
      <c r="L2279" s="1551">
        <v>62389.0</v>
      </c>
    </row>
    <row r="2280">
      <c r="A2280" s="1545" t="s">
        <v>1011</v>
      </c>
      <c r="B2280" s="1587">
        <v>1870.0</v>
      </c>
      <c r="C2280" s="1563">
        <v>49.0</v>
      </c>
      <c r="D2280" s="1548">
        <v>16.4</v>
      </c>
      <c r="E2280" s="1557">
        <v>1643.0</v>
      </c>
      <c r="F2280" s="598">
        <v>0.0</v>
      </c>
      <c r="G2280" s="598">
        <v>19.0</v>
      </c>
      <c r="H2280" s="598">
        <v>8.0</v>
      </c>
      <c r="I2280" s="598">
        <v>3.0</v>
      </c>
      <c r="J2280" s="598">
        <v>41.0</v>
      </c>
      <c r="K2280" s="1561">
        <v>156.0</v>
      </c>
      <c r="L2280" s="1551">
        <v>58838.0</v>
      </c>
    </row>
    <row r="2281">
      <c r="A2281" s="1545" t="s">
        <v>1778</v>
      </c>
      <c r="B2281" s="1587">
        <v>27390.0</v>
      </c>
      <c r="C2281" s="1563">
        <v>967.0</v>
      </c>
      <c r="D2281" s="1548">
        <v>19.7</v>
      </c>
      <c r="E2281" s="1557">
        <v>22620.0</v>
      </c>
      <c r="F2281" s="598">
        <v>79.0</v>
      </c>
      <c r="G2281" s="598">
        <v>307.0</v>
      </c>
      <c r="H2281" s="598">
        <v>283.0</v>
      </c>
      <c r="I2281" s="598">
        <v>85.0</v>
      </c>
      <c r="J2281" s="598">
        <v>1399.0</v>
      </c>
      <c r="K2281" s="1561">
        <v>2617.0</v>
      </c>
      <c r="L2281" s="1555">
        <v>52486.0</v>
      </c>
    </row>
    <row r="2282">
      <c r="A2282" s="1545" t="s">
        <v>1779</v>
      </c>
      <c r="B2282" s="1587">
        <v>80075.0</v>
      </c>
      <c r="C2282" s="1547">
        <v>4115.0</v>
      </c>
      <c r="D2282" s="1548">
        <v>21.5</v>
      </c>
      <c r="E2282" s="1557">
        <v>53461.0</v>
      </c>
      <c r="F2282" s="598">
        <v>701.0</v>
      </c>
      <c r="G2282" s="598">
        <v>3082.0</v>
      </c>
      <c r="H2282" s="598">
        <v>720.0</v>
      </c>
      <c r="I2282" s="598">
        <v>151.0</v>
      </c>
      <c r="J2282" s="598">
        <v>12503.0</v>
      </c>
      <c r="K2282" s="1561">
        <v>9457.0</v>
      </c>
      <c r="L2282" s="1551">
        <v>53917.0</v>
      </c>
    </row>
    <row r="2283">
      <c r="A2283" s="1545" t="s">
        <v>316</v>
      </c>
      <c r="B2283" s="1587">
        <v>26196.0</v>
      </c>
      <c r="C2283" s="1547">
        <v>1048.0</v>
      </c>
      <c r="D2283" s="1548">
        <v>17.9</v>
      </c>
      <c r="E2283" s="1557">
        <v>22565.0</v>
      </c>
      <c r="F2283" s="598">
        <v>161.0</v>
      </c>
      <c r="G2283" s="598">
        <v>242.0</v>
      </c>
      <c r="H2283" s="598">
        <v>220.0</v>
      </c>
      <c r="I2283" s="598">
        <v>492.0</v>
      </c>
      <c r="J2283" s="598">
        <v>462.0</v>
      </c>
      <c r="K2283" s="1561">
        <v>2054.0</v>
      </c>
      <c r="L2283" s="1551">
        <v>50616.0</v>
      </c>
    </row>
    <row r="2284">
      <c r="A2284" s="1545" t="s">
        <v>1780</v>
      </c>
      <c r="B2284" s="1587">
        <v>7391.0</v>
      </c>
      <c r="C2284" s="1563">
        <v>256.0</v>
      </c>
      <c r="D2284" s="1548">
        <v>19.9</v>
      </c>
      <c r="E2284" s="1557">
        <v>6673.0</v>
      </c>
      <c r="F2284" s="598">
        <v>9.0</v>
      </c>
      <c r="G2284" s="598">
        <v>60.0</v>
      </c>
      <c r="H2284" s="598">
        <v>31.0</v>
      </c>
      <c r="I2284" s="598">
        <v>4.0</v>
      </c>
      <c r="J2284" s="598">
        <v>145.0</v>
      </c>
      <c r="K2284" s="1561">
        <v>469.0</v>
      </c>
      <c r="L2284" s="1551">
        <v>48137.0</v>
      </c>
    </row>
    <row r="2285">
      <c r="A2285" s="1545" t="s">
        <v>1781</v>
      </c>
      <c r="B2285" s="1587">
        <v>26670.0</v>
      </c>
      <c r="C2285" s="1547">
        <v>1118.0</v>
      </c>
      <c r="D2285" s="1548">
        <v>19.7</v>
      </c>
      <c r="E2285" s="1557">
        <v>19821.0</v>
      </c>
      <c r="F2285" s="598">
        <v>133.0</v>
      </c>
      <c r="G2285" s="598">
        <v>1119.0</v>
      </c>
      <c r="H2285" s="598">
        <v>252.0</v>
      </c>
      <c r="I2285" s="598">
        <v>195.0</v>
      </c>
      <c r="J2285" s="598">
        <v>2153.0</v>
      </c>
      <c r="K2285" s="1561">
        <v>2997.0</v>
      </c>
      <c r="L2285" s="1555">
        <v>52269.0</v>
      </c>
    </row>
    <row r="2286">
      <c r="A2286" s="1545" t="s">
        <v>119</v>
      </c>
      <c r="B2286" s="1587">
        <v>600372.0</v>
      </c>
      <c r="C2286" s="1547">
        <v>13437.0</v>
      </c>
      <c r="D2286" s="1548">
        <v>10.0</v>
      </c>
      <c r="E2286" s="1557">
        <v>385455.0</v>
      </c>
      <c r="F2286" s="598">
        <v>13437.0</v>
      </c>
      <c r="G2286" s="598">
        <v>6179.0</v>
      </c>
      <c r="H2286" s="598">
        <v>69106.0</v>
      </c>
      <c r="I2286" s="598">
        <v>3477.0</v>
      </c>
      <c r="J2286" s="598">
        <v>52212.0</v>
      </c>
      <c r="K2286" s="1561">
        <v>70506.0</v>
      </c>
      <c r="L2286" s="1551">
        <v>82819.0</v>
      </c>
    </row>
    <row r="2287">
      <c r="A2287" s="1545" t="s">
        <v>649</v>
      </c>
      <c r="B2287" s="1587">
        <v>1451.0</v>
      </c>
      <c r="C2287" s="1563">
        <v>72.0</v>
      </c>
      <c r="D2287" s="1548">
        <v>35.0</v>
      </c>
      <c r="E2287" s="1557">
        <v>1271.0</v>
      </c>
      <c r="F2287" s="598">
        <v>1.0</v>
      </c>
      <c r="G2287" s="598">
        <v>26.0</v>
      </c>
      <c r="H2287" s="598">
        <v>9.0</v>
      </c>
      <c r="I2287" s="598">
        <v>0.0</v>
      </c>
      <c r="J2287" s="598">
        <v>24.0</v>
      </c>
      <c r="K2287" s="1561">
        <v>120.0</v>
      </c>
      <c r="L2287" s="1615">
        <v>39579.0</v>
      </c>
    </row>
    <row r="2288">
      <c r="A2288" s="1528" t="s">
        <v>1782</v>
      </c>
      <c r="B2288" s="1595">
        <v>107722.0</v>
      </c>
      <c r="C2288" s="1530">
        <v>3176.0</v>
      </c>
      <c r="D2288" s="1567">
        <v>13.7</v>
      </c>
      <c r="E2288" s="1532">
        <v>83667.0</v>
      </c>
      <c r="F2288" s="1533">
        <v>900.0</v>
      </c>
      <c r="G2288" s="1533">
        <v>1942.0</v>
      </c>
      <c r="H2288" s="1533">
        <v>1579.0</v>
      </c>
      <c r="I2288" s="1533">
        <v>212.0</v>
      </c>
      <c r="J2288" s="1533">
        <v>8240.0</v>
      </c>
      <c r="K2288" s="1616">
        <v>11182.0</v>
      </c>
      <c r="L2288" s="1617">
        <v>61776.0</v>
      </c>
    </row>
    <row r="2289">
      <c r="A2289" s="1538" t="s">
        <v>105</v>
      </c>
      <c r="B2289" s="1596">
        <v>1.30027E7</v>
      </c>
      <c r="C2289" s="1540">
        <v>433329.0</v>
      </c>
      <c r="D2289" s="1571">
        <v>16.7</v>
      </c>
      <c r="E2289" s="1603">
        <v>9750687.0</v>
      </c>
      <c r="F2289" s="1604">
        <v>1423169.0</v>
      </c>
      <c r="G2289" s="1604">
        <v>31052.0</v>
      </c>
      <c r="H2289" s="1604">
        <v>510501.0</v>
      </c>
      <c r="I2289" s="1604">
        <v>4276.0</v>
      </c>
      <c r="J2289" s="1604">
        <v>508531.0</v>
      </c>
      <c r="K2289" s="1605">
        <v>774484.0</v>
      </c>
      <c r="L2289" s="1625">
        <v>60891.0</v>
      </c>
    </row>
    <row r="2290">
      <c r="A2290" s="1545" t="s">
        <v>386</v>
      </c>
      <c r="B2290" s="1586">
        <v>103852.0</v>
      </c>
      <c r="C2290" s="1547">
        <v>2238.0</v>
      </c>
      <c r="D2290" s="1548">
        <v>11.2</v>
      </c>
      <c r="E2290" s="1549">
        <v>91460.0</v>
      </c>
      <c r="F2290" s="1593">
        <v>1559.0</v>
      </c>
      <c r="G2290" s="1593">
        <v>340.0</v>
      </c>
      <c r="H2290" s="1593">
        <v>975.0</v>
      </c>
      <c r="I2290" s="1593">
        <v>37.0</v>
      </c>
      <c r="J2290" s="1593">
        <v>3850.0</v>
      </c>
      <c r="K2290" s="1594">
        <v>5631.0</v>
      </c>
      <c r="L2290" s="1555">
        <v>62877.0</v>
      </c>
    </row>
    <row r="2291">
      <c r="A2291" s="1545" t="s">
        <v>363</v>
      </c>
      <c r="B2291" s="1587">
        <v>1250578.0</v>
      </c>
      <c r="C2291" s="1547">
        <v>33550.0</v>
      </c>
      <c r="D2291" s="1548">
        <v>15.0</v>
      </c>
      <c r="E2291" s="1557">
        <v>946321.0</v>
      </c>
      <c r="F2291" s="598">
        <v>163678.0</v>
      </c>
      <c r="G2291" s="598">
        <v>1909.0</v>
      </c>
      <c r="H2291" s="598">
        <v>58541.0</v>
      </c>
      <c r="I2291" s="598">
        <v>357.0</v>
      </c>
      <c r="J2291" s="598">
        <v>14066.0</v>
      </c>
      <c r="K2291" s="1561">
        <v>65706.0</v>
      </c>
      <c r="L2291" s="1555">
        <v>59881.0</v>
      </c>
    </row>
    <row r="2292">
      <c r="A2292" s="1545" t="s">
        <v>1783</v>
      </c>
      <c r="B2292" s="1587">
        <v>65558.0</v>
      </c>
      <c r="C2292" s="1547">
        <v>1664.0</v>
      </c>
      <c r="D2292" s="1548">
        <v>13.6</v>
      </c>
      <c r="E2292" s="1557">
        <v>62513.0</v>
      </c>
      <c r="F2292" s="598">
        <v>445.0</v>
      </c>
      <c r="G2292" s="598">
        <v>66.0</v>
      </c>
      <c r="H2292" s="598">
        <v>160.0</v>
      </c>
      <c r="I2292" s="598">
        <v>14.0</v>
      </c>
      <c r="J2292" s="598">
        <v>199.0</v>
      </c>
      <c r="K2292" s="1561">
        <v>2161.0</v>
      </c>
      <c r="L2292" s="1555">
        <v>49436.0</v>
      </c>
    </row>
    <row r="2293">
      <c r="A2293" s="1545" t="s">
        <v>1710</v>
      </c>
      <c r="B2293" s="1587">
        <v>168215.0</v>
      </c>
      <c r="C2293" s="1547">
        <v>5131.0</v>
      </c>
      <c r="D2293" s="1548">
        <v>16.3</v>
      </c>
      <c r="E2293" s="1557">
        <v>144954.0</v>
      </c>
      <c r="F2293" s="598">
        <v>11168.0</v>
      </c>
      <c r="G2293" s="598">
        <v>243.0</v>
      </c>
      <c r="H2293" s="598">
        <v>1028.0</v>
      </c>
      <c r="I2293" s="598">
        <v>59.0</v>
      </c>
      <c r="J2293" s="598">
        <v>1404.0</v>
      </c>
      <c r="K2293" s="1561">
        <v>9359.0</v>
      </c>
      <c r="L2293" s="1551">
        <v>54823.0</v>
      </c>
    </row>
    <row r="2294">
      <c r="A2294" s="1545" t="s">
        <v>1784</v>
      </c>
      <c r="B2294" s="1587">
        <v>47577.0</v>
      </c>
      <c r="C2294" s="1547">
        <v>1383.0</v>
      </c>
      <c r="D2294" s="1548">
        <v>15.0</v>
      </c>
      <c r="E2294" s="1557">
        <v>45569.0</v>
      </c>
      <c r="F2294" s="598">
        <v>192.0</v>
      </c>
      <c r="G2294" s="598">
        <v>78.0</v>
      </c>
      <c r="H2294" s="598">
        <v>153.0</v>
      </c>
      <c r="I2294" s="598">
        <v>4.0</v>
      </c>
      <c r="J2294" s="598">
        <v>167.0</v>
      </c>
      <c r="K2294" s="1561">
        <v>1414.0</v>
      </c>
      <c r="L2294" s="1555">
        <v>50257.0</v>
      </c>
    </row>
    <row r="2295">
      <c r="A2295" s="1545" t="s">
        <v>1785</v>
      </c>
      <c r="B2295" s="1587">
        <v>428849.0</v>
      </c>
      <c r="C2295" s="1547">
        <v>15572.0</v>
      </c>
      <c r="D2295" s="1548">
        <v>16.9</v>
      </c>
      <c r="E2295" s="1557">
        <v>309107.0</v>
      </c>
      <c r="F2295" s="598">
        <v>21992.0</v>
      </c>
      <c r="G2295" s="598">
        <v>2252.0</v>
      </c>
      <c r="H2295" s="598">
        <v>6413.0</v>
      </c>
      <c r="I2295" s="598">
        <v>170.0</v>
      </c>
      <c r="J2295" s="598">
        <v>50270.0</v>
      </c>
      <c r="K2295" s="1561">
        <v>38645.0</v>
      </c>
      <c r="L2295" s="1555">
        <v>62519.0</v>
      </c>
    </row>
    <row r="2296">
      <c r="A2296" s="1545" t="s">
        <v>1786</v>
      </c>
      <c r="B2296" s="1587">
        <v>122822.0</v>
      </c>
      <c r="C2296" s="1547">
        <v>4761.0</v>
      </c>
      <c r="D2296" s="1548">
        <v>19.4</v>
      </c>
      <c r="E2296" s="1557">
        <v>113618.0</v>
      </c>
      <c r="F2296" s="598">
        <v>2533.0</v>
      </c>
      <c r="G2296" s="598">
        <v>164.0</v>
      </c>
      <c r="H2296" s="598">
        <v>878.0</v>
      </c>
      <c r="I2296" s="598">
        <v>13.0</v>
      </c>
      <c r="J2296" s="598">
        <v>780.0</v>
      </c>
      <c r="K2296" s="1561">
        <v>4836.0</v>
      </c>
      <c r="L2296" s="1551">
        <v>49244.0</v>
      </c>
    </row>
    <row r="2297">
      <c r="A2297" s="1545" t="s">
        <v>483</v>
      </c>
      <c r="B2297" s="1587">
        <v>59967.0</v>
      </c>
      <c r="C2297" s="1547">
        <v>2234.0</v>
      </c>
      <c r="D2297" s="1548">
        <v>17.1</v>
      </c>
      <c r="E2297" s="1557">
        <v>56026.0</v>
      </c>
      <c r="F2297" s="598">
        <v>404.0</v>
      </c>
      <c r="G2297" s="598">
        <v>136.0</v>
      </c>
      <c r="H2297" s="598">
        <v>465.0</v>
      </c>
      <c r="I2297" s="598">
        <v>14.0</v>
      </c>
      <c r="J2297" s="598">
        <v>284.0</v>
      </c>
      <c r="K2297" s="1561">
        <v>2638.0</v>
      </c>
      <c r="L2297" s="1555">
        <v>50978.0</v>
      </c>
    </row>
    <row r="2298">
      <c r="A2298" s="1545" t="s">
        <v>599</v>
      </c>
      <c r="B2298" s="1587">
        <v>646538.0</v>
      </c>
      <c r="C2298" s="1547">
        <v>8360.0</v>
      </c>
      <c r="D2298" s="1548">
        <v>6.6</v>
      </c>
      <c r="E2298" s="1557">
        <v>529895.0</v>
      </c>
      <c r="F2298" s="598">
        <v>26373.0</v>
      </c>
      <c r="G2298" s="598">
        <v>1173.0</v>
      </c>
      <c r="H2298" s="598">
        <v>35216.0</v>
      </c>
      <c r="I2298" s="598">
        <v>178.0</v>
      </c>
      <c r="J2298" s="598">
        <v>16821.0</v>
      </c>
      <c r="K2298" s="1561">
        <v>36882.0</v>
      </c>
      <c r="L2298" s="1555">
        <v>88538.0</v>
      </c>
    </row>
    <row r="2299">
      <c r="A2299" s="1545" t="s">
        <v>87</v>
      </c>
      <c r="B2299" s="1587">
        <v>193763.0</v>
      </c>
      <c r="C2299" s="1547">
        <v>3290.0</v>
      </c>
      <c r="D2299" s="1548">
        <v>9.0</v>
      </c>
      <c r="E2299" s="1557">
        <v>179140.0</v>
      </c>
      <c r="F2299" s="598">
        <v>2243.0</v>
      </c>
      <c r="G2299" s="598">
        <v>234.0</v>
      </c>
      <c r="H2299" s="598">
        <v>2814.0</v>
      </c>
      <c r="I2299" s="598">
        <v>41.0</v>
      </c>
      <c r="J2299" s="598">
        <v>1403.0</v>
      </c>
      <c r="K2299" s="1561">
        <v>7888.0</v>
      </c>
      <c r="L2299" s="1555">
        <v>67161.0</v>
      </c>
    </row>
    <row r="2300">
      <c r="A2300" s="1545" t="s">
        <v>1787</v>
      </c>
      <c r="B2300" s="1587">
        <v>133472.0</v>
      </c>
      <c r="C2300" s="1547">
        <v>5604.0</v>
      </c>
      <c r="D2300" s="1548">
        <v>22.6</v>
      </c>
      <c r="E2300" s="1557">
        <v>120248.0</v>
      </c>
      <c r="F2300" s="598">
        <v>5828.0</v>
      </c>
      <c r="G2300" s="598">
        <v>135.0</v>
      </c>
      <c r="H2300" s="598">
        <v>782.0</v>
      </c>
      <c r="I2300" s="598">
        <v>37.0</v>
      </c>
      <c r="J2300" s="598">
        <v>760.0</v>
      </c>
      <c r="K2300" s="1561">
        <v>5682.0</v>
      </c>
      <c r="L2300" s="1551">
        <v>45163.0</v>
      </c>
    </row>
    <row r="2301">
      <c r="A2301" s="1545" t="s">
        <v>1149</v>
      </c>
      <c r="B2301" s="1587">
        <v>4547.0</v>
      </c>
      <c r="C2301" s="1563">
        <v>174.0</v>
      </c>
      <c r="D2301" s="1548">
        <v>22.9</v>
      </c>
      <c r="E2301" s="1557">
        <v>4285.0</v>
      </c>
      <c r="F2301" s="598">
        <v>16.0</v>
      </c>
      <c r="G2301" s="598">
        <v>9.0</v>
      </c>
      <c r="H2301" s="598">
        <v>29.0</v>
      </c>
      <c r="I2301" s="598">
        <v>0.0</v>
      </c>
      <c r="J2301" s="598">
        <v>40.0</v>
      </c>
      <c r="K2301" s="1561">
        <v>168.0</v>
      </c>
      <c r="L2301" s="1555">
        <v>41770.0</v>
      </c>
    </row>
    <row r="2302">
      <c r="A2302" s="1545" t="s">
        <v>1434</v>
      </c>
      <c r="B2302" s="1587">
        <v>64749.0</v>
      </c>
      <c r="C2302" s="1547">
        <v>2298.0</v>
      </c>
      <c r="D2302" s="1548">
        <v>19.1</v>
      </c>
      <c r="E2302" s="1557">
        <v>58531.0</v>
      </c>
      <c r="F2302" s="598">
        <v>1208.0</v>
      </c>
      <c r="G2302" s="598">
        <v>152.0</v>
      </c>
      <c r="H2302" s="598">
        <v>330.0</v>
      </c>
      <c r="I2302" s="598">
        <v>20.0</v>
      </c>
      <c r="J2302" s="598">
        <v>1346.0</v>
      </c>
      <c r="K2302" s="1561">
        <v>3162.0</v>
      </c>
      <c r="L2302" s="1555">
        <v>53901.0</v>
      </c>
    </row>
    <row r="2303">
      <c r="A2303" s="1545" t="s">
        <v>1788</v>
      </c>
      <c r="B2303" s="1587">
        <v>158172.0</v>
      </c>
      <c r="C2303" s="1547">
        <v>2562.0</v>
      </c>
      <c r="D2303" s="1548">
        <v>10.6</v>
      </c>
      <c r="E2303" s="1557">
        <v>131212.0</v>
      </c>
      <c r="F2303" s="598">
        <v>5476.0</v>
      </c>
      <c r="G2303" s="598">
        <v>202.0</v>
      </c>
      <c r="H2303" s="598">
        <v>11404.0</v>
      </c>
      <c r="I2303" s="598">
        <v>45.0</v>
      </c>
      <c r="J2303" s="598">
        <v>2073.0</v>
      </c>
      <c r="K2303" s="1561">
        <v>7760.0</v>
      </c>
      <c r="L2303" s="1555">
        <v>58258.0</v>
      </c>
    </row>
    <row r="2304">
      <c r="A2304" s="1545" t="s">
        <v>1789</v>
      </c>
      <c r="B2304" s="1587">
        <v>534413.0</v>
      </c>
      <c r="C2304" s="1547">
        <v>9034.0</v>
      </c>
      <c r="D2304" s="1548">
        <v>7.8</v>
      </c>
      <c r="E2304" s="1557">
        <v>413103.0</v>
      </c>
      <c r="F2304" s="598">
        <v>29526.0</v>
      </c>
      <c r="G2304" s="598">
        <v>1450.0</v>
      </c>
      <c r="H2304" s="598">
        <v>35252.0</v>
      </c>
      <c r="I2304" s="598">
        <v>133.0</v>
      </c>
      <c r="J2304" s="598">
        <v>18878.0</v>
      </c>
      <c r="K2304" s="1561">
        <v>36071.0</v>
      </c>
      <c r="L2304" s="1551">
        <v>99224.0</v>
      </c>
    </row>
    <row r="2305">
      <c r="A2305" s="1545" t="s">
        <v>1790</v>
      </c>
      <c r="B2305" s="1587">
        <v>37241.0</v>
      </c>
      <c r="C2305" s="1547">
        <v>1320.0</v>
      </c>
      <c r="D2305" s="1548">
        <v>18.6</v>
      </c>
      <c r="E2305" s="1557">
        <v>35159.0</v>
      </c>
      <c r="F2305" s="598">
        <v>552.0</v>
      </c>
      <c r="G2305" s="598">
        <v>47.0</v>
      </c>
      <c r="H2305" s="598">
        <v>175.0</v>
      </c>
      <c r="I2305" s="598">
        <v>16.0</v>
      </c>
      <c r="J2305" s="598">
        <v>173.0</v>
      </c>
      <c r="K2305" s="1561">
        <v>1119.0</v>
      </c>
      <c r="L2305" s="1555">
        <v>46284.0</v>
      </c>
    </row>
    <row r="2306">
      <c r="A2306" s="1545" t="s">
        <v>1791</v>
      </c>
      <c r="B2306" s="1587">
        <v>80562.0</v>
      </c>
      <c r="C2306" s="1547">
        <v>3195.0</v>
      </c>
      <c r="D2306" s="1548">
        <v>22.6</v>
      </c>
      <c r="E2306" s="1557">
        <v>75093.0</v>
      </c>
      <c r="F2306" s="598">
        <v>1906.0</v>
      </c>
      <c r="G2306" s="598">
        <v>82.0</v>
      </c>
      <c r="H2306" s="598">
        <v>450.0</v>
      </c>
      <c r="I2306" s="598">
        <v>0.0</v>
      </c>
      <c r="J2306" s="598">
        <v>543.0</v>
      </c>
      <c r="K2306" s="1561">
        <v>2488.0</v>
      </c>
      <c r="L2306" s="1551">
        <v>46706.0</v>
      </c>
    </row>
    <row r="2307">
      <c r="A2307" s="1545" t="s">
        <v>711</v>
      </c>
      <c r="B2307" s="1587">
        <v>37450.0</v>
      </c>
      <c r="C2307" s="1547">
        <v>1339.0</v>
      </c>
      <c r="D2307" s="1548">
        <v>17.6</v>
      </c>
      <c r="E2307" s="1557">
        <v>35169.0</v>
      </c>
      <c r="F2307" s="598">
        <v>447.0</v>
      </c>
      <c r="G2307" s="598">
        <v>72.0</v>
      </c>
      <c r="H2307" s="598">
        <v>212.0</v>
      </c>
      <c r="I2307" s="598">
        <v>7.0</v>
      </c>
      <c r="J2307" s="598">
        <v>254.0</v>
      </c>
      <c r="K2307" s="1561">
        <v>1289.0</v>
      </c>
      <c r="L2307" s="1555">
        <v>50999.0</v>
      </c>
    </row>
    <row r="2308">
      <c r="A2308" s="1545" t="s">
        <v>258</v>
      </c>
      <c r="B2308" s="1587">
        <v>64727.0</v>
      </c>
      <c r="C2308" s="1547">
        <v>1656.0</v>
      </c>
      <c r="D2308" s="1548">
        <v>14.6</v>
      </c>
      <c r="E2308" s="1557">
        <v>59549.0</v>
      </c>
      <c r="F2308" s="598">
        <v>912.0</v>
      </c>
      <c r="G2308" s="598">
        <v>100.0</v>
      </c>
      <c r="H2308" s="598">
        <v>759.0</v>
      </c>
      <c r="I2308" s="598">
        <v>19.0</v>
      </c>
      <c r="J2308" s="598">
        <v>857.0</v>
      </c>
      <c r="K2308" s="1561">
        <v>2531.0</v>
      </c>
      <c r="L2308" s="1555">
        <v>50774.0</v>
      </c>
    </row>
    <row r="2309">
      <c r="A2309" s="1545" t="s">
        <v>263</v>
      </c>
      <c r="B2309" s="1587">
        <v>83938.0</v>
      </c>
      <c r="C2309" s="1547">
        <v>3256.0</v>
      </c>
      <c r="D2309" s="1548">
        <v>19.1</v>
      </c>
      <c r="E2309" s="1557">
        <v>77804.0</v>
      </c>
      <c r="F2309" s="598">
        <v>1530.0</v>
      </c>
      <c r="G2309" s="598">
        <v>124.0</v>
      </c>
      <c r="H2309" s="598">
        <v>374.0</v>
      </c>
      <c r="I2309" s="598">
        <v>26.0</v>
      </c>
      <c r="J2309" s="598">
        <v>529.0</v>
      </c>
      <c r="K2309" s="1561">
        <v>3551.0</v>
      </c>
      <c r="L2309" s="1555">
        <v>50805.0</v>
      </c>
    </row>
    <row r="2310">
      <c r="A2310" s="1545" t="s">
        <v>713</v>
      </c>
      <c r="B2310" s="1587">
        <v>259469.0</v>
      </c>
      <c r="C2310" s="1547">
        <v>4614.0</v>
      </c>
      <c r="D2310" s="1548">
        <v>9.2</v>
      </c>
      <c r="E2310" s="1557">
        <v>214921.0</v>
      </c>
      <c r="F2310" s="598">
        <v>11081.0</v>
      </c>
      <c r="G2310" s="598">
        <v>513.0</v>
      </c>
      <c r="H2310" s="598">
        <v>13911.0</v>
      </c>
      <c r="I2310" s="598">
        <v>126.0</v>
      </c>
      <c r="J2310" s="598">
        <v>4796.0</v>
      </c>
      <c r="K2310" s="1561">
        <v>14121.0</v>
      </c>
      <c r="L2310" s="1555">
        <v>71695.0</v>
      </c>
    </row>
    <row r="2311">
      <c r="A2311" s="1545" t="s">
        <v>1792</v>
      </c>
      <c r="B2311" s="1587">
        <v>286401.0</v>
      </c>
      <c r="C2311" s="1547">
        <v>12322.0</v>
      </c>
      <c r="D2311" s="1548">
        <v>20.5</v>
      </c>
      <c r="E2311" s="1557">
        <v>180980.0</v>
      </c>
      <c r="F2311" s="598">
        <v>50868.0</v>
      </c>
      <c r="G2311" s="598">
        <v>799.0</v>
      </c>
      <c r="H2311" s="598">
        <v>17277.0</v>
      </c>
      <c r="I2311" s="598">
        <v>109.0</v>
      </c>
      <c r="J2311" s="598">
        <v>14866.0</v>
      </c>
      <c r="K2311" s="1561">
        <v>21502.0</v>
      </c>
      <c r="L2311" s="1555">
        <v>57979.0</v>
      </c>
    </row>
    <row r="2312">
      <c r="A2312" s="1545" t="s">
        <v>40</v>
      </c>
      <c r="B2312" s="1587">
        <v>576830.0</v>
      </c>
      <c r="C2312" s="1547">
        <v>13753.0</v>
      </c>
      <c r="D2312" s="1548">
        <v>11.3</v>
      </c>
      <c r="E2312" s="1557">
        <v>367718.0</v>
      </c>
      <c r="F2312" s="598">
        <v>129242.0</v>
      </c>
      <c r="G2312" s="598">
        <v>1092.0</v>
      </c>
      <c r="H2312" s="598">
        <v>36457.0</v>
      </c>
      <c r="I2312" s="598">
        <v>153.0</v>
      </c>
      <c r="J2312" s="598">
        <v>12149.0</v>
      </c>
      <c r="K2312" s="1561">
        <v>30019.0</v>
      </c>
      <c r="L2312" s="1551">
        <v>71961.0</v>
      </c>
    </row>
    <row r="2313">
      <c r="A2313" s="1545" t="s">
        <v>968</v>
      </c>
      <c r="B2313" s="1587">
        <v>30990.0</v>
      </c>
      <c r="C2313" s="1563">
        <v>722.0</v>
      </c>
      <c r="D2313" s="1548">
        <v>12.6</v>
      </c>
      <c r="E2313" s="1557">
        <v>29555.0</v>
      </c>
      <c r="F2313" s="598">
        <v>80.0</v>
      </c>
      <c r="G2313" s="598">
        <v>22.0</v>
      </c>
      <c r="H2313" s="598">
        <v>113.0</v>
      </c>
      <c r="I2313" s="598">
        <v>12.0</v>
      </c>
      <c r="J2313" s="598">
        <v>98.0</v>
      </c>
      <c r="K2313" s="1561">
        <v>1110.0</v>
      </c>
      <c r="L2313" s="1555">
        <v>54876.0</v>
      </c>
    </row>
    <row r="2314">
      <c r="A2314" s="1545" t="s">
        <v>464</v>
      </c>
      <c r="B2314" s="1587">
        <v>270876.0</v>
      </c>
      <c r="C2314" s="1547">
        <v>12138.0</v>
      </c>
      <c r="D2314" s="1548">
        <v>21.4</v>
      </c>
      <c r="E2314" s="1557">
        <v>222731.0</v>
      </c>
      <c r="F2314" s="598">
        <v>20584.0</v>
      </c>
      <c r="G2314" s="598">
        <v>477.0</v>
      </c>
      <c r="H2314" s="598">
        <v>6380.0</v>
      </c>
      <c r="I2314" s="598">
        <v>60.0</v>
      </c>
      <c r="J2314" s="598">
        <v>4649.0</v>
      </c>
      <c r="K2314" s="1561">
        <v>15995.0</v>
      </c>
      <c r="L2314" s="1555">
        <v>48453.0</v>
      </c>
    </row>
    <row r="2315">
      <c r="A2315" s="1545" t="s">
        <v>135</v>
      </c>
      <c r="B2315" s="1587">
        <v>128804.0</v>
      </c>
      <c r="C2315" s="1547">
        <v>4973.0</v>
      </c>
      <c r="D2315" s="1548">
        <v>20.3</v>
      </c>
      <c r="E2315" s="1557">
        <v>115811.0</v>
      </c>
      <c r="F2315" s="598">
        <v>5789.0</v>
      </c>
      <c r="G2315" s="598">
        <v>213.0</v>
      </c>
      <c r="H2315" s="598">
        <v>383.0</v>
      </c>
      <c r="I2315" s="598">
        <v>161.0</v>
      </c>
      <c r="J2315" s="598">
        <v>716.0</v>
      </c>
      <c r="K2315" s="1561">
        <v>5731.0</v>
      </c>
      <c r="L2315" s="1551">
        <v>50381.0</v>
      </c>
    </row>
    <row r="2316">
      <c r="A2316" s="1545" t="s">
        <v>1793</v>
      </c>
      <c r="B2316" s="1587">
        <v>6973.0</v>
      </c>
      <c r="C2316" s="1563">
        <v>185.0</v>
      </c>
      <c r="D2316" s="1548">
        <v>30.1</v>
      </c>
      <c r="E2316" s="1557">
        <v>5296.0</v>
      </c>
      <c r="F2316" s="598">
        <v>1237.0</v>
      </c>
      <c r="G2316" s="598">
        <v>9.0</v>
      </c>
      <c r="H2316" s="598">
        <v>19.0</v>
      </c>
      <c r="I2316" s="598">
        <v>0.0</v>
      </c>
      <c r="J2316" s="598">
        <v>281.0</v>
      </c>
      <c r="K2316" s="1561">
        <v>131.0</v>
      </c>
      <c r="L2316" s="1555">
        <v>41750.0</v>
      </c>
    </row>
    <row r="2317">
      <c r="A2317" s="1545" t="s">
        <v>136</v>
      </c>
      <c r="B2317" s="1587">
        <v>155932.0</v>
      </c>
      <c r="C2317" s="1547">
        <v>5933.0</v>
      </c>
      <c r="D2317" s="1548">
        <v>17.8</v>
      </c>
      <c r="E2317" s="1557">
        <v>134524.0</v>
      </c>
      <c r="F2317" s="598">
        <v>5338.0</v>
      </c>
      <c r="G2317" s="598">
        <v>488.0</v>
      </c>
      <c r="H2317" s="598">
        <v>1442.0</v>
      </c>
      <c r="I2317" s="598">
        <v>52.0</v>
      </c>
      <c r="J2317" s="598">
        <v>5155.0</v>
      </c>
      <c r="K2317" s="1561">
        <v>8933.0</v>
      </c>
      <c r="L2317" s="1551">
        <v>60744.0</v>
      </c>
    </row>
    <row r="2318">
      <c r="A2318" s="1545" t="s">
        <v>275</v>
      </c>
      <c r="B2318" s="1587">
        <v>14556.0</v>
      </c>
      <c r="C2318" s="1563">
        <v>485.0</v>
      </c>
      <c r="D2318" s="1548">
        <v>17.3</v>
      </c>
      <c r="E2318" s="1557">
        <v>13767.0</v>
      </c>
      <c r="F2318" s="598">
        <v>128.0</v>
      </c>
      <c r="G2318" s="598">
        <v>31.0</v>
      </c>
      <c r="H2318" s="598">
        <v>41.0</v>
      </c>
      <c r="I2318" s="598">
        <v>3.0</v>
      </c>
      <c r="J2318" s="598">
        <v>54.0</v>
      </c>
      <c r="K2318" s="1561">
        <v>532.0</v>
      </c>
      <c r="L2318" s="1551">
        <v>52277.0</v>
      </c>
    </row>
    <row r="2319">
      <c r="A2319" s="1545" t="s">
        <v>138</v>
      </c>
      <c r="B2319" s="1587">
        <v>35954.0</v>
      </c>
      <c r="C2319" s="1547">
        <v>1377.0</v>
      </c>
      <c r="D2319" s="1548">
        <v>20.0</v>
      </c>
      <c r="E2319" s="1557">
        <v>33027.0</v>
      </c>
      <c r="F2319" s="598">
        <v>1083.0</v>
      </c>
      <c r="G2319" s="598">
        <v>77.0</v>
      </c>
      <c r="H2319" s="598">
        <v>120.0</v>
      </c>
      <c r="I2319" s="598">
        <v>6.0</v>
      </c>
      <c r="J2319" s="598">
        <v>250.0</v>
      </c>
      <c r="K2319" s="1561">
        <v>1391.0</v>
      </c>
      <c r="L2319" s="1551">
        <v>50956.0</v>
      </c>
    </row>
    <row r="2320">
      <c r="A2320" s="1545" t="s">
        <v>1794</v>
      </c>
      <c r="B2320" s="1587">
        <v>44092.0</v>
      </c>
      <c r="C2320" s="1547">
        <v>1502.0</v>
      </c>
      <c r="D2320" s="1548">
        <v>18.9</v>
      </c>
      <c r="E2320" s="1557">
        <v>39624.0</v>
      </c>
      <c r="F2320" s="598">
        <v>2271.0</v>
      </c>
      <c r="G2320" s="598">
        <v>56.0</v>
      </c>
      <c r="H2320" s="598">
        <v>210.0</v>
      </c>
      <c r="I2320" s="598">
        <v>17.0</v>
      </c>
      <c r="J2320" s="598">
        <v>546.0</v>
      </c>
      <c r="K2320" s="1561">
        <v>1368.0</v>
      </c>
      <c r="L2320" s="1555">
        <v>49019.0</v>
      </c>
    </row>
    <row r="2321">
      <c r="A2321" s="1545" t="s">
        <v>49</v>
      </c>
      <c r="B2321" s="1587">
        <v>83246.0</v>
      </c>
      <c r="C2321" s="1547">
        <v>2881.0</v>
      </c>
      <c r="D2321" s="1548">
        <v>19.3</v>
      </c>
      <c r="E2321" s="1557">
        <v>76277.0</v>
      </c>
      <c r="F2321" s="598">
        <v>2494.0</v>
      </c>
      <c r="G2321" s="598">
        <v>143.0</v>
      </c>
      <c r="H2321" s="598">
        <v>817.0</v>
      </c>
      <c r="I2321" s="598">
        <v>13.0</v>
      </c>
      <c r="J2321" s="598">
        <v>535.0</v>
      </c>
      <c r="K2321" s="1561">
        <v>2967.0</v>
      </c>
      <c r="L2321" s="1551">
        <v>47999.0</v>
      </c>
    </row>
    <row r="2322">
      <c r="A2322" s="1545" t="s">
        <v>143</v>
      </c>
      <c r="B2322" s="1587">
        <v>44492.0</v>
      </c>
      <c r="C2322" s="1547">
        <v>1826.0</v>
      </c>
      <c r="D2322" s="1548">
        <v>20.3</v>
      </c>
      <c r="E2322" s="1557">
        <v>42470.0</v>
      </c>
      <c r="F2322" s="598">
        <v>131.0</v>
      </c>
      <c r="G2322" s="598">
        <v>45.0</v>
      </c>
      <c r="H2322" s="598">
        <v>100.0</v>
      </c>
      <c r="I2322" s="598">
        <v>8.0</v>
      </c>
      <c r="J2322" s="598">
        <v>147.0</v>
      </c>
      <c r="K2322" s="1561">
        <v>1591.0</v>
      </c>
      <c r="L2322" s="1551">
        <v>46751.0</v>
      </c>
    </row>
    <row r="2323">
      <c r="A2323" s="1545" t="s">
        <v>1795</v>
      </c>
      <c r="B2323" s="1587">
        <v>23509.0</v>
      </c>
      <c r="C2323" s="1563">
        <v>788.0</v>
      </c>
      <c r="D2323" s="1548">
        <v>14.5</v>
      </c>
      <c r="E2323" s="1557">
        <v>22084.0</v>
      </c>
      <c r="F2323" s="598">
        <v>133.0</v>
      </c>
      <c r="G2323" s="598">
        <v>24.0</v>
      </c>
      <c r="H2323" s="598">
        <v>69.0</v>
      </c>
      <c r="I2323" s="598">
        <v>8.0</v>
      </c>
      <c r="J2323" s="598">
        <v>453.0</v>
      </c>
      <c r="K2323" s="1561">
        <v>738.0</v>
      </c>
      <c r="L2323" s="1555">
        <v>54342.0</v>
      </c>
    </row>
    <row r="2324">
      <c r="A2324" s="1545" t="s">
        <v>1796</v>
      </c>
      <c r="B2324" s="1587">
        <v>215896.0</v>
      </c>
      <c r="C2324" s="1547">
        <v>8636.0</v>
      </c>
      <c r="D2324" s="1548">
        <v>20.3</v>
      </c>
      <c r="E2324" s="1557">
        <v>179038.0</v>
      </c>
      <c r="F2324" s="598">
        <v>8350.0</v>
      </c>
      <c r="G2324" s="598">
        <v>570.0</v>
      </c>
      <c r="H2324" s="598">
        <v>6826.0</v>
      </c>
      <c r="I2324" s="598">
        <v>35.0</v>
      </c>
      <c r="J2324" s="598">
        <v>8334.0</v>
      </c>
      <c r="K2324" s="1561">
        <v>12743.0</v>
      </c>
      <c r="L2324" s="1555">
        <v>52872.0</v>
      </c>
    </row>
    <row r="2325">
      <c r="A2325" s="1545" t="s">
        <v>650</v>
      </c>
      <c r="B2325" s="1587">
        <v>552984.0</v>
      </c>
      <c r="C2325" s="1547">
        <v>12725.0</v>
      </c>
      <c r="D2325" s="1548">
        <v>10.1</v>
      </c>
      <c r="E2325" s="1557">
        <v>452646.0</v>
      </c>
      <c r="F2325" s="598">
        <v>22394.0</v>
      </c>
      <c r="G2325" s="598">
        <v>1322.0</v>
      </c>
      <c r="H2325" s="598">
        <v>14147.0</v>
      </c>
      <c r="I2325" s="598">
        <v>169.0</v>
      </c>
      <c r="J2325" s="598">
        <v>27367.0</v>
      </c>
      <c r="K2325" s="1561">
        <v>34939.0</v>
      </c>
      <c r="L2325" s="1555">
        <v>66270.0</v>
      </c>
    </row>
    <row r="2326">
      <c r="A2326" s="1545" t="s">
        <v>146</v>
      </c>
      <c r="B2326" s="1587">
        <v>86070.0</v>
      </c>
      <c r="C2326" s="1547">
        <v>3857.0</v>
      </c>
      <c r="D2326" s="1548">
        <v>23.0</v>
      </c>
      <c r="E2326" s="1557">
        <v>76303.0</v>
      </c>
      <c r="F2326" s="598">
        <v>3664.0</v>
      </c>
      <c r="G2326" s="598">
        <v>103.0</v>
      </c>
      <c r="H2326" s="598">
        <v>323.0</v>
      </c>
      <c r="I2326" s="598">
        <v>7.0</v>
      </c>
      <c r="J2326" s="598">
        <v>652.0</v>
      </c>
      <c r="K2326" s="1561">
        <v>5018.0</v>
      </c>
      <c r="L2326" s="1555">
        <v>48418.0</v>
      </c>
    </row>
    <row r="2327">
      <c r="A2327" s="1545" t="s">
        <v>1797</v>
      </c>
      <c r="B2327" s="1587">
        <v>143257.0</v>
      </c>
      <c r="C2327" s="1547">
        <v>4605.0</v>
      </c>
      <c r="D2327" s="1548">
        <v>14.6</v>
      </c>
      <c r="E2327" s="1557">
        <v>118410.0</v>
      </c>
      <c r="F2327" s="598">
        <v>3233.0</v>
      </c>
      <c r="G2327" s="598">
        <v>270.0</v>
      </c>
      <c r="H2327" s="598">
        <v>2234.0</v>
      </c>
      <c r="I2327" s="598">
        <v>82.0</v>
      </c>
      <c r="J2327" s="598">
        <v>9445.0</v>
      </c>
      <c r="K2327" s="1561">
        <v>9583.0</v>
      </c>
      <c r="L2327" s="1555">
        <v>61087.0</v>
      </c>
    </row>
    <row r="2328">
      <c r="A2328" s="1545" t="s">
        <v>1798</v>
      </c>
      <c r="B2328" s="1587">
        <v>374557.0</v>
      </c>
      <c r="C2328" s="1547">
        <v>14191.0</v>
      </c>
      <c r="D2328" s="1548">
        <v>17.4</v>
      </c>
      <c r="E2328" s="1557">
        <v>244505.0</v>
      </c>
      <c r="F2328" s="598">
        <v>27589.0</v>
      </c>
      <c r="G2328" s="598">
        <v>1487.0</v>
      </c>
      <c r="H2328" s="598">
        <v>13941.0</v>
      </c>
      <c r="I2328" s="598">
        <v>150.0</v>
      </c>
      <c r="J2328" s="598">
        <v>49199.0</v>
      </c>
      <c r="K2328" s="1561">
        <v>37686.0</v>
      </c>
      <c r="L2328" s="1555">
        <v>62139.0</v>
      </c>
    </row>
    <row r="2329">
      <c r="A2329" s="1545" t="s">
        <v>1799</v>
      </c>
      <c r="B2329" s="1587">
        <v>325594.0</v>
      </c>
      <c r="C2329" s="1547">
        <v>14238.0</v>
      </c>
      <c r="D2329" s="1548">
        <v>23.2</v>
      </c>
      <c r="E2329" s="1557">
        <v>257042.0</v>
      </c>
      <c r="F2329" s="598">
        <v>16226.0</v>
      </c>
      <c r="G2329" s="598">
        <v>888.0</v>
      </c>
      <c r="H2329" s="598">
        <v>4070.0</v>
      </c>
      <c r="I2329" s="598">
        <v>109.0</v>
      </c>
      <c r="J2329" s="598">
        <v>25207.0</v>
      </c>
      <c r="K2329" s="1561">
        <v>22052.0</v>
      </c>
      <c r="L2329" s="1555">
        <v>53469.0</v>
      </c>
    </row>
    <row r="2330">
      <c r="A2330" s="1545" t="s">
        <v>1800</v>
      </c>
      <c r="B2330" s="1587">
        <v>114188.0</v>
      </c>
      <c r="C2330" s="1547">
        <v>3982.0</v>
      </c>
      <c r="D2330" s="1548">
        <v>17.5</v>
      </c>
      <c r="E2330" s="1557">
        <v>100428.0</v>
      </c>
      <c r="F2330" s="598">
        <v>5835.0</v>
      </c>
      <c r="G2330" s="598">
        <v>221.0</v>
      </c>
      <c r="H2330" s="598">
        <v>933.0</v>
      </c>
      <c r="I2330" s="598">
        <v>31.0</v>
      </c>
      <c r="J2330" s="598">
        <v>1006.0</v>
      </c>
      <c r="K2330" s="1561">
        <v>5734.0</v>
      </c>
      <c r="L2330" s="1551">
        <v>53820.0</v>
      </c>
    </row>
    <row r="2331">
      <c r="A2331" s="1545" t="s">
        <v>1801</v>
      </c>
      <c r="B2331" s="1587">
        <v>40432.0</v>
      </c>
      <c r="C2331" s="1547">
        <v>2060.0</v>
      </c>
      <c r="D2331" s="1548">
        <v>26.5</v>
      </c>
      <c r="E2331" s="1557">
        <v>37273.0</v>
      </c>
      <c r="F2331" s="598">
        <v>867.0</v>
      </c>
      <c r="G2331" s="598">
        <v>110.0</v>
      </c>
      <c r="H2331" s="598">
        <v>199.0</v>
      </c>
      <c r="I2331" s="598">
        <v>2.0</v>
      </c>
      <c r="J2331" s="598">
        <v>176.0</v>
      </c>
      <c r="K2331" s="1561">
        <v>1805.0</v>
      </c>
      <c r="L2331" s="1555">
        <v>46529.0</v>
      </c>
    </row>
    <row r="2332">
      <c r="A2332" s="1545" t="s">
        <v>738</v>
      </c>
      <c r="B2332" s="1587">
        <v>110652.0</v>
      </c>
      <c r="C2332" s="1547">
        <v>4999.0</v>
      </c>
      <c r="D2332" s="1548">
        <v>24.4</v>
      </c>
      <c r="E2332" s="1557">
        <v>97516.0</v>
      </c>
      <c r="F2332" s="598">
        <v>6389.0</v>
      </c>
      <c r="G2332" s="598">
        <v>144.0</v>
      </c>
      <c r="H2332" s="598">
        <v>687.0</v>
      </c>
      <c r="I2332" s="598">
        <v>24.0</v>
      </c>
      <c r="J2332" s="598">
        <v>671.0</v>
      </c>
      <c r="K2332" s="1561">
        <v>5221.0</v>
      </c>
      <c r="L2332" s="1551">
        <v>48788.0</v>
      </c>
    </row>
    <row r="2333">
      <c r="A2333" s="1545" t="s">
        <v>1802</v>
      </c>
      <c r="B2333" s="1587">
        <v>46143.0</v>
      </c>
      <c r="C2333" s="1547">
        <v>2334.0</v>
      </c>
      <c r="D2333" s="1548">
        <v>23.2</v>
      </c>
      <c r="E2333" s="1557">
        <v>43644.0</v>
      </c>
      <c r="F2333" s="598">
        <v>388.0</v>
      </c>
      <c r="G2333" s="598">
        <v>59.0</v>
      </c>
      <c r="H2333" s="598">
        <v>169.0</v>
      </c>
      <c r="I2333" s="598">
        <v>2.0</v>
      </c>
      <c r="J2333" s="598">
        <v>348.0</v>
      </c>
      <c r="K2333" s="1561">
        <v>1533.0</v>
      </c>
      <c r="L2333" s="1555">
        <v>47648.0</v>
      </c>
    </row>
    <row r="2334">
      <c r="A2334" s="1545" t="s">
        <v>156</v>
      </c>
      <c r="B2334" s="1587">
        <v>168327.0</v>
      </c>
      <c r="C2334" s="1547">
        <v>5331.0</v>
      </c>
      <c r="D2334" s="1548">
        <v>16.3</v>
      </c>
      <c r="E2334" s="1557">
        <v>110959.0</v>
      </c>
      <c r="F2334" s="598">
        <v>24894.0</v>
      </c>
      <c r="G2334" s="598">
        <v>680.0</v>
      </c>
      <c r="H2334" s="598">
        <v>4080.0</v>
      </c>
      <c r="I2334" s="598">
        <v>74.0</v>
      </c>
      <c r="J2334" s="598">
        <v>11540.0</v>
      </c>
      <c r="K2334" s="1561">
        <v>16100.0</v>
      </c>
      <c r="L2334" s="1555">
        <v>63318.0</v>
      </c>
    </row>
    <row r="2335">
      <c r="A2335" s="1545" t="s">
        <v>157</v>
      </c>
      <c r="B2335" s="1587">
        <v>856553.0</v>
      </c>
      <c r="C2335" s="1547">
        <v>11545.0</v>
      </c>
      <c r="D2335" s="1548">
        <v>6.6</v>
      </c>
      <c r="E2335" s="1557">
        <v>627566.0</v>
      </c>
      <c r="F2335" s="598">
        <v>81786.0</v>
      </c>
      <c r="G2335" s="598">
        <v>1904.0</v>
      </c>
      <c r="H2335" s="598">
        <v>68032.0</v>
      </c>
      <c r="I2335" s="598">
        <v>205.0</v>
      </c>
      <c r="J2335" s="598">
        <v>24545.0</v>
      </c>
      <c r="K2335" s="1561">
        <v>52515.0</v>
      </c>
      <c r="L2335" s="1551">
        <v>90155.0</v>
      </c>
    </row>
    <row r="2336">
      <c r="A2336" s="1545" t="s">
        <v>1803</v>
      </c>
      <c r="B2336" s="1587">
        <v>18136.0</v>
      </c>
      <c r="C2336" s="1563">
        <v>492.0</v>
      </c>
      <c r="D2336" s="1548">
        <v>13.8</v>
      </c>
      <c r="E2336" s="1557">
        <v>16248.0</v>
      </c>
      <c r="F2336" s="598">
        <v>331.0</v>
      </c>
      <c r="G2336" s="598">
        <v>37.0</v>
      </c>
      <c r="H2336" s="598">
        <v>668.0</v>
      </c>
      <c r="I2336" s="598">
        <v>1.0</v>
      </c>
      <c r="J2336" s="598">
        <v>144.0</v>
      </c>
      <c r="K2336" s="1561">
        <v>707.0</v>
      </c>
      <c r="L2336" s="1555">
        <v>61314.0</v>
      </c>
    </row>
    <row r="2337">
      <c r="A2337" s="1545" t="s">
        <v>1618</v>
      </c>
      <c r="B2337" s="1587">
        <v>312951.0</v>
      </c>
      <c r="C2337" s="1547">
        <v>8628.0</v>
      </c>
      <c r="D2337" s="1548">
        <v>14.4</v>
      </c>
      <c r="E2337" s="1557">
        <v>238475.0</v>
      </c>
      <c r="F2337" s="598">
        <v>19442.0</v>
      </c>
      <c r="G2337" s="598">
        <v>855.0</v>
      </c>
      <c r="H2337" s="598">
        <v>10041.0</v>
      </c>
      <c r="I2337" s="598">
        <v>114.0</v>
      </c>
      <c r="J2337" s="598">
        <v>18425.0</v>
      </c>
      <c r="K2337" s="1561">
        <v>25599.0</v>
      </c>
      <c r="L2337" s="1555">
        <v>68217.0</v>
      </c>
    </row>
    <row r="2338">
      <c r="A2338" s="1545" t="s">
        <v>1804</v>
      </c>
      <c r="B2338" s="1587">
        <v>91647.0</v>
      </c>
      <c r="C2338" s="1547">
        <v>3273.0</v>
      </c>
      <c r="D2338" s="1548">
        <v>19.0</v>
      </c>
      <c r="E2338" s="1557">
        <v>82821.0</v>
      </c>
      <c r="F2338" s="598">
        <v>2579.0</v>
      </c>
      <c r="G2338" s="598">
        <v>169.0</v>
      </c>
      <c r="H2338" s="598">
        <v>457.0</v>
      </c>
      <c r="I2338" s="598">
        <v>24.0</v>
      </c>
      <c r="J2338" s="598">
        <v>1847.0</v>
      </c>
      <c r="K2338" s="1561">
        <v>3750.0</v>
      </c>
      <c r="L2338" s="1551">
        <v>47243.0</v>
      </c>
    </row>
    <row r="2339">
      <c r="A2339" s="1545" t="s">
        <v>159</v>
      </c>
      <c r="B2339" s="1587">
        <v>45842.0</v>
      </c>
      <c r="C2339" s="1547">
        <v>1227.0</v>
      </c>
      <c r="D2339" s="1548">
        <v>12.8</v>
      </c>
      <c r="E2339" s="1557">
        <v>43173.0</v>
      </c>
      <c r="F2339" s="598">
        <v>302.0</v>
      </c>
      <c r="G2339" s="598">
        <v>50.0</v>
      </c>
      <c r="H2339" s="598">
        <v>146.0</v>
      </c>
      <c r="I2339" s="598">
        <v>4.0</v>
      </c>
      <c r="J2339" s="598">
        <v>330.0</v>
      </c>
      <c r="K2339" s="1561">
        <v>1837.0</v>
      </c>
      <c r="L2339" s="1555">
        <v>62366.0</v>
      </c>
    </row>
    <row r="2340">
      <c r="A2340" s="1545" t="s">
        <v>286</v>
      </c>
      <c r="B2340" s="1587">
        <v>1603797.0</v>
      </c>
      <c r="C2340" s="1547">
        <v>114374.0</v>
      </c>
      <c r="D2340" s="1548">
        <v>34.0</v>
      </c>
      <c r="E2340" s="1557">
        <v>582636.0</v>
      </c>
      <c r="F2340" s="598">
        <v>630462.0</v>
      </c>
      <c r="G2340" s="598">
        <v>6212.0</v>
      </c>
      <c r="H2340" s="598">
        <v>133553.0</v>
      </c>
      <c r="I2340" s="598">
        <v>932.0</v>
      </c>
      <c r="J2340" s="598">
        <v>139102.0</v>
      </c>
      <c r="K2340" s="1561">
        <v>110900.0</v>
      </c>
      <c r="L2340" s="1551">
        <v>46149.0</v>
      </c>
    </row>
    <row r="2341">
      <c r="A2341" s="1545" t="s">
        <v>162</v>
      </c>
      <c r="B2341" s="1587">
        <v>58535.0</v>
      </c>
      <c r="C2341" s="1547">
        <v>1499.0</v>
      </c>
      <c r="D2341" s="1548">
        <v>15.2</v>
      </c>
      <c r="E2341" s="1557">
        <v>47203.0</v>
      </c>
      <c r="F2341" s="598">
        <v>3285.0</v>
      </c>
      <c r="G2341" s="598">
        <v>208.0</v>
      </c>
      <c r="H2341" s="598">
        <v>855.0</v>
      </c>
      <c r="I2341" s="598">
        <v>17.0</v>
      </c>
      <c r="J2341" s="598">
        <v>1923.0</v>
      </c>
      <c r="K2341" s="1561">
        <v>5044.0</v>
      </c>
      <c r="L2341" s="1551">
        <v>62657.0</v>
      </c>
    </row>
    <row r="2342">
      <c r="A2342" s="1545" t="s">
        <v>1805</v>
      </c>
      <c r="B2342" s="1587">
        <v>16396.0</v>
      </c>
      <c r="C2342" s="1563">
        <v>803.0</v>
      </c>
      <c r="D2342" s="1548">
        <v>24.3</v>
      </c>
      <c r="E2342" s="1557">
        <v>15608.0</v>
      </c>
      <c r="F2342" s="598">
        <v>43.0</v>
      </c>
      <c r="G2342" s="598">
        <v>25.0</v>
      </c>
      <c r="H2342" s="598">
        <v>74.0</v>
      </c>
      <c r="I2342" s="598">
        <v>0.0</v>
      </c>
      <c r="J2342" s="598">
        <v>83.0</v>
      </c>
      <c r="K2342" s="1561">
        <v>563.0</v>
      </c>
      <c r="L2342" s="1555">
        <v>44883.0</v>
      </c>
    </row>
    <row r="2343">
      <c r="A2343" s="1545" t="s">
        <v>1806</v>
      </c>
      <c r="B2343" s="1587">
        <v>143049.0</v>
      </c>
      <c r="C2343" s="1547">
        <v>4299.0</v>
      </c>
      <c r="D2343" s="1548">
        <v>15.7</v>
      </c>
      <c r="E2343" s="1557">
        <v>128205.0</v>
      </c>
      <c r="F2343" s="598">
        <v>4394.0</v>
      </c>
      <c r="G2343" s="598">
        <v>248.0</v>
      </c>
      <c r="H2343" s="598">
        <v>761.0</v>
      </c>
      <c r="I2343" s="598">
        <v>30.0</v>
      </c>
      <c r="J2343" s="598">
        <v>3747.0</v>
      </c>
      <c r="K2343" s="1561">
        <v>5664.0</v>
      </c>
      <c r="L2343" s="1551">
        <v>48809.0</v>
      </c>
    </row>
    <row r="2344">
      <c r="A2344" s="1545" t="s">
        <v>1807</v>
      </c>
      <c r="B2344" s="1587">
        <v>39736.0</v>
      </c>
      <c r="C2344" s="1547">
        <v>1253.0</v>
      </c>
      <c r="D2344" s="1548">
        <v>15.1</v>
      </c>
      <c r="E2344" s="1557">
        <v>37328.0</v>
      </c>
      <c r="F2344" s="598">
        <v>539.0</v>
      </c>
      <c r="G2344" s="598">
        <v>50.0</v>
      </c>
      <c r="H2344" s="598">
        <v>299.0</v>
      </c>
      <c r="I2344" s="598">
        <v>12.0</v>
      </c>
      <c r="J2344" s="598">
        <v>313.0</v>
      </c>
      <c r="K2344" s="1561">
        <v>1195.0</v>
      </c>
      <c r="L2344" s="1555">
        <v>56991.0</v>
      </c>
    </row>
    <row r="2345">
      <c r="A2345" s="1545" t="s">
        <v>1194</v>
      </c>
      <c r="B2345" s="1587">
        <v>74129.0</v>
      </c>
      <c r="C2345" s="1547">
        <v>2416.0</v>
      </c>
      <c r="D2345" s="1548">
        <v>18.6</v>
      </c>
      <c r="E2345" s="1557">
        <v>69290.0</v>
      </c>
      <c r="F2345" s="598">
        <v>1881.0</v>
      </c>
      <c r="G2345" s="598">
        <v>69.0</v>
      </c>
      <c r="H2345" s="598">
        <v>200.0</v>
      </c>
      <c r="I2345" s="598">
        <v>14.0</v>
      </c>
      <c r="J2345" s="598">
        <v>556.0</v>
      </c>
      <c r="K2345" s="1561">
        <v>2119.0</v>
      </c>
      <c r="L2345" s="1551">
        <v>50504.0</v>
      </c>
    </row>
    <row r="2346">
      <c r="A2346" s="1545" t="s">
        <v>860</v>
      </c>
      <c r="B2346" s="1587">
        <v>5840.0</v>
      </c>
      <c r="C2346" s="1563">
        <v>134.0</v>
      </c>
      <c r="D2346" s="1548">
        <v>20.9</v>
      </c>
      <c r="E2346" s="1557">
        <v>5439.0</v>
      </c>
      <c r="F2346" s="598">
        <v>85.0</v>
      </c>
      <c r="G2346" s="598">
        <v>9.0</v>
      </c>
      <c r="H2346" s="598">
        <v>20.0</v>
      </c>
      <c r="I2346" s="598">
        <v>0.0</v>
      </c>
      <c r="J2346" s="598">
        <v>52.0</v>
      </c>
      <c r="K2346" s="1561">
        <v>235.0</v>
      </c>
      <c r="L2346" s="1551">
        <v>48998.0</v>
      </c>
    </row>
    <row r="2347">
      <c r="A2347" s="1545" t="s">
        <v>1808</v>
      </c>
      <c r="B2347" s="1587">
        <v>38434.0</v>
      </c>
      <c r="C2347" s="1547">
        <v>1443.0</v>
      </c>
      <c r="D2347" s="1548">
        <v>19.7</v>
      </c>
      <c r="E2347" s="1557">
        <v>36066.0</v>
      </c>
      <c r="F2347" s="598">
        <v>145.0</v>
      </c>
      <c r="G2347" s="598">
        <v>76.0</v>
      </c>
      <c r="H2347" s="598">
        <v>138.0</v>
      </c>
      <c r="I2347" s="598">
        <v>0.0</v>
      </c>
      <c r="J2347" s="598">
        <v>339.0</v>
      </c>
      <c r="K2347" s="1561">
        <v>1670.0</v>
      </c>
      <c r="L2347" s="1551">
        <v>52573.0</v>
      </c>
    </row>
    <row r="2348">
      <c r="A2348" s="1545" t="s">
        <v>1574</v>
      </c>
      <c r="B2348" s="1587">
        <v>41045.0</v>
      </c>
      <c r="C2348" s="1547">
        <v>1676.0</v>
      </c>
      <c r="D2348" s="1548">
        <v>21.4</v>
      </c>
      <c r="E2348" s="1557">
        <v>38477.0</v>
      </c>
      <c r="F2348" s="598">
        <v>343.0</v>
      </c>
      <c r="G2348" s="598">
        <v>77.0</v>
      </c>
      <c r="H2348" s="598">
        <v>189.0</v>
      </c>
      <c r="I2348" s="598">
        <v>7.0</v>
      </c>
      <c r="J2348" s="598">
        <v>216.0</v>
      </c>
      <c r="K2348" s="1561">
        <v>1736.0</v>
      </c>
      <c r="L2348" s="1551">
        <v>48799.0</v>
      </c>
    </row>
    <row r="2349">
      <c r="A2349" s="1545" t="s">
        <v>316</v>
      </c>
      <c r="B2349" s="1587">
        <v>42681.0</v>
      </c>
      <c r="C2349" s="1547">
        <v>1044.0</v>
      </c>
      <c r="D2349" s="1548">
        <v>13.1</v>
      </c>
      <c r="E2349" s="1557">
        <v>36974.0</v>
      </c>
      <c r="F2349" s="598">
        <v>2583.0</v>
      </c>
      <c r="G2349" s="598">
        <v>102.0</v>
      </c>
      <c r="H2349" s="598">
        <v>822.0</v>
      </c>
      <c r="I2349" s="598">
        <v>8.0</v>
      </c>
      <c r="J2349" s="598">
        <v>601.0</v>
      </c>
      <c r="K2349" s="1561">
        <v>1591.0</v>
      </c>
      <c r="L2349" s="1551">
        <v>55679.0</v>
      </c>
    </row>
    <row r="2350">
      <c r="A2350" s="1545" t="s">
        <v>1809</v>
      </c>
      <c r="B2350" s="1587">
        <v>50454.0</v>
      </c>
      <c r="C2350" s="1547">
        <v>2011.0</v>
      </c>
      <c r="D2350" s="1548">
        <v>20.9</v>
      </c>
      <c r="E2350" s="1557">
        <v>47324.0</v>
      </c>
      <c r="F2350" s="598">
        <v>444.0</v>
      </c>
      <c r="G2350" s="598">
        <v>83.0</v>
      </c>
      <c r="H2350" s="598">
        <v>172.0</v>
      </c>
      <c r="I2350" s="598">
        <v>10.0</v>
      </c>
      <c r="J2350" s="598">
        <v>206.0</v>
      </c>
      <c r="K2350" s="1561">
        <v>2215.0</v>
      </c>
      <c r="L2350" s="1551">
        <v>45761.0</v>
      </c>
    </row>
    <row r="2351">
      <c r="A2351" s="1545" t="s">
        <v>647</v>
      </c>
      <c r="B2351" s="1587">
        <v>38587.0</v>
      </c>
      <c r="C2351" s="1547">
        <v>1339.0</v>
      </c>
      <c r="D2351" s="1548">
        <v>18.1</v>
      </c>
      <c r="E2351" s="1557">
        <v>36447.0</v>
      </c>
      <c r="F2351" s="598">
        <v>149.0</v>
      </c>
      <c r="G2351" s="598">
        <v>76.0</v>
      </c>
      <c r="H2351" s="598">
        <v>157.0</v>
      </c>
      <c r="I2351" s="598">
        <v>5.0</v>
      </c>
      <c r="J2351" s="598">
        <v>130.0</v>
      </c>
      <c r="K2351" s="1561">
        <v>1623.0</v>
      </c>
      <c r="L2351" s="1555">
        <v>50554.0</v>
      </c>
    </row>
    <row r="2352">
      <c r="A2352" s="1545" t="s">
        <v>119</v>
      </c>
      <c r="B2352" s="1587">
        <v>209349.0</v>
      </c>
      <c r="C2352" s="1547">
        <v>4283.0</v>
      </c>
      <c r="D2352" s="1548">
        <v>10.8</v>
      </c>
      <c r="E2352" s="1557">
        <v>188060.0</v>
      </c>
      <c r="F2352" s="598">
        <v>6958.0</v>
      </c>
      <c r="G2352" s="598">
        <v>301.0</v>
      </c>
      <c r="H2352" s="598">
        <v>2013.0</v>
      </c>
      <c r="I2352" s="598">
        <v>64.0</v>
      </c>
      <c r="J2352" s="598">
        <v>1491.0</v>
      </c>
      <c r="K2352" s="1561">
        <v>10462.0</v>
      </c>
      <c r="L2352" s="1551">
        <v>63119.0</v>
      </c>
    </row>
    <row r="2353">
      <c r="A2353" s="1545" t="s">
        <v>273</v>
      </c>
      <c r="B2353" s="1587">
        <v>51155.0</v>
      </c>
      <c r="C2353" s="1547">
        <v>1531.0</v>
      </c>
      <c r="D2353" s="1548">
        <v>18.3</v>
      </c>
      <c r="E2353" s="1557">
        <v>45795.0</v>
      </c>
      <c r="F2353" s="598">
        <v>1722.0</v>
      </c>
      <c r="G2353" s="598">
        <v>111.0</v>
      </c>
      <c r="H2353" s="598">
        <v>424.0</v>
      </c>
      <c r="I2353" s="598">
        <v>0.0</v>
      </c>
      <c r="J2353" s="598">
        <v>615.0</v>
      </c>
      <c r="K2353" s="1561">
        <v>2488.0</v>
      </c>
      <c r="L2353" s="1555">
        <v>53602.0</v>
      </c>
    </row>
    <row r="2354">
      <c r="A2354" s="1545" t="s">
        <v>1810</v>
      </c>
      <c r="B2354" s="1587">
        <v>354663.0</v>
      </c>
      <c r="C2354" s="1547">
        <v>7751.0</v>
      </c>
      <c r="D2354" s="1548">
        <v>12.3</v>
      </c>
      <c r="E2354" s="1557">
        <v>324684.0</v>
      </c>
      <c r="F2354" s="598">
        <v>9188.0</v>
      </c>
      <c r="G2354" s="598">
        <v>419.0</v>
      </c>
      <c r="H2354" s="598">
        <v>3328.0</v>
      </c>
      <c r="I2354" s="598">
        <v>38.0</v>
      </c>
      <c r="J2354" s="598">
        <v>1740.0</v>
      </c>
      <c r="K2354" s="1561">
        <v>15266.0</v>
      </c>
      <c r="L2354" s="1551">
        <v>58398.0</v>
      </c>
    </row>
    <row r="2355">
      <c r="A2355" s="1545" t="s">
        <v>123</v>
      </c>
      <c r="B2355" s="1587">
        <v>26069.0</v>
      </c>
      <c r="C2355" s="1563">
        <v>862.0</v>
      </c>
      <c r="D2355" s="1548">
        <v>17.1</v>
      </c>
      <c r="E2355" s="1557">
        <v>24363.0</v>
      </c>
      <c r="F2355" s="598">
        <v>233.0</v>
      </c>
      <c r="G2355" s="598">
        <v>44.0</v>
      </c>
      <c r="H2355" s="598">
        <v>119.0</v>
      </c>
      <c r="I2355" s="598">
        <v>6.0</v>
      </c>
      <c r="J2355" s="598">
        <v>163.0</v>
      </c>
      <c r="K2355" s="1561">
        <v>1141.0</v>
      </c>
      <c r="L2355" s="1615">
        <v>57599.0</v>
      </c>
    </row>
    <row r="2356">
      <c r="A2356" s="1528" t="s">
        <v>1196</v>
      </c>
      <c r="B2356" s="1595">
        <v>456438.0</v>
      </c>
      <c r="C2356" s="1530">
        <v>12371.0</v>
      </c>
      <c r="D2356" s="1567">
        <v>12.8</v>
      </c>
      <c r="E2356" s="1532">
        <v>373200.0</v>
      </c>
      <c r="F2356" s="1533">
        <v>27999.0</v>
      </c>
      <c r="G2356" s="1533">
        <v>1116.0</v>
      </c>
      <c r="H2356" s="1533">
        <v>6675.0</v>
      </c>
      <c r="I2356" s="1533">
        <v>182.0</v>
      </c>
      <c r="J2356" s="1533">
        <v>18626.0</v>
      </c>
      <c r="K2356" s="1616">
        <v>28640.0</v>
      </c>
      <c r="L2356" s="1617">
        <v>65238.0</v>
      </c>
    </row>
    <row r="2357">
      <c r="A2357" s="1538" t="s">
        <v>106</v>
      </c>
      <c r="B2357" s="1596">
        <v>1097379.0</v>
      </c>
      <c r="C2357" s="1540">
        <v>36239.0</v>
      </c>
      <c r="D2357" s="1571">
        <v>18.0</v>
      </c>
      <c r="E2357" s="1572">
        <v>782920.0</v>
      </c>
      <c r="F2357" s="1542">
        <v>62168.0</v>
      </c>
      <c r="G2357" s="1542">
        <v>7385.0</v>
      </c>
      <c r="H2357" s="1542">
        <v>38961.0</v>
      </c>
      <c r="I2357" s="1542">
        <v>536.0</v>
      </c>
      <c r="J2357" s="1542">
        <v>103615.0</v>
      </c>
      <c r="K2357" s="1543">
        <v>101794.0</v>
      </c>
      <c r="L2357" s="1544">
        <v>63787.0</v>
      </c>
    </row>
    <row r="2358">
      <c r="A2358" s="1545" t="s">
        <v>634</v>
      </c>
      <c r="B2358" s="1586">
        <v>50793.0</v>
      </c>
      <c r="C2358" s="1563">
        <v>639.0</v>
      </c>
      <c r="D2358" s="1548">
        <v>7.1</v>
      </c>
      <c r="E2358" s="1578">
        <v>45355.0</v>
      </c>
      <c r="F2358" s="1634">
        <v>773.0</v>
      </c>
      <c r="G2358" s="1634">
        <v>105.0</v>
      </c>
      <c r="H2358" s="1634">
        <v>1285.0</v>
      </c>
      <c r="I2358" s="1634">
        <v>1.0</v>
      </c>
      <c r="J2358" s="1634">
        <v>500.0</v>
      </c>
      <c r="K2358" s="1635">
        <v>2774.0</v>
      </c>
      <c r="L2358" s="1555">
        <v>80231.0</v>
      </c>
    </row>
    <row r="2359">
      <c r="A2359" s="1545" t="s">
        <v>474</v>
      </c>
      <c r="B2359" s="1587">
        <v>170363.0</v>
      </c>
      <c r="C2359" s="1547">
        <v>3037.0</v>
      </c>
      <c r="D2359" s="1548">
        <v>10.1</v>
      </c>
      <c r="E2359" s="1549">
        <v>147106.0</v>
      </c>
      <c r="F2359" s="1593">
        <v>3220.0</v>
      </c>
      <c r="G2359" s="1593">
        <v>532.0</v>
      </c>
      <c r="H2359" s="1593">
        <v>4882.0</v>
      </c>
      <c r="I2359" s="1593">
        <v>40.0</v>
      </c>
      <c r="J2359" s="1593">
        <v>3860.0</v>
      </c>
      <c r="K2359" s="1594">
        <v>10723.0</v>
      </c>
      <c r="L2359" s="1555">
        <v>69089.0</v>
      </c>
    </row>
    <row r="2360">
      <c r="A2360" s="1545" t="s">
        <v>1811</v>
      </c>
      <c r="B2360" s="1587">
        <v>85643.0</v>
      </c>
      <c r="C2360" s="1547">
        <v>1503.0</v>
      </c>
      <c r="D2360" s="1548">
        <v>11.0</v>
      </c>
      <c r="E2360" s="1557">
        <v>72063.0</v>
      </c>
      <c r="F2360" s="598">
        <v>2840.0</v>
      </c>
      <c r="G2360" s="598">
        <v>362.0</v>
      </c>
      <c r="H2360" s="598">
        <v>1570.0</v>
      </c>
      <c r="I2360" s="598">
        <v>64.0</v>
      </c>
      <c r="J2360" s="598">
        <v>2533.0</v>
      </c>
      <c r="K2360" s="1561">
        <v>6211.0</v>
      </c>
      <c r="L2360" s="1555">
        <v>77760.0</v>
      </c>
    </row>
    <row r="2361">
      <c r="A2361" s="1545" t="s">
        <v>595</v>
      </c>
      <c r="B2361" s="1587">
        <v>660741.0</v>
      </c>
      <c r="C2361" s="1547">
        <v>29066.0</v>
      </c>
      <c r="D2361" s="1548">
        <v>22.7</v>
      </c>
      <c r="E2361" s="1557">
        <v>402194.0</v>
      </c>
      <c r="F2361" s="598">
        <v>53803.0</v>
      </c>
      <c r="G2361" s="598">
        <v>5362.0</v>
      </c>
      <c r="H2361" s="598">
        <v>28614.0</v>
      </c>
      <c r="I2361" s="598">
        <v>380.0</v>
      </c>
      <c r="J2361" s="598">
        <v>94730.0</v>
      </c>
      <c r="K2361" s="1561">
        <v>75658.0</v>
      </c>
      <c r="L2361" s="1615">
        <v>56141.0</v>
      </c>
    </row>
    <row r="2362">
      <c r="A2362" s="1528" t="s">
        <v>119</v>
      </c>
      <c r="B2362" s="1595">
        <v>129839.0</v>
      </c>
      <c r="C2362" s="1530">
        <v>1996.0</v>
      </c>
      <c r="D2362" s="1567">
        <v>9.7</v>
      </c>
      <c r="E2362" s="1532">
        <v>116202.0</v>
      </c>
      <c r="F2362" s="1533">
        <v>1532.0</v>
      </c>
      <c r="G2362" s="1533">
        <v>1024.0</v>
      </c>
      <c r="H2362" s="1533">
        <v>2610.0</v>
      </c>
      <c r="I2362" s="1533">
        <v>51.0</v>
      </c>
      <c r="J2362" s="1533">
        <v>1992.0</v>
      </c>
      <c r="K2362" s="1616">
        <v>6428.0</v>
      </c>
      <c r="L2362" s="1617">
        <v>86715.0</v>
      </c>
    </row>
    <row r="2363">
      <c r="A2363" s="1538" t="s">
        <v>108</v>
      </c>
      <c r="B2363" s="1596">
        <v>5118425.0</v>
      </c>
      <c r="C2363" s="1540">
        <v>241192.0</v>
      </c>
      <c r="D2363" s="1571">
        <v>22.1</v>
      </c>
      <c r="E2363" s="1572">
        <v>3243442.0</v>
      </c>
      <c r="F2363" s="1542">
        <v>1280531.0</v>
      </c>
      <c r="G2363" s="1542">
        <v>24303.0</v>
      </c>
      <c r="H2363" s="1542">
        <v>90466.0</v>
      </c>
      <c r="I2363" s="1542">
        <v>3431.0</v>
      </c>
      <c r="J2363" s="1542">
        <v>177876.0</v>
      </c>
      <c r="K2363" s="1543">
        <v>298376.0</v>
      </c>
      <c r="L2363" s="1544">
        <v>52449.0</v>
      </c>
    </row>
    <row r="2364">
      <c r="A2364" s="1545" t="s">
        <v>1813</v>
      </c>
      <c r="B2364" s="1586">
        <v>24295.0</v>
      </c>
      <c r="C2364" s="1547">
        <v>1497.0</v>
      </c>
      <c r="D2364" s="1548">
        <v>30.8</v>
      </c>
      <c r="E2364" s="1578">
        <v>16877.0</v>
      </c>
      <c r="F2364" s="1634">
        <v>6205.0</v>
      </c>
      <c r="G2364" s="1634">
        <v>44.0</v>
      </c>
      <c r="H2364" s="1634">
        <v>73.0</v>
      </c>
      <c r="I2364" s="1634">
        <v>11.0</v>
      </c>
      <c r="J2364" s="1634">
        <v>198.0</v>
      </c>
      <c r="K2364" s="1635">
        <v>887.0</v>
      </c>
      <c r="L2364" s="1555">
        <v>42412.0</v>
      </c>
    </row>
    <row r="2365">
      <c r="A2365" s="1545" t="s">
        <v>1814</v>
      </c>
      <c r="B2365" s="1587">
        <v>168808.0</v>
      </c>
      <c r="C2365" s="1547">
        <v>8294.0</v>
      </c>
      <c r="D2365" s="1548">
        <v>22.8</v>
      </c>
      <c r="E2365" s="1549">
        <v>110016.0</v>
      </c>
      <c r="F2365" s="1593">
        <v>39856.0</v>
      </c>
      <c r="G2365" s="1593">
        <v>699.0</v>
      </c>
      <c r="H2365" s="1593">
        <v>1792.0</v>
      </c>
      <c r="I2365" s="1593">
        <v>132.0</v>
      </c>
      <c r="J2365" s="1593">
        <v>5775.0</v>
      </c>
      <c r="K2365" s="1594">
        <v>10538.0</v>
      </c>
      <c r="L2365" s="1551">
        <v>52633.0</v>
      </c>
    </row>
    <row r="2366">
      <c r="A2366" s="1545" t="s">
        <v>1815</v>
      </c>
      <c r="B2366" s="1587">
        <v>8039.0</v>
      </c>
      <c r="C2366" s="1563">
        <v>858.0</v>
      </c>
      <c r="D2366" s="1548">
        <v>51.6</v>
      </c>
      <c r="E2366" s="1549">
        <v>2010.0</v>
      </c>
      <c r="F2366" s="1593">
        <v>5656.0</v>
      </c>
      <c r="G2366" s="1593">
        <v>48.0</v>
      </c>
      <c r="H2366" s="1593">
        <v>17.0</v>
      </c>
      <c r="I2366" s="1593">
        <v>1.0</v>
      </c>
      <c r="J2366" s="1593">
        <v>139.0</v>
      </c>
      <c r="K2366" s="1594">
        <v>168.0</v>
      </c>
      <c r="L2366" s="1555">
        <v>29124.0</v>
      </c>
    </row>
    <row r="2367">
      <c r="A2367" s="1545" t="s">
        <v>954</v>
      </c>
      <c r="B2367" s="1587">
        <v>203718.0</v>
      </c>
      <c r="C2367" s="1547">
        <v>9623.0</v>
      </c>
      <c r="D2367" s="1548">
        <v>21.3</v>
      </c>
      <c r="E2367" s="1557">
        <v>154385.0</v>
      </c>
      <c r="F2367" s="598">
        <v>30440.0</v>
      </c>
      <c r="G2367" s="598">
        <v>616.0</v>
      </c>
      <c r="H2367" s="598">
        <v>2413.0</v>
      </c>
      <c r="I2367" s="598">
        <v>58.0</v>
      </c>
      <c r="J2367" s="598">
        <v>4761.0</v>
      </c>
      <c r="K2367" s="1561">
        <v>11045.0</v>
      </c>
      <c r="L2367" s="1551">
        <v>51740.0</v>
      </c>
    </row>
    <row r="2368">
      <c r="A2368" s="1545" t="s">
        <v>1816</v>
      </c>
      <c r="B2368" s="1587">
        <v>13311.0</v>
      </c>
      <c r="C2368" s="1547">
        <v>1051.0</v>
      </c>
      <c r="D2368" s="1548">
        <v>39.1</v>
      </c>
      <c r="E2368" s="1557">
        <v>5046.0</v>
      </c>
      <c r="F2368" s="598">
        <v>7763.0</v>
      </c>
      <c r="G2368" s="598">
        <v>30.0</v>
      </c>
      <c r="H2368" s="598">
        <v>68.0</v>
      </c>
      <c r="I2368" s="598">
        <v>0.0</v>
      </c>
      <c r="J2368" s="598">
        <v>83.0</v>
      </c>
      <c r="K2368" s="1561">
        <v>321.0</v>
      </c>
      <c r="L2368" s="1551">
        <v>36230.0</v>
      </c>
    </row>
    <row r="2369">
      <c r="A2369" s="1545" t="s">
        <v>1817</v>
      </c>
      <c r="B2369" s="1587">
        <v>20589.0</v>
      </c>
      <c r="C2369" s="1547">
        <v>1669.0</v>
      </c>
      <c r="D2369" s="1548">
        <v>33.6</v>
      </c>
      <c r="E2369" s="1557">
        <v>10493.0</v>
      </c>
      <c r="F2369" s="598">
        <v>8825.0</v>
      </c>
      <c r="G2369" s="598">
        <v>78.0</v>
      </c>
      <c r="H2369" s="598">
        <v>161.0</v>
      </c>
      <c r="I2369" s="598">
        <v>18.0</v>
      </c>
      <c r="J2369" s="598">
        <v>258.0</v>
      </c>
      <c r="K2369" s="1561">
        <v>756.0</v>
      </c>
      <c r="L2369" s="1555">
        <v>38131.0</v>
      </c>
    </row>
    <row r="2370">
      <c r="A2370" s="1545" t="s">
        <v>1583</v>
      </c>
      <c r="B2370" s="1587">
        <v>187117.0</v>
      </c>
      <c r="C2370" s="1547">
        <v>6929.0</v>
      </c>
      <c r="D2370" s="1548">
        <v>20.1</v>
      </c>
      <c r="E2370" s="1557">
        <v>130860.0</v>
      </c>
      <c r="F2370" s="598">
        <v>27973.0</v>
      </c>
      <c r="G2370" s="598">
        <v>738.0</v>
      </c>
      <c r="H2370" s="598">
        <v>2441.0</v>
      </c>
      <c r="I2370" s="598">
        <v>137.0</v>
      </c>
      <c r="J2370" s="598">
        <v>10711.0</v>
      </c>
      <c r="K2370" s="1561">
        <v>14257.0</v>
      </c>
      <c r="L2370" s="1555">
        <v>65843.0</v>
      </c>
    </row>
    <row r="2371">
      <c r="A2371" s="1545" t="s">
        <v>1818</v>
      </c>
      <c r="B2371" s="1587">
        <v>229861.0</v>
      </c>
      <c r="C2371" s="1547">
        <v>9432.0</v>
      </c>
      <c r="D2371" s="1548">
        <v>18.2</v>
      </c>
      <c r="E2371" s="1557">
        <v>141465.0</v>
      </c>
      <c r="F2371" s="598">
        <v>52393.0</v>
      </c>
      <c r="G2371" s="598">
        <v>1566.0</v>
      </c>
      <c r="H2371" s="598">
        <v>5452.0</v>
      </c>
      <c r="I2371" s="598">
        <v>202.0</v>
      </c>
      <c r="J2371" s="598">
        <v>10695.0</v>
      </c>
      <c r="K2371" s="1561">
        <v>18088.0</v>
      </c>
      <c r="L2371" s="1551">
        <v>62204.0</v>
      </c>
    </row>
    <row r="2372">
      <c r="A2372" s="1545" t="s">
        <v>93</v>
      </c>
      <c r="B2372" s="1587">
        <v>14119.0</v>
      </c>
      <c r="C2372" s="1563">
        <v>758.0</v>
      </c>
      <c r="D2372" s="1548">
        <v>28.0</v>
      </c>
      <c r="E2372" s="1557">
        <v>7896.0</v>
      </c>
      <c r="F2372" s="598">
        <v>5372.0</v>
      </c>
      <c r="G2372" s="598">
        <v>62.0</v>
      </c>
      <c r="H2372" s="598">
        <v>30.0</v>
      </c>
      <c r="I2372" s="598">
        <v>6.0</v>
      </c>
      <c r="J2372" s="598">
        <v>272.0</v>
      </c>
      <c r="K2372" s="1561">
        <v>481.0</v>
      </c>
      <c r="L2372" s="1555">
        <v>45385.0</v>
      </c>
    </row>
    <row r="2373">
      <c r="A2373" s="1545" t="s">
        <v>1819</v>
      </c>
      <c r="B2373" s="1587">
        <v>408235.0</v>
      </c>
      <c r="C2373" s="1547">
        <v>18450.0</v>
      </c>
      <c r="D2373" s="1548">
        <v>23.4</v>
      </c>
      <c r="E2373" s="1557">
        <v>268699.0</v>
      </c>
      <c r="F2373" s="598">
        <v>92598.0</v>
      </c>
      <c r="G2373" s="598">
        <v>1501.0</v>
      </c>
      <c r="H2373" s="598">
        <v>7567.0</v>
      </c>
      <c r="I2373" s="598">
        <v>345.0</v>
      </c>
      <c r="J2373" s="598">
        <v>15675.0</v>
      </c>
      <c r="K2373" s="1561">
        <v>21850.0</v>
      </c>
      <c r="L2373" s="1551">
        <v>62958.0</v>
      </c>
    </row>
    <row r="2374">
      <c r="A2374" s="1545" t="s">
        <v>101</v>
      </c>
      <c r="B2374" s="1587">
        <v>56216.0</v>
      </c>
      <c r="C2374" s="1547">
        <v>3109.0</v>
      </c>
      <c r="D2374" s="1548">
        <v>24.1</v>
      </c>
      <c r="E2374" s="1557">
        <v>40203.0</v>
      </c>
      <c r="F2374" s="598">
        <v>11370.0</v>
      </c>
      <c r="G2374" s="598">
        <v>226.0</v>
      </c>
      <c r="H2374" s="598">
        <v>345.0</v>
      </c>
      <c r="I2374" s="598">
        <v>14.0</v>
      </c>
      <c r="J2374" s="598">
        <v>1547.0</v>
      </c>
      <c r="K2374" s="1561">
        <v>2511.0</v>
      </c>
      <c r="L2374" s="1551">
        <v>42542.0</v>
      </c>
    </row>
    <row r="2375">
      <c r="A2375" s="1545" t="s">
        <v>1789</v>
      </c>
      <c r="B2375" s="1587">
        <v>32294.0</v>
      </c>
      <c r="C2375" s="1547">
        <v>2150.0</v>
      </c>
      <c r="D2375" s="1548">
        <v>30.1</v>
      </c>
      <c r="E2375" s="1557">
        <v>18759.0</v>
      </c>
      <c r="F2375" s="598">
        <v>11330.0</v>
      </c>
      <c r="G2375" s="598">
        <v>172.0</v>
      </c>
      <c r="H2375" s="598">
        <v>149.0</v>
      </c>
      <c r="I2375" s="598">
        <v>14.0</v>
      </c>
      <c r="J2375" s="598">
        <v>472.0</v>
      </c>
      <c r="K2375" s="1561">
        <v>1398.0</v>
      </c>
      <c r="L2375" s="1551">
        <v>42116.0</v>
      </c>
    </row>
    <row r="2376">
      <c r="A2376" s="1545" t="s">
        <v>1820</v>
      </c>
      <c r="B2376" s="1587">
        <v>43273.0</v>
      </c>
      <c r="C2376" s="1547">
        <v>3010.0</v>
      </c>
      <c r="D2376" s="1548">
        <v>30.6</v>
      </c>
      <c r="E2376" s="1557">
        <v>26188.0</v>
      </c>
      <c r="F2376" s="598">
        <v>13233.0</v>
      </c>
      <c r="G2376" s="598">
        <v>241.0</v>
      </c>
      <c r="H2376" s="598">
        <v>274.0</v>
      </c>
      <c r="I2376" s="598">
        <v>9.0</v>
      </c>
      <c r="J2376" s="598">
        <v>1227.0</v>
      </c>
      <c r="K2376" s="1561">
        <v>2101.0</v>
      </c>
      <c r="L2376" s="1551">
        <v>39046.0</v>
      </c>
    </row>
    <row r="2377">
      <c r="A2377" s="1545" t="s">
        <v>1821</v>
      </c>
      <c r="B2377" s="1587">
        <v>31144.0</v>
      </c>
      <c r="C2377" s="1547">
        <v>2302.0</v>
      </c>
      <c r="D2377" s="1548">
        <v>36.3</v>
      </c>
      <c r="E2377" s="1557">
        <v>15481.0</v>
      </c>
      <c r="F2377" s="598">
        <v>13919.0</v>
      </c>
      <c r="G2377" s="598">
        <v>130.0</v>
      </c>
      <c r="H2377" s="598">
        <v>230.0</v>
      </c>
      <c r="I2377" s="598">
        <v>8.0</v>
      </c>
      <c r="J2377" s="598">
        <v>541.0</v>
      </c>
      <c r="K2377" s="1561">
        <v>835.0</v>
      </c>
      <c r="L2377" s="1551">
        <v>36722.0</v>
      </c>
    </row>
    <row r="2378">
      <c r="A2378" s="1545" t="s">
        <v>1822</v>
      </c>
      <c r="B2378" s="1587">
        <v>38604.0</v>
      </c>
      <c r="C2378" s="1547">
        <v>2780.0</v>
      </c>
      <c r="D2378" s="1548">
        <v>33.5</v>
      </c>
      <c r="E2378" s="1557">
        <v>22066.0</v>
      </c>
      <c r="F2378" s="598">
        <v>13467.0</v>
      </c>
      <c r="G2378" s="598">
        <v>335.0</v>
      </c>
      <c r="H2378" s="598">
        <v>188.0</v>
      </c>
      <c r="I2378" s="598">
        <v>16.0</v>
      </c>
      <c r="J2378" s="598">
        <v>795.0</v>
      </c>
      <c r="K2378" s="1561">
        <v>1737.0</v>
      </c>
      <c r="L2378" s="1555">
        <v>39079.0</v>
      </c>
    </row>
    <row r="2379">
      <c r="A2379" s="1545" t="s">
        <v>1823</v>
      </c>
      <c r="B2379" s="1587">
        <v>62905.0</v>
      </c>
      <c r="C2379" s="1547">
        <v>4884.0</v>
      </c>
      <c r="D2379" s="1548">
        <v>33.4</v>
      </c>
      <c r="E2379" s="1557">
        <v>34103.0</v>
      </c>
      <c r="F2379" s="598">
        <v>25524.0</v>
      </c>
      <c r="G2379" s="598">
        <v>165.0</v>
      </c>
      <c r="H2379" s="598">
        <v>293.0</v>
      </c>
      <c r="I2379" s="598">
        <v>22.0</v>
      </c>
      <c r="J2379" s="598">
        <v>708.0</v>
      </c>
      <c r="K2379" s="1561">
        <v>2090.0</v>
      </c>
      <c r="L2379" s="1551">
        <v>37206.0</v>
      </c>
    </row>
    <row r="2380">
      <c r="A2380" s="1545" t="s">
        <v>1824</v>
      </c>
      <c r="B2380" s="1587">
        <v>28292.0</v>
      </c>
      <c r="C2380" s="1547">
        <v>3697.0</v>
      </c>
      <c r="D2380" s="1548">
        <v>48.5</v>
      </c>
      <c r="E2380" s="1557">
        <v>13151.0</v>
      </c>
      <c r="F2380" s="598">
        <v>12727.0</v>
      </c>
      <c r="G2380" s="598">
        <v>639.0</v>
      </c>
      <c r="H2380" s="598">
        <v>68.0</v>
      </c>
      <c r="I2380" s="598">
        <v>2.0</v>
      </c>
      <c r="J2380" s="598">
        <v>533.0</v>
      </c>
      <c r="K2380" s="1561">
        <v>1172.0</v>
      </c>
      <c r="L2380" s="1555">
        <v>33159.0</v>
      </c>
    </row>
    <row r="2381">
      <c r="A2381" s="1545" t="s">
        <v>1204</v>
      </c>
      <c r="B2381" s="1587">
        <v>161540.0</v>
      </c>
      <c r="C2381" s="1547">
        <v>6547.0</v>
      </c>
      <c r="D2381" s="1548">
        <v>17.0</v>
      </c>
      <c r="E2381" s="1557">
        <v>101446.0</v>
      </c>
      <c r="F2381" s="598">
        <v>38733.0</v>
      </c>
      <c r="G2381" s="598">
        <v>1060.0</v>
      </c>
      <c r="H2381" s="598">
        <v>3314.0</v>
      </c>
      <c r="I2381" s="598">
        <v>204.0</v>
      </c>
      <c r="J2381" s="598">
        <v>4567.0</v>
      </c>
      <c r="K2381" s="1561">
        <v>12216.0</v>
      </c>
      <c r="L2381" s="1551">
        <v>65468.0</v>
      </c>
    </row>
    <row r="2382">
      <c r="A2382" s="1545" t="s">
        <v>1825</v>
      </c>
      <c r="B2382" s="1587">
        <v>25657.0</v>
      </c>
      <c r="C2382" s="1547">
        <v>1209.0</v>
      </c>
      <c r="D2382" s="1548">
        <v>25.0</v>
      </c>
      <c r="E2382" s="1557">
        <v>15334.0</v>
      </c>
      <c r="F2382" s="598">
        <v>8365.0</v>
      </c>
      <c r="G2382" s="598">
        <v>77.0</v>
      </c>
      <c r="H2382" s="598">
        <v>128.0</v>
      </c>
      <c r="I2382" s="598">
        <v>8.0</v>
      </c>
      <c r="J2382" s="598">
        <v>722.0</v>
      </c>
      <c r="K2382" s="1561">
        <v>1023.0</v>
      </c>
      <c r="L2382" s="1551">
        <v>48818.0</v>
      </c>
    </row>
    <row r="2383">
      <c r="A2383" s="1545" t="s">
        <v>442</v>
      </c>
      <c r="B2383" s="1587">
        <v>20948.0</v>
      </c>
      <c r="C2383" s="1547">
        <v>1449.0</v>
      </c>
      <c r="D2383" s="1548">
        <v>34.1</v>
      </c>
      <c r="E2383" s="1557">
        <v>8571.0</v>
      </c>
      <c r="F2383" s="598">
        <v>11251.0</v>
      </c>
      <c r="G2383" s="598">
        <v>79.0</v>
      </c>
      <c r="H2383" s="598">
        <v>102.0</v>
      </c>
      <c r="I2383" s="598">
        <v>8.0</v>
      </c>
      <c r="J2383" s="598">
        <v>223.0</v>
      </c>
      <c r="K2383" s="1561">
        <v>714.0</v>
      </c>
      <c r="L2383" s="1555">
        <v>39522.0</v>
      </c>
    </row>
    <row r="2384">
      <c r="A2384" s="1545" t="s">
        <v>1826</v>
      </c>
      <c r="B2384" s="1587">
        <v>137059.0</v>
      </c>
      <c r="C2384" s="1547">
        <v>8486.0</v>
      </c>
      <c r="D2384" s="1548">
        <v>26.3</v>
      </c>
      <c r="E2384" s="1557">
        <v>69755.0</v>
      </c>
      <c r="F2384" s="598">
        <v>57186.0</v>
      </c>
      <c r="G2384" s="598">
        <v>433.0</v>
      </c>
      <c r="H2384" s="598">
        <v>2324.0</v>
      </c>
      <c r="I2384" s="598">
        <v>54.0</v>
      </c>
      <c r="J2384" s="598">
        <v>2117.0</v>
      </c>
      <c r="K2384" s="1561">
        <v>5190.0</v>
      </c>
      <c r="L2384" s="1551">
        <v>47949.0</v>
      </c>
    </row>
    <row r="2385">
      <c r="A2385" s="1545" t="s">
        <v>1827</v>
      </c>
      <c r="B2385" s="1587">
        <v>63404.0</v>
      </c>
      <c r="C2385" s="1547">
        <v>3699.0</v>
      </c>
      <c r="D2385" s="1548">
        <v>32.8</v>
      </c>
      <c r="E2385" s="1557">
        <v>41555.0</v>
      </c>
      <c r="F2385" s="598">
        <v>18156.0</v>
      </c>
      <c r="G2385" s="598">
        <v>129.0</v>
      </c>
      <c r="H2385" s="598">
        <v>267.0</v>
      </c>
      <c r="I2385" s="598">
        <v>35.0</v>
      </c>
      <c r="J2385" s="598">
        <v>1181.0</v>
      </c>
      <c r="K2385" s="1561">
        <v>2081.0</v>
      </c>
      <c r="L2385" s="1555">
        <v>46058.0</v>
      </c>
    </row>
    <row r="2386">
      <c r="A2386" s="1545" t="s">
        <v>1828</v>
      </c>
      <c r="B2386" s="1587">
        <v>525534.0</v>
      </c>
      <c r="C2386" s="1547">
        <v>17093.0</v>
      </c>
      <c r="D2386" s="1548">
        <v>14.6</v>
      </c>
      <c r="E2386" s="1557">
        <v>353260.0</v>
      </c>
      <c r="F2386" s="598">
        <v>88181.0</v>
      </c>
      <c r="G2386" s="598">
        <v>2437.0</v>
      </c>
      <c r="H2386" s="598">
        <v>12981.0</v>
      </c>
      <c r="I2386" s="598">
        <v>429.0</v>
      </c>
      <c r="J2386" s="598">
        <v>31011.0</v>
      </c>
      <c r="K2386" s="1561">
        <v>37235.0</v>
      </c>
      <c r="L2386" s="1555">
        <v>61162.0</v>
      </c>
    </row>
    <row r="2387">
      <c r="A2387" s="1545" t="s">
        <v>977</v>
      </c>
      <c r="B2387" s="1587">
        <v>69351.0</v>
      </c>
      <c r="C2387" s="1547">
        <v>4875.0</v>
      </c>
      <c r="D2387" s="1548">
        <v>31.0</v>
      </c>
      <c r="E2387" s="1557">
        <v>41205.0</v>
      </c>
      <c r="F2387" s="598">
        <v>20938.0</v>
      </c>
      <c r="G2387" s="598">
        <v>171.0</v>
      </c>
      <c r="H2387" s="598">
        <v>694.0</v>
      </c>
      <c r="I2387" s="598">
        <v>44.0</v>
      </c>
      <c r="J2387" s="598">
        <v>2990.0</v>
      </c>
      <c r="K2387" s="1561">
        <v>3309.0</v>
      </c>
      <c r="L2387" s="1551">
        <v>43879.0</v>
      </c>
    </row>
    <row r="2388">
      <c r="A2388" s="1545" t="s">
        <v>1829</v>
      </c>
      <c r="B2388" s="1587">
        <v>18561.0</v>
      </c>
      <c r="C2388" s="1547">
        <v>1489.0</v>
      </c>
      <c r="D2388" s="1548">
        <v>36.7</v>
      </c>
      <c r="E2388" s="1557">
        <v>8135.0</v>
      </c>
      <c r="F2388" s="598">
        <v>9592.0</v>
      </c>
      <c r="G2388" s="598">
        <v>50.0</v>
      </c>
      <c r="H2388" s="598">
        <v>102.0</v>
      </c>
      <c r="I2388" s="598">
        <v>17.0</v>
      </c>
      <c r="J2388" s="598">
        <v>231.0</v>
      </c>
      <c r="K2388" s="1561">
        <v>434.0</v>
      </c>
      <c r="L2388" s="1555">
        <v>35871.0</v>
      </c>
    </row>
    <row r="2389">
      <c r="A2389" s="1545" t="s">
        <v>1830</v>
      </c>
      <c r="B2389" s="1587">
        <v>351029.0</v>
      </c>
      <c r="C2389" s="1547">
        <v>14883.0</v>
      </c>
      <c r="D2389" s="1548">
        <v>24.5</v>
      </c>
      <c r="E2389" s="1557">
        <v>270736.0</v>
      </c>
      <c r="F2389" s="598">
        <v>39883.0</v>
      </c>
      <c r="G2389" s="598">
        <v>1610.0</v>
      </c>
      <c r="H2389" s="598">
        <v>4655.0</v>
      </c>
      <c r="I2389" s="598">
        <v>320.0</v>
      </c>
      <c r="J2389" s="598">
        <v>12262.0</v>
      </c>
      <c r="K2389" s="1561">
        <v>21563.0</v>
      </c>
      <c r="L2389" s="1551">
        <v>49082.0</v>
      </c>
    </row>
    <row r="2390">
      <c r="A2390" s="1545" t="s">
        <v>593</v>
      </c>
      <c r="B2390" s="1587">
        <v>28791.0</v>
      </c>
      <c r="C2390" s="1547">
        <v>1955.0</v>
      </c>
      <c r="D2390" s="1548">
        <v>33.6</v>
      </c>
      <c r="E2390" s="1557">
        <v>13715.0</v>
      </c>
      <c r="F2390" s="598">
        <v>9645.0</v>
      </c>
      <c r="G2390" s="598">
        <v>145.0</v>
      </c>
      <c r="H2390" s="598">
        <v>197.0</v>
      </c>
      <c r="I2390" s="598">
        <v>24.0</v>
      </c>
      <c r="J2390" s="598">
        <v>3029.0</v>
      </c>
      <c r="K2390" s="1561">
        <v>2036.0</v>
      </c>
      <c r="L2390" s="1555">
        <v>43125.0</v>
      </c>
    </row>
    <row r="2391">
      <c r="A2391" s="1545" t="s">
        <v>1831</v>
      </c>
      <c r="B2391" s="1587">
        <v>65403.0</v>
      </c>
      <c r="C2391" s="1547">
        <v>3295.0</v>
      </c>
      <c r="D2391" s="1548">
        <v>22.1</v>
      </c>
      <c r="E2391" s="1557">
        <v>44053.0</v>
      </c>
      <c r="F2391" s="598">
        <v>15256.0</v>
      </c>
      <c r="G2391" s="598">
        <v>257.0</v>
      </c>
      <c r="H2391" s="598">
        <v>425.0</v>
      </c>
      <c r="I2391" s="598">
        <v>31.0</v>
      </c>
      <c r="J2391" s="598">
        <v>1696.0</v>
      </c>
      <c r="K2391" s="1561">
        <v>3685.0</v>
      </c>
      <c r="L2391" s="1555">
        <v>52270.0</v>
      </c>
    </row>
    <row r="2392">
      <c r="A2392" s="1545" t="s">
        <v>650</v>
      </c>
      <c r="B2392" s="1587">
        <v>96016.0</v>
      </c>
      <c r="C2392" s="1547">
        <v>4153.0</v>
      </c>
      <c r="D2392" s="1548">
        <v>20.2</v>
      </c>
      <c r="E2392" s="1557">
        <v>66147.0</v>
      </c>
      <c r="F2392" s="598">
        <v>19272.0</v>
      </c>
      <c r="G2392" s="598">
        <v>292.0</v>
      </c>
      <c r="H2392" s="598">
        <v>1778.0</v>
      </c>
      <c r="I2392" s="598">
        <v>14.0</v>
      </c>
      <c r="J2392" s="598">
        <v>2733.0</v>
      </c>
      <c r="K2392" s="1561">
        <v>5780.0</v>
      </c>
      <c r="L2392" s="1555">
        <v>58035.0</v>
      </c>
    </row>
    <row r="2393">
      <c r="A2393" s="1545" t="s">
        <v>601</v>
      </c>
      <c r="B2393" s="1587">
        <v>67539.0</v>
      </c>
      <c r="C2393" s="1547">
        <v>4045.0</v>
      </c>
      <c r="D2393" s="1548">
        <v>28.4</v>
      </c>
      <c r="E2393" s="1557">
        <v>45080.0</v>
      </c>
      <c r="F2393" s="598">
        <v>16024.0</v>
      </c>
      <c r="G2393" s="598">
        <v>245.0</v>
      </c>
      <c r="H2393" s="598">
        <v>302.0</v>
      </c>
      <c r="I2393" s="598">
        <v>24.0</v>
      </c>
      <c r="J2393" s="598">
        <v>2385.0</v>
      </c>
      <c r="K2393" s="1561">
        <v>3479.0</v>
      </c>
      <c r="L2393" s="1551">
        <v>42099.0</v>
      </c>
    </row>
    <row r="2394">
      <c r="A2394" s="1545" t="s">
        <v>147</v>
      </c>
      <c r="B2394" s="1587">
        <v>16531.0</v>
      </c>
      <c r="C2394" s="1547">
        <v>1464.0</v>
      </c>
      <c r="D2394" s="1548">
        <v>42.8</v>
      </c>
      <c r="E2394" s="1557">
        <v>5771.0</v>
      </c>
      <c r="F2394" s="598">
        <v>10084.0</v>
      </c>
      <c r="G2394" s="598">
        <v>50.0</v>
      </c>
      <c r="H2394" s="598">
        <v>38.0</v>
      </c>
      <c r="I2394" s="598">
        <v>0.0</v>
      </c>
      <c r="J2394" s="598">
        <v>169.0</v>
      </c>
      <c r="K2394" s="1561">
        <v>419.0</v>
      </c>
      <c r="L2394" s="1555">
        <v>33199.0</v>
      </c>
    </row>
    <row r="2395">
      <c r="A2395" s="1545" t="s">
        <v>1832</v>
      </c>
      <c r="B2395" s="1587">
        <v>293991.0</v>
      </c>
      <c r="C2395" s="1547">
        <v>11777.0</v>
      </c>
      <c r="D2395" s="1548">
        <v>17.5</v>
      </c>
      <c r="E2395" s="1557">
        <v>212701.0</v>
      </c>
      <c r="F2395" s="598">
        <v>42924.0</v>
      </c>
      <c r="G2395" s="598">
        <v>1473.0</v>
      </c>
      <c r="H2395" s="598">
        <v>6692.0</v>
      </c>
      <c r="I2395" s="598">
        <v>210.0</v>
      </c>
      <c r="J2395" s="598">
        <v>10671.0</v>
      </c>
      <c r="K2395" s="1561">
        <v>19320.0</v>
      </c>
      <c r="L2395" s="1551">
        <v>60627.0</v>
      </c>
    </row>
    <row r="2396">
      <c r="A2396" s="1545" t="s">
        <v>1833</v>
      </c>
      <c r="B2396" s="1587">
        <v>9526.0</v>
      </c>
      <c r="C2396" s="1563">
        <v>362.0</v>
      </c>
      <c r="D2396" s="1548">
        <v>34.5</v>
      </c>
      <c r="E2396" s="1557">
        <v>5182.0</v>
      </c>
      <c r="F2396" s="598">
        <v>3933.0</v>
      </c>
      <c r="G2396" s="598">
        <v>27.0</v>
      </c>
      <c r="H2396" s="598">
        <v>38.0</v>
      </c>
      <c r="I2396" s="598">
        <v>5.0</v>
      </c>
      <c r="J2396" s="598">
        <v>63.0</v>
      </c>
      <c r="K2396" s="1561">
        <v>278.0</v>
      </c>
      <c r="L2396" s="1551">
        <v>44683.0</v>
      </c>
    </row>
    <row r="2397">
      <c r="A2397" s="1545" t="s">
        <v>153</v>
      </c>
      <c r="B2397" s="1587">
        <v>29183.0</v>
      </c>
      <c r="C2397" s="1547">
        <v>2594.0</v>
      </c>
      <c r="D2397" s="1548">
        <v>37.1</v>
      </c>
      <c r="E2397" s="1557">
        <v>11205.0</v>
      </c>
      <c r="F2397" s="598">
        <v>16403.0</v>
      </c>
      <c r="G2397" s="598">
        <v>112.0</v>
      </c>
      <c r="H2397" s="598">
        <v>134.0</v>
      </c>
      <c r="I2397" s="598">
        <v>3.0</v>
      </c>
      <c r="J2397" s="598">
        <v>408.0</v>
      </c>
      <c r="K2397" s="1561">
        <v>918.0</v>
      </c>
      <c r="L2397" s="1551">
        <v>34365.0</v>
      </c>
    </row>
    <row r="2398">
      <c r="A2398" s="1545" t="s">
        <v>1834</v>
      </c>
      <c r="B2398" s="1587">
        <v>26667.0</v>
      </c>
      <c r="C2398" s="1547">
        <v>2223.0</v>
      </c>
      <c r="D2398" s="1548">
        <v>42.8</v>
      </c>
      <c r="E2398" s="1557">
        <v>10839.0</v>
      </c>
      <c r="F2398" s="598">
        <v>13391.0</v>
      </c>
      <c r="G2398" s="598">
        <v>1139.0</v>
      </c>
      <c r="H2398" s="598">
        <v>99.0</v>
      </c>
      <c r="I2398" s="598">
        <v>7.0</v>
      </c>
      <c r="J2398" s="598">
        <v>151.0</v>
      </c>
      <c r="K2398" s="1561">
        <v>1041.0</v>
      </c>
      <c r="L2398" s="1551">
        <v>33534.0</v>
      </c>
    </row>
    <row r="2399">
      <c r="A2399" s="1545" t="s">
        <v>1835</v>
      </c>
      <c r="B2399" s="1587">
        <v>37719.0</v>
      </c>
      <c r="C2399" s="1547">
        <v>2053.0</v>
      </c>
      <c r="D2399" s="1548">
        <v>24.8</v>
      </c>
      <c r="E2399" s="1557">
        <v>23263.0</v>
      </c>
      <c r="F2399" s="598">
        <v>10451.0</v>
      </c>
      <c r="G2399" s="598">
        <v>231.0</v>
      </c>
      <c r="H2399" s="598">
        <v>145.0</v>
      </c>
      <c r="I2399" s="598">
        <v>4.0</v>
      </c>
      <c r="J2399" s="598">
        <v>1802.0</v>
      </c>
      <c r="K2399" s="1561">
        <v>1823.0</v>
      </c>
      <c r="L2399" s="1555">
        <v>48029.0</v>
      </c>
    </row>
    <row r="2400">
      <c r="A2400" s="1545" t="s">
        <v>614</v>
      </c>
      <c r="B2400" s="1587">
        <v>78607.0</v>
      </c>
      <c r="C2400" s="1547">
        <v>3129.0</v>
      </c>
      <c r="D2400" s="1548">
        <v>20.5</v>
      </c>
      <c r="E2400" s="1557">
        <v>65766.0</v>
      </c>
      <c r="F2400" s="598">
        <v>5193.0</v>
      </c>
      <c r="G2400" s="598">
        <v>301.0</v>
      </c>
      <c r="H2400" s="598">
        <v>591.0</v>
      </c>
      <c r="I2400" s="598">
        <v>24.0</v>
      </c>
      <c r="J2400" s="598">
        <v>2095.0</v>
      </c>
      <c r="K2400" s="1561">
        <v>4637.0</v>
      </c>
      <c r="L2400" s="1555">
        <v>50529.0</v>
      </c>
    </row>
    <row r="2401">
      <c r="A2401" s="1545" t="s">
        <v>1836</v>
      </c>
      <c r="B2401" s="1587">
        <v>84223.0</v>
      </c>
      <c r="C2401" s="1547">
        <v>6839.0</v>
      </c>
      <c r="D2401" s="1548">
        <v>36.5</v>
      </c>
      <c r="E2401" s="1557">
        <v>28070.0</v>
      </c>
      <c r="F2401" s="598">
        <v>51046.0</v>
      </c>
      <c r="G2401" s="598">
        <v>517.0</v>
      </c>
      <c r="H2401" s="598">
        <v>895.0</v>
      </c>
      <c r="I2401" s="598">
        <v>39.0</v>
      </c>
      <c r="J2401" s="598">
        <v>1171.0</v>
      </c>
      <c r="K2401" s="1561">
        <v>2485.0</v>
      </c>
      <c r="L2401" s="1555">
        <v>37134.0</v>
      </c>
    </row>
    <row r="2402">
      <c r="A2402" s="1545" t="s">
        <v>160</v>
      </c>
      <c r="B2402" s="1587">
        <v>131404.0</v>
      </c>
      <c r="C2402" s="1547">
        <v>4024.0</v>
      </c>
      <c r="D2402" s="1548">
        <v>17.3</v>
      </c>
      <c r="E2402" s="1557">
        <v>108696.0</v>
      </c>
      <c r="F2402" s="598">
        <v>8528.0</v>
      </c>
      <c r="G2402" s="598">
        <v>423.0</v>
      </c>
      <c r="H2402" s="598">
        <v>2735.0</v>
      </c>
      <c r="I2402" s="598">
        <v>37.0</v>
      </c>
      <c r="J2402" s="598">
        <v>3249.0</v>
      </c>
      <c r="K2402" s="1561">
        <v>7736.0</v>
      </c>
      <c r="L2402" s="1555">
        <v>48794.0</v>
      </c>
    </row>
    <row r="2403">
      <c r="A2403" s="1545" t="s">
        <v>743</v>
      </c>
      <c r="B2403" s="1587">
        <v>416147.0</v>
      </c>
      <c r="C2403" s="1547">
        <v>17560.0</v>
      </c>
      <c r="D2403" s="1548">
        <v>20.2</v>
      </c>
      <c r="E2403" s="1557">
        <v>177274.0</v>
      </c>
      <c r="F2403" s="598">
        <v>190218.0</v>
      </c>
      <c r="G2403" s="598">
        <v>1356.0</v>
      </c>
      <c r="H2403" s="598">
        <v>11438.0</v>
      </c>
      <c r="I2403" s="598">
        <v>467.0</v>
      </c>
      <c r="J2403" s="598">
        <v>11468.0</v>
      </c>
      <c r="K2403" s="1561">
        <v>23926.0</v>
      </c>
      <c r="L2403" s="1551">
        <v>52611.0</v>
      </c>
    </row>
    <row r="2404">
      <c r="A2404" s="1545" t="s">
        <v>1837</v>
      </c>
      <c r="B2404" s="1587">
        <v>18862.0</v>
      </c>
      <c r="C2404" s="1547">
        <v>1043.0</v>
      </c>
      <c r="D2404" s="1548">
        <v>23.8</v>
      </c>
      <c r="E2404" s="1557">
        <v>11670.0</v>
      </c>
      <c r="F2404" s="598">
        <v>4072.0</v>
      </c>
      <c r="G2404" s="598">
        <v>167.0</v>
      </c>
      <c r="H2404" s="598">
        <v>38.0</v>
      </c>
      <c r="I2404" s="598">
        <v>0.0</v>
      </c>
      <c r="J2404" s="598">
        <v>1512.0</v>
      </c>
      <c r="K2404" s="1561">
        <v>1403.0</v>
      </c>
      <c r="L2404" s="1555">
        <v>46019.0</v>
      </c>
    </row>
    <row r="2405">
      <c r="A2405" s="1545" t="s">
        <v>1838</v>
      </c>
      <c r="B2405" s="1587">
        <v>327997.0</v>
      </c>
      <c r="C2405" s="1547">
        <v>14731.0</v>
      </c>
      <c r="D2405" s="1548">
        <v>20.7</v>
      </c>
      <c r="E2405" s="1557">
        <v>219423.0</v>
      </c>
      <c r="F2405" s="598">
        <v>64230.0</v>
      </c>
      <c r="G2405" s="598">
        <v>1375.0</v>
      </c>
      <c r="H2405" s="598">
        <v>8297.0</v>
      </c>
      <c r="I2405" s="598">
        <v>198.0</v>
      </c>
      <c r="J2405" s="598">
        <v>14932.0</v>
      </c>
      <c r="K2405" s="1561">
        <v>19542.0</v>
      </c>
      <c r="L2405" s="1555">
        <v>53567.0</v>
      </c>
    </row>
    <row r="2406">
      <c r="A2406" s="1545" t="s">
        <v>169</v>
      </c>
      <c r="B2406" s="1587">
        <v>105556.0</v>
      </c>
      <c r="C2406" s="1547">
        <v>7038.0</v>
      </c>
      <c r="D2406" s="1548">
        <v>28.2</v>
      </c>
      <c r="E2406" s="1557">
        <v>47406.0</v>
      </c>
      <c r="F2406" s="598">
        <v>48876.0</v>
      </c>
      <c r="G2406" s="598">
        <v>428.0</v>
      </c>
      <c r="H2406" s="598">
        <v>1432.0</v>
      </c>
      <c r="I2406" s="598">
        <v>90.0</v>
      </c>
      <c r="J2406" s="598">
        <v>1895.0</v>
      </c>
      <c r="K2406" s="1561">
        <v>5429.0</v>
      </c>
      <c r="L2406" s="1551">
        <v>45181.0</v>
      </c>
    </row>
    <row r="2407">
      <c r="A2407" s="1545" t="s">
        <v>316</v>
      </c>
      <c r="B2407" s="1587">
        <v>27244.0</v>
      </c>
      <c r="C2407" s="1547">
        <v>1801.0</v>
      </c>
      <c r="D2407" s="1548">
        <v>32.3</v>
      </c>
      <c r="E2407" s="1557">
        <v>17388.0</v>
      </c>
      <c r="F2407" s="598">
        <v>8485.0</v>
      </c>
      <c r="G2407" s="598">
        <v>58.0</v>
      </c>
      <c r="H2407" s="598">
        <v>78.0</v>
      </c>
      <c r="I2407" s="598">
        <v>9.0</v>
      </c>
      <c r="J2407" s="598">
        <v>180.0</v>
      </c>
      <c r="K2407" s="1561">
        <v>1046.0</v>
      </c>
      <c r="L2407" s="1551">
        <v>40686.0</v>
      </c>
    </row>
    <row r="2408">
      <c r="A2408" s="1545" t="s">
        <v>1839</v>
      </c>
      <c r="B2408" s="1587">
        <v>31026.0</v>
      </c>
      <c r="C2408" s="1547">
        <v>2364.0</v>
      </c>
      <c r="D2408" s="1548">
        <v>37.7</v>
      </c>
      <c r="E2408" s="1557">
        <v>10249.0</v>
      </c>
      <c r="F2408" s="598">
        <v>19666.0</v>
      </c>
      <c r="G2408" s="598">
        <v>87.0</v>
      </c>
      <c r="H2408" s="598">
        <v>161.0</v>
      </c>
      <c r="I2408" s="598">
        <v>3.0</v>
      </c>
      <c r="J2408" s="598">
        <v>227.0</v>
      </c>
      <c r="K2408" s="1561">
        <v>633.0</v>
      </c>
      <c r="L2408" s="1615">
        <v>32814.0</v>
      </c>
    </row>
    <row r="2409">
      <c r="A2409" s="1528" t="s">
        <v>1196</v>
      </c>
      <c r="B2409" s="1595">
        <v>282090.0</v>
      </c>
      <c r="C2409" s="1530">
        <v>8521.0</v>
      </c>
      <c r="D2409" s="1567">
        <v>13.0</v>
      </c>
      <c r="E2409" s="1532">
        <v>191849.0</v>
      </c>
      <c r="F2409" s="1533">
        <v>51898.0</v>
      </c>
      <c r="G2409" s="1533">
        <v>2284.0</v>
      </c>
      <c r="H2409" s="1533">
        <v>8825.0</v>
      </c>
      <c r="I2409" s="1533">
        <v>128.0</v>
      </c>
      <c r="J2409" s="1533">
        <v>8346.0</v>
      </c>
      <c r="K2409" s="1616">
        <v>18760.0</v>
      </c>
      <c r="L2409" s="1617">
        <v>64904.0</v>
      </c>
    </row>
    <row r="2410">
      <c r="A2410" s="1538" t="s">
        <v>109</v>
      </c>
      <c r="B2410" s="1596">
        <v>886667.0</v>
      </c>
      <c r="C2410" s="1540">
        <v>34211.0</v>
      </c>
      <c r="D2410" s="1571">
        <v>16.1</v>
      </c>
      <c r="E2410" s="1572">
        <v>715336.0</v>
      </c>
      <c r="F2410" s="1542">
        <v>17842.0</v>
      </c>
      <c r="G2410" s="1542">
        <v>77748.0</v>
      </c>
      <c r="H2410" s="1542">
        <v>13476.0</v>
      </c>
      <c r="I2410" s="1542">
        <v>543.0</v>
      </c>
      <c r="J2410" s="1542">
        <v>15057.0</v>
      </c>
      <c r="K2410" s="1543">
        <v>46665.0</v>
      </c>
      <c r="L2410" s="1544">
        <v>57041.0</v>
      </c>
    </row>
    <row r="2411">
      <c r="A2411" s="1545" t="s">
        <v>1841</v>
      </c>
      <c r="B2411" s="1586">
        <v>2747.0</v>
      </c>
      <c r="C2411" s="1563">
        <v>89.0</v>
      </c>
      <c r="D2411" s="1548">
        <v>14.0</v>
      </c>
      <c r="E2411" s="1557">
        <v>2443.0</v>
      </c>
      <c r="F2411" s="598">
        <v>14.0</v>
      </c>
      <c r="G2411" s="598">
        <v>38.0</v>
      </c>
      <c r="H2411" s="598">
        <v>14.0</v>
      </c>
      <c r="I2411" s="598">
        <v>2.0</v>
      </c>
      <c r="J2411" s="598">
        <v>139.0</v>
      </c>
      <c r="K2411" s="1561">
        <v>97.0</v>
      </c>
      <c r="L2411" s="1551">
        <v>53107.0</v>
      </c>
    </row>
    <row r="2412">
      <c r="A2412" s="1545" t="s">
        <v>1842</v>
      </c>
      <c r="B2412" s="1587">
        <v>19149.0</v>
      </c>
      <c r="C2412" s="1563">
        <v>912.0</v>
      </c>
      <c r="D2412" s="1548">
        <v>18.3</v>
      </c>
      <c r="E2412" s="1557">
        <v>13861.0</v>
      </c>
      <c r="F2412" s="598">
        <v>165.0</v>
      </c>
      <c r="G2412" s="598">
        <v>328.0</v>
      </c>
      <c r="H2412" s="598">
        <v>2071.0</v>
      </c>
      <c r="I2412" s="598">
        <v>58.0</v>
      </c>
      <c r="J2412" s="598">
        <v>1342.0</v>
      </c>
      <c r="K2412" s="1561">
        <v>1324.0</v>
      </c>
      <c r="L2412" s="1551">
        <v>49712.0</v>
      </c>
    </row>
    <row r="2413">
      <c r="A2413" s="1545" t="s">
        <v>1843</v>
      </c>
      <c r="B2413" s="1587">
        <v>3381.0</v>
      </c>
      <c r="C2413" s="1563">
        <v>524.0</v>
      </c>
      <c r="D2413" s="1548">
        <v>44.7</v>
      </c>
      <c r="E2413" s="1557">
        <v>1011.0</v>
      </c>
      <c r="F2413" s="598">
        <v>7.0</v>
      </c>
      <c r="G2413" s="598">
        <v>2093.0</v>
      </c>
      <c r="H2413" s="598">
        <v>7.0</v>
      </c>
      <c r="I2413" s="598">
        <v>0.0</v>
      </c>
      <c r="J2413" s="598">
        <v>4.0</v>
      </c>
      <c r="K2413" s="1561">
        <v>259.0</v>
      </c>
      <c r="L2413" s="1551">
        <v>37071.0</v>
      </c>
    </row>
    <row r="2414">
      <c r="A2414" s="1545" t="s">
        <v>1844</v>
      </c>
      <c r="B2414" s="1587">
        <v>7003.0</v>
      </c>
      <c r="C2414" s="1563">
        <v>249.0</v>
      </c>
      <c r="D2414" s="1548">
        <v>19.2</v>
      </c>
      <c r="E2414" s="1557">
        <v>6194.0</v>
      </c>
      <c r="F2414" s="598">
        <v>107.0</v>
      </c>
      <c r="G2414" s="598">
        <v>459.0</v>
      </c>
      <c r="H2414" s="598">
        <v>11.0</v>
      </c>
      <c r="I2414" s="598">
        <v>5.0</v>
      </c>
      <c r="J2414" s="598">
        <v>71.0</v>
      </c>
      <c r="K2414" s="1561">
        <v>156.0</v>
      </c>
      <c r="L2414" s="1551">
        <v>50278.0</v>
      </c>
    </row>
    <row r="2415">
      <c r="A2415" s="1545" t="s">
        <v>1845</v>
      </c>
      <c r="B2415" s="1587">
        <v>34375.0</v>
      </c>
      <c r="C2415" s="1563">
        <v>654.0</v>
      </c>
      <c r="D2415" s="1548">
        <v>9.2</v>
      </c>
      <c r="E2415" s="1557">
        <v>30291.0</v>
      </c>
      <c r="F2415" s="598">
        <v>637.0</v>
      </c>
      <c r="G2415" s="598">
        <v>414.0</v>
      </c>
      <c r="H2415" s="598">
        <v>917.0</v>
      </c>
      <c r="I2415" s="598">
        <v>13.0</v>
      </c>
      <c r="J2415" s="598">
        <v>646.0</v>
      </c>
      <c r="K2415" s="1561">
        <v>1457.0</v>
      </c>
      <c r="L2415" s="1551">
        <v>62109.0</v>
      </c>
    </row>
    <row r="2416">
      <c r="A2416" s="1545" t="s">
        <v>706</v>
      </c>
      <c r="B2416" s="1587">
        <v>38301.0</v>
      </c>
      <c r="C2416" s="1547">
        <v>1057.0</v>
      </c>
      <c r="D2416" s="1548">
        <v>11.4</v>
      </c>
      <c r="E2416" s="1557">
        <v>33096.0</v>
      </c>
      <c r="F2416" s="598">
        <v>566.0</v>
      </c>
      <c r="G2416" s="598">
        <v>1198.0</v>
      </c>
      <c r="H2416" s="598">
        <v>922.0</v>
      </c>
      <c r="I2416" s="598">
        <v>45.0</v>
      </c>
      <c r="J2416" s="598">
        <v>700.0</v>
      </c>
      <c r="K2416" s="1561">
        <v>1774.0</v>
      </c>
      <c r="L2416" s="1551">
        <v>60082.0</v>
      </c>
    </row>
    <row r="2417">
      <c r="A2417" s="1545" t="s">
        <v>1846</v>
      </c>
      <c r="B2417" s="1587">
        <v>5247.0</v>
      </c>
      <c r="C2417" s="1563">
        <v>295.0</v>
      </c>
      <c r="D2417" s="1548">
        <v>22.4</v>
      </c>
      <c r="E2417" s="1557">
        <v>4365.0</v>
      </c>
      <c r="F2417" s="598">
        <v>33.0</v>
      </c>
      <c r="G2417" s="598">
        <v>518.0</v>
      </c>
      <c r="H2417" s="598">
        <v>26.0</v>
      </c>
      <c r="I2417" s="598">
        <v>5.0</v>
      </c>
      <c r="J2417" s="598">
        <v>19.0</v>
      </c>
      <c r="K2417" s="1561">
        <v>281.0</v>
      </c>
      <c r="L2417" s="1551">
        <v>49732.0</v>
      </c>
    </row>
    <row r="2418">
      <c r="A2418" s="1545" t="s">
        <v>1471</v>
      </c>
      <c r="B2418" s="1587">
        <v>1948.0</v>
      </c>
      <c r="C2418" s="1563">
        <v>405.0</v>
      </c>
      <c r="D2418" s="1548">
        <v>51.3</v>
      </c>
      <c r="E2418" s="1557">
        <v>286.0</v>
      </c>
      <c r="F2418" s="598">
        <v>0.0</v>
      </c>
      <c r="G2418" s="598">
        <v>1585.0</v>
      </c>
      <c r="H2418" s="598">
        <v>1.0</v>
      </c>
      <c r="I2418" s="598">
        <v>0.0</v>
      </c>
      <c r="J2418" s="598">
        <v>0.0</v>
      </c>
      <c r="K2418" s="1561">
        <v>76.0</v>
      </c>
      <c r="L2418" s="1551">
        <v>25973.0</v>
      </c>
    </row>
    <row r="2419">
      <c r="A2419" s="1545" t="s">
        <v>324</v>
      </c>
      <c r="B2419" s="1587">
        <v>10243.0</v>
      </c>
      <c r="C2419" s="1563">
        <v>464.0</v>
      </c>
      <c r="D2419" s="1548">
        <v>18.9</v>
      </c>
      <c r="E2419" s="1557">
        <v>9319.0</v>
      </c>
      <c r="F2419" s="598">
        <v>12.0</v>
      </c>
      <c r="G2419" s="598">
        <v>205.0</v>
      </c>
      <c r="H2419" s="598">
        <v>30.0</v>
      </c>
      <c r="I2419" s="598">
        <v>5.0</v>
      </c>
      <c r="J2419" s="598">
        <v>121.0</v>
      </c>
      <c r="K2419" s="1561">
        <v>551.0</v>
      </c>
      <c r="L2419" s="1551">
        <v>44388.0</v>
      </c>
    </row>
    <row r="2420">
      <c r="A2420" s="1545" t="s">
        <v>1036</v>
      </c>
      <c r="B2420" s="1587">
        <v>1377.0</v>
      </c>
      <c r="C2420" s="1563">
        <v>28.0</v>
      </c>
      <c r="D2420" s="1548">
        <v>13.3</v>
      </c>
      <c r="E2420" s="1557">
        <v>1282.0</v>
      </c>
      <c r="F2420" s="598">
        <v>0.0</v>
      </c>
      <c r="G2420" s="598">
        <v>31.0</v>
      </c>
      <c r="H2420" s="598">
        <v>6.0</v>
      </c>
      <c r="I2420" s="598">
        <v>0.0</v>
      </c>
      <c r="J2420" s="598">
        <v>7.0</v>
      </c>
      <c r="K2420" s="1561">
        <v>51.0</v>
      </c>
      <c r="L2420" s="1551">
        <v>45737.0</v>
      </c>
    </row>
    <row r="2421">
      <c r="A2421" s="1545" t="s">
        <v>1847</v>
      </c>
      <c r="B2421" s="1587">
        <v>9373.0</v>
      </c>
      <c r="C2421" s="1563">
        <v>751.0</v>
      </c>
      <c r="D2421" s="1548">
        <v>28.4</v>
      </c>
      <c r="E2421" s="1557">
        <v>5751.0</v>
      </c>
      <c r="F2421" s="598">
        <v>16.0</v>
      </c>
      <c r="G2421" s="598">
        <v>3098.0</v>
      </c>
      <c r="H2421" s="598">
        <v>31.0</v>
      </c>
      <c r="I2421" s="598">
        <v>18.0</v>
      </c>
      <c r="J2421" s="598">
        <v>47.0</v>
      </c>
      <c r="K2421" s="1561">
        <v>412.0</v>
      </c>
      <c r="L2421" s="1551">
        <v>47412.0</v>
      </c>
    </row>
    <row r="2422">
      <c r="A2422" s="1545" t="s">
        <v>253</v>
      </c>
      <c r="B2422" s="1587">
        <v>3837.0</v>
      </c>
      <c r="C2422" s="1563">
        <v>142.0</v>
      </c>
      <c r="D2422" s="1548">
        <v>18.9</v>
      </c>
      <c r="E2422" s="1557">
        <v>3617.0</v>
      </c>
      <c r="F2422" s="598">
        <v>12.0</v>
      </c>
      <c r="G2422" s="598">
        <v>24.0</v>
      </c>
      <c r="H2422" s="598">
        <v>7.0</v>
      </c>
      <c r="I2422" s="598">
        <v>2.0</v>
      </c>
      <c r="J2422" s="598">
        <v>65.0</v>
      </c>
      <c r="K2422" s="1561">
        <v>110.0</v>
      </c>
      <c r="L2422" s="1551">
        <v>48517.0</v>
      </c>
    </row>
    <row r="2423">
      <c r="A2423" s="1545" t="s">
        <v>112</v>
      </c>
      <c r="B2423" s="1587">
        <v>14967.0</v>
      </c>
      <c r="C2423" s="1563">
        <v>397.0</v>
      </c>
      <c r="D2423" s="1548">
        <v>16.3</v>
      </c>
      <c r="E2423" s="1557">
        <v>12809.0</v>
      </c>
      <c r="F2423" s="598">
        <v>235.0</v>
      </c>
      <c r="G2423" s="598">
        <v>600.0</v>
      </c>
      <c r="H2423" s="598">
        <v>361.0</v>
      </c>
      <c r="I2423" s="598">
        <v>4.0</v>
      </c>
      <c r="J2423" s="598">
        <v>158.0</v>
      </c>
      <c r="K2423" s="1561">
        <v>800.0</v>
      </c>
      <c r="L2423" s="1551">
        <v>46378.0</v>
      </c>
    </row>
    <row r="2424">
      <c r="A2424" s="1545" t="s">
        <v>1848</v>
      </c>
      <c r="B2424" s="1587">
        <v>28325.0</v>
      </c>
      <c r="C2424" s="1563">
        <v>822.0</v>
      </c>
      <c r="D2424" s="1548">
        <v>12.4</v>
      </c>
      <c r="E2424" s="1557">
        <v>26091.0</v>
      </c>
      <c r="F2424" s="598">
        <v>116.0</v>
      </c>
      <c r="G2424" s="598">
        <v>687.0</v>
      </c>
      <c r="H2424" s="598">
        <v>197.0</v>
      </c>
      <c r="I2424" s="598">
        <v>9.0</v>
      </c>
      <c r="J2424" s="598">
        <v>247.0</v>
      </c>
      <c r="K2424" s="1561">
        <v>978.0</v>
      </c>
      <c r="L2424" s="1551">
        <v>55580.0</v>
      </c>
    </row>
    <row r="2425">
      <c r="A2425" s="1545" t="s">
        <v>1849</v>
      </c>
      <c r="B2425" s="1587">
        <v>3902.0</v>
      </c>
      <c r="C2425" s="1563">
        <v>631.0</v>
      </c>
      <c r="D2425" s="1548">
        <v>41.4</v>
      </c>
      <c r="E2425" s="1557">
        <v>957.0</v>
      </c>
      <c r="F2425" s="598">
        <v>6.0</v>
      </c>
      <c r="G2425" s="598">
        <v>2734.0</v>
      </c>
      <c r="H2425" s="598">
        <v>20.0</v>
      </c>
      <c r="I2425" s="598">
        <v>0.0</v>
      </c>
      <c r="J2425" s="598">
        <v>7.0</v>
      </c>
      <c r="K2425" s="1561">
        <v>178.0</v>
      </c>
      <c r="L2425" s="1551">
        <v>34024.0</v>
      </c>
    </row>
    <row r="2426">
      <c r="A2426" s="1545" t="s">
        <v>406</v>
      </c>
      <c r="B2426" s="1587">
        <v>8318.0</v>
      </c>
      <c r="C2426" s="1563">
        <v>206.0</v>
      </c>
      <c r="D2426" s="1548">
        <v>17.4</v>
      </c>
      <c r="E2426" s="1557">
        <v>7585.0</v>
      </c>
      <c r="F2426" s="598">
        <v>32.0</v>
      </c>
      <c r="G2426" s="598">
        <v>175.0</v>
      </c>
      <c r="H2426" s="598">
        <v>25.0</v>
      </c>
      <c r="I2426" s="598">
        <v>1.0</v>
      </c>
      <c r="J2426" s="598">
        <v>82.0</v>
      </c>
      <c r="K2426" s="1561">
        <v>418.0</v>
      </c>
      <c r="L2426" s="1551">
        <v>58806.0</v>
      </c>
    </row>
    <row r="2427">
      <c r="A2427" s="1545" t="s">
        <v>1850</v>
      </c>
      <c r="B2427" s="1587">
        <v>19956.0</v>
      </c>
      <c r="C2427" s="1563">
        <v>607.0</v>
      </c>
      <c r="D2427" s="1548">
        <v>13.7</v>
      </c>
      <c r="E2427" s="1557">
        <v>17790.0</v>
      </c>
      <c r="F2427" s="598">
        <v>157.0</v>
      </c>
      <c r="G2427" s="598">
        <v>652.0</v>
      </c>
      <c r="H2427" s="598">
        <v>117.0</v>
      </c>
      <c r="I2427" s="598">
        <v>0.0</v>
      </c>
      <c r="J2427" s="598">
        <v>435.0</v>
      </c>
      <c r="K2427" s="1561">
        <v>805.0</v>
      </c>
      <c r="L2427" s="1551">
        <v>51724.0</v>
      </c>
    </row>
    <row r="2428">
      <c r="A2428" s="1545" t="s">
        <v>1851</v>
      </c>
      <c r="B2428" s="1587">
        <v>5449.0</v>
      </c>
      <c r="C2428" s="1563">
        <v>224.0</v>
      </c>
      <c r="D2428" s="1548">
        <v>18.1</v>
      </c>
      <c r="E2428" s="1557">
        <v>4627.0</v>
      </c>
      <c r="F2428" s="598">
        <v>7.0</v>
      </c>
      <c r="G2428" s="598">
        <v>538.0</v>
      </c>
      <c r="H2428" s="598">
        <v>22.0</v>
      </c>
      <c r="I2428" s="598">
        <v>5.0</v>
      </c>
      <c r="J2428" s="598">
        <v>18.0</v>
      </c>
      <c r="K2428" s="1561">
        <v>232.0</v>
      </c>
      <c r="L2428" s="1551">
        <v>48023.0</v>
      </c>
    </row>
    <row r="2429">
      <c r="A2429" s="1545" t="s">
        <v>1477</v>
      </c>
      <c r="B2429" s="1587">
        <v>4295.0</v>
      </c>
      <c r="C2429" s="1563">
        <v>113.0</v>
      </c>
      <c r="D2429" s="1548">
        <v>11.0</v>
      </c>
      <c r="E2429" s="1557">
        <v>4068.0</v>
      </c>
      <c r="F2429" s="598">
        <v>10.0</v>
      </c>
      <c r="G2429" s="598">
        <v>31.0</v>
      </c>
      <c r="H2429" s="598">
        <v>2.0</v>
      </c>
      <c r="I2429" s="598">
        <v>5.0</v>
      </c>
      <c r="J2429" s="598">
        <v>73.0</v>
      </c>
      <c r="K2429" s="1561">
        <v>106.0</v>
      </c>
      <c r="L2429" s="1551">
        <v>55404.0</v>
      </c>
    </row>
    <row r="2430">
      <c r="A2430" s="1545" t="s">
        <v>1723</v>
      </c>
      <c r="B2430" s="1587">
        <v>5239.0</v>
      </c>
      <c r="C2430" s="1563">
        <v>678.0</v>
      </c>
      <c r="D2430" s="1548">
        <v>30.9</v>
      </c>
      <c r="E2430" s="1557">
        <v>855.0</v>
      </c>
      <c r="F2430" s="598">
        <v>9.0</v>
      </c>
      <c r="G2430" s="598">
        <v>4136.0</v>
      </c>
      <c r="H2430" s="598">
        <v>6.0</v>
      </c>
      <c r="I2430" s="598">
        <v>0.0</v>
      </c>
      <c r="J2430" s="598">
        <v>14.0</v>
      </c>
      <c r="K2430" s="1561">
        <v>219.0</v>
      </c>
      <c r="L2430" s="1551">
        <v>41942.0</v>
      </c>
    </row>
    <row r="2431">
      <c r="A2431" s="1545" t="s">
        <v>412</v>
      </c>
      <c r="B2431" s="1587">
        <v>2835.0</v>
      </c>
      <c r="C2431" s="1563">
        <v>117.0</v>
      </c>
      <c r="D2431" s="1548">
        <v>16.2</v>
      </c>
      <c r="E2431" s="1557">
        <v>2664.0</v>
      </c>
      <c r="F2431" s="598">
        <v>7.0</v>
      </c>
      <c r="G2431" s="598">
        <v>36.0</v>
      </c>
      <c r="H2431" s="598">
        <v>3.0</v>
      </c>
      <c r="I2431" s="598">
        <v>2.0</v>
      </c>
      <c r="J2431" s="598">
        <v>15.0</v>
      </c>
      <c r="K2431" s="1561">
        <v>108.0</v>
      </c>
      <c r="L2431" s="1551">
        <v>55159.0</v>
      </c>
    </row>
    <row r="2432">
      <c r="A2432" s="1545" t="s">
        <v>1852</v>
      </c>
      <c r="B2432" s="1587">
        <v>3986.0</v>
      </c>
      <c r="C2432" s="1563">
        <v>127.0</v>
      </c>
      <c r="D2432" s="1548">
        <v>15.7</v>
      </c>
      <c r="E2432" s="1557">
        <v>3802.0</v>
      </c>
      <c r="F2432" s="598">
        <v>12.0</v>
      </c>
      <c r="G2432" s="598">
        <v>39.0</v>
      </c>
      <c r="H2432" s="598">
        <v>23.0</v>
      </c>
      <c r="I2432" s="598">
        <v>0.0</v>
      </c>
      <c r="J2432" s="598">
        <v>25.0</v>
      </c>
      <c r="K2432" s="1561">
        <v>85.0</v>
      </c>
      <c r="L2432" s="1551">
        <v>58977.0</v>
      </c>
    </row>
    <row r="2433">
      <c r="A2433" s="1545" t="s">
        <v>1853</v>
      </c>
      <c r="B2433" s="1587">
        <v>6973.0</v>
      </c>
      <c r="C2433" s="1563">
        <v>227.0</v>
      </c>
      <c r="D2433" s="1548">
        <v>19.8</v>
      </c>
      <c r="E2433" s="1557">
        <v>5992.0</v>
      </c>
      <c r="F2433" s="598">
        <v>35.0</v>
      </c>
      <c r="G2433" s="598">
        <v>416.0</v>
      </c>
      <c r="H2433" s="598">
        <v>47.0</v>
      </c>
      <c r="I2433" s="598">
        <v>11.0</v>
      </c>
      <c r="J2433" s="598">
        <v>59.0</v>
      </c>
      <c r="K2433" s="1561">
        <v>413.0</v>
      </c>
      <c r="L2433" s="1551">
        <v>46782.0</v>
      </c>
    </row>
    <row r="2434">
      <c r="A2434" s="1545" t="s">
        <v>1854</v>
      </c>
      <c r="B2434" s="1587">
        <v>2125.0</v>
      </c>
      <c r="C2434" s="1563">
        <v>98.0</v>
      </c>
      <c r="D2434" s="1548">
        <v>23.1</v>
      </c>
      <c r="E2434" s="1557">
        <v>2014.0</v>
      </c>
      <c r="F2434" s="598">
        <v>2.0</v>
      </c>
      <c r="G2434" s="598">
        <v>45.0</v>
      </c>
      <c r="H2434" s="598">
        <v>3.0</v>
      </c>
      <c r="I2434" s="598">
        <v>0.0</v>
      </c>
      <c r="J2434" s="598">
        <v>11.0</v>
      </c>
      <c r="K2434" s="1561">
        <v>50.0</v>
      </c>
      <c r="L2434" s="1551">
        <v>49068.0</v>
      </c>
    </row>
    <row r="2435">
      <c r="A2435" s="1545" t="s">
        <v>278</v>
      </c>
      <c r="B2435" s="1587">
        <v>7556.0</v>
      </c>
      <c r="C2435" s="1563">
        <v>189.0</v>
      </c>
      <c r="D2435" s="1548">
        <v>11.8</v>
      </c>
      <c r="E2435" s="1557">
        <v>6846.0</v>
      </c>
      <c r="F2435" s="598">
        <v>3.0</v>
      </c>
      <c r="G2435" s="598">
        <v>90.0</v>
      </c>
      <c r="H2435" s="598">
        <v>16.0</v>
      </c>
      <c r="I2435" s="598">
        <v>3.0</v>
      </c>
      <c r="J2435" s="598">
        <v>266.0</v>
      </c>
      <c r="K2435" s="1561">
        <v>332.0</v>
      </c>
      <c r="L2435" s="1551">
        <v>59813.0</v>
      </c>
    </row>
    <row r="2436">
      <c r="A2436" s="1545" t="s">
        <v>1855</v>
      </c>
      <c r="B2436" s="1587">
        <v>3994.0</v>
      </c>
      <c r="C2436" s="1563">
        <v>205.0</v>
      </c>
      <c r="D2436" s="1548">
        <v>21.1</v>
      </c>
      <c r="E2436" s="1557">
        <v>3504.0</v>
      </c>
      <c r="F2436" s="598">
        <v>9.0</v>
      </c>
      <c r="G2436" s="598">
        <v>266.0</v>
      </c>
      <c r="H2436" s="598">
        <v>22.0</v>
      </c>
      <c r="I2436" s="598">
        <v>4.0</v>
      </c>
      <c r="J2436" s="598">
        <v>17.0</v>
      </c>
      <c r="K2436" s="1561">
        <v>172.0</v>
      </c>
      <c r="L2436" s="1551">
        <v>40583.0</v>
      </c>
    </row>
    <row r="2437">
      <c r="A2437" s="1545" t="s">
        <v>1856</v>
      </c>
      <c r="B2437" s="1587">
        <v>1872.0</v>
      </c>
      <c r="C2437" s="1563">
        <v>56.0</v>
      </c>
      <c r="D2437" s="1548">
        <v>12.4</v>
      </c>
      <c r="E2437" s="1557">
        <v>1720.0</v>
      </c>
      <c r="F2437" s="598">
        <v>2.0</v>
      </c>
      <c r="G2437" s="598">
        <v>34.0</v>
      </c>
      <c r="H2437" s="598">
        <v>14.0</v>
      </c>
      <c r="I2437" s="598">
        <v>4.0</v>
      </c>
      <c r="J2437" s="598">
        <v>16.0</v>
      </c>
      <c r="K2437" s="1561">
        <v>82.0</v>
      </c>
      <c r="L2437" s="1551">
        <v>51801.0</v>
      </c>
    </row>
    <row r="2438">
      <c r="A2438" s="1545" t="s">
        <v>1857</v>
      </c>
      <c r="B2438" s="1587">
        <v>6164.0</v>
      </c>
      <c r="C2438" s="1563">
        <v>205.0</v>
      </c>
      <c r="D2438" s="1548">
        <v>10.8</v>
      </c>
      <c r="E2438" s="1557">
        <v>5727.0</v>
      </c>
      <c r="F2438" s="598">
        <v>5.0</v>
      </c>
      <c r="G2438" s="598">
        <v>50.0</v>
      </c>
      <c r="H2438" s="598">
        <v>13.0</v>
      </c>
      <c r="I2438" s="598">
        <v>6.0</v>
      </c>
      <c r="J2438" s="598">
        <v>187.0</v>
      </c>
      <c r="K2438" s="1561">
        <v>176.0</v>
      </c>
      <c r="L2438" s="1551">
        <v>65776.0</v>
      </c>
    </row>
    <row r="2439">
      <c r="A2439" s="1545" t="s">
        <v>1858</v>
      </c>
      <c r="B2439" s="1587">
        <v>3145.0</v>
      </c>
      <c r="C2439" s="1563">
        <v>90.0</v>
      </c>
      <c r="D2439" s="1548">
        <v>12.6</v>
      </c>
      <c r="E2439" s="1557">
        <v>3006.0</v>
      </c>
      <c r="F2439" s="598">
        <v>7.0</v>
      </c>
      <c r="G2439" s="598">
        <v>11.0</v>
      </c>
      <c r="H2439" s="598">
        <v>7.0</v>
      </c>
      <c r="I2439" s="598">
        <v>0.0</v>
      </c>
      <c r="J2439" s="598">
        <v>36.0</v>
      </c>
      <c r="K2439" s="1561">
        <v>78.0</v>
      </c>
      <c r="L2439" s="1551">
        <v>52568.0</v>
      </c>
    </row>
    <row r="2440">
      <c r="A2440" s="1545" t="s">
        <v>1859</v>
      </c>
      <c r="B2440" s="1587">
        <v>3461.0</v>
      </c>
      <c r="C2440" s="1563">
        <v>110.0</v>
      </c>
      <c r="D2440" s="1548">
        <v>12.9</v>
      </c>
      <c r="E2440" s="1557">
        <v>3330.0</v>
      </c>
      <c r="F2440" s="598">
        <v>5.0</v>
      </c>
      <c r="G2440" s="598">
        <v>6.0</v>
      </c>
      <c r="H2440" s="598">
        <v>0.0</v>
      </c>
      <c r="I2440" s="598">
        <v>5.0</v>
      </c>
      <c r="J2440" s="598">
        <v>19.0</v>
      </c>
      <c r="K2440" s="1561">
        <v>96.0</v>
      </c>
      <c r="L2440" s="1551">
        <v>63772.0</v>
      </c>
    </row>
    <row r="2441">
      <c r="A2441" s="1545" t="s">
        <v>1540</v>
      </c>
      <c r="B2441" s="1587">
        <v>1311.0</v>
      </c>
      <c r="C2441" s="1563">
        <v>26.0</v>
      </c>
      <c r="D2441" s="1548">
        <v>9.8</v>
      </c>
      <c r="E2441" s="1557">
        <v>1214.0</v>
      </c>
      <c r="F2441" s="598">
        <v>5.0</v>
      </c>
      <c r="G2441" s="598">
        <v>29.0</v>
      </c>
      <c r="H2441" s="598">
        <v>0.0</v>
      </c>
      <c r="I2441" s="598">
        <v>0.0</v>
      </c>
      <c r="J2441" s="598">
        <v>11.0</v>
      </c>
      <c r="K2441" s="1561">
        <v>52.0</v>
      </c>
      <c r="L2441" s="1551">
        <v>55017.0</v>
      </c>
    </row>
    <row r="2442">
      <c r="A2442" s="1545" t="s">
        <v>1730</v>
      </c>
      <c r="B2442" s="1587">
        <v>17765.0</v>
      </c>
      <c r="C2442" s="1563">
        <v>514.0</v>
      </c>
      <c r="D2442" s="1548">
        <v>12.3</v>
      </c>
      <c r="E2442" s="1557">
        <v>14232.0</v>
      </c>
      <c r="F2442" s="598">
        <v>91.0</v>
      </c>
      <c r="G2442" s="598">
        <v>2137.0</v>
      </c>
      <c r="H2442" s="598">
        <v>130.0</v>
      </c>
      <c r="I2442" s="598">
        <v>4.0</v>
      </c>
      <c r="J2442" s="598">
        <v>175.0</v>
      </c>
      <c r="K2442" s="1561">
        <v>996.0</v>
      </c>
      <c r="L2442" s="1551">
        <v>70093.0</v>
      </c>
    </row>
    <row r="2443">
      <c r="A2443" s="1545" t="s">
        <v>1860</v>
      </c>
      <c r="B2443" s="1587">
        <v>7427.0</v>
      </c>
      <c r="C2443" s="1563">
        <v>264.0</v>
      </c>
      <c r="D2443" s="1548">
        <v>17.1</v>
      </c>
      <c r="E2443" s="1557">
        <v>7068.0</v>
      </c>
      <c r="F2443" s="598">
        <v>9.0</v>
      </c>
      <c r="G2443" s="598">
        <v>92.0</v>
      </c>
      <c r="H2443" s="598">
        <v>21.0</v>
      </c>
      <c r="I2443" s="598">
        <v>0.0</v>
      </c>
      <c r="J2443" s="598">
        <v>79.0</v>
      </c>
      <c r="K2443" s="1561">
        <v>158.0</v>
      </c>
      <c r="L2443" s="1551">
        <v>54434.0</v>
      </c>
    </row>
    <row r="2444">
      <c r="A2444" s="1545" t="s">
        <v>1610</v>
      </c>
      <c r="B2444" s="1587">
        <v>1262.0</v>
      </c>
      <c r="C2444" s="1563">
        <v>34.0</v>
      </c>
      <c r="D2444" s="1548">
        <v>12.9</v>
      </c>
      <c r="E2444" s="1557">
        <v>1092.0</v>
      </c>
      <c r="F2444" s="598">
        <v>4.0</v>
      </c>
      <c r="G2444" s="598">
        <v>103.0</v>
      </c>
      <c r="H2444" s="598">
        <v>5.0</v>
      </c>
      <c r="I2444" s="598">
        <v>1.0</v>
      </c>
      <c r="J2444" s="598">
        <v>7.0</v>
      </c>
      <c r="K2444" s="1561">
        <v>50.0</v>
      </c>
      <c r="L2444" s="1551">
        <v>52496.0</v>
      </c>
    </row>
    <row r="2445">
      <c r="A2445" s="1545" t="s">
        <v>142</v>
      </c>
      <c r="B2445" s="1587">
        <v>2806.0</v>
      </c>
      <c r="C2445" s="1563">
        <v>453.0</v>
      </c>
      <c r="D2445" s="1548">
        <v>41.6</v>
      </c>
      <c r="E2445" s="1557">
        <v>1049.0</v>
      </c>
      <c r="F2445" s="598">
        <v>11.0</v>
      </c>
      <c r="G2445" s="598">
        <v>1548.0</v>
      </c>
      <c r="H2445" s="598">
        <v>7.0</v>
      </c>
      <c r="I2445" s="598">
        <v>4.0</v>
      </c>
      <c r="J2445" s="598">
        <v>8.0</v>
      </c>
      <c r="K2445" s="1561">
        <v>179.0</v>
      </c>
      <c r="L2445" s="1551">
        <v>34122.0</v>
      </c>
    </row>
    <row r="2446">
      <c r="A2446" s="1545" t="s">
        <v>1861</v>
      </c>
      <c r="B2446" s="1587">
        <v>1663.0</v>
      </c>
      <c r="C2446" s="1563">
        <v>86.0</v>
      </c>
      <c r="D2446" s="1548">
        <v>20.9</v>
      </c>
      <c r="E2446" s="1557">
        <v>1557.0</v>
      </c>
      <c r="F2446" s="598">
        <v>1.0</v>
      </c>
      <c r="G2446" s="598">
        <v>13.0</v>
      </c>
      <c r="H2446" s="598">
        <v>8.0</v>
      </c>
      <c r="I2446" s="598">
        <v>0.0</v>
      </c>
      <c r="J2446" s="598">
        <v>34.0</v>
      </c>
      <c r="K2446" s="1561">
        <v>50.0</v>
      </c>
      <c r="L2446" s="1551">
        <v>47689.0</v>
      </c>
    </row>
    <row r="2447">
      <c r="A2447" s="1545" t="s">
        <v>598</v>
      </c>
      <c r="B2447" s="1587">
        <v>917.0</v>
      </c>
      <c r="C2447" s="1563">
        <v>48.0</v>
      </c>
      <c r="D2447" s="1548">
        <v>23.8</v>
      </c>
      <c r="E2447" s="1557">
        <v>777.0</v>
      </c>
      <c r="F2447" s="598">
        <v>4.0</v>
      </c>
      <c r="G2447" s="598">
        <v>49.0</v>
      </c>
      <c r="H2447" s="598">
        <v>0.0</v>
      </c>
      <c r="I2447" s="598">
        <v>0.0</v>
      </c>
      <c r="J2447" s="598">
        <v>2.0</v>
      </c>
      <c r="K2447" s="1561">
        <v>85.0</v>
      </c>
      <c r="L2447" s="1551">
        <v>49609.0</v>
      </c>
    </row>
    <row r="2448">
      <c r="A2448" s="1545" t="s">
        <v>1862</v>
      </c>
      <c r="B2448" s="1587">
        <v>5187.0</v>
      </c>
      <c r="C2448" s="1563">
        <v>134.0</v>
      </c>
      <c r="D2448" s="1548">
        <v>12.4</v>
      </c>
      <c r="E2448" s="1557">
        <v>4964.0</v>
      </c>
      <c r="F2448" s="598">
        <v>8.0</v>
      </c>
      <c r="G2448" s="598">
        <v>25.0</v>
      </c>
      <c r="H2448" s="598">
        <v>11.0</v>
      </c>
      <c r="I2448" s="598">
        <v>7.0</v>
      </c>
      <c r="J2448" s="598">
        <v>38.0</v>
      </c>
      <c r="K2448" s="1561">
        <v>134.0</v>
      </c>
      <c r="L2448" s="1551">
        <v>54609.0</v>
      </c>
    </row>
    <row r="2449">
      <c r="A2449" s="1545" t="s">
        <v>337</v>
      </c>
      <c r="B2449" s="1587">
        <v>11059.0</v>
      </c>
      <c r="C2449" s="1563">
        <v>300.0</v>
      </c>
      <c r="D2449" s="1548">
        <v>11.9</v>
      </c>
      <c r="E2449" s="1557">
        <v>10138.0</v>
      </c>
      <c r="F2449" s="598">
        <v>107.0</v>
      </c>
      <c r="G2449" s="598">
        <v>128.0</v>
      </c>
      <c r="H2449" s="598">
        <v>71.0</v>
      </c>
      <c r="I2449" s="598">
        <v>12.0</v>
      </c>
      <c r="J2449" s="598">
        <v>179.0</v>
      </c>
      <c r="K2449" s="1561">
        <v>424.0</v>
      </c>
      <c r="L2449" s="1551">
        <v>60733.0</v>
      </c>
    </row>
    <row r="2450">
      <c r="A2450" s="1545" t="s">
        <v>146</v>
      </c>
      <c r="B2450" s="1587">
        <v>25768.0</v>
      </c>
      <c r="C2450" s="1563">
        <v>666.0</v>
      </c>
      <c r="D2450" s="1548">
        <v>14.7</v>
      </c>
      <c r="E2450" s="1557">
        <v>23319.0</v>
      </c>
      <c r="F2450" s="598">
        <v>135.0</v>
      </c>
      <c r="G2450" s="598">
        <v>552.0</v>
      </c>
      <c r="H2450" s="598">
        <v>196.0</v>
      </c>
      <c r="I2450" s="598">
        <v>22.0</v>
      </c>
      <c r="J2450" s="598">
        <v>188.0</v>
      </c>
      <c r="K2450" s="1561">
        <v>1356.0</v>
      </c>
      <c r="L2450" s="1551">
        <v>51774.0</v>
      </c>
    </row>
    <row r="2451">
      <c r="A2451" s="1545" t="s">
        <v>290</v>
      </c>
      <c r="B2451" s="1587">
        <v>65161.0</v>
      </c>
      <c r="C2451" s="1563">
        <v>628.0</v>
      </c>
      <c r="D2451" s="1548">
        <v>3.8</v>
      </c>
      <c r="E2451" s="1557">
        <v>58994.0</v>
      </c>
      <c r="F2451" s="598">
        <v>1132.0</v>
      </c>
      <c r="G2451" s="598">
        <v>483.0</v>
      </c>
      <c r="H2451" s="598">
        <v>1001.0</v>
      </c>
      <c r="I2451" s="598">
        <v>10.0</v>
      </c>
      <c r="J2451" s="598">
        <v>626.0</v>
      </c>
      <c r="K2451" s="1561">
        <v>2915.0</v>
      </c>
      <c r="L2451" s="1551">
        <v>84889.0</v>
      </c>
    </row>
    <row r="2452">
      <c r="A2452" s="1545" t="s">
        <v>1863</v>
      </c>
      <c r="B2452" s="1587">
        <v>3718.0</v>
      </c>
      <c r="C2452" s="1563">
        <v>334.0</v>
      </c>
      <c r="D2452" s="1548">
        <v>30.4</v>
      </c>
      <c r="E2452" s="1557">
        <v>1919.0</v>
      </c>
      <c r="F2452" s="598">
        <v>3.0</v>
      </c>
      <c r="G2452" s="598">
        <v>1640.0</v>
      </c>
      <c r="H2452" s="598">
        <v>4.0</v>
      </c>
      <c r="I2452" s="598">
        <v>0.0</v>
      </c>
      <c r="J2452" s="598">
        <v>9.0</v>
      </c>
      <c r="K2452" s="1561">
        <v>143.0</v>
      </c>
      <c r="L2452" s="1551">
        <v>47429.0</v>
      </c>
    </row>
    <row r="2453">
      <c r="A2453" s="1545" t="s">
        <v>1864</v>
      </c>
      <c r="B2453" s="1587">
        <v>5682.0</v>
      </c>
      <c r="C2453" s="1563">
        <v>194.0</v>
      </c>
      <c r="D2453" s="1548">
        <v>13.3</v>
      </c>
      <c r="E2453" s="1557">
        <v>5320.0</v>
      </c>
      <c r="F2453" s="598">
        <v>9.0</v>
      </c>
      <c r="G2453" s="598">
        <v>66.0</v>
      </c>
      <c r="H2453" s="598">
        <v>4.0</v>
      </c>
      <c r="I2453" s="598">
        <v>0.0</v>
      </c>
      <c r="J2453" s="598">
        <v>72.0</v>
      </c>
      <c r="K2453" s="1561">
        <v>211.0</v>
      </c>
      <c r="L2453" s="1551">
        <v>59913.0</v>
      </c>
    </row>
    <row r="2454">
      <c r="A2454" s="1545" t="s">
        <v>988</v>
      </c>
      <c r="B2454" s="1587">
        <v>2411.0</v>
      </c>
      <c r="C2454" s="1563">
        <v>114.0</v>
      </c>
      <c r="D2454" s="1548">
        <v>24.9</v>
      </c>
      <c r="E2454" s="1557">
        <v>2275.0</v>
      </c>
      <c r="F2454" s="598">
        <v>3.0</v>
      </c>
      <c r="G2454" s="598">
        <v>28.0</v>
      </c>
      <c r="H2454" s="598">
        <v>4.0</v>
      </c>
      <c r="I2454" s="598">
        <v>2.0</v>
      </c>
      <c r="J2454" s="598">
        <v>31.0</v>
      </c>
      <c r="K2454" s="1561">
        <v>68.0</v>
      </c>
      <c r="L2454" s="1551">
        <v>39850.0</v>
      </c>
    </row>
    <row r="2455">
      <c r="A2455" s="1545" t="s">
        <v>154</v>
      </c>
      <c r="B2455" s="1587">
        <v>4306.0</v>
      </c>
      <c r="C2455" s="1563">
        <v>187.0</v>
      </c>
      <c r="D2455" s="1548">
        <v>18.1</v>
      </c>
      <c r="E2455" s="1557">
        <v>3628.0</v>
      </c>
      <c r="F2455" s="598">
        <v>7.0</v>
      </c>
      <c r="G2455" s="598">
        <v>335.0</v>
      </c>
      <c r="H2455" s="598">
        <v>13.0</v>
      </c>
      <c r="I2455" s="598">
        <v>1.0</v>
      </c>
      <c r="J2455" s="598">
        <v>76.0</v>
      </c>
      <c r="K2455" s="1561">
        <v>246.0</v>
      </c>
      <c r="L2455" s="1551">
        <v>56862.0</v>
      </c>
    </row>
    <row r="2456">
      <c r="A2456" s="1545" t="s">
        <v>989</v>
      </c>
      <c r="B2456" s="1587">
        <v>29852.0</v>
      </c>
      <c r="C2456" s="1563">
        <v>735.0</v>
      </c>
      <c r="D2456" s="1548">
        <v>11.5</v>
      </c>
      <c r="E2456" s="1557">
        <v>25727.0</v>
      </c>
      <c r="F2456" s="598">
        <v>446.0</v>
      </c>
      <c r="G2456" s="598">
        <v>892.0</v>
      </c>
      <c r="H2456" s="598">
        <v>280.0</v>
      </c>
      <c r="I2456" s="598">
        <v>48.0</v>
      </c>
      <c r="J2456" s="598">
        <v>305.0</v>
      </c>
      <c r="K2456" s="1561">
        <v>2154.0</v>
      </c>
      <c r="L2456" s="1551">
        <v>59524.0</v>
      </c>
    </row>
    <row r="2457">
      <c r="A2457" s="1545" t="s">
        <v>1872</v>
      </c>
      <c r="B2457" s="1587">
        <v>1918.0</v>
      </c>
      <c r="C2457" s="1563">
        <v>240.0</v>
      </c>
      <c r="D2457" s="1548">
        <v>38.8</v>
      </c>
      <c r="E2457" s="1557">
        <v>655.0</v>
      </c>
      <c r="F2457" s="598">
        <v>1.0</v>
      </c>
      <c r="G2457" s="598">
        <v>1112.0</v>
      </c>
      <c r="H2457" s="598">
        <v>3.0</v>
      </c>
      <c r="I2457" s="598">
        <v>0.0</v>
      </c>
      <c r="J2457" s="598">
        <v>10.0</v>
      </c>
      <c r="K2457" s="1561">
        <v>137.0</v>
      </c>
      <c r="L2457" s="1551">
        <v>32780.0</v>
      </c>
    </row>
    <row r="2458">
      <c r="A2458" s="1545" t="s">
        <v>1874</v>
      </c>
      <c r="B2458" s="1587">
        <v>2298.0</v>
      </c>
      <c r="C2458" s="1563">
        <v>69.0</v>
      </c>
      <c r="D2458" s="1548">
        <v>13.7</v>
      </c>
      <c r="E2458" s="1557">
        <v>2186.0</v>
      </c>
      <c r="F2458" s="598">
        <v>4.0</v>
      </c>
      <c r="G2458" s="598">
        <v>11.0</v>
      </c>
      <c r="H2458" s="598">
        <v>6.0</v>
      </c>
      <c r="I2458" s="598">
        <v>0.0</v>
      </c>
      <c r="J2458" s="598">
        <v>16.0</v>
      </c>
      <c r="K2458" s="1561">
        <v>75.0</v>
      </c>
      <c r="L2458" s="1555">
        <v>50123.0</v>
      </c>
    </row>
    <row r="2459">
      <c r="A2459" s="1545" t="s">
        <v>1875</v>
      </c>
      <c r="B2459" s="1587">
        <v>197214.0</v>
      </c>
      <c r="C2459" s="1547">
        <v>4741.0</v>
      </c>
      <c r="D2459" s="1548">
        <v>9.8</v>
      </c>
      <c r="E2459" s="1557">
        <v>158352.0</v>
      </c>
      <c r="F2459" s="598">
        <v>11527.0</v>
      </c>
      <c r="G2459" s="598">
        <v>5350.0</v>
      </c>
      <c r="H2459" s="598">
        <v>4617.0</v>
      </c>
      <c r="I2459" s="598">
        <v>76.0</v>
      </c>
      <c r="J2459" s="598">
        <v>5630.0</v>
      </c>
      <c r="K2459" s="1561">
        <v>11662.0</v>
      </c>
      <c r="L2459" s="1551">
        <v>60033.0</v>
      </c>
    </row>
    <row r="2460">
      <c r="A2460" s="1545" t="s">
        <v>1876</v>
      </c>
      <c r="B2460" s="1587">
        <v>6336.0</v>
      </c>
      <c r="C2460" s="1563">
        <v>190.0</v>
      </c>
      <c r="D2460" s="1548">
        <v>11.4</v>
      </c>
      <c r="E2460" s="1557">
        <v>4847.0</v>
      </c>
      <c r="F2460" s="598">
        <v>19.0</v>
      </c>
      <c r="G2460" s="598">
        <v>763.0</v>
      </c>
      <c r="H2460" s="598">
        <v>86.0</v>
      </c>
      <c r="I2460" s="598">
        <v>3.0</v>
      </c>
      <c r="J2460" s="598">
        <v>205.0</v>
      </c>
      <c r="K2460" s="1561">
        <v>413.0</v>
      </c>
      <c r="L2460" s="1551">
        <v>57392.0</v>
      </c>
    </row>
    <row r="2461">
      <c r="A2461" s="1545" t="s">
        <v>1877</v>
      </c>
      <c r="B2461" s="1587">
        <v>13672.0</v>
      </c>
      <c r="C2461" s="1547">
        <v>3001.0</v>
      </c>
      <c r="D2461" s="1548">
        <v>56.6</v>
      </c>
      <c r="E2461" s="1557">
        <v>446.0</v>
      </c>
      <c r="F2461" s="598">
        <v>24.0</v>
      </c>
      <c r="G2461" s="598">
        <v>12822.0</v>
      </c>
      <c r="H2461" s="598">
        <v>39.0</v>
      </c>
      <c r="I2461" s="598">
        <v>0.0</v>
      </c>
      <c r="J2461" s="598">
        <v>45.0</v>
      </c>
      <c r="K2461" s="1561">
        <v>296.0</v>
      </c>
      <c r="L2461" s="1555">
        <v>31662.0</v>
      </c>
    </row>
    <row r="2462">
      <c r="A2462" s="1545" t="s">
        <v>1334</v>
      </c>
      <c r="B2462" s="1587">
        <v>109222.0</v>
      </c>
      <c r="C2462" s="1547">
        <v>4831.0</v>
      </c>
      <c r="D2462" s="1548">
        <v>19.2</v>
      </c>
      <c r="E2462" s="1557">
        <v>84558.0</v>
      </c>
      <c r="F2462" s="598">
        <v>1420.0</v>
      </c>
      <c r="G2462" s="598">
        <v>11701.0</v>
      </c>
      <c r="H2462" s="598">
        <v>1493.0</v>
      </c>
      <c r="I2462" s="598">
        <v>87.0</v>
      </c>
      <c r="J2462" s="598">
        <v>1372.0</v>
      </c>
      <c r="K2462" s="1561">
        <v>8591.0</v>
      </c>
      <c r="L2462" s="1555">
        <v>58738.0</v>
      </c>
    </row>
    <row r="2463">
      <c r="A2463" s="1545" t="s">
        <v>1498</v>
      </c>
      <c r="B2463" s="1587">
        <v>2835.0</v>
      </c>
      <c r="C2463" s="1563">
        <v>100.0</v>
      </c>
      <c r="D2463" s="1548">
        <v>16.6</v>
      </c>
      <c r="E2463" s="1557">
        <v>2659.0</v>
      </c>
      <c r="F2463" s="598">
        <v>2.0</v>
      </c>
      <c r="G2463" s="598">
        <v>66.0</v>
      </c>
      <c r="H2463" s="598">
        <v>7.0</v>
      </c>
      <c r="I2463" s="598">
        <v>3.0</v>
      </c>
      <c r="J2463" s="598">
        <v>8.0</v>
      </c>
      <c r="K2463" s="1561">
        <v>90.0</v>
      </c>
      <c r="L2463" s="1555">
        <v>55626.0</v>
      </c>
    </row>
    <row r="2464">
      <c r="A2464" s="1545" t="s">
        <v>1805</v>
      </c>
      <c r="B2464" s="1587">
        <v>2472.0</v>
      </c>
      <c r="C2464" s="1563">
        <v>71.0</v>
      </c>
      <c r="D2464" s="1548">
        <v>15.0</v>
      </c>
      <c r="E2464" s="1557">
        <v>2329.0</v>
      </c>
      <c r="F2464" s="598">
        <v>6.0</v>
      </c>
      <c r="G2464" s="598">
        <v>56.0</v>
      </c>
      <c r="H2464" s="598">
        <v>14.0</v>
      </c>
      <c r="I2464" s="598">
        <v>0.0</v>
      </c>
      <c r="J2464" s="598">
        <v>15.0</v>
      </c>
      <c r="K2464" s="1561">
        <v>52.0</v>
      </c>
      <c r="L2464" s="1555">
        <v>54722.0</v>
      </c>
    </row>
    <row r="2465">
      <c r="A2465" s="1545" t="s">
        <v>1879</v>
      </c>
      <c r="B2465" s="1587">
        <v>10280.0</v>
      </c>
      <c r="C2465" s="1563">
        <v>904.0</v>
      </c>
      <c r="D2465" s="1548">
        <v>31.0</v>
      </c>
      <c r="E2465" s="1557">
        <v>5605.0</v>
      </c>
      <c r="F2465" s="598">
        <v>33.0</v>
      </c>
      <c r="G2465" s="598">
        <v>4023.0</v>
      </c>
      <c r="H2465" s="598">
        <v>27.0</v>
      </c>
      <c r="I2465" s="598">
        <v>0.0</v>
      </c>
      <c r="J2465" s="598">
        <v>67.0</v>
      </c>
      <c r="K2465" s="1561">
        <v>525.0</v>
      </c>
      <c r="L2465" s="1555">
        <v>44709.0</v>
      </c>
    </row>
    <row r="2466">
      <c r="A2466" s="1545" t="s">
        <v>1880</v>
      </c>
      <c r="B2466" s="1587">
        <v>2330.0</v>
      </c>
      <c r="C2466" s="1563">
        <v>101.0</v>
      </c>
      <c r="D2466" s="1548">
        <v>18.2</v>
      </c>
      <c r="E2466" s="1557">
        <v>2186.0</v>
      </c>
      <c r="F2466" s="598">
        <v>2.0</v>
      </c>
      <c r="G2466" s="598">
        <v>25.0</v>
      </c>
      <c r="H2466" s="598">
        <v>10.0</v>
      </c>
      <c r="I2466" s="598">
        <v>0.0</v>
      </c>
      <c r="J2466" s="598">
        <v>10.0</v>
      </c>
      <c r="K2466" s="1561">
        <v>97.0</v>
      </c>
      <c r="L2466" s="1555">
        <v>54874.0</v>
      </c>
    </row>
    <row r="2467">
      <c r="A2467" s="1545" t="s">
        <v>1881</v>
      </c>
      <c r="B2467" s="1587">
        <v>6361.0</v>
      </c>
      <c r="C2467" s="1563">
        <v>222.0</v>
      </c>
      <c r="D2467" s="1548">
        <v>16.7</v>
      </c>
      <c r="E2467" s="1557">
        <v>6024.0</v>
      </c>
      <c r="F2467" s="598">
        <v>25.0</v>
      </c>
      <c r="G2467" s="598">
        <v>71.0</v>
      </c>
      <c r="H2467" s="598">
        <v>2.0</v>
      </c>
      <c r="I2467" s="598">
        <v>0.0</v>
      </c>
      <c r="J2467" s="598">
        <v>58.0</v>
      </c>
      <c r="K2467" s="1561">
        <v>181.0</v>
      </c>
      <c r="L2467" s="1555">
        <v>50590.0</v>
      </c>
    </row>
    <row r="2468">
      <c r="A2468" s="1545" t="s">
        <v>1882</v>
      </c>
      <c r="B2468" s="1587">
        <v>2980.0</v>
      </c>
      <c r="C2468" s="1563">
        <v>79.0</v>
      </c>
      <c r="D2468" s="1548">
        <v>11.0</v>
      </c>
      <c r="E2468" s="1557">
        <v>2568.0</v>
      </c>
      <c r="F2468" s="598">
        <v>12.0</v>
      </c>
      <c r="G2468" s="598">
        <v>194.0</v>
      </c>
      <c r="H2468" s="598">
        <v>8.0</v>
      </c>
      <c r="I2468" s="598">
        <v>9.0</v>
      </c>
      <c r="J2468" s="598">
        <v>9.0</v>
      </c>
      <c r="K2468" s="1561">
        <v>180.0</v>
      </c>
      <c r="L2468" s="1555">
        <v>69991.0</v>
      </c>
    </row>
    <row r="2469">
      <c r="A2469" s="1545" t="s">
        <v>1884</v>
      </c>
      <c r="B2469" s="1587">
        <v>1446.0</v>
      </c>
      <c r="C2469" s="1563">
        <v>30.0</v>
      </c>
      <c r="D2469" s="1548">
        <v>10.3</v>
      </c>
      <c r="E2469" s="1557">
        <v>1350.0</v>
      </c>
      <c r="F2469" s="598">
        <v>5.0</v>
      </c>
      <c r="G2469" s="598">
        <v>10.0</v>
      </c>
      <c r="H2469" s="598">
        <v>6.0</v>
      </c>
      <c r="I2469" s="598">
        <v>0.0</v>
      </c>
      <c r="J2469" s="598">
        <v>9.0</v>
      </c>
      <c r="K2469" s="1561">
        <v>66.0</v>
      </c>
      <c r="L2469" s="1555">
        <v>59457.0</v>
      </c>
    </row>
    <row r="2470">
      <c r="A2470" s="1545" t="s">
        <v>1135</v>
      </c>
      <c r="B2470" s="1587">
        <v>9319.0</v>
      </c>
      <c r="C2470" s="1547">
        <v>2273.0</v>
      </c>
      <c r="D2470" s="1548">
        <v>53.0</v>
      </c>
      <c r="E2470" s="1557">
        <v>710.0</v>
      </c>
      <c r="F2470" s="598">
        <v>10.0</v>
      </c>
      <c r="G2470" s="598">
        <v>8269.0</v>
      </c>
      <c r="H2470" s="598">
        <v>45.0</v>
      </c>
      <c r="I2470" s="598">
        <v>1.0</v>
      </c>
      <c r="J2470" s="598">
        <v>14.0</v>
      </c>
      <c r="K2470" s="1561">
        <v>270.0</v>
      </c>
      <c r="L2470" s="1555">
        <v>31876.0</v>
      </c>
    </row>
    <row r="2471">
      <c r="A2471" s="1545" t="s">
        <v>1885</v>
      </c>
      <c r="B2471" s="1587">
        <v>5624.0</v>
      </c>
      <c r="C2471" s="1563">
        <v>361.0</v>
      </c>
      <c r="D2471" s="1548">
        <v>28.9</v>
      </c>
      <c r="E2471" s="1557">
        <v>4325.0</v>
      </c>
      <c r="F2471" s="598">
        <v>10.0</v>
      </c>
      <c r="G2471" s="598">
        <v>986.0</v>
      </c>
      <c r="H2471" s="598">
        <v>5.0</v>
      </c>
      <c r="I2471" s="598">
        <v>0.0</v>
      </c>
      <c r="J2471" s="598">
        <v>22.0</v>
      </c>
      <c r="K2471" s="1561">
        <v>276.0</v>
      </c>
      <c r="L2471" s="1555">
        <v>45710.0</v>
      </c>
    </row>
    <row r="2472">
      <c r="A2472" s="1545" t="s">
        <v>642</v>
      </c>
      <c r="B2472" s="1587">
        <v>8673.0</v>
      </c>
      <c r="C2472" s="1563">
        <v>222.0</v>
      </c>
      <c r="D2472" s="1548">
        <v>11.0</v>
      </c>
      <c r="E2472" s="1557">
        <v>8109.0</v>
      </c>
      <c r="F2472" s="598">
        <v>37.0</v>
      </c>
      <c r="G2472" s="598">
        <v>58.0</v>
      </c>
      <c r="H2472" s="598">
        <v>15.0</v>
      </c>
      <c r="I2472" s="598">
        <v>2.0</v>
      </c>
      <c r="J2472" s="598">
        <v>109.0</v>
      </c>
      <c r="K2472" s="1561">
        <v>343.0</v>
      </c>
      <c r="L2472" s="1555">
        <v>62792.0</v>
      </c>
    </row>
    <row r="2473">
      <c r="A2473" s="1545" t="s">
        <v>316</v>
      </c>
      <c r="B2473" s="1587">
        <v>16811.0</v>
      </c>
      <c r="C2473" s="1563">
        <v>233.0</v>
      </c>
      <c r="D2473" s="1548">
        <v>6.2</v>
      </c>
      <c r="E2473" s="1557">
        <v>15131.0</v>
      </c>
      <c r="F2473" s="598">
        <v>172.0</v>
      </c>
      <c r="G2473" s="598">
        <v>146.0</v>
      </c>
      <c r="H2473" s="598">
        <v>249.0</v>
      </c>
      <c r="I2473" s="598">
        <v>27.0</v>
      </c>
      <c r="J2473" s="598">
        <v>244.0</v>
      </c>
      <c r="K2473" s="1561">
        <v>842.0</v>
      </c>
      <c r="L2473" s="1555">
        <v>80698.0</v>
      </c>
    </row>
    <row r="2474">
      <c r="A2474" s="1545" t="s">
        <v>1887</v>
      </c>
      <c r="B2474" s="1587">
        <v>5315.0</v>
      </c>
      <c r="C2474" s="1563">
        <v>250.0</v>
      </c>
      <c r="D2474" s="1548">
        <v>19.1</v>
      </c>
      <c r="E2474" s="1557">
        <v>4140.0</v>
      </c>
      <c r="F2474" s="598">
        <v>13.0</v>
      </c>
      <c r="G2474" s="598">
        <v>808.0</v>
      </c>
      <c r="H2474" s="598">
        <v>16.0</v>
      </c>
      <c r="I2474" s="598">
        <v>0.0</v>
      </c>
      <c r="J2474" s="598">
        <v>21.0</v>
      </c>
      <c r="K2474" s="1561">
        <v>317.0</v>
      </c>
      <c r="L2474" s="1555">
        <v>48394.0</v>
      </c>
    </row>
    <row r="2475">
      <c r="A2475" s="1545" t="s">
        <v>1889</v>
      </c>
      <c r="B2475" s="1587">
        <v>23310.0</v>
      </c>
      <c r="C2475" s="1563">
        <v>571.0</v>
      </c>
      <c r="D2475" s="1548">
        <v>12.0</v>
      </c>
      <c r="E2475" s="1557">
        <v>20573.0</v>
      </c>
      <c r="F2475" s="598">
        <v>317.0</v>
      </c>
      <c r="G2475" s="598">
        <v>695.0</v>
      </c>
      <c r="H2475" s="598">
        <v>129.0</v>
      </c>
      <c r="I2475" s="598">
        <v>9.0</v>
      </c>
      <c r="J2475" s="598">
        <v>505.0</v>
      </c>
      <c r="K2475" s="1561">
        <v>1082.0</v>
      </c>
      <c r="L2475" s="1615">
        <v>56535.0</v>
      </c>
    </row>
    <row r="2476">
      <c r="A2476" s="1528" t="s">
        <v>1890</v>
      </c>
      <c r="B2476" s="1595">
        <v>2413.0</v>
      </c>
      <c r="C2476" s="1582">
        <v>329.0</v>
      </c>
      <c r="D2476" s="1567">
        <v>42.8</v>
      </c>
      <c r="E2476" s="1532">
        <v>407.0</v>
      </c>
      <c r="F2476" s="1533">
        <v>0.0</v>
      </c>
      <c r="G2476" s="1533">
        <v>1925.0</v>
      </c>
      <c r="H2476" s="1533">
        <v>3.0</v>
      </c>
      <c r="I2476" s="1533">
        <v>3.0</v>
      </c>
      <c r="J2476" s="1533">
        <v>2.0</v>
      </c>
      <c r="K2476" s="1616">
        <v>73.0</v>
      </c>
      <c r="L2476" s="1617">
        <v>32341.0</v>
      </c>
    </row>
    <row r="2477">
      <c r="A2477" s="1538" t="s">
        <v>111</v>
      </c>
      <c r="B2477" s="1596">
        <v>6910840.0</v>
      </c>
      <c r="C2477" s="1540">
        <v>322616.0</v>
      </c>
      <c r="D2477" s="1571">
        <v>21.8</v>
      </c>
      <c r="E2477" s="1572">
        <v>4990938.0</v>
      </c>
      <c r="F2477" s="1542">
        <v>1092948.0</v>
      </c>
      <c r="G2477" s="1542">
        <v>28044.0</v>
      </c>
      <c r="H2477" s="1542">
        <v>135615.0</v>
      </c>
      <c r="I2477" s="1542">
        <v>4115.0</v>
      </c>
      <c r="J2477" s="1542">
        <v>246282.0</v>
      </c>
      <c r="K2477" s="1543">
        <v>412898.0</v>
      </c>
      <c r="L2477" s="1625">
        <v>52366.0</v>
      </c>
    </row>
    <row r="2478">
      <c r="A2478" s="1545" t="s">
        <v>954</v>
      </c>
      <c r="B2478" s="1586">
        <v>77123.0</v>
      </c>
      <c r="C2478" s="1547">
        <v>3450.0</v>
      </c>
      <c r="D2478" s="1548">
        <v>21.9</v>
      </c>
      <c r="E2478" s="1557">
        <v>66863.0</v>
      </c>
      <c r="F2478" s="598">
        <v>2888.0</v>
      </c>
      <c r="G2478" s="598">
        <v>302.0</v>
      </c>
      <c r="H2478" s="598">
        <v>981.0</v>
      </c>
      <c r="I2478" s="598">
        <v>53.0</v>
      </c>
      <c r="J2478" s="598">
        <v>1209.0</v>
      </c>
      <c r="K2478" s="1561">
        <v>4827.0</v>
      </c>
      <c r="L2478" s="1551">
        <v>50672.0</v>
      </c>
    </row>
    <row r="2479">
      <c r="A2479" s="1545" t="s">
        <v>1784</v>
      </c>
      <c r="B2479" s="1587">
        <v>50237.0</v>
      </c>
      <c r="C2479" s="1547">
        <v>2772.0</v>
      </c>
      <c r="D2479" s="1548">
        <v>22.8</v>
      </c>
      <c r="E2479" s="1557">
        <v>37996.0</v>
      </c>
      <c r="F2479" s="598">
        <v>3641.0</v>
      </c>
      <c r="G2479" s="598">
        <v>426.0</v>
      </c>
      <c r="H2479" s="598">
        <v>341.0</v>
      </c>
      <c r="I2479" s="598">
        <v>27.0</v>
      </c>
      <c r="J2479" s="598">
        <v>4539.0</v>
      </c>
      <c r="K2479" s="1561">
        <v>3267.0</v>
      </c>
      <c r="L2479" s="1551">
        <v>49860.0</v>
      </c>
    </row>
    <row r="2480">
      <c r="A2480" s="1545" t="s">
        <v>243</v>
      </c>
      <c r="B2480" s="1587">
        <v>15864.0</v>
      </c>
      <c r="C2480" s="1563">
        <v>950.0</v>
      </c>
      <c r="D2480" s="1548">
        <v>30.0</v>
      </c>
      <c r="E2480" s="1557">
        <v>14487.0</v>
      </c>
      <c r="F2480" s="598">
        <v>316.0</v>
      </c>
      <c r="G2480" s="598">
        <v>65.0</v>
      </c>
      <c r="H2480" s="598">
        <v>107.0</v>
      </c>
      <c r="I2480" s="598">
        <v>4.0</v>
      </c>
      <c r="J2480" s="598">
        <v>121.0</v>
      </c>
      <c r="K2480" s="1561">
        <v>764.0</v>
      </c>
      <c r="L2480" s="1551">
        <v>38940.0</v>
      </c>
    </row>
    <row r="2481">
      <c r="A2481" s="1545" t="s">
        <v>1893</v>
      </c>
      <c r="B2481" s="1587">
        <v>14913.0</v>
      </c>
      <c r="C2481" s="1563">
        <v>753.0</v>
      </c>
      <c r="D2481" s="1548">
        <v>35.0</v>
      </c>
      <c r="E2481" s="1557">
        <v>13258.0</v>
      </c>
      <c r="F2481" s="598">
        <v>786.0</v>
      </c>
      <c r="G2481" s="598">
        <v>74.0</v>
      </c>
      <c r="H2481" s="598">
        <v>38.0</v>
      </c>
      <c r="I2481" s="598">
        <v>0.0</v>
      </c>
      <c r="J2481" s="598">
        <v>187.0</v>
      </c>
      <c r="K2481" s="1561">
        <v>570.0</v>
      </c>
      <c r="L2481" s="1555">
        <v>40195.0</v>
      </c>
    </row>
    <row r="2482">
      <c r="A2482" s="1545" t="s">
        <v>77</v>
      </c>
      <c r="B2482" s="1587">
        <v>135280.0</v>
      </c>
      <c r="C2482" s="1547">
        <v>3502.0</v>
      </c>
      <c r="D2482" s="1548">
        <v>13.5</v>
      </c>
      <c r="E2482" s="1557">
        <v>119367.0</v>
      </c>
      <c r="F2482" s="598">
        <v>3628.0</v>
      </c>
      <c r="G2482" s="598">
        <v>521.0</v>
      </c>
      <c r="H2482" s="598">
        <v>1297.0</v>
      </c>
      <c r="I2482" s="598">
        <v>29.0</v>
      </c>
      <c r="J2482" s="598">
        <v>2376.0</v>
      </c>
      <c r="K2482" s="1561">
        <v>8062.0</v>
      </c>
      <c r="L2482" s="1555">
        <v>57939.0</v>
      </c>
    </row>
    <row r="2483">
      <c r="A2483" s="1545" t="s">
        <v>247</v>
      </c>
      <c r="B2483" s="1587">
        <v>108620.0</v>
      </c>
      <c r="C2483" s="1547">
        <v>4770.0</v>
      </c>
      <c r="D2483" s="1548">
        <v>20.9</v>
      </c>
      <c r="E2483" s="1557">
        <v>89555.0</v>
      </c>
      <c r="F2483" s="598">
        <v>5238.0</v>
      </c>
      <c r="G2483" s="598">
        <v>447.0</v>
      </c>
      <c r="H2483" s="598">
        <v>1199.0</v>
      </c>
      <c r="I2483" s="598">
        <v>131.0</v>
      </c>
      <c r="J2483" s="598">
        <v>3886.0</v>
      </c>
      <c r="K2483" s="1561">
        <v>8164.0</v>
      </c>
      <c r="L2483" s="1551">
        <v>50427.0</v>
      </c>
    </row>
    <row r="2484">
      <c r="A2484" s="1545" t="s">
        <v>1036</v>
      </c>
      <c r="B2484" s="1587">
        <v>39272.0</v>
      </c>
      <c r="C2484" s="1547">
        <v>2219.0</v>
      </c>
      <c r="D2484" s="1548">
        <v>27.8</v>
      </c>
      <c r="E2484" s="1557">
        <v>37267.0</v>
      </c>
      <c r="F2484" s="598">
        <v>133.0</v>
      </c>
      <c r="G2484" s="598">
        <v>84.0</v>
      </c>
      <c r="H2484" s="598">
        <v>98.0</v>
      </c>
      <c r="I2484" s="598">
        <v>0.0</v>
      </c>
      <c r="J2484" s="598">
        <v>241.0</v>
      </c>
      <c r="K2484" s="1561">
        <v>1449.0</v>
      </c>
      <c r="L2484" s="1551">
        <v>39443.0</v>
      </c>
    </row>
    <row r="2485">
      <c r="A2485" s="1545" t="s">
        <v>1896</v>
      </c>
      <c r="B2485" s="1587">
        <v>14506.0</v>
      </c>
      <c r="C2485" s="1563">
        <v>669.0</v>
      </c>
      <c r="D2485" s="1548">
        <v>22.0</v>
      </c>
      <c r="E2485" s="1557">
        <v>13187.0</v>
      </c>
      <c r="F2485" s="598">
        <v>203.0</v>
      </c>
      <c r="G2485" s="598">
        <v>34.0</v>
      </c>
      <c r="H2485" s="598">
        <v>43.0</v>
      </c>
      <c r="I2485" s="598">
        <v>4.0</v>
      </c>
      <c r="J2485" s="598">
        <v>142.0</v>
      </c>
      <c r="K2485" s="1561">
        <v>893.0</v>
      </c>
      <c r="L2485" s="1551">
        <v>51859.0</v>
      </c>
    </row>
    <row r="2486">
      <c r="A2486" s="1545" t="s">
        <v>248</v>
      </c>
      <c r="B2486" s="1587">
        <v>28440.0</v>
      </c>
      <c r="C2486" s="1547">
        <v>1617.0</v>
      </c>
      <c r="D2486" s="1548">
        <v>27.5</v>
      </c>
      <c r="E2486" s="1557">
        <v>23997.0</v>
      </c>
      <c r="F2486" s="598">
        <v>2457.0</v>
      </c>
      <c r="G2486" s="598">
        <v>86.0</v>
      </c>
      <c r="H2486" s="598">
        <v>124.0</v>
      </c>
      <c r="I2486" s="598">
        <v>13.0</v>
      </c>
      <c r="J2486" s="598">
        <v>344.0</v>
      </c>
      <c r="K2486" s="1561">
        <v>1419.0</v>
      </c>
      <c r="L2486" s="1551">
        <v>42025.0</v>
      </c>
    </row>
    <row r="2487">
      <c r="A2487" s="1545" t="s">
        <v>1038</v>
      </c>
      <c r="B2487" s="1587">
        <v>56356.0</v>
      </c>
      <c r="C2487" s="1547">
        <v>2973.0</v>
      </c>
      <c r="D2487" s="1548">
        <v>29.4</v>
      </c>
      <c r="E2487" s="1557">
        <v>52173.0</v>
      </c>
      <c r="F2487" s="598">
        <v>719.0</v>
      </c>
      <c r="G2487" s="598">
        <v>179.0</v>
      </c>
      <c r="H2487" s="598">
        <v>240.0</v>
      </c>
      <c r="I2487" s="598">
        <v>7.0</v>
      </c>
      <c r="J2487" s="598">
        <v>456.0</v>
      </c>
      <c r="K2487" s="1561">
        <v>2582.0</v>
      </c>
      <c r="L2487" s="1551">
        <v>39202.0</v>
      </c>
    </row>
    <row r="2488">
      <c r="A2488" s="1545" t="s">
        <v>1898</v>
      </c>
      <c r="B2488" s="1587">
        <v>41072.0</v>
      </c>
      <c r="C2488" s="1547">
        <v>1175.0</v>
      </c>
      <c r="D2488" s="1548">
        <v>13.4</v>
      </c>
      <c r="E2488" s="1557">
        <v>36788.0</v>
      </c>
      <c r="F2488" s="598">
        <v>819.0</v>
      </c>
      <c r="G2488" s="598">
        <v>135.0</v>
      </c>
      <c r="H2488" s="598">
        <v>191.0</v>
      </c>
      <c r="I2488" s="598">
        <v>26.0</v>
      </c>
      <c r="J2488" s="598">
        <v>780.0</v>
      </c>
      <c r="K2488" s="1561">
        <v>2333.0</v>
      </c>
      <c r="L2488" s="1551">
        <v>63241.0</v>
      </c>
    </row>
    <row r="2489">
      <c r="A2489" s="1545" t="s">
        <v>1789</v>
      </c>
      <c r="B2489" s="1587">
        <v>17341.0</v>
      </c>
      <c r="C2489" s="1563">
        <v>817.0</v>
      </c>
      <c r="D2489" s="1548">
        <v>22.0</v>
      </c>
      <c r="E2489" s="1557">
        <v>14614.0</v>
      </c>
      <c r="F2489" s="598">
        <v>1498.0</v>
      </c>
      <c r="G2489" s="598">
        <v>58.0</v>
      </c>
      <c r="H2489" s="598">
        <v>70.0</v>
      </c>
      <c r="I2489" s="598">
        <v>0.0</v>
      </c>
      <c r="J2489" s="598">
        <v>264.0</v>
      </c>
      <c r="K2489" s="1561">
        <v>837.0</v>
      </c>
      <c r="L2489" s="1551">
        <v>47508.0</v>
      </c>
    </row>
    <row r="2490">
      <c r="A2490" s="1545" t="s">
        <v>1151</v>
      </c>
      <c r="B2490" s="1587">
        <v>32043.0</v>
      </c>
      <c r="C2490" s="1547">
        <v>2075.0</v>
      </c>
      <c r="D2490" s="1548">
        <v>35.2</v>
      </c>
      <c r="E2490" s="1557">
        <v>30175.0</v>
      </c>
      <c r="F2490" s="598">
        <v>315.0</v>
      </c>
      <c r="G2490" s="598">
        <v>64.0</v>
      </c>
      <c r="H2490" s="598">
        <v>148.0</v>
      </c>
      <c r="I2490" s="598">
        <v>11.0</v>
      </c>
      <c r="J2490" s="598">
        <v>222.0</v>
      </c>
      <c r="K2490" s="1561">
        <v>1108.0</v>
      </c>
      <c r="L2490" s="1551">
        <v>37987.0</v>
      </c>
    </row>
    <row r="2491">
      <c r="A2491" s="1545" t="s">
        <v>112</v>
      </c>
      <c r="B2491" s="1587">
        <v>7581.0</v>
      </c>
      <c r="C2491" s="1563">
        <v>473.0</v>
      </c>
      <c r="D2491" s="1548">
        <v>30.7</v>
      </c>
      <c r="E2491" s="1557">
        <v>7247.0</v>
      </c>
      <c r="F2491" s="598">
        <v>76.0</v>
      </c>
      <c r="G2491" s="598">
        <v>19.0</v>
      </c>
      <c r="H2491" s="598">
        <v>9.0</v>
      </c>
      <c r="I2491" s="598">
        <v>1.0</v>
      </c>
      <c r="J2491" s="598">
        <v>53.0</v>
      </c>
      <c r="K2491" s="1561">
        <v>176.0</v>
      </c>
      <c r="L2491" s="1551">
        <v>34238.0</v>
      </c>
    </row>
    <row r="2492">
      <c r="A2492" s="1545" t="s">
        <v>1899</v>
      </c>
      <c r="B2492" s="1587">
        <v>35999.0</v>
      </c>
      <c r="C2492" s="1547">
        <v>2542.0</v>
      </c>
      <c r="D2492" s="1548">
        <v>35.7</v>
      </c>
      <c r="E2492" s="1557">
        <v>33028.0</v>
      </c>
      <c r="F2492" s="598">
        <v>583.0</v>
      </c>
      <c r="G2492" s="598">
        <v>162.0</v>
      </c>
      <c r="H2492" s="598">
        <v>164.0</v>
      </c>
      <c r="I2492" s="598">
        <v>11.0</v>
      </c>
      <c r="J2492" s="598">
        <v>304.0</v>
      </c>
      <c r="K2492" s="1561">
        <v>1747.0</v>
      </c>
      <c r="L2492" s="1551">
        <v>36192.0</v>
      </c>
    </row>
    <row r="2493">
      <c r="A2493" s="1545" t="s">
        <v>118</v>
      </c>
      <c r="B2493" s="1587">
        <v>57889.0</v>
      </c>
      <c r="C2493" s="1547">
        <v>3262.0</v>
      </c>
      <c r="D2493" s="1548">
        <v>25.1</v>
      </c>
      <c r="E2493" s="1557">
        <v>49686.0</v>
      </c>
      <c r="F2493" s="598">
        <v>2117.0</v>
      </c>
      <c r="G2493" s="598">
        <v>228.0</v>
      </c>
      <c r="H2493" s="598">
        <v>620.0</v>
      </c>
      <c r="I2493" s="598">
        <v>38.0</v>
      </c>
      <c r="J2493" s="598">
        <v>1569.0</v>
      </c>
      <c r="K2493" s="1561">
        <v>3631.0</v>
      </c>
      <c r="L2493" s="1551">
        <v>49494.0</v>
      </c>
    </row>
    <row r="2494">
      <c r="A2494" s="1545" t="s">
        <v>1900</v>
      </c>
      <c r="B2494" s="1587">
        <v>13911.0</v>
      </c>
      <c r="C2494" s="1563">
        <v>844.0</v>
      </c>
      <c r="D2494" s="1548">
        <v>25.4</v>
      </c>
      <c r="E2494" s="1557">
        <v>10240.0</v>
      </c>
      <c r="F2494" s="598">
        <v>1882.0</v>
      </c>
      <c r="G2494" s="598">
        <v>36.0</v>
      </c>
      <c r="H2494" s="598">
        <v>37.0</v>
      </c>
      <c r="I2494" s="598">
        <v>2.0</v>
      </c>
      <c r="J2494" s="598">
        <v>1003.0</v>
      </c>
      <c r="K2494" s="1561">
        <v>711.0</v>
      </c>
      <c r="L2494" s="1551">
        <v>44431.0</v>
      </c>
    </row>
    <row r="2495">
      <c r="A2495" s="1545" t="s">
        <v>713</v>
      </c>
      <c r="B2495" s="1587">
        <v>61145.0</v>
      </c>
      <c r="C2495" s="1547">
        <v>2491.0</v>
      </c>
      <c r="D2495" s="1548">
        <v>24.4</v>
      </c>
      <c r="E2495" s="1557">
        <v>56870.0</v>
      </c>
      <c r="F2495" s="598">
        <v>312.0</v>
      </c>
      <c r="G2495" s="598">
        <v>173.0</v>
      </c>
      <c r="H2495" s="598">
        <v>367.0</v>
      </c>
      <c r="I2495" s="598">
        <v>15.0</v>
      </c>
      <c r="J2495" s="598">
        <v>788.0</v>
      </c>
      <c r="K2495" s="1561">
        <v>2620.0</v>
      </c>
      <c r="L2495" s="1555">
        <v>46527.0</v>
      </c>
    </row>
    <row r="2496">
      <c r="A2496" s="1545" t="s">
        <v>570</v>
      </c>
      <c r="B2496" s="1587">
        <v>715884.0</v>
      </c>
      <c r="C2496" s="1547">
        <v>35887.0</v>
      </c>
      <c r="D2496" s="1548">
        <v>25.4</v>
      </c>
      <c r="E2496" s="1557">
        <v>400622.0</v>
      </c>
      <c r="F2496" s="598">
        <v>173092.0</v>
      </c>
      <c r="G2496" s="598">
        <v>3942.0</v>
      </c>
      <c r="H2496" s="598">
        <v>27869.0</v>
      </c>
      <c r="I2496" s="598">
        <v>354.0</v>
      </c>
      <c r="J2496" s="598">
        <v>56230.0</v>
      </c>
      <c r="K2496" s="1561">
        <v>53775.0</v>
      </c>
      <c r="L2496" s="1551">
        <v>60799.0</v>
      </c>
    </row>
    <row r="2497">
      <c r="A2497" s="1545" t="s">
        <v>563</v>
      </c>
      <c r="B2497" s="1587">
        <v>11435.0</v>
      </c>
      <c r="C2497" s="1563">
        <v>588.0</v>
      </c>
      <c r="D2497" s="1548">
        <v>24.3</v>
      </c>
      <c r="E2497" s="1557">
        <v>10565.0</v>
      </c>
      <c r="F2497" s="598">
        <v>270.0</v>
      </c>
      <c r="G2497" s="598">
        <v>9.0</v>
      </c>
      <c r="H2497" s="598">
        <v>42.0</v>
      </c>
      <c r="I2497" s="598">
        <v>5.0</v>
      </c>
      <c r="J2497" s="598">
        <v>153.0</v>
      </c>
      <c r="K2497" s="1561">
        <v>391.0</v>
      </c>
      <c r="L2497" s="1551">
        <v>42905.0</v>
      </c>
    </row>
    <row r="2498">
      <c r="A2498" s="1545" t="s">
        <v>2530</v>
      </c>
      <c r="B2498" s="1587">
        <v>20080.0</v>
      </c>
      <c r="C2498" s="1547">
        <v>1032.0</v>
      </c>
      <c r="D2498" s="1548">
        <v>24.4</v>
      </c>
      <c r="E2498" s="1557">
        <v>17763.0</v>
      </c>
      <c r="F2498" s="598">
        <v>245.0</v>
      </c>
      <c r="G2498" s="598">
        <v>81.0</v>
      </c>
      <c r="H2498" s="598">
        <v>76.0</v>
      </c>
      <c r="I2498" s="598">
        <v>5.0</v>
      </c>
      <c r="J2498" s="598">
        <v>831.0</v>
      </c>
      <c r="K2498" s="1561">
        <v>1079.0</v>
      </c>
      <c r="L2498" s="1551">
        <v>47420.0</v>
      </c>
    </row>
    <row r="2499">
      <c r="A2499" s="1545" t="s">
        <v>1902</v>
      </c>
      <c r="B2499" s="1587">
        <v>54315.0</v>
      </c>
      <c r="C2499" s="1547">
        <v>2459.0</v>
      </c>
      <c r="D2499" s="1548">
        <v>20.2</v>
      </c>
      <c r="E2499" s="1557">
        <v>47609.0</v>
      </c>
      <c r="F2499" s="598">
        <v>1962.0</v>
      </c>
      <c r="G2499" s="598">
        <v>242.0</v>
      </c>
      <c r="H2499" s="598">
        <v>312.0</v>
      </c>
      <c r="I2499" s="598">
        <v>11.0</v>
      </c>
      <c r="J2499" s="598">
        <v>1175.0</v>
      </c>
      <c r="K2499" s="1561">
        <v>3004.0</v>
      </c>
      <c r="L2499" s="1551">
        <v>56166.0</v>
      </c>
    </row>
    <row r="2500">
      <c r="A2500" s="1545" t="s">
        <v>1903</v>
      </c>
      <c r="B2500" s="1587">
        <v>36801.0</v>
      </c>
      <c r="C2500" s="1547">
        <v>2265.0</v>
      </c>
      <c r="D2500" s="1548">
        <v>26.0</v>
      </c>
      <c r="E2500" s="1557">
        <v>28611.0</v>
      </c>
      <c r="F2500" s="598">
        <v>5362.0</v>
      </c>
      <c r="G2500" s="598">
        <v>92.0</v>
      </c>
      <c r="H2500" s="598">
        <v>215.0</v>
      </c>
      <c r="I2500" s="598">
        <v>11.0</v>
      </c>
      <c r="J2500" s="598">
        <v>710.0</v>
      </c>
      <c r="K2500" s="1561">
        <v>1800.0</v>
      </c>
      <c r="L2500" s="1551">
        <v>44302.0</v>
      </c>
    </row>
    <row r="2501">
      <c r="A2501" s="1545" t="s">
        <v>135</v>
      </c>
      <c r="B2501" s="1587">
        <v>41990.0</v>
      </c>
      <c r="C2501" s="1547">
        <v>1563.0</v>
      </c>
      <c r="D2501" s="1548">
        <v>20.9</v>
      </c>
      <c r="E2501" s="1557">
        <v>27857.0</v>
      </c>
      <c r="F2501" s="598">
        <v>11080.0</v>
      </c>
      <c r="G2501" s="598">
        <v>103.0</v>
      </c>
      <c r="H2501" s="598">
        <v>269.0</v>
      </c>
      <c r="I2501" s="598">
        <v>21.0</v>
      </c>
      <c r="J2501" s="598">
        <v>755.0</v>
      </c>
      <c r="K2501" s="1561">
        <v>1905.0</v>
      </c>
      <c r="L2501" s="1551">
        <v>59529.0</v>
      </c>
    </row>
    <row r="2502">
      <c r="A2502" s="1545" t="s">
        <v>1905</v>
      </c>
      <c r="B2502" s="1587">
        <v>18489.0</v>
      </c>
      <c r="C2502" s="1547">
        <v>1123.0</v>
      </c>
      <c r="D2502" s="1548">
        <v>30.0</v>
      </c>
      <c r="E2502" s="1557">
        <v>17633.0</v>
      </c>
      <c r="F2502" s="598">
        <v>30.0</v>
      </c>
      <c r="G2502" s="598">
        <v>44.0</v>
      </c>
      <c r="H2502" s="598">
        <v>33.0</v>
      </c>
      <c r="I2502" s="598">
        <v>0.0</v>
      </c>
      <c r="J2502" s="598">
        <v>92.0</v>
      </c>
      <c r="K2502" s="1561">
        <v>657.0</v>
      </c>
      <c r="L2502" s="1551">
        <v>36687.0</v>
      </c>
    </row>
    <row r="2503">
      <c r="A2503" s="1545" t="s">
        <v>136</v>
      </c>
      <c r="B2503" s="1587">
        <v>42774.0</v>
      </c>
      <c r="C2503" s="1547">
        <v>1764.0</v>
      </c>
      <c r="D2503" s="1548">
        <v>21.4</v>
      </c>
      <c r="E2503" s="1557">
        <v>37256.0</v>
      </c>
      <c r="F2503" s="598">
        <v>1985.0</v>
      </c>
      <c r="G2503" s="598">
        <v>157.0</v>
      </c>
      <c r="H2503" s="598">
        <v>348.0</v>
      </c>
      <c r="I2503" s="598">
        <v>21.0</v>
      </c>
      <c r="J2503" s="598">
        <v>886.0</v>
      </c>
      <c r="K2503" s="1561">
        <v>2121.0</v>
      </c>
      <c r="L2503" s="1551">
        <v>50201.0</v>
      </c>
    </row>
    <row r="2504">
      <c r="A2504" s="1545" t="s">
        <v>763</v>
      </c>
      <c r="B2504" s="1587">
        <v>50429.0</v>
      </c>
      <c r="C2504" s="1547">
        <v>2676.0</v>
      </c>
      <c r="D2504" s="1548">
        <v>22.8</v>
      </c>
      <c r="E2504" s="1557">
        <v>38280.0</v>
      </c>
      <c r="F2504" s="598">
        <v>8965.0</v>
      </c>
      <c r="G2504" s="598">
        <v>130.0</v>
      </c>
      <c r="H2504" s="598">
        <v>206.0</v>
      </c>
      <c r="I2504" s="598">
        <v>17.0</v>
      </c>
      <c r="J2504" s="598">
        <v>738.0</v>
      </c>
      <c r="K2504" s="1561">
        <v>2093.0</v>
      </c>
      <c r="L2504" s="1551">
        <v>42720.0</v>
      </c>
    </row>
    <row r="2505">
      <c r="A2505" s="1545" t="s">
        <v>1907</v>
      </c>
      <c r="B2505" s="1587">
        <v>30346.0</v>
      </c>
      <c r="C2505" s="1547">
        <v>1384.0</v>
      </c>
      <c r="D2505" s="1548">
        <v>22.7</v>
      </c>
      <c r="E2505" s="1557">
        <v>25170.0</v>
      </c>
      <c r="F2505" s="598">
        <v>2936.0</v>
      </c>
      <c r="G2505" s="598">
        <v>126.0</v>
      </c>
      <c r="H2505" s="598">
        <v>181.0</v>
      </c>
      <c r="I2505" s="598">
        <v>9.0</v>
      </c>
      <c r="J2505" s="598">
        <v>269.0</v>
      </c>
      <c r="K2505" s="1561">
        <v>1655.0</v>
      </c>
      <c r="L2505" s="1551">
        <v>48024.0</v>
      </c>
    </row>
    <row r="2506">
      <c r="A2506" s="1545" t="s">
        <v>1908</v>
      </c>
      <c r="B2506" s="1587">
        <v>23527.0</v>
      </c>
      <c r="C2506" s="1547">
        <v>1159.0</v>
      </c>
      <c r="D2506" s="1548">
        <v>25.2</v>
      </c>
      <c r="E2506" s="1557">
        <v>21934.0</v>
      </c>
      <c r="F2506" s="598">
        <v>124.0</v>
      </c>
      <c r="G2506" s="598">
        <v>66.0</v>
      </c>
      <c r="H2506" s="598">
        <v>53.0</v>
      </c>
      <c r="I2506" s="598">
        <v>2.0</v>
      </c>
      <c r="J2506" s="598">
        <v>402.0</v>
      </c>
      <c r="K2506" s="1561">
        <v>946.0</v>
      </c>
      <c r="L2506" s="1555">
        <v>41829.0</v>
      </c>
    </row>
    <row r="2507">
      <c r="A2507" s="1545" t="s">
        <v>138</v>
      </c>
      <c r="B2507" s="1587">
        <v>70152.0</v>
      </c>
      <c r="C2507" s="1547">
        <v>3107.0</v>
      </c>
      <c r="D2507" s="1548">
        <v>23.9</v>
      </c>
      <c r="E2507" s="1557">
        <v>63841.0</v>
      </c>
      <c r="F2507" s="598">
        <v>1393.0</v>
      </c>
      <c r="G2507" s="598">
        <v>206.0</v>
      </c>
      <c r="H2507" s="598">
        <v>301.0</v>
      </c>
      <c r="I2507" s="598">
        <v>14.0</v>
      </c>
      <c r="J2507" s="598">
        <v>1054.0</v>
      </c>
      <c r="K2507" s="1561">
        <v>3343.0</v>
      </c>
      <c r="L2507" s="1551">
        <v>44366.0</v>
      </c>
    </row>
    <row r="2508">
      <c r="A2508" s="1545" t="s">
        <v>720</v>
      </c>
      <c r="B2508" s="1587">
        <v>13529.0</v>
      </c>
      <c r="C2508" s="1563">
        <v>782.0</v>
      </c>
      <c r="D2508" s="1548">
        <v>27.8</v>
      </c>
      <c r="E2508" s="1557">
        <v>12671.0</v>
      </c>
      <c r="F2508" s="598">
        <v>38.0</v>
      </c>
      <c r="G2508" s="598">
        <v>33.0</v>
      </c>
      <c r="H2508" s="598">
        <v>55.0</v>
      </c>
      <c r="I2508" s="598">
        <v>0.0</v>
      </c>
      <c r="J2508" s="598">
        <v>74.0</v>
      </c>
      <c r="K2508" s="1561">
        <v>658.0</v>
      </c>
      <c r="L2508" s="1551">
        <v>36317.0</v>
      </c>
    </row>
    <row r="2509">
      <c r="A2509" s="1545" t="s">
        <v>1911</v>
      </c>
      <c r="B2509" s="1587">
        <v>64499.0</v>
      </c>
      <c r="C2509" s="1547">
        <v>3523.0</v>
      </c>
      <c r="D2509" s="1548">
        <v>24.2</v>
      </c>
      <c r="E2509" s="1557">
        <v>51243.0</v>
      </c>
      <c r="F2509" s="598">
        <v>2206.0</v>
      </c>
      <c r="G2509" s="598">
        <v>470.0</v>
      </c>
      <c r="H2509" s="598">
        <v>722.0</v>
      </c>
      <c r="I2509" s="598">
        <v>308.0</v>
      </c>
      <c r="J2509" s="598">
        <v>4912.0</v>
      </c>
      <c r="K2509" s="1561">
        <v>4638.0</v>
      </c>
      <c r="L2509" s="1555">
        <v>44040.0</v>
      </c>
    </row>
    <row r="2510">
      <c r="A2510" s="1545" t="s">
        <v>497</v>
      </c>
      <c r="B2510" s="1587">
        <v>366207.0</v>
      </c>
      <c r="C2510" s="1547">
        <v>13428.0</v>
      </c>
      <c r="D2510" s="1548">
        <v>18.1</v>
      </c>
      <c r="E2510" s="1557">
        <v>254803.0</v>
      </c>
      <c r="F2510" s="598">
        <v>64428.0</v>
      </c>
      <c r="G2510" s="598">
        <v>1859.0</v>
      </c>
      <c r="H2510" s="598">
        <v>8212.0</v>
      </c>
      <c r="I2510" s="598">
        <v>171.0</v>
      </c>
      <c r="J2510" s="598">
        <v>12555.0</v>
      </c>
      <c r="K2510" s="1561">
        <v>24179.0</v>
      </c>
      <c r="L2510" s="1551">
        <v>57196.0</v>
      </c>
    </row>
    <row r="2511">
      <c r="A2511" s="1545" t="s">
        <v>587</v>
      </c>
      <c r="B2511" s="1587">
        <v>6662.0</v>
      </c>
      <c r="C2511" s="1563">
        <v>552.0</v>
      </c>
      <c r="D2511" s="1548">
        <v>41.1</v>
      </c>
      <c r="E2511" s="1557">
        <v>6391.0</v>
      </c>
      <c r="F2511" s="598">
        <v>35.0</v>
      </c>
      <c r="G2511" s="598">
        <v>26.0</v>
      </c>
      <c r="H2511" s="598">
        <v>1.0</v>
      </c>
      <c r="I2511" s="598">
        <v>2.0</v>
      </c>
      <c r="J2511" s="598">
        <v>26.0</v>
      </c>
      <c r="K2511" s="1561">
        <v>181.0</v>
      </c>
      <c r="L2511" s="1551">
        <v>30691.0</v>
      </c>
    </row>
    <row r="2512">
      <c r="A2512" s="1545" t="s">
        <v>1915</v>
      </c>
      <c r="B2512" s="1587">
        <v>25462.0</v>
      </c>
      <c r="C2512" s="1547">
        <v>1393.0</v>
      </c>
      <c r="D2512" s="1548">
        <v>28.8</v>
      </c>
      <c r="E2512" s="1557">
        <v>14073.0</v>
      </c>
      <c r="F2512" s="598">
        <v>10194.0</v>
      </c>
      <c r="G2512" s="598">
        <v>46.0</v>
      </c>
      <c r="H2512" s="598">
        <v>162.0</v>
      </c>
      <c r="I2512" s="598">
        <v>6.0</v>
      </c>
      <c r="J2512" s="598">
        <v>291.0</v>
      </c>
      <c r="K2512" s="1561">
        <v>690.0</v>
      </c>
      <c r="L2512" s="1551">
        <v>37834.0</v>
      </c>
    </row>
    <row r="2513">
      <c r="A2513" s="1545" t="s">
        <v>721</v>
      </c>
      <c r="B2513" s="1587">
        <v>26831.0</v>
      </c>
      <c r="C2513" s="1547">
        <v>1527.0</v>
      </c>
      <c r="D2513" s="1548">
        <v>29.3</v>
      </c>
      <c r="E2513" s="1557">
        <v>24468.0</v>
      </c>
      <c r="F2513" s="598">
        <v>810.0</v>
      </c>
      <c r="G2513" s="598">
        <v>105.0</v>
      </c>
      <c r="H2513" s="598">
        <v>148.0</v>
      </c>
      <c r="I2513" s="598">
        <v>4.0</v>
      </c>
      <c r="J2513" s="598">
        <v>236.0</v>
      </c>
      <c r="K2513" s="1561">
        <v>1060.0</v>
      </c>
      <c r="L2513" s="1551">
        <v>37690.0</v>
      </c>
    </row>
    <row r="2514">
      <c r="A2514" s="1545" t="s">
        <v>1917</v>
      </c>
      <c r="B2514" s="1587">
        <v>56721.0</v>
      </c>
      <c r="C2514" s="1547">
        <v>3042.0</v>
      </c>
      <c r="D2514" s="1548">
        <v>27.6</v>
      </c>
      <c r="E2514" s="1557">
        <v>53148.0</v>
      </c>
      <c r="F2514" s="598">
        <v>683.0</v>
      </c>
      <c r="G2514" s="598">
        <v>120.0</v>
      </c>
      <c r="H2514" s="598">
        <v>266.0</v>
      </c>
      <c r="I2514" s="598">
        <v>13.0</v>
      </c>
      <c r="J2514" s="598">
        <v>376.0</v>
      </c>
      <c r="K2514" s="1561">
        <v>2115.0</v>
      </c>
      <c r="L2514" s="1551">
        <v>42188.0</v>
      </c>
    </row>
    <row r="2515">
      <c r="A2515" s="1545" t="s">
        <v>1607</v>
      </c>
      <c r="B2515" s="1587">
        <v>17864.0</v>
      </c>
      <c r="C2515" s="1547">
        <v>1169.0</v>
      </c>
      <c r="D2515" s="1548">
        <v>30.8</v>
      </c>
      <c r="E2515" s="1557">
        <v>7695.0</v>
      </c>
      <c r="F2515" s="598">
        <v>9032.0</v>
      </c>
      <c r="G2515" s="598">
        <v>59.0</v>
      </c>
      <c r="H2515" s="598">
        <v>26.0</v>
      </c>
      <c r="I2515" s="598">
        <v>9.0</v>
      </c>
      <c r="J2515" s="598">
        <v>524.0</v>
      </c>
      <c r="K2515" s="1561">
        <v>519.0</v>
      </c>
      <c r="L2515" s="1551">
        <v>39574.0</v>
      </c>
    </row>
    <row r="2516">
      <c r="A2516" s="1545" t="s">
        <v>722</v>
      </c>
      <c r="B2516" s="1587">
        <v>27842.0</v>
      </c>
      <c r="C2516" s="1547">
        <v>1445.0</v>
      </c>
      <c r="D2516" s="1548">
        <v>23.2</v>
      </c>
      <c r="E2516" s="1557">
        <v>24079.0</v>
      </c>
      <c r="F2516" s="598">
        <v>1950.0</v>
      </c>
      <c r="G2516" s="598">
        <v>70.0</v>
      </c>
      <c r="H2516" s="598">
        <v>93.0</v>
      </c>
      <c r="I2516" s="598">
        <v>2.0</v>
      </c>
      <c r="J2516" s="598">
        <v>354.0</v>
      </c>
      <c r="K2516" s="1561">
        <v>1294.0</v>
      </c>
      <c r="L2516" s="1551">
        <v>43491.0</v>
      </c>
    </row>
    <row r="2517">
      <c r="A2517" s="1545" t="s">
        <v>140</v>
      </c>
      <c r="B2517" s="1587">
        <v>32199.0</v>
      </c>
      <c r="C2517" s="1547">
        <v>1907.0</v>
      </c>
      <c r="D2517" s="1548">
        <v>29.4</v>
      </c>
      <c r="E2517" s="1557">
        <v>27529.0</v>
      </c>
      <c r="F2517" s="598">
        <v>2339.0</v>
      </c>
      <c r="G2517" s="598">
        <v>96.0</v>
      </c>
      <c r="H2517" s="598">
        <v>212.0</v>
      </c>
      <c r="I2517" s="598">
        <v>7.0</v>
      </c>
      <c r="J2517" s="598">
        <v>417.0</v>
      </c>
      <c r="K2517" s="1561">
        <v>1599.0</v>
      </c>
      <c r="L2517" s="1551">
        <v>43159.0</v>
      </c>
    </row>
    <row r="2518">
      <c r="A2518" s="1545" t="s">
        <v>1097</v>
      </c>
      <c r="B2518" s="1587">
        <v>24925.0</v>
      </c>
      <c r="C2518" s="1547">
        <v>1225.0</v>
      </c>
      <c r="D2518" s="1548">
        <v>24.2</v>
      </c>
      <c r="E2518" s="1557">
        <v>22351.0</v>
      </c>
      <c r="F2518" s="598">
        <v>941.0</v>
      </c>
      <c r="G2518" s="598">
        <v>119.0</v>
      </c>
      <c r="H2518" s="598">
        <v>75.0</v>
      </c>
      <c r="I2518" s="598">
        <v>6.0</v>
      </c>
      <c r="J2518" s="598">
        <v>284.0</v>
      </c>
      <c r="K2518" s="1561">
        <v>1149.0</v>
      </c>
      <c r="L2518" s="1551">
        <v>44684.0</v>
      </c>
    </row>
    <row r="2519">
      <c r="A2519" s="1545" t="s">
        <v>141</v>
      </c>
      <c r="B2519" s="1587">
        <v>8283.0</v>
      </c>
      <c r="C2519" s="1563">
        <v>447.0</v>
      </c>
      <c r="D2519" s="1548">
        <v>25.2</v>
      </c>
      <c r="E2519" s="1557">
        <v>7557.0</v>
      </c>
      <c r="F2519" s="598">
        <v>210.0</v>
      </c>
      <c r="G2519" s="598">
        <v>47.0</v>
      </c>
      <c r="H2519" s="598">
        <v>16.0</v>
      </c>
      <c r="I2519" s="598">
        <v>8.0</v>
      </c>
      <c r="J2519" s="598">
        <v>90.0</v>
      </c>
      <c r="K2519" s="1561">
        <v>355.0</v>
      </c>
      <c r="L2519" s="1551">
        <v>44688.0</v>
      </c>
    </row>
    <row r="2520">
      <c r="A2520" s="1545" t="s">
        <v>1368</v>
      </c>
      <c r="B2520" s="1587">
        <v>18990.0</v>
      </c>
      <c r="C2520" s="1563">
        <v>772.0</v>
      </c>
      <c r="D2520" s="1548">
        <v>20.3</v>
      </c>
      <c r="E2520" s="1557">
        <v>17270.0</v>
      </c>
      <c r="F2520" s="598">
        <v>506.0</v>
      </c>
      <c r="G2520" s="598">
        <v>43.0</v>
      </c>
      <c r="H2520" s="598">
        <v>65.0</v>
      </c>
      <c r="I2520" s="598">
        <v>0.0</v>
      </c>
      <c r="J2520" s="598">
        <v>177.0</v>
      </c>
      <c r="K2520" s="1561">
        <v>929.0</v>
      </c>
      <c r="L2520" s="1551">
        <v>48056.0</v>
      </c>
    </row>
    <row r="2521">
      <c r="A2521" s="1545" t="s">
        <v>142</v>
      </c>
      <c r="B2521" s="1587">
        <v>11617.0</v>
      </c>
      <c r="C2521" s="1563">
        <v>610.0</v>
      </c>
      <c r="D2521" s="1548">
        <v>29.6</v>
      </c>
      <c r="E2521" s="1557">
        <v>10863.0</v>
      </c>
      <c r="F2521" s="598">
        <v>48.0</v>
      </c>
      <c r="G2521" s="598">
        <v>38.0</v>
      </c>
      <c r="H2521" s="598">
        <v>17.0</v>
      </c>
      <c r="I2521" s="598">
        <v>0.0</v>
      </c>
      <c r="J2521" s="598">
        <v>77.0</v>
      </c>
      <c r="K2521" s="1561">
        <v>574.0</v>
      </c>
      <c r="L2521" s="1551">
        <v>37563.0</v>
      </c>
    </row>
    <row r="2522">
      <c r="A2522" s="1545" t="s">
        <v>143</v>
      </c>
      <c r="B2522" s="1587">
        <v>54683.0</v>
      </c>
      <c r="C2522" s="1547">
        <v>2153.0</v>
      </c>
      <c r="D2522" s="1548">
        <v>20.9</v>
      </c>
      <c r="E2522" s="1557">
        <v>49561.0</v>
      </c>
      <c r="F2522" s="598">
        <v>802.0</v>
      </c>
      <c r="G2522" s="598">
        <v>180.0</v>
      </c>
      <c r="H2522" s="598">
        <v>273.0</v>
      </c>
      <c r="I2522" s="598">
        <v>20.0</v>
      </c>
      <c r="J2522" s="598">
        <v>1233.0</v>
      </c>
      <c r="K2522" s="1561">
        <v>2614.0</v>
      </c>
      <c r="L2522" s="1551">
        <v>49611.0</v>
      </c>
    </row>
    <row r="2523">
      <c r="A2523" s="1545" t="s">
        <v>288</v>
      </c>
      <c r="B2523" s="1587">
        <v>17948.0</v>
      </c>
      <c r="C2523" s="1563">
        <v>801.0</v>
      </c>
      <c r="D2523" s="1548">
        <v>27.9</v>
      </c>
      <c r="E2523" s="1557">
        <v>16233.0</v>
      </c>
      <c r="F2523" s="598">
        <v>730.0</v>
      </c>
      <c r="G2523" s="598">
        <v>46.0</v>
      </c>
      <c r="H2523" s="598">
        <v>27.0</v>
      </c>
      <c r="I2523" s="598">
        <v>9.0</v>
      </c>
      <c r="J2523" s="598">
        <v>255.0</v>
      </c>
      <c r="K2523" s="1561">
        <v>648.0</v>
      </c>
      <c r="L2523" s="1555">
        <v>35778.0</v>
      </c>
    </row>
    <row r="2524">
      <c r="A2524" s="1545" t="s">
        <v>728</v>
      </c>
      <c r="B2524" s="1587">
        <v>478971.0</v>
      </c>
      <c r="C2524" s="1547">
        <v>14622.0</v>
      </c>
      <c r="D2524" s="1548">
        <v>15.2</v>
      </c>
      <c r="E2524" s="1557">
        <v>379510.0</v>
      </c>
      <c r="F2524" s="598">
        <v>40360.0</v>
      </c>
      <c r="G2524" s="598">
        <v>2057.0</v>
      </c>
      <c r="H2524" s="598">
        <v>11962.0</v>
      </c>
      <c r="I2524" s="598">
        <v>319.0</v>
      </c>
      <c r="J2524" s="598">
        <v>13619.0</v>
      </c>
      <c r="K2524" s="1561">
        <v>31144.0</v>
      </c>
      <c r="L2524" s="1551">
        <v>55874.0</v>
      </c>
    </row>
    <row r="2525">
      <c r="A2525" s="1545" t="s">
        <v>337</v>
      </c>
      <c r="B2525" s="1587">
        <v>7005.0</v>
      </c>
      <c r="C2525" s="1563">
        <v>410.0</v>
      </c>
      <c r="D2525" s="1548">
        <v>41.2</v>
      </c>
      <c r="E2525" s="1557">
        <v>4825.0</v>
      </c>
      <c r="F2525" s="598">
        <v>1833.0</v>
      </c>
      <c r="G2525" s="598">
        <v>21.0</v>
      </c>
      <c r="H2525" s="598">
        <v>14.0</v>
      </c>
      <c r="I2525" s="598">
        <v>10.0</v>
      </c>
      <c r="J2525" s="598">
        <v>74.0</v>
      </c>
      <c r="K2525" s="1561">
        <v>228.0</v>
      </c>
      <c r="L2525" s="1551">
        <v>33709.0</v>
      </c>
    </row>
    <row r="2526">
      <c r="A2526" s="1545" t="s">
        <v>145</v>
      </c>
      <c r="B2526" s="1587">
        <v>25143.0</v>
      </c>
      <c r="C2526" s="1547">
        <v>1984.0</v>
      </c>
      <c r="D2526" s="1548">
        <v>34.6</v>
      </c>
      <c r="E2526" s="1557">
        <v>15144.0</v>
      </c>
      <c r="F2526" s="598">
        <v>8421.0</v>
      </c>
      <c r="G2526" s="598">
        <v>138.0</v>
      </c>
      <c r="H2526" s="598">
        <v>55.0</v>
      </c>
      <c r="I2526" s="598">
        <v>11.0</v>
      </c>
      <c r="J2526" s="598">
        <v>329.0</v>
      </c>
      <c r="K2526" s="1561">
        <v>1045.0</v>
      </c>
      <c r="L2526" s="1551">
        <v>38849.0</v>
      </c>
    </row>
    <row r="2527">
      <c r="A2527" s="1545" t="s">
        <v>146</v>
      </c>
      <c r="B2527" s="1587">
        <v>44159.0</v>
      </c>
      <c r="C2527" s="1547">
        <v>2641.0</v>
      </c>
      <c r="D2527" s="1548">
        <v>24.7</v>
      </c>
      <c r="E2527" s="1557">
        <v>40717.0</v>
      </c>
      <c r="F2527" s="598">
        <v>710.0</v>
      </c>
      <c r="G2527" s="598">
        <v>93.0</v>
      </c>
      <c r="H2527" s="598">
        <v>168.0</v>
      </c>
      <c r="I2527" s="598">
        <v>1.0</v>
      </c>
      <c r="J2527" s="598">
        <v>479.0</v>
      </c>
      <c r="K2527" s="1561">
        <v>1991.0</v>
      </c>
      <c r="L2527" s="1551">
        <v>43651.0</v>
      </c>
    </row>
    <row r="2528">
      <c r="A2528" s="1545" t="s">
        <v>682</v>
      </c>
      <c r="B2528" s="1587">
        <v>12582.0</v>
      </c>
      <c r="C2528" s="1563">
        <v>634.0</v>
      </c>
      <c r="D2528" s="1548">
        <v>24.8</v>
      </c>
      <c r="E2528" s="1557">
        <v>11654.0</v>
      </c>
      <c r="F2528" s="598">
        <v>189.0</v>
      </c>
      <c r="G2528" s="598">
        <v>31.0</v>
      </c>
      <c r="H2528" s="598">
        <v>55.0</v>
      </c>
      <c r="I2528" s="598">
        <v>5.0</v>
      </c>
      <c r="J2528" s="598">
        <v>118.0</v>
      </c>
      <c r="K2528" s="1561">
        <v>530.0</v>
      </c>
      <c r="L2528" s="1551">
        <v>40541.0</v>
      </c>
    </row>
    <row r="2529">
      <c r="A2529" s="1545" t="s">
        <v>290</v>
      </c>
      <c r="B2529" s="1587">
        <v>35319.0</v>
      </c>
      <c r="C2529" s="1547">
        <v>1366.0</v>
      </c>
      <c r="D2529" s="1548">
        <v>18.4</v>
      </c>
      <c r="E2529" s="1557">
        <v>30195.0</v>
      </c>
      <c r="F2529" s="598">
        <v>2204.0</v>
      </c>
      <c r="G2529" s="598">
        <v>136.0</v>
      </c>
      <c r="H2529" s="598">
        <v>178.0</v>
      </c>
      <c r="I2529" s="598">
        <v>20.0</v>
      </c>
      <c r="J2529" s="598">
        <v>497.0</v>
      </c>
      <c r="K2529" s="1561">
        <v>2089.0</v>
      </c>
      <c r="L2529" s="1551">
        <v>51249.0</v>
      </c>
    </row>
    <row r="2530">
      <c r="A2530" s="1545" t="s">
        <v>1930</v>
      </c>
      <c r="B2530" s="1587">
        <v>54886.0</v>
      </c>
      <c r="C2530" s="1547">
        <v>1614.0</v>
      </c>
      <c r="D2530" s="1548">
        <v>16.0</v>
      </c>
      <c r="E2530" s="1557">
        <v>47353.0</v>
      </c>
      <c r="F2530" s="598">
        <v>584.0</v>
      </c>
      <c r="G2530" s="598">
        <v>199.0</v>
      </c>
      <c r="H2530" s="598">
        <v>459.0</v>
      </c>
      <c r="I2530" s="598">
        <v>11.0</v>
      </c>
      <c r="J2530" s="598">
        <v>2942.0</v>
      </c>
      <c r="K2530" s="1561">
        <v>3338.0</v>
      </c>
      <c r="L2530" s="1551">
        <v>58186.0</v>
      </c>
    </row>
    <row r="2531">
      <c r="A2531" s="1545" t="s">
        <v>1933</v>
      </c>
      <c r="B2531" s="1587">
        <v>53276.0</v>
      </c>
      <c r="C2531" s="1547">
        <v>2413.0</v>
      </c>
      <c r="D2531" s="1548">
        <v>21.8</v>
      </c>
      <c r="E2531" s="1557">
        <v>46564.0</v>
      </c>
      <c r="F2531" s="598">
        <v>1870.0</v>
      </c>
      <c r="G2531" s="598">
        <v>182.0</v>
      </c>
      <c r="H2531" s="598">
        <v>430.0</v>
      </c>
      <c r="I2531" s="598">
        <v>22.0</v>
      </c>
      <c r="J2531" s="598">
        <v>915.0</v>
      </c>
      <c r="K2531" s="1561">
        <v>3293.0</v>
      </c>
      <c r="L2531" s="1551">
        <v>46029.0</v>
      </c>
    </row>
    <row r="2532">
      <c r="A2532" s="1545" t="s">
        <v>1935</v>
      </c>
      <c r="B2532" s="1587">
        <v>25866.0</v>
      </c>
      <c r="C2532" s="1547">
        <v>1225.0</v>
      </c>
      <c r="D2532" s="1548">
        <v>22.3</v>
      </c>
      <c r="E2532" s="1557">
        <v>22983.0</v>
      </c>
      <c r="F2532" s="598">
        <v>1550.0</v>
      </c>
      <c r="G2532" s="598">
        <v>65.0</v>
      </c>
      <c r="H2532" s="598">
        <v>79.0</v>
      </c>
      <c r="I2532" s="598">
        <v>0.0</v>
      </c>
      <c r="J2532" s="598">
        <v>177.0</v>
      </c>
      <c r="K2532" s="1561">
        <v>1012.0</v>
      </c>
      <c r="L2532" s="1551">
        <v>39859.0</v>
      </c>
    </row>
    <row r="2533">
      <c r="A2533" s="1545" t="s">
        <v>150</v>
      </c>
      <c r="B2533" s="1587">
        <v>25216.0</v>
      </c>
      <c r="C2533" s="1547">
        <v>1517.0</v>
      </c>
      <c r="D2533" s="1548">
        <v>26.0</v>
      </c>
      <c r="E2533" s="1557">
        <v>22795.0</v>
      </c>
      <c r="F2533" s="598">
        <v>121.0</v>
      </c>
      <c r="G2533" s="598">
        <v>102.0</v>
      </c>
      <c r="H2533" s="598">
        <v>45.0</v>
      </c>
      <c r="I2533" s="598">
        <v>8.0</v>
      </c>
      <c r="J2533" s="598">
        <v>905.0</v>
      </c>
      <c r="K2533" s="1561">
        <v>1240.0</v>
      </c>
      <c r="L2533" s="1555">
        <v>42265.0</v>
      </c>
    </row>
    <row r="2534">
      <c r="A2534" s="1545" t="s">
        <v>151</v>
      </c>
      <c r="B2534" s="1587">
        <v>98823.0</v>
      </c>
      <c r="C2534" s="1547">
        <v>6200.0</v>
      </c>
      <c r="D2534" s="1548">
        <v>28.9</v>
      </c>
      <c r="E2534" s="1557">
        <v>54249.0</v>
      </c>
      <c r="F2534" s="598">
        <v>36004.0</v>
      </c>
      <c r="G2534" s="598">
        <v>300.0</v>
      </c>
      <c r="H2534" s="598">
        <v>1236.0</v>
      </c>
      <c r="I2534" s="598">
        <v>19.0</v>
      </c>
      <c r="J2534" s="598">
        <v>2534.0</v>
      </c>
      <c r="K2534" s="1561">
        <v>4481.0</v>
      </c>
      <c r="L2534" s="1551">
        <v>46651.0</v>
      </c>
    </row>
    <row r="2535">
      <c r="A2535" s="1545" t="s">
        <v>153</v>
      </c>
      <c r="B2535" s="1587">
        <v>28837.0</v>
      </c>
      <c r="C2535" s="1547">
        <v>1385.0</v>
      </c>
      <c r="D2535" s="1548">
        <v>23.5</v>
      </c>
      <c r="E2535" s="1557">
        <v>25872.0</v>
      </c>
      <c r="F2535" s="598">
        <v>1047.0</v>
      </c>
      <c r="G2535" s="598">
        <v>111.0</v>
      </c>
      <c r="H2535" s="598">
        <v>157.0</v>
      </c>
      <c r="I2535" s="598">
        <v>2.0</v>
      </c>
      <c r="J2535" s="598">
        <v>250.0</v>
      </c>
      <c r="K2535" s="1561">
        <v>1398.0</v>
      </c>
      <c r="L2535" s="1551">
        <v>50819.0</v>
      </c>
    </row>
    <row r="2536">
      <c r="A2536" s="1545" t="s">
        <v>154</v>
      </c>
      <c r="B2536" s="1587">
        <v>34318.0</v>
      </c>
      <c r="C2536" s="1547">
        <v>1535.0</v>
      </c>
      <c r="D2536" s="1548">
        <v>19.9</v>
      </c>
      <c r="E2536" s="1557">
        <v>28704.0</v>
      </c>
      <c r="F2536" s="598">
        <v>2043.0</v>
      </c>
      <c r="G2536" s="598">
        <v>125.0</v>
      </c>
      <c r="H2536" s="598">
        <v>142.0</v>
      </c>
      <c r="I2536" s="598">
        <v>14.0</v>
      </c>
      <c r="J2536" s="598">
        <v>956.0</v>
      </c>
      <c r="K2536" s="1561">
        <v>2334.0</v>
      </c>
      <c r="L2536" s="1555">
        <v>51868.0</v>
      </c>
    </row>
    <row r="2537">
      <c r="A2537" s="1545" t="s">
        <v>1942</v>
      </c>
      <c r="B2537" s="1587">
        <v>100974.0</v>
      </c>
      <c r="C2537" s="1547">
        <v>3276.0</v>
      </c>
      <c r="D2537" s="1548">
        <v>15.2</v>
      </c>
      <c r="E2537" s="1557">
        <v>77837.0</v>
      </c>
      <c r="F2537" s="598">
        <v>11349.0</v>
      </c>
      <c r="G2537" s="598">
        <v>417.0</v>
      </c>
      <c r="H2537" s="598">
        <v>952.0</v>
      </c>
      <c r="I2537" s="598">
        <v>49.0</v>
      </c>
      <c r="J2537" s="598">
        <v>3401.0</v>
      </c>
      <c r="K2537" s="1561">
        <v>6969.0</v>
      </c>
      <c r="L2537" s="1551">
        <v>57337.0</v>
      </c>
    </row>
    <row r="2538">
      <c r="A2538" s="1545" t="s">
        <v>1690</v>
      </c>
      <c r="B2538" s="1587">
        <v>12758.0</v>
      </c>
      <c r="C2538" s="1563">
        <v>655.0</v>
      </c>
      <c r="D2538" s="1548">
        <v>26.6</v>
      </c>
      <c r="E2538" s="1557">
        <v>11894.0</v>
      </c>
      <c r="F2538" s="598">
        <v>134.0</v>
      </c>
      <c r="G2538" s="598">
        <v>58.0</v>
      </c>
      <c r="H2538" s="598">
        <v>26.0</v>
      </c>
      <c r="I2538" s="598">
        <v>1.0</v>
      </c>
      <c r="J2538" s="598">
        <v>109.0</v>
      </c>
      <c r="K2538" s="1561">
        <v>536.0</v>
      </c>
      <c r="L2538" s="1551">
        <v>50565.0</v>
      </c>
    </row>
    <row r="2539">
      <c r="A2539" s="1545" t="s">
        <v>156</v>
      </c>
      <c r="B2539" s="1587">
        <v>46250.0</v>
      </c>
      <c r="C2539" s="1547">
        <v>2201.0</v>
      </c>
      <c r="D2539" s="1548">
        <v>23.0</v>
      </c>
      <c r="E2539" s="1557">
        <v>41678.0</v>
      </c>
      <c r="F2539" s="598">
        <v>743.0</v>
      </c>
      <c r="G2539" s="598">
        <v>197.0</v>
      </c>
      <c r="H2539" s="598">
        <v>197.0</v>
      </c>
      <c r="I2539" s="598">
        <v>5.0</v>
      </c>
      <c r="J2539" s="598">
        <v>872.0</v>
      </c>
      <c r="K2539" s="1561">
        <v>2558.0</v>
      </c>
      <c r="L2539" s="1555">
        <v>45566.0</v>
      </c>
    </row>
    <row r="2540">
      <c r="A2540" s="1545" t="s">
        <v>157</v>
      </c>
      <c r="B2540" s="1587">
        <v>220069.0</v>
      </c>
      <c r="C2540" s="1547">
        <v>8972.0</v>
      </c>
      <c r="D2540" s="1548">
        <v>16.6</v>
      </c>
      <c r="E2540" s="1557">
        <v>137775.0</v>
      </c>
      <c r="F2540" s="598">
        <v>44569.0</v>
      </c>
      <c r="G2540" s="598">
        <v>1154.0</v>
      </c>
      <c r="H2540" s="598">
        <v>5202.0</v>
      </c>
      <c r="I2540" s="598">
        <v>1000.0</v>
      </c>
      <c r="J2540" s="598">
        <v>7890.0</v>
      </c>
      <c r="K2540" s="1561">
        <v>22479.0</v>
      </c>
      <c r="L2540" s="1551">
        <v>56102.0</v>
      </c>
    </row>
    <row r="2541">
      <c r="A2541" s="1545" t="s">
        <v>1615</v>
      </c>
      <c r="B2541" s="1587">
        <v>6461.0</v>
      </c>
      <c r="C2541" s="1563">
        <v>168.0</v>
      </c>
      <c r="D2541" s="1548">
        <v>14.1</v>
      </c>
      <c r="E2541" s="1557">
        <v>6030.0</v>
      </c>
      <c r="F2541" s="598">
        <v>103.0</v>
      </c>
      <c r="G2541" s="598">
        <v>25.0</v>
      </c>
      <c r="H2541" s="598">
        <v>30.0</v>
      </c>
      <c r="I2541" s="598">
        <v>1.0</v>
      </c>
      <c r="J2541" s="598">
        <v>23.0</v>
      </c>
      <c r="K2541" s="1561">
        <v>249.0</v>
      </c>
      <c r="L2541" s="1551">
        <v>58234.0</v>
      </c>
    </row>
    <row r="2542">
      <c r="A2542" s="1545" t="s">
        <v>158</v>
      </c>
      <c r="B2542" s="1587">
        <v>21035.0</v>
      </c>
      <c r="C2542" s="1547">
        <v>1088.0</v>
      </c>
      <c r="D2542" s="1548">
        <v>26.9</v>
      </c>
      <c r="E2542" s="1557">
        <v>19130.0</v>
      </c>
      <c r="F2542" s="598">
        <v>971.0</v>
      </c>
      <c r="G2542" s="598">
        <v>57.0</v>
      </c>
      <c r="H2542" s="598">
        <v>46.0</v>
      </c>
      <c r="I2542" s="598">
        <v>8.0</v>
      </c>
      <c r="J2542" s="598">
        <v>164.0</v>
      </c>
      <c r="K2542" s="1561">
        <v>659.0</v>
      </c>
      <c r="L2542" s="1551">
        <v>40397.0</v>
      </c>
    </row>
    <row r="2543">
      <c r="A2543" s="1545" t="s">
        <v>1957</v>
      </c>
      <c r="B2543" s="1587">
        <v>30787.0</v>
      </c>
      <c r="C2543" s="1547">
        <v>1656.0</v>
      </c>
      <c r="D2543" s="1548">
        <v>25.6</v>
      </c>
      <c r="E2543" s="1557">
        <v>25009.0</v>
      </c>
      <c r="F2543" s="598">
        <v>3159.0</v>
      </c>
      <c r="G2543" s="598">
        <v>67.0</v>
      </c>
      <c r="H2543" s="598">
        <v>103.0</v>
      </c>
      <c r="I2543" s="598">
        <v>0.0</v>
      </c>
      <c r="J2543" s="598">
        <v>877.0</v>
      </c>
      <c r="K2543" s="1561">
        <v>1572.0</v>
      </c>
      <c r="L2543" s="1551">
        <v>42532.0</v>
      </c>
    </row>
    <row r="2544">
      <c r="A2544" s="1545" t="s">
        <v>1960</v>
      </c>
      <c r="B2544" s="1587">
        <v>22511.0</v>
      </c>
      <c r="C2544" s="1563">
        <v>953.0</v>
      </c>
      <c r="D2544" s="1548">
        <v>20.8</v>
      </c>
      <c r="E2544" s="1557">
        <v>21332.0</v>
      </c>
      <c r="F2544" s="598">
        <v>89.0</v>
      </c>
      <c r="G2544" s="598">
        <v>66.0</v>
      </c>
      <c r="H2544" s="598">
        <v>61.0</v>
      </c>
      <c r="I2544" s="598">
        <v>0.0</v>
      </c>
      <c r="J2544" s="598">
        <v>115.0</v>
      </c>
      <c r="K2544" s="1561">
        <v>848.0</v>
      </c>
      <c r="L2544" s="1551">
        <v>42149.0</v>
      </c>
    </row>
    <row r="2545">
      <c r="A2545" s="1545" t="s">
        <v>159</v>
      </c>
      <c r="B2545" s="1587">
        <v>8366.0</v>
      </c>
      <c r="C2545" s="1563">
        <v>464.0</v>
      </c>
      <c r="D2545" s="1548">
        <v>26.4</v>
      </c>
      <c r="E2545" s="1557">
        <v>7748.0</v>
      </c>
      <c r="F2545" s="598">
        <v>199.0</v>
      </c>
      <c r="G2545" s="598">
        <v>47.0</v>
      </c>
      <c r="H2545" s="598">
        <v>26.0</v>
      </c>
      <c r="I2545" s="598">
        <v>1.0</v>
      </c>
      <c r="J2545" s="598">
        <v>53.0</v>
      </c>
      <c r="K2545" s="1561">
        <v>292.0</v>
      </c>
      <c r="L2545" s="1551">
        <v>41960.0</v>
      </c>
    </row>
    <row r="2546">
      <c r="A2546" s="1545" t="s">
        <v>1965</v>
      </c>
      <c r="B2546" s="1587">
        <v>5001.0</v>
      </c>
      <c r="C2546" s="1563">
        <v>214.0</v>
      </c>
      <c r="D2546" s="1548">
        <v>24.3</v>
      </c>
      <c r="E2546" s="1557">
        <v>4829.0</v>
      </c>
      <c r="F2546" s="598">
        <v>8.0</v>
      </c>
      <c r="G2546" s="598">
        <v>8.0</v>
      </c>
      <c r="H2546" s="598">
        <v>15.0</v>
      </c>
      <c r="I2546" s="598">
        <v>1.0</v>
      </c>
      <c r="J2546" s="598">
        <v>41.0</v>
      </c>
      <c r="K2546" s="1561">
        <v>99.0</v>
      </c>
      <c r="L2546" s="1551">
        <v>40182.0</v>
      </c>
    </row>
    <row r="2547">
      <c r="A2547" s="1545" t="s">
        <v>302</v>
      </c>
      <c r="B2547" s="1587">
        <v>17544.0</v>
      </c>
      <c r="C2547" s="1563">
        <v>724.0</v>
      </c>
      <c r="D2547" s="1548">
        <v>22.4</v>
      </c>
      <c r="E2547" s="1557">
        <v>16430.0</v>
      </c>
      <c r="F2547" s="598">
        <v>62.0</v>
      </c>
      <c r="G2547" s="598">
        <v>67.0</v>
      </c>
      <c r="H2547" s="598">
        <v>33.0</v>
      </c>
      <c r="I2547" s="598">
        <v>10.0</v>
      </c>
      <c r="J2547" s="598">
        <v>117.0</v>
      </c>
      <c r="K2547" s="1561">
        <v>825.0</v>
      </c>
      <c r="L2547" s="1555">
        <v>41968.0</v>
      </c>
    </row>
    <row r="2548">
      <c r="A2548" s="1545" t="s">
        <v>518</v>
      </c>
      <c r="B2548" s="1587">
        <v>79854.0</v>
      </c>
      <c r="C2548" s="1547">
        <v>3008.0</v>
      </c>
      <c r="D2548" s="1548">
        <v>18.7</v>
      </c>
      <c r="E2548" s="1557">
        <v>67940.0</v>
      </c>
      <c r="F2548" s="598">
        <v>2188.0</v>
      </c>
      <c r="G2548" s="598">
        <v>707.0</v>
      </c>
      <c r="H2548" s="598">
        <v>1093.0</v>
      </c>
      <c r="I2548" s="598">
        <v>52.0</v>
      </c>
      <c r="J2548" s="598">
        <v>3293.0</v>
      </c>
      <c r="K2548" s="1561">
        <v>4581.0</v>
      </c>
      <c r="L2548" s="1551">
        <v>45512.0</v>
      </c>
    </row>
    <row r="2549">
      <c r="A2549" s="1545" t="s">
        <v>1973</v>
      </c>
      <c r="B2549" s="1587">
        <v>32870.0</v>
      </c>
      <c r="C2549" s="1547">
        <v>1987.0</v>
      </c>
      <c r="D2549" s="1548">
        <v>27.2</v>
      </c>
      <c r="E2549" s="1557">
        <v>28987.0</v>
      </c>
      <c r="F2549" s="598">
        <v>604.0</v>
      </c>
      <c r="G2549" s="598">
        <v>183.0</v>
      </c>
      <c r="H2549" s="598">
        <v>195.0</v>
      </c>
      <c r="I2549" s="598">
        <v>11.0</v>
      </c>
      <c r="J2549" s="598">
        <v>1126.0</v>
      </c>
      <c r="K2549" s="1561">
        <v>1764.0</v>
      </c>
      <c r="L2549" s="1551">
        <v>44132.0</v>
      </c>
    </row>
    <row r="2550">
      <c r="A2550" s="1545" t="s">
        <v>1976</v>
      </c>
      <c r="B2550" s="1587">
        <v>53404.0</v>
      </c>
      <c r="C2550" s="1547">
        <v>2156.0</v>
      </c>
      <c r="D2550" s="1548">
        <v>22.0</v>
      </c>
      <c r="E2550" s="1557">
        <v>48463.0</v>
      </c>
      <c r="F2550" s="598">
        <v>1303.0</v>
      </c>
      <c r="G2550" s="598">
        <v>204.0</v>
      </c>
      <c r="H2550" s="598">
        <v>342.0</v>
      </c>
      <c r="I2550" s="598">
        <v>21.0</v>
      </c>
      <c r="J2550" s="598">
        <v>402.0</v>
      </c>
      <c r="K2550" s="1561">
        <v>2669.0</v>
      </c>
      <c r="L2550" s="1555">
        <v>54440.0</v>
      </c>
    </row>
    <row r="2551">
      <c r="A2551" s="1545" t="s">
        <v>1131</v>
      </c>
      <c r="B2551" s="1587">
        <v>72803.0</v>
      </c>
      <c r="C2551" s="1547">
        <v>2563.0</v>
      </c>
      <c r="D2551" s="1548">
        <v>15.4</v>
      </c>
      <c r="E2551" s="1557">
        <v>58467.0</v>
      </c>
      <c r="F2551" s="598">
        <v>5168.0</v>
      </c>
      <c r="G2551" s="598">
        <v>335.0</v>
      </c>
      <c r="H2551" s="598">
        <v>460.0</v>
      </c>
      <c r="I2551" s="598">
        <v>21.0</v>
      </c>
      <c r="J2551" s="598">
        <v>3664.0</v>
      </c>
      <c r="K2551" s="1561">
        <v>4688.0</v>
      </c>
      <c r="L2551" s="1555">
        <v>66006.0</v>
      </c>
    </row>
    <row r="2552">
      <c r="A2552" s="1545" t="s">
        <v>1627</v>
      </c>
      <c r="B2552" s="1587">
        <v>341486.0</v>
      </c>
      <c r="C2552" s="1547">
        <v>9340.0</v>
      </c>
      <c r="D2552" s="1548">
        <v>11.8</v>
      </c>
      <c r="E2552" s="1557">
        <v>226227.0</v>
      </c>
      <c r="F2552" s="598">
        <v>53977.0</v>
      </c>
      <c r="G2552" s="598">
        <v>1739.0</v>
      </c>
      <c r="H2552" s="598">
        <v>12538.0</v>
      </c>
      <c r="I2552" s="598">
        <v>254.0</v>
      </c>
      <c r="J2552" s="598">
        <v>19755.0</v>
      </c>
      <c r="K2552" s="1561">
        <v>26996.0</v>
      </c>
      <c r="L2552" s="1551">
        <v>64170.0</v>
      </c>
    </row>
    <row r="2553">
      <c r="A2553" s="1545" t="s">
        <v>309</v>
      </c>
      <c r="B2553" s="1587">
        <v>21850.0</v>
      </c>
      <c r="C2553" s="1547">
        <v>1397.0</v>
      </c>
      <c r="D2553" s="1548">
        <v>26.6</v>
      </c>
      <c r="E2553" s="1557">
        <v>21051.0</v>
      </c>
      <c r="F2553" s="598">
        <v>47.0</v>
      </c>
      <c r="G2553" s="598">
        <v>37.0</v>
      </c>
      <c r="H2553" s="598">
        <v>51.0</v>
      </c>
      <c r="I2553" s="598">
        <v>0.0</v>
      </c>
      <c r="J2553" s="598">
        <v>44.0</v>
      </c>
      <c r="K2553" s="1561">
        <v>620.0</v>
      </c>
      <c r="L2553" s="1551">
        <v>35685.0</v>
      </c>
    </row>
    <row r="2554">
      <c r="A2554" s="1545" t="s">
        <v>1985</v>
      </c>
      <c r="B2554" s="1587">
        <v>15826.0</v>
      </c>
      <c r="C2554" s="1563">
        <v>782.0</v>
      </c>
      <c r="D2554" s="1548">
        <v>25.6</v>
      </c>
      <c r="E2554" s="1557">
        <v>14585.0</v>
      </c>
      <c r="F2554" s="598">
        <v>72.0</v>
      </c>
      <c r="G2554" s="598">
        <v>89.0</v>
      </c>
      <c r="H2554" s="598">
        <v>65.0</v>
      </c>
      <c r="I2554" s="598">
        <v>4.0</v>
      </c>
      <c r="J2554" s="598">
        <v>314.0</v>
      </c>
      <c r="K2554" s="1561">
        <v>697.0</v>
      </c>
      <c r="L2554" s="1555">
        <v>49707.0</v>
      </c>
    </row>
    <row r="2555">
      <c r="A2555" s="1545" t="s">
        <v>312</v>
      </c>
      <c r="B2555" s="1587">
        <v>98380.0</v>
      </c>
      <c r="C2555" s="1547">
        <v>4504.0</v>
      </c>
      <c r="D2555" s="1548">
        <v>23.0</v>
      </c>
      <c r="E2555" s="1557">
        <v>85656.0</v>
      </c>
      <c r="F2555" s="598">
        <v>812.0</v>
      </c>
      <c r="G2555" s="598">
        <v>454.0</v>
      </c>
      <c r="H2555" s="598">
        <v>1122.0</v>
      </c>
      <c r="I2555" s="598">
        <v>24.0</v>
      </c>
      <c r="J2555" s="598">
        <v>4288.0</v>
      </c>
      <c r="K2555" s="1561">
        <v>6024.0</v>
      </c>
      <c r="L2555" s="1555">
        <v>47202.0</v>
      </c>
    </row>
    <row r="2556">
      <c r="A2556" s="1545" t="s">
        <v>168</v>
      </c>
      <c r="B2556" s="1587">
        <v>929744.0</v>
      </c>
      <c r="C2556" s="1547">
        <v>75895.0</v>
      </c>
      <c r="D2556" s="1548">
        <v>33.2</v>
      </c>
      <c r="E2556" s="1557">
        <v>326077.0</v>
      </c>
      <c r="F2556" s="598">
        <v>477321.0</v>
      </c>
      <c r="G2556" s="598">
        <v>3334.0</v>
      </c>
      <c r="H2556" s="598">
        <v>28149.0</v>
      </c>
      <c r="I2556" s="598">
        <v>344.0</v>
      </c>
      <c r="J2556" s="598">
        <v>48800.0</v>
      </c>
      <c r="K2556" s="1561">
        <v>45719.0</v>
      </c>
      <c r="L2556" s="1551">
        <v>47924.0</v>
      </c>
    </row>
    <row r="2557">
      <c r="A2557" s="1545" t="s">
        <v>1012</v>
      </c>
      <c r="B2557" s="1587">
        <v>19904.0</v>
      </c>
      <c r="C2557" s="1563">
        <v>835.0</v>
      </c>
      <c r="D2557" s="1548">
        <v>18.8</v>
      </c>
      <c r="E2557" s="1557">
        <v>18192.0</v>
      </c>
      <c r="F2557" s="598">
        <v>364.0</v>
      </c>
      <c r="G2557" s="598">
        <v>92.0</v>
      </c>
      <c r="H2557" s="598">
        <v>84.0</v>
      </c>
      <c r="I2557" s="598">
        <v>0.0</v>
      </c>
      <c r="J2557" s="598">
        <v>196.0</v>
      </c>
      <c r="K2557" s="1561">
        <v>976.0</v>
      </c>
      <c r="L2557" s="1551">
        <v>50704.0</v>
      </c>
    </row>
    <row r="2558">
      <c r="A2558" s="1545" t="s">
        <v>629</v>
      </c>
      <c r="B2558" s="1587">
        <v>13657.0</v>
      </c>
      <c r="C2558" s="1563">
        <v>617.0</v>
      </c>
      <c r="D2558" s="1548">
        <v>22.2</v>
      </c>
      <c r="E2558" s="1557">
        <v>12463.0</v>
      </c>
      <c r="F2558" s="598">
        <v>172.0</v>
      </c>
      <c r="G2558" s="598">
        <v>78.0</v>
      </c>
      <c r="H2558" s="598">
        <v>77.0</v>
      </c>
      <c r="I2558" s="598">
        <v>2.0</v>
      </c>
      <c r="J2558" s="598">
        <v>122.0</v>
      </c>
      <c r="K2558" s="1561">
        <v>743.0</v>
      </c>
      <c r="L2558" s="1555">
        <v>46565.0</v>
      </c>
    </row>
    <row r="2559">
      <c r="A2559" s="1545" t="s">
        <v>860</v>
      </c>
      <c r="B2559" s="1587">
        <v>158163.0</v>
      </c>
      <c r="C2559" s="1547">
        <v>7337.0</v>
      </c>
      <c r="D2559" s="1548">
        <v>24.6</v>
      </c>
      <c r="E2559" s="1557">
        <v>144395.0</v>
      </c>
      <c r="F2559" s="598">
        <v>3254.0</v>
      </c>
      <c r="G2559" s="598">
        <v>423.0</v>
      </c>
      <c r="H2559" s="598">
        <v>1278.0</v>
      </c>
      <c r="I2559" s="598">
        <v>39.0</v>
      </c>
      <c r="J2559" s="598">
        <v>1570.0</v>
      </c>
      <c r="K2559" s="1561">
        <v>7204.0</v>
      </c>
      <c r="L2559" s="1555">
        <v>46024.0</v>
      </c>
    </row>
    <row r="2560">
      <c r="A2560" s="1545" t="s">
        <v>1016</v>
      </c>
      <c r="B2560" s="1587">
        <v>196281.0</v>
      </c>
      <c r="C2560" s="1547">
        <v>5047.0</v>
      </c>
      <c r="D2560" s="1548">
        <v>11.7</v>
      </c>
      <c r="E2560" s="1557">
        <v>158075.0</v>
      </c>
      <c r="F2560" s="598">
        <v>15740.0</v>
      </c>
      <c r="G2560" s="598">
        <v>711.0</v>
      </c>
      <c r="H2560" s="598">
        <v>2956.0</v>
      </c>
      <c r="I2560" s="598">
        <v>119.0</v>
      </c>
      <c r="J2560" s="598">
        <v>5321.0</v>
      </c>
      <c r="K2560" s="1561">
        <v>13359.0</v>
      </c>
      <c r="L2560" s="1551">
        <v>66171.0</v>
      </c>
    </row>
    <row r="2561">
      <c r="A2561" s="1545" t="s">
        <v>865</v>
      </c>
      <c r="B2561" s="1587">
        <v>60970.0</v>
      </c>
      <c r="C2561" s="1547">
        <v>2760.0</v>
      </c>
      <c r="D2561" s="1548">
        <v>18.5</v>
      </c>
      <c r="E2561" s="1557">
        <v>45400.0</v>
      </c>
      <c r="F2561" s="598">
        <v>10860.0</v>
      </c>
      <c r="G2561" s="598">
        <v>223.0</v>
      </c>
      <c r="H2561" s="598">
        <v>393.0</v>
      </c>
      <c r="I2561" s="598">
        <v>40.0</v>
      </c>
      <c r="J2561" s="598">
        <v>667.0</v>
      </c>
      <c r="K2561" s="1561">
        <v>3387.0</v>
      </c>
      <c r="L2561" s="1551">
        <v>60874.0</v>
      </c>
    </row>
    <row r="2562">
      <c r="A2562" s="1545" t="s">
        <v>1994</v>
      </c>
      <c r="B2562" s="1587">
        <v>11615.0</v>
      </c>
      <c r="C2562" s="1563">
        <v>390.0</v>
      </c>
      <c r="D2562" s="1548">
        <v>20.5</v>
      </c>
      <c r="E2562" s="1557">
        <v>8883.0</v>
      </c>
      <c r="F2562" s="598">
        <v>1922.0</v>
      </c>
      <c r="G2562" s="598">
        <v>30.0</v>
      </c>
      <c r="H2562" s="598">
        <v>27.0</v>
      </c>
      <c r="I2562" s="598">
        <v>0.0</v>
      </c>
      <c r="J2562" s="598">
        <v>205.0</v>
      </c>
      <c r="K2562" s="1561">
        <v>548.0</v>
      </c>
      <c r="L2562" s="1551">
        <v>49280.0</v>
      </c>
    </row>
    <row r="2563">
      <c r="A2563" s="1545" t="s">
        <v>1995</v>
      </c>
      <c r="B2563" s="1587">
        <v>17928.0</v>
      </c>
      <c r="C2563" s="1563">
        <v>780.0</v>
      </c>
      <c r="D2563" s="1548">
        <v>24.1</v>
      </c>
      <c r="E2563" s="1557">
        <v>16386.0</v>
      </c>
      <c r="F2563" s="598">
        <v>44.0</v>
      </c>
      <c r="G2563" s="598">
        <v>68.0</v>
      </c>
      <c r="H2563" s="598">
        <v>37.0</v>
      </c>
      <c r="I2563" s="598">
        <v>0.0</v>
      </c>
      <c r="J2563" s="598">
        <v>480.0</v>
      </c>
      <c r="K2563" s="1561">
        <v>913.0</v>
      </c>
      <c r="L2563" s="1551">
        <v>43688.0</v>
      </c>
    </row>
    <row r="2564">
      <c r="A2564" s="1545" t="s">
        <v>316</v>
      </c>
      <c r="B2564" s="1587">
        <v>19802.0</v>
      </c>
      <c r="C2564" s="1547">
        <v>1149.0</v>
      </c>
      <c r="D2564" s="1548">
        <v>27.5</v>
      </c>
      <c r="E2564" s="1557">
        <v>18770.0</v>
      </c>
      <c r="F2564" s="598">
        <v>53.0</v>
      </c>
      <c r="G2564" s="598">
        <v>33.0</v>
      </c>
      <c r="H2564" s="598">
        <v>38.0</v>
      </c>
      <c r="I2564" s="598">
        <v>7.0</v>
      </c>
      <c r="J2564" s="598">
        <v>191.0</v>
      </c>
      <c r="K2564" s="1561">
        <v>710.0</v>
      </c>
      <c r="L2564" s="1551">
        <v>40322.0</v>
      </c>
    </row>
    <row r="2565">
      <c r="A2565" s="1545" t="s">
        <v>317</v>
      </c>
      <c r="B2565" s="1587">
        <v>6168.0</v>
      </c>
      <c r="C2565" s="1563">
        <v>300.0</v>
      </c>
      <c r="D2565" s="1548">
        <v>27.7</v>
      </c>
      <c r="E2565" s="1557">
        <v>5890.0</v>
      </c>
      <c r="F2565" s="598">
        <v>22.0</v>
      </c>
      <c r="G2565" s="598">
        <v>7.0</v>
      </c>
      <c r="H2565" s="598">
        <v>10.0</v>
      </c>
      <c r="I2565" s="598">
        <v>1.0</v>
      </c>
      <c r="J2565" s="598">
        <v>10.0</v>
      </c>
      <c r="K2565" s="1561">
        <v>228.0</v>
      </c>
      <c r="L2565" s="1551">
        <v>38265.0</v>
      </c>
    </row>
    <row r="2566">
      <c r="A2566" s="1545" t="s">
        <v>647</v>
      </c>
      <c r="B2566" s="1587">
        <v>40953.0</v>
      </c>
      <c r="C2566" s="1547">
        <v>3310.0</v>
      </c>
      <c r="D2566" s="1548">
        <v>35.3</v>
      </c>
      <c r="E2566" s="1557">
        <v>34794.0</v>
      </c>
      <c r="F2566" s="598">
        <v>1097.0</v>
      </c>
      <c r="G2566" s="598">
        <v>144.0</v>
      </c>
      <c r="H2566" s="598">
        <v>258.0</v>
      </c>
      <c r="I2566" s="598">
        <v>10.0</v>
      </c>
      <c r="J2566" s="598">
        <v>2155.0</v>
      </c>
      <c r="K2566" s="1561">
        <v>2495.0</v>
      </c>
      <c r="L2566" s="1555">
        <v>42475.0</v>
      </c>
    </row>
    <row r="2567">
      <c r="A2567" s="1545" t="s">
        <v>119</v>
      </c>
      <c r="B2567" s="1587">
        <v>133001.0</v>
      </c>
      <c r="C2567" s="1547">
        <v>4337.0</v>
      </c>
      <c r="D2567" s="1548">
        <v>18.0</v>
      </c>
      <c r="E2567" s="1557">
        <v>113998.0</v>
      </c>
      <c r="F2567" s="598">
        <v>5623.0</v>
      </c>
      <c r="G2567" s="598">
        <v>431.0</v>
      </c>
      <c r="H2567" s="598">
        <v>2001.0</v>
      </c>
      <c r="I2567" s="598">
        <v>62.0</v>
      </c>
      <c r="J2567" s="598">
        <v>2739.0</v>
      </c>
      <c r="K2567" s="1561">
        <v>8147.0</v>
      </c>
      <c r="L2567" s="1551">
        <v>49242.0</v>
      </c>
    </row>
    <row r="2568">
      <c r="A2568" s="1545" t="s">
        <v>273</v>
      </c>
      <c r="B2568" s="1587">
        <v>16232.0</v>
      </c>
      <c r="C2568" s="1563">
        <v>754.0</v>
      </c>
      <c r="D2568" s="1548">
        <v>27.6</v>
      </c>
      <c r="E2568" s="1557">
        <v>14595.0</v>
      </c>
      <c r="F2568" s="598">
        <v>888.0</v>
      </c>
      <c r="G2568" s="598">
        <v>23.0</v>
      </c>
      <c r="H2568" s="598">
        <v>27.0</v>
      </c>
      <c r="I2568" s="598">
        <v>3.0</v>
      </c>
      <c r="J2568" s="598">
        <v>231.0</v>
      </c>
      <c r="K2568" s="1561">
        <v>465.0</v>
      </c>
      <c r="L2568" s="1551">
        <v>38879.0</v>
      </c>
    </row>
    <row r="2569">
      <c r="A2569" s="1545" t="s">
        <v>1999</v>
      </c>
      <c r="B2569" s="1587">
        <v>32902.0</v>
      </c>
      <c r="C2569" s="1547">
        <v>1413.0</v>
      </c>
      <c r="D2569" s="1548">
        <v>22.3</v>
      </c>
      <c r="E2569" s="1557">
        <v>28113.0</v>
      </c>
      <c r="F2569" s="598">
        <v>2609.0</v>
      </c>
      <c r="G2569" s="598">
        <v>70.0</v>
      </c>
      <c r="H2569" s="598">
        <v>195.0</v>
      </c>
      <c r="I2569" s="598">
        <v>3.0</v>
      </c>
      <c r="J2569" s="598">
        <v>361.0</v>
      </c>
      <c r="K2569" s="1561">
        <v>1551.0</v>
      </c>
      <c r="L2569" s="1551">
        <v>42351.0</v>
      </c>
    </row>
    <row r="2570">
      <c r="A2570" s="1545" t="s">
        <v>66</v>
      </c>
      <c r="B2570" s="1587">
        <v>27351.0</v>
      </c>
      <c r="C2570" s="1547">
        <v>1430.0</v>
      </c>
      <c r="D2570" s="1548">
        <v>24.6</v>
      </c>
      <c r="E2570" s="1557">
        <v>25018.0</v>
      </c>
      <c r="F2570" s="598">
        <v>412.0</v>
      </c>
      <c r="G2570" s="598">
        <v>83.0</v>
      </c>
      <c r="H2570" s="598">
        <v>140.0</v>
      </c>
      <c r="I2570" s="598">
        <v>12.0</v>
      </c>
      <c r="J2570" s="598">
        <v>232.0</v>
      </c>
      <c r="K2570" s="1561">
        <v>1454.0</v>
      </c>
      <c r="L2570" s="1555">
        <v>42603.0</v>
      </c>
    </row>
    <row r="2571">
      <c r="A2571" s="1545" t="s">
        <v>627</v>
      </c>
      <c r="B2571" s="1587">
        <v>247726.0</v>
      </c>
      <c r="C2571" s="1547">
        <v>2222.0</v>
      </c>
      <c r="D2571" s="1548">
        <v>3.5</v>
      </c>
      <c r="E2571" s="1557">
        <v>203600.0</v>
      </c>
      <c r="F2571" s="598">
        <v>9876.0</v>
      </c>
      <c r="G2571" s="598">
        <v>574.0</v>
      </c>
      <c r="H2571" s="598">
        <v>12953.0</v>
      </c>
      <c r="I2571" s="598">
        <v>117.0</v>
      </c>
      <c r="J2571" s="598">
        <v>5172.0</v>
      </c>
      <c r="K2571" s="1561">
        <v>15434.0</v>
      </c>
      <c r="L2571" s="1637">
        <v>115930.0</v>
      </c>
    </row>
    <row r="2572">
      <c r="A2572" s="1528" t="s">
        <v>1021</v>
      </c>
      <c r="B2572" s="1595">
        <v>147737.0</v>
      </c>
      <c r="C2572" s="1530">
        <v>3249.0</v>
      </c>
      <c r="D2572" s="1567">
        <v>9.9</v>
      </c>
      <c r="E2572" s="1532">
        <v>120782.0</v>
      </c>
      <c r="F2572" s="1533">
        <v>10191.0</v>
      </c>
      <c r="G2572" s="1533">
        <v>601.0</v>
      </c>
      <c r="H2572" s="1533">
        <v>3106.0</v>
      </c>
      <c r="I2572" s="1533">
        <v>44.0</v>
      </c>
      <c r="J2572" s="1533">
        <v>3827.0</v>
      </c>
      <c r="K2572" s="1616">
        <v>9186.0</v>
      </c>
      <c r="L2572" s="1617">
        <v>76507.0</v>
      </c>
    </row>
    <row r="2573">
      <c r="A2573" s="1538" t="s">
        <v>113</v>
      </c>
      <c r="B2573" s="1596">
        <v>2.9145505E7</v>
      </c>
      <c r="C2573" s="1540">
        <v>1543228.0</v>
      </c>
      <c r="D2573" s="1571">
        <v>21.1</v>
      </c>
      <c r="E2573" s="1572">
        <v>1.4609365E7</v>
      </c>
      <c r="F2573" s="1542">
        <v>3552997.0</v>
      </c>
      <c r="G2573" s="1542">
        <v>278948.0</v>
      </c>
      <c r="H2573" s="1542">
        <v>1585480.0</v>
      </c>
      <c r="I2573" s="1542">
        <v>33611.0</v>
      </c>
      <c r="J2573" s="1542">
        <v>3951366.0</v>
      </c>
      <c r="K2573" s="1543">
        <v>5133738.0</v>
      </c>
      <c r="L2573" s="1544">
        <v>60632.0</v>
      </c>
    </row>
    <row r="2574">
      <c r="A2574" s="1545" t="s">
        <v>954</v>
      </c>
      <c r="B2574" s="1586">
        <v>57922.0</v>
      </c>
      <c r="C2574" s="1547">
        <v>2486.0</v>
      </c>
      <c r="D2574" s="1548">
        <v>22.6</v>
      </c>
      <c r="E2574" s="1578">
        <v>34922.0</v>
      </c>
      <c r="F2574" s="1634">
        <v>11577.0</v>
      </c>
      <c r="G2574" s="1634">
        <v>357.0</v>
      </c>
      <c r="H2574" s="1634">
        <v>392.0</v>
      </c>
      <c r="I2574" s="1634">
        <v>13.0</v>
      </c>
      <c r="J2574" s="1634">
        <v>7066.0</v>
      </c>
      <c r="K2574" s="1635">
        <v>3595.0</v>
      </c>
      <c r="L2574" s="1551">
        <v>45969.0</v>
      </c>
    </row>
    <row r="2575">
      <c r="A2575" s="1545" t="s">
        <v>2005</v>
      </c>
      <c r="B2575" s="1587">
        <v>18610.0</v>
      </c>
      <c r="C2575" s="1563">
        <v>774.0</v>
      </c>
      <c r="D2575" s="1548">
        <v>14.0</v>
      </c>
      <c r="E2575" s="1578">
        <v>10909.0</v>
      </c>
      <c r="F2575" s="1634">
        <v>237.0</v>
      </c>
      <c r="G2575" s="1634">
        <v>220.0</v>
      </c>
      <c r="H2575" s="1634">
        <v>112.0</v>
      </c>
      <c r="I2575" s="1634">
        <v>0.0</v>
      </c>
      <c r="J2575" s="1634">
        <v>3278.0</v>
      </c>
      <c r="K2575" s="1635">
        <v>3854.0</v>
      </c>
      <c r="L2575" s="1638">
        <v>84946.0</v>
      </c>
    </row>
    <row r="2576">
      <c r="A2576" s="1545" t="s">
        <v>2006</v>
      </c>
      <c r="B2576" s="1587">
        <v>86395.0</v>
      </c>
      <c r="C2576" s="1547">
        <v>5855.0</v>
      </c>
      <c r="D2576" s="1548">
        <v>26.7</v>
      </c>
      <c r="E2576" s="1549">
        <v>54887.0</v>
      </c>
      <c r="F2576" s="1593">
        <v>13098.0</v>
      </c>
      <c r="G2576" s="1593">
        <v>563.0</v>
      </c>
      <c r="H2576" s="1593">
        <v>919.0</v>
      </c>
      <c r="I2576" s="1593">
        <v>42.0</v>
      </c>
      <c r="J2576" s="1593">
        <v>8588.0</v>
      </c>
      <c r="K2576" s="1594">
        <v>8298.0</v>
      </c>
      <c r="L2576" s="1551">
        <v>46653.0</v>
      </c>
    </row>
    <row r="2577">
      <c r="A2577" s="1545" t="s">
        <v>2007</v>
      </c>
      <c r="B2577" s="1587">
        <v>23830.0</v>
      </c>
      <c r="C2577" s="1547">
        <v>1423.0</v>
      </c>
      <c r="D2577" s="1548">
        <v>34.7</v>
      </c>
      <c r="E2577" s="1549">
        <v>17996.0</v>
      </c>
      <c r="F2577" s="1593">
        <v>264.0</v>
      </c>
      <c r="G2577" s="1593">
        <v>245.0</v>
      </c>
      <c r="H2577" s="1593">
        <v>501.0</v>
      </c>
      <c r="I2577" s="1593">
        <v>17.0</v>
      </c>
      <c r="J2577" s="1593">
        <v>1557.0</v>
      </c>
      <c r="K2577" s="1594">
        <v>3250.0</v>
      </c>
      <c r="L2577" s="1551">
        <v>46912.0</v>
      </c>
    </row>
    <row r="2578">
      <c r="A2578" s="1545" t="s">
        <v>2008</v>
      </c>
      <c r="B2578" s="1587">
        <v>8560.0</v>
      </c>
      <c r="C2578" s="1563">
        <v>268.0</v>
      </c>
      <c r="D2578" s="1548">
        <v>14.3</v>
      </c>
      <c r="E2578" s="1549">
        <v>7551.0</v>
      </c>
      <c r="F2578" s="1593">
        <v>32.0</v>
      </c>
      <c r="G2578" s="1593">
        <v>108.0</v>
      </c>
      <c r="H2578" s="1593">
        <v>19.0</v>
      </c>
      <c r="I2578" s="1593">
        <v>0.0</v>
      </c>
      <c r="J2578" s="1593">
        <v>301.0</v>
      </c>
      <c r="K2578" s="1594">
        <v>549.0</v>
      </c>
      <c r="L2578" s="1551">
        <v>61190.0</v>
      </c>
    </row>
    <row r="2579">
      <c r="A2579" s="1545" t="s">
        <v>1783</v>
      </c>
      <c r="B2579" s="1587">
        <v>1848.0</v>
      </c>
      <c r="C2579" s="1563">
        <v>66.0</v>
      </c>
      <c r="D2579" s="1548">
        <v>15.3</v>
      </c>
      <c r="E2579" s="1549">
        <v>1646.0</v>
      </c>
      <c r="F2579" s="1593">
        <v>13.0</v>
      </c>
      <c r="G2579" s="1593">
        <v>17.0</v>
      </c>
      <c r="H2579" s="1593">
        <v>10.0</v>
      </c>
      <c r="I2579" s="1593">
        <v>0.0</v>
      </c>
      <c r="J2579" s="1593">
        <v>39.0</v>
      </c>
      <c r="K2579" s="1594">
        <v>123.0</v>
      </c>
      <c r="L2579" s="1551">
        <v>57210.0</v>
      </c>
    </row>
    <row r="2580">
      <c r="A2580" s="1545" t="s">
        <v>2010</v>
      </c>
      <c r="B2580" s="1587">
        <v>48981.0</v>
      </c>
      <c r="C2580" s="1547">
        <v>3254.0</v>
      </c>
      <c r="D2580" s="1548">
        <v>23.9</v>
      </c>
      <c r="E2580" s="1549">
        <v>28203.0</v>
      </c>
      <c r="F2580" s="1593">
        <v>425.0</v>
      </c>
      <c r="G2580" s="1593">
        <v>491.0</v>
      </c>
      <c r="H2580" s="1593">
        <v>206.0</v>
      </c>
      <c r="I2580" s="1593">
        <v>18.0</v>
      </c>
      <c r="J2580" s="1593">
        <v>7550.0</v>
      </c>
      <c r="K2580" s="1594">
        <v>12088.0</v>
      </c>
      <c r="L2580" s="1551">
        <v>50594.0</v>
      </c>
    </row>
    <row r="2581">
      <c r="A2581" s="1545" t="s">
        <v>2011</v>
      </c>
      <c r="B2581" s="1587">
        <v>30167.0</v>
      </c>
      <c r="C2581" s="1547">
        <v>1184.0</v>
      </c>
      <c r="D2581" s="1548">
        <v>16.9</v>
      </c>
      <c r="E2581" s="1549">
        <v>20164.0</v>
      </c>
      <c r="F2581" s="1593">
        <v>2440.0</v>
      </c>
      <c r="G2581" s="1593">
        <v>277.0</v>
      </c>
      <c r="H2581" s="1593">
        <v>201.0</v>
      </c>
      <c r="I2581" s="1593">
        <v>8.0</v>
      </c>
      <c r="J2581" s="1593">
        <v>3103.0</v>
      </c>
      <c r="K2581" s="1594">
        <v>3974.0</v>
      </c>
      <c r="L2581" s="1551">
        <v>59942.0</v>
      </c>
    </row>
    <row r="2582">
      <c r="A2582" s="1545" t="s">
        <v>2012</v>
      </c>
      <c r="B2582" s="1587">
        <v>6904.0</v>
      </c>
      <c r="C2582" s="1563">
        <v>565.0</v>
      </c>
      <c r="D2582" s="1548">
        <v>26.1</v>
      </c>
      <c r="E2582" s="1549">
        <v>3348.0</v>
      </c>
      <c r="F2582" s="1593">
        <v>65.0</v>
      </c>
      <c r="G2582" s="1593">
        <v>86.0</v>
      </c>
      <c r="H2582" s="1593">
        <v>11.0</v>
      </c>
      <c r="I2582" s="1593">
        <v>0.0</v>
      </c>
      <c r="J2582" s="1593">
        <v>2043.0</v>
      </c>
      <c r="K2582" s="1594">
        <v>1351.0</v>
      </c>
      <c r="L2582" s="1551">
        <v>45051.0</v>
      </c>
    </row>
    <row r="2583">
      <c r="A2583" s="1545" t="s">
        <v>2013</v>
      </c>
      <c r="B2583" s="1587">
        <v>20851.0</v>
      </c>
      <c r="C2583" s="1563">
        <v>829.0</v>
      </c>
      <c r="D2583" s="1548">
        <v>22.8</v>
      </c>
      <c r="E2583" s="1549">
        <v>17110.0</v>
      </c>
      <c r="F2583" s="1593">
        <v>110.0</v>
      </c>
      <c r="G2583" s="1593">
        <v>157.0</v>
      </c>
      <c r="H2583" s="1593">
        <v>97.0</v>
      </c>
      <c r="I2583" s="1593">
        <v>15.0</v>
      </c>
      <c r="J2583" s="1593">
        <v>850.0</v>
      </c>
      <c r="K2583" s="1594">
        <v>2512.0</v>
      </c>
      <c r="L2583" s="1638">
        <v>53008.0</v>
      </c>
    </row>
    <row r="2584">
      <c r="A2584" s="1545" t="s">
        <v>2014</v>
      </c>
      <c r="B2584" s="1587">
        <v>97216.0</v>
      </c>
      <c r="C2584" s="1547">
        <v>4182.0</v>
      </c>
      <c r="D2584" s="1548">
        <v>19.2</v>
      </c>
      <c r="E2584" s="1557">
        <v>55730.0</v>
      </c>
      <c r="F2584" s="598">
        <v>5759.0</v>
      </c>
      <c r="G2584" s="598">
        <v>1268.0</v>
      </c>
      <c r="H2584" s="598">
        <v>765.0</v>
      </c>
      <c r="I2584" s="598">
        <v>74.0</v>
      </c>
      <c r="J2584" s="598">
        <v>16953.0</v>
      </c>
      <c r="K2584" s="1561">
        <v>16667.0</v>
      </c>
      <c r="L2584" s="1551">
        <v>61883.0</v>
      </c>
    </row>
    <row r="2585">
      <c r="A2585" s="1545" t="s">
        <v>2015</v>
      </c>
      <c r="B2585" s="1587">
        <v>3465.0</v>
      </c>
      <c r="C2585" s="1563">
        <v>232.0</v>
      </c>
      <c r="D2585" s="1548">
        <v>28.6</v>
      </c>
      <c r="E2585" s="1557">
        <v>3036.0</v>
      </c>
      <c r="F2585" s="598">
        <v>57.0</v>
      </c>
      <c r="G2585" s="598">
        <v>11.0</v>
      </c>
      <c r="H2585" s="598">
        <v>9.0</v>
      </c>
      <c r="I2585" s="598">
        <v>0.0</v>
      </c>
      <c r="J2585" s="598">
        <v>114.0</v>
      </c>
      <c r="K2585" s="1561">
        <v>238.0</v>
      </c>
      <c r="L2585" s="1551">
        <v>41180.0</v>
      </c>
    </row>
    <row r="2586">
      <c r="A2586" s="1545" t="s">
        <v>2016</v>
      </c>
      <c r="B2586" s="1587">
        <v>31047.0</v>
      </c>
      <c r="C2586" s="1547">
        <v>2134.0</v>
      </c>
      <c r="D2586" s="1548">
        <v>32.0</v>
      </c>
      <c r="E2586" s="1557">
        <v>15347.0</v>
      </c>
      <c r="F2586" s="598">
        <v>2395.0</v>
      </c>
      <c r="G2586" s="598">
        <v>212.0</v>
      </c>
      <c r="H2586" s="598">
        <v>221.0</v>
      </c>
      <c r="I2586" s="598">
        <v>4.0</v>
      </c>
      <c r="J2586" s="598">
        <v>7160.0</v>
      </c>
      <c r="K2586" s="1561">
        <v>5708.0</v>
      </c>
      <c r="L2586" s="1638">
        <v>41806.0</v>
      </c>
    </row>
    <row r="2587">
      <c r="A2587" s="1545" t="s">
        <v>1027</v>
      </c>
      <c r="B2587" s="1587">
        <v>370647.0</v>
      </c>
      <c r="C2587" s="1547">
        <v>18493.0</v>
      </c>
      <c r="D2587" s="1548">
        <v>19.1</v>
      </c>
      <c r="E2587" s="1557">
        <v>180426.0</v>
      </c>
      <c r="F2587" s="598">
        <v>85241.0</v>
      </c>
      <c r="G2587" s="598">
        <v>3454.0</v>
      </c>
      <c r="H2587" s="598">
        <v>11466.0</v>
      </c>
      <c r="I2587" s="598">
        <v>3764.0</v>
      </c>
      <c r="J2587" s="598">
        <v>32933.0</v>
      </c>
      <c r="K2587" s="1561">
        <v>53363.0</v>
      </c>
      <c r="L2587" s="1638">
        <v>54292.0</v>
      </c>
    </row>
    <row r="2588">
      <c r="A2588" s="1545" t="s">
        <v>267</v>
      </c>
      <c r="B2588" s="1587">
        <v>2009324.0</v>
      </c>
      <c r="C2588" s="1547">
        <v>118619.0</v>
      </c>
      <c r="D2588" s="1548">
        <v>23.7</v>
      </c>
      <c r="E2588" s="1557">
        <v>919729.0</v>
      </c>
      <c r="F2588" s="598">
        <v>161307.0</v>
      </c>
      <c r="G2588" s="598">
        <v>23193.0</v>
      </c>
      <c r="H2588" s="598">
        <v>68675.0</v>
      </c>
      <c r="I2588" s="598">
        <v>3549.0</v>
      </c>
      <c r="J2588" s="598">
        <v>308330.0</v>
      </c>
      <c r="K2588" s="1561">
        <v>524541.0</v>
      </c>
      <c r="L2588" s="1551">
        <v>54210.0</v>
      </c>
    </row>
    <row r="2589">
      <c r="A2589" s="1545" t="s">
        <v>2017</v>
      </c>
      <c r="B2589" s="1587">
        <v>11374.0</v>
      </c>
      <c r="C2589" s="1563">
        <v>363.0</v>
      </c>
      <c r="D2589" s="1548">
        <v>17.2</v>
      </c>
      <c r="E2589" s="1557">
        <v>9255.0</v>
      </c>
      <c r="F2589" s="598">
        <v>72.0</v>
      </c>
      <c r="G2589" s="598">
        <v>87.0</v>
      </c>
      <c r="H2589" s="598">
        <v>44.0</v>
      </c>
      <c r="I2589" s="598">
        <v>7.0</v>
      </c>
      <c r="J2589" s="598">
        <v>745.0</v>
      </c>
      <c r="K2589" s="1561">
        <v>1164.0</v>
      </c>
      <c r="L2589" s="1551">
        <v>64832.0</v>
      </c>
    </row>
    <row r="2590">
      <c r="A2590" s="1545" t="s">
        <v>2018</v>
      </c>
      <c r="B2590" s="1621">
        <v>631.0</v>
      </c>
      <c r="C2590" s="1563">
        <v>19.0</v>
      </c>
      <c r="D2590" s="1548">
        <v>14.5</v>
      </c>
      <c r="E2590" s="1557">
        <v>576.0</v>
      </c>
      <c r="F2590" s="598">
        <v>1.0</v>
      </c>
      <c r="G2590" s="598">
        <v>1.0</v>
      </c>
      <c r="H2590" s="598">
        <v>0.0</v>
      </c>
      <c r="I2590" s="598">
        <v>0.0</v>
      </c>
      <c r="J2590" s="598">
        <v>11.0</v>
      </c>
      <c r="K2590" s="1561">
        <v>42.0</v>
      </c>
      <c r="L2590" s="1551">
        <v>66101.0</v>
      </c>
    </row>
    <row r="2591">
      <c r="A2591" s="1545" t="s">
        <v>2019</v>
      </c>
      <c r="B2591" s="1587">
        <v>18235.0</v>
      </c>
      <c r="C2591" s="1563">
        <v>954.0</v>
      </c>
      <c r="D2591" s="1548">
        <v>24.0</v>
      </c>
      <c r="E2591" s="1557">
        <v>14483.0</v>
      </c>
      <c r="F2591" s="598">
        <v>279.0</v>
      </c>
      <c r="G2591" s="598">
        <v>155.0</v>
      </c>
      <c r="H2591" s="598">
        <v>80.0</v>
      </c>
      <c r="I2591" s="598">
        <v>3.0</v>
      </c>
      <c r="J2591" s="598">
        <v>1312.0</v>
      </c>
      <c r="K2591" s="1561">
        <v>1923.0</v>
      </c>
      <c r="L2591" s="1638">
        <v>48460.0</v>
      </c>
    </row>
    <row r="2592">
      <c r="A2592" s="1545" t="s">
        <v>2020</v>
      </c>
      <c r="B2592" s="1587">
        <v>92893.0</v>
      </c>
      <c r="C2592" s="1547">
        <v>5642.0</v>
      </c>
      <c r="D2592" s="1548">
        <v>25.5</v>
      </c>
      <c r="E2592" s="1557">
        <v>57482.0</v>
      </c>
      <c r="F2592" s="598">
        <v>23251.0</v>
      </c>
      <c r="G2592" s="598">
        <v>754.0</v>
      </c>
      <c r="H2592" s="598">
        <v>1094.0</v>
      </c>
      <c r="I2592" s="598">
        <v>84.0</v>
      </c>
      <c r="J2592" s="598">
        <v>4271.0</v>
      </c>
      <c r="K2592" s="1561">
        <v>5957.0</v>
      </c>
      <c r="L2592" s="1638">
        <v>47339.0</v>
      </c>
    </row>
    <row r="2593">
      <c r="A2593" s="1545" t="s">
        <v>2021</v>
      </c>
      <c r="B2593" s="1587">
        <v>372031.0</v>
      </c>
      <c r="C2593" s="1547">
        <v>12620.0</v>
      </c>
      <c r="D2593" s="1548">
        <v>13.1</v>
      </c>
      <c r="E2593" s="1557">
        <v>190232.0</v>
      </c>
      <c r="F2593" s="598">
        <v>55176.0</v>
      </c>
      <c r="G2593" s="598">
        <v>2739.0</v>
      </c>
      <c r="H2593" s="598">
        <v>26592.0</v>
      </c>
      <c r="I2593" s="598">
        <v>183.0</v>
      </c>
      <c r="J2593" s="598">
        <v>41976.0</v>
      </c>
      <c r="K2593" s="1561">
        <v>55133.0</v>
      </c>
      <c r="L2593" s="1638">
        <v>74225.0</v>
      </c>
    </row>
    <row r="2594">
      <c r="A2594" s="1545" t="s">
        <v>2022</v>
      </c>
      <c r="B2594" s="1587">
        <v>233849.0</v>
      </c>
      <c r="C2594" s="1547">
        <v>9297.0</v>
      </c>
      <c r="D2594" s="1548">
        <v>20.2</v>
      </c>
      <c r="E2594" s="1557">
        <v>140206.0</v>
      </c>
      <c r="F2594" s="598">
        <v>24341.0</v>
      </c>
      <c r="G2594" s="598">
        <v>1618.0</v>
      </c>
      <c r="H2594" s="598">
        <v>14763.0</v>
      </c>
      <c r="I2594" s="598">
        <v>233.0</v>
      </c>
      <c r="J2594" s="598">
        <v>23525.0</v>
      </c>
      <c r="K2594" s="1561">
        <v>29163.0</v>
      </c>
      <c r="L2594" s="1551">
        <v>50113.0</v>
      </c>
    </row>
    <row r="2595">
      <c r="A2595" s="1545" t="s">
        <v>2023</v>
      </c>
      <c r="B2595" s="1587">
        <v>9546.0</v>
      </c>
      <c r="C2595" s="1563">
        <v>366.0</v>
      </c>
      <c r="D2595" s="1548">
        <v>21.2</v>
      </c>
      <c r="E2595" s="1557">
        <v>6411.0</v>
      </c>
      <c r="F2595" s="598">
        <v>198.0</v>
      </c>
      <c r="G2595" s="598">
        <v>140.0</v>
      </c>
      <c r="H2595" s="598">
        <v>94.0</v>
      </c>
      <c r="I2595" s="598">
        <v>11.0</v>
      </c>
      <c r="J2595" s="598">
        <v>793.0</v>
      </c>
      <c r="K2595" s="1561">
        <v>1899.0</v>
      </c>
      <c r="L2595" s="1551">
        <v>45670.0</v>
      </c>
    </row>
    <row r="2596">
      <c r="A2596" s="1545" t="s">
        <v>2025</v>
      </c>
      <c r="B2596" s="1587">
        <v>1435.0</v>
      </c>
      <c r="C2596" s="1563">
        <v>68.0</v>
      </c>
      <c r="D2596" s="1548">
        <v>24.3</v>
      </c>
      <c r="E2596" s="1557">
        <v>1175.0</v>
      </c>
      <c r="F2596" s="598">
        <v>18.0</v>
      </c>
      <c r="G2596" s="598">
        <v>7.0</v>
      </c>
      <c r="H2596" s="598">
        <v>0.0</v>
      </c>
      <c r="I2596" s="598">
        <v>0.0</v>
      </c>
      <c r="J2596" s="598">
        <v>141.0</v>
      </c>
      <c r="K2596" s="1561">
        <v>94.0</v>
      </c>
      <c r="L2596" s="1551">
        <v>44409.0</v>
      </c>
    </row>
    <row r="2597">
      <c r="A2597" s="1545" t="s">
        <v>543</v>
      </c>
      <c r="B2597" s="1587">
        <v>7076.0</v>
      </c>
      <c r="C2597" s="1563">
        <v>972.0</v>
      </c>
      <c r="D2597" s="1548">
        <v>48.6</v>
      </c>
      <c r="E2597" s="1557">
        <v>2914.0</v>
      </c>
      <c r="F2597" s="598">
        <v>25.0</v>
      </c>
      <c r="G2597" s="598">
        <v>22.0</v>
      </c>
      <c r="H2597" s="598">
        <v>29.0</v>
      </c>
      <c r="I2597" s="598">
        <v>1.0</v>
      </c>
      <c r="J2597" s="598">
        <v>770.0</v>
      </c>
      <c r="K2597" s="1561">
        <v>3315.0</v>
      </c>
      <c r="L2597" s="1551">
        <v>30116.0</v>
      </c>
    </row>
    <row r="2598">
      <c r="A2598" s="1545" t="s">
        <v>706</v>
      </c>
      <c r="B2598" s="1587">
        <v>38095.0</v>
      </c>
      <c r="C2598" s="1547">
        <v>1703.0</v>
      </c>
      <c r="D2598" s="1548">
        <v>21.2</v>
      </c>
      <c r="E2598" s="1557">
        <v>29326.0</v>
      </c>
      <c r="F2598" s="598">
        <v>1462.0</v>
      </c>
      <c r="G2598" s="598">
        <v>232.0</v>
      </c>
      <c r="H2598" s="598">
        <v>274.0</v>
      </c>
      <c r="I2598" s="598">
        <v>27.0</v>
      </c>
      <c r="J2598" s="598">
        <v>2801.0</v>
      </c>
      <c r="K2598" s="1561">
        <v>3973.0</v>
      </c>
      <c r="L2598" s="1551">
        <v>47097.0</v>
      </c>
    </row>
    <row r="2599">
      <c r="A2599" s="1545" t="s">
        <v>2027</v>
      </c>
      <c r="B2599" s="1587">
        <v>17642.0</v>
      </c>
      <c r="C2599" s="1563">
        <v>948.0</v>
      </c>
      <c r="D2599" s="1548">
        <v>23.7</v>
      </c>
      <c r="E2599" s="1557">
        <v>12152.0</v>
      </c>
      <c r="F2599" s="598">
        <v>1908.0</v>
      </c>
      <c r="G2599" s="598">
        <v>138.0</v>
      </c>
      <c r="H2599" s="598">
        <v>71.0</v>
      </c>
      <c r="I2599" s="598">
        <v>0.0</v>
      </c>
      <c r="J2599" s="598">
        <v>1304.0</v>
      </c>
      <c r="K2599" s="1561">
        <v>2069.0</v>
      </c>
      <c r="L2599" s="1551">
        <v>53626.0</v>
      </c>
    </row>
    <row r="2600">
      <c r="A2600" s="1545" t="s">
        <v>2028</v>
      </c>
      <c r="B2600" s="1587">
        <v>49130.0</v>
      </c>
      <c r="C2600" s="1547">
        <v>1872.0</v>
      </c>
      <c r="D2600" s="1548">
        <v>18.6</v>
      </c>
      <c r="E2600" s="1557">
        <v>37845.0</v>
      </c>
      <c r="F2600" s="598">
        <v>643.0</v>
      </c>
      <c r="G2600" s="598">
        <v>373.0</v>
      </c>
      <c r="H2600" s="598">
        <v>428.0</v>
      </c>
      <c r="I2600" s="598">
        <v>15.0</v>
      </c>
      <c r="J2600" s="598">
        <v>4268.0</v>
      </c>
      <c r="K2600" s="1561">
        <v>5558.0</v>
      </c>
      <c r="L2600" s="1551">
        <v>56696.0</v>
      </c>
    </row>
    <row r="2601">
      <c r="A2601" s="1545" t="s">
        <v>1034</v>
      </c>
      <c r="B2601" s="1587">
        <v>45883.0</v>
      </c>
      <c r="C2601" s="1547">
        <v>2059.0</v>
      </c>
      <c r="D2601" s="1548">
        <v>20.7</v>
      </c>
      <c r="E2601" s="1557">
        <v>23633.0</v>
      </c>
      <c r="F2601" s="598">
        <v>2440.0</v>
      </c>
      <c r="G2601" s="598">
        <v>499.0</v>
      </c>
      <c r="H2601" s="598">
        <v>238.0</v>
      </c>
      <c r="I2601" s="598">
        <v>27.0</v>
      </c>
      <c r="J2601" s="598">
        <v>9708.0</v>
      </c>
      <c r="K2601" s="1561">
        <v>9338.0</v>
      </c>
      <c r="L2601" s="1551">
        <v>52588.0</v>
      </c>
    </row>
    <row r="2602">
      <c r="A2602" s="1545" t="s">
        <v>93</v>
      </c>
      <c r="B2602" s="1587">
        <v>20106.0</v>
      </c>
      <c r="C2602" s="1547">
        <v>1239.0</v>
      </c>
      <c r="D2602" s="1548">
        <v>24.0</v>
      </c>
      <c r="E2602" s="1557">
        <v>11356.0</v>
      </c>
      <c r="F2602" s="598">
        <v>426.0</v>
      </c>
      <c r="G2602" s="598">
        <v>116.0</v>
      </c>
      <c r="H2602" s="598">
        <v>1115.0</v>
      </c>
      <c r="I2602" s="598">
        <v>4.0</v>
      </c>
      <c r="J2602" s="598">
        <v>2435.0</v>
      </c>
      <c r="K2602" s="1561">
        <v>4654.0</v>
      </c>
      <c r="L2602" s="1551">
        <v>52085.0</v>
      </c>
    </row>
    <row r="2603">
      <c r="A2603" s="1545" t="s">
        <v>2029</v>
      </c>
      <c r="B2603" s="1587">
        <v>13708.0</v>
      </c>
      <c r="C2603" s="1563">
        <v>624.0</v>
      </c>
      <c r="D2603" s="1548">
        <v>20.2</v>
      </c>
      <c r="E2603" s="1557">
        <v>12154.0</v>
      </c>
      <c r="F2603" s="598">
        <v>133.0</v>
      </c>
      <c r="G2603" s="598">
        <v>80.0</v>
      </c>
      <c r="H2603" s="598">
        <v>53.0</v>
      </c>
      <c r="I2603" s="598">
        <v>7.0</v>
      </c>
      <c r="J2603" s="598">
        <v>352.0</v>
      </c>
      <c r="K2603" s="1561">
        <v>929.0</v>
      </c>
      <c r="L2603" s="1638">
        <v>50330.0</v>
      </c>
    </row>
    <row r="2604">
      <c r="A2604" s="1545" t="s">
        <v>1149</v>
      </c>
      <c r="B2604" s="1587">
        <v>421017.0</v>
      </c>
      <c r="C2604" s="1547">
        <v>50998.0</v>
      </c>
      <c r="D2604" s="1548">
        <v>40.2</v>
      </c>
      <c r="E2604" s="1557">
        <v>162707.0</v>
      </c>
      <c r="F2604" s="598">
        <v>2076.0</v>
      </c>
      <c r="G2604" s="598">
        <v>2883.0</v>
      </c>
      <c r="H2604" s="598">
        <v>2806.0</v>
      </c>
      <c r="I2604" s="598">
        <v>149.0</v>
      </c>
      <c r="J2604" s="598">
        <v>80133.0</v>
      </c>
      <c r="K2604" s="1561">
        <v>170263.0</v>
      </c>
      <c r="L2604" s="1551">
        <v>38106.0</v>
      </c>
    </row>
    <row r="2605">
      <c r="A2605" s="1545" t="s">
        <v>2031</v>
      </c>
      <c r="B2605" s="1587">
        <v>12464.0</v>
      </c>
      <c r="C2605" s="1547">
        <v>1039.0</v>
      </c>
      <c r="D2605" s="1548">
        <v>30.5</v>
      </c>
      <c r="E2605" s="1557">
        <v>7448.0</v>
      </c>
      <c r="F2605" s="598">
        <v>1898.0</v>
      </c>
      <c r="G2605" s="598">
        <v>63.0</v>
      </c>
      <c r="H2605" s="598">
        <v>108.0</v>
      </c>
      <c r="I2605" s="598">
        <v>8.0</v>
      </c>
      <c r="J2605" s="598">
        <v>1660.0</v>
      </c>
      <c r="K2605" s="1561">
        <v>1279.0</v>
      </c>
      <c r="L2605" s="1551">
        <v>43714.0</v>
      </c>
    </row>
    <row r="2606">
      <c r="A2606" s="1545" t="s">
        <v>2032</v>
      </c>
      <c r="B2606" s="1587">
        <v>5807.0</v>
      </c>
      <c r="C2606" s="1563">
        <v>175.0</v>
      </c>
      <c r="D2606" s="1548">
        <v>12.2</v>
      </c>
      <c r="E2606" s="1557">
        <v>5069.0</v>
      </c>
      <c r="F2606" s="598">
        <v>20.0</v>
      </c>
      <c r="G2606" s="598">
        <v>54.0</v>
      </c>
      <c r="H2606" s="598">
        <v>22.0</v>
      </c>
      <c r="I2606" s="598">
        <v>8.0</v>
      </c>
      <c r="J2606" s="598">
        <v>137.0</v>
      </c>
      <c r="K2606" s="1561">
        <v>497.0</v>
      </c>
      <c r="L2606" s="1551">
        <v>64799.0</v>
      </c>
    </row>
    <row r="2607">
      <c r="A2607" s="1545" t="s">
        <v>708</v>
      </c>
      <c r="B2607" s="1587">
        <v>28454.0</v>
      </c>
      <c r="C2607" s="1547">
        <v>2140.0</v>
      </c>
      <c r="D2607" s="1548">
        <v>32.0</v>
      </c>
      <c r="E2607" s="1557">
        <v>21477.0</v>
      </c>
      <c r="F2607" s="598">
        <v>4541.0</v>
      </c>
      <c r="G2607" s="598">
        <v>194.0</v>
      </c>
      <c r="H2607" s="598">
        <v>120.0</v>
      </c>
      <c r="I2607" s="598">
        <v>10.0</v>
      </c>
      <c r="J2607" s="598">
        <v>569.0</v>
      </c>
      <c r="K2607" s="1561">
        <v>1543.0</v>
      </c>
      <c r="L2607" s="1551">
        <v>44154.0</v>
      </c>
    </row>
    <row r="2608">
      <c r="A2608" s="1545" t="s">
        <v>2033</v>
      </c>
      <c r="B2608" s="1587">
        <v>7371.0</v>
      </c>
      <c r="C2608" s="1563">
        <v>523.0</v>
      </c>
      <c r="D2608" s="1548">
        <v>24.2</v>
      </c>
      <c r="E2608" s="1557">
        <v>3676.0</v>
      </c>
      <c r="F2608" s="598">
        <v>108.0</v>
      </c>
      <c r="G2608" s="598">
        <v>58.0</v>
      </c>
      <c r="H2608" s="598">
        <v>22.0</v>
      </c>
      <c r="I2608" s="598">
        <v>4.0</v>
      </c>
      <c r="J2608" s="598">
        <v>1532.0</v>
      </c>
      <c r="K2608" s="1561">
        <v>1971.0</v>
      </c>
      <c r="L2608" s="1551">
        <v>45689.0</v>
      </c>
    </row>
    <row r="2609">
      <c r="A2609" s="1545" t="s">
        <v>98</v>
      </c>
      <c r="B2609" s="1587">
        <v>46571.0</v>
      </c>
      <c r="C2609" s="1547">
        <v>1280.0</v>
      </c>
      <c r="D2609" s="1548">
        <v>10.9</v>
      </c>
      <c r="E2609" s="1557">
        <v>32614.0</v>
      </c>
      <c r="F2609" s="598">
        <v>3227.0</v>
      </c>
      <c r="G2609" s="598">
        <v>337.0</v>
      </c>
      <c r="H2609" s="598">
        <v>640.0</v>
      </c>
      <c r="I2609" s="598">
        <v>1.0</v>
      </c>
      <c r="J2609" s="598">
        <v>4339.0</v>
      </c>
      <c r="K2609" s="1561">
        <v>5413.0</v>
      </c>
      <c r="L2609" s="1551">
        <v>89513.0</v>
      </c>
    </row>
    <row r="2610">
      <c r="A2610" s="1545" t="s">
        <v>101</v>
      </c>
      <c r="B2610" s="1587">
        <v>50412.0</v>
      </c>
      <c r="C2610" s="1547">
        <v>3253.0</v>
      </c>
      <c r="D2610" s="1548">
        <v>24.6</v>
      </c>
      <c r="E2610" s="1557">
        <v>32134.0</v>
      </c>
      <c r="F2610" s="598">
        <v>6426.0</v>
      </c>
      <c r="G2610" s="598">
        <v>464.0</v>
      </c>
      <c r="H2610" s="598">
        <v>263.0</v>
      </c>
      <c r="I2610" s="598">
        <v>18.0</v>
      </c>
      <c r="J2610" s="598">
        <v>6224.0</v>
      </c>
      <c r="K2610" s="1561">
        <v>4883.0</v>
      </c>
      <c r="L2610" s="1551">
        <v>43483.0</v>
      </c>
    </row>
    <row r="2611">
      <c r="A2611" s="1545" t="s">
        <v>2034</v>
      </c>
      <c r="B2611" s="1587">
        <v>6664.0</v>
      </c>
      <c r="C2611" s="1563">
        <v>360.0</v>
      </c>
      <c r="D2611" s="1548">
        <v>25.4</v>
      </c>
      <c r="E2611" s="1557">
        <v>4427.0</v>
      </c>
      <c r="F2611" s="598">
        <v>582.0</v>
      </c>
      <c r="G2611" s="598">
        <v>29.0</v>
      </c>
      <c r="H2611" s="598">
        <v>51.0</v>
      </c>
      <c r="I2611" s="598">
        <v>2.0</v>
      </c>
      <c r="J2611" s="598">
        <v>957.0</v>
      </c>
      <c r="K2611" s="1561">
        <v>616.0</v>
      </c>
      <c r="L2611" s="1551">
        <v>42291.0</v>
      </c>
    </row>
    <row r="2612">
      <c r="A2612" s="1545" t="s">
        <v>112</v>
      </c>
      <c r="B2612" s="1587">
        <v>10218.0</v>
      </c>
      <c r="C2612" s="1563">
        <v>348.0</v>
      </c>
      <c r="D2612" s="1548">
        <v>16.9</v>
      </c>
      <c r="E2612" s="1557">
        <v>9178.0</v>
      </c>
      <c r="F2612" s="598">
        <v>39.0</v>
      </c>
      <c r="G2612" s="598">
        <v>94.0</v>
      </c>
      <c r="H2612" s="598">
        <v>50.0</v>
      </c>
      <c r="I2612" s="598">
        <v>0.0</v>
      </c>
      <c r="J2612" s="598">
        <v>193.0</v>
      </c>
      <c r="K2612" s="1561">
        <v>664.0</v>
      </c>
      <c r="L2612" s="1551">
        <v>58356.0</v>
      </c>
    </row>
    <row r="2613">
      <c r="A2613" s="1545" t="s">
        <v>2035</v>
      </c>
      <c r="B2613" s="1587">
        <v>2547.0</v>
      </c>
      <c r="C2613" s="1563">
        <v>235.0</v>
      </c>
      <c r="D2613" s="1548">
        <v>31.8</v>
      </c>
      <c r="E2613" s="1557">
        <v>1448.0</v>
      </c>
      <c r="F2613" s="598">
        <v>71.0</v>
      </c>
      <c r="G2613" s="598">
        <v>11.0</v>
      </c>
      <c r="H2613" s="598">
        <v>4.0</v>
      </c>
      <c r="I2613" s="598">
        <v>0.0</v>
      </c>
      <c r="J2613" s="598">
        <v>580.0</v>
      </c>
      <c r="K2613" s="1561">
        <v>433.0</v>
      </c>
      <c r="L2613" s="1551">
        <v>42873.0</v>
      </c>
    </row>
    <row r="2614">
      <c r="A2614" s="1545" t="s">
        <v>2036</v>
      </c>
      <c r="B2614" s="1587">
        <v>3285.0</v>
      </c>
      <c r="C2614" s="1563">
        <v>149.0</v>
      </c>
      <c r="D2614" s="1548">
        <v>21.4</v>
      </c>
      <c r="E2614" s="1557">
        <v>2721.0</v>
      </c>
      <c r="F2614" s="598">
        <v>7.0</v>
      </c>
      <c r="G2614" s="598">
        <v>30.0</v>
      </c>
      <c r="H2614" s="598">
        <v>1.0</v>
      </c>
      <c r="I2614" s="598">
        <v>6.0</v>
      </c>
      <c r="J2614" s="598">
        <v>174.0</v>
      </c>
      <c r="K2614" s="1561">
        <v>346.0</v>
      </c>
      <c r="L2614" s="1551">
        <v>44804.0</v>
      </c>
    </row>
    <row r="2615">
      <c r="A2615" s="1545" t="s">
        <v>2037</v>
      </c>
      <c r="B2615" s="1587">
        <v>7684.0</v>
      </c>
      <c r="C2615" s="1563">
        <v>528.0</v>
      </c>
      <c r="D2615" s="1548">
        <v>30.6</v>
      </c>
      <c r="E2615" s="1557">
        <v>6582.0</v>
      </c>
      <c r="F2615" s="598">
        <v>151.0</v>
      </c>
      <c r="G2615" s="598">
        <v>65.0</v>
      </c>
      <c r="H2615" s="598">
        <v>32.0</v>
      </c>
      <c r="I2615" s="598">
        <v>0.0</v>
      </c>
      <c r="J2615" s="598">
        <v>334.0</v>
      </c>
      <c r="K2615" s="1561">
        <v>520.0</v>
      </c>
      <c r="L2615" s="1638">
        <v>39484.0</v>
      </c>
    </row>
    <row r="2616">
      <c r="A2616" s="1545" t="s">
        <v>405</v>
      </c>
      <c r="B2616" s="1587">
        <v>1064465.0</v>
      </c>
      <c r="C2616" s="1547">
        <v>17331.0</v>
      </c>
      <c r="D2616" s="1548">
        <v>6.7</v>
      </c>
      <c r="E2616" s="1557">
        <v>578412.0</v>
      </c>
      <c r="F2616" s="598">
        <v>110284.0</v>
      </c>
      <c r="G2616" s="598">
        <v>7490.0</v>
      </c>
      <c r="H2616" s="598">
        <v>189209.0</v>
      </c>
      <c r="I2616" s="598">
        <v>719.0</v>
      </c>
      <c r="J2616" s="598">
        <v>60156.0</v>
      </c>
      <c r="K2616" s="1561">
        <v>118195.0</v>
      </c>
      <c r="L2616" s="1551">
        <v>96936.0</v>
      </c>
    </row>
    <row r="2617">
      <c r="A2617" s="1545" t="s">
        <v>2038</v>
      </c>
      <c r="B2617" s="1587">
        <v>2652.0</v>
      </c>
      <c r="C2617" s="1563">
        <v>207.0</v>
      </c>
      <c r="D2617" s="1548">
        <v>26.7</v>
      </c>
      <c r="E2617" s="1557">
        <v>1928.0</v>
      </c>
      <c r="F2617" s="598">
        <v>121.0</v>
      </c>
      <c r="G2617" s="598">
        <v>37.0</v>
      </c>
      <c r="H2617" s="598">
        <v>9.0</v>
      </c>
      <c r="I2617" s="598">
        <v>1.0</v>
      </c>
      <c r="J2617" s="598">
        <v>269.0</v>
      </c>
      <c r="K2617" s="1561">
        <v>287.0</v>
      </c>
      <c r="L2617" s="1551">
        <v>39536.0</v>
      </c>
    </row>
    <row r="2618">
      <c r="A2618" s="1545" t="s">
        <v>36</v>
      </c>
      <c r="B2618" s="1587">
        <v>20557.0</v>
      </c>
      <c r="C2618" s="1547">
        <v>1047.0</v>
      </c>
      <c r="D2618" s="1548">
        <v>21.9</v>
      </c>
      <c r="E2618" s="1557">
        <v>13169.0</v>
      </c>
      <c r="F2618" s="598">
        <v>2335.0</v>
      </c>
      <c r="G2618" s="598">
        <v>100.0</v>
      </c>
      <c r="H2618" s="598">
        <v>83.0</v>
      </c>
      <c r="I2618" s="598">
        <v>0.0</v>
      </c>
      <c r="J2618" s="598">
        <v>2559.0</v>
      </c>
      <c r="K2618" s="1561">
        <v>2311.0</v>
      </c>
      <c r="L2618" s="1638">
        <v>48258.0</v>
      </c>
    </row>
    <row r="2619">
      <c r="A2619" s="1545" t="s">
        <v>2039</v>
      </c>
      <c r="B2619" s="1587">
        <v>161501.0</v>
      </c>
      <c r="C2619" s="1547">
        <v>3396.0</v>
      </c>
      <c r="D2619" s="1548">
        <v>10.2</v>
      </c>
      <c r="E2619" s="1557">
        <v>118292.0</v>
      </c>
      <c r="F2619" s="598">
        <v>3880.0</v>
      </c>
      <c r="G2619" s="598">
        <v>1135.0</v>
      </c>
      <c r="H2619" s="598">
        <v>1974.0</v>
      </c>
      <c r="I2619" s="598">
        <v>167.0</v>
      </c>
      <c r="J2619" s="598">
        <v>10023.0</v>
      </c>
      <c r="K2619" s="1561">
        <v>26030.0</v>
      </c>
      <c r="L2619" s="1551">
        <v>76523.0</v>
      </c>
    </row>
    <row r="2620">
      <c r="A2620" s="1545" t="s">
        <v>964</v>
      </c>
      <c r="B2620" s="1587">
        <v>13594.0</v>
      </c>
      <c r="C2620" s="1563">
        <v>732.0</v>
      </c>
      <c r="D2620" s="1548">
        <v>25.0</v>
      </c>
      <c r="E2620" s="1557">
        <v>10295.0</v>
      </c>
      <c r="F2620" s="598">
        <v>48.0</v>
      </c>
      <c r="G2620" s="598">
        <v>116.0</v>
      </c>
      <c r="H2620" s="598">
        <v>38.0</v>
      </c>
      <c r="I2620" s="598">
        <v>3.0</v>
      </c>
      <c r="J2620" s="598">
        <v>1421.0</v>
      </c>
      <c r="K2620" s="1561">
        <v>1673.0</v>
      </c>
      <c r="L2620" s="1551">
        <v>52251.0</v>
      </c>
    </row>
    <row r="2621">
      <c r="A2621" s="1545" t="s">
        <v>2041</v>
      </c>
      <c r="B2621" s="1587">
        <v>3303.0</v>
      </c>
      <c r="C2621" s="1563">
        <v>129.0</v>
      </c>
      <c r="D2621" s="1548">
        <v>25.7</v>
      </c>
      <c r="E2621" s="1557">
        <v>2518.0</v>
      </c>
      <c r="F2621" s="598">
        <v>82.0</v>
      </c>
      <c r="G2621" s="598">
        <v>19.0</v>
      </c>
      <c r="H2621" s="598">
        <v>23.0</v>
      </c>
      <c r="I2621" s="598">
        <v>1.0</v>
      </c>
      <c r="J2621" s="598">
        <v>341.0</v>
      </c>
      <c r="K2621" s="1561">
        <v>319.0</v>
      </c>
      <c r="L2621" s="1551">
        <v>40987.0</v>
      </c>
    </row>
    <row r="2622">
      <c r="A2622" s="1545" t="s">
        <v>2042</v>
      </c>
      <c r="B2622" s="1587">
        <v>41668.0</v>
      </c>
      <c r="C2622" s="1547">
        <v>2329.0</v>
      </c>
      <c r="D2622" s="1548">
        <v>24.9</v>
      </c>
      <c r="E2622" s="1557">
        <v>31641.0</v>
      </c>
      <c r="F2622" s="598">
        <v>1233.0</v>
      </c>
      <c r="G2622" s="598">
        <v>550.0</v>
      </c>
      <c r="H2622" s="598">
        <v>314.0</v>
      </c>
      <c r="I2622" s="598">
        <v>20.0</v>
      </c>
      <c r="J2622" s="598">
        <v>3178.0</v>
      </c>
      <c r="K2622" s="1561">
        <v>4732.0</v>
      </c>
      <c r="L2622" s="1638">
        <v>52047.0</v>
      </c>
    </row>
    <row r="2623">
      <c r="A2623" s="1545" t="s">
        <v>2043</v>
      </c>
      <c r="B2623" s="1587">
        <v>83093.0</v>
      </c>
      <c r="C2623" s="1547">
        <v>3384.0</v>
      </c>
      <c r="D2623" s="1548">
        <v>20.1</v>
      </c>
      <c r="E2623" s="1557">
        <v>50529.0</v>
      </c>
      <c r="F2623" s="598">
        <v>12356.0</v>
      </c>
      <c r="G2623" s="598">
        <v>672.0</v>
      </c>
      <c r="H2623" s="598">
        <v>1910.0</v>
      </c>
      <c r="I2623" s="598">
        <v>1093.0</v>
      </c>
      <c r="J2623" s="598">
        <v>6453.0</v>
      </c>
      <c r="K2623" s="1561">
        <v>10080.0</v>
      </c>
      <c r="L2623" s="1551">
        <v>48099.0</v>
      </c>
    </row>
    <row r="2624">
      <c r="A2624" s="1545" t="s">
        <v>2044</v>
      </c>
      <c r="B2624" s="1587">
        <v>1380.0</v>
      </c>
      <c r="C2624" s="1563">
        <v>127.0</v>
      </c>
      <c r="D2624" s="1548">
        <v>40.1</v>
      </c>
      <c r="E2624" s="1557">
        <v>1027.0</v>
      </c>
      <c r="F2624" s="598">
        <v>96.0</v>
      </c>
      <c r="G2624" s="598">
        <v>5.0</v>
      </c>
      <c r="H2624" s="598">
        <v>0.0</v>
      </c>
      <c r="I2624" s="598">
        <v>2.0</v>
      </c>
      <c r="J2624" s="598">
        <v>121.0</v>
      </c>
      <c r="K2624" s="1561">
        <v>129.0</v>
      </c>
      <c r="L2624" s="1551">
        <v>38304.0</v>
      </c>
    </row>
    <row r="2625">
      <c r="A2625" s="1545" t="s">
        <v>2046</v>
      </c>
      <c r="B2625" s="1587">
        <v>4675.0</v>
      </c>
      <c r="C2625" s="1563">
        <v>190.0</v>
      </c>
      <c r="D2625" s="1548">
        <v>13.6</v>
      </c>
      <c r="E2625" s="1557">
        <v>2488.0</v>
      </c>
      <c r="F2625" s="598">
        <v>77.0</v>
      </c>
      <c r="G2625" s="598">
        <v>36.0</v>
      </c>
      <c r="H2625" s="598">
        <v>22.0</v>
      </c>
      <c r="I2625" s="598">
        <v>0.0</v>
      </c>
      <c r="J2625" s="598">
        <v>914.0</v>
      </c>
      <c r="K2625" s="1561">
        <v>1138.0</v>
      </c>
      <c r="L2625" s="1551">
        <v>61987.0</v>
      </c>
    </row>
    <row r="2626">
      <c r="A2626" s="1545" t="s">
        <v>1900</v>
      </c>
      <c r="B2626" s="1587">
        <v>3098.0</v>
      </c>
      <c r="C2626" s="1563">
        <v>199.0</v>
      </c>
      <c r="D2626" s="1548">
        <v>23.4</v>
      </c>
      <c r="E2626" s="1557">
        <v>1882.0</v>
      </c>
      <c r="F2626" s="598">
        <v>18.0</v>
      </c>
      <c r="G2626" s="598">
        <v>30.0</v>
      </c>
      <c r="H2626" s="598">
        <v>10.0</v>
      </c>
      <c r="I2626" s="598">
        <v>1.0</v>
      </c>
      <c r="J2626" s="598">
        <v>451.0</v>
      </c>
      <c r="K2626" s="1561">
        <v>706.0</v>
      </c>
      <c r="L2626" s="1551">
        <v>49117.0</v>
      </c>
    </row>
    <row r="2627">
      <c r="A2627" s="1545" t="s">
        <v>2047</v>
      </c>
      <c r="B2627" s="1587">
        <v>5133.0</v>
      </c>
      <c r="C2627" s="1563">
        <v>563.0</v>
      </c>
      <c r="D2627" s="1548">
        <v>37.1</v>
      </c>
      <c r="E2627" s="1557">
        <v>3257.0</v>
      </c>
      <c r="F2627" s="598">
        <v>151.0</v>
      </c>
      <c r="G2627" s="598">
        <v>42.0</v>
      </c>
      <c r="H2627" s="598">
        <v>12.0</v>
      </c>
      <c r="I2627" s="598">
        <v>1.0</v>
      </c>
      <c r="J2627" s="598">
        <v>881.0</v>
      </c>
      <c r="K2627" s="1561">
        <v>789.0</v>
      </c>
      <c r="L2627" s="1551">
        <v>37911.0</v>
      </c>
    </row>
    <row r="2628">
      <c r="A2628" s="1545" t="s">
        <v>2049</v>
      </c>
      <c r="B2628" s="1587">
        <v>2188.0</v>
      </c>
      <c r="C2628" s="1563">
        <v>162.0</v>
      </c>
      <c r="D2628" s="1548">
        <v>32.7</v>
      </c>
      <c r="E2628" s="1557">
        <v>1014.0</v>
      </c>
      <c r="F2628" s="598">
        <v>21.0</v>
      </c>
      <c r="G2628" s="598">
        <v>25.0</v>
      </c>
      <c r="H2628" s="598">
        <v>28.0</v>
      </c>
      <c r="I2628" s="598">
        <v>0.0</v>
      </c>
      <c r="J2628" s="598">
        <v>509.0</v>
      </c>
      <c r="K2628" s="1561">
        <v>591.0</v>
      </c>
      <c r="L2628" s="1551">
        <v>42164.0</v>
      </c>
    </row>
    <row r="2629">
      <c r="A2629" s="1545" t="s">
        <v>2050</v>
      </c>
      <c r="B2629" s="1587">
        <v>7115.0</v>
      </c>
      <c r="C2629" s="1563">
        <v>409.0</v>
      </c>
      <c r="D2629" s="1548">
        <v>18.1</v>
      </c>
      <c r="E2629" s="1557">
        <v>3879.0</v>
      </c>
      <c r="F2629" s="598">
        <v>76.0</v>
      </c>
      <c r="G2629" s="598">
        <v>121.0</v>
      </c>
      <c r="H2629" s="598">
        <v>13.0</v>
      </c>
      <c r="I2629" s="598">
        <v>3.0</v>
      </c>
      <c r="J2629" s="598">
        <v>1331.0</v>
      </c>
      <c r="K2629" s="1561">
        <v>1692.0</v>
      </c>
      <c r="L2629" s="1638">
        <v>50587.0</v>
      </c>
    </row>
    <row r="2630">
      <c r="A2630" s="1545" t="s">
        <v>130</v>
      </c>
      <c r="B2630" s="1587">
        <v>2613539.0</v>
      </c>
      <c r="C2630" s="1547">
        <v>141359.0</v>
      </c>
      <c r="D2630" s="1548">
        <v>20.7</v>
      </c>
      <c r="E2630" s="1557">
        <v>924283.0</v>
      </c>
      <c r="F2630" s="598">
        <v>574183.0</v>
      </c>
      <c r="G2630" s="598">
        <v>31453.0</v>
      </c>
      <c r="H2630" s="598">
        <v>183124.0</v>
      </c>
      <c r="I2630" s="598">
        <v>1716.0</v>
      </c>
      <c r="J2630" s="598">
        <v>477660.0</v>
      </c>
      <c r="K2630" s="1561">
        <v>421120.0</v>
      </c>
      <c r="L2630" s="1551">
        <v>59838.0</v>
      </c>
    </row>
    <row r="2631">
      <c r="A2631" s="1545" t="s">
        <v>562</v>
      </c>
      <c r="B2631" s="1587">
        <v>12456.0</v>
      </c>
      <c r="C2631" s="1563">
        <v>948.0</v>
      </c>
      <c r="D2631" s="1548">
        <v>29.9</v>
      </c>
      <c r="E2631" s="1557">
        <v>7609.0</v>
      </c>
      <c r="F2631" s="598">
        <v>899.0</v>
      </c>
      <c r="G2631" s="598">
        <v>100.0</v>
      </c>
      <c r="H2631" s="598">
        <v>56.0</v>
      </c>
      <c r="I2631" s="598">
        <v>4.0</v>
      </c>
      <c r="J2631" s="598">
        <v>1820.0</v>
      </c>
      <c r="K2631" s="1561">
        <v>1968.0</v>
      </c>
      <c r="L2631" s="1551">
        <v>43726.0</v>
      </c>
    </row>
    <row r="2632">
      <c r="A2632" s="1545" t="s">
        <v>2052</v>
      </c>
      <c r="B2632" s="1587">
        <v>18583.0</v>
      </c>
      <c r="C2632" s="1547">
        <v>1450.0</v>
      </c>
      <c r="D2632" s="1548">
        <v>25.3</v>
      </c>
      <c r="E2632" s="1557">
        <v>9054.0</v>
      </c>
      <c r="F2632" s="598">
        <v>174.0</v>
      </c>
      <c r="G2632" s="598">
        <v>196.0</v>
      </c>
      <c r="H2632" s="598">
        <v>63.0</v>
      </c>
      <c r="I2632" s="598">
        <v>3.0</v>
      </c>
      <c r="J2632" s="598">
        <v>4503.0</v>
      </c>
      <c r="K2632" s="1561">
        <v>4590.0</v>
      </c>
      <c r="L2632" s="1551">
        <v>44230.0</v>
      </c>
    </row>
    <row r="2633">
      <c r="A2633" s="1545" t="s">
        <v>407</v>
      </c>
      <c r="B2633" s="1587">
        <v>5230.0</v>
      </c>
      <c r="C2633" s="1563">
        <v>318.0</v>
      </c>
      <c r="D2633" s="1548">
        <v>26.0</v>
      </c>
      <c r="E2633" s="1557">
        <v>4317.0</v>
      </c>
      <c r="F2633" s="598">
        <v>312.0</v>
      </c>
      <c r="G2633" s="598">
        <v>48.0</v>
      </c>
      <c r="H2633" s="598">
        <v>37.0</v>
      </c>
      <c r="I2633" s="598">
        <v>5.0</v>
      </c>
      <c r="J2633" s="598">
        <v>146.0</v>
      </c>
      <c r="K2633" s="1561">
        <v>365.0</v>
      </c>
      <c r="L2633" s="1638">
        <v>44410.0</v>
      </c>
    </row>
    <row r="2634">
      <c r="A2634" s="1545" t="s">
        <v>485</v>
      </c>
      <c r="B2634" s="1587">
        <v>906422.0</v>
      </c>
      <c r="C2634" s="1547">
        <v>17019.0</v>
      </c>
      <c r="D2634" s="1548">
        <v>8.1</v>
      </c>
      <c r="E2634" s="1557">
        <v>526363.0</v>
      </c>
      <c r="F2634" s="598">
        <v>97847.0</v>
      </c>
      <c r="G2634" s="598">
        <v>7472.0</v>
      </c>
      <c r="H2634" s="598">
        <v>93463.0</v>
      </c>
      <c r="I2634" s="598">
        <v>754.0</v>
      </c>
      <c r="J2634" s="598">
        <v>64423.0</v>
      </c>
      <c r="K2634" s="1561">
        <v>116100.0</v>
      </c>
      <c r="L2634" s="1551">
        <v>88384.0</v>
      </c>
    </row>
    <row r="2635">
      <c r="A2635" s="1545" t="s">
        <v>2531</v>
      </c>
      <c r="B2635" s="1587">
        <v>19824.0</v>
      </c>
      <c r="C2635" s="1547">
        <v>1121.0</v>
      </c>
      <c r="D2635" s="1548">
        <v>25.2</v>
      </c>
      <c r="E2635" s="1557">
        <v>13313.0</v>
      </c>
      <c r="F2635" s="598">
        <v>1673.0</v>
      </c>
      <c r="G2635" s="598">
        <v>114.0</v>
      </c>
      <c r="H2635" s="598">
        <v>70.0</v>
      </c>
      <c r="I2635" s="598">
        <v>7.0</v>
      </c>
      <c r="J2635" s="598">
        <v>2504.0</v>
      </c>
      <c r="K2635" s="1561">
        <v>2143.0</v>
      </c>
      <c r="L2635" s="1551">
        <v>49208.0</v>
      </c>
    </row>
    <row r="2636">
      <c r="A2636" s="1545" t="s">
        <v>2056</v>
      </c>
      <c r="B2636" s="1587">
        <v>1770.0</v>
      </c>
      <c r="C2636" s="1563">
        <v>114.0</v>
      </c>
      <c r="D2636" s="1548">
        <v>27.5</v>
      </c>
      <c r="E2636" s="1557">
        <v>1363.0</v>
      </c>
      <c r="F2636" s="598">
        <v>30.0</v>
      </c>
      <c r="G2636" s="598">
        <v>12.0</v>
      </c>
      <c r="H2636" s="598">
        <v>2.0</v>
      </c>
      <c r="I2636" s="598">
        <v>2.0</v>
      </c>
      <c r="J2636" s="598">
        <v>163.0</v>
      </c>
      <c r="K2636" s="1561">
        <v>198.0</v>
      </c>
      <c r="L2636" s="1551">
        <v>39627.0</v>
      </c>
    </row>
    <row r="2637">
      <c r="A2637" s="1545" t="s">
        <v>2057</v>
      </c>
      <c r="B2637" s="1587">
        <v>8615.0</v>
      </c>
      <c r="C2637" s="1547">
        <v>1058.0</v>
      </c>
      <c r="D2637" s="1548">
        <v>35.8</v>
      </c>
      <c r="E2637" s="1557">
        <v>3852.0</v>
      </c>
      <c r="F2637" s="598">
        <v>89.0</v>
      </c>
      <c r="G2637" s="598">
        <v>54.0</v>
      </c>
      <c r="H2637" s="598">
        <v>71.0</v>
      </c>
      <c r="I2637" s="598">
        <v>13.0</v>
      </c>
      <c r="J2637" s="598">
        <v>1531.0</v>
      </c>
      <c r="K2637" s="1561">
        <v>3005.0</v>
      </c>
      <c r="L2637" s="1551">
        <v>37177.0</v>
      </c>
    </row>
    <row r="2638">
      <c r="A2638" s="1545" t="s">
        <v>2059</v>
      </c>
      <c r="B2638" s="1587">
        <v>3258.0</v>
      </c>
      <c r="C2638" s="1563">
        <v>179.0</v>
      </c>
      <c r="D2638" s="1548">
        <v>27.8</v>
      </c>
      <c r="E2638" s="1557">
        <v>2648.0</v>
      </c>
      <c r="F2638" s="598">
        <v>172.0</v>
      </c>
      <c r="G2638" s="598">
        <v>31.0</v>
      </c>
      <c r="H2638" s="598">
        <v>10.0</v>
      </c>
      <c r="I2638" s="598">
        <v>1.0</v>
      </c>
      <c r="J2638" s="598">
        <v>120.0</v>
      </c>
      <c r="K2638" s="1561">
        <v>276.0</v>
      </c>
      <c r="L2638" s="1551">
        <v>40945.0</v>
      </c>
    </row>
    <row r="2639">
      <c r="A2639" s="1545" t="s">
        <v>433</v>
      </c>
      <c r="B2639" s="1587">
        <v>9831.0</v>
      </c>
      <c r="C2639" s="1563">
        <v>996.0</v>
      </c>
      <c r="D2639" s="1548">
        <v>36.1</v>
      </c>
      <c r="E2639" s="1557">
        <v>4994.0</v>
      </c>
      <c r="F2639" s="598">
        <v>160.0</v>
      </c>
      <c r="G2639" s="598">
        <v>52.0</v>
      </c>
      <c r="H2639" s="598">
        <v>45.0</v>
      </c>
      <c r="I2639" s="598">
        <v>0.0</v>
      </c>
      <c r="J2639" s="598">
        <v>1230.0</v>
      </c>
      <c r="K2639" s="1561">
        <v>3350.0</v>
      </c>
      <c r="L2639" s="1551">
        <v>35156.0</v>
      </c>
    </row>
    <row r="2640">
      <c r="A2640" s="1545" t="s">
        <v>2061</v>
      </c>
      <c r="B2640" s="1587">
        <v>17725.0</v>
      </c>
      <c r="C2640" s="1547">
        <v>1005.0</v>
      </c>
      <c r="D2640" s="1548">
        <v>26.1</v>
      </c>
      <c r="E2640" s="1557">
        <v>14677.0</v>
      </c>
      <c r="F2640" s="598">
        <v>356.0</v>
      </c>
      <c r="G2640" s="598">
        <v>150.0</v>
      </c>
      <c r="H2640" s="598">
        <v>104.0</v>
      </c>
      <c r="I2640" s="598">
        <v>16.0</v>
      </c>
      <c r="J2640" s="598">
        <v>963.0</v>
      </c>
      <c r="K2640" s="1561">
        <v>1459.0</v>
      </c>
      <c r="L2640" s="1638">
        <v>44773.0</v>
      </c>
    </row>
    <row r="2641">
      <c r="A2641" s="1545" t="s">
        <v>2062</v>
      </c>
      <c r="B2641" s="1587">
        <v>165171.0</v>
      </c>
      <c r="C2641" s="1547">
        <v>8634.0</v>
      </c>
      <c r="D2641" s="1548">
        <v>17.9</v>
      </c>
      <c r="E2641" s="1557">
        <v>79965.0</v>
      </c>
      <c r="F2641" s="598">
        <v>8031.0</v>
      </c>
      <c r="G2641" s="598">
        <v>1657.0</v>
      </c>
      <c r="H2641" s="598">
        <v>2339.0</v>
      </c>
      <c r="I2641" s="598">
        <v>356.0</v>
      </c>
      <c r="J2641" s="598">
        <v>34223.0</v>
      </c>
      <c r="K2641" s="1561">
        <v>38600.0</v>
      </c>
      <c r="L2641" s="1551">
        <v>60431.0</v>
      </c>
    </row>
    <row r="2642">
      <c r="A2642" s="1545" t="s">
        <v>717</v>
      </c>
      <c r="B2642" s="1587">
        <v>1422.0</v>
      </c>
      <c r="C2642" s="1563">
        <v>162.0</v>
      </c>
      <c r="D2642" s="1548">
        <v>37.3</v>
      </c>
      <c r="E2642" s="1557">
        <v>961.0</v>
      </c>
      <c r="F2642" s="598">
        <v>2.0</v>
      </c>
      <c r="G2642" s="598">
        <v>9.0</v>
      </c>
      <c r="H2642" s="598">
        <v>11.0</v>
      </c>
      <c r="I2642" s="598">
        <v>1.0</v>
      </c>
      <c r="J2642" s="598">
        <v>115.0</v>
      </c>
      <c r="K2642" s="1561">
        <v>323.0</v>
      </c>
      <c r="L2642" s="1638">
        <v>37812.0</v>
      </c>
    </row>
    <row r="2643">
      <c r="A2643" s="1545" t="s">
        <v>969</v>
      </c>
      <c r="B2643" s="1587">
        <v>192455.0</v>
      </c>
      <c r="C2643" s="1547">
        <v>6602.0</v>
      </c>
      <c r="D2643" s="1548">
        <v>14.0</v>
      </c>
      <c r="E2643" s="1557">
        <v>118993.0</v>
      </c>
      <c r="F2643" s="598">
        <v>24305.0</v>
      </c>
      <c r="G2643" s="598">
        <v>1688.0</v>
      </c>
      <c r="H2643" s="598">
        <v>1582.0</v>
      </c>
      <c r="I2643" s="598">
        <v>218.0</v>
      </c>
      <c r="J2643" s="598">
        <v>20010.0</v>
      </c>
      <c r="K2643" s="1561">
        <v>25659.0</v>
      </c>
      <c r="L2643" s="1638">
        <v>76792.0</v>
      </c>
    </row>
    <row r="2644">
      <c r="A2644" s="1545" t="s">
        <v>415</v>
      </c>
      <c r="B2644" s="1587">
        <v>865657.0</v>
      </c>
      <c r="C2644" s="1547">
        <v>65348.0</v>
      </c>
      <c r="D2644" s="1548">
        <v>28.9</v>
      </c>
      <c r="E2644" s="1557">
        <v>313741.0</v>
      </c>
      <c r="F2644" s="598">
        <v>29054.0</v>
      </c>
      <c r="G2644" s="598">
        <v>10337.0</v>
      </c>
      <c r="H2644" s="598">
        <v>12073.0</v>
      </c>
      <c r="I2644" s="598">
        <v>1885.0</v>
      </c>
      <c r="J2644" s="598">
        <v>188300.0</v>
      </c>
      <c r="K2644" s="1561">
        <v>310267.0</v>
      </c>
      <c r="L2644" s="1551">
        <v>43948.0</v>
      </c>
    </row>
    <row r="2645">
      <c r="A2645" s="1545" t="s">
        <v>2064</v>
      </c>
      <c r="B2645" s="1587">
        <v>42545.0</v>
      </c>
      <c r="C2645" s="1547">
        <v>1713.0</v>
      </c>
      <c r="D2645" s="1548">
        <v>20.1</v>
      </c>
      <c r="E2645" s="1557">
        <v>32674.0</v>
      </c>
      <c r="F2645" s="598">
        <v>1247.0</v>
      </c>
      <c r="G2645" s="598">
        <v>416.0</v>
      </c>
      <c r="H2645" s="598">
        <v>353.0</v>
      </c>
      <c r="I2645" s="598">
        <v>14.0</v>
      </c>
      <c r="J2645" s="598">
        <v>3652.0</v>
      </c>
      <c r="K2645" s="1561">
        <v>4189.0</v>
      </c>
      <c r="L2645" s="1551">
        <v>47087.0</v>
      </c>
    </row>
    <row r="2646">
      <c r="A2646" s="1545" t="s">
        <v>2065</v>
      </c>
      <c r="B2646" s="1587">
        <v>16968.0</v>
      </c>
      <c r="C2646" s="1563">
        <v>988.0</v>
      </c>
      <c r="D2646" s="1548">
        <v>27.7</v>
      </c>
      <c r="E2646" s="1557">
        <v>9870.0</v>
      </c>
      <c r="F2646" s="598">
        <v>3792.0</v>
      </c>
      <c r="G2646" s="598">
        <v>114.0</v>
      </c>
      <c r="H2646" s="598">
        <v>56.0</v>
      </c>
      <c r="I2646" s="598">
        <v>8.0</v>
      </c>
      <c r="J2646" s="598">
        <v>1781.0</v>
      </c>
      <c r="K2646" s="1561">
        <v>1347.0</v>
      </c>
      <c r="L2646" s="1551">
        <v>37428.0</v>
      </c>
    </row>
    <row r="2647">
      <c r="A2647" s="1545" t="s">
        <v>574</v>
      </c>
      <c r="B2647" s="1587">
        <v>35662.0</v>
      </c>
      <c r="C2647" s="1547">
        <v>1453.0</v>
      </c>
      <c r="D2647" s="1548">
        <v>19.5</v>
      </c>
      <c r="E2647" s="1557">
        <v>28249.0</v>
      </c>
      <c r="F2647" s="598">
        <v>2217.0</v>
      </c>
      <c r="G2647" s="598">
        <v>417.0</v>
      </c>
      <c r="H2647" s="598">
        <v>152.0</v>
      </c>
      <c r="I2647" s="598">
        <v>25.0</v>
      </c>
      <c r="J2647" s="598">
        <v>1989.0</v>
      </c>
      <c r="K2647" s="1561">
        <v>2613.0</v>
      </c>
      <c r="L2647" s="1551">
        <v>53111.0</v>
      </c>
    </row>
    <row r="2648">
      <c r="A2648" s="1545" t="s">
        <v>135</v>
      </c>
      <c r="B2648" s="1587">
        <v>24435.0</v>
      </c>
      <c r="C2648" s="1563">
        <v>981.0</v>
      </c>
      <c r="D2648" s="1548">
        <v>19.4</v>
      </c>
      <c r="E2648" s="1557">
        <v>18286.0</v>
      </c>
      <c r="F2648" s="598">
        <v>1462.0</v>
      </c>
      <c r="G2648" s="598">
        <v>174.0</v>
      </c>
      <c r="H2648" s="598">
        <v>71.0</v>
      </c>
      <c r="I2648" s="598">
        <v>6.0</v>
      </c>
      <c r="J2648" s="598">
        <v>1923.0</v>
      </c>
      <c r="K2648" s="1561">
        <v>2513.0</v>
      </c>
      <c r="L2648" s="1551">
        <v>55776.0</v>
      </c>
    </row>
    <row r="2649">
      <c r="A2649" s="1545" t="s">
        <v>2066</v>
      </c>
      <c r="B2649" s="1587">
        <v>3672.0</v>
      </c>
      <c r="C2649" s="1563">
        <v>171.0</v>
      </c>
      <c r="D2649" s="1548">
        <v>21.3</v>
      </c>
      <c r="E2649" s="1557">
        <v>2921.0</v>
      </c>
      <c r="F2649" s="598">
        <v>107.0</v>
      </c>
      <c r="G2649" s="598">
        <v>30.0</v>
      </c>
      <c r="H2649" s="598">
        <v>14.0</v>
      </c>
      <c r="I2649" s="598">
        <v>2.0</v>
      </c>
      <c r="J2649" s="598">
        <v>254.0</v>
      </c>
      <c r="K2649" s="1561">
        <v>344.0</v>
      </c>
      <c r="L2649" s="1551">
        <v>45261.0</v>
      </c>
    </row>
    <row r="2650">
      <c r="A2650" s="1545" t="s">
        <v>575</v>
      </c>
      <c r="B2650" s="1587">
        <v>5402.0</v>
      </c>
      <c r="C2650" s="1563">
        <v>519.0</v>
      </c>
      <c r="D2650" s="1548">
        <v>33.3</v>
      </c>
      <c r="E2650" s="1557">
        <v>3101.0</v>
      </c>
      <c r="F2650" s="598">
        <v>158.0</v>
      </c>
      <c r="G2650" s="598">
        <v>15.0</v>
      </c>
      <c r="H2650" s="598">
        <v>12.0</v>
      </c>
      <c r="I2650" s="598">
        <v>5.0</v>
      </c>
      <c r="J2650" s="598">
        <v>658.0</v>
      </c>
      <c r="K2650" s="1561">
        <v>1453.0</v>
      </c>
      <c r="L2650" s="1551">
        <v>39891.0</v>
      </c>
    </row>
    <row r="2651">
      <c r="A2651" s="1545" t="s">
        <v>2067</v>
      </c>
      <c r="B2651" s="1587">
        <v>1095.0</v>
      </c>
      <c r="C2651" s="1563">
        <v>76.0</v>
      </c>
      <c r="D2651" s="1548">
        <v>31.0</v>
      </c>
      <c r="E2651" s="1557">
        <v>924.0</v>
      </c>
      <c r="F2651" s="598">
        <v>19.0</v>
      </c>
      <c r="G2651" s="598">
        <v>0.0</v>
      </c>
      <c r="H2651" s="598">
        <v>5.0</v>
      </c>
      <c r="I2651" s="598">
        <v>1.0</v>
      </c>
      <c r="J2651" s="598">
        <v>81.0</v>
      </c>
      <c r="K2651" s="1561">
        <v>65.0</v>
      </c>
      <c r="L2651" s="1638">
        <v>37648.0</v>
      </c>
    </row>
    <row r="2652">
      <c r="A2652" s="1545" t="s">
        <v>527</v>
      </c>
      <c r="B2652" s="1587">
        <v>822779.0</v>
      </c>
      <c r="C2652" s="1547">
        <v>22372.0</v>
      </c>
      <c r="D2652" s="1548">
        <v>10.4</v>
      </c>
      <c r="E2652" s="1557">
        <v>282222.0</v>
      </c>
      <c r="F2652" s="598">
        <v>170978.0</v>
      </c>
      <c r="G2652" s="598">
        <v>4574.0</v>
      </c>
      <c r="H2652" s="598">
        <v>182537.0</v>
      </c>
      <c r="I2652" s="598">
        <v>371.0</v>
      </c>
      <c r="J2652" s="598">
        <v>75180.0</v>
      </c>
      <c r="K2652" s="1561">
        <v>106917.0</v>
      </c>
      <c r="L2652" s="1551">
        <v>92310.0</v>
      </c>
    </row>
    <row r="2653">
      <c r="A2653" s="1545" t="s">
        <v>136</v>
      </c>
      <c r="B2653" s="1587">
        <v>10359.0</v>
      </c>
      <c r="C2653" s="1563">
        <v>599.0</v>
      </c>
      <c r="D2653" s="1548">
        <v>23.9</v>
      </c>
      <c r="E2653" s="1557">
        <v>8138.0</v>
      </c>
      <c r="F2653" s="598">
        <v>399.0</v>
      </c>
      <c r="G2653" s="598">
        <v>77.0</v>
      </c>
      <c r="H2653" s="598">
        <v>68.0</v>
      </c>
      <c r="I2653" s="598">
        <v>6.0</v>
      </c>
      <c r="J2653" s="598">
        <v>708.0</v>
      </c>
      <c r="K2653" s="1561">
        <v>963.0</v>
      </c>
      <c r="L2653" s="1551">
        <v>48222.0</v>
      </c>
    </row>
    <row r="2654">
      <c r="A2654" s="1545" t="s">
        <v>2068</v>
      </c>
      <c r="B2654" s="1587">
        <v>19435.0</v>
      </c>
      <c r="C2654" s="1563">
        <v>859.0</v>
      </c>
      <c r="D2654" s="1548">
        <v>19.3</v>
      </c>
      <c r="E2654" s="1557">
        <v>13337.0</v>
      </c>
      <c r="F2654" s="598">
        <v>2765.0</v>
      </c>
      <c r="G2654" s="598">
        <v>146.0</v>
      </c>
      <c r="H2654" s="598">
        <v>73.0</v>
      </c>
      <c r="I2654" s="598">
        <v>14.0</v>
      </c>
      <c r="J2654" s="598">
        <v>1903.0</v>
      </c>
      <c r="K2654" s="1561">
        <v>1197.0</v>
      </c>
      <c r="L2654" s="1551">
        <v>49317.0</v>
      </c>
    </row>
    <row r="2655">
      <c r="A2655" s="1545" t="s">
        <v>2069</v>
      </c>
      <c r="B2655" s="1587">
        <v>18385.0</v>
      </c>
      <c r="C2655" s="1547">
        <v>1524.0</v>
      </c>
      <c r="D2655" s="1548">
        <v>33.9</v>
      </c>
      <c r="E2655" s="1557">
        <v>8518.0</v>
      </c>
      <c r="F2655" s="598">
        <v>719.0</v>
      </c>
      <c r="G2655" s="598">
        <v>130.0</v>
      </c>
      <c r="H2655" s="598">
        <v>199.0</v>
      </c>
      <c r="I2655" s="598">
        <v>9.0</v>
      </c>
      <c r="J2655" s="598">
        <v>5020.0</v>
      </c>
      <c r="K2655" s="1561">
        <v>3790.0</v>
      </c>
      <c r="L2655" s="1551">
        <v>41038.0</v>
      </c>
    </row>
    <row r="2656">
      <c r="A2656" s="1545" t="s">
        <v>2070</v>
      </c>
      <c r="B2656" s="1587">
        <v>21598.0</v>
      </c>
      <c r="C2656" s="1547">
        <v>1640.0</v>
      </c>
      <c r="D2656" s="1548">
        <v>22.0</v>
      </c>
      <c r="E2656" s="1557">
        <v>15175.0</v>
      </c>
      <c r="F2656" s="598">
        <v>282.0</v>
      </c>
      <c r="G2656" s="598">
        <v>112.0</v>
      </c>
      <c r="H2656" s="598">
        <v>75.0</v>
      </c>
      <c r="I2656" s="598">
        <v>10.0</v>
      </c>
      <c r="J2656" s="598">
        <v>2180.0</v>
      </c>
      <c r="K2656" s="1561">
        <v>3764.0</v>
      </c>
      <c r="L2656" s="1638">
        <v>56321.0</v>
      </c>
    </row>
    <row r="2657">
      <c r="A2657" s="1545" t="s">
        <v>2071</v>
      </c>
      <c r="B2657" s="1587">
        <v>350682.0</v>
      </c>
      <c r="C2657" s="1547">
        <v>13421.0</v>
      </c>
      <c r="D2657" s="1548">
        <v>16.6</v>
      </c>
      <c r="E2657" s="1557">
        <v>214512.0</v>
      </c>
      <c r="F2657" s="598">
        <v>44229.0</v>
      </c>
      <c r="G2657" s="598">
        <v>2703.0</v>
      </c>
      <c r="H2657" s="598">
        <v>12482.0</v>
      </c>
      <c r="I2657" s="598">
        <v>296.0</v>
      </c>
      <c r="J2657" s="598">
        <v>29354.0</v>
      </c>
      <c r="K2657" s="1561">
        <v>47106.0</v>
      </c>
      <c r="L2657" s="1638">
        <v>71959.0</v>
      </c>
    </row>
    <row r="2658">
      <c r="A2658" s="1545" t="s">
        <v>2072</v>
      </c>
      <c r="B2658" s="1587">
        <v>5816.0</v>
      </c>
      <c r="C2658" s="1563">
        <v>277.0</v>
      </c>
      <c r="D2658" s="1548">
        <v>26.4</v>
      </c>
      <c r="E2658" s="1557">
        <v>4325.0</v>
      </c>
      <c r="F2658" s="598">
        <v>297.0</v>
      </c>
      <c r="G2658" s="598">
        <v>32.0</v>
      </c>
      <c r="H2658" s="598">
        <v>28.0</v>
      </c>
      <c r="I2658" s="598">
        <v>0.0</v>
      </c>
      <c r="J2658" s="598">
        <v>678.0</v>
      </c>
      <c r="K2658" s="1561">
        <v>456.0</v>
      </c>
      <c r="L2658" s="1551">
        <v>46490.0</v>
      </c>
    </row>
    <row r="2659">
      <c r="A2659" s="1545" t="s">
        <v>2073</v>
      </c>
      <c r="B2659" s="1587">
        <v>26725.0</v>
      </c>
      <c r="C2659" s="1563">
        <v>831.0</v>
      </c>
      <c r="D2659" s="1548">
        <v>15.7</v>
      </c>
      <c r="E2659" s="1557">
        <v>21373.0</v>
      </c>
      <c r="F2659" s="598">
        <v>110.0</v>
      </c>
      <c r="G2659" s="598">
        <v>165.0</v>
      </c>
      <c r="H2659" s="598">
        <v>131.0</v>
      </c>
      <c r="I2659" s="598">
        <v>1.0</v>
      </c>
      <c r="J2659" s="598">
        <v>1584.0</v>
      </c>
      <c r="K2659" s="1561">
        <v>3361.0</v>
      </c>
      <c r="L2659" s="1551">
        <v>61433.0</v>
      </c>
    </row>
    <row r="2660">
      <c r="A2660" s="1545" t="s">
        <v>2074</v>
      </c>
      <c r="B2660" s="1587">
        <v>1116.0</v>
      </c>
      <c r="C2660" s="1563">
        <v>48.0</v>
      </c>
      <c r="D2660" s="1548">
        <v>13.3</v>
      </c>
      <c r="E2660" s="1557">
        <v>858.0</v>
      </c>
      <c r="F2660" s="598">
        <v>8.0</v>
      </c>
      <c r="G2660" s="598">
        <v>7.0</v>
      </c>
      <c r="H2660" s="598">
        <v>0.0</v>
      </c>
      <c r="I2660" s="598">
        <v>3.0</v>
      </c>
      <c r="J2660" s="598">
        <v>90.0</v>
      </c>
      <c r="K2660" s="1561">
        <v>150.0</v>
      </c>
      <c r="L2660" s="1551">
        <v>83330.0</v>
      </c>
    </row>
    <row r="2661">
      <c r="A2661" s="1545" t="s">
        <v>2075</v>
      </c>
      <c r="B2661" s="1587">
        <v>7012.0</v>
      </c>
      <c r="C2661" s="1563">
        <v>359.0</v>
      </c>
      <c r="D2661" s="1548">
        <v>22.6</v>
      </c>
      <c r="E2661" s="1557">
        <v>5127.0</v>
      </c>
      <c r="F2661" s="598">
        <v>276.0</v>
      </c>
      <c r="G2661" s="598">
        <v>31.0</v>
      </c>
      <c r="H2661" s="598">
        <v>28.0</v>
      </c>
      <c r="I2661" s="598">
        <v>0.0</v>
      </c>
      <c r="J2661" s="598">
        <v>525.0</v>
      </c>
      <c r="K2661" s="1561">
        <v>1025.0</v>
      </c>
      <c r="L2661" s="1551">
        <v>55008.0</v>
      </c>
    </row>
    <row r="2662">
      <c r="A2662" s="1545" t="s">
        <v>2076</v>
      </c>
      <c r="B2662" s="1587">
        <v>19653.0</v>
      </c>
      <c r="C2662" s="1547">
        <v>1402.0</v>
      </c>
      <c r="D2662" s="1548">
        <v>25.3</v>
      </c>
      <c r="E2662" s="1557">
        <v>11341.0</v>
      </c>
      <c r="F2662" s="598">
        <v>1186.0</v>
      </c>
      <c r="G2662" s="598">
        <v>156.0</v>
      </c>
      <c r="H2662" s="598">
        <v>67.0</v>
      </c>
      <c r="I2662" s="598">
        <v>10.0</v>
      </c>
      <c r="J2662" s="598">
        <v>3628.0</v>
      </c>
      <c r="K2662" s="1561">
        <v>3265.0</v>
      </c>
      <c r="L2662" s="1551">
        <v>49829.0</v>
      </c>
    </row>
    <row r="2663">
      <c r="A2663" s="1545" t="s">
        <v>975</v>
      </c>
      <c r="B2663" s="1587">
        <v>21227.0</v>
      </c>
      <c r="C2663" s="1547">
        <v>1223.0</v>
      </c>
      <c r="D2663" s="1548">
        <v>21.9</v>
      </c>
      <c r="E2663" s="1557">
        <v>14631.0</v>
      </c>
      <c r="F2663" s="598">
        <v>868.0</v>
      </c>
      <c r="G2663" s="598">
        <v>205.0</v>
      </c>
      <c r="H2663" s="598">
        <v>128.0</v>
      </c>
      <c r="I2663" s="598">
        <v>0.0</v>
      </c>
      <c r="J2663" s="598">
        <v>2668.0</v>
      </c>
      <c r="K2663" s="1561">
        <v>2727.0</v>
      </c>
      <c r="L2663" s="1638">
        <v>49121.0</v>
      </c>
    </row>
    <row r="2664">
      <c r="A2664" s="1545" t="s">
        <v>1072</v>
      </c>
      <c r="B2664" s="1587">
        <v>135543.0</v>
      </c>
      <c r="C2664" s="1547">
        <v>5208.0</v>
      </c>
      <c r="D2664" s="1548">
        <v>16.6</v>
      </c>
      <c r="E2664" s="1557">
        <v>99852.0</v>
      </c>
      <c r="F2664" s="598">
        <v>7663.0</v>
      </c>
      <c r="G2664" s="598">
        <v>2387.0</v>
      </c>
      <c r="H2664" s="598">
        <v>1990.0</v>
      </c>
      <c r="I2664" s="598">
        <v>83.0</v>
      </c>
      <c r="J2664" s="598">
        <v>9435.0</v>
      </c>
      <c r="K2664" s="1561">
        <v>14133.0</v>
      </c>
      <c r="L2664" s="1638">
        <v>51403.0</v>
      </c>
    </row>
    <row r="2665">
      <c r="A2665" s="1545" t="s">
        <v>2078</v>
      </c>
      <c r="B2665" s="1587">
        <v>124239.0</v>
      </c>
      <c r="C2665" s="1547">
        <v>6577.0</v>
      </c>
      <c r="D2665" s="1548">
        <v>20.9</v>
      </c>
      <c r="E2665" s="1557">
        <v>73043.0</v>
      </c>
      <c r="F2665" s="598">
        <v>25262.0</v>
      </c>
      <c r="G2665" s="598">
        <v>818.0</v>
      </c>
      <c r="H2665" s="598">
        <v>1639.0</v>
      </c>
      <c r="I2665" s="598">
        <v>55.0</v>
      </c>
      <c r="J2665" s="598">
        <v>11697.0</v>
      </c>
      <c r="K2665" s="1561">
        <v>11725.0</v>
      </c>
      <c r="L2665" s="1551">
        <v>50610.0</v>
      </c>
    </row>
    <row r="2666">
      <c r="A2666" s="1545" t="s">
        <v>2079</v>
      </c>
      <c r="B2666" s="1587">
        <v>29268.0</v>
      </c>
      <c r="C2666" s="1547">
        <v>1591.0</v>
      </c>
      <c r="D2666" s="1548">
        <v>25.3</v>
      </c>
      <c r="E2666" s="1557">
        <v>18591.0</v>
      </c>
      <c r="F2666" s="598">
        <v>3915.0</v>
      </c>
      <c r="G2666" s="598">
        <v>242.0</v>
      </c>
      <c r="H2666" s="598">
        <v>104.0</v>
      </c>
      <c r="I2666" s="598">
        <v>15.0</v>
      </c>
      <c r="J2666" s="598">
        <v>3223.0</v>
      </c>
      <c r="K2666" s="1561">
        <v>3178.0</v>
      </c>
      <c r="L2666" s="1638">
        <v>49498.0</v>
      </c>
    </row>
    <row r="2667">
      <c r="A2667" s="1545" t="s">
        <v>1539</v>
      </c>
      <c r="B2667" s="1587">
        <v>172706.0</v>
      </c>
      <c r="C2667" s="1547">
        <v>4880.0</v>
      </c>
      <c r="D2667" s="1548">
        <v>12.0</v>
      </c>
      <c r="E2667" s="1557">
        <v>103127.0</v>
      </c>
      <c r="F2667" s="598">
        <v>12805.0</v>
      </c>
      <c r="G2667" s="598">
        <v>1384.0</v>
      </c>
      <c r="H2667" s="598">
        <v>3281.0</v>
      </c>
      <c r="I2667" s="598">
        <v>419.0</v>
      </c>
      <c r="J2667" s="598">
        <v>18160.0</v>
      </c>
      <c r="K2667" s="1561">
        <v>33530.0</v>
      </c>
      <c r="L2667" s="1551">
        <v>73864.0</v>
      </c>
    </row>
    <row r="2668">
      <c r="A2668" s="1545" t="s">
        <v>139</v>
      </c>
      <c r="B2668" s="1587">
        <v>32522.0</v>
      </c>
      <c r="C2668" s="1547">
        <v>2364.0</v>
      </c>
      <c r="D2668" s="1548">
        <v>26.2</v>
      </c>
      <c r="E2668" s="1557">
        <v>16925.0</v>
      </c>
      <c r="F2668" s="598">
        <v>1496.0</v>
      </c>
      <c r="G2668" s="598">
        <v>304.0</v>
      </c>
      <c r="H2668" s="598">
        <v>164.0</v>
      </c>
      <c r="I2668" s="598">
        <v>32.0</v>
      </c>
      <c r="J2668" s="598">
        <v>7347.0</v>
      </c>
      <c r="K2668" s="1561">
        <v>6254.0</v>
      </c>
      <c r="L2668" s="1551">
        <v>42782.0</v>
      </c>
    </row>
    <row r="2669">
      <c r="A2669" s="1545" t="s">
        <v>586</v>
      </c>
      <c r="B2669" s="1587">
        <v>2825.0</v>
      </c>
      <c r="C2669" s="1563">
        <v>266.0</v>
      </c>
      <c r="D2669" s="1548">
        <v>38.8</v>
      </c>
      <c r="E2669" s="1557">
        <v>1896.0</v>
      </c>
      <c r="F2669" s="598">
        <v>204.0</v>
      </c>
      <c r="G2669" s="598">
        <v>14.0</v>
      </c>
      <c r="H2669" s="598">
        <v>9.0</v>
      </c>
      <c r="I2669" s="598">
        <v>0.0</v>
      </c>
      <c r="J2669" s="598">
        <v>374.0</v>
      </c>
      <c r="K2669" s="1561">
        <v>328.0</v>
      </c>
      <c r="L2669" s="1551">
        <v>32597.0</v>
      </c>
    </row>
    <row r="2670">
      <c r="A2670" s="1545" t="s">
        <v>497</v>
      </c>
      <c r="B2670" s="1587">
        <v>8222.0</v>
      </c>
      <c r="C2670" s="1563">
        <v>433.0</v>
      </c>
      <c r="D2670" s="1548">
        <v>23.4</v>
      </c>
      <c r="E2670" s="1557">
        <v>7138.0</v>
      </c>
      <c r="F2670" s="598">
        <v>32.0</v>
      </c>
      <c r="G2670" s="598">
        <v>49.0</v>
      </c>
      <c r="H2670" s="598">
        <v>38.0</v>
      </c>
      <c r="I2670" s="598">
        <v>2.0</v>
      </c>
      <c r="J2670" s="598">
        <v>341.0</v>
      </c>
      <c r="K2670" s="1561">
        <v>622.0</v>
      </c>
      <c r="L2670" s="1551">
        <v>49210.0</v>
      </c>
    </row>
    <row r="2671">
      <c r="A2671" s="1545" t="s">
        <v>2080</v>
      </c>
      <c r="B2671" s="1587">
        <v>5285.0</v>
      </c>
      <c r="C2671" s="1563">
        <v>272.0</v>
      </c>
      <c r="D2671" s="1548">
        <v>17.2</v>
      </c>
      <c r="E2671" s="1557">
        <v>3248.0</v>
      </c>
      <c r="F2671" s="598">
        <v>15.0</v>
      </c>
      <c r="G2671" s="598">
        <v>33.0</v>
      </c>
      <c r="H2671" s="598">
        <v>10.0</v>
      </c>
      <c r="I2671" s="598">
        <v>3.0</v>
      </c>
      <c r="J2671" s="598">
        <v>1272.0</v>
      </c>
      <c r="K2671" s="1561">
        <v>704.0</v>
      </c>
      <c r="L2671" s="1551">
        <v>57240.0</v>
      </c>
    </row>
    <row r="2672">
      <c r="A2672" s="1545" t="s">
        <v>1915</v>
      </c>
      <c r="B2672" s="1587">
        <v>3549.0</v>
      </c>
      <c r="C2672" s="1563">
        <v>222.0</v>
      </c>
      <c r="D2672" s="1548">
        <v>27.1</v>
      </c>
      <c r="E2672" s="1557">
        <v>2748.0</v>
      </c>
      <c r="F2672" s="598">
        <v>143.0</v>
      </c>
      <c r="G2672" s="598">
        <v>18.0</v>
      </c>
      <c r="H2672" s="598">
        <v>18.0</v>
      </c>
      <c r="I2672" s="598">
        <v>6.0</v>
      </c>
      <c r="J2672" s="598">
        <v>313.0</v>
      </c>
      <c r="K2672" s="1561">
        <v>303.0</v>
      </c>
      <c r="L2672" s="1551">
        <v>42469.0</v>
      </c>
    </row>
    <row r="2673">
      <c r="A2673" s="1545" t="s">
        <v>721</v>
      </c>
      <c r="B2673" s="1587">
        <v>56231.0</v>
      </c>
      <c r="C2673" s="1547">
        <v>2372.0</v>
      </c>
      <c r="D2673" s="1548">
        <v>17.1</v>
      </c>
      <c r="E2673" s="1557">
        <v>48005.0</v>
      </c>
      <c r="F2673" s="598">
        <v>3072.0</v>
      </c>
      <c r="G2673" s="598">
        <v>259.0</v>
      </c>
      <c r="H2673" s="598">
        <v>411.0</v>
      </c>
      <c r="I2673" s="598">
        <v>35.0</v>
      </c>
      <c r="J2673" s="598">
        <v>1033.0</v>
      </c>
      <c r="K2673" s="1561">
        <v>3416.0</v>
      </c>
      <c r="L2673" s="1638">
        <v>60909.0</v>
      </c>
    </row>
    <row r="2674">
      <c r="A2674" s="1545" t="s">
        <v>218</v>
      </c>
      <c r="B2674" s="1587">
        <v>4731145.0</v>
      </c>
      <c r="C2674" s="1547">
        <v>306893.0</v>
      </c>
      <c r="D2674" s="1548">
        <v>24.8</v>
      </c>
      <c r="E2674" s="1557">
        <v>1720356.0</v>
      </c>
      <c r="F2674" s="598">
        <v>907063.0</v>
      </c>
      <c r="G2674" s="598">
        <v>55011.0</v>
      </c>
      <c r="H2674" s="598">
        <v>349268.0</v>
      </c>
      <c r="I2674" s="598">
        <v>4141.0</v>
      </c>
      <c r="J2674" s="598">
        <v>895151.0</v>
      </c>
      <c r="K2674" s="1561">
        <v>800155.0</v>
      </c>
      <c r="L2674" s="1638">
        <v>60241.0</v>
      </c>
    </row>
    <row r="2675">
      <c r="A2675" s="1545" t="s">
        <v>775</v>
      </c>
      <c r="B2675" s="1587">
        <v>68839.0</v>
      </c>
      <c r="C2675" s="1547">
        <v>3777.0</v>
      </c>
      <c r="D2675" s="1548">
        <v>22.8</v>
      </c>
      <c r="E2675" s="1557">
        <v>43925.0</v>
      </c>
      <c r="F2675" s="598">
        <v>13582.0</v>
      </c>
      <c r="G2675" s="598">
        <v>715.0</v>
      </c>
      <c r="H2675" s="598">
        <v>491.0</v>
      </c>
      <c r="I2675" s="598">
        <v>41.0</v>
      </c>
      <c r="J2675" s="598">
        <v>5089.0</v>
      </c>
      <c r="K2675" s="1561">
        <v>4996.0</v>
      </c>
      <c r="L2675" s="1551">
        <v>50131.0</v>
      </c>
    </row>
    <row r="2676">
      <c r="A2676" s="1545" t="s">
        <v>2082</v>
      </c>
      <c r="B2676" s="1587">
        <v>5382.0</v>
      </c>
      <c r="C2676" s="1563">
        <v>121.0</v>
      </c>
      <c r="D2676" s="1548">
        <v>10.3</v>
      </c>
      <c r="E2676" s="1557">
        <v>3746.0</v>
      </c>
      <c r="F2676" s="598">
        <v>197.0</v>
      </c>
      <c r="G2676" s="598">
        <v>30.0</v>
      </c>
      <c r="H2676" s="598">
        <v>24.0</v>
      </c>
      <c r="I2676" s="598">
        <v>5.0</v>
      </c>
      <c r="J2676" s="598">
        <v>838.0</v>
      </c>
      <c r="K2676" s="1561">
        <v>542.0</v>
      </c>
      <c r="L2676" s="1551">
        <v>72451.0</v>
      </c>
    </row>
    <row r="2677">
      <c r="A2677" s="1545" t="s">
        <v>980</v>
      </c>
      <c r="B2677" s="1587">
        <v>5416.0</v>
      </c>
      <c r="C2677" s="1563">
        <v>361.0</v>
      </c>
      <c r="D2677" s="1548">
        <v>33.9</v>
      </c>
      <c r="E2677" s="1557">
        <v>4132.0</v>
      </c>
      <c r="F2677" s="598">
        <v>205.0</v>
      </c>
      <c r="G2677" s="598">
        <v>44.0</v>
      </c>
      <c r="H2677" s="598">
        <v>28.0</v>
      </c>
      <c r="I2677" s="598">
        <v>5.0</v>
      </c>
      <c r="J2677" s="598">
        <v>536.0</v>
      </c>
      <c r="K2677" s="1561">
        <v>466.0</v>
      </c>
      <c r="L2677" s="1638">
        <v>40880.0</v>
      </c>
    </row>
    <row r="2678">
      <c r="A2678" s="1545" t="s">
        <v>2083</v>
      </c>
      <c r="B2678" s="1587">
        <v>241067.0</v>
      </c>
      <c r="C2678" s="1547">
        <v>6087.0</v>
      </c>
      <c r="D2678" s="1548">
        <v>12.1</v>
      </c>
      <c r="E2678" s="1557">
        <v>147092.0</v>
      </c>
      <c r="F2678" s="598">
        <v>9881.0</v>
      </c>
      <c r="G2678" s="598">
        <v>2175.0</v>
      </c>
      <c r="H2678" s="598">
        <v>5091.0</v>
      </c>
      <c r="I2678" s="598">
        <v>189.0</v>
      </c>
      <c r="J2678" s="598">
        <v>28271.0</v>
      </c>
      <c r="K2678" s="1561">
        <v>48368.0</v>
      </c>
      <c r="L2678" s="1551">
        <v>68180.0</v>
      </c>
    </row>
    <row r="2679">
      <c r="A2679" s="1545" t="s">
        <v>2084</v>
      </c>
      <c r="B2679" s="1587">
        <v>3382.0</v>
      </c>
      <c r="C2679" s="1563">
        <v>156.0</v>
      </c>
      <c r="D2679" s="1548">
        <v>13.4</v>
      </c>
      <c r="E2679" s="1557">
        <v>2372.0</v>
      </c>
      <c r="F2679" s="598">
        <v>5.0</v>
      </c>
      <c r="G2679" s="598">
        <v>29.0</v>
      </c>
      <c r="H2679" s="598">
        <v>11.0</v>
      </c>
      <c r="I2679" s="598">
        <v>0.0</v>
      </c>
      <c r="J2679" s="598">
        <v>499.0</v>
      </c>
      <c r="K2679" s="1561">
        <v>466.0</v>
      </c>
      <c r="L2679" s="1638">
        <v>66849.0</v>
      </c>
    </row>
    <row r="2680">
      <c r="A2680" s="1545" t="s">
        <v>722</v>
      </c>
      <c r="B2680" s="1587">
        <v>82150.0</v>
      </c>
      <c r="C2680" s="1547">
        <v>5218.0</v>
      </c>
      <c r="D2680" s="1548">
        <v>29.9</v>
      </c>
      <c r="E2680" s="1557">
        <v>64501.0</v>
      </c>
      <c r="F2680" s="598">
        <v>4790.0</v>
      </c>
      <c r="G2680" s="598">
        <v>675.0</v>
      </c>
      <c r="H2680" s="598">
        <v>526.0</v>
      </c>
      <c r="I2680" s="598">
        <v>31.0</v>
      </c>
      <c r="J2680" s="598">
        <v>4794.0</v>
      </c>
      <c r="K2680" s="1561">
        <v>6833.0</v>
      </c>
      <c r="L2680" s="1638">
        <v>43337.0</v>
      </c>
    </row>
    <row r="2681">
      <c r="A2681" s="1545" t="s">
        <v>480</v>
      </c>
      <c r="B2681" s="1587">
        <v>870781.0</v>
      </c>
      <c r="C2681" s="1547">
        <v>112825.0</v>
      </c>
      <c r="D2681" s="1548">
        <v>40.4</v>
      </c>
      <c r="E2681" s="1557">
        <v>300554.0</v>
      </c>
      <c r="F2681" s="598">
        <v>4748.0</v>
      </c>
      <c r="G2681" s="598">
        <v>6155.0</v>
      </c>
      <c r="H2681" s="598">
        <v>9048.0</v>
      </c>
      <c r="I2681" s="598">
        <v>175.0</v>
      </c>
      <c r="J2681" s="598">
        <v>196973.0</v>
      </c>
      <c r="K2681" s="1561">
        <v>353128.0</v>
      </c>
      <c r="L2681" s="1551">
        <v>38785.0</v>
      </c>
    </row>
    <row r="2682">
      <c r="A2682" s="1545" t="s">
        <v>1445</v>
      </c>
      <c r="B2682" s="1587">
        <v>35874.0</v>
      </c>
      <c r="C2682" s="1547">
        <v>1690.0</v>
      </c>
      <c r="D2682" s="1548">
        <v>20.2</v>
      </c>
      <c r="E2682" s="1557">
        <v>26070.0</v>
      </c>
      <c r="F2682" s="598">
        <v>2111.0</v>
      </c>
      <c r="G2682" s="598">
        <v>368.0</v>
      </c>
      <c r="H2682" s="598">
        <v>189.0</v>
      </c>
      <c r="I2682" s="598">
        <v>20.0</v>
      </c>
      <c r="J2682" s="598">
        <v>3400.0</v>
      </c>
      <c r="K2682" s="1561">
        <v>3716.0</v>
      </c>
      <c r="L2682" s="1551">
        <v>48670.0</v>
      </c>
    </row>
    <row r="2683">
      <c r="A2683" s="1545" t="s">
        <v>2087</v>
      </c>
      <c r="B2683" s="1587">
        <v>21537.0</v>
      </c>
      <c r="C2683" s="1547">
        <v>1635.0</v>
      </c>
      <c r="D2683" s="1548">
        <v>28.1</v>
      </c>
      <c r="E2683" s="1557">
        <v>13760.0</v>
      </c>
      <c r="F2683" s="598">
        <v>645.0</v>
      </c>
      <c r="G2683" s="598">
        <v>227.0</v>
      </c>
      <c r="H2683" s="598">
        <v>52.0</v>
      </c>
      <c r="I2683" s="598">
        <v>4.0</v>
      </c>
      <c r="J2683" s="598">
        <v>3215.0</v>
      </c>
      <c r="K2683" s="1561">
        <v>3634.0</v>
      </c>
      <c r="L2683" s="1551">
        <v>46764.0</v>
      </c>
    </row>
    <row r="2684">
      <c r="A2684" s="1545" t="s">
        <v>2088</v>
      </c>
      <c r="B2684" s="1587">
        <v>61598.0</v>
      </c>
      <c r="C2684" s="1547">
        <v>2133.0</v>
      </c>
      <c r="D2684" s="1548">
        <v>16.8</v>
      </c>
      <c r="E2684" s="1557">
        <v>51678.0</v>
      </c>
      <c r="F2684" s="598">
        <v>523.0</v>
      </c>
      <c r="G2684" s="598">
        <v>501.0</v>
      </c>
      <c r="H2684" s="598">
        <v>476.0</v>
      </c>
      <c r="I2684" s="598">
        <v>53.0</v>
      </c>
      <c r="J2684" s="598">
        <v>2820.0</v>
      </c>
      <c r="K2684" s="1561">
        <v>5547.0</v>
      </c>
      <c r="L2684" s="1551">
        <v>60917.0</v>
      </c>
    </row>
    <row r="2685">
      <c r="A2685" s="1545" t="s">
        <v>1099</v>
      </c>
      <c r="B2685" s="1587">
        <v>36787.0</v>
      </c>
      <c r="C2685" s="1547">
        <v>1888.0</v>
      </c>
      <c r="D2685" s="1548">
        <v>21.1</v>
      </c>
      <c r="E2685" s="1557">
        <v>27514.0</v>
      </c>
      <c r="F2685" s="598">
        <v>2405.0</v>
      </c>
      <c r="G2685" s="598">
        <v>321.0</v>
      </c>
      <c r="H2685" s="598">
        <v>290.0</v>
      </c>
      <c r="I2685" s="598">
        <v>12.0</v>
      </c>
      <c r="J2685" s="598">
        <v>3079.0</v>
      </c>
      <c r="K2685" s="1561">
        <v>3166.0</v>
      </c>
      <c r="L2685" s="1551">
        <v>52079.0</v>
      </c>
    </row>
    <row r="2686">
      <c r="A2686" s="1545" t="s">
        <v>141</v>
      </c>
      <c r="B2686" s="1587">
        <v>22066.0</v>
      </c>
      <c r="C2686" s="1547">
        <v>1862.0</v>
      </c>
      <c r="D2686" s="1548">
        <v>40.8</v>
      </c>
      <c r="E2686" s="1557">
        <v>13430.0</v>
      </c>
      <c r="F2686" s="598">
        <v>5195.0</v>
      </c>
      <c r="G2686" s="598">
        <v>131.0</v>
      </c>
      <c r="H2686" s="598">
        <v>138.0</v>
      </c>
      <c r="I2686" s="598">
        <v>10.0</v>
      </c>
      <c r="J2686" s="598">
        <v>1939.0</v>
      </c>
      <c r="K2686" s="1561">
        <v>1223.0</v>
      </c>
      <c r="L2686" s="1551">
        <v>39533.0</v>
      </c>
    </row>
    <row r="2687">
      <c r="A2687" s="1545" t="s">
        <v>283</v>
      </c>
      <c r="B2687" s="1587">
        <v>34860.0</v>
      </c>
      <c r="C2687" s="1547">
        <v>1915.0</v>
      </c>
      <c r="D2687" s="1548">
        <v>25.1</v>
      </c>
      <c r="E2687" s="1557">
        <v>23664.0</v>
      </c>
      <c r="F2687" s="598">
        <v>1721.0</v>
      </c>
      <c r="G2687" s="598">
        <v>404.0</v>
      </c>
      <c r="H2687" s="598">
        <v>407.0</v>
      </c>
      <c r="I2687" s="598">
        <v>24.0</v>
      </c>
      <c r="J2687" s="598">
        <v>3770.0</v>
      </c>
      <c r="K2687" s="1561">
        <v>4870.0</v>
      </c>
      <c r="L2687" s="1551">
        <v>50423.0</v>
      </c>
    </row>
    <row r="2688">
      <c r="A2688" s="1545" t="s">
        <v>2089</v>
      </c>
      <c r="B2688" s="1587">
        <v>3202.0</v>
      </c>
      <c r="C2688" s="1563">
        <v>252.0</v>
      </c>
      <c r="D2688" s="1548">
        <v>25.0</v>
      </c>
      <c r="E2688" s="1557">
        <v>1874.0</v>
      </c>
      <c r="F2688" s="598">
        <v>16.0</v>
      </c>
      <c r="G2688" s="598">
        <v>39.0</v>
      </c>
      <c r="H2688" s="598">
        <v>10.0</v>
      </c>
      <c r="I2688" s="598">
        <v>0.0</v>
      </c>
      <c r="J2688" s="598">
        <v>622.0</v>
      </c>
      <c r="K2688" s="1561">
        <v>641.0</v>
      </c>
      <c r="L2688" s="1638">
        <v>42671.0</v>
      </c>
    </row>
    <row r="2689">
      <c r="A2689" s="1545" t="s">
        <v>2090</v>
      </c>
      <c r="B2689" s="1587">
        <v>99956.0</v>
      </c>
      <c r="C2689" s="1547">
        <v>4571.0</v>
      </c>
      <c r="D2689" s="1548">
        <v>20.1</v>
      </c>
      <c r="E2689" s="1557">
        <v>70576.0</v>
      </c>
      <c r="F2689" s="598">
        <v>8014.0</v>
      </c>
      <c r="G2689" s="598">
        <v>1263.0</v>
      </c>
      <c r="H2689" s="598">
        <v>1016.0</v>
      </c>
      <c r="I2689" s="598">
        <v>157.0</v>
      </c>
      <c r="J2689" s="598">
        <v>7398.0</v>
      </c>
      <c r="K2689" s="1561">
        <v>11532.0</v>
      </c>
      <c r="L2689" s="1551">
        <v>53360.0</v>
      </c>
    </row>
    <row r="2690">
      <c r="A2690" s="1545" t="s">
        <v>1860</v>
      </c>
      <c r="B2690" s="1587">
        <v>20617.0</v>
      </c>
      <c r="C2690" s="1547">
        <v>1003.0</v>
      </c>
      <c r="D2690" s="1548">
        <v>18.9</v>
      </c>
      <c r="E2690" s="1557">
        <v>15269.0</v>
      </c>
      <c r="F2690" s="598">
        <v>469.0</v>
      </c>
      <c r="G2690" s="598">
        <v>391.0</v>
      </c>
      <c r="H2690" s="598">
        <v>111.0</v>
      </c>
      <c r="I2690" s="598">
        <v>2.0</v>
      </c>
      <c r="J2690" s="598">
        <v>2056.0</v>
      </c>
      <c r="K2690" s="1561">
        <v>2319.0</v>
      </c>
      <c r="L2690" s="1551">
        <v>54351.0</v>
      </c>
    </row>
    <row r="2691">
      <c r="A2691" s="1545" t="s">
        <v>2093</v>
      </c>
      <c r="B2691" s="1587">
        <v>1513.0</v>
      </c>
      <c r="C2691" s="1563">
        <v>34.0</v>
      </c>
      <c r="D2691" s="1548">
        <v>10.2</v>
      </c>
      <c r="E2691" s="1557">
        <v>1200.0</v>
      </c>
      <c r="F2691" s="598">
        <v>7.0</v>
      </c>
      <c r="G2691" s="598">
        <v>16.0</v>
      </c>
      <c r="H2691" s="598">
        <v>0.0</v>
      </c>
      <c r="I2691" s="598">
        <v>1.0</v>
      </c>
      <c r="J2691" s="598">
        <v>126.0</v>
      </c>
      <c r="K2691" s="1561">
        <v>163.0</v>
      </c>
      <c r="L2691" s="1551">
        <v>56775.0</v>
      </c>
    </row>
    <row r="2692">
      <c r="A2692" s="1545" t="s">
        <v>2094</v>
      </c>
      <c r="B2692" s="1587">
        <v>8472.0</v>
      </c>
      <c r="C2692" s="1563">
        <v>415.0</v>
      </c>
      <c r="D2692" s="1548">
        <v>21.9</v>
      </c>
      <c r="E2692" s="1557">
        <v>6663.0</v>
      </c>
      <c r="F2692" s="598">
        <v>311.0</v>
      </c>
      <c r="G2692" s="598">
        <v>70.0</v>
      </c>
      <c r="H2692" s="598">
        <v>41.0</v>
      </c>
      <c r="I2692" s="598">
        <v>5.0</v>
      </c>
      <c r="J2692" s="598">
        <v>779.0</v>
      </c>
      <c r="K2692" s="1561">
        <v>603.0</v>
      </c>
      <c r="L2692" s="1551">
        <v>48780.0</v>
      </c>
    </row>
    <row r="2693">
      <c r="A2693" s="1545" t="s">
        <v>142</v>
      </c>
      <c r="B2693" s="1587">
        <v>14988.0</v>
      </c>
      <c r="C2693" s="1563">
        <v>721.0</v>
      </c>
      <c r="D2693" s="1548">
        <v>19.4</v>
      </c>
      <c r="E2693" s="1557">
        <v>9782.0</v>
      </c>
      <c r="F2693" s="598">
        <v>1011.0</v>
      </c>
      <c r="G2693" s="598">
        <v>80.0</v>
      </c>
      <c r="H2693" s="598">
        <v>158.0</v>
      </c>
      <c r="I2693" s="598">
        <v>5.0</v>
      </c>
      <c r="J2693" s="598">
        <v>1858.0</v>
      </c>
      <c r="K2693" s="1561">
        <v>2094.0</v>
      </c>
      <c r="L2693" s="1551">
        <v>54088.0</v>
      </c>
    </row>
    <row r="2694">
      <c r="A2694" s="1545" t="s">
        <v>593</v>
      </c>
      <c r="B2694" s="1587">
        <v>32980.0</v>
      </c>
      <c r="C2694" s="1547">
        <v>2535.0</v>
      </c>
      <c r="D2694" s="1548">
        <v>29.9</v>
      </c>
      <c r="E2694" s="1557">
        <v>24327.0</v>
      </c>
      <c r="F2694" s="598">
        <v>5594.0</v>
      </c>
      <c r="G2694" s="598">
        <v>182.0</v>
      </c>
      <c r="H2694" s="598">
        <v>127.0</v>
      </c>
      <c r="I2694" s="598">
        <v>19.0</v>
      </c>
      <c r="J2694" s="598">
        <v>1158.0</v>
      </c>
      <c r="K2694" s="1561">
        <v>1573.0</v>
      </c>
      <c r="L2694" s="1551">
        <v>47551.0</v>
      </c>
    </row>
    <row r="2695">
      <c r="A2695" s="1545" t="s">
        <v>594</v>
      </c>
      <c r="B2695" s="1587">
        <v>1996.0</v>
      </c>
      <c r="C2695" s="1563">
        <v>33.0</v>
      </c>
      <c r="D2695" s="1548">
        <v>34.4</v>
      </c>
      <c r="E2695" s="1557">
        <v>1467.0</v>
      </c>
      <c r="F2695" s="598">
        <v>1.0</v>
      </c>
      <c r="G2695" s="598">
        <v>26.0</v>
      </c>
      <c r="H2695" s="598">
        <v>15.0</v>
      </c>
      <c r="I2695" s="598">
        <v>2.0</v>
      </c>
      <c r="J2695" s="598">
        <v>153.0</v>
      </c>
      <c r="K2695" s="1561">
        <v>332.0</v>
      </c>
      <c r="L2695" s="1638">
        <v>51343.0</v>
      </c>
    </row>
    <row r="2696">
      <c r="A2696" s="1545" t="s">
        <v>143</v>
      </c>
      <c r="B2696" s="1587">
        <v>256526.0</v>
      </c>
      <c r="C2696" s="1547">
        <v>16742.0</v>
      </c>
      <c r="D2696" s="1548">
        <v>27.8</v>
      </c>
      <c r="E2696" s="1557">
        <v>108905.0</v>
      </c>
      <c r="F2696" s="598">
        <v>84835.0</v>
      </c>
      <c r="G2696" s="598">
        <v>1787.0</v>
      </c>
      <c r="H2696" s="598">
        <v>10080.0</v>
      </c>
      <c r="I2696" s="598">
        <v>112.0</v>
      </c>
      <c r="J2696" s="598">
        <v>28334.0</v>
      </c>
      <c r="K2696" s="1561">
        <v>22473.0</v>
      </c>
      <c r="L2696" s="1551">
        <v>48121.0</v>
      </c>
    </row>
    <row r="2697">
      <c r="A2697" s="1545" t="s">
        <v>2095</v>
      </c>
      <c r="B2697" s="1587">
        <v>4838.0</v>
      </c>
      <c r="C2697" s="1563">
        <v>621.0</v>
      </c>
      <c r="D2697" s="1548">
        <v>38.6</v>
      </c>
      <c r="E2697" s="1557">
        <v>2333.0</v>
      </c>
      <c r="F2697" s="598">
        <v>5.0</v>
      </c>
      <c r="G2697" s="598">
        <v>31.0</v>
      </c>
      <c r="H2697" s="598">
        <v>26.0</v>
      </c>
      <c r="I2697" s="598">
        <v>5.0</v>
      </c>
      <c r="J2697" s="598">
        <v>664.0</v>
      </c>
      <c r="K2697" s="1561">
        <v>1774.0</v>
      </c>
      <c r="L2697" s="1551">
        <v>36176.0</v>
      </c>
    </row>
    <row r="2698">
      <c r="A2698" s="1545" t="s">
        <v>2096</v>
      </c>
      <c r="B2698" s="1587">
        <v>38891.0</v>
      </c>
      <c r="C2698" s="1547">
        <v>3740.0</v>
      </c>
      <c r="D2698" s="1548">
        <v>33.3</v>
      </c>
      <c r="E2698" s="1557">
        <v>22187.0</v>
      </c>
      <c r="F2698" s="598">
        <v>265.0</v>
      </c>
      <c r="G2698" s="598">
        <v>264.0</v>
      </c>
      <c r="H2698" s="598">
        <v>158.0</v>
      </c>
      <c r="I2698" s="598">
        <v>16.0</v>
      </c>
      <c r="J2698" s="598">
        <v>4973.0</v>
      </c>
      <c r="K2698" s="1561">
        <v>11028.0</v>
      </c>
      <c r="L2698" s="1638">
        <v>41919.0</v>
      </c>
    </row>
    <row r="2699">
      <c r="A2699" s="1545" t="s">
        <v>288</v>
      </c>
      <c r="B2699" s="1587">
        <v>179927.0</v>
      </c>
      <c r="C2699" s="1547">
        <v>6792.0</v>
      </c>
      <c r="D2699" s="1548">
        <v>15.5</v>
      </c>
      <c r="E2699" s="1557">
        <v>129863.0</v>
      </c>
      <c r="F2699" s="598">
        <v>6770.0</v>
      </c>
      <c r="G2699" s="598">
        <v>1719.0</v>
      </c>
      <c r="H2699" s="598">
        <v>1812.0</v>
      </c>
      <c r="I2699" s="598">
        <v>949.0</v>
      </c>
      <c r="J2699" s="598">
        <v>16605.0</v>
      </c>
      <c r="K2699" s="1561">
        <v>22209.0</v>
      </c>
      <c r="L2699" s="1551">
        <v>62635.0</v>
      </c>
    </row>
    <row r="2700">
      <c r="A2700" s="1545" t="s">
        <v>598</v>
      </c>
      <c r="B2700" s="1587">
        <v>19663.0</v>
      </c>
      <c r="C2700" s="1563">
        <v>807.0</v>
      </c>
      <c r="D2700" s="1548">
        <v>24.0</v>
      </c>
      <c r="E2700" s="1557">
        <v>12902.0</v>
      </c>
      <c r="F2700" s="598">
        <v>2024.0</v>
      </c>
      <c r="G2700" s="598">
        <v>120.0</v>
      </c>
      <c r="H2700" s="598">
        <v>114.0</v>
      </c>
      <c r="I2700" s="598">
        <v>7.0</v>
      </c>
      <c r="J2700" s="598">
        <v>2974.0</v>
      </c>
      <c r="K2700" s="1561">
        <v>1522.0</v>
      </c>
      <c r="L2700" s="1551">
        <v>43903.0</v>
      </c>
    </row>
    <row r="2701">
      <c r="A2701" s="1545" t="s">
        <v>2097</v>
      </c>
      <c r="B2701" s="1587">
        <v>14710.0</v>
      </c>
      <c r="C2701" s="1563">
        <v>843.0</v>
      </c>
      <c r="D2701" s="1548">
        <v>25.3</v>
      </c>
      <c r="E2701" s="1557">
        <v>8215.0</v>
      </c>
      <c r="F2701" s="598">
        <v>1174.0</v>
      </c>
      <c r="G2701" s="598">
        <v>87.0</v>
      </c>
      <c r="H2701" s="598">
        <v>151.0</v>
      </c>
      <c r="I2701" s="598">
        <v>4.0</v>
      </c>
      <c r="J2701" s="598">
        <v>2460.0</v>
      </c>
      <c r="K2701" s="1561">
        <v>2619.0</v>
      </c>
      <c r="L2701" s="1638">
        <v>48743.0</v>
      </c>
    </row>
    <row r="2702">
      <c r="A2702" s="1545" t="s">
        <v>2098</v>
      </c>
      <c r="B2702" s="1587">
        <v>145310.0</v>
      </c>
      <c r="C2702" s="1547">
        <v>5365.0</v>
      </c>
      <c r="D2702" s="1548">
        <v>15.3</v>
      </c>
      <c r="E2702" s="1557">
        <v>87435.0</v>
      </c>
      <c r="F2702" s="598">
        <v>21948.0</v>
      </c>
      <c r="G2702" s="598">
        <v>1413.0</v>
      </c>
      <c r="H2702" s="598">
        <v>2174.0</v>
      </c>
      <c r="I2702" s="598">
        <v>82.0</v>
      </c>
      <c r="J2702" s="598">
        <v>13352.0</v>
      </c>
      <c r="K2702" s="1561">
        <v>18906.0</v>
      </c>
      <c r="L2702" s="1551">
        <v>67434.0</v>
      </c>
    </row>
    <row r="2703">
      <c r="A2703" s="1545" t="s">
        <v>727</v>
      </c>
      <c r="B2703" s="1587">
        <v>44279.0</v>
      </c>
      <c r="C2703" s="1547">
        <v>1084.0</v>
      </c>
      <c r="D2703" s="1548">
        <v>10.5</v>
      </c>
      <c r="E2703" s="1557">
        <v>34449.0</v>
      </c>
      <c r="F2703" s="598">
        <v>347.0</v>
      </c>
      <c r="G2703" s="598">
        <v>289.0</v>
      </c>
      <c r="H2703" s="598">
        <v>379.0</v>
      </c>
      <c r="I2703" s="598">
        <v>39.0</v>
      </c>
      <c r="J2703" s="598">
        <v>2515.0</v>
      </c>
      <c r="K2703" s="1561">
        <v>6261.0</v>
      </c>
      <c r="L2703" s="1551">
        <v>90937.0</v>
      </c>
    </row>
    <row r="2704">
      <c r="A2704" s="1545" t="s">
        <v>2099</v>
      </c>
      <c r="B2704" s="1621">
        <v>350.0</v>
      </c>
      <c r="C2704" s="1563">
        <v>24.0</v>
      </c>
      <c r="D2704" s="1548">
        <v>20.3</v>
      </c>
      <c r="E2704" s="1557">
        <v>137.0</v>
      </c>
      <c r="F2704" s="598">
        <v>1.0</v>
      </c>
      <c r="G2704" s="598">
        <v>7.0</v>
      </c>
      <c r="H2704" s="598">
        <v>0.0</v>
      </c>
      <c r="I2704" s="598">
        <v>1.0</v>
      </c>
      <c r="J2704" s="598">
        <v>77.0</v>
      </c>
      <c r="K2704" s="1561">
        <v>127.0</v>
      </c>
      <c r="L2704" s="1551">
        <v>42153.0</v>
      </c>
    </row>
    <row r="2705">
      <c r="A2705" s="1545" t="s">
        <v>474</v>
      </c>
      <c r="B2705" s="1587">
        <v>753.0</v>
      </c>
      <c r="C2705" s="1563">
        <v>28.0</v>
      </c>
      <c r="D2705" s="1548">
        <v>20.3</v>
      </c>
      <c r="E2705" s="1557">
        <v>676.0</v>
      </c>
      <c r="F2705" s="598">
        <v>2.0</v>
      </c>
      <c r="G2705" s="598">
        <v>6.0</v>
      </c>
      <c r="H2705" s="598">
        <v>1.0</v>
      </c>
      <c r="I2705" s="598">
        <v>0.0</v>
      </c>
      <c r="J2705" s="598">
        <v>31.0</v>
      </c>
      <c r="K2705" s="1561">
        <v>37.0</v>
      </c>
      <c r="L2705" s="1551">
        <v>47625.0</v>
      </c>
    </row>
    <row r="2706">
      <c r="A2706" s="1545" t="s">
        <v>2100</v>
      </c>
      <c r="B2706" s="1587">
        <v>52598.0</v>
      </c>
      <c r="C2706" s="1547">
        <v>2282.0</v>
      </c>
      <c r="D2706" s="1548">
        <v>23.3</v>
      </c>
      <c r="E2706" s="1557">
        <v>39702.0</v>
      </c>
      <c r="F2706" s="598">
        <v>789.0</v>
      </c>
      <c r="G2706" s="598">
        <v>338.0</v>
      </c>
      <c r="H2706" s="598">
        <v>606.0</v>
      </c>
      <c r="I2706" s="598">
        <v>50.0</v>
      </c>
      <c r="J2706" s="598">
        <v>3796.0</v>
      </c>
      <c r="K2706" s="1561">
        <v>7317.0</v>
      </c>
      <c r="L2706" s="1551">
        <v>53704.0</v>
      </c>
    </row>
    <row r="2707">
      <c r="A2707" s="1545" t="s">
        <v>2101</v>
      </c>
      <c r="B2707" s="1587">
        <v>4286.0</v>
      </c>
      <c r="C2707" s="1563">
        <v>272.0</v>
      </c>
      <c r="D2707" s="1548">
        <v>35.9</v>
      </c>
      <c r="E2707" s="1557">
        <v>3533.0</v>
      </c>
      <c r="F2707" s="598">
        <v>8.0</v>
      </c>
      <c r="G2707" s="598">
        <v>30.0</v>
      </c>
      <c r="H2707" s="598">
        <v>34.0</v>
      </c>
      <c r="I2707" s="598">
        <v>3.0</v>
      </c>
      <c r="J2707" s="598">
        <v>329.0</v>
      </c>
      <c r="K2707" s="1561">
        <v>349.0</v>
      </c>
      <c r="L2707" s="1551">
        <v>42503.0</v>
      </c>
    </row>
    <row r="2708">
      <c r="A2708" s="1545" t="s">
        <v>255</v>
      </c>
      <c r="B2708" s="1587">
        <v>265.0</v>
      </c>
      <c r="C2708" s="1563">
        <v>11.0</v>
      </c>
      <c r="D2708" s="1548">
        <v>15.7</v>
      </c>
      <c r="E2708" s="1557">
        <v>242.0</v>
      </c>
      <c r="F2708" s="598">
        <v>0.0</v>
      </c>
      <c r="G2708" s="598">
        <v>0.0</v>
      </c>
      <c r="H2708" s="598">
        <v>0.0</v>
      </c>
      <c r="I2708" s="598">
        <v>4.0</v>
      </c>
      <c r="J2708" s="598">
        <v>7.0</v>
      </c>
      <c r="K2708" s="1561">
        <v>12.0</v>
      </c>
      <c r="L2708" s="1551">
        <v>57925.0</v>
      </c>
    </row>
    <row r="2709">
      <c r="A2709" s="1545" t="s">
        <v>2102</v>
      </c>
      <c r="B2709" s="1587">
        <v>3129.0</v>
      </c>
      <c r="C2709" s="1563">
        <v>188.0</v>
      </c>
      <c r="D2709" s="1548">
        <v>26.6</v>
      </c>
      <c r="E2709" s="1557">
        <v>2012.0</v>
      </c>
      <c r="F2709" s="598">
        <v>47.0</v>
      </c>
      <c r="G2709" s="598">
        <v>33.0</v>
      </c>
      <c r="H2709" s="598">
        <v>10.0</v>
      </c>
      <c r="I2709" s="598">
        <v>2.0</v>
      </c>
      <c r="J2709" s="598">
        <v>275.0</v>
      </c>
      <c r="K2709" s="1561">
        <v>750.0</v>
      </c>
      <c r="L2709" s="1551">
        <v>43192.0</v>
      </c>
    </row>
    <row r="2710">
      <c r="A2710" s="1545" t="s">
        <v>2103</v>
      </c>
      <c r="B2710" s="1587">
        <v>31040.0</v>
      </c>
      <c r="C2710" s="1547">
        <v>2488.0</v>
      </c>
      <c r="D2710" s="1548">
        <v>33.3</v>
      </c>
      <c r="E2710" s="1557">
        <v>17266.0</v>
      </c>
      <c r="F2710" s="598">
        <v>1129.0</v>
      </c>
      <c r="G2710" s="598">
        <v>246.0</v>
      </c>
      <c r="H2710" s="598">
        <v>817.0</v>
      </c>
      <c r="I2710" s="598">
        <v>1.0</v>
      </c>
      <c r="J2710" s="598">
        <v>3712.0</v>
      </c>
      <c r="K2710" s="1561">
        <v>7869.0</v>
      </c>
      <c r="L2710" s="1551">
        <v>42605.0</v>
      </c>
    </row>
    <row r="2711">
      <c r="A2711" s="1545" t="s">
        <v>728</v>
      </c>
      <c r="B2711" s="1587">
        <v>3353.0</v>
      </c>
      <c r="C2711" s="1563">
        <v>302.0</v>
      </c>
      <c r="D2711" s="1548">
        <v>31.5</v>
      </c>
      <c r="E2711" s="1557">
        <v>2393.0</v>
      </c>
      <c r="F2711" s="598">
        <v>165.0</v>
      </c>
      <c r="G2711" s="598">
        <v>9.0</v>
      </c>
      <c r="H2711" s="598">
        <v>24.0</v>
      </c>
      <c r="I2711" s="598">
        <v>3.0</v>
      </c>
      <c r="J2711" s="598">
        <v>454.0</v>
      </c>
      <c r="K2711" s="1561">
        <v>305.0</v>
      </c>
      <c r="L2711" s="1551">
        <v>39726.0</v>
      </c>
    </row>
    <row r="2712">
      <c r="A2712" s="1545" t="s">
        <v>144</v>
      </c>
      <c r="B2712" s="1587">
        <v>50088.0</v>
      </c>
      <c r="C2712" s="1547">
        <v>2591.0</v>
      </c>
      <c r="D2712" s="1548">
        <v>22.2</v>
      </c>
      <c r="E2712" s="1557">
        <v>36479.0</v>
      </c>
      <c r="F2712" s="598">
        <v>6446.0</v>
      </c>
      <c r="G2712" s="598">
        <v>870.0</v>
      </c>
      <c r="H2712" s="598">
        <v>481.0</v>
      </c>
      <c r="I2712" s="598">
        <v>32.0</v>
      </c>
      <c r="J2712" s="598">
        <v>1899.0</v>
      </c>
      <c r="K2712" s="1561">
        <v>3881.0</v>
      </c>
      <c r="L2712" s="1551">
        <v>45767.0</v>
      </c>
    </row>
    <row r="2713">
      <c r="A2713" s="1545" t="s">
        <v>2104</v>
      </c>
      <c r="B2713" s="1587">
        <v>13045.0</v>
      </c>
      <c r="C2713" s="1547">
        <v>1010.0</v>
      </c>
      <c r="D2713" s="1548">
        <v>27.8</v>
      </c>
      <c r="E2713" s="1557">
        <v>7369.0</v>
      </c>
      <c r="F2713" s="598">
        <v>453.0</v>
      </c>
      <c r="G2713" s="598">
        <v>81.0</v>
      </c>
      <c r="H2713" s="598">
        <v>11.0</v>
      </c>
      <c r="I2713" s="598">
        <v>17.0</v>
      </c>
      <c r="J2713" s="598">
        <v>2070.0</v>
      </c>
      <c r="K2713" s="1561">
        <v>3044.0</v>
      </c>
      <c r="L2713" s="1551">
        <v>42700.0</v>
      </c>
    </row>
    <row r="2714">
      <c r="A2714" s="1545" t="s">
        <v>2105</v>
      </c>
      <c r="B2714" s="1587">
        <v>21627.0</v>
      </c>
      <c r="C2714" s="1563">
        <v>928.0</v>
      </c>
      <c r="D2714" s="1548">
        <v>20.2</v>
      </c>
      <c r="E2714" s="1557">
        <v>16337.0</v>
      </c>
      <c r="F2714" s="598">
        <v>741.0</v>
      </c>
      <c r="G2714" s="598">
        <v>233.0</v>
      </c>
      <c r="H2714" s="598">
        <v>252.0</v>
      </c>
      <c r="I2714" s="598">
        <v>86.0</v>
      </c>
      <c r="J2714" s="598">
        <v>1343.0</v>
      </c>
      <c r="K2714" s="1561">
        <v>2635.0</v>
      </c>
      <c r="L2714" s="1551">
        <v>55151.0</v>
      </c>
    </row>
    <row r="2715">
      <c r="A2715" s="1545" t="s">
        <v>729</v>
      </c>
      <c r="B2715" s="1587">
        <v>6664.0</v>
      </c>
      <c r="C2715" s="1563">
        <v>509.0</v>
      </c>
      <c r="D2715" s="1548">
        <v>35.5</v>
      </c>
      <c r="E2715" s="1557">
        <v>3189.0</v>
      </c>
      <c r="F2715" s="598">
        <v>235.0</v>
      </c>
      <c r="G2715" s="598">
        <v>17.0</v>
      </c>
      <c r="H2715" s="598">
        <v>5.0</v>
      </c>
      <c r="I2715" s="598">
        <v>0.0</v>
      </c>
      <c r="J2715" s="598">
        <v>932.0</v>
      </c>
      <c r="K2715" s="1561">
        <v>2286.0</v>
      </c>
      <c r="L2715" s="1551">
        <v>40072.0</v>
      </c>
    </row>
    <row r="2716">
      <c r="A2716" s="1545" t="s">
        <v>2106</v>
      </c>
      <c r="B2716" s="1587">
        <v>20337.0</v>
      </c>
      <c r="C2716" s="1547">
        <v>1043.0</v>
      </c>
      <c r="D2716" s="1548">
        <v>22.2</v>
      </c>
      <c r="E2716" s="1557">
        <v>15821.0</v>
      </c>
      <c r="F2716" s="598">
        <v>1247.0</v>
      </c>
      <c r="G2716" s="598">
        <v>111.0</v>
      </c>
      <c r="H2716" s="598">
        <v>74.0</v>
      </c>
      <c r="I2716" s="598">
        <v>5.0</v>
      </c>
      <c r="J2716" s="598">
        <v>1163.0</v>
      </c>
      <c r="K2716" s="1561">
        <v>1916.0</v>
      </c>
      <c r="L2716" s="1551">
        <v>51128.0</v>
      </c>
    </row>
    <row r="2717">
      <c r="A2717" s="1545" t="s">
        <v>147</v>
      </c>
      <c r="B2717" s="1587">
        <v>17478.0</v>
      </c>
      <c r="C2717" s="1563">
        <v>628.0</v>
      </c>
      <c r="D2717" s="1548">
        <v>17.8</v>
      </c>
      <c r="E2717" s="1557">
        <v>11744.0</v>
      </c>
      <c r="F2717" s="598">
        <v>1691.0</v>
      </c>
      <c r="G2717" s="598">
        <v>99.0</v>
      </c>
      <c r="H2717" s="598">
        <v>61.0</v>
      </c>
      <c r="I2717" s="598">
        <v>2.0</v>
      </c>
      <c r="J2717" s="598">
        <v>1650.0</v>
      </c>
      <c r="K2717" s="1561">
        <v>2231.0</v>
      </c>
      <c r="L2717" s="1551">
        <v>55834.0</v>
      </c>
    </row>
    <row r="2718">
      <c r="A2718" s="1545" t="s">
        <v>505</v>
      </c>
      <c r="B2718" s="1587">
        <v>15719.0</v>
      </c>
      <c r="C2718" s="1563">
        <v>939.0</v>
      </c>
      <c r="D2718" s="1548">
        <v>24.4</v>
      </c>
      <c r="E2718" s="1557">
        <v>12391.0</v>
      </c>
      <c r="F2718" s="598">
        <v>945.0</v>
      </c>
      <c r="G2718" s="598">
        <v>107.0</v>
      </c>
      <c r="H2718" s="598">
        <v>111.0</v>
      </c>
      <c r="I2718" s="598">
        <v>6.0</v>
      </c>
      <c r="J2718" s="598">
        <v>997.0</v>
      </c>
      <c r="K2718" s="1561">
        <v>1162.0</v>
      </c>
      <c r="L2718" s="1638">
        <v>47065.0</v>
      </c>
    </row>
    <row r="2719">
      <c r="A2719" s="1545" t="s">
        <v>508</v>
      </c>
      <c r="B2719" s="1587">
        <v>91628.0</v>
      </c>
      <c r="C2719" s="1547">
        <v>5219.0</v>
      </c>
      <c r="D2719" s="1548">
        <v>23.2</v>
      </c>
      <c r="E2719" s="1557">
        <v>55857.0</v>
      </c>
      <c r="F2719" s="598">
        <v>7171.0</v>
      </c>
      <c r="G2719" s="598">
        <v>1100.0</v>
      </c>
      <c r="H2719" s="598">
        <v>499.0</v>
      </c>
      <c r="I2719" s="598">
        <v>17.0</v>
      </c>
      <c r="J2719" s="598">
        <v>16687.0</v>
      </c>
      <c r="K2719" s="1561">
        <v>10297.0</v>
      </c>
      <c r="L2719" s="1551">
        <v>52577.0</v>
      </c>
    </row>
    <row r="2720">
      <c r="A2720" s="1545" t="s">
        <v>148</v>
      </c>
      <c r="B2720" s="1587">
        <v>22146.0</v>
      </c>
      <c r="C2720" s="1547">
        <v>1701.0</v>
      </c>
      <c r="D2720" s="1548">
        <v>33.0</v>
      </c>
      <c r="E2720" s="1557">
        <v>14018.0</v>
      </c>
      <c r="F2720" s="598">
        <v>3726.0</v>
      </c>
      <c r="G2720" s="598">
        <v>147.0</v>
      </c>
      <c r="H2720" s="598">
        <v>162.0</v>
      </c>
      <c r="I2720" s="598">
        <v>18.0</v>
      </c>
      <c r="J2720" s="598">
        <v>2354.0</v>
      </c>
      <c r="K2720" s="1561">
        <v>1721.0</v>
      </c>
      <c r="L2720" s="1551">
        <v>43226.0</v>
      </c>
    </row>
    <row r="2721">
      <c r="A2721" s="1545" t="s">
        <v>2107</v>
      </c>
      <c r="B2721" s="1587">
        <v>3059.0</v>
      </c>
      <c r="C2721" s="1563">
        <v>150.0</v>
      </c>
      <c r="D2721" s="1548">
        <v>17.5</v>
      </c>
      <c r="E2721" s="1557">
        <v>1969.0</v>
      </c>
      <c r="F2721" s="598">
        <v>4.0</v>
      </c>
      <c r="G2721" s="598">
        <v>37.0</v>
      </c>
      <c r="H2721" s="598">
        <v>2.0</v>
      </c>
      <c r="I2721" s="598">
        <v>1.0</v>
      </c>
      <c r="J2721" s="598">
        <v>561.0</v>
      </c>
      <c r="K2721" s="1561">
        <v>485.0</v>
      </c>
      <c r="L2721" s="1551">
        <v>57332.0</v>
      </c>
    </row>
    <row r="2722">
      <c r="A2722" s="1545" t="s">
        <v>2108</v>
      </c>
      <c r="B2722" s="1587">
        <v>11335.0</v>
      </c>
      <c r="C2722" s="1563">
        <v>612.0</v>
      </c>
      <c r="D2722" s="1548">
        <v>25.6</v>
      </c>
      <c r="E2722" s="1557">
        <v>8419.0</v>
      </c>
      <c r="F2722" s="598">
        <v>214.0</v>
      </c>
      <c r="G2722" s="598">
        <v>65.0</v>
      </c>
      <c r="H2722" s="598">
        <v>37.0</v>
      </c>
      <c r="I2722" s="598">
        <v>3.0</v>
      </c>
      <c r="J2722" s="598">
        <v>733.0</v>
      </c>
      <c r="K2722" s="1561">
        <v>1864.0</v>
      </c>
      <c r="L2722" s="1551">
        <v>48814.0</v>
      </c>
    </row>
    <row r="2723">
      <c r="A2723" s="1545" t="s">
        <v>2109</v>
      </c>
      <c r="B2723" s="1587">
        <v>21243.0</v>
      </c>
      <c r="C2723" s="1563">
        <v>771.0</v>
      </c>
      <c r="D2723" s="1548">
        <v>23.4</v>
      </c>
      <c r="E2723" s="1557">
        <v>18388.0</v>
      </c>
      <c r="F2723" s="598">
        <v>105.0</v>
      </c>
      <c r="G2723" s="598">
        <v>169.0</v>
      </c>
      <c r="H2723" s="598">
        <v>133.0</v>
      </c>
      <c r="I2723" s="598">
        <v>4.0</v>
      </c>
      <c r="J2723" s="598">
        <v>770.0</v>
      </c>
      <c r="K2723" s="1561">
        <v>1674.0</v>
      </c>
      <c r="L2723" s="1551">
        <v>54019.0</v>
      </c>
    </row>
    <row r="2724">
      <c r="A2724" s="1545" t="s">
        <v>2110</v>
      </c>
      <c r="B2724" s="1587">
        <v>64.0</v>
      </c>
      <c r="C2724" s="1563">
        <v>5.0</v>
      </c>
      <c r="D2724" s="1548">
        <v>9.6</v>
      </c>
      <c r="E2724" s="1557">
        <v>56.0</v>
      </c>
      <c r="F2724" s="598">
        <v>0.0</v>
      </c>
      <c r="G2724" s="598">
        <v>1.0</v>
      </c>
      <c r="H2724" s="598">
        <v>0.0</v>
      </c>
      <c r="I2724" s="598">
        <v>0.0</v>
      </c>
      <c r="J2724" s="598">
        <v>1.0</v>
      </c>
      <c r="K2724" s="1561">
        <v>6.0</v>
      </c>
      <c r="L2724" s="1638">
        <v>78637.0</v>
      </c>
    </row>
    <row r="2725">
      <c r="A2725" s="1545" t="s">
        <v>2111</v>
      </c>
      <c r="B2725" s="1587">
        <v>310639.0</v>
      </c>
      <c r="C2725" s="1547">
        <v>14597.0</v>
      </c>
      <c r="D2725" s="1548">
        <v>20.3</v>
      </c>
      <c r="E2725" s="1557">
        <v>191717.0</v>
      </c>
      <c r="F2725" s="598">
        <v>27279.0</v>
      </c>
      <c r="G2725" s="598">
        <v>3206.0</v>
      </c>
      <c r="H2725" s="598">
        <v>9701.0</v>
      </c>
      <c r="I2725" s="598">
        <v>248.0</v>
      </c>
      <c r="J2725" s="598">
        <v>35180.0</v>
      </c>
      <c r="K2725" s="1561">
        <v>43308.0</v>
      </c>
      <c r="L2725" s="1551">
        <v>50377.0</v>
      </c>
    </row>
    <row r="2726">
      <c r="A2726" s="1545" t="s">
        <v>2112</v>
      </c>
      <c r="B2726" s="1587">
        <v>5596.0</v>
      </c>
      <c r="C2726" s="1563">
        <v>417.0</v>
      </c>
      <c r="D2726" s="1548">
        <v>26.8</v>
      </c>
      <c r="E2726" s="1557">
        <v>3724.0</v>
      </c>
      <c r="F2726" s="598">
        <v>107.0</v>
      </c>
      <c r="G2726" s="598">
        <v>36.0</v>
      </c>
      <c r="H2726" s="598">
        <v>10.0</v>
      </c>
      <c r="I2726" s="598">
        <v>4.0</v>
      </c>
      <c r="J2726" s="598">
        <v>1058.0</v>
      </c>
      <c r="K2726" s="1561">
        <v>657.0</v>
      </c>
      <c r="L2726" s="1551">
        <v>43436.0</v>
      </c>
    </row>
    <row r="2727">
      <c r="A2727" s="1545" t="s">
        <v>2113</v>
      </c>
      <c r="B2727" s="1587">
        <v>7630.0</v>
      </c>
      <c r="C2727" s="1563">
        <v>486.0</v>
      </c>
      <c r="D2727" s="1548">
        <v>28.2</v>
      </c>
      <c r="E2727" s="1557">
        <v>5821.0</v>
      </c>
      <c r="F2727" s="598">
        <v>98.0</v>
      </c>
      <c r="G2727" s="598">
        <v>38.0</v>
      </c>
      <c r="H2727" s="598">
        <v>39.0</v>
      </c>
      <c r="I2727" s="598">
        <v>1.0</v>
      </c>
      <c r="J2727" s="598">
        <v>564.0</v>
      </c>
      <c r="K2727" s="1561">
        <v>1069.0</v>
      </c>
      <c r="L2727" s="1638">
        <v>42719.0</v>
      </c>
    </row>
    <row r="2728">
      <c r="A2728" s="1545" t="s">
        <v>2114</v>
      </c>
      <c r="B2728" s="1587">
        <v>260579.0</v>
      </c>
      <c r="C2728" s="1547">
        <v>14395.0</v>
      </c>
      <c r="D2728" s="1548">
        <v>23.4</v>
      </c>
      <c r="E2728" s="1557">
        <v>156475.0</v>
      </c>
      <c r="F2728" s="598">
        <v>37518.0</v>
      </c>
      <c r="G2728" s="598">
        <v>2511.0</v>
      </c>
      <c r="H2728" s="598">
        <v>5010.0</v>
      </c>
      <c r="I2728" s="598">
        <v>189.0</v>
      </c>
      <c r="J2728" s="598">
        <v>28193.0</v>
      </c>
      <c r="K2728" s="1561">
        <v>30683.0</v>
      </c>
      <c r="L2728" s="1551">
        <v>48858.0</v>
      </c>
    </row>
    <row r="2729">
      <c r="A2729" s="1545" t="s">
        <v>2115</v>
      </c>
      <c r="B2729" s="1587">
        <v>600.0</v>
      </c>
      <c r="C2729" s="1563">
        <v>21.0</v>
      </c>
      <c r="D2729" s="1548">
        <v>15.9</v>
      </c>
      <c r="E2729" s="1557">
        <v>411.0</v>
      </c>
      <c r="F2729" s="598">
        <v>3.0</v>
      </c>
      <c r="G2729" s="598">
        <v>1.0</v>
      </c>
      <c r="H2729" s="598">
        <v>3.0</v>
      </c>
      <c r="I2729" s="598">
        <v>5.0</v>
      </c>
      <c r="J2729" s="598">
        <v>25.0</v>
      </c>
      <c r="K2729" s="1561">
        <v>152.0</v>
      </c>
      <c r="L2729" s="1551">
        <v>64633.0</v>
      </c>
    </row>
    <row r="2730">
      <c r="A2730" s="1545" t="s">
        <v>151</v>
      </c>
      <c r="B2730" s="1587">
        <v>13455.0</v>
      </c>
      <c r="C2730" s="1563">
        <v>707.0</v>
      </c>
      <c r="D2730" s="1548">
        <v>23.4</v>
      </c>
      <c r="E2730" s="1557">
        <v>7695.0</v>
      </c>
      <c r="F2730" s="598">
        <v>2610.0</v>
      </c>
      <c r="G2730" s="598">
        <v>107.0</v>
      </c>
      <c r="H2730" s="598">
        <v>106.0</v>
      </c>
      <c r="I2730" s="598">
        <v>1.0</v>
      </c>
      <c r="J2730" s="598">
        <v>1994.0</v>
      </c>
      <c r="K2730" s="1561">
        <v>942.0</v>
      </c>
      <c r="L2730" s="1551">
        <v>45445.0</v>
      </c>
    </row>
    <row r="2731">
      <c r="A2731" s="1545" t="s">
        <v>153</v>
      </c>
      <c r="B2731" s="1587">
        <v>9725.0</v>
      </c>
      <c r="C2731" s="1563">
        <v>605.0</v>
      </c>
      <c r="D2731" s="1548">
        <v>34.0</v>
      </c>
      <c r="E2731" s="1557">
        <v>6968.0</v>
      </c>
      <c r="F2731" s="598">
        <v>1857.0</v>
      </c>
      <c r="G2731" s="598">
        <v>86.0</v>
      </c>
      <c r="H2731" s="598">
        <v>48.0</v>
      </c>
      <c r="I2731" s="598">
        <v>0.0</v>
      </c>
      <c r="J2731" s="598">
        <v>143.0</v>
      </c>
      <c r="K2731" s="1561">
        <v>623.0</v>
      </c>
      <c r="L2731" s="1551">
        <v>38011.0</v>
      </c>
    </row>
    <row r="2732">
      <c r="A2732" s="1545" t="s">
        <v>510</v>
      </c>
      <c r="B2732" s="1587">
        <v>5237.0</v>
      </c>
      <c r="C2732" s="1563">
        <v>349.0</v>
      </c>
      <c r="D2732" s="1548">
        <v>19.6</v>
      </c>
      <c r="E2732" s="1557">
        <v>3580.0</v>
      </c>
      <c r="F2732" s="598">
        <v>87.0</v>
      </c>
      <c r="G2732" s="598">
        <v>69.0</v>
      </c>
      <c r="H2732" s="598">
        <v>9.0</v>
      </c>
      <c r="I2732" s="598">
        <v>1.0</v>
      </c>
      <c r="J2732" s="598">
        <v>723.0</v>
      </c>
      <c r="K2732" s="1561">
        <v>768.0</v>
      </c>
      <c r="L2732" s="1551">
        <v>56484.0</v>
      </c>
    </row>
    <row r="2733">
      <c r="A2733" s="1545" t="s">
        <v>735</v>
      </c>
      <c r="B2733" s="1587">
        <v>3953.0</v>
      </c>
      <c r="C2733" s="1563">
        <v>208.0</v>
      </c>
      <c r="D2733" s="1548">
        <v>23.4</v>
      </c>
      <c r="E2733" s="1557">
        <v>3188.0</v>
      </c>
      <c r="F2733" s="598">
        <v>9.0</v>
      </c>
      <c r="G2733" s="598">
        <v>14.0</v>
      </c>
      <c r="H2733" s="598">
        <v>2.0</v>
      </c>
      <c r="I2733" s="598">
        <v>0.0</v>
      </c>
      <c r="J2733" s="598">
        <v>290.0</v>
      </c>
      <c r="K2733" s="1561">
        <v>450.0</v>
      </c>
      <c r="L2733" s="1551">
        <v>49560.0</v>
      </c>
    </row>
    <row r="2734">
      <c r="A2734" s="1545" t="s">
        <v>2116</v>
      </c>
      <c r="B2734" s="1587">
        <v>36255.0</v>
      </c>
      <c r="C2734" s="1547">
        <v>2562.0</v>
      </c>
      <c r="D2734" s="1548">
        <v>27.8</v>
      </c>
      <c r="E2734" s="1557">
        <v>19753.0</v>
      </c>
      <c r="F2734" s="598">
        <v>3900.0</v>
      </c>
      <c r="G2734" s="598">
        <v>318.0</v>
      </c>
      <c r="H2734" s="598">
        <v>720.0</v>
      </c>
      <c r="I2734" s="598">
        <v>7.0</v>
      </c>
      <c r="J2734" s="598">
        <v>5928.0</v>
      </c>
      <c r="K2734" s="1561">
        <v>5629.0</v>
      </c>
      <c r="L2734" s="1551">
        <v>48830.0</v>
      </c>
    </row>
    <row r="2735">
      <c r="A2735" s="1545" t="s">
        <v>2117</v>
      </c>
      <c r="B2735" s="1587">
        <v>57887.0</v>
      </c>
      <c r="C2735" s="1547">
        <v>6351.0</v>
      </c>
      <c r="D2735" s="1548">
        <v>35.0</v>
      </c>
      <c r="E2735" s="1557">
        <v>16845.0</v>
      </c>
      <c r="F2735" s="598">
        <v>181.0</v>
      </c>
      <c r="G2735" s="598">
        <v>1163.0</v>
      </c>
      <c r="H2735" s="598">
        <v>192.0</v>
      </c>
      <c r="I2735" s="598">
        <v>18.0</v>
      </c>
      <c r="J2735" s="598">
        <v>14499.0</v>
      </c>
      <c r="K2735" s="1561">
        <v>24989.0</v>
      </c>
      <c r="L2735" s="1551">
        <v>35594.0</v>
      </c>
    </row>
    <row r="2736">
      <c r="A2736" s="1545" t="s">
        <v>1689</v>
      </c>
      <c r="B2736" s="1587">
        <v>50748.0</v>
      </c>
      <c r="C2736" s="1547">
        <v>2077.0</v>
      </c>
      <c r="D2736" s="1548">
        <v>17.9</v>
      </c>
      <c r="E2736" s="1557">
        <v>31848.0</v>
      </c>
      <c r="F2736" s="598">
        <v>1366.0</v>
      </c>
      <c r="G2736" s="598">
        <v>414.0</v>
      </c>
      <c r="H2736" s="598">
        <v>261.0</v>
      </c>
      <c r="I2736" s="598">
        <v>42.0</v>
      </c>
      <c r="J2736" s="598">
        <v>6068.0</v>
      </c>
      <c r="K2736" s="1561">
        <v>10749.0</v>
      </c>
      <c r="L2736" s="1551">
        <v>59304.0</v>
      </c>
    </row>
    <row r="2737">
      <c r="A2737" s="1545" t="s">
        <v>737</v>
      </c>
      <c r="B2737" s="1587">
        <v>1962.0</v>
      </c>
      <c r="C2737" s="1563">
        <v>154.0</v>
      </c>
      <c r="D2737" s="1548">
        <v>40.8</v>
      </c>
      <c r="E2737" s="1557">
        <v>1511.0</v>
      </c>
      <c r="F2737" s="598">
        <v>13.0</v>
      </c>
      <c r="G2737" s="598">
        <v>14.0</v>
      </c>
      <c r="H2737" s="598">
        <v>5.0</v>
      </c>
      <c r="I2737" s="598">
        <v>3.0</v>
      </c>
      <c r="J2737" s="598">
        <v>194.0</v>
      </c>
      <c r="K2737" s="1561">
        <v>222.0</v>
      </c>
      <c r="L2737" s="1638">
        <v>35881.0</v>
      </c>
    </row>
    <row r="2738">
      <c r="A2738" s="1545" t="s">
        <v>1273</v>
      </c>
      <c r="B2738" s="1587">
        <v>169983.0</v>
      </c>
      <c r="C2738" s="1547">
        <v>6567.0</v>
      </c>
      <c r="D2738" s="1548">
        <v>13.5</v>
      </c>
      <c r="E2738" s="1557">
        <v>98404.0</v>
      </c>
      <c r="F2738" s="598">
        <v>11049.0</v>
      </c>
      <c r="G2738" s="598">
        <v>1550.0</v>
      </c>
      <c r="H2738" s="598">
        <v>3983.0</v>
      </c>
      <c r="I2738" s="598">
        <v>191.0</v>
      </c>
      <c r="J2738" s="598">
        <v>22402.0</v>
      </c>
      <c r="K2738" s="1561">
        <v>32404.0</v>
      </c>
      <c r="L2738" s="1551">
        <v>80189.0</v>
      </c>
    </row>
    <row r="2739">
      <c r="A2739" s="1545" t="s">
        <v>2118</v>
      </c>
      <c r="B2739" s="1587">
        <v>24754.0</v>
      </c>
      <c r="C2739" s="1547">
        <v>1524.0</v>
      </c>
      <c r="D2739" s="1548">
        <v>25.4</v>
      </c>
      <c r="E2739" s="1557">
        <v>17261.0</v>
      </c>
      <c r="F2739" s="598">
        <v>2183.0</v>
      </c>
      <c r="G2739" s="598">
        <v>147.0</v>
      </c>
      <c r="H2739" s="598">
        <v>119.0</v>
      </c>
      <c r="I2739" s="598">
        <v>18.0</v>
      </c>
      <c r="J2739" s="598">
        <v>2430.0</v>
      </c>
      <c r="K2739" s="1561">
        <v>2596.0</v>
      </c>
      <c r="L2739" s="1551">
        <v>46720.0</v>
      </c>
    </row>
    <row r="2740">
      <c r="A2740" s="1545" t="s">
        <v>913</v>
      </c>
      <c r="B2740" s="1587">
        <v>4456.0</v>
      </c>
      <c r="C2740" s="1563">
        <v>229.0</v>
      </c>
      <c r="D2740" s="1548">
        <v>24.6</v>
      </c>
      <c r="E2740" s="1557">
        <v>3654.0</v>
      </c>
      <c r="F2740" s="598">
        <v>30.0</v>
      </c>
      <c r="G2740" s="598">
        <v>15.0</v>
      </c>
      <c r="H2740" s="598">
        <v>5.0</v>
      </c>
      <c r="I2740" s="598">
        <v>0.0</v>
      </c>
      <c r="J2740" s="598">
        <v>287.0</v>
      </c>
      <c r="K2740" s="1561">
        <v>465.0</v>
      </c>
      <c r="L2740" s="1551">
        <v>47068.0</v>
      </c>
    </row>
    <row r="2741">
      <c r="A2741" s="1545" t="s">
        <v>610</v>
      </c>
      <c r="B2741" s="1587">
        <v>8990.0</v>
      </c>
      <c r="C2741" s="1563">
        <v>462.0</v>
      </c>
      <c r="D2741" s="1548">
        <v>26.7</v>
      </c>
      <c r="E2741" s="1557">
        <v>5399.0</v>
      </c>
      <c r="F2741" s="598">
        <v>961.0</v>
      </c>
      <c r="G2741" s="598">
        <v>88.0</v>
      </c>
      <c r="H2741" s="598">
        <v>54.0</v>
      </c>
      <c r="I2741" s="598">
        <v>1.0</v>
      </c>
      <c r="J2741" s="598">
        <v>1618.0</v>
      </c>
      <c r="K2741" s="1561">
        <v>869.0</v>
      </c>
      <c r="L2741" s="1551">
        <v>48529.0</v>
      </c>
    </row>
    <row r="2742">
      <c r="A2742" s="1545" t="s">
        <v>2119</v>
      </c>
      <c r="B2742" s="1587">
        <v>19965.0</v>
      </c>
      <c r="C2742" s="1563">
        <v>918.0</v>
      </c>
      <c r="D2742" s="1548">
        <v>20.9</v>
      </c>
      <c r="E2742" s="1557">
        <v>17066.0</v>
      </c>
      <c r="F2742" s="598">
        <v>81.0</v>
      </c>
      <c r="G2742" s="598">
        <v>194.0</v>
      </c>
      <c r="H2742" s="598">
        <v>84.0</v>
      </c>
      <c r="I2742" s="598">
        <v>4.0</v>
      </c>
      <c r="J2742" s="598">
        <v>712.0</v>
      </c>
      <c r="K2742" s="1561">
        <v>1824.0</v>
      </c>
      <c r="L2742" s="1638">
        <v>50542.0</v>
      </c>
    </row>
    <row r="2743">
      <c r="A2743" s="1545" t="s">
        <v>157</v>
      </c>
      <c r="B2743" s="1587">
        <v>620443.0</v>
      </c>
      <c r="C2743" s="1547">
        <v>19867.0</v>
      </c>
      <c r="D2743" s="1548">
        <v>12.9</v>
      </c>
      <c r="E2743" s="1557">
        <v>407926.0</v>
      </c>
      <c r="F2743" s="598">
        <v>35394.0</v>
      </c>
      <c r="G2743" s="598">
        <v>6049.0</v>
      </c>
      <c r="H2743" s="598">
        <v>21830.0</v>
      </c>
      <c r="I2743" s="598">
        <v>732.0</v>
      </c>
      <c r="J2743" s="598">
        <v>63994.0</v>
      </c>
      <c r="K2743" s="1561">
        <v>84518.0</v>
      </c>
      <c r="L2743" s="1551">
        <v>77598.0</v>
      </c>
    </row>
    <row r="2744">
      <c r="A2744" s="1545" t="s">
        <v>1615</v>
      </c>
      <c r="B2744" s="1587">
        <v>21358.0</v>
      </c>
      <c r="C2744" s="1547">
        <v>1140.0</v>
      </c>
      <c r="D2744" s="1548">
        <v>16.8</v>
      </c>
      <c r="E2744" s="1557">
        <v>9445.0</v>
      </c>
      <c r="F2744" s="598">
        <v>695.0</v>
      </c>
      <c r="G2744" s="598">
        <v>419.0</v>
      </c>
      <c r="H2744" s="598">
        <v>1014.0</v>
      </c>
      <c r="I2744" s="598">
        <v>4.0</v>
      </c>
      <c r="J2744" s="598">
        <v>5396.0</v>
      </c>
      <c r="K2744" s="1561">
        <v>4385.0</v>
      </c>
      <c r="L2744" s="1551">
        <v>53785.0</v>
      </c>
    </row>
    <row r="2745">
      <c r="A2745" s="1545" t="s">
        <v>990</v>
      </c>
      <c r="B2745" s="1587">
        <v>11973.0</v>
      </c>
      <c r="C2745" s="1563">
        <v>864.0</v>
      </c>
      <c r="D2745" s="1548">
        <v>31.1</v>
      </c>
      <c r="E2745" s="1557">
        <v>8043.0</v>
      </c>
      <c r="F2745" s="598">
        <v>2467.0</v>
      </c>
      <c r="G2745" s="598">
        <v>86.0</v>
      </c>
      <c r="H2745" s="598">
        <v>47.0</v>
      </c>
      <c r="I2745" s="598">
        <v>9.0</v>
      </c>
      <c r="J2745" s="598">
        <v>460.0</v>
      </c>
      <c r="K2745" s="1561">
        <v>861.0</v>
      </c>
      <c r="L2745" s="1551">
        <v>41418.0</v>
      </c>
    </row>
    <row r="2746">
      <c r="A2746" s="1545" t="s">
        <v>2120</v>
      </c>
      <c r="B2746" s="1587">
        <v>1063.0</v>
      </c>
      <c r="C2746" s="1563">
        <v>73.0</v>
      </c>
      <c r="D2746" s="1548">
        <v>30.3</v>
      </c>
      <c r="E2746" s="1557">
        <v>931.0</v>
      </c>
      <c r="F2746" s="598">
        <v>10.0</v>
      </c>
      <c r="G2746" s="598">
        <v>2.0</v>
      </c>
      <c r="H2746" s="598">
        <v>0.0</v>
      </c>
      <c r="I2746" s="598">
        <v>0.0</v>
      </c>
      <c r="J2746" s="598">
        <v>43.0</v>
      </c>
      <c r="K2746" s="1561">
        <v>77.0</v>
      </c>
      <c r="L2746" s="1638">
        <v>41009.0</v>
      </c>
    </row>
    <row r="2747">
      <c r="A2747" s="1545" t="s">
        <v>2121</v>
      </c>
      <c r="B2747" s="1587">
        <v>64653.0</v>
      </c>
      <c r="C2747" s="1547">
        <v>3837.0</v>
      </c>
      <c r="D2747" s="1548">
        <v>25.5</v>
      </c>
      <c r="E2747" s="1557">
        <v>40228.0</v>
      </c>
      <c r="F2747" s="598">
        <v>10709.0</v>
      </c>
      <c r="G2747" s="598">
        <v>414.0</v>
      </c>
      <c r="H2747" s="598">
        <v>767.0</v>
      </c>
      <c r="I2747" s="598">
        <v>12.0</v>
      </c>
      <c r="J2747" s="598">
        <v>6793.0</v>
      </c>
      <c r="K2747" s="1561">
        <v>5730.0</v>
      </c>
      <c r="L2747" s="1551">
        <v>45357.0</v>
      </c>
    </row>
    <row r="2748">
      <c r="A2748" s="1545" t="s">
        <v>2122</v>
      </c>
      <c r="B2748" s="1587">
        <v>52624.0</v>
      </c>
      <c r="C2748" s="1547">
        <v>3575.0</v>
      </c>
      <c r="D2748" s="1548">
        <v>27.7</v>
      </c>
      <c r="E2748" s="1557">
        <v>30019.0</v>
      </c>
      <c r="F2748" s="598">
        <v>6425.0</v>
      </c>
      <c r="G2748" s="598">
        <v>473.0</v>
      </c>
      <c r="H2748" s="598">
        <v>401.0</v>
      </c>
      <c r="I2748" s="598">
        <v>734.0</v>
      </c>
      <c r="J2748" s="598">
        <v>7520.0</v>
      </c>
      <c r="K2748" s="1561">
        <v>7052.0</v>
      </c>
      <c r="L2748" s="1551">
        <v>46259.0</v>
      </c>
    </row>
    <row r="2749">
      <c r="A2749" s="1545" t="s">
        <v>297</v>
      </c>
      <c r="B2749" s="1587">
        <v>12217.0</v>
      </c>
      <c r="C2749" s="1563">
        <v>802.0</v>
      </c>
      <c r="D2749" s="1548">
        <v>29.2</v>
      </c>
      <c r="E2749" s="1557">
        <v>9375.0</v>
      </c>
      <c r="F2749" s="598">
        <v>2086.0</v>
      </c>
      <c r="G2749" s="598">
        <v>60.0</v>
      </c>
      <c r="H2749" s="598">
        <v>24.0</v>
      </c>
      <c r="I2749" s="598">
        <v>0.0</v>
      </c>
      <c r="J2749" s="598">
        <v>111.0</v>
      </c>
      <c r="K2749" s="1561">
        <v>561.0</v>
      </c>
      <c r="L2749" s="1551">
        <v>43367.0</v>
      </c>
    </row>
    <row r="2750">
      <c r="A2750" s="1545" t="s">
        <v>2123</v>
      </c>
      <c r="B2750" s="1587">
        <v>14738.0</v>
      </c>
      <c r="C2750" s="1547">
        <v>1012.0</v>
      </c>
      <c r="D2750" s="1548">
        <v>26.5</v>
      </c>
      <c r="E2750" s="1557">
        <v>10235.0</v>
      </c>
      <c r="F2750" s="598">
        <v>712.0</v>
      </c>
      <c r="G2750" s="598">
        <v>108.0</v>
      </c>
      <c r="H2750" s="598">
        <v>104.0</v>
      </c>
      <c r="I2750" s="598">
        <v>5.0</v>
      </c>
      <c r="J2750" s="598">
        <v>1550.0</v>
      </c>
      <c r="K2750" s="1561">
        <v>2024.0</v>
      </c>
      <c r="L2750" s="1638">
        <v>42522.0</v>
      </c>
    </row>
    <row r="2751">
      <c r="A2751" s="1545" t="s">
        <v>2124</v>
      </c>
      <c r="B2751" s="1587">
        <v>353178.0</v>
      </c>
      <c r="C2751" s="1547">
        <v>19814.0</v>
      </c>
      <c r="D2751" s="1548">
        <v>22.6</v>
      </c>
      <c r="E2751" s="1557">
        <v>191405.0</v>
      </c>
      <c r="F2751" s="598">
        <v>14309.0</v>
      </c>
      <c r="G2751" s="598">
        <v>2942.0</v>
      </c>
      <c r="H2751" s="598">
        <v>8135.0</v>
      </c>
      <c r="I2751" s="598">
        <v>381.0</v>
      </c>
      <c r="J2751" s="598">
        <v>44362.0</v>
      </c>
      <c r="K2751" s="1561">
        <v>91644.0</v>
      </c>
      <c r="L2751" s="1551">
        <v>53034.0</v>
      </c>
    </row>
    <row r="2752">
      <c r="A2752" s="1545" t="s">
        <v>2125</v>
      </c>
      <c r="B2752" s="1587">
        <v>10015.0</v>
      </c>
      <c r="C2752" s="1563">
        <v>489.0</v>
      </c>
      <c r="D2752" s="1548">
        <v>15.7</v>
      </c>
      <c r="E2752" s="1557">
        <v>5618.0</v>
      </c>
      <c r="F2752" s="598">
        <v>22.0</v>
      </c>
      <c r="G2752" s="598">
        <v>146.0</v>
      </c>
      <c r="H2752" s="598">
        <v>32.0</v>
      </c>
      <c r="I2752" s="598">
        <v>2.0</v>
      </c>
      <c r="J2752" s="598">
        <v>2434.0</v>
      </c>
      <c r="K2752" s="1561">
        <v>1761.0</v>
      </c>
      <c r="L2752" s="1551">
        <v>49845.0</v>
      </c>
    </row>
    <row r="2753">
      <c r="A2753" s="1545" t="s">
        <v>1127</v>
      </c>
      <c r="B2753" s="1587">
        <v>1758.0</v>
      </c>
      <c r="C2753" s="1563">
        <v>75.0</v>
      </c>
      <c r="D2753" s="1548">
        <v>25.4</v>
      </c>
      <c r="E2753" s="1557">
        <v>1424.0</v>
      </c>
      <c r="F2753" s="598">
        <v>35.0</v>
      </c>
      <c r="G2753" s="598">
        <v>10.0</v>
      </c>
      <c r="H2753" s="598">
        <v>11.0</v>
      </c>
      <c r="I2753" s="598">
        <v>0.0</v>
      </c>
      <c r="J2753" s="598">
        <v>118.0</v>
      </c>
      <c r="K2753" s="1561">
        <v>160.0</v>
      </c>
      <c r="L2753" s="1638">
        <v>56590.0</v>
      </c>
    </row>
    <row r="2754">
      <c r="A2754" s="1545" t="s">
        <v>241</v>
      </c>
      <c r="B2754" s="1587">
        <v>84808.0</v>
      </c>
      <c r="C2754" s="1547">
        <v>4106.0</v>
      </c>
      <c r="D2754" s="1548">
        <v>20.1</v>
      </c>
      <c r="E2754" s="1557">
        <v>66942.0</v>
      </c>
      <c r="F2754" s="598">
        <v>8081.0</v>
      </c>
      <c r="G2754" s="598">
        <v>459.0</v>
      </c>
      <c r="H2754" s="598">
        <v>1113.0</v>
      </c>
      <c r="I2754" s="598">
        <v>19.0</v>
      </c>
      <c r="J2754" s="598">
        <v>2793.0</v>
      </c>
      <c r="K2754" s="1561">
        <v>5401.0</v>
      </c>
      <c r="L2754" s="1551">
        <v>56556.0</v>
      </c>
    </row>
    <row r="2755">
      <c r="A2755" s="1545" t="s">
        <v>2126</v>
      </c>
      <c r="B2755" s="1587">
        <v>28409.0</v>
      </c>
      <c r="C2755" s="1547">
        <v>1648.0</v>
      </c>
      <c r="D2755" s="1548">
        <v>25.0</v>
      </c>
      <c r="E2755" s="1557">
        <v>22603.0</v>
      </c>
      <c r="F2755" s="598">
        <v>582.0</v>
      </c>
      <c r="G2755" s="598">
        <v>269.0</v>
      </c>
      <c r="H2755" s="598">
        <v>214.0</v>
      </c>
      <c r="I2755" s="598">
        <v>13.0</v>
      </c>
      <c r="J2755" s="598">
        <v>2161.0</v>
      </c>
      <c r="K2755" s="1561">
        <v>2567.0</v>
      </c>
      <c r="L2755" s="1551">
        <v>46067.0</v>
      </c>
    </row>
    <row r="2756">
      <c r="A2756" s="1545" t="s">
        <v>1377</v>
      </c>
      <c r="B2756" s="1587">
        <v>22491.0</v>
      </c>
      <c r="C2756" s="1547">
        <v>1386.0</v>
      </c>
      <c r="D2756" s="1548">
        <v>25.9</v>
      </c>
      <c r="E2756" s="1557">
        <v>16637.0</v>
      </c>
      <c r="F2756" s="598">
        <v>3263.0</v>
      </c>
      <c r="G2756" s="598">
        <v>172.0</v>
      </c>
      <c r="H2756" s="598">
        <v>105.0</v>
      </c>
      <c r="I2756" s="598">
        <v>11.0</v>
      </c>
      <c r="J2756" s="598">
        <v>869.0</v>
      </c>
      <c r="K2756" s="1561">
        <v>1434.0</v>
      </c>
      <c r="L2756" s="1638">
        <v>51192.0</v>
      </c>
    </row>
    <row r="2757">
      <c r="A2757" s="1545" t="s">
        <v>2127</v>
      </c>
      <c r="B2757" s="1587">
        <v>148222.0</v>
      </c>
      <c r="C2757" s="1547">
        <v>3910.0</v>
      </c>
      <c r="D2757" s="1548">
        <v>11.5</v>
      </c>
      <c r="E2757" s="1557">
        <v>122995.0</v>
      </c>
      <c r="F2757" s="598">
        <v>1738.0</v>
      </c>
      <c r="G2757" s="598">
        <v>1229.0</v>
      </c>
      <c r="H2757" s="598">
        <v>1035.0</v>
      </c>
      <c r="I2757" s="598">
        <v>116.0</v>
      </c>
      <c r="J2757" s="598">
        <v>6759.0</v>
      </c>
      <c r="K2757" s="1561">
        <v>14350.0</v>
      </c>
      <c r="L2757" s="1551">
        <v>73718.0</v>
      </c>
    </row>
    <row r="2758">
      <c r="A2758" s="1545" t="s">
        <v>2128</v>
      </c>
      <c r="B2758" s="1587">
        <v>9869.0</v>
      </c>
      <c r="C2758" s="1563">
        <v>538.0</v>
      </c>
      <c r="D2758" s="1548">
        <v>19.2</v>
      </c>
      <c r="E2758" s="1557">
        <v>5572.0</v>
      </c>
      <c r="F2758" s="598">
        <v>75.0</v>
      </c>
      <c r="G2758" s="598">
        <v>171.0</v>
      </c>
      <c r="H2758" s="598">
        <v>18.0</v>
      </c>
      <c r="I2758" s="598">
        <v>4.0</v>
      </c>
      <c r="J2758" s="598">
        <v>2353.0</v>
      </c>
      <c r="K2758" s="1561">
        <v>1676.0</v>
      </c>
      <c r="L2758" s="1551">
        <v>50539.0</v>
      </c>
    </row>
    <row r="2759">
      <c r="A2759" s="1545" t="s">
        <v>2129</v>
      </c>
      <c r="B2759" s="1587">
        <v>15193.0</v>
      </c>
      <c r="C2759" s="1563">
        <v>920.0</v>
      </c>
      <c r="D2759" s="1548">
        <v>24.3</v>
      </c>
      <c r="E2759" s="1557">
        <v>6921.0</v>
      </c>
      <c r="F2759" s="598">
        <v>558.0</v>
      </c>
      <c r="G2759" s="598">
        <v>172.0</v>
      </c>
      <c r="H2759" s="598">
        <v>148.0</v>
      </c>
      <c r="I2759" s="598">
        <v>2.0</v>
      </c>
      <c r="J2759" s="598">
        <v>3939.0</v>
      </c>
      <c r="K2759" s="1561">
        <v>3453.0</v>
      </c>
      <c r="L2759" s="1551">
        <v>47008.0</v>
      </c>
    </row>
    <row r="2760">
      <c r="A2760" s="1545" t="s">
        <v>302</v>
      </c>
      <c r="B2760" s="1587">
        <v>50123.0</v>
      </c>
      <c r="C2760" s="1547">
        <v>2458.0</v>
      </c>
      <c r="D2760" s="1548">
        <v>24.7</v>
      </c>
      <c r="E2760" s="1557">
        <v>36343.0</v>
      </c>
      <c r="F2760" s="598">
        <v>4924.0</v>
      </c>
      <c r="G2760" s="598">
        <v>1019.0</v>
      </c>
      <c r="H2760" s="598">
        <v>340.0</v>
      </c>
      <c r="I2760" s="598">
        <v>2.0</v>
      </c>
      <c r="J2760" s="598">
        <v>3829.0</v>
      </c>
      <c r="K2760" s="1561">
        <v>3666.0</v>
      </c>
      <c r="L2760" s="1638">
        <v>46017.0</v>
      </c>
    </row>
    <row r="2761">
      <c r="A2761" s="1545" t="s">
        <v>1805</v>
      </c>
      <c r="B2761" s="1587">
        <v>118525.0</v>
      </c>
      <c r="C2761" s="1547">
        <v>8973.0</v>
      </c>
      <c r="D2761" s="1548">
        <v>27.7</v>
      </c>
      <c r="E2761" s="1557">
        <v>61693.0</v>
      </c>
      <c r="F2761" s="598">
        <v>12561.0</v>
      </c>
      <c r="G2761" s="598">
        <v>1397.0</v>
      </c>
      <c r="H2761" s="598">
        <v>6172.0</v>
      </c>
      <c r="I2761" s="598">
        <v>41.0</v>
      </c>
      <c r="J2761" s="598">
        <v>17115.0</v>
      </c>
      <c r="K2761" s="1561">
        <v>19546.0</v>
      </c>
      <c r="L2761" s="1551">
        <v>41912.0</v>
      </c>
    </row>
    <row r="2762">
      <c r="A2762" s="1545" t="s">
        <v>2130</v>
      </c>
      <c r="B2762" s="1587">
        <v>6131.0</v>
      </c>
      <c r="C2762" s="1563">
        <v>645.0</v>
      </c>
      <c r="D2762" s="1548">
        <v>35.2</v>
      </c>
      <c r="E2762" s="1557">
        <v>2331.0</v>
      </c>
      <c r="F2762" s="598">
        <v>27.0</v>
      </c>
      <c r="G2762" s="598">
        <v>48.0</v>
      </c>
      <c r="H2762" s="598">
        <v>86.0</v>
      </c>
      <c r="I2762" s="598">
        <v>0.0</v>
      </c>
      <c r="J2762" s="598">
        <v>1191.0</v>
      </c>
      <c r="K2762" s="1561">
        <v>2448.0</v>
      </c>
      <c r="L2762" s="1551">
        <v>37738.0</v>
      </c>
    </row>
    <row r="2763">
      <c r="A2763" s="1545" t="s">
        <v>2131</v>
      </c>
      <c r="B2763" s="1587">
        <v>12164.0</v>
      </c>
      <c r="C2763" s="1563">
        <v>567.0</v>
      </c>
      <c r="D2763" s="1548">
        <v>23.7</v>
      </c>
      <c r="E2763" s="1557">
        <v>10394.0</v>
      </c>
      <c r="F2763" s="598">
        <v>270.0</v>
      </c>
      <c r="G2763" s="598">
        <v>112.0</v>
      </c>
      <c r="H2763" s="598">
        <v>55.0</v>
      </c>
      <c r="I2763" s="598">
        <v>3.0</v>
      </c>
      <c r="J2763" s="598">
        <v>512.0</v>
      </c>
      <c r="K2763" s="1561">
        <v>818.0</v>
      </c>
      <c r="L2763" s="1638">
        <v>47572.0</v>
      </c>
    </row>
    <row r="2764">
      <c r="A2764" s="1545" t="s">
        <v>2132</v>
      </c>
      <c r="B2764" s="1587">
        <v>140753.0</v>
      </c>
      <c r="C2764" s="1547">
        <v>3651.0</v>
      </c>
      <c r="D2764" s="1548">
        <v>11.4</v>
      </c>
      <c r="E2764" s="1557">
        <v>105870.0</v>
      </c>
      <c r="F2764" s="598">
        <v>4992.0</v>
      </c>
      <c r="G2764" s="598">
        <v>1263.0</v>
      </c>
      <c r="H2764" s="598">
        <v>2737.0</v>
      </c>
      <c r="I2764" s="598">
        <v>60.0</v>
      </c>
      <c r="J2764" s="598">
        <v>8456.0</v>
      </c>
      <c r="K2764" s="1561">
        <v>17375.0</v>
      </c>
      <c r="L2764" s="1551">
        <v>69600.0</v>
      </c>
    </row>
    <row r="2765">
      <c r="A2765" s="1545" t="s">
        <v>2133</v>
      </c>
      <c r="B2765" s="1587">
        <v>3385.0</v>
      </c>
      <c r="C2765" s="1563">
        <v>146.0</v>
      </c>
      <c r="D2765" s="1548">
        <v>13.5</v>
      </c>
      <c r="E2765" s="1557">
        <v>1736.0</v>
      </c>
      <c r="F2765" s="598">
        <v>42.0</v>
      </c>
      <c r="G2765" s="598">
        <v>32.0</v>
      </c>
      <c r="H2765" s="598">
        <v>20.0</v>
      </c>
      <c r="I2765" s="598">
        <v>1.0</v>
      </c>
      <c r="J2765" s="598">
        <v>763.0</v>
      </c>
      <c r="K2765" s="1561">
        <v>791.0</v>
      </c>
      <c r="L2765" s="1551">
        <v>65273.0</v>
      </c>
    </row>
    <row r="2766">
      <c r="A2766" s="1545" t="s">
        <v>2134</v>
      </c>
      <c r="B2766" s="1587">
        <v>2758.0</v>
      </c>
      <c r="C2766" s="1563">
        <v>204.0</v>
      </c>
      <c r="D2766" s="1548">
        <v>35.6</v>
      </c>
      <c r="E2766" s="1557">
        <v>2213.0</v>
      </c>
      <c r="F2766" s="598">
        <v>28.0</v>
      </c>
      <c r="G2766" s="598">
        <v>20.0</v>
      </c>
      <c r="H2766" s="598">
        <v>13.0</v>
      </c>
      <c r="I2766" s="598">
        <v>3.0</v>
      </c>
      <c r="J2766" s="598">
        <v>155.0</v>
      </c>
      <c r="K2766" s="1561">
        <v>326.0</v>
      </c>
      <c r="L2766" s="1551">
        <v>39506.0</v>
      </c>
    </row>
    <row r="2767">
      <c r="A2767" s="1545" t="s">
        <v>1167</v>
      </c>
      <c r="B2767" s="1587">
        <v>11587.0</v>
      </c>
      <c r="C2767" s="1563">
        <v>687.0</v>
      </c>
      <c r="D2767" s="1548">
        <v>28.6</v>
      </c>
      <c r="E2767" s="1557">
        <v>8700.0</v>
      </c>
      <c r="F2767" s="598">
        <v>1762.0</v>
      </c>
      <c r="G2767" s="598">
        <v>111.0</v>
      </c>
      <c r="H2767" s="598">
        <v>51.0</v>
      </c>
      <c r="I2767" s="598">
        <v>4.0</v>
      </c>
      <c r="J2767" s="598">
        <v>386.0</v>
      </c>
      <c r="K2767" s="1561">
        <v>573.0</v>
      </c>
      <c r="L2767" s="1551">
        <v>42233.0</v>
      </c>
    </row>
    <row r="2768">
      <c r="A2768" s="1545" t="s">
        <v>2135</v>
      </c>
      <c r="B2768" s="1587">
        <v>14748.0</v>
      </c>
      <c r="C2768" s="1563">
        <v>769.0</v>
      </c>
      <c r="D2768" s="1548">
        <v>21.9</v>
      </c>
      <c r="E2768" s="1557">
        <v>8073.0</v>
      </c>
      <c r="F2768" s="598">
        <v>290.0</v>
      </c>
      <c r="G2768" s="598">
        <v>101.0</v>
      </c>
      <c r="H2768" s="598">
        <v>169.0</v>
      </c>
      <c r="I2768" s="598">
        <v>3.0</v>
      </c>
      <c r="J2768" s="598">
        <v>2431.0</v>
      </c>
      <c r="K2768" s="1561">
        <v>3681.0</v>
      </c>
      <c r="L2768" s="1551">
        <v>45341.0</v>
      </c>
    </row>
    <row r="2769">
      <c r="A2769" s="1545" t="s">
        <v>2136</v>
      </c>
      <c r="B2769" s="1587">
        <v>6741.0</v>
      </c>
      <c r="C2769" s="1563">
        <v>402.0</v>
      </c>
      <c r="D2769" s="1548">
        <v>25.5</v>
      </c>
      <c r="E2769" s="1557">
        <v>4172.0</v>
      </c>
      <c r="F2769" s="598">
        <v>462.0</v>
      </c>
      <c r="G2769" s="598">
        <v>32.0</v>
      </c>
      <c r="H2769" s="598">
        <v>32.0</v>
      </c>
      <c r="I2769" s="598">
        <v>0.0</v>
      </c>
      <c r="J2769" s="598">
        <v>715.0</v>
      </c>
      <c r="K2769" s="1561">
        <v>1328.0</v>
      </c>
      <c r="L2769" s="1551">
        <v>44821.0</v>
      </c>
    </row>
    <row r="2770">
      <c r="A2770" s="1545" t="s">
        <v>1879</v>
      </c>
      <c r="B2770" s="1621">
        <v>827.0</v>
      </c>
      <c r="C2770" s="1563">
        <v>22.0</v>
      </c>
      <c r="D2770" s="1548">
        <v>10.2</v>
      </c>
      <c r="E2770" s="1557">
        <v>737.0</v>
      </c>
      <c r="F2770" s="598">
        <v>2.0</v>
      </c>
      <c r="G2770" s="598">
        <v>3.0</v>
      </c>
      <c r="H2770" s="598">
        <v>0.0</v>
      </c>
      <c r="I2770" s="598">
        <v>0.0</v>
      </c>
      <c r="J2770" s="598">
        <v>13.0</v>
      </c>
      <c r="K2770" s="1561">
        <v>72.0</v>
      </c>
      <c r="L2770" s="1551">
        <v>67470.0</v>
      </c>
    </row>
    <row r="2771">
      <c r="A2771" s="1545" t="s">
        <v>1131</v>
      </c>
      <c r="B2771" s="1587">
        <v>16757.0</v>
      </c>
      <c r="C2771" s="1547">
        <v>1052.0</v>
      </c>
      <c r="D2771" s="1548">
        <v>25.6</v>
      </c>
      <c r="E2771" s="1557">
        <v>10502.0</v>
      </c>
      <c r="F2771" s="598">
        <v>3176.0</v>
      </c>
      <c r="G2771" s="598">
        <v>102.0</v>
      </c>
      <c r="H2771" s="598">
        <v>107.0</v>
      </c>
      <c r="I2771" s="598">
        <v>21.0</v>
      </c>
      <c r="J2771" s="598">
        <v>1574.0</v>
      </c>
      <c r="K2771" s="1561">
        <v>1275.0</v>
      </c>
      <c r="L2771" s="1638">
        <v>44917.0</v>
      </c>
    </row>
    <row r="2772">
      <c r="A2772" s="1545" t="s">
        <v>2137</v>
      </c>
      <c r="B2772" s="1587">
        <v>107819.0</v>
      </c>
      <c r="C2772" s="1547">
        <v>1854.0</v>
      </c>
      <c r="D2772" s="1548">
        <v>6.9</v>
      </c>
      <c r="E2772" s="1557">
        <v>74913.0</v>
      </c>
      <c r="F2772" s="598">
        <v>8398.0</v>
      </c>
      <c r="G2772" s="598">
        <v>899.0</v>
      </c>
      <c r="H2772" s="598">
        <v>3371.0</v>
      </c>
      <c r="I2772" s="598">
        <v>111.0</v>
      </c>
      <c r="J2772" s="598">
        <v>6699.0</v>
      </c>
      <c r="K2772" s="1561">
        <v>13428.0</v>
      </c>
      <c r="L2772" s="1551">
        <v>102858.0</v>
      </c>
    </row>
    <row r="2773">
      <c r="A2773" s="1545" t="s">
        <v>2138</v>
      </c>
      <c r="B2773" s="1587">
        <v>9900.0</v>
      </c>
      <c r="C2773" s="1563">
        <v>551.0</v>
      </c>
      <c r="D2773" s="1548">
        <v>23.9</v>
      </c>
      <c r="E2773" s="1557">
        <v>7480.0</v>
      </c>
      <c r="F2773" s="598">
        <v>146.0</v>
      </c>
      <c r="G2773" s="598">
        <v>86.0</v>
      </c>
      <c r="H2773" s="598">
        <v>24.0</v>
      </c>
      <c r="I2773" s="598">
        <v>7.0</v>
      </c>
      <c r="J2773" s="598">
        <v>955.0</v>
      </c>
      <c r="K2773" s="1561">
        <v>1202.0</v>
      </c>
      <c r="L2773" s="1551">
        <v>42205.0</v>
      </c>
    </row>
    <row r="2774">
      <c r="A2774" s="1545" t="s">
        <v>2139</v>
      </c>
      <c r="B2774" s="1587">
        <v>52214.0</v>
      </c>
      <c r="C2774" s="1547">
        <v>2487.0</v>
      </c>
      <c r="D2774" s="1548">
        <v>20.8</v>
      </c>
      <c r="E2774" s="1557">
        <v>33865.0</v>
      </c>
      <c r="F2774" s="598">
        <v>8326.0</v>
      </c>
      <c r="G2774" s="598">
        <v>401.0</v>
      </c>
      <c r="H2774" s="598">
        <v>231.0</v>
      </c>
      <c r="I2774" s="598">
        <v>24.0</v>
      </c>
      <c r="J2774" s="598">
        <v>5115.0</v>
      </c>
      <c r="K2774" s="1561">
        <v>4252.0</v>
      </c>
      <c r="L2774" s="1551">
        <v>49788.0</v>
      </c>
    </row>
    <row r="2775">
      <c r="A2775" s="1545" t="s">
        <v>1168</v>
      </c>
      <c r="B2775" s="1587">
        <v>9894.0</v>
      </c>
      <c r="C2775" s="1563">
        <v>562.0</v>
      </c>
      <c r="D2775" s="1548">
        <v>28.5</v>
      </c>
      <c r="E2775" s="1557">
        <v>8426.0</v>
      </c>
      <c r="F2775" s="598">
        <v>745.0</v>
      </c>
      <c r="G2775" s="598">
        <v>51.0</v>
      </c>
      <c r="H2775" s="598">
        <v>53.0</v>
      </c>
      <c r="I2775" s="598">
        <v>0.0</v>
      </c>
      <c r="J2775" s="598">
        <v>138.0</v>
      </c>
      <c r="K2775" s="1561">
        <v>481.0</v>
      </c>
      <c r="L2775" s="1551">
        <v>40641.0</v>
      </c>
    </row>
    <row r="2776">
      <c r="A2776" s="1545" t="s">
        <v>2140</v>
      </c>
      <c r="B2776" s="1587">
        <v>7918.0</v>
      </c>
      <c r="C2776" s="1563">
        <v>548.0</v>
      </c>
      <c r="D2776" s="1548">
        <v>34.3</v>
      </c>
      <c r="E2776" s="1557">
        <v>5352.0</v>
      </c>
      <c r="F2776" s="598">
        <v>1781.0</v>
      </c>
      <c r="G2776" s="598">
        <v>33.0</v>
      </c>
      <c r="H2776" s="598">
        <v>42.0</v>
      </c>
      <c r="I2776" s="598">
        <v>0.0</v>
      </c>
      <c r="J2776" s="598">
        <v>318.0</v>
      </c>
      <c r="K2776" s="1561">
        <v>392.0</v>
      </c>
      <c r="L2776" s="1551">
        <v>38826.0</v>
      </c>
    </row>
    <row r="2777">
      <c r="A2777" s="1545" t="s">
        <v>2142</v>
      </c>
      <c r="B2777" s="1587">
        <v>27402.0</v>
      </c>
      <c r="C2777" s="1547">
        <v>1733.0</v>
      </c>
      <c r="D2777" s="1548">
        <v>28.4</v>
      </c>
      <c r="E2777" s="1557">
        <v>20276.0</v>
      </c>
      <c r="F2777" s="598">
        <v>2134.0</v>
      </c>
      <c r="G2777" s="598">
        <v>219.0</v>
      </c>
      <c r="H2777" s="598">
        <v>88.0</v>
      </c>
      <c r="I2777" s="598">
        <v>20.0</v>
      </c>
      <c r="J2777" s="598">
        <v>2245.0</v>
      </c>
      <c r="K2777" s="1561">
        <v>2420.0</v>
      </c>
      <c r="L2777" s="1638">
        <v>47028.0</v>
      </c>
    </row>
    <row r="2778">
      <c r="A2778" s="1545" t="s">
        <v>2143</v>
      </c>
      <c r="B2778" s="1587">
        <v>68755.0</v>
      </c>
      <c r="C2778" s="1547">
        <v>4599.0</v>
      </c>
      <c r="D2778" s="1548">
        <v>26.1</v>
      </c>
      <c r="E2778" s="1557">
        <v>42197.0</v>
      </c>
      <c r="F2778" s="598">
        <v>1195.0</v>
      </c>
      <c r="G2778" s="598">
        <v>544.0</v>
      </c>
      <c r="H2778" s="598">
        <v>886.0</v>
      </c>
      <c r="I2778" s="598">
        <v>87.0</v>
      </c>
      <c r="J2778" s="598">
        <v>7761.0</v>
      </c>
      <c r="K2778" s="1561">
        <v>16085.0</v>
      </c>
      <c r="L2778" s="1551">
        <v>53559.0</v>
      </c>
    </row>
    <row r="2779">
      <c r="A2779" s="1545" t="s">
        <v>2144</v>
      </c>
      <c r="B2779" s="1587">
        <v>5730.0</v>
      </c>
      <c r="C2779" s="1563">
        <v>326.0</v>
      </c>
      <c r="D2779" s="1548">
        <v>28.0</v>
      </c>
      <c r="E2779" s="1557">
        <v>4274.0</v>
      </c>
      <c r="F2779" s="598">
        <v>121.0</v>
      </c>
      <c r="G2779" s="598">
        <v>39.0</v>
      </c>
      <c r="H2779" s="598">
        <v>17.0</v>
      </c>
      <c r="I2779" s="598">
        <v>2.0</v>
      </c>
      <c r="J2779" s="598">
        <v>742.0</v>
      </c>
      <c r="K2779" s="1561">
        <v>535.0</v>
      </c>
      <c r="L2779" s="1551">
        <v>43827.0</v>
      </c>
    </row>
    <row r="2780">
      <c r="A2780" s="1545" t="s">
        <v>2145</v>
      </c>
      <c r="B2780" s="1587">
        <v>2451.0</v>
      </c>
      <c r="C2780" s="1563">
        <v>174.0</v>
      </c>
      <c r="D2780" s="1548">
        <v>23.8</v>
      </c>
      <c r="E2780" s="1557">
        <v>1368.0</v>
      </c>
      <c r="F2780" s="598">
        <v>26.0</v>
      </c>
      <c r="G2780" s="598">
        <v>24.0</v>
      </c>
      <c r="H2780" s="598">
        <v>10.0</v>
      </c>
      <c r="I2780" s="598">
        <v>3.0</v>
      </c>
      <c r="J2780" s="598">
        <v>665.0</v>
      </c>
      <c r="K2780" s="1561">
        <v>355.0</v>
      </c>
      <c r="L2780" s="1551">
        <v>47317.0</v>
      </c>
    </row>
    <row r="2781">
      <c r="A2781" s="1545" t="s">
        <v>2146</v>
      </c>
      <c r="B2781" s="1587">
        <v>16932.0</v>
      </c>
      <c r="C2781" s="1563">
        <v>892.0</v>
      </c>
      <c r="D2781" s="1548">
        <v>21.3</v>
      </c>
      <c r="E2781" s="1557">
        <v>10867.0</v>
      </c>
      <c r="F2781" s="598">
        <v>637.0</v>
      </c>
      <c r="G2781" s="598">
        <v>126.0</v>
      </c>
      <c r="H2781" s="598">
        <v>83.0</v>
      </c>
      <c r="I2781" s="598">
        <v>8.0</v>
      </c>
      <c r="J2781" s="598">
        <v>2846.0</v>
      </c>
      <c r="K2781" s="1561">
        <v>2365.0</v>
      </c>
      <c r="L2781" s="1551">
        <v>53059.0</v>
      </c>
    </row>
    <row r="2782">
      <c r="A2782" s="1545" t="s">
        <v>2148</v>
      </c>
      <c r="B2782" s="1587">
        <v>3105.0</v>
      </c>
      <c r="C2782" s="1563">
        <v>150.0</v>
      </c>
      <c r="D2782" s="1548">
        <v>20.5</v>
      </c>
      <c r="E2782" s="1557">
        <v>2731.0</v>
      </c>
      <c r="F2782" s="598">
        <v>23.0</v>
      </c>
      <c r="G2782" s="598">
        <v>10.0</v>
      </c>
      <c r="H2782" s="598">
        <v>18.0</v>
      </c>
      <c r="I2782" s="598">
        <v>0.0</v>
      </c>
      <c r="J2782" s="598">
        <v>128.0</v>
      </c>
      <c r="K2782" s="1561">
        <v>195.0</v>
      </c>
      <c r="L2782" s="1551">
        <v>57126.0</v>
      </c>
    </row>
    <row r="2783">
      <c r="A2783" s="1545" t="s">
        <v>168</v>
      </c>
      <c r="B2783" s="1587">
        <v>24022.0</v>
      </c>
      <c r="C2783" s="1547">
        <v>1944.0</v>
      </c>
      <c r="D2783" s="1548">
        <v>30.1</v>
      </c>
      <c r="E2783" s="1557">
        <v>15111.0</v>
      </c>
      <c r="F2783" s="598">
        <v>3836.0</v>
      </c>
      <c r="G2783" s="598">
        <v>139.0</v>
      </c>
      <c r="H2783" s="598">
        <v>370.0</v>
      </c>
      <c r="I2783" s="598">
        <v>14.0</v>
      </c>
      <c r="J2783" s="598">
        <v>2538.0</v>
      </c>
      <c r="K2783" s="1561">
        <v>2014.0</v>
      </c>
      <c r="L2783" s="1551">
        <v>41961.0</v>
      </c>
    </row>
    <row r="2784">
      <c r="A2784" s="1545" t="s">
        <v>1011</v>
      </c>
      <c r="B2784" s="1587">
        <v>2782.0</v>
      </c>
      <c r="C2784" s="1563">
        <v>136.0</v>
      </c>
      <c r="D2784" s="1548">
        <v>15.9</v>
      </c>
      <c r="E2784" s="1557">
        <v>1612.0</v>
      </c>
      <c r="F2784" s="598">
        <v>12.0</v>
      </c>
      <c r="G2784" s="598">
        <v>37.0</v>
      </c>
      <c r="H2784" s="598">
        <v>3.0</v>
      </c>
      <c r="I2784" s="598">
        <v>0.0</v>
      </c>
      <c r="J2784" s="598">
        <v>524.0</v>
      </c>
      <c r="K2784" s="1561">
        <v>594.0</v>
      </c>
      <c r="L2784" s="1638">
        <v>57052.0</v>
      </c>
    </row>
    <row r="2785">
      <c r="A2785" s="1545" t="s">
        <v>1012</v>
      </c>
      <c r="B2785" s="1587">
        <v>233479.0</v>
      </c>
      <c r="C2785" s="1547">
        <v>12359.0</v>
      </c>
      <c r="D2785" s="1548">
        <v>22.2</v>
      </c>
      <c r="E2785" s="1557">
        <v>144539.0</v>
      </c>
      <c r="F2785" s="598">
        <v>38593.0</v>
      </c>
      <c r="G2785" s="598">
        <v>1656.0</v>
      </c>
      <c r="H2785" s="598">
        <v>4188.0</v>
      </c>
      <c r="I2785" s="598">
        <v>106.0</v>
      </c>
      <c r="J2785" s="598">
        <v>21961.0</v>
      </c>
      <c r="K2785" s="1561">
        <v>22436.0</v>
      </c>
      <c r="L2785" s="1551">
        <v>56848.0</v>
      </c>
    </row>
    <row r="2786">
      <c r="A2786" s="1545" t="s">
        <v>2149</v>
      </c>
      <c r="B2786" s="1587">
        <v>9205.0</v>
      </c>
      <c r="C2786" s="1563">
        <v>280.0</v>
      </c>
      <c r="D2786" s="1548">
        <v>14.2</v>
      </c>
      <c r="E2786" s="1557">
        <v>7373.0</v>
      </c>
      <c r="F2786" s="598">
        <v>45.0</v>
      </c>
      <c r="G2786" s="598">
        <v>78.0</v>
      </c>
      <c r="H2786" s="598">
        <v>58.0</v>
      </c>
      <c r="I2786" s="598">
        <v>0.0</v>
      </c>
      <c r="J2786" s="598">
        <v>534.0</v>
      </c>
      <c r="K2786" s="1561">
        <v>1117.0</v>
      </c>
      <c r="L2786" s="1551">
        <v>63929.0</v>
      </c>
    </row>
    <row r="2787">
      <c r="A2787" s="1545" t="s">
        <v>2150</v>
      </c>
      <c r="B2787" s="1587">
        <v>65920.0</v>
      </c>
      <c r="C2787" s="1547">
        <v>9563.0</v>
      </c>
      <c r="D2787" s="1548">
        <v>45.3</v>
      </c>
      <c r="E2787" s="1557">
        <v>21839.0</v>
      </c>
      <c r="F2787" s="598">
        <v>66.0</v>
      </c>
      <c r="G2787" s="598">
        <v>253.0</v>
      </c>
      <c r="H2787" s="598">
        <v>111.0</v>
      </c>
      <c r="I2787" s="598">
        <v>1.0</v>
      </c>
      <c r="J2787" s="598">
        <v>12623.0</v>
      </c>
      <c r="K2787" s="1561">
        <v>31027.0</v>
      </c>
      <c r="L2787" s="1551">
        <v>30490.0</v>
      </c>
    </row>
    <row r="2788">
      <c r="A2788" s="1545" t="s">
        <v>628</v>
      </c>
      <c r="B2788" s="1587">
        <v>9101.0</v>
      </c>
      <c r="C2788" s="1563">
        <v>614.0</v>
      </c>
      <c r="D2788" s="1548">
        <v>30.4</v>
      </c>
      <c r="E2788" s="1557">
        <v>7013.0</v>
      </c>
      <c r="F2788" s="598">
        <v>246.0</v>
      </c>
      <c r="G2788" s="598">
        <v>61.0</v>
      </c>
      <c r="H2788" s="598">
        <v>63.0</v>
      </c>
      <c r="I2788" s="598">
        <v>1.0</v>
      </c>
      <c r="J2788" s="598">
        <v>896.0</v>
      </c>
      <c r="K2788" s="1561">
        <v>821.0</v>
      </c>
      <c r="L2788" s="1551">
        <v>43115.0</v>
      </c>
    </row>
    <row r="2789">
      <c r="A2789" s="1545" t="s">
        <v>2151</v>
      </c>
      <c r="B2789" s="1587">
        <v>1372.0</v>
      </c>
      <c r="C2789" s="1563">
        <v>64.0</v>
      </c>
      <c r="D2789" s="1548">
        <v>17.3</v>
      </c>
      <c r="E2789" s="1557">
        <v>1064.0</v>
      </c>
      <c r="F2789" s="598">
        <v>3.0</v>
      </c>
      <c r="G2789" s="598">
        <v>6.0</v>
      </c>
      <c r="H2789" s="598">
        <v>1.0</v>
      </c>
      <c r="I2789" s="598">
        <v>2.0</v>
      </c>
      <c r="J2789" s="598">
        <v>120.0</v>
      </c>
      <c r="K2789" s="1561">
        <v>176.0</v>
      </c>
      <c r="L2789" s="1551">
        <v>59064.0</v>
      </c>
    </row>
    <row r="2790">
      <c r="A2790" s="1545" t="s">
        <v>2152</v>
      </c>
      <c r="B2790" s="1587">
        <v>1245.0</v>
      </c>
      <c r="C2790" s="1563">
        <v>53.0</v>
      </c>
      <c r="D2790" s="1548">
        <v>17.8</v>
      </c>
      <c r="E2790" s="1557">
        <v>1032.0</v>
      </c>
      <c r="F2790" s="598">
        <v>20.0</v>
      </c>
      <c r="G2790" s="598">
        <v>10.0</v>
      </c>
      <c r="H2790" s="598">
        <v>5.0</v>
      </c>
      <c r="I2790" s="598">
        <v>0.0</v>
      </c>
      <c r="J2790" s="598">
        <v>66.0</v>
      </c>
      <c r="K2790" s="1561">
        <v>112.0</v>
      </c>
      <c r="L2790" s="1551">
        <v>46915.0</v>
      </c>
    </row>
    <row r="2791">
      <c r="A2791" s="1545" t="s">
        <v>2153</v>
      </c>
      <c r="B2791" s="1587">
        <v>3372.0</v>
      </c>
      <c r="C2791" s="1563">
        <v>201.0</v>
      </c>
      <c r="D2791" s="1548">
        <v>22.6</v>
      </c>
      <c r="E2791" s="1557">
        <v>1959.0</v>
      </c>
      <c r="F2791" s="598">
        <v>10.0</v>
      </c>
      <c r="G2791" s="598">
        <v>16.0</v>
      </c>
      <c r="H2791" s="598">
        <v>8.0</v>
      </c>
      <c r="I2791" s="598">
        <v>2.0</v>
      </c>
      <c r="J2791" s="598">
        <v>519.0</v>
      </c>
      <c r="K2791" s="1561">
        <v>858.0</v>
      </c>
      <c r="L2791" s="1551">
        <v>54774.0</v>
      </c>
    </row>
    <row r="2792">
      <c r="A2792" s="1545" t="s">
        <v>2154</v>
      </c>
      <c r="B2792" s="1587">
        <v>6971.0</v>
      </c>
      <c r="C2792" s="1563">
        <v>543.0</v>
      </c>
      <c r="D2792" s="1548">
        <v>29.2</v>
      </c>
      <c r="E2792" s="1557">
        <v>4182.0</v>
      </c>
      <c r="F2792" s="598">
        <v>438.0</v>
      </c>
      <c r="G2792" s="598">
        <v>49.0</v>
      </c>
      <c r="H2792" s="598">
        <v>12.0</v>
      </c>
      <c r="I2792" s="598">
        <v>3.0</v>
      </c>
      <c r="J2792" s="598">
        <v>1150.0</v>
      </c>
      <c r="K2792" s="1561">
        <v>1137.0</v>
      </c>
      <c r="L2792" s="1638">
        <v>43084.0</v>
      </c>
    </row>
    <row r="2793">
      <c r="A2793" s="1545" t="s">
        <v>265</v>
      </c>
      <c r="B2793" s="1587">
        <v>2110640.0</v>
      </c>
      <c r="C2793" s="1547">
        <v>91110.0</v>
      </c>
      <c r="D2793" s="1548">
        <v>16.8</v>
      </c>
      <c r="E2793" s="1557">
        <v>1044549.0</v>
      </c>
      <c r="F2793" s="598">
        <v>366727.0</v>
      </c>
      <c r="G2793" s="598">
        <v>18690.0</v>
      </c>
      <c r="H2793" s="598">
        <v>129437.0</v>
      </c>
      <c r="I2793" s="598">
        <v>4551.0</v>
      </c>
      <c r="J2793" s="598">
        <v>250491.0</v>
      </c>
      <c r="K2793" s="1561">
        <v>296195.0</v>
      </c>
      <c r="L2793" s="1638">
        <v>66059.0</v>
      </c>
    </row>
    <row r="2794">
      <c r="A2794" s="1545" t="s">
        <v>526</v>
      </c>
      <c r="B2794" s="1587">
        <v>143208.0</v>
      </c>
      <c r="C2794" s="1547">
        <v>7406.0</v>
      </c>
      <c r="D2794" s="1548">
        <v>22.1</v>
      </c>
      <c r="E2794" s="1557">
        <v>99225.0</v>
      </c>
      <c r="F2794" s="598">
        <v>11771.0</v>
      </c>
      <c r="G2794" s="598">
        <v>1262.0</v>
      </c>
      <c r="H2794" s="598">
        <v>2924.0</v>
      </c>
      <c r="I2794" s="598">
        <v>189.0</v>
      </c>
      <c r="J2794" s="598">
        <v>10662.0</v>
      </c>
      <c r="K2794" s="1561">
        <v>17175.0</v>
      </c>
      <c r="L2794" s="1551">
        <v>48040.0</v>
      </c>
    </row>
    <row r="2795">
      <c r="A2795" s="1545" t="s">
        <v>635</v>
      </c>
      <c r="B2795" s="1621">
        <v>760.0</v>
      </c>
      <c r="C2795" s="1563">
        <v>37.0</v>
      </c>
      <c r="D2795" s="1548">
        <v>22.8</v>
      </c>
      <c r="E2795" s="1557">
        <v>480.0</v>
      </c>
      <c r="F2795" s="598">
        <v>8.0</v>
      </c>
      <c r="G2795" s="598">
        <v>0.0</v>
      </c>
      <c r="H2795" s="598">
        <v>5.0</v>
      </c>
      <c r="I2795" s="598">
        <v>0.0</v>
      </c>
      <c r="J2795" s="598">
        <v>153.0</v>
      </c>
      <c r="K2795" s="1561">
        <v>114.0</v>
      </c>
      <c r="L2795" s="1551">
        <v>41413.0</v>
      </c>
    </row>
    <row r="2796">
      <c r="A2796" s="1545" t="s">
        <v>2156</v>
      </c>
      <c r="B2796" s="1587">
        <v>11831.0</v>
      </c>
      <c r="C2796" s="1547">
        <v>1094.0</v>
      </c>
      <c r="D2796" s="1548">
        <v>32.6</v>
      </c>
      <c r="E2796" s="1557">
        <v>6930.0</v>
      </c>
      <c r="F2796" s="598">
        <v>454.0</v>
      </c>
      <c r="G2796" s="598">
        <v>76.0</v>
      </c>
      <c r="H2796" s="598">
        <v>40.0</v>
      </c>
      <c r="I2796" s="598">
        <v>0.0</v>
      </c>
      <c r="J2796" s="598">
        <v>1750.0</v>
      </c>
      <c r="K2796" s="1561">
        <v>2581.0</v>
      </c>
      <c r="L2796" s="1551">
        <v>41268.0</v>
      </c>
    </row>
    <row r="2797">
      <c r="A2797" s="1545" t="s">
        <v>2157</v>
      </c>
      <c r="B2797" s="1587">
        <v>1440.0</v>
      </c>
      <c r="C2797" s="1563">
        <v>72.0</v>
      </c>
      <c r="D2797" s="1548">
        <v>24.3</v>
      </c>
      <c r="E2797" s="1557">
        <v>1294.0</v>
      </c>
      <c r="F2797" s="598">
        <v>2.0</v>
      </c>
      <c r="G2797" s="598">
        <v>5.0</v>
      </c>
      <c r="H2797" s="598">
        <v>3.0</v>
      </c>
      <c r="I2797" s="598">
        <v>0.0</v>
      </c>
      <c r="J2797" s="598">
        <v>32.0</v>
      </c>
      <c r="K2797" s="1561">
        <v>104.0</v>
      </c>
      <c r="L2797" s="1551">
        <v>42701.0</v>
      </c>
    </row>
    <row r="2798">
      <c r="A2798" s="1545" t="s">
        <v>2159</v>
      </c>
      <c r="B2798" s="1587">
        <v>31247.0</v>
      </c>
      <c r="C2798" s="1547">
        <v>2814.0</v>
      </c>
      <c r="D2798" s="1548">
        <v>29.7</v>
      </c>
      <c r="E2798" s="1557">
        <v>16188.0</v>
      </c>
      <c r="F2798" s="598">
        <v>2992.0</v>
      </c>
      <c r="G2798" s="598">
        <v>377.0</v>
      </c>
      <c r="H2798" s="598">
        <v>278.0</v>
      </c>
      <c r="I2798" s="598">
        <v>9.0</v>
      </c>
      <c r="J2798" s="598">
        <v>6421.0</v>
      </c>
      <c r="K2798" s="1561">
        <v>4982.0</v>
      </c>
      <c r="L2798" s="1638">
        <v>45604.0</v>
      </c>
    </row>
    <row r="2799">
      <c r="A2799" s="1545" t="s">
        <v>2160</v>
      </c>
      <c r="B2799" s="1587">
        <v>120003.0</v>
      </c>
      <c r="C2799" s="1547">
        <v>6605.0</v>
      </c>
      <c r="D2799" s="1548">
        <v>23.7</v>
      </c>
      <c r="E2799" s="1557">
        <v>78548.0</v>
      </c>
      <c r="F2799" s="598">
        <v>4544.0</v>
      </c>
      <c r="G2799" s="598">
        <v>1050.0</v>
      </c>
      <c r="H2799" s="598">
        <v>1801.0</v>
      </c>
      <c r="I2799" s="598">
        <v>175.0</v>
      </c>
      <c r="J2799" s="598">
        <v>12546.0</v>
      </c>
      <c r="K2799" s="1561">
        <v>21339.0</v>
      </c>
      <c r="L2799" s="1638">
        <v>51393.0</v>
      </c>
    </row>
    <row r="2800">
      <c r="A2800" s="1545" t="s">
        <v>355</v>
      </c>
      <c r="B2800" s="1587">
        <v>1290188.0</v>
      </c>
      <c r="C2800" s="1547">
        <v>40506.0</v>
      </c>
      <c r="D2800" s="1548">
        <v>15.2</v>
      </c>
      <c r="E2800" s="1557">
        <v>709447.0</v>
      </c>
      <c r="F2800" s="598">
        <v>101267.0</v>
      </c>
      <c r="G2800" s="598">
        <v>12463.0</v>
      </c>
      <c r="H2800" s="598">
        <v>101038.0</v>
      </c>
      <c r="I2800" s="598">
        <v>1019.0</v>
      </c>
      <c r="J2800" s="598">
        <v>154399.0</v>
      </c>
      <c r="K2800" s="1561">
        <v>210555.0</v>
      </c>
      <c r="L2800" s="1551">
        <v>76255.0</v>
      </c>
    </row>
    <row r="2801">
      <c r="A2801" s="1545" t="s">
        <v>376</v>
      </c>
      <c r="B2801" s="1587">
        <v>13602.0</v>
      </c>
      <c r="C2801" s="1563">
        <v>883.0</v>
      </c>
      <c r="D2801" s="1548">
        <v>30.3</v>
      </c>
      <c r="E2801" s="1557">
        <v>10833.0</v>
      </c>
      <c r="F2801" s="598">
        <v>1092.0</v>
      </c>
      <c r="G2801" s="598">
        <v>54.0</v>
      </c>
      <c r="H2801" s="598">
        <v>34.0</v>
      </c>
      <c r="I2801" s="598">
        <v>5.0</v>
      </c>
      <c r="J2801" s="598">
        <v>558.0</v>
      </c>
      <c r="K2801" s="1561">
        <v>1026.0</v>
      </c>
      <c r="L2801" s="1551">
        <v>40486.0</v>
      </c>
    </row>
    <row r="2802">
      <c r="A2802" s="1545" t="s">
        <v>2161</v>
      </c>
      <c r="B2802" s="1587">
        <v>19798.0</v>
      </c>
      <c r="C2802" s="1547">
        <v>1080.0</v>
      </c>
      <c r="D2802" s="1548">
        <v>26.4</v>
      </c>
      <c r="E2802" s="1557">
        <v>15621.0</v>
      </c>
      <c r="F2802" s="598">
        <v>2059.0</v>
      </c>
      <c r="G2802" s="598">
        <v>120.0</v>
      </c>
      <c r="H2802" s="598">
        <v>100.0</v>
      </c>
      <c r="I2802" s="598">
        <v>3.0</v>
      </c>
      <c r="J2802" s="598">
        <v>938.0</v>
      </c>
      <c r="K2802" s="1561">
        <v>957.0</v>
      </c>
      <c r="L2802" s="1551">
        <v>44041.0</v>
      </c>
    </row>
    <row r="2803">
      <c r="A2803" s="1545" t="s">
        <v>2162</v>
      </c>
      <c r="B2803" s="1587">
        <v>40892.0</v>
      </c>
      <c r="C2803" s="1547">
        <v>2028.0</v>
      </c>
      <c r="D2803" s="1548">
        <v>21.1</v>
      </c>
      <c r="E2803" s="1557">
        <v>32238.0</v>
      </c>
      <c r="F2803" s="598">
        <v>2958.0</v>
      </c>
      <c r="G2803" s="598">
        <v>340.0</v>
      </c>
      <c r="H2803" s="598">
        <v>177.0</v>
      </c>
      <c r="I2803" s="598">
        <v>13.0</v>
      </c>
      <c r="J2803" s="598">
        <v>1816.0</v>
      </c>
      <c r="K2803" s="1561">
        <v>3350.0</v>
      </c>
      <c r="L2803" s="1551">
        <v>48554.0</v>
      </c>
    </row>
    <row r="2804">
      <c r="A2804" s="1545" t="s">
        <v>2164</v>
      </c>
      <c r="B2804" s="1587">
        <v>3308.0</v>
      </c>
      <c r="C2804" s="1563">
        <v>217.0</v>
      </c>
      <c r="D2804" s="1548">
        <v>20.2</v>
      </c>
      <c r="E2804" s="1557">
        <v>1849.0</v>
      </c>
      <c r="F2804" s="598">
        <v>74.0</v>
      </c>
      <c r="G2804" s="598">
        <v>13.0</v>
      </c>
      <c r="H2804" s="598">
        <v>5.0</v>
      </c>
      <c r="I2804" s="598">
        <v>0.0</v>
      </c>
      <c r="J2804" s="598">
        <v>380.0</v>
      </c>
      <c r="K2804" s="1561">
        <v>987.0</v>
      </c>
      <c r="L2804" s="1551">
        <v>53867.0</v>
      </c>
    </row>
    <row r="2805">
      <c r="A2805" s="1545" t="s">
        <v>2166</v>
      </c>
      <c r="B2805" s="1587">
        <v>24564.0</v>
      </c>
      <c r="C2805" s="1547">
        <v>2512.0</v>
      </c>
      <c r="D2805" s="1548">
        <v>35.0</v>
      </c>
      <c r="E2805" s="1557">
        <v>12584.0</v>
      </c>
      <c r="F2805" s="598">
        <v>159.0</v>
      </c>
      <c r="G2805" s="598">
        <v>133.0</v>
      </c>
      <c r="H2805" s="598">
        <v>162.0</v>
      </c>
      <c r="I2805" s="598">
        <v>8.0</v>
      </c>
      <c r="J2805" s="598">
        <v>4012.0</v>
      </c>
      <c r="K2805" s="1561">
        <v>7506.0</v>
      </c>
      <c r="L2805" s="1551">
        <v>39725.0</v>
      </c>
    </row>
    <row r="2806">
      <c r="A2806" s="1545" t="s">
        <v>2167</v>
      </c>
      <c r="B2806" s="1587">
        <v>47586.0</v>
      </c>
      <c r="C2806" s="1547">
        <v>3991.0</v>
      </c>
      <c r="D2806" s="1548">
        <v>28.9</v>
      </c>
      <c r="E2806" s="1557">
        <v>21218.0</v>
      </c>
      <c r="F2806" s="598">
        <v>665.0</v>
      </c>
      <c r="G2806" s="598">
        <v>337.0</v>
      </c>
      <c r="H2806" s="598">
        <v>379.0</v>
      </c>
      <c r="I2806" s="598">
        <v>47.0</v>
      </c>
      <c r="J2806" s="598">
        <v>8323.0</v>
      </c>
      <c r="K2806" s="1561">
        <v>16617.0</v>
      </c>
      <c r="L2806" s="1551">
        <v>44276.0</v>
      </c>
    </row>
    <row r="2807">
      <c r="A2807" s="1545" t="s">
        <v>2168</v>
      </c>
      <c r="B2807" s="1587">
        <v>59541.0</v>
      </c>
      <c r="C2807" s="1547">
        <v>2626.0</v>
      </c>
      <c r="D2807" s="1548">
        <v>20.8</v>
      </c>
      <c r="E2807" s="1557">
        <v>49904.0</v>
      </c>
      <c r="F2807" s="598">
        <v>1542.0</v>
      </c>
      <c r="G2807" s="598">
        <v>473.0</v>
      </c>
      <c r="H2807" s="598">
        <v>275.0</v>
      </c>
      <c r="I2807" s="598">
        <v>30.0</v>
      </c>
      <c r="J2807" s="598">
        <v>2542.0</v>
      </c>
      <c r="K2807" s="1561">
        <v>4775.0</v>
      </c>
      <c r="L2807" s="1638">
        <v>51152.0</v>
      </c>
    </row>
    <row r="2808">
      <c r="A2808" s="1545" t="s">
        <v>2169</v>
      </c>
      <c r="B2808" s="1587">
        <v>91319.0</v>
      </c>
      <c r="C2808" s="1547">
        <v>4891.0</v>
      </c>
      <c r="D2808" s="1548">
        <v>21.4</v>
      </c>
      <c r="E2808" s="1557">
        <v>53085.0</v>
      </c>
      <c r="F2808" s="598">
        <v>5729.0</v>
      </c>
      <c r="G2808" s="598">
        <v>726.0</v>
      </c>
      <c r="H2808" s="598">
        <v>1431.0</v>
      </c>
      <c r="I2808" s="598">
        <v>43.0</v>
      </c>
      <c r="J2808" s="598">
        <v>11832.0</v>
      </c>
      <c r="K2808" s="1561">
        <v>18473.0</v>
      </c>
      <c r="L2808" s="1638">
        <v>51646.0</v>
      </c>
    </row>
    <row r="2809">
      <c r="A2809" s="1545" t="s">
        <v>175</v>
      </c>
      <c r="B2809" s="1587">
        <v>76400.0</v>
      </c>
      <c r="C2809" s="1547">
        <v>3003.0</v>
      </c>
      <c r="D2809" s="1548">
        <v>28.3</v>
      </c>
      <c r="E2809" s="1557">
        <v>42800.0</v>
      </c>
      <c r="F2809" s="598">
        <v>16638.0</v>
      </c>
      <c r="G2809" s="598">
        <v>468.0</v>
      </c>
      <c r="H2809" s="598">
        <v>1148.0</v>
      </c>
      <c r="I2809" s="598">
        <v>42.0</v>
      </c>
      <c r="J2809" s="598">
        <v>10116.0</v>
      </c>
      <c r="K2809" s="1561">
        <v>5188.0</v>
      </c>
      <c r="L2809" s="1551">
        <v>43681.0</v>
      </c>
    </row>
    <row r="2810">
      <c r="A2810" s="1545" t="s">
        <v>2170</v>
      </c>
      <c r="B2810" s="1587">
        <v>56794.0</v>
      </c>
      <c r="C2810" s="1547">
        <v>2538.0</v>
      </c>
      <c r="D2810" s="1548">
        <v>19.9</v>
      </c>
      <c r="E2810" s="1557">
        <v>26479.0</v>
      </c>
      <c r="F2810" s="598">
        <v>12256.0</v>
      </c>
      <c r="G2810" s="598">
        <v>634.0</v>
      </c>
      <c r="H2810" s="598">
        <v>809.0</v>
      </c>
      <c r="I2810" s="598">
        <v>20.0</v>
      </c>
      <c r="J2810" s="598">
        <v>9276.0</v>
      </c>
      <c r="K2810" s="1561">
        <v>7320.0</v>
      </c>
      <c r="L2810" s="1551">
        <v>59807.0</v>
      </c>
    </row>
    <row r="2811">
      <c r="A2811" s="1545" t="s">
        <v>1669</v>
      </c>
      <c r="B2811" s="1587">
        <v>11644.0</v>
      </c>
      <c r="C2811" s="1563">
        <v>585.0</v>
      </c>
      <c r="D2811" s="1548">
        <v>17.7</v>
      </c>
      <c r="E2811" s="1557">
        <v>6567.0</v>
      </c>
      <c r="F2811" s="598">
        <v>482.0</v>
      </c>
      <c r="G2811" s="598">
        <v>122.0</v>
      </c>
      <c r="H2811" s="598">
        <v>69.0</v>
      </c>
      <c r="I2811" s="598">
        <v>2.0</v>
      </c>
      <c r="J2811" s="598">
        <v>2100.0</v>
      </c>
      <c r="K2811" s="1561">
        <v>2302.0</v>
      </c>
      <c r="L2811" s="1551">
        <v>53621.0</v>
      </c>
    </row>
    <row r="2812">
      <c r="A2812" s="1545" t="s">
        <v>119</v>
      </c>
      <c r="B2812" s="1587">
        <v>35805.0</v>
      </c>
      <c r="C2812" s="1547">
        <v>1466.0</v>
      </c>
      <c r="D2812" s="1548">
        <v>19.5</v>
      </c>
      <c r="E2812" s="1557">
        <v>23299.0</v>
      </c>
      <c r="F2812" s="598">
        <v>5626.0</v>
      </c>
      <c r="G2812" s="598">
        <v>154.0</v>
      </c>
      <c r="H2812" s="598">
        <v>564.0</v>
      </c>
      <c r="I2812" s="598">
        <v>18.0</v>
      </c>
      <c r="J2812" s="598">
        <v>2238.0</v>
      </c>
      <c r="K2812" s="1561">
        <v>3906.0</v>
      </c>
      <c r="L2812" s="1638">
        <v>54332.0</v>
      </c>
    </row>
    <row r="2813">
      <c r="A2813" s="1545" t="s">
        <v>2172</v>
      </c>
      <c r="B2813" s="1587">
        <v>267114.0</v>
      </c>
      <c r="C2813" s="1547">
        <v>31121.0</v>
      </c>
      <c r="D2813" s="1548">
        <v>34.6</v>
      </c>
      <c r="E2813" s="1557">
        <v>102723.0</v>
      </c>
      <c r="F2813" s="598">
        <v>1166.0</v>
      </c>
      <c r="G2813" s="598">
        <v>1651.0</v>
      </c>
      <c r="H2813" s="598">
        <v>1405.0</v>
      </c>
      <c r="I2813" s="598">
        <v>53.0</v>
      </c>
      <c r="J2813" s="598">
        <v>52683.0</v>
      </c>
      <c r="K2813" s="1561">
        <v>107433.0</v>
      </c>
      <c r="L2813" s="1551">
        <v>44919.0</v>
      </c>
    </row>
    <row r="2814">
      <c r="A2814" s="1545" t="s">
        <v>2173</v>
      </c>
      <c r="B2814" s="1587">
        <v>41570.0</v>
      </c>
      <c r="C2814" s="1547">
        <v>2768.0</v>
      </c>
      <c r="D2814" s="1548">
        <v>26.0</v>
      </c>
      <c r="E2814" s="1557">
        <v>22903.0</v>
      </c>
      <c r="F2814" s="598">
        <v>5676.0</v>
      </c>
      <c r="G2814" s="598">
        <v>294.0</v>
      </c>
      <c r="H2814" s="598">
        <v>193.0</v>
      </c>
      <c r="I2814" s="598">
        <v>1.0</v>
      </c>
      <c r="J2814" s="598">
        <v>6121.0</v>
      </c>
      <c r="K2814" s="1561">
        <v>6382.0</v>
      </c>
      <c r="L2814" s="1551">
        <v>48040.0</v>
      </c>
    </row>
    <row r="2815">
      <c r="A2815" s="1545" t="s">
        <v>649</v>
      </c>
      <c r="B2815" s="1587">
        <v>4990.0</v>
      </c>
      <c r="C2815" s="1563">
        <v>271.0</v>
      </c>
      <c r="D2815" s="1548">
        <v>20.9</v>
      </c>
      <c r="E2815" s="1557">
        <v>3748.0</v>
      </c>
      <c r="F2815" s="598">
        <v>86.0</v>
      </c>
      <c r="G2815" s="598">
        <v>57.0</v>
      </c>
      <c r="H2815" s="598">
        <v>27.0</v>
      </c>
      <c r="I2815" s="598">
        <v>2.0</v>
      </c>
      <c r="J2815" s="598">
        <v>518.0</v>
      </c>
      <c r="K2815" s="1561">
        <v>552.0</v>
      </c>
      <c r="L2815" s="1638">
        <v>48018.0</v>
      </c>
    </row>
    <row r="2816">
      <c r="A2816" s="1545" t="s">
        <v>1020</v>
      </c>
      <c r="B2816" s="1587">
        <v>129350.0</v>
      </c>
      <c r="C2816" s="1547">
        <v>6528.0</v>
      </c>
      <c r="D2816" s="1548">
        <v>22.4</v>
      </c>
      <c r="E2816" s="1557">
        <v>86718.0</v>
      </c>
      <c r="F2816" s="598">
        <v>13887.0</v>
      </c>
      <c r="G2816" s="598">
        <v>1443.0</v>
      </c>
      <c r="H2816" s="598">
        <v>2747.0</v>
      </c>
      <c r="I2816" s="598">
        <v>181.0</v>
      </c>
      <c r="J2816" s="598">
        <v>10439.0</v>
      </c>
      <c r="K2816" s="1561">
        <v>13935.0</v>
      </c>
      <c r="L2816" s="1551">
        <v>47477.0</v>
      </c>
    </row>
    <row r="2817">
      <c r="A2817" s="1545" t="s">
        <v>2174</v>
      </c>
      <c r="B2817" s="1587">
        <v>12887.0</v>
      </c>
      <c r="C2817" s="1563">
        <v>657.0</v>
      </c>
      <c r="D2817" s="1548">
        <v>23.6</v>
      </c>
      <c r="E2817" s="1557">
        <v>8092.0</v>
      </c>
      <c r="F2817" s="598">
        <v>1062.0</v>
      </c>
      <c r="G2817" s="598">
        <v>177.0</v>
      </c>
      <c r="H2817" s="598">
        <v>571.0</v>
      </c>
      <c r="I2817" s="598">
        <v>0.0</v>
      </c>
      <c r="J2817" s="598">
        <v>1635.0</v>
      </c>
      <c r="K2817" s="1561">
        <v>1350.0</v>
      </c>
      <c r="L2817" s="1551">
        <v>44735.0</v>
      </c>
    </row>
    <row r="2818">
      <c r="A2818" s="1545" t="s">
        <v>2176</v>
      </c>
      <c r="B2818" s="1587">
        <v>20164.0</v>
      </c>
      <c r="C2818" s="1547">
        <v>2243.0</v>
      </c>
      <c r="D2818" s="1548">
        <v>44.5</v>
      </c>
      <c r="E2818" s="1557">
        <v>8743.0</v>
      </c>
      <c r="F2818" s="598">
        <v>497.0</v>
      </c>
      <c r="G2818" s="598">
        <v>149.0</v>
      </c>
      <c r="H2818" s="598">
        <v>165.0</v>
      </c>
      <c r="I2818" s="598">
        <v>2.0</v>
      </c>
      <c r="J2818" s="598">
        <v>4410.0</v>
      </c>
      <c r="K2818" s="1561">
        <v>6198.0</v>
      </c>
      <c r="L2818" s="1638">
        <v>33171.0</v>
      </c>
    </row>
    <row r="2819">
      <c r="A2819" s="1545" t="s">
        <v>627</v>
      </c>
      <c r="B2819" s="1587">
        <v>609017.0</v>
      </c>
      <c r="C2819" s="1547">
        <v>11337.0</v>
      </c>
      <c r="D2819" s="1548">
        <v>7.9</v>
      </c>
      <c r="E2819" s="1557">
        <v>373264.0</v>
      </c>
      <c r="F2819" s="598">
        <v>40732.0</v>
      </c>
      <c r="G2819" s="598">
        <v>4588.0</v>
      </c>
      <c r="H2819" s="598">
        <v>54628.0</v>
      </c>
      <c r="I2819" s="598">
        <v>735.0</v>
      </c>
      <c r="J2819" s="598">
        <v>43953.0</v>
      </c>
      <c r="K2819" s="1561">
        <v>91117.0</v>
      </c>
      <c r="L2819" s="1551">
        <v>87817.0</v>
      </c>
    </row>
    <row r="2820">
      <c r="A2820" s="1545" t="s">
        <v>1021</v>
      </c>
      <c r="B2820" s="1587">
        <v>49753.0</v>
      </c>
      <c r="C2820" s="1547">
        <v>1735.0</v>
      </c>
      <c r="D2820" s="1548">
        <v>14.6</v>
      </c>
      <c r="E2820" s="1557">
        <v>34471.0</v>
      </c>
      <c r="F2820" s="598">
        <v>776.0</v>
      </c>
      <c r="G2820" s="598">
        <v>473.0</v>
      </c>
      <c r="H2820" s="598">
        <v>254.0</v>
      </c>
      <c r="I2820" s="598">
        <v>33.0</v>
      </c>
      <c r="J2820" s="598">
        <v>4392.0</v>
      </c>
      <c r="K2820" s="1561">
        <v>9354.0</v>
      </c>
      <c r="L2820" s="1551">
        <v>71207.0</v>
      </c>
    </row>
    <row r="2821">
      <c r="A2821" s="1545" t="s">
        <v>2177</v>
      </c>
      <c r="B2821" s="1587">
        <v>7791.0</v>
      </c>
      <c r="C2821" s="1563">
        <v>454.0</v>
      </c>
      <c r="D2821" s="1548">
        <v>20.1</v>
      </c>
      <c r="E2821" s="1557">
        <v>4046.0</v>
      </c>
      <c r="F2821" s="598">
        <v>163.0</v>
      </c>
      <c r="G2821" s="598">
        <v>135.0</v>
      </c>
      <c r="H2821" s="598">
        <v>85.0</v>
      </c>
      <c r="I2821" s="598">
        <v>1.0</v>
      </c>
      <c r="J2821" s="598">
        <v>1801.0</v>
      </c>
      <c r="K2821" s="1561">
        <v>1560.0</v>
      </c>
      <c r="L2821" s="1638">
        <v>56781.0</v>
      </c>
    </row>
    <row r="2822">
      <c r="A2822" s="1545" t="s">
        <v>2178</v>
      </c>
      <c r="B2822" s="1587">
        <v>68632.0</v>
      </c>
      <c r="C2822" s="1547">
        <v>2344.0</v>
      </c>
      <c r="D2822" s="1548">
        <v>14.1</v>
      </c>
      <c r="E2822" s="1557">
        <v>54054.0</v>
      </c>
      <c r="F2822" s="598">
        <v>720.0</v>
      </c>
      <c r="G2822" s="598">
        <v>695.0</v>
      </c>
      <c r="H2822" s="598">
        <v>382.0</v>
      </c>
      <c r="I2822" s="598">
        <v>13.0</v>
      </c>
      <c r="J2822" s="598">
        <v>5198.0</v>
      </c>
      <c r="K2822" s="1561">
        <v>7570.0</v>
      </c>
      <c r="L2822" s="1638">
        <v>66387.0</v>
      </c>
    </row>
    <row r="2823">
      <c r="A2823" s="1545" t="s">
        <v>1703</v>
      </c>
      <c r="B2823" s="1587">
        <v>44843.0</v>
      </c>
      <c r="C2823" s="1547">
        <v>2116.0</v>
      </c>
      <c r="D2823" s="1548">
        <v>24.9</v>
      </c>
      <c r="E2823" s="1557">
        <v>36871.0</v>
      </c>
      <c r="F2823" s="598">
        <v>1693.0</v>
      </c>
      <c r="G2823" s="598">
        <v>339.0</v>
      </c>
      <c r="H2823" s="598">
        <v>230.0</v>
      </c>
      <c r="I2823" s="598">
        <v>4.0</v>
      </c>
      <c r="J2823" s="598">
        <v>2179.0</v>
      </c>
      <c r="K2823" s="1561">
        <v>3527.0</v>
      </c>
      <c r="L2823" s="1638">
        <v>48384.0</v>
      </c>
    </row>
    <row r="2824">
      <c r="A2824" s="1545" t="s">
        <v>2179</v>
      </c>
      <c r="B2824" s="1587">
        <v>7694.0</v>
      </c>
      <c r="C2824" s="1563">
        <v>454.0</v>
      </c>
      <c r="D2824" s="1548">
        <v>16.3</v>
      </c>
      <c r="E2824" s="1557">
        <v>3758.0</v>
      </c>
      <c r="F2824" s="598">
        <v>63.0</v>
      </c>
      <c r="G2824" s="598">
        <v>62.0</v>
      </c>
      <c r="H2824" s="598">
        <v>50.0</v>
      </c>
      <c r="I2824" s="598">
        <v>0.0</v>
      </c>
      <c r="J2824" s="598">
        <v>1963.0</v>
      </c>
      <c r="K2824" s="1561">
        <v>1798.0</v>
      </c>
      <c r="L2824" s="1638">
        <v>61560.0</v>
      </c>
    </row>
    <row r="2825">
      <c r="A2825" s="1545" t="s">
        <v>2181</v>
      </c>
      <c r="B2825" s="1587">
        <v>17867.0</v>
      </c>
      <c r="C2825" s="1563">
        <v>873.0</v>
      </c>
      <c r="D2825" s="1548">
        <v>20.4</v>
      </c>
      <c r="E2825" s="1557">
        <v>14398.0</v>
      </c>
      <c r="F2825" s="598">
        <v>183.0</v>
      </c>
      <c r="G2825" s="598">
        <v>184.0</v>
      </c>
      <c r="H2825" s="598">
        <v>89.0</v>
      </c>
      <c r="I2825" s="598">
        <v>0.0</v>
      </c>
      <c r="J2825" s="598">
        <v>1512.0</v>
      </c>
      <c r="K2825" s="1561">
        <v>1501.0</v>
      </c>
      <c r="L2825" s="1638">
        <v>49301.0</v>
      </c>
    </row>
    <row r="2826">
      <c r="A2826" s="1545" t="s">
        <v>2182</v>
      </c>
      <c r="B2826" s="1587">
        <v>13889.0</v>
      </c>
      <c r="C2826" s="1547">
        <v>2297.0</v>
      </c>
      <c r="D2826" s="1548">
        <v>49.1</v>
      </c>
      <c r="E2826" s="1557">
        <v>5421.0</v>
      </c>
      <c r="F2826" s="598">
        <v>18.0</v>
      </c>
      <c r="G2826" s="598">
        <v>67.0</v>
      </c>
      <c r="H2826" s="598">
        <v>16.0</v>
      </c>
      <c r="I2826" s="598">
        <v>0.0</v>
      </c>
      <c r="J2826" s="598">
        <v>2048.0</v>
      </c>
      <c r="K2826" s="1561">
        <v>6319.0</v>
      </c>
      <c r="L2826" s="1637">
        <v>33160.0</v>
      </c>
    </row>
    <row r="2827">
      <c r="A2827" s="1528" t="s">
        <v>2183</v>
      </c>
      <c r="B2827" s="1595">
        <v>9670.0</v>
      </c>
      <c r="C2827" s="1530">
        <v>1549.0</v>
      </c>
      <c r="D2827" s="1567">
        <v>44.5</v>
      </c>
      <c r="E2827" s="1532">
        <v>4598.0</v>
      </c>
      <c r="F2827" s="1533">
        <v>89.0</v>
      </c>
      <c r="G2827" s="1533">
        <v>74.0</v>
      </c>
      <c r="H2827" s="1533">
        <v>19.0</v>
      </c>
      <c r="I2827" s="1533">
        <v>1.0</v>
      </c>
      <c r="J2827" s="1533">
        <v>1563.0</v>
      </c>
      <c r="K2827" s="1616">
        <v>3326.0</v>
      </c>
      <c r="L2827" s="1617">
        <v>30076.0</v>
      </c>
    </row>
    <row r="2828">
      <c r="A2828" s="1538" t="s">
        <v>368</v>
      </c>
      <c r="B2828" s="1596">
        <v>3271616.0</v>
      </c>
      <c r="C2828" s="1540">
        <v>89015.0</v>
      </c>
      <c r="D2828" s="1571">
        <v>9.7</v>
      </c>
      <c r="E2828" s="1572">
        <v>2573413.0</v>
      </c>
      <c r="F2828" s="1542">
        <v>40058.0</v>
      </c>
      <c r="G2828" s="1542">
        <v>41644.0</v>
      </c>
      <c r="H2828" s="1542">
        <v>80438.0</v>
      </c>
      <c r="I2828" s="1542">
        <v>36930.0</v>
      </c>
      <c r="J2828" s="1542">
        <v>220120.0</v>
      </c>
      <c r="K2828" s="1543">
        <v>279013.0</v>
      </c>
      <c r="L2828" s="1544">
        <v>71381.0</v>
      </c>
    </row>
    <row r="2829">
      <c r="A2829" s="1545" t="s">
        <v>1710</v>
      </c>
      <c r="B2829" s="1586">
        <v>7072.0</v>
      </c>
      <c r="C2829" s="1563">
        <v>287.0</v>
      </c>
      <c r="D2829" s="1548">
        <v>13.7</v>
      </c>
      <c r="E2829" s="1557">
        <v>5904.0</v>
      </c>
      <c r="F2829" s="598">
        <v>23.0</v>
      </c>
      <c r="G2829" s="598">
        <v>104.0</v>
      </c>
      <c r="H2829" s="598">
        <v>32.0</v>
      </c>
      <c r="I2829" s="598">
        <v>22.0</v>
      </c>
      <c r="J2829" s="598">
        <v>598.0</v>
      </c>
      <c r="K2829" s="1561">
        <v>389.0</v>
      </c>
      <c r="L2829" s="1551">
        <v>55940.0</v>
      </c>
    </row>
    <row r="2830">
      <c r="A2830" s="1545" t="s">
        <v>2185</v>
      </c>
      <c r="B2830" s="1587">
        <v>57666.0</v>
      </c>
      <c r="C2830" s="1547">
        <v>1581.0</v>
      </c>
      <c r="D2830" s="1548">
        <v>9.2</v>
      </c>
      <c r="E2830" s="1557">
        <v>50784.0</v>
      </c>
      <c r="F2830" s="598">
        <v>178.0</v>
      </c>
      <c r="G2830" s="598">
        <v>516.0</v>
      </c>
      <c r="H2830" s="598">
        <v>455.0</v>
      </c>
      <c r="I2830" s="598">
        <v>103.0</v>
      </c>
      <c r="J2830" s="598">
        <v>2231.0</v>
      </c>
      <c r="K2830" s="1561">
        <v>3399.0</v>
      </c>
      <c r="L2830" s="1638">
        <v>62689.0</v>
      </c>
    </row>
    <row r="2831">
      <c r="A2831" s="1545" t="s">
        <v>2186</v>
      </c>
      <c r="B2831" s="1587">
        <v>133154.0</v>
      </c>
      <c r="C2831" s="1547">
        <v>4418.0</v>
      </c>
      <c r="D2831" s="1548">
        <v>11.6</v>
      </c>
      <c r="E2831" s="1557">
        <v>112842.0</v>
      </c>
      <c r="F2831" s="598">
        <v>1115.0</v>
      </c>
      <c r="G2831" s="598">
        <v>1108.0</v>
      </c>
      <c r="H2831" s="598">
        <v>2353.0</v>
      </c>
      <c r="I2831" s="598">
        <v>705.0</v>
      </c>
      <c r="J2831" s="598">
        <v>6910.0</v>
      </c>
      <c r="K2831" s="1561">
        <v>8121.0</v>
      </c>
      <c r="L2831" s="1551">
        <v>60315.0</v>
      </c>
    </row>
    <row r="2832">
      <c r="A2832" s="1545" t="s">
        <v>1434</v>
      </c>
      <c r="B2832" s="1587">
        <v>20412.0</v>
      </c>
      <c r="C2832" s="1563">
        <v>874.0</v>
      </c>
      <c r="D2832" s="1548">
        <v>17.0</v>
      </c>
      <c r="E2832" s="1557">
        <v>17643.0</v>
      </c>
      <c r="F2832" s="598">
        <v>61.0</v>
      </c>
      <c r="G2832" s="598">
        <v>270.0</v>
      </c>
      <c r="H2832" s="598">
        <v>65.0</v>
      </c>
      <c r="I2832" s="598">
        <v>29.0</v>
      </c>
      <c r="J2832" s="598">
        <v>692.0</v>
      </c>
      <c r="K2832" s="1561">
        <v>1652.0</v>
      </c>
      <c r="L2832" s="1551">
        <v>51394.0</v>
      </c>
    </row>
    <row r="2833">
      <c r="A2833" s="1545" t="s">
        <v>2187</v>
      </c>
      <c r="B2833" s="1621">
        <v>935.0</v>
      </c>
      <c r="C2833" s="1563">
        <v>16.0</v>
      </c>
      <c r="D2833" s="1548">
        <v>7.4</v>
      </c>
      <c r="E2833" s="1557">
        <v>884.0</v>
      </c>
      <c r="F2833" s="598">
        <v>4.0</v>
      </c>
      <c r="G2833" s="598">
        <v>0.0</v>
      </c>
      <c r="H2833" s="598">
        <v>2.0</v>
      </c>
      <c r="I2833" s="598">
        <v>2.0</v>
      </c>
      <c r="J2833" s="598">
        <v>2.0</v>
      </c>
      <c r="K2833" s="1561">
        <v>41.0</v>
      </c>
      <c r="L2833" s="1638">
        <v>58910.0</v>
      </c>
    </row>
    <row r="2834">
      <c r="A2834" s="1545" t="s">
        <v>897</v>
      </c>
      <c r="B2834" s="1587">
        <v>362679.0</v>
      </c>
      <c r="C2834" s="1547">
        <v>7111.0</v>
      </c>
      <c r="D2834" s="1548">
        <v>6.4</v>
      </c>
      <c r="E2834" s="1557">
        <v>302352.0</v>
      </c>
      <c r="F2834" s="598">
        <v>4376.0</v>
      </c>
      <c r="G2834" s="598">
        <v>2503.0</v>
      </c>
      <c r="H2834" s="598">
        <v>7143.0</v>
      </c>
      <c r="I2834" s="598">
        <v>3345.0</v>
      </c>
      <c r="J2834" s="598">
        <v>14976.0</v>
      </c>
      <c r="K2834" s="1561">
        <v>27984.0</v>
      </c>
      <c r="L2834" s="1551">
        <v>84381.0</v>
      </c>
    </row>
    <row r="2835">
      <c r="A2835" s="1545" t="s">
        <v>2188</v>
      </c>
      <c r="B2835" s="1587">
        <v>19596.0</v>
      </c>
      <c r="C2835" s="1563">
        <v>897.0</v>
      </c>
      <c r="D2835" s="1548">
        <v>13.6</v>
      </c>
      <c r="E2835" s="1557">
        <v>17076.0</v>
      </c>
      <c r="F2835" s="598">
        <v>21.0</v>
      </c>
      <c r="G2835" s="598">
        <v>940.0</v>
      </c>
      <c r="H2835" s="598">
        <v>63.0</v>
      </c>
      <c r="I2835" s="598">
        <v>39.0</v>
      </c>
      <c r="J2835" s="598">
        <v>577.0</v>
      </c>
      <c r="K2835" s="1561">
        <v>880.0</v>
      </c>
      <c r="L2835" s="1551">
        <v>60767.0</v>
      </c>
    </row>
    <row r="2836">
      <c r="A2836" s="1545" t="s">
        <v>2190</v>
      </c>
      <c r="B2836" s="1587">
        <v>9825.0</v>
      </c>
      <c r="C2836" s="1563">
        <v>473.0</v>
      </c>
      <c r="D2836" s="1548">
        <v>16.6</v>
      </c>
      <c r="E2836" s="1557">
        <v>9003.0</v>
      </c>
      <c r="F2836" s="598">
        <v>4.0</v>
      </c>
      <c r="G2836" s="598">
        <v>63.0</v>
      </c>
      <c r="H2836" s="598">
        <v>40.0</v>
      </c>
      <c r="I2836" s="598">
        <v>7.0</v>
      </c>
      <c r="J2836" s="598">
        <v>210.0</v>
      </c>
      <c r="K2836" s="1561">
        <v>498.0</v>
      </c>
      <c r="L2836" s="1551">
        <v>54213.0</v>
      </c>
    </row>
    <row r="2837">
      <c r="A2837" s="1545" t="s">
        <v>417</v>
      </c>
      <c r="B2837" s="1587">
        <v>5083.0</v>
      </c>
      <c r="C2837" s="1563">
        <v>215.0</v>
      </c>
      <c r="D2837" s="1548">
        <v>19.1</v>
      </c>
      <c r="E2837" s="1557">
        <v>4541.0</v>
      </c>
      <c r="F2837" s="598">
        <v>11.0</v>
      </c>
      <c r="G2837" s="598">
        <v>107.0</v>
      </c>
      <c r="H2837" s="598">
        <v>37.0</v>
      </c>
      <c r="I2837" s="598">
        <v>7.0</v>
      </c>
      <c r="J2837" s="598">
        <v>157.0</v>
      </c>
      <c r="K2837" s="1561">
        <v>223.0</v>
      </c>
      <c r="L2837" s="1551">
        <v>51028.0</v>
      </c>
    </row>
    <row r="2838">
      <c r="A2838" s="1545" t="s">
        <v>421</v>
      </c>
      <c r="B2838" s="1587">
        <v>9669.0</v>
      </c>
      <c r="C2838" s="1563">
        <v>329.0</v>
      </c>
      <c r="D2838" s="1548">
        <v>16.2</v>
      </c>
      <c r="E2838" s="1557">
        <v>7817.0</v>
      </c>
      <c r="F2838" s="598">
        <v>73.0</v>
      </c>
      <c r="G2838" s="598">
        <v>373.0</v>
      </c>
      <c r="H2838" s="598">
        <v>80.0</v>
      </c>
      <c r="I2838" s="598">
        <v>13.0</v>
      </c>
      <c r="J2838" s="598">
        <v>471.0</v>
      </c>
      <c r="K2838" s="1561">
        <v>842.0</v>
      </c>
      <c r="L2838" s="1551">
        <v>50750.0</v>
      </c>
    </row>
    <row r="2839">
      <c r="A2839" s="1545" t="s">
        <v>1259</v>
      </c>
      <c r="B2839" s="1587">
        <v>57289.0</v>
      </c>
      <c r="C2839" s="1547">
        <v>2479.0</v>
      </c>
      <c r="D2839" s="1548">
        <v>16.4</v>
      </c>
      <c r="E2839" s="1557">
        <v>49237.0</v>
      </c>
      <c r="F2839" s="598">
        <v>408.0</v>
      </c>
      <c r="G2839" s="598">
        <v>1091.0</v>
      </c>
      <c r="H2839" s="598">
        <v>641.0</v>
      </c>
      <c r="I2839" s="598">
        <v>244.0</v>
      </c>
      <c r="J2839" s="598">
        <v>2121.0</v>
      </c>
      <c r="K2839" s="1561">
        <v>3547.0</v>
      </c>
      <c r="L2839" s="1551">
        <v>51393.0</v>
      </c>
    </row>
    <row r="2840">
      <c r="A2840" s="1545" t="s">
        <v>2191</v>
      </c>
      <c r="B2840" s="1587">
        <v>11786.0</v>
      </c>
      <c r="C2840" s="1563">
        <v>418.0</v>
      </c>
      <c r="D2840" s="1548">
        <v>10.7</v>
      </c>
      <c r="E2840" s="1557">
        <v>10972.0</v>
      </c>
      <c r="F2840" s="598">
        <v>18.0</v>
      </c>
      <c r="G2840" s="598">
        <v>98.0</v>
      </c>
      <c r="H2840" s="598">
        <v>34.0</v>
      </c>
      <c r="I2840" s="598">
        <v>44.0</v>
      </c>
      <c r="J2840" s="598">
        <v>170.0</v>
      </c>
      <c r="K2840" s="1561">
        <v>450.0</v>
      </c>
      <c r="L2840" s="1551">
        <v>65379.0</v>
      </c>
    </row>
    <row r="2841">
      <c r="A2841" s="1545" t="s">
        <v>656</v>
      </c>
      <c r="B2841" s="1587">
        <v>7667.0</v>
      </c>
      <c r="C2841" s="1563">
        <v>260.0</v>
      </c>
      <c r="D2841" s="1548">
        <v>14.5</v>
      </c>
      <c r="E2841" s="1557">
        <v>7084.0</v>
      </c>
      <c r="F2841" s="598">
        <v>31.0</v>
      </c>
      <c r="G2841" s="598">
        <v>129.0</v>
      </c>
      <c r="H2841" s="598">
        <v>61.0</v>
      </c>
      <c r="I2841" s="598">
        <v>1.0</v>
      </c>
      <c r="J2841" s="598">
        <v>51.0</v>
      </c>
      <c r="K2841" s="1561">
        <v>310.0</v>
      </c>
      <c r="L2841" s="1551">
        <v>52355.0</v>
      </c>
    </row>
    <row r="2842">
      <c r="A2842" s="1545" t="s">
        <v>2193</v>
      </c>
      <c r="B2842" s="1587">
        <v>12975.0</v>
      </c>
      <c r="C2842" s="1563">
        <v>581.0</v>
      </c>
      <c r="D2842" s="1548">
        <v>14.7</v>
      </c>
      <c r="E2842" s="1557">
        <v>10855.0</v>
      </c>
      <c r="F2842" s="598">
        <v>15.0</v>
      </c>
      <c r="G2842" s="598">
        <v>152.0</v>
      </c>
      <c r="H2842" s="598">
        <v>142.0</v>
      </c>
      <c r="I2842" s="598">
        <v>13.0</v>
      </c>
      <c r="J2842" s="598">
        <v>1123.0</v>
      </c>
      <c r="K2842" s="1561">
        <v>675.0</v>
      </c>
      <c r="L2842" s="1551">
        <v>58644.0</v>
      </c>
    </row>
    <row r="2843">
      <c r="A2843" s="1545" t="s">
        <v>158</v>
      </c>
      <c r="B2843" s="1587">
        <v>12295.0</v>
      </c>
      <c r="C2843" s="1563">
        <v>159.0</v>
      </c>
      <c r="D2843" s="1548">
        <v>3.8</v>
      </c>
      <c r="E2843" s="1557">
        <v>11691.0</v>
      </c>
      <c r="F2843" s="598">
        <v>12.0</v>
      </c>
      <c r="G2843" s="598">
        <v>43.0</v>
      </c>
      <c r="H2843" s="598">
        <v>57.0</v>
      </c>
      <c r="I2843" s="598">
        <v>3.0</v>
      </c>
      <c r="J2843" s="598">
        <v>49.0</v>
      </c>
      <c r="K2843" s="1561">
        <v>440.0</v>
      </c>
      <c r="L2843" s="1551">
        <v>98875.0</v>
      </c>
    </row>
    <row r="2844">
      <c r="A2844" s="1545" t="s">
        <v>2194</v>
      </c>
      <c r="B2844" s="1587">
        <v>1438.0</v>
      </c>
      <c r="C2844" s="1563">
        <v>91.0</v>
      </c>
      <c r="D2844" s="1548">
        <v>30.8</v>
      </c>
      <c r="E2844" s="1557">
        <v>1291.0</v>
      </c>
      <c r="F2844" s="598">
        <v>0.0</v>
      </c>
      <c r="G2844" s="598">
        <v>6.0</v>
      </c>
      <c r="H2844" s="598">
        <v>0.0</v>
      </c>
      <c r="I2844" s="598">
        <v>0.0</v>
      </c>
      <c r="J2844" s="598">
        <v>21.0</v>
      </c>
      <c r="K2844" s="1561">
        <v>120.0</v>
      </c>
      <c r="L2844" s="1551">
        <v>40387.0</v>
      </c>
    </row>
    <row r="2845">
      <c r="A2845" s="1545" t="s">
        <v>2195</v>
      </c>
      <c r="B2845" s="1587">
        <v>2510.0</v>
      </c>
      <c r="C2845" s="1563">
        <v>81.0</v>
      </c>
      <c r="D2845" s="1548">
        <v>11.4</v>
      </c>
      <c r="E2845" s="1557">
        <v>2359.0</v>
      </c>
      <c r="F2845" s="598">
        <v>11.0</v>
      </c>
      <c r="G2845" s="598">
        <v>3.0</v>
      </c>
      <c r="H2845" s="598">
        <v>2.0</v>
      </c>
      <c r="I2845" s="598">
        <v>4.0</v>
      </c>
      <c r="J2845" s="598">
        <v>35.0</v>
      </c>
      <c r="K2845" s="1561">
        <v>96.0</v>
      </c>
      <c r="L2845" s="1638">
        <v>60695.0</v>
      </c>
    </row>
    <row r="2846">
      <c r="A2846" s="1545" t="s">
        <v>367</v>
      </c>
      <c r="B2846" s="1587">
        <v>1185238.0</v>
      </c>
      <c r="C2846" s="1547">
        <v>32035.0</v>
      </c>
      <c r="D2846" s="1548">
        <v>10.4</v>
      </c>
      <c r="E2846" s="1557">
        <v>847970.0</v>
      </c>
      <c r="F2846" s="598">
        <v>23474.0</v>
      </c>
      <c r="G2846" s="598">
        <v>13189.0</v>
      </c>
      <c r="H2846" s="598">
        <v>51030.0</v>
      </c>
      <c r="I2846" s="598">
        <v>21742.0</v>
      </c>
      <c r="J2846" s="598">
        <v>110890.0</v>
      </c>
      <c r="K2846" s="1561">
        <v>116943.0</v>
      </c>
      <c r="L2846" s="1551">
        <v>73619.0</v>
      </c>
    </row>
    <row r="2847">
      <c r="A2847" s="1545" t="s">
        <v>457</v>
      </c>
      <c r="B2847" s="1587">
        <v>14518.0</v>
      </c>
      <c r="C2847" s="1547">
        <v>1260.0</v>
      </c>
      <c r="D2847" s="1548">
        <v>26.8</v>
      </c>
      <c r="E2847" s="1557">
        <v>6275.0</v>
      </c>
      <c r="F2847" s="598">
        <v>36.0</v>
      </c>
      <c r="G2847" s="598">
        <v>7278.0</v>
      </c>
      <c r="H2847" s="598">
        <v>54.0</v>
      </c>
      <c r="I2847" s="598">
        <v>53.0</v>
      </c>
      <c r="J2847" s="598">
        <v>201.0</v>
      </c>
      <c r="K2847" s="1561">
        <v>621.0</v>
      </c>
      <c r="L2847" s="1551">
        <v>42982.0</v>
      </c>
    </row>
    <row r="2848">
      <c r="A2848" s="1545" t="s">
        <v>2197</v>
      </c>
      <c r="B2848" s="1587">
        <v>28437.0</v>
      </c>
      <c r="C2848" s="1547">
        <v>1235.0</v>
      </c>
      <c r="D2848" s="1548">
        <v>16.3</v>
      </c>
      <c r="E2848" s="1557">
        <v>24277.0</v>
      </c>
      <c r="F2848" s="598">
        <v>224.0</v>
      </c>
      <c r="G2848" s="598">
        <v>307.0</v>
      </c>
      <c r="H2848" s="598">
        <v>171.0</v>
      </c>
      <c r="I2848" s="598">
        <v>247.0</v>
      </c>
      <c r="J2848" s="598">
        <v>1816.0</v>
      </c>
      <c r="K2848" s="1561">
        <v>1395.0</v>
      </c>
      <c r="L2848" s="1551">
        <v>52910.0</v>
      </c>
    </row>
    <row r="2849">
      <c r="A2849" s="1545" t="s">
        <v>312</v>
      </c>
      <c r="B2849" s="1587">
        <v>21522.0</v>
      </c>
      <c r="C2849" s="1563">
        <v>972.0</v>
      </c>
      <c r="D2849" s="1548">
        <v>15.6</v>
      </c>
      <c r="E2849" s="1557">
        <v>19667.0</v>
      </c>
      <c r="F2849" s="598">
        <v>65.0</v>
      </c>
      <c r="G2849" s="598">
        <v>340.0</v>
      </c>
      <c r="H2849" s="598">
        <v>45.0</v>
      </c>
      <c r="I2849" s="598">
        <v>49.0</v>
      </c>
      <c r="J2849" s="598">
        <v>421.0</v>
      </c>
      <c r="K2849" s="1561">
        <v>935.0</v>
      </c>
      <c r="L2849" s="1551">
        <v>54339.0</v>
      </c>
    </row>
    <row r="2850">
      <c r="A2850" s="1545" t="s">
        <v>461</v>
      </c>
      <c r="B2850" s="1587">
        <v>42357.0</v>
      </c>
      <c r="C2850" s="1563">
        <v>590.0</v>
      </c>
      <c r="D2850" s="1548">
        <v>5.8</v>
      </c>
      <c r="E2850" s="1557">
        <v>35927.0</v>
      </c>
      <c r="F2850" s="598">
        <v>173.0</v>
      </c>
      <c r="G2850" s="598">
        <v>133.0</v>
      </c>
      <c r="H2850" s="598">
        <v>728.0</v>
      </c>
      <c r="I2850" s="598">
        <v>44.0</v>
      </c>
      <c r="J2850" s="598">
        <v>2456.0</v>
      </c>
      <c r="K2850" s="1561">
        <v>2896.0</v>
      </c>
      <c r="L2850" s="1638">
        <v>105374.0</v>
      </c>
    </row>
    <row r="2851">
      <c r="A2851" s="1545" t="s">
        <v>2198</v>
      </c>
      <c r="B2851" s="1587">
        <v>72698.0</v>
      </c>
      <c r="C2851" s="1547">
        <v>1663.0</v>
      </c>
      <c r="D2851" s="1548">
        <v>7.4</v>
      </c>
      <c r="E2851" s="1557">
        <v>61011.0</v>
      </c>
      <c r="F2851" s="598">
        <v>465.0</v>
      </c>
      <c r="G2851" s="598">
        <v>726.0</v>
      </c>
      <c r="H2851" s="598">
        <v>526.0</v>
      </c>
      <c r="I2851" s="598">
        <v>651.0</v>
      </c>
      <c r="J2851" s="598">
        <v>3439.0</v>
      </c>
      <c r="K2851" s="1561">
        <v>5880.0</v>
      </c>
      <c r="L2851" s="1551">
        <v>73584.0</v>
      </c>
    </row>
    <row r="2852">
      <c r="A2852" s="1545" t="s">
        <v>2199</v>
      </c>
      <c r="B2852" s="1587">
        <v>35620.0</v>
      </c>
      <c r="C2852" s="1547">
        <v>1570.0</v>
      </c>
      <c r="D2852" s="1548">
        <v>13.5</v>
      </c>
      <c r="E2852" s="1557">
        <v>29607.0</v>
      </c>
      <c r="F2852" s="598">
        <v>98.0</v>
      </c>
      <c r="G2852" s="598">
        <v>2432.0</v>
      </c>
      <c r="H2852" s="598">
        <v>169.0</v>
      </c>
      <c r="I2852" s="598">
        <v>97.0</v>
      </c>
      <c r="J2852" s="598">
        <v>1002.0</v>
      </c>
      <c r="K2852" s="1561">
        <v>2215.0</v>
      </c>
      <c r="L2852" s="1638">
        <v>63631.0</v>
      </c>
    </row>
    <row r="2853">
      <c r="A2853" s="1545" t="s">
        <v>114</v>
      </c>
      <c r="B2853" s="1587">
        <v>659399.0</v>
      </c>
      <c r="C2853" s="1547">
        <v>15423.0</v>
      </c>
      <c r="D2853" s="1548">
        <v>7.5</v>
      </c>
      <c r="E2853" s="1557">
        <v>537757.0</v>
      </c>
      <c r="F2853" s="598">
        <v>4403.0</v>
      </c>
      <c r="G2853" s="598">
        <v>4602.0</v>
      </c>
      <c r="H2853" s="598">
        <v>10413.0</v>
      </c>
      <c r="I2853" s="598">
        <v>6722.0</v>
      </c>
      <c r="J2853" s="598">
        <v>36178.0</v>
      </c>
      <c r="K2853" s="1561">
        <v>59324.0</v>
      </c>
      <c r="L2853" s="1551">
        <v>75296.0</v>
      </c>
    </row>
    <row r="2854">
      <c r="A2854" s="1545" t="s">
        <v>2200</v>
      </c>
      <c r="B2854" s="1587">
        <v>34788.0</v>
      </c>
      <c r="C2854" s="1563">
        <v>666.0</v>
      </c>
      <c r="D2854" s="1548">
        <v>6.4</v>
      </c>
      <c r="E2854" s="1557">
        <v>29131.0</v>
      </c>
      <c r="F2854" s="598">
        <v>157.0</v>
      </c>
      <c r="G2854" s="598">
        <v>188.0</v>
      </c>
      <c r="H2854" s="598">
        <v>361.0</v>
      </c>
      <c r="I2854" s="598">
        <v>41.0</v>
      </c>
      <c r="J2854" s="598">
        <v>2334.0</v>
      </c>
      <c r="K2854" s="1561">
        <v>2576.0</v>
      </c>
      <c r="L2854" s="1638">
        <v>85380.0</v>
      </c>
    </row>
    <row r="2855">
      <c r="A2855" s="1545" t="s">
        <v>119</v>
      </c>
      <c r="B2855" s="1587">
        <v>180279.0</v>
      </c>
      <c r="C2855" s="1547">
        <v>5135.0</v>
      </c>
      <c r="D2855" s="1548">
        <v>11.7</v>
      </c>
      <c r="E2855" s="1557">
        <v>151777.0</v>
      </c>
      <c r="F2855" s="598">
        <v>988.0</v>
      </c>
      <c r="G2855" s="598">
        <v>2189.0</v>
      </c>
      <c r="H2855" s="598">
        <v>1866.0</v>
      </c>
      <c r="I2855" s="598">
        <v>1669.0</v>
      </c>
      <c r="J2855" s="598">
        <v>9010.0</v>
      </c>
      <c r="K2855" s="1561">
        <v>12780.0</v>
      </c>
      <c r="L2855" s="1551">
        <v>57069.0</v>
      </c>
    </row>
    <row r="2856">
      <c r="A2856" s="1545" t="s">
        <v>273</v>
      </c>
      <c r="B2856" s="1587">
        <v>2486.0</v>
      </c>
      <c r="C2856" s="1563">
        <v>113.0</v>
      </c>
      <c r="D2856" s="1548">
        <v>17.2</v>
      </c>
      <c r="E2856" s="1557">
        <v>2283.0</v>
      </c>
      <c r="F2856" s="598">
        <v>1.0</v>
      </c>
      <c r="G2856" s="598">
        <v>19.0</v>
      </c>
      <c r="H2856" s="598">
        <v>16.0</v>
      </c>
      <c r="I2856" s="598">
        <v>3.0</v>
      </c>
      <c r="J2856" s="598">
        <v>36.0</v>
      </c>
      <c r="K2856" s="1561">
        <v>128.0</v>
      </c>
      <c r="L2856" s="1637">
        <v>47175.0</v>
      </c>
    </row>
    <row r="2857">
      <c r="A2857" s="1528" t="s">
        <v>2202</v>
      </c>
      <c r="B2857" s="1595">
        <v>262223.0</v>
      </c>
      <c r="C2857" s="1530">
        <v>8084.0</v>
      </c>
      <c r="D2857" s="1567">
        <v>11.3</v>
      </c>
      <c r="E2857" s="1532">
        <v>205396.0</v>
      </c>
      <c r="F2857" s="1533">
        <v>3613.0</v>
      </c>
      <c r="G2857" s="1533">
        <v>2735.0</v>
      </c>
      <c r="H2857" s="1533">
        <v>3852.0</v>
      </c>
      <c r="I2857" s="1533">
        <v>1031.0</v>
      </c>
      <c r="J2857" s="1533">
        <v>21943.0</v>
      </c>
      <c r="K2857" s="1616">
        <v>23653.0</v>
      </c>
      <c r="L2857" s="1617">
        <v>68106.0</v>
      </c>
    </row>
    <row r="2858">
      <c r="A2858" s="1538" t="s">
        <v>116</v>
      </c>
      <c r="B2858" s="1596">
        <v>643077.0</v>
      </c>
      <c r="C2858" s="1540">
        <v>13791.0</v>
      </c>
      <c r="D2858" s="1571">
        <v>12.2</v>
      </c>
      <c r="E2858" s="1572">
        <v>577751.0</v>
      </c>
      <c r="F2858" s="1542">
        <v>9034.0</v>
      </c>
      <c r="G2858" s="1542">
        <v>2289.0</v>
      </c>
      <c r="H2858" s="1542">
        <v>11549.0</v>
      </c>
      <c r="I2858" s="1542">
        <v>181.0</v>
      </c>
      <c r="J2858" s="1542">
        <v>5247.0</v>
      </c>
      <c r="K2858" s="1543">
        <v>37026.0</v>
      </c>
      <c r="L2858" s="1544">
        <v>60917.0</v>
      </c>
    </row>
    <row r="2859">
      <c r="A2859" s="1545" t="s">
        <v>2204</v>
      </c>
      <c r="B2859" s="1586">
        <v>37363.0</v>
      </c>
      <c r="C2859" s="1563">
        <v>589.0</v>
      </c>
      <c r="D2859" s="1548">
        <v>9.6</v>
      </c>
      <c r="E2859" s="1557">
        <v>33793.0</v>
      </c>
      <c r="F2859" s="598">
        <v>368.0</v>
      </c>
      <c r="G2859" s="598">
        <v>113.0</v>
      </c>
      <c r="H2859" s="598">
        <v>597.0</v>
      </c>
      <c r="I2859" s="598">
        <v>11.0</v>
      </c>
      <c r="J2859" s="598">
        <v>439.0</v>
      </c>
      <c r="K2859" s="1561">
        <v>2042.0</v>
      </c>
      <c r="L2859" s="1551">
        <v>68878.0</v>
      </c>
    </row>
    <row r="2860">
      <c r="A2860" s="1545" t="s">
        <v>2205</v>
      </c>
      <c r="B2860" s="1587">
        <v>37347.0</v>
      </c>
      <c r="C2860" s="1547">
        <v>1086.0</v>
      </c>
      <c r="D2860" s="1548">
        <v>16.5</v>
      </c>
      <c r="E2860" s="1557">
        <v>34183.0</v>
      </c>
      <c r="F2860" s="598">
        <v>430.0</v>
      </c>
      <c r="G2860" s="598">
        <v>70.0</v>
      </c>
      <c r="H2860" s="598">
        <v>406.0</v>
      </c>
      <c r="I2860" s="598">
        <v>5.0</v>
      </c>
      <c r="J2860" s="598">
        <v>323.0</v>
      </c>
      <c r="K2860" s="1561">
        <v>1930.0</v>
      </c>
      <c r="L2860" s="1551">
        <v>52510.0</v>
      </c>
    </row>
    <row r="2861">
      <c r="A2861" s="1545" t="s">
        <v>2206</v>
      </c>
      <c r="B2861" s="1587">
        <v>30233.0</v>
      </c>
      <c r="C2861" s="1563">
        <v>860.0</v>
      </c>
      <c r="D2861" s="1548">
        <v>15.1</v>
      </c>
      <c r="E2861" s="1557">
        <v>27656.0</v>
      </c>
      <c r="F2861" s="598">
        <v>234.0</v>
      </c>
      <c r="G2861" s="598">
        <v>100.0</v>
      </c>
      <c r="H2861" s="598">
        <v>368.0</v>
      </c>
      <c r="I2861" s="598">
        <v>17.0</v>
      </c>
      <c r="J2861" s="598">
        <v>206.0</v>
      </c>
      <c r="K2861" s="1561">
        <v>1652.0</v>
      </c>
      <c r="L2861" s="1638">
        <v>50368.0</v>
      </c>
    </row>
    <row r="2862">
      <c r="A2862" s="1545" t="s">
        <v>2207</v>
      </c>
      <c r="B2862" s="1587">
        <v>168323.0</v>
      </c>
      <c r="C2862" s="1547">
        <v>2294.0</v>
      </c>
      <c r="D2862" s="1548">
        <v>8.0</v>
      </c>
      <c r="E2862" s="1557">
        <v>144237.0</v>
      </c>
      <c r="F2862" s="598">
        <v>4910.0</v>
      </c>
      <c r="G2862" s="598">
        <v>384.0</v>
      </c>
      <c r="H2862" s="598">
        <v>7243.0</v>
      </c>
      <c r="I2862" s="598">
        <v>53.0</v>
      </c>
      <c r="J2862" s="598">
        <v>1547.0</v>
      </c>
      <c r="K2862" s="1561">
        <v>9949.0</v>
      </c>
      <c r="L2862" s="1638">
        <v>74240.0</v>
      </c>
    </row>
    <row r="2863">
      <c r="A2863" s="1545" t="s">
        <v>516</v>
      </c>
      <c r="B2863" s="1587">
        <v>5920.0</v>
      </c>
      <c r="C2863" s="1563">
        <v>262.0</v>
      </c>
      <c r="D2863" s="1548">
        <v>24.1</v>
      </c>
      <c r="E2863" s="1557">
        <v>5566.0</v>
      </c>
      <c r="F2863" s="598">
        <v>15.0</v>
      </c>
      <c r="G2863" s="598">
        <v>18.0</v>
      </c>
      <c r="H2863" s="598">
        <v>16.0</v>
      </c>
      <c r="I2863" s="598">
        <v>5.0</v>
      </c>
      <c r="J2863" s="598">
        <v>10.0</v>
      </c>
      <c r="K2863" s="1561">
        <v>290.0</v>
      </c>
      <c r="L2863" s="1638">
        <v>43671.0</v>
      </c>
    </row>
    <row r="2864">
      <c r="A2864" s="1545" t="s">
        <v>136</v>
      </c>
      <c r="B2864" s="1587">
        <v>49946.0</v>
      </c>
      <c r="C2864" s="1547">
        <v>1405.0</v>
      </c>
      <c r="D2864" s="1548">
        <v>13.1</v>
      </c>
      <c r="E2864" s="1557">
        <v>45509.0</v>
      </c>
      <c r="F2864" s="598">
        <v>338.0</v>
      </c>
      <c r="G2864" s="598">
        <v>501.0</v>
      </c>
      <c r="H2864" s="598">
        <v>321.0</v>
      </c>
      <c r="I2864" s="598">
        <v>16.0</v>
      </c>
      <c r="J2864" s="598">
        <v>302.0</v>
      </c>
      <c r="K2864" s="1561">
        <v>2959.0</v>
      </c>
      <c r="L2864" s="1638">
        <v>61129.0</v>
      </c>
    </row>
    <row r="2865">
      <c r="A2865" s="1545" t="s">
        <v>2209</v>
      </c>
      <c r="B2865" s="1587">
        <v>7293.0</v>
      </c>
      <c r="C2865" s="1563">
        <v>156.0</v>
      </c>
      <c r="D2865" s="1548">
        <v>12.4</v>
      </c>
      <c r="E2865" s="1557">
        <v>6724.0</v>
      </c>
      <c r="F2865" s="598">
        <v>51.0</v>
      </c>
      <c r="G2865" s="598">
        <v>45.0</v>
      </c>
      <c r="H2865" s="598">
        <v>33.0</v>
      </c>
      <c r="I2865" s="598">
        <v>0.0</v>
      </c>
      <c r="J2865" s="598">
        <v>41.0</v>
      </c>
      <c r="K2865" s="1561">
        <v>399.0</v>
      </c>
      <c r="L2865" s="1638">
        <v>67746.0</v>
      </c>
    </row>
    <row r="2866">
      <c r="A2866" s="1545" t="s">
        <v>2210</v>
      </c>
      <c r="B2866" s="1587">
        <v>25945.0</v>
      </c>
      <c r="C2866" s="1563">
        <v>655.0</v>
      </c>
      <c r="D2866" s="1548">
        <v>13.0</v>
      </c>
      <c r="E2866" s="1557">
        <v>23778.0</v>
      </c>
      <c r="F2866" s="598">
        <v>225.0</v>
      </c>
      <c r="G2866" s="598">
        <v>89.0</v>
      </c>
      <c r="H2866" s="598">
        <v>141.0</v>
      </c>
      <c r="I2866" s="598">
        <v>2.0</v>
      </c>
      <c r="J2866" s="598">
        <v>211.0</v>
      </c>
      <c r="K2866" s="1561">
        <v>1499.0</v>
      </c>
      <c r="L2866" s="1638">
        <v>60230.0</v>
      </c>
    </row>
    <row r="2867">
      <c r="A2867" s="1545" t="s">
        <v>241</v>
      </c>
      <c r="B2867" s="1587">
        <v>29277.0</v>
      </c>
      <c r="C2867" s="1563">
        <v>669.0</v>
      </c>
      <c r="D2867" s="1548">
        <v>12.9</v>
      </c>
      <c r="E2867" s="1557">
        <v>26978.0</v>
      </c>
      <c r="F2867" s="598">
        <v>162.0</v>
      </c>
      <c r="G2867" s="598">
        <v>135.0</v>
      </c>
      <c r="H2867" s="598">
        <v>166.0</v>
      </c>
      <c r="I2867" s="598">
        <v>5.0</v>
      </c>
      <c r="J2867" s="598">
        <v>196.0</v>
      </c>
      <c r="K2867" s="1561">
        <v>1635.0</v>
      </c>
      <c r="L2867" s="1638">
        <v>62300.0</v>
      </c>
    </row>
    <row r="2868">
      <c r="A2868" s="1545" t="s">
        <v>1163</v>
      </c>
      <c r="B2868" s="1587">
        <v>27393.0</v>
      </c>
      <c r="C2868" s="1563">
        <v>851.0</v>
      </c>
      <c r="D2868" s="1548">
        <v>16.7</v>
      </c>
      <c r="E2868" s="1557">
        <v>25464.0</v>
      </c>
      <c r="F2868" s="598">
        <v>131.0</v>
      </c>
      <c r="G2868" s="598">
        <v>198.0</v>
      </c>
      <c r="H2868" s="598">
        <v>123.0</v>
      </c>
      <c r="I2868" s="598">
        <v>1.0</v>
      </c>
      <c r="J2868" s="598">
        <v>149.0</v>
      </c>
      <c r="K2868" s="1561">
        <v>1327.0</v>
      </c>
      <c r="L2868" s="1638">
        <v>48688.0</v>
      </c>
    </row>
    <row r="2869">
      <c r="A2869" s="1545" t="s">
        <v>2211</v>
      </c>
      <c r="B2869" s="1587">
        <v>60572.0</v>
      </c>
      <c r="C2869" s="1547">
        <v>1369.0</v>
      </c>
      <c r="D2869" s="1548">
        <v>13.5</v>
      </c>
      <c r="E2869" s="1557">
        <v>55453.0</v>
      </c>
      <c r="F2869" s="598">
        <v>517.0</v>
      </c>
      <c r="G2869" s="598">
        <v>159.0</v>
      </c>
      <c r="H2869" s="598">
        <v>460.0</v>
      </c>
      <c r="I2869" s="598">
        <v>14.0</v>
      </c>
      <c r="J2869" s="598">
        <v>362.0</v>
      </c>
      <c r="K2869" s="1561">
        <v>3607.0</v>
      </c>
      <c r="L2869" s="1638">
        <v>51723.0</v>
      </c>
    </row>
    <row r="2870">
      <c r="A2870" s="1545" t="s">
        <v>119</v>
      </c>
      <c r="B2870" s="1587">
        <v>59807.0</v>
      </c>
      <c r="C2870" s="1547">
        <v>1323.0</v>
      </c>
      <c r="D2870" s="1548">
        <v>12.3</v>
      </c>
      <c r="E2870" s="1557">
        <v>54149.0</v>
      </c>
      <c r="F2870" s="598">
        <v>651.0</v>
      </c>
      <c r="G2870" s="598">
        <v>153.0</v>
      </c>
      <c r="H2870" s="598">
        <v>633.0</v>
      </c>
      <c r="I2870" s="598">
        <v>26.0</v>
      </c>
      <c r="J2870" s="598">
        <v>501.0</v>
      </c>
      <c r="K2870" s="1561">
        <v>3694.0</v>
      </c>
      <c r="L2870" s="1638">
        <v>61808.0</v>
      </c>
    </row>
    <row r="2871">
      <c r="A2871" s="1545" t="s">
        <v>471</v>
      </c>
      <c r="B2871" s="1587">
        <v>45905.0</v>
      </c>
      <c r="C2871" s="1547">
        <v>1167.0</v>
      </c>
      <c r="D2871" s="1548">
        <v>16.1</v>
      </c>
      <c r="E2871" s="1557">
        <v>41380.0</v>
      </c>
      <c r="F2871" s="598">
        <v>536.0</v>
      </c>
      <c r="G2871" s="598">
        <v>139.0</v>
      </c>
      <c r="H2871" s="598">
        <v>494.0</v>
      </c>
      <c r="I2871" s="598">
        <v>9.0</v>
      </c>
      <c r="J2871" s="598">
        <v>523.0</v>
      </c>
      <c r="K2871" s="1561">
        <v>2824.0</v>
      </c>
      <c r="L2871" s="1637">
        <v>54441.0</v>
      </c>
    </row>
    <row r="2872">
      <c r="A2872" s="1528" t="s">
        <v>2212</v>
      </c>
      <c r="B2872" s="1595">
        <v>57753.0</v>
      </c>
      <c r="C2872" s="1530">
        <v>1105.0</v>
      </c>
      <c r="D2872" s="1567">
        <v>11.3</v>
      </c>
      <c r="E2872" s="1532">
        <v>52881.0</v>
      </c>
      <c r="F2872" s="1533">
        <v>466.0</v>
      </c>
      <c r="G2872" s="1533">
        <v>185.0</v>
      </c>
      <c r="H2872" s="1533">
        <v>548.0</v>
      </c>
      <c r="I2872" s="1533">
        <v>17.0</v>
      </c>
      <c r="J2872" s="1533">
        <v>437.0</v>
      </c>
      <c r="K2872" s="1616">
        <v>3219.0</v>
      </c>
      <c r="L2872" s="1617">
        <v>57438.0</v>
      </c>
    </row>
    <row r="2873">
      <c r="A2873" s="1538" t="s">
        <v>117</v>
      </c>
      <c r="B2873" s="1596">
        <v>8631393.0</v>
      </c>
      <c r="C2873" s="1540">
        <v>253481.0</v>
      </c>
      <c r="D2873" s="1571">
        <v>13.8</v>
      </c>
      <c r="E2873" s="1572">
        <v>5208856.0</v>
      </c>
      <c r="F2873" s="1542">
        <v>1607581.0</v>
      </c>
      <c r="G2873" s="1542">
        <v>40007.0</v>
      </c>
      <c r="H2873" s="1542">
        <v>615436.0</v>
      </c>
      <c r="I2873" s="1542">
        <v>7156.0</v>
      </c>
      <c r="J2873" s="1542">
        <v>446650.0</v>
      </c>
      <c r="K2873" s="1543">
        <v>705707.0</v>
      </c>
      <c r="L2873" s="1544">
        <v>72600.0</v>
      </c>
    </row>
    <row r="2874">
      <c r="A2874" s="1545" t="s">
        <v>2213</v>
      </c>
      <c r="B2874" s="1586">
        <v>33413.0</v>
      </c>
      <c r="C2874" s="1547">
        <v>1761.0</v>
      </c>
      <c r="D2874" s="1548">
        <v>27.0</v>
      </c>
      <c r="E2874" s="1557">
        <v>20261.0</v>
      </c>
      <c r="F2874" s="598">
        <v>8670.0</v>
      </c>
      <c r="G2874" s="598">
        <v>297.0</v>
      </c>
      <c r="H2874" s="598">
        <v>255.0</v>
      </c>
      <c r="I2874" s="598">
        <v>4.0</v>
      </c>
      <c r="J2874" s="598">
        <v>2168.0</v>
      </c>
      <c r="K2874" s="1561">
        <v>1758.0</v>
      </c>
      <c r="L2874" s="1638">
        <v>42879.0</v>
      </c>
    </row>
    <row r="2875">
      <c r="A2875" s="1545" t="s">
        <v>2214</v>
      </c>
      <c r="B2875" s="1587">
        <v>112395.0</v>
      </c>
      <c r="C2875" s="1547">
        <v>2049.0</v>
      </c>
      <c r="D2875" s="1548">
        <v>9.6</v>
      </c>
      <c r="E2875" s="1557">
        <v>81866.0</v>
      </c>
      <c r="F2875" s="598">
        <v>9953.0</v>
      </c>
      <c r="G2875" s="598">
        <v>286.0</v>
      </c>
      <c r="H2875" s="598">
        <v>8222.0</v>
      </c>
      <c r="I2875" s="598">
        <v>50.0</v>
      </c>
      <c r="J2875" s="598">
        <v>4101.0</v>
      </c>
      <c r="K2875" s="1561">
        <v>7917.0</v>
      </c>
      <c r="L2875" s="1551">
        <v>80392.0</v>
      </c>
    </row>
    <row r="2876">
      <c r="A2876" s="1545" t="s">
        <v>1579</v>
      </c>
      <c r="B2876" s="1587">
        <v>15223.0</v>
      </c>
      <c r="C2876" s="1563">
        <v>571.0</v>
      </c>
      <c r="D2876" s="1548">
        <v>21.1</v>
      </c>
      <c r="E2876" s="1557">
        <v>13813.0</v>
      </c>
      <c r="F2876" s="598">
        <v>681.0</v>
      </c>
      <c r="G2876" s="598">
        <v>27.0</v>
      </c>
      <c r="H2876" s="598">
        <v>61.0</v>
      </c>
      <c r="I2876" s="598">
        <v>7.0</v>
      </c>
      <c r="J2876" s="598">
        <v>58.0</v>
      </c>
      <c r="K2876" s="1561">
        <v>576.0</v>
      </c>
      <c r="L2876" s="1551">
        <v>46538.0</v>
      </c>
    </row>
    <row r="2877">
      <c r="A2877" s="1545" t="s">
        <v>2216</v>
      </c>
      <c r="B2877" s="1587">
        <v>13265.0</v>
      </c>
      <c r="C2877" s="1563">
        <v>346.0</v>
      </c>
      <c r="D2877" s="1548">
        <v>13.2</v>
      </c>
      <c r="E2877" s="1557">
        <v>9780.0</v>
      </c>
      <c r="F2877" s="598">
        <v>2555.0</v>
      </c>
      <c r="G2877" s="598">
        <v>39.0</v>
      </c>
      <c r="H2877" s="598">
        <v>65.0</v>
      </c>
      <c r="I2877" s="598">
        <v>0.0</v>
      </c>
      <c r="J2877" s="598">
        <v>194.0</v>
      </c>
      <c r="K2877" s="1561">
        <v>632.0</v>
      </c>
      <c r="L2877" s="1551">
        <v>57280.0</v>
      </c>
    </row>
    <row r="2878">
      <c r="A2878" s="1545" t="s">
        <v>2217</v>
      </c>
      <c r="B2878" s="1587">
        <v>31307.0</v>
      </c>
      <c r="C2878" s="1547">
        <v>1130.0</v>
      </c>
      <c r="D2878" s="1548">
        <v>18.5</v>
      </c>
      <c r="E2878" s="1557">
        <v>23190.0</v>
      </c>
      <c r="F2878" s="598">
        <v>5400.0</v>
      </c>
      <c r="G2878" s="598">
        <v>251.0</v>
      </c>
      <c r="H2878" s="598">
        <v>182.0</v>
      </c>
      <c r="I2878" s="598">
        <v>27.0</v>
      </c>
      <c r="J2878" s="598">
        <v>427.0</v>
      </c>
      <c r="K2878" s="1561">
        <v>1830.0</v>
      </c>
      <c r="L2878" s="1551">
        <v>50580.0</v>
      </c>
    </row>
    <row r="2879">
      <c r="A2879" s="1545" t="s">
        <v>2218</v>
      </c>
      <c r="B2879" s="1587">
        <v>16119.0</v>
      </c>
      <c r="C2879" s="1563">
        <v>637.0</v>
      </c>
      <c r="D2879" s="1548">
        <v>19.4</v>
      </c>
      <c r="E2879" s="1557">
        <v>12258.0</v>
      </c>
      <c r="F2879" s="598">
        <v>2894.0</v>
      </c>
      <c r="G2879" s="598">
        <v>51.0</v>
      </c>
      <c r="H2879" s="598">
        <v>46.0</v>
      </c>
      <c r="I2879" s="598">
        <v>7.0</v>
      </c>
      <c r="J2879" s="598">
        <v>173.0</v>
      </c>
      <c r="K2879" s="1561">
        <v>690.0</v>
      </c>
      <c r="L2879" s="1638">
        <v>51131.0</v>
      </c>
    </row>
    <row r="2880">
      <c r="A2880" s="1545" t="s">
        <v>2219</v>
      </c>
      <c r="B2880" s="1587">
        <v>238643.0</v>
      </c>
      <c r="C2880" s="1547">
        <v>3102.0</v>
      </c>
      <c r="D2880" s="1548">
        <v>7.3</v>
      </c>
      <c r="E2880" s="1557">
        <v>145293.0</v>
      </c>
      <c r="F2880" s="598">
        <v>20875.0</v>
      </c>
      <c r="G2880" s="598">
        <v>1565.0</v>
      </c>
      <c r="H2880" s="598">
        <v>27443.0</v>
      </c>
      <c r="I2880" s="598">
        <v>141.0</v>
      </c>
      <c r="J2880" s="598">
        <v>17448.0</v>
      </c>
      <c r="K2880" s="1561">
        <v>25878.0</v>
      </c>
      <c r="L2880" s="1638">
        <v>120950.0</v>
      </c>
    </row>
    <row r="2881">
      <c r="A2881" s="1545" t="s">
        <v>2220</v>
      </c>
      <c r="B2881" s="1587">
        <v>77487.0</v>
      </c>
      <c r="C2881" s="1547">
        <v>1721.0</v>
      </c>
      <c r="D2881" s="1548">
        <v>12.2</v>
      </c>
      <c r="E2881" s="1557">
        <v>69142.0</v>
      </c>
      <c r="F2881" s="598">
        <v>3116.0</v>
      </c>
      <c r="G2881" s="598">
        <v>185.0</v>
      </c>
      <c r="H2881" s="598">
        <v>467.0</v>
      </c>
      <c r="I2881" s="598">
        <v>31.0</v>
      </c>
      <c r="J2881" s="598">
        <v>1103.0</v>
      </c>
      <c r="K2881" s="1561">
        <v>3443.0</v>
      </c>
      <c r="L2881" s="1551">
        <v>60556.0</v>
      </c>
    </row>
    <row r="2882">
      <c r="A2882" s="1545" t="s">
        <v>1026</v>
      </c>
      <c r="B2882" s="1587">
        <v>4209.0</v>
      </c>
      <c r="C2882" s="1563">
        <v>94.0</v>
      </c>
      <c r="D2882" s="1548">
        <v>14.8</v>
      </c>
      <c r="E2882" s="1557">
        <v>3855.0</v>
      </c>
      <c r="F2882" s="598">
        <v>116.0</v>
      </c>
      <c r="G2882" s="598">
        <v>6.0</v>
      </c>
      <c r="H2882" s="598">
        <v>17.0</v>
      </c>
      <c r="I2882" s="598">
        <v>2.0</v>
      </c>
      <c r="J2882" s="598">
        <v>19.0</v>
      </c>
      <c r="K2882" s="1561">
        <v>194.0</v>
      </c>
      <c r="L2882" s="1638">
        <v>50564.0</v>
      </c>
    </row>
    <row r="2883">
      <c r="A2883" s="1545" t="s">
        <v>4194</v>
      </c>
      <c r="B2883" s="1587">
        <v>79462.0</v>
      </c>
      <c r="C2883" s="1547">
        <v>2018.0</v>
      </c>
      <c r="D2883" s="1548">
        <v>13.1</v>
      </c>
      <c r="E2883" s="1557">
        <v>68743.0</v>
      </c>
      <c r="F2883" s="598">
        <v>4925.0</v>
      </c>
      <c r="G2883" s="598">
        <v>211.0</v>
      </c>
      <c r="H2883" s="598">
        <v>970.0</v>
      </c>
      <c r="I2883" s="598">
        <v>37.0</v>
      </c>
      <c r="J2883" s="598">
        <v>785.0</v>
      </c>
      <c r="K2883" s="1561">
        <v>3791.0</v>
      </c>
      <c r="L2883" s="1551">
        <v>61186.0</v>
      </c>
    </row>
    <row r="2884">
      <c r="A2884" s="1545" t="s">
        <v>2222</v>
      </c>
      <c r="B2884" s="1587">
        <v>6270.0</v>
      </c>
      <c r="C2884" s="1563">
        <v>141.0</v>
      </c>
      <c r="D2884" s="1548">
        <v>15.0</v>
      </c>
      <c r="E2884" s="1557">
        <v>5874.0</v>
      </c>
      <c r="F2884" s="598">
        <v>169.0</v>
      </c>
      <c r="G2884" s="598">
        <v>0.0</v>
      </c>
      <c r="H2884" s="598">
        <v>6.0</v>
      </c>
      <c r="I2884" s="598">
        <v>0.0</v>
      </c>
      <c r="J2884" s="598">
        <v>7.0</v>
      </c>
      <c r="K2884" s="1561">
        <v>214.0</v>
      </c>
      <c r="L2884" s="1551">
        <v>47681.0</v>
      </c>
    </row>
    <row r="2885">
      <c r="A2885" s="1545" t="s">
        <v>2223</v>
      </c>
      <c r="B2885" s="1587">
        <v>33596.0</v>
      </c>
      <c r="C2885" s="1563">
        <v>531.0</v>
      </c>
      <c r="D2885" s="1548">
        <v>8.6</v>
      </c>
      <c r="E2885" s="1557">
        <v>30689.0</v>
      </c>
      <c r="F2885" s="598">
        <v>918.0</v>
      </c>
      <c r="G2885" s="598">
        <v>70.0</v>
      </c>
      <c r="H2885" s="598">
        <v>234.0</v>
      </c>
      <c r="I2885" s="598">
        <v>3.0</v>
      </c>
      <c r="J2885" s="598">
        <v>351.0</v>
      </c>
      <c r="K2885" s="1561">
        <v>1331.0</v>
      </c>
      <c r="L2885" s="1551">
        <v>71874.0</v>
      </c>
    </row>
    <row r="2886">
      <c r="A2886" s="1545" t="s">
        <v>1586</v>
      </c>
      <c r="B2886" s="1587">
        <v>15849.0</v>
      </c>
      <c r="C2886" s="1563">
        <v>711.0</v>
      </c>
      <c r="D2886" s="1548">
        <v>27.0</v>
      </c>
      <c r="E2886" s="1557">
        <v>6553.0</v>
      </c>
      <c r="F2886" s="598">
        <v>8607.0</v>
      </c>
      <c r="G2886" s="598">
        <v>23.0</v>
      </c>
      <c r="H2886" s="598">
        <v>44.0</v>
      </c>
      <c r="I2886" s="598">
        <v>5.0</v>
      </c>
      <c r="J2886" s="598">
        <v>214.0</v>
      </c>
      <c r="K2886" s="1561">
        <v>403.0</v>
      </c>
      <c r="L2886" s="1551">
        <v>41803.0</v>
      </c>
    </row>
    <row r="2887">
      <c r="A2887" s="1545" t="s">
        <v>892</v>
      </c>
      <c r="B2887" s="1587">
        <v>20355.0</v>
      </c>
      <c r="C2887" s="1547">
        <v>1118.0</v>
      </c>
      <c r="D2887" s="1548">
        <v>32.4</v>
      </c>
      <c r="E2887" s="1557">
        <v>19299.0</v>
      </c>
      <c r="F2887" s="598">
        <v>618.0</v>
      </c>
      <c r="G2887" s="598">
        <v>15.0</v>
      </c>
      <c r="H2887" s="598">
        <v>51.0</v>
      </c>
      <c r="I2887" s="598">
        <v>4.0</v>
      </c>
      <c r="J2887" s="598">
        <v>20.0</v>
      </c>
      <c r="K2887" s="1561">
        <v>348.0</v>
      </c>
      <c r="L2887" s="1551">
        <v>32144.0</v>
      </c>
    </row>
    <row r="2888">
      <c r="A2888" s="1545" t="s">
        <v>2224</v>
      </c>
      <c r="B2888" s="1587">
        <v>16824.0</v>
      </c>
      <c r="C2888" s="1563">
        <v>730.0</v>
      </c>
      <c r="D2888" s="1548">
        <v>24.9</v>
      </c>
      <c r="E2888" s="1557">
        <v>10488.0</v>
      </c>
      <c r="F2888" s="598">
        <v>5435.0</v>
      </c>
      <c r="G2888" s="598">
        <v>51.0</v>
      </c>
      <c r="H2888" s="598">
        <v>59.0</v>
      </c>
      <c r="I2888" s="598">
        <v>7.0</v>
      </c>
      <c r="J2888" s="598">
        <v>139.0</v>
      </c>
      <c r="K2888" s="1561">
        <v>645.0</v>
      </c>
      <c r="L2888" s="1551">
        <v>45889.0</v>
      </c>
    </row>
    <row r="2889">
      <c r="A2889" s="1545" t="s">
        <v>1036</v>
      </c>
      <c r="B2889" s="1587">
        <v>55696.0</v>
      </c>
      <c r="C2889" s="1547">
        <v>1736.0</v>
      </c>
      <c r="D2889" s="1548">
        <v>16.6</v>
      </c>
      <c r="E2889" s="1557">
        <v>43320.0</v>
      </c>
      <c r="F2889" s="598">
        <v>7832.0</v>
      </c>
      <c r="G2889" s="598">
        <v>192.0</v>
      </c>
      <c r="H2889" s="598">
        <v>604.0</v>
      </c>
      <c r="I2889" s="598">
        <v>15.0</v>
      </c>
      <c r="J2889" s="598">
        <v>928.0</v>
      </c>
      <c r="K2889" s="1561">
        <v>2805.0</v>
      </c>
      <c r="L2889" s="1551">
        <v>51525.0</v>
      </c>
    </row>
    <row r="2890">
      <c r="A2890" s="1545" t="s">
        <v>1200</v>
      </c>
      <c r="B2890" s="1587">
        <v>30887.0</v>
      </c>
      <c r="C2890" s="1547">
        <v>1055.0</v>
      </c>
      <c r="D2890" s="1548">
        <v>15.2</v>
      </c>
      <c r="E2890" s="1557">
        <v>19215.0</v>
      </c>
      <c r="F2890" s="598">
        <v>7721.0</v>
      </c>
      <c r="G2890" s="598">
        <v>166.0</v>
      </c>
      <c r="H2890" s="598">
        <v>296.0</v>
      </c>
      <c r="I2890" s="598">
        <v>15.0</v>
      </c>
      <c r="J2890" s="598">
        <v>1072.0</v>
      </c>
      <c r="K2890" s="1561">
        <v>2402.0</v>
      </c>
      <c r="L2890" s="1551">
        <v>67335.0</v>
      </c>
    </row>
    <row r="2891">
      <c r="A2891" s="1545" t="s">
        <v>248</v>
      </c>
      <c r="B2891" s="1587">
        <v>29155.0</v>
      </c>
      <c r="C2891" s="1547">
        <v>1215.0</v>
      </c>
      <c r="D2891" s="1548">
        <v>23.0</v>
      </c>
      <c r="E2891" s="1557">
        <v>27255.0</v>
      </c>
      <c r="F2891" s="598">
        <v>169.0</v>
      </c>
      <c r="G2891" s="598">
        <v>53.0</v>
      </c>
      <c r="H2891" s="598">
        <v>80.0</v>
      </c>
      <c r="I2891" s="598">
        <v>3.0</v>
      </c>
      <c r="J2891" s="598">
        <v>533.0</v>
      </c>
      <c r="K2891" s="1561">
        <v>1062.0</v>
      </c>
      <c r="L2891" s="1551">
        <v>41517.0</v>
      </c>
    </row>
    <row r="2892">
      <c r="A2892" s="1545" t="s">
        <v>2226</v>
      </c>
      <c r="B2892" s="1587">
        <v>6773.0</v>
      </c>
      <c r="C2892" s="1563">
        <v>194.0</v>
      </c>
      <c r="D2892" s="1548">
        <v>18.8</v>
      </c>
      <c r="E2892" s="1557">
        <v>3028.0</v>
      </c>
      <c r="F2892" s="598">
        <v>2836.0</v>
      </c>
      <c r="G2892" s="598">
        <v>448.0</v>
      </c>
      <c r="H2892" s="598">
        <v>38.0</v>
      </c>
      <c r="I2892" s="598">
        <v>6.0</v>
      </c>
      <c r="J2892" s="598">
        <v>75.0</v>
      </c>
      <c r="K2892" s="1561">
        <v>342.0</v>
      </c>
      <c r="L2892" s="1551">
        <v>56872.0</v>
      </c>
    </row>
    <row r="2893">
      <c r="A2893" s="1545" t="s">
        <v>486</v>
      </c>
      <c r="B2893" s="1587">
        <v>11529.0</v>
      </c>
      <c r="C2893" s="1563">
        <v>724.0</v>
      </c>
      <c r="D2893" s="1548">
        <v>29.7</v>
      </c>
      <c r="E2893" s="1557">
        <v>7717.0</v>
      </c>
      <c r="F2893" s="598">
        <v>3140.0</v>
      </c>
      <c r="G2893" s="598">
        <v>22.0</v>
      </c>
      <c r="H2893" s="598">
        <v>31.0</v>
      </c>
      <c r="I2893" s="598">
        <v>6.0</v>
      </c>
      <c r="J2893" s="598">
        <v>168.0</v>
      </c>
      <c r="K2893" s="1561">
        <v>445.0</v>
      </c>
      <c r="L2893" s="1638">
        <v>41382.0</v>
      </c>
    </row>
    <row r="2894">
      <c r="A2894" s="1545" t="s">
        <v>1820</v>
      </c>
      <c r="B2894" s="1587">
        <v>364548.0</v>
      </c>
      <c r="C2894" s="1547">
        <v>8071.0</v>
      </c>
      <c r="D2894" s="1548">
        <v>9.9</v>
      </c>
      <c r="E2894" s="1557">
        <v>216290.0</v>
      </c>
      <c r="F2894" s="598">
        <v>83107.0</v>
      </c>
      <c r="G2894" s="598">
        <v>1589.0</v>
      </c>
      <c r="H2894" s="598">
        <v>13185.0</v>
      </c>
      <c r="I2894" s="598">
        <v>246.0</v>
      </c>
      <c r="J2894" s="598">
        <v>23175.0</v>
      </c>
      <c r="K2894" s="1561">
        <v>26956.0</v>
      </c>
      <c r="L2894" s="1551">
        <v>80734.0</v>
      </c>
    </row>
    <row r="2895">
      <c r="A2895" s="1545" t="s">
        <v>110</v>
      </c>
      <c r="B2895" s="1587">
        <v>14783.0</v>
      </c>
      <c r="C2895" s="1563">
        <v>225.0</v>
      </c>
      <c r="D2895" s="1548">
        <v>8.0</v>
      </c>
      <c r="E2895" s="1557">
        <v>12481.0</v>
      </c>
      <c r="F2895" s="598">
        <v>578.0</v>
      </c>
      <c r="G2895" s="598">
        <v>51.0</v>
      </c>
      <c r="H2895" s="598">
        <v>212.0</v>
      </c>
      <c r="I2895" s="598">
        <v>15.0</v>
      </c>
      <c r="J2895" s="598">
        <v>439.0</v>
      </c>
      <c r="K2895" s="1561">
        <v>1007.0</v>
      </c>
      <c r="L2895" s="1551">
        <v>84021.0</v>
      </c>
    </row>
    <row r="2896">
      <c r="A2896" s="1545" t="s">
        <v>1721</v>
      </c>
      <c r="B2896" s="1587">
        <v>4892.0</v>
      </c>
      <c r="C2896" s="1563">
        <v>183.0</v>
      </c>
      <c r="D2896" s="1548">
        <v>21.2</v>
      </c>
      <c r="E2896" s="1557">
        <v>4653.0</v>
      </c>
      <c r="F2896" s="598">
        <v>13.0</v>
      </c>
      <c r="G2896" s="598">
        <v>5.0</v>
      </c>
      <c r="H2896" s="598">
        <v>11.0</v>
      </c>
      <c r="I2896" s="598">
        <v>3.0</v>
      </c>
      <c r="J2896" s="598">
        <v>22.0</v>
      </c>
      <c r="K2896" s="1561">
        <v>185.0</v>
      </c>
      <c r="L2896" s="1551">
        <v>50858.0</v>
      </c>
    </row>
    <row r="2897">
      <c r="A2897" s="1545" t="s">
        <v>2228</v>
      </c>
      <c r="B2897" s="1587">
        <v>52552.0</v>
      </c>
      <c r="C2897" s="1547">
        <v>1419.0</v>
      </c>
      <c r="D2897" s="1548">
        <v>11.3</v>
      </c>
      <c r="E2897" s="1557">
        <v>36092.0</v>
      </c>
      <c r="F2897" s="598">
        <v>6567.0</v>
      </c>
      <c r="G2897" s="598">
        <v>365.0</v>
      </c>
      <c r="H2897" s="598">
        <v>776.0</v>
      </c>
      <c r="I2897" s="598">
        <v>23.0</v>
      </c>
      <c r="J2897" s="598">
        <v>4042.0</v>
      </c>
      <c r="K2897" s="1561">
        <v>4687.0</v>
      </c>
      <c r="L2897" s="1551">
        <v>72111.0</v>
      </c>
    </row>
    <row r="2898">
      <c r="A2898" s="1545" t="s">
        <v>713</v>
      </c>
      <c r="B2898" s="1587">
        <v>9675.0</v>
      </c>
      <c r="C2898" s="1563">
        <v>471.0</v>
      </c>
      <c r="D2898" s="1548">
        <v>25.2</v>
      </c>
      <c r="E2898" s="1557">
        <v>6165.0</v>
      </c>
      <c r="F2898" s="598">
        <v>2831.0</v>
      </c>
      <c r="G2898" s="598">
        <v>43.0</v>
      </c>
      <c r="H2898" s="598">
        <v>38.0</v>
      </c>
      <c r="I2898" s="598">
        <v>8.0</v>
      </c>
      <c r="J2898" s="598">
        <v>129.0</v>
      </c>
      <c r="K2898" s="1561">
        <v>461.0</v>
      </c>
      <c r="L2898" s="1551">
        <v>46300.0</v>
      </c>
    </row>
    <row r="2899">
      <c r="A2899" s="1545" t="s">
        <v>2229</v>
      </c>
      <c r="B2899" s="1587">
        <v>14124.0</v>
      </c>
      <c r="C2899" s="1563">
        <v>815.0</v>
      </c>
      <c r="D2899" s="1548">
        <v>28.7</v>
      </c>
      <c r="E2899" s="1557">
        <v>13728.0</v>
      </c>
      <c r="F2899" s="598">
        <v>49.0</v>
      </c>
      <c r="G2899" s="598">
        <v>23.0</v>
      </c>
      <c r="H2899" s="598">
        <v>19.0</v>
      </c>
      <c r="I2899" s="598">
        <v>2.0</v>
      </c>
      <c r="J2899" s="598">
        <v>13.0</v>
      </c>
      <c r="K2899" s="1561">
        <v>290.0</v>
      </c>
      <c r="L2899" s="1551">
        <v>35047.0</v>
      </c>
    </row>
    <row r="2900">
      <c r="A2900" s="1545" t="s">
        <v>2230</v>
      </c>
      <c r="B2900" s="1587">
        <v>27947.0</v>
      </c>
      <c r="C2900" s="1563">
        <v>996.0</v>
      </c>
      <c r="D2900" s="1548">
        <v>17.8</v>
      </c>
      <c r="E2900" s="1557">
        <v>17516.0</v>
      </c>
      <c r="F2900" s="598">
        <v>8177.0</v>
      </c>
      <c r="G2900" s="598">
        <v>125.0</v>
      </c>
      <c r="H2900" s="598">
        <v>126.0</v>
      </c>
      <c r="I2900" s="598">
        <v>3.0</v>
      </c>
      <c r="J2900" s="598">
        <v>636.0</v>
      </c>
      <c r="K2900" s="1561">
        <v>1364.0</v>
      </c>
      <c r="L2900" s="1551">
        <v>57257.0</v>
      </c>
    </row>
    <row r="2901">
      <c r="A2901" s="1545" t="s">
        <v>516</v>
      </c>
      <c r="B2901" s="1587">
        <v>10599.0</v>
      </c>
      <c r="C2901" s="1563">
        <v>460.0</v>
      </c>
      <c r="D2901" s="1548">
        <v>23.4</v>
      </c>
      <c r="E2901" s="1557">
        <v>5952.0</v>
      </c>
      <c r="F2901" s="598">
        <v>3775.0</v>
      </c>
      <c r="G2901" s="598">
        <v>83.0</v>
      </c>
      <c r="H2901" s="598">
        <v>62.0</v>
      </c>
      <c r="I2901" s="598">
        <v>3.0</v>
      </c>
      <c r="J2901" s="598">
        <v>176.0</v>
      </c>
      <c r="K2901" s="1561">
        <v>548.0</v>
      </c>
      <c r="L2901" s="1638">
        <v>50785.0</v>
      </c>
    </row>
    <row r="2902">
      <c r="A2902" s="1545" t="s">
        <v>374</v>
      </c>
      <c r="B2902" s="1587">
        <v>1150309.0</v>
      </c>
      <c r="C2902" s="1547">
        <v>19145.0</v>
      </c>
      <c r="D2902" s="1548">
        <v>7.2</v>
      </c>
      <c r="E2902" s="1557">
        <v>569013.0</v>
      </c>
      <c r="F2902" s="598">
        <v>110889.0</v>
      </c>
      <c r="G2902" s="598">
        <v>6500.0</v>
      </c>
      <c r="H2902" s="598">
        <v>235050.0</v>
      </c>
      <c r="I2902" s="598">
        <v>873.0</v>
      </c>
      <c r="J2902" s="598">
        <v>98434.0</v>
      </c>
      <c r="K2902" s="1561">
        <v>129550.0</v>
      </c>
      <c r="L2902" s="1638">
        <v>122035.0</v>
      </c>
    </row>
    <row r="2903">
      <c r="A2903" s="1545" t="s">
        <v>2232</v>
      </c>
      <c r="B2903" s="1587">
        <v>72972.0</v>
      </c>
      <c r="C2903" s="1547">
        <v>1105.0</v>
      </c>
      <c r="D2903" s="1548">
        <v>6.8</v>
      </c>
      <c r="E2903" s="1557">
        <v>56660.0</v>
      </c>
      <c r="F2903" s="598">
        <v>5091.0</v>
      </c>
      <c r="G2903" s="598">
        <v>312.0</v>
      </c>
      <c r="H2903" s="598">
        <v>1229.0</v>
      </c>
      <c r="I2903" s="598">
        <v>51.0</v>
      </c>
      <c r="J2903" s="598">
        <v>3172.0</v>
      </c>
      <c r="K2903" s="1561">
        <v>6457.0</v>
      </c>
      <c r="L2903" s="1551">
        <v>93462.0</v>
      </c>
    </row>
    <row r="2904">
      <c r="A2904" s="1545" t="s">
        <v>575</v>
      </c>
      <c r="B2904" s="1587">
        <v>15476.0</v>
      </c>
      <c r="C2904" s="1563">
        <v>561.0</v>
      </c>
      <c r="D2904" s="1548">
        <v>18.3</v>
      </c>
      <c r="E2904" s="1557">
        <v>14219.0</v>
      </c>
      <c r="F2904" s="598">
        <v>244.0</v>
      </c>
      <c r="G2904" s="598">
        <v>20.0</v>
      </c>
      <c r="H2904" s="598">
        <v>51.0</v>
      </c>
      <c r="I2904" s="598">
        <v>0.0</v>
      </c>
      <c r="J2904" s="598">
        <v>251.0</v>
      </c>
      <c r="K2904" s="1561">
        <v>691.0</v>
      </c>
      <c r="L2904" s="1551">
        <v>48315.0</v>
      </c>
    </row>
    <row r="2905">
      <c r="A2905" s="1545" t="s">
        <v>2234</v>
      </c>
      <c r="B2905" s="1587">
        <v>27249.0</v>
      </c>
      <c r="C2905" s="1563">
        <v>469.0</v>
      </c>
      <c r="D2905" s="1548">
        <v>9.0</v>
      </c>
      <c r="E2905" s="1557">
        <v>21023.0</v>
      </c>
      <c r="F2905" s="598">
        <v>3730.0</v>
      </c>
      <c r="G2905" s="598">
        <v>79.0</v>
      </c>
      <c r="H2905" s="598">
        <v>222.0</v>
      </c>
      <c r="I2905" s="598">
        <v>7.0</v>
      </c>
      <c r="J2905" s="598">
        <v>436.0</v>
      </c>
      <c r="K2905" s="1561">
        <v>1752.0</v>
      </c>
      <c r="L2905" s="1551">
        <v>73463.0</v>
      </c>
    </row>
    <row r="2906">
      <c r="A2906" s="1545" t="s">
        <v>4202</v>
      </c>
      <c r="B2906" s="1587">
        <v>54477.0</v>
      </c>
      <c r="C2906" s="1547">
        <v>2430.0</v>
      </c>
      <c r="D2906" s="1548">
        <v>23.0</v>
      </c>
      <c r="E2906" s="1557">
        <v>46702.0</v>
      </c>
      <c r="F2906" s="598">
        <v>3921.0</v>
      </c>
      <c r="G2906" s="598">
        <v>147.0</v>
      </c>
      <c r="H2906" s="598">
        <v>307.0</v>
      </c>
      <c r="I2906" s="598">
        <v>27.0</v>
      </c>
      <c r="J2906" s="598">
        <v>942.0</v>
      </c>
      <c r="K2906" s="1561">
        <v>2431.0</v>
      </c>
      <c r="L2906" s="1638">
        <v>53522.0</v>
      </c>
    </row>
    <row r="2907">
      <c r="A2907" s="1545" t="s">
        <v>1206</v>
      </c>
      <c r="B2907" s="1587">
        <v>91419.0</v>
      </c>
      <c r="C2907" s="1547">
        <v>1956.0</v>
      </c>
      <c r="D2907" s="1548">
        <v>9.8</v>
      </c>
      <c r="E2907" s="1557">
        <v>73524.0</v>
      </c>
      <c r="F2907" s="598">
        <v>3718.0</v>
      </c>
      <c r="G2907" s="598">
        <v>315.0</v>
      </c>
      <c r="H2907" s="598">
        <v>1681.0</v>
      </c>
      <c r="I2907" s="598">
        <v>41.0</v>
      </c>
      <c r="J2907" s="598">
        <v>4815.0</v>
      </c>
      <c r="K2907" s="1561">
        <v>7325.0</v>
      </c>
      <c r="L2907" s="1551">
        <v>77684.0</v>
      </c>
    </row>
    <row r="2908">
      <c r="A2908" s="1545" t="s">
        <v>1907</v>
      </c>
      <c r="B2908" s="1587">
        <v>16787.0</v>
      </c>
      <c r="C2908" s="1563">
        <v>615.0</v>
      </c>
      <c r="D2908" s="1548">
        <v>18.0</v>
      </c>
      <c r="E2908" s="1557">
        <v>15777.0</v>
      </c>
      <c r="F2908" s="598">
        <v>244.0</v>
      </c>
      <c r="G2908" s="598">
        <v>34.0</v>
      </c>
      <c r="H2908" s="598">
        <v>71.0</v>
      </c>
      <c r="I2908" s="598">
        <v>0.0</v>
      </c>
      <c r="J2908" s="598">
        <v>64.0</v>
      </c>
      <c r="K2908" s="1561">
        <v>597.0</v>
      </c>
      <c r="L2908" s="1551">
        <v>50591.0</v>
      </c>
    </row>
    <row r="2909">
      <c r="A2909" s="1545" t="s">
        <v>1528</v>
      </c>
      <c r="B2909" s="1587">
        <v>38711.0</v>
      </c>
      <c r="C2909" s="1563">
        <v>982.0</v>
      </c>
      <c r="D2909" s="1548">
        <v>13.4</v>
      </c>
      <c r="E2909" s="1557">
        <v>32396.0</v>
      </c>
      <c r="F2909" s="598">
        <v>2753.0</v>
      </c>
      <c r="G2909" s="598">
        <v>153.0</v>
      </c>
      <c r="H2909" s="598">
        <v>318.0</v>
      </c>
      <c r="I2909" s="598">
        <v>25.0</v>
      </c>
      <c r="J2909" s="598">
        <v>396.0</v>
      </c>
      <c r="K2909" s="1561">
        <v>2670.0</v>
      </c>
      <c r="L2909" s="1551">
        <v>70938.0</v>
      </c>
    </row>
    <row r="2910">
      <c r="A2910" s="1545" t="s">
        <v>2236</v>
      </c>
      <c r="B2910" s="1587">
        <v>24727.0</v>
      </c>
      <c r="C2910" s="1563">
        <v>319.0</v>
      </c>
      <c r="D2910" s="1548">
        <v>7.9</v>
      </c>
      <c r="E2910" s="1557">
        <v>19302.0</v>
      </c>
      <c r="F2910" s="598">
        <v>3267.0</v>
      </c>
      <c r="G2910" s="598">
        <v>75.0</v>
      </c>
      <c r="H2910" s="598">
        <v>494.0</v>
      </c>
      <c r="I2910" s="598">
        <v>3.0</v>
      </c>
      <c r="J2910" s="598">
        <v>383.0</v>
      </c>
      <c r="K2910" s="1561">
        <v>1203.0</v>
      </c>
      <c r="L2910" s="1551">
        <v>89331.0</v>
      </c>
    </row>
    <row r="2911">
      <c r="A2911" s="1545" t="s">
        <v>1072</v>
      </c>
      <c r="B2911" s="1587">
        <v>15333.0</v>
      </c>
      <c r="C2911" s="1563">
        <v>705.0</v>
      </c>
      <c r="D2911" s="1548">
        <v>27.5</v>
      </c>
      <c r="E2911" s="1557">
        <v>13558.0</v>
      </c>
      <c r="F2911" s="598">
        <v>904.0</v>
      </c>
      <c r="G2911" s="598">
        <v>32.0</v>
      </c>
      <c r="H2911" s="598">
        <v>24.0</v>
      </c>
      <c r="I2911" s="598">
        <v>2.0</v>
      </c>
      <c r="J2911" s="598">
        <v>247.0</v>
      </c>
      <c r="K2911" s="1561">
        <v>566.0</v>
      </c>
      <c r="L2911" s="1551">
        <v>37550.0</v>
      </c>
    </row>
    <row r="2912">
      <c r="A2912" s="1545" t="s">
        <v>138</v>
      </c>
      <c r="B2912" s="1587">
        <v>20552.0</v>
      </c>
      <c r="C2912" s="1563">
        <v>571.0</v>
      </c>
      <c r="D2912" s="1548">
        <v>12.2</v>
      </c>
      <c r="E2912" s="1557">
        <v>16520.0</v>
      </c>
      <c r="F2912" s="598">
        <v>1447.0</v>
      </c>
      <c r="G2912" s="598">
        <v>33.0</v>
      </c>
      <c r="H2912" s="598">
        <v>457.0</v>
      </c>
      <c r="I2912" s="598">
        <v>6.0</v>
      </c>
      <c r="J2912" s="598">
        <v>694.0</v>
      </c>
      <c r="K2912" s="1561">
        <v>1395.0</v>
      </c>
      <c r="L2912" s="1551">
        <v>67498.0</v>
      </c>
    </row>
    <row r="2913">
      <c r="A2913" s="1545" t="s">
        <v>2237</v>
      </c>
      <c r="B2913" s="1587">
        <v>11391.0</v>
      </c>
      <c r="C2913" s="1563">
        <v>530.0</v>
      </c>
      <c r="D2913" s="1548">
        <v>27.2</v>
      </c>
      <c r="E2913" s="1557">
        <v>4364.0</v>
      </c>
      <c r="F2913" s="598">
        <v>6657.0</v>
      </c>
      <c r="G2913" s="598">
        <v>30.0</v>
      </c>
      <c r="H2913" s="598">
        <v>33.0</v>
      </c>
      <c r="I2913" s="598">
        <v>0.0</v>
      </c>
      <c r="J2913" s="598">
        <v>49.0</v>
      </c>
      <c r="K2913" s="1561">
        <v>258.0</v>
      </c>
      <c r="L2913" s="1551">
        <v>43533.0</v>
      </c>
    </row>
    <row r="2914">
      <c r="A2914" s="1545" t="s">
        <v>1605</v>
      </c>
      <c r="B2914" s="1587">
        <v>34022.0</v>
      </c>
      <c r="C2914" s="1547">
        <v>1523.0</v>
      </c>
      <c r="D2914" s="1548">
        <v>22.4</v>
      </c>
      <c r="E2914" s="1557">
        <v>20420.0</v>
      </c>
      <c r="F2914" s="598">
        <v>11791.0</v>
      </c>
      <c r="G2914" s="598">
        <v>77.0</v>
      </c>
      <c r="H2914" s="598">
        <v>218.0</v>
      </c>
      <c r="I2914" s="598">
        <v>6.0</v>
      </c>
      <c r="J2914" s="598">
        <v>440.0</v>
      </c>
      <c r="K2914" s="1561">
        <v>1070.0</v>
      </c>
      <c r="L2914" s="1638">
        <v>43096.0</v>
      </c>
    </row>
    <row r="2915">
      <c r="A2915" s="1545" t="s">
        <v>2238</v>
      </c>
      <c r="B2915" s="1587">
        <v>109979.0</v>
      </c>
      <c r="C2915" s="1547">
        <v>1440.0</v>
      </c>
      <c r="D2915" s="1548">
        <v>6.2</v>
      </c>
      <c r="E2915" s="1557">
        <v>89742.0</v>
      </c>
      <c r="F2915" s="598">
        <v>9808.0</v>
      </c>
      <c r="G2915" s="598">
        <v>399.0</v>
      </c>
      <c r="H2915" s="598">
        <v>2035.0</v>
      </c>
      <c r="I2915" s="598">
        <v>33.0</v>
      </c>
      <c r="J2915" s="598">
        <v>1708.0</v>
      </c>
      <c r="K2915" s="1561">
        <v>6254.0</v>
      </c>
      <c r="L2915" s="1638">
        <v>91028.0</v>
      </c>
    </row>
    <row r="2916">
      <c r="A2916" s="1545" t="s">
        <v>2239</v>
      </c>
      <c r="B2916" s="1587">
        <v>334389.0</v>
      </c>
      <c r="C2916" s="1547">
        <v>9253.0</v>
      </c>
      <c r="D2916" s="1548">
        <v>12.6</v>
      </c>
      <c r="E2916" s="1557">
        <v>170651.0</v>
      </c>
      <c r="F2916" s="598">
        <v>97568.0</v>
      </c>
      <c r="G2916" s="598">
        <v>1338.0</v>
      </c>
      <c r="H2916" s="598">
        <v>32296.0</v>
      </c>
      <c r="I2916" s="598">
        <v>154.0</v>
      </c>
      <c r="J2916" s="598">
        <v>11081.0</v>
      </c>
      <c r="K2916" s="1561">
        <v>21301.0</v>
      </c>
      <c r="L2916" s="1551">
        <v>68581.0</v>
      </c>
    </row>
    <row r="2917">
      <c r="A2917" s="1545" t="s">
        <v>140</v>
      </c>
      <c r="B2917" s="1587">
        <v>50948.0</v>
      </c>
      <c r="C2917" s="1547">
        <v>2733.0</v>
      </c>
      <c r="D2917" s="1548">
        <v>28.0</v>
      </c>
      <c r="E2917" s="1557">
        <v>35040.0</v>
      </c>
      <c r="F2917" s="598">
        <v>11160.0</v>
      </c>
      <c r="G2917" s="598">
        <v>165.0</v>
      </c>
      <c r="H2917" s="598">
        <v>292.0</v>
      </c>
      <c r="I2917" s="598">
        <v>14.0</v>
      </c>
      <c r="J2917" s="598">
        <v>1628.0</v>
      </c>
      <c r="K2917" s="1561">
        <v>2649.0</v>
      </c>
      <c r="L2917" s="1551">
        <v>36471.0</v>
      </c>
    </row>
    <row r="2918">
      <c r="A2918" s="1545" t="s">
        <v>1684</v>
      </c>
      <c r="B2918" s="1587">
        <v>2232.0</v>
      </c>
      <c r="C2918" s="1563">
        <v>60.0</v>
      </c>
      <c r="D2918" s="1548">
        <v>21.2</v>
      </c>
      <c r="E2918" s="1557">
        <v>2135.0</v>
      </c>
      <c r="F2918" s="598">
        <v>2.0</v>
      </c>
      <c r="G2918" s="598">
        <v>3.0</v>
      </c>
      <c r="H2918" s="598">
        <v>6.0</v>
      </c>
      <c r="I2918" s="598">
        <v>1.0</v>
      </c>
      <c r="J2918" s="598">
        <v>12.0</v>
      </c>
      <c r="K2918" s="1561">
        <v>73.0</v>
      </c>
      <c r="L2918" s="1551">
        <v>45089.0</v>
      </c>
    </row>
    <row r="2919">
      <c r="A2919" s="1545" t="s">
        <v>2241</v>
      </c>
      <c r="B2919" s="1587">
        <v>38606.0</v>
      </c>
      <c r="C2919" s="1563">
        <v>920.0</v>
      </c>
      <c r="D2919" s="1548">
        <v>12.1</v>
      </c>
      <c r="E2919" s="1557">
        <v>26721.0</v>
      </c>
      <c r="F2919" s="598">
        <v>8660.0</v>
      </c>
      <c r="G2919" s="598">
        <v>166.0</v>
      </c>
      <c r="H2919" s="598">
        <v>405.0</v>
      </c>
      <c r="I2919" s="598">
        <v>32.0</v>
      </c>
      <c r="J2919" s="598">
        <v>468.0</v>
      </c>
      <c r="K2919" s="1561">
        <v>2154.0</v>
      </c>
      <c r="L2919" s="1638">
        <v>72993.0</v>
      </c>
    </row>
    <row r="2920">
      <c r="A2920" s="1545" t="s">
        <v>2242</v>
      </c>
      <c r="B2920" s="1587">
        <v>78254.0</v>
      </c>
      <c r="C2920" s="1547">
        <v>1399.0</v>
      </c>
      <c r="D2920" s="1548">
        <v>9.3</v>
      </c>
      <c r="E2920" s="1557">
        <v>57710.0</v>
      </c>
      <c r="F2920" s="598">
        <v>10028.0</v>
      </c>
      <c r="G2920" s="598">
        <v>275.0</v>
      </c>
      <c r="H2920" s="598">
        <v>2269.0</v>
      </c>
      <c r="I2920" s="598">
        <v>52.0</v>
      </c>
      <c r="J2920" s="598">
        <v>2042.0</v>
      </c>
      <c r="K2920" s="1561">
        <v>5878.0</v>
      </c>
      <c r="L2920" s="1551">
        <v>86541.0</v>
      </c>
    </row>
    <row r="2921">
      <c r="A2921" s="1545" t="s">
        <v>2243</v>
      </c>
      <c r="B2921" s="1587">
        <v>6608.0</v>
      </c>
      <c r="C2921" s="1563">
        <v>235.0</v>
      </c>
      <c r="D2921" s="1548">
        <v>19.3</v>
      </c>
      <c r="E2921" s="1557">
        <v>4490.0</v>
      </c>
      <c r="F2921" s="598">
        <v>1571.0</v>
      </c>
      <c r="G2921" s="598">
        <v>90.0</v>
      </c>
      <c r="H2921" s="598">
        <v>23.0</v>
      </c>
      <c r="I2921" s="598">
        <v>3.0</v>
      </c>
      <c r="J2921" s="598">
        <v>91.0</v>
      </c>
      <c r="K2921" s="1561">
        <v>340.0</v>
      </c>
      <c r="L2921" s="1551">
        <v>51124.0</v>
      </c>
    </row>
    <row r="2922">
      <c r="A2922" s="1545" t="s">
        <v>2244</v>
      </c>
      <c r="B2922" s="1587">
        <v>26723.0</v>
      </c>
      <c r="C2922" s="1563">
        <v>594.0</v>
      </c>
      <c r="D2922" s="1548">
        <v>9.1</v>
      </c>
      <c r="E2922" s="1557">
        <v>19121.0</v>
      </c>
      <c r="F2922" s="598">
        <v>3983.0</v>
      </c>
      <c r="G2922" s="598">
        <v>190.0</v>
      </c>
      <c r="H2922" s="598">
        <v>417.0</v>
      </c>
      <c r="I2922" s="598">
        <v>15.0</v>
      </c>
      <c r="J2922" s="598">
        <v>512.0</v>
      </c>
      <c r="K2922" s="1561">
        <v>2485.0</v>
      </c>
      <c r="L2922" s="1551">
        <v>86619.0</v>
      </c>
    </row>
    <row r="2923">
      <c r="A2923" s="1545" t="s">
        <v>2245</v>
      </c>
      <c r="B2923" s="1587">
        <v>17810.0</v>
      </c>
      <c r="C2923" s="1563">
        <v>395.0</v>
      </c>
      <c r="D2923" s="1548">
        <v>10.2</v>
      </c>
      <c r="E2923" s="1557">
        <v>13636.0</v>
      </c>
      <c r="F2923" s="598">
        <v>2601.0</v>
      </c>
      <c r="G2923" s="598">
        <v>288.0</v>
      </c>
      <c r="H2923" s="598">
        <v>129.0</v>
      </c>
      <c r="I2923" s="598">
        <v>11.0</v>
      </c>
      <c r="J2923" s="598">
        <v>234.0</v>
      </c>
      <c r="K2923" s="1561">
        <v>911.0</v>
      </c>
      <c r="L2923" s="1551">
        <v>68724.0</v>
      </c>
    </row>
    <row r="2924">
      <c r="A2924" s="1545" t="s">
        <v>650</v>
      </c>
      <c r="B2924" s="1587">
        <v>10919.0</v>
      </c>
      <c r="C2924" s="1563">
        <v>409.0</v>
      </c>
      <c r="D2924" s="1548">
        <v>24.1</v>
      </c>
      <c r="E2924" s="1557">
        <v>7467.0</v>
      </c>
      <c r="F2924" s="598">
        <v>2951.0</v>
      </c>
      <c r="G2924" s="598">
        <v>24.0</v>
      </c>
      <c r="H2924" s="598">
        <v>77.0</v>
      </c>
      <c r="I2924" s="598">
        <v>1.0</v>
      </c>
      <c r="J2924" s="598">
        <v>60.0</v>
      </c>
      <c r="K2924" s="1561">
        <v>339.0</v>
      </c>
      <c r="L2924" s="1551">
        <v>52814.0</v>
      </c>
    </row>
    <row r="2925">
      <c r="A2925" s="1545" t="s">
        <v>147</v>
      </c>
      <c r="B2925" s="1587">
        <v>22173.0</v>
      </c>
      <c r="C2925" s="1547">
        <v>1414.0</v>
      </c>
      <c r="D2925" s="1548">
        <v>32.5</v>
      </c>
      <c r="E2925" s="1557">
        <v>20531.0</v>
      </c>
      <c r="F2925" s="598">
        <v>885.0</v>
      </c>
      <c r="G2925" s="598">
        <v>71.0</v>
      </c>
      <c r="H2925" s="598">
        <v>39.0</v>
      </c>
      <c r="I2925" s="598">
        <v>0.0</v>
      </c>
      <c r="J2925" s="598">
        <v>81.0</v>
      </c>
      <c r="K2925" s="1561">
        <v>566.0</v>
      </c>
      <c r="L2925" s="1638">
        <v>34796.0</v>
      </c>
    </row>
    <row r="2926">
      <c r="A2926" s="1545" t="s">
        <v>2247</v>
      </c>
      <c r="B2926" s="1587">
        <v>420959.0</v>
      </c>
      <c r="C2926" s="1547">
        <v>4117.0</v>
      </c>
      <c r="D2926" s="1548">
        <v>3.6</v>
      </c>
      <c r="E2926" s="1557">
        <v>225974.0</v>
      </c>
      <c r="F2926" s="598">
        <v>30568.0</v>
      </c>
      <c r="G2926" s="598">
        <v>1582.0</v>
      </c>
      <c r="H2926" s="598">
        <v>89779.0</v>
      </c>
      <c r="I2926" s="598">
        <v>263.0</v>
      </c>
      <c r="J2926" s="598">
        <v>28136.0</v>
      </c>
      <c r="K2926" s="1561">
        <v>44657.0</v>
      </c>
      <c r="L2926" s="1551">
        <v>140382.0</v>
      </c>
    </row>
    <row r="2927">
      <c r="A2927" s="1545" t="s">
        <v>908</v>
      </c>
      <c r="B2927" s="1587">
        <v>37596.0</v>
      </c>
      <c r="C2927" s="1547">
        <v>1080.0</v>
      </c>
      <c r="D2927" s="1548">
        <v>14.9</v>
      </c>
      <c r="E2927" s="1557">
        <v>28813.0</v>
      </c>
      <c r="F2927" s="598">
        <v>5408.0</v>
      </c>
      <c r="G2927" s="598">
        <v>158.0</v>
      </c>
      <c r="H2927" s="598">
        <v>257.0</v>
      </c>
      <c r="I2927" s="598">
        <v>18.0</v>
      </c>
      <c r="J2927" s="598">
        <v>598.0</v>
      </c>
      <c r="K2927" s="1561">
        <v>2344.0</v>
      </c>
      <c r="L2927" s="1551">
        <v>63714.0</v>
      </c>
    </row>
    <row r="2928">
      <c r="A2928" s="1545" t="s">
        <v>2248</v>
      </c>
      <c r="B2928" s="1587">
        <v>11936.0</v>
      </c>
      <c r="C2928" s="1563">
        <v>546.0</v>
      </c>
      <c r="D2928" s="1548">
        <v>24.8</v>
      </c>
      <c r="E2928" s="1557">
        <v>7095.0</v>
      </c>
      <c r="F2928" s="598">
        <v>3805.0</v>
      </c>
      <c r="G2928" s="598">
        <v>35.0</v>
      </c>
      <c r="H2928" s="598">
        <v>26.0</v>
      </c>
      <c r="I2928" s="598">
        <v>6.0</v>
      </c>
      <c r="J2928" s="598">
        <v>347.0</v>
      </c>
      <c r="K2928" s="1561">
        <v>622.0</v>
      </c>
      <c r="L2928" s="1551">
        <v>41421.0</v>
      </c>
    </row>
    <row r="2929">
      <c r="A2929" s="1545" t="s">
        <v>151</v>
      </c>
      <c r="B2929" s="1587">
        <v>13837.0</v>
      </c>
      <c r="C2929" s="1563">
        <v>428.0</v>
      </c>
      <c r="D2929" s="1548">
        <v>16.1</v>
      </c>
      <c r="E2929" s="1557">
        <v>11684.0</v>
      </c>
      <c r="F2929" s="598">
        <v>1065.0</v>
      </c>
      <c r="G2929" s="598">
        <v>16.0</v>
      </c>
      <c r="H2929" s="598">
        <v>90.0</v>
      </c>
      <c r="I2929" s="598">
        <v>1.0</v>
      </c>
      <c r="J2929" s="598">
        <v>210.0</v>
      </c>
      <c r="K2929" s="1561">
        <v>771.0</v>
      </c>
      <c r="L2929" s="1551">
        <v>60450.0</v>
      </c>
    </row>
    <row r="2930">
      <c r="A2930" s="1545" t="s">
        <v>2249</v>
      </c>
      <c r="B2930" s="1587">
        <v>8533.0</v>
      </c>
      <c r="C2930" s="1563">
        <v>221.0</v>
      </c>
      <c r="D2930" s="1548">
        <v>16.6</v>
      </c>
      <c r="E2930" s="1557">
        <v>7295.0</v>
      </c>
      <c r="F2930" s="598">
        <v>660.0</v>
      </c>
      <c r="G2930" s="598">
        <v>17.0</v>
      </c>
      <c r="H2930" s="598">
        <v>52.0</v>
      </c>
      <c r="I2930" s="598">
        <v>15.0</v>
      </c>
      <c r="J2930" s="598">
        <v>65.0</v>
      </c>
      <c r="K2930" s="1561">
        <v>429.0</v>
      </c>
      <c r="L2930" s="1551">
        <v>61764.0</v>
      </c>
    </row>
    <row r="2931">
      <c r="A2931" s="1545" t="s">
        <v>381</v>
      </c>
      <c r="B2931" s="1587">
        <v>30319.0</v>
      </c>
      <c r="C2931" s="1547">
        <v>1668.0</v>
      </c>
      <c r="D2931" s="1548">
        <v>29.8</v>
      </c>
      <c r="E2931" s="1557">
        <v>18032.0</v>
      </c>
      <c r="F2931" s="598">
        <v>10435.0</v>
      </c>
      <c r="G2931" s="598">
        <v>75.0</v>
      </c>
      <c r="H2931" s="598">
        <v>205.0</v>
      </c>
      <c r="I2931" s="598">
        <v>0.0</v>
      </c>
      <c r="J2931" s="598">
        <v>495.0</v>
      </c>
      <c r="K2931" s="1561">
        <v>1077.0</v>
      </c>
      <c r="L2931" s="1551">
        <v>44832.0</v>
      </c>
    </row>
    <row r="2932">
      <c r="A2932" s="1545" t="s">
        <v>281</v>
      </c>
      <c r="B2932" s="1587">
        <v>10625.0</v>
      </c>
      <c r="C2932" s="1563">
        <v>395.0</v>
      </c>
      <c r="D2932" s="1548">
        <v>22.9</v>
      </c>
      <c r="E2932" s="1557">
        <v>8411.0</v>
      </c>
      <c r="F2932" s="598">
        <v>1523.0</v>
      </c>
      <c r="G2932" s="598">
        <v>33.0</v>
      </c>
      <c r="H2932" s="598">
        <v>28.0</v>
      </c>
      <c r="I2932" s="598">
        <v>3.0</v>
      </c>
      <c r="J2932" s="598">
        <v>107.0</v>
      </c>
      <c r="K2932" s="1561">
        <v>520.0</v>
      </c>
      <c r="L2932" s="1638">
        <v>54871.0</v>
      </c>
    </row>
    <row r="2933">
      <c r="A2933" s="1545" t="s">
        <v>157</v>
      </c>
      <c r="B2933" s="1587">
        <v>99721.0</v>
      </c>
      <c r="C2933" s="1547">
        <v>2194.0</v>
      </c>
      <c r="D2933" s="1548">
        <v>14.6</v>
      </c>
      <c r="E2933" s="1557">
        <v>79436.0</v>
      </c>
      <c r="F2933" s="598">
        <v>4165.0</v>
      </c>
      <c r="G2933" s="598">
        <v>207.0</v>
      </c>
      <c r="H2933" s="598">
        <v>8347.0</v>
      </c>
      <c r="I2933" s="598">
        <v>52.0</v>
      </c>
      <c r="J2933" s="598">
        <v>1632.0</v>
      </c>
      <c r="K2933" s="1561">
        <v>5882.0</v>
      </c>
      <c r="L2933" s="1551">
        <v>52538.0</v>
      </c>
    </row>
    <row r="2934">
      <c r="A2934" s="1545" t="s">
        <v>1125</v>
      </c>
      <c r="B2934" s="1587">
        <v>14775.0</v>
      </c>
      <c r="C2934" s="1563">
        <v>516.0</v>
      </c>
      <c r="D2934" s="1548">
        <v>19.9</v>
      </c>
      <c r="E2934" s="1557">
        <v>12021.0</v>
      </c>
      <c r="F2934" s="598">
        <v>1538.0</v>
      </c>
      <c r="G2934" s="598">
        <v>56.0</v>
      </c>
      <c r="H2934" s="598">
        <v>67.0</v>
      </c>
      <c r="I2934" s="598">
        <v>3.0</v>
      </c>
      <c r="J2934" s="598">
        <v>365.0</v>
      </c>
      <c r="K2934" s="1561">
        <v>725.0</v>
      </c>
      <c r="L2934" s="1551">
        <v>56690.0</v>
      </c>
    </row>
    <row r="2935">
      <c r="A2935" s="1545" t="s">
        <v>2250</v>
      </c>
      <c r="B2935" s="1587">
        <v>22945.0</v>
      </c>
      <c r="C2935" s="1563">
        <v>319.0</v>
      </c>
      <c r="D2935" s="1548">
        <v>7.3</v>
      </c>
      <c r="E2935" s="1557">
        <v>18017.0</v>
      </c>
      <c r="F2935" s="598">
        <v>2739.0</v>
      </c>
      <c r="G2935" s="598">
        <v>247.0</v>
      </c>
      <c r="H2935" s="598">
        <v>223.0</v>
      </c>
      <c r="I2935" s="598">
        <v>8.0</v>
      </c>
      <c r="J2935" s="598">
        <v>288.0</v>
      </c>
      <c r="K2935" s="1561">
        <v>1423.0</v>
      </c>
      <c r="L2935" s="1551">
        <v>90858.0</v>
      </c>
    </row>
    <row r="2936">
      <c r="A2936" s="1545" t="s">
        <v>1618</v>
      </c>
      <c r="B2936" s="1587">
        <v>12282.0</v>
      </c>
      <c r="C2936" s="1563">
        <v>683.0</v>
      </c>
      <c r="D2936" s="1548">
        <v>30.0</v>
      </c>
      <c r="E2936" s="1557">
        <v>7071.0</v>
      </c>
      <c r="F2936" s="598">
        <v>3785.0</v>
      </c>
      <c r="G2936" s="598">
        <v>85.0</v>
      </c>
      <c r="H2936" s="598">
        <v>82.0</v>
      </c>
      <c r="I2936" s="598">
        <v>8.0</v>
      </c>
      <c r="J2936" s="598">
        <v>549.0</v>
      </c>
      <c r="K2936" s="1561">
        <v>702.0</v>
      </c>
      <c r="L2936" s="1551">
        <v>43157.0</v>
      </c>
    </row>
    <row r="2937">
      <c r="A2937" s="1545" t="s">
        <v>1804</v>
      </c>
      <c r="B2937" s="1587">
        <v>11839.0</v>
      </c>
      <c r="C2937" s="1563">
        <v>467.0</v>
      </c>
      <c r="D2937" s="1548">
        <v>27.0</v>
      </c>
      <c r="E2937" s="1557">
        <v>8366.0</v>
      </c>
      <c r="F2937" s="598">
        <v>2690.0</v>
      </c>
      <c r="G2937" s="598">
        <v>29.0</v>
      </c>
      <c r="H2937" s="598">
        <v>69.0</v>
      </c>
      <c r="I2937" s="598">
        <v>0.0</v>
      </c>
      <c r="J2937" s="598">
        <v>195.0</v>
      </c>
      <c r="K2937" s="1561">
        <v>490.0</v>
      </c>
      <c r="L2937" s="1551">
        <v>55418.0</v>
      </c>
    </row>
    <row r="2938">
      <c r="A2938" s="1545" t="s">
        <v>2251</v>
      </c>
      <c r="B2938" s="1587">
        <v>15642.0</v>
      </c>
      <c r="C2938" s="1563">
        <v>812.0</v>
      </c>
      <c r="D2938" s="1548">
        <v>27.9</v>
      </c>
      <c r="E2938" s="1557">
        <v>8625.0</v>
      </c>
      <c r="F2938" s="598">
        <v>5813.0</v>
      </c>
      <c r="G2938" s="598">
        <v>85.0</v>
      </c>
      <c r="H2938" s="598">
        <v>64.0</v>
      </c>
      <c r="I2938" s="598">
        <v>3.0</v>
      </c>
      <c r="J2938" s="598">
        <v>343.0</v>
      </c>
      <c r="K2938" s="1561">
        <v>709.0</v>
      </c>
      <c r="L2938" s="1551">
        <v>46368.0</v>
      </c>
    </row>
    <row r="2939">
      <c r="A2939" s="1545" t="s">
        <v>241</v>
      </c>
      <c r="B2939" s="1587">
        <v>36254.0</v>
      </c>
      <c r="C2939" s="1563">
        <v>978.0</v>
      </c>
      <c r="D2939" s="1548">
        <v>12.9</v>
      </c>
      <c r="E2939" s="1557">
        <v>27877.0</v>
      </c>
      <c r="F2939" s="598">
        <v>4364.0</v>
      </c>
      <c r="G2939" s="598">
        <v>192.0</v>
      </c>
      <c r="H2939" s="598">
        <v>324.0</v>
      </c>
      <c r="I2939" s="598">
        <v>19.0</v>
      </c>
      <c r="J2939" s="598">
        <v>849.0</v>
      </c>
      <c r="K2939" s="1561">
        <v>2629.0</v>
      </c>
      <c r="L2939" s="1551">
        <v>63681.0</v>
      </c>
    </row>
    <row r="2940">
      <c r="A2940" s="1545" t="s">
        <v>927</v>
      </c>
      <c r="B2940" s="1587">
        <v>23709.0</v>
      </c>
      <c r="C2940" s="1563">
        <v>888.0</v>
      </c>
      <c r="D2940" s="1548">
        <v>19.0</v>
      </c>
      <c r="E2940" s="1557">
        <v>22037.0</v>
      </c>
      <c r="F2940" s="598">
        <v>439.0</v>
      </c>
      <c r="G2940" s="598">
        <v>51.0</v>
      </c>
      <c r="H2940" s="598">
        <v>120.0</v>
      </c>
      <c r="I2940" s="598">
        <v>8.0</v>
      </c>
      <c r="J2940" s="598">
        <v>160.0</v>
      </c>
      <c r="K2940" s="1561">
        <v>894.0</v>
      </c>
      <c r="L2940" s="1551">
        <v>49073.0</v>
      </c>
    </row>
    <row r="2941">
      <c r="A2941" s="1545" t="s">
        <v>2252</v>
      </c>
      <c r="B2941" s="1587">
        <v>17608.0</v>
      </c>
      <c r="C2941" s="1563">
        <v>685.0</v>
      </c>
      <c r="D2941" s="1548">
        <v>22.7</v>
      </c>
      <c r="E2941" s="1557">
        <v>15719.0</v>
      </c>
      <c r="F2941" s="598">
        <v>840.0</v>
      </c>
      <c r="G2941" s="598">
        <v>36.0</v>
      </c>
      <c r="H2941" s="598">
        <v>43.0</v>
      </c>
      <c r="I2941" s="598">
        <v>3.0</v>
      </c>
      <c r="J2941" s="598">
        <v>327.0</v>
      </c>
      <c r="K2941" s="1561">
        <v>640.0</v>
      </c>
      <c r="L2941" s="1551">
        <v>42862.0</v>
      </c>
    </row>
    <row r="2942">
      <c r="A2942" s="1545" t="s">
        <v>2254</v>
      </c>
      <c r="B2942" s="1587">
        <v>60501.0</v>
      </c>
      <c r="C2942" s="1547">
        <v>2530.0</v>
      </c>
      <c r="D2942" s="1548">
        <v>22.3</v>
      </c>
      <c r="E2942" s="1557">
        <v>44672.0</v>
      </c>
      <c r="F2942" s="598">
        <v>12417.0</v>
      </c>
      <c r="G2942" s="598">
        <v>169.0</v>
      </c>
      <c r="H2942" s="598">
        <v>292.0</v>
      </c>
      <c r="I2942" s="598">
        <v>22.0</v>
      </c>
      <c r="J2942" s="598">
        <v>800.0</v>
      </c>
      <c r="K2942" s="1561">
        <v>2129.0</v>
      </c>
      <c r="L2942" s="1551">
        <v>44710.0</v>
      </c>
    </row>
    <row r="2943">
      <c r="A2943" s="1545" t="s">
        <v>2255</v>
      </c>
      <c r="B2943" s="1587">
        <v>30333.0</v>
      </c>
      <c r="C2943" s="1563">
        <v>421.0</v>
      </c>
      <c r="D2943" s="1548">
        <v>8.1</v>
      </c>
      <c r="E2943" s="1557">
        <v>25732.0</v>
      </c>
      <c r="F2943" s="598">
        <v>2505.0</v>
      </c>
      <c r="G2943" s="598">
        <v>64.0</v>
      </c>
      <c r="H2943" s="598">
        <v>169.0</v>
      </c>
      <c r="I2943" s="598">
        <v>24.0</v>
      </c>
      <c r="J2943" s="598">
        <v>268.0</v>
      </c>
      <c r="K2943" s="1561">
        <v>1571.0</v>
      </c>
      <c r="L2943" s="1551">
        <v>88475.0</v>
      </c>
    </row>
    <row r="2944">
      <c r="A2944" s="1545" t="s">
        <v>2256</v>
      </c>
      <c r="B2944" s="1587">
        <v>21849.0</v>
      </c>
      <c r="C2944" s="1547">
        <v>1025.0</v>
      </c>
      <c r="D2944" s="1548">
        <v>27.9</v>
      </c>
      <c r="E2944" s="1557">
        <v>10662.0</v>
      </c>
      <c r="F2944" s="598">
        <v>9269.0</v>
      </c>
      <c r="G2944" s="598">
        <v>36.0</v>
      </c>
      <c r="H2944" s="598">
        <v>197.0</v>
      </c>
      <c r="I2944" s="598">
        <v>1.0</v>
      </c>
      <c r="J2944" s="598">
        <v>741.0</v>
      </c>
      <c r="K2944" s="1561">
        <v>943.0</v>
      </c>
      <c r="L2944" s="1551">
        <v>48450.0</v>
      </c>
    </row>
    <row r="2945">
      <c r="A2945" s="1545" t="s">
        <v>2257</v>
      </c>
      <c r="B2945" s="1587">
        <v>43010.0</v>
      </c>
      <c r="C2945" s="1563">
        <v>917.0</v>
      </c>
      <c r="D2945" s="1548">
        <v>11.3</v>
      </c>
      <c r="E2945" s="1557">
        <v>23827.0</v>
      </c>
      <c r="F2945" s="598">
        <v>12968.0</v>
      </c>
      <c r="G2945" s="598">
        <v>276.0</v>
      </c>
      <c r="H2945" s="598">
        <v>862.0</v>
      </c>
      <c r="I2945" s="598">
        <v>144.0</v>
      </c>
      <c r="J2945" s="598">
        <v>1891.0</v>
      </c>
      <c r="K2945" s="1561">
        <v>3042.0</v>
      </c>
      <c r="L2945" s="1638">
        <v>68133.0</v>
      </c>
    </row>
    <row r="2946">
      <c r="A2946" s="1545" t="s">
        <v>2258</v>
      </c>
      <c r="B2946" s="1587">
        <v>482204.0</v>
      </c>
      <c r="C2946" s="1547">
        <v>10821.0</v>
      </c>
      <c r="D2946" s="1548">
        <v>8.7</v>
      </c>
      <c r="E2946" s="1557">
        <v>200831.0</v>
      </c>
      <c r="F2946" s="598">
        <v>97457.0</v>
      </c>
      <c r="G2946" s="598">
        <v>3565.0</v>
      </c>
      <c r="H2946" s="598">
        <v>50314.0</v>
      </c>
      <c r="I2946" s="598">
        <v>600.0</v>
      </c>
      <c r="J2946" s="598">
        <v>66345.0</v>
      </c>
      <c r="K2946" s="1561">
        <v>63092.0</v>
      </c>
      <c r="L2946" s="1551">
        <v>106200.0</v>
      </c>
    </row>
    <row r="2947">
      <c r="A2947" s="1545" t="s">
        <v>305</v>
      </c>
      <c r="B2947" s="1587">
        <v>33800.0</v>
      </c>
      <c r="C2947" s="1547">
        <v>1209.0</v>
      </c>
      <c r="D2947" s="1548">
        <v>20.5</v>
      </c>
      <c r="E2947" s="1557">
        <v>29922.0</v>
      </c>
      <c r="F2947" s="598">
        <v>1658.0</v>
      </c>
      <c r="G2947" s="598">
        <v>69.0</v>
      </c>
      <c r="H2947" s="598">
        <v>184.0</v>
      </c>
      <c r="I2947" s="598">
        <v>3.0</v>
      </c>
      <c r="J2947" s="598">
        <v>336.0</v>
      </c>
      <c r="K2947" s="1561">
        <v>1628.0</v>
      </c>
      <c r="L2947" s="1551">
        <v>50834.0</v>
      </c>
    </row>
    <row r="2948">
      <c r="A2948" s="1545" t="s">
        <v>2259</v>
      </c>
      <c r="B2948" s="1587">
        <v>7348.0</v>
      </c>
      <c r="C2948" s="1563">
        <v>158.0</v>
      </c>
      <c r="D2948" s="1548">
        <v>13.6</v>
      </c>
      <c r="E2948" s="1557">
        <v>6521.0</v>
      </c>
      <c r="F2948" s="598">
        <v>200.0</v>
      </c>
      <c r="G2948" s="598">
        <v>18.0</v>
      </c>
      <c r="H2948" s="598">
        <v>63.0</v>
      </c>
      <c r="I2948" s="598">
        <v>3.0</v>
      </c>
      <c r="J2948" s="598">
        <v>101.0</v>
      </c>
      <c r="K2948" s="1561">
        <v>442.0</v>
      </c>
      <c r="L2948" s="1551">
        <v>71035.0</v>
      </c>
    </row>
    <row r="2949">
      <c r="A2949" s="1545" t="s">
        <v>4216</v>
      </c>
      <c r="B2949" s="1587">
        <v>8923.0</v>
      </c>
      <c r="C2949" s="1563">
        <v>340.0</v>
      </c>
      <c r="D2949" s="1548">
        <v>22.5</v>
      </c>
      <c r="E2949" s="1557">
        <v>5739.0</v>
      </c>
      <c r="F2949" s="598">
        <v>2439.0</v>
      </c>
      <c r="G2949" s="598">
        <v>16.0</v>
      </c>
      <c r="H2949" s="598">
        <v>42.0</v>
      </c>
      <c r="I2949" s="598">
        <v>0.0</v>
      </c>
      <c r="J2949" s="598">
        <v>274.0</v>
      </c>
      <c r="K2949" s="1561">
        <v>413.0</v>
      </c>
      <c r="L2949" s="1638">
        <v>49399.0</v>
      </c>
    </row>
    <row r="2950">
      <c r="A2950" s="1545" t="s">
        <v>4217</v>
      </c>
      <c r="B2950" s="1587">
        <v>96929.0</v>
      </c>
      <c r="C2950" s="1547">
        <v>1539.0</v>
      </c>
      <c r="D2950" s="1548">
        <v>8.4</v>
      </c>
      <c r="E2950" s="1557">
        <v>80780.0</v>
      </c>
      <c r="F2950" s="598">
        <v>5764.0</v>
      </c>
      <c r="G2950" s="598">
        <v>243.0</v>
      </c>
      <c r="H2950" s="598">
        <v>3462.0</v>
      </c>
      <c r="I2950" s="598">
        <v>24.0</v>
      </c>
      <c r="J2950" s="598">
        <v>1490.0</v>
      </c>
      <c r="K2950" s="1561">
        <v>5166.0</v>
      </c>
      <c r="L2950" s="1551">
        <v>68734.0</v>
      </c>
    </row>
    <row r="2951">
      <c r="A2951" s="1545" t="s">
        <v>2261</v>
      </c>
      <c r="B2951" s="1587">
        <v>22650.0</v>
      </c>
      <c r="C2951" s="1563">
        <v>657.0</v>
      </c>
      <c r="D2951" s="1548">
        <v>16.7</v>
      </c>
      <c r="E2951" s="1557">
        <v>20483.0</v>
      </c>
      <c r="F2951" s="598">
        <v>575.0</v>
      </c>
      <c r="G2951" s="598">
        <v>94.0</v>
      </c>
      <c r="H2951" s="598">
        <v>187.0</v>
      </c>
      <c r="I2951" s="598">
        <v>9.0</v>
      </c>
      <c r="J2951" s="598">
        <v>261.0</v>
      </c>
      <c r="K2951" s="1561">
        <v>1041.0</v>
      </c>
      <c r="L2951" s="1638">
        <v>53413.0</v>
      </c>
    </row>
    <row r="2952">
      <c r="A2952" s="1545" t="s">
        <v>1523</v>
      </c>
      <c r="B2952" s="1587">
        <v>83757.0</v>
      </c>
      <c r="C2952" s="1547">
        <v>1629.0</v>
      </c>
      <c r="D2952" s="1548">
        <v>9.3</v>
      </c>
      <c r="E2952" s="1557">
        <v>72656.0</v>
      </c>
      <c r="F2952" s="598">
        <v>1886.0</v>
      </c>
      <c r="G2952" s="598">
        <v>291.0</v>
      </c>
      <c r="H2952" s="598">
        <v>928.0</v>
      </c>
      <c r="I2952" s="598">
        <v>20.0</v>
      </c>
      <c r="J2952" s="598">
        <v>3346.0</v>
      </c>
      <c r="K2952" s="1561">
        <v>4630.0</v>
      </c>
      <c r="L2952" s="1551">
        <v>61375.0</v>
      </c>
    </row>
    <row r="2953">
      <c r="A2953" s="1545" t="s">
        <v>165</v>
      </c>
      <c r="B2953" s="1587">
        <v>25781.0</v>
      </c>
      <c r="C2953" s="1547">
        <v>1080.0</v>
      </c>
      <c r="D2953" s="1548">
        <v>21.7</v>
      </c>
      <c r="E2953" s="1557">
        <v>24835.0</v>
      </c>
      <c r="F2953" s="598">
        <v>229.0</v>
      </c>
      <c r="G2953" s="598">
        <v>19.0</v>
      </c>
      <c r="H2953" s="598">
        <v>42.0</v>
      </c>
      <c r="I2953" s="598">
        <v>1.0</v>
      </c>
      <c r="J2953" s="598">
        <v>68.0</v>
      </c>
      <c r="K2953" s="1561">
        <v>587.0</v>
      </c>
      <c r="L2953" s="1551">
        <v>38966.0</v>
      </c>
    </row>
    <row r="2954">
      <c r="A2954" s="1545" t="s">
        <v>309</v>
      </c>
      <c r="B2954" s="1587">
        <v>21576.0</v>
      </c>
      <c r="C2954" s="1563">
        <v>921.0</v>
      </c>
      <c r="D2954" s="1548">
        <v>24.5</v>
      </c>
      <c r="E2954" s="1557">
        <v>20617.0</v>
      </c>
      <c r="F2954" s="598">
        <v>134.0</v>
      </c>
      <c r="G2954" s="598">
        <v>31.0</v>
      </c>
      <c r="H2954" s="598">
        <v>28.0</v>
      </c>
      <c r="I2954" s="598">
        <v>4.0</v>
      </c>
      <c r="J2954" s="598">
        <v>63.0</v>
      </c>
      <c r="K2954" s="1561">
        <v>699.0</v>
      </c>
      <c r="L2954" s="1551">
        <v>40161.0</v>
      </c>
    </row>
    <row r="2955">
      <c r="A2955" s="1545" t="s">
        <v>2263</v>
      </c>
      <c r="B2955" s="1587">
        <v>44186.0</v>
      </c>
      <c r="C2955" s="1547">
        <v>1345.0</v>
      </c>
      <c r="D2955" s="1548">
        <v>14.9</v>
      </c>
      <c r="E2955" s="1557">
        <v>38166.0</v>
      </c>
      <c r="F2955" s="598">
        <v>1087.0</v>
      </c>
      <c r="G2955" s="598">
        <v>198.0</v>
      </c>
      <c r="H2955" s="598">
        <v>348.0</v>
      </c>
      <c r="I2955" s="598">
        <v>8.0</v>
      </c>
      <c r="J2955" s="598">
        <v>1715.0</v>
      </c>
      <c r="K2955" s="1561">
        <v>2664.0</v>
      </c>
      <c r="L2955" s="1551">
        <v>55283.0</v>
      </c>
    </row>
    <row r="2956">
      <c r="A2956" s="1545" t="s">
        <v>2264</v>
      </c>
      <c r="B2956" s="1587">
        <v>29800.0</v>
      </c>
      <c r="C2956" s="1547">
        <v>1446.0</v>
      </c>
      <c r="D2956" s="1548">
        <v>25.2</v>
      </c>
      <c r="E2956" s="1557">
        <v>27939.0</v>
      </c>
      <c r="F2956" s="598">
        <v>430.0</v>
      </c>
      <c r="G2956" s="598">
        <v>40.0</v>
      </c>
      <c r="H2956" s="598">
        <v>104.0</v>
      </c>
      <c r="I2956" s="598">
        <v>1.0</v>
      </c>
      <c r="J2956" s="598">
        <v>239.0</v>
      </c>
      <c r="K2956" s="1561">
        <v>1047.0</v>
      </c>
      <c r="L2956" s="1551">
        <v>40972.0</v>
      </c>
    </row>
    <row r="2957">
      <c r="A2957" s="1545" t="s">
        <v>2265</v>
      </c>
      <c r="B2957" s="1587">
        <v>17996.0</v>
      </c>
      <c r="C2957" s="1563">
        <v>638.0</v>
      </c>
      <c r="D2957" s="1548">
        <v>20.2</v>
      </c>
      <c r="E2957" s="1557">
        <v>11080.0</v>
      </c>
      <c r="F2957" s="598">
        <v>5924.0</v>
      </c>
      <c r="G2957" s="598">
        <v>67.0</v>
      </c>
      <c r="H2957" s="598">
        <v>70.0</v>
      </c>
      <c r="I2957" s="598">
        <v>20.0</v>
      </c>
      <c r="J2957" s="598">
        <v>116.0</v>
      </c>
      <c r="K2957" s="1561">
        <v>719.0</v>
      </c>
      <c r="L2957" s="1638">
        <v>52741.0</v>
      </c>
    </row>
    <row r="2958">
      <c r="A2958" s="1545" t="s">
        <v>2266</v>
      </c>
      <c r="B2958" s="1587">
        <v>140032.0</v>
      </c>
      <c r="C2958" s="1547">
        <v>3298.0</v>
      </c>
      <c r="D2958" s="1548">
        <v>10.1</v>
      </c>
      <c r="E2958" s="1557">
        <v>90227.0</v>
      </c>
      <c r="F2958" s="598">
        <v>22933.0</v>
      </c>
      <c r="G2958" s="598">
        <v>675.0</v>
      </c>
      <c r="H2958" s="598">
        <v>3978.0</v>
      </c>
      <c r="I2958" s="598">
        <v>127.0</v>
      </c>
      <c r="J2958" s="598">
        <v>8194.0</v>
      </c>
      <c r="K2958" s="1561">
        <v>13898.0</v>
      </c>
      <c r="L2958" s="1638">
        <v>86695.0</v>
      </c>
    </row>
    <row r="2959">
      <c r="A2959" s="1545" t="s">
        <v>1013</v>
      </c>
      <c r="B2959" s="1587">
        <v>156927.0</v>
      </c>
      <c r="C2959" s="1547">
        <v>2517.0</v>
      </c>
      <c r="D2959" s="1548">
        <v>6.5</v>
      </c>
      <c r="E2959" s="1557">
        <v>90269.0</v>
      </c>
      <c r="F2959" s="598">
        <v>30400.0</v>
      </c>
      <c r="G2959" s="598">
        <v>1161.0</v>
      </c>
      <c r="H2959" s="598">
        <v>6251.0</v>
      </c>
      <c r="I2959" s="598">
        <v>266.0</v>
      </c>
      <c r="J2959" s="598">
        <v>9407.0</v>
      </c>
      <c r="K2959" s="1561">
        <v>19173.0</v>
      </c>
      <c r="L2959" s="1551">
        <v>108421.0</v>
      </c>
    </row>
    <row r="2960">
      <c r="A2960" s="1545" t="s">
        <v>1631</v>
      </c>
      <c r="B2960" s="1587">
        <v>6561.0</v>
      </c>
      <c r="C2960" s="1563">
        <v>217.0</v>
      </c>
      <c r="D2960" s="1548">
        <v>20.2</v>
      </c>
      <c r="E2960" s="1557">
        <v>3483.0</v>
      </c>
      <c r="F2960" s="598">
        <v>2694.0</v>
      </c>
      <c r="G2960" s="598">
        <v>19.0</v>
      </c>
      <c r="H2960" s="598">
        <v>14.0</v>
      </c>
      <c r="I2960" s="598">
        <v>10.0</v>
      </c>
      <c r="J2960" s="598">
        <v>54.0</v>
      </c>
      <c r="K2960" s="1561">
        <v>287.0</v>
      </c>
      <c r="L2960" s="1551">
        <v>54663.0</v>
      </c>
    </row>
    <row r="2961">
      <c r="A2961" s="1545" t="s">
        <v>476</v>
      </c>
      <c r="B2961" s="1587">
        <v>10829.0</v>
      </c>
      <c r="C2961" s="1563">
        <v>506.0</v>
      </c>
      <c r="D2961" s="1548">
        <v>29.6</v>
      </c>
      <c r="E2961" s="1557">
        <v>4501.0</v>
      </c>
      <c r="F2961" s="598">
        <v>5781.0</v>
      </c>
      <c r="G2961" s="598">
        <v>18.0</v>
      </c>
      <c r="H2961" s="598">
        <v>12.0</v>
      </c>
      <c r="I2961" s="598">
        <v>11.0</v>
      </c>
      <c r="J2961" s="598">
        <v>93.0</v>
      </c>
      <c r="K2961" s="1561">
        <v>413.0</v>
      </c>
      <c r="L2961" s="1551">
        <v>43031.0</v>
      </c>
    </row>
    <row r="2962">
      <c r="A2962" s="1545" t="s">
        <v>749</v>
      </c>
      <c r="B2962" s="1587">
        <v>40429.0</v>
      </c>
      <c r="C2962" s="1547">
        <v>1875.0</v>
      </c>
      <c r="D2962" s="1548">
        <v>24.1</v>
      </c>
      <c r="E2962" s="1557">
        <v>37528.0</v>
      </c>
      <c r="F2962" s="598">
        <v>967.0</v>
      </c>
      <c r="G2962" s="598">
        <v>59.0</v>
      </c>
      <c r="H2962" s="598">
        <v>215.0</v>
      </c>
      <c r="I2962" s="598">
        <v>15.0</v>
      </c>
      <c r="J2962" s="598">
        <v>193.0</v>
      </c>
      <c r="K2962" s="1561">
        <v>1452.0</v>
      </c>
      <c r="L2962" s="1551">
        <v>42074.0</v>
      </c>
    </row>
    <row r="2963">
      <c r="A2963" s="1545" t="s">
        <v>647</v>
      </c>
      <c r="B2963" s="1587">
        <v>40727.0</v>
      </c>
      <c r="C2963" s="1547">
        <v>1198.0</v>
      </c>
      <c r="D2963" s="1548">
        <v>13.9</v>
      </c>
      <c r="E2963" s="1557">
        <v>34386.0</v>
      </c>
      <c r="F2963" s="598">
        <v>1754.0</v>
      </c>
      <c r="G2963" s="598">
        <v>185.0</v>
      </c>
      <c r="H2963" s="598">
        <v>472.0</v>
      </c>
      <c r="I2963" s="598">
        <v>15.0</v>
      </c>
      <c r="J2963" s="598">
        <v>1022.0</v>
      </c>
      <c r="K2963" s="1561">
        <v>2893.0</v>
      </c>
      <c r="L2963" s="1551">
        <v>65635.0</v>
      </c>
    </row>
    <row r="2964">
      <c r="A2964" s="1545" t="s">
        <v>119</v>
      </c>
      <c r="B2964" s="1587">
        <v>53935.0</v>
      </c>
      <c r="C2964" s="1547">
        <v>2024.0</v>
      </c>
      <c r="D2964" s="1548">
        <v>20.5</v>
      </c>
      <c r="E2964" s="1557">
        <v>50639.0</v>
      </c>
      <c r="F2964" s="598">
        <v>662.0</v>
      </c>
      <c r="G2964" s="598">
        <v>106.0</v>
      </c>
      <c r="H2964" s="598">
        <v>337.0</v>
      </c>
      <c r="I2964" s="598">
        <v>1.0</v>
      </c>
      <c r="J2964" s="598">
        <v>348.0</v>
      </c>
      <c r="K2964" s="1561">
        <v>1842.0</v>
      </c>
      <c r="L2964" s="1551">
        <v>45510.0</v>
      </c>
    </row>
    <row r="2965">
      <c r="A2965" s="1545" t="s">
        <v>1810</v>
      </c>
      <c r="B2965" s="1587">
        <v>18477.0</v>
      </c>
      <c r="C2965" s="1563">
        <v>885.0</v>
      </c>
      <c r="D2965" s="1548">
        <v>26.8</v>
      </c>
      <c r="E2965" s="1557">
        <v>11941.0</v>
      </c>
      <c r="F2965" s="598">
        <v>4491.0</v>
      </c>
      <c r="G2965" s="598">
        <v>78.0</v>
      </c>
      <c r="H2965" s="598">
        <v>148.0</v>
      </c>
      <c r="I2965" s="598">
        <v>11.0</v>
      </c>
      <c r="J2965" s="598">
        <v>596.0</v>
      </c>
      <c r="K2965" s="1561">
        <v>1212.0</v>
      </c>
      <c r="L2965" s="1551">
        <v>51414.0</v>
      </c>
    </row>
    <row r="2966">
      <c r="A2966" s="1545" t="s">
        <v>2178</v>
      </c>
      <c r="B2966" s="1587">
        <v>36130.0</v>
      </c>
      <c r="C2966" s="1547">
        <v>2382.0</v>
      </c>
      <c r="D2966" s="1548">
        <v>32.5</v>
      </c>
      <c r="E2966" s="1557">
        <v>32789.0</v>
      </c>
      <c r="F2966" s="598">
        <v>1802.0</v>
      </c>
      <c r="G2966" s="598">
        <v>55.0</v>
      </c>
      <c r="H2966" s="598">
        <v>153.0</v>
      </c>
      <c r="I2966" s="598">
        <v>11.0</v>
      </c>
      <c r="J2966" s="598">
        <v>181.0</v>
      </c>
      <c r="K2966" s="1561">
        <v>1139.0</v>
      </c>
      <c r="L2966" s="1551">
        <v>38045.0</v>
      </c>
    </row>
    <row r="2967">
      <c r="A2967" s="1545" t="s">
        <v>2267</v>
      </c>
      <c r="B2967" s="1587">
        <v>28290.0</v>
      </c>
      <c r="C2967" s="1547">
        <v>1324.0</v>
      </c>
      <c r="D2967" s="1548">
        <v>23.8</v>
      </c>
      <c r="E2967" s="1557">
        <v>26165.0</v>
      </c>
      <c r="F2967" s="598">
        <v>707.0</v>
      </c>
      <c r="G2967" s="598">
        <v>61.0</v>
      </c>
      <c r="H2967" s="598">
        <v>118.0</v>
      </c>
      <c r="I2967" s="598">
        <v>2.0</v>
      </c>
      <c r="J2967" s="598">
        <v>159.0</v>
      </c>
      <c r="K2967" s="1561">
        <v>1078.0</v>
      </c>
      <c r="L2967" s="1638">
        <v>46345.0</v>
      </c>
    </row>
    <row r="2968">
      <c r="A2968" s="1545" t="s">
        <v>1196</v>
      </c>
      <c r="B2968" s="1587">
        <v>70045.0</v>
      </c>
      <c r="C2968" s="1547">
        <v>1051.0</v>
      </c>
      <c r="D2968" s="1548">
        <v>6.6</v>
      </c>
      <c r="E2968" s="1557">
        <v>48251.0</v>
      </c>
      <c r="F2968" s="598">
        <v>8930.0</v>
      </c>
      <c r="G2968" s="598">
        <v>258.0</v>
      </c>
      <c r="H2968" s="598">
        <v>4297.0</v>
      </c>
      <c r="I2968" s="598">
        <v>140.0</v>
      </c>
      <c r="J2968" s="598">
        <v>1482.0</v>
      </c>
      <c r="K2968" s="1561">
        <v>6687.0</v>
      </c>
      <c r="L2968" s="1638">
        <v>86317.0</v>
      </c>
    </row>
    <row r="2969">
      <c r="A2969" s="1545" t="s">
        <v>4192</v>
      </c>
      <c r="B2969" s="1587">
        <v>159467.0</v>
      </c>
      <c r="C2969" s="1547">
        <v>4586.0</v>
      </c>
      <c r="D2969" s="1548">
        <v>16.1</v>
      </c>
      <c r="E2969" s="1557">
        <v>82185.0</v>
      </c>
      <c r="F2969" s="598">
        <v>31903.0</v>
      </c>
      <c r="G2969" s="598">
        <v>1004.0</v>
      </c>
      <c r="H2969" s="598">
        <v>11354.0</v>
      </c>
      <c r="I2969" s="598">
        <v>94.0</v>
      </c>
      <c r="J2969" s="598">
        <v>15750.0</v>
      </c>
      <c r="K2969" s="1561">
        <v>17177.0</v>
      </c>
      <c r="L2969" s="1551">
        <v>99425.0</v>
      </c>
    </row>
    <row r="2970">
      <c r="A2970" s="1545" t="s">
        <v>634</v>
      </c>
      <c r="B2970" s="1587">
        <v>17219.0</v>
      </c>
      <c r="C2970" s="1547">
        <v>1072.0</v>
      </c>
      <c r="D2970" s="1548">
        <v>33.1</v>
      </c>
      <c r="E2970" s="1557">
        <v>14754.0</v>
      </c>
      <c r="F2970" s="598">
        <v>1051.0</v>
      </c>
      <c r="G2970" s="598">
        <v>57.0</v>
      </c>
      <c r="H2970" s="598">
        <v>162.0</v>
      </c>
      <c r="I2970" s="598">
        <v>4.0</v>
      </c>
      <c r="J2970" s="598">
        <v>103.0</v>
      </c>
      <c r="K2970" s="1561">
        <v>1088.0</v>
      </c>
      <c r="L2970" s="1551">
        <v>36903.0</v>
      </c>
    </row>
    <row r="2971">
      <c r="A2971" s="1545" t="s">
        <v>893</v>
      </c>
      <c r="B2971" s="1587">
        <v>6641.0</v>
      </c>
      <c r="C2971" s="1563">
        <v>217.0</v>
      </c>
      <c r="D2971" s="1548">
        <v>20.2</v>
      </c>
      <c r="E2971" s="1557">
        <v>5740.0</v>
      </c>
      <c r="F2971" s="598">
        <v>289.0</v>
      </c>
      <c r="G2971" s="598">
        <v>49.0</v>
      </c>
      <c r="H2971" s="598">
        <v>29.0</v>
      </c>
      <c r="I2971" s="598">
        <v>24.0</v>
      </c>
      <c r="J2971" s="598">
        <v>63.0</v>
      </c>
      <c r="K2971" s="1561">
        <v>447.0</v>
      </c>
      <c r="L2971" s="1551">
        <v>43390.0</v>
      </c>
    </row>
    <row r="2972">
      <c r="A2972" s="1545" t="s">
        <v>4195</v>
      </c>
      <c r="B2972" s="1587">
        <v>46553.0</v>
      </c>
      <c r="C2972" s="1547">
        <v>1380.0</v>
      </c>
      <c r="D2972" s="1548">
        <v>18.3</v>
      </c>
      <c r="E2972" s="1557">
        <v>30344.0</v>
      </c>
      <c r="F2972" s="598">
        <v>7122.0</v>
      </c>
      <c r="G2972" s="598">
        <v>164.0</v>
      </c>
      <c r="H2972" s="598">
        <v>4083.0</v>
      </c>
      <c r="I2972" s="598">
        <v>22.0</v>
      </c>
      <c r="J2972" s="598">
        <v>1235.0</v>
      </c>
      <c r="K2972" s="1561">
        <v>3583.0</v>
      </c>
      <c r="L2972" s="1638">
        <v>56997.0</v>
      </c>
    </row>
    <row r="2973">
      <c r="A2973" s="1545" t="s">
        <v>4196</v>
      </c>
      <c r="B2973" s="1587">
        <v>249422.0</v>
      </c>
      <c r="C2973" s="1547">
        <v>6860.0</v>
      </c>
      <c r="D2973" s="1548">
        <v>11.9</v>
      </c>
      <c r="E2973" s="1557">
        <v>139573.0</v>
      </c>
      <c r="F2973" s="598">
        <v>72268.0</v>
      </c>
      <c r="G2973" s="598">
        <v>1174.0</v>
      </c>
      <c r="H2973" s="598">
        <v>9057.0</v>
      </c>
      <c r="I2973" s="598">
        <v>377.0</v>
      </c>
      <c r="J2973" s="598">
        <v>6807.0</v>
      </c>
      <c r="K2973" s="1561">
        <v>20166.0</v>
      </c>
      <c r="L2973" s="1551">
        <v>78846.0</v>
      </c>
    </row>
    <row r="2974">
      <c r="A2974" s="1545" t="s">
        <v>4197</v>
      </c>
      <c r="B2974" s="1587">
        <v>18170.0</v>
      </c>
      <c r="C2974" s="1563">
        <v>732.0</v>
      </c>
      <c r="D2974" s="1548">
        <v>17.4</v>
      </c>
      <c r="E2974" s="1557">
        <v>12652.0</v>
      </c>
      <c r="F2974" s="598">
        <v>2915.0</v>
      </c>
      <c r="G2974" s="598">
        <v>42.0</v>
      </c>
      <c r="H2974" s="598">
        <v>579.0</v>
      </c>
      <c r="I2974" s="598">
        <v>13.0</v>
      </c>
      <c r="J2974" s="598">
        <v>542.0</v>
      </c>
      <c r="K2974" s="1561">
        <v>1427.0</v>
      </c>
      <c r="L2974" s="1551">
        <v>56800.0</v>
      </c>
    </row>
    <row r="2975">
      <c r="A2975" s="1545" t="s">
        <v>126</v>
      </c>
      <c r="B2975" s="1587">
        <v>5737.0</v>
      </c>
      <c r="C2975" s="1563">
        <v>250.0</v>
      </c>
      <c r="D2975" s="1548">
        <v>26.1</v>
      </c>
      <c r="E2975" s="1557">
        <v>4585.0</v>
      </c>
      <c r="F2975" s="598">
        <v>718.0</v>
      </c>
      <c r="G2975" s="598">
        <v>23.0</v>
      </c>
      <c r="H2975" s="598">
        <v>32.0</v>
      </c>
      <c r="I2975" s="598">
        <v>5.0</v>
      </c>
      <c r="J2975" s="598">
        <v>72.0</v>
      </c>
      <c r="K2975" s="1561">
        <v>302.0</v>
      </c>
      <c r="L2975" s="1551">
        <v>40504.0</v>
      </c>
    </row>
    <row r="2976">
      <c r="A2976" s="1545" t="s">
        <v>4199</v>
      </c>
      <c r="B2976" s="1587">
        <v>42590.0</v>
      </c>
      <c r="C2976" s="1547">
        <v>3306.0</v>
      </c>
      <c r="D2976" s="1548">
        <v>38.1</v>
      </c>
      <c r="E2976" s="1557">
        <v>17262.0</v>
      </c>
      <c r="F2976" s="598">
        <v>21879.0</v>
      </c>
      <c r="G2976" s="598">
        <v>186.0</v>
      </c>
      <c r="H2976" s="598">
        <v>514.0</v>
      </c>
      <c r="I2976" s="598">
        <v>1.0</v>
      </c>
      <c r="J2976" s="598">
        <v>1124.0</v>
      </c>
      <c r="K2976" s="1561">
        <v>1624.0</v>
      </c>
      <c r="L2976" s="1551">
        <v>36015.0</v>
      </c>
    </row>
    <row r="2977">
      <c r="A2977" s="1545" t="s">
        <v>4200</v>
      </c>
      <c r="B2977" s="1587">
        <v>5766.0</v>
      </c>
      <c r="C2977" s="1563">
        <v>398.0</v>
      </c>
      <c r="D2977" s="1548">
        <v>37.4</v>
      </c>
      <c r="E2977" s="1557">
        <v>1544.0</v>
      </c>
      <c r="F2977" s="598">
        <v>3655.0</v>
      </c>
      <c r="G2977" s="598">
        <v>23.0</v>
      </c>
      <c r="H2977" s="598">
        <v>53.0</v>
      </c>
      <c r="I2977" s="598">
        <v>6.0</v>
      </c>
      <c r="J2977" s="598">
        <v>272.0</v>
      </c>
      <c r="K2977" s="1561">
        <v>213.0</v>
      </c>
      <c r="L2977" s="1551">
        <v>36908.0</v>
      </c>
    </row>
    <row r="2978">
      <c r="A2978" s="1545" t="s">
        <v>2279</v>
      </c>
      <c r="B2978" s="1587">
        <v>24146.0</v>
      </c>
      <c r="C2978" s="1563">
        <v>418.0</v>
      </c>
      <c r="D2978" s="1548">
        <v>6.9</v>
      </c>
      <c r="E2978" s="1557">
        <v>13473.0</v>
      </c>
      <c r="F2978" s="598">
        <v>1103.0</v>
      </c>
      <c r="G2978" s="598">
        <v>145.0</v>
      </c>
      <c r="H2978" s="598">
        <v>4537.0</v>
      </c>
      <c r="I2978" s="598">
        <v>10.0</v>
      </c>
      <c r="J2978" s="598">
        <v>2067.0</v>
      </c>
      <c r="K2978" s="1561">
        <v>2811.0</v>
      </c>
      <c r="L2978" s="1551">
        <v>105532.0</v>
      </c>
    </row>
    <row r="2979">
      <c r="A2979" s="1545" t="s">
        <v>4201</v>
      </c>
      <c r="B2979" s="1587">
        <v>14658.0</v>
      </c>
      <c r="C2979" s="1563">
        <v>114.0</v>
      </c>
      <c r="D2979" s="1548">
        <v>2.9</v>
      </c>
      <c r="E2979" s="1557">
        <v>10221.0</v>
      </c>
      <c r="F2979" s="598">
        <v>576.0</v>
      </c>
      <c r="G2979" s="598">
        <v>32.0</v>
      </c>
      <c r="H2979" s="598">
        <v>1499.0</v>
      </c>
      <c r="I2979" s="598">
        <v>11.0</v>
      </c>
      <c r="J2979" s="598">
        <v>582.0</v>
      </c>
      <c r="K2979" s="1561">
        <v>1737.0</v>
      </c>
      <c r="L2979" s="1551">
        <v>137551.0</v>
      </c>
    </row>
    <row r="2980">
      <c r="A2980" s="1545" t="s">
        <v>2281</v>
      </c>
      <c r="B2980" s="1587">
        <v>8180.0</v>
      </c>
      <c r="C2980" s="1563">
        <v>642.0</v>
      </c>
      <c r="D2980" s="1548">
        <v>34.1</v>
      </c>
      <c r="E2980" s="1557">
        <v>3008.0</v>
      </c>
      <c r="F2980" s="598">
        <v>4639.0</v>
      </c>
      <c r="G2980" s="598">
        <v>34.0</v>
      </c>
      <c r="H2980" s="598">
        <v>81.0</v>
      </c>
      <c r="I2980" s="598">
        <v>5.0</v>
      </c>
      <c r="J2980" s="598">
        <v>79.0</v>
      </c>
      <c r="K2980" s="1561">
        <v>334.0</v>
      </c>
      <c r="L2980" s="1551">
        <v>37327.0</v>
      </c>
    </row>
    <row r="2981">
      <c r="A2981" s="1545" t="s">
        <v>4203</v>
      </c>
      <c r="B2981" s="1587">
        <v>27982.0</v>
      </c>
      <c r="C2981" s="1547">
        <v>1254.0</v>
      </c>
      <c r="D2981" s="1548">
        <v>21.2</v>
      </c>
      <c r="E2981" s="1557">
        <v>15872.0</v>
      </c>
      <c r="F2981" s="598">
        <v>6135.0</v>
      </c>
      <c r="G2981" s="598">
        <v>180.0</v>
      </c>
      <c r="H2981" s="598">
        <v>1334.0</v>
      </c>
      <c r="I2981" s="598">
        <v>30.0</v>
      </c>
      <c r="J2981" s="598">
        <v>1754.0</v>
      </c>
      <c r="K2981" s="1561">
        <v>2677.0</v>
      </c>
      <c r="L2981" s="1551">
        <v>58448.0</v>
      </c>
    </row>
    <row r="2982">
      <c r="A2982" s="1545" t="s">
        <v>4204</v>
      </c>
      <c r="B2982" s="1587">
        <v>6720.0</v>
      </c>
      <c r="C2982" s="1563">
        <v>478.0</v>
      </c>
      <c r="D2982" s="1548">
        <v>34.7</v>
      </c>
      <c r="E2982" s="1557">
        <v>5233.0</v>
      </c>
      <c r="F2982" s="598">
        <v>367.0</v>
      </c>
      <c r="G2982" s="598">
        <v>33.0</v>
      </c>
      <c r="H2982" s="598">
        <v>52.0</v>
      </c>
      <c r="I2982" s="598">
        <v>1.0</v>
      </c>
      <c r="J2982" s="598">
        <v>626.0</v>
      </c>
      <c r="K2982" s="1561">
        <v>408.0</v>
      </c>
      <c r="L2982" s="1638">
        <v>36571.0</v>
      </c>
    </row>
    <row r="2983">
      <c r="A2983" s="1545" t="s">
        <v>1829</v>
      </c>
      <c r="B2983" s="1587">
        <v>137148.0</v>
      </c>
      <c r="C2983" s="1547">
        <v>6538.0</v>
      </c>
      <c r="D2983" s="1548">
        <v>23.7</v>
      </c>
      <c r="E2983" s="1557">
        <v>51202.0</v>
      </c>
      <c r="F2983" s="598">
        <v>67915.0</v>
      </c>
      <c r="G2983" s="598">
        <v>647.0</v>
      </c>
      <c r="H2983" s="598">
        <v>3568.0</v>
      </c>
      <c r="I2983" s="598">
        <v>241.0</v>
      </c>
      <c r="J2983" s="598">
        <v>3220.0</v>
      </c>
      <c r="K2983" s="1561">
        <v>10355.0</v>
      </c>
      <c r="L2983" s="1551">
        <v>54763.0</v>
      </c>
    </row>
    <row r="2984">
      <c r="A2984" s="1545" t="s">
        <v>4205</v>
      </c>
      <c r="B2984" s="1587">
        <v>51814.0</v>
      </c>
      <c r="C2984" s="1547">
        <v>1768.0</v>
      </c>
      <c r="D2984" s="1548">
        <v>19.8</v>
      </c>
      <c r="E2984" s="1557">
        <v>33789.0</v>
      </c>
      <c r="F2984" s="598">
        <v>4218.0</v>
      </c>
      <c r="G2984" s="598">
        <v>297.0</v>
      </c>
      <c r="H2984" s="598">
        <v>2116.0</v>
      </c>
      <c r="I2984" s="598">
        <v>29.0</v>
      </c>
      <c r="J2984" s="598">
        <v>6029.0</v>
      </c>
      <c r="K2984" s="1561">
        <v>5336.0</v>
      </c>
      <c r="L2984" s="1551">
        <v>42640.0</v>
      </c>
    </row>
    <row r="2985">
      <c r="A2985" s="1545" t="s">
        <v>4206</v>
      </c>
      <c r="B2985" s="1587">
        <v>23033.0</v>
      </c>
      <c r="C2985" s="1547">
        <v>1775.0</v>
      </c>
      <c r="D2985" s="1548">
        <v>30.9</v>
      </c>
      <c r="E2985" s="1557">
        <v>10141.0</v>
      </c>
      <c r="F2985" s="598">
        <v>9852.0</v>
      </c>
      <c r="G2985" s="598">
        <v>111.0</v>
      </c>
      <c r="H2985" s="598">
        <v>254.0</v>
      </c>
      <c r="I2985" s="598">
        <v>20.0</v>
      </c>
      <c r="J2985" s="598">
        <v>968.0</v>
      </c>
      <c r="K2985" s="1561">
        <v>1687.0</v>
      </c>
      <c r="L2985" s="1551">
        <v>42568.0</v>
      </c>
    </row>
    <row r="2986">
      <c r="A2986" s="1545" t="s">
        <v>1832</v>
      </c>
      <c r="B2986" s="1587">
        <v>7320.0</v>
      </c>
      <c r="C2986" s="1563">
        <v>91.0</v>
      </c>
      <c r="D2986" s="1548">
        <v>13.7</v>
      </c>
      <c r="E2986" s="1557">
        <v>6112.0</v>
      </c>
      <c r="F2986" s="598">
        <v>459.0</v>
      </c>
      <c r="G2986" s="598">
        <v>20.0</v>
      </c>
      <c r="H2986" s="598">
        <v>281.0</v>
      </c>
      <c r="I2986" s="598">
        <v>0.0</v>
      </c>
      <c r="J2986" s="598">
        <v>123.0</v>
      </c>
      <c r="K2986" s="1561">
        <v>325.0</v>
      </c>
      <c r="L2986" s="1638">
        <v>48726.0</v>
      </c>
    </row>
    <row r="2987">
      <c r="A2987" s="1545" t="s">
        <v>4209</v>
      </c>
      <c r="B2987" s="1587">
        <v>79009.0</v>
      </c>
      <c r="C2987" s="1547">
        <v>3899.0</v>
      </c>
      <c r="D2987" s="1548">
        <v>25.1</v>
      </c>
      <c r="E2987" s="1557">
        <v>48502.0</v>
      </c>
      <c r="F2987" s="598">
        <v>21453.0</v>
      </c>
      <c r="G2987" s="598">
        <v>243.0</v>
      </c>
      <c r="H2987" s="598">
        <v>1766.0</v>
      </c>
      <c r="I2987" s="598">
        <v>41.0</v>
      </c>
      <c r="J2987" s="598">
        <v>2400.0</v>
      </c>
      <c r="K2987" s="1561">
        <v>4604.0</v>
      </c>
      <c r="L2987" s="1551">
        <v>43200.0</v>
      </c>
    </row>
    <row r="2988">
      <c r="A2988" s="1545" t="s">
        <v>4210</v>
      </c>
      <c r="B2988" s="1587">
        <v>42772.0</v>
      </c>
      <c r="C2988" s="1547">
        <v>1602.0</v>
      </c>
      <c r="D2988" s="1548">
        <v>14.7</v>
      </c>
      <c r="E2988" s="1557">
        <v>16717.0</v>
      </c>
      <c r="F2988" s="598">
        <v>5124.0</v>
      </c>
      <c r="G2988" s="598">
        <v>536.0</v>
      </c>
      <c r="H2988" s="598">
        <v>2729.0</v>
      </c>
      <c r="I2988" s="598">
        <v>36.0</v>
      </c>
      <c r="J2988" s="598">
        <v>11975.0</v>
      </c>
      <c r="K2988" s="1561">
        <v>5655.0</v>
      </c>
      <c r="L2988" s="1551">
        <v>79141.0</v>
      </c>
    </row>
    <row r="2989">
      <c r="A2989" s="1545" t="s">
        <v>4211</v>
      </c>
      <c r="B2989" s="1587">
        <v>17219.0</v>
      </c>
      <c r="C2989" s="1563">
        <v>455.0</v>
      </c>
      <c r="D2989" s="1548">
        <v>11.9</v>
      </c>
      <c r="E2989" s="1557">
        <v>5535.0</v>
      </c>
      <c r="F2989" s="598">
        <v>2136.0</v>
      </c>
      <c r="G2989" s="598">
        <v>174.0</v>
      </c>
      <c r="H2989" s="598">
        <v>1835.0</v>
      </c>
      <c r="I2989" s="598">
        <v>13.0</v>
      </c>
      <c r="J2989" s="598">
        <v>5263.0</v>
      </c>
      <c r="K2989" s="1561">
        <v>2263.0</v>
      </c>
      <c r="L2989" s="1551">
        <v>77032.0</v>
      </c>
    </row>
    <row r="2990">
      <c r="A2990" s="1545" t="s">
        <v>4212</v>
      </c>
      <c r="B2990" s="1587">
        <v>13485.0</v>
      </c>
      <c r="C2990" s="1547">
        <v>1060.0</v>
      </c>
      <c r="D2990" s="1548">
        <v>33.7</v>
      </c>
      <c r="E2990" s="1557">
        <v>5924.0</v>
      </c>
      <c r="F2990" s="598">
        <v>6094.0</v>
      </c>
      <c r="G2990" s="598">
        <v>50.0</v>
      </c>
      <c r="H2990" s="598">
        <v>116.0</v>
      </c>
      <c r="I2990" s="598">
        <v>4.0</v>
      </c>
      <c r="J2990" s="598">
        <v>535.0</v>
      </c>
      <c r="K2990" s="1561">
        <v>762.0</v>
      </c>
      <c r="L2990" s="1638">
        <v>33892.0</v>
      </c>
    </row>
    <row r="2991">
      <c r="A2991" s="1545" t="s">
        <v>4213</v>
      </c>
      <c r="B2991" s="1587">
        <v>186247.0</v>
      </c>
      <c r="C2991" s="1547">
        <v>8774.0</v>
      </c>
      <c r="D2991" s="1548">
        <v>21.7</v>
      </c>
      <c r="E2991" s="1557">
        <v>74676.0</v>
      </c>
      <c r="F2991" s="598">
        <v>78687.0</v>
      </c>
      <c r="G2991" s="598">
        <v>940.0</v>
      </c>
      <c r="H2991" s="598">
        <v>6356.0</v>
      </c>
      <c r="I2991" s="598">
        <v>441.0</v>
      </c>
      <c r="J2991" s="598">
        <v>8892.0</v>
      </c>
      <c r="K2991" s="1561">
        <v>16255.0</v>
      </c>
      <c r="L2991" s="1638">
        <v>50283.0</v>
      </c>
    </row>
    <row r="2992">
      <c r="A2992" s="1545" t="s">
        <v>558</v>
      </c>
      <c r="B2992" s="1587">
        <v>238005.0</v>
      </c>
      <c r="C2992" s="1547">
        <v>13203.0</v>
      </c>
      <c r="D2992" s="1548">
        <v>28.2</v>
      </c>
      <c r="E2992" s="1557">
        <v>102841.0</v>
      </c>
      <c r="F2992" s="598">
        <v>95594.0</v>
      </c>
      <c r="G2992" s="598">
        <v>1328.0</v>
      </c>
      <c r="H2992" s="598">
        <v>9025.0</v>
      </c>
      <c r="I2992" s="598">
        <v>521.0</v>
      </c>
      <c r="J2992" s="598">
        <v>9445.0</v>
      </c>
      <c r="K2992" s="1561">
        <v>19251.0</v>
      </c>
      <c r="L2992" s="1551">
        <v>48519.0</v>
      </c>
    </row>
    <row r="2993">
      <c r="A2993" s="1545" t="s">
        <v>995</v>
      </c>
      <c r="B2993" s="1587">
        <v>3687.0</v>
      </c>
      <c r="C2993" s="1563">
        <v>242.0</v>
      </c>
      <c r="D2993" s="1548">
        <v>31.3</v>
      </c>
      <c r="E2993" s="1557">
        <v>3242.0</v>
      </c>
      <c r="F2993" s="598">
        <v>180.0</v>
      </c>
      <c r="G2993" s="598">
        <v>8.0</v>
      </c>
      <c r="H2993" s="598">
        <v>27.0</v>
      </c>
      <c r="I2993" s="598">
        <v>1.0</v>
      </c>
      <c r="J2993" s="598">
        <v>38.0</v>
      </c>
      <c r="K2993" s="1561">
        <v>191.0</v>
      </c>
      <c r="L2993" s="1551">
        <v>34442.0</v>
      </c>
    </row>
    <row r="2994">
      <c r="A2994" s="1545" t="s">
        <v>209</v>
      </c>
      <c r="B2994" s="1587">
        <v>33458.0</v>
      </c>
      <c r="C2994" s="1547">
        <v>2678.0</v>
      </c>
      <c r="D2994" s="1548">
        <v>38.9</v>
      </c>
      <c r="E2994" s="1557">
        <v>5418.0</v>
      </c>
      <c r="F2994" s="598">
        <v>24811.0</v>
      </c>
      <c r="G2994" s="598">
        <v>141.0</v>
      </c>
      <c r="H2994" s="598">
        <v>339.0</v>
      </c>
      <c r="I2994" s="598">
        <v>32.0</v>
      </c>
      <c r="J2994" s="598">
        <v>1142.0</v>
      </c>
      <c r="K2994" s="1561">
        <v>1575.0</v>
      </c>
      <c r="L2994" s="1551">
        <v>37049.0</v>
      </c>
    </row>
    <row r="2995">
      <c r="A2995" s="1545" t="s">
        <v>4214</v>
      </c>
      <c r="B2995" s="1587">
        <v>12460.0</v>
      </c>
      <c r="C2995" s="1563">
        <v>145.0</v>
      </c>
      <c r="D2995" s="1548">
        <v>5.4</v>
      </c>
      <c r="E2995" s="1557">
        <v>11059.0</v>
      </c>
      <c r="F2995" s="598">
        <v>120.0</v>
      </c>
      <c r="G2995" s="598">
        <v>41.0</v>
      </c>
      <c r="H2995" s="598">
        <v>264.0</v>
      </c>
      <c r="I2995" s="598">
        <v>7.0</v>
      </c>
      <c r="J2995" s="598">
        <v>133.0</v>
      </c>
      <c r="K2995" s="1561">
        <v>836.0</v>
      </c>
      <c r="L2995" s="1638">
        <v>96057.0</v>
      </c>
    </row>
    <row r="2996">
      <c r="A2996" s="1545" t="s">
        <v>4215</v>
      </c>
      <c r="B2996" s="1587">
        <v>97915.0</v>
      </c>
      <c r="C2996" s="1547">
        <v>6232.0</v>
      </c>
      <c r="D2996" s="1548">
        <v>29.1</v>
      </c>
      <c r="E2996" s="1557">
        <v>35892.0</v>
      </c>
      <c r="F2996" s="598">
        <v>52214.0</v>
      </c>
      <c r="G2996" s="598">
        <v>427.0</v>
      </c>
      <c r="H2996" s="598">
        <v>1285.0</v>
      </c>
      <c r="I2996" s="598">
        <v>141.0</v>
      </c>
      <c r="J2996" s="598">
        <v>1738.0</v>
      </c>
      <c r="K2996" s="1561">
        <v>6218.0</v>
      </c>
      <c r="L2996" s="1638">
        <v>47343.0</v>
      </c>
    </row>
    <row r="2997">
      <c r="A2997" s="1545" t="s">
        <v>2298</v>
      </c>
      <c r="B2997" s="1587">
        <v>16070.0</v>
      </c>
      <c r="C2997" s="1563">
        <v>403.0</v>
      </c>
      <c r="D2997" s="1548">
        <v>18.0</v>
      </c>
      <c r="E2997" s="1557">
        <v>12280.0</v>
      </c>
      <c r="F2997" s="598">
        <v>2182.0</v>
      </c>
      <c r="G2997" s="598">
        <v>40.0</v>
      </c>
      <c r="H2997" s="598">
        <v>217.0</v>
      </c>
      <c r="I2997" s="598">
        <v>6.0</v>
      </c>
      <c r="J2997" s="598">
        <v>488.0</v>
      </c>
      <c r="K2997" s="1561">
        <v>857.0</v>
      </c>
      <c r="L2997" s="1638">
        <v>39254.0</v>
      </c>
    </row>
    <row r="2998">
      <c r="A2998" s="1545" t="s">
        <v>2299</v>
      </c>
      <c r="B2998" s="1587">
        <v>226610.0</v>
      </c>
      <c r="C2998" s="1547">
        <v>13549.0</v>
      </c>
      <c r="D2998" s="1548">
        <v>34.5</v>
      </c>
      <c r="E2998" s="1557">
        <v>98140.0</v>
      </c>
      <c r="F2998" s="598">
        <v>91653.0</v>
      </c>
      <c r="G2998" s="598">
        <v>898.0</v>
      </c>
      <c r="H2998" s="598">
        <v>6259.0</v>
      </c>
      <c r="I2998" s="598">
        <v>115.0</v>
      </c>
      <c r="J2998" s="598">
        <v>15441.0</v>
      </c>
      <c r="K2998" s="1561">
        <v>14104.0</v>
      </c>
      <c r="L2998" s="1551">
        <v>48747.0</v>
      </c>
    </row>
    <row r="2999">
      <c r="A2999" s="1545" t="s">
        <v>2300</v>
      </c>
      <c r="B2999" s="1587">
        <v>100011.0</v>
      </c>
      <c r="C2999" s="1547">
        <v>7125.0</v>
      </c>
      <c r="D2999" s="1548">
        <v>32.3</v>
      </c>
      <c r="E2999" s="1557">
        <v>57309.0</v>
      </c>
      <c r="F2999" s="598">
        <v>27470.0</v>
      </c>
      <c r="G2999" s="598">
        <v>419.0</v>
      </c>
      <c r="H2999" s="598">
        <v>2479.0</v>
      </c>
      <c r="I2999" s="598">
        <v>54.0</v>
      </c>
      <c r="J2999" s="598">
        <v>4795.0</v>
      </c>
      <c r="K2999" s="1561">
        <v>7485.0</v>
      </c>
      <c r="L2999" s="1551">
        <v>42715.0</v>
      </c>
    </row>
    <row r="3000">
      <c r="A3000" s="1545" t="s">
        <v>1531</v>
      </c>
      <c r="B3000" s="1587">
        <v>25346.0</v>
      </c>
      <c r="C3000" s="1563">
        <v>596.0</v>
      </c>
      <c r="D3000" s="1548">
        <v>11.9</v>
      </c>
      <c r="E3000" s="1557">
        <v>20923.0</v>
      </c>
      <c r="F3000" s="598">
        <v>1949.0</v>
      </c>
      <c r="G3000" s="598">
        <v>48.0</v>
      </c>
      <c r="H3000" s="598">
        <v>541.0</v>
      </c>
      <c r="I3000" s="598">
        <v>9.0</v>
      </c>
      <c r="J3000" s="598">
        <v>503.0</v>
      </c>
      <c r="K3000" s="1561">
        <v>1373.0</v>
      </c>
      <c r="L3000" s="1551">
        <v>57274.0</v>
      </c>
    </row>
    <row r="3001">
      <c r="A3001" s="1545" t="s">
        <v>4218</v>
      </c>
      <c r="B3001" s="1587">
        <v>25750.0</v>
      </c>
      <c r="C3001" s="1563">
        <v>884.0</v>
      </c>
      <c r="D3001" s="1548">
        <v>19.0</v>
      </c>
      <c r="E3001" s="1557">
        <v>20207.0</v>
      </c>
      <c r="F3001" s="598">
        <v>2935.0</v>
      </c>
      <c r="G3001" s="598">
        <v>84.0</v>
      </c>
      <c r="H3001" s="598">
        <v>323.0</v>
      </c>
      <c r="I3001" s="598">
        <v>12.0</v>
      </c>
      <c r="J3001" s="598">
        <v>466.0</v>
      </c>
      <c r="K3001" s="1561">
        <v>1723.0</v>
      </c>
      <c r="L3001" s="1638">
        <v>47319.0</v>
      </c>
    </row>
    <row r="3002">
      <c r="A3002" s="1545" t="s">
        <v>299</v>
      </c>
      <c r="B3002" s="1587">
        <v>94324.0</v>
      </c>
      <c r="C3002" s="1547">
        <v>3503.0</v>
      </c>
      <c r="D3002" s="1548">
        <v>16.1</v>
      </c>
      <c r="E3002" s="1557">
        <v>44723.0</v>
      </c>
      <c r="F3002" s="598">
        <v>39701.0</v>
      </c>
      <c r="G3002" s="598">
        <v>343.0</v>
      </c>
      <c r="H3002" s="598">
        <v>1708.0</v>
      </c>
      <c r="I3002" s="598">
        <v>74.0</v>
      </c>
      <c r="J3002" s="598">
        <v>1645.0</v>
      </c>
      <c r="K3002" s="1561">
        <v>6130.0</v>
      </c>
      <c r="L3002" s="1638">
        <v>69753.0</v>
      </c>
    </row>
    <row r="3003">
      <c r="A3003" s="1545" t="s">
        <v>4219</v>
      </c>
      <c r="B3003" s="1587">
        <v>459470.0</v>
      </c>
      <c r="C3003" s="1547">
        <v>10176.0</v>
      </c>
      <c r="D3003" s="1548">
        <v>10.4</v>
      </c>
      <c r="E3003" s="1557">
        <v>278956.0</v>
      </c>
      <c r="F3003" s="598">
        <v>85478.0</v>
      </c>
      <c r="G3003" s="598">
        <v>1894.0</v>
      </c>
      <c r="H3003" s="598">
        <v>34305.0</v>
      </c>
      <c r="I3003" s="598">
        <v>756.0</v>
      </c>
      <c r="J3003" s="598">
        <v>13959.0</v>
      </c>
      <c r="K3003" s="1561">
        <v>44122.0</v>
      </c>
      <c r="L3003" s="1638">
        <v>76520.0</v>
      </c>
    </row>
    <row r="3004">
      <c r="A3004" s="1545" t="s">
        <v>4220</v>
      </c>
      <c r="B3004" s="1587">
        <v>22196.0</v>
      </c>
      <c r="C3004" s="1547">
        <v>1308.0</v>
      </c>
      <c r="D3004" s="1548">
        <v>25.0</v>
      </c>
      <c r="E3004" s="1557">
        <v>16562.0</v>
      </c>
      <c r="F3004" s="598">
        <v>2672.0</v>
      </c>
      <c r="G3004" s="598">
        <v>43.0</v>
      </c>
      <c r="H3004" s="598">
        <v>260.0</v>
      </c>
      <c r="I3004" s="598">
        <v>26.0</v>
      </c>
      <c r="J3004" s="598">
        <v>940.0</v>
      </c>
      <c r="K3004" s="1561">
        <v>1693.0</v>
      </c>
      <c r="L3004" s="1638">
        <v>47117.0</v>
      </c>
    </row>
    <row r="3005">
      <c r="A3005" s="1545" t="s">
        <v>1839</v>
      </c>
      <c r="B3005" s="1587">
        <v>15425.0</v>
      </c>
      <c r="C3005" s="1563">
        <v>475.0</v>
      </c>
      <c r="D3005" s="1548">
        <v>28.2</v>
      </c>
      <c r="E3005" s="1557">
        <v>7572.0</v>
      </c>
      <c r="F3005" s="598">
        <v>5699.0</v>
      </c>
      <c r="G3005" s="598">
        <v>41.0</v>
      </c>
      <c r="H3005" s="598">
        <v>500.0</v>
      </c>
      <c r="I3005" s="598">
        <v>25.0</v>
      </c>
      <c r="J3005" s="598">
        <v>596.0</v>
      </c>
      <c r="K3005" s="1561">
        <v>992.0</v>
      </c>
      <c r="L3005" s="1637">
        <v>52845.0</v>
      </c>
    </row>
    <row r="3006">
      <c r="A3006" s="1528" t="s">
        <v>3440</v>
      </c>
      <c r="B3006" s="1595">
        <v>28120.0</v>
      </c>
      <c r="C3006" s="1530">
        <v>1358.0</v>
      </c>
      <c r="D3006" s="1567">
        <v>22.0</v>
      </c>
      <c r="E3006" s="1532">
        <v>18336.0</v>
      </c>
      <c r="F3006" s="1533">
        <v>2865.0</v>
      </c>
      <c r="G3006" s="1533">
        <v>255.0</v>
      </c>
      <c r="H3006" s="1533">
        <v>711.0</v>
      </c>
      <c r="I3006" s="1533">
        <v>16.0</v>
      </c>
      <c r="J3006" s="1533">
        <v>3536.0</v>
      </c>
      <c r="K3006" s="1616">
        <v>2401.0</v>
      </c>
      <c r="L3006" s="1617">
        <v>51456.0</v>
      </c>
    </row>
    <row r="3007">
      <c r="A3007" s="1538" t="s">
        <v>119</v>
      </c>
      <c r="B3007" s="1596">
        <v>7705281.0</v>
      </c>
      <c r="C3007" s="1540">
        <v>205912.0</v>
      </c>
      <c r="D3007" s="1571">
        <v>12.6</v>
      </c>
      <c r="E3007" s="1572">
        <v>5130920.0</v>
      </c>
      <c r="F3007" s="1542">
        <v>307565.0</v>
      </c>
      <c r="G3007" s="1542">
        <v>121468.0</v>
      </c>
      <c r="H3007" s="1542">
        <v>730596.0</v>
      </c>
      <c r="I3007" s="1542">
        <v>64933.0</v>
      </c>
      <c r="J3007" s="1542">
        <v>513140.0</v>
      </c>
      <c r="K3007" s="1543">
        <v>836659.0</v>
      </c>
      <c r="L3007" s="1544">
        <v>74023.0</v>
      </c>
    </row>
    <row r="3008">
      <c r="A3008" s="1545" t="s">
        <v>386</v>
      </c>
      <c r="B3008" s="1586">
        <v>20613.0</v>
      </c>
      <c r="C3008" s="1547">
        <v>1415.0</v>
      </c>
      <c r="D3008" s="1548">
        <v>20.4</v>
      </c>
      <c r="E3008" s="1557">
        <v>9164.0</v>
      </c>
      <c r="F3008" s="598">
        <v>41.0</v>
      </c>
      <c r="G3008" s="598">
        <v>439.0</v>
      </c>
      <c r="H3008" s="598">
        <v>135.0</v>
      </c>
      <c r="I3008" s="598">
        <v>13.0</v>
      </c>
      <c r="J3008" s="598">
        <v>7286.0</v>
      </c>
      <c r="K3008" s="1561">
        <v>3535.0</v>
      </c>
      <c r="L3008" s="1551">
        <v>52012.0</v>
      </c>
    </row>
    <row r="3009">
      <c r="A3009" s="1545" t="s">
        <v>2308</v>
      </c>
      <c r="B3009" s="1587">
        <v>22285.0</v>
      </c>
      <c r="C3009" s="1563">
        <v>928.0</v>
      </c>
      <c r="D3009" s="1548">
        <v>20.6</v>
      </c>
      <c r="E3009" s="1557">
        <v>19858.0</v>
      </c>
      <c r="F3009" s="598">
        <v>116.0</v>
      </c>
      <c r="G3009" s="598">
        <v>299.0</v>
      </c>
      <c r="H3009" s="598">
        <v>206.0</v>
      </c>
      <c r="I3009" s="598">
        <v>34.0</v>
      </c>
      <c r="J3009" s="598">
        <v>300.0</v>
      </c>
      <c r="K3009" s="1561">
        <v>1472.0</v>
      </c>
      <c r="L3009" s="1638">
        <v>49776.0</v>
      </c>
    </row>
    <row r="3010">
      <c r="A3010" s="1545" t="s">
        <v>243</v>
      </c>
      <c r="B3010" s="1587">
        <v>206873.0</v>
      </c>
      <c r="C3010" s="1547">
        <v>7184.0</v>
      </c>
      <c r="D3010" s="1548">
        <v>13.5</v>
      </c>
      <c r="E3010" s="1557">
        <v>146087.0</v>
      </c>
      <c r="F3010" s="598">
        <v>2893.0</v>
      </c>
      <c r="G3010" s="598">
        <v>2052.0</v>
      </c>
      <c r="H3010" s="598">
        <v>6397.0</v>
      </c>
      <c r="I3010" s="598">
        <v>607.0</v>
      </c>
      <c r="J3010" s="598">
        <v>24691.0</v>
      </c>
      <c r="K3010" s="1561">
        <v>24146.0</v>
      </c>
      <c r="L3010" s="1638">
        <v>69212.0</v>
      </c>
    </row>
    <row r="3011">
      <c r="A3011" s="1545" t="s">
        <v>2309</v>
      </c>
      <c r="B3011" s="1587">
        <v>79074.0</v>
      </c>
      <c r="C3011" s="1547">
        <v>2614.0</v>
      </c>
      <c r="D3011" s="1548">
        <v>14.8</v>
      </c>
      <c r="E3011" s="1557">
        <v>55289.0</v>
      </c>
      <c r="F3011" s="598">
        <v>296.0</v>
      </c>
      <c r="G3011" s="598">
        <v>817.0</v>
      </c>
      <c r="H3011" s="598">
        <v>809.0</v>
      </c>
      <c r="I3011" s="598">
        <v>124.0</v>
      </c>
      <c r="J3011" s="598">
        <v>13248.0</v>
      </c>
      <c r="K3011" s="1561">
        <v>8491.0</v>
      </c>
      <c r="L3011" s="1638">
        <v>57243.0</v>
      </c>
    </row>
    <row r="3012">
      <c r="A3012" s="1545" t="s">
        <v>2310</v>
      </c>
      <c r="B3012" s="1587">
        <v>77155.0</v>
      </c>
      <c r="C3012" s="1547">
        <v>2612.0</v>
      </c>
      <c r="D3012" s="1548">
        <v>20.6</v>
      </c>
      <c r="E3012" s="1557">
        <v>62450.0</v>
      </c>
      <c r="F3012" s="598">
        <v>615.0</v>
      </c>
      <c r="G3012" s="598">
        <v>4346.0</v>
      </c>
      <c r="H3012" s="598">
        <v>1263.0</v>
      </c>
      <c r="I3012" s="598">
        <v>119.0</v>
      </c>
      <c r="J3012" s="598">
        <v>1676.0</v>
      </c>
      <c r="K3012" s="1561">
        <v>6686.0</v>
      </c>
      <c r="L3012" s="1638">
        <v>57183.0</v>
      </c>
    </row>
    <row r="3013">
      <c r="A3013" s="1545" t="s">
        <v>253</v>
      </c>
      <c r="B3013" s="1587">
        <v>503311.0</v>
      </c>
      <c r="C3013" s="1547">
        <v>12066.0</v>
      </c>
      <c r="D3013" s="1548">
        <v>10.6</v>
      </c>
      <c r="E3013" s="1557">
        <v>379827.0</v>
      </c>
      <c r="F3013" s="598">
        <v>11396.0</v>
      </c>
      <c r="G3013" s="598">
        <v>4835.0</v>
      </c>
      <c r="H3013" s="598">
        <v>24274.0</v>
      </c>
      <c r="I3013" s="598">
        <v>5306.0</v>
      </c>
      <c r="J3013" s="598">
        <v>25402.0</v>
      </c>
      <c r="K3013" s="1561">
        <v>52271.0</v>
      </c>
      <c r="L3013" s="1638">
        <v>73971.0</v>
      </c>
    </row>
    <row r="3014">
      <c r="A3014" s="1545" t="s">
        <v>258</v>
      </c>
      <c r="B3014" s="1587">
        <v>3952.0</v>
      </c>
      <c r="C3014" s="1563">
        <v>142.0</v>
      </c>
      <c r="D3014" s="1548">
        <v>19.0</v>
      </c>
      <c r="E3014" s="1557">
        <v>3442.0</v>
      </c>
      <c r="F3014" s="598">
        <v>11.0</v>
      </c>
      <c r="G3014" s="598">
        <v>50.0</v>
      </c>
      <c r="H3014" s="598">
        <v>23.0</v>
      </c>
      <c r="I3014" s="598">
        <v>1.0</v>
      </c>
      <c r="J3014" s="598">
        <v>118.0</v>
      </c>
      <c r="K3014" s="1561">
        <v>307.0</v>
      </c>
      <c r="L3014" s="1551">
        <v>53700.0</v>
      </c>
    </row>
    <row r="3015">
      <c r="A3015" s="1545" t="s">
        <v>2311</v>
      </c>
      <c r="B3015" s="1587">
        <v>110730.0</v>
      </c>
      <c r="C3015" s="1547">
        <v>4312.0</v>
      </c>
      <c r="D3015" s="1548">
        <v>17.6</v>
      </c>
      <c r="E3015" s="1557">
        <v>90812.0</v>
      </c>
      <c r="F3015" s="598">
        <v>820.0</v>
      </c>
      <c r="G3015" s="598">
        <v>1720.0</v>
      </c>
      <c r="H3015" s="598">
        <v>1772.0</v>
      </c>
      <c r="I3015" s="598">
        <v>668.0</v>
      </c>
      <c r="J3015" s="598">
        <v>4744.0</v>
      </c>
      <c r="K3015" s="1561">
        <v>10194.0</v>
      </c>
      <c r="L3015" s="1551">
        <v>58624.0</v>
      </c>
    </row>
    <row r="3016">
      <c r="A3016" s="1545" t="s">
        <v>412</v>
      </c>
      <c r="B3016" s="1587">
        <v>42938.0</v>
      </c>
      <c r="C3016" s="1547">
        <v>1662.0</v>
      </c>
      <c r="D3016" s="1548">
        <v>15.2</v>
      </c>
      <c r="E3016" s="1557">
        <v>27842.0</v>
      </c>
      <c r="F3016" s="598">
        <v>150.0</v>
      </c>
      <c r="G3016" s="598">
        <v>673.0</v>
      </c>
      <c r="H3016" s="598">
        <v>412.0</v>
      </c>
      <c r="I3016" s="598">
        <v>62.0</v>
      </c>
      <c r="J3016" s="598">
        <v>7685.0</v>
      </c>
      <c r="K3016" s="1561">
        <v>6114.0</v>
      </c>
      <c r="L3016" s="1551">
        <v>65912.0</v>
      </c>
    </row>
    <row r="3017">
      <c r="A3017" s="1545" t="s">
        <v>2312</v>
      </c>
      <c r="B3017" s="1587">
        <v>7178.0</v>
      </c>
      <c r="C3017" s="1563">
        <v>321.0</v>
      </c>
      <c r="D3017" s="1548">
        <v>24.7</v>
      </c>
      <c r="E3017" s="1557">
        <v>5118.0</v>
      </c>
      <c r="F3017" s="598">
        <v>28.0</v>
      </c>
      <c r="G3017" s="598">
        <v>1309.0</v>
      </c>
      <c r="H3017" s="598">
        <v>46.0</v>
      </c>
      <c r="I3017" s="598">
        <v>11.0</v>
      </c>
      <c r="J3017" s="598">
        <v>90.0</v>
      </c>
      <c r="K3017" s="1561">
        <v>576.0</v>
      </c>
      <c r="L3017" s="1638">
        <v>40468.0</v>
      </c>
    </row>
    <row r="3018">
      <c r="A3018" s="1545" t="s">
        <v>136</v>
      </c>
      <c r="B3018" s="1587">
        <v>96749.0</v>
      </c>
      <c r="C3018" s="1547">
        <v>5012.0</v>
      </c>
      <c r="D3018" s="1548">
        <v>16.7</v>
      </c>
      <c r="E3018" s="1557">
        <v>45837.0</v>
      </c>
      <c r="F3018" s="598">
        <v>1790.0</v>
      </c>
      <c r="G3018" s="598">
        <v>1403.0</v>
      </c>
      <c r="H3018" s="598">
        <v>1904.0</v>
      </c>
      <c r="I3018" s="598">
        <v>232.0</v>
      </c>
      <c r="J3018" s="598">
        <v>29459.0</v>
      </c>
      <c r="K3018" s="1561">
        <v>16124.0</v>
      </c>
      <c r="L3018" s="1638">
        <v>60483.0</v>
      </c>
    </row>
    <row r="3019">
      <c r="A3019" s="1545" t="s">
        <v>417</v>
      </c>
      <c r="B3019" s="1587">
        <v>2286.0</v>
      </c>
      <c r="C3019" s="1563">
        <v>86.0</v>
      </c>
      <c r="D3019" s="1548">
        <v>18.0</v>
      </c>
      <c r="E3019" s="1557">
        <v>2098.0</v>
      </c>
      <c r="F3019" s="598">
        <v>9.0</v>
      </c>
      <c r="G3019" s="598">
        <v>18.0</v>
      </c>
      <c r="H3019" s="598">
        <v>11.0</v>
      </c>
      <c r="I3019" s="598">
        <v>0.0</v>
      </c>
      <c r="J3019" s="598">
        <v>28.0</v>
      </c>
      <c r="K3019" s="1561">
        <v>122.0</v>
      </c>
      <c r="L3019" s="1638">
        <v>50185.0</v>
      </c>
    </row>
    <row r="3020">
      <c r="A3020" s="1545" t="s">
        <v>278</v>
      </c>
      <c r="B3020" s="1587">
        <v>99123.0</v>
      </c>
      <c r="C3020" s="1547">
        <v>4624.0</v>
      </c>
      <c r="D3020" s="1548">
        <v>16.5</v>
      </c>
      <c r="E3020" s="1557">
        <v>57433.0</v>
      </c>
      <c r="F3020" s="598">
        <v>782.0</v>
      </c>
      <c r="G3020" s="598">
        <v>1660.0</v>
      </c>
      <c r="H3020" s="598">
        <v>1202.0</v>
      </c>
      <c r="I3020" s="598">
        <v>104.0</v>
      </c>
      <c r="J3020" s="598">
        <v>24733.0</v>
      </c>
      <c r="K3020" s="1561">
        <v>13209.0</v>
      </c>
      <c r="L3020" s="1638">
        <v>53688.0</v>
      </c>
    </row>
    <row r="3021">
      <c r="A3021" s="1545" t="s">
        <v>2313</v>
      </c>
      <c r="B3021" s="1587">
        <v>75636.0</v>
      </c>
      <c r="C3021" s="1547">
        <v>3506.0</v>
      </c>
      <c r="D3021" s="1548">
        <v>23.8</v>
      </c>
      <c r="E3021" s="1557">
        <v>59052.0</v>
      </c>
      <c r="F3021" s="598">
        <v>1026.0</v>
      </c>
      <c r="G3021" s="598">
        <v>3876.0</v>
      </c>
      <c r="H3021" s="598">
        <v>1050.0</v>
      </c>
      <c r="I3021" s="598">
        <v>134.0</v>
      </c>
      <c r="J3021" s="598">
        <v>3668.0</v>
      </c>
      <c r="K3021" s="1561">
        <v>6830.0</v>
      </c>
      <c r="L3021" s="1551">
        <v>48763.0</v>
      </c>
    </row>
    <row r="3022">
      <c r="A3022" s="1545" t="s">
        <v>2314</v>
      </c>
      <c r="B3022" s="1587">
        <v>86857.0</v>
      </c>
      <c r="C3022" s="1547">
        <v>1460.0</v>
      </c>
      <c r="D3022" s="1548">
        <v>9.7</v>
      </c>
      <c r="E3022" s="1557">
        <v>67928.0</v>
      </c>
      <c r="F3022" s="598">
        <v>2399.0</v>
      </c>
      <c r="G3022" s="598">
        <v>717.0</v>
      </c>
      <c r="H3022" s="598">
        <v>4019.0</v>
      </c>
      <c r="I3022" s="598">
        <v>440.0</v>
      </c>
      <c r="J3022" s="598">
        <v>2346.0</v>
      </c>
      <c r="K3022" s="1561">
        <v>9008.0</v>
      </c>
      <c r="L3022" s="1551">
        <v>65987.0</v>
      </c>
    </row>
    <row r="3023">
      <c r="A3023" s="1545" t="s">
        <v>143</v>
      </c>
      <c r="B3023" s="1587">
        <v>32977.0</v>
      </c>
      <c r="C3023" s="1563">
        <v>792.0</v>
      </c>
      <c r="D3023" s="1548">
        <v>21.6</v>
      </c>
      <c r="E3023" s="1557">
        <v>28588.0</v>
      </c>
      <c r="F3023" s="598">
        <v>207.0</v>
      </c>
      <c r="G3023" s="598">
        <v>565.0</v>
      </c>
      <c r="H3023" s="598">
        <v>497.0</v>
      </c>
      <c r="I3023" s="598">
        <v>50.0</v>
      </c>
      <c r="J3023" s="598">
        <v>518.0</v>
      </c>
      <c r="K3023" s="1561">
        <v>2552.0</v>
      </c>
      <c r="L3023" s="1638">
        <v>55893.0</v>
      </c>
    </row>
    <row r="3024">
      <c r="A3024" s="1545" t="s">
        <v>255</v>
      </c>
      <c r="B3024" s="1587">
        <v>2269675.0</v>
      </c>
      <c r="C3024" s="1547">
        <v>48440.0</v>
      </c>
      <c r="D3024" s="1548">
        <v>10.8</v>
      </c>
      <c r="E3024" s="1557">
        <v>1273054.0</v>
      </c>
      <c r="F3024" s="598">
        <v>151468.0</v>
      </c>
      <c r="G3024" s="598">
        <v>19073.0</v>
      </c>
      <c r="H3024" s="598">
        <v>452475.0</v>
      </c>
      <c r="I3024" s="598">
        <v>20022.0</v>
      </c>
      <c r="J3024" s="598">
        <v>117830.0</v>
      </c>
      <c r="K3024" s="1561">
        <v>235753.0</v>
      </c>
      <c r="L3024" s="1638">
        <v>94822.0</v>
      </c>
    </row>
    <row r="3025">
      <c r="A3025" s="1545" t="s">
        <v>2315</v>
      </c>
      <c r="B3025" s="1587">
        <v>275611.0</v>
      </c>
      <c r="C3025" s="1547">
        <v>6198.0</v>
      </c>
      <c r="D3025" s="1548">
        <v>11.5</v>
      </c>
      <c r="E3025" s="1557">
        <v>206398.0</v>
      </c>
      <c r="F3025" s="598">
        <v>7835.0</v>
      </c>
      <c r="G3025" s="598">
        <v>4306.0</v>
      </c>
      <c r="H3025" s="598">
        <v>14412.0</v>
      </c>
      <c r="I3025" s="598">
        <v>2969.0</v>
      </c>
      <c r="J3025" s="598">
        <v>8057.0</v>
      </c>
      <c r="K3025" s="1561">
        <v>31634.0</v>
      </c>
      <c r="L3025" s="1551">
        <v>76530.0</v>
      </c>
    </row>
    <row r="3026">
      <c r="A3026" s="1545" t="s">
        <v>2316</v>
      </c>
      <c r="B3026" s="1587">
        <v>44337.0</v>
      </c>
      <c r="C3026" s="1547">
        <v>1014.0</v>
      </c>
      <c r="D3026" s="1548">
        <v>12.8</v>
      </c>
      <c r="E3026" s="1557">
        <v>36479.0</v>
      </c>
      <c r="F3026" s="598">
        <v>402.0</v>
      </c>
      <c r="G3026" s="598">
        <v>539.0</v>
      </c>
      <c r="H3026" s="598">
        <v>931.0</v>
      </c>
      <c r="I3026" s="598">
        <v>93.0</v>
      </c>
      <c r="J3026" s="598">
        <v>2191.0</v>
      </c>
      <c r="K3026" s="1561">
        <v>3702.0</v>
      </c>
      <c r="L3026" s="1551">
        <v>55624.0</v>
      </c>
    </row>
    <row r="3027">
      <c r="A3027" s="1545" t="s">
        <v>2317</v>
      </c>
      <c r="B3027" s="1587">
        <v>22735.0</v>
      </c>
      <c r="C3027" s="1563">
        <v>751.0</v>
      </c>
      <c r="D3027" s="1548">
        <v>18.1</v>
      </c>
      <c r="E3027" s="1557">
        <v>18271.0</v>
      </c>
      <c r="F3027" s="598">
        <v>64.0</v>
      </c>
      <c r="G3027" s="598">
        <v>550.0</v>
      </c>
      <c r="H3027" s="598">
        <v>145.0</v>
      </c>
      <c r="I3027" s="598">
        <v>42.0</v>
      </c>
      <c r="J3027" s="598">
        <v>1571.0</v>
      </c>
      <c r="K3027" s="1561">
        <v>2092.0</v>
      </c>
      <c r="L3027" s="1638">
        <v>56503.0</v>
      </c>
    </row>
    <row r="3028">
      <c r="A3028" s="1545" t="s">
        <v>682</v>
      </c>
      <c r="B3028" s="1587">
        <v>82149.0</v>
      </c>
      <c r="C3028" s="1547">
        <v>2801.0</v>
      </c>
      <c r="D3028" s="1548">
        <v>16.9</v>
      </c>
      <c r="E3028" s="1557">
        <v>67825.0</v>
      </c>
      <c r="F3028" s="598">
        <v>564.0</v>
      </c>
      <c r="G3028" s="598">
        <v>1190.0</v>
      </c>
      <c r="H3028" s="598">
        <v>824.0</v>
      </c>
      <c r="I3028" s="598">
        <v>158.0</v>
      </c>
      <c r="J3028" s="598">
        <v>4223.0</v>
      </c>
      <c r="K3028" s="1561">
        <v>7365.0</v>
      </c>
      <c r="L3028" s="1551">
        <v>57019.0</v>
      </c>
    </row>
    <row r="3029">
      <c r="A3029" s="1545" t="s">
        <v>290</v>
      </c>
      <c r="B3029" s="1587">
        <v>10876.0</v>
      </c>
      <c r="C3029" s="1563">
        <v>382.0</v>
      </c>
      <c r="D3029" s="1548">
        <v>16.5</v>
      </c>
      <c r="E3029" s="1557">
        <v>9704.0</v>
      </c>
      <c r="F3029" s="598">
        <v>21.0</v>
      </c>
      <c r="G3029" s="598">
        <v>225.0</v>
      </c>
      <c r="H3029" s="598">
        <v>73.0</v>
      </c>
      <c r="I3029" s="598">
        <v>14.0</v>
      </c>
      <c r="J3029" s="598">
        <v>129.0</v>
      </c>
      <c r="K3029" s="1561">
        <v>710.0</v>
      </c>
      <c r="L3029" s="1638">
        <v>53326.0</v>
      </c>
    </row>
    <row r="3030">
      <c r="A3030" s="1545" t="s">
        <v>735</v>
      </c>
      <c r="B3030" s="1587">
        <v>65726.0</v>
      </c>
      <c r="C3030" s="1547">
        <v>2798.0</v>
      </c>
      <c r="D3030" s="1548">
        <v>22.8</v>
      </c>
      <c r="E3030" s="1557">
        <v>51023.0</v>
      </c>
      <c r="F3030" s="598">
        <v>713.0</v>
      </c>
      <c r="G3030" s="598">
        <v>2632.0</v>
      </c>
      <c r="H3030" s="598">
        <v>783.0</v>
      </c>
      <c r="I3030" s="598">
        <v>224.0</v>
      </c>
      <c r="J3030" s="598">
        <v>3809.0</v>
      </c>
      <c r="K3030" s="1561">
        <v>6542.0</v>
      </c>
      <c r="L3030" s="1551">
        <v>58239.0</v>
      </c>
    </row>
    <row r="3031">
      <c r="A3031" s="1545" t="s">
        <v>2318</v>
      </c>
      <c r="B3031" s="1587">
        <v>42104.0</v>
      </c>
      <c r="C3031" s="1547">
        <v>2467.0</v>
      </c>
      <c r="D3031" s="1548">
        <v>25.9</v>
      </c>
      <c r="E3031" s="1557">
        <v>27606.0</v>
      </c>
      <c r="F3031" s="598">
        <v>168.0</v>
      </c>
      <c r="G3031" s="598">
        <v>4881.0</v>
      </c>
      <c r="H3031" s="598">
        <v>284.0</v>
      </c>
      <c r="I3031" s="598">
        <v>41.0</v>
      </c>
      <c r="J3031" s="598">
        <v>4989.0</v>
      </c>
      <c r="K3031" s="1561">
        <v>4135.0</v>
      </c>
      <c r="L3031" s="1551">
        <v>48345.0</v>
      </c>
    </row>
    <row r="3032">
      <c r="A3032" s="1545" t="s">
        <v>2319</v>
      </c>
      <c r="B3032" s="1587">
        <v>23365.0</v>
      </c>
      <c r="C3032" s="1563">
        <v>707.0</v>
      </c>
      <c r="D3032" s="1548">
        <v>21.0</v>
      </c>
      <c r="E3032" s="1557">
        <v>19104.0</v>
      </c>
      <c r="F3032" s="598">
        <v>101.0</v>
      </c>
      <c r="G3032" s="598">
        <v>554.0</v>
      </c>
      <c r="H3032" s="598">
        <v>463.0</v>
      </c>
      <c r="I3032" s="598">
        <v>47.0</v>
      </c>
      <c r="J3032" s="598">
        <v>1137.0</v>
      </c>
      <c r="K3032" s="1561">
        <v>1959.0</v>
      </c>
      <c r="L3032" s="1551">
        <v>46365.0</v>
      </c>
    </row>
    <row r="3033">
      <c r="A3033" s="1545" t="s">
        <v>2320</v>
      </c>
      <c r="B3033" s="1587">
        <v>13401.0</v>
      </c>
      <c r="C3033" s="1563">
        <v>599.0</v>
      </c>
      <c r="D3033" s="1548">
        <v>23.2</v>
      </c>
      <c r="E3033" s="1557">
        <v>11811.0</v>
      </c>
      <c r="F3033" s="598">
        <v>57.0</v>
      </c>
      <c r="G3033" s="598">
        <v>396.0</v>
      </c>
      <c r="H3033" s="598">
        <v>78.0</v>
      </c>
      <c r="I3033" s="598">
        <v>11.0</v>
      </c>
      <c r="J3033" s="598">
        <v>183.0</v>
      </c>
      <c r="K3033" s="1561">
        <v>865.0</v>
      </c>
      <c r="L3033" s="1638">
        <v>49750.0</v>
      </c>
    </row>
    <row r="3034">
      <c r="A3034" s="1545" t="s">
        <v>473</v>
      </c>
      <c r="B3034" s="1587">
        <v>921130.0</v>
      </c>
      <c r="C3034" s="1547">
        <v>21969.0</v>
      </c>
      <c r="D3034" s="1548">
        <v>10.7</v>
      </c>
      <c r="E3034" s="1557">
        <v>595446.0</v>
      </c>
      <c r="F3034" s="598">
        <v>66006.0</v>
      </c>
      <c r="G3034" s="598">
        <v>12777.0</v>
      </c>
      <c r="H3034" s="598">
        <v>63460.0</v>
      </c>
      <c r="I3034" s="598">
        <v>18844.0</v>
      </c>
      <c r="J3034" s="598">
        <v>48471.0</v>
      </c>
      <c r="K3034" s="1561">
        <v>116126.0</v>
      </c>
      <c r="L3034" s="1551">
        <v>75022.0</v>
      </c>
    </row>
    <row r="3035">
      <c r="A3035" s="1545" t="s">
        <v>457</v>
      </c>
      <c r="B3035" s="1587">
        <v>17788.0</v>
      </c>
      <c r="C3035" s="1563">
        <v>283.0</v>
      </c>
      <c r="D3035" s="1548">
        <v>12.9</v>
      </c>
      <c r="E3035" s="1557">
        <v>15276.0</v>
      </c>
      <c r="F3035" s="598">
        <v>54.0</v>
      </c>
      <c r="G3035" s="598">
        <v>115.0</v>
      </c>
      <c r="H3035" s="598">
        <v>229.0</v>
      </c>
      <c r="I3035" s="598">
        <v>27.0</v>
      </c>
      <c r="J3035" s="598">
        <v>615.0</v>
      </c>
      <c r="K3035" s="1561">
        <v>1472.0</v>
      </c>
      <c r="L3035" s="1638">
        <v>62249.0</v>
      </c>
    </row>
    <row r="3036">
      <c r="A3036" s="1545" t="s">
        <v>2321</v>
      </c>
      <c r="B3036" s="1587">
        <v>129523.0</v>
      </c>
      <c r="C3036" s="1547">
        <v>3391.0</v>
      </c>
      <c r="D3036" s="1548">
        <v>12.4</v>
      </c>
      <c r="E3036" s="1557">
        <v>96540.0</v>
      </c>
      <c r="F3036" s="598">
        <v>888.0</v>
      </c>
      <c r="G3036" s="598">
        <v>2878.0</v>
      </c>
      <c r="H3036" s="598">
        <v>2832.0</v>
      </c>
      <c r="I3036" s="598">
        <v>418.0</v>
      </c>
      <c r="J3036" s="598">
        <v>12238.0</v>
      </c>
      <c r="K3036" s="1561">
        <v>13729.0</v>
      </c>
      <c r="L3036" s="1551">
        <v>70955.0</v>
      </c>
    </row>
    <row r="3037">
      <c r="A3037" s="1545" t="s">
        <v>2322</v>
      </c>
      <c r="B3037" s="1587">
        <v>12036.0</v>
      </c>
      <c r="C3037" s="1563">
        <v>355.0</v>
      </c>
      <c r="D3037" s="1548">
        <v>16.3</v>
      </c>
      <c r="E3037" s="1557">
        <v>10308.0</v>
      </c>
      <c r="F3037" s="598">
        <v>74.0</v>
      </c>
      <c r="G3037" s="598">
        <v>187.0</v>
      </c>
      <c r="H3037" s="598">
        <v>121.0</v>
      </c>
      <c r="I3037" s="598">
        <v>34.0</v>
      </c>
      <c r="J3037" s="598">
        <v>289.0</v>
      </c>
      <c r="K3037" s="1561">
        <v>1023.0</v>
      </c>
      <c r="L3037" s="1638">
        <v>64344.0</v>
      </c>
    </row>
    <row r="3038">
      <c r="A3038" s="1545" t="s">
        <v>507</v>
      </c>
      <c r="B3038" s="1587">
        <v>827957.0</v>
      </c>
      <c r="C3038" s="1547">
        <v>15975.0</v>
      </c>
      <c r="D3038" s="1548">
        <v>8.8</v>
      </c>
      <c r="E3038" s="1557">
        <v>546855.0</v>
      </c>
      <c r="F3038" s="598">
        <v>29293.0</v>
      </c>
      <c r="G3038" s="598">
        <v>10805.0</v>
      </c>
      <c r="H3038" s="598">
        <v>101464.0</v>
      </c>
      <c r="I3038" s="598">
        <v>5016.0</v>
      </c>
      <c r="J3038" s="598">
        <v>45028.0</v>
      </c>
      <c r="K3038" s="1561">
        <v>89496.0</v>
      </c>
      <c r="L3038" s="1638">
        <v>87096.0</v>
      </c>
    </row>
    <row r="3039">
      <c r="A3039" s="1545" t="s">
        <v>2323</v>
      </c>
      <c r="B3039" s="1587">
        <v>539339.0</v>
      </c>
      <c r="C3039" s="1547">
        <v>16565.0</v>
      </c>
      <c r="D3039" s="1548">
        <v>14.8</v>
      </c>
      <c r="E3039" s="1557">
        <v>442952.0</v>
      </c>
      <c r="F3039" s="598">
        <v>10979.0</v>
      </c>
      <c r="G3039" s="598">
        <v>8092.0</v>
      </c>
      <c r="H3039" s="598">
        <v>12654.0</v>
      </c>
      <c r="I3039" s="598">
        <v>4303.0</v>
      </c>
      <c r="J3039" s="598">
        <v>11999.0</v>
      </c>
      <c r="K3039" s="1561">
        <v>48360.0</v>
      </c>
      <c r="L3039" s="1551">
        <v>59408.0</v>
      </c>
    </row>
    <row r="3040">
      <c r="A3040" s="1545" t="s">
        <v>1015</v>
      </c>
      <c r="B3040" s="1587">
        <v>46445.0</v>
      </c>
      <c r="C3040" s="1547">
        <v>1855.0</v>
      </c>
      <c r="D3040" s="1548">
        <v>19.4</v>
      </c>
      <c r="E3040" s="1557">
        <v>39313.0</v>
      </c>
      <c r="F3040" s="598">
        <v>149.0</v>
      </c>
      <c r="G3040" s="598">
        <v>2680.0</v>
      </c>
      <c r="H3040" s="598">
        <v>290.0</v>
      </c>
      <c r="I3040" s="598">
        <v>89.0</v>
      </c>
      <c r="J3040" s="598">
        <v>610.0</v>
      </c>
      <c r="K3040" s="1561">
        <v>3314.0</v>
      </c>
      <c r="L3040" s="1638">
        <v>51183.0</v>
      </c>
    </row>
    <row r="3041">
      <c r="A3041" s="1545" t="s">
        <v>1505</v>
      </c>
      <c r="B3041" s="1587">
        <v>294793.0</v>
      </c>
      <c r="C3041" s="1547">
        <v>5989.0</v>
      </c>
      <c r="D3041" s="1548">
        <v>9.9</v>
      </c>
      <c r="E3041" s="1557">
        <v>215798.0</v>
      </c>
      <c r="F3041" s="598">
        <v>9403.0</v>
      </c>
      <c r="G3041" s="598">
        <v>4458.0</v>
      </c>
      <c r="H3041" s="598">
        <v>17268.0</v>
      </c>
      <c r="I3041" s="598">
        <v>3347.0</v>
      </c>
      <c r="J3041" s="598">
        <v>10359.0</v>
      </c>
      <c r="K3041" s="1561">
        <v>34160.0</v>
      </c>
      <c r="L3041" s="1551">
        <v>72400.0</v>
      </c>
    </row>
    <row r="3042">
      <c r="A3042" s="1545" t="s">
        <v>2324</v>
      </c>
      <c r="B3042" s="1587">
        <v>4422.0</v>
      </c>
      <c r="C3042" s="1563">
        <v>148.0</v>
      </c>
      <c r="D3042" s="1548">
        <v>19.8</v>
      </c>
      <c r="E3042" s="1557">
        <v>3884.0</v>
      </c>
      <c r="F3042" s="598">
        <v>22.0</v>
      </c>
      <c r="G3042" s="598">
        <v>61.0</v>
      </c>
      <c r="H3042" s="598">
        <v>44.0</v>
      </c>
      <c r="I3042" s="598">
        <v>3.0</v>
      </c>
      <c r="J3042" s="598">
        <v>53.0</v>
      </c>
      <c r="K3042" s="1561">
        <v>355.0</v>
      </c>
      <c r="L3042" s="1551">
        <v>55692.0</v>
      </c>
    </row>
    <row r="3043">
      <c r="A3043" s="1545" t="s">
        <v>2325</v>
      </c>
      <c r="B3043" s="1587">
        <v>62584.0</v>
      </c>
      <c r="C3043" s="1547">
        <v>1900.0</v>
      </c>
      <c r="D3043" s="1548">
        <v>15.1</v>
      </c>
      <c r="E3043" s="1557">
        <v>45471.0</v>
      </c>
      <c r="F3043" s="598">
        <v>1056.0</v>
      </c>
      <c r="G3043" s="598">
        <v>696.0</v>
      </c>
      <c r="H3043" s="598">
        <v>943.0</v>
      </c>
      <c r="I3043" s="598">
        <v>137.0</v>
      </c>
      <c r="J3043" s="598">
        <v>7087.0</v>
      </c>
      <c r="K3043" s="1561">
        <v>7194.0</v>
      </c>
      <c r="L3043" s="1638">
        <v>57329.0</v>
      </c>
    </row>
    <row r="3044">
      <c r="A3044" s="1545" t="s">
        <v>2326</v>
      </c>
      <c r="B3044" s="1587">
        <v>226847.0</v>
      </c>
      <c r="C3044" s="1547">
        <v>6202.0</v>
      </c>
      <c r="D3044" s="1548">
        <v>14.4</v>
      </c>
      <c r="E3044" s="1557">
        <v>175946.0</v>
      </c>
      <c r="F3044" s="598">
        <v>2347.0</v>
      </c>
      <c r="G3044" s="598">
        <v>6277.0</v>
      </c>
      <c r="H3044" s="598">
        <v>10127.0</v>
      </c>
      <c r="I3044" s="598">
        <v>725.0</v>
      </c>
      <c r="J3044" s="598">
        <v>9692.0</v>
      </c>
      <c r="K3044" s="1561">
        <v>21733.0</v>
      </c>
      <c r="L3044" s="1551">
        <v>62262.0</v>
      </c>
    </row>
    <row r="3045">
      <c r="A3045" s="1545" t="s">
        <v>2327</v>
      </c>
      <c r="B3045" s="1587">
        <v>47973.0</v>
      </c>
      <c r="C3045" s="1563">
        <v>882.0</v>
      </c>
      <c r="D3045" s="1548">
        <v>11.9</v>
      </c>
      <c r="E3045" s="1557">
        <v>36586.0</v>
      </c>
      <c r="F3045" s="598">
        <v>1203.0</v>
      </c>
      <c r="G3045" s="598">
        <v>338.0</v>
      </c>
      <c r="H3045" s="598">
        <v>3646.0</v>
      </c>
      <c r="I3045" s="598">
        <v>155.0</v>
      </c>
      <c r="J3045" s="598">
        <v>1509.0</v>
      </c>
      <c r="K3045" s="1561">
        <v>4536.0</v>
      </c>
      <c r="L3045" s="1637">
        <v>45389.0</v>
      </c>
    </row>
    <row r="3046">
      <c r="A3046" s="1528" t="s">
        <v>2328</v>
      </c>
      <c r="B3046" s="1595">
        <v>256728.0</v>
      </c>
      <c r="C3046" s="1530">
        <v>15504.0</v>
      </c>
      <c r="D3046" s="1567">
        <v>21.2</v>
      </c>
      <c r="E3046" s="1532">
        <v>124445.0</v>
      </c>
      <c r="F3046" s="1533">
        <v>2119.0</v>
      </c>
      <c r="G3046" s="1533">
        <v>12979.0</v>
      </c>
      <c r="H3046" s="1533">
        <v>3030.0</v>
      </c>
      <c r="I3046" s="1533">
        <v>309.0</v>
      </c>
      <c r="J3046" s="1533">
        <v>75079.0</v>
      </c>
      <c r="K3046" s="1616">
        <v>38767.0</v>
      </c>
      <c r="L3046" s="1617">
        <v>51377.0</v>
      </c>
    </row>
    <row r="3047">
      <c r="A3047" s="1538" t="s">
        <v>120</v>
      </c>
      <c r="B3047" s="1596">
        <v>1793716.0</v>
      </c>
      <c r="C3047" s="1540">
        <v>82213.0</v>
      </c>
      <c r="D3047" s="1571">
        <v>23.2</v>
      </c>
      <c r="E3047" s="1572">
        <v>1610749.0</v>
      </c>
      <c r="F3047" s="1542">
        <v>65813.0</v>
      </c>
      <c r="G3047" s="1542">
        <v>3706.0</v>
      </c>
      <c r="H3047" s="1542">
        <v>15109.0</v>
      </c>
      <c r="I3047" s="1542">
        <v>476.0</v>
      </c>
      <c r="J3047" s="1542">
        <v>12919.0</v>
      </c>
      <c r="K3047" s="1543">
        <v>84944.0</v>
      </c>
      <c r="L3047" s="1544">
        <v>44038.0</v>
      </c>
    </row>
    <row r="3048">
      <c r="A3048" s="1545" t="s">
        <v>62</v>
      </c>
      <c r="B3048" s="1586">
        <v>15465.0</v>
      </c>
      <c r="C3048" s="1563">
        <v>850.0</v>
      </c>
      <c r="D3048" s="1548">
        <v>26.8</v>
      </c>
      <c r="E3048" s="1578">
        <v>14460.0</v>
      </c>
      <c r="F3048" s="1634">
        <v>271.0</v>
      </c>
      <c r="G3048" s="1634">
        <v>37.0</v>
      </c>
      <c r="H3048" s="1634">
        <v>32.0</v>
      </c>
      <c r="I3048" s="1634">
        <v>0.0</v>
      </c>
      <c r="J3048" s="1634">
        <v>42.0</v>
      </c>
      <c r="K3048" s="1635">
        <v>623.0</v>
      </c>
      <c r="L3048" s="1638">
        <v>39776.0</v>
      </c>
    </row>
    <row r="3049">
      <c r="A3049" s="1545" t="s">
        <v>1818</v>
      </c>
      <c r="B3049" s="1587">
        <v>122076.0</v>
      </c>
      <c r="C3049" s="1547">
        <v>4235.0</v>
      </c>
      <c r="D3049" s="1548">
        <v>16.0</v>
      </c>
      <c r="E3049" s="1549">
        <v>98281.0</v>
      </c>
      <c r="F3049" s="1593">
        <v>9364.0</v>
      </c>
      <c r="G3049" s="1593">
        <v>407.0</v>
      </c>
      <c r="H3049" s="1593">
        <v>1496.0</v>
      </c>
      <c r="I3049" s="1593">
        <v>52.0</v>
      </c>
      <c r="J3049" s="1593">
        <v>2756.0</v>
      </c>
      <c r="K3049" s="1594">
        <v>9720.0</v>
      </c>
      <c r="L3049" s="1551">
        <v>59619.0</v>
      </c>
    </row>
    <row r="3050">
      <c r="A3050" s="1545" t="s">
        <v>246</v>
      </c>
      <c r="B3050" s="1587">
        <v>21809.0</v>
      </c>
      <c r="C3050" s="1547">
        <v>1259.0</v>
      </c>
      <c r="D3050" s="1548">
        <v>27.6</v>
      </c>
      <c r="E3050" s="1549">
        <v>20780.0</v>
      </c>
      <c r="F3050" s="1593">
        <v>135.0</v>
      </c>
      <c r="G3050" s="1593">
        <v>46.0</v>
      </c>
      <c r="H3050" s="1593">
        <v>36.0</v>
      </c>
      <c r="I3050" s="1593">
        <v>2.0</v>
      </c>
      <c r="J3050" s="1593">
        <v>34.0</v>
      </c>
      <c r="K3050" s="1594">
        <v>776.0</v>
      </c>
      <c r="L3050" s="1551">
        <v>38110.0</v>
      </c>
    </row>
    <row r="3051">
      <c r="A3051" s="1545" t="s">
        <v>2330</v>
      </c>
      <c r="B3051" s="1587">
        <v>12447.0</v>
      </c>
      <c r="C3051" s="1563">
        <v>796.0</v>
      </c>
      <c r="D3051" s="1548">
        <v>29.8</v>
      </c>
      <c r="E3051" s="1549">
        <v>11976.0</v>
      </c>
      <c r="F3051" s="1593">
        <v>50.0</v>
      </c>
      <c r="G3051" s="1593">
        <v>19.0</v>
      </c>
      <c r="H3051" s="1593">
        <v>23.0</v>
      </c>
      <c r="I3051" s="1593">
        <v>11.0</v>
      </c>
      <c r="J3051" s="1593">
        <v>25.0</v>
      </c>
      <c r="K3051" s="1594">
        <v>343.0</v>
      </c>
      <c r="L3051" s="1551">
        <v>39292.0</v>
      </c>
    </row>
    <row r="3052">
      <c r="A3052" s="1545" t="s">
        <v>2331</v>
      </c>
      <c r="B3052" s="1587">
        <v>22559.0</v>
      </c>
      <c r="C3052" s="1563">
        <v>748.0</v>
      </c>
      <c r="D3052" s="1548">
        <v>19.5</v>
      </c>
      <c r="E3052" s="1549">
        <v>20915.0</v>
      </c>
      <c r="F3052" s="1593">
        <v>368.0</v>
      </c>
      <c r="G3052" s="1593">
        <v>39.0</v>
      </c>
      <c r="H3052" s="1593">
        <v>55.0</v>
      </c>
      <c r="I3052" s="1593">
        <v>0.0</v>
      </c>
      <c r="J3052" s="1593">
        <v>108.0</v>
      </c>
      <c r="K3052" s="1594">
        <v>1074.0</v>
      </c>
      <c r="L3052" s="1638">
        <v>48342.0</v>
      </c>
    </row>
    <row r="3053">
      <c r="A3053" s="1545" t="s">
        <v>2332</v>
      </c>
      <c r="B3053" s="1587">
        <v>94350.0</v>
      </c>
      <c r="C3053" s="1547">
        <v>4110.0</v>
      </c>
      <c r="D3053" s="1548">
        <v>23.1</v>
      </c>
      <c r="E3053" s="1557">
        <v>82665.0</v>
      </c>
      <c r="F3053" s="598">
        <v>4811.0</v>
      </c>
      <c r="G3053" s="598">
        <v>209.0</v>
      </c>
      <c r="H3053" s="598">
        <v>1345.0</v>
      </c>
      <c r="I3053" s="598">
        <v>20.0</v>
      </c>
      <c r="J3053" s="598">
        <v>658.0</v>
      </c>
      <c r="K3053" s="1561">
        <v>4642.0</v>
      </c>
      <c r="L3053" s="1551">
        <v>39790.0</v>
      </c>
    </row>
    <row r="3054">
      <c r="A3054" s="1545" t="s">
        <v>93</v>
      </c>
      <c r="B3054" s="1587">
        <v>6229.0</v>
      </c>
      <c r="C3054" s="1563">
        <v>382.0</v>
      </c>
      <c r="D3054" s="1548">
        <v>28.8</v>
      </c>
      <c r="E3054" s="1557">
        <v>6003.0</v>
      </c>
      <c r="F3054" s="598">
        <v>13.0</v>
      </c>
      <c r="G3054" s="598">
        <v>12.0</v>
      </c>
      <c r="H3054" s="598">
        <v>13.0</v>
      </c>
      <c r="I3054" s="598">
        <v>2.0</v>
      </c>
      <c r="J3054" s="598">
        <v>2.0</v>
      </c>
      <c r="K3054" s="1561">
        <v>184.0</v>
      </c>
      <c r="L3054" s="1551">
        <v>36384.0</v>
      </c>
    </row>
    <row r="3055">
      <c r="A3055" s="1545" t="s">
        <v>112</v>
      </c>
      <c r="B3055" s="1587">
        <v>8051.0</v>
      </c>
      <c r="C3055" s="1563">
        <v>609.0</v>
      </c>
      <c r="D3055" s="1548">
        <v>32.7</v>
      </c>
      <c r="E3055" s="1557">
        <v>7671.0</v>
      </c>
      <c r="F3055" s="598">
        <v>13.0</v>
      </c>
      <c r="G3055" s="598">
        <v>29.0</v>
      </c>
      <c r="H3055" s="598">
        <v>16.0</v>
      </c>
      <c r="I3055" s="598">
        <v>0.0</v>
      </c>
      <c r="J3055" s="598">
        <v>1.0</v>
      </c>
      <c r="K3055" s="1561">
        <v>321.0</v>
      </c>
      <c r="L3055" s="1551">
        <v>35983.0</v>
      </c>
    </row>
    <row r="3056">
      <c r="A3056" s="1545" t="s">
        <v>2333</v>
      </c>
      <c r="B3056" s="1587">
        <v>7808.0</v>
      </c>
      <c r="C3056" s="1563">
        <v>304.0</v>
      </c>
      <c r="D3056" s="1548">
        <v>25.2</v>
      </c>
      <c r="E3056" s="1557">
        <v>7304.0</v>
      </c>
      <c r="F3056" s="598">
        <v>174.0</v>
      </c>
      <c r="G3056" s="598">
        <v>18.0</v>
      </c>
      <c r="H3056" s="598">
        <v>15.0</v>
      </c>
      <c r="I3056" s="598">
        <v>0.0</v>
      </c>
      <c r="J3056" s="598">
        <v>35.0</v>
      </c>
      <c r="K3056" s="1561">
        <v>262.0</v>
      </c>
      <c r="L3056" s="1551">
        <v>44725.0</v>
      </c>
    </row>
    <row r="3057">
      <c r="A3057" s="1545" t="s">
        <v>135</v>
      </c>
      <c r="B3057" s="1587">
        <v>40488.0</v>
      </c>
      <c r="C3057" s="1547">
        <v>2476.0</v>
      </c>
      <c r="D3057" s="1548">
        <v>28.5</v>
      </c>
      <c r="E3057" s="1557">
        <v>36483.0</v>
      </c>
      <c r="F3057" s="598">
        <v>1680.0</v>
      </c>
      <c r="G3057" s="598">
        <v>104.0</v>
      </c>
      <c r="H3057" s="598">
        <v>105.0</v>
      </c>
      <c r="I3057" s="598">
        <v>2.0</v>
      </c>
      <c r="J3057" s="598">
        <v>206.0</v>
      </c>
      <c r="K3057" s="1561">
        <v>1908.0</v>
      </c>
      <c r="L3057" s="1551">
        <v>37867.0</v>
      </c>
    </row>
    <row r="3058">
      <c r="A3058" s="1545" t="s">
        <v>579</v>
      </c>
      <c r="B3058" s="1587">
        <v>7408.0</v>
      </c>
      <c r="C3058" s="1563">
        <v>273.0</v>
      </c>
      <c r="D3058" s="1548">
        <v>24.3</v>
      </c>
      <c r="E3058" s="1557">
        <v>6220.0</v>
      </c>
      <c r="F3058" s="598">
        <v>937.0</v>
      </c>
      <c r="G3058" s="598">
        <v>11.0</v>
      </c>
      <c r="H3058" s="598">
        <v>31.0</v>
      </c>
      <c r="I3058" s="598">
        <v>3.0</v>
      </c>
      <c r="J3058" s="598">
        <v>9.0</v>
      </c>
      <c r="K3058" s="1561">
        <v>197.0</v>
      </c>
      <c r="L3058" s="1551">
        <v>38173.0</v>
      </c>
    </row>
    <row r="3059">
      <c r="A3059" s="1545" t="s">
        <v>278</v>
      </c>
      <c r="B3059" s="1587">
        <v>10976.0</v>
      </c>
      <c r="C3059" s="1563">
        <v>463.0</v>
      </c>
      <c r="D3059" s="1548">
        <v>21.1</v>
      </c>
      <c r="E3059" s="1557">
        <v>10489.0</v>
      </c>
      <c r="F3059" s="598">
        <v>85.0</v>
      </c>
      <c r="G3059" s="598">
        <v>21.0</v>
      </c>
      <c r="H3059" s="598">
        <v>24.0</v>
      </c>
      <c r="I3059" s="598">
        <v>0.0</v>
      </c>
      <c r="J3059" s="598">
        <v>54.0</v>
      </c>
      <c r="K3059" s="1561">
        <v>303.0</v>
      </c>
      <c r="L3059" s="1551">
        <v>42146.0</v>
      </c>
    </row>
    <row r="3060">
      <c r="A3060" s="1545" t="s">
        <v>2334</v>
      </c>
      <c r="B3060" s="1587">
        <v>32977.0</v>
      </c>
      <c r="C3060" s="1547">
        <v>1502.0</v>
      </c>
      <c r="D3060" s="1548">
        <v>23.1</v>
      </c>
      <c r="E3060" s="1557">
        <v>30360.0</v>
      </c>
      <c r="F3060" s="598">
        <v>792.0</v>
      </c>
      <c r="G3060" s="598">
        <v>70.0</v>
      </c>
      <c r="H3060" s="598">
        <v>198.0</v>
      </c>
      <c r="I3060" s="598">
        <v>6.0</v>
      </c>
      <c r="J3060" s="598">
        <v>235.0</v>
      </c>
      <c r="K3060" s="1561">
        <v>1316.0</v>
      </c>
      <c r="L3060" s="1551">
        <v>37665.0</v>
      </c>
    </row>
    <row r="3061">
      <c r="A3061" s="1545" t="s">
        <v>1231</v>
      </c>
      <c r="B3061" s="1587">
        <v>23093.0</v>
      </c>
      <c r="C3061" s="1547">
        <v>1258.0</v>
      </c>
      <c r="D3061" s="1548">
        <v>30.3</v>
      </c>
      <c r="E3061" s="1557">
        <v>21775.0</v>
      </c>
      <c r="F3061" s="598">
        <v>188.0</v>
      </c>
      <c r="G3061" s="598">
        <v>35.0</v>
      </c>
      <c r="H3061" s="598">
        <v>61.0</v>
      </c>
      <c r="I3061" s="598">
        <v>4.0</v>
      </c>
      <c r="J3061" s="598">
        <v>153.0</v>
      </c>
      <c r="K3061" s="1561">
        <v>877.0</v>
      </c>
      <c r="L3061" s="1551">
        <v>44442.0</v>
      </c>
    </row>
    <row r="3062">
      <c r="A3062" s="1545" t="s">
        <v>587</v>
      </c>
      <c r="B3062" s="1587">
        <v>29095.0</v>
      </c>
      <c r="C3062" s="1547">
        <v>1044.0</v>
      </c>
      <c r="D3062" s="1548">
        <v>19.5</v>
      </c>
      <c r="E3062" s="1557">
        <v>26661.0</v>
      </c>
      <c r="F3062" s="598">
        <v>703.0</v>
      </c>
      <c r="G3062" s="598">
        <v>36.0</v>
      </c>
      <c r="H3062" s="598">
        <v>110.0</v>
      </c>
      <c r="I3062" s="598">
        <v>9.0</v>
      </c>
      <c r="J3062" s="598">
        <v>126.0</v>
      </c>
      <c r="K3062" s="1561">
        <v>1450.0</v>
      </c>
      <c r="L3062" s="1551">
        <v>47299.0</v>
      </c>
    </row>
    <row r="3063">
      <c r="A3063" s="1545" t="s">
        <v>2335</v>
      </c>
      <c r="B3063" s="1587">
        <v>14299.0</v>
      </c>
      <c r="C3063" s="1563">
        <v>557.0</v>
      </c>
      <c r="D3063" s="1548">
        <v>20.4</v>
      </c>
      <c r="E3063" s="1557">
        <v>12835.0</v>
      </c>
      <c r="F3063" s="598">
        <v>414.0</v>
      </c>
      <c r="G3063" s="598">
        <v>35.0</v>
      </c>
      <c r="H3063" s="598">
        <v>59.0</v>
      </c>
      <c r="I3063" s="598">
        <v>0.0</v>
      </c>
      <c r="J3063" s="598">
        <v>325.0</v>
      </c>
      <c r="K3063" s="1561">
        <v>631.0</v>
      </c>
      <c r="L3063" s="1638">
        <v>43573.0</v>
      </c>
    </row>
    <row r="3064">
      <c r="A3064" s="1545" t="s">
        <v>775</v>
      </c>
      <c r="B3064" s="1587">
        <v>65921.0</v>
      </c>
      <c r="C3064" s="1547">
        <v>3091.0</v>
      </c>
      <c r="D3064" s="1548">
        <v>21.9</v>
      </c>
      <c r="E3064" s="1557">
        <v>60334.0</v>
      </c>
      <c r="F3064" s="598">
        <v>1118.0</v>
      </c>
      <c r="G3064" s="598">
        <v>157.0</v>
      </c>
      <c r="H3064" s="598">
        <v>489.0</v>
      </c>
      <c r="I3064" s="598">
        <v>28.0</v>
      </c>
      <c r="J3064" s="598">
        <v>387.0</v>
      </c>
      <c r="K3064" s="1561">
        <v>3408.0</v>
      </c>
      <c r="L3064" s="1551">
        <v>47942.0</v>
      </c>
    </row>
    <row r="3065">
      <c r="A3065" s="1545" t="s">
        <v>142</v>
      </c>
      <c r="B3065" s="1587">
        <v>27791.0</v>
      </c>
      <c r="C3065" s="1547">
        <v>1393.0</v>
      </c>
      <c r="D3065" s="1548">
        <v>23.3</v>
      </c>
      <c r="E3065" s="1557">
        <v>26516.0</v>
      </c>
      <c r="F3065" s="598">
        <v>101.0</v>
      </c>
      <c r="G3065" s="598">
        <v>46.0</v>
      </c>
      <c r="H3065" s="598">
        <v>91.0</v>
      </c>
      <c r="I3065" s="598">
        <v>2.0</v>
      </c>
      <c r="J3065" s="598">
        <v>127.0</v>
      </c>
      <c r="K3065" s="1561">
        <v>908.0</v>
      </c>
      <c r="L3065" s="1551">
        <v>48731.0</v>
      </c>
    </row>
    <row r="3066">
      <c r="A3066" s="1545" t="s">
        <v>143</v>
      </c>
      <c r="B3066" s="1587">
        <v>57701.0</v>
      </c>
      <c r="C3066" s="1547">
        <v>1378.0</v>
      </c>
      <c r="D3066" s="1548">
        <v>11.2</v>
      </c>
      <c r="E3066" s="1557">
        <v>46825.0</v>
      </c>
      <c r="F3066" s="598">
        <v>3459.0</v>
      </c>
      <c r="G3066" s="598">
        <v>141.0</v>
      </c>
      <c r="H3066" s="598">
        <v>837.0</v>
      </c>
      <c r="I3066" s="598">
        <v>13.0</v>
      </c>
      <c r="J3066" s="598">
        <v>1689.0</v>
      </c>
      <c r="K3066" s="1561">
        <v>4737.0</v>
      </c>
      <c r="L3066" s="1638">
        <v>75027.0</v>
      </c>
    </row>
    <row r="3067">
      <c r="A3067" s="1545" t="s">
        <v>2336</v>
      </c>
      <c r="B3067" s="1587">
        <v>180745.0</v>
      </c>
      <c r="C3067" s="1547">
        <v>9161.0</v>
      </c>
      <c r="D3067" s="1548">
        <v>26.0</v>
      </c>
      <c r="E3067" s="1557">
        <v>153637.0</v>
      </c>
      <c r="F3067" s="598">
        <v>13592.0</v>
      </c>
      <c r="G3067" s="598">
        <v>402.0</v>
      </c>
      <c r="H3067" s="598">
        <v>2149.0</v>
      </c>
      <c r="I3067" s="598">
        <v>51.0</v>
      </c>
      <c r="J3067" s="598">
        <v>1349.0</v>
      </c>
      <c r="K3067" s="1561">
        <v>9565.0</v>
      </c>
      <c r="L3067" s="1551">
        <v>41926.0</v>
      </c>
    </row>
    <row r="3068">
      <c r="A3068" s="1545" t="s">
        <v>682</v>
      </c>
      <c r="B3068" s="1587">
        <v>17033.0</v>
      </c>
      <c r="C3068" s="1563">
        <v>828.0</v>
      </c>
      <c r="D3068" s="1548">
        <v>25.0</v>
      </c>
      <c r="E3068" s="1557">
        <v>16162.0</v>
      </c>
      <c r="F3068" s="598">
        <v>69.0</v>
      </c>
      <c r="G3068" s="598">
        <v>23.0</v>
      </c>
      <c r="H3068" s="598">
        <v>58.0</v>
      </c>
      <c r="I3068" s="598">
        <v>8.0</v>
      </c>
      <c r="J3068" s="598">
        <v>46.0</v>
      </c>
      <c r="K3068" s="1561">
        <v>667.0</v>
      </c>
      <c r="L3068" s="1551">
        <v>40691.0</v>
      </c>
    </row>
    <row r="3069">
      <c r="A3069" s="1545" t="s">
        <v>290</v>
      </c>
      <c r="B3069" s="1587">
        <v>20463.0</v>
      </c>
      <c r="C3069" s="1547">
        <v>1282.0</v>
      </c>
      <c r="D3069" s="1548">
        <v>28.9</v>
      </c>
      <c r="E3069" s="1557">
        <v>19793.0</v>
      </c>
      <c r="F3069" s="598">
        <v>49.0</v>
      </c>
      <c r="G3069" s="598">
        <v>22.0</v>
      </c>
      <c r="H3069" s="598">
        <v>26.0</v>
      </c>
      <c r="I3069" s="598">
        <v>0.0</v>
      </c>
      <c r="J3069" s="598">
        <v>45.0</v>
      </c>
      <c r="K3069" s="1561">
        <v>528.0</v>
      </c>
      <c r="L3069" s="1551">
        <v>39766.0</v>
      </c>
    </row>
    <row r="3070">
      <c r="A3070" s="1545" t="s">
        <v>293</v>
      </c>
      <c r="B3070" s="1587">
        <v>32567.0</v>
      </c>
      <c r="C3070" s="1547">
        <v>2034.0</v>
      </c>
      <c r="D3070" s="1548">
        <v>31.2</v>
      </c>
      <c r="E3070" s="1557">
        <v>30884.0</v>
      </c>
      <c r="F3070" s="598">
        <v>581.0</v>
      </c>
      <c r="G3070" s="598">
        <v>42.0</v>
      </c>
      <c r="H3070" s="598">
        <v>67.0</v>
      </c>
      <c r="I3070" s="598">
        <v>1.0</v>
      </c>
      <c r="J3070" s="598">
        <v>64.0</v>
      </c>
      <c r="K3070" s="1561">
        <v>928.0</v>
      </c>
      <c r="L3070" s="1551">
        <v>34894.0</v>
      </c>
    </row>
    <row r="3071">
      <c r="A3071" s="1545" t="s">
        <v>1614</v>
      </c>
      <c r="B3071" s="1587">
        <v>19111.0</v>
      </c>
      <c r="C3071" s="1547">
        <v>1554.0</v>
      </c>
      <c r="D3071" s="1548">
        <v>42.5</v>
      </c>
      <c r="E3071" s="1557">
        <v>16195.0</v>
      </c>
      <c r="F3071" s="598">
        <v>2163.0</v>
      </c>
      <c r="G3071" s="598">
        <v>22.0</v>
      </c>
      <c r="H3071" s="598">
        <v>20.0</v>
      </c>
      <c r="I3071" s="598">
        <v>4.0</v>
      </c>
      <c r="J3071" s="598">
        <v>56.0</v>
      </c>
      <c r="K3071" s="1561">
        <v>651.0</v>
      </c>
      <c r="L3071" s="1551">
        <v>27292.0</v>
      </c>
    </row>
    <row r="3072">
      <c r="A3072" s="1545" t="s">
        <v>153</v>
      </c>
      <c r="B3072" s="1587">
        <v>56205.0</v>
      </c>
      <c r="C3072" s="1547">
        <v>2590.0</v>
      </c>
      <c r="D3072" s="1548">
        <v>23.7</v>
      </c>
      <c r="E3072" s="1557">
        <v>50578.0</v>
      </c>
      <c r="F3072" s="598">
        <v>1867.0</v>
      </c>
      <c r="G3072" s="598">
        <v>139.0</v>
      </c>
      <c r="H3072" s="598">
        <v>256.0</v>
      </c>
      <c r="I3072" s="598">
        <v>43.0</v>
      </c>
      <c r="J3072" s="598">
        <v>200.0</v>
      </c>
      <c r="K3072" s="1561">
        <v>3122.0</v>
      </c>
      <c r="L3072" s="1551">
        <v>46244.0</v>
      </c>
    </row>
    <row r="3073">
      <c r="A3073" s="1545" t="s">
        <v>154</v>
      </c>
      <c r="B3073" s="1587">
        <v>30591.0</v>
      </c>
      <c r="C3073" s="1547">
        <v>1116.0</v>
      </c>
      <c r="D3073" s="1548">
        <v>19.3</v>
      </c>
      <c r="E3073" s="1557">
        <v>28797.0</v>
      </c>
      <c r="F3073" s="598">
        <v>264.0</v>
      </c>
      <c r="G3073" s="598">
        <v>39.0</v>
      </c>
      <c r="H3073" s="598">
        <v>108.0</v>
      </c>
      <c r="I3073" s="598">
        <v>7.0</v>
      </c>
      <c r="J3073" s="598">
        <v>129.0</v>
      </c>
      <c r="K3073" s="1561">
        <v>1247.0</v>
      </c>
      <c r="L3073" s="1551">
        <v>50064.0</v>
      </c>
    </row>
    <row r="3074">
      <c r="A3074" s="1545" t="s">
        <v>735</v>
      </c>
      <c r="B3074" s="1587">
        <v>25453.0</v>
      </c>
      <c r="C3074" s="1547">
        <v>1305.0</v>
      </c>
      <c r="D3074" s="1548">
        <v>23.9</v>
      </c>
      <c r="E3074" s="1557">
        <v>24401.0</v>
      </c>
      <c r="F3074" s="598">
        <v>193.0</v>
      </c>
      <c r="G3074" s="598">
        <v>39.0</v>
      </c>
      <c r="H3074" s="598">
        <v>83.0</v>
      </c>
      <c r="I3074" s="598">
        <v>5.0</v>
      </c>
      <c r="J3074" s="598">
        <v>40.0</v>
      </c>
      <c r="K3074" s="1561">
        <v>692.0</v>
      </c>
      <c r="L3074" s="1551">
        <v>43050.0</v>
      </c>
    </row>
    <row r="3075">
      <c r="A3075" s="1545" t="s">
        <v>738</v>
      </c>
      <c r="B3075" s="1587">
        <v>59664.0</v>
      </c>
      <c r="C3075" s="1547">
        <v>4159.0</v>
      </c>
      <c r="D3075" s="1548">
        <v>34.9</v>
      </c>
      <c r="E3075" s="1557">
        <v>52554.0</v>
      </c>
      <c r="F3075" s="598">
        <v>3720.0</v>
      </c>
      <c r="G3075" s="598">
        <v>176.0</v>
      </c>
      <c r="H3075" s="598">
        <v>296.0</v>
      </c>
      <c r="I3075" s="598">
        <v>7.0</v>
      </c>
      <c r="J3075" s="598">
        <v>266.0</v>
      </c>
      <c r="K3075" s="1561">
        <v>2645.0</v>
      </c>
      <c r="L3075" s="1551">
        <v>37860.0</v>
      </c>
    </row>
    <row r="3076">
      <c r="A3076" s="1545" t="s">
        <v>435</v>
      </c>
      <c r="B3076" s="1587">
        <v>26938.0</v>
      </c>
      <c r="C3076" s="1547">
        <v>1052.0</v>
      </c>
      <c r="D3076" s="1548">
        <v>20.2</v>
      </c>
      <c r="E3076" s="1557">
        <v>24734.0</v>
      </c>
      <c r="F3076" s="598">
        <v>723.0</v>
      </c>
      <c r="G3076" s="598">
        <v>41.0</v>
      </c>
      <c r="H3076" s="598">
        <v>117.0</v>
      </c>
      <c r="I3076" s="598">
        <v>5.0</v>
      </c>
      <c r="J3076" s="598">
        <v>104.0</v>
      </c>
      <c r="K3076" s="1561">
        <v>1214.0</v>
      </c>
      <c r="L3076" s="1551">
        <v>48578.0</v>
      </c>
    </row>
    <row r="3077">
      <c r="A3077" s="1545" t="s">
        <v>2337</v>
      </c>
      <c r="B3077" s="1587">
        <v>23568.0</v>
      </c>
      <c r="C3077" s="1547">
        <v>1894.0</v>
      </c>
      <c r="D3077" s="1548">
        <v>36.5</v>
      </c>
      <c r="E3077" s="1557">
        <v>22383.0</v>
      </c>
      <c r="F3077" s="598">
        <v>409.0</v>
      </c>
      <c r="G3077" s="598">
        <v>36.0</v>
      </c>
      <c r="H3077" s="598">
        <v>32.0</v>
      </c>
      <c r="I3077" s="598">
        <v>0.0</v>
      </c>
      <c r="J3077" s="598">
        <v>47.0</v>
      </c>
      <c r="K3077" s="1561">
        <v>661.0</v>
      </c>
      <c r="L3077" s="1638">
        <v>32917.0</v>
      </c>
    </row>
    <row r="3078">
      <c r="A3078" s="1545" t="s">
        <v>2338</v>
      </c>
      <c r="B3078" s="1587">
        <v>105822.0</v>
      </c>
      <c r="C3078" s="1547">
        <v>2355.0</v>
      </c>
      <c r="D3078" s="1548">
        <v>13.9</v>
      </c>
      <c r="E3078" s="1557">
        <v>90012.0</v>
      </c>
      <c r="F3078" s="598">
        <v>4160.0</v>
      </c>
      <c r="G3078" s="598">
        <v>185.0</v>
      </c>
      <c r="H3078" s="598">
        <v>3755.0</v>
      </c>
      <c r="I3078" s="598">
        <v>71.0</v>
      </c>
      <c r="J3078" s="598">
        <v>1157.0</v>
      </c>
      <c r="K3078" s="1561">
        <v>6482.0</v>
      </c>
      <c r="L3078" s="1551">
        <v>51070.0</v>
      </c>
    </row>
    <row r="3079">
      <c r="A3079" s="1545" t="s">
        <v>156</v>
      </c>
      <c r="B3079" s="1587">
        <v>12376.0</v>
      </c>
      <c r="C3079" s="1563">
        <v>572.0</v>
      </c>
      <c r="D3079" s="1548">
        <v>22.4</v>
      </c>
      <c r="E3079" s="1557">
        <v>11771.0</v>
      </c>
      <c r="F3079" s="598">
        <v>113.0</v>
      </c>
      <c r="G3079" s="598">
        <v>28.0</v>
      </c>
      <c r="H3079" s="598">
        <v>11.0</v>
      </c>
      <c r="I3079" s="598">
        <v>0.0</v>
      </c>
      <c r="J3079" s="598">
        <v>53.0</v>
      </c>
      <c r="K3079" s="1561">
        <v>400.0</v>
      </c>
      <c r="L3079" s="1551">
        <v>38171.0</v>
      </c>
    </row>
    <row r="3080">
      <c r="A3080" s="1545" t="s">
        <v>158</v>
      </c>
      <c r="B3080" s="1587">
        <v>17063.0</v>
      </c>
      <c r="C3080" s="1563">
        <v>580.0</v>
      </c>
      <c r="D3080" s="1548">
        <v>18.6</v>
      </c>
      <c r="E3080" s="1557">
        <v>15985.0</v>
      </c>
      <c r="F3080" s="598">
        <v>112.0</v>
      </c>
      <c r="G3080" s="598">
        <v>40.0</v>
      </c>
      <c r="H3080" s="598">
        <v>83.0</v>
      </c>
      <c r="I3080" s="598">
        <v>0.0</v>
      </c>
      <c r="J3080" s="598">
        <v>82.0</v>
      </c>
      <c r="K3080" s="1561">
        <v>761.0</v>
      </c>
      <c r="L3080" s="1551">
        <v>49487.0</v>
      </c>
    </row>
    <row r="3081">
      <c r="A3081" s="1545" t="s">
        <v>1126</v>
      </c>
      <c r="B3081" s="1587">
        <v>24604.0</v>
      </c>
      <c r="C3081" s="1547">
        <v>1284.0</v>
      </c>
      <c r="D3081" s="1548">
        <v>25.8</v>
      </c>
      <c r="E3081" s="1557">
        <v>23603.0</v>
      </c>
      <c r="F3081" s="598">
        <v>61.0</v>
      </c>
      <c r="G3081" s="598">
        <v>45.0</v>
      </c>
      <c r="H3081" s="598">
        <v>74.0</v>
      </c>
      <c r="I3081" s="598">
        <v>7.0</v>
      </c>
      <c r="J3081" s="598">
        <v>38.0</v>
      </c>
      <c r="K3081" s="1561">
        <v>776.0</v>
      </c>
      <c r="L3081" s="1551">
        <v>38572.0</v>
      </c>
    </row>
    <row r="3082">
      <c r="A3082" s="1545" t="s">
        <v>100</v>
      </c>
      <c r="B3082" s="1587">
        <v>42425.0</v>
      </c>
      <c r="C3082" s="1547">
        <v>1350.0</v>
      </c>
      <c r="D3082" s="1548">
        <v>17.5</v>
      </c>
      <c r="E3082" s="1557">
        <v>37769.0</v>
      </c>
      <c r="F3082" s="598">
        <v>1661.0</v>
      </c>
      <c r="G3082" s="598">
        <v>77.0</v>
      </c>
      <c r="H3082" s="598">
        <v>392.0</v>
      </c>
      <c r="I3082" s="598">
        <v>20.0</v>
      </c>
      <c r="J3082" s="598">
        <v>281.0</v>
      </c>
      <c r="K3082" s="1561">
        <v>2225.0</v>
      </c>
      <c r="L3082" s="1551">
        <v>48689.0</v>
      </c>
    </row>
    <row r="3083">
      <c r="A3083" s="1545" t="s">
        <v>1129</v>
      </c>
      <c r="B3083" s="1587">
        <v>6143.0</v>
      </c>
      <c r="C3083" s="1563">
        <v>274.0</v>
      </c>
      <c r="D3083" s="1548">
        <v>21.7</v>
      </c>
      <c r="E3083" s="1557">
        <v>5845.0</v>
      </c>
      <c r="F3083" s="598">
        <v>82.0</v>
      </c>
      <c r="G3083" s="598">
        <v>14.0</v>
      </c>
      <c r="H3083" s="598">
        <v>0.0</v>
      </c>
      <c r="I3083" s="598">
        <v>5.0</v>
      </c>
      <c r="J3083" s="598">
        <v>19.0</v>
      </c>
      <c r="K3083" s="1561">
        <v>178.0</v>
      </c>
      <c r="L3083" s="1551">
        <v>40415.0</v>
      </c>
    </row>
    <row r="3084">
      <c r="A3084" s="1545" t="s">
        <v>2339</v>
      </c>
      <c r="B3084" s="1587">
        <v>7653.0</v>
      </c>
      <c r="C3084" s="1563">
        <v>231.0</v>
      </c>
      <c r="D3084" s="1548">
        <v>16.9</v>
      </c>
      <c r="E3084" s="1557">
        <v>7248.0</v>
      </c>
      <c r="F3084" s="598">
        <v>95.0</v>
      </c>
      <c r="G3084" s="598">
        <v>22.0</v>
      </c>
      <c r="H3084" s="598">
        <v>17.0</v>
      </c>
      <c r="I3084" s="598">
        <v>0.0</v>
      </c>
      <c r="J3084" s="598">
        <v>21.0</v>
      </c>
      <c r="K3084" s="1561">
        <v>250.0</v>
      </c>
      <c r="L3084" s="1551">
        <v>50768.0</v>
      </c>
    </row>
    <row r="3085">
      <c r="A3085" s="1545" t="s">
        <v>930</v>
      </c>
      <c r="B3085" s="1587">
        <v>7869.0</v>
      </c>
      <c r="C3085" s="1563">
        <v>363.0</v>
      </c>
      <c r="D3085" s="1548">
        <v>25.6</v>
      </c>
      <c r="E3085" s="1557">
        <v>7497.0</v>
      </c>
      <c r="F3085" s="598">
        <v>57.0</v>
      </c>
      <c r="G3085" s="598">
        <v>26.0</v>
      </c>
      <c r="H3085" s="598">
        <v>9.0</v>
      </c>
      <c r="I3085" s="598">
        <v>4.0</v>
      </c>
      <c r="J3085" s="598">
        <v>36.0</v>
      </c>
      <c r="K3085" s="1561">
        <v>240.0</v>
      </c>
      <c r="L3085" s="1551">
        <v>39467.0</v>
      </c>
    </row>
    <row r="3086">
      <c r="A3086" s="1545" t="s">
        <v>2340</v>
      </c>
      <c r="B3086" s="1587">
        <v>34216.0</v>
      </c>
      <c r="C3086" s="1547">
        <v>1442.0</v>
      </c>
      <c r="D3086" s="1548">
        <v>23.1</v>
      </c>
      <c r="E3086" s="1557">
        <v>30832.0</v>
      </c>
      <c r="F3086" s="598">
        <v>2042.0</v>
      </c>
      <c r="G3086" s="598">
        <v>76.0</v>
      </c>
      <c r="H3086" s="598">
        <v>57.0</v>
      </c>
      <c r="I3086" s="598">
        <v>5.0</v>
      </c>
      <c r="J3086" s="598">
        <v>70.0</v>
      </c>
      <c r="K3086" s="1561">
        <v>1134.0</v>
      </c>
      <c r="L3086" s="1551">
        <v>47101.0</v>
      </c>
    </row>
    <row r="3087">
      <c r="A3087" s="1545" t="s">
        <v>518</v>
      </c>
      <c r="B3087" s="1587">
        <v>57440.0</v>
      </c>
      <c r="C3087" s="1547">
        <v>1600.0</v>
      </c>
      <c r="D3087" s="1548">
        <v>12.9</v>
      </c>
      <c r="E3087" s="1557">
        <v>53364.0</v>
      </c>
      <c r="F3087" s="598">
        <v>656.0</v>
      </c>
      <c r="G3087" s="598">
        <v>96.0</v>
      </c>
      <c r="H3087" s="598">
        <v>577.0</v>
      </c>
      <c r="I3087" s="598">
        <v>7.0</v>
      </c>
      <c r="J3087" s="598">
        <v>395.0</v>
      </c>
      <c r="K3087" s="1561">
        <v>2345.0</v>
      </c>
      <c r="L3087" s="1638">
        <v>61995.0</v>
      </c>
    </row>
    <row r="3088">
      <c r="A3088" s="1545" t="s">
        <v>2341</v>
      </c>
      <c r="B3088" s="1587">
        <v>74591.0</v>
      </c>
      <c r="C3088" s="1547">
        <v>3715.0</v>
      </c>
      <c r="D3088" s="1548">
        <v>24.7</v>
      </c>
      <c r="E3088" s="1557">
        <v>64025.0</v>
      </c>
      <c r="F3088" s="598">
        <v>5847.0</v>
      </c>
      <c r="G3088" s="598">
        <v>136.0</v>
      </c>
      <c r="H3088" s="598">
        <v>831.0</v>
      </c>
      <c r="I3088" s="598">
        <v>16.0</v>
      </c>
      <c r="J3088" s="598">
        <v>409.0</v>
      </c>
      <c r="K3088" s="1561">
        <v>3327.0</v>
      </c>
      <c r="L3088" s="1551">
        <v>41298.0</v>
      </c>
    </row>
    <row r="3089">
      <c r="A3089" s="1545" t="s">
        <v>163</v>
      </c>
      <c r="B3089" s="1587">
        <v>27932.0</v>
      </c>
      <c r="C3089" s="1547">
        <v>1345.0</v>
      </c>
      <c r="D3089" s="1548">
        <v>25.9</v>
      </c>
      <c r="E3089" s="1557">
        <v>26144.0</v>
      </c>
      <c r="F3089" s="598">
        <v>433.0</v>
      </c>
      <c r="G3089" s="598">
        <v>61.0</v>
      </c>
      <c r="H3089" s="598">
        <v>104.0</v>
      </c>
      <c r="I3089" s="598">
        <v>1.0</v>
      </c>
      <c r="J3089" s="598">
        <v>140.0</v>
      </c>
      <c r="K3089" s="1561">
        <v>1049.0</v>
      </c>
      <c r="L3089" s="1551">
        <v>40064.0</v>
      </c>
    </row>
    <row r="3090">
      <c r="A3090" s="1545" t="s">
        <v>2342</v>
      </c>
      <c r="B3090" s="1587">
        <v>8444.0</v>
      </c>
      <c r="C3090" s="1563">
        <v>486.0</v>
      </c>
      <c r="D3090" s="1548">
        <v>26.0</v>
      </c>
      <c r="E3090" s="1557">
        <v>8155.0</v>
      </c>
      <c r="F3090" s="598">
        <v>17.0</v>
      </c>
      <c r="G3090" s="598">
        <v>9.0</v>
      </c>
      <c r="H3090" s="598">
        <v>23.0</v>
      </c>
      <c r="I3090" s="598">
        <v>7.0</v>
      </c>
      <c r="J3090" s="598">
        <v>20.0</v>
      </c>
      <c r="K3090" s="1561">
        <v>213.0</v>
      </c>
      <c r="L3090" s="1551">
        <v>43717.0</v>
      </c>
    </row>
    <row r="3091">
      <c r="A3091" s="1545" t="s">
        <v>1976</v>
      </c>
      <c r="B3091" s="1587">
        <v>14028.0</v>
      </c>
      <c r="C3091" s="1563">
        <v>896.0</v>
      </c>
      <c r="D3091" s="1548">
        <v>31.9</v>
      </c>
      <c r="E3091" s="1557">
        <v>13305.0</v>
      </c>
      <c r="F3091" s="598">
        <v>39.0</v>
      </c>
      <c r="G3091" s="598">
        <v>28.0</v>
      </c>
      <c r="H3091" s="598">
        <v>38.0</v>
      </c>
      <c r="I3091" s="598">
        <v>1.0</v>
      </c>
      <c r="J3091" s="598">
        <v>43.0</v>
      </c>
      <c r="K3091" s="1561">
        <v>574.0</v>
      </c>
      <c r="L3091" s="1551">
        <v>36658.0</v>
      </c>
    </row>
    <row r="3092">
      <c r="A3092" s="1545" t="s">
        <v>2343</v>
      </c>
      <c r="B3092" s="1587">
        <v>11959.0</v>
      </c>
      <c r="C3092" s="1563">
        <v>760.0</v>
      </c>
      <c r="D3092" s="1548">
        <v>36.5</v>
      </c>
      <c r="E3092" s="1557">
        <v>10930.0</v>
      </c>
      <c r="F3092" s="598">
        <v>402.0</v>
      </c>
      <c r="G3092" s="598">
        <v>35.0</v>
      </c>
      <c r="H3092" s="598">
        <v>33.0</v>
      </c>
      <c r="I3092" s="598">
        <v>0.0</v>
      </c>
      <c r="J3092" s="598">
        <v>38.0</v>
      </c>
      <c r="K3092" s="1561">
        <v>521.0</v>
      </c>
      <c r="L3092" s="1551">
        <v>34768.0</v>
      </c>
    </row>
    <row r="3093">
      <c r="A3093" s="1545" t="s">
        <v>526</v>
      </c>
      <c r="B3093" s="1587">
        <v>16705.0</v>
      </c>
      <c r="C3093" s="1563">
        <v>703.0</v>
      </c>
      <c r="D3093" s="1548">
        <v>21.0</v>
      </c>
      <c r="E3093" s="1557">
        <v>15710.0</v>
      </c>
      <c r="F3093" s="598">
        <v>114.0</v>
      </c>
      <c r="G3093" s="598">
        <v>19.0</v>
      </c>
      <c r="H3093" s="598">
        <v>41.0</v>
      </c>
      <c r="I3093" s="598">
        <v>0.0</v>
      </c>
      <c r="J3093" s="598">
        <v>38.0</v>
      </c>
      <c r="K3093" s="1561">
        <v>783.0</v>
      </c>
      <c r="L3093" s="1551">
        <v>46370.0</v>
      </c>
    </row>
    <row r="3094">
      <c r="A3094" s="1545" t="s">
        <v>2344</v>
      </c>
      <c r="B3094" s="1587">
        <v>6762.0</v>
      </c>
      <c r="C3094" s="1563">
        <v>213.0</v>
      </c>
      <c r="D3094" s="1548">
        <v>21.3</v>
      </c>
      <c r="E3094" s="1557">
        <v>6457.0</v>
      </c>
      <c r="F3094" s="598">
        <v>21.0</v>
      </c>
      <c r="G3094" s="598">
        <v>4.0</v>
      </c>
      <c r="H3094" s="598">
        <v>6.0</v>
      </c>
      <c r="I3094" s="598">
        <v>1.0</v>
      </c>
      <c r="J3094" s="598">
        <v>23.0</v>
      </c>
      <c r="K3094" s="1561">
        <v>250.0</v>
      </c>
      <c r="L3094" s="1551">
        <v>48070.0</v>
      </c>
    </row>
    <row r="3095">
      <c r="A3095" s="1545" t="s">
        <v>2161</v>
      </c>
      <c r="B3095" s="1587">
        <v>8313.0</v>
      </c>
      <c r="C3095" s="1563">
        <v>376.0</v>
      </c>
      <c r="D3095" s="1548">
        <v>22.6</v>
      </c>
      <c r="E3095" s="1557">
        <v>7981.0</v>
      </c>
      <c r="F3095" s="598">
        <v>4.0</v>
      </c>
      <c r="G3095" s="598">
        <v>17.0</v>
      </c>
      <c r="H3095" s="598">
        <v>3.0</v>
      </c>
      <c r="I3095" s="598">
        <v>0.0</v>
      </c>
      <c r="J3095" s="598">
        <v>18.0</v>
      </c>
      <c r="K3095" s="1561">
        <v>290.0</v>
      </c>
      <c r="L3095" s="1551">
        <v>46054.0</v>
      </c>
    </row>
    <row r="3096">
      <c r="A3096" s="1545" t="s">
        <v>2162</v>
      </c>
      <c r="B3096" s="1587">
        <v>23816.0</v>
      </c>
      <c r="C3096" s="1547">
        <v>1344.0</v>
      </c>
      <c r="D3096" s="1548">
        <v>27.5</v>
      </c>
      <c r="E3096" s="1557">
        <v>22474.0</v>
      </c>
      <c r="F3096" s="598">
        <v>223.0</v>
      </c>
      <c r="G3096" s="598">
        <v>37.0</v>
      </c>
      <c r="H3096" s="598">
        <v>88.0</v>
      </c>
      <c r="I3096" s="598">
        <v>6.0</v>
      </c>
      <c r="J3096" s="598">
        <v>87.0</v>
      </c>
      <c r="K3096" s="1561">
        <v>901.0</v>
      </c>
      <c r="L3096" s="1551">
        <v>41213.0</v>
      </c>
    </row>
    <row r="3097">
      <c r="A3097" s="1545" t="s">
        <v>273</v>
      </c>
      <c r="B3097" s="1587">
        <v>38982.0</v>
      </c>
      <c r="C3097" s="1547">
        <v>2015.0</v>
      </c>
      <c r="D3097" s="1548">
        <v>25.3</v>
      </c>
      <c r="E3097" s="1557">
        <v>37339.0</v>
      </c>
      <c r="F3097" s="598">
        <v>168.0</v>
      </c>
      <c r="G3097" s="598">
        <v>56.0</v>
      </c>
      <c r="H3097" s="598">
        <v>83.0</v>
      </c>
      <c r="I3097" s="598">
        <v>10.0</v>
      </c>
      <c r="J3097" s="598">
        <v>121.0</v>
      </c>
      <c r="K3097" s="1561">
        <v>1205.0</v>
      </c>
      <c r="L3097" s="1551">
        <v>38704.0</v>
      </c>
    </row>
    <row r="3098">
      <c r="A3098" s="1545" t="s">
        <v>648</v>
      </c>
      <c r="B3098" s="1587">
        <v>8378.0</v>
      </c>
      <c r="C3098" s="1563">
        <v>596.0</v>
      </c>
      <c r="D3098" s="1548">
        <v>36.8</v>
      </c>
      <c r="E3098" s="1557">
        <v>8105.0</v>
      </c>
      <c r="F3098" s="598">
        <v>13.0</v>
      </c>
      <c r="G3098" s="598">
        <v>14.0</v>
      </c>
      <c r="H3098" s="598">
        <v>4.0</v>
      </c>
      <c r="I3098" s="598">
        <v>2.0</v>
      </c>
      <c r="J3098" s="598">
        <v>20.0</v>
      </c>
      <c r="K3098" s="1561">
        <v>220.0</v>
      </c>
      <c r="L3098" s="1551">
        <v>34054.0</v>
      </c>
    </row>
    <row r="3099">
      <c r="A3099" s="1545" t="s">
        <v>2345</v>
      </c>
      <c r="B3099" s="1587">
        <v>14442.0</v>
      </c>
      <c r="C3099" s="1563">
        <v>734.0</v>
      </c>
      <c r="D3099" s="1548">
        <v>24.7</v>
      </c>
      <c r="E3099" s="1557">
        <v>13752.0</v>
      </c>
      <c r="F3099" s="598">
        <v>34.0</v>
      </c>
      <c r="G3099" s="598">
        <v>18.0</v>
      </c>
      <c r="H3099" s="598">
        <v>50.0</v>
      </c>
      <c r="I3099" s="598">
        <v>0.0</v>
      </c>
      <c r="J3099" s="598">
        <v>49.0</v>
      </c>
      <c r="K3099" s="1561">
        <v>539.0</v>
      </c>
      <c r="L3099" s="1551">
        <v>44685.0</v>
      </c>
    </row>
    <row r="3100">
      <c r="A3100" s="1545" t="s">
        <v>2346</v>
      </c>
      <c r="B3100" s="1587">
        <v>5194.0</v>
      </c>
      <c r="C3100" s="1563">
        <v>342.0</v>
      </c>
      <c r="D3100" s="1548">
        <v>28.2</v>
      </c>
      <c r="E3100" s="1557">
        <v>5013.0</v>
      </c>
      <c r="F3100" s="598">
        <v>6.0</v>
      </c>
      <c r="G3100" s="598">
        <v>4.0</v>
      </c>
      <c r="H3100" s="598">
        <v>0.0</v>
      </c>
      <c r="I3100" s="598">
        <v>4.0</v>
      </c>
      <c r="J3100" s="598">
        <v>9.0</v>
      </c>
      <c r="K3100" s="1561">
        <v>158.0</v>
      </c>
      <c r="L3100" s="1638">
        <v>44837.0</v>
      </c>
    </row>
    <row r="3101">
      <c r="A3101" s="1545" t="s">
        <v>1703</v>
      </c>
      <c r="B3101" s="1587">
        <v>84296.0</v>
      </c>
      <c r="C3101" s="1547">
        <v>3713.0</v>
      </c>
      <c r="D3101" s="1548">
        <v>21.7</v>
      </c>
      <c r="E3101" s="1557">
        <v>78170.0</v>
      </c>
      <c r="F3101" s="598">
        <v>1040.0</v>
      </c>
      <c r="G3101" s="598">
        <v>174.0</v>
      </c>
      <c r="H3101" s="598">
        <v>564.0</v>
      </c>
      <c r="I3101" s="598">
        <v>23.0</v>
      </c>
      <c r="J3101" s="598">
        <v>404.0</v>
      </c>
      <c r="K3101" s="1561">
        <v>3921.0</v>
      </c>
      <c r="L3101" s="1637">
        <v>45278.0</v>
      </c>
    </row>
    <row r="3102">
      <c r="A3102" s="1528" t="s">
        <v>123</v>
      </c>
      <c r="B3102" s="1595">
        <v>21382.0</v>
      </c>
      <c r="C3102" s="1530">
        <v>1219.0</v>
      </c>
      <c r="D3102" s="1567">
        <v>29.7</v>
      </c>
      <c r="E3102" s="1532">
        <v>20592.0</v>
      </c>
      <c r="F3102" s="1533">
        <v>107.0</v>
      </c>
      <c r="G3102" s="1533">
        <v>32.0</v>
      </c>
      <c r="H3102" s="1533">
        <v>18.0</v>
      </c>
      <c r="I3102" s="1533">
        <v>1.0</v>
      </c>
      <c r="J3102" s="1533">
        <v>30.0</v>
      </c>
      <c r="K3102" s="1616">
        <v>602.0</v>
      </c>
      <c r="L3102" s="1617">
        <v>35460.0</v>
      </c>
    </row>
    <row r="3103">
      <c r="A3103" s="1538" t="s">
        <v>122</v>
      </c>
      <c r="B3103" s="1596">
        <v>5893718.0</v>
      </c>
      <c r="C3103" s="1540">
        <v>176595.0</v>
      </c>
      <c r="D3103" s="1571">
        <v>14.1</v>
      </c>
      <c r="E3103" s="1572">
        <v>4737545.0</v>
      </c>
      <c r="F3103" s="1542">
        <v>376256.0</v>
      </c>
      <c r="G3103" s="1542">
        <v>60428.0</v>
      </c>
      <c r="H3103" s="1542">
        <v>175702.0</v>
      </c>
      <c r="I3103" s="1542">
        <v>2199.0</v>
      </c>
      <c r="J3103" s="1542">
        <v>182054.0</v>
      </c>
      <c r="K3103" s="1543">
        <v>359534.0</v>
      </c>
      <c r="L3103" s="1544">
        <v>60779.0</v>
      </c>
    </row>
    <row r="3104">
      <c r="A3104" s="1545" t="s">
        <v>386</v>
      </c>
      <c r="B3104" s="1586">
        <v>20654.0</v>
      </c>
      <c r="C3104" s="1563">
        <v>683.0</v>
      </c>
      <c r="D3104" s="1548">
        <v>23.7</v>
      </c>
      <c r="E3104" s="1557">
        <v>18734.0</v>
      </c>
      <c r="F3104" s="598">
        <v>603.0</v>
      </c>
      <c r="G3104" s="598">
        <v>198.0</v>
      </c>
      <c r="H3104" s="598">
        <v>85.0</v>
      </c>
      <c r="I3104" s="598">
        <v>10.0</v>
      </c>
      <c r="J3104" s="598">
        <v>220.0</v>
      </c>
      <c r="K3104" s="1561">
        <v>804.0</v>
      </c>
      <c r="L3104" s="1551">
        <v>43000.0</v>
      </c>
    </row>
    <row r="3105">
      <c r="A3105" s="1545" t="s">
        <v>1671</v>
      </c>
      <c r="B3105" s="1587">
        <v>16027.0</v>
      </c>
      <c r="C3105" s="1563">
        <v>763.0</v>
      </c>
      <c r="D3105" s="1548">
        <v>23.1</v>
      </c>
      <c r="E3105" s="1557">
        <v>12791.0</v>
      </c>
      <c r="F3105" s="598">
        <v>112.0</v>
      </c>
      <c r="G3105" s="598">
        <v>2084.0</v>
      </c>
      <c r="H3105" s="598">
        <v>84.0</v>
      </c>
      <c r="I3105" s="598">
        <v>9.0</v>
      </c>
      <c r="J3105" s="598">
        <v>52.0</v>
      </c>
      <c r="K3105" s="1561">
        <v>895.0</v>
      </c>
      <c r="L3105" s="1551">
        <v>44627.0</v>
      </c>
    </row>
    <row r="3106">
      <c r="A3106" s="1545" t="s">
        <v>2347</v>
      </c>
      <c r="B3106" s="1587">
        <v>46711.0</v>
      </c>
      <c r="C3106" s="1547">
        <v>1470.0</v>
      </c>
      <c r="D3106" s="1548">
        <v>15.4</v>
      </c>
      <c r="E3106" s="1557">
        <v>42567.0</v>
      </c>
      <c r="F3106" s="598">
        <v>819.0</v>
      </c>
      <c r="G3106" s="598">
        <v>472.0</v>
      </c>
      <c r="H3106" s="598">
        <v>346.0</v>
      </c>
      <c r="I3106" s="598">
        <v>5.0</v>
      </c>
      <c r="J3106" s="598">
        <v>542.0</v>
      </c>
      <c r="K3106" s="1561">
        <v>1960.0</v>
      </c>
      <c r="L3106" s="1551">
        <v>50344.0</v>
      </c>
    </row>
    <row r="3107">
      <c r="A3107" s="1545" t="s">
        <v>2348</v>
      </c>
      <c r="B3107" s="1587">
        <v>16220.0</v>
      </c>
      <c r="C3107" s="1563">
        <v>572.0</v>
      </c>
      <c r="D3107" s="1548">
        <v>22.9</v>
      </c>
      <c r="E3107" s="1557">
        <v>13493.0</v>
      </c>
      <c r="F3107" s="598">
        <v>59.0</v>
      </c>
      <c r="G3107" s="598">
        <v>1696.0</v>
      </c>
      <c r="H3107" s="598">
        <v>36.0</v>
      </c>
      <c r="I3107" s="598">
        <v>2.0</v>
      </c>
      <c r="J3107" s="598">
        <v>94.0</v>
      </c>
      <c r="K3107" s="1561">
        <v>840.0</v>
      </c>
      <c r="L3107" s="1638">
        <v>53637.0</v>
      </c>
    </row>
    <row r="3108">
      <c r="A3108" s="1545" t="s">
        <v>706</v>
      </c>
      <c r="B3108" s="1587">
        <v>268740.0</v>
      </c>
      <c r="C3108" s="1547">
        <v>6575.0</v>
      </c>
      <c r="D3108" s="1548">
        <v>10.7</v>
      </c>
      <c r="E3108" s="1557">
        <v>212929.0</v>
      </c>
      <c r="F3108" s="598">
        <v>8404.0</v>
      </c>
      <c r="G3108" s="598">
        <v>7581.0</v>
      </c>
      <c r="H3108" s="598">
        <v>8518.0</v>
      </c>
      <c r="I3108" s="598">
        <v>122.0</v>
      </c>
      <c r="J3108" s="598">
        <v>11793.0</v>
      </c>
      <c r="K3108" s="1561">
        <v>19393.0</v>
      </c>
      <c r="L3108" s="1551">
        <v>62097.0</v>
      </c>
    </row>
    <row r="3109">
      <c r="A3109" s="1545" t="s">
        <v>1471</v>
      </c>
      <c r="B3109" s="1587">
        <v>13317.0</v>
      </c>
      <c r="C3109" s="1563">
        <v>334.0</v>
      </c>
      <c r="D3109" s="1548">
        <v>12.5</v>
      </c>
      <c r="E3109" s="1557">
        <v>12651.0</v>
      </c>
      <c r="F3109" s="598">
        <v>43.0</v>
      </c>
      <c r="G3109" s="598">
        <v>41.0</v>
      </c>
      <c r="H3109" s="598">
        <v>23.0</v>
      </c>
      <c r="I3109" s="598">
        <v>12.0</v>
      </c>
      <c r="J3109" s="598">
        <v>147.0</v>
      </c>
      <c r="K3109" s="1561">
        <v>400.0</v>
      </c>
      <c r="L3109" s="1551">
        <v>59087.0</v>
      </c>
    </row>
    <row r="3110">
      <c r="A3110" s="1545" t="s">
        <v>2349</v>
      </c>
      <c r="B3110" s="1587">
        <v>16526.0</v>
      </c>
      <c r="C3110" s="1563">
        <v>510.0</v>
      </c>
      <c r="D3110" s="1548">
        <v>19.5</v>
      </c>
      <c r="E3110" s="1557">
        <v>14756.0</v>
      </c>
      <c r="F3110" s="598">
        <v>65.0</v>
      </c>
      <c r="G3110" s="598">
        <v>721.0</v>
      </c>
      <c r="H3110" s="598">
        <v>53.0</v>
      </c>
      <c r="I3110" s="598">
        <v>10.0</v>
      </c>
      <c r="J3110" s="598">
        <v>81.0</v>
      </c>
      <c r="K3110" s="1561">
        <v>840.0</v>
      </c>
      <c r="L3110" s="1551">
        <v>55295.0</v>
      </c>
    </row>
    <row r="3111">
      <c r="A3111" s="1545" t="s">
        <v>2350</v>
      </c>
      <c r="B3111" s="1587">
        <v>52442.0</v>
      </c>
      <c r="C3111" s="1563">
        <v>746.0</v>
      </c>
      <c r="D3111" s="1548">
        <v>6.3</v>
      </c>
      <c r="E3111" s="1557">
        <v>46499.0</v>
      </c>
      <c r="F3111" s="598">
        <v>444.0</v>
      </c>
      <c r="G3111" s="598">
        <v>252.0</v>
      </c>
      <c r="H3111" s="598">
        <v>1277.0</v>
      </c>
      <c r="I3111" s="598">
        <v>42.0</v>
      </c>
      <c r="J3111" s="598">
        <v>1505.0</v>
      </c>
      <c r="K3111" s="1561">
        <v>2423.0</v>
      </c>
      <c r="L3111" s="1551">
        <v>72645.0</v>
      </c>
    </row>
    <row r="3112">
      <c r="A3112" s="1545" t="s">
        <v>1245</v>
      </c>
      <c r="B3112" s="1587">
        <v>66297.0</v>
      </c>
      <c r="C3112" s="1547">
        <v>2063.0</v>
      </c>
      <c r="D3112" s="1548">
        <v>14.9</v>
      </c>
      <c r="E3112" s="1557">
        <v>60865.0</v>
      </c>
      <c r="F3112" s="598">
        <v>1075.0</v>
      </c>
      <c r="G3112" s="598">
        <v>361.0</v>
      </c>
      <c r="H3112" s="598">
        <v>975.0</v>
      </c>
      <c r="I3112" s="598">
        <v>19.0</v>
      </c>
      <c r="J3112" s="598">
        <v>373.0</v>
      </c>
      <c r="K3112" s="1561">
        <v>2629.0</v>
      </c>
      <c r="L3112" s="1551">
        <v>59528.0</v>
      </c>
    </row>
    <row r="3113">
      <c r="A3113" s="1545" t="s">
        <v>253</v>
      </c>
      <c r="B3113" s="1587">
        <v>34659.0</v>
      </c>
      <c r="C3113" s="1547">
        <v>1820.0</v>
      </c>
      <c r="D3113" s="1548">
        <v>18.1</v>
      </c>
      <c r="E3113" s="1557">
        <v>31972.0</v>
      </c>
      <c r="F3113" s="598">
        <v>119.0</v>
      </c>
      <c r="G3113" s="598">
        <v>172.0</v>
      </c>
      <c r="H3113" s="598">
        <v>108.0</v>
      </c>
      <c r="I3113" s="598">
        <v>4.0</v>
      </c>
      <c r="J3113" s="598">
        <v>1189.0</v>
      </c>
      <c r="K3113" s="1561">
        <v>1095.0</v>
      </c>
      <c r="L3113" s="1551">
        <v>55245.0</v>
      </c>
    </row>
    <row r="3114">
      <c r="A3114" s="1545" t="s">
        <v>258</v>
      </c>
      <c r="B3114" s="1587">
        <v>58490.0</v>
      </c>
      <c r="C3114" s="1547">
        <v>1168.0</v>
      </c>
      <c r="D3114" s="1548">
        <v>9.8</v>
      </c>
      <c r="E3114" s="1557">
        <v>53739.0</v>
      </c>
      <c r="F3114" s="598">
        <v>905.0</v>
      </c>
      <c r="G3114" s="598">
        <v>320.0</v>
      </c>
      <c r="H3114" s="598">
        <v>381.0</v>
      </c>
      <c r="I3114" s="598">
        <v>11.0</v>
      </c>
      <c r="J3114" s="598">
        <v>736.0</v>
      </c>
      <c r="K3114" s="1561">
        <v>2398.0</v>
      </c>
      <c r="L3114" s="1551">
        <v>65435.0</v>
      </c>
    </row>
    <row r="3115">
      <c r="A3115" s="1545" t="s">
        <v>263</v>
      </c>
      <c r="B3115" s="1587">
        <v>16113.0</v>
      </c>
      <c r="C3115" s="1563">
        <v>616.0</v>
      </c>
      <c r="D3115" s="1548">
        <v>19.2</v>
      </c>
      <c r="E3115" s="1557">
        <v>15107.0</v>
      </c>
      <c r="F3115" s="598">
        <v>269.0</v>
      </c>
      <c r="G3115" s="598">
        <v>52.0</v>
      </c>
      <c r="H3115" s="598">
        <v>72.0</v>
      </c>
      <c r="I3115" s="598">
        <v>1.0</v>
      </c>
      <c r="J3115" s="598">
        <v>70.0</v>
      </c>
      <c r="K3115" s="1561">
        <v>542.0</v>
      </c>
      <c r="L3115" s="1638">
        <v>49200.0</v>
      </c>
    </row>
    <row r="3116">
      <c r="A3116" s="1545" t="s">
        <v>652</v>
      </c>
      <c r="B3116" s="1587">
        <v>561504.0</v>
      </c>
      <c r="C3116" s="1547">
        <v>9124.0</v>
      </c>
      <c r="D3116" s="1548">
        <v>8.4</v>
      </c>
      <c r="E3116" s="1557">
        <v>435458.0</v>
      </c>
      <c r="F3116" s="598">
        <v>30473.0</v>
      </c>
      <c r="G3116" s="598">
        <v>2397.0</v>
      </c>
      <c r="H3116" s="598">
        <v>35758.0</v>
      </c>
      <c r="I3116" s="598">
        <v>241.0</v>
      </c>
      <c r="J3116" s="598">
        <v>18203.0</v>
      </c>
      <c r="K3116" s="1561">
        <v>38974.0</v>
      </c>
      <c r="L3116" s="1638">
        <v>71789.0</v>
      </c>
    </row>
    <row r="3117">
      <c r="A3117" s="1545" t="s">
        <v>564</v>
      </c>
      <c r="B3117" s="1587">
        <v>89396.0</v>
      </c>
      <c r="C3117" s="1547">
        <v>1839.0</v>
      </c>
      <c r="D3117" s="1548">
        <v>10.8</v>
      </c>
      <c r="E3117" s="1557">
        <v>79395.0</v>
      </c>
      <c r="F3117" s="598">
        <v>2766.0</v>
      </c>
      <c r="G3117" s="598">
        <v>438.0</v>
      </c>
      <c r="H3117" s="598">
        <v>517.0</v>
      </c>
      <c r="I3117" s="598">
        <v>11.0</v>
      </c>
      <c r="J3117" s="598">
        <v>2179.0</v>
      </c>
      <c r="K3117" s="1561">
        <v>4090.0</v>
      </c>
      <c r="L3117" s="1551">
        <v>63608.0</v>
      </c>
    </row>
    <row r="3118">
      <c r="A3118" s="1545" t="s">
        <v>2351</v>
      </c>
      <c r="B3118" s="1587">
        <v>30066.0</v>
      </c>
      <c r="C3118" s="1563">
        <v>560.0</v>
      </c>
      <c r="D3118" s="1548">
        <v>12.8</v>
      </c>
      <c r="E3118" s="1557">
        <v>27754.0</v>
      </c>
      <c r="F3118" s="598">
        <v>145.0</v>
      </c>
      <c r="G3118" s="598">
        <v>144.0</v>
      </c>
      <c r="H3118" s="598">
        <v>144.0</v>
      </c>
      <c r="I3118" s="598">
        <v>4.0</v>
      </c>
      <c r="J3118" s="598">
        <v>482.0</v>
      </c>
      <c r="K3118" s="1561">
        <v>1393.0</v>
      </c>
      <c r="L3118" s="1551">
        <v>61221.0</v>
      </c>
    </row>
    <row r="3119">
      <c r="A3119" s="1545" t="s">
        <v>412</v>
      </c>
      <c r="B3119" s="1587">
        <v>44295.0</v>
      </c>
      <c r="C3119" s="1547">
        <v>1189.0</v>
      </c>
      <c r="D3119" s="1548">
        <v>14.3</v>
      </c>
      <c r="E3119" s="1557">
        <v>39733.0</v>
      </c>
      <c r="F3119" s="598">
        <v>583.0</v>
      </c>
      <c r="G3119" s="598">
        <v>801.0</v>
      </c>
      <c r="H3119" s="598">
        <v>286.0</v>
      </c>
      <c r="I3119" s="598">
        <v>18.0</v>
      </c>
      <c r="J3119" s="598">
        <v>256.0</v>
      </c>
      <c r="K3119" s="1561">
        <v>2618.0</v>
      </c>
      <c r="L3119" s="1551">
        <v>50637.0</v>
      </c>
    </row>
    <row r="3120">
      <c r="A3120" s="1545" t="s">
        <v>1649</v>
      </c>
      <c r="B3120" s="1587">
        <v>45440.0</v>
      </c>
      <c r="C3120" s="1547">
        <v>1027.0</v>
      </c>
      <c r="D3120" s="1548">
        <v>11.8</v>
      </c>
      <c r="E3120" s="1557">
        <v>41198.0</v>
      </c>
      <c r="F3120" s="598">
        <v>404.0</v>
      </c>
      <c r="G3120" s="598">
        <v>207.0</v>
      </c>
      <c r="H3120" s="598">
        <v>1458.0</v>
      </c>
      <c r="I3120" s="598">
        <v>13.0</v>
      </c>
      <c r="J3120" s="598">
        <v>433.0</v>
      </c>
      <c r="K3120" s="1561">
        <v>1727.0</v>
      </c>
      <c r="L3120" s="1638">
        <v>57506.0</v>
      </c>
    </row>
    <row r="3121">
      <c r="A3121" s="1545" t="s">
        <v>2352</v>
      </c>
      <c r="B3121" s="1587">
        <v>105710.0</v>
      </c>
      <c r="C3121" s="1547">
        <v>2621.0</v>
      </c>
      <c r="D3121" s="1548">
        <v>12.6</v>
      </c>
      <c r="E3121" s="1557">
        <v>93277.0</v>
      </c>
      <c r="F3121" s="598">
        <v>1255.0</v>
      </c>
      <c r="G3121" s="598">
        <v>527.0</v>
      </c>
      <c r="H3121" s="598">
        <v>4401.0</v>
      </c>
      <c r="I3121" s="598">
        <v>83.0</v>
      </c>
      <c r="J3121" s="598">
        <v>1158.0</v>
      </c>
      <c r="K3121" s="1561">
        <v>5009.0</v>
      </c>
      <c r="L3121" s="1551">
        <v>60111.0</v>
      </c>
    </row>
    <row r="3122">
      <c r="A3122" s="1545" t="s">
        <v>1826</v>
      </c>
      <c r="B3122" s="1587">
        <v>4558.0</v>
      </c>
      <c r="C3122" s="1563">
        <v>115.0</v>
      </c>
      <c r="D3122" s="1548">
        <v>18.4</v>
      </c>
      <c r="E3122" s="1557">
        <v>4312.0</v>
      </c>
      <c r="F3122" s="598">
        <v>9.0</v>
      </c>
      <c r="G3122" s="598">
        <v>30.0</v>
      </c>
      <c r="H3122" s="598">
        <v>8.0</v>
      </c>
      <c r="I3122" s="598">
        <v>8.0</v>
      </c>
      <c r="J3122" s="598">
        <v>15.0</v>
      </c>
      <c r="K3122" s="1561">
        <v>176.0</v>
      </c>
      <c r="L3122" s="1638">
        <v>53188.0</v>
      </c>
    </row>
    <row r="3123">
      <c r="A3123" s="1545" t="s">
        <v>4296</v>
      </c>
      <c r="B3123" s="1587">
        <v>104154.0</v>
      </c>
      <c r="C3123" s="1547">
        <v>2570.0</v>
      </c>
      <c r="D3123" s="1548">
        <v>11.9</v>
      </c>
      <c r="E3123" s="1557">
        <v>91630.0</v>
      </c>
      <c r="F3123" s="598">
        <v>2416.0</v>
      </c>
      <c r="G3123" s="598">
        <v>506.0</v>
      </c>
      <c r="H3123" s="598">
        <v>1256.0</v>
      </c>
      <c r="I3123" s="598">
        <v>35.0</v>
      </c>
      <c r="J3123" s="598">
        <v>3152.0</v>
      </c>
      <c r="K3123" s="1561">
        <v>5159.0</v>
      </c>
      <c r="L3123" s="1551">
        <v>59428.0</v>
      </c>
    </row>
    <row r="3124">
      <c r="A3124" s="1545" t="s">
        <v>1793</v>
      </c>
      <c r="B3124" s="1587">
        <v>9179.0</v>
      </c>
      <c r="C3124" s="1563">
        <v>357.0</v>
      </c>
      <c r="D3124" s="1548">
        <v>20.9</v>
      </c>
      <c r="E3124" s="1557">
        <v>7407.0</v>
      </c>
      <c r="F3124" s="598">
        <v>32.0</v>
      </c>
      <c r="G3124" s="598">
        <v>1228.0</v>
      </c>
      <c r="H3124" s="598">
        <v>17.0</v>
      </c>
      <c r="I3124" s="598">
        <v>11.0</v>
      </c>
      <c r="J3124" s="598">
        <v>20.0</v>
      </c>
      <c r="K3124" s="1561">
        <v>464.0</v>
      </c>
      <c r="L3124" s="1551">
        <v>45156.0</v>
      </c>
    </row>
    <row r="3125">
      <c r="A3125" s="1545" t="s">
        <v>278</v>
      </c>
      <c r="B3125" s="1587">
        <v>51938.0</v>
      </c>
      <c r="C3125" s="1547">
        <v>1534.0</v>
      </c>
      <c r="D3125" s="1548">
        <v>14.5</v>
      </c>
      <c r="E3125" s="1557">
        <v>48710.0</v>
      </c>
      <c r="F3125" s="598">
        <v>684.0</v>
      </c>
      <c r="G3125" s="598">
        <v>129.0</v>
      </c>
      <c r="H3125" s="598">
        <v>413.0</v>
      </c>
      <c r="I3125" s="598">
        <v>8.0</v>
      </c>
      <c r="J3125" s="598">
        <v>544.0</v>
      </c>
      <c r="K3125" s="1561">
        <v>1450.0</v>
      </c>
      <c r="L3125" s="1551">
        <v>57328.0</v>
      </c>
    </row>
    <row r="3126">
      <c r="A3126" s="1545" t="s">
        <v>1075</v>
      </c>
      <c r="B3126" s="1587">
        <v>37093.0</v>
      </c>
      <c r="C3126" s="1563">
        <v>803.0</v>
      </c>
      <c r="D3126" s="1548">
        <v>10.0</v>
      </c>
      <c r="E3126" s="1557">
        <v>34318.0</v>
      </c>
      <c r="F3126" s="598">
        <v>212.0</v>
      </c>
      <c r="G3126" s="598">
        <v>105.0</v>
      </c>
      <c r="H3126" s="598">
        <v>174.0</v>
      </c>
      <c r="I3126" s="598">
        <v>3.0</v>
      </c>
      <c r="J3126" s="598">
        <v>700.0</v>
      </c>
      <c r="K3126" s="1561">
        <v>1581.0</v>
      </c>
      <c r="L3126" s="1551">
        <v>63160.0</v>
      </c>
    </row>
    <row r="3127">
      <c r="A3127" s="1545" t="s">
        <v>2354</v>
      </c>
      <c r="B3127" s="1587">
        <v>19018.0</v>
      </c>
      <c r="C3127" s="1563">
        <v>727.0</v>
      </c>
      <c r="D3127" s="1548">
        <v>17.5</v>
      </c>
      <c r="E3127" s="1557">
        <v>17505.0</v>
      </c>
      <c r="F3127" s="598">
        <v>117.0</v>
      </c>
      <c r="G3127" s="598">
        <v>68.0</v>
      </c>
      <c r="H3127" s="598">
        <v>103.0</v>
      </c>
      <c r="I3127" s="598">
        <v>12.0</v>
      </c>
      <c r="J3127" s="598">
        <v>407.0</v>
      </c>
      <c r="K3127" s="1561">
        <v>806.0</v>
      </c>
      <c r="L3127" s="1551">
        <v>55512.0</v>
      </c>
    </row>
    <row r="3128">
      <c r="A3128" s="1545" t="s">
        <v>50</v>
      </c>
      <c r="B3128" s="1587">
        <v>23709.0</v>
      </c>
      <c r="C3128" s="1563">
        <v>536.0</v>
      </c>
      <c r="D3128" s="1548">
        <v>10.0</v>
      </c>
      <c r="E3128" s="1557">
        <v>22326.0</v>
      </c>
      <c r="F3128" s="598">
        <v>114.0</v>
      </c>
      <c r="G3128" s="598">
        <v>39.0</v>
      </c>
      <c r="H3128" s="598">
        <v>180.0</v>
      </c>
      <c r="I3128" s="598">
        <v>12.0</v>
      </c>
      <c r="J3128" s="598">
        <v>207.0</v>
      </c>
      <c r="K3128" s="1561">
        <v>831.0</v>
      </c>
      <c r="L3128" s="1551">
        <v>68017.0</v>
      </c>
    </row>
    <row r="3129">
      <c r="A3129" s="1545" t="s">
        <v>1259</v>
      </c>
      <c r="B3129" s="1587">
        <v>6137.0</v>
      </c>
      <c r="C3129" s="1563">
        <v>171.0</v>
      </c>
      <c r="D3129" s="1548">
        <v>20.1</v>
      </c>
      <c r="E3129" s="1557">
        <v>5831.0</v>
      </c>
      <c r="F3129" s="598">
        <v>16.0</v>
      </c>
      <c r="G3129" s="598">
        <v>66.0</v>
      </c>
      <c r="H3129" s="598">
        <v>13.0</v>
      </c>
      <c r="I3129" s="598">
        <v>0.0</v>
      </c>
      <c r="J3129" s="598">
        <v>42.0</v>
      </c>
      <c r="K3129" s="1561">
        <v>169.0</v>
      </c>
      <c r="L3129" s="1551">
        <v>44130.0</v>
      </c>
    </row>
    <row r="3130">
      <c r="A3130" s="1545" t="s">
        <v>142</v>
      </c>
      <c r="B3130" s="1587">
        <v>21145.0</v>
      </c>
      <c r="C3130" s="1563">
        <v>730.0</v>
      </c>
      <c r="D3130" s="1548">
        <v>16.9</v>
      </c>
      <c r="E3130" s="1557">
        <v>18142.0</v>
      </c>
      <c r="F3130" s="598">
        <v>442.0</v>
      </c>
      <c r="G3130" s="598">
        <v>1378.0</v>
      </c>
      <c r="H3130" s="598">
        <v>77.0</v>
      </c>
      <c r="I3130" s="598">
        <v>0.0</v>
      </c>
      <c r="J3130" s="598">
        <v>244.0</v>
      </c>
      <c r="K3130" s="1561">
        <v>862.0</v>
      </c>
      <c r="L3130" s="1638">
        <v>52919.0</v>
      </c>
    </row>
    <row r="3131">
      <c r="A3131" s="1545" t="s">
        <v>143</v>
      </c>
      <c r="B3131" s="1587">
        <v>84900.0</v>
      </c>
      <c r="C3131" s="1547">
        <v>1820.0</v>
      </c>
      <c r="D3131" s="1548">
        <v>10.4</v>
      </c>
      <c r="E3131" s="1557">
        <v>75145.0</v>
      </c>
      <c r="F3131" s="598">
        <v>888.0</v>
      </c>
      <c r="G3131" s="598">
        <v>365.0</v>
      </c>
      <c r="H3131" s="598">
        <v>672.0</v>
      </c>
      <c r="I3131" s="598">
        <v>27.0</v>
      </c>
      <c r="J3131" s="598">
        <v>2858.0</v>
      </c>
      <c r="K3131" s="1561">
        <v>4945.0</v>
      </c>
      <c r="L3131" s="1551">
        <v>65831.0</v>
      </c>
    </row>
    <row r="3132">
      <c r="A3132" s="1545" t="s">
        <v>197</v>
      </c>
      <c r="B3132" s="1587">
        <v>26718.0</v>
      </c>
      <c r="C3132" s="1563">
        <v>957.0</v>
      </c>
      <c r="D3132" s="1548">
        <v>18.4</v>
      </c>
      <c r="E3132" s="1557">
        <v>24299.0</v>
      </c>
      <c r="F3132" s="598">
        <v>560.0</v>
      </c>
      <c r="G3132" s="598">
        <v>381.0</v>
      </c>
      <c r="H3132" s="598">
        <v>148.0</v>
      </c>
      <c r="I3132" s="598">
        <v>1.0</v>
      </c>
      <c r="J3132" s="598">
        <v>229.0</v>
      </c>
      <c r="K3132" s="1561">
        <v>1100.0</v>
      </c>
      <c r="L3132" s="1638">
        <v>52891.0</v>
      </c>
    </row>
    <row r="3133">
      <c r="A3133" s="1545" t="s">
        <v>2355</v>
      </c>
      <c r="B3133" s="1587">
        <v>169151.0</v>
      </c>
      <c r="C3133" s="1547">
        <v>5836.0</v>
      </c>
      <c r="D3133" s="1548">
        <v>15.4</v>
      </c>
      <c r="E3133" s="1557">
        <v>128417.0</v>
      </c>
      <c r="F3133" s="598">
        <v>12082.0</v>
      </c>
      <c r="G3133" s="598">
        <v>730.0</v>
      </c>
      <c r="H3133" s="598">
        <v>2874.0</v>
      </c>
      <c r="I3133" s="598">
        <v>88.0</v>
      </c>
      <c r="J3133" s="598">
        <v>8864.0</v>
      </c>
      <c r="K3133" s="1561">
        <v>16096.0</v>
      </c>
      <c r="L3133" s="1551">
        <v>65013.0</v>
      </c>
    </row>
    <row r="3134">
      <c r="A3134" s="1545" t="s">
        <v>2356</v>
      </c>
      <c r="B3134" s="1587">
        <v>20563.0</v>
      </c>
      <c r="C3134" s="1563">
        <v>385.0</v>
      </c>
      <c r="D3134" s="1548">
        <v>8.9</v>
      </c>
      <c r="E3134" s="1557">
        <v>19149.0</v>
      </c>
      <c r="F3134" s="598">
        <v>60.0</v>
      </c>
      <c r="G3134" s="598">
        <v>89.0</v>
      </c>
      <c r="H3134" s="598">
        <v>68.0</v>
      </c>
      <c r="I3134" s="598">
        <v>2.0</v>
      </c>
      <c r="J3134" s="598">
        <v>484.0</v>
      </c>
      <c r="K3134" s="1561">
        <v>711.0</v>
      </c>
      <c r="L3134" s="1638">
        <v>63612.0</v>
      </c>
    </row>
    <row r="3135">
      <c r="A3135" s="1545" t="s">
        <v>2357</v>
      </c>
      <c r="B3135" s="1587">
        <v>120784.0</v>
      </c>
      <c r="C3135" s="1547">
        <v>1946.0</v>
      </c>
      <c r="D3135" s="1548">
        <v>8.5</v>
      </c>
      <c r="E3135" s="1557">
        <v>106317.0</v>
      </c>
      <c r="F3135" s="598">
        <v>1994.0</v>
      </c>
      <c r="G3135" s="598">
        <v>508.0</v>
      </c>
      <c r="H3135" s="598">
        <v>5608.0</v>
      </c>
      <c r="I3135" s="598">
        <v>26.0</v>
      </c>
      <c r="J3135" s="598">
        <v>1052.0</v>
      </c>
      <c r="K3135" s="1561">
        <v>5279.0</v>
      </c>
      <c r="L3135" s="1551">
        <v>60619.0</v>
      </c>
    </row>
    <row r="3136">
      <c r="A3136" s="1545" t="s">
        <v>289</v>
      </c>
      <c r="B3136" s="1587">
        <v>16611.0</v>
      </c>
      <c r="C3136" s="1563">
        <v>672.0</v>
      </c>
      <c r="D3136" s="1548">
        <v>16.9</v>
      </c>
      <c r="E3136" s="1557">
        <v>15231.0</v>
      </c>
      <c r="F3136" s="598">
        <v>28.0</v>
      </c>
      <c r="G3136" s="598">
        <v>48.0</v>
      </c>
      <c r="H3136" s="598">
        <v>40.0</v>
      </c>
      <c r="I3136" s="598">
        <v>4.0</v>
      </c>
      <c r="J3136" s="598">
        <v>615.0</v>
      </c>
      <c r="K3136" s="1561">
        <v>645.0</v>
      </c>
      <c r="L3136" s="1551">
        <v>60711.0</v>
      </c>
    </row>
    <row r="3137">
      <c r="A3137" s="1545" t="s">
        <v>2358</v>
      </c>
      <c r="B3137" s="1587">
        <v>19491.0</v>
      </c>
      <c r="C3137" s="1563">
        <v>747.0</v>
      </c>
      <c r="D3137" s="1548">
        <v>20.6</v>
      </c>
      <c r="E3137" s="1557">
        <v>18125.0</v>
      </c>
      <c r="F3137" s="598">
        <v>105.0</v>
      </c>
      <c r="G3137" s="598">
        <v>250.0</v>
      </c>
      <c r="H3137" s="598">
        <v>70.0</v>
      </c>
      <c r="I3137" s="598">
        <v>4.0</v>
      </c>
      <c r="J3137" s="598">
        <v>143.0</v>
      </c>
      <c r="K3137" s="1561">
        <v>794.0</v>
      </c>
      <c r="L3137" s="1551">
        <v>51334.0</v>
      </c>
    </row>
    <row r="3138">
      <c r="A3138" s="1545" t="s">
        <v>290</v>
      </c>
      <c r="B3138" s="1587">
        <v>28415.0</v>
      </c>
      <c r="C3138" s="1563">
        <v>622.0</v>
      </c>
      <c r="D3138" s="1548">
        <v>13.0</v>
      </c>
      <c r="E3138" s="1557">
        <v>26909.0</v>
      </c>
      <c r="F3138" s="598">
        <v>158.0</v>
      </c>
      <c r="G3138" s="598">
        <v>120.0</v>
      </c>
      <c r="H3138" s="598">
        <v>118.0</v>
      </c>
      <c r="I3138" s="598">
        <v>2.0</v>
      </c>
      <c r="J3138" s="598">
        <v>176.0</v>
      </c>
      <c r="K3138" s="1561">
        <v>932.0</v>
      </c>
      <c r="L3138" s="1638">
        <v>56645.0</v>
      </c>
    </row>
    <row r="3139">
      <c r="A3139" s="1545" t="s">
        <v>2359</v>
      </c>
      <c r="B3139" s="1587">
        <v>81359.0</v>
      </c>
      <c r="C3139" s="1547">
        <v>2069.0</v>
      </c>
      <c r="D3139" s="1548">
        <v>13.0</v>
      </c>
      <c r="E3139" s="1557">
        <v>72034.0</v>
      </c>
      <c r="F3139" s="598">
        <v>1070.0</v>
      </c>
      <c r="G3139" s="598">
        <v>464.0</v>
      </c>
      <c r="H3139" s="598">
        <v>2253.0</v>
      </c>
      <c r="I3139" s="598">
        <v>15.0</v>
      </c>
      <c r="J3139" s="598">
        <v>1496.0</v>
      </c>
      <c r="K3139" s="1561">
        <v>4027.0</v>
      </c>
      <c r="L3139" s="1638">
        <v>56466.0</v>
      </c>
    </row>
    <row r="3140">
      <c r="A3140" s="1545" t="s">
        <v>2360</v>
      </c>
      <c r="B3140" s="1587">
        <v>138013.0</v>
      </c>
      <c r="C3140" s="1547">
        <v>2680.0</v>
      </c>
      <c r="D3140" s="1548">
        <v>8.9</v>
      </c>
      <c r="E3140" s="1557">
        <v>119902.0</v>
      </c>
      <c r="F3140" s="598">
        <v>1192.0</v>
      </c>
      <c r="G3140" s="598">
        <v>648.0</v>
      </c>
      <c r="H3140" s="598">
        <v>8496.0</v>
      </c>
      <c r="I3140" s="598">
        <v>36.0</v>
      </c>
      <c r="J3140" s="598">
        <v>1853.0</v>
      </c>
      <c r="K3140" s="1561">
        <v>5886.0</v>
      </c>
      <c r="L3140" s="1551">
        <v>63442.0</v>
      </c>
    </row>
    <row r="3141">
      <c r="A3141" s="1545" t="s">
        <v>2361</v>
      </c>
      <c r="B3141" s="1587">
        <v>41872.0</v>
      </c>
      <c r="C3141" s="1547">
        <v>1245.0</v>
      </c>
      <c r="D3141" s="1548">
        <v>16.5</v>
      </c>
      <c r="E3141" s="1557">
        <v>39100.0</v>
      </c>
      <c r="F3141" s="598">
        <v>201.0</v>
      </c>
      <c r="G3141" s="598">
        <v>255.0</v>
      </c>
      <c r="H3141" s="598">
        <v>187.0</v>
      </c>
      <c r="I3141" s="598">
        <v>8.0</v>
      </c>
      <c r="J3141" s="598">
        <v>450.0</v>
      </c>
      <c r="K3141" s="1561">
        <v>1671.0</v>
      </c>
      <c r="L3141" s="1551">
        <v>50670.0</v>
      </c>
    </row>
    <row r="3142">
      <c r="A3142" s="1545" t="s">
        <v>1270</v>
      </c>
      <c r="B3142" s="1587">
        <v>15592.0</v>
      </c>
      <c r="C3142" s="1563">
        <v>466.0</v>
      </c>
      <c r="D3142" s="1548">
        <v>16.3</v>
      </c>
      <c r="E3142" s="1557">
        <v>14688.0</v>
      </c>
      <c r="F3142" s="598">
        <v>46.0</v>
      </c>
      <c r="G3142" s="598">
        <v>68.0</v>
      </c>
      <c r="H3142" s="598">
        <v>51.0</v>
      </c>
      <c r="I3142" s="598">
        <v>5.0</v>
      </c>
      <c r="J3142" s="598">
        <v>164.0</v>
      </c>
      <c r="K3142" s="1561">
        <v>570.0</v>
      </c>
      <c r="L3142" s="1551">
        <v>46964.0</v>
      </c>
    </row>
    <row r="3143">
      <c r="A3143" s="1545" t="s">
        <v>1272</v>
      </c>
      <c r="B3143" s="1587">
        <v>4255.0</v>
      </c>
      <c r="C3143" s="1563">
        <v>674.0</v>
      </c>
      <c r="D3143" s="1548">
        <v>43.3</v>
      </c>
      <c r="E3143" s="1557">
        <v>500.0</v>
      </c>
      <c r="F3143" s="598">
        <v>2.0</v>
      </c>
      <c r="G3143" s="598">
        <v>3643.0</v>
      </c>
      <c r="H3143" s="598">
        <v>2.0</v>
      </c>
      <c r="I3143" s="598">
        <v>3.0</v>
      </c>
      <c r="J3143" s="598">
        <v>4.0</v>
      </c>
      <c r="K3143" s="1561">
        <v>101.0</v>
      </c>
      <c r="L3143" s="1638">
        <v>40682.0</v>
      </c>
    </row>
    <row r="3144">
      <c r="A3144" s="1545" t="s">
        <v>437</v>
      </c>
      <c r="B3144" s="1587">
        <v>939489.0</v>
      </c>
      <c r="C3144" s="1547">
        <v>60701.0</v>
      </c>
      <c r="D3144" s="1548">
        <v>27.2</v>
      </c>
      <c r="E3144" s="1557">
        <v>488198.0</v>
      </c>
      <c r="F3144" s="598">
        <v>245863.0</v>
      </c>
      <c r="G3144" s="598">
        <v>7507.0</v>
      </c>
      <c r="H3144" s="598">
        <v>46446.0</v>
      </c>
      <c r="I3144" s="598">
        <v>369.0</v>
      </c>
      <c r="J3144" s="598">
        <v>63932.0</v>
      </c>
      <c r="K3144" s="1561">
        <v>87174.0</v>
      </c>
      <c r="L3144" s="1551">
        <v>49771.0</v>
      </c>
    </row>
    <row r="3145">
      <c r="A3145" s="1545" t="s">
        <v>156</v>
      </c>
      <c r="B3145" s="1587">
        <v>46274.0</v>
      </c>
      <c r="C3145" s="1547">
        <v>2299.0</v>
      </c>
      <c r="D3145" s="1548">
        <v>20.1</v>
      </c>
      <c r="E3145" s="1557">
        <v>41293.0</v>
      </c>
      <c r="F3145" s="598">
        <v>649.0</v>
      </c>
      <c r="G3145" s="598">
        <v>585.0</v>
      </c>
      <c r="H3145" s="598">
        <v>365.0</v>
      </c>
      <c r="I3145" s="598">
        <v>63.0</v>
      </c>
      <c r="J3145" s="598">
        <v>985.0</v>
      </c>
      <c r="K3145" s="1561">
        <v>2334.0</v>
      </c>
      <c r="L3145" s="1551">
        <v>58391.0</v>
      </c>
    </row>
    <row r="3146">
      <c r="A3146" s="1545" t="s">
        <v>2362</v>
      </c>
      <c r="B3146" s="1587">
        <v>38965.0</v>
      </c>
      <c r="C3146" s="1563">
        <v>939.0</v>
      </c>
      <c r="D3146" s="1548">
        <v>12.6</v>
      </c>
      <c r="E3146" s="1557">
        <v>36432.0</v>
      </c>
      <c r="F3146" s="598">
        <v>92.0</v>
      </c>
      <c r="G3146" s="598">
        <v>510.0</v>
      </c>
      <c r="H3146" s="598">
        <v>117.0</v>
      </c>
      <c r="I3146" s="598">
        <v>4.0</v>
      </c>
      <c r="J3146" s="598">
        <v>316.0</v>
      </c>
      <c r="K3146" s="1561">
        <v>1494.0</v>
      </c>
      <c r="L3146" s="1551">
        <v>59983.0</v>
      </c>
    </row>
    <row r="3147">
      <c r="A3147" s="1545" t="s">
        <v>685</v>
      </c>
      <c r="B3147" s="1587">
        <v>37845.0</v>
      </c>
      <c r="C3147" s="1563">
        <v>809.0</v>
      </c>
      <c r="D3147" s="1548">
        <v>13.7</v>
      </c>
      <c r="E3147" s="1557">
        <v>35468.0</v>
      </c>
      <c r="F3147" s="598">
        <v>213.0</v>
      </c>
      <c r="G3147" s="598">
        <v>473.0</v>
      </c>
      <c r="H3147" s="598">
        <v>205.0</v>
      </c>
      <c r="I3147" s="598">
        <v>18.0</v>
      </c>
      <c r="J3147" s="598">
        <v>214.0</v>
      </c>
      <c r="K3147" s="1561">
        <v>1254.0</v>
      </c>
      <c r="L3147" s="1638">
        <v>53805.0</v>
      </c>
    </row>
    <row r="3148">
      <c r="A3148" s="1545" t="s">
        <v>2363</v>
      </c>
      <c r="B3148" s="1587">
        <v>190705.0</v>
      </c>
      <c r="C3148" s="1547">
        <v>3465.0</v>
      </c>
      <c r="D3148" s="1548">
        <v>8.0</v>
      </c>
      <c r="E3148" s="1557">
        <v>164009.0</v>
      </c>
      <c r="F3148" s="598">
        <v>3053.0</v>
      </c>
      <c r="G3148" s="598">
        <v>3143.0</v>
      </c>
      <c r="H3148" s="598">
        <v>6618.0</v>
      </c>
      <c r="I3148" s="598">
        <v>112.0</v>
      </c>
      <c r="J3148" s="598">
        <v>3731.0</v>
      </c>
      <c r="K3148" s="1561">
        <v>10039.0</v>
      </c>
      <c r="L3148" s="1638">
        <v>65993.0</v>
      </c>
    </row>
    <row r="3149">
      <c r="A3149" s="1545" t="s">
        <v>2364</v>
      </c>
      <c r="B3149" s="1587">
        <v>91503.0</v>
      </c>
      <c r="C3149" s="1563">
        <v>739.0</v>
      </c>
      <c r="D3149" s="1548">
        <v>3.9</v>
      </c>
      <c r="E3149" s="1557">
        <v>82306.0</v>
      </c>
      <c r="F3149" s="598">
        <v>1524.0</v>
      </c>
      <c r="G3149" s="598">
        <v>241.0</v>
      </c>
      <c r="H3149" s="598">
        <v>2291.0</v>
      </c>
      <c r="I3149" s="598">
        <v>15.0</v>
      </c>
      <c r="J3149" s="598">
        <v>961.0</v>
      </c>
      <c r="K3149" s="1561">
        <v>4165.0</v>
      </c>
      <c r="L3149" s="1551">
        <v>83014.0</v>
      </c>
    </row>
    <row r="3150">
      <c r="A3150" s="1545" t="s">
        <v>2365</v>
      </c>
      <c r="B3150" s="1587">
        <v>7318.0</v>
      </c>
      <c r="C3150" s="1563">
        <v>230.0</v>
      </c>
      <c r="D3150" s="1548">
        <v>15.5</v>
      </c>
      <c r="E3150" s="1557">
        <v>6899.0</v>
      </c>
      <c r="F3150" s="598">
        <v>24.0</v>
      </c>
      <c r="G3150" s="598">
        <v>38.0</v>
      </c>
      <c r="H3150" s="598">
        <v>25.0</v>
      </c>
      <c r="I3150" s="598">
        <v>1.0</v>
      </c>
      <c r="J3150" s="598">
        <v>73.0</v>
      </c>
      <c r="K3150" s="1561">
        <v>258.0</v>
      </c>
      <c r="L3150" s="1551">
        <v>56348.0</v>
      </c>
    </row>
    <row r="3151">
      <c r="A3151" s="1545" t="s">
        <v>473</v>
      </c>
      <c r="B3151" s="1587">
        <v>42212.0</v>
      </c>
      <c r="C3151" s="1563">
        <v>609.0</v>
      </c>
      <c r="D3151" s="1548">
        <v>7.1</v>
      </c>
      <c r="E3151" s="1557">
        <v>38964.0</v>
      </c>
      <c r="F3151" s="598">
        <v>406.0</v>
      </c>
      <c r="G3151" s="598">
        <v>228.0</v>
      </c>
      <c r="H3151" s="598">
        <v>291.0</v>
      </c>
      <c r="I3151" s="598">
        <v>18.0</v>
      </c>
      <c r="J3151" s="598">
        <v>473.0</v>
      </c>
      <c r="K3151" s="1561">
        <v>1832.0</v>
      </c>
      <c r="L3151" s="1551">
        <v>75421.0</v>
      </c>
    </row>
    <row r="3152">
      <c r="A3152" s="1545" t="s">
        <v>302</v>
      </c>
      <c r="B3152" s="1587">
        <v>44977.0</v>
      </c>
      <c r="C3152" s="1547">
        <v>1175.0</v>
      </c>
      <c r="D3152" s="1548">
        <v>13.3</v>
      </c>
      <c r="E3152" s="1557">
        <v>42075.0</v>
      </c>
      <c r="F3152" s="598">
        <v>182.0</v>
      </c>
      <c r="G3152" s="598">
        <v>390.0</v>
      </c>
      <c r="H3152" s="598">
        <v>206.0</v>
      </c>
      <c r="I3152" s="598">
        <v>7.0</v>
      </c>
      <c r="J3152" s="598">
        <v>356.0</v>
      </c>
      <c r="K3152" s="1561">
        <v>1761.0</v>
      </c>
      <c r="L3152" s="1638">
        <v>59990.0</v>
      </c>
    </row>
    <row r="3153">
      <c r="A3153" s="1545" t="s">
        <v>1694</v>
      </c>
      <c r="B3153" s="1587">
        <v>70377.0</v>
      </c>
      <c r="C3153" s="1547">
        <v>1332.0</v>
      </c>
      <c r="D3153" s="1548">
        <v>9.9</v>
      </c>
      <c r="E3153" s="1557">
        <v>62967.0</v>
      </c>
      <c r="F3153" s="598">
        <v>945.0</v>
      </c>
      <c r="G3153" s="598">
        <v>298.0</v>
      </c>
      <c r="H3153" s="598">
        <v>2263.0</v>
      </c>
      <c r="I3153" s="598">
        <v>16.0</v>
      </c>
      <c r="J3153" s="598">
        <v>932.0</v>
      </c>
      <c r="K3153" s="1561">
        <v>2956.0</v>
      </c>
      <c r="L3153" s="1551">
        <v>59032.0</v>
      </c>
    </row>
    <row r="3154">
      <c r="A3154" s="1545" t="s">
        <v>2366</v>
      </c>
      <c r="B3154" s="1587">
        <v>14054.0</v>
      </c>
      <c r="C3154" s="1563">
        <v>438.0</v>
      </c>
      <c r="D3154" s="1548">
        <v>18.4</v>
      </c>
      <c r="E3154" s="1557">
        <v>13236.0</v>
      </c>
      <c r="F3154" s="598">
        <v>33.0</v>
      </c>
      <c r="G3154" s="598">
        <v>87.0</v>
      </c>
      <c r="H3154" s="598">
        <v>69.0</v>
      </c>
      <c r="I3154" s="598">
        <v>124.0</v>
      </c>
      <c r="J3154" s="598">
        <v>64.0</v>
      </c>
      <c r="K3154" s="1561">
        <v>441.0</v>
      </c>
      <c r="L3154" s="1638">
        <v>47032.0</v>
      </c>
    </row>
    <row r="3155">
      <c r="A3155" s="1545" t="s">
        <v>2367</v>
      </c>
      <c r="B3155" s="1587">
        <v>197727.0</v>
      </c>
      <c r="C3155" s="1547">
        <v>7818.0</v>
      </c>
      <c r="D3155" s="1548">
        <v>17.6</v>
      </c>
      <c r="E3155" s="1557">
        <v>142438.0</v>
      </c>
      <c r="F3155" s="598">
        <v>23303.0</v>
      </c>
      <c r="G3155" s="598">
        <v>1061.0</v>
      </c>
      <c r="H3155" s="598">
        <v>2316.0</v>
      </c>
      <c r="I3155" s="598">
        <v>59.0</v>
      </c>
      <c r="J3155" s="598">
        <v>10690.0</v>
      </c>
      <c r="K3155" s="1561">
        <v>17860.0</v>
      </c>
      <c r="L3155" s="1551">
        <v>60349.0</v>
      </c>
    </row>
    <row r="3156">
      <c r="A3156" s="1545" t="s">
        <v>743</v>
      </c>
      <c r="B3156" s="1587">
        <v>17304.0</v>
      </c>
      <c r="C3156" s="1563">
        <v>735.0</v>
      </c>
      <c r="D3156" s="1548">
        <v>20.1</v>
      </c>
      <c r="E3156" s="1557">
        <v>16157.0</v>
      </c>
      <c r="F3156" s="598">
        <v>96.0</v>
      </c>
      <c r="G3156" s="598">
        <v>54.0</v>
      </c>
      <c r="H3156" s="598">
        <v>96.0</v>
      </c>
      <c r="I3156" s="598">
        <v>0.0</v>
      </c>
      <c r="J3156" s="598">
        <v>216.0</v>
      </c>
      <c r="K3156" s="1561">
        <v>685.0</v>
      </c>
      <c r="L3156" s="1638">
        <v>53050.0</v>
      </c>
    </row>
    <row r="3157">
      <c r="A3157" s="1545" t="s">
        <v>1341</v>
      </c>
      <c r="B3157" s="1587">
        <v>163687.0</v>
      </c>
      <c r="C3157" s="1547">
        <v>5525.0</v>
      </c>
      <c r="D3157" s="1548">
        <v>15.0</v>
      </c>
      <c r="E3157" s="1557">
        <v>133107.0</v>
      </c>
      <c r="F3157" s="598">
        <v>8311.0</v>
      </c>
      <c r="G3157" s="598">
        <v>878.0</v>
      </c>
      <c r="H3157" s="598">
        <v>2059.0</v>
      </c>
      <c r="I3157" s="598">
        <v>72.0</v>
      </c>
      <c r="J3157" s="598">
        <v>7457.0</v>
      </c>
      <c r="K3157" s="1561">
        <v>11803.0</v>
      </c>
      <c r="L3157" s="1551">
        <v>57675.0</v>
      </c>
    </row>
    <row r="3158">
      <c r="A3158" s="1545" t="s">
        <v>2139</v>
      </c>
      <c r="B3158" s="1587">
        <v>14188.0</v>
      </c>
      <c r="C3158" s="1563">
        <v>654.0</v>
      </c>
      <c r="D3158" s="1548">
        <v>23.4</v>
      </c>
      <c r="E3158" s="1557">
        <v>13371.0</v>
      </c>
      <c r="F3158" s="598">
        <v>45.0</v>
      </c>
      <c r="G3158" s="598">
        <v>73.0</v>
      </c>
      <c r="H3158" s="598">
        <v>53.0</v>
      </c>
      <c r="I3158" s="598">
        <v>5.0</v>
      </c>
      <c r="J3158" s="598">
        <v>83.0</v>
      </c>
      <c r="K3158" s="1561">
        <v>558.0</v>
      </c>
      <c r="L3158" s="1638">
        <v>48448.0</v>
      </c>
    </row>
    <row r="3159">
      <c r="A3159" s="1545" t="s">
        <v>4244</v>
      </c>
      <c r="B3159" s="1587">
        <v>93536.0</v>
      </c>
      <c r="C3159" s="1547">
        <v>1118.0</v>
      </c>
      <c r="D3159" s="1548">
        <v>5.1</v>
      </c>
      <c r="E3159" s="1557">
        <v>86227.0</v>
      </c>
      <c r="F3159" s="598">
        <v>653.0</v>
      </c>
      <c r="G3159" s="598">
        <v>324.0</v>
      </c>
      <c r="H3159" s="598">
        <v>984.0</v>
      </c>
      <c r="I3159" s="598">
        <v>33.0</v>
      </c>
      <c r="J3159" s="598">
        <v>1073.0</v>
      </c>
      <c r="K3159" s="1561">
        <v>4242.0</v>
      </c>
      <c r="L3159" s="1551">
        <v>82575.0</v>
      </c>
    </row>
    <row r="3160">
      <c r="A3160" s="1545" t="s">
        <v>2369</v>
      </c>
      <c r="B3160" s="1587">
        <v>65763.0</v>
      </c>
      <c r="C3160" s="1547">
        <v>1664.0</v>
      </c>
      <c r="D3160" s="1548">
        <v>11.6</v>
      </c>
      <c r="E3160" s="1557">
        <v>58602.0</v>
      </c>
      <c r="F3160" s="598">
        <v>622.0</v>
      </c>
      <c r="G3160" s="598">
        <v>863.0</v>
      </c>
      <c r="H3160" s="598">
        <v>398.0</v>
      </c>
      <c r="I3160" s="598">
        <v>18.0</v>
      </c>
      <c r="J3160" s="598">
        <v>2012.0</v>
      </c>
      <c r="K3160" s="1561">
        <v>3248.0</v>
      </c>
      <c r="L3160" s="1551">
        <v>57256.0</v>
      </c>
    </row>
    <row r="3161">
      <c r="A3161" s="1545" t="s">
        <v>2370</v>
      </c>
      <c r="B3161" s="1587">
        <v>18074.0</v>
      </c>
      <c r="C3161" s="1563">
        <v>741.0</v>
      </c>
      <c r="D3161" s="1548">
        <v>23.6</v>
      </c>
      <c r="E3161" s="1557">
        <v>13920.0</v>
      </c>
      <c r="F3161" s="598">
        <v>101.0</v>
      </c>
      <c r="G3161" s="598">
        <v>2940.0</v>
      </c>
      <c r="H3161" s="598">
        <v>63.0</v>
      </c>
      <c r="I3161" s="598">
        <v>2.0</v>
      </c>
      <c r="J3161" s="598">
        <v>107.0</v>
      </c>
      <c r="K3161" s="1561">
        <v>941.0</v>
      </c>
      <c r="L3161" s="1551">
        <v>46490.0</v>
      </c>
    </row>
    <row r="3162">
      <c r="A3162" s="1545" t="s">
        <v>2371</v>
      </c>
      <c r="B3162" s="1587">
        <v>40881.0</v>
      </c>
      <c r="C3162" s="1547">
        <v>1293.0</v>
      </c>
      <c r="D3162" s="1548">
        <v>15.3</v>
      </c>
      <c r="E3162" s="1557">
        <v>34679.0</v>
      </c>
      <c r="F3162" s="598">
        <v>126.0</v>
      </c>
      <c r="G3162" s="598">
        <v>3455.0</v>
      </c>
      <c r="H3162" s="598">
        <v>165.0</v>
      </c>
      <c r="I3162" s="598">
        <v>6.0</v>
      </c>
      <c r="J3162" s="598">
        <v>487.0</v>
      </c>
      <c r="K3162" s="1561">
        <v>1963.0</v>
      </c>
      <c r="L3162" s="1638">
        <v>56022.0</v>
      </c>
    </row>
    <row r="3163">
      <c r="A3163" s="1545" t="s">
        <v>2372</v>
      </c>
      <c r="B3163" s="1587">
        <v>118034.0</v>
      </c>
      <c r="C3163" s="1547">
        <v>2604.0</v>
      </c>
      <c r="D3163" s="1548">
        <v>10.5</v>
      </c>
      <c r="E3163" s="1557">
        <v>98204.0</v>
      </c>
      <c r="F3163" s="598">
        <v>2539.0</v>
      </c>
      <c r="G3163" s="598">
        <v>540.0</v>
      </c>
      <c r="H3163" s="598">
        <v>6913.0</v>
      </c>
      <c r="I3163" s="598">
        <v>21.0</v>
      </c>
      <c r="J3163" s="598">
        <v>3400.0</v>
      </c>
      <c r="K3163" s="1561">
        <v>6417.0</v>
      </c>
      <c r="L3163" s="1551">
        <v>61906.0</v>
      </c>
    </row>
    <row r="3164">
      <c r="A3164" s="1545" t="s">
        <v>526</v>
      </c>
      <c r="B3164" s="1587">
        <v>19913.0</v>
      </c>
      <c r="C3164" s="1563">
        <v>720.0</v>
      </c>
      <c r="D3164" s="1548">
        <v>15.4</v>
      </c>
      <c r="E3164" s="1557">
        <v>18878.0</v>
      </c>
      <c r="F3164" s="598">
        <v>67.0</v>
      </c>
      <c r="G3164" s="598">
        <v>42.0</v>
      </c>
      <c r="H3164" s="598">
        <v>63.0</v>
      </c>
      <c r="I3164" s="598">
        <v>5.0</v>
      </c>
      <c r="J3164" s="598">
        <v>266.0</v>
      </c>
      <c r="K3164" s="1561">
        <v>592.0</v>
      </c>
      <c r="L3164" s="1551">
        <v>56981.0</v>
      </c>
    </row>
    <row r="3165">
      <c r="A3165" s="1545" t="s">
        <v>2373</v>
      </c>
      <c r="B3165" s="1587">
        <v>30760.0</v>
      </c>
      <c r="C3165" s="1563">
        <v>757.0</v>
      </c>
      <c r="D3165" s="1548">
        <v>10.6</v>
      </c>
      <c r="E3165" s="1557">
        <v>26301.0</v>
      </c>
      <c r="F3165" s="598">
        <v>105.0</v>
      </c>
      <c r="G3165" s="598">
        <v>377.0</v>
      </c>
      <c r="H3165" s="598">
        <v>109.0</v>
      </c>
      <c r="I3165" s="598">
        <v>0.0</v>
      </c>
      <c r="J3165" s="598">
        <v>2428.0</v>
      </c>
      <c r="K3165" s="1561">
        <v>1440.0</v>
      </c>
      <c r="L3165" s="1551">
        <v>56978.0</v>
      </c>
    </row>
    <row r="3166">
      <c r="A3166" s="1545" t="s">
        <v>1181</v>
      </c>
      <c r="B3166" s="1587">
        <v>30714.0</v>
      </c>
      <c r="C3166" s="1547">
        <v>1680.0</v>
      </c>
      <c r="D3166" s="1548">
        <v>21.3</v>
      </c>
      <c r="E3166" s="1557">
        <v>29315.0</v>
      </c>
      <c r="F3166" s="598">
        <v>127.0</v>
      </c>
      <c r="G3166" s="598">
        <v>49.0</v>
      </c>
      <c r="H3166" s="598">
        <v>96.0</v>
      </c>
      <c r="I3166" s="598">
        <v>10.0</v>
      </c>
      <c r="J3166" s="598">
        <v>231.0</v>
      </c>
      <c r="K3166" s="1561">
        <v>886.0</v>
      </c>
      <c r="L3166" s="1551">
        <v>51692.0</v>
      </c>
    </row>
    <row r="3167">
      <c r="A3167" s="1545" t="s">
        <v>2374</v>
      </c>
      <c r="B3167" s="1587">
        <v>23047.0</v>
      </c>
      <c r="C3167" s="1563">
        <v>732.0</v>
      </c>
      <c r="D3167" s="1548">
        <v>20.1</v>
      </c>
      <c r="E3167" s="1557">
        <v>19701.0</v>
      </c>
      <c r="F3167" s="598">
        <v>58.0</v>
      </c>
      <c r="G3167" s="598">
        <v>2252.0</v>
      </c>
      <c r="H3167" s="598">
        <v>58.0</v>
      </c>
      <c r="I3167" s="598">
        <v>0.0</v>
      </c>
      <c r="J3167" s="598">
        <v>114.0</v>
      </c>
      <c r="K3167" s="1561">
        <v>864.0</v>
      </c>
      <c r="L3167" s="1638">
        <v>47198.0</v>
      </c>
    </row>
    <row r="3168">
      <c r="A3168" s="1545" t="s">
        <v>1887</v>
      </c>
      <c r="B3168" s="1587">
        <v>106478.0</v>
      </c>
      <c r="C3168" s="1547">
        <v>2371.0</v>
      </c>
      <c r="D3168" s="1548">
        <v>11.3</v>
      </c>
      <c r="E3168" s="1557">
        <v>90957.0</v>
      </c>
      <c r="F3168" s="598">
        <v>1223.0</v>
      </c>
      <c r="G3168" s="598">
        <v>479.0</v>
      </c>
      <c r="H3168" s="598">
        <v>1016.0</v>
      </c>
      <c r="I3168" s="598">
        <v>15.0</v>
      </c>
      <c r="J3168" s="598">
        <v>4948.0</v>
      </c>
      <c r="K3168" s="1561">
        <v>7840.0</v>
      </c>
      <c r="L3168" s="1551">
        <v>64234.0</v>
      </c>
    </row>
    <row r="3169">
      <c r="A3169" s="1545" t="s">
        <v>2375</v>
      </c>
      <c r="B3169" s="1587">
        <v>16623.0</v>
      </c>
      <c r="C3169" s="1563">
        <v>524.0</v>
      </c>
      <c r="D3169" s="1548">
        <v>17.7</v>
      </c>
      <c r="E3169" s="1557">
        <v>15442.0</v>
      </c>
      <c r="F3169" s="598">
        <v>34.0</v>
      </c>
      <c r="G3169" s="598">
        <v>193.0</v>
      </c>
      <c r="H3169" s="598">
        <v>62.0</v>
      </c>
      <c r="I3169" s="598">
        <v>11.0</v>
      </c>
      <c r="J3169" s="598">
        <v>89.0</v>
      </c>
      <c r="K3169" s="1561">
        <v>792.0</v>
      </c>
      <c r="L3169" s="1638">
        <v>50482.0</v>
      </c>
    </row>
    <row r="3170">
      <c r="A3170" s="1545" t="s">
        <v>119</v>
      </c>
      <c r="B3170" s="1587">
        <v>136761.0</v>
      </c>
      <c r="C3170" s="1547">
        <v>1421.0</v>
      </c>
      <c r="D3170" s="1548">
        <v>4.9</v>
      </c>
      <c r="E3170" s="1557">
        <v>125351.0</v>
      </c>
      <c r="F3170" s="598">
        <v>1753.0</v>
      </c>
      <c r="G3170" s="598">
        <v>371.0</v>
      </c>
      <c r="H3170" s="598">
        <v>1951.0</v>
      </c>
      <c r="I3170" s="598">
        <v>30.0</v>
      </c>
      <c r="J3170" s="598">
        <v>1511.0</v>
      </c>
      <c r="K3170" s="1561">
        <v>5794.0</v>
      </c>
      <c r="L3170" s="1638">
        <v>75799.0</v>
      </c>
    </row>
    <row r="3171">
      <c r="A3171" s="1545" t="s">
        <v>2376</v>
      </c>
      <c r="B3171" s="1587">
        <v>406978.0</v>
      </c>
      <c r="C3171" s="1547">
        <v>4062.0</v>
      </c>
      <c r="D3171" s="1548">
        <v>4.8</v>
      </c>
      <c r="E3171" s="1557">
        <v>353946.0</v>
      </c>
      <c r="F3171" s="598">
        <v>6852.0</v>
      </c>
      <c r="G3171" s="598">
        <v>1202.0</v>
      </c>
      <c r="H3171" s="598">
        <v>15698.0</v>
      </c>
      <c r="I3171" s="598">
        <v>130.0</v>
      </c>
      <c r="J3171" s="598">
        <v>6102.0</v>
      </c>
      <c r="K3171" s="1561">
        <v>23048.0</v>
      </c>
      <c r="L3171" s="1551">
        <v>87333.0</v>
      </c>
    </row>
    <row r="3172">
      <c r="A3172" s="1545" t="s">
        <v>2377</v>
      </c>
      <c r="B3172" s="1587">
        <v>51812.0</v>
      </c>
      <c r="C3172" s="1547">
        <v>1392.0</v>
      </c>
      <c r="D3172" s="1548">
        <v>13.9</v>
      </c>
      <c r="E3172" s="1557">
        <v>48284.0</v>
      </c>
      <c r="F3172" s="598">
        <v>211.0</v>
      </c>
      <c r="G3172" s="598">
        <v>308.0</v>
      </c>
      <c r="H3172" s="598">
        <v>265.0</v>
      </c>
      <c r="I3172" s="598">
        <v>6.0</v>
      </c>
      <c r="J3172" s="598">
        <v>813.0</v>
      </c>
      <c r="K3172" s="1561">
        <v>1925.0</v>
      </c>
      <c r="L3172" s="1551">
        <v>58648.0</v>
      </c>
    </row>
    <row r="3173">
      <c r="A3173" s="1545" t="s">
        <v>2378</v>
      </c>
      <c r="B3173" s="1587">
        <v>24520.0</v>
      </c>
      <c r="C3173" s="1563">
        <v>700.0</v>
      </c>
      <c r="D3173" s="1548">
        <v>16.2</v>
      </c>
      <c r="E3173" s="1557">
        <v>22048.0</v>
      </c>
      <c r="F3173" s="598">
        <v>397.0</v>
      </c>
      <c r="G3173" s="598">
        <v>140.0</v>
      </c>
      <c r="H3173" s="598">
        <v>99.0</v>
      </c>
      <c r="I3173" s="598">
        <v>14.0</v>
      </c>
      <c r="J3173" s="598">
        <v>697.0</v>
      </c>
      <c r="K3173" s="1561">
        <v>1125.0</v>
      </c>
      <c r="L3173" s="1638">
        <v>52340.0</v>
      </c>
    </row>
    <row r="3174">
      <c r="A3174" s="1545" t="s">
        <v>753</v>
      </c>
      <c r="B3174" s="1587">
        <v>171730.0</v>
      </c>
      <c r="C3174" s="1547">
        <v>3981.0</v>
      </c>
      <c r="D3174" s="1548">
        <v>11.6</v>
      </c>
      <c r="E3174" s="1557">
        <v>148041.0</v>
      </c>
      <c r="F3174" s="598">
        <v>5099.0</v>
      </c>
      <c r="G3174" s="598">
        <v>1125.0</v>
      </c>
      <c r="H3174" s="598">
        <v>5601.0</v>
      </c>
      <c r="I3174" s="598">
        <v>53.0</v>
      </c>
      <c r="J3174" s="598">
        <v>3130.0</v>
      </c>
      <c r="K3174" s="1561">
        <v>8681.0</v>
      </c>
      <c r="L3174" s="1637">
        <v>57785.0</v>
      </c>
    </row>
    <row r="3175">
      <c r="A3175" s="1528" t="s">
        <v>1703</v>
      </c>
      <c r="B3175" s="1595">
        <v>74207.0</v>
      </c>
      <c r="C3175" s="1530">
        <v>2026.0</v>
      </c>
      <c r="D3175" s="1567">
        <v>13.2</v>
      </c>
      <c r="E3175" s="1532">
        <v>67814.0</v>
      </c>
      <c r="F3175" s="1533">
        <v>579.0</v>
      </c>
      <c r="G3175" s="1533">
        <v>620.0</v>
      </c>
      <c r="H3175" s="1533">
        <v>1391.0</v>
      </c>
      <c r="I3175" s="1533">
        <v>35.0</v>
      </c>
      <c r="J3175" s="1533">
        <v>931.0</v>
      </c>
      <c r="K3175" s="1616">
        <v>2837.0</v>
      </c>
      <c r="L3175" s="1617">
        <v>55879.0</v>
      </c>
    </row>
    <row r="3176">
      <c r="A3176" s="1538" t="s">
        <v>123</v>
      </c>
      <c r="B3176" s="1596">
        <v>576851.0</v>
      </c>
      <c r="C3176" s="1540">
        <v>17314.0</v>
      </c>
      <c r="D3176" s="1571">
        <v>13.1</v>
      </c>
      <c r="E3176" s="1572">
        <v>488374.0</v>
      </c>
      <c r="F3176" s="1542">
        <v>5232.0</v>
      </c>
      <c r="G3176" s="1542">
        <v>13898.0</v>
      </c>
      <c r="H3176" s="1542">
        <v>5212.0</v>
      </c>
      <c r="I3176" s="1542">
        <v>579.0</v>
      </c>
      <c r="J3176" s="1542">
        <v>20083.0</v>
      </c>
      <c r="K3176" s="1543">
        <v>43473.0</v>
      </c>
      <c r="L3176" s="1544">
        <v>62259.0</v>
      </c>
    </row>
    <row r="3177">
      <c r="A3177" s="1545" t="s">
        <v>1554</v>
      </c>
      <c r="B3177" s="1586">
        <v>37066.0</v>
      </c>
      <c r="C3177" s="1563">
        <v>827.0</v>
      </c>
      <c r="D3177" s="1548">
        <v>13.5</v>
      </c>
      <c r="E3177" s="1557">
        <v>30918.0</v>
      </c>
      <c r="F3177" s="598">
        <v>432.0</v>
      </c>
      <c r="G3177" s="598">
        <v>397.0</v>
      </c>
      <c r="H3177" s="598">
        <v>1041.0</v>
      </c>
      <c r="I3177" s="598">
        <v>37.0</v>
      </c>
      <c r="J3177" s="598">
        <v>1267.0</v>
      </c>
      <c r="K3177" s="1561">
        <v>2974.0</v>
      </c>
      <c r="L3177" s="1551">
        <v>47561.0</v>
      </c>
    </row>
    <row r="3178">
      <c r="A3178" s="1545" t="s">
        <v>1432</v>
      </c>
      <c r="B3178" s="1587">
        <v>11521.0</v>
      </c>
      <c r="C3178" s="1563">
        <v>511.0</v>
      </c>
      <c r="D3178" s="1548">
        <v>17.2</v>
      </c>
      <c r="E3178" s="1557">
        <v>10271.0</v>
      </c>
      <c r="F3178" s="598">
        <v>22.0</v>
      </c>
      <c r="G3178" s="598">
        <v>154.0</v>
      </c>
      <c r="H3178" s="598">
        <v>50.0</v>
      </c>
      <c r="I3178" s="598">
        <v>9.0</v>
      </c>
      <c r="J3178" s="598">
        <v>315.0</v>
      </c>
      <c r="K3178" s="1561">
        <v>700.0</v>
      </c>
      <c r="L3178" s="1551">
        <v>55195.0</v>
      </c>
    </row>
    <row r="3179">
      <c r="A3179" s="1545" t="s">
        <v>1036</v>
      </c>
      <c r="B3179" s="1587">
        <v>47026.0</v>
      </c>
      <c r="C3179" s="1547">
        <v>1413.0</v>
      </c>
      <c r="D3179" s="1548">
        <v>11.5</v>
      </c>
      <c r="E3179" s="1557">
        <v>40762.0</v>
      </c>
      <c r="F3179" s="598">
        <v>239.0</v>
      </c>
      <c r="G3179" s="598">
        <v>626.0</v>
      </c>
      <c r="H3179" s="598">
        <v>330.0</v>
      </c>
      <c r="I3179" s="598">
        <v>25.0</v>
      </c>
      <c r="J3179" s="598">
        <v>1997.0</v>
      </c>
      <c r="K3179" s="1561">
        <v>3047.0</v>
      </c>
      <c r="L3179" s="1551">
        <v>78112.0</v>
      </c>
    </row>
    <row r="3180">
      <c r="A3180" s="1545" t="s">
        <v>1434</v>
      </c>
      <c r="B3180" s="1587">
        <v>14537.0</v>
      </c>
      <c r="C3180" s="1563">
        <v>532.0</v>
      </c>
      <c r="D3180" s="1548">
        <v>15.9</v>
      </c>
      <c r="E3180" s="1557">
        <v>11957.0</v>
      </c>
      <c r="F3180" s="598">
        <v>140.0</v>
      </c>
      <c r="G3180" s="598">
        <v>195.0</v>
      </c>
      <c r="H3180" s="598">
        <v>93.0</v>
      </c>
      <c r="I3180" s="598">
        <v>16.0</v>
      </c>
      <c r="J3180" s="598">
        <v>884.0</v>
      </c>
      <c r="K3180" s="1561">
        <v>1252.0</v>
      </c>
      <c r="L3180" s="1551">
        <v>61773.0</v>
      </c>
    </row>
    <row r="3181">
      <c r="A3181" s="1545" t="s">
        <v>2380</v>
      </c>
      <c r="B3181" s="1587">
        <v>13751.0</v>
      </c>
      <c r="C3181" s="1563">
        <v>400.0</v>
      </c>
      <c r="D3181" s="1548">
        <v>12.1</v>
      </c>
      <c r="E3181" s="1557">
        <v>12366.0</v>
      </c>
      <c r="F3181" s="598">
        <v>41.0</v>
      </c>
      <c r="G3181" s="598">
        <v>90.0</v>
      </c>
      <c r="H3181" s="598">
        <v>55.0</v>
      </c>
      <c r="I3181" s="598">
        <v>3.0</v>
      </c>
      <c r="J3181" s="598">
        <v>367.0</v>
      </c>
      <c r="K3181" s="1561">
        <v>829.0</v>
      </c>
      <c r="L3181" s="1551">
        <v>68162.0</v>
      </c>
    </row>
    <row r="3182">
      <c r="A3182" s="1545" t="s">
        <v>1770</v>
      </c>
      <c r="B3182" s="1587">
        <v>7181.0</v>
      </c>
      <c r="C3182" s="1563">
        <v>219.0</v>
      </c>
      <c r="D3182" s="1548">
        <v>12.3</v>
      </c>
      <c r="E3182" s="1557">
        <v>6792.0</v>
      </c>
      <c r="F3182" s="598">
        <v>0.0</v>
      </c>
      <c r="G3182" s="598">
        <v>54.0</v>
      </c>
      <c r="H3182" s="598">
        <v>11.0</v>
      </c>
      <c r="I3182" s="598">
        <v>7.0</v>
      </c>
      <c r="J3182" s="598">
        <v>44.0</v>
      </c>
      <c r="K3182" s="1561">
        <v>273.0</v>
      </c>
      <c r="L3182" s="1551">
        <v>64053.0</v>
      </c>
    </row>
    <row r="3183">
      <c r="A3183" s="1545" t="s">
        <v>416</v>
      </c>
      <c r="B3183" s="1587">
        <v>39234.0</v>
      </c>
      <c r="C3183" s="1547">
        <v>2182.0</v>
      </c>
      <c r="D3183" s="1548">
        <v>22.1</v>
      </c>
      <c r="E3183" s="1557">
        <v>27238.0</v>
      </c>
      <c r="F3183" s="598">
        <v>192.0</v>
      </c>
      <c r="G3183" s="598">
        <v>8190.0</v>
      </c>
      <c r="H3183" s="598">
        <v>217.0</v>
      </c>
      <c r="I3183" s="598">
        <v>11.0</v>
      </c>
      <c r="J3183" s="598">
        <v>693.0</v>
      </c>
      <c r="K3183" s="1561">
        <v>2693.0</v>
      </c>
      <c r="L3183" s="1551">
        <v>51204.0</v>
      </c>
    </row>
    <row r="3184">
      <c r="A3184" s="1545" t="s">
        <v>2381</v>
      </c>
      <c r="B3184" s="1587">
        <v>12498.0</v>
      </c>
      <c r="C3184" s="1563">
        <v>466.0</v>
      </c>
      <c r="D3184" s="1548">
        <v>18.0</v>
      </c>
      <c r="E3184" s="1557">
        <v>11113.0</v>
      </c>
      <c r="F3184" s="598">
        <v>76.0</v>
      </c>
      <c r="G3184" s="598">
        <v>111.0</v>
      </c>
      <c r="H3184" s="598">
        <v>49.0</v>
      </c>
      <c r="I3184" s="598">
        <v>1.0</v>
      </c>
      <c r="J3184" s="598">
        <v>453.0</v>
      </c>
      <c r="K3184" s="1561">
        <v>695.0</v>
      </c>
      <c r="L3184" s="1551">
        <v>51676.0</v>
      </c>
    </row>
    <row r="3185">
      <c r="A3185" s="1545" t="s">
        <v>2382</v>
      </c>
      <c r="B3185" s="1587">
        <v>4621.0</v>
      </c>
      <c r="C3185" s="1563">
        <v>170.0</v>
      </c>
      <c r="D3185" s="1548">
        <v>18.4</v>
      </c>
      <c r="E3185" s="1557">
        <v>4219.0</v>
      </c>
      <c r="F3185" s="598">
        <v>13.0</v>
      </c>
      <c r="G3185" s="598">
        <v>51.0</v>
      </c>
      <c r="H3185" s="598">
        <v>18.0</v>
      </c>
      <c r="I3185" s="598">
        <v>3.0</v>
      </c>
      <c r="J3185" s="598">
        <v>33.0</v>
      </c>
      <c r="K3185" s="1561">
        <v>284.0</v>
      </c>
      <c r="L3185" s="1551">
        <v>49356.0</v>
      </c>
    </row>
    <row r="3186">
      <c r="A3186" s="1545" t="s">
        <v>288</v>
      </c>
      <c r="B3186" s="1587">
        <v>8447.0</v>
      </c>
      <c r="C3186" s="1563">
        <v>244.0</v>
      </c>
      <c r="D3186" s="1548">
        <v>13.4</v>
      </c>
      <c r="E3186" s="1557">
        <v>7771.0</v>
      </c>
      <c r="F3186" s="598">
        <v>26.0</v>
      </c>
      <c r="G3186" s="598">
        <v>74.0</v>
      </c>
      <c r="H3186" s="598">
        <v>15.0</v>
      </c>
      <c r="I3186" s="598">
        <v>7.0</v>
      </c>
      <c r="J3186" s="598">
        <v>114.0</v>
      </c>
      <c r="K3186" s="1561">
        <v>440.0</v>
      </c>
      <c r="L3186" s="1638">
        <v>57676.0</v>
      </c>
    </row>
    <row r="3187">
      <c r="A3187" s="1545" t="s">
        <v>2383</v>
      </c>
      <c r="B3187" s="1587">
        <v>100512.0</v>
      </c>
      <c r="C3187" s="1547">
        <v>2877.0</v>
      </c>
      <c r="D3187" s="1548">
        <v>12.8</v>
      </c>
      <c r="E3187" s="1557">
        <v>80598.0</v>
      </c>
      <c r="F3187" s="598">
        <v>2472.0</v>
      </c>
      <c r="G3187" s="598">
        <v>1123.0</v>
      </c>
      <c r="H3187" s="598">
        <v>1296.0</v>
      </c>
      <c r="I3187" s="598">
        <v>172.0</v>
      </c>
      <c r="J3187" s="598">
        <v>4538.0</v>
      </c>
      <c r="K3187" s="1561">
        <v>10313.0</v>
      </c>
      <c r="L3187" s="1551">
        <v>63839.0</v>
      </c>
    </row>
    <row r="3188">
      <c r="A3188" s="1545" t="s">
        <v>290</v>
      </c>
      <c r="B3188" s="1587">
        <v>19581.0</v>
      </c>
      <c r="C3188" s="1563">
        <v>468.0</v>
      </c>
      <c r="D3188" s="1548">
        <v>9.2</v>
      </c>
      <c r="E3188" s="1557">
        <v>17971.0</v>
      </c>
      <c r="F3188" s="598">
        <v>40.0</v>
      </c>
      <c r="G3188" s="598">
        <v>110.0</v>
      </c>
      <c r="H3188" s="598">
        <v>99.0</v>
      </c>
      <c r="I3188" s="598">
        <v>21.0</v>
      </c>
      <c r="J3188" s="598">
        <v>440.0</v>
      </c>
      <c r="K3188" s="1561">
        <v>900.0</v>
      </c>
      <c r="L3188" s="1638">
        <v>69598.0</v>
      </c>
    </row>
    <row r="3189">
      <c r="A3189" s="1545" t="s">
        <v>2384</v>
      </c>
      <c r="B3189" s="1587">
        <v>79955.0</v>
      </c>
      <c r="C3189" s="1547">
        <v>2419.0</v>
      </c>
      <c r="D3189" s="1548">
        <v>13.0</v>
      </c>
      <c r="E3189" s="1557">
        <v>69319.0</v>
      </c>
      <c r="F3189" s="598">
        <v>791.0</v>
      </c>
      <c r="G3189" s="598">
        <v>1053.0</v>
      </c>
      <c r="H3189" s="598">
        <v>649.0</v>
      </c>
      <c r="I3189" s="598">
        <v>92.0</v>
      </c>
      <c r="J3189" s="598">
        <v>2085.0</v>
      </c>
      <c r="K3189" s="1561">
        <v>5966.0</v>
      </c>
      <c r="L3189" s="1551">
        <v>64714.0</v>
      </c>
    </row>
    <row r="3190">
      <c r="A3190" s="1545" t="s">
        <v>2385</v>
      </c>
      <c r="B3190" s="1587">
        <v>2467.0</v>
      </c>
      <c r="C3190" s="1563">
        <v>69.0</v>
      </c>
      <c r="D3190" s="1548">
        <v>16.4</v>
      </c>
      <c r="E3190" s="1557">
        <v>2288.0</v>
      </c>
      <c r="F3190" s="598">
        <v>6.0</v>
      </c>
      <c r="G3190" s="598">
        <v>30.0</v>
      </c>
      <c r="H3190" s="598">
        <v>13.0</v>
      </c>
      <c r="I3190" s="598">
        <v>5.0</v>
      </c>
      <c r="J3190" s="598">
        <v>13.0</v>
      </c>
      <c r="K3190" s="1561">
        <v>112.0</v>
      </c>
      <c r="L3190" s="1551">
        <v>51036.0</v>
      </c>
    </row>
    <row r="3191">
      <c r="A3191" s="1545" t="s">
        <v>445</v>
      </c>
      <c r="B3191" s="1587">
        <v>29624.0</v>
      </c>
      <c r="C3191" s="1563">
        <v>802.0</v>
      </c>
      <c r="D3191" s="1548">
        <v>13.5</v>
      </c>
      <c r="E3191" s="1557">
        <v>26872.0</v>
      </c>
      <c r="F3191" s="598">
        <v>61.0</v>
      </c>
      <c r="G3191" s="598">
        <v>155.0</v>
      </c>
      <c r="H3191" s="598">
        <v>214.0</v>
      </c>
      <c r="I3191" s="598">
        <v>17.0</v>
      </c>
      <c r="J3191" s="598">
        <v>567.0</v>
      </c>
      <c r="K3191" s="1561">
        <v>1738.0</v>
      </c>
      <c r="L3191" s="1551">
        <v>58873.0</v>
      </c>
    </row>
    <row r="3192">
      <c r="A3192" s="1545" t="s">
        <v>1419</v>
      </c>
      <c r="B3192" s="1587">
        <v>8605.0</v>
      </c>
      <c r="C3192" s="1563">
        <v>292.0</v>
      </c>
      <c r="D3192" s="1548">
        <v>17.0</v>
      </c>
      <c r="E3192" s="1557">
        <v>7738.0</v>
      </c>
      <c r="F3192" s="598">
        <v>19.0</v>
      </c>
      <c r="G3192" s="598">
        <v>73.0</v>
      </c>
      <c r="H3192" s="598">
        <v>45.0</v>
      </c>
      <c r="I3192" s="598">
        <v>9.0</v>
      </c>
      <c r="J3192" s="598">
        <v>216.0</v>
      </c>
      <c r="K3192" s="1561">
        <v>505.0</v>
      </c>
      <c r="L3192" s="1551">
        <v>54165.0</v>
      </c>
    </row>
    <row r="3193">
      <c r="A3193" s="1545" t="s">
        <v>1010</v>
      </c>
      <c r="B3193" s="1587">
        <v>30921.0</v>
      </c>
      <c r="C3193" s="1563">
        <v>689.0</v>
      </c>
      <c r="D3193" s="1548">
        <v>11.0</v>
      </c>
      <c r="E3193" s="1557">
        <v>28000.0</v>
      </c>
      <c r="F3193" s="598">
        <v>115.0</v>
      </c>
      <c r="G3193" s="598">
        <v>379.0</v>
      </c>
      <c r="H3193" s="598">
        <v>181.0</v>
      </c>
      <c r="I3193" s="598">
        <v>19.0</v>
      </c>
      <c r="J3193" s="598">
        <v>456.0</v>
      </c>
      <c r="K3193" s="1561">
        <v>1771.0</v>
      </c>
      <c r="L3193" s="1551">
        <v>58307.0</v>
      </c>
    </row>
    <row r="3194">
      <c r="A3194" s="1545" t="s">
        <v>2386</v>
      </c>
      <c r="B3194" s="1587">
        <v>8728.0</v>
      </c>
      <c r="C3194" s="1563">
        <v>157.0</v>
      </c>
      <c r="D3194" s="1548">
        <v>7.3</v>
      </c>
      <c r="E3194" s="1557">
        <v>7786.0</v>
      </c>
      <c r="F3194" s="598">
        <v>18.0</v>
      </c>
      <c r="G3194" s="598">
        <v>50.0</v>
      </c>
      <c r="H3194" s="598">
        <v>50.0</v>
      </c>
      <c r="I3194" s="598">
        <v>11.0</v>
      </c>
      <c r="J3194" s="598">
        <v>288.0</v>
      </c>
      <c r="K3194" s="1561">
        <v>525.0</v>
      </c>
      <c r="L3194" s="1551">
        <v>74570.0</v>
      </c>
    </row>
    <row r="3195">
      <c r="A3195" s="1545" t="s">
        <v>2387</v>
      </c>
      <c r="B3195" s="1587">
        <v>42272.0</v>
      </c>
      <c r="C3195" s="1547">
        <v>1099.0</v>
      </c>
      <c r="D3195" s="1548">
        <v>10.0</v>
      </c>
      <c r="E3195" s="1557">
        <v>34389.0</v>
      </c>
      <c r="F3195" s="598">
        <v>366.0</v>
      </c>
      <c r="G3195" s="598">
        <v>433.0</v>
      </c>
      <c r="H3195" s="598">
        <v>295.0</v>
      </c>
      <c r="I3195" s="598">
        <v>70.0</v>
      </c>
      <c r="J3195" s="598">
        <v>2508.0</v>
      </c>
      <c r="K3195" s="1561">
        <v>4211.0</v>
      </c>
      <c r="L3195" s="1551">
        <v>73315.0</v>
      </c>
    </row>
    <row r="3196">
      <c r="A3196" s="1545" t="s">
        <v>690</v>
      </c>
      <c r="B3196" s="1587">
        <v>23331.0</v>
      </c>
      <c r="C3196" s="1563">
        <v>278.0</v>
      </c>
      <c r="D3196" s="1548">
        <v>6.7</v>
      </c>
      <c r="E3196" s="1557">
        <v>19202.0</v>
      </c>
      <c r="F3196" s="598">
        <v>55.0</v>
      </c>
      <c r="G3196" s="598">
        <v>185.0</v>
      </c>
      <c r="H3196" s="598">
        <v>317.0</v>
      </c>
      <c r="I3196" s="598">
        <v>5.0</v>
      </c>
      <c r="J3196" s="598">
        <v>1415.0</v>
      </c>
      <c r="K3196" s="1561">
        <v>2152.0</v>
      </c>
      <c r="L3196" s="1551">
        <v>99087.0</v>
      </c>
    </row>
    <row r="3197">
      <c r="A3197" s="1545" t="s">
        <v>2388</v>
      </c>
      <c r="B3197" s="1587">
        <v>20450.0</v>
      </c>
      <c r="C3197" s="1563">
        <v>696.0</v>
      </c>
      <c r="D3197" s="1548">
        <v>12.1</v>
      </c>
      <c r="E3197" s="1557">
        <v>18007.0</v>
      </c>
      <c r="F3197" s="598">
        <v>66.0</v>
      </c>
      <c r="G3197" s="598">
        <v>191.0</v>
      </c>
      <c r="H3197" s="598">
        <v>114.0</v>
      </c>
      <c r="I3197" s="598">
        <v>27.0</v>
      </c>
      <c r="J3197" s="598">
        <v>864.0</v>
      </c>
      <c r="K3197" s="1561">
        <v>1181.0</v>
      </c>
      <c r="L3197" s="1583">
        <v>63401.0</v>
      </c>
    </row>
    <row r="3198">
      <c r="A3198" s="1545" t="s">
        <v>2389</v>
      </c>
      <c r="B3198" s="1587">
        <v>7685.0</v>
      </c>
      <c r="C3198" s="1563">
        <v>277.0</v>
      </c>
      <c r="D3198" s="1548">
        <v>16.1</v>
      </c>
      <c r="E3198" s="1557">
        <v>6600.0</v>
      </c>
      <c r="F3198" s="598">
        <v>12.0</v>
      </c>
      <c r="G3198" s="598">
        <v>77.0</v>
      </c>
      <c r="H3198" s="598">
        <v>33.0</v>
      </c>
      <c r="I3198" s="598">
        <v>3.0</v>
      </c>
      <c r="J3198" s="598">
        <v>388.0</v>
      </c>
      <c r="K3198" s="1629">
        <v>572.0</v>
      </c>
      <c r="L3198" s="1639">
        <v>55190.0</v>
      </c>
    </row>
    <row r="3199">
      <c r="A3199" s="1528" t="s">
        <v>2390</v>
      </c>
      <c r="B3199" s="1595">
        <v>6838.0</v>
      </c>
      <c r="C3199" s="1582">
        <v>227.0</v>
      </c>
      <c r="D3199" s="1567">
        <v>16.1</v>
      </c>
      <c r="E3199" s="1532">
        <v>6197.0</v>
      </c>
      <c r="F3199" s="1533">
        <v>30.0</v>
      </c>
      <c r="G3199" s="1533">
        <v>97.0</v>
      </c>
      <c r="H3199" s="1533">
        <v>27.0</v>
      </c>
      <c r="I3199" s="1533">
        <v>9.0</v>
      </c>
      <c r="J3199" s="1533">
        <v>138.0</v>
      </c>
      <c r="K3199" s="1535">
        <v>340.0</v>
      </c>
      <c r="L3199" s="1640">
        <v>54319.0</v>
      </c>
    </row>
    <row r="3200">
      <c r="A3200" s="1641"/>
      <c r="B3200" s="1642"/>
      <c r="C3200" s="1643"/>
      <c r="D3200" s="1644"/>
      <c r="E3200" s="727"/>
      <c r="F3200" s="727"/>
      <c r="G3200" s="727"/>
      <c r="H3200" s="727"/>
      <c r="I3200" s="727"/>
      <c r="J3200" s="727"/>
      <c r="K3200" s="727"/>
      <c r="L3200" s="1645"/>
    </row>
    <row r="3201">
      <c r="A3201" s="1641"/>
      <c r="B3201" s="1642"/>
      <c r="C3201" s="1644"/>
      <c r="D3201" s="1644"/>
      <c r="E3201" s="727"/>
      <c r="F3201" s="727"/>
      <c r="G3201" s="727"/>
      <c r="H3201" s="727"/>
      <c r="I3201" s="727"/>
      <c r="J3201" s="727"/>
      <c r="K3201" s="727"/>
      <c r="L3201" s="1645"/>
    </row>
    <row r="3202">
      <c r="A3202" s="1641"/>
      <c r="B3202" s="1646"/>
      <c r="C3202" s="1644"/>
      <c r="D3202" s="1644"/>
      <c r="E3202" s="727"/>
      <c r="F3202" s="727"/>
      <c r="G3202" s="727"/>
      <c r="H3202" s="727"/>
      <c r="I3202" s="727"/>
      <c r="J3202" s="727"/>
      <c r="K3202" s="727"/>
      <c r="L3202" s="1645"/>
    </row>
    <row r="3203">
      <c r="A3203" s="1641"/>
      <c r="B3203" s="1646"/>
      <c r="C3203" s="1644"/>
      <c r="D3203" s="1644"/>
      <c r="E3203" s="727"/>
      <c r="F3203" s="727"/>
      <c r="G3203" s="727"/>
      <c r="H3203" s="727"/>
      <c r="I3203" s="727"/>
      <c r="J3203" s="727"/>
      <c r="K3203" s="727"/>
      <c r="L3203" s="1645"/>
    </row>
    <row r="3204">
      <c r="A3204" s="1641"/>
      <c r="B3204" s="1647"/>
      <c r="C3204" s="1644"/>
      <c r="D3204" s="1644"/>
      <c r="E3204" s="727"/>
      <c r="F3204" s="727"/>
      <c r="G3204" s="727"/>
      <c r="H3204" s="727"/>
      <c r="I3204" s="727"/>
      <c r="J3204" s="727"/>
      <c r="K3204" s="727"/>
      <c r="L3204" s="1645"/>
    </row>
    <row r="3205">
      <c r="A3205" s="1641"/>
      <c r="B3205" s="1646"/>
      <c r="C3205" s="1644"/>
      <c r="D3205" s="1644"/>
      <c r="E3205" s="727"/>
      <c r="F3205" s="727"/>
      <c r="G3205" s="727"/>
      <c r="H3205" s="727"/>
      <c r="I3205" s="727"/>
      <c r="J3205" s="727"/>
      <c r="K3205" s="727"/>
      <c r="L3205" s="1645"/>
    </row>
    <row r="3206">
      <c r="A3206" s="1641"/>
      <c r="B3206" s="1648"/>
      <c r="C3206" s="1644"/>
      <c r="D3206" s="1644"/>
      <c r="E3206" s="727"/>
      <c r="F3206" s="727"/>
      <c r="G3206" s="727"/>
      <c r="H3206" s="727"/>
      <c r="I3206" s="727"/>
      <c r="J3206" s="727"/>
      <c r="K3206" s="727"/>
      <c r="L3206" s="1645"/>
    </row>
    <row r="3207">
      <c r="A3207" s="1641"/>
      <c r="B3207" s="1649"/>
      <c r="C3207" s="1644"/>
      <c r="D3207" s="1644"/>
      <c r="E3207" s="727"/>
      <c r="F3207" s="727"/>
      <c r="G3207" s="727"/>
      <c r="H3207" s="727"/>
      <c r="I3207" s="727"/>
      <c r="J3207" s="727"/>
      <c r="K3207" s="727"/>
      <c r="L3207" s="1645"/>
    </row>
    <row r="3208">
      <c r="A3208" s="1641"/>
      <c r="B3208" s="1648"/>
      <c r="C3208" s="1644"/>
      <c r="D3208" s="1644"/>
      <c r="E3208" s="727"/>
      <c r="F3208" s="727"/>
      <c r="G3208" s="727"/>
      <c r="H3208" s="727"/>
      <c r="I3208" s="727"/>
      <c r="J3208" s="727"/>
      <c r="K3208" s="727"/>
      <c r="L3208" s="1645"/>
    </row>
    <row r="3209">
      <c r="A3209" s="1641"/>
      <c r="B3209" s="1649"/>
      <c r="C3209" s="1644"/>
      <c r="D3209" s="1644"/>
      <c r="E3209" s="727"/>
      <c r="F3209" s="727"/>
      <c r="G3209" s="727"/>
      <c r="H3209" s="727"/>
      <c r="I3209" s="727"/>
      <c r="J3209" s="727"/>
      <c r="K3209" s="727"/>
      <c r="L3209" s="1645"/>
    </row>
    <row r="3210">
      <c r="A3210" s="1641"/>
      <c r="B3210" s="1649"/>
      <c r="C3210" s="1644"/>
      <c r="D3210" s="1644"/>
      <c r="E3210" s="727"/>
      <c r="F3210" s="727"/>
      <c r="G3210" s="727"/>
      <c r="H3210" s="727"/>
      <c r="I3210" s="727"/>
      <c r="J3210" s="727"/>
      <c r="K3210" s="727"/>
      <c r="L3210" s="1645"/>
    </row>
    <row r="3211">
      <c r="A3211" s="1641"/>
      <c r="B3211" s="1648"/>
      <c r="C3211" s="1644"/>
      <c r="D3211" s="1644"/>
      <c r="E3211" s="727"/>
      <c r="F3211" s="727"/>
      <c r="G3211" s="727"/>
      <c r="H3211" s="727"/>
      <c r="I3211" s="727"/>
      <c r="J3211" s="727"/>
      <c r="K3211" s="727"/>
      <c r="L3211" s="1645"/>
    </row>
    <row r="3212">
      <c r="A3212" s="1641"/>
      <c r="B3212" s="1649"/>
      <c r="C3212" s="1644"/>
      <c r="D3212" s="1644"/>
      <c r="E3212" s="727"/>
      <c r="F3212" s="727"/>
      <c r="G3212" s="727"/>
      <c r="H3212" s="727"/>
      <c r="I3212" s="727"/>
      <c r="J3212" s="727"/>
      <c r="K3212" s="727"/>
      <c r="L3212" s="1645"/>
    </row>
    <row r="3213">
      <c r="A3213" s="1641"/>
      <c r="B3213" s="1649"/>
      <c r="C3213" s="1644"/>
      <c r="D3213" s="1644"/>
      <c r="E3213" s="727"/>
      <c r="F3213" s="727"/>
      <c r="G3213" s="727"/>
      <c r="H3213" s="727"/>
      <c r="I3213" s="727"/>
      <c r="J3213" s="727"/>
      <c r="K3213" s="727"/>
      <c r="L3213" s="1645"/>
    </row>
    <row r="3214">
      <c r="A3214" s="1641"/>
      <c r="B3214" s="1648"/>
      <c r="C3214" s="1644"/>
      <c r="D3214" s="1644"/>
      <c r="E3214" s="727"/>
      <c r="F3214" s="727"/>
      <c r="G3214" s="727"/>
      <c r="H3214" s="727"/>
      <c r="I3214" s="727"/>
      <c r="J3214" s="727"/>
      <c r="K3214" s="727"/>
      <c r="L3214" s="1645"/>
    </row>
    <row r="3215">
      <c r="A3215" s="1641"/>
      <c r="B3215" s="1648"/>
      <c r="C3215" s="1644"/>
      <c r="D3215" s="1644"/>
      <c r="E3215" s="727"/>
      <c r="F3215" s="727"/>
      <c r="G3215" s="727"/>
      <c r="H3215" s="727"/>
      <c r="I3215" s="727"/>
      <c r="J3215" s="727"/>
      <c r="K3215" s="727"/>
      <c r="L3215" s="1645"/>
    </row>
    <row r="3216">
      <c r="A3216" s="1641"/>
      <c r="B3216" s="1649"/>
      <c r="C3216" s="1644"/>
      <c r="D3216" s="1644"/>
      <c r="E3216" s="727"/>
      <c r="F3216" s="727"/>
      <c r="G3216" s="727"/>
      <c r="H3216" s="727"/>
      <c r="I3216" s="727"/>
      <c r="J3216" s="727"/>
      <c r="K3216" s="727"/>
      <c r="L3216" s="1645"/>
    </row>
    <row r="3217">
      <c r="A3217" s="1641"/>
      <c r="B3217" s="1648"/>
      <c r="C3217" s="1644"/>
      <c r="D3217" s="1644"/>
      <c r="E3217" s="727"/>
      <c r="F3217" s="727"/>
      <c r="G3217" s="727"/>
      <c r="H3217" s="727"/>
      <c r="I3217" s="727"/>
      <c r="J3217" s="727"/>
      <c r="K3217" s="727"/>
      <c r="L3217" s="1645"/>
    </row>
    <row r="3218">
      <c r="A3218" s="1641"/>
      <c r="B3218" s="1649"/>
      <c r="C3218" s="1644"/>
      <c r="D3218" s="1644"/>
      <c r="E3218" s="727"/>
      <c r="F3218" s="727"/>
      <c r="G3218" s="727"/>
      <c r="H3218" s="727"/>
      <c r="I3218" s="727"/>
      <c r="J3218" s="727"/>
      <c r="K3218" s="727"/>
      <c r="L3218" s="1645"/>
    </row>
    <row r="3219">
      <c r="A3219" s="1641"/>
      <c r="B3219" s="1648"/>
      <c r="C3219" s="1644"/>
      <c r="D3219" s="1644"/>
      <c r="E3219" s="727"/>
      <c r="F3219" s="727"/>
      <c r="G3219" s="727"/>
      <c r="H3219" s="727"/>
      <c r="I3219" s="727"/>
      <c r="J3219" s="727"/>
      <c r="K3219" s="727"/>
      <c r="L3219" s="1645"/>
    </row>
    <row r="3220">
      <c r="A3220" s="1641"/>
      <c r="B3220" s="1649"/>
      <c r="C3220" s="1644"/>
      <c r="D3220" s="1644"/>
      <c r="E3220" s="727"/>
      <c r="F3220" s="727"/>
      <c r="G3220" s="727"/>
      <c r="H3220" s="727"/>
      <c r="I3220" s="727"/>
      <c r="J3220" s="727"/>
      <c r="K3220" s="727"/>
      <c r="L3220" s="1645"/>
    </row>
    <row r="3221">
      <c r="A3221" s="1641"/>
      <c r="B3221" s="1649"/>
      <c r="C3221" s="1644"/>
      <c r="D3221" s="1644"/>
      <c r="E3221" s="727"/>
      <c r="F3221" s="727"/>
      <c r="G3221" s="727"/>
      <c r="H3221" s="727"/>
      <c r="I3221" s="727"/>
      <c r="J3221" s="727"/>
      <c r="K3221" s="727"/>
      <c r="L3221" s="1645"/>
    </row>
    <row r="3222">
      <c r="A3222" s="1641"/>
      <c r="B3222" s="1649"/>
      <c r="C3222" s="1644"/>
      <c r="D3222" s="1644"/>
      <c r="E3222" s="727"/>
      <c r="F3222" s="727"/>
      <c r="G3222" s="727"/>
      <c r="H3222" s="727"/>
      <c r="I3222" s="727"/>
      <c r="J3222" s="727"/>
      <c r="K3222" s="727"/>
      <c r="L3222" s="1645"/>
    </row>
    <row r="3223">
      <c r="A3223" s="1641"/>
      <c r="B3223" s="1648"/>
      <c r="C3223" s="1644"/>
      <c r="D3223" s="1644"/>
      <c r="E3223" s="727"/>
      <c r="F3223" s="727"/>
      <c r="G3223" s="727"/>
      <c r="H3223" s="727"/>
      <c r="I3223" s="727"/>
      <c r="J3223" s="727"/>
      <c r="K3223" s="727"/>
      <c r="L3223" s="1645"/>
    </row>
    <row r="3224">
      <c r="A3224" s="1641"/>
      <c r="B3224" s="1649"/>
      <c r="C3224" s="1644"/>
      <c r="D3224" s="1644"/>
      <c r="E3224" s="727"/>
      <c r="F3224" s="727"/>
      <c r="G3224" s="727"/>
      <c r="H3224" s="727"/>
      <c r="I3224" s="727"/>
      <c r="J3224" s="727"/>
      <c r="K3224" s="727"/>
      <c r="L3224" s="1645"/>
    </row>
    <row r="3225">
      <c r="A3225" s="1641"/>
      <c r="B3225" s="1649"/>
      <c r="C3225" s="1644"/>
      <c r="D3225" s="1644"/>
      <c r="E3225" s="727"/>
      <c r="F3225" s="727"/>
      <c r="G3225" s="727"/>
      <c r="H3225" s="727"/>
      <c r="I3225" s="727"/>
      <c r="J3225" s="727"/>
      <c r="K3225" s="727"/>
      <c r="L3225" s="1645"/>
    </row>
    <row r="3226">
      <c r="A3226" s="1641"/>
      <c r="B3226" s="1649"/>
      <c r="C3226" s="1644"/>
      <c r="D3226" s="1644"/>
      <c r="E3226" s="727"/>
      <c r="F3226" s="727"/>
      <c r="G3226" s="727"/>
      <c r="H3226" s="727"/>
      <c r="I3226" s="727"/>
      <c r="J3226" s="727"/>
      <c r="K3226" s="727"/>
      <c r="L3226" s="1645"/>
    </row>
    <row r="3227">
      <c r="A3227" s="1641"/>
      <c r="B3227" s="1648"/>
      <c r="C3227" s="1644"/>
      <c r="D3227" s="1644"/>
      <c r="E3227" s="727"/>
      <c r="F3227" s="727"/>
      <c r="G3227" s="727"/>
      <c r="H3227" s="727"/>
      <c r="I3227" s="727"/>
      <c r="J3227" s="727"/>
      <c r="K3227" s="727"/>
      <c r="L3227" s="1645"/>
    </row>
    <row r="3228">
      <c r="A3228" s="1641"/>
      <c r="B3228" s="1648"/>
      <c r="C3228" s="1644"/>
      <c r="D3228" s="1644"/>
      <c r="E3228" s="727"/>
      <c r="F3228" s="727"/>
      <c r="G3228" s="727"/>
      <c r="H3228" s="727"/>
      <c r="I3228" s="727"/>
      <c r="J3228" s="727"/>
      <c r="K3228" s="727"/>
      <c r="L3228" s="1645"/>
    </row>
    <row r="3229">
      <c r="A3229" s="1641"/>
      <c r="B3229" s="1649"/>
      <c r="C3229" s="1644"/>
      <c r="D3229" s="1644"/>
      <c r="E3229" s="727"/>
      <c r="F3229" s="727"/>
      <c r="G3229" s="727"/>
      <c r="H3229" s="727"/>
      <c r="I3229" s="727"/>
      <c r="J3229" s="727"/>
      <c r="K3229" s="727"/>
      <c r="L3229" s="137"/>
    </row>
    <row r="3230">
      <c r="A3230" s="1641"/>
      <c r="B3230" s="1648"/>
      <c r="C3230" s="1644"/>
      <c r="D3230" s="1644"/>
      <c r="E3230" s="727"/>
      <c r="F3230" s="727"/>
      <c r="G3230" s="727"/>
      <c r="H3230" s="727"/>
      <c r="I3230" s="727"/>
      <c r="J3230" s="727"/>
      <c r="K3230" s="727"/>
      <c r="L3230" s="137"/>
    </row>
    <row r="3231">
      <c r="A3231" s="1641"/>
      <c r="B3231" s="1648"/>
      <c r="C3231" s="1644"/>
      <c r="D3231" s="1644"/>
      <c r="E3231" s="727"/>
      <c r="F3231" s="727"/>
      <c r="G3231" s="727"/>
      <c r="H3231" s="727"/>
      <c r="I3231" s="727"/>
      <c r="J3231" s="727"/>
      <c r="K3231" s="727"/>
      <c r="L3231" s="137"/>
    </row>
    <row r="3232">
      <c r="A3232" s="1641"/>
      <c r="B3232" s="1648"/>
      <c r="C3232" s="1644"/>
      <c r="D3232" s="1644"/>
      <c r="E3232" s="727"/>
      <c r="F3232" s="727"/>
      <c r="G3232" s="727"/>
      <c r="H3232" s="727"/>
      <c r="I3232" s="727"/>
      <c r="J3232" s="727"/>
      <c r="K3232" s="727"/>
      <c r="L3232" s="137"/>
    </row>
    <row r="3233">
      <c r="A3233" s="1641"/>
      <c r="B3233" s="1649"/>
      <c r="C3233" s="1644"/>
      <c r="D3233" s="1644"/>
      <c r="E3233" s="727"/>
      <c r="F3233" s="727"/>
      <c r="G3233" s="727"/>
      <c r="H3233" s="727"/>
      <c r="I3233" s="727"/>
      <c r="J3233" s="727"/>
      <c r="K3233" s="727"/>
      <c r="L3233" s="137"/>
    </row>
    <row r="3234">
      <c r="A3234" s="1641"/>
      <c r="B3234" s="1648"/>
      <c r="C3234" s="1644"/>
      <c r="D3234" s="1644"/>
      <c r="E3234" s="727"/>
      <c r="F3234" s="727"/>
      <c r="G3234" s="727"/>
      <c r="H3234" s="727"/>
      <c r="I3234" s="727"/>
      <c r="J3234" s="727"/>
      <c r="K3234" s="727"/>
      <c r="L3234" s="137"/>
    </row>
    <row r="3235">
      <c r="A3235" s="1641"/>
      <c r="B3235" s="1648"/>
      <c r="C3235" s="1644"/>
      <c r="D3235" s="1644"/>
      <c r="E3235" s="727"/>
      <c r="F3235" s="727"/>
      <c r="G3235" s="727"/>
      <c r="H3235" s="727"/>
      <c r="I3235" s="727"/>
      <c r="J3235" s="727"/>
      <c r="K3235" s="727"/>
      <c r="L3235" s="137"/>
    </row>
    <row r="3236">
      <c r="A3236" s="1641"/>
      <c r="B3236" s="1648"/>
      <c r="C3236" s="1644"/>
      <c r="D3236" s="1644"/>
      <c r="E3236" s="727"/>
      <c r="F3236" s="727"/>
      <c r="G3236" s="727"/>
      <c r="H3236" s="727"/>
      <c r="I3236" s="727"/>
      <c r="J3236" s="727"/>
      <c r="K3236" s="727"/>
      <c r="L3236" s="137"/>
    </row>
    <row r="3237">
      <c r="A3237" s="1641"/>
      <c r="B3237" s="1649"/>
      <c r="C3237" s="1644"/>
      <c r="D3237" s="1644"/>
      <c r="E3237" s="727"/>
      <c r="F3237" s="727"/>
      <c r="G3237" s="727"/>
      <c r="H3237" s="727"/>
      <c r="I3237" s="727"/>
      <c r="J3237" s="727"/>
      <c r="K3237" s="727"/>
      <c r="L3237" s="137"/>
    </row>
    <row r="3238">
      <c r="A3238" s="1641"/>
      <c r="B3238" s="1648"/>
      <c r="C3238" s="1644"/>
      <c r="D3238" s="1644"/>
      <c r="E3238" s="727"/>
      <c r="F3238" s="727"/>
      <c r="G3238" s="727"/>
      <c r="H3238" s="727"/>
      <c r="I3238" s="727"/>
      <c r="J3238" s="727"/>
      <c r="K3238" s="727"/>
      <c r="L3238" s="137"/>
    </row>
    <row r="3239">
      <c r="A3239" s="1641"/>
      <c r="B3239" s="1649"/>
      <c r="C3239" s="1644"/>
      <c r="D3239" s="1644"/>
      <c r="E3239" s="727"/>
      <c r="F3239" s="727"/>
      <c r="G3239" s="727"/>
      <c r="H3239" s="727"/>
      <c r="I3239" s="727"/>
      <c r="J3239" s="727"/>
      <c r="K3239" s="727"/>
      <c r="L3239" s="137"/>
    </row>
    <row r="3240">
      <c r="A3240" s="1641"/>
      <c r="B3240" s="1648"/>
      <c r="C3240" s="1644"/>
      <c r="D3240" s="1644"/>
      <c r="E3240" s="727"/>
      <c r="F3240" s="727"/>
      <c r="G3240" s="727"/>
      <c r="H3240" s="727"/>
      <c r="I3240" s="727"/>
      <c r="J3240" s="727"/>
      <c r="K3240" s="727"/>
      <c r="L3240" s="137"/>
    </row>
    <row r="3241">
      <c r="A3241" s="1641"/>
      <c r="B3241" s="1648"/>
      <c r="C3241" s="1644"/>
      <c r="D3241" s="1644"/>
      <c r="E3241" s="727"/>
      <c r="F3241" s="727"/>
      <c r="G3241" s="727"/>
      <c r="H3241" s="727"/>
      <c r="I3241" s="727"/>
      <c r="J3241" s="727"/>
      <c r="K3241" s="727"/>
      <c r="L3241" s="137"/>
    </row>
    <row r="3242">
      <c r="A3242" s="1641"/>
      <c r="B3242" s="1648"/>
      <c r="C3242" s="1644"/>
      <c r="D3242" s="1644"/>
      <c r="E3242" s="727"/>
      <c r="F3242" s="727"/>
      <c r="G3242" s="727"/>
      <c r="H3242" s="727"/>
      <c r="I3242" s="727"/>
      <c r="J3242" s="727"/>
      <c r="K3242" s="727"/>
      <c r="L3242" s="137"/>
    </row>
    <row r="3243">
      <c r="A3243" s="1641"/>
      <c r="B3243" s="1648"/>
      <c r="C3243" s="1644"/>
      <c r="D3243" s="1644"/>
      <c r="E3243" s="727"/>
      <c r="F3243" s="727"/>
      <c r="G3243" s="727"/>
      <c r="H3243" s="727"/>
      <c r="I3243" s="727"/>
      <c r="J3243" s="727"/>
      <c r="K3243" s="727"/>
      <c r="L3243" s="137"/>
    </row>
    <row r="3244">
      <c r="A3244" s="1641"/>
      <c r="B3244" s="1648"/>
      <c r="C3244" s="1644"/>
      <c r="D3244" s="1644"/>
      <c r="E3244" s="727"/>
      <c r="F3244" s="727"/>
      <c r="G3244" s="727"/>
      <c r="H3244" s="727"/>
      <c r="I3244" s="727"/>
      <c r="J3244" s="727"/>
      <c r="K3244" s="727"/>
      <c r="L3244" s="137"/>
    </row>
    <row r="3245">
      <c r="A3245" s="1641"/>
      <c r="B3245" s="1649"/>
      <c r="C3245" s="1644"/>
      <c r="D3245" s="1644"/>
      <c r="E3245" s="727"/>
      <c r="F3245" s="727"/>
      <c r="G3245" s="727"/>
      <c r="H3245" s="727"/>
      <c r="I3245" s="727"/>
      <c r="J3245" s="727"/>
      <c r="K3245" s="727"/>
      <c r="L3245" s="137"/>
    </row>
    <row r="3246">
      <c r="A3246" s="1641"/>
      <c r="B3246" s="1648"/>
      <c r="C3246" s="1644"/>
      <c r="D3246" s="1644"/>
      <c r="E3246" s="727"/>
      <c r="F3246" s="727"/>
      <c r="G3246" s="727"/>
      <c r="H3246" s="727"/>
      <c r="I3246" s="727"/>
      <c r="J3246" s="727"/>
      <c r="K3246" s="727"/>
      <c r="L3246" s="137"/>
    </row>
    <row r="3247">
      <c r="A3247" s="1641"/>
      <c r="B3247" s="1648"/>
      <c r="C3247" s="1644"/>
      <c r="D3247" s="1644"/>
      <c r="E3247" s="727"/>
      <c r="F3247" s="727"/>
      <c r="G3247" s="727"/>
      <c r="H3247" s="727"/>
      <c r="I3247" s="727"/>
      <c r="J3247" s="727"/>
      <c r="K3247" s="727"/>
      <c r="L3247" s="137"/>
    </row>
    <row r="3248">
      <c r="A3248" s="1641"/>
      <c r="B3248" s="1648"/>
      <c r="C3248" s="1644"/>
      <c r="D3248" s="1644"/>
      <c r="E3248" s="727"/>
      <c r="F3248" s="727"/>
      <c r="G3248" s="727"/>
      <c r="H3248" s="727"/>
      <c r="I3248" s="727"/>
      <c r="J3248" s="727"/>
      <c r="K3248" s="727"/>
      <c r="L3248" s="137"/>
    </row>
    <row r="3249">
      <c r="A3249" s="1641"/>
      <c r="B3249" s="1648"/>
      <c r="C3249" s="1644"/>
      <c r="D3249" s="1644"/>
      <c r="E3249" s="727"/>
      <c r="F3249" s="727"/>
      <c r="G3249" s="727"/>
      <c r="H3249" s="727"/>
      <c r="I3249" s="727"/>
      <c r="J3249" s="727"/>
      <c r="K3249" s="727"/>
      <c r="L3249" s="137"/>
    </row>
    <row r="3250">
      <c r="A3250" s="1641"/>
      <c r="B3250" s="703"/>
      <c r="C3250" s="1644"/>
      <c r="D3250" s="1644"/>
      <c r="E3250" s="727"/>
      <c r="F3250" s="727"/>
      <c r="G3250" s="727"/>
      <c r="H3250" s="727"/>
      <c r="I3250" s="727"/>
      <c r="J3250" s="727"/>
      <c r="K3250" s="727"/>
      <c r="L3250" s="137"/>
    </row>
    <row r="3251">
      <c r="A3251" s="1641"/>
      <c r="B3251" s="703"/>
      <c r="C3251" s="1644"/>
      <c r="D3251" s="1644"/>
      <c r="E3251" s="727"/>
      <c r="F3251" s="727"/>
      <c r="G3251" s="727"/>
      <c r="H3251" s="727"/>
      <c r="I3251" s="727"/>
      <c r="J3251" s="727"/>
      <c r="K3251" s="727"/>
      <c r="L3251" s="137"/>
    </row>
    <row r="3252">
      <c r="A3252" s="1641"/>
      <c r="B3252" s="703"/>
      <c r="C3252" s="1644"/>
      <c r="D3252" s="1644"/>
      <c r="E3252" s="727"/>
      <c r="F3252" s="727"/>
      <c r="G3252" s="727"/>
      <c r="H3252" s="727"/>
      <c r="I3252" s="727"/>
      <c r="J3252" s="727"/>
      <c r="K3252" s="727"/>
      <c r="L3252" s="137"/>
    </row>
    <row r="3253">
      <c r="A3253" s="1641"/>
      <c r="B3253" s="703"/>
      <c r="C3253" s="1644"/>
      <c r="D3253" s="1644"/>
      <c r="E3253" s="727"/>
      <c r="F3253" s="727"/>
      <c r="G3253" s="727"/>
      <c r="H3253" s="727"/>
      <c r="I3253" s="727"/>
      <c r="J3253" s="727"/>
      <c r="K3253" s="727"/>
      <c r="L3253" s="137"/>
    </row>
    <row r="3254">
      <c r="A3254" s="1641"/>
      <c r="B3254" s="703"/>
      <c r="C3254" s="1644"/>
      <c r="D3254" s="1644"/>
      <c r="E3254" s="727"/>
      <c r="F3254" s="727"/>
      <c r="G3254" s="727"/>
      <c r="H3254" s="727"/>
      <c r="I3254" s="727"/>
      <c r="J3254" s="727"/>
      <c r="K3254" s="727"/>
      <c r="L3254" s="137"/>
    </row>
    <row r="3255">
      <c r="A3255" s="1641"/>
      <c r="B3255" s="703"/>
      <c r="C3255" s="1644"/>
      <c r="D3255" s="1644"/>
      <c r="E3255" s="727"/>
      <c r="F3255" s="727"/>
      <c r="G3255" s="727"/>
      <c r="H3255" s="727"/>
      <c r="I3255" s="727"/>
      <c r="J3255" s="727"/>
      <c r="K3255" s="727"/>
      <c r="L3255" s="137"/>
    </row>
    <row r="3256">
      <c r="A3256" s="1641"/>
      <c r="B3256" s="703"/>
      <c r="C3256" s="1644"/>
      <c r="D3256" s="1644"/>
      <c r="E3256" s="727"/>
      <c r="F3256" s="727"/>
      <c r="G3256" s="727"/>
      <c r="H3256" s="727"/>
      <c r="I3256" s="727"/>
      <c r="J3256" s="727"/>
      <c r="K3256" s="727"/>
      <c r="L3256" s="137"/>
    </row>
    <row r="3257">
      <c r="A3257" s="1641"/>
      <c r="B3257" s="703"/>
      <c r="C3257" s="1644"/>
      <c r="D3257" s="1644"/>
      <c r="E3257" s="727"/>
      <c r="F3257" s="727"/>
      <c r="G3257" s="727"/>
      <c r="H3257" s="727"/>
      <c r="I3257" s="727"/>
      <c r="J3257" s="727"/>
      <c r="K3257" s="727"/>
      <c r="L3257" s="137"/>
    </row>
    <row r="3258">
      <c r="A3258" s="1641"/>
      <c r="B3258" s="703"/>
      <c r="C3258" s="1644"/>
      <c r="D3258" s="1644"/>
      <c r="E3258" s="727"/>
      <c r="F3258" s="727"/>
      <c r="G3258" s="727"/>
      <c r="H3258" s="727"/>
      <c r="I3258" s="727"/>
      <c r="J3258" s="727"/>
      <c r="K3258" s="727"/>
      <c r="L3258" s="137"/>
    </row>
    <row r="3259">
      <c r="A3259" s="1641"/>
      <c r="B3259" s="703"/>
      <c r="C3259" s="1644"/>
      <c r="D3259" s="1644"/>
      <c r="E3259" s="727"/>
      <c r="F3259" s="727"/>
      <c r="G3259" s="727"/>
      <c r="H3259" s="727"/>
      <c r="I3259" s="727"/>
      <c r="J3259" s="727"/>
      <c r="K3259" s="727"/>
      <c r="L3259" s="137"/>
    </row>
    <row r="3260">
      <c r="A3260" s="1641"/>
      <c r="B3260" s="703"/>
      <c r="C3260" s="1644"/>
      <c r="D3260" s="1644"/>
      <c r="E3260" s="727"/>
      <c r="F3260" s="727"/>
      <c r="G3260" s="727"/>
      <c r="H3260" s="727"/>
      <c r="I3260" s="727"/>
      <c r="J3260" s="727"/>
      <c r="K3260" s="727"/>
      <c r="L3260" s="137"/>
    </row>
    <row r="3261">
      <c r="A3261" s="1641"/>
      <c r="B3261" s="703"/>
      <c r="C3261" s="1644"/>
      <c r="D3261" s="1644"/>
      <c r="E3261" s="727"/>
      <c r="F3261" s="727"/>
      <c r="G3261" s="727"/>
      <c r="H3261" s="727"/>
      <c r="I3261" s="727"/>
      <c r="J3261" s="727"/>
      <c r="K3261" s="727"/>
      <c r="L3261" s="137"/>
    </row>
    <row r="3262">
      <c r="A3262" s="1641"/>
      <c r="B3262" s="703"/>
      <c r="C3262" s="1644"/>
      <c r="D3262" s="1644"/>
      <c r="E3262" s="727"/>
      <c r="F3262" s="727"/>
      <c r="G3262" s="727"/>
      <c r="H3262" s="727"/>
      <c r="I3262" s="727"/>
      <c r="J3262" s="727"/>
      <c r="K3262" s="727"/>
      <c r="L3262" s="137"/>
    </row>
    <row r="3263">
      <c r="A3263" s="1641"/>
      <c r="B3263" s="703"/>
      <c r="C3263" s="1644"/>
      <c r="D3263" s="1644"/>
      <c r="E3263" s="727"/>
      <c r="F3263" s="727"/>
      <c r="G3263" s="727"/>
      <c r="H3263" s="727"/>
      <c r="I3263" s="727"/>
      <c r="J3263" s="727"/>
      <c r="K3263" s="727"/>
      <c r="L3263" s="137"/>
    </row>
    <row r="3264">
      <c r="A3264" s="1641"/>
      <c r="B3264" s="703"/>
      <c r="C3264" s="1644"/>
      <c r="D3264" s="1644"/>
      <c r="E3264" s="727"/>
      <c r="F3264" s="727"/>
      <c r="G3264" s="727"/>
      <c r="H3264" s="727"/>
      <c r="I3264" s="727"/>
      <c r="J3264" s="727"/>
      <c r="K3264" s="727"/>
      <c r="L3264" s="137"/>
    </row>
    <row r="3265">
      <c r="A3265" s="1641"/>
      <c r="B3265" s="703"/>
      <c r="C3265" s="1644"/>
      <c r="D3265" s="1644"/>
      <c r="E3265" s="727"/>
      <c r="F3265" s="727"/>
      <c r="G3265" s="727"/>
      <c r="H3265" s="727"/>
      <c r="I3265" s="727"/>
      <c r="J3265" s="727"/>
      <c r="K3265" s="727"/>
      <c r="L3265" s="137"/>
    </row>
    <row r="3266">
      <c r="A3266" s="1641"/>
      <c r="B3266" s="703"/>
      <c r="C3266" s="1644"/>
      <c r="D3266" s="1644"/>
      <c r="E3266" s="727"/>
      <c r="F3266" s="727"/>
      <c r="G3266" s="727"/>
      <c r="H3266" s="727"/>
      <c r="I3266" s="727"/>
      <c r="J3266" s="727"/>
      <c r="K3266" s="727"/>
      <c r="L3266" s="137"/>
    </row>
    <row r="3267">
      <c r="A3267" s="1641"/>
      <c r="B3267" s="703"/>
      <c r="C3267" s="1644"/>
      <c r="D3267" s="1644"/>
      <c r="E3267" s="727"/>
      <c r="F3267" s="727"/>
      <c r="G3267" s="727"/>
      <c r="H3267" s="727"/>
      <c r="I3267" s="727"/>
      <c r="J3267" s="727"/>
      <c r="K3267" s="727"/>
      <c r="L3267" s="137"/>
    </row>
    <row r="3268">
      <c r="A3268" s="1641"/>
      <c r="B3268" s="703"/>
      <c r="C3268" s="1644"/>
      <c r="D3268" s="1644"/>
      <c r="E3268" s="727"/>
      <c r="F3268" s="727"/>
      <c r="G3268" s="727"/>
      <c r="H3268" s="727"/>
      <c r="I3268" s="727"/>
      <c r="J3268" s="727"/>
      <c r="K3268" s="727"/>
      <c r="L3268" s="137"/>
    </row>
    <row r="3269">
      <c r="A3269" s="1641"/>
      <c r="B3269" s="703"/>
      <c r="C3269" s="1644"/>
      <c r="D3269" s="1644"/>
      <c r="E3269" s="727"/>
      <c r="F3269" s="727"/>
      <c r="G3269" s="727"/>
      <c r="H3269" s="727"/>
      <c r="I3269" s="727"/>
      <c r="J3269" s="727"/>
      <c r="K3269" s="727"/>
      <c r="L3269" s="137"/>
    </row>
    <row r="3270">
      <c r="A3270" s="1641"/>
      <c r="B3270" s="703"/>
      <c r="C3270" s="1644"/>
      <c r="D3270" s="1644"/>
      <c r="E3270" s="727"/>
      <c r="F3270" s="727"/>
      <c r="G3270" s="727"/>
      <c r="H3270" s="727"/>
      <c r="I3270" s="727"/>
      <c r="J3270" s="727"/>
      <c r="K3270" s="727"/>
      <c r="L3270" s="137"/>
    </row>
    <row r="3271">
      <c r="A3271" s="1641"/>
      <c r="B3271" s="703"/>
      <c r="C3271" s="1644"/>
      <c r="D3271" s="1644"/>
      <c r="E3271" s="727"/>
      <c r="F3271" s="727"/>
      <c r="G3271" s="727"/>
      <c r="H3271" s="727"/>
      <c r="I3271" s="727"/>
      <c r="J3271" s="727"/>
      <c r="K3271" s="727"/>
      <c r="L3271" s="137"/>
    </row>
    <row r="3272">
      <c r="A3272" s="1641"/>
      <c r="B3272" s="703"/>
      <c r="C3272" s="1644"/>
      <c r="D3272" s="1644"/>
      <c r="E3272" s="727"/>
      <c r="F3272" s="727"/>
      <c r="G3272" s="727"/>
      <c r="H3272" s="727"/>
      <c r="I3272" s="727"/>
      <c r="J3272" s="727"/>
      <c r="K3272" s="727"/>
      <c r="L3272" s="137"/>
    </row>
    <row r="3273">
      <c r="A3273" s="1641"/>
      <c r="B3273" s="703"/>
      <c r="C3273" s="1644"/>
      <c r="D3273" s="1644"/>
      <c r="E3273" s="727"/>
      <c r="F3273" s="727"/>
      <c r="G3273" s="727"/>
      <c r="H3273" s="727"/>
      <c r="I3273" s="727"/>
      <c r="J3273" s="727"/>
      <c r="K3273" s="727"/>
      <c r="L3273" s="137"/>
    </row>
    <row r="3274">
      <c r="A3274" s="1641"/>
      <c r="B3274" s="703"/>
      <c r="C3274" s="1644"/>
      <c r="D3274" s="1644"/>
      <c r="E3274" s="727"/>
      <c r="F3274" s="727"/>
      <c r="G3274" s="727"/>
      <c r="H3274" s="727"/>
      <c r="I3274" s="727"/>
      <c r="J3274" s="727"/>
      <c r="K3274" s="727"/>
      <c r="L3274" s="137"/>
    </row>
    <row r="3275">
      <c r="A3275" s="1641"/>
      <c r="B3275" s="703"/>
      <c r="C3275" s="1644"/>
      <c r="D3275" s="1644"/>
      <c r="E3275" s="727"/>
      <c r="F3275" s="727"/>
      <c r="G3275" s="727"/>
      <c r="H3275" s="727"/>
      <c r="I3275" s="727"/>
      <c r="J3275" s="727"/>
      <c r="K3275" s="727"/>
      <c r="L3275" s="137"/>
    </row>
    <row r="3276">
      <c r="A3276" s="1641"/>
      <c r="B3276" s="703"/>
      <c r="C3276" s="1644"/>
      <c r="D3276" s="1644"/>
      <c r="E3276" s="727"/>
      <c r="F3276" s="727"/>
      <c r="G3276" s="727"/>
      <c r="H3276" s="727"/>
      <c r="I3276" s="727"/>
      <c r="J3276" s="727"/>
      <c r="K3276" s="727"/>
      <c r="L3276" s="137"/>
    </row>
    <row r="3277">
      <c r="A3277" s="1641"/>
      <c r="B3277" s="703"/>
      <c r="C3277" s="1644"/>
      <c r="D3277" s="1644"/>
      <c r="E3277" s="727"/>
      <c r="F3277" s="727"/>
      <c r="G3277" s="727"/>
      <c r="H3277" s="727"/>
      <c r="I3277" s="727"/>
      <c r="J3277" s="727"/>
      <c r="K3277" s="727"/>
      <c r="L3277" s="137"/>
    </row>
    <row r="3278">
      <c r="A3278" s="1641"/>
      <c r="B3278" s="703"/>
      <c r="C3278" s="1644"/>
      <c r="D3278" s="1644"/>
      <c r="E3278" s="727"/>
      <c r="F3278" s="727"/>
      <c r="G3278" s="727"/>
      <c r="H3278" s="727"/>
      <c r="I3278" s="727"/>
      <c r="J3278" s="727"/>
      <c r="K3278" s="727"/>
      <c r="L3278" s="137"/>
    </row>
    <row r="3279">
      <c r="A3279" s="1641"/>
      <c r="B3279" s="703"/>
      <c r="C3279" s="1644"/>
      <c r="D3279" s="1644"/>
      <c r="E3279" s="727"/>
      <c r="F3279" s="727"/>
      <c r="G3279" s="727"/>
      <c r="H3279" s="727"/>
      <c r="I3279" s="727"/>
      <c r="J3279" s="727"/>
      <c r="K3279" s="727"/>
      <c r="L3279" s="137"/>
    </row>
    <row r="3280">
      <c r="A3280" s="1641"/>
      <c r="B3280" s="703"/>
      <c r="C3280" s="1644"/>
      <c r="D3280" s="1644"/>
      <c r="E3280" s="727"/>
      <c r="F3280" s="727"/>
      <c r="G3280" s="727"/>
      <c r="H3280" s="727"/>
      <c r="I3280" s="727"/>
      <c r="J3280" s="727"/>
      <c r="K3280" s="727"/>
      <c r="L3280" s="137"/>
    </row>
    <row r="3281">
      <c r="A3281" s="1641"/>
      <c r="B3281" s="703"/>
      <c r="C3281" s="1644"/>
      <c r="D3281" s="1644"/>
      <c r="E3281" s="727"/>
      <c r="F3281" s="727"/>
      <c r="G3281" s="727"/>
      <c r="H3281" s="727"/>
      <c r="I3281" s="727"/>
      <c r="J3281" s="727"/>
      <c r="K3281" s="727"/>
      <c r="L3281" s="137"/>
    </row>
    <row r="3282">
      <c r="A3282" s="1641"/>
      <c r="B3282" s="703"/>
      <c r="C3282" s="1644"/>
      <c r="D3282" s="1644"/>
      <c r="E3282" s="727"/>
      <c r="F3282" s="727"/>
      <c r="G3282" s="727"/>
      <c r="H3282" s="727"/>
      <c r="I3282" s="727"/>
      <c r="J3282" s="727"/>
      <c r="K3282" s="727"/>
      <c r="L3282" s="137"/>
    </row>
    <row r="3283">
      <c r="A3283" s="1641"/>
      <c r="B3283" s="703"/>
      <c r="C3283" s="1644"/>
      <c r="D3283" s="1644"/>
      <c r="E3283" s="727"/>
      <c r="F3283" s="727"/>
      <c r="G3283" s="727"/>
      <c r="H3283" s="727"/>
      <c r="I3283" s="727"/>
      <c r="J3283" s="727"/>
      <c r="K3283" s="727"/>
      <c r="L3283" s="137"/>
    </row>
    <row r="3284">
      <c r="A3284" s="1641"/>
      <c r="B3284" s="703"/>
      <c r="C3284" s="1644"/>
      <c r="D3284" s="1644"/>
      <c r="E3284" s="727"/>
      <c r="F3284" s="727"/>
      <c r="G3284" s="727"/>
      <c r="H3284" s="727"/>
      <c r="I3284" s="727"/>
      <c r="J3284" s="727"/>
      <c r="K3284" s="727"/>
      <c r="L3284" s="137"/>
    </row>
    <row r="3285">
      <c r="A3285" s="1641"/>
      <c r="B3285" s="703"/>
      <c r="C3285" s="1644"/>
      <c r="D3285" s="1644"/>
      <c r="E3285" s="727"/>
      <c r="F3285" s="727"/>
      <c r="G3285" s="727"/>
      <c r="H3285" s="727"/>
      <c r="I3285" s="727"/>
      <c r="J3285" s="727"/>
      <c r="K3285" s="727"/>
      <c r="L3285" s="137"/>
    </row>
    <row r="3286">
      <c r="A3286" s="1641"/>
      <c r="B3286" s="703"/>
      <c r="C3286" s="1644"/>
      <c r="D3286" s="1644"/>
      <c r="E3286" s="727"/>
      <c r="F3286" s="727"/>
      <c r="G3286" s="727"/>
      <c r="H3286" s="727"/>
      <c r="I3286" s="727"/>
      <c r="J3286" s="727"/>
      <c r="K3286" s="727"/>
      <c r="L3286" s="137"/>
    </row>
    <row r="3287">
      <c r="A3287" s="1641"/>
      <c r="B3287" s="703"/>
      <c r="C3287" s="1644"/>
      <c r="D3287" s="1644"/>
      <c r="E3287" s="727"/>
      <c r="F3287" s="727"/>
      <c r="G3287" s="727"/>
      <c r="H3287" s="727"/>
      <c r="I3287" s="727"/>
      <c r="J3287" s="727"/>
      <c r="K3287" s="727"/>
      <c r="L3287" s="137"/>
    </row>
    <row r="3288">
      <c r="A3288" s="1641"/>
      <c r="B3288" s="703"/>
      <c r="C3288" s="1644"/>
      <c r="D3288" s="1644"/>
      <c r="E3288" s="727"/>
      <c r="F3288" s="727"/>
      <c r="G3288" s="727"/>
      <c r="H3288" s="727"/>
      <c r="I3288" s="727"/>
      <c r="J3288" s="727"/>
      <c r="K3288" s="727"/>
      <c r="L3288" s="137"/>
    </row>
    <row r="3289">
      <c r="A3289" s="1641"/>
      <c r="B3289" s="703"/>
      <c r="C3289" s="1644"/>
      <c r="D3289" s="1644"/>
      <c r="E3289" s="727"/>
      <c r="F3289" s="727"/>
      <c r="G3289" s="727"/>
      <c r="H3289" s="727"/>
      <c r="I3289" s="727"/>
      <c r="J3289" s="727"/>
      <c r="K3289" s="727"/>
      <c r="L3289" s="137"/>
    </row>
    <row r="3290">
      <c r="A3290" s="1641"/>
      <c r="B3290" s="703"/>
      <c r="C3290" s="1644"/>
      <c r="D3290" s="1644"/>
      <c r="E3290" s="727"/>
      <c r="F3290" s="727"/>
      <c r="G3290" s="727"/>
      <c r="H3290" s="727"/>
      <c r="I3290" s="727"/>
      <c r="J3290" s="727"/>
      <c r="K3290" s="727"/>
      <c r="L3290" s="137"/>
    </row>
    <row r="3291">
      <c r="A3291" s="1641"/>
      <c r="B3291" s="703"/>
      <c r="C3291" s="1644"/>
      <c r="D3291" s="1644"/>
      <c r="E3291" s="727"/>
      <c r="F3291" s="727"/>
      <c r="G3291" s="727"/>
      <c r="H3291" s="727"/>
      <c r="I3291" s="727"/>
      <c r="J3291" s="727"/>
      <c r="K3291" s="727"/>
      <c r="L3291" s="137"/>
    </row>
    <row r="3292">
      <c r="A3292" s="1641"/>
      <c r="B3292" s="703"/>
      <c r="C3292" s="1644"/>
      <c r="D3292" s="1644"/>
      <c r="E3292" s="727"/>
      <c r="F3292" s="727"/>
      <c r="G3292" s="727"/>
      <c r="H3292" s="727"/>
      <c r="I3292" s="727"/>
      <c r="J3292" s="727"/>
      <c r="K3292" s="727"/>
      <c r="L3292" s="137"/>
    </row>
    <row r="3293">
      <c r="A3293" s="1641"/>
      <c r="B3293" s="703"/>
      <c r="C3293" s="1644"/>
      <c r="D3293" s="1644"/>
      <c r="E3293" s="727"/>
      <c r="F3293" s="727"/>
      <c r="G3293" s="727"/>
      <c r="H3293" s="727"/>
      <c r="I3293" s="727"/>
      <c r="J3293" s="727"/>
      <c r="K3293" s="727"/>
      <c r="L3293" s="137"/>
    </row>
    <row r="3294">
      <c r="A3294" s="1641"/>
      <c r="B3294" s="703"/>
      <c r="C3294" s="1644"/>
      <c r="D3294" s="1644"/>
      <c r="E3294" s="727"/>
      <c r="F3294" s="727"/>
      <c r="G3294" s="727"/>
      <c r="H3294" s="727"/>
      <c r="I3294" s="727"/>
      <c r="J3294" s="727"/>
      <c r="K3294" s="727"/>
      <c r="L3294" s="137"/>
    </row>
    <row r="3295">
      <c r="A3295" s="1641"/>
      <c r="B3295" s="703"/>
      <c r="C3295" s="1644"/>
      <c r="D3295" s="1644"/>
      <c r="E3295" s="727"/>
      <c r="F3295" s="727"/>
      <c r="G3295" s="727"/>
      <c r="H3295" s="727"/>
      <c r="I3295" s="727"/>
      <c r="J3295" s="727"/>
      <c r="K3295" s="727"/>
      <c r="L3295" s="137"/>
    </row>
    <row r="3296">
      <c r="A3296" s="1641"/>
      <c r="B3296" s="703"/>
      <c r="C3296" s="1644"/>
      <c r="D3296" s="1644"/>
      <c r="E3296" s="727"/>
      <c r="F3296" s="727"/>
      <c r="G3296" s="727"/>
      <c r="H3296" s="727"/>
      <c r="I3296" s="727"/>
      <c r="J3296" s="727"/>
      <c r="K3296" s="727"/>
      <c r="L3296" s="137"/>
    </row>
    <row r="3297">
      <c r="A3297" s="1641"/>
      <c r="B3297" s="703"/>
      <c r="C3297" s="1644"/>
      <c r="D3297" s="1644"/>
      <c r="E3297" s="727"/>
      <c r="F3297" s="727"/>
      <c r="G3297" s="727"/>
      <c r="H3297" s="727"/>
      <c r="I3297" s="727"/>
      <c r="J3297" s="727"/>
      <c r="K3297" s="727"/>
      <c r="L3297" s="137"/>
    </row>
    <row r="3298">
      <c r="A3298" s="1641"/>
      <c r="B3298" s="703"/>
      <c r="C3298" s="1644"/>
      <c r="D3298" s="1644"/>
      <c r="E3298" s="727"/>
      <c r="F3298" s="727"/>
      <c r="G3298" s="727"/>
      <c r="H3298" s="727"/>
      <c r="I3298" s="727"/>
      <c r="J3298" s="727"/>
      <c r="K3298" s="727"/>
      <c r="L3298" s="137"/>
    </row>
    <row r="3299">
      <c r="A3299" s="1641"/>
      <c r="B3299" s="703"/>
      <c r="C3299" s="1644"/>
      <c r="D3299" s="1644"/>
      <c r="E3299" s="727"/>
      <c r="F3299" s="727"/>
      <c r="G3299" s="727"/>
      <c r="H3299" s="727"/>
      <c r="I3299" s="727"/>
      <c r="J3299" s="727"/>
      <c r="K3299" s="727"/>
      <c r="L3299" s="137"/>
    </row>
    <row r="3300">
      <c r="A3300" s="1641"/>
      <c r="B3300" s="703"/>
      <c r="C3300" s="1644"/>
      <c r="D3300" s="1644"/>
      <c r="E3300" s="727"/>
      <c r="F3300" s="727"/>
      <c r="G3300" s="727"/>
      <c r="H3300" s="727"/>
      <c r="I3300" s="727"/>
      <c r="J3300" s="727"/>
      <c r="K3300" s="727"/>
      <c r="L3300" s="137"/>
    </row>
    <row r="3301">
      <c r="A3301" s="1641"/>
      <c r="B3301" s="703"/>
      <c r="C3301" s="1644"/>
      <c r="D3301" s="1644"/>
      <c r="E3301" s="727"/>
      <c r="F3301" s="727"/>
      <c r="G3301" s="727"/>
      <c r="H3301" s="727"/>
      <c r="I3301" s="727"/>
      <c r="J3301" s="727"/>
      <c r="K3301" s="727"/>
      <c r="L3301" s="137"/>
    </row>
    <row r="3302">
      <c r="A3302" s="1641"/>
      <c r="B3302" s="703"/>
      <c r="C3302" s="1644"/>
      <c r="D3302" s="1644"/>
      <c r="E3302" s="727"/>
      <c r="F3302" s="727"/>
      <c r="G3302" s="727"/>
      <c r="H3302" s="727"/>
      <c r="I3302" s="727"/>
      <c r="J3302" s="727"/>
      <c r="K3302" s="727"/>
      <c r="L3302" s="137"/>
    </row>
    <row r="3303">
      <c r="A3303" s="1641"/>
      <c r="B3303" s="703"/>
      <c r="C3303" s="1644"/>
      <c r="D3303" s="1644"/>
      <c r="E3303" s="727"/>
      <c r="F3303" s="727"/>
      <c r="G3303" s="727"/>
      <c r="H3303" s="727"/>
      <c r="I3303" s="727"/>
      <c r="J3303" s="727"/>
      <c r="K3303" s="727"/>
      <c r="L3303" s="137"/>
    </row>
    <row r="3304">
      <c r="A3304" s="1641"/>
      <c r="B3304" s="703"/>
      <c r="C3304" s="1644"/>
      <c r="D3304" s="1644"/>
      <c r="E3304" s="727"/>
      <c r="F3304" s="727"/>
      <c r="G3304" s="727"/>
      <c r="H3304" s="727"/>
      <c r="I3304" s="727"/>
      <c r="J3304" s="727"/>
      <c r="K3304" s="727"/>
      <c r="L3304" s="137"/>
    </row>
    <row r="3305">
      <c r="A3305" s="1641"/>
      <c r="B3305" s="703"/>
      <c r="C3305" s="1644"/>
      <c r="D3305" s="1644"/>
      <c r="E3305" s="727"/>
      <c r="F3305" s="727"/>
      <c r="G3305" s="727"/>
      <c r="H3305" s="727"/>
      <c r="I3305" s="727"/>
      <c r="J3305" s="727"/>
      <c r="K3305" s="727"/>
      <c r="L3305" s="137"/>
    </row>
    <row r="3306">
      <c r="A3306" s="1641"/>
      <c r="B3306" s="703"/>
      <c r="C3306" s="1644"/>
      <c r="D3306" s="1644"/>
      <c r="E3306" s="727"/>
      <c r="F3306" s="727"/>
      <c r="G3306" s="727"/>
      <c r="H3306" s="727"/>
      <c r="I3306" s="727"/>
      <c r="J3306" s="727"/>
      <c r="K3306" s="727"/>
      <c r="L3306" s="137"/>
    </row>
    <row r="3307">
      <c r="A3307" s="1641"/>
      <c r="B3307" s="703"/>
      <c r="C3307" s="1644"/>
      <c r="D3307" s="1644"/>
      <c r="E3307" s="727"/>
      <c r="F3307" s="727"/>
      <c r="G3307" s="727"/>
      <c r="H3307" s="727"/>
      <c r="I3307" s="727"/>
      <c r="J3307" s="727"/>
      <c r="K3307" s="727"/>
      <c r="L3307" s="137"/>
    </row>
    <row r="3308">
      <c r="A3308" s="1641"/>
      <c r="B3308" s="703"/>
      <c r="C3308" s="1644"/>
      <c r="D3308" s="1644"/>
      <c r="E3308" s="727"/>
      <c r="F3308" s="727"/>
      <c r="G3308" s="727"/>
      <c r="H3308" s="727"/>
      <c r="I3308" s="727"/>
      <c r="J3308" s="727"/>
      <c r="K3308" s="727"/>
      <c r="L3308" s="137"/>
    </row>
    <row r="3309">
      <c r="A3309" s="1641"/>
      <c r="B3309" s="703"/>
      <c r="C3309" s="1644"/>
      <c r="D3309" s="1644"/>
      <c r="E3309" s="727"/>
      <c r="F3309" s="727"/>
      <c r="G3309" s="727"/>
      <c r="H3309" s="727"/>
      <c r="I3309" s="727"/>
      <c r="J3309" s="727"/>
      <c r="K3309" s="727"/>
      <c r="L3309" s="137"/>
    </row>
    <row r="3310">
      <c r="A3310" s="1641"/>
      <c r="B3310" s="703"/>
      <c r="C3310" s="1644"/>
      <c r="D3310" s="1644"/>
      <c r="E3310" s="727"/>
      <c r="F3310" s="727"/>
      <c r="G3310" s="727"/>
      <c r="H3310" s="727"/>
      <c r="I3310" s="727"/>
      <c r="J3310" s="727"/>
      <c r="K3310" s="727"/>
      <c r="L3310" s="137"/>
    </row>
    <row r="3311">
      <c r="A3311" s="1641"/>
      <c r="B3311" s="703"/>
      <c r="C3311" s="1644"/>
      <c r="D3311" s="1644"/>
      <c r="E3311" s="727"/>
      <c r="F3311" s="727"/>
      <c r="G3311" s="727"/>
      <c r="H3311" s="727"/>
      <c r="I3311" s="727"/>
      <c r="J3311" s="727"/>
      <c r="K3311" s="727"/>
      <c r="L3311" s="137"/>
    </row>
    <row r="3312">
      <c r="A3312" s="1641"/>
      <c r="B3312" s="703"/>
      <c r="C3312" s="1644"/>
      <c r="D3312" s="1644"/>
      <c r="E3312" s="727"/>
      <c r="F3312" s="727"/>
      <c r="G3312" s="727"/>
      <c r="H3312" s="727"/>
      <c r="I3312" s="727"/>
      <c r="J3312" s="727"/>
      <c r="K3312" s="727"/>
      <c r="L3312" s="137"/>
    </row>
    <row r="3313">
      <c r="A3313" s="1641"/>
      <c r="B3313" s="703"/>
      <c r="C3313" s="1644"/>
      <c r="D3313" s="1644"/>
      <c r="E3313" s="727"/>
      <c r="F3313" s="727"/>
      <c r="G3313" s="727"/>
      <c r="H3313" s="727"/>
      <c r="I3313" s="727"/>
      <c r="J3313" s="727"/>
      <c r="K3313" s="727"/>
      <c r="L3313" s="137"/>
    </row>
    <row r="3314">
      <c r="A3314" s="1641"/>
      <c r="B3314" s="703"/>
      <c r="C3314" s="1644"/>
      <c r="D3314" s="1644"/>
      <c r="E3314" s="727"/>
      <c r="F3314" s="727"/>
      <c r="G3314" s="727"/>
      <c r="H3314" s="727"/>
      <c r="I3314" s="727"/>
      <c r="J3314" s="727"/>
      <c r="K3314" s="727"/>
      <c r="L3314" s="137"/>
    </row>
    <row r="3315">
      <c r="A3315" s="1641"/>
      <c r="B3315" s="703"/>
      <c r="C3315" s="1644"/>
      <c r="D3315" s="1644"/>
      <c r="E3315" s="727"/>
      <c r="F3315" s="727"/>
      <c r="G3315" s="727"/>
      <c r="H3315" s="727"/>
      <c r="I3315" s="727"/>
      <c r="J3315" s="727"/>
      <c r="K3315" s="727"/>
      <c r="L3315" s="137"/>
    </row>
    <row r="3316">
      <c r="A3316" s="1641"/>
      <c r="B3316" s="703"/>
      <c r="C3316" s="1644"/>
      <c r="D3316" s="1644"/>
      <c r="E3316" s="727"/>
      <c r="F3316" s="727"/>
      <c r="G3316" s="727"/>
      <c r="H3316" s="727"/>
      <c r="I3316" s="727"/>
      <c r="J3316" s="727"/>
      <c r="K3316" s="727"/>
      <c r="L3316" s="137"/>
    </row>
    <row r="3317">
      <c r="A3317" s="1641"/>
      <c r="B3317" s="703"/>
      <c r="C3317" s="1644"/>
      <c r="D3317" s="1644"/>
      <c r="E3317" s="727"/>
      <c r="F3317" s="727"/>
      <c r="G3317" s="727"/>
      <c r="H3317" s="727"/>
      <c r="I3317" s="727"/>
      <c r="J3317" s="727"/>
      <c r="K3317" s="727"/>
      <c r="L3317" s="137"/>
    </row>
    <row r="3318">
      <c r="A3318" s="1641"/>
      <c r="B3318" s="703"/>
      <c r="C3318" s="1644"/>
      <c r="D3318" s="1644"/>
      <c r="E3318" s="727"/>
      <c r="F3318" s="727"/>
      <c r="G3318" s="727"/>
      <c r="H3318" s="727"/>
      <c r="I3318" s="727"/>
      <c r="J3318" s="727"/>
      <c r="K3318" s="727"/>
      <c r="L3318" s="137"/>
    </row>
    <row r="3319">
      <c r="A3319" s="1641"/>
      <c r="B3319" s="703"/>
      <c r="C3319" s="1644"/>
      <c r="D3319" s="1644"/>
      <c r="E3319" s="727"/>
      <c r="F3319" s="727"/>
      <c r="G3319" s="727"/>
      <c r="H3319" s="727"/>
      <c r="I3319" s="727"/>
      <c r="J3319" s="727"/>
      <c r="K3319" s="727"/>
      <c r="L3319" s="137"/>
    </row>
    <row r="3320">
      <c r="A3320" s="1641"/>
      <c r="B3320" s="703"/>
      <c r="C3320" s="1644"/>
      <c r="D3320" s="1644"/>
      <c r="E3320" s="727"/>
      <c r="F3320" s="727"/>
      <c r="G3320" s="727"/>
      <c r="H3320" s="727"/>
      <c r="I3320" s="727"/>
      <c r="J3320" s="727"/>
      <c r="K3320" s="727"/>
      <c r="L3320" s="137"/>
    </row>
    <row r="3321">
      <c r="A3321" s="1641"/>
      <c r="B3321" s="703"/>
      <c r="C3321" s="1644"/>
      <c r="D3321" s="1644"/>
      <c r="E3321" s="727"/>
      <c r="F3321" s="727"/>
      <c r="G3321" s="727"/>
      <c r="H3321" s="727"/>
      <c r="I3321" s="727"/>
      <c r="J3321" s="727"/>
      <c r="K3321" s="727"/>
      <c r="L3321" s="137"/>
    </row>
    <row r="3322">
      <c r="A3322" s="1641"/>
      <c r="B3322" s="703"/>
      <c r="C3322" s="1644"/>
      <c r="D3322" s="1644"/>
      <c r="E3322" s="727"/>
      <c r="F3322" s="727"/>
      <c r="G3322" s="727"/>
      <c r="H3322" s="727"/>
      <c r="I3322" s="727"/>
      <c r="J3322" s="727"/>
      <c r="K3322" s="727"/>
      <c r="L3322" s="137"/>
    </row>
    <row r="3323">
      <c r="A3323" s="1641"/>
      <c r="B3323" s="703"/>
      <c r="C3323" s="1644"/>
      <c r="D3323" s="1644"/>
      <c r="E3323" s="727"/>
      <c r="F3323" s="727"/>
      <c r="G3323" s="727"/>
      <c r="H3323" s="727"/>
      <c r="I3323" s="727"/>
      <c r="J3323" s="727"/>
      <c r="K3323" s="727"/>
      <c r="L3323" s="137"/>
    </row>
    <row r="3324">
      <c r="A3324" s="1641"/>
      <c r="B3324" s="703"/>
      <c r="C3324" s="1644"/>
      <c r="D3324" s="1644"/>
      <c r="E3324" s="727"/>
      <c r="F3324" s="727"/>
      <c r="G3324" s="727"/>
      <c r="H3324" s="727"/>
      <c r="I3324" s="727"/>
      <c r="J3324" s="727"/>
      <c r="K3324" s="727"/>
      <c r="L3324" s="137"/>
    </row>
    <row r="3325">
      <c r="A3325" s="1641"/>
      <c r="B3325" s="703"/>
      <c r="C3325" s="1644"/>
      <c r="D3325" s="1644"/>
      <c r="E3325" s="727"/>
      <c r="F3325" s="727"/>
      <c r="G3325" s="727"/>
      <c r="H3325" s="727"/>
      <c r="I3325" s="727"/>
      <c r="J3325" s="727"/>
      <c r="K3325" s="727"/>
      <c r="L3325" s="137"/>
    </row>
    <row r="3326">
      <c r="A3326" s="1641"/>
      <c r="B3326" s="703"/>
      <c r="C3326" s="1644"/>
      <c r="D3326" s="1644"/>
      <c r="E3326" s="727"/>
      <c r="F3326" s="727"/>
      <c r="G3326" s="727"/>
      <c r="H3326" s="727"/>
      <c r="I3326" s="727"/>
      <c r="J3326" s="727"/>
      <c r="K3326" s="727"/>
      <c r="L3326" s="137"/>
    </row>
    <row r="3327">
      <c r="A3327" s="1641"/>
      <c r="B3327" s="703"/>
      <c r="C3327" s="1644"/>
      <c r="D3327" s="1644"/>
      <c r="E3327" s="727"/>
      <c r="F3327" s="727"/>
      <c r="G3327" s="727"/>
      <c r="H3327" s="727"/>
      <c r="I3327" s="727"/>
      <c r="J3327" s="727"/>
      <c r="K3327" s="727"/>
      <c r="L3327" s="137"/>
    </row>
    <row r="3328">
      <c r="A3328" s="1641"/>
      <c r="B3328" s="703"/>
      <c r="C3328" s="1644"/>
      <c r="D3328" s="1644"/>
      <c r="E3328" s="727"/>
      <c r="F3328" s="727"/>
      <c r="G3328" s="727"/>
      <c r="H3328" s="727"/>
      <c r="I3328" s="727"/>
      <c r="J3328" s="727"/>
      <c r="K3328" s="727"/>
      <c r="L3328" s="137"/>
    </row>
    <row r="3329">
      <c r="A3329" s="1641"/>
      <c r="B3329" s="703"/>
      <c r="C3329" s="1644"/>
      <c r="D3329" s="1644"/>
      <c r="E3329" s="727"/>
      <c r="F3329" s="727"/>
      <c r="G3329" s="727"/>
      <c r="H3329" s="727"/>
      <c r="I3329" s="727"/>
      <c r="J3329" s="727"/>
      <c r="K3329" s="727"/>
      <c r="L3329" s="137"/>
    </row>
    <row r="3330">
      <c r="A3330" s="1641"/>
      <c r="B3330" s="703"/>
      <c r="C3330" s="1644"/>
      <c r="D3330" s="1644"/>
      <c r="E3330" s="727"/>
      <c r="F3330" s="727"/>
      <c r="G3330" s="727"/>
      <c r="H3330" s="727"/>
      <c r="I3330" s="727"/>
      <c r="J3330" s="727"/>
      <c r="K3330" s="727"/>
      <c r="L3330" s="137"/>
    </row>
    <row r="3331">
      <c r="A3331" s="1641"/>
      <c r="B3331" s="703"/>
      <c r="C3331" s="1644"/>
      <c r="D3331" s="1644"/>
      <c r="E3331" s="727"/>
      <c r="F3331" s="727"/>
      <c r="G3331" s="727"/>
      <c r="H3331" s="727"/>
      <c r="I3331" s="727"/>
      <c r="J3331" s="727"/>
      <c r="K3331" s="727"/>
      <c r="L3331" s="137"/>
    </row>
    <row r="3332">
      <c r="A3332" s="1641"/>
      <c r="B3332" s="703"/>
      <c r="C3332" s="1644"/>
      <c r="D3332" s="1644"/>
      <c r="E3332" s="727"/>
      <c r="F3332" s="727"/>
      <c r="G3332" s="727"/>
      <c r="H3332" s="727"/>
      <c r="I3332" s="727"/>
      <c r="J3332" s="727"/>
      <c r="K3332" s="727"/>
      <c r="L3332" s="137"/>
    </row>
    <row r="3333">
      <c r="A3333" s="1641"/>
      <c r="B3333" s="703"/>
      <c r="C3333" s="1644"/>
      <c r="D3333" s="1644"/>
      <c r="E3333" s="727"/>
      <c r="F3333" s="727"/>
      <c r="G3333" s="727"/>
      <c r="H3333" s="727"/>
      <c r="I3333" s="727"/>
      <c r="J3333" s="727"/>
      <c r="K3333" s="727"/>
      <c r="L3333" s="137"/>
    </row>
    <row r="3334">
      <c r="A3334" s="1641"/>
      <c r="B3334" s="703"/>
      <c r="C3334" s="1644"/>
      <c r="D3334" s="1644"/>
      <c r="E3334" s="727"/>
      <c r="F3334" s="727"/>
      <c r="G3334" s="727"/>
      <c r="H3334" s="727"/>
      <c r="I3334" s="727"/>
      <c r="J3334" s="727"/>
      <c r="K3334" s="727"/>
      <c r="L3334" s="137"/>
    </row>
    <row r="3335">
      <c r="A3335" s="1641"/>
      <c r="B3335" s="703"/>
      <c r="C3335" s="1644"/>
      <c r="D3335" s="1644"/>
      <c r="E3335" s="727"/>
      <c r="F3335" s="727"/>
      <c r="G3335" s="727"/>
      <c r="H3335" s="727"/>
      <c r="I3335" s="727"/>
      <c r="J3335" s="727"/>
      <c r="K3335" s="727"/>
      <c r="L3335" s="137"/>
    </row>
    <row r="3336">
      <c r="A3336" s="1641"/>
      <c r="B3336" s="703"/>
      <c r="C3336" s="1644"/>
      <c r="D3336" s="1644"/>
      <c r="E3336" s="727"/>
      <c r="F3336" s="727"/>
      <c r="G3336" s="727"/>
      <c r="H3336" s="727"/>
      <c r="I3336" s="727"/>
      <c r="J3336" s="727"/>
      <c r="K3336" s="727"/>
      <c r="L3336" s="137"/>
    </row>
    <row r="3337">
      <c r="A3337" s="1641"/>
      <c r="B3337" s="703"/>
      <c r="C3337" s="1644"/>
      <c r="D3337" s="1644"/>
      <c r="E3337" s="727"/>
      <c r="F3337" s="727"/>
      <c r="G3337" s="727"/>
      <c r="H3337" s="727"/>
      <c r="I3337" s="727"/>
      <c r="J3337" s="727"/>
      <c r="K3337" s="727"/>
      <c r="L3337" s="137"/>
    </row>
    <row r="3338">
      <c r="A3338" s="1641"/>
      <c r="B3338" s="703"/>
      <c r="C3338" s="1644"/>
      <c r="D3338" s="1644"/>
      <c r="E3338" s="727"/>
      <c r="F3338" s="727"/>
      <c r="G3338" s="727"/>
      <c r="H3338" s="727"/>
      <c r="I3338" s="727"/>
      <c r="J3338" s="727"/>
      <c r="K3338" s="727"/>
      <c r="L3338" s="137"/>
    </row>
    <row r="3339">
      <c r="A3339" s="1641"/>
      <c r="B3339" s="703"/>
      <c r="C3339" s="1644"/>
      <c r="D3339" s="1644"/>
      <c r="E3339" s="727"/>
      <c r="F3339" s="727"/>
      <c r="G3339" s="727"/>
      <c r="H3339" s="727"/>
      <c r="I3339" s="727"/>
      <c r="J3339" s="727"/>
      <c r="K3339" s="727"/>
      <c r="L3339" s="137"/>
    </row>
    <row r="3340">
      <c r="A3340" s="1641"/>
      <c r="B3340" s="703"/>
      <c r="C3340" s="1644"/>
      <c r="D3340" s="1644"/>
      <c r="E3340" s="727"/>
      <c r="F3340" s="727"/>
      <c r="G3340" s="727"/>
      <c r="H3340" s="727"/>
      <c r="I3340" s="727"/>
      <c r="J3340" s="727"/>
      <c r="K3340" s="727"/>
      <c r="L3340" s="137"/>
    </row>
    <row r="3341">
      <c r="A3341" s="1641"/>
      <c r="B3341" s="703"/>
      <c r="C3341" s="1644"/>
      <c r="D3341" s="1644"/>
      <c r="E3341" s="727"/>
      <c r="F3341" s="727"/>
      <c r="G3341" s="727"/>
      <c r="H3341" s="727"/>
      <c r="I3341" s="727"/>
      <c r="J3341" s="727"/>
      <c r="K3341" s="727"/>
      <c r="L3341" s="137"/>
    </row>
    <row r="3342">
      <c r="A3342" s="1641"/>
      <c r="B3342" s="703"/>
      <c r="C3342" s="1644"/>
      <c r="D3342" s="1644"/>
      <c r="E3342" s="727"/>
      <c r="F3342" s="727"/>
      <c r="G3342" s="727"/>
      <c r="H3342" s="727"/>
      <c r="I3342" s="727"/>
      <c r="J3342" s="727"/>
      <c r="K3342" s="727"/>
      <c r="L3342" s="137"/>
    </row>
    <row r="3343">
      <c r="A3343" s="1641"/>
      <c r="B3343" s="703"/>
      <c r="C3343" s="1644"/>
      <c r="D3343" s="1644"/>
      <c r="E3343" s="727"/>
      <c r="F3343" s="727"/>
      <c r="G3343" s="727"/>
      <c r="H3343" s="727"/>
      <c r="I3343" s="727"/>
      <c r="J3343" s="727"/>
      <c r="K3343" s="727"/>
      <c r="L3343" s="137"/>
    </row>
    <row r="3344">
      <c r="A3344" s="1641"/>
      <c r="B3344" s="703"/>
      <c r="C3344" s="1644"/>
      <c r="D3344" s="1644"/>
      <c r="E3344" s="727"/>
      <c r="F3344" s="727"/>
      <c r="G3344" s="727"/>
      <c r="H3344" s="727"/>
      <c r="I3344" s="727"/>
      <c r="J3344" s="727"/>
      <c r="K3344" s="727"/>
      <c r="L3344" s="137"/>
    </row>
    <row r="3345">
      <c r="A3345" s="1641"/>
      <c r="B3345" s="703"/>
      <c r="C3345" s="1644"/>
      <c r="D3345" s="1644"/>
      <c r="E3345" s="727"/>
      <c r="F3345" s="727"/>
      <c r="G3345" s="727"/>
      <c r="H3345" s="727"/>
      <c r="I3345" s="727"/>
      <c r="J3345" s="727"/>
      <c r="K3345" s="727"/>
      <c r="L3345" s="137"/>
    </row>
    <row r="3346">
      <c r="A3346" s="1641"/>
      <c r="B3346" s="703"/>
      <c r="C3346" s="1644"/>
      <c r="D3346" s="1644"/>
      <c r="E3346" s="727"/>
      <c r="F3346" s="727"/>
      <c r="G3346" s="727"/>
      <c r="H3346" s="727"/>
      <c r="I3346" s="727"/>
      <c r="J3346" s="727"/>
      <c r="K3346" s="727"/>
      <c r="L3346" s="137"/>
    </row>
    <row r="3347">
      <c r="A3347" s="1641"/>
      <c r="B3347" s="703"/>
      <c r="C3347" s="1644"/>
      <c r="D3347" s="1644"/>
      <c r="E3347" s="727"/>
      <c r="F3347" s="727"/>
      <c r="G3347" s="727"/>
      <c r="H3347" s="727"/>
      <c r="I3347" s="727"/>
      <c r="J3347" s="727"/>
      <c r="K3347" s="727"/>
      <c r="L3347" s="137"/>
    </row>
    <row r="3348">
      <c r="A3348" s="1641"/>
      <c r="B3348" s="703"/>
      <c r="C3348" s="1644"/>
      <c r="D3348" s="1644"/>
      <c r="E3348" s="727"/>
      <c r="F3348" s="727"/>
      <c r="G3348" s="727"/>
      <c r="H3348" s="727"/>
      <c r="I3348" s="727"/>
      <c r="J3348" s="727"/>
      <c r="K3348" s="727"/>
      <c r="L3348" s="137"/>
    </row>
    <row r="3349">
      <c r="A3349" s="1641"/>
      <c r="B3349" s="703"/>
      <c r="C3349" s="1644"/>
      <c r="D3349" s="1644"/>
      <c r="E3349" s="727"/>
      <c r="F3349" s="727"/>
      <c r="G3349" s="727"/>
      <c r="H3349" s="727"/>
      <c r="I3349" s="727"/>
      <c r="J3349" s="727"/>
      <c r="K3349" s="727"/>
      <c r="L3349" s="137"/>
    </row>
    <row r="3350">
      <c r="A3350" s="1641"/>
      <c r="B3350" s="703"/>
      <c r="C3350" s="1644"/>
      <c r="D3350" s="1644"/>
      <c r="E3350" s="727"/>
      <c r="F3350" s="727"/>
      <c r="G3350" s="727"/>
      <c r="H3350" s="727"/>
      <c r="I3350" s="727"/>
      <c r="J3350" s="727"/>
      <c r="K3350" s="727"/>
      <c r="L3350" s="137"/>
    </row>
    <row r="3351">
      <c r="A3351" s="1641"/>
      <c r="B3351" s="703"/>
      <c r="C3351" s="1644"/>
      <c r="D3351" s="1644"/>
      <c r="E3351" s="727"/>
      <c r="F3351" s="727"/>
      <c r="G3351" s="727"/>
      <c r="H3351" s="727"/>
      <c r="I3351" s="727"/>
      <c r="J3351" s="727"/>
      <c r="K3351" s="727"/>
      <c r="L3351" s="137"/>
    </row>
    <row r="3352">
      <c r="A3352" s="1641"/>
      <c r="B3352" s="703"/>
      <c r="C3352" s="1644"/>
      <c r="D3352" s="1644"/>
      <c r="E3352" s="727"/>
      <c r="F3352" s="727"/>
      <c r="G3352" s="727"/>
      <c r="H3352" s="727"/>
      <c r="I3352" s="727"/>
      <c r="J3352" s="727"/>
      <c r="K3352" s="727"/>
      <c r="L3352" s="137"/>
    </row>
    <row r="3353">
      <c r="A3353" s="1641"/>
      <c r="B3353" s="703"/>
      <c r="C3353" s="1644"/>
      <c r="D3353" s="1644"/>
      <c r="E3353" s="727"/>
      <c r="F3353" s="727"/>
      <c r="G3353" s="727"/>
      <c r="H3353" s="727"/>
      <c r="I3353" s="727"/>
      <c r="J3353" s="727"/>
      <c r="K3353" s="727"/>
      <c r="L3353" s="137"/>
    </row>
    <row r="3354">
      <c r="A3354" s="1641"/>
      <c r="B3354" s="703"/>
      <c r="C3354" s="1644"/>
      <c r="D3354" s="1644"/>
      <c r="E3354" s="727"/>
      <c r="F3354" s="727"/>
      <c r="G3354" s="727"/>
      <c r="H3354" s="727"/>
      <c r="I3354" s="727"/>
      <c r="J3354" s="727"/>
      <c r="K3354" s="727"/>
      <c r="L3354" s="137"/>
    </row>
    <row r="3355">
      <c r="A3355" s="1641"/>
      <c r="B3355" s="703"/>
      <c r="C3355" s="1644"/>
      <c r="D3355" s="1644"/>
      <c r="E3355" s="727"/>
      <c r="F3355" s="727"/>
      <c r="G3355" s="727"/>
      <c r="H3355" s="727"/>
      <c r="I3355" s="727"/>
      <c r="J3355" s="727"/>
      <c r="K3355" s="727"/>
      <c r="L3355" s="137"/>
    </row>
    <row r="3356">
      <c r="A3356" s="1641"/>
      <c r="B3356" s="703"/>
      <c r="C3356" s="1644"/>
      <c r="D3356" s="1644"/>
      <c r="E3356" s="727"/>
      <c r="F3356" s="727"/>
      <c r="G3356" s="727"/>
      <c r="H3356" s="727"/>
      <c r="I3356" s="727"/>
      <c r="J3356" s="727"/>
      <c r="K3356" s="727"/>
      <c r="L3356" s="137"/>
    </row>
    <row r="3357">
      <c r="A3357" s="1641"/>
      <c r="B3357" s="703"/>
      <c r="C3357" s="1644"/>
      <c r="D3357" s="1644"/>
      <c r="E3357" s="727"/>
      <c r="F3357" s="727"/>
      <c r="G3357" s="727"/>
      <c r="H3357" s="727"/>
      <c r="I3357" s="727"/>
      <c r="J3357" s="727"/>
      <c r="K3357" s="727"/>
      <c r="L3357" s="137"/>
    </row>
    <row r="3358">
      <c r="A3358" s="1641"/>
      <c r="B3358" s="703"/>
      <c r="C3358" s="1644"/>
      <c r="D3358" s="1644"/>
      <c r="E3358" s="727"/>
      <c r="F3358" s="727"/>
      <c r="G3358" s="727"/>
      <c r="H3358" s="727"/>
      <c r="I3358" s="727"/>
      <c r="J3358" s="727"/>
      <c r="K3358" s="727"/>
      <c r="L3358" s="137"/>
    </row>
    <row r="3359">
      <c r="A3359" s="1641"/>
      <c r="B3359" s="703"/>
      <c r="C3359" s="1644"/>
      <c r="D3359" s="1644"/>
      <c r="E3359" s="727"/>
      <c r="F3359" s="727"/>
      <c r="G3359" s="727"/>
      <c r="H3359" s="727"/>
      <c r="I3359" s="727"/>
      <c r="J3359" s="727"/>
      <c r="K3359" s="727"/>
      <c r="L3359" s="137"/>
    </row>
    <row r="3360">
      <c r="A3360" s="1641"/>
      <c r="B3360" s="703"/>
      <c r="C3360" s="1644"/>
      <c r="D3360" s="1644"/>
      <c r="E3360" s="727"/>
      <c r="F3360" s="727"/>
      <c r="G3360" s="727"/>
      <c r="H3360" s="727"/>
      <c r="I3360" s="727"/>
      <c r="J3360" s="727"/>
      <c r="K3360" s="727"/>
      <c r="L3360" s="137"/>
    </row>
    <row r="3361">
      <c r="A3361" s="1641"/>
      <c r="B3361" s="703"/>
      <c r="C3361" s="1644"/>
      <c r="D3361" s="1644"/>
      <c r="E3361" s="727"/>
      <c r="F3361" s="727"/>
      <c r="G3361" s="727"/>
      <c r="H3361" s="727"/>
      <c r="I3361" s="727"/>
      <c r="J3361" s="727"/>
      <c r="K3361" s="727"/>
      <c r="L3361" s="137"/>
    </row>
    <row r="3362">
      <c r="A3362" s="1641"/>
      <c r="B3362" s="703"/>
      <c r="C3362" s="1644"/>
      <c r="D3362" s="1644"/>
      <c r="E3362" s="727"/>
      <c r="F3362" s="727"/>
      <c r="G3362" s="727"/>
      <c r="H3362" s="727"/>
      <c r="I3362" s="727"/>
      <c r="J3362" s="727"/>
      <c r="K3362" s="727"/>
      <c r="L3362" s="137"/>
    </row>
    <row r="3363">
      <c r="A3363" s="1641"/>
      <c r="B3363" s="703"/>
      <c r="C3363" s="1644"/>
      <c r="D3363" s="1644"/>
      <c r="E3363" s="727"/>
      <c r="F3363" s="727"/>
      <c r="G3363" s="727"/>
      <c r="H3363" s="727"/>
      <c r="I3363" s="727"/>
      <c r="J3363" s="727"/>
      <c r="K3363" s="727"/>
      <c r="L3363" s="137"/>
    </row>
    <row r="3364">
      <c r="A3364" s="1641"/>
      <c r="B3364" s="703"/>
      <c r="C3364" s="1644"/>
      <c r="D3364" s="1644"/>
      <c r="E3364" s="727"/>
      <c r="F3364" s="727"/>
      <c r="G3364" s="727"/>
      <c r="H3364" s="727"/>
      <c r="I3364" s="727"/>
      <c r="J3364" s="727"/>
      <c r="K3364" s="727"/>
      <c r="L3364" s="137"/>
    </row>
    <row r="3365">
      <c r="A3365" s="1641"/>
      <c r="B3365" s="703"/>
      <c r="C3365" s="1644"/>
      <c r="D3365" s="1644"/>
      <c r="E3365" s="727"/>
      <c r="F3365" s="727"/>
      <c r="G3365" s="727"/>
      <c r="H3365" s="727"/>
      <c r="I3365" s="727"/>
      <c r="J3365" s="727"/>
      <c r="K3365" s="727"/>
      <c r="L3365" s="137"/>
    </row>
    <row r="3366">
      <c r="A3366" s="1641"/>
      <c r="B3366" s="703"/>
      <c r="C3366" s="1644"/>
      <c r="D3366" s="1644"/>
      <c r="E3366" s="727"/>
      <c r="F3366" s="727"/>
      <c r="G3366" s="727"/>
      <c r="H3366" s="727"/>
      <c r="I3366" s="727"/>
      <c r="J3366" s="727"/>
      <c r="K3366" s="727"/>
      <c r="L3366" s="137"/>
    </row>
    <row r="3367">
      <c r="A3367" s="1641"/>
      <c r="B3367" s="703"/>
      <c r="C3367" s="1644"/>
      <c r="D3367" s="1644"/>
      <c r="E3367" s="727"/>
      <c r="F3367" s="727"/>
      <c r="G3367" s="727"/>
      <c r="H3367" s="727"/>
      <c r="I3367" s="727"/>
      <c r="J3367" s="727"/>
      <c r="K3367" s="727"/>
      <c r="L3367" s="137"/>
    </row>
    <row r="3368">
      <c r="A3368" s="1641"/>
      <c r="B3368" s="703"/>
      <c r="C3368" s="1644"/>
      <c r="D3368" s="1644"/>
      <c r="E3368" s="727"/>
      <c r="F3368" s="727"/>
      <c r="G3368" s="727"/>
      <c r="H3368" s="727"/>
      <c r="I3368" s="727"/>
      <c r="J3368" s="727"/>
      <c r="K3368" s="727"/>
      <c r="L3368" s="137"/>
    </row>
    <row r="3369">
      <c r="A3369" s="1641"/>
      <c r="B3369" s="703"/>
      <c r="C3369" s="1644"/>
      <c r="D3369" s="1644"/>
      <c r="E3369" s="727"/>
      <c r="F3369" s="727"/>
      <c r="G3369" s="727"/>
      <c r="H3369" s="727"/>
      <c r="I3369" s="727"/>
      <c r="J3369" s="727"/>
      <c r="K3369" s="727"/>
      <c r="L3369" s="137"/>
    </row>
    <row r="3370">
      <c r="A3370" s="1641"/>
      <c r="B3370" s="703"/>
      <c r="C3370" s="1644"/>
      <c r="D3370" s="1644"/>
      <c r="E3370" s="727"/>
      <c r="F3370" s="727"/>
      <c r="G3370" s="727"/>
      <c r="H3370" s="727"/>
      <c r="I3370" s="727"/>
      <c r="J3370" s="727"/>
      <c r="K3370" s="727"/>
      <c r="L3370" s="137"/>
    </row>
    <row r="3371">
      <c r="A3371" s="1641"/>
      <c r="B3371" s="703"/>
      <c r="C3371" s="1644"/>
      <c r="D3371" s="1644"/>
      <c r="E3371" s="727"/>
      <c r="F3371" s="727"/>
      <c r="G3371" s="727"/>
      <c r="H3371" s="727"/>
      <c r="I3371" s="727"/>
      <c r="J3371" s="727"/>
      <c r="K3371" s="727"/>
      <c r="L3371" s="137"/>
    </row>
    <row r="3372">
      <c r="A3372" s="1641"/>
      <c r="B3372" s="703"/>
      <c r="C3372" s="1644"/>
      <c r="D3372" s="1644"/>
      <c r="E3372" s="727"/>
      <c r="F3372" s="727"/>
      <c r="G3372" s="727"/>
      <c r="H3372" s="727"/>
      <c r="I3372" s="727"/>
      <c r="J3372" s="727"/>
      <c r="K3372" s="727"/>
      <c r="L3372" s="137"/>
    </row>
    <row r="3373">
      <c r="A3373" s="1641"/>
      <c r="B3373" s="703"/>
      <c r="C3373" s="1644"/>
      <c r="D3373" s="1644"/>
      <c r="E3373" s="727"/>
      <c r="F3373" s="727"/>
      <c r="G3373" s="727"/>
      <c r="H3373" s="727"/>
      <c r="I3373" s="727"/>
      <c r="J3373" s="727"/>
      <c r="K3373" s="727"/>
      <c r="L3373" s="137"/>
    </row>
    <row r="3374">
      <c r="A3374" s="1641"/>
      <c r="B3374" s="703"/>
      <c r="C3374" s="1644"/>
      <c r="D3374" s="1644"/>
      <c r="E3374" s="727"/>
      <c r="F3374" s="727"/>
      <c r="G3374" s="727"/>
      <c r="H3374" s="727"/>
      <c r="I3374" s="727"/>
      <c r="J3374" s="727"/>
      <c r="K3374" s="727"/>
      <c r="L3374" s="137"/>
    </row>
    <row r="3375">
      <c r="A3375" s="1641"/>
      <c r="B3375" s="703"/>
      <c r="C3375" s="1644"/>
      <c r="D3375" s="1644"/>
      <c r="E3375" s="727"/>
      <c r="F3375" s="727"/>
      <c r="G3375" s="727"/>
      <c r="H3375" s="727"/>
      <c r="I3375" s="727"/>
      <c r="J3375" s="727"/>
      <c r="K3375" s="727"/>
      <c r="L3375" s="137"/>
    </row>
    <row r="3376">
      <c r="A3376" s="1641"/>
      <c r="B3376" s="703"/>
      <c r="C3376" s="1644"/>
      <c r="D3376" s="1644"/>
      <c r="E3376" s="727"/>
      <c r="F3376" s="727"/>
      <c r="G3376" s="727"/>
      <c r="H3376" s="727"/>
      <c r="I3376" s="727"/>
      <c r="J3376" s="727"/>
      <c r="K3376" s="727"/>
      <c r="L3376" s="137"/>
    </row>
    <row r="3377">
      <c r="A3377" s="1641"/>
      <c r="B3377" s="703"/>
      <c r="C3377" s="1644"/>
      <c r="D3377" s="1644"/>
      <c r="E3377" s="727"/>
      <c r="F3377" s="727"/>
      <c r="G3377" s="727"/>
      <c r="H3377" s="727"/>
      <c r="I3377" s="727"/>
      <c r="J3377" s="727"/>
      <c r="K3377" s="727"/>
      <c r="L3377" s="137"/>
    </row>
    <row r="3378">
      <c r="A3378" s="1641"/>
      <c r="B3378" s="703"/>
      <c r="C3378" s="1644"/>
      <c r="D3378" s="1644"/>
      <c r="E3378" s="727"/>
      <c r="F3378" s="727"/>
      <c r="G3378" s="727"/>
      <c r="H3378" s="727"/>
      <c r="I3378" s="727"/>
      <c r="J3378" s="727"/>
      <c r="K3378" s="727"/>
      <c r="L3378" s="137"/>
    </row>
    <row r="3379">
      <c r="A3379" s="1641"/>
      <c r="B3379" s="703"/>
      <c r="C3379" s="1644"/>
      <c r="D3379" s="1644"/>
      <c r="E3379" s="727"/>
      <c r="F3379" s="727"/>
      <c r="G3379" s="727"/>
      <c r="H3379" s="727"/>
      <c r="I3379" s="727"/>
      <c r="J3379" s="727"/>
      <c r="K3379" s="727"/>
      <c r="L3379" s="137"/>
    </row>
    <row r="3380">
      <c r="A3380" s="1641"/>
      <c r="B3380" s="703"/>
      <c r="C3380" s="1644"/>
      <c r="D3380" s="1644"/>
      <c r="E3380" s="727"/>
      <c r="F3380" s="727"/>
      <c r="G3380" s="727"/>
      <c r="H3380" s="727"/>
      <c r="I3380" s="727"/>
      <c r="J3380" s="727"/>
      <c r="K3380" s="727"/>
      <c r="L3380" s="137"/>
    </row>
    <row r="3381">
      <c r="A3381" s="1641"/>
      <c r="B3381" s="703"/>
      <c r="C3381" s="1644"/>
      <c r="D3381" s="1644"/>
      <c r="E3381" s="727"/>
      <c r="F3381" s="727"/>
      <c r="G3381" s="727"/>
      <c r="H3381" s="727"/>
      <c r="I3381" s="727"/>
      <c r="J3381" s="727"/>
      <c r="K3381" s="727"/>
      <c r="L3381" s="137"/>
    </row>
    <row r="3382">
      <c r="A3382" s="1641"/>
      <c r="B3382" s="703"/>
      <c r="C3382" s="1644"/>
      <c r="D3382" s="1644"/>
      <c r="E3382" s="727"/>
      <c r="F3382" s="727"/>
      <c r="G3382" s="727"/>
      <c r="H3382" s="727"/>
      <c r="I3382" s="727"/>
      <c r="J3382" s="727"/>
      <c r="K3382" s="727"/>
      <c r="L3382" s="137"/>
    </row>
    <row r="3383">
      <c r="A3383" s="1641"/>
      <c r="B3383" s="703"/>
      <c r="C3383" s="1644"/>
      <c r="D3383" s="1644"/>
      <c r="E3383" s="727"/>
      <c r="F3383" s="727"/>
      <c r="G3383" s="727"/>
      <c r="H3383" s="727"/>
      <c r="I3383" s="727"/>
      <c r="J3383" s="727"/>
      <c r="K3383" s="727"/>
      <c r="L3383" s="137"/>
    </row>
    <row r="3384">
      <c r="A3384" s="1641"/>
      <c r="B3384" s="703"/>
      <c r="C3384" s="1644"/>
      <c r="D3384" s="1644"/>
      <c r="E3384" s="727"/>
      <c r="F3384" s="727"/>
      <c r="G3384" s="727"/>
      <c r="H3384" s="727"/>
      <c r="I3384" s="727"/>
      <c r="J3384" s="727"/>
      <c r="K3384" s="727"/>
      <c r="L3384" s="137"/>
    </row>
    <row r="3385">
      <c r="A3385" s="1641"/>
      <c r="B3385" s="703"/>
      <c r="C3385" s="1644"/>
      <c r="D3385" s="1644"/>
      <c r="E3385" s="727"/>
      <c r="F3385" s="727"/>
      <c r="G3385" s="727"/>
      <c r="H3385" s="727"/>
      <c r="I3385" s="727"/>
      <c r="J3385" s="727"/>
      <c r="K3385" s="727"/>
      <c r="L3385" s="137"/>
    </row>
    <row r="3386">
      <c r="A3386" s="1641"/>
      <c r="B3386" s="703"/>
      <c r="C3386" s="1644"/>
      <c r="D3386" s="1644"/>
      <c r="E3386" s="727"/>
      <c r="F3386" s="727"/>
      <c r="G3386" s="727"/>
      <c r="H3386" s="727"/>
      <c r="I3386" s="727"/>
      <c r="J3386" s="727"/>
      <c r="K3386" s="727"/>
      <c r="L3386" s="137"/>
    </row>
    <row r="3387">
      <c r="A3387" s="1641"/>
      <c r="B3387" s="703"/>
      <c r="C3387" s="1644"/>
      <c r="D3387" s="1644"/>
      <c r="E3387" s="727"/>
      <c r="F3387" s="727"/>
      <c r="G3387" s="727"/>
      <c r="H3387" s="727"/>
      <c r="I3387" s="727"/>
      <c r="J3387" s="727"/>
      <c r="K3387" s="727"/>
      <c r="L3387" s="137"/>
    </row>
    <row r="3388">
      <c r="A3388" s="1641"/>
      <c r="B3388" s="703"/>
      <c r="C3388" s="1644"/>
      <c r="D3388" s="1644"/>
      <c r="E3388" s="727"/>
      <c r="F3388" s="727"/>
      <c r="G3388" s="727"/>
      <c r="H3388" s="727"/>
      <c r="I3388" s="727"/>
      <c r="J3388" s="727"/>
      <c r="K3388" s="727"/>
      <c r="L3388" s="137"/>
    </row>
    <row r="3389">
      <c r="A3389" s="1641"/>
      <c r="B3389" s="703"/>
      <c r="C3389" s="1644"/>
      <c r="D3389" s="1644"/>
      <c r="E3389" s="727"/>
      <c r="F3389" s="727"/>
      <c r="G3389" s="727"/>
      <c r="H3389" s="727"/>
      <c r="I3389" s="727"/>
      <c r="J3389" s="727"/>
      <c r="K3389" s="727"/>
      <c r="L3389" s="137"/>
    </row>
    <row r="3390">
      <c r="A3390" s="1641"/>
      <c r="B3390" s="703"/>
      <c r="C3390" s="1644"/>
      <c r="D3390" s="1644"/>
      <c r="E3390" s="727"/>
      <c r="F3390" s="727"/>
      <c r="G3390" s="727"/>
      <c r="H3390" s="727"/>
      <c r="I3390" s="727"/>
      <c r="J3390" s="727"/>
      <c r="K3390" s="727"/>
      <c r="L3390" s="137"/>
    </row>
    <row r="3391">
      <c r="A3391" s="1641"/>
      <c r="B3391" s="703"/>
      <c r="C3391" s="1644"/>
      <c r="D3391" s="1644"/>
      <c r="E3391" s="727"/>
      <c r="F3391" s="727"/>
      <c r="G3391" s="727"/>
      <c r="H3391" s="727"/>
      <c r="I3391" s="727"/>
      <c r="J3391" s="727"/>
      <c r="K3391" s="727"/>
      <c r="L3391" s="137"/>
    </row>
    <row r="3392">
      <c r="A3392" s="1641"/>
      <c r="B3392" s="703"/>
      <c r="C3392" s="1644"/>
      <c r="D3392" s="1644"/>
      <c r="E3392" s="727"/>
      <c r="F3392" s="727"/>
      <c r="G3392" s="727"/>
      <c r="H3392" s="727"/>
      <c r="I3392" s="727"/>
      <c r="J3392" s="727"/>
      <c r="K3392" s="727"/>
      <c r="L3392" s="137"/>
    </row>
    <row r="3393">
      <c r="A3393" s="1641"/>
      <c r="B3393" s="703"/>
      <c r="C3393" s="1644"/>
      <c r="D3393" s="1644"/>
      <c r="E3393" s="727"/>
      <c r="F3393" s="727"/>
      <c r="G3393" s="727"/>
      <c r="H3393" s="727"/>
      <c r="I3393" s="727"/>
      <c r="J3393" s="727"/>
      <c r="K3393" s="727"/>
      <c r="L3393" s="137"/>
    </row>
    <row r="3394">
      <c r="A3394" s="1641"/>
      <c r="B3394" s="703"/>
      <c r="C3394" s="1644"/>
      <c r="D3394" s="1644"/>
      <c r="E3394" s="727"/>
      <c r="F3394" s="727"/>
      <c r="G3394" s="727"/>
      <c r="H3394" s="727"/>
      <c r="I3394" s="727"/>
      <c r="J3394" s="727"/>
      <c r="K3394" s="727"/>
      <c r="L3394" s="137"/>
    </row>
    <row r="3395">
      <c r="A3395" s="1641"/>
      <c r="B3395" s="703"/>
      <c r="C3395" s="1644"/>
      <c r="D3395" s="1644"/>
      <c r="E3395" s="727"/>
      <c r="F3395" s="727"/>
      <c r="G3395" s="727"/>
      <c r="H3395" s="727"/>
      <c r="I3395" s="727"/>
      <c r="J3395" s="727"/>
      <c r="K3395" s="727"/>
      <c r="L3395" s="137"/>
    </row>
    <row r="3396">
      <c r="A3396" s="1641"/>
      <c r="B3396" s="703"/>
      <c r="C3396" s="1644"/>
      <c r="D3396" s="1644"/>
      <c r="E3396" s="727"/>
      <c r="F3396" s="727"/>
      <c r="G3396" s="727"/>
      <c r="H3396" s="727"/>
      <c r="I3396" s="727"/>
      <c r="J3396" s="727"/>
      <c r="K3396" s="727"/>
      <c r="L3396" s="137"/>
    </row>
    <row r="3397">
      <c r="A3397" s="1641"/>
      <c r="B3397" s="703"/>
      <c r="C3397" s="1644"/>
      <c r="D3397" s="1644"/>
      <c r="E3397" s="727"/>
      <c r="F3397" s="727"/>
      <c r="G3397" s="727"/>
      <c r="H3397" s="727"/>
      <c r="I3397" s="727"/>
      <c r="J3397" s="727"/>
      <c r="K3397" s="727"/>
      <c r="L3397" s="137"/>
    </row>
    <row r="3398">
      <c r="A3398" s="1641"/>
      <c r="B3398" s="703"/>
      <c r="C3398" s="1644"/>
      <c r="D3398" s="1644"/>
      <c r="E3398" s="727"/>
      <c r="F3398" s="727"/>
      <c r="G3398" s="727"/>
      <c r="H3398" s="727"/>
      <c r="I3398" s="727"/>
      <c r="J3398" s="727"/>
      <c r="K3398" s="727"/>
      <c r="L3398" s="137"/>
    </row>
    <row r="3399">
      <c r="A3399" s="1641"/>
      <c r="B3399" s="703"/>
      <c r="C3399" s="1644"/>
      <c r="D3399" s="1644"/>
      <c r="E3399" s="727"/>
      <c r="F3399" s="727"/>
      <c r="G3399" s="727"/>
      <c r="H3399" s="727"/>
      <c r="I3399" s="727"/>
      <c r="J3399" s="727"/>
      <c r="K3399" s="727"/>
      <c r="L3399" s="137"/>
    </row>
    <row r="3400">
      <c r="A3400" s="1641"/>
      <c r="B3400" s="703"/>
      <c r="C3400" s="1644"/>
      <c r="D3400" s="1644"/>
      <c r="E3400" s="727"/>
      <c r="F3400" s="727"/>
      <c r="G3400" s="727"/>
      <c r="H3400" s="727"/>
      <c r="I3400" s="727"/>
      <c r="J3400" s="727"/>
      <c r="K3400" s="727"/>
      <c r="L3400" s="137"/>
    </row>
    <row r="3401">
      <c r="A3401" s="1641"/>
      <c r="B3401" s="703"/>
      <c r="C3401" s="1644"/>
      <c r="D3401" s="1644"/>
      <c r="E3401" s="727"/>
      <c r="F3401" s="727"/>
      <c r="G3401" s="727"/>
      <c r="H3401" s="727"/>
      <c r="I3401" s="727"/>
      <c r="J3401" s="727"/>
      <c r="K3401" s="727"/>
      <c r="L3401" s="137"/>
    </row>
    <row r="3402">
      <c r="A3402" s="1641"/>
      <c r="B3402" s="703"/>
      <c r="C3402" s="1644"/>
      <c r="D3402" s="1644"/>
      <c r="E3402" s="727"/>
      <c r="F3402" s="727"/>
      <c r="G3402" s="727"/>
      <c r="H3402" s="727"/>
      <c r="I3402" s="727"/>
      <c r="J3402" s="727"/>
      <c r="K3402" s="727"/>
      <c r="L3402" s="137"/>
    </row>
    <row r="3403">
      <c r="A3403" s="1641"/>
      <c r="B3403" s="703"/>
      <c r="C3403" s="1644"/>
      <c r="D3403" s="1644"/>
      <c r="E3403" s="727"/>
      <c r="F3403" s="727"/>
      <c r="G3403" s="727"/>
      <c r="H3403" s="727"/>
      <c r="I3403" s="727"/>
      <c r="J3403" s="727"/>
      <c r="K3403" s="727"/>
      <c r="L3403" s="137"/>
    </row>
    <row r="3404">
      <c r="A3404" s="1641"/>
      <c r="B3404" s="703"/>
      <c r="C3404" s="1644"/>
      <c r="D3404" s="1644"/>
      <c r="E3404" s="727"/>
      <c r="F3404" s="727"/>
      <c r="G3404" s="727"/>
      <c r="H3404" s="727"/>
      <c r="I3404" s="727"/>
      <c r="J3404" s="727"/>
      <c r="K3404" s="727"/>
      <c r="L3404" s="137"/>
    </row>
    <row r="3405">
      <c r="A3405" s="1641"/>
      <c r="B3405" s="703"/>
      <c r="C3405" s="1644"/>
      <c r="D3405" s="1644"/>
      <c r="E3405" s="727"/>
      <c r="F3405" s="727"/>
      <c r="G3405" s="727"/>
      <c r="H3405" s="727"/>
      <c r="I3405" s="727"/>
      <c r="J3405" s="727"/>
      <c r="K3405" s="727"/>
      <c r="L3405" s="137"/>
    </row>
    <row r="3406">
      <c r="A3406" s="1641"/>
      <c r="B3406" s="703"/>
      <c r="C3406" s="1644"/>
      <c r="D3406" s="1644"/>
      <c r="E3406" s="727"/>
      <c r="F3406" s="727"/>
      <c r="G3406" s="727"/>
      <c r="H3406" s="727"/>
      <c r="I3406" s="727"/>
      <c r="J3406" s="727"/>
      <c r="K3406" s="727"/>
      <c r="L3406" s="137"/>
    </row>
    <row r="3407">
      <c r="A3407" s="1641"/>
      <c r="B3407" s="703"/>
      <c r="C3407" s="1644"/>
      <c r="D3407" s="1644"/>
      <c r="E3407" s="727"/>
      <c r="F3407" s="727"/>
      <c r="G3407" s="727"/>
      <c r="H3407" s="727"/>
      <c r="I3407" s="727"/>
      <c r="J3407" s="727"/>
      <c r="K3407" s="727"/>
      <c r="L3407" s="137"/>
    </row>
    <row r="3408">
      <c r="A3408" s="1641"/>
      <c r="B3408" s="703"/>
      <c r="C3408" s="1644"/>
      <c r="D3408" s="1644"/>
      <c r="E3408" s="727"/>
      <c r="F3408" s="727"/>
      <c r="G3408" s="727"/>
      <c r="H3408" s="727"/>
      <c r="I3408" s="727"/>
      <c r="J3408" s="727"/>
      <c r="K3408" s="727"/>
      <c r="L3408" s="137"/>
    </row>
    <row r="3409">
      <c r="A3409" s="1641"/>
      <c r="B3409" s="703"/>
      <c r="C3409" s="1644"/>
      <c r="D3409" s="1644"/>
      <c r="E3409" s="727"/>
      <c r="F3409" s="727"/>
      <c r="G3409" s="727"/>
      <c r="H3409" s="727"/>
      <c r="I3409" s="727"/>
      <c r="J3409" s="727"/>
      <c r="K3409" s="727"/>
      <c r="L3409" s="137"/>
    </row>
    <row r="3410">
      <c r="A3410" s="1641"/>
      <c r="B3410" s="703"/>
      <c r="C3410" s="1644"/>
      <c r="D3410" s="1644"/>
      <c r="E3410" s="727"/>
      <c r="F3410" s="727"/>
      <c r="G3410" s="727"/>
      <c r="H3410" s="727"/>
      <c r="I3410" s="727"/>
      <c r="J3410" s="727"/>
      <c r="K3410" s="727"/>
      <c r="L3410" s="137"/>
    </row>
    <row r="3411">
      <c r="A3411" s="1641"/>
      <c r="B3411" s="703"/>
      <c r="C3411" s="1644"/>
      <c r="D3411" s="1644"/>
      <c r="E3411" s="727"/>
      <c r="F3411" s="727"/>
      <c r="G3411" s="727"/>
      <c r="H3411" s="727"/>
      <c r="I3411" s="727"/>
      <c r="J3411" s="727"/>
      <c r="K3411" s="727"/>
      <c r="L3411" s="137"/>
    </row>
    <row r="3412">
      <c r="A3412" s="1641"/>
      <c r="B3412" s="703"/>
      <c r="C3412" s="1644"/>
      <c r="D3412" s="1644"/>
      <c r="E3412" s="727"/>
      <c r="F3412" s="727"/>
      <c r="G3412" s="727"/>
      <c r="H3412" s="727"/>
      <c r="I3412" s="727"/>
      <c r="J3412" s="727"/>
      <c r="K3412" s="727"/>
      <c r="L3412" s="137"/>
    </row>
    <row r="3413">
      <c r="A3413" s="1641"/>
      <c r="B3413" s="703"/>
      <c r="C3413" s="1644"/>
      <c r="D3413" s="1644"/>
      <c r="E3413" s="727"/>
      <c r="F3413" s="727"/>
      <c r="G3413" s="727"/>
      <c r="H3413" s="727"/>
      <c r="I3413" s="727"/>
      <c r="J3413" s="727"/>
      <c r="K3413" s="727"/>
      <c r="L3413" s="137"/>
    </row>
    <row r="3414">
      <c r="A3414" s="1641"/>
      <c r="B3414" s="703"/>
      <c r="C3414" s="1644"/>
      <c r="D3414" s="1644"/>
      <c r="E3414" s="727"/>
      <c r="F3414" s="727"/>
      <c r="G3414" s="727"/>
      <c r="H3414" s="727"/>
      <c r="I3414" s="727"/>
      <c r="J3414" s="727"/>
      <c r="K3414" s="727"/>
      <c r="L3414" s="137"/>
    </row>
    <row r="3415">
      <c r="A3415" s="1641"/>
      <c r="B3415" s="703"/>
      <c r="C3415" s="1644"/>
      <c r="D3415" s="1644"/>
      <c r="E3415" s="727"/>
      <c r="F3415" s="727"/>
      <c r="G3415" s="727"/>
      <c r="H3415" s="727"/>
      <c r="I3415" s="727"/>
      <c r="J3415" s="727"/>
      <c r="K3415" s="727"/>
      <c r="L3415" s="137"/>
    </row>
    <row r="3416">
      <c r="A3416" s="1641"/>
      <c r="B3416" s="703"/>
      <c r="C3416" s="1644"/>
      <c r="D3416" s="1644"/>
      <c r="E3416" s="727"/>
      <c r="F3416" s="727"/>
      <c r="G3416" s="727"/>
      <c r="H3416" s="727"/>
      <c r="I3416" s="727"/>
      <c r="J3416" s="727"/>
      <c r="K3416" s="727"/>
      <c r="L3416" s="137"/>
    </row>
    <row r="3417">
      <c r="A3417" s="1641"/>
      <c r="B3417" s="703"/>
      <c r="C3417" s="1644"/>
      <c r="D3417" s="1644"/>
      <c r="E3417" s="727"/>
      <c r="F3417" s="727"/>
      <c r="G3417" s="727"/>
      <c r="H3417" s="727"/>
      <c r="I3417" s="727"/>
      <c r="J3417" s="727"/>
      <c r="K3417" s="727"/>
      <c r="L3417" s="137"/>
    </row>
    <row r="3418">
      <c r="A3418" s="1641"/>
      <c r="B3418" s="703"/>
      <c r="C3418" s="1644"/>
      <c r="D3418" s="1644"/>
      <c r="E3418" s="727"/>
      <c r="F3418" s="727"/>
      <c r="G3418" s="727"/>
      <c r="H3418" s="727"/>
      <c r="I3418" s="727"/>
      <c r="J3418" s="727"/>
      <c r="K3418" s="727"/>
      <c r="L3418" s="137"/>
    </row>
    <row r="3419">
      <c r="A3419" s="1641"/>
      <c r="B3419" s="703"/>
      <c r="C3419" s="1644"/>
      <c r="D3419" s="1644"/>
      <c r="E3419" s="727"/>
      <c r="F3419" s="727"/>
      <c r="G3419" s="727"/>
      <c r="H3419" s="727"/>
      <c r="I3419" s="727"/>
      <c r="J3419" s="727"/>
      <c r="K3419" s="727"/>
      <c r="L3419" s="137"/>
    </row>
    <row r="3420">
      <c r="A3420" s="1641"/>
      <c r="B3420" s="703"/>
      <c r="C3420" s="1644"/>
      <c r="D3420" s="1644"/>
      <c r="E3420" s="727"/>
      <c r="F3420" s="727"/>
      <c r="G3420" s="727"/>
      <c r="H3420" s="727"/>
      <c r="I3420" s="727"/>
      <c r="J3420" s="727"/>
      <c r="K3420" s="727"/>
      <c r="L3420" s="137"/>
    </row>
    <row r="3421">
      <c r="A3421" s="1641"/>
      <c r="B3421" s="703"/>
      <c r="C3421" s="1644"/>
      <c r="D3421" s="1644"/>
      <c r="E3421" s="727"/>
      <c r="F3421" s="727"/>
      <c r="G3421" s="727"/>
      <c r="H3421" s="727"/>
      <c r="I3421" s="727"/>
      <c r="J3421" s="727"/>
      <c r="K3421" s="727"/>
      <c r="L3421" s="137"/>
    </row>
    <row r="3422">
      <c r="A3422" s="1641"/>
      <c r="B3422" s="703"/>
      <c r="C3422" s="1644"/>
      <c r="D3422" s="1644"/>
      <c r="E3422" s="727"/>
      <c r="F3422" s="727"/>
      <c r="G3422" s="727"/>
      <c r="H3422" s="727"/>
      <c r="I3422" s="727"/>
      <c r="J3422" s="727"/>
      <c r="K3422" s="727"/>
      <c r="L3422" s="137"/>
    </row>
    <row r="3423">
      <c r="A3423" s="1641"/>
      <c r="B3423" s="703"/>
      <c r="C3423" s="1644"/>
      <c r="D3423" s="1644"/>
      <c r="E3423" s="727"/>
      <c r="F3423" s="727"/>
      <c r="G3423" s="727"/>
      <c r="H3423" s="727"/>
      <c r="I3423" s="727"/>
      <c r="J3423" s="727"/>
      <c r="K3423" s="727"/>
      <c r="L3423" s="137"/>
    </row>
    <row r="3424">
      <c r="A3424" s="1641"/>
      <c r="B3424" s="703"/>
      <c r="C3424" s="1644"/>
      <c r="D3424" s="1644"/>
      <c r="E3424" s="727"/>
      <c r="F3424" s="727"/>
      <c r="G3424" s="727"/>
      <c r="H3424" s="727"/>
      <c r="I3424" s="727"/>
      <c r="J3424" s="727"/>
      <c r="K3424" s="727"/>
      <c r="L3424" s="137"/>
    </row>
    <row r="3425">
      <c r="A3425" s="1641"/>
      <c r="B3425" s="703"/>
      <c r="C3425" s="1644"/>
      <c r="D3425" s="1644"/>
      <c r="E3425" s="727"/>
      <c r="F3425" s="727"/>
      <c r="G3425" s="727"/>
      <c r="H3425" s="727"/>
      <c r="I3425" s="727"/>
      <c r="J3425" s="727"/>
      <c r="K3425" s="727"/>
      <c r="L3425" s="137"/>
    </row>
    <row r="3426">
      <c r="A3426" s="1641"/>
      <c r="B3426" s="703"/>
      <c r="C3426" s="1644"/>
      <c r="D3426" s="1644"/>
      <c r="E3426" s="727"/>
      <c r="F3426" s="727"/>
      <c r="G3426" s="727"/>
      <c r="H3426" s="727"/>
      <c r="I3426" s="727"/>
      <c r="J3426" s="727"/>
      <c r="K3426" s="727"/>
      <c r="L3426" s="137"/>
    </row>
    <row r="3427">
      <c r="A3427" s="1641"/>
      <c r="B3427" s="703"/>
      <c r="C3427" s="1644"/>
      <c r="D3427" s="1644"/>
      <c r="E3427" s="727"/>
      <c r="F3427" s="727"/>
      <c r="G3427" s="727"/>
      <c r="H3427" s="727"/>
      <c r="I3427" s="727"/>
      <c r="J3427" s="727"/>
      <c r="K3427" s="727"/>
      <c r="L3427" s="137"/>
    </row>
    <row r="3428">
      <c r="A3428" s="1641"/>
      <c r="B3428" s="703"/>
      <c r="C3428" s="1644"/>
      <c r="D3428" s="1644"/>
      <c r="E3428" s="727"/>
      <c r="F3428" s="727"/>
      <c r="G3428" s="727"/>
      <c r="H3428" s="727"/>
      <c r="I3428" s="727"/>
      <c r="J3428" s="727"/>
      <c r="K3428" s="727"/>
      <c r="L3428" s="137"/>
    </row>
    <row r="3429">
      <c r="A3429" s="1641"/>
      <c r="B3429" s="703"/>
      <c r="C3429" s="1644"/>
      <c r="D3429" s="1644"/>
      <c r="E3429" s="727"/>
      <c r="F3429" s="727"/>
      <c r="G3429" s="727"/>
      <c r="H3429" s="727"/>
      <c r="I3429" s="727"/>
      <c r="J3429" s="727"/>
      <c r="K3429" s="727"/>
      <c r="L3429" s="137"/>
    </row>
    <row r="3430">
      <c r="A3430" s="1641"/>
      <c r="B3430" s="703"/>
      <c r="C3430" s="1644"/>
      <c r="D3430" s="1644"/>
      <c r="E3430" s="727"/>
      <c r="F3430" s="727"/>
      <c r="G3430" s="727"/>
      <c r="H3430" s="727"/>
      <c r="I3430" s="727"/>
      <c r="J3430" s="727"/>
      <c r="K3430" s="727"/>
      <c r="L3430" s="137"/>
    </row>
    <row r="3431">
      <c r="A3431" s="1641"/>
      <c r="B3431" s="703"/>
      <c r="C3431" s="1644"/>
      <c r="D3431" s="1644"/>
      <c r="E3431" s="727"/>
      <c r="F3431" s="727"/>
      <c r="G3431" s="727"/>
      <c r="H3431" s="727"/>
      <c r="I3431" s="727"/>
      <c r="J3431" s="727"/>
      <c r="K3431" s="727"/>
      <c r="L3431" s="137"/>
    </row>
    <row r="3432">
      <c r="A3432" s="1641"/>
      <c r="B3432" s="703"/>
      <c r="C3432" s="1644"/>
      <c r="D3432" s="1644"/>
      <c r="E3432" s="727"/>
      <c r="F3432" s="727"/>
      <c r="G3432" s="727"/>
      <c r="H3432" s="727"/>
      <c r="I3432" s="727"/>
      <c r="J3432" s="727"/>
      <c r="K3432" s="727"/>
      <c r="L3432" s="137"/>
    </row>
    <row r="3433">
      <c r="A3433" s="1641"/>
      <c r="B3433" s="703"/>
      <c r="C3433" s="1644"/>
      <c r="D3433" s="1644"/>
      <c r="E3433" s="727"/>
      <c r="F3433" s="727"/>
      <c r="G3433" s="727"/>
      <c r="H3433" s="727"/>
      <c r="I3433" s="727"/>
      <c r="J3433" s="727"/>
      <c r="K3433" s="727"/>
      <c r="L3433" s="137"/>
    </row>
    <row r="3434">
      <c r="A3434" s="1641"/>
      <c r="B3434" s="703"/>
      <c r="C3434" s="1644"/>
      <c r="D3434" s="1644"/>
      <c r="E3434" s="727"/>
      <c r="F3434" s="727"/>
      <c r="G3434" s="727"/>
      <c r="H3434" s="727"/>
      <c r="I3434" s="727"/>
      <c r="J3434" s="727"/>
      <c r="K3434" s="727"/>
      <c r="L3434" s="137"/>
    </row>
    <row r="3435">
      <c r="A3435" s="1641"/>
      <c r="B3435" s="703"/>
      <c r="C3435" s="1644"/>
      <c r="D3435" s="1644"/>
      <c r="E3435" s="727"/>
      <c r="F3435" s="727"/>
      <c r="G3435" s="727"/>
      <c r="H3435" s="727"/>
      <c r="I3435" s="727"/>
      <c r="J3435" s="727"/>
      <c r="K3435" s="727"/>
      <c r="L3435" s="137"/>
    </row>
    <row r="3436">
      <c r="A3436" s="1641"/>
      <c r="B3436" s="703"/>
      <c r="C3436" s="1644"/>
      <c r="D3436" s="1644"/>
      <c r="E3436" s="727"/>
      <c r="F3436" s="727"/>
      <c r="G3436" s="727"/>
      <c r="H3436" s="727"/>
      <c r="I3436" s="727"/>
      <c r="J3436" s="727"/>
      <c r="K3436" s="727"/>
      <c r="L3436" s="137"/>
    </row>
    <row r="3437">
      <c r="A3437" s="1641"/>
      <c r="B3437" s="703"/>
      <c r="C3437" s="1644"/>
      <c r="D3437" s="1644"/>
      <c r="E3437" s="727"/>
      <c r="F3437" s="727"/>
      <c r="G3437" s="727"/>
      <c r="H3437" s="727"/>
      <c r="I3437" s="727"/>
      <c r="J3437" s="727"/>
      <c r="K3437" s="727"/>
      <c r="L3437" s="137"/>
    </row>
    <row r="3438">
      <c r="A3438" s="1641"/>
      <c r="B3438" s="703"/>
      <c r="C3438" s="1644"/>
      <c r="D3438" s="1644"/>
      <c r="E3438" s="727"/>
      <c r="F3438" s="727"/>
      <c r="G3438" s="727"/>
      <c r="H3438" s="727"/>
      <c r="I3438" s="727"/>
      <c r="J3438" s="727"/>
      <c r="K3438" s="727"/>
      <c r="L3438" s="137"/>
    </row>
    <row r="3439">
      <c r="A3439" s="1641"/>
      <c r="B3439" s="703"/>
      <c r="C3439" s="1644"/>
      <c r="D3439" s="1644"/>
      <c r="E3439" s="727"/>
      <c r="F3439" s="727"/>
      <c r="G3439" s="727"/>
      <c r="H3439" s="727"/>
      <c r="I3439" s="727"/>
      <c r="J3439" s="727"/>
      <c r="K3439" s="727"/>
      <c r="L3439" s="137"/>
    </row>
    <row r="3440">
      <c r="A3440" s="1641"/>
      <c r="B3440" s="703"/>
      <c r="C3440" s="1644"/>
      <c r="D3440" s="1644"/>
      <c r="E3440" s="727"/>
      <c r="F3440" s="727"/>
      <c r="G3440" s="727"/>
      <c r="H3440" s="727"/>
      <c r="I3440" s="727"/>
      <c r="J3440" s="727"/>
      <c r="K3440" s="727"/>
      <c r="L3440" s="137"/>
    </row>
    <row r="3441">
      <c r="A3441" s="1641"/>
      <c r="B3441" s="703"/>
      <c r="C3441" s="1644"/>
      <c r="D3441" s="1644"/>
      <c r="E3441" s="727"/>
      <c r="F3441" s="727"/>
      <c r="G3441" s="727"/>
      <c r="H3441" s="727"/>
      <c r="I3441" s="727"/>
      <c r="J3441" s="727"/>
      <c r="K3441" s="727"/>
      <c r="L3441" s="137"/>
    </row>
    <row r="3442">
      <c r="A3442" s="1641"/>
      <c r="B3442" s="703"/>
      <c r="C3442" s="1644"/>
      <c r="D3442" s="1644"/>
      <c r="E3442" s="727"/>
      <c r="F3442" s="727"/>
      <c r="G3442" s="727"/>
      <c r="H3442" s="727"/>
      <c r="I3442" s="727"/>
      <c r="J3442" s="727"/>
      <c r="K3442" s="727"/>
      <c r="L3442" s="137"/>
    </row>
    <row r="3443">
      <c r="A3443" s="1641"/>
      <c r="B3443" s="703"/>
      <c r="C3443" s="1644"/>
      <c r="D3443" s="1644"/>
      <c r="E3443" s="727"/>
      <c r="F3443" s="727"/>
      <c r="G3443" s="727"/>
      <c r="H3443" s="727"/>
      <c r="I3443" s="727"/>
      <c r="J3443" s="727"/>
      <c r="K3443" s="727"/>
      <c r="L3443" s="137"/>
    </row>
    <row r="3444">
      <c r="A3444" s="1641"/>
      <c r="B3444" s="703"/>
      <c r="C3444" s="1644"/>
      <c r="D3444" s="1644"/>
      <c r="E3444" s="727"/>
      <c r="F3444" s="727"/>
      <c r="G3444" s="727"/>
      <c r="H3444" s="727"/>
      <c r="I3444" s="727"/>
      <c r="J3444" s="727"/>
      <c r="K3444" s="727"/>
      <c r="L3444" s="137"/>
    </row>
    <row r="3445">
      <c r="A3445" s="1641"/>
      <c r="B3445" s="703"/>
      <c r="C3445" s="1644"/>
      <c r="D3445" s="1644"/>
      <c r="E3445" s="727"/>
      <c r="F3445" s="727"/>
      <c r="G3445" s="727"/>
      <c r="H3445" s="727"/>
      <c r="I3445" s="727"/>
      <c r="J3445" s="727"/>
      <c r="K3445" s="727"/>
      <c r="L3445" s="137"/>
    </row>
    <row r="3446">
      <c r="A3446" s="1641"/>
      <c r="B3446" s="703"/>
      <c r="C3446" s="1644"/>
      <c r="D3446" s="1644"/>
      <c r="E3446" s="727"/>
      <c r="F3446" s="727"/>
      <c r="G3446" s="727"/>
      <c r="H3446" s="727"/>
      <c r="I3446" s="727"/>
      <c r="J3446" s="727"/>
      <c r="K3446" s="727"/>
      <c r="L3446" s="137"/>
    </row>
    <row r="3447">
      <c r="A3447" s="1641"/>
      <c r="B3447" s="703"/>
      <c r="C3447" s="1644"/>
      <c r="D3447" s="1644"/>
      <c r="E3447" s="727"/>
      <c r="F3447" s="727"/>
      <c r="G3447" s="727"/>
      <c r="H3447" s="727"/>
      <c r="I3447" s="727"/>
      <c r="J3447" s="727"/>
      <c r="K3447" s="727"/>
      <c r="L3447" s="137"/>
    </row>
    <row r="3448">
      <c r="A3448" s="1641"/>
      <c r="B3448" s="703"/>
      <c r="C3448" s="1644"/>
      <c r="D3448" s="1644"/>
      <c r="E3448" s="727"/>
      <c r="F3448" s="727"/>
      <c r="G3448" s="727"/>
      <c r="H3448" s="727"/>
      <c r="I3448" s="727"/>
      <c r="J3448" s="727"/>
      <c r="K3448" s="727"/>
      <c r="L3448" s="137"/>
    </row>
    <row r="3449">
      <c r="A3449" s="1641"/>
      <c r="B3449" s="703"/>
      <c r="C3449" s="1644"/>
      <c r="D3449" s="1644"/>
      <c r="E3449" s="727"/>
      <c r="F3449" s="727"/>
      <c r="G3449" s="727"/>
      <c r="H3449" s="727"/>
      <c r="I3449" s="727"/>
      <c r="J3449" s="727"/>
      <c r="K3449" s="727"/>
      <c r="L3449" s="137"/>
    </row>
    <row r="3450">
      <c r="A3450" s="1641"/>
      <c r="B3450" s="703"/>
      <c r="C3450" s="1644"/>
      <c r="D3450" s="1644"/>
      <c r="E3450" s="727"/>
      <c r="F3450" s="727"/>
      <c r="G3450" s="727"/>
      <c r="H3450" s="727"/>
      <c r="I3450" s="727"/>
      <c r="J3450" s="727"/>
      <c r="K3450" s="727"/>
      <c r="L3450" s="137"/>
    </row>
    <row r="3451">
      <c r="A3451" s="1641"/>
      <c r="B3451" s="703"/>
      <c r="C3451" s="1644"/>
      <c r="D3451" s="1644"/>
      <c r="E3451" s="727"/>
      <c r="F3451" s="727"/>
      <c r="G3451" s="727"/>
      <c r="H3451" s="727"/>
      <c r="I3451" s="727"/>
      <c r="J3451" s="727"/>
      <c r="K3451" s="727"/>
      <c r="L3451" s="137"/>
    </row>
    <row r="3452">
      <c r="A3452" s="1641"/>
      <c r="B3452" s="703"/>
      <c r="C3452" s="1644"/>
      <c r="D3452" s="1644"/>
      <c r="E3452" s="727"/>
      <c r="F3452" s="727"/>
      <c r="G3452" s="727"/>
      <c r="H3452" s="727"/>
      <c r="I3452" s="727"/>
      <c r="J3452" s="727"/>
      <c r="K3452" s="727"/>
      <c r="L3452" s="137"/>
    </row>
    <row r="3453">
      <c r="A3453" s="1641"/>
      <c r="B3453" s="703"/>
      <c r="C3453" s="1644"/>
      <c r="D3453" s="1644"/>
      <c r="E3453" s="727"/>
      <c r="F3453" s="727"/>
      <c r="G3453" s="727"/>
      <c r="H3453" s="727"/>
      <c r="I3453" s="727"/>
      <c r="J3453" s="727"/>
      <c r="K3453" s="727"/>
      <c r="L3453" s="137"/>
    </row>
    <row r="3454">
      <c r="A3454" s="1641"/>
      <c r="B3454" s="703"/>
      <c r="C3454" s="1644"/>
      <c r="D3454" s="1644"/>
      <c r="E3454" s="727"/>
      <c r="F3454" s="727"/>
      <c r="G3454" s="727"/>
      <c r="H3454" s="727"/>
      <c r="I3454" s="727"/>
      <c r="J3454" s="727"/>
      <c r="K3454" s="727"/>
      <c r="L3454" s="137"/>
    </row>
    <row r="3455">
      <c r="A3455" s="1641"/>
      <c r="B3455" s="703"/>
      <c r="C3455" s="1644"/>
      <c r="D3455" s="1644"/>
      <c r="E3455" s="727"/>
      <c r="F3455" s="727"/>
      <c r="G3455" s="727"/>
      <c r="H3455" s="727"/>
      <c r="I3455" s="727"/>
      <c r="J3455" s="727"/>
      <c r="K3455" s="727"/>
      <c r="L3455" s="137"/>
    </row>
    <row r="3456">
      <c r="A3456" s="1641"/>
      <c r="B3456" s="703"/>
      <c r="C3456" s="1644"/>
      <c r="D3456" s="1644"/>
      <c r="E3456" s="727"/>
      <c r="F3456" s="727"/>
      <c r="G3456" s="727"/>
      <c r="H3456" s="727"/>
      <c r="I3456" s="727"/>
      <c r="J3456" s="727"/>
      <c r="K3456" s="727"/>
      <c r="L3456" s="137"/>
    </row>
    <row r="3457">
      <c r="A3457" s="1641"/>
      <c r="B3457" s="703"/>
      <c r="C3457" s="1644"/>
      <c r="D3457" s="1644"/>
      <c r="E3457" s="727"/>
      <c r="F3457" s="727"/>
      <c r="G3457" s="727"/>
      <c r="H3457" s="727"/>
      <c r="I3457" s="727"/>
      <c r="J3457" s="727"/>
      <c r="K3457" s="727"/>
      <c r="L3457" s="137"/>
    </row>
    <row r="3458">
      <c r="A3458" s="1641"/>
      <c r="B3458" s="703"/>
      <c r="C3458" s="1644"/>
      <c r="D3458" s="1644"/>
      <c r="E3458" s="727"/>
      <c r="F3458" s="727"/>
      <c r="G3458" s="727"/>
      <c r="H3458" s="727"/>
      <c r="I3458" s="727"/>
      <c r="J3458" s="727"/>
      <c r="K3458" s="727"/>
      <c r="L3458" s="137"/>
    </row>
    <row r="3459">
      <c r="A3459" s="1641"/>
      <c r="B3459" s="703"/>
      <c r="C3459" s="1644"/>
      <c r="D3459" s="1644"/>
      <c r="E3459" s="727"/>
      <c r="F3459" s="727"/>
      <c r="G3459" s="727"/>
      <c r="H3459" s="727"/>
      <c r="I3459" s="727"/>
      <c r="J3459" s="727"/>
      <c r="K3459" s="727"/>
      <c r="L3459" s="137"/>
    </row>
    <row r="3460">
      <c r="A3460" s="1641"/>
      <c r="B3460" s="703"/>
      <c r="C3460" s="1644"/>
      <c r="D3460" s="1644"/>
      <c r="E3460" s="727"/>
      <c r="F3460" s="727"/>
      <c r="G3460" s="727"/>
      <c r="H3460" s="727"/>
      <c r="I3460" s="727"/>
      <c r="J3460" s="727"/>
      <c r="K3460" s="727"/>
      <c r="L3460" s="137"/>
    </row>
    <row r="3461">
      <c r="A3461" s="1641"/>
      <c r="B3461" s="703"/>
      <c r="C3461" s="1644"/>
      <c r="D3461" s="1644"/>
      <c r="E3461" s="727"/>
      <c r="F3461" s="727"/>
      <c r="G3461" s="727"/>
      <c r="H3461" s="727"/>
      <c r="I3461" s="727"/>
      <c r="J3461" s="727"/>
      <c r="K3461" s="727"/>
      <c r="L3461" s="137"/>
    </row>
    <row r="3462">
      <c r="A3462" s="1641"/>
      <c r="B3462" s="703"/>
      <c r="C3462" s="1644"/>
      <c r="D3462" s="1644"/>
      <c r="E3462" s="727"/>
      <c r="F3462" s="727"/>
      <c r="G3462" s="727"/>
      <c r="H3462" s="727"/>
      <c r="I3462" s="727"/>
      <c r="J3462" s="727"/>
      <c r="K3462" s="727"/>
      <c r="L3462" s="137"/>
    </row>
    <row r="3463">
      <c r="A3463" s="1641"/>
      <c r="B3463" s="703"/>
      <c r="C3463" s="1644"/>
      <c r="D3463" s="1644"/>
      <c r="E3463" s="727"/>
      <c r="F3463" s="727"/>
      <c r="G3463" s="727"/>
      <c r="H3463" s="727"/>
      <c r="I3463" s="727"/>
      <c r="J3463" s="727"/>
      <c r="K3463" s="727"/>
      <c r="L3463" s="137"/>
    </row>
    <row r="3464">
      <c r="A3464" s="1641"/>
      <c r="B3464" s="703"/>
      <c r="C3464" s="1644"/>
      <c r="D3464" s="1644"/>
      <c r="E3464" s="727"/>
      <c r="F3464" s="727"/>
      <c r="G3464" s="727"/>
      <c r="H3464" s="727"/>
      <c r="I3464" s="727"/>
      <c r="J3464" s="727"/>
      <c r="K3464" s="727"/>
      <c r="L3464" s="137"/>
    </row>
    <row r="3465">
      <c r="A3465" s="1641"/>
      <c r="B3465" s="703"/>
      <c r="C3465" s="1644"/>
      <c r="D3465" s="1644"/>
      <c r="E3465" s="727"/>
      <c r="F3465" s="727"/>
      <c r="G3465" s="727"/>
      <c r="H3465" s="727"/>
      <c r="I3465" s="727"/>
      <c r="J3465" s="727"/>
      <c r="K3465" s="727"/>
      <c r="L3465" s="137"/>
    </row>
    <row r="3466">
      <c r="A3466" s="1641"/>
      <c r="B3466" s="703"/>
      <c r="C3466" s="1644"/>
      <c r="D3466" s="1644"/>
      <c r="E3466" s="727"/>
      <c r="F3466" s="727"/>
      <c r="G3466" s="727"/>
      <c r="H3466" s="727"/>
      <c r="I3466" s="727"/>
      <c r="J3466" s="727"/>
      <c r="K3466" s="727"/>
      <c r="L3466" s="137"/>
    </row>
    <row r="3467">
      <c r="A3467" s="1641"/>
      <c r="B3467" s="703"/>
      <c r="C3467" s="1644"/>
      <c r="D3467" s="1644"/>
      <c r="E3467" s="727"/>
      <c r="F3467" s="727"/>
      <c r="G3467" s="727"/>
      <c r="H3467" s="727"/>
      <c r="I3467" s="727"/>
      <c r="J3467" s="727"/>
      <c r="K3467" s="727"/>
      <c r="L3467" s="137"/>
    </row>
    <row r="3468">
      <c r="A3468" s="1641"/>
      <c r="B3468" s="703"/>
      <c r="C3468" s="1644"/>
      <c r="D3468" s="1644"/>
      <c r="E3468" s="727"/>
      <c r="F3468" s="727"/>
      <c r="G3468" s="727"/>
      <c r="H3468" s="727"/>
      <c r="I3468" s="727"/>
      <c r="J3468" s="727"/>
      <c r="K3468" s="727"/>
      <c r="L3468" s="137"/>
    </row>
    <row r="3469">
      <c r="A3469" s="1641"/>
      <c r="B3469" s="703"/>
      <c r="C3469" s="1644"/>
      <c r="D3469" s="1644"/>
      <c r="E3469" s="727"/>
      <c r="F3469" s="727"/>
      <c r="G3469" s="727"/>
      <c r="H3469" s="727"/>
      <c r="I3469" s="727"/>
      <c r="J3469" s="727"/>
      <c r="K3469" s="727"/>
      <c r="L3469" s="137"/>
    </row>
    <row r="3470">
      <c r="A3470" s="1641"/>
      <c r="B3470" s="703"/>
      <c r="C3470" s="1644"/>
      <c r="D3470" s="1644"/>
      <c r="E3470" s="727"/>
      <c r="F3470" s="727"/>
      <c r="G3470" s="727"/>
      <c r="H3470" s="727"/>
      <c r="I3470" s="727"/>
      <c r="J3470" s="727"/>
      <c r="K3470" s="727"/>
      <c r="L3470" s="137"/>
    </row>
    <row r="3471">
      <c r="A3471" s="1641"/>
      <c r="B3471" s="703"/>
      <c r="C3471" s="1644"/>
      <c r="D3471" s="1644"/>
      <c r="E3471" s="727"/>
      <c r="F3471" s="727"/>
      <c r="G3471" s="727"/>
      <c r="H3471" s="727"/>
      <c r="I3471" s="727"/>
      <c r="J3471" s="727"/>
      <c r="K3471" s="727"/>
      <c r="L3471" s="137"/>
    </row>
    <row r="3472">
      <c r="A3472" s="1641"/>
      <c r="B3472" s="703"/>
      <c r="C3472" s="1644"/>
      <c r="D3472" s="1644"/>
      <c r="E3472" s="727"/>
      <c r="F3472" s="727"/>
      <c r="G3472" s="727"/>
      <c r="H3472" s="727"/>
      <c r="I3472" s="727"/>
      <c r="J3472" s="727"/>
      <c r="K3472" s="727"/>
      <c r="L3472" s="137"/>
    </row>
    <row r="3473">
      <c r="A3473" s="1641"/>
      <c r="B3473" s="703"/>
      <c r="C3473" s="1644"/>
      <c r="D3473" s="1644"/>
      <c r="E3473" s="727"/>
      <c r="F3473" s="727"/>
      <c r="G3473" s="727"/>
      <c r="H3473" s="727"/>
      <c r="I3473" s="727"/>
      <c r="J3473" s="727"/>
      <c r="K3473" s="727"/>
      <c r="L3473" s="137"/>
    </row>
    <row r="3474">
      <c r="A3474" s="1641"/>
      <c r="B3474" s="703"/>
      <c r="C3474" s="1644"/>
      <c r="D3474" s="1644"/>
      <c r="E3474" s="727"/>
      <c r="F3474" s="727"/>
      <c r="G3474" s="727"/>
      <c r="H3474" s="727"/>
      <c r="I3474" s="727"/>
      <c r="J3474" s="727"/>
      <c r="K3474" s="727"/>
      <c r="L3474" s="137"/>
    </row>
    <row r="3475">
      <c r="A3475" s="1641"/>
      <c r="B3475" s="703"/>
      <c r="C3475" s="1644"/>
      <c r="D3475" s="1644"/>
      <c r="E3475" s="727"/>
      <c r="F3475" s="727"/>
      <c r="G3475" s="727"/>
      <c r="H3475" s="727"/>
      <c r="I3475" s="727"/>
      <c r="J3475" s="727"/>
      <c r="K3475" s="727"/>
      <c r="L3475" s="137"/>
    </row>
    <row r="3476">
      <c r="A3476" s="1641"/>
      <c r="B3476" s="703"/>
      <c r="C3476" s="1644"/>
      <c r="D3476" s="1644"/>
      <c r="E3476" s="727"/>
      <c r="F3476" s="727"/>
      <c r="G3476" s="727"/>
      <c r="H3476" s="727"/>
      <c r="I3476" s="727"/>
      <c r="J3476" s="727"/>
      <c r="K3476" s="727"/>
      <c r="L3476" s="137"/>
    </row>
    <row r="3477">
      <c r="A3477" s="1641"/>
      <c r="B3477" s="703"/>
      <c r="C3477" s="1644"/>
      <c r="D3477" s="1644"/>
      <c r="E3477" s="727"/>
      <c r="F3477" s="727"/>
      <c r="G3477" s="727"/>
      <c r="H3477" s="727"/>
      <c r="I3477" s="727"/>
      <c r="J3477" s="727"/>
      <c r="K3477" s="727"/>
      <c r="L3477" s="137"/>
    </row>
    <row r="3478">
      <c r="A3478" s="1641"/>
      <c r="B3478" s="703"/>
      <c r="C3478" s="1644"/>
      <c r="D3478" s="1644"/>
      <c r="E3478" s="727"/>
      <c r="F3478" s="727"/>
      <c r="G3478" s="727"/>
      <c r="H3478" s="727"/>
      <c r="I3478" s="727"/>
      <c r="J3478" s="727"/>
      <c r="K3478" s="727"/>
      <c r="L3478" s="137"/>
    </row>
    <row r="3479">
      <c r="A3479" s="1641"/>
      <c r="B3479" s="703"/>
      <c r="C3479" s="1644"/>
      <c r="D3479" s="1644"/>
      <c r="E3479" s="727"/>
      <c r="F3479" s="727"/>
      <c r="G3479" s="727"/>
      <c r="H3479" s="727"/>
      <c r="I3479" s="727"/>
      <c r="J3479" s="727"/>
      <c r="K3479" s="727"/>
      <c r="L3479" s="137"/>
    </row>
    <row r="3480">
      <c r="A3480" s="1641"/>
      <c r="B3480" s="703"/>
      <c r="C3480" s="1644"/>
      <c r="D3480" s="1644"/>
      <c r="E3480" s="727"/>
      <c r="F3480" s="727"/>
      <c r="G3480" s="727"/>
      <c r="H3480" s="727"/>
      <c r="I3480" s="727"/>
      <c r="J3480" s="727"/>
      <c r="K3480" s="727"/>
      <c r="L3480" s="137"/>
    </row>
    <row r="3481">
      <c r="A3481" s="1641"/>
      <c r="B3481" s="703"/>
      <c r="C3481" s="1644"/>
      <c r="D3481" s="1644"/>
      <c r="E3481" s="727"/>
      <c r="F3481" s="727"/>
      <c r="G3481" s="727"/>
      <c r="H3481" s="727"/>
      <c r="I3481" s="727"/>
      <c r="J3481" s="727"/>
      <c r="K3481" s="727"/>
      <c r="L3481" s="137"/>
    </row>
    <row r="3482">
      <c r="A3482" s="1641"/>
      <c r="B3482" s="703"/>
      <c r="C3482" s="1644"/>
      <c r="D3482" s="1644"/>
      <c r="E3482" s="727"/>
      <c r="F3482" s="727"/>
      <c r="G3482" s="727"/>
      <c r="H3482" s="727"/>
      <c r="I3482" s="727"/>
      <c r="J3482" s="727"/>
      <c r="K3482" s="727"/>
      <c r="L3482" s="137"/>
    </row>
    <row r="3483">
      <c r="A3483" s="1641"/>
      <c r="B3483" s="703"/>
      <c r="C3483" s="1644"/>
      <c r="D3483" s="1644"/>
      <c r="E3483" s="727"/>
      <c r="F3483" s="727"/>
      <c r="G3483" s="727"/>
      <c r="H3483" s="727"/>
      <c r="I3483" s="727"/>
      <c r="J3483" s="727"/>
      <c r="K3483" s="727"/>
      <c r="L3483" s="137"/>
    </row>
    <row r="3484">
      <c r="A3484" s="1641"/>
      <c r="B3484" s="703"/>
      <c r="C3484" s="1644"/>
      <c r="D3484" s="1644"/>
      <c r="E3484" s="727"/>
      <c r="F3484" s="727"/>
      <c r="G3484" s="727"/>
      <c r="H3484" s="727"/>
      <c r="I3484" s="727"/>
      <c r="J3484" s="727"/>
      <c r="K3484" s="727"/>
      <c r="L3484" s="137"/>
    </row>
    <row r="3485">
      <c r="A3485" s="1641"/>
      <c r="B3485" s="703"/>
      <c r="C3485" s="1644"/>
      <c r="D3485" s="1644"/>
      <c r="E3485" s="727"/>
      <c r="F3485" s="727"/>
      <c r="G3485" s="727"/>
      <c r="H3485" s="727"/>
      <c r="I3485" s="727"/>
      <c r="J3485" s="727"/>
      <c r="K3485" s="727"/>
      <c r="L3485" s="137"/>
    </row>
    <row r="3486">
      <c r="A3486" s="1641"/>
      <c r="B3486" s="703"/>
      <c r="C3486" s="1644"/>
      <c r="D3486" s="1644"/>
      <c r="E3486" s="727"/>
      <c r="F3486" s="727"/>
      <c r="G3486" s="727"/>
      <c r="H3486" s="727"/>
      <c r="I3486" s="727"/>
      <c r="J3486" s="727"/>
      <c r="K3486" s="727"/>
      <c r="L3486" s="137"/>
    </row>
    <row r="3487">
      <c r="A3487" s="1641"/>
      <c r="B3487" s="703"/>
      <c r="C3487" s="1644"/>
      <c r="D3487" s="1644"/>
      <c r="E3487" s="727"/>
      <c r="F3487" s="727"/>
      <c r="G3487" s="727"/>
      <c r="H3487" s="727"/>
      <c r="I3487" s="727"/>
      <c r="J3487" s="727"/>
      <c r="K3487" s="727"/>
      <c r="L3487" s="137"/>
    </row>
    <row r="3488">
      <c r="A3488" s="1641"/>
      <c r="B3488" s="703"/>
      <c r="C3488" s="1644"/>
      <c r="D3488" s="1644"/>
      <c r="E3488" s="727"/>
      <c r="F3488" s="727"/>
      <c r="G3488" s="727"/>
      <c r="H3488" s="727"/>
      <c r="I3488" s="727"/>
      <c r="J3488" s="727"/>
      <c r="K3488" s="727"/>
      <c r="L3488" s="137"/>
    </row>
    <row r="3489">
      <c r="A3489" s="1641"/>
      <c r="B3489" s="703"/>
      <c r="C3489" s="1644"/>
      <c r="D3489" s="1644"/>
      <c r="E3489" s="727"/>
      <c r="F3489" s="727"/>
      <c r="G3489" s="727"/>
      <c r="H3489" s="727"/>
      <c r="I3489" s="727"/>
      <c r="J3489" s="727"/>
      <c r="K3489" s="727"/>
      <c r="L3489" s="137"/>
    </row>
    <row r="3490">
      <c r="A3490" s="1641"/>
      <c r="B3490" s="703"/>
      <c r="C3490" s="1644"/>
      <c r="D3490" s="1644"/>
      <c r="E3490" s="727"/>
      <c r="F3490" s="727"/>
      <c r="G3490" s="727"/>
      <c r="H3490" s="727"/>
      <c r="I3490" s="727"/>
      <c r="J3490" s="727"/>
      <c r="K3490" s="727"/>
      <c r="L3490" s="137"/>
    </row>
    <row r="3491">
      <c r="A3491" s="1641"/>
      <c r="B3491" s="703"/>
      <c r="C3491" s="1644"/>
      <c r="D3491" s="1644"/>
      <c r="E3491" s="727"/>
      <c r="F3491" s="727"/>
      <c r="G3491" s="727"/>
      <c r="H3491" s="727"/>
      <c r="I3491" s="727"/>
      <c r="J3491" s="727"/>
      <c r="K3491" s="727"/>
      <c r="L3491" s="137"/>
    </row>
    <row r="3492">
      <c r="A3492" s="1641"/>
      <c r="B3492" s="703"/>
      <c r="C3492" s="1644"/>
      <c r="D3492" s="1644"/>
      <c r="E3492" s="727"/>
      <c r="F3492" s="727"/>
      <c r="G3492" s="727"/>
      <c r="H3492" s="727"/>
      <c r="I3492" s="727"/>
      <c r="J3492" s="727"/>
      <c r="K3492" s="727"/>
      <c r="L3492" s="137"/>
    </row>
    <row r="3493">
      <c r="A3493" s="1641"/>
      <c r="B3493" s="703"/>
      <c r="C3493" s="1644"/>
      <c r="D3493" s="1644"/>
      <c r="E3493" s="727"/>
      <c r="F3493" s="727"/>
      <c r="G3493" s="727"/>
      <c r="H3493" s="727"/>
      <c r="I3493" s="727"/>
      <c r="J3493" s="727"/>
      <c r="K3493" s="727"/>
      <c r="L3493" s="137"/>
    </row>
    <row r="3494">
      <c r="A3494" s="1641"/>
      <c r="B3494" s="703"/>
      <c r="C3494" s="1644"/>
      <c r="D3494" s="1644"/>
      <c r="E3494" s="727"/>
      <c r="F3494" s="727"/>
      <c r="G3494" s="727"/>
      <c r="H3494" s="727"/>
      <c r="I3494" s="727"/>
      <c r="J3494" s="727"/>
      <c r="K3494" s="727"/>
      <c r="L3494" s="137"/>
    </row>
    <row r="3495">
      <c r="A3495" s="1641"/>
      <c r="B3495" s="703"/>
      <c r="C3495" s="1644"/>
      <c r="D3495" s="1644"/>
      <c r="E3495" s="727"/>
      <c r="F3495" s="727"/>
      <c r="G3495" s="727"/>
      <c r="H3495" s="727"/>
      <c r="I3495" s="727"/>
      <c r="J3495" s="727"/>
      <c r="K3495" s="727"/>
      <c r="L3495" s="137"/>
    </row>
    <row r="3496">
      <c r="A3496" s="1641"/>
      <c r="B3496" s="703"/>
      <c r="C3496" s="1644"/>
      <c r="D3496" s="1644"/>
      <c r="E3496" s="727"/>
      <c r="F3496" s="727"/>
      <c r="G3496" s="727"/>
      <c r="H3496" s="727"/>
      <c r="I3496" s="727"/>
      <c r="J3496" s="727"/>
      <c r="K3496" s="727"/>
      <c r="L3496" s="137"/>
    </row>
    <row r="3497">
      <c r="A3497" s="1641"/>
      <c r="B3497" s="703"/>
      <c r="C3497" s="1644"/>
      <c r="D3497" s="1644"/>
      <c r="E3497" s="727"/>
      <c r="F3497" s="727"/>
      <c r="G3497" s="727"/>
      <c r="H3497" s="727"/>
      <c r="I3497" s="727"/>
      <c r="J3497" s="727"/>
      <c r="K3497" s="727"/>
      <c r="L3497" s="137"/>
    </row>
    <row r="3498">
      <c r="A3498" s="1641"/>
      <c r="B3498" s="703"/>
      <c r="C3498" s="1644"/>
      <c r="D3498" s="1644"/>
      <c r="E3498" s="727"/>
      <c r="F3498" s="727"/>
      <c r="G3498" s="727"/>
      <c r="H3498" s="727"/>
      <c r="I3498" s="727"/>
      <c r="J3498" s="727"/>
      <c r="K3498" s="727"/>
      <c r="L3498" s="137"/>
    </row>
    <row r="3499">
      <c r="A3499" s="1641"/>
      <c r="B3499" s="703"/>
      <c r="C3499" s="1644"/>
      <c r="D3499" s="1644"/>
      <c r="E3499" s="727"/>
      <c r="F3499" s="727"/>
      <c r="G3499" s="727"/>
      <c r="H3499" s="727"/>
      <c r="I3499" s="727"/>
      <c r="J3499" s="727"/>
      <c r="K3499" s="727"/>
      <c r="L3499" s="137"/>
    </row>
    <row r="3500">
      <c r="A3500" s="1641"/>
      <c r="B3500" s="703"/>
      <c r="C3500" s="1644"/>
      <c r="D3500" s="1644"/>
      <c r="E3500" s="727"/>
      <c r="F3500" s="727"/>
      <c r="G3500" s="727"/>
      <c r="H3500" s="727"/>
      <c r="I3500" s="727"/>
      <c r="J3500" s="727"/>
      <c r="K3500" s="727"/>
      <c r="L3500" s="137"/>
    </row>
    <row r="3501">
      <c r="A3501" s="1641"/>
      <c r="B3501" s="703"/>
      <c r="C3501" s="1644"/>
      <c r="D3501" s="1644"/>
      <c r="E3501" s="727"/>
      <c r="F3501" s="727"/>
      <c r="G3501" s="727"/>
      <c r="H3501" s="727"/>
      <c r="I3501" s="727"/>
      <c r="J3501" s="727"/>
      <c r="K3501" s="727"/>
      <c r="L3501" s="137"/>
    </row>
    <row r="3502">
      <c r="A3502" s="1641"/>
      <c r="B3502" s="703"/>
      <c r="C3502" s="1644"/>
      <c r="D3502" s="1644"/>
      <c r="E3502" s="727"/>
      <c r="F3502" s="727"/>
      <c r="G3502" s="727"/>
      <c r="H3502" s="727"/>
      <c r="I3502" s="727"/>
      <c r="J3502" s="727"/>
      <c r="K3502" s="727"/>
      <c r="L3502" s="137"/>
    </row>
    <row r="3503">
      <c r="A3503" s="1641"/>
      <c r="B3503" s="703"/>
      <c r="C3503" s="1644"/>
      <c r="D3503" s="1644"/>
      <c r="E3503" s="727"/>
      <c r="F3503" s="727"/>
      <c r="G3503" s="727"/>
      <c r="H3503" s="727"/>
      <c r="I3503" s="727"/>
      <c r="J3503" s="727"/>
      <c r="K3503" s="727"/>
      <c r="L3503" s="137"/>
    </row>
    <row r="3504">
      <c r="A3504" s="1641"/>
      <c r="B3504" s="703"/>
      <c r="C3504" s="1644"/>
      <c r="D3504" s="1644"/>
      <c r="E3504" s="727"/>
      <c r="F3504" s="727"/>
      <c r="G3504" s="727"/>
      <c r="H3504" s="727"/>
      <c r="I3504" s="727"/>
      <c r="J3504" s="727"/>
      <c r="K3504" s="727"/>
      <c r="L3504" s="137"/>
    </row>
    <row r="3505">
      <c r="A3505" s="1641"/>
      <c r="B3505" s="703"/>
      <c r="C3505" s="1644"/>
      <c r="D3505" s="1644"/>
      <c r="E3505" s="727"/>
      <c r="F3505" s="727"/>
      <c r="G3505" s="727"/>
      <c r="H3505" s="727"/>
      <c r="I3505" s="727"/>
      <c r="J3505" s="727"/>
      <c r="K3505" s="727"/>
      <c r="L3505" s="137"/>
    </row>
    <row r="3506">
      <c r="A3506" s="1641"/>
      <c r="B3506" s="703"/>
      <c r="C3506" s="1644"/>
      <c r="D3506" s="1644"/>
      <c r="E3506" s="727"/>
      <c r="F3506" s="727"/>
      <c r="G3506" s="727"/>
      <c r="H3506" s="727"/>
      <c r="I3506" s="727"/>
      <c r="J3506" s="727"/>
      <c r="K3506" s="727"/>
      <c r="L3506" s="137"/>
    </row>
    <row r="3507">
      <c r="A3507" s="1641"/>
      <c r="B3507" s="703"/>
      <c r="C3507" s="1644"/>
      <c r="D3507" s="1644"/>
      <c r="E3507" s="727"/>
      <c r="F3507" s="727"/>
      <c r="G3507" s="727"/>
      <c r="H3507" s="727"/>
      <c r="I3507" s="727"/>
      <c r="J3507" s="727"/>
      <c r="K3507" s="727"/>
      <c r="L3507" s="137"/>
    </row>
    <row r="3508">
      <c r="A3508" s="1641"/>
      <c r="B3508" s="703"/>
      <c r="C3508" s="1644"/>
      <c r="D3508" s="1644"/>
      <c r="E3508" s="727"/>
      <c r="F3508" s="727"/>
      <c r="G3508" s="727"/>
      <c r="H3508" s="727"/>
      <c r="I3508" s="727"/>
      <c r="J3508" s="727"/>
      <c r="K3508" s="727"/>
      <c r="L3508" s="137"/>
    </row>
    <row r="3509">
      <c r="A3509" s="1641"/>
      <c r="B3509" s="703"/>
      <c r="C3509" s="1644"/>
      <c r="D3509" s="1644"/>
      <c r="E3509" s="727"/>
      <c r="F3509" s="727"/>
      <c r="G3509" s="727"/>
      <c r="H3509" s="727"/>
      <c r="I3509" s="727"/>
      <c r="J3509" s="727"/>
      <c r="K3509" s="727"/>
      <c r="L3509" s="137"/>
    </row>
    <row r="3510">
      <c r="A3510" s="1641"/>
      <c r="B3510" s="703"/>
      <c r="C3510" s="1644"/>
      <c r="D3510" s="1644"/>
      <c r="E3510" s="727"/>
      <c r="F3510" s="727"/>
      <c r="G3510" s="727"/>
      <c r="H3510" s="727"/>
      <c r="I3510" s="727"/>
      <c r="J3510" s="727"/>
      <c r="K3510" s="727"/>
      <c r="L3510" s="137"/>
    </row>
    <row r="3511">
      <c r="A3511" s="1641"/>
      <c r="B3511" s="703"/>
      <c r="C3511" s="1644"/>
      <c r="D3511" s="1644"/>
      <c r="E3511" s="727"/>
      <c r="F3511" s="727"/>
      <c r="G3511" s="727"/>
      <c r="H3511" s="727"/>
      <c r="I3511" s="727"/>
      <c r="J3511" s="727"/>
      <c r="K3511" s="727"/>
      <c r="L3511" s="137"/>
    </row>
    <row r="3512">
      <c r="A3512" s="1641"/>
      <c r="B3512" s="703"/>
      <c r="C3512" s="1644"/>
      <c r="D3512" s="1644"/>
      <c r="E3512" s="727"/>
      <c r="F3512" s="727"/>
      <c r="G3512" s="727"/>
      <c r="H3512" s="727"/>
      <c r="I3512" s="727"/>
      <c r="J3512" s="727"/>
      <c r="K3512" s="727"/>
      <c r="L3512" s="137"/>
    </row>
    <row r="3513">
      <c r="A3513" s="1641"/>
      <c r="B3513" s="703"/>
      <c r="C3513" s="1644"/>
      <c r="D3513" s="1644"/>
      <c r="E3513" s="727"/>
      <c r="F3513" s="727"/>
      <c r="G3513" s="727"/>
      <c r="H3513" s="727"/>
      <c r="I3513" s="727"/>
      <c r="J3513" s="727"/>
      <c r="K3513" s="727"/>
      <c r="L3513" s="137"/>
    </row>
    <row r="3514">
      <c r="A3514" s="1641"/>
      <c r="B3514" s="703"/>
      <c r="C3514" s="1644"/>
      <c r="D3514" s="1644"/>
      <c r="E3514" s="727"/>
      <c r="F3514" s="727"/>
      <c r="G3514" s="727"/>
      <c r="H3514" s="727"/>
      <c r="I3514" s="727"/>
      <c r="J3514" s="727"/>
      <c r="K3514" s="727"/>
      <c r="L3514" s="137"/>
    </row>
    <row r="3515">
      <c r="A3515" s="1641"/>
      <c r="B3515" s="703"/>
      <c r="C3515" s="1644"/>
      <c r="D3515" s="1644"/>
      <c r="E3515" s="727"/>
      <c r="F3515" s="727"/>
      <c r="G3515" s="727"/>
      <c r="H3515" s="727"/>
      <c r="I3515" s="727"/>
      <c r="J3515" s="727"/>
      <c r="K3515" s="727"/>
      <c r="L3515" s="137"/>
    </row>
    <row r="3516">
      <c r="A3516" s="1641"/>
      <c r="B3516" s="703"/>
      <c r="C3516" s="1644"/>
      <c r="D3516" s="1644"/>
      <c r="E3516" s="727"/>
      <c r="F3516" s="727"/>
      <c r="G3516" s="727"/>
      <c r="H3516" s="727"/>
      <c r="I3516" s="727"/>
      <c r="J3516" s="727"/>
      <c r="K3516" s="727"/>
      <c r="L3516" s="137"/>
    </row>
    <row r="3517">
      <c r="A3517" s="1641"/>
      <c r="B3517" s="703"/>
      <c r="C3517" s="1644"/>
      <c r="D3517" s="1644"/>
      <c r="E3517" s="727"/>
      <c r="F3517" s="727"/>
      <c r="G3517" s="727"/>
      <c r="H3517" s="727"/>
      <c r="I3517" s="727"/>
      <c r="J3517" s="727"/>
      <c r="K3517" s="727"/>
      <c r="L3517" s="137"/>
    </row>
    <row r="3518">
      <c r="A3518" s="1641"/>
      <c r="B3518" s="703"/>
      <c r="C3518" s="1644"/>
      <c r="D3518" s="1644"/>
      <c r="E3518" s="727"/>
      <c r="F3518" s="727"/>
      <c r="G3518" s="727"/>
      <c r="H3518" s="727"/>
      <c r="I3518" s="727"/>
      <c r="J3518" s="727"/>
      <c r="K3518" s="727"/>
      <c r="L3518" s="137"/>
    </row>
    <row r="3519">
      <c r="A3519" s="1641"/>
      <c r="B3519" s="703"/>
      <c r="C3519" s="1644"/>
      <c r="D3519" s="1644"/>
      <c r="E3519" s="727"/>
      <c r="F3519" s="727"/>
      <c r="G3519" s="727"/>
      <c r="H3519" s="727"/>
      <c r="I3519" s="727"/>
      <c r="J3519" s="727"/>
      <c r="K3519" s="727"/>
      <c r="L3519" s="137"/>
    </row>
    <row r="3520">
      <c r="A3520" s="1641"/>
      <c r="B3520" s="703"/>
      <c r="C3520" s="1644"/>
      <c r="D3520" s="1644"/>
      <c r="E3520" s="727"/>
      <c r="F3520" s="727"/>
      <c r="G3520" s="727"/>
      <c r="H3520" s="727"/>
      <c r="I3520" s="727"/>
      <c r="J3520" s="727"/>
      <c r="K3520" s="727"/>
      <c r="L3520" s="137"/>
    </row>
    <row r="3521">
      <c r="A3521" s="1641"/>
      <c r="B3521" s="703"/>
      <c r="C3521" s="1644"/>
      <c r="D3521" s="1644"/>
      <c r="E3521" s="727"/>
      <c r="F3521" s="727"/>
      <c r="G3521" s="727"/>
      <c r="H3521" s="727"/>
      <c r="I3521" s="727"/>
      <c r="J3521" s="727"/>
      <c r="K3521" s="727"/>
      <c r="L3521" s="137"/>
    </row>
    <row r="3522">
      <c r="A3522" s="1641"/>
      <c r="B3522" s="703"/>
      <c r="C3522" s="1644"/>
      <c r="D3522" s="1644"/>
      <c r="E3522" s="727"/>
      <c r="F3522" s="727"/>
      <c r="G3522" s="727"/>
      <c r="H3522" s="727"/>
      <c r="I3522" s="727"/>
      <c r="J3522" s="727"/>
      <c r="K3522" s="727"/>
      <c r="L3522" s="137"/>
    </row>
    <row r="3523">
      <c r="A3523" s="1641"/>
      <c r="B3523" s="703"/>
      <c r="C3523" s="1644"/>
      <c r="D3523" s="1644"/>
      <c r="E3523" s="727"/>
      <c r="F3523" s="727"/>
      <c r="G3523" s="727"/>
      <c r="H3523" s="727"/>
      <c r="I3523" s="727"/>
      <c r="J3523" s="727"/>
      <c r="K3523" s="727"/>
      <c r="L3523" s="137"/>
    </row>
    <row r="3524">
      <c r="A3524" s="1641"/>
      <c r="B3524" s="703"/>
      <c r="C3524" s="1644"/>
      <c r="D3524" s="1644"/>
      <c r="E3524" s="727"/>
      <c r="F3524" s="727"/>
      <c r="G3524" s="727"/>
      <c r="H3524" s="727"/>
      <c r="I3524" s="727"/>
      <c r="J3524" s="727"/>
      <c r="K3524" s="727"/>
      <c r="L3524" s="137"/>
    </row>
    <row r="3525">
      <c r="A3525" s="1641"/>
      <c r="B3525" s="703"/>
      <c r="C3525" s="1644"/>
      <c r="D3525" s="1644"/>
      <c r="E3525" s="727"/>
      <c r="F3525" s="727"/>
      <c r="G3525" s="727"/>
      <c r="H3525" s="727"/>
      <c r="I3525" s="727"/>
      <c r="J3525" s="727"/>
      <c r="K3525" s="727"/>
      <c r="L3525" s="137"/>
    </row>
    <row r="3526">
      <c r="A3526" s="1641"/>
      <c r="B3526" s="703"/>
      <c r="C3526" s="1644"/>
      <c r="D3526" s="1644"/>
      <c r="E3526" s="727"/>
      <c r="F3526" s="727"/>
      <c r="G3526" s="727"/>
      <c r="H3526" s="727"/>
      <c r="I3526" s="727"/>
      <c r="J3526" s="727"/>
      <c r="K3526" s="727"/>
      <c r="L3526" s="137"/>
    </row>
    <row r="3527">
      <c r="A3527" s="1641"/>
      <c r="B3527" s="703"/>
      <c r="C3527" s="1644"/>
      <c r="D3527" s="1644"/>
      <c r="E3527" s="727"/>
      <c r="F3527" s="727"/>
      <c r="G3527" s="727"/>
      <c r="H3527" s="727"/>
      <c r="I3527" s="727"/>
      <c r="J3527" s="727"/>
      <c r="K3527" s="727"/>
      <c r="L3527" s="137"/>
    </row>
    <row r="3528">
      <c r="A3528" s="1641"/>
      <c r="B3528" s="703"/>
      <c r="C3528" s="1644"/>
      <c r="D3528" s="1644"/>
      <c r="E3528" s="727"/>
      <c r="F3528" s="727"/>
      <c r="G3528" s="727"/>
      <c r="H3528" s="727"/>
      <c r="I3528" s="727"/>
      <c r="J3528" s="727"/>
      <c r="K3528" s="727"/>
      <c r="L3528" s="137"/>
    </row>
    <row r="3529">
      <c r="A3529" s="1641"/>
      <c r="B3529" s="703"/>
      <c r="C3529" s="1644"/>
      <c r="D3529" s="1644"/>
      <c r="E3529" s="727"/>
      <c r="F3529" s="727"/>
      <c r="G3529" s="727"/>
      <c r="H3529" s="727"/>
      <c r="I3529" s="727"/>
      <c r="J3529" s="727"/>
      <c r="K3529" s="727"/>
      <c r="L3529" s="137"/>
    </row>
    <row r="3530">
      <c r="A3530" s="1641"/>
      <c r="B3530" s="703"/>
      <c r="C3530" s="1644"/>
      <c r="D3530" s="1644"/>
      <c r="E3530" s="727"/>
      <c r="F3530" s="727"/>
      <c r="G3530" s="727"/>
      <c r="H3530" s="727"/>
      <c r="I3530" s="727"/>
      <c r="J3530" s="727"/>
      <c r="K3530" s="727"/>
      <c r="L3530" s="137"/>
    </row>
    <row r="3531">
      <c r="A3531" s="1641"/>
      <c r="B3531" s="703"/>
      <c r="C3531" s="1644"/>
      <c r="D3531" s="1644"/>
      <c r="E3531" s="727"/>
      <c r="F3531" s="727"/>
      <c r="G3531" s="727"/>
      <c r="H3531" s="727"/>
      <c r="I3531" s="727"/>
      <c r="J3531" s="727"/>
      <c r="K3531" s="727"/>
      <c r="L3531" s="137"/>
    </row>
    <row r="3532">
      <c r="A3532" s="1641"/>
      <c r="B3532" s="703"/>
      <c r="C3532" s="1644"/>
      <c r="D3532" s="1644"/>
      <c r="E3532" s="727"/>
      <c r="F3532" s="727"/>
      <c r="G3532" s="727"/>
      <c r="H3532" s="727"/>
      <c r="I3532" s="727"/>
      <c r="J3532" s="727"/>
      <c r="K3532" s="727"/>
      <c r="L3532" s="137"/>
    </row>
    <row r="3533">
      <c r="A3533" s="1641"/>
      <c r="B3533" s="703"/>
      <c r="C3533" s="1644"/>
      <c r="D3533" s="1644"/>
      <c r="E3533" s="727"/>
      <c r="F3533" s="727"/>
      <c r="G3533" s="727"/>
      <c r="H3533" s="727"/>
      <c r="I3533" s="727"/>
      <c r="J3533" s="727"/>
      <c r="K3533" s="727"/>
      <c r="L3533" s="137"/>
    </row>
    <row r="3534">
      <c r="A3534" s="1641"/>
      <c r="B3534" s="703"/>
      <c r="C3534" s="1644"/>
      <c r="D3534" s="1644"/>
      <c r="E3534" s="727"/>
      <c r="F3534" s="727"/>
      <c r="G3534" s="727"/>
      <c r="H3534" s="727"/>
      <c r="I3534" s="727"/>
      <c r="J3534" s="727"/>
      <c r="K3534" s="727"/>
      <c r="L3534" s="137"/>
    </row>
    <row r="3535">
      <c r="A3535" s="1641"/>
      <c r="B3535" s="703"/>
      <c r="C3535" s="1644"/>
      <c r="D3535" s="1644"/>
      <c r="E3535" s="727"/>
      <c r="F3535" s="727"/>
      <c r="G3535" s="727"/>
      <c r="H3535" s="727"/>
      <c r="I3535" s="727"/>
      <c r="J3535" s="727"/>
      <c r="K3535" s="727"/>
      <c r="L3535" s="137"/>
    </row>
    <row r="3536">
      <c r="A3536" s="1641"/>
      <c r="B3536" s="703"/>
      <c r="C3536" s="1644"/>
      <c r="D3536" s="1644"/>
      <c r="E3536" s="727"/>
      <c r="F3536" s="727"/>
      <c r="G3536" s="727"/>
      <c r="H3536" s="727"/>
      <c r="I3536" s="727"/>
      <c r="J3536" s="727"/>
      <c r="K3536" s="727"/>
      <c r="L3536" s="137"/>
    </row>
    <row r="3537">
      <c r="A3537" s="1641"/>
      <c r="B3537" s="703"/>
      <c r="C3537" s="1644"/>
      <c r="D3537" s="1644"/>
      <c r="E3537" s="727"/>
      <c r="F3537" s="727"/>
      <c r="G3537" s="727"/>
      <c r="H3537" s="727"/>
      <c r="I3537" s="727"/>
      <c r="J3537" s="727"/>
      <c r="K3537" s="727"/>
      <c r="L3537" s="137"/>
    </row>
    <row r="3538">
      <c r="A3538" s="1641"/>
      <c r="B3538" s="703"/>
      <c r="C3538" s="1644"/>
      <c r="D3538" s="1644"/>
      <c r="E3538" s="727"/>
      <c r="F3538" s="727"/>
      <c r="G3538" s="727"/>
      <c r="H3538" s="727"/>
      <c r="I3538" s="727"/>
      <c r="J3538" s="727"/>
      <c r="K3538" s="727"/>
      <c r="L3538" s="137"/>
    </row>
    <row r="3539">
      <c r="A3539" s="1641"/>
      <c r="B3539" s="703"/>
      <c r="C3539" s="1644"/>
      <c r="D3539" s="1644"/>
      <c r="E3539" s="727"/>
      <c r="F3539" s="727"/>
      <c r="G3539" s="727"/>
      <c r="H3539" s="727"/>
      <c r="I3539" s="727"/>
      <c r="J3539" s="727"/>
      <c r="K3539" s="727"/>
      <c r="L3539" s="137"/>
    </row>
    <row r="3540">
      <c r="A3540" s="1641"/>
      <c r="B3540" s="703"/>
      <c r="C3540" s="1644"/>
      <c r="D3540" s="1644"/>
      <c r="E3540" s="727"/>
      <c r="F3540" s="727"/>
      <c r="G3540" s="727"/>
      <c r="H3540" s="727"/>
      <c r="I3540" s="727"/>
      <c r="J3540" s="727"/>
      <c r="K3540" s="727"/>
      <c r="L3540" s="137"/>
    </row>
    <row r="3541">
      <c r="A3541" s="1641"/>
      <c r="B3541" s="703"/>
      <c r="C3541" s="1644"/>
      <c r="D3541" s="1644"/>
      <c r="E3541" s="727"/>
      <c r="F3541" s="727"/>
      <c r="G3541" s="727"/>
      <c r="H3541" s="727"/>
      <c r="I3541" s="727"/>
      <c r="J3541" s="727"/>
      <c r="K3541" s="727"/>
      <c r="L3541" s="137"/>
    </row>
    <row r="3542">
      <c r="A3542" s="1641"/>
      <c r="B3542" s="703"/>
      <c r="C3542" s="1644"/>
      <c r="D3542" s="1644"/>
      <c r="E3542" s="727"/>
      <c r="F3542" s="727"/>
      <c r="G3542" s="727"/>
      <c r="H3542" s="727"/>
      <c r="I3542" s="727"/>
      <c r="J3542" s="727"/>
      <c r="K3542" s="727"/>
      <c r="L3542" s="137"/>
    </row>
    <row r="3543">
      <c r="A3543" s="1641"/>
      <c r="B3543" s="703"/>
      <c r="C3543" s="1644"/>
      <c r="D3543" s="1644"/>
      <c r="E3543" s="727"/>
      <c r="F3543" s="727"/>
      <c r="G3543" s="727"/>
      <c r="H3543" s="727"/>
      <c r="I3543" s="727"/>
      <c r="J3543" s="727"/>
      <c r="K3543" s="727"/>
      <c r="L3543" s="137"/>
    </row>
    <row r="3544">
      <c r="A3544" s="1641"/>
      <c r="B3544" s="703"/>
      <c r="C3544" s="1644"/>
      <c r="D3544" s="1644"/>
      <c r="E3544" s="727"/>
      <c r="F3544" s="727"/>
      <c r="G3544" s="727"/>
      <c r="H3544" s="727"/>
      <c r="I3544" s="727"/>
      <c r="J3544" s="727"/>
      <c r="K3544" s="727"/>
      <c r="L3544" s="137"/>
    </row>
    <row r="3545">
      <c r="A3545" s="1641"/>
      <c r="B3545" s="703"/>
      <c r="C3545" s="1644"/>
      <c r="D3545" s="1644"/>
      <c r="E3545" s="727"/>
      <c r="F3545" s="727"/>
      <c r="G3545" s="727"/>
      <c r="H3545" s="727"/>
      <c r="I3545" s="727"/>
      <c r="J3545" s="727"/>
      <c r="K3545" s="727"/>
      <c r="L3545" s="137"/>
    </row>
    <row r="3546">
      <c r="A3546" s="1641"/>
      <c r="B3546" s="703"/>
      <c r="C3546" s="1644"/>
      <c r="D3546" s="1644"/>
      <c r="E3546" s="727"/>
      <c r="F3546" s="727"/>
      <c r="G3546" s="727"/>
      <c r="H3546" s="727"/>
      <c r="I3546" s="727"/>
      <c r="J3546" s="727"/>
      <c r="K3546" s="727"/>
      <c r="L3546" s="137"/>
    </row>
    <row r="3547">
      <c r="A3547" s="1641"/>
      <c r="B3547" s="703"/>
      <c r="C3547" s="1644"/>
      <c r="D3547" s="1644"/>
      <c r="E3547" s="727"/>
      <c r="F3547" s="727"/>
      <c r="G3547" s="727"/>
      <c r="H3547" s="727"/>
      <c r="I3547" s="727"/>
      <c r="J3547" s="727"/>
      <c r="K3547" s="727"/>
      <c r="L3547" s="137"/>
    </row>
    <row r="3548">
      <c r="A3548" s="1641"/>
      <c r="B3548" s="703"/>
      <c r="C3548" s="1644"/>
      <c r="D3548" s="1644"/>
      <c r="E3548" s="727"/>
      <c r="F3548" s="727"/>
      <c r="G3548" s="727"/>
      <c r="H3548" s="727"/>
      <c r="I3548" s="727"/>
      <c r="J3548" s="727"/>
      <c r="K3548" s="727"/>
      <c r="L3548" s="137"/>
    </row>
    <row r="3549">
      <c r="A3549" s="1641"/>
      <c r="B3549" s="703"/>
      <c r="C3549" s="1644"/>
      <c r="D3549" s="1644"/>
      <c r="E3549" s="727"/>
      <c r="F3549" s="727"/>
      <c r="G3549" s="727"/>
      <c r="H3549" s="727"/>
      <c r="I3549" s="727"/>
      <c r="J3549" s="727"/>
      <c r="K3549" s="727"/>
      <c r="L3549" s="137"/>
    </row>
    <row r="3550">
      <c r="A3550" s="1641"/>
      <c r="B3550" s="703"/>
      <c r="C3550" s="1644"/>
      <c r="D3550" s="1644"/>
      <c r="E3550" s="727"/>
      <c r="F3550" s="727"/>
      <c r="G3550" s="727"/>
      <c r="H3550" s="727"/>
      <c r="I3550" s="727"/>
      <c r="J3550" s="727"/>
      <c r="K3550" s="727"/>
      <c r="L3550" s="137"/>
    </row>
    <row r="3551">
      <c r="A3551" s="1641"/>
      <c r="B3551" s="703"/>
      <c r="C3551" s="1644"/>
      <c r="D3551" s="1644"/>
      <c r="E3551" s="727"/>
      <c r="F3551" s="727"/>
      <c r="G3551" s="727"/>
      <c r="H3551" s="727"/>
      <c r="I3551" s="727"/>
      <c r="J3551" s="727"/>
      <c r="K3551" s="727"/>
      <c r="L3551" s="137"/>
    </row>
    <row r="3552">
      <c r="A3552" s="1641"/>
      <c r="B3552" s="703"/>
      <c r="C3552" s="1644"/>
      <c r="D3552" s="1644"/>
      <c r="E3552" s="727"/>
      <c r="F3552" s="727"/>
      <c r="G3552" s="727"/>
      <c r="H3552" s="727"/>
      <c r="I3552" s="727"/>
      <c r="J3552" s="727"/>
      <c r="K3552" s="727"/>
      <c r="L3552" s="137"/>
    </row>
    <row r="3553">
      <c r="A3553" s="1641"/>
      <c r="B3553" s="703"/>
      <c r="C3553" s="1644"/>
      <c r="D3553" s="1644"/>
      <c r="E3553" s="727"/>
      <c r="F3553" s="727"/>
      <c r="G3553" s="727"/>
      <c r="H3553" s="727"/>
      <c r="I3553" s="727"/>
      <c r="J3553" s="727"/>
      <c r="K3553" s="727"/>
      <c r="L3553" s="137"/>
    </row>
    <row r="3554">
      <c r="A3554" s="1641"/>
      <c r="B3554" s="703"/>
      <c r="C3554" s="1644"/>
      <c r="D3554" s="1644"/>
      <c r="E3554" s="727"/>
      <c r="F3554" s="727"/>
      <c r="G3554" s="727"/>
      <c r="H3554" s="727"/>
      <c r="I3554" s="727"/>
      <c r="J3554" s="727"/>
      <c r="K3554" s="727"/>
      <c r="L3554" s="137"/>
    </row>
    <row r="3555">
      <c r="A3555" s="1641"/>
      <c r="B3555" s="703"/>
      <c r="C3555" s="1644"/>
      <c r="D3555" s="1644"/>
      <c r="E3555" s="727"/>
      <c r="F3555" s="727"/>
      <c r="G3555" s="727"/>
      <c r="H3555" s="727"/>
      <c r="I3555" s="727"/>
      <c r="J3555" s="727"/>
      <c r="K3555" s="727"/>
      <c r="L3555" s="137"/>
    </row>
    <row r="3556">
      <c r="A3556" s="1641"/>
      <c r="B3556" s="703"/>
      <c r="C3556" s="1644"/>
      <c r="D3556" s="1644"/>
      <c r="E3556" s="727"/>
      <c r="F3556" s="727"/>
      <c r="G3556" s="727"/>
      <c r="H3556" s="727"/>
      <c r="I3556" s="727"/>
      <c r="J3556" s="727"/>
      <c r="K3556" s="727"/>
      <c r="L3556" s="137"/>
    </row>
    <row r="3557">
      <c r="A3557" s="1641"/>
      <c r="B3557" s="703"/>
      <c r="C3557" s="1644"/>
      <c r="D3557" s="1644"/>
      <c r="E3557" s="727"/>
      <c r="F3557" s="727"/>
      <c r="G3557" s="727"/>
      <c r="H3557" s="727"/>
      <c r="I3557" s="727"/>
      <c r="J3557" s="727"/>
      <c r="K3557" s="727"/>
      <c r="L3557" s="137"/>
    </row>
    <row r="3558">
      <c r="A3558" s="1641"/>
      <c r="B3558" s="703"/>
      <c r="C3558" s="1644"/>
      <c r="D3558" s="1644"/>
      <c r="E3558" s="727"/>
      <c r="F3558" s="727"/>
      <c r="G3558" s="727"/>
      <c r="H3558" s="727"/>
      <c r="I3558" s="727"/>
      <c r="J3558" s="727"/>
      <c r="K3558" s="727"/>
      <c r="L3558" s="137"/>
    </row>
    <row r="3559">
      <c r="A3559" s="1641"/>
      <c r="B3559" s="703"/>
      <c r="C3559" s="1644"/>
      <c r="D3559" s="1644"/>
      <c r="E3559" s="727"/>
      <c r="F3559" s="727"/>
      <c r="G3559" s="727"/>
      <c r="H3559" s="727"/>
      <c r="I3559" s="727"/>
      <c r="J3559" s="727"/>
      <c r="K3559" s="727"/>
      <c r="L3559" s="137"/>
    </row>
    <row r="3560">
      <c r="A3560" s="1641"/>
      <c r="B3560" s="703"/>
      <c r="C3560" s="1644"/>
      <c r="D3560" s="1644"/>
      <c r="E3560" s="727"/>
      <c r="F3560" s="727"/>
      <c r="G3560" s="727"/>
      <c r="H3560" s="727"/>
      <c r="I3560" s="727"/>
      <c r="J3560" s="727"/>
      <c r="K3560" s="727"/>
      <c r="L3560" s="137"/>
    </row>
    <row r="3561">
      <c r="A3561" s="1641"/>
      <c r="B3561" s="703"/>
      <c r="C3561" s="1644"/>
      <c r="D3561" s="1644"/>
      <c r="E3561" s="727"/>
      <c r="F3561" s="727"/>
      <c r="G3561" s="727"/>
      <c r="H3561" s="727"/>
      <c r="I3561" s="727"/>
      <c r="J3561" s="727"/>
      <c r="K3561" s="727"/>
      <c r="L3561" s="137"/>
    </row>
    <row r="3562">
      <c r="A3562" s="1641"/>
      <c r="B3562" s="703"/>
      <c r="C3562" s="1644"/>
      <c r="D3562" s="1644"/>
      <c r="E3562" s="727"/>
      <c r="F3562" s="727"/>
      <c r="G3562" s="727"/>
      <c r="H3562" s="727"/>
      <c r="I3562" s="727"/>
      <c r="J3562" s="727"/>
      <c r="K3562" s="727"/>
      <c r="L3562" s="137"/>
    </row>
    <row r="3563">
      <c r="A3563" s="1641"/>
      <c r="B3563" s="703"/>
      <c r="C3563" s="1644"/>
      <c r="D3563" s="1644"/>
      <c r="E3563" s="727"/>
      <c r="F3563" s="727"/>
      <c r="G3563" s="727"/>
      <c r="H3563" s="727"/>
      <c r="I3563" s="727"/>
      <c r="J3563" s="727"/>
      <c r="K3563" s="727"/>
      <c r="L3563" s="137"/>
    </row>
    <row r="3564">
      <c r="A3564" s="1641"/>
      <c r="B3564" s="703"/>
      <c r="C3564" s="1644"/>
      <c r="D3564" s="1644"/>
      <c r="E3564" s="727"/>
      <c r="F3564" s="727"/>
      <c r="G3564" s="727"/>
      <c r="H3564" s="727"/>
      <c r="I3564" s="727"/>
      <c r="J3564" s="727"/>
      <c r="K3564" s="727"/>
      <c r="L3564" s="137"/>
    </row>
    <row r="3565">
      <c r="A3565" s="1641"/>
      <c r="B3565" s="703"/>
      <c r="C3565" s="1644"/>
      <c r="D3565" s="1644"/>
      <c r="E3565" s="727"/>
      <c r="F3565" s="727"/>
      <c r="G3565" s="727"/>
      <c r="H3565" s="727"/>
      <c r="I3565" s="727"/>
      <c r="J3565" s="727"/>
      <c r="K3565" s="727"/>
      <c r="L3565" s="137"/>
    </row>
    <row r="3566">
      <c r="A3566" s="1641"/>
      <c r="B3566" s="703"/>
      <c r="C3566" s="1644"/>
      <c r="D3566" s="1644"/>
      <c r="E3566" s="727"/>
      <c r="F3566" s="727"/>
      <c r="G3566" s="727"/>
      <c r="H3566" s="727"/>
      <c r="I3566" s="727"/>
      <c r="J3566" s="727"/>
      <c r="K3566" s="727"/>
      <c r="L3566" s="137"/>
    </row>
    <row r="3567">
      <c r="A3567" s="1641"/>
      <c r="B3567" s="703"/>
      <c r="C3567" s="1644"/>
      <c r="D3567" s="1644"/>
      <c r="E3567" s="727"/>
      <c r="F3567" s="727"/>
      <c r="G3567" s="727"/>
      <c r="H3567" s="727"/>
      <c r="I3567" s="727"/>
      <c r="J3567" s="727"/>
      <c r="K3567" s="727"/>
      <c r="L3567" s="137"/>
    </row>
    <row r="3568">
      <c r="A3568" s="1641"/>
      <c r="B3568" s="703"/>
      <c r="C3568" s="1644"/>
      <c r="D3568" s="1644"/>
      <c r="E3568" s="727"/>
      <c r="F3568" s="727"/>
      <c r="G3568" s="727"/>
      <c r="H3568" s="727"/>
      <c r="I3568" s="727"/>
      <c r="J3568" s="727"/>
      <c r="K3568" s="727"/>
      <c r="L3568" s="137"/>
    </row>
    <row r="3569">
      <c r="A3569" s="1641"/>
      <c r="B3569" s="703"/>
      <c r="C3569" s="1644"/>
      <c r="D3569" s="1644"/>
      <c r="E3569" s="727"/>
      <c r="F3569" s="727"/>
      <c r="G3569" s="727"/>
      <c r="H3569" s="727"/>
      <c r="I3569" s="727"/>
      <c r="J3569" s="727"/>
      <c r="K3569" s="727"/>
      <c r="L3569" s="137"/>
    </row>
    <row r="3570">
      <c r="A3570" s="1641"/>
      <c r="B3570" s="703"/>
      <c r="C3570" s="1644"/>
      <c r="D3570" s="1644"/>
      <c r="E3570" s="727"/>
      <c r="F3570" s="727"/>
      <c r="G3570" s="727"/>
      <c r="H3570" s="727"/>
      <c r="I3570" s="727"/>
      <c r="J3570" s="727"/>
      <c r="K3570" s="727"/>
      <c r="L3570" s="137"/>
    </row>
    <row r="3571">
      <c r="A3571" s="1641"/>
      <c r="B3571" s="703"/>
      <c r="C3571" s="1644"/>
      <c r="D3571" s="1644"/>
      <c r="E3571" s="727"/>
      <c r="F3571" s="727"/>
      <c r="G3571" s="727"/>
      <c r="H3571" s="727"/>
      <c r="I3571" s="727"/>
      <c r="J3571" s="727"/>
      <c r="K3571" s="727"/>
      <c r="L3571" s="137"/>
    </row>
    <row r="3572">
      <c r="A3572" s="1641"/>
      <c r="B3572" s="703"/>
      <c r="C3572" s="1644"/>
      <c r="D3572" s="1644"/>
      <c r="E3572" s="727"/>
      <c r="F3572" s="727"/>
      <c r="G3572" s="727"/>
      <c r="H3572" s="727"/>
      <c r="I3572" s="727"/>
      <c r="J3572" s="727"/>
      <c r="K3572" s="727"/>
      <c r="L3572" s="137"/>
    </row>
    <row r="3573">
      <c r="A3573" s="1641"/>
      <c r="B3573" s="703"/>
      <c r="C3573" s="1644"/>
      <c r="D3573" s="1644"/>
      <c r="E3573" s="727"/>
      <c r="F3573" s="727"/>
      <c r="G3573" s="727"/>
      <c r="H3573" s="727"/>
      <c r="I3573" s="727"/>
      <c r="J3573" s="727"/>
      <c r="K3573" s="727"/>
      <c r="L3573" s="137"/>
    </row>
    <row r="3574">
      <c r="A3574" s="1641"/>
      <c r="B3574" s="703"/>
      <c r="C3574" s="1644"/>
      <c r="D3574" s="1644"/>
      <c r="E3574" s="727"/>
      <c r="F3574" s="727"/>
      <c r="G3574" s="727"/>
      <c r="H3574" s="727"/>
      <c r="I3574" s="727"/>
      <c r="J3574" s="727"/>
      <c r="K3574" s="727"/>
      <c r="L3574" s="137"/>
    </row>
    <row r="3575">
      <c r="A3575" s="1641"/>
      <c r="B3575" s="703"/>
      <c r="C3575" s="1644"/>
      <c r="D3575" s="1644"/>
      <c r="E3575" s="727"/>
      <c r="F3575" s="727"/>
      <c r="G3575" s="727"/>
      <c r="H3575" s="727"/>
      <c r="I3575" s="727"/>
      <c r="J3575" s="727"/>
      <c r="K3575" s="727"/>
      <c r="L3575" s="137"/>
    </row>
    <row r="3576">
      <c r="A3576" s="1641"/>
      <c r="B3576" s="703"/>
      <c r="C3576" s="1644"/>
      <c r="D3576" s="1644"/>
      <c r="E3576" s="727"/>
      <c r="F3576" s="727"/>
      <c r="G3576" s="727"/>
      <c r="H3576" s="727"/>
      <c r="I3576" s="727"/>
      <c r="J3576" s="727"/>
      <c r="K3576" s="727"/>
      <c r="L3576" s="137"/>
    </row>
    <row r="3577">
      <c r="A3577" s="1641"/>
      <c r="B3577" s="703"/>
      <c r="C3577" s="1644"/>
      <c r="D3577" s="1644"/>
      <c r="E3577" s="727"/>
      <c r="F3577" s="727"/>
      <c r="G3577" s="727"/>
      <c r="H3577" s="727"/>
      <c r="I3577" s="727"/>
      <c r="J3577" s="727"/>
      <c r="K3577" s="727"/>
      <c r="L3577" s="137"/>
    </row>
    <row r="3578">
      <c r="A3578" s="1641"/>
      <c r="B3578" s="703"/>
      <c r="C3578" s="1644"/>
      <c r="D3578" s="1644"/>
      <c r="E3578" s="727"/>
      <c r="F3578" s="727"/>
      <c r="G3578" s="727"/>
      <c r="H3578" s="727"/>
      <c r="I3578" s="727"/>
      <c r="J3578" s="727"/>
      <c r="K3578" s="727"/>
      <c r="L3578" s="137"/>
    </row>
    <row r="3579">
      <c r="A3579" s="1641"/>
      <c r="B3579" s="703"/>
      <c r="C3579" s="1644"/>
      <c r="D3579" s="1644"/>
      <c r="E3579" s="727"/>
      <c r="F3579" s="727"/>
      <c r="G3579" s="727"/>
      <c r="H3579" s="727"/>
      <c r="I3579" s="727"/>
      <c r="J3579" s="727"/>
      <c r="K3579" s="727"/>
      <c r="L3579" s="137"/>
    </row>
    <row r="3580">
      <c r="A3580" s="1641"/>
      <c r="B3580" s="703"/>
      <c r="C3580" s="1644"/>
      <c r="D3580" s="1644"/>
      <c r="E3580" s="727"/>
      <c r="F3580" s="727"/>
      <c r="G3580" s="727"/>
      <c r="H3580" s="727"/>
      <c r="I3580" s="727"/>
      <c r="J3580" s="727"/>
      <c r="K3580" s="727"/>
      <c r="L3580" s="137"/>
    </row>
    <row r="3581">
      <c r="A3581" s="1641"/>
      <c r="B3581" s="703"/>
      <c r="C3581" s="1644"/>
      <c r="D3581" s="1644"/>
      <c r="E3581" s="727"/>
      <c r="F3581" s="727"/>
      <c r="G3581" s="727"/>
      <c r="H3581" s="727"/>
      <c r="I3581" s="727"/>
      <c r="J3581" s="727"/>
      <c r="K3581" s="727"/>
      <c r="L3581" s="137"/>
    </row>
    <row r="3582">
      <c r="A3582" s="1641"/>
      <c r="B3582" s="703"/>
      <c r="C3582" s="1644"/>
      <c r="D3582" s="1644"/>
      <c r="E3582" s="727"/>
      <c r="F3582" s="727"/>
      <c r="G3582" s="727"/>
      <c r="H3582" s="727"/>
      <c r="I3582" s="727"/>
      <c r="J3582" s="727"/>
      <c r="K3582" s="727"/>
      <c r="L3582" s="137"/>
    </row>
    <row r="3583">
      <c r="A3583" s="1641"/>
      <c r="B3583" s="703"/>
      <c r="C3583" s="1644"/>
      <c r="D3583" s="1644"/>
      <c r="E3583" s="727"/>
      <c r="F3583" s="727"/>
      <c r="G3583" s="727"/>
      <c r="H3583" s="727"/>
      <c r="I3583" s="727"/>
      <c r="J3583" s="727"/>
      <c r="K3583" s="727"/>
      <c r="L3583" s="137"/>
    </row>
    <row r="3584">
      <c r="A3584" s="1641"/>
      <c r="B3584" s="703"/>
      <c r="C3584" s="1644"/>
      <c r="D3584" s="1644"/>
      <c r="E3584" s="727"/>
      <c r="F3584" s="727"/>
      <c r="G3584" s="727"/>
      <c r="H3584" s="727"/>
      <c r="I3584" s="727"/>
      <c r="J3584" s="727"/>
      <c r="K3584" s="727"/>
      <c r="L3584" s="137"/>
    </row>
    <row r="3585">
      <c r="A3585" s="1641"/>
      <c r="B3585" s="703"/>
      <c r="C3585" s="1644"/>
      <c r="D3585" s="1644"/>
      <c r="E3585" s="727"/>
      <c r="F3585" s="727"/>
      <c r="G3585" s="727"/>
      <c r="H3585" s="727"/>
      <c r="I3585" s="727"/>
      <c r="J3585" s="727"/>
      <c r="K3585" s="727"/>
      <c r="L3585" s="137"/>
    </row>
    <row r="3586">
      <c r="A3586" s="1641"/>
      <c r="B3586" s="703"/>
      <c r="C3586" s="1644"/>
      <c r="D3586" s="1644"/>
      <c r="E3586" s="727"/>
      <c r="F3586" s="727"/>
      <c r="G3586" s="727"/>
      <c r="H3586" s="727"/>
      <c r="I3586" s="727"/>
      <c r="J3586" s="727"/>
      <c r="K3586" s="727"/>
      <c r="L3586" s="137"/>
    </row>
    <row r="3587">
      <c r="A3587" s="1641"/>
      <c r="B3587" s="703"/>
      <c r="C3587" s="1644"/>
      <c r="D3587" s="1644"/>
      <c r="E3587" s="727"/>
      <c r="F3587" s="727"/>
      <c r="G3587" s="727"/>
      <c r="H3587" s="727"/>
      <c r="I3587" s="727"/>
      <c r="J3587" s="727"/>
      <c r="K3587" s="727"/>
      <c r="L3587" s="137"/>
    </row>
    <row r="3588">
      <c r="A3588" s="1641"/>
      <c r="B3588" s="703"/>
      <c r="C3588" s="1644"/>
      <c r="D3588" s="1644"/>
      <c r="E3588" s="727"/>
      <c r="F3588" s="727"/>
      <c r="G3588" s="727"/>
      <c r="H3588" s="727"/>
      <c r="I3588" s="727"/>
      <c r="J3588" s="727"/>
      <c r="K3588" s="727"/>
      <c r="L3588" s="137"/>
    </row>
    <row r="3589">
      <c r="A3589" s="1641"/>
      <c r="B3589" s="703"/>
      <c r="C3589" s="1644"/>
      <c r="D3589" s="1644"/>
      <c r="E3589" s="727"/>
      <c r="F3589" s="727"/>
      <c r="G3589" s="727"/>
      <c r="H3589" s="727"/>
      <c r="I3589" s="727"/>
      <c r="J3589" s="727"/>
      <c r="K3589" s="727"/>
      <c r="L3589" s="137"/>
    </row>
    <row r="3590">
      <c r="A3590" s="1641"/>
      <c r="B3590" s="703"/>
      <c r="C3590" s="1644"/>
      <c r="D3590" s="1644"/>
      <c r="E3590" s="727"/>
      <c r="F3590" s="727"/>
      <c r="G3590" s="727"/>
      <c r="H3590" s="727"/>
      <c r="I3590" s="727"/>
      <c r="J3590" s="727"/>
      <c r="K3590" s="727"/>
      <c r="L3590" s="137"/>
    </row>
    <row r="3591">
      <c r="A3591" s="1641"/>
      <c r="B3591" s="703"/>
      <c r="C3591" s="1644"/>
      <c r="D3591" s="1644"/>
      <c r="E3591" s="727"/>
      <c r="F3591" s="727"/>
      <c r="G3591" s="727"/>
      <c r="H3591" s="727"/>
      <c r="I3591" s="727"/>
      <c r="J3591" s="727"/>
      <c r="K3591" s="727"/>
      <c r="L3591" s="137"/>
    </row>
    <row r="3592">
      <c r="A3592" s="1641"/>
      <c r="B3592" s="703"/>
      <c r="C3592" s="1644"/>
      <c r="D3592" s="1644"/>
      <c r="E3592" s="727"/>
      <c r="F3592" s="727"/>
      <c r="G3592" s="727"/>
      <c r="H3592" s="727"/>
      <c r="I3592" s="727"/>
      <c r="J3592" s="727"/>
      <c r="K3592" s="727"/>
      <c r="L3592" s="137"/>
    </row>
    <row r="3593">
      <c r="A3593" s="1641"/>
      <c r="B3593" s="703"/>
      <c r="C3593" s="1644"/>
      <c r="D3593" s="1644"/>
      <c r="E3593" s="727"/>
      <c r="F3593" s="727"/>
      <c r="G3593" s="727"/>
      <c r="H3593" s="727"/>
      <c r="I3593" s="727"/>
      <c r="J3593" s="727"/>
      <c r="K3593" s="727"/>
      <c r="L3593" s="137"/>
    </row>
    <row r="3594">
      <c r="A3594" s="1641"/>
      <c r="B3594" s="703"/>
      <c r="C3594" s="1644"/>
      <c r="D3594" s="1644"/>
      <c r="E3594" s="727"/>
      <c r="F3594" s="727"/>
      <c r="G3594" s="727"/>
      <c r="H3594" s="727"/>
      <c r="I3594" s="727"/>
      <c r="J3594" s="727"/>
      <c r="K3594" s="727"/>
      <c r="L3594" s="137"/>
    </row>
    <row r="3595">
      <c r="A3595" s="1641"/>
      <c r="B3595" s="703"/>
      <c r="C3595" s="1644"/>
      <c r="D3595" s="1644"/>
      <c r="E3595" s="727"/>
      <c r="F3595" s="727"/>
      <c r="G3595" s="727"/>
      <c r="H3595" s="727"/>
      <c r="I3595" s="727"/>
      <c r="J3595" s="727"/>
      <c r="K3595" s="727"/>
      <c r="L3595" s="137"/>
    </row>
    <row r="3596">
      <c r="A3596" s="1641"/>
      <c r="B3596" s="703"/>
      <c r="C3596" s="1644"/>
      <c r="D3596" s="1644"/>
      <c r="E3596" s="727"/>
      <c r="F3596" s="727"/>
      <c r="G3596" s="727"/>
      <c r="H3596" s="727"/>
      <c r="I3596" s="727"/>
      <c r="J3596" s="727"/>
      <c r="K3596" s="727"/>
      <c r="L3596" s="137"/>
    </row>
    <row r="3597">
      <c r="A3597" s="1641"/>
      <c r="B3597" s="703"/>
      <c r="C3597" s="1644"/>
      <c r="D3597" s="1644"/>
      <c r="E3597" s="727"/>
      <c r="F3597" s="727"/>
      <c r="G3597" s="727"/>
      <c r="H3597" s="727"/>
      <c r="I3597" s="727"/>
      <c r="J3597" s="727"/>
      <c r="K3597" s="727"/>
      <c r="L3597" s="137"/>
    </row>
    <row r="3598">
      <c r="A3598" s="1641"/>
      <c r="B3598" s="703"/>
      <c r="C3598" s="1644"/>
      <c r="D3598" s="1644"/>
      <c r="E3598" s="727"/>
      <c r="F3598" s="727"/>
      <c r="G3598" s="727"/>
      <c r="H3598" s="727"/>
      <c r="I3598" s="727"/>
      <c r="J3598" s="727"/>
      <c r="K3598" s="727"/>
      <c r="L3598" s="137"/>
    </row>
    <row r="3599">
      <c r="A3599" s="1641"/>
      <c r="B3599" s="703"/>
      <c r="C3599" s="1644"/>
      <c r="D3599" s="1644"/>
      <c r="E3599" s="727"/>
      <c r="F3599" s="727"/>
      <c r="G3599" s="727"/>
      <c r="H3599" s="727"/>
      <c r="I3599" s="727"/>
      <c r="J3599" s="727"/>
      <c r="K3599" s="727"/>
      <c r="L3599" s="137"/>
    </row>
    <row r="3600">
      <c r="A3600" s="1641"/>
      <c r="B3600" s="703"/>
      <c r="C3600" s="1644"/>
      <c r="D3600" s="1644"/>
      <c r="E3600" s="727"/>
      <c r="F3600" s="727"/>
      <c r="G3600" s="727"/>
      <c r="H3600" s="727"/>
      <c r="I3600" s="727"/>
      <c r="J3600" s="727"/>
      <c r="K3600" s="727"/>
      <c r="L3600" s="137"/>
    </row>
    <row r="3601">
      <c r="A3601" s="1641"/>
      <c r="B3601" s="703"/>
      <c r="C3601" s="1644"/>
      <c r="D3601" s="1644"/>
      <c r="E3601" s="727"/>
      <c r="F3601" s="727"/>
      <c r="G3601" s="727"/>
      <c r="H3601" s="727"/>
      <c r="I3601" s="727"/>
      <c r="J3601" s="727"/>
      <c r="K3601" s="727"/>
      <c r="L3601" s="137"/>
    </row>
    <row r="3602">
      <c r="A3602" s="1641"/>
      <c r="B3602" s="703"/>
      <c r="C3602" s="1644"/>
      <c r="D3602" s="1644"/>
      <c r="E3602" s="727"/>
      <c r="F3602" s="727"/>
      <c r="G3602" s="727"/>
      <c r="H3602" s="727"/>
      <c r="I3602" s="727"/>
      <c r="J3602" s="727"/>
      <c r="K3602" s="727"/>
      <c r="L3602" s="137"/>
    </row>
    <row r="3603">
      <c r="A3603" s="1641"/>
      <c r="B3603" s="703"/>
      <c r="C3603" s="1644"/>
      <c r="D3603" s="1644"/>
      <c r="E3603" s="727"/>
      <c r="F3603" s="727"/>
      <c r="G3603" s="727"/>
      <c r="H3603" s="727"/>
      <c r="I3603" s="727"/>
      <c r="J3603" s="727"/>
      <c r="K3603" s="727"/>
      <c r="L3603" s="137"/>
    </row>
    <row r="3604">
      <c r="A3604" s="1641"/>
      <c r="B3604" s="703"/>
      <c r="C3604" s="1644"/>
      <c r="D3604" s="1644"/>
      <c r="E3604" s="727"/>
      <c r="F3604" s="727"/>
      <c r="G3604" s="727"/>
      <c r="H3604" s="727"/>
      <c r="I3604" s="727"/>
      <c r="J3604" s="727"/>
      <c r="K3604" s="727"/>
      <c r="L3604" s="137"/>
    </row>
    <row r="3605">
      <c r="A3605" s="1641"/>
      <c r="B3605" s="703"/>
      <c r="C3605" s="1644"/>
      <c r="D3605" s="1644"/>
      <c r="E3605" s="727"/>
      <c r="F3605" s="727"/>
      <c r="G3605" s="727"/>
      <c r="H3605" s="727"/>
      <c r="I3605" s="727"/>
      <c r="J3605" s="727"/>
      <c r="K3605" s="727"/>
      <c r="L3605" s="137"/>
    </row>
    <row r="3606">
      <c r="A3606" s="1641"/>
      <c r="B3606" s="703"/>
      <c r="C3606" s="1644"/>
      <c r="D3606" s="1644"/>
      <c r="E3606" s="727"/>
      <c r="F3606" s="727"/>
      <c r="G3606" s="727"/>
      <c r="H3606" s="727"/>
      <c r="I3606" s="727"/>
      <c r="J3606" s="727"/>
      <c r="K3606" s="727"/>
      <c r="L3606" s="137"/>
    </row>
    <row r="3607">
      <c r="A3607" s="1641"/>
      <c r="B3607" s="703"/>
      <c r="C3607" s="1644"/>
      <c r="D3607" s="1644"/>
      <c r="E3607" s="727"/>
      <c r="F3607" s="727"/>
      <c r="G3607" s="727"/>
      <c r="H3607" s="727"/>
      <c r="I3607" s="727"/>
      <c r="J3607" s="727"/>
      <c r="K3607" s="727"/>
      <c r="L3607" s="137"/>
    </row>
    <row r="3608">
      <c r="A3608" s="1641"/>
      <c r="B3608" s="703"/>
      <c r="C3608" s="1644"/>
      <c r="D3608" s="1644"/>
      <c r="E3608" s="727"/>
      <c r="F3608" s="727"/>
      <c r="G3608" s="727"/>
      <c r="H3608" s="727"/>
      <c r="I3608" s="727"/>
      <c r="J3608" s="727"/>
      <c r="K3608" s="727"/>
      <c r="L3608" s="137"/>
    </row>
    <row r="3609">
      <c r="A3609" s="1641"/>
      <c r="B3609" s="703"/>
      <c r="C3609" s="1644"/>
      <c r="D3609" s="1644"/>
      <c r="E3609" s="727"/>
      <c r="F3609" s="727"/>
      <c r="G3609" s="727"/>
      <c r="H3609" s="727"/>
      <c r="I3609" s="727"/>
      <c r="J3609" s="727"/>
      <c r="K3609" s="727"/>
      <c r="L3609" s="137"/>
    </row>
    <row r="3610">
      <c r="A3610" s="1641"/>
      <c r="B3610" s="703"/>
      <c r="C3610" s="1644"/>
      <c r="D3610" s="1644"/>
      <c r="E3610" s="727"/>
      <c r="F3610" s="727"/>
      <c r="G3610" s="727"/>
      <c r="H3610" s="727"/>
      <c r="I3610" s="727"/>
      <c r="J3610" s="727"/>
      <c r="K3610" s="727"/>
      <c r="L3610" s="137"/>
    </row>
    <row r="3611">
      <c r="A3611" s="1641"/>
      <c r="B3611" s="703"/>
      <c r="C3611" s="1644"/>
      <c r="D3611" s="1644"/>
      <c r="E3611" s="727"/>
      <c r="F3611" s="727"/>
      <c r="G3611" s="727"/>
      <c r="H3611" s="727"/>
      <c r="I3611" s="727"/>
      <c r="J3611" s="727"/>
      <c r="K3611" s="727"/>
      <c r="L3611" s="137"/>
    </row>
    <row r="3612">
      <c r="A3612" s="1641"/>
      <c r="B3612" s="703"/>
      <c r="C3612" s="1644"/>
      <c r="D3612" s="1644"/>
      <c r="E3612" s="727"/>
      <c r="F3612" s="727"/>
      <c r="G3612" s="727"/>
      <c r="H3612" s="727"/>
      <c r="I3612" s="727"/>
      <c r="J3612" s="727"/>
      <c r="K3612" s="727"/>
      <c r="L3612" s="137"/>
    </row>
    <row r="3613">
      <c r="A3613" s="1641"/>
      <c r="B3613" s="703"/>
      <c r="C3613" s="1644"/>
      <c r="D3613" s="1644"/>
      <c r="E3613" s="727"/>
      <c r="F3613" s="727"/>
      <c r="G3613" s="727"/>
      <c r="H3613" s="727"/>
      <c r="I3613" s="727"/>
      <c r="J3613" s="727"/>
      <c r="K3613" s="727"/>
      <c r="L3613" s="137"/>
    </row>
    <row r="3614">
      <c r="A3614" s="1641"/>
      <c r="B3614" s="703"/>
      <c r="C3614" s="1644"/>
      <c r="D3614" s="1644"/>
      <c r="E3614" s="727"/>
      <c r="F3614" s="727"/>
      <c r="G3614" s="727"/>
      <c r="H3614" s="727"/>
      <c r="I3614" s="727"/>
      <c r="J3614" s="727"/>
      <c r="K3614" s="727"/>
      <c r="L3614" s="137"/>
    </row>
    <row r="3615">
      <c r="A3615" s="1641"/>
      <c r="B3615" s="703"/>
      <c r="C3615" s="1644"/>
      <c r="D3615" s="1644"/>
      <c r="E3615" s="727"/>
      <c r="F3615" s="727"/>
      <c r="G3615" s="727"/>
      <c r="H3615" s="727"/>
      <c r="I3615" s="727"/>
      <c r="J3615" s="727"/>
      <c r="K3615" s="727"/>
      <c r="L3615" s="137"/>
    </row>
    <row r="3616">
      <c r="A3616" s="1641"/>
      <c r="B3616" s="703"/>
      <c r="C3616" s="1644"/>
      <c r="D3616" s="1644"/>
      <c r="E3616" s="727"/>
      <c r="F3616" s="727"/>
      <c r="G3616" s="727"/>
      <c r="H3616" s="727"/>
      <c r="I3616" s="727"/>
      <c r="J3616" s="727"/>
      <c r="K3616" s="727"/>
      <c r="L3616" s="137"/>
    </row>
    <row r="3617">
      <c r="A3617" s="1641"/>
      <c r="B3617" s="703"/>
      <c r="C3617" s="1644"/>
      <c r="D3617" s="1644"/>
      <c r="E3617" s="727"/>
      <c r="F3617" s="727"/>
      <c r="G3617" s="727"/>
      <c r="H3617" s="727"/>
      <c r="I3617" s="727"/>
      <c r="J3617" s="727"/>
      <c r="K3617" s="727"/>
      <c r="L3617" s="137"/>
    </row>
    <row r="3618">
      <c r="A3618" s="1641"/>
      <c r="B3618" s="703"/>
      <c r="C3618" s="1644"/>
      <c r="D3618" s="1644"/>
      <c r="E3618" s="727"/>
      <c r="F3618" s="727"/>
      <c r="G3618" s="727"/>
      <c r="H3618" s="727"/>
      <c r="I3618" s="727"/>
      <c r="J3618" s="727"/>
      <c r="K3618" s="727"/>
      <c r="L3618" s="137"/>
    </row>
    <row r="3619">
      <c r="A3619" s="1641"/>
      <c r="B3619" s="703"/>
      <c r="C3619" s="1644"/>
      <c r="D3619" s="1644"/>
      <c r="E3619" s="727"/>
      <c r="F3619" s="727"/>
      <c r="G3619" s="727"/>
      <c r="H3619" s="727"/>
      <c r="I3619" s="727"/>
      <c r="J3619" s="727"/>
      <c r="K3619" s="727"/>
      <c r="L3619" s="137"/>
    </row>
    <row r="3620">
      <c r="A3620" s="1641"/>
      <c r="B3620" s="703"/>
      <c r="C3620" s="1644"/>
      <c r="D3620" s="1644"/>
      <c r="E3620" s="727"/>
      <c r="F3620" s="727"/>
      <c r="G3620" s="727"/>
      <c r="H3620" s="727"/>
      <c r="I3620" s="727"/>
      <c r="J3620" s="727"/>
      <c r="K3620" s="727"/>
      <c r="L3620" s="137"/>
    </row>
    <row r="3621">
      <c r="A3621" s="1641"/>
      <c r="B3621" s="703"/>
      <c r="C3621" s="1644"/>
      <c r="D3621" s="1644"/>
      <c r="E3621" s="727"/>
      <c r="F3621" s="727"/>
      <c r="G3621" s="727"/>
      <c r="H3621" s="727"/>
      <c r="I3621" s="727"/>
      <c r="J3621" s="727"/>
      <c r="K3621" s="727"/>
      <c r="L3621" s="137"/>
    </row>
    <row r="3622">
      <c r="A3622" s="1641"/>
      <c r="B3622" s="703"/>
      <c r="C3622" s="1644"/>
      <c r="D3622" s="1644"/>
      <c r="E3622" s="727"/>
      <c r="F3622" s="727"/>
      <c r="G3622" s="727"/>
      <c r="H3622" s="727"/>
      <c r="I3622" s="727"/>
      <c r="J3622" s="727"/>
      <c r="K3622" s="727"/>
      <c r="L3622" s="137"/>
    </row>
    <row r="3623">
      <c r="A3623" s="1641"/>
      <c r="B3623" s="703"/>
      <c r="C3623" s="1644"/>
      <c r="D3623" s="1644"/>
      <c r="E3623" s="727"/>
      <c r="F3623" s="727"/>
      <c r="G3623" s="727"/>
      <c r="H3623" s="727"/>
      <c r="I3623" s="727"/>
      <c r="J3623" s="727"/>
      <c r="K3623" s="727"/>
      <c r="L3623" s="137"/>
    </row>
    <row r="3624">
      <c r="A3624" s="1641"/>
      <c r="B3624" s="703"/>
      <c r="C3624" s="1644"/>
      <c r="D3624" s="1644"/>
      <c r="E3624" s="727"/>
      <c r="F3624" s="727"/>
      <c r="G3624" s="727"/>
      <c r="H3624" s="727"/>
      <c r="I3624" s="727"/>
      <c r="J3624" s="727"/>
      <c r="K3624" s="727"/>
      <c r="L3624" s="137"/>
    </row>
    <row r="3625">
      <c r="A3625" s="1641"/>
      <c r="B3625" s="703"/>
      <c r="C3625" s="1644"/>
      <c r="D3625" s="1644"/>
      <c r="E3625" s="727"/>
      <c r="F3625" s="727"/>
      <c r="G3625" s="727"/>
      <c r="H3625" s="727"/>
      <c r="I3625" s="727"/>
      <c r="J3625" s="727"/>
      <c r="K3625" s="727"/>
      <c r="L3625" s="137"/>
    </row>
    <row r="3626">
      <c r="A3626" s="1641"/>
      <c r="B3626" s="703"/>
      <c r="C3626" s="1644"/>
      <c r="D3626" s="1644"/>
      <c r="E3626" s="727"/>
      <c r="F3626" s="727"/>
      <c r="G3626" s="727"/>
      <c r="H3626" s="727"/>
      <c r="I3626" s="727"/>
      <c r="J3626" s="727"/>
      <c r="K3626" s="727"/>
      <c r="L3626" s="137"/>
    </row>
    <row r="3627">
      <c r="A3627" s="1641"/>
      <c r="B3627" s="703"/>
      <c r="C3627" s="1644"/>
      <c r="D3627" s="1644"/>
      <c r="E3627" s="727"/>
      <c r="F3627" s="727"/>
      <c r="G3627" s="727"/>
      <c r="H3627" s="727"/>
      <c r="I3627" s="727"/>
      <c r="J3627" s="727"/>
      <c r="K3627" s="727"/>
      <c r="L3627" s="137"/>
    </row>
    <row r="3628">
      <c r="A3628" s="1641"/>
      <c r="B3628" s="703"/>
      <c r="C3628" s="1644"/>
      <c r="D3628" s="1644"/>
      <c r="E3628" s="727"/>
      <c r="F3628" s="727"/>
      <c r="G3628" s="727"/>
      <c r="H3628" s="727"/>
      <c r="I3628" s="727"/>
      <c r="J3628" s="727"/>
      <c r="K3628" s="727"/>
      <c r="L3628" s="137"/>
    </row>
    <row r="3629">
      <c r="A3629" s="1641"/>
      <c r="B3629" s="703"/>
      <c r="C3629" s="1644"/>
      <c r="D3629" s="1644"/>
      <c r="E3629" s="727"/>
      <c r="F3629" s="727"/>
      <c r="G3629" s="727"/>
      <c r="H3629" s="727"/>
      <c r="I3629" s="727"/>
      <c r="J3629" s="727"/>
      <c r="K3629" s="727"/>
      <c r="L3629" s="137"/>
    </row>
    <row r="3630">
      <c r="A3630" s="1641"/>
      <c r="B3630" s="703"/>
      <c r="C3630" s="1644"/>
      <c r="D3630" s="1644"/>
      <c r="E3630" s="727"/>
      <c r="F3630" s="727"/>
      <c r="G3630" s="727"/>
      <c r="H3630" s="727"/>
      <c r="I3630" s="727"/>
      <c r="J3630" s="727"/>
      <c r="K3630" s="727"/>
      <c r="L3630" s="137"/>
    </row>
    <row r="3631">
      <c r="A3631" s="1641"/>
      <c r="B3631" s="703"/>
      <c r="C3631" s="1644"/>
      <c r="D3631" s="1644"/>
      <c r="E3631" s="727"/>
      <c r="F3631" s="727"/>
      <c r="G3631" s="727"/>
      <c r="H3631" s="727"/>
      <c r="I3631" s="727"/>
      <c r="J3631" s="727"/>
      <c r="K3631" s="727"/>
      <c r="L3631" s="137"/>
    </row>
    <row r="3632">
      <c r="A3632" s="1641"/>
      <c r="B3632" s="703"/>
      <c r="C3632" s="1644"/>
      <c r="D3632" s="1644"/>
      <c r="E3632" s="727"/>
      <c r="F3632" s="727"/>
      <c r="G3632" s="727"/>
      <c r="H3632" s="727"/>
      <c r="I3632" s="727"/>
      <c r="J3632" s="727"/>
      <c r="K3632" s="727"/>
      <c r="L3632" s="137"/>
    </row>
    <row r="3633">
      <c r="A3633" s="1641"/>
      <c r="B3633" s="703"/>
      <c r="C3633" s="1644"/>
      <c r="D3633" s="1644"/>
      <c r="E3633" s="727"/>
      <c r="F3633" s="727"/>
      <c r="G3633" s="727"/>
      <c r="H3633" s="727"/>
      <c r="I3633" s="727"/>
      <c r="J3633" s="727"/>
      <c r="K3633" s="727"/>
      <c r="L3633" s="137"/>
    </row>
    <row r="3634">
      <c r="A3634" s="1641"/>
      <c r="B3634" s="703"/>
      <c r="C3634" s="1644"/>
      <c r="D3634" s="1644"/>
      <c r="E3634" s="727"/>
      <c r="F3634" s="727"/>
      <c r="G3634" s="727"/>
      <c r="H3634" s="727"/>
      <c r="I3634" s="727"/>
      <c r="J3634" s="727"/>
      <c r="K3634" s="727"/>
      <c r="L3634" s="137"/>
    </row>
    <row r="3635">
      <c r="A3635" s="1641"/>
      <c r="B3635" s="703"/>
      <c r="C3635" s="1644"/>
      <c r="D3635" s="1644"/>
      <c r="E3635" s="727"/>
      <c r="F3635" s="727"/>
      <c r="G3635" s="727"/>
      <c r="H3635" s="727"/>
      <c r="I3635" s="727"/>
      <c r="J3635" s="727"/>
      <c r="K3635" s="727"/>
      <c r="L3635" s="137"/>
    </row>
    <row r="3636">
      <c r="A3636" s="1641"/>
      <c r="B3636" s="703"/>
      <c r="C3636" s="1644"/>
      <c r="D3636" s="1644"/>
      <c r="E3636" s="727"/>
      <c r="F3636" s="727"/>
      <c r="G3636" s="727"/>
      <c r="H3636" s="727"/>
      <c r="I3636" s="727"/>
      <c r="J3636" s="727"/>
      <c r="K3636" s="727"/>
      <c r="L3636" s="137"/>
    </row>
    <row r="3637">
      <c r="A3637" s="1641"/>
      <c r="B3637" s="703"/>
      <c r="C3637" s="1644"/>
      <c r="D3637" s="1644"/>
      <c r="E3637" s="727"/>
      <c r="F3637" s="727"/>
      <c r="G3637" s="727"/>
      <c r="H3637" s="727"/>
      <c r="I3637" s="727"/>
      <c r="J3637" s="727"/>
      <c r="K3637" s="727"/>
      <c r="L3637" s="137"/>
    </row>
    <row r="3638">
      <c r="A3638" s="1641"/>
      <c r="B3638" s="703"/>
      <c r="C3638" s="1644"/>
      <c r="D3638" s="1644"/>
      <c r="E3638" s="727"/>
      <c r="F3638" s="727"/>
      <c r="G3638" s="727"/>
      <c r="H3638" s="727"/>
      <c r="I3638" s="727"/>
      <c r="J3638" s="727"/>
      <c r="K3638" s="727"/>
      <c r="L3638" s="137"/>
    </row>
    <row r="3639">
      <c r="A3639" s="1641"/>
      <c r="B3639" s="703"/>
      <c r="C3639" s="1644"/>
      <c r="D3639" s="1644"/>
      <c r="E3639" s="727"/>
      <c r="F3639" s="727"/>
      <c r="G3639" s="727"/>
      <c r="H3639" s="727"/>
      <c r="I3639" s="727"/>
      <c r="J3639" s="727"/>
      <c r="K3639" s="727"/>
      <c r="L3639" s="137"/>
    </row>
    <row r="3640">
      <c r="A3640" s="1641"/>
      <c r="B3640" s="703"/>
      <c r="C3640" s="1644"/>
      <c r="D3640" s="1644"/>
      <c r="E3640" s="727"/>
      <c r="F3640" s="727"/>
      <c r="G3640" s="727"/>
      <c r="H3640" s="727"/>
      <c r="I3640" s="727"/>
      <c r="J3640" s="727"/>
      <c r="K3640" s="727"/>
      <c r="L3640" s="137"/>
    </row>
    <row r="3641">
      <c r="A3641" s="1641"/>
      <c r="B3641" s="703"/>
      <c r="C3641" s="1644"/>
      <c r="D3641" s="1644"/>
      <c r="E3641" s="727"/>
      <c r="F3641" s="727"/>
      <c r="G3641" s="727"/>
      <c r="H3641" s="727"/>
      <c r="I3641" s="727"/>
      <c r="J3641" s="727"/>
      <c r="K3641" s="727"/>
      <c r="L3641" s="137"/>
    </row>
    <row r="3642">
      <c r="A3642" s="1641"/>
      <c r="B3642" s="703"/>
      <c r="C3642" s="1644"/>
      <c r="D3642" s="1644"/>
      <c r="E3642" s="727"/>
      <c r="F3642" s="727"/>
      <c r="G3642" s="727"/>
      <c r="H3642" s="727"/>
      <c r="I3642" s="727"/>
      <c r="J3642" s="727"/>
      <c r="K3642" s="727"/>
      <c r="L3642" s="137"/>
    </row>
    <row r="3643">
      <c r="A3643" s="1641"/>
      <c r="B3643" s="703"/>
      <c r="C3643" s="1644"/>
      <c r="D3643" s="1644"/>
      <c r="E3643" s="727"/>
      <c r="F3643" s="727"/>
      <c r="G3643" s="727"/>
      <c r="H3643" s="727"/>
      <c r="I3643" s="727"/>
      <c r="J3643" s="727"/>
      <c r="K3643" s="727"/>
      <c r="L3643" s="137"/>
    </row>
    <row r="3644">
      <c r="A3644" s="1641"/>
      <c r="B3644" s="703"/>
      <c r="C3644" s="1644"/>
      <c r="D3644" s="1644"/>
      <c r="E3644" s="727"/>
      <c r="F3644" s="727"/>
      <c r="G3644" s="727"/>
      <c r="H3644" s="727"/>
      <c r="I3644" s="727"/>
      <c r="J3644" s="727"/>
      <c r="K3644" s="727"/>
      <c r="L3644" s="137"/>
    </row>
    <row r="3645">
      <c r="A3645" s="1641"/>
      <c r="B3645" s="703"/>
      <c r="C3645" s="1644"/>
      <c r="D3645" s="1644"/>
      <c r="E3645" s="727"/>
      <c r="F3645" s="727"/>
      <c r="G3645" s="727"/>
      <c r="H3645" s="727"/>
      <c r="I3645" s="727"/>
      <c r="J3645" s="727"/>
      <c r="K3645" s="727"/>
      <c r="L3645" s="137"/>
    </row>
    <row r="3646">
      <c r="A3646" s="1641"/>
      <c r="B3646" s="703"/>
      <c r="C3646" s="1644"/>
      <c r="D3646" s="1644"/>
      <c r="E3646" s="727"/>
      <c r="F3646" s="727"/>
      <c r="G3646" s="727"/>
      <c r="H3646" s="727"/>
      <c r="I3646" s="727"/>
      <c r="J3646" s="727"/>
      <c r="K3646" s="727"/>
      <c r="L3646" s="137"/>
    </row>
    <row r="3647">
      <c r="A3647" s="1641"/>
      <c r="B3647" s="703"/>
      <c r="C3647" s="1644"/>
      <c r="D3647" s="1644"/>
      <c r="E3647" s="727"/>
      <c r="F3647" s="727"/>
      <c r="G3647" s="727"/>
      <c r="H3647" s="727"/>
      <c r="I3647" s="727"/>
      <c r="J3647" s="727"/>
      <c r="K3647" s="727"/>
      <c r="L3647" s="137"/>
    </row>
    <row r="3648">
      <c r="A3648" s="1641"/>
      <c r="B3648" s="703"/>
      <c r="C3648" s="1644"/>
      <c r="D3648" s="1644"/>
      <c r="E3648" s="727"/>
      <c r="F3648" s="727"/>
      <c r="G3648" s="727"/>
      <c r="H3648" s="727"/>
      <c r="I3648" s="727"/>
      <c r="J3648" s="727"/>
      <c r="K3648" s="727"/>
      <c r="L3648" s="137"/>
    </row>
    <row r="3649">
      <c r="A3649" s="1641"/>
      <c r="B3649" s="703"/>
      <c r="C3649" s="1644"/>
      <c r="D3649" s="1644"/>
      <c r="E3649" s="727"/>
      <c r="F3649" s="727"/>
      <c r="G3649" s="727"/>
      <c r="H3649" s="727"/>
      <c r="I3649" s="727"/>
      <c r="J3649" s="727"/>
      <c r="K3649" s="727"/>
      <c r="L3649" s="137"/>
    </row>
    <row r="3650">
      <c r="A3650" s="1641"/>
      <c r="B3650" s="703"/>
      <c r="C3650" s="1644"/>
      <c r="D3650" s="1644"/>
      <c r="E3650" s="727"/>
      <c r="F3650" s="727"/>
      <c r="G3650" s="727"/>
      <c r="H3650" s="727"/>
      <c r="I3650" s="727"/>
      <c r="J3650" s="727"/>
      <c r="K3650" s="727"/>
      <c r="L3650" s="137"/>
    </row>
    <row r="3651">
      <c r="A3651" s="1641"/>
      <c r="B3651" s="703"/>
      <c r="C3651" s="1644"/>
      <c r="D3651" s="1644"/>
      <c r="E3651" s="727"/>
      <c r="F3651" s="727"/>
      <c r="G3651" s="727"/>
      <c r="H3651" s="727"/>
      <c r="I3651" s="727"/>
      <c r="J3651" s="727"/>
      <c r="K3651" s="727"/>
      <c r="L3651" s="137"/>
    </row>
    <row r="3652">
      <c r="A3652" s="1641"/>
      <c r="B3652" s="703"/>
      <c r="C3652" s="1644"/>
      <c r="D3652" s="1644"/>
      <c r="E3652" s="727"/>
      <c r="F3652" s="727"/>
      <c r="G3652" s="727"/>
      <c r="H3652" s="727"/>
      <c r="I3652" s="727"/>
      <c r="J3652" s="727"/>
      <c r="K3652" s="727"/>
      <c r="L3652" s="137"/>
    </row>
    <row r="3653">
      <c r="A3653" s="1641"/>
      <c r="B3653" s="703"/>
      <c r="C3653" s="1644"/>
      <c r="D3653" s="1644"/>
      <c r="E3653" s="727"/>
      <c r="F3653" s="727"/>
      <c r="G3653" s="727"/>
      <c r="H3653" s="727"/>
      <c r="I3653" s="727"/>
      <c r="J3653" s="727"/>
      <c r="K3653" s="727"/>
      <c r="L3653" s="137"/>
    </row>
    <row r="3654">
      <c r="A3654" s="1641"/>
      <c r="B3654" s="703"/>
      <c r="C3654" s="1644"/>
      <c r="D3654" s="1644"/>
      <c r="E3654" s="727"/>
      <c r="F3654" s="727"/>
      <c r="G3654" s="727"/>
      <c r="H3654" s="727"/>
      <c r="I3654" s="727"/>
      <c r="J3654" s="727"/>
      <c r="K3654" s="727"/>
      <c r="L3654" s="137"/>
    </row>
    <row r="3655">
      <c r="A3655" s="1641"/>
      <c r="B3655" s="703"/>
      <c r="C3655" s="1644"/>
      <c r="D3655" s="1644"/>
      <c r="E3655" s="727"/>
      <c r="F3655" s="727"/>
      <c r="G3655" s="727"/>
      <c r="H3655" s="727"/>
      <c r="I3655" s="727"/>
      <c r="J3655" s="727"/>
      <c r="K3655" s="727"/>
      <c r="L3655" s="137"/>
    </row>
    <row r="3656">
      <c r="A3656" s="1641"/>
      <c r="B3656" s="703"/>
      <c r="C3656" s="1644"/>
      <c r="D3656" s="1644"/>
      <c r="E3656" s="727"/>
      <c r="F3656" s="727"/>
      <c r="G3656" s="727"/>
      <c r="H3656" s="727"/>
      <c r="I3656" s="727"/>
      <c r="J3656" s="727"/>
      <c r="K3656" s="727"/>
      <c r="L3656" s="137"/>
    </row>
    <row r="3657">
      <c r="A3657" s="1641"/>
      <c r="B3657" s="703"/>
      <c r="C3657" s="1644"/>
      <c r="D3657" s="1644"/>
      <c r="E3657" s="727"/>
      <c r="F3657" s="727"/>
      <c r="G3657" s="727"/>
      <c r="H3657" s="727"/>
      <c r="I3657" s="727"/>
      <c r="J3657" s="727"/>
      <c r="K3657" s="727"/>
      <c r="L3657" s="137"/>
    </row>
    <row r="3658">
      <c r="A3658" s="1641"/>
      <c r="B3658" s="703"/>
      <c r="C3658" s="1644"/>
      <c r="D3658" s="1644"/>
      <c r="E3658" s="727"/>
      <c r="F3658" s="727"/>
      <c r="G3658" s="727"/>
      <c r="H3658" s="727"/>
      <c r="I3658" s="727"/>
      <c r="J3658" s="727"/>
      <c r="K3658" s="727"/>
      <c r="L3658" s="137"/>
    </row>
    <row r="3659">
      <c r="A3659" s="1641"/>
      <c r="B3659" s="703"/>
      <c r="C3659" s="1644"/>
      <c r="D3659" s="1644"/>
      <c r="E3659" s="727"/>
      <c r="F3659" s="727"/>
      <c r="G3659" s="727"/>
      <c r="H3659" s="727"/>
      <c r="I3659" s="727"/>
      <c r="J3659" s="727"/>
      <c r="K3659" s="727"/>
      <c r="L3659" s="137"/>
    </row>
    <row r="3660">
      <c r="A3660" s="1641"/>
      <c r="B3660" s="703"/>
      <c r="C3660" s="1644"/>
      <c r="D3660" s="1644"/>
      <c r="E3660" s="727"/>
      <c r="F3660" s="727"/>
      <c r="G3660" s="727"/>
      <c r="H3660" s="727"/>
      <c r="I3660" s="727"/>
      <c r="J3660" s="727"/>
      <c r="K3660" s="727"/>
      <c r="L3660" s="137"/>
    </row>
    <row r="3661">
      <c r="A3661" s="1641"/>
      <c r="B3661" s="703"/>
      <c r="C3661" s="1644"/>
      <c r="D3661" s="1644"/>
      <c r="E3661" s="727"/>
      <c r="F3661" s="727"/>
      <c r="G3661" s="727"/>
      <c r="H3661" s="727"/>
      <c r="I3661" s="727"/>
      <c r="J3661" s="727"/>
      <c r="K3661" s="727"/>
      <c r="L3661" s="137"/>
    </row>
    <row r="3662">
      <c r="A3662" s="1641"/>
      <c r="B3662" s="703"/>
      <c r="C3662" s="1644"/>
      <c r="D3662" s="1644"/>
      <c r="E3662" s="727"/>
      <c r="F3662" s="727"/>
      <c r="G3662" s="727"/>
      <c r="H3662" s="727"/>
      <c r="I3662" s="727"/>
      <c r="J3662" s="727"/>
      <c r="K3662" s="727"/>
      <c r="L3662" s="137"/>
    </row>
    <row r="3663">
      <c r="A3663" s="1641"/>
      <c r="B3663" s="703"/>
      <c r="C3663" s="1644"/>
      <c r="D3663" s="1644"/>
      <c r="E3663" s="727"/>
      <c r="F3663" s="727"/>
      <c r="G3663" s="727"/>
      <c r="H3663" s="727"/>
      <c r="I3663" s="727"/>
      <c r="J3663" s="727"/>
      <c r="K3663" s="727"/>
      <c r="L3663" s="137"/>
    </row>
    <row r="3664">
      <c r="A3664" s="1641"/>
      <c r="B3664" s="703"/>
      <c r="C3664" s="1644"/>
      <c r="D3664" s="1644"/>
      <c r="E3664" s="727"/>
      <c r="F3664" s="727"/>
      <c r="G3664" s="727"/>
      <c r="H3664" s="727"/>
      <c r="I3664" s="727"/>
      <c r="J3664" s="727"/>
      <c r="K3664" s="727"/>
      <c r="L3664" s="137"/>
    </row>
    <row r="3665">
      <c r="A3665" s="1641"/>
      <c r="B3665" s="703"/>
      <c r="C3665" s="1644"/>
      <c r="D3665" s="1644"/>
      <c r="E3665" s="727"/>
      <c r="F3665" s="727"/>
      <c r="G3665" s="727"/>
      <c r="H3665" s="727"/>
      <c r="I3665" s="727"/>
      <c r="J3665" s="727"/>
      <c r="K3665" s="727"/>
      <c r="L3665" s="137"/>
    </row>
    <row r="3666">
      <c r="A3666" s="1641"/>
      <c r="B3666" s="703"/>
      <c r="C3666" s="1644"/>
      <c r="D3666" s="1644"/>
      <c r="E3666" s="727"/>
      <c r="F3666" s="727"/>
      <c r="G3666" s="727"/>
      <c r="H3666" s="727"/>
      <c r="I3666" s="727"/>
      <c r="J3666" s="727"/>
      <c r="K3666" s="727"/>
      <c r="L3666" s="137"/>
    </row>
    <row r="3667">
      <c r="A3667" s="1641"/>
      <c r="B3667" s="703"/>
      <c r="C3667" s="1644"/>
      <c r="D3667" s="1644"/>
      <c r="E3667" s="727"/>
      <c r="F3667" s="727"/>
      <c r="G3667" s="727"/>
      <c r="H3667" s="727"/>
      <c r="I3667" s="727"/>
      <c r="J3667" s="727"/>
      <c r="K3667" s="727"/>
      <c r="L3667" s="137"/>
    </row>
    <row r="3668">
      <c r="A3668" s="1641"/>
      <c r="B3668" s="703"/>
      <c r="C3668" s="1644"/>
      <c r="D3668" s="1644"/>
      <c r="E3668" s="727"/>
      <c r="F3668" s="727"/>
      <c r="G3668" s="727"/>
      <c r="H3668" s="727"/>
      <c r="I3668" s="727"/>
      <c r="J3668" s="727"/>
      <c r="K3668" s="727"/>
      <c r="L3668" s="137"/>
    </row>
    <row r="3669">
      <c r="A3669" s="1641"/>
      <c r="B3669" s="703"/>
      <c r="C3669" s="1644"/>
      <c r="D3669" s="1644"/>
      <c r="E3669" s="727"/>
      <c r="F3669" s="727"/>
      <c r="G3669" s="727"/>
      <c r="H3669" s="727"/>
      <c r="I3669" s="727"/>
      <c r="J3669" s="727"/>
      <c r="K3669" s="727"/>
      <c r="L3669" s="137"/>
    </row>
    <row r="3670">
      <c r="A3670" s="1641"/>
      <c r="B3670" s="703"/>
      <c r="C3670" s="1644"/>
      <c r="D3670" s="1644"/>
      <c r="E3670" s="727"/>
      <c r="F3670" s="727"/>
      <c r="G3670" s="727"/>
      <c r="H3670" s="727"/>
      <c r="I3670" s="727"/>
      <c r="J3670" s="727"/>
      <c r="K3670" s="727"/>
      <c r="L3670" s="137"/>
    </row>
    <row r="3671">
      <c r="A3671" s="1641"/>
      <c r="B3671" s="703"/>
      <c r="C3671" s="1644"/>
      <c r="D3671" s="1644"/>
      <c r="E3671" s="727"/>
      <c r="F3671" s="727"/>
      <c r="G3671" s="727"/>
      <c r="H3671" s="727"/>
      <c r="I3671" s="727"/>
      <c r="J3671" s="727"/>
      <c r="K3671" s="727"/>
      <c r="L3671" s="137"/>
    </row>
    <row r="3672">
      <c r="A3672" s="1641"/>
      <c r="B3672" s="703"/>
      <c r="C3672" s="1644"/>
      <c r="D3672" s="1644"/>
      <c r="E3672" s="727"/>
      <c r="F3672" s="727"/>
      <c r="G3672" s="727"/>
      <c r="H3672" s="727"/>
      <c r="I3672" s="727"/>
      <c r="J3672" s="727"/>
      <c r="K3672" s="727"/>
      <c r="L3672" s="137"/>
    </row>
    <row r="3673">
      <c r="A3673" s="1641"/>
      <c r="B3673" s="703"/>
      <c r="C3673" s="1644"/>
      <c r="D3673" s="1644"/>
      <c r="E3673" s="727"/>
      <c r="F3673" s="727"/>
      <c r="G3673" s="727"/>
      <c r="H3673" s="727"/>
      <c r="I3673" s="727"/>
      <c r="J3673" s="727"/>
      <c r="K3673" s="727"/>
      <c r="L3673" s="137"/>
    </row>
    <row r="3674">
      <c r="A3674" s="1641"/>
      <c r="B3674" s="703"/>
      <c r="C3674" s="1644"/>
      <c r="D3674" s="1644"/>
      <c r="E3674" s="727"/>
      <c r="F3674" s="727"/>
      <c r="G3674" s="727"/>
      <c r="H3674" s="727"/>
      <c r="I3674" s="727"/>
      <c r="J3674" s="727"/>
      <c r="K3674" s="727"/>
      <c r="L3674" s="137"/>
    </row>
    <row r="3675">
      <c r="A3675" s="1641"/>
      <c r="B3675" s="703"/>
      <c r="C3675" s="1644"/>
      <c r="D3675" s="1644"/>
      <c r="E3675" s="727"/>
      <c r="F3675" s="727"/>
      <c r="G3675" s="727"/>
      <c r="H3675" s="727"/>
      <c r="I3675" s="727"/>
      <c r="J3675" s="727"/>
      <c r="K3675" s="727"/>
      <c r="L3675" s="137"/>
    </row>
    <row r="3676">
      <c r="A3676" s="1641"/>
      <c r="B3676" s="703"/>
      <c r="C3676" s="1644"/>
      <c r="D3676" s="1644"/>
      <c r="E3676" s="727"/>
      <c r="F3676" s="727"/>
      <c r="G3676" s="727"/>
      <c r="H3676" s="727"/>
      <c r="I3676" s="727"/>
      <c r="J3676" s="727"/>
      <c r="K3676" s="727"/>
      <c r="L3676" s="137"/>
    </row>
    <row r="3677">
      <c r="A3677" s="1641"/>
      <c r="B3677" s="703"/>
      <c r="C3677" s="1644"/>
      <c r="D3677" s="1644"/>
      <c r="E3677" s="727"/>
      <c r="F3677" s="727"/>
      <c r="G3677" s="727"/>
      <c r="H3677" s="727"/>
      <c r="I3677" s="727"/>
      <c r="J3677" s="727"/>
      <c r="K3677" s="727"/>
      <c r="L3677" s="137"/>
    </row>
    <row r="3678">
      <c r="A3678" s="1641"/>
      <c r="B3678" s="703"/>
      <c r="C3678" s="1644"/>
      <c r="D3678" s="1644"/>
      <c r="E3678" s="727"/>
      <c r="F3678" s="727"/>
      <c r="G3678" s="727"/>
      <c r="H3678" s="727"/>
      <c r="I3678" s="727"/>
      <c r="J3678" s="727"/>
      <c r="K3678" s="727"/>
      <c r="L3678" s="137"/>
    </row>
    <row r="3679">
      <c r="A3679" s="1641"/>
      <c r="B3679" s="703"/>
      <c r="C3679" s="1644"/>
      <c r="D3679" s="1644"/>
      <c r="E3679" s="727"/>
      <c r="F3679" s="727"/>
      <c r="G3679" s="727"/>
      <c r="H3679" s="727"/>
      <c r="I3679" s="727"/>
      <c r="J3679" s="727"/>
      <c r="K3679" s="727"/>
      <c r="L3679" s="137"/>
    </row>
    <row r="3680">
      <c r="A3680" s="1641"/>
      <c r="B3680" s="703"/>
      <c r="C3680" s="1644"/>
      <c r="D3680" s="1644"/>
      <c r="E3680" s="727"/>
      <c r="F3680" s="727"/>
      <c r="G3680" s="727"/>
      <c r="H3680" s="727"/>
      <c r="I3680" s="727"/>
      <c r="J3680" s="727"/>
      <c r="K3680" s="727"/>
      <c r="L3680" s="137"/>
    </row>
    <row r="3681">
      <c r="A3681" s="1641"/>
      <c r="B3681" s="703"/>
      <c r="C3681" s="1644"/>
      <c r="D3681" s="1644"/>
      <c r="E3681" s="727"/>
      <c r="F3681" s="727"/>
      <c r="G3681" s="727"/>
      <c r="H3681" s="727"/>
      <c r="I3681" s="727"/>
      <c r="J3681" s="727"/>
      <c r="K3681" s="727"/>
      <c r="L3681" s="137"/>
    </row>
    <row r="3682">
      <c r="A3682" s="1641"/>
      <c r="B3682" s="703"/>
      <c r="C3682" s="1644"/>
      <c r="D3682" s="1644"/>
      <c r="E3682" s="727"/>
      <c r="F3682" s="727"/>
      <c r="G3682" s="727"/>
      <c r="H3682" s="727"/>
      <c r="I3682" s="727"/>
      <c r="J3682" s="727"/>
      <c r="K3682" s="727"/>
      <c r="L3682" s="137"/>
    </row>
    <row r="3683">
      <c r="A3683" s="1641"/>
      <c r="B3683" s="703"/>
      <c r="C3683" s="1644"/>
      <c r="D3683" s="1644"/>
      <c r="E3683" s="727"/>
      <c r="F3683" s="727"/>
      <c r="G3683" s="727"/>
      <c r="H3683" s="727"/>
      <c r="I3683" s="727"/>
      <c r="J3683" s="727"/>
      <c r="K3683" s="727"/>
      <c r="L3683" s="137"/>
    </row>
    <row r="3684">
      <c r="A3684" s="1641"/>
      <c r="B3684" s="703"/>
      <c r="C3684" s="1644"/>
      <c r="D3684" s="1644"/>
      <c r="E3684" s="727"/>
      <c r="F3684" s="727"/>
      <c r="G3684" s="727"/>
      <c r="H3684" s="727"/>
      <c r="I3684" s="727"/>
      <c r="J3684" s="727"/>
      <c r="K3684" s="727"/>
      <c r="L3684" s="137"/>
    </row>
    <row r="3685">
      <c r="A3685" s="1641"/>
      <c r="B3685" s="703"/>
      <c r="C3685" s="1644"/>
      <c r="D3685" s="1644"/>
      <c r="E3685" s="727"/>
      <c r="F3685" s="727"/>
      <c r="G3685" s="727"/>
      <c r="H3685" s="727"/>
      <c r="I3685" s="727"/>
      <c r="J3685" s="727"/>
      <c r="K3685" s="727"/>
      <c r="L3685" s="137"/>
    </row>
    <row r="3686">
      <c r="A3686" s="1641"/>
      <c r="B3686" s="703"/>
      <c r="C3686" s="1644"/>
      <c r="D3686" s="1644"/>
      <c r="E3686" s="727"/>
      <c r="F3686" s="727"/>
      <c r="G3686" s="727"/>
      <c r="H3686" s="727"/>
      <c r="I3686" s="727"/>
      <c r="J3686" s="727"/>
      <c r="K3686" s="727"/>
      <c r="L3686" s="137"/>
    </row>
    <row r="3687">
      <c r="A3687" s="1641"/>
      <c r="B3687" s="703"/>
      <c r="C3687" s="1644"/>
      <c r="D3687" s="1644"/>
      <c r="E3687" s="727"/>
      <c r="F3687" s="727"/>
      <c r="G3687" s="727"/>
      <c r="H3687" s="727"/>
      <c r="I3687" s="727"/>
      <c r="J3687" s="727"/>
      <c r="K3687" s="727"/>
      <c r="L3687" s="137"/>
    </row>
    <row r="3688">
      <c r="A3688" s="1641"/>
      <c r="B3688" s="703"/>
      <c r="C3688" s="1644"/>
      <c r="D3688" s="1644"/>
      <c r="E3688" s="727"/>
      <c r="F3688" s="727"/>
      <c r="G3688" s="727"/>
      <c r="H3688" s="727"/>
      <c r="I3688" s="727"/>
      <c r="J3688" s="727"/>
      <c r="K3688" s="727"/>
      <c r="L3688" s="137"/>
    </row>
    <row r="3689">
      <c r="A3689" s="1641"/>
      <c r="B3689" s="703"/>
      <c r="C3689" s="1644"/>
      <c r="D3689" s="1644"/>
      <c r="E3689" s="727"/>
      <c r="F3689" s="727"/>
      <c r="G3689" s="727"/>
      <c r="H3689" s="727"/>
      <c r="I3689" s="727"/>
      <c r="J3689" s="727"/>
      <c r="K3689" s="727"/>
      <c r="L3689" s="137"/>
    </row>
    <row r="3690">
      <c r="A3690" s="1641"/>
      <c r="B3690" s="703"/>
      <c r="C3690" s="1644"/>
      <c r="D3690" s="1644"/>
      <c r="E3690" s="727"/>
      <c r="F3690" s="727"/>
      <c r="G3690" s="727"/>
      <c r="H3690" s="727"/>
      <c r="I3690" s="727"/>
      <c r="J3690" s="727"/>
      <c r="K3690" s="727"/>
      <c r="L3690" s="137"/>
    </row>
    <row r="3691">
      <c r="A3691" s="1641"/>
      <c r="B3691" s="703"/>
      <c r="C3691" s="1644"/>
      <c r="D3691" s="1644"/>
      <c r="E3691" s="727"/>
      <c r="F3691" s="727"/>
      <c r="G3691" s="727"/>
      <c r="H3691" s="727"/>
      <c r="I3691" s="727"/>
      <c r="J3691" s="727"/>
      <c r="K3691" s="727"/>
      <c r="L3691" s="137"/>
    </row>
    <row r="3692">
      <c r="A3692" s="1641"/>
      <c r="B3692" s="703"/>
      <c r="C3692" s="1644"/>
      <c r="D3692" s="1644"/>
      <c r="E3692" s="727"/>
      <c r="F3692" s="727"/>
      <c r="G3692" s="727"/>
      <c r="H3692" s="727"/>
      <c r="I3692" s="727"/>
      <c r="J3692" s="727"/>
      <c r="K3692" s="727"/>
      <c r="L3692" s="137"/>
    </row>
    <row r="3693">
      <c r="A3693" s="1641"/>
      <c r="B3693" s="703"/>
      <c r="C3693" s="1644"/>
      <c r="D3693" s="1644"/>
      <c r="E3693" s="727"/>
      <c r="F3693" s="727"/>
      <c r="G3693" s="727"/>
      <c r="H3693" s="727"/>
      <c r="I3693" s="727"/>
      <c r="J3693" s="727"/>
      <c r="K3693" s="727"/>
      <c r="L3693" s="137"/>
    </row>
    <row r="3694">
      <c r="A3694" s="1641"/>
      <c r="B3694" s="703"/>
      <c r="C3694" s="1644"/>
      <c r="D3694" s="1644"/>
      <c r="E3694" s="727"/>
      <c r="F3694" s="727"/>
      <c r="G3694" s="727"/>
      <c r="H3694" s="727"/>
      <c r="I3694" s="727"/>
      <c r="J3694" s="727"/>
      <c r="K3694" s="727"/>
      <c r="L3694" s="137"/>
    </row>
    <row r="3695">
      <c r="A3695" s="1641"/>
      <c r="B3695" s="703"/>
      <c r="C3695" s="1644"/>
      <c r="D3695" s="1644"/>
      <c r="E3695" s="727"/>
      <c r="F3695" s="727"/>
      <c r="G3695" s="727"/>
      <c r="H3695" s="727"/>
      <c r="I3695" s="727"/>
      <c r="J3695" s="727"/>
      <c r="K3695" s="727"/>
      <c r="L3695" s="137"/>
    </row>
    <row r="3696">
      <c r="A3696" s="1641"/>
      <c r="B3696" s="703"/>
      <c r="C3696" s="1644"/>
      <c r="D3696" s="1644"/>
      <c r="E3696" s="727"/>
      <c r="F3696" s="727"/>
      <c r="G3696" s="727"/>
      <c r="H3696" s="727"/>
      <c r="I3696" s="727"/>
      <c r="J3696" s="727"/>
      <c r="K3696" s="727"/>
      <c r="L3696" s="137"/>
    </row>
    <row r="3697">
      <c r="A3697" s="1641"/>
      <c r="B3697" s="703"/>
      <c r="C3697" s="1644"/>
      <c r="D3697" s="1644"/>
      <c r="E3697" s="727"/>
      <c r="F3697" s="727"/>
      <c r="G3697" s="727"/>
      <c r="H3697" s="727"/>
      <c r="I3697" s="727"/>
      <c r="J3697" s="727"/>
      <c r="K3697" s="727"/>
      <c r="L3697" s="137"/>
    </row>
    <row r="3698">
      <c r="A3698" s="1641"/>
      <c r="B3698" s="703"/>
      <c r="C3698" s="1644"/>
      <c r="D3698" s="1644"/>
      <c r="E3698" s="727"/>
      <c r="F3698" s="727"/>
      <c r="G3698" s="727"/>
      <c r="H3698" s="727"/>
      <c r="I3698" s="727"/>
      <c r="J3698" s="727"/>
      <c r="K3698" s="727"/>
      <c r="L3698" s="137"/>
    </row>
    <row r="3699">
      <c r="A3699" s="1641"/>
      <c r="B3699" s="703"/>
      <c r="C3699" s="1644"/>
      <c r="D3699" s="1644"/>
      <c r="E3699" s="727"/>
      <c r="F3699" s="727"/>
      <c r="G3699" s="727"/>
      <c r="H3699" s="727"/>
      <c r="I3699" s="727"/>
      <c r="J3699" s="727"/>
      <c r="K3699" s="727"/>
      <c r="L3699" s="137"/>
    </row>
    <row r="3700">
      <c r="A3700" s="1641"/>
      <c r="B3700" s="703"/>
      <c r="C3700" s="1644"/>
      <c r="D3700" s="1644"/>
      <c r="E3700" s="727"/>
      <c r="F3700" s="727"/>
      <c r="G3700" s="727"/>
      <c r="H3700" s="727"/>
      <c r="I3700" s="727"/>
      <c r="J3700" s="727"/>
      <c r="K3700" s="727"/>
      <c r="L3700" s="137"/>
    </row>
    <row r="3701">
      <c r="A3701" s="1641"/>
      <c r="B3701" s="703"/>
      <c r="C3701" s="1644"/>
      <c r="D3701" s="1644"/>
      <c r="E3701" s="727"/>
      <c r="F3701" s="727"/>
      <c r="G3701" s="727"/>
      <c r="H3701" s="727"/>
      <c r="I3701" s="727"/>
      <c r="J3701" s="727"/>
      <c r="K3701" s="727"/>
      <c r="L3701" s="137"/>
    </row>
    <row r="3702">
      <c r="A3702" s="1641"/>
      <c r="B3702" s="703"/>
      <c r="C3702" s="1644"/>
      <c r="D3702" s="1644"/>
      <c r="E3702" s="727"/>
      <c r="F3702" s="727"/>
      <c r="G3702" s="727"/>
      <c r="H3702" s="727"/>
      <c r="I3702" s="727"/>
      <c r="J3702" s="727"/>
      <c r="K3702" s="727"/>
      <c r="L3702" s="137"/>
    </row>
    <row r="3703">
      <c r="A3703" s="1641"/>
      <c r="B3703" s="703"/>
      <c r="C3703" s="1644"/>
      <c r="D3703" s="1644"/>
      <c r="E3703" s="727"/>
      <c r="F3703" s="727"/>
      <c r="G3703" s="727"/>
      <c r="H3703" s="727"/>
      <c r="I3703" s="727"/>
      <c r="J3703" s="727"/>
      <c r="K3703" s="727"/>
      <c r="L3703" s="137"/>
    </row>
    <row r="3704">
      <c r="A3704" s="1641"/>
      <c r="B3704" s="703"/>
      <c r="C3704" s="1644"/>
      <c r="D3704" s="1644"/>
      <c r="E3704" s="727"/>
      <c r="F3704" s="727"/>
      <c r="G3704" s="727"/>
      <c r="H3704" s="727"/>
      <c r="I3704" s="727"/>
      <c r="J3704" s="727"/>
      <c r="K3704" s="727"/>
      <c r="L3704" s="137"/>
    </row>
    <row r="3705">
      <c r="A3705" s="1641"/>
      <c r="B3705" s="703"/>
      <c r="C3705" s="1644"/>
      <c r="D3705" s="1644"/>
      <c r="E3705" s="727"/>
      <c r="F3705" s="727"/>
      <c r="G3705" s="727"/>
      <c r="H3705" s="727"/>
      <c r="I3705" s="727"/>
      <c r="J3705" s="727"/>
      <c r="K3705" s="727"/>
      <c r="L3705" s="137"/>
    </row>
    <row r="3706">
      <c r="A3706" s="1641"/>
      <c r="B3706" s="703"/>
      <c r="C3706" s="1644"/>
      <c r="D3706" s="1644"/>
      <c r="E3706" s="727"/>
      <c r="F3706" s="727"/>
      <c r="G3706" s="727"/>
      <c r="H3706" s="727"/>
      <c r="I3706" s="727"/>
      <c r="J3706" s="727"/>
      <c r="K3706" s="727"/>
      <c r="L3706" s="137"/>
    </row>
    <row r="3707">
      <c r="A3707" s="1641"/>
      <c r="B3707" s="703"/>
      <c r="C3707" s="1644"/>
      <c r="D3707" s="1644"/>
      <c r="E3707" s="727"/>
      <c r="F3707" s="727"/>
      <c r="G3707" s="727"/>
      <c r="H3707" s="727"/>
      <c r="I3707" s="727"/>
      <c r="J3707" s="727"/>
      <c r="K3707" s="727"/>
      <c r="L3707" s="137"/>
    </row>
    <row r="3708">
      <c r="A3708" s="1641"/>
      <c r="B3708" s="703"/>
      <c r="C3708" s="1644"/>
      <c r="D3708" s="1644"/>
      <c r="E3708" s="727"/>
      <c r="F3708" s="727"/>
      <c r="G3708" s="727"/>
      <c r="H3708" s="727"/>
      <c r="I3708" s="727"/>
      <c r="J3708" s="727"/>
      <c r="K3708" s="727"/>
      <c r="L3708" s="137"/>
    </row>
    <row r="3709">
      <c r="A3709" s="1641"/>
      <c r="B3709" s="703"/>
      <c r="C3709" s="1644"/>
      <c r="D3709" s="1644"/>
      <c r="E3709" s="727"/>
      <c r="F3709" s="727"/>
      <c r="G3709" s="727"/>
      <c r="H3709" s="727"/>
      <c r="I3709" s="727"/>
      <c r="J3709" s="727"/>
      <c r="K3709" s="727"/>
      <c r="L3709" s="137"/>
    </row>
    <row r="3710">
      <c r="A3710" s="1641"/>
      <c r="B3710" s="703"/>
      <c r="C3710" s="1644"/>
      <c r="D3710" s="1644"/>
      <c r="E3710" s="727"/>
      <c r="F3710" s="727"/>
      <c r="G3710" s="727"/>
      <c r="H3710" s="727"/>
      <c r="I3710" s="727"/>
      <c r="J3710" s="727"/>
      <c r="K3710" s="727"/>
      <c r="L3710" s="137"/>
    </row>
    <row r="3711">
      <c r="A3711" s="1641"/>
      <c r="B3711" s="703"/>
      <c r="C3711" s="1644"/>
      <c r="D3711" s="1644"/>
      <c r="E3711" s="727"/>
      <c r="F3711" s="727"/>
      <c r="G3711" s="727"/>
      <c r="H3711" s="727"/>
      <c r="I3711" s="727"/>
      <c r="J3711" s="727"/>
      <c r="K3711" s="727"/>
      <c r="L3711" s="137"/>
    </row>
    <row r="3712">
      <c r="A3712" s="1641"/>
      <c r="B3712" s="703"/>
      <c r="C3712" s="1644"/>
      <c r="D3712" s="1644"/>
      <c r="E3712" s="727"/>
      <c r="F3712" s="727"/>
      <c r="G3712" s="727"/>
      <c r="H3712" s="727"/>
      <c r="I3712" s="727"/>
      <c r="J3712" s="727"/>
      <c r="K3712" s="727"/>
      <c r="L3712" s="137"/>
    </row>
    <row r="3713">
      <c r="A3713" s="1641"/>
      <c r="B3713" s="703"/>
      <c r="C3713" s="1644"/>
      <c r="D3713" s="1644"/>
      <c r="E3713" s="727"/>
      <c r="F3713" s="727"/>
      <c r="G3713" s="727"/>
      <c r="H3713" s="727"/>
      <c r="I3713" s="727"/>
      <c r="J3713" s="727"/>
      <c r="K3713" s="727"/>
      <c r="L3713" s="137"/>
    </row>
    <row r="3714">
      <c r="A3714" s="1641"/>
      <c r="B3714" s="703"/>
      <c r="C3714" s="1644"/>
      <c r="D3714" s="1644"/>
      <c r="E3714" s="727"/>
      <c r="F3714" s="727"/>
      <c r="G3714" s="727"/>
      <c r="H3714" s="727"/>
      <c r="I3714" s="727"/>
      <c r="J3714" s="727"/>
      <c r="K3714" s="727"/>
      <c r="L3714" s="137"/>
    </row>
    <row r="3715">
      <c r="A3715" s="1641"/>
      <c r="B3715" s="703"/>
      <c r="C3715" s="1644"/>
      <c r="D3715" s="1644"/>
      <c r="E3715" s="727"/>
      <c r="F3715" s="727"/>
      <c r="G3715" s="727"/>
      <c r="H3715" s="727"/>
      <c r="I3715" s="727"/>
      <c r="J3715" s="727"/>
      <c r="K3715" s="727"/>
      <c r="L3715" s="137"/>
    </row>
    <row r="3716">
      <c r="A3716" s="1641"/>
      <c r="B3716" s="703"/>
      <c r="C3716" s="1644"/>
      <c r="D3716" s="1644"/>
      <c r="E3716" s="727"/>
      <c r="F3716" s="727"/>
      <c r="G3716" s="727"/>
      <c r="H3716" s="727"/>
      <c r="I3716" s="727"/>
      <c r="J3716" s="727"/>
      <c r="K3716" s="727"/>
      <c r="L3716" s="137"/>
    </row>
    <row r="3717">
      <c r="A3717" s="1641"/>
      <c r="B3717" s="703"/>
      <c r="C3717" s="1644"/>
      <c r="D3717" s="1644"/>
      <c r="E3717" s="727"/>
      <c r="F3717" s="727"/>
      <c r="G3717" s="727"/>
      <c r="H3717" s="727"/>
      <c r="I3717" s="727"/>
      <c r="J3717" s="727"/>
      <c r="K3717" s="727"/>
      <c r="L3717" s="137"/>
    </row>
    <row r="3718">
      <c r="A3718" s="1641"/>
      <c r="B3718" s="703"/>
      <c r="C3718" s="1644"/>
      <c r="D3718" s="1644"/>
      <c r="E3718" s="727"/>
      <c r="F3718" s="727"/>
      <c r="G3718" s="727"/>
      <c r="H3718" s="727"/>
      <c r="I3718" s="727"/>
      <c r="J3718" s="727"/>
      <c r="K3718" s="727"/>
      <c r="L3718" s="137"/>
    </row>
    <row r="3719">
      <c r="A3719" s="1641"/>
      <c r="B3719" s="703"/>
      <c r="C3719" s="1644"/>
      <c r="D3719" s="1644"/>
      <c r="E3719" s="727"/>
      <c r="F3719" s="727"/>
      <c r="G3719" s="727"/>
      <c r="H3719" s="727"/>
      <c r="I3719" s="727"/>
      <c r="J3719" s="727"/>
      <c r="K3719" s="727"/>
      <c r="L3719" s="137"/>
    </row>
    <row r="3720">
      <c r="A3720" s="1641"/>
      <c r="B3720" s="703"/>
      <c r="C3720" s="1644"/>
      <c r="D3720" s="1644"/>
      <c r="E3720" s="727"/>
      <c r="F3720" s="727"/>
      <c r="G3720" s="727"/>
      <c r="H3720" s="727"/>
      <c r="I3720" s="727"/>
      <c r="J3720" s="727"/>
      <c r="K3720" s="727"/>
      <c r="L3720" s="137"/>
    </row>
    <row r="3721">
      <c r="A3721" s="1641"/>
      <c r="B3721" s="703"/>
      <c r="C3721" s="1644"/>
      <c r="D3721" s="1644"/>
      <c r="E3721" s="727"/>
      <c r="F3721" s="727"/>
      <c r="G3721" s="727"/>
      <c r="H3721" s="727"/>
      <c r="I3721" s="727"/>
      <c r="J3721" s="727"/>
      <c r="K3721" s="727"/>
      <c r="L3721" s="137"/>
    </row>
    <row r="3722">
      <c r="A3722" s="1641"/>
      <c r="B3722" s="703"/>
      <c r="C3722" s="1644"/>
      <c r="D3722" s="1644"/>
      <c r="E3722" s="727"/>
      <c r="F3722" s="727"/>
      <c r="G3722" s="727"/>
      <c r="H3722" s="727"/>
      <c r="I3722" s="727"/>
      <c r="J3722" s="727"/>
      <c r="K3722" s="727"/>
      <c r="L3722" s="137"/>
    </row>
    <row r="3723">
      <c r="A3723" s="1641"/>
      <c r="B3723" s="703"/>
      <c r="C3723" s="1644"/>
      <c r="D3723" s="1644"/>
      <c r="E3723" s="727"/>
      <c r="F3723" s="727"/>
      <c r="G3723" s="727"/>
      <c r="H3723" s="727"/>
      <c r="I3723" s="727"/>
      <c r="J3723" s="727"/>
      <c r="K3723" s="727"/>
      <c r="L3723" s="137"/>
    </row>
    <row r="3724">
      <c r="A3724" s="1641"/>
      <c r="B3724" s="703"/>
      <c r="C3724" s="1644"/>
      <c r="D3724" s="1644"/>
      <c r="E3724" s="727"/>
      <c r="F3724" s="727"/>
      <c r="G3724" s="727"/>
      <c r="H3724" s="727"/>
      <c r="I3724" s="727"/>
      <c r="J3724" s="727"/>
      <c r="K3724" s="727"/>
      <c r="L3724" s="137"/>
    </row>
    <row r="3725">
      <c r="A3725" s="1641"/>
      <c r="B3725" s="703"/>
      <c r="C3725" s="1644"/>
      <c r="D3725" s="1644"/>
      <c r="E3725" s="727"/>
      <c r="F3725" s="727"/>
      <c r="G3725" s="727"/>
      <c r="H3725" s="727"/>
      <c r="I3725" s="727"/>
      <c r="J3725" s="727"/>
      <c r="K3725" s="727"/>
      <c r="L3725" s="137"/>
    </row>
    <row r="3726">
      <c r="A3726" s="1641"/>
      <c r="B3726" s="703"/>
      <c r="C3726" s="1644"/>
      <c r="D3726" s="1644"/>
      <c r="E3726" s="727"/>
      <c r="F3726" s="727"/>
      <c r="G3726" s="727"/>
      <c r="H3726" s="727"/>
      <c r="I3726" s="727"/>
      <c r="J3726" s="727"/>
      <c r="K3726" s="727"/>
      <c r="L3726" s="137"/>
    </row>
    <row r="3727">
      <c r="A3727" s="1641"/>
      <c r="B3727" s="703"/>
      <c r="C3727" s="1644"/>
      <c r="D3727" s="1644"/>
      <c r="E3727" s="727"/>
      <c r="F3727" s="727"/>
      <c r="G3727" s="727"/>
      <c r="H3727" s="727"/>
      <c r="I3727" s="727"/>
      <c r="J3727" s="727"/>
      <c r="K3727" s="727"/>
      <c r="L3727" s="137"/>
    </row>
    <row r="3728">
      <c r="A3728" s="1641"/>
      <c r="B3728" s="703"/>
      <c r="C3728" s="1644"/>
      <c r="D3728" s="1644"/>
      <c r="E3728" s="727"/>
      <c r="F3728" s="727"/>
      <c r="G3728" s="727"/>
      <c r="H3728" s="727"/>
      <c r="I3728" s="727"/>
      <c r="J3728" s="727"/>
      <c r="K3728" s="727"/>
      <c r="L3728" s="137"/>
    </row>
    <row r="3729">
      <c r="A3729" s="1641"/>
      <c r="B3729" s="703"/>
      <c r="C3729" s="1644"/>
      <c r="D3729" s="1644"/>
      <c r="E3729" s="727"/>
      <c r="F3729" s="727"/>
      <c r="G3729" s="727"/>
      <c r="H3729" s="727"/>
      <c r="I3729" s="727"/>
      <c r="J3729" s="727"/>
      <c r="K3729" s="727"/>
      <c r="L3729" s="137"/>
    </row>
    <row r="3730">
      <c r="A3730" s="1641"/>
      <c r="B3730" s="703"/>
      <c r="C3730" s="1644"/>
      <c r="D3730" s="1644"/>
      <c r="E3730" s="727"/>
      <c r="F3730" s="727"/>
      <c r="G3730" s="727"/>
      <c r="H3730" s="727"/>
      <c r="I3730" s="727"/>
      <c r="J3730" s="727"/>
      <c r="K3730" s="727"/>
      <c r="L3730" s="137"/>
    </row>
    <row r="3731">
      <c r="A3731" s="1641"/>
      <c r="B3731" s="703"/>
      <c r="C3731" s="1644"/>
      <c r="D3731" s="1644"/>
      <c r="E3731" s="727"/>
      <c r="F3731" s="727"/>
      <c r="G3731" s="727"/>
      <c r="H3731" s="727"/>
      <c r="I3731" s="727"/>
      <c r="J3731" s="727"/>
      <c r="K3731" s="727"/>
      <c r="L3731" s="137"/>
    </row>
    <row r="3732">
      <c r="A3732" s="1641"/>
      <c r="B3732" s="703"/>
      <c r="C3732" s="1644"/>
      <c r="D3732" s="1644"/>
      <c r="E3732" s="727"/>
      <c r="F3732" s="727"/>
      <c r="G3732" s="727"/>
      <c r="H3732" s="727"/>
      <c r="I3732" s="727"/>
      <c r="J3732" s="727"/>
      <c r="K3732" s="727"/>
      <c r="L3732" s="137"/>
    </row>
    <row r="3733">
      <c r="A3733" s="1641"/>
      <c r="B3733" s="703"/>
      <c r="C3733" s="1644"/>
      <c r="D3733" s="1644"/>
      <c r="E3733" s="727"/>
      <c r="F3733" s="727"/>
      <c r="G3733" s="727"/>
      <c r="H3733" s="727"/>
      <c r="I3733" s="727"/>
      <c r="J3733" s="727"/>
      <c r="K3733" s="727"/>
      <c r="L3733" s="137"/>
    </row>
    <row r="3734">
      <c r="A3734" s="1641"/>
      <c r="B3734" s="703"/>
      <c r="C3734" s="1644"/>
      <c r="D3734" s="1644"/>
      <c r="E3734" s="727"/>
      <c r="F3734" s="727"/>
      <c r="G3734" s="727"/>
      <c r="H3734" s="727"/>
      <c r="I3734" s="727"/>
      <c r="J3734" s="727"/>
      <c r="K3734" s="727"/>
      <c r="L3734" s="137"/>
    </row>
    <row r="3735">
      <c r="A3735" s="1641"/>
      <c r="B3735" s="703"/>
      <c r="C3735" s="1644"/>
      <c r="D3735" s="1644"/>
      <c r="E3735" s="727"/>
      <c r="F3735" s="727"/>
      <c r="G3735" s="727"/>
      <c r="H3735" s="727"/>
      <c r="I3735" s="727"/>
      <c r="J3735" s="727"/>
      <c r="K3735" s="727"/>
      <c r="L3735" s="137"/>
    </row>
    <row r="3736">
      <c r="A3736" s="1641"/>
      <c r="B3736" s="703"/>
      <c r="C3736" s="1644"/>
      <c r="D3736" s="1644"/>
      <c r="E3736" s="727"/>
      <c r="F3736" s="727"/>
      <c r="G3736" s="727"/>
      <c r="H3736" s="727"/>
      <c r="I3736" s="727"/>
      <c r="J3736" s="727"/>
      <c r="K3736" s="727"/>
      <c r="L3736" s="137"/>
    </row>
    <row r="3737">
      <c r="A3737" s="1641"/>
      <c r="B3737" s="703"/>
      <c r="C3737" s="1644"/>
      <c r="D3737" s="1644"/>
      <c r="E3737" s="727"/>
      <c r="F3737" s="727"/>
      <c r="G3737" s="727"/>
      <c r="H3737" s="727"/>
      <c r="I3737" s="727"/>
      <c r="J3737" s="727"/>
      <c r="K3737" s="727"/>
      <c r="L3737" s="137"/>
    </row>
    <row r="3738">
      <c r="A3738" s="1641"/>
      <c r="B3738" s="703"/>
      <c r="C3738" s="1644"/>
      <c r="D3738" s="1644"/>
      <c r="E3738" s="727"/>
      <c r="F3738" s="727"/>
      <c r="G3738" s="727"/>
      <c r="H3738" s="727"/>
      <c r="I3738" s="727"/>
      <c r="J3738" s="727"/>
      <c r="K3738" s="727"/>
      <c r="L3738" s="137"/>
    </row>
    <row r="3739">
      <c r="A3739" s="1641"/>
      <c r="B3739" s="703"/>
      <c r="C3739" s="1644"/>
      <c r="D3739" s="1644"/>
      <c r="E3739" s="727"/>
      <c r="F3739" s="727"/>
      <c r="G3739" s="727"/>
      <c r="H3739" s="727"/>
      <c r="I3739" s="727"/>
      <c r="J3739" s="727"/>
      <c r="K3739" s="727"/>
      <c r="L3739" s="137"/>
    </row>
    <row r="3740">
      <c r="A3740" s="1641"/>
      <c r="B3740" s="703"/>
      <c r="C3740" s="1644"/>
      <c r="D3740" s="1644"/>
      <c r="E3740" s="727"/>
      <c r="F3740" s="727"/>
      <c r="G3740" s="727"/>
      <c r="H3740" s="727"/>
      <c r="I3740" s="727"/>
      <c r="J3740" s="727"/>
      <c r="K3740" s="727"/>
      <c r="L3740" s="137"/>
    </row>
    <row r="3741">
      <c r="A3741" s="1641"/>
      <c r="B3741" s="703"/>
      <c r="C3741" s="1644"/>
      <c r="D3741" s="1644"/>
      <c r="E3741" s="727"/>
      <c r="F3741" s="727"/>
      <c r="G3741" s="727"/>
      <c r="H3741" s="727"/>
      <c r="I3741" s="727"/>
      <c r="J3741" s="727"/>
      <c r="K3741" s="727"/>
      <c r="L3741" s="137"/>
    </row>
    <row r="3742">
      <c r="A3742" s="1641"/>
      <c r="B3742" s="703"/>
      <c r="C3742" s="1644"/>
      <c r="D3742" s="1644"/>
      <c r="E3742" s="727"/>
      <c r="F3742" s="727"/>
      <c r="G3742" s="727"/>
      <c r="H3742" s="727"/>
      <c r="I3742" s="727"/>
      <c r="J3742" s="727"/>
      <c r="K3742" s="727"/>
      <c r="L3742" s="137"/>
    </row>
    <row r="3743">
      <c r="A3743" s="1641"/>
      <c r="B3743" s="703"/>
      <c r="C3743" s="1644"/>
      <c r="D3743" s="1644"/>
      <c r="E3743" s="727"/>
      <c r="F3743" s="727"/>
      <c r="G3743" s="727"/>
      <c r="H3743" s="727"/>
      <c r="I3743" s="727"/>
      <c r="J3743" s="727"/>
      <c r="K3743" s="727"/>
      <c r="L3743" s="137"/>
    </row>
    <row r="3744">
      <c r="A3744" s="1641"/>
      <c r="B3744" s="703"/>
      <c r="C3744" s="1644"/>
      <c r="D3744" s="1644"/>
      <c r="E3744" s="727"/>
      <c r="F3744" s="727"/>
      <c r="G3744" s="727"/>
      <c r="H3744" s="727"/>
      <c r="I3744" s="727"/>
      <c r="J3744" s="727"/>
      <c r="K3744" s="727"/>
      <c r="L3744" s="137"/>
    </row>
    <row r="3745">
      <c r="A3745" s="1641"/>
      <c r="B3745" s="703"/>
      <c r="C3745" s="1644"/>
      <c r="D3745" s="1644"/>
      <c r="E3745" s="727"/>
      <c r="F3745" s="727"/>
      <c r="G3745" s="727"/>
      <c r="H3745" s="727"/>
      <c r="I3745" s="727"/>
      <c r="J3745" s="727"/>
      <c r="K3745" s="727"/>
      <c r="L3745" s="137"/>
    </row>
    <row r="3746">
      <c r="A3746" s="1641"/>
      <c r="B3746" s="703"/>
      <c r="C3746" s="1644"/>
      <c r="D3746" s="1644"/>
      <c r="E3746" s="727"/>
      <c r="F3746" s="727"/>
      <c r="G3746" s="727"/>
      <c r="H3746" s="727"/>
      <c r="I3746" s="727"/>
      <c r="J3746" s="727"/>
      <c r="K3746" s="727"/>
      <c r="L3746" s="137"/>
    </row>
    <row r="3747">
      <c r="A3747" s="1641"/>
      <c r="B3747" s="703"/>
      <c r="C3747" s="1644"/>
      <c r="D3747" s="1644"/>
      <c r="E3747" s="727"/>
      <c r="F3747" s="727"/>
      <c r="G3747" s="727"/>
      <c r="H3747" s="727"/>
      <c r="I3747" s="727"/>
      <c r="J3747" s="727"/>
      <c r="K3747" s="727"/>
      <c r="L3747" s="137"/>
    </row>
    <row r="3748">
      <c r="A3748" s="1641"/>
      <c r="B3748" s="703"/>
      <c r="C3748" s="1644"/>
      <c r="D3748" s="1644"/>
      <c r="E3748" s="727"/>
      <c r="F3748" s="727"/>
      <c r="G3748" s="727"/>
      <c r="H3748" s="727"/>
      <c r="I3748" s="727"/>
      <c r="J3748" s="727"/>
      <c r="K3748" s="727"/>
      <c r="L3748" s="137"/>
    </row>
    <row r="3749">
      <c r="A3749" s="1641"/>
      <c r="B3749" s="703"/>
      <c r="C3749" s="1644"/>
      <c r="D3749" s="1644"/>
      <c r="E3749" s="727"/>
      <c r="F3749" s="727"/>
      <c r="G3749" s="727"/>
      <c r="H3749" s="727"/>
      <c r="I3749" s="727"/>
      <c r="J3749" s="727"/>
      <c r="K3749" s="727"/>
      <c r="L3749" s="137"/>
    </row>
    <row r="3750">
      <c r="A3750" s="1641"/>
      <c r="B3750" s="703"/>
      <c r="C3750" s="1644"/>
      <c r="D3750" s="1644"/>
      <c r="E3750" s="727"/>
      <c r="F3750" s="727"/>
      <c r="G3750" s="727"/>
      <c r="H3750" s="727"/>
      <c r="I3750" s="727"/>
      <c r="J3750" s="727"/>
      <c r="K3750" s="727"/>
      <c r="L3750" s="137"/>
    </row>
    <row r="3751">
      <c r="A3751" s="1641"/>
      <c r="B3751" s="703"/>
      <c r="C3751" s="1644"/>
      <c r="D3751" s="1644"/>
      <c r="E3751" s="727"/>
      <c r="F3751" s="727"/>
      <c r="G3751" s="727"/>
      <c r="H3751" s="727"/>
      <c r="I3751" s="727"/>
      <c r="J3751" s="727"/>
      <c r="K3751" s="727"/>
      <c r="L3751" s="137"/>
    </row>
    <row r="3752">
      <c r="A3752" s="1641"/>
      <c r="B3752" s="703"/>
      <c r="C3752" s="1644"/>
      <c r="D3752" s="1644"/>
      <c r="E3752" s="727"/>
      <c r="F3752" s="727"/>
      <c r="G3752" s="727"/>
      <c r="H3752" s="727"/>
      <c r="I3752" s="727"/>
      <c r="J3752" s="727"/>
      <c r="K3752" s="727"/>
      <c r="L3752" s="137"/>
    </row>
    <row r="3753">
      <c r="A3753" s="1641"/>
      <c r="B3753" s="703"/>
      <c r="C3753" s="1644"/>
      <c r="D3753" s="1644"/>
      <c r="E3753" s="727"/>
      <c r="F3753" s="727"/>
      <c r="G3753" s="727"/>
      <c r="H3753" s="727"/>
      <c r="I3753" s="727"/>
      <c r="J3753" s="727"/>
      <c r="K3753" s="727"/>
      <c r="L3753" s="137"/>
    </row>
    <row r="3754">
      <c r="A3754" s="1641"/>
      <c r="B3754" s="703"/>
      <c r="C3754" s="1644"/>
      <c r="D3754" s="1644"/>
      <c r="E3754" s="727"/>
      <c r="F3754" s="727"/>
      <c r="G3754" s="727"/>
      <c r="H3754" s="727"/>
      <c r="I3754" s="727"/>
      <c r="J3754" s="727"/>
      <c r="K3754" s="727"/>
      <c r="L3754" s="137"/>
    </row>
    <row r="3755">
      <c r="A3755" s="1641"/>
      <c r="B3755" s="703"/>
      <c r="C3755" s="1644"/>
      <c r="D3755" s="1644"/>
      <c r="E3755" s="727"/>
      <c r="F3755" s="727"/>
      <c r="G3755" s="727"/>
      <c r="H3755" s="727"/>
      <c r="I3755" s="727"/>
      <c r="J3755" s="727"/>
      <c r="K3755" s="727"/>
      <c r="L3755" s="137"/>
    </row>
    <row r="3756">
      <c r="A3756" s="1641"/>
      <c r="B3756" s="703"/>
      <c r="C3756" s="1644"/>
      <c r="D3756" s="1644"/>
      <c r="E3756" s="727"/>
      <c r="F3756" s="727"/>
      <c r="G3756" s="727"/>
      <c r="H3756" s="727"/>
      <c r="I3756" s="727"/>
      <c r="J3756" s="727"/>
      <c r="K3756" s="727"/>
      <c r="L3756" s="137"/>
    </row>
    <row r="3757">
      <c r="A3757" s="1641"/>
      <c r="B3757" s="703"/>
      <c r="C3757" s="1644"/>
      <c r="D3757" s="1644"/>
      <c r="E3757" s="727"/>
      <c r="F3757" s="727"/>
      <c r="G3757" s="727"/>
      <c r="H3757" s="727"/>
      <c r="I3757" s="727"/>
      <c r="J3757" s="727"/>
      <c r="K3757" s="727"/>
      <c r="L3757" s="137"/>
    </row>
    <row r="3758">
      <c r="A3758" s="1641"/>
      <c r="B3758" s="703"/>
      <c r="C3758" s="1644"/>
      <c r="D3758" s="1644"/>
      <c r="E3758" s="727"/>
      <c r="F3758" s="727"/>
      <c r="G3758" s="727"/>
      <c r="H3758" s="727"/>
      <c r="I3758" s="727"/>
      <c r="J3758" s="727"/>
      <c r="K3758" s="727"/>
      <c r="L3758" s="137"/>
    </row>
    <row r="3759">
      <c r="A3759" s="1641"/>
      <c r="B3759" s="703"/>
      <c r="C3759" s="1644"/>
      <c r="D3759" s="1644"/>
      <c r="E3759" s="727"/>
      <c r="F3759" s="727"/>
      <c r="G3759" s="727"/>
      <c r="H3759" s="727"/>
      <c r="I3759" s="727"/>
      <c r="J3759" s="727"/>
      <c r="K3759" s="727"/>
      <c r="L3759" s="137"/>
    </row>
    <row r="3760">
      <c r="A3760" s="1641"/>
      <c r="B3760" s="703"/>
      <c r="C3760" s="1644"/>
      <c r="D3760" s="1644"/>
      <c r="E3760" s="727"/>
      <c r="F3760" s="727"/>
      <c r="G3760" s="727"/>
      <c r="H3760" s="727"/>
      <c r="I3760" s="727"/>
      <c r="J3760" s="727"/>
      <c r="K3760" s="727"/>
      <c r="L3760" s="137"/>
    </row>
    <row r="3761">
      <c r="A3761" s="1641"/>
      <c r="B3761" s="703"/>
      <c r="C3761" s="1644"/>
      <c r="D3761" s="1644"/>
      <c r="E3761" s="727"/>
      <c r="F3761" s="727"/>
      <c r="G3761" s="727"/>
      <c r="H3761" s="727"/>
      <c r="I3761" s="727"/>
      <c r="J3761" s="727"/>
      <c r="K3761" s="727"/>
      <c r="L3761" s="137"/>
    </row>
    <row r="3762">
      <c r="A3762" s="1641"/>
      <c r="B3762" s="703"/>
      <c r="C3762" s="1644"/>
      <c r="D3762" s="1644"/>
      <c r="E3762" s="727"/>
      <c r="F3762" s="727"/>
      <c r="G3762" s="727"/>
      <c r="H3762" s="727"/>
      <c r="I3762" s="727"/>
      <c r="J3762" s="727"/>
      <c r="K3762" s="727"/>
      <c r="L3762" s="137"/>
    </row>
    <row r="3763">
      <c r="A3763" s="1641"/>
      <c r="B3763" s="703"/>
      <c r="C3763" s="1644"/>
      <c r="D3763" s="1644"/>
      <c r="E3763" s="727"/>
      <c r="F3763" s="727"/>
      <c r="G3763" s="727"/>
      <c r="H3763" s="727"/>
      <c r="I3763" s="727"/>
      <c r="J3763" s="727"/>
      <c r="K3763" s="727"/>
      <c r="L3763" s="137"/>
    </row>
    <row r="3764">
      <c r="A3764" s="1641"/>
      <c r="B3764" s="703"/>
      <c r="C3764" s="1644"/>
      <c r="D3764" s="1644"/>
      <c r="E3764" s="727"/>
      <c r="F3764" s="727"/>
      <c r="G3764" s="727"/>
      <c r="H3764" s="727"/>
      <c r="I3764" s="727"/>
      <c r="J3764" s="727"/>
      <c r="K3764" s="727"/>
      <c r="L3764" s="137"/>
    </row>
    <row r="3765">
      <c r="A3765" s="1641"/>
      <c r="B3765" s="703"/>
      <c r="C3765" s="1644"/>
      <c r="D3765" s="1644"/>
      <c r="E3765" s="727"/>
      <c r="F3765" s="727"/>
      <c r="G3765" s="727"/>
      <c r="H3765" s="727"/>
      <c r="I3765" s="727"/>
      <c r="J3765" s="727"/>
      <c r="K3765" s="727"/>
      <c r="L3765" s="137"/>
    </row>
    <row r="3766">
      <c r="A3766" s="1641"/>
      <c r="B3766" s="703"/>
      <c r="C3766" s="1644"/>
      <c r="D3766" s="1644"/>
      <c r="E3766" s="727"/>
      <c r="F3766" s="727"/>
      <c r="G3766" s="727"/>
      <c r="H3766" s="727"/>
      <c r="I3766" s="727"/>
      <c r="J3766" s="727"/>
      <c r="K3766" s="727"/>
      <c r="L3766" s="137"/>
    </row>
    <row r="3767">
      <c r="A3767" s="1641"/>
      <c r="B3767" s="703"/>
      <c r="C3767" s="1644"/>
      <c r="D3767" s="1644"/>
      <c r="E3767" s="727"/>
      <c r="F3767" s="727"/>
      <c r="G3767" s="727"/>
      <c r="H3767" s="727"/>
      <c r="I3767" s="727"/>
      <c r="J3767" s="727"/>
      <c r="K3767" s="727"/>
      <c r="L3767" s="137"/>
    </row>
    <row r="3768">
      <c r="A3768" s="1641"/>
      <c r="B3768" s="703"/>
      <c r="C3768" s="1644"/>
      <c r="D3768" s="1644"/>
      <c r="E3768" s="727"/>
      <c r="F3768" s="727"/>
      <c r="G3768" s="727"/>
      <c r="H3768" s="727"/>
      <c r="I3768" s="727"/>
      <c r="J3768" s="727"/>
      <c r="K3768" s="727"/>
      <c r="L3768" s="137"/>
    </row>
    <row r="3769">
      <c r="A3769" s="1641"/>
      <c r="B3769" s="703"/>
      <c r="C3769" s="1644"/>
      <c r="D3769" s="1644"/>
      <c r="E3769" s="727"/>
      <c r="F3769" s="727"/>
      <c r="G3769" s="727"/>
      <c r="H3769" s="727"/>
      <c r="I3769" s="727"/>
      <c r="J3769" s="727"/>
      <c r="K3769" s="727"/>
      <c r="L3769" s="137"/>
    </row>
    <row r="3770">
      <c r="A3770" s="1641"/>
      <c r="B3770" s="703"/>
      <c r="C3770" s="1644"/>
      <c r="D3770" s="1644"/>
      <c r="E3770" s="727"/>
      <c r="F3770" s="727"/>
      <c r="G3770" s="727"/>
      <c r="H3770" s="727"/>
      <c r="I3770" s="727"/>
      <c r="J3770" s="727"/>
      <c r="K3770" s="727"/>
      <c r="L3770" s="137"/>
    </row>
    <row r="3771">
      <c r="A3771" s="1641"/>
      <c r="B3771" s="703"/>
      <c r="C3771" s="1644"/>
      <c r="D3771" s="1644"/>
      <c r="E3771" s="727"/>
      <c r="F3771" s="727"/>
      <c r="G3771" s="727"/>
      <c r="H3771" s="727"/>
      <c r="I3771" s="727"/>
      <c r="J3771" s="727"/>
      <c r="K3771" s="727"/>
      <c r="L3771" s="137"/>
    </row>
    <row r="3772">
      <c r="A3772" s="1641"/>
      <c r="B3772" s="703"/>
      <c r="C3772" s="1644"/>
      <c r="D3772" s="1644"/>
      <c r="E3772" s="727"/>
      <c r="F3772" s="727"/>
      <c r="G3772" s="727"/>
      <c r="H3772" s="727"/>
      <c r="I3772" s="727"/>
      <c r="J3772" s="727"/>
      <c r="K3772" s="727"/>
      <c r="L3772" s="137"/>
    </row>
    <row r="3773">
      <c r="A3773" s="1641"/>
      <c r="B3773" s="703"/>
      <c r="C3773" s="1644"/>
      <c r="D3773" s="1644"/>
      <c r="E3773" s="727"/>
      <c r="F3773" s="727"/>
      <c r="G3773" s="727"/>
      <c r="H3773" s="727"/>
      <c r="I3773" s="727"/>
      <c r="J3773" s="727"/>
      <c r="K3773" s="727"/>
      <c r="L3773" s="137"/>
    </row>
    <row r="3774">
      <c r="A3774" s="1641"/>
      <c r="B3774" s="703"/>
      <c r="C3774" s="1644"/>
      <c r="D3774" s="1644"/>
      <c r="E3774" s="727"/>
      <c r="F3774" s="727"/>
      <c r="G3774" s="727"/>
      <c r="H3774" s="727"/>
      <c r="I3774" s="727"/>
      <c r="J3774" s="727"/>
      <c r="K3774" s="727"/>
      <c r="L3774" s="137"/>
    </row>
    <row r="3775">
      <c r="A3775" s="1641"/>
      <c r="B3775" s="703"/>
      <c r="C3775" s="1644"/>
      <c r="D3775" s="1644"/>
      <c r="E3775" s="727"/>
      <c r="F3775" s="727"/>
      <c r="G3775" s="727"/>
      <c r="H3775" s="727"/>
      <c r="I3775" s="727"/>
      <c r="J3775" s="727"/>
      <c r="K3775" s="727"/>
      <c r="L3775" s="137"/>
    </row>
    <row r="3776">
      <c r="A3776" s="1641"/>
      <c r="B3776" s="703"/>
      <c r="C3776" s="1644"/>
      <c r="D3776" s="1644"/>
      <c r="E3776" s="727"/>
      <c r="F3776" s="727"/>
      <c r="G3776" s="727"/>
      <c r="H3776" s="727"/>
      <c r="I3776" s="727"/>
      <c r="J3776" s="727"/>
      <c r="K3776" s="727"/>
      <c r="L3776" s="137"/>
    </row>
    <row r="3777">
      <c r="A3777" s="1641"/>
      <c r="B3777" s="703"/>
      <c r="C3777" s="1644"/>
      <c r="D3777" s="1644"/>
      <c r="E3777" s="727"/>
      <c r="F3777" s="727"/>
      <c r="G3777" s="727"/>
      <c r="H3777" s="727"/>
      <c r="I3777" s="727"/>
      <c r="J3777" s="727"/>
      <c r="K3777" s="727"/>
      <c r="L3777" s="137"/>
    </row>
    <row r="3778">
      <c r="A3778" s="1641"/>
      <c r="B3778" s="703"/>
      <c r="C3778" s="1644"/>
      <c r="D3778" s="1644"/>
      <c r="E3778" s="727"/>
      <c r="F3778" s="727"/>
      <c r="G3778" s="727"/>
      <c r="H3778" s="727"/>
      <c r="I3778" s="727"/>
      <c r="J3778" s="727"/>
      <c r="K3778" s="727"/>
      <c r="L3778" s="137"/>
    </row>
    <row r="3779">
      <c r="A3779" s="1641"/>
      <c r="B3779" s="703"/>
      <c r="C3779" s="1644"/>
      <c r="D3779" s="1644"/>
      <c r="E3779" s="727"/>
      <c r="F3779" s="727"/>
      <c r="G3779" s="727"/>
      <c r="H3779" s="727"/>
      <c r="I3779" s="727"/>
      <c r="J3779" s="727"/>
      <c r="K3779" s="727"/>
      <c r="L3779" s="137"/>
    </row>
    <row r="3780">
      <c r="A3780" s="1641"/>
      <c r="B3780" s="703"/>
      <c r="C3780" s="1644"/>
      <c r="D3780" s="1644"/>
      <c r="E3780" s="727"/>
      <c r="F3780" s="727"/>
      <c r="G3780" s="727"/>
      <c r="H3780" s="727"/>
      <c r="I3780" s="727"/>
      <c r="J3780" s="727"/>
      <c r="K3780" s="727"/>
      <c r="L3780" s="137"/>
    </row>
    <row r="3781">
      <c r="A3781" s="1641"/>
      <c r="B3781" s="703"/>
      <c r="C3781" s="1644"/>
      <c r="D3781" s="1644"/>
      <c r="E3781" s="727"/>
      <c r="F3781" s="727"/>
      <c r="G3781" s="727"/>
      <c r="H3781" s="727"/>
      <c r="I3781" s="727"/>
      <c r="J3781" s="727"/>
      <c r="K3781" s="727"/>
      <c r="L3781" s="137"/>
    </row>
    <row r="3782">
      <c r="A3782" s="1641"/>
      <c r="B3782" s="703"/>
      <c r="C3782" s="1644"/>
      <c r="D3782" s="1644"/>
      <c r="E3782" s="727"/>
      <c r="F3782" s="727"/>
      <c r="G3782" s="727"/>
      <c r="H3782" s="727"/>
      <c r="I3782" s="727"/>
      <c r="J3782" s="727"/>
      <c r="K3782" s="727"/>
      <c r="L3782" s="137"/>
    </row>
    <row r="3783">
      <c r="A3783" s="1641"/>
      <c r="B3783" s="703"/>
      <c r="C3783" s="1644"/>
      <c r="D3783" s="1644"/>
      <c r="E3783" s="727"/>
      <c r="F3783" s="727"/>
      <c r="G3783" s="727"/>
      <c r="H3783" s="727"/>
      <c r="I3783" s="727"/>
      <c r="J3783" s="727"/>
      <c r="K3783" s="727"/>
      <c r="L3783" s="137"/>
    </row>
    <row r="3784">
      <c r="A3784" s="1641"/>
      <c r="B3784" s="703"/>
      <c r="C3784" s="1644"/>
      <c r="D3784" s="1644"/>
      <c r="E3784" s="727"/>
      <c r="F3784" s="727"/>
      <c r="G3784" s="727"/>
      <c r="H3784" s="727"/>
      <c r="I3784" s="727"/>
      <c r="J3784" s="727"/>
      <c r="K3784" s="727"/>
      <c r="L3784" s="137"/>
    </row>
    <row r="3785">
      <c r="A3785" s="1641"/>
      <c r="B3785" s="703"/>
      <c r="C3785" s="1644"/>
      <c r="D3785" s="1644"/>
      <c r="E3785" s="727"/>
      <c r="F3785" s="727"/>
      <c r="G3785" s="727"/>
      <c r="H3785" s="727"/>
      <c r="I3785" s="727"/>
      <c r="J3785" s="727"/>
      <c r="K3785" s="727"/>
      <c r="L3785" s="137"/>
    </row>
    <row r="3786">
      <c r="A3786" s="1641"/>
      <c r="B3786" s="703"/>
      <c r="C3786" s="1644"/>
      <c r="D3786" s="1644"/>
      <c r="E3786" s="727"/>
      <c r="F3786" s="727"/>
      <c r="G3786" s="727"/>
      <c r="H3786" s="727"/>
      <c r="I3786" s="727"/>
      <c r="J3786" s="727"/>
      <c r="K3786" s="727"/>
      <c r="L3786" s="137"/>
    </row>
    <row r="3787">
      <c r="A3787" s="1641"/>
      <c r="B3787" s="703"/>
      <c r="C3787" s="1644"/>
      <c r="D3787" s="1644"/>
      <c r="E3787" s="727"/>
      <c r="F3787" s="727"/>
      <c r="G3787" s="727"/>
      <c r="H3787" s="727"/>
      <c r="I3787" s="727"/>
      <c r="J3787" s="727"/>
      <c r="K3787" s="727"/>
      <c r="L3787" s="137"/>
    </row>
    <row r="3788">
      <c r="A3788" s="1641"/>
      <c r="B3788" s="703"/>
      <c r="C3788" s="1644"/>
      <c r="D3788" s="1644"/>
      <c r="E3788" s="727"/>
      <c r="F3788" s="727"/>
      <c r="G3788" s="727"/>
      <c r="H3788" s="727"/>
      <c r="I3788" s="727"/>
      <c r="J3788" s="727"/>
      <c r="K3788" s="727"/>
      <c r="L3788" s="137"/>
    </row>
    <row r="3789">
      <c r="A3789" s="1641"/>
      <c r="B3789" s="703"/>
      <c r="C3789" s="1644"/>
      <c r="D3789" s="1644"/>
      <c r="E3789" s="727"/>
      <c r="F3789" s="727"/>
      <c r="G3789" s="727"/>
      <c r="H3789" s="727"/>
      <c r="I3789" s="727"/>
      <c r="J3789" s="727"/>
      <c r="K3789" s="727"/>
      <c r="L3789" s="137"/>
    </row>
    <row r="3790">
      <c r="A3790" s="1641"/>
      <c r="B3790" s="703"/>
      <c r="C3790" s="1644"/>
      <c r="D3790" s="1644"/>
      <c r="E3790" s="727"/>
      <c r="F3790" s="727"/>
      <c r="G3790" s="727"/>
      <c r="H3790" s="727"/>
      <c r="I3790" s="727"/>
      <c r="J3790" s="727"/>
      <c r="K3790" s="727"/>
      <c r="L3790" s="137"/>
    </row>
    <row r="3791">
      <c r="A3791" s="1641"/>
      <c r="B3791" s="703"/>
      <c r="C3791" s="1644"/>
      <c r="D3791" s="1644"/>
      <c r="E3791" s="727"/>
      <c r="F3791" s="727"/>
      <c r="G3791" s="727"/>
      <c r="H3791" s="727"/>
      <c r="I3791" s="727"/>
      <c r="J3791" s="727"/>
      <c r="K3791" s="727"/>
      <c r="L3791" s="137"/>
    </row>
    <row r="3792">
      <c r="A3792" s="1641"/>
      <c r="B3792" s="703"/>
      <c r="C3792" s="1644"/>
      <c r="D3792" s="1644"/>
      <c r="E3792" s="727"/>
      <c r="F3792" s="727"/>
      <c r="G3792" s="727"/>
      <c r="H3792" s="727"/>
      <c r="I3792" s="727"/>
      <c r="J3792" s="727"/>
      <c r="K3792" s="727"/>
      <c r="L3792" s="137"/>
    </row>
    <row r="3793">
      <c r="A3793" s="1641"/>
      <c r="B3793" s="703"/>
      <c r="C3793" s="1644"/>
      <c r="D3793" s="1644"/>
      <c r="E3793" s="727"/>
      <c r="F3793" s="727"/>
      <c r="G3793" s="727"/>
      <c r="H3793" s="727"/>
      <c r="I3793" s="727"/>
      <c r="J3793" s="727"/>
      <c r="K3793" s="727"/>
      <c r="L3793" s="137"/>
    </row>
    <row r="3794">
      <c r="A3794" s="1641"/>
      <c r="B3794" s="703"/>
      <c r="C3794" s="1644"/>
      <c r="D3794" s="1644"/>
      <c r="E3794" s="727"/>
      <c r="F3794" s="727"/>
      <c r="G3794" s="727"/>
      <c r="H3794" s="727"/>
      <c r="I3794" s="727"/>
      <c r="J3794" s="727"/>
      <c r="K3794" s="727"/>
      <c r="L3794" s="137"/>
    </row>
    <row r="3795">
      <c r="A3795" s="1641"/>
      <c r="B3795" s="703"/>
      <c r="C3795" s="1644"/>
      <c r="D3795" s="1644"/>
      <c r="E3795" s="727"/>
      <c r="F3795" s="727"/>
      <c r="G3795" s="727"/>
      <c r="H3795" s="727"/>
      <c r="I3795" s="727"/>
      <c r="J3795" s="727"/>
      <c r="K3795" s="727"/>
      <c r="L3795" s="137"/>
    </row>
    <row r="3796">
      <c r="A3796" s="1641"/>
      <c r="B3796" s="703"/>
      <c r="C3796" s="1644"/>
      <c r="D3796" s="1644"/>
      <c r="E3796" s="727"/>
      <c r="F3796" s="727"/>
      <c r="G3796" s="727"/>
      <c r="H3796" s="727"/>
      <c r="I3796" s="727"/>
      <c r="J3796" s="727"/>
      <c r="K3796" s="727"/>
      <c r="L3796" s="137"/>
    </row>
    <row r="3797">
      <c r="A3797" s="1641"/>
      <c r="B3797" s="703"/>
      <c r="C3797" s="1644"/>
      <c r="D3797" s="1644"/>
      <c r="E3797" s="727"/>
      <c r="F3797" s="727"/>
      <c r="G3797" s="727"/>
      <c r="H3797" s="727"/>
      <c r="I3797" s="727"/>
      <c r="J3797" s="727"/>
      <c r="K3797" s="727"/>
      <c r="L3797" s="137"/>
    </row>
    <row r="3798">
      <c r="A3798" s="1641"/>
      <c r="B3798" s="703"/>
      <c r="C3798" s="1644"/>
      <c r="D3798" s="1644"/>
      <c r="E3798" s="727"/>
      <c r="F3798" s="727"/>
      <c r="G3798" s="727"/>
      <c r="H3798" s="727"/>
      <c r="I3798" s="727"/>
      <c r="J3798" s="727"/>
      <c r="K3798" s="727"/>
      <c r="L3798" s="137"/>
    </row>
    <row r="3799">
      <c r="A3799" s="1641"/>
      <c r="B3799" s="703"/>
      <c r="C3799" s="1644"/>
      <c r="D3799" s="1644"/>
      <c r="E3799" s="727"/>
      <c r="F3799" s="727"/>
      <c r="G3799" s="727"/>
      <c r="H3799" s="727"/>
      <c r="I3799" s="727"/>
      <c r="J3799" s="727"/>
      <c r="K3799" s="727"/>
      <c r="L3799" s="137"/>
    </row>
    <row r="3800">
      <c r="A3800" s="1641"/>
      <c r="B3800" s="703"/>
      <c r="C3800" s="1644"/>
      <c r="D3800" s="1644"/>
      <c r="E3800" s="727"/>
      <c r="F3800" s="727"/>
      <c r="G3800" s="727"/>
      <c r="H3800" s="727"/>
      <c r="I3800" s="727"/>
      <c r="J3800" s="727"/>
      <c r="K3800" s="727"/>
      <c r="L3800" s="137"/>
    </row>
    <row r="3801">
      <c r="A3801" s="1641"/>
      <c r="B3801" s="703"/>
      <c r="C3801" s="1644"/>
      <c r="D3801" s="1644"/>
      <c r="E3801" s="727"/>
      <c r="F3801" s="727"/>
      <c r="G3801" s="727"/>
      <c r="H3801" s="727"/>
      <c r="I3801" s="727"/>
      <c r="J3801" s="727"/>
      <c r="K3801" s="727"/>
      <c r="L3801" s="137"/>
    </row>
    <row r="3802">
      <c r="A3802" s="1641"/>
      <c r="B3802" s="703"/>
      <c r="C3802" s="1644"/>
      <c r="D3802" s="1644"/>
      <c r="E3802" s="727"/>
      <c r="F3802" s="727"/>
      <c r="G3802" s="727"/>
      <c r="H3802" s="727"/>
      <c r="I3802" s="727"/>
      <c r="J3802" s="727"/>
      <c r="K3802" s="727"/>
      <c r="L3802" s="137"/>
    </row>
    <row r="3803">
      <c r="A3803" s="1641"/>
      <c r="B3803" s="703"/>
      <c r="C3803" s="1644"/>
      <c r="D3803" s="1644"/>
      <c r="E3803" s="727"/>
      <c r="F3803" s="727"/>
      <c r="G3803" s="727"/>
      <c r="H3803" s="727"/>
      <c r="I3803" s="727"/>
      <c r="J3803" s="727"/>
      <c r="K3803" s="727"/>
      <c r="L3803" s="137"/>
    </row>
    <row r="3804">
      <c r="A3804" s="1641"/>
      <c r="B3804" s="703"/>
      <c r="C3804" s="1644"/>
      <c r="D3804" s="1644"/>
      <c r="E3804" s="727"/>
      <c r="F3804" s="727"/>
      <c r="G3804" s="727"/>
      <c r="H3804" s="727"/>
      <c r="I3804" s="727"/>
      <c r="J3804" s="727"/>
      <c r="K3804" s="727"/>
      <c r="L3804" s="137"/>
    </row>
    <row r="3805">
      <c r="A3805" s="1641"/>
      <c r="B3805" s="703"/>
      <c r="C3805" s="1644"/>
      <c r="D3805" s="1644"/>
      <c r="E3805" s="727"/>
      <c r="F3805" s="727"/>
      <c r="G3805" s="727"/>
      <c r="H3805" s="727"/>
      <c r="I3805" s="727"/>
      <c r="J3805" s="727"/>
      <c r="K3805" s="727"/>
      <c r="L3805" s="137"/>
    </row>
    <row r="3806">
      <c r="A3806" s="1641"/>
      <c r="B3806" s="703"/>
      <c r="C3806" s="1644"/>
      <c r="D3806" s="1644"/>
      <c r="E3806" s="727"/>
      <c r="F3806" s="727"/>
      <c r="G3806" s="727"/>
      <c r="H3806" s="727"/>
      <c r="I3806" s="727"/>
      <c r="J3806" s="727"/>
      <c r="K3806" s="727"/>
      <c r="L3806" s="137"/>
    </row>
    <row r="3807">
      <c r="A3807" s="1641"/>
      <c r="B3807" s="703"/>
      <c r="C3807" s="1644"/>
      <c r="D3807" s="1644"/>
      <c r="E3807" s="727"/>
      <c r="F3807" s="727"/>
      <c r="G3807" s="727"/>
      <c r="H3807" s="727"/>
      <c r="I3807" s="727"/>
      <c r="J3807" s="727"/>
      <c r="K3807" s="727"/>
      <c r="L3807" s="137"/>
    </row>
    <row r="3808">
      <c r="A3808" s="1641"/>
      <c r="B3808" s="703"/>
      <c r="C3808" s="1644"/>
      <c r="D3808" s="1644"/>
      <c r="E3808" s="727"/>
      <c r="F3808" s="727"/>
      <c r="G3808" s="727"/>
      <c r="H3808" s="727"/>
      <c r="I3808" s="727"/>
      <c r="J3808" s="727"/>
      <c r="K3808" s="727"/>
      <c r="L3808" s="137"/>
    </row>
    <row r="3809">
      <c r="A3809" s="1641"/>
      <c r="B3809" s="703"/>
      <c r="C3809" s="1644"/>
      <c r="D3809" s="1644"/>
      <c r="E3809" s="727"/>
      <c r="F3809" s="727"/>
      <c r="G3809" s="727"/>
      <c r="H3809" s="727"/>
      <c r="I3809" s="727"/>
      <c r="J3809" s="727"/>
      <c r="K3809" s="727"/>
      <c r="L3809" s="137"/>
    </row>
    <row r="3810">
      <c r="A3810" s="1641"/>
      <c r="B3810" s="703"/>
      <c r="C3810" s="1644"/>
      <c r="D3810" s="1644"/>
      <c r="E3810" s="727"/>
      <c r="F3810" s="727"/>
      <c r="G3810" s="727"/>
      <c r="H3810" s="727"/>
      <c r="I3810" s="727"/>
      <c r="J3810" s="727"/>
      <c r="K3810" s="727"/>
      <c r="L3810" s="137"/>
    </row>
    <row r="3811">
      <c r="A3811" s="1641"/>
      <c r="B3811" s="703"/>
      <c r="C3811" s="1644"/>
      <c r="D3811" s="1644"/>
      <c r="E3811" s="727"/>
      <c r="F3811" s="727"/>
      <c r="G3811" s="727"/>
      <c r="H3811" s="727"/>
      <c r="I3811" s="727"/>
      <c r="J3811" s="727"/>
      <c r="K3811" s="727"/>
      <c r="L3811" s="137"/>
    </row>
    <row r="3812">
      <c r="A3812" s="1641"/>
      <c r="B3812" s="703"/>
      <c r="C3812" s="1644"/>
      <c r="D3812" s="1644"/>
      <c r="E3812" s="727"/>
      <c r="F3812" s="727"/>
      <c r="G3812" s="727"/>
      <c r="H3812" s="727"/>
      <c r="I3812" s="727"/>
      <c r="J3812" s="727"/>
      <c r="K3812" s="727"/>
      <c r="L3812" s="137"/>
    </row>
    <row r="3813">
      <c r="A3813" s="1641"/>
      <c r="B3813" s="703"/>
      <c r="C3813" s="1644"/>
      <c r="D3813" s="1644"/>
      <c r="E3813" s="727"/>
      <c r="F3813" s="727"/>
      <c r="G3813" s="727"/>
      <c r="H3813" s="727"/>
      <c r="I3813" s="727"/>
      <c r="J3813" s="727"/>
      <c r="K3813" s="727"/>
      <c r="L3813" s="137"/>
    </row>
    <row r="3814">
      <c r="A3814" s="1641"/>
      <c r="B3814" s="703"/>
      <c r="C3814" s="1644"/>
      <c r="D3814" s="1644"/>
      <c r="E3814" s="727"/>
      <c r="F3814" s="727"/>
      <c r="G3814" s="727"/>
      <c r="H3814" s="727"/>
      <c r="I3814" s="727"/>
      <c r="J3814" s="727"/>
      <c r="K3814" s="727"/>
      <c r="L3814" s="137"/>
    </row>
    <row r="3815">
      <c r="A3815" s="1641"/>
      <c r="B3815" s="703"/>
      <c r="C3815" s="1644"/>
      <c r="D3815" s="1644"/>
      <c r="E3815" s="727"/>
      <c r="F3815" s="727"/>
      <c r="G3815" s="727"/>
      <c r="H3815" s="727"/>
      <c r="I3815" s="727"/>
      <c r="J3815" s="727"/>
      <c r="K3815" s="727"/>
      <c r="L3815" s="137"/>
    </row>
    <row r="3816">
      <c r="A3816" s="1641"/>
      <c r="B3816" s="703"/>
      <c r="C3816" s="1644"/>
      <c r="D3816" s="1644"/>
      <c r="E3816" s="727"/>
      <c r="F3816" s="727"/>
      <c r="G3816" s="727"/>
      <c r="H3816" s="727"/>
      <c r="I3816" s="727"/>
      <c r="J3816" s="727"/>
      <c r="K3816" s="727"/>
      <c r="L3816" s="137"/>
    </row>
    <row r="3817">
      <c r="A3817" s="1641"/>
      <c r="B3817" s="703"/>
      <c r="C3817" s="1644"/>
      <c r="D3817" s="1644"/>
      <c r="E3817" s="727"/>
      <c r="F3817" s="727"/>
      <c r="G3817" s="727"/>
      <c r="H3817" s="727"/>
      <c r="I3817" s="727"/>
      <c r="J3817" s="727"/>
      <c r="K3817" s="727"/>
      <c r="L3817" s="137"/>
    </row>
    <row r="3818">
      <c r="A3818" s="1641"/>
      <c r="B3818" s="703"/>
      <c r="C3818" s="1644"/>
      <c r="D3818" s="1644"/>
      <c r="E3818" s="727"/>
      <c r="F3818" s="727"/>
      <c r="G3818" s="727"/>
      <c r="H3818" s="727"/>
      <c r="I3818" s="727"/>
      <c r="J3818" s="727"/>
      <c r="K3818" s="727"/>
      <c r="L3818" s="137"/>
    </row>
    <row r="3819">
      <c r="A3819" s="1641"/>
      <c r="B3819" s="703"/>
      <c r="C3819" s="1644"/>
      <c r="D3819" s="1644"/>
      <c r="E3819" s="727"/>
      <c r="F3819" s="727"/>
      <c r="G3819" s="727"/>
      <c r="H3819" s="727"/>
      <c r="I3819" s="727"/>
      <c r="J3819" s="727"/>
      <c r="K3819" s="727"/>
      <c r="L3819" s="137"/>
    </row>
    <row r="3820">
      <c r="A3820" s="1641"/>
      <c r="B3820" s="703"/>
      <c r="C3820" s="1644"/>
      <c r="D3820" s="1644"/>
      <c r="E3820" s="727"/>
      <c r="F3820" s="727"/>
      <c r="G3820" s="727"/>
      <c r="H3820" s="727"/>
      <c r="I3820" s="727"/>
      <c r="J3820" s="727"/>
      <c r="K3820" s="727"/>
      <c r="L3820" s="137"/>
    </row>
    <row r="3821">
      <c r="A3821" s="1641"/>
      <c r="B3821" s="703"/>
      <c r="C3821" s="1644"/>
      <c r="D3821" s="1644"/>
      <c r="E3821" s="727"/>
      <c r="F3821" s="727"/>
      <c r="G3821" s="727"/>
      <c r="H3821" s="727"/>
      <c r="I3821" s="727"/>
      <c r="J3821" s="727"/>
      <c r="K3821" s="727"/>
      <c r="L3821" s="137"/>
    </row>
    <row r="3822">
      <c r="A3822" s="1641"/>
      <c r="B3822" s="703"/>
      <c r="C3822" s="1644"/>
      <c r="D3822" s="1644"/>
      <c r="E3822" s="727"/>
      <c r="F3822" s="727"/>
      <c r="G3822" s="727"/>
      <c r="H3822" s="727"/>
      <c r="I3822" s="727"/>
      <c r="J3822" s="727"/>
      <c r="K3822" s="727"/>
      <c r="L3822" s="137"/>
    </row>
    <row r="3823">
      <c r="A3823" s="1641"/>
      <c r="B3823" s="703"/>
      <c r="C3823" s="1644"/>
      <c r="D3823" s="1644"/>
      <c r="E3823" s="727"/>
      <c r="F3823" s="727"/>
      <c r="G3823" s="727"/>
      <c r="H3823" s="727"/>
      <c r="I3823" s="727"/>
      <c r="J3823" s="727"/>
      <c r="K3823" s="727"/>
      <c r="L3823" s="137"/>
    </row>
    <row r="3824">
      <c r="A3824" s="1641"/>
      <c r="B3824" s="703"/>
      <c r="C3824" s="1644"/>
      <c r="D3824" s="1644"/>
      <c r="E3824" s="727"/>
      <c r="F3824" s="727"/>
      <c r="G3824" s="727"/>
      <c r="H3824" s="727"/>
      <c r="I3824" s="727"/>
      <c r="J3824" s="727"/>
      <c r="K3824" s="727"/>
      <c r="L3824" s="137"/>
    </row>
    <row r="3825">
      <c r="A3825" s="1641"/>
      <c r="B3825" s="703"/>
      <c r="C3825" s="1644"/>
      <c r="D3825" s="1644"/>
      <c r="E3825" s="727"/>
      <c r="F3825" s="727"/>
      <c r="G3825" s="727"/>
      <c r="H3825" s="727"/>
      <c r="I3825" s="727"/>
      <c r="J3825" s="727"/>
      <c r="K3825" s="727"/>
      <c r="L3825" s="137"/>
    </row>
    <row r="3826">
      <c r="A3826" s="1641"/>
      <c r="B3826" s="703"/>
      <c r="C3826" s="1644"/>
      <c r="D3826" s="1644"/>
      <c r="E3826" s="727"/>
      <c r="F3826" s="727"/>
      <c r="G3826" s="727"/>
      <c r="H3826" s="727"/>
      <c r="I3826" s="727"/>
      <c r="J3826" s="727"/>
      <c r="K3826" s="727"/>
      <c r="L3826" s="137"/>
    </row>
    <row r="3827">
      <c r="A3827" s="1641"/>
      <c r="B3827" s="703"/>
      <c r="C3827" s="1644"/>
      <c r="D3827" s="1644"/>
      <c r="E3827" s="727"/>
      <c r="F3827" s="727"/>
      <c r="G3827" s="727"/>
      <c r="H3827" s="727"/>
      <c r="I3827" s="727"/>
      <c r="J3827" s="727"/>
      <c r="K3827" s="727"/>
      <c r="L3827" s="137"/>
    </row>
    <row r="3828">
      <c r="A3828" s="1641"/>
      <c r="B3828" s="703"/>
      <c r="C3828" s="1644"/>
      <c r="D3828" s="1644"/>
      <c r="E3828" s="727"/>
      <c r="F3828" s="727"/>
      <c r="G3828" s="727"/>
      <c r="H3828" s="727"/>
      <c r="I3828" s="727"/>
      <c r="J3828" s="727"/>
      <c r="K3828" s="727"/>
      <c r="L3828" s="137"/>
    </row>
    <row r="3829">
      <c r="A3829" s="1641"/>
      <c r="B3829" s="703"/>
      <c r="C3829" s="1644"/>
      <c r="D3829" s="1644"/>
      <c r="E3829" s="727"/>
      <c r="F3829" s="727"/>
      <c r="G3829" s="727"/>
      <c r="H3829" s="727"/>
      <c r="I3829" s="727"/>
      <c r="J3829" s="727"/>
      <c r="K3829" s="727"/>
      <c r="L3829" s="137"/>
    </row>
    <row r="3830">
      <c r="A3830" s="1641"/>
      <c r="B3830" s="703"/>
      <c r="C3830" s="1644"/>
      <c r="D3830" s="1644"/>
      <c r="E3830" s="727"/>
      <c r="F3830" s="727"/>
      <c r="G3830" s="727"/>
      <c r="H3830" s="727"/>
      <c r="I3830" s="727"/>
      <c r="J3830" s="727"/>
      <c r="K3830" s="727"/>
      <c r="L3830" s="137"/>
    </row>
    <row r="3831">
      <c r="A3831" s="1641"/>
      <c r="B3831" s="703"/>
      <c r="C3831" s="1644"/>
      <c r="D3831" s="1644"/>
      <c r="E3831" s="727"/>
      <c r="F3831" s="727"/>
      <c r="G3831" s="727"/>
      <c r="H3831" s="727"/>
      <c r="I3831" s="727"/>
      <c r="J3831" s="727"/>
      <c r="K3831" s="727"/>
      <c r="L3831" s="137"/>
    </row>
    <row r="3832">
      <c r="A3832" s="1641"/>
      <c r="B3832" s="703"/>
      <c r="C3832" s="1644"/>
      <c r="D3832" s="1644"/>
      <c r="E3832" s="727"/>
      <c r="F3832" s="727"/>
      <c r="G3832" s="727"/>
      <c r="H3832" s="727"/>
      <c r="I3832" s="727"/>
      <c r="J3832" s="727"/>
      <c r="K3832" s="727"/>
      <c r="L3832" s="137"/>
    </row>
    <row r="3833">
      <c r="A3833" s="1641"/>
      <c r="B3833" s="703"/>
      <c r="C3833" s="1644"/>
      <c r="D3833" s="1644"/>
      <c r="E3833" s="727"/>
      <c r="F3833" s="727"/>
      <c r="G3833" s="727"/>
      <c r="H3833" s="727"/>
      <c r="I3833" s="727"/>
      <c r="J3833" s="727"/>
      <c r="K3833" s="727"/>
      <c r="L3833" s="137"/>
    </row>
    <row r="3834">
      <c r="A3834" s="1641"/>
      <c r="B3834" s="703"/>
      <c r="C3834" s="1644"/>
      <c r="D3834" s="1644"/>
      <c r="E3834" s="727"/>
      <c r="F3834" s="727"/>
      <c r="G3834" s="727"/>
      <c r="H3834" s="727"/>
      <c r="I3834" s="727"/>
      <c r="J3834" s="727"/>
      <c r="K3834" s="727"/>
      <c r="L3834" s="137"/>
    </row>
    <row r="3835">
      <c r="A3835" s="1641"/>
      <c r="B3835" s="703"/>
      <c r="C3835" s="1644"/>
      <c r="D3835" s="1644"/>
      <c r="E3835" s="727"/>
      <c r="F3835" s="727"/>
      <c r="G3835" s="727"/>
      <c r="H3835" s="727"/>
      <c r="I3835" s="727"/>
      <c r="J3835" s="727"/>
      <c r="K3835" s="727"/>
      <c r="L3835" s="137"/>
    </row>
    <row r="3836">
      <c r="A3836" s="1641"/>
      <c r="B3836" s="703"/>
      <c r="C3836" s="1644"/>
      <c r="D3836" s="1644"/>
      <c r="E3836" s="727"/>
      <c r="F3836" s="727"/>
      <c r="G3836" s="727"/>
      <c r="H3836" s="727"/>
      <c r="I3836" s="727"/>
      <c r="J3836" s="727"/>
      <c r="K3836" s="727"/>
      <c r="L3836" s="137"/>
    </row>
    <row r="3837">
      <c r="A3837" s="1641"/>
      <c r="B3837" s="703"/>
      <c r="C3837" s="1644"/>
      <c r="D3837" s="1644"/>
      <c r="E3837" s="727"/>
      <c r="F3837" s="727"/>
      <c r="G3837" s="727"/>
      <c r="H3837" s="727"/>
      <c r="I3837" s="727"/>
      <c r="J3837" s="727"/>
      <c r="K3837" s="727"/>
      <c r="L3837" s="137"/>
    </row>
    <row r="3838">
      <c r="A3838" s="1641"/>
      <c r="B3838" s="703"/>
      <c r="C3838" s="1644"/>
      <c r="D3838" s="1644"/>
      <c r="E3838" s="727"/>
      <c r="F3838" s="727"/>
      <c r="G3838" s="727"/>
      <c r="H3838" s="727"/>
      <c r="I3838" s="727"/>
      <c r="J3838" s="727"/>
      <c r="K3838" s="727"/>
      <c r="L3838" s="137"/>
    </row>
    <row r="3839">
      <c r="A3839" s="1641"/>
      <c r="B3839" s="703"/>
      <c r="C3839" s="1644"/>
      <c r="D3839" s="1644"/>
      <c r="E3839" s="727"/>
      <c r="F3839" s="727"/>
      <c r="G3839" s="727"/>
      <c r="H3839" s="727"/>
      <c r="I3839" s="727"/>
      <c r="J3839" s="727"/>
      <c r="K3839" s="727"/>
      <c r="L3839" s="137"/>
    </row>
    <row r="3840">
      <c r="A3840" s="1641"/>
      <c r="B3840" s="703"/>
      <c r="C3840" s="1644"/>
      <c r="D3840" s="1644"/>
      <c r="E3840" s="727"/>
      <c r="F3840" s="727"/>
      <c r="G3840" s="727"/>
      <c r="H3840" s="727"/>
      <c r="I3840" s="727"/>
      <c r="J3840" s="727"/>
      <c r="K3840" s="727"/>
      <c r="L3840" s="137"/>
    </row>
    <row r="3841">
      <c r="A3841" s="1641"/>
      <c r="B3841" s="703"/>
      <c r="C3841" s="1644"/>
      <c r="D3841" s="1644"/>
      <c r="E3841" s="727"/>
      <c r="F3841" s="727"/>
      <c r="G3841" s="727"/>
      <c r="H3841" s="727"/>
      <c r="I3841" s="727"/>
      <c r="J3841" s="727"/>
      <c r="K3841" s="727"/>
      <c r="L3841" s="137"/>
    </row>
    <row r="3842">
      <c r="A3842" s="1641"/>
      <c r="B3842" s="703"/>
      <c r="C3842" s="1644"/>
      <c r="D3842" s="1644"/>
      <c r="E3842" s="727"/>
      <c r="F3842" s="727"/>
      <c r="G3842" s="727"/>
      <c r="H3842" s="727"/>
      <c r="I3842" s="727"/>
      <c r="J3842" s="727"/>
      <c r="K3842" s="727"/>
      <c r="L3842" s="137"/>
    </row>
    <row r="3843">
      <c r="A3843" s="1641"/>
      <c r="B3843" s="703"/>
      <c r="C3843" s="1644"/>
      <c r="D3843" s="1644"/>
      <c r="E3843" s="727"/>
      <c r="F3843" s="727"/>
      <c r="G3843" s="727"/>
      <c r="H3843" s="727"/>
      <c r="I3843" s="727"/>
      <c r="J3843" s="727"/>
      <c r="K3843" s="727"/>
      <c r="L3843" s="137"/>
    </row>
    <row r="3844">
      <c r="A3844" s="1641"/>
      <c r="B3844" s="703"/>
      <c r="C3844" s="1644"/>
      <c r="D3844" s="1644"/>
      <c r="E3844" s="727"/>
      <c r="F3844" s="727"/>
      <c r="G3844" s="727"/>
      <c r="H3844" s="727"/>
      <c r="I3844" s="727"/>
      <c r="J3844" s="727"/>
      <c r="K3844" s="727"/>
      <c r="L3844" s="137"/>
    </row>
    <row r="3845">
      <c r="A3845" s="1641"/>
      <c r="B3845" s="703"/>
      <c r="C3845" s="1644"/>
      <c r="D3845" s="1644"/>
      <c r="E3845" s="727"/>
      <c r="F3845" s="727"/>
      <c r="G3845" s="727"/>
      <c r="H3845" s="727"/>
      <c r="I3845" s="727"/>
      <c r="J3845" s="727"/>
      <c r="K3845" s="727"/>
      <c r="L3845" s="137"/>
    </row>
    <row r="3846">
      <c r="A3846" s="1641"/>
      <c r="B3846" s="703"/>
      <c r="C3846" s="1644"/>
      <c r="D3846" s="1644"/>
      <c r="E3846" s="727"/>
      <c r="F3846" s="727"/>
      <c r="G3846" s="727"/>
      <c r="H3846" s="727"/>
      <c r="I3846" s="727"/>
      <c r="J3846" s="727"/>
      <c r="K3846" s="727"/>
      <c r="L3846" s="137"/>
    </row>
    <row r="3847">
      <c r="A3847" s="1641"/>
      <c r="B3847" s="703"/>
      <c r="C3847" s="1644"/>
      <c r="D3847" s="1644"/>
      <c r="E3847" s="727"/>
      <c r="F3847" s="727"/>
      <c r="G3847" s="727"/>
      <c r="H3847" s="727"/>
      <c r="I3847" s="727"/>
      <c r="J3847" s="727"/>
      <c r="K3847" s="727"/>
      <c r="L3847" s="137"/>
    </row>
    <row r="3848">
      <c r="A3848" s="1641"/>
      <c r="B3848" s="703"/>
      <c r="C3848" s="1644"/>
      <c r="D3848" s="1644"/>
      <c r="E3848" s="727"/>
      <c r="F3848" s="727"/>
      <c r="G3848" s="727"/>
      <c r="H3848" s="727"/>
      <c r="I3848" s="727"/>
      <c r="J3848" s="727"/>
      <c r="K3848" s="727"/>
      <c r="L3848" s="137"/>
    </row>
    <row r="3849">
      <c r="A3849" s="1641"/>
      <c r="B3849" s="703"/>
      <c r="C3849" s="1644"/>
      <c r="D3849" s="1644"/>
      <c r="E3849" s="727"/>
      <c r="F3849" s="727"/>
      <c r="G3849" s="727"/>
      <c r="H3849" s="727"/>
      <c r="I3849" s="727"/>
      <c r="J3849" s="727"/>
      <c r="K3849" s="727"/>
      <c r="L3849" s="137"/>
    </row>
    <row r="3850">
      <c r="A3850" s="1641"/>
      <c r="B3850" s="703"/>
      <c r="C3850" s="1644"/>
      <c r="D3850" s="1644"/>
      <c r="E3850" s="727"/>
      <c r="F3850" s="727"/>
      <c r="G3850" s="727"/>
      <c r="H3850" s="727"/>
      <c r="I3850" s="727"/>
      <c r="J3850" s="727"/>
      <c r="K3850" s="727"/>
      <c r="L3850" s="137"/>
    </row>
    <row r="3851">
      <c r="A3851" s="1641"/>
      <c r="B3851" s="703"/>
      <c r="C3851" s="1644"/>
      <c r="D3851" s="1644"/>
      <c r="E3851" s="727"/>
      <c r="F3851" s="727"/>
      <c r="G3851" s="727"/>
      <c r="H3851" s="727"/>
      <c r="I3851" s="727"/>
      <c r="J3851" s="727"/>
      <c r="K3851" s="727"/>
      <c r="L3851" s="137"/>
    </row>
    <row r="3852">
      <c r="A3852" s="1641"/>
      <c r="B3852" s="703"/>
      <c r="C3852" s="1644"/>
      <c r="D3852" s="1644"/>
      <c r="E3852" s="727"/>
      <c r="F3852" s="727"/>
      <c r="G3852" s="727"/>
      <c r="H3852" s="727"/>
      <c r="I3852" s="727"/>
      <c r="J3852" s="727"/>
      <c r="K3852" s="727"/>
      <c r="L3852" s="137"/>
    </row>
    <row r="3853">
      <c r="A3853" s="1641"/>
      <c r="B3853" s="703"/>
      <c r="C3853" s="1644"/>
      <c r="D3853" s="1644"/>
      <c r="E3853" s="727"/>
      <c r="F3853" s="727"/>
      <c r="G3853" s="727"/>
      <c r="H3853" s="727"/>
      <c r="I3853" s="727"/>
      <c r="J3853" s="727"/>
      <c r="K3853" s="727"/>
      <c r="L3853" s="137"/>
    </row>
    <row r="3854">
      <c r="A3854" s="1641"/>
      <c r="B3854" s="703"/>
      <c r="C3854" s="1644"/>
      <c r="D3854" s="1644"/>
      <c r="E3854" s="727"/>
      <c r="F3854" s="727"/>
      <c r="G3854" s="727"/>
      <c r="H3854" s="727"/>
      <c r="I3854" s="727"/>
      <c r="J3854" s="727"/>
      <c r="K3854" s="727"/>
      <c r="L3854" s="137"/>
    </row>
    <row r="3855">
      <c r="A3855" s="1641"/>
      <c r="B3855" s="703"/>
      <c r="C3855" s="1644"/>
      <c r="D3855" s="1644"/>
      <c r="E3855" s="727"/>
      <c r="F3855" s="727"/>
      <c r="G3855" s="727"/>
      <c r="H3855" s="727"/>
      <c r="I3855" s="727"/>
      <c r="J3855" s="727"/>
      <c r="K3855" s="727"/>
      <c r="L3855" s="137"/>
    </row>
    <row r="3856">
      <c r="A3856" s="1641"/>
      <c r="B3856" s="703"/>
      <c r="C3856" s="1644"/>
      <c r="D3856" s="1644"/>
      <c r="E3856" s="727"/>
      <c r="F3856" s="727"/>
      <c r="G3856" s="727"/>
      <c r="H3856" s="727"/>
      <c r="I3856" s="727"/>
      <c r="J3856" s="727"/>
      <c r="K3856" s="727"/>
      <c r="L3856" s="137"/>
    </row>
    <row r="3857">
      <c r="A3857" s="1641"/>
      <c r="B3857" s="703"/>
      <c r="C3857" s="1644"/>
      <c r="D3857" s="1644"/>
      <c r="E3857" s="727"/>
      <c r="F3857" s="727"/>
      <c r="G3857" s="727"/>
      <c r="H3857" s="727"/>
      <c r="I3857" s="727"/>
      <c r="J3857" s="727"/>
      <c r="K3857" s="727"/>
      <c r="L3857" s="137"/>
    </row>
    <row r="3858">
      <c r="A3858" s="1641"/>
      <c r="B3858" s="703"/>
      <c r="C3858" s="1644"/>
      <c r="D3858" s="1644"/>
      <c r="E3858" s="727"/>
      <c r="F3858" s="727"/>
      <c r="G3858" s="727"/>
      <c r="H3858" s="727"/>
      <c r="I3858" s="727"/>
      <c r="J3858" s="727"/>
      <c r="K3858" s="727"/>
      <c r="L3858" s="137"/>
    </row>
    <row r="3859">
      <c r="A3859" s="1641"/>
      <c r="B3859" s="703"/>
      <c r="C3859" s="1644"/>
      <c r="D3859" s="1644"/>
      <c r="E3859" s="727"/>
      <c r="F3859" s="727"/>
      <c r="G3859" s="727"/>
      <c r="H3859" s="727"/>
      <c r="I3859" s="727"/>
      <c r="J3859" s="727"/>
      <c r="K3859" s="727"/>
      <c r="L3859" s="137"/>
    </row>
    <row r="3860">
      <c r="A3860" s="1641"/>
      <c r="B3860" s="703"/>
      <c r="C3860" s="1644"/>
      <c r="D3860" s="1644"/>
      <c r="E3860" s="727"/>
      <c r="F3860" s="727"/>
      <c r="G3860" s="727"/>
      <c r="H3860" s="727"/>
      <c r="I3860" s="727"/>
      <c r="J3860" s="727"/>
      <c r="K3860" s="727"/>
      <c r="L3860" s="137"/>
    </row>
    <row r="3861">
      <c r="A3861" s="1641"/>
      <c r="B3861" s="703"/>
      <c r="C3861" s="1644"/>
      <c r="D3861" s="1644"/>
      <c r="E3861" s="727"/>
      <c r="F3861" s="727"/>
      <c r="G3861" s="727"/>
      <c r="H3861" s="727"/>
      <c r="I3861" s="727"/>
      <c r="J3861" s="727"/>
      <c r="K3861" s="727"/>
      <c r="L3861" s="137"/>
    </row>
    <row r="3862">
      <c r="A3862" s="1641"/>
      <c r="B3862" s="703"/>
      <c r="C3862" s="1644"/>
      <c r="D3862" s="1644"/>
      <c r="E3862" s="727"/>
      <c r="F3862" s="727"/>
      <c r="G3862" s="727"/>
      <c r="H3862" s="727"/>
      <c r="I3862" s="727"/>
      <c r="J3862" s="727"/>
      <c r="K3862" s="727"/>
      <c r="L3862" s="137"/>
    </row>
    <row r="3863">
      <c r="A3863" s="1641"/>
      <c r="B3863" s="703"/>
      <c r="C3863" s="1644"/>
      <c r="D3863" s="1644"/>
      <c r="E3863" s="727"/>
      <c r="F3863" s="727"/>
      <c r="G3863" s="727"/>
      <c r="H3863" s="727"/>
      <c r="I3863" s="727"/>
      <c r="J3863" s="727"/>
      <c r="K3863" s="727"/>
      <c r="L3863" s="137"/>
    </row>
    <row r="3864">
      <c r="A3864" s="1641"/>
      <c r="B3864" s="703"/>
      <c r="C3864" s="1644"/>
      <c r="D3864" s="1644"/>
      <c r="E3864" s="727"/>
      <c r="F3864" s="727"/>
      <c r="G3864" s="727"/>
      <c r="H3864" s="727"/>
      <c r="I3864" s="727"/>
      <c r="J3864" s="727"/>
      <c r="K3864" s="727"/>
      <c r="L3864" s="137"/>
    </row>
    <row r="3865">
      <c r="A3865" s="1641"/>
      <c r="B3865" s="703"/>
      <c r="C3865" s="1644"/>
      <c r="D3865" s="1644"/>
      <c r="E3865" s="727"/>
      <c r="F3865" s="727"/>
      <c r="G3865" s="727"/>
      <c r="H3865" s="727"/>
      <c r="I3865" s="727"/>
      <c r="J3865" s="727"/>
      <c r="K3865" s="727"/>
      <c r="L3865" s="137"/>
    </row>
    <row r="3866">
      <c r="A3866" s="1641"/>
      <c r="B3866" s="703"/>
      <c r="C3866" s="1644"/>
      <c r="D3866" s="1644"/>
      <c r="E3866" s="727"/>
      <c r="F3866" s="727"/>
      <c r="G3866" s="727"/>
      <c r="H3866" s="727"/>
      <c r="I3866" s="727"/>
      <c r="J3866" s="727"/>
      <c r="K3866" s="727"/>
      <c r="L3866" s="137"/>
    </row>
    <row r="3867">
      <c r="A3867" s="1641"/>
      <c r="B3867" s="703"/>
      <c r="C3867" s="1644"/>
      <c r="D3867" s="1644"/>
      <c r="E3867" s="727"/>
      <c r="F3867" s="727"/>
      <c r="G3867" s="727"/>
      <c r="H3867" s="727"/>
      <c r="I3867" s="727"/>
      <c r="J3867" s="727"/>
      <c r="K3867" s="727"/>
      <c r="L3867" s="137"/>
    </row>
    <row r="3868">
      <c r="A3868" s="1641"/>
      <c r="B3868" s="703"/>
      <c r="C3868" s="1644"/>
      <c r="D3868" s="1644"/>
      <c r="E3868" s="727"/>
      <c r="F3868" s="727"/>
      <c r="G3868" s="727"/>
      <c r="H3868" s="727"/>
      <c r="I3868" s="727"/>
      <c r="J3868" s="727"/>
      <c r="K3868" s="727"/>
      <c r="L3868" s="137"/>
    </row>
    <row r="3869">
      <c r="A3869" s="1641"/>
      <c r="B3869" s="703"/>
      <c r="C3869" s="1644"/>
      <c r="D3869" s="1644"/>
      <c r="E3869" s="727"/>
      <c r="F3869" s="727"/>
      <c r="G3869" s="727"/>
      <c r="H3869" s="727"/>
      <c r="I3869" s="727"/>
      <c r="J3869" s="727"/>
      <c r="K3869" s="727"/>
      <c r="L3869" s="137"/>
    </row>
    <row r="3870">
      <c r="A3870" s="1641"/>
      <c r="B3870" s="703"/>
      <c r="C3870" s="1644"/>
      <c r="D3870" s="1644"/>
      <c r="E3870" s="727"/>
      <c r="F3870" s="727"/>
      <c r="G3870" s="727"/>
      <c r="H3870" s="727"/>
      <c r="I3870" s="727"/>
      <c r="J3870" s="727"/>
      <c r="K3870" s="727"/>
      <c r="L3870" s="137"/>
    </row>
    <row r="3871">
      <c r="A3871" s="1641"/>
      <c r="B3871" s="703"/>
      <c r="C3871" s="1644"/>
      <c r="D3871" s="1644"/>
      <c r="E3871" s="727"/>
      <c r="F3871" s="727"/>
      <c r="G3871" s="727"/>
      <c r="H3871" s="727"/>
      <c r="I3871" s="727"/>
      <c r="J3871" s="727"/>
      <c r="K3871" s="727"/>
      <c r="L3871" s="137"/>
    </row>
    <row r="3872">
      <c r="A3872" s="1641"/>
      <c r="B3872" s="703"/>
      <c r="C3872" s="1644"/>
      <c r="D3872" s="1644"/>
      <c r="E3872" s="727"/>
      <c r="F3872" s="727"/>
      <c r="G3872" s="727"/>
      <c r="H3872" s="727"/>
      <c r="I3872" s="727"/>
      <c r="J3872" s="727"/>
      <c r="K3872" s="727"/>
      <c r="L3872" s="137"/>
    </row>
    <row r="3873">
      <c r="A3873" s="1641"/>
      <c r="B3873" s="703"/>
      <c r="C3873" s="1644"/>
      <c r="D3873" s="1644"/>
      <c r="E3873" s="727"/>
      <c r="F3873" s="727"/>
      <c r="G3873" s="727"/>
      <c r="H3873" s="727"/>
      <c r="I3873" s="727"/>
      <c r="J3873" s="727"/>
      <c r="K3873" s="727"/>
      <c r="L3873" s="137"/>
    </row>
    <row r="3874">
      <c r="A3874" s="1641"/>
      <c r="B3874" s="703"/>
      <c r="C3874" s="1644"/>
      <c r="D3874" s="1644"/>
      <c r="E3874" s="727"/>
      <c r="F3874" s="727"/>
      <c r="G3874" s="727"/>
      <c r="H3874" s="727"/>
      <c r="I3874" s="727"/>
      <c r="J3874" s="727"/>
      <c r="K3874" s="727"/>
      <c r="L3874" s="137"/>
    </row>
    <row r="3875">
      <c r="A3875" s="1641"/>
      <c r="B3875" s="703"/>
      <c r="C3875" s="1644"/>
      <c r="D3875" s="1644"/>
      <c r="E3875" s="727"/>
      <c r="F3875" s="727"/>
      <c r="G3875" s="727"/>
      <c r="H3875" s="727"/>
      <c r="I3875" s="727"/>
      <c r="J3875" s="727"/>
      <c r="K3875" s="727"/>
      <c r="L3875" s="137"/>
    </row>
    <row r="3876">
      <c r="A3876" s="1641"/>
      <c r="B3876" s="703"/>
      <c r="C3876" s="1644"/>
      <c r="D3876" s="1644"/>
      <c r="E3876" s="727"/>
      <c r="F3876" s="727"/>
      <c r="G3876" s="727"/>
      <c r="H3876" s="727"/>
      <c r="I3876" s="727"/>
      <c r="J3876" s="727"/>
      <c r="K3876" s="727"/>
      <c r="L3876" s="137"/>
    </row>
    <row r="3877">
      <c r="A3877" s="1641"/>
      <c r="B3877" s="703"/>
      <c r="C3877" s="1644"/>
      <c r="D3877" s="1644"/>
      <c r="E3877" s="727"/>
      <c r="F3877" s="727"/>
      <c r="G3877" s="727"/>
      <c r="H3877" s="727"/>
      <c r="I3877" s="727"/>
      <c r="J3877" s="727"/>
      <c r="K3877" s="727"/>
      <c r="L3877" s="137"/>
    </row>
    <row r="3878">
      <c r="A3878" s="1641"/>
      <c r="B3878" s="703"/>
      <c r="C3878" s="1644"/>
      <c r="D3878" s="1644"/>
      <c r="E3878" s="727"/>
      <c r="F3878" s="727"/>
      <c r="G3878" s="727"/>
      <c r="H3878" s="727"/>
      <c r="I3878" s="727"/>
      <c r="J3878" s="727"/>
      <c r="K3878" s="727"/>
      <c r="L3878" s="137"/>
    </row>
    <row r="3879">
      <c r="A3879" s="1641"/>
      <c r="B3879" s="703"/>
      <c r="C3879" s="1644"/>
      <c r="D3879" s="1644"/>
      <c r="E3879" s="727"/>
      <c r="F3879" s="727"/>
      <c r="G3879" s="727"/>
      <c r="H3879" s="727"/>
      <c r="I3879" s="727"/>
      <c r="J3879" s="727"/>
      <c r="K3879" s="727"/>
      <c r="L3879" s="137"/>
    </row>
    <row r="3880">
      <c r="A3880" s="1641"/>
      <c r="B3880" s="703"/>
      <c r="C3880" s="1644"/>
      <c r="D3880" s="1644"/>
      <c r="E3880" s="727"/>
      <c r="F3880" s="727"/>
      <c r="G3880" s="727"/>
      <c r="H3880" s="727"/>
      <c r="I3880" s="727"/>
      <c r="J3880" s="727"/>
      <c r="K3880" s="727"/>
      <c r="L3880" s="137"/>
    </row>
    <row r="3881">
      <c r="A3881" s="1641"/>
      <c r="B3881" s="703"/>
      <c r="C3881" s="1644"/>
      <c r="D3881" s="1644"/>
      <c r="E3881" s="727"/>
      <c r="F3881" s="727"/>
      <c r="G3881" s="727"/>
      <c r="H3881" s="727"/>
      <c r="I3881" s="727"/>
      <c r="J3881" s="727"/>
      <c r="K3881" s="727"/>
      <c r="L3881" s="137"/>
    </row>
    <row r="3882">
      <c r="A3882" s="1641"/>
      <c r="B3882" s="703"/>
      <c r="C3882" s="1644"/>
      <c r="D3882" s="1644"/>
      <c r="E3882" s="727"/>
      <c r="F3882" s="727"/>
      <c r="G3882" s="727"/>
      <c r="H3882" s="727"/>
      <c r="I3882" s="727"/>
      <c r="J3882" s="727"/>
      <c r="K3882" s="727"/>
      <c r="L3882" s="137"/>
    </row>
    <row r="3883">
      <c r="A3883" s="1641"/>
      <c r="B3883" s="703"/>
      <c r="C3883" s="1644"/>
      <c r="D3883" s="1644"/>
      <c r="E3883" s="727"/>
      <c r="F3883" s="727"/>
      <c r="G3883" s="727"/>
      <c r="H3883" s="727"/>
      <c r="I3883" s="727"/>
      <c r="J3883" s="727"/>
      <c r="K3883" s="727"/>
      <c r="L3883" s="137"/>
    </row>
    <row r="3884">
      <c r="A3884" s="1641"/>
      <c r="B3884" s="703"/>
      <c r="C3884" s="1644"/>
      <c r="D3884" s="1644"/>
      <c r="E3884" s="727"/>
      <c r="F3884" s="727"/>
      <c r="G3884" s="727"/>
      <c r="H3884" s="727"/>
      <c r="I3884" s="727"/>
      <c r="J3884" s="727"/>
      <c r="K3884" s="727"/>
      <c r="L3884" s="137"/>
    </row>
    <row r="3885">
      <c r="A3885" s="1641"/>
      <c r="B3885" s="703"/>
      <c r="C3885" s="1644"/>
      <c r="D3885" s="1644"/>
      <c r="E3885" s="727"/>
      <c r="F3885" s="727"/>
      <c r="G3885" s="727"/>
      <c r="H3885" s="727"/>
      <c r="I3885" s="727"/>
      <c r="J3885" s="727"/>
      <c r="K3885" s="727"/>
      <c r="L3885" s="137"/>
    </row>
    <row r="3886">
      <c r="A3886" s="1641"/>
      <c r="B3886" s="703"/>
      <c r="C3886" s="1644"/>
      <c r="D3886" s="1644"/>
      <c r="E3886" s="727"/>
      <c r="F3886" s="727"/>
      <c r="G3886" s="727"/>
      <c r="H3886" s="727"/>
      <c r="I3886" s="727"/>
      <c r="J3886" s="727"/>
      <c r="K3886" s="727"/>
      <c r="L3886" s="137"/>
    </row>
    <row r="3887">
      <c r="A3887" s="1641"/>
      <c r="B3887" s="703"/>
      <c r="C3887" s="1644"/>
      <c r="D3887" s="1644"/>
      <c r="E3887" s="727"/>
      <c r="F3887" s="727"/>
      <c r="G3887" s="727"/>
      <c r="H3887" s="727"/>
      <c r="I3887" s="727"/>
      <c r="J3887" s="727"/>
      <c r="K3887" s="727"/>
      <c r="L3887" s="137"/>
    </row>
    <row r="3888">
      <c r="A3888" s="1641"/>
      <c r="B3888" s="703"/>
      <c r="C3888" s="1644"/>
      <c r="D3888" s="1644"/>
      <c r="E3888" s="727"/>
      <c r="F3888" s="727"/>
      <c r="G3888" s="727"/>
      <c r="H3888" s="727"/>
      <c r="I3888" s="727"/>
      <c r="J3888" s="727"/>
      <c r="K3888" s="727"/>
      <c r="L3888" s="137"/>
    </row>
    <row r="3889">
      <c r="A3889" s="1641"/>
      <c r="B3889" s="703"/>
      <c r="C3889" s="1644"/>
      <c r="D3889" s="1644"/>
      <c r="E3889" s="727"/>
      <c r="F3889" s="727"/>
      <c r="G3889" s="727"/>
      <c r="H3889" s="727"/>
      <c r="I3889" s="727"/>
      <c r="J3889" s="727"/>
      <c r="K3889" s="727"/>
      <c r="L3889" s="137"/>
    </row>
    <row r="3890">
      <c r="A3890" s="1641"/>
      <c r="B3890" s="703"/>
      <c r="C3890" s="1644"/>
      <c r="D3890" s="1644"/>
      <c r="E3890" s="727"/>
      <c r="F3890" s="727"/>
      <c r="G3890" s="727"/>
      <c r="H3890" s="727"/>
      <c r="I3890" s="727"/>
      <c r="J3890" s="727"/>
      <c r="K3890" s="727"/>
      <c r="L3890" s="137"/>
    </row>
    <row r="3891">
      <c r="A3891" s="1641"/>
      <c r="B3891" s="703"/>
      <c r="C3891" s="1644"/>
      <c r="D3891" s="1644"/>
      <c r="E3891" s="727"/>
      <c r="F3891" s="727"/>
      <c r="G3891" s="727"/>
      <c r="H3891" s="727"/>
      <c r="I3891" s="727"/>
      <c r="J3891" s="727"/>
      <c r="K3891" s="727"/>
      <c r="L3891" s="137"/>
    </row>
    <row r="3892">
      <c r="A3892" s="1641"/>
      <c r="B3892" s="703"/>
      <c r="C3892" s="1644"/>
      <c r="D3892" s="1644"/>
      <c r="E3892" s="727"/>
      <c r="F3892" s="727"/>
      <c r="G3892" s="727"/>
      <c r="H3892" s="727"/>
      <c r="I3892" s="727"/>
      <c r="J3892" s="727"/>
      <c r="K3892" s="727"/>
      <c r="L3892" s="137"/>
    </row>
    <row r="3893">
      <c r="A3893" s="1641"/>
      <c r="B3893" s="703"/>
      <c r="C3893" s="1644"/>
      <c r="D3893" s="1644"/>
      <c r="E3893" s="727"/>
      <c r="F3893" s="727"/>
      <c r="G3893" s="727"/>
      <c r="H3893" s="727"/>
      <c r="I3893" s="727"/>
      <c r="J3893" s="727"/>
      <c r="K3893" s="727"/>
      <c r="L3893" s="137"/>
    </row>
    <row r="3894">
      <c r="A3894" s="1641"/>
      <c r="B3894" s="703"/>
      <c r="C3894" s="1644"/>
      <c r="D3894" s="1644"/>
      <c r="E3894" s="727"/>
      <c r="F3894" s="727"/>
      <c r="G3894" s="727"/>
      <c r="H3894" s="727"/>
      <c r="I3894" s="727"/>
      <c r="J3894" s="727"/>
      <c r="K3894" s="727"/>
      <c r="L3894" s="137"/>
    </row>
    <row r="3895">
      <c r="A3895" s="1641"/>
      <c r="B3895" s="703"/>
      <c r="C3895" s="1644"/>
      <c r="D3895" s="1644"/>
      <c r="E3895" s="727"/>
      <c r="F3895" s="727"/>
      <c r="G3895" s="727"/>
      <c r="H3895" s="727"/>
      <c r="I3895" s="727"/>
      <c r="J3895" s="727"/>
      <c r="K3895" s="727"/>
      <c r="L3895" s="137"/>
    </row>
    <row r="3896">
      <c r="A3896" s="1641"/>
      <c r="B3896" s="703"/>
      <c r="C3896" s="1644"/>
      <c r="D3896" s="1644"/>
      <c r="E3896" s="727"/>
      <c r="F3896" s="727"/>
      <c r="G3896" s="727"/>
      <c r="H3896" s="727"/>
      <c r="I3896" s="727"/>
      <c r="J3896" s="727"/>
      <c r="K3896" s="727"/>
      <c r="L3896" s="137"/>
    </row>
    <row r="3897">
      <c r="A3897" s="1641"/>
      <c r="B3897" s="703"/>
      <c r="C3897" s="1644"/>
      <c r="D3897" s="1644"/>
      <c r="E3897" s="727"/>
      <c r="F3897" s="727"/>
      <c r="G3897" s="727"/>
      <c r="H3897" s="727"/>
      <c r="I3897" s="727"/>
      <c r="J3897" s="727"/>
      <c r="K3897" s="727"/>
      <c r="L3897" s="137"/>
    </row>
    <row r="3898">
      <c r="A3898" s="1641"/>
      <c r="B3898" s="703"/>
      <c r="C3898" s="1644"/>
      <c r="D3898" s="1644"/>
      <c r="E3898" s="727"/>
      <c r="F3898" s="727"/>
      <c r="G3898" s="727"/>
      <c r="H3898" s="727"/>
      <c r="I3898" s="727"/>
      <c r="J3898" s="727"/>
      <c r="K3898" s="727"/>
      <c r="L3898" s="137"/>
    </row>
    <row r="3899">
      <c r="A3899" s="1641"/>
      <c r="B3899" s="703"/>
      <c r="C3899" s="1644"/>
      <c r="D3899" s="1644"/>
      <c r="E3899" s="727"/>
      <c r="F3899" s="727"/>
      <c r="G3899" s="727"/>
      <c r="H3899" s="727"/>
      <c r="I3899" s="727"/>
      <c r="J3899" s="727"/>
      <c r="K3899" s="727"/>
      <c r="L3899" s="137"/>
    </row>
    <row r="3900">
      <c r="A3900" s="1641"/>
      <c r="B3900" s="703"/>
      <c r="C3900" s="1644"/>
      <c r="D3900" s="1644"/>
      <c r="E3900" s="727"/>
      <c r="F3900" s="727"/>
      <c r="G3900" s="727"/>
      <c r="H3900" s="727"/>
      <c r="I3900" s="727"/>
      <c r="J3900" s="727"/>
      <c r="K3900" s="727"/>
      <c r="L3900" s="137"/>
    </row>
    <row r="3901">
      <c r="A3901" s="1641"/>
      <c r="B3901" s="703"/>
      <c r="C3901" s="1644"/>
      <c r="D3901" s="1644"/>
      <c r="E3901" s="727"/>
      <c r="F3901" s="727"/>
      <c r="G3901" s="727"/>
      <c r="H3901" s="727"/>
      <c r="I3901" s="727"/>
      <c r="J3901" s="727"/>
      <c r="K3901" s="727"/>
      <c r="L3901" s="137"/>
    </row>
    <row r="3902">
      <c r="A3902" s="1641"/>
      <c r="B3902" s="703"/>
      <c r="C3902" s="1644"/>
      <c r="D3902" s="1644"/>
      <c r="E3902" s="727"/>
      <c r="F3902" s="727"/>
      <c r="G3902" s="727"/>
      <c r="H3902" s="727"/>
      <c r="I3902" s="727"/>
      <c r="J3902" s="727"/>
      <c r="K3902" s="727"/>
      <c r="L3902" s="137"/>
    </row>
    <row r="3903">
      <c r="A3903" s="1641"/>
      <c r="B3903" s="703"/>
      <c r="C3903" s="1644"/>
      <c r="D3903" s="1644"/>
      <c r="E3903" s="727"/>
      <c r="F3903" s="727"/>
      <c r="G3903" s="727"/>
      <c r="H3903" s="727"/>
      <c r="I3903" s="727"/>
      <c r="J3903" s="727"/>
      <c r="K3903" s="727"/>
      <c r="L3903" s="137"/>
    </row>
    <row r="3904">
      <c r="A3904" s="1641"/>
      <c r="B3904" s="703"/>
      <c r="C3904" s="1644"/>
      <c r="D3904" s="1644"/>
      <c r="E3904" s="727"/>
      <c r="F3904" s="727"/>
      <c r="G3904" s="727"/>
      <c r="H3904" s="727"/>
      <c r="I3904" s="727"/>
      <c r="J3904" s="727"/>
      <c r="K3904" s="727"/>
      <c r="L3904" s="137"/>
    </row>
    <row r="3905">
      <c r="A3905" s="1641"/>
      <c r="B3905" s="703"/>
      <c r="C3905" s="1644"/>
      <c r="D3905" s="1644"/>
      <c r="E3905" s="727"/>
      <c r="F3905" s="727"/>
      <c r="G3905" s="727"/>
      <c r="H3905" s="727"/>
      <c r="I3905" s="727"/>
      <c r="J3905" s="727"/>
      <c r="K3905" s="727"/>
      <c r="L3905" s="137"/>
    </row>
    <row r="3906">
      <c r="A3906" s="1641"/>
      <c r="B3906" s="703"/>
      <c r="C3906" s="1644"/>
      <c r="D3906" s="1644"/>
      <c r="E3906" s="727"/>
      <c r="F3906" s="727"/>
      <c r="G3906" s="727"/>
      <c r="H3906" s="727"/>
      <c r="I3906" s="727"/>
      <c r="J3906" s="727"/>
      <c r="K3906" s="727"/>
      <c r="L3906" s="137"/>
    </row>
    <row r="3907">
      <c r="A3907" s="1641"/>
      <c r="B3907" s="703"/>
      <c r="C3907" s="1644"/>
      <c r="D3907" s="1644"/>
      <c r="E3907" s="727"/>
      <c r="F3907" s="727"/>
      <c r="G3907" s="727"/>
      <c r="H3907" s="727"/>
      <c r="I3907" s="727"/>
      <c r="J3907" s="727"/>
      <c r="K3907" s="727"/>
      <c r="L3907" s="137"/>
    </row>
    <row r="3908">
      <c r="A3908" s="1641"/>
      <c r="B3908" s="703"/>
      <c r="C3908" s="1644"/>
      <c r="D3908" s="1644"/>
      <c r="E3908" s="727"/>
      <c r="F3908" s="727"/>
      <c r="G3908" s="727"/>
      <c r="H3908" s="727"/>
      <c r="I3908" s="727"/>
      <c r="J3908" s="727"/>
      <c r="K3908" s="727"/>
      <c r="L3908" s="137"/>
    </row>
    <row r="3909">
      <c r="A3909" s="1641"/>
      <c r="B3909" s="703"/>
      <c r="C3909" s="1644"/>
      <c r="D3909" s="1644"/>
      <c r="E3909" s="727"/>
      <c r="F3909" s="727"/>
      <c r="G3909" s="727"/>
      <c r="H3909" s="727"/>
      <c r="I3909" s="727"/>
      <c r="J3909" s="727"/>
      <c r="K3909" s="727"/>
      <c r="L3909" s="137"/>
    </row>
    <row r="3910">
      <c r="A3910" s="1641"/>
      <c r="B3910" s="703"/>
      <c r="C3910" s="1644"/>
      <c r="D3910" s="1644"/>
      <c r="E3910" s="727"/>
      <c r="F3910" s="727"/>
      <c r="G3910" s="727"/>
      <c r="H3910" s="727"/>
      <c r="I3910" s="727"/>
      <c r="J3910" s="727"/>
      <c r="K3910" s="727"/>
      <c r="L3910" s="137"/>
    </row>
    <row r="3911">
      <c r="A3911" s="1641"/>
      <c r="B3911" s="703"/>
      <c r="C3911" s="1644"/>
      <c r="D3911" s="1644"/>
      <c r="E3911" s="727"/>
      <c r="F3911" s="727"/>
      <c r="G3911" s="727"/>
      <c r="H3911" s="727"/>
      <c r="I3911" s="727"/>
      <c r="J3911" s="727"/>
      <c r="K3911" s="727"/>
      <c r="L3911" s="137"/>
    </row>
    <row r="3912">
      <c r="A3912" s="1641"/>
      <c r="B3912" s="703"/>
      <c r="C3912" s="1644"/>
      <c r="D3912" s="1644"/>
      <c r="E3912" s="727"/>
      <c r="F3912" s="727"/>
      <c r="G3912" s="727"/>
      <c r="H3912" s="727"/>
      <c r="I3912" s="727"/>
      <c r="J3912" s="727"/>
      <c r="K3912" s="727"/>
      <c r="L3912" s="137"/>
    </row>
    <row r="3913">
      <c r="A3913" s="1641"/>
      <c r="B3913" s="703"/>
      <c r="C3913" s="1644"/>
      <c r="D3913" s="1644"/>
      <c r="E3913" s="727"/>
      <c r="F3913" s="727"/>
      <c r="G3913" s="727"/>
      <c r="H3913" s="727"/>
      <c r="I3913" s="727"/>
      <c r="J3913" s="727"/>
      <c r="K3913" s="727"/>
      <c r="L3913" s="137"/>
    </row>
    <row r="3914">
      <c r="A3914" s="1641"/>
      <c r="B3914" s="703"/>
      <c r="C3914" s="1644"/>
      <c r="D3914" s="1644"/>
      <c r="E3914" s="727"/>
      <c r="F3914" s="727"/>
      <c r="G3914" s="727"/>
      <c r="H3914" s="727"/>
      <c r="I3914" s="727"/>
      <c r="J3914" s="727"/>
      <c r="K3914" s="727"/>
      <c r="L3914" s="137"/>
    </row>
    <row r="3915">
      <c r="A3915" s="1641"/>
      <c r="B3915" s="703"/>
      <c r="C3915" s="1644"/>
      <c r="D3915" s="1644"/>
      <c r="E3915" s="727"/>
      <c r="F3915" s="727"/>
      <c r="G3915" s="727"/>
      <c r="H3915" s="727"/>
      <c r="I3915" s="727"/>
      <c r="J3915" s="727"/>
      <c r="K3915" s="727"/>
      <c r="L3915" s="137"/>
    </row>
    <row r="3916">
      <c r="A3916" s="1641"/>
      <c r="B3916" s="703"/>
      <c r="C3916" s="1644"/>
      <c r="D3916" s="1644"/>
      <c r="E3916" s="727"/>
      <c r="F3916" s="727"/>
      <c r="G3916" s="727"/>
      <c r="H3916" s="727"/>
      <c r="I3916" s="727"/>
      <c r="J3916" s="727"/>
      <c r="K3916" s="727"/>
      <c r="L3916" s="137"/>
    </row>
    <row r="3917">
      <c r="A3917" s="1641"/>
      <c r="B3917" s="703"/>
      <c r="C3917" s="1644"/>
      <c r="D3917" s="1644"/>
      <c r="E3917" s="727"/>
      <c r="F3917" s="727"/>
      <c r="G3917" s="727"/>
      <c r="H3917" s="727"/>
      <c r="I3917" s="727"/>
      <c r="J3917" s="727"/>
      <c r="K3917" s="727"/>
      <c r="L3917" s="137"/>
    </row>
    <row r="3918">
      <c r="A3918" s="1641"/>
      <c r="B3918" s="703"/>
      <c r="C3918" s="1644"/>
      <c r="D3918" s="1644"/>
      <c r="E3918" s="727"/>
      <c r="F3918" s="727"/>
      <c r="G3918" s="727"/>
      <c r="H3918" s="727"/>
      <c r="I3918" s="727"/>
      <c r="J3918" s="727"/>
      <c r="K3918" s="727"/>
      <c r="L3918" s="137"/>
    </row>
    <row r="3919">
      <c r="A3919" s="1641"/>
      <c r="B3919" s="703"/>
      <c r="C3919" s="1644"/>
      <c r="D3919" s="1644"/>
      <c r="E3919" s="727"/>
      <c r="F3919" s="727"/>
      <c r="G3919" s="727"/>
      <c r="H3919" s="727"/>
      <c r="I3919" s="727"/>
      <c r="J3919" s="727"/>
      <c r="K3919" s="727"/>
      <c r="L3919" s="137"/>
    </row>
    <row r="3920">
      <c r="A3920" s="1641"/>
      <c r="B3920" s="703"/>
      <c r="C3920" s="1644"/>
      <c r="D3920" s="1644"/>
      <c r="E3920" s="727"/>
      <c r="F3920" s="727"/>
      <c r="G3920" s="727"/>
      <c r="H3920" s="727"/>
      <c r="I3920" s="727"/>
      <c r="J3920" s="727"/>
      <c r="K3920" s="727"/>
      <c r="L3920" s="137"/>
    </row>
    <row r="3921">
      <c r="A3921" s="1641"/>
      <c r="B3921" s="703"/>
      <c r="C3921" s="1644"/>
      <c r="D3921" s="1644"/>
      <c r="E3921" s="727"/>
      <c r="F3921" s="727"/>
      <c r="G3921" s="727"/>
      <c r="H3921" s="727"/>
      <c r="I3921" s="727"/>
      <c r="J3921" s="727"/>
      <c r="K3921" s="727"/>
      <c r="L3921" s="137"/>
    </row>
    <row r="3922">
      <c r="A3922" s="1641"/>
      <c r="B3922" s="703"/>
      <c r="C3922" s="1644"/>
      <c r="D3922" s="1644"/>
      <c r="E3922" s="727"/>
      <c r="F3922" s="727"/>
      <c r="G3922" s="727"/>
      <c r="H3922" s="727"/>
      <c r="I3922" s="727"/>
      <c r="J3922" s="727"/>
      <c r="K3922" s="727"/>
      <c r="L3922" s="137"/>
    </row>
    <row r="3923">
      <c r="A3923" s="1641"/>
      <c r="B3923" s="703"/>
      <c r="C3923" s="1644"/>
      <c r="D3923" s="1644"/>
      <c r="E3923" s="727"/>
      <c r="F3923" s="727"/>
      <c r="G3923" s="727"/>
      <c r="H3923" s="727"/>
      <c r="I3923" s="727"/>
      <c r="J3923" s="727"/>
      <c r="K3923" s="727"/>
      <c r="L3923" s="137"/>
    </row>
    <row r="3924">
      <c r="A3924" s="1641"/>
      <c r="B3924" s="703"/>
      <c r="C3924" s="1644"/>
      <c r="D3924" s="1644"/>
      <c r="E3924" s="727"/>
      <c r="F3924" s="727"/>
      <c r="G3924" s="727"/>
      <c r="H3924" s="727"/>
      <c r="I3924" s="727"/>
      <c r="J3924" s="727"/>
      <c r="K3924" s="727"/>
      <c r="L3924" s="137"/>
    </row>
    <row r="3925">
      <c r="A3925" s="1641"/>
      <c r="B3925" s="703"/>
      <c r="C3925" s="1644"/>
      <c r="D3925" s="1644"/>
      <c r="E3925" s="727"/>
      <c r="F3925" s="727"/>
      <c r="G3925" s="727"/>
      <c r="H3925" s="727"/>
      <c r="I3925" s="727"/>
      <c r="J3925" s="727"/>
      <c r="K3925" s="727"/>
      <c r="L3925" s="137"/>
    </row>
    <row r="3926">
      <c r="A3926" s="1641"/>
      <c r="B3926" s="703"/>
      <c r="C3926" s="1644"/>
      <c r="D3926" s="1644"/>
      <c r="E3926" s="727"/>
      <c r="F3926" s="727"/>
      <c r="G3926" s="727"/>
      <c r="H3926" s="727"/>
      <c r="I3926" s="727"/>
      <c r="J3926" s="727"/>
      <c r="K3926" s="727"/>
      <c r="L3926" s="137"/>
    </row>
    <row r="3927">
      <c r="A3927" s="1641"/>
      <c r="B3927" s="703"/>
      <c r="C3927" s="1644"/>
      <c r="D3927" s="1644"/>
      <c r="E3927" s="727"/>
      <c r="F3927" s="727"/>
      <c r="G3927" s="727"/>
      <c r="H3927" s="727"/>
      <c r="I3927" s="727"/>
      <c r="J3927" s="727"/>
      <c r="K3927" s="727"/>
      <c r="L3927" s="137"/>
    </row>
    <row r="3928">
      <c r="A3928" s="1641"/>
      <c r="B3928" s="703"/>
      <c r="C3928" s="1644"/>
      <c r="D3928" s="1644"/>
      <c r="E3928" s="727"/>
      <c r="F3928" s="727"/>
      <c r="G3928" s="727"/>
      <c r="H3928" s="727"/>
      <c r="I3928" s="727"/>
      <c r="J3928" s="727"/>
      <c r="K3928" s="727"/>
      <c r="L3928" s="137"/>
    </row>
    <row r="3929">
      <c r="A3929" s="1641"/>
      <c r="B3929" s="703"/>
      <c r="C3929" s="1644"/>
      <c r="D3929" s="1644"/>
      <c r="E3929" s="727"/>
      <c r="F3929" s="727"/>
      <c r="G3929" s="727"/>
      <c r="H3929" s="727"/>
      <c r="I3929" s="727"/>
      <c r="J3929" s="727"/>
      <c r="K3929" s="727"/>
      <c r="L3929" s="137"/>
    </row>
    <row r="3930">
      <c r="A3930" s="1641"/>
      <c r="B3930" s="703"/>
      <c r="C3930" s="1644"/>
      <c r="D3930" s="1644"/>
      <c r="E3930" s="727"/>
      <c r="F3930" s="727"/>
      <c r="G3930" s="727"/>
      <c r="H3930" s="727"/>
      <c r="I3930" s="727"/>
      <c r="J3930" s="727"/>
      <c r="K3930" s="727"/>
      <c r="L3930" s="137"/>
    </row>
    <row r="3931">
      <c r="A3931" s="1641"/>
      <c r="B3931" s="703"/>
      <c r="C3931" s="1644"/>
      <c r="D3931" s="1644"/>
      <c r="E3931" s="727"/>
      <c r="F3931" s="727"/>
      <c r="G3931" s="727"/>
      <c r="H3931" s="727"/>
      <c r="I3931" s="727"/>
      <c r="J3931" s="727"/>
      <c r="K3931" s="727"/>
      <c r="L3931" s="137"/>
    </row>
    <row r="3932">
      <c r="A3932" s="1641"/>
      <c r="B3932" s="703"/>
      <c r="C3932" s="1644"/>
      <c r="D3932" s="1644"/>
      <c r="E3932" s="727"/>
      <c r="F3932" s="727"/>
      <c r="G3932" s="727"/>
      <c r="H3932" s="727"/>
      <c r="I3932" s="727"/>
      <c r="J3932" s="727"/>
      <c r="K3932" s="727"/>
      <c r="L3932" s="137"/>
    </row>
    <row r="3933">
      <c r="A3933" s="1641"/>
      <c r="B3933" s="703"/>
      <c r="C3933" s="1644"/>
      <c r="D3933" s="1644"/>
      <c r="E3933" s="727"/>
      <c r="F3933" s="727"/>
      <c r="G3933" s="727"/>
      <c r="H3933" s="727"/>
      <c r="I3933" s="727"/>
      <c r="J3933" s="727"/>
      <c r="K3933" s="727"/>
      <c r="L3933" s="137"/>
    </row>
    <row r="3934">
      <c r="A3934" s="1641"/>
      <c r="B3934" s="703"/>
      <c r="C3934" s="1644"/>
      <c r="D3934" s="1644"/>
      <c r="E3934" s="727"/>
      <c r="F3934" s="727"/>
      <c r="G3934" s="727"/>
      <c r="H3934" s="727"/>
      <c r="I3934" s="727"/>
      <c r="J3934" s="727"/>
      <c r="K3934" s="727"/>
      <c r="L3934" s="137"/>
    </row>
    <row r="3935">
      <c r="A3935" s="1641"/>
      <c r="B3935" s="703"/>
      <c r="C3935" s="1644"/>
      <c r="D3935" s="1644"/>
      <c r="E3935" s="727"/>
      <c r="F3935" s="727"/>
      <c r="G3935" s="727"/>
      <c r="H3935" s="727"/>
      <c r="I3935" s="727"/>
      <c r="J3935" s="727"/>
      <c r="K3935" s="727"/>
      <c r="L3935" s="137"/>
    </row>
    <row r="3936">
      <c r="A3936" s="1641"/>
      <c r="B3936" s="703"/>
      <c r="C3936" s="1644"/>
      <c r="D3936" s="1644"/>
      <c r="E3936" s="727"/>
      <c r="F3936" s="727"/>
      <c r="G3936" s="727"/>
      <c r="H3936" s="727"/>
      <c r="I3936" s="727"/>
      <c r="J3936" s="727"/>
      <c r="K3936" s="727"/>
      <c r="L3936" s="137"/>
    </row>
    <row r="3937">
      <c r="A3937" s="1641"/>
      <c r="B3937" s="703"/>
      <c r="C3937" s="1644"/>
      <c r="D3937" s="1644"/>
      <c r="E3937" s="727"/>
      <c r="F3937" s="727"/>
      <c r="G3937" s="727"/>
      <c r="H3937" s="727"/>
      <c r="I3937" s="727"/>
      <c r="J3937" s="727"/>
      <c r="K3937" s="727"/>
      <c r="L3937" s="137"/>
    </row>
    <row r="3938">
      <c r="A3938" s="1641"/>
      <c r="B3938" s="703"/>
      <c r="C3938" s="1644"/>
      <c r="D3938" s="1644"/>
      <c r="E3938" s="727"/>
      <c r="F3938" s="727"/>
      <c r="G3938" s="727"/>
      <c r="H3938" s="727"/>
      <c r="I3938" s="727"/>
      <c r="J3938" s="727"/>
      <c r="K3938" s="727"/>
      <c r="L3938" s="137"/>
    </row>
    <row r="3939">
      <c r="A3939" s="1641"/>
      <c r="B3939" s="703"/>
      <c r="C3939" s="1644"/>
      <c r="D3939" s="1644"/>
      <c r="E3939" s="727"/>
      <c r="F3939" s="727"/>
      <c r="G3939" s="727"/>
      <c r="H3939" s="727"/>
      <c r="I3939" s="727"/>
      <c r="J3939" s="727"/>
      <c r="K3939" s="727"/>
      <c r="L3939" s="137"/>
    </row>
    <row r="3940">
      <c r="A3940" s="1641"/>
      <c r="B3940" s="703"/>
      <c r="C3940" s="1644"/>
      <c r="D3940" s="1644"/>
      <c r="E3940" s="727"/>
      <c r="F3940" s="727"/>
      <c r="G3940" s="727"/>
      <c r="H3940" s="727"/>
      <c r="I3940" s="727"/>
      <c r="J3940" s="727"/>
      <c r="K3940" s="727"/>
      <c r="L3940" s="137"/>
    </row>
    <row r="3941">
      <c r="A3941" s="1641"/>
      <c r="B3941" s="703"/>
      <c r="C3941" s="1644"/>
      <c r="D3941" s="1644"/>
      <c r="E3941" s="727"/>
      <c r="F3941" s="727"/>
      <c r="G3941" s="727"/>
      <c r="H3941" s="727"/>
      <c r="I3941" s="727"/>
      <c r="J3941" s="727"/>
      <c r="K3941" s="727"/>
      <c r="L3941" s="137"/>
    </row>
    <row r="3942">
      <c r="A3942" s="1641"/>
      <c r="B3942" s="703"/>
      <c r="C3942" s="1644"/>
      <c r="D3942" s="1644"/>
      <c r="E3942" s="727"/>
      <c r="F3942" s="727"/>
      <c r="G3942" s="727"/>
      <c r="H3942" s="727"/>
      <c r="I3942" s="727"/>
      <c r="J3942" s="727"/>
      <c r="K3942" s="727"/>
      <c r="L3942" s="137"/>
    </row>
    <row r="3943">
      <c r="A3943" s="1641"/>
      <c r="B3943" s="703"/>
      <c r="C3943" s="1644"/>
      <c r="D3943" s="1644"/>
      <c r="E3943" s="727"/>
      <c r="F3943" s="727"/>
      <c r="G3943" s="727"/>
      <c r="H3943" s="727"/>
      <c r="I3943" s="727"/>
      <c r="J3943" s="727"/>
      <c r="K3943" s="727"/>
      <c r="L3943" s="137"/>
    </row>
    <row r="3944">
      <c r="A3944" s="1641"/>
      <c r="B3944" s="703"/>
      <c r="C3944" s="1644"/>
      <c r="D3944" s="1644"/>
      <c r="E3944" s="727"/>
      <c r="F3944" s="727"/>
      <c r="G3944" s="727"/>
      <c r="H3944" s="727"/>
      <c r="I3944" s="727"/>
      <c r="J3944" s="727"/>
      <c r="K3944" s="727"/>
      <c r="L3944" s="137"/>
    </row>
    <row r="3945">
      <c r="A3945" s="1641"/>
      <c r="B3945" s="703"/>
      <c r="C3945" s="1644"/>
      <c r="D3945" s="1644"/>
      <c r="E3945" s="727"/>
      <c r="F3945" s="727"/>
      <c r="G3945" s="727"/>
      <c r="H3945" s="727"/>
      <c r="I3945" s="727"/>
      <c r="J3945" s="727"/>
      <c r="K3945" s="727"/>
      <c r="L3945" s="137"/>
    </row>
    <row r="3946">
      <c r="A3946" s="1641"/>
      <c r="B3946" s="703"/>
      <c r="C3946" s="1644"/>
      <c r="D3946" s="1644"/>
      <c r="E3946" s="727"/>
      <c r="F3946" s="727"/>
      <c r="G3946" s="727"/>
      <c r="H3946" s="727"/>
      <c r="I3946" s="727"/>
      <c r="J3946" s="727"/>
      <c r="K3946" s="727"/>
      <c r="L3946" s="137"/>
    </row>
    <row r="3947">
      <c r="A3947" s="1641"/>
      <c r="B3947" s="703"/>
      <c r="C3947" s="1644"/>
      <c r="D3947" s="1644"/>
      <c r="E3947" s="727"/>
      <c r="F3947" s="727"/>
      <c r="G3947" s="727"/>
      <c r="H3947" s="727"/>
      <c r="I3947" s="727"/>
      <c r="J3947" s="727"/>
      <c r="K3947" s="727"/>
      <c r="L3947" s="137"/>
    </row>
    <row r="3948">
      <c r="A3948" s="1641"/>
      <c r="B3948" s="703"/>
      <c r="C3948" s="1644"/>
      <c r="D3948" s="1644"/>
      <c r="E3948" s="727"/>
      <c r="F3948" s="727"/>
      <c r="G3948" s="727"/>
      <c r="H3948" s="727"/>
      <c r="I3948" s="727"/>
      <c r="J3948" s="727"/>
      <c r="K3948" s="727"/>
      <c r="L3948" s="137"/>
    </row>
    <row r="3949">
      <c r="A3949" s="1641"/>
      <c r="B3949" s="703"/>
      <c r="C3949" s="1644"/>
      <c r="D3949" s="1644"/>
      <c r="E3949" s="727"/>
      <c r="F3949" s="727"/>
      <c r="G3949" s="727"/>
      <c r="H3949" s="727"/>
      <c r="I3949" s="727"/>
      <c r="J3949" s="727"/>
      <c r="K3949" s="727"/>
      <c r="L3949" s="137"/>
    </row>
    <row r="3950">
      <c r="A3950" s="1641"/>
      <c r="B3950" s="703"/>
      <c r="C3950" s="1644"/>
      <c r="D3950" s="1644"/>
      <c r="E3950" s="727"/>
      <c r="F3950" s="727"/>
      <c r="G3950" s="727"/>
      <c r="H3950" s="727"/>
      <c r="I3950" s="727"/>
      <c r="J3950" s="727"/>
      <c r="K3950" s="727"/>
      <c r="L3950" s="137"/>
    </row>
    <row r="3951">
      <c r="A3951" s="1641"/>
      <c r="B3951" s="703"/>
      <c r="C3951" s="1644"/>
      <c r="D3951" s="1644"/>
      <c r="E3951" s="727"/>
      <c r="F3951" s="727"/>
      <c r="G3951" s="727"/>
      <c r="H3951" s="727"/>
      <c r="I3951" s="727"/>
      <c r="J3951" s="727"/>
      <c r="K3951" s="727"/>
      <c r="L3951" s="137"/>
    </row>
    <row r="3952">
      <c r="A3952" s="1641"/>
      <c r="B3952" s="703"/>
      <c r="C3952" s="1644"/>
      <c r="D3952" s="1644"/>
      <c r="E3952" s="727"/>
      <c r="F3952" s="727"/>
      <c r="G3952" s="727"/>
      <c r="H3952" s="727"/>
      <c r="I3952" s="727"/>
      <c r="J3952" s="727"/>
      <c r="K3952" s="727"/>
      <c r="L3952" s="137"/>
    </row>
    <row r="3953">
      <c r="A3953" s="1641"/>
      <c r="B3953" s="703"/>
      <c r="C3953" s="1644"/>
      <c r="D3953" s="1644"/>
      <c r="E3953" s="727"/>
      <c r="F3953" s="727"/>
      <c r="G3953" s="727"/>
      <c r="H3953" s="727"/>
      <c r="I3953" s="727"/>
      <c r="J3953" s="727"/>
      <c r="K3953" s="727"/>
      <c r="L3953" s="137"/>
    </row>
    <row r="3954">
      <c r="A3954" s="1641"/>
      <c r="B3954" s="703"/>
      <c r="C3954" s="1644"/>
      <c r="D3954" s="1644"/>
      <c r="E3954" s="727"/>
      <c r="F3954" s="727"/>
      <c r="G3954" s="727"/>
      <c r="H3954" s="727"/>
      <c r="I3954" s="727"/>
      <c r="J3954" s="727"/>
      <c r="K3954" s="727"/>
      <c r="L3954" s="137"/>
    </row>
    <row r="3955">
      <c r="A3955" s="1641"/>
      <c r="B3955" s="703"/>
      <c r="C3955" s="1644"/>
      <c r="D3955" s="1644"/>
      <c r="E3955" s="727"/>
      <c r="F3955" s="727"/>
      <c r="G3955" s="727"/>
      <c r="H3955" s="727"/>
      <c r="I3955" s="727"/>
      <c r="J3955" s="727"/>
      <c r="K3955" s="727"/>
      <c r="L3955" s="137"/>
    </row>
    <row r="3956">
      <c r="A3956" s="1641"/>
      <c r="B3956" s="703"/>
      <c r="C3956" s="1644"/>
      <c r="D3956" s="1644"/>
      <c r="E3956" s="727"/>
      <c r="F3956" s="727"/>
      <c r="G3956" s="727"/>
      <c r="H3956" s="727"/>
      <c r="I3956" s="727"/>
      <c r="J3956" s="727"/>
      <c r="K3956" s="727"/>
      <c r="L3956" s="137"/>
    </row>
    <row r="3957">
      <c r="A3957" s="1641"/>
      <c r="B3957" s="703"/>
      <c r="C3957" s="1644"/>
      <c r="D3957" s="1644"/>
      <c r="E3957" s="727"/>
      <c r="F3957" s="727"/>
      <c r="G3957" s="727"/>
      <c r="H3957" s="727"/>
      <c r="I3957" s="727"/>
      <c r="J3957" s="727"/>
      <c r="K3957" s="727"/>
      <c r="L3957" s="137"/>
    </row>
    <row r="3958">
      <c r="A3958" s="1641"/>
      <c r="B3958" s="703"/>
      <c r="C3958" s="1644"/>
      <c r="D3958" s="1644"/>
      <c r="E3958" s="727"/>
      <c r="F3958" s="727"/>
      <c r="G3958" s="727"/>
      <c r="H3958" s="727"/>
      <c r="I3958" s="727"/>
      <c r="J3958" s="727"/>
      <c r="K3958" s="727"/>
      <c r="L3958" s="137"/>
    </row>
    <row r="3959">
      <c r="A3959" s="1641"/>
      <c r="B3959" s="703"/>
      <c r="C3959" s="1644"/>
      <c r="D3959" s="1644"/>
      <c r="E3959" s="727"/>
      <c r="F3959" s="727"/>
      <c r="G3959" s="727"/>
      <c r="H3959" s="727"/>
      <c r="I3959" s="727"/>
      <c r="J3959" s="727"/>
      <c r="K3959" s="727"/>
      <c r="L3959" s="137"/>
    </row>
    <row r="3960">
      <c r="A3960" s="1641"/>
      <c r="B3960" s="703"/>
      <c r="C3960" s="1644"/>
      <c r="D3960" s="1644"/>
      <c r="E3960" s="727"/>
      <c r="F3960" s="727"/>
      <c r="G3960" s="727"/>
      <c r="H3960" s="727"/>
      <c r="I3960" s="727"/>
      <c r="J3960" s="727"/>
      <c r="K3960" s="727"/>
      <c r="L3960" s="137"/>
    </row>
    <row r="3961">
      <c r="A3961" s="1641"/>
      <c r="B3961" s="703"/>
      <c r="C3961" s="1644"/>
      <c r="D3961" s="1644"/>
      <c r="E3961" s="727"/>
      <c r="F3961" s="727"/>
      <c r="G3961" s="727"/>
      <c r="H3961" s="727"/>
      <c r="I3961" s="727"/>
      <c r="J3961" s="727"/>
      <c r="K3961" s="727"/>
      <c r="L3961" s="137"/>
    </row>
    <row r="3962">
      <c r="A3962" s="1641"/>
      <c r="B3962" s="703"/>
      <c r="C3962" s="1644"/>
      <c r="D3962" s="1644"/>
      <c r="E3962" s="727"/>
      <c r="F3962" s="727"/>
      <c r="G3962" s="727"/>
      <c r="H3962" s="727"/>
      <c r="I3962" s="727"/>
      <c r="J3962" s="727"/>
      <c r="K3962" s="727"/>
      <c r="L3962" s="137"/>
    </row>
    <row r="3963">
      <c r="A3963" s="1641"/>
      <c r="B3963" s="703"/>
      <c r="C3963" s="1644"/>
      <c r="D3963" s="1644"/>
      <c r="E3963" s="727"/>
      <c r="F3963" s="727"/>
      <c r="G3963" s="727"/>
      <c r="H3963" s="727"/>
      <c r="I3963" s="727"/>
      <c r="J3963" s="727"/>
      <c r="K3963" s="727"/>
      <c r="L3963" s="137"/>
    </row>
    <row r="3964">
      <c r="A3964" s="1641"/>
      <c r="B3964" s="703"/>
      <c r="C3964" s="1644"/>
      <c r="D3964" s="1644"/>
      <c r="E3964" s="727"/>
      <c r="F3964" s="727"/>
      <c r="G3964" s="727"/>
      <c r="H3964" s="727"/>
      <c r="I3964" s="727"/>
      <c r="J3964" s="727"/>
      <c r="K3964" s="727"/>
      <c r="L3964" s="137"/>
    </row>
    <row r="3965">
      <c r="A3965" s="1641"/>
      <c r="B3965" s="703"/>
      <c r="C3965" s="1644"/>
      <c r="D3965" s="1644"/>
      <c r="E3965" s="727"/>
      <c r="F3965" s="727"/>
      <c r="G3965" s="727"/>
      <c r="H3965" s="727"/>
      <c r="I3965" s="727"/>
      <c r="J3965" s="727"/>
      <c r="K3965" s="727"/>
      <c r="L3965" s="137"/>
    </row>
    <row r="3966">
      <c r="A3966" s="1641"/>
      <c r="B3966" s="703"/>
      <c r="C3966" s="1644"/>
      <c r="D3966" s="1644"/>
      <c r="E3966" s="727"/>
      <c r="F3966" s="727"/>
      <c r="G3966" s="727"/>
      <c r="H3966" s="727"/>
      <c r="I3966" s="727"/>
      <c r="J3966" s="727"/>
      <c r="K3966" s="727"/>
      <c r="L3966" s="137"/>
    </row>
    <row r="3967">
      <c r="A3967" s="1641"/>
      <c r="B3967" s="703"/>
      <c r="C3967" s="1644"/>
      <c r="D3967" s="1644"/>
      <c r="E3967" s="727"/>
      <c r="F3967" s="727"/>
      <c r="G3967" s="727"/>
      <c r="H3967" s="727"/>
      <c r="I3967" s="727"/>
      <c r="J3967" s="727"/>
      <c r="K3967" s="727"/>
      <c r="L3967" s="137"/>
    </row>
    <row r="3968">
      <c r="A3968" s="1641"/>
      <c r="B3968" s="703"/>
      <c r="C3968" s="1644"/>
      <c r="D3968" s="1644"/>
      <c r="E3968" s="727"/>
      <c r="F3968" s="727"/>
      <c r="G3968" s="727"/>
      <c r="H3968" s="727"/>
      <c r="I3968" s="727"/>
      <c r="J3968" s="727"/>
      <c r="K3968" s="727"/>
      <c r="L3968" s="137"/>
    </row>
    <row r="3969">
      <c r="A3969" s="1641"/>
      <c r="B3969" s="703"/>
      <c r="C3969" s="1644"/>
      <c r="D3969" s="1644"/>
      <c r="E3969" s="727"/>
      <c r="F3969" s="727"/>
      <c r="G3969" s="727"/>
      <c r="H3969" s="727"/>
      <c r="I3969" s="727"/>
      <c r="J3969" s="727"/>
      <c r="K3969" s="727"/>
      <c r="L3969" s="137"/>
    </row>
    <row r="3970">
      <c r="A3970" s="1641"/>
      <c r="B3970" s="703"/>
      <c r="C3970" s="1644"/>
      <c r="D3970" s="1644"/>
      <c r="E3970" s="727"/>
      <c r="F3970" s="727"/>
      <c r="G3970" s="727"/>
      <c r="H3970" s="727"/>
      <c r="I3970" s="727"/>
      <c r="J3970" s="727"/>
      <c r="K3970" s="727"/>
      <c r="L3970" s="137"/>
    </row>
    <row r="3971">
      <c r="A3971" s="1641"/>
      <c r="B3971" s="703"/>
      <c r="C3971" s="1644"/>
      <c r="D3971" s="1644"/>
      <c r="E3971" s="727"/>
      <c r="F3971" s="727"/>
      <c r="G3971" s="727"/>
      <c r="H3971" s="727"/>
      <c r="I3971" s="727"/>
      <c r="J3971" s="727"/>
      <c r="K3971" s="727"/>
      <c r="L3971" s="137"/>
    </row>
    <row r="3972">
      <c r="A3972" s="1641"/>
      <c r="B3972" s="703"/>
      <c r="C3972" s="1644"/>
      <c r="D3972" s="1644"/>
      <c r="E3972" s="727"/>
      <c r="F3972" s="727"/>
      <c r="G3972" s="727"/>
      <c r="H3972" s="727"/>
      <c r="I3972" s="727"/>
      <c r="J3972" s="727"/>
      <c r="K3972" s="727"/>
      <c r="L3972" s="137"/>
    </row>
    <row r="3973">
      <c r="A3973" s="1641"/>
      <c r="B3973" s="703"/>
      <c r="C3973" s="1644"/>
      <c r="D3973" s="1644"/>
      <c r="E3973" s="727"/>
      <c r="F3973" s="727"/>
      <c r="G3973" s="727"/>
      <c r="H3973" s="727"/>
      <c r="I3973" s="727"/>
      <c r="J3973" s="727"/>
      <c r="K3973" s="727"/>
      <c r="L3973" s="137"/>
    </row>
    <row r="3974">
      <c r="A3974" s="1641"/>
      <c r="B3974" s="703"/>
      <c r="C3974" s="1644"/>
      <c r="D3974" s="1644"/>
      <c r="E3974" s="727"/>
      <c r="F3974" s="727"/>
      <c r="G3974" s="727"/>
      <c r="H3974" s="727"/>
      <c r="I3974" s="727"/>
      <c r="J3974" s="727"/>
      <c r="K3974" s="727"/>
      <c r="L3974" s="137"/>
    </row>
    <row r="3975">
      <c r="A3975" s="1641"/>
      <c r="B3975" s="703"/>
      <c r="C3975" s="1644"/>
      <c r="D3975" s="1644"/>
      <c r="E3975" s="727"/>
      <c r="F3975" s="727"/>
      <c r="G3975" s="727"/>
      <c r="H3975" s="727"/>
      <c r="I3975" s="727"/>
      <c r="J3975" s="727"/>
      <c r="K3975" s="727"/>
      <c r="L3975" s="137"/>
    </row>
    <row r="3976">
      <c r="A3976" s="1641"/>
      <c r="B3976" s="703"/>
      <c r="C3976" s="1644"/>
      <c r="D3976" s="1644"/>
      <c r="E3976" s="727"/>
      <c r="F3976" s="727"/>
      <c r="G3976" s="727"/>
      <c r="H3976" s="727"/>
      <c r="I3976" s="727"/>
      <c r="J3976" s="727"/>
      <c r="K3976" s="727"/>
      <c r="L3976" s="137"/>
    </row>
    <row r="3977">
      <c r="A3977" s="1641"/>
      <c r="B3977" s="703"/>
      <c r="C3977" s="1644"/>
      <c r="D3977" s="1644"/>
      <c r="E3977" s="727"/>
      <c r="F3977" s="727"/>
      <c r="G3977" s="727"/>
      <c r="H3977" s="727"/>
      <c r="I3977" s="727"/>
      <c r="J3977" s="727"/>
      <c r="K3977" s="727"/>
      <c r="L3977" s="137"/>
    </row>
    <row r="3978">
      <c r="A3978" s="1641"/>
      <c r="B3978" s="703"/>
      <c r="C3978" s="1644"/>
      <c r="D3978" s="1644"/>
      <c r="E3978" s="727"/>
      <c r="F3978" s="727"/>
      <c r="G3978" s="727"/>
      <c r="H3978" s="727"/>
      <c r="I3978" s="727"/>
      <c r="J3978" s="727"/>
      <c r="K3978" s="727"/>
      <c r="L3978" s="137"/>
    </row>
    <row r="3979">
      <c r="A3979" s="1641"/>
      <c r="B3979" s="703"/>
      <c r="C3979" s="1644"/>
      <c r="D3979" s="1644"/>
      <c r="E3979" s="727"/>
      <c r="F3979" s="727"/>
      <c r="G3979" s="727"/>
      <c r="H3979" s="727"/>
      <c r="I3979" s="727"/>
      <c r="J3979" s="727"/>
      <c r="K3979" s="727"/>
      <c r="L3979" s="137"/>
    </row>
    <row r="3980">
      <c r="A3980" s="1641"/>
      <c r="B3980" s="703"/>
      <c r="C3980" s="1644"/>
      <c r="D3980" s="1644"/>
      <c r="E3980" s="727"/>
      <c r="F3980" s="727"/>
      <c r="G3980" s="727"/>
      <c r="H3980" s="727"/>
      <c r="I3980" s="727"/>
      <c r="J3980" s="727"/>
      <c r="K3980" s="727"/>
      <c r="L3980" s="137"/>
    </row>
    <row r="3981">
      <c r="A3981" s="1641"/>
      <c r="B3981" s="703"/>
      <c r="C3981" s="1644"/>
      <c r="D3981" s="1644"/>
      <c r="E3981" s="727"/>
      <c r="F3981" s="727"/>
      <c r="G3981" s="727"/>
      <c r="H3981" s="727"/>
      <c r="I3981" s="727"/>
      <c r="J3981" s="727"/>
      <c r="K3981" s="727"/>
      <c r="L3981" s="137"/>
    </row>
    <row r="3982">
      <c r="A3982" s="1641"/>
      <c r="B3982" s="703"/>
      <c r="C3982" s="1644"/>
      <c r="D3982" s="1644"/>
      <c r="E3982" s="727"/>
      <c r="F3982" s="727"/>
      <c r="G3982" s="727"/>
      <c r="H3982" s="727"/>
      <c r="I3982" s="727"/>
      <c r="J3982" s="727"/>
      <c r="K3982" s="727"/>
      <c r="L3982" s="137"/>
    </row>
    <row r="3983">
      <c r="A3983" s="1641"/>
      <c r="B3983" s="703"/>
      <c r="C3983" s="1644"/>
      <c r="D3983" s="1644"/>
      <c r="E3983" s="727"/>
      <c r="F3983" s="727"/>
      <c r="G3983" s="727"/>
      <c r="H3983" s="727"/>
      <c r="I3983" s="727"/>
      <c r="J3983" s="727"/>
      <c r="K3983" s="727"/>
      <c r="L3983" s="137"/>
    </row>
    <row r="3984">
      <c r="A3984" s="1641"/>
      <c r="B3984" s="703"/>
      <c r="C3984" s="1644"/>
      <c r="D3984" s="1644"/>
      <c r="E3984" s="727"/>
      <c r="F3984" s="727"/>
      <c r="G3984" s="727"/>
      <c r="H3984" s="727"/>
      <c r="I3984" s="727"/>
      <c r="J3984" s="727"/>
      <c r="K3984" s="727"/>
      <c r="L3984" s="137"/>
    </row>
    <row r="3985">
      <c r="A3985" s="1641"/>
      <c r="B3985" s="703"/>
      <c r="C3985" s="1644"/>
      <c r="D3985" s="1644"/>
      <c r="E3985" s="727"/>
      <c r="F3985" s="727"/>
      <c r="G3985" s="727"/>
      <c r="H3985" s="727"/>
      <c r="I3985" s="727"/>
      <c r="J3985" s="727"/>
      <c r="K3985" s="727"/>
      <c r="L3985" s="137"/>
    </row>
    <row r="3986">
      <c r="A3986" s="1641"/>
      <c r="B3986" s="703"/>
      <c r="C3986" s="1644"/>
      <c r="D3986" s="1644"/>
      <c r="E3986" s="727"/>
      <c r="F3986" s="727"/>
      <c r="G3986" s="727"/>
      <c r="H3986" s="727"/>
      <c r="I3986" s="727"/>
      <c r="J3986" s="727"/>
      <c r="K3986" s="727"/>
      <c r="L3986" s="137"/>
    </row>
    <row r="3987">
      <c r="A3987" s="1641"/>
      <c r="B3987" s="703"/>
      <c r="C3987" s="1644"/>
      <c r="D3987" s="1644"/>
      <c r="E3987" s="727"/>
      <c r="F3987" s="727"/>
      <c r="G3987" s="727"/>
      <c r="H3987" s="727"/>
      <c r="I3987" s="727"/>
      <c r="J3987" s="727"/>
      <c r="K3987" s="727"/>
      <c r="L3987" s="137"/>
    </row>
    <row r="3988">
      <c r="A3988" s="1641"/>
      <c r="B3988" s="703"/>
      <c r="C3988" s="1644"/>
      <c r="D3988" s="1644"/>
      <c r="E3988" s="727"/>
      <c r="F3988" s="727"/>
      <c r="G3988" s="727"/>
      <c r="H3988" s="727"/>
      <c r="I3988" s="727"/>
      <c r="J3988" s="727"/>
      <c r="K3988" s="727"/>
      <c r="L3988" s="137"/>
    </row>
    <row r="3989">
      <c r="A3989" s="1641"/>
      <c r="B3989" s="703"/>
      <c r="C3989" s="1644"/>
      <c r="D3989" s="1644"/>
      <c r="E3989" s="727"/>
      <c r="F3989" s="727"/>
      <c r="G3989" s="727"/>
      <c r="H3989" s="727"/>
      <c r="I3989" s="727"/>
      <c r="J3989" s="727"/>
      <c r="K3989" s="727"/>
      <c r="L3989" s="137"/>
    </row>
    <row r="3990">
      <c r="A3990" s="1641"/>
      <c r="B3990" s="703"/>
      <c r="C3990" s="1644"/>
      <c r="D3990" s="1644"/>
      <c r="E3990" s="727"/>
      <c r="F3990" s="727"/>
      <c r="G3990" s="727"/>
      <c r="H3990" s="727"/>
      <c r="I3990" s="727"/>
      <c r="J3990" s="727"/>
      <c r="K3990" s="727"/>
      <c r="L3990" s="137"/>
    </row>
    <row r="3991">
      <c r="A3991" s="1641"/>
      <c r="B3991" s="703"/>
      <c r="C3991" s="1644"/>
      <c r="D3991" s="1644"/>
      <c r="E3991" s="727"/>
      <c r="F3991" s="727"/>
      <c r="G3991" s="727"/>
      <c r="H3991" s="727"/>
      <c r="I3991" s="727"/>
      <c r="J3991" s="727"/>
      <c r="K3991" s="727"/>
      <c r="L3991" s="137"/>
    </row>
    <row r="3992">
      <c r="A3992" s="1641"/>
      <c r="B3992" s="703"/>
      <c r="C3992" s="1644"/>
      <c r="D3992" s="1644"/>
      <c r="E3992" s="727"/>
      <c r="F3992" s="727"/>
      <c r="G3992" s="727"/>
      <c r="H3992" s="727"/>
      <c r="I3992" s="727"/>
      <c r="J3992" s="727"/>
      <c r="K3992" s="727"/>
      <c r="L3992" s="137"/>
    </row>
    <row r="3993">
      <c r="A3993" s="1641"/>
      <c r="B3993" s="703"/>
      <c r="C3993" s="1644"/>
      <c r="D3993" s="1644"/>
      <c r="E3993" s="727"/>
      <c r="F3993" s="727"/>
      <c r="G3993" s="727"/>
      <c r="H3993" s="727"/>
      <c r="I3993" s="727"/>
      <c r="J3993" s="727"/>
      <c r="K3993" s="727"/>
      <c r="L3993" s="137"/>
    </row>
    <row r="3994">
      <c r="A3994" s="1641"/>
      <c r="B3994" s="703"/>
      <c r="C3994" s="1644"/>
      <c r="D3994" s="1644"/>
      <c r="E3994" s="727"/>
      <c r="F3994" s="727"/>
      <c r="G3994" s="727"/>
      <c r="H3994" s="727"/>
      <c r="I3994" s="727"/>
      <c r="J3994" s="727"/>
      <c r="K3994" s="727"/>
      <c r="L3994" s="137"/>
    </row>
    <row r="3995">
      <c r="A3995" s="1641"/>
      <c r="B3995" s="703"/>
      <c r="C3995" s="1644"/>
      <c r="D3995" s="1644"/>
      <c r="E3995" s="727"/>
      <c r="F3995" s="727"/>
      <c r="G3995" s="727"/>
      <c r="H3995" s="727"/>
      <c r="I3995" s="727"/>
      <c r="J3995" s="727"/>
      <c r="K3995" s="727"/>
      <c r="L3995" s="137"/>
    </row>
    <row r="3996">
      <c r="A3996" s="1641"/>
      <c r="B3996" s="703"/>
      <c r="C3996" s="1644"/>
      <c r="D3996" s="1644"/>
      <c r="E3996" s="727"/>
      <c r="F3996" s="727"/>
      <c r="G3996" s="727"/>
      <c r="H3996" s="727"/>
      <c r="I3996" s="727"/>
      <c r="J3996" s="727"/>
      <c r="K3996" s="727"/>
      <c r="L3996" s="137"/>
    </row>
    <row r="3997">
      <c r="A3997" s="1641"/>
      <c r="B3997" s="703"/>
      <c r="C3997" s="1644"/>
      <c r="D3997" s="1644"/>
      <c r="E3997" s="727"/>
      <c r="F3997" s="727"/>
      <c r="G3997" s="727"/>
      <c r="H3997" s="727"/>
      <c r="I3997" s="727"/>
      <c r="J3997" s="727"/>
      <c r="K3997" s="727"/>
      <c r="L3997" s="137"/>
    </row>
    <row r="3998">
      <c r="A3998" s="1641"/>
      <c r="B3998" s="703"/>
      <c r="C3998" s="1644"/>
      <c r="D3998" s="1644"/>
      <c r="E3998" s="727"/>
      <c r="F3998" s="727"/>
      <c r="G3998" s="727"/>
      <c r="H3998" s="727"/>
      <c r="I3998" s="727"/>
      <c r="J3998" s="727"/>
      <c r="K3998" s="727"/>
      <c r="L3998" s="137"/>
    </row>
    <row r="3999">
      <c r="A3999" s="1641"/>
      <c r="B3999" s="703"/>
      <c r="C3999" s="1644"/>
      <c r="D3999" s="1644"/>
      <c r="E3999" s="727"/>
      <c r="F3999" s="727"/>
      <c r="G3999" s="727"/>
      <c r="H3999" s="727"/>
      <c r="I3999" s="727"/>
      <c r="J3999" s="727"/>
      <c r="K3999" s="727"/>
      <c r="L3999" s="137"/>
    </row>
    <row r="4000">
      <c r="A4000" s="1641"/>
      <c r="B4000" s="703"/>
      <c r="C4000" s="1644"/>
      <c r="D4000" s="1644"/>
      <c r="E4000" s="727"/>
      <c r="F4000" s="727"/>
      <c r="G4000" s="727"/>
      <c r="H4000" s="727"/>
      <c r="I4000" s="727"/>
      <c r="J4000" s="727"/>
      <c r="K4000" s="727"/>
      <c r="L4000" s="137"/>
    </row>
    <row r="4001">
      <c r="A4001" s="1641"/>
      <c r="B4001" s="703"/>
      <c r="C4001" s="1644"/>
      <c r="D4001" s="1644"/>
      <c r="E4001" s="727"/>
      <c r="F4001" s="727"/>
      <c r="G4001" s="727"/>
      <c r="H4001" s="727"/>
      <c r="I4001" s="727"/>
      <c r="J4001" s="727"/>
      <c r="K4001" s="727"/>
      <c r="L4001" s="137"/>
    </row>
    <row r="4002">
      <c r="A4002" s="1641"/>
      <c r="B4002" s="703"/>
      <c r="C4002" s="1644"/>
      <c r="D4002" s="1644"/>
      <c r="E4002" s="727"/>
      <c r="F4002" s="727"/>
      <c r="G4002" s="727"/>
      <c r="H4002" s="727"/>
      <c r="I4002" s="727"/>
      <c r="J4002" s="727"/>
      <c r="K4002" s="727"/>
      <c r="L4002" s="137"/>
    </row>
    <row r="4003">
      <c r="A4003" s="1641"/>
      <c r="B4003" s="703"/>
      <c r="C4003" s="1644"/>
      <c r="D4003" s="1644"/>
      <c r="E4003" s="727"/>
      <c r="F4003" s="727"/>
      <c r="G4003" s="727"/>
      <c r="H4003" s="727"/>
      <c r="I4003" s="727"/>
      <c r="J4003" s="727"/>
      <c r="K4003" s="727"/>
      <c r="L4003" s="137"/>
    </row>
    <row r="4004">
      <c r="A4004" s="1641"/>
      <c r="B4004" s="703"/>
      <c r="C4004" s="1644"/>
      <c r="D4004" s="1644"/>
      <c r="E4004" s="727"/>
      <c r="F4004" s="727"/>
      <c r="G4004" s="727"/>
      <c r="H4004" s="727"/>
      <c r="I4004" s="727"/>
      <c r="J4004" s="727"/>
      <c r="K4004" s="727"/>
      <c r="L4004" s="137"/>
    </row>
    <row r="4005">
      <c r="A4005" s="1641"/>
      <c r="B4005" s="703"/>
      <c r="C4005" s="1644"/>
      <c r="D4005" s="1644"/>
      <c r="E4005" s="727"/>
      <c r="F4005" s="727"/>
      <c r="G4005" s="727"/>
      <c r="H4005" s="727"/>
      <c r="I4005" s="727"/>
      <c r="J4005" s="727"/>
      <c r="K4005" s="727"/>
      <c r="L4005" s="137"/>
    </row>
    <row r="4006">
      <c r="A4006" s="1641"/>
      <c r="B4006" s="703"/>
      <c r="C4006" s="1644"/>
      <c r="D4006" s="1644"/>
      <c r="E4006" s="727"/>
      <c r="F4006" s="727"/>
      <c r="G4006" s="727"/>
      <c r="H4006" s="727"/>
      <c r="I4006" s="727"/>
      <c r="J4006" s="727"/>
      <c r="K4006" s="727"/>
      <c r="L4006" s="137"/>
    </row>
    <row r="4007">
      <c r="A4007" s="1641"/>
      <c r="B4007" s="703"/>
      <c r="C4007" s="1644"/>
      <c r="D4007" s="1644"/>
      <c r="E4007" s="727"/>
      <c r="F4007" s="727"/>
      <c r="G4007" s="727"/>
      <c r="H4007" s="727"/>
      <c r="I4007" s="727"/>
      <c r="J4007" s="727"/>
      <c r="K4007" s="727"/>
      <c r="L4007" s="137"/>
    </row>
    <row r="4008">
      <c r="A4008" s="1641"/>
      <c r="B4008" s="703"/>
      <c r="C4008" s="1644"/>
      <c r="D4008" s="1644"/>
      <c r="E4008" s="727"/>
      <c r="F4008" s="727"/>
      <c r="G4008" s="727"/>
      <c r="H4008" s="727"/>
      <c r="I4008" s="727"/>
      <c r="J4008" s="727"/>
      <c r="K4008" s="727"/>
      <c r="L4008" s="137"/>
    </row>
    <row r="4009">
      <c r="A4009" s="1641"/>
      <c r="B4009" s="703"/>
      <c r="C4009" s="1644"/>
      <c r="D4009" s="1644"/>
      <c r="E4009" s="727"/>
      <c r="F4009" s="727"/>
      <c r="G4009" s="727"/>
      <c r="H4009" s="727"/>
      <c r="I4009" s="727"/>
      <c r="J4009" s="727"/>
      <c r="K4009" s="727"/>
      <c r="L4009" s="137"/>
    </row>
    <row r="4010">
      <c r="A4010" s="1641"/>
      <c r="B4010" s="703"/>
      <c r="C4010" s="1644"/>
      <c r="D4010" s="1644"/>
      <c r="E4010" s="727"/>
      <c r="F4010" s="727"/>
      <c r="G4010" s="727"/>
      <c r="H4010" s="727"/>
      <c r="I4010" s="727"/>
      <c r="J4010" s="727"/>
      <c r="K4010" s="727"/>
      <c r="L4010" s="137"/>
    </row>
    <row r="4011">
      <c r="A4011" s="1641"/>
      <c r="B4011" s="703"/>
      <c r="C4011" s="1644"/>
      <c r="D4011" s="1644"/>
      <c r="E4011" s="727"/>
      <c r="F4011" s="727"/>
      <c r="G4011" s="727"/>
      <c r="H4011" s="727"/>
      <c r="I4011" s="727"/>
      <c r="J4011" s="727"/>
      <c r="K4011" s="727"/>
      <c r="L4011" s="137"/>
    </row>
    <row r="4012">
      <c r="A4012" s="1641"/>
      <c r="B4012" s="703"/>
      <c r="C4012" s="1644"/>
      <c r="D4012" s="1644"/>
      <c r="E4012" s="727"/>
      <c r="F4012" s="727"/>
      <c r="G4012" s="727"/>
      <c r="H4012" s="727"/>
      <c r="I4012" s="727"/>
      <c r="J4012" s="727"/>
      <c r="K4012" s="727"/>
      <c r="L4012" s="137"/>
    </row>
    <row r="4013">
      <c r="A4013" s="1641"/>
      <c r="B4013" s="703"/>
      <c r="C4013" s="1644"/>
      <c r="D4013" s="1644"/>
      <c r="E4013" s="727"/>
      <c r="F4013" s="727"/>
      <c r="G4013" s="727"/>
      <c r="H4013" s="727"/>
      <c r="I4013" s="727"/>
      <c r="J4013" s="727"/>
      <c r="K4013" s="727"/>
      <c r="L4013" s="137"/>
    </row>
    <row r="4014">
      <c r="A4014" s="1641"/>
      <c r="B4014" s="703"/>
      <c r="C4014" s="1644"/>
      <c r="D4014" s="1644"/>
      <c r="E4014" s="727"/>
      <c r="F4014" s="727"/>
      <c r="G4014" s="727"/>
      <c r="H4014" s="727"/>
      <c r="I4014" s="727"/>
      <c r="J4014" s="727"/>
      <c r="K4014" s="727"/>
      <c r="L4014" s="137"/>
    </row>
    <row r="4015">
      <c r="A4015" s="1641"/>
      <c r="B4015" s="703"/>
      <c r="C4015" s="1644"/>
      <c r="D4015" s="1644"/>
      <c r="E4015" s="727"/>
      <c r="F4015" s="727"/>
      <c r="G4015" s="727"/>
      <c r="H4015" s="727"/>
      <c r="I4015" s="727"/>
      <c r="J4015" s="727"/>
      <c r="K4015" s="727"/>
      <c r="L4015" s="137"/>
    </row>
    <row r="4016">
      <c r="A4016" s="1641"/>
      <c r="B4016" s="703"/>
      <c r="C4016" s="1644"/>
      <c r="D4016" s="1644"/>
      <c r="E4016" s="727"/>
      <c r="F4016" s="727"/>
      <c r="G4016" s="727"/>
      <c r="H4016" s="727"/>
      <c r="I4016" s="727"/>
      <c r="J4016" s="727"/>
      <c r="K4016" s="727"/>
      <c r="L4016" s="137"/>
    </row>
    <row r="4017">
      <c r="A4017" s="1641"/>
      <c r="B4017" s="703"/>
      <c r="C4017" s="1644"/>
      <c r="D4017" s="1644"/>
      <c r="E4017" s="727"/>
      <c r="F4017" s="727"/>
      <c r="G4017" s="727"/>
      <c r="H4017" s="727"/>
      <c r="I4017" s="727"/>
      <c r="J4017" s="727"/>
      <c r="K4017" s="727"/>
      <c r="L4017" s="137"/>
    </row>
    <row r="4018">
      <c r="A4018" s="1641"/>
      <c r="B4018" s="703"/>
      <c r="C4018" s="1644"/>
      <c r="D4018" s="1644"/>
      <c r="E4018" s="727"/>
      <c r="F4018" s="727"/>
      <c r="G4018" s="727"/>
      <c r="H4018" s="727"/>
      <c r="I4018" s="727"/>
      <c r="J4018" s="727"/>
      <c r="K4018" s="727"/>
      <c r="L4018" s="137"/>
    </row>
    <row r="4019">
      <c r="A4019" s="1641"/>
      <c r="B4019" s="703"/>
      <c r="C4019" s="1644"/>
      <c r="D4019" s="1644"/>
      <c r="E4019" s="727"/>
      <c r="F4019" s="727"/>
      <c r="G4019" s="727"/>
      <c r="H4019" s="727"/>
      <c r="I4019" s="727"/>
      <c r="J4019" s="727"/>
      <c r="K4019" s="727"/>
      <c r="L4019" s="137"/>
    </row>
    <row r="4020">
      <c r="A4020" s="1641"/>
      <c r="B4020" s="703"/>
      <c r="C4020" s="1644"/>
      <c r="D4020" s="1644"/>
      <c r="E4020" s="727"/>
      <c r="F4020" s="727"/>
      <c r="G4020" s="727"/>
      <c r="H4020" s="727"/>
      <c r="I4020" s="727"/>
      <c r="J4020" s="727"/>
      <c r="K4020" s="727"/>
      <c r="L4020" s="137"/>
    </row>
    <row r="4021">
      <c r="A4021" s="1641"/>
      <c r="B4021" s="703"/>
      <c r="C4021" s="1644"/>
      <c r="D4021" s="1644"/>
      <c r="E4021" s="727"/>
      <c r="F4021" s="727"/>
      <c r="G4021" s="727"/>
      <c r="H4021" s="727"/>
      <c r="I4021" s="727"/>
      <c r="J4021" s="727"/>
      <c r="K4021" s="727"/>
      <c r="L4021" s="137"/>
    </row>
    <row r="4022">
      <c r="A4022" s="1641"/>
      <c r="B4022" s="703"/>
      <c r="C4022" s="1644"/>
      <c r="D4022" s="1644"/>
      <c r="E4022" s="727"/>
      <c r="F4022" s="727"/>
      <c r="G4022" s="727"/>
      <c r="H4022" s="727"/>
      <c r="I4022" s="727"/>
      <c r="J4022" s="727"/>
      <c r="K4022" s="727"/>
      <c r="L4022" s="137"/>
    </row>
    <row r="4023">
      <c r="A4023" s="1641"/>
      <c r="B4023" s="703"/>
      <c r="C4023" s="1644"/>
      <c r="D4023" s="1644"/>
      <c r="E4023" s="727"/>
      <c r="F4023" s="727"/>
      <c r="G4023" s="727"/>
      <c r="H4023" s="727"/>
      <c r="I4023" s="727"/>
      <c r="J4023" s="727"/>
      <c r="K4023" s="727"/>
      <c r="L4023" s="137"/>
    </row>
    <row r="4024">
      <c r="A4024" s="1641"/>
      <c r="B4024" s="703"/>
      <c r="C4024" s="1644"/>
      <c r="D4024" s="1644"/>
      <c r="E4024" s="727"/>
      <c r="F4024" s="727"/>
      <c r="G4024" s="727"/>
      <c r="H4024" s="727"/>
      <c r="I4024" s="727"/>
      <c r="J4024" s="727"/>
      <c r="K4024" s="727"/>
      <c r="L4024" s="137"/>
    </row>
    <row r="4025">
      <c r="A4025" s="1641"/>
      <c r="B4025" s="703"/>
      <c r="C4025" s="1644"/>
      <c r="D4025" s="1644"/>
      <c r="E4025" s="727"/>
      <c r="F4025" s="727"/>
      <c r="G4025" s="727"/>
      <c r="H4025" s="727"/>
      <c r="I4025" s="727"/>
      <c r="J4025" s="727"/>
      <c r="K4025" s="727"/>
      <c r="L4025" s="137"/>
    </row>
    <row r="4026">
      <c r="A4026" s="1641"/>
      <c r="B4026" s="703"/>
      <c r="C4026" s="1644"/>
      <c r="D4026" s="1644"/>
      <c r="E4026" s="727"/>
      <c r="F4026" s="727"/>
      <c r="G4026" s="727"/>
      <c r="H4026" s="727"/>
      <c r="I4026" s="727"/>
      <c r="J4026" s="727"/>
      <c r="K4026" s="727"/>
      <c r="L4026" s="137"/>
    </row>
    <row r="4027">
      <c r="A4027" s="1641"/>
      <c r="B4027" s="703"/>
      <c r="C4027" s="1644"/>
      <c r="D4027" s="1644"/>
      <c r="E4027" s="727"/>
      <c r="F4027" s="727"/>
      <c r="G4027" s="727"/>
      <c r="H4027" s="727"/>
      <c r="I4027" s="727"/>
      <c r="J4027" s="727"/>
      <c r="K4027" s="727"/>
      <c r="L4027" s="137"/>
    </row>
    <row r="4028">
      <c r="A4028" s="1641"/>
      <c r="B4028" s="703"/>
      <c r="C4028" s="1644"/>
      <c r="D4028" s="1644"/>
      <c r="E4028" s="727"/>
      <c r="F4028" s="727"/>
      <c r="G4028" s="727"/>
      <c r="H4028" s="727"/>
      <c r="I4028" s="727"/>
      <c r="J4028" s="727"/>
      <c r="K4028" s="727"/>
      <c r="L4028" s="137"/>
    </row>
    <row r="4029">
      <c r="A4029" s="1641"/>
      <c r="B4029" s="703"/>
      <c r="C4029" s="1644"/>
      <c r="D4029" s="1644"/>
      <c r="E4029" s="727"/>
      <c r="F4029" s="727"/>
      <c r="G4029" s="727"/>
      <c r="H4029" s="727"/>
      <c r="I4029" s="727"/>
      <c r="J4029" s="727"/>
      <c r="K4029" s="727"/>
      <c r="L4029" s="137"/>
    </row>
    <row r="4030">
      <c r="A4030" s="1641"/>
      <c r="B4030" s="703"/>
      <c r="C4030" s="1644"/>
      <c r="D4030" s="1644"/>
      <c r="E4030" s="727"/>
      <c r="F4030" s="727"/>
      <c r="G4030" s="727"/>
      <c r="H4030" s="727"/>
      <c r="I4030" s="727"/>
      <c r="J4030" s="727"/>
      <c r="K4030" s="727"/>
      <c r="L4030" s="137"/>
    </row>
    <row r="4031">
      <c r="A4031" s="1641"/>
      <c r="B4031" s="703"/>
      <c r="C4031" s="1644"/>
      <c r="D4031" s="1644"/>
      <c r="E4031" s="727"/>
      <c r="F4031" s="727"/>
      <c r="G4031" s="727"/>
      <c r="H4031" s="727"/>
      <c r="I4031" s="727"/>
      <c r="J4031" s="727"/>
      <c r="K4031" s="727"/>
      <c r="L4031" s="137"/>
    </row>
    <row r="4032">
      <c r="A4032" s="1641"/>
      <c r="B4032" s="703"/>
      <c r="C4032" s="1644"/>
      <c r="D4032" s="1644"/>
      <c r="E4032" s="727"/>
      <c r="F4032" s="727"/>
      <c r="G4032" s="727"/>
      <c r="H4032" s="727"/>
      <c r="I4032" s="727"/>
      <c r="J4032" s="727"/>
      <c r="K4032" s="727"/>
      <c r="L4032" s="137"/>
    </row>
    <row r="4033">
      <c r="A4033" s="1641"/>
      <c r="B4033" s="703"/>
      <c r="C4033" s="1644"/>
      <c r="D4033" s="1644"/>
      <c r="E4033" s="727"/>
      <c r="F4033" s="727"/>
      <c r="G4033" s="727"/>
      <c r="H4033" s="727"/>
      <c r="I4033" s="727"/>
      <c r="J4033" s="727"/>
      <c r="K4033" s="727"/>
      <c r="L4033" s="137"/>
    </row>
    <row r="4034">
      <c r="A4034" s="1641"/>
      <c r="B4034" s="703"/>
      <c r="C4034" s="1644"/>
      <c r="D4034" s="1644"/>
      <c r="E4034" s="727"/>
      <c r="F4034" s="727"/>
      <c r="G4034" s="727"/>
      <c r="H4034" s="727"/>
      <c r="I4034" s="727"/>
      <c r="J4034" s="727"/>
      <c r="K4034" s="727"/>
      <c r="L4034" s="137"/>
    </row>
    <row r="4035">
      <c r="A4035" s="1641"/>
      <c r="B4035" s="703"/>
      <c r="C4035" s="1644"/>
      <c r="D4035" s="1644"/>
      <c r="E4035" s="727"/>
      <c r="F4035" s="727"/>
      <c r="G4035" s="727"/>
      <c r="H4035" s="727"/>
      <c r="I4035" s="727"/>
      <c r="J4035" s="727"/>
      <c r="K4035" s="727"/>
      <c r="L4035" s="137"/>
    </row>
    <row r="4036">
      <c r="A4036" s="1641"/>
      <c r="B4036" s="703"/>
      <c r="C4036" s="1644"/>
      <c r="D4036" s="1644"/>
      <c r="E4036" s="727"/>
      <c r="F4036" s="727"/>
      <c r="G4036" s="727"/>
      <c r="H4036" s="727"/>
      <c r="I4036" s="727"/>
      <c r="J4036" s="727"/>
      <c r="K4036" s="727"/>
      <c r="L4036" s="137"/>
    </row>
    <row r="4037">
      <c r="A4037" s="1641"/>
      <c r="B4037" s="703"/>
      <c r="C4037" s="1644"/>
      <c r="D4037" s="1644"/>
      <c r="E4037" s="727"/>
      <c r="F4037" s="727"/>
      <c r="G4037" s="727"/>
      <c r="H4037" s="727"/>
      <c r="I4037" s="727"/>
      <c r="J4037" s="727"/>
      <c r="K4037" s="727"/>
      <c r="L4037" s="137"/>
    </row>
    <row r="4038">
      <c r="A4038" s="1641"/>
      <c r="B4038" s="703"/>
      <c r="C4038" s="1644"/>
      <c r="D4038" s="1644"/>
      <c r="E4038" s="727"/>
      <c r="F4038" s="727"/>
      <c r="G4038" s="727"/>
      <c r="H4038" s="727"/>
      <c r="I4038" s="727"/>
      <c r="J4038" s="727"/>
      <c r="K4038" s="727"/>
      <c r="L4038" s="137"/>
    </row>
    <row r="4039">
      <c r="A4039" s="1641"/>
      <c r="B4039" s="703"/>
      <c r="C4039" s="1644"/>
      <c r="D4039" s="1644"/>
      <c r="E4039" s="727"/>
      <c r="F4039" s="727"/>
      <c r="G4039" s="727"/>
      <c r="H4039" s="727"/>
      <c r="I4039" s="727"/>
      <c r="J4039" s="727"/>
      <c r="K4039" s="727"/>
      <c r="L4039" s="137"/>
    </row>
    <row r="4040">
      <c r="A4040" s="1641"/>
      <c r="B4040" s="703"/>
      <c r="C4040" s="1644"/>
      <c r="D4040" s="1644"/>
      <c r="E4040" s="727"/>
      <c r="F4040" s="727"/>
      <c r="G4040" s="727"/>
      <c r="H4040" s="727"/>
      <c r="I4040" s="727"/>
      <c r="J4040" s="727"/>
      <c r="K4040" s="727"/>
      <c r="L4040" s="137"/>
    </row>
    <row r="4041">
      <c r="A4041" s="1641"/>
      <c r="B4041" s="703"/>
      <c r="C4041" s="1644"/>
      <c r="D4041" s="1644"/>
      <c r="E4041" s="727"/>
      <c r="F4041" s="727"/>
      <c r="G4041" s="727"/>
      <c r="H4041" s="727"/>
      <c r="I4041" s="727"/>
      <c r="J4041" s="727"/>
      <c r="K4041" s="727"/>
      <c r="L4041" s="137"/>
    </row>
    <row r="4042">
      <c r="A4042" s="1641"/>
      <c r="B4042" s="703"/>
      <c r="C4042" s="1644"/>
      <c r="D4042" s="1644"/>
      <c r="E4042" s="727"/>
      <c r="F4042" s="727"/>
      <c r="G4042" s="727"/>
      <c r="H4042" s="727"/>
      <c r="I4042" s="727"/>
      <c r="J4042" s="727"/>
      <c r="K4042" s="727"/>
      <c r="L4042" s="137"/>
    </row>
    <row r="4043">
      <c r="A4043" s="1641"/>
      <c r="B4043" s="703"/>
      <c r="C4043" s="1644"/>
      <c r="D4043" s="1644"/>
      <c r="E4043" s="727"/>
      <c r="F4043" s="727"/>
      <c r="G4043" s="727"/>
      <c r="H4043" s="727"/>
      <c r="I4043" s="727"/>
      <c r="J4043" s="727"/>
      <c r="K4043" s="727"/>
      <c r="L4043" s="137"/>
    </row>
    <row r="4044">
      <c r="A4044" s="1641"/>
      <c r="B4044" s="703"/>
      <c r="C4044" s="1644"/>
      <c r="D4044" s="1644"/>
      <c r="E4044" s="727"/>
      <c r="F4044" s="727"/>
      <c r="G4044" s="727"/>
      <c r="H4044" s="727"/>
      <c r="I4044" s="727"/>
      <c r="J4044" s="727"/>
      <c r="K4044" s="727"/>
      <c r="L4044" s="137"/>
    </row>
    <row r="4045">
      <c r="A4045" s="1641"/>
      <c r="B4045" s="703"/>
      <c r="C4045" s="1644"/>
      <c r="D4045" s="1644"/>
      <c r="E4045" s="727"/>
      <c r="F4045" s="727"/>
      <c r="G4045" s="727"/>
      <c r="H4045" s="727"/>
      <c r="I4045" s="727"/>
      <c r="J4045" s="727"/>
      <c r="K4045" s="727"/>
      <c r="L4045" s="137"/>
    </row>
    <row r="4046">
      <c r="A4046" s="1641"/>
      <c r="B4046" s="703"/>
      <c r="C4046" s="1644"/>
      <c r="D4046" s="1644"/>
      <c r="E4046" s="727"/>
      <c r="F4046" s="727"/>
      <c r="G4046" s="727"/>
      <c r="H4046" s="727"/>
      <c r="I4046" s="727"/>
      <c r="J4046" s="727"/>
      <c r="K4046" s="727"/>
      <c r="L4046" s="137"/>
    </row>
    <row r="4047">
      <c r="A4047" s="1641"/>
      <c r="B4047" s="703"/>
      <c r="C4047" s="1644"/>
      <c r="D4047" s="1644"/>
      <c r="E4047" s="727"/>
      <c r="F4047" s="727"/>
      <c r="G4047" s="727"/>
      <c r="H4047" s="727"/>
      <c r="I4047" s="727"/>
      <c r="J4047" s="727"/>
      <c r="K4047" s="727"/>
      <c r="L4047" s="137"/>
    </row>
    <row r="4048">
      <c r="A4048" s="1641"/>
      <c r="B4048" s="703"/>
      <c r="C4048" s="1644"/>
      <c r="D4048" s="1644"/>
      <c r="E4048" s="727"/>
      <c r="F4048" s="727"/>
      <c r="G4048" s="727"/>
      <c r="H4048" s="727"/>
      <c r="I4048" s="727"/>
      <c r="J4048" s="727"/>
      <c r="K4048" s="727"/>
      <c r="L4048" s="137"/>
    </row>
    <row r="4049">
      <c r="A4049" s="1641"/>
      <c r="B4049" s="703"/>
      <c r="C4049" s="1644"/>
      <c r="D4049" s="1644"/>
      <c r="E4049" s="727"/>
      <c r="F4049" s="727"/>
      <c r="G4049" s="727"/>
      <c r="H4049" s="727"/>
      <c r="I4049" s="727"/>
      <c r="J4049" s="727"/>
      <c r="K4049" s="727"/>
      <c r="L4049" s="137"/>
    </row>
    <row r="4050">
      <c r="A4050" s="1641"/>
      <c r="B4050" s="703"/>
      <c r="C4050" s="1644"/>
      <c r="D4050" s="1644"/>
      <c r="E4050" s="727"/>
      <c r="F4050" s="727"/>
      <c r="G4050" s="727"/>
      <c r="H4050" s="727"/>
      <c r="I4050" s="727"/>
      <c r="J4050" s="727"/>
      <c r="K4050" s="727"/>
      <c r="L4050" s="137"/>
    </row>
    <row r="4051">
      <c r="A4051" s="1641"/>
      <c r="B4051" s="703"/>
      <c r="C4051" s="1644"/>
      <c r="D4051" s="1644"/>
      <c r="E4051" s="727"/>
      <c r="F4051" s="727"/>
      <c r="G4051" s="727"/>
      <c r="H4051" s="727"/>
      <c r="I4051" s="727"/>
      <c r="J4051" s="727"/>
      <c r="K4051" s="727"/>
      <c r="L4051" s="137"/>
    </row>
    <row r="4052">
      <c r="A4052" s="1641"/>
      <c r="B4052" s="703"/>
      <c r="C4052" s="1644"/>
      <c r="D4052" s="1644"/>
      <c r="E4052" s="727"/>
      <c r="F4052" s="727"/>
      <c r="G4052" s="727"/>
      <c r="H4052" s="727"/>
      <c r="I4052" s="727"/>
      <c r="J4052" s="727"/>
      <c r="K4052" s="727"/>
      <c r="L4052" s="137"/>
    </row>
    <row r="4053">
      <c r="A4053" s="1641"/>
      <c r="B4053" s="703"/>
      <c r="C4053" s="1644"/>
      <c r="D4053" s="1644"/>
      <c r="E4053" s="727"/>
      <c r="F4053" s="727"/>
      <c r="G4053" s="727"/>
      <c r="H4053" s="727"/>
      <c r="I4053" s="727"/>
      <c r="J4053" s="727"/>
      <c r="K4053" s="727"/>
      <c r="L4053" s="137"/>
    </row>
    <row r="4054">
      <c r="A4054" s="1641"/>
      <c r="B4054" s="703"/>
      <c r="C4054" s="1644"/>
      <c r="D4054" s="1644"/>
      <c r="E4054" s="727"/>
      <c r="F4054" s="727"/>
      <c r="G4054" s="727"/>
      <c r="H4054" s="727"/>
      <c r="I4054" s="727"/>
      <c r="J4054" s="727"/>
      <c r="K4054" s="727"/>
      <c r="L4054" s="137"/>
    </row>
    <row r="4055">
      <c r="A4055" s="1641"/>
      <c r="B4055" s="703"/>
      <c r="C4055" s="1644"/>
      <c r="D4055" s="1644"/>
      <c r="E4055" s="727"/>
      <c r="F4055" s="727"/>
      <c r="G4055" s="727"/>
      <c r="H4055" s="727"/>
      <c r="I4055" s="727"/>
      <c r="J4055" s="727"/>
      <c r="K4055" s="727"/>
      <c r="L4055" s="137"/>
    </row>
    <row r="4056">
      <c r="A4056" s="1641"/>
      <c r="B4056" s="703"/>
      <c r="C4056" s="1644"/>
      <c r="D4056" s="1644"/>
      <c r="E4056" s="727"/>
      <c r="F4056" s="727"/>
      <c r="G4056" s="727"/>
      <c r="H4056" s="727"/>
      <c r="I4056" s="727"/>
      <c r="J4056" s="727"/>
      <c r="K4056" s="727"/>
      <c r="L4056" s="137"/>
    </row>
    <row r="4057">
      <c r="A4057" s="1641"/>
      <c r="B4057" s="703"/>
      <c r="C4057" s="1644"/>
      <c r="D4057" s="1644"/>
      <c r="E4057" s="727"/>
      <c r="F4057" s="727"/>
      <c r="G4057" s="727"/>
      <c r="H4057" s="727"/>
      <c r="I4057" s="727"/>
      <c r="J4057" s="727"/>
      <c r="K4057" s="727"/>
      <c r="L4057" s="137"/>
    </row>
    <row r="4058">
      <c r="A4058" s="1641"/>
      <c r="B4058" s="703"/>
      <c r="C4058" s="1644"/>
      <c r="D4058" s="1644"/>
      <c r="E4058" s="727"/>
      <c r="F4058" s="727"/>
      <c r="G4058" s="727"/>
      <c r="H4058" s="727"/>
      <c r="I4058" s="727"/>
      <c r="J4058" s="727"/>
      <c r="K4058" s="727"/>
      <c r="L4058" s="137"/>
    </row>
    <row r="4059">
      <c r="A4059" s="1641"/>
      <c r="B4059" s="703"/>
      <c r="C4059" s="1644"/>
      <c r="D4059" s="1644"/>
      <c r="E4059" s="727"/>
      <c r="F4059" s="727"/>
      <c r="G4059" s="727"/>
      <c r="H4059" s="727"/>
      <c r="I4059" s="727"/>
      <c r="J4059" s="727"/>
      <c r="K4059" s="727"/>
      <c r="L4059" s="137"/>
    </row>
    <row r="4060">
      <c r="A4060" s="1641"/>
      <c r="B4060" s="703"/>
      <c r="C4060" s="1644"/>
      <c r="D4060" s="1644"/>
      <c r="E4060" s="727"/>
      <c r="F4060" s="727"/>
      <c r="G4060" s="727"/>
      <c r="H4060" s="727"/>
      <c r="I4060" s="727"/>
      <c r="J4060" s="727"/>
      <c r="K4060" s="727"/>
      <c r="L4060" s="137"/>
    </row>
    <row r="4061">
      <c r="A4061" s="1641"/>
      <c r="B4061" s="703"/>
      <c r="C4061" s="1644"/>
      <c r="D4061" s="1644"/>
      <c r="E4061" s="727"/>
      <c r="F4061" s="727"/>
      <c r="G4061" s="727"/>
      <c r="H4061" s="727"/>
      <c r="I4061" s="727"/>
      <c r="J4061" s="727"/>
      <c r="K4061" s="727"/>
      <c r="L4061" s="137"/>
    </row>
    <row r="4062">
      <c r="A4062" s="1641"/>
      <c r="B4062" s="703"/>
      <c r="C4062" s="1644"/>
      <c r="D4062" s="1644"/>
      <c r="E4062" s="727"/>
      <c r="F4062" s="727"/>
      <c r="G4062" s="727"/>
      <c r="H4062" s="727"/>
      <c r="I4062" s="727"/>
      <c r="J4062" s="727"/>
      <c r="K4062" s="727"/>
      <c r="L4062" s="137"/>
    </row>
    <row r="4063">
      <c r="A4063" s="1641"/>
      <c r="B4063" s="703"/>
      <c r="C4063" s="1644"/>
      <c r="D4063" s="1644"/>
      <c r="E4063" s="727"/>
      <c r="F4063" s="727"/>
      <c r="G4063" s="727"/>
      <c r="H4063" s="727"/>
      <c r="I4063" s="727"/>
      <c r="J4063" s="727"/>
      <c r="K4063" s="727"/>
      <c r="L4063" s="137"/>
    </row>
    <row r="4064">
      <c r="A4064" s="1641"/>
      <c r="B4064" s="703"/>
      <c r="C4064" s="1644"/>
      <c r="D4064" s="1644"/>
      <c r="E4064" s="727"/>
      <c r="F4064" s="727"/>
      <c r="G4064" s="727"/>
      <c r="H4064" s="727"/>
      <c r="I4064" s="727"/>
      <c r="J4064" s="727"/>
      <c r="K4064" s="727"/>
      <c r="L4064" s="137"/>
    </row>
    <row r="4065">
      <c r="A4065" s="1641"/>
      <c r="B4065" s="703"/>
      <c r="C4065" s="1644"/>
      <c r="D4065" s="1644"/>
      <c r="E4065" s="727"/>
      <c r="F4065" s="727"/>
      <c r="G4065" s="727"/>
      <c r="H4065" s="727"/>
      <c r="I4065" s="727"/>
      <c r="J4065" s="727"/>
      <c r="K4065" s="727"/>
      <c r="L4065" s="137"/>
    </row>
    <row r="4066">
      <c r="A4066" s="1641"/>
      <c r="B4066" s="703"/>
      <c r="C4066" s="1644"/>
      <c r="D4066" s="1644"/>
      <c r="E4066" s="727"/>
      <c r="F4066" s="727"/>
      <c r="G4066" s="727"/>
      <c r="H4066" s="727"/>
      <c r="I4066" s="727"/>
      <c r="J4066" s="727"/>
      <c r="K4066" s="727"/>
      <c r="L4066" s="137"/>
    </row>
    <row r="4067">
      <c r="A4067" s="1641"/>
      <c r="B4067" s="703"/>
      <c r="C4067" s="1644"/>
      <c r="D4067" s="1644"/>
      <c r="E4067" s="727"/>
      <c r="F4067" s="727"/>
      <c r="G4067" s="727"/>
      <c r="H4067" s="727"/>
      <c r="I4067" s="727"/>
      <c r="J4067" s="727"/>
      <c r="K4067" s="727"/>
      <c r="L4067" s="137"/>
    </row>
    <row r="4068">
      <c r="A4068" s="1641"/>
      <c r="B4068" s="703"/>
      <c r="C4068" s="1644"/>
      <c r="D4068" s="1644"/>
      <c r="E4068" s="727"/>
      <c r="F4068" s="727"/>
      <c r="G4068" s="727"/>
      <c r="H4068" s="727"/>
      <c r="I4068" s="727"/>
      <c r="J4068" s="727"/>
      <c r="K4068" s="727"/>
      <c r="L4068" s="137"/>
    </row>
    <row r="4069">
      <c r="A4069" s="1641"/>
      <c r="B4069" s="703"/>
      <c r="C4069" s="1644"/>
      <c r="D4069" s="1644"/>
      <c r="E4069" s="727"/>
      <c r="F4069" s="727"/>
      <c r="G4069" s="727"/>
      <c r="H4069" s="727"/>
      <c r="I4069" s="727"/>
      <c r="J4069" s="727"/>
      <c r="K4069" s="727"/>
      <c r="L4069" s="137"/>
    </row>
    <row r="4070">
      <c r="A4070" s="1641"/>
      <c r="B4070" s="703"/>
      <c r="C4070" s="1644"/>
      <c r="D4070" s="1644"/>
      <c r="E4070" s="727"/>
      <c r="F4070" s="727"/>
      <c r="G4070" s="727"/>
      <c r="H4070" s="727"/>
      <c r="I4070" s="727"/>
      <c r="J4070" s="727"/>
      <c r="K4070" s="727"/>
      <c r="L4070" s="137"/>
    </row>
    <row r="4071">
      <c r="A4071" s="1641"/>
      <c r="B4071" s="703"/>
      <c r="C4071" s="1644"/>
      <c r="D4071" s="1644"/>
      <c r="E4071" s="727"/>
      <c r="F4071" s="727"/>
      <c r="G4071" s="727"/>
      <c r="H4071" s="727"/>
      <c r="I4071" s="727"/>
      <c r="J4071" s="727"/>
      <c r="K4071" s="727"/>
      <c r="L4071" s="137"/>
    </row>
    <row r="4072">
      <c r="A4072" s="1641"/>
      <c r="B4072" s="703"/>
      <c r="C4072" s="1644"/>
      <c r="D4072" s="1644"/>
      <c r="E4072" s="727"/>
      <c r="F4072" s="727"/>
      <c r="G4072" s="727"/>
      <c r="H4072" s="727"/>
      <c r="I4072" s="727"/>
      <c r="J4072" s="727"/>
      <c r="K4072" s="727"/>
      <c r="L4072" s="137"/>
    </row>
    <row r="4073">
      <c r="A4073" s="1641"/>
      <c r="B4073" s="703"/>
      <c r="C4073" s="1644"/>
      <c r="D4073" s="1644"/>
      <c r="E4073" s="727"/>
      <c r="F4073" s="727"/>
      <c r="G4073" s="727"/>
      <c r="H4073" s="727"/>
      <c r="I4073" s="727"/>
      <c r="J4073" s="727"/>
      <c r="K4073" s="727"/>
      <c r="L4073" s="137"/>
    </row>
    <row r="4074">
      <c r="A4074" s="1641"/>
      <c r="B4074" s="703"/>
      <c r="C4074" s="1644"/>
      <c r="D4074" s="1644"/>
      <c r="E4074" s="727"/>
      <c r="F4074" s="727"/>
      <c r="G4074" s="727"/>
      <c r="H4074" s="727"/>
      <c r="I4074" s="727"/>
      <c r="J4074" s="727"/>
      <c r="K4074" s="727"/>
      <c r="L4074" s="137"/>
    </row>
    <row r="4075">
      <c r="A4075" s="1641"/>
      <c r="B4075" s="703"/>
      <c r="C4075" s="1644"/>
      <c r="D4075" s="1644"/>
      <c r="E4075" s="727"/>
      <c r="F4075" s="727"/>
      <c r="G4075" s="727"/>
      <c r="H4075" s="727"/>
      <c r="I4075" s="727"/>
      <c r="J4075" s="727"/>
      <c r="K4075" s="727"/>
      <c r="L4075" s="137"/>
    </row>
    <row r="4076">
      <c r="A4076" s="1641"/>
      <c r="B4076" s="703"/>
      <c r="C4076" s="1644"/>
      <c r="D4076" s="1644"/>
      <c r="E4076" s="727"/>
      <c r="F4076" s="727"/>
      <c r="G4076" s="727"/>
      <c r="H4076" s="727"/>
      <c r="I4076" s="727"/>
      <c r="J4076" s="727"/>
      <c r="K4076" s="727"/>
      <c r="L4076" s="137"/>
    </row>
    <row r="4077">
      <c r="A4077" s="1641"/>
      <c r="B4077" s="703"/>
      <c r="C4077" s="1644"/>
      <c r="D4077" s="1644"/>
      <c r="E4077" s="727"/>
      <c r="F4077" s="727"/>
      <c r="G4077" s="727"/>
      <c r="H4077" s="727"/>
      <c r="I4077" s="727"/>
      <c r="J4077" s="727"/>
      <c r="K4077" s="727"/>
      <c r="L4077" s="137"/>
    </row>
    <row r="4078">
      <c r="A4078" s="1641"/>
      <c r="B4078" s="703"/>
      <c r="C4078" s="1644"/>
      <c r="D4078" s="1644"/>
      <c r="E4078" s="727"/>
      <c r="F4078" s="727"/>
      <c r="G4078" s="727"/>
      <c r="H4078" s="727"/>
      <c r="I4078" s="727"/>
      <c r="J4078" s="727"/>
      <c r="K4078" s="727"/>
      <c r="L4078" s="137"/>
    </row>
    <row r="4079">
      <c r="A4079" s="1641"/>
      <c r="B4079" s="703"/>
      <c r="C4079" s="1644"/>
      <c r="D4079" s="1644"/>
      <c r="E4079" s="727"/>
      <c r="F4079" s="727"/>
      <c r="G4079" s="727"/>
      <c r="H4079" s="727"/>
      <c r="I4079" s="727"/>
      <c r="J4079" s="727"/>
      <c r="K4079" s="727"/>
      <c r="L4079" s="137"/>
    </row>
    <row r="4080">
      <c r="A4080" s="1641"/>
      <c r="B4080" s="703"/>
      <c r="C4080" s="1644"/>
      <c r="D4080" s="1644"/>
      <c r="E4080" s="727"/>
      <c r="F4080" s="727"/>
      <c r="G4080" s="727"/>
      <c r="H4080" s="727"/>
      <c r="I4080" s="727"/>
      <c r="J4080" s="727"/>
      <c r="K4080" s="727"/>
      <c r="L4080" s="137"/>
    </row>
    <row r="4081">
      <c r="A4081" s="1641"/>
      <c r="B4081" s="703"/>
      <c r="C4081" s="1644"/>
      <c r="D4081" s="1644"/>
      <c r="E4081" s="727"/>
      <c r="F4081" s="727"/>
      <c r="G4081" s="727"/>
      <c r="H4081" s="727"/>
      <c r="I4081" s="727"/>
      <c r="J4081" s="727"/>
      <c r="K4081" s="727"/>
      <c r="L4081" s="137"/>
    </row>
    <row r="4082">
      <c r="A4082" s="1641"/>
      <c r="B4082" s="703"/>
      <c r="C4082" s="1644"/>
      <c r="D4082" s="1644"/>
      <c r="E4082" s="727"/>
      <c r="F4082" s="727"/>
      <c r="G4082" s="727"/>
      <c r="H4082" s="727"/>
      <c r="I4082" s="727"/>
      <c r="J4082" s="727"/>
      <c r="K4082" s="727"/>
      <c r="L4082" s="137"/>
    </row>
    <row r="4083">
      <c r="A4083" s="1641"/>
      <c r="B4083" s="703"/>
      <c r="C4083" s="1644"/>
      <c r="D4083" s="1644"/>
      <c r="E4083" s="727"/>
      <c r="F4083" s="727"/>
      <c r="G4083" s="727"/>
      <c r="H4083" s="727"/>
      <c r="I4083" s="727"/>
      <c r="J4083" s="727"/>
      <c r="K4083" s="727"/>
      <c r="L4083" s="137"/>
    </row>
    <row r="4084">
      <c r="A4084" s="1641"/>
      <c r="B4084" s="703"/>
      <c r="C4084" s="1644"/>
      <c r="D4084" s="1644"/>
      <c r="E4084" s="727"/>
      <c r="F4084" s="727"/>
      <c r="G4084" s="727"/>
      <c r="H4084" s="727"/>
      <c r="I4084" s="727"/>
      <c r="J4084" s="727"/>
      <c r="K4084" s="727"/>
      <c r="L4084" s="137"/>
    </row>
    <row r="4085">
      <c r="A4085" s="1641"/>
      <c r="B4085" s="703"/>
      <c r="C4085" s="1644"/>
      <c r="D4085" s="1644"/>
      <c r="E4085" s="727"/>
      <c r="F4085" s="727"/>
      <c r="G4085" s="727"/>
      <c r="H4085" s="727"/>
      <c r="I4085" s="727"/>
      <c r="J4085" s="727"/>
      <c r="K4085" s="727"/>
      <c r="L4085" s="137"/>
    </row>
    <row r="4086">
      <c r="A4086" s="1641"/>
      <c r="B4086" s="703"/>
      <c r="C4086" s="1644"/>
      <c r="D4086" s="1644"/>
      <c r="E4086" s="727"/>
      <c r="F4086" s="727"/>
      <c r="G4086" s="727"/>
      <c r="H4086" s="727"/>
      <c r="I4086" s="727"/>
      <c r="J4086" s="727"/>
      <c r="K4086" s="727"/>
      <c r="L4086" s="137"/>
    </row>
    <row r="4087">
      <c r="A4087" s="1641"/>
      <c r="B4087" s="703"/>
      <c r="C4087" s="1644"/>
      <c r="D4087" s="1644"/>
      <c r="E4087" s="727"/>
      <c r="F4087" s="727"/>
      <c r="G4087" s="727"/>
      <c r="H4087" s="727"/>
      <c r="I4087" s="727"/>
      <c r="J4087" s="727"/>
      <c r="K4087" s="727"/>
      <c r="L4087" s="137"/>
    </row>
    <row r="4088">
      <c r="A4088" s="1641"/>
      <c r="B4088" s="703"/>
      <c r="C4088" s="1644"/>
      <c r="D4088" s="1644"/>
      <c r="E4088" s="727"/>
      <c r="F4088" s="727"/>
      <c r="G4088" s="727"/>
      <c r="H4088" s="727"/>
      <c r="I4088" s="727"/>
      <c r="J4088" s="727"/>
      <c r="K4088" s="727"/>
      <c r="L4088" s="137"/>
    </row>
    <row r="4089">
      <c r="A4089" s="1641"/>
      <c r="B4089" s="703"/>
      <c r="C4089" s="1644"/>
      <c r="D4089" s="1644"/>
      <c r="E4089" s="727"/>
      <c r="F4089" s="727"/>
      <c r="G4089" s="727"/>
      <c r="H4089" s="727"/>
      <c r="I4089" s="727"/>
      <c r="J4089" s="727"/>
      <c r="K4089" s="727"/>
      <c r="L4089" s="137"/>
    </row>
    <row r="4090">
      <c r="A4090" s="1641"/>
      <c r="B4090" s="703"/>
      <c r="C4090" s="1644"/>
      <c r="D4090" s="1644"/>
      <c r="E4090" s="727"/>
      <c r="F4090" s="727"/>
      <c r="G4090" s="727"/>
      <c r="H4090" s="727"/>
      <c r="I4090" s="727"/>
      <c r="J4090" s="727"/>
      <c r="K4090" s="727"/>
      <c r="L4090" s="137"/>
    </row>
    <row r="4091">
      <c r="A4091" s="1641"/>
      <c r="B4091" s="703"/>
      <c r="C4091" s="1644"/>
      <c r="D4091" s="1644"/>
      <c r="E4091" s="727"/>
      <c r="F4091" s="727"/>
      <c r="G4091" s="727"/>
      <c r="H4091" s="727"/>
      <c r="I4091" s="727"/>
      <c r="J4091" s="727"/>
      <c r="K4091" s="727"/>
      <c r="L4091" s="137"/>
    </row>
    <row r="4092">
      <c r="A4092" s="1641"/>
      <c r="B4092" s="703"/>
      <c r="C4092" s="1644"/>
      <c r="D4092" s="1644"/>
      <c r="E4092" s="727"/>
      <c r="F4092" s="727"/>
      <c r="G4092" s="727"/>
      <c r="H4092" s="727"/>
      <c r="I4092" s="727"/>
      <c r="J4092" s="727"/>
      <c r="K4092" s="727"/>
      <c r="L4092" s="137"/>
    </row>
    <row r="4093">
      <c r="A4093" s="1641"/>
      <c r="B4093" s="703"/>
      <c r="C4093" s="1644"/>
      <c r="D4093" s="1644"/>
      <c r="E4093" s="727"/>
      <c r="F4093" s="727"/>
      <c r="G4093" s="727"/>
      <c r="H4093" s="727"/>
      <c r="I4093" s="727"/>
      <c r="J4093" s="727"/>
      <c r="K4093" s="727"/>
      <c r="L4093" s="137"/>
    </row>
    <row r="4094">
      <c r="A4094" s="1641"/>
      <c r="B4094" s="703"/>
      <c r="C4094" s="1644"/>
      <c r="D4094" s="1644"/>
      <c r="E4094" s="727"/>
      <c r="F4094" s="727"/>
      <c r="G4094" s="727"/>
      <c r="H4094" s="727"/>
      <c r="I4094" s="727"/>
      <c r="J4094" s="727"/>
      <c r="K4094" s="727"/>
      <c r="L4094" s="137"/>
    </row>
    <row r="4095">
      <c r="A4095" s="1641"/>
      <c r="B4095" s="703"/>
      <c r="C4095" s="1644"/>
      <c r="D4095" s="1644"/>
      <c r="E4095" s="727"/>
      <c r="F4095" s="727"/>
      <c r="G4095" s="727"/>
      <c r="H4095" s="727"/>
      <c r="I4095" s="727"/>
      <c r="J4095" s="727"/>
      <c r="K4095" s="727"/>
      <c r="L4095" s="137"/>
    </row>
    <row r="4096">
      <c r="A4096" s="1641"/>
      <c r="B4096" s="703"/>
      <c r="C4096" s="1644"/>
      <c r="D4096" s="1644"/>
      <c r="E4096" s="727"/>
      <c r="F4096" s="727"/>
      <c r="G4096" s="727"/>
      <c r="H4096" s="727"/>
      <c r="I4096" s="727"/>
      <c r="J4096" s="727"/>
      <c r="K4096" s="727"/>
      <c r="L4096" s="137"/>
    </row>
    <row r="4097">
      <c r="A4097" s="1641"/>
      <c r="B4097" s="703"/>
      <c r="C4097" s="1644"/>
      <c r="D4097" s="1644"/>
      <c r="E4097" s="727"/>
      <c r="F4097" s="727"/>
      <c r="G4097" s="727"/>
      <c r="H4097" s="727"/>
      <c r="I4097" s="727"/>
      <c r="J4097" s="727"/>
      <c r="K4097" s="727"/>
      <c r="L4097" s="137"/>
    </row>
    <row r="4098">
      <c r="A4098" s="1641"/>
      <c r="B4098" s="703"/>
      <c r="C4098" s="1644"/>
      <c r="D4098" s="1644"/>
      <c r="E4098" s="727"/>
      <c r="F4098" s="727"/>
      <c r="G4098" s="727"/>
      <c r="H4098" s="727"/>
      <c r="I4098" s="727"/>
      <c r="J4098" s="727"/>
      <c r="K4098" s="727"/>
      <c r="L4098" s="137"/>
    </row>
    <row r="4099">
      <c r="A4099" s="1641"/>
      <c r="B4099" s="703"/>
      <c r="C4099" s="1644"/>
      <c r="D4099" s="1644"/>
      <c r="E4099" s="727"/>
      <c r="F4099" s="727"/>
      <c r="G4099" s="727"/>
      <c r="H4099" s="727"/>
      <c r="I4099" s="727"/>
      <c r="J4099" s="727"/>
      <c r="K4099" s="727"/>
      <c r="L4099" s="137"/>
    </row>
    <row r="4100">
      <c r="A4100" s="1641"/>
      <c r="B4100" s="703"/>
      <c r="C4100" s="1644"/>
      <c r="D4100" s="1644"/>
      <c r="E4100" s="727"/>
      <c r="F4100" s="727"/>
      <c r="G4100" s="727"/>
      <c r="H4100" s="727"/>
      <c r="I4100" s="727"/>
      <c r="J4100" s="727"/>
      <c r="K4100" s="727"/>
      <c r="L4100" s="137"/>
    </row>
    <row r="4101">
      <c r="A4101" s="1641"/>
      <c r="B4101" s="703"/>
      <c r="C4101" s="1644"/>
      <c r="D4101" s="1644"/>
      <c r="E4101" s="727"/>
      <c r="F4101" s="727"/>
      <c r="G4101" s="727"/>
      <c r="H4101" s="727"/>
      <c r="I4101" s="727"/>
      <c r="J4101" s="727"/>
      <c r="K4101" s="727"/>
      <c r="L4101" s="137"/>
    </row>
    <row r="4102">
      <c r="A4102" s="1641"/>
      <c r="B4102" s="703"/>
      <c r="C4102" s="1644"/>
      <c r="D4102" s="1644"/>
      <c r="E4102" s="727"/>
      <c r="F4102" s="727"/>
      <c r="G4102" s="727"/>
      <c r="H4102" s="727"/>
      <c r="I4102" s="727"/>
      <c r="J4102" s="727"/>
      <c r="K4102" s="727"/>
      <c r="L4102" s="137"/>
    </row>
    <row r="4103">
      <c r="A4103" s="1641"/>
      <c r="B4103" s="703"/>
      <c r="C4103" s="1644"/>
      <c r="D4103" s="1644"/>
      <c r="E4103" s="727"/>
      <c r="F4103" s="727"/>
      <c r="G4103" s="727"/>
      <c r="H4103" s="727"/>
      <c r="I4103" s="727"/>
      <c r="J4103" s="727"/>
      <c r="K4103" s="727"/>
      <c r="L4103" s="137"/>
    </row>
    <row r="4104">
      <c r="A4104" s="1641"/>
      <c r="B4104" s="703"/>
      <c r="C4104" s="1644"/>
      <c r="D4104" s="1644"/>
      <c r="E4104" s="727"/>
      <c r="F4104" s="727"/>
      <c r="G4104" s="727"/>
      <c r="H4104" s="727"/>
      <c r="I4104" s="727"/>
      <c r="J4104" s="727"/>
      <c r="K4104" s="727"/>
      <c r="L4104" s="137"/>
    </row>
    <row r="4105">
      <c r="A4105" s="1641"/>
      <c r="B4105" s="703"/>
      <c r="C4105" s="1644"/>
      <c r="D4105" s="1644"/>
      <c r="E4105" s="727"/>
      <c r="F4105" s="727"/>
      <c r="G4105" s="727"/>
      <c r="H4105" s="727"/>
      <c r="I4105" s="727"/>
      <c r="J4105" s="727"/>
      <c r="K4105" s="727"/>
      <c r="L4105" s="137"/>
    </row>
    <row r="4106">
      <c r="A4106" s="1641"/>
      <c r="B4106" s="703"/>
      <c r="C4106" s="1644"/>
      <c r="D4106" s="1644"/>
      <c r="E4106" s="727"/>
      <c r="F4106" s="727"/>
      <c r="G4106" s="727"/>
      <c r="H4106" s="727"/>
      <c r="I4106" s="727"/>
      <c r="J4106" s="727"/>
      <c r="K4106" s="727"/>
      <c r="L4106" s="137"/>
    </row>
    <row r="4107">
      <c r="A4107" s="1641"/>
      <c r="B4107" s="703"/>
      <c r="C4107" s="1644"/>
      <c r="D4107" s="1644"/>
      <c r="E4107" s="727"/>
      <c r="F4107" s="727"/>
      <c r="G4107" s="727"/>
      <c r="H4107" s="727"/>
      <c r="I4107" s="727"/>
      <c r="J4107" s="727"/>
      <c r="K4107" s="727"/>
      <c r="L4107" s="137"/>
    </row>
    <row r="4108">
      <c r="A4108" s="1641"/>
      <c r="B4108" s="703"/>
      <c r="C4108" s="1644"/>
      <c r="D4108" s="1644"/>
      <c r="E4108" s="727"/>
      <c r="F4108" s="727"/>
      <c r="G4108" s="727"/>
      <c r="H4108" s="727"/>
      <c r="I4108" s="727"/>
      <c r="J4108" s="727"/>
      <c r="K4108" s="727"/>
      <c r="L4108" s="137"/>
    </row>
    <row r="4109">
      <c r="A4109" s="1641"/>
      <c r="B4109" s="703"/>
      <c r="C4109" s="1644"/>
      <c r="D4109" s="1644"/>
      <c r="E4109" s="727"/>
      <c r="F4109" s="727"/>
      <c r="G4109" s="727"/>
      <c r="H4109" s="727"/>
      <c r="I4109" s="727"/>
      <c r="J4109" s="727"/>
      <c r="K4109" s="727"/>
      <c r="L4109" s="137"/>
    </row>
    <row r="4110">
      <c r="A4110" s="1641"/>
      <c r="B4110" s="703"/>
      <c r="C4110" s="1644"/>
      <c r="D4110" s="1644"/>
      <c r="E4110" s="727"/>
      <c r="F4110" s="727"/>
      <c r="G4110" s="727"/>
      <c r="H4110" s="727"/>
      <c r="I4110" s="727"/>
      <c r="J4110" s="727"/>
      <c r="K4110" s="727"/>
      <c r="L4110" s="137"/>
    </row>
    <row r="4111">
      <c r="A4111" s="1641"/>
      <c r="B4111" s="703"/>
      <c r="C4111" s="1644"/>
      <c r="D4111" s="1644"/>
      <c r="E4111" s="727"/>
      <c r="F4111" s="727"/>
      <c r="G4111" s="727"/>
      <c r="H4111" s="727"/>
      <c r="I4111" s="727"/>
      <c r="J4111" s="727"/>
      <c r="K4111" s="727"/>
      <c r="L4111" s="137"/>
    </row>
    <row r="4112">
      <c r="A4112" s="1641"/>
      <c r="B4112" s="703"/>
      <c r="C4112" s="1644"/>
      <c r="D4112" s="1644"/>
      <c r="E4112" s="727"/>
      <c r="F4112" s="727"/>
      <c r="G4112" s="727"/>
      <c r="H4112" s="727"/>
      <c r="I4112" s="727"/>
      <c r="J4112" s="727"/>
      <c r="K4112" s="727"/>
      <c r="L4112" s="137"/>
    </row>
    <row r="4113">
      <c r="A4113" s="1641"/>
      <c r="B4113" s="703"/>
      <c r="C4113" s="1644"/>
      <c r="D4113" s="1644"/>
      <c r="E4113" s="727"/>
      <c r="F4113" s="727"/>
      <c r="G4113" s="727"/>
      <c r="H4113" s="727"/>
      <c r="I4113" s="727"/>
      <c r="J4113" s="727"/>
      <c r="K4113" s="727"/>
      <c r="L4113" s="137"/>
    </row>
    <row r="4114">
      <c r="A4114" s="1641"/>
      <c r="B4114" s="703"/>
      <c r="C4114" s="1644"/>
      <c r="D4114" s="1644"/>
      <c r="E4114" s="727"/>
      <c r="F4114" s="727"/>
      <c r="G4114" s="727"/>
      <c r="H4114" s="727"/>
      <c r="I4114" s="727"/>
      <c r="J4114" s="727"/>
      <c r="K4114" s="727"/>
      <c r="L4114" s="137"/>
    </row>
    <row r="4115">
      <c r="A4115" s="1641"/>
      <c r="B4115" s="703"/>
      <c r="C4115" s="1644"/>
      <c r="D4115" s="1644"/>
      <c r="E4115" s="727"/>
      <c r="F4115" s="727"/>
      <c r="G4115" s="727"/>
      <c r="H4115" s="727"/>
      <c r="I4115" s="727"/>
      <c r="J4115" s="727"/>
      <c r="K4115" s="727"/>
      <c r="L4115" s="137"/>
    </row>
    <row r="4116">
      <c r="A4116" s="1641"/>
      <c r="B4116" s="703"/>
      <c r="C4116" s="1644"/>
      <c r="D4116" s="1644"/>
      <c r="E4116" s="727"/>
      <c r="F4116" s="727"/>
      <c r="G4116" s="727"/>
      <c r="H4116" s="727"/>
      <c r="I4116" s="727"/>
      <c r="J4116" s="727"/>
      <c r="K4116" s="727"/>
      <c r="L4116" s="137"/>
    </row>
    <row r="4117">
      <c r="A4117" s="1641"/>
      <c r="B4117" s="703"/>
      <c r="C4117" s="1644"/>
      <c r="D4117" s="1644"/>
      <c r="E4117" s="727"/>
      <c r="F4117" s="727"/>
      <c r="G4117" s="727"/>
      <c r="H4117" s="727"/>
      <c r="I4117" s="727"/>
      <c r="J4117" s="727"/>
      <c r="K4117" s="727"/>
      <c r="L4117" s="137"/>
    </row>
    <row r="4118">
      <c r="A4118" s="1641"/>
      <c r="B4118" s="703"/>
      <c r="C4118" s="1644"/>
      <c r="D4118" s="1644"/>
      <c r="E4118" s="727"/>
      <c r="F4118" s="727"/>
      <c r="G4118" s="727"/>
      <c r="H4118" s="727"/>
      <c r="I4118" s="727"/>
      <c r="J4118" s="727"/>
      <c r="K4118" s="727"/>
      <c r="L4118" s="137"/>
    </row>
    <row r="4119">
      <c r="A4119" s="1641"/>
      <c r="B4119" s="703"/>
      <c r="C4119" s="1644"/>
      <c r="D4119" s="1644"/>
      <c r="E4119" s="727"/>
      <c r="F4119" s="727"/>
      <c r="G4119" s="727"/>
      <c r="H4119" s="727"/>
      <c r="I4119" s="727"/>
      <c r="J4119" s="727"/>
      <c r="K4119" s="727"/>
      <c r="L4119" s="137"/>
    </row>
    <row r="4120">
      <c r="A4120" s="1641"/>
      <c r="B4120" s="703"/>
      <c r="C4120" s="1644"/>
      <c r="D4120" s="1644"/>
      <c r="E4120" s="727"/>
      <c r="F4120" s="727"/>
      <c r="G4120" s="727"/>
      <c r="H4120" s="727"/>
      <c r="I4120" s="727"/>
      <c r="J4120" s="727"/>
      <c r="K4120" s="727"/>
      <c r="L4120" s="137"/>
    </row>
    <row r="4121">
      <c r="A4121" s="1641"/>
      <c r="B4121" s="703"/>
      <c r="C4121" s="1644"/>
      <c r="D4121" s="1644"/>
      <c r="E4121" s="727"/>
      <c r="F4121" s="727"/>
      <c r="G4121" s="727"/>
      <c r="H4121" s="727"/>
      <c r="I4121" s="727"/>
      <c r="J4121" s="727"/>
      <c r="K4121" s="727"/>
      <c r="L4121" s="137"/>
    </row>
    <row r="4122">
      <c r="A4122" s="1641"/>
      <c r="B4122" s="703"/>
      <c r="C4122" s="1644"/>
      <c r="D4122" s="1644"/>
      <c r="E4122" s="727"/>
      <c r="F4122" s="727"/>
      <c r="G4122" s="727"/>
      <c r="H4122" s="727"/>
      <c r="I4122" s="727"/>
      <c r="J4122" s="727"/>
      <c r="K4122" s="727"/>
      <c r="L4122" s="137"/>
    </row>
    <row r="4123">
      <c r="A4123" s="1641"/>
      <c r="B4123" s="703"/>
      <c r="C4123" s="1644"/>
      <c r="D4123" s="1644"/>
      <c r="E4123" s="727"/>
      <c r="F4123" s="727"/>
      <c r="G4123" s="727"/>
      <c r="H4123" s="727"/>
      <c r="I4123" s="727"/>
      <c r="J4123" s="727"/>
      <c r="K4123" s="727"/>
      <c r="L4123" s="137"/>
    </row>
    <row r="4124">
      <c r="A4124" s="1641"/>
      <c r="B4124" s="703"/>
      <c r="C4124" s="1644"/>
      <c r="D4124" s="1644"/>
      <c r="E4124" s="727"/>
      <c r="F4124" s="727"/>
      <c r="G4124" s="727"/>
      <c r="H4124" s="727"/>
      <c r="I4124" s="727"/>
      <c r="J4124" s="727"/>
      <c r="K4124" s="727"/>
      <c r="L4124" s="137"/>
    </row>
    <row r="4125">
      <c r="A4125" s="1641"/>
      <c r="B4125" s="703"/>
      <c r="C4125" s="1644"/>
      <c r="D4125" s="1644"/>
      <c r="E4125" s="727"/>
      <c r="F4125" s="727"/>
      <c r="G4125" s="727"/>
      <c r="H4125" s="727"/>
      <c r="I4125" s="727"/>
      <c r="J4125" s="727"/>
      <c r="K4125" s="727"/>
      <c r="L4125" s="137"/>
    </row>
    <row r="4126">
      <c r="A4126" s="1641"/>
      <c r="B4126" s="703"/>
      <c r="C4126" s="1644"/>
      <c r="D4126" s="1644"/>
      <c r="E4126" s="727"/>
      <c r="F4126" s="727"/>
      <c r="G4126" s="727"/>
      <c r="H4126" s="727"/>
      <c r="I4126" s="727"/>
      <c r="J4126" s="727"/>
      <c r="K4126" s="727"/>
      <c r="L4126" s="137"/>
    </row>
    <row r="4127">
      <c r="A4127" s="1641"/>
      <c r="B4127" s="703"/>
      <c r="C4127" s="1644"/>
      <c r="D4127" s="1644"/>
      <c r="E4127" s="727"/>
      <c r="F4127" s="727"/>
      <c r="G4127" s="727"/>
      <c r="H4127" s="727"/>
      <c r="I4127" s="727"/>
      <c r="J4127" s="727"/>
      <c r="K4127" s="727"/>
      <c r="L4127" s="137"/>
    </row>
    <row r="4128">
      <c r="A4128" s="1641"/>
      <c r="B4128" s="703"/>
      <c r="C4128" s="1644"/>
      <c r="D4128" s="1644"/>
      <c r="E4128" s="727"/>
      <c r="F4128" s="727"/>
      <c r="G4128" s="727"/>
      <c r="H4128" s="727"/>
      <c r="I4128" s="727"/>
      <c r="J4128" s="727"/>
      <c r="K4128" s="727"/>
      <c r="L4128" s="137"/>
    </row>
    <row r="4129">
      <c r="A4129" s="1641"/>
      <c r="B4129" s="703"/>
      <c r="C4129" s="1644"/>
      <c r="D4129" s="1644"/>
      <c r="E4129" s="727"/>
      <c r="F4129" s="727"/>
      <c r="G4129" s="727"/>
      <c r="H4129" s="727"/>
      <c r="I4129" s="727"/>
      <c r="J4129" s="727"/>
      <c r="K4129" s="727"/>
      <c r="L4129" s="137"/>
    </row>
    <row r="4130">
      <c r="A4130" s="1641"/>
      <c r="B4130" s="703"/>
      <c r="C4130" s="1644"/>
      <c r="D4130" s="1644"/>
      <c r="E4130" s="727"/>
      <c r="F4130" s="727"/>
      <c r="G4130" s="727"/>
      <c r="H4130" s="727"/>
      <c r="I4130" s="727"/>
      <c r="J4130" s="727"/>
      <c r="K4130" s="727"/>
      <c r="L4130" s="137"/>
    </row>
    <row r="4131">
      <c r="A4131" s="1641"/>
      <c r="B4131" s="703"/>
      <c r="C4131" s="1644"/>
      <c r="D4131" s="1644"/>
      <c r="E4131" s="727"/>
      <c r="F4131" s="727"/>
      <c r="G4131" s="727"/>
      <c r="H4131" s="727"/>
      <c r="I4131" s="727"/>
      <c r="J4131" s="727"/>
      <c r="K4131" s="727"/>
      <c r="L4131" s="137"/>
    </row>
    <row r="4132">
      <c r="A4132" s="1641"/>
      <c r="B4132" s="703"/>
      <c r="C4132" s="1644"/>
      <c r="D4132" s="1644"/>
      <c r="E4132" s="727"/>
      <c r="F4132" s="727"/>
      <c r="G4132" s="727"/>
      <c r="H4132" s="727"/>
      <c r="I4132" s="727"/>
      <c r="J4132" s="727"/>
      <c r="K4132" s="727"/>
      <c r="L4132" s="137"/>
    </row>
    <row r="4133">
      <c r="A4133" s="1641"/>
      <c r="B4133" s="703"/>
      <c r="C4133" s="1644"/>
      <c r="D4133" s="1644"/>
      <c r="E4133" s="727"/>
      <c r="F4133" s="727"/>
      <c r="G4133" s="727"/>
      <c r="H4133" s="727"/>
      <c r="I4133" s="727"/>
      <c r="J4133" s="727"/>
      <c r="K4133" s="727"/>
      <c r="L4133" s="137"/>
    </row>
    <row r="4134">
      <c r="A4134" s="1641"/>
      <c r="B4134" s="703"/>
      <c r="C4134" s="1644"/>
      <c r="D4134" s="1644"/>
      <c r="E4134" s="727"/>
      <c r="F4134" s="727"/>
      <c r="G4134" s="727"/>
      <c r="H4134" s="727"/>
      <c r="I4134" s="727"/>
      <c r="J4134" s="727"/>
      <c r="K4134" s="727"/>
      <c r="L4134" s="137"/>
    </row>
    <row r="4135">
      <c r="A4135" s="1641"/>
      <c r="B4135" s="703"/>
      <c r="C4135" s="1644"/>
      <c r="D4135" s="1644"/>
      <c r="E4135" s="727"/>
      <c r="F4135" s="727"/>
      <c r="G4135" s="727"/>
      <c r="H4135" s="727"/>
      <c r="I4135" s="727"/>
      <c r="J4135" s="727"/>
      <c r="K4135" s="727"/>
      <c r="L4135" s="137"/>
    </row>
    <row r="4136">
      <c r="A4136" s="1641"/>
      <c r="B4136" s="703"/>
      <c r="C4136" s="1644"/>
      <c r="D4136" s="1644"/>
      <c r="E4136" s="727"/>
      <c r="F4136" s="727"/>
      <c r="G4136" s="727"/>
      <c r="H4136" s="727"/>
      <c r="I4136" s="727"/>
      <c r="J4136" s="727"/>
      <c r="K4136" s="727"/>
      <c r="L4136" s="137"/>
    </row>
    <row r="4137">
      <c r="A4137" s="1641"/>
      <c r="B4137" s="703"/>
      <c r="C4137" s="1644"/>
      <c r="D4137" s="1644"/>
      <c r="E4137" s="727"/>
      <c r="F4137" s="727"/>
      <c r="G4137" s="727"/>
      <c r="H4137" s="727"/>
      <c r="I4137" s="727"/>
      <c r="J4137" s="727"/>
      <c r="K4137" s="727"/>
      <c r="L4137" s="137"/>
    </row>
    <row r="4138">
      <c r="A4138" s="1641"/>
      <c r="B4138" s="703"/>
      <c r="C4138" s="1644"/>
      <c r="D4138" s="1644"/>
      <c r="E4138" s="727"/>
      <c r="F4138" s="727"/>
      <c r="G4138" s="727"/>
      <c r="H4138" s="727"/>
      <c r="I4138" s="727"/>
      <c r="J4138" s="727"/>
      <c r="K4138" s="727"/>
      <c r="L4138" s="137"/>
    </row>
    <row r="4139">
      <c r="A4139" s="1641"/>
      <c r="B4139" s="703"/>
      <c r="C4139" s="1644"/>
      <c r="D4139" s="1644"/>
      <c r="E4139" s="727"/>
      <c r="F4139" s="727"/>
      <c r="G4139" s="727"/>
      <c r="H4139" s="727"/>
      <c r="I4139" s="727"/>
      <c r="J4139" s="727"/>
      <c r="K4139" s="727"/>
      <c r="L4139" s="137"/>
    </row>
    <row r="4140">
      <c r="A4140" s="1641"/>
      <c r="B4140" s="703"/>
      <c r="C4140" s="1644"/>
      <c r="D4140" s="1644"/>
      <c r="E4140" s="727"/>
      <c r="F4140" s="727"/>
      <c r="G4140" s="727"/>
      <c r="H4140" s="727"/>
      <c r="I4140" s="727"/>
      <c r="J4140" s="727"/>
      <c r="K4140" s="727"/>
      <c r="L4140" s="137"/>
    </row>
    <row r="4141">
      <c r="A4141" s="1641"/>
      <c r="B4141" s="703"/>
      <c r="C4141" s="1644"/>
      <c r="D4141" s="1644"/>
      <c r="E4141" s="727"/>
      <c r="F4141" s="727"/>
      <c r="G4141" s="727"/>
      <c r="H4141" s="727"/>
      <c r="I4141" s="727"/>
      <c r="J4141" s="727"/>
      <c r="K4141" s="727"/>
      <c r="L4141" s="137"/>
    </row>
    <row r="4142">
      <c r="A4142" s="1641"/>
      <c r="B4142" s="703"/>
      <c r="C4142" s="1644"/>
      <c r="D4142" s="1644"/>
      <c r="E4142" s="727"/>
      <c r="F4142" s="727"/>
      <c r="G4142" s="727"/>
      <c r="H4142" s="727"/>
      <c r="I4142" s="727"/>
      <c r="J4142" s="727"/>
      <c r="K4142" s="727"/>
      <c r="L4142" s="137"/>
    </row>
    <row r="4143">
      <c r="A4143" s="1641"/>
      <c r="B4143" s="703"/>
      <c r="C4143" s="1644"/>
      <c r="D4143" s="1644"/>
      <c r="E4143" s="727"/>
      <c r="F4143" s="727"/>
      <c r="G4143" s="727"/>
      <c r="H4143" s="727"/>
      <c r="I4143" s="727"/>
      <c r="J4143" s="727"/>
      <c r="K4143" s="727"/>
      <c r="L4143" s="137"/>
    </row>
    <row r="4144">
      <c r="A4144" s="1641"/>
      <c r="B4144" s="703"/>
      <c r="C4144" s="1644"/>
      <c r="D4144" s="1644"/>
      <c r="E4144" s="727"/>
      <c r="F4144" s="727"/>
      <c r="G4144" s="727"/>
      <c r="H4144" s="727"/>
      <c r="I4144" s="727"/>
      <c r="J4144" s="727"/>
      <c r="K4144" s="727"/>
      <c r="L4144" s="137"/>
    </row>
    <row r="4145">
      <c r="A4145" s="1641"/>
      <c r="B4145" s="703"/>
      <c r="C4145" s="1644"/>
      <c r="D4145" s="1644"/>
      <c r="E4145" s="727"/>
      <c r="F4145" s="727"/>
      <c r="G4145" s="727"/>
      <c r="H4145" s="727"/>
      <c r="I4145" s="727"/>
      <c r="J4145" s="727"/>
      <c r="K4145" s="727"/>
      <c r="L4145" s="137"/>
    </row>
    <row r="4146">
      <c r="A4146" s="1641"/>
      <c r="B4146" s="703"/>
      <c r="C4146" s="1644"/>
      <c r="D4146" s="1644"/>
      <c r="E4146" s="727"/>
      <c r="F4146" s="727"/>
      <c r="G4146" s="727"/>
      <c r="H4146" s="727"/>
      <c r="I4146" s="727"/>
      <c r="J4146" s="727"/>
      <c r="K4146" s="727"/>
      <c r="L4146" s="137"/>
    </row>
    <row r="4147">
      <c r="A4147" s="1641"/>
      <c r="B4147" s="703"/>
      <c r="C4147" s="1644"/>
      <c r="D4147" s="1644"/>
      <c r="E4147" s="727"/>
      <c r="F4147" s="727"/>
      <c r="G4147" s="727"/>
      <c r="H4147" s="727"/>
      <c r="I4147" s="727"/>
      <c r="J4147" s="727"/>
      <c r="K4147" s="727"/>
      <c r="L4147" s="137"/>
    </row>
    <row r="4148">
      <c r="A4148" s="1641"/>
      <c r="B4148" s="703"/>
      <c r="C4148" s="1644"/>
      <c r="D4148" s="1644"/>
      <c r="E4148" s="727"/>
      <c r="F4148" s="727"/>
      <c r="G4148" s="727"/>
      <c r="H4148" s="727"/>
      <c r="I4148" s="727"/>
      <c r="J4148" s="727"/>
      <c r="K4148" s="727"/>
      <c r="L4148" s="137"/>
    </row>
    <row r="4149">
      <c r="A4149" s="1641"/>
      <c r="B4149" s="703"/>
      <c r="C4149" s="1644"/>
      <c r="D4149" s="1644"/>
      <c r="E4149" s="727"/>
      <c r="F4149" s="727"/>
      <c r="G4149" s="727"/>
      <c r="H4149" s="727"/>
      <c r="I4149" s="727"/>
      <c r="J4149" s="727"/>
      <c r="K4149" s="727"/>
      <c r="L4149" s="137"/>
    </row>
    <row r="4150">
      <c r="A4150" s="1641"/>
      <c r="B4150" s="703"/>
      <c r="C4150" s="1644"/>
      <c r="D4150" s="1644"/>
      <c r="E4150" s="727"/>
      <c r="F4150" s="727"/>
      <c r="G4150" s="727"/>
      <c r="H4150" s="727"/>
      <c r="I4150" s="727"/>
      <c r="J4150" s="727"/>
      <c r="K4150" s="727"/>
      <c r="L4150" s="137"/>
    </row>
    <row r="4151">
      <c r="A4151" s="1641"/>
      <c r="B4151" s="703"/>
      <c r="C4151" s="1644"/>
      <c r="D4151" s="1644"/>
      <c r="E4151" s="727"/>
      <c r="F4151" s="727"/>
      <c r="G4151" s="727"/>
      <c r="H4151" s="727"/>
      <c r="I4151" s="727"/>
      <c r="J4151" s="727"/>
      <c r="K4151" s="727"/>
      <c r="L4151" s="137"/>
    </row>
    <row r="4152">
      <c r="A4152" s="1641"/>
      <c r="B4152" s="703"/>
      <c r="C4152" s="1644"/>
      <c r="D4152" s="1644"/>
      <c r="E4152" s="727"/>
      <c r="F4152" s="727"/>
      <c r="G4152" s="727"/>
      <c r="H4152" s="727"/>
      <c r="I4152" s="727"/>
      <c r="J4152" s="727"/>
      <c r="K4152" s="727"/>
      <c r="L4152" s="137"/>
    </row>
    <row r="4153">
      <c r="A4153" s="1641"/>
      <c r="B4153" s="703"/>
      <c r="C4153" s="1644"/>
      <c r="D4153" s="1644"/>
      <c r="E4153" s="727"/>
      <c r="F4153" s="727"/>
      <c r="G4153" s="727"/>
      <c r="H4153" s="727"/>
      <c r="I4153" s="727"/>
      <c r="J4153" s="727"/>
      <c r="K4153" s="727"/>
      <c r="L4153" s="137"/>
    </row>
    <row r="4154">
      <c r="A4154" s="1641"/>
      <c r="B4154" s="703"/>
      <c r="C4154" s="1644"/>
      <c r="D4154" s="1644"/>
      <c r="E4154" s="727"/>
      <c r="F4154" s="727"/>
      <c r="G4154" s="727"/>
      <c r="H4154" s="727"/>
      <c r="I4154" s="727"/>
      <c r="J4154" s="727"/>
      <c r="K4154" s="727"/>
      <c r="L4154" s="137"/>
    </row>
    <row r="4155">
      <c r="A4155" s="1641"/>
      <c r="B4155" s="703"/>
      <c r="C4155" s="1644"/>
      <c r="D4155" s="1644"/>
      <c r="E4155" s="727"/>
      <c r="F4155" s="727"/>
      <c r="G4155" s="727"/>
      <c r="H4155" s="727"/>
      <c r="I4155" s="727"/>
      <c r="J4155" s="727"/>
      <c r="K4155" s="727"/>
      <c r="L4155" s="137"/>
    </row>
    <row r="4156">
      <c r="A4156" s="1641"/>
      <c r="B4156" s="703"/>
      <c r="C4156" s="1644"/>
      <c r="D4156" s="1644"/>
      <c r="E4156" s="727"/>
      <c r="F4156" s="727"/>
      <c r="G4156" s="727"/>
      <c r="H4156" s="727"/>
      <c r="I4156" s="727"/>
      <c r="J4156" s="727"/>
      <c r="K4156" s="727"/>
      <c r="L4156" s="137"/>
    </row>
    <row r="4157">
      <c r="A4157" s="1641"/>
      <c r="B4157" s="703"/>
      <c r="C4157" s="1644"/>
      <c r="D4157" s="1644"/>
      <c r="E4157" s="727"/>
      <c r="F4157" s="727"/>
      <c r="G4157" s="727"/>
      <c r="H4157" s="727"/>
      <c r="I4157" s="727"/>
      <c r="J4157" s="727"/>
      <c r="K4157" s="727"/>
      <c r="L4157" s="137"/>
    </row>
    <row r="4158">
      <c r="A4158" s="1641"/>
      <c r="B4158" s="703"/>
      <c r="C4158" s="1644"/>
      <c r="D4158" s="1644"/>
      <c r="E4158" s="727"/>
      <c r="F4158" s="727"/>
      <c r="G4158" s="727"/>
      <c r="H4158" s="727"/>
      <c r="I4158" s="727"/>
      <c r="J4158" s="727"/>
      <c r="K4158" s="727"/>
      <c r="L4158" s="137"/>
    </row>
    <row r="4159">
      <c r="A4159" s="1641"/>
      <c r="B4159" s="703"/>
      <c r="C4159" s="1644"/>
      <c r="D4159" s="1644"/>
      <c r="E4159" s="727"/>
      <c r="F4159" s="727"/>
      <c r="G4159" s="727"/>
      <c r="H4159" s="727"/>
      <c r="I4159" s="727"/>
      <c r="J4159" s="727"/>
      <c r="K4159" s="727"/>
      <c r="L4159" s="137"/>
    </row>
    <row r="4160">
      <c r="A4160" s="1641"/>
      <c r="B4160" s="703"/>
      <c r="C4160" s="1644"/>
      <c r="D4160" s="1644"/>
      <c r="E4160" s="727"/>
      <c r="F4160" s="727"/>
      <c r="G4160" s="727"/>
      <c r="H4160" s="727"/>
      <c r="I4160" s="727"/>
      <c r="J4160" s="727"/>
      <c r="K4160" s="727"/>
      <c r="L4160" s="137"/>
    </row>
    <row r="4161">
      <c r="A4161" s="1641"/>
      <c r="B4161" s="703"/>
      <c r="C4161" s="1644"/>
      <c r="D4161" s="1644"/>
      <c r="E4161" s="727"/>
      <c r="F4161" s="727"/>
      <c r="G4161" s="727"/>
      <c r="H4161" s="727"/>
      <c r="I4161" s="727"/>
      <c r="J4161" s="727"/>
      <c r="K4161" s="727"/>
      <c r="L4161" s="137"/>
    </row>
    <row r="4162">
      <c r="A4162" s="1641"/>
      <c r="B4162" s="703"/>
      <c r="C4162" s="1644"/>
      <c r="D4162" s="1644"/>
      <c r="E4162" s="727"/>
      <c r="F4162" s="727"/>
      <c r="G4162" s="727"/>
      <c r="H4162" s="727"/>
      <c r="I4162" s="727"/>
      <c r="J4162" s="727"/>
      <c r="K4162" s="727"/>
      <c r="L4162" s="137"/>
    </row>
    <row r="4163">
      <c r="A4163" s="1641"/>
      <c r="B4163" s="703"/>
      <c r="C4163" s="1644"/>
      <c r="D4163" s="1644"/>
      <c r="E4163" s="727"/>
      <c r="F4163" s="727"/>
      <c r="G4163" s="727"/>
      <c r="H4163" s="727"/>
      <c r="I4163" s="727"/>
      <c r="J4163" s="727"/>
      <c r="K4163" s="727"/>
      <c r="L4163" s="137"/>
    </row>
    <row r="4164">
      <c r="A4164" s="1641"/>
      <c r="B4164" s="703"/>
      <c r="C4164" s="1644"/>
      <c r="D4164" s="1644"/>
      <c r="E4164" s="727"/>
      <c r="F4164" s="727"/>
      <c r="G4164" s="727"/>
      <c r="H4164" s="727"/>
      <c r="I4164" s="727"/>
      <c r="J4164" s="727"/>
      <c r="K4164" s="727"/>
      <c r="L4164" s="137"/>
    </row>
    <row r="4165">
      <c r="A4165" s="1641"/>
      <c r="B4165" s="703"/>
      <c r="C4165" s="1644"/>
      <c r="D4165" s="1644"/>
      <c r="E4165" s="727"/>
      <c r="F4165" s="727"/>
      <c r="G4165" s="727"/>
      <c r="H4165" s="727"/>
      <c r="I4165" s="727"/>
      <c r="J4165" s="727"/>
      <c r="K4165" s="727"/>
      <c r="L4165" s="137"/>
    </row>
    <row r="4166">
      <c r="A4166" s="1641"/>
      <c r="B4166" s="703"/>
      <c r="C4166" s="1644"/>
      <c r="D4166" s="1644"/>
      <c r="E4166" s="727"/>
      <c r="F4166" s="727"/>
      <c r="G4166" s="727"/>
      <c r="H4166" s="727"/>
      <c r="I4166" s="727"/>
      <c r="J4166" s="727"/>
      <c r="K4166" s="727"/>
      <c r="L4166" s="137"/>
    </row>
    <row r="4167">
      <c r="A4167" s="1641"/>
      <c r="B4167" s="703"/>
      <c r="C4167" s="1644"/>
      <c r="D4167" s="1644"/>
      <c r="E4167" s="727"/>
      <c r="F4167" s="727"/>
      <c r="G4167" s="727"/>
      <c r="H4167" s="727"/>
      <c r="I4167" s="727"/>
      <c r="J4167" s="727"/>
      <c r="K4167" s="727"/>
      <c r="L4167" s="137"/>
    </row>
    <row r="4168">
      <c r="A4168" s="1641"/>
      <c r="B4168" s="703"/>
      <c r="C4168" s="1644"/>
      <c r="D4168" s="1644"/>
      <c r="E4168" s="727"/>
      <c r="F4168" s="727"/>
      <c r="G4168" s="727"/>
      <c r="H4168" s="727"/>
      <c r="I4168" s="727"/>
      <c r="J4168" s="727"/>
      <c r="K4168" s="727"/>
      <c r="L4168" s="137"/>
    </row>
    <row r="4169">
      <c r="A4169" s="1641"/>
      <c r="B4169" s="703"/>
      <c r="C4169" s="1644"/>
      <c r="D4169" s="1644"/>
      <c r="E4169" s="727"/>
      <c r="F4169" s="727"/>
      <c r="G4169" s="727"/>
      <c r="H4169" s="727"/>
      <c r="I4169" s="727"/>
      <c r="J4169" s="727"/>
      <c r="K4169" s="727"/>
      <c r="L4169" s="137"/>
    </row>
    <row r="4170">
      <c r="A4170" s="1641"/>
      <c r="B4170" s="703"/>
      <c r="C4170" s="1644"/>
      <c r="D4170" s="1644"/>
      <c r="E4170" s="727"/>
      <c r="F4170" s="727"/>
      <c r="G4170" s="727"/>
      <c r="H4170" s="727"/>
      <c r="I4170" s="727"/>
      <c r="J4170" s="727"/>
      <c r="K4170" s="727"/>
      <c r="L4170" s="137"/>
    </row>
    <row r="4171">
      <c r="A4171" s="1641"/>
      <c r="B4171" s="703"/>
      <c r="C4171" s="1644"/>
      <c r="D4171" s="1644"/>
      <c r="E4171" s="727"/>
      <c r="F4171" s="727"/>
      <c r="G4171" s="727"/>
      <c r="H4171" s="727"/>
      <c r="I4171" s="727"/>
      <c r="J4171" s="727"/>
      <c r="K4171" s="727"/>
      <c r="L4171" s="137"/>
    </row>
    <row r="4172">
      <c r="A4172" s="1641"/>
      <c r="B4172" s="703"/>
      <c r="C4172" s="1644"/>
      <c r="D4172" s="1644"/>
      <c r="E4172" s="727"/>
      <c r="F4172" s="727"/>
      <c r="G4172" s="727"/>
      <c r="H4172" s="727"/>
      <c r="I4172" s="727"/>
      <c r="J4172" s="727"/>
      <c r="K4172" s="727"/>
      <c r="L4172" s="137"/>
    </row>
    <row r="4173">
      <c r="A4173" s="1641"/>
      <c r="B4173" s="703"/>
      <c r="C4173" s="1644"/>
      <c r="D4173" s="1644"/>
      <c r="E4173" s="727"/>
      <c r="F4173" s="727"/>
      <c r="G4173" s="727"/>
      <c r="H4173" s="727"/>
      <c r="I4173" s="727"/>
      <c r="J4173" s="727"/>
      <c r="K4173" s="727"/>
      <c r="L4173" s="137"/>
    </row>
    <row r="4174">
      <c r="A4174" s="1641"/>
      <c r="B4174" s="703"/>
      <c r="C4174" s="1644"/>
      <c r="D4174" s="1644"/>
      <c r="E4174" s="727"/>
      <c r="F4174" s="727"/>
      <c r="G4174" s="727"/>
      <c r="H4174" s="727"/>
      <c r="I4174" s="727"/>
      <c r="J4174" s="727"/>
      <c r="K4174" s="727"/>
      <c r="L4174" s="137"/>
    </row>
    <row r="4175">
      <c r="A4175" s="1641"/>
      <c r="B4175" s="703"/>
      <c r="C4175" s="1644"/>
      <c r="D4175" s="1644"/>
      <c r="E4175" s="727"/>
      <c r="F4175" s="727"/>
      <c r="G4175" s="727"/>
      <c r="H4175" s="727"/>
      <c r="I4175" s="727"/>
      <c r="J4175" s="727"/>
      <c r="K4175" s="727"/>
      <c r="L4175" s="137"/>
    </row>
    <row r="4176">
      <c r="A4176" s="1641"/>
      <c r="B4176" s="703"/>
      <c r="C4176" s="1644"/>
      <c r="D4176" s="1644"/>
      <c r="E4176" s="727"/>
      <c r="F4176" s="727"/>
      <c r="G4176" s="727"/>
      <c r="H4176" s="727"/>
      <c r="I4176" s="727"/>
      <c r="J4176" s="727"/>
      <c r="K4176" s="727"/>
      <c r="L4176" s="137"/>
    </row>
    <row r="4177">
      <c r="A4177" s="1641"/>
      <c r="B4177" s="703"/>
      <c r="C4177" s="1644"/>
      <c r="D4177" s="1644"/>
      <c r="E4177" s="727"/>
      <c r="F4177" s="727"/>
      <c r="G4177" s="727"/>
      <c r="H4177" s="727"/>
      <c r="I4177" s="727"/>
      <c r="J4177" s="727"/>
      <c r="K4177" s="727"/>
      <c r="L4177" s="137"/>
    </row>
    <row r="4178">
      <c r="A4178" s="1641"/>
      <c r="B4178" s="703"/>
      <c r="C4178" s="1644"/>
      <c r="D4178" s="1644"/>
      <c r="E4178" s="727"/>
      <c r="F4178" s="727"/>
      <c r="G4178" s="727"/>
      <c r="H4178" s="727"/>
      <c r="I4178" s="727"/>
      <c r="J4178" s="727"/>
      <c r="K4178" s="727"/>
      <c r="L4178" s="137"/>
    </row>
    <row r="4179">
      <c r="A4179" s="1641"/>
      <c r="B4179" s="703"/>
      <c r="C4179" s="1644"/>
      <c r="D4179" s="1644"/>
      <c r="E4179" s="727"/>
      <c r="F4179" s="727"/>
      <c r="G4179" s="727"/>
      <c r="H4179" s="727"/>
      <c r="I4179" s="727"/>
      <c r="J4179" s="727"/>
      <c r="K4179" s="727"/>
      <c r="L4179" s="137"/>
    </row>
    <row r="4180">
      <c r="A4180" s="1641"/>
      <c r="B4180" s="703"/>
      <c r="C4180" s="1644"/>
      <c r="D4180" s="1644"/>
      <c r="E4180" s="727"/>
      <c r="F4180" s="727"/>
      <c r="G4180" s="727"/>
      <c r="H4180" s="727"/>
      <c r="I4180" s="727"/>
      <c r="J4180" s="727"/>
      <c r="K4180" s="727"/>
      <c r="L4180" s="137"/>
    </row>
    <row r="4181">
      <c r="A4181" s="1641"/>
      <c r="B4181" s="703"/>
      <c r="C4181" s="1644"/>
      <c r="D4181" s="1644"/>
      <c r="E4181" s="727"/>
      <c r="F4181" s="727"/>
      <c r="G4181" s="727"/>
      <c r="H4181" s="727"/>
      <c r="I4181" s="727"/>
      <c r="J4181" s="727"/>
      <c r="K4181" s="727"/>
      <c r="L4181" s="137"/>
    </row>
    <row r="4182">
      <c r="A4182" s="1641"/>
      <c r="B4182" s="703"/>
      <c r="C4182" s="1644"/>
      <c r="D4182" s="1644"/>
      <c r="E4182" s="727"/>
      <c r="F4182" s="727"/>
      <c r="G4182" s="727"/>
      <c r="H4182" s="727"/>
      <c r="I4182" s="727"/>
      <c r="J4182" s="727"/>
      <c r="K4182" s="727"/>
      <c r="L4182" s="137"/>
    </row>
    <row r="4183">
      <c r="A4183" s="1641"/>
      <c r="B4183" s="703"/>
      <c r="C4183" s="1644"/>
      <c r="D4183" s="1644"/>
      <c r="E4183" s="727"/>
      <c r="F4183" s="727"/>
      <c r="G4183" s="727"/>
      <c r="H4183" s="727"/>
      <c r="I4183" s="727"/>
      <c r="J4183" s="727"/>
      <c r="K4183" s="727"/>
      <c r="L4183" s="137"/>
    </row>
    <row r="4184">
      <c r="A4184" s="1641"/>
      <c r="B4184" s="703"/>
      <c r="C4184" s="1644"/>
      <c r="D4184" s="1644"/>
      <c r="E4184" s="727"/>
      <c r="F4184" s="727"/>
      <c r="G4184" s="727"/>
      <c r="H4184" s="727"/>
      <c r="I4184" s="727"/>
      <c r="J4184" s="727"/>
      <c r="K4184" s="727"/>
      <c r="L4184" s="137"/>
    </row>
    <row r="4185">
      <c r="A4185" s="1641"/>
      <c r="B4185" s="703"/>
      <c r="C4185" s="1644"/>
      <c r="D4185" s="1644"/>
      <c r="E4185" s="727"/>
      <c r="F4185" s="727"/>
      <c r="G4185" s="727"/>
      <c r="H4185" s="727"/>
      <c r="I4185" s="727"/>
      <c r="J4185" s="727"/>
      <c r="K4185" s="727"/>
      <c r="L4185" s="137"/>
    </row>
    <row r="4186">
      <c r="A4186" s="1641"/>
      <c r="B4186" s="703"/>
      <c r="C4186" s="1644"/>
      <c r="D4186" s="1644"/>
      <c r="E4186" s="727"/>
      <c r="F4186" s="727"/>
      <c r="G4186" s="727"/>
      <c r="H4186" s="727"/>
      <c r="I4186" s="727"/>
      <c r="J4186" s="727"/>
      <c r="K4186" s="727"/>
      <c r="L4186" s="137"/>
    </row>
    <row r="4187">
      <c r="A4187" s="1641"/>
      <c r="B4187" s="703"/>
      <c r="C4187" s="1644"/>
      <c r="D4187" s="1644"/>
      <c r="E4187" s="727"/>
      <c r="F4187" s="727"/>
      <c r="G4187" s="727"/>
      <c r="H4187" s="727"/>
      <c r="I4187" s="727"/>
      <c r="J4187" s="727"/>
      <c r="K4187" s="727"/>
      <c r="L4187" s="137"/>
    </row>
    <row r="4188">
      <c r="A4188" s="1641"/>
      <c r="B4188" s="703"/>
      <c r="C4188" s="1644"/>
      <c r="D4188" s="1644"/>
      <c r="E4188" s="727"/>
      <c r="F4188" s="727"/>
      <c r="G4188" s="727"/>
      <c r="H4188" s="727"/>
      <c r="I4188" s="727"/>
      <c r="J4188" s="727"/>
      <c r="K4188" s="727"/>
      <c r="L4188" s="137"/>
    </row>
    <row r="4189">
      <c r="A4189" s="1641"/>
      <c r="B4189" s="703"/>
      <c r="C4189" s="1644"/>
      <c r="D4189" s="1644"/>
      <c r="E4189" s="727"/>
      <c r="F4189" s="727"/>
      <c r="G4189" s="727"/>
      <c r="H4189" s="727"/>
      <c r="I4189" s="727"/>
      <c r="J4189" s="727"/>
      <c r="K4189" s="727"/>
      <c r="L4189" s="137"/>
    </row>
    <row r="4190">
      <c r="A4190" s="1641"/>
      <c r="B4190" s="703"/>
      <c r="C4190" s="1644"/>
      <c r="D4190" s="1644"/>
      <c r="E4190" s="727"/>
      <c r="F4190" s="727"/>
      <c r="G4190" s="727"/>
      <c r="H4190" s="727"/>
      <c r="I4190" s="727"/>
      <c r="J4190" s="727"/>
      <c r="K4190" s="727"/>
      <c r="L4190" s="137"/>
    </row>
    <row r="4191">
      <c r="A4191" s="1641"/>
      <c r="B4191" s="703"/>
      <c r="C4191" s="1644"/>
      <c r="D4191" s="1644"/>
      <c r="E4191" s="727"/>
      <c r="F4191" s="727"/>
      <c r="G4191" s="727"/>
      <c r="H4191" s="727"/>
      <c r="I4191" s="727"/>
      <c r="J4191" s="727"/>
      <c r="K4191" s="727"/>
      <c r="L4191" s="137"/>
    </row>
    <row r="4192">
      <c r="A4192" s="1641"/>
      <c r="B4192" s="703"/>
      <c r="C4192" s="1644"/>
      <c r="D4192" s="1644"/>
      <c r="E4192" s="727"/>
      <c r="F4192" s="727"/>
      <c r="G4192" s="727"/>
      <c r="H4192" s="727"/>
      <c r="I4192" s="727"/>
      <c r="J4192" s="727"/>
      <c r="K4192" s="727"/>
      <c r="L4192" s="137"/>
    </row>
    <row r="4193">
      <c r="A4193" s="1641"/>
      <c r="B4193" s="703"/>
      <c r="C4193" s="1644"/>
      <c r="D4193" s="1644"/>
      <c r="E4193" s="727"/>
      <c r="F4193" s="727"/>
      <c r="G4193" s="727"/>
      <c r="H4193" s="727"/>
      <c r="I4193" s="727"/>
      <c r="J4193" s="727"/>
      <c r="K4193" s="727"/>
      <c r="L4193" s="137"/>
    </row>
    <row r="4194">
      <c r="A4194" s="1641"/>
      <c r="B4194" s="703"/>
      <c r="C4194" s="1644"/>
      <c r="D4194" s="1644"/>
      <c r="E4194" s="727"/>
      <c r="F4194" s="727"/>
      <c r="G4194" s="727"/>
      <c r="H4194" s="727"/>
      <c r="I4194" s="727"/>
      <c r="J4194" s="727"/>
      <c r="K4194" s="727"/>
      <c r="L4194" s="137"/>
    </row>
    <row r="4195">
      <c r="A4195" s="1641"/>
      <c r="B4195" s="703"/>
      <c r="C4195" s="1644"/>
      <c r="D4195" s="1644"/>
      <c r="E4195" s="727"/>
      <c r="F4195" s="727"/>
      <c r="G4195" s="727"/>
      <c r="H4195" s="727"/>
      <c r="I4195" s="727"/>
      <c r="J4195" s="727"/>
      <c r="K4195" s="727"/>
      <c r="L4195" s="137"/>
    </row>
    <row r="4196">
      <c r="A4196" s="1641"/>
      <c r="B4196" s="703"/>
      <c r="C4196" s="1644"/>
      <c r="D4196" s="1644"/>
      <c r="E4196" s="727"/>
      <c r="F4196" s="727"/>
      <c r="G4196" s="727"/>
      <c r="H4196" s="727"/>
      <c r="I4196" s="727"/>
      <c r="J4196" s="727"/>
      <c r="K4196" s="727"/>
      <c r="L4196" s="137"/>
    </row>
    <row r="4197">
      <c r="A4197" s="1641"/>
      <c r="B4197" s="703"/>
      <c r="C4197" s="1644"/>
      <c r="D4197" s="1644"/>
      <c r="E4197" s="727"/>
      <c r="F4197" s="727"/>
      <c r="G4197" s="727"/>
      <c r="H4197" s="727"/>
      <c r="I4197" s="727"/>
      <c r="J4197" s="727"/>
      <c r="K4197" s="727"/>
      <c r="L4197" s="137"/>
    </row>
    <row r="4198">
      <c r="A4198" s="1641"/>
      <c r="B4198" s="703"/>
      <c r="C4198" s="1644"/>
      <c r="D4198" s="1644"/>
      <c r="E4198" s="727"/>
      <c r="F4198" s="727"/>
      <c r="G4198" s="727"/>
      <c r="H4198" s="727"/>
      <c r="I4198" s="727"/>
      <c r="J4198" s="727"/>
      <c r="K4198" s="727"/>
      <c r="L4198" s="137"/>
    </row>
    <row r="4199">
      <c r="A4199" s="1641"/>
      <c r="B4199" s="703"/>
      <c r="C4199" s="1644"/>
      <c r="D4199" s="1644"/>
      <c r="E4199" s="727"/>
      <c r="F4199" s="727"/>
      <c r="G4199" s="727"/>
      <c r="H4199" s="727"/>
      <c r="I4199" s="727"/>
      <c r="J4199" s="727"/>
      <c r="K4199" s="727"/>
      <c r="L4199" s="137"/>
    </row>
    <row r="4200">
      <c r="A4200" s="1641"/>
      <c r="B4200" s="703"/>
      <c r="C4200" s="1644"/>
      <c r="D4200" s="1644"/>
      <c r="E4200" s="727"/>
      <c r="F4200" s="727"/>
      <c r="G4200" s="727"/>
      <c r="H4200" s="727"/>
      <c r="I4200" s="727"/>
      <c r="J4200" s="727"/>
      <c r="K4200" s="727"/>
      <c r="L4200" s="137"/>
    </row>
    <row r="4201">
      <c r="A4201" s="1641"/>
      <c r="B4201" s="703"/>
      <c r="C4201" s="1644"/>
      <c r="D4201" s="1644"/>
      <c r="E4201" s="727"/>
      <c r="F4201" s="727"/>
      <c r="G4201" s="727"/>
      <c r="H4201" s="727"/>
      <c r="I4201" s="727"/>
      <c r="J4201" s="727"/>
      <c r="K4201" s="727"/>
      <c r="L4201" s="137"/>
    </row>
    <row r="4202">
      <c r="A4202" s="1641"/>
      <c r="B4202" s="703"/>
      <c r="C4202" s="1644"/>
      <c r="D4202" s="1644"/>
      <c r="E4202" s="727"/>
      <c r="F4202" s="727"/>
      <c r="G4202" s="727"/>
      <c r="H4202" s="727"/>
      <c r="I4202" s="727"/>
      <c r="J4202" s="727"/>
      <c r="K4202" s="727"/>
      <c r="L4202" s="137"/>
    </row>
    <row r="4203">
      <c r="A4203" s="1641"/>
      <c r="B4203" s="703"/>
      <c r="C4203" s="1644"/>
      <c r="D4203" s="1644"/>
      <c r="E4203" s="727"/>
      <c r="F4203" s="727"/>
      <c r="G4203" s="727"/>
      <c r="H4203" s="727"/>
      <c r="I4203" s="727"/>
      <c r="J4203" s="727"/>
      <c r="K4203" s="727"/>
      <c r="L4203" s="137"/>
    </row>
    <row r="4204">
      <c r="A4204" s="1641"/>
      <c r="B4204" s="703"/>
      <c r="C4204" s="1644"/>
      <c r="D4204" s="1644"/>
      <c r="E4204" s="727"/>
      <c r="F4204" s="727"/>
      <c r="G4204" s="727"/>
      <c r="H4204" s="727"/>
      <c r="I4204" s="727"/>
      <c r="J4204" s="727"/>
      <c r="K4204" s="727"/>
      <c r="L4204" s="137"/>
    </row>
    <row r="4205">
      <c r="A4205" s="1641"/>
      <c r="B4205" s="703"/>
      <c r="C4205" s="1644"/>
      <c r="D4205" s="1644"/>
      <c r="E4205" s="727"/>
      <c r="F4205" s="727"/>
      <c r="G4205" s="727"/>
      <c r="H4205" s="727"/>
      <c r="I4205" s="727"/>
      <c r="J4205" s="727"/>
      <c r="K4205" s="727"/>
      <c r="L4205" s="137"/>
    </row>
    <row r="4206">
      <c r="A4206" s="1641"/>
      <c r="B4206" s="703"/>
      <c r="C4206" s="1644"/>
      <c r="D4206" s="1644"/>
      <c r="E4206" s="727"/>
      <c r="F4206" s="727"/>
      <c r="G4206" s="727"/>
      <c r="H4206" s="727"/>
      <c r="I4206" s="727"/>
      <c r="J4206" s="727"/>
      <c r="K4206" s="727"/>
      <c r="L4206" s="137"/>
    </row>
    <row r="4207">
      <c r="A4207" s="1641"/>
      <c r="B4207" s="703"/>
      <c r="C4207" s="1644"/>
      <c r="D4207" s="1644"/>
      <c r="E4207" s="727"/>
      <c r="F4207" s="727"/>
      <c r="G4207" s="727"/>
      <c r="H4207" s="727"/>
      <c r="I4207" s="727"/>
      <c r="J4207" s="727"/>
      <c r="K4207" s="727"/>
      <c r="L4207" s="137"/>
    </row>
    <row r="4208">
      <c r="A4208" s="1641"/>
      <c r="B4208" s="703"/>
      <c r="C4208" s="1644"/>
      <c r="D4208" s="1644"/>
      <c r="E4208" s="727"/>
      <c r="F4208" s="727"/>
      <c r="G4208" s="727"/>
      <c r="H4208" s="727"/>
      <c r="I4208" s="727"/>
      <c r="J4208" s="727"/>
      <c r="K4208" s="727"/>
      <c r="L4208" s="137"/>
    </row>
    <row r="4209">
      <c r="A4209" s="1641"/>
      <c r="B4209" s="703"/>
      <c r="C4209" s="1644"/>
      <c r="D4209" s="1644"/>
      <c r="E4209" s="727"/>
      <c r="F4209" s="727"/>
      <c r="G4209" s="727"/>
      <c r="H4209" s="727"/>
      <c r="I4209" s="727"/>
      <c r="J4209" s="727"/>
      <c r="K4209" s="727"/>
      <c r="L4209" s="137"/>
    </row>
    <row r="4210">
      <c r="A4210" s="1641"/>
      <c r="B4210" s="703"/>
      <c r="C4210" s="1644"/>
      <c r="D4210" s="1644"/>
      <c r="E4210" s="727"/>
      <c r="F4210" s="727"/>
      <c r="G4210" s="727"/>
      <c r="H4210" s="727"/>
      <c r="I4210" s="727"/>
      <c r="J4210" s="727"/>
      <c r="K4210" s="727"/>
      <c r="L4210" s="137"/>
    </row>
    <row r="4211">
      <c r="A4211" s="1641"/>
      <c r="B4211" s="703"/>
      <c r="C4211" s="1644"/>
      <c r="D4211" s="1644"/>
      <c r="E4211" s="727"/>
      <c r="F4211" s="727"/>
      <c r="G4211" s="727"/>
      <c r="H4211" s="727"/>
      <c r="I4211" s="727"/>
      <c r="J4211" s="727"/>
      <c r="K4211" s="727"/>
      <c r="L4211" s="137"/>
    </row>
    <row r="4212">
      <c r="A4212" s="1641"/>
      <c r="B4212" s="703"/>
      <c r="C4212" s="1644"/>
      <c r="D4212" s="1644"/>
      <c r="E4212" s="727"/>
      <c r="F4212" s="727"/>
      <c r="G4212" s="727"/>
      <c r="H4212" s="727"/>
      <c r="I4212" s="727"/>
      <c r="J4212" s="727"/>
      <c r="K4212" s="727"/>
      <c r="L4212" s="137"/>
    </row>
    <row r="4213">
      <c r="A4213" s="1641"/>
      <c r="B4213" s="703"/>
      <c r="C4213" s="1644"/>
      <c r="D4213" s="1644"/>
      <c r="E4213" s="727"/>
      <c r="F4213" s="727"/>
      <c r="G4213" s="727"/>
      <c r="H4213" s="727"/>
      <c r="I4213" s="727"/>
      <c r="J4213" s="727"/>
      <c r="K4213" s="727"/>
      <c r="L4213" s="137"/>
    </row>
    <row r="4214">
      <c r="A4214" s="1641"/>
      <c r="B4214" s="703"/>
      <c r="C4214" s="1644"/>
      <c r="D4214" s="1644"/>
      <c r="E4214" s="727"/>
      <c r="F4214" s="727"/>
      <c r="G4214" s="727"/>
      <c r="H4214" s="727"/>
      <c r="I4214" s="727"/>
      <c r="J4214" s="727"/>
      <c r="K4214" s="727"/>
      <c r="L4214" s="137"/>
    </row>
    <row r="4215">
      <c r="A4215" s="1641"/>
      <c r="B4215" s="703"/>
      <c r="C4215" s="1644"/>
      <c r="D4215" s="1644"/>
      <c r="E4215" s="727"/>
      <c r="F4215" s="727"/>
      <c r="G4215" s="727"/>
      <c r="H4215" s="727"/>
      <c r="I4215" s="727"/>
      <c r="J4215" s="727"/>
      <c r="K4215" s="727"/>
      <c r="L4215" s="137"/>
    </row>
    <row r="4216">
      <c r="A4216" s="1641"/>
      <c r="B4216" s="703"/>
      <c r="C4216" s="1644"/>
      <c r="D4216" s="1644"/>
      <c r="E4216" s="727"/>
      <c r="F4216" s="727"/>
      <c r="G4216" s="727"/>
      <c r="H4216" s="727"/>
      <c r="I4216" s="727"/>
      <c r="J4216" s="727"/>
      <c r="K4216" s="727"/>
      <c r="L4216" s="137"/>
    </row>
    <row r="4217">
      <c r="A4217" s="1641"/>
      <c r="B4217" s="703"/>
      <c r="C4217" s="1644"/>
      <c r="D4217" s="1644"/>
      <c r="E4217" s="727"/>
      <c r="F4217" s="727"/>
      <c r="G4217" s="727"/>
      <c r="H4217" s="727"/>
      <c r="I4217" s="727"/>
      <c r="J4217" s="727"/>
      <c r="K4217" s="727"/>
      <c r="L4217" s="137"/>
    </row>
    <row r="4218">
      <c r="A4218" s="1641"/>
      <c r="B4218" s="703"/>
      <c r="C4218" s="1644"/>
      <c r="D4218" s="1644"/>
      <c r="E4218" s="727"/>
      <c r="F4218" s="727"/>
      <c r="G4218" s="727"/>
      <c r="H4218" s="727"/>
      <c r="I4218" s="727"/>
      <c r="J4218" s="727"/>
      <c r="K4218" s="727"/>
      <c r="L4218" s="137"/>
    </row>
    <row r="4219">
      <c r="A4219" s="1641"/>
      <c r="B4219" s="703"/>
      <c r="C4219" s="1644"/>
      <c r="D4219" s="1644"/>
      <c r="E4219" s="727"/>
      <c r="F4219" s="727"/>
      <c r="G4219" s="727"/>
      <c r="H4219" s="727"/>
      <c r="I4219" s="727"/>
      <c r="J4219" s="727"/>
      <c r="K4219" s="727"/>
      <c r="L4219" s="137"/>
    </row>
    <row r="4220">
      <c r="B4220" s="703"/>
      <c r="C4220" s="1644"/>
      <c r="D4220" s="1644"/>
      <c r="E4220" s="727"/>
      <c r="F4220" s="727"/>
      <c r="G4220" s="727"/>
      <c r="H4220" s="727"/>
      <c r="I4220" s="727"/>
      <c r="J4220" s="727"/>
      <c r="K4220" s="727"/>
      <c r="L4220" s="137"/>
    </row>
    <row r="4221">
      <c r="B4221" s="703"/>
      <c r="C4221" s="1644"/>
      <c r="D4221" s="1644"/>
      <c r="E4221" s="727"/>
      <c r="F4221" s="727"/>
      <c r="G4221" s="727"/>
      <c r="H4221" s="727"/>
      <c r="I4221" s="727"/>
      <c r="J4221" s="727"/>
      <c r="K4221" s="727"/>
      <c r="L4221" s="137"/>
    </row>
    <row r="4222">
      <c r="B4222" s="703"/>
      <c r="E4222" s="727"/>
      <c r="F4222" s="727"/>
      <c r="G4222" s="727"/>
      <c r="H4222" s="727"/>
      <c r="I4222" s="727"/>
      <c r="J4222" s="727"/>
      <c r="K4222" s="727"/>
      <c r="L4222" s="137"/>
    </row>
    <row r="4223">
      <c r="B4223" s="703"/>
      <c r="E4223" s="727"/>
      <c r="F4223" s="727"/>
      <c r="G4223" s="727"/>
      <c r="H4223" s="727"/>
      <c r="I4223" s="727"/>
      <c r="J4223" s="727"/>
      <c r="K4223" s="727"/>
      <c r="L4223" s="137"/>
    </row>
    <row r="4224">
      <c r="B4224" s="703"/>
      <c r="E4224" s="727"/>
      <c r="F4224" s="727"/>
      <c r="G4224" s="727"/>
      <c r="H4224" s="727"/>
      <c r="I4224" s="727"/>
      <c r="J4224" s="727"/>
      <c r="K4224" s="727"/>
    </row>
    <row r="4225">
      <c r="B4225" s="703"/>
      <c r="E4225" s="727"/>
      <c r="F4225" s="727"/>
      <c r="G4225" s="727"/>
      <c r="H4225" s="727"/>
      <c r="I4225" s="727"/>
      <c r="J4225" s="727"/>
      <c r="K4225" s="727"/>
    </row>
  </sheetData>
  <mergeCells count="2">
    <mergeCell ref="C4:D4"/>
    <mergeCell ref="E4:K4"/>
  </mergeCells>
  <drawing r:id="rId1"/>
</worksheet>
</file>